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showObjects="placeholders" filterPrivacy="1" codeName="ThisWorkbook"/>
  <xr:revisionPtr revIDLastSave="0" documentId="13_ncr:1_{60FF42DD-E78A-4838-9DA2-B01552002910}" xr6:coauthVersionLast="44" xr6:coauthVersionMax="44"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2)" sheetId="129" state="hidden" r:id="rId15"/>
    <sheet name="CT_tram" sheetId="23"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TongHopKL" sheetId="97" r:id="rId23"/>
    <sheet name="Solieu" sheetId="26" r:id="rId24"/>
    <sheet name="NT-VT" sheetId="78" r:id="rId25"/>
    <sheet name="B_CAP" sheetId="79" r:id="rId26"/>
    <sheet name="2Mong" sheetId="105" r:id="rId27"/>
    <sheet name="3Tru" sheetId="106" r:id="rId28"/>
    <sheet name="4Neo" sheetId="108" r:id="rId29"/>
    <sheet name="5BT" sheetId="107" r:id="rId30"/>
    <sheet name="6PK" sheetId="109" r:id="rId31"/>
    <sheet name="7day" sheetId="110" r:id="rId32"/>
    <sheet name="8TB" sheetId="111" r:id="rId33"/>
    <sheet name="9TD" sheetId="113" r:id="rId34"/>
    <sheet name="10DN" sheetId="114" r:id="rId35"/>
    <sheet name="NK" sheetId="115" r:id="rId36"/>
    <sheet name="A_CAP" sheetId="117" r:id="rId37"/>
  </sheets>
  <externalReferences>
    <externalReference r:id="rId38"/>
  </externalReferences>
  <definedNames>
    <definedName name="_Builtin155" hidden="1">#N/A</definedName>
    <definedName name="_Fill" hidden="1">#REF!</definedName>
    <definedName name="_xlnm._FilterDatabase" localSheetId="34" hidden="1">'10DN'!$G$6:$G$34</definedName>
    <definedName name="_xlnm._FilterDatabase" localSheetId="26" hidden="1">'2Mong'!$K$3:$K$65</definedName>
    <definedName name="_xlnm._FilterDatabase" localSheetId="27" hidden="1">'3Tru'!$J$3:$J$16</definedName>
    <definedName name="_xlnm._FilterDatabase" localSheetId="28" hidden="1">'4Neo'!$I$3:$I$33</definedName>
    <definedName name="_xlnm._FilterDatabase" localSheetId="29" hidden="1">'5BT'!$J$3:$J$13</definedName>
    <definedName name="_xlnm._FilterDatabase" localSheetId="30" hidden="1">'6PK'!$J$3:$J$121</definedName>
    <definedName name="_xlnm._FilterDatabase" localSheetId="31" hidden="1">'7day'!$I$3:$I$24</definedName>
    <definedName name="_xlnm._FilterDatabase" localSheetId="32" hidden="1">'8TB'!$B$1:$I$26</definedName>
    <definedName name="_xlnm._FilterDatabase" localSheetId="33" hidden="1">'9TD'!$G$8:$G$43</definedName>
    <definedName name="_xlnm._FilterDatabase" localSheetId="36" hidden="1">A_CAP!$A$2:$I$94</definedName>
    <definedName name="_xlnm._FilterDatabase" localSheetId="25" hidden="1">B_CAP!$A$2:$I$113</definedName>
    <definedName name="_xlnm._FilterDatabase" localSheetId="16" hidden="1">chitiet!$A$10:$S$2374</definedName>
    <definedName name="_xlnm._FilterDatabase" localSheetId="15" hidden="1">CT_tram!$A$24:$N$2930</definedName>
    <definedName name="_xlnm._FilterDatabase" localSheetId="14" hidden="1">'CT_tram (2)'!$A$26:$A$3558</definedName>
    <definedName name="_xlnm._FilterDatabase" localSheetId="0" hidden="1">DG!$A$1:$J$1971</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5" hidden="1">NK!$D$2:$D$275</definedName>
    <definedName name="_xlnm._FilterDatabase" localSheetId="24"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6" hidden="1">pp1p!$A$10:$CX$92</definedName>
    <definedName name="_xlnm._FilterDatabase" localSheetId="11" hidden="1">pp3p1m!$A$10:$GL$94</definedName>
    <definedName name="_xlnm._FilterDatabase" localSheetId="10" hidden="1">ppht!$A$6:$DV$341</definedName>
    <definedName name="_xlnm._FilterDatabase" localSheetId="9" hidden="1">'ppht NC'!$A$5:$CW$411</definedName>
    <definedName name="_xlnm._FilterDatabase" localSheetId="23" hidden="1">Solieu!$A$126:$A$153</definedName>
    <definedName name="_xlnm._FilterDatabase" localSheetId="22"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9">'ppht NC'!$R$5:$U$310</definedName>
    <definedName name="BTLTHTHH" localSheetId="9">'ppht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9">'ppht NC'!$AW$5:$BE$314</definedName>
    <definedName name="changHTDL" localSheetId="9">'ppht NC'!$AW$5:$BE$310</definedName>
    <definedName name="changHTHH" localSheetId="9">'ppht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9">'ppht NC'!#REF!</definedName>
    <definedName name="_xlnm.Print_Area" localSheetId="25">B_CAP!$A$1:$F$120</definedName>
    <definedName name="_xlnm.Print_Area" localSheetId="16">chitiet!$E:$S</definedName>
    <definedName name="_xlnm.Print_Area" localSheetId="15">CT_tram!$D$19:$L$2949</definedName>
    <definedName name="_xlnm.Print_Area" localSheetId="0">DG!$A$1:$D$1173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24">'NT-VT'!$B$1:$N$132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11">pp3p1m!$A$5:$GL$104</definedName>
    <definedName name="_xlnm.Print_Area" localSheetId="5">'pp3p2m '!$A$4:$EC$104</definedName>
    <definedName name="_xlnm.Print_Area" localSheetId="9">'ppht NC'!$A$2:$CY$314</definedName>
    <definedName name="_xlnm.Print_Area" localSheetId="7">PPHTCS!$A$2:$BN$69</definedName>
    <definedName name="_xlnm.Print_Titles" localSheetId="25">B_CAP!$2:$2</definedName>
    <definedName name="_xlnm.Print_Titles" localSheetId="16">chitiet!$9:$10</definedName>
    <definedName name="_xlnm.Print_Titles" localSheetId="15">CT_tram!$22:$23</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24">'NT-VT'!$4:$5</definedName>
    <definedName name="_xlnm.Print_Titles" localSheetId="4">pp_NC!$4:$5</definedName>
    <definedName name="_xlnm.Print_Titles" localSheetId="5">'pp3p2m '!$5:$6</definedName>
    <definedName name="_xlnm.Print_Titles" localSheetId="10">ppht!$4:$5</definedName>
    <definedName name="_xlnm.Print_Titles" localSheetId="9">'ppht NC'!$4:$5</definedName>
    <definedName name="rate">14000</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SV" hidden="1">"7"</definedName>
    <definedName name="tdllHTDL" localSheetId="9">'ppht NC'!$BP$4:$BT$310</definedName>
    <definedName name="tdllHTHH" localSheetId="9">'ppht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111" l="1"/>
  <c r="AW2" i="96" a="1"/>
  <c r="AW2" i="96"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H21" i="113"/>
  <c r="I21" i="113"/>
  <c r="J21" i="113"/>
  <c r="K21" i="113"/>
  <c r="H22" i="113"/>
  <c r="I22" i="113"/>
  <c r="J22" i="113"/>
  <c r="K22" i="113"/>
  <c r="H19" i="113"/>
  <c r="I19" i="113"/>
  <c r="J19" i="113"/>
  <c r="K19" i="113"/>
  <c r="H20" i="113"/>
  <c r="I20" i="113"/>
  <c r="J20" i="113"/>
  <c r="K20" i="113"/>
  <c r="H18" i="113"/>
  <c r="I18" i="113"/>
  <c r="J18" i="113"/>
  <c r="K18" i="113"/>
  <c r="C2614" i="23"/>
  <c r="C198" i="97" s="1"/>
  <c r="B198" i="97"/>
  <c r="D198" i="97"/>
  <c r="E198" i="97"/>
  <c r="F198" i="97"/>
  <c r="G198" i="97"/>
  <c r="H198" i="97"/>
  <c r="B199" i="97"/>
  <c r="C199" i="97"/>
  <c r="D199" i="97"/>
  <c r="E199" i="97"/>
  <c r="F199" i="97"/>
  <c r="G199" i="97"/>
  <c r="H199" i="97"/>
  <c r="I199" i="97"/>
  <c r="I124" i="26"/>
  <c r="I125" i="26"/>
  <c r="I126" i="26"/>
  <c r="I127" i="26"/>
  <c r="I128" i="26"/>
  <c r="I129" i="26"/>
  <c r="I130" i="26"/>
  <c r="I131" i="26"/>
  <c r="I132" i="26"/>
  <c r="I133" i="26"/>
  <c r="I134" i="26"/>
  <c r="H124" i="26"/>
  <c r="H125" i="26"/>
  <c r="H126" i="26"/>
  <c r="H127" i="26"/>
  <c r="H128" i="26"/>
  <c r="H129" i="26"/>
  <c r="H130" i="26"/>
  <c r="H131" i="26"/>
  <c r="H132" i="26"/>
  <c r="H133" i="26"/>
  <c r="H134" i="26"/>
  <c r="H9" i="113" l="1"/>
  <c r="I9" i="113"/>
  <c r="H38" i="109"/>
  <c r="H37" i="109"/>
  <c r="H36" i="109"/>
  <c r="D7" i="110"/>
  <c r="K7" i="110"/>
  <c r="J7"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M4" i="26"/>
  <c r="M5" i="26"/>
  <c r="M6" i="26"/>
  <c r="M7" i="26"/>
  <c r="M8" i="26"/>
  <c r="M9" i="26"/>
  <c r="M10" i="26"/>
  <c r="M11" i="26"/>
  <c r="M3" i="26"/>
  <c r="M124" i="26"/>
  <c r="M125" i="26"/>
  <c r="M126" i="26"/>
  <c r="M127" i="26"/>
  <c r="M128" i="26"/>
  <c r="M129" i="26"/>
  <c r="M130" i="26"/>
  <c r="M131" i="26"/>
  <c r="M132" i="26"/>
  <c r="M133" i="26"/>
  <c r="M134" i="26"/>
  <c r="G124" i="26"/>
  <c r="G125" i="26"/>
  <c r="G126" i="26"/>
  <c r="G127" i="26"/>
  <c r="G128" i="26"/>
  <c r="G129" i="26"/>
  <c r="G130" i="26"/>
  <c r="G131" i="26"/>
  <c r="G132" i="26"/>
  <c r="G133" i="26"/>
  <c r="G134" i="26"/>
  <c r="G2591" i="23"/>
  <c r="G2592" i="23"/>
  <c r="G2593" i="23"/>
  <c r="G2608" i="23"/>
  <c r="G2607" i="23"/>
  <c r="G2599" i="23"/>
  <c r="G2600" i="23"/>
  <c r="G2601" i="23"/>
  <c r="F2740" i="23" l="1"/>
  <c r="F2724" i="23"/>
  <c r="F2722" i="23"/>
  <c r="F2710" i="23"/>
  <c r="F2679" i="23"/>
  <c r="F2593" i="23"/>
  <c r="F2592" i="23"/>
  <c r="F2591" i="23"/>
  <c r="F2601" i="23"/>
  <c r="F2600" i="23"/>
  <c r="F2599" i="23"/>
  <c r="F2608" i="23"/>
  <c r="F2607" i="23"/>
  <c r="F2617" i="23"/>
  <c r="F2673" i="23"/>
  <c r="F2672" i="23"/>
  <c r="F2671" i="23"/>
  <c r="F2670" i="23"/>
  <c r="F2665" i="23"/>
  <c r="B106" i="97" l="1"/>
  <c r="C106" i="97"/>
  <c r="D106" i="97"/>
  <c r="E106" i="97"/>
  <c r="G106" i="97"/>
  <c r="H106" i="97"/>
  <c r="B108" i="97"/>
  <c r="C108" i="97"/>
  <c r="D108" i="97"/>
  <c r="E108" i="97"/>
  <c r="G108" i="97"/>
  <c r="B68" i="97"/>
  <c r="C68" i="97"/>
  <c r="D68" i="97"/>
  <c r="E68" i="97"/>
  <c r="G68" i="97"/>
  <c r="B82" i="97"/>
  <c r="C82" i="97"/>
  <c r="D82" i="97"/>
  <c r="E82" i="97"/>
  <c r="G82" i="97"/>
  <c r="B83" i="97"/>
  <c r="C83" i="97"/>
  <c r="D83" i="97"/>
  <c r="E83" i="97"/>
  <c r="G83" i="97"/>
  <c r="B91" i="97"/>
  <c r="C91" i="97"/>
  <c r="D91" i="97"/>
  <c r="E91" i="97"/>
  <c r="G91" i="97"/>
  <c r="B58" i="97"/>
  <c r="C58" i="97"/>
  <c r="D58" i="97"/>
  <c r="E58" i="97"/>
  <c r="G58" i="97"/>
  <c r="B98" i="97"/>
  <c r="C98" i="97"/>
  <c r="D98" i="97"/>
  <c r="E98" i="97"/>
  <c r="G98" i="97"/>
  <c r="B97" i="97"/>
  <c r="C97" i="97"/>
  <c r="D97" i="97"/>
  <c r="E97" i="97"/>
  <c r="G97" i="97"/>
  <c r="B67" i="97"/>
  <c r="C67" i="97"/>
  <c r="D67" i="97"/>
  <c r="E67" i="97"/>
  <c r="G67" i="97"/>
  <c r="H67" i="97"/>
  <c r="B122" i="97"/>
  <c r="C122" i="97"/>
  <c r="D122" i="97"/>
  <c r="E122" i="97"/>
  <c r="G122" i="97"/>
  <c r="B93" i="97"/>
  <c r="C93" i="97"/>
  <c r="D93" i="97"/>
  <c r="E93" i="97"/>
  <c r="G93" i="97"/>
  <c r="B99" i="97"/>
  <c r="J99" i="97" s="1"/>
  <c r="C99" i="97"/>
  <c r="D99" i="97"/>
  <c r="E99" i="97"/>
  <c r="F99" i="97"/>
  <c r="G99" i="97"/>
  <c r="B36" i="97"/>
  <c r="J36" i="97" s="1"/>
  <c r="C36" i="97"/>
  <c r="D36" i="97"/>
  <c r="E36" i="97"/>
  <c r="F36" i="97"/>
  <c r="G36" i="97"/>
  <c r="H36" i="97"/>
  <c r="B123" i="97"/>
  <c r="C123" i="97"/>
  <c r="D123" i="97"/>
  <c r="E123" i="97"/>
  <c r="G123" i="97"/>
  <c r="H123" i="97"/>
  <c r="B26" i="97"/>
  <c r="C26" i="97"/>
  <c r="D26" i="97"/>
  <c r="E26" i="97"/>
  <c r="G26" i="97"/>
  <c r="B12" i="97"/>
  <c r="J12" i="97" s="1"/>
  <c r="C12" i="97"/>
  <c r="D12" i="97"/>
  <c r="E12" i="97"/>
  <c r="F12" i="97"/>
  <c r="G12" i="97"/>
  <c r="B32" i="97"/>
  <c r="C32" i="97"/>
  <c r="D32" i="97"/>
  <c r="E32" i="97"/>
  <c r="G32" i="97"/>
  <c r="B180" i="97"/>
  <c r="C180" i="97"/>
  <c r="D180" i="97"/>
  <c r="E180" i="97"/>
  <c r="G180" i="97"/>
  <c r="B30" i="97"/>
  <c r="C30" i="97"/>
  <c r="D30" i="97"/>
  <c r="E30" i="97"/>
  <c r="G30" i="97"/>
  <c r="B29" i="97"/>
  <c r="C29" i="97"/>
  <c r="D29" i="97"/>
  <c r="E29" i="97"/>
  <c r="G29" i="97"/>
  <c r="B110" i="97"/>
  <c r="J110" i="97" s="1"/>
  <c r="C110" i="97"/>
  <c r="D110" i="97"/>
  <c r="E110" i="97"/>
  <c r="F110" i="97"/>
  <c r="G110" i="97"/>
  <c r="B21" i="97"/>
  <c r="C21" i="97"/>
  <c r="D21" i="97"/>
  <c r="E21" i="97"/>
  <c r="G21" i="97"/>
  <c r="B120" i="97"/>
  <c r="C120" i="97"/>
  <c r="D120" i="97"/>
  <c r="E120" i="97"/>
  <c r="G120" i="97"/>
  <c r="B20" i="97"/>
  <c r="C20" i="97"/>
  <c r="D20" i="97"/>
  <c r="E20" i="97"/>
  <c r="G20" i="97"/>
  <c r="B179" i="97"/>
  <c r="C179" i="97"/>
  <c r="D179" i="97"/>
  <c r="E179" i="97"/>
  <c r="G179" i="97"/>
  <c r="B85" i="97"/>
  <c r="C85" i="97"/>
  <c r="D85" i="97"/>
  <c r="E85" i="97"/>
  <c r="G85" i="97"/>
  <c r="B182" i="97"/>
  <c r="C182" i="97"/>
  <c r="D182" i="97"/>
  <c r="E182" i="97"/>
  <c r="G182" i="97"/>
  <c r="B149" i="97"/>
  <c r="C149" i="97"/>
  <c r="D149" i="97"/>
  <c r="E149" i="97"/>
  <c r="G149" i="97"/>
  <c r="B136" i="97"/>
  <c r="C136" i="97"/>
  <c r="D136" i="97"/>
  <c r="E136" i="97"/>
  <c r="G136" i="97"/>
  <c r="B28" i="97"/>
  <c r="C28" i="97"/>
  <c r="D28" i="97"/>
  <c r="E28" i="97"/>
  <c r="G28" i="97"/>
  <c r="B194" i="97"/>
  <c r="C194" i="97"/>
  <c r="E194" i="97"/>
  <c r="F194" i="97"/>
  <c r="G194" i="97"/>
  <c r="H194" i="97"/>
  <c r="B119" i="97"/>
  <c r="C119" i="97"/>
  <c r="D119" i="97"/>
  <c r="E119" i="97"/>
  <c r="G119" i="97"/>
  <c r="B178" i="97"/>
  <c r="C178" i="97"/>
  <c r="D178" i="97"/>
  <c r="E178" i="97"/>
  <c r="G178" i="97"/>
  <c r="H178" i="97"/>
  <c r="B177" i="97"/>
  <c r="C177" i="97"/>
  <c r="D177" i="97"/>
  <c r="E177" i="97"/>
  <c r="G177" i="97"/>
  <c r="H177" i="97"/>
  <c r="B150" i="97"/>
  <c r="C150" i="97"/>
  <c r="D150" i="97"/>
  <c r="E150" i="97"/>
  <c r="G150" i="97"/>
  <c r="H150" i="97"/>
  <c r="B135" i="97"/>
  <c r="C135" i="97"/>
  <c r="D135" i="97"/>
  <c r="E135" i="97"/>
  <c r="G135" i="97"/>
  <c r="H135" i="97"/>
  <c r="B133" i="97"/>
  <c r="C133" i="97"/>
  <c r="D133" i="97"/>
  <c r="E133" i="97"/>
  <c r="G133" i="97"/>
  <c r="H133" i="97"/>
  <c r="B193" i="97"/>
  <c r="C193" i="97"/>
  <c r="E193" i="97"/>
  <c r="F193" i="97"/>
  <c r="G193" i="97"/>
  <c r="B192" i="97"/>
  <c r="C192" i="97"/>
  <c r="E192" i="97"/>
  <c r="F192" i="97"/>
  <c r="G192" i="97"/>
  <c r="B92" i="97"/>
  <c r="C92" i="97"/>
  <c r="D92" i="97"/>
  <c r="E92" i="97"/>
  <c r="G92" i="97"/>
  <c r="B84" i="97"/>
  <c r="C84" i="97"/>
  <c r="D84" i="97"/>
  <c r="E84" i="97"/>
  <c r="G84" i="97"/>
  <c r="B57" i="97"/>
  <c r="C57" i="97"/>
  <c r="D57" i="97"/>
  <c r="E57" i="97"/>
  <c r="G57" i="97"/>
  <c r="B146" i="97"/>
  <c r="C146" i="97"/>
  <c r="D146" i="97"/>
  <c r="E146" i="97"/>
  <c r="G146" i="97"/>
  <c r="B11" i="97"/>
  <c r="J11" i="97" s="1"/>
  <c r="C11" i="97"/>
  <c r="D11" i="97"/>
  <c r="E11" i="97"/>
  <c r="F11" i="97"/>
  <c r="G11" i="97"/>
  <c r="B76" i="97"/>
  <c r="C76" i="97"/>
  <c r="D76" i="97"/>
  <c r="E76" i="97"/>
  <c r="G76" i="97"/>
  <c r="B69" i="97"/>
  <c r="C69" i="97"/>
  <c r="D69" i="97"/>
  <c r="E69" i="97"/>
  <c r="G69" i="97"/>
  <c r="B107" i="97"/>
  <c r="C107" i="97"/>
  <c r="D107" i="97"/>
  <c r="E107" i="97"/>
  <c r="G107" i="97"/>
  <c r="B14" i="97"/>
  <c r="J14" i="97" s="1"/>
  <c r="C14" i="97"/>
  <c r="D14" i="97"/>
  <c r="E14" i="97"/>
  <c r="F14" i="97"/>
  <c r="G14" i="97"/>
  <c r="B23" i="97"/>
  <c r="C23" i="97"/>
  <c r="D23" i="97"/>
  <c r="E23" i="97"/>
  <c r="G23" i="97"/>
  <c r="B24" i="97"/>
  <c r="C24" i="97"/>
  <c r="D24" i="97"/>
  <c r="E24" i="97"/>
  <c r="G24" i="97"/>
  <c r="B25" i="97"/>
  <c r="C25" i="97"/>
  <c r="D25" i="97"/>
  <c r="E25" i="97"/>
  <c r="G25" i="97"/>
  <c r="B22" i="97"/>
  <c r="C22" i="97"/>
  <c r="D22" i="97"/>
  <c r="E22" i="97"/>
  <c r="G22" i="97"/>
  <c r="B96" i="97"/>
  <c r="J96" i="97" s="1"/>
  <c r="C96" i="97"/>
  <c r="D96" i="97"/>
  <c r="E96" i="97"/>
  <c r="F96" i="97"/>
  <c r="G96" i="97"/>
  <c r="H96" i="97"/>
  <c r="B94" i="97"/>
  <c r="J94" i="97" s="1"/>
  <c r="C94" i="97"/>
  <c r="D94" i="97"/>
  <c r="E94" i="97"/>
  <c r="F94" i="97"/>
  <c r="G94" i="97"/>
  <c r="H94" i="97"/>
  <c r="B9" i="97"/>
  <c r="J9" i="97" s="1"/>
  <c r="C9" i="97"/>
  <c r="D9" i="97"/>
  <c r="E9" i="97"/>
  <c r="F9" i="97"/>
  <c r="G9" i="97"/>
  <c r="H9" i="97"/>
  <c r="B80" i="97"/>
  <c r="J80" i="97" s="1"/>
  <c r="C80" i="97"/>
  <c r="D80" i="97"/>
  <c r="E80" i="97"/>
  <c r="F80" i="97"/>
  <c r="G80" i="97"/>
  <c r="B34" i="97"/>
  <c r="C34" i="97"/>
  <c r="D34" i="97"/>
  <c r="E34" i="97"/>
  <c r="G34" i="97"/>
  <c r="B153" i="97"/>
  <c r="C153" i="97"/>
  <c r="D153" i="97"/>
  <c r="E153" i="97"/>
  <c r="G153" i="97"/>
  <c r="B147" i="97"/>
  <c r="C147" i="97"/>
  <c r="D147" i="97"/>
  <c r="E147" i="97"/>
  <c r="G147" i="97"/>
  <c r="B191" i="97"/>
  <c r="C191" i="97"/>
  <c r="E191" i="97"/>
  <c r="F191" i="97"/>
  <c r="G191" i="97"/>
  <c r="B190" i="97"/>
  <c r="C190" i="97"/>
  <c r="E190" i="97"/>
  <c r="F190" i="97"/>
  <c r="G190" i="97"/>
  <c r="B35" i="97"/>
  <c r="C35" i="97"/>
  <c r="D35" i="97"/>
  <c r="E35" i="97"/>
  <c r="G35" i="97"/>
  <c r="B55" i="97"/>
  <c r="C55" i="97"/>
  <c r="D55" i="97"/>
  <c r="E55" i="97"/>
  <c r="G55" i="97"/>
  <c r="B56" i="97"/>
  <c r="C56" i="97"/>
  <c r="D56" i="97"/>
  <c r="E56" i="97"/>
  <c r="G56" i="97"/>
  <c r="B189" i="97"/>
  <c r="C189" i="97"/>
  <c r="E189" i="97"/>
  <c r="F189" i="97"/>
  <c r="G189" i="97"/>
  <c r="B140" i="97"/>
  <c r="C140" i="97"/>
  <c r="D140" i="97"/>
  <c r="E140" i="97"/>
  <c r="G140" i="97"/>
  <c r="B132" i="97"/>
  <c r="C132" i="97"/>
  <c r="D132" i="97"/>
  <c r="E132" i="97"/>
  <c r="G132" i="97"/>
  <c r="B89" i="97"/>
  <c r="J89" i="97" s="1"/>
  <c r="C89" i="97"/>
  <c r="D89" i="97"/>
  <c r="E89" i="97"/>
  <c r="F89" i="97"/>
  <c r="G89" i="97"/>
  <c r="B105" i="97"/>
  <c r="C105" i="97"/>
  <c r="D105" i="97"/>
  <c r="E105" i="97"/>
  <c r="G105" i="97"/>
  <c r="H105" i="97"/>
  <c r="B160" i="97"/>
  <c r="C160" i="97"/>
  <c r="D160" i="97"/>
  <c r="E160" i="97"/>
  <c r="B188" i="97"/>
  <c r="C188" i="97"/>
  <c r="E188" i="97"/>
  <c r="F188" i="97"/>
  <c r="G188" i="97"/>
  <c r="B116" i="97"/>
  <c r="C116" i="97"/>
  <c r="D116" i="97"/>
  <c r="E116" i="97"/>
  <c r="H116" i="97"/>
  <c r="B113" i="97"/>
  <c r="C113" i="97"/>
  <c r="D113" i="97"/>
  <c r="E113" i="97"/>
  <c r="H113" i="97"/>
  <c r="B49" i="97"/>
  <c r="J49" i="97" s="1"/>
  <c r="C49" i="97"/>
  <c r="D49" i="97"/>
  <c r="E49" i="97"/>
  <c r="F49" i="97"/>
  <c r="G49" i="97"/>
  <c r="B52" i="97"/>
  <c r="J52" i="97" s="1"/>
  <c r="C52" i="97"/>
  <c r="D52" i="97"/>
  <c r="E52" i="97"/>
  <c r="F52" i="97"/>
  <c r="G52" i="97"/>
  <c r="B117" i="97"/>
  <c r="C117" i="97"/>
  <c r="D117" i="97"/>
  <c r="E117" i="97"/>
  <c r="H117" i="97"/>
  <c r="B112" i="97"/>
  <c r="C112" i="97"/>
  <c r="D112" i="97"/>
  <c r="E112" i="97"/>
  <c r="H112" i="97"/>
  <c r="B43" i="97"/>
  <c r="J43" i="97" s="1"/>
  <c r="C43" i="97"/>
  <c r="D43" i="97"/>
  <c r="E43" i="97"/>
  <c r="F43" i="97"/>
  <c r="G43" i="97"/>
  <c r="B51" i="97"/>
  <c r="J51" i="97" s="1"/>
  <c r="C51" i="97"/>
  <c r="D51" i="97"/>
  <c r="E51" i="97"/>
  <c r="F51" i="97"/>
  <c r="G51" i="97"/>
  <c r="B45" i="97"/>
  <c r="J45" i="97" s="1"/>
  <c r="C45" i="97"/>
  <c r="D45" i="97"/>
  <c r="E45" i="97"/>
  <c r="F45" i="97"/>
  <c r="G45" i="97"/>
  <c r="B157" i="97"/>
  <c r="C157" i="97"/>
  <c r="D157" i="97"/>
  <c r="E157" i="97"/>
  <c r="B187" i="97"/>
  <c r="C187" i="97"/>
  <c r="E187" i="97"/>
  <c r="F187" i="97"/>
  <c r="G187" i="97"/>
  <c r="B73" i="97"/>
  <c r="C73" i="97"/>
  <c r="D73" i="97"/>
  <c r="E73" i="97"/>
  <c r="B75" i="97"/>
  <c r="C75" i="97"/>
  <c r="D75" i="97"/>
  <c r="E75" i="97"/>
  <c r="B62" i="97"/>
  <c r="J62" i="97" s="1"/>
  <c r="C62" i="97"/>
  <c r="D62" i="97"/>
  <c r="E62" i="97"/>
  <c r="F62" i="97"/>
  <c r="G62" i="97"/>
  <c r="B48" i="97"/>
  <c r="J48" i="97" s="1"/>
  <c r="C48" i="97"/>
  <c r="D48" i="97"/>
  <c r="E48" i="97"/>
  <c r="F48" i="97"/>
  <c r="G48" i="97"/>
  <c r="B38" i="97"/>
  <c r="J38" i="97" s="1"/>
  <c r="C38" i="97"/>
  <c r="D38" i="97"/>
  <c r="E38" i="97"/>
  <c r="F38" i="97"/>
  <c r="G38" i="97"/>
  <c r="B155" i="97"/>
  <c r="C155" i="97"/>
  <c r="D155" i="97"/>
  <c r="E155" i="97"/>
  <c r="B186" i="97"/>
  <c r="C186" i="97"/>
  <c r="E186" i="97"/>
  <c r="F186" i="97"/>
  <c r="G186" i="97"/>
  <c r="H186" i="97"/>
  <c r="B185" i="97"/>
  <c r="C185" i="97"/>
  <c r="E185" i="97"/>
  <c r="F185" i="97"/>
  <c r="G185" i="97"/>
  <c r="B181" i="97"/>
  <c r="C181" i="97"/>
  <c r="E181" i="97"/>
  <c r="H181" i="97"/>
  <c r="B170" i="97"/>
  <c r="C170" i="97"/>
  <c r="E170" i="97"/>
  <c r="H170" i="97"/>
  <c r="B171" i="97"/>
  <c r="C171" i="97"/>
  <c r="E171" i="97"/>
  <c r="H171" i="97"/>
  <c r="B139" i="97"/>
  <c r="C139" i="97"/>
  <c r="E139" i="97"/>
  <c r="H139" i="97"/>
  <c r="B2" i="97"/>
  <c r="C2" i="97"/>
  <c r="E2" i="97"/>
  <c r="H2" i="97"/>
  <c r="B5" i="97"/>
  <c r="C5" i="97"/>
  <c r="E5" i="97"/>
  <c r="B70" i="97"/>
  <c r="C70" i="97"/>
  <c r="E70" i="97"/>
  <c r="B7" i="97"/>
  <c r="C7" i="97"/>
  <c r="E7" i="97"/>
  <c r="B3" i="97"/>
  <c r="C3" i="97"/>
  <c r="E3" i="97"/>
  <c r="B6" i="97"/>
  <c r="D6" i="97"/>
  <c r="B71" i="97"/>
  <c r="B4" i="97"/>
  <c r="B168" i="97"/>
  <c r="E168" i="97"/>
  <c r="F168" i="97"/>
  <c r="G168" i="97"/>
  <c r="B154" i="97"/>
  <c r="D154" i="97"/>
  <c r="B176" i="97"/>
  <c r="D176" i="97"/>
  <c r="B175" i="97"/>
  <c r="D175" i="97"/>
  <c r="B148" i="97"/>
  <c r="B152" i="97"/>
  <c r="B144" i="97"/>
  <c r="B143" i="97"/>
  <c r="B65" i="97"/>
  <c r="D65" i="97"/>
  <c r="E65" i="97"/>
  <c r="B66" i="97"/>
  <c r="D66" i="97"/>
  <c r="E66" i="97"/>
  <c r="B103" i="97"/>
  <c r="D103" i="97"/>
  <c r="E103" i="97"/>
  <c r="B59" i="97"/>
  <c r="D59" i="97"/>
  <c r="E59" i="97"/>
  <c r="B61" i="97"/>
  <c r="J61" i="97" s="1"/>
  <c r="D61" i="97"/>
  <c r="E61" i="97"/>
  <c r="B60" i="97"/>
  <c r="J60" i="97" s="1"/>
  <c r="D60" i="97"/>
  <c r="E60" i="97"/>
  <c r="B78" i="97"/>
  <c r="D78" i="97"/>
  <c r="E78" i="97"/>
  <c r="B13" i="97"/>
  <c r="J13" i="97" s="1"/>
  <c r="D13" i="97"/>
  <c r="E13" i="97"/>
  <c r="B33" i="97"/>
  <c r="B31" i="97"/>
  <c r="B77" i="97"/>
  <c r="B90" i="97"/>
  <c r="J90" i="97" s="1"/>
  <c r="E90" i="97"/>
  <c r="B88" i="97"/>
  <c r="J88" i="97" s="1"/>
  <c r="E88" i="97"/>
  <c r="B184" i="97"/>
  <c r="E184" i="97"/>
  <c r="F184" i="97"/>
  <c r="G184" i="97"/>
  <c r="H184" i="97"/>
  <c r="B27" i="97"/>
  <c r="D27" i="97"/>
  <c r="E27" i="97"/>
  <c r="B130" i="97"/>
  <c r="E130" i="97"/>
  <c r="F130" i="97"/>
  <c r="G130" i="97"/>
  <c r="B10" i="97"/>
  <c r="J10" i="97" s="1"/>
  <c r="D10" i="97"/>
  <c r="E10" i="97"/>
  <c r="B101" i="97"/>
  <c r="J101" i="97" s="1"/>
  <c r="D101" i="97"/>
  <c r="E101" i="97"/>
  <c r="B167" i="97"/>
  <c r="E167" i="97"/>
  <c r="F167" i="97"/>
  <c r="G167" i="97"/>
  <c r="B8" i="97"/>
  <c r="J8" i="97" s="1"/>
  <c r="D8" i="97"/>
  <c r="E8" i="97"/>
  <c r="B79" i="97"/>
  <c r="J79" i="97" s="1"/>
  <c r="D79" i="97"/>
  <c r="E79" i="97"/>
  <c r="B165" i="97"/>
  <c r="D165" i="97"/>
  <c r="E165" i="97"/>
  <c r="F165" i="97"/>
  <c r="G165" i="97"/>
  <c r="B95" i="97"/>
  <c r="J95" i="97" s="1"/>
  <c r="D95" i="97"/>
  <c r="E95" i="97"/>
  <c r="B64" i="97"/>
  <c r="J64" i="97" s="1"/>
  <c r="D64" i="97"/>
  <c r="E64" i="97"/>
  <c r="B141" i="97"/>
  <c r="E141" i="97"/>
  <c r="F141" i="97"/>
  <c r="G141" i="97"/>
  <c r="B109" i="97"/>
  <c r="J109" i="97" s="1"/>
  <c r="D109" i="97"/>
  <c r="E109" i="97"/>
  <c r="B42" i="97"/>
  <c r="J42" i="97" s="1"/>
  <c r="D42" i="97"/>
  <c r="E42" i="97"/>
  <c r="B17" i="97"/>
  <c r="J17" i="97" s="1"/>
  <c r="B15" i="97"/>
  <c r="E15" i="97"/>
  <c r="B138" i="97"/>
  <c r="E138" i="97"/>
  <c r="F138" i="97"/>
  <c r="G138" i="97"/>
  <c r="B183" i="97"/>
  <c r="C183" i="97"/>
  <c r="E183" i="97"/>
  <c r="F183" i="97"/>
  <c r="G183" i="97"/>
  <c r="B166" i="97"/>
  <c r="D166" i="97"/>
  <c r="E166" i="97"/>
  <c r="F166" i="97"/>
  <c r="G166" i="97"/>
  <c r="B121" i="97"/>
  <c r="D121" i="97"/>
  <c r="E121" i="97"/>
  <c r="B102" i="97"/>
  <c r="D102" i="97"/>
  <c r="B197" i="97"/>
  <c r="D197" i="97"/>
  <c r="B164" i="97"/>
  <c r="D164" i="97"/>
  <c r="B124" i="97"/>
  <c r="D124" i="97"/>
  <c r="E124" i="97"/>
  <c r="B100" i="97"/>
  <c r="J100" i="97" s="1"/>
  <c r="D100" i="97"/>
  <c r="E100" i="97"/>
  <c r="B151" i="97"/>
  <c r="B131" i="97"/>
  <c r="D131" i="97"/>
  <c r="E131" i="97"/>
  <c r="F131" i="97"/>
  <c r="G131" i="97"/>
  <c r="B63" i="97"/>
  <c r="J63" i="97" s="1"/>
  <c r="D63" i="97"/>
  <c r="E63" i="97"/>
  <c r="B118" i="97"/>
  <c r="J118" i="97" s="1"/>
  <c r="D118" i="97"/>
  <c r="E118" i="97"/>
  <c r="B86" i="97"/>
  <c r="J86" i="97" s="1"/>
  <c r="D86" i="97"/>
  <c r="E86" i="97"/>
  <c r="B18" i="97"/>
  <c r="J18" i="97" s="1"/>
  <c r="D18" i="97"/>
  <c r="E18" i="97"/>
  <c r="B74" i="97"/>
  <c r="D74" i="97"/>
  <c r="E74" i="97"/>
  <c r="B37" i="97"/>
  <c r="J37" i="97" s="1"/>
  <c r="D37" i="97"/>
  <c r="E37" i="97"/>
  <c r="B40" i="97"/>
  <c r="J40" i="97" s="1"/>
  <c r="D40" i="97"/>
  <c r="E40" i="97"/>
  <c r="B47" i="97"/>
  <c r="J47" i="97" s="1"/>
  <c r="D47" i="97"/>
  <c r="E47" i="97"/>
  <c r="B159" i="97"/>
  <c r="D159" i="97"/>
  <c r="E159" i="97"/>
  <c r="B174" i="97"/>
  <c r="D174" i="97"/>
  <c r="E174" i="97"/>
  <c r="F174" i="97"/>
  <c r="G174" i="97"/>
  <c r="B72" i="97"/>
  <c r="D72" i="97"/>
  <c r="E72" i="97"/>
  <c r="B172" i="97"/>
  <c r="D172" i="97"/>
  <c r="E172" i="97"/>
  <c r="F172" i="97"/>
  <c r="G172" i="97"/>
  <c r="B114" i="97"/>
  <c r="D114" i="97"/>
  <c r="E114" i="97"/>
  <c r="B269" i="97"/>
  <c r="D269" i="97"/>
  <c r="E269" i="97"/>
  <c r="B39" i="97"/>
  <c r="J39" i="97" s="1"/>
  <c r="D39" i="97"/>
  <c r="E39" i="97"/>
  <c r="B46" i="97"/>
  <c r="J46" i="97" s="1"/>
  <c r="D46" i="97"/>
  <c r="E46" i="97"/>
  <c r="B158" i="97"/>
  <c r="D158" i="97"/>
  <c r="B41" i="97"/>
  <c r="J41" i="97" s="1"/>
  <c r="D41" i="97"/>
  <c r="E41" i="97"/>
  <c r="B44" i="97"/>
  <c r="J44" i="97" s="1"/>
  <c r="D44" i="97"/>
  <c r="E44" i="97"/>
  <c r="B50" i="97"/>
  <c r="J50" i="97" s="1"/>
  <c r="D50" i="97"/>
  <c r="E50" i="97"/>
  <c r="B156" i="97"/>
  <c r="D156" i="97"/>
  <c r="B173" i="97"/>
  <c r="D173" i="97"/>
  <c r="E173" i="97"/>
  <c r="F173" i="97"/>
  <c r="G173" i="97"/>
  <c r="B115" i="97"/>
  <c r="D115" i="97"/>
  <c r="E115" i="97"/>
  <c r="B111" i="97"/>
  <c r="D111" i="97"/>
  <c r="E111" i="97"/>
  <c r="B128" i="97"/>
  <c r="D128" i="97"/>
  <c r="E128" i="97"/>
  <c r="F128" i="97"/>
  <c r="G128" i="97"/>
  <c r="B19" i="97"/>
  <c r="D19" i="97"/>
  <c r="E19" i="97"/>
  <c r="B142" i="97"/>
  <c r="J142" i="97" s="1"/>
  <c r="D142" i="97"/>
  <c r="E142" i="97"/>
  <c r="B129" i="97"/>
  <c r="D129" i="97"/>
  <c r="B145" i="97"/>
  <c r="B137" i="97"/>
  <c r="B169" i="97"/>
  <c r="D169" i="97"/>
  <c r="E169" i="97"/>
  <c r="F169" i="97"/>
  <c r="G169" i="97"/>
  <c r="B16" i="97"/>
  <c r="J16" i="97" s="1"/>
  <c r="D16" i="97"/>
  <c r="E16" i="97"/>
  <c r="B81" i="97"/>
  <c r="J81" i="97" s="1"/>
  <c r="D81" i="97"/>
  <c r="E81" i="97"/>
  <c r="B87" i="97"/>
  <c r="J87" i="97" s="1"/>
  <c r="D87" i="97"/>
  <c r="E87" i="97"/>
  <c r="B104" i="97"/>
  <c r="D104" i="97"/>
  <c r="E104" i="97"/>
  <c r="B134" i="97"/>
  <c r="D134" i="97"/>
  <c r="B53" i="97"/>
  <c r="J53" i="97" s="1"/>
  <c r="D53" i="97"/>
  <c r="B54" i="97"/>
  <c r="D54" i="97"/>
  <c r="B196" i="97"/>
  <c r="D196" i="97"/>
  <c r="B162" i="97"/>
  <c r="D162" i="97"/>
  <c r="E162" i="97"/>
  <c r="F162" i="97"/>
  <c r="G162" i="97"/>
  <c r="B125" i="97"/>
  <c r="D125" i="97"/>
  <c r="B126" i="97"/>
  <c r="D126" i="97"/>
  <c r="B127" i="97"/>
  <c r="D127" i="97"/>
  <c r="B161" i="97"/>
  <c r="D161" i="97"/>
  <c r="E161" i="97"/>
  <c r="F161" i="97"/>
  <c r="G161" i="97"/>
  <c r="B195" i="97"/>
  <c r="D195" i="97"/>
  <c r="E195" i="97"/>
  <c r="B163" i="97"/>
  <c r="D163" i="97"/>
  <c r="I2556" i="23"/>
  <c r="A2556" i="23" s="1"/>
  <c r="I2558" i="23"/>
  <c r="A2558" i="23" s="1"/>
  <c r="I2559" i="23"/>
  <c r="A2559" i="23" s="1"/>
  <c r="I2560" i="23"/>
  <c r="A2560" i="23" s="1"/>
  <c r="I2561" i="23"/>
  <c r="I170" i="97" s="1"/>
  <c r="I2562" i="23"/>
  <c r="I171" i="97" s="1"/>
  <c r="I2563" i="23"/>
  <c r="A2563" i="23" s="1"/>
  <c r="I2564" i="23"/>
  <c r="A2564" i="23" s="1"/>
  <c r="I2565" i="23"/>
  <c r="A2565" i="23" s="1"/>
  <c r="I2566" i="23"/>
  <c r="A2566" i="23" s="1"/>
  <c r="I2570" i="23"/>
  <c r="A2570" i="23" s="1"/>
  <c r="I2574" i="23"/>
  <c r="A2574" i="23" s="1"/>
  <c r="I2582" i="23"/>
  <c r="A2582" i="23" s="1"/>
  <c r="I2588" i="23"/>
  <c r="A2588" i="23" s="1"/>
  <c r="I2595" i="23"/>
  <c r="A2595" i="23" s="1"/>
  <c r="I2596" i="23"/>
  <c r="A2596" i="23" s="1"/>
  <c r="I2597" i="23"/>
  <c r="A2597" i="23" s="1"/>
  <c r="I2598" i="23"/>
  <c r="A2598" i="23" s="1"/>
  <c r="I2604" i="23"/>
  <c r="A2604" i="23" s="1"/>
  <c r="I2609" i="23"/>
  <c r="A2609" i="23" s="1"/>
  <c r="I2610" i="23"/>
  <c r="A2610" i="23" s="1"/>
  <c r="I2613" i="23"/>
  <c r="A2613" i="23" s="1"/>
  <c r="I2618" i="23"/>
  <c r="I2626" i="23"/>
  <c r="A2626" i="23" s="1"/>
  <c r="I2630" i="23"/>
  <c r="A2630" i="23" s="1"/>
  <c r="I2631" i="23"/>
  <c r="A2631" i="23" s="1"/>
  <c r="I2640" i="23"/>
  <c r="A2640" i="23" s="1"/>
  <c r="I2641" i="23"/>
  <c r="A2641" i="23" s="1"/>
  <c r="I2649" i="23"/>
  <c r="A2649" i="23" s="1"/>
  <c r="I2650" i="23"/>
  <c r="A2650" i="23" s="1"/>
  <c r="I2664" i="23"/>
  <c r="A2664" i="23" s="1"/>
  <c r="I2670" i="23"/>
  <c r="A2670" i="23" s="1"/>
  <c r="I2671" i="23"/>
  <c r="I94" i="97" s="1"/>
  <c r="I2672" i="23"/>
  <c r="A2672" i="23" s="1"/>
  <c r="I2678" i="23"/>
  <c r="A2678" i="23" s="1"/>
  <c r="I2683" i="23"/>
  <c r="A2683" i="23" s="1"/>
  <c r="I2688" i="23"/>
  <c r="A2688" i="23" s="1"/>
  <c r="I2689" i="23"/>
  <c r="A2689" i="23" s="1"/>
  <c r="I2695" i="23"/>
  <c r="A2695" i="23" s="1"/>
  <c r="I2696" i="23"/>
  <c r="A2696" i="23" s="1"/>
  <c r="I2698" i="23"/>
  <c r="I178" i="97" s="1"/>
  <c r="I2699" i="23"/>
  <c r="I177" i="97" s="1"/>
  <c r="I2700" i="23"/>
  <c r="I150" i="97" s="1"/>
  <c r="I2701" i="23"/>
  <c r="I135" i="97" s="1"/>
  <c r="I2702" i="23"/>
  <c r="A2702" i="23" s="1"/>
  <c r="I2704" i="23"/>
  <c r="A2704" i="23" s="1"/>
  <c r="I2705" i="23"/>
  <c r="A2705" i="23" s="1"/>
  <c r="I2720" i="23"/>
  <c r="I194" i="97" s="1"/>
  <c r="I2721" i="23"/>
  <c r="I2723" i="23"/>
  <c r="A2723" i="23" s="1"/>
  <c r="I2724" i="23"/>
  <c r="I36" i="97" s="1"/>
  <c r="I2725" i="23"/>
  <c r="I123" i="97" s="1"/>
  <c r="I2727" i="23"/>
  <c r="A2727" i="23" s="1"/>
  <c r="I2728" i="23"/>
  <c r="I106" i="97" s="1"/>
  <c r="I2737" i="23"/>
  <c r="I67" i="97" s="1"/>
  <c r="I2741" i="23"/>
  <c r="A2741" i="23" s="1"/>
  <c r="I2742" i="23"/>
  <c r="A2742" i="23" s="1"/>
  <c r="I2551" i="23"/>
  <c r="A2551" i="23" s="1"/>
  <c r="A2743" i="23"/>
  <c r="A2728" i="23"/>
  <c r="A2721" i="23"/>
  <c r="A2549" i="23"/>
  <c r="A938" i="23"/>
  <c r="A351" i="23"/>
  <c r="A193" i="23"/>
  <c r="H2740" i="23"/>
  <c r="H99" i="97" s="1"/>
  <c r="H2739" i="23"/>
  <c r="H93" i="97" s="1"/>
  <c r="H2738" i="23"/>
  <c r="H122" i="97" s="1"/>
  <c r="H2736" i="23"/>
  <c r="I2736" i="23" s="1"/>
  <c r="H2735" i="23"/>
  <c r="I2735" i="23" s="1"/>
  <c r="H2734" i="23"/>
  <c r="H58" i="97" s="1"/>
  <c r="H2733" i="23"/>
  <c r="H91" i="97" s="1"/>
  <c r="H2732" i="23"/>
  <c r="H83" i="97" s="1"/>
  <c r="H2731" i="23"/>
  <c r="H82" i="97" s="1"/>
  <c r="H2730" i="23"/>
  <c r="H68" i="97" s="1"/>
  <c r="H2729" i="23"/>
  <c r="I2729" i="23" s="1"/>
  <c r="H2726" i="23"/>
  <c r="H26" i="97" s="1"/>
  <c r="H2722" i="23"/>
  <c r="H12" i="97" s="1"/>
  <c r="H2693" i="23"/>
  <c r="H2692" i="23" s="1"/>
  <c r="I2692" i="23" s="1"/>
  <c r="A2692" i="23" s="1"/>
  <c r="H2673" i="23"/>
  <c r="H2675" i="23" s="1"/>
  <c r="H153" i="97" s="1"/>
  <c r="H2669" i="23"/>
  <c r="H22" i="97" s="1"/>
  <c r="H2662" i="23"/>
  <c r="I2662" i="23" s="1"/>
  <c r="A2662" i="23" s="1"/>
  <c r="H2657" i="23"/>
  <c r="I2657" i="23" s="1"/>
  <c r="A2657" i="23" s="1"/>
  <c r="H2656" i="23"/>
  <c r="I2656" i="23" s="1"/>
  <c r="A2656" i="23" s="1"/>
  <c r="H2655" i="23"/>
  <c r="I2655" i="23" s="1"/>
  <c r="A2655" i="23" s="1"/>
  <c r="H2654" i="23"/>
  <c r="I2654" i="23" s="1"/>
  <c r="A2654" i="23" s="1"/>
  <c r="H2653" i="23"/>
  <c r="H2661" i="23" s="1"/>
  <c r="I2661" i="23" s="1"/>
  <c r="A2661" i="23" s="1"/>
  <c r="H2651" i="23"/>
  <c r="I2651" i="23" s="1"/>
  <c r="A2651" i="23" s="1"/>
  <c r="H2648" i="23"/>
  <c r="I2648" i="23" s="1"/>
  <c r="A2648" i="23" s="1"/>
  <c r="H2646" i="23"/>
  <c r="I2646" i="23" s="1"/>
  <c r="A2646" i="23" s="1"/>
  <c r="H2645" i="23"/>
  <c r="I2645" i="23" s="1"/>
  <c r="A2645" i="23" s="1"/>
  <c r="H2644" i="23"/>
  <c r="I2644" i="23" s="1"/>
  <c r="A2644" i="23" s="1"/>
  <c r="H2643" i="23"/>
  <c r="I2643" i="23" s="1"/>
  <c r="A2643" i="23" s="1"/>
  <c r="H2642" i="23"/>
  <c r="I2642" i="23" s="1"/>
  <c r="A2642" i="23" s="1"/>
  <c r="H2639" i="23"/>
  <c r="I2639" i="23" s="1"/>
  <c r="A2639" i="23" s="1"/>
  <c r="H2638" i="23"/>
  <c r="I2638" i="23" s="1"/>
  <c r="A2638" i="23" s="1"/>
  <c r="H2636" i="23"/>
  <c r="I2636" i="23" s="1"/>
  <c r="A2636" i="23" s="1"/>
  <c r="H2635" i="23"/>
  <c r="I2635" i="23" s="1"/>
  <c r="A2635" i="23" s="1"/>
  <c r="H2634" i="23"/>
  <c r="I2634" i="23" s="1"/>
  <c r="A2634" i="23" s="1"/>
  <c r="H2633" i="23"/>
  <c r="I2633" i="23" s="1"/>
  <c r="A2633" i="23" s="1"/>
  <c r="H2632" i="23"/>
  <c r="H2602" i="23"/>
  <c r="I2602" i="23" s="1"/>
  <c r="H2601" i="23"/>
  <c r="I2601" i="23" s="1"/>
  <c r="H2600" i="23"/>
  <c r="H51" i="97" s="1"/>
  <c r="H2599" i="23"/>
  <c r="I2599" i="23" s="1"/>
  <c r="H2586" i="23"/>
  <c r="I2586" i="23" s="1"/>
  <c r="A2586" i="23" s="1"/>
  <c r="H2583" i="23"/>
  <c r="H2585" i="23" s="1"/>
  <c r="I2585" i="23" s="1"/>
  <c r="A2585" i="23" s="1"/>
  <c r="D2582" i="23"/>
  <c r="H2581" i="23"/>
  <c r="I2581" i="23" s="1"/>
  <c r="A2581" i="23" s="1"/>
  <c r="H2580" i="23"/>
  <c r="I2580" i="23" s="1"/>
  <c r="A2580" i="23" s="1"/>
  <c r="H2579" i="23"/>
  <c r="I2579" i="23" s="1"/>
  <c r="A2579" i="23" s="1"/>
  <c r="H2578" i="23"/>
  <c r="I2578" i="23" s="1"/>
  <c r="A2578" i="23" s="1"/>
  <c r="H2577" i="23"/>
  <c r="I2577" i="23" s="1"/>
  <c r="A2577" i="23" s="1"/>
  <c r="H2576" i="23"/>
  <c r="I2576" i="23" s="1"/>
  <c r="A2576" i="23" s="1"/>
  <c r="H2575" i="23"/>
  <c r="I2575" i="23" s="1"/>
  <c r="A2575" i="23" s="1"/>
  <c r="H2571" i="23"/>
  <c r="H2572" i="23" s="1"/>
  <c r="I2572" i="23" s="1"/>
  <c r="A2572" i="23" s="1"/>
  <c r="D2570" i="23"/>
  <c r="H2567" i="23"/>
  <c r="H2569" i="23" s="1"/>
  <c r="I2569" i="23" s="1"/>
  <c r="A2569" i="23" s="1"/>
  <c r="D2566" i="23"/>
  <c r="D2574" i="23" s="1"/>
  <c r="H2612" i="23"/>
  <c r="B2769" i="23"/>
  <c r="B2770" i="23"/>
  <c r="H2746" i="23"/>
  <c r="D2746" i="23" s="1"/>
  <c r="F2762" i="23"/>
  <c r="G2762" i="23"/>
  <c r="E2767" i="23"/>
  <c r="F2767" i="23"/>
  <c r="G2767" i="23"/>
  <c r="F2768" i="23"/>
  <c r="G2768" i="23"/>
  <c r="H2771" i="23"/>
  <c r="H2774" i="23" s="1"/>
  <c r="E2776" i="23"/>
  <c r="F2776" i="23"/>
  <c r="G2776" i="23"/>
  <c r="E2777" i="23"/>
  <c r="F2777" i="23"/>
  <c r="G2777"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M3480" i="129"/>
  <c r="O3480" i="129"/>
  <c r="N3480" i="129"/>
  <c r="G3480" i="129"/>
  <c r="A3480" i="129" s="1"/>
  <c r="L3479" i="129"/>
  <c r="G3479" i="129"/>
  <c r="O3479" i="129" s="1"/>
  <c r="O3478" i="129"/>
  <c r="N3478" i="129"/>
  <c r="L3478" i="129"/>
  <c r="G3478" i="129"/>
  <c r="A3478" i="129" s="1"/>
  <c r="L3477" i="129"/>
  <c r="O3477" i="129"/>
  <c r="G3477" i="129"/>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L3333" i="129"/>
  <c r="G3333" i="129"/>
  <c r="O3329" i="129"/>
  <c r="L3329" i="129"/>
  <c r="G3329" i="129"/>
  <c r="A3329" i="129" s="1"/>
  <c r="G3327" i="129"/>
  <c r="G3326" i="129"/>
  <c r="O3325" i="129"/>
  <c r="L3325" i="129"/>
  <c r="G3325" i="129"/>
  <c r="G3332" i="129" s="1"/>
  <c r="G3324" i="129"/>
  <c r="A3322" i="129"/>
  <c r="A3323" i="129" s="1"/>
  <c r="N3321" i="129"/>
  <c r="G3321" i="129"/>
  <c r="G3319" i="129"/>
  <c r="M3319" i="129" s="1"/>
  <c r="N3318" i="129"/>
  <c r="G3318" i="129"/>
  <c r="G3320" i="129" s="1"/>
  <c r="L3317" i="129"/>
  <c r="G3317" i="129"/>
  <c r="A3317" i="129"/>
  <c r="G3316" i="129"/>
  <c r="G3315" i="129"/>
  <c r="M3315" i="129" s="1"/>
  <c r="O3314" i="129"/>
  <c r="N3314" i="129"/>
  <c r="M3314" i="129"/>
  <c r="L3314" i="129"/>
  <c r="O3313" i="129"/>
  <c r="N3313" i="129"/>
  <c r="M3313" i="129"/>
  <c r="L3313" i="129"/>
  <c r="A3313" i="129"/>
  <c r="A3314" i="129" s="1"/>
  <c r="O3312" i="129"/>
  <c r="N3312" i="129"/>
  <c r="L3312" i="129"/>
  <c r="G3312" i="129"/>
  <c r="G3311" i="129"/>
  <c r="G3309" i="129"/>
  <c r="M3309" i="129" s="1"/>
  <c r="G3308" i="129"/>
  <c r="M3307" i="129"/>
  <c r="O3307" i="129"/>
  <c r="L3307"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A3264" i="129"/>
  <c r="O3263" i="129"/>
  <c r="N3263" i="129"/>
  <c r="M3263" i="129"/>
  <c r="L3263" i="129"/>
  <c r="A3263" i="129"/>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N3169" i="129"/>
  <c r="G3169" i="129"/>
  <c r="O3169" i="129" s="1"/>
  <c r="A3169" i="129"/>
  <c r="M3167" i="129"/>
  <c r="O3167" i="129"/>
  <c r="N3167" i="129"/>
  <c r="G3167" i="129"/>
  <c r="L3167" i="129" s="1"/>
  <c r="A3167" i="129"/>
  <c r="G3166" i="129"/>
  <c r="A3166" i="129" s="1"/>
  <c r="O3165" i="129"/>
  <c r="M3165" i="129"/>
  <c r="L3165" i="129"/>
  <c r="N3165" i="129"/>
  <c r="G3165" i="129"/>
  <c r="A3165" i="129" s="1"/>
  <c r="O3164" i="129"/>
  <c r="L3164" i="129"/>
  <c r="G3164" i="129"/>
  <c r="G3163" i="129"/>
  <c r="A3163" i="129" s="1"/>
  <c r="O3162" i="129"/>
  <c r="N3162" i="129"/>
  <c r="M3162" i="129"/>
  <c r="L3162" i="129"/>
  <c r="O3161" i="129"/>
  <c r="N3161" i="129"/>
  <c r="M3161" i="129"/>
  <c r="L3161" i="129"/>
  <c r="A3161" i="129"/>
  <c r="A3162" i="129" s="1"/>
  <c r="O3160" i="129"/>
  <c r="G3160" i="129"/>
  <c r="N3160" i="129" s="1"/>
  <c r="G3159" i="129"/>
  <c r="A3159" i="129" s="1"/>
  <c r="G3157" i="129"/>
  <c r="L3157" i="129" s="1"/>
  <c r="N3156" i="129"/>
  <c r="G3156" i="129"/>
  <c r="M3156" i="129" s="1"/>
  <c r="G3155" i="129"/>
  <c r="L3154" i="129"/>
  <c r="G3154" i="129"/>
  <c r="N3154" i="129" s="1"/>
  <c r="M3153" i="129"/>
  <c r="L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N3116" i="129"/>
  <c r="G3116" i="129"/>
  <c r="O3116" i="129" s="1"/>
  <c r="A3116" i="129"/>
  <c r="M3115" i="129"/>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N3023" i="129"/>
  <c r="G3023" i="129"/>
  <c r="M3023" i="129" s="1"/>
  <c r="G3022" i="129"/>
  <c r="M3022" i="129" s="1"/>
  <c r="G3021" i="129"/>
  <c r="M3021" i="129" s="1"/>
  <c r="G3020" i="129"/>
  <c r="M3020" i="129" s="1"/>
  <c r="A3019" i="129"/>
  <c r="A3018" i="129"/>
  <c r="G3017" i="129"/>
  <c r="O3017" i="129" s="1"/>
  <c r="G3015" i="129"/>
  <c r="A3015" i="129" s="1"/>
  <c r="L3014" i="129"/>
  <c r="G3014" i="129"/>
  <c r="G3016" i="129" s="1"/>
  <c r="A3016" i="129" s="1"/>
  <c r="G3013" i="129"/>
  <c r="G3012" i="129"/>
  <c r="A3012" i="129" s="1"/>
  <c r="L3011" i="129"/>
  <c r="G3011" i="129"/>
  <c r="A3011" i="129" s="1"/>
  <c r="O3010" i="129"/>
  <c r="N3010" i="129"/>
  <c r="M3010" i="129"/>
  <c r="L3010" i="129"/>
  <c r="O3009" i="129"/>
  <c r="N3009" i="129"/>
  <c r="M3009" i="129"/>
  <c r="L3009" i="129"/>
  <c r="A3009" i="129"/>
  <c r="A3010" i="129" s="1"/>
  <c r="G3008" i="129"/>
  <c r="N3007" i="129"/>
  <c r="M3007" i="129"/>
  <c r="G3007" i="129"/>
  <c r="O3007" i="129" s="1"/>
  <c r="A3007" i="129"/>
  <c r="G3005" i="129"/>
  <c r="G3004" i="129"/>
  <c r="M3004" i="129" s="1"/>
  <c r="O3003" i="129"/>
  <c r="N3003" i="129"/>
  <c r="G3003" i="129"/>
  <c r="M3003" i="129" s="1"/>
  <c r="N3002" i="129"/>
  <c r="G3002" i="129"/>
  <c r="L3002" i="129" s="1"/>
  <c r="G3001" i="129"/>
  <c r="O3000" i="129"/>
  <c r="N3000" i="129"/>
  <c r="M3000" i="129"/>
  <c r="L3000" i="129"/>
  <c r="O2999" i="129"/>
  <c r="N2999" i="129"/>
  <c r="M2999" i="129"/>
  <c r="L2999" i="129"/>
  <c r="A2999" i="129"/>
  <c r="A3000" i="129" s="1"/>
  <c r="G2997" i="129"/>
  <c r="M2997" i="129" s="1"/>
  <c r="O2996" i="129"/>
  <c r="N2996" i="129"/>
  <c r="M2996" i="129"/>
  <c r="L2996" i="129"/>
  <c r="O2995" i="129"/>
  <c r="N2995" i="129"/>
  <c r="M2995" i="129"/>
  <c r="L2995" i="129"/>
  <c r="G2995" i="129"/>
  <c r="O2983" i="129"/>
  <c r="N2983" i="129"/>
  <c r="M2983" i="129"/>
  <c r="L2983" i="129"/>
  <c r="G2982" i="129"/>
  <c r="O2975" i="129"/>
  <c r="N2975" i="129"/>
  <c r="M2975" i="129"/>
  <c r="L2975" i="129"/>
  <c r="G2974" i="129"/>
  <c r="O2967" i="129"/>
  <c r="N2967" i="129"/>
  <c r="M2967" i="129"/>
  <c r="L2967" i="129"/>
  <c r="G2966" i="129"/>
  <c r="L2966" i="129" s="1"/>
  <c r="G2965" i="129"/>
  <c r="L2965" i="129" s="1"/>
  <c r="O2963" i="129"/>
  <c r="L2963" i="129"/>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6" i="129"/>
  <c r="G2945" i="129"/>
  <c r="C2945" i="129" s="1"/>
  <c r="M2942" i="129"/>
  <c r="G2942" i="129"/>
  <c r="G3054" i="129" s="1"/>
  <c r="A2942" i="129"/>
  <c r="G2940" i="129"/>
  <c r="G2939" i="129"/>
  <c r="O2938" i="129"/>
  <c r="G2938" i="129"/>
  <c r="N2938" i="129" s="1"/>
  <c r="G2937" i="129"/>
  <c r="A2937" i="129"/>
  <c r="G2935" i="129"/>
  <c r="A2935" i="129" s="1"/>
  <c r="N2934" i="129"/>
  <c r="G2934" i="129"/>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L2827" i="129"/>
  <c r="G2827" i="129"/>
  <c r="A2827" i="129" s="1"/>
  <c r="G2825" i="129"/>
  <c r="O2825" i="129" s="1"/>
  <c r="G2824" i="129"/>
  <c r="G2823" i="129"/>
  <c r="O2822" i="129"/>
  <c r="N2822" i="129"/>
  <c r="M2822" i="129"/>
  <c r="L2822" i="129"/>
  <c r="A2822" i="129"/>
  <c r="O2821" i="129"/>
  <c r="N2821" i="129"/>
  <c r="M2821" i="129"/>
  <c r="L2821" i="129"/>
  <c r="A2821" i="129"/>
  <c r="M2785" i="129"/>
  <c r="L2785" i="129"/>
  <c r="O2785" i="129"/>
  <c r="N2785" i="129"/>
  <c r="A2785" i="129"/>
  <c r="M2784" i="129"/>
  <c r="O2784" i="129"/>
  <c r="N2784" i="129"/>
  <c r="L2784" i="129"/>
  <c r="A2784" i="129"/>
  <c r="G2783" i="129"/>
  <c r="O2782" i="129"/>
  <c r="N2782" i="129"/>
  <c r="G2782" i="129"/>
  <c r="M2782" i="129" s="1"/>
  <c r="G2781" i="129"/>
  <c r="M2780" i="129"/>
  <c r="O2780" i="129"/>
  <c r="N2780" i="129"/>
  <c r="L2780" i="129"/>
  <c r="A2780" i="129"/>
  <c r="G2779" i="129"/>
  <c r="A2779" i="129" s="1"/>
  <c r="G2778" i="129"/>
  <c r="G2777" i="129"/>
  <c r="M2777" i="129" s="1"/>
  <c r="G2776" i="129"/>
  <c r="M2775" i="129"/>
  <c r="O2775" i="129"/>
  <c r="N2775" i="129"/>
  <c r="L2775" i="129"/>
  <c r="G2775" i="129"/>
  <c r="A2775" i="129"/>
  <c r="G2774" i="129"/>
  <c r="A2774" i="129" s="1"/>
  <c r="M2773" i="129"/>
  <c r="N2773" i="129"/>
  <c r="L2773" i="129"/>
  <c r="G2773" i="129"/>
  <c r="O2773" i="129" s="1"/>
  <c r="M2771" i="129"/>
  <c r="O2771" i="129"/>
  <c r="N2771" i="129"/>
  <c r="L2771" i="129"/>
  <c r="A2771" i="129"/>
  <c r="O2770" i="129"/>
  <c r="N2770" i="129"/>
  <c r="M2770" i="129"/>
  <c r="L2770" i="129"/>
  <c r="A2770" i="129"/>
  <c r="G2769" i="129"/>
  <c r="M2769" i="129" s="1"/>
  <c r="A2769" i="129"/>
  <c r="N2768" i="129"/>
  <c r="M2768" i="129"/>
  <c r="L2768" i="129"/>
  <c r="O2768" i="129"/>
  <c r="A2768" i="129"/>
  <c r="M2767" i="129"/>
  <c r="L2767" i="129"/>
  <c r="O2767" i="129"/>
  <c r="N2767" i="129"/>
  <c r="A2767" i="129"/>
  <c r="M2766" i="129"/>
  <c r="O2766" i="129"/>
  <c r="N2766" i="129"/>
  <c r="L2766" i="129"/>
  <c r="A2766" i="129"/>
  <c r="G2765" i="129"/>
  <c r="M2765" i="129" s="1"/>
  <c r="A2764" i="129"/>
  <c r="A2763" i="129"/>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8" i="129"/>
  <c r="L2716" i="129"/>
  <c r="G2716" i="129"/>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M2698" i="129"/>
  <c r="O2698" i="129"/>
  <c r="G2698" i="129"/>
  <c r="A2698" i="129" s="1"/>
  <c r="G2697" i="129"/>
  <c r="G2696" i="129"/>
  <c r="A2696" i="129" s="1"/>
  <c r="G2694" i="129"/>
  <c r="A2692" i="129"/>
  <c r="A2693" i="129" s="1"/>
  <c r="G2691" i="129"/>
  <c r="O2691" i="129" s="1"/>
  <c r="G2689" i="129"/>
  <c r="A2689" i="129" s="1"/>
  <c r="G2688" i="129"/>
  <c r="A2688" i="129"/>
  <c r="G2687" i="129"/>
  <c r="N2687" i="129" s="1"/>
  <c r="G2686" i="129"/>
  <c r="L2686" i="129" s="1"/>
  <c r="G2685" i="129"/>
  <c r="O2684" i="129"/>
  <c r="N2684" i="129"/>
  <c r="M2684" i="129"/>
  <c r="L2684" i="129"/>
  <c r="O2683" i="129"/>
  <c r="N2683" i="129"/>
  <c r="M2683" i="129"/>
  <c r="L2683" i="129"/>
  <c r="A2683" i="129"/>
  <c r="A2684" i="129" s="1"/>
  <c r="L2682" i="129"/>
  <c r="N2682" i="129"/>
  <c r="G2682" i="129"/>
  <c r="O2682" i="129" s="1"/>
  <c r="G2681" i="129"/>
  <c r="G2679" i="129"/>
  <c r="O2678" i="129"/>
  <c r="M2678" i="129"/>
  <c r="N2678" i="129"/>
  <c r="G2678" i="129"/>
  <c r="L2678" i="129" s="1"/>
  <c r="G2677" i="129"/>
  <c r="G2676" i="129"/>
  <c r="A2676" i="129" s="1"/>
  <c r="M2675" i="129"/>
  <c r="G2675" i="129"/>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L2645" i="129"/>
  <c r="G2645" i="129"/>
  <c r="N2645" i="129" s="1"/>
  <c r="A2645" i="129"/>
  <c r="G2644" i="129"/>
  <c r="O2644" i="129" s="1"/>
  <c r="G2643" i="129"/>
  <c r="A2643" i="129" s="1"/>
  <c r="L2642" i="129"/>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8" i="129"/>
  <c r="A2628" i="129" s="1"/>
  <c r="G2627" i="129"/>
  <c r="M2627" i="129" s="1"/>
  <c r="G2626" i="129"/>
  <c r="L2626" i="129" s="1"/>
  <c r="C2625" i="129"/>
  <c r="A2625" i="129"/>
  <c r="G2624" i="129"/>
  <c r="M2623" i="129"/>
  <c r="N2623" i="129"/>
  <c r="G2623" i="129"/>
  <c r="O2623" i="129" s="1"/>
  <c r="G2622" i="129"/>
  <c r="N2621" i="129"/>
  <c r="G2621" i="129"/>
  <c r="M2621" i="129" s="1"/>
  <c r="G2620" i="129"/>
  <c r="O2620" i="129" s="1"/>
  <c r="M2619" i="129"/>
  <c r="N2619" i="129"/>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M2530" i="129"/>
  <c r="O2530" i="129"/>
  <c r="G2530" i="129"/>
  <c r="A2530" i="129" s="1"/>
  <c r="O2525" i="129"/>
  <c r="G2525" i="129"/>
  <c r="A2525" i="129" s="1"/>
  <c r="G2524" i="129"/>
  <c r="O2523" i="129"/>
  <c r="N2523" i="129"/>
  <c r="G2523" i="129"/>
  <c r="A2523" i="129" s="1"/>
  <c r="G2522" i="129"/>
  <c r="L2521"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N2506" i="129"/>
  <c r="G2506" i="129"/>
  <c r="M2504" i="129"/>
  <c r="L2504" i="129"/>
  <c r="G2504" i="129"/>
  <c r="A2504" i="129" s="1"/>
  <c r="G2503" i="129"/>
  <c r="A2503" i="129" s="1"/>
  <c r="G2502" i="129"/>
  <c r="M2502" i="129" s="1"/>
  <c r="A2502" i="129"/>
  <c r="L2501" i="129"/>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G2490" i="129"/>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A2466" i="129"/>
  <c r="O2465" i="129"/>
  <c r="N2465" i="129"/>
  <c r="M2465" i="129"/>
  <c r="L2465" i="129"/>
  <c r="A2465" i="129"/>
  <c r="G2464" i="129"/>
  <c r="A2464" i="129"/>
  <c r="G2463" i="129"/>
  <c r="O2463" i="129" s="1"/>
  <c r="N2462" i="129"/>
  <c r="G2462" i="129"/>
  <c r="L2462" i="129" s="1"/>
  <c r="A2462" i="129"/>
  <c r="L2461" i="129"/>
  <c r="G2461" i="129"/>
  <c r="N2461" i="129" s="1"/>
  <c r="A2461" i="129"/>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A2447" i="129"/>
  <c r="O2446" i="129"/>
  <c r="N2446" i="129"/>
  <c r="M2446" i="129"/>
  <c r="L2446" i="129"/>
  <c r="A2446" i="129"/>
  <c r="O2441" i="129"/>
  <c r="N2441" i="129"/>
  <c r="M2441" i="129"/>
  <c r="L2441" i="129"/>
  <c r="O2434" i="129"/>
  <c r="N2434" i="129"/>
  <c r="M2434" i="129"/>
  <c r="L2434" i="129"/>
  <c r="M2432" i="129"/>
  <c r="O2432" i="129"/>
  <c r="N2432" i="129"/>
  <c r="L2432" i="129"/>
  <c r="A2432" i="129"/>
  <c r="G2422" i="129"/>
  <c r="A2422" i="129" s="1"/>
  <c r="G2419" i="129"/>
  <c r="C2418" i="129"/>
  <c r="A2418" i="129"/>
  <c r="N2417" i="129"/>
  <c r="G2417" i="129"/>
  <c r="M2417" i="129" s="1"/>
  <c r="L2417" i="129"/>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A2075" i="129"/>
  <c r="G2072" i="129"/>
  <c r="C2071" i="129"/>
  <c r="A2071" i="129"/>
  <c r="G2068" i="129"/>
  <c r="A2068" i="129" s="1"/>
  <c r="M2067" i="129"/>
  <c r="O2067" i="129"/>
  <c r="G2067" i="129"/>
  <c r="N2067" i="129" s="1"/>
  <c r="G2066" i="129"/>
  <c r="L2066" i="129" s="1"/>
  <c r="G2065" i="129"/>
  <c r="N2065" i="129" s="1"/>
  <c r="G2064" i="129"/>
  <c r="O2063" i="129"/>
  <c r="G2063" i="129"/>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C1902" i="129" s="1"/>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A1857" i="129"/>
  <c r="O1856" i="129"/>
  <c r="N1856" i="129"/>
  <c r="M1856" i="129"/>
  <c r="L1856" i="129"/>
  <c r="A1856" i="129"/>
  <c r="G1854" i="129"/>
  <c r="N1854" i="129" s="1"/>
  <c r="G1851" i="129"/>
  <c r="M1851" i="129" s="1"/>
  <c r="L1850" i="129"/>
  <c r="G1850" i="129"/>
  <c r="M1850" i="129" s="1"/>
  <c r="G1849" i="129"/>
  <c r="G1852" i="129" s="1"/>
  <c r="N1848" i="129"/>
  <c r="G1848" i="129"/>
  <c r="A1848" i="129"/>
  <c r="G1847" i="129"/>
  <c r="M1846" i="129"/>
  <c r="L1846" i="129"/>
  <c r="O1846" i="129"/>
  <c r="N1846" i="129"/>
  <c r="A1846" i="129"/>
  <c r="G1845" i="129"/>
  <c r="O1845" i="129" s="1"/>
  <c r="A1844" i="129"/>
  <c r="O1843" i="129"/>
  <c r="N1843" i="129"/>
  <c r="M1843" i="129"/>
  <c r="L1843" i="129"/>
  <c r="A1843" i="129"/>
  <c r="O1842" i="129"/>
  <c r="N1842" i="129"/>
  <c r="M1842" i="129"/>
  <c r="L1842" i="129"/>
  <c r="A1842" i="129"/>
  <c r="N1841" i="129"/>
  <c r="M1841" i="129"/>
  <c r="O1841" i="129"/>
  <c r="L1841" i="129"/>
  <c r="A1841" i="129"/>
  <c r="M1840" i="129"/>
  <c r="L1840" i="129"/>
  <c r="O1840" i="129"/>
  <c r="N1840" i="129"/>
  <c r="A1840" i="129"/>
  <c r="L1839" i="129"/>
  <c r="G1839" i="129"/>
  <c r="A1839" i="129" s="1"/>
  <c r="M1838" i="129"/>
  <c r="L1838" i="129"/>
  <c r="G1838" i="129"/>
  <c r="G1837" i="129"/>
  <c r="A1837" i="129" s="1"/>
  <c r="L1836" i="129"/>
  <c r="G1836" i="129"/>
  <c r="N1835" i="129"/>
  <c r="G1835" i="129"/>
  <c r="A1835" i="129" s="1"/>
  <c r="G1834" i="129"/>
  <c r="O1834" i="129" s="1"/>
  <c r="A1834" i="129"/>
  <c r="G1833" i="129"/>
  <c r="O1832" i="129"/>
  <c r="G1832" i="129"/>
  <c r="M1832" i="129" s="1"/>
  <c r="G1831" i="129"/>
  <c r="A1831" i="129" s="1"/>
  <c r="G1830" i="129"/>
  <c r="M1830" i="129" s="1"/>
  <c r="G1828" i="129"/>
  <c r="G1829" i="129" s="1"/>
  <c r="G1827" i="129"/>
  <c r="A1827" i="129" s="1"/>
  <c r="O1826" i="129"/>
  <c r="M1826" i="129"/>
  <c r="N1826" i="129"/>
  <c r="L1826" i="129"/>
  <c r="A1826" i="129"/>
  <c r="G1825" i="129"/>
  <c r="O1825" i="129" s="1"/>
  <c r="N1824" i="129"/>
  <c r="M1824" i="129"/>
  <c r="O1824" i="129"/>
  <c r="L1824" i="129"/>
  <c r="A1824" i="129"/>
  <c r="G1823" i="129"/>
  <c r="N1823" i="129" s="1"/>
  <c r="O1822" i="129"/>
  <c r="L1822" i="129"/>
  <c r="G1822" i="129"/>
  <c r="M1822" i="129" s="1"/>
  <c r="G1821" i="129"/>
  <c r="A1819" i="129"/>
  <c r="A1820" i="129" s="1"/>
  <c r="G1813" i="129"/>
  <c r="N1813" i="129" s="1"/>
  <c r="M1812" i="129"/>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O1799" i="129"/>
  <c r="G1799" i="129"/>
  <c r="A1799" i="129"/>
  <c r="G1798" i="129"/>
  <c r="M1798" i="129" s="1"/>
  <c r="O1797" i="129"/>
  <c r="L1797" i="129"/>
  <c r="G1797" i="129"/>
  <c r="M1797" i="129" s="1"/>
  <c r="G1795" i="129"/>
  <c r="A1795" i="129" s="1"/>
  <c r="G1794" i="129"/>
  <c r="M1794" i="129" s="1"/>
  <c r="O1793" i="129"/>
  <c r="L1793" i="129"/>
  <c r="G1793" i="129"/>
  <c r="M1793" i="129" s="1"/>
  <c r="A1793" i="129"/>
  <c r="G1791" i="129"/>
  <c r="M1791" i="129" s="1"/>
  <c r="O1790" i="129"/>
  <c r="G1790" i="129"/>
  <c r="M1790" i="129" s="1"/>
  <c r="L1788" i="129"/>
  <c r="G1788" i="129"/>
  <c r="N1786" i="129"/>
  <c r="G1786" i="129"/>
  <c r="M1786" i="129" s="1"/>
  <c r="A1785" i="129"/>
  <c r="A1784" i="129"/>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L1755" i="129"/>
  <c r="O1755"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A1708" i="129"/>
  <c r="G1707" i="129"/>
  <c r="O1706" i="129"/>
  <c r="N1706" i="129"/>
  <c r="M1706" i="129"/>
  <c r="L1706" i="129"/>
  <c r="A1706" i="129"/>
  <c r="O1705" i="129"/>
  <c r="N1705" i="129"/>
  <c r="M1705" i="129"/>
  <c r="L1705" i="129"/>
  <c r="A1705" i="129"/>
  <c r="G1704" i="129"/>
  <c r="N1704" i="129" s="1"/>
  <c r="G1703" i="129"/>
  <c r="O1702" i="129"/>
  <c r="M1702" i="129"/>
  <c r="L1702" i="129"/>
  <c r="N1702" i="129"/>
  <c r="A1702" i="129"/>
  <c r="M1701" i="129"/>
  <c r="G1701" i="129"/>
  <c r="O1701" i="129" s="1"/>
  <c r="A1701" i="129"/>
  <c r="G1700" i="129"/>
  <c r="O1699" i="129"/>
  <c r="G1699" i="129"/>
  <c r="M1699" i="129" s="1"/>
  <c r="O1698" i="129"/>
  <c r="N1698" i="129"/>
  <c r="M1698" i="129"/>
  <c r="L1698" i="129"/>
  <c r="A1698" i="129"/>
  <c r="O1697" i="129"/>
  <c r="N1697" i="129"/>
  <c r="M1697" i="129"/>
  <c r="L1697" i="129"/>
  <c r="A1697" i="129"/>
  <c r="G1696" i="129"/>
  <c r="A1696" i="129" s="1"/>
  <c r="L1695" i="129"/>
  <c r="N1695" i="129"/>
  <c r="A1695" i="129"/>
  <c r="L1694" i="129"/>
  <c r="N1694" i="129"/>
  <c r="A1694" i="129"/>
  <c r="L1693" i="129"/>
  <c r="N1693"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N1684" i="129"/>
  <c r="L1684" i="129"/>
  <c r="G1684" i="129"/>
  <c r="A1684" i="129"/>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M1675" i="129"/>
  <c r="G1675" i="129"/>
  <c r="A1675" i="129"/>
  <c r="O1674" i="129"/>
  <c r="N1674" i="129"/>
  <c r="M1674" i="129"/>
  <c r="L1674" i="129"/>
  <c r="O1673" i="129"/>
  <c r="N1673" i="129"/>
  <c r="M1673" i="129"/>
  <c r="L1673" i="129"/>
  <c r="A1673" i="129"/>
  <c r="A1674" i="129" s="1"/>
  <c r="M1671" i="129"/>
  <c r="N1671" i="129"/>
  <c r="L1671" i="129"/>
  <c r="G1671" i="129"/>
  <c r="G1670" i="129"/>
  <c r="M1670" i="129" s="1"/>
  <c r="G1669" i="129"/>
  <c r="O1669" i="129" s="1"/>
  <c r="L1668" i="129"/>
  <c r="G1668" i="129"/>
  <c r="M1668" i="129" s="1"/>
  <c r="A1668" i="129"/>
  <c r="M1667" i="129"/>
  <c r="O1667" i="129"/>
  <c r="G1667" i="129"/>
  <c r="L1667" i="129" s="1"/>
  <c r="Q1667" i="129" s="1"/>
  <c r="A1667" i="129"/>
  <c r="G1666" i="129"/>
  <c r="A1666" i="129" s="1"/>
  <c r="A1664" i="129"/>
  <c r="A1665" i="129" s="1"/>
  <c r="G1654" i="129"/>
  <c r="C1654" i="129" s="1"/>
  <c r="C1664" i="129" s="1"/>
  <c r="C1673" i="129" s="1"/>
  <c r="C1680" i="129" s="1"/>
  <c r="C1688" i="129" s="1"/>
  <c r="C1697" i="129" s="1"/>
  <c r="C1705" i="129" s="1"/>
  <c r="C1711" i="129" s="1"/>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G1075" i="129"/>
  <c r="M1075" i="129" s="1"/>
  <c r="O1068" i="129"/>
  <c r="N1068" i="129"/>
  <c r="M1068" i="129"/>
  <c r="L1068" i="129"/>
  <c r="A1062" i="129"/>
  <c r="G1061" i="129"/>
  <c r="G1065" i="129" s="1"/>
  <c r="C1061" i="129"/>
  <c r="A1061" i="129"/>
  <c r="G1059" i="129"/>
  <c r="L1059" i="129" s="1"/>
  <c r="O1056" i="129"/>
  <c r="N1056" i="129"/>
  <c r="M1056" i="129"/>
  <c r="L1056" i="129"/>
  <c r="G1055" i="129"/>
  <c r="G1050" i="129"/>
  <c r="O1042" i="129"/>
  <c r="N1042" i="129"/>
  <c r="M1042" i="129"/>
  <c r="L1042" i="129"/>
  <c r="G1041" i="129"/>
  <c r="G1049" i="129" s="1"/>
  <c r="M1036" i="129"/>
  <c r="G1036" i="129"/>
  <c r="A1036" i="129" s="1"/>
  <c r="O1033" i="129"/>
  <c r="N1033" i="129"/>
  <c r="M1033" i="129"/>
  <c r="L1033" i="129"/>
  <c r="M1032" i="129"/>
  <c r="L1032" i="129"/>
  <c r="G1032" i="129"/>
  <c r="O1027" i="129"/>
  <c r="N1027" i="129"/>
  <c r="M1027" i="129"/>
  <c r="L1027" i="129"/>
  <c r="G1026" i="129"/>
  <c r="N1026" i="129" s="1"/>
  <c r="O1023" i="129"/>
  <c r="G1023" i="129"/>
  <c r="N1023" i="129" s="1"/>
  <c r="O1022" i="129"/>
  <c r="N1022" i="129"/>
  <c r="M1022" i="129"/>
  <c r="L1022" i="129"/>
  <c r="O1021" i="129"/>
  <c r="N1021" i="129"/>
  <c r="M1021" i="129"/>
  <c r="L1021" i="129"/>
  <c r="A1021" i="129"/>
  <c r="A1022" i="129" s="1"/>
  <c r="G1020" i="129"/>
  <c r="M1020" i="129" s="1"/>
  <c r="G1018" i="129"/>
  <c r="M1018" i="129" s="1"/>
  <c r="G1016" i="129"/>
  <c r="G1067" i="129" s="1"/>
  <c r="C1016" i="129"/>
  <c r="C1021" i="129" s="1"/>
  <c r="C1026" i="129" s="1"/>
  <c r="C1032" i="129" s="1"/>
  <c r="C1041" i="129" s="1"/>
  <c r="G1013" i="129"/>
  <c r="O1013" i="129" s="1"/>
  <c r="O1012" i="129"/>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M1005" i="129"/>
  <c r="G1005" i="129"/>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N925" i="129"/>
  <c r="G925" i="129"/>
  <c r="A925" i="129"/>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O878"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N776" i="129"/>
  <c r="A776" i="129"/>
  <c r="O775" i="129"/>
  <c r="G775" i="129"/>
  <c r="M775" i="129" s="1"/>
  <c r="G774" i="129"/>
  <c r="N774" i="129" s="1"/>
  <c r="N773" i="129"/>
  <c r="G773" i="129"/>
  <c r="O773" i="129" s="1"/>
  <c r="A773" i="129"/>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N702" i="129"/>
  <c r="A702" i="129"/>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N589" i="129"/>
  <c r="G589" i="129"/>
  <c r="M589" i="129" s="1"/>
  <c r="G588" i="129"/>
  <c r="O588" i="129" s="1"/>
  <c r="O587" i="129"/>
  <c r="N587" i="129"/>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M53" i="129"/>
  <c r="N53" i="129"/>
  <c r="G53" i="129"/>
  <c r="O53" i="129" s="1"/>
  <c r="N52" i="129"/>
  <c r="M52" i="129"/>
  <c r="L52" i="129"/>
  <c r="G52" i="129"/>
  <c r="O52" i="129" s="1"/>
  <c r="O51" i="129"/>
  <c r="N51" i="129"/>
  <c r="M51" i="129"/>
  <c r="L51" i="129"/>
  <c r="O50" i="129"/>
  <c r="N50" i="129"/>
  <c r="M50" i="129"/>
  <c r="L50" i="129"/>
  <c r="G49" i="129"/>
  <c r="O49" i="129" s="1"/>
  <c r="O47" i="129"/>
  <c r="L47" i="129"/>
  <c r="G47" i="129"/>
  <c r="N47" i="129" s="1"/>
  <c r="O46" i="129"/>
  <c r="N46" i="129"/>
  <c r="M46" i="129"/>
  <c r="L46" i="129"/>
  <c r="O45" i="129"/>
  <c r="N45" i="129"/>
  <c r="M45" i="129"/>
  <c r="L45" i="129"/>
  <c r="C44" i="129"/>
  <c r="C45" i="129" s="1"/>
  <c r="C50" i="129" s="1"/>
  <c r="B34" i="129"/>
  <c r="G211" i="129"/>
  <c r="B124" i="129"/>
  <c r="G122" i="129"/>
  <c r="H2616" i="23" l="1"/>
  <c r="H2617" i="23"/>
  <c r="H2619" i="23"/>
  <c r="H2620" i="23"/>
  <c r="H2615" i="23" s="1"/>
  <c r="H2621" i="23"/>
  <c r="H2757" i="23"/>
  <c r="H2754" i="23"/>
  <c r="H2752" i="23"/>
  <c r="H2753" i="23" s="1"/>
  <c r="H2748" i="23"/>
  <c r="A2561" i="23"/>
  <c r="I2730" i="23"/>
  <c r="A2730" i="23" s="1"/>
  <c r="I105" i="97"/>
  <c r="H188" i="97"/>
  <c r="A2671" i="23"/>
  <c r="I2733" i="23"/>
  <c r="I91" i="97" s="1"/>
  <c r="H43" i="97"/>
  <c r="I2673" i="23"/>
  <c r="I80" i="97" s="1"/>
  <c r="A2562" i="23"/>
  <c r="A2701" i="23"/>
  <c r="I2612" i="23"/>
  <c r="A2724" i="23"/>
  <c r="I2669" i="23"/>
  <c r="A2669" i="23" s="1"/>
  <c r="I2" i="97"/>
  <c r="I181" i="97"/>
  <c r="H2637" i="23"/>
  <c r="I2637" i="23" s="1"/>
  <c r="A2637" i="23" s="1"/>
  <c r="A2720" i="23"/>
  <c r="H45" i="97"/>
  <c r="A2673" i="23"/>
  <c r="I2739" i="23"/>
  <c r="A2739" i="23" s="1"/>
  <c r="I2600" i="23"/>
  <c r="D36" i="109"/>
  <c r="E38" i="109"/>
  <c r="D38" i="109"/>
  <c r="E37" i="109"/>
  <c r="D37" i="109"/>
  <c r="E36" i="109"/>
  <c r="A2618" i="23"/>
  <c r="I2738" i="23"/>
  <c r="A2698" i="23"/>
  <c r="A2733" i="23"/>
  <c r="I2722" i="23"/>
  <c r="A2722" i="23" s="1"/>
  <c r="I2675" i="23"/>
  <c r="A2675" i="23" s="1"/>
  <c r="I2653" i="23"/>
  <c r="A2653" i="23" s="1"/>
  <c r="I96" i="97"/>
  <c r="I2567" i="23"/>
  <c r="A2567" i="23" s="1"/>
  <c r="I97" i="97"/>
  <c r="A2736" i="23"/>
  <c r="A2729" i="23"/>
  <c r="I108" i="97"/>
  <c r="A2599" i="23"/>
  <c r="I43" i="97"/>
  <c r="I45" i="97"/>
  <c r="A2601" i="23"/>
  <c r="I157" i="97"/>
  <c r="A2602" i="23"/>
  <c r="A2735" i="23"/>
  <c r="I98" i="97"/>
  <c r="I2734" i="23"/>
  <c r="I2693" i="23"/>
  <c r="A2693" i="23" s="1"/>
  <c r="A2699" i="23"/>
  <c r="E31" i="105"/>
  <c r="E44" i="105"/>
  <c r="E84" i="109"/>
  <c r="E62" i="105"/>
  <c r="F62" i="105"/>
  <c r="E110" i="109"/>
  <c r="F31" i="105"/>
  <c r="F44" i="105"/>
  <c r="I133" i="97"/>
  <c r="H98" i="97"/>
  <c r="I2731" i="23"/>
  <c r="I2726" i="23"/>
  <c r="H2647" i="23"/>
  <c r="I2647" i="23" s="1"/>
  <c r="A2647" i="23" s="1"/>
  <c r="A2700" i="23"/>
  <c r="A2725" i="23"/>
  <c r="A2737" i="23"/>
  <c r="I2740" i="23"/>
  <c r="I2732" i="23"/>
  <c r="I2583" i="23"/>
  <c r="A2583" i="23" s="1"/>
  <c r="I139" i="97"/>
  <c r="I186" i="97"/>
  <c r="I112" i="97"/>
  <c r="H97" i="97"/>
  <c r="I68" i="97"/>
  <c r="H108" i="97"/>
  <c r="I9" i="97"/>
  <c r="I22" i="97"/>
  <c r="I93" i="97"/>
  <c r="I2632" i="23"/>
  <c r="A2632" i="23" s="1"/>
  <c r="I2571" i="23"/>
  <c r="A2571" i="23" s="1"/>
  <c r="H157" i="97"/>
  <c r="H80" i="97"/>
  <c r="D78" i="109"/>
  <c r="E83" i="109"/>
  <c r="D86" i="109"/>
  <c r="E91" i="109"/>
  <c r="D94" i="109"/>
  <c r="E99" i="109"/>
  <c r="D102" i="109"/>
  <c r="E107" i="109"/>
  <c r="E115" i="109"/>
  <c r="D118" i="109"/>
  <c r="E75" i="109"/>
  <c r="G6" i="107"/>
  <c r="G4" i="107"/>
  <c r="F21" i="105"/>
  <c r="F29" i="105"/>
  <c r="F37" i="105"/>
  <c r="F45" i="105"/>
  <c r="F53" i="105"/>
  <c r="F61" i="105"/>
  <c r="F9" i="105"/>
  <c r="E9" i="105"/>
  <c r="E19" i="105"/>
  <c r="E43" i="105"/>
  <c r="E36" i="105"/>
  <c r="E78" i="109"/>
  <c r="D81" i="109"/>
  <c r="E86" i="109"/>
  <c r="D89" i="109"/>
  <c r="E94" i="109"/>
  <c r="D97" i="109"/>
  <c r="E102" i="109"/>
  <c r="D105" i="109"/>
  <c r="D113" i="109"/>
  <c r="E118" i="109"/>
  <c r="D121" i="109"/>
  <c r="F7" i="107"/>
  <c r="F13" i="105"/>
  <c r="F22" i="105"/>
  <c r="F30" i="105"/>
  <c r="F38" i="105"/>
  <c r="F46" i="105"/>
  <c r="F54" i="105"/>
  <c r="F10" i="105"/>
  <c r="E10" i="105"/>
  <c r="E20" i="105"/>
  <c r="E28" i="105"/>
  <c r="E4" i="105"/>
  <c r="E81" i="109"/>
  <c r="E89" i="109"/>
  <c r="D92" i="109"/>
  <c r="E97" i="109"/>
  <c r="D100" i="109"/>
  <c r="E105" i="109"/>
  <c r="D108" i="109"/>
  <c r="E113" i="109"/>
  <c r="D116" i="109"/>
  <c r="E121" i="109"/>
  <c r="D76" i="109"/>
  <c r="G7" i="107"/>
  <c r="F14" i="105"/>
  <c r="F23" i="105"/>
  <c r="F39" i="105"/>
  <c r="F47" i="105"/>
  <c r="F55" i="105"/>
  <c r="F63" i="105"/>
  <c r="F11" i="105"/>
  <c r="E11" i="105"/>
  <c r="E21" i="105"/>
  <c r="E29" i="105"/>
  <c r="E37" i="105"/>
  <c r="E45" i="105"/>
  <c r="E53" i="105"/>
  <c r="E61" i="105"/>
  <c r="E55" i="105"/>
  <c r="E48" i="105"/>
  <c r="D79" i="109"/>
  <c r="D87" i="109"/>
  <c r="E92" i="109"/>
  <c r="D95" i="109"/>
  <c r="E100"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95" i="109"/>
  <c r="D98" i="109"/>
  <c r="E103" i="109"/>
  <c r="D106" i="109"/>
  <c r="E111" i="109"/>
  <c r="D114" i="109"/>
  <c r="E119" i="109"/>
  <c r="D74" i="109"/>
  <c r="G9" i="107"/>
  <c r="F17" i="105"/>
  <c r="F25" i="105"/>
  <c r="F33" i="105"/>
  <c r="F41" i="105"/>
  <c r="F49" i="105"/>
  <c r="F57" i="105"/>
  <c r="F5" i="105"/>
  <c r="E5" i="105"/>
  <c r="E13" i="105"/>
  <c r="E23" i="105"/>
  <c r="E47" i="105"/>
  <c r="E32" i="105"/>
  <c r="D77" i="109"/>
  <c r="E82" i="109"/>
  <c r="D85" i="109"/>
  <c r="E90" i="109"/>
  <c r="D93" i="109"/>
  <c r="E98" i="109"/>
  <c r="D101" i="109"/>
  <c r="E106" i="109"/>
  <c r="D109" i="109"/>
  <c r="E114" i="109"/>
  <c r="D117" i="109"/>
  <c r="E74" i="109"/>
  <c r="F5" i="107"/>
  <c r="F10" i="107"/>
  <c r="F18" i="105"/>
  <c r="F26" i="105"/>
  <c r="F34" i="105"/>
  <c r="F42" i="105"/>
  <c r="F50" i="105"/>
  <c r="F58" i="105"/>
  <c r="F6" i="105"/>
  <c r="E6" i="105"/>
  <c r="E14" i="105"/>
  <c r="E24" i="105"/>
  <c r="E40" i="105"/>
  <c r="E77" i="109"/>
  <c r="D80" i="109"/>
  <c r="E85" i="109"/>
  <c r="D88" i="109"/>
  <c r="E93" i="109"/>
  <c r="D96" i="109"/>
  <c r="E101" i="109"/>
  <c r="D104" i="109"/>
  <c r="E109" i="109"/>
  <c r="D112" i="109"/>
  <c r="E117" i="109"/>
  <c r="D120" i="109"/>
  <c r="G5" i="107"/>
  <c r="G10" i="107"/>
  <c r="F19" i="105"/>
  <c r="F27" i="105"/>
  <c r="F35" i="105"/>
  <c r="F43" i="105"/>
  <c r="F51" i="105"/>
  <c r="F59" i="105"/>
  <c r="F7" i="105"/>
  <c r="E7" i="105"/>
  <c r="E15" i="105"/>
  <c r="E25" i="105"/>
  <c r="E33" i="105"/>
  <c r="E41" i="105"/>
  <c r="E49" i="105"/>
  <c r="E57" i="105"/>
  <c r="E35" i="105"/>
  <c r="E59" i="105"/>
  <c r="E60" i="105"/>
  <c r="E80" i="109"/>
  <c r="D83" i="109"/>
  <c r="E88" i="109"/>
  <c r="D91" i="109"/>
  <c r="E96" i="109"/>
  <c r="D99"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I117" i="97"/>
  <c r="H2776" i="23"/>
  <c r="H2749" i="23"/>
  <c r="H2750" i="23" s="1"/>
  <c r="H2747" i="23"/>
  <c r="D2747" i="23" s="1"/>
  <c r="D2748" i="23" s="1"/>
  <c r="H2751" i="23"/>
  <c r="H2760" i="23"/>
  <c r="H2764" i="23" s="1"/>
  <c r="H2755" i="23"/>
  <c r="H2756" i="23" s="1"/>
  <c r="H2690" i="23"/>
  <c r="I2690" i="23" s="1"/>
  <c r="A2690" i="23" s="1"/>
  <c r="H2658" i="23"/>
  <c r="I2658" i="23" s="1"/>
  <c r="A2658" i="23" s="1"/>
  <c r="H2691" i="23"/>
  <c r="I2691" i="23" s="1"/>
  <c r="A2691" i="23" s="1"/>
  <c r="D2551" i="23"/>
  <c r="D2" i="97" s="1"/>
  <c r="H2694" i="23"/>
  <c r="H192" i="97" s="1"/>
  <c r="H2659" i="23"/>
  <c r="I2659" i="23" s="1"/>
  <c r="A2659" i="23" s="1"/>
  <c r="H2765" i="23"/>
  <c r="H2603" i="23"/>
  <c r="H187" i="97" s="1"/>
  <c r="H140" i="97"/>
  <c r="I2619" i="23"/>
  <c r="A2619" i="23" s="1"/>
  <c r="I2616" i="23"/>
  <c r="A2616" i="23" s="1"/>
  <c r="H2573" i="23"/>
  <c r="I2573" i="23" s="1"/>
  <c r="A2573" i="23" s="1"/>
  <c r="H2652" i="23"/>
  <c r="H2552" i="23"/>
  <c r="H2625" i="23"/>
  <c r="H2557" i="23"/>
  <c r="I2557" i="23" s="1"/>
  <c r="A2557" i="23" s="1"/>
  <c r="H2587" i="23"/>
  <c r="H2568" i="23"/>
  <c r="I2568" i="23" s="1"/>
  <c r="A2568" i="23" s="1"/>
  <c r="H2584" i="23"/>
  <c r="I2584" i="23" s="1"/>
  <c r="A2584" i="23" s="1"/>
  <c r="H2674" i="23"/>
  <c r="H2663" i="23"/>
  <c r="H2555" i="23"/>
  <c r="L1707" i="129"/>
  <c r="N1707" i="129"/>
  <c r="G2092" i="129"/>
  <c r="A2089" i="129"/>
  <c r="A2090" i="129" s="1"/>
  <c r="A2778" i="129"/>
  <c r="O2778" i="129"/>
  <c r="M2824" i="129"/>
  <c r="O2824" i="129"/>
  <c r="G2980" i="129"/>
  <c r="A2980" i="129" s="1"/>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M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A2699" i="129"/>
  <c r="L2705" i="129"/>
  <c r="L2776" i="129"/>
  <c r="M2778" i="129"/>
  <c r="A2825" i="129"/>
  <c r="L3001" i="129"/>
  <c r="O3005" i="129"/>
  <c r="N3014" i="129"/>
  <c r="L3029" i="129"/>
  <c r="O3154" i="129"/>
  <c r="N3172" i="129"/>
  <c r="N3177" i="129"/>
  <c r="A3267" i="129"/>
  <c r="M3305" i="129"/>
  <c r="L3308" i="129"/>
  <c r="L3324" i="129"/>
  <c r="L3327" i="129"/>
  <c r="G1054" i="129"/>
  <c r="L1054" i="129" s="1"/>
  <c r="M1704" i="129"/>
  <c r="M1821" i="129"/>
  <c r="N1839" i="129"/>
  <c r="L1845" i="129"/>
  <c r="A2507" i="129"/>
  <c r="O2507" i="129"/>
  <c r="O2521" i="129"/>
  <c r="M773" i="129"/>
  <c r="O1836" i="129"/>
  <c r="O1850" i="129"/>
  <c r="G1922" i="129"/>
  <c r="C1921" i="129"/>
  <c r="N2490" i="129"/>
  <c r="A2490" i="129"/>
  <c r="O2503" i="129"/>
  <c r="N2516" i="129"/>
  <c r="N2776" i="129"/>
  <c r="O3014" i="129"/>
  <c r="A3030" i="129"/>
  <c r="A3031" i="129" s="1"/>
  <c r="G3032" i="129"/>
  <c r="N3305" i="129"/>
  <c r="M3327" i="129"/>
  <c r="L582" i="129"/>
  <c r="L1012" i="129"/>
  <c r="G1030" i="129"/>
  <c r="L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308" i="129"/>
  <c r="N3324" i="129"/>
  <c r="A3481" i="129"/>
  <c r="M3481" i="129"/>
  <c r="O3481" i="129"/>
  <c r="A1013" i="129"/>
  <c r="M1023" i="129"/>
  <c r="G1097" i="129"/>
  <c r="G1040" i="129"/>
  <c r="M1040" i="129" s="1"/>
  <c r="O1032" i="129"/>
  <c r="L1036" i="129"/>
  <c r="L1055" i="129"/>
  <c r="N1709" i="129"/>
  <c r="A1825" i="129"/>
  <c r="N1832" i="129"/>
  <c r="O1835" i="129"/>
  <c r="A1838" i="129"/>
  <c r="N1838" i="129"/>
  <c r="M2065" i="129"/>
  <c r="M2068" i="129"/>
  <c r="M2501" i="129"/>
  <c r="N2507" i="129"/>
  <c r="G2526" i="129"/>
  <c r="N2526" i="129" s="1"/>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C1005" i="129"/>
  <c r="A1677" i="129"/>
  <c r="A1682" i="129"/>
  <c r="O1709" i="129"/>
  <c r="A1830" i="129"/>
  <c r="M1835" i="129"/>
  <c r="A1849" i="129"/>
  <c r="A1864" i="129"/>
  <c r="C2060" i="129"/>
  <c r="C2061" i="129" s="1"/>
  <c r="A2066" i="129"/>
  <c r="A2117" i="129"/>
  <c r="A2118" i="129" s="1"/>
  <c r="G2121" i="129"/>
  <c r="A2121" i="129" s="1"/>
  <c r="A2417" i="129"/>
  <c r="N2422" i="129"/>
  <c r="A2500" i="129"/>
  <c r="O2501" i="129"/>
  <c r="M2507" i="129"/>
  <c r="A2614" i="129"/>
  <c r="O2626" i="129"/>
  <c r="G2680" i="129"/>
  <c r="O2686" i="129"/>
  <c r="M2689" i="129"/>
  <c r="N2779" i="129"/>
  <c r="A2824" i="129"/>
  <c r="G2964" i="129"/>
  <c r="M2963" i="129"/>
  <c r="G2978" i="129"/>
  <c r="O3016" i="129"/>
  <c r="A3164" i="129"/>
  <c r="N3164" i="129"/>
  <c r="A3312" i="129"/>
  <c r="M3312" i="129"/>
  <c r="L3480" i="129"/>
  <c r="H2775" i="23"/>
  <c r="H2773" i="23"/>
  <c r="M1852" i="129"/>
  <c r="N1852" i="129"/>
  <c r="A1852" i="129"/>
  <c r="O1852" i="129"/>
  <c r="L1852" i="129"/>
  <c r="O1049" i="129"/>
  <c r="M1049" i="129"/>
  <c r="L1049" i="129"/>
  <c r="A1049" i="129"/>
  <c r="N1049" i="129"/>
  <c r="A1829" i="129"/>
  <c r="L1829" i="129"/>
  <c r="N1829" i="129"/>
  <c r="M1829" i="129"/>
  <c r="O1829" i="129"/>
  <c r="L1097" i="129"/>
  <c r="N1097" i="129"/>
  <c r="C1007" i="129"/>
  <c r="C1006" i="129"/>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A1868" i="129"/>
  <c r="N1914" i="129"/>
  <c r="L1914" i="129"/>
  <c r="G1915" i="129"/>
  <c r="O2624" i="129"/>
  <c r="M2624" i="129"/>
  <c r="N2624" i="129"/>
  <c r="G2702" i="129"/>
  <c r="M2694" i="129"/>
  <c r="O2694" i="129"/>
  <c r="N2694" i="129"/>
  <c r="M2781" i="129"/>
  <c r="O2781" i="129"/>
  <c r="L2781" i="129"/>
  <c r="N2781" i="129"/>
  <c r="A2781" i="129"/>
  <c r="G2772" i="129"/>
  <c r="M582" i="129"/>
  <c r="L584" i="129"/>
  <c r="N615" i="129"/>
  <c r="L774" i="129"/>
  <c r="G931" i="129"/>
  <c r="O1040" i="129"/>
  <c r="L1669" i="129"/>
  <c r="L1690" i="129"/>
  <c r="N1794" i="129"/>
  <c r="N1798" i="129"/>
  <c r="O1823" i="129"/>
  <c r="L1831" i="129"/>
  <c r="L1868" i="129"/>
  <c r="M2616" i="129"/>
  <c r="O2616" i="129"/>
  <c r="L2616" i="129"/>
  <c r="N2616"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L1040" i="129"/>
  <c r="N1054" i="129"/>
  <c r="N1059" i="129"/>
  <c r="N1075" i="129"/>
  <c r="L1666" i="129"/>
  <c r="Q1666" i="129" s="1"/>
  <c r="N1669" i="129"/>
  <c r="L1678" i="129"/>
  <c r="N1690" i="129"/>
  <c r="L1696" i="129"/>
  <c r="M1713" i="129"/>
  <c r="O1794" i="129"/>
  <c r="O1796" i="129"/>
  <c r="O1798" i="129"/>
  <c r="O1800" i="129"/>
  <c r="L1811" i="129"/>
  <c r="L1813" i="129"/>
  <c r="L1823" i="129"/>
  <c r="N1825" i="129"/>
  <c r="N1828" i="129"/>
  <c r="O1831" i="129"/>
  <c r="L1834" i="129"/>
  <c r="L1837" i="129"/>
  <c r="O1847" i="129"/>
  <c r="L1849" i="129"/>
  <c r="O1863" i="129"/>
  <c r="M1868" i="129"/>
  <c r="M2419" i="129"/>
  <c r="G2420" i="129"/>
  <c r="O2419" i="129"/>
  <c r="N2419" i="129"/>
  <c r="L2419" i="129"/>
  <c r="G2421" i="129"/>
  <c r="O3316" i="129"/>
  <c r="N3316" i="129"/>
  <c r="L49" i="129"/>
  <c r="M54" i="129"/>
  <c r="M49" i="129"/>
  <c r="L53" i="129"/>
  <c r="O582" i="129"/>
  <c r="L589" i="129"/>
  <c r="M615" i="129"/>
  <c r="M644" i="129"/>
  <c r="A775" i="129"/>
  <c r="M928" i="129"/>
  <c r="A1005" i="129"/>
  <c r="A1012" i="129"/>
  <c r="M1013" i="129"/>
  <c r="L1020" i="129"/>
  <c r="L1026" i="129"/>
  <c r="A1032" i="129"/>
  <c r="A1033" i="129" s="1"/>
  <c r="G1037" i="129"/>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A1041" i="129"/>
  <c r="A1042" i="129" s="1"/>
  <c r="C1055" i="129"/>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N3032" i="129"/>
  <c r="A3032" i="129"/>
  <c r="M3174" i="129"/>
  <c r="G3178" i="129"/>
  <c r="L3174" i="129"/>
  <c r="O3174" i="129"/>
  <c r="N3174" i="129"/>
  <c r="A3174" i="129"/>
  <c r="O2982" i="129"/>
  <c r="L2982" i="129"/>
  <c r="L54" i="129"/>
  <c r="L1018" i="129"/>
  <c r="L1075" i="129"/>
  <c r="L1713" i="129"/>
  <c r="N1796"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C1008"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N2998" i="129"/>
  <c r="L2080" i="129"/>
  <c r="O2147" i="129"/>
  <c r="L2410" i="129"/>
  <c r="L2459" i="129"/>
  <c r="L2470" i="129"/>
  <c r="G2491" i="129"/>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N3180" i="129"/>
  <c r="O2080" i="129"/>
  <c r="A2116"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L2526"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G2119" i="129"/>
  <c r="A2119" i="129" s="1"/>
  <c r="G2140" i="129"/>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L2942" i="129"/>
  <c r="A3003" i="129"/>
  <c r="M3012" i="129"/>
  <c r="L3020" i="129"/>
  <c r="O3163" i="129"/>
  <c r="A3180" i="129"/>
  <c r="M3306" i="129"/>
  <c r="N3315" i="129"/>
  <c r="L3319" i="129"/>
  <c r="M3325" i="129"/>
  <c r="L24" i="129"/>
  <c r="I6" i="129"/>
  <c r="L21" i="129"/>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G807" i="129"/>
  <c r="O807" i="129" s="1"/>
  <c r="C3080" i="129"/>
  <c r="G3084" i="129"/>
  <c r="G848" i="129"/>
  <c r="G745" i="129"/>
  <c r="G804" i="129"/>
  <c r="G808" i="129" s="1"/>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O34" i="129"/>
  <c r="G2984" i="129"/>
  <c r="N2984" i="129" s="1"/>
  <c r="G2126" i="129"/>
  <c r="N2126" i="129" s="1"/>
  <c r="G1043" i="129"/>
  <c r="C563" i="129"/>
  <c r="G567" i="129"/>
  <c r="G3236" i="129"/>
  <c r="C3232" i="129"/>
  <c r="N55" i="129"/>
  <c r="B214" i="129"/>
  <c r="B37" i="129"/>
  <c r="G1511" i="129"/>
  <c r="C1507" i="129"/>
  <c r="O55" i="129"/>
  <c r="B122" i="129"/>
  <c r="B303" i="129"/>
  <c r="O478" i="129"/>
  <c r="C377" i="129"/>
  <c r="G381" i="129"/>
  <c r="C2590" i="129"/>
  <c r="G2594" i="129"/>
  <c r="C1101" i="129"/>
  <c r="G1105" i="129"/>
  <c r="G907" i="129"/>
  <c r="C903" i="129"/>
  <c r="G1226" i="129"/>
  <c r="C1222" i="129"/>
  <c r="G1227" i="129"/>
  <c r="G2793" i="129"/>
  <c r="C2789" i="129"/>
  <c r="G3389" i="129"/>
  <c r="C3385" i="129"/>
  <c r="B125" i="129"/>
  <c r="B211" i="129"/>
  <c r="M584" i="129"/>
  <c r="O590" i="129"/>
  <c r="L588" i="129"/>
  <c r="M933" i="129"/>
  <c r="A933" i="129"/>
  <c r="L403" i="129"/>
  <c r="M588" i="129"/>
  <c r="L807" i="129"/>
  <c r="N403" i="129"/>
  <c r="N588" i="129"/>
  <c r="N807" i="129"/>
  <c r="C1010" i="129"/>
  <c r="C1009" i="129"/>
  <c r="L590" i="129"/>
  <c r="N590" i="129"/>
  <c r="L776" i="129"/>
  <c r="G927" i="129"/>
  <c r="N927" i="129" s="1"/>
  <c r="A928" i="129"/>
  <c r="A929" i="129" s="1"/>
  <c r="G930" i="129"/>
  <c r="O930" i="129" s="1"/>
  <c r="A931" i="129"/>
  <c r="N933" i="129"/>
  <c r="A1008" i="129"/>
  <c r="A1011" i="129"/>
  <c r="M1011" i="129"/>
  <c r="G1074" i="129"/>
  <c r="G1070" i="129"/>
  <c r="M1067" i="129"/>
  <c r="L1067" i="129"/>
  <c r="C1067" i="129"/>
  <c r="O1067" i="129"/>
  <c r="N1067" i="129"/>
  <c r="G1019" i="129"/>
  <c r="O1019" i="129" s="1"/>
  <c r="A1023" i="129"/>
  <c r="G1025" i="129"/>
  <c r="N1039" i="129"/>
  <c r="M1046" i="129"/>
  <c r="A1046" i="129"/>
  <c r="O1070" i="129"/>
  <c r="A774" i="129"/>
  <c r="M931" i="129"/>
  <c r="G932" i="129"/>
  <c r="O933" i="129"/>
  <c r="M1008" i="129"/>
  <c r="N1011" i="129"/>
  <c r="A1018" i="129"/>
  <c r="O1020" i="129"/>
  <c r="L1023" i="129"/>
  <c r="G1024" i="129"/>
  <c r="G1031" i="129"/>
  <c r="L1031" i="129" s="1"/>
  <c r="O1026" i="129"/>
  <c r="G1029" i="129"/>
  <c r="M1026" i="129"/>
  <c r="G1028" i="129"/>
  <c r="N1028" i="129" s="1"/>
  <c r="A1026" i="129"/>
  <c r="A1027" i="129" s="1"/>
  <c r="L1046" i="129"/>
  <c r="N1051" i="129"/>
  <c r="L1051" i="129"/>
  <c r="A1054" i="129"/>
  <c r="O1054" i="129"/>
  <c r="M1054" i="129"/>
  <c r="M774" i="129"/>
  <c r="A926" i="129"/>
  <c r="M926" i="129"/>
  <c r="N1018" i="129"/>
  <c r="O1030" i="129"/>
  <c r="A1037" i="129"/>
  <c r="M1037" i="129"/>
  <c r="M1048" i="129"/>
  <c r="A1048" i="129"/>
  <c r="G1058" i="129"/>
  <c r="O1058" i="129" s="1"/>
  <c r="A1057" i="129"/>
  <c r="O1057" i="129"/>
  <c r="M1057" i="129"/>
  <c r="A1059" i="129"/>
  <c r="O1059" i="129"/>
  <c r="M1059" i="129"/>
  <c r="A1097" i="129"/>
  <c r="A1098" i="129" s="1"/>
  <c r="O1097" i="129"/>
  <c r="M1097" i="129"/>
  <c r="L775" i="129"/>
  <c r="N926" i="129"/>
  <c r="O1018" i="129"/>
  <c r="L1025" i="129"/>
  <c r="L1037" i="129"/>
  <c r="C1011" i="129"/>
  <c r="C1012" i="129" s="1"/>
  <c r="C1013" i="129" s="1"/>
  <c r="N1025" i="129"/>
  <c r="M1030" i="129"/>
  <c r="A1030" i="129"/>
  <c r="M1050" i="129"/>
  <c r="A1050" i="129"/>
  <c r="G1073" i="129"/>
  <c r="L1073" i="129" s="1"/>
  <c r="L1050" i="129"/>
  <c r="G1071" i="129"/>
  <c r="L1071" i="129" s="1"/>
  <c r="L878" i="129"/>
  <c r="O928" i="129"/>
  <c r="N1030" i="129"/>
  <c r="O1031" i="129"/>
  <c r="A1039" i="129"/>
  <c r="M1039" i="129"/>
  <c r="N1050" i="129"/>
  <c r="A1067" i="129"/>
  <c r="A1068" i="129" s="1"/>
  <c r="G1069" i="129"/>
  <c r="L1069" i="129" s="1"/>
  <c r="O1074" i="129"/>
  <c r="G1078" i="129"/>
  <c r="A878" i="129"/>
  <c r="A1020" i="129"/>
  <c r="O1050" i="129"/>
  <c r="A1075" i="129"/>
  <c r="L1649" i="129"/>
  <c r="L1655" i="129"/>
  <c r="G1672" i="129"/>
  <c r="A1649" i="129"/>
  <c r="M1649" i="129"/>
  <c r="G1658" i="129"/>
  <c r="A1654" i="129"/>
  <c r="L1658" i="129"/>
  <c r="O1670" i="129"/>
  <c r="N1685" i="129"/>
  <c r="A1685" i="129"/>
  <c r="N1649" i="129"/>
  <c r="N1658" i="129"/>
  <c r="N1692" i="129"/>
  <c r="A1692" i="129"/>
  <c r="L1692" i="129"/>
  <c r="N1874" i="129"/>
  <c r="M1874" i="129"/>
  <c r="G1875" i="129"/>
  <c r="L1875" i="129" s="1"/>
  <c r="A1874" i="129"/>
  <c r="L1874" i="129"/>
  <c r="O1676" i="129"/>
  <c r="N1676" i="129"/>
  <c r="L1676" i="129"/>
  <c r="L1820" i="129"/>
  <c r="N1853" i="129"/>
  <c r="M1853" i="129"/>
  <c r="A1853" i="129"/>
  <c r="L1853"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A1865" i="129"/>
  <c r="L1865"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A1925" i="129"/>
  <c r="O1925" i="129"/>
  <c r="L1925" i="129"/>
  <c r="N1875" i="129"/>
  <c r="M1922" i="129"/>
  <c r="A1922" i="129"/>
  <c r="G1924" i="129"/>
  <c r="N1924" i="129" s="1"/>
  <c r="A1699" i="129"/>
  <c r="A1709" i="129"/>
  <c r="A1713" i="129"/>
  <c r="N1713" i="129"/>
  <c r="G1715" i="129"/>
  <c r="A1786" i="129"/>
  <c r="G1787" i="129"/>
  <c r="A1788" i="129"/>
  <c r="G1789" i="129"/>
  <c r="A1790" i="129"/>
  <c r="L1790" i="129"/>
  <c r="A1794" i="129"/>
  <c r="L1794" i="129"/>
  <c r="A1796" i="129"/>
  <c r="L1796"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O2092" i="129"/>
  <c r="M2092" i="129"/>
  <c r="A2092" i="129"/>
  <c r="L2092" i="129"/>
  <c r="Q2092" i="129" s="1"/>
  <c r="A1862" i="129"/>
  <c r="A1870" i="129"/>
  <c r="A1871" i="129" s="1"/>
  <c r="G1872" i="129"/>
  <c r="L1872" i="129" s="1"/>
  <c r="G1923" i="129"/>
  <c r="A2058" i="129"/>
  <c r="G2076" i="129"/>
  <c r="G2091" i="129"/>
  <c r="G2101" i="129"/>
  <c r="L2101" i="129" s="1"/>
  <c r="Q2101" i="129" s="1"/>
  <c r="N2121" i="129"/>
  <c r="C2059" i="129"/>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195" i="129"/>
  <c r="O2199" i="129"/>
  <c r="O2065" i="129"/>
  <c r="O2091" i="129"/>
  <c r="C2075" i="129"/>
  <c r="G2105" i="129"/>
  <c r="L2105" i="129" s="1"/>
  <c r="Q2105" i="129" s="1"/>
  <c r="G2102" i="129"/>
  <c r="O2102" i="129" s="1"/>
  <c r="G2094" i="129"/>
  <c r="O2094" i="129" s="1"/>
  <c r="G2184" i="129"/>
  <c r="G2098" i="129"/>
  <c r="L2098" i="129" s="1"/>
  <c r="Q2098" i="129" s="1"/>
  <c r="G2103" i="129"/>
  <c r="G2095" i="129"/>
  <c r="O2095" i="129" s="1"/>
  <c r="G2093" i="129"/>
  <c r="O2093" i="129" s="1"/>
  <c r="L2130" i="129"/>
  <c r="L2140" i="129"/>
  <c r="O2140" i="129"/>
  <c r="M2140" i="129"/>
  <c r="A2140" i="129"/>
  <c r="A2061" i="129"/>
  <c r="O2064" i="129"/>
  <c r="O2068" i="129"/>
  <c r="G2096" i="129"/>
  <c r="N2130" i="129"/>
  <c r="N2193" i="129"/>
  <c r="A2065" i="129"/>
  <c r="G2097" i="129"/>
  <c r="L2097" i="129" s="1"/>
  <c r="Q2097" i="129" s="1"/>
  <c r="G2104" i="129"/>
  <c r="O2104" i="129" s="1"/>
  <c r="N2140" i="129"/>
  <c r="L2168" i="129"/>
  <c r="O2096" i="129"/>
  <c r="G2099" i="129"/>
  <c r="O2099" i="129" s="1"/>
  <c r="N2114" i="129"/>
  <c r="A2114" i="129"/>
  <c r="M2114" i="129"/>
  <c r="O2120" i="129"/>
  <c r="N2120" i="129"/>
  <c r="A2120" i="129"/>
  <c r="M2120" i="129"/>
  <c r="O2121" i="129"/>
  <c r="M2121" i="129"/>
  <c r="L2121" i="129"/>
  <c r="L2132" i="129"/>
  <c r="A2074" i="129"/>
  <c r="L2083" i="129"/>
  <c r="G2100" i="129"/>
  <c r="L2102" i="129"/>
  <c r="Q2102" i="129" s="1"/>
  <c r="O2103" i="129"/>
  <c r="L2114" i="129"/>
  <c r="L2159" i="129"/>
  <c r="L2163" i="129"/>
  <c r="N2174" i="129"/>
  <c r="M2109" i="129"/>
  <c r="G2113" i="129"/>
  <c r="N2117" i="129"/>
  <c r="A2124" i="129"/>
  <c r="A2125" i="129" s="1"/>
  <c r="G2128" i="129"/>
  <c r="G2139" i="129"/>
  <c r="L2147" i="129"/>
  <c r="G2180" i="129"/>
  <c r="L2180" i="129" s="1"/>
  <c r="N2109" i="129"/>
  <c r="O2117" i="129"/>
  <c r="G2122" i="129"/>
  <c r="G2132" i="129"/>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A2420" i="129"/>
  <c r="O2420" i="129"/>
  <c r="N2421" i="129"/>
  <c r="O2422" i="129"/>
  <c r="O2449" i="129"/>
  <c r="A2471" i="129"/>
  <c r="O2512" i="129"/>
  <c r="O2516" i="129"/>
  <c r="O2414" i="129"/>
  <c r="A2421" i="129"/>
  <c r="A2463" i="129"/>
  <c r="G2528" i="129"/>
  <c r="O2528" i="129" s="1"/>
  <c r="A2520" i="129"/>
  <c r="L2690" i="129"/>
  <c r="M2421" i="129"/>
  <c r="L2448" i="129"/>
  <c r="N2460" i="129"/>
  <c r="N2467" i="129"/>
  <c r="A2491" i="129"/>
  <c r="N2702" i="129"/>
  <c r="A2513" i="129"/>
  <c r="L2513" i="129"/>
  <c r="G2515" i="129"/>
  <c r="O2515" i="129" s="1"/>
  <c r="N2520" i="129"/>
  <c r="G2411" i="129"/>
  <c r="N2448" i="129"/>
  <c r="L2492" i="129"/>
  <c r="O2510" i="129"/>
  <c r="O2514" i="129"/>
  <c r="M2526" i="129"/>
  <c r="A2526" i="129"/>
  <c r="N2527" i="129"/>
  <c r="L2594" i="129"/>
  <c r="L2680" i="129"/>
  <c r="G2415" i="129"/>
  <c r="A2419" i="129"/>
  <c r="A2492" i="129"/>
  <c r="M2492" i="129"/>
  <c r="A2510" i="129"/>
  <c r="L2510" i="129"/>
  <c r="A2514" i="129"/>
  <c r="L2514" i="129"/>
  <c r="M2520" i="129"/>
  <c r="N2594" i="129"/>
  <c r="O2680" i="129"/>
  <c r="M2680" i="129"/>
  <c r="A2680" i="129"/>
  <c r="N2680" i="129"/>
  <c r="M2410" i="129"/>
  <c r="G2412" i="129"/>
  <c r="L2414" i="129"/>
  <c r="M2420" i="129"/>
  <c r="A2449" i="129"/>
  <c r="O2511" i="129"/>
  <c r="O2520" i="129"/>
  <c r="O2594" i="129"/>
  <c r="O2611" i="129"/>
  <c r="N2611" i="129"/>
  <c r="M2611" i="129"/>
  <c r="L2611" i="129"/>
  <c r="A2414" i="129"/>
  <c r="A2511" i="129"/>
  <c r="L2511" i="129"/>
  <c r="O2526" i="129"/>
  <c r="N2690" i="129"/>
  <c r="M2690" i="129"/>
  <c r="A2690" i="129"/>
  <c r="O2690" i="129"/>
  <c r="A2702" i="129"/>
  <c r="O2702" i="129"/>
  <c r="M2702" i="129"/>
  <c r="G2505" i="129"/>
  <c r="G2527" i="129"/>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L2701" i="129"/>
  <c r="L2702" i="129"/>
  <c r="O2718" i="129"/>
  <c r="A2718" i="129"/>
  <c r="N2610" i="129"/>
  <c r="A2616" i="129"/>
  <c r="N2628" i="129"/>
  <c r="M2682" i="129"/>
  <c r="G2695" i="129"/>
  <c r="O2695" i="129" s="1"/>
  <c r="A2694" i="129"/>
  <c r="A2701" i="129"/>
  <c r="M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A2964" i="129"/>
  <c r="O2964" i="129"/>
  <c r="N2964" i="129"/>
  <c r="M2964" i="129"/>
  <c r="L2964" i="129"/>
  <c r="M2826" i="129"/>
  <c r="G2948" i="129"/>
  <c r="M2946" i="129"/>
  <c r="L2946" i="129"/>
  <c r="G2947" i="129"/>
  <c r="O2946" i="129"/>
  <c r="A2946" i="129"/>
  <c r="N2946" i="129"/>
  <c r="A2826" i="129"/>
  <c r="N2826" i="129"/>
  <c r="O2939" i="129"/>
  <c r="A2782" i="129"/>
  <c r="L2782" i="129"/>
  <c r="A2823" i="129"/>
  <c r="N2823" i="129"/>
  <c r="L2980" i="129"/>
  <c r="L2947" i="129"/>
  <c r="A2929" i="129"/>
  <c r="A2930" i="129" s="1"/>
  <c r="A2931" i="129" s="1"/>
  <c r="A2933" i="129"/>
  <c r="A2943" i="129"/>
  <c r="O2961" i="129"/>
  <c r="M2966" i="129"/>
  <c r="M2998" i="129"/>
  <c r="A3008" i="129"/>
  <c r="G3026" i="129"/>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O3026" i="129"/>
  <c r="A3023" i="129"/>
  <c r="L3023" i="129"/>
  <c r="O3032" i="129"/>
  <c r="M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O3024" i="129"/>
  <c r="L3071" i="129"/>
  <c r="G3057" i="129"/>
  <c r="G3073" i="129"/>
  <c r="G3071" i="129"/>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A3024" i="129"/>
  <c r="L3024" i="129"/>
  <c r="G3039" i="129"/>
  <c r="G3036" i="129"/>
  <c r="N3036" i="129" s="1"/>
  <c r="G3034" i="129"/>
  <c r="N3034" i="129" s="1"/>
  <c r="N3056" i="129"/>
  <c r="N3158" i="129"/>
  <c r="M3158" i="129"/>
  <c r="A3158"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O3178" i="129"/>
  <c r="G3176" i="129"/>
  <c r="N3176" i="129" s="1"/>
  <c r="A3178" i="129"/>
  <c r="L3178" i="129"/>
  <c r="L3166" i="129"/>
  <c r="O3172" i="129"/>
  <c r="O3173" i="129"/>
  <c r="M3173" i="129"/>
  <c r="O3177" i="129"/>
  <c r="M3177" i="129"/>
  <c r="O3181" i="129"/>
  <c r="M3181" i="129"/>
  <c r="O3180" i="129"/>
  <c r="M3166" i="129"/>
  <c r="N3166" i="129"/>
  <c r="G3168" i="129"/>
  <c r="O3168" i="129" s="1"/>
  <c r="A3173" i="129"/>
  <c r="N3265" i="129"/>
  <c r="M3265" i="129"/>
  <c r="L3265" i="129"/>
  <c r="A3265" i="129"/>
  <c r="N3332" i="129"/>
  <c r="O3265" i="129"/>
  <c r="O3332" i="129"/>
  <c r="M3332" i="129"/>
  <c r="L3332" i="129"/>
  <c r="A3332" i="129"/>
  <c r="A3269" i="129"/>
  <c r="L3269" i="129"/>
  <c r="M3330" i="129"/>
  <c r="L3330" i="129"/>
  <c r="A3330" i="129"/>
  <c r="M3328" i="129"/>
  <c r="A3328" i="129"/>
  <c r="N3330" i="129"/>
  <c r="N3328" i="129"/>
  <c r="O3320" i="129"/>
  <c r="N3320" i="129"/>
  <c r="M3320" i="129"/>
  <c r="L3320" i="129"/>
  <c r="A3320" i="129"/>
  <c r="L3268" i="129"/>
  <c r="A3316" i="129"/>
  <c r="L3316" i="129"/>
  <c r="A3318" i="129"/>
  <c r="L3318" i="129"/>
  <c r="M3329" i="129"/>
  <c r="M3333" i="129"/>
  <c r="M3268" i="129"/>
  <c r="G3310" i="129"/>
  <c r="O3310" i="129" s="1"/>
  <c r="M3316" i="129"/>
  <c r="M3318" i="129"/>
  <c r="N3325" i="129"/>
  <c r="N3327" i="129"/>
  <c r="N3329" i="129"/>
  <c r="N3333" i="129"/>
  <c r="O3318" i="129"/>
  <c r="G3331" i="129"/>
  <c r="N3266" i="129"/>
  <c r="A3325" i="129"/>
  <c r="A3327" i="129"/>
  <c r="M3484" i="129"/>
  <c r="O3484" i="129"/>
  <c r="L3484" i="129"/>
  <c r="M3478" i="129"/>
  <c r="G3482" i="129"/>
  <c r="D2749" i="23" l="1"/>
  <c r="D2750" i="23" s="1"/>
  <c r="I188" i="97"/>
  <c r="A2612" i="23"/>
  <c r="D2751" i="23"/>
  <c r="D2752" i="23" s="1"/>
  <c r="D2754" i="23" s="1"/>
  <c r="I153" i="97"/>
  <c r="I12" i="97"/>
  <c r="I122" i="97"/>
  <c r="A2738" i="23"/>
  <c r="I51" i="97"/>
  <c r="A2600" i="23"/>
  <c r="H2697" i="23"/>
  <c r="I2697" i="23" s="1"/>
  <c r="H2761" i="23"/>
  <c r="H2762" i="23" s="1"/>
  <c r="A2740" i="23"/>
  <c r="I99" i="97"/>
  <c r="I2552" i="23"/>
  <c r="H5" i="97"/>
  <c r="I2674" i="23"/>
  <c r="H34" i="97"/>
  <c r="I2617" i="23"/>
  <c r="H89" i="97"/>
  <c r="A2734" i="23"/>
  <c r="I58" i="97"/>
  <c r="I2663" i="23"/>
  <c r="H190" i="97"/>
  <c r="I2587" i="23"/>
  <c r="H185" i="97"/>
  <c r="I2555" i="23"/>
  <c r="H3" i="97"/>
  <c r="I2625" i="23"/>
  <c r="H189" i="97"/>
  <c r="A2726" i="23"/>
  <c r="I26" i="97"/>
  <c r="A2731" i="23"/>
  <c r="I82" i="97"/>
  <c r="H119" i="97"/>
  <c r="A2732" i="23"/>
  <c r="I83" i="97"/>
  <c r="H2608" i="23"/>
  <c r="I2603" i="23"/>
  <c r="H2622" i="23"/>
  <c r="I2621" i="23"/>
  <c r="H2703" i="23"/>
  <c r="H2716" i="23" s="1"/>
  <c r="I2694" i="23"/>
  <c r="H2660" i="23"/>
  <c r="I2660" i="23" s="1"/>
  <c r="A2660" i="23" s="1"/>
  <c r="I2652" i="23"/>
  <c r="A2652" i="23" s="1"/>
  <c r="H2624" i="23"/>
  <c r="I2624" i="23" s="1"/>
  <c r="A2624" i="23" s="1"/>
  <c r="I2614" i="23"/>
  <c r="I2620" i="23"/>
  <c r="A2620" i="23" s="1"/>
  <c r="D2760" i="23"/>
  <c r="H2766" i="23"/>
  <c r="H2611" i="23"/>
  <c r="H2607" i="23"/>
  <c r="I2606" i="23"/>
  <c r="I2605" i="23"/>
  <c r="H2677" i="23"/>
  <c r="H2629" i="23"/>
  <c r="H2628" i="23"/>
  <c r="H2627" i="23"/>
  <c r="H2594" i="23"/>
  <c r="H2589" i="23"/>
  <c r="H73" i="97" s="1"/>
  <c r="H2593" i="23"/>
  <c r="D2587" i="23"/>
  <c r="H2592" i="23"/>
  <c r="H2591" i="23"/>
  <c r="H2554" i="23"/>
  <c r="D2552" i="23"/>
  <c r="D5" i="97" s="1"/>
  <c r="H2553" i="23"/>
  <c r="H2665" i="23"/>
  <c r="H14" i="97" s="1"/>
  <c r="H2668" i="23"/>
  <c r="H2667" i="23"/>
  <c r="H2666" i="23"/>
  <c r="C2063" i="129"/>
  <c r="C2064" i="129" s="1"/>
  <c r="C2065" i="129" s="1"/>
  <c r="C2066" i="129" s="1"/>
  <c r="C2067" i="129" s="1"/>
  <c r="C2068" i="129" s="1"/>
  <c r="C2062" i="129"/>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A2135" i="129"/>
  <c r="O2135" i="129"/>
  <c r="N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M1512"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35" i="129"/>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M1105" i="129"/>
  <c r="G1110" i="129"/>
  <c r="G3286" i="129"/>
  <c r="G3334" i="129"/>
  <c r="G3299" i="129"/>
  <c r="G3270" i="129"/>
  <c r="G3249" i="129"/>
  <c r="G3241" i="129"/>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C1959" i="129"/>
  <c r="C1966" i="129" s="1"/>
  <c r="C1989" i="129" s="1"/>
  <c r="C1995" i="129" s="1"/>
  <c r="C2013" i="129" s="1"/>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O1106" i="129"/>
  <c r="N1106" i="129"/>
  <c r="L1106" i="129"/>
  <c r="N1903" i="129"/>
  <c r="M1903" i="129"/>
  <c r="L1903" i="129"/>
  <c r="O1903" i="129"/>
  <c r="O2936" i="129"/>
  <c r="M2936" i="129"/>
  <c r="L2936" i="129"/>
  <c r="N2936" i="129"/>
  <c r="O3092" i="129"/>
  <c r="O1904" i="129"/>
  <c r="N1904" i="129"/>
  <c r="M1904" i="129"/>
  <c r="L1904" i="129"/>
  <c r="O3089" i="129"/>
  <c r="N3089"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3467" i="129"/>
  <c r="G3295" i="129"/>
  <c r="G2991" i="129"/>
  <c r="G490" i="129"/>
  <c r="G483" i="129"/>
  <c r="G489" i="129"/>
  <c r="G542" i="129"/>
  <c r="G484" i="129"/>
  <c r="G501" i="129"/>
  <c r="G539" i="129"/>
  <c r="G482" i="129"/>
  <c r="G479" i="129"/>
  <c r="M478" i="129"/>
  <c r="A473" i="129"/>
  <c r="C478" i="129"/>
  <c r="O2062" i="129"/>
  <c r="N2062" i="129"/>
  <c r="M2062" i="129"/>
  <c r="O3241" i="129"/>
  <c r="N3241" i="129"/>
  <c r="M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C134" i="129"/>
  <c r="G139" i="129"/>
  <c r="G136" i="129"/>
  <c r="O134" i="129"/>
  <c r="N134" i="129"/>
  <c r="O128" i="129"/>
  <c r="A2614" i="23" l="1"/>
  <c r="I198" i="97"/>
  <c r="D2753" i="23"/>
  <c r="D2755" i="23" s="1"/>
  <c r="D2756" i="23" s="1"/>
  <c r="D2757" i="23" s="1"/>
  <c r="H2719" i="23"/>
  <c r="H28" i="97" s="1"/>
  <c r="H2712" i="23"/>
  <c r="H120" i="97" s="1"/>
  <c r="H2710" i="23"/>
  <c r="H110" i="97" s="1"/>
  <c r="H2714" i="23"/>
  <c r="H179" i="97" s="1"/>
  <c r="H2713" i="23"/>
  <c r="I2713" i="23" s="1"/>
  <c r="H2763" i="23"/>
  <c r="H2706" i="23"/>
  <c r="H32" i="97" s="1"/>
  <c r="H2708" i="23"/>
  <c r="I2708" i="23" s="1"/>
  <c r="I2554" i="23"/>
  <c r="H7" i="97"/>
  <c r="I2628" i="23"/>
  <c r="H55" i="97"/>
  <c r="I2719" i="23"/>
  <c r="A2694" i="23"/>
  <c r="I192" i="97"/>
  <c r="I2591" i="23"/>
  <c r="H62" i="97"/>
  <c r="I2629" i="23"/>
  <c r="H56" i="97"/>
  <c r="I2703" i="23"/>
  <c r="H193" i="97"/>
  <c r="A2697" i="23"/>
  <c r="I119" i="97"/>
  <c r="A2555" i="23"/>
  <c r="I3" i="97"/>
  <c r="A2617" i="23"/>
  <c r="I89" i="97"/>
  <c r="I2666" i="23"/>
  <c r="H23" i="97"/>
  <c r="I2592" i="23"/>
  <c r="H48" i="97"/>
  <c r="I2677" i="23"/>
  <c r="H191" i="97"/>
  <c r="A2621" i="23"/>
  <c r="I140" i="97"/>
  <c r="I2667" i="23"/>
  <c r="H24" i="97"/>
  <c r="D2595" i="23"/>
  <c r="D185" i="97"/>
  <c r="I2622" i="23"/>
  <c r="H132" i="97"/>
  <c r="A2587" i="23"/>
  <c r="I185" i="97"/>
  <c r="A2674" i="23"/>
  <c r="I34" i="97"/>
  <c r="I2668" i="23"/>
  <c r="H25" i="97"/>
  <c r="I2593" i="23"/>
  <c r="H38" i="97"/>
  <c r="A2603" i="23"/>
  <c r="I187" i="97"/>
  <c r="I2608" i="23"/>
  <c r="H52" i="97"/>
  <c r="A2663" i="23"/>
  <c r="I190" i="97"/>
  <c r="A2552" i="23"/>
  <c r="I5" i="97"/>
  <c r="I2553" i="23"/>
  <c r="H70" i="97"/>
  <c r="I2594" i="23"/>
  <c r="H155" i="97"/>
  <c r="I2716" i="23"/>
  <c r="H182" i="97"/>
  <c r="I2607" i="23"/>
  <c r="H49" i="97"/>
  <c r="I2627" i="23"/>
  <c r="H35" i="97"/>
  <c r="I2611" i="23"/>
  <c r="H160" i="97"/>
  <c r="A2625" i="23"/>
  <c r="I189" i="97"/>
  <c r="A2606" i="23"/>
  <c r="I113" i="97"/>
  <c r="A2605" i="23"/>
  <c r="I116" i="97"/>
  <c r="H2676" i="23"/>
  <c r="I2665" i="23"/>
  <c r="H2590" i="23"/>
  <c r="I2589" i="23"/>
  <c r="H2711" i="23"/>
  <c r="H2709" i="23"/>
  <c r="H2715" i="23"/>
  <c r="H2770" i="23"/>
  <c r="D2766" i="23"/>
  <c r="D2771" i="23" s="1"/>
  <c r="H2767" i="23"/>
  <c r="H2623" i="23"/>
  <c r="I2623" i="23" s="1"/>
  <c r="A2623" i="23" s="1"/>
  <c r="I2615" i="23"/>
  <c r="A2615" i="23" s="1"/>
  <c r="D2553" i="23"/>
  <c r="H2679" i="23"/>
  <c r="H11" i="97" s="1"/>
  <c r="H2684" i="23"/>
  <c r="H92" i="97" s="1"/>
  <c r="H2682" i="23"/>
  <c r="H2686" i="23"/>
  <c r="H2680" i="23"/>
  <c r="H76" i="97" s="1"/>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C2392" i="129"/>
  <c r="A2392" i="129"/>
  <c r="G569" i="129"/>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O2394" i="129"/>
  <c r="L3239" i="129"/>
  <c r="M274" i="129"/>
  <c r="N274" i="129"/>
  <c r="O274" i="129"/>
  <c r="L274" i="129"/>
  <c r="M275" i="129"/>
  <c r="O275" i="129"/>
  <c r="N275" i="129"/>
  <c r="L275" i="129"/>
  <c r="O569"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N910"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O910" i="129"/>
  <c r="C2244" i="129"/>
  <c r="A2244" i="129"/>
  <c r="G2245" i="129"/>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L13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C242" i="129"/>
  <c r="C254" i="129" s="1"/>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224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N218" i="129" s="1"/>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M22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131" i="129"/>
  <c r="O2018" i="129"/>
  <c r="M2018" i="129"/>
  <c r="A2018" i="129"/>
  <c r="L2018" i="129"/>
  <c r="N2018" i="129"/>
  <c r="A1638" i="129"/>
  <c r="O1638" i="129"/>
  <c r="O1644" i="129" s="1"/>
  <c r="N1638" i="129"/>
  <c r="N1644" i="129" s="1"/>
  <c r="M1638" i="129"/>
  <c r="M1644" i="129" s="1"/>
  <c r="C1638" i="129"/>
  <c r="C1639" i="129" s="1"/>
  <c r="C1640" i="129" s="1"/>
  <c r="C1641" i="129" s="1"/>
  <c r="C1642" i="129" s="1"/>
  <c r="C1643" i="129" s="1"/>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2245"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N2796"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569"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N302"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O2245"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C3086" i="129"/>
  <c r="C3087"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569"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8" i="129" s="1"/>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N3055" i="129" s="1"/>
  <c r="O3058" i="129"/>
  <c r="O3055" i="129" s="1"/>
  <c r="L3058" i="129"/>
  <c r="L3055" i="129" s="1"/>
  <c r="N3042" i="129"/>
  <c r="G3043" i="129"/>
  <c r="A3042" i="129"/>
  <c r="M3042" i="129"/>
  <c r="O3042" i="129"/>
  <c r="L3042" i="129"/>
  <c r="O3049" i="129"/>
  <c r="M3049" i="129"/>
  <c r="A3049" i="129"/>
  <c r="L3049" i="129"/>
  <c r="N3049" i="129"/>
  <c r="H20" i="97" l="1"/>
  <c r="H30" i="97"/>
  <c r="I2712" i="23"/>
  <c r="I2710" i="23"/>
  <c r="A2710" i="23" s="1"/>
  <c r="I2706" i="23"/>
  <c r="I32" i="97" s="1"/>
  <c r="H2707" i="23"/>
  <c r="H2717" i="23"/>
  <c r="H149" i="97" s="1"/>
  <c r="I2714" i="23"/>
  <c r="A2714" i="23" s="1"/>
  <c r="H2718" i="23"/>
  <c r="I2718" i="23" s="1"/>
  <c r="I2682" i="23"/>
  <c r="H107" i="97"/>
  <c r="I2715" i="23"/>
  <c r="H85" i="97"/>
  <c r="A2627" i="23"/>
  <c r="I35" i="97"/>
  <c r="A2553" i="23"/>
  <c r="I70" i="97"/>
  <c r="A2708" i="23"/>
  <c r="I30" i="97"/>
  <c r="D2603" i="23"/>
  <c r="D186" i="97"/>
  <c r="A2592" i="23"/>
  <c r="I48" i="97"/>
  <c r="I2709" i="23"/>
  <c r="H29" i="97"/>
  <c r="D2554" i="23"/>
  <c r="D7" i="97" s="1"/>
  <c r="D70" i="97"/>
  <c r="I2711" i="23"/>
  <c r="H21" i="97"/>
  <c r="I2707" i="23"/>
  <c r="H180" i="97"/>
  <c r="A2607" i="23"/>
  <c r="I49" i="97"/>
  <c r="A2667" i="23"/>
  <c r="I24" i="97"/>
  <c r="A2666" i="23"/>
  <c r="I23" i="97"/>
  <c r="A2703" i="23"/>
  <c r="I193" i="97"/>
  <c r="A2719" i="23"/>
  <c r="I28" i="97"/>
  <c r="A2589" i="23"/>
  <c r="I73" i="97"/>
  <c r="A2712" i="23"/>
  <c r="I120" i="97"/>
  <c r="I2590" i="23"/>
  <c r="H75" i="97"/>
  <c r="A2611" i="23"/>
  <c r="I160" i="97"/>
  <c r="A2716" i="23"/>
  <c r="I182" i="97"/>
  <c r="A2593" i="23"/>
  <c r="I38" i="97"/>
  <c r="A2622" i="23"/>
  <c r="I132" i="97"/>
  <c r="A2629" i="23"/>
  <c r="I56" i="97"/>
  <c r="A2628" i="23"/>
  <c r="I55" i="97"/>
  <c r="I2686" i="23"/>
  <c r="H57" i="97"/>
  <c r="A2665" i="23"/>
  <c r="I14" i="97"/>
  <c r="I2676" i="23"/>
  <c r="H147" i="97"/>
  <c r="A2594" i="23"/>
  <c r="I155" i="97"/>
  <c r="A2608" i="23"/>
  <c r="I52" i="97"/>
  <c r="A2668" i="23"/>
  <c r="I25" i="97"/>
  <c r="A2713" i="23"/>
  <c r="I20" i="97"/>
  <c r="A2677" i="23"/>
  <c r="I191" i="97"/>
  <c r="A2591" i="23"/>
  <c r="I62" i="97"/>
  <c r="A2554" i="23"/>
  <c r="I7" i="97"/>
  <c r="H2685" i="23"/>
  <c r="I2684" i="23"/>
  <c r="H2687" i="23"/>
  <c r="I2679" i="23"/>
  <c r="H2681" i="23"/>
  <c r="I2680" i="23"/>
  <c r="H2769" i="23"/>
  <c r="H2768" i="23"/>
  <c r="M3055" i="129"/>
  <c r="N3240" i="129"/>
  <c r="L3245" i="129"/>
  <c r="N2597" i="129"/>
  <c r="O2257" i="129"/>
  <c r="M3240" i="129"/>
  <c r="O218" i="129"/>
  <c r="O302" i="129"/>
  <c r="G1142" i="129"/>
  <c r="A1142" i="129" s="1"/>
  <c r="M2597" i="129"/>
  <c r="N663" i="129"/>
  <c r="L3240" i="129"/>
  <c r="L1519" i="129"/>
  <c r="O1514" i="129"/>
  <c r="O1519" i="129" s="1"/>
  <c r="M2257" i="129"/>
  <c r="N2801" i="129"/>
  <c r="N2257" i="129"/>
  <c r="M3088" i="129"/>
  <c r="M1548" i="129"/>
  <c r="L1548" i="129"/>
  <c r="A1548" i="129"/>
  <c r="O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M1142" i="129"/>
  <c r="L1142"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C87" i="129"/>
  <c r="C93" i="129" s="1"/>
  <c r="C115" i="129" s="1"/>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O3077" i="129" s="1"/>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1519" i="129" s="1"/>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C431"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3247" i="129" s="1"/>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N2607" i="129" s="1"/>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R1306" i="129" s="1"/>
  <c r="L1308" i="129"/>
  <c r="Q1306" i="129" s="1"/>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S2257" i="129" s="1"/>
  <c r="C1361" i="129"/>
  <c r="C1362" i="129" s="1"/>
  <c r="C1363" i="129" s="1"/>
  <c r="A1361" i="129"/>
  <c r="L1361" i="129"/>
  <c r="O1361" i="129"/>
  <c r="O1369" i="129" s="1"/>
  <c r="T2257" i="129" s="1"/>
  <c r="M1361" i="129"/>
  <c r="M1369" i="129" s="1"/>
  <c r="R2257"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I2717" i="23" l="1"/>
  <c r="A2706" i="23"/>
  <c r="I110" i="97"/>
  <c r="H136" i="97"/>
  <c r="I179" i="97"/>
  <c r="A2676" i="23"/>
  <c r="I147" i="97"/>
  <c r="D2612" i="23"/>
  <c r="D187" i="97"/>
  <c r="A2718" i="23"/>
  <c r="I136" i="97"/>
  <c r="A2680" i="23"/>
  <c r="I76" i="97"/>
  <c r="I2681" i="23"/>
  <c r="H69" i="97"/>
  <c r="A2717" i="23"/>
  <c r="I149" i="97"/>
  <c r="A2715" i="23"/>
  <c r="I85" i="97"/>
  <c r="A2679" i="23"/>
  <c r="I11" i="97"/>
  <c r="I2687" i="23"/>
  <c r="H146" i="97"/>
  <c r="A2686" i="23"/>
  <c r="I57" i="97"/>
  <c r="A2590" i="23"/>
  <c r="I75" i="97"/>
  <c r="A2707" i="23"/>
  <c r="I180" i="97"/>
  <c r="A2709" i="23"/>
  <c r="I29" i="97"/>
  <c r="D2555" i="23"/>
  <c r="A2684" i="23"/>
  <c r="I92" i="97"/>
  <c r="D2556" i="23"/>
  <c r="D2558" i="23" s="1"/>
  <c r="D2560" i="23" s="1"/>
  <c r="I2685" i="23"/>
  <c r="H84" i="97"/>
  <c r="A2711" i="23"/>
  <c r="I21" i="97"/>
  <c r="A2682" i="23"/>
  <c r="I107" i="97"/>
  <c r="O1142" i="129"/>
  <c r="M3095" i="129"/>
  <c r="L1369" i="129"/>
  <c r="N3077" i="129"/>
  <c r="M3077" i="129"/>
  <c r="M3247" i="129"/>
  <c r="M3400" i="129"/>
  <c r="L3400" i="129"/>
  <c r="O3400" i="129"/>
  <c r="L3077" i="129"/>
  <c r="M753" i="129"/>
  <c r="Q2257"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N487" i="129" s="1"/>
  <c r="O486" i="129"/>
  <c r="O487" i="129" s="1"/>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C879" i="129"/>
  <c r="C880" i="129" s="1"/>
  <c r="C888" i="129" s="1"/>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111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T1282" i="129"/>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O573"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S1282"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R1330" i="129" s="1"/>
  <c r="L1338" i="129"/>
  <c r="A1338" i="129"/>
  <c r="N1338" i="129"/>
  <c r="O1338" i="129"/>
  <c r="T1330" i="129" s="1"/>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2685" i="23" l="1"/>
  <c r="I84" i="97"/>
  <c r="D2562" i="23"/>
  <c r="D171" i="97" s="1"/>
  <c r="D181" i="97"/>
  <c r="D2557" i="23"/>
  <c r="D2559" i="23" s="1"/>
  <c r="D2561" i="23" s="1"/>
  <c r="D3" i="97"/>
  <c r="D2625" i="23"/>
  <c r="D188" i="97"/>
  <c r="A2687" i="23"/>
  <c r="I146" i="97"/>
  <c r="A2681" i="23"/>
  <c r="I69" i="97"/>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L3207"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N2051" i="129" s="1"/>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R1300" i="129" s="1"/>
  <c r="A1302" i="129"/>
  <c r="O1302" i="129"/>
  <c r="L1302" i="129"/>
  <c r="Q1300" i="129" s="1"/>
  <c r="C2255" i="129"/>
  <c r="C2256" i="129"/>
  <c r="O3205" i="129"/>
  <c r="M3205" i="129"/>
  <c r="A3205" i="129"/>
  <c r="N3205" i="129"/>
  <c r="L3205" i="129"/>
  <c r="M974" i="129"/>
  <c r="L974" i="129"/>
  <c r="A974" i="129"/>
  <c r="N974" i="129"/>
  <c r="O974" i="129"/>
  <c r="O996" i="129" s="1"/>
  <c r="O3207"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D2630" i="23" l="1"/>
  <c r="D2640" i="23" s="1"/>
  <c r="D2649" i="23" s="1"/>
  <c r="D2663" i="23" s="1"/>
  <c r="D189" i="97"/>
  <c r="D2563" i="23"/>
  <c r="D139" i="97" s="1"/>
  <c r="D170" i="97"/>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N472" i="129" s="1"/>
  <c r="O710" i="129"/>
  <c r="M710" i="129"/>
  <c r="A710" i="129"/>
  <c r="L710" i="129"/>
  <c r="N710" i="129"/>
  <c r="N2385" i="129"/>
  <c r="M1505" i="129"/>
  <c r="M3229" i="129"/>
  <c r="O184" i="129"/>
  <c r="O205" i="129" s="1"/>
  <c r="N184" i="129"/>
  <c r="L184" i="129"/>
  <c r="L205" i="129" s="1"/>
  <c r="N205" i="129"/>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D190" i="97" l="1"/>
  <c r="D2677"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688" i="23" l="1"/>
  <c r="D2694" i="23" s="1"/>
  <c r="D191" i="97"/>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03" i="23" l="1"/>
  <c r="D192" i="97"/>
  <c r="H2287" i="1"/>
  <c r="N1163" i="1"/>
  <c r="M1163" i="1"/>
  <c r="J1163" i="1"/>
  <c r="I1163" i="1"/>
  <c r="T615" i="1"/>
  <c r="G615" i="1"/>
  <c r="F615" i="1"/>
  <c r="D615" i="1"/>
  <c r="N615" i="1" s="1"/>
  <c r="G87" i="97" l="1"/>
  <c r="I12" i="113"/>
  <c r="F87" i="97"/>
  <c r="H12" i="113"/>
  <c r="D2720" i="23"/>
  <c r="D194" i="97" s="1"/>
  <c r="D193" i="97"/>
  <c r="I615" i="1"/>
  <c r="J615" i="1"/>
  <c r="M615" i="1"/>
  <c r="FC96" i="41"/>
  <c r="FC3" i="41"/>
  <c r="FC2" i="41" s="1"/>
  <c r="FC1" i="41"/>
  <c r="C12" i="41"/>
  <c r="C13" i="41" s="1"/>
  <c r="I3" i="96"/>
  <c r="BO1" i="96" l="1"/>
  <c r="BP1" i="96"/>
  <c r="BQ1" i="96"/>
  <c r="BO2" i="96"/>
  <c r="BO3" i="96"/>
  <c r="BP3" i="96"/>
  <c r="BP2" i="96" s="1"/>
  <c r="BQ3" i="96"/>
  <c r="BQ2" i="96" s="1"/>
  <c r="BJ2" i="96"/>
  <c r="BK2" i="96"/>
  <c r="BJ3" i="96"/>
  <c r="BK3" i="96"/>
  <c r="BL3" i="96"/>
  <c r="BL2" i="96" s="1"/>
  <c r="BM3" i="96"/>
  <c r="BM2" i="96" s="1"/>
  <c r="BN3" i="96"/>
  <c r="BN2" i="96" s="1"/>
  <c r="BI3" i="96"/>
  <c r="BI2" i="96" s="1"/>
  <c r="BJ1" i="96"/>
  <c r="BK1" i="96"/>
  <c r="BL1" i="96"/>
  <c r="BM1" i="96"/>
  <c r="BN1" i="96"/>
  <c r="BI1" i="96"/>
  <c r="AD2" i="96" l="1"/>
  <c r="AT5" i="96" l="1"/>
  <c r="B3" i="78" l="1"/>
  <c r="E1502" i="15"/>
  <c r="E1490" i="15"/>
  <c r="E1450" i="15"/>
  <c r="E800" i="15"/>
  <c r="J1513" i="15" l="1"/>
  <c r="J1514" i="15"/>
  <c r="J1515" i="15"/>
  <c r="J1516" i="15"/>
  <c r="J1517" i="15"/>
  <c r="J1518" i="15"/>
  <c r="J1519" i="15"/>
  <c r="J1520" i="15"/>
  <c r="J1521" i="15"/>
  <c r="H23" i="114"/>
  <c r="I23" i="114"/>
  <c r="H21" i="114"/>
  <c r="I21" i="114"/>
  <c r="J21" i="114"/>
  <c r="J1124" i="15"/>
  <c r="E1124" i="15"/>
  <c r="E1125" i="15"/>
  <c r="J1125" i="15"/>
  <c r="J63" i="15"/>
  <c r="E63" i="15"/>
  <c r="J488" i="15"/>
  <c r="E488" i="15"/>
  <c r="E11" i="109" l="1"/>
  <c r="D11" i="109"/>
  <c r="E24" i="109"/>
  <c r="D24" i="109"/>
  <c r="D23" i="111"/>
  <c r="E16" i="109" l="1"/>
  <c r="D10" i="107"/>
  <c r="D25" i="109"/>
  <c r="D10" i="106"/>
  <c r="E13" i="106"/>
  <c r="D13" i="109"/>
  <c r="E25" i="109"/>
  <c r="E15" i="109"/>
  <c r="E14" i="106"/>
  <c r="D17" i="109"/>
  <c r="D8" i="106"/>
  <c r="E11" i="106"/>
  <c r="E17" i="109"/>
  <c r="E15" i="106"/>
  <c r="E7" i="109"/>
  <c r="E12" i="106"/>
  <c r="D9" i="109"/>
  <c r="D6" i="106"/>
  <c r="D14" i="109"/>
  <c r="E9" i="106"/>
  <c r="E9" i="109"/>
  <c r="E10" i="109"/>
  <c r="E6" i="109"/>
  <c r="D13" i="106"/>
  <c r="E4" i="106"/>
  <c r="E10" i="106"/>
  <c r="E13" i="109"/>
  <c r="D6" i="109"/>
  <c r="E7" i="106"/>
  <c r="D9" i="106"/>
  <c r="E8" i="106"/>
  <c r="D9" i="107"/>
  <c r="D15" i="109"/>
  <c r="E5" i="106"/>
  <c r="D5" i="106"/>
  <c r="D15" i="106"/>
  <c r="D10" i="109"/>
  <c r="E6" i="106"/>
  <c r="D7" i="109"/>
  <c r="E10" i="107"/>
  <c r="D16" i="109"/>
  <c r="D12" i="106"/>
  <c r="D8" i="107"/>
  <c r="D11" i="106"/>
  <c r="D4" i="106"/>
  <c r="E14" i="109"/>
  <c r="D14" i="106"/>
  <c r="E8" i="107"/>
  <c r="D7" i="106"/>
  <c r="E9" i="107"/>
  <c r="F4" i="105"/>
  <c r="BC2" i="96"/>
  <c r="BA4" i="96"/>
  <c r="BA2" i="96" s="1"/>
  <c r="BB4" i="96"/>
  <c r="BB2" i="96" s="1"/>
  <c r="BD4" i="96"/>
  <c r="BD2" i="96" s="1"/>
  <c r="BE4" i="96"/>
  <c r="BE2" i="96" s="1"/>
  <c r="BF4" i="96"/>
  <c r="BF2" i="96" s="1"/>
  <c r="BG4" i="96"/>
  <c r="BG2" i="96" s="1"/>
  <c r="BH4" i="96"/>
  <c r="BH2" i="96" s="1"/>
  <c r="AZ4" i="96"/>
  <c r="AZ2" i="96" s="1"/>
  <c r="I3" i="111" l="1"/>
  <c r="I4" i="111"/>
  <c r="I6" i="111"/>
  <c r="I8" i="111"/>
  <c r="I9" i="111"/>
  <c r="I12" i="111"/>
  <c r="I13" i="111"/>
  <c r="I14" i="111"/>
  <c r="I15" i="111"/>
  <c r="I16" i="111"/>
  <c r="I17" i="111"/>
  <c r="I18" i="111"/>
  <c r="I19" i="111"/>
  <c r="I20" i="111"/>
  <c r="I21" i="111"/>
  <c r="I22" i="111"/>
  <c r="I23" i="111"/>
  <c r="I2" i="111"/>
  <c r="L2" i="26" l="1"/>
  <c r="H7" i="114" l="1"/>
  <c r="I7" i="114"/>
  <c r="G23" i="113"/>
  <c r="G24" i="113"/>
  <c r="D24" i="113"/>
  <c r="D23" i="113"/>
  <c r="K5" i="110"/>
  <c r="J5" i="110"/>
  <c r="AW15" i="96"/>
  <c r="AW14" i="96"/>
  <c r="AW13" i="96"/>
  <c r="AW12" i="96"/>
  <c r="AW11" i="96"/>
  <c r="AW10" i="96"/>
  <c r="AW9" i="96"/>
  <c r="AW8" i="96"/>
  <c r="AW7" i="96"/>
  <c r="AW6" i="96"/>
  <c r="AW5" i="96"/>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63" i="1"/>
  <c r="Q1163" i="1"/>
  <c r="G1163" i="1"/>
  <c r="G18" i="97" s="1"/>
  <c r="F1163" i="1"/>
  <c r="F18" i="97" s="1"/>
  <c r="T1177" i="1"/>
  <c r="Q1177" i="1"/>
  <c r="N1177" i="1"/>
  <c r="M1177" i="1"/>
  <c r="J1177" i="1"/>
  <c r="I1177" i="1"/>
  <c r="G1177" i="1"/>
  <c r="F1177" i="1"/>
  <c r="J227" i="15"/>
  <c r="E227" i="15"/>
  <c r="T1099" i="1"/>
  <c r="J1099" i="1"/>
  <c r="I1099" i="1"/>
  <c r="G1099" i="1"/>
  <c r="G37" i="97" s="1"/>
  <c r="F1099" i="1"/>
  <c r="F37" i="97" s="1"/>
  <c r="T628" i="1"/>
  <c r="O628" i="1"/>
  <c r="N628" i="1"/>
  <c r="M628" i="1"/>
  <c r="J628" i="1"/>
  <c r="I628" i="1"/>
  <c r="G628" i="1"/>
  <c r="F628" i="1"/>
  <c r="J1512" i="15"/>
  <c r="J1511" i="15"/>
  <c r="T363" i="1"/>
  <c r="T361" i="1"/>
  <c r="T360" i="1"/>
  <c r="EN1" i="41"/>
  <c r="AC2" i="96"/>
  <c r="J127" i="26" l="1"/>
  <c r="K127" i="26"/>
  <c r="K128" i="26"/>
  <c r="J129" i="26"/>
  <c r="K129" i="26"/>
  <c r="K132" i="26"/>
  <c r="K134" i="26"/>
  <c r="J84" i="15"/>
  <c r="E84" i="15"/>
  <c r="J1500" i="15"/>
  <c r="J196" i="15"/>
  <c r="E196" i="15"/>
  <c r="J371" i="15"/>
  <c r="E371" i="15"/>
  <c r="J370" i="15"/>
  <c r="E370" i="15"/>
  <c r="A403" i="15"/>
  <c r="J403" i="15" s="1"/>
  <c r="D5" i="110"/>
  <c r="D6" i="110"/>
  <c r="D31" i="114"/>
  <c r="D32" i="114"/>
  <c r="D33" i="114"/>
  <c r="D34" i="114"/>
  <c r="D24" i="114"/>
  <c r="D25" i="114"/>
  <c r="D26" i="114"/>
  <c r="D27" i="114"/>
  <c r="D28" i="114"/>
  <c r="D29" i="114"/>
  <c r="D30" i="114"/>
  <c r="D17" i="113"/>
  <c r="G16" i="113"/>
  <c r="D16" i="113"/>
  <c r="G15" i="113"/>
  <c r="D15" i="113"/>
  <c r="G14" i="113"/>
  <c r="D14" i="113"/>
  <c r="E9" i="113"/>
  <c r="K133" i="26" l="1"/>
  <c r="K131" i="26"/>
  <c r="K125" i="26"/>
  <c r="J133" i="26"/>
  <c r="J131" i="26"/>
  <c r="J125" i="26"/>
  <c r="K126" i="26"/>
  <c r="K124" i="26"/>
  <c r="J134" i="26"/>
  <c r="J132" i="26"/>
  <c r="J130" i="26"/>
  <c r="J128" i="26"/>
  <c r="J126" i="26"/>
  <c r="J124" i="26"/>
  <c r="K130" i="26"/>
  <c r="E403" i="15"/>
  <c r="D21" i="114"/>
  <c r="D23" i="114"/>
  <c r="D22" i="114"/>
  <c r="J139" i="15"/>
  <c r="E139" i="15"/>
  <c r="A5" i="105"/>
  <c r="A6" i="105"/>
  <c r="A7" i="105"/>
  <c r="A8" i="105"/>
  <c r="A9" i="105"/>
  <c r="A10" i="105"/>
  <c r="A11" i="105"/>
  <c r="A12" i="105"/>
  <c r="A4" i="105"/>
  <c r="H4" i="106"/>
  <c r="H5" i="106"/>
  <c r="J90" i="15" l="1"/>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69" i="15"/>
  <c r="J372" i="15"/>
  <c r="J373" i="15"/>
  <c r="J374" i="15"/>
  <c r="J375" i="15"/>
  <c r="J376" i="15"/>
  <c r="J377" i="15"/>
  <c r="J378" i="15"/>
  <c r="J379" i="15"/>
  <c r="J380" i="15"/>
  <c r="J381" i="15"/>
  <c r="J382" i="15"/>
  <c r="J383" i="15"/>
  <c r="J384" i="15"/>
  <c r="J385" i="15"/>
  <c r="J386" i="15"/>
  <c r="J387" i="15"/>
  <c r="J388" i="15"/>
  <c r="J389" i="15"/>
  <c r="J390" i="15"/>
  <c r="J391" i="15"/>
  <c r="J392" i="15"/>
  <c r="J397" i="15"/>
  <c r="J398" i="15"/>
  <c r="J399" i="15"/>
  <c r="J400"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73" i="15"/>
  <c r="J1174" i="15"/>
  <c r="J1175" i="15"/>
  <c r="J1176" i="15"/>
  <c r="J1177"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1" i="15"/>
  <c r="J1502" i="15"/>
  <c r="J1503" i="15"/>
  <c r="J1504" i="15"/>
  <c r="J1505" i="15"/>
  <c r="J1506" i="15"/>
  <c r="J1507" i="15"/>
  <c r="J1508" i="15"/>
  <c r="J1509" i="15"/>
  <c r="J1510"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4" i="15"/>
  <c r="J65" i="15"/>
  <c r="J66" i="15"/>
  <c r="J67" i="15"/>
  <c r="J68" i="15"/>
  <c r="J69" i="15"/>
  <c r="J70" i="15"/>
  <c r="J71" i="15"/>
  <c r="J72" i="15"/>
  <c r="J73" i="15"/>
  <c r="J74" i="15"/>
  <c r="J75" i="15"/>
  <c r="J76" i="15"/>
  <c r="J77" i="15"/>
  <c r="J78" i="15"/>
  <c r="J79" i="15"/>
  <c r="J80" i="15"/>
  <c r="J81" i="15"/>
  <c r="J82" i="15"/>
  <c r="J83" i="15"/>
  <c r="J85" i="15"/>
  <c r="J86" i="15"/>
  <c r="J87" i="15"/>
  <c r="J88" i="15"/>
  <c r="J89" i="15"/>
  <c r="J3" i="15"/>
  <c r="I4" i="105"/>
  <c r="I5" i="105"/>
  <c r="I6" i="105"/>
  <c r="I7" i="105"/>
  <c r="I8" i="105"/>
  <c r="H1892" i="1" l="1"/>
  <c r="H1893" i="1"/>
  <c r="H1891" i="1"/>
  <c r="C11" i="26" l="1"/>
  <c r="B8" i="26"/>
  <c r="C9" i="26"/>
  <c r="C10" i="26"/>
  <c r="H24" i="109"/>
  <c r="H23"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9"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1" i="15"/>
  <c r="A1171" i="15"/>
  <c r="C1170" i="15"/>
  <c r="A1170" i="15"/>
  <c r="C1169" i="15"/>
  <c r="A1169" i="15"/>
  <c r="C1168" i="15"/>
  <c r="A1168" i="15"/>
  <c r="C1172" i="15"/>
  <c r="A1166" i="15"/>
  <c r="A1167" i="15"/>
  <c r="A1172" i="15"/>
  <c r="C1167" i="15"/>
  <c r="C1166" i="15"/>
  <c r="I987" i="23"/>
  <c r="A987" i="23" s="1"/>
  <c r="I982" i="23"/>
  <c r="A982" i="23" s="1"/>
  <c r="I981" i="23"/>
  <c r="A981" i="23" s="1"/>
  <c r="I980" i="23"/>
  <c r="A980" i="23" s="1"/>
  <c r="I979" i="23"/>
  <c r="A979" i="23" s="1"/>
  <c r="D979" i="23"/>
  <c r="E61" i="15"/>
  <c r="H1880" i="1"/>
  <c r="T1880" i="1"/>
  <c r="C395" i="15"/>
  <c r="A395" i="15"/>
  <c r="A394" i="15"/>
  <c r="C393" i="15"/>
  <c r="A393" i="15"/>
  <c r="C396" i="15"/>
  <c r="A396" i="15"/>
  <c r="C405" i="15"/>
  <c r="A405" i="15"/>
  <c r="A404" i="15"/>
  <c r="A402" i="15"/>
  <c r="C401" i="15"/>
  <c r="A401" i="15"/>
  <c r="C406" i="15"/>
  <c r="A406" i="15"/>
  <c r="J406" i="15" s="1"/>
  <c r="E400" i="15"/>
  <c r="R885" i="1"/>
  <c r="R884" i="1"/>
  <c r="R883" i="1"/>
  <c r="R882" i="1"/>
  <c r="R881" i="1"/>
  <c r="R880" i="1"/>
  <c r="Q885" i="1"/>
  <c r="Q884" i="1"/>
  <c r="Q883" i="1"/>
  <c r="Q882" i="1"/>
  <c r="Q881" i="1"/>
  <c r="Q880" i="1"/>
  <c r="R874" i="1"/>
  <c r="Q874" i="1"/>
  <c r="R873" i="1"/>
  <c r="Q873" i="1"/>
  <c r="R872" i="1"/>
  <c r="Q872" i="1"/>
  <c r="R871" i="1"/>
  <c r="Q871" i="1"/>
  <c r="R870" i="1"/>
  <c r="Q870" i="1"/>
  <c r="I869" i="1"/>
  <c r="J869" i="1"/>
  <c r="M869" i="1"/>
  <c r="N869" i="1"/>
  <c r="O869" i="1"/>
  <c r="Q869" i="1"/>
  <c r="R869" i="1"/>
  <c r="I636" i="1"/>
  <c r="J636" i="1"/>
  <c r="M636" i="1"/>
  <c r="N636" i="1"/>
  <c r="O636" i="1"/>
  <c r="Q636" i="1"/>
  <c r="R636" i="1"/>
  <c r="I637" i="1"/>
  <c r="J637" i="1"/>
  <c r="M637" i="1"/>
  <c r="N637" i="1"/>
  <c r="O637" i="1"/>
  <c r="Q637" i="1"/>
  <c r="R637" i="1"/>
  <c r="I638" i="1"/>
  <c r="J638" i="1"/>
  <c r="M638" i="1"/>
  <c r="N638" i="1"/>
  <c r="O638" i="1"/>
  <c r="Q638" i="1"/>
  <c r="R638" i="1"/>
  <c r="I639" i="1"/>
  <c r="J639" i="1"/>
  <c r="M639" i="1"/>
  <c r="N639" i="1"/>
  <c r="O639" i="1"/>
  <c r="Q639" i="1"/>
  <c r="R639" i="1"/>
  <c r="I640" i="1"/>
  <c r="J640" i="1"/>
  <c r="M640" i="1"/>
  <c r="N640" i="1"/>
  <c r="O640" i="1"/>
  <c r="Q640" i="1"/>
  <c r="R640" i="1"/>
  <c r="I643" i="1"/>
  <c r="J643" i="1"/>
  <c r="M643" i="1"/>
  <c r="N643" i="1"/>
  <c r="O643" i="1"/>
  <c r="Q643" i="1"/>
  <c r="R643" i="1"/>
  <c r="I644" i="1"/>
  <c r="J644" i="1"/>
  <c r="M644" i="1"/>
  <c r="N644" i="1"/>
  <c r="O644" i="1"/>
  <c r="Q644" i="1"/>
  <c r="R644" i="1"/>
  <c r="I645" i="1"/>
  <c r="J645" i="1"/>
  <c r="M645" i="1"/>
  <c r="N645" i="1"/>
  <c r="O645" i="1"/>
  <c r="Q645" i="1"/>
  <c r="R645" i="1"/>
  <c r="T645" i="1"/>
  <c r="T644" i="1"/>
  <c r="T643" i="1"/>
  <c r="T642" i="1"/>
  <c r="D642" i="1"/>
  <c r="I642" i="1" s="1"/>
  <c r="T641" i="1"/>
  <c r="D641" i="1"/>
  <c r="J641" i="1" s="1"/>
  <c r="T640" i="1"/>
  <c r="G640" i="1"/>
  <c r="F640" i="1"/>
  <c r="T639" i="1"/>
  <c r="T638" i="1"/>
  <c r="G638" i="1"/>
  <c r="F638" i="1"/>
  <c r="T637" i="1"/>
  <c r="G637" i="1"/>
  <c r="F637" i="1"/>
  <c r="T636" i="1"/>
  <c r="G636" i="1"/>
  <c r="F636"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O1" i="41"/>
  <c r="EP1" i="41"/>
  <c r="EQ1" i="41"/>
  <c r="ER1" i="41"/>
  <c r="ES1" i="41"/>
  <c r="ET1" i="41"/>
  <c r="EU1" i="41"/>
  <c r="EV1" i="41"/>
  <c r="EW1" i="41"/>
  <c r="EX1" i="41"/>
  <c r="EY1" i="41"/>
  <c r="EZ1" i="41"/>
  <c r="FA1" i="41"/>
  <c r="FB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F3" i="41"/>
  <c r="DF2" i="41" s="1"/>
  <c r="DE3" i="41"/>
  <c r="DE2" i="41" s="1"/>
  <c r="DB3" i="41"/>
  <c r="DB2" i="41" s="1"/>
  <c r="CW3" i="41"/>
  <c r="CW2" i="41" s="1"/>
  <c r="CV3" i="41"/>
  <c r="CV2" i="41" s="1"/>
  <c r="CS3" i="41"/>
  <c r="CS2" i="41" s="1"/>
  <c r="CR3" i="41"/>
  <c r="CR2" i="41" s="1"/>
  <c r="T889" i="1"/>
  <c r="D889" i="1"/>
  <c r="C889" i="1"/>
  <c r="T888" i="1"/>
  <c r="C888" i="1"/>
  <c r="T887" i="1"/>
  <c r="C887" i="1"/>
  <c r="T886" i="1"/>
  <c r="C886" i="1"/>
  <c r="T885" i="1"/>
  <c r="N885" i="1"/>
  <c r="M885" i="1"/>
  <c r="J885" i="1"/>
  <c r="I885" i="1"/>
  <c r="G885" i="1"/>
  <c r="F885" i="1"/>
  <c r="T884" i="1"/>
  <c r="N884" i="1"/>
  <c r="M884" i="1"/>
  <c r="J884" i="1"/>
  <c r="I884" i="1"/>
  <c r="G884" i="1"/>
  <c r="F884" i="1"/>
  <c r="T883" i="1"/>
  <c r="N883" i="1"/>
  <c r="M883" i="1"/>
  <c r="J883" i="1"/>
  <c r="I883" i="1"/>
  <c r="G883" i="1"/>
  <c r="F883" i="1"/>
  <c r="T882" i="1"/>
  <c r="N882" i="1"/>
  <c r="M882" i="1"/>
  <c r="J882" i="1"/>
  <c r="I882" i="1"/>
  <c r="G882" i="1"/>
  <c r="F882" i="1"/>
  <c r="T881" i="1"/>
  <c r="J881" i="1"/>
  <c r="I881" i="1"/>
  <c r="N881" i="1"/>
  <c r="T880" i="1"/>
  <c r="N880" i="1"/>
  <c r="CI96" i="41"/>
  <c r="CJ96" i="41"/>
  <c r="CK96" i="41"/>
  <c r="CL96" i="41"/>
  <c r="CM96" i="41"/>
  <c r="CN96" i="41"/>
  <c r="CO96" i="41"/>
  <c r="CP96" i="41"/>
  <c r="CQ96" i="41"/>
  <c r="CR96" i="41"/>
  <c r="CS96" i="41"/>
  <c r="E7" i="110" l="1"/>
  <c r="E13" i="110"/>
  <c r="I13" i="110" s="1"/>
  <c r="E14" i="110"/>
  <c r="I14" i="110" s="1"/>
  <c r="E6" i="110"/>
  <c r="E15" i="110"/>
  <c r="I15" i="110" s="1"/>
  <c r="E8" i="110"/>
  <c r="I8" i="110" s="1"/>
  <c r="E12" i="110"/>
  <c r="I12" i="110" s="1"/>
  <c r="E9" i="110"/>
  <c r="I9" i="110" s="1"/>
  <c r="E10" i="110"/>
  <c r="I10" i="110" s="1"/>
  <c r="E11" i="110"/>
  <c r="I11" i="110" s="1"/>
  <c r="T1945" i="1"/>
  <c r="T1863" i="1"/>
  <c r="P1863" i="1" s="1"/>
  <c r="K13" i="114" s="1"/>
  <c r="T1904" i="1"/>
  <c r="P1904" i="1" s="1"/>
  <c r="T1939" i="1"/>
  <c r="P1939" i="1" s="1"/>
  <c r="I176" i="97" s="1"/>
  <c r="T1870" i="1"/>
  <c r="P1870" i="1" s="1"/>
  <c r="T1935" i="1"/>
  <c r="P1935" i="1" s="1"/>
  <c r="I175" i="97" s="1"/>
  <c r="T1933" i="1"/>
  <c r="T1927" i="1"/>
  <c r="T1879" i="1"/>
  <c r="P1879" i="1" s="1"/>
  <c r="K1904" i="1"/>
  <c r="H1904" i="1" s="1"/>
  <c r="H103" i="97" s="1"/>
  <c r="T1914" i="1"/>
  <c r="T1899" i="1"/>
  <c r="P1899" i="1" s="1"/>
  <c r="T1907" i="1"/>
  <c r="T1900" i="1"/>
  <c r="P1900" i="1" s="1"/>
  <c r="I60" i="97" s="1"/>
  <c r="T1877" i="1"/>
  <c r="P1877" i="1" s="1"/>
  <c r="K14" i="114" s="1"/>
  <c r="G14" i="114" s="1"/>
  <c r="T1852" i="1"/>
  <c r="P1852" i="1" s="1"/>
  <c r="K12" i="114" s="1"/>
  <c r="G12" i="114" s="1"/>
  <c r="T1869" i="1"/>
  <c r="P1869" i="1" s="1"/>
  <c r="J15" i="97"/>
  <c r="G2554" i="23"/>
  <c r="G7" i="97" s="1"/>
  <c r="G2605" i="23"/>
  <c r="G116" i="97" s="1"/>
  <c r="G2594" i="23"/>
  <c r="G155" i="97" s="1"/>
  <c r="G2553" i="23"/>
  <c r="G70" i="97" s="1"/>
  <c r="G2598" i="23"/>
  <c r="G112" i="97" s="1"/>
  <c r="G2589" i="23"/>
  <c r="G73" i="97" s="1"/>
  <c r="G2552" i="23"/>
  <c r="G5" i="97" s="1"/>
  <c r="G2602" i="23"/>
  <c r="G157" i="97" s="1"/>
  <c r="G2563" i="23"/>
  <c r="G139" i="97" s="1"/>
  <c r="G2551" i="23"/>
  <c r="G2" i="97" s="1"/>
  <c r="G2606" i="23"/>
  <c r="G113" i="97" s="1"/>
  <c r="G2562" i="23"/>
  <c r="G171" i="97" s="1"/>
  <c r="G2611" i="23"/>
  <c r="G160" i="97" s="1"/>
  <c r="G2590" i="23"/>
  <c r="G75" i="97" s="1"/>
  <c r="G2561" i="23"/>
  <c r="G170" i="97" s="1"/>
  <c r="G2560" i="23"/>
  <c r="G181" i="97" s="1"/>
  <c r="G2597" i="23"/>
  <c r="G117" i="97" s="1"/>
  <c r="G2555" i="23"/>
  <c r="G3" i="97" s="1"/>
  <c r="F2732" i="23"/>
  <c r="F83" i="97" s="1"/>
  <c r="F2712" i="23"/>
  <c r="F120" i="97" s="1"/>
  <c r="F2701" i="23"/>
  <c r="F135" i="97" s="1"/>
  <c r="E18" i="105" s="1"/>
  <c r="F2684" i="23"/>
  <c r="F92" i="97" s="1"/>
  <c r="F2560" i="23"/>
  <c r="F181" i="97" s="1"/>
  <c r="F2598" i="23"/>
  <c r="F112" i="97" s="1"/>
  <c r="F2621" i="23"/>
  <c r="F140" i="97" s="1"/>
  <c r="F2674" i="23"/>
  <c r="F34" i="97" s="1"/>
  <c r="F2666" i="23"/>
  <c r="F23" i="97" s="1"/>
  <c r="F2597" i="23"/>
  <c r="F117" i="97" s="1"/>
  <c r="F2551" i="23"/>
  <c r="F2" i="97" s="1"/>
  <c r="F2739" i="23"/>
  <c r="F93" i="97" s="1"/>
  <c r="F2731" i="23"/>
  <c r="F82" i="97" s="1"/>
  <c r="F2719" i="23"/>
  <c r="F28" i="97" s="1"/>
  <c r="F2711" i="23"/>
  <c r="F21" i="97" s="1"/>
  <c r="F2700" i="23"/>
  <c r="F150" i="97" s="1"/>
  <c r="F2682" i="23"/>
  <c r="F107" i="97" s="1"/>
  <c r="F2555" i="23"/>
  <c r="F3" i="97" s="1"/>
  <c r="F2618" i="23"/>
  <c r="F2606" i="23"/>
  <c r="F113" i="97" s="1"/>
  <c r="F2738" i="23"/>
  <c r="F122" i="97" s="1"/>
  <c r="D84" i="109" s="1"/>
  <c r="F2730" i="23"/>
  <c r="F68" i="97" s="1"/>
  <c r="F2718" i="23"/>
  <c r="F136" i="97" s="1"/>
  <c r="F2699" i="23"/>
  <c r="F177" i="97" s="1"/>
  <c r="F2681" i="23"/>
  <c r="F69" i="97" s="1"/>
  <c r="F2554" i="23"/>
  <c r="F7" i="97" s="1"/>
  <c r="F2590" i="23"/>
  <c r="F75" i="97" s="1"/>
  <c r="F2611" i="23"/>
  <c r="F160" i="97" s="1"/>
  <c r="F2737" i="23"/>
  <c r="F67" i="97" s="1"/>
  <c r="F2729" i="23"/>
  <c r="F108" i="97" s="1"/>
  <c r="F2717" i="23"/>
  <c r="F149" i="97" s="1"/>
  <c r="F2709" i="23"/>
  <c r="F29" i="97" s="1"/>
  <c r="F2698" i="23"/>
  <c r="F178" i="97" s="1"/>
  <c r="F2680" i="23"/>
  <c r="F76" i="97" s="1"/>
  <c r="F2553" i="23"/>
  <c r="F70" i="97" s="1"/>
  <c r="F2589" i="23"/>
  <c r="F73" i="97" s="1"/>
  <c r="F2629" i="23"/>
  <c r="F56" i="97" s="1"/>
  <c r="F2697" i="23"/>
  <c r="F119" i="97" s="1"/>
  <c r="F2602" i="23"/>
  <c r="F157" i="97" s="1"/>
  <c r="F2628" i="23"/>
  <c r="F55" i="97" s="1"/>
  <c r="F2736" i="23"/>
  <c r="F97" i="97" s="1"/>
  <c r="F2728" i="23"/>
  <c r="F106" i="97" s="1"/>
  <c r="F2716" i="23"/>
  <c r="F182" i="97" s="1"/>
  <c r="F2708" i="23"/>
  <c r="F30" i="97" s="1"/>
  <c r="F2552" i="23"/>
  <c r="F5" i="97" s="1"/>
  <c r="F2627" i="23"/>
  <c r="F35" i="97" s="1"/>
  <c r="D110" i="109" s="1"/>
  <c r="F2735" i="23"/>
  <c r="F98" i="97" s="1"/>
  <c r="F2726" i="23"/>
  <c r="F26" i="97" s="1"/>
  <c r="F2715" i="23"/>
  <c r="F85" i="97" s="1"/>
  <c r="F2707" i="23"/>
  <c r="F180" i="97" s="1"/>
  <c r="F2687" i="23"/>
  <c r="F146" i="97" s="1"/>
  <c r="F2563" i="23"/>
  <c r="F139" i="97" s="1"/>
  <c r="F2734" i="23"/>
  <c r="F58" i="97" s="1"/>
  <c r="F2725" i="23"/>
  <c r="F123" i="97" s="1"/>
  <c r="F2714" i="23"/>
  <c r="F179" i="97" s="1"/>
  <c r="F2706" i="23"/>
  <c r="F32" i="97" s="1"/>
  <c r="F2686" i="23"/>
  <c r="F57" i="97" s="1"/>
  <c r="F2562" i="23"/>
  <c r="F171" i="97" s="1"/>
  <c r="F2594" i="23"/>
  <c r="F155" i="97" s="1"/>
  <c r="F2605" i="23"/>
  <c r="F116" i="97" s="1"/>
  <c r="F2676" i="23"/>
  <c r="F147" i="97" s="1"/>
  <c r="F2668" i="23"/>
  <c r="F25" i="97" s="1"/>
  <c r="F2702" i="23"/>
  <c r="F133" i="97" s="1"/>
  <c r="F2561" i="23"/>
  <c r="F170" i="97" s="1"/>
  <c r="F2675" i="23"/>
  <c r="F153" i="97" s="1"/>
  <c r="F2667" i="23"/>
  <c r="F24" i="97" s="1"/>
  <c r="F2733" i="23"/>
  <c r="F91" i="97" s="1"/>
  <c r="F2713" i="23"/>
  <c r="F20" i="97" s="1"/>
  <c r="F2685" i="23"/>
  <c r="F84" i="97" s="1"/>
  <c r="F2622" i="23"/>
  <c r="F132" i="97" s="1"/>
  <c r="F2669" i="23"/>
  <c r="F22" i="97" s="1"/>
  <c r="J24" i="97"/>
  <c r="J32" i="97"/>
  <c r="J55" i="97"/>
  <c r="J71" i="97"/>
  <c r="J103" i="97"/>
  <c r="J111" i="97"/>
  <c r="J119" i="97"/>
  <c r="J127" i="97"/>
  <c r="J135" i="97"/>
  <c r="J143" i="97"/>
  <c r="J151" i="97"/>
  <c r="J159" i="97"/>
  <c r="J167" i="97"/>
  <c r="J177" i="97"/>
  <c r="J185" i="97"/>
  <c r="J193" i="97"/>
  <c r="J201" i="97"/>
  <c r="J209" i="97"/>
  <c r="J217" i="97"/>
  <c r="J225" i="97"/>
  <c r="J233" i="97"/>
  <c r="J241" i="97"/>
  <c r="J249" i="97"/>
  <c r="J257" i="97"/>
  <c r="J265" i="97"/>
  <c r="J69" i="97"/>
  <c r="J125" i="97"/>
  <c r="J183" i="97"/>
  <c r="J191" i="97"/>
  <c r="J199" i="97"/>
  <c r="J207" i="97"/>
  <c r="J215" i="97"/>
  <c r="J223" i="97"/>
  <c r="J239" i="97"/>
  <c r="J247" i="97"/>
  <c r="K247" i="97" s="1"/>
  <c r="J263" i="97"/>
  <c r="J4" i="97"/>
  <c r="J25" i="97"/>
  <c r="J33" i="97"/>
  <c r="K33" i="97" s="1"/>
  <c r="J56" i="97"/>
  <c r="J72" i="97"/>
  <c r="J104" i="97"/>
  <c r="J112" i="97"/>
  <c r="J120" i="97"/>
  <c r="J128" i="97"/>
  <c r="J136" i="97"/>
  <c r="J144" i="97"/>
  <c r="J152" i="97"/>
  <c r="J160" i="97"/>
  <c r="J168" i="97"/>
  <c r="J178" i="97"/>
  <c r="J186" i="97"/>
  <c r="J194" i="97"/>
  <c r="J202" i="97"/>
  <c r="J210" i="97"/>
  <c r="J218" i="97"/>
  <c r="J226" i="97"/>
  <c r="J234" i="97"/>
  <c r="J242" i="97"/>
  <c r="J250" i="97"/>
  <c r="J258" i="97"/>
  <c r="J266" i="97"/>
  <c r="J77" i="97"/>
  <c r="J141" i="97"/>
  <c r="J5" i="97"/>
  <c r="J19" i="97"/>
  <c r="J26" i="97"/>
  <c r="J34" i="97"/>
  <c r="J57" i="97"/>
  <c r="J65" i="97"/>
  <c r="J73" i="97"/>
  <c r="J97" i="97"/>
  <c r="J105" i="97"/>
  <c r="J113" i="97"/>
  <c r="J121" i="97"/>
  <c r="J129" i="97"/>
  <c r="J137" i="97"/>
  <c r="J145" i="97"/>
  <c r="J153" i="97"/>
  <c r="J161" i="97"/>
  <c r="J169" i="97"/>
  <c r="J179" i="97"/>
  <c r="J187" i="97"/>
  <c r="J195" i="97"/>
  <c r="J203" i="97"/>
  <c r="J211" i="97"/>
  <c r="J219" i="97"/>
  <c r="J227" i="97"/>
  <c r="J235" i="97"/>
  <c r="J243" i="97"/>
  <c r="J251" i="97"/>
  <c r="J259" i="97"/>
  <c r="J267" i="97"/>
  <c r="J85" i="97"/>
  <c r="J157" i="97"/>
  <c r="J175" i="97"/>
  <c r="J269" i="97"/>
  <c r="J27" i="97"/>
  <c r="J35" i="97"/>
  <c r="J58" i="97"/>
  <c r="J66" i="97"/>
  <c r="J74" i="97"/>
  <c r="J82" i="97"/>
  <c r="J98" i="97"/>
  <c r="J106" i="97"/>
  <c r="J114" i="97"/>
  <c r="J122" i="97"/>
  <c r="J130" i="97"/>
  <c r="J138" i="97"/>
  <c r="J146" i="97"/>
  <c r="J154" i="97"/>
  <c r="J162" i="97"/>
  <c r="J170" i="97"/>
  <c r="J180" i="97"/>
  <c r="J188" i="97"/>
  <c r="J196" i="97"/>
  <c r="J204" i="97"/>
  <c r="J212" i="97"/>
  <c r="J220" i="97"/>
  <c r="J228" i="97"/>
  <c r="J236" i="97"/>
  <c r="J244" i="97"/>
  <c r="J252" i="97"/>
  <c r="J260" i="97"/>
  <c r="J268" i="97"/>
  <c r="J30" i="97"/>
  <c r="J117" i="97"/>
  <c r="J173" i="97"/>
  <c r="J176" i="97"/>
  <c r="J20" i="97"/>
  <c r="J28" i="97"/>
  <c r="J3" i="97"/>
  <c r="J59" i="97"/>
  <c r="J67" i="97"/>
  <c r="J75" i="97"/>
  <c r="J83" i="97"/>
  <c r="J91" i="97"/>
  <c r="J107" i="97"/>
  <c r="J115" i="97"/>
  <c r="J123" i="97"/>
  <c r="J131" i="97"/>
  <c r="J139" i="97"/>
  <c r="J147" i="97"/>
  <c r="J155" i="97"/>
  <c r="J163" i="97"/>
  <c r="J171" i="97"/>
  <c r="J181" i="97"/>
  <c r="J189" i="97"/>
  <c r="J197" i="97"/>
  <c r="J205" i="97"/>
  <c r="J213" i="97"/>
  <c r="J221" i="97"/>
  <c r="J229" i="97"/>
  <c r="J237" i="97"/>
  <c r="J245" i="97"/>
  <c r="J253" i="97"/>
  <c r="J261" i="97"/>
  <c r="J93" i="97"/>
  <c r="J165" i="97"/>
  <c r="J6" i="97"/>
  <c r="J21" i="97"/>
  <c r="J29" i="97"/>
  <c r="J68" i="97"/>
  <c r="J76" i="97"/>
  <c r="J84" i="97"/>
  <c r="J92" i="97"/>
  <c r="J108" i="97"/>
  <c r="J116" i="97"/>
  <c r="J124" i="97"/>
  <c r="J132" i="97"/>
  <c r="J140" i="97"/>
  <c r="J148" i="97"/>
  <c r="J156" i="97"/>
  <c r="J164" i="97"/>
  <c r="J172" i="97"/>
  <c r="J182" i="97"/>
  <c r="J190" i="97"/>
  <c r="J198" i="97"/>
  <c r="J206" i="97"/>
  <c r="J214" i="97"/>
  <c r="J222" i="97"/>
  <c r="J230" i="97"/>
  <c r="J238" i="97"/>
  <c r="J246" i="97"/>
  <c r="K246" i="97" s="1"/>
  <c r="J254" i="97"/>
  <c r="J262" i="97"/>
  <c r="J7" i="97"/>
  <c r="J149" i="97"/>
  <c r="J23" i="97"/>
  <c r="J31" i="97"/>
  <c r="J54" i="97"/>
  <c r="J70" i="97"/>
  <c r="J78" i="97"/>
  <c r="J102" i="97"/>
  <c r="J126" i="97"/>
  <c r="J134" i="97"/>
  <c r="J150" i="97"/>
  <c r="J158" i="97"/>
  <c r="J166" i="97"/>
  <c r="J174" i="97"/>
  <c r="J184" i="97"/>
  <c r="J192" i="97"/>
  <c r="J200" i="97"/>
  <c r="J208" i="97"/>
  <c r="J216" i="97"/>
  <c r="J224" i="97"/>
  <c r="J232" i="97"/>
  <c r="J240" i="97"/>
  <c r="J248" i="97"/>
  <c r="J256" i="97"/>
  <c r="J264" i="97"/>
  <c r="J22" i="97"/>
  <c r="J133" i="97"/>
  <c r="J231" i="97"/>
  <c r="J255" i="97"/>
  <c r="G2746" i="23"/>
  <c r="F2751" i="23"/>
  <c r="G2753" i="23"/>
  <c r="E2756" i="23"/>
  <c r="G2761" i="23"/>
  <c r="E2765" i="23"/>
  <c r="E2770" i="23"/>
  <c r="F2774"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749" i="23"/>
  <c r="G2751" i="23"/>
  <c r="E2754" i="23"/>
  <c r="F2756" i="23"/>
  <c r="F2765" i="23"/>
  <c r="F2770" i="23"/>
  <c r="G2774" i="23"/>
  <c r="A648" i="129"/>
  <c r="A640" i="129"/>
  <c r="A632" i="129"/>
  <c r="A624" i="129"/>
  <c r="A616" i="129"/>
  <c r="A600" i="129"/>
  <c r="A592" i="129"/>
  <c r="A584" i="129"/>
  <c r="A576" i="129"/>
  <c r="A568" i="129"/>
  <c r="A559" i="129"/>
  <c r="A551" i="129"/>
  <c r="A542" i="129"/>
  <c r="A526" i="129"/>
  <c r="A510" i="129"/>
  <c r="A502" i="129"/>
  <c r="A494" i="129"/>
  <c r="A486" i="129"/>
  <c r="A478" i="129"/>
  <c r="E2747" i="23"/>
  <c r="F2749" i="23"/>
  <c r="E2752" i="23"/>
  <c r="F2754" i="23"/>
  <c r="G2756" i="23"/>
  <c r="G2765" i="23"/>
  <c r="G2770" i="23"/>
  <c r="E2775"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747" i="23"/>
  <c r="G2749" i="23"/>
  <c r="F2752" i="23"/>
  <c r="G2754" i="23"/>
  <c r="E2757" i="23"/>
  <c r="E2763" i="23"/>
  <c r="F2775" i="23"/>
  <c r="A654" i="129"/>
  <c r="A646" i="129"/>
  <c r="A622" i="129"/>
  <c r="A614" i="129"/>
  <c r="A606" i="129"/>
  <c r="A598" i="129"/>
  <c r="A590" i="129"/>
  <c r="G2747" i="23"/>
  <c r="E2750" i="23"/>
  <c r="G2752" i="23"/>
  <c r="F2757" i="23"/>
  <c r="F2763" i="23"/>
  <c r="E2773" i="23"/>
  <c r="G2775"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748" i="23"/>
  <c r="F2750" i="23"/>
  <c r="E2755" i="23"/>
  <c r="G2757" i="23"/>
  <c r="G2763" i="23"/>
  <c r="F2773"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746" i="23"/>
  <c r="F2748" i="23"/>
  <c r="G2750" i="23"/>
  <c r="E2753" i="23"/>
  <c r="F2755" i="23"/>
  <c r="F2764" i="23"/>
  <c r="G2773" i="23"/>
  <c r="A651" i="129"/>
  <c r="A643" i="129"/>
  <c r="A635" i="129"/>
  <c r="A627" i="129"/>
  <c r="A619" i="129"/>
  <c r="A611" i="129"/>
  <c r="A571" i="129"/>
  <c r="A563" i="129"/>
  <c r="A554" i="129"/>
  <c r="A537" i="129"/>
  <c r="A529" i="129"/>
  <c r="A521" i="129"/>
  <c r="A513" i="129"/>
  <c r="A481" i="129"/>
  <c r="A472" i="129"/>
  <c r="A464" i="129"/>
  <c r="A456" i="129"/>
  <c r="A432" i="129"/>
  <c r="A424" i="129"/>
  <c r="F2746" i="23"/>
  <c r="G2755"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748" i="23"/>
  <c r="F2761"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751" i="23"/>
  <c r="E2774"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764"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753"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769" i="23"/>
  <c r="G2769" i="23"/>
  <c r="F2769" i="23"/>
  <c r="A548" i="129"/>
  <c r="G2276" i="1"/>
  <c r="F2276" i="1"/>
  <c r="E2276" i="1"/>
  <c r="G1902" i="1"/>
  <c r="G65" i="97" s="1"/>
  <c r="F1903" i="1"/>
  <c r="F66" i="97" s="1"/>
  <c r="G1904" i="1"/>
  <c r="G103" i="97" s="1"/>
  <c r="F1904" i="1"/>
  <c r="F103" i="97" s="1"/>
  <c r="G1903" i="1"/>
  <c r="G66" i="97" s="1"/>
  <c r="F1902" i="1"/>
  <c r="F65" i="97" s="1"/>
  <c r="T2276" i="1"/>
  <c r="K2276" i="1"/>
  <c r="H2276" i="1" s="1"/>
  <c r="K1903" i="1"/>
  <c r="H1903" i="1" s="1"/>
  <c r="H66" i="97" s="1"/>
  <c r="T1903" i="1"/>
  <c r="P1903" i="1" s="1"/>
  <c r="I66" i="97" s="1"/>
  <c r="T1902" i="1"/>
  <c r="P1902" i="1" s="1"/>
  <c r="I65" i="97" s="1"/>
  <c r="K1902" i="1"/>
  <c r="H1902" i="1" s="1"/>
  <c r="H65" i="97" s="1"/>
  <c r="F955" i="1"/>
  <c r="F114" i="97" s="1"/>
  <c r="F956" i="1"/>
  <c r="F269" i="97" s="1"/>
  <c r="K123" i="97"/>
  <c r="J2" i="97"/>
  <c r="E5" i="110"/>
  <c r="D24" i="111"/>
  <c r="D21" i="111"/>
  <c r="D22" i="111"/>
  <c r="F801" i="1"/>
  <c r="F111" i="97" s="1"/>
  <c r="F856" i="1"/>
  <c r="F857" i="1"/>
  <c r="G897" i="23"/>
  <c r="F909" i="23"/>
  <c r="E908" i="23"/>
  <c r="E909" i="23"/>
  <c r="F897" i="23"/>
  <c r="G909" i="23"/>
  <c r="G908" i="23"/>
  <c r="E897" i="23"/>
  <c r="F908" i="23"/>
  <c r="F904" i="23"/>
  <c r="G904" i="23"/>
  <c r="E904" i="23"/>
  <c r="F370" i="1"/>
  <c r="F196" i="97" s="1"/>
  <c r="F364" i="1"/>
  <c r="F360" i="1"/>
  <c r="F362" i="1"/>
  <c r="F361" i="1"/>
  <c r="F363" i="1"/>
  <c r="G361" i="1"/>
  <c r="E360" i="1"/>
  <c r="G360" i="1"/>
  <c r="G363" i="1"/>
  <c r="E361" i="1"/>
  <c r="E363" i="1"/>
  <c r="D5" i="26"/>
  <c r="AO2" i="96"/>
  <c r="AN2" i="96"/>
  <c r="E982" i="23"/>
  <c r="F1147" i="23"/>
  <c r="F1123" i="23"/>
  <c r="F1125" i="23"/>
  <c r="F1148" i="23"/>
  <c r="E404" i="15"/>
  <c r="J404" i="15"/>
  <c r="E394" i="15"/>
  <c r="J394" i="15"/>
  <c r="G1125" i="23"/>
  <c r="G1148" i="23"/>
  <c r="E1168" i="15"/>
  <c r="J1168" i="15"/>
  <c r="G1123" i="23"/>
  <c r="E1169" i="15"/>
  <c r="J1169" i="15"/>
  <c r="E1077" i="23"/>
  <c r="F1077" i="23"/>
  <c r="E1124" i="23"/>
  <c r="E1147" i="23"/>
  <c r="E405" i="15"/>
  <c r="J405" i="15"/>
  <c r="G1077" i="23"/>
  <c r="F1124" i="23"/>
  <c r="E402" i="15"/>
  <c r="J402" i="15"/>
  <c r="E393" i="15"/>
  <c r="J393" i="15"/>
  <c r="E395" i="15"/>
  <c r="J395" i="15"/>
  <c r="E401" i="15"/>
  <c r="J401" i="15"/>
  <c r="E396" i="15"/>
  <c r="J396" i="15"/>
  <c r="E1167" i="15"/>
  <c r="J1167" i="15"/>
  <c r="G1147" i="23"/>
  <c r="E1172" i="15"/>
  <c r="J1172" i="15"/>
  <c r="E1170" i="15"/>
  <c r="J1170" i="15"/>
  <c r="G1124" i="23"/>
  <c r="E1166" i="15"/>
  <c r="J1166" i="15"/>
  <c r="E1171" i="15"/>
  <c r="J1171" i="15"/>
  <c r="E1123" i="23"/>
  <c r="E1125" i="23"/>
  <c r="E1148" i="23"/>
  <c r="I995" i="23"/>
  <c r="A995" i="23" s="1"/>
  <c r="E985" i="23"/>
  <c r="G881"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41" i="1"/>
  <c r="G982" i="23"/>
  <c r="G887" i="1"/>
  <c r="F1880" i="1"/>
  <c r="E886" i="1"/>
  <c r="E887" i="1"/>
  <c r="G642" i="1"/>
  <c r="G1880" i="1"/>
  <c r="G886" i="1"/>
  <c r="F887" i="1"/>
  <c r="E889" i="1"/>
  <c r="F639" i="1"/>
  <c r="F641" i="1"/>
  <c r="E643" i="1"/>
  <c r="F886" i="1"/>
  <c r="F889" i="1"/>
  <c r="G639" i="1"/>
  <c r="G641" i="1"/>
  <c r="F643" i="1"/>
  <c r="E888" i="1"/>
  <c r="G889" i="1"/>
  <c r="G643" i="1"/>
  <c r="F1879" i="1"/>
  <c r="F78" i="97" s="1"/>
  <c r="F880" i="1"/>
  <c r="F888" i="1"/>
  <c r="G1879" i="1"/>
  <c r="G78" i="97" s="1"/>
  <c r="G880" i="1"/>
  <c r="G888" i="1"/>
  <c r="E642" i="1"/>
  <c r="E644" i="1"/>
  <c r="F642" i="1"/>
  <c r="G644" i="1"/>
  <c r="E645" i="1"/>
  <c r="F645" i="1"/>
  <c r="G645" i="1"/>
  <c r="F644" i="1"/>
  <c r="F881" i="1"/>
  <c r="F934" i="1"/>
  <c r="F935" i="1"/>
  <c r="F944" i="1"/>
  <c r="F945" i="1"/>
  <c r="F870" i="1"/>
  <c r="I641" i="1"/>
  <c r="Q642" i="1"/>
  <c r="O642" i="1"/>
  <c r="R641" i="1"/>
  <c r="Q641" i="1"/>
  <c r="N642" i="1"/>
  <c r="O641" i="1"/>
  <c r="M642" i="1"/>
  <c r="N641" i="1"/>
  <c r="M641" i="1"/>
  <c r="J642" i="1"/>
  <c r="R642" i="1"/>
  <c r="I880" i="1"/>
  <c r="M881" i="1"/>
  <c r="J880" i="1"/>
  <c r="D888" i="1"/>
  <c r="D887" i="1" s="1"/>
  <c r="M880" i="1"/>
  <c r="G2" i="114"/>
  <c r="F2" i="114"/>
  <c r="G13" i="114" l="1"/>
  <c r="F105" i="97"/>
  <c r="I103" i="97"/>
  <c r="C1904" i="1"/>
  <c r="C103" i="97" s="1"/>
  <c r="C1902" i="1"/>
  <c r="C65" i="97" s="1"/>
  <c r="C1903" i="1"/>
  <c r="C66" i="97" s="1"/>
  <c r="P2276" i="1"/>
  <c r="C2276" i="1" s="1"/>
  <c r="D2276" i="1"/>
  <c r="K12" i="109"/>
  <c r="D6" i="26"/>
  <c r="AP2" i="96"/>
  <c r="K253" i="97"/>
  <c r="K258" i="97"/>
  <c r="K268" i="97"/>
  <c r="K251" i="97"/>
  <c r="K263" i="97"/>
  <c r="K267" i="97"/>
  <c r="K262" i="97"/>
  <c r="K264" i="97"/>
  <c r="K248" i="97"/>
  <c r="K249" i="97"/>
  <c r="K259" i="97"/>
  <c r="K255" i="97"/>
  <c r="K257" i="97"/>
  <c r="K260" i="97"/>
  <c r="K252" i="97"/>
  <c r="K261" i="97"/>
  <c r="K265" i="97"/>
  <c r="K256" i="97"/>
  <c r="K254" i="97"/>
  <c r="K266" i="97"/>
  <c r="K250" i="97"/>
  <c r="K8" i="109"/>
  <c r="K9" i="109"/>
  <c r="K10" i="109"/>
  <c r="K11" i="109"/>
  <c r="K5" i="109"/>
  <c r="K7" i="109"/>
  <c r="K4" i="109"/>
  <c r="K6" i="109"/>
  <c r="M5" i="109" l="1"/>
  <c r="M11" i="109"/>
  <c r="M12" i="109"/>
  <c r="M10" i="109"/>
  <c r="M6" i="109"/>
  <c r="M9" i="109"/>
  <c r="M4" i="109"/>
  <c r="M8" i="109"/>
  <c r="M7" i="109"/>
  <c r="K193" i="97"/>
  <c r="K235" i="97"/>
  <c r="K111" i="97"/>
  <c r="K215" i="97"/>
  <c r="K91" i="97"/>
  <c r="K213" i="97"/>
  <c r="K26" i="97"/>
  <c r="K143" i="97"/>
  <c r="K71" i="97"/>
  <c r="K141" i="97"/>
  <c r="K187" i="97"/>
  <c r="AQ2" i="96"/>
  <c r="D7" i="26"/>
  <c r="I357" i="23"/>
  <c r="A357" i="23" s="1"/>
  <c r="H364" i="23"/>
  <c r="I366" i="23"/>
  <c r="A366" i="23" s="1"/>
  <c r="H365" i="23"/>
  <c r="I365" i="23" s="1"/>
  <c r="A365" i="23" s="1"/>
  <c r="G337" i="23"/>
  <c r="F337" i="23"/>
  <c r="E337" i="23"/>
  <c r="G322" i="23"/>
  <c r="F322" i="23"/>
  <c r="E322" i="23"/>
  <c r="G320" i="23"/>
  <c r="F320" i="23"/>
  <c r="E320" i="23"/>
  <c r="D8" i="26" l="1"/>
  <c r="AR2" i="96"/>
  <c r="I364" i="23"/>
  <c r="A364" i="23" s="1"/>
  <c r="D9" i="26" l="1"/>
  <c r="AS2" i="96"/>
  <c r="D28" i="113"/>
  <c r="D42" i="113"/>
  <c r="G41" i="113"/>
  <c r="D41" i="113"/>
  <c r="G40" i="113"/>
  <c r="G39" i="113"/>
  <c r="G38" i="113"/>
  <c r="D25" i="113"/>
  <c r="D26" i="113"/>
  <c r="D27" i="113"/>
  <c r="K76" i="97"/>
  <c r="K182" i="97"/>
  <c r="K158" i="97"/>
  <c r="K112" i="97"/>
  <c r="K214" i="97"/>
  <c r="AC3" i="96"/>
  <c r="H1906" i="1"/>
  <c r="GO3" i="41"/>
  <c r="GO2" i="41" s="1"/>
  <c r="GP3" i="41"/>
  <c r="GP2" i="41" s="1"/>
  <c r="GQ3" i="41"/>
  <c r="GQ2" i="41" s="1"/>
  <c r="GR3" i="41"/>
  <c r="GS3" i="41"/>
  <c r="GS2" i="41" s="1"/>
  <c r="GT3" i="41"/>
  <c r="GT2" i="41" s="1"/>
  <c r="GU3" i="41"/>
  <c r="GU2" i="41" s="1"/>
  <c r="GV3" i="41"/>
  <c r="GV2" i="41" s="1"/>
  <c r="GW3" i="41"/>
  <c r="GW2" i="41" s="1"/>
  <c r="GX3" i="41"/>
  <c r="GX2" i="41" s="1"/>
  <c r="F1877" i="1"/>
  <c r="D1831"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R949" i="1"/>
  <c r="Q949" i="1"/>
  <c r="R948" i="1"/>
  <c r="Q948" i="1"/>
  <c r="R947" i="1"/>
  <c r="Q947" i="1"/>
  <c r="R945" i="1"/>
  <c r="Q945" i="1"/>
  <c r="I944" i="1"/>
  <c r="J944" i="1"/>
  <c r="M944" i="1"/>
  <c r="N944" i="1"/>
  <c r="O944" i="1"/>
  <c r="Q944" i="1"/>
  <c r="R944" i="1"/>
  <c r="R938" i="1"/>
  <c r="Q938" i="1"/>
  <c r="R937" i="1"/>
  <c r="Q937" i="1"/>
  <c r="R935" i="1"/>
  <c r="Q935" i="1"/>
  <c r="I934" i="1"/>
  <c r="J934" i="1"/>
  <c r="M934" i="1"/>
  <c r="N934" i="1"/>
  <c r="O934" i="1"/>
  <c r="Q934" i="1"/>
  <c r="R934" i="1"/>
  <c r="D630" i="1"/>
  <c r="F13" i="97" l="1"/>
  <c r="H14"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36" i="97"/>
  <c r="K162" i="97"/>
  <c r="K106" i="97"/>
  <c r="K110" i="97"/>
  <c r="D43" i="113"/>
  <c r="C7" i="26"/>
  <c r="C6" i="26"/>
  <c r="C5" i="26"/>
  <c r="C4" i="26"/>
  <c r="C3" i="26"/>
  <c r="CB2" i="18" l="1"/>
  <c r="CC2" i="18"/>
  <c r="CD2" i="18"/>
  <c r="CE2" i="18"/>
  <c r="CF2" i="18"/>
  <c r="CB3" i="18"/>
  <c r="CC3" i="18"/>
  <c r="CD3" i="18"/>
  <c r="CE3" i="18"/>
  <c r="CF3" i="18"/>
  <c r="T1753" i="1"/>
  <c r="T1754" i="1"/>
  <c r="T1757" i="1"/>
  <c r="T1758" i="1"/>
  <c r="T1759" i="1"/>
  <c r="T1760" i="1"/>
  <c r="T1761" i="1"/>
  <c r="T1762" i="1"/>
  <c r="T1763" i="1"/>
  <c r="T1764" i="1"/>
  <c r="T1765" i="1"/>
  <c r="T1766" i="1"/>
  <c r="T1767" i="1"/>
  <c r="T1768" i="1"/>
  <c r="T1769" i="1"/>
  <c r="T1770" i="1"/>
  <c r="T1771" i="1"/>
  <c r="T1772" i="1"/>
  <c r="T1773" i="1"/>
  <c r="R1773" i="1" s="1"/>
  <c r="Q1773" i="1" s="1"/>
  <c r="P1773" i="1" s="1"/>
  <c r="O1773" i="1" s="1"/>
  <c r="N1773" i="1" s="1"/>
  <c r="M1773" i="1" s="1"/>
  <c r="L1773" i="1" s="1"/>
  <c r="K1773" i="1" s="1"/>
  <c r="J1773" i="1" s="1"/>
  <c r="I1773" i="1" s="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1" i="1"/>
  <c r="T1853" i="1"/>
  <c r="T1854" i="1"/>
  <c r="T1855" i="1"/>
  <c r="T1856" i="1"/>
  <c r="T1857" i="1"/>
  <c r="T1858" i="1"/>
  <c r="T1859" i="1"/>
  <c r="T1860" i="1"/>
  <c r="T1861" i="1"/>
  <c r="T1862" i="1"/>
  <c r="T1864" i="1"/>
  <c r="T1865" i="1"/>
  <c r="T1866" i="1"/>
  <c r="T1867" i="1"/>
  <c r="T1868" i="1"/>
  <c r="T1871" i="1"/>
  <c r="T1873" i="1"/>
  <c r="T1875" i="1"/>
  <c r="T1876" i="1"/>
  <c r="T1878" i="1"/>
  <c r="T1881" i="1"/>
  <c r="T1883" i="1"/>
  <c r="T1884" i="1"/>
  <c r="T1885" i="1"/>
  <c r="T1886" i="1"/>
  <c r="T1887" i="1"/>
  <c r="T1888" i="1"/>
  <c r="T1889" i="1"/>
  <c r="T1890" i="1"/>
  <c r="T1891" i="1"/>
  <c r="T1892" i="1"/>
  <c r="T1893" i="1"/>
  <c r="T1894" i="1"/>
  <c r="T1895" i="1"/>
  <c r="T1896" i="1"/>
  <c r="T1897" i="1"/>
  <c r="T1898" i="1"/>
  <c r="T1901" i="1"/>
  <c r="T1908" i="1"/>
  <c r="T1909" i="1"/>
  <c r="T1910" i="1"/>
  <c r="T1911" i="1"/>
  <c r="T1912" i="1"/>
  <c r="T1913" i="1"/>
  <c r="T1915" i="1"/>
  <c r="T1916" i="1"/>
  <c r="T1917" i="1"/>
  <c r="T1918" i="1"/>
  <c r="T1919" i="1"/>
  <c r="T1920" i="1"/>
  <c r="T1921" i="1"/>
  <c r="T1922" i="1"/>
  <c r="T1923" i="1"/>
  <c r="T1924" i="1"/>
  <c r="T1925" i="1"/>
  <c r="T1926" i="1"/>
  <c r="T1928" i="1"/>
  <c r="T1929" i="1"/>
  <c r="T1930" i="1"/>
  <c r="T1931" i="1"/>
  <c r="T1932" i="1"/>
  <c r="T1934" i="1"/>
  <c r="T1936" i="1"/>
  <c r="T1937" i="1"/>
  <c r="T1938" i="1"/>
  <c r="T1940" i="1"/>
  <c r="T1941" i="1"/>
  <c r="T1942" i="1"/>
  <c r="T1943" i="1"/>
  <c r="T1944" i="1"/>
  <c r="T1946" i="1"/>
  <c r="T1947" i="1"/>
  <c r="T1948" i="1"/>
  <c r="T1949" i="1"/>
  <c r="T1950" i="1"/>
  <c r="T1951" i="1"/>
  <c r="T1952" i="1"/>
  <c r="T1953" i="1"/>
  <c r="T1954" i="1"/>
  <c r="T1955" i="1"/>
  <c r="T1956" i="1"/>
  <c r="T1957"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78" i="1" l="1"/>
  <c r="C1878" i="1" s="1"/>
  <c r="I1878" i="1"/>
  <c r="D244" i="115"/>
  <c r="G26" i="113"/>
  <c r="C240" i="115"/>
  <c r="G25" i="113"/>
  <c r="C239"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05" i="15"/>
  <c r="B905" i="23"/>
  <c r="F902" i="23"/>
  <c r="B901" i="23"/>
  <c r="B900" i="23"/>
  <c r="B899" i="23"/>
  <c r="B898" i="23"/>
  <c r="G894" i="23"/>
  <c r="F894" i="23"/>
  <c r="E894" i="23"/>
  <c r="F893" i="23"/>
  <c r="F895" i="23"/>
  <c r="E1011" i="15"/>
  <c r="G837" i="23"/>
  <c r="F837" i="23"/>
  <c r="E837" i="23"/>
  <c r="H828" i="23"/>
  <c r="G828" i="23"/>
  <c r="F828" i="23"/>
  <c r="E828" i="23"/>
  <c r="H822" i="23"/>
  <c r="H1931" i="1"/>
  <c r="H1932" i="1"/>
  <c r="H1934" i="1"/>
  <c r="H1925" i="1"/>
  <c r="H1926" i="1"/>
  <c r="H2009" i="1"/>
  <c r="H2035" i="1"/>
  <c r="G1938" i="1"/>
  <c r="F1938" i="1"/>
  <c r="E1938" i="1"/>
  <c r="G1937" i="1"/>
  <c r="F1937" i="1"/>
  <c r="E1937" i="1"/>
  <c r="M1797" i="1"/>
  <c r="M1796" i="1"/>
  <c r="I780" i="1"/>
  <c r="J780" i="1"/>
  <c r="M780" i="1"/>
  <c r="N780" i="1"/>
  <c r="O780"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B825" i="23"/>
  <c r="C2" i="41"/>
  <c r="FA96" i="41"/>
  <c r="FA3" i="41"/>
  <c r="FB96" i="41"/>
  <c r="FB3" i="41"/>
  <c r="FD96" i="41"/>
  <c r="FD3" i="41"/>
  <c r="FD2" i="41" s="1"/>
  <c r="F925" i="23" l="1"/>
  <c r="K108" i="97"/>
  <c r="K197" i="97"/>
  <c r="K83" i="97"/>
  <c r="K59" i="97"/>
  <c r="K230" i="97"/>
  <c r="F905" i="23"/>
  <c r="F924" i="23"/>
  <c r="G929" i="23"/>
  <c r="FA2" i="41"/>
  <c r="F929" i="23"/>
  <c r="G922" i="23"/>
  <c r="G923" i="23"/>
  <c r="F923" i="23"/>
  <c r="G906" i="23"/>
  <c r="G924" i="23"/>
  <c r="G927" i="23"/>
  <c r="F928" i="23"/>
  <c r="G928" i="23"/>
  <c r="G925" i="23"/>
  <c r="F911" i="23"/>
  <c r="G911" i="23"/>
  <c r="F927" i="23"/>
  <c r="E906" i="23"/>
  <c r="F922" i="23"/>
  <c r="F906" i="23"/>
  <c r="FB2" i="41"/>
  <c r="K58" i="97" l="1"/>
  <c r="K236" i="97"/>
  <c r="K188" i="97"/>
  <c r="K135" i="97"/>
  <c r="K133" i="97"/>
  <c r="K42" i="97"/>
  <c r="K166" i="97"/>
  <c r="K161" i="97"/>
  <c r="K80" i="97"/>
  <c r="K153" i="97"/>
  <c r="K11" i="97"/>
  <c r="K211" i="97"/>
  <c r="K40" i="97"/>
  <c r="K51" i="97"/>
  <c r="K144" i="97"/>
  <c r="K75" i="97"/>
  <c r="K56" i="97"/>
  <c r="K209" i="97"/>
  <c r="K68" i="97"/>
  <c r="K142" i="97"/>
  <c r="K94" i="97"/>
  <c r="G507" i="23"/>
  <c r="F507" i="23"/>
  <c r="E507" i="23"/>
  <c r="G506" i="23"/>
  <c r="F506" i="23"/>
  <c r="E506" i="23"/>
  <c r="G505" i="23"/>
  <c r="F505" i="23"/>
  <c r="E505" i="23"/>
  <c r="G480" i="23"/>
  <c r="F480" i="23"/>
  <c r="E480" i="23"/>
  <c r="G479" i="23"/>
  <c r="F479" i="23"/>
  <c r="E479" i="23"/>
  <c r="G2033" i="1" l="1"/>
  <c r="F2033" i="1"/>
  <c r="L10" i="18"/>
  <c r="P2033"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13" i="1"/>
  <c r="R748" i="1"/>
  <c r="Q748" i="1"/>
  <c r="I747" i="1"/>
  <c r="J747" i="1"/>
  <c r="M747" i="1"/>
  <c r="N747" i="1"/>
  <c r="O747" i="1"/>
  <c r="Q747" i="1"/>
  <c r="R747" i="1"/>
  <c r="K223" i="97"/>
  <c r="K238" i="97"/>
  <c r="K199" i="97"/>
  <c r="K102" i="97"/>
  <c r="K151" i="97"/>
  <c r="K164" i="97"/>
  <c r="K146" i="97"/>
  <c r="K204" i="97"/>
  <c r="K90" i="97"/>
  <c r="K109" i="97"/>
  <c r="K98" i="97"/>
  <c r="K92" i="97"/>
  <c r="K60" i="97"/>
  <c r="K185" i="97"/>
  <c r="K117" i="97"/>
  <c r="K239" i="97"/>
  <c r="K210" i="97"/>
  <c r="K154" i="97"/>
  <c r="K24" i="97"/>
  <c r="K46" i="97"/>
  <c r="K49" i="97"/>
  <c r="K169" i="97"/>
  <c r="K163" i="97"/>
  <c r="K84" i="97"/>
  <c r="K30" i="97"/>
  <c r="K13" i="97"/>
  <c r="K196" i="97"/>
  <c r="K149" i="97"/>
  <c r="K175" i="97"/>
  <c r="K17" i="97"/>
  <c r="K82" i="97"/>
  <c r="K66" i="97"/>
  <c r="K20" i="97"/>
  <c r="K77" i="97"/>
  <c r="K119" i="97"/>
  <c r="K205" i="97"/>
  <c r="K202" i="97"/>
  <c r="K105" i="97"/>
  <c r="K231" i="97"/>
  <c r="K201" i="97"/>
  <c r="K12" i="97"/>
  <c r="K157" i="97"/>
  <c r="K212" i="97"/>
  <c r="K86" i="97"/>
  <c r="K150" i="97"/>
  <c r="K226" i="97"/>
  <c r="K180" i="97"/>
  <c r="K138" i="97"/>
  <c r="K134" i="97"/>
  <c r="K64" i="97"/>
  <c r="K2" i="97"/>
  <c r="K127" i="97"/>
  <c r="K87" i="97"/>
  <c r="K9" i="97"/>
  <c r="K88" i="97"/>
  <c r="K167" i="97"/>
  <c r="K74" i="97"/>
  <c r="K62" i="97"/>
  <c r="K38" i="97"/>
  <c r="K69" i="97"/>
  <c r="K99" i="97"/>
  <c r="K18" i="97"/>
  <c r="K78" i="97"/>
  <c r="K160" i="97"/>
  <c r="K67" i="97"/>
  <c r="K97" i="97"/>
  <c r="K140" i="97"/>
  <c r="K208" i="97"/>
  <c r="K190" i="97"/>
  <c r="K65" i="97"/>
  <c r="K225" i="97"/>
  <c r="K228" i="97"/>
  <c r="K72" i="97"/>
  <c r="K132" i="97"/>
  <c r="K200" i="97"/>
  <c r="K95" i="97"/>
  <c r="K189" i="97"/>
  <c r="K147" i="97"/>
  <c r="K41" i="97"/>
  <c r="K101" i="97"/>
  <c r="K7" i="97"/>
  <c r="K28" i="97"/>
  <c r="K36" i="97"/>
  <c r="K73" i="97"/>
  <c r="K81" i="97"/>
  <c r="K61" i="97"/>
  <c r="K155" i="97"/>
  <c r="K148" i="97"/>
  <c r="K34" i="97"/>
  <c r="K171" i="97"/>
  <c r="K63" i="97"/>
  <c r="K174" i="97"/>
  <c r="K178" i="97"/>
  <c r="K181" i="97"/>
  <c r="K16" i="97"/>
  <c r="K21" i="97"/>
  <c r="K139" i="97"/>
  <c r="K50" i="97"/>
  <c r="K15" i="97"/>
  <c r="K19" i="97"/>
  <c r="K14" i="97"/>
  <c r="K156" i="97"/>
  <c r="K85" i="97"/>
  <c r="K93" i="97"/>
  <c r="K118" i="97"/>
  <c r="K130" i="97"/>
  <c r="K183" i="97"/>
  <c r="K47" i="97"/>
  <c r="K168" i="97"/>
  <c r="K6" i="97"/>
  <c r="K100" i="97"/>
  <c r="K120" i="97"/>
  <c r="K137" i="97"/>
  <c r="K192" i="97"/>
  <c r="K43" i="97"/>
  <c r="K115" i="97"/>
  <c r="K206" i="97"/>
  <c r="K198" i="97"/>
  <c r="E2319" i="1"/>
  <c r="F2319" i="1"/>
  <c r="C154" i="33" s="1"/>
  <c r="G2319" i="1"/>
  <c r="D154" i="33" s="1"/>
  <c r="P2314" i="1"/>
  <c r="D2314" i="1"/>
  <c r="E2315" i="1"/>
  <c r="F2315" i="1"/>
  <c r="C152" i="33" s="1"/>
  <c r="G2315" i="1"/>
  <c r="D152" i="33" s="1"/>
  <c r="E2316" i="1"/>
  <c r="F2316" i="1"/>
  <c r="G2316" i="1"/>
  <c r="E2044" i="1"/>
  <c r="F2044" i="1"/>
  <c r="G2044" i="1"/>
  <c r="E2039" i="1"/>
  <c r="F2039" i="1"/>
  <c r="G2039" i="1"/>
  <c r="E2037" i="1"/>
  <c r="F2037" i="1"/>
  <c r="G2037" i="1"/>
  <c r="E1959" i="1"/>
  <c r="D2038" i="1" s="1"/>
  <c r="H2038" i="1" s="1"/>
  <c r="P2038" i="1" s="1"/>
  <c r="C2038" i="1" s="1"/>
  <c r="F2032" i="1"/>
  <c r="G2032" i="1"/>
  <c r="E2026" i="1"/>
  <c r="F2026" i="1"/>
  <c r="C144" i="33" s="1"/>
  <c r="G2026" i="1"/>
  <c r="D144" i="33" s="1"/>
  <c r="F2027" i="1"/>
  <c r="C145" i="33" s="1"/>
  <c r="G2027" i="1"/>
  <c r="D145" i="33" s="1"/>
  <c r="E2024" i="1"/>
  <c r="F2024" i="1"/>
  <c r="G2024" i="1"/>
  <c r="D143" i="33" s="1"/>
  <c r="F2010" i="1"/>
  <c r="G2010" i="1"/>
  <c r="D129" i="33" s="1"/>
  <c r="F2000" i="1"/>
  <c r="C119" i="33" s="1"/>
  <c r="G2000" i="1"/>
  <c r="D119" i="33" s="1"/>
  <c r="F1996" i="1"/>
  <c r="C115" i="33" s="1"/>
  <c r="F1997" i="1"/>
  <c r="C116" i="33" s="1"/>
  <c r="F1998" i="1"/>
  <c r="C117" i="33" s="1"/>
  <c r="F1970" i="1"/>
  <c r="F1971" i="1"/>
  <c r="F1972" i="1"/>
  <c r="F1973" i="1"/>
  <c r="F1960" i="1"/>
  <c r="G1960" i="1"/>
  <c r="F1961" i="1"/>
  <c r="G1961" i="1"/>
  <c r="F1412" i="1"/>
  <c r="G1412" i="1"/>
  <c r="E1413" i="1"/>
  <c r="F1413" i="1"/>
  <c r="G1413" i="1"/>
  <c r="E1414" i="1"/>
  <c r="F1414" i="1"/>
  <c r="G1414" i="1"/>
  <c r="E1415" i="1"/>
  <c r="F1415" i="1"/>
  <c r="G1415" i="1"/>
  <c r="F1174" i="1"/>
  <c r="G1174" i="1"/>
  <c r="F1175" i="1"/>
  <c r="G1175" i="1"/>
  <c r="F1176" i="1"/>
  <c r="G1176" i="1"/>
  <c r="F1178" i="1"/>
  <c r="G1178" i="1"/>
  <c r="F1179" i="1"/>
  <c r="G1179" i="1"/>
  <c r="F1180" i="1"/>
  <c r="G1180" i="1"/>
  <c r="F1181" i="1"/>
  <c r="G1181" i="1"/>
  <c r="E1182" i="1"/>
  <c r="F1182" i="1"/>
  <c r="G1182" i="1"/>
  <c r="F1089" i="1"/>
  <c r="G1089" i="1"/>
  <c r="F1090" i="1"/>
  <c r="G1090" i="1"/>
  <c r="F1091" i="1"/>
  <c r="G1091" i="1"/>
  <c r="F1092" i="1"/>
  <c r="G1092" i="1"/>
  <c r="F1093" i="1"/>
  <c r="G1093" i="1"/>
  <c r="F1094" i="1"/>
  <c r="G1094" i="1"/>
  <c r="F747" i="1"/>
  <c r="G747" i="1"/>
  <c r="F748" i="1"/>
  <c r="G748" i="1"/>
  <c r="F245" i="1"/>
  <c r="F195" i="97" s="1"/>
  <c r="G245" i="1"/>
  <c r="G195" i="97" s="1"/>
  <c r="E246" i="1"/>
  <c r="E163" i="97" s="1"/>
  <c r="F246" i="1"/>
  <c r="F163" i="97" s="1"/>
  <c r="E16" i="105" s="1"/>
  <c r="G246" i="1"/>
  <c r="G163" i="97" s="1"/>
  <c r="F16" i="105"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16"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18" i="1"/>
  <c r="F2318" i="1"/>
  <c r="E2318" i="1"/>
  <c r="CV94" i="18"/>
  <c r="CU94" i="18"/>
  <c r="CT94" i="18"/>
  <c r="CR94" i="18"/>
  <c r="D2027" i="1" s="1"/>
  <c r="H2027" i="1" s="1"/>
  <c r="I1089" i="1"/>
  <c r="J1089" i="1"/>
  <c r="M1089" i="1"/>
  <c r="N1089" i="1"/>
  <c r="O1089" i="1"/>
  <c r="Q1089" i="1"/>
  <c r="R1089" i="1"/>
  <c r="I1090" i="1"/>
  <c r="J1090" i="1"/>
  <c r="M1090" i="1"/>
  <c r="N1090" i="1"/>
  <c r="O1090" i="1"/>
  <c r="Q1090" i="1"/>
  <c r="R1090" i="1"/>
  <c r="I1091" i="1"/>
  <c r="J1091" i="1"/>
  <c r="M1091" i="1"/>
  <c r="N1091" i="1"/>
  <c r="O1091" i="1"/>
  <c r="Q1091" i="1"/>
  <c r="R1091" i="1"/>
  <c r="I1092" i="1"/>
  <c r="J1092" i="1"/>
  <c r="M1092" i="1"/>
  <c r="N1092" i="1"/>
  <c r="O1092" i="1"/>
  <c r="Q1092" i="1"/>
  <c r="R1092" i="1"/>
  <c r="I1093" i="1"/>
  <c r="J1093" i="1"/>
  <c r="M1093" i="1"/>
  <c r="N1093" i="1"/>
  <c r="O1093" i="1"/>
  <c r="Q1093" i="1"/>
  <c r="R1093" i="1"/>
  <c r="I1094" i="1"/>
  <c r="J1094" i="1"/>
  <c r="M1094" i="1"/>
  <c r="N1094" i="1"/>
  <c r="O1094" i="1"/>
  <c r="Q1094" i="1"/>
  <c r="R1094" i="1"/>
  <c r="J1832" i="1"/>
  <c r="M1832" i="1"/>
  <c r="N1832" i="1"/>
  <c r="O1832" i="1"/>
  <c r="D1774" i="1"/>
  <c r="K1774" i="1" s="1"/>
  <c r="D1775" i="1"/>
  <c r="K1775" i="1" s="1"/>
  <c r="D1777" i="1"/>
  <c r="D1778" i="1"/>
  <c r="K1778" i="1" s="1"/>
  <c r="D1780" i="1"/>
  <c r="K1780" i="1" s="1"/>
  <c r="D1781" i="1"/>
  <c r="K1781" i="1" s="1"/>
  <c r="D1782" i="1"/>
  <c r="K1782" i="1" s="1"/>
  <c r="K1786" i="1"/>
  <c r="D1788" i="1"/>
  <c r="K1788" i="1" s="1"/>
  <c r="D1789" i="1"/>
  <c r="K1789" i="1" s="1"/>
  <c r="D1790" i="1"/>
  <c r="K1790" i="1" s="1"/>
  <c r="D1792" i="1"/>
  <c r="K1792" i="1" s="1"/>
  <c r="D1793" i="1"/>
  <c r="K1793" i="1" s="1"/>
  <c r="D1794" i="1"/>
  <c r="K1794" i="1" s="1"/>
  <c r="D1803" i="1"/>
  <c r="K1803" i="1" s="1"/>
  <c r="D1804" i="1"/>
  <c r="K1804" i="1" s="1"/>
  <c r="K1805" i="1"/>
  <c r="D1807" i="1"/>
  <c r="K1807" i="1" s="1"/>
  <c r="D1808" i="1"/>
  <c r="K1808" i="1" s="1"/>
  <c r="D1809" i="1"/>
  <c r="D1810" i="1"/>
  <c r="K1810" i="1" s="1"/>
  <c r="D1811" i="1"/>
  <c r="K1811" i="1" s="1"/>
  <c r="K1813" i="1"/>
  <c r="D1814" i="1"/>
  <c r="K1814" i="1" s="1"/>
  <c r="K1821" i="1"/>
  <c r="D1823" i="1"/>
  <c r="K1823" i="1" s="1"/>
  <c r="D1824" i="1"/>
  <c r="K1824" i="1" s="1"/>
  <c r="D1825" i="1"/>
  <c r="D1826" i="1"/>
  <c r="K1826" i="1" s="1"/>
  <c r="K1827" i="1"/>
  <c r="K182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O3" i="41"/>
  <c r="EZ3" i="41"/>
  <c r="EY3" i="41"/>
  <c r="CP3" i="41"/>
  <c r="CX3" i="41"/>
  <c r="F1905" i="1"/>
  <c r="F59" i="97" s="1"/>
  <c r="G1905" i="1"/>
  <c r="G59" i="97" s="1"/>
  <c r="F1878" i="1"/>
  <c r="G1878" i="1"/>
  <c r="EC96" i="41"/>
  <c r="F1874" i="1"/>
  <c r="G1874" i="1"/>
  <c r="EB96" i="41"/>
  <c r="F1872" i="1"/>
  <c r="G1872" i="1"/>
  <c r="F1869" i="1"/>
  <c r="F33" i="97" s="1"/>
  <c r="G1869" i="1"/>
  <c r="G33" i="97" s="1"/>
  <c r="F1870" i="1"/>
  <c r="F31" i="97" s="1"/>
  <c r="G1870" i="1"/>
  <c r="G31" i="97" s="1"/>
  <c r="F1863" i="1"/>
  <c r="G1863" i="1"/>
  <c r="B3" i="41"/>
  <c r="EX96" i="41"/>
  <c r="B96" i="41"/>
  <c r="E1758" i="1" s="1"/>
  <c r="G1868" i="1"/>
  <c r="F1868" i="1"/>
  <c r="E1868" i="1"/>
  <c r="G1867" i="1"/>
  <c r="F1867" i="1"/>
  <c r="E1867" i="1"/>
  <c r="I1817" i="1"/>
  <c r="J1817" i="1"/>
  <c r="L1817" i="1"/>
  <c r="M1817" i="1"/>
  <c r="N1817" i="1"/>
  <c r="O1817" i="1"/>
  <c r="Q1817" i="1"/>
  <c r="R1817" i="1"/>
  <c r="I1816" i="1"/>
  <c r="J1816" i="1"/>
  <c r="L1816" i="1"/>
  <c r="M1816" i="1"/>
  <c r="N1816" i="1"/>
  <c r="O1816" i="1"/>
  <c r="Q1816" i="1"/>
  <c r="R1816" i="1"/>
  <c r="G1818" i="1"/>
  <c r="F1818" i="1"/>
  <c r="E392" i="15"/>
  <c r="E399" i="15"/>
  <c r="EG3" i="41"/>
  <c r="EG96" i="41"/>
  <c r="E18" i="113"/>
  <c r="E29" i="113" s="1"/>
  <c r="J1096" i="1"/>
  <c r="I109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17"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W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H3" i="41"/>
  <c r="CI3" i="41"/>
  <c r="CI2" i="41" s="1"/>
  <c r="CJ3" i="41"/>
  <c r="CJ2" i="41" s="1"/>
  <c r="CK3" i="41"/>
  <c r="CK2" i="41" s="1"/>
  <c r="CL3" i="41"/>
  <c r="CL2" i="41" s="1"/>
  <c r="CM3" i="41"/>
  <c r="CM2" i="41" s="1"/>
  <c r="CN3" i="41"/>
  <c r="CO3" i="41"/>
  <c r="CQ3" i="41"/>
  <c r="CT3" i="41"/>
  <c r="CU3" i="41"/>
  <c r="CY3" i="41"/>
  <c r="CZ3" i="41"/>
  <c r="DA3" i="41"/>
  <c r="DC3" i="41"/>
  <c r="DC2" i="41" s="1"/>
  <c r="DD3" i="41"/>
  <c r="DD2" i="41" s="1"/>
  <c r="DG3" i="41"/>
  <c r="DG2" i="41" s="1"/>
  <c r="DH3" i="41"/>
  <c r="DH2" i="41" s="1"/>
  <c r="DI3" i="41"/>
  <c r="DI2" i="41" s="1"/>
  <c r="DJ3" i="41"/>
  <c r="DK3" i="41"/>
  <c r="DK2" i="41" s="1"/>
  <c r="DL3" i="41"/>
  <c r="DL2" i="41" s="1"/>
  <c r="DM3" i="41"/>
  <c r="DN3" i="41"/>
  <c r="DN2" i="41" s="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C3" i="41"/>
  <c r="ED3" i="41"/>
  <c r="ED2" i="41" s="1"/>
  <c r="EE3" i="41"/>
  <c r="EF3" i="41"/>
  <c r="EF2" i="41" s="1"/>
  <c r="EH3" i="41"/>
  <c r="EH2" i="41" s="1"/>
  <c r="EI3" i="41"/>
  <c r="EI2" i="41" s="1"/>
  <c r="EJ3" i="41"/>
  <c r="EK3" i="41"/>
  <c r="EK2" i="41" s="1"/>
  <c r="EL3" i="41"/>
  <c r="EL2" i="41" s="1"/>
  <c r="EM3" i="41"/>
  <c r="EM2" i="41" s="1"/>
  <c r="EN3" i="41"/>
  <c r="EN2" i="41" s="1"/>
  <c r="EP3" i="41"/>
  <c r="EP2" i="41" s="1"/>
  <c r="EQ3" i="41"/>
  <c r="EQ2" i="41" s="1"/>
  <c r="ER3" i="41"/>
  <c r="ER2" i="41" s="1"/>
  <c r="ES3" i="41"/>
  <c r="ES2" i="41" s="1"/>
  <c r="ET3" i="41"/>
  <c r="ET2" i="41" s="1"/>
  <c r="EU3" i="41"/>
  <c r="EU2" i="41" s="1"/>
  <c r="EV3" i="41"/>
  <c r="EV2" i="41" s="1"/>
  <c r="EW3" i="41"/>
  <c r="EW2" i="41" s="1"/>
  <c r="EX3" i="41"/>
  <c r="A1" i="41"/>
  <c r="K1859" i="1" s="1"/>
  <c r="C90" i="115"/>
  <c r="C91" i="115"/>
  <c r="C92" i="115"/>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G2286" i="1"/>
  <c r="F2286" i="1"/>
  <c r="E2286" i="1"/>
  <c r="G2285" i="1"/>
  <c r="F2285" i="1"/>
  <c r="E2285" i="1"/>
  <c r="E6" i="97" s="1"/>
  <c r="D6" i="113"/>
  <c r="A2" i="91"/>
  <c r="H71" i="109"/>
  <c r="F2106" i="1"/>
  <c r="F2064" i="1"/>
  <c r="G2064" i="1"/>
  <c r="F2063"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66" i="15"/>
  <c r="G131" i="23"/>
  <c r="F131" i="23"/>
  <c r="E131" i="23"/>
  <c r="E465" i="15"/>
  <c r="B107" i="23"/>
  <c r="B105" i="23"/>
  <c r="G105" i="23" s="1"/>
  <c r="E1257" i="15"/>
  <c r="G2025" i="1"/>
  <c r="F2025" i="1"/>
  <c r="E2025"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862" i="23"/>
  <c r="F2480" i="23"/>
  <c r="F1528" i="23"/>
  <c r="H1527" i="23"/>
  <c r="F1536" i="23"/>
  <c r="F1526" i="23"/>
  <c r="F1530" i="23"/>
  <c r="F2222" i="23"/>
  <c r="F1989" i="23"/>
  <c r="F1766" i="23"/>
  <c r="F1529" i="23"/>
  <c r="F1478" i="23"/>
  <c r="F1477" i="23"/>
  <c r="F1476" i="23"/>
  <c r="F1445" i="23"/>
  <c r="Q837" i="1"/>
  <c r="Q836" i="1"/>
  <c r="Q835" i="1"/>
  <c r="R998" i="1"/>
  <c r="R999" i="1"/>
  <c r="R1000" i="1"/>
  <c r="R1001" i="1"/>
  <c r="Q998" i="1"/>
  <c r="Q999" i="1"/>
  <c r="Q1000" i="1"/>
  <c r="Q1001" i="1"/>
  <c r="R991" i="1"/>
  <c r="R992" i="1"/>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4" i="15"/>
  <c r="E984" i="15"/>
  <c r="H2364" i="23"/>
  <c r="H2490" i="23" s="1"/>
  <c r="H2492" i="23" s="1"/>
  <c r="H2139" i="23"/>
  <c r="H1901" i="23"/>
  <c r="H1682" i="23"/>
  <c r="H1687" i="23" s="1"/>
  <c r="H1780" i="23" s="1"/>
  <c r="H1785" i="23" s="1"/>
  <c r="H1445" i="23"/>
  <c r="H1496" i="23" s="1"/>
  <c r="H1135" i="23"/>
  <c r="H1060" i="23"/>
  <c r="D822" i="23"/>
  <c r="H794" i="23"/>
  <c r="H808" i="23" s="1"/>
  <c r="H160" i="23"/>
  <c r="E266" i="15"/>
  <c r="E312"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77" i="1" s="1"/>
  <c r="BP94" i="18"/>
  <c r="D1981" i="1" s="1"/>
  <c r="BQ94" i="18"/>
  <c r="BR94" i="18"/>
  <c r="BS94" i="18"/>
  <c r="D1974" i="1" s="1"/>
  <c r="BT94" i="18"/>
  <c r="D1991" i="1" s="1"/>
  <c r="D1992" i="1" s="1"/>
  <c r="H1992" i="1" s="1"/>
  <c r="BU94" i="18"/>
  <c r="D1995" i="1" s="1"/>
  <c r="D1999" i="1" s="1"/>
  <c r="BV94" i="18"/>
  <c r="D1985" i="1" s="1"/>
  <c r="BW94" i="18"/>
  <c r="D2001" i="1" s="1"/>
  <c r="D2003" i="1" s="1"/>
  <c r="BX94" i="18"/>
  <c r="D1962" i="1" s="1"/>
  <c r="BY94" i="18"/>
  <c r="D1965" i="1" s="1"/>
  <c r="BZ94" i="18"/>
  <c r="D1969" i="1" s="1"/>
  <c r="CA94" i="18"/>
  <c r="CC94" i="18"/>
  <c r="D2010" i="1" s="1"/>
  <c r="H2010" i="1" s="1"/>
  <c r="CD94" i="18"/>
  <c r="D2011" i="1" s="1"/>
  <c r="H2011" i="1" s="1"/>
  <c r="CE94" i="18"/>
  <c r="D2012" i="1" s="1"/>
  <c r="H2012" i="1" s="1"/>
  <c r="CF94" i="18"/>
  <c r="D2013" i="1" s="1"/>
  <c r="CG94" i="18"/>
  <c r="D2014" i="1" s="1"/>
  <c r="H2014" i="1" s="1"/>
  <c r="CH94" i="18"/>
  <c r="D2015" i="1" s="1"/>
  <c r="H2015" i="1" s="1"/>
  <c r="CI94" i="18"/>
  <c r="D2016" i="1" s="1"/>
  <c r="H2016" i="1" s="1"/>
  <c r="CJ94" i="18"/>
  <c r="D2017" i="1" s="1"/>
  <c r="H2017" i="1" s="1"/>
  <c r="CK94" i="18"/>
  <c r="D2018" i="1" s="1"/>
  <c r="CL94" i="18"/>
  <c r="D2019" i="1" s="1"/>
  <c r="H2019" i="1" s="1"/>
  <c r="CM94" i="18"/>
  <c r="D2020" i="1" s="1"/>
  <c r="H2020" i="1" s="1"/>
  <c r="CN94" i="18"/>
  <c r="D2021" i="1" s="1"/>
  <c r="H2021" i="1" s="1"/>
  <c r="CO94" i="18"/>
  <c r="CP94" i="18"/>
  <c r="CQ94" i="18"/>
  <c r="CW94" i="18"/>
  <c r="D2029" i="1" s="1"/>
  <c r="H2029" i="1" s="1"/>
  <c r="J94" i="18"/>
  <c r="B94" i="18"/>
  <c r="D94" i="18" s="1"/>
  <c r="B66" i="117"/>
  <c r="F1939" i="1"/>
  <c r="F176" i="97" s="1"/>
  <c r="E185" i="15"/>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124" i="97" s="1"/>
  <c r="B411" i="23"/>
  <c r="E411" i="23" s="1"/>
  <c r="B410" i="23"/>
  <c r="F410" i="23" s="1"/>
  <c r="B332" i="23"/>
  <c r="G332" i="23" s="1"/>
  <c r="B331" i="23"/>
  <c r="E331" i="23" s="1"/>
  <c r="B237" i="23"/>
  <c r="E237" i="23" s="1"/>
  <c r="B236" i="23"/>
  <c r="G236" i="23" s="1"/>
  <c r="B153" i="23"/>
  <c r="K179" i="97" s="1"/>
  <c r="B152" i="23"/>
  <c r="K221" i="97" s="1"/>
  <c r="E17" i="23"/>
  <c r="H2251" i="1"/>
  <c r="P2251" i="1" s="1"/>
  <c r="F2271" i="1"/>
  <c r="F2269" i="1"/>
  <c r="F1936" i="1"/>
  <c r="F1934" i="1"/>
  <c r="D15" i="110"/>
  <c r="D14" i="110"/>
  <c r="D13" i="110"/>
  <c r="D12" i="110"/>
  <c r="D11" i="110"/>
  <c r="D10" i="110"/>
  <c r="D9" i="110"/>
  <c r="D8" i="110"/>
  <c r="I4" i="110"/>
  <c r="H10" i="107"/>
  <c r="H9" i="107"/>
  <c r="H8" i="107"/>
  <c r="H7" i="107"/>
  <c r="H6" i="107"/>
  <c r="H5" i="107"/>
  <c r="H4" i="107"/>
  <c r="D842" i="1"/>
  <c r="E232" i="15"/>
  <c r="E1060" i="15"/>
  <c r="E309" i="15"/>
  <c r="D616" i="1"/>
  <c r="D96" i="41"/>
  <c r="E96" i="41"/>
  <c r="F96" i="41"/>
  <c r="G96" i="41"/>
  <c r="H96" i="41"/>
  <c r="I96" i="41"/>
  <c r="J96" i="41"/>
  <c r="K96" i="41"/>
  <c r="L96" i="41"/>
  <c r="M96" i="41"/>
  <c r="N96" i="41"/>
  <c r="O96" i="41"/>
  <c r="P96" i="41"/>
  <c r="Q96" i="41"/>
  <c r="R96" i="41"/>
  <c r="S96" i="41"/>
  <c r="T96" i="41"/>
  <c r="U96" i="41"/>
  <c r="W96" i="41"/>
  <c r="X96" i="41"/>
  <c r="Y96" i="41"/>
  <c r="Z96" i="41"/>
  <c r="AA96" i="41"/>
  <c r="AB96" i="41"/>
  <c r="AC96" i="41"/>
  <c r="AD96" i="41"/>
  <c r="AE96" i="41"/>
  <c r="AF96" i="41"/>
  <c r="AG96" i="41"/>
  <c r="AH96" i="41"/>
  <c r="AI96" i="41"/>
  <c r="AJ96" i="41"/>
  <c r="AK96" i="41"/>
  <c r="AL96" i="41"/>
  <c r="AM96" i="41"/>
  <c r="AN96" i="41"/>
  <c r="AO96" i="41"/>
  <c r="AP96" i="41"/>
  <c r="AQ96" i="41"/>
  <c r="AR96" i="41"/>
  <c r="AS96" i="41"/>
  <c r="AT96" i="41"/>
  <c r="AU96" i="41"/>
  <c r="AV96" i="41"/>
  <c r="AW96" i="41"/>
  <c r="AX96" i="41"/>
  <c r="AY96" i="41"/>
  <c r="AZ96" i="41"/>
  <c r="BA96" i="41"/>
  <c r="BB96" i="41"/>
  <c r="BC96" i="41"/>
  <c r="BD96" i="41"/>
  <c r="BE96" i="41"/>
  <c r="BF96" i="41"/>
  <c r="BG96" i="41"/>
  <c r="BH96" i="41"/>
  <c r="BI96" i="41"/>
  <c r="BJ96" i="41"/>
  <c r="BK96" i="41"/>
  <c r="BL96" i="41"/>
  <c r="BM96" i="41"/>
  <c r="BN96" i="41"/>
  <c r="BO96" i="41"/>
  <c r="BP96" i="41"/>
  <c r="BQ96" i="41"/>
  <c r="BR96" i="41"/>
  <c r="BS96" i="41"/>
  <c r="BT96" i="41"/>
  <c r="BU96" i="41"/>
  <c r="BV96" i="41"/>
  <c r="BW96" i="41"/>
  <c r="BX96" i="41"/>
  <c r="BY96" i="41"/>
  <c r="BZ96" i="41"/>
  <c r="CA96" i="41"/>
  <c r="CB96" i="41"/>
  <c r="CC96" i="41"/>
  <c r="CD96" i="41"/>
  <c r="CE96" i="41"/>
  <c r="CF96" i="41"/>
  <c r="CG96" i="41"/>
  <c r="CH96" i="41"/>
  <c r="CT96" i="41"/>
  <c r="CU96" i="41"/>
  <c r="CV96" i="41"/>
  <c r="CW96" i="41"/>
  <c r="CX96" i="41"/>
  <c r="CY96" i="41"/>
  <c r="CZ96" i="41"/>
  <c r="DA96" i="41"/>
  <c r="DB96" i="41"/>
  <c r="DC96" i="41"/>
  <c r="D1798" i="1" s="1"/>
  <c r="D1929" i="1" s="1"/>
  <c r="DD96" i="41"/>
  <c r="DE96" i="41"/>
  <c r="DF96" i="41"/>
  <c r="DG96" i="41"/>
  <c r="DH96" i="41"/>
  <c r="DI96" i="41"/>
  <c r="DJ96" i="41"/>
  <c r="DK96" i="41"/>
  <c r="DL96" i="41"/>
  <c r="DM96" i="41"/>
  <c r="DN96" i="41"/>
  <c r="DO96" i="41"/>
  <c r="DP96" i="41"/>
  <c r="DQ96" i="41"/>
  <c r="D1783" i="1" s="1"/>
  <c r="DR96" i="41"/>
  <c r="DS96" i="41"/>
  <c r="DT96" i="41"/>
  <c r="DU96" i="41"/>
  <c r="DV96" i="41"/>
  <c r="DW96" i="41"/>
  <c r="DX96" i="41"/>
  <c r="DY96" i="41"/>
  <c r="DZ96" i="41"/>
  <c r="EA96" i="41"/>
  <c r="ED96" i="41"/>
  <c r="EE96" i="41"/>
  <c r="EF96" i="41"/>
  <c r="EH96" i="41"/>
  <c r="EI96" i="41"/>
  <c r="EJ96" i="41"/>
  <c r="EK96" i="41"/>
  <c r="EL96" i="41"/>
  <c r="EM96" i="41"/>
  <c r="EN96" i="41"/>
  <c r="EO96" i="41"/>
  <c r="EP96" i="41"/>
  <c r="EQ96" i="41"/>
  <c r="ER96" i="41"/>
  <c r="ES96" i="41"/>
  <c r="ET96" i="41"/>
  <c r="EU96" i="41"/>
  <c r="EV96" i="41"/>
  <c r="EW96" i="41"/>
  <c r="EY96" i="41"/>
  <c r="EZ96" i="41"/>
  <c r="FE96" i="41"/>
  <c r="FF96" i="41"/>
  <c r="FG96" i="41"/>
  <c r="FH96" i="41"/>
  <c r="FI96" i="41"/>
  <c r="FJ96" i="41"/>
  <c r="FK96" i="41"/>
  <c r="FL96" i="41"/>
  <c r="FM96" i="41"/>
  <c r="FN96" i="41"/>
  <c r="FO96" i="41"/>
  <c r="FP96" i="41"/>
  <c r="FQ96" i="41"/>
  <c r="FR96" i="41"/>
  <c r="FS96" i="41"/>
  <c r="FT96" i="41"/>
  <c r="FU96" i="41"/>
  <c r="FV96" i="41"/>
  <c r="FW96" i="41"/>
  <c r="FX96" i="41"/>
  <c r="FY96" i="41"/>
  <c r="FZ96" i="41"/>
  <c r="GA96" i="41"/>
  <c r="GB96" i="41"/>
  <c r="GC96" i="41"/>
  <c r="GD96" i="41"/>
  <c r="GE96" i="41"/>
  <c r="GF96" i="41"/>
  <c r="GG96" i="41"/>
  <c r="GH96" i="41"/>
  <c r="GI96" i="41"/>
  <c r="GJ96" i="41"/>
  <c r="GK96" i="41"/>
  <c r="F975" i="23"/>
  <c r="F974" i="23"/>
  <c r="F973" i="23"/>
  <c r="G1161" i="23"/>
  <c r="F1161" i="23"/>
  <c r="E1161" i="23"/>
  <c r="G1160" i="23"/>
  <c r="F1160" i="23"/>
  <c r="E1160" i="23"/>
  <c r="G1159" i="23"/>
  <c r="F1159" i="23"/>
  <c r="E1159" i="23"/>
  <c r="F1141" i="23"/>
  <c r="F1142" i="23"/>
  <c r="F1117" i="23"/>
  <c r="F1049" i="23"/>
  <c r="F1044" i="23"/>
  <c r="F1048" i="23"/>
  <c r="F2820" i="23"/>
  <c r="D941" i="23"/>
  <c r="E463" i="15"/>
  <c r="G1014" i="23"/>
  <c r="F1014" i="23"/>
  <c r="E1014" i="23"/>
  <c r="G1013" i="23"/>
  <c r="F1013" i="23"/>
  <c r="E1013" i="23"/>
  <c r="G1012" i="23"/>
  <c r="F1012" i="23"/>
  <c r="E1012" i="23"/>
  <c r="G1011" i="23"/>
  <c r="F1011" i="23"/>
  <c r="E1011" i="23"/>
  <c r="C66" i="117"/>
  <c r="H943" i="23"/>
  <c r="H1074" i="23" s="1"/>
  <c r="H1081" i="23" s="1"/>
  <c r="B945" i="23"/>
  <c r="F1941" i="1"/>
  <c r="G2372" i="1"/>
  <c r="G2371" i="1"/>
  <c r="G2370" i="1"/>
  <c r="G2369" i="1"/>
  <c r="G2188" i="1"/>
  <c r="G2187" i="1"/>
  <c r="G2186" i="1"/>
  <c r="G2052" i="1"/>
  <c r="G2051" i="1"/>
  <c r="G2050" i="1"/>
  <c r="G1490" i="1"/>
  <c r="G1489" i="1"/>
  <c r="G1481" i="1"/>
  <c r="G1480" i="1"/>
  <c r="G1472" i="1"/>
  <c r="G1471" i="1"/>
  <c r="G1463" i="1"/>
  <c r="G1462" i="1"/>
  <c r="G1454" i="1"/>
  <c r="G1453" i="1"/>
  <c r="G1445" i="1"/>
  <c r="G1444" i="1"/>
  <c r="G1436" i="1"/>
  <c r="G1435" i="1"/>
  <c r="G1427" i="1"/>
  <c r="G1426" i="1"/>
  <c r="G1418" i="1"/>
  <c r="G1417" i="1"/>
  <c r="G1410" i="1"/>
  <c r="G1409" i="1"/>
  <c r="G1402" i="1"/>
  <c r="G1390" i="1"/>
  <c r="G1378" i="1"/>
  <c r="G1365" i="1"/>
  <c r="G1351" i="1"/>
  <c r="G1335" i="1"/>
  <c r="G1322" i="1"/>
  <c r="G1308" i="1"/>
  <c r="G1293" i="1"/>
  <c r="G1280" i="1"/>
  <c r="G1266" i="1"/>
  <c r="G1251" i="1"/>
  <c r="G1238" i="1"/>
  <c r="G1230" i="1"/>
  <c r="G1222" i="1"/>
  <c r="G1213" i="1"/>
  <c r="G1202" i="1"/>
  <c r="G1193" i="1"/>
  <c r="G1184" i="1"/>
  <c r="G1172" i="1"/>
  <c r="G1158" i="1"/>
  <c r="G1155" i="1"/>
  <c r="G1146" i="1"/>
  <c r="G1135" i="1"/>
  <c r="G1126" i="1"/>
  <c r="G1115" i="1"/>
  <c r="G1111" i="1"/>
  <c r="G1087" i="1"/>
  <c r="G1086" i="1"/>
  <c r="G1080" i="1"/>
  <c r="G1079" i="1"/>
  <c r="G1072" i="1"/>
  <c r="G1071" i="1"/>
  <c r="G1062" i="1"/>
  <c r="G1061" i="1"/>
  <c r="G1052" i="1"/>
  <c r="G1051" i="1"/>
  <c r="G1042" i="1"/>
  <c r="G1041" i="1"/>
  <c r="G1033" i="1"/>
  <c r="G1032" i="1"/>
  <c r="G1023" i="1"/>
  <c r="G1022" i="1"/>
  <c r="G1013" i="1"/>
  <c r="G1012" i="1"/>
  <c r="G988" i="1"/>
  <c r="G987" i="1"/>
  <c r="G980" i="1"/>
  <c r="G979" i="1"/>
  <c r="G973" i="1"/>
  <c r="G972" i="1"/>
  <c r="G962" i="1"/>
  <c r="G961" i="1"/>
  <c r="G953" i="1"/>
  <c r="G952" i="1"/>
  <c r="G942" i="1"/>
  <c r="G941" i="1"/>
  <c r="G932" i="1"/>
  <c r="G931" i="1"/>
  <c r="G922" i="1"/>
  <c r="G921" i="1"/>
  <c r="G913" i="1"/>
  <c r="G912" i="1"/>
  <c r="G908" i="1"/>
  <c r="G907" i="1"/>
  <c r="G898" i="1"/>
  <c r="G897" i="1"/>
  <c r="G878" i="1"/>
  <c r="G877" i="1"/>
  <c r="G865" i="1"/>
  <c r="G864" i="1"/>
  <c r="G854" i="1"/>
  <c r="G853" i="1"/>
  <c r="G849" i="1"/>
  <c r="G848" i="1"/>
  <c r="G840" i="1"/>
  <c r="G839" i="1"/>
  <c r="G829" i="1"/>
  <c r="G828" i="1"/>
  <c r="G818" i="1"/>
  <c r="G817" i="1"/>
  <c r="G809" i="1"/>
  <c r="G808" i="1"/>
  <c r="G798" i="1"/>
  <c r="G797" i="1"/>
  <c r="G788" i="1"/>
  <c r="G787" i="1"/>
  <c r="G777" i="1"/>
  <c r="G776" i="1"/>
  <c r="G770" i="1"/>
  <c r="G769" i="1"/>
  <c r="G759" i="1"/>
  <c r="G758" i="1"/>
  <c r="G752" i="1"/>
  <c r="G751" i="1"/>
  <c r="G743" i="1"/>
  <c r="G742" i="1"/>
  <c r="G736" i="1"/>
  <c r="G730" i="1"/>
  <c r="G726" i="1"/>
  <c r="G725" i="1"/>
  <c r="G719" i="1"/>
  <c r="G718" i="1"/>
  <c r="G712" i="1"/>
  <c r="G711" i="1"/>
  <c r="G705" i="1"/>
  <c r="G704" i="1"/>
  <c r="G697" i="1"/>
  <c r="G673" i="1"/>
  <c r="G665" i="1"/>
  <c r="G655" i="1"/>
  <c r="G634" i="1"/>
  <c r="G622" i="1"/>
  <c r="G611" i="1"/>
  <c r="G601" i="1"/>
  <c r="G593" i="1"/>
  <c r="G583" i="1"/>
  <c r="G573" i="1"/>
  <c r="G533" i="1"/>
  <c r="G532" i="1"/>
  <c r="G525" i="1"/>
  <c r="G524" i="1"/>
  <c r="G523" i="1"/>
  <c r="G512" i="1"/>
  <c r="G511" i="1"/>
  <c r="G504" i="1"/>
  <c r="G503" i="1"/>
  <c r="G502" i="1"/>
  <c r="G494" i="1"/>
  <c r="G493" i="1"/>
  <c r="G492" i="1"/>
  <c r="G484" i="1"/>
  <c r="G483" i="1"/>
  <c r="G482" i="1"/>
  <c r="G472" i="1"/>
  <c r="G471" i="1"/>
  <c r="G464" i="1"/>
  <c r="G463" i="1"/>
  <c r="G455" i="1"/>
  <c r="G454"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1"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72" i="1"/>
  <c r="F2371" i="1"/>
  <c r="F2370" i="1"/>
  <c r="F2369" i="1"/>
  <c r="F2188" i="1"/>
  <c r="F2187" i="1"/>
  <c r="F2186" i="1"/>
  <c r="F2052" i="1"/>
  <c r="F2051" i="1"/>
  <c r="F2050" i="1"/>
  <c r="F1490" i="1"/>
  <c r="F1489" i="1"/>
  <c r="F1481" i="1"/>
  <c r="F1480" i="1"/>
  <c r="F1472" i="1"/>
  <c r="F1471" i="1"/>
  <c r="F1463" i="1"/>
  <c r="F1462" i="1"/>
  <c r="F1454" i="1"/>
  <c r="F1453" i="1"/>
  <c r="F1445" i="1"/>
  <c r="F1444" i="1"/>
  <c r="F1436" i="1"/>
  <c r="F1435" i="1"/>
  <c r="F1427" i="1"/>
  <c r="F1426" i="1"/>
  <c r="F1418" i="1"/>
  <c r="F1417" i="1"/>
  <c r="F1410" i="1"/>
  <c r="F1409" i="1"/>
  <c r="F1402" i="1"/>
  <c r="F1390" i="1"/>
  <c r="F1378" i="1"/>
  <c r="F1365" i="1"/>
  <c r="F1351" i="1"/>
  <c r="F1335" i="1"/>
  <c r="F1322" i="1"/>
  <c r="F1308" i="1"/>
  <c r="F1293" i="1"/>
  <c r="F1280" i="1"/>
  <c r="F1266" i="1"/>
  <c r="F1251" i="1"/>
  <c r="F1238" i="1"/>
  <c r="F1230" i="1"/>
  <c r="F1222" i="1"/>
  <c r="F1213" i="1"/>
  <c r="F1202" i="1"/>
  <c r="F1193" i="1"/>
  <c r="F1184" i="1"/>
  <c r="F1172" i="1"/>
  <c r="F1158" i="1"/>
  <c r="F1155" i="1"/>
  <c r="F1146" i="1"/>
  <c r="F1135" i="1"/>
  <c r="F1126" i="1"/>
  <c r="F1115" i="1"/>
  <c r="F1111" i="1"/>
  <c r="F1087" i="1"/>
  <c r="F1086" i="1"/>
  <c r="F1080" i="1"/>
  <c r="F1079" i="1"/>
  <c r="F1072" i="1"/>
  <c r="F1071" i="1"/>
  <c r="F1062" i="1"/>
  <c r="F1061" i="1"/>
  <c r="F1052" i="1"/>
  <c r="F1051" i="1"/>
  <c r="F1042" i="1"/>
  <c r="F1041" i="1"/>
  <c r="F1033" i="1"/>
  <c r="F1032" i="1"/>
  <c r="F1023" i="1"/>
  <c r="F1022" i="1"/>
  <c r="F1013" i="1"/>
  <c r="F1012" i="1"/>
  <c r="F988" i="1"/>
  <c r="F987" i="1"/>
  <c r="F980" i="1"/>
  <c r="F979" i="1"/>
  <c r="F973" i="1"/>
  <c r="F972" i="1"/>
  <c r="F962" i="1"/>
  <c r="F961" i="1"/>
  <c r="F953" i="1"/>
  <c r="F952" i="1"/>
  <c r="F942" i="1"/>
  <c r="F941" i="1"/>
  <c r="F932" i="1"/>
  <c r="F931" i="1"/>
  <c r="F922" i="1"/>
  <c r="F921" i="1"/>
  <c r="F913" i="1"/>
  <c r="F912" i="1"/>
  <c r="F908" i="1"/>
  <c r="F907" i="1"/>
  <c r="F898" i="1"/>
  <c r="F897" i="1"/>
  <c r="F878" i="1"/>
  <c r="F877" i="1"/>
  <c r="F865" i="1"/>
  <c r="F864" i="1"/>
  <c r="F854" i="1"/>
  <c r="F853" i="1"/>
  <c r="F849" i="1"/>
  <c r="F848" i="1"/>
  <c r="F840" i="1"/>
  <c r="F839" i="1"/>
  <c r="F829" i="1"/>
  <c r="F828" i="1"/>
  <c r="F818" i="1"/>
  <c r="F817" i="1"/>
  <c r="F809" i="1"/>
  <c r="F808" i="1"/>
  <c r="F798" i="1"/>
  <c r="F797" i="1"/>
  <c r="F788" i="1"/>
  <c r="F787" i="1"/>
  <c r="F777" i="1"/>
  <c r="F776" i="1"/>
  <c r="F770" i="1"/>
  <c r="F769" i="1"/>
  <c r="F759" i="1"/>
  <c r="F758" i="1"/>
  <c r="F752" i="1"/>
  <c r="F751" i="1"/>
  <c r="F743" i="1"/>
  <c r="F742" i="1"/>
  <c r="F736" i="1"/>
  <c r="F730" i="1"/>
  <c r="F726" i="1"/>
  <c r="F725" i="1"/>
  <c r="F719" i="1"/>
  <c r="F718" i="1"/>
  <c r="F712" i="1"/>
  <c r="F711" i="1"/>
  <c r="F705" i="1"/>
  <c r="F704" i="1"/>
  <c r="F697" i="1"/>
  <c r="F673" i="1"/>
  <c r="F665" i="1"/>
  <c r="F655" i="1"/>
  <c r="F634" i="1"/>
  <c r="F622" i="1"/>
  <c r="F611" i="1"/>
  <c r="F601" i="1"/>
  <c r="F593" i="1"/>
  <c r="F583" i="1"/>
  <c r="F573" i="1"/>
  <c r="F533" i="1"/>
  <c r="F532" i="1"/>
  <c r="F525" i="1"/>
  <c r="F524" i="1"/>
  <c r="F523" i="1"/>
  <c r="F512" i="1"/>
  <c r="F511" i="1"/>
  <c r="F504" i="1"/>
  <c r="F503" i="1"/>
  <c r="F502" i="1"/>
  <c r="F494" i="1"/>
  <c r="F493" i="1"/>
  <c r="F492" i="1"/>
  <c r="F484" i="1"/>
  <c r="F483" i="1"/>
  <c r="F482" i="1"/>
  <c r="F472" i="1"/>
  <c r="F471" i="1"/>
  <c r="F464" i="1"/>
  <c r="F463" i="1"/>
  <c r="F455" i="1"/>
  <c r="F454"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72" i="1"/>
  <c r="E2371" i="1"/>
  <c r="E2370" i="1"/>
  <c r="E2369" i="1"/>
  <c r="E2188" i="1"/>
  <c r="E2187" i="1"/>
  <c r="E2186" i="1"/>
  <c r="E2052" i="1"/>
  <c r="E2051" i="1"/>
  <c r="E2050" i="1"/>
  <c r="E1490" i="1"/>
  <c r="E1489" i="1"/>
  <c r="E1481" i="1"/>
  <c r="E1480" i="1"/>
  <c r="E1472" i="1"/>
  <c r="E1471" i="1"/>
  <c r="E1463" i="1"/>
  <c r="E1462" i="1"/>
  <c r="E1454" i="1"/>
  <c r="E1453" i="1"/>
  <c r="E1445" i="1"/>
  <c r="E1444" i="1"/>
  <c r="E1436" i="1"/>
  <c r="E1435" i="1"/>
  <c r="E1427" i="1"/>
  <c r="E1426" i="1"/>
  <c r="E1418" i="1"/>
  <c r="E1417" i="1"/>
  <c r="E1410" i="1"/>
  <c r="E1409" i="1"/>
  <c r="E1402" i="1"/>
  <c r="E1390" i="1"/>
  <c r="E1378" i="1"/>
  <c r="E1365" i="1"/>
  <c r="E1351" i="1"/>
  <c r="E1335" i="1"/>
  <c r="E1322" i="1"/>
  <c r="E1308" i="1"/>
  <c r="E1293" i="1"/>
  <c r="E1280" i="1"/>
  <c r="E1266" i="1"/>
  <c r="E1251" i="1"/>
  <c r="E1238" i="1"/>
  <c r="E1230" i="1"/>
  <c r="E1222" i="1"/>
  <c r="E1213" i="1"/>
  <c r="E1202" i="1"/>
  <c r="E1193" i="1"/>
  <c r="E1184" i="1"/>
  <c r="E1172" i="1"/>
  <c r="E1158" i="1"/>
  <c r="E1155" i="1"/>
  <c r="E1146" i="1"/>
  <c r="E1135" i="1"/>
  <c r="E1126" i="1"/>
  <c r="E1115" i="1"/>
  <c r="E1111" i="1"/>
  <c r="E1087" i="1"/>
  <c r="E1086" i="1"/>
  <c r="E1080" i="1"/>
  <c r="E1079" i="1"/>
  <c r="E1072" i="1"/>
  <c r="E1071" i="1"/>
  <c r="E1062" i="1"/>
  <c r="E1061" i="1"/>
  <c r="E1052" i="1"/>
  <c r="E1051" i="1"/>
  <c r="E1042" i="1"/>
  <c r="E1041" i="1"/>
  <c r="E1033" i="1"/>
  <c r="E1032" i="1"/>
  <c r="E1023" i="1"/>
  <c r="E1022" i="1"/>
  <c r="E1013" i="1"/>
  <c r="E1012" i="1"/>
  <c r="E988" i="1"/>
  <c r="E987" i="1"/>
  <c r="E980" i="1"/>
  <c r="E979" i="1"/>
  <c r="E973" i="1"/>
  <c r="E972" i="1"/>
  <c r="E962" i="1"/>
  <c r="E961" i="1"/>
  <c r="E953" i="1"/>
  <c r="E952" i="1"/>
  <c r="E942" i="1"/>
  <c r="E941" i="1"/>
  <c r="E932" i="1"/>
  <c r="E931" i="1"/>
  <c r="E922" i="1"/>
  <c r="E921" i="1"/>
  <c r="E913" i="1"/>
  <c r="E912" i="1"/>
  <c r="E908" i="1"/>
  <c r="E907" i="1"/>
  <c r="E898" i="1"/>
  <c r="E897" i="1"/>
  <c r="E878" i="1"/>
  <c r="E877" i="1"/>
  <c r="E865" i="1"/>
  <c r="E864" i="1"/>
  <c r="E854" i="1"/>
  <c r="E853" i="1"/>
  <c r="E849" i="1"/>
  <c r="E848" i="1"/>
  <c r="E840" i="1"/>
  <c r="E839" i="1"/>
  <c r="E829" i="1"/>
  <c r="E828" i="1"/>
  <c r="E818" i="1"/>
  <c r="E817" i="1"/>
  <c r="E809" i="1"/>
  <c r="E808" i="1"/>
  <c r="E798" i="1"/>
  <c r="E797" i="1"/>
  <c r="E788" i="1"/>
  <c r="E787" i="1"/>
  <c r="E777" i="1"/>
  <c r="E776" i="1"/>
  <c r="E770" i="1"/>
  <c r="E769" i="1"/>
  <c r="E759" i="1"/>
  <c r="E758" i="1"/>
  <c r="E752" i="1"/>
  <c r="E751" i="1"/>
  <c r="E743" i="1"/>
  <c r="E742" i="1"/>
  <c r="E736" i="1"/>
  <c r="E730" i="1"/>
  <c r="E726" i="1"/>
  <c r="E725" i="1"/>
  <c r="E719" i="1"/>
  <c r="E718" i="1"/>
  <c r="E712" i="1"/>
  <c r="E711" i="1"/>
  <c r="E705" i="1"/>
  <c r="E704" i="1"/>
  <c r="E697" i="1"/>
  <c r="E673" i="1"/>
  <c r="E665" i="1"/>
  <c r="E655" i="1"/>
  <c r="E634" i="1"/>
  <c r="E622" i="1"/>
  <c r="E611" i="1"/>
  <c r="E601" i="1"/>
  <c r="E593" i="1"/>
  <c r="E583" i="1"/>
  <c r="E573" i="1"/>
  <c r="E533" i="1"/>
  <c r="E532" i="1"/>
  <c r="E525" i="1"/>
  <c r="E524" i="1"/>
  <c r="E523" i="1"/>
  <c r="E512" i="1"/>
  <c r="E511" i="1"/>
  <c r="E504" i="1"/>
  <c r="E503" i="1"/>
  <c r="E502" i="1"/>
  <c r="E494" i="1"/>
  <c r="E493" i="1"/>
  <c r="E492" i="1"/>
  <c r="E484" i="1"/>
  <c r="E483" i="1"/>
  <c r="E482" i="1"/>
  <c r="E472" i="1"/>
  <c r="E471" i="1"/>
  <c r="E464" i="1"/>
  <c r="E463" i="1"/>
  <c r="E455" i="1"/>
  <c r="E454"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2" i="15"/>
  <c r="E1263" i="15"/>
  <c r="E1264" i="15"/>
  <c r="E1265" i="15"/>
  <c r="E1266" i="15"/>
  <c r="E1267" i="15"/>
  <c r="E1268" i="15"/>
  <c r="E1269" i="15"/>
  <c r="E1270" i="15"/>
  <c r="E1271" i="15"/>
  <c r="E1272" i="15"/>
  <c r="H801" i="23"/>
  <c r="H802" i="23"/>
  <c r="F613" i="1"/>
  <c r="F1816" i="1"/>
  <c r="F10" i="97" s="1"/>
  <c r="D12" i="109" s="1"/>
  <c r="C134" i="115" s="1"/>
  <c r="L133" i="78"/>
  <c r="B3" i="16"/>
  <c r="Q1413" i="1"/>
  <c r="Q1414" i="1"/>
  <c r="Q1415" i="1"/>
  <c r="Q1412" i="1"/>
  <c r="Q1175" i="1"/>
  <c r="Q1176" i="1"/>
  <c r="Q1178" i="1"/>
  <c r="Q1179" i="1"/>
  <c r="Q1180" i="1"/>
  <c r="Q1181" i="1"/>
  <c r="Q1182" i="1"/>
  <c r="Q1183" i="1"/>
  <c r="Q1174" i="1"/>
  <c r="Q802" i="1"/>
  <c r="Q803" i="1"/>
  <c r="Q804" i="1"/>
  <c r="Q805" i="1"/>
  <c r="Q806" i="1"/>
  <c r="H332" i="23"/>
  <c r="F710" i="23"/>
  <c r="F2301" i="1"/>
  <c r="F2302" i="1"/>
  <c r="G2929" i="23"/>
  <c r="F2929" i="23"/>
  <c r="E2929" i="23"/>
  <c r="G2928" i="23"/>
  <c r="E2928" i="23"/>
  <c r="G2927" i="23"/>
  <c r="E2927" i="23"/>
  <c r="G2925" i="23"/>
  <c r="F2925" i="23"/>
  <c r="G2924" i="23"/>
  <c r="F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F2916" i="23"/>
  <c r="E2916" i="23"/>
  <c r="G2915" i="23"/>
  <c r="F2915" i="23"/>
  <c r="E2915" i="23"/>
  <c r="G2914" i="23"/>
  <c r="F2914" i="23"/>
  <c r="E2914"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6" i="23"/>
  <c r="F2906" i="23"/>
  <c r="E2906" i="23"/>
  <c r="G2905" i="23"/>
  <c r="F2905" i="23"/>
  <c r="E2905" i="23"/>
  <c r="G2902" i="23"/>
  <c r="F2902" i="23"/>
  <c r="G2901" i="23"/>
  <c r="F2901" i="23"/>
  <c r="E2901" i="23"/>
  <c r="G2900" i="23"/>
  <c r="F2900" i="23"/>
  <c r="E2900" i="23"/>
  <c r="G2899" i="23"/>
  <c r="F2899" i="23"/>
  <c r="G2898" i="23"/>
  <c r="F2898" i="23"/>
  <c r="E2898" i="23"/>
  <c r="G2897" i="23"/>
  <c r="F2897" i="23"/>
  <c r="E2897" i="23"/>
  <c r="G2896" i="23"/>
  <c r="F2896" i="23"/>
  <c r="E2896" i="23"/>
  <c r="G2895" i="23"/>
  <c r="F2895" i="23"/>
  <c r="E2895" i="23"/>
  <c r="G2894" i="23"/>
  <c r="F2894" i="23"/>
  <c r="E2894" i="23"/>
  <c r="G2893" i="23"/>
  <c r="F2893" i="23"/>
  <c r="E2893" i="23"/>
  <c r="G2892" i="23"/>
  <c r="F2892" i="23"/>
  <c r="E2892" i="23"/>
  <c r="G2891" i="23"/>
  <c r="F2891" i="23"/>
  <c r="E2891" i="23"/>
  <c r="G2890" i="23"/>
  <c r="F2890" i="23"/>
  <c r="E2890" i="23"/>
  <c r="G2889" i="23"/>
  <c r="F2889" i="23"/>
  <c r="E2889" i="23"/>
  <c r="G2888" i="23"/>
  <c r="F2888" i="23"/>
  <c r="E2888" i="23"/>
  <c r="G2887" i="23"/>
  <c r="F2887" i="23"/>
  <c r="E2887" i="23"/>
  <c r="G2884" i="23"/>
  <c r="F2884" i="23"/>
  <c r="E2884" i="23"/>
  <c r="G2883" i="23"/>
  <c r="F2883" i="23"/>
  <c r="E2883" i="23"/>
  <c r="G2880" i="23"/>
  <c r="F2880" i="23"/>
  <c r="E2880" i="23"/>
  <c r="G2879" i="23"/>
  <c r="F2879" i="23"/>
  <c r="E2879" i="23"/>
  <c r="G2878" i="23"/>
  <c r="F2878" i="23"/>
  <c r="E2878" i="23"/>
  <c r="G2877" i="23"/>
  <c r="F2877" i="23"/>
  <c r="E2877" i="23"/>
  <c r="G2876" i="23"/>
  <c r="F2876" i="23"/>
  <c r="E2876" i="23"/>
  <c r="G2875" i="23"/>
  <c r="F2875" i="23"/>
  <c r="E2875" i="23"/>
  <c r="G2874" i="23"/>
  <c r="F2874" i="23"/>
  <c r="E2874" i="23"/>
  <c r="G2871" i="23"/>
  <c r="F2871" i="23"/>
  <c r="E2871" i="23"/>
  <c r="G2870" i="23"/>
  <c r="F2870" i="23"/>
  <c r="E2870" i="23"/>
  <c r="G2869" i="23"/>
  <c r="F2869" i="23"/>
  <c r="E2869" i="23"/>
  <c r="G2868" i="23"/>
  <c r="F2868" i="23"/>
  <c r="E2868" i="23"/>
  <c r="G2867" i="23"/>
  <c r="F2867" i="23"/>
  <c r="E2867" i="23"/>
  <c r="G2866" i="23"/>
  <c r="F2866" i="23"/>
  <c r="E2866" i="23"/>
  <c r="G2865" i="23"/>
  <c r="F2865" i="23"/>
  <c r="E2865" i="23"/>
  <c r="G2864" i="23"/>
  <c r="F2864" i="23"/>
  <c r="E2864" i="23"/>
  <c r="G2863" i="23"/>
  <c r="F2863" i="23"/>
  <c r="E2863" i="23"/>
  <c r="G2862" i="23"/>
  <c r="E2862" i="23"/>
  <c r="G2859" i="23"/>
  <c r="F2859" i="23"/>
  <c r="E2859" i="23"/>
  <c r="G2858" i="23"/>
  <c r="F2858" i="23"/>
  <c r="E2858" i="23"/>
  <c r="G2857" i="23"/>
  <c r="F2857" i="23"/>
  <c r="E2857" i="23"/>
  <c r="G2856" i="23"/>
  <c r="F2856" i="23"/>
  <c r="E2856" i="23"/>
  <c r="G2855" i="23"/>
  <c r="F2855" i="23"/>
  <c r="E2855" i="23"/>
  <c r="G2854" i="23"/>
  <c r="F2854" i="23"/>
  <c r="E2854" i="23"/>
  <c r="G2853" i="23"/>
  <c r="F2853" i="23"/>
  <c r="E2853" i="23"/>
  <c r="G2850" i="23"/>
  <c r="F2850" i="23"/>
  <c r="E2850" i="23"/>
  <c r="G2849" i="23"/>
  <c r="F2849" i="23"/>
  <c r="E2849" i="23"/>
  <c r="G2848" i="23"/>
  <c r="F2848" i="23"/>
  <c r="E2848" i="23"/>
  <c r="G2847" i="23"/>
  <c r="F2847" i="23"/>
  <c r="E2847" i="23"/>
  <c r="G2846" i="23"/>
  <c r="F2846" i="23"/>
  <c r="E2846" i="23"/>
  <c r="G2845" i="23"/>
  <c r="F2845" i="23"/>
  <c r="E2845" i="23"/>
  <c r="G2844" i="23"/>
  <c r="F2844" i="23"/>
  <c r="E2844" i="23"/>
  <c r="G2843" i="23"/>
  <c r="F2843" i="23"/>
  <c r="E2843" i="23"/>
  <c r="G2840" i="23"/>
  <c r="F2840" i="23"/>
  <c r="E2840" i="23"/>
  <c r="G2839" i="23"/>
  <c r="F2839" i="23"/>
  <c r="E2839" i="23"/>
  <c r="G2838" i="23"/>
  <c r="F2838" i="23"/>
  <c r="E2838" i="23"/>
  <c r="G2837" i="23"/>
  <c r="F2837" i="23"/>
  <c r="E2837" i="23"/>
  <c r="G2834" i="23"/>
  <c r="F2834" i="23"/>
  <c r="E2834" i="23"/>
  <c r="F2833" i="23"/>
  <c r="E2833" i="23"/>
  <c r="F2832" i="23"/>
  <c r="E2832" i="23"/>
  <c r="F2831" i="23"/>
  <c r="E2831" i="23"/>
  <c r="E2830" i="23"/>
  <c r="G2829" i="23"/>
  <c r="F2829" i="23"/>
  <c r="E2829" i="23"/>
  <c r="G2828" i="23"/>
  <c r="F2828" i="23"/>
  <c r="E2828" i="23"/>
  <c r="G2827" i="23"/>
  <c r="F2827" i="23"/>
  <c r="E2827" i="23"/>
  <c r="G2826" i="23"/>
  <c r="F2826" i="23"/>
  <c r="E2826" i="23"/>
  <c r="G2825" i="23"/>
  <c r="F2825" i="23"/>
  <c r="E2825" i="23"/>
  <c r="G2824" i="23"/>
  <c r="F2824" i="23"/>
  <c r="E2824" i="23"/>
  <c r="G2823" i="23"/>
  <c r="F2823" i="23"/>
  <c r="E2823" i="23"/>
  <c r="G2822" i="23"/>
  <c r="F2822" i="23"/>
  <c r="E2822" i="23"/>
  <c r="G2821" i="23"/>
  <c r="F2821" i="23"/>
  <c r="E2821" i="23"/>
  <c r="G2820" i="23"/>
  <c r="E2820" i="23"/>
  <c r="F2817" i="23"/>
  <c r="F2816" i="23"/>
  <c r="F2815" i="23"/>
  <c r="F2814" i="23"/>
  <c r="F2813" i="23"/>
  <c r="F2812" i="23"/>
  <c r="F2811" i="23"/>
  <c r="F2808" i="23"/>
  <c r="F2807" i="23"/>
  <c r="F2806" i="23"/>
  <c r="F2805" i="23"/>
  <c r="F2804" i="23"/>
  <c r="F2803" i="23"/>
  <c r="F2802" i="23"/>
  <c r="F2799" i="23"/>
  <c r="F2798" i="23"/>
  <c r="F2797" i="23"/>
  <c r="F2796" i="23"/>
  <c r="F2795" i="23"/>
  <c r="F2792" i="23"/>
  <c r="F2791" i="23"/>
  <c r="F2790" i="23"/>
  <c r="F2789" i="23"/>
  <c r="F2788" i="23"/>
  <c r="F2785" i="23"/>
  <c r="F2784" i="23"/>
  <c r="F2783" i="23"/>
  <c r="F2782" i="23"/>
  <c r="F2781" i="23"/>
  <c r="G2778" i="23"/>
  <c r="F2778" i="23"/>
  <c r="E2778"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5" i="15"/>
  <c r="E986" i="15"/>
  <c r="E987" i="15"/>
  <c r="E988" i="15"/>
  <c r="E989" i="15"/>
  <c r="E990" i="15"/>
  <c r="E991" i="15"/>
  <c r="E992" i="15"/>
  <c r="E993" i="15"/>
  <c r="E994" i="15"/>
  <c r="E995" i="15"/>
  <c r="E996" i="15"/>
  <c r="E997" i="15"/>
  <c r="E998" i="15"/>
  <c r="E999" i="15"/>
  <c r="E1000" i="15"/>
  <c r="E1001" i="15"/>
  <c r="E1002" i="15"/>
  <c r="E1003" i="15"/>
  <c r="E1004" i="15"/>
  <c r="E1005" i="15"/>
  <c r="E1006" i="15"/>
  <c r="E1007" i="15"/>
  <c r="E1008" i="15"/>
  <c r="E1009" i="15"/>
  <c r="E1010"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6" i="15"/>
  <c r="E1107" i="15"/>
  <c r="E1108" i="15"/>
  <c r="E1109" i="15"/>
  <c r="E1110" i="15"/>
  <c r="E1112" i="15"/>
  <c r="E1113" i="15"/>
  <c r="E1114" i="15"/>
  <c r="E1115" i="15"/>
  <c r="E1116" i="15"/>
  <c r="E1117" i="15"/>
  <c r="E1118" i="15"/>
  <c r="E1119" i="15"/>
  <c r="E1120" i="15"/>
  <c r="E1121" i="15"/>
  <c r="E1122" i="15"/>
  <c r="E1123"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8" i="15"/>
  <c r="E1259" i="15"/>
  <c r="E1260" i="15"/>
  <c r="E1261"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10" i="15"/>
  <c r="E311"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2" i="15"/>
  <c r="E373" i="15"/>
  <c r="E374" i="15"/>
  <c r="E375" i="15"/>
  <c r="E376" i="15"/>
  <c r="E377" i="15"/>
  <c r="E378" i="15"/>
  <c r="E379" i="15"/>
  <c r="E380" i="15"/>
  <c r="E381" i="15"/>
  <c r="E382" i="15"/>
  <c r="E383" i="15"/>
  <c r="E384" i="15"/>
  <c r="E385" i="15"/>
  <c r="E386" i="15"/>
  <c r="E387" i="15"/>
  <c r="E388" i="15"/>
  <c r="E389" i="15"/>
  <c r="E390" i="15"/>
  <c r="E391" i="15"/>
  <c r="E397" i="15"/>
  <c r="E398"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60" i="15"/>
  <c r="E461" i="15"/>
  <c r="E462" i="15"/>
  <c r="E467" i="15"/>
  <c r="E468" i="15"/>
  <c r="E469" i="15"/>
  <c r="E470" i="15"/>
  <c r="E471" i="15"/>
  <c r="E472" i="15"/>
  <c r="E473" i="15"/>
  <c r="E474" i="15"/>
  <c r="E475" i="15"/>
  <c r="E476" i="15"/>
  <c r="E477" i="15"/>
  <c r="E478" i="15"/>
  <c r="E479" i="15"/>
  <c r="E480" i="15"/>
  <c r="E481" i="15"/>
  <c r="E482" i="15"/>
  <c r="E483" i="15"/>
  <c r="E484" i="15"/>
  <c r="E485" i="15"/>
  <c r="E486" i="15"/>
  <c r="E487"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4" i="15"/>
  <c r="E65" i="15"/>
  <c r="E66" i="15"/>
  <c r="E67" i="15"/>
  <c r="E68" i="15"/>
  <c r="E69" i="15"/>
  <c r="E70" i="15"/>
  <c r="E71" i="15"/>
  <c r="E72" i="15"/>
  <c r="E73" i="15"/>
  <c r="E74" i="15"/>
  <c r="E75" i="15"/>
  <c r="E76" i="15"/>
  <c r="E77" i="15"/>
  <c r="E78" i="15"/>
  <c r="E79" i="15"/>
  <c r="E80" i="15"/>
  <c r="E81" i="15"/>
  <c r="E82" i="15"/>
  <c r="E83"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6" i="15"/>
  <c r="E187" i="15"/>
  <c r="E188" i="15"/>
  <c r="E189" i="15"/>
  <c r="E190" i="15"/>
  <c r="E191" i="15"/>
  <c r="E192" i="15"/>
  <c r="E193" i="15"/>
  <c r="E194" i="15"/>
  <c r="E195"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8" i="15"/>
  <c r="E229" i="15"/>
  <c r="E230" i="15"/>
  <c r="E231" i="15"/>
  <c r="E233" i="15"/>
  <c r="E234" i="15"/>
  <c r="E235" i="15"/>
  <c r="E236" i="15"/>
  <c r="D2320" i="1"/>
  <c r="C2320" i="1" s="1"/>
  <c r="C2325" i="1"/>
  <c r="C2237" i="1"/>
  <c r="C1630" i="1"/>
  <c r="D621" i="1"/>
  <c r="D617" i="1"/>
  <c r="N617" i="1" s="1"/>
  <c r="Q365" i="1"/>
  <c r="Q359" i="1"/>
  <c r="Q358" i="1"/>
  <c r="Q357" i="1"/>
  <c r="P2006" i="1"/>
  <c r="P2136" i="1"/>
  <c r="C2136" i="1" s="1"/>
  <c r="P2137" i="1"/>
  <c r="C2137" i="1" s="1"/>
  <c r="P2138" i="1"/>
  <c r="C2138" i="1" s="1"/>
  <c r="P2139" i="1"/>
  <c r="C2139" i="1" s="1"/>
  <c r="P2140" i="1"/>
  <c r="C2140" i="1" s="1"/>
  <c r="P2141" i="1"/>
  <c r="C2141" i="1" s="1"/>
  <c r="P2144" i="1"/>
  <c r="C2144" i="1" s="1"/>
  <c r="P2145" i="1"/>
  <c r="C2145" i="1" s="1"/>
  <c r="P2146" i="1"/>
  <c r="C2146" i="1" s="1"/>
  <c r="P2147" i="1"/>
  <c r="C2147" i="1" s="1"/>
  <c r="P2148" i="1"/>
  <c r="C2148" i="1" s="1"/>
  <c r="P2149" i="1"/>
  <c r="C2149" i="1" s="1"/>
  <c r="P2150" i="1"/>
  <c r="C2150" i="1" s="1"/>
  <c r="P2151" i="1"/>
  <c r="C2151" i="1" s="1"/>
  <c r="P2152" i="1"/>
  <c r="C2152" i="1" s="1"/>
  <c r="P2153" i="1"/>
  <c r="C2153" i="1" s="1"/>
  <c r="P2154" i="1"/>
  <c r="C2154" i="1" s="1"/>
  <c r="P2155" i="1"/>
  <c r="C2155" i="1" s="1"/>
  <c r="P2176" i="1"/>
  <c r="C2176" i="1" s="1"/>
  <c r="P2177" i="1"/>
  <c r="C2177"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366" i="1"/>
  <c r="C2366" i="1" s="1"/>
  <c r="P2367" i="1"/>
  <c r="C2367" i="1" s="1"/>
  <c r="P2368" i="1"/>
  <c r="C2368" i="1" s="1"/>
  <c r="P2369" i="1"/>
  <c r="C2369" i="1" s="1"/>
  <c r="P2370" i="1"/>
  <c r="C2370" i="1" s="1"/>
  <c r="P2371" i="1"/>
  <c r="C2371" i="1" s="1"/>
  <c r="P2372" i="1"/>
  <c r="C2372" i="1" s="1"/>
  <c r="P1830" i="1"/>
  <c r="C1830" i="1" s="1"/>
  <c r="P1831" i="1"/>
  <c r="C1831"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737" i="1"/>
  <c r="C1737" i="1" s="1"/>
  <c r="P1738" i="1"/>
  <c r="C1738" i="1" s="1"/>
  <c r="P1739" i="1"/>
  <c r="C1739"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596" i="1"/>
  <c r="C1596" i="1" s="1"/>
  <c r="P1597" i="1"/>
  <c r="C1597" i="1" s="1"/>
  <c r="P1598" i="1"/>
  <c r="C1598" i="1" s="1"/>
  <c r="P1599" i="1"/>
  <c r="C1599" i="1" s="1"/>
  <c r="P1600" i="1"/>
  <c r="C1600"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P1612" i="1"/>
  <c r="C1612" i="1" s="1"/>
  <c r="P1615" i="1"/>
  <c r="C1615" i="1" s="1"/>
  <c r="P1616" i="1"/>
  <c r="C1616" i="1" s="1"/>
  <c r="P1617" i="1"/>
  <c r="C1617" i="1" s="1"/>
  <c r="P1618" i="1"/>
  <c r="C1618" i="1" s="1"/>
  <c r="P1619" i="1"/>
  <c r="C1619" i="1" s="1"/>
  <c r="P1620" i="1"/>
  <c r="C1620" i="1" s="1"/>
  <c r="P1621" i="1"/>
  <c r="C1621" i="1" s="1"/>
  <c r="P1622" i="1"/>
  <c r="C1622" i="1" s="1"/>
  <c r="P1623" i="1"/>
  <c r="C1623" i="1" s="1"/>
  <c r="P1624" i="1"/>
  <c r="C1624" i="1" s="1"/>
  <c r="R1405" i="1"/>
  <c r="R1406" i="1"/>
  <c r="R1407" i="1"/>
  <c r="R1404" i="1"/>
  <c r="R1161" i="1"/>
  <c r="R1162" i="1"/>
  <c r="R1165" i="1"/>
  <c r="R1166" i="1"/>
  <c r="R1160" i="1"/>
  <c r="Q858" i="1"/>
  <c r="Q859" i="1"/>
  <c r="Q860" i="1"/>
  <c r="Q861" i="1"/>
  <c r="Q862" i="1"/>
  <c r="H853" i="1"/>
  <c r="C853" i="1" s="1"/>
  <c r="H854" i="1"/>
  <c r="C854" i="1" s="1"/>
  <c r="H851" i="1"/>
  <c r="C851" i="1" s="1"/>
  <c r="R802" i="1"/>
  <c r="R803" i="1"/>
  <c r="R804" i="1"/>
  <c r="R805" i="1"/>
  <c r="R806"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51" i="1"/>
  <c r="C452" i="1"/>
  <c r="C453" i="1"/>
  <c r="C454" i="1"/>
  <c r="C455" i="1"/>
  <c r="C460" i="1"/>
  <c r="C461" i="1"/>
  <c r="C462" i="1"/>
  <c r="C463" i="1"/>
  <c r="C464" i="1"/>
  <c r="C468" i="1"/>
  <c r="C469" i="1"/>
  <c r="C470" i="1"/>
  <c r="C471" i="1"/>
  <c r="C472" i="1"/>
  <c r="C478" i="1"/>
  <c r="C479" i="1"/>
  <c r="C480" i="1"/>
  <c r="C481" i="1"/>
  <c r="C482" i="1"/>
  <c r="C483" i="1"/>
  <c r="C484" i="1"/>
  <c r="C489" i="1"/>
  <c r="C490" i="1"/>
  <c r="C491" i="1"/>
  <c r="C492" i="1"/>
  <c r="C493" i="1"/>
  <c r="C494" i="1"/>
  <c r="C499" i="1"/>
  <c r="C500" i="1"/>
  <c r="C501" i="1"/>
  <c r="C502" i="1"/>
  <c r="C503" i="1"/>
  <c r="C504" i="1"/>
  <c r="C508" i="1"/>
  <c r="C509" i="1"/>
  <c r="C510" i="1"/>
  <c r="C511" i="1"/>
  <c r="C512" i="1"/>
  <c r="C518" i="1"/>
  <c r="C519" i="1"/>
  <c r="C520" i="1"/>
  <c r="C521" i="1"/>
  <c r="C522" i="1"/>
  <c r="C523" i="1"/>
  <c r="C524" i="1"/>
  <c r="C525" i="1"/>
  <c r="C529" i="1"/>
  <c r="C530" i="1"/>
  <c r="C531" i="1"/>
  <c r="C532" i="1"/>
  <c r="C533" i="1"/>
  <c r="C538" i="1"/>
  <c r="C539" i="1"/>
  <c r="C540" i="1"/>
  <c r="C541" i="1"/>
  <c r="C544" i="1"/>
  <c r="C545" i="1"/>
  <c r="C546" i="1"/>
  <c r="C547" i="1"/>
  <c r="C548" i="1"/>
  <c r="C549" i="1"/>
  <c r="C555" i="1"/>
  <c r="C557" i="1"/>
  <c r="C560" i="1"/>
  <c r="C561" i="1"/>
  <c r="C562" i="1"/>
  <c r="C563" i="1"/>
  <c r="C564" i="1"/>
  <c r="C565" i="1"/>
  <c r="C572" i="1"/>
  <c r="C573" i="1"/>
  <c r="C578" i="1"/>
  <c r="C579" i="1"/>
  <c r="C580" i="1"/>
  <c r="C581" i="1"/>
  <c r="C582" i="1"/>
  <c r="C583" i="1"/>
  <c r="C592" i="1"/>
  <c r="C593" i="1"/>
  <c r="C598" i="1"/>
  <c r="C599" i="1"/>
  <c r="C600" i="1"/>
  <c r="C601" i="1"/>
  <c r="C670" i="1"/>
  <c r="C671" i="1"/>
  <c r="C672" i="1"/>
  <c r="C673" i="1"/>
  <c r="C681" i="1"/>
  <c r="C682" i="1"/>
  <c r="C692" i="1"/>
  <c r="C693" i="1"/>
  <c r="C694" i="1"/>
  <c r="C695" i="1"/>
  <c r="C696" i="1"/>
  <c r="C697" i="1"/>
  <c r="C702" i="1"/>
  <c r="C703" i="1"/>
  <c r="C704" i="1"/>
  <c r="C705" i="1"/>
  <c r="C710" i="1"/>
  <c r="C711" i="1"/>
  <c r="C712" i="1"/>
  <c r="C717" i="1"/>
  <c r="C718" i="1"/>
  <c r="C719" i="1"/>
  <c r="C724" i="1"/>
  <c r="C725" i="1"/>
  <c r="C726" i="1"/>
  <c r="C729" i="1"/>
  <c r="C730" i="1"/>
  <c r="C736" i="1"/>
  <c r="C740" i="1"/>
  <c r="C741" i="1"/>
  <c r="C742" i="1"/>
  <c r="C743" i="1"/>
  <c r="C745" i="1"/>
  <c r="C749" i="1"/>
  <c r="C750" i="1"/>
  <c r="C751" i="1"/>
  <c r="C752" i="1"/>
  <c r="C757" i="1"/>
  <c r="C758" i="1"/>
  <c r="C759" i="1"/>
  <c r="C763" i="1"/>
  <c r="C767" i="1"/>
  <c r="C768" i="1"/>
  <c r="C769" i="1"/>
  <c r="C770" i="1"/>
  <c r="C774" i="1"/>
  <c r="C775" i="1"/>
  <c r="C776" i="1"/>
  <c r="C777" i="1"/>
  <c r="C795" i="1"/>
  <c r="C796" i="1"/>
  <c r="C797" i="1"/>
  <c r="C798" i="1"/>
  <c r="C807" i="1"/>
  <c r="C808" i="1"/>
  <c r="C809" i="1"/>
  <c r="C815" i="1"/>
  <c r="C816" i="1"/>
  <c r="C817" i="1"/>
  <c r="C818" i="1"/>
  <c r="C826" i="1"/>
  <c r="C827" i="1"/>
  <c r="C828" i="1"/>
  <c r="C829" i="1"/>
  <c r="C833" i="1"/>
  <c r="C834" i="1"/>
  <c r="C838" i="1"/>
  <c r="C839" i="1"/>
  <c r="C840" i="1"/>
  <c r="C863" i="1"/>
  <c r="C864" i="1"/>
  <c r="C865" i="1"/>
  <c r="C866" i="1"/>
  <c r="C867" i="1"/>
  <c r="C875" i="1"/>
  <c r="C876" i="1"/>
  <c r="C877" i="1"/>
  <c r="C878" i="1"/>
  <c r="C895" i="1"/>
  <c r="C896" i="1"/>
  <c r="C897" i="1"/>
  <c r="C898" i="1"/>
  <c r="C905" i="1"/>
  <c r="C906" i="1"/>
  <c r="C907" i="1"/>
  <c r="C908" i="1"/>
  <c r="C910" i="1"/>
  <c r="C911" i="1"/>
  <c r="C912" i="1"/>
  <c r="C913" i="1"/>
  <c r="C919" i="1"/>
  <c r="C920" i="1"/>
  <c r="C921" i="1"/>
  <c r="C922" i="1"/>
  <c r="C929" i="1"/>
  <c r="C930" i="1"/>
  <c r="C931" i="1"/>
  <c r="C932" i="1"/>
  <c r="C939" i="1"/>
  <c r="C940" i="1"/>
  <c r="C941" i="1"/>
  <c r="C942" i="1"/>
  <c r="C950" i="1"/>
  <c r="C951" i="1"/>
  <c r="C952" i="1"/>
  <c r="C953" i="1"/>
  <c r="C960" i="1"/>
  <c r="C961" i="1"/>
  <c r="C962" i="1"/>
  <c r="C971" i="1"/>
  <c r="C972" i="1"/>
  <c r="C973" i="1"/>
  <c r="C979" i="1"/>
  <c r="C980" i="1"/>
  <c r="C987" i="1"/>
  <c r="C988" i="1"/>
  <c r="C994" i="1"/>
  <c r="C995" i="1"/>
  <c r="C1002" i="1"/>
  <c r="C1003" i="1"/>
  <c r="C1010" i="1"/>
  <c r="C1011" i="1"/>
  <c r="C1012" i="1"/>
  <c r="C1013" i="1"/>
  <c r="C1020" i="1"/>
  <c r="C1021" i="1"/>
  <c r="C1022" i="1"/>
  <c r="C1023" i="1"/>
  <c r="C1030" i="1"/>
  <c r="C1031" i="1"/>
  <c r="C1032" i="1"/>
  <c r="C1033" i="1"/>
  <c r="C1039" i="1"/>
  <c r="C1040" i="1"/>
  <c r="C1041" i="1"/>
  <c r="C1042" i="1"/>
  <c r="C1049" i="1"/>
  <c r="C1050" i="1"/>
  <c r="C1051" i="1"/>
  <c r="C1052" i="1"/>
  <c r="C1059" i="1"/>
  <c r="C1060" i="1"/>
  <c r="C1061" i="1"/>
  <c r="C1062" i="1"/>
  <c r="C1069" i="1"/>
  <c r="C1070" i="1"/>
  <c r="C1071" i="1"/>
  <c r="C1072" i="1"/>
  <c r="C1077" i="1"/>
  <c r="C1078" i="1"/>
  <c r="C1079" i="1"/>
  <c r="C1080" i="1"/>
  <c r="C1084" i="1"/>
  <c r="C1085" i="1"/>
  <c r="C1086" i="1"/>
  <c r="C1087" i="1"/>
  <c r="C1111" i="1"/>
  <c r="C1124" i="1"/>
  <c r="C1125" i="1"/>
  <c r="C1126" i="1"/>
  <c r="C1134" i="1"/>
  <c r="C1135" i="1"/>
  <c r="C1144" i="1"/>
  <c r="C1145" i="1"/>
  <c r="C1146" i="1"/>
  <c r="C1154" i="1"/>
  <c r="C1155" i="1"/>
  <c r="C1184" i="1"/>
  <c r="C1192" i="1"/>
  <c r="C1193" i="1"/>
  <c r="C1201" i="1"/>
  <c r="C1202" i="1"/>
  <c r="C1211" i="1"/>
  <c r="C1212" i="1"/>
  <c r="C1213" i="1"/>
  <c r="C1221" i="1"/>
  <c r="C1222" i="1"/>
  <c r="C1229" i="1"/>
  <c r="C1230" i="1"/>
  <c r="C1237" i="1"/>
  <c r="C1238" i="1"/>
  <c r="C1249" i="1"/>
  <c r="C1250" i="1"/>
  <c r="C1251" i="1"/>
  <c r="C1263" i="1"/>
  <c r="C1264" i="1"/>
  <c r="C1265" i="1"/>
  <c r="C1266" i="1"/>
  <c r="C1278" i="1"/>
  <c r="C1279" i="1"/>
  <c r="C1280" i="1"/>
  <c r="C1291" i="1"/>
  <c r="C1292" i="1"/>
  <c r="C1293" i="1"/>
  <c r="C1305" i="1"/>
  <c r="C1306" i="1"/>
  <c r="C1307" i="1"/>
  <c r="C1308" i="1"/>
  <c r="C1320" i="1"/>
  <c r="C1321" i="1"/>
  <c r="C1322" i="1"/>
  <c r="C1333" i="1"/>
  <c r="C1334" i="1"/>
  <c r="C1335" i="1"/>
  <c r="C1348" i="1"/>
  <c r="C1349" i="1"/>
  <c r="C1350" i="1"/>
  <c r="C1351" i="1"/>
  <c r="C1363" i="1"/>
  <c r="C1364" i="1"/>
  <c r="C1365" i="1"/>
  <c r="C1376" i="1"/>
  <c r="C1377" i="1"/>
  <c r="C1378" i="1"/>
  <c r="C1388" i="1"/>
  <c r="C1389" i="1"/>
  <c r="C1390" i="1"/>
  <c r="C1400" i="1"/>
  <c r="C1401" i="1"/>
  <c r="C1402" i="1"/>
  <c r="C1408" i="1"/>
  <c r="C1409" i="1"/>
  <c r="C1410" i="1"/>
  <c r="C1416" i="1"/>
  <c r="C1417" i="1"/>
  <c r="C1418" i="1"/>
  <c r="C1423" i="1"/>
  <c r="C1424" i="1"/>
  <c r="C1425" i="1"/>
  <c r="C1426" i="1"/>
  <c r="C1427" i="1"/>
  <c r="C1432" i="1"/>
  <c r="C1433" i="1"/>
  <c r="C1434" i="1"/>
  <c r="C1435" i="1"/>
  <c r="C1436" i="1"/>
  <c r="C1441" i="1"/>
  <c r="C1442" i="1"/>
  <c r="C1443" i="1"/>
  <c r="C1444" i="1"/>
  <c r="C1445" i="1"/>
  <c r="C1450" i="1"/>
  <c r="C1451" i="1"/>
  <c r="C1452" i="1"/>
  <c r="C1453" i="1"/>
  <c r="C1454" i="1"/>
  <c r="C1459" i="1"/>
  <c r="C1460" i="1"/>
  <c r="C1461" i="1"/>
  <c r="C1462" i="1"/>
  <c r="C1463" i="1"/>
  <c r="C1468" i="1"/>
  <c r="C1469" i="1"/>
  <c r="C1470" i="1"/>
  <c r="C1471" i="1"/>
  <c r="C1472" i="1"/>
  <c r="C1477" i="1"/>
  <c r="C1478" i="1"/>
  <c r="C1479" i="1"/>
  <c r="C1480" i="1"/>
  <c r="C1481" i="1"/>
  <c r="C1486" i="1"/>
  <c r="C1487" i="1"/>
  <c r="C1488" i="1"/>
  <c r="C1489" i="1"/>
  <c r="C1490" i="1"/>
  <c r="R246" i="1"/>
  <c r="R245" i="1"/>
  <c r="Q755" i="1"/>
  <c r="Q756" i="1"/>
  <c r="Q754" i="1"/>
  <c r="Q957" i="1"/>
  <c r="Q958" i="1"/>
  <c r="Q959" i="1"/>
  <c r="Q246" i="1"/>
  <c r="Q245" i="1"/>
  <c r="F901" i="1"/>
  <c r="F892" i="1"/>
  <c r="F843" i="1"/>
  <c r="F834" i="1"/>
  <c r="F833" i="1"/>
  <c r="F83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68" i="1"/>
  <c r="F2368" i="1"/>
  <c r="E2368" i="1"/>
  <c r="G2367" i="1"/>
  <c r="F2367" i="1"/>
  <c r="E2367" i="1"/>
  <c r="G2366" i="1"/>
  <c r="F2366" i="1"/>
  <c r="E2366" i="1"/>
  <c r="G2365" i="1"/>
  <c r="F2365" i="1"/>
  <c r="E2365" i="1"/>
  <c r="G2364" i="1"/>
  <c r="F2364" i="1"/>
  <c r="E2364" i="1"/>
  <c r="G2363" i="1"/>
  <c r="F2363" i="1"/>
  <c r="E2363" i="1"/>
  <c r="G2362" i="1"/>
  <c r="F2362" i="1"/>
  <c r="E2362" i="1"/>
  <c r="G2361" i="1"/>
  <c r="F2361" i="1"/>
  <c r="G2360" i="1"/>
  <c r="F2360" i="1"/>
  <c r="G2359" i="1"/>
  <c r="F2359" i="1"/>
  <c r="G2358" i="1"/>
  <c r="F2358" i="1"/>
  <c r="G2357" i="1"/>
  <c r="F2357" i="1"/>
  <c r="G2356" i="1"/>
  <c r="F2356" i="1"/>
  <c r="G2355" i="1"/>
  <c r="F2355" i="1"/>
  <c r="G2353" i="1"/>
  <c r="F2353" i="1"/>
  <c r="E2353" i="1"/>
  <c r="G2352" i="1"/>
  <c r="F2352" i="1"/>
  <c r="E2352" i="1"/>
  <c r="G2351" i="1"/>
  <c r="F2351" i="1"/>
  <c r="E2351" i="1"/>
  <c r="G2350" i="1"/>
  <c r="F2350" i="1"/>
  <c r="G2349" i="1"/>
  <c r="F2349" i="1"/>
  <c r="G2348" i="1"/>
  <c r="F2348" i="1"/>
  <c r="G2347" i="1"/>
  <c r="F2347" i="1"/>
  <c r="G2346" i="1"/>
  <c r="F2346" i="1"/>
  <c r="G2345" i="1"/>
  <c r="F2345" i="1"/>
  <c r="G2344" i="1"/>
  <c r="F2344" i="1"/>
  <c r="G2343" i="1"/>
  <c r="F2343" i="1"/>
  <c r="G2342" i="1"/>
  <c r="F2342" i="1"/>
  <c r="G2341" i="1"/>
  <c r="F2341" i="1"/>
  <c r="G2339" i="1"/>
  <c r="F2339" i="1"/>
  <c r="E2339" i="1"/>
  <c r="G2338" i="1"/>
  <c r="F2338" i="1"/>
  <c r="E2338" i="1"/>
  <c r="G2337" i="1"/>
  <c r="F2337" i="1"/>
  <c r="E2337" i="1"/>
  <c r="G2336" i="1"/>
  <c r="F2336" i="1"/>
  <c r="G2335" i="1"/>
  <c r="F2335" i="1"/>
  <c r="G2334" i="1"/>
  <c r="F2334" i="1"/>
  <c r="G2333" i="1"/>
  <c r="F2333" i="1"/>
  <c r="G2332" i="1"/>
  <c r="F2332" i="1"/>
  <c r="G2331" i="1"/>
  <c r="F2331" i="1"/>
  <c r="G2330" i="1"/>
  <c r="F2330" i="1"/>
  <c r="G2329" i="1"/>
  <c r="F2329" i="1"/>
  <c r="G2328" i="1"/>
  <c r="F2328" i="1"/>
  <c r="G2327" i="1"/>
  <c r="F2327" i="1"/>
  <c r="G2324" i="1"/>
  <c r="F2324" i="1"/>
  <c r="E2324" i="1"/>
  <c r="G2323" i="1"/>
  <c r="F2323" i="1"/>
  <c r="E2323" i="1"/>
  <c r="G2322" i="1"/>
  <c r="F2322" i="1"/>
  <c r="E2322" i="1"/>
  <c r="G2321" i="1"/>
  <c r="F2321" i="1"/>
  <c r="E2321" i="1"/>
  <c r="G2317" i="1"/>
  <c r="D153" i="33" s="1"/>
  <c r="F2317" i="1"/>
  <c r="C153" i="33" s="1"/>
  <c r="E2317" i="1"/>
  <c r="G2313" i="1"/>
  <c r="F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E2302" i="1"/>
  <c r="G2301" i="1"/>
  <c r="E2301" i="1"/>
  <c r="G2300" i="1"/>
  <c r="F2300" i="1"/>
  <c r="E2300" i="1"/>
  <c r="G2299" i="1"/>
  <c r="F2299" i="1"/>
  <c r="E2299" i="1"/>
  <c r="G2298" i="1"/>
  <c r="F2298" i="1"/>
  <c r="E2298"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8" i="1"/>
  <c r="F2288" i="1"/>
  <c r="E2288" i="1"/>
  <c r="G2287" i="1"/>
  <c r="F2287" i="1"/>
  <c r="E2287" i="1"/>
  <c r="G2284" i="1"/>
  <c r="F2284" i="1"/>
  <c r="E2284" i="1"/>
  <c r="G2283" i="1"/>
  <c r="F2283" i="1"/>
  <c r="E2283" i="1"/>
  <c r="G2282" i="1"/>
  <c r="F2282" i="1"/>
  <c r="E2282" i="1"/>
  <c r="G2281" i="1"/>
  <c r="F2281" i="1"/>
  <c r="E2281" i="1"/>
  <c r="G2280" i="1"/>
  <c r="F2280" i="1"/>
  <c r="E2280" i="1"/>
  <c r="G2279" i="1"/>
  <c r="F2279" i="1"/>
  <c r="E2279" i="1"/>
  <c r="G2277" i="1"/>
  <c r="F2277" i="1"/>
  <c r="E2277" i="1"/>
  <c r="E71" i="97" s="1"/>
  <c r="G2275" i="1"/>
  <c r="F2275" i="1"/>
  <c r="E2275" i="1"/>
  <c r="G2272" i="1"/>
  <c r="F2272" i="1"/>
  <c r="E2272" i="1"/>
  <c r="G2270" i="1"/>
  <c r="F2270" i="1"/>
  <c r="E2270" i="1"/>
  <c r="G2268" i="1"/>
  <c r="F2268" i="1"/>
  <c r="E2268" i="1"/>
  <c r="G2266" i="1"/>
  <c r="F2266" i="1"/>
  <c r="E2266" i="1"/>
  <c r="G2265" i="1"/>
  <c r="F2265" i="1"/>
  <c r="E2265" i="1"/>
  <c r="G2264" i="1"/>
  <c r="F2264" i="1"/>
  <c r="E2264" i="1"/>
  <c r="G2263" i="1"/>
  <c r="F2263" i="1"/>
  <c r="E2263" i="1"/>
  <c r="G2262" i="1"/>
  <c r="F2262" i="1"/>
  <c r="E2262" i="1"/>
  <c r="G2261" i="1"/>
  <c r="F2261" i="1"/>
  <c r="E2261" i="1"/>
  <c r="G2257" i="1"/>
  <c r="F2257" i="1"/>
  <c r="E2257" i="1"/>
  <c r="G2255" i="1"/>
  <c r="F2255" i="1"/>
  <c r="E2255" i="1"/>
  <c r="G2254" i="1"/>
  <c r="F2254" i="1"/>
  <c r="E2254" i="1"/>
  <c r="G2253" i="1"/>
  <c r="F2253" i="1"/>
  <c r="E2253" i="1"/>
  <c r="G2252" i="1"/>
  <c r="F2252" i="1"/>
  <c r="E2252" i="1"/>
  <c r="G2251" i="1"/>
  <c r="F2251" i="1"/>
  <c r="E2251" i="1"/>
  <c r="G2250" i="1"/>
  <c r="F2250" i="1"/>
  <c r="E2250" i="1"/>
  <c r="G2246" i="1"/>
  <c r="F2246" i="1"/>
  <c r="E2246" i="1"/>
  <c r="G2244" i="1"/>
  <c r="F2244" i="1"/>
  <c r="E2244" i="1"/>
  <c r="G2243" i="1"/>
  <c r="F2243" i="1"/>
  <c r="E2243" i="1"/>
  <c r="G2242" i="1"/>
  <c r="F2242" i="1"/>
  <c r="E2242" i="1"/>
  <c r="G2241" i="1"/>
  <c r="F2241" i="1"/>
  <c r="E2241" i="1"/>
  <c r="G2240" i="1"/>
  <c r="F2240" i="1"/>
  <c r="E2240" i="1"/>
  <c r="G2239" i="1"/>
  <c r="F2239" i="1"/>
  <c r="E2239" i="1"/>
  <c r="G2238" i="1"/>
  <c r="F2238" i="1"/>
  <c r="E2238" i="1"/>
  <c r="G2236" i="1"/>
  <c r="F2236" i="1"/>
  <c r="E2236" i="1"/>
  <c r="G2235" i="1"/>
  <c r="F2235" i="1"/>
  <c r="E2235" i="1"/>
  <c r="G2234" i="1"/>
  <c r="F2234" i="1"/>
  <c r="E2234" i="1"/>
  <c r="G2233" i="1"/>
  <c r="F2233" i="1"/>
  <c r="E2233" i="1"/>
  <c r="G2232" i="1"/>
  <c r="F2232" i="1"/>
  <c r="E2232" i="1"/>
  <c r="G2231" i="1"/>
  <c r="F2231" i="1"/>
  <c r="E2231" i="1"/>
  <c r="G2230" i="1"/>
  <c r="F2230" i="1"/>
  <c r="E2230" i="1"/>
  <c r="G2229" i="1"/>
  <c r="F2229" i="1"/>
  <c r="E2229" i="1"/>
  <c r="G2228" i="1"/>
  <c r="F2228" i="1"/>
  <c r="E2228" i="1"/>
  <c r="G2227" i="1"/>
  <c r="F2227" i="1"/>
  <c r="E2227" i="1"/>
  <c r="G2226" i="1"/>
  <c r="F2226" i="1"/>
  <c r="E2226" i="1"/>
  <c r="G2225" i="1"/>
  <c r="F2225" i="1"/>
  <c r="E2225" i="1"/>
  <c r="G2224" i="1"/>
  <c r="F2224" i="1"/>
  <c r="E2224" i="1"/>
  <c r="G2223" i="1"/>
  <c r="F2223" i="1"/>
  <c r="E2223" i="1"/>
  <c r="G2222" i="1"/>
  <c r="F2222" i="1"/>
  <c r="E2222" i="1"/>
  <c r="G2221" i="1"/>
  <c r="F2221" i="1"/>
  <c r="G2220" i="1"/>
  <c r="F2220" i="1"/>
  <c r="E2220" i="1"/>
  <c r="G2219" i="1"/>
  <c r="F2219" i="1"/>
  <c r="E2219" i="1"/>
  <c r="G2218" i="1"/>
  <c r="F2218" i="1"/>
  <c r="E2218" i="1"/>
  <c r="G2217" i="1"/>
  <c r="F2217" i="1"/>
  <c r="E2217" i="1"/>
  <c r="G2216" i="1"/>
  <c r="F2216" i="1"/>
  <c r="G2215" i="1"/>
  <c r="F2215" i="1"/>
  <c r="E2215" i="1"/>
  <c r="G2214" i="1"/>
  <c r="F2214" i="1"/>
  <c r="E2214" i="1"/>
  <c r="G2213" i="1"/>
  <c r="F2213" i="1"/>
  <c r="E2213" i="1"/>
  <c r="G2212" i="1"/>
  <c r="F2212" i="1"/>
  <c r="E2212" i="1"/>
  <c r="G2211" i="1"/>
  <c r="F2211" i="1"/>
  <c r="E2211" i="1"/>
  <c r="G2210" i="1"/>
  <c r="F2210" i="1"/>
  <c r="E2210" i="1"/>
  <c r="G2209" i="1"/>
  <c r="F2209" i="1"/>
  <c r="G2208" i="1"/>
  <c r="F2208" i="1"/>
  <c r="E2208" i="1"/>
  <c r="G2207" i="1"/>
  <c r="F2207" i="1"/>
  <c r="G2206" i="1"/>
  <c r="F2206" i="1"/>
  <c r="G2205" i="1"/>
  <c r="F2205" i="1"/>
  <c r="E2205" i="1"/>
  <c r="G2204" i="1"/>
  <c r="F2204" i="1"/>
  <c r="E2204" i="1"/>
  <c r="G2203" i="1"/>
  <c r="F2203" i="1"/>
  <c r="E2203" i="1"/>
  <c r="G2202" i="1"/>
  <c r="F2202" i="1"/>
  <c r="G2201" i="1"/>
  <c r="F2201" i="1"/>
  <c r="E2201" i="1"/>
  <c r="G2200" i="1"/>
  <c r="F2200" i="1"/>
  <c r="G2199" i="1"/>
  <c r="F2199" i="1"/>
  <c r="G2198" i="1"/>
  <c r="F2198" i="1"/>
  <c r="G2197" i="1"/>
  <c r="F2197" i="1"/>
  <c r="G2196" i="1"/>
  <c r="F2196" i="1"/>
  <c r="G2195" i="1"/>
  <c r="F2195" i="1"/>
  <c r="G2194" i="1"/>
  <c r="F2194" i="1"/>
  <c r="G2193" i="1"/>
  <c r="F2193" i="1"/>
  <c r="G2192" i="1"/>
  <c r="F2192" i="1"/>
  <c r="G2191" i="1"/>
  <c r="F2191" i="1"/>
  <c r="G2190" i="1"/>
  <c r="F2190" i="1"/>
  <c r="G2185" i="1"/>
  <c r="F2185" i="1"/>
  <c r="E2185" i="1"/>
  <c r="G2184" i="1"/>
  <c r="F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G2174" i="1"/>
  <c r="F2174" i="1"/>
  <c r="G2173" i="1"/>
  <c r="F2173" i="1"/>
  <c r="G2172" i="1"/>
  <c r="F2172" i="1"/>
  <c r="G2171" i="1"/>
  <c r="F2171" i="1"/>
  <c r="G2170" i="1"/>
  <c r="F2170" i="1"/>
  <c r="G2169" i="1"/>
  <c r="F2169" i="1"/>
  <c r="G2168" i="1"/>
  <c r="F2168" i="1"/>
  <c r="G2167" i="1"/>
  <c r="F2167" i="1"/>
  <c r="G2166" i="1"/>
  <c r="F2166" i="1"/>
  <c r="G2165" i="1"/>
  <c r="F2165" i="1"/>
  <c r="G2164" i="1"/>
  <c r="F2164" i="1"/>
  <c r="G2163" i="1"/>
  <c r="F2163" i="1"/>
  <c r="G2162" i="1"/>
  <c r="F2162" i="1"/>
  <c r="G2161" i="1"/>
  <c r="F2161" i="1"/>
  <c r="G2160" i="1"/>
  <c r="F2160" i="1"/>
  <c r="G2159" i="1"/>
  <c r="F2159" i="1"/>
  <c r="G2158" i="1"/>
  <c r="F2158" i="1"/>
  <c r="G2157" i="1"/>
  <c r="F2157" i="1"/>
  <c r="G2152" i="1"/>
  <c r="F2152" i="1"/>
  <c r="E2152" i="1"/>
  <c r="G2151" i="1"/>
  <c r="F2151" i="1"/>
  <c r="E2151" i="1"/>
  <c r="G2150" i="1"/>
  <c r="F2150" i="1"/>
  <c r="E2150" i="1"/>
  <c r="G2149" i="1"/>
  <c r="F2149" i="1"/>
  <c r="E2149" i="1"/>
  <c r="G2148" i="1"/>
  <c r="F2148" i="1"/>
  <c r="E2148" i="1"/>
  <c r="G2147" i="1"/>
  <c r="F2147" i="1"/>
  <c r="E2147" i="1"/>
  <c r="G2146" i="1"/>
  <c r="F2146" i="1"/>
  <c r="E2146" i="1"/>
  <c r="G2145" i="1"/>
  <c r="E2145" i="1"/>
  <c r="G2144" i="1"/>
  <c r="F2144" i="1"/>
  <c r="E2144" i="1"/>
  <c r="G2143" i="1"/>
  <c r="F2143" i="1"/>
  <c r="E2143" i="1"/>
  <c r="G2142" i="1"/>
  <c r="F2142" i="1"/>
  <c r="E2142" i="1"/>
  <c r="G2141" i="1"/>
  <c r="F2141" i="1"/>
  <c r="E2141" i="1"/>
  <c r="G2140" i="1"/>
  <c r="F2140" i="1"/>
  <c r="E2140" i="1"/>
  <c r="G2139" i="1"/>
  <c r="F2139" i="1"/>
  <c r="E2139" i="1"/>
  <c r="G2138" i="1"/>
  <c r="F2138" i="1"/>
  <c r="E2138" i="1"/>
  <c r="G2137" i="1"/>
  <c r="F2137" i="1"/>
  <c r="E2137" i="1"/>
  <c r="G2136" i="1"/>
  <c r="F2136" i="1"/>
  <c r="E2136" i="1"/>
  <c r="G2135" i="1"/>
  <c r="F2135" i="1"/>
  <c r="G2134" i="1"/>
  <c r="F2134" i="1"/>
  <c r="G2133" i="1"/>
  <c r="F2133" i="1"/>
  <c r="G2132" i="1"/>
  <c r="F2132" i="1"/>
  <c r="G2131" i="1"/>
  <c r="F2131" i="1"/>
  <c r="G2130" i="1"/>
  <c r="F2130" i="1"/>
  <c r="G2129" i="1"/>
  <c r="F2129" i="1"/>
  <c r="G2108" i="1"/>
  <c r="F2108" i="1"/>
  <c r="G2107" i="1"/>
  <c r="F2107" i="1"/>
  <c r="G2128" i="1"/>
  <c r="F2128" i="1"/>
  <c r="G2127" i="1"/>
  <c r="F2127" i="1"/>
  <c r="G2126" i="1"/>
  <c r="F2126" i="1"/>
  <c r="G2125" i="1"/>
  <c r="F2125" i="1"/>
  <c r="G2124" i="1"/>
  <c r="F2124" i="1"/>
  <c r="G2123" i="1"/>
  <c r="F2123" i="1"/>
  <c r="G2122" i="1"/>
  <c r="F2122" i="1"/>
  <c r="G2121" i="1"/>
  <c r="F2121" i="1"/>
  <c r="G2120" i="1"/>
  <c r="F2120" i="1"/>
  <c r="E2120" i="1"/>
  <c r="G2119" i="1"/>
  <c r="F2119" i="1"/>
  <c r="E2119" i="1"/>
  <c r="G2118" i="1"/>
  <c r="F2118" i="1"/>
  <c r="E2118" i="1"/>
  <c r="G2117" i="1"/>
  <c r="F2117" i="1"/>
  <c r="E2117" i="1"/>
  <c r="G2116" i="1"/>
  <c r="F2116" i="1"/>
  <c r="G2115" i="1"/>
  <c r="F2115" i="1"/>
  <c r="G2114" i="1"/>
  <c r="F2114" i="1"/>
  <c r="E2114" i="1"/>
  <c r="G2113" i="1"/>
  <c r="F2113" i="1"/>
  <c r="E2113" i="1"/>
  <c r="G2112" i="1"/>
  <c r="F2112" i="1"/>
  <c r="E2112" i="1"/>
  <c r="G2111" i="1"/>
  <c r="F2111" i="1"/>
  <c r="G2110" i="1"/>
  <c r="F2110" i="1"/>
  <c r="G2109" i="1"/>
  <c r="F2109" i="1"/>
  <c r="G2103" i="1"/>
  <c r="F2103" i="1"/>
  <c r="G2102" i="1"/>
  <c r="F2102" i="1"/>
  <c r="G2101" i="1"/>
  <c r="F2101" i="1"/>
  <c r="G2100" i="1"/>
  <c r="F2100" i="1"/>
  <c r="G2099" i="1"/>
  <c r="F2099" i="1"/>
  <c r="G2098" i="1"/>
  <c r="F2098" i="1"/>
  <c r="G2097" i="1"/>
  <c r="F2097" i="1"/>
  <c r="G2096" i="1"/>
  <c r="F2096" i="1"/>
  <c r="G2095" i="1"/>
  <c r="F2095" i="1"/>
  <c r="E2095" i="1"/>
  <c r="G2094" i="1"/>
  <c r="F2094" i="1"/>
  <c r="G2093" i="1"/>
  <c r="F2093" i="1"/>
  <c r="G2092" i="1"/>
  <c r="F2092" i="1"/>
  <c r="G2091" i="1"/>
  <c r="F2091" i="1"/>
  <c r="G2090" i="1"/>
  <c r="F2090" i="1"/>
  <c r="E2090" i="1"/>
  <c r="G2089" i="1"/>
  <c r="F2089" i="1"/>
  <c r="G2088" i="1"/>
  <c r="F2088" i="1"/>
  <c r="G2087" i="1"/>
  <c r="E2087" i="1"/>
  <c r="G2086" i="1"/>
  <c r="F2086" i="1"/>
  <c r="G2085" i="1"/>
  <c r="F2085" i="1"/>
  <c r="G2084" i="1"/>
  <c r="F2084" i="1"/>
  <c r="G2083" i="1"/>
  <c r="F2083" i="1"/>
  <c r="G2105" i="1"/>
  <c r="F2105" i="1"/>
  <c r="G2104" i="1"/>
  <c r="F2104" i="1"/>
  <c r="G2106" i="1"/>
  <c r="G2082" i="1"/>
  <c r="F2082" i="1"/>
  <c r="G2081" i="1"/>
  <c r="F2081" i="1"/>
  <c r="G2080" i="1"/>
  <c r="F2080" i="1"/>
  <c r="G2079" i="1"/>
  <c r="F2079" i="1"/>
  <c r="G2078" i="1"/>
  <c r="F2078" i="1"/>
  <c r="G2077" i="1"/>
  <c r="F2077" i="1"/>
  <c r="G2076" i="1"/>
  <c r="F2076" i="1"/>
  <c r="G2075" i="1"/>
  <c r="F2075" i="1"/>
  <c r="G2074" i="1"/>
  <c r="F2074" i="1"/>
  <c r="G2073" i="1"/>
  <c r="G2072" i="1"/>
  <c r="F2072" i="1"/>
  <c r="G2071" i="1"/>
  <c r="F2071" i="1"/>
  <c r="G2070" i="1"/>
  <c r="F2070" i="1"/>
  <c r="G2069" i="1"/>
  <c r="F2069" i="1"/>
  <c r="G2068" i="1"/>
  <c r="F2068" i="1"/>
  <c r="G2067" i="1"/>
  <c r="F2067" i="1"/>
  <c r="G2066" i="1"/>
  <c r="F2066" i="1"/>
  <c r="G2065" i="1"/>
  <c r="F2065" i="1"/>
  <c r="G2063" i="1"/>
  <c r="G2062" i="1"/>
  <c r="F2062" i="1"/>
  <c r="G2061" i="1"/>
  <c r="F2061" i="1"/>
  <c r="G2060" i="1"/>
  <c r="F2060" i="1"/>
  <c r="G2059" i="1"/>
  <c r="F2059" i="1"/>
  <c r="G2058" i="1"/>
  <c r="F2058" i="1"/>
  <c r="G2057" i="1"/>
  <c r="F2057" i="1"/>
  <c r="G2056" i="1"/>
  <c r="F2056" i="1"/>
  <c r="G2055" i="1"/>
  <c r="F2055" i="1"/>
  <c r="G2054" i="1"/>
  <c r="F2054" i="1"/>
  <c r="G2049" i="1"/>
  <c r="F2049" i="1"/>
  <c r="E2049" i="1"/>
  <c r="G2048" i="1"/>
  <c r="F2048" i="1"/>
  <c r="E2048" i="1"/>
  <c r="G2047" i="1"/>
  <c r="E2047" i="1"/>
  <c r="G2046" i="1"/>
  <c r="F2046" i="1"/>
  <c r="E2046" i="1"/>
  <c r="G2045" i="1"/>
  <c r="F2045" i="1"/>
  <c r="E2045" i="1"/>
  <c r="G2043" i="1"/>
  <c r="F2043" i="1"/>
  <c r="E2043" i="1"/>
  <c r="G2042" i="1"/>
  <c r="F2042" i="1"/>
  <c r="E2042" i="1"/>
  <c r="G2041" i="1"/>
  <c r="F2041" i="1"/>
  <c r="E2041" i="1"/>
  <c r="G2040" i="1"/>
  <c r="F2040" i="1"/>
  <c r="E2040" i="1"/>
  <c r="G2038" i="1"/>
  <c r="F2038" i="1"/>
  <c r="E2038" i="1"/>
  <c r="G2036" i="1"/>
  <c r="F2036" i="1"/>
  <c r="G2035" i="1"/>
  <c r="D150" i="33" s="1"/>
  <c r="F2035" i="1"/>
  <c r="C150" i="33" s="1"/>
  <c r="G2034" i="1"/>
  <c r="F2034" i="1"/>
  <c r="G2031" i="1"/>
  <c r="D148" i="33" s="1"/>
  <c r="F2031" i="1"/>
  <c r="C148" i="33" s="1"/>
  <c r="G2030" i="1"/>
  <c r="D147" i="33" s="1"/>
  <c r="F2030" i="1"/>
  <c r="C147" i="33" s="1"/>
  <c r="G2029" i="1"/>
  <c r="F2029" i="1"/>
  <c r="G2028" i="1"/>
  <c r="D146" i="33" s="1"/>
  <c r="F2028" i="1"/>
  <c r="C146" i="33" s="1"/>
  <c r="G2023" i="1"/>
  <c r="D142" i="33" s="1"/>
  <c r="F2023" i="1"/>
  <c r="C142" i="33" s="1"/>
  <c r="E2023" i="1"/>
  <c r="G2022" i="1"/>
  <c r="D141" i="33" s="1"/>
  <c r="F2022" i="1"/>
  <c r="C141" i="33" s="1"/>
  <c r="E2022" i="1"/>
  <c r="G2021" i="1"/>
  <c r="D140" i="33" s="1"/>
  <c r="F2021" i="1"/>
  <c r="C140" i="33" s="1"/>
  <c r="E2021" i="1"/>
  <c r="G2020" i="1"/>
  <c r="D139" i="33" s="1"/>
  <c r="F2020" i="1"/>
  <c r="C139" i="33" s="1"/>
  <c r="E2020" i="1"/>
  <c r="G2019" i="1"/>
  <c r="D138" i="33" s="1"/>
  <c r="F2019" i="1"/>
  <c r="C138" i="33" s="1"/>
  <c r="E2019" i="1"/>
  <c r="G2018" i="1"/>
  <c r="D137" i="33" s="1"/>
  <c r="F2018" i="1"/>
  <c r="C137" i="33" s="1"/>
  <c r="E2018" i="1"/>
  <c r="G2017" i="1"/>
  <c r="D136" i="33" s="1"/>
  <c r="F2017" i="1"/>
  <c r="C136" i="33" s="1"/>
  <c r="E2017" i="1"/>
  <c r="G2016" i="1"/>
  <c r="D135" i="33" s="1"/>
  <c r="F2016" i="1"/>
  <c r="C135" i="33" s="1"/>
  <c r="G2015" i="1"/>
  <c r="D134" i="33" s="1"/>
  <c r="F2015" i="1"/>
  <c r="C134" i="33" s="1"/>
  <c r="G2014" i="1"/>
  <c r="D133" i="33" s="1"/>
  <c r="F2014" i="1"/>
  <c r="C133" i="33" s="1"/>
  <c r="G2013" i="1"/>
  <c r="D132" i="33" s="1"/>
  <c r="F2013" i="1"/>
  <c r="C132" i="33" s="1"/>
  <c r="G2012" i="1"/>
  <c r="D131" i="33" s="1"/>
  <c r="F2012" i="1"/>
  <c r="C131" i="33" s="1"/>
  <c r="G2011" i="1"/>
  <c r="D130" i="33" s="1"/>
  <c r="F2011" i="1"/>
  <c r="C130" i="33" s="1"/>
  <c r="G2009" i="1"/>
  <c r="D128" i="33" s="1"/>
  <c r="F2009" i="1"/>
  <c r="C128" i="33" s="1"/>
  <c r="G2008" i="1"/>
  <c r="D127" i="33" s="1"/>
  <c r="F2008" i="1"/>
  <c r="C127" i="33" s="1"/>
  <c r="G2007" i="1"/>
  <c r="D126" i="33" s="1"/>
  <c r="F2007" i="1"/>
  <c r="C126" i="33" s="1"/>
  <c r="G2005" i="1"/>
  <c r="D124" i="33" s="1"/>
  <c r="F2005" i="1"/>
  <c r="C124" i="33" s="1"/>
  <c r="G2004" i="1"/>
  <c r="D123" i="33" s="1"/>
  <c r="F2004" i="1"/>
  <c r="C123" i="33" s="1"/>
  <c r="G2003" i="1"/>
  <c r="D122" i="33" s="1"/>
  <c r="F2003" i="1"/>
  <c r="C122" i="33" s="1"/>
  <c r="G2002" i="1"/>
  <c r="D121" i="33" s="1"/>
  <c r="F2002" i="1"/>
  <c r="C121" i="33" s="1"/>
  <c r="F1999" i="1"/>
  <c r="G1994" i="1"/>
  <c r="D113" i="33" s="1"/>
  <c r="F1994" i="1"/>
  <c r="C113" i="33" s="1"/>
  <c r="F1993" i="1"/>
  <c r="C112" i="33" s="1"/>
  <c r="F1992" i="1"/>
  <c r="C111" i="33" s="1"/>
  <c r="G1990" i="1"/>
  <c r="D109" i="33" s="1"/>
  <c r="F1990" i="1"/>
  <c r="C109" i="33" s="1"/>
  <c r="G1989" i="1"/>
  <c r="D108" i="33" s="1"/>
  <c r="F1989" i="1"/>
  <c r="C108" i="33" s="1"/>
  <c r="G1988" i="1"/>
  <c r="D107" i="33" s="1"/>
  <c r="F1988" i="1"/>
  <c r="C107" i="33" s="1"/>
  <c r="G1987" i="1"/>
  <c r="D106" i="33" s="1"/>
  <c r="F1987" i="1"/>
  <c r="C106" i="33" s="1"/>
  <c r="G1986" i="1"/>
  <c r="D105" i="33" s="1"/>
  <c r="F1986" i="1"/>
  <c r="C105" i="33" s="1"/>
  <c r="G1984" i="1"/>
  <c r="F1984" i="1"/>
  <c r="G1983" i="1"/>
  <c r="F1983" i="1"/>
  <c r="G1982" i="1"/>
  <c r="F1982" i="1"/>
  <c r="G1980" i="1"/>
  <c r="F1980" i="1"/>
  <c r="G1979" i="1"/>
  <c r="F1979" i="1"/>
  <c r="G1978" i="1"/>
  <c r="F1978" i="1"/>
  <c r="G1976" i="1"/>
  <c r="D95" i="33" s="1"/>
  <c r="F1976" i="1"/>
  <c r="C95" i="33" s="1"/>
  <c r="G1975" i="1"/>
  <c r="D94" i="33" s="1"/>
  <c r="F1975" i="1"/>
  <c r="C94" i="33" s="1"/>
  <c r="G1968" i="1"/>
  <c r="D87" i="33" s="1"/>
  <c r="F1968" i="1"/>
  <c r="C87" i="33" s="1"/>
  <c r="G1967" i="1"/>
  <c r="D86" i="33" s="1"/>
  <c r="F1967" i="1"/>
  <c r="C86" i="33" s="1"/>
  <c r="G1966" i="1"/>
  <c r="D85" i="33" s="1"/>
  <c r="F1966" i="1"/>
  <c r="C85" i="33" s="1"/>
  <c r="G1964" i="1"/>
  <c r="F1964" i="1"/>
  <c r="G1963" i="1"/>
  <c r="F1963" i="1"/>
  <c r="G1959" i="1"/>
  <c r="D78" i="33" s="1"/>
  <c r="F1959" i="1"/>
  <c r="C78" i="33" s="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E1949" i="1"/>
  <c r="G1948" i="1"/>
  <c r="F1948" i="1"/>
  <c r="E1948" i="1"/>
  <c r="G1947" i="1"/>
  <c r="E1947" i="1"/>
  <c r="G1946" i="1"/>
  <c r="F1946" i="1"/>
  <c r="E1946" i="1"/>
  <c r="G1945" i="1"/>
  <c r="G154" i="97" s="1"/>
  <c r="F1945" i="1"/>
  <c r="F154" i="97" s="1"/>
  <c r="E1945" i="1"/>
  <c r="E154" i="97" s="1"/>
  <c r="G1944" i="1"/>
  <c r="E1944" i="1"/>
  <c r="G1943" i="1"/>
  <c r="E1943" i="1"/>
  <c r="G1942" i="1"/>
  <c r="E1942" i="1"/>
  <c r="G1941" i="1"/>
  <c r="E1941" i="1"/>
  <c r="G1940" i="1"/>
  <c r="E1940" i="1"/>
  <c r="G1933" i="1"/>
  <c r="G148" i="97" s="1"/>
  <c r="F1933" i="1"/>
  <c r="F148" i="97" s="1"/>
  <c r="E1933" i="1"/>
  <c r="E148" i="97" s="1"/>
  <c r="G1932" i="1"/>
  <c r="F1932" i="1"/>
  <c r="E1932" i="1"/>
  <c r="G1931" i="1"/>
  <c r="E1931" i="1"/>
  <c r="G1930" i="1"/>
  <c r="F1930" i="1"/>
  <c r="E1930" i="1"/>
  <c r="G1929" i="1"/>
  <c r="F1929" i="1"/>
  <c r="E1929" i="1"/>
  <c r="G1928" i="1"/>
  <c r="F1928" i="1"/>
  <c r="E1928" i="1"/>
  <c r="G1927" i="1"/>
  <c r="G152" i="97" s="1"/>
  <c r="F1927" i="1"/>
  <c r="F152" i="97" s="1"/>
  <c r="E1927" i="1"/>
  <c r="E152" i="97" s="1"/>
  <c r="G1926" i="1"/>
  <c r="E1926" i="1"/>
  <c r="G1925" i="1"/>
  <c r="E1925" i="1"/>
  <c r="G1924" i="1"/>
  <c r="F1924" i="1"/>
  <c r="E1924" i="1"/>
  <c r="G1923" i="1"/>
  <c r="F1923" i="1"/>
  <c r="E1923" i="1"/>
  <c r="G1922" i="1"/>
  <c r="F1922" i="1"/>
  <c r="E1922" i="1"/>
  <c r="G1921" i="1"/>
  <c r="F1921" i="1"/>
  <c r="E1921" i="1"/>
  <c r="G1920" i="1"/>
  <c r="F1920" i="1"/>
  <c r="E1920" i="1"/>
  <c r="G1919" i="1"/>
  <c r="F1919" i="1"/>
  <c r="E1919" i="1"/>
  <c r="G1918" i="1"/>
  <c r="F1918" i="1"/>
  <c r="E1918" i="1"/>
  <c r="G1917" i="1"/>
  <c r="F1917" i="1"/>
  <c r="E1917" i="1"/>
  <c r="G1916" i="1"/>
  <c r="F1916" i="1"/>
  <c r="E1916" i="1"/>
  <c r="G1915" i="1"/>
  <c r="F1915" i="1"/>
  <c r="E1915" i="1"/>
  <c r="G1914" i="1"/>
  <c r="G144" i="97" s="1"/>
  <c r="F1914" i="1"/>
  <c r="F144" i="97" s="1"/>
  <c r="E1914" i="1"/>
  <c r="E144" i="97" s="1"/>
  <c r="G1913" i="1"/>
  <c r="F1913" i="1"/>
  <c r="E1913" i="1"/>
  <c r="G1912" i="1"/>
  <c r="F1912" i="1"/>
  <c r="E1912" i="1"/>
  <c r="G1911" i="1"/>
  <c r="F1911" i="1"/>
  <c r="E1911" i="1"/>
  <c r="G1910" i="1"/>
  <c r="F1910" i="1"/>
  <c r="E1910" i="1"/>
  <c r="G1909" i="1"/>
  <c r="F1909" i="1"/>
  <c r="E1909" i="1"/>
  <c r="G1908" i="1"/>
  <c r="F1908" i="1"/>
  <c r="E1908" i="1"/>
  <c r="G1907" i="1"/>
  <c r="G143" i="97" s="1"/>
  <c r="F1907" i="1"/>
  <c r="F143" i="97" s="1"/>
  <c r="E1907" i="1"/>
  <c r="E143" i="97" s="1"/>
  <c r="G1906" i="1"/>
  <c r="F1906" i="1"/>
  <c r="G1901" i="1"/>
  <c r="F1901" i="1"/>
  <c r="G1900" i="1"/>
  <c r="G60" i="97" s="1"/>
  <c r="F1900" i="1"/>
  <c r="F60" i="97" s="1"/>
  <c r="G1899" i="1"/>
  <c r="G61" i="97" s="1"/>
  <c r="F1899" i="1"/>
  <c r="F61" i="97" s="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77" i="1"/>
  <c r="G1876" i="1"/>
  <c r="F1876" i="1"/>
  <c r="G1875" i="1"/>
  <c r="F1875" i="1"/>
  <c r="E1875" i="1"/>
  <c r="E1874" i="1"/>
  <c r="G1873" i="1"/>
  <c r="F1873" i="1"/>
  <c r="E1873" i="1"/>
  <c r="E1872" i="1"/>
  <c r="G1871" i="1"/>
  <c r="F1871" i="1"/>
  <c r="E1871" i="1"/>
  <c r="E1870" i="1"/>
  <c r="E31" i="97" s="1"/>
  <c r="E1869" i="1"/>
  <c r="E33" i="97" s="1"/>
  <c r="G1866" i="1"/>
  <c r="F1866" i="1"/>
  <c r="E1866" i="1"/>
  <c r="G1865" i="1"/>
  <c r="F1865" i="1"/>
  <c r="E1865" i="1"/>
  <c r="G1864" i="1"/>
  <c r="F1864" i="1"/>
  <c r="E1864" i="1"/>
  <c r="E1863" i="1"/>
  <c r="E77" i="97" s="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8" i="1"/>
  <c r="F1848" i="1"/>
  <c r="G1847" i="1"/>
  <c r="F1847" i="1"/>
  <c r="G1846" i="1"/>
  <c r="F1846" i="1"/>
  <c r="G1845" i="1"/>
  <c r="F1845" i="1"/>
  <c r="G1844" i="1"/>
  <c r="F1844" i="1"/>
  <c r="G1843" i="1"/>
  <c r="F1843" i="1"/>
  <c r="G1842" i="1"/>
  <c r="F1842" i="1"/>
  <c r="G1841" i="1"/>
  <c r="F1841" i="1"/>
  <c r="G1840" i="1"/>
  <c r="F1840" i="1"/>
  <c r="G1839" i="1"/>
  <c r="F1839" i="1"/>
  <c r="G1838" i="1"/>
  <c r="F1838" i="1"/>
  <c r="G1837" i="1"/>
  <c r="F1837" i="1"/>
  <c r="G1836" i="1"/>
  <c r="F1836" i="1"/>
  <c r="G1835" i="1"/>
  <c r="F1835" i="1"/>
  <c r="G1834" i="1"/>
  <c r="F1834" i="1"/>
  <c r="G1833" i="1"/>
  <c r="F1833" i="1"/>
  <c r="G1831" i="1"/>
  <c r="F1831" i="1"/>
  <c r="G1830" i="1"/>
  <c r="F1830" i="1"/>
  <c r="F1828" i="1"/>
  <c r="F1827" i="1"/>
  <c r="G1826" i="1"/>
  <c r="F1826" i="1"/>
  <c r="G1825" i="1"/>
  <c r="F1825" i="1"/>
  <c r="G1824" i="1"/>
  <c r="F1824" i="1"/>
  <c r="G1823" i="1"/>
  <c r="F1823" i="1"/>
  <c r="G1821" i="1"/>
  <c r="F1821" i="1"/>
  <c r="G1820" i="1"/>
  <c r="G27" i="97" s="1"/>
  <c r="F1820" i="1"/>
  <c r="F27" i="97" s="1"/>
  <c r="G1819" i="1"/>
  <c r="F1819" i="1"/>
  <c r="G1817" i="1"/>
  <c r="G101" i="97" s="1"/>
  <c r="F1817" i="1"/>
  <c r="F101" i="97" s="1"/>
  <c r="G1816" i="1"/>
  <c r="G10" i="97" s="1"/>
  <c r="E12" i="109" s="1"/>
  <c r="E134" i="115" s="1"/>
  <c r="G1814" i="1"/>
  <c r="F1814" i="1"/>
  <c r="G1813" i="1"/>
  <c r="F1813" i="1"/>
  <c r="G1811" i="1"/>
  <c r="F1811" i="1"/>
  <c r="G1810" i="1"/>
  <c r="F1810" i="1"/>
  <c r="G1809" i="1"/>
  <c r="F1809" i="1"/>
  <c r="G1808" i="1"/>
  <c r="F1808" i="1"/>
  <c r="G1807" i="1"/>
  <c r="F1807" i="1"/>
  <c r="G1805" i="1"/>
  <c r="F1805" i="1"/>
  <c r="G1804" i="1"/>
  <c r="F1804" i="1"/>
  <c r="G1803" i="1"/>
  <c r="F1803" i="1"/>
  <c r="G1801" i="1"/>
  <c r="F1801" i="1"/>
  <c r="G1800" i="1"/>
  <c r="F1800" i="1"/>
  <c r="G1799" i="1"/>
  <c r="F1799" i="1"/>
  <c r="G1797" i="1"/>
  <c r="G79" i="97" s="1"/>
  <c r="F1797" i="1"/>
  <c r="F79" i="97" s="1"/>
  <c r="G1796" i="1"/>
  <c r="G8" i="97" s="1"/>
  <c r="F1796" i="1"/>
  <c r="F8" i="97" s="1"/>
  <c r="G1794" i="1"/>
  <c r="F1794" i="1"/>
  <c r="G1793" i="1"/>
  <c r="F1793" i="1"/>
  <c r="G1792" i="1"/>
  <c r="F1792" i="1"/>
  <c r="G1790" i="1"/>
  <c r="F1790" i="1"/>
  <c r="G1789" i="1"/>
  <c r="F1789" i="1"/>
  <c r="G1788" i="1"/>
  <c r="F1788" i="1"/>
  <c r="G1786" i="1"/>
  <c r="F1786" i="1"/>
  <c r="G1785" i="1"/>
  <c r="G64" i="97" s="1"/>
  <c r="F1785" i="1"/>
  <c r="F64" i="97" s="1"/>
  <c r="G1784" i="1"/>
  <c r="G95" i="97" s="1"/>
  <c r="F1784" i="1"/>
  <c r="F95" i="97" s="1"/>
  <c r="G1782" i="1"/>
  <c r="F1782" i="1"/>
  <c r="G1781" i="1"/>
  <c r="F1781" i="1"/>
  <c r="G1780" i="1"/>
  <c r="F1780" i="1"/>
  <c r="G1778" i="1"/>
  <c r="F1778" i="1"/>
  <c r="G1777" i="1"/>
  <c r="F1777" i="1"/>
  <c r="G1775" i="1"/>
  <c r="F1775" i="1"/>
  <c r="G1774" i="1"/>
  <c r="F1774" i="1"/>
  <c r="G1772" i="1"/>
  <c r="G42" i="97" s="1"/>
  <c r="F1772" i="1"/>
  <c r="F42" i="97" s="1"/>
  <c r="G1771" i="1"/>
  <c r="G109" i="97" s="1"/>
  <c r="F1771" i="1"/>
  <c r="F109" i="97" s="1"/>
  <c r="G1769" i="1"/>
  <c r="F1769" i="1"/>
  <c r="G1768" i="1"/>
  <c r="F1768" i="1"/>
  <c r="F1767" i="1"/>
  <c r="F1766" i="1"/>
  <c r="G1765" i="1"/>
  <c r="F1765" i="1"/>
  <c r="G1764" i="1"/>
  <c r="F1764" i="1"/>
  <c r="G1763" i="1"/>
  <c r="F1763" i="1"/>
  <c r="G1762" i="1"/>
  <c r="F1762" i="1"/>
  <c r="G1761" i="1"/>
  <c r="F1761" i="1"/>
  <c r="G1760" i="1"/>
  <c r="F1760" i="1"/>
  <c r="G1759" i="1"/>
  <c r="F1759" i="1"/>
  <c r="G1758" i="1"/>
  <c r="G15" i="97" s="1"/>
  <c r="F1758" i="1"/>
  <c r="F15" i="97" s="1"/>
  <c r="G1757" i="1"/>
  <c r="G17" i="97" s="1"/>
  <c r="F1757" i="1"/>
  <c r="F17" i="97" s="1"/>
  <c r="G1756" i="1"/>
  <c r="F1756" i="1"/>
  <c r="G1755" i="1"/>
  <c r="F1755" i="1"/>
  <c r="G1754" i="1"/>
  <c r="F1754" i="1"/>
  <c r="G1753" i="1"/>
  <c r="F1753" i="1"/>
  <c r="G1752" i="1"/>
  <c r="F1752" i="1"/>
  <c r="G1751" i="1"/>
  <c r="F1751"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E1739" i="1"/>
  <c r="G1738" i="1"/>
  <c r="F1738" i="1"/>
  <c r="E1738" i="1"/>
  <c r="G1737" i="1"/>
  <c r="F1737" i="1"/>
  <c r="E1737"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G1722" i="1"/>
  <c r="F1722" i="1"/>
  <c r="G1721" i="1"/>
  <c r="F1721" i="1"/>
  <c r="G1720" i="1"/>
  <c r="F1720" i="1"/>
  <c r="G1719" i="1"/>
  <c r="F1719" i="1"/>
  <c r="G1718" i="1"/>
  <c r="F1718" i="1"/>
  <c r="G1717" i="1"/>
  <c r="F1717" i="1"/>
  <c r="G1716" i="1"/>
  <c r="F1716" i="1"/>
  <c r="G1715" i="1"/>
  <c r="F1715" i="1"/>
  <c r="G1714" i="1"/>
  <c r="F1714" i="1"/>
  <c r="G1713" i="1"/>
  <c r="F1713" i="1"/>
  <c r="G1712" i="1"/>
  <c r="F1712" i="1"/>
  <c r="G1711" i="1"/>
  <c r="F1711" i="1"/>
  <c r="E1711" i="1"/>
  <c r="G1710" i="1"/>
  <c r="F1710" i="1"/>
  <c r="E1710" i="1"/>
  <c r="G1709" i="1"/>
  <c r="F1709" i="1"/>
  <c r="E1709" i="1"/>
  <c r="G1708" i="1"/>
  <c r="F1708" i="1"/>
  <c r="E1708" i="1"/>
  <c r="G1707" i="1"/>
  <c r="F1707" i="1"/>
  <c r="E1707" i="1"/>
  <c r="G1706" i="1"/>
  <c r="F1706" i="1"/>
  <c r="E1706" i="1"/>
  <c r="G1705" i="1"/>
  <c r="F1705" i="1"/>
  <c r="E1705" i="1"/>
  <c r="G1704" i="1"/>
  <c r="F1704" i="1"/>
  <c r="E1704" i="1"/>
  <c r="G1703" i="1"/>
  <c r="F1703" i="1"/>
  <c r="E1703" i="1"/>
  <c r="G1702" i="1"/>
  <c r="F1702" i="1"/>
  <c r="G1701" i="1"/>
  <c r="F1701" i="1"/>
  <c r="G1700" i="1"/>
  <c r="F1700" i="1"/>
  <c r="G1699" i="1"/>
  <c r="F1699" i="1"/>
  <c r="G1698" i="1"/>
  <c r="F1698" i="1"/>
  <c r="G1697" i="1"/>
  <c r="F1697" i="1"/>
  <c r="G1696" i="1"/>
  <c r="F1696" i="1"/>
  <c r="G1695" i="1"/>
  <c r="F1695" i="1"/>
  <c r="G1694" i="1"/>
  <c r="F1694" i="1"/>
  <c r="G1693" i="1"/>
  <c r="F1693" i="1"/>
  <c r="G1692" i="1"/>
  <c r="F1692" i="1"/>
  <c r="G1691" i="1"/>
  <c r="F1691" i="1"/>
  <c r="G1690" i="1"/>
  <c r="F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5" i="1"/>
  <c r="F1675" i="1"/>
  <c r="G1674" i="1"/>
  <c r="F1674" i="1"/>
  <c r="G1672" i="1"/>
  <c r="F1672" i="1"/>
  <c r="G1671" i="1"/>
  <c r="F1671" i="1"/>
  <c r="G1670" i="1"/>
  <c r="F1670" i="1"/>
  <c r="G1669" i="1"/>
  <c r="F1669" i="1"/>
  <c r="G1668" i="1"/>
  <c r="F1668" i="1"/>
  <c r="G1666" i="1"/>
  <c r="F1666" i="1"/>
  <c r="G1665" i="1"/>
  <c r="F1665" i="1"/>
  <c r="G1664" i="1"/>
  <c r="F1664" i="1"/>
  <c r="G1662" i="1"/>
  <c r="F1662" i="1"/>
  <c r="G1661" i="1"/>
  <c r="F1661" i="1"/>
  <c r="G1660" i="1"/>
  <c r="F1660" i="1"/>
  <c r="G1658" i="1"/>
  <c r="F1658" i="1"/>
  <c r="G1657" i="1"/>
  <c r="F1657" i="1"/>
  <c r="G1655" i="1"/>
  <c r="F1655" i="1"/>
  <c r="G1654" i="1"/>
  <c r="F1654" i="1"/>
  <c r="G1653" i="1"/>
  <c r="F1653" i="1"/>
  <c r="G1652" i="1"/>
  <c r="F1652" i="1"/>
  <c r="G1650" i="1"/>
  <c r="F1650" i="1"/>
  <c r="G1649" i="1"/>
  <c r="F1649" i="1"/>
  <c r="G1648" i="1"/>
  <c r="F1648" i="1"/>
  <c r="G1646" i="1"/>
  <c r="F1646" i="1"/>
  <c r="G1645" i="1"/>
  <c r="F1645" i="1"/>
  <c r="G1643" i="1"/>
  <c r="F1643" i="1"/>
  <c r="G1642" i="1"/>
  <c r="F1642" i="1"/>
  <c r="G1641" i="1"/>
  <c r="F1641" i="1"/>
  <c r="G1640" i="1"/>
  <c r="F1640" i="1"/>
  <c r="G1639" i="1"/>
  <c r="F1639" i="1"/>
  <c r="G1638" i="1"/>
  <c r="F1638" i="1"/>
  <c r="G1637" i="1"/>
  <c r="F1637" i="1"/>
  <c r="G1636" i="1"/>
  <c r="F1636" i="1"/>
  <c r="G1635" i="1"/>
  <c r="F1635" i="1"/>
  <c r="G1634" i="1"/>
  <c r="F1634" i="1"/>
  <c r="G1633" i="1"/>
  <c r="F1633" i="1"/>
  <c r="G1632" i="1"/>
  <c r="F1632" i="1"/>
  <c r="G1631" i="1"/>
  <c r="F1631" i="1"/>
  <c r="G1629" i="1"/>
  <c r="F1629" i="1"/>
  <c r="E1629" i="1"/>
  <c r="G1628" i="1"/>
  <c r="F1628" i="1"/>
  <c r="E1628" i="1"/>
  <c r="G1627" i="1"/>
  <c r="F1627" i="1"/>
  <c r="E1627" i="1"/>
  <c r="G1626" i="1"/>
  <c r="F1626" i="1"/>
  <c r="E1626" i="1"/>
  <c r="G1625" i="1"/>
  <c r="F1625" i="1"/>
  <c r="E1625" i="1"/>
  <c r="G1624" i="1"/>
  <c r="F1624" i="1"/>
  <c r="E1624" i="1"/>
  <c r="G1623" i="1"/>
  <c r="F1623" i="1"/>
  <c r="E1623" i="1"/>
  <c r="G1622" i="1"/>
  <c r="E1622" i="1"/>
  <c r="G1621" i="1"/>
  <c r="E1621" i="1"/>
  <c r="G1620" i="1"/>
  <c r="E1620" i="1"/>
  <c r="G1619" i="1"/>
  <c r="E1619" i="1"/>
  <c r="G1618" i="1"/>
  <c r="F1618" i="1"/>
  <c r="E1618" i="1"/>
  <c r="G1617" i="1"/>
  <c r="E1617" i="1"/>
  <c r="G1616" i="1"/>
  <c r="E1616" i="1"/>
  <c r="G1615" i="1"/>
  <c r="E1615" i="1"/>
  <c r="G1614" i="1"/>
  <c r="E1614" i="1"/>
  <c r="G1613" i="1"/>
  <c r="F1613" i="1"/>
  <c r="E1613" i="1"/>
  <c r="G1612" i="1"/>
  <c r="E1612" i="1"/>
  <c r="G1611" i="1"/>
  <c r="F1611" i="1"/>
  <c r="E1611" i="1"/>
  <c r="G1610" i="1"/>
  <c r="F1610" i="1"/>
  <c r="E1610" i="1"/>
  <c r="G1609" i="1"/>
  <c r="F1609" i="1"/>
  <c r="E1609" i="1"/>
  <c r="G1608" i="1"/>
  <c r="F1608" i="1"/>
  <c r="E1608" i="1"/>
  <c r="G1607" i="1"/>
  <c r="F1607" i="1"/>
  <c r="E1607" i="1"/>
  <c r="G1606" i="1"/>
  <c r="F1606" i="1"/>
  <c r="E1606" i="1"/>
  <c r="G1605" i="1"/>
  <c r="F1605" i="1"/>
  <c r="E1605" i="1"/>
  <c r="G1604" i="1"/>
  <c r="F1604" i="1"/>
  <c r="E1604" i="1"/>
  <c r="G1603" i="1"/>
  <c r="F1603" i="1"/>
  <c r="E1603" i="1"/>
  <c r="G1602" i="1"/>
  <c r="F1602" i="1"/>
  <c r="E1602" i="1"/>
  <c r="G1601" i="1"/>
  <c r="F1601" i="1"/>
  <c r="E1601" i="1"/>
  <c r="G1600" i="1"/>
  <c r="F1600" i="1"/>
  <c r="E1600" i="1"/>
  <c r="G1599" i="1"/>
  <c r="F1599" i="1"/>
  <c r="E1599" i="1"/>
  <c r="G1598" i="1"/>
  <c r="F1598" i="1"/>
  <c r="E1598" i="1"/>
  <c r="G1597" i="1"/>
  <c r="F1597" i="1"/>
  <c r="E1597" i="1"/>
  <c r="G1596" i="1"/>
  <c r="E1596" i="1"/>
  <c r="G1595" i="1"/>
  <c r="D195" i="31" s="1"/>
  <c r="F1595" i="1"/>
  <c r="C195" i="31" s="1"/>
  <c r="G1594" i="1"/>
  <c r="D194" i="31" s="1"/>
  <c r="F1594" i="1"/>
  <c r="C194" i="31" s="1"/>
  <c r="G1593" i="1"/>
  <c r="D193" i="31" s="1"/>
  <c r="F1593" i="1"/>
  <c r="C193" i="31" s="1"/>
  <c r="G1592" i="1"/>
  <c r="D192" i="31" s="1"/>
  <c r="F1592" i="1"/>
  <c r="C192" i="31" s="1"/>
  <c r="G1591" i="1"/>
  <c r="D191" i="31" s="1"/>
  <c r="F1591" i="1"/>
  <c r="C191" i="31" s="1"/>
  <c r="G1590" i="1"/>
  <c r="D190" i="31" s="1"/>
  <c r="F1590" i="1"/>
  <c r="C190" i="31" s="1"/>
  <c r="G1589" i="1"/>
  <c r="D189" i="31" s="1"/>
  <c r="F1589" i="1"/>
  <c r="C189" i="31" s="1"/>
  <c r="G1588" i="1"/>
  <c r="D188" i="31" s="1"/>
  <c r="F1588" i="1"/>
  <c r="C188" i="31" s="1"/>
  <c r="G1587" i="1"/>
  <c r="D187" i="31" s="1"/>
  <c r="F1587" i="1"/>
  <c r="C187" i="31" s="1"/>
  <c r="G1586" i="1"/>
  <c r="D186" i="31" s="1"/>
  <c r="F1586" i="1"/>
  <c r="C186" i="31" s="1"/>
  <c r="G1585" i="1"/>
  <c r="D185" i="31" s="1"/>
  <c r="F1585" i="1"/>
  <c r="C185" i="31" s="1"/>
  <c r="G1584" i="1"/>
  <c r="D184" i="31" s="1"/>
  <c r="F1584" i="1"/>
  <c r="C184" i="31" s="1"/>
  <c r="E1584" i="1"/>
  <c r="G1583" i="1"/>
  <c r="D183" i="31" s="1"/>
  <c r="F1583" i="1"/>
  <c r="C183" i="31" s="1"/>
  <c r="E1583" i="1"/>
  <c r="G1582" i="1"/>
  <c r="D182" i="31" s="1"/>
  <c r="F1582" i="1"/>
  <c r="C182" i="31" s="1"/>
  <c r="E1582" i="1"/>
  <c r="G1581" i="1"/>
  <c r="D181" i="31" s="1"/>
  <c r="F1581" i="1"/>
  <c r="C181" i="31" s="1"/>
  <c r="E1581" i="1"/>
  <c r="G1580" i="1"/>
  <c r="D180" i="31" s="1"/>
  <c r="F1580" i="1"/>
  <c r="C180" i="31" s="1"/>
  <c r="E1580" i="1"/>
  <c r="G1579" i="1"/>
  <c r="D179" i="31" s="1"/>
  <c r="F1579" i="1"/>
  <c r="C179" i="31" s="1"/>
  <c r="E1579" i="1"/>
  <c r="G1578" i="1"/>
  <c r="D178" i="31" s="1"/>
  <c r="F1578" i="1"/>
  <c r="C178" i="31" s="1"/>
  <c r="E1578" i="1"/>
  <c r="G1577" i="1"/>
  <c r="D177" i="31" s="1"/>
  <c r="F1577" i="1"/>
  <c r="C177" i="31" s="1"/>
  <c r="E1577" i="1"/>
  <c r="G1576" i="1"/>
  <c r="D176" i="31" s="1"/>
  <c r="F1576" i="1"/>
  <c r="C176" i="31" s="1"/>
  <c r="E1576" i="1"/>
  <c r="G1575" i="1"/>
  <c r="D175" i="31" s="1"/>
  <c r="F1575" i="1"/>
  <c r="C175" i="31" s="1"/>
  <c r="G1574" i="1"/>
  <c r="D174" i="31" s="1"/>
  <c r="F1574" i="1"/>
  <c r="C174" i="31" s="1"/>
  <c r="G1573" i="1"/>
  <c r="D173" i="31" s="1"/>
  <c r="F1573" i="1"/>
  <c r="C173" i="31" s="1"/>
  <c r="G1572" i="1"/>
  <c r="D172" i="31" s="1"/>
  <c r="F1572" i="1"/>
  <c r="C172" i="31" s="1"/>
  <c r="G1571" i="1"/>
  <c r="F1571" i="1"/>
  <c r="G1570" i="1"/>
  <c r="F1570" i="1"/>
  <c r="G1569" i="1"/>
  <c r="F1569" i="1"/>
  <c r="G1568" i="1"/>
  <c r="D171" i="31" s="1"/>
  <c r="F1568" i="1"/>
  <c r="C171" i="31" s="1"/>
  <c r="G1567" i="1"/>
  <c r="D170" i="31" s="1"/>
  <c r="F1567" i="1"/>
  <c r="C170" i="31" s="1"/>
  <c r="G1566" i="1"/>
  <c r="D169" i="31" s="1"/>
  <c r="F1566" i="1"/>
  <c r="C169" i="31" s="1"/>
  <c r="G1565" i="1"/>
  <c r="D168" i="31" s="1"/>
  <c r="F1565" i="1"/>
  <c r="C168" i="31" s="1"/>
  <c r="G1564" i="1"/>
  <c r="D167" i="31" s="1"/>
  <c r="F1564" i="1"/>
  <c r="C167" i="31" s="1"/>
  <c r="G1563" i="1"/>
  <c r="D166" i="31" s="1"/>
  <c r="F1563" i="1"/>
  <c r="C166" i="31" s="1"/>
  <c r="G1562" i="1"/>
  <c r="D165" i="31" s="1"/>
  <c r="F1562" i="1"/>
  <c r="C165" i="31" s="1"/>
  <c r="G1561" i="1"/>
  <c r="D164" i="31" s="1"/>
  <c r="F1561" i="1"/>
  <c r="C164" i="31" s="1"/>
  <c r="G1560" i="1"/>
  <c r="D163" i="31" s="1"/>
  <c r="F1560" i="1"/>
  <c r="C163" i="31" s="1"/>
  <c r="G1559" i="1"/>
  <c r="D162" i="31" s="1"/>
  <c r="F1559" i="1"/>
  <c r="C162" i="31" s="1"/>
  <c r="G1558" i="1"/>
  <c r="D161" i="31" s="1"/>
  <c r="F1558" i="1"/>
  <c r="C161" i="31" s="1"/>
  <c r="G1557" i="1"/>
  <c r="D160" i="31" s="1"/>
  <c r="F1557" i="1"/>
  <c r="C160" i="31" s="1"/>
  <c r="G1556" i="1"/>
  <c r="D159" i="31" s="1"/>
  <c r="F1556" i="1"/>
  <c r="C159" i="31" s="1"/>
  <c r="G1555" i="1"/>
  <c r="D158" i="31" s="1"/>
  <c r="F1555" i="1"/>
  <c r="C158" i="31" s="1"/>
  <c r="G1554" i="1"/>
  <c r="D157" i="31" s="1"/>
  <c r="F1554" i="1"/>
  <c r="C157" i="31" s="1"/>
  <c r="G1553" i="1"/>
  <c r="D156" i="31" s="1"/>
  <c r="F1553" i="1"/>
  <c r="C156" i="31" s="1"/>
  <c r="G1552" i="1"/>
  <c r="D155" i="31" s="1"/>
  <c r="F1552" i="1"/>
  <c r="C155" i="31" s="1"/>
  <c r="G1550" i="1"/>
  <c r="F1550" i="1"/>
  <c r="G1549" i="1"/>
  <c r="F1549" i="1"/>
  <c r="G1548" i="1"/>
  <c r="F1548" i="1"/>
  <c r="G1547" i="1"/>
  <c r="F1547" i="1"/>
  <c r="G1546" i="1"/>
  <c r="F1546" i="1"/>
  <c r="G1544" i="1"/>
  <c r="F1544" i="1"/>
  <c r="G1543" i="1"/>
  <c r="F1543" i="1"/>
  <c r="G1542" i="1"/>
  <c r="F1542" i="1"/>
  <c r="G1541" i="1"/>
  <c r="F1541" i="1"/>
  <c r="G1539" i="1"/>
  <c r="F1539" i="1"/>
  <c r="G1538" i="1"/>
  <c r="F1538" i="1"/>
  <c r="G1537" i="1"/>
  <c r="F1537" i="1"/>
  <c r="G1536" i="1"/>
  <c r="F1536" i="1"/>
  <c r="G1535" i="1"/>
  <c r="F1535" i="1"/>
  <c r="G1533" i="1"/>
  <c r="F1533" i="1"/>
  <c r="G1532" i="1"/>
  <c r="F1532" i="1"/>
  <c r="G1531" i="1"/>
  <c r="F1531" i="1"/>
  <c r="G1529" i="1"/>
  <c r="F1529" i="1"/>
  <c r="G1528" i="1"/>
  <c r="F1528" i="1"/>
  <c r="G1527" i="1"/>
  <c r="F1527" i="1"/>
  <c r="G1525" i="1"/>
  <c r="F1525" i="1"/>
  <c r="G1524" i="1"/>
  <c r="F1524" i="1"/>
  <c r="G1522" i="1"/>
  <c r="F1522" i="1"/>
  <c r="G1521" i="1"/>
  <c r="F1521" i="1"/>
  <c r="G1520" i="1"/>
  <c r="F1520" i="1"/>
  <c r="G1518" i="1"/>
  <c r="F1518" i="1"/>
  <c r="G1517" i="1"/>
  <c r="F1517" i="1"/>
  <c r="G1516" i="1"/>
  <c r="F1516" i="1"/>
  <c r="G1515" i="1"/>
  <c r="F1515" i="1"/>
  <c r="G1513" i="1"/>
  <c r="F1513" i="1"/>
  <c r="G1512" i="1"/>
  <c r="F1512" i="1"/>
  <c r="G1511" i="1"/>
  <c r="F1511" i="1"/>
  <c r="G1509" i="1"/>
  <c r="F1509" i="1"/>
  <c r="G1508" i="1"/>
  <c r="F1508" i="1"/>
  <c r="G1506" i="1"/>
  <c r="F1506" i="1"/>
  <c r="G1505" i="1"/>
  <c r="F1505" i="1"/>
  <c r="G1504" i="1"/>
  <c r="F1504" i="1"/>
  <c r="G1503" i="1"/>
  <c r="F1503" i="1"/>
  <c r="G1502" i="1"/>
  <c r="F1502" i="1"/>
  <c r="G1501" i="1"/>
  <c r="F1501" i="1"/>
  <c r="G1500" i="1"/>
  <c r="F1500" i="1"/>
  <c r="G1499" i="1"/>
  <c r="F1499" i="1"/>
  <c r="G1498" i="1"/>
  <c r="F1498" i="1"/>
  <c r="G1497" i="1"/>
  <c r="F1497" i="1"/>
  <c r="G1496" i="1"/>
  <c r="F1496" i="1"/>
  <c r="G1495" i="1"/>
  <c r="F1495" i="1"/>
  <c r="G1494" i="1"/>
  <c r="F1494" i="1"/>
  <c r="G1493" i="1"/>
  <c r="F1493" i="1"/>
  <c r="G1488" i="1"/>
  <c r="F1488" i="1"/>
  <c r="E1488" i="1"/>
  <c r="G1485" i="1"/>
  <c r="F1485" i="1"/>
  <c r="E1485" i="1"/>
  <c r="G1484" i="1"/>
  <c r="F1484" i="1"/>
  <c r="E1484" i="1"/>
  <c r="G1483" i="1"/>
  <c r="F1483" i="1"/>
  <c r="G1479" i="1"/>
  <c r="F1479" i="1"/>
  <c r="E1479" i="1"/>
  <c r="G1476" i="1"/>
  <c r="F1476" i="1"/>
  <c r="E1476" i="1"/>
  <c r="G1475" i="1"/>
  <c r="F1475" i="1"/>
  <c r="E1475" i="1"/>
  <c r="G1474" i="1"/>
  <c r="F1474" i="1"/>
  <c r="G1470" i="1"/>
  <c r="F1470" i="1"/>
  <c r="E1470" i="1"/>
  <c r="G1467" i="1"/>
  <c r="F1467" i="1"/>
  <c r="E1467" i="1"/>
  <c r="G1466" i="1"/>
  <c r="F1466" i="1"/>
  <c r="E1466" i="1"/>
  <c r="G1465" i="1"/>
  <c r="F1465" i="1"/>
  <c r="G1461" i="1"/>
  <c r="F1461" i="1"/>
  <c r="E1461" i="1"/>
  <c r="G1458" i="1"/>
  <c r="F1458" i="1"/>
  <c r="E1458" i="1"/>
  <c r="G1457" i="1"/>
  <c r="F1457" i="1"/>
  <c r="E1457" i="1"/>
  <c r="G1456" i="1"/>
  <c r="F1456" i="1"/>
  <c r="G1452" i="1"/>
  <c r="F1452" i="1"/>
  <c r="E1452" i="1"/>
  <c r="G1449" i="1"/>
  <c r="F1449" i="1"/>
  <c r="E1449" i="1"/>
  <c r="G1448" i="1"/>
  <c r="F1448" i="1"/>
  <c r="E1448" i="1"/>
  <c r="G1447" i="1"/>
  <c r="F1447" i="1"/>
  <c r="G1443" i="1"/>
  <c r="F1443" i="1"/>
  <c r="E1443" i="1"/>
  <c r="G1440" i="1"/>
  <c r="F1440" i="1"/>
  <c r="E1440" i="1"/>
  <c r="G1439" i="1"/>
  <c r="F1439" i="1"/>
  <c r="E1439" i="1"/>
  <c r="G1438" i="1"/>
  <c r="F1438" i="1"/>
  <c r="G1434" i="1"/>
  <c r="F1434" i="1"/>
  <c r="E1434" i="1"/>
  <c r="G1431" i="1"/>
  <c r="F1431" i="1"/>
  <c r="E1431" i="1"/>
  <c r="G1430" i="1"/>
  <c r="F1430" i="1"/>
  <c r="E1430" i="1"/>
  <c r="G1429" i="1"/>
  <c r="F1429" i="1"/>
  <c r="G1425" i="1"/>
  <c r="F1425" i="1"/>
  <c r="E1425" i="1"/>
  <c r="G1422" i="1"/>
  <c r="F1422" i="1"/>
  <c r="E1422" i="1"/>
  <c r="G1421" i="1"/>
  <c r="F1421" i="1"/>
  <c r="E1421" i="1"/>
  <c r="G1420" i="1"/>
  <c r="F1420" i="1"/>
  <c r="G1416" i="1"/>
  <c r="F1416" i="1"/>
  <c r="E1416" i="1"/>
  <c r="G1408" i="1"/>
  <c r="F1408" i="1"/>
  <c r="E1408" i="1"/>
  <c r="G1405" i="1"/>
  <c r="G102" i="97" s="1"/>
  <c r="F1405" i="1"/>
  <c r="F102" i="97" s="1"/>
  <c r="E1405" i="1"/>
  <c r="E102" i="97" s="1"/>
  <c r="G1404" i="1"/>
  <c r="G121" i="97" s="1"/>
  <c r="F1404" i="1"/>
  <c r="F121" i="97" s="1"/>
  <c r="G1401" i="1"/>
  <c r="F1401" i="1"/>
  <c r="E1401" i="1"/>
  <c r="G1400" i="1"/>
  <c r="F1400" i="1"/>
  <c r="E1400" i="1"/>
  <c r="G1399" i="1"/>
  <c r="F1399" i="1"/>
  <c r="G1398" i="1"/>
  <c r="F1398" i="1"/>
  <c r="G1397" i="1"/>
  <c r="F1397" i="1"/>
  <c r="G1396" i="1"/>
  <c r="F1396" i="1"/>
  <c r="G1394" i="1"/>
  <c r="F1394" i="1"/>
  <c r="G1393" i="1"/>
  <c r="F1393" i="1"/>
  <c r="G1392" i="1"/>
  <c r="F1392" i="1"/>
  <c r="G1389" i="1"/>
  <c r="F1389" i="1"/>
  <c r="E1389" i="1"/>
  <c r="G1388" i="1"/>
  <c r="F1388" i="1"/>
  <c r="E1388" i="1"/>
  <c r="G1387" i="1"/>
  <c r="F1387" i="1"/>
  <c r="G1386" i="1"/>
  <c r="F1386" i="1"/>
  <c r="G1385" i="1"/>
  <c r="F1385" i="1"/>
  <c r="G1384" i="1"/>
  <c r="F1384" i="1"/>
  <c r="G1382" i="1"/>
  <c r="F1382" i="1"/>
  <c r="G1381" i="1"/>
  <c r="F1381" i="1"/>
  <c r="G1380" i="1"/>
  <c r="F1380" i="1"/>
  <c r="G1377" i="1"/>
  <c r="F1377" i="1"/>
  <c r="E1377" i="1"/>
  <c r="G1376" i="1"/>
  <c r="F1376" i="1"/>
  <c r="E1376" i="1"/>
  <c r="G1375" i="1"/>
  <c r="F1375" i="1"/>
  <c r="G1374" i="1"/>
  <c r="F1374" i="1"/>
  <c r="G1373" i="1"/>
  <c r="F1373" i="1"/>
  <c r="G1372" i="1"/>
  <c r="F1372" i="1"/>
  <c r="G1371" i="1"/>
  <c r="F1371" i="1"/>
  <c r="G1370" i="1"/>
  <c r="F1370" i="1"/>
  <c r="G1369" i="1"/>
  <c r="F1369" i="1"/>
  <c r="G1368" i="1"/>
  <c r="F1368" i="1"/>
  <c r="G1367" i="1"/>
  <c r="F1367" i="1"/>
  <c r="G1364" i="1"/>
  <c r="F1364" i="1"/>
  <c r="E1364" i="1"/>
  <c r="G1363" i="1"/>
  <c r="F1363" i="1"/>
  <c r="E1363" i="1"/>
  <c r="G1362" i="1"/>
  <c r="F1362" i="1"/>
  <c r="G1361" i="1"/>
  <c r="F1361" i="1"/>
  <c r="G1360" i="1"/>
  <c r="F1360" i="1"/>
  <c r="G1359" i="1"/>
  <c r="F1359" i="1"/>
  <c r="G1358" i="1"/>
  <c r="F1358" i="1"/>
  <c r="G1356" i="1"/>
  <c r="F1356" i="1"/>
  <c r="G1355" i="1"/>
  <c r="F1355" i="1"/>
  <c r="G1354" i="1"/>
  <c r="F1354" i="1"/>
  <c r="G1353" i="1"/>
  <c r="F1353" i="1"/>
  <c r="G1350" i="1"/>
  <c r="F1350" i="1"/>
  <c r="E1350" i="1"/>
  <c r="G1349" i="1"/>
  <c r="F1349" i="1"/>
  <c r="E1349" i="1"/>
  <c r="G1348" i="1"/>
  <c r="F1348" i="1"/>
  <c r="E1348" i="1"/>
  <c r="G1347" i="1"/>
  <c r="F1347" i="1"/>
  <c r="G1346" i="1"/>
  <c r="F1346" i="1"/>
  <c r="G1345" i="1"/>
  <c r="F1345" i="1"/>
  <c r="G1344" i="1"/>
  <c r="F1344" i="1"/>
  <c r="G1343" i="1"/>
  <c r="F1343" i="1"/>
  <c r="G1342" i="1"/>
  <c r="F1342" i="1"/>
  <c r="G1341" i="1"/>
  <c r="F1341" i="1"/>
  <c r="G1339" i="1"/>
  <c r="F1339" i="1"/>
  <c r="G1338" i="1"/>
  <c r="F1338" i="1"/>
  <c r="G1337" i="1"/>
  <c r="F1337" i="1"/>
  <c r="G1334" i="1"/>
  <c r="F1334" i="1"/>
  <c r="E1334" i="1"/>
  <c r="G1333" i="1"/>
  <c r="F1333" i="1"/>
  <c r="E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10" i="1"/>
  <c r="F1310" i="1"/>
  <c r="G1307" i="1"/>
  <c r="F1307" i="1"/>
  <c r="E1307" i="1"/>
  <c r="G1306" i="1"/>
  <c r="F1306" i="1"/>
  <c r="E1306" i="1"/>
  <c r="G1305" i="1"/>
  <c r="F1305" i="1"/>
  <c r="E1305" i="1"/>
  <c r="G1304" i="1"/>
  <c r="F1304" i="1"/>
  <c r="G1303" i="1"/>
  <c r="F1303" i="1"/>
  <c r="G1302" i="1"/>
  <c r="F1302" i="1"/>
  <c r="G1301" i="1"/>
  <c r="F1301" i="1"/>
  <c r="G1300" i="1"/>
  <c r="F1300" i="1"/>
  <c r="G1299" i="1"/>
  <c r="F1299" i="1"/>
  <c r="G1297" i="1"/>
  <c r="F1297" i="1"/>
  <c r="G1296" i="1"/>
  <c r="F1296" i="1"/>
  <c r="G1295" i="1"/>
  <c r="F1295" i="1"/>
  <c r="G1292" i="1"/>
  <c r="F1292" i="1"/>
  <c r="E1292" i="1"/>
  <c r="G1291" i="1"/>
  <c r="F1291" i="1"/>
  <c r="E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8" i="1"/>
  <c r="F1268" i="1"/>
  <c r="G1265" i="1"/>
  <c r="F1265" i="1"/>
  <c r="E1265" i="1"/>
  <c r="G1264" i="1"/>
  <c r="F1264" i="1"/>
  <c r="E1264" i="1"/>
  <c r="G1263" i="1"/>
  <c r="F1263" i="1"/>
  <c r="E1263" i="1"/>
  <c r="G1262" i="1"/>
  <c r="F1262" i="1"/>
  <c r="G1261" i="1"/>
  <c r="F1261" i="1"/>
  <c r="G1260" i="1"/>
  <c r="F1260" i="1"/>
  <c r="G1259" i="1"/>
  <c r="F1259" i="1"/>
  <c r="G1258" i="1"/>
  <c r="F1258" i="1"/>
  <c r="G1257" i="1"/>
  <c r="F1257" i="1"/>
  <c r="G1255" i="1"/>
  <c r="F1255" i="1"/>
  <c r="G1254" i="1"/>
  <c r="F1254" i="1"/>
  <c r="G1253" i="1"/>
  <c r="F1253" i="1"/>
  <c r="G1250" i="1"/>
  <c r="F1250" i="1"/>
  <c r="E1250" i="1"/>
  <c r="G1249" i="1"/>
  <c r="F1249" i="1"/>
  <c r="E1249" i="1"/>
  <c r="G1248" i="1"/>
  <c r="F1248" i="1"/>
  <c r="G1247" i="1"/>
  <c r="F1247" i="1"/>
  <c r="G1246" i="1"/>
  <c r="F1246" i="1"/>
  <c r="G1245" i="1"/>
  <c r="F1245" i="1"/>
  <c r="G1244" i="1"/>
  <c r="F1244" i="1"/>
  <c r="G1242" i="1"/>
  <c r="F1242" i="1"/>
  <c r="G1241" i="1"/>
  <c r="F1241" i="1"/>
  <c r="G1240" i="1"/>
  <c r="F1240" i="1"/>
  <c r="G1237" i="1"/>
  <c r="F1237" i="1"/>
  <c r="E1237" i="1"/>
  <c r="G1236" i="1"/>
  <c r="F1236" i="1"/>
  <c r="G1235" i="1"/>
  <c r="F1235" i="1"/>
  <c r="G1234" i="1"/>
  <c r="F1234" i="1"/>
  <c r="G1233" i="1"/>
  <c r="F1233" i="1"/>
  <c r="G1232" i="1"/>
  <c r="F1232" i="1"/>
  <c r="G1229" i="1"/>
  <c r="F1229" i="1"/>
  <c r="E1229" i="1"/>
  <c r="G1228" i="1"/>
  <c r="F1228" i="1"/>
  <c r="G1227" i="1"/>
  <c r="F1227" i="1"/>
  <c r="G1226" i="1"/>
  <c r="F1226" i="1"/>
  <c r="G1225" i="1"/>
  <c r="F1225" i="1"/>
  <c r="G1224" i="1"/>
  <c r="F1224" i="1"/>
  <c r="G1221" i="1"/>
  <c r="F1221" i="1"/>
  <c r="E1221" i="1"/>
  <c r="G1220" i="1"/>
  <c r="F1220" i="1"/>
  <c r="G1219" i="1"/>
  <c r="F1219" i="1"/>
  <c r="G1218" i="1"/>
  <c r="F1218" i="1"/>
  <c r="G1217" i="1"/>
  <c r="F1217" i="1"/>
  <c r="G1216" i="1"/>
  <c r="F1216" i="1"/>
  <c r="G1215" i="1"/>
  <c r="F1215" i="1"/>
  <c r="G1212" i="1"/>
  <c r="F1212" i="1"/>
  <c r="E1212" i="1"/>
  <c r="G1211" i="1"/>
  <c r="F1211" i="1"/>
  <c r="E1211" i="1"/>
  <c r="G1210" i="1"/>
  <c r="F1210" i="1"/>
  <c r="G1209" i="1"/>
  <c r="F1209" i="1"/>
  <c r="G1208" i="1"/>
  <c r="F1208" i="1"/>
  <c r="G1207" i="1"/>
  <c r="F1207" i="1"/>
  <c r="G1206" i="1"/>
  <c r="F1206" i="1"/>
  <c r="G1205" i="1"/>
  <c r="F1205" i="1"/>
  <c r="G1204" i="1"/>
  <c r="F1204" i="1"/>
  <c r="G1201" i="1"/>
  <c r="F1201" i="1"/>
  <c r="E1201" i="1"/>
  <c r="G1200" i="1"/>
  <c r="F1200" i="1"/>
  <c r="G1199" i="1"/>
  <c r="F1199" i="1"/>
  <c r="G1198" i="1"/>
  <c r="F1198" i="1"/>
  <c r="G1197" i="1"/>
  <c r="F1197" i="1"/>
  <c r="G1196" i="1"/>
  <c r="F1196" i="1"/>
  <c r="G1195" i="1"/>
  <c r="F1195" i="1"/>
  <c r="G1192" i="1"/>
  <c r="F1192" i="1"/>
  <c r="E1192" i="1"/>
  <c r="G1191" i="1"/>
  <c r="F1191" i="1"/>
  <c r="G1190" i="1"/>
  <c r="F1190" i="1"/>
  <c r="G1189" i="1"/>
  <c r="F1189" i="1"/>
  <c r="G1188" i="1"/>
  <c r="F1188" i="1"/>
  <c r="G1187" i="1"/>
  <c r="F1187" i="1"/>
  <c r="G1186" i="1"/>
  <c r="F1186" i="1"/>
  <c r="G1183" i="1"/>
  <c r="F1183" i="1"/>
  <c r="E1183" i="1"/>
  <c r="G1171" i="1"/>
  <c r="G1170" i="1"/>
  <c r="G1168" i="1"/>
  <c r="E1168" i="1"/>
  <c r="G1167" i="1"/>
  <c r="G151" i="97" s="1"/>
  <c r="F1167" i="1"/>
  <c r="F151" i="97" s="1"/>
  <c r="E1167" i="1"/>
  <c r="E151" i="97" s="1"/>
  <c r="G1166" i="1"/>
  <c r="G100" i="97" s="1"/>
  <c r="F1166" i="1"/>
  <c r="F100" i="97" s="1"/>
  <c r="G1165" i="1"/>
  <c r="G124" i="97" s="1"/>
  <c r="F1165" i="1"/>
  <c r="F124" i="97" s="1"/>
  <c r="G1164" i="1"/>
  <c r="F1164" i="1"/>
  <c r="G1162" i="1"/>
  <c r="G86" i="97" s="1"/>
  <c r="F1162" i="1"/>
  <c r="F86" i="97" s="1"/>
  <c r="G1161" i="1"/>
  <c r="G118" i="97" s="1"/>
  <c r="F1161" i="1"/>
  <c r="F118" i="97" s="1"/>
  <c r="G1160" i="1"/>
  <c r="G63" i="97" s="1"/>
  <c r="F1160" i="1"/>
  <c r="F63" i="97" s="1"/>
  <c r="G1157" i="1"/>
  <c r="G1154" i="1"/>
  <c r="F1154" i="1"/>
  <c r="E1154" i="1"/>
  <c r="G1153" i="1"/>
  <c r="F1153" i="1"/>
  <c r="G1152" i="1"/>
  <c r="F1152" i="1"/>
  <c r="G1151" i="1"/>
  <c r="F1151" i="1"/>
  <c r="G1150" i="1"/>
  <c r="F1150" i="1"/>
  <c r="G1149" i="1"/>
  <c r="F1149" i="1"/>
  <c r="G1148" i="1"/>
  <c r="F1148" i="1"/>
  <c r="G1145" i="1"/>
  <c r="F1145" i="1"/>
  <c r="E1145" i="1"/>
  <c r="G1144" i="1"/>
  <c r="F1144" i="1"/>
  <c r="E1144" i="1"/>
  <c r="G1143" i="1"/>
  <c r="F1143" i="1"/>
  <c r="G1142" i="1"/>
  <c r="F1142" i="1"/>
  <c r="G1141" i="1"/>
  <c r="F1141" i="1"/>
  <c r="G1140" i="1"/>
  <c r="F1140" i="1"/>
  <c r="G1139" i="1"/>
  <c r="F1139" i="1"/>
  <c r="G1138" i="1"/>
  <c r="F1138" i="1"/>
  <c r="G1137" i="1"/>
  <c r="F1137" i="1"/>
  <c r="G1134" i="1"/>
  <c r="F1134" i="1"/>
  <c r="E1134" i="1"/>
  <c r="G1133" i="1"/>
  <c r="F1133" i="1"/>
  <c r="G1132" i="1"/>
  <c r="F1132" i="1"/>
  <c r="G1131" i="1"/>
  <c r="F1131" i="1"/>
  <c r="G1130" i="1"/>
  <c r="F1130" i="1"/>
  <c r="G1129" i="1"/>
  <c r="F1129" i="1"/>
  <c r="G1128" i="1"/>
  <c r="F1128" i="1"/>
  <c r="G1125" i="1"/>
  <c r="F1125" i="1"/>
  <c r="E1125" i="1"/>
  <c r="G1124" i="1"/>
  <c r="F1124" i="1"/>
  <c r="E1124" i="1"/>
  <c r="G1123" i="1"/>
  <c r="F1123" i="1"/>
  <c r="G1122" i="1"/>
  <c r="F1122" i="1"/>
  <c r="G1121" i="1"/>
  <c r="F1121" i="1"/>
  <c r="G1120" i="1"/>
  <c r="F1120" i="1"/>
  <c r="G1119" i="1"/>
  <c r="F1119" i="1"/>
  <c r="G1118" i="1"/>
  <c r="F1118" i="1"/>
  <c r="G1117" i="1"/>
  <c r="F1117" i="1"/>
  <c r="G1114" i="1"/>
  <c r="G1113" i="1"/>
  <c r="G1110" i="1"/>
  <c r="F1110" i="1"/>
  <c r="E1110" i="1"/>
  <c r="G1109" i="1"/>
  <c r="F1109" i="1"/>
  <c r="G1108" i="1"/>
  <c r="F1108" i="1"/>
  <c r="G1107" i="1"/>
  <c r="F1107" i="1"/>
  <c r="G1106" i="1"/>
  <c r="F1106" i="1"/>
  <c r="G1105" i="1"/>
  <c r="F1105" i="1"/>
  <c r="G1104" i="1"/>
  <c r="F1104" i="1"/>
  <c r="G1085" i="1"/>
  <c r="F1085" i="1"/>
  <c r="G1084" i="1"/>
  <c r="F1084" i="1"/>
  <c r="G1083" i="1"/>
  <c r="F1083" i="1"/>
  <c r="G1082" i="1"/>
  <c r="F1082" i="1"/>
  <c r="G1078" i="1"/>
  <c r="F1078" i="1"/>
  <c r="G1077" i="1"/>
  <c r="F1077" i="1"/>
  <c r="G1076" i="1"/>
  <c r="F1076" i="1"/>
  <c r="G1075" i="1"/>
  <c r="F1075" i="1"/>
  <c r="G1074" i="1"/>
  <c r="F1074" i="1"/>
  <c r="G1070" i="1"/>
  <c r="F1070" i="1"/>
  <c r="G1069" i="1"/>
  <c r="F1069"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1" i="1"/>
  <c r="F1031" i="1"/>
  <c r="E1031" i="1"/>
  <c r="G1030" i="1"/>
  <c r="F1030" i="1"/>
  <c r="E1030" i="1"/>
  <c r="G1029" i="1"/>
  <c r="F1029" i="1"/>
  <c r="G1028" i="1"/>
  <c r="F1028" i="1"/>
  <c r="G1027" i="1"/>
  <c r="F1027" i="1"/>
  <c r="G1026" i="1"/>
  <c r="F1026" i="1"/>
  <c r="G1025" i="1"/>
  <c r="F1025" i="1"/>
  <c r="G1021" i="1"/>
  <c r="F1021" i="1"/>
  <c r="G1020" i="1"/>
  <c r="F1020" i="1"/>
  <c r="G1019" i="1"/>
  <c r="F1019" i="1"/>
  <c r="G1018" i="1"/>
  <c r="F1018" i="1"/>
  <c r="G1017" i="1"/>
  <c r="F1017" i="1"/>
  <c r="G1016" i="1"/>
  <c r="F1016" i="1"/>
  <c r="G1015" i="1"/>
  <c r="F1015" i="1"/>
  <c r="G1011" i="1"/>
  <c r="F1011" i="1"/>
  <c r="G1010" i="1"/>
  <c r="F1010" i="1"/>
  <c r="G1009" i="1"/>
  <c r="F1009" i="1"/>
  <c r="G1008" i="1"/>
  <c r="F1008" i="1"/>
  <c r="G1007" i="1"/>
  <c r="G1006" i="1"/>
  <c r="F1006" i="1"/>
  <c r="G1005" i="1"/>
  <c r="F1005" i="1"/>
  <c r="G986" i="1"/>
  <c r="F986" i="1"/>
  <c r="G985" i="1"/>
  <c r="F985" i="1"/>
  <c r="G984" i="1"/>
  <c r="F984" i="1"/>
  <c r="G983" i="1"/>
  <c r="F983" i="1"/>
  <c r="G982" i="1"/>
  <c r="F982" i="1"/>
  <c r="G978" i="1"/>
  <c r="F978" i="1"/>
  <c r="G977" i="1"/>
  <c r="F977" i="1"/>
  <c r="G976" i="1"/>
  <c r="F976" i="1"/>
  <c r="G975" i="1"/>
  <c r="F975" i="1"/>
  <c r="G971" i="1"/>
  <c r="F971" i="1"/>
  <c r="E971" i="1"/>
  <c r="G970" i="1"/>
  <c r="F970" i="1"/>
  <c r="E970" i="1"/>
  <c r="G969" i="1"/>
  <c r="F969" i="1"/>
  <c r="G968" i="1"/>
  <c r="F968" i="1"/>
  <c r="G967" i="1"/>
  <c r="F967" i="1"/>
  <c r="G966" i="1"/>
  <c r="F966" i="1"/>
  <c r="G965" i="1"/>
  <c r="F965" i="1"/>
  <c r="G964" i="1"/>
  <c r="F964" i="1"/>
  <c r="G960" i="1"/>
  <c r="F960" i="1"/>
  <c r="E960" i="1"/>
  <c r="G959" i="1"/>
  <c r="G158" i="97" s="1"/>
  <c r="F959" i="1"/>
  <c r="F158" i="97" s="1"/>
  <c r="E959" i="1"/>
  <c r="E158" i="97" s="1"/>
  <c r="G958" i="1"/>
  <c r="G46" i="97" s="1"/>
  <c r="F958" i="1"/>
  <c r="F46" i="97" s="1"/>
  <c r="G957" i="1"/>
  <c r="G39" i="97" s="1"/>
  <c r="F957" i="1"/>
  <c r="F39" i="97" s="1"/>
  <c r="G956" i="1"/>
  <c r="G269" i="97" s="1"/>
  <c r="G955" i="1"/>
  <c r="G114" i="97" s="1"/>
  <c r="G951" i="1"/>
  <c r="F951" i="1"/>
  <c r="E951" i="1"/>
  <c r="G950" i="1"/>
  <c r="F950" i="1"/>
  <c r="E950" i="1"/>
  <c r="G949" i="1"/>
  <c r="F949" i="1"/>
  <c r="G948" i="1"/>
  <c r="F948" i="1"/>
  <c r="G947" i="1"/>
  <c r="F947" i="1"/>
  <c r="G946" i="1"/>
  <c r="F946" i="1"/>
  <c r="G945" i="1"/>
  <c r="G944" i="1"/>
  <c r="G940" i="1"/>
  <c r="F940" i="1"/>
  <c r="E940" i="1"/>
  <c r="G939" i="1"/>
  <c r="F939" i="1"/>
  <c r="E939" i="1"/>
  <c r="G938" i="1"/>
  <c r="F938" i="1"/>
  <c r="G937" i="1"/>
  <c r="F937" i="1"/>
  <c r="G936" i="1"/>
  <c r="F936" i="1"/>
  <c r="G935" i="1"/>
  <c r="G934" i="1"/>
  <c r="G930" i="1"/>
  <c r="F930" i="1"/>
  <c r="E930" i="1"/>
  <c r="G929" i="1"/>
  <c r="F929" i="1"/>
  <c r="E929" i="1"/>
  <c r="G928" i="1"/>
  <c r="F928" i="1"/>
  <c r="G927" i="1"/>
  <c r="F927" i="1"/>
  <c r="G926" i="1"/>
  <c r="F926" i="1"/>
  <c r="G925" i="1"/>
  <c r="F925" i="1"/>
  <c r="G924" i="1"/>
  <c r="F924" i="1"/>
  <c r="G920" i="1"/>
  <c r="F920" i="1"/>
  <c r="E920" i="1"/>
  <c r="G919" i="1"/>
  <c r="F919" i="1"/>
  <c r="E919" i="1"/>
  <c r="G918" i="1"/>
  <c r="F918" i="1"/>
  <c r="G917" i="1"/>
  <c r="F917" i="1"/>
  <c r="G916" i="1"/>
  <c r="F916" i="1"/>
  <c r="G915" i="1"/>
  <c r="F915" i="1"/>
  <c r="G911" i="1"/>
  <c r="F911" i="1"/>
  <c r="E911" i="1"/>
  <c r="G910" i="1"/>
  <c r="F910" i="1"/>
  <c r="E910" i="1"/>
  <c r="G906" i="1"/>
  <c r="F906" i="1"/>
  <c r="E906" i="1"/>
  <c r="G905" i="1"/>
  <c r="F905" i="1"/>
  <c r="E905" i="1"/>
  <c r="G904" i="1"/>
  <c r="F904" i="1"/>
  <c r="G903" i="1"/>
  <c r="F903" i="1"/>
  <c r="G902" i="1"/>
  <c r="F902" i="1"/>
  <c r="G901" i="1"/>
  <c r="G900" i="1"/>
  <c r="F900" i="1"/>
  <c r="G896" i="1"/>
  <c r="F896" i="1"/>
  <c r="E896" i="1"/>
  <c r="G895" i="1"/>
  <c r="F895" i="1"/>
  <c r="E895" i="1"/>
  <c r="G894" i="1"/>
  <c r="F894" i="1"/>
  <c r="G893" i="1"/>
  <c r="F893" i="1"/>
  <c r="G892" i="1"/>
  <c r="G891" i="1"/>
  <c r="F891" i="1"/>
  <c r="G876" i="1"/>
  <c r="F876" i="1"/>
  <c r="E876" i="1"/>
  <c r="G875" i="1"/>
  <c r="F875" i="1"/>
  <c r="E875" i="1"/>
  <c r="G874" i="1"/>
  <c r="F874" i="1"/>
  <c r="G873" i="1"/>
  <c r="F873" i="1"/>
  <c r="G872" i="1"/>
  <c r="F872" i="1"/>
  <c r="G871" i="1"/>
  <c r="F871" i="1"/>
  <c r="G870" i="1"/>
  <c r="G869" i="1"/>
  <c r="F869" i="1"/>
  <c r="G863" i="1"/>
  <c r="F863" i="1"/>
  <c r="E863" i="1"/>
  <c r="G862" i="1"/>
  <c r="F862" i="1"/>
  <c r="E862" i="1"/>
  <c r="G861" i="1"/>
  <c r="F861" i="1"/>
  <c r="G860" i="1"/>
  <c r="F860" i="1"/>
  <c r="G859" i="1"/>
  <c r="F859" i="1"/>
  <c r="G858" i="1"/>
  <c r="F858" i="1"/>
  <c r="G857" i="1"/>
  <c r="G856" i="1"/>
  <c r="G852" i="1"/>
  <c r="F852" i="1"/>
  <c r="G851" i="1"/>
  <c r="F851" i="1"/>
  <c r="G847" i="1"/>
  <c r="F847" i="1"/>
  <c r="E847" i="1"/>
  <c r="G846" i="1"/>
  <c r="F846" i="1"/>
  <c r="E846" i="1"/>
  <c r="G845" i="1"/>
  <c r="F845" i="1"/>
  <c r="G844" i="1"/>
  <c r="F844" i="1"/>
  <c r="G843" i="1"/>
  <c r="G842" i="1"/>
  <c r="F842" i="1"/>
  <c r="G838" i="1"/>
  <c r="F838" i="1"/>
  <c r="E838" i="1"/>
  <c r="G837" i="1"/>
  <c r="F837" i="1"/>
  <c r="E837" i="1"/>
  <c r="G836" i="1"/>
  <c r="F836" i="1"/>
  <c r="G835" i="1"/>
  <c r="F835" i="1"/>
  <c r="G834" i="1"/>
  <c r="G833" i="1"/>
  <c r="G832" i="1"/>
  <c r="G831" i="1"/>
  <c r="F831" i="1"/>
  <c r="G827" i="1"/>
  <c r="F827" i="1"/>
  <c r="E827" i="1"/>
  <c r="G826" i="1"/>
  <c r="F826" i="1"/>
  <c r="E826" i="1"/>
  <c r="G825" i="1"/>
  <c r="F825" i="1"/>
  <c r="G824" i="1"/>
  <c r="F824" i="1"/>
  <c r="G823" i="1"/>
  <c r="F823" i="1"/>
  <c r="G822" i="1"/>
  <c r="F822" i="1"/>
  <c r="G821" i="1"/>
  <c r="F821" i="1"/>
  <c r="G820" i="1"/>
  <c r="F820" i="1"/>
  <c r="G816" i="1"/>
  <c r="F816" i="1"/>
  <c r="E816" i="1"/>
  <c r="G815" i="1"/>
  <c r="F815" i="1"/>
  <c r="E815" i="1"/>
  <c r="G814" i="1"/>
  <c r="F814" i="1"/>
  <c r="G813" i="1"/>
  <c r="F813" i="1"/>
  <c r="G812" i="1"/>
  <c r="F812" i="1"/>
  <c r="G811" i="1"/>
  <c r="F811" i="1"/>
  <c r="G807" i="1"/>
  <c r="F807" i="1"/>
  <c r="E807" i="1"/>
  <c r="G806" i="1"/>
  <c r="G156" i="97" s="1"/>
  <c r="F806" i="1"/>
  <c r="F156" i="97" s="1"/>
  <c r="E806" i="1"/>
  <c r="E156" i="97" s="1"/>
  <c r="G805" i="1"/>
  <c r="G50" i="97" s="1"/>
  <c r="F805" i="1"/>
  <c r="F50" i="97" s="1"/>
  <c r="G804" i="1"/>
  <c r="G44" i="97" s="1"/>
  <c r="F804" i="1"/>
  <c r="F44" i="97" s="1"/>
  <c r="G803" i="1"/>
  <c r="G41" i="97" s="1"/>
  <c r="F803" i="1"/>
  <c r="F41" i="97" s="1"/>
  <c r="G802" i="1"/>
  <c r="F802" i="1"/>
  <c r="G801" i="1"/>
  <c r="G111" i="97" s="1"/>
  <c r="G800" i="1"/>
  <c r="G115" i="97" s="1"/>
  <c r="F800" i="1"/>
  <c r="F115" i="97" s="1"/>
  <c r="G796" i="1"/>
  <c r="F796" i="1"/>
  <c r="E796" i="1"/>
  <c r="G795" i="1"/>
  <c r="F795" i="1"/>
  <c r="E795" i="1"/>
  <c r="G794" i="1"/>
  <c r="F794" i="1"/>
  <c r="G793" i="1"/>
  <c r="F793" i="1"/>
  <c r="G792" i="1"/>
  <c r="F792" i="1"/>
  <c r="G791" i="1"/>
  <c r="F791" i="1"/>
  <c r="G790" i="1"/>
  <c r="F790" i="1"/>
  <c r="G786" i="1"/>
  <c r="F786" i="1"/>
  <c r="E786" i="1"/>
  <c r="G785" i="1"/>
  <c r="F785" i="1"/>
  <c r="E785" i="1"/>
  <c r="G784" i="1"/>
  <c r="F784" i="1"/>
  <c r="G783" i="1"/>
  <c r="F783" i="1"/>
  <c r="G782" i="1"/>
  <c r="F782" i="1"/>
  <c r="G781" i="1"/>
  <c r="F781" i="1"/>
  <c r="G780" i="1"/>
  <c r="F780" i="1"/>
  <c r="G1102" i="1"/>
  <c r="G159" i="97" s="1"/>
  <c r="F1102" i="1"/>
  <c r="F159" i="97" s="1"/>
  <c r="G1101" i="1"/>
  <c r="G47" i="97" s="1"/>
  <c r="F1101" i="1"/>
  <c r="F47" i="97" s="1"/>
  <c r="G1100" i="1"/>
  <c r="G40" i="97" s="1"/>
  <c r="F1100" i="1"/>
  <c r="F40" i="97" s="1"/>
  <c r="G1098" i="1"/>
  <c r="G74" i="97" s="1"/>
  <c r="E5" i="109" s="1"/>
  <c r="E126" i="115" s="1"/>
  <c r="F1098" i="1"/>
  <c r="F74" i="97" s="1"/>
  <c r="D5" i="109" s="1"/>
  <c r="C126" i="115" s="1"/>
  <c r="G1097" i="1"/>
  <c r="F1097" i="1"/>
  <c r="G1096" i="1"/>
  <c r="G72" i="97" s="1"/>
  <c r="E4" i="109" s="1"/>
  <c r="E125" i="115" s="1"/>
  <c r="F1096" i="1"/>
  <c r="F72" i="97" s="1"/>
  <c r="D4" i="109" s="1"/>
  <c r="C125" i="115" s="1"/>
  <c r="G775" i="1"/>
  <c r="F775" i="1"/>
  <c r="E775" i="1"/>
  <c r="G774" i="1"/>
  <c r="F774" i="1"/>
  <c r="E774" i="1"/>
  <c r="G773" i="1"/>
  <c r="F773" i="1"/>
  <c r="G772" i="1"/>
  <c r="F772" i="1"/>
  <c r="G768" i="1"/>
  <c r="F768" i="1"/>
  <c r="E768" i="1"/>
  <c r="G767" i="1"/>
  <c r="F767" i="1"/>
  <c r="E767" i="1"/>
  <c r="G766" i="1"/>
  <c r="F766" i="1"/>
  <c r="G765" i="1"/>
  <c r="F765" i="1"/>
  <c r="G763" i="1"/>
  <c r="F763" i="1"/>
  <c r="E763" i="1"/>
  <c r="G762" i="1"/>
  <c r="F762" i="1"/>
  <c r="G761" i="1"/>
  <c r="F761" i="1"/>
  <c r="G757" i="1"/>
  <c r="F757" i="1"/>
  <c r="E757" i="1"/>
  <c r="G756" i="1"/>
  <c r="G129" i="97" s="1"/>
  <c r="F756" i="1"/>
  <c r="F129" i="97" s="1"/>
  <c r="E756" i="1"/>
  <c r="E129" i="97" s="1"/>
  <c r="G755" i="1"/>
  <c r="G142" i="97" s="1"/>
  <c r="F755" i="1"/>
  <c r="F142" i="97" s="1"/>
  <c r="G754" i="1"/>
  <c r="G19" i="97" s="1"/>
  <c r="F754" i="1"/>
  <c r="F19" i="97" s="1"/>
  <c r="G750" i="1"/>
  <c r="F750" i="1"/>
  <c r="E750" i="1"/>
  <c r="G749" i="1"/>
  <c r="F749" i="1"/>
  <c r="E749" i="1"/>
  <c r="G745" i="1"/>
  <c r="E745" i="1"/>
  <c r="G741" i="1"/>
  <c r="F741" i="1"/>
  <c r="E741" i="1"/>
  <c r="G740" i="1"/>
  <c r="F740" i="1"/>
  <c r="E740" i="1"/>
  <c r="G739" i="1"/>
  <c r="F739" i="1"/>
  <c r="G738" i="1"/>
  <c r="F738" i="1"/>
  <c r="G735" i="1"/>
  <c r="F735" i="1"/>
  <c r="E735" i="1"/>
  <c r="G734" i="1"/>
  <c r="F734" i="1"/>
  <c r="E734" i="1"/>
  <c r="G733" i="1"/>
  <c r="E733" i="1"/>
  <c r="G732" i="1"/>
  <c r="G729" i="1"/>
  <c r="E729" i="1"/>
  <c r="G728" i="1"/>
  <c r="G724" i="1"/>
  <c r="F724" i="1"/>
  <c r="E724" i="1"/>
  <c r="G723" i="1"/>
  <c r="F723" i="1"/>
  <c r="E723" i="1"/>
  <c r="G722" i="1"/>
  <c r="F722" i="1"/>
  <c r="G721" i="1"/>
  <c r="F721" i="1"/>
  <c r="G717" i="1"/>
  <c r="F717" i="1"/>
  <c r="E717" i="1"/>
  <c r="G716" i="1"/>
  <c r="F716" i="1"/>
  <c r="E716" i="1"/>
  <c r="G715" i="1"/>
  <c r="F715" i="1"/>
  <c r="G714" i="1"/>
  <c r="F714" i="1"/>
  <c r="G710" i="1"/>
  <c r="F710" i="1"/>
  <c r="E710" i="1"/>
  <c r="G709" i="1"/>
  <c r="F709" i="1"/>
  <c r="E709" i="1"/>
  <c r="G708" i="1"/>
  <c r="F708" i="1"/>
  <c r="G707" i="1"/>
  <c r="F707" i="1"/>
  <c r="G703" i="1"/>
  <c r="F703" i="1"/>
  <c r="E703" i="1"/>
  <c r="G702" i="1"/>
  <c r="F702" i="1"/>
  <c r="E702" i="1"/>
  <c r="G701" i="1"/>
  <c r="F701" i="1"/>
  <c r="G700" i="1"/>
  <c r="F700" i="1"/>
  <c r="G696" i="1"/>
  <c r="F696" i="1"/>
  <c r="E696" i="1"/>
  <c r="G695" i="1"/>
  <c r="F695" i="1"/>
  <c r="E695" i="1"/>
  <c r="G694" i="1"/>
  <c r="F694" i="1"/>
  <c r="E694" i="1"/>
  <c r="G693" i="1"/>
  <c r="F693" i="1"/>
  <c r="E693" i="1"/>
  <c r="G692" i="1"/>
  <c r="F692" i="1"/>
  <c r="E692" i="1"/>
  <c r="G691" i="1"/>
  <c r="F691" i="1"/>
  <c r="G690" i="1"/>
  <c r="F690" i="1"/>
  <c r="G689" i="1"/>
  <c r="F689" i="1"/>
  <c r="G688" i="1"/>
  <c r="F688" i="1"/>
  <c r="G687" i="1"/>
  <c r="F687" i="1"/>
  <c r="G686" i="1"/>
  <c r="F686" i="1"/>
  <c r="G685" i="1"/>
  <c r="F685" i="1"/>
  <c r="G684" i="1"/>
  <c r="F684" i="1"/>
  <c r="G682" i="1"/>
  <c r="F682" i="1"/>
  <c r="E682" i="1"/>
  <c r="G681" i="1"/>
  <c r="F681" i="1"/>
  <c r="E681" i="1"/>
  <c r="G680" i="1"/>
  <c r="F680" i="1"/>
  <c r="G679" i="1"/>
  <c r="F679" i="1"/>
  <c r="G678" i="1"/>
  <c r="F678" i="1"/>
  <c r="G677" i="1"/>
  <c r="F677" i="1"/>
  <c r="G676" i="1"/>
  <c r="F676" i="1"/>
  <c r="G675" i="1"/>
  <c r="F675" i="1"/>
  <c r="G672" i="1"/>
  <c r="F672" i="1"/>
  <c r="E672" i="1"/>
  <c r="G671" i="1"/>
  <c r="F671" i="1"/>
  <c r="E671" i="1"/>
  <c r="G670" i="1"/>
  <c r="F670" i="1"/>
  <c r="E670" i="1"/>
  <c r="G669" i="1"/>
  <c r="F669" i="1"/>
  <c r="G668" i="1"/>
  <c r="F668" i="1"/>
  <c r="G667" i="1"/>
  <c r="F667" i="1"/>
  <c r="G664" i="1"/>
  <c r="F664" i="1"/>
  <c r="E664" i="1"/>
  <c r="G663" i="1"/>
  <c r="F663" i="1"/>
  <c r="E663" i="1"/>
  <c r="G662" i="1"/>
  <c r="F662" i="1"/>
  <c r="E662" i="1"/>
  <c r="G661" i="1"/>
  <c r="F661" i="1"/>
  <c r="G660" i="1"/>
  <c r="F660" i="1"/>
  <c r="G659" i="1"/>
  <c r="F659" i="1"/>
  <c r="G658" i="1"/>
  <c r="F658" i="1"/>
  <c r="G657" i="1"/>
  <c r="F657" i="1"/>
  <c r="G654" i="1"/>
  <c r="F654" i="1"/>
  <c r="E654" i="1"/>
  <c r="G653" i="1"/>
  <c r="F653" i="1"/>
  <c r="E653" i="1"/>
  <c r="G652" i="1"/>
  <c r="F652" i="1"/>
  <c r="E652" i="1"/>
  <c r="G651" i="1"/>
  <c r="F651" i="1"/>
  <c r="G650" i="1"/>
  <c r="F650" i="1"/>
  <c r="G649" i="1"/>
  <c r="F649" i="1"/>
  <c r="G648" i="1"/>
  <c r="F648" i="1"/>
  <c r="G647" i="1"/>
  <c r="F647" i="1"/>
  <c r="G633" i="1"/>
  <c r="F633" i="1"/>
  <c r="E633" i="1"/>
  <c r="G632" i="1"/>
  <c r="F632" i="1"/>
  <c r="E632" i="1"/>
  <c r="G631" i="1"/>
  <c r="F631" i="1"/>
  <c r="E631" i="1"/>
  <c r="G630" i="1"/>
  <c r="F630" i="1"/>
  <c r="E630" i="1"/>
  <c r="G629" i="1"/>
  <c r="F629" i="1"/>
  <c r="G627" i="1"/>
  <c r="F627" i="1"/>
  <c r="G626" i="1"/>
  <c r="F626" i="1"/>
  <c r="G625" i="1"/>
  <c r="F625" i="1"/>
  <c r="G624" i="1"/>
  <c r="F624" i="1"/>
  <c r="G621" i="1"/>
  <c r="F621" i="1"/>
  <c r="E621" i="1"/>
  <c r="G620" i="1"/>
  <c r="G137" i="97" s="1"/>
  <c r="F620" i="1"/>
  <c r="F137" i="97" s="1"/>
  <c r="E620" i="1"/>
  <c r="E137" i="97" s="1"/>
  <c r="F619" i="1"/>
  <c r="F145" i="97" s="1"/>
  <c r="E619" i="1"/>
  <c r="E145" i="97" s="1"/>
  <c r="G618" i="1"/>
  <c r="F618" i="1"/>
  <c r="G617" i="1"/>
  <c r="F617" i="1"/>
  <c r="G616" i="1"/>
  <c r="F616" i="1"/>
  <c r="G614" i="1"/>
  <c r="F614" i="1"/>
  <c r="G613" i="1"/>
  <c r="G610" i="1"/>
  <c r="F610" i="1"/>
  <c r="E610" i="1"/>
  <c r="G609" i="1"/>
  <c r="F609" i="1"/>
  <c r="E609" i="1"/>
  <c r="G608" i="1"/>
  <c r="F608" i="1"/>
  <c r="E608" i="1"/>
  <c r="G607" i="1"/>
  <c r="F607" i="1"/>
  <c r="G606" i="1"/>
  <c r="F606" i="1"/>
  <c r="G605" i="1"/>
  <c r="F605" i="1"/>
  <c r="G604" i="1"/>
  <c r="F604" i="1"/>
  <c r="G603" i="1"/>
  <c r="F603" i="1"/>
  <c r="G600" i="1"/>
  <c r="F600" i="1"/>
  <c r="E600" i="1"/>
  <c r="G599" i="1"/>
  <c r="F599" i="1"/>
  <c r="E599" i="1"/>
  <c r="G598" i="1"/>
  <c r="F598" i="1"/>
  <c r="E598" i="1"/>
  <c r="G597" i="1"/>
  <c r="F597" i="1"/>
  <c r="G596" i="1"/>
  <c r="F596" i="1"/>
  <c r="G595" i="1"/>
  <c r="F595" i="1"/>
  <c r="G592" i="1"/>
  <c r="F592" i="1"/>
  <c r="E592" i="1"/>
  <c r="G591" i="1"/>
  <c r="F591" i="1"/>
  <c r="E591" i="1"/>
  <c r="G590" i="1"/>
  <c r="F590" i="1"/>
  <c r="E590" i="1"/>
  <c r="G589" i="1"/>
  <c r="F589" i="1"/>
  <c r="G588" i="1"/>
  <c r="F588" i="1"/>
  <c r="G587" i="1"/>
  <c r="G586" i="1"/>
  <c r="F586" i="1"/>
  <c r="G585" i="1"/>
  <c r="F585" i="1"/>
  <c r="G582" i="1"/>
  <c r="F582" i="1"/>
  <c r="E582" i="1"/>
  <c r="G581" i="1"/>
  <c r="F581" i="1"/>
  <c r="E581" i="1"/>
  <c r="G580" i="1"/>
  <c r="F580" i="1"/>
  <c r="E580" i="1"/>
  <c r="G579" i="1"/>
  <c r="F579" i="1"/>
  <c r="G578" i="1"/>
  <c r="F578" i="1"/>
  <c r="G577" i="1"/>
  <c r="F577" i="1"/>
  <c r="G576" i="1"/>
  <c r="F576" i="1"/>
  <c r="G575" i="1"/>
  <c r="F575" i="1"/>
  <c r="G572" i="1"/>
  <c r="F572" i="1"/>
  <c r="E572" i="1"/>
  <c r="G571" i="1"/>
  <c r="F571" i="1"/>
  <c r="E571" i="1"/>
  <c r="G570" i="1"/>
  <c r="F570" i="1"/>
  <c r="E570" i="1"/>
  <c r="G569" i="1"/>
  <c r="G568" i="1"/>
  <c r="F568" i="1"/>
  <c r="G567" i="1"/>
  <c r="F567" i="1"/>
  <c r="G565" i="1"/>
  <c r="F565" i="1"/>
  <c r="E565" i="1"/>
  <c r="G564" i="1"/>
  <c r="F564" i="1"/>
  <c r="E564" i="1"/>
  <c r="G563" i="1"/>
  <c r="F563" i="1"/>
  <c r="E563" i="1"/>
  <c r="G562" i="1"/>
  <c r="F562" i="1"/>
  <c r="E562" i="1"/>
  <c r="G561" i="1"/>
  <c r="F561" i="1"/>
  <c r="E561" i="1"/>
  <c r="G560" i="1"/>
  <c r="F560" i="1"/>
  <c r="E560" i="1"/>
  <c r="G559" i="1"/>
  <c r="F559" i="1"/>
  <c r="G558" i="1"/>
  <c r="F558" i="1"/>
  <c r="G557" i="1"/>
  <c r="F557" i="1"/>
  <c r="G556" i="1"/>
  <c r="F556" i="1"/>
  <c r="G555" i="1"/>
  <c r="F555" i="1"/>
  <c r="G554" i="1"/>
  <c r="F554" i="1"/>
  <c r="G553" i="1"/>
  <c r="F553" i="1"/>
  <c r="G552" i="1"/>
  <c r="F552" i="1"/>
  <c r="G551" i="1"/>
  <c r="F551" i="1"/>
  <c r="G549" i="1"/>
  <c r="F549" i="1"/>
  <c r="E549" i="1"/>
  <c r="G548" i="1"/>
  <c r="F548" i="1"/>
  <c r="E548" i="1"/>
  <c r="G547" i="1"/>
  <c r="F547" i="1"/>
  <c r="E547" i="1"/>
  <c r="G546" i="1"/>
  <c r="F546" i="1"/>
  <c r="E546" i="1"/>
  <c r="G545" i="1"/>
  <c r="F545" i="1"/>
  <c r="E545" i="1"/>
  <c r="G544" i="1"/>
  <c r="F544" i="1"/>
  <c r="E544" i="1"/>
  <c r="G543" i="1"/>
  <c r="F543" i="1"/>
  <c r="G542" i="1"/>
  <c r="F542" i="1"/>
  <c r="G541" i="1"/>
  <c r="F541" i="1"/>
  <c r="G540" i="1"/>
  <c r="F540" i="1"/>
  <c r="G539" i="1"/>
  <c r="F539" i="1"/>
  <c r="G538" i="1"/>
  <c r="F538" i="1"/>
  <c r="G537" i="1"/>
  <c r="F537" i="1"/>
  <c r="G536" i="1"/>
  <c r="F536" i="1"/>
  <c r="G535" i="1"/>
  <c r="F535" i="1"/>
  <c r="G531" i="1"/>
  <c r="F531" i="1"/>
  <c r="E531" i="1"/>
  <c r="G528" i="1"/>
  <c r="F528" i="1"/>
  <c r="G527" i="1"/>
  <c r="F527" i="1"/>
  <c r="E527" i="1"/>
  <c r="G522" i="1"/>
  <c r="F522" i="1"/>
  <c r="E522" i="1"/>
  <c r="G521" i="1"/>
  <c r="F521" i="1"/>
  <c r="E521" i="1"/>
  <c r="G520" i="1"/>
  <c r="F520" i="1"/>
  <c r="E520" i="1"/>
  <c r="G517" i="1"/>
  <c r="F517" i="1"/>
  <c r="G516" i="1"/>
  <c r="F516" i="1"/>
  <c r="G515" i="1"/>
  <c r="F515" i="1"/>
  <c r="E515" i="1"/>
  <c r="G514" i="1"/>
  <c r="F514" i="1"/>
  <c r="E514" i="1"/>
  <c r="G510" i="1"/>
  <c r="F510" i="1"/>
  <c r="E510" i="1"/>
  <c r="G507" i="1"/>
  <c r="F507" i="1"/>
  <c r="G506" i="1"/>
  <c r="F506" i="1"/>
  <c r="E506" i="1"/>
  <c r="G501" i="1"/>
  <c r="F501" i="1"/>
  <c r="E501" i="1"/>
  <c r="G498" i="1"/>
  <c r="F498" i="1"/>
  <c r="E498" i="1"/>
  <c r="G497" i="1"/>
  <c r="F497" i="1"/>
  <c r="G496" i="1"/>
  <c r="F496" i="1"/>
  <c r="E496" i="1"/>
  <c r="G491" i="1"/>
  <c r="F491" i="1"/>
  <c r="E491" i="1"/>
  <c r="G488" i="1"/>
  <c r="F488" i="1"/>
  <c r="E488" i="1"/>
  <c r="G487" i="1"/>
  <c r="F487" i="1"/>
  <c r="G486" i="1"/>
  <c r="F486" i="1"/>
  <c r="E486" i="1"/>
  <c r="G481" i="1"/>
  <c r="F481" i="1"/>
  <c r="E481" i="1"/>
  <c r="G480" i="1"/>
  <c r="F480" i="1"/>
  <c r="E480" i="1"/>
  <c r="G477" i="1"/>
  <c r="F477" i="1"/>
  <c r="G476" i="1"/>
  <c r="F476" i="1"/>
  <c r="G475" i="1"/>
  <c r="F475" i="1"/>
  <c r="E475" i="1"/>
  <c r="G474" i="1"/>
  <c r="F474" i="1"/>
  <c r="E474" i="1"/>
  <c r="G470" i="1"/>
  <c r="F470" i="1"/>
  <c r="E470" i="1"/>
  <c r="G467" i="1"/>
  <c r="F467" i="1"/>
  <c r="G466" i="1"/>
  <c r="F466" i="1"/>
  <c r="E466" i="1"/>
  <c r="G462" i="1"/>
  <c r="F462" i="1"/>
  <c r="E462" i="1"/>
  <c r="G459" i="1"/>
  <c r="F459" i="1"/>
  <c r="G458" i="1"/>
  <c r="F458" i="1"/>
  <c r="E458" i="1"/>
  <c r="G457" i="1"/>
  <c r="F457" i="1"/>
  <c r="E457" i="1"/>
  <c r="G453" i="1"/>
  <c r="F453" i="1"/>
  <c r="E453" i="1"/>
  <c r="G450" i="1"/>
  <c r="F450" i="1"/>
  <c r="G449" i="1"/>
  <c r="F449" i="1"/>
  <c r="E449"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34" i="97" s="1"/>
  <c r="F375" i="1"/>
  <c r="F134" i="97" s="1"/>
  <c r="E375" i="1"/>
  <c r="E134" i="97" s="1"/>
  <c r="G374" i="1"/>
  <c r="F374" i="1"/>
  <c r="E374" i="1"/>
  <c r="G373" i="1"/>
  <c r="F373" i="1"/>
  <c r="E373" i="1"/>
  <c r="G372" i="1"/>
  <c r="F372" i="1"/>
  <c r="E372" i="1"/>
  <c r="G371" i="1"/>
  <c r="F371" i="1"/>
  <c r="E371" i="1"/>
  <c r="G370" i="1"/>
  <c r="G196" i="97" s="1"/>
  <c r="E370" i="1"/>
  <c r="E196" i="97" s="1"/>
  <c r="G369" i="1"/>
  <c r="G54" i="97" s="1"/>
  <c r="F369" i="1"/>
  <c r="F54" i="97" s="1"/>
  <c r="E369" i="1"/>
  <c r="E54" i="97" s="1"/>
  <c r="G368" i="1"/>
  <c r="G53" i="97" s="1"/>
  <c r="F368" i="1"/>
  <c r="F53" i="97" s="1"/>
  <c r="E368" i="1"/>
  <c r="E53" i="97" s="1"/>
  <c r="G367" i="1"/>
  <c r="F367" i="1"/>
  <c r="E367" i="1"/>
  <c r="G366" i="1"/>
  <c r="F366" i="1"/>
  <c r="E366" i="1"/>
  <c r="G364" i="1"/>
  <c r="E364" i="1"/>
  <c r="G362" i="1"/>
  <c r="E362" i="1"/>
  <c r="G359" i="1"/>
  <c r="G127" i="97" s="1"/>
  <c r="F359" i="1"/>
  <c r="F127" i="97" s="1"/>
  <c r="E359" i="1"/>
  <c r="E127" i="97" s="1"/>
  <c r="G358" i="1"/>
  <c r="G126" i="97" s="1"/>
  <c r="F358" i="1"/>
  <c r="F126" i="97" s="1"/>
  <c r="E358" i="1"/>
  <c r="E126" i="97" s="1"/>
  <c r="G357" i="1"/>
  <c r="G125" i="97" s="1"/>
  <c r="F357" i="1"/>
  <c r="F125" i="97" s="1"/>
  <c r="E357" i="1"/>
  <c r="E125"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25" i="1"/>
  <c r="P1625" i="1" s="1"/>
  <c r="C1625" i="1" s="1"/>
  <c r="H1601" i="1"/>
  <c r="P1601" i="1" s="1"/>
  <c r="C1601" i="1" s="1"/>
  <c r="H1629" i="1"/>
  <c r="P1629" i="1" s="1"/>
  <c r="C1629" i="1" s="1"/>
  <c r="H1628" i="1"/>
  <c r="P1628" i="1" s="1"/>
  <c r="C1628" i="1" s="1"/>
  <c r="H1627" i="1"/>
  <c r="P1627" i="1" s="1"/>
  <c r="C1627" i="1" s="1"/>
  <c r="J2250" i="1"/>
  <c r="J2251" i="1"/>
  <c r="H1626" i="1"/>
  <c r="P1626" i="1" s="1"/>
  <c r="C1626" i="1" s="1"/>
  <c r="H1594" i="1"/>
  <c r="P1594" i="1" s="1"/>
  <c r="C1594" i="1" s="1"/>
  <c r="R1164" i="1"/>
  <c r="G2" i="94"/>
  <c r="O2" i="93"/>
  <c r="D9" i="94"/>
  <c r="E9" i="94" s="1"/>
  <c r="A26" i="92"/>
  <c r="Q9" i="92"/>
  <c r="K2" i="92"/>
  <c r="C52" i="91"/>
  <c r="K2" i="91"/>
  <c r="C53" i="91"/>
  <c r="C15" i="91"/>
  <c r="C16" i="91"/>
  <c r="C17" i="91"/>
  <c r="C18" i="91"/>
  <c r="C19" i="91"/>
  <c r="C20" i="91"/>
  <c r="C21" i="91"/>
  <c r="C22" i="91"/>
  <c r="C23" i="91"/>
  <c r="C24" i="91"/>
  <c r="C25" i="91"/>
  <c r="C26" i="91"/>
  <c r="H2134" i="1"/>
  <c r="P2134" i="1" s="1"/>
  <c r="C2134" i="1" s="1"/>
  <c r="H2102" i="1"/>
  <c r="P2102" i="1" s="1"/>
  <c r="C2102" i="1" s="1"/>
  <c r="H2084" i="1"/>
  <c r="P2084" i="1" s="1"/>
  <c r="C2084" i="1" s="1"/>
  <c r="H2083" i="1"/>
  <c r="P2083" i="1" s="1"/>
  <c r="C2083"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27" i="1" s="1"/>
  <c r="N2127"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072" i="1" s="1"/>
  <c r="N2072" i="1" s="1"/>
  <c r="CS337" i="20"/>
  <c r="CS341" i="20" s="1"/>
  <c r="D2071" i="1" s="1"/>
  <c r="H2071" i="1" s="1"/>
  <c r="P2071" i="1" s="1"/>
  <c r="C2071" i="1" s="1"/>
  <c r="CT337" i="20"/>
  <c r="CT341" i="20" s="1"/>
  <c r="CU337" i="20"/>
  <c r="CU341" i="20" s="1"/>
  <c r="D2073" i="1" s="1"/>
  <c r="CV337" i="20"/>
  <c r="CW337" i="20"/>
  <c r="CX337" i="20"/>
  <c r="CY337" i="20"/>
  <c r="CY341" i="20" s="1"/>
  <c r="D2101" i="1" s="1"/>
  <c r="H2101" i="1" s="1"/>
  <c r="P2101" i="1" s="1"/>
  <c r="C2101" i="1" s="1"/>
  <c r="CZ337" i="20"/>
  <c r="CZ341" i="20" s="1"/>
  <c r="D2100" i="1" s="1"/>
  <c r="N2100" i="1" s="1"/>
  <c r="DA337" i="20"/>
  <c r="DB337" i="20"/>
  <c r="DB341" i="20" s="1"/>
  <c r="DC337" i="20"/>
  <c r="DD337" i="20"/>
  <c r="D2091" i="1" s="1"/>
  <c r="H2091" i="1" s="1"/>
  <c r="P2091" i="1" s="1"/>
  <c r="C2091" i="1" s="1"/>
  <c r="DE337" i="20"/>
  <c r="DE341" i="20" s="1"/>
  <c r="DF337" i="20"/>
  <c r="DF341" i="20" s="1"/>
  <c r="DG337" i="20"/>
  <c r="DH337" i="20"/>
  <c r="DI337" i="20"/>
  <c r="DI341" i="20" s="1"/>
  <c r="DJ337" i="20"/>
  <c r="DK337" i="20"/>
  <c r="DK341" i="20" s="1"/>
  <c r="D2064"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03" i="1"/>
  <c r="P2103" i="1" s="1"/>
  <c r="C2103" i="1" s="1"/>
  <c r="H2106" i="1"/>
  <c r="P2106" i="1" s="1"/>
  <c r="C2106" i="1" s="1"/>
  <c r="H2104" i="1"/>
  <c r="P2104" i="1" s="1"/>
  <c r="C2104" i="1" s="1"/>
  <c r="H2105" i="1"/>
  <c r="P2105" i="1" s="1"/>
  <c r="C2105" i="1" s="1"/>
  <c r="D585" i="1"/>
  <c r="M585" i="1" s="1"/>
  <c r="A2" i="94"/>
  <c r="A2" i="93"/>
  <c r="A2" i="92"/>
  <c r="D2227" i="1"/>
  <c r="H2227" i="1" s="1"/>
  <c r="P2227" i="1" s="1"/>
  <c r="C2227"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52" i="1"/>
  <c r="E2062" i="1"/>
  <c r="E2061" i="1"/>
  <c r="D2061" i="1" s="1"/>
  <c r="E2059" i="1"/>
  <c r="E2057" i="1"/>
  <c r="D2057" i="1" s="1"/>
  <c r="E2055" i="1"/>
  <c r="D2137" i="1" s="1"/>
  <c r="E2054" i="1"/>
  <c r="C349" i="20"/>
  <c r="E2058" i="1" s="1"/>
  <c r="D2142" i="1" s="1"/>
  <c r="H2142" i="1" s="1"/>
  <c r="P2142" i="1" s="1"/>
  <c r="C2142" i="1" s="1"/>
  <c r="DU343" i="20"/>
  <c r="DU344" i="20" s="1"/>
  <c r="X343" i="20"/>
  <c r="H1253" i="23"/>
  <c r="H1503" i="23"/>
  <c r="N1549" i="23"/>
  <c r="O1549" i="23"/>
  <c r="H1555" i="23"/>
  <c r="N1555" i="23"/>
  <c r="O1555" i="23"/>
  <c r="H1650" i="23"/>
  <c r="H1656" i="23" s="1"/>
  <c r="H2850" i="23"/>
  <c r="H2849" i="23"/>
  <c r="H2843" i="23"/>
  <c r="H2844" i="23"/>
  <c r="H2847" i="23"/>
  <c r="H2846" i="23"/>
  <c r="H2845"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53" i="1"/>
  <c r="D454" i="1" s="1"/>
  <c r="D462" i="1"/>
  <c r="D463" i="1" s="1"/>
  <c r="D470" i="1"/>
  <c r="D471" i="1" s="1"/>
  <c r="D491" i="1"/>
  <c r="D492" i="1" s="1"/>
  <c r="D493" i="1"/>
  <c r="D501" i="1"/>
  <c r="D502" i="1" s="1"/>
  <c r="D503" i="1"/>
  <c r="D480" i="1"/>
  <c r="D483" i="1" s="1"/>
  <c r="D481" i="1"/>
  <c r="D482" i="1"/>
  <c r="D510" i="1"/>
  <c r="D511" i="1" s="1"/>
  <c r="D520" i="1"/>
  <c r="D521" i="1"/>
  <c r="D523" i="1"/>
  <c r="D524" i="1"/>
  <c r="D603" i="1"/>
  <c r="D608" i="1" s="1"/>
  <c r="D609" i="1"/>
  <c r="D619" i="1"/>
  <c r="D145" i="97" s="1"/>
  <c r="D620" i="1"/>
  <c r="D137" i="97" s="1"/>
  <c r="D631" i="1"/>
  <c r="D647" i="1"/>
  <c r="J647" i="1" s="1"/>
  <c r="D653" i="1"/>
  <c r="D657" i="1"/>
  <c r="J657" i="1" s="1"/>
  <c r="D667" i="1"/>
  <c r="D670" i="1" s="1"/>
  <c r="D684" i="1"/>
  <c r="D692" i="1" s="1"/>
  <c r="D693" i="1"/>
  <c r="D695" i="1"/>
  <c r="D675" i="1"/>
  <c r="I675" i="1" s="1"/>
  <c r="D676" i="1"/>
  <c r="D757" i="1"/>
  <c r="D758" i="1"/>
  <c r="D759" i="1"/>
  <c r="D750" i="1"/>
  <c r="D751" i="1"/>
  <c r="D752" i="1"/>
  <c r="D811" i="1"/>
  <c r="J811" i="1" s="1"/>
  <c r="D812" i="1"/>
  <c r="D820" i="1"/>
  <c r="I820" i="1" s="1"/>
  <c r="D821" i="1"/>
  <c r="I821" i="1" s="1"/>
  <c r="M936" i="1"/>
  <c r="Q956" i="1"/>
  <c r="D964" i="1"/>
  <c r="J964" i="1" s="1"/>
  <c r="D965" i="1"/>
  <c r="N965" i="1" s="1"/>
  <c r="D790" i="1"/>
  <c r="I790" i="1" s="1"/>
  <c r="D791" i="1"/>
  <c r="N791" i="1" s="1"/>
  <c r="M831" i="1"/>
  <c r="D840" i="1"/>
  <c r="D843" i="1"/>
  <c r="D849" i="1"/>
  <c r="I849" i="1" s="1"/>
  <c r="N800" i="1"/>
  <c r="D809" i="1"/>
  <c r="R809" i="1" s="1"/>
  <c r="Q857" i="1"/>
  <c r="D865" i="1"/>
  <c r="D877" i="1"/>
  <c r="D876" i="1" s="1"/>
  <c r="D878" i="1"/>
  <c r="D891" i="1"/>
  <c r="J891" i="1" s="1"/>
  <c r="D892" i="1"/>
  <c r="I892" i="1" s="1"/>
  <c r="D900" i="1"/>
  <c r="D901" i="1"/>
  <c r="N901" i="1" s="1"/>
  <c r="D908" i="1"/>
  <c r="D1054" i="1"/>
  <c r="D1061" i="1" s="1"/>
  <c r="D1060" i="1" s="1"/>
  <c r="D924" i="1"/>
  <c r="M924" i="1" s="1"/>
  <c r="D925" i="1"/>
  <c r="I925" i="1" s="1"/>
  <c r="D975" i="1"/>
  <c r="D979" i="1" s="1"/>
  <c r="D978" i="1" s="1"/>
  <c r="J978" i="1" s="1"/>
  <c r="D982" i="1"/>
  <c r="D988" i="1"/>
  <c r="D990" i="1"/>
  <c r="J990" i="1" s="1"/>
  <c r="D993" i="1"/>
  <c r="H993" i="1" s="1"/>
  <c r="D997" i="1"/>
  <c r="D1005" i="1"/>
  <c r="D1006" i="1"/>
  <c r="J1006" i="1" s="1"/>
  <c r="D1007" i="1"/>
  <c r="D1025" i="1"/>
  <c r="I1025" i="1" s="1"/>
  <c r="D1026" i="1"/>
  <c r="I1026" i="1" s="1"/>
  <c r="D1027" i="1"/>
  <c r="J1027" i="1" s="1"/>
  <c r="D1035" i="1"/>
  <c r="J1035" i="1" s="1"/>
  <c r="D1036" i="1"/>
  <c r="I1036" i="1" s="1"/>
  <c r="D1044" i="1"/>
  <c r="D1045" i="1"/>
  <c r="J1045" i="1" s="1"/>
  <c r="D1064" i="1"/>
  <c r="D1074" i="1"/>
  <c r="J1074" i="1" s="1"/>
  <c r="D1086" i="1"/>
  <c r="D1085" i="1" s="1"/>
  <c r="D852" i="1"/>
  <c r="H852" i="1" s="1"/>
  <c r="C852" i="1" s="1"/>
  <c r="D1134" i="1"/>
  <c r="D1145" i="1" s="1"/>
  <c r="D1144" i="1"/>
  <c r="D1154" i="1"/>
  <c r="D1167" i="1"/>
  <c r="D151" i="97" s="1"/>
  <c r="R1168" i="1"/>
  <c r="D1201" i="1"/>
  <c r="D1376" i="1"/>
  <c r="D1425" i="1"/>
  <c r="D1434" i="1"/>
  <c r="D1443" i="1"/>
  <c r="D1452" i="1"/>
  <c r="D1461" i="1"/>
  <c r="D1470" i="1"/>
  <c r="D1479" i="1"/>
  <c r="D1488" i="1"/>
  <c r="D1751" i="1"/>
  <c r="K1751" i="1" s="1"/>
  <c r="D1752" i="1"/>
  <c r="D1753" i="1"/>
  <c r="H1753" i="1" s="1"/>
  <c r="P1753" i="1" s="1"/>
  <c r="C1753" i="1" s="1"/>
  <c r="D1754" i="1"/>
  <c r="H1754" i="1" s="1"/>
  <c r="P1754" i="1" s="1"/>
  <c r="C1754" i="1" s="1"/>
  <c r="D1755" i="1"/>
  <c r="H1755" i="1" s="1"/>
  <c r="P1755" i="1" s="1"/>
  <c r="C1755" i="1" s="1"/>
  <c r="D1756" i="1"/>
  <c r="H1756" i="1" s="1"/>
  <c r="P1756" i="1" s="1"/>
  <c r="C1756" i="1" s="1"/>
  <c r="D1759" i="1"/>
  <c r="K1759" i="1" s="1"/>
  <c r="D1760" i="1"/>
  <c r="D1761" i="1"/>
  <c r="H1761" i="1" s="1"/>
  <c r="P1761" i="1" s="1"/>
  <c r="C1761" i="1" s="1"/>
  <c r="D1762" i="1"/>
  <c r="K1762" i="1" s="1"/>
  <c r="D1763" i="1"/>
  <c r="H1763" i="1" s="1"/>
  <c r="P1763" i="1" s="1"/>
  <c r="C1763" i="1" s="1"/>
  <c r="D1764" i="1"/>
  <c r="D1765" i="1"/>
  <c r="D1767" i="1"/>
  <c r="D1768" i="1"/>
  <c r="H1768" i="1" s="1"/>
  <c r="P1768" i="1" s="1"/>
  <c r="C1768" i="1" s="1"/>
  <c r="D1769" i="1"/>
  <c r="H1781" i="1"/>
  <c r="P1781" i="1" s="1"/>
  <c r="C1781" i="1" s="1"/>
  <c r="H1811" i="1"/>
  <c r="P1811" i="1" s="1"/>
  <c r="C1811" i="1" s="1"/>
  <c r="H1814" i="1"/>
  <c r="P1814" i="1" s="1"/>
  <c r="C1814" i="1" s="1"/>
  <c r="D1830" i="1"/>
  <c r="D1883" i="1"/>
  <c r="E230" i="42" s="1"/>
  <c r="D1884" i="1"/>
  <c r="E231" i="42" s="1"/>
  <c r="G231" i="42" s="1"/>
  <c r="D1885" i="1"/>
  <c r="E232" i="42" s="1"/>
  <c r="B232" i="42" s="1"/>
  <c r="D1886" i="1"/>
  <c r="E233" i="42" s="1"/>
  <c r="G233" i="42" s="1"/>
  <c r="D1887" i="1"/>
  <c r="E234" i="42" s="1"/>
  <c r="D1888" i="1"/>
  <c r="E235" i="42" s="1"/>
  <c r="D1908" i="1"/>
  <c r="H1908" i="1" s="1"/>
  <c r="D1909" i="1"/>
  <c r="H1909" i="1" s="1"/>
  <c r="D1910" i="1"/>
  <c r="H1910" i="1" s="1"/>
  <c r="D1911" i="1"/>
  <c r="H1911" i="1" s="1"/>
  <c r="D1912" i="1"/>
  <c r="H1912" i="1" s="1"/>
  <c r="D1913" i="1"/>
  <c r="H1913" i="1" s="1"/>
  <c r="D1915" i="1"/>
  <c r="H1915" i="1" s="1"/>
  <c r="D1917" i="1"/>
  <c r="H1917" i="1" s="1"/>
  <c r="D1918" i="1"/>
  <c r="H1918" i="1" s="1"/>
  <c r="D1919" i="1"/>
  <c r="H1919" i="1" s="1"/>
  <c r="D1920" i="1"/>
  <c r="H1920" i="1" s="1"/>
  <c r="D1921" i="1"/>
  <c r="H1921" i="1" s="1"/>
  <c r="D1922" i="1"/>
  <c r="H1922" i="1" s="1"/>
  <c r="D1923" i="1"/>
  <c r="H1923" i="1" s="1"/>
  <c r="D1924" i="1"/>
  <c r="H1924" i="1" s="1"/>
  <c r="D1946" i="1"/>
  <c r="D1744"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57" i="1"/>
  <c r="D2262" i="1"/>
  <c r="S35" i="61"/>
  <c r="S67" i="61"/>
  <c r="D65" i="1"/>
  <c r="GT53" i="16"/>
  <c r="GT95" i="16" s="1"/>
  <c r="GT184" i="16" s="1"/>
  <c r="D1624" i="1" s="1"/>
  <c r="K2362" i="1"/>
  <c r="K2361" i="1"/>
  <c r="K2360" i="1"/>
  <c r="K2359" i="1"/>
  <c r="K2358" i="1"/>
  <c r="K2357" i="1"/>
  <c r="K2356" i="1"/>
  <c r="K2355" i="1"/>
  <c r="K2352" i="1"/>
  <c r="K2350" i="1"/>
  <c r="K2349" i="1"/>
  <c r="K2348" i="1"/>
  <c r="K2347" i="1"/>
  <c r="K2346" i="1"/>
  <c r="K2345" i="1"/>
  <c r="K2344" i="1"/>
  <c r="K2343" i="1"/>
  <c r="K2342" i="1"/>
  <c r="K2341" i="1"/>
  <c r="K2338" i="1"/>
  <c r="K2336" i="1"/>
  <c r="K2335" i="1"/>
  <c r="K2334" i="1"/>
  <c r="K2333" i="1"/>
  <c r="K2332" i="1"/>
  <c r="K2331" i="1"/>
  <c r="K2330" i="1"/>
  <c r="K2329" i="1"/>
  <c r="K2328" i="1"/>
  <c r="K2327" i="1"/>
  <c r="L2324" i="1"/>
  <c r="H2324" i="1"/>
  <c r="P2324" i="1" s="1"/>
  <c r="C2324" i="1" s="1"/>
  <c r="L2323" i="1"/>
  <c r="H2323" i="1"/>
  <c r="P2323" i="1" s="1"/>
  <c r="C2323" i="1" s="1"/>
  <c r="L2322" i="1"/>
  <c r="H2322" i="1"/>
  <c r="P2322" i="1" s="1"/>
  <c r="C2322" i="1" s="1"/>
  <c r="L2321" i="1"/>
  <c r="H2321" i="1"/>
  <c r="P2321" i="1" s="1"/>
  <c r="C2321" i="1" s="1"/>
  <c r="H2273" i="1"/>
  <c r="P2273" i="1" s="1"/>
  <c r="C2273" i="1" s="1"/>
  <c r="H2272" i="1"/>
  <c r="P2272" i="1" s="1"/>
  <c r="C2272" i="1" s="1"/>
  <c r="H2271" i="1"/>
  <c r="P2271" i="1" s="1"/>
  <c r="C2271" i="1" s="1"/>
  <c r="H2270" i="1"/>
  <c r="P2270" i="1" s="1"/>
  <c r="C2270" i="1" s="1"/>
  <c r="H2269" i="1"/>
  <c r="P2269" i="1" s="1"/>
  <c r="C2269" i="1" s="1"/>
  <c r="H2268" i="1"/>
  <c r="P2268" i="1" s="1"/>
  <c r="C2268" i="1" s="1"/>
  <c r="I2266" i="1"/>
  <c r="H2266" i="1"/>
  <c r="P2266" i="1" s="1"/>
  <c r="C2266" i="1" s="1"/>
  <c r="I2265" i="1"/>
  <c r="H2265" i="1"/>
  <c r="P2265" i="1" s="1"/>
  <c r="C2265" i="1" s="1"/>
  <c r="I2264" i="1"/>
  <c r="H2264" i="1"/>
  <c r="P2264" i="1" s="1"/>
  <c r="C2264" i="1" s="1"/>
  <c r="I2263" i="1"/>
  <c r="H2263" i="1"/>
  <c r="P2263" i="1" s="1"/>
  <c r="C2263" i="1" s="1"/>
  <c r="I2261" i="1"/>
  <c r="H2261" i="1"/>
  <c r="P2261" i="1" s="1"/>
  <c r="C2261" i="1" s="1"/>
  <c r="I2260" i="1"/>
  <c r="H2260" i="1"/>
  <c r="P2260" i="1" s="1"/>
  <c r="C2260" i="1" s="1"/>
  <c r="I2259" i="1"/>
  <c r="H2259" i="1"/>
  <c r="P2259" i="1" s="1"/>
  <c r="C2259" i="1" s="1"/>
  <c r="I2258" i="1"/>
  <c r="H2258" i="1"/>
  <c r="P2258" i="1" s="1"/>
  <c r="C2258" i="1" s="1"/>
  <c r="J2255" i="1"/>
  <c r="H2255" i="1"/>
  <c r="P2255" i="1" s="1"/>
  <c r="C2255" i="1" s="1"/>
  <c r="J2254" i="1"/>
  <c r="H2254" i="1"/>
  <c r="P2254" i="1" s="1"/>
  <c r="C2254" i="1" s="1"/>
  <c r="J2252" i="1"/>
  <c r="H2252" i="1"/>
  <c r="P2252" i="1" s="1"/>
  <c r="C2252" i="1" s="1"/>
  <c r="J2244" i="1"/>
  <c r="H2244" i="1"/>
  <c r="P2244" i="1" s="1"/>
  <c r="C2244" i="1" s="1"/>
  <c r="J2243" i="1"/>
  <c r="H2243" i="1"/>
  <c r="P2243" i="1" s="1"/>
  <c r="C2243" i="1" s="1"/>
  <c r="J2242" i="1"/>
  <c r="H2242" i="1"/>
  <c r="P2242" i="1" s="1"/>
  <c r="C2242" i="1" s="1"/>
  <c r="J2241" i="1"/>
  <c r="H2241" i="1"/>
  <c r="P2241" i="1" s="1"/>
  <c r="C2241" i="1" s="1"/>
  <c r="J2240" i="1"/>
  <c r="H2240" i="1"/>
  <c r="P2240" i="1" s="1"/>
  <c r="C2240" i="1" s="1"/>
  <c r="J2239" i="1"/>
  <c r="H2239" i="1"/>
  <c r="P2239" i="1" s="1"/>
  <c r="C2239" i="1" s="1"/>
  <c r="J2238" i="1"/>
  <c r="H2238" i="1"/>
  <c r="P2238" i="1" s="1"/>
  <c r="C2238" i="1" s="1"/>
  <c r="D2211" i="1"/>
  <c r="H2211" i="1" s="1"/>
  <c r="P2211" i="1" s="1"/>
  <c r="C2211" i="1" s="1"/>
  <c r="Z35" i="61"/>
  <c r="Z67" i="61"/>
  <c r="AA35" i="61"/>
  <c r="AA67" i="61"/>
  <c r="AB35" i="61"/>
  <c r="AB67" i="61"/>
  <c r="AD35" i="61"/>
  <c r="AD67" i="61"/>
  <c r="D2205" i="1"/>
  <c r="H2205" i="1" s="1"/>
  <c r="P2205" i="1" s="1"/>
  <c r="C2205"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29" i="1"/>
  <c r="H2229" i="1" s="1"/>
  <c r="P2229" i="1" s="1"/>
  <c r="C2229" i="1" s="1"/>
  <c r="D2202" i="1"/>
  <c r="H2226" i="1"/>
  <c r="P2226" i="1" s="1"/>
  <c r="C2226" i="1" s="1"/>
  <c r="H2225" i="1"/>
  <c r="P2225" i="1" s="1"/>
  <c r="C2225" i="1" s="1"/>
  <c r="H2224" i="1"/>
  <c r="P2224" i="1" s="1"/>
  <c r="C2224" i="1" s="1"/>
  <c r="BL35" i="61"/>
  <c r="BL67" i="61"/>
  <c r="BI35" i="61"/>
  <c r="BI67" i="61"/>
  <c r="BH35" i="61"/>
  <c r="BH67" i="61"/>
  <c r="AP35" i="61"/>
  <c r="AP67" i="61"/>
  <c r="AO35" i="61"/>
  <c r="AO67" i="61"/>
  <c r="BJ35" i="61"/>
  <c r="BJ69" i="61" s="1"/>
  <c r="D2218" i="1" s="1"/>
  <c r="H2218" i="1" s="1"/>
  <c r="P2218" i="1" s="1"/>
  <c r="C2218" i="1" s="1"/>
  <c r="BJ67" i="61"/>
  <c r="BK35" i="61"/>
  <c r="BK67" i="61"/>
  <c r="H2216" i="1"/>
  <c r="P2216" i="1" s="1"/>
  <c r="C2216" i="1" s="1"/>
  <c r="BE35" i="61"/>
  <c r="BE67" i="61"/>
  <c r="BB35" i="61"/>
  <c r="BB67" i="61"/>
  <c r="H2213" i="1"/>
  <c r="P2213" i="1" s="1"/>
  <c r="C2213" i="1" s="1"/>
  <c r="D2206" i="1"/>
  <c r="D2207" i="1" s="1"/>
  <c r="D2204" i="1"/>
  <c r="H2204" i="1" s="1"/>
  <c r="P2204" i="1" s="1"/>
  <c r="C2204" i="1" s="1"/>
  <c r="D2203" i="1"/>
  <c r="H2203" i="1" s="1"/>
  <c r="P2203" i="1" s="1"/>
  <c r="C2203" i="1" s="1"/>
  <c r="H2201" i="1"/>
  <c r="P2201" i="1" s="1"/>
  <c r="C2201" i="1" s="1"/>
  <c r="D2194" i="1"/>
  <c r="H2194" i="1" s="1"/>
  <c r="P2194" i="1" s="1"/>
  <c r="C2194" i="1" s="1"/>
  <c r="I35" i="61"/>
  <c r="I67" i="61"/>
  <c r="E2157" i="1"/>
  <c r="D2157" i="1" s="1"/>
  <c r="D2173" i="1" s="1"/>
  <c r="H2173" i="1" s="1"/>
  <c r="E2158" i="1"/>
  <c r="D2176" i="1" s="1"/>
  <c r="D2163" i="1"/>
  <c r="EM181" i="16"/>
  <c r="EM163" i="16"/>
  <c r="EM154" i="16"/>
  <c r="EM148" i="16"/>
  <c r="EM139" i="16"/>
  <c r="EM131" i="16"/>
  <c r="EM119" i="16"/>
  <c r="EN181" i="16"/>
  <c r="EN163" i="16"/>
  <c r="EN154" i="16"/>
  <c r="EN148" i="16"/>
  <c r="EN139" i="16"/>
  <c r="EN131" i="16"/>
  <c r="EN119" i="16"/>
  <c r="D2166" i="1"/>
  <c r="H2166" i="1" s="1"/>
  <c r="M2166" i="1" s="1"/>
  <c r="S181" i="16"/>
  <c r="S163" i="16"/>
  <c r="S154" i="16"/>
  <c r="S148" i="16"/>
  <c r="S139" i="16"/>
  <c r="S131" i="16"/>
  <c r="S119" i="16"/>
  <c r="D2178" i="1"/>
  <c r="H2172" i="1"/>
  <c r="D2171" i="1"/>
  <c r="H2171" i="1" s="1"/>
  <c r="D2170" i="1"/>
  <c r="H2170" i="1" s="1"/>
  <c r="P2170" i="1" s="1"/>
  <c r="C2170" i="1" s="1"/>
  <c r="D2169" i="1"/>
  <c r="H2169" i="1" s="1"/>
  <c r="P2169" i="1" s="1"/>
  <c r="C2169" i="1" s="1"/>
  <c r="D2168" i="1"/>
  <c r="H2168" i="1" s="1"/>
  <c r="M2168" i="1" s="1"/>
  <c r="D2167" i="1"/>
  <c r="H2167" i="1" s="1"/>
  <c r="P2167" i="1" s="1"/>
  <c r="C2167" i="1" s="1"/>
  <c r="D2162" i="1"/>
  <c r="H2162" i="1" s="1"/>
  <c r="D2161" i="1"/>
  <c r="H2161" i="1" s="1"/>
  <c r="P200" i="16"/>
  <c r="E2160" i="1" s="1"/>
  <c r="D2160" i="1" s="1"/>
  <c r="H2160" i="1" s="1"/>
  <c r="P2160" i="1" s="1"/>
  <c r="C2160" i="1" s="1"/>
  <c r="D2159" i="1"/>
  <c r="H2159" i="1" s="1"/>
  <c r="P2159" i="1" s="1"/>
  <c r="C2159" i="1" s="1"/>
  <c r="D2151" i="1"/>
  <c r="D2063" i="1"/>
  <c r="D2138" i="1"/>
  <c r="N2135" i="1"/>
  <c r="H2135" i="1"/>
  <c r="P2135" i="1" s="1"/>
  <c r="C2135" i="1" s="1"/>
  <c r="N2132" i="1"/>
  <c r="H2132" i="1"/>
  <c r="P2132" i="1" s="1"/>
  <c r="C2132" i="1" s="1"/>
  <c r="D2056" i="1"/>
  <c r="H2056" i="1" s="1"/>
  <c r="P2056" i="1" s="1"/>
  <c r="C2056" i="1" s="1"/>
  <c r="N2121" i="1"/>
  <c r="H2121" i="1"/>
  <c r="P2121" i="1" s="1"/>
  <c r="C2121" i="1" s="1"/>
  <c r="N2120" i="1"/>
  <c r="H2120" i="1"/>
  <c r="P2120" i="1" s="1"/>
  <c r="C2120" i="1" s="1"/>
  <c r="N2119" i="1"/>
  <c r="H2119" i="1"/>
  <c r="P2119" i="1" s="1"/>
  <c r="C2119" i="1" s="1"/>
  <c r="N2118" i="1"/>
  <c r="H2118" i="1"/>
  <c r="P2118" i="1" s="1"/>
  <c r="C2118" i="1" s="1"/>
  <c r="N2117" i="1"/>
  <c r="H2117" i="1"/>
  <c r="P2117" i="1" s="1"/>
  <c r="C2117" i="1" s="1"/>
  <c r="N2116" i="1"/>
  <c r="H2116" i="1"/>
  <c r="P2116" i="1" s="1"/>
  <c r="C2116" i="1" s="1"/>
  <c r="N2115" i="1"/>
  <c r="H2115" i="1"/>
  <c r="P2115" i="1" s="1"/>
  <c r="C2115" i="1" s="1"/>
  <c r="N2114" i="1"/>
  <c r="H2114" i="1"/>
  <c r="P2114" i="1" s="1"/>
  <c r="C2114" i="1" s="1"/>
  <c r="N2113" i="1"/>
  <c r="H2113" i="1"/>
  <c r="P2113" i="1" s="1"/>
  <c r="C2113" i="1" s="1"/>
  <c r="N2112" i="1"/>
  <c r="H2112" i="1"/>
  <c r="P2112" i="1" s="1"/>
  <c r="C2112" i="1" s="1"/>
  <c r="N2070" i="1"/>
  <c r="H2070" i="1"/>
  <c r="P2070" i="1" s="1"/>
  <c r="C2070" i="1" s="1"/>
  <c r="N2069" i="1"/>
  <c r="H2069" i="1"/>
  <c r="P2069" i="1" s="1"/>
  <c r="C2069" i="1" s="1"/>
  <c r="N2068" i="1"/>
  <c r="H2068" i="1"/>
  <c r="P2068" i="1" s="1"/>
  <c r="C2068" i="1" s="1"/>
  <c r="N2067" i="1"/>
  <c r="H2067" i="1"/>
  <c r="P2067" i="1" s="1"/>
  <c r="C2067" i="1" s="1"/>
  <c r="N2066" i="1"/>
  <c r="H2066" i="1"/>
  <c r="P2066" i="1" s="1"/>
  <c r="C2066" i="1" s="1"/>
  <c r="N2065" i="1"/>
  <c r="H2065" i="1"/>
  <c r="P2065" i="1" s="1"/>
  <c r="C2065" i="1" s="1"/>
  <c r="D2007" i="1"/>
  <c r="D2028" i="1"/>
  <c r="H2028" i="1" s="1"/>
  <c r="D2022" i="1"/>
  <c r="H2022" i="1" s="1"/>
  <c r="K2009" i="1"/>
  <c r="L2006" i="1"/>
  <c r="H1828" i="1"/>
  <c r="P1828" i="1" s="1"/>
  <c r="C1828" i="1" s="1"/>
  <c r="H1827" i="1"/>
  <c r="P1827" i="1" s="1"/>
  <c r="C1827" i="1" s="1"/>
  <c r="H1813" i="1"/>
  <c r="P1813" i="1" s="1"/>
  <c r="C1813" i="1" s="1"/>
  <c r="H1805" i="1"/>
  <c r="P1805" i="1" s="1"/>
  <c r="C1805" i="1" s="1"/>
  <c r="E1631" i="1"/>
  <c r="D1631" i="1" s="1"/>
  <c r="H1631" i="1" s="1"/>
  <c r="P1631" i="1" s="1"/>
  <c r="C1631" i="1" s="1"/>
  <c r="E1632" i="1"/>
  <c r="D1725" i="1" s="1"/>
  <c r="E1633" i="1"/>
  <c r="D1633" i="1" s="1"/>
  <c r="E1634" i="1"/>
  <c r="D1727" i="1" s="1"/>
  <c r="C86" i="17"/>
  <c r="L86" i="17" s="1"/>
  <c r="E1635" i="1"/>
  <c r="D1728" i="1" s="1"/>
  <c r="E1636" i="1"/>
  <c r="D1719" i="1" s="1"/>
  <c r="E1638" i="1"/>
  <c r="D1736" i="1" s="1"/>
  <c r="D1639" i="1"/>
  <c r="H1639" i="1" s="1"/>
  <c r="P1639" i="1" s="1"/>
  <c r="C1639" i="1" s="1"/>
  <c r="E1640" i="1"/>
  <c r="E1641" i="1"/>
  <c r="D1733" i="1" s="1"/>
  <c r="E1642" i="1"/>
  <c r="F129" i="42" s="1"/>
  <c r="E1643" i="1"/>
  <c r="D1731" i="1" s="1"/>
  <c r="D1710" i="1"/>
  <c r="I1710" i="1" s="1"/>
  <c r="D1644" i="1"/>
  <c r="I1644" i="1" s="1"/>
  <c r="D1647" i="1"/>
  <c r="D1648" i="1" s="1"/>
  <c r="D1651" i="1"/>
  <c r="D1656" i="1"/>
  <c r="H1656" i="1" s="1"/>
  <c r="P1656" i="1" s="1"/>
  <c r="C1656" i="1" s="1"/>
  <c r="D1659" i="1"/>
  <c r="D1663" i="1"/>
  <c r="D1666" i="1" s="1"/>
  <c r="D1674" i="1"/>
  <c r="D1668" i="1"/>
  <c r="D1682" i="1"/>
  <c r="D1683" i="1"/>
  <c r="I1683" i="1" s="1"/>
  <c r="D1735" i="1"/>
  <c r="C84" i="17"/>
  <c r="D1721" i="1"/>
  <c r="H1721" i="1" s="1"/>
  <c r="I1721" i="1" s="1"/>
  <c r="D1704" i="1"/>
  <c r="H1704" i="1" s="1"/>
  <c r="P1704" i="1" s="1"/>
  <c r="C1704" i="1" s="1"/>
  <c r="D1705" i="1"/>
  <c r="D1706" i="1"/>
  <c r="I1706" i="1" s="1"/>
  <c r="D1708" i="1"/>
  <c r="H1708" i="1" s="1"/>
  <c r="P1708" i="1" s="1"/>
  <c r="C1708" i="1" s="1"/>
  <c r="I1707" i="1"/>
  <c r="H1707" i="1"/>
  <c r="P1707" i="1" s="1"/>
  <c r="C1707" i="1" s="1"/>
  <c r="I1703" i="1"/>
  <c r="H1703" i="1"/>
  <c r="P1703" i="1" s="1"/>
  <c r="C1703" i="1" s="1"/>
  <c r="D1702" i="1"/>
  <c r="H1702" i="1" s="1"/>
  <c r="P1702" i="1" s="1"/>
  <c r="C1702" i="1" s="1"/>
  <c r="D1701" i="1"/>
  <c r="H1701" i="1" s="1"/>
  <c r="P1701" i="1" s="1"/>
  <c r="C1701" i="1" s="1"/>
  <c r="D1700" i="1"/>
  <c r="I1699" i="1"/>
  <c r="H1699" i="1"/>
  <c r="P1699" i="1" s="1"/>
  <c r="C1699" i="1" s="1"/>
  <c r="D1698" i="1"/>
  <c r="H1698" i="1" s="1"/>
  <c r="P1698" i="1" s="1"/>
  <c r="C1698" i="1" s="1"/>
  <c r="D1697" i="1"/>
  <c r="I1697" i="1" s="1"/>
  <c r="D1696" i="1"/>
  <c r="I1696" i="1" s="1"/>
  <c r="I1695" i="1"/>
  <c r="H1695" i="1"/>
  <c r="P1695" i="1" s="1"/>
  <c r="C1695" i="1" s="1"/>
  <c r="I1694" i="1"/>
  <c r="H1694" i="1"/>
  <c r="P1694" i="1" s="1"/>
  <c r="C1694" i="1" s="1"/>
  <c r="I1693" i="1"/>
  <c r="H1693" i="1"/>
  <c r="P1693" i="1" s="1"/>
  <c r="C1693" i="1" s="1"/>
  <c r="I1692" i="1"/>
  <c r="H1692" i="1"/>
  <c r="P1692" i="1" s="1"/>
  <c r="C1692" i="1" s="1"/>
  <c r="D1691" i="1"/>
  <c r="I1691" i="1" s="1"/>
  <c r="D1689" i="1"/>
  <c r="H1689" i="1" s="1"/>
  <c r="P1689" i="1" s="1"/>
  <c r="C1689" i="1" s="1"/>
  <c r="D1688" i="1"/>
  <c r="D1687" i="1"/>
  <c r="I1687" i="1" s="1"/>
  <c r="D1686" i="1"/>
  <c r="D1685" i="1"/>
  <c r="D1684" i="1"/>
  <c r="H1684" i="1" s="1"/>
  <c r="P1684" i="1" s="1"/>
  <c r="C1684" i="1" s="1"/>
  <c r="D1681" i="1"/>
  <c r="I1681" i="1" s="1"/>
  <c r="D1676" i="1"/>
  <c r="D1677" i="1" s="1"/>
  <c r="D1675" i="1"/>
  <c r="I1673" i="1"/>
  <c r="H1673" i="1"/>
  <c r="P1673" i="1" s="1"/>
  <c r="C1673" i="1" s="1"/>
  <c r="D1672" i="1"/>
  <c r="I1672" i="1" s="1"/>
  <c r="D1671" i="1"/>
  <c r="D1670" i="1"/>
  <c r="I1670" i="1" s="1"/>
  <c r="D1669" i="1"/>
  <c r="H1669" i="1" s="1"/>
  <c r="P1669" i="1" s="1"/>
  <c r="C1669" i="1" s="1"/>
  <c r="I1667" i="1"/>
  <c r="H1667" i="1"/>
  <c r="P1667" i="1" s="1"/>
  <c r="C1667" i="1" s="1"/>
  <c r="E1493" i="1"/>
  <c r="D1603" i="1" s="1"/>
  <c r="E1494" i="1"/>
  <c r="E1495" i="1"/>
  <c r="D1600" i="1" s="1"/>
  <c r="D1496" i="1"/>
  <c r="J1496" i="1" s="1"/>
  <c r="E1497" i="1"/>
  <c r="D1598" i="1" s="1"/>
  <c r="E1498" i="1"/>
  <c r="D1499" i="1"/>
  <c r="E1501" i="1"/>
  <c r="D1501" i="1" s="1"/>
  <c r="E1502" i="1"/>
  <c r="E1503" i="1"/>
  <c r="D1503" i="1" s="1"/>
  <c r="E1504" i="1"/>
  <c r="D1590" i="1" s="1"/>
  <c r="J1590" i="1" s="1"/>
  <c r="E1505" i="1"/>
  <c r="E1506" i="1"/>
  <c r="F112" i="31" s="1"/>
  <c r="D1585"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10" i="1"/>
  <c r="D1611" i="1" s="1"/>
  <c r="D1599" i="1"/>
  <c r="J1595" i="1"/>
  <c r="H1595" i="1"/>
  <c r="P1595" i="1" s="1"/>
  <c r="C1595" i="1" s="1"/>
  <c r="D1587" i="1"/>
  <c r="E187" i="31" s="1"/>
  <c r="BP181" i="16"/>
  <c r="BP163" i="16"/>
  <c r="BP154" i="16"/>
  <c r="BP148" i="16"/>
  <c r="BP139" i="16"/>
  <c r="BP131" i="16"/>
  <c r="BP119" i="16"/>
  <c r="BP94" i="16"/>
  <c r="BP86" i="16"/>
  <c r="BP53" i="16"/>
  <c r="BP29" i="16"/>
  <c r="D1584" i="1"/>
  <c r="J1583" i="1"/>
  <c r="H1583" i="1"/>
  <c r="P1583" i="1" s="1"/>
  <c r="C1583"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80" i="1"/>
  <c r="H1580" i="1"/>
  <c r="P1580" i="1" s="1"/>
  <c r="C1580" i="1" s="1"/>
  <c r="DV94" i="16"/>
  <c r="DV86" i="16"/>
  <c r="DV53" i="16"/>
  <c r="DV29" i="16"/>
  <c r="J1574" i="1"/>
  <c r="H1574" i="1"/>
  <c r="P1574" i="1" s="1"/>
  <c r="C1574" i="1" s="1"/>
  <c r="DU94" i="16"/>
  <c r="DU86" i="16"/>
  <c r="DU53" i="16"/>
  <c r="DU29" i="16"/>
  <c r="DS94" i="16"/>
  <c r="DS86" i="16"/>
  <c r="DS53" i="16"/>
  <c r="DS29" i="16"/>
  <c r="DR94" i="16"/>
  <c r="DR86" i="16"/>
  <c r="DR53" i="16"/>
  <c r="DR29" i="16"/>
  <c r="DQ94" i="16"/>
  <c r="DQ86" i="16"/>
  <c r="DQ53" i="16"/>
  <c r="DQ29" i="16"/>
  <c r="DP94" i="16"/>
  <c r="DP86" i="16"/>
  <c r="DP53" i="16"/>
  <c r="DP29" i="16"/>
  <c r="J1568" i="1"/>
  <c r="H1568" i="1"/>
  <c r="P1568" i="1" s="1"/>
  <c r="C1568" i="1" s="1"/>
  <c r="J1567" i="1"/>
  <c r="H1567" i="1"/>
  <c r="P1567" i="1" s="1"/>
  <c r="C1567" i="1" s="1"/>
  <c r="J1566" i="1"/>
  <c r="H1566" i="1"/>
  <c r="P1566" i="1" s="1"/>
  <c r="C1566" i="1" s="1"/>
  <c r="J1565" i="1"/>
  <c r="H1565" i="1"/>
  <c r="P1565" i="1" s="1"/>
  <c r="C1565" i="1" s="1"/>
  <c r="J1564" i="1"/>
  <c r="H1564" i="1"/>
  <c r="P1564" i="1" s="1"/>
  <c r="C1564" i="1" s="1"/>
  <c r="J1563" i="1"/>
  <c r="H1563" i="1"/>
  <c r="P1563" i="1" s="1"/>
  <c r="C1563" i="1" s="1"/>
  <c r="J1562" i="1"/>
  <c r="H1562" i="1"/>
  <c r="P1562" i="1" s="1"/>
  <c r="C1562" i="1" s="1"/>
  <c r="J1561" i="1"/>
  <c r="H1561" i="1"/>
  <c r="P1561" i="1" s="1"/>
  <c r="C1561" i="1" s="1"/>
  <c r="J1560" i="1"/>
  <c r="H1560" i="1"/>
  <c r="P1560" i="1" s="1"/>
  <c r="C1560" i="1" s="1"/>
  <c r="J1559" i="1"/>
  <c r="H1559" i="1"/>
  <c r="P1559" i="1" s="1"/>
  <c r="C1559" i="1" s="1"/>
  <c r="J1558" i="1"/>
  <c r="H1558" i="1"/>
  <c r="P1558" i="1" s="1"/>
  <c r="C1558" i="1" s="1"/>
  <c r="J1557" i="1"/>
  <c r="H1557" i="1"/>
  <c r="P1557" i="1" s="1"/>
  <c r="C1557" i="1" s="1"/>
  <c r="J1556" i="1"/>
  <c r="H1556" i="1"/>
  <c r="P1556" i="1" s="1"/>
  <c r="C1556" i="1" s="1"/>
  <c r="J1555" i="1"/>
  <c r="H1555" i="1"/>
  <c r="P1555" i="1" s="1"/>
  <c r="C1555" i="1" s="1"/>
  <c r="J1554" i="1"/>
  <c r="H1554" i="1"/>
  <c r="P1554" i="1" s="1"/>
  <c r="C1554" i="1" s="1"/>
  <c r="J1553" i="1"/>
  <c r="H1553" i="1"/>
  <c r="P1553" i="1" s="1"/>
  <c r="C1553" i="1" s="1"/>
  <c r="J1552" i="1"/>
  <c r="H1552" i="1"/>
  <c r="P1552" i="1" s="1"/>
  <c r="C1552" i="1" s="1"/>
  <c r="J1551" i="1"/>
  <c r="H1551" i="1"/>
  <c r="P1551" i="1" s="1"/>
  <c r="C1551" i="1" s="1"/>
  <c r="DJ94" i="16"/>
  <c r="DJ86" i="16"/>
  <c r="DJ53" i="16"/>
  <c r="DJ29" i="16"/>
  <c r="D1544" i="1"/>
  <c r="D1543" i="1"/>
  <c r="D1542" i="1"/>
  <c r="H1542" i="1" s="1"/>
  <c r="P1542" i="1" s="1"/>
  <c r="C1542" i="1" s="1"/>
  <c r="D1541" i="1"/>
  <c r="J1540" i="1"/>
  <c r="H1540" i="1"/>
  <c r="P1540" i="1" s="1"/>
  <c r="C1540" i="1" s="1"/>
  <c r="D1539" i="1"/>
  <c r="H1539" i="1" s="1"/>
  <c r="P1539" i="1" s="1"/>
  <c r="C1539" i="1" s="1"/>
  <c r="D1538" i="1"/>
  <c r="D1537" i="1"/>
  <c r="D1536" i="1"/>
  <c r="D1535" i="1"/>
  <c r="H1535" i="1" s="1"/>
  <c r="P1535" i="1" s="1"/>
  <c r="C1535" i="1" s="1"/>
  <c r="J1534" i="1"/>
  <c r="H1534" i="1"/>
  <c r="P1534" i="1" s="1"/>
  <c r="C1534" i="1" s="1"/>
  <c r="DO94" i="16"/>
  <c r="DO86" i="16"/>
  <c r="DO53" i="16"/>
  <c r="DO29" i="16"/>
  <c r="I1484"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99" i="1"/>
  <c r="M1399" i="1"/>
  <c r="N1398" i="1"/>
  <c r="M1398" i="1"/>
  <c r="N1397" i="1"/>
  <c r="M1397" i="1"/>
  <c r="N1396" i="1"/>
  <c r="M1396" i="1"/>
  <c r="N1395" i="1"/>
  <c r="M1395" i="1"/>
  <c r="N1394" i="1"/>
  <c r="M1394" i="1"/>
  <c r="N1393" i="1"/>
  <c r="M1393" i="1"/>
  <c r="N1392" i="1"/>
  <c r="M1392" i="1"/>
  <c r="J1383" i="1"/>
  <c r="D1388" i="1"/>
  <c r="N1387" i="1"/>
  <c r="M1387" i="1"/>
  <c r="N1386" i="1"/>
  <c r="M1386" i="1"/>
  <c r="N1385" i="1"/>
  <c r="M1385" i="1"/>
  <c r="N1384" i="1"/>
  <c r="M1384" i="1"/>
  <c r="N1383" i="1"/>
  <c r="M1383" i="1"/>
  <c r="N1382" i="1"/>
  <c r="M1382" i="1"/>
  <c r="N1381" i="1"/>
  <c r="M1381" i="1"/>
  <c r="N1380" i="1"/>
  <c r="M1380" i="1"/>
  <c r="J1372" i="1"/>
  <c r="J1356" i="1"/>
  <c r="D1363" i="1"/>
  <c r="N1362" i="1"/>
  <c r="M1362" i="1"/>
  <c r="N1361" i="1"/>
  <c r="M1361" i="1"/>
  <c r="N1360" i="1"/>
  <c r="M1360" i="1"/>
  <c r="N1359" i="1"/>
  <c r="M1359" i="1"/>
  <c r="N1358" i="1"/>
  <c r="M1358" i="1"/>
  <c r="N1357" i="1"/>
  <c r="M1357" i="1"/>
  <c r="N1356" i="1"/>
  <c r="M1356" i="1"/>
  <c r="N1355" i="1"/>
  <c r="M1355" i="1"/>
  <c r="N1354" i="1"/>
  <c r="M1354" i="1"/>
  <c r="N1353" i="1"/>
  <c r="M1353" i="1"/>
  <c r="J1342" i="1"/>
  <c r="D1333" i="1"/>
  <c r="D1350" i="1" s="1"/>
  <c r="D1348" i="1"/>
  <c r="N1347" i="1"/>
  <c r="M1347" i="1"/>
  <c r="N1346" i="1"/>
  <c r="M1346" i="1"/>
  <c r="N1345" i="1"/>
  <c r="M1345" i="1"/>
  <c r="N1344" i="1"/>
  <c r="M1344" i="1"/>
  <c r="N1343" i="1"/>
  <c r="M1343" i="1"/>
  <c r="N1342" i="1"/>
  <c r="M1342" i="1"/>
  <c r="N1341" i="1"/>
  <c r="M1341" i="1"/>
  <c r="N1340" i="1"/>
  <c r="M1340" i="1"/>
  <c r="N1339" i="1"/>
  <c r="M1339" i="1"/>
  <c r="N1338" i="1"/>
  <c r="M1338" i="1"/>
  <c r="N1337" i="1"/>
  <c r="M1337" i="1"/>
  <c r="J1327" i="1"/>
  <c r="N1332" i="1"/>
  <c r="M1332" i="1"/>
  <c r="N1331" i="1"/>
  <c r="M1331" i="1"/>
  <c r="N1330" i="1"/>
  <c r="M1330" i="1"/>
  <c r="N1329" i="1"/>
  <c r="M1329" i="1"/>
  <c r="N1328" i="1"/>
  <c r="M1328" i="1"/>
  <c r="N1327" i="1"/>
  <c r="M1327" i="1"/>
  <c r="N1326" i="1"/>
  <c r="M1326" i="1"/>
  <c r="N1325" i="1"/>
  <c r="M1325" i="1"/>
  <c r="N1324" i="1"/>
  <c r="M1324" i="1"/>
  <c r="D1320" i="1"/>
  <c r="N1319" i="1"/>
  <c r="M1319" i="1"/>
  <c r="N1318" i="1"/>
  <c r="M1318" i="1"/>
  <c r="N1317" i="1"/>
  <c r="M1317" i="1"/>
  <c r="N1316" i="1"/>
  <c r="M1316" i="1"/>
  <c r="N1315" i="1"/>
  <c r="M1315" i="1"/>
  <c r="N1314" i="1"/>
  <c r="M1314" i="1"/>
  <c r="N1313" i="1"/>
  <c r="M1313" i="1"/>
  <c r="N1312" i="1"/>
  <c r="M1312" i="1"/>
  <c r="N1311" i="1"/>
  <c r="M1311" i="1"/>
  <c r="N1310" i="1"/>
  <c r="M1310" i="1"/>
  <c r="J1296" i="1"/>
  <c r="D1291" i="1"/>
  <c r="D1307" i="1" s="1"/>
  <c r="D1305" i="1"/>
  <c r="N1304" i="1"/>
  <c r="M1304" i="1"/>
  <c r="N1303" i="1"/>
  <c r="M1303" i="1"/>
  <c r="N1302" i="1"/>
  <c r="M1302" i="1"/>
  <c r="N1301" i="1"/>
  <c r="M1301" i="1"/>
  <c r="N1300" i="1"/>
  <c r="M1300" i="1"/>
  <c r="N1299" i="1"/>
  <c r="M1299" i="1"/>
  <c r="N1298" i="1"/>
  <c r="M1298" i="1"/>
  <c r="N1297" i="1"/>
  <c r="M1297" i="1"/>
  <c r="N1296" i="1"/>
  <c r="M1296" i="1"/>
  <c r="N1295" i="1"/>
  <c r="M1295" i="1"/>
  <c r="J1290" i="1"/>
  <c r="N1290" i="1"/>
  <c r="M1290" i="1"/>
  <c r="N1289" i="1"/>
  <c r="M1289" i="1"/>
  <c r="N1288" i="1"/>
  <c r="M1288" i="1"/>
  <c r="N1287" i="1"/>
  <c r="M1287" i="1"/>
  <c r="N1286" i="1"/>
  <c r="M1286" i="1"/>
  <c r="N1285" i="1"/>
  <c r="M1285" i="1"/>
  <c r="N1284" i="1"/>
  <c r="M1284" i="1"/>
  <c r="N1283" i="1"/>
  <c r="M1283" i="1"/>
  <c r="N1282" i="1"/>
  <c r="M1282" i="1"/>
  <c r="J1274" i="1"/>
  <c r="N1277" i="1"/>
  <c r="M1277" i="1"/>
  <c r="N1276" i="1"/>
  <c r="M1276" i="1"/>
  <c r="N1275" i="1"/>
  <c r="M1275" i="1"/>
  <c r="N1274" i="1"/>
  <c r="M1274" i="1"/>
  <c r="N1273" i="1"/>
  <c r="M1273" i="1"/>
  <c r="N1272" i="1"/>
  <c r="M1272" i="1"/>
  <c r="N1271" i="1"/>
  <c r="M1271" i="1"/>
  <c r="N1270" i="1"/>
  <c r="M1270" i="1"/>
  <c r="N1269" i="1"/>
  <c r="M1269" i="1"/>
  <c r="N1268" i="1"/>
  <c r="M1268" i="1"/>
  <c r="N1262" i="1"/>
  <c r="M1262" i="1"/>
  <c r="N1261" i="1"/>
  <c r="M1261" i="1"/>
  <c r="N1260" i="1"/>
  <c r="M1260" i="1"/>
  <c r="N1259" i="1"/>
  <c r="M1259" i="1"/>
  <c r="N1258" i="1"/>
  <c r="M1258" i="1"/>
  <c r="N1257" i="1"/>
  <c r="M1257" i="1"/>
  <c r="N1256" i="1"/>
  <c r="M1256" i="1"/>
  <c r="N1255" i="1"/>
  <c r="M1255" i="1"/>
  <c r="N1254" i="1"/>
  <c r="M1254" i="1"/>
  <c r="N1253" i="1"/>
  <c r="M1253" i="1"/>
  <c r="J1243" i="1"/>
  <c r="N1248" i="1"/>
  <c r="M1248" i="1"/>
  <c r="N1247" i="1"/>
  <c r="M1247" i="1"/>
  <c r="N1246" i="1"/>
  <c r="M1246" i="1"/>
  <c r="N1245" i="1"/>
  <c r="M1245" i="1"/>
  <c r="N1244" i="1"/>
  <c r="M1244" i="1"/>
  <c r="N1243" i="1"/>
  <c r="M1243" i="1"/>
  <c r="N1242" i="1"/>
  <c r="M1242" i="1"/>
  <c r="N1241" i="1"/>
  <c r="M1241" i="1"/>
  <c r="N1240" i="1"/>
  <c r="M1240"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70"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24" i="1"/>
  <c r="BE181" i="16"/>
  <c r="BE163" i="16"/>
  <c r="BE154" i="16"/>
  <c r="BE148" i="16"/>
  <c r="BE139" i="16"/>
  <c r="BE131" i="16"/>
  <c r="BE119" i="16"/>
  <c r="BE94" i="16"/>
  <c r="BE86" i="16"/>
  <c r="BE53" i="16"/>
  <c r="BE29" i="16"/>
  <c r="D1120" i="1"/>
  <c r="M1120" i="1" s="1"/>
  <c r="J1114" i="1"/>
  <c r="D1110"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7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15" i="1"/>
  <c r="D1016" i="1"/>
  <c r="J1016" i="1" s="1"/>
  <c r="CY181" i="16"/>
  <c r="CY163" i="16"/>
  <c r="CY154" i="16"/>
  <c r="CY148" i="16"/>
  <c r="CY139" i="16"/>
  <c r="CY131" i="16"/>
  <c r="CY119" i="16"/>
  <c r="CY94" i="16"/>
  <c r="CY86" i="16"/>
  <c r="CY53" i="16"/>
  <c r="CY29" i="16"/>
  <c r="L1001" i="1"/>
  <c r="K1001" i="1"/>
  <c r="J1001" i="1"/>
  <c r="I1001" i="1"/>
  <c r="H1001" i="1"/>
  <c r="L1000" i="1"/>
  <c r="K1000" i="1"/>
  <c r="J1000" i="1"/>
  <c r="I1000" i="1"/>
  <c r="CR181" i="16"/>
  <c r="CR163" i="16"/>
  <c r="CR154" i="16"/>
  <c r="CR148" i="16"/>
  <c r="CR139" i="16"/>
  <c r="CR131" i="16"/>
  <c r="CR119" i="16"/>
  <c r="CR94" i="16"/>
  <c r="CR95" i="16" s="1"/>
  <c r="CR86" i="16"/>
  <c r="CR53" i="16"/>
  <c r="CR29" i="16"/>
  <c r="L999" i="1"/>
  <c r="K999" i="1"/>
  <c r="J999" i="1"/>
  <c r="I999" i="1"/>
  <c r="L998" i="1"/>
  <c r="K998" i="1"/>
  <c r="J998" i="1"/>
  <c r="I998" i="1"/>
  <c r="CQ181" i="16"/>
  <c r="CQ163" i="16"/>
  <c r="CQ154" i="16"/>
  <c r="CQ148" i="16"/>
  <c r="CQ139" i="16"/>
  <c r="CQ131" i="16"/>
  <c r="CQ119" i="16"/>
  <c r="CQ94" i="16"/>
  <c r="CQ86" i="16"/>
  <c r="CQ53" i="16"/>
  <c r="CQ29" i="16"/>
  <c r="L992" i="1"/>
  <c r="K992" i="1"/>
  <c r="J992" i="1"/>
  <c r="I992" i="1"/>
  <c r="H992" i="1"/>
  <c r="L991" i="1"/>
  <c r="K991" i="1"/>
  <c r="J991" i="1"/>
  <c r="I991" i="1"/>
  <c r="H991" i="1"/>
  <c r="CS181" i="16"/>
  <c r="CS163" i="16"/>
  <c r="CS154" i="16"/>
  <c r="CS148" i="16"/>
  <c r="CS139" i="16"/>
  <c r="CS131" i="16"/>
  <c r="CS119" i="16"/>
  <c r="CS94" i="16"/>
  <c r="CS86" i="16"/>
  <c r="CS53" i="16"/>
  <c r="CS29" i="16"/>
  <c r="J977" i="1"/>
  <c r="CL181" i="16"/>
  <c r="CL163" i="16"/>
  <c r="CL154" i="16"/>
  <c r="CL148" i="16"/>
  <c r="CL139" i="16"/>
  <c r="CL131" i="16"/>
  <c r="CL119" i="16"/>
  <c r="CL94" i="16"/>
  <c r="CL86" i="16"/>
  <c r="CL53" i="16"/>
  <c r="CL29" i="16"/>
  <c r="N969" i="1"/>
  <c r="M969" i="1"/>
  <c r="N968" i="1"/>
  <c r="M968" i="1"/>
  <c r="N967" i="1"/>
  <c r="M967" i="1"/>
  <c r="N966" i="1"/>
  <c r="M966" i="1"/>
  <c r="CK181" i="16"/>
  <c r="CK163" i="16"/>
  <c r="CK154" i="16"/>
  <c r="CK148" i="16"/>
  <c r="CK139" i="16"/>
  <c r="CK131" i="16"/>
  <c r="CK119" i="16"/>
  <c r="CK94" i="16"/>
  <c r="CK86" i="16"/>
  <c r="CK95" i="16" s="1"/>
  <c r="CK53" i="16"/>
  <c r="CK29" i="16"/>
  <c r="N958" i="1"/>
  <c r="M958" i="1"/>
  <c r="N957" i="1"/>
  <c r="M957" i="1"/>
  <c r="N956" i="1"/>
  <c r="M956" i="1"/>
  <c r="CN181" i="16"/>
  <c r="CN163" i="16"/>
  <c r="CN154" i="16"/>
  <c r="CN148" i="16"/>
  <c r="CN139" i="16"/>
  <c r="CN131" i="16"/>
  <c r="CN119" i="16"/>
  <c r="CN94" i="16"/>
  <c r="CN86" i="16"/>
  <c r="CN53" i="16"/>
  <c r="CN29" i="16"/>
  <c r="N949" i="1"/>
  <c r="M949" i="1"/>
  <c r="N948" i="1"/>
  <c r="M948" i="1"/>
  <c r="N947" i="1"/>
  <c r="M947" i="1"/>
  <c r="N945" i="1"/>
  <c r="M945" i="1"/>
  <c r="CM181" i="16"/>
  <c r="CM163" i="16"/>
  <c r="CM154" i="16"/>
  <c r="CM148" i="16"/>
  <c r="CM139" i="16"/>
  <c r="CM131" i="16"/>
  <c r="CM119" i="16"/>
  <c r="CM94" i="16"/>
  <c r="CM86" i="16"/>
  <c r="CM53" i="16"/>
  <c r="CM29" i="16"/>
  <c r="N938" i="1"/>
  <c r="M938" i="1"/>
  <c r="N937" i="1"/>
  <c r="M937" i="1"/>
  <c r="N936" i="1"/>
  <c r="N935" i="1"/>
  <c r="M935" i="1"/>
  <c r="CV181" i="16"/>
  <c r="CV163" i="16"/>
  <c r="CV154" i="16"/>
  <c r="CV148" i="16"/>
  <c r="CV139" i="16"/>
  <c r="CV131" i="16"/>
  <c r="CV119" i="16"/>
  <c r="CV94" i="16"/>
  <c r="CV86" i="16"/>
  <c r="CV53" i="16"/>
  <c r="CV29" i="16"/>
  <c r="N928" i="1"/>
  <c r="M928" i="1"/>
  <c r="N927" i="1"/>
  <c r="M927" i="1"/>
  <c r="N926" i="1"/>
  <c r="M926" i="1"/>
  <c r="CU181" i="16"/>
  <c r="CU163" i="16"/>
  <c r="CU154" i="16"/>
  <c r="CU148" i="16"/>
  <c r="CU139" i="16"/>
  <c r="CU131" i="16"/>
  <c r="CU119" i="16"/>
  <c r="CU94" i="16"/>
  <c r="CU86" i="16"/>
  <c r="CU53" i="16"/>
  <c r="CU29" i="16"/>
  <c r="N918" i="1"/>
  <c r="M918" i="1"/>
  <c r="N917" i="1"/>
  <c r="M917" i="1"/>
  <c r="D916" i="1"/>
  <c r="N916" i="1" s="1"/>
  <c r="D915" i="1"/>
  <c r="CP181" i="16"/>
  <c r="CP163" i="16"/>
  <c r="CP154" i="16"/>
  <c r="CP148" i="16"/>
  <c r="CP139" i="16"/>
  <c r="CP131" i="16"/>
  <c r="CP119" i="16"/>
  <c r="CP94" i="16"/>
  <c r="CP86" i="16"/>
  <c r="CP53" i="16"/>
  <c r="CP29" i="16"/>
  <c r="N904" i="1"/>
  <c r="M904" i="1"/>
  <c r="N903" i="1"/>
  <c r="M903" i="1"/>
  <c r="N902" i="1"/>
  <c r="M902" i="1"/>
  <c r="N894" i="1"/>
  <c r="M894" i="1"/>
  <c r="N893" i="1"/>
  <c r="M893" i="1"/>
  <c r="N874" i="1"/>
  <c r="M874" i="1"/>
  <c r="N873" i="1"/>
  <c r="M873" i="1"/>
  <c r="N872" i="1"/>
  <c r="M872" i="1"/>
  <c r="N871" i="1"/>
  <c r="M871" i="1"/>
  <c r="N861" i="1"/>
  <c r="M861" i="1"/>
  <c r="N860" i="1"/>
  <c r="M860" i="1"/>
  <c r="N859" i="1"/>
  <c r="M859" i="1"/>
  <c r="N858" i="1"/>
  <c r="M858" i="1"/>
  <c r="N857" i="1"/>
  <c r="M857" i="1"/>
  <c r="N856" i="1"/>
  <c r="N805" i="1"/>
  <c r="M805" i="1"/>
  <c r="N804" i="1"/>
  <c r="M804" i="1"/>
  <c r="N803" i="1"/>
  <c r="M803" i="1"/>
  <c r="N802" i="1"/>
  <c r="M802" i="1"/>
  <c r="M800" i="1"/>
  <c r="N851" i="1"/>
  <c r="M851" i="1"/>
  <c r="N845" i="1"/>
  <c r="M845" i="1"/>
  <c r="CI181" i="16"/>
  <c r="CI163" i="16"/>
  <c r="CI154" i="16"/>
  <c r="CI148" i="16"/>
  <c r="CI139" i="16"/>
  <c r="CI131" i="16"/>
  <c r="CI119" i="16"/>
  <c r="CI94" i="16"/>
  <c r="CI86" i="16"/>
  <c r="CI53" i="16"/>
  <c r="CI29" i="16"/>
  <c r="N844" i="1"/>
  <c r="M844" i="1"/>
  <c r="N842" i="1"/>
  <c r="M842" i="1"/>
  <c r="N836" i="1"/>
  <c r="M836" i="1"/>
  <c r="N835" i="1"/>
  <c r="M835" i="1"/>
  <c r="N825" i="1"/>
  <c r="M825" i="1"/>
  <c r="N824" i="1"/>
  <c r="M824" i="1"/>
  <c r="N823" i="1"/>
  <c r="M823" i="1"/>
  <c r="N822" i="1"/>
  <c r="M822" i="1"/>
  <c r="N814" i="1"/>
  <c r="M814" i="1"/>
  <c r="N813" i="1"/>
  <c r="M813" i="1"/>
  <c r="N794" i="1"/>
  <c r="M794" i="1"/>
  <c r="N793" i="1"/>
  <c r="M793" i="1"/>
  <c r="N792" i="1"/>
  <c r="M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38" i="1"/>
  <c r="N733" i="1"/>
  <c r="M728" i="1"/>
  <c r="N707" i="1"/>
  <c r="D704" i="1"/>
  <c r="N691" i="1"/>
  <c r="M691" i="1"/>
  <c r="CH181" i="16"/>
  <c r="CH163" i="16"/>
  <c r="CH154" i="16"/>
  <c r="CH148" i="16"/>
  <c r="CH139" i="16"/>
  <c r="CH131" i="16"/>
  <c r="CH119" i="16"/>
  <c r="CH94" i="16"/>
  <c r="CH86" i="16"/>
  <c r="CH53" i="16"/>
  <c r="CH29" i="16"/>
  <c r="N690" i="1"/>
  <c r="M690" i="1"/>
  <c r="N689" i="1"/>
  <c r="M689" i="1"/>
  <c r="N688" i="1"/>
  <c r="M688" i="1"/>
  <c r="N687" i="1"/>
  <c r="M687" i="1"/>
  <c r="N686" i="1"/>
  <c r="M686" i="1"/>
  <c r="N685" i="1"/>
  <c r="M685" i="1"/>
  <c r="N680" i="1"/>
  <c r="M680" i="1"/>
  <c r="N679" i="1"/>
  <c r="M679" i="1"/>
  <c r="N678" i="1"/>
  <c r="M678" i="1"/>
  <c r="N669" i="1"/>
  <c r="M669" i="1"/>
  <c r="N668" i="1"/>
  <c r="M668"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F35" i="61"/>
  <c r="AF67" i="61"/>
  <c r="AE35" i="61"/>
  <c r="AE67" i="61"/>
  <c r="D595" i="1"/>
  <c r="D598" i="1" s="1"/>
  <c r="CC181" i="16"/>
  <c r="CC163" i="16"/>
  <c r="CC154" i="16"/>
  <c r="CC148" i="16"/>
  <c r="CC139" i="16"/>
  <c r="CC131" i="16"/>
  <c r="CC119" i="16"/>
  <c r="CC94" i="16"/>
  <c r="CC86" i="16"/>
  <c r="CC53" i="16"/>
  <c r="CC29" i="16"/>
  <c r="D575" i="1"/>
  <c r="D580" i="1" s="1"/>
  <c r="D570" i="1"/>
  <c r="D563" i="1"/>
  <c r="D553" i="1"/>
  <c r="D562" i="1" s="1"/>
  <c r="D552" i="1"/>
  <c r="D561" i="1" s="1"/>
  <c r="D551" i="1"/>
  <c r="D560" i="1" s="1"/>
  <c r="D556" i="1"/>
  <c r="D554" i="1"/>
  <c r="D547" i="1"/>
  <c r="D537" i="1"/>
  <c r="M537" i="1" s="1"/>
  <c r="D536" i="1"/>
  <c r="M536" i="1" s="1"/>
  <c r="D535" i="1"/>
  <c r="M535" i="1" s="1"/>
  <c r="N543" i="1"/>
  <c r="J543" i="1"/>
  <c r="I543" i="1"/>
  <c r="N542" i="1"/>
  <c r="J542" i="1"/>
  <c r="I542" i="1"/>
  <c r="D540" i="1"/>
  <c r="D538"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31" i="1"/>
  <c r="D532"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N432" i="1"/>
  <c r="M432" i="1"/>
  <c r="J432" i="1"/>
  <c r="I432"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589" i="1"/>
  <c r="O629" i="1"/>
  <c r="O792" i="1"/>
  <c r="O794" i="1"/>
  <c r="O250" i="1"/>
  <c r="O624" i="1"/>
  <c r="O625" i="1"/>
  <c r="O249" i="1"/>
  <c r="O588" i="1"/>
  <c r="O627" i="1"/>
  <c r="O626" i="1"/>
  <c r="O343" i="1"/>
  <c r="O435" i="1"/>
  <c r="O341" i="1"/>
  <c r="O433" i="1"/>
  <c r="O340" i="1"/>
  <c r="O432"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793" i="1"/>
  <c r="N2888" i="23"/>
  <c r="N2887" i="23"/>
  <c r="N2506" i="23"/>
  <c r="N2505"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588" i="1"/>
  <c r="M649" i="1"/>
  <c r="N625" i="1"/>
  <c r="M625" i="1"/>
  <c r="M604" i="1"/>
  <c r="M916" i="1"/>
  <c r="K1969" i="1"/>
  <c r="A97" i="42"/>
  <c r="A96" i="42"/>
  <c r="A100" i="42"/>
  <c r="J95" i="1"/>
  <c r="D734" i="23"/>
  <c r="D740" i="23" s="1"/>
  <c r="H1789" i="1"/>
  <c r="P1789" i="1" s="1"/>
  <c r="C1789" i="1" s="1"/>
  <c r="H1792" i="1"/>
  <c r="P1792" i="1" s="1"/>
  <c r="C1792" i="1" s="1"/>
  <c r="A71" i="31"/>
  <c r="G71" i="31" s="1"/>
  <c r="M97" i="1"/>
  <c r="M95" i="1"/>
  <c r="M94" i="1"/>
  <c r="M93" i="1"/>
  <c r="M80" i="1"/>
  <c r="M79" i="1"/>
  <c r="M78" i="1"/>
  <c r="M77" i="1"/>
  <c r="N728" i="1"/>
  <c r="N766" i="1"/>
  <c r="E152" i="33"/>
  <c r="G152" i="33" s="1"/>
  <c r="I2355" i="1"/>
  <c r="I2345" i="1"/>
  <c r="I2334" i="1"/>
  <c r="D2126" i="1"/>
  <c r="M708" i="1"/>
  <c r="M754" i="1"/>
  <c r="D848" i="1"/>
  <c r="D2362" i="23"/>
  <c r="H1907" i="23"/>
  <c r="D1443" i="23"/>
  <c r="N1439" i="1"/>
  <c r="M29" i="1"/>
  <c r="M319" i="1"/>
  <c r="M497" i="1"/>
  <c r="M237" i="1"/>
  <c r="N54" i="1"/>
  <c r="N46" i="1"/>
  <c r="N136" i="1"/>
  <c r="M1413" i="1"/>
  <c r="N568" i="1"/>
  <c r="N165" i="1"/>
  <c r="M1172" i="1"/>
  <c r="M1188" i="1"/>
  <c r="M1138" i="1"/>
  <c r="M1176" i="1"/>
  <c r="M1148" i="1"/>
  <c r="M1105" i="1"/>
  <c r="M1218" i="1"/>
  <c r="M1115" i="1"/>
  <c r="M1128" i="1"/>
  <c r="M1225" i="1"/>
  <c r="M1165" i="1"/>
  <c r="H1788" i="1"/>
  <c r="P1788" i="1" s="1"/>
  <c r="C1788" i="1" s="1"/>
  <c r="H1826" i="1"/>
  <c r="P1826" i="1" s="1"/>
  <c r="C1826" i="1" s="1"/>
  <c r="H1807" i="1"/>
  <c r="P1807" i="1" s="1"/>
  <c r="C1807" i="1" s="1"/>
  <c r="H1803" i="1"/>
  <c r="P1803" i="1" s="1"/>
  <c r="C1803" i="1" s="1"/>
  <c r="B38" i="42"/>
  <c r="H1786" i="1"/>
  <c r="P1786" i="1" s="1"/>
  <c r="C1786" i="1" s="1"/>
  <c r="G34" i="42"/>
  <c r="E245" i="42"/>
  <c r="G245" i="42" s="1"/>
  <c r="E194" i="31"/>
  <c r="G194" i="31" s="1"/>
  <c r="J1594" i="1"/>
  <c r="H201" i="23"/>
  <c r="N1483" i="1"/>
  <c r="N97" i="1"/>
  <c r="B22" i="34"/>
  <c r="M507" i="1"/>
  <c r="M199" i="1"/>
  <c r="N487" i="1"/>
  <c r="M206" i="1"/>
  <c r="M54" i="1"/>
  <c r="M516" i="1"/>
  <c r="M487" i="1"/>
  <c r="N449" i="1"/>
  <c r="M143" i="1"/>
  <c r="M458" i="1"/>
  <c r="M267" i="1"/>
  <c r="M215" i="1"/>
  <c r="M111" i="1"/>
  <c r="M47" i="1"/>
  <c r="N415" i="1"/>
  <c r="N320" i="1"/>
  <c r="M38" i="1"/>
  <c r="M189" i="1"/>
  <c r="M118" i="1"/>
  <c r="N476" i="1"/>
  <c r="M303" i="1"/>
  <c r="M235" i="1"/>
  <c r="N111" i="1"/>
  <c r="N126" i="1"/>
  <c r="M1485" i="1"/>
  <c r="M1474" i="1"/>
  <c r="N259" i="1"/>
  <c r="M415" i="1"/>
  <c r="M157" i="1"/>
  <c r="M158" i="1" s="1"/>
  <c r="M275" i="1"/>
  <c r="M284" i="1"/>
  <c r="N528" i="1"/>
  <c r="N39" i="1"/>
  <c r="M257" i="1"/>
  <c r="M136" i="1"/>
  <c r="M153" i="1"/>
  <c r="M1405" i="1"/>
  <c r="M1466" i="1"/>
  <c r="M1430" i="1"/>
  <c r="M1456" i="1"/>
  <c r="M1422" i="1"/>
  <c r="N1448" i="1"/>
  <c r="N1465" i="1"/>
  <c r="D2036" i="1"/>
  <c r="H2036" i="1" s="1"/>
  <c r="N68" i="1"/>
  <c r="J97" i="1"/>
  <c r="J93" i="1"/>
  <c r="J79" i="1"/>
  <c r="J96" i="1"/>
  <c r="J77" i="1"/>
  <c r="J94" i="1"/>
  <c r="J78" i="1"/>
  <c r="J76" i="1"/>
  <c r="H1108" i="23"/>
  <c r="H1106" i="23"/>
  <c r="H1092" i="23"/>
  <c r="H1097" i="23" s="1"/>
  <c r="A95" i="42"/>
  <c r="A105" i="42"/>
  <c r="D1916" i="1"/>
  <c r="H1916" i="1" s="1"/>
  <c r="D1766" i="1"/>
  <c r="B91" i="42"/>
  <c r="J2333" i="1"/>
  <c r="N157" i="1"/>
  <c r="N158" i="1" s="1"/>
  <c r="H1550" i="1"/>
  <c r="P1550" i="1" s="1"/>
  <c r="C1550" i="1" s="1"/>
  <c r="J1550" i="1"/>
  <c r="H2250" i="1"/>
  <c r="P2250" i="1" s="1"/>
  <c r="C2250" i="1" s="1"/>
  <c r="H1549" i="1"/>
  <c r="P1549" i="1" s="1"/>
  <c r="C1549" i="1" s="1"/>
  <c r="J1549" i="1"/>
  <c r="D1745" i="1"/>
  <c r="H2325" i="23"/>
  <c r="M587" i="1"/>
  <c r="M597" i="1"/>
  <c r="M596" i="1"/>
  <c r="M576" i="1"/>
  <c r="M577" i="1"/>
  <c r="AG69" i="61"/>
  <c r="J1178" i="1"/>
  <c r="J1067" i="1"/>
  <c r="J1232" i="1"/>
  <c r="N721" i="1"/>
  <c r="I2360" i="1"/>
  <c r="I2358" i="1"/>
  <c r="I2356" i="1"/>
  <c r="I2362" i="1"/>
  <c r="I2350" i="1"/>
  <c r="I2348" i="1"/>
  <c r="I2346" i="1"/>
  <c r="I2344" i="1"/>
  <c r="I2342" i="1"/>
  <c r="I2338" i="1"/>
  <c r="I2335" i="1"/>
  <c r="I2333" i="1"/>
  <c r="I2331" i="1"/>
  <c r="I2329" i="1"/>
  <c r="I2327" i="1"/>
  <c r="I2361" i="1"/>
  <c r="I2357" i="1"/>
  <c r="I2352" i="1"/>
  <c r="I2347" i="1"/>
  <c r="I2343" i="1"/>
  <c r="I2336" i="1"/>
  <c r="I2332" i="1"/>
  <c r="I2328" i="1"/>
  <c r="I2330" i="1"/>
  <c r="I2341" i="1"/>
  <c r="I2349" i="1"/>
  <c r="I2359" i="1"/>
  <c r="E183" i="42"/>
  <c r="G183" i="42" s="1"/>
  <c r="H1793" i="1"/>
  <c r="P1793" i="1" s="1"/>
  <c r="C1793" i="1" s="1"/>
  <c r="H1778" i="1"/>
  <c r="P1778" i="1" s="1"/>
  <c r="C1778" i="1" s="1"/>
  <c r="H1775" i="1"/>
  <c r="P1775" i="1" s="1"/>
  <c r="C1775" i="1" s="1"/>
  <c r="M586" i="1"/>
  <c r="M733" i="1"/>
  <c r="M732" i="1"/>
  <c r="E88" i="33"/>
  <c r="G88" i="33" s="1"/>
  <c r="H1825" i="1"/>
  <c r="P1825" i="1" s="1"/>
  <c r="C1825" i="1" s="1"/>
  <c r="H1823" i="1"/>
  <c r="P1823" i="1" s="1"/>
  <c r="C1823" i="1" s="1"/>
  <c r="H1794" i="1"/>
  <c r="P1794" i="1" s="1"/>
  <c r="C1794" i="1" s="1"/>
  <c r="H1782" i="1"/>
  <c r="P1782" i="1" s="1"/>
  <c r="C1782" i="1" s="1"/>
  <c r="Q856" i="1"/>
  <c r="M856" i="1"/>
  <c r="M801" i="1"/>
  <c r="N801" i="1"/>
  <c r="Q955" i="1"/>
  <c r="N955" i="1"/>
  <c r="M955" i="1"/>
  <c r="N946" i="1"/>
  <c r="M946" i="1"/>
  <c r="N820" i="1"/>
  <c r="M667" i="1"/>
  <c r="N667" i="1"/>
  <c r="D808" i="1"/>
  <c r="R808" i="1" s="1"/>
  <c r="M734" i="1"/>
  <c r="H1810" i="1"/>
  <c r="P1810" i="1" s="1"/>
  <c r="C1810" i="1" s="1"/>
  <c r="H1804" i="1"/>
  <c r="P1804" i="1" s="1"/>
  <c r="C1804" i="1" s="1"/>
  <c r="M76" i="1"/>
  <c r="J823" i="1"/>
  <c r="E174" i="42"/>
  <c r="G174" i="42" s="1"/>
  <c r="I76" i="1"/>
  <c r="I1121" i="1"/>
  <c r="I1340" i="1"/>
  <c r="I1243" i="1"/>
  <c r="R801" i="1"/>
  <c r="Q801" i="1"/>
  <c r="R800" i="1"/>
  <c r="Q800" i="1"/>
  <c r="B70" i="33"/>
  <c r="J2349" i="1"/>
  <c r="I843" i="1"/>
  <c r="I845" i="1"/>
  <c r="I844" i="1"/>
  <c r="I846" i="1"/>
  <c r="I842" i="1"/>
  <c r="B72" i="42"/>
  <c r="H1449" i="23"/>
  <c r="H1173" i="23"/>
  <c r="H1107" i="23"/>
  <c r="H1187" i="23"/>
  <c r="H1190" i="23"/>
  <c r="H1182" i="23"/>
  <c r="H1185" i="23"/>
  <c r="M700" i="1"/>
  <c r="E175" i="42"/>
  <c r="G175" i="42" s="1"/>
  <c r="J2355" i="1"/>
  <c r="J2344" i="1"/>
  <c r="J2330" i="1"/>
  <c r="H1308" i="23"/>
  <c r="H1311" i="23"/>
  <c r="H1170" i="23"/>
  <c r="H1186" i="23"/>
  <c r="H1180" i="23"/>
  <c r="H1171" i="23"/>
  <c r="H1179" i="23"/>
  <c r="H1109" i="23"/>
  <c r="J2343" i="1"/>
  <c r="J2350" i="1"/>
  <c r="J2329" i="1"/>
  <c r="J2359" i="1"/>
  <c r="J2361" i="1"/>
  <c r="J2358" i="1"/>
  <c r="J2327" i="1"/>
  <c r="J2336" i="1"/>
  <c r="J2345" i="1"/>
  <c r="J2352" i="1"/>
  <c r="J2362" i="1"/>
  <c r="J2348" i="1"/>
  <c r="J2328" i="1"/>
  <c r="J2342" i="1"/>
  <c r="J2347" i="1"/>
  <c r="J2341" i="1"/>
  <c r="J2331" i="1"/>
  <c r="J2360" i="1"/>
  <c r="J2357" i="1"/>
  <c r="J2338" i="1"/>
  <c r="J2356" i="1"/>
  <c r="J2334" i="1"/>
  <c r="J2335" i="1"/>
  <c r="J2332" i="1"/>
  <c r="J2346" i="1"/>
  <c r="H1064" i="23"/>
  <c r="H1067" i="23"/>
  <c r="H1114" i="23"/>
  <c r="H1105" i="23"/>
  <c r="H1113" i="23" s="1"/>
  <c r="N1440" i="1"/>
  <c r="B96" i="42"/>
  <c r="J874" i="1"/>
  <c r="M735" i="1"/>
  <c r="D864" i="1"/>
  <c r="D863"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87" i="1"/>
  <c r="C2287" i="1" s="1"/>
  <c r="I284" i="1"/>
  <c r="I1396" i="1"/>
  <c r="I1215" i="1"/>
  <c r="I1157" i="1"/>
  <c r="I1117" i="1"/>
  <c r="I1106" i="1"/>
  <c r="I1114" i="1"/>
  <c r="I1232" i="1"/>
  <c r="I1282" i="1"/>
  <c r="I1248" i="1"/>
  <c r="I1180" i="1"/>
  <c r="I1150" i="1"/>
  <c r="I1325" i="1"/>
  <c r="I1207" i="1"/>
  <c r="I1191" i="1"/>
  <c r="I1143" i="1"/>
  <c r="I1368" i="1"/>
  <c r="I1355" i="1"/>
  <c r="M542" i="1"/>
  <c r="N587" i="1"/>
  <c r="I47" i="1"/>
  <c r="I68" i="1"/>
  <c r="I78" i="1"/>
  <c r="I110" i="1"/>
  <c r="I135" i="1"/>
  <c r="I144" i="1"/>
  <c r="I157" i="1"/>
  <c r="I158" i="1" s="1"/>
  <c r="I207" i="1"/>
  <c r="I304" i="1"/>
  <c r="I309" i="1"/>
  <c r="I319" i="1"/>
  <c r="I327" i="1"/>
  <c r="I415" i="1"/>
  <c r="I423" i="1"/>
  <c r="I457" i="1"/>
  <c r="I496" i="1"/>
  <c r="I516" i="1"/>
  <c r="I627" i="1"/>
  <c r="I606" i="1"/>
  <c r="I728" i="1"/>
  <c r="I755" i="1"/>
  <c r="I772" i="1"/>
  <c r="I926" i="1"/>
  <c r="I935" i="1"/>
  <c r="I945" i="1"/>
  <c r="I956" i="1"/>
  <c r="I976" i="1"/>
  <c r="I1008" i="1"/>
  <c r="I1055" i="1"/>
  <c r="I1068" i="1"/>
  <c r="I1075" i="1"/>
  <c r="I1260" i="1"/>
  <c r="I1275" i="1"/>
  <c r="I1393" i="1"/>
  <c r="N648" i="1"/>
  <c r="M506" i="1"/>
  <c r="J1385"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29" i="1"/>
  <c r="F529" i="1"/>
  <c r="E529" i="1"/>
  <c r="G530" i="1"/>
  <c r="F530" i="1"/>
  <c r="E530" i="1"/>
  <c r="G65" i="1"/>
  <c r="F65" i="1"/>
  <c r="E65" i="1"/>
  <c r="G64" i="1"/>
  <c r="F64" i="1"/>
  <c r="E64" i="1"/>
  <c r="G2260" i="1"/>
  <c r="F2260" i="1"/>
  <c r="E2260" i="1"/>
  <c r="G2259" i="1"/>
  <c r="F2259" i="1"/>
  <c r="E2259" i="1"/>
  <c r="G2258" i="1"/>
  <c r="F2258" i="1"/>
  <c r="E2258" i="1"/>
  <c r="G2249" i="1"/>
  <c r="F2249" i="1"/>
  <c r="E2249" i="1"/>
  <c r="G2248" i="1"/>
  <c r="F2248" i="1"/>
  <c r="E2248" i="1"/>
  <c r="G2247" i="1"/>
  <c r="F2247" i="1"/>
  <c r="E2247" i="1"/>
  <c r="G2278" i="1"/>
  <c r="F2278" i="1"/>
  <c r="E2278" i="1"/>
  <c r="G2274" i="1"/>
  <c r="F2274" i="1"/>
  <c r="E2274" i="1"/>
  <c r="E4" i="97" s="1"/>
  <c r="G2273" i="1"/>
  <c r="F2273" i="1"/>
  <c r="E2273" i="1"/>
  <c r="G2271" i="1"/>
  <c r="E2271" i="1"/>
  <c r="G2269" i="1"/>
  <c r="E2269" i="1"/>
  <c r="G1936" i="1"/>
  <c r="E1936" i="1"/>
  <c r="G1935" i="1"/>
  <c r="G175" i="97" s="1"/>
  <c r="F1935" i="1"/>
  <c r="F175" i="97" s="1"/>
  <c r="E1935" i="1"/>
  <c r="E175" i="97" s="1"/>
  <c r="G1934" i="1"/>
  <c r="E1934" i="1"/>
  <c r="G1487" i="1"/>
  <c r="F1487" i="1"/>
  <c r="E1487" i="1"/>
  <c r="G1486" i="1"/>
  <c r="F1486" i="1"/>
  <c r="E1486" i="1"/>
  <c r="G1478" i="1"/>
  <c r="F1478" i="1"/>
  <c r="E1478" i="1"/>
  <c r="G1477" i="1"/>
  <c r="F1477" i="1"/>
  <c r="E1477" i="1"/>
  <c r="G1469" i="1"/>
  <c r="F1469" i="1"/>
  <c r="E1469" i="1"/>
  <c r="G1468" i="1"/>
  <c r="F1468" i="1"/>
  <c r="E1468" i="1"/>
  <c r="G1460" i="1"/>
  <c r="F1460" i="1"/>
  <c r="E1460" i="1"/>
  <c r="G1459" i="1"/>
  <c r="F1459" i="1"/>
  <c r="E1459" i="1"/>
  <c r="G1451" i="1"/>
  <c r="F1451" i="1"/>
  <c r="E1451" i="1"/>
  <c r="G1450" i="1"/>
  <c r="F1450" i="1"/>
  <c r="E1450" i="1"/>
  <c r="G1442" i="1"/>
  <c r="F1442" i="1"/>
  <c r="E1442" i="1"/>
  <c r="G1441" i="1"/>
  <c r="F1441" i="1"/>
  <c r="E1441" i="1"/>
  <c r="G1433" i="1"/>
  <c r="F1433" i="1"/>
  <c r="E1433" i="1"/>
  <c r="G1432" i="1"/>
  <c r="F1432" i="1"/>
  <c r="E1432" i="1"/>
  <c r="G1424" i="1"/>
  <c r="F1424" i="1"/>
  <c r="E1424" i="1"/>
  <c r="G1423" i="1"/>
  <c r="F1423" i="1"/>
  <c r="E1423" i="1"/>
  <c r="G1407" i="1"/>
  <c r="G164" i="97" s="1"/>
  <c r="F1407" i="1"/>
  <c r="F164" i="97" s="1"/>
  <c r="E1407" i="1"/>
  <c r="E164" i="97" s="1"/>
  <c r="G1406" i="1"/>
  <c r="G197" i="97" s="1"/>
  <c r="F1406" i="1"/>
  <c r="F197" i="97" s="1"/>
  <c r="E1406" i="1"/>
  <c r="E197" i="97" s="1"/>
  <c r="G519" i="1"/>
  <c r="F519" i="1"/>
  <c r="E519" i="1"/>
  <c r="G518" i="1"/>
  <c r="F518" i="1"/>
  <c r="E518" i="1"/>
  <c r="G509" i="1"/>
  <c r="F509" i="1"/>
  <c r="E509" i="1"/>
  <c r="G508" i="1"/>
  <c r="F508" i="1"/>
  <c r="E508" i="1"/>
  <c r="G479" i="1"/>
  <c r="F479" i="1"/>
  <c r="E479" i="1"/>
  <c r="G478" i="1"/>
  <c r="F478" i="1"/>
  <c r="E478" i="1"/>
  <c r="G500" i="1"/>
  <c r="F500" i="1"/>
  <c r="E500" i="1"/>
  <c r="G499" i="1"/>
  <c r="F499" i="1"/>
  <c r="E499" i="1"/>
  <c r="G490" i="1"/>
  <c r="F490" i="1"/>
  <c r="E490" i="1"/>
  <c r="G489" i="1"/>
  <c r="F489" i="1"/>
  <c r="E489"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69" i="1"/>
  <c r="F469" i="1"/>
  <c r="E469" i="1"/>
  <c r="G468" i="1"/>
  <c r="F468" i="1"/>
  <c r="E468" i="1"/>
  <c r="G461" i="1"/>
  <c r="F461" i="1"/>
  <c r="E461" i="1"/>
  <c r="G460" i="1"/>
  <c r="F460" i="1"/>
  <c r="E460" i="1"/>
  <c r="G452" i="1"/>
  <c r="F452" i="1"/>
  <c r="E452" i="1"/>
  <c r="G451" i="1"/>
  <c r="F451" i="1"/>
  <c r="E451"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39" i="1"/>
  <c r="G176" i="97" s="1"/>
  <c r="E1939" i="1"/>
  <c r="E176" i="97" s="1"/>
  <c r="G1243" i="1"/>
  <c r="F1243" i="1"/>
  <c r="G1256" i="1"/>
  <c r="F1256" i="1"/>
  <c r="G1272" i="1"/>
  <c r="F1272" i="1"/>
  <c r="G1285" i="1"/>
  <c r="F1285" i="1"/>
  <c r="G1298" i="1"/>
  <c r="F1298" i="1"/>
  <c r="G1314" i="1"/>
  <c r="F1314" i="1"/>
  <c r="G1327" i="1"/>
  <c r="F1327" i="1"/>
  <c r="G1340" i="1"/>
  <c r="F1340" i="1"/>
  <c r="G1357" i="1"/>
  <c r="F1357" i="1"/>
  <c r="G1383" i="1"/>
  <c r="F1383" i="1"/>
  <c r="G1395" i="1"/>
  <c r="F1395" i="1"/>
  <c r="J1166"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58" i="1"/>
  <c r="I1122" i="1"/>
  <c r="M755" i="1"/>
  <c r="G82" i="42"/>
  <c r="M486" i="1"/>
  <c r="I1337" i="1"/>
  <c r="I1339" i="1"/>
  <c r="N78" i="1"/>
  <c r="N80" i="1"/>
  <c r="M517" i="1"/>
  <c r="M268" i="1"/>
  <c r="M39" i="1"/>
  <c r="I1245" i="1"/>
  <c r="I1216" i="1"/>
  <c r="I1209" i="1"/>
  <c r="I1218" i="1"/>
  <c r="N754" i="1"/>
  <c r="N486" i="1"/>
  <c r="N96" i="1"/>
  <c r="N450" i="1"/>
  <c r="M110" i="1"/>
  <c r="M190" i="1"/>
  <c r="J832" i="1"/>
  <c r="J842" i="1"/>
  <c r="N1151" i="1"/>
  <c r="N1148" i="1"/>
  <c r="M1152" i="1"/>
  <c r="M1150" i="1"/>
  <c r="M293" i="1"/>
  <c r="M292" i="1"/>
  <c r="I1219" i="1"/>
  <c r="I1220" i="1"/>
  <c r="I1172" i="1"/>
  <c r="I1171" i="1"/>
  <c r="I1133" i="1"/>
  <c r="I1128" i="1"/>
  <c r="I1113" i="1"/>
  <c r="I1115" i="1"/>
  <c r="I1236" i="1"/>
  <c r="I1235" i="1"/>
  <c r="I1233" i="1"/>
  <c r="I1346" i="1"/>
  <c r="I1345" i="1"/>
  <c r="I1344" i="1"/>
  <c r="I1341" i="1"/>
  <c r="I1343" i="1"/>
  <c r="I1247" i="1"/>
  <c r="I1240" i="1"/>
  <c r="I1242" i="1"/>
  <c r="I1153" i="1"/>
  <c r="I1148" i="1"/>
  <c r="I1151" i="1"/>
  <c r="I1208" i="1"/>
  <c r="I1210" i="1"/>
  <c r="I1205" i="1"/>
  <c r="I1188" i="1"/>
  <c r="I1189" i="1"/>
  <c r="I1187" i="1"/>
  <c r="I1186" i="1"/>
  <c r="I1311" i="1"/>
  <c r="I1359" i="1"/>
  <c r="I1358" i="1"/>
  <c r="I1360" i="1"/>
  <c r="I1354" i="1"/>
  <c r="I1353" i="1"/>
  <c r="M569" i="1"/>
  <c r="M567" i="1"/>
  <c r="N661" i="1"/>
  <c r="N649" i="1"/>
  <c r="N660" i="1"/>
  <c r="N651" i="1"/>
  <c r="B28" i="33"/>
  <c r="I1048" i="1"/>
  <c r="I1421" i="1"/>
  <c r="I1420" i="1"/>
  <c r="I1438" i="1"/>
  <c r="I1440" i="1"/>
  <c r="I1246" i="1"/>
  <c r="I1342" i="1"/>
  <c r="I1131" i="1"/>
  <c r="N607" i="1"/>
  <c r="N606" i="1"/>
  <c r="I1206" i="1"/>
  <c r="I1244" i="1"/>
  <c r="G69" i="33"/>
  <c r="M488" i="1"/>
  <c r="M294" i="1"/>
  <c r="I1338" i="1"/>
  <c r="I1132" i="1"/>
  <c r="M411" i="1"/>
  <c r="I1241" i="1"/>
  <c r="I1347" i="1"/>
  <c r="I1234" i="1"/>
  <c r="I1190" i="1"/>
  <c r="I1204" i="1"/>
  <c r="J1303" i="1"/>
  <c r="J1171" i="1"/>
  <c r="I414" i="1"/>
  <c r="M568" i="1"/>
  <c r="N119" i="1"/>
  <c r="N118" i="1"/>
  <c r="N496" i="1"/>
  <c r="N497" i="1"/>
  <c r="N318" i="1"/>
  <c r="N319" i="1"/>
  <c r="M467" i="1"/>
  <c r="M466" i="1"/>
  <c r="M457" i="1"/>
  <c r="M459" i="1"/>
  <c r="M514" i="1"/>
  <c r="M515" i="1"/>
  <c r="N94" i="1"/>
  <c r="N76" i="1"/>
  <c r="N79" i="1"/>
  <c r="N77" i="1"/>
  <c r="N93" i="1"/>
  <c r="N237" i="1"/>
  <c r="N1216" i="1"/>
  <c r="N1218" i="1"/>
  <c r="M329" i="1"/>
  <c r="M328" i="1"/>
  <c r="I1399" i="1"/>
  <c r="I1398" i="1"/>
  <c r="I154" i="1"/>
  <c r="I227" i="1"/>
  <c r="I605" i="1"/>
  <c r="I607" i="1"/>
  <c r="I614" i="1"/>
  <c r="I715" i="1"/>
  <c r="I714" i="1"/>
  <c r="N735" i="1"/>
  <c r="N734" i="1"/>
  <c r="I748" i="1"/>
  <c r="I754" i="1"/>
  <c r="I766" i="1"/>
  <c r="I765" i="1"/>
  <c r="I851" i="1"/>
  <c r="I928" i="1"/>
  <c r="I927" i="1"/>
  <c r="I967" i="1"/>
  <c r="I966" i="1"/>
  <c r="J976" i="1"/>
  <c r="I1027" i="1"/>
  <c r="I1037" i="1"/>
  <c r="I1101" i="1"/>
  <c r="J1113" i="1"/>
  <c r="J1115" i="1"/>
  <c r="I1161" i="1"/>
  <c r="I1166" i="1"/>
  <c r="J1298" i="1"/>
  <c r="J1299" i="1"/>
  <c r="J1297" i="1"/>
  <c r="J1314" i="1"/>
  <c r="J1316" i="1"/>
  <c r="J1313" i="1"/>
  <c r="J1319" i="1"/>
  <c r="J1328" i="1"/>
  <c r="J1330" i="1"/>
  <c r="J1326" i="1"/>
  <c r="J1324" i="1"/>
  <c r="I1181" i="1"/>
  <c r="I1119" i="1"/>
  <c r="N765" i="1"/>
  <c r="M1171" i="1"/>
  <c r="I1395" i="1"/>
  <c r="J1300" i="1"/>
  <c r="I968" i="1"/>
  <c r="J1332" i="1"/>
  <c r="J1317" i="1"/>
  <c r="J1302" i="1"/>
  <c r="I1165" i="1"/>
  <c r="I1100" i="1"/>
  <c r="I1028" i="1"/>
  <c r="I969" i="1"/>
  <c r="I762" i="1"/>
  <c r="N739" i="1"/>
  <c r="I722" i="1"/>
  <c r="I515" i="1"/>
  <c r="I143" i="1"/>
  <c r="I46" i="1"/>
  <c r="M650" i="1"/>
  <c r="J1288" i="1"/>
  <c r="J1347" i="1"/>
  <c r="J1268" i="1"/>
  <c r="M1123" i="1"/>
  <c r="M1220" i="1"/>
  <c r="N488" i="1"/>
  <c r="M410" i="1"/>
  <c r="M1420" i="1"/>
  <c r="I1152" i="1"/>
  <c r="I1149" i="1"/>
  <c r="I1327" i="1"/>
  <c r="I1332" i="1"/>
  <c r="N748" i="1"/>
  <c r="N762" i="1"/>
  <c r="I1362" i="1"/>
  <c r="I1357" i="1"/>
  <c r="I1269" i="1"/>
  <c r="I1361" i="1"/>
  <c r="I1356" i="1"/>
  <c r="M603" i="1"/>
  <c r="M605" i="1"/>
  <c r="N1195" i="1"/>
  <c r="N1198" i="1"/>
  <c r="N1199" i="1"/>
  <c r="N1200" i="1"/>
  <c r="M1113" i="1"/>
  <c r="M1114" i="1"/>
  <c r="M1107" i="1"/>
  <c r="M1106" i="1"/>
  <c r="M1109" i="1"/>
  <c r="M1104" i="1"/>
  <c r="M1108" i="1"/>
  <c r="N1172" i="1"/>
  <c r="N1170" i="1"/>
  <c r="M1195" i="1"/>
  <c r="M1196" i="1"/>
  <c r="M1200" i="1"/>
  <c r="M1199" i="1"/>
  <c r="M1197" i="1"/>
  <c r="M1233" i="1"/>
  <c r="M1232" i="1"/>
  <c r="M1234" i="1"/>
  <c r="M1236" i="1"/>
  <c r="B52" i="34"/>
  <c r="N605" i="1"/>
  <c r="N604" i="1"/>
  <c r="M225" i="1"/>
  <c r="M226" i="1"/>
  <c r="M318" i="1"/>
  <c r="M320" i="1"/>
  <c r="B36" i="34"/>
  <c r="I1397" i="1"/>
  <c r="I1394" i="1"/>
  <c r="I1392" i="1"/>
  <c r="J1175" i="1"/>
  <c r="J1176" i="1"/>
  <c r="J1181" i="1"/>
  <c r="J1174" i="1"/>
  <c r="J1179" i="1"/>
  <c r="I1123" i="1"/>
  <c r="I1118" i="1"/>
  <c r="M748" i="1"/>
  <c r="M761" i="1"/>
  <c r="M762" i="1"/>
  <c r="I1225" i="1"/>
  <c r="I1227" i="1"/>
  <c r="I1301" i="1"/>
  <c r="I1304" i="1"/>
  <c r="N1217" i="1"/>
  <c r="N1215" i="1"/>
  <c r="N1220" i="1"/>
  <c r="N1115" i="1"/>
  <c r="N1114" i="1"/>
  <c r="N1113" i="1"/>
  <c r="M1131" i="1"/>
  <c r="M1130" i="1"/>
  <c r="M1133" i="1"/>
  <c r="M1132" i="1"/>
  <c r="M1129" i="1"/>
  <c r="N1191" i="1"/>
  <c r="N1188" i="1"/>
  <c r="N1186" i="1"/>
  <c r="N1190" i="1"/>
  <c r="N1189" i="1"/>
  <c r="M1180" i="1"/>
  <c r="M1175" i="1"/>
  <c r="M1179" i="1"/>
  <c r="M1181" i="1"/>
  <c r="M1178" i="1"/>
  <c r="M1174" i="1"/>
  <c r="M1439" i="1"/>
  <c r="M1440" i="1"/>
  <c r="N466" i="1"/>
  <c r="N467" i="1"/>
  <c r="N166" i="1"/>
  <c r="M1235" i="1"/>
  <c r="M28" i="1"/>
  <c r="M1438" i="1"/>
  <c r="M327" i="1"/>
  <c r="N55" i="1"/>
  <c r="N1171" i="1"/>
  <c r="M1198" i="1"/>
  <c r="J1233" i="1"/>
  <c r="M1170" i="1"/>
  <c r="N1219" i="1"/>
  <c r="N1196" i="1"/>
  <c r="N1187" i="1"/>
  <c r="N1197" i="1"/>
  <c r="O605" i="1"/>
  <c r="O603" i="1"/>
  <c r="I28" i="1"/>
  <c r="I29" i="1"/>
  <c r="I257" i="1"/>
  <c r="I258" i="1"/>
  <c r="I459" i="1"/>
  <c r="I458" i="1"/>
  <c r="I486" i="1"/>
  <c r="I487" i="1"/>
  <c r="I488" i="1"/>
  <c r="I237" i="1"/>
  <c r="I648" i="1"/>
  <c r="I667" i="1"/>
  <c r="I668" i="1"/>
  <c r="I686" i="1"/>
  <c r="J792" i="1"/>
  <c r="J794" i="1"/>
  <c r="J793" i="1"/>
  <c r="I813" i="1"/>
  <c r="I822" i="1"/>
  <c r="J825" i="1"/>
  <c r="J824" i="1"/>
  <c r="I835" i="1"/>
  <c r="I856" i="1"/>
  <c r="I800" i="1"/>
  <c r="I804" i="1"/>
  <c r="J894" i="1"/>
  <c r="J893" i="1"/>
  <c r="I918" i="1"/>
  <c r="J1253" i="1"/>
  <c r="J1262" i="1"/>
  <c r="J1396" i="1"/>
  <c r="J1394" i="1"/>
  <c r="J1393" i="1"/>
  <c r="I1413" i="1"/>
  <c r="I1412" i="1"/>
  <c r="I1449" i="1"/>
  <c r="I1447" i="1"/>
  <c r="I1448" i="1"/>
  <c r="G66" i="42"/>
  <c r="I1372" i="1"/>
  <c r="I1371" i="1"/>
  <c r="I1422" i="1"/>
  <c r="I604" i="1"/>
  <c r="I650" i="1"/>
  <c r="J1318" i="1"/>
  <c r="I1046" i="1"/>
  <c r="I761" i="1"/>
  <c r="I517" i="1"/>
  <c r="I1439" i="1"/>
  <c r="I111" i="1"/>
  <c r="J1329" i="1"/>
  <c r="J1331" i="1"/>
  <c r="J1325" i="1"/>
  <c r="J1315" i="1"/>
  <c r="J1310" i="1"/>
  <c r="J1312" i="1"/>
  <c r="J1304" i="1"/>
  <c r="J1301" i="1"/>
  <c r="J1295" i="1"/>
  <c r="J1172" i="1"/>
  <c r="I1162" i="1"/>
  <c r="I1160" i="1"/>
  <c r="I1097" i="1"/>
  <c r="I1098" i="1"/>
  <c r="I1047" i="1"/>
  <c r="I1038" i="1"/>
  <c r="I1029" i="1"/>
  <c r="N732" i="1"/>
  <c r="I721" i="1"/>
  <c r="I651" i="1"/>
  <c r="I589" i="1"/>
  <c r="I588" i="1"/>
  <c r="I649" i="1"/>
  <c r="I660" i="1"/>
  <c r="I514" i="1"/>
  <c r="I497" i="1"/>
  <c r="I422" i="1"/>
  <c r="I206" i="1"/>
  <c r="I661" i="1"/>
  <c r="I669" i="1"/>
  <c r="N327" i="1"/>
  <c r="N328" i="1"/>
  <c r="N475" i="1"/>
  <c r="N474" i="1"/>
  <c r="N69" i="1"/>
  <c r="N20" i="1"/>
  <c r="N128" i="1"/>
  <c r="M1404" i="1"/>
  <c r="N424" i="1"/>
  <c r="N246" i="1"/>
  <c r="N1449" i="1"/>
  <c r="M285" i="1"/>
  <c r="N38" i="1"/>
  <c r="N1467" i="1"/>
  <c r="J624" i="1"/>
  <c r="J626" i="1"/>
  <c r="M126" i="1"/>
  <c r="M127" i="1"/>
  <c r="N410" i="1"/>
  <c r="N250" i="1"/>
  <c r="G107" i="42"/>
  <c r="I225" i="1"/>
  <c r="I226" i="1"/>
  <c r="I189" i="1"/>
  <c r="I190" i="1"/>
  <c r="I165" i="1"/>
  <c r="I166" i="1"/>
  <c r="N1206" i="1"/>
  <c r="N1207" i="1"/>
  <c r="M1448" i="1"/>
  <c r="M1449" i="1"/>
  <c r="I1299" i="1"/>
  <c r="I1300" i="1"/>
  <c r="I1298" i="1"/>
  <c r="I1287" i="1"/>
  <c r="I1284" i="1"/>
  <c r="J604" i="1"/>
  <c r="J605" i="1"/>
  <c r="I119" i="1"/>
  <c r="I118" i="1"/>
  <c r="I824" i="1"/>
  <c r="I1256" i="1"/>
  <c r="I1262" i="1"/>
  <c r="J1353" i="1"/>
  <c r="J1361" i="1"/>
  <c r="I1385" i="1"/>
  <c r="M707" i="1"/>
  <c r="N1438" i="1"/>
  <c r="M167" i="1"/>
  <c r="M498" i="1"/>
  <c r="M543" i="1"/>
  <c r="I1129" i="1"/>
  <c r="M496" i="1"/>
  <c r="I1369" i="1"/>
  <c r="I1170" i="1"/>
  <c r="M246" i="1"/>
  <c r="M1119" i="1"/>
  <c r="M1215" i="1"/>
  <c r="M1117" i="1"/>
  <c r="I1130" i="1"/>
  <c r="M1141" i="1"/>
  <c r="I1217" i="1"/>
  <c r="M1216" i="1"/>
  <c r="M701" i="1"/>
  <c r="I1009" i="1"/>
  <c r="I1108" i="1"/>
  <c r="I1107" i="1"/>
  <c r="I1386" i="1"/>
  <c r="J1367" i="1"/>
  <c r="I1268" i="1"/>
  <c r="J1245" i="1"/>
  <c r="I794" i="1"/>
  <c r="I69" i="1"/>
  <c r="I1174" i="1"/>
  <c r="I1290" i="1"/>
  <c r="I1228" i="1"/>
  <c r="I1105" i="1"/>
  <c r="N1456" i="1"/>
  <c r="N1458" i="1"/>
  <c r="B62" i="33"/>
  <c r="I1139" i="1"/>
  <c r="I1140" i="1"/>
  <c r="I1141" i="1"/>
  <c r="I1142" i="1"/>
  <c r="I1138" i="1"/>
  <c r="N658" i="1"/>
  <c r="N659" i="1"/>
  <c r="I1367" i="1"/>
  <c r="I1370" i="1"/>
  <c r="I1374" i="1"/>
  <c r="I1375" i="1"/>
  <c r="M658" i="1"/>
  <c r="M659" i="1"/>
  <c r="N597" i="1"/>
  <c r="N596" i="1"/>
  <c r="N576" i="1"/>
  <c r="M626" i="1"/>
  <c r="M627" i="1"/>
  <c r="N626" i="1"/>
  <c r="N627" i="1"/>
  <c r="N629" i="1"/>
  <c r="M651" i="1"/>
  <c r="M660" i="1"/>
  <c r="M661" i="1"/>
  <c r="M607" i="1"/>
  <c r="M606" i="1"/>
  <c r="M588" i="1"/>
  <c r="M648" i="1"/>
  <c r="G53" i="33"/>
  <c r="I39" i="1"/>
  <c r="I38" i="1"/>
  <c r="I54" i="1"/>
  <c r="I55" i="1"/>
  <c r="I80" i="1"/>
  <c r="I93" i="1"/>
  <c r="I95" i="1"/>
  <c r="I77" i="1"/>
  <c r="I96" i="1"/>
  <c r="I128" i="1"/>
  <c r="I126" i="1"/>
  <c r="I127" i="1"/>
  <c r="I318" i="1"/>
  <c r="I320" i="1"/>
  <c r="I328" i="1"/>
  <c r="I329" i="1"/>
  <c r="I153" i="1"/>
  <c r="I245" i="1"/>
  <c r="I250" i="1"/>
  <c r="I410" i="1"/>
  <c r="I249" i="1"/>
  <c r="I450" i="1"/>
  <c r="I449" i="1"/>
  <c r="I467" i="1"/>
  <c r="I466" i="1"/>
  <c r="I476" i="1"/>
  <c r="I475" i="1"/>
  <c r="I477" i="1"/>
  <c r="I474" i="1"/>
  <c r="I506" i="1"/>
  <c r="I507" i="1"/>
  <c r="I527" i="1"/>
  <c r="I528" i="1"/>
  <c r="I626" i="1"/>
  <c r="I625" i="1"/>
  <c r="I624" i="1"/>
  <c r="J661" i="1"/>
  <c r="J607" i="1"/>
  <c r="J651" i="1"/>
  <c r="J649" i="1"/>
  <c r="J588" i="1"/>
  <c r="J606" i="1"/>
  <c r="J648" i="1"/>
  <c r="J660" i="1"/>
  <c r="J589" i="1"/>
  <c r="J614" i="1"/>
  <c r="N700" i="1"/>
  <c r="N708" i="1"/>
  <c r="N701" i="1"/>
  <c r="I708" i="1"/>
  <c r="I700" i="1"/>
  <c r="I701" i="1"/>
  <c r="I732" i="1"/>
  <c r="I734" i="1"/>
  <c r="I735" i="1"/>
  <c r="I733" i="1"/>
  <c r="M738" i="1"/>
  <c r="M739" i="1"/>
  <c r="I739" i="1"/>
  <c r="I738" i="1"/>
  <c r="M766" i="1"/>
  <c r="M765" i="1"/>
  <c r="I793" i="1"/>
  <c r="I792" i="1"/>
  <c r="J822" i="1"/>
  <c r="J813" i="1"/>
  <c r="I894" i="1"/>
  <c r="I903" i="1"/>
  <c r="I904" i="1"/>
  <c r="I949" i="1"/>
  <c r="I948" i="1"/>
  <c r="I947" i="1"/>
  <c r="I946" i="1"/>
  <c r="I977" i="1"/>
  <c r="I975" i="1"/>
  <c r="I985" i="1"/>
  <c r="I984" i="1"/>
  <c r="I983" i="1"/>
  <c r="I1007" i="1"/>
  <c r="J1017" i="1"/>
  <c r="J1019" i="1"/>
  <c r="I1057" i="1"/>
  <c r="I1056" i="1"/>
  <c r="I1066" i="1"/>
  <c r="I1067" i="1"/>
  <c r="I1065" i="1"/>
  <c r="J1075" i="1"/>
  <c r="I1083" i="1"/>
  <c r="I1082" i="1"/>
  <c r="J1157" i="1"/>
  <c r="J1158" i="1"/>
  <c r="I1197" i="1"/>
  <c r="I1200" i="1"/>
  <c r="I1199" i="1"/>
  <c r="I1198" i="1"/>
  <c r="I1196" i="1"/>
  <c r="J1248" i="1"/>
  <c r="J1247" i="1"/>
  <c r="J1244" i="1"/>
  <c r="J1241" i="1"/>
  <c r="J1242" i="1"/>
  <c r="J1246" i="1"/>
  <c r="I1259" i="1"/>
  <c r="I1253" i="1"/>
  <c r="I1257" i="1"/>
  <c r="I1255" i="1"/>
  <c r="I1272" i="1"/>
  <c r="I1270" i="1"/>
  <c r="I1276" i="1"/>
  <c r="I1277" i="1"/>
  <c r="I1274" i="1"/>
  <c r="I1315" i="1"/>
  <c r="I1312" i="1"/>
  <c r="I1316" i="1"/>
  <c r="I1310" i="1"/>
  <c r="I1318" i="1"/>
  <c r="I1314" i="1"/>
  <c r="I1313" i="1"/>
  <c r="I1319" i="1"/>
  <c r="I1317" i="1"/>
  <c r="J1357" i="1"/>
  <c r="J1354" i="1"/>
  <c r="J1269" i="1"/>
  <c r="J1355" i="1"/>
  <c r="J1362" i="1"/>
  <c r="J1358" i="1"/>
  <c r="J1371" i="1"/>
  <c r="J1370" i="1"/>
  <c r="J1375" i="1"/>
  <c r="J1368" i="1"/>
  <c r="J1382" i="1"/>
  <c r="J1381" i="1"/>
  <c r="J1380" i="1"/>
  <c r="J1386" i="1"/>
  <c r="I1384" i="1"/>
  <c r="I1380" i="1"/>
  <c r="I1382" i="1"/>
  <c r="I1387" i="1"/>
  <c r="I1404" i="1"/>
  <c r="I1405" i="1"/>
  <c r="I1458" i="1"/>
  <c r="I1456" i="1"/>
  <c r="I1466" i="1"/>
  <c r="I1465" i="1"/>
  <c r="I1485" i="1"/>
  <c r="I1483" i="1"/>
  <c r="M624" i="1"/>
  <c r="M629" i="1"/>
  <c r="I1373" i="1"/>
  <c r="N577" i="1"/>
  <c r="N586" i="1"/>
  <c r="M414" i="1"/>
  <c r="M1475" i="1"/>
  <c r="O604" i="1"/>
  <c r="J1359" i="1"/>
  <c r="I1258" i="1"/>
  <c r="M589" i="1"/>
  <c r="I308" i="1"/>
  <c r="J1374" i="1"/>
  <c r="I1467" i="1"/>
  <c r="I1383" i="1"/>
  <c r="I1381" i="1"/>
  <c r="J1384" i="1"/>
  <c r="J1387" i="1"/>
  <c r="J1369" i="1"/>
  <c r="J1311" i="1"/>
  <c r="J1360" i="1"/>
  <c r="I1271" i="1"/>
  <c r="I1273" i="1"/>
  <c r="I1254" i="1"/>
  <c r="I1261" i="1"/>
  <c r="J1240" i="1"/>
  <c r="I1064" i="1"/>
  <c r="I1058" i="1"/>
  <c r="J1015" i="1"/>
  <c r="J1018" i="1"/>
  <c r="I893" i="1"/>
  <c r="J851" i="1"/>
  <c r="I825" i="1"/>
  <c r="J814" i="1"/>
  <c r="I303" i="1"/>
  <c r="I97" i="1"/>
  <c r="I79" i="1"/>
  <c r="I94" i="1"/>
  <c r="M614" i="1"/>
  <c r="N624" i="1"/>
  <c r="I1137" i="1"/>
  <c r="M423" i="1"/>
  <c r="M422" i="1"/>
  <c r="N507" i="1"/>
  <c r="N506" i="1"/>
  <c r="I902" i="1"/>
  <c r="I1195" i="1"/>
  <c r="J650" i="1"/>
  <c r="J1373" i="1"/>
  <c r="I629" i="1"/>
  <c r="I707" i="1"/>
  <c r="M276" i="1"/>
  <c r="G62" i="35"/>
  <c r="N143" i="1"/>
  <c r="N144" i="1"/>
  <c r="M165" i="1"/>
  <c r="M166" i="1"/>
  <c r="N459" i="1"/>
  <c r="N457" i="1"/>
  <c r="N249" i="1"/>
  <c r="N245" i="1"/>
  <c r="M528" i="1"/>
  <c r="M527" i="1"/>
  <c r="M449" i="1"/>
  <c r="M450" i="1"/>
  <c r="M475" i="1"/>
  <c r="M474" i="1"/>
  <c r="M477" i="1"/>
  <c r="G14" i="42"/>
  <c r="G33" i="42"/>
  <c r="J836" i="1"/>
  <c r="J831" i="1"/>
  <c r="J835" i="1"/>
  <c r="M1166" i="1"/>
  <c r="M1162" i="1"/>
  <c r="M1160" i="1"/>
  <c r="M1158" i="1"/>
  <c r="M1157" i="1"/>
  <c r="M1122" i="1"/>
  <c r="M1121" i="1"/>
  <c r="N1208" i="1"/>
  <c r="N1204" i="1"/>
  <c r="N1210" i="1"/>
  <c r="N1209" i="1"/>
  <c r="M1205" i="1"/>
  <c r="M1209" i="1"/>
  <c r="M1206" i="1"/>
  <c r="M1207" i="1"/>
  <c r="M1204" i="1"/>
  <c r="M30" i="1"/>
  <c r="M19" i="1"/>
  <c r="I1104" i="1"/>
  <c r="I1109" i="1"/>
  <c r="I1226" i="1"/>
  <c r="I1224" i="1"/>
  <c r="I1296" i="1"/>
  <c r="I1302" i="1"/>
  <c r="I1297" i="1"/>
  <c r="I1295" i="1"/>
  <c r="I1303" i="1"/>
  <c r="I1286" i="1"/>
  <c r="I1283" i="1"/>
  <c r="I1289" i="1"/>
  <c r="I1285" i="1"/>
  <c r="I1288" i="1"/>
  <c r="I1178" i="1"/>
  <c r="I1176" i="1"/>
  <c r="I1179" i="1"/>
  <c r="I1175" i="1"/>
  <c r="I1330" i="1"/>
  <c r="I1326" i="1"/>
  <c r="I1331" i="1"/>
  <c r="I1328" i="1"/>
  <c r="I1329" i="1"/>
  <c r="I1324" i="1"/>
  <c r="B14" i="35"/>
  <c r="N1429" i="1"/>
  <c r="N1431" i="1"/>
  <c r="M304" i="1"/>
  <c r="M308" i="1"/>
  <c r="N516" i="1"/>
  <c r="N514" i="1"/>
  <c r="M216" i="1"/>
  <c r="M214" i="1"/>
  <c r="M198" i="1"/>
  <c r="M197" i="1"/>
  <c r="N29" i="1"/>
  <c r="N28" i="1"/>
  <c r="N1484" i="1"/>
  <c r="N1485" i="1"/>
  <c r="I214" i="1"/>
  <c r="I216" i="1"/>
  <c r="M1228" i="1"/>
  <c r="M1224" i="1"/>
  <c r="M1226" i="1"/>
  <c r="N1150" i="1"/>
  <c r="N1153" i="1"/>
  <c r="M1149" i="1"/>
  <c r="M1153" i="1"/>
  <c r="M1142" i="1"/>
  <c r="M1137" i="1"/>
  <c r="M1139" i="1"/>
  <c r="M1140" i="1"/>
  <c r="M1187" i="1"/>
  <c r="M1190" i="1"/>
  <c r="M1186" i="1"/>
  <c r="M1191" i="1"/>
  <c r="M1189" i="1"/>
  <c r="N1158" i="1"/>
  <c r="N1157" i="1"/>
  <c r="N569" i="1"/>
  <c r="N567" i="1"/>
  <c r="N135" i="1"/>
  <c r="M56" i="1"/>
  <c r="M310" i="1"/>
  <c r="M1219" i="1"/>
  <c r="N110" i="1"/>
  <c r="N414" i="1"/>
  <c r="N47" i="1"/>
  <c r="M259" i="1"/>
  <c r="J844" i="1"/>
  <c r="M154" i="1"/>
  <c r="M145" i="1"/>
  <c r="M1412" i="1"/>
  <c r="N1149" i="1"/>
  <c r="N527" i="1"/>
  <c r="J843" i="1"/>
  <c r="M20" i="1"/>
  <c r="M227" i="1"/>
  <c r="M135" i="1"/>
  <c r="M1151" i="1"/>
  <c r="J845" i="1"/>
  <c r="M277" i="1"/>
  <c r="M1476" i="1"/>
  <c r="M1458" i="1"/>
  <c r="M1447" i="1"/>
  <c r="M1210" i="1"/>
  <c r="M1143" i="1"/>
  <c r="M1467" i="1"/>
  <c r="N1430" i="1"/>
  <c r="N517" i="1"/>
  <c r="N153" i="1"/>
  <c r="N458" i="1"/>
  <c r="M128" i="1"/>
  <c r="N515" i="1"/>
  <c r="M309" i="1"/>
  <c r="M1118" i="1"/>
  <c r="N1152" i="1"/>
  <c r="M1227" i="1"/>
  <c r="I215" i="1"/>
  <c r="I285" i="1"/>
  <c r="M1161" i="1"/>
  <c r="M1208" i="1"/>
  <c r="N1205" i="1"/>
  <c r="M476" i="1"/>
  <c r="M207" i="1"/>
  <c r="N614" i="1"/>
  <c r="N589" i="1"/>
  <c r="N616" i="1"/>
  <c r="N755" i="1"/>
  <c r="N761" i="1"/>
  <c r="N650" i="1"/>
  <c r="I424" i="1"/>
  <c r="I167" i="1"/>
  <c r="I498" i="1"/>
  <c r="I259" i="1"/>
  <c r="I411" i="1"/>
  <c r="I20" i="1"/>
  <c r="I310" i="1"/>
  <c r="I688" i="1"/>
  <c r="I685" i="1"/>
  <c r="I687" i="1"/>
  <c r="I679" i="1"/>
  <c r="I680" i="1"/>
  <c r="I689" i="1"/>
  <c r="I823" i="1"/>
  <c r="I836" i="1"/>
  <c r="I832" i="1"/>
  <c r="I872" i="1"/>
  <c r="I803" i="1"/>
  <c r="I860" i="1"/>
  <c r="I801" i="1"/>
  <c r="I859" i="1"/>
  <c r="I874" i="1"/>
  <c r="I936" i="1"/>
  <c r="I938" i="1"/>
  <c r="I958" i="1"/>
  <c r="I957" i="1"/>
  <c r="I1015" i="1"/>
  <c r="I1017" i="1"/>
  <c r="I1018" i="1"/>
  <c r="I1076" i="1"/>
  <c r="J1256" i="1"/>
  <c r="J1261" i="1"/>
  <c r="J1259" i="1"/>
  <c r="J1257" i="1"/>
  <c r="J1270" i="1"/>
  <c r="J1275" i="1"/>
  <c r="J1272" i="1"/>
  <c r="J1277" i="1"/>
  <c r="J1276" i="1"/>
  <c r="J1285" i="1"/>
  <c r="J1286" i="1"/>
  <c r="J1283" i="1"/>
  <c r="J1284" i="1"/>
  <c r="J1287" i="1"/>
  <c r="J1344" i="1"/>
  <c r="J1345" i="1"/>
  <c r="J1338" i="1"/>
  <c r="J1346" i="1"/>
  <c r="J1397" i="1"/>
  <c r="J1398" i="1"/>
  <c r="J1392" i="1"/>
  <c r="I1430" i="1"/>
  <c r="I1431" i="1"/>
  <c r="I1475" i="1"/>
  <c r="I1476" i="1"/>
  <c r="I1474" i="1"/>
  <c r="J1341" i="1"/>
  <c r="J1343" i="1"/>
  <c r="I917" i="1"/>
  <c r="I691" i="1"/>
  <c r="I955" i="1"/>
  <c r="I136" i="1"/>
  <c r="J1395" i="1"/>
  <c r="J1399" i="1"/>
  <c r="I145" i="1"/>
  <c r="I246" i="1"/>
  <c r="I19" i="1"/>
  <c r="I861" i="1"/>
  <c r="I857" i="1"/>
  <c r="I802" i="1"/>
  <c r="I871" i="1"/>
  <c r="I831" i="1"/>
  <c r="J1260" i="1"/>
  <c r="J1337" i="1"/>
  <c r="J1254" i="1"/>
  <c r="I1457" i="1"/>
  <c r="I1429" i="1"/>
  <c r="J1282" i="1"/>
  <c r="J1289" i="1"/>
  <c r="I937" i="1"/>
  <c r="J1255" i="1"/>
  <c r="I1019" i="1"/>
  <c r="J1271" i="1"/>
  <c r="J1273" i="1"/>
  <c r="J1258" i="1"/>
  <c r="I678" i="1"/>
  <c r="I56" i="1"/>
  <c r="I30" i="1"/>
  <c r="I814" i="1"/>
  <c r="I659" i="1"/>
  <c r="I690" i="1"/>
  <c r="J1339" i="1"/>
  <c r="I873" i="1"/>
  <c r="I858" i="1"/>
  <c r="I773" i="1"/>
  <c r="J1340" i="1"/>
  <c r="I805" i="1"/>
  <c r="I658" i="1"/>
  <c r="N303" i="1"/>
  <c r="N308" i="1"/>
  <c r="N498" i="1"/>
  <c r="N30" i="1"/>
  <c r="N127" i="1"/>
  <c r="N1447" i="1"/>
  <c r="M1421" i="1"/>
  <c r="N310" i="1"/>
  <c r="N154" i="1"/>
  <c r="N304" i="1"/>
  <c r="N309" i="1"/>
  <c r="N1466" i="1"/>
  <c r="M1431" i="1"/>
  <c r="M1429" i="1"/>
  <c r="M250" i="1"/>
  <c r="M249" i="1"/>
  <c r="M245" i="1"/>
  <c r="N227" i="1"/>
  <c r="N411" i="1"/>
  <c r="N145" i="1"/>
  <c r="N19" i="1"/>
  <c r="N167" i="1"/>
  <c r="N56" i="1"/>
  <c r="M1483" i="1"/>
  <c r="M1484" i="1"/>
  <c r="N477" i="1"/>
  <c r="N329" i="1"/>
  <c r="N423" i="1"/>
  <c r="N422" i="1"/>
  <c r="G15" i="33"/>
  <c r="M1217" i="1"/>
  <c r="M424" i="1"/>
  <c r="M1457" i="1"/>
  <c r="M1465" i="1"/>
  <c r="M258" i="1"/>
  <c r="J625" i="1"/>
  <c r="G46" i="42"/>
  <c r="N714" i="1"/>
  <c r="N1475" i="1"/>
  <c r="N1474" i="1"/>
  <c r="N1476" i="1"/>
  <c r="N1457" i="1"/>
  <c r="N715" i="1"/>
  <c r="J629" i="1"/>
  <c r="J627" i="1"/>
  <c r="N722" i="1"/>
  <c r="N2086" i="1"/>
  <c r="H2086" i="1"/>
  <c r="P2086" i="1" s="1"/>
  <c r="C2086" i="1" s="1"/>
  <c r="D1746" i="1"/>
  <c r="J1180" i="1"/>
  <c r="J1234" i="1"/>
  <c r="J1068" i="1"/>
  <c r="J1066" i="1"/>
  <c r="J1065" i="1"/>
  <c r="J1235" i="1"/>
  <c r="J1236" i="1"/>
  <c r="O157" i="1"/>
  <c r="O158" i="1" s="1"/>
  <c r="O728" i="1"/>
  <c r="H1542" i="23"/>
  <c r="I275" i="1"/>
  <c r="I292" i="1"/>
  <c r="I236" i="1"/>
  <c r="E177" i="42"/>
  <c r="G177" i="42" s="1"/>
  <c r="E178" i="42"/>
  <c r="G178" i="42" s="1"/>
  <c r="J618" i="1"/>
  <c r="N618" i="1"/>
  <c r="M618" i="1"/>
  <c r="I618" i="1"/>
  <c r="H1184" i="23"/>
  <c r="H1183" i="23"/>
  <c r="H1175" i="23"/>
  <c r="H1188" i="23"/>
  <c r="H1172" i="23"/>
  <c r="H1178" i="23"/>
  <c r="H1177" i="23"/>
  <c r="H1176" i="23"/>
  <c r="H1189" i="23"/>
  <c r="H1174" i="23"/>
  <c r="H1181" i="23"/>
  <c r="H1200" i="23"/>
  <c r="I277" i="1"/>
  <c r="J860" i="1"/>
  <c r="I293" i="1"/>
  <c r="J859" i="1"/>
  <c r="J804" i="1"/>
  <c r="J857" i="1"/>
  <c r="J803" i="1"/>
  <c r="J871" i="1"/>
  <c r="J800" i="1"/>
  <c r="J802" i="1"/>
  <c r="J805" i="1"/>
  <c r="J873" i="1"/>
  <c r="J861" i="1"/>
  <c r="I276" i="1"/>
  <c r="J872" i="1"/>
  <c r="J856" i="1"/>
  <c r="I235" i="1"/>
  <c r="I294" i="1"/>
  <c r="J858" i="1"/>
  <c r="J801" i="1"/>
  <c r="E247" i="42"/>
  <c r="G247" i="42" s="1"/>
  <c r="G20" i="42"/>
  <c r="H170" i="23"/>
  <c r="H171" i="23" s="1"/>
  <c r="J1162" i="1"/>
  <c r="J1165" i="1"/>
  <c r="J1160" i="1"/>
  <c r="J1161" i="1"/>
  <c r="G33" i="31"/>
  <c r="N2081" i="1"/>
  <c r="M714" i="1"/>
  <c r="M715" i="1"/>
  <c r="M721" i="1"/>
  <c r="M722" i="1"/>
  <c r="J1129" i="1"/>
  <c r="J1133" i="1"/>
  <c r="J1128" i="1"/>
  <c r="J1132" i="1"/>
  <c r="J1131" i="1"/>
  <c r="J1130" i="1"/>
  <c r="J1055" i="1"/>
  <c r="J1058" i="1"/>
  <c r="J1056" i="1"/>
  <c r="J1057" i="1"/>
  <c r="J1009" i="1"/>
  <c r="J1008" i="1"/>
  <c r="J956" i="1"/>
  <c r="J955" i="1"/>
  <c r="J957" i="1"/>
  <c r="J958" i="1"/>
  <c r="J936" i="1"/>
  <c r="J938" i="1"/>
  <c r="J937" i="1"/>
  <c r="J935" i="1"/>
  <c r="J926" i="1"/>
  <c r="J928" i="1"/>
  <c r="J927" i="1"/>
  <c r="J917" i="1"/>
  <c r="J918" i="1"/>
  <c r="G53" i="31"/>
  <c r="J904" i="1"/>
  <c r="J903" i="1"/>
  <c r="J902" i="1"/>
  <c r="M69" i="1"/>
  <c r="M68" i="1"/>
  <c r="H2108" i="1"/>
  <c r="P2108" i="1" s="1"/>
  <c r="C2108" i="1" s="1"/>
  <c r="N2108" i="1"/>
  <c r="N1119" i="1"/>
  <c r="N1123" i="1"/>
  <c r="N1121" i="1"/>
  <c r="N1117" i="1"/>
  <c r="N1118" i="1"/>
  <c r="N1122" i="1"/>
  <c r="O708" i="1"/>
  <c r="O707" i="1"/>
  <c r="O722" i="1"/>
  <c r="O714" i="1"/>
  <c r="O721" i="1"/>
  <c r="O715" i="1"/>
  <c r="O111" i="1"/>
  <c r="O110" i="1"/>
  <c r="O29" i="1"/>
  <c r="O28" i="1"/>
  <c r="O576" i="1"/>
  <c r="O587" i="1"/>
  <c r="O596" i="1"/>
  <c r="O597" i="1"/>
  <c r="O577" i="1"/>
  <c r="O586" i="1"/>
  <c r="O569" i="1"/>
  <c r="O567" i="1"/>
  <c r="O568" i="1"/>
  <c r="O738" i="1"/>
  <c r="O739" i="1"/>
  <c r="O761" i="1"/>
  <c r="O762" i="1"/>
  <c r="O748" i="1"/>
  <c r="O755" i="1"/>
  <c r="O754" i="1"/>
  <c r="O732" i="1"/>
  <c r="O734" i="1"/>
  <c r="O735" i="1"/>
  <c r="O733"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69" i="1"/>
  <c r="J968" i="1"/>
  <c r="J966" i="1"/>
  <c r="J967" i="1"/>
  <c r="J294" i="1"/>
  <c r="J292" i="1"/>
  <c r="J293" i="1"/>
  <c r="J517" i="1"/>
  <c r="J514" i="1"/>
  <c r="J515" i="1"/>
  <c r="J516" i="1"/>
  <c r="J110" i="1"/>
  <c r="J111" i="1"/>
  <c r="J207" i="1"/>
  <c r="J206" i="1"/>
  <c r="J257" i="1"/>
  <c r="J258" i="1"/>
  <c r="J54" i="1"/>
  <c r="J55" i="1"/>
  <c r="J467" i="1"/>
  <c r="J466" i="1"/>
  <c r="J144" i="1"/>
  <c r="J143" i="1"/>
  <c r="J450" i="1"/>
  <c r="J449" i="1"/>
  <c r="J165" i="1"/>
  <c r="J166" i="1"/>
  <c r="J226" i="1"/>
  <c r="J225" i="1"/>
  <c r="J267" i="1"/>
  <c r="J268" i="1"/>
  <c r="J487" i="1"/>
  <c r="J486" i="1"/>
  <c r="J127" i="1"/>
  <c r="J126" i="1"/>
  <c r="J128" i="1"/>
  <c r="J527" i="1"/>
  <c r="J528" i="1"/>
  <c r="J189" i="1"/>
  <c r="J190" i="1"/>
  <c r="J28" i="1"/>
  <c r="J29" i="1"/>
  <c r="J496" i="1"/>
  <c r="J497" i="1"/>
  <c r="J68" i="1"/>
  <c r="J69" i="1"/>
  <c r="J214" i="1"/>
  <c r="J216" i="1"/>
  <c r="J215" i="1"/>
  <c r="J329" i="1"/>
  <c r="J327" i="1"/>
  <c r="J328" i="1"/>
  <c r="J167" i="1"/>
  <c r="J310" i="1"/>
  <c r="J20" i="1"/>
  <c r="J424" i="1"/>
  <c r="J19" i="1"/>
  <c r="J154" i="1"/>
  <c r="J498" i="1"/>
  <c r="J411" i="1"/>
  <c r="J30" i="1"/>
  <c r="J56" i="1"/>
  <c r="J259" i="1"/>
  <c r="J145" i="1"/>
  <c r="J227" i="1"/>
  <c r="J488" i="1"/>
  <c r="J237" i="1"/>
  <c r="J246" i="1"/>
  <c r="J507" i="1"/>
  <c r="J506" i="1"/>
  <c r="J118" i="1"/>
  <c r="J119" i="1"/>
  <c r="J303" i="1"/>
  <c r="J308" i="1"/>
  <c r="J304" i="1"/>
  <c r="J309" i="1"/>
  <c r="J47" i="1"/>
  <c r="J46" i="1"/>
  <c r="J422" i="1"/>
  <c r="J423" i="1"/>
  <c r="J135" i="1"/>
  <c r="J136" i="1"/>
  <c r="B7" i="31"/>
  <c r="J459" i="1"/>
  <c r="J457" i="1"/>
  <c r="J458" i="1"/>
  <c r="J277" i="1"/>
  <c r="J276" i="1"/>
  <c r="J275" i="1"/>
  <c r="J39" i="1"/>
  <c r="J38" i="1"/>
  <c r="J153" i="1"/>
  <c r="J245" i="1"/>
  <c r="J410" i="1"/>
  <c r="J250" i="1"/>
  <c r="J249" i="1"/>
  <c r="J197" i="1"/>
  <c r="J199" i="1"/>
  <c r="J198" i="1"/>
  <c r="J157" i="1"/>
  <c r="J158" i="1" s="1"/>
  <c r="J284" i="1"/>
  <c r="J285" i="1"/>
  <c r="J318" i="1"/>
  <c r="J320" i="1"/>
  <c r="J319" i="1"/>
  <c r="J475" i="1"/>
  <c r="J474" i="1"/>
  <c r="J476" i="1"/>
  <c r="J477" i="1"/>
  <c r="J1199" i="1"/>
  <c r="J1195" i="1"/>
  <c r="J1197" i="1"/>
  <c r="J1196" i="1"/>
  <c r="J1198" i="1"/>
  <c r="J1200"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J659" i="1"/>
  <c r="J658" i="1"/>
  <c r="G37" i="31"/>
  <c r="J688" i="1"/>
  <c r="J689" i="1"/>
  <c r="J667" i="1"/>
  <c r="J669" i="1"/>
  <c r="J668" i="1"/>
  <c r="J687" i="1"/>
  <c r="J678" i="1"/>
  <c r="J679" i="1"/>
  <c r="J690" i="1"/>
  <c r="J686" i="1"/>
  <c r="J685" i="1"/>
  <c r="J680" i="1"/>
  <c r="J691" i="1"/>
  <c r="J755" i="1"/>
  <c r="J754" i="1"/>
  <c r="J761" i="1"/>
  <c r="J748" i="1"/>
  <c r="J762" i="1"/>
  <c r="J739" i="1"/>
  <c r="J738" i="1"/>
  <c r="J772" i="1"/>
  <c r="J773" i="1"/>
  <c r="J722" i="1"/>
  <c r="J714" i="1"/>
  <c r="J715" i="1"/>
  <c r="J721" i="1"/>
  <c r="J734" i="1"/>
  <c r="J733" i="1"/>
  <c r="J732" i="1"/>
  <c r="J735" i="1"/>
  <c r="J766" i="1"/>
  <c r="J765" i="1"/>
  <c r="J728" i="1"/>
  <c r="J700" i="1"/>
  <c r="J701" i="1"/>
  <c r="J708" i="1"/>
  <c r="J707" i="1"/>
  <c r="G47" i="31"/>
  <c r="J946" i="1"/>
  <c r="J949" i="1"/>
  <c r="J945" i="1"/>
  <c r="J947" i="1"/>
  <c r="J948" i="1"/>
  <c r="J1029" i="1"/>
  <c r="J1028" i="1"/>
  <c r="J1037" i="1"/>
  <c r="J1038" i="1"/>
  <c r="J1097" i="1"/>
  <c r="J1046" i="1"/>
  <c r="J1101" i="1"/>
  <c r="J1048" i="1"/>
  <c r="J1098" i="1"/>
  <c r="J1047" i="1"/>
  <c r="J1100" i="1"/>
  <c r="G64" i="31"/>
  <c r="J1083" i="1"/>
  <c r="J1082" i="1"/>
  <c r="J1107" i="1"/>
  <c r="J1108" i="1"/>
  <c r="J1106" i="1"/>
  <c r="J1109" i="1"/>
  <c r="J1104" i="1"/>
  <c r="J1105" i="1"/>
  <c r="J1117" i="1"/>
  <c r="J1119" i="1"/>
  <c r="J1121" i="1"/>
  <c r="J1123" i="1"/>
  <c r="J1122" i="1"/>
  <c r="J1118" i="1"/>
  <c r="B70" i="31"/>
  <c r="J1139" i="1"/>
  <c r="J1138" i="1"/>
  <c r="J1142" i="1"/>
  <c r="J1137" i="1"/>
  <c r="J1141" i="1"/>
  <c r="J1143" i="1"/>
  <c r="J1140" i="1"/>
  <c r="J1153" i="1"/>
  <c r="J1149" i="1"/>
  <c r="J1150" i="1"/>
  <c r="J1151" i="1"/>
  <c r="J1152" i="1"/>
  <c r="J1148" i="1"/>
  <c r="B74" i="31"/>
  <c r="J1189" i="1"/>
  <c r="J1187" i="1"/>
  <c r="J1188" i="1"/>
  <c r="J1190" i="1"/>
  <c r="J1191" i="1"/>
  <c r="J1186" i="1"/>
  <c r="J1204" i="1"/>
  <c r="J1205" i="1"/>
  <c r="J1207" i="1"/>
  <c r="J1208" i="1"/>
  <c r="J1206" i="1"/>
  <c r="J1209" i="1"/>
  <c r="J1210" i="1"/>
  <c r="G77" i="31"/>
  <c r="J1218" i="1"/>
  <c r="J1217" i="1"/>
  <c r="J1219" i="1"/>
  <c r="J1220" i="1"/>
  <c r="J1215" i="1"/>
  <c r="J1216" i="1"/>
  <c r="J1228" i="1"/>
  <c r="J1227" i="1"/>
  <c r="J1224" i="1"/>
  <c r="J1226" i="1"/>
  <c r="J1225" i="1"/>
  <c r="J1431" i="1"/>
  <c r="J1429" i="1"/>
  <c r="J1430" i="1"/>
  <c r="J1485" i="1"/>
  <c r="J1483" i="1"/>
  <c r="J1484" i="1"/>
  <c r="B84" i="31"/>
  <c r="J1449" i="1"/>
  <c r="J1448" i="1"/>
  <c r="J1447" i="1"/>
  <c r="J1466" i="1"/>
  <c r="J1465" i="1"/>
  <c r="J1467" i="1"/>
  <c r="J1457" i="1"/>
  <c r="J1458" i="1"/>
  <c r="J1456" i="1"/>
  <c r="J1422" i="1"/>
  <c r="J1421" i="1"/>
  <c r="J1420" i="1"/>
  <c r="J1475" i="1"/>
  <c r="J1474" i="1"/>
  <c r="J1476" i="1"/>
  <c r="J1412" i="1"/>
  <c r="J1413" i="1"/>
  <c r="J1405" i="1"/>
  <c r="J1404" i="1"/>
  <c r="J1440" i="1"/>
  <c r="J1439" i="1"/>
  <c r="J1438" i="1"/>
  <c r="N1420" i="1"/>
  <c r="N1422" i="1"/>
  <c r="N1421" i="1"/>
  <c r="N1412" i="1"/>
  <c r="N1413" i="1"/>
  <c r="G58" i="35"/>
  <c r="N1404" i="1"/>
  <c r="N1405" i="1"/>
  <c r="B56" i="35"/>
  <c r="N1232" i="1"/>
  <c r="N1233" i="1"/>
  <c r="N1236" i="1"/>
  <c r="N1234" i="1"/>
  <c r="N1235" i="1"/>
  <c r="N1224" i="1"/>
  <c r="N1226" i="1"/>
  <c r="N1228" i="1"/>
  <c r="N1227" i="1"/>
  <c r="N1225" i="1"/>
  <c r="B54" i="35"/>
  <c r="N1179" i="1"/>
  <c r="N1176" i="1"/>
  <c r="N1175" i="1"/>
  <c r="N1174" i="1"/>
  <c r="N1180" i="1"/>
  <c r="N1181" i="1"/>
  <c r="N1178" i="1"/>
  <c r="N1165" i="1"/>
  <c r="N1161" i="1"/>
  <c r="N1162" i="1"/>
  <c r="N1166" i="1"/>
  <c r="N1160" i="1"/>
  <c r="N1138" i="1"/>
  <c r="N1137" i="1"/>
  <c r="N1143" i="1"/>
  <c r="N1140" i="1"/>
  <c r="N1142" i="1"/>
  <c r="N1139" i="1"/>
  <c r="N1141" i="1"/>
  <c r="N1132" i="1"/>
  <c r="N1129" i="1"/>
  <c r="N1131" i="1"/>
  <c r="N1128" i="1"/>
  <c r="N1130" i="1"/>
  <c r="N1133" i="1"/>
  <c r="N1108" i="1"/>
  <c r="N1109" i="1"/>
  <c r="N1105" i="1"/>
  <c r="N1104" i="1"/>
  <c r="N1107" i="1"/>
  <c r="N1106"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183" i="1"/>
  <c r="H2174" i="1"/>
  <c r="C1097" i="1"/>
  <c r="H1886" i="23"/>
  <c r="H1873" i="23"/>
  <c r="H1876" i="23"/>
  <c r="H1881" i="23"/>
  <c r="H1891" i="23"/>
  <c r="H1887" i="23"/>
  <c r="H1892" i="23"/>
  <c r="H1888" i="23"/>
  <c r="H1880" i="23"/>
  <c r="H1874" i="23"/>
  <c r="H1877" i="23"/>
  <c r="H1879" i="23"/>
  <c r="H1883" i="23"/>
  <c r="H1878" i="23"/>
  <c r="H1884" i="23"/>
  <c r="H1875" i="23"/>
  <c r="H1885" i="23"/>
  <c r="H1889" i="23"/>
  <c r="H1893" i="23"/>
  <c r="H1890" i="23"/>
  <c r="H2925" i="23"/>
  <c r="H2917" i="23"/>
  <c r="H2924" i="23"/>
  <c r="H2922" i="23"/>
  <c r="H2920" i="23"/>
  <c r="H2906" i="23"/>
  <c r="H2915" i="23"/>
  <c r="H2921" i="23"/>
  <c r="H2910" i="23" s="1"/>
  <c r="H2919" i="23"/>
  <c r="H2911" i="23"/>
  <c r="H2913" i="23"/>
  <c r="H2912" i="23"/>
  <c r="H2923" i="23"/>
  <c r="H2905" i="23"/>
  <c r="H2916" i="23"/>
  <c r="H2914" i="23"/>
  <c r="H2909" i="23"/>
  <c r="H2907" i="23"/>
  <c r="H2929" i="23" s="1"/>
  <c r="H2918" i="23"/>
  <c r="H2908" i="23"/>
  <c r="C2251" i="1"/>
  <c r="J984" i="1"/>
  <c r="J985" i="1"/>
  <c r="J983" i="1"/>
  <c r="C1168" i="1"/>
  <c r="C1183" i="1"/>
  <c r="D66" i="117"/>
  <c r="G66" i="117" s="1"/>
  <c r="C2289" i="1"/>
  <c r="D2302" i="1"/>
  <c r="H2302" i="1" s="1"/>
  <c r="P2302" i="1" s="1"/>
  <c r="C2302" i="1" s="1"/>
  <c r="D2294" i="1"/>
  <c r="D2280" i="1"/>
  <c r="D2300" i="1"/>
  <c r="E286" i="42" s="1"/>
  <c r="D2301" i="1"/>
  <c r="H2301" i="1" s="1"/>
  <c r="P2301" i="1" s="1"/>
  <c r="C2301" i="1" s="1"/>
  <c r="D2304" i="1"/>
  <c r="H2304" i="1" s="1"/>
  <c r="P2304" i="1" s="1"/>
  <c r="C2304" i="1" s="1"/>
  <c r="D2312" i="1"/>
  <c r="D2292" i="1"/>
  <c r="E278" i="42" s="1"/>
  <c r="D2293" i="1"/>
  <c r="D2303" i="1"/>
  <c r="H2303" i="1" s="1"/>
  <c r="P2303" i="1" s="1"/>
  <c r="C2303" i="1" s="1"/>
  <c r="D2306" i="1"/>
  <c r="D2291" i="1"/>
  <c r="E277" i="42" s="1"/>
  <c r="G277" i="42" s="1"/>
  <c r="D2309" i="1"/>
  <c r="E295" i="42" s="1"/>
  <c r="D2299" i="1"/>
  <c r="H2299" i="1" s="1"/>
  <c r="P2299" i="1" s="1"/>
  <c r="C2299" i="1" s="1"/>
  <c r="D2278" i="1"/>
  <c r="D2307" i="1"/>
  <c r="E293" i="42" s="1"/>
  <c r="D2313" i="1"/>
  <c r="D2310" i="1"/>
  <c r="D2297" i="1"/>
  <c r="H2297" i="1" s="1"/>
  <c r="P2297" i="1" s="1"/>
  <c r="C2297" i="1" s="1"/>
  <c r="D2298" i="1"/>
  <c r="H2298" i="1" s="1"/>
  <c r="P2298" i="1" s="1"/>
  <c r="C2298" i="1" s="1"/>
  <c r="D2290" i="1"/>
  <c r="E276" i="42" s="1"/>
  <c r="G276" i="42" s="1"/>
  <c r="D2295" i="1"/>
  <c r="E228" i="42"/>
  <c r="G228" i="42" s="1"/>
  <c r="P2046" i="1"/>
  <c r="C2046" i="1" s="1"/>
  <c r="C2006" i="1"/>
  <c r="F90" i="97" l="1"/>
  <c r="H12" i="114"/>
  <c r="G90" i="97"/>
  <c r="I12" i="114"/>
  <c r="D12" i="114" s="1"/>
  <c r="G77" i="97"/>
  <c r="I13" i="114"/>
  <c r="G16" i="97"/>
  <c r="I10" i="113"/>
  <c r="F81" i="97"/>
  <c r="H11" i="113"/>
  <c r="F77" i="97"/>
  <c r="H13" i="114"/>
  <c r="D13" i="114" s="1"/>
  <c r="G81" i="97"/>
  <c r="I11" i="113"/>
  <c r="F4" i="97"/>
  <c r="H8" i="114"/>
  <c r="F104" i="97"/>
  <c r="H13" i="113"/>
  <c r="F88" i="97"/>
  <c r="H11" i="114"/>
  <c r="F71" i="97"/>
  <c r="H9" i="114"/>
  <c r="F16" i="97"/>
  <c r="H10" i="113"/>
  <c r="G4" i="97"/>
  <c r="I8" i="114"/>
  <c r="G104" i="97"/>
  <c r="I13" i="113"/>
  <c r="G88" i="97"/>
  <c r="I11" i="114"/>
  <c r="G71" i="97"/>
  <c r="I9" i="114"/>
  <c r="F6" i="97"/>
  <c r="H10" i="114"/>
  <c r="G6" i="97"/>
  <c r="I10" i="114"/>
  <c r="G13" i="97"/>
  <c r="I14" i="114"/>
  <c r="D14" i="114" s="1"/>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35" i="23"/>
  <c r="H2840" i="23" s="1"/>
  <c r="J1026" i="1"/>
  <c r="I811" i="1"/>
  <c r="I964" i="1"/>
  <c r="I1035" i="1"/>
  <c r="GT182" i="16"/>
  <c r="A6" i="41"/>
  <c r="T1755" i="1" s="1"/>
  <c r="J790" i="1"/>
  <c r="N595" i="1"/>
  <c r="I916" i="1"/>
  <c r="N790" i="1"/>
  <c r="BK69" i="61"/>
  <c r="D2217" i="1" s="1"/>
  <c r="H2217" i="1" s="1"/>
  <c r="P2217" i="1" s="1"/>
  <c r="C2217" i="1" s="1"/>
  <c r="O790" i="1"/>
  <c r="M790" i="1"/>
  <c r="B87" i="31"/>
  <c r="B55" i="34"/>
  <c r="G103" i="42"/>
  <c r="B33" i="34"/>
  <c r="B19" i="35"/>
  <c r="I1045" i="1"/>
  <c r="B112" i="42"/>
  <c r="I1054" i="1"/>
  <c r="I1120" i="1"/>
  <c r="G51" i="33"/>
  <c r="M892" i="1"/>
  <c r="B114" i="42"/>
  <c r="E874" i="23"/>
  <c r="B60" i="31"/>
  <c r="G46" i="31"/>
  <c r="T69" i="61"/>
  <c r="K25" i="97"/>
  <c r="K31" i="97"/>
  <c r="G18" i="31"/>
  <c r="J925" i="1"/>
  <c r="G14" i="33"/>
  <c r="H1490" i="23"/>
  <c r="H1456" i="23"/>
  <c r="H1464" i="23" s="1"/>
  <c r="H1467" i="23" s="1"/>
  <c r="D197" i="23"/>
  <c r="I684" i="1"/>
  <c r="N892" i="1"/>
  <c r="M595" i="1"/>
  <c r="D1022" i="1"/>
  <c r="D1021" i="1" s="1"/>
  <c r="J791" i="1"/>
  <c r="M647" i="1"/>
  <c r="I791" i="1"/>
  <c r="M684" i="1"/>
  <c r="J1025" i="1"/>
  <c r="J1054" i="1"/>
  <c r="J1036" i="1"/>
  <c r="M901" i="1"/>
  <c r="D1623" i="1"/>
  <c r="I1704" i="1"/>
  <c r="G1710" i="23"/>
  <c r="F153" i="23"/>
  <c r="D1959" i="1"/>
  <c r="F1225" i="23"/>
  <c r="F476" i="23"/>
  <c r="CP134" i="70"/>
  <c r="EY95" i="16"/>
  <c r="BQ182" i="16"/>
  <c r="CW95" i="16"/>
  <c r="T879" i="1"/>
  <c r="L879" i="1"/>
  <c r="L635" i="1"/>
  <c r="D2107" i="1"/>
  <c r="H2107" i="1" s="1"/>
  <c r="P2107" i="1" s="1"/>
  <c r="C2107" i="1" s="1"/>
  <c r="AC69" i="61"/>
  <c r="FM95" i="16"/>
  <c r="ED95" i="16"/>
  <c r="B36" i="31"/>
  <c r="J901" i="1"/>
  <c r="D907" i="1"/>
  <c r="D906" i="1" s="1"/>
  <c r="DT95" i="16"/>
  <c r="BC95" i="16"/>
  <c r="B13" i="35"/>
  <c r="I901" i="1"/>
  <c r="G28" i="33"/>
  <c r="I990" i="1"/>
  <c r="AH229" i="70"/>
  <c r="K1879" i="1"/>
  <c r="H1879" i="1" s="1"/>
  <c r="H78" i="97" s="1"/>
  <c r="K879" i="1"/>
  <c r="K1880" i="1"/>
  <c r="K1819" i="1"/>
  <c r="B86" i="31"/>
  <c r="AJ69" i="61"/>
  <c r="BR134" i="70"/>
  <c r="F182" i="16"/>
  <c r="FH182" i="16"/>
  <c r="AR95" i="16"/>
  <c r="D2109" i="1"/>
  <c r="H2109" i="1" s="1"/>
  <c r="P2109" i="1" s="1"/>
  <c r="C2109" i="1" s="1"/>
  <c r="D2094" i="1"/>
  <c r="N2094" i="1" s="1"/>
  <c r="D2079" i="1"/>
  <c r="N2079" i="1" s="1"/>
  <c r="D2089" i="1"/>
  <c r="N2089" i="1" s="1"/>
  <c r="H2100" i="1"/>
  <c r="P2100" i="1" s="1"/>
  <c r="C2100" i="1" s="1"/>
  <c r="T635" i="1"/>
  <c r="K635" i="1"/>
  <c r="G59" i="31"/>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647" i="23"/>
  <c r="G308" i="23"/>
  <c r="E1472" i="23"/>
  <c r="G875" i="23"/>
  <c r="F647" i="23"/>
  <c r="G1473"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860" i="23"/>
  <c r="H2867" i="23" s="1"/>
  <c r="H1691" i="1"/>
  <c r="P1691" i="1" s="1"/>
  <c r="C1691" i="1" s="1"/>
  <c r="D2145" i="1"/>
  <c r="F78" i="33"/>
  <c r="H2079" i="1"/>
  <c r="P2079" i="1" s="1"/>
  <c r="C2079" i="1" s="1"/>
  <c r="D1657" i="1"/>
  <c r="H1657" i="1" s="1"/>
  <c r="P1657" i="1" s="1"/>
  <c r="C1657" i="1" s="1"/>
  <c r="H2127" i="1"/>
  <c r="P2127" i="1" s="1"/>
  <c r="C2127" i="1" s="1"/>
  <c r="I1702" i="1"/>
  <c r="H2094" i="1"/>
  <c r="P2094" i="1" s="1"/>
  <c r="C2094" i="1" s="1"/>
  <c r="I1676" i="1"/>
  <c r="G177" i="23"/>
  <c r="G945" i="23"/>
  <c r="E945" i="23"/>
  <c r="D2096" i="1"/>
  <c r="N2096" i="1" s="1"/>
  <c r="DH341" i="20"/>
  <c r="M616" i="1"/>
  <c r="I616" i="1"/>
  <c r="G671" i="23"/>
  <c r="F671" i="23"/>
  <c r="F1777" i="23"/>
  <c r="G1777" i="23"/>
  <c r="F965" i="23"/>
  <c r="E965" i="23"/>
  <c r="G2388" i="23"/>
  <c r="E2388" i="23"/>
  <c r="H2042" i="23"/>
  <c r="H2055" i="23" s="1"/>
  <c r="H2056" i="23"/>
  <c r="H2066" i="23" s="1"/>
  <c r="H2069" i="23" s="1"/>
  <c r="K1777" i="1"/>
  <c r="H1777" i="1"/>
  <c r="P1777" i="1" s="1"/>
  <c r="C1777" i="1" s="1"/>
  <c r="CS307" i="70"/>
  <c r="H459" i="23"/>
  <c r="H477" i="23"/>
  <c r="H482" i="23" s="1"/>
  <c r="F874" i="23"/>
  <c r="E307" i="23"/>
  <c r="G307" i="23"/>
  <c r="F307" i="23"/>
  <c r="G969" i="23"/>
  <c r="F969" i="23"/>
  <c r="E1932" i="23"/>
  <c r="F1932" i="23"/>
  <c r="H2183" i="23"/>
  <c r="H2186" i="23" s="1"/>
  <c r="H2255" i="23"/>
  <c r="H2264" i="23" s="1"/>
  <c r="H2216" i="23"/>
  <c r="H2220" i="23" s="1"/>
  <c r="H2234" i="23" s="1"/>
  <c r="H2154" i="23"/>
  <c r="H2155" i="23" s="1"/>
  <c r="H2156" i="23" s="1"/>
  <c r="G1304" i="23"/>
  <c r="E1304" i="23"/>
  <c r="BE134" i="70"/>
  <c r="D987" i="1"/>
  <c r="D986" i="1" s="1"/>
  <c r="I986" i="1" s="1"/>
  <c r="I982" i="1"/>
  <c r="J982" i="1"/>
  <c r="G75" i="42"/>
  <c r="B75" i="42"/>
  <c r="F1468" i="23"/>
  <c r="G1928" i="23"/>
  <c r="G965" i="23"/>
  <c r="G874" i="23"/>
  <c r="F556" i="23"/>
  <c r="G80" i="42"/>
  <c r="AR69" i="61"/>
  <c r="BA182" i="16"/>
  <c r="B202" i="31"/>
  <c r="G202" i="31"/>
  <c r="G21" i="33"/>
  <c r="B57" i="34"/>
  <c r="B12" i="33"/>
  <c r="G23" i="35"/>
  <c r="BR182" i="16"/>
  <c r="G65" i="34"/>
  <c r="J892" i="1"/>
  <c r="G15" i="31"/>
  <c r="B46" i="42"/>
  <c r="B43" i="34"/>
  <c r="G56" i="34"/>
  <c r="B62" i="35"/>
  <c r="J616" i="1"/>
  <c r="G52" i="34"/>
  <c r="B40" i="33"/>
  <c r="G1468" i="23"/>
  <c r="E2000" i="23"/>
  <c r="F1927" i="23"/>
  <c r="E1777" i="23"/>
  <c r="F945" i="23"/>
  <c r="E646" i="23"/>
  <c r="DD341" i="20"/>
  <c r="AB134" i="70"/>
  <c r="G60" i="42"/>
  <c r="B33" i="35"/>
  <c r="N1120" i="1"/>
  <c r="D2077" i="1"/>
  <c r="N2077" i="1" s="1"/>
  <c r="I1074" i="1"/>
  <c r="H1760" i="23"/>
  <c r="H1770" i="23" s="1"/>
  <c r="H1771" i="23" s="1"/>
  <c r="H1772" i="23" s="1"/>
  <c r="GN95" i="16"/>
  <c r="G66" i="35"/>
  <c r="B68" i="31"/>
  <c r="G68" i="31"/>
  <c r="B21" i="42"/>
  <c r="G57" i="42"/>
  <c r="F1472" i="23"/>
  <c r="G237" i="23"/>
  <c r="E181" i="42"/>
  <c r="G181" i="42" s="1"/>
  <c r="G13" i="34"/>
  <c r="G45" i="42"/>
  <c r="CV182" i="16"/>
  <c r="D2256" i="1"/>
  <c r="C2256" i="1" s="1"/>
  <c r="J820" i="1"/>
  <c r="M820" i="1"/>
  <c r="GN182" i="16"/>
  <c r="G13" i="42"/>
  <c r="G13" i="35"/>
  <c r="J1044" i="1"/>
  <c r="I1044" i="1"/>
  <c r="I1005" i="1"/>
  <c r="J1005" i="1"/>
  <c r="G65" i="31"/>
  <c r="B23" i="33"/>
  <c r="F217" i="23"/>
  <c r="H1950" i="23"/>
  <c r="H1954" i="23" s="1"/>
  <c r="DL95" i="16"/>
  <c r="B66" i="33"/>
  <c r="M134" i="70"/>
  <c r="X182" i="16"/>
  <c r="DZ182" i="16"/>
  <c r="D2047" i="1"/>
  <c r="H2047" i="1" s="1"/>
  <c r="P2047" i="1" s="1"/>
  <c r="C2047" i="1" s="1"/>
  <c r="EG95" i="16"/>
  <c r="I812" i="1"/>
  <c r="J812" i="1"/>
  <c r="D677" i="1"/>
  <c r="N677" i="1" s="1"/>
  <c r="J676" i="1"/>
  <c r="D652" i="1"/>
  <c r="I647" i="1"/>
  <c r="N647" i="1"/>
  <c r="ES95" i="16"/>
  <c r="CP307" i="70"/>
  <c r="C134" i="70"/>
  <c r="FK95" i="16"/>
  <c r="CG182" i="16"/>
  <c r="DH95" i="16"/>
  <c r="AI69" i="61"/>
  <c r="FQ182" i="16"/>
  <c r="FC95" i="16"/>
  <c r="FK182" i="16"/>
  <c r="GA182" i="16"/>
  <c r="BL182" i="16"/>
  <c r="DO95" i="16"/>
  <c r="D1519" i="1" s="1"/>
  <c r="D1522" i="1" s="1"/>
  <c r="AP69" i="61"/>
  <c r="D2220" i="1" s="1"/>
  <c r="H2220" i="1" s="1"/>
  <c r="P2220" i="1" s="1"/>
  <c r="C2220" i="1" s="1"/>
  <c r="B55" i="35"/>
  <c r="J675" i="1"/>
  <c r="G69" i="31"/>
  <c r="B45" i="33"/>
  <c r="I603" i="1"/>
  <c r="N603" i="1"/>
  <c r="J603"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24" i="1"/>
  <c r="N2124" i="1" s="1"/>
  <c r="CD341" i="20"/>
  <c r="G70" i="33"/>
  <c r="G19" i="42"/>
  <c r="I657" i="1"/>
  <c r="Q69" i="61"/>
  <c r="T830" i="1"/>
  <c r="T623" i="1"/>
  <c r="T1455" i="1"/>
  <c r="T1231" i="1"/>
  <c r="T1159" i="1"/>
  <c r="T495" i="1"/>
  <c r="T409" i="1"/>
  <c r="T307" i="1"/>
  <c r="T67" i="1"/>
  <c r="K1809" i="1"/>
  <c r="H1809" i="1"/>
  <c r="P1809" i="1" s="1"/>
  <c r="C1809" i="1" s="1"/>
  <c r="G61" i="35"/>
  <c r="B71" i="31"/>
  <c r="G29" i="35"/>
  <c r="GF95" i="16"/>
  <c r="AF69" i="61"/>
  <c r="G88" i="31"/>
  <c r="B27" i="31"/>
  <c r="B104" i="42"/>
  <c r="B12" i="34"/>
  <c r="I1006" i="1"/>
  <c r="I891" i="1"/>
  <c r="J617" i="1"/>
  <c r="G45" i="31"/>
  <c r="M617" i="1"/>
  <c r="I924" i="1"/>
  <c r="G58" i="33"/>
  <c r="F178" i="23"/>
  <c r="D745" i="23"/>
  <c r="AZ69" i="61"/>
  <c r="AT69" i="61"/>
  <c r="FA182" i="16"/>
  <c r="AB182" i="16"/>
  <c r="BK229" i="70"/>
  <c r="CN209" i="70"/>
  <c r="U134" i="70"/>
  <c r="AQ95" i="16"/>
  <c r="AU95" i="16"/>
  <c r="G35" i="31"/>
  <c r="G51" i="42"/>
  <c r="E307" i="70"/>
  <c r="Q95" i="16"/>
  <c r="B37" i="31"/>
  <c r="B26" i="31"/>
  <c r="B35" i="35"/>
  <c r="G113" i="42"/>
  <c r="B70" i="42"/>
  <c r="B20" i="31"/>
  <c r="B53" i="31"/>
  <c r="J684" i="1"/>
  <c r="G30" i="31"/>
  <c r="B107" i="42"/>
  <c r="J916" i="1"/>
  <c r="B15" i="33"/>
  <c r="B33" i="42"/>
  <c r="D2128" i="1"/>
  <c r="H2128" i="1" s="1"/>
  <c r="P2128" i="1" s="1"/>
  <c r="C2128" i="1" s="1"/>
  <c r="B37" i="33"/>
  <c r="G34" i="33"/>
  <c r="G89" i="42"/>
  <c r="B34" i="31"/>
  <c r="B66" i="42"/>
  <c r="I870" i="1"/>
  <c r="G152" i="23"/>
  <c r="B201" i="31"/>
  <c r="G55" i="33"/>
  <c r="GB95" i="16"/>
  <c r="CN255" i="70"/>
  <c r="AN229" i="70"/>
  <c r="CF134" i="70"/>
  <c r="CQ134" i="70"/>
  <c r="FB182" i="16"/>
  <c r="FV182" i="16"/>
  <c r="L990" i="1"/>
  <c r="K990" i="1"/>
  <c r="CM95" i="16"/>
  <c r="G62" i="33"/>
  <c r="B110" i="42"/>
  <c r="I617" i="1"/>
  <c r="N924" i="1"/>
  <c r="DI95" i="16"/>
  <c r="DC341" i="20"/>
  <c r="D2090" i="1"/>
  <c r="N2090" i="1" s="1"/>
  <c r="F332" i="23"/>
  <c r="K89" i="97"/>
  <c r="T890" i="1"/>
  <c r="T1428" i="1"/>
  <c r="T1214" i="1"/>
  <c r="T1127" i="1"/>
  <c r="T456" i="1"/>
  <c r="T339" i="1"/>
  <c r="T274" i="1"/>
  <c r="T753" i="1"/>
  <c r="T954" i="1"/>
  <c r="D1494" i="1"/>
  <c r="D1602" i="1"/>
  <c r="G70" i="31"/>
  <c r="B13" i="31"/>
  <c r="CL95" i="16"/>
  <c r="B27" i="35"/>
  <c r="O575" i="1"/>
  <c r="J924" i="1"/>
  <c r="B28" i="34"/>
  <c r="D2129" i="1"/>
  <c r="D2093" i="1"/>
  <c r="H2093" i="1" s="1"/>
  <c r="P2093" i="1" s="1"/>
  <c r="C2093" i="1" s="1"/>
  <c r="G55" i="42"/>
  <c r="B23" i="34"/>
  <c r="N657" i="1"/>
  <c r="G73" i="33"/>
  <c r="B16" i="42"/>
  <c r="B53" i="33"/>
  <c r="B11" i="42"/>
  <c r="J975" i="1"/>
  <c r="G41" i="34"/>
  <c r="B45" i="35"/>
  <c r="F177" i="23"/>
  <c r="G50" i="42"/>
  <c r="CU307" i="70"/>
  <c r="S69" i="61"/>
  <c r="B20" i="42"/>
  <c r="B78" i="42"/>
  <c r="J821" i="1"/>
  <c r="BG228" i="70"/>
  <c r="CU182" i="16"/>
  <c r="N900" i="1"/>
  <c r="M900" i="1"/>
  <c r="B82" i="31"/>
  <c r="G49" i="34"/>
  <c r="G49" i="31"/>
  <c r="G8" i="31"/>
  <c r="J900" i="1"/>
  <c r="B24" i="33"/>
  <c r="B59" i="33"/>
  <c r="G45" i="34"/>
  <c r="N575" i="1"/>
  <c r="I900" i="1"/>
  <c r="B72" i="33"/>
  <c r="I1016" i="1"/>
  <c r="CN306" i="70"/>
  <c r="AJ229" i="70"/>
  <c r="EW95" i="16"/>
  <c r="GH95" i="16"/>
  <c r="ER182" i="16"/>
  <c r="FI182" i="16"/>
  <c r="FJ182" i="16"/>
  <c r="FJ184" i="16" s="1"/>
  <c r="AO69" i="61"/>
  <c r="D2219" i="1" s="1"/>
  <c r="H2219" i="1" s="1"/>
  <c r="P2219" i="1" s="1"/>
  <c r="C2219" i="1" s="1"/>
  <c r="D2125" i="1"/>
  <c r="CE341" i="20"/>
  <c r="T789" i="1"/>
  <c r="T1473" i="1"/>
  <c r="T1403" i="1"/>
  <c r="T1185" i="1"/>
  <c r="T505" i="1"/>
  <c r="T421" i="1"/>
  <c r="T317" i="1"/>
  <c r="T248" i="1"/>
  <c r="T737" i="1"/>
  <c r="T855" i="1"/>
  <c r="T868" i="1"/>
  <c r="T1464" i="1"/>
  <c r="T1173" i="1"/>
  <c r="T473" i="1"/>
  <c r="T413" i="1"/>
  <c r="T291" i="1"/>
  <c r="T244" i="1"/>
  <c r="K1825" i="1"/>
  <c r="E182" i="42"/>
  <c r="G182" i="42" s="1"/>
  <c r="FG182" i="16"/>
  <c r="K96" i="97"/>
  <c r="K114" i="97"/>
  <c r="T1043" i="1"/>
  <c r="T810" i="1"/>
  <c r="T1437" i="1"/>
  <c r="T1136" i="1"/>
  <c r="T465" i="1"/>
  <c r="T396" i="1"/>
  <c r="T283" i="1"/>
  <c r="T764"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22" i="1" s="1"/>
  <c r="H2222" i="1" s="1"/>
  <c r="P2222" i="1" s="1"/>
  <c r="C2222" i="1" s="1"/>
  <c r="K2271" i="1"/>
  <c r="K2283" i="1"/>
  <c r="H2283" i="1" s="1"/>
  <c r="P2283" i="1" s="1"/>
  <c r="C2283" i="1" s="1"/>
  <c r="K2293" i="1"/>
  <c r="K2302" i="1"/>
  <c r="K2310" i="1"/>
  <c r="K2284" i="1"/>
  <c r="H2284" i="1" s="1"/>
  <c r="P2284" i="1" s="1"/>
  <c r="C2284" i="1" s="1"/>
  <c r="K2311" i="1"/>
  <c r="K2275" i="1"/>
  <c r="H2275" i="1" s="1"/>
  <c r="K2296" i="1"/>
  <c r="K2313" i="1"/>
  <c r="K2305" i="1"/>
  <c r="K2289" i="1"/>
  <c r="K2273" i="1"/>
  <c r="K2285" i="1"/>
  <c r="H2285" i="1" s="1"/>
  <c r="J10" i="114" s="1"/>
  <c r="K2295" i="1"/>
  <c r="K2304" i="1"/>
  <c r="K2312" i="1"/>
  <c r="K2286" i="1"/>
  <c r="H2286" i="1" s="1"/>
  <c r="P2286" i="1" s="1"/>
  <c r="C2286" i="1" s="1"/>
  <c r="K2279" i="1"/>
  <c r="H2279" i="1" s="1"/>
  <c r="K2298" i="1"/>
  <c r="K2307" i="1"/>
  <c r="K2278" i="1"/>
  <c r="H2278" i="1" s="1"/>
  <c r="P2278" i="1" s="1"/>
  <c r="C2278" i="1" s="1"/>
  <c r="K2288" i="1"/>
  <c r="H2288" i="1" s="1"/>
  <c r="P2288" i="1" s="1"/>
  <c r="C2288" i="1" s="1"/>
  <c r="K2297" i="1"/>
  <c r="K2306" i="1"/>
  <c r="K2269" i="1"/>
  <c r="K2280" i="1"/>
  <c r="H2280" i="1" s="1"/>
  <c r="K2290" i="1"/>
  <c r="K2299" i="1"/>
  <c r="K2270" i="1"/>
  <c r="K2281" i="1"/>
  <c r="H2281" i="1" s="1"/>
  <c r="P2281" i="1" s="1"/>
  <c r="C2281" i="1" s="1"/>
  <c r="K2291" i="1"/>
  <c r="K2300" i="1"/>
  <c r="K2309" i="1"/>
  <c r="K2272" i="1"/>
  <c r="K2294" i="1"/>
  <c r="K2303" i="1"/>
  <c r="K2308" i="1"/>
  <c r="K2282" i="1"/>
  <c r="H2282" i="1" s="1"/>
  <c r="P2282" i="1" s="1"/>
  <c r="C2282" i="1" s="1"/>
  <c r="K1950" i="1"/>
  <c r="H1950" i="1" s="1"/>
  <c r="K1873" i="1"/>
  <c r="D1873" i="1" s="1"/>
  <c r="K1917" i="1"/>
  <c r="K1840" i="1"/>
  <c r="D1840" i="1" s="1"/>
  <c r="E194" i="42" s="1"/>
  <c r="B194" i="42" s="1"/>
  <c r="K1940" i="1"/>
  <c r="H1940" i="1" s="1"/>
  <c r="K1871" i="1"/>
  <c r="D1871" i="1" s="1"/>
  <c r="E222" i="42" s="1"/>
  <c r="G222" i="42" s="1"/>
  <c r="K1947" i="1"/>
  <c r="H1947" i="1" s="1"/>
  <c r="K1878" i="1"/>
  <c r="K1906" i="1"/>
  <c r="T2281" i="1"/>
  <c r="K1913" i="1"/>
  <c r="K1844" i="1"/>
  <c r="D1844" i="1" s="1"/>
  <c r="E198" i="42" s="1"/>
  <c r="G198" i="42" s="1"/>
  <c r="K1901" i="1"/>
  <c r="H1901" i="1" s="1"/>
  <c r="T2287" i="1"/>
  <c r="K1900" i="1"/>
  <c r="H1900" i="1" s="1"/>
  <c r="H60" i="97" s="1"/>
  <c r="T2278" i="1"/>
  <c r="T2269" i="1"/>
  <c r="K1942" i="1"/>
  <c r="H1942" i="1" s="1"/>
  <c r="K1865" i="1"/>
  <c r="D1865" i="1" s="1"/>
  <c r="E218" i="42" s="1"/>
  <c r="B218" i="42" s="1"/>
  <c r="K1909" i="1"/>
  <c r="I61" i="97"/>
  <c r="K1932" i="1"/>
  <c r="K1855" i="1"/>
  <c r="D1855" i="1" s="1"/>
  <c r="E208" i="42" s="1"/>
  <c r="G208" i="42" s="1"/>
  <c r="K1939" i="1"/>
  <c r="H1939" i="1" s="1"/>
  <c r="H176" i="97" s="1"/>
  <c r="K1862" i="1"/>
  <c r="D1862" i="1" s="1"/>
  <c r="E215" i="42" s="1"/>
  <c r="G215" i="42" s="1"/>
  <c r="K1895" i="1"/>
  <c r="H1895" i="1" s="1"/>
  <c r="T2272" i="1"/>
  <c r="K1905" i="1"/>
  <c r="H1905" i="1" s="1"/>
  <c r="H59" i="97" s="1"/>
  <c r="K1836" i="1"/>
  <c r="D1836" i="1" s="1"/>
  <c r="E190" i="42" s="1"/>
  <c r="G190" i="42" s="1"/>
  <c r="K1893" i="1"/>
  <c r="T2279" i="1"/>
  <c r="K1892" i="1"/>
  <c r="K2268" i="1"/>
  <c r="K1926" i="1"/>
  <c r="K1857" i="1"/>
  <c r="D1857" i="1" s="1"/>
  <c r="E210" i="42" s="1"/>
  <c r="G210" i="42" s="1"/>
  <c r="K1898" i="1"/>
  <c r="H1898" i="1" s="1"/>
  <c r="T2284" i="1"/>
  <c r="K1924" i="1"/>
  <c r="K1847" i="1"/>
  <c r="D1847" i="1" s="1"/>
  <c r="E201" i="42" s="1"/>
  <c r="G201" i="42" s="1"/>
  <c r="K1931" i="1"/>
  <c r="K1854" i="1"/>
  <c r="D1854" i="1" s="1"/>
  <c r="E207" i="42" s="1"/>
  <c r="B207" i="42" s="1"/>
  <c r="K1887" i="1"/>
  <c r="H1887" i="1" s="1"/>
  <c r="K1894" i="1"/>
  <c r="H1894" i="1" s="1"/>
  <c r="T2288" i="1"/>
  <c r="K1885" i="1"/>
  <c r="H1885" i="1" s="1"/>
  <c r="T2270" i="1"/>
  <c r="K1951" i="1"/>
  <c r="H1951" i="1" s="1"/>
  <c r="K1884" i="1"/>
  <c r="H1884" i="1" s="1"/>
  <c r="K2301" i="1"/>
  <c r="K1918" i="1"/>
  <c r="K1849" i="1"/>
  <c r="D1849" i="1" s="1"/>
  <c r="E202" i="42" s="1"/>
  <c r="B202" i="42" s="1"/>
  <c r="K1957" i="1"/>
  <c r="H1957" i="1" s="1"/>
  <c r="K1890" i="1"/>
  <c r="H1890" i="1" s="1"/>
  <c r="T2275" i="1"/>
  <c r="K1916" i="1"/>
  <c r="K1839" i="1"/>
  <c r="D1839" i="1" s="1"/>
  <c r="E193" i="42" s="1"/>
  <c r="G193" i="42" s="1"/>
  <c r="K1923" i="1"/>
  <c r="K1846" i="1"/>
  <c r="D1846" i="1" s="1"/>
  <c r="E200" i="42" s="1"/>
  <c r="B200" i="42" s="1"/>
  <c r="K1954" i="1"/>
  <c r="H1954" i="1" s="1"/>
  <c r="K1877" i="1"/>
  <c r="H1877" i="1" s="1"/>
  <c r="K1886" i="1"/>
  <c r="H1886" i="1" s="1"/>
  <c r="T2280" i="1"/>
  <c r="K1952" i="1"/>
  <c r="H1952" i="1" s="1"/>
  <c r="K1867" i="1"/>
  <c r="D1867" i="1" s="1"/>
  <c r="K1943" i="1"/>
  <c r="H1943" i="1" s="1"/>
  <c r="K1866" i="1"/>
  <c r="D1866" i="1" s="1"/>
  <c r="E219" i="42" s="1"/>
  <c r="B219" i="42" s="1"/>
  <c r="K2277" i="1"/>
  <c r="H2277" i="1" s="1"/>
  <c r="J9" i="114" s="1"/>
  <c r="K1910" i="1"/>
  <c r="K1841" i="1"/>
  <c r="D1841" i="1" s="1"/>
  <c r="E195" i="42" s="1"/>
  <c r="B195" i="42" s="1"/>
  <c r="K1949" i="1"/>
  <c r="H1949" i="1" s="1"/>
  <c r="K1882" i="1"/>
  <c r="K1908" i="1"/>
  <c r="T1905" i="1"/>
  <c r="P1905" i="1" s="1"/>
  <c r="I59" i="97" s="1"/>
  <c r="K1915" i="1"/>
  <c r="K1838" i="1"/>
  <c r="D1838" i="1" s="1"/>
  <c r="E192" i="42" s="1"/>
  <c r="B192" i="42" s="1"/>
  <c r="K1946" i="1"/>
  <c r="H1946" i="1" s="1"/>
  <c r="K1861" i="1"/>
  <c r="D1861" i="1" s="1"/>
  <c r="K1953" i="1"/>
  <c r="H1953" i="1" s="1"/>
  <c r="K1876" i="1"/>
  <c r="D1876" i="1" s="1"/>
  <c r="E214" i="42" s="1"/>
  <c r="B214" i="42" s="1"/>
  <c r="T2271" i="1"/>
  <c r="K1944" i="1"/>
  <c r="H1944" i="1" s="1"/>
  <c r="D1859" i="1"/>
  <c r="E212" i="42" s="1"/>
  <c r="G212" i="42" s="1"/>
  <c r="K1935" i="1"/>
  <c r="H1935" i="1" s="1"/>
  <c r="H175" i="97" s="1"/>
  <c r="K1858" i="1"/>
  <c r="D1858" i="1" s="1"/>
  <c r="E211" i="42" s="1"/>
  <c r="B211" i="42" s="1"/>
  <c r="K2292" i="1"/>
  <c r="K1899" i="1"/>
  <c r="H1899" i="1" s="1"/>
  <c r="H61" i="97" s="1"/>
  <c r="T1882" i="1"/>
  <c r="K1941" i="1"/>
  <c r="H1941" i="1" s="1"/>
  <c r="K1864" i="1"/>
  <c r="D1864" i="1" s="1"/>
  <c r="E217" i="42" s="1"/>
  <c r="B217" i="42" s="1"/>
  <c r="K1897" i="1"/>
  <c r="H1897" i="1" s="1"/>
  <c r="T2283" i="1"/>
  <c r="K1907" i="1"/>
  <c r="T1906" i="1"/>
  <c r="K1930" i="1"/>
  <c r="K1845" i="1"/>
  <c r="D1845" i="1" s="1"/>
  <c r="E199" i="42" s="1"/>
  <c r="B199" i="42" s="1"/>
  <c r="K1945" i="1"/>
  <c r="K1868" i="1"/>
  <c r="D1868" i="1" s="1"/>
  <c r="K1928" i="1"/>
  <c r="K1851" i="1"/>
  <c r="D1851" i="1" s="1"/>
  <c r="E204" i="42" s="1"/>
  <c r="G204" i="42" s="1"/>
  <c r="K1927" i="1"/>
  <c r="K1842" i="1"/>
  <c r="D1842" i="1" s="1"/>
  <c r="E196" i="42" s="1"/>
  <c r="B196" i="42" s="1"/>
  <c r="T2285" i="1"/>
  <c r="K1933" i="1"/>
  <c r="K1889" i="1"/>
  <c r="H1889" i="1" s="1"/>
  <c r="K1896" i="1"/>
  <c r="H1896" i="1" s="1"/>
  <c r="T2282" i="1"/>
  <c r="K1922" i="1"/>
  <c r="K1860" i="1"/>
  <c r="D1860" i="1" s="1"/>
  <c r="E213" i="42" s="1"/>
  <c r="G213" i="42" s="1"/>
  <c r="K1920" i="1"/>
  <c r="K1834" i="1"/>
  <c r="D1834" i="1" s="1"/>
  <c r="E188" i="42" s="1"/>
  <c r="G188" i="42" s="1"/>
  <c r="K1891" i="1"/>
  <c r="K1856" i="1"/>
  <c r="D1856" i="1" s="1"/>
  <c r="E209" i="42" s="1"/>
  <c r="B209" i="42" s="1"/>
  <c r="K1956" i="1"/>
  <c r="H1956" i="1" s="1"/>
  <c r="K1837" i="1"/>
  <c r="D1837" i="1" s="1"/>
  <c r="E191" i="42" s="1"/>
  <c r="B191" i="42" s="1"/>
  <c r="K1929" i="1"/>
  <c r="K1843" i="1"/>
  <c r="D1843" i="1" s="1"/>
  <c r="E197" i="42" s="1"/>
  <c r="B197" i="42" s="1"/>
  <c r="K1919" i="1"/>
  <c r="K1833" i="1"/>
  <c r="D1833" i="1" s="1"/>
  <c r="K1883" i="1"/>
  <c r="H1883" i="1" s="1"/>
  <c r="T2277" i="1"/>
  <c r="K1925" i="1"/>
  <c r="K1848" i="1"/>
  <c r="D1848" i="1" s="1"/>
  <c r="K1948" i="1"/>
  <c r="H1948" i="1" s="1"/>
  <c r="K1881" i="1"/>
  <c r="H1881" i="1" s="1"/>
  <c r="K1955" i="1"/>
  <c r="H1955" i="1" s="1"/>
  <c r="K1888" i="1"/>
  <c r="H1888" i="1" s="1"/>
  <c r="T2273" i="1"/>
  <c r="K1914" i="1"/>
  <c r="T2268" i="1"/>
  <c r="K1921" i="1"/>
  <c r="K1852" i="1"/>
  <c r="K1912" i="1"/>
  <c r="K1835" i="1"/>
  <c r="D1835" i="1" s="1"/>
  <c r="E189" i="42" s="1"/>
  <c r="G189" i="42" s="1"/>
  <c r="K1911" i="1"/>
  <c r="T2286" i="1"/>
  <c r="T1750" i="1"/>
  <c r="K1937" i="1"/>
  <c r="H1937" i="1" s="1"/>
  <c r="K1938" i="1"/>
  <c r="H1938" i="1" s="1"/>
  <c r="T963" i="1"/>
  <c r="T1419" i="1"/>
  <c r="T1203" i="1"/>
  <c r="T526" i="1"/>
  <c r="T448" i="1"/>
  <c r="T335" i="1"/>
  <c r="T266" i="1"/>
  <c r="T746" i="1"/>
  <c r="P746" i="1" s="1"/>
  <c r="T943" i="1"/>
  <c r="T981" i="1"/>
  <c r="T213" i="1"/>
  <c r="T63" i="1"/>
  <c r="T909" i="1"/>
  <c r="T18" i="1"/>
  <c r="T53" i="1"/>
  <c r="T760" i="1"/>
  <c r="T646" i="1"/>
  <c r="T550" i="1"/>
  <c r="T819" i="1"/>
  <c r="T196" i="1"/>
  <c r="T45" i="1"/>
  <c r="T152" i="1"/>
  <c r="T134" i="1"/>
  <c r="T125" i="1"/>
  <c r="T713" i="1"/>
  <c r="T142" i="1"/>
  <c r="T14" i="1"/>
  <c r="T1053" i="1"/>
  <c r="T224" i="1"/>
  <c r="T92" i="1"/>
  <c r="T205" i="1"/>
  <c r="T534" i="1"/>
  <c r="T1116" i="1"/>
  <c r="T656" i="1"/>
  <c r="T666" i="1"/>
  <c r="T27" i="1"/>
  <c r="T1004" i="1"/>
  <c r="T1014" i="1"/>
  <c r="T1024" i="1"/>
  <c r="T1239" i="1"/>
  <c r="T706" i="1"/>
  <c r="T1267" i="1"/>
  <c r="T720" i="1"/>
  <c r="T727" i="1"/>
  <c r="T109" i="1"/>
  <c r="T1081" i="1"/>
  <c r="T1088" i="1"/>
  <c r="T1095" i="1"/>
  <c r="T1366" i="1"/>
  <c r="T1352" i="1"/>
  <c r="T899" i="1"/>
  <c r="T1391" i="1"/>
  <c r="T914" i="1"/>
  <c r="T841" i="1"/>
  <c r="T174" i="1"/>
  <c r="T1309" i="1"/>
  <c r="T37" i="1"/>
  <c r="T1156" i="1"/>
  <c r="T1336" i="1"/>
  <c r="T974" i="1"/>
  <c r="T989" i="1"/>
  <c r="T923" i="1"/>
  <c r="T584" i="1"/>
  <c r="T117" i="1"/>
  <c r="T1323" i="1"/>
  <c r="T612" i="1"/>
  <c r="T1112" i="1"/>
  <c r="T75" i="1"/>
  <c r="T1063" i="1"/>
  <c r="T996" i="1"/>
  <c r="T674" i="1"/>
  <c r="T188" i="1"/>
  <c r="T699" i="1"/>
  <c r="T1252" i="1"/>
  <c r="T156" i="1"/>
  <c r="T1281" i="1"/>
  <c r="T1073" i="1"/>
  <c r="T731" i="1"/>
  <c r="T326" i="1"/>
  <c r="T602" i="1"/>
  <c r="T1034" i="1"/>
  <c r="T1379" i="1"/>
  <c r="T234" i="1"/>
  <c r="T1294" i="1"/>
  <c r="T778" i="1"/>
  <c r="T594" i="1"/>
  <c r="T1103" i="1"/>
  <c r="T164" i="1"/>
  <c r="T698" i="1"/>
  <c r="P698" i="1" s="1"/>
  <c r="T566" i="1"/>
  <c r="T574" i="1"/>
  <c r="T850" i="1"/>
  <c r="T683" i="1"/>
  <c r="T744" i="1"/>
  <c r="T1169" i="1"/>
  <c r="T1966" i="1"/>
  <c r="T1974" i="1"/>
  <c r="T1982" i="1"/>
  <c r="T1990" i="1"/>
  <c r="T1998" i="1"/>
  <c r="T2006" i="1"/>
  <c r="T2014" i="1"/>
  <c r="T2022" i="1"/>
  <c r="T2031" i="1"/>
  <c r="T2039" i="1"/>
  <c r="T2047" i="1"/>
  <c r="T1967" i="1"/>
  <c r="T1975" i="1"/>
  <c r="T1983" i="1"/>
  <c r="T1991" i="1"/>
  <c r="T1999" i="1"/>
  <c r="T2007" i="1"/>
  <c r="T2015" i="1"/>
  <c r="T2023" i="1"/>
  <c r="T2032" i="1"/>
  <c r="T2040" i="1"/>
  <c r="T2048" i="1"/>
  <c r="T1959" i="1"/>
  <c r="T1968" i="1"/>
  <c r="T1976" i="1"/>
  <c r="T1984" i="1"/>
  <c r="T1992" i="1"/>
  <c r="T2000" i="1"/>
  <c r="T2008" i="1"/>
  <c r="T2016" i="1"/>
  <c r="T2025" i="1"/>
  <c r="D2025" i="1" s="1"/>
  <c r="H2025" i="1" s="1"/>
  <c r="T2033" i="1"/>
  <c r="T2041" i="1"/>
  <c r="T2049" i="1"/>
  <c r="T1961" i="1"/>
  <c r="T1969" i="1"/>
  <c r="T1977" i="1"/>
  <c r="T1985" i="1"/>
  <c r="T1993" i="1"/>
  <c r="T2001" i="1"/>
  <c r="T2009" i="1"/>
  <c r="T2017" i="1"/>
  <c r="T2026" i="1"/>
  <c r="T2034" i="1"/>
  <c r="T2042" i="1"/>
  <c r="T2050" i="1"/>
  <c r="T1980" i="1"/>
  <c r="T1988" i="1"/>
  <c r="T2004" i="1"/>
  <c r="T2029" i="1"/>
  <c r="T1958" i="1"/>
  <c r="T1962" i="1"/>
  <c r="T1970" i="1"/>
  <c r="T1978" i="1"/>
  <c r="T1986" i="1"/>
  <c r="T1994" i="1"/>
  <c r="T2002" i="1"/>
  <c r="T2010" i="1"/>
  <c r="T2018" i="1"/>
  <c r="T2027" i="1"/>
  <c r="T2035" i="1"/>
  <c r="T2043" i="1"/>
  <c r="T2051" i="1"/>
  <c r="T1972" i="1"/>
  <c r="T1996" i="1"/>
  <c r="T2020" i="1"/>
  <c r="T2045" i="1"/>
  <c r="T1963" i="1"/>
  <c r="T1971" i="1"/>
  <c r="T1979" i="1"/>
  <c r="T1987" i="1"/>
  <c r="T1995" i="1"/>
  <c r="T2003" i="1"/>
  <c r="T2011" i="1"/>
  <c r="T2019" i="1"/>
  <c r="T2028" i="1"/>
  <c r="T2036" i="1"/>
  <c r="T2044" i="1"/>
  <c r="T2052" i="1"/>
  <c r="T1964" i="1"/>
  <c r="T2012" i="1"/>
  <c r="T2037" i="1"/>
  <c r="T1965" i="1"/>
  <c r="T1973" i="1"/>
  <c r="T1981" i="1"/>
  <c r="T1989" i="1"/>
  <c r="T1997" i="1"/>
  <c r="T2005" i="1"/>
  <c r="T2013" i="1"/>
  <c r="T2021" i="1"/>
  <c r="T2030" i="1"/>
  <c r="T2038" i="1"/>
  <c r="T2046" i="1"/>
  <c r="T779" i="1"/>
  <c r="P779" i="1" s="1"/>
  <c r="T1482" i="1"/>
  <c r="T1411" i="1"/>
  <c r="T1194" i="1"/>
  <c r="T513" i="1"/>
  <c r="T431" i="1"/>
  <c r="T376" i="1"/>
  <c r="T256" i="1"/>
  <c r="T933" i="1"/>
  <c r="H330" i="23"/>
  <c r="H329" i="23"/>
  <c r="T799" i="1"/>
  <c r="T1446" i="1"/>
  <c r="T1223" i="1"/>
  <c r="T1147" i="1"/>
  <c r="T485" i="1"/>
  <c r="T356" i="1"/>
  <c r="T302" i="1"/>
  <c r="T771" i="1"/>
  <c r="T2024" i="1"/>
  <c r="D2024" i="1" s="1"/>
  <c r="E143" i="33" s="1"/>
  <c r="G143" i="33" s="1"/>
  <c r="EC2" i="41"/>
  <c r="K1874" i="1"/>
  <c r="D1874" i="1" s="1"/>
  <c r="T1874" i="1"/>
  <c r="EB2" i="41"/>
  <c r="T1872" i="1"/>
  <c r="K1872" i="1"/>
  <c r="D1872" i="1" s="1"/>
  <c r="EG2" i="41"/>
  <c r="T1850" i="1"/>
  <c r="P1850" i="1" s="1"/>
  <c r="K1850" i="1"/>
  <c r="EY2" i="41"/>
  <c r="K1870" i="1"/>
  <c r="EJ2" i="41"/>
  <c r="K1853" i="1"/>
  <c r="D1853" i="1" s="1"/>
  <c r="E206" i="42" s="1"/>
  <c r="G206" i="42" s="1"/>
  <c r="EE2" i="41"/>
  <c r="K1875" i="1"/>
  <c r="D1875" i="1" s="1"/>
  <c r="E226" i="42" s="1"/>
  <c r="G226" i="42" s="1"/>
  <c r="EZ2" i="41"/>
  <c r="K1869" i="1"/>
  <c r="EO2" i="41"/>
  <c r="K1863" i="1"/>
  <c r="E2162" i="23"/>
  <c r="F1705" i="23"/>
  <c r="H2144" i="23"/>
  <c r="H2236" i="23" s="1"/>
  <c r="H2241" i="23" s="1"/>
  <c r="H948" i="23"/>
  <c r="H510" i="23"/>
  <c r="H520" i="23" s="1"/>
  <c r="H2140" i="23"/>
  <c r="H2141" i="23" s="1"/>
  <c r="H2150" i="23"/>
  <c r="H2158" i="23" s="1"/>
  <c r="H2162" i="23" s="1"/>
  <c r="H1797" i="23"/>
  <c r="H1803" i="23" s="1"/>
  <c r="D533" i="23"/>
  <c r="H957" i="23"/>
  <c r="D957" i="23" s="1"/>
  <c r="D454" i="23"/>
  <c r="H2199" i="23"/>
  <c r="H2201" i="23" s="1"/>
  <c r="D2139" i="23"/>
  <c r="H2145" i="23"/>
  <c r="H2146" i="23" s="1"/>
  <c r="H455" i="23"/>
  <c r="H456" i="23" s="1"/>
  <c r="H2872" i="23"/>
  <c r="H2876" i="23" s="1"/>
  <c r="H2877" i="23" s="1"/>
  <c r="H2207" i="23"/>
  <c r="H2211" i="23" s="1"/>
  <c r="D1682" i="23"/>
  <c r="H534" i="23"/>
  <c r="H536" i="23" s="1"/>
  <c r="H2189" i="23"/>
  <c r="H1711" i="23"/>
  <c r="H1716" i="23" s="1"/>
  <c r="H466" i="23"/>
  <c r="H471" i="23" s="1"/>
  <c r="H476" i="23" s="1"/>
  <c r="H1688" i="23"/>
  <c r="H2809" i="23"/>
  <c r="H2812" i="23" s="1"/>
  <c r="H1830" i="23"/>
  <c r="H1834" i="23" s="1"/>
  <c r="H2881" i="23"/>
  <c r="H2883" i="23" s="1"/>
  <c r="H2884" i="23" s="1"/>
  <c r="H1734" i="23"/>
  <c r="H1742" i="23" s="1"/>
  <c r="H1792" i="23"/>
  <c r="H1794" i="23" s="1"/>
  <c r="H1733" i="23"/>
  <c r="H1751" i="23"/>
  <c r="H1756" i="23" s="1"/>
  <c r="H2779" i="23"/>
  <c r="H2781" i="23" s="1"/>
  <c r="H1743" i="23"/>
  <c r="H1747" i="23" s="1"/>
  <c r="H1697" i="23"/>
  <c r="D1697" i="23" s="1"/>
  <c r="H1683" i="23"/>
  <c r="H1732" i="23" s="1"/>
  <c r="H541" i="23"/>
  <c r="H557" i="23" s="1"/>
  <c r="H559" i="23" s="1"/>
  <c r="H1686" i="23"/>
  <c r="H2818" i="23"/>
  <c r="H2820" i="23" s="1"/>
  <c r="H2800" i="23"/>
  <c r="H2803" i="23" s="1"/>
  <c r="H1727" i="23"/>
  <c r="H1730" i="23" s="1"/>
  <c r="H1690" i="23"/>
  <c r="H1693" i="23"/>
  <c r="H1701" i="23" s="1"/>
  <c r="H1702" i="23" s="1"/>
  <c r="H1704" i="23" s="1"/>
  <c r="H537" i="23"/>
  <c r="H1816" i="23"/>
  <c r="H1829" i="23" s="1"/>
  <c r="H1451" i="23"/>
  <c r="EX2" i="41"/>
  <c r="K2274" i="1" s="1"/>
  <c r="H2274" i="1" s="1"/>
  <c r="K1934" i="1"/>
  <c r="K1936" i="1"/>
  <c r="T2274" i="1"/>
  <c r="P2274" i="1" s="1"/>
  <c r="L1960" i="1"/>
  <c r="T1960" i="1"/>
  <c r="B2" i="41"/>
  <c r="T1752" i="1"/>
  <c r="E1473" i="23"/>
  <c r="F494" i="23"/>
  <c r="F1058" i="23"/>
  <c r="F875" i="23"/>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2" i="97"/>
  <c r="F107" i="23"/>
  <c r="H165" i="23"/>
  <c r="H108" i="23"/>
  <c r="K242" i="97"/>
  <c r="E178" i="23"/>
  <c r="K219" i="97"/>
  <c r="K128" i="97"/>
  <c r="K234" i="97"/>
  <c r="K37" i="97"/>
  <c r="K245" i="97"/>
  <c r="K116"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074" i="1"/>
  <c r="H2074" i="1" s="1"/>
  <c r="P2074" i="1" s="1"/>
  <c r="C2074" i="1" s="1"/>
  <c r="B50" i="42"/>
  <c r="G31" i="35"/>
  <c r="G56" i="35"/>
  <c r="B77" i="31"/>
  <c r="G32" i="33"/>
  <c r="B12" i="35"/>
  <c r="B69" i="33"/>
  <c r="G33" i="33"/>
  <c r="G24" i="35"/>
  <c r="B24" i="35"/>
  <c r="B86" i="42"/>
  <c r="G86" i="42"/>
  <c r="B35" i="42"/>
  <c r="U307" i="70"/>
  <c r="CR229" i="70"/>
  <c r="CP229" i="70"/>
  <c r="B21" i="35"/>
  <c r="T95" i="16"/>
  <c r="M843" i="1"/>
  <c r="N843"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191" i="1" s="1"/>
  <c r="D2191" i="1" s="1"/>
  <c r="H2191" i="1" s="1"/>
  <c r="P2191" i="1" s="1"/>
  <c r="C2191" i="1" s="1"/>
  <c r="D1041" i="1"/>
  <c r="D1040" i="1" s="1"/>
  <c r="N870" i="1"/>
  <c r="M870" i="1"/>
  <c r="J870" i="1"/>
  <c r="H2073" i="1"/>
  <c r="P2073" i="1" s="1"/>
  <c r="C2073" i="1" s="1"/>
  <c r="N2073" i="1"/>
  <c r="B63" i="42"/>
  <c r="G63" i="42"/>
  <c r="G73" i="42"/>
  <c r="B73" i="42"/>
  <c r="G86" i="31"/>
  <c r="G12" i="33"/>
  <c r="B80" i="42"/>
  <c r="G44" i="31"/>
  <c r="B44" i="31"/>
  <c r="B26" i="42"/>
  <c r="S134" i="70"/>
  <c r="AA134" i="70"/>
  <c r="I915" i="1"/>
  <c r="J915" i="1"/>
  <c r="Q832" i="1"/>
  <c r="N832" i="1"/>
  <c r="M832" i="1"/>
  <c r="N821" i="1"/>
  <c r="M821" i="1"/>
  <c r="C347" i="20"/>
  <c r="E2060"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990" i="1"/>
  <c r="R990" i="1"/>
  <c r="FC182" i="16"/>
  <c r="FC184" i="16" s="1"/>
  <c r="M676" i="1"/>
  <c r="D839" i="1"/>
  <c r="D838" i="1" s="1"/>
  <c r="BG69" i="61"/>
  <c r="E184" i="16"/>
  <c r="AJ307" i="70"/>
  <c r="BN307" i="70"/>
  <c r="CI229" i="70"/>
  <c r="AC134" i="70"/>
  <c r="AF134" i="70"/>
  <c r="AS134" i="70"/>
  <c r="AX134" i="70"/>
  <c r="BA134" i="70"/>
  <c r="BD134" i="70"/>
  <c r="BF91" i="70"/>
  <c r="BG133" i="70"/>
  <c r="BH134" i="70"/>
  <c r="BX134" i="70"/>
  <c r="CD134" i="70"/>
  <c r="CG134" i="70"/>
  <c r="BZ134" i="70"/>
  <c r="CQ95" i="16"/>
  <c r="D1680" i="1"/>
  <c r="H1680" i="1" s="1"/>
  <c r="P1680" i="1" s="1"/>
  <c r="C1680" i="1" s="1"/>
  <c r="AL69" i="61"/>
  <c r="BF274" i="70"/>
  <c r="R134" i="70"/>
  <c r="X134" i="70"/>
  <c r="AK134" i="70"/>
  <c r="AN134" i="70"/>
  <c r="AV134" i="70"/>
  <c r="BF133" i="70"/>
  <c r="BF55" i="70"/>
  <c r="CV134" i="70"/>
  <c r="CX134" i="70"/>
  <c r="E134" i="70"/>
  <c r="CP95" i="16"/>
  <c r="CN95" i="16"/>
  <c r="CN182" i="16"/>
  <c r="CK182" i="16"/>
  <c r="CK184" i="16" s="1"/>
  <c r="CS182" i="16"/>
  <c r="CQ182" i="16"/>
  <c r="J1120" i="1"/>
  <c r="O595" i="1"/>
  <c r="D2092" i="1"/>
  <c r="N2092" i="1" s="1"/>
  <c r="C184" i="16"/>
  <c r="C199" i="16" s="1"/>
  <c r="BG298" i="70"/>
  <c r="S95" i="16"/>
  <c r="DP95" i="16"/>
  <c r="D1569"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193" i="1" s="1"/>
  <c r="D2193" i="1" s="1"/>
  <c r="H2193" i="1" s="1"/>
  <c r="P2193" i="1" s="1"/>
  <c r="C2193" i="1" s="1"/>
  <c r="H69" i="61"/>
  <c r="C76" i="61" s="1"/>
  <c r="E2192" i="1" s="1"/>
  <c r="D2192" i="1" s="1"/>
  <c r="H2192" i="1" s="1"/>
  <c r="P2192" i="1" s="1"/>
  <c r="C2192"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A184" i="16" s="1"/>
  <c r="DE95" i="16"/>
  <c r="BD182" i="16"/>
  <c r="BE95" i="16"/>
  <c r="BE182" i="16"/>
  <c r="BF182" i="16"/>
  <c r="BG182" i="16"/>
  <c r="BK95" i="16"/>
  <c r="BN182" i="16"/>
  <c r="BU95" i="16"/>
  <c r="BY95" i="16"/>
  <c r="DQ95" i="16"/>
  <c r="D1570" i="1" s="1"/>
  <c r="J1570" i="1" s="1"/>
  <c r="EC95" i="16"/>
  <c r="D1581" i="1" s="1"/>
  <c r="H1581" i="1" s="1"/>
  <c r="P1581" i="1" s="1"/>
  <c r="C1581" i="1" s="1"/>
  <c r="DZ95" i="16"/>
  <c r="DZ184" i="16" s="1"/>
  <c r="D1578" i="1" s="1"/>
  <c r="DY182" i="16"/>
  <c r="BP182" i="16"/>
  <c r="DG182" i="16"/>
  <c r="DF95" i="16"/>
  <c r="DF182" i="16"/>
  <c r="DH182" i="16"/>
  <c r="DH184" i="16" s="1"/>
  <c r="D1523" i="1" s="1"/>
  <c r="J1523" i="1" s="1"/>
  <c r="DN182" i="16"/>
  <c r="DM182" i="16"/>
  <c r="DK182" i="16"/>
  <c r="BH69" i="61"/>
  <c r="D2221" i="1" s="1"/>
  <c r="H2221" i="1" s="1"/>
  <c r="P2221" i="1" s="1"/>
  <c r="C2221" i="1" s="1"/>
  <c r="AB69" i="61"/>
  <c r="D2199" i="1" s="1"/>
  <c r="D2196" i="1" s="1"/>
  <c r="H2196" i="1" s="1"/>
  <c r="P2196" i="1" s="1"/>
  <c r="C2196" i="1" s="1"/>
  <c r="B42" i="35"/>
  <c r="G42" i="35"/>
  <c r="B27" i="42"/>
  <c r="G27" i="42"/>
  <c r="G47" i="33"/>
  <c r="B47" i="33"/>
  <c r="B64" i="34"/>
  <c r="G64" i="34"/>
  <c r="B50" i="34"/>
  <c r="G50" i="34"/>
  <c r="G31" i="33"/>
  <c r="B31" i="33"/>
  <c r="G37" i="33"/>
  <c r="B89" i="42"/>
  <c r="G39" i="34"/>
  <c r="CS229" i="70"/>
  <c r="CN169" i="70"/>
  <c r="BG160" i="70"/>
  <c r="G32" i="35"/>
  <c r="G27" i="31"/>
  <c r="B62" i="31"/>
  <c r="G62" i="31"/>
  <c r="B29" i="42"/>
  <c r="N585" i="1"/>
  <c r="BC229" i="70"/>
  <c r="B59" i="35"/>
  <c r="B46" i="31"/>
  <c r="B21" i="31"/>
  <c r="B61" i="42"/>
  <c r="O585"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BK184" i="16" s="1"/>
  <c r="CW341" i="20"/>
  <c r="D2098" i="1"/>
  <c r="N2098" i="1" s="1"/>
  <c r="D2123" i="1"/>
  <c r="H2123" i="1" s="1"/>
  <c r="P2123" i="1" s="1"/>
  <c r="C2123" i="1" s="1"/>
  <c r="CC341" i="20"/>
  <c r="D1655" i="1"/>
  <c r="I1655" i="1" s="1"/>
  <c r="I1651" i="1"/>
  <c r="B38" i="33"/>
  <c r="G38" i="33"/>
  <c r="B57" i="33"/>
  <c r="G57" i="33"/>
  <c r="CC229" i="70"/>
  <c r="BG169" i="70"/>
  <c r="B47" i="31"/>
  <c r="J965" i="1"/>
  <c r="G14" i="35"/>
  <c r="G110" i="42"/>
  <c r="B54" i="33"/>
  <c r="G54" i="33"/>
  <c r="H2124" i="1"/>
  <c r="P2124" i="1" s="1"/>
  <c r="C2124" i="1" s="1"/>
  <c r="G53" i="34"/>
  <c r="B79" i="42"/>
  <c r="H1700" i="1"/>
  <c r="P1700" i="1" s="1"/>
  <c r="C1700" i="1" s="1"/>
  <c r="I1700" i="1"/>
  <c r="D2082" i="1"/>
  <c r="CH341" i="20"/>
  <c r="CB341" i="20"/>
  <c r="D2122" i="1"/>
  <c r="H2122" i="1" s="1"/>
  <c r="P2122" i="1" s="1"/>
  <c r="C2122" i="1" s="1"/>
  <c r="CE229" i="70"/>
  <c r="BW229" i="70"/>
  <c r="B10" i="35"/>
  <c r="G37" i="42"/>
  <c r="G47" i="35"/>
  <c r="B47" i="35"/>
  <c r="BU229" i="70"/>
  <c r="BF169" i="70"/>
  <c r="M925" i="1"/>
  <c r="N925" i="1"/>
  <c r="G57" i="35"/>
  <c r="G51" i="35"/>
  <c r="G36" i="31"/>
  <c r="B18" i="31"/>
  <c r="B65" i="34"/>
  <c r="G23" i="33"/>
  <c r="B82" i="42"/>
  <c r="G96" i="42"/>
  <c r="G10" i="42"/>
  <c r="B14" i="34"/>
  <c r="G78" i="42"/>
  <c r="B36" i="42"/>
  <c r="G36" i="42"/>
  <c r="I965" i="1"/>
  <c r="FK184" i="16"/>
  <c r="G20" i="34"/>
  <c r="G200" i="31"/>
  <c r="G72" i="42"/>
  <c r="D2087" i="1"/>
  <c r="H2087" i="1" s="1"/>
  <c r="P2087" i="1" s="1"/>
  <c r="C2087"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GD184" i="16" s="1"/>
  <c r="F184" i="16"/>
  <c r="CC182" i="16"/>
  <c r="BX95" i="16"/>
  <c r="CA95" i="16"/>
  <c r="BZ95" i="16"/>
  <c r="BZ184" i="16" s="1"/>
  <c r="EA182" i="16"/>
  <c r="DW182" i="16"/>
  <c r="DW184" i="16" s="1"/>
  <c r="D1576" i="1" s="1"/>
  <c r="BB69" i="61"/>
  <c r="D2214" i="1" s="1"/>
  <c r="H2214" i="1" s="1"/>
  <c r="P2214" i="1" s="1"/>
  <c r="C2214" i="1" s="1"/>
  <c r="B37" i="35"/>
  <c r="G37" i="35"/>
  <c r="B28" i="31"/>
  <c r="G28" i="31"/>
  <c r="G24" i="34"/>
  <c r="B66" i="31"/>
  <c r="B61" i="35"/>
  <c r="FA184" i="16"/>
  <c r="G111" i="42"/>
  <c r="B111" i="42"/>
  <c r="B41" i="35"/>
  <c r="CN248" i="70"/>
  <c r="CF229" i="70"/>
  <c r="BP229" i="70"/>
  <c r="AS229" i="70"/>
  <c r="G13" i="33"/>
  <c r="B13" i="33"/>
  <c r="G74" i="33"/>
  <c r="BZ341" i="20"/>
  <c r="D2110" i="1"/>
  <c r="G79" i="31"/>
  <c r="G19" i="31"/>
  <c r="B60" i="42"/>
  <c r="B71" i="33"/>
  <c r="G71" i="33"/>
  <c r="G34" i="31"/>
  <c r="G59" i="42"/>
  <c r="B59" i="42"/>
  <c r="D229" i="70"/>
  <c r="CO229" i="70"/>
  <c r="BX229" i="70"/>
  <c r="BH229" i="70"/>
  <c r="AY229" i="70"/>
  <c r="G42" i="31"/>
  <c r="B17" i="33"/>
  <c r="G45" i="33"/>
  <c r="B62" i="34"/>
  <c r="G36" i="34"/>
  <c r="G22" i="34"/>
  <c r="B52" i="31"/>
  <c r="G52" i="31"/>
  <c r="M965" i="1"/>
  <c r="B29" i="34"/>
  <c r="G29" i="34"/>
  <c r="GH182" i="16"/>
  <c r="GH184" i="16" s="1"/>
  <c r="AJ182" i="16"/>
  <c r="AF182" i="16"/>
  <c r="FF182" i="16"/>
  <c r="FF184" i="16" s="1"/>
  <c r="EC182" i="16"/>
  <c r="DP182" i="16"/>
  <c r="CA182" i="16"/>
  <c r="AU182" i="16"/>
  <c r="AU184" i="16" s="1"/>
  <c r="U182" i="16"/>
  <c r="G35" i="33"/>
  <c r="N95" i="16"/>
  <c r="P95" i="16"/>
  <c r="R95" i="16"/>
  <c r="DM95" i="16"/>
  <c r="I1656" i="1"/>
  <c r="D1658" i="1"/>
  <c r="H1658" i="1" s="1"/>
  <c r="P1658" i="1" s="1"/>
  <c r="C1658" i="1" s="1"/>
  <c r="D1718" i="1"/>
  <c r="H1718" i="1" s="1"/>
  <c r="P1718" i="1" s="1"/>
  <c r="C1718" i="1" s="1"/>
  <c r="EM182" i="16"/>
  <c r="D2164" i="1" s="1"/>
  <c r="D1071" i="1"/>
  <c r="D1070" i="1" s="1"/>
  <c r="J1064" i="1"/>
  <c r="D1012" i="1"/>
  <c r="D1011" i="1" s="1"/>
  <c r="J1007" i="1"/>
  <c r="O791" i="1"/>
  <c r="M791" i="1"/>
  <c r="M812" i="1"/>
  <c r="N812" i="1"/>
  <c r="N676" i="1"/>
  <c r="I676" i="1"/>
  <c r="D2076" i="1"/>
  <c r="CK341" i="20"/>
  <c r="B51" i="33"/>
  <c r="CB182" i="16"/>
  <c r="AD307" i="70"/>
  <c r="BF306" i="70"/>
  <c r="CN293" i="70"/>
  <c r="BG196" i="70"/>
  <c r="BI229" i="70"/>
  <c r="EP182" i="16"/>
  <c r="AW95" i="16"/>
  <c r="CP182" i="16"/>
  <c r="B182" i="16"/>
  <c r="BH307" i="70"/>
  <c r="AI229" i="70"/>
  <c r="X229" i="70"/>
  <c r="BF189" i="70"/>
  <c r="G123" i="70"/>
  <c r="G133" i="70" s="1"/>
  <c r="AH95" i="16"/>
  <c r="BW95" i="16"/>
  <c r="S341" i="20"/>
  <c r="D2150"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75" i="1" s="1"/>
  <c r="H1575" i="1" s="1"/>
  <c r="P1575" i="1" s="1"/>
  <c r="C1575" i="1" s="1"/>
  <c r="H2257" i="1"/>
  <c r="P2257" i="1" s="1"/>
  <c r="C2257" i="1" s="1"/>
  <c r="I2257" i="1"/>
  <c r="CX341" i="20"/>
  <c r="D2099" i="1"/>
  <c r="H2099" i="1" s="1"/>
  <c r="P2099" i="1" s="1"/>
  <c r="C2099" i="1" s="1"/>
  <c r="EI182" i="16"/>
  <c r="AN182" i="16"/>
  <c r="CW307" i="70"/>
  <c r="CO307" i="70"/>
  <c r="CF307" i="70"/>
  <c r="BP307" i="70"/>
  <c r="AX307" i="70"/>
  <c r="AP307" i="70"/>
  <c r="Z307" i="70"/>
  <c r="BW307" i="70"/>
  <c r="AG229" i="70"/>
  <c r="H229" i="70"/>
  <c r="BF196" i="70"/>
  <c r="ER95" i="16"/>
  <c r="ER184" i="16" s="1"/>
  <c r="V69" i="61"/>
  <c r="AA95" i="16"/>
  <c r="AC95" i="16"/>
  <c r="AE95" i="16"/>
  <c r="AG95" i="16"/>
  <c r="AJ95" i="16"/>
  <c r="AL95" i="16"/>
  <c r="AZ95" i="16"/>
  <c r="BL95" i="16"/>
  <c r="BL184" i="16" s="1"/>
  <c r="BR95" i="16"/>
  <c r="BR184" i="16" s="1"/>
  <c r="DU95" i="16"/>
  <c r="D1573" i="1" s="1"/>
  <c r="J1573" i="1" s="1"/>
  <c r="DK95" i="16"/>
  <c r="R997" i="1"/>
  <c r="J997" i="1"/>
  <c r="CA341" i="20"/>
  <c r="D2111" i="1"/>
  <c r="D2149"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CV184" i="16" s="1"/>
  <c r="D1737" i="1"/>
  <c r="BE69" i="61"/>
  <c r="D2215" i="1" s="1"/>
  <c r="H2215" i="1" s="1"/>
  <c r="P2215" i="1" s="1"/>
  <c r="C2215"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77" i="1" s="1"/>
  <c r="BP95" i="16"/>
  <c r="EH95" i="16"/>
  <c r="E132" i="33"/>
  <c r="G132" i="33" s="1"/>
  <c r="H2013" i="1"/>
  <c r="P2013" i="1" s="1"/>
  <c r="C2013"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CF184" i="16" s="1"/>
  <c r="BH95" i="16"/>
  <c r="BJ95" i="16"/>
  <c r="BN95" i="16"/>
  <c r="DG95" i="16"/>
  <c r="EN182" i="16"/>
  <c r="EN184" i="16" s="1"/>
  <c r="AA69" i="61"/>
  <c r="D2198" i="1" s="1"/>
  <c r="H2198" i="1" s="1"/>
  <c r="P2198" i="1" s="1"/>
  <c r="C2198" i="1" s="1"/>
  <c r="EJ182" i="16"/>
  <c r="B124" i="115"/>
  <c r="B198" i="115" s="1"/>
  <c r="B204" i="115" s="1"/>
  <c r="B233" i="115" s="1"/>
  <c r="B258" i="115" s="1"/>
  <c r="L2049" i="1"/>
  <c r="L2041" i="1"/>
  <c r="L2033" i="1"/>
  <c r="L2025" i="1"/>
  <c r="L2017" i="1"/>
  <c r="L2009" i="1"/>
  <c r="L2051" i="1"/>
  <c r="L2042" i="1"/>
  <c r="L2032" i="1"/>
  <c r="L2023" i="1"/>
  <c r="L2014" i="1"/>
  <c r="L2050" i="1"/>
  <c r="L2040" i="1"/>
  <c r="L2031" i="1"/>
  <c r="L2022" i="1"/>
  <c r="L2013" i="1"/>
  <c r="L2048" i="1"/>
  <c r="L2039" i="1"/>
  <c r="L2030" i="1"/>
  <c r="L2021" i="1"/>
  <c r="L2012" i="1"/>
  <c r="L2038" i="1"/>
  <c r="L2026" i="1"/>
  <c r="L2010" i="1"/>
  <c r="L2052" i="1"/>
  <c r="L2036" i="1"/>
  <c r="L2020" i="1"/>
  <c r="L2007" i="1"/>
  <c r="H2007" i="1" s="1"/>
  <c r="L2047" i="1"/>
  <c r="L2035" i="1"/>
  <c r="L2019" i="1"/>
  <c r="L2046" i="1"/>
  <c r="L2034" i="1"/>
  <c r="L2018" i="1"/>
  <c r="L2045" i="1"/>
  <c r="L2029" i="1"/>
  <c r="L2016" i="1"/>
  <c r="L2015" i="1"/>
  <c r="L2011" i="1"/>
  <c r="L2044" i="1"/>
  <c r="L2008" i="1"/>
  <c r="L2043" i="1"/>
  <c r="L2037" i="1"/>
  <c r="L2028" i="1"/>
  <c r="L2027" i="1"/>
  <c r="L2024" i="1"/>
  <c r="E137" i="33"/>
  <c r="B137" i="33" s="1"/>
  <c r="H2018" i="1"/>
  <c r="P2018" i="1" s="1"/>
  <c r="C2018"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B184" i="16" s="1"/>
  <c r="BI95" i="16"/>
  <c r="BO95" i="16"/>
  <c r="BO182" i="16"/>
  <c r="BQ95" i="16"/>
  <c r="BQ184" i="16" s="1"/>
  <c r="AD69" i="61"/>
  <c r="D2200" i="1" s="1"/>
  <c r="D2233" i="1" s="1"/>
  <c r="H2233" i="1" s="1"/>
  <c r="P2233" i="1" s="1"/>
  <c r="C2233" i="1" s="1"/>
  <c r="D1032" i="1"/>
  <c r="D1031" i="1" s="1"/>
  <c r="T2368" i="1"/>
  <c r="T2360" i="1"/>
  <c r="T2352" i="1"/>
  <c r="T2344" i="1"/>
  <c r="T2336" i="1"/>
  <c r="T2328" i="1"/>
  <c r="T2320" i="1"/>
  <c r="T2312" i="1"/>
  <c r="T2304" i="1"/>
  <c r="T2296" i="1"/>
  <c r="T2263" i="1"/>
  <c r="T2255" i="1"/>
  <c r="T2247" i="1"/>
  <c r="T2239" i="1"/>
  <c r="T2231" i="1"/>
  <c r="T2223" i="1"/>
  <c r="T2215" i="1"/>
  <c r="T2207" i="1"/>
  <c r="T2199" i="1"/>
  <c r="T2191" i="1"/>
  <c r="T2183" i="1"/>
  <c r="T2175" i="1"/>
  <c r="T2167" i="1"/>
  <c r="T2159" i="1"/>
  <c r="T2151" i="1"/>
  <c r="T2143" i="1"/>
  <c r="T2135" i="1"/>
  <c r="T2127" i="1"/>
  <c r="T2119" i="1"/>
  <c r="T2111" i="1"/>
  <c r="T2103" i="1"/>
  <c r="T2095" i="1"/>
  <c r="T2087" i="1"/>
  <c r="T2079" i="1"/>
  <c r="T2071" i="1"/>
  <c r="T2063" i="1"/>
  <c r="T2372" i="1"/>
  <c r="T2363" i="1"/>
  <c r="T2354" i="1"/>
  <c r="T2345" i="1"/>
  <c r="T2335" i="1"/>
  <c r="T2326" i="1"/>
  <c r="T2317" i="1"/>
  <c r="T2308" i="1"/>
  <c r="T2299" i="1"/>
  <c r="T2290" i="1"/>
  <c r="T2371" i="1"/>
  <c r="T2362" i="1"/>
  <c r="T2353" i="1"/>
  <c r="T2343" i="1"/>
  <c r="T2334" i="1"/>
  <c r="T2325" i="1"/>
  <c r="T2316" i="1"/>
  <c r="T2307" i="1"/>
  <c r="T2298" i="1"/>
  <c r="T2289" i="1"/>
  <c r="T2260" i="1"/>
  <c r="T2251" i="1"/>
  <c r="T2242" i="1"/>
  <c r="T2233" i="1"/>
  <c r="T2224" i="1"/>
  <c r="T2214" i="1"/>
  <c r="T2205" i="1"/>
  <c r="T2196" i="1"/>
  <c r="T2187" i="1"/>
  <c r="T2178" i="1"/>
  <c r="T2169" i="1"/>
  <c r="T2160" i="1"/>
  <c r="T2150" i="1"/>
  <c r="T2141" i="1"/>
  <c r="T2132" i="1"/>
  <c r="T2123" i="1"/>
  <c r="T2114" i="1"/>
  <c r="T2105" i="1"/>
  <c r="T2096" i="1"/>
  <c r="T2086" i="1"/>
  <c r="T2077" i="1"/>
  <c r="T2068" i="1"/>
  <c r="T2059" i="1"/>
  <c r="T2370" i="1"/>
  <c r="T2361" i="1"/>
  <c r="T2351" i="1"/>
  <c r="T2342" i="1"/>
  <c r="T2333" i="1"/>
  <c r="T2324" i="1"/>
  <c r="T2315" i="1"/>
  <c r="T2306" i="1"/>
  <c r="T2297" i="1"/>
  <c r="T2259" i="1"/>
  <c r="T2250" i="1"/>
  <c r="T2241" i="1"/>
  <c r="T2232" i="1"/>
  <c r="T2222" i="1"/>
  <c r="T2213" i="1"/>
  <c r="T2204" i="1"/>
  <c r="T2195" i="1"/>
  <c r="T2186" i="1"/>
  <c r="T2177" i="1"/>
  <c r="T2168" i="1"/>
  <c r="T2158" i="1"/>
  <c r="T2149" i="1"/>
  <c r="T2140" i="1"/>
  <c r="T2131" i="1"/>
  <c r="T2122" i="1"/>
  <c r="T2113" i="1"/>
  <c r="T2104" i="1"/>
  <c r="T2094" i="1"/>
  <c r="T2085" i="1"/>
  <c r="D2085" i="1" s="1"/>
  <c r="T2076" i="1"/>
  <c r="T2067" i="1"/>
  <c r="T2058" i="1"/>
  <c r="T1749" i="1"/>
  <c r="T1741" i="1"/>
  <c r="T1733" i="1"/>
  <c r="T1725" i="1"/>
  <c r="T1717" i="1"/>
  <c r="T1709" i="1"/>
  <c r="T1701" i="1"/>
  <c r="T2364" i="1"/>
  <c r="T2348" i="1"/>
  <c r="T2332" i="1"/>
  <c r="T2319" i="1"/>
  <c r="T2303" i="1"/>
  <c r="T2291" i="1"/>
  <c r="T2262" i="1"/>
  <c r="T2249" i="1"/>
  <c r="T2237" i="1"/>
  <c r="T2226" i="1"/>
  <c r="T2212" i="1"/>
  <c r="T2201" i="1"/>
  <c r="T2189" i="1"/>
  <c r="T2176" i="1"/>
  <c r="T2164" i="1"/>
  <c r="T2153" i="1"/>
  <c r="T2139" i="1"/>
  <c r="T2128" i="1"/>
  <c r="T2116" i="1"/>
  <c r="T2102" i="1"/>
  <c r="T2091" i="1"/>
  <c r="T2080" i="1"/>
  <c r="T2358" i="1"/>
  <c r="T2346" i="1"/>
  <c r="T2330" i="1"/>
  <c r="T2314" i="1"/>
  <c r="T2301" i="1"/>
  <c r="T2258" i="1"/>
  <c r="T2246" i="1"/>
  <c r="T2235" i="1"/>
  <c r="T2221" i="1"/>
  <c r="T2210" i="1"/>
  <c r="T2198" i="1"/>
  <c r="T2185" i="1"/>
  <c r="T2173" i="1"/>
  <c r="T2162" i="1"/>
  <c r="T2148" i="1"/>
  <c r="T2137" i="1"/>
  <c r="T2125" i="1"/>
  <c r="T2112" i="1"/>
  <c r="T2100" i="1"/>
  <c r="T2089" i="1"/>
  <c r="T2075" i="1"/>
  <c r="T2064" i="1"/>
  <c r="T2053" i="1"/>
  <c r="T1743" i="1"/>
  <c r="T1734" i="1"/>
  <c r="T1724" i="1"/>
  <c r="T1715" i="1"/>
  <c r="T1706" i="1"/>
  <c r="T1697" i="1"/>
  <c r="T1689" i="1"/>
  <c r="T1681" i="1"/>
  <c r="T1673" i="1"/>
  <c r="T1665" i="1"/>
  <c r="T1657" i="1"/>
  <c r="T1649" i="1"/>
  <c r="T1641" i="1"/>
  <c r="T1633" i="1"/>
  <c r="T1625" i="1"/>
  <c r="T1617" i="1"/>
  <c r="T1609" i="1"/>
  <c r="T1601" i="1"/>
  <c r="T1593" i="1"/>
  <c r="T1585" i="1"/>
  <c r="T1577" i="1"/>
  <c r="T1569" i="1"/>
  <c r="T1561" i="1"/>
  <c r="T1553" i="1"/>
  <c r="T1545" i="1"/>
  <c r="T1537" i="1"/>
  <c r="T1529" i="1"/>
  <c r="T2373" i="1"/>
  <c r="T2357" i="1"/>
  <c r="T2341" i="1"/>
  <c r="T2329" i="1"/>
  <c r="T2313" i="1"/>
  <c r="T2300" i="1"/>
  <c r="T2257" i="1"/>
  <c r="T2245" i="1"/>
  <c r="T2234" i="1"/>
  <c r="T2220" i="1"/>
  <c r="T2209" i="1"/>
  <c r="T2197" i="1"/>
  <c r="T2184" i="1"/>
  <c r="T2172" i="1"/>
  <c r="T2161" i="1"/>
  <c r="T2147" i="1"/>
  <c r="T2136" i="1"/>
  <c r="T2124" i="1"/>
  <c r="T2110" i="1"/>
  <c r="T2099" i="1"/>
  <c r="T2088" i="1"/>
  <c r="T2074" i="1"/>
  <c r="T2062" i="1"/>
  <c r="T1742" i="1"/>
  <c r="T1732" i="1"/>
  <c r="T1723" i="1"/>
  <c r="T1714" i="1"/>
  <c r="T1705" i="1"/>
  <c r="T1696" i="1"/>
  <c r="T1688" i="1"/>
  <c r="T1680" i="1"/>
  <c r="T1672" i="1"/>
  <c r="T1664" i="1"/>
  <c r="T1656" i="1"/>
  <c r="T1648" i="1"/>
  <c r="T1640" i="1"/>
  <c r="T1632" i="1"/>
  <c r="T1624" i="1"/>
  <c r="T1616" i="1"/>
  <c r="T1608" i="1"/>
  <c r="T1600" i="1"/>
  <c r="T1592" i="1"/>
  <c r="T1584" i="1"/>
  <c r="T1576" i="1"/>
  <c r="T1568" i="1"/>
  <c r="T1560" i="1"/>
  <c r="T1552" i="1"/>
  <c r="T1544" i="1"/>
  <c r="T1536" i="1"/>
  <c r="T1528" i="1"/>
  <c r="T1520" i="1"/>
  <c r="T2369" i="1"/>
  <c r="T2356" i="1"/>
  <c r="T2340" i="1"/>
  <c r="T2327" i="1"/>
  <c r="T2311" i="1"/>
  <c r="T2295" i="1"/>
  <c r="T2267" i="1"/>
  <c r="T2256" i="1"/>
  <c r="T2244" i="1"/>
  <c r="T2230" i="1"/>
  <c r="T2219" i="1"/>
  <c r="T2208" i="1"/>
  <c r="T2194" i="1"/>
  <c r="T2182" i="1"/>
  <c r="T2171" i="1"/>
  <c r="T2157" i="1"/>
  <c r="T2146" i="1"/>
  <c r="T2134" i="1"/>
  <c r="T2121" i="1"/>
  <c r="T2109" i="1"/>
  <c r="T2098" i="1"/>
  <c r="T2084" i="1"/>
  <c r="T2073" i="1"/>
  <c r="T2061" i="1"/>
  <c r="T1740" i="1"/>
  <c r="T1731" i="1"/>
  <c r="T1722" i="1"/>
  <c r="T1713" i="1"/>
  <c r="T1704" i="1"/>
  <c r="T1695" i="1"/>
  <c r="T1687" i="1"/>
  <c r="T1679" i="1"/>
  <c r="T1671" i="1"/>
  <c r="T1663" i="1"/>
  <c r="T1655" i="1"/>
  <c r="T1647" i="1"/>
  <c r="T1639" i="1"/>
  <c r="T1631" i="1"/>
  <c r="T1623" i="1"/>
  <c r="T1615" i="1"/>
  <c r="T1607" i="1"/>
  <c r="T1599" i="1"/>
  <c r="T1591" i="1"/>
  <c r="T1583" i="1"/>
  <c r="T1575" i="1"/>
  <c r="T1567" i="1"/>
  <c r="T1559" i="1"/>
  <c r="T1551" i="1"/>
  <c r="T1543" i="1"/>
  <c r="T2367" i="1"/>
  <c r="T2355" i="1"/>
  <c r="T2339" i="1"/>
  <c r="T2323" i="1"/>
  <c r="T2310" i="1"/>
  <c r="T2294" i="1"/>
  <c r="T2266" i="1"/>
  <c r="T2254" i="1"/>
  <c r="T2243" i="1"/>
  <c r="T2229" i="1"/>
  <c r="T2218" i="1"/>
  <c r="T2206" i="1"/>
  <c r="T2193" i="1"/>
  <c r="T2181" i="1"/>
  <c r="T2170" i="1"/>
  <c r="T2156" i="1"/>
  <c r="T2145" i="1"/>
  <c r="T2133" i="1"/>
  <c r="T2120" i="1"/>
  <c r="T2108" i="1"/>
  <c r="T2097" i="1"/>
  <c r="T2083" i="1"/>
  <c r="T2072" i="1"/>
  <c r="T2060" i="1"/>
  <c r="T1748" i="1"/>
  <c r="T1739" i="1"/>
  <c r="T1730" i="1"/>
  <c r="T1721" i="1"/>
  <c r="T1712" i="1"/>
  <c r="T1703" i="1"/>
  <c r="T1694" i="1"/>
  <c r="T1686" i="1"/>
  <c r="T1678" i="1"/>
  <c r="T1670" i="1"/>
  <c r="T1662" i="1"/>
  <c r="T1654" i="1"/>
  <c r="T1646" i="1"/>
  <c r="T1638" i="1"/>
  <c r="T1630" i="1"/>
  <c r="T1622" i="1"/>
  <c r="T1614" i="1"/>
  <c r="T1606" i="1"/>
  <c r="T1598" i="1"/>
  <c r="T1590" i="1"/>
  <c r="T1582" i="1"/>
  <c r="T1574" i="1"/>
  <c r="T1566" i="1"/>
  <c r="T1558" i="1"/>
  <c r="T1550" i="1"/>
  <c r="T1542" i="1"/>
  <c r="T1534" i="1"/>
  <c r="T2347" i="1"/>
  <c r="T2305" i="1"/>
  <c r="T2265" i="1"/>
  <c r="T2236" i="1"/>
  <c r="T2202" i="1"/>
  <c r="T2166" i="1"/>
  <c r="T2138" i="1"/>
  <c r="T2106" i="1"/>
  <c r="T2070" i="1"/>
  <c r="T1747" i="1"/>
  <c r="T1729" i="1"/>
  <c r="T1711" i="1"/>
  <c r="T1693" i="1"/>
  <c r="T1677" i="1"/>
  <c r="T1661" i="1"/>
  <c r="T1645" i="1"/>
  <c r="T1629" i="1"/>
  <c r="T1613" i="1"/>
  <c r="T1597" i="1"/>
  <c r="T1581" i="1"/>
  <c r="T1565" i="1"/>
  <c r="T1549" i="1"/>
  <c r="T1535" i="1"/>
  <c r="T1524" i="1"/>
  <c r="T1515" i="1"/>
  <c r="T1507" i="1"/>
  <c r="T1499" i="1"/>
  <c r="T1491" i="1"/>
  <c r="T1483" i="1"/>
  <c r="T1475" i="1"/>
  <c r="T1467" i="1"/>
  <c r="T1459" i="1"/>
  <c r="T1451" i="1"/>
  <c r="T1443" i="1"/>
  <c r="T1435" i="1"/>
  <c r="T1427" i="1"/>
  <c r="T1395" i="1"/>
  <c r="T1387" i="1"/>
  <c r="T1371" i="1"/>
  <c r="T1363" i="1"/>
  <c r="T1355" i="1"/>
  <c r="T1347" i="1"/>
  <c r="T1339" i="1"/>
  <c r="T1331" i="1"/>
  <c r="T1315" i="1"/>
  <c r="T1307" i="1"/>
  <c r="T1299" i="1"/>
  <c r="T1291" i="1"/>
  <c r="T1283" i="1"/>
  <c r="T1275" i="1"/>
  <c r="T1259" i="1"/>
  <c r="T1251" i="1"/>
  <c r="T1243" i="1"/>
  <c r="T1235" i="1"/>
  <c r="T1227" i="1"/>
  <c r="T1219" i="1"/>
  <c r="T1211" i="1"/>
  <c r="T1195" i="1"/>
  <c r="T1187" i="1"/>
  <c r="T1179" i="1"/>
  <c r="T1170" i="1"/>
  <c r="T1161" i="1"/>
  <c r="T1153" i="1"/>
  <c r="T2338" i="1"/>
  <c r="T2302" i="1"/>
  <c r="T2264" i="1"/>
  <c r="T2228" i="1"/>
  <c r="T2200" i="1"/>
  <c r="T2165" i="1"/>
  <c r="T2130" i="1"/>
  <c r="T2101" i="1"/>
  <c r="T2069" i="1"/>
  <c r="T1746" i="1"/>
  <c r="T1728" i="1"/>
  <c r="T1710" i="1"/>
  <c r="T1692" i="1"/>
  <c r="T1676" i="1"/>
  <c r="T1660" i="1"/>
  <c r="T1644" i="1"/>
  <c r="T1628" i="1"/>
  <c r="T1612" i="1"/>
  <c r="T1596" i="1"/>
  <c r="T1580" i="1"/>
  <c r="T1564" i="1"/>
  <c r="T1548" i="1"/>
  <c r="T1533" i="1"/>
  <c r="T1523" i="1"/>
  <c r="T1514" i="1"/>
  <c r="T1506" i="1"/>
  <c r="T1498" i="1"/>
  <c r="T1490"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2337" i="1"/>
  <c r="T2293" i="1"/>
  <c r="T2261" i="1"/>
  <c r="T2227" i="1"/>
  <c r="T2192" i="1"/>
  <c r="T2163" i="1"/>
  <c r="T2129" i="1"/>
  <c r="T2093" i="1"/>
  <c r="T2066" i="1"/>
  <c r="T1745" i="1"/>
  <c r="T1727" i="1"/>
  <c r="T1708" i="1"/>
  <c r="T1691" i="1"/>
  <c r="T1675" i="1"/>
  <c r="T1659" i="1"/>
  <c r="T1643" i="1"/>
  <c r="T1627" i="1"/>
  <c r="T1611" i="1"/>
  <c r="T1595" i="1"/>
  <c r="T1579" i="1"/>
  <c r="T1563" i="1"/>
  <c r="T1547" i="1"/>
  <c r="T1532" i="1"/>
  <c r="T1522" i="1"/>
  <c r="T1513" i="1"/>
  <c r="T1505" i="1"/>
  <c r="T1497" i="1"/>
  <c r="T1489" i="1"/>
  <c r="T1481"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73" i="1"/>
  <c r="T1265" i="1"/>
  <c r="T1257" i="1"/>
  <c r="T1249" i="1"/>
  <c r="T1241" i="1"/>
  <c r="T1233" i="1"/>
  <c r="T1225" i="1"/>
  <c r="T1217" i="1"/>
  <c r="T2366" i="1"/>
  <c r="T2331" i="1"/>
  <c r="T2292" i="1"/>
  <c r="T2253" i="1"/>
  <c r="T2225" i="1"/>
  <c r="T2190" i="1"/>
  <c r="T2155" i="1"/>
  <c r="T2126" i="1"/>
  <c r="T2092" i="1"/>
  <c r="T2065" i="1"/>
  <c r="T1744" i="1"/>
  <c r="T1726" i="1"/>
  <c r="T1707" i="1"/>
  <c r="T1690" i="1"/>
  <c r="T1674" i="1"/>
  <c r="T1658" i="1"/>
  <c r="T1642" i="1"/>
  <c r="T1626" i="1"/>
  <c r="T1610" i="1"/>
  <c r="T1594" i="1"/>
  <c r="T1578" i="1"/>
  <c r="T1562" i="1"/>
  <c r="T1546" i="1"/>
  <c r="T1531" i="1"/>
  <c r="T1521" i="1"/>
  <c r="T1512" i="1"/>
  <c r="T1504" i="1"/>
  <c r="T1496" i="1"/>
  <c r="T1488" i="1"/>
  <c r="T1480" i="1"/>
  <c r="T1472" i="1"/>
  <c r="T1456" i="1"/>
  <c r="T1448" i="1"/>
  <c r="T1440" i="1"/>
  <c r="T1432" i="1"/>
  <c r="T1424" i="1"/>
  <c r="T1416" i="1"/>
  <c r="T1408" i="1"/>
  <c r="T1400" i="1"/>
  <c r="T1392" i="1"/>
  <c r="T1384" i="1"/>
  <c r="T1376" i="1"/>
  <c r="T1368" i="1"/>
  <c r="T1360" i="1"/>
  <c r="T1344" i="1"/>
  <c r="T1328" i="1"/>
  <c r="T1320" i="1"/>
  <c r="T1312" i="1"/>
  <c r="T1304" i="1"/>
  <c r="T1296" i="1"/>
  <c r="T1288" i="1"/>
  <c r="T1280" i="1"/>
  <c r="T1272" i="1"/>
  <c r="T1264" i="1"/>
  <c r="T1256" i="1"/>
  <c r="T1248" i="1"/>
  <c r="T1240" i="1"/>
  <c r="T1232" i="1"/>
  <c r="T1224" i="1"/>
  <c r="T1216" i="1"/>
  <c r="T2365" i="1"/>
  <c r="T2322" i="1"/>
  <c r="T2252" i="1"/>
  <c r="T2217" i="1"/>
  <c r="T2188" i="1"/>
  <c r="T2154" i="1"/>
  <c r="T2118" i="1"/>
  <c r="T2090" i="1"/>
  <c r="T2057" i="1"/>
  <c r="T1738" i="1"/>
  <c r="T1720" i="1"/>
  <c r="T1702" i="1"/>
  <c r="T1685" i="1"/>
  <c r="T1669" i="1"/>
  <c r="T1653" i="1"/>
  <c r="T1637" i="1"/>
  <c r="T1621" i="1"/>
  <c r="T1605" i="1"/>
  <c r="T1589" i="1"/>
  <c r="T1573" i="1"/>
  <c r="T1557" i="1"/>
  <c r="T1541" i="1"/>
  <c r="T1530" i="1"/>
  <c r="T1519" i="1"/>
  <c r="T1511" i="1"/>
  <c r="T1503" i="1"/>
  <c r="T1495" i="1"/>
  <c r="T1487" i="1"/>
  <c r="T1479" i="1"/>
  <c r="T1471" i="1"/>
  <c r="T1463" i="1"/>
  <c r="T1447" i="1"/>
  <c r="T1439" i="1"/>
  <c r="T1431" i="1"/>
  <c r="T1423" i="1"/>
  <c r="T1415" i="1"/>
  <c r="T1407" i="1"/>
  <c r="T1399" i="1"/>
  <c r="T1383" i="1"/>
  <c r="T1375" i="1"/>
  <c r="T1367" i="1"/>
  <c r="T1359" i="1"/>
  <c r="T1351" i="1"/>
  <c r="T1343" i="1"/>
  <c r="T1335" i="1"/>
  <c r="T1327" i="1"/>
  <c r="T1319" i="1"/>
  <c r="T1311" i="1"/>
  <c r="T1303" i="1"/>
  <c r="T1295" i="1"/>
  <c r="T1287" i="1"/>
  <c r="T1279" i="1"/>
  <c r="T1271" i="1"/>
  <c r="T1263" i="1"/>
  <c r="T1255" i="1"/>
  <c r="T1247" i="1"/>
  <c r="T1215" i="1"/>
  <c r="T1207" i="1"/>
  <c r="T1199" i="1"/>
  <c r="T1191" i="1"/>
  <c r="T1183" i="1"/>
  <c r="T1174" i="1"/>
  <c r="T1166" i="1"/>
  <c r="T1157" i="1"/>
  <c r="T1149" i="1"/>
  <c r="T2359" i="1"/>
  <c r="T2321" i="1"/>
  <c r="T2248" i="1"/>
  <c r="T2216" i="1"/>
  <c r="T2180" i="1"/>
  <c r="T2152" i="1"/>
  <c r="T2117" i="1"/>
  <c r="T2082" i="1"/>
  <c r="T2056" i="1"/>
  <c r="T1737" i="1"/>
  <c r="T1719" i="1"/>
  <c r="T1700" i="1"/>
  <c r="T1684" i="1"/>
  <c r="T1668" i="1"/>
  <c r="T1652" i="1"/>
  <c r="T1636" i="1"/>
  <c r="T1620" i="1"/>
  <c r="T1604" i="1"/>
  <c r="T1588" i="1"/>
  <c r="T1572" i="1"/>
  <c r="T1556" i="1"/>
  <c r="T1540" i="1"/>
  <c r="T1527" i="1"/>
  <c r="T1518" i="1"/>
  <c r="T1510" i="1"/>
  <c r="T1502" i="1"/>
  <c r="T1494" i="1"/>
  <c r="T1486" i="1"/>
  <c r="T1478" i="1"/>
  <c r="T1470" i="1"/>
  <c r="T1462" i="1"/>
  <c r="T1454" i="1"/>
  <c r="T1438" i="1"/>
  <c r="T1430" i="1"/>
  <c r="T1422" i="1"/>
  <c r="T1414" i="1"/>
  <c r="T1406" i="1"/>
  <c r="T1398" i="1"/>
  <c r="T1390" i="1"/>
  <c r="T1382" i="1"/>
  <c r="T1374" i="1"/>
  <c r="T1358" i="1"/>
  <c r="T1350" i="1"/>
  <c r="T1342" i="1"/>
  <c r="T1334" i="1"/>
  <c r="T1326" i="1"/>
  <c r="T1318" i="1"/>
  <c r="T1310" i="1"/>
  <c r="T1302" i="1"/>
  <c r="T1286" i="1"/>
  <c r="T1278" i="1"/>
  <c r="T1270" i="1"/>
  <c r="T1262" i="1"/>
  <c r="T1254" i="1"/>
  <c r="T1246" i="1"/>
  <c r="T1238" i="1"/>
  <c r="T1230" i="1"/>
  <c r="T1222" i="1"/>
  <c r="T2350" i="1"/>
  <c r="T2318" i="1"/>
  <c r="T2240" i="1"/>
  <c r="T2211" i="1"/>
  <c r="T2179" i="1"/>
  <c r="T2144" i="1"/>
  <c r="T2115" i="1"/>
  <c r="T2081" i="1"/>
  <c r="H2081" i="1" s="1"/>
  <c r="P2081" i="1" s="1"/>
  <c r="C2081" i="1" s="1"/>
  <c r="T2055" i="1"/>
  <c r="T1736" i="1"/>
  <c r="T1718" i="1"/>
  <c r="T1699" i="1"/>
  <c r="T1683" i="1"/>
  <c r="T1667" i="1"/>
  <c r="T1651" i="1"/>
  <c r="T1635" i="1"/>
  <c r="T1619" i="1"/>
  <c r="T1603" i="1"/>
  <c r="T1587" i="1"/>
  <c r="T2349" i="1"/>
  <c r="T2309" i="1"/>
  <c r="T2238" i="1"/>
  <c r="T2203" i="1"/>
  <c r="T2174" i="1"/>
  <c r="T2142" i="1"/>
  <c r="T2107" i="1"/>
  <c r="T2078" i="1"/>
  <c r="T2054" i="1"/>
  <c r="T1735" i="1"/>
  <c r="T1716" i="1"/>
  <c r="T1698" i="1"/>
  <c r="T1682" i="1"/>
  <c r="T1666" i="1"/>
  <c r="T1650" i="1"/>
  <c r="T1634" i="1"/>
  <c r="T1618" i="1"/>
  <c r="T1602" i="1"/>
  <c r="T1586" i="1"/>
  <c r="T1570" i="1"/>
  <c r="T1525" i="1"/>
  <c r="T1492" i="1"/>
  <c r="T1460" i="1"/>
  <c r="T1396" i="1"/>
  <c r="T1364" i="1"/>
  <c r="T1332" i="1"/>
  <c r="T1300" i="1"/>
  <c r="T1268" i="1"/>
  <c r="T1236" i="1"/>
  <c r="T1213" i="1"/>
  <c r="T1202" i="1"/>
  <c r="T1192" i="1"/>
  <c r="T1181" i="1"/>
  <c r="T1158" i="1"/>
  <c r="T1139" i="1"/>
  <c r="T1131" i="1"/>
  <c r="T1123" i="1"/>
  <c r="T1115" i="1"/>
  <c r="T1107" i="1"/>
  <c r="T1098" i="1"/>
  <c r="T1090" i="1"/>
  <c r="T1082" i="1"/>
  <c r="T1074" i="1"/>
  <c r="T1066" i="1"/>
  <c r="T1058" i="1"/>
  <c r="T1050" i="1"/>
  <c r="T1042" i="1"/>
  <c r="T1026" i="1"/>
  <c r="T1018" i="1"/>
  <c r="T1010" i="1"/>
  <c r="T1002" i="1"/>
  <c r="T994" i="1"/>
  <c r="T986" i="1"/>
  <c r="T978" i="1"/>
  <c r="T970" i="1"/>
  <c r="T962" i="1"/>
  <c r="T946" i="1"/>
  <c r="T938" i="1"/>
  <c r="T930" i="1"/>
  <c r="T922" i="1"/>
  <c r="T906" i="1"/>
  <c r="T898" i="1"/>
  <c r="T871" i="1"/>
  <c r="T863" i="1"/>
  <c r="T847" i="1"/>
  <c r="T839" i="1"/>
  <c r="T831" i="1"/>
  <c r="T823" i="1"/>
  <c r="T815" i="1"/>
  <c r="T807" i="1"/>
  <c r="T791" i="1"/>
  <c r="T783" i="1"/>
  <c r="T775" i="1"/>
  <c r="T767" i="1"/>
  <c r="T759" i="1"/>
  <c r="T751" i="1"/>
  <c r="T743" i="1"/>
  <c r="T735" i="1"/>
  <c r="T719" i="1"/>
  <c r="T711" i="1"/>
  <c r="T703" i="1"/>
  <c r="T695" i="1"/>
  <c r="T687" i="1"/>
  <c r="T679" i="1"/>
  <c r="T671" i="1"/>
  <c r="T663" i="1"/>
  <c r="T655" i="1"/>
  <c r="T647" i="1"/>
  <c r="T627" i="1"/>
  <c r="T619" i="1"/>
  <c r="T610" i="1"/>
  <c r="T586" i="1"/>
  <c r="T1517" i="1"/>
  <c r="T1485" i="1"/>
  <c r="T1453" i="1"/>
  <c r="T1421" i="1"/>
  <c r="T1389" i="1"/>
  <c r="T1357" i="1"/>
  <c r="T1325" i="1"/>
  <c r="T1293" i="1"/>
  <c r="T1261" i="1"/>
  <c r="T1229" i="1"/>
  <c r="T1212" i="1"/>
  <c r="T1201" i="1"/>
  <c r="T1190" i="1"/>
  <c r="T1180" i="1"/>
  <c r="T1168" i="1"/>
  <c r="T1146" i="1"/>
  <c r="T1138" i="1"/>
  <c r="T1130" i="1"/>
  <c r="T1122" i="1"/>
  <c r="T1114" i="1"/>
  <c r="T1106" i="1"/>
  <c r="T1097" i="1"/>
  <c r="T1089" i="1"/>
  <c r="T1065" i="1"/>
  <c r="T1057" i="1"/>
  <c r="T1049" i="1"/>
  <c r="T1041" i="1"/>
  <c r="T1033" i="1"/>
  <c r="T1025" i="1"/>
  <c r="T1017" i="1"/>
  <c r="T1009" i="1"/>
  <c r="T1001" i="1"/>
  <c r="T993" i="1"/>
  <c r="T985" i="1"/>
  <c r="T977" i="1"/>
  <c r="T969" i="1"/>
  <c r="T961" i="1"/>
  <c r="T953" i="1"/>
  <c r="T945" i="1"/>
  <c r="T937" i="1"/>
  <c r="T929" i="1"/>
  <c r="T921" i="1"/>
  <c r="T913" i="1"/>
  <c r="T905" i="1"/>
  <c r="T897" i="1"/>
  <c r="T878" i="1"/>
  <c r="T870" i="1"/>
  <c r="T862" i="1"/>
  <c r="T854" i="1"/>
  <c r="T846" i="1"/>
  <c r="T838" i="1"/>
  <c r="T822" i="1"/>
  <c r="T814" i="1"/>
  <c r="T806" i="1"/>
  <c r="T798" i="1"/>
  <c r="T790" i="1"/>
  <c r="T782" i="1"/>
  <c r="T774" i="1"/>
  <c r="T766" i="1"/>
  <c r="T758" i="1"/>
  <c r="T750" i="1"/>
  <c r="T742" i="1"/>
  <c r="T734" i="1"/>
  <c r="T726" i="1"/>
  <c r="T718" i="1"/>
  <c r="T710" i="1"/>
  <c r="T702" i="1"/>
  <c r="T694" i="1"/>
  <c r="T686" i="1"/>
  <c r="T678" i="1"/>
  <c r="T670" i="1"/>
  <c r="T662" i="1"/>
  <c r="T654" i="1"/>
  <c r="T626" i="1"/>
  <c r="T618" i="1"/>
  <c r="T609" i="1"/>
  <c r="T601" i="1"/>
  <c r="T593" i="1"/>
  <c r="T585" i="1"/>
  <c r="T1571" i="1"/>
  <c r="T1516" i="1"/>
  <c r="T1484" i="1"/>
  <c r="T1452" i="1"/>
  <c r="T1420" i="1"/>
  <c r="T1388" i="1"/>
  <c r="T1356" i="1"/>
  <c r="T1324" i="1"/>
  <c r="T1292" i="1"/>
  <c r="T1260" i="1"/>
  <c r="T1228" i="1"/>
  <c r="T1210" i="1"/>
  <c r="T1200" i="1"/>
  <c r="T1189" i="1"/>
  <c r="T1178" i="1"/>
  <c r="T1167" i="1"/>
  <c r="T1155" i="1"/>
  <c r="T1145" i="1"/>
  <c r="T1137" i="1"/>
  <c r="T1129" i="1"/>
  <c r="T1121" i="1"/>
  <c r="T1113" i="1"/>
  <c r="T1105" i="1"/>
  <c r="T1096" i="1"/>
  <c r="T1080" i="1"/>
  <c r="T1072" i="1"/>
  <c r="T1064" i="1"/>
  <c r="T1056" i="1"/>
  <c r="T1048" i="1"/>
  <c r="T1040" i="1"/>
  <c r="T1032" i="1"/>
  <c r="T1016" i="1"/>
  <c r="T1008" i="1"/>
  <c r="T1000" i="1"/>
  <c r="T992" i="1"/>
  <c r="T984" i="1"/>
  <c r="T976" i="1"/>
  <c r="T968" i="1"/>
  <c r="T960" i="1"/>
  <c r="T952" i="1"/>
  <c r="T944" i="1"/>
  <c r="T936" i="1"/>
  <c r="T928" i="1"/>
  <c r="T920" i="1"/>
  <c r="T912" i="1"/>
  <c r="T904" i="1"/>
  <c r="T896" i="1"/>
  <c r="T877" i="1"/>
  <c r="T869" i="1"/>
  <c r="T861" i="1"/>
  <c r="T853" i="1"/>
  <c r="T845" i="1"/>
  <c r="T837" i="1"/>
  <c r="T829" i="1"/>
  <c r="T821" i="1"/>
  <c r="T813" i="1"/>
  <c r="T805" i="1"/>
  <c r="T797" i="1"/>
  <c r="T781" i="1"/>
  <c r="T773" i="1"/>
  <c r="T765" i="1"/>
  <c r="T757" i="1"/>
  <c r="T749" i="1"/>
  <c r="T741" i="1"/>
  <c r="T733" i="1"/>
  <c r="T725" i="1"/>
  <c r="T717" i="1"/>
  <c r="T709" i="1"/>
  <c r="T701" i="1"/>
  <c r="T693" i="1"/>
  <c r="T685" i="1"/>
  <c r="T677" i="1"/>
  <c r="T669" i="1"/>
  <c r="T661" i="1"/>
  <c r="T653" i="1"/>
  <c r="T634" i="1"/>
  <c r="T625" i="1"/>
  <c r="T617" i="1"/>
  <c r="T608" i="1"/>
  <c r="T600" i="1"/>
  <c r="T592" i="1"/>
  <c r="T1555" i="1"/>
  <c r="T1509" i="1"/>
  <c r="T1477" i="1"/>
  <c r="T1445" i="1"/>
  <c r="T1413" i="1"/>
  <c r="T1381" i="1"/>
  <c r="T1349" i="1"/>
  <c r="T1317" i="1"/>
  <c r="T1285" i="1"/>
  <c r="T1253" i="1"/>
  <c r="T1226" i="1"/>
  <c r="T1209" i="1"/>
  <c r="T1198" i="1"/>
  <c r="T1188" i="1"/>
  <c r="T1176" i="1"/>
  <c r="T1165" i="1"/>
  <c r="T1154" i="1"/>
  <c r="T1144" i="1"/>
  <c r="T1128" i="1"/>
  <c r="T1120" i="1"/>
  <c r="T1104" i="1"/>
  <c r="T1087" i="1"/>
  <c r="T1079" i="1"/>
  <c r="T1071" i="1"/>
  <c r="T1055" i="1"/>
  <c r="T1047" i="1"/>
  <c r="T1039" i="1"/>
  <c r="T1031" i="1"/>
  <c r="T1023" i="1"/>
  <c r="T1015" i="1"/>
  <c r="T1007" i="1"/>
  <c r="T999" i="1"/>
  <c r="T991" i="1"/>
  <c r="T983" i="1"/>
  <c r="T975" i="1"/>
  <c r="T967" i="1"/>
  <c r="T959" i="1"/>
  <c r="T951" i="1"/>
  <c r="T935" i="1"/>
  <c r="T927" i="1"/>
  <c r="T919" i="1"/>
  <c r="T911" i="1"/>
  <c r="T903" i="1"/>
  <c r="T895" i="1"/>
  <c r="T876" i="1"/>
  <c r="T860" i="1"/>
  <c r="T852" i="1"/>
  <c r="T844" i="1"/>
  <c r="T836" i="1"/>
  <c r="T828" i="1"/>
  <c r="T820" i="1"/>
  <c r="T812" i="1"/>
  <c r="T804" i="1"/>
  <c r="T796" i="1"/>
  <c r="T788" i="1"/>
  <c r="T780" i="1"/>
  <c r="T772" i="1"/>
  <c r="T756" i="1"/>
  <c r="T748" i="1"/>
  <c r="T740" i="1"/>
  <c r="T732" i="1"/>
  <c r="T724" i="1"/>
  <c r="T716" i="1"/>
  <c r="T708" i="1"/>
  <c r="T700" i="1"/>
  <c r="T692" i="1"/>
  <c r="T684" i="1"/>
  <c r="T676" i="1"/>
  <c r="T668" i="1"/>
  <c r="T660" i="1"/>
  <c r="T652" i="1"/>
  <c r="T633" i="1"/>
  <c r="T624" i="1"/>
  <c r="T616" i="1"/>
  <c r="T607" i="1"/>
  <c r="T599" i="1"/>
  <c r="T591" i="1"/>
  <c r="T583" i="1"/>
  <c r="T1554" i="1"/>
  <c r="T1508" i="1"/>
  <c r="T1476" i="1"/>
  <c r="T1444" i="1"/>
  <c r="T1412" i="1"/>
  <c r="T1380" i="1"/>
  <c r="T1348" i="1"/>
  <c r="T1316" i="1"/>
  <c r="T1284" i="1"/>
  <c r="T1221" i="1"/>
  <c r="T1208" i="1"/>
  <c r="T1197" i="1"/>
  <c r="T1186" i="1"/>
  <c r="T1175" i="1"/>
  <c r="T1164" i="1"/>
  <c r="T1152" i="1"/>
  <c r="T1143" i="1"/>
  <c r="T1135" i="1"/>
  <c r="T1119" i="1"/>
  <c r="T1111" i="1"/>
  <c r="T1094" i="1"/>
  <c r="T1086" i="1"/>
  <c r="T1078" i="1"/>
  <c r="T1070" i="1"/>
  <c r="T1062" i="1"/>
  <c r="T1054" i="1"/>
  <c r="T1046" i="1"/>
  <c r="T1038" i="1"/>
  <c r="T1030" i="1"/>
  <c r="T1022" i="1"/>
  <c r="T1006" i="1"/>
  <c r="T998" i="1"/>
  <c r="T990" i="1"/>
  <c r="T982" i="1"/>
  <c r="T966" i="1"/>
  <c r="T958" i="1"/>
  <c r="T950" i="1"/>
  <c r="T942" i="1"/>
  <c r="T934" i="1"/>
  <c r="T926" i="1"/>
  <c r="T918" i="1"/>
  <c r="T910" i="1"/>
  <c r="T902" i="1"/>
  <c r="T894" i="1"/>
  <c r="T875" i="1"/>
  <c r="T867" i="1"/>
  <c r="T859" i="1"/>
  <c r="T851" i="1"/>
  <c r="T843" i="1"/>
  <c r="T835" i="1"/>
  <c r="T827" i="1"/>
  <c r="T811" i="1"/>
  <c r="T803" i="1"/>
  <c r="T795" i="1"/>
  <c r="T787" i="1"/>
  <c r="T763" i="1"/>
  <c r="T755" i="1"/>
  <c r="T747" i="1"/>
  <c r="T739" i="1"/>
  <c r="T723" i="1"/>
  <c r="T715" i="1"/>
  <c r="T707" i="1"/>
  <c r="T691" i="1"/>
  <c r="T675" i="1"/>
  <c r="T667" i="1"/>
  <c r="T659" i="1"/>
  <c r="T651" i="1"/>
  <c r="T632" i="1"/>
  <c r="T614" i="1"/>
  <c r="T606" i="1"/>
  <c r="T598" i="1"/>
  <c r="T590" i="1"/>
  <c r="T582" i="1"/>
  <c r="T1539" i="1"/>
  <c r="T1501" i="1"/>
  <c r="T1469" i="1"/>
  <c r="T1405" i="1"/>
  <c r="T1373" i="1"/>
  <c r="T1341" i="1"/>
  <c r="T1277" i="1"/>
  <c r="T1245" i="1"/>
  <c r="T1220" i="1"/>
  <c r="T1206" i="1"/>
  <c r="T1196" i="1"/>
  <c r="T1162" i="1"/>
  <c r="T1151" i="1"/>
  <c r="T1142" i="1"/>
  <c r="T1134" i="1"/>
  <c r="T1126" i="1"/>
  <c r="T1118" i="1"/>
  <c r="T1110" i="1"/>
  <c r="T1102" i="1"/>
  <c r="T1093" i="1"/>
  <c r="T1085" i="1"/>
  <c r="T1077" i="1"/>
  <c r="T1069" i="1"/>
  <c r="T1061" i="1"/>
  <c r="T1045" i="1"/>
  <c r="T1037" i="1"/>
  <c r="T1029" i="1"/>
  <c r="T1021" i="1"/>
  <c r="T1013" i="1"/>
  <c r="T1005" i="1"/>
  <c r="T997" i="1"/>
  <c r="T973" i="1"/>
  <c r="T965" i="1"/>
  <c r="T957" i="1"/>
  <c r="T949" i="1"/>
  <c r="T941" i="1"/>
  <c r="T925" i="1"/>
  <c r="T917" i="1"/>
  <c r="T901" i="1"/>
  <c r="T893" i="1"/>
  <c r="T874" i="1"/>
  <c r="T866" i="1"/>
  <c r="T858" i="1"/>
  <c r="T842" i="1"/>
  <c r="T834" i="1"/>
  <c r="T826" i="1"/>
  <c r="T818" i="1"/>
  <c r="T802" i="1"/>
  <c r="T794" i="1"/>
  <c r="T786" i="1"/>
  <c r="T770" i="1"/>
  <c r="T762" i="1"/>
  <c r="T754" i="1"/>
  <c r="T738" i="1"/>
  <c r="T730" i="1"/>
  <c r="T722" i="1"/>
  <c r="T714" i="1"/>
  <c r="T690" i="1"/>
  <c r="T682" i="1"/>
  <c r="T1538" i="1"/>
  <c r="T1500" i="1"/>
  <c r="T1468" i="1"/>
  <c r="T1436" i="1"/>
  <c r="T1404" i="1"/>
  <c r="T1372" i="1"/>
  <c r="T1340" i="1"/>
  <c r="T1308" i="1"/>
  <c r="T1276" i="1"/>
  <c r="T1244" i="1"/>
  <c r="T1218" i="1"/>
  <c r="T1205" i="1"/>
  <c r="T1184" i="1"/>
  <c r="T1172" i="1"/>
  <c r="T1160" i="1"/>
  <c r="T1150" i="1"/>
  <c r="T1141" i="1"/>
  <c r="T1133" i="1"/>
  <c r="T1125" i="1"/>
  <c r="T1117" i="1"/>
  <c r="T1109" i="1"/>
  <c r="T1101" i="1"/>
  <c r="T1092" i="1"/>
  <c r="T1084" i="1"/>
  <c r="T1076" i="1"/>
  <c r="T1068" i="1"/>
  <c r="T1060" i="1"/>
  <c r="T1052" i="1"/>
  <c r="T1044" i="1"/>
  <c r="T1036" i="1"/>
  <c r="T1028" i="1"/>
  <c r="T1020" i="1"/>
  <c r="T1012" i="1"/>
  <c r="T988" i="1"/>
  <c r="T980" i="1"/>
  <c r="T972" i="1"/>
  <c r="T964" i="1"/>
  <c r="T956" i="1"/>
  <c r="T948" i="1"/>
  <c r="T940" i="1"/>
  <c r="T932" i="1"/>
  <c r="T924" i="1"/>
  <c r="T916" i="1"/>
  <c r="T908" i="1"/>
  <c r="T900" i="1"/>
  <c r="T892" i="1"/>
  <c r="T873" i="1"/>
  <c r="T865" i="1"/>
  <c r="T857" i="1"/>
  <c r="T849" i="1"/>
  <c r="T833" i="1"/>
  <c r="T825" i="1"/>
  <c r="T817" i="1"/>
  <c r="T809" i="1"/>
  <c r="T801" i="1"/>
  <c r="T793" i="1"/>
  <c r="T785" i="1"/>
  <c r="T777" i="1"/>
  <c r="T769" i="1"/>
  <c r="T761" i="1"/>
  <c r="T745" i="1"/>
  <c r="T729" i="1"/>
  <c r="T721" i="1"/>
  <c r="T705" i="1"/>
  <c r="T697" i="1"/>
  <c r="T689" i="1"/>
  <c r="T681" i="1"/>
  <c r="T673" i="1"/>
  <c r="T665" i="1"/>
  <c r="T657" i="1"/>
  <c r="T649" i="1"/>
  <c r="T630" i="1"/>
  <c r="T621" i="1"/>
  <c r="T604" i="1"/>
  <c r="T596" i="1"/>
  <c r="T588" i="1"/>
  <c r="T580" i="1"/>
  <c r="T1526" i="1"/>
  <c r="T1493" i="1"/>
  <c r="T1461" i="1"/>
  <c r="T1429" i="1"/>
  <c r="T1397" i="1"/>
  <c r="T1365" i="1"/>
  <c r="T1333" i="1"/>
  <c r="T1301" i="1"/>
  <c r="T1269" i="1"/>
  <c r="T1237" i="1"/>
  <c r="T1204" i="1"/>
  <c r="T1193" i="1"/>
  <c r="T1182" i="1"/>
  <c r="T1171" i="1"/>
  <c r="T1148" i="1"/>
  <c r="T1140" i="1"/>
  <c r="T1132" i="1"/>
  <c r="T1124" i="1"/>
  <c r="T1108" i="1"/>
  <c r="T1100" i="1"/>
  <c r="T1091" i="1"/>
  <c r="T1083" i="1"/>
  <c r="T1075" i="1"/>
  <c r="T1067" i="1"/>
  <c r="T1059" i="1"/>
  <c r="T1051" i="1"/>
  <c r="T1035" i="1"/>
  <c r="T1027" i="1"/>
  <c r="T1019" i="1"/>
  <c r="T1011" i="1"/>
  <c r="T1003" i="1"/>
  <c r="T995" i="1"/>
  <c r="T987" i="1"/>
  <c r="T979" i="1"/>
  <c r="T971" i="1"/>
  <c r="T955" i="1"/>
  <c r="T947" i="1"/>
  <c r="T939" i="1"/>
  <c r="T931" i="1"/>
  <c r="T915" i="1"/>
  <c r="T907" i="1"/>
  <c r="T891" i="1"/>
  <c r="T872" i="1"/>
  <c r="T864" i="1"/>
  <c r="T808" i="1"/>
  <c r="T680" i="1"/>
  <c r="T648" i="1"/>
  <c r="T603" i="1"/>
  <c r="T577" i="1"/>
  <c r="T569" i="1"/>
  <c r="T561" i="1"/>
  <c r="T553" i="1"/>
  <c r="T545" i="1"/>
  <c r="T537" i="1"/>
  <c r="T529" i="1"/>
  <c r="T521" i="1"/>
  <c r="T497" i="1"/>
  <c r="T489" i="1"/>
  <c r="T481" i="1"/>
  <c r="T457" i="1"/>
  <c r="T449" i="1"/>
  <c r="T441" i="1"/>
  <c r="T433"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00" i="1"/>
  <c r="T736" i="1"/>
  <c r="T631" i="1"/>
  <c r="T597" i="1"/>
  <c r="T576" i="1"/>
  <c r="T568" i="1"/>
  <c r="T560" i="1"/>
  <c r="T552" i="1"/>
  <c r="T544" i="1"/>
  <c r="T536" i="1"/>
  <c r="T528" i="1"/>
  <c r="T520" i="1"/>
  <c r="T512" i="1"/>
  <c r="T504" i="1"/>
  <c r="T496" i="1"/>
  <c r="T488" i="1"/>
  <c r="T480" i="1"/>
  <c r="T472" i="1"/>
  <c r="T464" i="1"/>
  <c r="T440" i="1"/>
  <c r="T432"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56" i="1"/>
  <c r="T792" i="1"/>
  <c r="T728" i="1"/>
  <c r="T672" i="1"/>
  <c r="T629" i="1"/>
  <c r="T595" i="1"/>
  <c r="T575" i="1"/>
  <c r="T567" i="1"/>
  <c r="T559" i="1"/>
  <c r="T551" i="1"/>
  <c r="T543" i="1"/>
  <c r="T535" i="1"/>
  <c r="T527" i="1"/>
  <c r="T519" i="1"/>
  <c r="T511" i="1"/>
  <c r="T503" i="1"/>
  <c r="T487" i="1"/>
  <c r="T479" i="1"/>
  <c r="T471" i="1"/>
  <c r="T463" i="1"/>
  <c r="T455" i="1"/>
  <c r="T447" i="1"/>
  <c r="T439" i="1"/>
  <c r="T423" i="1"/>
  <c r="T415" i="1"/>
  <c r="T407" i="1"/>
  <c r="T399" i="1"/>
  <c r="T391" i="1"/>
  <c r="T383" i="1"/>
  <c r="T375" i="1"/>
  <c r="T367" i="1"/>
  <c r="T348" i="1"/>
  <c r="T848" i="1"/>
  <c r="T784" i="1"/>
  <c r="T622" i="1"/>
  <c r="T589" i="1"/>
  <c r="T558" i="1"/>
  <c r="T542" i="1"/>
  <c r="T518" i="1"/>
  <c r="T510" i="1"/>
  <c r="T502" i="1"/>
  <c r="T494" i="1"/>
  <c r="T486" i="1"/>
  <c r="T478" i="1"/>
  <c r="T470" i="1"/>
  <c r="T462" i="1"/>
  <c r="T454" i="1"/>
  <c r="T446" i="1"/>
  <c r="T438"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0" i="1"/>
  <c r="T776" i="1"/>
  <c r="T712" i="1"/>
  <c r="T664" i="1"/>
  <c r="T620" i="1"/>
  <c r="T587" i="1"/>
  <c r="T573" i="1"/>
  <c r="T565" i="1"/>
  <c r="T557" i="1"/>
  <c r="T549" i="1"/>
  <c r="T541" i="1"/>
  <c r="T533" i="1"/>
  <c r="T525" i="1"/>
  <c r="T517" i="1"/>
  <c r="T509" i="1"/>
  <c r="T501" i="1"/>
  <c r="T493" i="1"/>
  <c r="T477" i="1"/>
  <c r="T469" i="1"/>
  <c r="T461" i="1"/>
  <c r="T453"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32" i="1"/>
  <c r="T768" i="1"/>
  <c r="T704" i="1"/>
  <c r="T658" i="1"/>
  <c r="T613" i="1"/>
  <c r="T581" i="1"/>
  <c r="T572" i="1"/>
  <c r="T564" i="1"/>
  <c r="T556" i="1"/>
  <c r="T548" i="1"/>
  <c r="T540" i="1"/>
  <c r="T532" i="1"/>
  <c r="T524" i="1"/>
  <c r="T516" i="1"/>
  <c r="T508" i="1"/>
  <c r="T500" i="1"/>
  <c r="T492" i="1"/>
  <c r="T484" i="1"/>
  <c r="T476" i="1"/>
  <c r="T468" i="1"/>
  <c r="T460" i="1"/>
  <c r="T452"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24" i="1"/>
  <c r="T696" i="1"/>
  <c r="T611" i="1"/>
  <c r="T579" i="1"/>
  <c r="T571" i="1"/>
  <c r="T563" i="1"/>
  <c r="T555" i="1"/>
  <c r="T547" i="1"/>
  <c r="T539" i="1"/>
  <c r="T531" i="1"/>
  <c r="T523" i="1"/>
  <c r="T515" i="1"/>
  <c r="T507" i="1"/>
  <c r="T499" i="1"/>
  <c r="T491" i="1"/>
  <c r="T483" i="1"/>
  <c r="T475" i="1"/>
  <c r="T467" i="1"/>
  <c r="T459" i="1"/>
  <c r="T451"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16" i="1"/>
  <c r="T752" i="1"/>
  <c r="T688" i="1"/>
  <c r="T650" i="1"/>
  <c r="T605" i="1"/>
  <c r="T578" i="1"/>
  <c r="T570" i="1"/>
  <c r="T562" i="1"/>
  <c r="T554" i="1"/>
  <c r="T546" i="1"/>
  <c r="T538" i="1"/>
  <c r="T530" i="1"/>
  <c r="T522" i="1"/>
  <c r="T514" i="1"/>
  <c r="T506" i="1"/>
  <c r="T498" i="1"/>
  <c r="T490" i="1"/>
  <c r="T482" i="1"/>
  <c r="T474" i="1"/>
  <c r="T466" i="1"/>
  <c r="T458" i="1"/>
  <c r="T450"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H1929" i="1"/>
  <c r="N1797" i="1"/>
  <c r="N1796" i="1"/>
  <c r="H2014" i="23"/>
  <c r="D1726" i="1"/>
  <c r="D1606" i="1"/>
  <c r="D1636" i="1"/>
  <c r="I1636"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59" i="1"/>
  <c r="E180" i="42"/>
  <c r="G180" i="42" s="1"/>
  <c r="H1790" i="1"/>
  <c r="P1790" i="1" s="1"/>
  <c r="C1790" i="1" s="1"/>
  <c r="H1808" i="1"/>
  <c r="P1808" i="1" s="1"/>
  <c r="C1808" i="1" s="1"/>
  <c r="H1780" i="1"/>
  <c r="P1780" i="1" s="1"/>
  <c r="C1780" i="1" s="1"/>
  <c r="C90" i="33"/>
  <c r="C96" i="41"/>
  <c r="CZ2" i="41"/>
  <c r="CA2" i="41"/>
  <c r="BK2" i="41"/>
  <c r="BC2" i="41"/>
  <c r="AU2" i="41"/>
  <c r="AQ2" i="41"/>
  <c r="AI2" i="41"/>
  <c r="AA2" i="41"/>
  <c r="CP2" i="41"/>
  <c r="CY2" i="41"/>
  <c r="CQ2" i="41"/>
  <c r="CH2" i="41"/>
  <c r="BZ2" i="41"/>
  <c r="BV2" i="41"/>
  <c r="BR2" i="41"/>
  <c r="BN2" i="41"/>
  <c r="BJ2" i="41"/>
  <c r="BF2" i="41"/>
  <c r="BB2" i="41"/>
  <c r="AX2" i="41"/>
  <c r="AT2" i="41"/>
  <c r="AP2" i="41"/>
  <c r="AL2" i="41"/>
  <c r="AH2" i="41"/>
  <c r="AD2" i="41"/>
  <c r="Z2" i="41"/>
  <c r="CX2" i="41"/>
  <c r="BW2" i="41"/>
  <c r="BO2" i="41"/>
  <c r="BG2" i="41"/>
  <c r="AY2" i="41"/>
  <c r="AM2" i="41"/>
  <c r="AE2" i="41"/>
  <c r="DJ2" i="41"/>
  <c r="CU2" i="41"/>
  <c r="CO2" i="41"/>
  <c r="CC2" i="41"/>
  <c r="BY2" i="41"/>
  <c r="BU2" i="41"/>
  <c r="BQ2" i="41"/>
  <c r="BM2" i="41"/>
  <c r="BI2" i="41"/>
  <c r="BE2" i="41"/>
  <c r="BA2" i="41"/>
  <c r="AW2" i="41"/>
  <c r="AS2" i="41"/>
  <c r="AO2" i="41"/>
  <c r="AK2" i="41"/>
  <c r="AG2" i="41"/>
  <c r="AC2" i="41"/>
  <c r="DM2" i="41"/>
  <c r="DA2" i="41"/>
  <c r="CT2" i="41"/>
  <c r="CN2" i="41"/>
  <c r="CB2" i="41"/>
  <c r="BX2" i="41"/>
  <c r="BT2" i="41"/>
  <c r="BL2" i="41"/>
  <c r="BH2" i="41"/>
  <c r="BD2" i="41"/>
  <c r="AZ2" i="41"/>
  <c r="AV2" i="41"/>
  <c r="AR2" i="41"/>
  <c r="AN2" i="41"/>
  <c r="AJ2" i="41"/>
  <c r="AF2" i="41"/>
  <c r="AB2" i="41"/>
  <c r="X2" i="41"/>
  <c r="D2177" i="1"/>
  <c r="D2175" i="1" s="1"/>
  <c r="H2175" i="1" s="1"/>
  <c r="P2175" i="1" s="1"/>
  <c r="C2175" i="1" s="1"/>
  <c r="D2158" i="1"/>
  <c r="D2187" i="1" s="1"/>
  <c r="D2184" i="1" s="1"/>
  <c r="D1734" i="1"/>
  <c r="D1716" i="1"/>
  <c r="H1716" i="1" s="1"/>
  <c r="P1716" i="1" s="1"/>
  <c r="C1716" i="1" s="1"/>
  <c r="D1504" i="1"/>
  <c r="H1504" i="1" s="1"/>
  <c r="P1504" i="1" s="1"/>
  <c r="C1504" i="1" s="1"/>
  <c r="D1638" i="1"/>
  <c r="I1638" i="1" s="1"/>
  <c r="D1497" i="1"/>
  <c r="H1497" i="1" s="1"/>
  <c r="P1497" i="1" s="1"/>
  <c r="C1497" i="1" s="1"/>
  <c r="D1640" i="1"/>
  <c r="H1640" i="1" s="1"/>
  <c r="P1640" i="1" s="1"/>
  <c r="C1640" i="1" s="1"/>
  <c r="D1634" i="1"/>
  <c r="I1634" i="1" s="1"/>
  <c r="D1729" i="1"/>
  <c r="D1493" i="1"/>
  <c r="J1493" i="1" s="1"/>
  <c r="H2096" i="1"/>
  <c r="P2096" i="1" s="1"/>
  <c r="C2096" i="1" s="1"/>
  <c r="D1732" i="1"/>
  <c r="D1665" i="1"/>
  <c r="I1665" i="1" s="1"/>
  <c r="N2101" i="1"/>
  <c r="D2055" i="1"/>
  <c r="N2055" i="1" s="1"/>
  <c r="D1642" i="1"/>
  <c r="H1642" i="1" s="1"/>
  <c r="P1642" i="1" s="1"/>
  <c r="C1642" i="1" s="1"/>
  <c r="H1663" i="1"/>
  <c r="P1663" i="1" s="1"/>
  <c r="C1663" i="1" s="1"/>
  <c r="H1697" i="1"/>
  <c r="P1697" i="1" s="1"/>
  <c r="C1697" i="1" s="1"/>
  <c r="H2072" i="1"/>
  <c r="P2072" i="1" s="1"/>
  <c r="C2072" i="1" s="1"/>
  <c r="D1742" i="1"/>
  <c r="D1632" i="1"/>
  <c r="I1632" i="1" s="1"/>
  <c r="F118" i="42"/>
  <c r="D1592" i="1"/>
  <c r="E192" i="31" s="1"/>
  <c r="B192" i="31" s="1"/>
  <c r="H1696" i="1"/>
  <c r="P1696" i="1" s="1"/>
  <c r="C1696" i="1" s="1"/>
  <c r="D1645" i="1"/>
  <c r="H1645" i="1" s="1"/>
  <c r="P1645" i="1" s="1"/>
  <c r="C1645" i="1" s="1"/>
  <c r="D2042" i="1"/>
  <c r="H2042" i="1" s="1"/>
  <c r="P2042" i="1" s="1"/>
  <c r="C2042" i="1" s="1"/>
  <c r="D1635" i="1"/>
  <c r="H1635" i="1" s="1"/>
  <c r="P1635" i="1" s="1"/>
  <c r="C1635" i="1" s="1"/>
  <c r="D1593" i="1"/>
  <c r="E193" i="31" s="1"/>
  <c r="B193" i="31" s="1"/>
  <c r="N2071" i="1"/>
  <c r="D1609" i="1"/>
  <c r="D1643" i="1"/>
  <c r="H1643" i="1" s="1"/>
  <c r="P1643" i="1" s="1"/>
  <c r="C1643" i="1" s="1"/>
  <c r="H1651" i="1"/>
  <c r="P1651" i="1" s="1"/>
  <c r="C1651" i="1" s="1"/>
  <c r="G133" i="42"/>
  <c r="B77" i="35"/>
  <c r="B131" i="35"/>
  <c r="E149" i="42"/>
  <c r="G149" i="42" s="1"/>
  <c r="E284" i="42"/>
  <c r="G284" i="42" s="1"/>
  <c r="B71" i="35"/>
  <c r="G118" i="35"/>
  <c r="G71" i="34"/>
  <c r="G93" i="35"/>
  <c r="J677" i="1"/>
  <c r="D83" i="33"/>
  <c r="D99" i="33"/>
  <c r="G132" i="31"/>
  <c r="E152" i="31"/>
  <c r="E153" i="31" s="1"/>
  <c r="G153" i="31" s="1"/>
  <c r="K1755" i="1"/>
  <c r="G98" i="31"/>
  <c r="G122" i="42"/>
  <c r="M677" i="1"/>
  <c r="I677" i="1"/>
  <c r="P2168" i="1"/>
  <c r="C2168" i="1" s="1"/>
  <c r="B274" i="42"/>
  <c r="H1672" i="1"/>
  <c r="P1672" i="1" s="1"/>
  <c r="C1672" i="1" s="1"/>
  <c r="B255" i="42"/>
  <c r="D97" i="33"/>
  <c r="B74" i="34"/>
  <c r="M2167" i="1"/>
  <c r="B171" i="31"/>
  <c r="D102" i="33"/>
  <c r="B132" i="35"/>
  <c r="G132" i="35"/>
  <c r="D2305" i="1"/>
  <c r="E291" i="42" s="1"/>
  <c r="G291" i="42" s="1"/>
  <c r="J986" i="1"/>
  <c r="E190" i="31"/>
  <c r="G190" i="31" s="1"/>
  <c r="G232" i="42"/>
  <c r="I1657" i="1"/>
  <c r="I978" i="1"/>
  <c r="I852" i="1"/>
  <c r="G262" i="42"/>
  <c r="B170" i="31"/>
  <c r="D103" i="33"/>
  <c r="D2046" i="1"/>
  <c r="H1590" i="1"/>
  <c r="P1590" i="1" s="1"/>
  <c r="C1590" i="1" s="1"/>
  <c r="J852" i="1"/>
  <c r="B158" i="31"/>
  <c r="J1542" i="1"/>
  <c r="D101" i="33"/>
  <c r="D79" i="33"/>
  <c r="H1687" i="1"/>
  <c r="P1687" i="1" s="1"/>
  <c r="C1687" i="1" s="1"/>
  <c r="D1743" i="1"/>
  <c r="D82" i="33"/>
  <c r="D98" i="33"/>
  <c r="H1824" i="1"/>
  <c r="P1824" i="1" s="1"/>
  <c r="C1824" i="1" s="1"/>
  <c r="I1631" i="1"/>
  <c r="G136" i="35"/>
  <c r="B136" i="35"/>
  <c r="B107" i="31"/>
  <c r="G107" i="31"/>
  <c r="B116" i="31"/>
  <c r="G116" i="31"/>
  <c r="B273" i="42"/>
  <c r="B81" i="34"/>
  <c r="B231" i="42"/>
  <c r="G140" i="31"/>
  <c r="H1759" i="1"/>
  <c r="P1759" i="1" s="1"/>
  <c r="C1759" i="1" s="1"/>
  <c r="B245" i="42"/>
  <c r="B194" i="31"/>
  <c r="E78" i="33"/>
  <c r="B78" i="33" s="1"/>
  <c r="E166" i="42"/>
  <c r="M2169" i="1"/>
  <c r="I1639" i="1"/>
  <c r="K1768" i="1"/>
  <c r="E283" i="42"/>
  <c r="B283" i="42" s="1"/>
  <c r="B277" i="42"/>
  <c r="B151" i="31"/>
  <c r="G123" i="31"/>
  <c r="E85" i="34"/>
  <c r="G85" i="34" s="1"/>
  <c r="G112" i="31"/>
  <c r="G109" i="35"/>
  <c r="G105" i="35"/>
  <c r="G95" i="35"/>
  <c r="J1539" i="1"/>
  <c r="G243" i="42"/>
  <c r="G174" i="31"/>
  <c r="K1754" i="1"/>
  <c r="C102" i="33"/>
  <c r="B120" i="42"/>
  <c r="G120" i="42"/>
  <c r="B233" i="42"/>
  <c r="B113" i="31"/>
  <c r="G90" i="35"/>
  <c r="C103" i="33"/>
  <c r="D2146" i="1"/>
  <c r="N2063" i="1"/>
  <c r="G125" i="31"/>
  <c r="G295" i="42"/>
  <c r="B295" i="42"/>
  <c r="H2294" i="1"/>
  <c r="P2294" i="1" s="1"/>
  <c r="C2294" i="1" s="1"/>
  <c r="G110" i="31"/>
  <c r="G88" i="35"/>
  <c r="B129" i="31"/>
  <c r="H1675" i="1"/>
  <c r="P1675" i="1" s="1"/>
  <c r="C1675" i="1" s="1"/>
  <c r="I1675" i="1"/>
  <c r="P2161" i="1"/>
  <c r="C2161" i="1" s="1"/>
  <c r="M2161" i="1"/>
  <c r="J1536" i="1"/>
  <c r="H1536" i="1"/>
  <c r="P1536" i="1" s="1"/>
  <c r="C1536" i="1" s="1"/>
  <c r="C82" i="33"/>
  <c r="C98" i="33"/>
  <c r="C101" i="33"/>
  <c r="B180" i="31"/>
  <c r="G180" i="31"/>
  <c r="B100" i="35"/>
  <c r="B108" i="31"/>
  <c r="D546" i="1"/>
  <c r="G179" i="42"/>
  <c r="B137" i="35"/>
  <c r="G137" i="35"/>
  <c r="B133" i="35"/>
  <c r="B97" i="31"/>
  <c r="G97" i="31"/>
  <c r="B304" i="42"/>
  <c r="G304" i="42"/>
  <c r="H1585" i="1"/>
  <c r="P1585" i="1" s="1"/>
  <c r="C1585" i="1" s="1"/>
  <c r="E185" i="31"/>
  <c r="G185" i="31" s="1"/>
  <c r="P2035" i="1"/>
  <c r="C2035" i="1" s="1"/>
  <c r="C2033" i="1"/>
  <c r="D807" i="1"/>
  <c r="R807" i="1" s="1"/>
  <c r="H2157" i="1"/>
  <c r="P2157" i="1" s="1"/>
  <c r="C2157" i="1" s="1"/>
  <c r="G240" i="42"/>
  <c r="N2056" i="1"/>
  <c r="C83" i="33"/>
  <c r="C97" i="33"/>
  <c r="C99" i="33"/>
  <c r="R1167"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833" i="23"/>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628" i="23"/>
  <c r="H629" i="23" s="1"/>
  <c r="D1983" i="1"/>
  <c r="H1983" i="1" s="1"/>
  <c r="E114" i="33"/>
  <c r="G114" i="33" s="1"/>
  <c r="E129" i="33"/>
  <c r="G129" i="33" s="1"/>
  <c r="H1076" i="23"/>
  <c r="H1080" i="23"/>
  <c r="H1211" i="23"/>
  <c r="H2064" i="23"/>
  <c r="H2065" i="23" s="1"/>
  <c r="H2067" i="23" s="1"/>
  <c r="H2062" i="23"/>
  <c r="H2063" i="23" s="1"/>
  <c r="H2221" i="23"/>
  <c r="H2226" i="23"/>
  <c r="H2061" i="23"/>
  <c r="H2230" i="23"/>
  <c r="H2223" i="23"/>
  <c r="H1219" i="23"/>
  <c r="H1110" i="23"/>
  <c r="H2219"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383" i="23"/>
  <c r="H712" i="23"/>
  <c r="H723" i="23" s="1"/>
  <c r="E689" i="23"/>
  <c r="E7" i="1"/>
  <c r="A6" i="18" s="1"/>
  <c r="F689" i="23"/>
  <c r="D290" i="23"/>
  <c r="D293" i="23" s="1"/>
  <c r="D288" i="23"/>
  <c r="D292" i="23" s="1"/>
  <c r="H1784" i="23"/>
  <c r="H1790" i="23"/>
  <c r="H2466" i="23"/>
  <c r="H1782" i="23"/>
  <c r="H1098" i="23"/>
  <c r="H1099" i="23" s="1"/>
  <c r="H209" i="23"/>
  <c r="H1070" i="23"/>
  <c r="H1071" i="23"/>
  <c r="H1095" i="23"/>
  <c r="H1096" i="23"/>
  <c r="H1100" i="23"/>
  <c r="H2848" i="23"/>
  <c r="J18" i="23"/>
  <c r="H214" i="23"/>
  <c r="H215" i="23"/>
  <c r="H216" i="23"/>
  <c r="H217" i="23"/>
  <c r="H2205" i="23"/>
  <c r="H394" i="23"/>
  <c r="H396" i="23" s="1"/>
  <c r="H397" i="23" s="1"/>
  <c r="H1226" i="23"/>
  <c r="H1230" i="23" s="1"/>
  <c r="H2837" i="23"/>
  <c r="H68" i="23"/>
  <c r="H72" i="23" s="1"/>
  <c r="D371" i="23"/>
  <c r="H1203" i="23"/>
  <c r="H2258" i="23"/>
  <c r="H52" i="23"/>
  <c r="H1204" i="23"/>
  <c r="H35" i="23"/>
  <c r="H47" i="23" s="1"/>
  <c r="H51" i="23" s="1"/>
  <c r="H26" i="23"/>
  <c r="B516" i="23"/>
  <c r="G516" i="23" s="1"/>
  <c r="E107" i="23"/>
  <c r="H100" i="23"/>
  <c r="H79" i="23"/>
  <c r="H81" i="23" s="1"/>
  <c r="H1202" i="23"/>
  <c r="H298" i="23"/>
  <c r="H36" i="23"/>
  <c r="H41" i="23" s="1"/>
  <c r="H45" i="23" s="1"/>
  <c r="M18" i="23"/>
  <c r="H1357" i="23"/>
  <c r="H1654" i="23"/>
  <c r="H2013" i="23"/>
  <c r="H119" i="23"/>
  <c r="H122" i="23"/>
  <c r="H1661" i="23"/>
  <c r="H1237" i="23"/>
  <c r="H1788" i="23"/>
  <c r="D1456" i="23"/>
  <c r="D1464" i="23" s="1"/>
  <c r="H2807" i="23"/>
  <c r="H2496" i="23"/>
  <c r="H606" i="23"/>
  <c r="H614" i="23"/>
  <c r="H613" i="23"/>
  <c r="H2838" i="23"/>
  <c r="H2839" i="23"/>
  <c r="H2157"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23" i="97"/>
  <c r="H1412" i="23"/>
  <c r="H1403" i="23"/>
  <c r="H1399" i="23"/>
  <c r="E142" i="42"/>
  <c r="E143" i="42" s="1"/>
  <c r="G141" i="42"/>
  <c r="G142" i="42" s="1"/>
  <c r="G143" i="42" s="1"/>
  <c r="B234" i="42"/>
  <c r="G234" i="42"/>
  <c r="B79" i="34"/>
  <c r="G79" i="34"/>
  <c r="G84" i="34"/>
  <c r="B84" i="34"/>
  <c r="M2160" i="1"/>
  <c r="B163" i="42"/>
  <c r="R993" i="1"/>
  <c r="B259" i="42"/>
  <c r="D2236" i="1"/>
  <c r="H2236" i="1" s="1"/>
  <c r="P2236" i="1" s="1"/>
  <c r="C2236" i="1" s="1"/>
  <c r="H1587" i="1"/>
  <c r="P1587" i="1" s="1"/>
  <c r="C1587" i="1" s="1"/>
  <c r="E290" i="42"/>
  <c r="B70" i="35"/>
  <c r="J993" i="1"/>
  <c r="D2212" i="1"/>
  <c r="H2212" i="1" s="1"/>
  <c r="P2212" i="1" s="1"/>
  <c r="C2212" i="1" s="1"/>
  <c r="H1751" i="1"/>
  <c r="P1751" i="1" s="1"/>
  <c r="C1751" i="1" s="1"/>
  <c r="H1762" i="1"/>
  <c r="P1762" i="1" s="1"/>
  <c r="C1762" i="1" s="1"/>
  <c r="B271" i="42"/>
  <c r="K1753" i="1"/>
  <c r="I1669" i="1"/>
  <c r="H2291" i="1"/>
  <c r="P2291" i="1" s="1"/>
  <c r="C2291" i="1" s="1"/>
  <c r="D2231" i="1"/>
  <c r="H2231" i="1" s="1"/>
  <c r="P2231" i="1" s="1"/>
  <c r="C2231" i="1" s="1"/>
  <c r="B163" i="31"/>
  <c r="I1684" i="1"/>
  <c r="B130" i="35"/>
  <c r="B136" i="31"/>
  <c r="B70" i="34"/>
  <c r="G163" i="42"/>
  <c r="G164" i="42" s="1"/>
  <c r="G165" i="42" s="1"/>
  <c r="G166" i="42" s="1"/>
  <c r="E280" i="42"/>
  <c r="B280" i="42" s="1"/>
  <c r="E137" i="31"/>
  <c r="E138" i="31" s="1"/>
  <c r="G138" i="31" s="1"/>
  <c r="J1535" i="1"/>
  <c r="H1670" i="1"/>
  <c r="P1670" i="1" s="1"/>
  <c r="C1670" i="1" s="1"/>
  <c r="B86" i="35"/>
  <c r="K1763" i="1"/>
  <c r="J1585" i="1"/>
  <c r="B102" i="31"/>
  <c r="G102" i="31"/>
  <c r="I1666" i="1"/>
  <c r="H1666" i="1"/>
  <c r="P1666" i="1" s="1"/>
  <c r="C1666" i="1" s="1"/>
  <c r="H1633" i="1"/>
  <c r="P1633" i="1" s="1"/>
  <c r="C1633" i="1" s="1"/>
  <c r="I1633" i="1"/>
  <c r="B99" i="35"/>
  <c r="G99" i="35"/>
  <c r="P2173" i="1"/>
  <c r="C2173" i="1" s="1"/>
  <c r="M2173" i="1"/>
  <c r="D2182" i="1"/>
  <c r="E126" i="33"/>
  <c r="D1738" i="1"/>
  <c r="D1591" i="1"/>
  <c r="B183" i="31"/>
  <c r="B157" i="31"/>
  <c r="B167" i="31"/>
  <c r="D2058" i="1"/>
  <c r="H2058" i="1" s="1"/>
  <c r="P2058" i="1" s="1"/>
  <c r="C2058" i="1" s="1"/>
  <c r="I1698" i="1"/>
  <c r="I1663" i="1"/>
  <c r="D76" i="34"/>
  <c r="F107" i="31"/>
  <c r="H1706" i="1"/>
  <c r="P1706" i="1" s="1"/>
  <c r="C1706" i="1" s="1"/>
  <c r="D1608" i="1"/>
  <c r="H2090" i="1"/>
  <c r="P2090" i="1" s="1"/>
  <c r="C2090" i="1" s="1"/>
  <c r="K2007" i="1"/>
  <c r="D1664" i="1"/>
  <c r="F94" i="31"/>
  <c r="C71" i="34"/>
  <c r="B159" i="31"/>
  <c r="G120" i="35"/>
  <c r="I1689" i="1"/>
  <c r="D1679" i="1"/>
  <c r="G101" i="35"/>
  <c r="D1678" i="1"/>
  <c r="G244" i="42"/>
  <c r="D1495" i="1"/>
  <c r="D1607" i="1"/>
  <c r="N2091" i="1"/>
  <c r="H1676" i="1"/>
  <c r="P1676" i="1" s="1"/>
  <c r="C1676" i="1" s="1"/>
  <c r="H1683" i="1"/>
  <c r="P1683" i="1" s="1"/>
  <c r="C1683" i="1" s="1"/>
  <c r="G195" i="31"/>
  <c r="H1644" i="1"/>
  <c r="P1644" i="1" s="1"/>
  <c r="C1644" i="1" s="1"/>
  <c r="D1661" i="1"/>
  <c r="H1661" i="1" s="1"/>
  <c r="P1661" i="1" s="1"/>
  <c r="C1661" i="1" s="1"/>
  <c r="I1701" i="1"/>
  <c r="D85" i="34"/>
  <c r="F108" i="31"/>
  <c r="G113" i="35"/>
  <c r="G303" i="42"/>
  <c r="F109" i="31"/>
  <c r="D1646" i="1"/>
  <c r="I1646" i="1" s="1"/>
  <c r="D1502" i="1"/>
  <c r="K1761" i="1"/>
  <c r="B95" i="31"/>
  <c r="B185" i="42"/>
  <c r="B261" i="42"/>
  <c r="F68" i="34"/>
  <c r="B184" i="42"/>
  <c r="H1681" i="1"/>
  <c r="P1681" i="1" s="1"/>
  <c r="C1681" i="1" s="1"/>
  <c r="G619" i="1"/>
  <c r="G145" i="97" s="1"/>
  <c r="B276" i="42"/>
  <c r="D2308" i="1"/>
  <c r="H2308" i="1" s="1"/>
  <c r="P2308" i="1" s="1"/>
  <c r="C2308" i="1" s="1"/>
  <c r="H2292" i="1"/>
  <c r="P2292" i="1" s="1"/>
  <c r="C2292" i="1" s="1"/>
  <c r="K1766" i="1"/>
  <c r="H1766" i="1"/>
  <c r="P1766" i="1" s="1"/>
  <c r="C1766" i="1" s="1"/>
  <c r="C69" i="34"/>
  <c r="D69" i="34"/>
  <c r="B165" i="31"/>
  <c r="G165" i="31"/>
  <c r="G258" i="42"/>
  <c r="B258" i="42"/>
  <c r="G269" i="42"/>
  <c r="B269" i="42"/>
  <c r="G251" i="42"/>
  <c r="B251" i="42"/>
  <c r="G254" i="42"/>
  <c r="B254" i="42"/>
  <c r="G115" i="35"/>
  <c r="D544" i="1"/>
  <c r="I535" i="1"/>
  <c r="N536" i="1"/>
  <c r="I536" i="1"/>
  <c r="D545" i="1"/>
  <c r="J1537" i="1"/>
  <c r="H1537" i="1"/>
  <c r="P1537" i="1" s="1"/>
  <c r="C1537" i="1" s="1"/>
  <c r="H1541" i="1"/>
  <c r="P1541" i="1" s="1"/>
  <c r="C1541" i="1" s="1"/>
  <c r="J1541" i="1"/>
  <c r="K165" i="97"/>
  <c r="H2206" i="1"/>
  <c r="P2206" i="1" s="1"/>
  <c r="C2206" i="1" s="1"/>
  <c r="B150" i="33"/>
  <c r="I613" i="1"/>
  <c r="E76" i="34"/>
  <c r="D71" i="34"/>
  <c r="B144" i="42"/>
  <c r="B107" i="35"/>
  <c r="G107" i="35"/>
  <c r="G230" i="42"/>
  <c r="B230" i="42"/>
  <c r="M2170" i="1"/>
  <c r="E80" i="34"/>
  <c r="C80" i="34"/>
  <c r="D80" i="34"/>
  <c r="B162" i="31"/>
  <c r="G162" i="31"/>
  <c r="G187" i="31"/>
  <c r="B187" i="31"/>
  <c r="I1671" i="1"/>
  <c r="H1671" i="1"/>
  <c r="P1671" i="1" s="1"/>
  <c r="C1671" i="1" s="1"/>
  <c r="D1723" i="1"/>
  <c r="H2290" i="1"/>
  <c r="P2290" i="1" s="1"/>
  <c r="C2290" i="1" s="1"/>
  <c r="P2036" i="1"/>
  <c r="C2036" i="1" s="1"/>
  <c r="I1719" i="1"/>
  <c r="H1719" i="1"/>
  <c r="P1719" i="1" s="1"/>
  <c r="C1719" i="1" s="1"/>
  <c r="D79" i="34"/>
  <c r="C79" i="34"/>
  <c r="C72" i="34"/>
  <c r="E72" i="34"/>
  <c r="G272" i="42"/>
  <c r="B272" i="42"/>
  <c r="G260" i="42"/>
  <c r="B260" i="42"/>
  <c r="G256" i="42"/>
  <c r="E151" i="42"/>
  <c r="G151" i="42" s="1"/>
  <c r="E150" i="42"/>
  <c r="G150" i="42" s="1"/>
  <c r="J535" i="1"/>
  <c r="N535" i="1"/>
  <c r="P2171" i="1"/>
  <c r="C2171" i="1" s="1"/>
  <c r="M2171" i="1"/>
  <c r="K1765" i="1"/>
  <c r="H1765" i="1"/>
  <c r="P1765" i="1" s="1"/>
  <c r="C1765" i="1" s="1"/>
  <c r="H2309" i="1"/>
  <c r="P2309" i="1" s="1"/>
  <c r="C2309" i="1" s="1"/>
  <c r="H2310" i="1"/>
  <c r="P2310" i="1" s="1"/>
  <c r="C2310" i="1" s="1"/>
  <c r="E296" i="42"/>
  <c r="B123" i="42"/>
  <c r="G96" i="31"/>
  <c r="D847" i="1"/>
  <c r="I847" i="1" s="1"/>
  <c r="I848" i="1"/>
  <c r="D78" i="34"/>
  <c r="E78" i="34"/>
  <c r="B250" i="42"/>
  <c r="G250" i="42"/>
  <c r="G237" i="42"/>
  <c r="D1690" i="1"/>
  <c r="I1682" i="1"/>
  <c r="D1739" i="1"/>
  <c r="D1740" i="1" s="1"/>
  <c r="D1741" i="1" s="1"/>
  <c r="M2172" i="1"/>
  <c r="P2172" i="1"/>
  <c r="C2172" i="1" s="1"/>
  <c r="E289" i="42"/>
  <c r="G75" i="34"/>
  <c r="B92" i="31"/>
  <c r="M2159" i="1"/>
  <c r="B141" i="42"/>
  <c r="G242" i="42"/>
  <c r="B242" i="42"/>
  <c r="I537" i="1"/>
  <c r="N537" i="1"/>
  <c r="J537" i="1"/>
  <c r="H1538" i="1"/>
  <c r="P1538" i="1" s="1"/>
  <c r="C1538" i="1" s="1"/>
  <c r="J1538" i="1"/>
  <c r="J1544" i="1"/>
  <c r="H1544" i="1"/>
  <c r="P1544" i="1" s="1"/>
  <c r="C1544" i="1" s="1"/>
  <c r="I1668" i="1"/>
  <c r="H1668" i="1"/>
  <c r="P1668" i="1" s="1"/>
  <c r="C1668" i="1" s="1"/>
  <c r="P2162" i="1"/>
  <c r="C2162" i="1" s="1"/>
  <c r="M2162" i="1"/>
  <c r="H1682" i="1"/>
  <c r="P1682" i="1" s="1"/>
  <c r="C1682" i="1" s="1"/>
  <c r="C83" i="34"/>
  <c r="E83" i="34"/>
  <c r="B236" i="42"/>
  <c r="G236" i="42"/>
  <c r="D83" i="34"/>
  <c r="G252" i="42"/>
  <c r="G161" i="31"/>
  <c r="D82" i="34"/>
  <c r="E82" i="34"/>
  <c r="B82" i="34" s="1"/>
  <c r="B241" i="42"/>
  <c r="G241" i="42"/>
  <c r="E184" i="31"/>
  <c r="H1584" i="1"/>
  <c r="P1584" i="1" s="1"/>
  <c r="C1584" i="1" s="1"/>
  <c r="J1584" i="1"/>
  <c r="J1503" i="1"/>
  <c r="H1503" i="1"/>
  <c r="P1503" i="1" s="1"/>
  <c r="C1503" i="1" s="1"/>
  <c r="I1648" i="1"/>
  <c r="H1648" i="1"/>
  <c r="P1648" i="1" s="1"/>
  <c r="C1648" i="1" s="1"/>
  <c r="K1769" i="1"/>
  <c r="H1769" i="1"/>
  <c r="P1769" i="1" s="1"/>
  <c r="C1769" i="1" s="1"/>
  <c r="J1587" i="1"/>
  <c r="C78" i="34"/>
  <c r="B166" i="31"/>
  <c r="G166" i="31"/>
  <c r="B114" i="35"/>
  <c r="G114" i="35"/>
  <c r="P2009" i="1"/>
  <c r="C2009" i="1" s="1"/>
  <c r="H2061" i="1"/>
  <c r="P2061" i="1" s="1"/>
  <c r="C2061" i="1" s="1"/>
  <c r="N2061" i="1"/>
  <c r="K993" i="1"/>
  <c r="L993" i="1"/>
  <c r="I993" i="1"/>
  <c r="O354" i="1"/>
  <c r="N354" i="1"/>
  <c r="H2063" i="1"/>
  <c r="P2063" i="1" s="1"/>
  <c r="C2063" i="1" s="1"/>
  <c r="B270" i="42"/>
  <c r="C75" i="34"/>
  <c r="D75" i="34"/>
  <c r="G160" i="31"/>
  <c r="B160" i="31"/>
  <c r="P1721" i="1"/>
  <c r="C1721" i="1" s="1"/>
  <c r="B169" i="31"/>
  <c r="G169" i="31"/>
  <c r="H1767" i="1"/>
  <c r="P1767" i="1" s="1"/>
  <c r="C1767" i="1" s="1"/>
  <c r="K1767" i="1"/>
  <c r="C84" i="34"/>
  <c r="D84" i="34"/>
  <c r="E77" i="34"/>
  <c r="C77" i="34"/>
  <c r="J1494" i="1"/>
  <c r="H1494" i="1"/>
  <c r="P1494" i="1" s="1"/>
  <c r="C1494" i="1" s="1"/>
  <c r="P2166" i="1"/>
  <c r="C2166" i="1" s="1"/>
  <c r="J536" i="1"/>
  <c r="E96" i="33"/>
  <c r="G96" i="33" s="1"/>
  <c r="D1980" i="1"/>
  <c r="H1980" i="1" s="1"/>
  <c r="D1978" i="1"/>
  <c r="E97" i="33" s="1"/>
  <c r="G97" i="33" s="1"/>
  <c r="D1976" i="1"/>
  <c r="E95" i="33" s="1"/>
  <c r="G95" i="33" s="1"/>
  <c r="H1974" i="1"/>
  <c r="P1974" i="1" s="1"/>
  <c r="C1974" i="1" s="1"/>
  <c r="E93" i="33"/>
  <c r="G93" i="33" s="1"/>
  <c r="D1975" i="1"/>
  <c r="E94" i="33" s="1"/>
  <c r="G94" i="33" s="1"/>
  <c r="D1993" i="1"/>
  <c r="H1993" i="1" s="1"/>
  <c r="L1993" i="1" s="1"/>
  <c r="D1994" i="1"/>
  <c r="H1994" i="1" s="1"/>
  <c r="P1994" i="1" s="1"/>
  <c r="C1994" i="1" s="1"/>
  <c r="E110" i="33"/>
  <c r="B110" i="33" s="1"/>
  <c r="K1991" i="1"/>
  <c r="H1991" i="1"/>
  <c r="P1991" i="1" s="1"/>
  <c r="C1991" i="1" s="1"/>
  <c r="E104" i="33"/>
  <c r="G104" i="33" s="1"/>
  <c r="D1988" i="1"/>
  <c r="H1988" i="1" s="1"/>
  <c r="L1988" i="1" s="1"/>
  <c r="L1992" i="1"/>
  <c r="P1992" i="1"/>
  <c r="C1992" i="1" s="1"/>
  <c r="D1979" i="1"/>
  <c r="H1977" i="1"/>
  <c r="E130" i="33"/>
  <c r="B130" i="33" s="1"/>
  <c r="E133" i="33"/>
  <c r="G133" i="33" s="1"/>
  <c r="E81" i="33"/>
  <c r="D1963" i="1"/>
  <c r="E135" i="33"/>
  <c r="B135" i="33" s="1"/>
  <c r="E139" i="33"/>
  <c r="G139" i="33" s="1"/>
  <c r="P2020" i="1"/>
  <c r="C2020" i="1" s="1"/>
  <c r="E131" i="33"/>
  <c r="P2012" i="1"/>
  <c r="C2012" i="1" s="1"/>
  <c r="H1985" i="1"/>
  <c r="P1985" i="1" s="1"/>
  <c r="C1985" i="1" s="1"/>
  <c r="L27" i="1"/>
  <c r="L28" i="1" s="1"/>
  <c r="L53" i="1"/>
  <c r="L248" i="1"/>
  <c r="L326" i="1"/>
  <c r="L778" i="1"/>
  <c r="D1984" i="1"/>
  <c r="H2001" i="1"/>
  <c r="P2001" i="1" s="1"/>
  <c r="C2001" i="1" s="1"/>
  <c r="L1446" i="1"/>
  <c r="L413" i="1"/>
  <c r="P2019" i="1"/>
  <c r="C2019" i="1" s="1"/>
  <c r="P2011" i="1"/>
  <c r="C2011" i="1" s="1"/>
  <c r="C101" i="18"/>
  <c r="E1961" i="1" s="1"/>
  <c r="L101" i="18"/>
  <c r="D101" i="18"/>
  <c r="L98" i="18"/>
  <c r="D98" i="18"/>
  <c r="C98" i="18"/>
  <c r="E1960" i="1" s="1"/>
  <c r="P2029" i="1"/>
  <c r="C2029" i="1" s="1"/>
  <c r="P2022" i="1"/>
  <c r="C2022" i="1" s="1"/>
  <c r="P2034" i="1"/>
  <c r="E134" i="33"/>
  <c r="D1968" i="1"/>
  <c r="D1967" i="1"/>
  <c r="E86" i="33" s="1"/>
  <c r="G86" i="33" s="1"/>
  <c r="D2050" i="1"/>
  <c r="E84" i="33"/>
  <c r="G84" i="33" s="1"/>
  <c r="H1965" i="1"/>
  <c r="P1965" i="1" s="1"/>
  <c r="C1965" i="1" s="1"/>
  <c r="D1966" i="1"/>
  <c r="H1966" i="1" s="1"/>
  <c r="L1159" i="1"/>
  <c r="L1163" i="1" s="1"/>
  <c r="L2289" i="1"/>
  <c r="P2016" i="1"/>
  <c r="C2016" i="1" s="1"/>
  <c r="L830" i="1"/>
  <c r="L1239" i="1"/>
  <c r="L1832" i="1"/>
  <c r="L2326" i="1"/>
  <c r="H2326" i="1" s="1"/>
  <c r="P2326" i="1" s="1"/>
  <c r="C2326" i="1" s="1"/>
  <c r="D1982" i="1"/>
  <c r="L302" i="1"/>
  <c r="L1962" i="1"/>
  <c r="L75" i="1"/>
  <c r="L376" i="1"/>
  <c r="L850" i="1"/>
  <c r="L1267" i="1"/>
  <c r="L2340" i="1"/>
  <c r="H2340" i="1" s="1"/>
  <c r="P2340" i="1" s="1"/>
  <c r="C2340" i="1" s="1"/>
  <c r="E141" i="33"/>
  <c r="E138" i="33"/>
  <c r="L1974" i="1"/>
  <c r="L134" i="1"/>
  <c r="L396" i="1"/>
  <c r="L855" i="1"/>
  <c r="L1403" i="1"/>
  <c r="L1981" i="1"/>
  <c r="L142" i="1"/>
  <c r="L473" i="1"/>
  <c r="L933" i="1"/>
  <c r="L934" i="1" s="1"/>
  <c r="L1482" i="1"/>
  <c r="L1995" i="1"/>
  <c r="L152" i="1"/>
  <c r="L656" i="1"/>
  <c r="L1034" i="1"/>
  <c r="L1750" i="1"/>
  <c r="L2156" i="1"/>
  <c r="H2156" i="1" s="1"/>
  <c r="P2156" i="1" s="1"/>
  <c r="D1770" i="1"/>
  <c r="D141" i="97" s="1"/>
  <c r="L2001" i="1"/>
  <c r="L164" i="1"/>
  <c r="L666" i="1"/>
  <c r="L684" i="1" s="1"/>
  <c r="L1081" i="1"/>
  <c r="L2245" i="1"/>
  <c r="H2245" i="1" s="1"/>
  <c r="P2245" i="1" s="1"/>
  <c r="L18" i="1"/>
  <c r="L213" i="1"/>
  <c r="L727" i="1"/>
  <c r="L728" i="1" s="1"/>
  <c r="L1127" i="1"/>
  <c r="G49" i="35"/>
  <c r="B49" i="35"/>
  <c r="B24" i="42"/>
  <c r="G293" i="42"/>
  <c r="B293" i="42"/>
  <c r="E268" i="42"/>
  <c r="P2280" i="1"/>
  <c r="C2280" i="1" s="1"/>
  <c r="B31" i="35"/>
  <c r="J1522" i="1"/>
  <c r="H1522" i="1"/>
  <c r="P1522" i="1" s="1"/>
  <c r="C1522" i="1" s="1"/>
  <c r="H2306" i="1"/>
  <c r="P2306" i="1" s="1"/>
  <c r="C2306" i="1" s="1"/>
  <c r="E292" i="42"/>
  <c r="E287" i="42"/>
  <c r="E281" i="42"/>
  <c r="H2295" i="1"/>
  <c r="P2295" i="1" s="1"/>
  <c r="C2295" i="1" s="1"/>
  <c r="E299" i="42"/>
  <c r="H2313" i="1"/>
  <c r="P2313" i="1" s="1"/>
  <c r="C2313" i="1" s="1"/>
  <c r="B286" i="42"/>
  <c r="G286" i="42"/>
  <c r="G67" i="42"/>
  <c r="B67" i="42"/>
  <c r="G25" i="42"/>
  <c r="B25" i="42"/>
  <c r="E266" i="42"/>
  <c r="D2279" i="1"/>
  <c r="H2293" i="1"/>
  <c r="P2293" i="1" s="1"/>
  <c r="C2293" i="1" s="1"/>
  <c r="E279" i="42"/>
  <c r="M2174" i="1"/>
  <c r="P2174" i="1"/>
  <c r="C2174" i="1" s="1"/>
  <c r="B29" i="31"/>
  <c r="G29" i="31"/>
  <c r="H2057" i="1"/>
  <c r="P2057" i="1" s="1"/>
  <c r="C2057" i="1" s="1"/>
  <c r="N2057" i="1"/>
  <c r="G15" i="35"/>
  <c r="B15" i="35"/>
  <c r="G76" i="42"/>
  <c r="B76" i="42"/>
  <c r="B278" i="42"/>
  <c r="G278" i="42"/>
  <c r="B64" i="31"/>
  <c r="G25" i="31"/>
  <c r="B25" i="31"/>
  <c r="G16" i="35"/>
  <c r="B16" i="35"/>
  <c r="G108" i="42"/>
  <c r="B108" i="42"/>
  <c r="H2312" i="1"/>
  <c r="P2312" i="1" s="1"/>
  <c r="C2312" i="1" s="1"/>
  <c r="E298" i="42"/>
  <c r="E288" i="42"/>
  <c r="G83" i="31"/>
  <c r="B83" i="31"/>
  <c r="G58" i="34"/>
  <c r="B58" i="34"/>
  <c r="G74" i="42"/>
  <c r="B74" i="42"/>
  <c r="B20" i="33"/>
  <c r="G20" i="33"/>
  <c r="B30" i="35"/>
  <c r="G30" i="35"/>
  <c r="G120" i="31"/>
  <c r="D1520" i="1"/>
  <c r="D1521" i="1"/>
  <c r="H1519" i="1"/>
  <c r="P1519" i="1" s="1"/>
  <c r="C1519" i="1" s="1"/>
  <c r="B74" i="35"/>
  <c r="G74" i="35"/>
  <c r="G50" i="31"/>
  <c r="B50" i="31"/>
  <c r="G10" i="35"/>
  <c r="G88" i="42"/>
  <c r="B88" i="42"/>
  <c r="B75" i="33"/>
  <c r="G75" i="33"/>
  <c r="B44" i="33"/>
  <c r="G44" i="33"/>
  <c r="G18" i="34"/>
  <c r="G34" i="35"/>
  <c r="B34" i="35"/>
  <c r="B48" i="31"/>
  <c r="G48" i="31"/>
  <c r="G28" i="42"/>
  <c r="B28" i="42"/>
  <c r="N2129" i="1"/>
  <c r="H2129" i="1"/>
  <c r="P2129" i="1" s="1"/>
  <c r="C2129" i="1" s="1"/>
  <c r="D2296" i="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H2307" i="1"/>
  <c r="P2307" i="1" s="1"/>
  <c r="C2307" i="1" s="1"/>
  <c r="H2300" i="1"/>
  <c r="P2300" i="1" s="1"/>
  <c r="C2300" i="1" s="1"/>
  <c r="D2311" i="1"/>
  <c r="G35" i="35"/>
  <c r="B92" i="35"/>
  <c r="G95" i="42"/>
  <c r="B95" i="42"/>
  <c r="B62" i="42"/>
  <c r="G62" i="42"/>
  <c r="G46" i="35"/>
  <c r="G15" i="34"/>
  <c r="B15" i="34"/>
  <c r="G37" i="34"/>
  <c r="B37" i="34"/>
  <c r="B74" i="33"/>
  <c r="B65" i="33"/>
  <c r="G65" i="33"/>
  <c r="G11" i="42"/>
  <c r="B21" i="34"/>
  <c r="G21" i="34"/>
  <c r="G63" i="34"/>
  <c r="B63" i="34"/>
  <c r="B16" i="34"/>
  <c r="G16" i="34"/>
  <c r="B53" i="34"/>
  <c r="C71" i="61"/>
  <c r="FM184" i="16"/>
  <c r="N229" i="70"/>
  <c r="F69" i="61"/>
  <c r="C74" i="61" s="1"/>
  <c r="E2190" i="1" s="1"/>
  <c r="D2190" i="1" s="1"/>
  <c r="H2190" i="1" s="1"/>
  <c r="P2190" i="1" s="1"/>
  <c r="C2190" i="1" s="1"/>
  <c r="BG72" i="70"/>
  <c r="D134" i="70"/>
  <c r="BS182" i="16"/>
  <c r="AY182" i="16"/>
  <c r="AA182" i="16"/>
  <c r="H1688" i="1"/>
  <c r="P1688" i="1" s="1"/>
  <c r="C1688" i="1" s="1"/>
  <c r="I1688" i="1"/>
  <c r="EY182" i="16"/>
  <c r="EY184" i="16" s="1"/>
  <c r="AP182" i="16"/>
  <c r="AP184" i="16" s="1"/>
  <c r="D307" i="70"/>
  <c r="E122" i="33"/>
  <c r="G122" i="33" s="1"/>
  <c r="H2003" i="1"/>
  <c r="L134" i="70"/>
  <c r="AX182" i="16"/>
  <c r="AX184" i="16" s="1"/>
  <c r="AD182" i="16"/>
  <c r="AD184" i="16" s="1"/>
  <c r="B156" i="31"/>
  <c r="G156" i="31"/>
  <c r="AO307" i="70"/>
  <c r="K307" i="70"/>
  <c r="AH134" i="70"/>
  <c r="AM134" i="70"/>
  <c r="BM134" i="70"/>
  <c r="CI134" i="70"/>
  <c r="U69" i="61"/>
  <c r="H1543" i="1"/>
  <c r="P1543" i="1" s="1"/>
  <c r="C1543" i="1" s="1"/>
  <c r="J1543" i="1"/>
  <c r="H1962" i="1"/>
  <c r="D1964" i="1"/>
  <c r="K1760" i="1"/>
  <c r="H1760" i="1"/>
  <c r="P1760" i="1" s="1"/>
  <c r="C1760" i="1" s="1"/>
  <c r="EE184" i="16"/>
  <c r="H2235" i="23"/>
  <c r="H2232" i="23"/>
  <c r="H2233" i="23" s="1"/>
  <c r="H2231" i="23"/>
  <c r="FT182" i="16"/>
  <c r="GF182" i="16"/>
  <c r="GF184" i="16" s="1"/>
  <c r="AC182" i="16"/>
  <c r="N307" i="70"/>
  <c r="AQ229" i="70"/>
  <c r="BG209" i="70"/>
  <c r="CN196" i="70"/>
  <c r="J133" i="70"/>
  <c r="J134" i="70" s="1"/>
  <c r="BC134" i="70"/>
  <c r="BG123" i="70"/>
  <c r="BG91" i="70"/>
  <c r="E136" i="33"/>
  <c r="D2023" i="1"/>
  <c r="H2023" i="1" s="1"/>
  <c r="E146" i="33"/>
  <c r="D2005" i="1"/>
  <c r="E120" i="33"/>
  <c r="D2002" i="1"/>
  <c r="D2004" i="1"/>
  <c r="D2008" i="1"/>
  <c r="H2008" i="1" s="1"/>
  <c r="S182" i="16"/>
  <c r="I2262" i="1"/>
  <c r="H2262" i="1"/>
  <c r="P2262" i="1" s="1"/>
  <c r="C2262" i="1" s="1"/>
  <c r="ED182" i="16"/>
  <c r="ED184" i="16" s="1"/>
  <c r="CV341" i="20"/>
  <c r="D2097" i="1"/>
  <c r="N2109" i="1"/>
  <c r="D2147" i="1"/>
  <c r="D2154" i="23"/>
  <c r="H2047" i="23"/>
  <c r="GK182" i="16"/>
  <c r="P182" i="16"/>
  <c r="P184" i="16" s="1"/>
  <c r="EZ182" i="16"/>
  <c r="EL182" i="16"/>
  <c r="DT182" i="16"/>
  <c r="DT184" i="16" s="1"/>
  <c r="B168" i="31"/>
  <c r="G168" i="31"/>
  <c r="BF228" i="70"/>
  <c r="BH182" i="16"/>
  <c r="BJ182" i="16"/>
  <c r="BJ184" i="16" s="1"/>
  <c r="D1505" i="1"/>
  <c r="F111" i="31"/>
  <c r="D1498" i="1"/>
  <c r="F97" i="31"/>
  <c r="D1597" i="1"/>
  <c r="H1685" i="1"/>
  <c r="P1685" i="1" s="1"/>
  <c r="C1685" i="1" s="1"/>
  <c r="I1685" i="1"/>
  <c r="D2136" i="1"/>
  <c r="D2133" i="1" s="1"/>
  <c r="D2054" i="1"/>
  <c r="F68" i="35"/>
  <c r="DO182" i="16"/>
  <c r="DO184" i="16" s="1"/>
  <c r="CX182" i="16"/>
  <c r="BV182" i="16"/>
  <c r="AH182" i="16"/>
  <c r="AH184" i="16" s="1"/>
  <c r="D73" i="34"/>
  <c r="E73" i="34"/>
  <c r="G238" i="42"/>
  <c r="C69" i="61"/>
  <c r="H134" i="70"/>
  <c r="X95" i="16"/>
  <c r="X184" i="16" s="1"/>
  <c r="CY95" i="16"/>
  <c r="I1686" i="1"/>
  <c r="H1686" i="1"/>
  <c r="P1686" i="1" s="1"/>
  <c r="C1686" i="1" s="1"/>
  <c r="D1709" i="1"/>
  <c r="I1708" i="1"/>
  <c r="M811" i="1"/>
  <c r="N811" i="1"/>
  <c r="N675" i="1"/>
  <c r="M675" i="1"/>
  <c r="H2046" i="23"/>
  <c r="H2054" i="23" s="1"/>
  <c r="D1589" i="1"/>
  <c r="H1714" i="23"/>
  <c r="H1713" i="23"/>
  <c r="G98" i="42"/>
  <c r="B98" i="42"/>
  <c r="GJ182" i="16"/>
  <c r="EB182" i="16"/>
  <c r="EB184" i="16" s="1"/>
  <c r="G164" i="31"/>
  <c r="B164" i="31"/>
  <c r="BZ307" i="70"/>
  <c r="CN182" i="70"/>
  <c r="CS95" i="16"/>
  <c r="E140" i="33"/>
  <c r="H2207" i="1"/>
  <c r="P2207" i="1" s="1"/>
  <c r="C2207" i="1" s="1"/>
  <c r="D2208" i="1"/>
  <c r="H2208" i="1" s="1"/>
  <c r="P2208" i="1" s="1"/>
  <c r="C2208" i="1" s="1"/>
  <c r="N852" i="1"/>
  <c r="M852" i="1"/>
  <c r="CN341" i="20"/>
  <c r="D2080" i="1"/>
  <c r="D1605" i="1"/>
  <c r="C73" i="34"/>
  <c r="GO182" i="16"/>
  <c r="GO184" i="16" s="1"/>
  <c r="EV182" i="16"/>
  <c r="EK182" i="16"/>
  <c r="FL95" i="16"/>
  <c r="CO95" i="16"/>
  <c r="B253" i="42"/>
  <c r="G253" i="42"/>
  <c r="AZ307" i="70"/>
  <c r="AR307" i="70"/>
  <c r="J307" i="70"/>
  <c r="BM229" i="70"/>
  <c r="AK229" i="70"/>
  <c r="AM229" i="70"/>
  <c r="AE229" i="70"/>
  <c r="BN134" i="70"/>
  <c r="BY134" i="70"/>
  <c r="CR134" i="70"/>
  <c r="I1674" i="1"/>
  <c r="H1674" i="1"/>
  <c r="P1674" i="1" s="1"/>
  <c r="C1674" i="1" s="1"/>
  <c r="D1711" i="1"/>
  <c r="D1712" i="1"/>
  <c r="H1710" i="1"/>
  <c r="P1710" i="1" s="1"/>
  <c r="C1710" i="1" s="1"/>
  <c r="F122" i="42"/>
  <c r="D1714" i="1"/>
  <c r="N964" i="1"/>
  <c r="M964" i="1"/>
  <c r="D2059" i="1"/>
  <c r="D2144" i="1"/>
  <c r="D1588" i="1"/>
  <c r="H2049" i="23"/>
  <c r="AS182" i="16"/>
  <c r="BW182" i="16"/>
  <c r="AQ182" i="16"/>
  <c r="AQ184" i="16" s="1"/>
  <c r="AM182" i="16"/>
  <c r="EU182" i="16"/>
  <c r="EU184" i="16" s="1"/>
  <c r="BM182" i="16"/>
  <c r="BM184" i="16" s="1"/>
  <c r="T182" i="16"/>
  <c r="T184" i="16" s="1"/>
  <c r="GQ182" i="16"/>
  <c r="DX95" i="16"/>
  <c r="C81" i="34"/>
  <c r="D81" i="34"/>
  <c r="D70" i="34"/>
  <c r="C70" i="34"/>
  <c r="G128" i="33"/>
  <c r="B128" i="33"/>
  <c r="CN228" i="70"/>
  <c r="I134" i="70"/>
  <c r="J1501" i="1"/>
  <c r="H1501" i="1"/>
  <c r="P1501" i="1" s="1"/>
  <c r="C1501" i="1" s="1"/>
  <c r="I354" i="1"/>
  <c r="Q997" i="1"/>
  <c r="H1496" i="1"/>
  <c r="P1496" i="1" s="1"/>
  <c r="C1496" i="1" s="1"/>
  <c r="M575" i="1"/>
  <c r="D2075" i="1"/>
  <c r="E111" i="33"/>
  <c r="G111" i="33" s="1"/>
  <c r="K1992" i="1"/>
  <c r="B246" i="42"/>
  <c r="G246" i="42"/>
  <c r="W182" i="16"/>
  <c r="GP182" i="16"/>
  <c r="FX182" i="16"/>
  <c r="FX184" i="16" s="1"/>
  <c r="ET182" i="16"/>
  <c r="AW182" i="16"/>
  <c r="AW184" i="16" s="1"/>
  <c r="AL182" i="16"/>
  <c r="DV182" i="16"/>
  <c r="DV184" i="16" s="1"/>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49" i="1" s="1"/>
  <c r="EF182" i="16"/>
  <c r="D27" i="92"/>
  <c r="K1756" i="1"/>
  <c r="H2126" i="1"/>
  <c r="P2126" i="1" s="1"/>
  <c r="C2126" i="1" s="1"/>
  <c r="N2126" i="1"/>
  <c r="R182" i="16"/>
  <c r="R184" i="16" s="1"/>
  <c r="EX182" i="16"/>
  <c r="CO182" i="16"/>
  <c r="GP95" i="16"/>
  <c r="CR307" i="70"/>
  <c r="BJ307" i="70"/>
  <c r="AE307" i="70"/>
  <c r="AM307" i="70"/>
  <c r="BR307" i="70"/>
  <c r="CW229" i="70"/>
  <c r="Y229" i="70"/>
  <c r="V229" i="70"/>
  <c r="CM229" i="70"/>
  <c r="BF150" i="70"/>
  <c r="K134" i="70"/>
  <c r="AP134" i="70"/>
  <c r="AU134" i="70"/>
  <c r="CI95" i="16"/>
  <c r="DN95" i="16"/>
  <c r="D1604" i="1"/>
  <c r="D1506" i="1"/>
  <c r="J1499" i="1"/>
  <c r="H1499" i="1"/>
  <c r="P1499" i="1" s="1"/>
  <c r="C1499" i="1" s="1"/>
  <c r="E1637" i="1"/>
  <c r="L84" i="17"/>
  <c r="D1662" i="1"/>
  <c r="D1660" i="1"/>
  <c r="H1659" i="1"/>
  <c r="P1659" i="1" s="1"/>
  <c r="C1659" i="1" s="1"/>
  <c r="I1659" i="1"/>
  <c r="D1717" i="1"/>
  <c r="D1641" i="1"/>
  <c r="H1752" i="1"/>
  <c r="P1752" i="1" s="1"/>
  <c r="C1752" i="1" s="1"/>
  <c r="K1752" i="1"/>
  <c r="Q831" i="1"/>
  <c r="N831" i="1"/>
  <c r="N684" i="1"/>
  <c r="H2064" i="1"/>
  <c r="P2064" i="1" s="1"/>
  <c r="C2064" i="1" s="1"/>
  <c r="N2064" i="1"/>
  <c r="FN182" i="16"/>
  <c r="GM182" i="16"/>
  <c r="GM184" i="16" s="1"/>
  <c r="GI182" i="16"/>
  <c r="FZ182" i="16"/>
  <c r="FZ184" i="16" s="1"/>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997" i="1"/>
  <c r="L997" i="1"/>
  <c r="D2062" i="1"/>
  <c r="D2141" i="1"/>
  <c r="M354" i="1"/>
  <c r="H610" i="23"/>
  <c r="H615" i="23"/>
  <c r="H1677" i="1"/>
  <c r="P1677" i="1" s="1"/>
  <c r="C1677" i="1" s="1"/>
  <c r="I1677" i="1"/>
  <c r="L184" i="16"/>
  <c r="FT95" i="16"/>
  <c r="EK95" i="16"/>
  <c r="D74" i="34"/>
  <c r="C74" i="34"/>
  <c r="B155" i="31"/>
  <c r="G155" i="31"/>
  <c r="B235" i="42"/>
  <c r="G235" i="42"/>
  <c r="AW307" i="70"/>
  <c r="AB307" i="70"/>
  <c r="BY307" i="70"/>
  <c r="CK229" i="70"/>
  <c r="Z95" i="16"/>
  <c r="Z184" i="16" s="1"/>
  <c r="AF95" i="16"/>
  <c r="AF184" i="16" s="1"/>
  <c r="W95" i="16"/>
  <c r="K997" i="1"/>
  <c r="H1705" i="1"/>
  <c r="P1705" i="1" s="1"/>
  <c r="C1705" i="1" s="1"/>
  <c r="I1705" i="1"/>
  <c r="F123" i="42"/>
  <c r="D1715" i="1"/>
  <c r="H1981" i="1"/>
  <c r="E100" i="33"/>
  <c r="D2179" i="1"/>
  <c r="H2163" i="1"/>
  <c r="H2202" i="1"/>
  <c r="P2202" i="1" s="1"/>
  <c r="C2202" i="1" s="1"/>
  <c r="D2228" i="1"/>
  <c r="H2228" i="1" s="1"/>
  <c r="P2228" i="1" s="1"/>
  <c r="C2228" i="1" s="1"/>
  <c r="EG182" i="16"/>
  <c r="EG184" i="16" s="1"/>
  <c r="D2248" i="1" s="1"/>
  <c r="K1764" i="1"/>
  <c r="H1764" i="1"/>
  <c r="P1764" i="1" s="1"/>
  <c r="C1764" i="1" s="1"/>
  <c r="BM69" i="61"/>
  <c r="GE182" i="16"/>
  <c r="GE184" i="16" s="1"/>
  <c r="EP95" i="16"/>
  <c r="G199" i="31"/>
  <c r="B199" i="31"/>
  <c r="CC307" i="70"/>
  <c r="BI307" i="70"/>
  <c r="AQ307" i="70"/>
  <c r="AI307" i="70"/>
  <c r="BY229" i="70"/>
  <c r="S229" i="70"/>
  <c r="CA134" i="70"/>
  <c r="FH95" i="16"/>
  <c r="FH184" i="16" s="1"/>
  <c r="CD182" i="16"/>
  <c r="N915" i="1"/>
  <c r="M915" i="1"/>
  <c r="DC182" i="16"/>
  <c r="M891" i="1"/>
  <c r="N891" i="1"/>
  <c r="D662" i="1"/>
  <c r="M657" i="1"/>
  <c r="CM341" i="20"/>
  <c r="D2078" i="1"/>
  <c r="AV69" i="61"/>
  <c r="EX95" i="16"/>
  <c r="GQ95" i="16"/>
  <c r="EL95" i="16"/>
  <c r="BL307" i="70"/>
  <c r="W307" i="70"/>
  <c r="H307" i="70"/>
  <c r="CN274" i="70"/>
  <c r="CB229" i="70"/>
  <c r="AW229" i="70"/>
  <c r="W229" i="70"/>
  <c r="L229" i="70"/>
  <c r="BF160" i="70"/>
  <c r="CN150" i="70"/>
  <c r="CH95" i="16"/>
  <c r="CM182" i="16"/>
  <c r="CM184" i="16" s="1"/>
  <c r="H1647" i="1"/>
  <c r="P1647" i="1" s="1"/>
  <c r="C1647" i="1" s="1"/>
  <c r="I1647" i="1"/>
  <c r="D1649" i="1"/>
  <c r="D1650" i="1"/>
  <c r="D1989" i="1"/>
  <c r="D1986" i="1"/>
  <c r="D1990" i="1"/>
  <c r="D1987" i="1"/>
  <c r="EF95" i="16"/>
  <c r="DG341" i="20"/>
  <c r="D2095" i="1"/>
  <c r="DA341" i="20"/>
  <c r="D2088" i="1"/>
  <c r="CT307" i="70"/>
  <c r="BO307" i="70"/>
  <c r="CJ307" i="70"/>
  <c r="CQ229" i="70"/>
  <c r="D1652" i="1"/>
  <c r="D1653"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197" i="1" s="1"/>
  <c r="BL69" i="61"/>
  <c r="D2223" i="1" s="1"/>
  <c r="H2223" i="1" s="1"/>
  <c r="P2223" i="1" s="1"/>
  <c r="C2223" i="1" s="1"/>
  <c r="H743" i="23"/>
  <c r="H758" i="23"/>
  <c r="H753" i="23"/>
  <c r="H756" i="23"/>
  <c r="H755" i="23"/>
  <c r="H757" i="23"/>
  <c r="H1969" i="1"/>
  <c r="D1970" i="1"/>
  <c r="D1973" i="1"/>
  <c r="D1971" i="1"/>
  <c r="K612" i="1"/>
  <c r="K615" i="1" s="1"/>
  <c r="K746" i="1"/>
  <c r="K244" i="1"/>
  <c r="K1411" i="1"/>
  <c r="K1482" i="1"/>
  <c r="K1403" i="1"/>
  <c r="K1294" i="1"/>
  <c r="K1203" i="1"/>
  <c r="K1127" i="1"/>
  <c r="K1043" i="1"/>
  <c r="K1014" i="1"/>
  <c r="K943" i="1"/>
  <c r="K944" i="1" s="1"/>
  <c r="K855" i="1"/>
  <c r="K779" i="1"/>
  <c r="K731" i="1"/>
  <c r="K674" i="1"/>
  <c r="K574" i="1"/>
  <c r="K485" i="1"/>
  <c r="K409" i="1"/>
  <c r="K307" i="1"/>
  <c r="K234" i="1"/>
  <c r="K156" i="1"/>
  <c r="K1088" i="1"/>
  <c r="K1791" i="1"/>
  <c r="H1791" i="1" s="1"/>
  <c r="P1791" i="1" s="1"/>
  <c r="C1791" i="1" s="1"/>
  <c r="H1773" i="1"/>
  <c r="C1773" i="1" s="1"/>
  <c r="K1822" i="1"/>
  <c r="H1822" i="1" s="1"/>
  <c r="P1822" i="1" s="1"/>
  <c r="C1822" i="1" s="1"/>
  <c r="K1783" i="1"/>
  <c r="H1783" i="1" s="1"/>
  <c r="H165" i="97" s="1"/>
  <c r="K1252" i="1"/>
  <c r="K1223" i="1"/>
  <c r="K1194" i="1"/>
  <c r="K1159" i="1"/>
  <c r="K1163" i="1" s="1"/>
  <c r="K1136" i="1"/>
  <c r="K1112" i="1"/>
  <c r="K1073" i="1"/>
  <c r="K830" i="1"/>
  <c r="K799" i="1"/>
  <c r="K778" i="1"/>
  <c r="K760" i="1"/>
  <c r="K737" i="1"/>
  <c r="K720" i="1"/>
  <c r="K699" i="1"/>
  <c r="K205" i="1"/>
  <c r="K174" i="1"/>
  <c r="K152" i="1"/>
  <c r="K125" i="1"/>
  <c r="K92" i="1"/>
  <c r="K18" i="1"/>
  <c r="K1173" i="1"/>
  <c r="K1812" i="1"/>
  <c r="H1812" i="1" s="1"/>
  <c r="P1812" i="1" s="1"/>
  <c r="C1812" i="1" s="1"/>
  <c r="K1464" i="1"/>
  <c r="K1391" i="1"/>
  <c r="K1214" i="1"/>
  <c r="K1147" i="1"/>
  <c r="K1034" i="1"/>
  <c r="K868" i="1"/>
  <c r="K869" i="1" s="1"/>
  <c r="K753" i="1"/>
  <c r="K706" i="1"/>
  <c r="K646" i="1"/>
  <c r="K550" i="1"/>
  <c r="K473" i="1"/>
  <c r="K317" i="1"/>
  <c r="K256" i="1"/>
  <c r="K1802" i="1"/>
  <c r="H1802" i="1" s="1"/>
  <c r="P1802" i="1" s="1"/>
  <c r="C1802" i="1" s="1"/>
  <c r="K1437" i="1"/>
  <c r="K1231" i="1"/>
  <c r="K1156" i="1"/>
  <c r="K1116" i="1"/>
  <c r="K841" i="1"/>
  <c r="K656" i="1"/>
  <c r="K594" i="1"/>
  <c r="K465" i="1"/>
  <c r="K376" i="1"/>
  <c r="K326" i="1"/>
  <c r="K291" i="1"/>
  <c r="K213" i="1"/>
  <c r="K142" i="1"/>
  <c r="K1095" i="1"/>
  <c r="K1099" i="1" s="1"/>
  <c r="K1267" i="1"/>
  <c r="K1185" i="1"/>
  <c r="K683" i="1"/>
  <c r="K495" i="1"/>
  <c r="K413" i="1"/>
  <c r="K356" i="1"/>
  <c r="K363" i="1" s="1"/>
  <c r="K248" i="1"/>
  <c r="K164" i="1"/>
  <c r="K134" i="1"/>
  <c r="K1309" i="1"/>
  <c r="K1053" i="1"/>
  <c r="K526" i="1"/>
  <c r="K448" i="1"/>
  <c r="K274" i="1"/>
  <c r="K196" i="1"/>
  <c r="K1815" i="1"/>
  <c r="K1818" i="1" s="1"/>
  <c r="K1787" i="1"/>
  <c r="H1787" i="1" s="1"/>
  <c r="P1787" i="1" s="1"/>
  <c r="C1787" i="1" s="1"/>
  <c r="K1446" i="1"/>
  <c r="K1239" i="1"/>
  <c r="K1004" i="1"/>
  <c r="K974" i="1"/>
  <c r="K933" i="1"/>
  <c r="K934" i="1" s="1"/>
  <c r="K899" i="1"/>
  <c r="K850" i="1"/>
  <c r="K727" i="1"/>
  <c r="K666" i="1"/>
  <c r="K396" i="1"/>
  <c r="K1757" i="1"/>
  <c r="K1798" i="1"/>
  <c r="H1798" i="1" s="1"/>
  <c r="P1798" i="1" s="1"/>
  <c r="C1798" i="1" s="1"/>
  <c r="K1379" i="1"/>
  <c r="K1024" i="1"/>
  <c r="K954" i="1"/>
  <c r="K789" i="1"/>
  <c r="K584" i="1"/>
  <c r="K109" i="1"/>
  <c r="K45" i="1"/>
  <c r="K1795" i="1"/>
  <c r="H1795" i="1" s="1"/>
  <c r="H167" i="97" s="1"/>
  <c r="K1455" i="1"/>
  <c r="K1366" i="1"/>
  <c r="K1169" i="1"/>
  <c r="K1103" i="1"/>
  <c r="K37" i="1"/>
  <c r="K1352" i="1"/>
  <c r="K1081" i="1"/>
  <c r="K566" i="1"/>
  <c r="K302" i="1"/>
  <c r="K224" i="1"/>
  <c r="K75" i="1"/>
  <c r="K27" i="1"/>
  <c r="K1779" i="1"/>
  <c r="H1779" i="1" s="1"/>
  <c r="P1779" i="1" s="1"/>
  <c r="C1779" i="1" s="1"/>
  <c r="K1336" i="1"/>
  <c r="K996" i="1"/>
  <c r="K923" i="1"/>
  <c r="K771" i="1"/>
  <c r="K1776" i="1"/>
  <c r="H1776" i="1" s="1"/>
  <c r="P1776" i="1" s="1"/>
  <c r="C1776" i="1" s="1"/>
  <c r="K1428" i="1"/>
  <c r="K1323" i="1"/>
  <c r="K1063" i="1"/>
  <c r="K989" i="1"/>
  <c r="K914" i="1"/>
  <c r="K764" i="1"/>
  <c r="K713" i="1"/>
  <c r="K534" i="1"/>
  <c r="K456" i="1"/>
  <c r="K283" i="1"/>
  <c r="K67" i="1"/>
  <c r="K1829" i="1"/>
  <c r="H1829" i="1" s="1"/>
  <c r="P1829" i="1" s="1"/>
  <c r="C1829" i="1" s="1"/>
  <c r="K1770" i="1"/>
  <c r="K1419" i="1"/>
  <c r="K981" i="1"/>
  <c r="K909" i="1"/>
  <c r="K819" i="1"/>
  <c r="K623" i="1"/>
  <c r="K628" i="1" s="1"/>
  <c r="K339" i="1"/>
  <c r="K63" i="1"/>
  <c r="K14" i="1"/>
  <c r="K810" i="1"/>
  <c r="K602" i="1"/>
  <c r="K513" i="1"/>
  <c r="K431" i="1"/>
  <c r="K335" i="1"/>
  <c r="K266" i="1"/>
  <c r="K188" i="1"/>
  <c r="K53" i="1"/>
  <c r="K1806" i="1"/>
  <c r="H1806" i="1" s="1"/>
  <c r="P1806" i="1" s="1"/>
  <c r="C1806" i="1" s="1"/>
  <c r="K1473" i="1"/>
  <c r="K1281" i="1"/>
  <c r="K963" i="1"/>
  <c r="K890" i="1"/>
  <c r="K744" i="1"/>
  <c r="K698" i="1"/>
  <c r="K505" i="1"/>
  <c r="K421" i="1"/>
  <c r="K117" i="1"/>
  <c r="K145" i="97"/>
  <c r="D37" i="115"/>
  <c r="E9" i="108"/>
  <c r="D25" i="115"/>
  <c r="E17" i="108"/>
  <c r="F21" i="108"/>
  <c r="D111" i="115" s="1"/>
  <c r="C111" i="115" s="1"/>
  <c r="F23" i="108"/>
  <c r="D113" i="115" s="1"/>
  <c r="C113" i="115" s="1"/>
  <c r="D65" i="115"/>
  <c r="D58" i="115"/>
  <c r="F27" i="108"/>
  <c r="D117" i="115" s="1"/>
  <c r="C117" i="115" s="1"/>
  <c r="D42" i="115"/>
  <c r="D66" i="115"/>
  <c r="D28" i="115"/>
  <c r="D70" i="115"/>
  <c r="D46" i="115"/>
  <c r="H749" i="23"/>
  <c r="D1801" i="1"/>
  <c r="D1799" i="1"/>
  <c r="D1800" i="1"/>
  <c r="F24" i="108"/>
  <c r="D114" i="115" s="1"/>
  <c r="C114" i="115" s="1"/>
  <c r="F29" i="108"/>
  <c r="D119" i="115" s="1"/>
  <c r="C119" i="115" s="1"/>
  <c r="H278" i="23"/>
  <c r="D2044" i="1"/>
  <c r="D1996" i="1"/>
  <c r="H1995" i="1"/>
  <c r="D54" i="115"/>
  <c r="D45" i="115"/>
  <c r="H747" i="23"/>
  <c r="H1393" i="23"/>
  <c r="H1409" i="23"/>
  <c r="H1413" i="23"/>
  <c r="H1394" i="23"/>
  <c r="H1396" i="23"/>
  <c r="H1395" i="23"/>
  <c r="H1405" i="23"/>
  <c r="L1203" i="1"/>
  <c r="H1408" i="23"/>
  <c r="H1411" i="23"/>
  <c r="AE2" i="96"/>
  <c r="D21" i="23"/>
  <c r="H1401" i="23"/>
  <c r="H1398" i="23"/>
  <c r="H1410" i="23"/>
  <c r="H1201" i="23"/>
  <c r="L1965" i="1"/>
  <c r="L125" i="1"/>
  <c r="L196" i="1"/>
  <c r="L274" i="1"/>
  <c r="L1053" i="1"/>
  <c r="L1309" i="1"/>
  <c r="L2320" i="1"/>
  <c r="H2320" i="1" s="1"/>
  <c r="P2320" i="1" s="1"/>
  <c r="H309" i="23"/>
  <c r="L746" i="1"/>
  <c r="L2316" i="1"/>
  <c r="H2316" i="1" s="1"/>
  <c r="L612" i="1"/>
  <c r="L615" i="1" s="1"/>
  <c r="L2319" i="1"/>
  <c r="H2319" i="1" s="1"/>
  <c r="L2315" i="1"/>
  <c r="L2317" i="1"/>
  <c r="H2317" i="1" s="1"/>
  <c r="P2317" i="1" s="1"/>
  <c r="C2317" i="1" s="1"/>
  <c r="L1095" i="1"/>
  <c r="L244" i="1"/>
  <c r="L1437" i="1"/>
  <c r="L1336" i="1"/>
  <c r="L1231" i="1"/>
  <c r="L1156" i="1"/>
  <c r="L1073" i="1"/>
  <c r="L974" i="1"/>
  <c r="L899" i="1"/>
  <c r="L810" i="1"/>
  <c r="L753" i="1"/>
  <c r="L699" i="1"/>
  <c r="L602" i="1"/>
  <c r="L513" i="1"/>
  <c r="L431" i="1"/>
  <c r="L335" i="1"/>
  <c r="L266" i="1"/>
  <c r="L188" i="1"/>
  <c r="L117" i="1"/>
  <c r="L1491" i="1"/>
  <c r="H1491" i="1" s="1"/>
  <c r="H183" i="97" s="1"/>
  <c r="L2256" i="1"/>
  <c r="H2256" i="1" s="1"/>
  <c r="P2256" i="1" s="1"/>
  <c r="L2053" i="1"/>
  <c r="H2053" i="1" s="1"/>
  <c r="P2053" i="1" s="1"/>
  <c r="L2354" i="1"/>
  <c r="H2354" i="1" s="1"/>
  <c r="P2354" i="1" s="1"/>
  <c r="C2354" i="1" s="1"/>
  <c r="L2237" i="1"/>
  <c r="H2237" i="1" s="1"/>
  <c r="P2237" i="1" s="1"/>
  <c r="L674" i="1"/>
  <c r="L646" i="1"/>
  <c r="L594" i="1"/>
  <c r="L566" i="1"/>
  <c r="L526" i="1"/>
  <c r="L495" i="1"/>
  <c r="L465" i="1"/>
  <c r="L45" i="1"/>
  <c r="L1991" i="1"/>
  <c r="L1961" i="1"/>
  <c r="L1088" i="1"/>
  <c r="L1173" i="1"/>
  <c r="L1411" i="1"/>
  <c r="L2267" i="1"/>
  <c r="H2267" i="1" s="1"/>
  <c r="H168" i="97" s="1"/>
  <c r="L1630" i="1"/>
  <c r="H1630" i="1" s="1"/>
  <c r="L1352" i="1"/>
  <c r="L1294" i="1"/>
  <c r="L1185" i="1"/>
  <c r="L1116" i="1"/>
  <c r="L1004" i="1"/>
  <c r="L943" i="1"/>
  <c r="L944" i="1" s="1"/>
  <c r="L841" i="1"/>
  <c r="L799" i="1"/>
  <c r="L683" i="1"/>
  <c r="L448" i="1"/>
  <c r="L356" i="1"/>
  <c r="L291" i="1"/>
  <c r="L224" i="1"/>
  <c r="L156" i="1"/>
  <c r="L157" i="1" s="1"/>
  <c r="L158" i="1" s="1"/>
  <c r="L2318" i="1"/>
  <c r="H2318" i="1" s="1"/>
  <c r="P2318" i="1" s="1"/>
  <c r="C2318" i="1" s="1"/>
  <c r="L1969" i="1"/>
  <c r="L14" i="1"/>
  <c r="L37" i="1"/>
  <c r="L63" i="1"/>
  <c r="L92" i="1"/>
  <c r="L234" i="1"/>
  <c r="L307" i="1"/>
  <c r="L339" i="1"/>
  <c r="L409" i="1"/>
  <c r="L485" i="1"/>
  <c r="L574" i="1"/>
  <c r="L623" i="1"/>
  <c r="L628" i="1" s="1"/>
  <c r="L706" i="1"/>
  <c r="L731" i="1"/>
  <c r="L760" i="1"/>
  <c r="L779" i="1"/>
  <c r="L819" i="1"/>
  <c r="L909" i="1"/>
  <c r="L981" i="1"/>
  <c r="L1014" i="1"/>
  <c r="L1103" i="1"/>
  <c r="L1136" i="1"/>
  <c r="L1169" i="1"/>
  <c r="L1214" i="1"/>
  <c r="L1252" i="1"/>
  <c r="L1366" i="1"/>
  <c r="L1419" i="1"/>
  <c r="L1455" i="1"/>
  <c r="L1492" i="1"/>
  <c r="H1492" i="1" s="1"/>
  <c r="P1492" i="1" s="1"/>
  <c r="L2189" i="1"/>
  <c r="H2189" i="1" s="1"/>
  <c r="P2189" i="1" s="1"/>
  <c r="C2189" i="1" s="1"/>
  <c r="L2325" i="1"/>
  <c r="H2325" i="1" s="1"/>
  <c r="H348" i="23"/>
  <c r="L1977" i="1"/>
  <c r="L67" i="1"/>
  <c r="L109" i="1"/>
  <c r="L205" i="1"/>
  <c r="L283" i="1"/>
  <c r="L317" i="1"/>
  <c r="L456" i="1"/>
  <c r="L534" i="1"/>
  <c r="L584" i="1"/>
  <c r="L713" i="1"/>
  <c r="L737" i="1"/>
  <c r="L764" i="1"/>
  <c r="L789" i="1"/>
  <c r="L868" i="1"/>
  <c r="L869" i="1" s="1"/>
  <c r="L914" i="1"/>
  <c r="L954" i="1"/>
  <c r="L989" i="1"/>
  <c r="L1024" i="1"/>
  <c r="L1063" i="1"/>
  <c r="L1112" i="1"/>
  <c r="L1147" i="1"/>
  <c r="L1223" i="1"/>
  <c r="L1323" i="1"/>
  <c r="L1379" i="1"/>
  <c r="L1428" i="1"/>
  <c r="L1464" i="1"/>
  <c r="D1795" i="1"/>
  <c r="D167" i="97" s="1"/>
  <c r="L1043" i="1"/>
  <c r="L1099" i="1" s="1"/>
  <c r="L1959" i="1"/>
  <c r="L1985" i="1"/>
  <c r="L174" i="1"/>
  <c r="L256" i="1"/>
  <c r="L421" i="1"/>
  <c r="L505" i="1"/>
  <c r="L550" i="1"/>
  <c r="L698" i="1"/>
  <c r="L720" i="1"/>
  <c r="L744" i="1"/>
  <c r="L771" i="1"/>
  <c r="L890" i="1"/>
  <c r="L923" i="1"/>
  <c r="L963" i="1"/>
  <c r="L996" i="1"/>
  <c r="L1194" i="1"/>
  <c r="L1281" i="1"/>
  <c r="L1391" i="1"/>
  <c r="L1473" i="1"/>
  <c r="N613" i="1"/>
  <c r="M613" i="1"/>
  <c r="I4" i="97" l="1"/>
  <c r="K8" i="114"/>
  <c r="G8" i="114" s="1"/>
  <c r="H13" i="97"/>
  <c r="J14" i="114"/>
  <c r="H4" i="97"/>
  <c r="J8" i="114"/>
  <c r="I88" i="97"/>
  <c r="K11" i="114"/>
  <c r="G11" i="114" s="1"/>
  <c r="D1869" i="1"/>
  <c r="D33" i="97" s="1"/>
  <c r="H1869" i="1"/>
  <c r="H33" i="97" s="1"/>
  <c r="D1850" i="1"/>
  <c r="D88" i="97" s="1"/>
  <c r="H1850" i="1"/>
  <c r="D1852" i="1"/>
  <c r="H1852" i="1"/>
  <c r="D2277" i="1"/>
  <c r="H71" i="97"/>
  <c r="P2285" i="1"/>
  <c r="K10" i="114" s="1"/>
  <c r="G10" i="114" s="1"/>
  <c r="H6" i="97"/>
  <c r="D1863" i="1"/>
  <c r="D77" i="97" s="1"/>
  <c r="H1863" i="1"/>
  <c r="D1870" i="1"/>
  <c r="D31" i="97" s="1"/>
  <c r="H1870" i="1"/>
  <c r="H31" i="97" s="1"/>
  <c r="N2107" i="1"/>
  <c r="E175" i="31"/>
  <c r="H1836" i="1"/>
  <c r="AT184" i="16"/>
  <c r="BP184" i="16"/>
  <c r="D1586" i="1" s="1"/>
  <c r="EA184" i="16"/>
  <c r="D1579" i="1" s="1"/>
  <c r="FI184" i="16"/>
  <c r="H1824" i="23"/>
  <c r="H2782" i="23"/>
  <c r="FN184" i="16"/>
  <c r="AS184" i="16"/>
  <c r="AA184" i="16"/>
  <c r="H1820" i="23"/>
  <c r="H1828" i="23" s="1"/>
  <c r="H2240" i="23"/>
  <c r="CN307" i="70"/>
  <c r="CE184" i="16"/>
  <c r="CS184" i="16"/>
  <c r="G112" i="42"/>
  <c r="G30" i="34"/>
  <c r="EI184" i="16"/>
  <c r="CH184" i="16"/>
  <c r="CT184" i="16"/>
  <c r="ET184" i="16"/>
  <c r="GJ184" i="16"/>
  <c r="GK184" i="16"/>
  <c r="AC184" i="16"/>
  <c r="H2215" i="23"/>
  <c r="AJ184" i="16"/>
  <c r="EC184" i="16"/>
  <c r="G17" i="34"/>
  <c r="H1758" i="1"/>
  <c r="H15" i="97" s="1"/>
  <c r="BG229" i="70"/>
  <c r="H2254" i="23"/>
  <c r="FB184" i="16"/>
  <c r="B56" i="34"/>
  <c r="BD184" i="16"/>
  <c r="S184" i="16"/>
  <c r="FD184" i="16"/>
  <c r="EM184" i="16"/>
  <c r="D2165" i="1"/>
  <c r="EV184" i="16"/>
  <c r="BH184" i="16"/>
  <c r="AY184" i="16"/>
  <c r="BO184" i="16"/>
  <c r="G114" i="42"/>
  <c r="DD184" i="16"/>
  <c r="J1581" i="1"/>
  <c r="AE184" i="16"/>
  <c r="H2210" i="23"/>
  <c r="G87" i="31"/>
  <c r="CY184" i="16"/>
  <c r="DN184" i="16"/>
  <c r="D1514" i="1" s="1"/>
  <c r="AL184" i="16"/>
  <c r="N2074" i="1"/>
  <c r="BU184" i="16"/>
  <c r="BY184" i="16"/>
  <c r="O184" i="16"/>
  <c r="CA184" i="16"/>
  <c r="H2058" i="23"/>
  <c r="H2070" i="23" s="1"/>
  <c r="H2059" i="23"/>
  <c r="H545" i="23"/>
  <c r="H2863" i="23"/>
  <c r="H2870" i="23" s="1"/>
  <c r="H2202" i="23"/>
  <c r="H2864" i="23"/>
  <c r="H2868" i="23" s="1"/>
  <c r="H2163" i="23"/>
  <c r="D2163" i="23" s="1"/>
  <c r="H2060" i="23"/>
  <c r="H2187" i="23"/>
  <c r="H2185" i="23"/>
  <c r="H1952" i="23"/>
  <c r="H2203" i="23"/>
  <c r="H2871" i="23"/>
  <c r="H525" i="23"/>
  <c r="H2875" i="23"/>
  <c r="H2862" i="23"/>
  <c r="H2813" i="23"/>
  <c r="H2865" i="23"/>
  <c r="H2866" i="23" s="1"/>
  <c r="H524" i="23"/>
  <c r="H2811" i="23"/>
  <c r="H2885" i="23"/>
  <c r="H2851" i="23"/>
  <c r="H2856" i="23" s="1"/>
  <c r="H2858" i="23" s="1"/>
  <c r="H1753" i="23"/>
  <c r="H1758" i="23"/>
  <c r="H522" i="23"/>
  <c r="H1757" i="23"/>
  <c r="H200" i="23"/>
  <c r="H2250" i="23"/>
  <c r="L1177" i="1"/>
  <c r="K1177" i="1"/>
  <c r="E181" i="31"/>
  <c r="G181" i="31" s="1"/>
  <c r="H2089" i="1"/>
  <c r="P2089" i="1" s="1"/>
  <c r="C2089" i="1" s="1"/>
  <c r="K360" i="1"/>
  <c r="K361" i="1"/>
  <c r="J1519" i="1"/>
  <c r="H2077" i="1"/>
  <c r="P2077" i="1" s="1"/>
  <c r="C2077" i="1" s="1"/>
  <c r="G207" i="42"/>
  <c r="B215" i="42"/>
  <c r="H1862" i="1"/>
  <c r="DG184" i="16"/>
  <c r="D1530" i="1" s="1"/>
  <c r="FL184" i="16"/>
  <c r="H1840" i="23"/>
  <c r="H1843" i="23" s="1"/>
  <c r="BN184" i="16"/>
  <c r="BT184" i="16"/>
  <c r="B57" i="42"/>
  <c r="H879" i="1"/>
  <c r="P879" i="1" s="1"/>
  <c r="C879" i="1" s="1"/>
  <c r="H1044" i="23"/>
  <c r="GC184" i="16"/>
  <c r="AM184" i="16"/>
  <c r="BS184" i="16"/>
  <c r="H1719" i="23"/>
  <c r="CC184" i="16"/>
  <c r="FY184" i="16"/>
  <c r="AG184" i="16"/>
  <c r="L639" i="1"/>
  <c r="L644" i="1"/>
  <c r="L641" i="1"/>
  <c r="L638" i="1"/>
  <c r="L636" i="1"/>
  <c r="L640" i="1"/>
  <c r="L643" i="1"/>
  <c r="L645" i="1"/>
  <c r="L637" i="1"/>
  <c r="L642" i="1"/>
  <c r="GN184" i="16"/>
  <c r="H1819" i="1"/>
  <c r="D1819" i="1"/>
  <c r="E176" i="42" s="1"/>
  <c r="G176" i="42" s="1"/>
  <c r="D39" i="113"/>
  <c r="D40" i="113"/>
  <c r="D38" i="113"/>
  <c r="N2128" i="1"/>
  <c r="H2092" i="1"/>
  <c r="P2092" i="1" s="1"/>
  <c r="C2092" i="1" s="1"/>
  <c r="N2093" i="1"/>
  <c r="H1872" i="1"/>
  <c r="D2274" i="1"/>
  <c r="D4" i="97" s="1"/>
  <c r="H1874" i="1"/>
  <c r="K640" i="1"/>
  <c r="K637" i="1"/>
  <c r="K643" i="1"/>
  <c r="K636" i="1"/>
  <c r="K645" i="1"/>
  <c r="K644" i="1"/>
  <c r="H635" i="1"/>
  <c r="K639" i="1"/>
  <c r="K642" i="1"/>
  <c r="K638" i="1"/>
  <c r="K641"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490" i="23" s="1"/>
  <c r="H1774" i="23"/>
  <c r="H1775" i="23"/>
  <c r="H1779" i="23"/>
  <c r="H1765" i="23"/>
  <c r="H1762" i="23"/>
  <c r="H1776" i="23"/>
  <c r="H1777" i="23" s="1"/>
  <c r="H496" i="23"/>
  <c r="H501" i="23" s="1"/>
  <c r="H504" i="23" s="1"/>
  <c r="H1768" i="23"/>
  <c r="H1769" i="23" s="1"/>
  <c r="H255" i="23"/>
  <c r="H257" i="23" s="1"/>
  <c r="H1773" i="23"/>
  <c r="H1763" i="23"/>
  <c r="H260" i="23"/>
  <c r="H1766" i="23"/>
  <c r="N2122" i="1"/>
  <c r="H1095" i="1"/>
  <c r="H174" i="97" s="1"/>
  <c r="B190" i="42"/>
  <c r="I1718" i="1"/>
  <c r="H2199" i="1"/>
  <c r="P2199" i="1" s="1"/>
  <c r="C2199" i="1" s="1"/>
  <c r="H2098" i="1"/>
  <c r="P2098" i="1" s="1"/>
  <c r="C2098" i="1" s="1"/>
  <c r="J1575" i="1"/>
  <c r="H2289" i="1"/>
  <c r="P2289" i="1" s="1"/>
  <c r="H1854" i="1"/>
  <c r="B222" i="42"/>
  <c r="H1871" i="1"/>
  <c r="L883" i="1"/>
  <c r="L885" i="1"/>
  <c r="L880" i="1"/>
  <c r="L882" i="1"/>
  <c r="L884" i="1"/>
  <c r="L881" i="1"/>
  <c r="K883" i="1"/>
  <c r="K880" i="1"/>
  <c r="K885" i="1"/>
  <c r="K882" i="1"/>
  <c r="K881" i="1"/>
  <c r="K884" i="1"/>
  <c r="N2087" i="1"/>
  <c r="H1868" i="1"/>
  <c r="B198" i="42"/>
  <c r="H1844" i="1"/>
  <c r="G194" i="42"/>
  <c r="B201" i="42"/>
  <c r="H1855" i="1"/>
  <c r="G209" i="42"/>
  <c r="H1856" i="1"/>
  <c r="G217" i="42"/>
  <c r="H1842" i="1"/>
  <c r="B213" i="42"/>
  <c r="G197" i="42"/>
  <c r="H1861" i="1"/>
  <c r="G195" i="42"/>
  <c r="G196" i="42"/>
  <c r="H1840" i="1"/>
  <c r="H1841" i="1"/>
  <c r="G214" i="42"/>
  <c r="G199" i="42"/>
  <c r="H1835" i="1"/>
  <c r="G218" i="42"/>
  <c r="B210" i="42"/>
  <c r="G211" i="42"/>
  <c r="H1858" i="1"/>
  <c r="G192" i="42"/>
  <c r="H1865" i="1"/>
  <c r="H1857" i="1"/>
  <c r="H1839" i="1"/>
  <c r="H1849" i="1"/>
  <c r="G219" i="42"/>
  <c r="H1833" i="1"/>
  <c r="B188" i="42"/>
  <c r="H1845" i="1"/>
  <c r="B193" i="42"/>
  <c r="H1834" i="1"/>
  <c r="H1876" i="1"/>
  <c r="B208" i="42"/>
  <c r="B189" i="42"/>
  <c r="H1867" i="1"/>
  <c r="H1860" i="1"/>
  <c r="H1843" i="1"/>
  <c r="H1847" i="1"/>
  <c r="H1859" i="1"/>
  <c r="H1853" i="1"/>
  <c r="I1853" i="1" s="1"/>
  <c r="H1846" i="1"/>
  <c r="B212" i="42"/>
  <c r="H1864" i="1"/>
  <c r="G200" i="42"/>
  <c r="H1866" i="1"/>
  <c r="B206" i="42"/>
  <c r="D2026" i="1"/>
  <c r="H2026" i="1" s="1"/>
  <c r="B226" i="42"/>
  <c r="I1468" i="23"/>
  <c r="A1468" i="23" s="1"/>
  <c r="I119" i="23"/>
  <c r="A119" i="23" s="1"/>
  <c r="H2151" i="23"/>
  <c r="H2153" i="23" s="1"/>
  <c r="H2213" i="23"/>
  <c r="FU184" i="16"/>
  <c r="CP184" i="16"/>
  <c r="FV184" i="16"/>
  <c r="B17" i="31"/>
  <c r="G17" i="31"/>
  <c r="CO184" i="16"/>
  <c r="H2214" i="23"/>
  <c r="G35" i="42"/>
  <c r="FW184" i="16"/>
  <c r="FQ184" i="16"/>
  <c r="G191" i="42"/>
  <c r="G202" i="42"/>
  <c r="H2192" i="23"/>
  <c r="P2277" i="1"/>
  <c r="K9" i="114" s="1"/>
  <c r="G9" i="114" s="1"/>
  <c r="H1875" i="1"/>
  <c r="CX184" i="16"/>
  <c r="H1848" i="1"/>
  <c r="G68" i="33"/>
  <c r="G63" i="33"/>
  <c r="B83" i="42"/>
  <c r="G83" i="42"/>
  <c r="G87" i="42"/>
  <c r="B87" i="42"/>
  <c r="H1838" i="1"/>
  <c r="H1706" i="23"/>
  <c r="H1707" i="23" s="1"/>
  <c r="H1708" i="23" s="1"/>
  <c r="H1851" i="1"/>
  <c r="H1837"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07" i="1" s="1"/>
  <c r="D1509" i="1" s="1"/>
  <c r="H1570" i="1"/>
  <c r="P1570" i="1" s="1"/>
  <c r="C1570" i="1" s="1"/>
  <c r="CJ184" i="16"/>
  <c r="AV184" i="16"/>
  <c r="H2125" i="1"/>
  <c r="P2125" i="1" s="1"/>
  <c r="C2125" i="1" s="1"/>
  <c r="N2125" i="1"/>
  <c r="I1467" i="23"/>
  <c r="A1467" i="23" s="1"/>
  <c r="I320" i="23"/>
  <c r="A320" i="23" s="1"/>
  <c r="I822" i="23"/>
  <c r="A822" i="23" s="1"/>
  <c r="EP184" i="16"/>
  <c r="CI184" i="16"/>
  <c r="BW184" i="16"/>
  <c r="H2828" i="23"/>
  <c r="EZ184" i="16"/>
  <c r="I1665" i="23"/>
  <c r="A1665" i="23" s="1"/>
  <c r="I510" i="23"/>
  <c r="A510" i="23" s="1"/>
  <c r="BG307" i="70"/>
  <c r="AO184" i="16"/>
  <c r="N184" i="16"/>
  <c r="DP184" i="16"/>
  <c r="V184" i="16"/>
  <c r="H2024" i="1"/>
  <c r="P2024" i="1" s="1"/>
  <c r="D1930" i="1"/>
  <c r="H1930" i="1" s="1"/>
  <c r="E187" i="42"/>
  <c r="G28" i="35"/>
  <c r="B28" i="35"/>
  <c r="DX184" i="16"/>
  <c r="H2825" i="23"/>
  <c r="BG134" i="70"/>
  <c r="I1654" i="23"/>
  <c r="A1654" i="23" s="1"/>
  <c r="I1554" i="23"/>
  <c r="A1554" i="23" s="1"/>
  <c r="B50" i="33"/>
  <c r="G50" i="33"/>
  <c r="G48" i="35"/>
  <c r="B48" i="35"/>
  <c r="G41" i="35"/>
  <c r="H2200" i="1"/>
  <c r="P2200" i="1" s="1"/>
  <c r="C2200" i="1" s="1"/>
  <c r="I1671" i="23"/>
  <c r="A1671" i="23" s="1"/>
  <c r="I1673" i="23"/>
  <c r="A1673" i="23" s="1"/>
  <c r="N2099" i="1"/>
  <c r="AZ184" i="16"/>
  <c r="AN184" i="16"/>
  <c r="DM184" i="16"/>
  <c r="D1510" i="1" s="1"/>
  <c r="H1510" i="1" s="1"/>
  <c r="P1510" i="1" s="1"/>
  <c r="C1510" i="1" s="1"/>
  <c r="BF184" i="16"/>
  <c r="G63" i="31"/>
  <c r="B63" i="31"/>
  <c r="B56" i="31"/>
  <c r="G56" i="31"/>
  <c r="G102" i="42"/>
  <c r="B102" i="42"/>
  <c r="B40" i="31"/>
  <c r="G40" i="31"/>
  <c r="GI184" i="16"/>
  <c r="I1553" i="23"/>
  <c r="A1553" i="23" s="1"/>
  <c r="I508" i="23"/>
  <c r="A508" i="23" s="1"/>
  <c r="I477" i="23"/>
  <c r="A477" i="23" s="1"/>
  <c r="N2123" i="1"/>
  <c r="G61" i="34"/>
  <c r="D1524" i="1"/>
  <c r="J1524" i="1" s="1"/>
  <c r="B93" i="42"/>
  <c r="G93" i="42"/>
  <c r="B40" i="42"/>
  <c r="G40" i="42"/>
  <c r="I1672" i="23"/>
  <c r="A1672" i="23" s="1"/>
  <c r="I1657" i="23"/>
  <c r="A1657" i="23" s="1"/>
  <c r="I1666" i="23"/>
  <c r="A1666" i="23" s="1"/>
  <c r="B92" i="42"/>
  <c r="G92" i="42"/>
  <c r="G16" i="31"/>
  <c r="B16" i="31"/>
  <c r="B109" i="42"/>
  <c r="G109" i="42"/>
  <c r="DQ184" i="16"/>
  <c r="H1873" i="1"/>
  <c r="E224" i="42"/>
  <c r="I276" i="23"/>
  <c r="A276" i="23" s="1"/>
  <c r="H2279" i="23"/>
  <c r="H274" i="23"/>
  <c r="E203" i="42"/>
  <c r="G203" i="42" s="1"/>
  <c r="E223" i="42"/>
  <c r="G223" i="42" s="1"/>
  <c r="D1914" i="1"/>
  <c r="D144" i="97" s="1"/>
  <c r="E225" i="42"/>
  <c r="G225" i="42" s="1"/>
  <c r="H2293"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H2294" i="23"/>
  <c r="H2295"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2930"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A2005" i="23" s="1"/>
  <c r="I2009" i="23"/>
  <c r="A2009" i="23" s="1"/>
  <c r="I2013" i="23"/>
  <c r="A2013" i="23" s="1"/>
  <c r="I2017" i="23"/>
  <c r="A2017" i="23" s="1"/>
  <c r="I2021" i="23"/>
  <c r="A2021" i="23" s="1"/>
  <c r="I2025" i="23"/>
  <c r="A2025" i="23" s="1"/>
  <c r="I2029" i="23"/>
  <c r="A2029" i="23" s="1"/>
  <c r="I2033" i="23"/>
  <c r="A2033"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I1939" i="23"/>
  <c r="A1939" i="23" s="1"/>
  <c r="I1944" i="23"/>
  <c r="A1944" i="23" s="1"/>
  <c r="I1950" i="23"/>
  <c r="A1950" i="23" s="1"/>
  <c r="I1955" i="23"/>
  <c r="A1955" i="23" s="1"/>
  <c r="I1960" i="23"/>
  <c r="A1960" i="23" s="1"/>
  <c r="I1966" i="23"/>
  <c r="A1966"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A2024" i="23" s="1"/>
  <c r="I2030" i="23"/>
  <c r="A2030" i="23" s="1"/>
  <c r="I2035" i="23"/>
  <c r="A2035" i="23" s="1"/>
  <c r="I2039" i="23"/>
  <c r="A2039" i="23" s="1"/>
  <c r="I2043" i="23"/>
  <c r="A2043" i="23" s="1"/>
  <c r="I2047" i="23"/>
  <c r="A2047" i="23" s="1"/>
  <c r="I2051" i="23"/>
  <c r="A2051" i="23" s="1"/>
  <c r="I2055" i="23"/>
  <c r="A2055" i="23" s="1"/>
  <c r="I2059" i="23"/>
  <c r="A2059" i="23" s="1"/>
  <c r="I2063" i="23"/>
  <c r="A2063" i="23" s="1"/>
  <c r="I2067" i="23"/>
  <c r="A2067" i="23" s="1"/>
  <c r="I2071" i="23"/>
  <c r="A2071"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I2187" i="23"/>
  <c r="A2187" i="23" s="1"/>
  <c r="I2191" i="23"/>
  <c r="A2191" i="23" s="1"/>
  <c r="I2195" i="23"/>
  <c r="A2195" i="23" s="1"/>
  <c r="I2199" i="23"/>
  <c r="A2199" i="23" s="1"/>
  <c r="I2203" i="23"/>
  <c r="A2203" i="23" s="1"/>
  <c r="I2207" i="23"/>
  <c r="A2207"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A1975" i="23" s="1"/>
  <c r="I1983" i="23"/>
  <c r="A1983" i="23" s="1"/>
  <c r="I1990" i="23"/>
  <c r="A1990" i="23" s="1"/>
  <c r="I1996" i="23"/>
  <c r="A1996" i="23" s="1"/>
  <c r="I2004" i="23"/>
  <c r="A2004" i="23" s="1"/>
  <c r="I2011" i="23"/>
  <c r="A2011" i="23" s="1"/>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A2177" i="23" s="1"/>
  <c r="I2182" i="23"/>
  <c r="A2182" i="23" s="1"/>
  <c r="I2188" i="23"/>
  <c r="A2188" i="23" s="1"/>
  <c r="I2193" i="23"/>
  <c r="A2193" i="23" s="1"/>
  <c r="I2198" i="23"/>
  <c r="A2198" i="23" s="1"/>
  <c r="I2204" i="23"/>
  <c r="A2204" i="23" s="1"/>
  <c r="I2209" i="23"/>
  <c r="A2209" i="23" s="1"/>
  <c r="I2213" i="23"/>
  <c r="A2213" i="23" s="1"/>
  <c r="I2217" i="23"/>
  <c r="A2217"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27" i="23"/>
  <c r="A1927" i="23" s="1"/>
  <c r="I1935" i="23"/>
  <c r="A1935" i="23" s="1"/>
  <c r="I1942" i="23"/>
  <c r="A1942" i="23" s="1"/>
  <c r="I1948" i="23"/>
  <c r="A1948" i="23" s="1"/>
  <c r="I1956" i="23"/>
  <c r="A1956" i="23" s="1"/>
  <c r="I1963" i="23"/>
  <c r="A1963" i="23" s="1"/>
  <c r="I1970" i="23"/>
  <c r="A1970" i="23" s="1"/>
  <c r="I1978" i="23"/>
  <c r="A1978" i="23" s="1"/>
  <c r="I1984" i="23"/>
  <c r="A1984" i="23" s="1"/>
  <c r="I1991" i="23"/>
  <c r="A1991" i="23" s="1"/>
  <c r="I1999" i="23"/>
  <c r="A1999" i="23" s="1"/>
  <c r="I2006" i="23"/>
  <c r="A2006" i="23" s="1"/>
  <c r="I2012" i="23"/>
  <c r="A2012" i="23" s="1"/>
  <c r="I2020" i="23"/>
  <c r="A2020" i="23" s="1"/>
  <c r="I2027" i="23"/>
  <c r="A2027" i="23" s="1"/>
  <c r="I2034" i="23"/>
  <c r="A2034" i="23" s="1"/>
  <c r="I2040" i="23"/>
  <c r="A2040" i="23" s="1"/>
  <c r="I2045" i="23"/>
  <c r="A2045" i="23" s="1"/>
  <c r="I2050" i="23"/>
  <c r="A2050" i="23" s="1"/>
  <c r="I2056" i="23"/>
  <c r="A2056" i="23" s="1"/>
  <c r="I2061" i="23"/>
  <c r="A2061" i="23" s="1"/>
  <c r="I2066" i="23"/>
  <c r="A2066" i="23" s="1"/>
  <c r="I2072" i="23"/>
  <c r="A2072" i="23" s="1"/>
  <c r="I2077" i="23"/>
  <c r="A2077"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I2173" i="23"/>
  <c r="A2173" i="23" s="1"/>
  <c r="I2178" i="23"/>
  <c r="A2178" i="23" s="1"/>
  <c r="I2184" i="23"/>
  <c r="A2184" i="23" s="1"/>
  <c r="I2189" i="23"/>
  <c r="A2189" i="23" s="1"/>
  <c r="I2194" i="23"/>
  <c r="A2194" i="23" s="1"/>
  <c r="I2200" i="23"/>
  <c r="A2200" i="23" s="1"/>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I2246" i="23"/>
  <c r="A2246" i="23" s="1"/>
  <c r="I2250" i="23"/>
  <c r="A2250" i="23" s="1"/>
  <c r="I2254" i="23"/>
  <c r="A2254" i="23" s="1"/>
  <c r="I2258" i="23"/>
  <c r="A2258" i="23" s="1"/>
  <c r="I2262" i="23"/>
  <c r="A2262" i="23" s="1"/>
  <c r="I2266" i="23"/>
  <c r="A2266" i="23" s="1"/>
  <c r="I2270" i="23"/>
  <c r="A2270" i="23" s="1"/>
  <c r="I2274" i="23"/>
  <c r="A2274" i="23" s="1"/>
  <c r="I2278" i="23"/>
  <c r="A2278" i="23" s="1"/>
  <c r="I2282" i="23"/>
  <c r="A2282" i="23" s="1"/>
  <c r="I2286" i="23"/>
  <c r="A2286" i="23" s="1"/>
  <c r="I2290" i="23"/>
  <c r="A2290" i="23" s="1"/>
  <c r="I2294" i="23"/>
  <c r="A2294" i="23" s="1"/>
  <c r="I2298" i="23"/>
  <c r="A2298" i="23" s="1"/>
  <c r="I2302" i="23"/>
  <c r="A2302" i="23" s="1"/>
  <c r="I2306" i="23"/>
  <c r="A2306" i="23" s="1"/>
  <c r="I2310" i="23"/>
  <c r="A2310" i="23" s="1"/>
  <c r="I2314" i="23"/>
  <c r="A2314" i="23" s="1"/>
  <c r="I2318" i="23"/>
  <c r="A2318" i="23" s="1"/>
  <c r="I2322" i="23"/>
  <c r="A2322" i="23" s="1"/>
  <c r="I2326" i="23"/>
  <c r="A2326" i="23" s="1"/>
  <c r="I2330" i="23"/>
  <c r="A2330" i="23" s="1"/>
  <c r="I2334" i="23"/>
  <c r="A2334"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A2390" i="23" s="1"/>
  <c r="I2394" i="23"/>
  <c r="A2394" i="23" s="1"/>
  <c r="I2398" i="23"/>
  <c r="A2398" i="23" s="1"/>
  <c r="I2402" i="23"/>
  <c r="A2402" i="23" s="1"/>
  <c r="I2406" i="23"/>
  <c r="A2406" i="23" s="1"/>
  <c r="I2410" i="23"/>
  <c r="A2410" i="23" s="1"/>
  <c r="I2414" i="23"/>
  <c r="A2414" i="23" s="1"/>
  <c r="I2418" i="23"/>
  <c r="A2418" i="23" s="1"/>
  <c r="I2422" i="23"/>
  <c r="A2422" i="23" s="1"/>
  <c r="I2426" i="23"/>
  <c r="A2426" i="23" s="1"/>
  <c r="I2430" i="23"/>
  <c r="A2430" i="23" s="1"/>
  <c r="I2434" i="23"/>
  <c r="A2434" i="23" s="1"/>
  <c r="I2438" i="23"/>
  <c r="A2438" i="23" s="1"/>
  <c r="I2442" i="23"/>
  <c r="A2442" i="23" s="1"/>
  <c r="I2446" i="23"/>
  <c r="A2446" i="23" s="1"/>
  <c r="I2450" i="23"/>
  <c r="A2450" i="23" s="1"/>
  <c r="I2454" i="23"/>
  <c r="A2454" i="23" s="1"/>
  <c r="I2458" i="23"/>
  <c r="A2458"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03" i="23"/>
  <c r="A1903" i="23" s="1"/>
  <c r="I1916" i="23"/>
  <c r="A1916" i="23" s="1"/>
  <c r="I1931" i="23"/>
  <c r="A1931" i="23" s="1"/>
  <c r="I1946" i="23"/>
  <c r="A1946" i="23" s="1"/>
  <c r="I1959" i="23"/>
  <c r="A1959" i="23" s="1"/>
  <c r="I1974" i="23"/>
  <c r="A1974" i="23" s="1"/>
  <c r="I1988" i="23"/>
  <c r="A1988" i="23" s="1"/>
  <c r="I2002" i="23"/>
  <c r="A2002" i="23" s="1"/>
  <c r="I2016" i="23"/>
  <c r="A2016" i="23" s="1"/>
  <c r="I2031" i="23"/>
  <c r="A2031" i="23" s="1"/>
  <c r="I2042" i="23"/>
  <c r="A2042" i="23" s="1"/>
  <c r="I2053" i="23"/>
  <c r="A2053" i="23" s="1"/>
  <c r="I2064" i="23"/>
  <c r="A2064" i="23" s="1"/>
  <c r="I2074" i="23"/>
  <c r="A2074" i="23" s="1"/>
  <c r="I2085" i="23"/>
  <c r="A2085" i="23" s="1"/>
  <c r="I2096" i="23"/>
  <c r="A2096" i="23" s="1"/>
  <c r="I2106" i="23"/>
  <c r="A2106" i="23" s="1"/>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I2395" i="23"/>
  <c r="A2395" i="23" s="1"/>
  <c r="I2400" i="23"/>
  <c r="A2400" i="23" s="1"/>
  <c r="I2405" i="23"/>
  <c r="A2405" i="23" s="1"/>
  <c r="I2411" i="23"/>
  <c r="A2411" i="23" s="1"/>
  <c r="I2416" i="23"/>
  <c r="A2416" i="23" s="1"/>
  <c r="I2421" i="23"/>
  <c r="A2421" i="23" s="1"/>
  <c r="I2427" i="23"/>
  <c r="A2427" i="23" s="1"/>
  <c r="I2432" i="23"/>
  <c r="A2432" i="23" s="1"/>
  <c r="I2437" i="23"/>
  <c r="A2437" i="23" s="1"/>
  <c r="I2443" i="23"/>
  <c r="A2443" i="23" s="1"/>
  <c r="I2448" i="23"/>
  <c r="A2448" i="23" s="1"/>
  <c r="I2453" i="23"/>
  <c r="A2453" i="23" s="1"/>
  <c r="I2459" i="23"/>
  <c r="A2459" i="23" s="1"/>
  <c r="I2463" i="23"/>
  <c r="A2463" i="23" s="1"/>
  <c r="I2467" i="23"/>
  <c r="A2467" i="23" s="1"/>
  <c r="I2471" i="23"/>
  <c r="A2471" i="23" s="1"/>
  <c r="I2475" i="23"/>
  <c r="A2475" i="23" s="1"/>
  <c r="I2479" i="23"/>
  <c r="A2479" i="23" s="1"/>
  <c r="I2483" i="23"/>
  <c r="A2483" i="23" s="1"/>
  <c r="I2487" i="23"/>
  <c r="A2487" i="23" s="1"/>
  <c r="I2491" i="23"/>
  <c r="A2491" i="23" s="1"/>
  <c r="I2495" i="23"/>
  <c r="A2495" i="23" s="1"/>
  <c r="I2499" i="23"/>
  <c r="A2499" i="23" s="1"/>
  <c r="I2503" i="23"/>
  <c r="A2503" i="23" s="1"/>
  <c r="I2507" i="23"/>
  <c r="A2507" i="23" s="1"/>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745" i="23"/>
  <c r="A2745" i="23" s="1"/>
  <c r="I2749" i="23"/>
  <c r="A2749" i="23" s="1"/>
  <c r="I2753" i="23"/>
  <c r="A2753" i="23" s="1"/>
  <c r="I2757" i="23"/>
  <c r="A2757" i="23" s="1"/>
  <c r="I2761" i="23"/>
  <c r="A2761" i="23" s="1"/>
  <c r="I2765" i="23"/>
  <c r="A2765" i="23" s="1"/>
  <c r="I2769" i="23"/>
  <c r="A2769" i="23" s="1"/>
  <c r="I2773" i="23"/>
  <c r="A2773" i="23" s="1"/>
  <c r="I2777" i="23"/>
  <c r="A2777" i="23" s="1"/>
  <c r="I2781" i="23"/>
  <c r="A2781" i="23" s="1"/>
  <c r="I2785" i="23"/>
  <c r="A2785" i="23" s="1"/>
  <c r="I2789" i="23"/>
  <c r="A2789" i="23" s="1"/>
  <c r="I2793" i="23"/>
  <c r="A2793" i="23" s="1"/>
  <c r="I2797" i="23"/>
  <c r="A2797" i="23" s="1"/>
  <c r="I2801" i="23"/>
  <c r="A2801" i="23" s="1"/>
  <c r="I2805" i="23"/>
  <c r="A2805" i="23" s="1"/>
  <c r="I2809" i="23"/>
  <c r="A2809" i="23" s="1"/>
  <c r="I2813" i="23"/>
  <c r="A2813" i="23" s="1"/>
  <c r="I2817" i="23"/>
  <c r="A2817" i="23" s="1"/>
  <c r="I2821" i="23"/>
  <c r="A2821" i="23" s="1"/>
  <c r="I2825" i="23"/>
  <c r="A2825" i="23" s="1"/>
  <c r="I2829" i="23"/>
  <c r="A2829" i="23" s="1"/>
  <c r="I2833" i="23"/>
  <c r="A2833" i="23" s="1"/>
  <c r="I2837" i="23"/>
  <c r="A2837" i="23" s="1"/>
  <c r="I2841" i="23"/>
  <c r="A2841" i="23" s="1"/>
  <c r="I2845" i="23"/>
  <c r="A2845" i="23" s="1"/>
  <c r="I2849" i="23"/>
  <c r="A2849" i="23" s="1"/>
  <c r="I2853" i="23"/>
  <c r="A2853" i="23" s="1"/>
  <c r="I2857" i="23"/>
  <c r="A2857" i="23" s="1"/>
  <c r="I2861" i="23"/>
  <c r="A2861" i="23" s="1"/>
  <c r="I2865" i="23"/>
  <c r="A2865" i="23" s="1"/>
  <c r="I2869" i="23"/>
  <c r="A2869" i="23" s="1"/>
  <c r="I2873" i="23"/>
  <c r="A2873" i="23" s="1"/>
  <c r="I2877" i="23"/>
  <c r="A2877" i="23" s="1"/>
  <c r="I2881" i="23"/>
  <c r="A2881" i="23" s="1"/>
  <c r="I2885" i="23"/>
  <c r="A2885" i="23" s="1"/>
  <c r="I2889" i="23"/>
  <c r="A2889" i="23" s="1"/>
  <c r="I2893" i="23"/>
  <c r="A2893" i="23" s="1"/>
  <c r="I2897" i="23"/>
  <c r="A2897" i="23" s="1"/>
  <c r="I2901" i="23"/>
  <c r="A2901" i="23" s="1"/>
  <c r="I2905" i="23"/>
  <c r="A2905" i="23" s="1"/>
  <c r="I2909" i="23"/>
  <c r="A2909" i="23" s="1"/>
  <c r="I2913" i="23"/>
  <c r="A2913" i="23" s="1"/>
  <c r="I2917" i="23"/>
  <c r="A2917" i="23" s="1"/>
  <c r="I2921" i="23"/>
  <c r="A2921" i="23" s="1"/>
  <c r="I2925" i="23"/>
  <c r="A2925" i="23" s="1"/>
  <c r="I2929" i="23"/>
  <c r="A2929"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22" i="23"/>
  <c r="A1922" i="23" s="1"/>
  <c r="I1936" i="23"/>
  <c r="A1936" i="23" s="1"/>
  <c r="I1951" i="23"/>
  <c r="A1951" i="23" s="1"/>
  <c r="I1964" i="23"/>
  <c r="A1964" i="23" s="1"/>
  <c r="I1979" i="23"/>
  <c r="A1979" i="23" s="1"/>
  <c r="I1994" i="23"/>
  <c r="A1994" i="23" s="1"/>
  <c r="I2007" i="23"/>
  <c r="A2007" i="23" s="1"/>
  <c r="I2022" i="23"/>
  <c r="A2022" i="23" s="1"/>
  <c r="I2036" i="23"/>
  <c r="A2036" i="23" s="1"/>
  <c r="I2046" i="23"/>
  <c r="A2046" i="23" s="1"/>
  <c r="I2057" i="23"/>
  <c r="A2057" i="23" s="1"/>
  <c r="I2068" i="23"/>
  <c r="A2068" i="23" s="1"/>
  <c r="I2078" i="23"/>
  <c r="A2078" i="23" s="1"/>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A2412" i="23" s="1"/>
  <c r="I2417" i="23"/>
  <c r="A2417" i="23" s="1"/>
  <c r="I2423" i="23"/>
  <c r="A2423" i="23" s="1"/>
  <c r="I2428" i="23"/>
  <c r="A2428" i="23" s="1"/>
  <c r="I2433" i="23"/>
  <c r="A2433" i="23" s="1"/>
  <c r="I2439" i="23"/>
  <c r="A2439" i="23" s="1"/>
  <c r="I2444" i="23"/>
  <c r="A2444" i="23" s="1"/>
  <c r="I2449" i="23"/>
  <c r="A2449" i="23" s="1"/>
  <c r="I2455" i="23"/>
  <c r="A2455" i="23" s="1"/>
  <c r="I2460" i="23"/>
  <c r="A2460" i="23" s="1"/>
  <c r="I2464" i="23"/>
  <c r="A2464" i="23" s="1"/>
  <c r="I2468" i="23"/>
  <c r="A2468" i="23" s="1"/>
  <c r="I2472" i="23"/>
  <c r="A2472" i="23" s="1"/>
  <c r="I2476" i="23"/>
  <c r="A2476" i="23" s="1"/>
  <c r="I2480" i="23"/>
  <c r="A2480" i="23" s="1"/>
  <c r="I2484" i="23"/>
  <c r="A2484" i="23" s="1"/>
  <c r="I2488" i="23"/>
  <c r="A2488" i="23" s="1"/>
  <c r="I2492" i="23"/>
  <c r="A2492" i="23" s="1"/>
  <c r="I2496" i="23"/>
  <c r="A2496" i="23" s="1"/>
  <c r="I2500" i="23"/>
  <c r="A2500" i="23" s="1"/>
  <c r="I2504" i="23"/>
  <c r="A2504" i="23" s="1"/>
  <c r="I2508" i="23"/>
  <c r="A2508" i="23" s="1"/>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746" i="23"/>
  <c r="A2746" i="23" s="1"/>
  <c r="I2750" i="23"/>
  <c r="A2750" i="23" s="1"/>
  <c r="I2754" i="23"/>
  <c r="A2754" i="23" s="1"/>
  <c r="I2758" i="23"/>
  <c r="A2758" i="23" s="1"/>
  <c r="I2762" i="23"/>
  <c r="A2762" i="23" s="1"/>
  <c r="I2766" i="23"/>
  <c r="A2766" i="23" s="1"/>
  <c r="I2770" i="23"/>
  <c r="A2770" i="23" s="1"/>
  <c r="I2774" i="23"/>
  <c r="A2774" i="23" s="1"/>
  <c r="I2778" i="23"/>
  <c r="A2778" i="23" s="1"/>
  <c r="I2782" i="23"/>
  <c r="A2782" i="23" s="1"/>
  <c r="I2786" i="23"/>
  <c r="A2786" i="23" s="1"/>
  <c r="I2790" i="23"/>
  <c r="A2790" i="23" s="1"/>
  <c r="I2794" i="23"/>
  <c r="A2794" i="23" s="1"/>
  <c r="I2798" i="23"/>
  <c r="A2798" i="23" s="1"/>
  <c r="I2802" i="23"/>
  <c r="A2802" i="23" s="1"/>
  <c r="I2806" i="23"/>
  <c r="A2806" i="23" s="1"/>
  <c r="I2810" i="23"/>
  <c r="A2810" i="23" s="1"/>
  <c r="I2814" i="23"/>
  <c r="A2814" i="23" s="1"/>
  <c r="I2818" i="23"/>
  <c r="A2818" i="23" s="1"/>
  <c r="I2822" i="23"/>
  <c r="A2822" i="23" s="1"/>
  <c r="I2826" i="23"/>
  <c r="A2826" i="23" s="1"/>
  <c r="I2830" i="23"/>
  <c r="A2830" i="23" s="1"/>
  <c r="I2834" i="23"/>
  <c r="A2834" i="23" s="1"/>
  <c r="I2838" i="23"/>
  <c r="A2838" i="23" s="1"/>
  <c r="I2842" i="23"/>
  <c r="A2842" i="23" s="1"/>
  <c r="I2846" i="23"/>
  <c r="A2846" i="23" s="1"/>
  <c r="I2850" i="23"/>
  <c r="A2850" i="23" s="1"/>
  <c r="I2854" i="23"/>
  <c r="A2854" i="23" s="1"/>
  <c r="I2858" i="23"/>
  <c r="A2858" i="23" s="1"/>
  <c r="I2862" i="23"/>
  <c r="A2862" i="23" s="1"/>
  <c r="I2866" i="23"/>
  <c r="A2866" i="23" s="1"/>
  <c r="I2870" i="23"/>
  <c r="A2870" i="23" s="1"/>
  <c r="I2874" i="23"/>
  <c r="A2874" i="23" s="1"/>
  <c r="I2878" i="23"/>
  <c r="A2878" i="23" s="1"/>
  <c r="I2882" i="23"/>
  <c r="A2882" i="23" s="1"/>
  <c r="I2886" i="23"/>
  <c r="A2886" i="23" s="1"/>
  <c r="I2890" i="23"/>
  <c r="A2890" i="23" s="1"/>
  <c r="I2894" i="23"/>
  <c r="A2894" i="23" s="1"/>
  <c r="I2898" i="23"/>
  <c r="A2898" i="23" s="1"/>
  <c r="I2902" i="23"/>
  <c r="A2902" i="23" s="1"/>
  <c r="I2906" i="23"/>
  <c r="A2906" i="23" s="1"/>
  <c r="I2910" i="23"/>
  <c r="A2910" i="23" s="1"/>
  <c r="I2914" i="23"/>
  <c r="A2914" i="23" s="1"/>
  <c r="I2918" i="23"/>
  <c r="A2918" i="23" s="1"/>
  <c r="I2922" i="23"/>
  <c r="A2922" i="23" s="1"/>
  <c r="I2926" i="23"/>
  <c r="A2926"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38" i="23"/>
  <c r="A1938" i="23" s="1"/>
  <c r="I1967" i="23"/>
  <c r="A1967" i="23" s="1"/>
  <c r="I1995" i="23"/>
  <c r="A1995" i="23" s="1"/>
  <c r="I2023" i="23"/>
  <c r="A2023" i="23" s="1"/>
  <c r="I2048" i="23"/>
  <c r="A2048" i="23" s="1"/>
  <c r="I2069" i="23"/>
  <c r="A2069" i="23" s="1"/>
  <c r="I2090" i="23"/>
  <c r="A2090" i="23" s="1"/>
  <c r="I2112" i="23"/>
  <c r="A2112" i="23" s="1"/>
  <c r="I2133" i="23"/>
  <c r="A2133" i="23" s="1"/>
  <c r="I2154" i="23"/>
  <c r="A2154" i="23" s="1"/>
  <c r="I2176" i="23"/>
  <c r="A2176" i="23" s="1"/>
  <c r="I2197" i="23"/>
  <c r="A2197" i="23" s="1"/>
  <c r="I2216" i="23"/>
  <c r="A2216" i="23" s="1"/>
  <c r="I2232" i="23"/>
  <c r="A2232" i="23" s="1"/>
  <c r="I2248" i="23"/>
  <c r="A2248"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A2505" i="23" s="1"/>
  <c r="I2513" i="23"/>
  <c r="A2513" i="23" s="1"/>
  <c r="I2521" i="23"/>
  <c r="A2521" i="23" s="1"/>
  <c r="I2529" i="23"/>
  <c r="A2529" i="23" s="1"/>
  <c r="I2537" i="23"/>
  <c r="A2537" i="23" s="1"/>
  <c r="I2545" i="23"/>
  <c r="A2545" i="23" s="1"/>
  <c r="I2747" i="23"/>
  <c r="A2747" i="23" s="1"/>
  <c r="I2755" i="23"/>
  <c r="A2755" i="23" s="1"/>
  <c r="I2763" i="23"/>
  <c r="A2763" i="23" s="1"/>
  <c r="I2771" i="23"/>
  <c r="A2771" i="23" s="1"/>
  <c r="I2779" i="23"/>
  <c r="A2779" i="23" s="1"/>
  <c r="I2787" i="23"/>
  <c r="A2787" i="23" s="1"/>
  <c r="I2795" i="23"/>
  <c r="A2795" i="23" s="1"/>
  <c r="I2803" i="23"/>
  <c r="A2803" i="23" s="1"/>
  <c r="I2811" i="23"/>
  <c r="A2811" i="23" s="1"/>
  <c r="I2819" i="23"/>
  <c r="A2819" i="23" s="1"/>
  <c r="I2827" i="23"/>
  <c r="A2827" i="23" s="1"/>
  <c r="I2835" i="23"/>
  <c r="A2835" i="23" s="1"/>
  <c r="I2843" i="23"/>
  <c r="A2843" i="23" s="1"/>
  <c r="I2851" i="23"/>
  <c r="A2851" i="23" s="1"/>
  <c r="I2859" i="23"/>
  <c r="A2859" i="23" s="1"/>
  <c r="I2867" i="23"/>
  <c r="A2867" i="23" s="1"/>
  <c r="I2875" i="23"/>
  <c r="A2875" i="23" s="1"/>
  <c r="I2883" i="23"/>
  <c r="A2883" i="23" s="1"/>
  <c r="I2891" i="23"/>
  <c r="A2891" i="23" s="1"/>
  <c r="I2899" i="23"/>
  <c r="A2899" i="23" s="1"/>
  <c r="I2907" i="23"/>
  <c r="A2907" i="23" s="1"/>
  <c r="I2915" i="23"/>
  <c r="A2915" i="23" s="1"/>
  <c r="I2923" i="23"/>
  <c r="A2923"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525" i="23"/>
  <c r="A2525" i="23" s="1"/>
  <c r="I2807" i="23"/>
  <c r="A2807" i="23" s="1"/>
  <c r="I2839" i="23"/>
  <c r="A2839" i="23" s="1"/>
  <c r="I2855" i="23"/>
  <c r="A2855" i="23" s="1"/>
  <c r="I2871" i="23"/>
  <c r="A2871" i="23" s="1"/>
  <c r="I2887" i="23"/>
  <c r="A2887" i="23" s="1"/>
  <c r="I2903" i="23"/>
  <c r="A2903" i="23" s="1"/>
  <c r="I2919" i="23"/>
  <c r="A2919"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58" i="23"/>
  <c r="A1958" i="23" s="1"/>
  <c r="I2015" i="23"/>
  <c r="A2015" i="23" s="1"/>
  <c r="I2062" i="23"/>
  <c r="A2062" i="23" s="1"/>
  <c r="I2105" i="23"/>
  <c r="A2105" i="23" s="1"/>
  <c r="I2148" i="23"/>
  <c r="A2148" i="23" s="1"/>
  <c r="I2190" i="23"/>
  <c r="A2190"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I2494" i="23"/>
  <c r="A2494" i="23" s="1"/>
  <c r="I2518" i="23"/>
  <c r="A2518" i="23" s="1"/>
  <c r="I2534" i="23"/>
  <c r="A2534" i="23" s="1"/>
  <c r="I2744" i="23"/>
  <c r="A2744" i="23" s="1"/>
  <c r="I2760" i="23"/>
  <c r="A2760" i="23" s="1"/>
  <c r="I2776" i="23"/>
  <c r="A2776" i="23" s="1"/>
  <c r="I2792" i="23"/>
  <c r="A2792" i="23" s="1"/>
  <c r="I2808" i="23"/>
  <c r="A2808" i="23" s="1"/>
  <c r="I2824" i="23"/>
  <c r="A2824" i="23" s="1"/>
  <c r="I2840" i="23"/>
  <c r="A2840" i="23" s="1"/>
  <c r="I2856" i="23"/>
  <c r="A2856" i="23" s="1"/>
  <c r="I2872" i="23"/>
  <c r="A2872" i="23" s="1"/>
  <c r="I2888" i="23"/>
  <c r="A2888" i="23" s="1"/>
  <c r="I2896" i="23"/>
  <c r="A2896" i="23" s="1"/>
  <c r="I2912" i="23"/>
  <c r="A2912" i="23" s="1"/>
  <c r="I2928" i="23"/>
  <c r="A2928"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1943" i="23"/>
  <c r="A1943"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I2415" i="23"/>
  <c r="A2415" i="23" s="1"/>
  <c r="I2425" i="23"/>
  <c r="A2425" i="23" s="1"/>
  <c r="I2436" i="23"/>
  <c r="A2436" i="23" s="1"/>
  <c r="I2447" i="23"/>
  <c r="A2447" i="23" s="1"/>
  <c r="I2457" i="23"/>
  <c r="A2457" i="23" s="1"/>
  <c r="I2466" i="23"/>
  <c r="A2466" i="23" s="1"/>
  <c r="I2474" i="23"/>
  <c r="A2474" i="23" s="1"/>
  <c r="I2482" i="23"/>
  <c r="A2482" i="23" s="1"/>
  <c r="I2490" i="23"/>
  <c r="A2490" i="23" s="1"/>
  <c r="I2498" i="23"/>
  <c r="A2498" i="23" s="1"/>
  <c r="I2506" i="23"/>
  <c r="A2506" i="23" s="1"/>
  <c r="I2514" i="23"/>
  <c r="A2514" i="23" s="1"/>
  <c r="I2522" i="23"/>
  <c r="A2522" i="23" s="1"/>
  <c r="I2530" i="23"/>
  <c r="A2530" i="23" s="1"/>
  <c r="I2538" i="23"/>
  <c r="A2538" i="23" s="1"/>
  <c r="I2546" i="23"/>
  <c r="A2546" i="23" s="1"/>
  <c r="I2748" i="23"/>
  <c r="A2748" i="23" s="1"/>
  <c r="I2756" i="23"/>
  <c r="A2756" i="23" s="1"/>
  <c r="I2764" i="23"/>
  <c r="A2764" i="23" s="1"/>
  <c r="I2772" i="23"/>
  <c r="A2772" i="23" s="1"/>
  <c r="I2780" i="23"/>
  <c r="A2780" i="23" s="1"/>
  <c r="I2788" i="23"/>
  <c r="A2788" i="23" s="1"/>
  <c r="I2796" i="23"/>
  <c r="A2796" i="23" s="1"/>
  <c r="I2804" i="23"/>
  <c r="A2804" i="23" s="1"/>
  <c r="I2812" i="23"/>
  <c r="A2812" i="23" s="1"/>
  <c r="I2820" i="23"/>
  <c r="A2820" i="23" s="1"/>
  <c r="I2828" i="23"/>
  <c r="A2828" i="23" s="1"/>
  <c r="I2836" i="23"/>
  <c r="A2836" i="23" s="1"/>
  <c r="I2844" i="23"/>
  <c r="A2844" i="23" s="1"/>
  <c r="I2852" i="23"/>
  <c r="A2852" i="23" s="1"/>
  <c r="I2860" i="23"/>
  <c r="A2860" i="23" s="1"/>
  <c r="I2868" i="23"/>
  <c r="A2868" i="23" s="1"/>
  <c r="I2876" i="23"/>
  <c r="A2876" i="23" s="1"/>
  <c r="I2884" i="23"/>
  <c r="A2884" i="23" s="1"/>
  <c r="I2892" i="23"/>
  <c r="A2892" i="23" s="1"/>
  <c r="I2900" i="23"/>
  <c r="A2900" i="23" s="1"/>
  <c r="I2908" i="23"/>
  <c r="A2908" i="23" s="1"/>
  <c r="I2916" i="23"/>
  <c r="A2916" i="23" s="1"/>
  <c r="I2924" i="23"/>
  <c r="A2924"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52" i="23"/>
  <c r="A1952" i="23" s="1"/>
  <c r="I1980" i="23"/>
  <c r="A1980" i="23" s="1"/>
  <c r="I2010" i="23"/>
  <c r="A2010" i="23" s="1"/>
  <c r="I2037" i="23"/>
  <c r="A2037" i="23" s="1"/>
  <c r="I2058" i="23"/>
  <c r="A2058" i="23" s="1"/>
  <c r="I2080" i="23"/>
  <c r="A2080" i="23" s="1"/>
  <c r="I2101" i="23"/>
  <c r="A2101" i="23" s="1"/>
  <c r="I2122" i="23"/>
  <c r="A2122" i="23" s="1"/>
  <c r="I2144" i="23"/>
  <c r="A2144" i="23" s="1"/>
  <c r="I2165" i="23"/>
  <c r="A2165" i="23" s="1"/>
  <c r="I2186" i="23"/>
  <c r="A2186" i="23" s="1"/>
  <c r="I2208" i="23"/>
  <c r="A2208" i="23" s="1"/>
  <c r="I2224" i="23"/>
  <c r="A2224" i="23" s="1"/>
  <c r="I2240" i="23"/>
  <c r="A2240" i="23" s="1"/>
  <c r="I2256" i="23"/>
  <c r="A2256" i="23" s="1"/>
  <c r="I2272" i="23"/>
  <c r="A2272" i="23" s="1"/>
  <c r="I2288" i="23"/>
  <c r="A2288" i="23" s="1"/>
  <c r="I2304" i="23"/>
  <c r="A2304" i="23" s="1"/>
  <c r="I2320" i="23"/>
  <c r="A2320" i="23" s="1"/>
  <c r="I2336" i="23"/>
  <c r="A2336" i="23" s="1"/>
  <c r="I2352" i="23"/>
  <c r="A2352" i="23" s="1"/>
  <c r="I2365" i="23"/>
  <c r="A2365" i="23" s="1"/>
  <c r="I2376" i="23"/>
  <c r="A2376" i="23" s="1"/>
  <c r="I2387" i="23"/>
  <c r="A2387" i="23" s="1"/>
  <c r="I2397" i="23"/>
  <c r="A2397" i="23" s="1"/>
  <c r="I2408" i="23"/>
  <c r="A2408" i="23" s="1"/>
  <c r="I2419" i="23"/>
  <c r="A2419" i="23" s="1"/>
  <c r="I2429" i="23"/>
  <c r="A2429" i="23" s="1"/>
  <c r="I2440" i="23"/>
  <c r="A2440" i="23" s="1"/>
  <c r="I2451" i="23"/>
  <c r="A2451" i="23" s="1"/>
  <c r="I2461" i="23"/>
  <c r="A2461" i="23" s="1"/>
  <c r="I2469" i="23"/>
  <c r="A2469" i="23" s="1"/>
  <c r="I2477" i="23"/>
  <c r="A2477" i="23" s="1"/>
  <c r="I2485" i="23"/>
  <c r="A2485" i="23" s="1"/>
  <c r="I2493" i="23"/>
  <c r="A2493" i="23" s="1"/>
  <c r="I2501" i="23"/>
  <c r="A2501" i="23" s="1"/>
  <c r="I2509" i="23"/>
  <c r="A2509" i="23" s="1"/>
  <c r="I2517" i="23"/>
  <c r="A2517" i="23" s="1"/>
  <c r="I2533" i="23"/>
  <c r="A2533" i="23" s="1"/>
  <c r="I2541" i="23"/>
  <c r="A2541" i="23" s="1"/>
  <c r="I2550" i="23"/>
  <c r="A2550" i="23" s="1"/>
  <c r="I2751" i="23"/>
  <c r="A2751" i="23" s="1"/>
  <c r="I2759" i="23"/>
  <c r="A2759" i="23" s="1"/>
  <c r="I2767" i="23"/>
  <c r="A2767" i="23" s="1"/>
  <c r="I2775" i="23"/>
  <c r="A2775" i="23" s="1"/>
  <c r="I2783" i="23"/>
  <c r="A2783" i="23" s="1"/>
  <c r="I2791" i="23"/>
  <c r="A2791" i="23" s="1"/>
  <c r="I2799" i="23"/>
  <c r="A2799" i="23" s="1"/>
  <c r="I2815" i="23"/>
  <c r="A2815" i="23" s="1"/>
  <c r="I2823" i="23"/>
  <c r="A2823" i="23" s="1"/>
  <c r="I2831" i="23"/>
  <c r="A2831" i="23" s="1"/>
  <c r="I2847" i="23"/>
  <c r="A2847" i="23" s="1"/>
  <c r="I2863" i="23"/>
  <c r="A2863" i="23" s="1"/>
  <c r="I2879" i="23"/>
  <c r="A2879" i="23" s="1"/>
  <c r="I2895" i="23"/>
  <c r="A2895" i="23" s="1"/>
  <c r="I2911" i="23"/>
  <c r="A2911" i="23" s="1"/>
  <c r="I2927" i="23"/>
  <c r="A2927"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A2169" i="23" s="1"/>
  <c r="I2211" i="23"/>
  <c r="A2211" i="23" s="1"/>
  <c r="I2243" i="23"/>
  <c r="A2243" i="23" s="1"/>
  <c r="I2275" i="23"/>
  <c r="A2275" i="23" s="1"/>
  <c r="I2307" i="23"/>
  <c r="A2307" i="23" s="1"/>
  <c r="I2339" i="23"/>
  <c r="A2339" i="23" s="1"/>
  <c r="I2367" i="23"/>
  <c r="A2367" i="23" s="1"/>
  <c r="I2388" i="23"/>
  <c r="A2388" i="23" s="1"/>
  <c r="I2409" i="23"/>
  <c r="A2409" i="23" s="1"/>
  <c r="I2431" i="23"/>
  <c r="A2431" i="23" s="1"/>
  <c r="I2452" i="23"/>
  <c r="A2452" i="23" s="1"/>
  <c r="I2470" i="23"/>
  <c r="A2470" i="23" s="1"/>
  <c r="I2486" i="23"/>
  <c r="A2486" i="23" s="1"/>
  <c r="I2502" i="23"/>
  <c r="A2502" i="23" s="1"/>
  <c r="I2510" i="23"/>
  <c r="A2510" i="23" s="1"/>
  <c r="I2526" i="23"/>
  <c r="A2526" i="23" s="1"/>
  <c r="I2542" i="23"/>
  <c r="A2542" i="23" s="1"/>
  <c r="I2752" i="23"/>
  <c r="A2752" i="23" s="1"/>
  <c r="I2768" i="23"/>
  <c r="A2768" i="23" s="1"/>
  <c r="I2784" i="23"/>
  <c r="A2784" i="23" s="1"/>
  <c r="I2800" i="23"/>
  <c r="A2800" i="23" s="1"/>
  <c r="I2816" i="23"/>
  <c r="A2816" i="23" s="1"/>
  <c r="I2832" i="23"/>
  <c r="A2832" i="23" s="1"/>
  <c r="I2848" i="23"/>
  <c r="A2848" i="23" s="1"/>
  <c r="I2864" i="23"/>
  <c r="A2864" i="23" s="1"/>
  <c r="I2880" i="23"/>
  <c r="A2880" i="23" s="1"/>
  <c r="I2904" i="23"/>
  <c r="A2904" i="23" s="1"/>
  <c r="I2920" i="23"/>
  <c r="A2920"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I466" i="23"/>
  <c r="A466" i="23" s="1"/>
  <c r="I1552" i="23"/>
  <c r="A1552" i="23" s="1"/>
  <c r="H2238" i="23"/>
  <c r="I456" i="23"/>
  <c r="A456" i="23" s="1"/>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785" i="23"/>
  <c r="H1796" i="23"/>
  <c r="H1800" i="23"/>
  <c r="H1805" i="23"/>
  <c r="H1801" i="23"/>
  <c r="H1718" i="23"/>
  <c r="H2821" i="23"/>
  <c r="D534" i="23"/>
  <c r="H958" i="23"/>
  <c r="H959" i="23" s="1"/>
  <c r="I959" i="23" s="1"/>
  <c r="A959" i="23" s="1"/>
  <c r="H966" i="23"/>
  <c r="I966" i="23" s="1"/>
  <c r="A966" i="23" s="1"/>
  <c r="H1717" i="23"/>
  <c r="H1685" i="23"/>
  <c r="H2174" i="23"/>
  <c r="H2309" i="23"/>
  <c r="H2333" i="23" s="1"/>
  <c r="H2188" i="23"/>
  <c r="H2783" i="23"/>
  <c r="H2784" i="23" s="1"/>
  <c r="H2786" i="23"/>
  <c r="H2792" i="23" s="1"/>
  <c r="H2793" i="23"/>
  <c r="H2797" i="23" s="1"/>
  <c r="H2777" i="23"/>
  <c r="H2212" i="23"/>
  <c r="H2142" i="23"/>
  <c r="D2142" i="23" s="1"/>
  <c r="D2143" i="23" s="1"/>
  <c r="D2144" i="23" s="1"/>
  <c r="D2145" i="23" s="1"/>
  <c r="D2146" i="23" s="1"/>
  <c r="D2147" i="23" s="1"/>
  <c r="H2802" i="23"/>
  <c r="H1802" i="23"/>
  <c r="H2808" i="23"/>
  <c r="H1799" i="23"/>
  <c r="H258" i="23"/>
  <c r="H265" i="23" s="1"/>
  <c r="H1715" i="23"/>
  <c r="H2824" i="23"/>
  <c r="H2303" i="23"/>
  <c r="H2307" i="23" s="1"/>
  <c r="H2308" i="23" s="1"/>
  <c r="H2805" i="23"/>
  <c r="H2778" i="23"/>
  <c r="H2817" i="23"/>
  <c r="H2831" i="23"/>
  <c r="H2832" i="23" s="1"/>
  <c r="H2804" i="23"/>
  <c r="H1851" i="23"/>
  <c r="H1867" i="23" s="1"/>
  <c r="H1868" i="23" s="1"/>
  <c r="H1869" i="23" s="1"/>
  <c r="H1806" i="23"/>
  <c r="H2806" i="23"/>
  <c r="D2365" i="23"/>
  <c r="D2366" i="23" s="1"/>
  <c r="D2367" i="23" s="1"/>
  <c r="D2368" i="23" s="1"/>
  <c r="D2369" i="23" s="1"/>
  <c r="D2370" i="23" s="1"/>
  <c r="D1683" i="23"/>
  <c r="H543" i="23"/>
  <c r="H2276" i="23"/>
  <c r="H1738" i="23"/>
  <c r="H175" i="23"/>
  <c r="H191" i="23" s="1"/>
  <c r="H1731" i="23"/>
  <c r="H1749" i="23"/>
  <c r="H474" i="23"/>
  <c r="I474" i="23" s="1"/>
  <c r="A474" i="23" s="1"/>
  <c r="H1038" i="23"/>
  <c r="I1038" i="23" s="1"/>
  <c r="A1038" i="23" s="1"/>
  <c r="H563" i="23"/>
  <c r="H2206" i="23"/>
  <c r="H2292" i="23"/>
  <c r="H1739" i="23"/>
  <c r="H2878" i="23"/>
  <c r="H2879"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874" i="23"/>
  <c r="H1705" i="23"/>
  <c r="H562" i="23"/>
  <c r="H1694" i="23"/>
  <c r="H1695" i="23" s="1"/>
  <c r="H1741" i="23"/>
  <c r="H1030" i="23"/>
  <c r="I1030" i="23" s="1"/>
  <c r="A1030" i="23" s="1"/>
  <c r="H2827" i="23"/>
  <c r="H2826" i="23" s="1"/>
  <c r="H2834" i="23"/>
  <c r="H1822" i="23"/>
  <c r="H1039" i="23"/>
  <c r="I1039" i="23" s="1"/>
  <c r="A1039" i="23" s="1"/>
  <c r="H1750" i="23"/>
  <c r="H1754" i="23"/>
  <c r="H1755" i="23"/>
  <c r="H1040" i="23"/>
  <c r="I1040" i="23" s="1"/>
  <c r="A1040" i="23" s="1"/>
  <c r="H1736" i="23"/>
  <c r="H2176" i="23"/>
  <c r="H2178" i="23" s="1"/>
  <c r="H1684" i="23"/>
  <c r="H2253" i="23"/>
  <c r="H2814" i="23"/>
  <c r="H2815"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822" i="23"/>
  <c r="F2830" i="23" s="1"/>
  <c r="H2823" i="23"/>
  <c r="D1693" i="23"/>
  <c r="D1701" i="23" s="1"/>
  <c r="D1711" i="23" s="1"/>
  <c r="D1720" i="23" s="1"/>
  <c r="D1727" i="23" s="1"/>
  <c r="D1734" i="23" s="1"/>
  <c r="D1743" i="23" s="1"/>
  <c r="D1751" i="23" s="1"/>
  <c r="D1760" i="23" s="1"/>
  <c r="D1780" i="23" s="1"/>
  <c r="D1786" i="23" s="1"/>
  <c r="D1792" i="23" s="1"/>
  <c r="D1797" i="23" s="1"/>
  <c r="H1759" i="23"/>
  <c r="H560" i="23"/>
  <c r="H618" i="23"/>
  <c r="H2816" i="23"/>
  <c r="H565" i="23"/>
  <c r="H567" i="23" s="1"/>
  <c r="H2172" i="23"/>
  <c r="H2290" i="23"/>
  <c r="H2302" i="23" s="1"/>
  <c r="H1737" i="23"/>
  <c r="H344" i="23"/>
  <c r="I273" i="23"/>
  <c r="A273" i="23" s="1"/>
  <c r="H300" i="23"/>
  <c r="I300" i="23" s="1"/>
  <c r="A300" i="23" s="1"/>
  <c r="I298" i="23"/>
  <c r="A298" i="23" s="1"/>
  <c r="I1453" i="23"/>
  <c r="A1453" i="23" s="1"/>
  <c r="B181" i="31"/>
  <c r="E1757" i="1"/>
  <c r="G100" i="35"/>
  <c r="T1751" i="1"/>
  <c r="K229" i="97"/>
  <c r="K126" i="97"/>
  <c r="K203" i="97"/>
  <c r="K152" i="97"/>
  <c r="K220" i="97"/>
  <c r="K27" i="97"/>
  <c r="K57" i="97"/>
  <c r="K35" i="97"/>
  <c r="K113" i="97"/>
  <c r="K241" i="97"/>
  <c r="K121" i="97"/>
  <c r="K70" i="97"/>
  <c r="K129" i="97"/>
  <c r="K44" i="97"/>
  <c r="K55" i="97"/>
  <c r="K3" i="97"/>
  <c r="K184" i="97"/>
  <c r="K224" i="97"/>
  <c r="K170" i="97"/>
  <c r="K176" i="97"/>
  <c r="K5" i="97"/>
  <c r="K45" i="97"/>
  <c r="K48" i="97"/>
  <c r="K172" i="97"/>
  <c r="K244" i="97"/>
  <c r="K4" i="97"/>
  <c r="K195" i="97"/>
  <c r="K222" i="97"/>
  <c r="K240" i="97"/>
  <c r="K233" i="97"/>
  <c r="K54" i="97"/>
  <c r="K53" i="97"/>
  <c r="K177" i="97"/>
  <c r="K237" i="97"/>
  <c r="K122" i="97"/>
  <c r="K107" i="97"/>
  <c r="K159" i="97"/>
  <c r="K232" i="97"/>
  <c r="K10" i="97"/>
  <c r="K104" i="97"/>
  <c r="K32" i="97"/>
  <c r="K39" i="97"/>
  <c r="K217" i="97"/>
  <c r="K131" i="97"/>
  <c r="K227" i="97"/>
  <c r="K194" i="97"/>
  <c r="D36" i="113"/>
  <c r="C250" i="115" s="1"/>
  <c r="H2170" i="23"/>
  <c r="H2171" i="23"/>
  <c r="H2265" i="23"/>
  <c r="H2271" i="23" s="1"/>
  <c r="H2281" i="23"/>
  <c r="H2278" i="23"/>
  <c r="H2286" i="23" s="1"/>
  <c r="K218" i="97"/>
  <c r="K191" i="97"/>
  <c r="K243" i="97"/>
  <c r="K173" i="97"/>
  <c r="K186" i="97"/>
  <c r="K207" i="97"/>
  <c r="H2432" i="23"/>
  <c r="H2282" i="23"/>
  <c r="H303" i="23"/>
  <c r="H306" i="23" s="1"/>
  <c r="I306" i="23" s="1"/>
  <c r="A306" i="23" s="1"/>
  <c r="H1277" i="23"/>
  <c r="H2197" i="23"/>
  <c r="H2194" i="23"/>
  <c r="K125" i="97"/>
  <c r="K216" i="97"/>
  <c r="K103" i="97"/>
  <c r="K29" i="97"/>
  <c r="K79" i="97"/>
  <c r="K52" i="97"/>
  <c r="H1326" i="23"/>
  <c r="D26" i="23"/>
  <c r="H2195" i="23"/>
  <c r="H1501" i="23"/>
  <c r="I1497" i="23"/>
  <c r="A1497" i="23" s="1"/>
  <c r="D33" i="113"/>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D37" i="113"/>
  <c r="C251" i="115" s="1"/>
  <c r="H1540" i="23"/>
  <c r="I1523" i="23"/>
  <c r="A1523" i="23" s="1"/>
  <c r="I111" i="23"/>
  <c r="A111" i="23" s="1"/>
  <c r="D1927" i="1"/>
  <c r="D152" i="97" s="1"/>
  <c r="P2025" i="1"/>
  <c r="H2423" i="23"/>
  <c r="H2424" i="23"/>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55" i="1"/>
  <c r="P1655" i="1" s="1"/>
  <c r="C1655" i="1" s="1"/>
  <c r="H1636" i="1"/>
  <c r="P1636" i="1" s="1"/>
  <c r="C1636" i="1" s="1"/>
  <c r="L1958" i="1"/>
  <c r="G78" i="33"/>
  <c r="H2158" i="1"/>
  <c r="P2158" i="1" s="1"/>
  <c r="C2158" i="1" s="1"/>
  <c r="I1658" i="1"/>
  <c r="G137" i="33"/>
  <c r="B132" i="33"/>
  <c r="I1680" i="1"/>
  <c r="D1758" i="1"/>
  <c r="D15" i="97" s="1"/>
  <c r="I1640" i="1"/>
  <c r="G280" i="42"/>
  <c r="G130" i="33"/>
  <c r="H1578" i="1"/>
  <c r="P1578" i="1" s="1"/>
  <c r="C1578" i="1" s="1"/>
  <c r="E178" i="31"/>
  <c r="G178" i="31" s="1"/>
  <c r="J1578" i="1"/>
  <c r="E294" i="42"/>
  <c r="I1635" i="1"/>
  <c r="H1523" i="1"/>
  <c r="P1523" i="1" s="1"/>
  <c r="C1523" i="1" s="1"/>
  <c r="GP184" i="16"/>
  <c r="F9" i="108"/>
  <c r="D99" i="115" s="1"/>
  <c r="C99" i="115" s="1"/>
  <c r="D1525" i="1"/>
  <c r="CN184" i="16"/>
  <c r="CQ184" i="16"/>
  <c r="M2157" i="1"/>
  <c r="D1614" i="1"/>
  <c r="H1614" i="1" s="1"/>
  <c r="P1614" i="1" s="1"/>
  <c r="C1614" i="1" s="1"/>
  <c r="D2060" i="1"/>
  <c r="D2053" i="1" s="1"/>
  <c r="C2053" i="1" s="1"/>
  <c r="D2143" i="1"/>
  <c r="G41" i="31"/>
  <c r="B41" i="31"/>
  <c r="G22" i="31"/>
  <c r="B22" i="31"/>
  <c r="BG184" i="16"/>
  <c r="CZ184" i="16"/>
  <c r="G73" i="31"/>
  <c r="B73" i="31"/>
  <c r="G101" i="42"/>
  <c r="B101" i="42"/>
  <c r="B67" i="31"/>
  <c r="G67" i="31"/>
  <c r="B26" i="33"/>
  <c r="G26" i="33"/>
  <c r="J1569" i="1"/>
  <c r="H1569" i="1"/>
  <c r="P1569" i="1" s="1"/>
  <c r="C1569" i="1" s="1"/>
  <c r="G56" i="33"/>
  <c r="B56" i="33"/>
  <c r="G89" i="31"/>
  <c r="B89" i="31"/>
  <c r="B97" i="42"/>
  <c r="G97" i="42"/>
  <c r="EF184" i="16"/>
  <c r="D2247" i="1" s="1"/>
  <c r="J2247" i="1" s="1"/>
  <c r="BE184" i="16"/>
  <c r="DE184" i="16"/>
  <c r="G65" i="35"/>
  <c r="B65" i="35"/>
  <c r="G25" i="35"/>
  <c r="B25" i="35"/>
  <c r="G57" i="31"/>
  <c r="B57" i="31"/>
  <c r="GQ184" i="16"/>
  <c r="G133" i="35"/>
  <c r="DF184" i="16"/>
  <c r="D1526" i="1" s="1"/>
  <c r="E1500" i="1"/>
  <c r="P199" i="16"/>
  <c r="G80" i="31"/>
  <c r="B80" i="31"/>
  <c r="B42" i="33"/>
  <c r="G42" i="33"/>
  <c r="B20" i="35"/>
  <c r="G20" i="35"/>
  <c r="B103" i="31"/>
  <c r="G103" i="31"/>
  <c r="E102" i="33"/>
  <c r="G102" i="33" s="1"/>
  <c r="I1661" i="1"/>
  <c r="B284" i="42"/>
  <c r="B95" i="35"/>
  <c r="H1665" i="1"/>
  <c r="P1665" i="1" s="1"/>
  <c r="C1665" i="1" s="1"/>
  <c r="B132" i="31"/>
  <c r="G131" i="35"/>
  <c r="D2130" i="1"/>
  <c r="J1510" i="1"/>
  <c r="J1586" i="1"/>
  <c r="E186" i="31"/>
  <c r="B186" i="31" s="1"/>
  <c r="H1586" i="1"/>
  <c r="P1586" i="1" s="1"/>
  <c r="C1586" i="1" s="1"/>
  <c r="J1577" i="1"/>
  <c r="E177" i="31"/>
  <c r="H1577" i="1"/>
  <c r="P1577" i="1" s="1"/>
  <c r="C1577" i="1" s="1"/>
  <c r="D1531" i="1"/>
  <c r="H1530" i="1"/>
  <c r="P1530" i="1" s="1"/>
  <c r="C1530" i="1" s="1"/>
  <c r="D1532" i="1"/>
  <c r="J1530" i="1"/>
  <c r="D1533" i="1"/>
  <c r="J1533"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082" i="1"/>
  <c r="H2082" i="1"/>
  <c r="P2082" i="1" s="1"/>
  <c r="C2082" i="1" s="1"/>
  <c r="BI184" i="16"/>
  <c r="B54" i="42"/>
  <c r="G54" i="42"/>
  <c r="B50" i="35"/>
  <c r="G50" i="35"/>
  <c r="D49" i="115"/>
  <c r="D33" i="115"/>
  <c r="E6" i="108"/>
  <c r="F17" i="108"/>
  <c r="D107" i="115" s="1"/>
  <c r="C107" i="115" s="1"/>
  <c r="B185" i="31"/>
  <c r="N2076" i="1"/>
  <c r="H2076" i="1"/>
  <c r="P2076" i="1" s="1"/>
  <c r="C2076"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43" i="1"/>
  <c r="D1571" i="1"/>
  <c r="DR184" i="16"/>
  <c r="B31" i="31"/>
  <c r="G31" i="31"/>
  <c r="D2148" i="1"/>
  <c r="H2110" i="1"/>
  <c r="P2110" i="1" s="1"/>
  <c r="C2110" i="1" s="1"/>
  <c r="N2110"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45"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P1937" i="1"/>
  <c r="B43" i="33"/>
  <c r="G43" i="33"/>
  <c r="H1573" i="1"/>
  <c r="P1573" i="1" s="1"/>
  <c r="C1573"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05" i="1"/>
  <c r="P2305" i="1" s="1"/>
  <c r="C2305" i="1" s="1"/>
  <c r="H176" i="23"/>
  <c r="H887" i="23"/>
  <c r="I1642" i="1"/>
  <c r="P1938"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11" i="1"/>
  <c r="H2111" i="1"/>
  <c r="P2111" i="1" s="1"/>
  <c r="C2111" i="1" s="1"/>
  <c r="G29" i="33"/>
  <c r="B29" i="33"/>
  <c r="G44" i="42"/>
  <c r="B44" i="42"/>
  <c r="G16" i="33"/>
  <c r="B16" i="33"/>
  <c r="B54" i="34"/>
  <c r="G54" i="34"/>
  <c r="G82" i="34"/>
  <c r="G283" i="42"/>
  <c r="G152" i="31"/>
  <c r="E126" i="31"/>
  <c r="B115" i="35"/>
  <c r="G113" i="31"/>
  <c r="B125" i="31"/>
  <c r="B90" i="35"/>
  <c r="B85" i="34"/>
  <c r="E114" i="31"/>
  <c r="G114" i="31" s="1"/>
  <c r="J1592" i="1"/>
  <c r="N2058" i="1"/>
  <c r="B84" i="33"/>
  <c r="B112" i="31"/>
  <c r="E139" i="31"/>
  <c r="G139" i="31" s="1"/>
  <c r="B88" i="35"/>
  <c r="K8" i="97"/>
  <c r="P1929" i="1"/>
  <c r="P2267" i="1"/>
  <c r="I168" i="97" s="1"/>
  <c r="G137" i="31"/>
  <c r="D1902" i="23"/>
  <c r="D1916" i="23"/>
  <c r="D1924" i="23" s="1"/>
  <c r="D1934" i="23" s="1"/>
  <c r="H262" i="23"/>
  <c r="H264" i="23"/>
  <c r="H259" i="23"/>
  <c r="H275" i="23"/>
  <c r="H254" i="23"/>
  <c r="H256" i="23" s="1"/>
  <c r="H252" i="23"/>
  <c r="H2032" i="23"/>
  <c r="H253" i="23"/>
  <c r="H251" i="23"/>
  <c r="H261" i="23"/>
  <c r="H2391" i="23"/>
  <c r="D273" i="23"/>
  <c r="D106" i="23"/>
  <c r="H2483" i="23"/>
  <c r="H2484" i="23" s="1"/>
  <c r="D2378" i="23"/>
  <c r="H1536" i="23"/>
  <c r="H2503" i="23"/>
  <c r="H2505" i="23" s="1"/>
  <c r="I1476" i="23"/>
  <c r="A1476" i="23" s="1"/>
  <c r="H2469" i="23"/>
  <c r="H2475" i="23" s="1"/>
  <c r="H2482" i="23"/>
  <c r="H836" i="23"/>
  <c r="H837" i="23"/>
  <c r="H1592" i="1"/>
  <c r="P1592" i="1" s="1"/>
  <c r="C1592" i="1" s="1"/>
  <c r="G193" i="31"/>
  <c r="H1493" i="1"/>
  <c r="P1493" i="1" s="1"/>
  <c r="C1493" i="1" s="1"/>
  <c r="B190" i="31"/>
  <c r="H1593" i="1"/>
  <c r="P1593" i="1" s="1"/>
  <c r="C1593" i="1" s="1"/>
  <c r="J1593" i="1"/>
  <c r="I1716" i="1"/>
  <c r="M2175" i="1"/>
  <c r="J1504"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A180" i="23" s="1"/>
  <c r="H185" i="23"/>
  <c r="I184" i="23"/>
  <c r="A184" i="23" s="1"/>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81" i="1"/>
  <c r="P785" i="1"/>
  <c r="P780" i="1"/>
  <c r="P782" i="1"/>
  <c r="P783" i="1"/>
  <c r="P784" i="1"/>
  <c r="D833" i="23"/>
  <c r="H876" i="23"/>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I1013" i="23"/>
  <c r="A1013" i="23" s="1"/>
  <c r="H2431" i="23"/>
  <c r="H2485" i="23"/>
  <c r="D624" i="23"/>
  <c r="H637" i="23"/>
  <c r="H642" i="23" s="1"/>
  <c r="H1991" i="23"/>
  <c r="H1992" i="23" s="1"/>
  <c r="I1158" i="23"/>
  <c r="A1158" i="23" s="1"/>
  <c r="H1348" i="23"/>
  <c r="H2457" i="23"/>
  <c r="H2456" i="23"/>
  <c r="H2481" i="23"/>
  <c r="H2488" i="23" s="1"/>
  <c r="H1290" i="23"/>
  <c r="H50" i="23"/>
  <c r="H1530" i="23"/>
  <c r="H1145" i="23"/>
  <c r="I1145" i="23" s="1"/>
  <c r="A1145" i="23" s="1"/>
  <c r="H581" i="23"/>
  <c r="H582" i="23" s="1"/>
  <c r="H1285"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59" i="1"/>
  <c r="P1959" i="1" s="1"/>
  <c r="C1959" i="1" s="1"/>
  <c r="B120" i="35"/>
  <c r="H1646" i="1"/>
  <c r="P1646" i="1" s="1"/>
  <c r="C1646" i="1" s="1"/>
  <c r="E221" i="42"/>
  <c r="G221" i="42" s="1"/>
  <c r="E216" i="42"/>
  <c r="G216" i="42" s="1"/>
  <c r="J1497" i="1"/>
  <c r="H2055" i="1"/>
  <c r="P2055" i="1" s="1"/>
  <c r="C2055" i="1" s="1"/>
  <c r="H1634" i="1"/>
  <c r="P1634" i="1" s="1"/>
  <c r="C1634" i="1" s="1"/>
  <c r="G192" i="31"/>
  <c r="H1632" i="1"/>
  <c r="P1632" i="1" s="1"/>
  <c r="C1632" i="1" s="1"/>
  <c r="H1638" i="1"/>
  <c r="P1638" i="1" s="1"/>
  <c r="C1638" i="1" s="1"/>
  <c r="D2188" i="1"/>
  <c r="P1795" i="1"/>
  <c r="I167" i="97" s="1"/>
  <c r="H1796" i="1"/>
  <c r="H8" i="97" s="1"/>
  <c r="H1797" i="1"/>
  <c r="H79" i="97" s="1"/>
  <c r="O1796" i="1"/>
  <c r="O1797" i="1"/>
  <c r="B93" i="35"/>
  <c r="H1976" i="1"/>
  <c r="P1976" i="1" s="1"/>
  <c r="C1976" i="1" s="1"/>
  <c r="B137" i="31"/>
  <c r="E107" i="33"/>
  <c r="G107" i="33" s="1"/>
  <c r="L783" i="1"/>
  <c r="L787" i="1"/>
  <c r="L780" i="1"/>
  <c r="L782" i="1"/>
  <c r="L786" i="1"/>
  <c r="L781" i="1"/>
  <c r="L785" i="1"/>
  <c r="L784" i="1"/>
  <c r="L788" i="1"/>
  <c r="B113" i="35"/>
  <c r="K782" i="1"/>
  <c r="K786" i="1"/>
  <c r="K788" i="1"/>
  <c r="K781" i="1"/>
  <c r="K785" i="1"/>
  <c r="K780" i="1"/>
  <c r="K784" i="1"/>
  <c r="K783" i="1"/>
  <c r="K787" i="1"/>
  <c r="D2230" i="1"/>
  <c r="H2230" i="1" s="1"/>
  <c r="P2230" i="1" s="1"/>
  <c r="C2230" i="1" s="1"/>
  <c r="G75" i="35"/>
  <c r="B75" i="35"/>
  <c r="G86" i="35"/>
  <c r="G95" i="31"/>
  <c r="B111" i="31"/>
  <c r="G111" i="31"/>
  <c r="B131" i="42"/>
  <c r="G131" i="42"/>
  <c r="B76" i="35"/>
  <c r="G76" i="35"/>
  <c r="B123" i="35"/>
  <c r="G123" i="35"/>
  <c r="E130" i="31"/>
  <c r="G129" i="31"/>
  <c r="C2034"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1989" i="23"/>
  <c r="D944" i="23"/>
  <c r="D945" i="23" s="1"/>
  <c r="H1334" i="23"/>
  <c r="H1336" i="23" s="1"/>
  <c r="D823" i="23"/>
  <c r="H1994" i="23"/>
  <c r="I1477" i="23"/>
  <c r="A1477" i="23" s="1"/>
  <c r="I1478" i="23"/>
  <c r="A1478" i="23" s="1"/>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1" i="23"/>
  <c r="H2441" i="23"/>
  <c r="H714" i="23"/>
  <c r="H722" i="23" s="1"/>
  <c r="H2028" i="23"/>
  <c r="H38" i="23"/>
  <c r="H39" i="23" s="1"/>
  <c r="H859" i="23"/>
  <c r="H1929" i="23"/>
  <c r="H1933" i="23" s="1"/>
  <c r="H94" i="23"/>
  <c r="H1567" i="23"/>
  <c r="I1567" i="23" s="1"/>
  <c r="A1567" i="23" s="1"/>
  <c r="H2006" i="23"/>
  <c r="H1903" i="23"/>
  <c r="H977" i="23"/>
  <c r="I977" i="23" s="1"/>
  <c r="A977" i="23" s="1"/>
  <c r="H71" i="23"/>
  <c r="H579" i="23"/>
  <c r="H850" i="23"/>
  <c r="H1518" i="23"/>
  <c r="I1518" i="23" s="1"/>
  <c r="A1518" i="23" s="1"/>
  <c r="H1519" i="23"/>
  <c r="I1519" i="23" s="1"/>
  <c r="A1519" i="23" s="1"/>
  <c r="H1521" i="23"/>
  <c r="I1521" i="23" s="1"/>
  <c r="A1521" i="23" s="1"/>
  <c r="I838" i="23"/>
  <c r="A838" i="23" s="1"/>
  <c r="H881" i="23"/>
  <c r="H2009" i="23"/>
  <c r="H1504" i="23"/>
  <c r="I1504" i="23" s="1"/>
  <c r="A1504" i="23" s="1"/>
  <c r="H1584" i="23"/>
  <c r="I1584" i="23" s="1"/>
  <c r="A1584" i="23" s="1"/>
  <c r="H839" i="23"/>
  <c r="H841" i="23" s="1"/>
  <c r="H1586" i="23"/>
  <c r="H974" i="23"/>
  <c r="I974" i="23" s="1"/>
  <c r="A974" i="23" s="1"/>
  <c r="H1573" i="23"/>
  <c r="I1573" i="23" s="1"/>
  <c r="A1573" i="23" s="1"/>
  <c r="H1483" i="23"/>
  <c r="H1479" i="23"/>
  <c r="H2379" i="23"/>
  <c r="H2383" i="23"/>
  <c r="H2044" i="23"/>
  <c r="H2045" i="23" s="1"/>
  <c r="H2053" i="23" s="1"/>
  <c r="H2008" i="23"/>
  <c r="H2449" i="23"/>
  <c r="H2450" i="23" s="1"/>
  <c r="H2440" i="23"/>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2026" i="23"/>
  <c r="H2030" i="23" s="1"/>
  <c r="H2439" i="23"/>
  <c r="H2452" i="23"/>
  <c r="H1505" i="23"/>
  <c r="I1505" i="23" s="1"/>
  <c r="A1505" i="23" s="1"/>
  <c r="H1510" i="23"/>
  <c r="I1510" i="23" s="1"/>
  <c r="A1510" i="23" s="1"/>
  <c r="H2029" i="23"/>
  <c r="H2446" i="23"/>
  <c r="I833" i="23"/>
  <c r="A833" i="23" s="1"/>
  <c r="H973" i="23"/>
  <c r="I973" i="23" s="1"/>
  <c r="A973" i="23" s="1"/>
  <c r="D466" i="23"/>
  <c r="D471" i="23" s="1"/>
  <c r="D477"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41" i="1"/>
  <c r="H1978" i="1"/>
  <c r="L1978" i="1" s="1"/>
  <c r="P1981" i="1"/>
  <c r="F79" i="33"/>
  <c r="H1984" i="1"/>
  <c r="L1984" i="1" s="1"/>
  <c r="H1963" i="1"/>
  <c r="E99" i="33"/>
  <c r="G99" i="33" s="1"/>
  <c r="P1962" i="1"/>
  <c r="P1977" i="1"/>
  <c r="E516" i="23"/>
  <c r="H1117" i="23"/>
  <c r="I1117" i="23" s="1"/>
  <c r="A1117" i="23" s="1"/>
  <c r="H2262" i="23"/>
  <c r="H398" i="23"/>
  <c r="H27" i="23"/>
  <c r="H97" i="23"/>
  <c r="H84" i="23"/>
  <c r="H1118" i="23"/>
  <c r="I1118" i="23" s="1"/>
  <c r="A1118" i="23" s="1"/>
  <c r="I151" i="23"/>
  <c r="A151" i="23" s="1"/>
  <c r="H576" i="23"/>
  <c r="H93" i="23"/>
  <c r="H92" i="23"/>
  <c r="I140" i="23"/>
  <c r="A140" i="23" s="1"/>
  <c r="H412" i="23"/>
  <c r="H418" i="23" s="1"/>
  <c r="H420" i="23" s="1"/>
  <c r="H426" i="23" s="1"/>
  <c r="D2779"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52"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498" i="23"/>
  <c r="H2497"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H489" i="23"/>
  <c r="I483" i="23"/>
  <c r="A483" i="23" s="1"/>
  <c r="I482" i="23"/>
  <c r="A482" i="23" s="1"/>
  <c r="I528" i="23"/>
  <c r="A528" i="23" s="1"/>
  <c r="I519" i="23"/>
  <c r="A519" i="23" s="1"/>
  <c r="H526" i="23"/>
  <c r="H1847" i="23"/>
  <c r="H1848" i="23"/>
  <c r="H1849" i="23"/>
  <c r="H1850" i="23" s="1"/>
  <c r="G87" i="35"/>
  <c r="B87" i="35"/>
  <c r="B290" i="42"/>
  <c r="G290" i="42"/>
  <c r="G130" i="35"/>
  <c r="B116" i="42"/>
  <c r="G116" i="42"/>
  <c r="I1664" i="1"/>
  <c r="H1664" i="1"/>
  <c r="P1664" i="1" s="1"/>
  <c r="C1664" i="1" s="1"/>
  <c r="B126" i="33"/>
  <c r="G126" i="33"/>
  <c r="G111" i="35"/>
  <c r="B111" i="35"/>
  <c r="G106" i="35"/>
  <c r="B106" i="35"/>
  <c r="G84" i="35"/>
  <c r="B84" i="35"/>
  <c r="J1495" i="1"/>
  <c r="H1495" i="1"/>
  <c r="P1495" i="1" s="1"/>
  <c r="C1495" i="1" s="1"/>
  <c r="B101" i="31"/>
  <c r="G101" i="31"/>
  <c r="G159" i="42"/>
  <c r="G160" i="42" s="1"/>
  <c r="G161" i="42" s="1"/>
  <c r="G162" i="42" s="1"/>
  <c r="B159" i="42"/>
  <c r="H1678" i="1"/>
  <c r="P1678" i="1" s="1"/>
  <c r="C1678" i="1" s="1"/>
  <c r="I1678" i="1"/>
  <c r="H1679" i="1"/>
  <c r="P1679" i="1" s="1"/>
  <c r="C1679" i="1" s="1"/>
  <c r="I1679" i="1"/>
  <c r="H1502" i="1"/>
  <c r="P1502" i="1" s="1"/>
  <c r="C1502" i="1" s="1"/>
  <c r="J1502" i="1"/>
  <c r="H1591" i="1"/>
  <c r="P1591" i="1" s="1"/>
  <c r="C1591" i="1" s="1"/>
  <c r="E191" i="31"/>
  <c r="J1591"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90" i="1"/>
  <c r="P1690" i="1" s="1"/>
  <c r="C1690" i="1" s="1"/>
  <c r="I1690"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23" i="1"/>
  <c r="P1723" i="1" s="1"/>
  <c r="C1723" i="1" s="1"/>
  <c r="I1723" i="1"/>
  <c r="G81" i="33"/>
  <c r="E85" i="33"/>
  <c r="G85" i="33" s="1"/>
  <c r="G135" i="33"/>
  <c r="K1993" i="1"/>
  <c r="H1975" i="1"/>
  <c r="P1975" i="1" s="1"/>
  <c r="C1975" i="1" s="1"/>
  <c r="D2" i="18"/>
  <c r="B93" i="33"/>
  <c r="H376" i="1"/>
  <c r="C376" i="1" s="1"/>
  <c r="B139" i="33"/>
  <c r="E103" i="33"/>
  <c r="G103" i="33" s="1"/>
  <c r="L29" i="1"/>
  <c r="E113" i="33"/>
  <c r="G113" i="33" s="1"/>
  <c r="P1993" i="1"/>
  <c r="C1993" i="1" s="1"/>
  <c r="E112" i="33"/>
  <c r="G112" i="33" s="1"/>
  <c r="G110" i="33"/>
  <c r="D3" i="18"/>
  <c r="P1988" i="1"/>
  <c r="C1988" i="1" s="1"/>
  <c r="L1994" i="1"/>
  <c r="B104" i="33"/>
  <c r="F80" i="33"/>
  <c r="D1961" i="1"/>
  <c r="D2039" i="1"/>
  <c r="H1979" i="1"/>
  <c r="E98" i="33"/>
  <c r="G98" i="33" s="1"/>
  <c r="H152" i="1"/>
  <c r="H154" i="1" s="1"/>
  <c r="C154" i="1" s="1"/>
  <c r="D2045" i="1"/>
  <c r="E82" i="33"/>
  <c r="G82" i="33" s="1"/>
  <c r="L675" i="1"/>
  <c r="D1960" i="1"/>
  <c r="H1960" i="1" s="1"/>
  <c r="D2037" i="1"/>
  <c r="P2014" i="1"/>
  <c r="C2014" i="1" s="1"/>
  <c r="L249" i="1"/>
  <c r="L250" i="1"/>
  <c r="G131" i="33"/>
  <c r="B131" i="33"/>
  <c r="H1967" i="1"/>
  <c r="P1967" i="1" s="1"/>
  <c r="C1967" i="1" s="1"/>
  <c r="L414" i="1"/>
  <c r="L415" i="1"/>
  <c r="L1447" i="1"/>
  <c r="L1449" i="1"/>
  <c r="L1448" i="1"/>
  <c r="L54" i="1"/>
  <c r="L55" i="1"/>
  <c r="L329" i="1"/>
  <c r="L328" i="1"/>
  <c r="L327" i="1"/>
  <c r="K1771" i="1"/>
  <c r="L852" i="1"/>
  <c r="L851" i="1"/>
  <c r="L1983" i="1"/>
  <c r="P1983" i="1"/>
  <c r="L1130" i="1"/>
  <c r="L1129" i="1"/>
  <c r="L1132" i="1"/>
  <c r="L1128" i="1"/>
  <c r="L1133" i="1"/>
  <c r="L1131" i="1"/>
  <c r="L1036" i="1"/>
  <c r="L1035" i="1"/>
  <c r="L1037" i="1"/>
  <c r="L1038" i="1"/>
  <c r="G138" i="33"/>
  <c r="B138" i="33"/>
  <c r="P2015" i="1"/>
  <c r="C2015" i="1" s="1"/>
  <c r="L659" i="1"/>
  <c r="L657" i="1"/>
  <c r="L658" i="1"/>
  <c r="B141" i="33"/>
  <c r="G141" i="33"/>
  <c r="L97" i="1"/>
  <c r="L95" i="1"/>
  <c r="L76" i="1"/>
  <c r="L77" i="1"/>
  <c r="L96" i="1"/>
  <c r="L94" i="1"/>
  <c r="L80" i="1"/>
  <c r="L78" i="1"/>
  <c r="L93" i="1"/>
  <c r="L79" i="1"/>
  <c r="L1160" i="1"/>
  <c r="L1162" i="1"/>
  <c r="L1161" i="1"/>
  <c r="L1165" i="1"/>
  <c r="L1166" i="1"/>
  <c r="B134" i="33"/>
  <c r="G134" i="33"/>
  <c r="L144" i="1"/>
  <c r="L143" i="1"/>
  <c r="E87" i="33"/>
  <c r="G87" i="33" s="1"/>
  <c r="H1968" i="1"/>
  <c r="H841" i="1"/>
  <c r="H847" i="1" s="1"/>
  <c r="C847" i="1" s="1"/>
  <c r="L216" i="1"/>
  <c r="L215" i="1"/>
  <c r="L214" i="1"/>
  <c r="L167" i="1"/>
  <c r="L19" i="1"/>
  <c r="L227" i="1"/>
  <c r="L259" i="1"/>
  <c r="L154" i="1"/>
  <c r="L30" i="1"/>
  <c r="L56" i="1"/>
  <c r="L246" i="1"/>
  <c r="L310" i="1"/>
  <c r="L145" i="1"/>
  <c r="L237" i="1"/>
  <c r="L498" i="1"/>
  <c r="L424" i="1"/>
  <c r="L488" i="1"/>
  <c r="L20" i="1"/>
  <c r="L411" i="1"/>
  <c r="L1082" i="1"/>
  <c r="L1083" i="1"/>
  <c r="L1404" i="1"/>
  <c r="L1405" i="1"/>
  <c r="L308" i="1"/>
  <c r="L303" i="1"/>
  <c r="L309" i="1"/>
  <c r="L304" i="1"/>
  <c r="D2040" i="1"/>
  <c r="H1982" i="1"/>
  <c r="E101" i="33"/>
  <c r="G101" i="33" s="1"/>
  <c r="L686" i="1"/>
  <c r="L669" i="1"/>
  <c r="L679" i="1"/>
  <c r="L667" i="1"/>
  <c r="L688" i="1"/>
  <c r="L685" i="1"/>
  <c r="L668" i="1"/>
  <c r="L689" i="1"/>
  <c r="L690" i="1"/>
  <c r="L678" i="1"/>
  <c r="L677" i="1"/>
  <c r="L687" i="1"/>
  <c r="L676" i="1"/>
  <c r="L691" i="1"/>
  <c r="L680" i="1"/>
  <c r="L1484" i="1"/>
  <c r="L1483" i="1"/>
  <c r="L1485" i="1"/>
  <c r="L1246" i="1"/>
  <c r="L1243" i="1"/>
  <c r="L1248" i="1"/>
  <c r="L1240" i="1"/>
  <c r="L1245" i="1"/>
  <c r="L1241" i="1"/>
  <c r="L1242" i="1"/>
  <c r="L1247" i="1"/>
  <c r="L1244" i="1"/>
  <c r="L165" i="1"/>
  <c r="L166" i="1"/>
  <c r="L937" i="1"/>
  <c r="L938" i="1"/>
  <c r="L935" i="1"/>
  <c r="L936" i="1"/>
  <c r="L845" i="1"/>
  <c r="L832" i="1"/>
  <c r="L835" i="1"/>
  <c r="L831" i="1"/>
  <c r="L836" i="1"/>
  <c r="L842" i="1"/>
  <c r="L844" i="1"/>
  <c r="L843" i="1"/>
  <c r="H2050" i="1"/>
  <c r="P2050" i="1" s="1"/>
  <c r="C2050" i="1" s="1"/>
  <c r="D2049" i="1"/>
  <c r="H2049" i="1" s="1"/>
  <c r="P2049" i="1" s="1"/>
  <c r="C2049" i="1" s="1"/>
  <c r="L474" i="1"/>
  <c r="L475" i="1"/>
  <c r="L477" i="1"/>
  <c r="L476" i="1"/>
  <c r="L135" i="1"/>
  <c r="L136" i="1"/>
  <c r="L1277" i="1"/>
  <c r="L1274" i="1"/>
  <c r="L1271" i="1"/>
  <c r="L1268" i="1"/>
  <c r="L1276" i="1"/>
  <c r="L1272" i="1"/>
  <c r="L1273" i="1"/>
  <c r="L1270" i="1"/>
  <c r="L1275" i="1"/>
  <c r="D1518" i="1"/>
  <c r="D1516" i="1"/>
  <c r="J1514" i="1"/>
  <c r="H1514" i="1"/>
  <c r="P1514" i="1" s="1"/>
  <c r="C1514" i="1" s="1"/>
  <c r="D1515" i="1"/>
  <c r="L1392" i="1"/>
  <c r="L1395" i="1"/>
  <c r="L1399" i="1"/>
  <c r="L1394" i="1"/>
  <c r="L1396" i="1"/>
  <c r="L1398" i="1"/>
  <c r="L1397" i="1"/>
  <c r="L1393" i="1"/>
  <c r="L1357" i="1"/>
  <c r="L1358" i="1"/>
  <c r="L1269" i="1"/>
  <c r="L1359" i="1"/>
  <c r="L1354" i="1"/>
  <c r="L1355" i="1"/>
  <c r="L1360" i="1"/>
  <c r="L1311" i="1"/>
  <c r="L1361" i="1"/>
  <c r="L1356" i="1"/>
  <c r="L1353" i="1"/>
  <c r="L1362" i="1"/>
  <c r="L47" i="1"/>
  <c r="L46" i="1"/>
  <c r="L190" i="1"/>
  <c r="L189" i="1"/>
  <c r="L1055" i="1"/>
  <c r="L1057" i="1"/>
  <c r="L1054" i="1"/>
  <c r="L1058" i="1"/>
  <c r="L1056" i="1"/>
  <c r="H53" i="1"/>
  <c r="K55" i="1"/>
  <c r="K54" i="1"/>
  <c r="H283" i="1"/>
  <c r="K285" i="1"/>
  <c r="K284" i="1"/>
  <c r="H1323" i="1"/>
  <c r="K1331" i="1"/>
  <c r="K1332" i="1"/>
  <c r="K1327" i="1"/>
  <c r="K1328" i="1"/>
  <c r="K1325" i="1"/>
  <c r="K1326" i="1"/>
  <c r="K1329" i="1"/>
  <c r="K1330" i="1"/>
  <c r="K1324" i="1"/>
  <c r="H224" i="1"/>
  <c r="K225" i="1"/>
  <c r="K226" i="1"/>
  <c r="H1455" i="1"/>
  <c r="K1457" i="1"/>
  <c r="K1458" i="1"/>
  <c r="K1456" i="1"/>
  <c r="H45" i="1"/>
  <c r="K47" i="1"/>
  <c r="K46" i="1"/>
  <c r="H850" i="1"/>
  <c r="P850" i="1" s="1"/>
  <c r="C850" i="1" s="1"/>
  <c r="K851" i="1"/>
  <c r="K852" i="1"/>
  <c r="K1816" i="1"/>
  <c r="K1817" i="1"/>
  <c r="H1815" i="1"/>
  <c r="H130" i="97" s="1"/>
  <c r="H274" i="1"/>
  <c r="K277" i="1"/>
  <c r="K276" i="1"/>
  <c r="K275" i="1"/>
  <c r="H413" i="1"/>
  <c r="K415" i="1"/>
  <c r="K414" i="1"/>
  <c r="H326" i="1"/>
  <c r="K327" i="1"/>
  <c r="K328" i="1"/>
  <c r="K329" i="1"/>
  <c r="H1231" i="1"/>
  <c r="K1236" i="1"/>
  <c r="K1235" i="1"/>
  <c r="K1232" i="1"/>
  <c r="K1234" i="1"/>
  <c r="K1233" i="1"/>
  <c r="H868" i="1"/>
  <c r="K874" i="1"/>
  <c r="K870" i="1"/>
  <c r="K871" i="1"/>
  <c r="K873" i="1"/>
  <c r="K872" i="1"/>
  <c r="H92" i="1"/>
  <c r="H760" i="1"/>
  <c r="K761" i="1"/>
  <c r="K762" i="1"/>
  <c r="H1194" i="1"/>
  <c r="K1200" i="1"/>
  <c r="K1197" i="1"/>
  <c r="K1199" i="1"/>
  <c r="K1195" i="1"/>
  <c r="K1198" i="1"/>
  <c r="K1196" i="1"/>
  <c r="H485" i="1"/>
  <c r="K487" i="1"/>
  <c r="K486" i="1"/>
  <c r="H1043" i="1"/>
  <c r="K1045" i="1"/>
  <c r="K1048" i="1"/>
  <c r="K1044" i="1"/>
  <c r="K1047" i="1"/>
  <c r="K1046" i="1"/>
  <c r="H1973" i="1"/>
  <c r="E92" i="33"/>
  <c r="G92" i="33" s="1"/>
  <c r="K1973" i="1"/>
  <c r="H1987" i="1"/>
  <c r="E106" i="33"/>
  <c r="G106" i="33" s="1"/>
  <c r="B130" i="42"/>
  <c r="G130" i="42"/>
  <c r="I1717" i="1"/>
  <c r="H1717" i="1"/>
  <c r="P1717" i="1" s="1"/>
  <c r="C1717" i="1" s="1"/>
  <c r="G105" i="31"/>
  <c r="B105" i="31"/>
  <c r="D2131" i="1"/>
  <c r="H2054" i="1"/>
  <c r="P2054" i="1" s="1"/>
  <c r="C2054" i="1" s="1"/>
  <c r="N2054" i="1"/>
  <c r="H1498" i="1"/>
  <c r="P1498" i="1" s="1"/>
  <c r="C1498" i="1" s="1"/>
  <c r="J1498" i="1"/>
  <c r="H2097" i="1"/>
  <c r="P2097" i="1" s="1"/>
  <c r="C2097" i="1" s="1"/>
  <c r="N2097" i="1"/>
  <c r="P2028" i="1"/>
  <c r="C2028" i="1" s="1"/>
  <c r="G108" i="35"/>
  <c r="B108" i="35"/>
  <c r="B39" i="35"/>
  <c r="G39" i="35"/>
  <c r="D535" i="23"/>
  <c r="D536" i="23" s="1"/>
  <c r="D537" i="23" s="1"/>
  <c r="B105" i="42"/>
  <c r="G105" i="42"/>
  <c r="G299" i="42"/>
  <c r="B299" i="42"/>
  <c r="L1113" i="1"/>
  <c r="L1114" i="1"/>
  <c r="L1115" i="1"/>
  <c r="L814" i="1"/>
  <c r="L812" i="1"/>
  <c r="L811" i="1"/>
  <c r="L813" i="1"/>
  <c r="H117" i="1"/>
  <c r="K118" i="1"/>
  <c r="K119" i="1"/>
  <c r="L111" i="1"/>
  <c r="L110" i="1"/>
  <c r="L1262" i="1"/>
  <c r="L1260" i="1"/>
  <c r="L1258" i="1"/>
  <c r="L1256" i="1"/>
  <c r="L1254" i="1"/>
  <c r="L1255" i="1"/>
  <c r="L1257" i="1"/>
  <c r="L1259" i="1"/>
  <c r="L1261" i="1"/>
  <c r="L1253" i="1"/>
  <c r="L268" i="1"/>
  <c r="L267" i="1"/>
  <c r="H315" i="23"/>
  <c r="H312" i="23"/>
  <c r="H333" i="23"/>
  <c r="D297" i="23"/>
  <c r="H314" i="23"/>
  <c r="I309" i="23"/>
  <c r="A309" i="23" s="1"/>
  <c r="H313" i="23"/>
  <c r="H311" i="23"/>
  <c r="H421" i="1"/>
  <c r="K422" i="1"/>
  <c r="K423" i="1"/>
  <c r="H188" i="1"/>
  <c r="K189" i="1"/>
  <c r="K190" i="1"/>
  <c r="H623" i="1"/>
  <c r="K624" i="1"/>
  <c r="K629" i="1"/>
  <c r="K627" i="1"/>
  <c r="K625" i="1"/>
  <c r="K626" i="1"/>
  <c r="H456" i="1"/>
  <c r="K458" i="1"/>
  <c r="K457" i="1"/>
  <c r="K459" i="1"/>
  <c r="H1428" i="1"/>
  <c r="K1430" i="1"/>
  <c r="K1431" i="1"/>
  <c r="K1429" i="1"/>
  <c r="H302" i="1"/>
  <c r="K303" i="1"/>
  <c r="K304" i="1"/>
  <c r="K308" i="1"/>
  <c r="K309" i="1"/>
  <c r="H109" i="1"/>
  <c r="K110" i="1"/>
  <c r="K111" i="1"/>
  <c r="H899" i="1"/>
  <c r="K903" i="1"/>
  <c r="K900" i="1"/>
  <c r="K902" i="1"/>
  <c r="K901" i="1"/>
  <c r="K904" i="1"/>
  <c r="H448" i="1"/>
  <c r="K449" i="1"/>
  <c r="K450" i="1"/>
  <c r="H495" i="1"/>
  <c r="K497" i="1"/>
  <c r="K496" i="1"/>
  <c r="H1437" i="1"/>
  <c r="K1440" i="1"/>
  <c r="K1438" i="1"/>
  <c r="K1439" i="1"/>
  <c r="H256" i="1"/>
  <c r="K258" i="1"/>
  <c r="K257" i="1"/>
  <c r="H1034" i="1"/>
  <c r="K1038" i="1"/>
  <c r="K1037" i="1"/>
  <c r="K1035" i="1"/>
  <c r="K1036" i="1"/>
  <c r="H125" i="1"/>
  <c r="K126" i="1"/>
  <c r="K128" i="1"/>
  <c r="K127" i="1"/>
  <c r="H778" i="1"/>
  <c r="D778" i="1" s="1"/>
  <c r="C778" i="1"/>
  <c r="H1223" i="1"/>
  <c r="K1224" i="1"/>
  <c r="K1228" i="1"/>
  <c r="K1225" i="1"/>
  <c r="K1226" i="1"/>
  <c r="K1227" i="1"/>
  <c r="H574" i="1"/>
  <c r="H1127" i="1"/>
  <c r="K1128" i="1"/>
  <c r="K1129" i="1"/>
  <c r="K1131" i="1"/>
  <c r="K1130" i="1"/>
  <c r="K1133" i="1"/>
  <c r="K1132" i="1"/>
  <c r="D1972" i="1"/>
  <c r="H1970" i="1"/>
  <c r="K1970" i="1"/>
  <c r="E89" i="33"/>
  <c r="G89" i="33" s="1"/>
  <c r="D1572" i="1"/>
  <c r="DS184" i="16"/>
  <c r="E109" i="33"/>
  <c r="G109" i="33" s="1"/>
  <c r="H1990" i="1"/>
  <c r="P2163" i="1"/>
  <c r="C2163" i="1" s="1"/>
  <c r="M2163" i="1"/>
  <c r="G99" i="31"/>
  <c r="B99" i="31"/>
  <c r="D1545" i="1"/>
  <c r="DJ184" i="16"/>
  <c r="K1613" i="1" s="1"/>
  <c r="D1613" i="1" s="1"/>
  <c r="H1613" i="1" s="1"/>
  <c r="P1613" i="1" s="1"/>
  <c r="C1613" i="1" s="1"/>
  <c r="J1506" i="1"/>
  <c r="H1506" i="1"/>
  <c r="P1506" i="1" s="1"/>
  <c r="C1506" i="1" s="1"/>
  <c r="H2080" i="1"/>
  <c r="P2080" i="1" s="1"/>
  <c r="C2080" i="1" s="1"/>
  <c r="N2080" i="1"/>
  <c r="H1576" i="1"/>
  <c r="P1576" i="1" s="1"/>
  <c r="C1576" i="1" s="1"/>
  <c r="E176" i="31"/>
  <c r="J1576" i="1"/>
  <c r="D1582" i="1"/>
  <c r="G121" i="35"/>
  <c r="B121" i="35"/>
  <c r="G73" i="34"/>
  <c r="B73" i="34"/>
  <c r="N2133" i="1"/>
  <c r="H2133" i="1"/>
  <c r="P2133" i="1" s="1"/>
  <c r="C2133" i="1" s="1"/>
  <c r="E142" i="33"/>
  <c r="G152" i="42"/>
  <c r="G153" i="42" s="1"/>
  <c r="G154" i="42" s="1"/>
  <c r="E153" i="42"/>
  <c r="B152" i="42"/>
  <c r="G288" i="42"/>
  <c r="B288" i="42"/>
  <c r="G268" i="42"/>
  <c r="B268" i="42"/>
  <c r="L765" i="1"/>
  <c r="L773" i="1"/>
  <c r="L772" i="1"/>
  <c r="L766" i="1"/>
  <c r="L153" i="1"/>
  <c r="L410" i="1"/>
  <c r="L245" i="1"/>
  <c r="L747" i="1"/>
  <c r="L748" i="1"/>
  <c r="H1473" i="1"/>
  <c r="K1476" i="1"/>
  <c r="K1474" i="1"/>
  <c r="K1475" i="1"/>
  <c r="H339" i="1"/>
  <c r="K345" i="1"/>
  <c r="K353" i="1"/>
  <c r="K347" i="1"/>
  <c r="K348" i="1"/>
  <c r="K349" i="1"/>
  <c r="K350" i="1"/>
  <c r="K351" i="1"/>
  <c r="K346" i="1"/>
  <c r="K352" i="1"/>
  <c r="K355" i="1"/>
  <c r="K354" i="1"/>
  <c r="K341" i="1"/>
  <c r="K179" i="1"/>
  <c r="K177" i="1"/>
  <c r="K176" i="1"/>
  <c r="K175" i="1"/>
  <c r="K344" i="1"/>
  <c r="K340" i="1"/>
  <c r="K178" i="1"/>
  <c r="K342" i="1"/>
  <c r="K343" i="1"/>
  <c r="L1289" i="1"/>
  <c r="L1287" i="1"/>
  <c r="L1285" i="1"/>
  <c r="L1283" i="1"/>
  <c r="L1286" i="1"/>
  <c r="L1284" i="1"/>
  <c r="L1290" i="1"/>
  <c r="L1282" i="1"/>
  <c r="L1288" i="1"/>
  <c r="L1067" i="1"/>
  <c r="L1066" i="1"/>
  <c r="L1064" i="1"/>
  <c r="L1065" i="1"/>
  <c r="L1068" i="1"/>
  <c r="L738" i="1"/>
  <c r="L739" i="1"/>
  <c r="L825" i="1"/>
  <c r="L821" i="1"/>
  <c r="L823" i="1"/>
  <c r="L824" i="1"/>
  <c r="L822" i="1"/>
  <c r="L820" i="1"/>
  <c r="L805" i="1"/>
  <c r="L857" i="1"/>
  <c r="L872" i="1"/>
  <c r="L856" i="1"/>
  <c r="L861" i="1"/>
  <c r="L801" i="1"/>
  <c r="L858" i="1"/>
  <c r="L873" i="1"/>
  <c r="L800" i="1"/>
  <c r="L874" i="1"/>
  <c r="L871" i="1"/>
  <c r="L860" i="1"/>
  <c r="L803" i="1"/>
  <c r="L802" i="1"/>
  <c r="L859" i="1"/>
  <c r="L804" i="1"/>
  <c r="L870" i="1"/>
  <c r="L466" i="1"/>
  <c r="L467" i="1"/>
  <c r="L900" i="1"/>
  <c r="L904" i="1"/>
  <c r="L901" i="1"/>
  <c r="L902" i="1"/>
  <c r="L903" i="1"/>
  <c r="L276" i="1"/>
  <c r="L277" i="1"/>
  <c r="L275" i="1"/>
  <c r="P2010" i="1"/>
  <c r="L1199" i="1"/>
  <c r="L1200" i="1"/>
  <c r="L1198" i="1"/>
  <c r="L1197" i="1"/>
  <c r="L1196" i="1"/>
  <c r="L1195" i="1"/>
  <c r="L1466" i="1"/>
  <c r="L1465" i="1"/>
  <c r="L1467" i="1"/>
  <c r="L1027" i="1"/>
  <c r="L1025" i="1"/>
  <c r="L1028" i="1"/>
  <c r="L1026" i="1"/>
  <c r="L1029" i="1"/>
  <c r="L715" i="1"/>
  <c r="L721" i="1"/>
  <c r="L722" i="1"/>
  <c r="L714" i="1"/>
  <c r="L1219" i="1"/>
  <c r="L1218" i="1"/>
  <c r="L1217" i="1"/>
  <c r="L1216" i="1"/>
  <c r="L1215" i="1"/>
  <c r="L1220" i="1"/>
  <c r="L351" i="1"/>
  <c r="L346" i="1"/>
  <c r="L347" i="1"/>
  <c r="L345" i="1"/>
  <c r="L350" i="1"/>
  <c r="L353" i="1"/>
  <c r="L349" i="1"/>
  <c r="L352" i="1"/>
  <c r="L348" i="1"/>
  <c r="L355" i="1"/>
  <c r="L342" i="1"/>
  <c r="L343" i="1"/>
  <c r="L341" i="1"/>
  <c r="L354" i="1"/>
  <c r="L340" i="1"/>
  <c r="L344" i="1"/>
  <c r="L496" i="1"/>
  <c r="L497" i="1"/>
  <c r="L976" i="1"/>
  <c r="L977" i="1"/>
  <c r="L975" i="1"/>
  <c r="L978" i="1"/>
  <c r="P747" i="1"/>
  <c r="P748" i="1"/>
  <c r="L197" i="1"/>
  <c r="L199" i="1"/>
  <c r="L198" i="1"/>
  <c r="K1800" i="1"/>
  <c r="H1800" i="1"/>
  <c r="H505" i="1"/>
  <c r="K507" i="1"/>
  <c r="K506" i="1"/>
  <c r="H266" i="1"/>
  <c r="K268" i="1"/>
  <c r="K267" i="1"/>
  <c r="H819" i="1"/>
  <c r="K824" i="1"/>
  <c r="K825" i="1"/>
  <c r="H534" i="1"/>
  <c r="K543" i="1"/>
  <c r="K535" i="1"/>
  <c r="K536" i="1"/>
  <c r="K542" i="1"/>
  <c r="K537" i="1"/>
  <c r="H771" i="1"/>
  <c r="H566" i="1"/>
  <c r="H584" i="1"/>
  <c r="H933" i="1"/>
  <c r="K936" i="1"/>
  <c r="K937" i="1"/>
  <c r="K938" i="1"/>
  <c r="K935" i="1"/>
  <c r="H526" i="1"/>
  <c r="K527" i="1"/>
  <c r="K528" i="1"/>
  <c r="H683" i="1"/>
  <c r="C683" i="1" s="1"/>
  <c r="H465" i="1"/>
  <c r="K467" i="1"/>
  <c r="K466" i="1"/>
  <c r="H317" i="1"/>
  <c r="K319" i="1"/>
  <c r="K320" i="1"/>
  <c r="K318" i="1"/>
  <c r="H1147" i="1"/>
  <c r="K1152" i="1"/>
  <c r="K1148" i="1"/>
  <c r="K1153" i="1"/>
  <c r="K1149" i="1"/>
  <c r="K1151" i="1"/>
  <c r="K1150" i="1"/>
  <c r="H799" i="1"/>
  <c r="H173" i="97" s="1"/>
  <c r="K801" i="1"/>
  <c r="K805" i="1"/>
  <c r="K802" i="1"/>
  <c r="K803" i="1"/>
  <c r="K804" i="1"/>
  <c r="K800" i="1"/>
  <c r="H1252" i="1"/>
  <c r="K1261" i="1"/>
  <c r="K1259" i="1"/>
  <c r="K1257" i="1"/>
  <c r="K1255" i="1"/>
  <c r="K1253" i="1"/>
  <c r="K1256" i="1"/>
  <c r="K1258" i="1"/>
  <c r="K1254" i="1"/>
  <c r="K1262" i="1"/>
  <c r="K1260" i="1"/>
  <c r="H674" i="1"/>
  <c r="C674" i="1" s="1"/>
  <c r="H1203" i="1"/>
  <c r="K1206" i="1"/>
  <c r="K1204" i="1"/>
  <c r="K1207" i="1"/>
  <c r="K1210" i="1"/>
  <c r="K1209" i="1"/>
  <c r="K1205" i="1"/>
  <c r="K1208" i="1"/>
  <c r="H1411" i="1"/>
  <c r="K1412" i="1"/>
  <c r="K1413" i="1"/>
  <c r="P1969" i="1"/>
  <c r="D2210" i="1"/>
  <c r="H2197" i="1"/>
  <c r="P2197" i="1" s="1"/>
  <c r="C2197" i="1" s="1"/>
  <c r="D2232" i="1"/>
  <c r="H2232" i="1" s="1"/>
  <c r="P2232" i="1" s="1"/>
  <c r="C2232" i="1" s="1"/>
  <c r="D2209" i="1"/>
  <c r="H2209" i="1" s="1"/>
  <c r="P2209" i="1" s="1"/>
  <c r="C2209" i="1" s="1"/>
  <c r="H1986" i="1"/>
  <c r="E105" i="33"/>
  <c r="G105" i="33" s="1"/>
  <c r="G122" i="35"/>
  <c r="B122" i="35"/>
  <c r="B68" i="34"/>
  <c r="G68" i="34"/>
  <c r="EX184" i="16"/>
  <c r="W184" i="16"/>
  <c r="I1714" i="1"/>
  <c r="H1714" i="1"/>
  <c r="P1714" i="1" s="1"/>
  <c r="C1714" i="1" s="1"/>
  <c r="P2021" i="1"/>
  <c r="C2021" i="1" s="1"/>
  <c r="G55" i="31"/>
  <c r="B55" i="31"/>
  <c r="H1505" i="1"/>
  <c r="P1505" i="1" s="1"/>
  <c r="C1505" i="1" s="1"/>
  <c r="J1505" i="1"/>
  <c r="E197" i="31"/>
  <c r="D2246" i="1"/>
  <c r="D2043" i="1"/>
  <c r="H2043" i="1" s="1"/>
  <c r="P2043" i="1" s="1"/>
  <c r="C2043" i="1" s="1"/>
  <c r="E127" i="33"/>
  <c r="P2017" i="1"/>
  <c r="C2017" i="1" s="1"/>
  <c r="B89" i="35"/>
  <c r="G89" i="35"/>
  <c r="B94" i="31"/>
  <c r="G94" i="31"/>
  <c r="G134" i="35"/>
  <c r="B134" i="35"/>
  <c r="G279" i="42"/>
  <c r="B279" i="42"/>
  <c r="L1430" i="1"/>
  <c r="L1429" i="1"/>
  <c r="L1431" i="1"/>
  <c r="H2331" i="1"/>
  <c r="H2359" i="1"/>
  <c r="H2346" i="1"/>
  <c r="H2343" i="1"/>
  <c r="H2329" i="1"/>
  <c r="H2358" i="1"/>
  <c r="H2332" i="1"/>
  <c r="H2336" i="1"/>
  <c r="H2356" i="1"/>
  <c r="H2352" i="1"/>
  <c r="H2330" i="1"/>
  <c r="H2341" i="1"/>
  <c r="H2345" i="1"/>
  <c r="H2342" i="1"/>
  <c r="H2365" i="1"/>
  <c r="P2365" i="1" s="1"/>
  <c r="C2365" i="1" s="1"/>
  <c r="H2362" i="1"/>
  <c r="H2363" i="1"/>
  <c r="P2363" i="1" s="1"/>
  <c r="C2363" i="1" s="1"/>
  <c r="H2333" i="1"/>
  <c r="H2347" i="1"/>
  <c r="H2350" i="1"/>
  <c r="H2351" i="1"/>
  <c r="P2351" i="1" s="1"/>
  <c r="C2351" i="1" s="1"/>
  <c r="H2353" i="1"/>
  <c r="P2353" i="1" s="1"/>
  <c r="C2353" i="1" s="1"/>
  <c r="H2364" i="1"/>
  <c r="P2364" i="1" s="1"/>
  <c r="C2364" i="1" s="1"/>
  <c r="H2337" i="1"/>
  <c r="P2337" i="1" s="1"/>
  <c r="C2337" i="1" s="1"/>
  <c r="H2344" i="1"/>
  <c r="H2355" i="1"/>
  <c r="H2339" i="1"/>
  <c r="P2339" i="1" s="1"/>
  <c r="C2339" i="1" s="1"/>
  <c r="H2327" i="1"/>
  <c r="H2348" i="1"/>
  <c r="H2338" i="1"/>
  <c r="H2335" i="1"/>
  <c r="H2360" i="1"/>
  <c r="H2349" i="1"/>
  <c r="H2357" i="1"/>
  <c r="H2328" i="1"/>
  <c r="P2325" i="1"/>
  <c r="H2334" i="1"/>
  <c r="H2361" i="1"/>
  <c r="L1172" i="1"/>
  <c r="L1170" i="1"/>
  <c r="L1171" i="1"/>
  <c r="L762" i="1"/>
  <c r="L761" i="1"/>
  <c r="L948" i="1"/>
  <c r="L946" i="1"/>
  <c r="L947" i="1"/>
  <c r="L945" i="1"/>
  <c r="L949" i="1"/>
  <c r="L1412" i="1"/>
  <c r="L1413" i="1"/>
  <c r="L527" i="1"/>
  <c r="L528" i="1"/>
  <c r="L432" i="1"/>
  <c r="L435" i="1"/>
  <c r="L434" i="1"/>
  <c r="L436" i="1"/>
  <c r="L433" i="1"/>
  <c r="L1076" i="1"/>
  <c r="L1074" i="1"/>
  <c r="L1075" i="1"/>
  <c r="L127" i="1"/>
  <c r="L128" i="1"/>
  <c r="L126" i="1"/>
  <c r="E144" i="33"/>
  <c r="K1799" i="1"/>
  <c r="H1799" i="1"/>
  <c r="H698" i="1"/>
  <c r="H335" i="1"/>
  <c r="C335" i="1" s="1"/>
  <c r="H909" i="1"/>
  <c r="P909" i="1" s="1"/>
  <c r="C909" i="1" s="1"/>
  <c r="H713" i="1"/>
  <c r="K722" i="1"/>
  <c r="K715" i="1"/>
  <c r="K714" i="1"/>
  <c r="K721" i="1"/>
  <c r="H923" i="1"/>
  <c r="K925" i="1"/>
  <c r="K924" i="1"/>
  <c r="K926" i="1"/>
  <c r="K927" i="1"/>
  <c r="K928" i="1"/>
  <c r="H1081" i="1"/>
  <c r="K1083" i="1"/>
  <c r="K1082" i="1"/>
  <c r="H789" i="1"/>
  <c r="C789" i="1" s="1"/>
  <c r="K794" i="1"/>
  <c r="K792" i="1"/>
  <c r="K791" i="1"/>
  <c r="K790" i="1"/>
  <c r="K793" i="1"/>
  <c r="H974" i="1"/>
  <c r="K976" i="1"/>
  <c r="K978" i="1"/>
  <c r="K977" i="1"/>
  <c r="K975" i="1"/>
  <c r="H1053" i="1"/>
  <c r="K1054" i="1"/>
  <c r="K1055" i="1"/>
  <c r="K1058" i="1"/>
  <c r="K1056" i="1"/>
  <c r="K1057" i="1"/>
  <c r="H1185" i="1"/>
  <c r="K1190" i="1"/>
  <c r="K1186" i="1"/>
  <c r="K1191" i="1"/>
  <c r="K1188" i="1"/>
  <c r="K1187" i="1"/>
  <c r="K1189" i="1"/>
  <c r="K1832" i="1"/>
  <c r="D1832" i="1" s="1"/>
  <c r="D184" i="97" s="1"/>
  <c r="H594" i="1"/>
  <c r="C594" i="1" s="1"/>
  <c r="H473" i="1"/>
  <c r="K474" i="1"/>
  <c r="K476" i="1"/>
  <c r="K475" i="1"/>
  <c r="K477" i="1"/>
  <c r="H1214" i="1"/>
  <c r="K1215" i="1"/>
  <c r="K1217" i="1"/>
  <c r="K1218" i="1"/>
  <c r="K1220" i="1"/>
  <c r="K1219" i="1"/>
  <c r="K1216" i="1"/>
  <c r="H174" i="1"/>
  <c r="H830" i="1"/>
  <c r="K832" i="1"/>
  <c r="K835" i="1"/>
  <c r="K844" i="1"/>
  <c r="K836" i="1"/>
  <c r="K842" i="1"/>
  <c r="K845" i="1"/>
  <c r="K843" i="1"/>
  <c r="K831" i="1"/>
  <c r="H1784" i="1"/>
  <c r="H95" i="97" s="1"/>
  <c r="H1785" i="1"/>
  <c r="H64" i="97" s="1"/>
  <c r="P1783" i="1"/>
  <c r="I165" i="97" s="1"/>
  <c r="H1088" i="1"/>
  <c r="K1094" i="1"/>
  <c r="K1091" i="1"/>
  <c r="K1089" i="1"/>
  <c r="K1093" i="1"/>
  <c r="K1090" i="1"/>
  <c r="K1092" i="1"/>
  <c r="H731" i="1"/>
  <c r="K732" i="1"/>
  <c r="K735" i="1"/>
  <c r="K734" i="1"/>
  <c r="K733" i="1"/>
  <c r="H1294" i="1"/>
  <c r="K1302" i="1"/>
  <c r="K1295" i="1"/>
  <c r="K1297" i="1"/>
  <c r="K1303" i="1"/>
  <c r="K1304" i="1"/>
  <c r="K1299" i="1"/>
  <c r="K1300" i="1"/>
  <c r="K1298" i="1"/>
  <c r="K1301" i="1"/>
  <c r="K1296" i="1"/>
  <c r="H244" i="1"/>
  <c r="H161" i="97" s="1"/>
  <c r="K245" i="1"/>
  <c r="K153" i="1"/>
  <c r="K410" i="1"/>
  <c r="H2088" i="1"/>
  <c r="P2088" i="1" s="1"/>
  <c r="C2088" i="1" s="1"/>
  <c r="N2088" i="1"/>
  <c r="H1989" i="1"/>
  <c r="E108" i="33"/>
  <c r="G108" i="33" s="1"/>
  <c r="G100" i="33"/>
  <c r="I1660" i="1"/>
  <c r="H1660" i="1"/>
  <c r="P1660" i="1" s="1"/>
  <c r="C1660" i="1" s="1"/>
  <c r="B41" i="42"/>
  <c r="G41" i="42"/>
  <c r="H2075" i="1"/>
  <c r="P2075" i="1" s="1"/>
  <c r="C2075" i="1" s="1"/>
  <c r="N2075" i="1"/>
  <c r="CN229" i="70"/>
  <c r="B140" i="33"/>
  <c r="G140" i="33"/>
  <c r="E189" i="31"/>
  <c r="J1589" i="1"/>
  <c r="H1589" i="1"/>
  <c r="P1589" i="1" s="1"/>
  <c r="C1589" i="1" s="1"/>
  <c r="B175" i="31"/>
  <c r="G175" i="31"/>
  <c r="G106" i="31"/>
  <c r="B106" i="31"/>
  <c r="H2004" i="1"/>
  <c r="E123" i="33"/>
  <c r="G123" i="33" s="1"/>
  <c r="G136" i="33"/>
  <c r="B136" i="33"/>
  <c r="G58" i="42"/>
  <c r="B58" i="42"/>
  <c r="G126" i="35"/>
  <c r="B126" i="35"/>
  <c r="P2003" i="1"/>
  <c r="C2003" i="1" s="1"/>
  <c r="L2003" i="1"/>
  <c r="H1521" i="1"/>
  <c r="P1521" i="1" s="1"/>
  <c r="C1521" i="1" s="1"/>
  <c r="J1521" i="1"/>
  <c r="B298" i="42"/>
  <c r="G298" i="42"/>
  <c r="G281" i="42"/>
  <c r="B281" i="42"/>
  <c r="G287" i="42"/>
  <c r="B287" i="42"/>
  <c r="L964" i="1"/>
  <c r="L966" i="1"/>
  <c r="L965" i="1"/>
  <c r="L967" i="1"/>
  <c r="L969" i="1"/>
  <c r="L968" i="1"/>
  <c r="L507" i="1"/>
  <c r="L506" i="1"/>
  <c r="L1096" i="1"/>
  <c r="L1097" i="1"/>
  <c r="L1100" i="1"/>
  <c r="L1047" i="1"/>
  <c r="L1048" i="1"/>
  <c r="L1101" i="1"/>
  <c r="L1098" i="1"/>
  <c r="L1046" i="1"/>
  <c r="L1044" i="1"/>
  <c r="L1045" i="1"/>
  <c r="L1387" i="1"/>
  <c r="L1385" i="1"/>
  <c r="L1383" i="1"/>
  <c r="L1381" i="1"/>
  <c r="L1382" i="1"/>
  <c r="L1386" i="1"/>
  <c r="L1384" i="1"/>
  <c r="L1380" i="1"/>
  <c r="L957" i="1"/>
  <c r="L958" i="1"/>
  <c r="L956" i="1"/>
  <c r="L955" i="1"/>
  <c r="L543" i="1"/>
  <c r="L542" i="1"/>
  <c r="L537" i="1"/>
  <c r="L535" i="1"/>
  <c r="L536" i="1"/>
  <c r="H359" i="23"/>
  <c r="H360" i="23"/>
  <c r="H353" i="23"/>
  <c r="H363" i="23"/>
  <c r="H356" i="23"/>
  <c r="H354" i="23"/>
  <c r="H355" i="23"/>
  <c r="H361" i="23"/>
  <c r="H352" i="23"/>
  <c r="I348" i="23"/>
  <c r="A348" i="23" s="1"/>
  <c r="H362" i="23"/>
  <c r="L1140" i="1"/>
  <c r="L1143" i="1"/>
  <c r="L1138" i="1"/>
  <c r="L1139" i="1"/>
  <c r="L1137" i="1"/>
  <c r="L1142" i="1"/>
  <c r="L1141" i="1"/>
  <c r="L733" i="1"/>
  <c r="L735" i="1"/>
  <c r="L734" i="1"/>
  <c r="L732" i="1"/>
  <c r="L236" i="1"/>
  <c r="L235" i="1"/>
  <c r="L225" i="1"/>
  <c r="L226" i="1"/>
  <c r="L1009" i="1"/>
  <c r="L1007" i="1"/>
  <c r="L1006" i="1"/>
  <c r="L1008" i="1"/>
  <c r="L1005" i="1"/>
  <c r="L1180" i="1"/>
  <c r="L1175" i="1"/>
  <c r="L1174" i="1"/>
  <c r="L1176" i="1"/>
  <c r="L1181" i="1"/>
  <c r="L1178" i="1"/>
  <c r="L1179" i="1"/>
  <c r="L514" i="1"/>
  <c r="L515" i="1"/>
  <c r="L516" i="1"/>
  <c r="L517" i="1"/>
  <c r="L1157" i="1"/>
  <c r="L1158" i="1"/>
  <c r="H2315" i="1"/>
  <c r="L2314" i="1"/>
  <c r="C2314" i="1" s="1"/>
  <c r="P1995" i="1"/>
  <c r="H279" i="23"/>
  <c r="I278" i="23"/>
  <c r="A278" i="23" s="1"/>
  <c r="K1801" i="1"/>
  <c r="H1801" i="1"/>
  <c r="H744" i="1"/>
  <c r="C744" i="1" s="1"/>
  <c r="H431" i="1"/>
  <c r="K435" i="1"/>
  <c r="K432" i="1"/>
  <c r="K433" i="1"/>
  <c r="K434" i="1"/>
  <c r="K436" i="1"/>
  <c r="H981" i="1"/>
  <c r="K983" i="1"/>
  <c r="K984" i="1"/>
  <c r="K982" i="1"/>
  <c r="K985" i="1"/>
  <c r="K986" i="1"/>
  <c r="H764" i="1"/>
  <c r="K765" i="1"/>
  <c r="K766" i="1"/>
  <c r="K772" i="1"/>
  <c r="K773" i="1"/>
  <c r="H996" i="1"/>
  <c r="H1352" i="1"/>
  <c r="K1361" i="1"/>
  <c r="K1359" i="1"/>
  <c r="K1357" i="1"/>
  <c r="K1355" i="1"/>
  <c r="K1353" i="1"/>
  <c r="K1362" i="1"/>
  <c r="K1354" i="1"/>
  <c r="K1269" i="1"/>
  <c r="K1358" i="1"/>
  <c r="K1311" i="1"/>
  <c r="K1360" i="1"/>
  <c r="K1356" i="1"/>
  <c r="H37" i="1"/>
  <c r="K38" i="1"/>
  <c r="K39" i="1"/>
  <c r="H954" i="1"/>
  <c r="H172" i="97" s="1"/>
  <c r="K956" i="1"/>
  <c r="K958" i="1"/>
  <c r="K957" i="1"/>
  <c r="K955" i="1"/>
  <c r="H1004" i="1"/>
  <c r="K1008" i="1"/>
  <c r="K1009" i="1"/>
  <c r="K1006" i="1"/>
  <c r="K1007" i="1"/>
  <c r="K1005" i="1"/>
  <c r="H1309" i="1"/>
  <c r="K1318" i="1"/>
  <c r="K1316" i="1"/>
  <c r="K1314" i="1"/>
  <c r="K1312" i="1"/>
  <c r="K1310" i="1"/>
  <c r="K1319" i="1"/>
  <c r="K1313" i="1"/>
  <c r="K1315" i="1"/>
  <c r="K1317" i="1"/>
  <c r="H134" i="1"/>
  <c r="K135" i="1"/>
  <c r="K136" i="1"/>
  <c r="H1267" i="1"/>
  <c r="K1276" i="1"/>
  <c r="K1274" i="1"/>
  <c r="K1272" i="1"/>
  <c r="K1270" i="1"/>
  <c r="K1268" i="1"/>
  <c r="K1273" i="1"/>
  <c r="K1271" i="1"/>
  <c r="K1275" i="1"/>
  <c r="K1277" i="1"/>
  <c r="K1096" i="1"/>
  <c r="K1098" i="1"/>
  <c r="K1100" i="1"/>
  <c r="K1097" i="1"/>
  <c r="K1101" i="1"/>
  <c r="H656" i="1"/>
  <c r="K659" i="1"/>
  <c r="K657" i="1"/>
  <c r="K658" i="1"/>
  <c r="H550" i="1"/>
  <c r="H1391" i="1"/>
  <c r="K1398" i="1"/>
  <c r="K1396" i="1"/>
  <c r="K1394" i="1"/>
  <c r="K1392" i="1"/>
  <c r="K1399" i="1"/>
  <c r="K1393" i="1"/>
  <c r="K1395" i="1"/>
  <c r="K1397" i="1"/>
  <c r="H205" i="1"/>
  <c r="K207" i="1"/>
  <c r="K206" i="1"/>
  <c r="H1073" i="1"/>
  <c r="K1076" i="1"/>
  <c r="K1074" i="1"/>
  <c r="K1075" i="1"/>
  <c r="H156" i="1"/>
  <c r="K157" i="1"/>
  <c r="K158" i="1" s="1"/>
  <c r="H779" i="1"/>
  <c r="H1403" i="1"/>
  <c r="H166" i="97" s="1"/>
  <c r="K1405" i="1"/>
  <c r="K1404" i="1"/>
  <c r="H746" i="1"/>
  <c r="K747" i="1"/>
  <c r="K748" i="1"/>
  <c r="H2085" i="1"/>
  <c r="P2085" i="1" s="1"/>
  <c r="C2085" i="1" s="1"/>
  <c r="N2085" i="1"/>
  <c r="H1650" i="1"/>
  <c r="P1650" i="1" s="1"/>
  <c r="C1650" i="1" s="1"/>
  <c r="I1650" i="1"/>
  <c r="I1662" i="1"/>
  <c r="H1662" i="1"/>
  <c r="P1662" i="1" s="1"/>
  <c r="C1662" i="1" s="1"/>
  <c r="B128" i="35"/>
  <c r="G128" i="35"/>
  <c r="G125" i="35"/>
  <c r="B125" i="35"/>
  <c r="G26" i="34"/>
  <c r="B26" i="34"/>
  <c r="B100" i="31"/>
  <c r="G100" i="31"/>
  <c r="H2002" i="1"/>
  <c r="E121" i="33"/>
  <c r="G121" i="33" s="1"/>
  <c r="B32" i="42"/>
  <c r="G32" i="42"/>
  <c r="H2311" i="1"/>
  <c r="P2311" i="1" s="1"/>
  <c r="C2311" i="1" s="1"/>
  <c r="E297" i="42"/>
  <c r="G285" i="42"/>
  <c r="B285" i="42"/>
  <c r="E267" i="42"/>
  <c r="P2279" i="1"/>
  <c r="C2279" i="1" s="1"/>
  <c r="B292" i="42"/>
  <c r="G292" i="42"/>
  <c r="H1103" i="1"/>
  <c r="K1105" i="1"/>
  <c r="K1107" i="1"/>
  <c r="K1106" i="1"/>
  <c r="K1108" i="1"/>
  <c r="K1109" i="1"/>
  <c r="K1104" i="1"/>
  <c r="H1024" i="1"/>
  <c r="K1027" i="1"/>
  <c r="K1026" i="1"/>
  <c r="K1029" i="1"/>
  <c r="K1028" i="1"/>
  <c r="K1025" i="1"/>
  <c r="H396" i="1"/>
  <c r="K398" i="1"/>
  <c r="K399" i="1"/>
  <c r="K397" i="1"/>
  <c r="H1239" i="1"/>
  <c r="K1247" i="1"/>
  <c r="K1245" i="1"/>
  <c r="K1243" i="1"/>
  <c r="K1241" i="1"/>
  <c r="K1242" i="1"/>
  <c r="K1244" i="1"/>
  <c r="K1240" i="1"/>
  <c r="K1248" i="1"/>
  <c r="K1246" i="1"/>
  <c r="H164" i="1"/>
  <c r="K166" i="1"/>
  <c r="K165" i="1"/>
  <c r="H142" i="1"/>
  <c r="K143" i="1"/>
  <c r="K144" i="1"/>
  <c r="H646" i="1"/>
  <c r="H1464" i="1"/>
  <c r="K1466" i="1"/>
  <c r="K1465" i="1"/>
  <c r="K1467" i="1"/>
  <c r="H699" i="1"/>
  <c r="C699" i="1" s="1"/>
  <c r="H1112" i="1"/>
  <c r="K1114" i="1"/>
  <c r="K1113" i="1"/>
  <c r="K1115" i="1"/>
  <c r="H234" i="1"/>
  <c r="K235" i="1"/>
  <c r="K236" i="1"/>
  <c r="H855" i="1"/>
  <c r="K858" i="1"/>
  <c r="K859" i="1"/>
  <c r="K860" i="1"/>
  <c r="K856" i="1"/>
  <c r="K861" i="1"/>
  <c r="K857" i="1"/>
  <c r="H1482" i="1"/>
  <c r="K1483" i="1"/>
  <c r="K1484" i="1"/>
  <c r="K1485" i="1"/>
  <c r="K613" i="1"/>
  <c r="H612" i="1"/>
  <c r="J9" i="113" s="1"/>
  <c r="K661" i="1"/>
  <c r="K606" i="1"/>
  <c r="K650" i="1"/>
  <c r="K616" i="1"/>
  <c r="K617" i="1"/>
  <c r="K614" i="1"/>
  <c r="K648" i="1"/>
  <c r="K649" i="1"/>
  <c r="K651" i="1"/>
  <c r="K588" i="1"/>
  <c r="K660" i="1"/>
  <c r="K589" i="1"/>
  <c r="K607" i="1"/>
  <c r="K647" i="1"/>
  <c r="K618" i="1"/>
  <c r="H1653" i="1"/>
  <c r="P1653" i="1" s="1"/>
  <c r="C1653" i="1" s="1"/>
  <c r="I1653" i="1"/>
  <c r="N2095" i="1"/>
  <c r="H2095" i="1"/>
  <c r="P2095" i="1" s="1"/>
  <c r="C2095" i="1" s="1"/>
  <c r="I1649" i="1"/>
  <c r="H1649" i="1"/>
  <c r="P1649" i="1" s="1"/>
  <c r="C1649" i="1" s="1"/>
  <c r="G32" i="34"/>
  <c r="B32" i="34"/>
  <c r="I1715" i="1"/>
  <c r="H1715" i="1"/>
  <c r="P1715" i="1" s="1"/>
  <c r="C1715" i="1" s="1"/>
  <c r="G52" i="33"/>
  <c r="B52" i="33"/>
  <c r="J1588" i="1"/>
  <c r="E188" i="31"/>
  <c r="H1588" i="1"/>
  <c r="P1588" i="1" s="1"/>
  <c r="C1588" i="1" s="1"/>
  <c r="D2253" i="1"/>
  <c r="E204" i="31"/>
  <c r="G204" i="31" s="1"/>
  <c r="G120" i="33"/>
  <c r="B120" i="33"/>
  <c r="E83" i="33"/>
  <c r="G83" i="33" s="1"/>
  <c r="H1964" i="1"/>
  <c r="B90" i="42"/>
  <c r="G90" i="42"/>
  <c r="E136" i="42"/>
  <c r="E137" i="42" s="1"/>
  <c r="B135" i="42"/>
  <c r="G135" i="42"/>
  <c r="G136" i="42" s="1"/>
  <c r="G137" i="42" s="1"/>
  <c r="D2186" i="1"/>
  <c r="D2185" i="1" s="1"/>
  <c r="H2164" i="1"/>
  <c r="D2180" i="1"/>
  <c r="D2156" i="1"/>
  <c r="C2156" i="1" s="1"/>
  <c r="J1520" i="1"/>
  <c r="H1520" i="1"/>
  <c r="P1520" i="1" s="1"/>
  <c r="C1520" i="1" s="1"/>
  <c r="B266" i="42"/>
  <c r="G266" i="42"/>
  <c r="L206" i="1"/>
  <c r="L207" i="1"/>
  <c r="L916" i="1"/>
  <c r="L917" i="1"/>
  <c r="L918" i="1"/>
  <c r="L915" i="1"/>
  <c r="L1106" i="1"/>
  <c r="L1109" i="1"/>
  <c r="L1104" i="1"/>
  <c r="L1107" i="1"/>
  <c r="L1105" i="1"/>
  <c r="L1108" i="1"/>
  <c r="L1120" i="1"/>
  <c r="L1121" i="1"/>
  <c r="L1123" i="1"/>
  <c r="L1119" i="1"/>
  <c r="L1122" i="1"/>
  <c r="L1117" i="1"/>
  <c r="L1118" i="1"/>
  <c r="L604" i="1"/>
  <c r="L603" i="1"/>
  <c r="L605" i="1"/>
  <c r="L1236" i="1"/>
  <c r="L1232" i="1"/>
  <c r="L1233" i="1"/>
  <c r="L1234" i="1"/>
  <c r="L1235" i="1"/>
  <c r="P2319" i="1"/>
  <c r="D1201" i="23"/>
  <c r="D1202" i="23" s="1"/>
  <c r="D1203" i="23" s="1"/>
  <c r="D1204" i="23" s="1"/>
  <c r="D1205" i="23" s="1"/>
  <c r="E8" i="1"/>
  <c r="A7" i="18" s="1"/>
  <c r="A7" i="41"/>
  <c r="T1756" i="1" s="1"/>
  <c r="H513" i="1"/>
  <c r="K517" i="1"/>
  <c r="K514" i="1"/>
  <c r="K515" i="1"/>
  <c r="K516" i="1"/>
  <c r="H1336" i="1"/>
  <c r="K1347" i="1"/>
  <c r="K1345" i="1"/>
  <c r="K1343" i="1"/>
  <c r="K1341" i="1"/>
  <c r="K1339" i="1"/>
  <c r="K1337" i="1"/>
  <c r="K1344" i="1"/>
  <c r="K1342" i="1"/>
  <c r="K1338" i="1"/>
  <c r="K1340" i="1"/>
  <c r="K1346" i="1"/>
  <c r="L892" i="1"/>
  <c r="L894" i="1"/>
  <c r="L891" i="1"/>
  <c r="L893" i="1"/>
  <c r="L258" i="1"/>
  <c r="L257" i="1"/>
  <c r="L1458" i="1"/>
  <c r="L1456" i="1"/>
  <c r="L1457" i="1"/>
  <c r="L625" i="1"/>
  <c r="L626" i="1"/>
  <c r="L629" i="1"/>
  <c r="L624" i="1"/>
  <c r="L627" i="1"/>
  <c r="L1186" i="1"/>
  <c r="L1191" i="1"/>
  <c r="L1190" i="1"/>
  <c r="L1187" i="1"/>
  <c r="L1189" i="1"/>
  <c r="L1188" i="1"/>
  <c r="L1207" i="1"/>
  <c r="L1209" i="1"/>
  <c r="L1206" i="1"/>
  <c r="L1210" i="1"/>
  <c r="L1208" i="1"/>
  <c r="L1204" i="1"/>
  <c r="L1205" i="1"/>
  <c r="H963" i="1"/>
  <c r="K968" i="1"/>
  <c r="K964" i="1"/>
  <c r="K966" i="1"/>
  <c r="K969" i="1"/>
  <c r="K965" i="1"/>
  <c r="K967" i="1"/>
  <c r="H602" i="1"/>
  <c r="K605" i="1"/>
  <c r="K603" i="1"/>
  <c r="K604" i="1"/>
  <c r="H14" i="1"/>
  <c r="H1770" i="1"/>
  <c r="H141" i="97" s="1"/>
  <c r="H989" i="1"/>
  <c r="P989" i="1" s="1"/>
  <c r="H27" i="1"/>
  <c r="K28" i="1"/>
  <c r="K29" i="1"/>
  <c r="H1169" i="1"/>
  <c r="K1171" i="1"/>
  <c r="K1170" i="1"/>
  <c r="K1172" i="1"/>
  <c r="H1379" i="1"/>
  <c r="K1380" i="1"/>
  <c r="K1384" i="1"/>
  <c r="K1387" i="1"/>
  <c r="K1383" i="1"/>
  <c r="K1386" i="1"/>
  <c r="K1381" i="1"/>
  <c r="K1382" i="1"/>
  <c r="K1385" i="1"/>
  <c r="H666" i="1"/>
  <c r="K691" i="1"/>
  <c r="K680" i="1"/>
  <c r="K678" i="1"/>
  <c r="K679" i="1"/>
  <c r="K690" i="1"/>
  <c r="K688" i="1"/>
  <c r="K686" i="1"/>
  <c r="K676" i="1"/>
  <c r="K669" i="1"/>
  <c r="K667" i="1"/>
  <c r="K689" i="1"/>
  <c r="K675" i="1"/>
  <c r="K668" i="1"/>
  <c r="K687" i="1"/>
  <c r="K684" i="1"/>
  <c r="K685" i="1"/>
  <c r="K677" i="1"/>
  <c r="H1446" i="1"/>
  <c r="K1447" i="1"/>
  <c r="K1449" i="1"/>
  <c r="K1448" i="1"/>
  <c r="H248" i="1"/>
  <c r="K250" i="1"/>
  <c r="K249" i="1"/>
  <c r="H213" i="1"/>
  <c r="K216" i="1"/>
  <c r="K215" i="1"/>
  <c r="K214" i="1"/>
  <c r="H1116" i="1"/>
  <c r="K1119" i="1"/>
  <c r="K1123" i="1"/>
  <c r="K1118" i="1"/>
  <c r="K1122" i="1"/>
  <c r="K1120" i="1"/>
  <c r="K1121" i="1"/>
  <c r="K1117" i="1"/>
  <c r="H706" i="1"/>
  <c r="K708" i="1"/>
  <c r="K707" i="1"/>
  <c r="K701" i="1"/>
  <c r="K700" i="1"/>
  <c r="H1173" i="1"/>
  <c r="K1180" i="1"/>
  <c r="K1179" i="1"/>
  <c r="K1174" i="1"/>
  <c r="K1181" i="1"/>
  <c r="K1178" i="1"/>
  <c r="K1176" i="1"/>
  <c r="K1175" i="1"/>
  <c r="H720" i="1"/>
  <c r="H1136" i="1"/>
  <c r="K1138" i="1"/>
  <c r="K1141" i="1"/>
  <c r="K1143" i="1"/>
  <c r="K1140" i="1"/>
  <c r="K1139" i="1"/>
  <c r="K1137" i="1"/>
  <c r="K1142" i="1"/>
  <c r="H307" i="1"/>
  <c r="H943" i="1"/>
  <c r="K947" i="1"/>
  <c r="K945" i="1"/>
  <c r="K949" i="1"/>
  <c r="K948" i="1"/>
  <c r="K946" i="1"/>
  <c r="H1971" i="1"/>
  <c r="K1971" i="1"/>
  <c r="E90" i="33"/>
  <c r="G90" i="33" s="1"/>
  <c r="D1654" i="1"/>
  <c r="H1652" i="1"/>
  <c r="P1652" i="1" s="1"/>
  <c r="C1652" i="1" s="1"/>
  <c r="I1652" i="1"/>
  <c r="N2078" i="1"/>
  <c r="H2078" i="1"/>
  <c r="P2078" i="1" s="1"/>
  <c r="C2078" i="1" s="1"/>
  <c r="H2248" i="1"/>
  <c r="P2248" i="1" s="1"/>
  <c r="C2248" i="1" s="1"/>
  <c r="J2248" i="1"/>
  <c r="H2062" i="1"/>
  <c r="P2062" i="1" s="1"/>
  <c r="C2062" i="1" s="1"/>
  <c r="N2062" i="1"/>
  <c r="D1730" i="1"/>
  <c r="D1722" i="1" s="1"/>
  <c r="D1720" i="1"/>
  <c r="D1637" i="1"/>
  <c r="H2249" i="1"/>
  <c r="P2249" i="1" s="1"/>
  <c r="C2249" i="1" s="1"/>
  <c r="J2249" i="1"/>
  <c r="H2165" i="1"/>
  <c r="D2181" i="1"/>
  <c r="I1712" i="1"/>
  <c r="H1712" i="1"/>
  <c r="P1712" i="1" s="1"/>
  <c r="C1712" i="1" s="1"/>
  <c r="EK184" i="16"/>
  <c r="B126" i="42"/>
  <c r="G126" i="42"/>
  <c r="I1709" i="1"/>
  <c r="H1709" i="1"/>
  <c r="P1709" i="1" s="1"/>
  <c r="C1709" i="1" s="1"/>
  <c r="G19" i="34"/>
  <c r="B19" i="34"/>
  <c r="H2005" i="1"/>
  <c r="E124" i="33"/>
  <c r="G124" i="33" s="1"/>
  <c r="P1966" i="1"/>
  <c r="C1966" i="1" s="1"/>
  <c r="L1966" i="1"/>
  <c r="G82" i="35"/>
  <c r="B82" i="35"/>
  <c r="G294" i="42"/>
  <c r="B294" i="42"/>
  <c r="L486" i="1"/>
  <c r="L487" i="1"/>
  <c r="L925" i="1"/>
  <c r="L928" i="1"/>
  <c r="L926" i="1"/>
  <c r="L927" i="1"/>
  <c r="L924" i="1"/>
  <c r="L423" i="1"/>
  <c r="L422" i="1"/>
  <c r="L1331" i="1"/>
  <c r="L1329" i="1"/>
  <c r="L1327" i="1"/>
  <c r="L1325" i="1"/>
  <c r="L1324" i="1"/>
  <c r="L1326" i="1"/>
  <c r="L1330" i="1"/>
  <c r="L1332" i="1"/>
  <c r="L1328" i="1"/>
  <c r="L458" i="1"/>
  <c r="L457" i="1"/>
  <c r="L459" i="1"/>
  <c r="L708" i="1"/>
  <c r="L700" i="1"/>
  <c r="L701" i="1"/>
  <c r="L707" i="1"/>
  <c r="L294" i="1"/>
  <c r="L292" i="1"/>
  <c r="L293" i="1"/>
  <c r="L1093" i="1"/>
  <c r="L1094" i="1"/>
  <c r="L1090" i="1"/>
  <c r="L1092" i="1"/>
  <c r="L1089" i="1"/>
  <c r="L1091" i="1"/>
  <c r="D1997" i="1"/>
  <c r="H1996" i="1"/>
  <c r="E115" i="33"/>
  <c r="G115" i="33" s="1"/>
  <c r="H890" i="1"/>
  <c r="K891" i="1"/>
  <c r="K892" i="1"/>
  <c r="K894" i="1"/>
  <c r="K893" i="1"/>
  <c r="H1419" i="1"/>
  <c r="K1421" i="1"/>
  <c r="K1420" i="1"/>
  <c r="K1422" i="1"/>
  <c r="H914" i="1"/>
  <c r="K917" i="1"/>
  <c r="K915" i="1"/>
  <c r="K918" i="1"/>
  <c r="K916" i="1"/>
  <c r="L1228" i="1"/>
  <c r="L1226" i="1"/>
  <c r="L1224" i="1"/>
  <c r="L1227" i="1"/>
  <c r="L1225" i="1"/>
  <c r="L319" i="1"/>
  <c r="L318" i="1"/>
  <c r="L320" i="1"/>
  <c r="L1015" i="1"/>
  <c r="L1016" i="1"/>
  <c r="L1019" i="1"/>
  <c r="L1018" i="1"/>
  <c r="L1017" i="1"/>
  <c r="L69" i="1"/>
  <c r="L68" i="1"/>
  <c r="D1491" i="1"/>
  <c r="D183" i="97" s="1"/>
  <c r="P1491" i="1"/>
  <c r="I183" i="97" s="1"/>
  <c r="L1346" i="1"/>
  <c r="L1337" i="1"/>
  <c r="L1347" i="1"/>
  <c r="L1338" i="1"/>
  <c r="L1342" i="1"/>
  <c r="L1343" i="1"/>
  <c r="L1339" i="1"/>
  <c r="L1345" i="1"/>
  <c r="L1344" i="1"/>
  <c r="L1341" i="1"/>
  <c r="L1340" i="1"/>
  <c r="L613" i="1"/>
  <c r="L649" i="1"/>
  <c r="L614" i="1"/>
  <c r="L660" i="1"/>
  <c r="L650" i="1"/>
  <c r="L606" i="1"/>
  <c r="L589" i="1"/>
  <c r="L661" i="1"/>
  <c r="L648" i="1"/>
  <c r="L617" i="1"/>
  <c r="L651" i="1"/>
  <c r="L616" i="1"/>
  <c r="L647" i="1"/>
  <c r="L607" i="1"/>
  <c r="L618" i="1"/>
  <c r="L588" i="1"/>
  <c r="P2027" i="1"/>
  <c r="I274" i="23"/>
  <c r="A274" i="23" s="1"/>
  <c r="L1475" i="1"/>
  <c r="L1474" i="1"/>
  <c r="L1476" i="1"/>
  <c r="L1149" i="1"/>
  <c r="L1151" i="1"/>
  <c r="L1153" i="1"/>
  <c r="L1150" i="1"/>
  <c r="L1148" i="1"/>
  <c r="L1152" i="1"/>
  <c r="L792" i="1"/>
  <c r="L793" i="1"/>
  <c r="L794" i="1"/>
  <c r="L791" i="1"/>
  <c r="L790" i="1"/>
  <c r="L285" i="1"/>
  <c r="L284" i="1"/>
  <c r="L1422" i="1"/>
  <c r="L1420" i="1"/>
  <c r="L1421" i="1"/>
  <c r="L984" i="1"/>
  <c r="L982" i="1"/>
  <c r="L986" i="1"/>
  <c r="L985" i="1"/>
  <c r="L983" i="1"/>
  <c r="L39" i="1"/>
  <c r="L38" i="1"/>
  <c r="L449" i="1"/>
  <c r="L450" i="1"/>
  <c r="L1303" i="1"/>
  <c r="L1301" i="1"/>
  <c r="L1299" i="1"/>
  <c r="L1297" i="1"/>
  <c r="L1295" i="1"/>
  <c r="L1304" i="1"/>
  <c r="L1296" i="1"/>
  <c r="L1298" i="1"/>
  <c r="L1300" i="1"/>
  <c r="L1302" i="1"/>
  <c r="L119" i="1"/>
  <c r="L118" i="1"/>
  <c r="L755" i="1"/>
  <c r="L754" i="1"/>
  <c r="L1438" i="1"/>
  <c r="L1439" i="1"/>
  <c r="L1440" i="1"/>
  <c r="P2316" i="1"/>
  <c r="L1312" i="1"/>
  <c r="L1315" i="1"/>
  <c r="L1319" i="1"/>
  <c r="L1314" i="1"/>
  <c r="L1313" i="1"/>
  <c r="L1310" i="1"/>
  <c r="L1318" i="1"/>
  <c r="L1317" i="1"/>
  <c r="L1316" i="1"/>
  <c r="H2044" i="1"/>
  <c r="H1281" i="1"/>
  <c r="K1290" i="1"/>
  <c r="K1283" i="1"/>
  <c r="K1284" i="1"/>
  <c r="K1282" i="1"/>
  <c r="K1289" i="1"/>
  <c r="K1285" i="1"/>
  <c r="K1286" i="1"/>
  <c r="K1287" i="1"/>
  <c r="K1288" i="1"/>
  <c r="H810" i="1"/>
  <c r="K820" i="1"/>
  <c r="K823" i="1"/>
  <c r="K812" i="1"/>
  <c r="K821" i="1"/>
  <c r="K822" i="1"/>
  <c r="K811" i="1"/>
  <c r="K813" i="1"/>
  <c r="K814" i="1"/>
  <c r="H63" i="1"/>
  <c r="K69" i="1"/>
  <c r="K68" i="1"/>
  <c r="H67" i="1"/>
  <c r="C67" i="1" s="1"/>
  <c r="H1063" i="1"/>
  <c r="K1064" i="1"/>
  <c r="K1066" i="1"/>
  <c r="K1065" i="1"/>
  <c r="K1068" i="1"/>
  <c r="K1067" i="1"/>
  <c r="H75" i="1"/>
  <c r="K97" i="1"/>
  <c r="K93" i="1"/>
  <c r="K96" i="1"/>
  <c r="K77" i="1"/>
  <c r="K78" i="1"/>
  <c r="K95" i="1"/>
  <c r="K94" i="1"/>
  <c r="K80" i="1"/>
  <c r="K79" i="1"/>
  <c r="K76" i="1"/>
  <c r="H1366" i="1"/>
  <c r="H727" i="1"/>
  <c r="K728" i="1"/>
  <c r="H196" i="1"/>
  <c r="K199" i="1"/>
  <c r="K197" i="1"/>
  <c r="K198" i="1"/>
  <c r="H356" i="1"/>
  <c r="H162" i="97" s="1"/>
  <c r="F8" i="107" s="1"/>
  <c r="F11" i="107" s="1"/>
  <c r="K359" i="1"/>
  <c r="K362" i="1"/>
  <c r="K364" i="1"/>
  <c r="K385" i="1"/>
  <c r="K384" i="1"/>
  <c r="K358" i="1"/>
  <c r="K387" i="1"/>
  <c r="K381" i="1"/>
  <c r="K379" i="1"/>
  <c r="K357" i="1"/>
  <c r="K382" i="1"/>
  <c r="K383" i="1"/>
  <c r="K378" i="1"/>
  <c r="K377" i="1"/>
  <c r="K380" i="1"/>
  <c r="K386" i="1"/>
  <c r="H291" i="1"/>
  <c r="K293" i="1"/>
  <c r="K294" i="1"/>
  <c r="K292" i="1"/>
  <c r="H1156" i="1"/>
  <c r="K1158" i="1"/>
  <c r="K1157" i="1"/>
  <c r="H753" i="1"/>
  <c r="H128" i="97" s="1"/>
  <c r="K755" i="1"/>
  <c r="K754" i="1"/>
  <c r="H18" i="1"/>
  <c r="K20" i="1"/>
  <c r="K154" i="1"/>
  <c r="K424" i="1"/>
  <c r="K30" i="1"/>
  <c r="K237" i="1"/>
  <c r="K145" i="1"/>
  <c r="K227" i="1"/>
  <c r="K488" i="1"/>
  <c r="K246" i="1"/>
  <c r="K310" i="1"/>
  <c r="K56" i="1"/>
  <c r="K259" i="1"/>
  <c r="K167" i="1"/>
  <c r="K498" i="1"/>
  <c r="K411" i="1"/>
  <c r="K19" i="1"/>
  <c r="H737" i="1"/>
  <c r="K739" i="1"/>
  <c r="K738" i="1"/>
  <c r="H1159" i="1"/>
  <c r="K1165" i="1"/>
  <c r="K1161" i="1"/>
  <c r="K1166" i="1"/>
  <c r="K1160" i="1"/>
  <c r="K1162" i="1"/>
  <c r="H409" i="1"/>
  <c r="H1014" i="1"/>
  <c r="K1018" i="1"/>
  <c r="K1016" i="1"/>
  <c r="K1017" i="1"/>
  <c r="K1015" i="1"/>
  <c r="K1019" i="1"/>
  <c r="CD184" i="16"/>
  <c r="I1641" i="1"/>
  <c r="H1641" i="1"/>
  <c r="P1641" i="1" s="1"/>
  <c r="C1641" i="1" s="1"/>
  <c r="BF307" i="70"/>
  <c r="G119" i="42"/>
  <c r="B119" i="42"/>
  <c r="L1980" i="1"/>
  <c r="P1980" i="1"/>
  <c r="B138" i="42"/>
  <c r="E139" i="42"/>
  <c r="E140" i="42" s="1"/>
  <c r="G138" i="42"/>
  <c r="G139" i="42" s="1"/>
  <c r="G140" i="42" s="1"/>
  <c r="N2059" i="1"/>
  <c r="H2059" i="1"/>
  <c r="P2059" i="1" s="1"/>
  <c r="C2059" i="1" s="1"/>
  <c r="H1711" i="1"/>
  <c r="P1711" i="1" s="1"/>
  <c r="C1711" i="1" s="1"/>
  <c r="I1711" i="1"/>
  <c r="D1713" i="1"/>
  <c r="G80" i="35"/>
  <c r="B80" i="35"/>
  <c r="B104" i="31"/>
  <c r="G104" i="31"/>
  <c r="D2195" i="1"/>
  <c r="G116" i="35"/>
  <c r="B116" i="35"/>
  <c r="G146" i="33"/>
  <c r="B146" i="33"/>
  <c r="H1579" i="1"/>
  <c r="P1579" i="1" s="1"/>
  <c r="C1579" i="1" s="1"/>
  <c r="J1579" i="1"/>
  <c r="E179" i="31"/>
  <c r="H2296" i="1"/>
  <c r="P2296" i="1" s="1"/>
  <c r="C2296" i="1" s="1"/>
  <c r="E282" i="42"/>
  <c r="D10" i="114" l="1"/>
  <c r="D8" i="114"/>
  <c r="D9" i="114"/>
  <c r="H90" i="97"/>
  <c r="J12" i="114"/>
  <c r="D11" i="114"/>
  <c r="H77" i="97"/>
  <c r="J13" i="114"/>
  <c r="H88" i="97"/>
  <c r="J11" i="114"/>
  <c r="E265" i="42"/>
  <c r="G265" i="42" s="1"/>
  <c r="D71" i="97"/>
  <c r="C2277" i="1"/>
  <c r="C71" i="97" s="1"/>
  <c r="I71" i="97"/>
  <c r="E205" i="42"/>
  <c r="G205" i="42" s="1"/>
  <c r="D90" i="97"/>
  <c r="H1163" i="1"/>
  <c r="H18" i="97" s="1"/>
  <c r="H131" i="97"/>
  <c r="H615" i="1"/>
  <c r="H169" i="97"/>
  <c r="D1757" i="1"/>
  <c r="E17" i="97"/>
  <c r="C2285" i="1"/>
  <c r="C6" i="97" s="1"/>
  <c r="I6" i="97"/>
  <c r="H573" i="23"/>
  <c r="H960" i="23"/>
  <c r="I960" i="23" s="1"/>
  <c r="A960" i="23" s="1"/>
  <c r="H592" i="23"/>
  <c r="H2854" i="23"/>
  <c r="H1804" i="23"/>
  <c r="H2853" i="23"/>
  <c r="H2859" i="23"/>
  <c r="H2857" i="23"/>
  <c r="H2855" i="23"/>
  <c r="H589" i="23"/>
  <c r="H2305" i="23"/>
  <c r="H2314" i="23"/>
  <c r="H2316" i="23" s="1"/>
  <c r="H1859" i="23"/>
  <c r="D373" i="23"/>
  <c r="D374" i="23" s="1"/>
  <c r="D375" i="23" s="1"/>
  <c r="D376" i="23" s="1"/>
  <c r="D377" i="23" s="1"/>
  <c r="D378" i="23" s="1"/>
  <c r="D379" i="23" s="1"/>
  <c r="D966" i="23"/>
  <c r="H594" i="23"/>
  <c r="G186" i="31"/>
  <c r="H1524" i="1"/>
  <c r="P1524" i="1" s="1"/>
  <c r="C1524" i="1" s="1"/>
  <c r="H2164" i="23"/>
  <c r="H2167" i="23"/>
  <c r="H2036" i="23"/>
  <c r="H2041" i="23"/>
  <c r="H2039" i="23"/>
  <c r="H2035" i="23"/>
  <c r="B120" i="31"/>
  <c r="B148" i="42"/>
  <c r="H486" i="23"/>
  <c r="H2318" i="23"/>
  <c r="H1699" i="23"/>
  <c r="H133" i="23"/>
  <c r="H2306" i="23"/>
  <c r="H491" i="23"/>
  <c r="H2312" i="23"/>
  <c r="H2161" i="23"/>
  <c r="H1709" i="23"/>
  <c r="H2320" i="23"/>
  <c r="P1872" i="1"/>
  <c r="H2322" i="23"/>
  <c r="H487" i="23"/>
  <c r="H2319" i="23"/>
  <c r="D1706" i="23"/>
  <c r="H1710" i="23"/>
  <c r="H2284" i="23"/>
  <c r="H488" i="23"/>
  <c r="H2311" i="23"/>
  <c r="H2331" i="23" s="1"/>
  <c r="H628" i="1"/>
  <c r="C628" i="1" s="1"/>
  <c r="H1099" i="1"/>
  <c r="H37" i="97" s="1"/>
  <c r="P1874" i="1"/>
  <c r="D2267" i="1"/>
  <c r="D168" i="97" s="1"/>
  <c r="H2869"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77" i="1"/>
  <c r="H371" i="1"/>
  <c r="H372" i="1"/>
  <c r="H373" i="1"/>
  <c r="H374" i="1"/>
  <c r="H361" i="1"/>
  <c r="H1914" i="1"/>
  <c r="H144" i="97" s="1"/>
  <c r="E263" i="42"/>
  <c r="G263" i="42" s="1"/>
  <c r="H639" i="1"/>
  <c r="H638" i="1"/>
  <c r="H645" i="1"/>
  <c r="H636" i="1"/>
  <c r="H640" i="1"/>
  <c r="H643" i="1"/>
  <c r="H641" i="1"/>
  <c r="H642" i="1"/>
  <c r="H637" i="1"/>
  <c r="P635" i="1"/>
  <c r="H644" i="1"/>
  <c r="H1812" i="23"/>
  <c r="H2796" i="23"/>
  <c r="D1807" i="23"/>
  <c r="D1816" i="23" s="1"/>
  <c r="D1830" i="23" s="1"/>
  <c r="D1845" i="23" s="1"/>
  <c r="D1851" i="23" s="1"/>
  <c r="D1871" i="23" s="1"/>
  <c r="H2799" i="23"/>
  <c r="H1810" i="23"/>
  <c r="H2798" i="23"/>
  <c r="H970" i="23"/>
  <c r="I970" i="23" s="1"/>
  <c r="A970" i="23" s="1"/>
  <c r="H1826" i="23"/>
  <c r="H1811" i="23"/>
  <c r="H2795"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74" i="1"/>
  <c r="H873" i="1"/>
  <c r="H870" i="1"/>
  <c r="H872" i="1"/>
  <c r="H871" i="1"/>
  <c r="H1507" i="1"/>
  <c r="P1507" i="1" s="1"/>
  <c r="C1507" i="1" s="1"/>
  <c r="D1508" i="1"/>
  <c r="H1508" i="1" s="1"/>
  <c r="P1508" i="1" s="1"/>
  <c r="C1508" i="1" s="1"/>
  <c r="J1507" i="1"/>
  <c r="M2158" i="1"/>
  <c r="H884" i="1"/>
  <c r="H881" i="1"/>
  <c r="H883" i="1"/>
  <c r="H882" i="1"/>
  <c r="H885" i="1"/>
  <c r="H880" i="1"/>
  <c r="P1853" i="1"/>
  <c r="H2247" i="1"/>
  <c r="P2247" i="1" s="1"/>
  <c r="C2247" i="1" s="1"/>
  <c r="H586" i="23"/>
  <c r="D1512" i="1"/>
  <c r="H1512" i="1" s="1"/>
  <c r="P1512" i="1" s="1"/>
  <c r="C1512" i="1" s="1"/>
  <c r="H588" i="23"/>
  <c r="H308" i="23"/>
  <c r="I308" i="23" s="1"/>
  <c r="A308" i="23" s="1"/>
  <c r="H585" i="23"/>
  <c r="G187" i="42"/>
  <c r="B187" i="42"/>
  <c r="H305" i="23"/>
  <c r="I305" i="23" s="1"/>
  <c r="A305" i="23" s="1"/>
  <c r="D1513" i="1"/>
  <c r="H1513" i="1" s="1"/>
  <c r="P1513" i="1" s="1"/>
  <c r="C1513" i="1" s="1"/>
  <c r="D1511" i="1"/>
  <c r="H2880" i="23"/>
  <c r="B224" i="42"/>
  <c r="G224" i="42"/>
  <c r="H322" i="23"/>
  <c r="D274" i="23"/>
  <c r="I344" i="23"/>
  <c r="A344" i="23" s="1"/>
  <c r="D2176" i="23"/>
  <c r="D2183" i="23" s="1"/>
  <c r="D2190" i="23" s="1"/>
  <c r="D2199" i="23" s="1"/>
  <c r="D2207" i="23" s="1"/>
  <c r="D2216" i="23" s="1"/>
  <c r="D2236" i="23" s="1"/>
  <c r="D2242" i="23" s="1"/>
  <c r="D2248" i="23" s="1"/>
  <c r="D2255" i="23" s="1"/>
  <c r="D2265" i="23" s="1"/>
  <c r="D2274" i="23" s="1"/>
  <c r="D2288" i="23" s="1"/>
  <c r="D2303" i="23" s="1"/>
  <c r="D2309" i="23" s="1"/>
  <c r="D2334" i="23" s="1"/>
  <c r="D1684" i="23"/>
  <c r="D1685" i="23" s="1"/>
  <c r="D1686" i="23" s="1"/>
  <c r="D1687" i="23" s="1"/>
  <c r="D1688" i="23" s="1"/>
  <c r="D1689" i="23" s="1"/>
  <c r="D1690" i="23" s="1"/>
  <c r="H131" i="23"/>
  <c r="H1813" i="23"/>
  <c r="D27" i="23"/>
  <c r="D28" i="23" s="1"/>
  <c r="D29" i="23" s="1"/>
  <c r="D30" i="23" s="1"/>
  <c r="D31" i="23" s="1"/>
  <c r="D32" i="23" s="1"/>
  <c r="H2790" i="23"/>
  <c r="H2833" i="23"/>
  <c r="H1815" i="23"/>
  <c r="H146" i="23"/>
  <c r="I146" i="23" s="1"/>
  <c r="A146" i="23" s="1"/>
  <c r="H1918" i="23"/>
  <c r="H2277" i="23"/>
  <c r="H2285" i="23" s="1"/>
  <c r="H2182" i="23"/>
  <c r="H2789" i="23"/>
  <c r="H2270" i="23"/>
  <c r="H2272" i="23" s="1"/>
  <c r="H2180" i="23"/>
  <c r="H2181" i="23" s="1"/>
  <c r="H2788" i="23"/>
  <c r="H2179" i="23"/>
  <c r="H2268" i="23"/>
  <c r="D2786" i="23"/>
  <c r="D2793" i="23" s="1"/>
  <c r="D2800" i="23" s="1"/>
  <c r="D2809" i="23" s="1"/>
  <c r="D2818" i="23" s="1"/>
  <c r="D2835" i="23" s="1"/>
  <c r="D2841" i="23" s="1"/>
  <c r="D2851" i="23" s="1"/>
  <c r="D2860" i="23" s="1"/>
  <c r="D2872" i="23" s="1"/>
  <c r="D2881" i="23" s="1"/>
  <c r="D2885" i="23" s="1"/>
  <c r="D2903" i="23" s="1"/>
  <c r="H2791" i="23"/>
  <c r="H1696" i="23"/>
  <c r="H2267" i="23"/>
  <c r="H2273"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D34" i="113"/>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H1533" i="1"/>
  <c r="P1533" i="1" s="1"/>
  <c r="C1533" i="1" s="1"/>
  <c r="D81" i="115"/>
  <c r="E12" i="108"/>
  <c r="D1882" i="1"/>
  <c r="E229" i="42" s="1"/>
  <c r="G229" i="42" s="1"/>
  <c r="D1907" i="1"/>
  <c r="D143" i="97" s="1"/>
  <c r="H938" i="1"/>
  <c r="H937" i="1"/>
  <c r="H935" i="1"/>
  <c r="H949" i="1"/>
  <c r="H948" i="1"/>
  <c r="H947" i="1"/>
  <c r="H945"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37" i="113"/>
  <c r="C2025" i="1"/>
  <c r="H2487" i="23"/>
  <c r="H661" i="23"/>
  <c r="H2473" i="23"/>
  <c r="H2471" i="23"/>
  <c r="H698" i="23"/>
  <c r="H692" i="23"/>
  <c r="H694" i="23" s="1"/>
  <c r="H668" i="23"/>
  <c r="H404" i="23"/>
  <c r="H672" i="23"/>
  <c r="H674" i="23" s="1"/>
  <c r="I124" i="23"/>
  <c r="A124" i="23" s="1"/>
  <c r="H2474" i="23"/>
  <c r="H2476" i="23" s="1"/>
  <c r="H2093" i="23"/>
  <c r="H2477" i="23"/>
  <c r="H1352" i="23"/>
  <c r="H150" i="23"/>
  <c r="I139" i="23"/>
  <c r="A139" i="23" s="1"/>
  <c r="H2472" i="23"/>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61" i="1"/>
  <c r="E115" i="31"/>
  <c r="K1758" i="1"/>
  <c r="K1750" i="1" s="1"/>
  <c r="I6" i="108"/>
  <c r="I15" i="108"/>
  <c r="I28" i="108"/>
  <c r="I13" i="108"/>
  <c r="B139" i="31"/>
  <c r="I22" i="108"/>
  <c r="I26" i="108"/>
  <c r="I32" i="108"/>
  <c r="I18" i="108"/>
  <c r="I31" i="108"/>
  <c r="L1967" i="1"/>
  <c r="I20" i="108"/>
  <c r="I16" i="108"/>
  <c r="I25" i="108"/>
  <c r="N2060" i="1"/>
  <c r="H2060" i="1"/>
  <c r="H1570" i="23"/>
  <c r="I1570" i="23" s="1"/>
  <c r="A1570" i="23" s="1"/>
  <c r="D1500" i="1"/>
  <c r="F106" i="31"/>
  <c r="H2486" i="23"/>
  <c r="D1528" i="1"/>
  <c r="D1527" i="1"/>
  <c r="D1529" i="1"/>
  <c r="J1526" i="1"/>
  <c r="H1526" i="1"/>
  <c r="P1526" i="1" s="1"/>
  <c r="C1526" i="1" s="1"/>
  <c r="H1224" i="23"/>
  <c r="J1525" i="1"/>
  <c r="H1525" i="1"/>
  <c r="P1525" i="1" s="1"/>
  <c r="C1525" i="1" s="1"/>
  <c r="I4" i="108"/>
  <c r="I30" i="108"/>
  <c r="I10" i="108"/>
  <c r="I7" i="108"/>
  <c r="I5" i="108"/>
  <c r="I11" i="108"/>
  <c r="I17" i="108"/>
  <c r="I19" i="108"/>
  <c r="D34" i="115"/>
  <c r="D20" i="115"/>
  <c r="D38" i="115"/>
  <c r="D23" i="115"/>
  <c r="D55" i="115"/>
  <c r="D69" i="115"/>
  <c r="D47" i="115"/>
  <c r="D24" i="115"/>
  <c r="L1976" i="1"/>
  <c r="H2130" i="1"/>
  <c r="P2130" i="1" s="1"/>
  <c r="C2130" i="1" s="1"/>
  <c r="N2130" i="1"/>
  <c r="H667" i="23"/>
  <c r="I33" i="97"/>
  <c r="I1832" i="1"/>
  <c r="I837" i="23"/>
  <c r="A837" i="23" s="1"/>
  <c r="I824" i="23"/>
  <c r="A824" i="23" s="1"/>
  <c r="I836" i="23"/>
  <c r="A836" i="23" s="1"/>
  <c r="I887" i="23"/>
  <c r="A887" i="23" s="1"/>
  <c r="J1532" i="1"/>
  <c r="H1532" i="1"/>
  <c r="P1532" i="1" s="1"/>
  <c r="C1532" i="1" s="1"/>
  <c r="H1531" i="1"/>
  <c r="P1531" i="1" s="1"/>
  <c r="C1531" i="1" s="1"/>
  <c r="J1531" i="1"/>
  <c r="G173" i="31"/>
  <c r="B173" i="31"/>
  <c r="I881" i="23"/>
  <c r="A881" i="23" s="1"/>
  <c r="I859" i="23"/>
  <c r="A859" i="23" s="1"/>
  <c r="J1571" i="1"/>
  <c r="H1571" i="1"/>
  <c r="P1571" i="1" s="1"/>
  <c r="C1571" i="1" s="1"/>
  <c r="B177" i="31"/>
  <c r="G177" i="31"/>
  <c r="I876" i="23"/>
  <c r="A876" i="23" s="1"/>
  <c r="H1509" i="1"/>
  <c r="P1509" i="1" s="1"/>
  <c r="C1509" i="1" s="1"/>
  <c r="J1509" i="1"/>
  <c r="G126" i="31"/>
  <c r="E127" i="31"/>
  <c r="E220" i="42"/>
  <c r="G220" i="42" s="1"/>
  <c r="P1801" i="1"/>
  <c r="P1799" i="1"/>
  <c r="P1800" i="1"/>
  <c r="P1784" i="1"/>
  <c r="I95" i="97" s="1"/>
  <c r="C1795" i="1"/>
  <c r="C167" i="97" s="1"/>
  <c r="L1796" i="1"/>
  <c r="C1783" i="1"/>
  <c r="C165" i="97" s="1"/>
  <c r="P1785" i="1"/>
  <c r="I64" i="97" s="1"/>
  <c r="D1815" i="1"/>
  <c r="D130" i="97" s="1"/>
  <c r="P2275" i="1"/>
  <c r="L1797" i="1"/>
  <c r="C2274" i="1"/>
  <c r="C4" i="97" s="1"/>
  <c r="H1166" i="23"/>
  <c r="I1166" i="23" s="1"/>
  <c r="A1166" i="23" s="1"/>
  <c r="H1111" i="23"/>
  <c r="I1111" i="23" s="1"/>
  <c r="A1111" i="23" s="1"/>
  <c r="I835" i="23"/>
  <c r="A835" i="23" s="1"/>
  <c r="H918" i="23"/>
  <c r="D1943" i="23"/>
  <c r="D1950" i="23" s="1"/>
  <c r="D1957" i="23" s="1"/>
  <c r="D1966" i="23" s="1"/>
  <c r="D1974" i="23" s="1"/>
  <c r="D1983" i="23" s="1"/>
  <c r="D2004" i="23" s="1"/>
  <c r="D2010" i="23" s="1"/>
  <c r="D2016" i="23" s="1"/>
  <c r="D2023" i="23" s="1"/>
  <c r="D2033" i="23" s="1"/>
  <c r="D2042" i="23" s="1"/>
  <c r="D2056" i="23" s="1"/>
  <c r="D2071" i="23" s="1"/>
  <c r="D2077" i="23" s="1"/>
  <c r="I891" i="23"/>
  <c r="A891" i="23" s="1"/>
  <c r="H899" i="23"/>
  <c r="H1629" i="23"/>
  <c r="H1649" i="23"/>
  <c r="I1649" i="23" s="1"/>
  <c r="A1649" i="23" s="1"/>
  <c r="I1633" i="23"/>
  <c r="A1633" i="23" s="1"/>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873" i="23"/>
  <c r="H878" i="23"/>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74" i="1"/>
  <c r="P1774" i="1" s="1"/>
  <c r="C1774" i="1" s="1"/>
  <c r="P1797" i="1"/>
  <c r="I79" i="97" s="1"/>
  <c r="P1796" i="1"/>
  <c r="I8" i="97" s="1"/>
  <c r="P1770" i="1"/>
  <c r="I141" i="97" s="1"/>
  <c r="H1771" i="1"/>
  <c r="H109" i="97" s="1"/>
  <c r="H1772" i="1"/>
  <c r="H42" i="97" s="1"/>
  <c r="H800" i="1"/>
  <c r="H115" i="97" s="1"/>
  <c r="H801" i="1"/>
  <c r="H111" i="97" s="1"/>
  <c r="C779" i="1"/>
  <c r="H782" i="1"/>
  <c r="H786" i="1"/>
  <c r="C786" i="1" s="1"/>
  <c r="H784" i="1"/>
  <c r="H781" i="1"/>
  <c r="H783" i="1"/>
  <c r="H787" i="1"/>
  <c r="C787" i="1" s="1"/>
  <c r="H788" i="1"/>
  <c r="C788" i="1" s="1"/>
  <c r="H785" i="1"/>
  <c r="H780" i="1"/>
  <c r="G130" i="31"/>
  <c r="E131" i="31"/>
  <c r="G131" i="31" s="1"/>
  <c r="D1929" i="23"/>
  <c r="D824" i="23"/>
  <c r="H2407" i="23"/>
  <c r="H2385" i="23"/>
  <c r="H2386" i="23" s="1"/>
  <c r="H2409" i="23"/>
  <c r="H1342" i="23"/>
  <c r="D73" i="23"/>
  <c r="D79" i="23" s="1"/>
  <c r="D100" i="23" s="1"/>
  <c r="D1447" i="23"/>
  <c r="H830" i="23"/>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A850" i="23" s="1"/>
  <c r="I864" i="23"/>
  <c r="A864" i="23" s="1"/>
  <c r="I869" i="23"/>
  <c r="A869" i="23" s="1"/>
  <c r="H858" i="23"/>
  <c r="H654" i="23"/>
  <c r="H651" i="23"/>
  <c r="H2400" i="23"/>
  <c r="I852" i="23"/>
  <c r="A852" i="23" s="1"/>
  <c r="I853" i="23"/>
  <c r="A853" i="23" s="1"/>
  <c r="D457" i="23"/>
  <c r="D458" i="23" s="1"/>
  <c r="D459" i="23" s="1"/>
  <c r="H2413" i="23"/>
  <c r="H2415" i="23"/>
  <c r="H2416" i="23"/>
  <c r="H2414" i="23"/>
  <c r="H2417" i="23"/>
  <c r="H699" i="23"/>
  <c r="H688" i="23"/>
  <c r="H700" i="23"/>
  <c r="I861" i="23"/>
  <c r="A861" i="23" s="1"/>
  <c r="I868" i="23"/>
  <c r="A868" i="23" s="1"/>
  <c r="I865" i="23"/>
  <c r="A865" i="23" s="1"/>
  <c r="H410" i="23"/>
  <c r="H411" i="23" s="1"/>
  <c r="H2401" i="23"/>
  <c r="H2402" i="23" s="1"/>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D30" i="113"/>
  <c r="C244" i="115" s="1"/>
  <c r="G264" i="42"/>
  <c r="C1983" i="1"/>
  <c r="C1981" i="1"/>
  <c r="C1980" i="1"/>
  <c r="D2032" i="1"/>
  <c r="P1963" i="1"/>
  <c r="C746" i="1"/>
  <c r="D2030" i="1"/>
  <c r="E147" i="33" s="1"/>
  <c r="G147" i="33" s="1"/>
  <c r="C1977" i="1"/>
  <c r="P1984" i="1"/>
  <c r="P1978" i="1"/>
  <c r="L1963" i="1"/>
  <c r="H2039" i="1"/>
  <c r="P2039" i="1" s="1"/>
  <c r="H619" i="1"/>
  <c r="H145" i="97" s="1"/>
  <c r="H2040" i="1"/>
  <c r="H2045" i="1"/>
  <c r="D2031" i="1"/>
  <c r="E148" i="33" s="1"/>
  <c r="G148" i="33" s="1"/>
  <c r="C1962" i="1"/>
  <c r="H2041"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I494" i="23"/>
  <c r="A494" i="23" s="1"/>
  <c r="H495" i="23"/>
  <c r="I487" i="23"/>
  <c r="A487" i="23" s="1"/>
  <c r="H493" i="23"/>
  <c r="I486" i="23"/>
  <c r="A486" i="23" s="1"/>
  <c r="H492" i="23"/>
  <c r="H969" i="23"/>
  <c r="I969" i="23" s="1"/>
  <c r="A969" i="23" s="1"/>
  <c r="H247" i="23"/>
  <c r="H246" i="23"/>
  <c r="H245" i="23"/>
  <c r="H248" i="23" s="1"/>
  <c r="G191" i="31"/>
  <c r="B191" i="31"/>
  <c r="L1975" i="1"/>
  <c r="K1772" i="1"/>
  <c r="E79" i="33"/>
  <c r="G79" i="33" s="1"/>
  <c r="D2051" i="1"/>
  <c r="D2052" i="1" s="1"/>
  <c r="H2052" i="1" s="1"/>
  <c r="P2052" i="1" s="1"/>
  <c r="C2052" i="1" s="1"/>
  <c r="H2037" i="1"/>
  <c r="H153" i="1"/>
  <c r="C153" i="1" s="1"/>
  <c r="C152" i="1"/>
  <c r="P1979" i="1"/>
  <c r="L1979" i="1"/>
  <c r="P841" i="1"/>
  <c r="C841" i="1" s="1"/>
  <c r="H848" i="1"/>
  <c r="C848" i="1" s="1"/>
  <c r="H842" i="1"/>
  <c r="C842" i="1" s="1"/>
  <c r="H844" i="1"/>
  <c r="C844" i="1" s="1"/>
  <c r="H845" i="1"/>
  <c r="C845" i="1" s="1"/>
  <c r="H843" i="1"/>
  <c r="C843" i="1" s="1"/>
  <c r="H846" i="1"/>
  <c r="C846" i="1" s="1"/>
  <c r="H849" i="1"/>
  <c r="C849" i="1" s="1"/>
  <c r="P1968" i="1"/>
  <c r="C1968" i="1" s="1"/>
  <c r="L1968" i="1"/>
  <c r="P1982" i="1"/>
  <c r="L1982" i="1"/>
  <c r="G179" i="31"/>
  <c r="B179" i="31"/>
  <c r="C727" i="1"/>
  <c r="H728" i="1"/>
  <c r="C728" i="1" s="1"/>
  <c r="P2044"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25" i="1"/>
  <c r="C925" i="1" s="1"/>
  <c r="H927" i="1"/>
  <c r="C927" i="1" s="1"/>
  <c r="H924" i="1"/>
  <c r="C924" i="1" s="1"/>
  <c r="H928" i="1"/>
  <c r="C928" i="1" s="1"/>
  <c r="P923" i="1"/>
  <c r="C923" i="1" s="1"/>
  <c r="H926" i="1"/>
  <c r="C926" i="1" s="1"/>
  <c r="L2345" i="1"/>
  <c r="P2345" i="1"/>
  <c r="C2345" i="1" s="1"/>
  <c r="P819" i="1"/>
  <c r="C819" i="1" s="1"/>
  <c r="H822" i="1"/>
  <c r="C822" i="1" s="1"/>
  <c r="H825" i="1"/>
  <c r="C825" i="1" s="1"/>
  <c r="H824" i="1"/>
  <c r="C824" i="1" s="1"/>
  <c r="H823" i="1"/>
  <c r="C823" i="1" s="1"/>
  <c r="H821" i="1"/>
  <c r="C821" i="1" s="1"/>
  <c r="H820" i="1"/>
  <c r="C820" i="1" s="1"/>
  <c r="P2023" i="1"/>
  <c r="C2023" i="1" s="1"/>
  <c r="P1970" i="1"/>
  <c r="C2027" i="1"/>
  <c r="H1422" i="1"/>
  <c r="C1422" i="1" s="1"/>
  <c r="H1420" i="1"/>
  <c r="C1420" i="1" s="1"/>
  <c r="P1419" i="1"/>
  <c r="C1419" i="1" s="1"/>
  <c r="H1421" i="1"/>
  <c r="C1421" i="1" s="1"/>
  <c r="H1997" i="1"/>
  <c r="D2000" i="1"/>
  <c r="D1998" i="1"/>
  <c r="E116" i="33"/>
  <c r="G116" i="33" s="1"/>
  <c r="H1384" i="1"/>
  <c r="C1384" i="1" s="1"/>
  <c r="H1380" i="1"/>
  <c r="C1380" i="1" s="1"/>
  <c r="H1386" i="1"/>
  <c r="C1386" i="1" s="1"/>
  <c r="P1379" i="1"/>
  <c r="C1379" i="1" s="1"/>
  <c r="H1387" i="1"/>
  <c r="C1387" i="1" s="1"/>
  <c r="H1382" i="1"/>
  <c r="C1382" i="1" s="1"/>
  <c r="H1381" i="1"/>
  <c r="C1381" i="1" s="1"/>
  <c r="H1385" i="1"/>
  <c r="C1385" i="1" s="1"/>
  <c r="H1383" i="1"/>
  <c r="C1383" i="1" s="1"/>
  <c r="H966" i="1"/>
  <c r="P963" i="1"/>
  <c r="H965" i="1"/>
  <c r="H970" i="1"/>
  <c r="H968" i="1"/>
  <c r="H969" i="1"/>
  <c r="H964" i="1"/>
  <c r="H967" i="1"/>
  <c r="H1344" i="1"/>
  <c r="C1344" i="1" s="1"/>
  <c r="H1343" i="1"/>
  <c r="C1343" i="1" s="1"/>
  <c r="H1340" i="1"/>
  <c r="C1340" i="1" s="1"/>
  <c r="H1347" i="1"/>
  <c r="C1347" i="1" s="1"/>
  <c r="H1338" i="1"/>
  <c r="C1338" i="1" s="1"/>
  <c r="H1339" i="1"/>
  <c r="C1339" i="1" s="1"/>
  <c r="H1346" i="1"/>
  <c r="C1346" i="1" s="1"/>
  <c r="H1337" i="1"/>
  <c r="C1337" i="1" s="1"/>
  <c r="P1336" i="1"/>
  <c r="C1336" i="1" s="1"/>
  <c r="H1345" i="1"/>
  <c r="C1345" i="1" s="1"/>
  <c r="H1342" i="1"/>
  <c r="C1342" i="1" s="1"/>
  <c r="H1341" i="1"/>
  <c r="C1341" i="1" s="1"/>
  <c r="M2164" i="1"/>
  <c r="P2164" i="1"/>
  <c r="C2164" i="1" s="1"/>
  <c r="H1244" i="1"/>
  <c r="C1244" i="1" s="1"/>
  <c r="P1239" i="1"/>
  <c r="C1239" i="1" s="1"/>
  <c r="H1243" i="1"/>
  <c r="C1243" i="1" s="1"/>
  <c r="H1241" i="1"/>
  <c r="C1241" i="1" s="1"/>
  <c r="H1240" i="1"/>
  <c r="C1240" i="1" s="1"/>
  <c r="H1247" i="1"/>
  <c r="C1247" i="1" s="1"/>
  <c r="H1246" i="1"/>
  <c r="C1246" i="1" s="1"/>
  <c r="H1248" i="1"/>
  <c r="C1248" i="1" s="1"/>
  <c r="H1245" i="1"/>
  <c r="C1245" i="1" s="1"/>
  <c r="H1242" i="1"/>
  <c r="C1242" i="1" s="1"/>
  <c r="H554" i="1"/>
  <c r="C554" i="1" s="1"/>
  <c r="C550" i="1"/>
  <c r="H551" i="1"/>
  <c r="C551" i="1" s="1"/>
  <c r="H553" i="1"/>
  <c r="C553" i="1" s="1"/>
  <c r="H552" i="1"/>
  <c r="C552" i="1" s="1"/>
  <c r="H556" i="1"/>
  <c r="C556" i="1" s="1"/>
  <c r="H997" i="1"/>
  <c r="H999" i="1"/>
  <c r="H998" i="1"/>
  <c r="P996" i="1"/>
  <c r="H1000" i="1"/>
  <c r="P2315" i="1"/>
  <c r="P1989" i="1"/>
  <c r="C1989" i="1" s="1"/>
  <c r="L1989" i="1"/>
  <c r="H1090" i="1"/>
  <c r="H1094" i="1"/>
  <c r="H1091" i="1"/>
  <c r="H1092" i="1"/>
  <c r="H1089" i="1"/>
  <c r="H1093" i="1"/>
  <c r="P1088" i="1"/>
  <c r="H1058" i="1"/>
  <c r="C1058" i="1" s="1"/>
  <c r="H1055" i="1"/>
  <c r="C1055" i="1" s="1"/>
  <c r="P1053" i="1"/>
  <c r="C1053" i="1" s="1"/>
  <c r="H1057" i="1"/>
  <c r="C1057" i="1" s="1"/>
  <c r="H1054" i="1"/>
  <c r="C1054" i="1" s="1"/>
  <c r="H1056" i="1"/>
  <c r="C1056" i="1" s="1"/>
  <c r="P1081" i="1"/>
  <c r="C1081" i="1" s="1"/>
  <c r="H1082" i="1"/>
  <c r="C1082" i="1" s="1"/>
  <c r="H1083" i="1"/>
  <c r="C1083" i="1" s="1"/>
  <c r="P2328" i="1"/>
  <c r="C2328" i="1" s="1"/>
  <c r="L2328" i="1"/>
  <c r="P2347" i="1"/>
  <c r="C2347" i="1" s="1"/>
  <c r="L2347" i="1"/>
  <c r="P2330" i="1"/>
  <c r="C2330" i="1" s="1"/>
  <c r="L2330" i="1"/>
  <c r="P2346" i="1"/>
  <c r="C2346" i="1" s="1"/>
  <c r="L2346" i="1"/>
  <c r="P1252" i="1"/>
  <c r="C1252" i="1" s="1"/>
  <c r="H1260" i="1"/>
  <c r="C1260" i="1" s="1"/>
  <c r="H1262" i="1"/>
  <c r="C1262" i="1" s="1"/>
  <c r="H1255" i="1"/>
  <c r="C1255" i="1" s="1"/>
  <c r="H1253" i="1"/>
  <c r="C1253" i="1" s="1"/>
  <c r="H1261" i="1"/>
  <c r="C1261" i="1" s="1"/>
  <c r="H1259" i="1"/>
  <c r="C1259" i="1" s="1"/>
  <c r="H1254" i="1"/>
  <c r="C1254" i="1" s="1"/>
  <c r="H1257" i="1"/>
  <c r="C1257" i="1" s="1"/>
  <c r="H1256" i="1"/>
  <c r="C1256" i="1" s="1"/>
  <c r="H1258" i="1"/>
  <c r="C1258" i="1" s="1"/>
  <c r="H466" i="1"/>
  <c r="C466" i="1" s="1"/>
  <c r="H467" i="1"/>
  <c r="C467" i="1" s="1"/>
  <c r="C465" i="1"/>
  <c r="H1474" i="1"/>
  <c r="C1474" i="1" s="1"/>
  <c r="P1473" i="1"/>
  <c r="C1473" i="1" s="1"/>
  <c r="H1476" i="1"/>
  <c r="C1476" i="1" s="1"/>
  <c r="H1475" i="1"/>
  <c r="C1475" i="1" s="1"/>
  <c r="H1128" i="1"/>
  <c r="C1128" i="1" s="1"/>
  <c r="H1132" i="1"/>
  <c r="C1132" i="1" s="1"/>
  <c r="H1131" i="1"/>
  <c r="C1131" i="1" s="1"/>
  <c r="H1133" i="1"/>
  <c r="C1133" i="1" s="1"/>
  <c r="P1127" i="1"/>
  <c r="C1127" i="1" s="1"/>
  <c r="H1129" i="1"/>
  <c r="C1129" i="1" s="1"/>
  <c r="H1130" i="1"/>
  <c r="C1130" i="1" s="1"/>
  <c r="H110" i="1"/>
  <c r="C110" i="1" s="1"/>
  <c r="C109" i="1"/>
  <c r="H111" i="1"/>
  <c r="C111" i="1" s="1"/>
  <c r="H328" i="1"/>
  <c r="C328" i="1" s="1"/>
  <c r="H329" i="1"/>
  <c r="C329" i="1" s="1"/>
  <c r="H327" i="1"/>
  <c r="C327" i="1" s="1"/>
  <c r="C326" i="1"/>
  <c r="H1816" i="1"/>
  <c r="H10" i="97" s="1"/>
  <c r="H1820" i="1"/>
  <c r="H27" i="97" s="1"/>
  <c r="H1817" i="1"/>
  <c r="H101" i="97" s="1"/>
  <c r="C1819" i="1"/>
  <c r="H1818" i="1"/>
  <c r="P1818" i="1" s="1"/>
  <c r="C1818" i="1" s="1"/>
  <c r="H1821" i="1"/>
  <c r="P1821" i="1" s="1"/>
  <c r="C1821" i="1" s="1"/>
  <c r="P1815" i="1"/>
  <c r="I130" i="97" s="1"/>
  <c r="C45" i="1"/>
  <c r="H46" i="1"/>
  <c r="C46" i="1" s="1"/>
  <c r="H47" i="1"/>
  <c r="C47" i="1" s="1"/>
  <c r="H1466" i="1"/>
  <c r="C1466" i="1" s="1"/>
  <c r="H1467" i="1"/>
  <c r="C1467" i="1" s="1"/>
  <c r="H1465" i="1"/>
  <c r="C1465" i="1" s="1"/>
  <c r="P1464" i="1"/>
  <c r="C1464" i="1" s="1"/>
  <c r="P2334" i="1"/>
  <c r="C2334" i="1" s="1"/>
  <c r="L2334" i="1"/>
  <c r="L2348" i="1"/>
  <c r="P2348" i="1"/>
  <c r="C2348" i="1" s="1"/>
  <c r="B127" i="33"/>
  <c r="G127" i="33"/>
  <c r="C188" i="1"/>
  <c r="H190" i="1"/>
  <c r="C190" i="1" s="1"/>
  <c r="H189" i="1"/>
  <c r="C189" i="1" s="1"/>
  <c r="I1713" i="1"/>
  <c r="H1713" i="1"/>
  <c r="P1713" i="1" s="1"/>
  <c r="C1713" i="1" s="1"/>
  <c r="H411" i="1"/>
  <c r="C411" i="1" s="1"/>
  <c r="H410" i="1"/>
  <c r="C410" i="1" s="1"/>
  <c r="H412" i="1"/>
  <c r="C412" i="1" s="1"/>
  <c r="C409" i="1"/>
  <c r="H754" i="1"/>
  <c r="H19" i="97" s="1"/>
  <c r="H755" i="1"/>
  <c r="H142" i="97" s="1"/>
  <c r="H756" i="1"/>
  <c r="H129" i="97" s="1"/>
  <c r="P753" i="1"/>
  <c r="I128" i="97" s="1"/>
  <c r="H359" i="1"/>
  <c r="H127" i="97" s="1"/>
  <c r="H357" i="1"/>
  <c r="H125" i="97" s="1"/>
  <c r="H358" i="1"/>
  <c r="H126" i="97" s="1"/>
  <c r="H375" i="1"/>
  <c r="H134" i="97" s="1"/>
  <c r="H388" i="1"/>
  <c r="C388" i="1" s="1"/>
  <c r="H384" i="1"/>
  <c r="C384" i="1" s="1"/>
  <c r="H387" i="1"/>
  <c r="C387" i="1" s="1"/>
  <c r="P356" i="1"/>
  <c r="I162" i="97" s="1"/>
  <c r="G8" i="107" s="1"/>
  <c r="G11" i="107" s="1"/>
  <c r="H393" i="1"/>
  <c r="C393" i="1" s="1"/>
  <c r="H370" i="1"/>
  <c r="H196" i="97" s="1"/>
  <c r="H381" i="1"/>
  <c r="C381" i="1" s="1"/>
  <c r="H369" i="1"/>
  <c r="H54" i="97" s="1"/>
  <c r="H385" i="1"/>
  <c r="C385" i="1" s="1"/>
  <c r="H389" i="1"/>
  <c r="C389" i="1" s="1"/>
  <c r="H377" i="1"/>
  <c r="C377" i="1" s="1"/>
  <c r="H380" i="1"/>
  <c r="C380" i="1" s="1"/>
  <c r="H390" i="1"/>
  <c r="C390" i="1" s="1"/>
  <c r="H395" i="1"/>
  <c r="C395" i="1" s="1"/>
  <c r="H379" i="1"/>
  <c r="C379" i="1" s="1"/>
  <c r="H392" i="1"/>
  <c r="C392" i="1" s="1"/>
  <c r="H378" i="1"/>
  <c r="C378" i="1" s="1"/>
  <c r="H368" i="1"/>
  <c r="H53" i="97" s="1"/>
  <c r="H391" i="1"/>
  <c r="C391" i="1" s="1"/>
  <c r="H386" i="1"/>
  <c r="C386" i="1" s="1"/>
  <c r="H394" i="1"/>
  <c r="C394" i="1" s="1"/>
  <c r="H383" i="1"/>
  <c r="C383" i="1" s="1"/>
  <c r="H382" i="1"/>
  <c r="C382" i="1" s="1"/>
  <c r="H1068" i="1"/>
  <c r="C1068" i="1" s="1"/>
  <c r="H1067" i="1"/>
  <c r="C1067" i="1" s="1"/>
  <c r="H1065" i="1"/>
  <c r="C1065" i="1" s="1"/>
  <c r="H1064" i="1"/>
  <c r="C1064" i="1" s="1"/>
  <c r="P1063" i="1"/>
  <c r="C1063" i="1" s="1"/>
  <c r="H1066" i="1"/>
  <c r="C1066" i="1" s="1"/>
  <c r="H1167" i="1"/>
  <c r="H151" i="97" s="1"/>
  <c r="H1165" i="1"/>
  <c r="H124" i="97" s="1"/>
  <c r="P1159" i="1"/>
  <c r="H1166" i="1"/>
  <c r="H100" i="97" s="1"/>
  <c r="H1160" i="1"/>
  <c r="H63" i="97" s="1"/>
  <c r="H1162" i="1"/>
  <c r="H86" i="97" s="1"/>
  <c r="H1161" i="1"/>
  <c r="H118" i="97" s="1"/>
  <c r="C2316" i="1"/>
  <c r="H252" i="1"/>
  <c r="H250" i="1"/>
  <c r="P248" i="1"/>
  <c r="H251" i="1"/>
  <c r="H249" i="1"/>
  <c r="H28" i="1"/>
  <c r="C28" i="1" s="1"/>
  <c r="H29" i="1"/>
  <c r="C29" i="1" s="1"/>
  <c r="C27" i="1"/>
  <c r="C602" i="1"/>
  <c r="H607" i="1"/>
  <c r="C607" i="1" s="1"/>
  <c r="H603" i="1"/>
  <c r="C603" i="1" s="1"/>
  <c r="H605" i="1"/>
  <c r="C605" i="1" s="1"/>
  <c r="H610" i="1"/>
  <c r="C610" i="1" s="1"/>
  <c r="H611" i="1"/>
  <c r="C611" i="1" s="1"/>
  <c r="H606" i="1"/>
  <c r="C606" i="1" s="1"/>
  <c r="H604" i="1"/>
  <c r="C604" i="1" s="1"/>
  <c r="H608" i="1"/>
  <c r="C608" i="1" s="1"/>
  <c r="H609" i="1"/>
  <c r="C609" i="1" s="1"/>
  <c r="H1113" i="1"/>
  <c r="C1113" i="1" s="1"/>
  <c r="H1114" i="1"/>
  <c r="C1114" i="1" s="1"/>
  <c r="P1112" i="1"/>
  <c r="C1112" i="1" s="1"/>
  <c r="H1115" i="1"/>
  <c r="C1115" i="1" s="1"/>
  <c r="H1104" i="1"/>
  <c r="H1105" i="1"/>
  <c r="H1108" i="1"/>
  <c r="H1110" i="1"/>
  <c r="H1106" i="1"/>
  <c r="H1109" i="1"/>
  <c r="P1103" i="1"/>
  <c r="H1107" i="1"/>
  <c r="P1309" i="1"/>
  <c r="C1309" i="1" s="1"/>
  <c r="H1316" i="1"/>
  <c r="C1316" i="1" s="1"/>
  <c r="H1310" i="1"/>
  <c r="C1310" i="1" s="1"/>
  <c r="H1317" i="1"/>
  <c r="C1317" i="1" s="1"/>
  <c r="H1315" i="1"/>
  <c r="C1315" i="1" s="1"/>
  <c r="H1318" i="1"/>
  <c r="C1318" i="1" s="1"/>
  <c r="H1319" i="1"/>
  <c r="C1319" i="1" s="1"/>
  <c r="H1314" i="1"/>
  <c r="C1314" i="1" s="1"/>
  <c r="H1312" i="1"/>
  <c r="C1312" i="1" s="1"/>
  <c r="H1313" i="1"/>
  <c r="C1313" i="1" s="1"/>
  <c r="D1750" i="1"/>
  <c r="D138" i="97" s="1"/>
  <c r="H432" i="1"/>
  <c r="C432" i="1" s="1"/>
  <c r="H438" i="1"/>
  <c r="C438" i="1" s="1"/>
  <c r="H444" i="1"/>
  <c r="C444" i="1" s="1"/>
  <c r="H447" i="1"/>
  <c r="C447" i="1" s="1"/>
  <c r="H436" i="1"/>
  <c r="C436" i="1" s="1"/>
  <c r="C431" i="1"/>
  <c r="H445" i="1"/>
  <c r="C445" i="1" s="1"/>
  <c r="H443" i="1"/>
  <c r="C443" i="1" s="1"/>
  <c r="H435" i="1"/>
  <c r="C435" i="1" s="1"/>
  <c r="H442" i="1"/>
  <c r="C442" i="1" s="1"/>
  <c r="H433" i="1"/>
  <c r="C433" i="1" s="1"/>
  <c r="H439" i="1"/>
  <c r="C439" i="1" s="1"/>
  <c r="H434" i="1"/>
  <c r="C434" i="1" s="1"/>
  <c r="H437" i="1"/>
  <c r="C437" i="1" s="1"/>
  <c r="H440" i="1"/>
  <c r="C440" i="1" s="1"/>
  <c r="H446" i="1"/>
  <c r="C446" i="1" s="1"/>
  <c r="H441" i="1"/>
  <c r="C441" i="1" s="1"/>
  <c r="H246" i="1"/>
  <c r="H163" i="97" s="1"/>
  <c r="H245" i="1"/>
  <c r="H195" i="97" s="1"/>
  <c r="P244" i="1"/>
  <c r="I161" i="97" s="1"/>
  <c r="H734" i="1"/>
  <c r="C734" i="1" s="1"/>
  <c r="H733" i="1"/>
  <c r="C733" i="1" s="1"/>
  <c r="H732" i="1"/>
  <c r="C732" i="1" s="1"/>
  <c r="H735" i="1"/>
  <c r="C735" i="1" s="1"/>
  <c r="C731" i="1"/>
  <c r="H475" i="1"/>
  <c r="C475" i="1" s="1"/>
  <c r="H477" i="1"/>
  <c r="C477" i="1" s="1"/>
  <c r="H474" i="1"/>
  <c r="C474" i="1" s="1"/>
  <c r="C473" i="1"/>
  <c r="H476" i="1"/>
  <c r="C476" i="1" s="1"/>
  <c r="L2357" i="1"/>
  <c r="P2357" i="1"/>
  <c r="C2357" i="1" s="1"/>
  <c r="L2355" i="1"/>
  <c r="P2355" i="1"/>
  <c r="C2355" i="1" s="1"/>
  <c r="P2333" i="1"/>
  <c r="C2333" i="1" s="1"/>
  <c r="L2333" i="1"/>
  <c r="L2352" i="1"/>
  <c r="P2352" i="1"/>
  <c r="C2352" i="1" s="1"/>
  <c r="P2359" i="1"/>
  <c r="C2359" i="1" s="1"/>
  <c r="L2359" i="1"/>
  <c r="D2245" i="1"/>
  <c r="J2246" i="1"/>
  <c r="H2246" i="1"/>
  <c r="P2246" i="1" s="1"/>
  <c r="C2246" i="1" s="1"/>
  <c r="P1147" i="1"/>
  <c r="C1147" i="1" s="1"/>
  <c r="H1149" i="1"/>
  <c r="C1149" i="1" s="1"/>
  <c r="H1151" i="1"/>
  <c r="C1151" i="1" s="1"/>
  <c r="H1153" i="1"/>
  <c r="C1153" i="1" s="1"/>
  <c r="H1148" i="1"/>
  <c r="C1148" i="1" s="1"/>
  <c r="H1150" i="1"/>
  <c r="C1150" i="1" s="1"/>
  <c r="H1152" i="1"/>
  <c r="C1152" i="1" s="1"/>
  <c r="H268" i="1"/>
  <c r="C268" i="1" s="1"/>
  <c r="C266" i="1"/>
  <c r="H267" i="1"/>
  <c r="C267" i="1" s="1"/>
  <c r="C2024" i="1"/>
  <c r="L1990" i="1"/>
  <c r="P1990" i="1"/>
  <c r="C1990" i="1" s="1"/>
  <c r="H575" i="1"/>
  <c r="C575" i="1" s="1"/>
  <c r="C574" i="1"/>
  <c r="H576" i="1"/>
  <c r="C576" i="1" s="1"/>
  <c r="H596" i="1"/>
  <c r="C596" i="1" s="1"/>
  <c r="H577" i="1"/>
  <c r="C577" i="1" s="1"/>
  <c r="H597" i="1"/>
  <c r="C597" i="1" s="1"/>
  <c r="H595" i="1"/>
  <c r="C595" i="1" s="1"/>
  <c r="H1440" i="1"/>
  <c r="C1440" i="1" s="1"/>
  <c r="H1438" i="1"/>
  <c r="C1438" i="1" s="1"/>
  <c r="H1439" i="1"/>
  <c r="C1439" i="1" s="1"/>
  <c r="P1437" i="1"/>
  <c r="C1437" i="1" s="1"/>
  <c r="H1429" i="1"/>
  <c r="C1429" i="1" s="1"/>
  <c r="H1431" i="1"/>
  <c r="C1431" i="1" s="1"/>
  <c r="P1428" i="1"/>
  <c r="C1428" i="1" s="1"/>
  <c r="H1430" i="1"/>
  <c r="C1430" i="1" s="1"/>
  <c r="H423" i="1"/>
  <c r="C423" i="1" s="1"/>
  <c r="C421" i="1"/>
  <c r="H422" i="1"/>
  <c r="C422" i="1" s="1"/>
  <c r="D298" i="23"/>
  <c r="D303" i="23" s="1"/>
  <c r="D309" i="23" s="1"/>
  <c r="P1973" i="1"/>
  <c r="H1047" i="1"/>
  <c r="C1047" i="1" s="1"/>
  <c r="H1046" i="1"/>
  <c r="C1046" i="1" s="1"/>
  <c r="P1043" i="1"/>
  <c r="C1043" i="1" s="1"/>
  <c r="H1048" i="1"/>
  <c r="C1048" i="1" s="1"/>
  <c r="H1044" i="1"/>
  <c r="C1044" i="1" s="1"/>
  <c r="H1045" i="1"/>
  <c r="C1045" i="1" s="1"/>
  <c r="H1330" i="1"/>
  <c r="C1330" i="1" s="1"/>
  <c r="H1329" i="1"/>
  <c r="C1329" i="1" s="1"/>
  <c r="H1328" i="1"/>
  <c r="C1328" i="1" s="1"/>
  <c r="H1331" i="1"/>
  <c r="C1331" i="1" s="1"/>
  <c r="H1326" i="1"/>
  <c r="C1326" i="1" s="1"/>
  <c r="H1325" i="1"/>
  <c r="C1325" i="1" s="1"/>
  <c r="P1323" i="1"/>
  <c r="C1323" i="1" s="1"/>
  <c r="H1324" i="1"/>
  <c r="C1324" i="1" s="1"/>
  <c r="H1332" i="1"/>
  <c r="C1332" i="1" s="1"/>
  <c r="H1327" i="1"/>
  <c r="C1327" i="1" s="1"/>
  <c r="D1517" i="1"/>
  <c r="H1515" i="1"/>
  <c r="P1515" i="1" s="1"/>
  <c r="C1515" i="1" s="1"/>
  <c r="J1515" i="1"/>
  <c r="H39" i="1"/>
  <c r="C39" i="1" s="1"/>
  <c r="C37" i="1"/>
  <c r="H38" i="1"/>
  <c r="C38" i="1" s="1"/>
  <c r="I279" i="23"/>
  <c r="A279" i="23" s="1"/>
  <c r="H1186" i="1"/>
  <c r="C1186" i="1" s="1"/>
  <c r="H1189" i="1"/>
  <c r="C1189" i="1" s="1"/>
  <c r="H1187" i="1"/>
  <c r="C1187" i="1" s="1"/>
  <c r="H1188" i="1"/>
  <c r="C1188" i="1" s="1"/>
  <c r="P1185" i="1"/>
  <c r="C1185" i="1" s="1"/>
  <c r="H1190" i="1"/>
  <c r="C1190" i="1" s="1"/>
  <c r="H1191" i="1"/>
  <c r="C1191" i="1" s="1"/>
  <c r="P2349" i="1"/>
  <c r="C2349" i="1" s="1"/>
  <c r="L2349" i="1"/>
  <c r="P2344" i="1"/>
  <c r="C2344" i="1" s="1"/>
  <c r="L2344" i="1"/>
  <c r="L2356" i="1"/>
  <c r="P2356" i="1"/>
  <c r="C2356" i="1" s="1"/>
  <c r="L2331" i="1"/>
  <c r="P2331" i="1"/>
  <c r="C2331" i="1" s="1"/>
  <c r="B197" i="31"/>
  <c r="G197" i="31"/>
  <c r="H934" i="1"/>
  <c r="H936" i="1"/>
  <c r="C936" i="1" s="1"/>
  <c r="P933" i="1"/>
  <c r="J1545" i="1"/>
  <c r="H1545" i="1"/>
  <c r="P1545" i="1" s="1"/>
  <c r="C1545" i="1" s="1"/>
  <c r="D1546" i="1"/>
  <c r="D1547" i="1"/>
  <c r="D1548" i="1"/>
  <c r="H1036" i="1"/>
  <c r="C1036" i="1" s="1"/>
  <c r="H1038" i="1"/>
  <c r="C1038" i="1" s="1"/>
  <c r="P1034" i="1"/>
  <c r="C1034" i="1" s="1"/>
  <c r="H1035" i="1"/>
  <c r="C1035" i="1" s="1"/>
  <c r="H1037" i="1"/>
  <c r="C1037" i="1" s="1"/>
  <c r="H339" i="23"/>
  <c r="I333" i="23"/>
  <c r="A333" i="23" s="1"/>
  <c r="H335" i="23"/>
  <c r="H336" i="23"/>
  <c r="H338" i="23"/>
  <c r="H645" i="23"/>
  <c r="H644" i="23"/>
  <c r="H647" i="23"/>
  <c r="H646" i="23"/>
  <c r="P1987" i="1"/>
  <c r="C1987" i="1" s="1"/>
  <c r="L1987" i="1"/>
  <c r="G188" i="31"/>
  <c r="B188" i="31"/>
  <c r="H1117" i="1"/>
  <c r="C1117" i="1" s="1"/>
  <c r="H1121" i="1"/>
  <c r="C1121" i="1" s="1"/>
  <c r="H1118" i="1"/>
  <c r="C1118" i="1" s="1"/>
  <c r="H1123" i="1"/>
  <c r="C1123" i="1" s="1"/>
  <c r="H1122" i="1"/>
  <c r="C1122" i="1" s="1"/>
  <c r="H1120" i="1"/>
  <c r="C1120" i="1" s="1"/>
  <c r="P1116" i="1"/>
  <c r="C1116" i="1" s="1"/>
  <c r="H1119" i="1"/>
  <c r="C1119" i="1" s="1"/>
  <c r="P992" i="1"/>
  <c r="C992" i="1" s="1"/>
  <c r="C989" i="1"/>
  <c r="P993" i="1"/>
  <c r="C993" i="1" s="1"/>
  <c r="P990" i="1"/>
  <c r="C990" i="1" s="1"/>
  <c r="P991" i="1"/>
  <c r="C991" i="1" s="1"/>
  <c r="G282" i="42"/>
  <c r="B282" i="42"/>
  <c r="H2195" i="1"/>
  <c r="P2195" i="1" s="1"/>
  <c r="C2195" i="1" s="1"/>
  <c r="D2234" i="1"/>
  <c r="H2234" i="1" s="1"/>
  <c r="P2234" i="1" s="1"/>
  <c r="C2234" i="1" s="1"/>
  <c r="H1158" i="1"/>
  <c r="C1158" i="1" s="1"/>
  <c r="P1156" i="1"/>
  <c r="C1156" i="1" s="1"/>
  <c r="H1157" i="1"/>
  <c r="C1157" i="1" s="1"/>
  <c r="I1637" i="1"/>
  <c r="H1637" i="1"/>
  <c r="P1637" i="1" s="1"/>
  <c r="C1637" i="1" s="1"/>
  <c r="H944" i="1"/>
  <c r="H946" i="1"/>
  <c r="C946" i="1" s="1"/>
  <c r="P943" i="1"/>
  <c r="P1482" i="1"/>
  <c r="C1482" i="1" s="1"/>
  <c r="H1485" i="1"/>
  <c r="C1485" i="1" s="1"/>
  <c r="H1484" i="1"/>
  <c r="C1484" i="1" s="1"/>
  <c r="H1483" i="1"/>
  <c r="C1483" i="1" s="1"/>
  <c r="H144" i="1"/>
  <c r="C144" i="1" s="1"/>
  <c r="C142" i="1"/>
  <c r="H143" i="1"/>
  <c r="C143" i="1" s="1"/>
  <c r="H2165" i="23"/>
  <c r="H2166" i="23"/>
  <c r="P1073" i="1"/>
  <c r="C1073" i="1" s="1"/>
  <c r="H1075" i="1"/>
  <c r="C1075" i="1" s="1"/>
  <c r="H1076" i="1"/>
  <c r="C1076" i="1" s="1"/>
  <c r="H1074" i="1"/>
  <c r="C1074" i="1" s="1"/>
  <c r="H982" i="1"/>
  <c r="C982" i="1" s="1"/>
  <c r="H983" i="1"/>
  <c r="C983" i="1" s="1"/>
  <c r="H986" i="1"/>
  <c r="C986" i="1" s="1"/>
  <c r="H985" i="1"/>
  <c r="C985" i="1" s="1"/>
  <c r="H984" i="1"/>
  <c r="C984" i="1" s="1"/>
  <c r="P981" i="1"/>
  <c r="C981" i="1" s="1"/>
  <c r="G189" i="31"/>
  <c r="B189" i="31"/>
  <c r="H714" i="1"/>
  <c r="P713" i="1"/>
  <c r="H716" i="1"/>
  <c r="H715" i="1"/>
  <c r="P2360" i="1"/>
  <c r="C2360" i="1" s="1"/>
  <c r="L2360" i="1"/>
  <c r="P2362" i="1"/>
  <c r="C2362" i="1" s="1"/>
  <c r="L2362" i="1"/>
  <c r="P2336" i="1"/>
  <c r="C2336" i="1" s="1"/>
  <c r="L2336" i="1"/>
  <c r="D2235" i="1"/>
  <c r="H2235" i="1" s="1"/>
  <c r="P2235" i="1" s="1"/>
  <c r="C2235" i="1" s="1"/>
  <c r="H2210" i="1"/>
  <c r="P2210" i="1" s="1"/>
  <c r="C2210" i="1" s="1"/>
  <c r="H590" i="1"/>
  <c r="P590" i="1" s="1"/>
  <c r="C590" i="1" s="1"/>
  <c r="H589" i="1"/>
  <c r="H586" i="1"/>
  <c r="P586" i="1" s="1"/>
  <c r="C586" i="1" s="1"/>
  <c r="H591" i="1"/>
  <c r="P591" i="1" s="1"/>
  <c r="C591" i="1" s="1"/>
  <c r="H587" i="1"/>
  <c r="P587" i="1" s="1"/>
  <c r="C587" i="1" s="1"/>
  <c r="H585" i="1"/>
  <c r="P585" i="1" s="1"/>
  <c r="C585" i="1" s="1"/>
  <c r="P584" i="1"/>
  <c r="H588" i="1"/>
  <c r="H536" i="1"/>
  <c r="C536" i="1" s="1"/>
  <c r="H537" i="1"/>
  <c r="C537" i="1" s="1"/>
  <c r="H558" i="1"/>
  <c r="C558" i="1" s="1"/>
  <c r="H542" i="1"/>
  <c r="C542" i="1" s="1"/>
  <c r="H535" i="1"/>
  <c r="C535" i="1" s="1"/>
  <c r="C534" i="1"/>
  <c r="H559" i="1"/>
  <c r="C559" i="1" s="1"/>
  <c r="H543" i="1"/>
  <c r="C543" i="1" s="1"/>
  <c r="E155" i="42"/>
  <c r="E154" i="42"/>
  <c r="H624" i="1"/>
  <c r="H626" i="1"/>
  <c r="H632" i="1"/>
  <c r="H629" i="1"/>
  <c r="H625" i="1"/>
  <c r="H634" i="1"/>
  <c r="C634" i="1" s="1"/>
  <c r="H630" i="1"/>
  <c r="H633" i="1"/>
  <c r="P623" i="1"/>
  <c r="H627" i="1"/>
  <c r="C627" i="1" s="1"/>
  <c r="H631" i="1"/>
  <c r="P1194" i="1"/>
  <c r="C1194" i="1" s="1"/>
  <c r="H1199" i="1"/>
  <c r="C1199" i="1" s="1"/>
  <c r="H1195" i="1"/>
  <c r="C1195" i="1" s="1"/>
  <c r="H1198" i="1"/>
  <c r="C1198" i="1" s="1"/>
  <c r="H1196" i="1"/>
  <c r="C1196" i="1" s="1"/>
  <c r="H1200" i="1"/>
  <c r="C1200" i="1" s="1"/>
  <c r="H1197" i="1"/>
  <c r="C1197" i="1" s="1"/>
  <c r="C413" i="1"/>
  <c r="H414" i="1"/>
  <c r="C414" i="1" s="1"/>
  <c r="H415" i="1"/>
  <c r="C415" i="1" s="1"/>
  <c r="B186" i="42"/>
  <c r="H1654" i="1"/>
  <c r="P1654" i="1" s="1"/>
  <c r="C1654" i="1" s="1"/>
  <c r="I1654" i="1"/>
  <c r="C2319" i="1"/>
  <c r="P612" i="1"/>
  <c r="K9" i="113" s="1"/>
  <c r="D9" i="113" s="1"/>
  <c r="H613" i="1"/>
  <c r="H622" i="1"/>
  <c r="C622" i="1" s="1"/>
  <c r="H614" i="1"/>
  <c r="H621" i="1"/>
  <c r="C621" i="1" s="1"/>
  <c r="H620" i="1"/>
  <c r="H137" i="97" s="1"/>
  <c r="H617" i="1"/>
  <c r="C617" i="1" s="1"/>
  <c r="H616" i="1"/>
  <c r="H618" i="1"/>
  <c r="H80" i="1"/>
  <c r="C80" i="1" s="1"/>
  <c r="H76" i="1"/>
  <c r="C76" i="1" s="1"/>
  <c r="H79" i="1"/>
  <c r="C79" i="1" s="1"/>
  <c r="C75" i="1"/>
  <c r="H78" i="1"/>
  <c r="C78" i="1" s="1"/>
  <c r="H77" i="1"/>
  <c r="C77" i="1" s="1"/>
  <c r="H858" i="1"/>
  <c r="H857" i="1"/>
  <c r="H860" i="1"/>
  <c r="H862" i="1"/>
  <c r="H856" i="1"/>
  <c r="H861" i="1"/>
  <c r="H859" i="1"/>
  <c r="P855" i="1"/>
  <c r="P1024" i="1"/>
  <c r="C1024" i="1" s="1"/>
  <c r="H1029" i="1"/>
  <c r="C1029" i="1" s="1"/>
  <c r="H1028" i="1"/>
  <c r="C1028" i="1" s="1"/>
  <c r="H1025" i="1"/>
  <c r="C1025" i="1" s="1"/>
  <c r="H1026" i="1"/>
  <c r="C1026" i="1" s="1"/>
  <c r="H1027" i="1"/>
  <c r="C1027" i="1" s="1"/>
  <c r="P2002" i="1"/>
  <c r="C2002" i="1" s="1"/>
  <c r="L2002" i="1"/>
  <c r="P1095" i="1"/>
  <c r="I174" i="97" s="1"/>
  <c r="H1101" i="1"/>
  <c r="H47" i="97" s="1"/>
  <c r="H1098" i="1"/>
  <c r="H74" i="97" s="1"/>
  <c r="H1096" i="1"/>
  <c r="H72" i="97" s="1"/>
  <c r="H1102" i="1"/>
  <c r="H159" i="97" s="1"/>
  <c r="H1100" i="1"/>
  <c r="H40" i="97" s="1"/>
  <c r="C737" i="1"/>
  <c r="H738" i="1"/>
  <c r="C738" i="1" s="1"/>
  <c r="H739" i="1"/>
  <c r="C739" i="1" s="1"/>
  <c r="C196" i="1"/>
  <c r="H198" i="1"/>
  <c r="C198" i="1" s="1"/>
  <c r="H197" i="1"/>
  <c r="C197" i="1" s="1"/>
  <c r="H199" i="1"/>
  <c r="C199" i="1" s="1"/>
  <c r="P63" i="1"/>
  <c r="H64" i="1"/>
  <c r="H65" i="1"/>
  <c r="H916" i="1"/>
  <c r="C916" i="1" s="1"/>
  <c r="P914" i="1"/>
  <c r="C914" i="1" s="1"/>
  <c r="H918" i="1"/>
  <c r="C918" i="1" s="1"/>
  <c r="H917" i="1"/>
  <c r="C917" i="1" s="1"/>
  <c r="H915" i="1"/>
  <c r="C915" i="1" s="1"/>
  <c r="H1720" i="1"/>
  <c r="P1720" i="1" s="1"/>
  <c r="C1720" i="1" s="1"/>
  <c r="I1720" i="1"/>
  <c r="H309" i="1"/>
  <c r="C309" i="1" s="1"/>
  <c r="H308" i="1"/>
  <c r="C308" i="1" s="1"/>
  <c r="C307" i="1"/>
  <c r="H1142" i="1"/>
  <c r="C1142" i="1" s="1"/>
  <c r="H1139" i="1"/>
  <c r="C1139" i="1" s="1"/>
  <c r="P1136" i="1"/>
  <c r="C1136" i="1" s="1"/>
  <c r="H1137" i="1"/>
  <c r="C1137" i="1" s="1"/>
  <c r="H1141" i="1"/>
  <c r="C1141" i="1" s="1"/>
  <c r="H1138" i="1"/>
  <c r="C1138" i="1" s="1"/>
  <c r="H1143" i="1"/>
  <c r="C1143" i="1" s="1"/>
  <c r="H1140" i="1"/>
  <c r="C1140" i="1" s="1"/>
  <c r="P1169" i="1"/>
  <c r="C1169" i="1" s="1"/>
  <c r="H1172" i="1"/>
  <c r="C1172" i="1" s="1"/>
  <c r="H1170" i="1"/>
  <c r="C1170" i="1" s="1"/>
  <c r="H1171" i="1"/>
  <c r="C1171" i="1" s="1"/>
  <c r="H2253" i="1"/>
  <c r="P2253" i="1" s="1"/>
  <c r="C2253" i="1" s="1"/>
  <c r="J2253" i="1"/>
  <c r="H398" i="1"/>
  <c r="C398" i="1" s="1"/>
  <c r="H397" i="1"/>
  <c r="C397" i="1" s="1"/>
  <c r="H399" i="1"/>
  <c r="C399" i="1" s="1"/>
  <c r="C396" i="1"/>
  <c r="B297" i="42"/>
  <c r="G297" i="42"/>
  <c r="H748" i="1"/>
  <c r="H747" i="1"/>
  <c r="H662" i="1"/>
  <c r="C662" i="1" s="1"/>
  <c r="H663" i="1"/>
  <c r="C663" i="1" s="1"/>
  <c r="H664" i="1"/>
  <c r="C664" i="1" s="1"/>
  <c r="C656" i="1"/>
  <c r="H665" i="1"/>
  <c r="C665" i="1" s="1"/>
  <c r="H660" i="1"/>
  <c r="C660" i="1" s="1"/>
  <c r="H657" i="1"/>
  <c r="C657" i="1" s="1"/>
  <c r="H661" i="1"/>
  <c r="C661" i="1" s="1"/>
  <c r="H659" i="1"/>
  <c r="C659" i="1" s="1"/>
  <c r="H658" i="1"/>
  <c r="C658" i="1" s="1"/>
  <c r="H1270" i="1"/>
  <c r="C1270" i="1" s="1"/>
  <c r="H1272" i="1"/>
  <c r="C1272" i="1" s="1"/>
  <c r="H1273" i="1"/>
  <c r="C1273" i="1" s="1"/>
  <c r="H1268" i="1"/>
  <c r="C1268" i="1" s="1"/>
  <c r="H1277" i="1"/>
  <c r="C1277" i="1" s="1"/>
  <c r="H1275" i="1"/>
  <c r="C1275" i="1" s="1"/>
  <c r="H1271" i="1"/>
  <c r="C1271" i="1" s="1"/>
  <c r="H1274" i="1"/>
  <c r="C1274" i="1" s="1"/>
  <c r="H1276" i="1"/>
  <c r="C1276" i="1" s="1"/>
  <c r="P1267" i="1"/>
  <c r="C1267" i="1" s="1"/>
  <c r="H1297" i="1"/>
  <c r="C1297" i="1" s="1"/>
  <c r="H1304" i="1"/>
  <c r="C1304" i="1" s="1"/>
  <c r="H1301" i="1"/>
  <c r="C1301" i="1" s="1"/>
  <c r="H1296" i="1"/>
  <c r="C1296" i="1" s="1"/>
  <c r="H1298" i="1"/>
  <c r="C1298" i="1" s="1"/>
  <c r="H1303" i="1"/>
  <c r="C1303" i="1" s="1"/>
  <c r="H1299" i="1"/>
  <c r="C1299" i="1" s="1"/>
  <c r="P1294" i="1"/>
  <c r="C1294" i="1" s="1"/>
  <c r="H1302" i="1"/>
  <c r="C1302" i="1" s="1"/>
  <c r="H1300" i="1"/>
  <c r="C1300" i="1" s="1"/>
  <c r="H1295" i="1"/>
  <c r="C1295" i="1" s="1"/>
  <c r="H836" i="1"/>
  <c r="H837" i="1"/>
  <c r="H835" i="1"/>
  <c r="P830" i="1"/>
  <c r="H832" i="1"/>
  <c r="H831" i="1"/>
  <c r="P1214" i="1"/>
  <c r="C1214" i="1" s="1"/>
  <c r="H1217" i="1"/>
  <c r="C1217" i="1" s="1"/>
  <c r="H1218" i="1"/>
  <c r="C1218" i="1" s="1"/>
  <c r="H1215" i="1"/>
  <c r="C1215" i="1" s="1"/>
  <c r="H1216" i="1"/>
  <c r="C1216" i="1" s="1"/>
  <c r="H1219" i="1"/>
  <c r="C1219" i="1" s="1"/>
  <c r="H1220" i="1"/>
  <c r="C1220" i="1" s="1"/>
  <c r="G144" i="33"/>
  <c r="P2335" i="1"/>
  <c r="C2335" i="1" s="1"/>
  <c r="L2335" i="1"/>
  <c r="P2332" i="1"/>
  <c r="C2332" i="1" s="1"/>
  <c r="L2332" i="1"/>
  <c r="H1413" i="1"/>
  <c r="H1412" i="1"/>
  <c r="H1414" i="1"/>
  <c r="H1415" i="1"/>
  <c r="P1411" i="1"/>
  <c r="H1209" i="1"/>
  <c r="C1209" i="1" s="1"/>
  <c r="H1204" i="1"/>
  <c r="C1204" i="1" s="1"/>
  <c r="H1210" i="1"/>
  <c r="C1210" i="1" s="1"/>
  <c r="H1205" i="1"/>
  <c r="C1205" i="1" s="1"/>
  <c r="P1203" i="1"/>
  <c r="C1203" i="1" s="1"/>
  <c r="H1206" i="1"/>
  <c r="C1206" i="1" s="1"/>
  <c r="H1208" i="1"/>
  <c r="C1208" i="1" s="1"/>
  <c r="H1207" i="1"/>
  <c r="C1207" i="1" s="1"/>
  <c r="H528" i="1"/>
  <c r="C528" i="1" s="1"/>
  <c r="C526" i="1"/>
  <c r="H527" i="1"/>
  <c r="C527" i="1" s="1"/>
  <c r="H568" i="1"/>
  <c r="P566" i="1"/>
  <c r="H567" i="1"/>
  <c r="H571" i="1"/>
  <c r="H569" i="1"/>
  <c r="C569" i="1" s="1"/>
  <c r="H570" i="1"/>
  <c r="H506" i="1"/>
  <c r="C506" i="1" s="1"/>
  <c r="C505" i="1"/>
  <c r="H507" i="1"/>
  <c r="C507" i="1" s="1"/>
  <c r="C2010" i="1"/>
  <c r="H351" i="1"/>
  <c r="H348" i="1"/>
  <c r="H352" i="1"/>
  <c r="H346" i="1"/>
  <c r="H350" i="1"/>
  <c r="H353" i="1"/>
  <c r="H347" i="1"/>
  <c r="H355" i="1"/>
  <c r="H349" i="1"/>
  <c r="H354" i="1"/>
  <c r="H340" i="1"/>
  <c r="H344" i="1"/>
  <c r="C344" i="1" s="1"/>
  <c r="H343" i="1"/>
  <c r="C343" i="1" s="1"/>
  <c r="P339" i="1"/>
  <c r="H342" i="1"/>
  <c r="H341" i="1"/>
  <c r="H1572" i="1"/>
  <c r="P1572" i="1" s="1"/>
  <c r="C1572" i="1" s="1"/>
  <c r="E172" i="31"/>
  <c r="J1572" i="1"/>
  <c r="H496" i="1"/>
  <c r="C496" i="1" s="1"/>
  <c r="H497" i="1"/>
  <c r="C497" i="1" s="1"/>
  <c r="C495" i="1"/>
  <c r="D29" i="113"/>
  <c r="C243" i="115" s="1"/>
  <c r="I315" i="23"/>
  <c r="A315" i="23" s="1"/>
  <c r="H487" i="1"/>
  <c r="C487" i="1" s="1"/>
  <c r="C485" i="1"/>
  <c r="H486" i="1"/>
  <c r="C486" i="1" s="1"/>
  <c r="H1232" i="1"/>
  <c r="C1232" i="1" s="1"/>
  <c r="H1236" i="1"/>
  <c r="C1236" i="1" s="1"/>
  <c r="P1231" i="1"/>
  <c r="C1231" i="1" s="1"/>
  <c r="H1234" i="1"/>
  <c r="C1234" i="1" s="1"/>
  <c r="H1233" i="1"/>
  <c r="C1233" i="1" s="1"/>
  <c r="H1235" i="1"/>
  <c r="C1235" i="1" s="1"/>
  <c r="H1456" i="1"/>
  <c r="C1456" i="1" s="1"/>
  <c r="P1455" i="1"/>
  <c r="C1455" i="1" s="1"/>
  <c r="H1458" i="1"/>
  <c r="C1458" i="1" s="1"/>
  <c r="H1457" i="1"/>
  <c r="C1457" i="1" s="1"/>
  <c r="H285" i="1"/>
  <c r="C285" i="1" s="1"/>
  <c r="H284" i="1"/>
  <c r="C284" i="1" s="1"/>
  <c r="C283" i="1"/>
  <c r="J1516" i="1"/>
  <c r="H1516" i="1"/>
  <c r="P1516" i="1" s="1"/>
  <c r="C1516" i="1" s="1"/>
  <c r="H214" i="1"/>
  <c r="C214" i="1" s="1"/>
  <c r="H216" i="1"/>
  <c r="C216" i="1" s="1"/>
  <c r="C213" i="1"/>
  <c r="H215" i="1"/>
  <c r="C215" i="1" s="1"/>
  <c r="P1971" i="1"/>
  <c r="H708" i="1"/>
  <c r="P706" i="1"/>
  <c r="H709" i="1"/>
  <c r="H701" i="1"/>
  <c r="C701" i="1" s="1"/>
  <c r="H707" i="1"/>
  <c r="H700" i="1"/>
  <c r="C700" i="1" s="1"/>
  <c r="H488" i="1"/>
  <c r="C488" i="1" s="1"/>
  <c r="H259" i="1"/>
  <c r="C259" i="1" s="1"/>
  <c r="H424" i="1"/>
  <c r="C424" i="1" s="1"/>
  <c r="H20" i="1"/>
  <c r="C20" i="1" s="1"/>
  <c r="H227" i="1"/>
  <c r="C227" i="1" s="1"/>
  <c r="H56" i="1"/>
  <c r="C56" i="1" s="1"/>
  <c r="H30" i="1"/>
  <c r="C30" i="1" s="1"/>
  <c r="H145" i="1"/>
  <c r="C145" i="1" s="1"/>
  <c r="H498" i="1"/>
  <c r="C498" i="1" s="1"/>
  <c r="C18" i="1"/>
  <c r="H167" i="1"/>
  <c r="C167" i="1" s="1"/>
  <c r="H19" i="1"/>
  <c r="C19" i="1" s="1"/>
  <c r="H310" i="1"/>
  <c r="C310" i="1" s="1"/>
  <c r="H237" i="1"/>
  <c r="C237" i="1" s="1"/>
  <c r="P810" i="1"/>
  <c r="C810" i="1" s="1"/>
  <c r="H814" i="1"/>
  <c r="C814" i="1" s="1"/>
  <c r="H790" i="1"/>
  <c r="C790" i="1" s="1"/>
  <c r="H811" i="1"/>
  <c r="C811" i="1" s="1"/>
  <c r="H812" i="1"/>
  <c r="C812" i="1" s="1"/>
  <c r="H791" i="1"/>
  <c r="C791" i="1" s="1"/>
  <c r="H792" i="1"/>
  <c r="C792" i="1" s="1"/>
  <c r="H813" i="1"/>
  <c r="C813" i="1" s="1"/>
  <c r="H794" i="1"/>
  <c r="C794" i="1" s="1"/>
  <c r="H793" i="1"/>
  <c r="C793" i="1" s="1"/>
  <c r="P890" i="1"/>
  <c r="C890" i="1" s="1"/>
  <c r="H893" i="1"/>
  <c r="C893" i="1" s="1"/>
  <c r="H892" i="1"/>
  <c r="C892" i="1" s="1"/>
  <c r="H891" i="1"/>
  <c r="C891" i="1" s="1"/>
  <c r="H894" i="1"/>
  <c r="C894" i="1" s="1"/>
  <c r="E118" i="33"/>
  <c r="G118" i="33" s="1"/>
  <c r="H1999" i="1"/>
  <c r="P2005" i="1"/>
  <c r="C2005" i="1" s="1"/>
  <c r="L2005" i="1"/>
  <c r="H1722" i="1"/>
  <c r="P1722" i="1" s="1"/>
  <c r="C1722" i="1" s="1"/>
  <c r="I1722" i="1"/>
  <c r="H721" i="1"/>
  <c r="C720" i="1"/>
  <c r="H1174" i="1"/>
  <c r="H1180" i="1"/>
  <c r="H1181" i="1"/>
  <c r="H1175" i="1"/>
  <c r="H1176" i="1"/>
  <c r="H1182" i="1"/>
  <c r="H1178" i="1"/>
  <c r="H1179" i="1"/>
  <c r="E14" i="108"/>
  <c r="P1173" i="1"/>
  <c r="H1449" i="1"/>
  <c r="C1449" i="1" s="1"/>
  <c r="P1446" i="1"/>
  <c r="C1446" i="1" s="1"/>
  <c r="H1448" i="1"/>
  <c r="C1448" i="1" s="1"/>
  <c r="H1447" i="1"/>
  <c r="C1447" i="1" s="1"/>
  <c r="H16" i="1"/>
  <c r="P16" i="1" s="1"/>
  <c r="C16" i="1" s="1"/>
  <c r="P14" i="1"/>
  <c r="C14" i="1" s="1"/>
  <c r="H15" i="1"/>
  <c r="P15" i="1" s="1"/>
  <c r="C15" i="1" s="1"/>
  <c r="H517" i="1"/>
  <c r="C517" i="1" s="1"/>
  <c r="H515" i="1"/>
  <c r="C515" i="1" s="1"/>
  <c r="C513" i="1"/>
  <c r="H514" i="1"/>
  <c r="C514" i="1" s="1"/>
  <c r="H516" i="1"/>
  <c r="C516" i="1" s="1"/>
  <c r="H235" i="1"/>
  <c r="C235" i="1" s="1"/>
  <c r="C234" i="1"/>
  <c r="H236" i="1"/>
  <c r="C236" i="1" s="1"/>
  <c r="G267" i="42"/>
  <c r="B267" i="42"/>
  <c r="C764" i="1"/>
  <c r="H766" i="1"/>
  <c r="C766" i="1" s="1"/>
  <c r="H765" i="1"/>
  <c r="C765" i="1" s="1"/>
  <c r="C1995" i="1"/>
  <c r="P2004" i="1"/>
  <c r="C2004" i="1" s="1"/>
  <c r="L2004" i="1"/>
  <c r="C174" i="1"/>
  <c r="H177" i="1"/>
  <c r="C177" i="1" s="1"/>
  <c r="H176" i="1"/>
  <c r="C176" i="1" s="1"/>
  <c r="H179" i="1"/>
  <c r="C179" i="1" s="1"/>
  <c r="H178" i="1"/>
  <c r="C178" i="1" s="1"/>
  <c r="H175" i="1"/>
  <c r="C175" i="1" s="1"/>
  <c r="H975" i="1"/>
  <c r="C975" i="1" s="1"/>
  <c r="P974" i="1"/>
  <c r="C974" i="1" s="1"/>
  <c r="H978" i="1"/>
  <c r="C978" i="1" s="1"/>
  <c r="H977" i="1"/>
  <c r="C977" i="1" s="1"/>
  <c r="H976" i="1"/>
  <c r="C976" i="1" s="1"/>
  <c r="P2026" i="1"/>
  <c r="P2361" i="1"/>
  <c r="C2361" i="1" s="1"/>
  <c r="L2361" i="1"/>
  <c r="P2338" i="1"/>
  <c r="C2338" i="1" s="1"/>
  <c r="L2338" i="1"/>
  <c r="L2342" i="1"/>
  <c r="P2342" i="1"/>
  <c r="C2342" i="1" s="1"/>
  <c r="L2358" i="1"/>
  <c r="P2358" i="1"/>
  <c r="C2358" i="1" s="1"/>
  <c r="H318" i="1"/>
  <c r="C318" i="1" s="1"/>
  <c r="C317" i="1"/>
  <c r="H319" i="1"/>
  <c r="C319" i="1" s="1"/>
  <c r="H320" i="1"/>
  <c r="C320" i="1" s="1"/>
  <c r="C771" i="1"/>
  <c r="H772" i="1"/>
  <c r="C772" i="1" s="1"/>
  <c r="H773" i="1"/>
  <c r="C773" i="1" s="1"/>
  <c r="G142" i="33"/>
  <c r="B142" i="33"/>
  <c r="E182" i="31"/>
  <c r="H1582" i="1"/>
  <c r="P1582" i="1" s="1"/>
  <c r="C1582" i="1" s="1"/>
  <c r="J1582" i="1"/>
  <c r="C125" i="1"/>
  <c r="H126" i="1"/>
  <c r="C126" i="1" s="1"/>
  <c r="H128" i="1"/>
  <c r="C128" i="1" s="1"/>
  <c r="H127" i="1"/>
  <c r="C127" i="1" s="1"/>
  <c r="H257" i="1"/>
  <c r="C257" i="1" s="1"/>
  <c r="C256" i="1"/>
  <c r="H258" i="1"/>
  <c r="C258" i="1" s="1"/>
  <c r="H901" i="1"/>
  <c r="C901" i="1" s="1"/>
  <c r="P899" i="1"/>
  <c r="C899" i="1" s="1"/>
  <c r="H904" i="1"/>
  <c r="C904" i="1" s="1"/>
  <c r="H903" i="1"/>
  <c r="C903" i="1" s="1"/>
  <c r="H900" i="1"/>
  <c r="C900" i="1" s="1"/>
  <c r="H902" i="1"/>
  <c r="C902" i="1" s="1"/>
  <c r="H304" i="1"/>
  <c r="C304" i="1" s="1"/>
  <c r="C302" i="1"/>
  <c r="H303" i="1"/>
  <c r="C303" i="1" s="1"/>
  <c r="H457" i="1"/>
  <c r="C457" i="1" s="1"/>
  <c r="H458" i="1"/>
  <c r="C458" i="1" s="1"/>
  <c r="H459" i="1"/>
  <c r="C459" i="1" s="1"/>
  <c r="C456" i="1"/>
  <c r="I312" i="23"/>
  <c r="A312" i="23" s="1"/>
  <c r="I313" i="23"/>
  <c r="A313" i="23" s="1"/>
  <c r="I311" i="23"/>
  <c r="A311" i="23" s="1"/>
  <c r="I314" i="23"/>
  <c r="A314" i="23" s="1"/>
  <c r="H119" i="1"/>
  <c r="C119" i="1" s="1"/>
  <c r="H118" i="1"/>
  <c r="C118" i="1" s="1"/>
  <c r="C117" i="1"/>
  <c r="D538" i="23"/>
  <c r="J1518" i="1"/>
  <c r="H1518" i="1"/>
  <c r="P1518" i="1" s="1"/>
  <c r="C1518" i="1" s="1"/>
  <c r="D698" i="1"/>
  <c r="C698" i="1"/>
  <c r="P2329" i="1"/>
  <c r="C2329" i="1" s="1"/>
  <c r="L2329" i="1"/>
  <c r="H761" i="1"/>
  <c r="C761" i="1" s="1"/>
  <c r="H762" i="1"/>
  <c r="C762" i="1" s="1"/>
  <c r="C760" i="1"/>
  <c r="P868" i="1"/>
  <c r="H869" i="1"/>
  <c r="P1014" i="1"/>
  <c r="C1014" i="1" s="1"/>
  <c r="H1016" i="1"/>
  <c r="C1016" i="1" s="1"/>
  <c r="H1019" i="1"/>
  <c r="C1019" i="1" s="1"/>
  <c r="H1018" i="1"/>
  <c r="C1018" i="1" s="1"/>
  <c r="H1015" i="1"/>
  <c r="C1015" i="1" s="1"/>
  <c r="H1017" i="1"/>
  <c r="C1017" i="1" s="1"/>
  <c r="H294" i="1"/>
  <c r="C294" i="1" s="1"/>
  <c r="H293" i="1"/>
  <c r="C293" i="1" s="1"/>
  <c r="H292" i="1"/>
  <c r="C292" i="1" s="1"/>
  <c r="C291" i="1"/>
  <c r="P1366" i="1"/>
  <c r="C1366" i="1" s="1"/>
  <c r="H1374" i="1"/>
  <c r="C1374" i="1" s="1"/>
  <c r="H1369" i="1"/>
  <c r="C1369" i="1" s="1"/>
  <c r="H1367" i="1"/>
  <c r="C1367" i="1" s="1"/>
  <c r="H1370" i="1"/>
  <c r="C1370" i="1" s="1"/>
  <c r="H1371" i="1"/>
  <c r="C1371" i="1" s="1"/>
  <c r="H1372" i="1"/>
  <c r="C1372" i="1" s="1"/>
  <c r="H1368" i="1"/>
  <c r="C1368" i="1" s="1"/>
  <c r="H1373" i="1"/>
  <c r="C1373" i="1" s="1"/>
  <c r="H1375" i="1"/>
  <c r="C1375" i="1" s="1"/>
  <c r="H1289" i="1"/>
  <c r="C1289" i="1" s="1"/>
  <c r="H1286" i="1"/>
  <c r="C1286" i="1" s="1"/>
  <c r="H1282" i="1"/>
  <c r="C1282" i="1" s="1"/>
  <c r="H1285" i="1"/>
  <c r="C1285" i="1" s="1"/>
  <c r="H1288" i="1"/>
  <c r="C1288" i="1" s="1"/>
  <c r="P1281" i="1"/>
  <c r="C1281" i="1" s="1"/>
  <c r="H1284" i="1"/>
  <c r="C1284" i="1" s="1"/>
  <c r="H1290" i="1"/>
  <c r="C1290" i="1" s="1"/>
  <c r="H1283" i="1"/>
  <c r="C1283" i="1" s="1"/>
  <c r="H1287" i="1"/>
  <c r="C1287" i="1" s="1"/>
  <c r="P1996" i="1"/>
  <c r="L1996" i="1"/>
  <c r="P2165" i="1"/>
  <c r="C2165" i="1" s="1"/>
  <c r="M2165" i="1"/>
  <c r="H686" i="1"/>
  <c r="C686" i="1" s="1"/>
  <c r="H690" i="1"/>
  <c r="C690" i="1" s="1"/>
  <c r="H684" i="1"/>
  <c r="C684" i="1" s="1"/>
  <c r="C666" i="1"/>
  <c r="H675" i="1"/>
  <c r="C675" i="1" s="1"/>
  <c r="H668" i="1"/>
  <c r="C668" i="1" s="1"/>
  <c r="H678" i="1"/>
  <c r="C678" i="1" s="1"/>
  <c r="H680" i="1"/>
  <c r="C680" i="1" s="1"/>
  <c r="H689" i="1"/>
  <c r="C689" i="1" s="1"/>
  <c r="H677" i="1"/>
  <c r="C677" i="1" s="1"/>
  <c r="H679" i="1"/>
  <c r="C679" i="1" s="1"/>
  <c r="H691" i="1"/>
  <c r="C691" i="1" s="1"/>
  <c r="H669" i="1"/>
  <c r="C669" i="1" s="1"/>
  <c r="H667" i="1"/>
  <c r="C667" i="1" s="1"/>
  <c r="H685" i="1"/>
  <c r="C685" i="1" s="1"/>
  <c r="H688" i="1"/>
  <c r="C688" i="1" s="1"/>
  <c r="H676" i="1"/>
  <c r="C676" i="1" s="1"/>
  <c r="H687" i="1"/>
  <c r="C687" i="1" s="1"/>
  <c r="C94" i="115"/>
  <c r="P1964" i="1"/>
  <c r="L1964" i="1"/>
  <c r="H647" i="1"/>
  <c r="C646" i="1"/>
  <c r="H1407" i="1"/>
  <c r="H164" i="97" s="1"/>
  <c r="H1406" i="1"/>
  <c r="H197" i="97" s="1"/>
  <c r="H1405" i="1"/>
  <c r="H102" i="97" s="1"/>
  <c r="P1403" i="1"/>
  <c r="I166" i="97" s="1"/>
  <c r="H1404" i="1"/>
  <c r="H121" i="97" s="1"/>
  <c r="C156" i="1"/>
  <c r="H157" i="1"/>
  <c r="P1391" i="1"/>
  <c r="C1391" i="1" s="1"/>
  <c r="H1395" i="1"/>
  <c r="C1395" i="1" s="1"/>
  <c r="H1394" i="1"/>
  <c r="C1394" i="1" s="1"/>
  <c r="H1396" i="1"/>
  <c r="C1396" i="1" s="1"/>
  <c r="H1393" i="1"/>
  <c r="C1393" i="1" s="1"/>
  <c r="H1397" i="1"/>
  <c r="C1397" i="1" s="1"/>
  <c r="H1399" i="1"/>
  <c r="C1399" i="1" s="1"/>
  <c r="H1392" i="1"/>
  <c r="C1392" i="1" s="1"/>
  <c r="H1398" i="1"/>
  <c r="C1398" i="1" s="1"/>
  <c r="C134" i="1"/>
  <c r="H135" i="1"/>
  <c r="C135" i="1" s="1"/>
  <c r="H136" i="1"/>
  <c r="C136" i="1" s="1"/>
  <c r="H1008" i="1"/>
  <c r="C1008" i="1" s="1"/>
  <c r="H1006" i="1"/>
  <c r="C1006" i="1" s="1"/>
  <c r="H1005" i="1"/>
  <c r="C1005" i="1" s="1"/>
  <c r="P1004" i="1"/>
  <c r="C1004" i="1" s="1"/>
  <c r="H1009" i="1"/>
  <c r="C1009" i="1" s="1"/>
  <c r="H1007" i="1"/>
  <c r="C1007" i="1" s="1"/>
  <c r="H956" i="1"/>
  <c r="H269" i="97" s="1"/>
  <c r="H957" i="1"/>
  <c r="H39" i="97" s="1"/>
  <c r="H958" i="1"/>
  <c r="H46" i="97" s="1"/>
  <c r="H959" i="1"/>
  <c r="H158" i="97" s="1"/>
  <c r="H955" i="1"/>
  <c r="H114" i="97" s="1"/>
  <c r="P954" i="1"/>
  <c r="I172" i="97" s="1"/>
  <c r="P1352" i="1"/>
  <c r="C1352" i="1" s="1"/>
  <c r="H1358" i="1"/>
  <c r="C1358" i="1" s="1"/>
  <c r="H1362" i="1"/>
  <c r="C1362" i="1" s="1"/>
  <c r="H1269" i="1"/>
  <c r="C1269" i="1" s="1"/>
  <c r="H1360" i="1"/>
  <c r="C1360" i="1" s="1"/>
  <c r="H1311" i="1"/>
  <c r="C1311" i="1" s="1"/>
  <c r="H1359" i="1"/>
  <c r="C1359" i="1" s="1"/>
  <c r="H1355" i="1"/>
  <c r="C1355" i="1" s="1"/>
  <c r="H1357" i="1"/>
  <c r="C1357" i="1" s="1"/>
  <c r="H1353" i="1"/>
  <c r="C1353" i="1" s="1"/>
  <c r="H1354" i="1"/>
  <c r="C1354" i="1" s="1"/>
  <c r="H1356" i="1"/>
  <c r="C1356" i="1" s="1"/>
  <c r="H1361" i="1"/>
  <c r="C1361" i="1" s="1"/>
  <c r="P2327" i="1"/>
  <c r="C2327" i="1" s="1"/>
  <c r="L2327" i="1"/>
  <c r="P2350" i="1"/>
  <c r="C2350" i="1" s="1"/>
  <c r="L2350" i="1"/>
  <c r="P2341" i="1"/>
  <c r="C2341" i="1" s="1"/>
  <c r="L2341" i="1"/>
  <c r="L2343" i="1"/>
  <c r="P2343" i="1"/>
  <c r="C2343" i="1" s="1"/>
  <c r="P2008" i="1"/>
  <c r="C2008" i="1" s="1"/>
  <c r="P1986" i="1"/>
  <c r="C1986" i="1" s="1"/>
  <c r="L1986" i="1"/>
  <c r="C1969" i="1"/>
  <c r="P799" i="1"/>
  <c r="I173" i="97" s="1"/>
  <c r="H806" i="1"/>
  <c r="H156" i="97" s="1"/>
  <c r="H805" i="1"/>
  <c r="H50" i="97" s="1"/>
  <c r="H802" i="1"/>
  <c r="H803" i="1"/>
  <c r="H41" i="97" s="1"/>
  <c r="H804" i="1"/>
  <c r="H44" i="97" s="1"/>
  <c r="B176" i="31"/>
  <c r="G176" i="31"/>
  <c r="H2124" i="23"/>
  <c r="H2117" i="23"/>
  <c r="H2121" i="23"/>
  <c r="H2119" i="23" s="1"/>
  <c r="H2120" i="23" s="1"/>
  <c r="H1972" i="1"/>
  <c r="K1972" i="1"/>
  <c r="E91" i="33"/>
  <c r="G91" i="33" s="1"/>
  <c r="H1226" i="1"/>
  <c r="C1226" i="1" s="1"/>
  <c r="H1228" i="1"/>
  <c r="C1228" i="1" s="1"/>
  <c r="P1223" i="1"/>
  <c r="C1223" i="1" s="1"/>
  <c r="H1224" i="1"/>
  <c r="C1224" i="1" s="1"/>
  <c r="H1227" i="1"/>
  <c r="C1227" i="1" s="1"/>
  <c r="H1225" i="1"/>
  <c r="C1225" i="1" s="1"/>
  <c r="C448" i="1"/>
  <c r="H450" i="1"/>
  <c r="C450" i="1" s="1"/>
  <c r="H449" i="1"/>
  <c r="C449" i="1" s="1"/>
  <c r="N2131" i="1"/>
  <c r="H2131" i="1"/>
  <c r="P2131" i="1" s="1"/>
  <c r="C2131"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28" i="1"/>
  <c r="H1928" i="1" s="1"/>
  <c r="H16" i="97" l="1"/>
  <c r="J10" i="113"/>
  <c r="D10" i="113" s="1"/>
  <c r="H104" i="97"/>
  <c r="J13" i="113"/>
  <c r="D13" i="113" s="1"/>
  <c r="H81" i="97"/>
  <c r="J11" i="113"/>
  <c r="D11" i="113" s="1"/>
  <c r="H87" i="97"/>
  <c r="J12" i="113"/>
  <c r="D12" i="113" s="1"/>
  <c r="H1870" i="23"/>
  <c r="P615" i="1"/>
  <c r="K12" i="113" s="1"/>
  <c r="G12" i="113" s="1"/>
  <c r="I169" i="97"/>
  <c r="P1163" i="1"/>
  <c r="I18" i="97" s="1"/>
  <c r="I131" i="97"/>
  <c r="F12" i="108" s="1"/>
  <c r="H1757" i="1"/>
  <c r="H17" i="97" s="1"/>
  <c r="D17" i="97"/>
  <c r="H1814" i="23"/>
  <c r="B205" i="42"/>
  <c r="B216" i="42" s="1"/>
  <c r="J1508" i="1"/>
  <c r="J1512" i="1"/>
  <c r="G115" i="31"/>
  <c r="B123" i="31"/>
  <c r="C2267" i="1"/>
  <c r="C168" i="97" s="1"/>
  <c r="H968" i="23"/>
  <c r="I968" i="23" s="1"/>
  <c r="A968" i="23" s="1"/>
  <c r="D21" i="113"/>
  <c r="P633" i="1"/>
  <c r="P629" i="1"/>
  <c r="C629" i="1" s="1"/>
  <c r="P632" i="1"/>
  <c r="P631" i="1"/>
  <c r="P630" i="1"/>
  <c r="D20" i="113"/>
  <c r="C236" i="115" s="1"/>
  <c r="D238" i="115"/>
  <c r="D22" i="113"/>
  <c r="C238" i="115" s="1"/>
  <c r="P1914" i="1"/>
  <c r="I144" i="97" s="1"/>
  <c r="P1099" i="1"/>
  <c r="I37" i="97" s="1"/>
  <c r="H901" i="23"/>
  <c r="H885" i="23"/>
  <c r="P1177" i="1"/>
  <c r="C1177" i="1" s="1"/>
  <c r="P361" i="1"/>
  <c r="C361" i="1" s="1"/>
  <c r="P643" i="1"/>
  <c r="C643" i="1" s="1"/>
  <c r="P640" i="1"/>
  <c r="C640" i="1" s="1"/>
  <c r="P642" i="1"/>
  <c r="C642" i="1" s="1"/>
  <c r="P636" i="1"/>
  <c r="C636" i="1" s="1"/>
  <c r="P639" i="1"/>
  <c r="C639" i="1" s="1"/>
  <c r="P638" i="1"/>
  <c r="C638" i="1" s="1"/>
  <c r="P644" i="1"/>
  <c r="C644" i="1" s="1"/>
  <c r="C635" i="1"/>
  <c r="P637" i="1"/>
  <c r="C637" i="1" s="1"/>
  <c r="P645" i="1"/>
  <c r="C645" i="1" s="1"/>
  <c r="P641" i="1"/>
  <c r="D19" i="113"/>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68" i="1"/>
  <c r="P881" i="1"/>
  <c r="P880" i="1"/>
  <c r="P873" i="1"/>
  <c r="P870" i="1"/>
  <c r="P885" i="1"/>
  <c r="P872" i="1"/>
  <c r="P882" i="1"/>
  <c r="P871" i="1"/>
  <c r="P869" i="1"/>
  <c r="P884" i="1"/>
  <c r="P883" i="1"/>
  <c r="P874" i="1"/>
  <c r="J1513" i="1"/>
  <c r="J1511" i="1"/>
  <c r="H1511" i="1"/>
  <c r="P1511" i="1" s="1"/>
  <c r="C1511" i="1" s="1"/>
  <c r="H337" i="23"/>
  <c r="I345" i="23"/>
  <c r="A345" i="23" s="1"/>
  <c r="I322" i="23"/>
  <c r="H2127" i="23"/>
  <c r="H2129" i="23"/>
  <c r="H2126" i="23"/>
  <c r="H2111" i="23"/>
  <c r="H2108" i="23"/>
  <c r="H2109" i="23" s="1"/>
  <c r="H641" i="23"/>
  <c r="G31" i="113"/>
  <c r="H2130" i="23"/>
  <c r="H2110" i="23"/>
  <c r="H2115" i="23"/>
  <c r="H2118" i="23"/>
  <c r="H2116" i="23"/>
  <c r="H2114" i="23"/>
  <c r="H2123" i="23"/>
  <c r="H2122" i="23"/>
  <c r="H2107" i="23"/>
  <c r="I1629" i="23"/>
  <c r="A1629" i="23" s="1"/>
  <c r="I1623" i="23"/>
  <c r="A1623" i="23" s="1"/>
  <c r="I1484" i="23"/>
  <c r="A1484" i="23" s="1"/>
  <c r="D1448" i="23"/>
  <c r="I1610" i="23"/>
  <c r="A1610" i="23" s="1"/>
  <c r="D245" i="115"/>
  <c r="D31" i="113"/>
  <c r="C245" i="115" s="1"/>
  <c r="D1490" i="23"/>
  <c r="I1643" i="23"/>
  <c r="A1643" i="23" s="1"/>
  <c r="I1541" i="23"/>
  <c r="A1541" i="23" s="1"/>
  <c r="I1614" i="23"/>
  <c r="A1614" i="23" s="1"/>
  <c r="I1613" i="23"/>
  <c r="A1613" i="23" s="1"/>
  <c r="D236" i="115"/>
  <c r="H1907" i="1"/>
  <c r="H143" i="97" s="1"/>
  <c r="D62" i="115"/>
  <c r="H1882" i="1"/>
  <c r="C943" i="1"/>
  <c r="P947" i="1"/>
  <c r="P949" i="1"/>
  <c r="P945" i="1"/>
  <c r="P948" i="1"/>
  <c r="P944" i="1"/>
  <c r="C933" i="1"/>
  <c r="P935" i="1"/>
  <c r="P938" i="1"/>
  <c r="P934" i="1"/>
  <c r="P937" i="1"/>
  <c r="D260" i="115"/>
  <c r="I1604" i="23"/>
  <c r="A1604" i="23" s="1"/>
  <c r="H1606" i="23"/>
  <c r="H2112" i="23"/>
  <c r="H2113" i="23"/>
  <c r="H2128" i="23"/>
  <c r="H2131" i="23"/>
  <c r="D672" i="23"/>
  <c r="D677" i="23" s="1"/>
  <c r="D686" i="23" s="1"/>
  <c r="D705" i="23" s="1"/>
  <c r="D2105" i="23"/>
  <c r="H1640" i="23"/>
  <c r="I1639" i="23"/>
  <c r="A1639" i="23" s="1"/>
  <c r="H1593" i="23"/>
  <c r="I1593" i="23" s="1"/>
  <c r="A1593" i="23" s="1"/>
  <c r="I1585" i="23"/>
  <c r="A1585" i="23" s="1"/>
  <c r="H1627" i="23"/>
  <c r="I1625" i="23"/>
  <c r="A1625" i="23" s="1"/>
  <c r="I150" i="23"/>
  <c r="A150" i="23" s="1"/>
  <c r="D246" i="115"/>
  <c r="D32" i="113"/>
  <c r="C246" i="115" s="1"/>
  <c r="H1628" i="23"/>
  <c r="I1626" i="23"/>
  <c r="A1626" i="23" s="1"/>
  <c r="D108" i="23"/>
  <c r="H1647" i="23"/>
  <c r="I1624" i="23"/>
  <c r="A1624" i="23" s="1"/>
  <c r="D136" i="23"/>
  <c r="I157" i="23"/>
  <c r="A157" i="23" s="1"/>
  <c r="H675" i="23"/>
  <c r="I190" i="23"/>
  <c r="A190" i="23" s="1"/>
  <c r="D249" i="115"/>
  <c r="D35" i="113"/>
  <c r="C249" i="115" s="1"/>
  <c r="H1471" i="23"/>
  <c r="I1471" i="23" s="1"/>
  <c r="A1471" i="23" s="1"/>
  <c r="I1470" i="23"/>
  <c r="A1470" i="23" s="1"/>
  <c r="I167" i="23"/>
  <c r="A167" i="23" s="1"/>
  <c r="I159" i="23"/>
  <c r="A159" i="23" s="1"/>
  <c r="H164" i="23"/>
  <c r="I156" i="23"/>
  <c r="A156" i="23" s="1"/>
  <c r="P1758" i="1"/>
  <c r="I15" i="97" s="1"/>
  <c r="C1832" i="1"/>
  <c r="C184" i="97" s="1"/>
  <c r="C7" i="108"/>
  <c r="C9" i="108"/>
  <c r="C6" i="108"/>
  <c r="C4" i="108"/>
  <c r="C5" i="108"/>
  <c r="C8" i="108"/>
  <c r="C11" i="108"/>
  <c r="C10" i="108"/>
  <c r="J1527" i="1"/>
  <c r="H1527" i="1"/>
  <c r="P1527" i="1" s="1"/>
  <c r="C1527" i="1" s="1"/>
  <c r="J1528" i="1"/>
  <c r="H1528" i="1"/>
  <c r="P1528" i="1" s="1"/>
  <c r="C1528" i="1" s="1"/>
  <c r="J1500" i="1"/>
  <c r="H1500" i="1"/>
  <c r="P1500" i="1" s="1"/>
  <c r="C1500" i="1" s="1"/>
  <c r="D1492" i="1"/>
  <c r="C1492" i="1" s="1"/>
  <c r="D18" i="113"/>
  <c r="C234" i="115" s="1"/>
  <c r="D234" i="115"/>
  <c r="P2060" i="1"/>
  <c r="C2060" i="1" s="1"/>
  <c r="H2143" i="1"/>
  <c r="P2143" i="1" s="1"/>
  <c r="C2143" i="1" s="1"/>
  <c r="J1529" i="1"/>
  <c r="H1529" i="1"/>
  <c r="P1529" i="1" s="1"/>
  <c r="C1529"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D1906" i="23"/>
  <c r="D1907" i="23" s="1"/>
  <c r="D1908" i="23" s="1"/>
  <c r="D1909" i="23" s="1"/>
  <c r="I902" i="23"/>
  <c r="A902" i="23" s="1"/>
  <c r="I855" i="23"/>
  <c r="A855" i="23" s="1"/>
  <c r="I857" i="23"/>
  <c r="A857" i="23" s="1"/>
  <c r="I913" i="23"/>
  <c r="A913" i="23" s="1"/>
  <c r="H916" i="23"/>
  <c r="D2048" i="1"/>
  <c r="H2048" i="1" s="1"/>
  <c r="P2048" i="1" s="1"/>
  <c r="C2048" i="1" s="1"/>
  <c r="G127" i="31"/>
  <c r="E128" i="31"/>
  <c r="G128" i="31" s="1"/>
  <c r="C1797" i="1"/>
  <c r="C79" i="97" s="1"/>
  <c r="C781" i="1"/>
  <c r="D237" i="115"/>
  <c r="H1927" i="1"/>
  <c r="H152" i="97" s="1"/>
  <c r="C1800" i="1"/>
  <c r="C1799" i="1"/>
  <c r="C1801" i="1"/>
  <c r="D1933" i="1"/>
  <c r="D148" i="97" s="1"/>
  <c r="C241" i="115"/>
  <c r="P1820" i="1"/>
  <c r="I27" i="97" s="1"/>
  <c r="C1796" i="1"/>
  <c r="C8" i="97" s="1"/>
  <c r="C784" i="1"/>
  <c r="C780" i="1"/>
  <c r="C783" i="1"/>
  <c r="C782" i="1"/>
  <c r="C2275" i="1"/>
  <c r="C1785" i="1"/>
  <c r="C64" i="97" s="1"/>
  <c r="D43" i="115"/>
  <c r="C785" i="1"/>
  <c r="H1945" i="1"/>
  <c r="H154" i="97" s="1"/>
  <c r="C1784" i="1"/>
  <c r="C95" i="97" s="1"/>
  <c r="H2102" i="23"/>
  <c r="I898" i="23"/>
  <c r="A898" i="23" s="1"/>
  <c r="I935" i="23"/>
  <c r="A935" i="23" s="1"/>
  <c r="I937" i="23"/>
  <c r="A937" i="23" s="1"/>
  <c r="I918" i="23"/>
  <c r="A918" i="23" s="1"/>
  <c r="H875" i="23"/>
  <c r="I899" i="23"/>
  <c r="A899" i="23" s="1"/>
  <c r="H1341" i="23"/>
  <c r="H704" i="23"/>
  <c r="I863" i="23"/>
  <c r="A863" i="23" s="1"/>
  <c r="H2387" i="23"/>
  <c r="I917" i="23"/>
  <c r="A917" i="23" s="1"/>
  <c r="H1932" i="23"/>
  <c r="H2031" i="1"/>
  <c r="H2030" i="1"/>
  <c r="P2030" i="1" s="1"/>
  <c r="H2032" i="1"/>
  <c r="C1770" i="1"/>
  <c r="C141" i="97" s="1"/>
  <c r="P1772" i="1"/>
  <c r="I42" i="97" s="1"/>
  <c r="P1771" i="1"/>
  <c r="I109" i="97" s="1"/>
  <c r="P1961" i="1"/>
  <c r="C1961" i="1" s="1"/>
  <c r="B220" i="42"/>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0" i="113"/>
  <c r="D501" i="23"/>
  <c r="I493" i="23"/>
  <c r="A493" i="23" s="1"/>
  <c r="D460" i="23"/>
  <c r="B79" i="33"/>
  <c r="B80" i="33" s="1"/>
  <c r="B81" i="33" s="1"/>
  <c r="B88" i="33" s="1"/>
  <c r="E149" i="33"/>
  <c r="G149" i="33" s="1"/>
  <c r="P2037" i="1"/>
  <c r="P2045" i="1"/>
  <c r="C1963" i="1"/>
  <c r="C1979" i="1"/>
  <c r="P2041" i="1"/>
  <c r="P2040" i="1"/>
  <c r="C1964" i="1"/>
  <c r="C1978" i="1"/>
  <c r="D44" i="115"/>
  <c r="C1982" i="1"/>
  <c r="C1984" i="1"/>
  <c r="P1960" i="1"/>
  <c r="D726" i="23"/>
  <c r="D728" i="23" s="1"/>
  <c r="D730" i="23" s="1"/>
  <c r="D315" i="23"/>
  <c r="H2051" i="1"/>
  <c r="P2051" i="1" s="1"/>
  <c r="C2051" i="1" s="1"/>
  <c r="C747" i="1"/>
  <c r="H1750" i="1"/>
  <c r="H138" i="97" s="1"/>
  <c r="P1089" i="1"/>
  <c r="P1090" i="1"/>
  <c r="C1088" i="1"/>
  <c r="P1092" i="1"/>
  <c r="P1091" i="1"/>
  <c r="P1093" i="1"/>
  <c r="P1094" i="1"/>
  <c r="H2000" i="1"/>
  <c r="E119" i="33"/>
  <c r="G119" i="33" s="1"/>
  <c r="I323" i="23"/>
  <c r="A323" i="23" s="1"/>
  <c r="P861" i="1"/>
  <c r="P857" i="1"/>
  <c r="P859" i="1"/>
  <c r="P860" i="1"/>
  <c r="P858" i="1"/>
  <c r="C855" i="1"/>
  <c r="P856" i="1"/>
  <c r="P862" i="1"/>
  <c r="I335" i="23"/>
  <c r="A335" i="23" s="1"/>
  <c r="C244" i="1"/>
  <c r="C161" i="97" s="1"/>
  <c r="P245" i="1"/>
  <c r="I195" i="97" s="1"/>
  <c r="P246" i="1"/>
  <c r="I163" i="97" s="1"/>
  <c r="C1159" i="1"/>
  <c r="C131" i="97" s="1"/>
  <c r="P1161" i="1"/>
  <c r="I118" i="97" s="1"/>
  <c r="P1165" i="1"/>
  <c r="I124" i="97" s="1"/>
  <c r="P1162" i="1"/>
  <c r="I86" i="97" s="1"/>
  <c r="P1160" i="1"/>
  <c r="I63" i="97" s="1"/>
  <c r="P1167" i="1"/>
  <c r="I151" i="97" s="1"/>
  <c r="P1166" i="1"/>
  <c r="I100" i="97" s="1"/>
  <c r="P998" i="1"/>
  <c r="C998" i="1" s="1"/>
  <c r="P1000" i="1"/>
  <c r="C1000" i="1" s="1"/>
  <c r="P1001" i="1"/>
  <c r="C1001" i="1" s="1"/>
  <c r="P997" i="1"/>
  <c r="C997" i="1" s="1"/>
  <c r="P999" i="1"/>
  <c r="C999" i="1" s="1"/>
  <c r="C996" i="1"/>
  <c r="P1102" i="1"/>
  <c r="I159" i="97" s="1"/>
  <c r="P1098" i="1"/>
  <c r="I74" i="97" s="1"/>
  <c r="P1100" i="1"/>
  <c r="I40" i="97" s="1"/>
  <c r="P1101" i="1"/>
  <c r="I47" i="97" s="1"/>
  <c r="P1096" i="1"/>
  <c r="I72" i="97" s="1"/>
  <c r="C1095" i="1"/>
  <c r="C174" i="97" s="1"/>
  <c r="P618" i="1"/>
  <c r="C618" i="1" s="1"/>
  <c r="P613" i="1"/>
  <c r="P614" i="1"/>
  <c r="C612" i="1"/>
  <c r="C169" i="97" s="1"/>
  <c r="P620" i="1"/>
  <c r="I137" i="97" s="1"/>
  <c r="P616" i="1"/>
  <c r="P619" i="1"/>
  <c r="I145" i="97" s="1"/>
  <c r="P1997" i="1"/>
  <c r="L1997" i="1"/>
  <c r="C2044" i="1"/>
  <c r="E33" i="108"/>
  <c r="P832" i="1"/>
  <c r="C830" i="1"/>
  <c r="P835" i="1"/>
  <c r="P837" i="1"/>
  <c r="P831" i="1"/>
  <c r="P836" i="1"/>
  <c r="C1403" i="1"/>
  <c r="C166" i="97" s="1"/>
  <c r="P1406" i="1"/>
  <c r="I197" i="97" s="1"/>
  <c r="P1405" i="1"/>
  <c r="I102" i="97" s="1"/>
  <c r="P1404" i="1"/>
  <c r="I121" i="97" s="1"/>
  <c r="P1407" i="1"/>
  <c r="I164" i="97" s="1"/>
  <c r="C1996" i="1"/>
  <c r="C2026" i="1"/>
  <c r="C706" i="1"/>
  <c r="P707" i="1"/>
  <c r="C707" i="1" s="1"/>
  <c r="P709" i="1"/>
  <c r="C709" i="1" s="1"/>
  <c r="P708" i="1"/>
  <c r="C708" i="1" s="1"/>
  <c r="P1415" i="1"/>
  <c r="D63" i="115"/>
  <c r="C1411" i="1"/>
  <c r="P1412" i="1"/>
  <c r="P1413" i="1"/>
  <c r="P1414" i="1"/>
  <c r="D276" i="23"/>
  <c r="H1547" i="1"/>
  <c r="P1547" i="1" s="1"/>
  <c r="C1547" i="1" s="1"/>
  <c r="J1547" i="1"/>
  <c r="H1517" i="1"/>
  <c r="P1517" i="1" s="1"/>
  <c r="C1517" i="1" s="1"/>
  <c r="J1517" i="1"/>
  <c r="P966" i="1"/>
  <c r="C966" i="1" s="1"/>
  <c r="P970" i="1"/>
  <c r="C970" i="1" s="1"/>
  <c r="P967" i="1"/>
  <c r="C967" i="1" s="1"/>
  <c r="C963" i="1"/>
  <c r="P965" i="1"/>
  <c r="C965" i="1" s="1"/>
  <c r="P969" i="1"/>
  <c r="C969" i="1" s="1"/>
  <c r="P968" i="1"/>
  <c r="C968" i="1" s="1"/>
  <c r="P964" i="1"/>
  <c r="C964" i="1" s="1"/>
  <c r="H158" i="1"/>
  <c r="C157" i="1"/>
  <c r="I325" i="23"/>
  <c r="A325" i="23" s="1"/>
  <c r="H1546" i="1"/>
  <c r="P1546" i="1" s="1"/>
  <c r="C1546" i="1" s="1"/>
  <c r="J1546" i="1"/>
  <c r="P1109" i="1"/>
  <c r="C1109" i="1" s="1"/>
  <c r="P1108" i="1"/>
  <c r="C1108" i="1" s="1"/>
  <c r="P1107" i="1"/>
  <c r="C1107" i="1" s="1"/>
  <c r="P1110" i="1"/>
  <c r="C1110" i="1" s="1"/>
  <c r="P1104" i="1"/>
  <c r="C1104" i="1" s="1"/>
  <c r="C1103" i="1"/>
  <c r="P1105" i="1"/>
  <c r="C1105" i="1" s="1"/>
  <c r="P1106" i="1"/>
  <c r="C1106" i="1" s="1"/>
  <c r="C1970" i="1"/>
  <c r="C954" i="1"/>
  <c r="C172" i="97" s="1"/>
  <c r="P957" i="1"/>
  <c r="P956" i="1"/>
  <c r="P958" i="1"/>
  <c r="P959" i="1"/>
  <c r="P955" i="1"/>
  <c r="I328" i="23"/>
  <c r="A328" i="23" s="1"/>
  <c r="I336" i="23"/>
  <c r="A336" i="23" s="1"/>
  <c r="H722" i="1"/>
  <c r="C721" i="1"/>
  <c r="B172" i="31"/>
  <c r="G172" i="31"/>
  <c r="H1548" i="1"/>
  <c r="P1548" i="1" s="1"/>
  <c r="C1548" i="1" s="1"/>
  <c r="J1548" i="1"/>
  <c r="P800" i="1"/>
  <c r="I115" i="97" s="1"/>
  <c r="P803" i="1"/>
  <c r="I41" i="97" s="1"/>
  <c r="C799" i="1"/>
  <c r="C173" i="97" s="1"/>
  <c r="P802" i="1"/>
  <c r="C802" i="1" s="1"/>
  <c r="P804" i="1"/>
  <c r="I44" i="97" s="1"/>
  <c r="P806" i="1"/>
  <c r="I156" i="97" s="1"/>
  <c r="P801" i="1"/>
  <c r="I111" i="97" s="1"/>
  <c r="P805" i="1"/>
  <c r="I50" i="97" s="1"/>
  <c r="I326" i="23"/>
  <c r="A326" i="23" s="1"/>
  <c r="H342" i="23"/>
  <c r="H343" i="23"/>
  <c r="I339" i="23"/>
  <c r="A339" i="23" s="1"/>
  <c r="C1973" i="1"/>
  <c r="C1815" i="1"/>
  <c r="C130" i="97" s="1"/>
  <c r="P1817" i="1"/>
  <c r="I101" i="97" s="1"/>
  <c r="P1816" i="1"/>
  <c r="I10" i="97" s="1"/>
  <c r="H648" i="1"/>
  <c r="C647" i="1"/>
  <c r="C2039" i="1"/>
  <c r="P1972" i="1"/>
  <c r="C1971"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C260" i="115"/>
  <c r="P567" i="1"/>
  <c r="C567" i="1" s="1"/>
  <c r="P571" i="1"/>
  <c r="C571" i="1" s="1"/>
  <c r="P570" i="1"/>
  <c r="C570" i="1" s="1"/>
  <c r="P568" i="1"/>
  <c r="C568" i="1" s="1"/>
  <c r="C566" i="1"/>
  <c r="P65" i="1"/>
  <c r="C65" i="1" s="1"/>
  <c r="P64" i="1"/>
  <c r="C64" i="1" s="1"/>
  <c r="C63" i="1"/>
  <c r="C623" i="1"/>
  <c r="P626" i="1"/>
  <c r="P625" i="1"/>
  <c r="P624" i="1"/>
  <c r="P589" i="1"/>
  <c r="C589" i="1" s="1"/>
  <c r="P588" i="1"/>
  <c r="C588" i="1" s="1"/>
  <c r="C584" i="1"/>
  <c r="C248" i="1"/>
  <c r="P250" i="1"/>
  <c r="C250" i="1" s="1"/>
  <c r="P252" i="1"/>
  <c r="C252" i="1" s="1"/>
  <c r="P249" i="1"/>
  <c r="C249" i="1" s="1"/>
  <c r="P251" i="1"/>
  <c r="C251" i="1" s="1"/>
  <c r="C356" i="1"/>
  <c r="C162" i="97" s="1"/>
  <c r="P369" i="1"/>
  <c r="I54" i="97" s="1"/>
  <c r="P358" i="1"/>
  <c r="I126" i="97" s="1"/>
  <c r="P373" i="1"/>
  <c r="C373" i="1" s="1"/>
  <c r="P368" i="1"/>
  <c r="I53" i="97" s="1"/>
  <c r="P374" i="1"/>
  <c r="C374" i="1" s="1"/>
  <c r="P357" i="1"/>
  <c r="I125" i="97" s="1"/>
  <c r="P372" i="1"/>
  <c r="C372" i="1" s="1"/>
  <c r="P359" i="1"/>
  <c r="I127" i="97" s="1"/>
  <c r="P371" i="1"/>
  <c r="C371" i="1" s="1"/>
  <c r="P375" i="1"/>
  <c r="I134" i="97" s="1"/>
  <c r="P370" i="1"/>
  <c r="I196" i="97" s="1"/>
  <c r="C2315" i="1"/>
  <c r="B182" i="31"/>
  <c r="G182" i="31"/>
  <c r="P1175" i="1"/>
  <c r="P1180" i="1"/>
  <c r="P1178" i="1"/>
  <c r="F14" i="108"/>
  <c r="P1179" i="1"/>
  <c r="P1174" i="1"/>
  <c r="P1181" i="1"/>
  <c r="P1176" i="1"/>
  <c r="P1182" i="1"/>
  <c r="C1173" i="1"/>
  <c r="P1999" i="1"/>
  <c r="L1999" i="1"/>
  <c r="P714" i="1"/>
  <c r="C714" i="1" s="1"/>
  <c r="C713" i="1"/>
  <c r="P716" i="1"/>
  <c r="C716" i="1" s="1"/>
  <c r="P715" i="1"/>
  <c r="C715" i="1" s="1"/>
  <c r="I338" i="23"/>
  <c r="A338" i="23" s="1"/>
  <c r="C748" i="1"/>
  <c r="P755" i="1"/>
  <c r="C753" i="1"/>
  <c r="C128" i="97" s="1"/>
  <c r="P756" i="1"/>
  <c r="I129" i="97" s="1"/>
  <c r="P754" i="1"/>
  <c r="I19" i="97" s="1"/>
  <c r="H1998" i="1"/>
  <c r="E117" i="33"/>
  <c r="G117" i="33" s="1"/>
  <c r="I104" i="97" l="1"/>
  <c r="K13" i="113"/>
  <c r="G13" i="113" s="1"/>
  <c r="I81" i="97"/>
  <c r="K11" i="113"/>
  <c r="G11" i="113" s="1"/>
  <c r="I16" i="97"/>
  <c r="K10" i="113"/>
  <c r="G10" i="113" s="1"/>
  <c r="G9" i="113" s="1"/>
  <c r="G17" i="113" s="1"/>
  <c r="P1757" i="1"/>
  <c r="I17" i="97" s="1"/>
  <c r="C755" i="1"/>
  <c r="C142" i="97" s="1"/>
  <c r="I142" i="97"/>
  <c r="C955" i="1"/>
  <c r="C114" i="97" s="1"/>
  <c r="I114" i="97"/>
  <c r="C959" i="1"/>
  <c r="C158" i="97" s="1"/>
  <c r="I158" i="97"/>
  <c r="C958" i="1"/>
  <c r="C46" i="97" s="1"/>
  <c r="I46" i="97"/>
  <c r="C956" i="1"/>
  <c r="C269" i="97" s="1"/>
  <c r="I269" i="97"/>
  <c r="C957" i="1"/>
  <c r="C39" i="97" s="1"/>
  <c r="I39" i="97"/>
  <c r="C615" i="1"/>
  <c r="C87" i="97" s="1"/>
  <c r="I87" i="97"/>
  <c r="G35" i="113"/>
  <c r="A322" i="23"/>
  <c r="C633" i="1"/>
  <c r="K7" i="114"/>
  <c r="G22" i="113"/>
  <c r="C367" i="1"/>
  <c r="C756" i="1"/>
  <c r="C129" i="97" s="1"/>
  <c r="C366" i="1"/>
  <c r="C859" i="1"/>
  <c r="C360" i="1"/>
  <c r="C370" i="1"/>
  <c r="C196" i="97" s="1"/>
  <c r="C364" i="1"/>
  <c r="C368" i="1"/>
  <c r="C53" i="97" s="1"/>
  <c r="C369" i="1"/>
  <c r="C54" i="97" s="1"/>
  <c r="C754" i="1"/>
  <c r="C19" i="97" s="1"/>
  <c r="C1099" i="1"/>
  <c r="C37" i="97" s="1"/>
  <c r="C363" i="1"/>
  <c r="C1163" i="1"/>
  <c r="C18" i="97" s="1"/>
  <c r="I916" i="23"/>
  <c r="A916" i="23" s="1"/>
  <c r="I885" i="23"/>
  <c r="A885" i="23" s="1"/>
  <c r="C641" i="1"/>
  <c r="C882" i="1"/>
  <c r="C872" i="1"/>
  <c r="C885" i="1"/>
  <c r="C1101" i="1"/>
  <c r="C47" i="97" s="1"/>
  <c r="C874" i="1"/>
  <c r="C870" i="1"/>
  <c r="C1100" i="1"/>
  <c r="C40" i="97" s="1"/>
  <c r="C883" i="1"/>
  <c r="C873" i="1"/>
  <c r="C1096" i="1"/>
  <c r="C72" i="97" s="1"/>
  <c r="C1098" i="1"/>
  <c r="C74" i="97" s="1"/>
  <c r="C884" i="1"/>
  <c r="C880" i="1"/>
  <c r="C869" i="1"/>
  <c r="C881" i="1"/>
  <c r="C1102" i="1"/>
  <c r="C159" i="97" s="1"/>
  <c r="P1907" i="1"/>
  <c r="I143" i="97" s="1"/>
  <c r="C871" i="1"/>
  <c r="G36" i="113"/>
  <c r="D333" i="23"/>
  <c r="D339" i="23" s="1"/>
  <c r="I337" i="23"/>
  <c r="A337" i="23" s="1"/>
  <c r="I1627" i="23"/>
  <c r="A1627" i="23" s="1"/>
  <c r="I1647" i="23"/>
  <c r="A1647" i="23" s="1"/>
  <c r="D1449" i="23"/>
  <c r="I1628" i="23"/>
  <c r="A1628" i="23" s="1"/>
  <c r="I1606" i="23"/>
  <c r="A1606" i="23" s="1"/>
  <c r="D1497" i="23"/>
  <c r="D102" i="115"/>
  <c r="C102" i="115" s="1"/>
  <c r="I12" i="108"/>
  <c r="C12" i="108" s="1"/>
  <c r="C934" i="1"/>
  <c r="C947" i="1"/>
  <c r="C938" i="1"/>
  <c r="C837" i="1"/>
  <c r="C935" i="1"/>
  <c r="C630" i="1"/>
  <c r="C835" i="1"/>
  <c r="C858" i="1"/>
  <c r="C836" i="1"/>
  <c r="P1832" i="1"/>
  <c r="I184" i="97" s="1"/>
  <c r="C625" i="1"/>
  <c r="C860" i="1"/>
  <c r="C944" i="1"/>
  <c r="C861" i="1"/>
  <c r="C631" i="1"/>
  <c r="C831" i="1"/>
  <c r="C832" i="1"/>
  <c r="C948" i="1"/>
  <c r="C862" i="1"/>
  <c r="C856" i="1"/>
  <c r="C857" i="1"/>
  <c r="C945" i="1"/>
  <c r="C937" i="1"/>
  <c r="C949" i="1"/>
  <c r="B228" i="42"/>
  <c r="B221" i="42"/>
  <c r="B229" i="42" s="1"/>
  <c r="C1999" i="1"/>
  <c r="D154" i="23"/>
  <c r="D109" i="23"/>
  <c r="H1641" i="23"/>
  <c r="I1640" i="23"/>
  <c r="A1640" i="23" s="1"/>
  <c r="I164" i="23"/>
  <c r="A164" i="23" s="1"/>
  <c r="C1758" i="1"/>
  <c r="C15" i="97" s="1"/>
  <c r="C237" i="115"/>
  <c r="C235" i="115"/>
  <c r="D235" i="115"/>
  <c r="C248" i="115"/>
  <c r="D248" i="115"/>
  <c r="D31" i="115"/>
  <c r="I914" i="23"/>
  <c r="A914" i="23" s="1"/>
  <c r="D859" i="23"/>
  <c r="I900" i="23"/>
  <c r="A900" i="23" s="1"/>
  <c r="G32" i="113"/>
  <c r="I875" i="23"/>
  <c r="A875" i="23" s="1"/>
  <c r="D826" i="23"/>
  <c r="G34" i="113"/>
  <c r="G20" i="113"/>
  <c r="P1927" i="1"/>
  <c r="I152" i="97" s="1"/>
  <c r="C355" i="1"/>
  <c r="C1816" i="1"/>
  <c r="C10" i="97" s="1"/>
  <c r="C806" i="1"/>
  <c r="C156" i="97" s="1"/>
  <c r="C803" i="1"/>
  <c r="C41" i="97" s="1"/>
  <c r="P1945" i="1"/>
  <c r="I154" i="97" s="1"/>
  <c r="C1817" i="1"/>
  <c r="C101" i="97" s="1"/>
  <c r="C804" i="1"/>
  <c r="C44" i="97" s="1"/>
  <c r="C800" i="1"/>
  <c r="C115" i="97" s="1"/>
  <c r="C1771" i="1"/>
  <c r="C109" i="97" s="1"/>
  <c r="C346" i="1"/>
  <c r="C341" i="1"/>
  <c r="C805" i="1"/>
  <c r="C50" i="97" s="1"/>
  <c r="C1772" i="1"/>
  <c r="C42" i="97" s="1"/>
  <c r="C1820" i="1"/>
  <c r="C27" i="97" s="1"/>
  <c r="C624" i="1"/>
  <c r="C340" i="1"/>
  <c r="C632" i="1"/>
  <c r="C342" i="1"/>
  <c r="C801" i="1"/>
  <c r="C111" i="97" s="1"/>
  <c r="P1750" i="1"/>
  <c r="I138" i="97" s="1"/>
  <c r="H1933" i="1"/>
  <c r="H148" i="97" s="1"/>
  <c r="I932" i="23"/>
  <c r="A932" i="23" s="1"/>
  <c r="P2031" i="1"/>
  <c r="P2032" i="1"/>
  <c r="C2032" i="1" s="1"/>
  <c r="C1938" i="1"/>
  <c r="C1937" i="1"/>
  <c r="D510" i="23"/>
  <c r="D461" i="23"/>
  <c r="D462" i="23" s="1"/>
  <c r="C2037" i="1"/>
  <c r="C1960" i="1"/>
  <c r="C362" i="1"/>
  <c r="C1406" i="1"/>
  <c r="C197" i="97" s="1"/>
  <c r="C1162" i="1"/>
  <c r="C86" i="97" s="1"/>
  <c r="C619" i="1"/>
  <c r="C145" i="97" s="1"/>
  <c r="C1165" i="1"/>
  <c r="C124" i="97" s="1"/>
  <c r="C2041" i="1"/>
  <c r="G21" i="113"/>
  <c r="C1161" i="1"/>
  <c r="C118" i="97" s="1"/>
  <c r="C620" i="1"/>
  <c r="C137" i="97" s="1"/>
  <c r="C1166" i="1"/>
  <c r="C100" i="97" s="1"/>
  <c r="C1407" i="1"/>
  <c r="C164" i="97" s="1"/>
  <c r="C1167" i="1"/>
  <c r="C151" i="97" s="1"/>
  <c r="C375" i="1"/>
  <c r="C134" i="97" s="1"/>
  <c r="C359" i="1"/>
  <c r="C127" i="97" s="1"/>
  <c r="C357" i="1"/>
  <c r="C125" i="97" s="1"/>
  <c r="C358" i="1"/>
  <c r="C126" i="97" s="1"/>
  <c r="C1404" i="1"/>
  <c r="C121" i="97" s="1"/>
  <c r="C1164" i="1"/>
  <c r="C2045" i="1"/>
  <c r="C365" i="1"/>
  <c r="C1405" i="1"/>
  <c r="C102" i="97" s="1"/>
  <c r="C2030" i="1"/>
  <c r="G19" i="113"/>
  <c r="C1160" i="1"/>
  <c r="C63" i="97" s="1"/>
  <c r="C2040" i="1"/>
  <c r="B96" i="33"/>
  <c r="C1750" i="1"/>
  <c r="C138" i="97" s="1"/>
  <c r="C1182" i="1"/>
  <c r="C1175" i="1"/>
  <c r="C1179" i="1"/>
  <c r="C1972" i="1"/>
  <c r="C648" i="1"/>
  <c r="H649" i="1"/>
  <c r="C1091" i="1"/>
  <c r="C1180" i="1"/>
  <c r="C158" i="1"/>
  <c r="C1093" i="1"/>
  <c r="D104" i="115"/>
  <c r="F33" i="108"/>
  <c r="C1178" i="1"/>
  <c r="G33" i="113"/>
  <c r="C722" i="1"/>
  <c r="H723" i="1"/>
  <c r="C723" i="1" s="1"/>
  <c r="C1414" i="1"/>
  <c r="C614" i="1"/>
  <c r="C81" i="97" s="1"/>
  <c r="C1092" i="1"/>
  <c r="I341" i="23"/>
  <c r="A341" i="23" s="1"/>
  <c r="H347" i="23"/>
  <c r="C1413" i="1"/>
  <c r="C246" i="1"/>
  <c r="C163" i="97" s="1"/>
  <c r="C1412" i="1"/>
  <c r="I14" i="108"/>
  <c r="C613" i="1"/>
  <c r="C16" i="97" s="1"/>
  <c r="C245" i="1"/>
  <c r="C195" i="97" s="1"/>
  <c r="C1090" i="1"/>
  <c r="I343" i="23"/>
  <c r="A343" i="23" s="1"/>
  <c r="P778" i="1"/>
  <c r="D277" i="23"/>
  <c r="P2000" i="1"/>
  <c r="L2000" i="1"/>
  <c r="C1089" i="1"/>
  <c r="C1997" i="1"/>
  <c r="C1176" i="1"/>
  <c r="P1998" i="1"/>
  <c r="L1998" i="1"/>
  <c r="C1181" i="1"/>
  <c r="G27" i="113"/>
  <c r="C626" i="1"/>
  <c r="I342" i="23"/>
  <c r="A342" i="23" s="1"/>
  <c r="C1174" i="1"/>
  <c r="C1415" i="1"/>
  <c r="C616" i="1"/>
  <c r="C104" i="97" s="1"/>
  <c r="C1872" i="1"/>
  <c r="C1929" i="1"/>
  <c r="C1914" i="1"/>
  <c r="C144" i="97" s="1"/>
  <c r="C1853" i="1"/>
  <c r="C1899" i="1"/>
  <c r="C61" i="97" s="1"/>
  <c r="C1850" i="1"/>
  <c r="C88" i="97" s="1"/>
  <c r="C1094" i="1"/>
  <c r="C1757" i="1" l="1"/>
  <c r="C17" i="97" s="1"/>
  <c r="D259" i="115"/>
  <c r="C1907" i="1"/>
  <c r="C143" i="97" s="1"/>
  <c r="P1880" i="1"/>
  <c r="B237" i="42"/>
  <c r="B238" i="42" s="1"/>
  <c r="I78" i="97"/>
  <c r="P1957" i="1"/>
  <c r="C1957" i="1" s="1"/>
  <c r="P1922" i="1"/>
  <c r="C1922" i="1" s="1"/>
  <c r="P1930" i="1"/>
  <c r="C1930" i="1" s="1"/>
  <c r="P1931" i="1"/>
  <c r="C1931" i="1" s="1"/>
  <c r="P1915" i="1"/>
  <c r="C1915" i="1" s="1"/>
  <c r="P1923" i="1"/>
  <c r="C1923" i="1" s="1"/>
  <c r="P1841" i="1"/>
  <c r="C1841" i="1" s="1"/>
  <c r="P1941" i="1"/>
  <c r="C1941" i="1" s="1"/>
  <c r="P1910" i="1"/>
  <c r="C1910" i="1" s="1"/>
  <c r="P1837" i="1"/>
  <c r="C1837" i="1" s="1"/>
  <c r="P1891" i="1"/>
  <c r="P1916" i="1"/>
  <c r="C1916" i="1" s="1"/>
  <c r="P1856" i="1"/>
  <c r="C1856" i="1" s="1"/>
  <c r="P1867" i="1"/>
  <c r="C1867" i="1" s="1"/>
  <c r="P1953" i="1"/>
  <c r="C1953" i="1" s="1"/>
  <c r="P1928" i="1"/>
  <c r="C1928" i="1" s="1"/>
  <c r="C1939" i="1"/>
  <c r="C176" i="97" s="1"/>
  <c r="P1857" i="1"/>
  <c r="C1857" i="1" s="1"/>
  <c r="P1871" i="1"/>
  <c r="C1871" i="1" s="1"/>
  <c r="P1947" i="1"/>
  <c r="C1947" i="1" s="1"/>
  <c r="P1943" i="1"/>
  <c r="C1943" i="1" s="1"/>
  <c r="P1956" i="1"/>
  <c r="C1956" i="1" s="1"/>
  <c r="P1908" i="1"/>
  <c r="C1908" i="1" s="1"/>
  <c r="P1888" i="1"/>
  <c r="C1888" i="1" s="1"/>
  <c r="P1836" i="1"/>
  <c r="C1836" i="1" s="1"/>
  <c r="P1864" i="1"/>
  <c r="C1864" i="1" s="1"/>
  <c r="P1843" i="1"/>
  <c r="C1843" i="1" s="1"/>
  <c r="P1847" i="1"/>
  <c r="C1847" i="1" s="1"/>
  <c r="P1934" i="1"/>
  <c r="C1934" i="1" s="1"/>
  <c r="P1926" i="1"/>
  <c r="C1926" i="1" s="1"/>
  <c r="P1917" i="1"/>
  <c r="C1917" i="1" s="1"/>
  <c r="P1883" i="1"/>
  <c r="C1883" i="1" s="1"/>
  <c r="P1882" i="1"/>
  <c r="C1882" i="1" s="1"/>
  <c r="P1901" i="1"/>
  <c r="C1901" i="1" s="1"/>
  <c r="P1895" i="1"/>
  <c r="C1895" i="1" s="1"/>
  <c r="P1855" i="1"/>
  <c r="C1855" i="1" s="1"/>
  <c r="P1868" i="1"/>
  <c r="C1868" i="1" s="1"/>
  <c r="P1936" i="1"/>
  <c r="C1936" i="1" s="1"/>
  <c r="P1921" i="1"/>
  <c r="C1921" i="1" s="1"/>
  <c r="P1919" i="1"/>
  <c r="C1919" i="1" s="1"/>
  <c r="P1949" i="1"/>
  <c r="C1949" i="1" s="1"/>
  <c r="P1886" i="1"/>
  <c r="C1886" i="1" s="1"/>
  <c r="P1840" i="1"/>
  <c r="C1840" i="1" s="1"/>
  <c r="P1838" i="1"/>
  <c r="C1838" i="1" s="1"/>
  <c r="P1885" i="1"/>
  <c r="C1885" i="1" s="1"/>
  <c r="P1932" i="1"/>
  <c r="C1932" i="1" s="1"/>
  <c r="I13" i="97"/>
  <c r="P1893" i="1"/>
  <c r="P1952" i="1"/>
  <c r="C1952" i="1" s="1"/>
  <c r="P1851" i="1"/>
  <c r="C1851" i="1" s="1"/>
  <c r="P1842" i="1"/>
  <c r="C1842" i="1" s="1"/>
  <c r="P1862" i="1"/>
  <c r="C1862" i="1" s="1"/>
  <c r="P1854" i="1"/>
  <c r="C1854" i="1" s="1"/>
  <c r="P1884" i="1"/>
  <c r="C1884" i="1" s="1"/>
  <c r="P1898" i="1"/>
  <c r="C1898" i="1" s="1"/>
  <c r="P1859" i="1"/>
  <c r="C1859" i="1" s="1"/>
  <c r="P1955" i="1"/>
  <c r="C1955" i="1" s="1"/>
  <c r="P1890" i="1"/>
  <c r="C1890" i="1" s="1"/>
  <c r="P1881" i="1"/>
  <c r="C1881" i="1" s="1"/>
  <c r="P1892" i="1"/>
  <c r="P1911" i="1"/>
  <c r="C1911" i="1" s="1"/>
  <c r="P1876" i="1"/>
  <c r="C1876" i="1" s="1"/>
  <c r="P1858" i="1"/>
  <c r="C1858" i="1" s="1"/>
  <c r="P1866" i="1"/>
  <c r="C1866" i="1" s="1"/>
  <c r="P1889" i="1"/>
  <c r="C1889" i="1" s="1"/>
  <c r="P1875" i="1"/>
  <c r="C1875" i="1" s="1"/>
  <c r="P1844" i="1"/>
  <c r="C1844" i="1" s="1"/>
  <c r="P1940" i="1"/>
  <c r="C1940" i="1" s="1"/>
  <c r="P1897" i="1"/>
  <c r="C1897" i="1" s="1"/>
  <c r="P1849" i="1"/>
  <c r="C1849" i="1" s="1"/>
  <c r="P1860" i="1"/>
  <c r="C1860" i="1" s="1"/>
  <c r="P1946" i="1"/>
  <c r="C1946" i="1" s="1"/>
  <c r="P1912" i="1"/>
  <c r="C1912" i="1" s="1"/>
  <c r="P1887" i="1"/>
  <c r="C1887" i="1" s="1"/>
  <c r="P1954" i="1"/>
  <c r="C1954" i="1" s="1"/>
  <c r="P1835" i="1"/>
  <c r="C1835" i="1" s="1"/>
  <c r="P1846" i="1"/>
  <c r="C1846" i="1" s="1"/>
  <c r="P1906" i="1"/>
  <c r="P1948" i="1"/>
  <c r="C1948" i="1" s="1"/>
  <c r="P1845" i="1"/>
  <c r="C1845" i="1" s="1"/>
  <c r="P1896" i="1"/>
  <c r="C1896" i="1" s="1"/>
  <c r="P1873" i="1"/>
  <c r="C1873" i="1" s="1"/>
  <c r="P1924" i="1"/>
  <c r="C1924" i="1" s="1"/>
  <c r="C1935" i="1"/>
  <c r="C175" i="97" s="1"/>
  <c r="I31" i="97"/>
  <c r="P1944" i="1"/>
  <c r="C1944" i="1" s="1"/>
  <c r="P1909" i="1"/>
  <c r="C1909" i="1" s="1"/>
  <c r="P1833" i="1"/>
  <c r="C1833" i="1" s="1"/>
  <c r="P1942" i="1"/>
  <c r="C1942" i="1" s="1"/>
  <c r="P1918" i="1"/>
  <c r="C1918" i="1" s="1"/>
  <c r="P1839" i="1"/>
  <c r="C1839" i="1" s="1"/>
  <c r="P1913" i="1"/>
  <c r="C1913" i="1" s="1"/>
  <c r="P1920" i="1"/>
  <c r="C1920" i="1" s="1"/>
  <c r="C1900" i="1"/>
  <c r="C60" i="97" s="1"/>
  <c r="P1925" i="1"/>
  <c r="C1925" i="1" s="1"/>
  <c r="P1865" i="1"/>
  <c r="C1865" i="1" s="1"/>
  <c r="P1848" i="1"/>
  <c r="C1848" i="1" s="1"/>
  <c r="P1894" i="1"/>
  <c r="C1894" i="1" s="1"/>
  <c r="P1861" i="1"/>
  <c r="C1861" i="1" s="1"/>
  <c r="P1951" i="1"/>
  <c r="C1951" i="1" s="1"/>
  <c r="P1834" i="1"/>
  <c r="C1834" i="1" s="1"/>
  <c r="P1950" i="1"/>
  <c r="C1950" i="1" s="1"/>
  <c r="C263" i="115"/>
  <c r="D348" i="23"/>
  <c r="D1506" i="23"/>
  <c r="D1514" i="23" s="1"/>
  <c r="D1523" i="23" s="1"/>
  <c r="D1450" i="23"/>
  <c r="C13" i="108"/>
  <c r="D264" i="115"/>
  <c r="D110" i="23"/>
  <c r="H1642" i="23"/>
  <c r="I1641" i="23"/>
  <c r="A1641" i="23" s="1"/>
  <c r="D160" i="23"/>
  <c r="H1958" i="1"/>
  <c r="C1927" i="1"/>
  <c r="C152" i="97" s="1"/>
  <c r="D827" i="23"/>
  <c r="D829" i="23" s="1"/>
  <c r="D828" i="23"/>
  <c r="D876" i="23"/>
  <c r="C1945" i="1"/>
  <c r="C154" i="97" s="1"/>
  <c r="C1869" i="1"/>
  <c r="C33" i="97" s="1"/>
  <c r="I933" i="23"/>
  <c r="A933" i="23" s="1"/>
  <c r="P1933" i="1"/>
  <c r="I148" i="97" s="1"/>
  <c r="C2031" i="1"/>
  <c r="D528" i="23"/>
  <c r="G29" i="113"/>
  <c r="G42" i="113" s="1"/>
  <c r="B100" i="33"/>
  <c r="C1998" i="1"/>
  <c r="C649" i="1"/>
  <c r="H650" i="1"/>
  <c r="C1905" i="1"/>
  <c r="C59" i="97" s="1"/>
  <c r="C2000" i="1"/>
  <c r="C26" i="108"/>
  <c r="C25" i="108"/>
  <c r="C23" i="108"/>
  <c r="C22" i="108"/>
  <c r="C18" i="108"/>
  <c r="C30" i="108"/>
  <c r="C24" i="108"/>
  <c r="C21" i="108"/>
  <c r="C17" i="108"/>
  <c r="C20" i="108"/>
  <c r="C32" i="108"/>
  <c r="C29" i="108"/>
  <c r="C14" i="108"/>
  <c r="C31" i="108"/>
  <c r="C16" i="108"/>
  <c r="C19" i="108"/>
  <c r="C28" i="108"/>
  <c r="C15" i="108"/>
  <c r="C27" i="108"/>
  <c r="C1874" i="1"/>
  <c r="D278" i="23"/>
  <c r="I347" i="23"/>
  <c r="A347" i="23" s="1"/>
  <c r="C104" i="115"/>
  <c r="D93" i="115"/>
  <c r="F6" i="110" l="1"/>
  <c r="I6" i="110" s="1"/>
  <c r="F7" i="110"/>
  <c r="I7" i="110" s="1"/>
  <c r="H12" i="105"/>
  <c r="C1852" i="1"/>
  <c r="C90" i="97" s="1"/>
  <c r="I90" i="97"/>
  <c r="C1863" i="1"/>
  <c r="C77" i="97" s="1"/>
  <c r="I77" i="97"/>
  <c r="C1892" i="1"/>
  <c r="C1891" i="1"/>
  <c r="C1893" i="1"/>
  <c r="C1877" i="1"/>
  <c r="C13" i="97" s="1"/>
  <c r="G79" i="109" s="1"/>
  <c r="J79" i="109" s="1"/>
  <c r="C1906" i="1"/>
  <c r="C1879" i="1"/>
  <c r="C78" i="97" s="1"/>
  <c r="C1870" i="1"/>
  <c r="C31" i="97" s="1"/>
  <c r="C1880" i="1"/>
  <c r="D263" i="115"/>
  <c r="B239" i="42"/>
  <c r="B248" i="42" s="1"/>
  <c r="B263" i="42" s="1"/>
  <c r="B264" i="42" s="1"/>
  <c r="B265" i="42" s="1"/>
  <c r="D366" i="23"/>
  <c r="C261" i="115"/>
  <c r="D261" i="115"/>
  <c r="D1451" i="23"/>
  <c r="D1544" i="23"/>
  <c r="D111" i="23"/>
  <c r="D173" i="23"/>
  <c r="H1645" i="23"/>
  <c r="I1642" i="23"/>
  <c r="A1642" i="23" s="1"/>
  <c r="C1958" i="1"/>
  <c r="B114" i="33"/>
  <c r="B125" i="33" s="1"/>
  <c r="B143" i="33" s="1"/>
  <c r="B144" i="33" s="1"/>
  <c r="B145" i="33" s="1"/>
  <c r="D881" i="23"/>
  <c r="D830" i="23"/>
  <c r="C1933" i="1"/>
  <c r="C148" i="97" s="1"/>
  <c r="G43" i="113"/>
  <c r="H651" i="1"/>
  <c r="C650" i="1"/>
  <c r="D279" i="23"/>
  <c r="C264" i="115"/>
  <c r="F38" i="109" l="1"/>
  <c r="G7" i="106"/>
  <c r="G7" i="110"/>
  <c r="F36" i="109"/>
  <c r="F37" i="109"/>
  <c r="G38" i="109"/>
  <c r="J38" i="109" s="1"/>
  <c r="G37" i="109"/>
  <c r="J37" i="109" s="1"/>
  <c r="G36" i="109"/>
  <c r="J36" i="109" s="1"/>
  <c r="H8" i="105"/>
  <c r="G11" i="106"/>
  <c r="G12" i="105"/>
  <c r="G8" i="105"/>
  <c r="G55" i="105"/>
  <c r="G23" i="105"/>
  <c r="G57" i="105"/>
  <c r="G25" i="105"/>
  <c r="G20" i="105"/>
  <c r="G38" i="105"/>
  <c r="G64" i="105"/>
  <c r="H32" i="105"/>
  <c r="G48" i="105"/>
  <c r="G16" i="105"/>
  <c r="H42" i="105"/>
  <c r="G44" i="105"/>
  <c r="G34" i="105"/>
  <c r="F30" i="109"/>
  <c r="F33" i="109"/>
  <c r="F21" i="109"/>
  <c r="G30" i="109"/>
  <c r="J30" i="109" s="1"/>
  <c r="F40" i="109"/>
  <c r="F51" i="109"/>
  <c r="F53" i="109"/>
  <c r="G61" i="109"/>
  <c r="J61" i="109" s="1"/>
  <c r="F71" i="109"/>
  <c r="F54" i="109"/>
  <c r="G57" i="109"/>
  <c r="J57" i="109" s="1"/>
  <c r="G63" i="109"/>
  <c r="J63" i="109" s="1"/>
  <c r="G74" i="109"/>
  <c r="F109" i="109"/>
  <c r="F79" i="109"/>
  <c r="F103" i="109"/>
  <c r="G100" i="109"/>
  <c r="J100" i="109" s="1"/>
  <c r="G93" i="109"/>
  <c r="J93" i="109" s="1"/>
  <c r="F111" i="109"/>
  <c r="F77" i="109"/>
  <c r="G94" i="109"/>
  <c r="J94" i="109" s="1"/>
  <c r="F116" i="109"/>
  <c r="F82" i="109"/>
  <c r="G106" i="109"/>
  <c r="J106" i="109" s="1"/>
  <c r="G4" i="106"/>
  <c r="G9" i="105"/>
  <c r="H5" i="105"/>
  <c r="H52" i="105"/>
  <c r="H20" i="105"/>
  <c r="H54" i="105"/>
  <c r="H22" i="105"/>
  <c r="H64" i="105"/>
  <c r="H35" i="105"/>
  <c r="G59" i="105"/>
  <c r="G27" i="105"/>
  <c r="H45" i="105"/>
  <c r="H13" i="105"/>
  <c r="G37" i="105"/>
  <c r="H63" i="105"/>
  <c r="H31" i="105"/>
  <c r="F35" i="109"/>
  <c r="F23" i="109"/>
  <c r="G32" i="109"/>
  <c r="J32" i="109" s="1"/>
  <c r="G20" i="109"/>
  <c r="J20" i="109" s="1"/>
  <c r="G42" i="109"/>
  <c r="J42" i="109" s="1"/>
  <c r="F48" i="109"/>
  <c r="G51" i="109"/>
  <c r="J51" i="109" s="1"/>
  <c r="F67" i="109"/>
  <c r="F63" i="109"/>
  <c r="G66" i="109"/>
  <c r="J66" i="109" s="1"/>
  <c r="F57" i="109"/>
  <c r="G55" i="109"/>
  <c r="J55" i="109" s="1"/>
  <c r="F74" i="109"/>
  <c r="F106" i="109"/>
  <c r="G110" i="109"/>
  <c r="J110" i="109" s="1"/>
  <c r="F100" i="109"/>
  <c r="G88" i="109"/>
  <c r="J88" i="109" s="1"/>
  <c r="G89" i="109"/>
  <c r="J89" i="109" s="1"/>
  <c r="F104" i="109"/>
  <c r="F115" i="109"/>
  <c r="G90" i="109"/>
  <c r="J90" i="109" s="1"/>
  <c r="F112" i="109"/>
  <c r="F78" i="109"/>
  <c r="G102" i="109"/>
  <c r="J102" i="109" s="1"/>
  <c r="H10" i="105"/>
  <c r="G47" i="105"/>
  <c r="G15" i="105"/>
  <c r="G49" i="105"/>
  <c r="G17" i="105"/>
  <c r="G62" i="105"/>
  <c r="G30" i="105"/>
  <c r="H56" i="105"/>
  <c r="H24" i="105"/>
  <c r="G40" i="105"/>
  <c r="H49" i="105"/>
  <c r="H34" i="105"/>
  <c r="G58" i="105"/>
  <c r="G26" i="105"/>
  <c r="F27" i="109"/>
  <c r="G34" i="109"/>
  <c r="J34" i="109" s="1"/>
  <c r="G22" i="109"/>
  <c r="J22" i="109" s="1"/>
  <c r="F43" i="109"/>
  <c r="F39" i="109"/>
  <c r="G53" i="109"/>
  <c r="J53" i="109" s="1"/>
  <c r="G48" i="109"/>
  <c r="J48" i="109" s="1"/>
  <c r="G69" i="109"/>
  <c r="J69" i="109" s="1"/>
  <c r="F55" i="109"/>
  <c r="G58" i="109"/>
  <c r="J58" i="109" s="1"/>
  <c r="F68" i="109"/>
  <c r="F59" i="109"/>
  <c r="G75" i="109"/>
  <c r="J75" i="109" s="1"/>
  <c r="F102" i="109"/>
  <c r="G96" i="109"/>
  <c r="J96" i="109" s="1"/>
  <c r="F96" i="109"/>
  <c r="G119" i="109"/>
  <c r="J119" i="109" s="1"/>
  <c r="G85" i="109"/>
  <c r="J85" i="109" s="1"/>
  <c r="F101" i="109"/>
  <c r="G120" i="109"/>
  <c r="J120" i="109" s="1"/>
  <c r="G86" i="109"/>
  <c r="J86" i="109" s="1"/>
  <c r="F108" i="109"/>
  <c r="G114" i="109"/>
  <c r="J114" i="109" s="1"/>
  <c r="G99" i="109"/>
  <c r="J99" i="109" s="1"/>
  <c r="H6" i="105"/>
  <c r="H9" i="105"/>
  <c r="G5" i="105"/>
  <c r="H44" i="105"/>
  <c r="G52" i="105"/>
  <c r="H46" i="105"/>
  <c r="H14" i="105"/>
  <c r="H59" i="105"/>
  <c r="H27" i="105"/>
  <c r="G51" i="105"/>
  <c r="G19" i="105"/>
  <c r="H37" i="105"/>
  <c r="G61" i="105"/>
  <c r="G29" i="105"/>
  <c r="H55" i="105"/>
  <c r="H23" i="105"/>
  <c r="K23" i="105" s="1"/>
  <c r="G28" i="109"/>
  <c r="J28" i="109" s="1"/>
  <c r="G26" i="109"/>
  <c r="J26" i="109" s="1"/>
  <c r="F20" i="109"/>
  <c r="F42" i="109"/>
  <c r="G41" i="109"/>
  <c r="J41" i="109" s="1"/>
  <c r="F47" i="109"/>
  <c r="G47" i="109"/>
  <c r="J47" i="109" s="1"/>
  <c r="F72" i="109"/>
  <c r="G67" i="109"/>
  <c r="J67" i="109" s="1"/>
  <c r="F73" i="109"/>
  <c r="F60" i="109"/>
  <c r="F66" i="109"/>
  <c r="F75" i="109"/>
  <c r="F99" i="109"/>
  <c r="G84" i="109"/>
  <c r="J84" i="109" s="1"/>
  <c r="F92" i="109"/>
  <c r="G115" i="109"/>
  <c r="J115" i="109" s="1"/>
  <c r="G81" i="109"/>
  <c r="J81" i="109" s="1"/>
  <c r="F97" i="109"/>
  <c r="G116" i="109"/>
  <c r="J116" i="109" s="1"/>
  <c r="G82" i="109"/>
  <c r="J82" i="109" s="1"/>
  <c r="F105" i="109"/>
  <c r="G92" i="109"/>
  <c r="J92" i="109" s="1"/>
  <c r="G95" i="109"/>
  <c r="J95" i="109" s="1"/>
  <c r="H11" i="105"/>
  <c r="G10" i="105"/>
  <c r="G39" i="105"/>
  <c r="G36" i="105"/>
  <c r="G41" i="105"/>
  <c r="H57" i="105"/>
  <c r="G54" i="105"/>
  <c r="G22" i="105"/>
  <c r="H48" i="105"/>
  <c r="K48" i="105" s="1"/>
  <c r="H16" i="105"/>
  <c r="G32" i="105"/>
  <c r="K32" i="105" s="1"/>
  <c r="H58" i="105"/>
  <c r="K58" i="105" s="1"/>
  <c r="H26" i="105"/>
  <c r="G50" i="105"/>
  <c r="G18" i="105"/>
  <c r="F34" i="109"/>
  <c r="F22" i="109"/>
  <c r="G31" i="109"/>
  <c r="J31" i="109" s="1"/>
  <c r="G45" i="109"/>
  <c r="J45" i="109" s="1"/>
  <c r="F45" i="109"/>
  <c r="G52" i="109"/>
  <c r="J52" i="109" s="1"/>
  <c r="F50" i="109"/>
  <c r="F64" i="109"/>
  <c r="G59" i="109"/>
  <c r="J59" i="109" s="1"/>
  <c r="F69" i="109"/>
  <c r="G72" i="109"/>
  <c r="J72" i="109" s="1"/>
  <c r="F58" i="109"/>
  <c r="F76" i="109"/>
  <c r="F95" i="109"/>
  <c r="F118" i="109"/>
  <c r="F88" i="109"/>
  <c r="G111" i="109"/>
  <c r="J111" i="109" s="1"/>
  <c r="G77" i="109"/>
  <c r="J77" i="109" s="1"/>
  <c r="F93" i="109"/>
  <c r="G112" i="109"/>
  <c r="J112" i="109" s="1"/>
  <c r="G78" i="109"/>
  <c r="J78" i="109" s="1"/>
  <c r="F98" i="109"/>
  <c r="G121" i="109"/>
  <c r="J121" i="109" s="1"/>
  <c r="G91" i="109"/>
  <c r="J91" i="109" s="1"/>
  <c r="G6" i="105"/>
  <c r="H7" i="105"/>
  <c r="H36" i="105"/>
  <c r="H25" i="105"/>
  <c r="H38" i="105"/>
  <c r="H41" i="105"/>
  <c r="K41" i="105" s="1"/>
  <c r="H51" i="105"/>
  <c r="H19" i="105"/>
  <c r="G43" i="105"/>
  <c r="H61" i="105"/>
  <c r="H29" i="105"/>
  <c r="G53" i="105"/>
  <c r="G21" i="105"/>
  <c r="H47" i="105"/>
  <c r="H15" i="105"/>
  <c r="F26" i="109"/>
  <c r="G33" i="109"/>
  <c r="J33" i="109" s="1"/>
  <c r="G21" i="109"/>
  <c r="J21" i="109" s="1"/>
  <c r="G44" i="109"/>
  <c r="J44" i="109" s="1"/>
  <c r="G40" i="109"/>
  <c r="J40" i="109" s="1"/>
  <c r="F46" i="109"/>
  <c r="G46" i="109"/>
  <c r="J46" i="109" s="1"/>
  <c r="F56" i="109"/>
  <c r="F65" i="109"/>
  <c r="F61" i="109"/>
  <c r="G64" i="109"/>
  <c r="J64" i="109" s="1"/>
  <c r="G70" i="109"/>
  <c r="J70" i="109" s="1"/>
  <c r="G76" i="109"/>
  <c r="J76" i="109" s="1"/>
  <c r="F91" i="109"/>
  <c r="F114" i="109"/>
  <c r="F84" i="109"/>
  <c r="G104" i="109"/>
  <c r="J104" i="109" s="1"/>
  <c r="G103" i="109"/>
  <c r="J103" i="109" s="1"/>
  <c r="F89" i="109"/>
  <c r="G108" i="109"/>
  <c r="J108" i="109" s="1"/>
  <c r="F121" i="109"/>
  <c r="F94" i="109"/>
  <c r="G117" i="109"/>
  <c r="J117" i="109" s="1"/>
  <c r="G87" i="109"/>
  <c r="J87" i="109" s="1"/>
  <c r="G11" i="105"/>
  <c r="G63" i="105"/>
  <c r="G31" i="105"/>
  <c r="K31" i="105" s="1"/>
  <c r="H17" i="105"/>
  <c r="K17" i="105" s="1"/>
  <c r="G33" i="105"/>
  <c r="H33" i="105"/>
  <c r="G46" i="105"/>
  <c r="K46" i="105" s="1"/>
  <c r="G14" i="105"/>
  <c r="K14" i="105" s="1"/>
  <c r="H40" i="105"/>
  <c r="K40" i="105" s="1"/>
  <c r="G56" i="105"/>
  <c r="K56" i="105" s="1"/>
  <c r="G24" i="105"/>
  <c r="H50" i="105"/>
  <c r="H18" i="105"/>
  <c r="G42" i="105"/>
  <c r="F28" i="109"/>
  <c r="G35" i="109"/>
  <c r="J35" i="109" s="1"/>
  <c r="G23" i="109"/>
  <c r="J23" i="109" s="1"/>
  <c r="F32" i="109"/>
  <c r="F41" i="109"/>
  <c r="F44" i="109"/>
  <c r="G50" i="109"/>
  <c r="J50" i="109" s="1"/>
  <c r="F52" i="109"/>
  <c r="G68" i="109"/>
  <c r="J68" i="109" s="1"/>
  <c r="F70" i="109"/>
  <c r="G73" i="109"/>
  <c r="J73" i="109" s="1"/>
  <c r="G56" i="109"/>
  <c r="J56" i="109" s="1"/>
  <c r="G62" i="109"/>
  <c r="J62" i="109" s="1"/>
  <c r="F117" i="109"/>
  <c r="F87" i="109"/>
  <c r="F110" i="109"/>
  <c r="F80" i="109"/>
  <c r="G101" i="109"/>
  <c r="J101" i="109" s="1"/>
  <c r="G80" i="109"/>
  <c r="J80" i="109" s="1"/>
  <c r="F85" i="109"/>
  <c r="G105" i="109"/>
  <c r="J105" i="109" s="1"/>
  <c r="G107" i="109"/>
  <c r="J107" i="109" s="1"/>
  <c r="F90" i="109"/>
  <c r="G113" i="109"/>
  <c r="J113" i="109" s="1"/>
  <c r="G83" i="109"/>
  <c r="J83" i="109" s="1"/>
  <c r="G7" i="105"/>
  <c r="H60" i="105"/>
  <c r="H28" i="105"/>
  <c r="H62" i="105"/>
  <c r="H30" i="105"/>
  <c r="G28" i="105"/>
  <c r="H43" i="105"/>
  <c r="G60" i="105"/>
  <c r="G35" i="105"/>
  <c r="H53" i="105"/>
  <c r="H21" i="105"/>
  <c r="G45" i="105"/>
  <c r="K45" i="105" s="1"/>
  <c r="G13" i="105"/>
  <c r="K13" i="105" s="1"/>
  <c r="H39" i="105"/>
  <c r="K39" i="105" s="1"/>
  <c r="G29" i="109"/>
  <c r="J29" i="109" s="1"/>
  <c r="G27" i="109"/>
  <c r="J27" i="109" s="1"/>
  <c r="F31" i="109"/>
  <c r="F29" i="109"/>
  <c r="G43" i="109"/>
  <c r="J43" i="109" s="1"/>
  <c r="G39" i="109"/>
  <c r="J39" i="109" s="1"/>
  <c r="G49" i="109"/>
  <c r="J49" i="109" s="1"/>
  <c r="F49" i="109"/>
  <c r="G60" i="109"/>
  <c r="J60" i="109" s="1"/>
  <c r="F62" i="109"/>
  <c r="G65" i="109"/>
  <c r="J65" i="109" s="1"/>
  <c r="G71" i="109"/>
  <c r="J71" i="109" s="1"/>
  <c r="G54" i="109"/>
  <c r="J54" i="109" s="1"/>
  <c r="F113" i="109"/>
  <c r="F83" i="109"/>
  <c r="F107" i="109"/>
  <c r="G118" i="109"/>
  <c r="J118" i="109" s="1"/>
  <c r="G97" i="109"/>
  <c r="J97" i="109" s="1"/>
  <c r="F119" i="109"/>
  <c r="F81" i="109"/>
  <c r="G98" i="109"/>
  <c r="J98" i="109" s="1"/>
  <c r="F120" i="109"/>
  <c r="F86" i="109"/>
  <c r="G109" i="109"/>
  <c r="J109" i="109" s="1"/>
  <c r="D197" i="115"/>
  <c r="J74" i="109"/>
  <c r="K55" i="105"/>
  <c r="K57" i="105"/>
  <c r="K52" i="105"/>
  <c r="K51" i="105"/>
  <c r="K20" i="105"/>
  <c r="K44" i="105"/>
  <c r="K34" i="105"/>
  <c r="K29" i="105"/>
  <c r="K16" i="105"/>
  <c r="G15" i="106"/>
  <c r="G24" i="109"/>
  <c r="J24" i="109" s="1"/>
  <c r="F16" i="109"/>
  <c r="G6" i="106"/>
  <c r="F11" i="106"/>
  <c r="F25" i="109"/>
  <c r="G5" i="106"/>
  <c r="G13" i="106"/>
  <c r="F14" i="106"/>
  <c r="F4" i="106"/>
  <c r="F24" i="109"/>
  <c r="F5" i="106"/>
  <c r="G10" i="106"/>
  <c r="G8" i="106"/>
  <c r="F7" i="106"/>
  <c r="G16" i="109"/>
  <c r="J16" i="109" s="1"/>
  <c r="D90" i="115"/>
  <c r="D91" i="115"/>
  <c r="F8" i="106"/>
  <c r="D92" i="115"/>
  <c r="F12" i="109"/>
  <c r="F10" i="106"/>
  <c r="G9" i="106"/>
  <c r="F12" i="106"/>
  <c r="G6" i="110"/>
  <c r="G12" i="106"/>
  <c r="F6" i="106"/>
  <c r="G14" i="106"/>
  <c r="F9" i="106"/>
  <c r="F13" i="106"/>
  <c r="G25" i="109"/>
  <c r="J25" i="109" s="1"/>
  <c r="F15" i="106"/>
  <c r="G17" i="109"/>
  <c r="J17" i="109" s="1"/>
  <c r="F17" i="109"/>
  <c r="D16" i="115"/>
  <c r="C266" i="115"/>
  <c r="D266" i="115"/>
  <c r="C267" i="115"/>
  <c r="D267" i="115"/>
  <c r="D268" i="115"/>
  <c r="C262" i="115"/>
  <c r="D262" i="115"/>
  <c r="D265" i="115"/>
  <c r="C265" i="115"/>
  <c r="D1550" i="23"/>
  <c r="D1556" i="23" s="1"/>
  <c r="D1452" i="23"/>
  <c r="D1453" i="23" s="1"/>
  <c r="I1645" i="23"/>
  <c r="A1645" i="23" s="1"/>
  <c r="D112" i="23"/>
  <c r="D113" i="23" s="1"/>
  <c r="D192" i="23"/>
  <c r="D891" i="23"/>
  <c r="C651" i="1"/>
  <c r="H652" i="1"/>
  <c r="K35" i="105" l="1"/>
  <c r="K38" i="105"/>
  <c r="K50" i="105"/>
  <c r="K24" i="105"/>
  <c r="K19" i="105"/>
  <c r="K25" i="105"/>
  <c r="K53" i="105"/>
  <c r="K59" i="105"/>
  <c r="K27" i="105"/>
  <c r="K63" i="105"/>
  <c r="K22" i="105"/>
  <c r="K30" i="105"/>
  <c r="K36" i="105"/>
  <c r="K61" i="105"/>
  <c r="K26" i="105"/>
  <c r="K37" i="105"/>
  <c r="K54" i="105"/>
  <c r="K62" i="105"/>
  <c r="K43" i="105"/>
  <c r="K42" i="105"/>
  <c r="K28" i="105"/>
  <c r="K18" i="105"/>
  <c r="K60" i="105"/>
  <c r="K33" i="105"/>
  <c r="K21" i="105"/>
  <c r="K49" i="105"/>
  <c r="K15" i="105"/>
  <c r="K47" i="105"/>
  <c r="J9" i="107"/>
  <c r="J10" i="107"/>
  <c r="J8" i="107"/>
  <c r="D182" i="115"/>
  <c r="D189" i="115"/>
  <c r="D167" i="115"/>
  <c r="D192" i="115"/>
  <c r="D184" i="115"/>
  <c r="D168" i="115"/>
  <c r="D152" i="115"/>
  <c r="D181" i="115"/>
  <c r="D169" i="115"/>
  <c r="D157" i="115"/>
  <c r="D196" i="115"/>
  <c r="D174" i="115"/>
  <c r="D146" i="115"/>
  <c r="D138" i="115"/>
  <c r="D172" i="115"/>
  <c r="D161" i="115"/>
  <c r="D148" i="115"/>
  <c r="D177" i="115"/>
  <c r="D178" i="115"/>
  <c r="D193" i="115"/>
  <c r="D165" i="115"/>
  <c r="D166" i="115"/>
  <c r="D164" i="115"/>
  <c r="D155" i="115"/>
  <c r="D175" i="115"/>
  <c r="D190" i="115"/>
  <c r="D158" i="115"/>
  <c r="D142" i="115"/>
  <c r="D185" i="115"/>
  <c r="D137" i="115"/>
  <c r="D162" i="115"/>
  <c r="D191" i="115"/>
  <c r="D153" i="115"/>
  <c r="D144" i="115"/>
  <c r="D136" i="115"/>
  <c r="D195" i="115"/>
  <c r="D179" i="115"/>
  <c r="D143" i="115"/>
  <c r="D135" i="115"/>
  <c r="D176" i="115"/>
  <c r="D160" i="115"/>
  <c r="D187" i="115"/>
  <c r="D163" i="115"/>
  <c r="D151" i="115"/>
  <c r="D188" i="115"/>
  <c r="D156" i="115"/>
  <c r="D173" i="115"/>
  <c r="D149" i="115"/>
  <c r="D194" i="115"/>
  <c r="D186" i="115"/>
  <c r="D170" i="115"/>
  <c r="D154" i="115"/>
  <c r="D183" i="115"/>
  <c r="D171" i="115"/>
  <c r="D159" i="115"/>
  <c r="D180" i="115"/>
  <c r="D150" i="115"/>
  <c r="K64" i="105"/>
  <c r="D1563" i="23"/>
  <c r="D1573" i="23" s="1"/>
  <c r="D1582" i="23" s="1"/>
  <c r="D1596" i="23" s="1"/>
  <c r="D918" i="23"/>
  <c r="C652" i="1"/>
  <c r="H653" i="1"/>
  <c r="D14" i="115" l="1"/>
  <c r="G21" i="111"/>
  <c r="F21" i="111"/>
  <c r="G23" i="111"/>
  <c r="F22" i="111"/>
  <c r="G22" i="111"/>
  <c r="F23" i="111"/>
  <c r="G24" i="111"/>
  <c r="G18" i="109"/>
  <c r="J18" i="109" s="1"/>
  <c r="D11" i="115"/>
  <c r="G15" i="109"/>
  <c r="J15" i="109" s="1"/>
  <c r="F4" i="109"/>
  <c r="F19" i="109"/>
  <c r="G11" i="109"/>
  <c r="J11" i="109" s="1"/>
  <c r="D9" i="115"/>
  <c r="G8" i="109"/>
  <c r="F10" i="109"/>
  <c r="G5" i="109"/>
  <c r="F6" i="109"/>
  <c r="F5" i="110"/>
  <c r="I5" i="110" s="1"/>
  <c r="F15" i="109"/>
  <c r="G12" i="109"/>
  <c r="J12" i="109" s="1"/>
  <c r="F5" i="109"/>
  <c r="D13" i="115"/>
  <c r="D10" i="115"/>
  <c r="G13" i="109"/>
  <c r="J13" i="109" s="1"/>
  <c r="G14" i="109"/>
  <c r="J14" i="109" s="1"/>
  <c r="G4" i="109"/>
  <c r="G7" i="109"/>
  <c r="G10" i="109"/>
  <c r="J10" i="109" s="1"/>
  <c r="F8" i="109"/>
  <c r="F9" i="109"/>
  <c r="D7" i="115"/>
  <c r="D15" i="115"/>
  <c r="D12" i="115"/>
  <c r="F13" i="109"/>
  <c r="F18" i="109"/>
  <c r="G6" i="109"/>
  <c r="F11" i="109"/>
  <c r="G4" i="105"/>
  <c r="F7" i="109"/>
  <c r="F14" i="109"/>
  <c r="G19" i="109"/>
  <c r="J19" i="109" s="1"/>
  <c r="G9" i="109"/>
  <c r="J9" i="109" s="1"/>
  <c r="H4" i="105"/>
  <c r="D8" i="115"/>
  <c r="G5" i="110"/>
  <c r="D1615" i="23"/>
  <c r="D1621" i="23" s="1"/>
  <c r="C653" i="1"/>
  <c r="H654" i="1"/>
  <c r="D89" i="115" l="1"/>
  <c r="J7" i="107"/>
  <c r="H65" i="105"/>
  <c r="O4" i="105"/>
  <c r="G65" i="105"/>
  <c r="D205" i="115"/>
  <c r="D225" i="115"/>
  <c r="D224" i="115"/>
  <c r="D223" i="115"/>
  <c r="D145" i="115"/>
  <c r="O10" i="105"/>
  <c r="K10" i="105"/>
  <c r="O8" i="105"/>
  <c r="K8" i="105"/>
  <c r="D140" i="115"/>
  <c r="O5" i="105"/>
  <c r="K5" i="105"/>
  <c r="D199" i="115"/>
  <c r="C199" i="115"/>
  <c r="D133" i="115"/>
  <c r="D141" i="115"/>
  <c r="J6" i="109"/>
  <c r="D128" i="115"/>
  <c r="O9" i="105"/>
  <c r="K9" i="105"/>
  <c r="D132" i="115"/>
  <c r="D139" i="115"/>
  <c r="D130" i="115"/>
  <c r="J8" i="109"/>
  <c r="O6" i="105"/>
  <c r="K6" i="105"/>
  <c r="O12" i="105"/>
  <c r="K12" i="105"/>
  <c r="D131" i="115"/>
  <c r="D127" i="115"/>
  <c r="D147" i="115"/>
  <c r="O7" i="105"/>
  <c r="K7" i="105"/>
  <c r="D129" i="115"/>
  <c r="J7" i="109"/>
  <c r="D134" i="115"/>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55" i="1"/>
  <c r="C654" i="1"/>
  <c r="K65" i="105" l="1"/>
  <c r="D87" i="115"/>
  <c r="D88" i="115"/>
  <c r="D200" i="115"/>
  <c r="D201" i="115"/>
  <c r="D202" i="115"/>
  <c r="C655" i="1"/>
  <c r="J6" i="107" l="1"/>
  <c r="J5" i="107"/>
  <c r="C201" i="115"/>
  <c r="C202" i="115"/>
  <c r="C200" i="115"/>
  <c r="G28" i="113" l="1"/>
  <c r="P2007" i="1"/>
  <c r="C2007" i="1" l="1"/>
  <c r="D76" i="115"/>
  <c r="D77" i="115"/>
  <c r="D78" i="115"/>
  <c r="J10" i="106" l="1"/>
  <c r="J14" i="106"/>
  <c r="J5" i="106"/>
  <c r="J15" i="106"/>
  <c r="J6" i="106"/>
  <c r="J8" i="106"/>
  <c r="F16" i="106"/>
  <c r="J4" i="106"/>
  <c r="C4" i="106" s="1"/>
  <c r="G16" i="106"/>
  <c r="D75" i="115"/>
  <c r="D74" i="115" s="1"/>
  <c r="D123" i="115" s="1"/>
  <c r="J11" i="106"/>
  <c r="J13" i="106"/>
  <c r="J9" i="106"/>
  <c r="J12" i="106"/>
  <c r="J7" i="106"/>
  <c r="C5" i="106" l="1"/>
  <c r="C8" i="106"/>
  <c r="C13" i="106"/>
  <c r="C6" i="106"/>
  <c r="C15" i="106"/>
  <c r="C7" i="106"/>
  <c r="C14" i="106"/>
  <c r="C10" i="106"/>
  <c r="C11" i="106"/>
  <c r="C12" i="106"/>
  <c r="C9" i="106"/>
  <c r="J16" i="106"/>
  <c r="J4" i="109"/>
  <c r="D125" i="115"/>
  <c r="D124" i="115" s="1"/>
  <c r="D198" i="115" s="1"/>
  <c r="D203" i="115" s="1"/>
  <c r="C36" i="109" l="1"/>
  <c r="C37" i="109"/>
  <c r="C38" i="109"/>
  <c r="C77" i="109"/>
  <c r="C81" i="109"/>
  <c r="C85" i="109"/>
  <c r="C89" i="109"/>
  <c r="C93" i="109"/>
  <c r="C97" i="109"/>
  <c r="C101" i="109"/>
  <c r="C104" i="109"/>
  <c r="C111" i="109"/>
  <c r="C115" i="109"/>
  <c r="C119" i="109"/>
  <c r="C90" i="109"/>
  <c r="C105" i="109"/>
  <c r="C80" i="109"/>
  <c r="C84" i="109"/>
  <c r="C88" i="109"/>
  <c r="C92" i="109"/>
  <c r="C96" i="109"/>
  <c r="C100" i="109"/>
  <c r="C103" i="109"/>
  <c r="C107" i="109"/>
  <c r="C110" i="109"/>
  <c r="C114" i="109"/>
  <c r="C118" i="109"/>
  <c r="C117" i="109"/>
  <c r="C121" i="109"/>
  <c r="C98" i="109"/>
  <c r="C116" i="109"/>
  <c r="C120" i="109"/>
  <c r="C79" i="109"/>
  <c r="C83" i="109"/>
  <c r="C87" i="109"/>
  <c r="C91" i="109"/>
  <c r="C95" i="109"/>
  <c r="C99" i="109"/>
  <c r="C102" i="109"/>
  <c r="C106" i="109"/>
  <c r="C109" i="109"/>
  <c r="C113" i="109"/>
  <c r="C82" i="109"/>
  <c r="C86" i="109"/>
  <c r="C112" i="109"/>
  <c r="C78" i="109"/>
  <c r="C94" i="109"/>
  <c r="C108" i="109"/>
  <c r="C28" i="109"/>
  <c r="C74" i="109"/>
  <c r="C76" i="109"/>
  <c r="C75" i="109"/>
  <c r="C7" i="109"/>
  <c r="C58" i="109"/>
  <c r="C62" i="109"/>
  <c r="C34" i="109"/>
  <c r="C35" i="109"/>
  <c r="C39" i="109"/>
  <c r="C18" i="109"/>
  <c r="C40" i="109"/>
  <c r="C23" i="109"/>
  <c r="C9" i="109"/>
  <c r="C24" i="109"/>
  <c r="C30" i="109"/>
  <c r="C33" i="109"/>
  <c r="C55" i="109"/>
  <c r="C60" i="109"/>
  <c r="C32" i="109"/>
  <c r="C49" i="109"/>
  <c r="C26" i="109"/>
  <c r="C22" i="109"/>
  <c r="C61" i="109"/>
  <c r="C20" i="109"/>
  <c r="C46" i="109"/>
  <c r="C53" i="109"/>
  <c r="C13" i="109"/>
  <c r="C59" i="109"/>
  <c r="C72" i="109"/>
  <c r="C43" i="109"/>
  <c r="C11" i="109"/>
  <c r="C25" i="109"/>
  <c r="C47" i="109"/>
  <c r="C14" i="109"/>
  <c r="C71" i="109"/>
  <c r="C44" i="109"/>
  <c r="C4" i="109"/>
  <c r="C5" i="109"/>
  <c r="C65" i="109"/>
  <c r="C31" i="109"/>
  <c r="C29" i="109"/>
  <c r="C6" i="109"/>
  <c r="C67" i="109"/>
  <c r="C16" i="109"/>
  <c r="C66" i="109"/>
  <c r="C54" i="109"/>
  <c r="C10" i="109"/>
  <c r="C15" i="109"/>
  <c r="C21" i="109"/>
  <c r="C19" i="109"/>
  <c r="C69" i="109"/>
  <c r="C41" i="109"/>
  <c r="C27" i="109"/>
  <c r="C57" i="109"/>
  <c r="C42" i="109"/>
  <c r="C8" i="109"/>
  <c r="C63" i="109"/>
  <c r="C73" i="109"/>
  <c r="C50" i="109"/>
  <c r="C68" i="109"/>
  <c r="C70" i="109"/>
  <c r="C64" i="109"/>
  <c r="C48" i="109"/>
  <c r="C12" i="109"/>
  <c r="C45" i="109"/>
  <c r="C56" i="109"/>
  <c r="C17" i="109"/>
  <c r="C52" i="109"/>
  <c r="C51" i="109"/>
  <c r="D6" i="115"/>
  <c r="K4" i="105"/>
  <c r="D11" i="105" l="1"/>
  <c r="D62" i="105"/>
  <c r="D54" i="105"/>
  <c r="D46" i="105"/>
  <c r="D38" i="105"/>
  <c r="D30" i="105"/>
  <c r="D14" i="105"/>
  <c r="D59" i="105"/>
  <c r="D51" i="105"/>
  <c r="D43" i="105"/>
  <c r="D35" i="105"/>
  <c r="D27" i="105"/>
  <c r="D19" i="105"/>
  <c r="D56" i="105"/>
  <c r="D48" i="105"/>
  <c r="D40" i="105"/>
  <c r="D32" i="105"/>
  <c r="D24" i="105"/>
  <c r="D16" i="105"/>
  <c r="D45" i="105"/>
  <c r="D61" i="105"/>
  <c r="D53" i="105"/>
  <c r="D37" i="105"/>
  <c r="D29" i="105"/>
  <c r="D21" i="105"/>
  <c r="D13" i="105"/>
  <c r="D60" i="105"/>
  <c r="D52" i="105"/>
  <c r="D58" i="105"/>
  <c r="D50" i="105"/>
  <c r="D42" i="105"/>
  <c r="D34" i="105"/>
  <c r="D26" i="105"/>
  <c r="D18" i="105"/>
  <c r="D63" i="105"/>
  <c r="D55" i="105"/>
  <c r="D47" i="105"/>
  <c r="D39" i="105"/>
  <c r="D31" i="105"/>
  <c r="D23" i="105"/>
  <c r="D15" i="105"/>
  <c r="D44" i="105"/>
  <c r="D36" i="105"/>
  <c r="D28" i="105"/>
  <c r="D20" i="105"/>
  <c r="D49" i="105"/>
  <c r="D41" i="105"/>
  <c r="D25" i="105"/>
  <c r="D57" i="105"/>
  <c r="D33" i="105"/>
  <c r="D17" i="105"/>
  <c r="D22" i="105"/>
  <c r="D5" i="105"/>
  <c r="D12" i="105"/>
  <c r="D4" i="105"/>
  <c r="D10" i="105"/>
  <c r="D64" i="105"/>
  <c r="D7" i="105"/>
  <c r="D6" i="105"/>
  <c r="D9" i="105"/>
  <c r="D8" i="105"/>
  <c r="A3" i="79"/>
  <c r="K269" i="97"/>
  <c r="F24" i="111" l="1"/>
  <c r="K1" i="97"/>
  <c r="D226" i="115" l="1"/>
  <c r="A184" i="97"/>
  <c r="A81" i="97"/>
  <c r="A221" i="97"/>
  <c r="A196" i="97"/>
  <c r="A72" i="97"/>
  <c r="A91" i="97"/>
  <c r="A13" i="97"/>
  <c r="A169" i="97"/>
  <c r="A107" i="97"/>
  <c r="A163" i="97"/>
  <c r="A219" i="97"/>
  <c r="A165" i="97"/>
  <c r="A244" i="97"/>
  <c r="A5" i="97"/>
  <c r="A97" i="97"/>
  <c r="A216" i="97"/>
  <c r="A257" i="97"/>
  <c r="A137" i="97"/>
  <c r="A147" i="97"/>
  <c r="A32" i="97"/>
  <c r="A58" i="97"/>
  <c r="A27" i="97"/>
  <c r="A170" i="97"/>
  <c r="A146" i="97"/>
  <c r="A251" i="97"/>
  <c r="A31" i="97"/>
  <c r="A63" i="97"/>
  <c r="A15" i="97"/>
  <c r="A45" i="97"/>
  <c r="A258" i="97"/>
  <c r="A108" i="97"/>
  <c r="A188" i="97"/>
  <c r="A117" i="97"/>
  <c r="A239" i="97"/>
  <c r="A200" i="97"/>
  <c r="A161" i="97"/>
  <c r="A7" i="97"/>
  <c r="A267" i="97"/>
  <c r="A162" i="97"/>
  <c r="A93" i="97"/>
  <c r="A182" i="97"/>
  <c r="A64" i="97"/>
  <c r="A121" i="97"/>
  <c r="A140" i="97"/>
  <c r="A132" i="97"/>
  <c r="A71" i="97"/>
  <c r="A46" i="97"/>
  <c r="A214" i="97"/>
  <c r="A172" i="97"/>
  <c r="A225" i="97"/>
  <c r="A238" i="97"/>
  <c r="A61" i="97"/>
  <c r="A49" i="97"/>
  <c r="A167" i="97"/>
  <c r="A266" i="97"/>
  <c r="A105" i="97"/>
  <c r="A209" i="97"/>
  <c r="A230" i="97"/>
  <c r="A210" i="97"/>
  <c r="A114" i="97"/>
  <c r="A180" i="97"/>
  <c r="A236" i="97"/>
  <c r="A158" i="97"/>
  <c r="A253" i="97"/>
  <c r="A76" i="97"/>
  <c r="A94" i="97"/>
  <c r="A247" i="97"/>
  <c r="A186" i="97"/>
  <c r="A89" i="97"/>
  <c r="A243" i="97"/>
  <c r="A128" i="97"/>
  <c r="A166" i="97"/>
  <c r="A198" i="97"/>
  <c r="A254" i="97"/>
  <c r="A77" i="97"/>
  <c r="A173" i="97"/>
  <c r="A104" i="97"/>
  <c r="A17" i="97"/>
  <c r="A47" i="97"/>
  <c r="A124" i="97"/>
  <c r="A59" i="97"/>
  <c r="A44" i="97"/>
  <c r="A122" i="97"/>
  <c r="A42" i="97"/>
  <c r="A29" i="97"/>
  <c r="A174" i="97"/>
  <c r="A240" i="97"/>
  <c r="A65" i="97"/>
  <c r="A152" i="97"/>
  <c r="A116" i="97"/>
  <c r="A33" i="97"/>
  <c r="A212" i="97"/>
  <c r="A187" i="97"/>
  <c r="A151" i="97"/>
  <c r="A237" i="97"/>
  <c r="A197" i="97"/>
  <c r="A57" i="97"/>
  <c r="A6" i="97"/>
  <c r="A135" i="97"/>
  <c r="A235" i="97"/>
  <c r="A131" i="97"/>
  <c r="A102" i="97"/>
  <c r="A115" i="97"/>
  <c r="A144" i="97"/>
  <c r="A250" i="97"/>
  <c r="A103" i="97"/>
  <c r="A203" i="97"/>
  <c r="A205" i="97"/>
  <c r="A263" i="97"/>
  <c r="A202" i="97"/>
  <c r="A4" i="97"/>
  <c r="A16" i="97"/>
  <c r="A39" i="97"/>
  <c r="A133" i="97"/>
  <c r="A14" i="97"/>
  <c r="A88" i="97"/>
  <c r="A149" i="97"/>
  <c r="A268" i="97"/>
  <c r="A80" i="97"/>
  <c r="A223" i="97"/>
  <c r="A28" i="97"/>
  <c r="A249" i="97"/>
  <c r="A67" i="97"/>
  <c r="A160" i="97"/>
  <c r="A90" i="97"/>
  <c r="A262" i="97"/>
  <c r="A141" i="97"/>
  <c r="A2" i="97"/>
  <c r="A84" i="97"/>
  <c r="A23" i="97"/>
  <c r="A100" i="97"/>
  <c r="A52" i="97"/>
  <c r="A25" i="97"/>
  <c r="A164" i="97"/>
  <c r="A143" i="97"/>
  <c r="A265" i="97"/>
  <c r="A178" i="97"/>
  <c r="A113" i="97"/>
  <c r="A26" i="97"/>
  <c r="A50" i="97"/>
  <c r="A194" i="97"/>
  <c r="A224" i="97"/>
  <c r="A70" i="97"/>
  <c r="A204" i="97"/>
  <c r="A99" i="97"/>
  <c r="A75" i="97"/>
  <c r="A207" i="97"/>
  <c r="A73" i="97"/>
  <c r="A54" i="97"/>
  <c r="A83" i="97"/>
  <c r="A227" i="97"/>
  <c r="A41" i="97"/>
  <c r="A264" i="97"/>
  <c r="A11" i="97"/>
  <c r="A199" i="97"/>
  <c r="A148" i="97"/>
  <c r="A139" i="97"/>
  <c r="A8" i="97"/>
  <c r="A130" i="97"/>
  <c r="A38" i="97"/>
  <c r="A82" i="97"/>
  <c r="A95" i="97"/>
  <c r="A226" i="97"/>
  <c r="A252" i="97"/>
  <c r="A68" i="97"/>
  <c r="A193" i="97"/>
  <c r="A215" i="97"/>
  <c r="A120" i="97"/>
  <c r="A155" i="97"/>
  <c r="A211" i="97"/>
  <c r="A30" i="97"/>
  <c r="A246" i="97"/>
  <c r="A24" i="97"/>
  <c r="A51" i="97"/>
  <c r="A234" i="97"/>
  <c r="A259" i="97"/>
  <c r="A222" i="97"/>
  <c r="A129" i="97"/>
  <c r="A101" i="97"/>
  <c r="A22" i="97"/>
  <c r="A40" i="97"/>
  <c r="A118" i="97"/>
  <c r="A208" i="97"/>
  <c r="A145" i="97"/>
  <c r="A181" i="97"/>
  <c r="A87" i="97"/>
  <c r="A123" i="97"/>
  <c r="A21" i="97"/>
  <c r="A245" i="97"/>
  <c r="A201" i="97"/>
  <c r="A136" i="97"/>
  <c r="A269" i="97"/>
  <c r="A96" i="97"/>
  <c r="A153" i="97"/>
  <c r="A43" i="97"/>
  <c r="A85" i="97"/>
  <c r="A231" i="97"/>
  <c r="A127" i="97"/>
  <c r="A79" i="97"/>
  <c r="A37" i="97"/>
  <c r="A206" i="97"/>
  <c r="A248" i="97"/>
  <c r="A157" i="97"/>
  <c r="A98" i="97"/>
  <c r="A213" i="97"/>
  <c r="A261" i="97"/>
  <c r="A56" i="97"/>
  <c r="A48" i="97"/>
  <c r="A134" i="97"/>
  <c r="A12" i="97"/>
  <c r="A10" i="97"/>
  <c r="A217" i="97"/>
  <c r="A62" i="97"/>
  <c r="A60" i="97"/>
  <c r="A183" i="97"/>
  <c r="A78" i="97"/>
  <c r="A189" i="97"/>
  <c r="A190" i="97"/>
  <c r="A220" i="97"/>
  <c r="A168" i="97"/>
  <c r="A20" i="97"/>
  <c r="A35" i="97"/>
  <c r="A260" i="97"/>
  <c r="A192" i="97"/>
  <c r="A119" i="97"/>
  <c r="A126" i="97"/>
  <c r="A241" i="97"/>
  <c r="A154" i="97"/>
  <c r="A191" i="97"/>
  <c r="A179" i="97"/>
  <c r="A19" i="97"/>
  <c r="A53" i="97"/>
  <c r="A55" i="97"/>
  <c r="A125" i="97"/>
  <c r="A69" i="97"/>
  <c r="A86" i="97"/>
  <c r="A142" i="97"/>
  <c r="A233" i="97"/>
  <c r="A92" i="97"/>
  <c r="A175" i="97"/>
  <c r="A74" i="97"/>
  <c r="A66" i="97"/>
  <c r="A150" i="97"/>
  <c r="A228" i="97"/>
  <c r="A111" i="97"/>
  <c r="A159" i="97"/>
  <c r="A229" i="97"/>
  <c r="A9" i="97"/>
  <c r="A195" i="97"/>
  <c r="A109" i="97"/>
  <c r="A185" i="97"/>
  <c r="A242" i="97"/>
  <c r="A156" i="97"/>
  <c r="A110" i="97"/>
  <c r="A176" i="97"/>
  <c r="A255" i="97"/>
  <c r="A218" i="97"/>
  <c r="A18" i="97"/>
  <c r="A177" i="97"/>
  <c r="A112" i="97"/>
  <c r="A34" i="97"/>
  <c r="A106" i="97"/>
  <c r="A3" i="97"/>
  <c r="A36" i="97"/>
  <c r="A171" i="97"/>
  <c r="A256" i="97"/>
  <c r="A138" i="97"/>
  <c r="A232"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M75" i="26" l="1"/>
  <c r="I75" i="26"/>
  <c r="H75" i="26"/>
  <c r="M78" i="26"/>
  <c r="I78" i="26"/>
  <c r="H78" i="26"/>
  <c r="M89" i="26"/>
  <c r="I89" i="26"/>
  <c r="H89" i="26"/>
  <c r="M31" i="26"/>
  <c r="I31" i="26"/>
  <c r="H31" i="26"/>
  <c r="I11" i="26"/>
  <c r="H11" i="26"/>
  <c r="M93" i="26"/>
  <c r="H93" i="26"/>
  <c r="I93" i="26"/>
  <c r="M102" i="26"/>
  <c r="I102" i="26"/>
  <c r="H102" i="26"/>
  <c r="M100" i="26"/>
  <c r="H100" i="26"/>
  <c r="I100" i="26"/>
  <c r="M51" i="26"/>
  <c r="I51" i="26"/>
  <c r="H51" i="26"/>
  <c r="M34" i="26"/>
  <c r="I34" i="26"/>
  <c r="H34" i="26"/>
  <c r="M87" i="26"/>
  <c r="I87" i="26"/>
  <c r="H87" i="26"/>
  <c r="M59" i="26"/>
  <c r="I59" i="26"/>
  <c r="H59" i="26"/>
  <c r="M46" i="26"/>
  <c r="I46" i="26"/>
  <c r="H46" i="26"/>
  <c r="M80" i="26"/>
  <c r="I80" i="26"/>
  <c r="H80" i="26"/>
  <c r="M66" i="26"/>
  <c r="I66" i="26"/>
  <c r="H66" i="26"/>
  <c r="I14" i="26"/>
  <c r="H14" i="26"/>
  <c r="H12" i="26"/>
  <c r="I12" i="26"/>
  <c r="M94" i="26"/>
  <c r="M98" i="78" s="1"/>
  <c r="I94" i="26"/>
  <c r="H94" i="26"/>
  <c r="M86" i="26"/>
  <c r="I86" i="26"/>
  <c r="H86" i="26"/>
  <c r="M64" i="26"/>
  <c r="I64" i="26"/>
  <c r="H64" i="26"/>
  <c r="F68" i="78" s="1"/>
  <c r="M90" i="26"/>
  <c r="I90" i="26"/>
  <c r="H90" i="26"/>
  <c r="M117" i="26"/>
  <c r="H117" i="26"/>
  <c r="I117" i="26"/>
  <c r="M74" i="26"/>
  <c r="I74" i="26"/>
  <c r="G78" i="78" s="1"/>
  <c r="H74" i="26"/>
  <c r="M73" i="26"/>
  <c r="M77" i="78" s="1"/>
  <c r="I73" i="26"/>
  <c r="H73" i="26"/>
  <c r="M44" i="26"/>
  <c r="M48" i="78" s="1"/>
  <c r="H44" i="26"/>
  <c r="F48" i="78" s="1"/>
  <c r="I44" i="26"/>
  <c r="M70" i="26"/>
  <c r="I70" i="26"/>
  <c r="H70" i="26"/>
  <c r="I7" i="26"/>
  <c r="G11" i="78" s="1"/>
  <c r="H7" i="26"/>
  <c r="M92" i="26"/>
  <c r="M96" i="78" s="1"/>
  <c r="I92" i="26"/>
  <c r="G96" i="78" s="1"/>
  <c r="H92" i="26"/>
  <c r="M120" i="26"/>
  <c r="I120" i="26"/>
  <c r="H120" i="26"/>
  <c r="M99" i="26"/>
  <c r="M103" i="78" s="1"/>
  <c r="I99" i="26"/>
  <c r="H99" i="26"/>
  <c r="F103" i="78" s="1"/>
  <c r="E100" i="79" s="1"/>
  <c r="I10" i="26"/>
  <c r="H10" i="26"/>
  <c r="M69" i="26"/>
  <c r="H69" i="26"/>
  <c r="I69" i="26"/>
  <c r="G73" i="78" s="1"/>
  <c r="M30" i="26"/>
  <c r="I30" i="26"/>
  <c r="G34" i="78" s="1"/>
  <c r="H30" i="26"/>
  <c r="M22" i="26"/>
  <c r="M26" i="78" s="1"/>
  <c r="I22" i="26"/>
  <c r="H22" i="26"/>
  <c r="F26" i="78" s="1"/>
  <c r="M24" i="26"/>
  <c r="I24" i="26"/>
  <c r="G28" i="78" s="1"/>
  <c r="H24" i="26"/>
  <c r="M115" i="26"/>
  <c r="I115" i="26"/>
  <c r="H115" i="26"/>
  <c r="M106" i="26"/>
  <c r="I106" i="26"/>
  <c r="H106" i="26"/>
  <c r="M33" i="26"/>
  <c r="M37" i="78" s="1"/>
  <c r="I33" i="26"/>
  <c r="G37" i="78" s="1"/>
  <c r="H33" i="26"/>
  <c r="M67" i="26"/>
  <c r="M71" i="78" s="1"/>
  <c r="I67" i="26"/>
  <c r="G71" i="78" s="1"/>
  <c r="H67" i="26"/>
  <c r="I9" i="26"/>
  <c r="H9" i="26"/>
  <c r="M26" i="26"/>
  <c r="M30" i="78" s="1"/>
  <c r="I26" i="26"/>
  <c r="G30" i="78" s="1"/>
  <c r="H26" i="26"/>
  <c r="M119" i="26"/>
  <c r="I119" i="26"/>
  <c r="H119" i="26"/>
  <c r="M68" i="26"/>
  <c r="M72" i="78" s="1"/>
  <c r="I68" i="26"/>
  <c r="H68" i="26"/>
  <c r="M105" i="26"/>
  <c r="I105" i="26"/>
  <c r="H105" i="26"/>
  <c r="M82" i="26"/>
  <c r="I82" i="26"/>
  <c r="H82" i="26"/>
  <c r="M108" i="26"/>
  <c r="H108" i="26"/>
  <c r="I108" i="26"/>
  <c r="M49" i="26"/>
  <c r="I49" i="26"/>
  <c r="G53" i="78" s="1"/>
  <c r="H49" i="26"/>
  <c r="F53" i="78" s="1"/>
  <c r="M39" i="26"/>
  <c r="I39" i="26"/>
  <c r="H39" i="26"/>
  <c r="M27" i="26"/>
  <c r="I27" i="26"/>
  <c r="G31" i="78" s="1"/>
  <c r="H27" i="26"/>
  <c r="M85" i="26"/>
  <c r="M89" i="78" s="1"/>
  <c r="H85" i="26"/>
  <c r="F89" i="78" s="1"/>
  <c r="I85" i="26"/>
  <c r="G89" i="78" s="1"/>
  <c r="M36" i="26"/>
  <c r="H36" i="26"/>
  <c r="F40" i="78" s="1"/>
  <c r="I36" i="26"/>
  <c r="G40" i="78" s="1"/>
  <c r="M122" i="26"/>
  <c r="I122" i="26"/>
  <c r="H122" i="26"/>
  <c r="M104" i="26"/>
  <c r="I104" i="26"/>
  <c r="H104" i="26"/>
  <c r="M58" i="26"/>
  <c r="M62" i="78" s="1"/>
  <c r="I58" i="26"/>
  <c r="G62" i="78" s="1"/>
  <c r="H58" i="26"/>
  <c r="I15" i="26"/>
  <c r="H15" i="26"/>
  <c r="M121" i="26"/>
  <c r="I121" i="26"/>
  <c r="H121" i="26"/>
  <c r="M103" i="26"/>
  <c r="I103" i="26"/>
  <c r="H103" i="26"/>
  <c r="M110" i="26"/>
  <c r="I110" i="26"/>
  <c r="H110" i="26"/>
  <c r="M23" i="26"/>
  <c r="I23" i="26"/>
  <c r="G27" i="78" s="1"/>
  <c r="H23" i="26"/>
  <c r="M113" i="26"/>
  <c r="I113" i="26"/>
  <c r="H113" i="26"/>
  <c r="M61" i="26"/>
  <c r="H61" i="26"/>
  <c r="F65" i="78" s="1"/>
  <c r="I61" i="26"/>
  <c r="M25" i="26"/>
  <c r="I25" i="26"/>
  <c r="G29" i="78" s="1"/>
  <c r="H25" i="26"/>
  <c r="F29" i="78" s="1"/>
  <c r="M96" i="26"/>
  <c r="I96" i="26"/>
  <c r="H96" i="26"/>
  <c r="F100" i="78" s="1"/>
  <c r="E97" i="79" s="1"/>
  <c r="M98" i="26"/>
  <c r="M102" i="78" s="1"/>
  <c r="I98" i="26"/>
  <c r="G102" i="78" s="1"/>
  <c r="F99" i="79" s="1"/>
  <c r="H98" i="26"/>
  <c r="F102" i="78" s="1"/>
  <c r="E99" i="79" s="1"/>
  <c r="M72" i="26"/>
  <c r="M76" i="78" s="1"/>
  <c r="I72" i="26"/>
  <c r="G76" i="78" s="1"/>
  <c r="H72" i="26"/>
  <c r="M40" i="26"/>
  <c r="I40" i="26"/>
  <c r="G44" i="78" s="1"/>
  <c r="H40" i="26"/>
  <c r="F44" i="78" s="1"/>
  <c r="M37" i="26"/>
  <c r="H37" i="26"/>
  <c r="I37" i="26"/>
  <c r="G41" i="78" s="1"/>
  <c r="H13" i="26"/>
  <c r="I13" i="26"/>
  <c r="G17" i="78" s="1"/>
  <c r="M38" i="26"/>
  <c r="I38" i="26"/>
  <c r="H38" i="26"/>
  <c r="F42" i="78" s="1"/>
  <c r="M79" i="26"/>
  <c r="I79" i="26"/>
  <c r="G83" i="78" s="1"/>
  <c r="H79" i="26"/>
  <c r="F83" i="78" s="1"/>
  <c r="M56" i="26"/>
  <c r="I56" i="26"/>
  <c r="G60" i="78" s="1"/>
  <c r="H56" i="26"/>
  <c r="M45" i="26"/>
  <c r="M49" i="78" s="1"/>
  <c r="H45" i="26"/>
  <c r="I45" i="26"/>
  <c r="G49" i="78" s="1"/>
  <c r="M116" i="26"/>
  <c r="H116" i="26"/>
  <c r="I116" i="26"/>
  <c r="M50" i="26"/>
  <c r="I50" i="26"/>
  <c r="H50" i="26"/>
  <c r="M91" i="26"/>
  <c r="M95" i="78" s="1"/>
  <c r="I91" i="26"/>
  <c r="H91" i="26"/>
  <c r="F95" i="78" s="1"/>
  <c r="M47" i="26"/>
  <c r="I47" i="26"/>
  <c r="G51" i="78" s="1"/>
  <c r="H47" i="26"/>
  <c r="F51" i="78" s="1"/>
  <c r="M81" i="26"/>
  <c r="I81" i="26"/>
  <c r="G85" i="78" s="1"/>
  <c r="H81" i="26"/>
  <c r="F85" i="78" s="1"/>
  <c r="M41" i="26"/>
  <c r="I41" i="26"/>
  <c r="H41" i="26"/>
  <c r="F45" i="78" s="1"/>
  <c r="O6" i="26"/>
  <c r="L6" i="26" s="1"/>
  <c r="I6" i="26"/>
  <c r="G10" i="78" s="1"/>
  <c r="H6" i="26"/>
  <c r="I16" i="26"/>
  <c r="H16" i="26"/>
  <c r="F20" i="78" s="1"/>
  <c r="M65" i="26"/>
  <c r="I65" i="26"/>
  <c r="G69" i="78" s="1"/>
  <c r="H65" i="26"/>
  <c r="F69" i="78" s="1"/>
  <c r="M95" i="26"/>
  <c r="M99" i="78" s="1"/>
  <c r="I95" i="26"/>
  <c r="G99" i="78" s="1"/>
  <c r="F96" i="79" s="1"/>
  <c r="H95" i="26"/>
  <c r="M53" i="26"/>
  <c r="M57" i="78" s="1"/>
  <c r="H53" i="26"/>
  <c r="F57" i="78" s="1"/>
  <c r="I53" i="26"/>
  <c r="M123" i="26"/>
  <c r="I123" i="26"/>
  <c r="H123" i="26"/>
  <c r="M52" i="26"/>
  <c r="M56" i="78" s="1"/>
  <c r="H52" i="26"/>
  <c r="I52" i="26"/>
  <c r="G56" i="78" s="1"/>
  <c r="M42" i="26"/>
  <c r="I42" i="26"/>
  <c r="H42" i="26"/>
  <c r="F46" i="78" s="1"/>
  <c r="M97" i="26"/>
  <c r="I97" i="26"/>
  <c r="G101" i="78" s="1"/>
  <c r="F98" i="79" s="1"/>
  <c r="H97" i="26"/>
  <c r="F101" i="78" s="1"/>
  <c r="E98" i="79" s="1"/>
  <c r="M83" i="26"/>
  <c r="I83" i="26"/>
  <c r="G87" i="78" s="1"/>
  <c r="H83" i="26"/>
  <c r="F87" i="78" s="1"/>
  <c r="M77" i="26"/>
  <c r="H77" i="26"/>
  <c r="F81" i="78" s="1"/>
  <c r="I77" i="26"/>
  <c r="G81" i="78" s="1"/>
  <c r="M62" i="26"/>
  <c r="M66" i="78" s="1"/>
  <c r="I62" i="26"/>
  <c r="G66" i="78" s="1"/>
  <c r="H62" i="26"/>
  <c r="M114" i="26"/>
  <c r="I114" i="26"/>
  <c r="H114" i="26"/>
  <c r="M71" i="26"/>
  <c r="I71" i="26"/>
  <c r="G75" i="78" s="1"/>
  <c r="H71" i="26"/>
  <c r="F75" i="78" s="1"/>
  <c r="M60" i="26"/>
  <c r="H60" i="26"/>
  <c r="I60" i="26"/>
  <c r="G64" i="78" s="1"/>
  <c r="M63" i="26"/>
  <c r="M67" i="78" s="1"/>
  <c r="I63" i="26"/>
  <c r="H63" i="26"/>
  <c r="F67" i="78" s="1"/>
  <c r="M43" i="26"/>
  <c r="M47" i="78" s="1"/>
  <c r="I43" i="26"/>
  <c r="G47" i="78" s="1"/>
  <c r="H43" i="26"/>
  <c r="F47" i="78" s="1"/>
  <c r="M118" i="26"/>
  <c r="I118" i="26"/>
  <c r="H118" i="26"/>
  <c r="M112" i="26"/>
  <c r="I112" i="26"/>
  <c r="H112" i="26"/>
  <c r="M35" i="26"/>
  <c r="I35" i="26"/>
  <c r="G39" i="78" s="1"/>
  <c r="H35" i="26"/>
  <c r="M76" i="26"/>
  <c r="H76" i="26"/>
  <c r="I76" i="26"/>
  <c r="M88" i="26"/>
  <c r="I88" i="26"/>
  <c r="G92" i="78" s="1"/>
  <c r="H88" i="26"/>
  <c r="F92" i="78" s="1"/>
  <c r="M54" i="26"/>
  <c r="M58" i="78" s="1"/>
  <c r="I54" i="26"/>
  <c r="H54" i="26"/>
  <c r="F58" i="78" s="1"/>
  <c r="M48" i="26"/>
  <c r="M52" i="78" s="1"/>
  <c r="I48" i="26"/>
  <c r="H48" i="26"/>
  <c r="M28" i="26"/>
  <c r="M32" i="78" s="1"/>
  <c r="I28" i="26"/>
  <c r="G32" i="78" s="1"/>
  <c r="H28" i="26"/>
  <c r="M84" i="26"/>
  <c r="H84" i="26"/>
  <c r="F88" i="78" s="1"/>
  <c r="I84" i="26"/>
  <c r="G88" i="78" s="1"/>
  <c r="I8" i="26"/>
  <c r="H8" i="26"/>
  <c r="M101" i="26"/>
  <c r="H101" i="26"/>
  <c r="I101" i="26"/>
  <c r="G105" i="78" s="1"/>
  <c r="F102" i="79" s="1"/>
  <c r="M109" i="26"/>
  <c r="H109" i="26"/>
  <c r="I109" i="26"/>
  <c r="I18" i="26"/>
  <c r="H18" i="26"/>
  <c r="F22" i="78" s="1"/>
  <c r="M29" i="26"/>
  <c r="H29" i="26"/>
  <c r="I29" i="26"/>
  <c r="G33" i="78" s="1"/>
  <c r="M107" i="26"/>
  <c r="I107" i="26"/>
  <c r="H107" i="26"/>
  <c r="M57" i="26"/>
  <c r="I57" i="26"/>
  <c r="G61" i="78" s="1"/>
  <c r="H57" i="26"/>
  <c r="F61" i="78" s="1"/>
  <c r="M55" i="26"/>
  <c r="I55" i="26"/>
  <c r="G59" i="78" s="1"/>
  <c r="H55" i="26"/>
  <c r="I17" i="26"/>
  <c r="G21" i="78" s="1"/>
  <c r="H17" i="26"/>
  <c r="F21" i="78" s="1"/>
  <c r="M111" i="26"/>
  <c r="I111" i="26"/>
  <c r="H111" i="26"/>
  <c r="I19" i="26"/>
  <c r="H19" i="26"/>
  <c r="F23" i="78" s="1"/>
  <c r="M32" i="26"/>
  <c r="I32" i="26"/>
  <c r="G36" i="78" s="1"/>
  <c r="H32" i="26"/>
  <c r="F36" i="78" s="1"/>
  <c r="M21" i="26"/>
  <c r="H21" i="26"/>
  <c r="F25" i="78" s="1"/>
  <c r="I21" i="26"/>
  <c r="M20" i="26"/>
  <c r="H20" i="26"/>
  <c r="F24" i="78" s="1"/>
  <c r="I20" i="26"/>
  <c r="L12" i="26"/>
  <c r="M12" i="26"/>
  <c r="L16" i="26"/>
  <c r="M16" i="26"/>
  <c r="L17" i="26"/>
  <c r="M17" i="26"/>
  <c r="M21" i="78" s="1"/>
  <c r="L13" i="26"/>
  <c r="M13" i="26"/>
  <c r="M19" i="26"/>
  <c r="M23" i="78" s="1"/>
  <c r="L19" i="26"/>
  <c r="M18" i="26"/>
  <c r="L18" i="26"/>
  <c r="M14" i="26"/>
  <c r="M18" i="78" s="1"/>
  <c r="L14" i="26"/>
  <c r="M15" i="26"/>
  <c r="M19" i="78" s="1"/>
  <c r="L15" i="26"/>
  <c r="O78" i="26"/>
  <c r="F82" i="78"/>
  <c r="K78" i="26"/>
  <c r="J78" i="26"/>
  <c r="O9" i="26"/>
  <c r="L9" i="26" s="1"/>
  <c r="F13" i="78"/>
  <c r="O12" i="26"/>
  <c r="G16" i="78"/>
  <c r="F16" i="78"/>
  <c r="O30" i="26"/>
  <c r="K30" i="26"/>
  <c r="J30" i="26"/>
  <c r="J34" i="78" s="1"/>
  <c r="O26" i="26"/>
  <c r="F30" i="78"/>
  <c r="J26" i="26"/>
  <c r="K26" i="26"/>
  <c r="O27" i="26"/>
  <c r="F31" i="78"/>
  <c r="K27" i="26"/>
  <c r="K31" i="78" s="1"/>
  <c r="J27" i="26"/>
  <c r="J31" i="78" s="1"/>
  <c r="K103" i="26"/>
  <c r="J103" i="26"/>
  <c r="K98" i="26"/>
  <c r="J98" i="26"/>
  <c r="J102" i="78" s="1"/>
  <c r="O45" i="26"/>
  <c r="J45" i="26"/>
  <c r="J49" i="78" s="1"/>
  <c r="K45" i="26"/>
  <c r="K49" i="78" s="1"/>
  <c r="O16" i="26"/>
  <c r="K83" i="26"/>
  <c r="K87" i="78" s="1"/>
  <c r="J83" i="26"/>
  <c r="J87" i="78" s="1"/>
  <c r="J118" i="26"/>
  <c r="K118" i="26"/>
  <c r="O28" i="26"/>
  <c r="F32" i="78"/>
  <c r="K28" i="26"/>
  <c r="K32" i="78" s="1"/>
  <c r="J28" i="26"/>
  <c r="J32" i="78" s="1"/>
  <c r="O57" i="26"/>
  <c r="J57" i="26"/>
  <c r="J61" i="78" s="1"/>
  <c r="K57" i="26"/>
  <c r="K61" i="78" s="1"/>
  <c r="O69" i="26"/>
  <c r="K69" i="26"/>
  <c r="K73" i="78" s="1"/>
  <c r="J69" i="26"/>
  <c r="J73" i="78" s="1"/>
  <c r="F91" i="78"/>
  <c r="G91" i="78"/>
  <c r="K87" i="26"/>
  <c r="K91" i="78" s="1"/>
  <c r="J87" i="26"/>
  <c r="J91" i="78" s="1"/>
  <c r="O31" i="26"/>
  <c r="G35" i="78"/>
  <c r="K31" i="26"/>
  <c r="K35" i="78" s="1"/>
  <c r="J31" i="26"/>
  <c r="J35" i="78" s="1"/>
  <c r="O5" i="26"/>
  <c r="L5" i="26" s="1"/>
  <c r="L9" i="78" s="1"/>
  <c r="H5" i="26"/>
  <c r="F9" i="78" s="1"/>
  <c r="I5" i="26"/>
  <c r="G9" i="78" s="1"/>
  <c r="O70" i="26"/>
  <c r="J70" i="26"/>
  <c r="J74" i="78" s="1"/>
  <c r="F74" i="78"/>
  <c r="G74" i="78"/>
  <c r="K70" i="26"/>
  <c r="K74" i="78" s="1"/>
  <c r="O22" i="26"/>
  <c r="G26" i="78"/>
  <c r="J22" i="26"/>
  <c r="J26" i="78" s="1"/>
  <c r="K22" i="26"/>
  <c r="K26" i="78" s="1"/>
  <c r="J119" i="26"/>
  <c r="K119" i="26"/>
  <c r="K85" i="26"/>
  <c r="K89" i="78" s="1"/>
  <c r="J85" i="26"/>
  <c r="J89" i="78" s="1"/>
  <c r="K110" i="26"/>
  <c r="J110" i="26"/>
  <c r="O72" i="26"/>
  <c r="K72" i="26"/>
  <c r="K76" i="78" s="1"/>
  <c r="F76" i="78"/>
  <c r="J72" i="26"/>
  <c r="J76" i="78" s="1"/>
  <c r="J116" i="26"/>
  <c r="K116" i="26"/>
  <c r="O65" i="26"/>
  <c r="K65" i="26"/>
  <c r="K69" i="78" s="1"/>
  <c r="J65" i="26"/>
  <c r="J69" i="78" s="1"/>
  <c r="O77" i="26"/>
  <c r="J77" i="26"/>
  <c r="J81" i="78" s="1"/>
  <c r="K77" i="26"/>
  <c r="K81" i="78" s="1"/>
  <c r="J112" i="26"/>
  <c r="K112" i="26"/>
  <c r="K84" i="26"/>
  <c r="K88" i="78" s="1"/>
  <c r="J84" i="26"/>
  <c r="J88" i="78" s="1"/>
  <c r="O55" i="26"/>
  <c r="F59" i="78"/>
  <c r="K55" i="26"/>
  <c r="K59" i="78" s="1"/>
  <c r="J55" i="26"/>
  <c r="J59" i="78" s="1"/>
  <c r="O73" i="26"/>
  <c r="F77" i="78"/>
  <c r="G77" i="78"/>
  <c r="K73" i="26"/>
  <c r="K77" i="78" s="1"/>
  <c r="J73" i="26"/>
  <c r="J77" i="78" s="1"/>
  <c r="F93" i="78"/>
  <c r="G93" i="78"/>
  <c r="J89" i="26"/>
  <c r="J93" i="78" s="1"/>
  <c r="K89" i="26"/>
  <c r="K93" i="78" s="1"/>
  <c r="O44" i="26"/>
  <c r="G48" i="78"/>
  <c r="K44" i="26"/>
  <c r="K48" i="78" s="1"/>
  <c r="J44" i="26"/>
  <c r="J48" i="78" s="1"/>
  <c r="G98" i="78"/>
  <c r="F95" i="79" s="1"/>
  <c r="F98" i="78"/>
  <c r="E95" i="79" s="1"/>
  <c r="J94" i="26"/>
  <c r="J98" i="78" s="1"/>
  <c r="K94" i="26"/>
  <c r="K98" i="78" s="1"/>
  <c r="O11" i="26"/>
  <c r="F15" i="78"/>
  <c r="G15" i="78"/>
  <c r="O59" i="26"/>
  <c r="F63" i="78"/>
  <c r="G63" i="78"/>
  <c r="J59" i="26"/>
  <c r="J63" i="78" s="1"/>
  <c r="K59" i="26"/>
  <c r="K63" i="78" s="1"/>
  <c r="G90" i="78"/>
  <c r="F90" i="78"/>
  <c r="J86" i="26"/>
  <c r="J90" i="78" s="1"/>
  <c r="K86" i="26"/>
  <c r="K90" i="78" s="1"/>
  <c r="O7" i="26"/>
  <c r="F11" i="78"/>
  <c r="O24" i="26"/>
  <c r="F28" i="78"/>
  <c r="K24" i="26"/>
  <c r="K28" i="78" s="1"/>
  <c r="J24" i="26"/>
  <c r="J28" i="78" s="1"/>
  <c r="O68" i="26"/>
  <c r="K68" i="26"/>
  <c r="K72" i="78" s="1"/>
  <c r="J68" i="26"/>
  <c r="J72" i="78" s="1"/>
  <c r="G72" i="78"/>
  <c r="F72" i="78"/>
  <c r="O36" i="26"/>
  <c r="J36" i="26"/>
  <c r="J40" i="78" s="1"/>
  <c r="K36" i="26"/>
  <c r="K40" i="78" s="1"/>
  <c r="O23" i="26"/>
  <c r="F27" i="78"/>
  <c r="K23" i="26"/>
  <c r="K27" i="78" s="1"/>
  <c r="J23" i="26"/>
  <c r="J27" i="78" s="1"/>
  <c r="O40" i="26"/>
  <c r="J40" i="26"/>
  <c r="J44" i="78" s="1"/>
  <c r="K40" i="26"/>
  <c r="K44" i="78" s="1"/>
  <c r="O50" i="26"/>
  <c r="F54" i="78"/>
  <c r="G54" i="78"/>
  <c r="K50" i="26"/>
  <c r="K54" i="78" s="1"/>
  <c r="J50" i="26"/>
  <c r="J54" i="78" s="1"/>
  <c r="F99" i="78"/>
  <c r="E96" i="79" s="1"/>
  <c r="J95" i="26"/>
  <c r="J99" i="78" s="1"/>
  <c r="K95" i="26"/>
  <c r="K99" i="78" s="1"/>
  <c r="O62" i="26"/>
  <c r="J62" i="26"/>
  <c r="J66" i="78" s="1"/>
  <c r="K62" i="26"/>
  <c r="K66" i="78" s="1"/>
  <c r="F66" i="78"/>
  <c r="O35" i="26"/>
  <c r="F39" i="78"/>
  <c r="K35" i="26"/>
  <c r="K39" i="78" s="1"/>
  <c r="J35" i="26"/>
  <c r="J39" i="78" s="1"/>
  <c r="O8" i="26"/>
  <c r="G12" i="78"/>
  <c r="F9" i="79" s="1"/>
  <c r="F12" i="78"/>
  <c r="E9" i="79" s="1"/>
  <c r="O17" i="26"/>
  <c r="F97" i="78"/>
  <c r="G97" i="78"/>
  <c r="K93" i="26"/>
  <c r="K97" i="78" s="1"/>
  <c r="J93" i="26"/>
  <c r="J97" i="78" s="1"/>
  <c r="F96" i="78"/>
  <c r="J92" i="26"/>
  <c r="J96" i="78" s="1"/>
  <c r="K92" i="26"/>
  <c r="K96" i="78" s="1"/>
  <c r="K115" i="26"/>
  <c r="J115" i="26"/>
  <c r="J105" i="26"/>
  <c r="K105" i="26"/>
  <c r="K122" i="26"/>
  <c r="J122" i="26"/>
  <c r="J113" i="26"/>
  <c r="K113" i="26"/>
  <c r="O37" i="26"/>
  <c r="F41" i="78"/>
  <c r="K37" i="26"/>
  <c r="K41" i="78" s="1"/>
  <c r="J37" i="26"/>
  <c r="J41" i="78" s="1"/>
  <c r="G95" i="78"/>
  <c r="J91" i="26"/>
  <c r="J95" i="78" s="1"/>
  <c r="K91" i="26"/>
  <c r="K95" i="78" s="1"/>
  <c r="O53" i="26"/>
  <c r="G57" i="78"/>
  <c r="K53" i="26"/>
  <c r="K57" i="78" s="1"/>
  <c r="J53" i="26"/>
  <c r="J57" i="78" s="1"/>
  <c r="K114" i="26"/>
  <c r="J114" i="26"/>
  <c r="O3" i="26"/>
  <c r="I3" i="26"/>
  <c r="G7" i="78" s="1"/>
  <c r="H3" i="26"/>
  <c r="F7" i="78" s="1"/>
  <c r="F105" i="78"/>
  <c r="E102" i="79" s="1"/>
  <c r="J101" i="26"/>
  <c r="J105" i="78" s="1"/>
  <c r="K101" i="26"/>
  <c r="K105" i="78" s="1"/>
  <c r="J111" i="26"/>
  <c r="K111" i="26"/>
  <c r="O46" i="26"/>
  <c r="F50" i="78"/>
  <c r="G50" i="78"/>
  <c r="K46" i="26"/>
  <c r="K50" i="78" s="1"/>
  <c r="J46" i="26"/>
  <c r="J50" i="78" s="1"/>
  <c r="O80" i="26"/>
  <c r="F84" i="78"/>
  <c r="G84" i="78"/>
  <c r="K80" i="26"/>
  <c r="K84" i="78" s="1"/>
  <c r="J80" i="26"/>
  <c r="J84" i="78" s="1"/>
  <c r="J106" i="26"/>
  <c r="K106" i="26"/>
  <c r="O82" i="26"/>
  <c r="F86" i="78"/>
  <c r="G86" i="78"/>
  <c r="K82" i="26"/>
  <c r="K86" i="78" s="1"/>
  <c r="J82" i="26"/>
  <c r="J86" i="78" s="1"/>
  <c r="K104" i="26"/>
  <c r="J104" i="26"/>
  <c r="O61" i="26"/>
  <c r="J61" i="26"/>
  <c r="J65" i="78" s="1"/>
  <c r="G65" i="78"/>
  <c r="K61" i="26"/>
  <c r="K65" i="78" s="1"/>
  <c r="O13" i="26"/>
  <c r="L17" i="78" s="1"/>
  <c r="F17" i="78"/>
  <c r="O47" i="26"/>
  <c r="J47" i="26"/>
  <c r="J51" i="78" s="1"/>
  <c r="K47" i="26"/>
  <c r="K51" i="78" s="1"/>
  <c r="K123" i="26"/>
  <c r="J123" i="26"/>
  <c r="O71" i="26"/>
  <c r="J71" i="26"/>
  <c r="J75" i="78" s="1"/>
  <c r="K71" i="26"/>
  <c r="K75" i="78" s="1"/>
  <c r="O76" i="26"/>
  <c r="F80" i="78"/>
  <c r="G80" i="78"/>
  <c r="K76" i="26"/>
  <c r="K80" i="78" s="1"/>
  <c r="J76" i="26"/>
  <c r="J80" i="78" s="1"/>
  <c r="J109" i="26"/>
  <c r="K109" i="26"/>
  <c r="O19" i="26"/>
  <c r="G23" i="78"/>
  <c r="J102" i="26"/>
  <c r="K102" i="26"/>
  <c r="K120" i="26"/>
  <c r="J120" i="26"/>
  <c r="O66" i="26"/>
  <c r="F70" i="78"/>
  <c r="G70" i="78"/>
  <c r="J66" i="26"/>
  <c r="J70" i="78" s="1"/>
  <c r="K66" i="26"/>
  <c r="K70" i="78" s="1"/>
  <c r="K117" i="26"/>
  <c r="J117" i="26"/>
  <c r="G103" i="78"/>
  <c r="F100" i="79" s="1"/>
  <c r="K99" i="26"/>
  <c r="K103" i="78" s="1"/>
  <c r="J99" i="26"/>
  <c r="J103" i="78" s="1"/>
  <c r="O33" i="26"/>
  <c r="F37" i="78"/>
  <c r="K33" i="26"/>
  <c r="K37" i="78" s="1"/>
  <c r="J33" i="26"/>
  <c r="J37" i="78" s="1"/>
  <c r="K108" i="26"/>
  <c r="J108" i="26"/>
  <c r="O58" i="26"/>
  <c r="F62" i="78"/>
  <c r="J58" i="26"/>
  <c r="J62" i="78" s="1"/>
  <c r="K58" i="26"/>
  <c r="K62" i="78" s="1"/>
  <c r="O4" i="26"/>
  <c r="H4" i="26"/>
  <c r="F8" i="78" s="1"/>
  <c r="I4" i="26"/>
  <c r="G8" i="78" s="1"/>
  <c r="O38" i="26"/>
  <c r="G42" i="78"/>
  <c r="K38" i="26"/>
  <c r="K42" i="78" s="1"/>
  <c r="J38" i="26"/>
  <c r="J42" i="78" s="1"/>
  <c r="O81" i="26"/>
  <c r="K81" i="26"/>
  <c r="K85" i="78" s="1"/>
  <c r="J81" i="26"/>
  <c r="J85" i="78" s="1"/>
  <c r="O52" i="26"/>
  <c r="F56" i="78"/>
  <c r="J52" i="26"/>
  <c r="J56" i="78" s="1"/>
  <c r="K52" i="26"/>
  <c r="K56" i="78" s="1"/>
  <c r="O60" i="26"/>
  <c r="F64" i="78"/>
  <c r="J60" i="26"/>
  <c r="J64" i="78" s="1"/>
  <c r="K60" i="26"/>
  <c r="K64" i="78" s="1"/>
  <c r="J88" i="26"/>
  <c r="J92" i="78" s="1"/>
  <c r="K88" i="26"/>
  <c r="K92" i="78" s="1"/>
  <c r="O18" i="26"/>
  <c r="G22" i="78"/>
  <c r="O32" i="26"/>
  <c r="J32" i="26"/>
  <c r="J36" i="78" s="1"/>
  <c r="K32" i="26"/>
  <c r="K36" i="78" s="1"/>
  <c r="O34" i="26"/>
  <c r="G38" i="78"/>
  <c r="F38" i="78"/>
  <c r="J34" i="26"/>
  <c r="J38" i="78" s="1"/>
  <c r="K34" i="26"/>
  <c r="K38" i="78" s="1"/>
  <c r="O64" i="26"/>
  <c r="G68" i="78"/>
  <c r="J64" i="26"/>
  <c r="J68" i="78" s="1"/>
  <c r="K64" i="26"/>
  <c r="K68" i="78" s="1"/>
  <c r="F94" i="78"/>
  <c r="G94" i="78"/>
  <c r="J90" i="26"/>
  <c r="J94" i="78" s="1"/>
  <c r="K90" i="26"/>
  <c r="K94" i="78" s="1"/>
  <c r="G104" i="78"/>
  <c r="F101" i="79" s="1"/>
  <c r="F104" i="78"/>
  <c r="E101" i="79" s="1"/>
  <c r="J100" i="26"/>
  <c r="J104" i="78" s="1"/>
  <c r="K100" i="26"/>
  <c r="K104" i="78" s="1"/>
  <c r="O75" i="26"/>
  <c r="F79" i="78"/>
  <c r="G79" i="78"/>
  <c r="K75" i="26"/>
  <c r="K79" i="78" s="1"/>
  <c r="J75" i="26"/>
  <c r="J79" i="78" s="1"/>
  <c r="O51" i="26"/>
  <c r="F55" i="78"/>
  <c r="G55" i="78"/>
  <c r="K51" i="26"/>
  <c r="K55" i="78" s="1"/>
  <c r="J51" i="26"/>
  <c r="J55" i="78" s="1"/>
  <c r="O14" i="26"/>
  <c r="G18" i="78"/>
  <c r="O74" i="26"/>
  <c r="F78" i="78"/>
  <c r="J74" i="26"/>
  <c r="J78" i="78" s="1"/>
  <c r="K74" i="26"/>
  <c r="K78" i="78" s="1"/>
  <c r="O10" i="26"/>
  <c r="F14" i="78"/>
  <c r="G14" i="78"/>
  <c r="O67" i="26"/>
  <c r="K67" i="26"/>
  <c r="K71" i="78" s="1"/>
  <c r="F71" i="78"/>
  <c r="J67" i="26"/>
  <c r="J71" i="78" s="1"/>
  <c r="O49" i="26"/>
  <c r="J49" i="26"/>
  <c r="J53" i="78" s="1"/>
  <c r="K49" i="26"/>
  <c r="K53" i="78" s="1"/>
  <c r="O15" i="26"/>
  <c r="L19" i="78" s="1"/>
  <c r="F19" i="78"/>
  <c r="G19" i="78"/>
  <c r="O25" i="26"/>
  <c r="J25" i="26"/>
  <c r="J29" i="78" s="1"/>
  <c r="K25" i="26"/>
  <c r="K29" i="78" s="1"/>
  <c r="O79" i="26"/>
  <c r="J79" i="26"/>
  <c r="J83" i="78" s="1"/>
  <c r="K79" i="26"/>
  <c r="K83" i="78" s="1"/>
  <c r="O41" i="26"/>
  <c r="G45" i="78"/>
  <c r="J41" i="26"/>
  <c r="J45" i="78" s="1"/>
  <c r="K41" i="26"/>
  <c r="K45" i="78" s="1"/>
  <c r="O42" i="26"/>
  <c r="G46" i="78"/>
  <c r="J42" i="26"/>
  <c r="J46" i="78" s="1"/>
  <c r="K42" i="26"/>
  <c r="K46" i="78" s="1"/>
  <c r="O63" i="26"/>
  <c r="G67" i="78"/>
  <c r="J63" i="26"/>
  <c r="J67" i="78" s="1"/>
  <c r="K63" i="26"/>
  <c r="K67" i="78" s="1"/>
  <c r="O54" i="26"/>
  <c r="G58" i="78"/>
  <c r="K54" i="26"/>
  <c r="K58" i="78" s="1"/>
  <c r="J54" i="26"/>
  <c r="J58" i="78" s="1"/>
  <c r="O29" i="26"/>
  <c r="F33" i="78"/>
  <c r="K29" i="26"/>
  <c r="K33" i="78" s="1"/>
  <c r="J29" i="26"/>
  <c r="J33" i="78" s="1"/>
  <c r="O21" i="26"/>
  <c r="G25" i="78"/>
  <c r="K21" i="26"/>
  <c r="K25" i="78" s="1"/>
  <c r="J21" i="26"/>
  <c r="J25" i="78" s="1"/>
  <c r="L129" i="78"/>
  <c r="G26" i="111"/>
  <c r="G25" i="111"/>
  <c r="O39" i="26"/>
  <c r="F43" i="78"/>
  <c r="G43" i="78"/>
  <c r="J39" i="26"/>
  <c r="J43" i="78" s="1"/>
  <c r="K39" i="26"/>
  <c r="K43" i="78" s="1"/>
  <c r="J121" i="26"/>
  <c r="K121" i="26"/>
  <c r="G100" i="78"/>
  <c r="F97" i="79" s="1"/>
  <c r="J96" i="26"/>
  <c r="J100" i="78" s="1"/>
  <c r="K96" i="26"/>
  <c r="K100" i="78" s="1"/>
  <c r="O56" i="26"/>
  <c r="F60" i="78"/>
  <c r="K56" i="26"/>
  <c r="K60" i="78" s="1"/>
  <c r="J56" i="26"/>
  <c r="J60" i="78" s="1"/>
  <c r="J97" i="26"/>
  <c r="J101" i="78" s="1"/>
  <c r="K97" i="26"/>
  <c r="K101" i="78" s="1"/>
  <c r="O43" i="26"/>
  <c r="J43" i="26"/>
  <c r="J47" i="78" s="1"/>
  <c r="K43" i="26"/>
  <c r="K47" i="78" s="1"/>
  <c r="O48" i="26"/>
  <c r="G52" i="78"/>
  <c r="F52" i="78"/>
  <c r="K48" i="26"/>
  <c r="K52" i="78" s="1"/>
  <c r="J48" i="26"/>
  <c r="J52" i="78" s="1"/>
  <c r="K107" i="26"/>
  <c r="J107" i="26"/>
  <c r="O20" i="26"/>
  <c r="G24" i="78"/>
  <c r="F18" i="78"/>
  <c r="J18" i="78"/>
  <c r="K18" i="78"/>
  <c r="L93" i="78"/>
  <c r="M93" i="78"/>
  <c r="L91" i="78"/>
  <c r="M91" i="78"/>
  <c r="J16" i="78"/>
  <c r="K16" i="78"/>
  <c r="L16" i="78"/>
  <c r="M16" i="78"/>
  <c r="L48" i="78"/>
  <c r="F34" i="78"/>
  <c r="K34" i="78"/>
  <c r="M34" i="78"/>
  <c r="L34" i="78"/>
  <c r="J30" i="78"/>
  <c r="K30" i="78"/>
  <c r="L30" i="78"/>
  <c r="L31" i="78"/>
  <c r="M31" i="78"/>
  <c r="F107" i="78"/>
  <c r="E104" i="79" s="1"/>
  <c r="G107" i="78"/>
  <c r="F104" i="79" s="1"/>
  <c r="J107" i="78"/>
  <c r="K107" i="78"/>
  <c r="L107" i="78"/>
  <c r="M107" i="78"/>
  <c r="K102" i="78"/>
  <c r="L102" i="78"/>
  <c r="L49" i="78"/>
  <c r="F49" i="78"/>
  <c r="J20" i="78"/>
  <c r="K20" i="78"/>
  <c r="L20" i="78"/>
  <c r="M20" i="78"/>
  <c r="G20" i="78"/>
  <c r="L87" i="78"/>
  <c r="M87" i="78"/>
  <c r="G122" i="78"/>
  <c r="J122" i="78"/>
  <c r="K122" i="78"/>
  <c r="L122" i="78"/>
  <c r="M122" i="78"/>
  <c r="F122" i="78"/>
  <c r="L32" i="78"/>
  <c r="L61" i="78"/>
  <c r="M61" i="78"/>
  <c r="L55" i="78"/>
  <c r="M55" i="78"/>
  <c r="F35" i="78"/>
  <c r="L35" i="78"/>
  <c r="M35" i="78"/>
  <c r="M9" i="78"/>
  <c r="K9" i="78"/>
  <c r="J9" i="78"/>
  <c r="L98" i="78"/>
  <c r="M74" i="78"/>
  <c r="L74" i="78"/>
  <c r="L26" i="78"/>
  <c r="K123" i="78"/>
  <c r="L123" i="78"/>
  <c r="M123" i="78"/>
  <c r="F123" i="78"/>
  <c r="G123" i="78"/>
  <c r="J123" i="78"/>
  <c r="L89" i="78"/>
  <c r="F114" i="78"/>
  <c r="E111" i="79" s="1"/>
  <c r="G114" i="78"/>
  <c r="F111" i="79" s="1"/>
  <c r="J114" i="78"/>
  <c r="K114" i="78"/>
  <c r="M114" i="78"/>
  <c r="L114" i="78"/>
  <c r="L76" i="78"/>
  <c r="G120" i="78"/>
  <c r="M120" i="78"/>
  <c r="K120" i="78"/>
  <c r="F120" i="78"/>
  <c r="J120" i="78"/>
  <c r="L120" i="78"/>
  <c r="L69" i="78"/>
  <c r="M69" i="78"/>
  <c r="L81" i="78"/>
  <c r="M81" i="78"/>
  <c r="J116" i="78"/>
  <c r="K116" i="78"/>
  <c r="L116" i="78"/>
  <c r="M116" i="78"/>
  <c r="G116" i="78"/>
  <c r="F113" i="79" s="1"/>
  <c r="F116" i="78"/>
  <c r="E113" i="79" s="1"/>
  <c r="L88" i="78"/>
  <c r="M88" i="78"/>
  <c r="L59" i="78"/>
  <c r="M59" i="78"/>
  <c r="L79" i="78"/>
  <c r="M79" i="78"/>
  <c r="J15" i="78"/>
  <c r="K15" i="78"/>
  <c r="M15" i="78"/>
  <c r="L63" i="78"/>
  <c r="M63" i="78"/>
  <c r="M90" i="78"/>
  <c r="L90" i="78"/>
  <c r="J11" i="78"/>
  <c r="K11" i="78"/>
  <c r="M11" i="78"/>
  <c r="L28" i="78"/>
  <c r="M28" i="78"/>
  <c r="L72" i="78"/>
  <c r="L40" i="78"/>
  <c r="M40" i="78"/>
  <c r="L27" i="78"/>
  <c r="M27" i="78"/>
  <c r="L44" i="78"/>
  <c r="M44" i="78"/>
  <c r="M54" i="78"/>
  <c r="L54" i="78"/>
  <c r="L99" i="78"/>
  <c r="L66" i="78"/>
  <c r="L39" i="78"/>
  <c r="M39" i="78"/>
  <c r="J12" i="78"/>
  <c r="K12" i="78"/>
  <c r="M12" i="78"/>
  <c r="K21" i="78"/>
  <c r="J21" i="78"/>
  <c r="L97" i="78"/>
  <c r="M97" i="78"/>
  <c r="M50" i="78"/>
  <c r="L50" i="78"/>
  <c r="L68" i="78"/>
  <c r="M68" i="78"/>
  <c r="L96" i="78"/>
  <c r="F119" i="78"/>
  <c r="G119" i="78"/>
  <c r="J119" i="78"/>
  <c r="K119" i="78"/>
  <c r="L119" i="78"/>
  <c r="M119" i="78"/>
  <c r="L109" i="78"/>
  <c r="M109" i="78"/>
  <c r="F109" i="78"/>
  <c r="E106" i="79" s="1"/>
  <c r="G109" i="78"/>
  <c r="F106" i="79" s="1"/>
  <c r="K109" i="78"/>
  <c r="J109" i="78"/>
  <c r="G126" i="78"/>
  <c r="J126" i="78"/>
  <c r="K126" i="78"/>
  <c r="L126" i="78"/>
  <c r="M126" i="78"/>
  <c r="F126" i="78"/>
  <c r="L117" i="78"/>
  <c r="M117" i="78"/>
  <c r="F117" i="78"/>
  <c r="G117" i="78"/>
  <c r="K117" i="78"/>
  <c r="J117" i="78"/>
  <c r="L41" i="78"/>
  <c r="M41" i="78"/>
  <c r="L95" i="78"/>
  <c r="L57" i="78"/>
  <c r="F118" i="78"/>
  <c r="G118" i="78"/>
  <c r="J118" i="78"/>
  <c r="K118" i="78"/>
  <c r="M118" i="78"/>
  <c r="L118" i="78"/>
  <c r="J7" i="78"/>
  <c r="K7" i="78"/>
  <c r="M7" i="78"/>
  <c r="L105" i="78"/>
  <c r="M105" i="78"/>
  <c r="F115" i="78"/>
  <c r="E112" i="79" s="1"/>
  <c r="G115" i="78"/>
  <c r="F112" i="79" s="1"/>
  <c r="J115" i="78"/>
  <c r="K115" i="78"/>
  <c r="L115" i="78"/>
  <c r="M115" i="78"/>
  <c r="M78" i="78"/>
  <c r="L78" i="78"/>
  <c r="L84" i="78"/>
  <c r="M84" i="78"/>
  <c r="M94" i="78"/>
  <c r="L94" i="78"/>
  <c r="M124" i="78"/>
  <c r="K124" i="78"/>
  <c r="F124" i="78"/>
  <c r="G124" i="78"/>
  <c r="J124" i="78"/>
  <c r="L124" i="78"/>
  <c r="F110" i="78"/>
  <c r="E107" i="79" s="1"/>
  <c r="G110" i="78"/>
  <c r="F107" i="79" s="1"/>
  <c r="J110" i="78"/>
  <c r="K110" i="78"/>
  <c r="M110" i="78"/>
  <c r="L110" i="78"/>
  <c r="M86" i="78"/>
  <c r="L86" i="78"/>
  <c r="J108" i="78"/>
  <c r="K108" i="78"/>
  <c r="L108" i="78"/>
  <c r="M108" i="78"/>
  <c r="G108" i="78"/>
  <c r="F105" i="79" s="1"/>
  <c r="F108" i="78"/>
  <c r="E105" i="79" s="1"/>
  <c r="L65" i="78"/>
  <c r="M65" i="78"/>
  <c r="M17" i="78"/>
  <c r="K17" i="78"/>
  <c r="J17" i="78"/>
  <c r="L51" i="78"/>
  <c r="M51" i="78"/>
  <c r="K127" i="78"/>
  <c r="L127" i="78"/>
  <c r="M127" i="78"/>
  <c r="F127" i="78"/>
  <c r="G127" i="78"/>
  <c r="J127" i="78"/>
  <c r="L75" i="78"/>
  <c r="M75" i="78"/>
  <c r="L80" i="78"/>
  <c r="M80" i="78"/>
  <c r="L113" i="78"/>
  <c r="M113" i="78"/>
  <c r="F113" i="78"/>
  <c r="E110" i="79" s="1"/>
  <c r="G113" i="78"/>
  <c r="F110" i="79" s="1"/>
  <c r="K113" i="78"/>
  <c r="J113" i="78"/>
  <c r="J23" i="78"/>
  <c r="K23" i="78"/>
  <c r="F106" i="78"/>
  <c r="E103" i="79" s="1"/>
  <c r="G106" i="78"/>
  <c r="F103" i="79" s="1"/>
  <c r="J106" i="78"/>
  <c r="K106" i="78"/>
  <c r="M106" i="78"/>
  <c r="L106" i="78"/>
  <c r="L104" i="78"/>
  <c r="M104" i="78"/>
  <c r="M70" i="78"/>
  <c r="L70" i="78"/>
  <c r="F121" i="78"/>
  <c r="G121" i="78"/>
  <c r="J121" i="78"/>
  <c r="K121" i="78"/>
  <c r="L121" i="78"/>
  <c r="M121" i="78"/>
  <c r="L103" i="78"/>
  <c r="L37" i="78"/>
  <c r="J112" i="78"/>
  <c r="K112" i="78"/>
  <c r="L112" i="78"/>
  <c r="M112" i="78"/>
  <c r="G112" i="78"/>
  <c r="F109" i="79" s="1"/>
  <c r="F112" i="78"/>
  <c r="E109" i="79" s="1"/>
  <c r="L62" i="78"/>
  <c r="J8" i="78"/>
  <c r="K8" i="78"/>
  <c r="M8" i="78"/>
  <c r="M42" i="78"/>
  <c r="L42" i="78"/>
  <c r="L85" i="78"/>
  <c r="M85" i="78"/>
  <c r="L56" i="78"/>
  <c r="L64" i="78"/>
  <c r="M64" i="78"/>
  <c r="L92" i="78"/>
  <c r="M92" i="78"/>
  <c r="J22" i="78"/>
  <c r="K22" i="78"/>
  <c r="M22" i="78"/>
  <c r="L36" i="78"/>
  <c r="M36" i="78"/>
  <c r="J14" i="78"/>
  <c r="K14" i="78"/>
  <c r="M14" i="78"/>
  <c r="L71" i="78"/>
  <c r="L53" i="78"/>
  <c r="M53" i="78"/>
  <c r="J19" i="78"/>
  <c r="K19" i="78"/>
  <c r="L29" i="78"/>
  <c r="M29" i="78"/>
  <c r="L83" i="78"/>
  <c r="M83" i="78"/>
  <c r="L45" i="78"/>
  <c r="M45" i="78"/>
  <c r="M46" i="78"/>
  <c r="L46" i="78"/>
  <c r="L67" i="78"/>
  <c r="L58" i="78"/>
  <c r="L33" i="78"/>
  <c r="M33" i="78"/>
  <c r="L25" i="78"/>
  <c r="M25" i="78"/>
  <c r="G82" i="78"/>
  <c r="J82" i="78"/>
  <c r="K82" i="78"/>
  <c r="M82" i="78"/>
  <c r="L82" i="78"/>
  <c r="M38" i="78"/>
  <c r="L38" i="78"/>
  <c r="J6" i="78"/>
  <c r="K6" i="78"/>
  <c r="L77" i="78"/>
  <c r="L73" i="78"/>
  <c r="M73" i="78"/>
  <c r="F73" i="78"/>
  <c r="L13" i="78"/>
  <c r="M13" i="78"/>
  <c r="G13" i="78"/>
  <c r="K13" i="78"/>
  <c r="J13" i="78"/>
  <c r="L43" i="78"/>
  <c r="M43" i="78"/>
  <c r="F125" i="78"/>
  <c r="G125" i="78"/>
  <c r="J125" i="78"/>
  <c r="K125" i="78"/>
  <c r="L125" i="78"/>
  <c r="M125" i="78"/>
  <c r="L100" i="78"/>
  <c r="M100" i="78"/>
  <c r="L60" i="78"/>
  <c r="M60" i="78"/>
  <c r="F10" i="78"/>
  <c r="J10" i="78"/>
  <c r="K10" i="78"/>
  <c r="M10" i="78"/>
  <c r="L10" i="78"/>
  <c r="L101" i="78"/>
  <c r="M101" i="78"/>
  <c r="L47" i="78"/>
  <c r="L52" i="78"/>
  <c r="F111" i="78"/>
  <c r="E108" i="79" s="1"/>
  <c r="G111" i="78"/>
  <c r="F108" i="79" s="1"/>
  <c r="J111" i="78"/>
  <c r="K111" i="78"/>
  <c r="L111" i="78"/>
  <c r="M111" i="78"/>
  <c r="J24" i="78"/>
  <c r="K24" i="78"/>
  <c r="L24" i="78"/>
  <c r="M24" i="78"/>
  <c r="D79" i="78"/>
  <c r="C79" i="78"/>
  <c r="E79" i="78"/>
  <c r="C82" i="78"/>
  <c r="D82" i="78"/>
  <c r="E82" i="78"/>
  <c r="D93" i="78"/>
  <c r="C93" i="78"/>
  <c r="E93" i="78"/>
  <c r="D35" i="78"/>
  <c r="E35" i="78"/>
  <c r="C35" i="78"/>
  <c r="B11" i="111"/>
  <c r="D15" i="78"/>
  <c r="E15" i="78"/>
  <c r="C15" i="78"/>
  <c r="P15" i="78"/>
  <c r="C97" i="78"/>
  <c r="E97" i="78"/>
  <c r="D94" i="79" s="1"/>
  <c r="D97" i="78"/>
  <c r="C94" i="79" s="1"/>
  <c r="C106" i="78"/>
  <c r="E106" i="78"/>
  <c r="D103" i="79" s="1"/>
  <c r="D106" i="78"/>
  <c r="C103" i="79" s="1"/>
  <c r="C104" i="78"/>
  <c r="E104" i="78"/>
  <c r="D101" i="79" s="1"/>
  <c r="D104" i="78"/>
  <c r="C101" i="79" s="1"/>
  <c r="E55" i="78"/>
  <c r="D55" i="78"/>
  <c r="C55" i="78"/>
  <c r="D38" i="78"/>
  <c r="E38" i="78"/>
  <c r="C38" i="78"/>
  <c r="D91" i="78"/>
  <c r="C91" i="78"/>
  <c r="E91" i="78"/>
  <c r="B5" i="111"/>
  <c r="D9" i="78"/>
  <c r="C9" i="78"/>
  <c r="E9" i="78"/>
  <c r="P9" i="78"/>
  <c r="E63" i="78"/>
  <c r="C63" i="78"/>
  <c r="D63" i="78"/>
  <c r="D50" i="78"/>
  <c r="E50" i="78"/>
  <c r="C50" i="78"/>
  <c r="D84" i="78"/>
  <c r="E84" i="78"/>
  <c r="C84" i="78"/>
  <c r="C70" i="78"/>
  <c r="D70" i="78"/>
  <c r="E70" i="78"/>
  <c r="B14" i="111"/>
  <c r="E18" i="78"/>
  <c r="D18" i="78"/>
  <c r="C18" i="78"/>
  <c r="P18" i="78"/>
  <c r="B2" i="111"/>
  <c r="C6" i="78"/>
  <c r="E6" i="78"/>
  <c r="D6" i="78"/>
  <c r="P6" i="78"/>
  <c r="B12" i="111"/>
  <c r="E16" i="78"/>
  <c r="C16" i="78"/>
  <c r="D16" i="78"/>
  <c r="P16" i="78"/>
  <c r="C98" i="78"/>
  <c r="E98" i="78"/>
  <c r="D95" i="79" s="1"/>
  <c r="D98" i="78"/>
  <c r="C95" i="79" s="1"/>
  <c r="E90" i="78"/>
  <c r="C90" i="78"/>
  <c r="D90" i="78"/>
  <c r="D68" i="78"/>
  <c r="E68" i="78"/>
  <c r="C68" i="78"/>
  <c r="D94" i="78"/>
  <c r="C94" i="78"/>
  <c r="E94" i="78"/>
  <c r="E121" i="78"/>
  <c r="D121" i="78"/>
  <c r="C121" i="78"/>
  <c r="O121" i="78" s="1"/>
  <c r="D78" i="78"/>
  <c r="E78" i="78"/>
  <c r="C78" i="78"/>
  <c r="D77" i="78"/>
  <c r="E77" i="78"/>
  <c r="C77" i="78"/>
  <c r="D48" i="78"/>
  <c r="E48" i="78"/>
  <c r="C48" i="78"/>
  <c r="D74" i="78"/>
  <c r="E74" i="78"/>
  <c r="C74" i="78"/>
  <c r="B7" i="111"/>
  <c r="E11" i="78"/>
  <c r="C11" i="78"/>
  <c r="D11" i="78"/>
  <c r="P11" i="78"/>
  <c r="E96" i="78"/>
  <c r="D96" i="78"/>
  <c r="C96" i="78"/>
  <c r="C124" i="78"/>
  <c r="O124" i="78" s="1"/>
  <c r="E124" i="78"/>
  <c r="D124" i="78"/>
  <c r="C103" i="78"/>
  <c r="E103" i="78"/>
  <c r="D100" i="79" s="1"/>
  <c r="D103" i="78"/>
  <c r="C100" i="79" s="1"/>
  <c r="B10" i="111"/>
  <c r="E14" i="78"/>
  <c r="D14" i="78"/>
  <c r="C14" i="78"/>
  <c r="P14" i="78"/>
  <c r="D73" i="78"/>
  <c r="C73" i="78"/>
  <c r="E73" i="78"/>
  <c r="D34" i="78"/>
  <c r="E34" i="78"/>
  <c r="C34" i="78"/>
  <c r="E26" i="78"/>
  <c r="D26" i="78"/>
  <c r="C26" i="78"/>
  <c r="E28" i="78"/>
  <c r="D28" i="78"/>
  <c r="C28" i="78"/>
  <c r="E119" i="78"/>
  <c r="D119" i="78"/>
  <c r="C119" i="78"/>
  <c r="O119" i="78" s="1"/>
  <c r="C110" i="78"/>
  <c r="D110" i="78"/>
  <c r="C107" i="79" s="1"/>
  <c r="E110" i="78"/>
  <c r="D107" i="79" s="1"/>
  <c r="D37" i="78"/>
  <c r="C37" i="78"/>
  <c r="E37" i="78"/>
  <c r="D71" i="78"/>
  <c r="C71" i="78"/>
  <c r="E71" i="78"/>
  <c r="B9" i="111"/>
  <c r="E13" i="78"/>
  <c r="C13" i="78"/>
  <c r="D13" i="78"/>
  <c r="P13" i="78"/>
  <c r="E30" i="78"/>
  <c r="D30" i="78"/>
  <c r="C30" i="78"/>
  <c r="E123" i="78"/>
  <c r="D123" i="78"/>
  <c r="C123" i="78"/>
  <c r="O123" i="78" s="1"/>
  <c r="E72" i="78"/>
  <c r="D72" i="78"/>
  <c r="C72" i="78"/>
  <c r="C109" i="78"/>
  <c r="D109" i="78"/>
  <c r="C106" i="79" s="1"/>
  <c r="E109" i="78"/>
  <c r="D106" i="79" s="1"/>
  <c r="D86" i="78"/>
  <c r="C86" i="78"/>
  <c r="E86" i="78"/>
  <c r="C112" i="78"/>
  <c r="D112" i="78"/>
  <c r="C109" i="79" s="1"/>
  <c r="E112" i="78"/>
  <c r="D109" i="79" s="1"/>
  <c r="D53" i="78"/>
  <c r="E53" i="78"/>
  <c r="C53" i="78"/>
  <c r="D43" i="78"/>
  <c r="C43" i="78"/>
  <c r="E43" i="78"/>
  <c r="D31" i="78"/>
  <c r="E31" i="78"/>
  <c r="C31" i="78"/>
  <c r="E89" i="78"/>
  <c r="D89" i="78"/>
  <c r="C89" i="78"/>
  <c r="E40" i="78"/>
  <c r="D40" i="78"/>
  <c r="C40" i="78"/>
  <c r="E126" i="78"/>
  <c r="D126" i="78"/>
  <c r="C126" i="78"/>
  <c r="O126" i="78" s="1"/>
  <c r="C108" i="78"/>
  <c r="D108" i="78"/>
  <c r="C105" i="79" s="1"/>
  <c r="E108" i="78"/>
  <c r="D105" i="79" s="1"/>
  <c r="E62" i="78"/>
  <c r="D62" i="78"/>
  <c r="C62" i="78"/>
  <c r="B15" i="111"/>
  <c r="E19" i="78"/>
  <c r="D19" i="78"/>
  <c r="C19" i="78"/>
  <c r="P19" i="78"/>
  <c r="E125" i="78"/>
  <c r="D125" i="78"/>
  <c r="C125" i="78"/>
  <c r="O125" i="78" s="1"/>
  <c r="D107" i="78"/>
  <c r="C104" i="79" s="1"/>
  <c r="E107" i="78"/>
  <c r="D104" i="79" s="1"/>
  <c r="C107" i="78"/>
  <c r="C114" i="78"/>
  <c r="D114" i="78"/>
  <c r="C111" i="79" s="1"/>
  <c r="E114" i="78"/>
  <c r="D111" i="79" s="1"/>
  <c r="D27" i="78"/>
  <c r="C27" i="78"/>
  <c r="E27" i="78"/>
  <c r="E117" i="78"/>
  <c r="D117" i="78"/>
  <c r="C117" i="78"/>
  <c r="O117" i="78" s="1"/>
  <c r="D65" i="78"/>
  <c r="E65" i="78"/>
  <c r="C65" i="78"/>
  <c r="B4" i="111"/>
  <c r="D8" i="78"/>
  <c r="E8" i="78"/>
  <c r="C8" i="78"/>
  <c r="P8" i="78"/>
  <c r="E29" i="78"/>
  <c r="C29" i="78"/>
  <c r="D29" i="78"/>
  <c r="C100" i="78"/>
  <c r="E100" i="78"/>
  <c r="D97" i="79" s="1"/>
  <c r="D100" i="78"/>
  <c r="C97" i="79" s="1"/>
  <c r="C102" i="78"/>
  <c r="E102" i="78"/>
  <c r="D99" i="79" s="1"/>
  <c r="D102" i="78"/>
  <c r="C99" i="79" s="1"/>
  <c r="E76" i="78"/>
  <c r="D76" i="78"/>
  <c r="C76" i="78"/>
  <c r="E44" i="78"/>
  <c r="D44" i="78"/>
  <c r="C44" i="78"/>
  <c r="C41" i="78"/>
  <c r="E41" i="78"/>
  <c r="D41" i="78"/>
  <c r="B13" i="111"/>
  <c r="E17" i="78"/>
  <c r="D17" i="78"/>
  <c r="C17" i="78"/>
  <c r="P17" i="78"/>
  <c r="D42" i="78"/>
  <c r="C42" i="78"/>
  <c r="E42" i="78"/>
  <c r="D83" i="78"/>
  <c r="C83" i="78"/>
  <c r="E83" i="78"/>
  <c r="C60" i="78"/>
  <c r="D60" i="78"/>
  <c r="E60" i="78"/>
  <c r="D49" i="78"/>
  <c r="C49" i="78"/>
  <c r="E49" i="78"/>
  <c r="E120" i="78"/>
  <c r="D120" i="78"/>
  <c r="C120" i="78"/>
  <c r="O120" i="78" s="1"/>
  <c r="D54" i="78"/>
  <c r="C54" i="78"/>
  <c r="E54" i="78"/>
  <c r="C95" i="78"/>
  <c r="D95" i="78"/>
  <c r="E95" i="78"/>
  <c r="D51" i="78"/>
  <c r="C51" i="78"/>
  <c r="E51" i="78"/>
  <c r="E85" i="78"/>
  <c r="D85" i="78"/>
  <c r="C85" i="78"/>
  <c r="C45" i="78"/>
  <c r="D45" i="78"/>
  <c r="E45" i="78"/>
  <c r="B6" i="111"/>
  <c r="E10" i="78"/>
  <c r="C10" i="78"/>
  <c r="D10" i="78"/>
  <c r="P10" i="78"/>
  <c r="D20" i="78"/>
  <c r="B16" i="111"/>
  <c r="E20" i="78"/>
  <c r="C20" i="78"/>
  <c r="C69" i="78"/>
  <c r="E69" i="78"/>
  <c r="D69" i="78"/>
  <c r="C99" i="78"/>
  <c r="D99" i="78"/>
  <c r="C96" i="79" s="1"/>
  <c r="E99" i="78"/>
  <c r="D96" i="79" s="1"/>
  <c r="E57" i="78"/>
  <c r="D57" i="78"/>
  <c r="C57" i="78"/>
  <c r="E127" i="78"/>
  <c r="D127" i="78"/>
  <c r="C127" i="78"/>
  <c r="O127" i="78" s="1"/>
  <c r="C56" i="78"/>
  <c r="E56" i="78"/>
  <c r="D56" i="78"/>
  <c r="D46" i="78"/>
  <c r="E46" i="78"/>
  <c r="C46" i="78"/>
  <c r="C101" i="78"/>
  <c r="E101" i="78"/>
  <c r="D98" i="79" s="1"/>
  <c r="D101" i="78"/>
  <c r="C98" i="79" s="1"/>
  <c r="D87" i="78"/>
  <c r="E87" i="78"/>
  <c r="C87" i="78"/>
  <c r="E81" i="78"/>
  <c r="C81" i="78"/>
  <c r="D81" i="78"/>
  <c r="E66" i="78"/>
  <c r="D66" i="78"/>
  <c r="C66" i="78"/>
  <c r="C118" i="78"/>
  <c r="O118" i="78" s="1"/>
  <c r="D118" i="78"/>
  <c r="E118" i="78"/>
  <c r="C75" i="78"/>
  <c r="E75" i="78"/>
  <c r="D75" i="78"/>
  <c r="C64" i="78"/>
  <c r="E64" i="78"/>
  <c r="D64" i="78"/>
  <c r="E67" i="78"/>
  <c r="C67" i="78"/>
  <c r="D67" i="78"/>
  <c r="E47" i="78"/>
  <c r="D47" i="78"/>
  <c r="C47" i="78"/>
  <c r="C122" i="78"/>
  <c r="O122" i="78" s="1"/>
  <c r="E122" i="78"/>
  <c r="D122" i="78"/>
  <c r="C116" i="78"/>
  <c r="E116" i="78"/>
  <c r="D113" i="79" s="1"/>
  <c r="D116" i="78"/>
  <c r="C113" i="79" s="1"/>
  <c r="E39" i="78"/>
  <c r="D39" i="78"/>
  <c r="C39" i="78"/>
  <c r="B3" i="111"/>
  <c r="D3" i="111" s="1"/>
  <c r="C7" i="78"/>
  <c r="D7" i="78"/>
  <c r="E7" i="78"/>
  <c r="P7" i="78"/>
  <c r="E80" i="78"/>
  <c r="D80" i="78"/>
  <c r="C80" i="78"/>
  <c r="C92" i="78"/>
  <c r="E92" i="78"/>
  <c r="D89" i="79" s="1"/>
  <c r="D92" i="78"/>
  <c r="C89" i="79" s="1"/>
  <c r="E58" i="78"/>
  <c r="D58" i="78"/>
  <c r="C58" i="78"/>
  <c r="D52" i="78"/>
  <c r="E52" i="78"/>
  <c r="C52" i="78"/>
  <c r="E32" i="78"/>
  <c r="C32" i="78"/>
  <c r="D32" i="78"/>
  <c r="D88" i="78"/>
  <c r="C88" i="78"/>
  <c r="E88" i="78"/>
  <c r="B8" i="111"/>
  <c r="E12" i="78"/>
  <c r="D12" i="78"/>
  <c r="C12" i="78"/>
  <c r="P12" i="78"/>
  <c r="C105" i="78"/>
  <c r="E105" i="78"/>
  <c r="D102" i="79" s="1"/>
  <c r="D105" i="78"/>
  <c r="C102" i="79" s="1"/>
  <c r="C113" i="78"/>
  <c r="E113" i="78"/>
  <c r="D110" i="79" s="1"/>
  <c r="D113" i="78"/>
  <c r="C110" i="79" s="1"/>
  <c r="B18" i="111"/>
  <c r="C22" i="78"/>
  <c r="D22" i="78"/>
  <c r="E22" i="78"/>
  <c r="D33" i="78"/>
  <c r="E33" i="78"/>
  <c r="C33" i="78"/>
  <c r="E111" i="78"/>
  <c r="D108" i="79" s="1"/>
  <c r="C111" i="78"/>
  <c r="D111" i="78"/>
  <c r="C108" i="79" s="1"/>
  <c r="D61" i="78"/>
  <c r="C61" i="78"/>
  <c r="E61" i="78"/>
  <c r="E59" i="78"/>
  <c r="D59" i="78"/>
  <c r="C59" i="78"/>
  <c r="B17" i="111"/>
  <c r="E21" i="78"/>
  <c r="D21" i="78"/>
  <c r="C21" i="78"/>
  <c r="C115" i="78"/>
  <c r="D115" i="78"/>
  <c r="C112" i="79" s="1"/>
  <c r="E115" i="78"/>
  <c r="D112" i="79" s="1"/>
  <c r="B19" i="111"/>
  <c r="E23" i="78"/>
  <c r="C23" i="78"/>
  <c r="D23" i="78"/>
  <c r="E36" i="78"/>
  <c r="D36" i="78"/>
  <c r="C36" i="78"/>
  <c r="D25" i="78"/>
  <c r="C25" i="78"/>
  <c r="E25" i="78"/>
  <c r="D24" i="78"/>
  <c r="C24" i="78"/>
  <c r="B20" i="111"/>
  <c r="E24" i="78"/>
  <c r="L23" i="78" l="1"/>
  <c r="L18" i="78"/>
  <c r="L21" i="78"/>
  <c r="L22" i="78"/>
  <c r="L4" i="26"/>
  <c r="L8" i="78" s="1"/>
  <c r="L10" i="26"/>
  <c r="L14" i="78" s="1"/>
  <c r="L11" i="26"/>
  <c r="L15" i="78" s="1"/>
  <c r="L7" i="26"/>
  <c r="L11" i="78" s="1"/>
  <c r="L3" i="26"/>
  <c r="L7" i="78" s="1"/>
  <c r="L8" i="26"/>
  <c r="L12" i="78" s="1"/>
  <c r="D21" i="117"/>
  <c r="G21" i="117" s="1"/>
  <c r="D21" i="79"/>
  <c r="F20" i="111"/>
  <c r="D222" i="115" s="1"/>
  <c r="D20" i="111"/>
  <c r="G20" i="111"/>
  <c r="B21" i="117"/>
  <c r="O24" i="78"/>
  <c r="B21" i="79"/>
  <c r="G21" i="79" s="1"/>
  <c r="E20" i="111"/>
  <c r="C21" i="79"/>
  <c r="C21" i="117"/>
  <c r="E20" i="117"/>
  <c r="E21" i="79"/>
  <c r="F21" i="79"/>
  <c r="F20" i="117"/>
  <c r="D22" i="79"/>
  <c r="D22" i="117"/>
  <c r="G22" i="117" s="1"/>
  <c r="O25" i="78"/>
  <c r="B22" i="117"/>
  <c r="B22" i="79"/>
  <c r="G22" i="79" s="1"/>
  <c r="E21" i="111"/>
  <c r="C224" i="115" s="1"/>
  <c r="C22" i="117"/>
  <c r="C22" i="79"/>
  <c r="E21" i="117"/>
  <c r="E22" i="79"/>
  <c r="F22" i="79"/>
  <c r="F21" i="117"/>
  <c r="B33" i="79"/>
  <c r="G33" i="79" s="1"/>
  <c r="O36" i="78"/>
  <c r="B33" i="117"/>
  <c r="C33" i="117"/>
  <c r="C33" i="79"/>
  <c r="D33" i="117"/>
  <c r="G33" i="117" s="1"/>
  <c r="D33" i="79"/>
  <c r="F32" i="117"/>
  <c r="F33" i="79"/>
  <c r="E32" i="117"/>
  <c r="E33" i="79"/>
  <c r="C20" i="117"/>
  <c r="E19" i="111"/>
  <c r="C20" i="79"/>
  <c r="B20" i="117"/>
  <c r="B20" i="79"/>
  <c r="G20" i="79" s="1"/>
  <c r="O23" i="78"/>
  <c r="D20" i="79"/>
  <c r="D20" i="117"/>
  <c r="G20" i="117" s="1"/>
  <c r="F19" i="111"/>
  <c r="D221" i="115" s="1"/>
  <c r="D19" i="111"/>
  <c r="G19" i="111"/>
  <c r="F20" i="79"/>
  <c r="F19" i="117"/>
  <c r="E19" i="117"/>
  <c r="E20" i="79"/>
  <c r="B112" i="79"/>
  <c r="G112" i="79" s="1"/>
  <c r="O115" i="78"/>
  <c r="B18" i="117"/>
  <c r="O21" i="78"/>
  <c r="B18" i="79"/>
  <c r="G18" i="79" s="1"/>
  <c r="C18" i="117"/>
  <c r="E17" i="111"/>
  <c r="C18" i="79"/>
  <c r="D18" i="117"/>
  <c r="G18" i="117" s="1"/>
  <c r="D18" i="79"/>
  <c r="D17" i="111"/>
  <c r="F17" i="111"/>
  <c r="D219" i="115" s="1"/>
  <c r="G17" i="111"/>
  <c r="F17" i="117"/>
  <c r="F18" i="79"/>
  <c r="E17" i="117"/>
  <c r="E18" i="79"/>
  <c r="B56" i="79"/>
  <c r="G56" i="79" s="1"/>
  <c r="B56" i="117"/>
  <c r="O59" i="78"/>
  <c r="C56" i="117"/>
  <c r="C56" i="79"/>
  <c r="D56" i="79"/>
  <c r="D56" i="117"/>
  <c r="G56" i="117" s="1"/>
  <c r="E56" i="79"/>
  <c r="E55" i="117"/>
  <c r="F55" i="117"/>
  <c r="F56" i="79"/>
  <c r="D58" i="79"/>
  <c r="D58" i="117"/>
  <c r="G58" i="117" s="1"/>
  <c r="O61" i="78"/>
  <c r="B58" i="117"/>
  <c r="B58" i="79"/>
  <c r="G58" i="79" s="1"/>
  <c r="C58" i="79"/>
  <c r="C58" i="117"/>
  <c r="E57" i="117"/>
  <c r="E58" i="79"/>
  <c r="F57" i="117"/>
  <c r="F58" i="79"/>
  <c r="O111" i="78"/>
  <c r="B108" i="79"/>
  <c r="G108" i="79" s="1"/>
  <c r="O33" i="78"/>
  <c r="B30" i="79"/>
  <c r="G30" i="79" s="1"/>
  <c r="B30" i="117"/>
  <c r="D30" i="117"/>
  <c r="G30" i="117" s="1"/>
  <c r="D30" i="79"/>
  <c r="C30" i="117"/>
  <c r="C30" i="79"/>
  <c r="E30" i="79"/>
  <c r="E29" i="117"/>
  <c r="F29" i="117"/>
  <c r="F30" i="79"/>
  <c r="D19" i="79"/>
  <c r="D19" i="117"/>
  <c r="G19" i="117" s="1"/>
  <c r="E18" i="111"/>
  <c r="C19" i="117"/>
  <c r="C19" i="79"/>
  <c r="B19" i="117"/>
  <c r="B19" i="79"/>
  <c r="G19" i="79" s="1"/>
  <c r="O22" i="78"/>
  <c r="F18" i="117"/>
  <c r="F19" i="79"/>
  <c r="E18" i="117"/>
  <c r="E19" i="79"/>
  <c r="F18" i="111"/>
  <c r="D220" i="115" s="1"/>
  <c r="D18" i="111"/>
  <c r="G18" i="111"/>
  <c r="B110" i="79"/>
  <c r="G110" i="79" s="1"/>
  <c r="O113" i="78"/>
  <c r="O105" i="78"/>
  <c r="B102" i="79"/>
  <c r="G102" i="79" s="1"/>
  <c r="B9" i="117"/>
  <c r="B9" i="79"/>
  <c r="G9" i="79" s="1"/>
  <c r="O12" i="78"/>
  <c r="E8" i="111"/>
  <c r="C9" i="117"/>
  <c r="C9" i="79"/>
  <c r="D9" i="79"/>
  <c r="D9" i="117"/>
  <c r="G9" i="117" s="1"/>
  <c r="D8" i="111"/>
  <c r="F8" i="111"/>
  <c r="D210" i="115" s="1"/>
  <c r="G8" i="111"/>
  <c r="D85" i="79"/>
  <c r="D86" i="117"/>
  <c r="G86" i="117" s="1"/>
  <c r="B86" i="117"/>
  <c r="O88" i="78"/>
  <c r="B85" i="79"/>
  <c r="G85" i="79" s="1"/>
  <c r="C86" i="117"/>
  <c r="C85" i="79"/>
  <c r="E85" i="117"/>
  <c r="E85" i="79"/>
  <c r="F85" i="117"/>
  <c r="F85" i="79"/>
  <c r="C29" i="79"/>
  <c r="C29" i="117"/>
  <c r="B29" i="79"/>
  <c r="G29" i="79" s="1"/>
  <c r="B29" i="117"/>
  <c r="O32" i="78"/>
  <c r="D29" i="117"/>
  <c r="G29" i="117" s="1"/>
  <c r="D29" i="79"/>
  <c r="F28" i="117"/>
  <c r="F29" i="79"/>
  <c r="E29" i="79"/>
  <c r="E28" i="117"/>
  <c r="B49" i="79"/>
  <c r="G49" i="79" s="1"/>
  <c r="O52" i="78"/>
  <c r="B49" i="117"/>
  <c r="D49" i="79"/>
  <c r="D49" i="117"/>
  <c r="G49" i="117" s="1"/>
  <c r="C49" i="117"/>
  <c r="C49" i="79"/>
  <c r="E48" i="117"/>
  <c r="E49" i="79"/>
  <c r="F48" i="117"/>
  <c r="F49" i="79"/>
  <c r="B55" i="79"/>
  <c r="G55" i="79" s="1"/>
  <c r="O58" i="78"/>
  <c r="B55" i="117"/>
  <c r="C55" i="79"/>
  <c r="C55" i="117"/>
  <c r="D55" i="117"/>
  <c r="G55" i="117" s="1"/>
  <c r="D55" i="79"/>
  <c r="E54" i="117"/>
  <c r="E55" i="79"/>
  <c r="F54" i="117"/>
  <c r="F55" i="79"/>
  <c r="B89" i="79"/>
  <c r="G89" i="79" s="1"/>
  <c r="O92" i="78"/>
  <c r="F89" i="117"/>
  <c r="F89" i="79"/>
  <c r="E89" i="117"/>
  <c r="E89" i="79"/>
  <c r="O80" i="78"/>
  <c r="B78" i="117"/>
  <c r="B77" i="79"/>
  <c r="G77" i="79" s="1"/>
  <c r="C78" i="117"/>
  <c r="C77" i="79"/>
  <c r="D78" i="117"/>
  <c r="G78" i="117" s="1"/>
  <c r="D77" i="79"/>
  <c r="E77" i="117"/>
  <c r="E77" i="79"/>
  <c r="F77" i="117"/>
  <c r="F77" i="79"/>
  <c r="D4" i="79"/>
  <c r="D4" i="117"/>
  <c r="G4" i="117" s="1"/>
  <c r="E3" i="111"/>
  <c r="C206" i="115" s="1"/>
  <c r="C4" i="117"/>
  <c r="C4" i="79"/>
  <c r="B4" i="79"/>
  <c r="G4" i="79" s="1"/>
  <c r="O7" i="78"/>
  <c r="B4" i="117"/>
  <c r="F4" i="79"/>
  <c r="F4" i="117"/>
  <c r="E4" i="79"/>
  <c r="E4" i="117"/>
  <c r="B36" i="79"/>
  <c r="G36" i="79" s="1"/>
  <c r="B36" i="117"/>
  <c r="O39" i="78"/>
  <c r="C36" i="79"/>
  <c r="C36" i="117"/>
  <c r="D36" i="117"/>
  <c r="G36" i="117" s="1"/>
  <c r="D36" i="79"/>
  <c r="F35" i="117"/>
  <c r="F36" i="79"/>
  <c r="E36" i="79"/>
  <c r="E35" i="117"/>
  <c r="B113" i="79"/>
  <c r="G113" i="79" s="1"/>
  <c r="O116" i="78"/>
  <c r="O47" i="78"/>
  <c r="B44" i="117"/>
  <c r="B44" i="79"/>
  <c r="G44" i="79" s="1"/>
  <c r="C44" i="79"/>
  <c r="C44" i="117"/>
  <c r="D44" i="117"/>
  <c r="G44" i="117" s="1"/>
  <c r="D44" i="79"/>
  <c r="E44" i="79"/>
  <c r="E43" i="117"/>
  <c r="F43" i="117"/>
  <c r="F44" i="79"/>
  <c r="C64" i="79"/>
  <c r="C64" i="117"/>
  <c r="B64" i="79"/>
  <c r="G64" i="79" s="1"/>
  <c r="O67" i="78"/>
  <c r="B64" i="117"/>
  <c r="D64" i="79"/>
  <c r="D64" i="117"/>
  <c r="G64" i="117" s="1"/>
  <c r="F63" i="117"/>
  <c r="F64" i="79"/>
  <c r="E64" i="79"/>
  <c r="E63" i="117"/>
  <c r="C61" i="117"/>
  <c r="C61" i="79"/>
  <c r="D61" i="117"/>
  <c r="G61" i="117" s="1"/>
  <c r="D61" i="79"/>
  <c r="O64" i="78"/>
  <c r="B61" i="117"/>
  <c r="B61" i="79"/>
  <c r="G61" i="79" s="1"/>
  <c r="F60" i="117"/>
  <c r="F61" i="79"/>
  <c r="E60" i="117"/>
  <c r="E61" i="79"/>
  <c r="C73" i="117"/>
  <c r="C72" i="79"/>
  <c r="D72" i="79"/>
  <c r="D73" i="117"/>
  <c r="G73" i="117" s="1"/>
  <c r="B73" i="117"/>
  <c r="O75" i="78"/>
  <c r="B72" i="79"/>
  <c r="G72" i="79" s="1"/>
  <c r="E72" i="117"/>
  <c r="E72" i="79"/>
  <c r="F72" i="117"/>
  <c r="F72" i="79"/>
  <c r="B63" i="79"/>
  <c r="G63" i="79" s="1"/>
  <c r="O66" i="78"/>
  <c r="B63" i="117"/>
  <c r="C63" i="117"/>
  <c r="C63" i="79"/>
  <c r="D63" i="117"/>
  <c r="G63" i="117" s="1"/>
  <c r="D63" i="79"/>
  <c r="F63" i="79"/>
  <c r="F62" i="117"/>
  <c r="E62" i="117"/>
  <c r="E63" i="79"/>
  <c r="C79" i="117"/>
  <c r="C78" i="79"/>
  <c r="B78" i="79"/>
  <c r="G78" i="79" s="1"/>
  <c r="O81" i="78"/>
  <c r="B79" i="117"/>
  <c r="D79" i="117"/>
  <c r="G79" i="117" s="1"/>
  <c r="D78" i="79"/>
  <c r="E78" i="117"/>
  <c r="E78" i="79"/>
  <c r="F78" i="117"/>
  <c r="F78" i="79"/>
  <c r="B84" i="79"/>
  <c r="G84" i="79" s="1"/>
  <c r="B85" i="117"/>
  <c r="O87" i="78"/>
  <c r="D85" i="117"/>
  <c r="G85" i="117" s="1"/>
  <c r="D84" i="79"/>
  <c r="C85" i="117"/>
  <c r="C84" i="79"/>
  <c r="F84" i="79"/>
  <c r="F84" i="117"/>
  <c r="E84" i="117"/>
  <c r="E84" i="79"/>
  <c r="O101" i="78"/>
  <c r="B98" i="79"/>
  <c r="G98" i="79" s="1"/>
  <c r="O46" i="78"/>
  <c r="B43" i="79"/>
  <c r="G43" i="79" s="1"/>
  <c r="B43" i="117"/>
  <c r="D43" i="117"/>
  <c r="G43" i="117" s="1"/>
  <c r="D43" i="79"/>
  <c r="C43" i="79"/>
  <c r="C43" i="117"/>
  <c r="F43" i="79"/>
  <c r="F42" i="117"/>
  <c r="E43" i="79"/>
  <c r="E42" i="117"/>
  <c r="C53" i="79"/>
  <c r="C53" i="117"/>
  <c r="D53" i="117"/>
  <c r="G53" i="117" s="1"/>
  <c r="D53" i="79"/>
  <c r="B53" i="79"/>
  <c r="G53" i="79" s="1"/>
  <c r="B53" i="117"/>
  <c r="O56" i="78"/>
  <c r="F53" i="79"/>
  <c r="F52" i="117"/>
  <c r="E52" i="117"/>
  <c r="E53" i="79"/>
  <c r="B54" i="117"/>
  <c r="O57" i="78"/>
  <c r="B54" i="79"/>
  <c r="G54" i="79" s="1"/>
  <c r="C54" i="117"/>
  <c r="C54" i="79"/>
  <c r="D54" i="117"/>
  <c r="G54" i="117" s="1"/>
  <c r="D54" i="79"/>
  <c r="E53" i="117"/>
  <c r="E54" i="79"/>
  <c r="F53" i="117"/>
  <c r="F54" i="79"/>
  <c r="O99" i="78"/>
  <c r="B96" i="79"/>
  <c r="G96" i="79" s="1"/>
  <c r="C67" i="117"/>
  <c r="C66" i="79"/>
  <c r="D66" i="79"/>
  <c r="D67" i="117"/>
  <c r="G67" i="117" s="1"/>
  <c r="O69" i="78"/>
  <c r="B67" i="117"/>
  <c r="B66" i="79"/>
  <c r="G66" i="79" s="1"/>
  <c r="F66" i="117"/>
  <c r="F66" i="79"/>
  <c r="E66" i="79"/>
  <c r="E66" i="117"/>
  <c r="B17" i="117"/>
  <c r="B17" i="79"/>
  <c r="G17" i="79" s="1"/>
  <c r="O20" i="78"/>
  <c r="D17" i="117"/>
  <c r="G17" i="117" s="1"/>
  <c r="D17" i="79"/>
  <c r="G16" i="111"/>
  <c r="F16" i="111"/>
  <c r="D218" i="115" s="1"/>
  <c r="D16" i="111"/>
  <c r="C17" i="79"/>
  <c r="C17" i="117"/>
  <c r="E16" i="111"/>
  <c r="F16" i="117"/>
  <c r="F17" i="79"/>
  <c r="E16" i="117"/>
  <c r="E17" i="79"/>
  <c r="C7" i="117"/>
  <c r="E6" i="111"/>
  <c r="C7" i="79"/>
  <c r="B7" i="79"/>
  <c r="G7" i="79" s="1"/>
  <c r="O10" i="78"/>
  <c r="B7" i="117"/>
  <c r="D7" i="117"/>
  <c r="G7" i="117" s="1"/>
  <c r="D7" i="79"/>
  <c r="E7" i="79"/>
  <c r="E7" i="117"/>
  <c r="D6" i="111"/>
  <c r="F6" i="111"/>
  <c r="D208" i="115" s="1"/>
  <c r="G6" i="111"/>
  <c r="F7" i="79"/>
  <c r="F7" i="117"/>
  <c r="D42" i="79"/>
  <c r="D42" i="117"/>
  <c r="G42" i="117" s="1"/>
  <c r="C42" i="117"/>
  <c r="C42" i="79"/>
  <c r="B42" i="79"/>
  <c r="G42" i="79" s="1"/>
  <c r="O45" i="78"/>
  <c r="B42" i="117"/>
  <c r="F41" i="117"/>
  <c r="F42" i="79"/>
  <c r="E42" i="79"/>
  <c r="E41" i="117"/>
  <c r="B82" i="79"/>
  <c r="G82" i="79" s="1"/>
  <c r="O85" i="78"/>
  <c r="B83" i="117"/>
  <c r="C82" i="79"/>
  <c r="C83" i="117"/>
  <c r="D83" i="117"/>
  <c r="G83" i="117" s="1"/>
  <c r="D82" i="79"/>
  <c r="F82" i="117"/>
  <c r="F82" i="79"/>
  <c r="E82" i="117"/>
  <c r="E82" i="79"/>
  <c r="D48" i="117"/>
  <c r="G48" i="117" s="1"/>
  <c r="D48" i="79"/>
  <c r="B48" i="79"/>
  <c r="G48" i="79" s="1"/>
  <c r="O51" i="78"/>
  <c r="B48" i="117"/>
  <c r="C48" i="117"/>
  <c r="C48" i="79"/>
  <c r="E48" i="79"/>
  <c r="E47" i="117"/>
  <c r="F48" i="79"/>
  <c r="F47" i="117"/>
  <c r="D92" i="117"/>
  <c r="G92" i="117" s="1"/>
  <c r="D92" i="79"/>
  <c r="C92" i="79"/>
  <c r="C92" i="117"/>
  <c r="B92" i="79"/>
  <c r="G92" i="79" s="1"/>
  <c r="O95" i="78"/>
  <c r="F92" i="117"/>
  <c r="F92" i="79"/>
  <c r="E92" i="117"/>
  <c r="E92" i="79"/>
  <c r="D51" i="79"/>
  <c r="D51" i="117"/>
  <c r="G51" i="117" s="1"/>
  <c r="B51" i="117"/>
  <c r="O54" i="78"/>
  <c r="B51" i="79"/>
  <c r="G51" i="79" s="1"/>
  <c r="C51" i="117"/>
  <c r="C51" i="79"/>
  <c r="F50" i="117"/>
  <c r="F51" i="79"/>
  <c r="E50" i="117"/>
  <c r="E51" i="79"/>
  <c r="D46" i="117"/>
  <c r="G46" i="117" s="1"/>
  <c r="D46" i="79"/>
  <c r="O49" i="78"/>
  <c r="B46" i="79"/>
  <c r="G46" i="79" s="1"/>
  <c r="B46" i="117"/>
  <c r="C46" i="117"/>
  <c r="C46" i="79"/>
  <c r="F45" i="117"/>
  <c r="F46" i="79"/>
  <c r="E46" i="79"/>
  <c r="E45" i="117"/>
  <c r="D57" i="117"/>
  <c r="G57" i="117" s="1"/>
  <c r="D57" i="79"/>
  <c r="C57" i="79"/>
  <c r="C57" i="117"/>
  <c r="B57" i="79"/>
  <c r="G57" i="79" s="1"/>
  <c r="O60" i="78"/>
  <c r="B57" i="117"/>
  <c r="E56" i="117"/>
  <c r="E57" i="79"/>
  <c r="F56" i="117"/>
  <c r="F57" i="79"/>
  <c r="D81" i="117"/>
  <c r="G81" i="117" s="1"/>
  <c r="D80" i="79"/>
  <c r="B80" i="79"/>
  <c r="G80" i="79" s="1"/>
  <c r="O83" i="78"/>
  <c r="B81" i="117"/>
  <c r="C81" i="117"/>
  <c r="C80" i="79"/>
  <c r="F80" i="117"/>
  <c r="F80" i="79"/>
  <c r="E80" i="79"/>
  <c r="E80" i="117"/>
  <c r="D39" i="117"/>
  <c r="G39" i="117" s="1"/>
  <c r="D39" i="79"/>
  <c r="B39" i="79"/>
  <c r="G39" i="79" s="1"/>
  <c r="O42" i="78"/>
  <c r="B39" i="117"/>
  <c r="C39" i="117"/>
  <c r="C39" i="79"/>
  <c r="E38" i="117"/>
  <c r="E39" i="79"/>
  <c r="F38" i="117"/>
  <c r="F39" i="79"/>
  <c r="O17" i="78"/>
  <c r="B14" i="79"/>
  <c r="G14" i="79" s="1"/>
  <c r="B14" i="117"/>
  <c r="E14" i="79"/>
  <c r="E13" i="117"/>
  <c r="E13" i="111"/>
  <c r="C14" i="117"/>
  <c r="C14" i="79"/>
  <c r="D14" i="117"/>
  <c r="G14" i="117" s="1"/>
  <c r="D14" i="79"/>
  <c r="F13" i="117"/>
  <c r="F14" i="79"/>
  <c r="F13" i="111"/>
  <c r="D215" i="115" s="1"/>
  <c r="D13" i="111"/>
  <c r="G13" i="111"/>
  <c r="C38" i="79"/>
  <c r="C38" i="117"/>
  <c r="D38" i="79"/>
  <c r="D38" i="117"/>
  <c r="G38" i="117" s="1"/>
  <c r="O41" i="78"/>
  <c r="B38" i="79"/>
  <c r="G38" i="79" s="1"/>
  <c r="B38" i="117"/>
  <c r="F38" i="79"/>
  <c r="F37" i="117"/>
  <c r="E38" i="79"/>
  <c r="E37" i="117"/>
  <c r="B41" i="117"/>
  <c r="O44" i="78"/>
  <c r="B41" i="79"/>
  <c r="G41" i="79" s="1"/>
  <c r="C41" i="117"/>
  <c r="C41" i="79"/>
  <c r="D41" i="117"/>
  <c r="G41" i="117" s="1"/>
  <c r="D41" i="79"/>
  <c r="F40" i="117"/>
  <c r="F41" i="79"/>
  <c r="E40" i="117"/>
  <c r="E41" i="79"/>
  <c r="O76" i="78"/>
  <c r="B74" i="117"/>
  <c r="B73" i="79"/>
  <c r="G73" i="79" s="1"/>
  <c r="C74" i="117"/>
  <c r="C73" i="79"/>
  <c r="D74" i="117"/>
  <c r="G74" i="117" s="1"/>
  <c r="D73" i="79"/>
  <c r="E73" i="117"/>
  <c r="E73" i="79"/>
  <c r="F73" i="117"/>
  <c r="F73" i="79"/>
  <c r="B99" i="79"/>
  <c r="G99" i="79" s="1"/>
  <c r="O102" i="78"/>
  <c r="O100" i="78"/>
  <c r="B97" i="79"/>
  <c r="G97" i="79" s="1"/>
  <c r="C26" i="117"/>
  <c r="C26" i="79"/>
  <c r="B26" i="79"/>
  <c r="G26" i="79" s="1"/>
  <c r="B26" i="117"/>
  <c r="O29" i="78"/>
  <c r="D26" i="79"/>
  <c r="D26" i="117"/>
  <c r="G26" i="117" s="1"/>
  <c r="E25" i="117"/>
  <c r="E26" i="79"/>
  <c r="F25" i="117"/>
  <c r="F26" i="79"/>
  <c r="B5" i="117"/>
  <c r="B5" i="79"/>
  <c r="G5" i="79" s="1"/>
  <c r="O8" i="78"/>
  <c r="D5" i="79"/>
  <c r="D5" i="117"/>
  <c r="G5" i="117" s="1"/>
  <c r="E4" i="111"/>
  <c r="C5" i="117"/>
  <c r="C5" i="79"/>
  <c r="E5" i="79"/>
  <c r="E5" i="117"/>
  <c r="F5" i="79"/>
  <c r="F5" i="117"/>
  <c r="G4" i="111"/>
  <c r="F4" i="111"/>
  <c r="D206" i="115" s="1"/>
  <c r="D4" i="111"/>
  <c r="B62" i="79"/>
  <c r="G62" i="79" s="1"/>
  <c r="O65" i="78"/>
  <c r="B62" i="117"/>
  <c r="D62" i="117"/>
  <c r="G62" i="117" s="1"/>
  <c r="D62" i="79"/>
  <c r="C62" i="117"/>
  <c r="C62" i="79"/>
  <c r="E61" i="117"/>
  <c r="E62" i="79"/>
  <c r="F62" i="79"/>
  <c r="F61" i="117"/>
  <c r="D24" i="79"/>
  <c r="D24" i="117"/>
  <c r="G24" i="117" s="1"/>
  <c r="B24" i="79"/>
  <c r="G24" i="79" s="1"/>
  <c r="B24" i="117"/>
  <c r="O27" i="78"/>
  <c r="E23" i="111"/>
  <c r="C226" i="115" s="1"/>
  <c r="C24" i="117"/>
  <c r="C24" i="79"/>
  <c r="E24" i="79"/>
  <c r="E23" i="117"/>
  <c r="F23" i="117"/>
  <c r="F24" i="79"/>
  <c r="O114" i="78"/>
  <c r="B111" i="79"/>
  <c r="G111" i="79" s="1"/>
  <c r="B104" i="79"/>
  <c r="G104" i="79" s="1"/>
  <c r="O107" i="78"/>
  <c r="B16" i="79"/>
  <c r="G16" i="79" s="1"/>
  <c r="B16" i="117"/>
  <c r="O19" i="78"/>
  <c r="C16" i="117"/>
  <c r="E15" i="111"/>
  <c r="C16" i="79"/>
  <c r="D16" i="117"/>
  <c r="G16" i="117" s="1"/>
  <c r="D16" i="79"/>
  <c r="F15" i="111"/>
  <c r="D217" i="115" s="1"/>
  <c r="G15" i="111"/>
  <c r="D15" i="111"/>
  <c r="E15" i="117"/>
  <c r="E16" i="79"/>
  <c r="F15" i="117"/>
  <c r="F16" i="79"/>
  <c r="O62" i="78"/>
  <c r="B59" i="117"/>
  <c r="B59" i="79"/>
  <c r="G59" i="79" s="1"/>
  <c r="C59" i="79"/>
  <c r="C59" i="117"/>
  <c r="D59" i="117"/>
  <c r="G59" i="117" s="1"/>
  <c r="D59" i="79"/>
  <c r="F59" i="79"/>
  <c r="F58" i="117"/>
  <c r="E58" i="117"/>
  <c r="E59" i="79"/>
  <c r="B105" i="79"/>
  <c r="G105" i="79" s="1"/>
  <c r="O108" i="78"/>
  <c r="O40" i="78"/>
  <c r="B37" i="79"/>
  <c r="G37" i="79" s="1"/>
  <c r="B37" i="117"/>
  <c r="C37" i="79"/>
  <c r="C37" i="117"/>
  <c r="D37" i="79"/>
  <c r="D37" i="117"/>
  <c r="G37" i="117" s="1"/>
  <c r="F36" i="117"/>
  <c r="F37" i="79"/>
  <c r="E36" i="117"/>
  <c r="E37" i="79"/>
  <c r="B86" i="79"/>
  <c r="G86" i="79" s="1"/>
  <c r="O89" i="78"/>
  <c r="B87" i="117"/>
  <c r="C87" i="117"/>
  <c r="C86" i="79"/>
  <c r="D87" i="117"/>
  <c r="G87" i="117" s="1"/>
  <c r="D86" i="79"/>
  <c r="E86" i="117"/>
  <c r="E86" i="79"/>
  <c r="F86" i="79"/>
  <c r="F86" i="117"/>
  <c r="B28" i="79"/>
  <c r="G28" i="79" s="1"/>
  <c r="B28" i="117"/>
  <c r="O31" i="78"/>
  <c r="D28" i="117"/>
  <c r="G28" i="117" s="1"/>
  <c r="D28" i="79"/>
  <c r="C28" i="117"/>
  <c r="C28" i="79"/>
  <c r="E28" i="79"/>
  <c r="E27" i="117"/>
  <c r="F27" i="117"/>
  <c r="F28" i="79"/>
  <c r="D40" i="79"/>
  <c r="D40" i="117"/>
  <c r="G40" i="117" s="1"/>
  <c r="B40" i="117"/>
  <c r="O43" i="78"/>
  <c r="B40" i="79"/>
  <c r="G40" i="79" s="1"/>
  <c r="C40" i="117"/>
  <c r="C40" i="79"/>
  <c r="E40" i="79"/>
  <c r="E39" i="117"/>
  <c r="F40" i="79"/>
  <c r="F39" i="117"/>
  <c r="O53" i="78"/>
  <c r="B50" i="117"/>
  <c r="B50" i="79"/>
  <c r="G50" i="79" s="1"/>
  <c r="D50" i="79"/>
  <c r="D50" i="117"/>
  <c r="G50" i="117" s="1"/>
  <c r="C50" i="117"/>
  <c r="C50" i="79"/>
  <c r="F49" i="117"/>
  <c r="F50" i="79"/>
  <c r="E49" i="117"/>
  <c r="E50" i="79"/>
  <c r="B109" i="79"/>
  <c r="G109" i="79" s="1"/>
  <c r="O112" i="78"/>
  <c r="D84" i="117"/>
  <c r="G84" i="117" s="1"/>
  <c r="D83" i="79"/>
  <c r="B83" i="79"/>
  <c r="G83" i="79" s="1"/>
  <c r="B84" i="117"/>
  <c r="O86" i="78"/>
  <c r="C83" i="79"/>
  <c r="C84" i="117"/>
  <c r="F83" i="117"/>
  <c r="F83" i="79"/>
  <c r="E83" i="117"/>
  <c r="E83" i="79"/>
  <c r="B106" i="79"/>
  <c r="G106" i="79" s="1"/>
  <c r="O109" i="78"/>
  <c r="B69" i="79"/>
  <c r="G69" i="79" s="1"/>
  <c r="O72" i="78"/>
  <c r="B70" i="117"/>
  <c r="C70" i="117"/>
  <c r="C69" i="79"/>
  <c r="D70" i="117"/>
  <c r="G70" i="117" s="1"/>
  <c r="D69" i="79"/>
  <c r="E69" i="79"/>
  <c r="E69" i="117"/>
  <c r="F69" i="117"/>
  <c r="F69" i="79"/>
  <c r="B27" i="79"/>
  <c r="G27" i="79" s="1"/>
  <c r="O30" i="78"/>
  <c r="B27" i="117"/>
  <c r="C27" i="117"/>
  <c r="C27" i="79"/>
  <c r="D27" i="79"/>
  <c r="D27" i="117"/>
  <c r="G27" i="117" s="1"/>
  <c r="E27" i="79"/>
  <c r="E26" i="117"/>
  <c r="F27" i="79"/>
  <c r="F26" i="117"/>
  <c r="C10" i="117"/>
  <c r="E9" i="111"/>
  <c r="C10" i="79"/>
  <c r="B10" i="79"/>
  <c r="G10" i="79" s="1"/>
  <c r="B10" i="117"/>
  <c r="O13" i="78"/>
  <c r="D10" i="79"/>
  <c r="D10" i="117"/>
  <c r="G10" i="117" s="1"/>
  <c r="E9" i="117"/>
  <c r="E10" i="79"/>
  <c r="D9" i="111"/>
  <c r="G9" i="111"/>
  <c r="F9" i="111"/>
  <c r="D211" i="115" s="1"/>
  <c r="F9" i="117"/>
  <c r="F10" i="79"/>
  <c r="D69" i="117"/>
  <c r="G69" i="117" s="1"/>
  <c r="D68" i="79"/>
  <c r="B68" i="79"/>
  <c r="G68" i="79" s="1"/>
  <c r="O71" i="78"/>
  <c r="B69" i="117"/>
  <c r="C69" i="117"/>
  <c r="C68" i="79"/>
  <c r="E68" i="79"/>
  <c r="E68" i="117"/>
  <c r="F68" i="117"/>
  <c r="F68" i="79"/>
  <c r="D34" i="117"/>
  <c r="G34" i="117" s="1"/>
  <c r="D34" i="79"/>
  <c r="B34" i="79"/>
  <c r="G34" i="79" s="1"/>
  <c r="O37" i="78"/>
  <c r="B34" i="117"/>
  <c r="C34" i="117"/>
  <c r="C34" i="79"/>
  <c r="F34" i="79"/>
  <c r="F33" i="117"/>
  <c r="E33" i="117"/>
  <c r="E34" i="79"/>
  <c r="O110" i="78"/>
  <c r="B107" i="79"/>
  <c r="G107" i="79" s="1"/>
  <c r="B25" i="117"/>
  <c r="B25" i="79"/>
  <c r="G25" i="79" s="1"/>
  <c r="O28" i="78"/>
  <c r="E24" i="111"/>
  <c r="C227" i="115" s="1"/>
  <c r="C25" i="117"/>
  <c r="C25" i="79"/>
  <c r="D25" i="79"/>
  <c r="D25" i="117"/>
  <c r="G25" i="117" s="1"/>
  <c r="F25" i="79"/>
  <c r="F24" i="117"/>
  <c r="E24" i="117"/>
  <c r="E25" i="79"/>
  <c r="B23" i="79"/>
  <c r="G23" i="79" s="1"/>
  <c r="O26" i="78"/>
  <c r="B23" i="117"/>
  <c r="E22" i="111"/>
  <c r="C225" i="115" s="1"/>
  <c r="C23" i="117"/>
  <c r="C23" i="79"/>
  <c r="D23" i="117"/>
  <c r="G23" i="117" s="1"/>
  <c r="D23" i="79"/>
  <c r="F22" i="117"/>
  <c r="F23" i="79"/>
  <c r="E22" i="117"/>
  <c r="E23" i="79"/>
  <c r="B31" i="79"/>
  <c r="G31" i="79" s="1"/>
  <c r="O34" i="78"/>
  <c r="B31" i="117"/>
  <c r="D31" i="117"/>
  <c r="G31" i="117" s="1"/>
  <c r="D31" i="79"/>
  <c r="C31" i="79"/>
  <c r="C31" i="117"/>
  <c r="E31" i="79"/>
  <c r="E30" i="117"/>
  <c r="F31" i="79"/>
  <c r="F30" i="117"/>
  <c r="D71" i="117"/>
  <c r="G71" i="117" s="1"/>
  <c r="D70" i="79"/>
  <c r="B70" i="79"/>
  <c r="G70" i="79" s="1"/>
  <c r="O73" i="78"/>
  <c r="B71" i="117"/>
  <c r="C71" i="117"/>
  <c r="C70" i="79"/>
  <c r="E70" i="79"/>
  <c r="E70" i="117"/>
  <c r="F70" i="117"/>
  <c r="F70" i="79"/>
  <c r="B11" i="117"/>
  <c r="B11" i="79"/>
  <c r="G11" i="79" s="1"/>
  <c r="O14" i="78"/>
  <c r="E10" i="117"/>
  <c r="E11" i="79"/>
  <c r="C11" i="117"/>
  <c r="E10" i="111"/>
  <c r="C11" i="79"/>
  <c r="D11" i="117"/>
  <c r="G11" i="117" s="1"/>
  <c r="D11" i="79"/>
  <c r="F11" i="79"/>
  <c r="F10" i="117"/>
  <c r="G10" i="111"/>
  <c r="F10" i="111"/>
  <c r="D212" i="115" s="1"/>
  <c r="D10" i="111"/>
  <c r="B100" i="79"/>
  <c r="G100" i="79" s="1"/>
  <c r="O103" i="78"/>
  <c r="B93" i="79"/>
  <c r="G93" i="79" s="1"/>
  <c r="O96" i="78"/>
  <c r="C93" i="79"/>
  <c r="C93" i="117"/>
  <c r="D93" i="79"/>
  <c r="D93" i="117"/>
  <c r="G93" i="117" s="1"/>
  <c r="E93" i="117"/>
  <c r="E93" i="79"/>
  <c r="F93" i="117"/>
  <c r="F93" i="79"/>
  <c r="C8" i="117"/>
  <c r="E7" i="111"/>
  <c r="C8" i="79"/>
  <c r="B8" i="79"/>
  <c r="G8" i="79" s="1"/>
  <c r="O11" i="78"/>
  <c r="B8" i="117"/>
  <c r="D8" i="117"/>
  <c r="G8" i="117" s="1"/>
  <c r="D8" i="79"/>
  <c r="G7" i="111"/>
  <c r="F7" i="111"/>
  <c r="D209" i="115" s="1"/>
  <c r="D7" i="111"/>
  <c r="F8" i="117"/>
  <c r="F8" i="79"/>
  <c r="E8" i="117"/>
  <c r="E8" i="79"/>
  <c r="B72" i="117"/>
  <c r="B71" i="79"/>
  <c r="G71" i="79" s="1"/>
  <c r="O74" i="78"/>
  <c r="D71" i="79"/>
  <c r="D72" i="117"/>
  <c r="G72" i="117" s="1"/>
  <c r="C71" i="79"/>
  <c r="C72" i="117"/>
  <c r="F71" i="117"/>
  <c r="F71" i="79"/>
  <c r="E71" i="117"/>
  <c r="E71" i="79"/>
  <c r="B45" i="79"/>
  <c r="G45" i="79" s="1"/>
  <c r="B45" i="117"/>
  <c r="O48" i="78"/>
  <c r="D45" i="117"/>
  <c r="G45" i="117" s="1"/>
  <c r="D45" i="79"/>
  <c r="C45" i="79"/>
  <c r="C45" i="117"/>
  <c r="F45" i="79"/>
  <c r="F44" i="117"/>
  <c r="E45" i="79"/>
  <c r="E44" i="117"/>
  <c r="O77" i="78"/>
  <c r="B75" i="117"/>
  <c r="B74" i="79"/>
  <c r="G74" i="79" s="1"/>
  <c r="D75" i="117"/>
  <c r="G75" i="117" s="1"/>
  <c r="D74" i="79"/>
  <c r="C74" i="79"/>
  <c r="C75" i="117"/>
  <c r="F74" i="117"/>
  <c r="F74" i="79"/>
  <c r="E74" i="79"/>
  <c r="E74" i="117"/>
  <c r="B76" i="117"/>
  <c r="O78" i="78"/>
  <c r="B75" i="79"/>
  <c r="G75" i="79" s="1"/>
  <c r="D76" i="117"/>
  <c r="G76" i="117" s="1"/>
  <c r="D75" i="79"/>
  <c r="F75" i="79"/>
  <c r="F75" i="117"/>
  <c r="C76" i="117"/>
  <c r="C75" i="79"/>
  <c r="E75" i="79"/>
  <c r="E75" i="117"/>
  <c r="D91" i="117"/>
  <c r="G91" i="117" s="1"/>
  <c r="D91" i="79"/>
  <c r="O94" i="78"/>
  <c r="B91" i="79"/>
  <c r="G91" i="79" s="1"/>
  <c r="C91" i="117"/>
  <c r="C91" i="79"/>
  <c r="E91" i="117"/>
  <c r="E91" i="79"/>
  <c r="F91" i="117"/>
  <c r="F91" i="79"/>
  <c r="B65" i="79"/>
  <c r="G65" i="79" s="1"/>
  <c r="O68" i="78"/>
  <c r="B65" i="117"/>
  <c r="D65" i="117"/>
  <c r="G65" i="117" s="1"/>
  <c r="D65" i="79"/>
  <c r="C65" i="117"/>
  <c r="C65" i="79"/>
  <c r="F65" i="79"/>
  <c r="F64" i="117"/>
  <c r="E65" i="79"/>
  <c r="E64" i="117"/>
  <c r="C87" i="79"/>
  <c r="C88" i="117"/>
  <c r="B87" i="79"/>
  <c r="G87" i="79" s="1"/>
  <c r="B88" i="117"/>
  <c r="O90" i="78"/>
  <c r="D87" i="79"/>
  <c r="D88" i="117"/>
  <c r="G88" i="117" s="1"/>
  <c r="F87" i="79"/>
  <c r="F87" i="117"/>
  <c r="E87" i="117"/>
  <c r="E87" i="79"/>
  <c r="B95" i="79"/>
  <c r="G95" i="79" s="1"/>
  <c r="O98" i="78"/>
  <c r="E12" i="111"/>
  <c r="C13" i="117"/>
  <c r="C13" i="79"/>
  <c r="O16" i="78"/>
  <c r="B13" i="117"/>
  <c r="B13" i="79"/>
  <c r="G13" i="79" s="1"/>
  <c r="D13" i="117"/>
  <c r="G13" i="117" s="1"/>
  <c r="D13" i="79"/>
  <c r="E13" i="79"/>
  <c r="E12" i="117"/>
  <c r="G12" i="111"/>
  <c r="D12" i="111"/>
  <c r="F12" i="111"/>
  <c r="D214" i="115" s="1"/>
  <c r="F13" i="79"/>
  <c r="F12" i="117"/>
  <c r="C3" i="117"/>
  <c r="E2" i="111"/>
  <c r="C3" i="79"/>
  <c r="D3" i="117"/>
  <c r="G3" i="117" s="1"/>
  <c r="D3" i="79"/>
  <c r="F3" i="117"/>
  <c r="F3" i="79"/>
  <c r="B3" i="117"/>
  <c r="O6" i="78"/>
  <c r="B3" i="79"/>
  <c r="E3" i="117"/>
  <c r="E3" i="79"/>
  <c r="D2" i="111"/>
  <c r="F2" i="111"/>
  <c r="D204" i="115" s="1"/>
  <c r="G2" i="111"/>
  <c r="B15" i="117"/>
  <c r="B15" i="79"/>
  <c r="G15" i="79" s="1"/>
  <c r="O18" i="78"/>
  <c r="F14" i="117"/>
  <c r="F15" i="79"/>
  <c r="E14" i="111"/>
  <c r="C15" i="79"/>
  <c r="C15" i="117"/>
  <c r="D15" i="79"/>
  <c r="D15" i="117"/>
  <c r="G15" i="117" s="1"/>
  <c r="E14" i="117"/>
  <c r="E15" i="79"/>
  <c r="G14" i="111"/>
  <c r="F14" i="111"/>
  <c r="D216" i="115" s="1"/>
  <c r="D14" i="111"/>
  <c r="D67" i="79"/>
  <c r="D68" i="117"/>
  <c r="G68" i="117" s="1"/>
  <c r="C68" i="117"/>
  <c r="C67" i="79"/>
  <c r="O70" i="78"/>
  <c r="B68" i="117"/>
  <c r="B67" i="79"/>
  <c r="G67" i="79" s="1"/>
  <c r="E67" i="117"/>
  <c r="E67" i="79"/>
  <c r="F67" i="117"/>
  <c r="F67" i="79"/>
  <c r="B82" i="117"/>
  <c r="O84" i="78"/>
  <c r="B81" i="79"/>
  <c r="G81" i="79" s="1"/>
  <c r="D82" i="117"/>
  <c r="G82" i="117" s="1"/>
  <c r="D81" i="79"/>
  <c r="C81" i="79"/>
  <c r="C82" i="117"/>
  <c r="E81" i="117"/>
  <c r="E81" i="79"/>
  <c r="F81" i="117"/>
  <c r="F81" i="79"/>
  <c r="B47" i="79"/>
  <c r="G47" i="79" s="1"/>
  <c r="B47" i="117"/>
  <c r="O50" i="78"/>
  <c r="D47" i="117"/>
  <c r="G47" i="117" s="1"/>
  <c r="D47" i="79"/>
  <c r="C47" i="79"/>
  <c r="C47" i="117"/>
  <c r="E47" i="79"/>
  <c r="E46" i="117"/>
  <c r="F47" i="79"/>
  <c r="F46" i="117"/>
  <c r="C60" i="117"/>
  <c r="C60" i="79"/>
  <c r="B60" i="117"/>
  <c r="B60" i="79"/>
  <c r="G60" i="79" s="1"/>
  <c r="O63" i="78"/>
  <c r="E60" i="79"/>
  <c r="E59" i="117"/>
  <c r="D60" i="117"/>
  <c r="G60" i="117" s="1"/>
  <c r="D60" i="79"/>
  <c r="F60" i="79"/>
  <c r="F59" i="117"/>
  <c r="D6" i="117"/>
  <c r="G6" i="117" s="1"/>
  <c r="D6" i="79"/>
  <c r="B6" i="79"/>
  <c r="G6" i="79" s="1"/>
  <c r="B6" i="117"/>
  <c r="O9" i="78"/>
  <c r="C6" i="79"/>
  <c r="E5" i="111"/>
  <c r="C6" i="117"/>
  <c r="E6" i="79"/>
  <c r="E6" i="117"/>
  <c r="F6" i="79"/>
  <c r="F6" i="117"/>
  <c r="G5" i="111"/>
  <c r="D5" i="111"/>
  <c r="F5" i="111"/>
  <c r="D207" i="115" s="1"/>
  <c r="D88" i="79"/>
  <c r="D89" i="117"/>
  <c r="G89" i="117" s="1"/>
  <c r="B89" i="117"/>
  <c r="O91" i="78"/>
  <c r="B88" i="79"/>
  <c r="G88" i="79" s="1"/>
  <c r="C89" i="117"/>
  <c r="C88" i="79"/>
  <c r="E88" i="117"/>
  <c r="E88" i="79"/>
  <c r="F88" i="79"/>
  <c r="F88" i="117"/>
  <c r="B35" i="117"/>
  <c r="O38" i="78"/>
  <c r="B35" i="79"/>
  <c r="G35" i="79" s="1"/>
  <c r="D35" i="79"/>
  <c r="D35" i="117"/>
  <c r="G35" i="117" s="1"/>
  <c r="C35" i="117"/>
  <c r="C35" i="79"/>
  <c r="E34" i="117"/>
  <c r="E35" i="79"/>
  <c r="F34" i="117"/>
  <c r="F35" i="79"/>
  <c r="B52" i="117"/>
  <c r="O55" i="78"/>
  <c r="B52" i="79"/>
  <c r="G52" i="79" s="1"/>
  <c r="C52" i="117"/>
  <c r="C52" i="79"/>
  <c r="D52" i="79"/>
  <c r="D52" i="117"/>
  <c r="G52" i="117" s="1"/>
  <c r="F51" i="117"/>
  <c r="F52" i="79"/>
  <c r="E51" i="117"/>
  <c r="E52" i="79"/>
  <c r="B101" i="79"/>
  <c r="G101" i="79" s="1"/>
  <c r="O104" i="78"/>
  <c r="B103" i="79"/>
  <c r="G103" i="79" s="1"/>
  <c r="O106" i="78"/>
  <c r="B94" i="79"/>
  <c r="G94" i="79" s="1"/>
  <c r="O97" i="78"/>
  <c r="F94" i="117"/>
  <c r="F94" i="79"/>
  <c r="E94" i="117"/>
  <c r="E94" i="79"/>
  <c r="O15" i="78"/>
  <c r="B12" i="79"/>
  <c r="G12" i="79" s="1"/>
  <c r="B12" i="117"/>
  <c r="D12" i="117"/>
  <c r="G12" i="117" s="1"/>
  <c r="D12" i="79"/>
  <c r="E11" i="111"/>
  <c r="C12" i="117"/>
  <c r="C12" i="79"/>
  <c r="F11" i="117"/>
  <c r="F12" i="79"/>
  <c r="E11" i="117"/>
  <c r="E12" i="79"/>
  <c r="D11" i="111"/>
  <c r="G11" i="111"/>
  <c r="F11" i="111"/>
  <c r="D213" i="115" s="1"/>
  <c r="B32" i="117"/>
  <c r="B32" i="79"/>
  <c r="G32" i="79" s="1"/>
  <c r="O35" i="78"/>
  <c r="D32" i="79"/>
  <c r="D32" i="117"/>
  <c r="G32" i="117" s="1"/>
  <c r="C32" i="117"/>
  <c r="C32" i="79"/>
  <c r="E31" i="117"/>
  <c r="E32" i="79"/>
  <c r="F31" i="117"/>
  <c r="F32" i="79"/>
  <c r="D90" i="79"/>
  <c r="D90" i="117"/>
  <c r="G90" i="117" s="1"/>
  <c r="O93" i="78"/>
  <c r="B90" i="79"/>
  <c r="G90" i="79" s="1"/>
  <c r="C90" i="79"/>
  <c r="C90" i="117"/>
  <c r="E90" i="79"/>
  <c r="E90" i="117"/>
  <c r="F90" i="117"/>
  <c r="F90" i="79"/>
  <c r="D80" i="117"/>
  <c r="G80" i="117" s="1"/>
  <c r="D79" i="79"/>
  <c r="C80" i="117"/>
  <c r="C79" i="79"/>
  <c r="B79" i="79"/>
  <c r="G79" i="79" s="1"/>
  <c r="B80" i="117"/>
  <c r="O82" i="78"/>
  <c r="E79" i="117"/>
  <c r="E79" i="79"/>
  <c r="F79" i="117"/>
  <c r="F79" i="79"/>
  <c r="D76" i="79"/>
  <c r="D77" i="117"/>
  <c r="G77" i="117" s="1"/>
  <c r="O79" i="78"/>
  <c r="B77" i="117"/>
  <c r="B76" i="79"/>
  <c r="G76" i="79" s="1"/>
  <c r="C76" i="79"/>
  <c r="C77" i="117"/>
  <c r="F76" i="117"/>
  <c r="F76" i="79"/>
  <c r="E76" i="79"/>
  <c r="E76" i="117"/>
  <c r="C221" i="115" l="1"/>
  <c r="C213" i="115"/>
  <c r="C218" i="115"/>
  <c r="C212" i="115"/>
  <c r="C217" i="115"/>
  <c r="C208" i="115"/>
  <c r="C211" i="115"/>
  <c r="C210" i="115"/>
  <c r="C205" i="115"/>
  <c r="C215" i="115"/>
  <c r="C209" i="115"/>
  <c r="C223" i="115"/>
  <c r="C219" i="115"/>
  <c r="C214" i="115"/>
  <c r="C207" i="115"/>
  <c r="C216" i="115"/>
  <c r="C220" i="115"/>
  <c r="C222" i="115"/>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113" i="79"/>
  <c r="A48" i="79"/>
  <c r="A76" i="79"/>
  <c r="A106" i="79"/>
  <c r="A101" i="79"/>
  <c r="A22" i="79"/>
  <c r="A85" i="79"/>
  <c r="A16" i="79"/>
  <c r="A112" i="79"/>
  <c r="A21" i="79"/>
  <c r="A24" i="79"/>
  <c r="A50" i="79"/>
  <c r="A55" i="79"/>
  <c r="D86" i="115"/>
  <c r="D85" i="115" s="1"/>
  <c r="J4" i="107"/>
  <c r="C5" i="107" s="1"/>
  <c r="C9" i="107" l="1"/>
  <c r="C6" i="107"/>
  <c r="C7" i="107"/>
  <c r="C10" i="107"/>
  <c r="C8" i="107"/>
  <c r="C4" i="10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900-000001000000}">
      <text>
        <r>
          <rPr>
            <b/>
            <sz val="12"/>
            <color indexed="13"/>
            <rFont val="Times New Roman"/>
            <family val="1"/>
          </rPr>
          <t>3 pha cải tạo</t>
        </r>
      </text>
    </comment>
    <comment ref="G3" authorId="0" shapeId="0" xr:uid="{00000000-0006-0000-0900-000002000000}">
      <text>
        <r>
          <rPr>
            <b/>
            <sz val="12"/>
            <color indexed="13"/>
            <rFont val="Times New Roman"/>
            <family val="1"/>
          </rPr>
          <t>3 pha XDM</t>
        </r>
      </text>
    </comment>
    <comment ref="H3" authorId="0" shapeId="0" xr:uid="{00000000-0006-0000-0900-000003000000}">
      <text>
        <r>
          <rPr>
            <b/>
            <sz val="12"/>
            <color indexed="13"/>
            <rFont val="Times New Roman"/>
            <family val="1"/>
          </rPr>
          <t>1 pha XDM</t>
        </r>
      </text>
    </comment>
    <comment ref="I3" authorId="0" shapeId="0" xr:uid="{00000000-0006-0000-09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A00-000001000000}">
      <text>
        <r>
          <rPr>
            <b/>
            <sz val="12"/>
            <color indexed="13"/>
            <rFont val="Times New Roman"/>
            <family val="1"/>
          </rPr>
          <t>3 pha cải tạo</t>
        </r>
      </text>
    </comment>
    <comment ref="G6" authorId="0" shapeId="0" xr:uid="{00000000-0006-0000-0A00-000002000000}">
      <text>
        <r>
          <rPr>
            <b/>
            <sz val="12"/>
            <color indexed="13"/>
            <rFont val="Times New Roman"/>
            <family val="1"/>
          </rPr>
          <t>3 pha XDM</t>
        </r>
      </text>
    </comment>
    <comment ref="H6" authorId="0" shapeId="0" xr:uid="{00000000-0006-0000-0A00-000003000000}">
      <text>
        <r>
          <rPr>
            <b/>
            <sz val="12"/>
            <color indexed="13"/>
            <rFont val="Times New Roman"/>
            <family val="1"/>
          </rPr>
          <t>1 pha XDM</t>
        </r>
      </text>
    </comment>
    <comment ref="I6" authorId="0" shapeId="0" xr:uid="{00000000-0006-0000-0A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C00-000001000000}">
      <text>
        <r>
          <rPr>
            <b/>
            <sz val="8"/>
            <color indexed="81"/>
            <rFont val="Times New Roman"/>
            <family val="1"/>
          </rPr>
          <t>Author:
B: bulong mat
C: code
Ap dung cho cac bo neo chang</t>
        </r>
      </text>
    </comment>
    <comment ref="EE6" authorId="0" shapeId="0" xr:uid="{00000000-0006-0000-0C00-000002000000}">
      <text>
        <r>
          <rPr>
            <b/>
            <sz val="8"/>
            <color indexed="81"/>
            <rFont val="Times New Roman"/>
            <family val="1"/>
          </rPr>
          <t>Author:
P: POLYME
ngoai ra: su treo 2 bat</t>
        </r>
      </text>
    </comment>
    <comment ref="EE82" authorId="0" shapeId="0" xr:uid="{00000000-0006-0000-0C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F00-000001000000}">
      <text>
        <r>
          <rPr>
            <b/>
            <sz val="12"/>
            <color indexed="13"/>
            <rFont val="Times New Roman"/>
            <family val="1"/>
          </rPr>
          <t>3 pha cải tạo</t>
        </r>
      </text>
    </comment>
    <comment ref="G4" authorId="0" shapeId="0" xr:uid="{00000000-0006-0000-0F00-000002000000}">
      <text>
        <r>
          <rPr>
            <b/>
            <sz val="12"/>
            <color indexed="13"/>
            <rFont val="Times New Roman"/>
            <family val="1"/>
          </rPr>
          <t>3 pha XDM</t>
        </r>
      </text>
    </comment>
    <comment ref="H4" authorId="0" shapeId="0" xr:uid="{00000000-0006-0000-0F00-000003000000}">
      <text>
        <r>
          <rPr>
            <b/>
            <sz val="12"/>
            <color indexed="13"/>
            <rFont val="Times New Roman"/>
            <family val="1"/>
          </rPr>
          <t>1 pha XDM</t>
        </r>
      </text>
    </comment>
    <comment ref="I4" authorId="0" shapeId="0" xr:uid="{00000000-0006-0000-0F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11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300-000001000000}">
      <text>
        <r>
          <rPr>
            <b/>
            <sz val="12"/>
            <color indexed="13"/>
            <rFont val="Times New Roman"/>
            <family val="1"/>
          </rPr>
          <t>3 pha cải tạo</t>
        </r>
      </text>
    </comment>
    <comment ref="G6" authorId="0" shapeId="0" xr:uid="{00000000-0006-0000-1300-000002000000}">
      <text>
        <r>
          <rPr>
            <b/>
            <sz val="12"/>
            <color indexed="13"/>
            <rFont val="Times New Roman"/>
            <family val="1"/>
          </rPr>
          <t>3 pha XDM</t>
        </r>
      </text>
    </comment>
    <comment ref="H6" authorId="0" shapeId="0" xr:uid="{00000000-0006-0000-1300-000003000000}">
      <text>
        <r>
          <rPr>
            <b/>
            <sz val="12"/>
            <color indexed="13"/>
            <rFont val="Times New Roman"/>
            <family val="1"/>
          </rPr>
          <t>1 pha XDM</t>
        </r>
      </text>
    </comment>
    <comment ref="I6" authorId="0" shapeId="0" xr:uid="{00000000-0006-0000-13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1400-000001000000}">
      <text>
        <r>
          <rPr>
            <b/>
            <sz val="12"/>
            <color indexed="13"/>
            <rFont val="Times New Roman"/>
            <family val="1"/>
          </rPr>
          <t>3 pha cải tạo</t>
        </r>
      </text>
    </comment>
    <comment ref="G6" authorId="0" shapeId="0" xr:uid="{00000000-0006-0000-1400-000002000000}">
      <text>
        <r>
          <rPr>
            <b/>
            <sz val="12"/>
            <color indexed="13"/>
            <rFont val="Times New Roman"/>
            <family val="1"/>
          </rPr>
          <t>3 pha XDM</t>
        </r>
      </text>
    </comment>
    <comment ref="H6" authorId="0" shapeId="0" xr:uid="{00000000-0006-0000-1400-000003000000}">
      <text>
        <r>
          <rPr>
            <b/>
            <sz val="12"/>
            <color indexed="13"/>
            <rFont val="Times New Roman"/>
            <family val="1"/>
          </rPr>
          <t>1 pha XDM</t>
        </r>
      </text>
    </comment>
    <comment ref="I6" authorId="0" shapeId="0" xr:uid="{00000000-0006-0000-14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1933D1B7-A057-4F77-8C35-BEC1DD05E42A}">
      <text>
        <r>
          <rPr>
            <b/>
            <sz val="8"/>
            <color indexed="81"/>
            <rFont val="Tahoma"/>
            <family val="2"/>
          </rPr>
          <t>Author:</t>
        </r>
        <r>
          <rPr>
            <sz val="8"/>
            <color indexed="81"/>
            <rFont val="Tahoma"/>
            <family val="2"/>
          </rPr>
          <t xml:space="preserve">
tính trong phần nhân công lắp tử MCCB
</t>
        </r>
      </text>
    </comment>
    <comment ref="B1204" authorId="0" shapeId="0" xr:uid="{4A7E5AE4-A9EC-4D0C-A681-862537D158B8}">
      <text>
        <r>
          <rPr>
            <b/>
            <sz val="12"/>
            <color indexed="81"/>
            <rFont val="Times New Roman"/>
            <family val="1"/>
          </rPr>
          <t xml:space="preserve">Lưu ý: cáp hạ thế 0,6kV
</t>
        </r>
      </text>
    </comment>
    <comment ref="B1332" authorId="0" shapeId="0" xr:uid="{E2FBFE25-45FB-4EE9-86BF-F2BCAA260FDE}">
      <text>
        <r>
          <rPr>
            <b/>
            <sz val="12"/>
            <color indexed="81"/>
            <rFont val="Times New Roman"/>
            <family val="1"/>
          </rPr>
          <t xml:space="preserve">Lưu ý: cáp hạ thế 0,6kV
</t>
        </r>
      </text>
    </comment>
    <comment ref="B1486" authorId="0" shapeId="0" xr:uid="{F5C1DCDE-16BF-4CA0-A800-6AA9F380D671}">
      <text>
        <r>
          <rPr>
            <b/>
            <sz val="12"/>
            <color indexed="81"/>
            <rFont val="Times New Roman"/>
            <family val="1"/>
          </rPr>
          <t xml:space="preserve">Lưu ý: cáp hạ thế 0,6kV
</t>
        </r>
      </text>
    </comment>
    <comment ref="B1610" authorId="0" shapeId="0" xr:uid="{653C58A6-DB17-4841-BEED-565937B731FC}">
      <text>
        <r>
          <rPr>
            <b/>
            <sz val="12"/>
            <color indexed="81"/>
            <rFont val="Times New Roman"/>
            <family val="1"/>
          </rPr>
          <t xml:space="preserve">Lưu ý: cáp hạ thế 0,6kV
</t>
        </r>
      </text>
    </comment>
    <comment ref="B1878" authorId="0" shapeId="0" xr:uid="{38C0AB01-B3C7-424A-B138-739BC4CB6353}">
      <text>
        <r>
          <rPr>
            <b/>
            <sz val="12"/>
            <color indexed="81"/>
            <rFont val="Times New Roman"/>
            <family val="1"/>
          </rPr>
          <t xml:space="preserve">Lưu ý: cáp hạ thế 0,6kV
</t>
        </r>
      </text>
    </comment>
    <comment ref="B2367" authorId="0" shapeId="0" xr:uid="{7ACF80F8-3B16-415D-A82C-BE62107FEDB7}">
      <text>
        <r>
          <rPr>
            <b/>
            <sz val="12"/>
            <color indexed="81"/>
            <rFont val="Times New Roman"/>
            <family val="1"/>
          </rPr>
          <t xml:space="preserve">Lưu ý: cáp hạ thế 0,6kV
</t>
        </r>
      </text>
    </comment>
    <comment ref="B2551" authorId="0" shapeId="0" xr:uid="{85BBF694-AEA2-47DF-8274-2A3E96EDA7AF}">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500-000001000000}">
      <text>
        <r>
          <rPr>
            <b/>
            <sz val="12"/>
            <color indexed="81"/>
            <rFont val="Times New Roman"/>
            <family val="1"/>
          </rPr>
          <t xml:space="preserve">Lưu ý: cáp hạ thế 0,6kV
</t>
        </r>
      </text>
    </comment>
    <comment ref="B1393" authorId="0" shapeId="0" xr:uid="{00000000-0006-0000-1500-000002000000}">
      <text>
        <r>
          <rPr>
            <b/>
            <sz val="12"/>
            <color indexed="81"/>
            <rFont val="Times New Roman"/>
            <family val="1"/>
          </rPr>
          <t xml:space="preserve">Lưu ý: cáp hạ thế 0,6kV
</t>
        </r>
      </text>
    </comment>
    <comment ref="B1623" authorId="0" shapeId="0" xr:uid="{00000000-0006-0000-1500-000003000000}">
      <text>
        <r>
          <rPr>
            <b/>
            <sz val="12"/>
            <color indexed="81"/>
            <rFont val="Times New Roman"/>
            <family val="1"/>
          </rPr>
          <t xml:space="preserve">Lưu ý: cáp hạ thế 0,6kV
</t>
        </r>
      </text>
    </comment>
    <comment ref="B1853" authorId="0" shapeId="0" xr:uid="{00000000-0006-0000-1500-000004000000}">
      <text>
        <r>
          <rPr>
            <b/>
            <sz val="12"/>
            <color indexed="81"/>
            <rFont val="Times New Roman"/>
            <family val="1"/>
          </rPr>
          <t xml:space="preserve">Lưu ý: cáp hạ thế 0,6kV
</t>
        </r>
      </text>
    </comment>
    <comment ref="B2079" authorId="0" shapeId="0" xr:uid="{00000000-0006-0000-1500-000005000000}">
      <text>
        <r>
          <rPr>
            <b/>
            <sz val="12"/>
            <color indexed="81"/>
            <rFont val="Times New Roman"/>
            <family val="1"/>
          </rPr>
          <t xml:space="preserve">Lưu ý: cáp hạ thế 0,6kV
</t>
        </r>
      </text>
    </comment>
    <comment ref="B2081" authorId="0" shapeId="0" xr:uid="{00000000-0006-0000-1500-000006000000}">
      <text>
        <r>
          <rPr>
            <b/>
            <sz val="12"/>
            <color indexed="81"/>
            <rFont val="Times New Roman"/>
            <family val="1"/>
          </rPr>
          <t xml:space="preserve">Lưu ý: cáp hạ thế 0,6kV
</t>
        </r>
      </text>
    </comment>
    <comment ref="B2082" authorId="0" shapeId="0" xr:uid="{00000000-0006-0000-1500-000007000000}">
      <text>
        <r>
          <rPr>
            <b/>
            <sz val="12"/>
            <color indexed="81"/>
            <rFont val="Times New Roman"/>
            <family val="1"/>
          </rPr>
          <t xml:space="preserve">Lưu ý: cáp hạ thế 0,6kV
</t>
        </r>
      </text>
    </comment>
    <comment ref="B2311" authorId="0" shapeId="0" xr:uid="{00000000-0006-0000-15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900-000001000000}">
      <text>
        <r>
          <rPr>
            <b/>
            <sz val="9"/>
            <color indexed="81"/>
            <rFont val="Tahoma"/>
            <family val="2"/>
          </rPr>
          <t>Author:</t>
        </r>
        <r>
          <rPr>
            <sz val="9"/>
            <color indexed="81"/>
            <rFont val="Tahoma"/>
            <family val="2"/>
          </rPr>
          <t xml:space="preserve">
2DT
</t>
        </r>
      </text>
    </comment>
    <comment ref="I15" authorId="0" shapeId="0" xr:uid="{00000000-0006-0000-19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<sst xmlns="http://schemas.openxmlformats.org/spreadsheetml/2006/main" count="29548" uniqueCount="6496">
  <si>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</si>
  <si>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</si>
  <si>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</si>
  <si>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</si>
  <si>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</si>
  <si>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</si>
  <si>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</si>
  <si>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</si>
  <si>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</si>
  <si>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</si>
  <si>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</si>
  <si>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</si>
  <si>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</si>
  <si>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</si>
  <si>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</si>
  <si>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</si>
  <si>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</si>
  <si>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</si>
  <si>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</si>
  <si>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</si>
  <si>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</si>
  <si>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</si>
  <si>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</si>
  <si>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</si>
  <si>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</si>
  <si>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</si>
  <si>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</si>
  <si>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</si>
  <si>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</si>
  <si>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</si>
  <si>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</si>
  <si>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</si>
  <si>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</si>
  <si>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</si>
  <si>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</si>
  <si>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</si>
  <si>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</si>
  <si>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</si>
  <si>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</si>
  <si>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</si>
  <si>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</si>
  <si>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</si>
  <si>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</si>
  <si>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</si>
  <si>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</si>
  <si>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</si>
  <si>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</si>
  <si>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</si>
  <si>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</si>
  <si>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</si>
  <si>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</si>
  <si>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</si>
  <si>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</si>
  <si>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</si>
  <si>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</si>
  <si>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</si>
  <si>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</si>
  <si>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</si>
  <si>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</si>
  <si>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</si>
  <si>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</si>
  <si>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</si>
  <si>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</si>
  <si>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</si>
  <si>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</si>
  <si>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</si>
  <si>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</si>
  <si>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</si>
  <si>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</si>
  <si>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</si>
  <si>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</si>
  <si>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</si>
  <si>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</si>
  <si>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</si>
  <si>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</si>
  <si>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</si>
  <si>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</si>
  <si>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</si>
  <si>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</si>
  <si>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</si>
  <si>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</si>
  <si>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</si>
  <si>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</si>
  <si>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</si>
  <si>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</si>
  <si>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</si>
  <si>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</si>
  <si>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</si>
  <si>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</si>
  <si>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</si>
  <si>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</si>
  <si>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</si>
  <si>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</si>
  <si>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</si>
  <si>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</si>
  <si>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</si>
  <si>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</si>
  <si>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</si>
  <si>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</si>
  <si>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</si>
  <si>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</si>
  <si>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</si>
  <si>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</si>
  <si>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</si>
  <si>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</si>
  <si>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</si>
  <si>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</si>
  <si>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</si>
  <si>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</si>
  <si>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</si>
  <si>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</si>
  <si>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</si>
  <si>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</si>
  <si>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</si>
  <si>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</si>
  <si>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</si>
  <si>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</si>
  <si>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</si>
  <si>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</si>
  <si>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</si>
  <si>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</si>
  <si>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</si>
  <si>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</si>
  <si>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</si>
  <si>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</si>
  <si>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</si>
  <si>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</si>
  <si>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</si>
  <si>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</si>
  <si>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</si>
  <si>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</si>
  <si>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</si>
  <si>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</si>
  <si>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</si>
  <si>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</si>
  <si>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</si>
  <si>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</si>
  <si>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</si>
  <si>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</si>
  <si>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</si>
  <si>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</si>
  <si>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</si>
  <si>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</si>
  <si>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</si>
  <si>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</si>
  <si>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</si>
  <si>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</si>
  <si>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</si>
  <si>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</si>
  <si>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</si>
  <si>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</si>
  <si>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</si>
  <si>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</si>
  <si>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</si>
  <si>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</si>
  <si>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</si>
  <si>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</si>
  <si>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</si>
  <si>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</si>
  <si>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</si>
  <si>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</si>
  <si>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</si>
  <si>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</si>
  <si>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</si>
  <si>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</si>
  <si>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</si>
  <si>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</si>
  <si>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</si>
  <si>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</si>
  <si>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</si>
  <si>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</si>
  <si>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</si>
  <si>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</si>
  <si>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</si>
  <si>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</si>
  <si>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</si>
  <si>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</si>
  <si>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</si>
  <si>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</si>
  <si>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</si>
  <si>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</si>
  <si>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</si>
  <si>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</si>
  <si>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</si>
  <si>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</si>
  <si>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</si>
  <si>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</si>
  <si>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</si>
  <si>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</si>
  <si>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</si>
  <si>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</si>
  <si>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</si>
  <si>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</si>
  <si>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</si>
  <si>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</si>
  <si>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</si>
  <si>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</si>
  <si>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</si>
  <si>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</si>
  <si>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</si>
  <si>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</si>
  <si>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</si>
  <si>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</si>
  <si>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</si>
  <si>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</si>
  <si>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</si>
  <si>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</si>
  <si>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</si>
  <si>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</si>
  <si>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</si>
  <si>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</si>
  <si>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</si>
  <si>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</si>
  <si>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</si>
  <si>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</si>
  <si>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</si>
  <si>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</si>
  <si>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</si>
  <si>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</si>
  <si>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</si>
  <si>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</si>
  <si>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</si>
  <si>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</si>
  <si>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</si>
  <si>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</si>
  <si>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</si>
  <si>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</si>
  <si>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</si>
  <si>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</si>
  <si>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</si>
  <si>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</si>
  <si>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</si>
  <si>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</si>
  <si>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</si>
  <si>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</si>
  <si>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</si>
  <si>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</si>
  <si>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</si>
  <si>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</si>
  <si>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</si>
  <si>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</si>
  <si>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</si>
  <si>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</si>
  <si>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</si>
  <si>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</si>
  <si>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</si>
  <si>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</si>
  <si>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</si>
  <si>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</si>
  <si>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</si>
  <si>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</si>
  <si>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</si>
  <si>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</si>
  <si>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</si>
  <si>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</si>
  <si>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</si>
  <si>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</si>
  <si>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</si>
  <si>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</si>
  <si>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</si>
  <si>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</si>
  <si>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</si>
  <si>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</si>
  <si>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</si>
  <si>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</si>
  <si>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</si>
  <si>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</si>
  <si>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</si>
  <si>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</si>
  <si>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</si>
  <si>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</si>
  <si>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</si>
  <si>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</si>
  <si>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</si>
  <si>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</si>
  <si>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</si>
  <si>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</si>
  <si>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</si>
  <si>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</si>
  <si>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</si>
  <si>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</si>
  <si>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</si>
  <si>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</si>
  <si>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</si>
  <si>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</si>
  <si>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</si>
  <si>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</si>
  <si>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</si>
  <si>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</si>
  <si>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</si>
  <si>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</si>
  <si>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</si>
  <si>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</si>
  <si>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</si>
  <si>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</si>
  <si>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</si>
  <si>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</si>
  <si>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</si>
  <si>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</si>
  <si>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</si>
  <si>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</si>
  <si>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</si>
  <si>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</si>
  <si>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</si>
  <si>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</si>
  <si>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</si>
  <si>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</si>
  <si>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</si>
  <si>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</si>
  <si>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</si>
  <si>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</si>
  <si>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</si>
  <si>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</si>
  <si>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</si>
  <si>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</si>
  <si>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</si>
  <si>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</si>
  <si>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</si>
  <si>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</si>
  <si>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</si>
  <si>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</si>
  <si>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</si>
  <si>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</si>
  <si>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</si>
  <si>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</si>
  <si>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</si>
  <si>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</si>
  <si>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</si>
  <si>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</si>
  <si>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</si>
  <si>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</si>
  <si>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</si>
  <si>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</si>
  <si>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</si>
  <si>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</si>
  <si>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</si>
  <si>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</si>
  <si>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</si>
  <si>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</si>
  <si>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</si>
  <si>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</si>
  <si>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</si>
  <si>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</si>
  <si>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</si>
  <si>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</si>
  <si>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</si>
  <si>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</si>
  <si>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</si>
  <si>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</si>
  <si>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</si>
  <si>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</si>
  <si>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</si>
  <si>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</si>
  <si>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</si>
  <si>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</si>
  <si>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</si>
  <si>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</si>
  <si>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</si>
  <si>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</si>
  <si>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</si>
  <si>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</si>
  <si>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</si>
  <si>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</si>
  <si>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</si>
  <si>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</si>
  <si>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</si>
  <si>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</si>
  <si>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</si>
  <si>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</si>
  <si>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</si>
  <si>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</si>
  <si>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</si>
  <si>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</si>
  <si>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</si>
  <si>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</si>
  <si>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</si>
  <si>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</si>
  <si>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</si>
  <si>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</si>
  <si>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</si>
  <si>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</si>
  <si>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</si>
  <si>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</si>
  <si>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</si>
  <si>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</si>
  <si>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</si>
  <si>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</si>
  <si>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</si>
  <si>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</si>
  <si>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</si>
  <si>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</si>
  <si>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</si>
  <si>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</si>
  <si>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</si>
  <si>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</si>
  <si>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</si>
  <si>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</si>
  <si>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</si>
  <si>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</si>
  <si>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</si>
  <si>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</si>
  <si>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</si>
  <si>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</si>
  <si>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</si>
  <si>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</si>
  <si>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</si>
  <si>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</si>
  <si>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</si>
  <si>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</si>
  <si>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</si>
  <si>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</si>
  <si>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</si>
  <si>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</si>
  <si>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</si>
  <si>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</si>
  <si>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</si>
  <si>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</si>
  <si>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</si>
  <si>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</si>
  <si>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</si>
  <si>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</si>
  <si>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</si>
  <si>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</si>
  <si>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</si>
  <si>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</si>
  <si>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</si>
  <si>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</si>
  <si>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</si>
  <si>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</si>
  <si>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</si>
  <si>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</si>
  <si>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</si>
  <si>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</si>
  <si>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</si>
  <si>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</si>
  <si>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</si>
  <si>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</si>
  <si>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</si>
  <si>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</si>
  <si>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</si>
  <si>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</si>
  <si>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</si>
  <si>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</si>
  <si>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</si>
  <si>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</si>
  <si>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</si>
  <si>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</si>
  <si>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</si>
  <si>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</si>
  <si>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</si>
  <si>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</si>
  <si>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</si>
  <si>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</si>
  <si>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</si>
  <si>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</si>
  <si>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</si>
  <si>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</si>
  <si>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</si>
  <si>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</si>
  <si>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</si>
  <si>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</si>
  <si>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</si>
  <si>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</si>
  <si>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</si>
  <si>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</si>
  <si>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</si>
  <si>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</si>
  <si>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</si>
  <si>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</si>
  <si>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</si>
  <si>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</si>
  <si>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</si>
  <si>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</si>
  <si>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</si>
  <si>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</si>
  <si>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</si>
  <si>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</si>
  <si>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</si>
  <si>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</si>
  <si>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</si>
  <si>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</si>
  <si>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</si>
  <si>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</si>
  <si>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</si>
  <si>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</si>
  <si>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</si>
  <si>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</si>
  <si>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</si>
  <si>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</si>
  <si>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</si>
  <si>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</si>
  <si>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</si>
  <si>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</si>
  <si>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</si>
  <si>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</si>
  <si>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</si>
  <si>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</si>
  <si>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</si>
  <si>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</si>
  <si>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</si>
  <si>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</si>
  <si>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</si>
  <si>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</si>
  <si>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</si>
  <si>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</si>
  <si>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</si>
  <si>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</si>
  <si>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</si>
  <si>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</si>
  <si>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</si>
  <si>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</si>
  <si>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</si>
  <si>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</si>
  <si>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</si>
  <si>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</si>
  <si>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</si>
  <si>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</si>
  <si>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</si>
  <si>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</si>
  <si>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</si>
  <si>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</si>
  <si>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</si>
  <si>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</si>
  <si>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</si>
  <si>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</si>
  <si>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</si>
  <si>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</si>
  <si>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</si>
  <si>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</si>
  <si>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</si>
  <si>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</si>
  <si>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</si>
  <si>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</si>
  <si>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</si>
  <si>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</si>
  <si>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</si>
  <si>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</si>
  <si>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</si>
  <si>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</si>
  <si>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</si>
  <si>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</si>
  <si>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</si>
  <si>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</si>
  <si>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</si>
  <si>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</si>
  <si>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</si>
  <si>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</si>
  <si>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</si>
  <si>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</si>
  <si>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</si>
  <si>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</si>
  <si>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</si>
  <si>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</si>
  <si>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</si>
  <si>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</si>
  <si>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</si>
  <si>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</si>
  <si>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</si>
  <si>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</si>
  <si>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</si>
  <si>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</si>
  <si>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</si>
  <si>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</si>
  <si>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</si>
  <si>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</si>
  <si>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</si>
  <si>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</si>
  <si>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</si>
  <si>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</si>
  <si>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</si>
  <si>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</si>
  <si>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</si>
  <si>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</si>
  <si>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</si>
  <si>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</si>
  <si>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</si>
  <si>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</si>
  <si>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</si>
  <si>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</si>
  <si>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</si>
  <si>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</si>
  <si>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</si>
  <si>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</si>
  <si>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</si>
  <si>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</si>
  <si>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</si>
  <si>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</si>
  <si>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</si>
  <si>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</si>
  <si>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</si>
  <si>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</si>
  <si>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</si>
  <si>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</si>
  <si>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</si>
  <si>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</si>
  <si>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</si>
  <si>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</si>
  <si>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</si>
  <si>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</si>
  <si>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</si>
  <si>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</si>
  <si>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</si>
  <si>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</si>
  <si>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</si>
  <si>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</si>
  <si>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</si>
  <si>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</si>
  <si>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</si>
  <si>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</si>
  <si>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</si>
  <si>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</si>
  <si>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</si>
  <si>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</si>
  <si>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</si>
  <si>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</si>
  <si>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</si>
  <si>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</si>
  <si>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</si>
  <si>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</si>
  <si>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</si>
  <si>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</si>
  <si>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</si>
  <si>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</si>
  <si>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</si>
  <si>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</si>
  <si>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</si>
  <si>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</si>
  <si>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</si>
  <si>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</si>
  <si>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</si>
  <si>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</si>
  <si>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</si>
  <si>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</si>
  <si>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</si>
  <si>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</si>
  <si>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</si>
  <si>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</si>
  <si>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</si>
  <si>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</si>
  <si>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</si>
  <si>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</si>
  <si>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</si>
  <si>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</si>
  <si>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</si>
  <si>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</si>
  <si>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</si>
  <si>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</si>
  <si>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</si>
  <si>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</si>
  <si>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</si>
  <si>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</si>
  <si>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</si>
  <si>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</si>
  <si>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</si>
  <si>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</si>
  <si>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</si>
  <si>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</si>
  <si>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</si>
  <si>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</si>
  <si>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</si>
  <si>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</si>
  <si>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</si>
  <si>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</si>
  <si>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</si>
  <si>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</si>
  <si>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</si>
  <si>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</si>
  <si>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</si>
  <si>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</si>
  <si>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</si>
  <si>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</si>
  <si>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</si>
  <si>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</si>
  <si>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</si>
  <si>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</si>
  <si>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</si>
  <si>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</si>
  <si>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</si>
  <si>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</si>
  <si>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</si>
  <si>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</si>
  <si>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</si>
  <si>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</si>
  <si>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</si>
  <si>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</si>
  <si>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</si>
  <si>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</si>
  <si>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</si>
  <si>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</si>
  <si>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</si>
  <si>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</si>
  <si>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</si>
  <si>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</si>
  <si>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</si>
  <si>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</si>
  <si>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</si>
  <si>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</si>
  <si>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</si>
  <si>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</si>
  <si>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</si>
  <si>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</si>
  <si>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</si>
  <si>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</si>
  <si>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</si>
  <si>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</si>
  <si>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</si>
  <si>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</si>
  <si>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</si>
  <si>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</si>
  <si>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</si>
  <si>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</si>
  <si>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</si>
  <si>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</si>
  <si>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</si>
  <si>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</si>
  <si>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</si>
  <si>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</si>
  <si>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</si>
  <si>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</si>
  <si>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</si>
  <si>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</si>
  <si>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</si>
  <si>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</si>
  <si>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</si>
  <si>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</si>
  <si>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</si>
  <si>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</si>
  <si>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</si>
  <si>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</si>
  <si>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</si>
  <si>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</si>
  <si>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</si>
  <si>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</si>
  <si>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</si>
  <si>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</si>
  <si>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</si>
  <si>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</si>
  <si>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</si>
  <si>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</si>
  <si>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</si>
  <si>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</si>
  <si>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</si>
  <si>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</si>
  <si>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</si>
  <si>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</si>
  <si>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</si>
  <si>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</si>
  <si>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</si>
  <si>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</si>
  <si>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</si>
  <si>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</si>
  <si>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</si>
  <si>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</si>
  <si>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</si>
  <si>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</si>
  <si>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</si>
  <si>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</si>
  <si>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</si>
  <si>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</si>
  <si>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</si>
  <si>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</si>
  <si>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</si>
  <si>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</si>
  <si>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</si>
  <si>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</si>
  <si>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</si>
  <si>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</si>
  <si>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</si>
  <si>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</si>
  <si>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</si>
  <si>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</si>
  <si>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</si>
  <si>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</si>
  <si>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</si>
  <si>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</si>
  <si>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</si>
  <si>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</si>
  <si>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</si>
  <si>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</si>
  <si>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</si>
  <si>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</si>
  <si>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</si>
  <si>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</si>
  <si>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</si>
  <si>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</si>
  <si>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</si>
  <si>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</si>
  <si>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</si>
  <si>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</si>
  <si>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</si>
  <si>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</si>
  <si>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</si>
  <si>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</si>
  <si>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</si>
  <si>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</si>
  <si>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</si>
  <si>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</si>
  <si>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</si>
  <si>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</si>
  <si>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</si>
  <si>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</si>
  <si>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</si>
  <si>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</si>
  <si>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</si>
  <si>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</si>
  <si>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</si>
  <si>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</si>
  <si>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</si>
  <si>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</si>
  <si>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</si>
  <si>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</si>
  <si>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</si>
  <si>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</si>
  <si>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</si>
  <si>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</si>
  <si>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</si>
  <si>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</si>
  <si>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</si>
  <si>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</si>
  <si>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</si>
  <si>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</si>
  <si>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</si>
  <si>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</si>
  <si>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</si>
  <si>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</si>
  <si>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</si>
  <si>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</si>
  <si>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</si>
  <si>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</si>
  <si>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</si>
  <si>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</si>
  <si>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</si>
  <si>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</si>
  <si>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</si>
  <si>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</si>
  <si>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</si>
  <si>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</si>
  <si>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</si>
  <si>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</si>
  <si>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</si>
  <si>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</si>
  <si>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</si>
  <si>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</si>
  <si>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</si>
  <si>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</si>
  <si>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</si>
  <si>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</si>
  <si>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</si>
  <si>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</si>
  <si>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</si>
  <si>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</si>
  <si>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</si>
  <si>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</si>
  <si>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</si>
  <si>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</si>
  <si>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</si>
  <si>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</si>
  <si>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</si>
  <si>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</si>
  <si>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</si>
  <si>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</si>
  <si>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</si>
  <si>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</si>
  <si>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</si>
  <si>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</si>
  <si>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</si>
  <si>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</si>
  <si>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</si>
  <si>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</si>
  <si>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</si>
  <si>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</si>
  <si>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</si>
  <si>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</si>
  <si>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</si>
  <si>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</si>
  <si>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</si>
  <si>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</si>
  <si>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</si>
  <si>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</si>
  <si>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</si>
  <si>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</si>
  <si>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</si>
  <si>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</si>
  <si>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</si>
  <si>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</si>
  <si>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</si>
  <si>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</si>
  <si>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</si>
  <si>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</si>
  <si>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</si>
  <si>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</si>
  <si>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</si>
  <si>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</si>
  <si>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</si>
  <si>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</si>
  <si>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</si>
  <si>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</si>
  <si>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</si>
  <si>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</si>
  <si>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</si>
  <si>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</si>
  <si>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</si>
  <si>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</si>
  <si>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</si>
  <si>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</si>
  <si>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</si>
  <si>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</si>
  <si>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</si>
  <si>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</si>
  <si>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</si>
  <si>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</si>
  <si>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</si>
  <si>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</si>
  <si>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</si>
  <si>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</si>
  <si>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</si>
  <si>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</si>
  <si>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</si>
  <si>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</si>
  <si>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</si>
  <si>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</si>
  <si>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</si>
  <si>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</si>
  <si>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</si>
  <si>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</si>
  <si>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</si>
  <si>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</si>
  <si>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</si>
  <si>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</si>
  <si>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</si>
  <si>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</si>
  <si>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</si>
  <si>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</si>
  <si>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</si>
  <si>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</si>
  <si>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</si>
  <si>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</si>
  <si>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</si>
  <si>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</si>
  <si>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</si>
  <si>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</si>
  <si>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</si>
  <si>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</si>
  <si>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</si>
  <si>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</si>
  <si>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</si>
  <si>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</si>
  <si>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</si>
  <si>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</si>
  <si>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</si>
  <si>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</si>
  <si>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</si>
  <si>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</si>
  <si>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</si>
  <si>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</si>
  <si>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</si>
  <si>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</si>
  <si>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</si>
  <si>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</si>
  <si>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</si>
  <si>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</si>
  <si>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</si>
  <si>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</si>
  <si>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</si>
  <si>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</si>
  <si>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</si>
  <si>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</si>
  <si>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</si>
  <si>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</si>
  <si>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</si>
  <si>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</si>
  <si>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</si>
  <si>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</si>
  <si>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</si>
  <si>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</si>
  <si>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</si>
  <si>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</si>
  <si>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</si>
  <si>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</si>
  <si>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</si>
  <si>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</si>
  <si>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</si>
  <si>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</si>
  <si>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</si>
  <si>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</si>
  <si>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</si>
  <si>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</si>
  <si>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</si>
  <si>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</si>
  <si>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</si>
  <si>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</si>
  <si>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</si>
  <si>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</si>
  <si>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</si>
  <si>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</si>
  <si>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</si>
  <si>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</si>
  <si>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</si>
  <si>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</si>
  <si>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</si>
  <si>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</si>
  <si>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</si>
  <si>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</si>
  <si>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</si>
  <si>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</si>
  <si>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</si>
  <si>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</si>
  <si>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</si>
  <si>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</si>
  <si>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</si>
  <si>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</si>
  <si>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</si>
  <si>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</si>
  <si>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</si>
  <si>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</si>
  <si>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</si>
  <si>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</si>
  <si>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</si>
  <si>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</si>
  <si>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</si>
  <si>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</si>
  <si>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</si>
  <si>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</si>
  <si>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</si>
  <si>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</si>
  <si>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</si>
  <si>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</si>
  <si>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</si>
  <si>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</si>
  <si>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</si>
  <si>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</si>
  <si>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</si>
  <si>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</si>
  <si>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</si>
  <si>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</si>
  <si>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</si>
  <si>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</si>
  <si>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</si>
  <si>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</si>
  <si>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</si>
  <si>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</si>
  <si>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</si>
  <si>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</si>
  <si>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</si>
  <si>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</si>
  <si>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</si>
  <si>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</si>
  <si>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</si>
  <si>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</si>
  <si>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</si>
  <si>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</si>
  <si>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</si>
  <si>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</si>
  <si>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</si>
  <si>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</si>
  <si>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</si>
  <si>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</si>
  <si>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</si>
  <si>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</si>
  <si>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</si>
  <si>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</si>
  <si>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</si>
  <si>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</si>
  <si>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</si>
  <si>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</si>
  <si>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</si>
  <si>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</si>
  <si>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</si>
  <si>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</si>
  <si>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</si>
  <si>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</si>
  <si>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</si>
  <si>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</si>
  <si>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</si>
  <si>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</si>
  <si>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</si>
  <si>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</si>
  <si>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</si>
  <si>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</si>
  <si>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</si>
  <si>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</si>
  <si>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</si>
  <si>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</si>
  <si>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</si>
  <si>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</si>
  <si>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</si>
  <si>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</si>
  <si>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</si>
  <si>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</si>
  <si>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</si>
  <si>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</si>
  <si>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</si>
  <si>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</si>
  <si>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</si>
  <si>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</si>
  <si>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</si>
  <si>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</si>
  <si>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</si>
  <si>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</si>
  <si>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</si>
  <si>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</si>
  <si>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</si>
  <si>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</si>
  <si>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</si>
  <si>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</si>
  <si>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</si>
  <si>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</si>
  <si>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</si>
  <si>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</si>
  <si>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</si>
  <si>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</si>
  <si>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</si>
  <si>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</si>
  <si>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</si>
  <si>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</si>
  <si>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</si>
  <si>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</si>
  <si>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</si>
  <si>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</si>
  <si>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</si>
  <si>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</si>
  <si>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</si>
  <si>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</si>
  <si>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</si>
  <si>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</si>
  <si>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</si>
  <si>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</si>
  <si>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</si>
  <si>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</si>
  <si>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</si>
  <si>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</si>
  <si>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</si>
  <si>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</si>
  <si>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</si>
  <si>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</si>
  <si>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</si>
  <si>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</si>
  <si>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</si>
  <si>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</si>
  <si>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</si>
  <si>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</si>
  <si>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</si>
  <si>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</si>
  <si>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</si>
  <si>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</si>
  <si>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</si>
  <si>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</si>
  <si>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</si>
  <si>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</si>
  <si>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</si>
  <si>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</si>
  <si>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</si>
  <si>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</si>
  <si>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</si>
  <si>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</si>
  <si>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</si>
  <si>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</si>
  <si>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</si>
  <si>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</si>
  <si>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</si>
  <si>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</si>
  <si>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</si>
  <si>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</si>
  <si>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</si>
  <si>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</si>
  <si>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</si>
  <si>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</si>
  <si>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</si>
  <si>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</si>
  <si>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</si>
  <si>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</si>
  <si>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</si>
  <si>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</si>
  <si>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</si>
  <si>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</si>
  <si>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</si>
  <si>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</si>
  <si>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</si>
  <si>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</si>
  <si>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</si>
  <si>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</si>
  <si>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</si>
  <si>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</si>
  <si>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</si>
  <si>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</si>
  <si>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</si>
  <si>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</si>
  <si>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</si>
  <si>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</si>
  <si>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</si>
  <si>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</si>
  <si>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</si>
  <si>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</si>
  <si>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</si>
  <si>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</si>
  <si>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</si>
  <si>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</si>
  <si>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</si>
  <si>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</si>
  <si>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</si>
  <si>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</si>
  <si>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</si>
  <si>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</si>
  <si>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</si>
  <si>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</si>
  <si>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</si>
  <si>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</si>
  <si>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</si>
  <si>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</si>
  <si>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</si>
  <si>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</si>
  <si>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</si>
  <si>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</si>
  <si>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</si>
  <si>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</si>
  <si>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</si>
  <si>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</si>
  <si>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</si>
  <si>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</si>
  <si>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</si>
  <si>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</si>
  <si>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</si>
  <si>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</si>
  <si>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</si>
  <si>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</si>
  <si>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</si>
  <si>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</si>
  <si>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</si>
  <si>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</si>
  <si>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</si>
  <si>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</si>
  <si>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</si>
  <si>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</si>
  <si>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</si>
  <si>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</si>
  <si>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</si>
  <si>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</si>
  <si>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</si>
  <si>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</si>
  <si>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</si>
  <si>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</si>
  <si>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</si>
  <si>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</si>
  <si>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</si>
  <si>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</si>
  <si>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</si>
  <si>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</si>
  <si>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</si>
  <si>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</si>
  <si>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</si>
  <si>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</si>
  <si>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</si>
  <si>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</si>
  <si>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</si>
  <si>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</si>
  <si>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</si>
  <si>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</si>
  <si>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</si>
  <si>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</si>
  <si>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</si>
  <si>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</si>
  <si>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</si>
  <si>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</si>
  <si>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</si>
  <si>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</si>
  <si>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</si>
  <si>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</si>
  <si>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</si>
  <si>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</si>
  <si>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</si>
  <si>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</si>
  <si>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</si>
  <si>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</si>
  <si>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</si>
  <si>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</si>
  <si>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</si>
  <si>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</si>
  <si>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</si>
  <si>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</si>
  <si>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</si>
  <si>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</si>
  <si>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</si>
  <si>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</si>
  <si>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</si>
  <si>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</si>
  <si>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</si>
  <si>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</si>
  <si>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</si>
  <si>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</si>
  <si>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</si>
  <si>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</si>
  <si>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</si>
  <si>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</si>
  <si>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</si>
  <si>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</si>
  <si>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</si>
  <si>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</si>
  <si>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</si>
  <si>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</si>
  <si>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</si>
  <si>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</si>
  <si>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</si>
  <si>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</si>
  <si>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</si>
  <si>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</si>
  <si>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</si>
  <si>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</si>
  <si>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</si>
  <si>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</si>
  <si>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</si>
  <si>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</si>
  <si>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</si>
  <si>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</si>
  <si>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</si>
  <si>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</si>
  <si>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</si>
  <si>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</si>
  <si>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</si>
  <si>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</si>
  <si>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</si>
  <si>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</si>
  <si>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</si>
  <si>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</si>
  <si>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</si>
  <si>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</si>
  <si>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</si>
  <si>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</si>
  <si>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</si>
  <si>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</si>
  <si>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</si>
  <si>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</si>
  <si>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</si>
  <si>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</si>
  <si>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</si>
  <si>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</si>
  <si>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</si>
  <si>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</si>
  <si>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</si>
  <si>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</si>
  <si>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</si>
  <si>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</si>
  <si>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</si>
  <si>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</si>
  <si>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</si>
  <si>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</si>
  <si>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</si>
  <si>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</si>
  <si>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</si>
  <si>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</si>
  <si>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</si>
  <si>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</si>
  <si>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</si>
  <si>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</si>
  <si>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</si>
  <si>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</si>
  <si>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</si>
  <si>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</si>
  <si>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</si>
  <si>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</si>
  <si>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</si>
  <si>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</si>
  <si>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</si>
  <si>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</si>
  <si>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</si>
  <si>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</si>
  <si>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</si>
  <si>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</si>
  <si>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</si>
  <si>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</si>
  <si>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</si>
  <si>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</si>
  <si>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</si>
  <si>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</si>
  <si>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</si>
  <si>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</si>
  <si>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</si>
  <si>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</si>
  <si>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</si>
  <si>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</si>
  <si>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</si>
  <si>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</si>
  <si>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</si>
  <si>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</si>
  <si>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</si>
  <si>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</si>
  <si>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</si>
  <si>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</si>
  <si>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</si>
  <si>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</si>
  <si>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</si>
  <si>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</si>
  <si>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</si>
  <si>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</si>
  <si>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</si>
  <si>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</si>
  <si>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</si>
  <si>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</si>
  <si>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</si>
  <si>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</si>
  <si>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</si>
  <si>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</si>
  <si>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</si>
  <si>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</si>
  <si>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</si>
  <si>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</si>
  <si>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</si>
  <si>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</si>
  <si>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</si>
  <si>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</si>
  <si>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</si>
  <si>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</si>
  <si>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</si>
  <si>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</si>
  <si>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</si>
  <si>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</si>
  <si>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</si>
  <si>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</si>
  <si>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</si>
  <si>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</si>
  <si>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</si>
  <si>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</si>
  <si>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</si>
  <si>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</si>
  <si>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</si>
  <si>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</si>
  <si>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</si>
  <si>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</si>
  <si>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</si>
  <si>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</si>
  <si>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</si>
  <si>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</si>
  <si>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</si>
  <si>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</si>
  <si>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</si>
  <si>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</si>
  <si>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</si>
  <si>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</si>
  <si>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</si>
  <si>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</si>
  <si>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</si>
  <si>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</si>
  <si>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</si>
  <si>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</si>
  <si>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</si>
  <si>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</si>
  <si>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</si>
  <si>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</si>
  <si>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</si>
  <si>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</si>
  <si>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</si>
  <si>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</si>
  <si>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</si>
  <si>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</si>
  <si>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</si>
  <si>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</si>
  <si>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</si>
  <si>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</si>
  <si>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</si>
  <si>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</si>
  <si>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</si>
  <si>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</si>
  <si>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</si>
  <si>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</si>
  <si>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</si>
  <si>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</si>
  <si>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</si>
  <si>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</si>
  <si>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</si>
  <si>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</si>
  <si>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</si>
  <si>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</si>
  <si>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</si>
  <si>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</si>
  <si>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</si>
  <si>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</si>
  <si>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</si>
  <si>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</si>
  <si>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</si>
  <si>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</si>
  <si>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</si>
  <si>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</si>
  <si>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</si>
  <si>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</si>
  <si>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</si>
  <si>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</si>
  <si>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</si>
  <si>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</si>
  <si>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</si>
  <si>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</si>
  <si>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</si>
  <si>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</si>
  <si>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</si>
  <si>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</si>
  <si>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</si>
  <si>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</si>
  <si>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</si>
  <si>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</si>
  <si>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</si>
  <si>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</si>
  <si>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</si>
  <si>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</si>
  <si>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</si>
  <si>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</si>
  <si>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</si>
  <si>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</si>
  <si>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</si>
  <si>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</si>
  <si>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</si>
  <si>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</si>
  <si>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</si>
  <si>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</si>
  <si>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</si>
  <si>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</si>
  <si>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</si>
  <si>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</si>
  <si>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</si>
  <si>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</si>
  <si>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</si>
  <si>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</si>
  <si>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</si>
  <si>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</si>
  <si>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</si>
  <si>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</si>
  <si>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</si>
  <si>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</si>
  <si>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</si>
  <si>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</si>
  <si>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</si>
  <si>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</si>
  <si>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</si>
  <si>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</si>
  <si>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</si>
  <si>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</si>
  <si>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</si>
  <si>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</si>
  <si>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</si>
  <si>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</si>
  <si>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</si>
  <si>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</si>
  <si>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</si>
  <si>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</si>
  <si>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</si>
  <si>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</si>
  <si>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</si>
  <si>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</si>
  <si>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</si>
  <si>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</si>
  <si>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</si>
  <si>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</si>
  <si>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</si>
  <si>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</si>
  <si>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</si>
  <si>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</si>
  <si>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</si>
  <si>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</si>
  <si>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</si>
  <si>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</si>
  <si>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</si>
  <si>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</si>
  <si>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</si>
  <si>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</si>
  <si>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</si>
  <si>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</si>
  <si>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</si>
  <si>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</si>
  <si>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</si>
  <si>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</si>
  <si>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</si>
  <si>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</si>
  <si>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</si>
  <si>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</si>
  <si>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</si>
  <si>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</si>
  <si>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</si>
  <si>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</si>
  <si>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</si>
  <si>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</si>
  <si>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</si>
  <si>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</si>
  <si>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</si>
  <si>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</si>
  <si>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</si>
  <si>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</si>
  <si>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</si>
  <si>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</si>
  <si>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</si>
  <si>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</si>
  <si>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</si>
  <si>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</si>
  <si>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</si>
  <si>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</si>
  <si>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</si>
  <si>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</si>
  <si>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</si>
  <si>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</si>
  <si>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</si>
  <si>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</si>
  <si>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</si>
  <si>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</si>
  <si>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</si>
  <si>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</si>
  <si>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</si>
  <si>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</si>
  <si>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</si>
  <si>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</si>
  <si>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</si>
  <si>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</si>
  <si>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</si>
  <si>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</si>
  <si>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</si>
  <si>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</si>
  <si>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</si>
  <si>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</si>
  <si>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</si>
  <si>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</si>
  <si>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</si>
  <si>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</si>
  <si>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</si>
  <si>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</si>
  <si>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</si>
  <si>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</si>
  <si>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</si>
  <si>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</si>
  <si>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</si>
  <si>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</si>
  <si>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</si>
  <si>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</si>
  <si>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</si>
  <si>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</si>
  <si>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</si>
  <si>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</si>
  <si>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</si>
  <si>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</si>
  <si>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</si>
  <si>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</si>
  <si>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</si>
  <si>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</si>
  <si>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</si>
  <si>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</si>
  <si>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</si>
  <si>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</si>
  <si>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</si>
  <si>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</si>
  <si>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</si>
  <si>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</si>
  <si>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</si>
  <si>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</si>
  <si>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</si>
  <si>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</si>
  <si>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</si>
  <si>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</si>
  <si>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</si>
  <si>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</si>
  <si>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</si>
  <si>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</si>
  <si>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</si>
  <si>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</si>
  <si>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</si>
  <si>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</si>
  <si>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</si>
  <si>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</si>
  <si>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</si>
  <si>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</si>
  <si>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</si>
  <si>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</si>
  <si>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</si>
  <si>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</si>
  <si>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</si>
  <si>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</si>
  <si>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</si>
  <si>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</si>
  <si>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</si>
  <si>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</si>
  <si>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</si>
  <si>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</si>
  <si>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</si>
  <si>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</si>
  <si>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</si>
  <si>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</si>
  <si>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</si>
  <si>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</si>
  <si>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</si>
  <si>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</si>
  <si>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</si>
  <si>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</si>
  <si>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</si>
  <si>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</si>
  <si>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</si>
  <si>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</si>
  <si>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</si>
  <si>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</si>
  <si>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</si>
  <si>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</si>
  <si>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</si>
  <si>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</si>
  <si>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</si>
  <si>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</si>
  <si>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</si>
  <si>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</si>
  <si>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</si>
  <si>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</si>
  <si>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</si>
  <si>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</si>
  <si>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</si>
  <si>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</si>
  <si>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</si>
  <si>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</si>
  <si>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</si>
  <si>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</si>
  <si>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</si>
  <si>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</si>
  <si>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</si>
  <si>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</si>
  <si>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</si>
  <si>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</si>
  <si>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</si>
  <si>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</si>
  <si>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</si>
  <si>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</si>
  <si>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</si>
  <si>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</si>
  <si>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</si>
  <si>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</si>
  <si>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</si>
  <si>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</si>
  <si>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</si>
  <si>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</si>
  <si>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</si>
  <si>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</si>
  <si>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</si>
  <si>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</si>
  <si>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</si>
  <si>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</si>
  <si>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</si>
  <si>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</si>
  <si>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</si>
  <si>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</si>
  <si>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</si>
  <si>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</si>
  <si>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</si>
  <si>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</si>
  <si>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</si>
  <si>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</si>
  <si>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</si>
  <si>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</si>
  <si>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</si>
  <si>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</si>
  <si>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</si>
  <si>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</si>
  <si>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</si>
  <si>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</si>
  <si>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</si>
  <si>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</si>
  <si>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</si>
  <si>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</si>
  <si>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</si>
  <si>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</si>
  <si>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</si>
  <si>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</si>
  <si>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</si>
  <si>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</si>
  <si>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</si>
  <si>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</si>
  <si>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</si>
  <si>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</si>
  <si>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</si>
  <si>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</si>
  <si>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</si>
  <si>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</si>
  <si>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</si>
  <si>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</si>
  <si>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</si>
  <si>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</si>
  <si>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</si>
  <si>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</si>
  <si>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</si>
  <si>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</si>
  <si>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</si>
  <si>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</si>
  <si>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</si>
  <si>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</si>
  <si>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</si>
  <si>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</si>
  <si>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</si>
  <si>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</si>
  <si>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</si>
  <si>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</si>
  <si>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</si>
  <si>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</si>
  <si>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</si>
  <si>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</si>
  <si>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</si>
  <si>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</si>
  <si>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</si>
  <si>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</si>
  <si>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</si>
  <si>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</si>
  <si>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</si>
  <si>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</si>
  <si>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</si>
  <si>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</si>
  <si>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</si>
  <si>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</si>
  <si>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</si>
  <si>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</si>
  <si>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</si>
  <si>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</si>
  <si>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</si>
  <si>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</si>
  <si>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</si>
  <si>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</si>
  <si>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</si>
  <si>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</si>
  <si>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</si>
  <si>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</si>
  <si>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</si>
  <si>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</si>
  <si>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</si>
  <si>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</si>
  <si>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</si>
  <si>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</si>
  <si>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</si>
  <si>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</si>
  <si>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</si>
  <si>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</si>
  <si>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</si>
  <si>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</si>
  <si>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</si>
  <si>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</si>
  <si>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</si>
  <si>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</si>
  <si>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</si>
  <si>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</si>
  <si>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</si>
  <si>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</si>
  <si>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</si>
  <si>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</si>
  <si>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</si>
  <si>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</si>
  <si>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</si>
  <si>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</si>
  <si>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</si>
  <si>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</si>
  <si>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</si>
  <si>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</si>
  <si>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</si>
  <si>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</si>
  <si>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</si>
  <si>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</si>
  <si>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</si>
  <si>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</si>
  <si>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</si>
  <si>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</si>
  <si>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</si>
  <si>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</si>
  <si>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</si>
  <si>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</si>
  <si>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</si>
  <si>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</si>
  <si>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</si>
  <si>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</si>
  <si>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</si>
  <si>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</si>
  <si>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</si>
  <si>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</si>
  <si>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</si>
  <si>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</si>
  <si>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</si>
  <si>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</si>
  <si>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</si>
  <si>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</si>
  <si>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</si>
  <si>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</si>
  <si>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</si>
  <si>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</si>
  <si>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</si>
  <si>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</si>
  <si>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</si>
  <si>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</si>
  <si>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</si>
  <si>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</si>
  <si>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</si>
  <si>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</si>
  <si>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</si>
  <si>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</si>
  <si>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</si>
  <si>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</si>
  <si>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</si>
  <si>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</si>
  <si>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</si>
  <si>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</si>
  <si>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</si>
  <si>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</si>
  <si>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</si>
  <si>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</si>
  <si>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</si>
  <si>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</si>
  <si>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</si>
  <si>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</si>
  <si>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</si>
  <si>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</si>
  <si>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</si>
  <si>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</si>
  <si>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</si>
  <si>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</si>
  <si>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</si>
  <si>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</si>
  <si>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</si>
  <si>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</si>
  <si>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</si>
  <si>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</si>
  <si>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</si>
  <si>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</si>
  <si>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</si>
  <si>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</si>
  <si>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</si>
  <si>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</si>
  <si>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</si>
  <si>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</si>
  <si>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</si>
  <si>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</si>
  <si>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</si>
  <si>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</si>
  <si>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</si>
  <si>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</si>
  <si>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</si>
  <si>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</si>
  <si>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</si>
  <si>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</si>
  <si>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</si>
  <si>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</si>
  <si>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</si>
  <si>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</si>
  <si>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</si>
  <si>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</si>
  <si>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</si>
  <si>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</si>
  <si>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</si>
  <si>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</si>
  <si>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</si>
  <si>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</si>
  <si>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</si>
  <si>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</si>
  <si>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</si>
  <si>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</si>
  <si>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</si>
  <si>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</si>
  <si>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</si>
  <si>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</si>
  <si>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</si>
  <si>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</si>
  <si>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</si>
  <si>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</si>
  <si>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</si>
  <si>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</si>
  <si>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</si>
  <si>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</si>
  <si>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</si>
  <si>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</si>
  <si>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</si>
  <si>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</si>
  <si>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</si>
  <si>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</si>
  <si>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</si>
  <si>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</si>
  <si>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</si>
  <si>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</si>
  <si>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</si>
  <si>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</si>
  <si>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</si>
  <si>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</si>
  <si>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</si>
  <si>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</si>
  <si>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</si>
  <si>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</si>
  <si>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</si>
  <si>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</si>
  <si>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</si>
  <si>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</si>
  <si>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</si>
  <si>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</si>
  <si>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</si>
  <si>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</si>
  <si>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</si>
  <si>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</si>
  <si>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</si>
  <si>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</si>
  <si>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</si>
  <si>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</si>
  <si>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</si>
  <si>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</si>
  <si>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</si>
  <si>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</si>
  <si>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</si>
  <si>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</si>
  <si>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</si>
  <si>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</si>
  <si>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</si>
  <si>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</si>
  <si>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</si>
  <si>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</si>
  <si>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</si>
  <si>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</si>
  <si>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</si>
  <si>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</si>
  <si>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</si>
  <si>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</si>
  <si>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</si>
  <si>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</si>
  <si>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</si>
  <si>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</si>
  <si>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</si>
  <si>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</si>
  <si>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</si>
  <si>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</si>
  <si>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</si>
  <si>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</si>
  <si>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</si>
  <si>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</si>
  <si>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</si>
  <si>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</si>
  <si>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</si>
  <si>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</si>
  <si>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</si>
  <si>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</si>
  <si>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</si>
  <si>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</si>
  <si>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</si>
  <si>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</si>
  <si>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</si>
  <si>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</si>
  <si>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</si>
  <si>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</si>
  <si>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</si>
  <si>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</si>
  <si>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</si>
  <si>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</si>
  <si>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</si>
  <si>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</si>
  <si>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</si>
  <si>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</si>
  <si>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</si>
  <si>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</si>
  <si>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</si>
  <si>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</si>
  <si>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</si>
  <si>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</si>
  <si>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</si>
  <si>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</si>
  <si>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</si>
  <si>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</si>
  <si>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</si>
  <si>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</si>
  <si>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</si>
  <si>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</si>
  <si>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</si>
  <si>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</si>
  <si>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</si>
  <si>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</si>
  <si>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</si>
  <si>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</si>
  <si>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</si>
  <si>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</si>
  <si>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</si>
  <si>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</si>
  <si>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</si>
  <si>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</si>
  <si>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</si>
  <si>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</si>
  <si>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</si>
  <si>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</si>
  <si>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</si>
  <si>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</si>
  <si>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</si>
  <si>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</si>
  <si>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</si>
  <si>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</si>
  <si>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</si>
  <si>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</si>
  <si>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</si>
  <si>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</si>
  <si>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</si>
  <si>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</si>
  <si>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</si>
  <si>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</si>
  <si>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</si>
  <si>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</si>
  <si>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</si>
  <si>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</si>
  <si>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</si>
  <si>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</si>
  <si>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</si>
  <si>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</si>
  <si>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</si>
  <si>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</si>
  <si>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</si>
  <si>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</si>
  <si>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</si>
  <si>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</si>
  <si>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</si>
  <si>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</si>
  <si>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</si>
  <si>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</si>
  <si>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</si>
  <si>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</si>
  <si>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</si>
  <si>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</si>
  <si>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</si>
  <si>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</si>
  <si>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</si>
  <si>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</si>
  <si>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</si>
  <si>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</si>
  <si>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</si>
  <si>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</si>
  <si>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</si>
  <si>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</si>
  <si>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</si>
  <si>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</si>
  <si>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</si>
  <si>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</si>
  <si>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</si>
  <si>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</si>
  <si>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</si>
  <si>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</si>
  <si>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</si>
  <si>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</si>
  <si>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</si>
  <si>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</si>
  <si>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</si>
  <si>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</si>
  <si>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</si>
  <si>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</si>
  <si>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</si>
  <si>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</si>
  <si>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</si>
  <si>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</si>
  <si>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</si>
  <si>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</si>
  <si>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</si>
  <si>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</si>
  <si>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</si>
  <si>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</si>
  <si>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</si>
  <si>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</si>
  <si>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</si>
  <si>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</si>
  <si>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</si>
  <si>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</si>
  <si>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</si>
  <si>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</si>
  <si>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</si>
  <si>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</si>
  <si>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</si>
  <si>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</si>
  <si>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</si>
  <si>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</si>
  <si>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</si>
  <si>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</si>
  <si>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</si>
  <si>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</si>
  <si>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</si>
  <si>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</si>
  <si>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</si>
  <si>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</si>
  <si>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</si>
  <si>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</si>
  <si>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</si>
  <si>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</si>
  <si>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</si>
  <si>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</si>
  <si>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</si>
  <si>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</si>
  <si>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</si>
  <si>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</si>
  <si>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</si>
  <si>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</si>
  <si>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</si>
  <si>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</si>
  <si>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</si>
  <si>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</si>
  <si>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</si>
  <si>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</si>
  <si>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</si>
  <si>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</si>
  <si>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</si>
  <si>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</si>
  <si>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</si>
  <si>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</si>
  <si>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</si>
  <si>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</si>
  <si>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</si>
  <si>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</si>
  <si>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</si>
  <si>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</si>
  <si>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</si>
  <si>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</si>
  <si>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</si>
  <si>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</si>
  <si>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</si>
  <si>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</si>
  <si>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</si>
  <si>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</si>
  <si>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</si>
  <si>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</si>
  <si>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</si>
  <si>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</si>
  <si>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</si>
  <si>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</si>
  <si>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</si>
  <si>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</si>
  <si>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</si>
  <si>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</si>
  <si>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</si>
  <si>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</si>
  <si>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</si>
  <si>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</si>
  <si>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</si>
  <si>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</si>
  <si>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</si>
  <si>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</si>
  <si>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</si>
  <si>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</si>
  <si>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</si>
  <si>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</si>
  <si>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</si>
  <si>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</si>
  <si>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</si>
  <si>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</si>
  <si>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</si>
  <si>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</si>
  <si>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</si>
  <si>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</si>
  <si>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</si>
  <si>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</si>
  <si>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</si>
  <si>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</si>
  <si>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</si>
  <si>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</si>
  <si>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</si>
  <si>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</si>
  <si>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</si>
  <si>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</si>
  <si>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</si>
  <si>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</si>
  <si>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</si>
  <si>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</si>
  <si>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</si>
  <si>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</si>
  <si>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</si>
  <si>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</si>
  <si>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</si>
  <si>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</si>
  <si>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</si>
  <si>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</si>
  <si>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</si>
  <si>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</si>
  <si>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</si>
  <si>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</si>
  <si>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</si>
  <si>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</si>
  <si>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</si>
  <si>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</si>
  <si>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</si>
  <si>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</si>
  <si>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</si>
  <si>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</si>
  <si>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</si>
  <si>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</si>
  <si>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</si>
  <si>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</si>
  <si>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</si>
  <si>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</si>
  <si>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</si>
  <si>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</si>
  <si>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</si>
  <si>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</si>
  <si>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</si>
  <si>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</si>
  <si>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</si>
  <si>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</si>
  <si>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</si>
  <si>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</si>
  <si>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</si>
  <si>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</si>
  <si>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</si>
  <si>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</si>
  <si>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</si>
  <si>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</si>
  <si>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</si>
  <si>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</si>
  <si>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</si>
  <si>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</si>
  <si>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</si>
  <si>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</si>
  <si>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</si>
  <si>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</si>
  <si>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</si>
  <si>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</si>
  <si>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</si>
  <si>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</si>
  <si>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</si>
  <si>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</si>
  <si>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</si>
  <si>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</si>
  <si>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</si>
  <si>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</si>
  <si>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</si>
  <si>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</si>
  <si>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</si>
  <si>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</si>
  <si>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</si>
  <si>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</si>
  <si>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</si>
  <si>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</si>
  <si>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</si>
  <si>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</si>
  <si>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</si>
  <si>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</si>
  <si>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</si>
  <si>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</si>
  <si>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</si>
  <si>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</si>
  <si>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</si>
  <si>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</si>
  <si>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</si>
  <si>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</si>
  <si>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</si>
  <si>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</si>
  <si>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</si>
  <si>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</si>
  <si>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</si>
  <si>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</si>
  <si>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</si>
  <si>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</si>
  <si>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</si>
  <si>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</si>
  <si>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</si>
  <si>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</si>
  <si>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</si>
  <si>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</si>
  <si>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</si>
  <si>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</si>
  <si>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</si>
  <si>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</si>
  <si>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</si>
  <si>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</si>
  <si>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</si>
  <si>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</si>
  <si>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</si>
  <si>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</si>
  <si>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</si>
  <si>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</si>
  <si>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</si>
  <si>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</si>
  <si>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</si>
  <si>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</si>
  <si>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</si>
  <si>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</si>
  <si>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</si>
  <si>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</si>
  <si>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</si>
  <si>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</si>
  <si>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</si>
  <si>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</si>
  <si>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</si>
  <si>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</si>
  <si>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</si>
  <si>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</si>
  <si>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</si>
  <si>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</si>
  <si>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</si>
  <si>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</si>
  <si>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</si>
  <si>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</si>
  <si>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</si>
  <si>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</si>
  <si>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</si>
  <si>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</si>
  <si>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</si>
  <si>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</si>
  <si>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</si>
  <si>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</si>
  <si>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</si>
  <si>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</si>
  <si>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</si>
  <si>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</si>
  <si>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</si>
  <si>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</si>
  <si>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</si>
  <si>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</si>
  <si>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</si>
  <si>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</si>
  <si>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</si>
  <si>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</si>
  <si>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</si>
  <si>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</si>
  <si>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</si>
  <si>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</si>
  <si>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</si>
  <si>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</si>
  <si>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</si>
  <si>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</si>
  <si>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</si>
  <si>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</si>
  <si>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</si>
  <si>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</si>
  <si>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</si>
  <si>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</si>
  <si>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</si>
  <si>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</si>
  <si>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</si>
  <si>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</si>
  <si>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</si>
  <si>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</si>
  <si>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</si>
  <si>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</si>
  <si>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</si>
  <si>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</si>
  <si>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</si>
  <si>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</si>
  <si>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</si>
  <si>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</si>
  <si>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</si>
  <si>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</si>
  <si>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</si>
  <si>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</si>
  <si>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</si>
  <si>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</si>
  <si>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</si>
  <si>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</si>
  <si>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</si>
  <si>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</si>
  <si>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</si>
  <si>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</si>
  <si>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</si>
  <si>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</si>
  <si>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</si>
  <si>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</si>
  <si>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</si>
  <si>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</si>
  <si>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</si>
  <si>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</si>
  <si>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</si>
  <si>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</si>
  <si>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</si>
  <si>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</si>
  <si>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</si>
  <si>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</si>
  <si>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</si>
  <si>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</si>
  <si>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</si>
  <si>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</si>
  <si>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</si>
  <si>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</si>
  <si>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</si>
  <si>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</si>
  <si>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</si>
  <si>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</si>
  <si>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</si>
  <si>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</si>
  <si>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</si>
  <si>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</si>
  <si>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</si>
  <si>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</si>
  <si>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</si>
  <si>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</si>
  <si>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</si>
  <si>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</si>
  <si>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</si>
  <si>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</si>
  <si>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</si>
  <si>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</si>
  <si>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</si>
  <si>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</si>
  <si>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</si>
  <si>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</si>
  <si>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</si>
  <si>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</si>
  <si>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</si>
  <si>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</si>
  <si>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</si>
  <si>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</si>
  <si>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</si>
  <si>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</si>
  <si>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</si>
  <si>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</si>
  <si>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</si>
  <si>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</si>
  <si>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</si>
  <si>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</si>
  <si>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</si>
  <si>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</si>
  <si>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</si>
  <si>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</si>
  <si>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</si>
  <si>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</si>
  <si>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</si>
  <si>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</si>
  <si>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</si>
  <si>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</si>
  <si>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</si>
  <si>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</si>
  <si>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</si>
  <si>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</si>
  <si>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</si>
  <si>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</si>
  <si>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</si>
  <si>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</si>
  <si>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</si>
  <si>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</si>
  <si>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</si>
  <si>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</si>
  <si>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</si>
  <si>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</si>
  <si>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</si>
  <si>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</si>
  <si>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</si>
  <si>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</si>
  <si>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</si>
  <si>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</si>
  <si>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</si>
  <si>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</si>
  <si>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</si>
  <si>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</si>
  <si>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</si>
  <si>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</si>
  <si>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</si>
  <si>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</si>
  <si>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</si>
  <si>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</si>
  <si>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</si>
  <si>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</si>
  <si>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</si>
  <si>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</si>
  <si>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</si>
  <si>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</si>
  <si>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</si>
  <si>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</si>
  <si>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</si>
  <si>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</si>
  <si>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</si>
  <si>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</si>
  <si>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</si>
  <si>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</si>
  <si>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</si>
  <si>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</si>
  <si>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</si>
  <si>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</si>
  <si>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</si>
  <si>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</si>
  <si>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</si>
  <si>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</si>
  <si>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</si>
  <si>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</si>
  <si>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</si>
  <si>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</si>
  <si>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</si>
  <si>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</si>
  <si>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</si>
  <si>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</si>
  <si>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</si>
  <si>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</si>
  <si>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</si>
  <si>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</si>
  <si>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</si>
  <si>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</si>
  <si>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</si>
  <si>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</si>
  <si>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</si>
  <si>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</si>
  <si>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</si>
  <si>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</si>
  <si>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</si>
  <si>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</si>
  <si>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</si>
  <si>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</si>
  <si>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</si>
  <si>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</si>
  <si>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</si>
  <si>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</si>
  <si>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</si>
  <si>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</si>
  <si>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</si>
  <si>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</si>
  <si>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</si>
  <si>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</si>
  <si>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</si>
  <si>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</si>
  <si>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</si>
  <si>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</si>
  <si>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</si>
  <si>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</si>
  <si>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</si>
  <si>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</si>
  <si>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</si>
  <si>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</si>
  <si>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</si>
  <si>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</si>
  <si>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</si>
  <si>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</si>
  <si>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</si>
  <si>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</si>
  <si>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</si>
  <si>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</si>
  <si>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</si>
  <si>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</si>
  <si>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</si>
  <si>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</si>
  <si>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</si>
  <si>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</si>
  <si>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</si>
  <si>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</si>
  <si>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</si>
  <si>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</si>
  <si>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</si>
  <si>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</si>
  <si>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</si>
  <si>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</si>
  <si>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</si>
  <si>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</si>
  <si>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</si>
  <si>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</si>
  <si>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</si>
  <si>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</si>
  <si>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</si>
  <si>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</si>
  <si>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</si>
  <si>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</si>
  <si>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</si>
  <si>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</si>
  <si>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</si>
  <si>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</si>
  <si>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</si>
  <si>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</si>
  <si>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</si>
  <si>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</si>
  <si>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</si>
  <si>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</si>
  <si>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</si>
  <si>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</si>
  <si>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</si>
  <si>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</si>
  <si>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</si>
  <si>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</si>
  <si>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</si>
  <si>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</si>
  <si>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</si>
  <si>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</si>
  <si>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</si>
  <si>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</si>
  <si>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</si>
  <si>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</si>
  <si>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</si>
  <si>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</si>
  <si>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</si>
  <si>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</si>
  <si>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</si>
  <si>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</si>
  <si>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</si>
  <si>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</si>
  <si>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</si>
  <si>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</si>
  <si>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</si>
  <si>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</si>
  <si>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</si>
  <si>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</si>
  <si>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</si>
  <si>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</si>
  <si>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</si>
  <si>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</si>
  <si>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</si>
  <si>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</si>
  <si>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</si>
  <si>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</si>
  <si>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</si>
  <si>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</si>
  <si>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</si>
  <si>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</si>
  <si>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</si>
  <si>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</si>
  <si>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</si>
  <si>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</si>
  <si>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</si>
  <si>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</si>
  <si>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</si>
  <si>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</si>
  <si>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</si>
  <si>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</si>
  <si>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</si>
  <si>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</si>
  <si>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</si>
  <si>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</si>
  <si>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</si>
  <si>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</si>
  <si>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</si>
  <si>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</si>
  <si>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</si>
  <si>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</si>
  <si>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</si>
  <si>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</si>
  <si>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</si>
  <si>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</si>
  <si>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</si>
  <si>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</si>
  <si>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</si>
  <si>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</si>
  <si>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</si>
  <si>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</si>
  <si>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</si>
  <si>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</si>
  <si>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</si>
  <si>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</si>
  <si>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</si>
  <si>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</si>
  <si>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</si>
  <si>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</si>
  <si>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</si>
  <si>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</si>
  <si>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</si>
  <si>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</si>
  <si>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</si>
  <si>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</si>
  <si>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</si>
  <si>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</si>
  <si>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</si>
  <si>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</si>
  <si>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</si>
  <si>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</si>
  <si>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</si>
  <si>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</si>
  <si>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</si>
  <si>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</si>
  <si>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</si>
  <si>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</si>
  <si>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</si>
  <si>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</si>
  <si>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</si>
  <si>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</si>
  <si>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</si>
  <si>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</si>
  <si>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</si>
  <si>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</si>
  <si>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</si>
  <si>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</si>
  <si>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</si>
  <si>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</si>
  <si>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</si>
  <si>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</si>
  <si>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</si>
  <si>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</si>
  <si>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</si>
  <si>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</si>
  <si>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</si>
  <si>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</si>
  <si>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</si>
  <si>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</si>
  <si>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</si>
  <si>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</si>
  <si>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</si>
  <si>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</si>
  <si>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</si>
  <si>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</si>
  <si>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</si>
  <si>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</si>
  <si>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</si>
  <si>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</si>
  <si>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</si>
  <si>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</si>
  <si>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</si>
  <si>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</si>
  <si>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</si>
  <si>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</si>
  <si>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</si>
  <si>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</si>
  <si>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</si>
  <si>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</si>
  <si>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</si>
  <si>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</si>
  <si>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</si>
  <si>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</si>
  <si>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</si>
  <si>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</si>
  <si>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</si>
  <si>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</si>
  <si>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</si>
  <si>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</si>
  <si>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</si>
  <si>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</si>
  <si>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</si>
  <si>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</si>
  <si>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</si>
  <si>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</si>
  <si>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</si>
  <si>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</si>
  <si>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</si>
  <si>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</si>
  <si>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</si>
  <si>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</si>
  <si>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</si>
  <si>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</si>
  <si>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</si>
  <si>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</si>
  <si>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</si>
  <si>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</si>
  <si>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</si>
  <si>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</si>
  <si>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</si>
  <si>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</si>
  <si>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</si>
  <si>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</si>
  <si>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</si>
  <si>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</si>
  <si>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</si>
  <si>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</si>
  <si>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</si>
  <si>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</si>
  <si>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</si>
  <si>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</si>
  <si>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</si>
  <si>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</si>
  <si>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</si>
  <si>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</si>
  <si>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</si>
  <si>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</si>
  <si>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</si>
  <si>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</si>
  <si>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</si>
  <si>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</si>
  <si>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</si>
  <si>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</si>
  <si>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</si>
  <si>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</si>
  <si>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</si>
  <si>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</si>
  <si>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</si>
  <si>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</si>
  <si>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</si>
  <si>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</si>
  <si>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</si>
  <si>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</si>
  <si>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</si>
  <si>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</si>
  <si>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</si>
  <si>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</si>
  <si>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</si>
  <si>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</si>
  <si>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</si>
  <si>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</si>
  <si>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</si>
  <si>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</si>
  <si>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</si>
  <si>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</si>
  <si>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</si>
  <si>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</si>
  <si>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</si>
  <si>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</si>
  <si>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</si>
  <si>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</si>
  <si>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</si>
  <si>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</si>
  <si>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</si>
  <si>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</si>
  <si>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</si>
  <si>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</si>
  <si>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</si>
  <si>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</si>
  <si>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</si>
  <si>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</si>
  <si>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</si>
  <si>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</si>
  <si>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</si>
  <si>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</si>
  <si>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</si>
  <si>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</si>
  <si>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</si>
  <si>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</si>
  <si>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</si>
  <si>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</si>
  <si>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</si>
  <si>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</si>
  <si>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</si>
  <si>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</si>
  <si>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</si>
  <si>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</si>
  <si>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</si>
  <si>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</si>
  <si>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</si>
  <si>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</si>
  <si>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</si>
  <si>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</si>
  <si>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</si>
  <si>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</si>
  <si>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</si>
  <si>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</si>
  <si>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</si>
  <si>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</si>
  <si>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</si>
  <si>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</si>
  <si>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</si>
  <si>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</si>
  <si>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</si>
  <si>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</si>
  <si>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</si>
  <si>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</si>
  <si>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</si>
  <si>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</si>
  <si>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</si>
  <si>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</si>
  <si>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</si>
  <si>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</si>
  <si>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</si>
  <si>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</si>
  <si>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</si>
  <si>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</si>
  <si>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</si>
  <si>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</si>
  <si>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</si>
  <si>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</si>
  <si>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</si>
  <si>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</si>
  <si>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</si>
  <si>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</si>
  <si>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</si>
  <si>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</si>
  <si>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</si>
  <si>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</si>
  <si>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</si>
  <si>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</si>
  <si>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</si>
  <si>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</si>
  <si>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</si>
  <si>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</si>
  <si>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</si>
  <si>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</si>
  <si>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</si>
  <si>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</si>
  <si>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</si>
  <si>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</si>
  <si>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</si>
  <si>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</si>
  <si>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</si>
  <si>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</si>
  <si>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</si>
  <si>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</si>
  <si>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</si>
  <si>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</si>
  <si>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</si>
  <si>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</si>
  <si>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</si>
  <si>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</si>
  <si>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</si>
  <si>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</si>
  <si>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</si>
  <si>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</si>
  <si>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</si>
  <si>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</si>
  <si>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</si>
  <si>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</si>
  <si>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</si>
  <si>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</si>
  <si>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</si>
  <si>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</si>
  <si>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</si>
  <si>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</si>
  <si>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</si>
  <si>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</si>
  <si>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</si>
  <si>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</si>
  <si>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</si>
  <si>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</si>
  <si>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</si>
  <si>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</si>
  <si>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</si>
  <si>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</si>
  <si>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</si>
  <si>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</si>
  <si>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</si>
  <si>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</si>
  <si>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</si>
  <si>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</si>
  <si>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</si>
  <si>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</si>
  <si>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</si>
  <si>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</si>
  <si>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</si>
  <si>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</si>
  <si>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</si>
  <si>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</si>
  <si>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</si>
  <si>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</si>
  <si>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</si>
  <si>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</si>
  <si>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</si>
  <si>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</si>
  <si>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</si>
  <si>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</si>
  <si>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</si>
  <si>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</si>
  <si>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</si>
  <si>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</si>
  <si>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</si>
  <si>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</si>
  <si>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</si>
  <si>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</si>
  <si>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</si>
  <si>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</si>
  <si>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</si>
  <si>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</si>
  <si>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</si>
  <si>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</si>
  <si>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</si>
  <si>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</si>
  <si>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</si>
  <si>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</si>
  <si>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</si>
  <si>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</si>
  <si>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</si>
  <si>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</si>
  <si>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</si>
  <si>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</si>
  <si>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</si>
  <si>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</si>
  <si>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</si>
  <si>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</si>
  <si>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</si>
  <si>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</si>
  <si>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</si>
  <si>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</si>
  <si>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</si>
  <si>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</si>
  <si>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</si>
  <si>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</si>
  <si>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</si>
  <si>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</si>
  <si>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</si>
  <si>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</si>
  <si>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</si>
  <si>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</si>
  <si>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</si>
  <si>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</si>
  <si>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</si>
  <si>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</si>
  <si>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</si>
  <si>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</si>
  <si>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</si>
  <si>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</si>
  <si>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</si>
  <si>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</si>
  <si>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</si>
  <si>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</si>
  <si>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</si>
  <si>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</si>
  <si>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</si>
  <si>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</si>
  <si>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</si>
  <si>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</si>
  <si>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</si>
  <si>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</si>
  <si>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</si>
  <si>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</si>
  <si>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</si>
  <si>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</si>
  <si>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</si>
  <si>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</si>
  <si>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</si>
  <si>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</si>
  <si>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</si>
  <si>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</si>
  <si>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</si>
  <si>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</si>
  <si>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</si>
  <si>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</si>
  <si>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</si>
  <si>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</si>
  <si>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</si>
  <si>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</si>
  <si>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</si>
  <si>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</si>
  <si>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</si>
  <si>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</si>
  <si>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</si>
  <si>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</si>
  <si>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</si>
  <si>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</si>
  <si>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</si>
  <si>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</si>
  <si>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</si>
  <si>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</si>
  <si>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</si>
  <si>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</si>
  <si>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</si>
  <si>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</si>
  <si>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</si>
  <si>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</si>
  <si>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</si>
  <si>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</si>
  <si>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</si>
  <si>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</si>
  <si>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</si>
  <si>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</si>
  <si>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</si>
  <si>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</si>
  <si>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</si>
  <si>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</si>
  <si>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</si>
  <si>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</si>
  <si>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</si>
  <si>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</si>
  <si>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</si>
  <si>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</si>
  <si>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</si>
  <si>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</si>
  <si>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</si>
  <si>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</si>
  <si>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</si>
  <si>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</si>
  <si>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</si>
  <si>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</si>
  <si>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</si>
  <si>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</si>
  <si>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</si>
  <si>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</si>
  <si>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</si>
  <si>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</si>
  <si>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</si>
  <si>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</si>
  <si>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</si>
  <si>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</si>
  <si>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</si>
  <si>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</si>
  <si>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</si>
  <si>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</si>
  <si>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</si>
  <si>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</si>
  <si>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</si>
  <si>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</si>
  <si>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</si>
  <si>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</si>
  <si>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</si>
  <si>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</si>
  <si>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</si>
  <si>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</si>
  <si>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</si>
  <si>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</si>
  <si>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</si>
  <si>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</si>
  <si>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</si>
  <si>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</si>
  <si>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</si>
  <si>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</si>
  <si>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</si>
  <si>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</si>
  <si>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</si>
  <si>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</si>
  <si>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</si>
  <si>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</si>
  <si>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</si>
  <si>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</si>
  <si>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</si>
  <si>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</si>
  <si>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</si>
  <si>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</si>
  <si>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</si>
  <si>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</si>
  <si>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</si>
  <si>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</si>
  <si>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</si>
  <si>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</si>
  <si>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</si>
  <si>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</si>
  <si>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</si>
  <si>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</si>
  <si>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</si>
  <si>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</si>
  <si>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</si>
  <si>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</si>
  <si>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</si>
  <si>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</si>
  <si>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</si>
  <si>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</si>
  <si>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</si>
  <si>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</si>
  <si>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</si>
  <si>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</si>
  <si>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</si>
  <si>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</si>
  <si>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</si>
  <si>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</si>
  <si>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</si>
  <si>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</si>
  <si>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</si>
  <si>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</si>
  <si>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</si>
  <si>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</si>
  <si>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</si>
  <si>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</si>
  <si>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</si>
  <si>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</si>
  <si>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</si>
  <si>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</si>
  <si>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</si>
  <si>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</si>
  <si>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</si>
  <si>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</si>
  <si>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</si>
  <si>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</si>
  <si>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</si>
  <si>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</si>
  <si>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</si>
  <si>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</si>
  <si>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</si>
  <si>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</si>
  <si>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</si>
  <si>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</si>
  <si>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</si>
  <si>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</si>
  <si>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</si>
  <si>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</si>
  <si>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</si>
  <si>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</si>
  <si>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</si>
  <si>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</si>
  <si>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</si>
  <si>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</si>
  <si>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</si>
  <si>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</si>
  <si>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</si>
  <si>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</si>
  <si>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</si>
  <si>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</si>
  <si>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</si>
  <si>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</si>
  <si>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</si>
  <si>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</si>
  <si>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</si>
  <si>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</si>
  <si>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</si>
  <si>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</si>
  <si>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</si>
  <si>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</si>
  <si>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</si>
  <si>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</si>
  <si>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</si>
  <si>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</si>
  <si>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</si>
  <si>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</si>
  <si>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</si>
  <si>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</si>
  <si>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</si>
  <si>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</si>
  <si>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</si>
  <si>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</si>
  <si>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</si>
  <si>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</si>
  <si>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</si>
  <si>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</si>
  <si>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</si>
  <si>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</si>
  <si>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</si>
  <si>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</si>
  <si>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</si>
  <si>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</si>
  <si>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</si>
  <si>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</si>
  <si>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</si>
  <si>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</si>
  <si>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</si>
  <si>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</si>
  <si>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</si>
  <si>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</si>
  <si>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</si>
  <si>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</si>
  <si>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</si>
  <si>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</si>
  <si>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</si>
  <si>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</si>
  <si>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</si>
  <si>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</si>
  <si>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</si>
  <si>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</si>
  <si>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</si>
  <si>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</si>
  <si>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</si>
  <si>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</si>
  <si>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</si>
  <si>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</si>
  <si>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</si>
  <si>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</si>
  <si>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</si>
  <si>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</si>
  <si>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</si>
  <si>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</si>
  <si>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</si>
  <si>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</si>
  <si>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</si>
  <si>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</si>
  <si>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</si>
  <si>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</si>
  <si>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</si>
  <si>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</si>
  <si>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</si>
  <si>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</si>
  <si>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</si>
  <si>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</si>
  <si>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</si>
  <si>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</si>
  <si>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</si>
  <si>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</si>
  <si>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</si>
  <si>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</si>
  <si>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</si>
  <si>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</si>
  <si>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</si>
  <si>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</si>
  <si>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</si>
  <si>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</si>
  <si>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</si>
  <si>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</si>
  <si>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</si>
  <si>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</si>
  <si>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</si>
  <si>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</si>
  <si>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</si>
  <si>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</si>
  <si>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</si>
  <si>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</si>
  <si>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</si>
  <si>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</si>
  <si>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</si>
  <si>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</si>
  <si>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</si>
  <si>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</si>
  <si>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</si>
  <si>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</si>
  <si>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</si>
  <si>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</si>
  <si>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</si>
  <si>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</si>
  <si>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</si>
  <si>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</si>
  <si>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</si>
  <si>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</si>
  <si>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</si>
  <si>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</si>
  <si>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</si>
  <si>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</si>
  <si>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</si>
  <si>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</si>
  <si>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</si>
  <si>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</si>
  <si>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</si>
  <si>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</si>
  <si>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</si>
  <si>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</si>
  <si>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</si>
  <si>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</si>
  <si>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</si>
  <si>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</si>
  <si>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</si>
  <si>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</si>
  <si>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</si>
  <si>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</si>
  <si>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</si>
  <si>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</si>
  <si>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</si>
  <si>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</si>
  <si>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</si>
  <si>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</si>
  <si>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</si>
  <si>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</si>
  <si>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</si>
  <si>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</si>
  <si>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</si>
  <si>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</si>
  <si>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</si>
  <si>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</si>
  <si>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</si>
  <si>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</si>
  <si>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</si>
  <si>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</si>
  <si>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</si>
  <si>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</si>
  <si>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</si>
  <si>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</si>
  <si>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</si>
  <si>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</si>
  <si>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</si>
  <si>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</si>
  <si>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</si>
  <si>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</si>
  <si>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</si>
  <si>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</si>
  <si>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</si>
  <si>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</si>
  <si>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</si>
  <si>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</si>
  <si>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</si>
  <si>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</si>
  <si>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</si>
  <si>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</si>
  <si>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</si>
  <si>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</si>
  <si>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</si>
  <si>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</si>
  <si>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</si>
  <si>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</si>
  <si>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</si>
  <si>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</si>
  <si>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</si>
  <si>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</si>
  <si>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</si>
  <si>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</si>
  <si>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</si>
  <si>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</si>
  <si>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</si>
  <si>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</si>
  <si>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</si>
  <si>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</si>
  <si>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</si>
  <si>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</si>
  <si>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</si>
  <si>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</si>
  <si>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</si>
  <si>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</si>
  <si>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</si>
  <si>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</si>
  <si>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</si>
  <si>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</si>
  <si>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</si>
  <si>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</si>
  <si>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</si>
  <si>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</si>
  <si>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</si>
  <si>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</si>
  <si>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</si>
  <si>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</si>
  <si>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</si>
  <si>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</si>
  <si>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</si>
  <si>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</si>
  <si>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</si>
  <si>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</si>
  <si>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</si>
  <si>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</si>
  <si>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</si>
  <si>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</si>
  <si>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</si>
  <si>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</si>
  <si>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</si>
  <si>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</si>
  <si>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</si>
  <si>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</si>
  <si>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</si>
  <si>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</si>
  <si>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</si>
  <si>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</si>
  <si>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</si>
  <si>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</si>
  <si>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</si>
  <si>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</si>
  <si>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</si>
  <si>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</si>
  <si>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</si>
  <si>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</si>
  <si>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</si>
  <si>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</si>
  <si>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</si>
  <si>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</si>
  <si>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</si>
  <si>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</si>
  <si>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</si>
  <si>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</si>
  <si>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</si>
  <si>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</si>
  <si>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</si>
  <si>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</si>
  <si>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</si>
  <si>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</si>
  <si>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</si>
  <si>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</si>
  <si>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</si>
  <si>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</si>
  <si>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</si>
  <si>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</si>
  <si>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</si>
  <si>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</si>
  <si>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</si>
  <si>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</si>
  <si>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</si>
  <si>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</si>
  <si>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</si>
  <si>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</si>
  <si>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</si>
  <si>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</si>
  <si>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</si>
  <si>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</si>
  <si>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</si>
  <si>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</si>
  <si>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</si>
  <si>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</si>
  <si>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</si>
  <si>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</si>
  <si>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</si>
  <si>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</si>
  <si>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</si>
  <si>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</si>
  <si>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</si>
  <si>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</si>
  <si>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</si>
  <si>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</si>
  <si>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</si>
  <si>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</si>
  <si>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</si>
  <si>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</si>
  <si>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</si>
  <si>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</si>
  <si>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</si>
  <si>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</si>
  <si>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</si>
  <si>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</si>
  <si>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</si>
  <si>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</si>
  <si>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</si>
  <si>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</si>
  <si>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</si>
  <si>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</si>
  <si>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</si>
  <si>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</si>
  <si>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</si>
  <si>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</si>
  <si>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</si>
  <si>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</si>
  <si>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</si>
  <si>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</si>
  <si>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</si>
  <si>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</si>
  <si>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</si>
  <si>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</si>
  <si>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</si>
  <si>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</si>
  <si>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</si>
  <si>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</si>
  <si>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</si>
  <si>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</si>
  <si>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</si>
  <si>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</si>
  <si>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</si>
  <si>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</si>
  <si>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</si>
  <si>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</si>
  <si>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</si>
  <si>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</si>
  <si>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</si>
  <si>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</si>
  <si>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</si>
  <si>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</si>
  <si>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</si>
  <si>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</si>
  <si>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</si>
  <si>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</si>
  <si>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</si>
  <si>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</si>
  <si>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</si>
  <si>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</si>
  <si>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</si>
  <si>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</si>
  <si>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</si>
  <si>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</si>
  <si>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</si>
  <si>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</si>
  <si>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</si>
  <si>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</si>
  <si>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</si>
  <si>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</si>
  <si>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</si>
  <si>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</si>
  <si>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</si>
  <si>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</si>
  <si>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</si>
  <si>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</si>
  <si>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</si>
  <si>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</si>
  <si>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</si>
  <si>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</si>
  <si>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</si>
  <si>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</si>
  <si>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</si>
  <si>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</si>
  <si>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</si>
  <si>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</si>
  <si>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</si>
  <si>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</si>
  <si>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</si>
  <si>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</si>
  <si>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</si>
  <si>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</si>
  <si>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</si>
  <si>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</si>
  <si>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</si>
  <si>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</si>
  <si>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</si>
  <si>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</si>
  <si>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</si>
  <si>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</si>
  <si>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</si>
  <si>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</si>
  <si>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</si>
  <si>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</si>
  <si>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</si>
  <si>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</si>
  <si>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</si>
  <si>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</si>
  <si>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</si>
  <si>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</si>
  <si>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</si>
  <si>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</si>
  <si>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</si>
  <si>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</si>
  <si>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</si>
  <si>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</si>
  <si>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</si>
  <si>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</si>
  <si>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</si>
  <si>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</si>
  <si>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</si>
  <si>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</si>
  <si>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</si>
  <si>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</si>
  <si>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</si>
  <si>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</si>
  <si>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</si>
  <si>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</si>
  <si>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</si>
  <si>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</si>
  <si>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</si>
  <si>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</si>
  <si>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</si>
  <si>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</si>
  <si>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</si>
  <si>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</si>
  <si>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</si>
  <si>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</si>
  <si>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</si>
  <si>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</si>
  <si>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</si>
  <si>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</si>
  <si>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</si>
  <si>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</si>
  <si>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</si>
  <si>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</si>
  <si>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</si>
  <si>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</si>
  <si>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</si>
  <si>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</si>
  <si>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</si>
  <si>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</si>
  <si>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</si>
  <si>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</si>
  <si>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</si>
  <si>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</si>
  <si>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</si>
  <si>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</si>
  <si>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</si>
  <si>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</si>
  <si>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</si>
  <si>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</si>
  <si>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</si>
  <si>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</si>
  <si>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</si>
  <si>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</si>
  <si>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</si>
  <si>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</si>
  <si>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</si>
  <si>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</si>
  <si>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</si>
  <si>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</si>
  <si>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</si>
  <si>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</si>
  <si>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</si>
  <si>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</si>
  <si>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</si>
  <si>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</si>
  <si>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</si>
  <si>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</si>
  <si>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</si>
  <si>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</si>
  <si>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</si>
  <si>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</si>
  <si>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</si>
  <si>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</si>
  <si>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</si>
  <si>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</si>
  <si>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</si>
  <si>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</si>
  <si>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</si>
  <si>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</si>
  <si>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</si>
  <si>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</si>
  <si>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</si>
  <si>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</si>
  <si>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</si>
  <si>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</si>
  <si>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</si>
  <si>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</si>
  <si>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</si>
  <si>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</si>
  <si>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</si>
  <si>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</si>
  <si>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</si>
  <si>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</si>
  <si>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</si>
  <si>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</si>
  <si>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</si>
  <si>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</si>
  <si>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</si>
  <si>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</si>
  <si>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</si>
  <si>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</si>
  <si>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</si>
  <si>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</si>
  <si>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</si>
  <si>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</si>
  <si>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</si>
  <si>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</si>
  <si>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</si>
  <si>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</si>
  <si>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</si>
  <si>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</si>
  <si>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</si>
  <si>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</si>
  <si>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</si>
  <si>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</si>
  <si>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</si>
  <si>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</si>
  <si>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</si>
  <si>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</si>
  <si>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</si>
  <si>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</si>
  <si>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</si>
  <si>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</si>
  <si>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</si>
  <si>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</si>
  <si>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</si>
  <si>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</si>
  <si>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</si>
  <si>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</si>
  <si>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</si>
  <si>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</si>
  <si>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</si>
  <si>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</si>
  <si>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</si>
  <si>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</si>
  <si>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</si>
  <si>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</si>
  <si>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</si>
  <si>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</si>
  <si>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</si>
  <si>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</si>
  <si>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</si>
  <si>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</si>
  <si>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</si>
  <si>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</si>
  <si>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</si>
  <si>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</si>
  <si>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</si>
  <si>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</si>
  <si>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</si>
  <si>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</si>
  <si>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</si>
  <si>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</si>
  <si>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</si>
  <si>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</si>
  <si>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</si>
  <si>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</si>
  <si>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</si>
  <si>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</si>
  <si>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</si>
  <si>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</si>
  <si>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</si>
  <si>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</si>
  <si>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</si>
  <si>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</si>
  <si>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</si>
  <si>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</si>
  <si>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</si>
  <si>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</si>
  <si>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</si>
  <si>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</si>
  <si>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</si>
  <si>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</si>
  <si>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</si>
  <si>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</si>
  <si>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</si>
  <si>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</si>
  <si>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</si>
  <si>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</si>
  <si>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</si>
  <si>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</si>
  <si>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</si>
  <si>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</si>
  <si>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</si>
  <si>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</si>
  <si>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</si>
  <si>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</si>
  <si>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</si>
  <si>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</si>
  <si>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</si>
  <si>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</si>
  <si>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</si>
  <si>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</si>
  <si>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</si>
  <si>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</si>
  <si>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</si>
  <si>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</si>
  <si>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</si>
  <si>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</si>
  <si>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</si>
  <si>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</si>
  <si>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</si>
  <si>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</si>
  <si>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</si>
  <si>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</si>
  <si>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</si>
  <si>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</si>
  <si>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</si>
  <si>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</si>
  <si>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</si>
  <si>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</si>
  <si>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</si>
  <si>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</si>
  <si>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</si>
  <si>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</si>
  <si>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</si>
  <si>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</si>
  <si>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</si>
  <si>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</si>
  <si>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</si>
  <si>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</si>
  <si>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</si>
  <si>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</si>
  <si>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</si>
  <si>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</si>
  <si>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</si>
  <si>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</si>
  <si>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</si>
  <si>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</si>
  <si>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</si>
  <si>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</si>
  <si>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</si>
  <si>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</si>
  <si>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</si>
  <si>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</si>
  <si>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</si>
  <si>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</si>
  <si>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</si>
  <si>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</si>
  <si>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</si>
  <si>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</si>
  <si>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</si>
  <si>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</si>
  <si>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</si>
  <si>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</si>
  <si>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</si>
  <si>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</si>
  <si>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</si>
  <si>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</si>
  <si>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</si>
  <si>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</si>
  <si>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</si>
  <si>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</si>
  <si>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</si>
  <si>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</si>
  <si>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</si>
  <si>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</si>
  <si>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</si>
  <si>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</si>
  <si>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</si>
  <si>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</si>
  <si>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</si>
  <si>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</si>
  <si>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</si>
  <si>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</si>
  <si>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</si>
  <si>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</si>
  <si>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</si>
  <si>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</si>
  <si>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</si>
  <si>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</si>
  <si>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</si>
  <si>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</si>
  <si>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</si>
  <si>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</si>
  <si>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</si>
  <si>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</si>
  <si>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</si>
  <si>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</si>
  <si>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</si>
  <si>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</si>
  <si>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</si>
  <si>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</si>
  <si>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</si>
  <si>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</si>
  <si>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</si>
  <si>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</si>
  <si>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</si>
  <si>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</si>
  <si>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</si>
  <si>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</si>
  <si>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</si>
  <si>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</si>
  <si>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</si>
  <si>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</si>
  <si>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</si>
  <si>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</si>
  <si>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</si>
  <si>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</si>
  <si>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</si>
  <si>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</si>
  <si>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</si>
  <si>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</si>
  <si>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</si>
  <si>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</si>
  <si>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</si>
  <si>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</si>
  <si>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</si>
  <si>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</si>
  <si>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</si>
  <si>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</si>
  <si>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</si>
  <si>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</si>
  <si>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</si>
  <si>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</si>
  <si>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</si>
  <si>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</si>
  <si>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</si>
  <si>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</si>
  <si>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</si>
  <si>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</si>
  <si>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</si>
  <si>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</si>
  <si>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</si>
  <si>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</si>
  <si>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</si>
  <si>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</si>
  <si>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</si>
  <si>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</si>
  <si>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</si>
  <si>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</si>
  <si>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</si>
  <si>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</si>
  <si>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</si>
  <si>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</si>
  <si>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</si>
  <si>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</si>
  <si>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</si>
  <si>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</si>
  <si>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</si>
  <si>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</si>
  <si>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</si>
  <si>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</si>
  <si>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</si>
  <si>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</si>
  <si>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</si>
  <si>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</si>
  <si>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</si>
  <si>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</si>
  <si>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</si>
  <si>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</si>
  <si>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</si>
  <si>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</si>
  <si>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</si>
  <si>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</si>
  <si>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</si>
  <si>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</si>
  <si>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</si>
  <si>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</si>
  <si>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</si>
  <si>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</si>
  <si>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</si>
  <si>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</si>
  <si>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</si>
  <si>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</si>
  <si>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</si>
  <si>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</si>
  <si>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</si>
  <si>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</si>
  <si>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</si>
  <si>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</si>
  <si>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</si>
  <si>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</si>
  <si>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</si>
  <si>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</si>
  <si>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</si>
  <si>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</si>
  <si>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</si>
  <si>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</si>
  <si>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</si>
  <si>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</si>
  <si>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</si>
  <si>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</si>
  <si>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</si>
  <si>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</si>
  <si>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</si>
  <si>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</si>
  <si>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</si>
  <si>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</si>
  <si>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</si>
  <si>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</si>
  <si>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</si>
  <si>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</si>
  <si>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</si>
  <si>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</si>
  <si>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</si>
  <si>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</si>
  <si>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</si>
  <si>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</si>
  <si>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</si>
  <si>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</si>
  <si>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</si>
  <si>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</si>
  <si>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</si>
  <si>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</si>
  <si>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</si>
  <si>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</si>
  <si>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</si>
  <si>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</si>
  <si>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</si>
  <si>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</si>
  <si>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</si>
  <si>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</si>
  <si>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</si>
  <si>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</si>
  <si>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</si>
  <si>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</si>
  <si>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</si>
  <si>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</si>
  <si>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</si>
  <si>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</si>
  <si>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</si>
  <si>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</si>
  <si>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</si>
  <si>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</si>
  <si>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</si>
  <si>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</si>
  <si>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</si>
  <si>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</si>
  <si>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</si>
  <si>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</si>
  <si>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</si>
  <si>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</si>
  <si>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</si>
  <si>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</si>
  <si>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</si>
  <si>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</si>
  <si>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</si>
  <si>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</si>
  <si>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</si>
  <si>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</si>
  <si>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</si>
  <si>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</si>
  <si>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</si>
  <si>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</si>
  <si>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</si>
  <si>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</si>
  <si>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</si>
  <si>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</si>
  <si>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</si>
  <si>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</si>
  <si>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</si>
  <si>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</si>
  <si>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</si>
  <si>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</si>
  <si>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</si>
  <si>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</si>
  <si>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</si>
  <si>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</si>
  <si>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</si>
  <si>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</si>
  <si>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</si>
  <si>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</si>
  <si>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</si>
  <si>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</si>
  <si>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</si>
  <si>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</si>
  <si>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</si>
  <si>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</si>
  <si>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</si>
  <si>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</si>
  <si>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</si>
  <si>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</si>
  <si>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</si>
  <si>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</si>
  <si>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</si>
  <si>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</si>
  <si>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</si>
  <si>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</si>
  <si>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</si>
  <si>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</si>
  <si>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</si>
  <si>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</si>
  <si>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</si>
  <si>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</si>
  <si>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</si>
  <si>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</si>
  <si>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</si>
  <si>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</si>
  <si>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</si>
  <si>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</si>
  <si>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</si>
  <si>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</si>
  <si>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</si>
  <si>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</si>
  <si>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</si>
  <si>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</si>
  <si>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</si>
  <si>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</si>
  <si>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</si>
  <si>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</si>
  <si>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</si>
  <si>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</si>
  <si>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</si>
  <si>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</si>
  <si>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</si>
  <si>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</si>
  <si>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</si>
  <si>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</si>
  <si>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</si>
  <si>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</si>
  <si>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</si>
  <si>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</si>
  <si>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</si>
  <si>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</si>
  <si>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</si>
  <si>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</si>
  <si>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</si>
  <si>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</si>
  <si>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</si>
  <si>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</si>
  <si>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</si>
  <si>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</si>
  <si>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</si>
  <si>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</si>
  <si>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</si>
  <si>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</si>
  <si>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</si>
  <si>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</si>
  <si>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</si>
  <si>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</si>
  <si>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</si>
  <si>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</si>
  <si>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</si>
  <si>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</si>
  <si>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</si>
  <si>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</si>
  <si>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</si>
  <si>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</si>
  <si>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</si>
  <si>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</si>
  <si>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</si>
  <si>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</si>
  <si>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</si>
  <si>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</si>
  <si>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</si>
  <si>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</si>
  <si>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</si>
  <si>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</si>
  <si>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</si>
  <si>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</si>
  <si>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</si>
  <si>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</si>
  <si>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</si>
  <si>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</si>
  <si>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</si>
  <si>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</si>
  <si>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</si>
  <si>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</si>
  <si>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</si>
  <si>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</si>
  <si>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</si>
  <si>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</si>
  <si>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</si>
  <si>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</si>
  <si>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</si>
  <si>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</si>
  <si>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</si>
  <si>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</si>
  <si>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</si>
  <si>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</si>
  <si>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</si>
  <si>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</si>
  <si>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</si>
  <si>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</si>
  <si>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</si>
  <si>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</si>
  <si>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</si>
  <si>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</si>
  <si>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</si>
  <si>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</si>
  <si>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</si>
  <si>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</si>
  <si>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</si>
  <si>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</si>
  <si>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</si>
  <si>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</si>
  <si>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</si>
  <si>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</si>
  <si>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</si>
  <si>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</si>
  <si>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</si>
  <si>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</si>
  <si>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</si>
  <si>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</si>
  <si>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</si>
  <si>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</si>
  <si>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</si>
  <si>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</si>
  <si>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</si>
  <si>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</si>
  <si>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</si>
  <si>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</si>
  <si>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</si>
  <si>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</si>
  <si>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</si>
  <si>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</si>
  <si>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</si>
  <si>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</si>
  <si>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</si>
  <si>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</si>
  <si>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</si>
  <si>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</si>
  <si>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</si>
  <si>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</si>
  <si>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</si>
  <si>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</si>
  <si>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</si>
  <si>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</si>
  <si>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</si>
  <si>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</si>
  <si>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</si>
  <si>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</si>
  <si>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</si>
  <si>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</si>
  <si>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</si>
  <si>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</si>
  <si>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</si>
  <si>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</si>
  <si>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</si>
  <si>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</si>
  <si>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</si>
  <si>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</si>
  <si>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</si>
  <si>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</si>
  <si>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</si>
  <si>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</si>
  <si>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</si>
  <si>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</si>
  <si>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</si>
  <si>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</si>
  <si>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</si>
  <si>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</si>
  <si>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</si>
  <si>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</si>
  <si>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</si>
  <si>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</si>
  <si>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</si>
  <si>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</si>
  <si>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</si>
  <si>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</si>
  <si>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</si>
  <si>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</si>
  <si>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</si>
  <si>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</si>
  <si>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</si>
  <si>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</si>
  <si>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</si>
  <si>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</si>
  <si>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</si>
  <si>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</si>
  <si>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</si>
  <si>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</si>
  <si>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</si>
  <si>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</si>
  <si>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</si>
  <si>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</si>
  <si>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</si>
  <si>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</si>
  <si>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</si>
  <si>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</si>
  <si>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</si>
  <si>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</si>
  <si>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</si>
  <si>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</si>
  <si>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</si>
  <si>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</si>
  <si>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</si>
  <si>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</si>
  <si>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</si>
  <si>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</si>
  <si>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</si>
  <si>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</si>
  <si>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</si>
  <si>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</si>
  <si>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</si>
  <si>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</si>
  <si>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</si>
  <si>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</si>
  <si>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</si>
  <si>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</si>
  <si>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</si>
  <si>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</si>
  <si>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</si>
  <si>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</si>
  <si>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</si>
  <si>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</si>
  <si>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</si>
  <si>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</si>
  <si>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</si>
  <si>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</si>
  <si>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</si>
  <si>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</si>
  <si>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</si>
  <si>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</si>
  <si>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</si>
  <si>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</si>
  <si>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</si>
  <si>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</si>
  <si>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</si>
  <si>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</si>
  <si>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</si>
  <si>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</si>
  <si>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</si>
  <si>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</si>
  <si>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</si>
  <si>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</si>
  <si>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</si>
  <si>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</si>
  <si>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</si>
  <si>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</si>
  <si>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</si>
  <si>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</si>
  <si>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</si>
  <si>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</si>
  <si>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</si>
  <si>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</si>
  <si>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</si>
  <si>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</si>
  <si>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</si>
  <si>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</si>
  <si>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</si>
  <si>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</si>
  <si>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</si>
  <si>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</si>
  <si>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</si>
  <si>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</si>
  <si>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</si>
  <si>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</si>
  <si>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</si>
  <si>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</si>
  <si>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</si>
  <si>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</si>
  <si>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</si>
  <si>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</si>
  <si>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</si>
  <si>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</si>
  <si>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</si>
  <si>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</si>
  <si>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</si>
  <si>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</si>
  <si>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</si>
  <si>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</si>
  <si>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</si>
  <si>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</si>
  <si>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</si>
  <si>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</si>
  <si>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</si>
  <si>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</si>
  <si>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</si>
  <si>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</si>
  <si>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</si>
  <si>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</si>
  <si>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</si>
  <si>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</si>
  <si>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</si>
  <si>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</si>
  <si>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</si>
  <si>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</si>
  <si>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</si>
  <si>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</si>
  <si>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</si>
  <si>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</si>
  <si>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</si>
  <si>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</si>
  <si>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</si>
  <si>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</si>
  <si>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</si>
  <si>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</si>
  <si>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</si>
  <si>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</si>
  <si>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</si>
  <si>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</si>
  <si>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</si>
  <si>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</si>
  <si>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</si>
  <si>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</si>
  <si>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</si>
  <si>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</si>
  <si>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</si>
  <si>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</si>
  <si>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</si>
  <si>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</si>
  <si>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</si>
  <si>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</si>
  <si>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</si>
  <si>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</si>
  <si>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</si>
  <si>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</si>
  <si>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</si>
  <si>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</si>
  <si>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</si>
  <si>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</si>
  <si>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</si>
  <si>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</si>
  <si>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</si>
  <si>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</si>
  <si>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</si>
  <si>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</si>
  <si>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</si>
  <si>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</si>
  <si>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</si>
  <si>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</si>
  <si>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</si>
  <si>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</si>
  <si>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</si>
  <si>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</si>
  <si>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</si>
  <si>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</si>
  <si>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</si>
  <si>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</si>
  <si>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</si>
  <si>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</si>
  <si>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</si>
  <si>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</si>
  <si>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</si>
  <si>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</si>
  <si>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</si>
  <si>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</si>
  <si>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</si>
  <si>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</si>
  <si>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</si>
  <si>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</si>
  <si>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</si>
  <si>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</si>
  <si>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</si>
  <si>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</si>
  <si>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</si>
  <si>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</si>
  <si>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</si>
  <si>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</si>
  <si>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</si>
  <si>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</si>
  <si>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</si>
  <si>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</si>
  <si>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</si>
  <si>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</si>
  <si>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</si>
  <si>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</si>
  <si>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</si>
  <si>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</si>
  <si>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</si>
  <si>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</si>
  <si>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</si>
  <si>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</si>
  <si>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</si>
  <si>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</si>
  <si>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</si>
  <si>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</si>
  <si>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</si>
  <si>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</si>
  <si>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</si>
  <si>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</si>
  <si>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</si>
  <si>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</si>
  <si>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</si>
  <si>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</si>
  <si>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</si>
  <si>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</si>
  <si>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</si>
  <si>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</si>
  <si>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</si>
  <si>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</si>
  <si>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</si>
  <si>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</si>
  <si>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</si>
  <si>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</si>
  <si>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</si>
  <si>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</si>
  <si>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</si>
  <si>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</si>
  <si>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</si>
  <si>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</si>
  <si>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</si>
  <si>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</si>
  <si>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</si>
  <si>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</si>
  <si>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</si>
  <si>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</si>
  <si>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</si>
  <si>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</si>
  <si>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</si>
  <si>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</si>
  <si>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</si>
  <si>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</si>
  <si>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</si>
  <si>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</si>
  <si>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</si>
  <si>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</si>
  <si>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</si>
  <si>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</si>
  <si>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</si>
  <si>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</si>
  <si>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</si>
  <si>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</si>
  <si>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</si>
  <si>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</si>
  <si>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</si>
  <si>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</si>
  <si>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</si>
  <si>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</si>
  <si>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</si>
  <si>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</si>
  <si>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</si>
  <si>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</si>
  <si>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</si>
  <si>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</si>
  <si>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</si>
  <si>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</si>
  <si>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</si>
  <si>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</si>
  <si>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</si>
  <si>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</si>
  <si>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</si>
  <si>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</si>
  <si>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</si>
  <si>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</si>
  <si>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</si>
  <si>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</si>
  <si>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</si>
  <si>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</si>
  <si>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</si>
  <si>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</si>
  <si>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</si>
  <si>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</si>
  <si>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</si>
  <si>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</si>
  <si>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</si>
  <si>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</si>
  <si>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</si>
  <si>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</si>
  <si>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</si>
  <si>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</si>
  <si>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</si>
  <si>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</si>
  <si>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</si>
  <si>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</si>
  <si>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</si>
  <si>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</si>
  <si>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</si>
  <si>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</si>
  <si>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</si>
  <si>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</si>
  <si>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</si>
  <si>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</si>
  <si>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</si>
  <si>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</si>
  <si>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</si>
  <si>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</si>
  <si>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</si>
  <si>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</si>
  <si>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</si>
  <si>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</si>
  <si>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</si>
  <si>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</si>
  <si>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</si>
  <si>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</si>
  <si>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</si>
  <si>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</si>
  <si>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</si>
  <si>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</si>
  <si>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</si>
  <si>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</si>
  <si>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</si>
  <si>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</si>
  <si>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</si>
  <si>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</si>
  <si>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</si>
  <si>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</si>
  <si>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</si>
  <si>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</si>
  <si>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</si>
  <si>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</si>
  <si>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</si>
  <si>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</si>
  <si>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</si>
  <si>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</si>
  <si>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</si>
  <si>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</si>
  <si>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</si>
  <si>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</si>
  <si>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</si>
  <si>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</si>
  <si>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</si>
  <si>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</si>
  <si>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</si>
  <si>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</si>
  <si>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</si>
  <si>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</si>
  <si>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</si>
  <si>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</si>
  <si>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</si>
  <si>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</si>
  <si>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</si>
  <si>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</si>
  <si>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</si>
  <si>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</si>
  <si>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</si>
  <si>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</si>
  <si>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</si>
  <si>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</si>
  <si>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</si>
  <si>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</si>
  <si>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</si>
  <si>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</si>
  <si>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</si>
  <si>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</si>
  <si>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</si>
  <si>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</si>
  <si>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</si>
  <si>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</si>
  <si>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</si>
  <si>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</si>
  <si>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</si>
  <si>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</si>
  <si>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</si>
  <si>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</si>
  <si>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</si>
  <si>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</si>
  <si>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</si>
  <si>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</si>
  <si>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</si>
  <si>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</si>
  <si>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</si>
  <si>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</si>
  <si>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</si>
  <si>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</si>
  <si>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</si>
  <si>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</si>
  <si>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</si>
  <si>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</si>
  <si>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</si>
  <si>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</si>
  <si>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</si>
  <si>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</si>
  <si>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</si>
  <si>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</si>
  <si>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</si>
  <si>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</si>
  <si>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</si>
  <si>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</si>
  <si>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</si>
  <si>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</si>
  <si>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</si>
  <si>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</si>
  <si>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</si>
  <si>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</si>
  <si>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</si>
  <si>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</si>
  <si>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</si>
  <si>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</si>
  <si>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</si>
  <si>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</si>
  <si>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</si>
  <si>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</si>
  <si>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</si>
  <si>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</si>
  <si>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</si>
  <si>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</si>
  <si>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</si>
  <si>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</si>
  <si>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</si>
  <si>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</si>
  <si>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</si>
  <si>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</si>
  <si>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</si>
  <si>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</si>
  <si>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</si>
  <si>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</si>
  <si>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</si>
  <si>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</si>
  <si>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</si>
  <si>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</si>
  <si>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</si>
  <si>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</si>
  <si>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</si>
  <si>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</si>
  <si>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</si>
  <si>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</si>
  <si>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</si>
  <si>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</si>
  <si>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</si>
  <si>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</si>
  <si>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</si>
  <si>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</si>
  <si>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</si>
  <si>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</si>
  <si>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</si>
  <si>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</si>
  <si>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</si>
  <si>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</si>
  <si>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</si>
  <si>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</si>
  <si>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</si>
  <si>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</si>
  <si>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</si>
  <si>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</si>
  <si>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</si>
  <si>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</si>
  <si>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</si>
  <si>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</si>
  <si>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</si>
  <si>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</si>
  <si>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</si>
  <si>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</si>
  <si>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</si>
  <si>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</si>
  <si>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</si>
  <si>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</si>
  <si>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</si>
  <si>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</si>
  <si>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</si>
  <si>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</si>
  <si>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</si>
  <si>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</si>
  <si>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</si>
  <si>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</si>
  <si>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</si>
  <si>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</si>
  <si>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</si>
  <si>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</si>
  <si>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</si>
  <si>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</si>
  <si>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</si>
  <si>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</si>
  <si>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</si>
  <si>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</si>
  <si>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</si>
  <si>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</si>
  <si>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</si>
  <si>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</si>
  <si>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</si>
  <si>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</si>
  <si>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</si>
  <si>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</si>
  <si>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</si>
  <si>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</si>
  <si>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</si>
  <si>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</si>
  <si>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</si>
  <si>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</si>
  <si>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</si>
  <si>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</si>
  <si>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</si>
  <si>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</si>
  <si>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</si>
  <si>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</si>
  <si>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</si>
  <si>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</si>
  <si>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</si>
  <si>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</si>
  <si>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</si>
  <si>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</si>
  <si>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</si>
  <si>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</si>
  <si>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</si>
  <si>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</si>
  <si>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</si>
  <si>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</si>
  <si>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</si>
  <si>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</si>
  <si>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</si>
  <si>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</si>
  <si>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</si>
  <si>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</si>
  <si>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</si>
  <si>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</si>
  <si>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</si>
  <si>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</si>
  <si>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</si>
  <si>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</si>
  <si>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</si>
  <si>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</si>
  <si>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</si>
  <si>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</si>
  <si>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</si>
  <si>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</si>
  <si>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</si>
  <si>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</si>
  <si>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</si>
  <si>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</si>
  <si>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</si>
  <si>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</si>
  <si>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</si>
  <si>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</si>
  <si>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</si>
  <si>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</si>
  <si>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</si>
  <si>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</si>
  <si>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</si>
  <si>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</si>
  <si>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</si>
  <si>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</si>
  <si>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</si>
  <si>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</si>
  <si>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</si>
  <si>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</si>
  <si>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</si>
  <si>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</si>
  <si>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</si>
  <si>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</si>
  <si>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</si>
  <si>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</si>
  <si>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</si>
  <si>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</si>
  <si>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</si>
  <si>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</si>
  <si>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</si>
  <si>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</si>
  <si>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</si>
  <si>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</si>
  <si>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</si>
  <si>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</si>
  <si>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</si>
  <si>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</si>
  <si>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</si>
  <si>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</si>
  <si>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</si>
  <si>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</si>
  <si>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</si>
  <si>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</si>
  <si>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</si>
  <si>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</si>
  <si>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</si>
  <si>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</si>
  <si>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</si>
  <si>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</si>
  <si>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</si>
  <si>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</si>
  <si>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</si>
  <si>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</si>
  <si>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</si>
  <si>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</si>
  <si>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</si>
  <si>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</si>
  <si>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</si>
  <si>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</si>
  <si>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</si>
  <si>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</si>
  <si>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</si>
  <si>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</si>
  <si>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</si>
  <si>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</si>
  <si>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</si>
  <si>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</si>
  <si>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</si>
  <si>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</si>
  <si>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</si>
  <si>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</si>
  <si>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</si>
  <si>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</si>
  <si>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</si>
  <si>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</si>
  <si>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</si>
  <si>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</si>
  <si>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</si>
  <si>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</si>
  <si>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</si>
  <si>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</si>
  <si>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</si>
  <si>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</si>
  <si>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</si>
  <si>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</si>
  <si>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</si>
  <si>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</si>
  <si>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</si>
  <si>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</si>
  <si>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</si>
  <si>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</si>
  <si>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</si>
  <si>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</si>
  <si>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</si>
  <si>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</si>
  <si>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</si>
  <si>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</si>
  <si>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</si>
  <si>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</si>
  <si>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</si>
  <si>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</si>
  <si>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</si>
  <si>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</si>
  <si>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</si>
  <si>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</si>
  <si>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</si>
  <si>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</si>
  <si>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Dây buộc cổ sứ từ tính dây 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</si>
  <si>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</si>
  <si>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</si>
  <si>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</si>
  <si>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</si>
  <si>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</si>
  <si>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</si>
  <si>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</si>
  <si>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FCO-27KV-100A + dây chảy 3K</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</si>
  <si>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</si>
  <si>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</si>
  <si>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</si>
  <si>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</si>
  <si>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</si>
  <si>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</si>
  <si>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</si>
  <si>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</si>
  <si>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</si>
  <si>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</si>
  <si>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</si>
  <si>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</si>
  <si>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</si>
  <si>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</si>
  <si>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</si>
  <si>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</si>
  <si>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</si>
  <si>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</si>
  <si>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</si>
  <si>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</si>
  <si>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</si>
  <si>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</si>
  <si>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</si>
  <si>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</si>
  <si>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</si>
  <si>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</si>
  <si>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</si>
  <si>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</si>
  <si>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</si>
  <si>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</si>
  <si>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</si>
  <si>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</si>
  <si>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</si>
  <si>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</si>
  <si>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</si>
  <si>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</si>
  <si>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</si>
  <si>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</si>
  <si>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</si>
  <si>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</si>
  <si>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</si>
  <si>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</si>
  <si>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</si>
  <si>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</si>
  <si>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</si>
  <si>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</si>
  <si>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</si>
  <si>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</si>
  <si>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</si>
  <si>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</si>
  <si>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</si>
  <si>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</si>
  <si>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</si>
  <si>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</si>
  <si>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</si>
  <si>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</si>
  <si>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</si>
  <si>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</si>
  <si>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</si>
  <si>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</si>
  <si>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</si>
  <si>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</si>
  <si>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</si>
  <si>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</si>
  <si>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</si>
  <si>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</si>
  <si>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</si>
  <si>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</si>
  <si>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</si>
  <si>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</si>
  <si>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</si>
  <si>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</si>
  <si>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</si>
  <si>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</si>
  <si>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</si>
  <si>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</si>
  <si>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</si>
  <si>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</si>
  <si>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</si>
  <si>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</si>
  <si>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16g00</t>
  </si>
  <si>
    <t>Bắt đầu: .......... giờ .......... ngày .......... tháng.......... năm 2020.
Kết thúc:.......... giờ .......... ngày.......... tháng .......... năm 2020.</t>
  </si>
  <si>
    <t>Xuân Hiệp</t>
  </si>
  <si>
    <t xml:space="preserve">BTLT 12 </t>
  </si>
  <si>
    <t>OXC</t>
  </si>
  <si>
    <t>Comp24</t>
  </si>
  <si>
    <t>TCX</t>
  </si>
  <si>
    <t>B16550</t>
  </si>
  <si>
    <t>d21</t>
  </si>
  <si>
    <t>t199</t>
  </si>
  <si>
    <t>BANGKEOt</t>
  </si>
  <si>
    <t>Dbstt</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</si>
  <si>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</si>
  <si>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</si>
  <si>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</si>
  <si>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</si>
  <si>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</si>
  <si>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</si>
  <si>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</si>
  <si>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</si>
  <si>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</si>
  <si>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</si>
  <si>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</si>
  <si>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Dây buộc đầu sứ TTF (50-70mm2)</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</si>
  <si>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</si>
  <si>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</si>
  <si>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</si>
  <si>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</si>
  <si>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</si>
  <si>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</si>
  <si>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</si>
  <si>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</si>
  <si>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</si>
  <si>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</si>
  <si>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</si>
  <si>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</si>
  <si>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TUHI3P</t>
  </si>
  <si>
    <t>CUT114135</t>
  </si>
  <si>
    <t>CD114dd23</t>
  </si>
  <si>
    <t>CD114dd28</t>
  </si>
  <si>
    <t>cv</t>
  </si>
  <si>
    <t>Boulon 16x550+ long đền vuông D18-50x50x3/Zn</t>
  </si>
  <si>
    <t>xx</t>
  </si>
  <si>
    <t>xxx</t>
  </si>
  <si>
    <t>015/01/01</t>
  </si>
  <si>
    <t>015/01/16</t>
  </si>
  <si>
    <t>048/001</t>
  </si>
  <si>
    <t>DBCST</t>
  </si>
  <si>
    <t>Dây phi kim buộc cổ sứ (trụ thẳng)</t>
  </si>
  <si>
    <t>DBCSG</t>
  </si>
  <si>
    <t>Dây phi kim buộc cổ sứ (trụ góc)</t>
  </si>
  <si>
    <t>Dây nhôm A70 buột sứ</t>
  </si>
  <si>
    <t>DbsSSF</t>
  </si>
  <si>
    <t>Dây buộc cổ sứ SSF (50-70mm2)</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</si>
  <si>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</si>
  <si>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</si>
  <si>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</si>
  <si>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</si>
  <si>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</si>
  <si>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</si>
  <si>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</si>
  <si>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</si>
  <si>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</si>
  <si>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</si>
  <si>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</si>
  <si>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</si>
  <si>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</si>
  <si>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</si>
  <si>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</si>
  <si>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</si>
  <si>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</si>
  <si>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</si>
  <si>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</si>
  <si>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</si>
  <si>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</si>
  <si>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</si>
  <si>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</si>
  <si>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</si>
  <si>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</si>
  <si>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</si>
  <si>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</si>
  <si>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</si>
  <si>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</si>
  <si>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</si>
  <si>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</si>
  <si>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</si>
  <si>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</si>
  <si>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</si>
  <si>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</si>
  <si>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</si>
  <si>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</si>
  <si>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</si>
  <si>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</si>
  <si>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</si>
  <si>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</si>
  <si>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</si>
  <si>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</si>
  <si>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</si>
  <si>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</si>
  <si>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</si>
  <si>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</si>
  <si>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</si>
  <si>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</si>
  <si>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</si>
  <si>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</si>
  <si>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</si>
  <si>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</si>
  <si>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</si>
  <si>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</si>
  <si>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</si>
  <si>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</si>
  <si>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</si>
  <si>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</si>
  <si>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</si>
  <si>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</si>
  <si>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</si>
  <si>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</si>
  <si>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</si>
  <si>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</si>
  <si>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</si>
  <si>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</si>
  <si>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</si>
  <si>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</si>
  <si>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</si>
  <si>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</si>
  <si>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</si>
  <si>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</si>
  <si>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</si>
  <si>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</si>
  <si>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</si>
  <si>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</si>
  <si>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</si>
  <si>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</si>
  <si>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</si>
  <si>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</si>
  <si>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</si>
  <si>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</si>
  <si>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</si>
  <si>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</si>
  <si>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</si>
  <si>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</si>
  <si>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</si>
  <si>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</si>
  <si>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</si>
  <si>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XLPE120ACX</t>
  </si>
  <si>
    <t>Cáp 24KV AC/XLPE 120mm2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</si>
  <si>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</si>
  <si>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</si>
  <si>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</si>
  <si>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</si>
  <si>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</si>
  <si>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</si>
  <si>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</si>
  <si>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</si>
  <si>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</si>
  <si>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</si>
  <si>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</si>
  <si>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</si>
  <si>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</si>
  <si>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</si>
  <si>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</si>
  <si>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</si>
  <si>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</si>
  <si>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</si>
  <si>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</si>
  <si>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</si>
  <si>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</si>
  <si>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</si>
  <si>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</si>
  <si>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</si>
  <si>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</si>
  <si>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</si>
  <si>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</si>
  <si>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</si>
  <si>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</si>
  <si>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</si>
  <si>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</si>
  <si>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</si>
  <si>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</si>
  <si>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</si>
  <si>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</si>
  <si>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</si>
  <si>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</si>
  <si>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</si>
  <si>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</si>
  <si>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</si>
  <si>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</si>
  <si>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</si>
  <si>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</si>
  <si>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</si>
  <si>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</si>
  <si>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</si>
  <si>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</si>
  <si>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</si>
  <si>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</si>
  <si>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</si>
  <si>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</si>
  <si>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</si>
  <si>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ttf02</t>
  </si>
  <si>
    <t>Dây buộc cổ sứ đỡ thẳng TTF 1202 (70-95mm2)</t>
  </si>
  <si>
    <t>ssf02</t>
  </si>
  <si>
    <t>Dây buộc cổ sứ đỡ góc SSF 2202 (70-95mm2)</t>
  </si>
  <si>
    <t>ttf01</t>
  </si>
  <si>
    <t>Dây buộc đầu sứ đỡ thẳng 50mm2</t>
  </si>
  <si>
    <t>ssf01</t>
  </si>
  <si>
    <t>Dây buộc cổ sứ đỡ góc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</si>
  <si>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</si>
  <si>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</si>
  <si>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</si>
  <si>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</si>
  <si>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</si>
  <si>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</si>
  <si>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</si>
  <si>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</si>
  <si>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</si>
  <si>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</si>
  <si>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</si>
  <si>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</si>
  <si>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</si>
  <si>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</si>
  <si>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</si>
  <si>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</si>
  <si>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</si>
  <si>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</si>
  <si>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</si>
  <si>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</si>
  <si>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</si>
  <si>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</si>
  <si>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</si>
  <si>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</si>
  <si>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</si>
  <si>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</si>
  <si>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</si>
  <si>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</si>
  <si>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</si>
  <si>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</si>
  <si>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</si>
  <si>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</si>
  <si>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</si>
  <si>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</si>
  <si>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</si>
  <si>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</si>
  <si>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</si>
  <si>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</si>
  <si>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</si>
  <si>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</si>
  <si>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</si>
  <si>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</si>
  <si>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</si>
  <si>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</si>
  <si>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</si>
  <si>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</si>
  <si>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</si>
  <si>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</si>
  <si>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</si>
  <si>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</si>
  <si>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</si>
  <si>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</si>
  <si>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</si>
  <si>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</si>
  <si>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</si>
  <si>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</si>
  <si>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</si>
  <si>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</si>
  <si>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</si>
  <si>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</si>
  <si>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</si>
  <si>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</si>
  <si>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</si>
  <si>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</si>
  <si>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</si>
  <si>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</si>
  <si>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</si>
  <si>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</si>
  <si>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</si>
  <si>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</si>
  <si>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</si>
  <si>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</si>
  <si>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</si>
  <si>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</si>
  <si>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</si>
  <si>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</si>
  <si>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</si>
  <si>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</si>
  <si>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</si>
  <si>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</si>
  <si>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</si>
  <si>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</si>
  <si>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</si>
  <si>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</si>
  <si>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</si>
  <si>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</si>
  <si>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</si>
  <si>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</si>
  <si>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</si>
  <si>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</si>
  <si>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</si>
  <si>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</si>
  <si>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</si>
  <si>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</si>
  <si>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</si>
  <si>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</si>
  <si>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</si>
  <si>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</si>
  <si>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</si>
  <si>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</si>
  <si>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</si>
  <si>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</si>
  <si>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</si>
  <si>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</si>
  <si>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</si>
  <si>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</si>
  <si>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</si>
  <si>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</si>
  <si>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</si>
  <si>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</si>
  <si>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</si>
  <si>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</si>
  <si>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</si>
  <si>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</si>
  <si>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</si>
  <si>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</si>
  <si>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</si>
  <si>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</si>
  <si>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</si>
  <si>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</si>
  <si>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</si>
  <si>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</si>
  <si>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</si>
  <si>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</si>
  <si>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</si>
  <si>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</si>
  <si>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</si>
  <si>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</si>
  <si>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Trụ BTLT 12m F350 dự ứng lực có dây tiếp địa trong thân trụ</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</si>
  <si>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</si>
  <si>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</si>
  <si>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</si>
  <si>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</si>
  <si>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</si>
  <si>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</si>
  <si>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</si>
  <si>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</si>
  <si>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</si>
  <si>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</si>
  <si>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</si>
  <si>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</si>
  <si>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</si>
  <si>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</si>
  <si>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</si>
  <si>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</si>
  <si>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</si>
  <si>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</si>
  <si>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</si>
  <si>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</si>
  <si>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</si>
  <si>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</si>
  <si>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</si>
  <si>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</si>
  <si>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</si>
  <si>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</si>
  <si>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</si>
  <si>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</si>
  <si>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</si>
  <si>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</si>
  <si>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</si>
  <si>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</si>
  <si>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</si>
  <si>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</si>
  <si>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</si>
  <si>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</si>
  <si>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</si>
  <si>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</si>
  <si>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</si>
  <si>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</si>
  <si>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</si>
  <si>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</si>
  <si>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</si>
  <si>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</si>
  <si>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</si>
  <si>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</si>
  <si>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</si>
  <si>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</si>
  <si>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</si>
  <si>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</si>
  <si>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</si>
  <si>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</si>
  <si>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</si>
  <si>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</si>
  <si>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</si>
  <si>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</si>
  <si>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</si>
  <si>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</si>
  <si>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</si>
  <si>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</si>
  <si>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</si>
  <si>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</si>
  <si>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</si>
  <si>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</si>
  <si>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</si>
  <si>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</si>
  <si>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</si>
  <si>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</si>
  <si>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</si>
  <si>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</si>
  <si>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</si>
  <si>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</si>
  <si>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</si>
  <si>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</si>
  <si>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</si>
  <si>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</si>
  <si>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</si>
  <si>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</si>
  <si>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</si>
  <si>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</si>
  <si>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</si>
  <si>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</si>
  <si>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</si>
  <si>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</si>
  <si>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</si>
  <si>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</si>
  <si>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</si>
  <si>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</si>
  <si>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</si>
  <si>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</si>
  <si>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</si>
  <si>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</si>
  <si>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</si>
  <si>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</si>
  <si>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</si>
  <si>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</si>
  <si>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</si>
  <si>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</si>
  <si>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</si>
  <si>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</si>
  <si>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</si>
  <si>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</si>
  <si>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</si>
  <si>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</si>
  <si>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</si>
  <si>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</si>
  <si>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</si>
  <si>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</si>
  <si>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</si>
  <si>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</si>
  <si>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</si>
  <si>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</si>
  <si>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</si>
  <si>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</si>
  <si>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</si>
  <si>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</si>
  <si>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</si>
  <si>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</si>
  <si>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</si>
  <si>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</si>
  <si>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</si>
  <si>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</si>
  <si>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</si>
  <si>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</si>
  <si>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</si>
  <si>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</si>
  <si>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</si>
  <si>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</si>
  <si>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</si>
  <si>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</si>
  <si>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</si>
  <si>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</si>
  <si>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</si>
  <si>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</si>
  <si>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</si>
  <si>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</si>
  <si>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</si>
  <si>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</si>
  <si>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</si>
  <si>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</si>
  <si>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</si>
  <si>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</si>
  <si>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</si>
  <si>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</si>
  <si>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</si>
  <si>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</si>
  <si>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</si>
  <si>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</si>
  <si>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</si>
  <si>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</si>
  <si>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</si>
  <si>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</si>
  <si>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</si>
  <si>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</si>
  <si>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</si>
  <si>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</si>
  <si>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</si>
  <si>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</si>
  <si>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</si>
  <si>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</si>
  <si>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</si>
  <si>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</si>
  <si>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</si>
  <si>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</si>
  <si>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</si>
  <si>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</si>
  <si>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</si>
  <si>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</si>
  <si>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</si>
  <si>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</si>
  <si>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</si>
  <si>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</si>
  <si>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</si>
  <si>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</si>
  <si>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</si>
  <si>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</si>
  <si>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</si>
  <si>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</si>
  <si>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</si>
  <si>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</si>
  <si>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</si>
  <si>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</si>
  <si>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</si>
  <si>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</si>
  <si>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</si>
  <si>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</si>
  <si>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</si>
  <si>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</si>
  <si>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</si>
  <si>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</si>
  <si>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</si>
  <si>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</si>
  <si>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</si>
  <si>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</si>
  <si>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</si>
  <si>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</si>
  <si>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</si>
  <si>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</si>
  <si>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</si>
  <si>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</si>
  <si>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</si>
  <si>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</si>
  <si>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</si>
  <si>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</si>
  <si>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</si>
  <si>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</si>
  <si>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</si>
  <si>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</si>
  <si>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</si>
  <si>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</si>
  <si>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</si>
  <si>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</si>
  <si>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</si>
  <si>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</si>
  <si>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</si>
  <si>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</si>
  <si>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</si>
  <si>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</si>
  <si>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</si>
  <si>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</si>
  <si>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</si>
  <si>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</si>
  <si>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</si>
  <si>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</si>
  <si>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</si>
  <si>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</si>
  <si>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</si>
  <si>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</si>
  <si>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</si>
  <si>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</si>
  <si>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</si>
  <si>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</si>
  <si>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</si>
  <si>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</si>
  <si>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</si>
  <si>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</si>
  <si>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</si>
  <si>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</si>
  <si>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</si>
  <si>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</si>
  <si>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</si>
  <si>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</si>
  <si>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</si>
  <si>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</si>
  <si>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</si>
  <si>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</si>
  <si>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</si>
  <si>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</si>
  <si>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</si>
  <si>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</si>
  <si>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</si>
  <si>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</si>
  <si>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</si>
  <si>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</si>
  <si>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</si>
  <si>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</si>
  <si>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</si>
  <si>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</si>
  <si>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</si>
  <si>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</si>
  <si>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</si>
  <si>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</si>
  <si>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</si>
  <si>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</si>
  <si>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</si>
  <si>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</si>
  <si>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</si>
  <si>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</si>
  <si>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</si>
  <si>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</si>
  <si>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</si>
  <si>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</si>
  <si>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</si>
  <si>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</si>
  <si>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</si>
  <si>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</si>
  <si>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</si>
  <si>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</si>
  <si>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</si>
  <si>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</si>
  <si>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</si>
  <si>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</si>
  <si>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</si>
  <si>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</si>
  <si>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</si>
  <si>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</si>
  <si>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</si>
  <si>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</si>
  <si>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</si>
  <si>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</si>
  <si>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</si>
  <si>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</si>
  <si>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</si>
  <si>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</si>
  <si>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</si>
  <si>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</si>
  <si>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</si>
  <si>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</si>
  <si>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</si>
  <si>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</si>
  <si>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</si>
  <si>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</si>
  <si>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</si>
  <si>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</si>
  <si>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</si>
  <si>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</si>
  <si>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</si>
  <si>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</si>
  <si>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</si>
  <si>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</si>
  <si>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</si>
  <si>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</si>
  <si>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</si>
  <si>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</si>
  <si>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</si>
  <si>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</si>
  <si>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</si>
  <si>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</si>
  <si>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</si>
  <si>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</si>
  <si>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</si>
  <si>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</si>
  <si>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</si>
  <si>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</si>
  <si>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</si>
  <si>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</si>
  <si>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</si>
  <si>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</si>
  <si>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</si>
  <si>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</si>
  <si>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</si>
  <si>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</si>
  <si>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</si>
  <si>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</si>
  <si>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</si>
  <si>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</si>
  <si>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</si>
  <si>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</si>
  <si>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</si>
  <si>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</si>
  <si>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</si>
  <si>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</si>
  <si>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</si>
  <si>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</si>
  <si>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</si>
  <si>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</si>
  <si>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</si>
  <si>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</si>
  <si>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</si>
  <si>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</si>
  <si>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</si>
  <si>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</si>
  <si>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</si>
  <si>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</si>
  <si>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</si>
  <si>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</si>
  <si>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</si>
  <si>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</si>
  <si>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</si>
  <si>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</si>
  <si>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</si>
  <si>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</si>
  <si>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</si>
  <si>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</si>
  <si>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</si>
  <si>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</si>
  <si>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</si>
  <si>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</si>
  <si>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</si>
  <si>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</si>
  <si>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</si>
  <si>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</si>
  <si>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</si>
  <si>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</si>
  <si>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</si>
  <si>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</si>
  <si>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</si>
  <si>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</si>
  <si>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</si>
  <si>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</si>
  <si>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</si>
  <si>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</si>
  <si>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</si>
  <si>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</si>
  <si>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</si>
  <si>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</si>
  <si>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</si>
  <si>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</si>
  <si>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</si>
  <si>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</si>
  <si>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</si>
  <si>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</si>
  <si>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</si>
  <si>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</si>
  <si>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</si>
  <si>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</si>
  <si>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</si>
  <si>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</si>
  <si>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</si>
  <si>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</si>
  <si>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</si>
  <si>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</si>
  <si>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</si>
  <si>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</si>
  <si>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</si>
  <si>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</si>
  <si>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</si>
  <si>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</si>
  <si>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</si>
  <si>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</si>
  <si>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</si>
  <si>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</si>
  <si>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</si>
  <si>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</si>
  <si>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</si>
  <si>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</si>
  <si>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</si>
  <si>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</si>
  <si>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</si>
  <si>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</si>
  <si>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</si>
  <si>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</si>
  <si>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</si>
  <si>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</si>
  <si>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</si>
  <si>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</si>
  <si>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</si>
  <si>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</si>
  <si>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</si>
  <si>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</si>
  <si>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</si>
  <si>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</si>
  <si>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</si>
  <si>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</si>
  <si>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</si>
  <si>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</si>
  <si>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</si>
  <si>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</si>
  <si>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</si>
  <si>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</si>
  <si>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</si>
  <si>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</si>
  <si>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</si>
  <si>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</si>
  <si>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</si>
  <si>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</si>
  <si>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</si>
  <si>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</si>
  <si>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</si>
  <si>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</si>
  <si>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</si>
  <si>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</si>
  <si>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</si>
  <si>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</si>
  <si>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</si>
  <si>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</si>
  <si>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</si>
  <si>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</si>
  <si>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</si>
  <si>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</si>
  <si>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</si>
  <si>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</si>
  <si>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</si>
  <si>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</si>
  <si>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</si>
  <si>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</si>
  <si>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</si>
  <si>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</si>
  <si>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</si>
  <si>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</si>
  <si>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</si>
  <si>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</si>
  <si>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</si>
  <si>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</si>
  <si>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</si>
  <si>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</si>
  <si>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</si>
  <si>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</si>
  <si>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</si>
  <si>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</si>
  <si>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</si>
  <si>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</si>
  <si>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</si>
  <si>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</si>
  <si>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</si>
  <si>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</si>
  <si>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</si>
  <si>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</si>
  <si>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</si>
  <si>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</si>
  <si>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</si>
  <si>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</si>
  <si>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</si>
  <si>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</si>
  <si>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</si>
  <si>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</si>
  <si>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</si>
  <si>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</si>
  <si>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</si>
  <si>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</si>
  <si>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</si>
  <si>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</si>
  <si>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</si>
  <si>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</si>
  <si>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</si>
  <si>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</si>
  <si>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</si>
  <si>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</si>
  <si>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</si>
  <si>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</si>
  <si>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</si>
  <si>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</si>
  <si>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</si>
  <si>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</si>
  <si>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</si>
  <si>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</si>
  <si>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</si>
  <si>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</si>
  <si>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</si>
  <si>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</si>
  <si>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</si>
  <si>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</si>
  <si>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</si>
  <si>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</si>
  <si>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</si>
  <si>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</si>
  <si>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</si>
  <si>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</si>
  <si>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</si>
  <si>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</si>
  <si>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</si>
  <si>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</si>
  <si>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</si>
  <si>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</si>
  <si>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</si>
  <si>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</si>
  <si>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</si>
  <si>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</si>
  <si>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</si>
  <si>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</si>
  <si>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</si>
  <si>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</si>
  <si>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</si>
  <si>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</si>
  <si>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</si>
  <si>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</si>
  <si>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</si>
  <si>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</si>
  <si>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</si>
  <si>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</si>
  <si>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</si>
  <si>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</si>
  <si>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</si>
  <si>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</si>
  <si>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</si>
  <si>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</si>
  <si>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</si>
  <si>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</si>
  <si>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</si>
  <si>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</si>
  <si>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</si>
  <si>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</si>
  <si>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</si>
  <si>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</si>
  <si>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</si>
  <si>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</si>
  <si>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</si>
  <si>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</si>
  <si>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</si>
  <si>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</si>
  <si>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</si>
  <si>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</si>
  <si>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</si>
  <si>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</si>
  <si>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</si>
  <si>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</si>
  <si>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</si>
  <si>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</si>
  <si>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</si>
  <si>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</si>
  <si>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</si>
  <si>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</si>
  <si>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</si>
  <si>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</si>
  <si>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</si>
  <si>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</si>
  <si>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</si>
  <si>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</si>
  <si>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</si>
  <si>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</si>
  <si>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</si>
  <si>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</si>
  <si>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</si>
  <si>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</si>
  <si>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</si>
  <si>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</si>
  <si>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</si>
  <si>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</si>
  <si>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</si>
  <si>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</si>
  <si>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</si>
  <si>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</si>
  <si>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</si>
  <si>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</si>
  <si>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</si>
  <si>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</si>
  <si>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</si>
  <si>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</si>
  <si>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</si>
  <si>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</si>
  <si>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</si>
  <si>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</si>
  <si>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</si>
  <si>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</si>
  <si>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</si>
  <si>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</si>
  <si>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</si>
  <si>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</si>
  <si>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</si>
  <si>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</si>
  <si>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</si>
  <si>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</si>
  <si>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</si>
  <si>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</si>
  <si>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</si>
  <si>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</si>
  <si>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</si>
  <si>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</si>
  <si>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</si>
  <si>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</si>
  <si>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</si>
  <si>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</si>
  <si>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</si>
  <si>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</si>
  <si>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</si>
  <si>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</si>
  <si>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</si>
  <si>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</si>
  <si>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</si>
  <si>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</si>
  <si>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</si>
  <si>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</si>
  <si>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</si>
  <si>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</si>
  <si>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</si>
  <si>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</si>
  <si>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</si>
  <si>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</si>
  <si>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</si>
  <si>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</si>
  <si>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</si>
  <si>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</si>
  <si>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</si>
  <si>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</si>
  <si>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</si>
  <si>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</si>
  <si>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</si>
  <si>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</si>
  <si>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</si>
  <si>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</si>
  <si>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</si>
  <si>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</si>
  <si>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</si>
  <si>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</si>
  <si>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</si>
  <si>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</si>
  <si>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</si>
  <si>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</si>
  <si>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</si>
  <si>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</si>
  <si>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</si>
  <si>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</si>
  <si>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</si>
  <si>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</si>
  <si>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</si>
  <si>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</si>
  <si>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</si>
  <si>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</si>
  <si>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</si>
  <si>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</si>
  <si>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</si>
  <si>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</si>
  <si>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</si>
  <si>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</si>
  <si>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</si>
  <si>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</si>
  <si>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</si>
  <si>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</si>
  <si>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</si>
  <si>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</si>
  <si>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</si>
  <si>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</si>
  <si>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</si>
  <si>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</si>
  <si>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</si>
  <si>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</si>
  <si>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</si>
  <si>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</si>
  <si>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</si>
  <si>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</si>
  <si>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</si>
  <si>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</si>
  <si>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</si>
  <si>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</si>
  <si>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</si>
  <si>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</si>
  <si>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</si>
  <si>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</si>
  <si>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</si>
  <si>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</si>
  <si>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</si>
  <si>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</si>
  <si>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</si>
  <si>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</si>
  <si>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</si>
  <si>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</si>
  <si>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</si>
  <si>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</si>
  <si>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</si>
  <si>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</si>
  <si>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</si>
  <si>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</si>
  <si>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</si>
  <si>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</si>
  <si>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</si>
  <si>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</si>
  <si>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</si>
  <si>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</si>
  <si>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</si>
  <si>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</si>
  <si>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</si>
  <si>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</si>
  <si>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</si>
  <si>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</si>
  <si>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</si>
  <si>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</si>
  <si>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</si>
  <si>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</si>
  <si>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</si>
  <si>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</si>
  <si>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</si>
  <si>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</si>
  <si>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</si>
  <si>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</si>
  <si>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</si>
  <si>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</si>
  <si>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</si>
  <si>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</si>
  <si>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</si>
  <si>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</si>
  <si>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</si>
  <si>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</si>
  <si>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</si>
  <si>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</si>
  <si>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</si>
  <si>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</si>
  <si>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</si>
  <si>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</si>
  <si>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</si>
  <si>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</si>
  <si>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</si>
  <si>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</si>
  <si>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</si>
  <si>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</si>
  <si>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</si>
  <si>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</si>
  <si>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</si>
  <si>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</si>
  <si>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</si>
  <si>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</si>
  <si>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</si>
  <si>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</si>
  <si>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</si>
  <si>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</si>
  <si>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</si>
  <si>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</si>
  <si>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</si>
  <si>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</si>
  <si>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</si>
  <si>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</si>
  <si>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</si>
  <si>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</si>
  <si>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</si>
  <si>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</si>
  <si>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</si>
  <si>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</si>
  <si>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</si>
  <si>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</si>
  <si>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</si>
  <si>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</si>
  <si>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</si>
  <si>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</si>
  <si>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</si>
  <si>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</si>
  <si>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</si>
  <si>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</si>
  <si>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</si>
  <si>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</si>
  <si>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</si>
  <si>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</si>
  <si>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</si>
  <si>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</si>
  <si>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</si>
  <si>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</si>
  <si>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</si>
  <si>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</si>
  <si>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</si>
  <si>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</si>
  <si>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</si>
  <si>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</si>
  <si>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</si>
  <si>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</si>
  <si>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</si>
  <si>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</si>
  <si>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</si>
  <si>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</si>
  <si>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</si>
  <si>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</si>
  <si>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Trần Văn Sỹ</t>
  </si>
  <si>
    <t>CÔNG TY TNHH MTV 
THỊNH TOÀN PHÚC</t>
  </si>
  <si>
    <t>Phạm Thế Ngữ</t>
  </si>
  <si>
    <t>Lê Hoàng Linh</t>
  </si>
  <si>
    <t>Công ty TNHH Trang Song Anh</t>
  </si>
  <si>
    <t>CÔNG TY TNHH
TRANG SONG ANH</t>
  </si>
  <si>
    <t>Đoàn Quốc Hùng</t>
  </si>
  <si>
    <t>Trương Hồng Chinh</t>
  </si>
  <si>
    <t>036A/020</t>
  </si>
  <si>
    <t>021/001</t>
  </si>
  <si>
    <t>021/002</t>
  </si>
  <si>
    <t>Đầu cose Cu-AL 50mm2</t>
  </si>
  <si>
    <r>
      <t xml:space="preserve">Ống co nhiệt </t>
    </r>
    <r>
      <rPr>
        <sz val="10"/>
        <color indexed="10"/>
        <rFont val="Calibri"/>
        <family val="2"/>
      </rPr>
      <t>ф60</t>
    </r>
  </si>
  <si>
    <t>ocn</t>
  </si>
  <si>
    <t>Băng keo trung thế</t>
  </si>
  <si>
    <t>Cộng dồn 3ACXH95 + AC50</t>
  </si>
  <si>
    <t>B16650v</t>
  </si>
  <si>
    <t>SL50-1150</t>
  </si>
  <si>
    <t>Sắt góc L50 x50 x5 x1150</t>
  </si>
  <si>
    <t xml:space="preserve">Dây buộc cổ sứ đỡ thẳng TTF </t>
  </si>
  <si>
    <t>Dây buộc cổ sứ đỡ góc SSF</t>
  </si>
  <si>
    <t>batla</t>
  </si>
  <si>
    <t>batlA</t>
  </si>
  <si>
    <t>la</t>
  </si>
  <si>
    <t>BATLA</t>
  </si>
  <si>
    <t>CCĐla</t>
  </si>
  <si>
    <t>bangkeot</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</si>
  <si>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</si>
  <si>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</si>
  <si>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</si>
  <si>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</si>
  <si>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</si>
  <si>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</si>
  <si>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</si>
  <si>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</si>
  <si>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</si>
  <si>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</si>
  <si>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</si>
  <si>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</si>
  <si>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</si>
  <si>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</si>
  <si>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</si>
  <si>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</si>
  <si>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</si>
  <si>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</si>
  <si>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</si>
  <si>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</si>
  <si>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</si>
  <si>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</si>
  <si>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</si>
  <si>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</si>
  <si>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</si>
  <si>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</si>
  <si>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</si>
  <si>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</si>
  <si>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</si>
  <si>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</si>
  <si>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</si>
  <si>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</si>
  <si>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</si>
  <si>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</si>
  <si>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</si>
  <si>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</si>
  <si>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</si>
  <si>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</si>
  <si>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</si>
  <si>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</si>
  <si>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</si>
  <si>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</si>
  <si>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</si>
  <si>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</si>
  <si>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</si>
  <si>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</si>
  <si>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</si>
  <si>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</si>
  <si>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</si>
  <si>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</si>
  <si>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</si>
  <si>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</si>
  <si>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</si>
  <si>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</si>
  <si>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</si>
  <si>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</si>
  <si>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</si>
  <si>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</si>
  <si>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</si>
  <si>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</si>
  <si>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</si>
  <si>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</si>
  <si>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</si>
  <si>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</si>
  <si>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</si>
  <si>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</si>
  <si>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</si>
  <si>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</si>
  <si>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</si>
  <si>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</si>
  <si>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</si>
  <si>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</si>
  <si>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</si>
  <si>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</si>
  <si>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</si>
  <si>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</si>
  <si>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</si>
  <si>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</si>
  <si>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</si>
  <si>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</si>
  <si>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</si>
  <si>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</si>
  <si>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</si>
  <si>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</si>
  <si>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</si>
  <si>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</si>
  <si>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</si>
  <si>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</si>
  <si>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</si>
  <si>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</si>
  <si>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</si>
  <si>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</si>
  <si>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</si>
  <si>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</si>
  <si>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</si>
  <si>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</si>
  <si>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</si>
  <si>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</si>
  <si>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</si>
  <si>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</si>
  <si>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</si>
  <si>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</si>
  <si>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</si>
  <si>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</si>
  <si>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</si>
  <si>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</si>
  <si>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</si>
  <si>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</si>
  <si>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</si>
  <si>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</si>
  <si>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</si>
  <si>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</si>
  <si>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</si>
  <si>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</si>
  <si>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</si>
  <si>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</si>
  <si>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</si>
  <si>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</si>
  <si>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</si>
  <si>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</si>
  <si>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</si>
  <si>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</si>
  <si>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</si>
  <si>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</si>
  <si>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</si>
  <si>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</si>
  <si>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</si>
  <si>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</si>
  <si>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</si>
  <si>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</si>
  <si>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</si>
  <si>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</si>
  <si>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</si>
  <si>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</si>
  <si>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</si>
  <si>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</si>
  <si>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</si>
  <si>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</si>
  <si>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</si>
  <si>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</si>
  <si>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</si>
  <si>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</si>
  <si>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</si>
  <si>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</si>
  <si>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</si>
  <si>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</si>
  <si>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</si>
  <si>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</si>
  <si>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</si>
  <si>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</si>
  <si>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</si>
  <si>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</si>
  <si>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</si>
  <si>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</si>
  <si>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</si>
  <si>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</si>
  <si>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</si>
  <si>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</si>
  <si>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</si>
  <si>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</si>
  <si>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</si>
  <si>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</si>
  <si>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</si>
  <si>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</si>
  <si>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</si>
  <si>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</si>
  <si>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</si>
  <si>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</si>
  <si>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</si>
  <si>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</si>
  <si>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</si>
  <si>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</si>
  <si>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</si>
  <si>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</si>
  <si>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</si>
  <si>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</si>
  <si>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</si>
  <si>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</si>
  <si>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</si>
  <si>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</si>
  <si>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</si>
  <si>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</si>
  <si>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</si>
  <si>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</si>
  <si>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</si>
  <si>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</si>
  <si>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</si>
  <si>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</si>
  <si>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</si>
  <si>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</si>
  <si>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</si>
  <si>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</si>
  <si>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</si>
  <si>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</si>
  <si>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</si>
  <si>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</si>
  <si>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</si>
  <si>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</si>
  <si>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</si>
  <si>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</si>
  <si>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</si>
  <si>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</si>
  <si>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</si>
  <si>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</si>
  <si>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</si>
  <si>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</si>
  <si>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</si>
  <si>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</si>
  <si>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</si>
  <si>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</si>
  <si>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</si>
  <si>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</si>
  <si>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</si>
  <si>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</si>
  <si>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</si>
  <si>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</si>
  <si>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</si>
  <si>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</si>
  <si>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</si>
  <si>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</si>
  <si>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</si>
  <si>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</si>
  <si>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</si>
  <si>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</si>
  <si>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</si>
  <si>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</si>
  <si>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</si>
  <si>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</si>
  <si>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</si>
  <si>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</si>
  <si>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</si>
  <si>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</si>
  <si>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</si>
  <si>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</si>
  <si>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</si>
  <si>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</si>
  <si>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</si>
  <si>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</si>
  <si>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</si>
  <si>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</si>
  <si>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</si>
  <si>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</si>
  <si>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</si>
  <si>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</si>
  <si>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</si>
  <si>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</si>
  <si>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</si>
  <si>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</si>
  <si>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</si>
  <si>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</si>
  <si>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</si>
  <si>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</si>
  <si>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</si>
  <si>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</si>
  <si>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</si>
  <si>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</si>
  <si>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</si>
  <si>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</si>
  <si>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</si>
  <si>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</si>
  <si>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</si>
  <si>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</si>
  <si>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</si>
  <si>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</si>
  <si>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</si>
  <si>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</si>
  <si>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</si>
  <si>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</si>
  <si>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</si>
  <si>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</si>
  <si>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</si>
  <si>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</si>
  <si>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</si>
  <si>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</si>
  <si>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</si>
  <si>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</si>
  <si>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</si>
  <si>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</si>
  <si>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</si>
  <si>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</si>
  <si>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</si>
  <si>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</si>
  <si>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</si>
  <si>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</si>
  <si>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</si>
  <si>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</si>
  <si>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</si>
  <si>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</si>
  <si>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</si>
  <si>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</si>
  <si>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</si>
  <si>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</si>
  <si>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</si>
  <si>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</si>
  <si>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</si>
  <si>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</si>
  <si>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</si>
  <si>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</si>
  <si>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</si>
  <si>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</si>
  <si>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</si>
  <si>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</si>
  <si>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</si>
  <si>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</si>
  <si>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</si>
  <si>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</si>
  <si>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Nguyễn Đăng Nam</t>
  </si>
  <si>
    <t>Đường dây trung thế và TBA 3P-1250kVA Trang trại tổng hợp Nguyễn Đăng Nam</t>
  </si>
  <si>
    <t>036A/021/002</t>
  </si>
  <si>
    <t>X-com-fcola</t>
  </si>
  <si>
    <t>X-2400-K</t>
  </si>
  <si>
    <t>X-2400-D</t>
  </si>
  <si>
    <t>471 Suối Cao</t>
  </si>
  <si>
    <t>Nhánh rẽ Suối 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</si>
</sst>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s>
  <fonts count="196">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s>
  <fills count="26">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58" fillId="0" borderId="0" applyFont="0" applyFill="0" applyBorder="0" applyAlignment="0" applyProtection="0"/>
    <xf numFmtId="0" fontId="154" fillId="0" borderId="4"/>
    <xf numFmtId="0" fontId="1" fillId="0" borderId="0"/>
    <xf numFmtId="0" fontId="107" fillId="0" borderId="0"/>
    <xf numFmtId="38" fontId="155" fillId="2" borderId="0" applyNumberFormat="0" applyBorder="0" applyAlignment="0" applyProtection="0"/>
    <xf numFmtId="0" fontId="1" fillId="0" borderId="0"/>
    <xf numFmtId="0" fontId="158" fillId="0" borderId="0"/>
    <xf numFmtId="10" fontId="155" fillId="2" borderId="3" applyNumberFormat="0" applyBorder="0" applyAlignment="0" applyProtection="0"/>
    <xf numFmtId="0" fontId="159" fillId="0" borderId="0"/>
    <xf numFmtId="43" fontId="158" fillId="0" borderId="0" applyFont="0" applyFill="0" applyBorder="0" applyAlignment="0" applyProtection="0"/>
    <xf numFmtId="0" fontId="157" fillId="0" borderId="0">
      <alignment horizontal="left"/>
    </xf>
    <xf numFmtId="10" fontId="97" fillId="0" borderId="0" applyFont="0" applyFill="0" applyBorder="0" applyAlignment="0" applyProtection="0"/>
    <xf numFmtId="9" fontId="158" fillId="0" borderId="0" applyFont="0" applyFill="0" applyBorder="0" applyAlignment="0" applyProtection="0"/>
    <xf numFmtId="9" fontId="158" fillId="0" borderId="0" applyFont="0" applyFill="0" applyBorder="0" applyAlignment="0" applyProtection="0"/>
    <xf numFmtId="175" fontId="156" fillId="0" borderId="5" applyFill="0" applyBorder="0" applyProtection="0"/>
    <xf numFmtId="0" fontId="154" fillId="0" borderId="0"/>
    <xf numFmtId="0" fontId="161" fillId="0" borderId="0">
      <alignment horizontal="center" vertical="center"/>
    </xf>
    <xf numFmtId="0" fontId="164" fillId="0" borderId="0" applyNumberFormat="0" applyFill="0" applyBorder="0" applyAlignment="0" applyProtection="0"/>
    <xf numFmtId="0" fontId="162" fillId="0" borderId="0"/>
    <xf numFmtId="0" fontId="163" fillId="0" borderId="0"/>
    <xf numFmtId="38" fontId="168" fillId="2" borderId="0" applyNumberFormat="0" applyBorder="0" applyAlignment="0" applyProtection="0"/>
    <xf numFmtId="0" fontId="162" fillId="0" borderId="0"/>
    <xf numFmtId="0" fontId="165" fillId="0" borderId="0"/>
    <xf numFmtId="0" fontId="166" fillId="0" borderId="0"/>
    <xf numFmtId="10" fontId="168" fillId="2" borderId="3" applyNumberFormat="0" applyBorder="0" applyAlignment="0" applyProtection="0"/>
    <xf numFmtId="0" fontId="167" fillId="0" borderId="1" applyNumberFormat="0" applyAlignment="0" applyProtection="0">
      <alignment horizontal="left" vertical="center"/>
    </xf>
    <xf numFmtId="0" fontId="167" fillId="0" borderId="2">
      <alignment horizontal="left" vertical="center"/>
    </xf>
    <xf numFmtId="10" fontId="166" fillId="0" borderId="0" applyFont="0" applyFill="0" applyBorder="0" applyAlignment="0" applyProtection="0"/>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0" fontId="161" fillId="0" borderId="0">
      <alignment horizontal="center" vertical="center"/>
    </xf>
    <xf numFmtId="9" fontId="46" fillId="0" borderId="0" applyFont="0" applyFill="0" applyBorder="0" applyAlignment="0" applyProtection="0"/>
    <xf numFmtId="183" fontId="97" fillId="0" borderId="0" applyFont="0" applyFill="0" applyBorder="0" applyAlignment="0" applyProtection="0"/>
    <xf numFmtId="184" fontId="179" fillId="0" borderId="0" applyNumberFormat="0">
      <protection locked="0"/>
    </xf>
    <xf numFmtId="0" fontId="97" fillId="0" borderId="0"/>
    <xf numFmtId="0" fontId="97" fillId="0" borderId="0"/>
    <xf numFmtId="0" fontId="97" fillId="0" borderId="0"/>
  </cellStyleXfs>
  <cellXfs count="3208">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3"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7" fillId="16" borderId="2" xfId="0" applyNumberFormat="1" applyFont="1" applyFill="1" applyBorder="1" applyAlignment="1" applyProtection="1">
      <alignment horizontal="centerContinuous" vertical="center" wrapText="1"/>
    </xf>
    <xf numFmtId="0" fontId="127" fillId="16" borderId="2" xfId="0" applyFont="1" applyFill="1" applyBorder="1" applyAlignment="1" applyProtection="1">
      <alignment horizontal="centerContinuous" vertical="center" wrapText="1"/>
    </xf>
    <xf numFmtId="0" fontId="127"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7"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0" fillId="3" borderId="6" xfId="0" applyFont="1" applyFill="1" applyBorder="1" applyAlignment="1" applyProtection="1">
      <alignment vertical="center"/>
      <protection hidden="1"/>
    </xf>
    <xf numFmtId="0" fontId="130"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7"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1"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1" fillId="0" borderId="6" xfId="2" applyNumberFormat="1" applyFont="1" applyBorder="1" applyAlignment="1" applyProtection="1">
      <alignment horizontal="center" vertical="center"/>
    </xf>
    <xf numFmtId="164" fontId="131"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1"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1"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8"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2" fillId="0" borderId="0" xfId="10" quotePrefix="1" applyNumberFormat="1" applyFont="1" applyFill="1" applyAlignment="1" applyProtection="1">
      <alignment horizontal="center" vertical="center"/>
    </xf>
    <xf numFmtId="170" fontId="132"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1"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30"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6"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7"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7"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7"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8" fillId="0" borderId="0" xfId="27" applyNumberFormat="1" applyFont="1" applyFill="1" applyBorder="1" applyProtection="1"/>
    <xf numFmtId="3" fontId="138"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3"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9" fillId="18" borderId="6" xfId="15" applyNumberFormat="1" applyFont="1" applyFill="1" applyBorder="1" applyAlignment="1" applyProtection="1">
      <alignment vertical="center" wrapText="1"/>
    </xf>
    <xf numFmtId="3" fontId="129" fillId="18" borderId="6" xfId="15" applyNumberFormat="1" applyFont="1" applyFill="1" applyBorder="1" applyAlignment="1" applyProtection="1">
      <alignment vertical="center"/>
    </xf>
    <xf numFmtId="3" fontId="129" fillId="18" borderId="22" xfId="13" applyNumberFormat="1" applyFont="1" applyFill="1" applyBorder="1" applyAlignment="1" applyProtection="1">
      <alignment vertical="center"/>
    </xf>
    <xf numFmtId="3" fontId="129" fillId="18" borderId="6" xfId="14" applyNumberFormat="1" applyFont="1" applyFill="1" applyBorder="1" applyAlignment="1" applyProtection="1">
      <alignment vertical="center"/>
    </xf>
    <xf numFmtId="3" fontId="129" fillId="18" borderId="6" xfId="14" applyNumberFormat="1" applyFont="1" applyFill="1" applyBorder="1" applyAlignment="1" applyProtection="1">
      <alignment vertical="center" wrapText="1"/>
    </xf>
    <xf numFmtId="3" fontId="129"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0"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0" fillId="3" borderId="6" xfId="0" applyFont="1" applyFill="1" applyBorder="1" applyAlignment="1" applyProtection="1">
      <alignment vertical="center" wrapText="1"/>
      <protection hidden="1"/>
    </xf>
    <xf numFmtId="0" fontId="130"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3" fillId="0" borderId="6" xfId="0" applyFont="1" applyFill="1" applyBorder="1" applyAlignment="1" applyProtection="1">
      <alignment horizontal="center" vertical="center"/>
      <protection hidden="1"/>
    </xf>
    <xf numFmtId="164" fontId="133"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6" fillId="0" borderId="0" xfId="0" applyNumberFormat="1" applyFont="1" applyAlignment="1">
      <alignment horizontal="center"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6"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104" fillId="0" borderId="24" xfId="19" applyFont="1" applyBorder="1" applyAlignment="1">
      <alignment vertical="center" wrapText="1"/>
    </xf>
    <xf numFmtId="0" fontId="104" fillId="0" borderId="25" xfId="19" applyFont="1" applyBorder="1" applyAlignment="1">
      <alignment vertical="center" wrapText="1"/>
    </xf>
    <xf numFmtId="0" fontId="99" fillId="0" borderId="13" xfId="0"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120"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3"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4"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5" fillId="0" borderId="6" xfId="0" applyFont="1" applyFill="1" applyBorder="1" applyAlignment="1" applyProtection="1">
      <alignment vertical="center" shrinkToFit="1"/>
      <protection hidden="1"/>
    </xf>
    <xf numFmtId="0" fontId="141"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6" fillId="0" borderId="99" xfId="0" applyFont="1" applyBorder="1" applyAlignment="1">
      <alignment horizontal="left" vertical="center" wrapText="1"/>
    </xf>
    <xf numFmtId="0" fontId="136"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6" fillId="0" borderId="15" xfId="0" applyFont="1" applyBorder="1" applyAlignment="1" applyProtection="1">
      <alignment horizontal="center" vertical="center"/>
    </xf>
    <xf numFmtId="0" fontId="146" fillId="0" borderId="17" xfId="0" applyFont="1" applyBorder="1" applyAlignment="1" applyProtection="1">
      <alignment horizontal="center" vertical="center"/>
    </xf>
    <xf numFmtId="0" fontId="146" fillId="0" borderId="3" xfId="0" applyFont="1" applyBorder="1" applyAlignment="1" applyProtection="1">
      <alignment horizontal="center" vertical="center"/>
    </xf>
    <xf numFmtId="0" fontId="146" fillId="0" borderId="26" xfId="0" applyFont="1" applyBorder="1" applyAlignment="1" applyProtection="1">
      <alignment horizontal="center" vertical="center"/>
    </xf>
    <xf numFmtId="0" fontId="146" fillId="0" borderId="6" xfId="0" applyFont="1" applyBorder="1" applyAlignment="1" applyProtection="1">
      <alignment horizontal="center" vertical="center"/>
    </xf>
    <xf numFmtId="164" fontId="146" fillId="3" borderId="6" xfId="2" applyNumberFormat="1" applyFont="1" applyFill="1" applyBorder="1" applyAlignment="1" applyProtection="1">
      <alignment vertical="center"/>
    </xf>
    <xf numFmtId="167" fontId="146" fillId="0" borderId="6" xfId="2" applyNumberFormat="1" applyFont="1" applyBorder="1" applyAlignment="1" applyProtection="1">
      <alignment vertical="center"/>
    </xf>
    <xf numFmtId="43" fontId="146" fillId="0" borderId="6" xfId="2" applyFont="1" applyBorder="1" applyAlignment="1" applyProtection="1">
      <alignment vertical="center"/>
    </xf>
    <xf numFmtId="164" fontId="146" fillId="0" borderId="6" xfId="2" applyNumberFormat="1" applyFont="1" applyBorder="1" applyAlignment="1" applyProtection="1">
      <alignment vertical="center"/>
    </xf>
    <xf numFmtId="167" fontId="146" fillId="0" borderId="6" xfId="2" applyNumberFormat="1" applyFont="1" applyFill="1" applyBorder="1" applyAlignment="1" applyProtection="1">
      <alignment vertical="center"/>
    </xf>
    <xf numFmtId="43" fontId="146" fillId="0" borderId="6" xfId="2" applyFont="1" applyFill="1" applyBorder="1" applyAlignment="1" applyProtection="1">
      <alignment vertical="center"/>
    </xf>
    <xf numFmtId="164" fontId="146" fillId="0" borderId="6" xfId="2" applyNumberFormat="1" applyFont="1" applyFill="1" applyBorder="1" applyAlignment="1" applyProtection="1">
      <alignment vertical="center"/>
    </xf>
    <xf numFmtId="166" fontId="146" fillId="0" borderId="6" xfId="2" applyNumberFormat="1" applyFont="1" applyFill="1" applyBorder="1" applyAlignment="1" applyProtection="1">
      <alignment vertical="center"/>
    </xf>
    <xf numFmtId="43" fontId="146" fillId="0" borderId="6" xfId="2" applyNumberFormat="1" applyFont="1" applyFill="1" applyBorder="1" applyAlignment="1" applyProtection="1">
      <alignment vertical="center"/>
    </xf>
    <xf numFmtId="166" fontId="146" fillId="0" borderId="6" xfId="2" applyNumberFormat="1" applyFont="1" applyBorder="1" applyAlignment="1" applyProtection="1">
      <alignment vertical="center"/>
    </xf>
    <xf numFmtId="43" fontId="146" fillId="6" borderId="6" xfId="2" applyFont="1" applyFill="1" applyBorder="1" applyAlignment="1" applyProtection="1">
      <alignment vertical="center"/>
    </xf>
    <xf numFmtId="174" fontId="146" fillId="0" borderId="6" xfId="2" applyNumberFormat="1" applyFont="1" applyFill="1" applyBorder="1" applyAlignment="1" applyProtection="1">
      <alignment vertical="center"/>
    </xf>
    <xf numFmtId="167" fontId="146" fillId="3" borderId="6" xfId="2" applyNumberFormat="1" applyFont="1" applyFill="1" applyBorder="1" applyAlignment="1" applyProtection="1">
      <alignment vertical="center"/>
    </xf>
    <xf numFmtId="43" fontId="146" fillId="0" borderId="6" xfId="2" applyNumberFormat="1" applyFont="1" applyBorder="1" applyAlignment="1" applyProtection="1">
      <alignment vertical="center"/>
    </xf>
    <xf numFmtId="43" fontId="146"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6" fillId="0" borderId="6" xfId="2" quotePrefix="1" applyNumberFormat="1" applyFont="1" applyBorder="1" applyAlignment="1" applyProtection="1">
      <alignment vertical="center"/>
    </xf>
    <xf numFmtId="164" fontId="146" fillId="0" borderId="6" xfId="2" quotePrefix="1" applyNumberFormat="1" applyFont="1" applyFill="1" applyBorder="1" applyAlignment="1" applyProtection="1">
      <alignment vertical="center"/>
    </xf>
    <xf numFmtId="0" fontId="146" fillId="0" borderId="0" xfId="0" applyFont="1" applyAlignment="1" applyProtection="1">
      <alignment horizontal="center" vertical="center"/>
    </xf>
    <xf numFmtId="164" fontId="146" fillId="6" borderId="6" xfId="2" quotePrefix="1" applyNumberFormat="1" applyFont="1" applyFill="1" applyBorder="1" applyAlignment="1" applyProtection="1">
      <alignment vertical="center"/>
    </xf>
    <xf numFmtId="164" fontId="146" fillId="3" borderId="6" xfId="2" quotePrefix="1" applyNumberFormat="1" applyFont="1" applyFill="1" applyBorder="1" applyAlignment="1" applyProtection="1">
      <alignment vertical="center"/>
    </xf>
    <xf numFmtId="164" fontId="146" fillId="11" borderId="6" xfId="2" applyNumberFormat="1" applyFont="1" applyFill="1" applyBorder="1" applyAlignment="1" applyProtection="1">
      <alignment vertical="center"/>
    </xf>
    <xf numFmtId="164" fontId="146" fillId="6" borderId="6" xfId="2" quotePrefix="1" applyNumberFormat="1" applyFont="1" applyFill="1" applyBorder="1" applyAlignment="1" applyProtection="1">
      <alignment vertical="center"/>
      <protection locked="0"/>
    </xf>
    <xf numFmtId="164" fontId="146" fillId="7" borderId="6" xfId="2" applyNumberFormat="1" applyFont="1" applyFill="1" applyBorder="1" applyAlignment="1" applyProtection="1">
      <alignment vertical="center"/>
    </xf>
    <xf numFmtId="43" fontId="146" fillId="3" borderId="6" xfId="2" applyFont="1" applyFill="1" applyBorder="1" applyAlignment="1" applyProtection="1">
      <alignment vertical="center"/>
    </xf>
    <xf numFmtId="164" fontId="146" fillId="0" borderId="6" xfId="2" quotePrefix="1" applyNumberFormat="1" applyFont="1" applyFill="1" applyBorder="1" applyAlignment="1" applyProtection="1">
      <alignment horizontal="center" vertical="center"/>
    </xf>
    <xf numFmtId="3" fontId="146" fillId="0" borderId="6" xfId="13" applyNumberFormat="1" applyFont="1" applyFill="1" applyBorder="1" applyAlignment="1" applyProtection="1">
      <alignment horizontal="center" vertical="center"/>
    </xf>
    <xf numFmtId="168" fontId="146" fillId="0" borderId="6" xfId="13" applyNumberFormat="1" applyFont="1" applyFill="1" applyBorder="1" applyAlignment="1" applyProtection="1">
      <alignment horizontal="center" vertical="center"/>
    </xf>
    <xf numFmtId="3" fontId="146" fillId="8" borderId="6" xfId="13" applyNumberFormat="1" applyFont="1" applyFill="1" applyBorder="1" applyAlignment="1" applyProtection="1">
      <alignment horizontal="center" vertical="center"/>
    </xf>
    <xf numFmtId="4" fontId="146" fillId="0" borderId="6" xfId="13" applyNumberFormat="1" applyFont="1" applyFill="1" applyBorder="1" applyAlignment="1" applyProtection="1">
      <alignment horizontal="center" vertical="center"/>
    </xf>
    <xf numFmtId="164" fontId="146" fillId="3" borderId="7" xfId="2" applyNumberFormat="1" applyFont="1" applyFill="1" applyBorder="1" applyAlignment="1" applyProtection="1">
      <alignment vertical="center"/>
    </xf>
    <xf numFmtId="4" fontId="146" fillId="0" borderId="6" xfId="2" applyNumberFormat="1" applyFont="1" applyFill="1" applyBorder="1" applyAlignment="1" applyProtection="1">
      <alignment vertical="center"/>
    </xf>
    <xf numFmtId="43" fontId="146" fillId="0" borderId="8" xfId="2" applyFont="1" applyFill="1" applyBorder="1" applyAlignment="1" applyProtection="1">
      <alignment vertical="center"/>
    </xf>
    <xf numFmtId="0" fontId="146"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7" fillId="0" borderId="0" xfId="2" applyNumberFormat="1" applyFont="1" applyFill="1" applyBorder="1" applyAlignment="1">
      <alignment vertical="center"/>
    </xf>
    <xf numFmtId="164" fontId="148" fillId="0" borderId="6" xfId="2" applyNumberFormat="1" applyFont="1" applyBorder="1" applyAlignment="1" applyProtection="1">
      <alignment vertical="center"/>
    </xf>
    <xf numFmtId="0" fontId="149" fillId="0" borderId="53" xfId="2" applyNumberFormat="1" applyFont="1" applyFill="1" applyBorder="1" applyAlignment="1" applyProtection="1">
      <alignment horizontal="lef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150" fillId="0" borderId="3" xfId="19" applyFont="1" applyFill="1" applyBorder="1" applyAlignment="1">
      <alignment horizontal="center" vertical="center" wrapText="1"/>
    </xf>
    <xf numFmtId="0" fontId="150" fillId="0" borderId="3" xfId="0" applyFont="1" applyBorder="1" applyAlignment="1" applyProtection="1">
      <alignment horizontal="left" vertical="center" wrapText="1"/>
    </xf>
    <xf numFmtId="0" fontId="150" fillId="0" borderId="3" xfId="19" applyFont="1" applyFill="1" applyBorder="1" applyAlignment="1">
      <alignment horizontal="center" vertical="center"/>
    </xf>
    <xf numFmtId="0" fontId="150" fillId="0" borderId="3" xfId="19" applyNumberFormat="1" applyFont="1" applyFill="1" applyBorder="1" applyAlignment="1">
      <alignment horizontal="center" vertical="center"/>
    </xf>
    <xf numFmtId="14" fontId="150" fillId="0" borderId="3" xfId="19" applyNumberFormat="1" applyFont="1" applyFill="1" applyBorder="1" applyAlignment="1">
      <alignment horizontal="center" vertical="center" wrapText="1"/>
    </xf>
    <xf numFmtId="0" fontId="150" fillId="0" borderId="3" xfId="0" applyFont="1" applyFill="1" applyBorder="1" applyAlignment="1">
      <alignment horizontal="center" vertical="center" wrapText="1"/>
    </xf>
    <xf numFmtId="14" fontId="150"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4" fillId="0" borderId="0" xfId="19" applyFont="1" applyAlignment="1">
      <alignment horizontal="centerContinuous"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51"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2"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3" fillId="0" borderId="0" xfId="28" applyFont="1"/>
    <xf numFmtId="0" fontId="94"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2"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0"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7"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1"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1"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9"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1"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1"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7" fillId="0" borderId="2" xfId="14" applyNumberFormat="1" applyFont="1" applyFill="1" applyBorder="1" applyAlignment="1" applyProtection="1">
      <alignment horizontal="center" vertical="center"/>
    </xf>
    <xf numFmtId="0" fontId="142" fillId="0" borderId="6" xfId="13" applyNumberFormat="1" applyFont="1" applyFill="1" applyBorder="1" applyAlignment="1" applyProtection="1">
      <alignment horizontal="center" vertical="center"/>
    </xf>
    <xf numFmtId="0" fontId="142" fillId="0" borderId="6" xfId="2" applyNumberFormat="1" applyFont="1" applyBorder="1" applyAlignment="1" applyProtection="1">
      <alignment horizontal="center" vertical="center"/>
    </xf>
    <xf numFmtId="0" fontId="145" fillId="0" borderId="6" xfId="13" applyNumberFormat="1" applyFont="1" applyFill="1" applyBorder="1" applyAlignment="1" applyProtection="1">
      <alignment horizontal="center" vertical="center"/>
    </xf>
    <xf numFmtId="0" fontId="145" fillId="19" borderId="6" xfId="13" applyNumberFormat="1" applyFont="1" applyFill="1" applyBorder="1" applyAlignment="1" applyProtection="1">
      <alignment horizontal="center" vertical="center"/>
    </xf>
    <xf numFmtId="0" fontId="131" fillId="0" borderId="8" xfId="13" applyNumberFormat="1" applyFont="1" applyFill="1" applyBorder="1" applyAlignment="1" applyProtection="1">
      <alignment horizontal="center" vertical="center"/>
    </xf>
    <xf numFmtId="0" fontId="135" fillId="19" borderId="6" xfId="13" applyNumberFormat="1" applyFont="1" applyFill="1" applyBorder="1" applyAlignment="1" applyProtection="1">
      <alignment horizontal="center" vertical="center"/>
    </xf>
    <xf numFmtId="0" fontId="135"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7"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60"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0" fillId="0" borderId="3" xfId="19" applyNumberFormat="1" applyFont="1" applyFill="1" applyBorder="1" applyAlignment="1">
      <alignment horizontal="center" vertical="center" wrapText="1" shrinkToFit="1"/>
    </xf>
    <xf numFmtId="0" fontId="127" fillId="16" borderId="24" xfId="0" applyNumberFormat="1" applyFont="1" applyFill="1" applyBorder="1" applyAlignment="1" applyProtection="1">
      <alignment horizontal="centerContinuous" vertical="center" wrapText="1"/>
    </xf>
    <xf numFmtId="0" fontId="150" fillId="0" borderId="0" xfId="19" applyFont="1" applyFill="1" applyBorder="1" applyAlignment="1">
      <alignment horizontal="center" vertical="center" wrapText="1"/>
    </xf>
    <xf numFmtId="0" fontId="150" fillId="0" borderId="0" xfId="0" applyFont="1" applyBorder="1" applyAlignment="1" applyProtection="1">
      <alignment horizontal="left" vertical="center" wrapText="1"/>
    </xf>
    <xf numFmtId="0" fontId="150" fillId="0" borderId="0" xfId="19" applyFont="1" applyFill="1" applyBorder="1" applyAlignment="1">
      <alignment horizontal="center" vertical="center"/>
    </xf>
    <xf numFmtId="0" fontId="150" fillId="0" borderId="0" xfId="19" applyNumberFormat="1" applyFont="1" applyFill="1" applyBorder="1" applyAlignment="1">
      <alignment horizontal="center" vertical="center"/>
    </xf>
    <xf numFmtId="14" fontId="150" fillId="0" borderId="0" xfId="19" applyNumberFormat="1" applyFont="1" applyFill="1" applyBorder="1" applyAlignment="1">
      <alignment horizontal="center" vertical="center" wrapText="1"/>
    </xf>
    <xf numFmtId="0" fontId="150" fillId="0" borderId="0" xfId="0" applyFont="1" applyFill="1" applyBorder="1" applyAlignment="1">
      <alignment horizontal="center" vertical="center" wrapText="1"/>
    </xf>
    <xf numFmtId="14" fontId="150" fillId="0" borderId="0" xfId="0" applyNumberFormat="1" applyFont="1" applyFill="1" applyBorder="1" applyAlignment="1">
      <alignment horizontal="center" vertical="center"/>
    </xf>
    <xf numFmtId="1" fontId="150"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9" fillId="0" borderId="0" xfId="0" applyFont="1">
      <alignment horizontal="center" vertical="center"/>
    </xf>
    <xf numFmtId="0" fontId="24" fillId="0" borderId="0" xfId="12" applyNumberFormat="1" applyFont="1" applyAlignment="1">
      <alignment horizontal="center"/>
    </xf>
    <xf numFmtId="0" fontId="169"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0" fillId="0" borderId="0" xfId="0" applyFont="1">
      <alignment horizontal="center" vertical="center"/>
    </xf>
    <xf numFmtId="0" fontId="171" fillId="0" borderId="12" xfId="0" applyFont="1" applyFill="1" applyBorder="1" applyAlignment="1" applyProtection="1">
      <alignment horizontal="center" vertical="center"/>
      <protection hidden="1"/>
    </xf>
    <xf numFmtId="0" fontId="170" fillId="0" borderId="3" xfId="0" applyFont="1" applyBorder="1">
      <alignment horizontal="center" vertical="center"/>
    </xf>
    <xf numFmtId="0" fontId="170" fillId="0" borderId="0" xfId="0" applyFont="1" applyFill="1">
      <alignment horizontal="center" vertical="center"/>
    </xf>
    <xf numFmtId="43" fontId="136" fillId="0" borderId="0" xfId="0" applyNumberFormat="1" applyFont="1" applyFill="1">
      <alignment horizontal="center" vertical="center"/>
    </xf>
    <xf numFmtId="0" fontId="136" fillId="0" borderId="0" xfId="0" applyFont="1" applyAlignment="1">
      <alignment horizontal="left" vertical="center"/>
    </xf>
    <xf numFmtId="0" fontId="136" fillId="0" borderId="0" xfId="0" applyFont="1" applyFill="1" applyAlignment="1">
      <alignment horizontal="left" vertical="center" shrinkToFit="1"/>
    </xf>
    <xf numFmtId="0" fontId="145" fillId="0" borderId="6" xfId="0" applyFont="1" applyFill="1" applyBorder="1" applyAlignment="1" applyProtection="1">
      <alignment horizontal="left" vertical="center"/>
      <protection hidden="1"/>
    </xf>
    <xf numFmtId="43" fontId="136" fillId="0" borderId="0" xfId="0" applyNumberFormat="1" applyFont="1" applyFill="1" applyAlignment="1">
      <alignment horizontal="left" vertical="center" shrinkToFit="1"/>
    </xf>
    <xf numFmtId="43" fontId="145" fillId="0" borderId="6" xfId="0" applyNumberFormat="1" applyFont="1" applyFill="1" applyBorder="1" applyAlignment="1" applyProtection="1">
      <alignment vertical="center" shrinkToFit="1"/>
      <protection hidden="1"/>
    </xf>
    <xf numFmtId="43" fontId="145" fillId="0" borderId="6" xfId="0" applyNumberFormat="1" applyFont="1" applyFill="1" applyBorder="1" applyAlignment="1" applyProtection="1">
      <alignment horizontal="left" vertical="center"/>
      <protection hidden="1"/>
    </xf>
    <xf numFmtId="0" fontId="136" fillId="0" borderId="0" xfId="0" applyFont="1" applyAlignment="1">
      <alignment horizontal="left" vertical="center" shrinkToFit="1"/>
    </xf>
    <xf numFmtId="3" fontId="136" fillId="0" borderId="0" xfId="0" applyNumberFormat="1" applyFont="1" applyFill="1">
      <alignment horizontal="center" vertical="center"/>
    </xf>
    <xf numFmtId="3" fontId="136" fillId="0" borderId="0" xfId="0" applyNumberFormat="1" applyFont="1" applyFill="1" applyAlignment="1">
      <alignment horizontal="left" vertical="center" shrinkToFit="1"/>
    </xf>
    <xf numFmtId="3" fontId="145" fillId="0" borderId="6" xfId="0" applyNumberFormat="1" applyFont="1" applyFill="1" applyBorder="1" applyAlignment="1" applyProtection="1">
      <alignment vertical="center" shrinkToFit="1"/>
      <protection hidden="1"/>
    </xf>
    <xf numFmtId="3" fontId="145" fillId="0" borderId="6" xfId="0" applyNumberFormat="1" applyFont="1" applyFill="1" applyBorder="1" applyAlignment="1" applyProtection="1">
      <alignment horizontal="left" vertical="center"/>
      <protection hidden="1"/>
    </xf>
    <xf numFmtId="0" fontId="145" fillId="0" borderId="6" xfId="0" applyNumberFormat="1" applyFont="1" applyFill="1" applyBorder="1" applyAlignment="1" applyProtection="1">
      <alignment horizontal="center" vertical="center"/>
      <protection hidden="1"/>
    </xf>
    <xf numFmtId="0" fontId="145" fillId="0" borderId="6" xfId="2" applyNumberFormat="1" applyFont="1" applyBorder="1" applyAlignment="1" applyProtection="1">
      <alignment horizontal="center" vertical="center"/>
      <protection hidden="1"/>
    </xf>
    <xf numFmtId="0" fontId="136" fillId="0" borderId="0" xfId="0" applyFont="1" applyFill="1" applyBorder="1">
      <alignment horizontal="center" vertical="center"/>
    </xf>
    <xf numFmtId="0" fontId="136" fillId="0" borderId="0" xfId="0" applyFont="1" applyFill="1" applyBorder="1" applyAlignment="1">
      <alignment horizontal="left" vertical="center" shrinkToFit="1"/>
    </xf>
    <xf numFmtId="0" fontId="136"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9"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7"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0"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5" fillId="0" borderId="6" xfId="0" applyNumberFormat="1" applyFont="1" applyFill="1" applyBorder="1" applyAlignment="1" applyProtection="1">
      <alignment horizontal="center" vertical="center"/>
      <protection hidden="1"/>
    </xf>
    <xf numFmtId="3" fontId="145" fillId="0" borderId="6" xfId="2" applyNumberFormat="1" applyFont="1" applyBorder="1" applyAlignment="1" applyProtection="1">
      <alignment horizontal="center" vertical="center"/>
      <protection hidden="1"/>
    </xf>
    <xf numFmtId="43" fontId="145" fillId="0" borderId="6" xfId="0" applyNumberFormat="1" applyFont="1" applyFill="1" applyBorder="1" applyAlignment="1" applyProtection="1">
      <alignment horizontal="center" vertical="center"/>
      <protection hidden="1"/>
    </xf>
    <xf numFmtId="43" fontId="145" fillId="0" borderId="6" xfId="2" applyNumberFormat="1" applyFont="1" applyBorder="1" applyAlignment="1" applyProtection="1">
      <alignment horizontal="center" vertical="center"/>
      <protection hidden="1"/>
    </xf>
    <xf numFmtId="2" fontId="145" fillId="0" borderId="6" xfId="2" applyNumberFormat="1" applyFont="1" applyBorder="1" applyAlignment="1" applyProtection="1">
      <alignment horizontal="center" vertical="center"/>
      <protection hidden="1"/>
    </xf>
    <xf numFmtId="3" fontId="136" fillId="0" borderId="0" xfId="0" applyNumberFormat="1" applyFont="1" applyFill="1" applyBorder="1">
      <alignment horizontal="center" vertical="center"/>
    </xf>
    <xf numFmtId="3" fontId="136"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2" fontId="25" fillId="0" borderId="6" xfId="0" applyNumberFormat="1" applyFont="1" applyBorder="1" applyAlignment="1" applyProtection="1">
      <alignment horizontal="center" vertical="center"/>
      <protection hidden="1"/>
    </xf>
    <xf numFmtId="0" fontId="170" fillId="0" borderId="0" xfId="0" applyFont="1" applyAlignment="1">
      <alignment horizontal="center" vertical="center" wrapText="1" shrinkToFit="1"/>
    </xf>
    <xf numFmtId="0" fontId="170"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9"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9"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9"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174" fillId="0" borderId="0" xfId="19" applyFont="1"/>
    <xf numFmtId="0" fontId="174" fillId="0" borderId="0" xfId="19" applyFont="1" applyFill="1"/>
    <xf numFmtId="0" fontId="143"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6" fillId="0" borderId="0" xfId="0" applyNumberFormat="1"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6" fillId="0" borderId="0" xfId="0" applyNumberFormat="1" applyFont="1" applyFill="1" applyBorder="1">
      <alignment horizontal="center" vertical="center"/>
    </xf>
    <xf numFmtId="43" fontId="136" fillId="0" borderId="0" xfId="0" applyNumberFormat="1" applyFont="1" applyFill="1" applyBorder="1" applyAlignment="1">
      <alignment horizontal="left" vertical="center" shrinkToFit="1"/>
    </xf>
    <xf numFmtId="0" fontId="136" fillId="0" borderId="99" xfId="0" applyFont="1" applyBorder="1" applyAlignment="1">
      <alignment horizontal="left" vertical="center"/>
    </xf>
    <xf numFmtId="0" fontId="149"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7" xfId="2" applyNumberFormat="1" applyFont="1" applyFill="1" applyBorder="1" applyAlignment="1" applyProtection="1">
      <alignment horizontal="left" vertical="top"/>
    </xf>
    <xf numFmtId="0" fontId="147" fillId="0" borderId="0" xfId="2" applyNumberFormat="1" applyFont="1" applyFill="1" applyBorder="1" applyAlignment="1">
      <alignment horizontal="center" vertical="top"/>
    </xf>
    <xf numFmtId="0" fontId="147" fillId="0" borderId="2" xfId="2" applyNumberFormat="1" applyFont="1" applyFill="1" applyBorder="1" applyAlignment="1">
      <alignment vertical="top"/>
    </xf>
    <xf numFmtId="164"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43" fontId="41" fillId="0" borderId="0" xfId="2" applyFont="1" applyBorder="1" applyAlignment="1" applyProtection="1">
      <alignment horizontal="left" wrapText="1" shrinkToFit="1"/>
    </xf>
    <xf numFmtId="0" fontId="172" fillId="0" borderId="0" xfId="0" applyFont="1" applyAlignment="1">
      <alignment horizontal="center" vertical="center"/>
    </xf>
    <xf numFmtId="0" fontId="150" fillId="0" borderId="0" xfId="0" applyFont="1" applyFill="1" applyAlignment="1">
      <alignment horizontal="left" vertical="center" shrinkToFit="1"/>
    </xf>
    <xf numFmtId="1" fontId="150" fillId="0" borderId="3" xfId="19" applyNumberFormat="1" applyFont="1" applyFill="1" applyBorder="1" applyAlignment="1">
      <alignment horizontal="center" vertical="center"/>
    </xf>
    <xf numFmtId="0" fontId="26" fillId="0" borderId="0" xfId="0" applyFont="1">
      <alignment horizontal="center" vertical="center"/>
    </xf>
    <xf numFmtId="0" fontId="173" fillId="0" borderId="5" xfId="0" applyFont="1" applyBorder="1">
      <alignment horizontal="center" vertical="center"/>
    </xf>
    <xf numFmtId="0" fontId="171" fillId="0" borderId="12" xfId="19" applyFont="1" applyBorder="1" applyAlignment="1">
      <alignment horizontal="center" vertical="center" wrapText="1" shrinkToFit="1"/>
    </xf>
    <xf numFmtId="0" fontId="171" fillId="0" borderId="12" xfId="19" applyFont="1" applyBorder="1" applyAlignment="1">
      <alignment horizontal="center" vertical="center" shrinkToFit="1"/>
    </xf>
    <xf numFmtId="0" fontId="173"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72" fillId="0" borderId="12" xfId="0" applyFont="1" applyBorder="1" applyAlignment="1">
      <alignment horizontal="center" vertical="center" shrinkToFit="1"/>
    </xf>
    <xf numFmtId="0" fontId="172" fillId="0" borderId="12" xfId="0" applyFont="1" applyBorder="1">
      <alignment horizontal="center" vertical="center"/>
    </xf>
    <xf numFmtId="0" fontId="104" fillId="0" borderId="0" xfId="0" applyFont="1">
      <alignment horizontal="center" vertical="center"/>
    </xf>
    <xf numFmtId="0" fontId="0" fillId="0" borderId="0" xfId="0" applyAlignment="1">
      <alignment vertical="center" shrinkToFit="1"/>
    </xf>
    <xf numFmtId="3" fontId="170" fillId="0" borderId="0" xfId="0" applyNumberFormat="1" applyFont="1">
      <alignment horizontal="center" vertical="center"/>
    </xf>
    <xf numFmtId="0" fontId="150"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70"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50" fillId="0" borderId="0" xfId="19" applyFont="1" applyAlignment="1">
      <alignment horizontal="center" vertical="center" shrinkToFit="1"/>
    </xf>
    <xf numFmtId="14" fontId="150"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100"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0" fontId="173" fillId="0" borderId="0" xfId="0" applyFont="1">
      <alignment horizontal="center" vertical="center"/>
    </xf>
    <xf numFmtId="0" fontId="98" fillId="0" borderId="12" xfId="0" applyFont="1" applyBorder="1" applyAlignment="1">
      <alignment horizontal="center" vertical="center" wrapText="1"/>
    </xf>
    <xf numFmtId="169"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1" fontId="85" fillId="0" borderId="33" xfId="12" applyNumberFormat="1" applyFont="1" applyFill="1" applyBorder="1" applyAlignment="1">
      <alignment horizontal="center" vertical="center"/>
    </xf>
    <xf numFmtId="181" fontId="85" fillId="0" borderId="33" xfId="2" applyNumberFormat="1" applyFont="1" applyFill="1" applyBorder="1" applyAlignment="1" applyProtection="1">
      <alignment horizontal="center" vertical="center"/>
    </xf>
    <xf numFmtId="49" fontId="85" fillId="0" borderId="33" xfId="2" applyNumberFormat="1" applyFont="1" applyFill="1" applyBorder="1" applyAlignment="1" applyProtection="1">
      <alignment horizontal="center" vertical="center"/>
    </xf>
    <xf numFmtId="49" fontId="85" fillId="0" borderId="33" xfId="12" applyNumberFormat="1" applyFont="1" applyFill="1" applyBorder="1" applyAlignment="1">
      <alignment horizontal="center" vertical="center"/>
    </xf>
    <xf numFmtId="0" fontId="85" fillId="0" borderId="33" xfId="12" applyNumberFormat="1" applyFont="1" applyFill="1" applyBorder="1" applyAlignment="1">
      <alignment horizontal="center" vertical="center"/>
    </xf>
    <xf numFmtId="169" fontId="25" fillId="0" borderId="6" xfId="2" applyNumberFormat="1" applyFont="1" applyBorder="1" applyAlignment="1" applyProtection="1">
      <alignment horizontal="center" vertical="center"/>
      <protection hidden="1"/>
    </xf>
    <xf numFmtId="0" fontId="136" fillId="0" borderId="6" xfId="0" applyFont="1" applyBorder="1" applyAlignment="1">
      <alignment horizontal="left" vertical="center" shrinkToFit="1"/>
    </xf>
    <xf numFmtId="3" fontId="145" fillId="0" borderId="0" xfId="0" applyNumberFormat="1" applyFont="1" applyFill="1" applyBorder="1" applyAlignment="1" applyProtection="1">
      <alignment vertical="center" shrinkToFit="1"/>
      <protection hidden="1"/>
    </xf>
    <xf numFmtId="43" fontId="136" fillId="0" borderId="6" xfId="0" applyNumberFormat="1" applyFont="1" applyBorder="1" applyAlignment="1">
      <alignment horizontal="left" vertical="center" shrinkToFit="1"/>
    </xf>
    <xf numFmtId="0" fontId="145" fillId="0" borderId="0" xfId="0" applyFont="1" applyFill="1" applyBorder="1" applyAlignment="1" applyProtection="1">
      <alignment vertical="center" shrinkToFit="1"/>
      <protection hidden="1"/>
    </xf>
    <xf numFmtId="43" fontId="145" fillId="0" borderId="0" xfId="0" applyNumberFormat="1" applyFont="1" applyFill="1" applyBorder="1" applyAlignment="1" applyProtection="1">
      <alignment vertical="center" shrinkToFit="1"/>
      <protection hidden="1"/>
    </xf>
    <xf numFmtId="0" fontId="136" fillId="0" borderId="6" xfId="0" applyFont="1" applyBorder="1" applyAlignment="1">
      <alignment horizontal="left" vertical="center"/>
    </xf>
    <xf numFmtId="3" fontId="145" fillId="0" borderId="0" xfId="0" applyNumberFormat="1" applyFont="1" applyFill="1" applyBorder="1" applyAlignment="1" applyProtection="1">
      <alignment horizontal="left" vertical="center"/>
      <protection hidden="1"/>
    </xf>
    <xf numFmtId="43" fontId="136" fillId="0" borderId="6" xfId="0" applyNumberFormat="1" applyFont="1" applyBorder="1" applyAlignment="1">
      <alignment horizontal="left" vertical="center"/>
    </xf>
    <xf numFmtId="0" fontId="145" fillId="0" borderId="0" xfId="0" applyFont="1" applyFill="1" applyBorder="1" applyAlignment="1" applyProtection="1">
      <alignment horizontal="left" vertical="center"/>
      <protection hidden="1"/>
    </xf>
    <xf numFmtId="43" fontId="145" fillId="0" borderId="0" xfId="0" applyNumberFormat="1" applyFont="1" applyFill="1" applyBorder="1" applyAlignment="1" applyProtection="1">
      <alignment horizontal="left" vertical="center"/>
      <protection hidden="1"/>
    </xf>
    <xf numFmtId="0" fontId="136" fillId="0" borderId="6" xfId="0" applyNumberFormat="1" applyFont="1" applyBorder="1" applyAlignment="1">
      <alignment horizontal="center" vertical="center"/>
    </xf>
    <xf numFmtId="0" fontId="145" fillId="0" borderId="0" xfId="0" applyNumberFormat="1" applyFont="1" applyFill="1" applyBorder="1" applyAlignment="1" applyProtection="1">
      <alignment horizontal="center" vertical="center"/>
      <protection hidden="1"/>
    </xf>
    <xf numFmtId="3" fontId="145" fillId="0" borderId="0" xfId="0" applyNumberFormat="1" applyFont="1" applyFill="1" applyBorder="1" applyAlignment="1" applyProtection="1">
      <alignment horizontal="center" vertical="center"/>
      <protection hidden="1"/>
    </xf>
    <xf numFmtId="43" fontId="136" fillId="0" borderId="6" xfId="0" applyNumberFormat="1" applyFont="1" applyBorder="1" applyAlignment="1">
      <alignment horizontal="center" vertical="center"/>
    </xf>
    <xf numFmtId="43" fontId="145" fillId="0" borderId="0" xfId="0" applyNumberFormat="1" applyFont="1" applyFill="1" applyBorder="1" applyAlignment="1" applyProtection="1">
      <alignment horizontal="center" vertical="center"/>
      <protection hidden="1"/>
    </xf>
    <xf numFmtId="0" fontId="145" fillId="0" borderId="0" xfId="2" applyNumberFormat="1" applyFont="1" applyBorder="1" applyAlignment="1" applyProtection="1">
      <alignment horizontal="center" vertical="center"/>
      <protection hidden="1"/>
    </xf>
    <xf numFmtId="3" fontId="145" fillId="0" borderId="0" xfId="2" applyNumberFormat="1" applyFont="1" applyBorder="1" applyAlignment="1" applyProtection="1">
      <alignment horizontal="center" vertical="center"/>
      <protection hidden="1"/>
    </xf>
    <xf numFmtId="43" fontId="145" fillId="0" borderId="0" xfId="2" applyNumberFormat="1" applyFont="1" applyBorder="1" applyAlignment="1" applyProtection="1">
      <alignment horizontal="center" vertical="center"/>
      <protection hidden="1"/>
    </xf>
    <xf numFmtId="0" fontId="136" fillId="0" borderId="0" xfId="0" applyFont="1" applyBorder="1" applyAlignment="1">
      <alignment horizontal="left" vertical="center" shrinkToFit="1"/>
    </xf>
    <xf numFmtId="0" fontId="136" fillId="0" borderId="0" xfId="0" applyFont="1" applyBorder="1" applyAlignment="1">
      <alignment horizontal="left" vertical="center"/>
    </xf>
    <xf numFmtId="0" fontId="136"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8" fillId="0" borderId="3" xfId="0" applyFont="1" applyBorder="1" applyAlignment="1">
      <alignment horizontal="center" vertical="center"/>
    </xf>
    <xf numFmtId="14" fontId="170" fillId="0" borderId="0" xfId="0" applyNumberFormat="1" applyFont="1" applyAlignment="1">
      <alignment horizontal="left" vertical="center"/>
    </xf>
    <xf numFmtId="16" fontId="173" fillId="19" borderId="0" xfId="0" applyNumberFormat="1" applyFont="1" applyFill="1">
      <alignment horizontal="center" vertical="center"/>
    </xf>
    <xf numFmtId="0" fontId="99" fillId="0" borderId="0" xfId="0" applyFont="1" applyBorder="1" applyAlignment="1">
      <alignment horizontal="center" vertical="center" wrapText="1"/>
    </xf>
    <xf numFmtId="0" fontId="98" fillId="0" borderId="0" xfId="0" applyFont="1" applyBorder="1" applyAlignment="1">
      <alignment vertical="center" wrapText="1"/>
    </xf>
    <xf numFmtId="3" fontId="136" fillId="0" borderId="6" xfId="0" applyNumberFormat="1" applyFont="1" applyBorder="1" applyAlignment="1">
      <alignment horizontal="left" vertical="center" shrinkToFit="1"/>
    </xf>
    <xf numFmtId="3" fontId="136" fillId="0" borderId="6" xfId="0" applyNumberFormat="1" applyFont="1" applyBorder="1" applyAlignment="1">
      <alignment horizontal="left" vertical="center"/>
    </xf>
    <xf numFmtId="3" fontId="136" fillId="0" borderId="6" xfId="0" applyNumberFormat="1" applyFont="1" applyBorder="1" applyAlignment="1">
      <alignment horizontal="center" vertical="center"/>
    </xf>
    <xf numFmtId="3" fontId="136" fillId="0" borderId="0" xfId="0" applyNumberFormat="1" applyFont="1" applyAlignment="1">
      <alignment horizontal="left" vertical="center"/>
    </xf>
    <xf numFmtId="3" fontId="136" fillId="0" borderId="0" xfId="0" applyNumberFormat="1" applyFont="1" applyFill="1" applyBorder="1" applyAlignment="1">
      <alignment horizontal="left" vertical="center"/>
    </xf>
    <xf numFmtId="0" fontId="170"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6" fillId="0" borderId="0" xfId="12" applyNumberFormat="1" applyFont="1" applyAlignment="1">
      <alignment horizontal="center" vertical="top" wrapText="1"/>
    </xf>
    <xf numFmtId="0" fontId="177"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7" fillId="0" borderId="6" xfId="0" quotePrefix="1" applyNumberFormat="1" applyFont="1" applyFill="1" applyBorder="1" applyAlignment="1">
      <alignment horizontal="center"/>
    </xf>
    <xf numFmtId="0" fontId="177" fillId="0" borderId="6" xfId="0" applyFont="1" applyFill="1" applyBorder="1" applyAlignment="1">
      <alignment horizontal="left" wrapText="1"/>
    </xf>
    <xf numFmtId="2" fontId="150" fillId="0" borderId="6" xfId="15" applyNumberFormat="1" applyFont="1" applyFill="1" applyBorder="1" applyAlignment="1" applyProtection="1">
      <alignment horizontal="center" vertical="center"/>
    </xf>
    <xf numFmtId="0" fontId="150" fillId="0" borderId="6" xfId="13" applyNumberFormat="1" applyFont="1" applyFill="1" applyBorder="1" applyAlignment="1" applyProtection="1">
      <alignment horizontal="center" vertical="center"/>
    </xf>
    <xf numFmtId="1" fontId="145" fillId="0" borderId="6" xfId="2" applyNumberFormat="1" applyFont="1" applyBorder="1" applyAlignment="1" applyProtection="1">
      <alignment horizontal="center" vertical="center"/>
      <protection hidden="1"/>
    </xf>
    <xf numFmtId="0" fontId="26" fillId="0" borderId="66"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0" fontId="0" fillId="0" borderId="0" xfId="0" applyNumberFormat="1" applyFont="1" applyAlignment="1">
      <alignment horizontal="center" vertical="center"/>
    </xf>
    <xf numFmtId="0" fontId="98" fillId="0" borderId="20" xfId="0" applyFont="1" applyFill="1" applyBorder="1" applyAlignment="1">
      <alignment horizontal="center" vertical="center"/>
    </xf>
    <xf numFmtId="0" fontId="26"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4" fillId="0" borderId="0" xfId="0" applyFont="1" applyFill="1" applyBorder="1" applyAlignment="1">
      <alignment horizontal="left" vertical="center"/>
    </xf>
    <xf numFmtId="0" fontId="98" fillId="22" borderId="20" xfId="0" applyFont="1" applyFill="1" applyBorder="1" applyAlignment="1">
      <alignment horizontal="center" vertical="center" wrapText="1"/>
    </xf>
    <xf numFmtId="9" fontId="170" fillId="0" borderId="0" xfId="66" applyFont="1" applyAlignment="1">
      <alignment horizontal="center" vertical="center"/>
    </xf>
    <xf numFmtId="0" fontId="170" fillId="23" borderId="0" xfId="0" applyFont="1" applyFill="1">
      <alignment horizontal="center" vertical="center"/>
    </xf>
    <xf numFmtId="2" fontId="145" fillId="0" borderId="0" xfId="2" applyNumberFormat="1" applyFont="1" applyBorder="1" applyAlignment="1" applyProtection="1">
      <alignment horizontal="center" vertical="center"/>
      <protection hidden="1"/>
    </xf>
    <xf numFmtId="0" fontId="170" fillId="0" borderId="0" xfId="0" quotePrefix="1" applyFont="1" applyAlignment="1">
      <alignment vertical="center" shrinkToFit="1"/>
    </xf>
    <xf numFmtId="0" fontId="26" fillId="0" borderId="0" xfId="0" applyFont="1" applyAlignment="1">
      <alignment horizontal="left" vertical="center"/>
    </xf>
    <xf numFmtId="43" fontId="136" fillId="0" borderId="0" xfId="0" applyNumberFormat="1" applyFont="1" applyAlignment="1">
      <alignment horizontal="left" vertical="center"/>
    </xf>
    <xf numFmtId="43" fontId="136" fillId="0" borderId="0" xfId="0" applyNumberFormat="1" applyFont="1" applyBorder="1" applyAlignment="1">
      <alignment horizontal="left" vertical="center"/>
    </xf>
    <xf numFmtId="3" fontId="136" fillId="0" borderId="0" xfId="0" applyNumberFormat="1" applyFont="1" applyBorder="1" applyAlignment="1">
      <alignment horizontal="left" vertical="center"/>
    </xf>
    <xf numFmtId="168" fontId="30" fillId="9" borderId="100" xfId="12" applyNumberFormat="1" applyFont="1" applyFill="1" applyBorder="1" applyAlignment="1">
      <alignment horizontal="center" vertical="center"/>
    </xf>
    <xf numFmtId="164" fontId="129" fillId="0" borderId="6" xfId="2" applyNumberFormat="1" applyFont="1" applyBorder="1" applyAlignment="1" applyProtection="1">
      <alignment vertical="center"/>
    </xf>
    <xf numFmtId="169" fontId="150" fillId="0" borderId="3" xfId="19" applyNumberFormat="1" applyFont="1" applyFill="1" applyBorder="1" applyAlignment="1">
      <alignment horizontal="center" vertical="center"/>
    </xf>
    <xf numFmtId="0" fontId="99" fillId="0" borderId="3" xfId="0" applyFont="1" applyBorder="1" applyAlignment="1">
      <alignment horizontal="left" vertical="center"/>
    </xf>
    <xf numFmtId="169" fontId="99" fillId="0" borderId="3" xfId="2" applyNumberFormat="1" applyFont="1" applyBorder="1" applyAlignment="1">
      <alignment horizontal="center" vertical="center" wrapText="1"/>
    </xf>
    <xf numFmtId="0" fontId="108" fillId="0" borderId="3" xfId="0" quotePrefix="1" applyFont="1" applyBorder="1">
      <alignment horizontal="center" vertical="center"/>
    </xf>
    <xf numFmtId="0" fontId="108"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6" fillId="19" borderId="0" xfId="0" applyNumberFormat="1" applyFont="1" applyFill="1" applyAlignment="1">
      <alignment horizontal="left" vertical="center"/>
    </xf>
    <xf numFmtId="3" fontId="136" fillId="19" borderId="0" xfId="0" applyNumberFormat="1" applyFont="1" applyFill="1">
      <alignment horizontal="center" vertical="center"/>
    </xf>
    <xf numFmtId="0" fontId="98"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8" fillId="0" borderId="0" xfId="0" applyFont="1" applyBorder="1" applyAlignment="1">
      <alignment horizontal="left" vertical="center" wrapText="1"/>
    </xf>
    <xf numFmtId="0" fontId="178" fillId="0" borderId="0" xfId="0" applyFont="1" applyAlignment="1" applyProtection="1">
      <alignment horizontal="left" vertical="center"/>
    </xf>
    <xf numFmtId="0" fontId="99" fillId="0" borderId="0" xfId="0" applyFont="1" applyBorder="1" applyAlignment="1">
      <alignment horizontal="left" vertical="center" wrapText="1"/>
    </xf>
    <xf numFmtId="43" fontId="178" fillId="0" borderId="0" xfId="2" applyFont="1" applyBorder="1" applyAlignment="1" applyProtection="1">
      <alignment horizontal="left" shrinkToFit="1"/>
    </xf>
    <xf numFmtId="0" fontId="178"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6" fillId="0" borderId="66" xfId="0" applyFont="1" applyBorder="1" applyAlignment="1">
      <alignment horizontal="center" vertical="center" wrapText="1"/>
    </xf>
    <xf numFmtId="0" fontId="26" fillId="0" borderId="120" xfId="0" applyFont="1" applyBorder="1" applyAlignment="1">
      <alignment horizontal="center" vertical="center" wrapText="1"/>
    </xf>
    <xf numFmtId="0" fontId="26" fillId="0" borderId="121" xfId="0" applyFont="1" applyBorder="1" applyAlignment="1">
      <alignment horizontal="center" vertical="center" wrapText="1"/>
    </xf>
    <xf numFmtId="0" fontId="0" fillId="0" borderId="122" xfId="0" applyFont="1" applyBorder="1" applyAlignment="1">
      <alignment horizontal="center" vertical="center"/>
    </xf>
    <xf numFmtId="0" fontId="0" fillId="0" borderId="0" xfId="0" applyFont="1" applyBorder="1" applyAlignment="1">
      <alignment horizontal="center" vertical="center" wrapText="1"/>
    </xf>
    <xf numFmtId="0" fontId="108" fillId="0" borderId="0" xfId="0" applyFont="1" applyBorder="1">
      <alignment horizontal="center" vertical="center"/>
    </xf>
    <xf numFmtId="14" fontId="0" fillId="0" borderId="0" xfId="0" applyNumberFormat="1" applyFont="1" applyBorder="1">
      <alignment horizontal="center" vertical="center"/>
    </xf>
    <xf numFmtId="14" fontId="0" fillId="0" borderId="123" xfId="0" applyNumberFormat="1" applyFont="1" applyBorder="1">
      <alignment horizontal="center" vertical="center"/>
    </xf>
    <xf numFmtId="0" fontId="108" fillId="0" borderId="124" xfId="0" applyFont="1" applyBorder="1">
      <alignment horizontal="center" vertical="center"/>
    </xf>
    <xf numFmtId="0" fontId="108" fillId="0" borderId="4" xfId="0" applyFont="1" applyBorder="1">
      <alignment horizontal="center" vertical="center"/>
    </xf>
    <xf numFmtId="14" fontId="108" fillId="0" borderId="4" xfId="0" applyNumberFormat="1" applyFont="1" applyBorder="1">
      <alignment horizontal="center" vertical="center"/>
    </xf>
    <xf numFmtId="14" fontId="108" fillId="0" borderId="125" xfId="0" applyNumberFormat="1" applyFont="1" applyBorder="1">
      <alignment horizontal="center" vertical="center"/>
    </xf>
    <xf numFmtId="3" fontId="136" fillId="0" borderId="0" xfId="0" applyNumberFormat="1" applyFont="1" applyBorder="1" applyAlignment="1">
      <alignment horizontal="left" vertical="center" shrinkToFit="1"/>
    </xf>
    <xf numFmtId="3" fontId="145" fillId="0" borderId="0" xfId="0" applyNumberFormat="1" applyFont="1" applyFill="1" applyBorder="1" applyAlignment="1" applyProtection="1">
      <alignment horizontal="left" vertical="center" shrinkToFit="1"/>
      <protection hidden="1"/>
    </xf>
    <xf numFmtId="3" fontId="136" fillId="0" borderId="0" xfId="0" applyNumberFormat="1" applyFont="1" applyBorder="1" applyAlignment="1">
      <alignment horizontal="center" vertical="center"/>
    </xf>
    <xf numFmtId="3" fontId="145" fillId="0" borderId="0" xfId="0" applyNumberFormat="1" applyFont="1" applyFill="1" applyBorder="1" applyAlignment="1" applyProtection="1">
      <alignment horizontal="center" vertical="center" shrinkToFit="1"/>
      <protection hidden="1"/>
    </xf>
    <xf numFmtId="1" fontId="145" fillId="0" borderId="0" xfId="2" applyNumberFormat="1" applyFont="1" applyBorder="1" applyAlignment="1" applyProtection="1">
      <alignment horizontal="center" vertical="center"/>
      <protection hidden="1"/>
    </xf>
    <xf numFmtId="2" fontId="150" fillId="0" borderId="3" xfId="19" applyNumberFormat="1" applyFont="1" applyFill="1" applyBorder="1" applyAlignment="1">
      <alignment horizontal="center" vertical="center"/>
    </xf>
    <xf numFmtId="2" fontId="25" fillId="0" borderId="3" xfId="19" applyNumberFormat="1" applyFont="1" applyFill="1" applyBorder="1" applyAlignment="1">
      <alignment horizontal="center" vertical="center"/>
    </xf>
    <xf numFmtId="49" fontId="108" fillId="0" borderId="3" xfId="0" quotePrefix="1" applyNumberFormat="1" applyFont="1" applyBorder="1">
      <alignment horizontal="center" vertical="center"/>
    </xf>
    <xf numFmtId="3" fontId="160" fillId="0" borderId="3" xfId="0" applyNumberFormat="1" applyFont="1" applyBorder="1" applyAlignment="1">
      <alignment horizontal="left" vertical="center"/>
    </xf>
    <xf numFmtId="3" fontId="0" fillId="0" borderId="0" xfId="0" applyNumberFormat="1" applyFont="1">
      <alignment horizontal="center" vertical="center"/>
    </xf>
    <xf numFmtId="0" fontId="108" fillId="0" borderId="0" xfId="15" applyFont="1" applyFill="1" applyAlignment="1" applyProtection="1">
      <alignment vertical="center" shrinkToFit="1"/>
    </xf>
    <xf numFmtId="0" fontId="108" fillId="0" borderId="0" xfId="0" applyFont="1" applyFill="1" applyBorder="1" applyAlignment="1">
      <alignment horizontal="left" vertical="center"/>
    </xf>
    <xf numFmtId="0" fontId="180" fillId="0" borderId="0" xfId="0" applyFont="1" applyBorder="1" applyAlignment="1" applyProtection="1"/>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14" fontId="108" fillId="0" borderId="0" xfId="0" applyNumberFormat="1" applyFont="1">
      <alignment horizontal="center" vertical="center"/>
    </xf>
    <xf numFmtId="0" fontId="62" fillId="0" borderId="33" xfId="12" applyNumberFormat="1" applyFont="1" applyFill="1" applyBorder="1" applyAlignment="1">
      <alignment horizontal="center" vertical="top"/>
    </xf>
    <xf numFmtId="0" fontId="22" fillId="0" borderId="6" xfId="2" applyNumberFormat="1" applyFont="1" applyFill="1" applyBorder="1" applyAlignment="1" applyProtection="1">
      <alignment horizontal="center" vertical="top"/>
    </xf>
    <xf numFmtId="3" fontId="22" fillId="0" borderId="6" xfId="2" applyNumberFormat="1" applyFont="1" applyFill="1" applyBorder="1" applyAlignment="1">
      <alignment horizontal="center" vertical="top"/>
    </xf>
    <xf numFmtId="0" fontId="22" fillId="0" borderId="6" xfId="2" applyNumberFormat="1" applyFont="1" applyFill="1" applyBorder="1" applyAlignment="1">
      <alignment horizontal="center" vertical="top"/>
    </xf>
    <xf numFmtId="0" fontId="22" fillId="0" borderId="6" xfId="12" applyNumberFormat="1" applyFont="1" applyFill="1" applyBorder="1" applyAlignment="1">
      <alignment horizontal="center" vertical="top"/>
    </xf>
    <xf numFmtId="0" fontId="22" fillId="0" borderId="6" xfId="12" applyNumberFormat="1" applyFont="1" applyFill="1" applyBorder="1" applyAlignment="1">
      <alignment horizontal="center" vertical="top" wrapText="1"/>
    </xf>
    <xf numFmtId="0" fontId="40" fillId="0" borderId="34" xfId="2" applyNumberFormat="1" applyFont="1" applyFill="1" applyBorder="1" applyAlignment="1">
      <alignment horizontal="center" vertical="top"/>
    </xf>
    <xf numFmtId="0" fontId="0" fillId="0" borderId="0" xfId="0" applyAlignment="1">
      <alignment horizontal="center" vertical="top"/>
    </xf>
    <xf numFmtId="0" fontId="29" fillId="0" borderId="0" xfId="12" applyNumberFormat="1" applyFont="1" applyAlignment="1">
      <alignment horizontal="center" vertical="top"/>
    </xf>
    <xf numFmtId="181" fontId="84" fillId="0" borderId="33" xfId="12" quotePrefix="1" applyNumberFormat="1" applyFont="1" applyFill="1" applyBorder="1" applyAlignment="1">
      <alignment horizontal="center" vertical="center"/>
    </xf>
    <xf numFmtId="3" fontId="10" fillId="24" borderId="0" xfId="69" applyNumberFormat="1" applyFont="1" applyFill="1"/>
    <xf numFmtId="3" fontId="10" fillId="24" borderId="0" xfId="69" applyNumberFormat="1" applyFont="1" applyFill="1" applyAlignment="1">
      <alignment wrapText="1"/>
    </xf>
    <xf numFmtId="3" fontId="12" fillId="24" borderId="3" xfId="69" applyNumberFormat="1" applyFont="1" applyFill="1" applyBorder="1" applyAlignment="1">
      <alignment horizontal="center"/>
    </xf>
    <xf numFmtId="4" fontId="10" fillId="24" borderId="0" xfId="69" applyNumberFormat="1" applyFont="1" applyFill="1"/>
    <xf numFmtId="168" fontId="10" fillId="24" borderId="0" xfId="69" applyNumberFormat="1" applyFont="1" applyFill="1"/>
    <xf numFmtId="3" fontId="181" fillId="24" borderId="0" xfId="69" applyNumberFormat="1" applyFont="1" applyFill="1" applyAlignment="1">
      <alignment horizontal="center" vertical="center"/>
    </xf>
    <xf numFmtId="3" fontId="181" fillId="24" borderId="0" xfId="27" applyNumberFormat="1" applyFont="1" applyFill="1"/>
    <xf numFmtId="168" fontId="181" fillId="24" borderId="0" xfId="27" applyNumberFormat="1" applyFont="1" applyFill="1"/>
    <xf numFmtId="3" fontId="182" fillId="24" borderId="0" xfId="27" applyNumberFormat="1" applyFont="1" applyFill="1" applyAlignment="1">
      <alignment horizontal="center"/>
    </xf>
    <xf numFmtId="3" fontId="182" fillId="24" borderId="0" xfId="27" applyNumberFormat="1" applyFont="1" applyFill="1"/>
    <xf numFmtId="3" fontId="183" fillId="24" borderId="0" xfId="69" applyNumberFormat="1" applyFont="1" applyFill="1" applyAlignment="1">
      <alignment horizontal="center"/>
    </xf>
    <xf numFmtId="3" fontId="12" fillId="24" borderId="0" xfId="69" applyNumberFormat="1" applyFont="1" applyFill="1" applyAlignment="1">
      <alignment horizontal="center"/>
    </xf>
    <xf numFmtId="3" fontId="46" fillId="24" borderId="0" xfId="69" applyNumberFormat="1" applyFont="1" applyFill="1"/>
    <xf numFmtId="3" fontId="184" fillId="24" borderId="0" xfId="69" applyNumberFormat="1" applyFont="1" applyFill="1"/>
    <xf numFmtId="3" fontId="29" fillId="24" borderId="0" xfId="69" applyNumberFormat="1" applyFont="1" applyFill="1"/>
    <xf numFmtId="0" fontId="10" fillId="24" borderId="0" xfId="69" applyFont="1" applyFill="1"/>
    <xf numFmtId="3" fontId="9" fillId="24" borderId="0" xfId="69" applyNumberFormat="1" applyFont="1" applyFill="1" applyAlignment="1">
      <alignment horizontal="center"/>
    </xf>
    <xf numFmtId="3" fontId="48" fillId="24" borderId="0" xfId="69" applyNumberFormat="1" applyFont="1" applyFill="1" applyAlignment="1">
      <alignment horizontal="center"/>
    </xf>
    <xf numFmtId="3" fontId="34" fillId="24" borderId="12" xfId="69" applyNumberFormat="1" applyFont="1" applyFill="1" applyBorder="1" applyAlignment="1">
      <alignment horizontal="center" vertical="center"/>
    </xf>
    <xf numFmtId="0" fontId="29" fillId="24" borderId="0" xfId="69" applyFont="1" applyFill="1"/>
    <xf numFmtId="3" fontId="34" fillId="24" borderId="13" xfId="69" applyNumberFormat="1" applyFont="1" applyFill="1" applyBorder="1" applyAlignment="1">
      <alignment horizontal="center" vertical="center"/>
    </xf>
    <xf numFmtId="3" fontId="34" fillId="24" borderId="24" xfId="69" applyNumberFormat="1" applyFont="1" applyFill="1" applyBorder="1" applyAlignment="1">
      <alignment horizontal="center" vertical="center"/>
    </xf>
    <xf numFmtId="3" fontId="34" fillId="24" borderId="24" xfId="69" applyNumberFormat="1" applyFont="1" applyFill="1" applyBorder="1" applyAlignment="1">
      <alignment horizontal="left"/>
    </xf>
    <xf numFmtId="3" fontId="34" fillId="24" borderId="25" xfId="69" applyNumberFormat="1" applyFont="1" applyFill="1" applyBorder="1" applyAlignment="1">
      <alignment horizontal="left"/>
    </xf>
    <xf numFmtId="3" fontId="34" fillId="24" borderId="2" xfId="69" applyNumberFormat="1" applyFont="1" applyFill="1" applyBorder="1" applyAlignment="1">
      <alignment horizontal="center" wrapText="1"/>
    </xf>
    <xf numFmtId="3" fontId="34" fillId="24" borderId="2" xfId="69" applyNumberFormat="1" applyFont="1" applyFill="1" applyBorder="1" applyAlignment="1">
      <alignment horizontal="left"/>
    </xf>
    <xf numFmtId="3" fontId="34" fillId="24" borderId="3" xfId="69" applyNumberFormat="1" applyFont="1" applyFill="1" applyBorder="1" applyAlignment="1">
      <alignment horizontal="center"/>
    </xf>
    <xf numFmtId="0" fontId="48" fillId="24" borderId="0" xfId="23" applyFont="1" applyFill="1"/>
    <xf numFmtId="3" fontId="29" fillId="24" borderId="6" xfId="70" applyNumberFormat="1" applyFont="1" applyFill="1" applyBorder="1" applyAlignment="1">
      <alignment horizontal="center"/>
    </xf>
    <xf numFmtId="0" fontId="29" fillId="24" borderId="6" xfId="23" applyFont="1" applyFill="1" applyBorder="1" applyAlignment="1">
      <alignment horizontal="center"/>
    </xf>
    <xf numFmtId="0" fontId="29" fillId="24" borderId="6" xfId="23" applyFont="1" applyFill="1" applyBorder="1" applyAlignment="1">
      <alignment horizontal="left"/>
    </xf>
    <xf numFmtId="3" fontId="186" fillId="24" borderId="26" xfId="69" applyNumberFormat="1" applyFont="1" applyFill="1" applyBorder="1" applyAlignment="1">
      <alignment horizontal="center"/>
    </xf>
    <xf numFmtId="164" fontId="29" fillId="24" borderId="6" xfId="2" applyNumberFormat="1" applyFont="1" applyFill="1" applyBorder="1"/>
    <xf numFmtId="3" fontId="186" fillId="24" borderId="15" xfId="69" applyNumberFormat="1" applyFont="1" applyFill="1" applyBorder="1" applyAlignment="1">
      <alignment horizontal="right"/>
    </xf>
    <xf numFmtId="3" fontId="186" fillId="24" borderId="12" xfId="69" applyNumberFormat="1" applyFont="1" applyFill="1" applyBorder="1" applyAlignment="1">
      <alignment horizontal="right"/>
    </xf>
    <xf numFmtId="3" fontId="29" fillId="24" borderId="7" xfId="69" applyNumberFormat="1" applyFont="1" applyFill="1" applyBorder="1" applyAlignment="1">
      <alignment horizontal="center"/>
    </xf>
    <xf numFmtId="3" fontId="29" fillId="24" borderId="6" xfId="69" applyNumberFormat="1" applyFont="1" applyFill="1" applyBorder="1" applyAlignment="1">
      <alignment horizontal="center"/>
    </xf>
    <xf numFmtId="3" fontId="186" fillId="24" borderId="6" xfId="69" applyNumberFormat="1" applyFont="1" applyFill="1" applyBorder="1" applyAlignment="1">
      <alignment horizontal="right"/>
    </xf>
    <xf numFmtId="3" fontId="186" fillId="24" borderId="14" xfId="69" applyNumberFormat="1" applyFont="1" applyFill="1" applyBorder="1" applyAlignment="1">
      <alignment horizontal="right"/>
    </xf>
    <xf numFmtId="3" fontId="48" fillId="24" borderId="0" xfId="69" applyNumberFormat="1" applyFont="1" applyFill="1" applyAlignment="1">
      <alignment horizontal="left"/>
    </xf>
    <xf numFmtId="3" fontId="29" fillId="24" borderId="0" xfId="69" applyNumberFormat="1" applyFont="1" applyFill="1" applyAlignment="1">
      <alignment horizontal="left"/>
    </xf>
    <xf numFmtId="3" fontId="48" fillId="24" borderId="0" xfId="23" applyNumberFormat="1" applyFont="1" applyFill="1"/>
    <xf numFmtId="0" fontId="48" fillId="24" borderId="0" xfId="23" applyFont="1" applyFill="1" applyAlignment="1">
      <alignment horizontal="left"/>
    </xf>
    <xf numFmtId="3" fontId="29" fillId="24" borderId="14" xfId="69" applyNumberFormat="1" applyFont="1" applyFill="1" applyBorder="1" applyAlignment="1">
      <alignment horizontal="right"/>
    </xf>
    <xf numFmtId="3" fontId="29" fillId="24" borderId="3" xfId="69" applyNumberFormat="1" applyFont="1" applyFill="1" applyBorder="1" applyAlignment="1">
      <alignment horizontal="center"/>
    </xf>
    <xf numFmtId="49" fontId="29" fillId="24" borderId="3" xfId="69" applyNumberFormat="1" applyFont="1" applyFill="1" applyBorder="1" applyAlignment="1">
      <alignment horizontal="center"/>
    </xf>
    <xf numFmtId="3" fontId="34" fillId="24" borderId="24" xfId="69" applyNumberFormat="1" applyFont="1" applyFill="1" applyBorder="1" applyAlignment="1">
      <alignment horizontal="center"/>
    </xf>
    <xf numFmtId="3" fontId="34" fillId="24" borderId="25" xfId="69" applyNumberFormat="1" applyFont="1" applyFill="1" applyBorder="1" applyAlignment="1">
      <alignment horizontal="center"/>
    </xf>
    <xf numFmtId="3" fontId="34" fillId="24" borderId="2" xfId="69" applyNumberFormat="1" applyFont="1" applyFill="1" applyBorder="1" applyAlignment="1">
      <alignment horizontal="center"/>
    </xf>
    <xf numFmtId="3" fontId="34" fillId="24" borderId="26" xfId="70" applyNumberFormat="1" applyFont="1" applyFill="1" applyBorder="1" applyAlignment="1">
      <alignment horizontal="center"/>
    </xf>
    <xf numFmtId="3" fontId="34" fillId="24" borderId="18" xfId="69" applyNumberFormat="1" applyFont="1" applyFill="1" applyBorder="1" applyAlignment="1">
      <alignment horizontal="center"/>
    </xf>
    <xf numFmtId="3" fontId="34" fillId="24" borderId="6" xfId="69" applyNumberFormat="1" applyFont="1" applyFill="1" applyBorder="1" applyAlignment="1">
      <alignment horizontal="center"/>
    </xf>
    <xf numFmtId="3" fontId="34" fillId="24" borderId="26" xfId="69" applyNumberFormat="1" applyFont="1" applyFill="1" applyBorder="1" applyAlignment="1">
      <alignment horizontal="center"/>
    </xf>
    <xf numFmtId="3" fontId="34" fillId="24" borderId="0" xfId="69" applyNumberFormat="1" applyFont="1" applyFill="1" applyAlignment="1">
      <alignment horizontal="center"/>
    </xf>
    <xf numFmtId="3" fontId="34" fillId="24" borderId="6" xfId="70" applyNumberFormat="1" applyFont="1" applyFill="1" applyBorder="1" applyAlignment="1">
      <alignment horizontal="center"/>
    </xf>
    <xf numFmtId="49" fontId="34" fillId="24" borderId="21" xfId="69" applyNumberFormat="1" applyFont="1" applyFill="1" applyBorder="1" applyAlignment="1">
      <alignment horizontal="center"/>
    </xf>
    <xf numFmtId="3" fontId="34" fillId="24" borderId="6" xfId="69" applyNumberFormat="1" applyFont="1" applyFill="1" applyBorder="1" applyAlignment="1">
      <alignment wrapText="1"/>
    </xf>
    <xf numFmtId="3" fontId="187" fillId="24" borderId="6" xfId="69" applyNumberFormat="1" applyFont="1" applyFill="1" applyBorder="1" applyAlignment="1">
      <alignment wrapText="1"/>
    </xf>
    <xf numFmtId="3" fontId="29" fillId="24" borderId="0" xfId="69" applyNumberFormat="1" applyFont="1" applyFill="1" applyAlignment="1">
      <alignment horizontal="center"/>
    </xf>
    <xf numFmtId="49" fontId="29" fillId="24" borderId="21" xfId="69" applyNumberFormat="1" applyFont="1" applyFill="1" applyBorder="1" applyAlignment="1">
      <alignment horizontal="center"/>
    </xf>
    <xf numFmtId="4" fontId="29" fillId="24" borderId="6" xfId="69" applyNumberFormat="1" applyFont="1" applyFill="1" applyBorder="1" applyAlignment="1">
      <alignment horizontal="center"/>
    </xf>
    <xf numFmtId="0" fontId="29" fillId="24" borderId="6" xfId="23" applyFont="1" applyFill="1" applyBorder="1" applyAlignment="1">
      <alignment horizontal="center" vertical="center"/>
    </xf>
    <xf numFmtId="164" fontId="29" fillId="24" borderId="6" xfId="2" applyNumberFormat="1" applyFont="1" applyFill="1" applyBorder="1" applyAlignment="1">
      <alignment horizontal="center"/>
    </xf>
    <xf numFmtId="0" fontId="186" fillId="24" borderId="14" xfId="69" applyFont="1" applyFill="1" applyBorder="1" applyAlignment="1">
      <alignment horizontal="right"/>
    </xf>
    <xf numFmtId="3" fontId="29" fillId="24" borderId="6" xfId="69" applyNumberFormat="1" applyFont="1" applyFill="1" applyBorder="1"/>
    <xf numFmtId="168" fontId="29" fillId="24" borderId="6" xfId="69" applyNumberFormat="1" applyFont="1" applyFill="1" applyBorder="1" applyAlignment="1">
      <alignment horizontal="center"/>
    </xf>
    <xf numFmtId="165" fontId="29" fillId="24" borderId="6" xfId="69" applyNumberFormat="1" applyFont="1" applyFill="1" applyBorder="1" applyAlignment="1">
      <alignment horizontal="center"/>
    </xf>
    <xf numFmtId="3" fontId="34" fillId="24" borderId="6" xfId="69" quotePrefix="1" applyNumberFormat="1" applyFont="1" applyFill="1" applyBorder="1" applyAlignment="1">
      <alignment wrapText="1"/>
    </xf>
    <xf numFmtId="3" fontId="48" fillId="24" borderId="0" xfId="23" applyNumberFormat="1" applyFont="1" applyFill="1" applyAlignment="1">
      <alignment horizontal="left"/>
    </xf>
    <xf numFmtId="3" fontId="34" fillId="24" borderId="8" xfId="69" applyNumberFormat="1" applyFont="1" applyFill="1" applyBorder="1" applyAlignment="1">
      <alignment horizontal="center"/>
    </xf>
    <xf numFmtId="49" fontId="34" fillId="24" borderId="23" xfId="69" applyNumberFormat="1" applyFont="1" applyFill="1" applyBorder="1" applyAlignment="1">
      <alignment horizontal="center"/>
    </xf>
    <xf numFmtId="3" fontId="186" fillId="24" borderId="27" xfId="69" applyNumberFormat="1" applyFont="1" applyFill="1" applyBorder="1" applyAlignment="1">
      <alignment horizontal="right"/>
    </xf>
    <xf numFmtId="3" fontId="186" fillId="24" borderId="8" xfId="69" applyNumberFormat="1" applyFont="1" applyFill="1" applyBorder="1" applyAlignment="1">
      <alignment horizontal="right"/>
    </xf>
    <xf numFmtId="3" fontId="29" fillId="24" borderId="8" xfId="69" applyNumberFormat="1" applyFont="1" applyFill="1" applyBorder="1" applyAlignment="1">
      <alignment horizontal="center"/>
    </xf>
    <xf numFmtId="3" fontId="29" fillId="24" borderId="24" xfId="69" applyNumberFormat="1" applyFont="1" applyFill="1" applyBorder="1"/>
    <xf numFmtId="3" fontId="29" fillId="24" borderId="2" xfId="69" applyNumberFormat="1" applyFont="1" applyFill="1" applyBorder="1"/>
    <xf numFmtId="3" fontId="34" fillId="24" borderId="3" xfId="69" applyNumberFormat="1" applyFont="1" applyFill="1" applyBorder="1"/>
    <xf numFmtId="3" fontId="186" fillId="24" borderId="6" xfId="69" applyNumberFormat="1" applyFont="1" applyFill="1" applyBorder="1" applyAlignment="1">
      <alignment horizontal="center"/>
    </xf>
    <xf numFmtId="3" fontId="29" fillId="24" borderId="7" xfId="69" applyNumberFormat="1" applyFont="1" applyFill="1" applyBorder="1"/>
    <xf numFmtId="3" fontId="29" fillId="24" borderId="3" xfId="69" applyNumberFormat="1" applyFont="1" applyFill="1" applyBorder="1"/>
    <xf numFmtId="3" fontId="34" fillId="24" borderId="6" xfId="69" applyNumberFormat="1" applyFont="1" applyFill="1" applyBorder="1"/>
    <xf numFmtId="3" fontId="187" fillId="24" borderId="6" xfId="69" applyNumberFormat="1" applyFont="1" applyFill="1" applyBorder="1"/>
    <xf numFmtId="0" fontId="48" fillId="24" borderId="6" xfId="23" applyFont="1" applyFill="1" applyBorder="1" applyAlignment="1" applyProtection="1">
      <alignment horizontal="left"/>
      <protection locked="0"/>
    </xf>
    <xf numFmtId="3" fontId="34" fillId="24" borderId="6" xfId="69" quotePrefix="1" applyNumberFormat="1" applyFont="1" applyFill="1" applyBorder="1"/>
    <xf numFmtId="3" fontId="34" fillId="24" borderId="19" xfId="69" applyNumberFormat="1" applyFont="1" applyFill="1" applyBorder="1" applyAlignment="1">
      <alignment horizontal="center"/>
    </xf>
    <xf numFmtId="49" fontId="34" fillId="24" borderId="28" xfId="69" applyNumberFormat="1" applyFont="1" applyFill="1" applyBorder="1" applyAlignment="1">
      <alignment horizontal="center"/>
    </xf>
    <xf numFmtId="3" fontId="186" fillId="24" borderId="19" xfId="69" applyNumberFormat="1" applyFont="1" applyFill="1" applyBorder="1" applyAlignment="1">
      <alignment horizontal="right"/>
    </xf>
    <xf numFmtId="3" fontId="186" fillId="24" borderId="108" xfId="69" applyNumberFormat="1" applyFont="1" applyFill="1" applyBorder="1" applyAlignment="1">
      <alignment horizontal="right"/>
    </xf>
    <xf numFmtId="3" fontId="29" fillId="24" borderId="8" xfId="69" applyNumberFormat="1" applyFont="1" applyFill="1" applyBorder="1"/>
    <xf numFmtId="0" fontId="22" fillId="24" borderId="6" xfId="23" applyFont="1" applyFill="1" applyBorder="1" applyAlignment="1">
      <alignment horizontal="left"/>
    </xf>
    <xf numFmtId="0" fontId="48" fillId="24" borderId="6" xfId="23" applyFont="1" applyFill="1" applyBorder="1" applyAlignment="1">
      <alignment horizontal="left"/>
    </xf>
    <xf numFmtId="3" fontId="48" fillId="24" borderId="0" xfId="69" applyNumberFormat="1" applyFont="1" applyFill="1" applyAlignment="1">
      <alignment horizontal="center" vertical="center"/>
    </xf>
    <xf numFmtId="43" fontId="186" fillId="24" borderId="6" xfId="2" applyFont="1" applyFill="1" applyBorder="1" applyAlignment="1">
      <alignment horizontal="center"/>
    </xf>
    <xf numFmtId="43" fontId="29" fillId="24" borderId="6" xfId="2" applyFont="1" applyFill="1" applyBorder="1" applyAlignment="1">
      <alignment horizontal="center"/>
    </xf>
    <xf numFmtId="164" fontId="6" fillId="24" borderId="6" xfId="2" applyNumberFormat="1" applyFont="1" applyFill="1" applyBorder="1"/>
    <xf numFmtId="43" fontId="34" fillId="24" borderId="2" xfId="2" applyFont="1" applyFill="1" applyBorder="1" applyAlignment="1">
      <alignment horizontal="center"/>
    </xf>
    <xf numFmtId="43" fontId="34" fillId="24" borderId="6" xfId="2" applyFont="1" applyFill="1" applyBorder="1" applyAlignment="1">
      <alignment horizontal="center"/>
    </xf>
    <xf numFmtId="43" fontId="34" fillId="24" borderId="8" xfId="2" applyFont="1" applyFill="1" applyBorder="1" applyAlignment="1">
      <alignment horizontal="center"/>
    </xf>
    <xf numFmtId="170" fontId="189" fillId="24" borderId="0" xfId="10" quotePrefix="1" applyNumberFormat="1" applyFont="1" applyFill="1"/>
    <xf numFmtId="4" fontId="186" fillId="24" borderId="6" xfId="69" applyNumberFormat="1" applyFont="1" applyFill="1" applyBorder="1" applyAlignment="1">
      <alignment horizontal="right"/>
    </xf>
    <xf numFmtId="4" fontId="29" fillId="24" borderId="6" xfId="69" applyNumberFormat="1" applyFont="1" applyFill="1" applyBorder="1" applyAlignment="1">
      <alignment horizontal="right"/>
    </xf>
    <xf numFmtId="3" fontId="29" fillId="24" borderId="3" xfId="69" applyNumberFormat="1" applyFont="1" applyFill="1" applyBorder="1" applyAlignment="1">
      <alignment horizontal="right"/>
    </xf>
    <xf numFmtId="4" fontId="34" fillId="24" borderId="6" xfId="69" applyNumberFormat="1" applyFont="1" applyFill="1" applyBorder="1" applyAlignment="1">
      <alignment horizontal="right"/>
    </xf>
    <xf numFmtId="0" fontId="29" fillId="24" borderId="6" xfId="23" applyFont="1" applyFill="1" applyBorder="1" applyAlignment="1">
      <alignment horizontal="left" vertical="center"/>
    </xf>
    <xf numFmtId="4" fontId="34" fillId="24" borderId="8" xfId="69" applyNumberFormat="1" applyFont="1" applyFill="1" applyBorder="1" applyAlignment="1">
      <alignment horizontal="right"/>
    </xf>
    <xf numFmtId="0" fontId="29" fillId="24" borderId="3" xfId="69" applyFont="1" applyFill="1" applyBorder="1" applyAlignment="1">
      <alignment horizontal="center"/>
    </xf>
    <xf numFmtId="3" fontId="29" fillId="24" borderId="12" xfId="69" applyNumberFormat="1" applyFont="1" applyFill="1" applyBorder="1"/>
    <xf numFmtId="0" fontId="34" fillId="24" borderId="25" xfId="69" applyFont="1" applyFill="1" applyBorder="1" applyAlignment="1">
      <alignment horizontal="center"/>
    </xf>
    <xf numFmtId="0" fontId="34" fillId="24" borderId="29" xfId="69" applyFont="1" applyFill="1" applyBorder="1" applyAlignment="1">
      <alignment horizontal="center"/>
    </xf>
    <xf numFmtId="3" fontId="34" fillId="24" borderId="26" xfId="69" applyNumberFormat="1" applyFont="1" applyFill="1" applyBorder="1"/>
    <xf numFmtId="3" fontId="34" fillId="24" borderId="30" xfId="69" applyNumberFormat="1" applyFont="1" applyFill="1" applyBorder="1" applyAlignment="1">
      <alignment horizontal="center"/>
    </xf>
    <xf numFmtId="0" fontId="34" fillId="24" borderId="21" xfId="69" applyFont="1" applyFill="1" applyBorder="1" applyAlignment="1">
      <alignment horizontal="center"/>
    </xf>
    <xf numFmtId="3" fontId="34" fillId="24" borderId="14" xfId="69" applyNumberFormat="1" applyFont="1" applyFill="1" applyBorder="1" applyAlignment="1">
      <alignment horizontal="right"/>
    </xf>
    <xf numFmtId="3" fontId="34" fillId="24" borderId="6" xfId="69" applyNumberFormat="1" applyFont="1" applyFill="1" applyBorder="1" applyAlignment="1">
      <alignment horizontal="right"/>
    </xf>
    <xf numFmtId="3" fontId="29" fillId="24" borderId="27" xfId="69" applyNumberFormat="1" applyFont="1" applyFill="1" applyBorder="1" applyAlignment="1">
      <alignment horizontal="right"/>
    </xf>
    <xf numFmtId="0" fontId="48" fillId="24" borderId="14" xfId="23" applyFont="1" applyFill="1" applyBorder="1" applyAlignment="1">
      <alignment horizontal="left"/>
    </xf>
    <xf numFmtId="0" fontId="29" fillId="24" borderId="21" xfId="69" applyFont="1" applyFill="1" applyBorder="1" applyAlignment="1">
      <alignment horizontal="center"/>
    </xf>
    <xf numFmtId="3" fontId="29" fillId="24" borderId="6" xfId="71" applyNumberFormat="1" applyFont="1" applyFill="1" applyBorder="1" applyAlignment="1">
      <alignment horizontal="center"/>
    </xf>
    <xf numFmtId="3" fontId="186" fillId="24" borderId="14" xfId="71" applyNumberFormat="1" applyFont="1" applyFill="1" applyBorder="1" applyAlignment="1">
      <alignment horizontal="right"/>
    </xf>
    <xf numFmtId="3" fontId="186" fillId="24" borderId="6" xfId="71" applyNumberFormat="1" applyFont="1" applyFill="1" applyBorder="1" applyAlignment="1">
      <alignment horizontal="right"/>
    </xf>
    <xf numFmtId="3" fontId="34" fillId="24" borderId="8" xfId="69" quotePrefix="1" applyNumberFormat="1" applyFont="1" applyFill="1" applyBorder="1" applyAlignment="1">
      <alignment horizontal="left"/>
    </xf>
    <xf numFmtId="3" fontId="29" fillId="24" borderId="0" xfId="71" applyNumberFormat="1" applyFont="1" applyFill="1" applyAlignment="1">
      <alignment horizontal="left"/>
    </xf>
    <xf numFmtId="3" fontId="29" fillId="24" borderId="0" xfId="71" applyNumberFormat="1" applyFont="1" applyFill="1"/>
    <xf numFmtId="43" fontId="29" fillId="24" borderId="8" xfId="2" applyFont="1" applyFill="1" applyBorder="1" applyAlignment="1">
      <alignment horizontal="center"/>
    </xf>
    <xf numFmtId="3" fontId="34" fillId="24" borderId="25" xfId="71" applyNumberFormat="1" applyFont="1" applyFill="1" applyBorder="1" applyAlignment="1">
      <alignment horizontal="center"/>
    </xf>
    <xf numFmtId="3" fontId="34" fillId="24" borderId="3" xfId="71" applyNumberFormat="1" applyFont="1" applyFill="1" applyBorder="1" applyAlignment="1">
      <alignment horizontal="center"/>
    </xf>
    <xf numFmtId="3" fontId="34" fillId="24" borderId="2" xfId="71" applyNumberFormat="1" applyFont="1" applyFill="1" applyBorder="1" applyAlignment="1">
      <alignment horizontal="center"/>
    </xf>
    <xf numFmtId="3" fontId="34" fillId="24" borderId="7" xfId="69" applyNumberFormat="1" applyFont="1" applyFill="1" applyBorder="1" applyAlignment="1">
      <alignment horizontal="center"/>
    </xf>
    <xf numFmtId="0" fontId="29" fillId="24" borderId="7" xfId="69" applyFont="1" applyFill="1" applyBorder="1" applyAlignment="1">
      <alignment horizontal="center"/>
    </xf>
    <xf numFmtId="3" fontId="34" fillId="24" borderId="29" xfId="71" applyNumberFormat="1" applyFont="1" applyFill="1" applyBorder="1"/>
    <xf numFmtId="3" fontId="34" fillId="24" borderId="26" xfId="71" applyNumberFormat="1" applyFont="1" applyFill="1" applyBorder="1" applyAlignment="1">
      <alignment horizontal="center"/>
    </xf>
    <xf numFmtId="43" fontId="34" fillId="24" borderId="26" xfId="2" applyFont="1" applyFill="1" applyBorder="1" applyAlignment="1">
      <alignment horizontal="center"/>
    </xf>
    <xf numFmtId="3" fontId="34" fillId="24" borderId="30" xfId="71" applyNumberFormat="1" applyFont="1" applyFill="1" applyBorder="1" applyAlignment="1">
      <alignment horizontal="center"/>
    </xf>
    <xf numFmtId="0" fontId="34" fillId="24" borderId="6" xfId="69" applyFont="1" applyFill="1" applyBorder="1" applyAlignment="1">
      <alignment horizontal="center"/>
    </xf>
    <xf numFmtId="3" fontId="187" fillId="24" borderId="21" xfId="71" applyNumberFormat="1" applyFont="1" applyFill="1" applyBorder="1"/>
    <xf numFmtId="3" fontId="34" fillId="24" borderId="14" xfId="71" applyNumberFormat="1" applyFont="1" applyFill="1" applyBorder="1" applyAlignment="1">
      <alignment horizontal="right"/>
    </xf>
    <xf numFmtId="3" fontId="34" fillId="24" borderId="6" xfId="71" applyNumberFormat="1" applyFont="1" applyFill="1" applyBorder="1" applyAlignment="1">
      <alignment horizontal="right"/>
    </xf>
    <xf numFmtId="0" fontId="34" fillId="24" borderId="6" xfId="23" applyFont="1" applyFill="1" applyBorder="1" applyAlignment="1" applyProtection="1">
      <alignment horizontal="left" vertical="top" wrapText="1"/>
      <protection hidden="1"/>
    </xf>
    <xf numFmtId="0" fontId="34" fillId="24" borderId="6" xfId="23" applyFont="1" applyFill="1" applyBorder="1" applyAlignment="1" applyProtection="1">
      <alignment horizontal="center" vertical="center"/>
      <protection hidden="1"/>
    </xf>
    <xf numFmtId="43" fontId="34" fillId="24" borderId="6" xfId="2" applyFont="1" applyFill="1" applyBorder="1" applyAlignment="1">
      <alignment horizontal="center" vertical="center"/>
    </xf>
    <xf numFmtId="0" fontId="29" fillId="24" borderId="0" xfId="23" applyFont="1" applyFill="1" applyAlignment="1">
      <alignment horizontal="left"/>
    </xf>
    <xf numFmtId="43" fontId="29" fillId="24" borderId="6" xfId="2" applyFont="1" applyFill="1" applyBorder="1"/>
    <xf numFmtId="0" fontId="34" fillId="24" borderId="6" xfId="23" applyFont="1" applyFill="1" applyBorder="1" applyAlignment="1" applyProtection="1">
      <alignment horizontal="left" vertical="center"/>
      <protection hidden="1"/>
    </xf>
    <xf numFmtId="43" fontId="115" fillId="24" borderId="6" xfId="2" applyFont="1" applyFill="1" applyBorder="1"/>
    <xf numFmtId="0" fontId="29" fillId="24" borderId="21" xfId="23" applyFont="1" applyFill="1" applyBorder="1" applyAlignment="1">
      <alignment horizontal="center"/>
    </xf>
    <xf numFmtId="0" fontId="34" fillId="0" borderId="6" xfId="23" applyFont="1" applyBorder="1" applyAlignment="1" applyProtection="1">
      <alignment horizontal="left" vertical="center" wrapText="1"/>
      <protection hidden="1"/>
    </xf>
    <xf numFmtId="0" fontId="34" fillId="0" borderId="6" xfId="23" applyFont="1" applyBorder="1" applyAlignment="1" applyProtection="1">
      <alignment horizontal="center" vertical="center"/>
      <protection hidden="1"/>
    </xf>
    <xf numFmtId="3" fontId="48" fillId="16" borderId="0" xfId="69" applyNumberFormat="1" applyFont="1" applyFill="1" applyAlignment="1">
      <alignment horizontal="center"/>
    </xf>
    <xf numFmtId="0" fontId="29" fillId="16" borderId="0" xfId="23" applyFont="1" applyFill="1" applyAlignment="1">
      <alignment horizontal="left" vertical="center"/>
    </xf>
    <xf numFmtId="3" fontId="29" fillId="16" borderId="6" xfId="69" applyNumberFormat="1" applyFont="1" applyFill="1" applyBorder="1" applyAlignment="1">
      <alignment horizontal="center"/>
    </xf>
    <xf numFmtId="0" fontId="29" fillId="16" borderId="6" xfId="23" applyFont="1" applyFill="1" applyBorder="1" applyAlignment="1">
      <alignment horizontal="center"/>
    </xf>
    <xf numFmtId="0" fontId="29" fillId="16" borderId="6" xfId="23" applyFont="1" applyFill="1" applyBorder="1" applyAlignment="1">
      <alignment horizontal="left"/>
    </xf>
    <xf numFmtId="43" fontId="29" fillId="16" borderId="6" xfId="2" applyFont="1" applyFill="1" applyBorder="1" applyAlignment="1">
      <alignment horizontal="center"/>
    </xf>
    <xf numFmtId="164" fontId="29" fillId="16" borderId="6" xfId="2" applyNumberFormat="1" applyFont="1" applyFill="1" applyBorder="1"/>
    <xf numFmtId="3" fontId="186" fillId="16" borderId="14" xfId="69" applyNumberFormat="1" applyFont="1" applyFill="1" applyBorder="1" applyAlignment="1">
      <alignment horizontal="right"/>
    </xf>
    <xf numFmtId="3" fontId="186" fillId="16" borderId="6" xfId="69" applyNumberFormat="1" applyFont="1" applyFill="1" applyBorder="1" applyAlignment="1">
      <alignment horizontal="right"/>
    </xf>
    <xf numFmtId="3" fontId="29" fillId="16" borderId="0" xfId="69" applyNumberFormat="1" applyFont="1" applyFill="1"/>
    <xf numFmtId="3" fontId="29" fillId="16" borderId="0" xfId="69" applyNumberFormat="1" applyFont="1" applyFill="1" applyAlignment="1">
      <alignment horizontal="center"/>
    </xf>
    <xf numFmtId="0" fontId="22" fillId="0" borderId="6" xfId="23" applyFont="1" applyBorder="1" applyAlignment="1">
      <alignment horizontal="left"/>
    </xf>
    <xf numFmtId="0" fontId="82" fillId="0" borderId="6" xfId="23" applyFont="1" applyBorder="1" applyAlignment="1">
      <alignment horizontal="left"/>
    </xf>
    <xf numFmtId="0" fontId="48" fillId="16" borderId="0" xfId="23" applyFont="1" applyFill="1" applyAlignment="1">
      <alignment horizontal="left" vertical="center"/>
    </xf>
    <xf numFmtId="0" fontId="48" fillId="24" borderId="0" xfId="23" applyFont="1" applyFill="1" applyAlignment="1">
      <alignment horizontal="left" vertical="center"/>
    </xf>
    <xf numFmtId="3" fontId="34" fillId="24" borderId="6" xfId="71" applyNumberFormat="1" applyFont="1" applyFill="1" applyBorder="1" applyAlignment="1">
      <alignment horizontal="center"/>
    </xf>
    <xf numFmtId="0" fontId="34" fillId="24" borderId="7" xfId="69" applyFont="1" applyFill="1" applyBorder="1" applyAlignment="1">
      <alignment horizontal="center"/>
    </xf>
    <xf numFmtId="4" fontId="29" fillId="24" borderId="6" xfId="71" applyNumberFormat="1" applyFont="1" applyFill="1" applyBorder="1" applyAlignment="1">
      <alignment horizontal="center"/>
    </xf>
    <xf numFmtId="0" fontId="29" fillId="24" borderId="6" xfId="69" applyFont="1" applyFill="1" applyBorder="1" applyAlignment="1">
      <alignment horizontal="center"/>
    </xf>
    <xf numFmtId="3" fontId="34" fillId="24" borderId="21" xfId="71" applyNumberFormat="1" applyFont="1" applyFill="1" applyBorder="1"/>
    <xf numFmtId="3" fontId="34" fillId="24" borderId="6" xfId="70" applyNumberFormat="1" applyFont="1" applyFill="1" applyBorder="1" applyAlignment="1">
      <alignment horizontal="center" vertical="center"/>
    </xf>
    <xf numFmtId="49" fontId="34" fillId="24" borderId="21" xfId="70" applyNumberFormat="1" applyFont="1" applyFill="1" applyBorder="1" applyAlignment="1">
      <alignment horizontal="center" vertical="center"/>
    </xf>
    <xf numFmtId="0" fontId="34" fillId="24" borderId="6" xfId="23" applyFont="1" applyFill="1" applyBorder="1" applyAlignment="1">
      <alignment horizontal="left" vertical="center"/>
    </xf>
    <xf numFmtId="3" fontId="48" fillId="24" borderId="0" xfId="69" applyNumberFormat="1" applyFont="1" applyFill="1" applyAlignment="1">
      <alignment horizontal="left" vertical="center"/>
    </xf>
    <xf numFmtId="3" fontId="34" fillId="24" borderId="6" xfId="70" applyNumberFormat="1" applyFont="1" applyFill="1" applyBorder="1" applyAlignment="1">
      <alignment vertical="center" wrapText="1"/>
    </xf>
    <xf numFmtId="3" fontId="34" fillId="24" borderId="6" xfId="71" applyNumberFormat="1" applyFont="1" applyFill="1" applyBorder="1" applyAlignment="1">
      <alignment horizontal="center" vertical="center"/>
    </xf>
    <xf numFmtId="3" fontId="186" fillId="24" borderId="14" xfId="69" applyNumberFormat="1" applyFont="1" applyFill="1" applyBorder="1" applyAlignment="1">
      <alignment horizontal="right" vertical="center"/>
    </xf>
    <xf numFmtId="3" fontId="29" fillId="24" borderId="6" xfId="69" applyNumberFormat="1" applyFont="1" applyFill="1" applyBorder="1" applyAlignment="1">
      <alignment vertical="center"/>
    </xf>
    <xf numFmtId="3" fontId="29" fillId="24" borderId="0" xfId="69" applyNumberFormat="1" applyFont="1" applyFill="1" applyAlignment="1">
      <alignment vertical="center"/>
    </xf>
    <xf numFmtId="3" fontId="187" fillId="24" borderId="6" xfId="70" applyNumberFormat="1" applyFont="1" applyFill="1" applyBorder="1" applyAlignment="1">
      <alignment vertical="center"/>
    </xf>
    <xf numFmtId="3" fontId="29" fillId="24" borderId="6" xfId="70" applyNumberFormat="1" applyFont="1" applyFill="1" applyBorder="1" applyAlignment="1">
      <alignment horizontal="center" vertical="center"/>
    </xf>
    <xf numFmtId="3" fontId="29" fillId="24" borderId="6" xfId="71" applyNumberFormat="1" applyFont="1" applyFill="1" applyBorder="1" applyAlignment="1">
      <alignment horizontal="center" vertical="center"/>
    </xf>
    <xf numFmtId="4" fontId="29" fillId="24" borderId="6" xfId="71" applyNumberFormat="1" applyFont="1" applyFill="1" applyBorder="1" applyAlignment="1">
      <alignment horizontal="center" vertical="center"/>
    </xf>
    <xf numFmtId="4" fontId="34" fillId="24" borderId="6" xfId="71" applyNumberFormat="1" applyFont="1" applyFill="1" applyBorder="1" applyAlignment="1">
      <alignment horizontal="center" vertical="center"/>
    </xf>
    <xf numFmtId="0" fontId="29" fillId="24" borderId="0" xfId="23" applyFont="1" applyFill="1" applyAlignment="1">
      <alignment vertical="center"/>
    </xf>
    <xf numFmtId="0" fontId="29" fillId="24" borderId="0" xfId="23" applyFont="1" applyFill="1"/>
    <xf numFmtId="3" fontId="187" fillId="24" borderId="6" xfId="70" applyNumberFormat="1" applyFont="1" applyFill="1" applyBorder="1" applyAlignment="1">
      <alignment vertical="center" wrapText="1"/>
    </xf>
    <xf numFmtId="3" fontId="34" fillId="24" borderId="21" xfId="71" quotePrefix="1" applyNumberFormat="1" applyFont="1" applyFill="1" applyBorder="1"/>
    <xf numFmtId="3" fontId="34" fillId="24" borderId="21" xfId="71" quotePrefix="1" applyNumberFormat="1" applyFont="1" applyFill="1" applyBorder="1" applyAlignment="1">
      <alignment wrapText="1"/>
    </xf>
    <xf numFmtId="3" fontId="187" fillId="24" borderId="21" xfId="71" applyNumberFormat="1" applyFont="1" applyFill="1" applyBorder="1" applyAlignment="1">
      <alignment wrapText="1"/>
    </xf>
    <xf numFmtId="0" fontId="29" fillId="24" borderId="6" xfId="23" applyFont="1" applyFill="1" applyBorder="1" applyAlignment="1">
      <alignment horizontal="left" vertical="center" wrapText="1"/>
    </xf>
    <xf numFmtId="3" fontId="51" fillId="24" borderId="0" xfId="69" applyNumberFormat="1" applyFont="1" applyFill="1" applyAlignment="1">
      <alignment horizontal="center" vertical="center"/>
    </xf>
    <xf numFmtId="3" fontId="51" fillId="24" borderId="0" xfId="69" applyNumberFormat="1" applyFont="1" applyFill="1" applyAlignment="1">
      <alignment horizontal="left"/>
    </xf>
    <xf numFmtId="49" fontId="34" fillId="24" borderId="8" xfId="69" applyNumberFormat="1" applyFont="1" applyFill="1" applyBorder="1" applyAlignment="1">
      <alignment horizontal="center"/>
    </xf>
    <xf numFmtId="0" fontId="34" fillId="24" borderId="6" xfId="23" applyFont="1" applyFill="1" applyBorder="1" applyAlignment="1">
      <alignment horizontal="left"/>
    </xf>
    <xf numFmtId="0" fontId="34" fillId="24" borderId="6" xfId="23" applyFont="1" applyFill="1" applyBorder="1" applyAlignment="1">
      <alignment horizontal="center"/>
    </xf>
    <xf numFmtId="164" fontId="34" fillId="24" borderId="6" xfId="2" applyNumberFormat="1" applyFont="1" applyFill="1" applyBorder="1"/>
    <xf numFmtId="3" fontId="190" fillId="24" borderId="8" xfId="69" applyNumberFormat="1" applyFont="1" applyFill="1" applyBorder="1" applyAlignment="1">
      <alignment horizontal="right"/>
    </xf>
    <xf numFmtId="3" fontId="190" fillId="24" borderId="27" xfId="71" applyNumberFormat="1" applyFont="1" applyFill="1" applyBorder="1" applyAlignment="1">
      <alignment horizontal="right"/>
    </xf>
    <xf numFmtId="3" fontId="190" fillId="24" borderId="8" xfId="71" applyNumberFormat="1" applyFont="1" applyFill="1" applyBorder="1" applyAlignment="1">
      <alignment horizontal="right"/>
    </xf>
    <xf numFmtId="3" fontId="34" fillId="24" borderId="0" xfId="69" applyNumberFormat="1" applyFont="1" applyFill="1"/>
    <xf numFmtId="49" fontId="29" fillId="24" borderId="8" xfId="69" applyNumberFormat="1" applyFont="1" applyFill="1" applyBorder="1" applyAlignment="1">
      <alignment horizontal="center"/>
    </xf>
    <xf numFmtId="3" fontId="34" fillId="24" borderId="8" xfId="71" applyNumberFormat="1" applyFont="1" applyFill="1" applyBorder="1" applyAlignment="1">
      <alignment horizontal="center"/>
    </xf>
    <xf numFmtId="3" fontId="186" fillId="24" borderId="27" xfId="71" applyNumberFormat="1" applyFont="1" applyFill="1" applyBorder="1" applyAlignment="1">
      <alignment horizontal="right"/>
    </xf>
    <xf numFmtId="3" fontId="186" fillId="24" borderId="8" xfId="71" applyNumberFormat="1" applyFont="1" applyFill="1" applyBorder="1" applyAlignment="1">
      <alignment horizontal="right"/>
    </xf>
    <xf numFmtId="0" fontId="22" fillId="0" borderId="6" xfId="23" applyFont="1" applyBorder="1"/>
    <xf numFmtId="0" fontId="29" fillId="24" borderId="6" xfId="23" applyFont="1" applyFill="1" applyBorder="1" applyAlignment="1">
      <alignment horizontal="left" wrapText="1"/>
    </xf>
    <xf numFmtId="3" fontId="48" fillId="0" borderId="0" xfId="69" applyNumberFormat="1" applyFont="1" applyAlignment="1">
      <alignment horizontal="left"/>
    </xf>
    <xf numFmtId="0" fontId="22" fillId="24" borderId="6" xfId="23" applyFont="1" applyFill="1" applyBorder="1"/>
    <xf numFmtId="0" fontId="22" fillId="24" borderId="6" xfId="23" quotePrefix="1" applyFont="1" applyFill="1" applyBorder="1" applyAlignment="1">
      <alignment horizontal="left"/>
    </xf>
    <xf numFmtId="3" fontId="34" fillId="24" borderId="3" xfId="71" applyNumberFormat="1" applyFont="1" applyFill="1" applyBorder="1"/>
    <xf numFmtId="3" fontId="29" fillId="24" borderId="19" xfId="69" applyNumberFormat="1" applyFont="1" applyFill="1" applyBorder="1"/>
    <xf numFmtId="49" fontId="29" fillId="24" borderId="0" xfId="69" applyNumberFormat="1" applyFont="1" applyFill="1" applyAlignment="1">
      <alignment horizontal="center"/>
    </xf>
    <xf numFmtId="3" fontId="34" fillId="24" borderId="0" xfId="71" applyNumberFormat="1" applyFont="1" applyFill="1" applyAlignment="1">
      <alignment horizontal="center"/>
    </xf>
    <xf numFmtId="3" fontId="34" fillId="24" borderId="0" xfId="71" applyNumberFormat="1" applyFont="1" applyFill="1"/>
    <xf numFmtId="3" fontId="29" fillId="24" borderId="0" xfId="70" applyNumberFormat="1" applyFont="1" applyFill="1" applyAlignment="1">
      <alignment horizontal="left"/>
    </xf>
    <xf numFmtId="3" fontId="186" fillId="24" borderId="14" xfId="70" applyNumberFormat="1" applyFont="1" applyFill="1" applyBorder="1" applyAlignment="1">
      <alignment horizontal="right"/>
    </xf>
    <xf numFmtId="3" fontId="186" fillId="24" borderId="6" xfId="70" applyNumberFormat="1" applyFont="1" applyFill="1" applyBorder="1" applyAlignment="1">
      <alignment horizontal="right"/>
    </xf>
    <xf numFmtId="43" fontId="48" fillId="24" borderId="6" xfId="2" applyFont="1" applyFill="1" applyBorder="1" applyAlignment="1">
      <alignment horizontal="center"/>
    </xf>
    <xf numFmtId="3" fontId="48" fillId="24" borderId="6" xfId="71" applyNumberFormat="1" applyFont="1" applyFill="1" applyBorder="1" applyAlignment="1">
      <alignment horizontal="center"/>
    </xf>
    <xf numFmtId="3" fontId="29" fillId="24" borderId="3" xfId="70" applyNumberFormat="1" applyFont="1" applyFill="1" applyBorder="1" applyAlignment="1">
      <alignment horizontal="center"/>
    </xf>
    <xf numFmtId="49" fontId="29" fillId="24" borderId="3" xfId="70" applyNumberFormat="1" applyFont="1" applyFill="1" applyBorder="1" applyAlignment="1">
      <alignment horizontal="center"/>
    </xf>
    <xf numFmtId="3" fontId="34" fillId="24" borderId="3" xfId="70" applyNumberFormat="1" applyFont="1" applyFill="1" applyBorder="1" applyAlignment="1">
      <alignment horizontal="center"/>
    </xf>
    <xf numFmtId="3" fontId="34" fillId="24" borderId="24" xfId="70" applyNumberFormat="1" applyFont="1" applyFill="1" applyBorder="1" applyAlignment="1">
      <alignment horizontal="center"/>
    </xf>
    <xf numFmtId="3" fontId="34" fillId="24" borderId="25" xfId="70" applyNumberFormat="1" applyFont="1" applyFill="1" applyBorder="1" applyAlignment="1">
      <alignment horizontal="center"/>
    </xf>
    <xf numFmtId="3" fontId="34" fillId="24" borderId="2" xfId="70" applyNumberFormat="1" applyFont="1" applyFill="1" applyBorder="1" applyAlignment="1">
      <alignment horizontal="center"/>
    </xf>
    <xf numFmtId="49" fontId="34" fillId="24" borderId="29" xfId="70" applyNumberFormat="1" applyFont="1" applyFill="1" applyBorder="1" applyAlignment="1">
      <alignment horizontal="center"/>
    </xf>
    <xf numFmtId="3" fontId="34" fillId="24" borderId="26" xfId="70" applyNumberFormat="1" applyFont="1" applyFill="1" applyBorder="1"/>
    <xf numFmtId="43" fontId="34" fillId="24" borderId="26" xfId="2" applyFont="1" applyFill="1" applyBorder="1" applyAlignment="1">
      <alignment horizontal="right"/>
    </xf>
    <xf numFmtId="3" fontId="34" fillId="24" borderId="30" xfId="70" applyNumberFormat="1" applyFont="1" applyFill="1" applyBorder="1" applyAlignment="1">
      <alignment horizontal="center"/>
    </xf>
    <xf numFmtId="49" fontId="34" fillId="24" borderId="21" xfId="70" applyNumberFormat="1" applyFont="1" applyFill="1" applyBorder="1" applyAlignment="1">
      <alignment horizontal="center"/>
    </xf>
    <xf numFmtId="3" fontId="187" fillId="24" borderId="6" xfId="70" applyNumberFormat="1" applyFont="1" applyFill="1" applyBorder="1"/>
    <xf numFmtId="43" fontId="29" fillId="24" borderId="6" xfId="2" applyFont="1" applyFill="1" applyBorder="1" applyAlignment="1">
      <alignment horizontal="right"/>
    </xf>
    <xf numFmtId="3" fontId="34" fillId="24" borderId="14" xfId="70" applyNumberFormat="1" applyFont="1" applyFill="1" applyBorder="1" applyAlignment="1">
      <alignment horizontal="right"/>
    </xf>
    <xf numFmtId="3" fontId="34" fillId="24" borderId="6" xfId="70" applyNumberFormat="1" applyFont="1" applyFill="1" applyBorder="1" applyAlignment="1">
      <alignment horizontal="right"/>
    </xf>
    <xf numFmtId="3" fontId="29" fillId="24" borderId="6" xfId="69" applyNumberFormat="1" applyFont="1" applyFill="1" applyBorder="1" applyAlignment="1">
      <alignment horizontal="right"/>
    </xf>
    <xf numFmtId="3" fontId="34" fillId="24" borderId="6" xfId="70" applyNumberFormat="1" applyFont="1" applyFill="1" applyBorder="1"/>
    <xf numFmtId="43" fontId="34" fillId="24" borderId="6" xfId="2" applyFont="1" applyFill="1" applyBorder="1" applyAlignment="1">
      <alignment horizontal="right"/>
    </xf>
    <xf numFmtId="3" fontId="48" fillId="24" borderId="0" xfId="69" applyNumberFormat="1" applyFont="1" applyFill="1" applyAlignment="1">
      <alignment vertical="justify"/>
    </xf>
    <xf numFmtId="3" fontId="34" fillId="24" borderId="6" xfId="70" applyNumberFormat="1" applyFont="1" applyFill="1" applyBorder="1" applyAlignment="1">
      <alignment vertical="justify"/>
    </xf>
    <xf numFmtId="49" fontId="34" fillId="24" borderId="21" xfId="70" applyNumberFormat="1" applyFont="1" applyFill="1" applyBorder="1" applyAlignment="1">
      <alignment vertical="justify"/>
    </xf>
    <xf numFmtId="3" fontId="34" fillId="24" borderId="6" xfId="70" applyNumberFormat="1" applyFont="1" applyFill="1" applyBorder="1" applyAlignment="1">
      <alignment vertical="justify" wrapText="1"/>
    </xf>
    <xf numFmtId="3" fontId="34" fillId="24" borderId="6" xfId="70" applyNumberFormat="1" applyFont="1" applyFill="1" applyBorder="1" applyAlignment="1">
      <alignment horizontal="center" vertical="justify"/>
    </xf>
    <xf numFmtId="43" fontId="34" fillId="24" borderId="6" xfId="2" applyFont="1" applyFill="1" applyBorder="1" applyAlignment="1">
      <alignment horizontal="right" vertical="justify"/>
    </xf>
    <xf numFmtId="3" fontId="186" fillId="24" borderId="6" xfId="69" applyNumberFormat="1" applyFont="1" applyFill="1" applyBorder="1" applyAlignment="1">
      <alignment vertical="justify"/>
    </xf>
    <xf numFmtId="3" fontId="186" fillId="24" borderId="14" xfId="70" applyNumberFormat="1" applyFont="1" applyFill="1" applyBorder="1" applyAlignment="1">
      <alignment vertical="justify"/>
    </xf>
    <xf numFmtId="3" fontId="186" fillId="24" borderId="6" xfId="70" applyNumberFormat="1" applyFont="1" applyFill="1" applyBorder="1" applyAlignment="1">
      <alignment vertical="justify"/>
    </xf>
    <xf numFmtId="3" fontId="29" fillId="24" borderId="6" xfId="69" applyNumberFormat="1" applyFont="1" applyFill="1" applyBorder="1" applyAlignment="1">
      <alignment vertical="justify"/>
    </xf>
    <xf numFmtId="3" fontId="29" fillId="24" borderId="0" xfId="69" applyNumberFormat="1" applyFont="1" applyFill="1" applyAlignment="1">
      <alignment vertical="justify"/>
    </xf>
    <xf numFmtId="3" fontId="29" fillId="24" borderId="21" xfId="70" applyNumberFormat="1" applyFont="1" applyFill="1" applyBorder="1" applyAlignment="1">
      <alignment horizontal="center"/>
    </xf>
    <xf numFmtId="49" fontId="29" fillId="24" borderId="21" xfId="70" applyNumberFormat="1" applyFont="1" applyFill="1" applyBorder="1" applyAlignment="1">
      <alignment horizontal="center"/>
    </xf>
    <xf numFmtId="3" fontId="34" fillId="24" borderId="6" xfId="70" quotePrefix="1" applyNumberFormat="1" applyFont="1" applyFill="1" applyBorder="1"/>
    <xf numFmtId="3" fontId="34" fillId="24" borderId="6" xfId="70" quotePrefix="1" applyNumberFormat="1" applyFont="1" applyFill="1" applyBorder="1" applyAlignment="1">
      <alignment wrapText="1"/>
    </xf>
    <xf numFmtId="3" fontId="187" fillId="24" borderId="6" xfId="70" applyNumberFormat="1" applyFont="1" applyFill="1" applyBorder="1" applyAlignment="1">
      <alignment wrapText="1"/>
    </xf>
    <xf numFmtId="3" fontId="34" fillId="24" borderId="8" xfId="70" applyNumberFormat="1" applyFont="1" applyFill="1" applyBorder="1" applyAlignment="1">
      <alignment horizontal="center"/>
    </xf>
    <xf numFmtId="49" fontId="34" fillId="24" borderId="23" xfId="70" applyNumberFormat="1" applyFont="1" applyFill="1" applyBorder="1" applyAlignment="1">
      <alignment horizontal="center"/>
    </xf>
    <xf numFmtId="3" fontId="186" fillId="24" borderId="27" xfId="70" applyNumberFormat="1" applyFont="1" applyFill="1" applyBorder="1" applyAlignment="1">
      <alignment horizontal="right"/>
    </xf>
    <xf numFmtId="3" fontId="186" fillId="24" borderId="8" xfId="70" applyNumberFormat="1" applyFont="1" applyFill="1" applyBorder="1" applyAlignment="1">
      <alignment horizontal="right"/>
    </xf>
    <xf numFmtId="3" fontId="29" fillId="24" borderId="24" xfId="70" applyNumberFormat="1" applyFont="1" applyFill="1" applyBorder="1"/>
    <xf numFmtId="3" fontId="29" fillId="24" borderId="2" xfId="70" applyNumberFormat="1" applyFont="1" applyFill="1" applyBorder="1"/>
    <xf numFmtId="3" fontId="34" fillId="24" borderId="3" xfId="70" applyNumberFormat="1" applyFont="1" applyFill="1" applyBorder="1"/>
    <xf numFmtId="3" fontId="29" fillId="24" borderId="13" xfId="69" applyNumberFormat="1" applyFont="1" applyFill="1" applyBorder="1"/>
    <xf numFmtId="3" fontId="29" fillId="24" borderId="0" xfId="70" applyNumberFormat="1" applyFont="1" applyFill="1"/>
    <xf numFmtId="3" fontId="34" fillId="24" borderId="0" xfId="70" applyNumberFormat="1" applyFont="1" applyFill="1" applyAlignment="1">
      <alignment horizontal="center"/>
    </xf>
    <xf numFmtId="3" fontId="34" fillId="24" borderId="0" xfId="70" applyNumberFormat="1" applyFont="1" applyFill="1"/>
    <xf numFmtId="3" fontId="86" fillId="24" borderId="0" xfId="69" applyNumberFormat="1" applyFont="1" applyFill="1"/>
    <xf numFmtId="3" fontId="87" fillId="24" borderId="3" xfId="69" applyNumberFormat="1" applyFont="1" applyFill="1" applyBorder="1" applyAlignment="1">
      <alignment horizontal="center"/>
    </xf>
    <xf numFmtId="3" fontId="86" fillId="24" borderId="7" xfId="69" applyNumberFormat="1" applyFont="1" applyFill="1" applyBorder="1" applyAlignment="1">
      <alignment horizontal="left"/>
    </xf>
    <xf numFmtId="168" fontId="29" fillId="24" borderId="6" xfId="71" applyNumberFormat="1" applyFont="1" applyFill="1" applyBorder="1" applyAlignment="1">
      <alignment horizontal="right"/>
    </xf>
    <xf numFmtId="0" fontId="48" fillId="24" borderId="0" xfId="23" applyFont="1" applyFill="1" applyAlignment="1">
      <alignment vertical="center"/>
    </xf>
    <xf numFmtId="3" fontId="29" fillId="24" borderId="6" xfId="71" applyNumberFormat="1" applyFont="1" applyFill="1" applyBorder="1" applyAlignment="1">
      <alignment horizontal="right" vertical="center"/>
    </xf>
    <xf numFmtId="164" fontId="29" fillId="24" borderId="6" xfId="2" applyNumberFormat="1" applyFont="1" applyFill="1" applyBorder="1" applyAlignment="1">
      <alignment vertical="center"/>
    </xf>
    <xf numFmtId="3" fontId="186" fillId="24" borderId="14" xfId="70" applyNumberFormat="1" applyFont="1" applyFill="1" applyBorder="1" applyAlignment="1">
      <alignment horizontal="right" vertical="center"/>
    </xf>
    <xf numFmtId="3" fontId="186" fillId="24" borderId="6" xfId="70" applyNumberFormat="1" applyFont="1" applyFill="1" applyBorder="1" applyAlignment="1">
      <alignment horizontal="right" vertical="center"/>
    </xf>
    <xf numFmtId="3" fontId="86" fillId="24" borderId="7" xfId="69" applyNumberFormat="1" applyFont="1" applyFill="1" applyBorder="1" applyAlignment="1">
      <alignment horizontal="left" vertical="center" wrapText="1"/>
    </xf>
    <xf numFmtId="3" fontId="29" fillId="24" borderId="6" xfId="71" applyNumberFormat="1" applyFont="1" applyFill="1" applyBorder="1" applyAlignment="1">
      <alignment horizontal="right"/>
    </xf>
    <xf numFmtId="3" fontId="86" fillId="24" borderId="6" xfId="69" applyNumberFormat="1" applyFont="1" applyFill="1" applyBorder="1" applyAlignment="1">
      <alignment horizontal="left"/>
    </xf>
    <xf numFmtId="3" fontId="29" fillId="24" borderId="14" xfId="70" applyNumberFormat="1" applyFont="1" applyFill="1" applyBorder="1" applyAlignment="1">
      <alignment horizontal="right"/>
    </xf>
    <xf numFmtId="3" fontId="29" fillId="24" borderId="6" xfId="70" applyNumberFormat="1" applyFont="1" applyFill="1" applyBorder="1" applyAlignment="1">
      <alignment horizontal="right"/>
    </xf>
    <xf numFmtId="3" fontId="29" fillId="24" borderId="7" xfId="69" applyNumberFormat="1" applyFont="1" applyFill="1" applyBorder="1" applyAlignment="1">
      <alignment horizontal="left"/>
    </xf>
    <xf numFmtId="168" fontId="29" fillId="24" borderId="3" xfId="71" applyNumberFormat="1" applyFont="1" applyFill="1" applyBorder="1" applyAlignment="1">
      <alignment horizontal="right"/>
    </xf>
    <xf numFmtId="3" fontId="86" fillId="24" borderId="19" xfId="69" applyNumberFormat="1" applyFont="1" applyFill="1" applyBorder="1"/>
    <xf numFmtId="168" fontId="34" fillId="24" borderId="2" xfId="71" applyNumberFormat="1" applyFont="1" applyFill="1" applyBorder="1" applyAlignment="1">
      <alignment horizontal="right"/>
    </xf>
    <xf numFmtId="3" fontId="86" fillId="24" borderId="3" xfId="69" applyNumberFormat="1" applyFont="1" applyFill="1" applyBorder="1"/>
    <xf numFmtId="3" fontId="34" fillId="24" borderId="26" xfId="71" applyNumberFormat="1" applyFont="1" applyFill="1" applyBorder="1" applyAlignment="1">
      <alignment horizontal="right"/>
    </xf>
    <xf numFmtId="3" fontId="86" fillId="24" borderId="6" xfId="69" applyNumberFormat="1" applyFont="1" applyFill="1" applyBorder="1"/>
    <xf numFmtId="3" fontId="87" fillId="24" borderId="6" xfId="69" applyNumberFormat="1" applyFont="1" applyFill="1" applyBorder="1"/>
    <xf numFmtId="168" fontId="29" fillId="24" borderId="6" xfId="69" applyNumberFormat="1" applyFont="1" applyFill="1" applyBorder="1" applyAlignment="1">
      <alignment horizontal="right"/>
    </xf>
    <xf numFmtId="3" fontId="34" fillId="24" borderId="6" xfId="70" quotePrefix="1" applyNumberFormat="1" applyFont="1" applyFill="1" applyBorder="1" applyAlignment="1">
      <alignment vertical="center" wrapText="1"/>
    </xf>
    <xf numFmtId="3" fontId="34" fillId="24" borderId="6" xfId="71" applyNumberFormat="1" applyFont="1" applyFill="1" applyBorder="1" applyAlignment="1">
      <alignment horizontal="right" vertical="center"/>
    </xf>
    <xf numFmtId="168" fontId="29" fillId="24" borderId="6" xfId="71" applyNumberFormat="1" applyFont="1" applyFill="1" applyBorder="1" applyAlignment="1">
      <alignment horizontal="right" vertical="center"/>
    </xf>
    <xf numFmtId="168" fontId="34" fillId="24" borderId="6" xfId="71" applyNumberFormat="1" applyFont="1" applyFill="1" applyBorder="1" applyAlignment="1">
      <alignment horizontal="right" vertical="center"/>
    </xf>
    <xf numFmtId="3" fontId="86" fillId="24" borderId="6" xfId="69" applyNumberFormat="1" applyFont="1" applyFill="1" applyBorder="1" applyAlignment="1">
      <alignment vertical="center" wrapText="1"/>
    </xf>
    <xf numFmtId="168" fontId="34" fillId="24" borderId="6" xfId="71" applyNumberFormat="1" applyFont="1" applyFill="1" applyBorder="1" applyAlignment="1">
      <alignment horizontal="right"/>
    </xf>
    <xf numFmtId="3" fontId="86" fillId="24" borderId="8" xfId="69" applyNumberFormat="1" applyFont="1" applyFill="1" applyBorder="1"/>
    <xf numFmtId="3" fontId="34" fillId="24" borderId="8" xfId="71" applyNumberFormat="1" applyFont="1" applyFill="1" applyBorder="1" applyAlignment="1">
      <alignment horizontal="right"/>
    </xf>
    <xf numFmtId="3" fontId="86" fillId="24" borderId="13" xfId="69" applyNumberFormat="1" applyFont="1" applyFill="1" applyBorder="1"/>
    <xf numFmtId="3" fontId="29" fillId="24" borderId="0" xfId="69" applyNumberFormat="1" applyFont="1" applyFill="1" applyAlignment="1">
      <alignment horizontal="left" vertical="center"/>
    </xf>
    <xf numFmtId="3" fontId="29" fillId="24" borderId="0" xfId="69" applyNumberFormat="1" applyFont="1" applyFill="1" applyAlignment="1">
      <alignment horizontal="center" vertical="center"/>
    </xf>
    <xf numFmtId="3" fontId="29" fillId="24" borderId="0" xfId="70" applyNumberFormat="1" applyFont="1" applyFill="1" applyAlignment="1">
      <alignment horizontal="left" vertical="center"/>
    </xf>
    <xf numFmtId="3" fontId="29" fillId="24" borderId="26" xfId="69" applyNumberFormat="1" applyFont="1" applyFill="1" applyBorder="1" applyAlignment="1">
      <alignment horizontal="center" vertical="center"/>
    </xf>
    <xf numFmtId="3" fontId="29" fillId="24" borderId="6" xfId="69" applyNumberFormat="1" applyFont="1" applyFill="1" applyBorder="1" applyAlignment="1">
      <alignment horizontal="center" vertical="center"/>
    </xf>
    <xf numFmtId="3" fontId="186" fillId="24" borderId="6" xfId="71" applyNumberFormat="1" applyFont="1" applyFill="1" applyBorder="1" applyAlignment="1">
      <alignment horizontal="center" vertical="center"/>
    </xf>
    <xf numFmtId="164" fontId="186" fillId="24" borderId="6" xfId="2" applyNumberFormat="1" applyFont="1" applyFill="1" applyBorder="1" applyAlignment="1">
      <alignment horizontal="center" vertical="center"/>
    </xf>
    <xf numFmtId="164" fontId="186" fillId="24" borderId="8" xfId="2" applyNumberFormat="1" applyFont="1" applyFill="1" applyBorder="1" applyAlignment="1">
      <alignment horizontal="center" vertical="center"/>
    </xf>
    <xf numFmtId="3" fontId="29" fillId="24" borderId="3" xfId="70" applyNumberFormat="1" applyFont="1" applyFill="1" applyBorder="1" applyAlignment="1">
      <alignment horizontal="center" vertical="center"/>
    </xf>
    <xf numFmtId="49" fontId="29"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3" fontId="29" fillId="24" borderId="3" xfId="69" applyNumberFormat="1" applyFont="1" applyFill="1" applyBorder="1" applyAlignment="1">
      <alignment horizontal="center" vertical="center"/>
    </xf>
    <xf numFmtId="3" fontId="34" fillId="24" borderId="24" xfId="70" applyNumberFormat="1" applyFont="1" applyFill="1" applyBorder="1" applyAlignment="1">
      <alignment horizontal="center" vertical="center"/>
    </xf>
    <xf numFmtId="3" fontId="34" fillId="24" borderId="25" xfId="70" applyNumberFormat="1" applyFont="1" applyFill="1" applyBorder="1" applyAlignment="1">
      <alignment horizontal="center" vertical="center"/>
    </xf>
    <xf numFmtId="3" fontId="34" fillId="24" borderId="2" xfId="70" applyNumberFormat="1" applyFont="1" applyFill="1" applyBorder="1" applyAlignment="1">
      <alignment horizontal="center" vertical="center"/>
    </xf>
    <xf numFmtId="168" fontId="34" fillId="24" borderId="2" xfId="71" applyNumberFormat="1" applyFont="1" applyFill="1" applyBorder="1" applyAlignment="1">
      <alignment horizontal="center" vertical="center"/>
    </xf>
    <xf numFmtId="0" fontId="48" fillId="24" borderId="0" xfId="2" applyNumberFormat="1" applyFont="1" applyFill="1" applyAlignment="1">
      <alignment horizontal="center" vertical="center"/>
    </xf>
    <xf numFmtId="3" fontId="34" fillId="24" borderId="7" xfId="70" applyNumberFormat="1" applyFont="1" applyFill="1" applyBorder="1" applyAlignment="1">
      <alignment horizontal="center" vertical="center"/>
    </xf>
    <xf numFmtId="3" fontId="34" fillId="24" borderId="7" xfId="70" applyNumberFormat="1" applyFont="1" applyFill="1" applyBorder="1" applyAlignment="1">
      <alignment vertical="center"/>
    </xf>
    <xf numFmtId="0" fontId="34" fillId="24" borderId="6" xfId="23" applyFont="1" applyFill="1" applyBorder="1" applyAlignment="1">
      <alignment horizontal="center" vertical="center"/>
    </xf>
    <xf numFmtId="3" fontId="34" fillId="24" borderId="6" xfId="23" applyNumberFormat="1" applyFont="1" applyFill="1" applyBorder="1" applyAlignment="1">
      <alignment horizontal="center" vertical="center"/>
    </xf>
    <xf numFmtId="3" fontId="34" fillId="24" borderId="14" xfId="23" applyNumberFormat="1" applyFont="1" applyFill="1" applyBorder="1" applyAlignment="1">
      <alignment horizontal="center" vertical="center"/>
    </xf>
    <xf numFmtId="0" fontId="48" fillId="24" borderId="6" xfId="23" applyFont="1" applyFill="1" applyBorder="1" applyAlignment="1">
      <alignment horizontal="center" vertical="center"/>
    </xf>
    <xf numFmtId="0" fontId="29" fillId="24" borderId="6" xfId="23" applyFont="1" applyFill="1" applyBorder="1" applyAlignment="1">
      <alignment vertical="center"/>
    </xf>
    <xf numFmtId="168" fontId="34" fillId="24" borderId="6" xfId="23" applyNumberFormat="1" applyFont="1" applyFill="1" applyBorder="1" applyAlignment="1">
      <alignment horizontal="center" vertical="center"/>
    </xf>
    <xf numFmtId="3" fontId="34" fillId="24" borderId="14" xfId="70" applyNumberFormat="1" applyFont="1" applyFill="1" applyBorder="1" applyAlignment="1">
      <alignment horizontal="center" vertical="center"/>
    </xf>
    <xf numFmtId="49" fontId="34" fillId="24" borderId="7" xfId="70" applyNumberFormat="1" applyFont="1" applyFill="1" applyBorder="1" applyAlignment="1">
      <alignment horizontal="center" vertical="center"/>
    </xf>
    <xf numFmtId="3" fontId="34" fillId="24" borderId="7" xfId="71" applyNumberFormat="1" applyFont="1" applyFill="1" applyBorder="1" applyAlignment="1">
      <alignment horizontal="center" vertical="center"/>
    </xf>
    <xf numFmtId="3" fontId="34" fillId="24" borderId="31" xfId="70" applyNumberFormat="1" applyFont="1" applyFill="1" applyBorder="1" applyAlignment="1">
      <alignment horizontal="center" vertical="center"/>
    </xf>
    <xf numFmtId="49" fontId="34" fillId="24" borderId="6" xfId="70" applyNumberFormat="1" applyFont="1" applyFill="1" applyBorder="1" applyAlignment="1">
      <alignment horizontal="center" vertical="center"/>
    </xf>
    <xf numFmtId="3" fontId="34" fillId="24" borderId="14" xfId="70" applyNumberFormat="1" applyFont="1" applyFill="1" applyBorder="1" applyAlignment="1">
      <alignment horizontal="right" vertical="center"/>
    </xf>
    <xf numFmtId="3" fontId="186" fillId="24" borderId="6" xfId="69" applyNumberFormat="1" applyFont="1" applyFill="1" applyBorder="1" applyAlignment="1">
      <alignment horizontal="right" vertical="center"/>
    </xf>
    <xf numFmtId="3" fontId="34" fillId="24" borderId="6" xfId="70" applyNumberFormat="1" applyFont="1" applyFill="1" applyBorder="1" applyAlignment="1">
      <alignment vertical="center"/>
    </xf>
    <xf numFmtId="4" fontId="48" fillId="24" borderId="0" xfId="69" applyNumberFormat="1" applyFont="1" applyFill="1" applyAlignment="1">
      <alignment horizontal="left" vertical="center"/>
    </xf>
    <xf numFmtId="4" fontId="34" fillId="24" borderId="6" xfId="70" applyNumberFormat="1" applyFont="1" applyFill="1" applyBorder="1" applyAlignment="1">
      <alignment horizontal="center" vertical="center"/>
    </xf>
    <xf numFmtId="4" fontId="29" fillId="24" borderId="6" xfId="69" applyNumberFormat="1" applyFont="1" applyFill="1" applyBorder="1" applyAlignment="1">
      <alignment horizontal="center" vertical="center"/>
    </xf>
    <xf numFmtId="168" fontId="29" fillId="24" borderId="6" xfId="71" applyNumberFormat="1" applyFont="1" applyFill="1" applyBorder="1" applyAlignment="1">
      <alignment horizontal="center" vertical="center"/>
    </xf>
    <xf numFmtId="177" fontId="29" fillId="24" borderId="0" xfId="69" applyNumberFormat="1" applyFont="1" applyFill="1" applyAlignment="1">
      <alignment vertical="center"/>
    </xf>
    <xf numFmtId="3" fontId="29" fillId="24" borderId="3" xfId="70" applyNumberFormat="1" applyFont="1" applyFill="1" applyBorder="1" applyAlignment="1">
      <alignment vertical="center"/>
    </xf>
    <xf numFmtId="3" fontId="29" fillId="24" borderId="2" xfId="70" applyNumberFormat="1" applyFont="1" applyFill="1" applyBorder="1" applyAlignment="1">
      <alignment vertical="center"/>
    </xf>
    <xf numFmtId="3" fontId="34" fillId="24" borderId="3" xfId="70" applyNumberFormat="1" applyFont="1" applyFill="1" applyBorder="1" applyAlignment="1">
      <alignment vertical="center"/>
    </xf>
    <xf numFmtId="43" fontId="29" fillId="24" borderId="6" xfId="2" applyFont="1" applyFill="1" applyBorder="1" applyAlignment="1">
      <alignment horizontal="center" vertical="center"/>
    </xf>
    <xf numFmtId="43" fontId="186" fillId="24" borderId="6" xfId="2" applyFont="1" applyFill="1" applyBorder="1" applyAlignment="1">
      <alignment horizontal="center" vertical="center"/>
    </xf>
    <xf numFmtId="43" fontId="34" fillId="24" borderId="7" xfId="2" applyFont="1" applyFill="1" applyBorder="1" applyAlignment="1">
      <alignment horizontal="center" vertical="center"/>
    </xf>
    <xf numFmtId="0" fontId="29" fillId="24" borderId="0" xfId="23" applyFont="1" applyFill="1" applyAlignment="1">
      <alignment horizontal="left" vertical="center"/>
    </xf>
    <xf numFmtId="0" fontId="51" fillId="24" borderId="0" xfId="23" applyFont="1" applyFill="1" applyAlignment="1">
      <alignment horizontal="left" vertical="center"/>
    </xf>
    <xf numFmtId="3" fontId="190" fillId="24" borderId="14" xfId="69" applyNumberFormat="1" applyFont="1" applyFill="1" applyBorder="1" applyAlignment="1">
      <alignment horizontal="right" vertical="center"/>
    </xf>
    <xf numFmtId="3" fontId="34" fillId="24" borderId="6" xfId="69" applyNumberFormat="1" applyFont="1" applyFill="1" applyBorder="1" applyAlignment="1">
      <alignment horizontal="center" vertical="center"/>
    </xf>
    <xf numFmtId="3" fontId="34" fillId="24" borderId="0" xfId="69" applyNumberFormat="1" applyFont="1" applyFill="1" applyAlignment="1">
      <alignment vertical="center"/>
    </xf>
    <xf numFmtId="3" fontId="41" fillId="24" borderId="0" xfId="69" applyNumberFormat="1" applyFont="1" applyFill="1" applyAlignment="1">
      <alignment horizontal="left" vertical="center"/>
    </xf>
    <xf numFmtId="0" fontId="41" fillId="24" borderId="0" xfId="23" applyFont="1" applyFill="1" applyAlignment="1">
      <alignment horizontal="left" vertical="center"/>
    </xf>
    <xf numFmtId="3" fontId="29" fillId="24" borderId="0" xfId="69" applyNumberFormat="1" applyFont="1" applyFill="1" applyAlignment="1">
      <alignment vertical="center" wrapText="1"/>
    </xf>
    <xf numFmtId="168" fontId="29" fillId="24" borderId="0" xfId="69" applyNumberFormat="1" applyFont="1" applyFill="1" applyAlignment="1">
      <alignment vertical="center"/>
    </xf>
    <xf numFmtId="3" fontId="86" fillId="24" borderId="0" xfId="69" applyNumberFormat="1" applyFont="1" applyFill="1" applyAlignment="1">
      <alignment vertical="center"/>
    </xf>
    <xf numFmtId="43" fontId="29" fillId="24" borderId="6" xfId="2" applyFont="1" applyFill="1" applyBorder="1" applyAlignment="1">
      <alignment horizontal="right" vertical="center"/>
    </xf>
    <xf numFmtId="3" fontId="86" fillId="24" borderId="26" xfId="69" applyNumberFormat="1" applyFont="1" applyFill="1" applyBorder="1" applyAlignment="1">
      <alignment horizontal="center" vertical="center"/>
    </xf>
    <xf numFmtId="3" fontId="86" fillId="24" borderId="6" xfId="69" applyNumberFormat="1" applyFont="1" applyFill="1" applyBorder="1" applyAlignment="1">
      <alignment horizontal="center" vertical="center"/>
    </xf>
    <xf numFmtId="43" fontId="186" fillId="24" borderId="6" xfId="2" applyFont="1" applyFill="1" applyBorder="1" applyAlignment="1">
      <alignment horizontal="right" vertical="center"/>
    </xf>
    <xf numFmtId="164" fontId="86" fillId="24" borderId="6" xfId="2" applyNumberFormat="1" applyFont="1" applyFill="1" applyBorder="1" applyAlignment="1">
      <alignment horizontal="center" vertical="center"/>
    </xf>
    <xf numFmtId="164" fontId="86" fillId="24" borderId="8" xfId="2" applyNumberFormat="1" applyFont="1" applyFill="1" applyBorder="1" applyAlignment="1">
      <alignment horizontal="center" vertical="center"/>
    </xf>
    <xf numFmtId="168" fontId="29" fillId="24" borderId="3" xfId="71" applyNumberFormat="1" applyFont="1" applyFill="1" applyBorder="1" applyAlignment="1">
      <alignment horizontal="right" vertical="center"/>
    </xf>
    <xf numFmtId="3" fontId="86" fillId="24" borderId="3" xfId="69" applyNumberFormat="1" applyFont="1" applyFill="1" applyBorder="1" applyAlignment="1">
      <alignment horizontal="center" vertical="center"/>
    </xf>
    <xf numFmtId="168" fontId="34" fillId="24" borderId="2" xfId="71" applyNumberFormat="1" applyFont="1" applyFill="1" applyBorder="1" applyAlignment="1">
      <alignment horizontal="right" vertical="center"/>
    </xf>
    <xf numFmtId="4" fontId="34" fillId="24" borderId="7" xfId="71" applyNumberFormat="1" applyFont="1" applyFill="1" applyBorder="1" applyAlignment="1">
      <alignment horizontal="right" vertical="center"/>
    </xf>
    <xf numFmtId="3" fontId="86" fillId="24" borderId="6" xfId="69" applyNumberFormat="1" applyFont="1" applyFill="1" applyBorder="1" applyAlignment="1">
      <alignment vertical="center"/>
    </xf>
    <xf numFmtId="4" fontId="29" fillId="24" borderId="6" xfId="71" applyNumberFormat="1" applyFont="1" applyFill="1" applyBorder="1" applyAlignment="1">
      <alignment horizontal="right" vertical="center"/>
    </xf>
    <xf numFmtId="4" fontId="34" fillId="24" borderId="6" xfId="71" applyNumberFormat="1" applyFont="1" applyFill="1" applyBorder="1" applyAlignment="1">
      <alignment horizontal="right" vertical="center"/>
    </xf>
    <xf numFmtId="43" fontId="29" fillId="24" borderId="0" xfId="2" applyFont="1" applyFill="1" applyAlignment="1">
      <alignment vertical="center"/>
    </xf>
    <xf numFmtId="0" fontId="29" fillId="24" borderId="6" xfId="23" quotePrefix="1" applyFont="1" applyFill="1" applyBorder="1" applyAlignment="1">
      <alignment horizontal="left"/>
    </xf>
    <xf numFmtId="4" fontId="29" fillId="24" borderId="6" xfId="69" applyNumberFormat="1" applyFont="1" applyFill="1" applyBorder="1" applyAlignment="1">
      <alignment horizontal="right" vertical="center"/>
    </xf>
    <xf numFmtId="0" fontId="29" fillId="0" borderId="6" xfId="23" applyFont="1" applyBorder="1" applyAlignment="1">
      <alignment horizontal="left" vertical="center" wrapText="1"/>
    </xf>
    <xf numFmtId="4" fontId="29" fillId="24" borderId="6" xfId="70" applyNumberFormat="1" applyFont="1" applyFill="1" applyBorder="1" applyAlignment="1">
      <alignment horizontal="right" vertical="center"/>
    </xf>
    <xf numFmtId="164" fontId="29" fillId="19" borderId="6" xfId="2" applyNumberFormat="1" applyFont="1" applyFill="1" applyBorder="1" applyAlignment="1">
      <alignment vertical="center"/>
    </xf>
    <xf numFmtId="3" fontId="186" fillId="19" borderId="14" xfId="69" applyNumberFormat="1" applyFont="1" applyFill="1" applyBorder="1" applyAlignment="1">
      <alignment horizontal="right" vertical="center"/>
    </xf>
    <xf numFmtId="4" fontId="186" fillId="24" borderId="6" xfId="71" applyNumberFormat="1" applyFont="1" applyFill="1" applyBorder="1" applyAlignment="1">
      <alignment horizontal="right" vertical="center"/>
    </xf>
    <xf numFmtId="3" fontId="86" fillId="24" borderId="3" xfId="69" applyNumberFormat="1" applyFont="1" applyFill="1" applyBorder="1" applyAlignment="1">
      <alignment horizontal="center"/>
    </xf>
    <xf numFmtId="4" fontId="34" fillId="24" borderId="6" xfId="23" applyNumberFormat="1" applyFont="1" applyFill="1" applyBorder="1" applyAlignment="1">
      <alignment horizontal="center" vertical="center"/>
    </xf>
    <xf numFmtId="4" fontId="29" fillId="24" borderId="6" xfId="23" applyNumberFormat="1" applyFont="1" applyFill="1" applyBorder="1" applyAlignment="1">
      <alignment horizontal="center" vertical="center"/>
    </xf>
    <xf numFmtId="1" fontId="34" fillId="8" borderId="6" xfId="2"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horizontal="center" vertical="center"/>
      <protection hidden="1"/>
    </xf>
    <xf numFmtId="3" fontId="34" fillId="8" borderId="6" xfId="23" applyNumberFormat="1" applyFont="1" applyFill="1" applyBorder="1" applyAlignment="1">
      <alignment vertical="center" wrapText="1"/>
    </xf>
    <xf numFmtId="3" fontId="34" fillId="8" borderId="6" xfId="23" applyNumberFormat="1" applyFont="1" applyFill="1" applyBorder="1" applyAlignment="1">
      <alignment horizontal="center" vertical="center"/>
    </xf>
    <xf numFmtId="166" fontId="34" fillId="8" borderId="6" xfId="2" applyNumberFormat="1" applyFont="1" applyFill="1" applyBorder="1" applyAlignment="1">
      <alignment horizontal="center" vertical="center"/>
    </xf>
    <xf numFmtId="3" fontId="34" fillId="8" borderId="6" xfId="23" applyNumberFormat="1" applyFont="1" applyFill="1" applyBorder="1" applyAlignment="1" applyProtection="1">
      <alignment horizontal="center" vertical="center"/>
      <protection hidden="1"/>
    </xf>
    <xf numFmtId="3" fontId="29" fillId="8" borderId="6" xfId="23" applyNumberFormat="1" applyFont="1" applyFill="1" applyBorder="1" applyAlignment="1" applyProtection="1">
      <alignment horizontal="center" vertical="center"/>
      <protection hidden="1"/>
    </xf>
    <xf numFmtId="164" fontId="34" fillId="8" borderId="6" xfId="2" applyNumberFormat="1" applyFont="1" applyFill="1" applyBorder="1" applyAlignment="1" applyProtection="1">
      <alignment vertical="center"/>
      <protection hidden="1"/>
    </xf>
    <xf numFmtId="164" fontId="34" fillId="8" borderId="6" xfId="2" applyNumberFormat="1" applyFont="1" applyFill="1" applyBorder="1" applyAlignment="1">
      <alignment vertical="center"/>
    </xf>
    <xf numFmtId="164" fontId="29" fillId="8" borderId="6" xfId="2" applyNumberFormat="1" applyFont="1" applyFill="1" applyBorder="1" applyAlignment="1">
      <alignment vertical="center"/>
    </xf>
    <xf numFmtId="0" fontId="29" fillId="0" borderId="0" xfId="23" applyFont="1" applyAlignment="1">
      <alignment horizontal="left" vertical="center"/>
    </xf>
    <xf numFmtId="3" fontId="34" fillId="0" borderId="0" xfId="69" applyNumberFormat="1" applyFont="1" applyAlignment="1" applyProtection="1">
      <alignment horizontal="center" vertical="center"/>
      <protection locked="0"/>
    </xf>
    <xf numFmtId="3" fontId="34" fillId="0" borderId="0" xfId="23" applyNumberFormat="1" applyFont="1" applyAlignment="1">
      <alignment vertical="center"/>
    </xf>
    <xf numFmtId="3" fontId="34" fillId="8" borderId="6" xfId="70" applyNumberFormat="1" applyFont="1" applyFill="1" applyBorder="1" applyAlignment="1" applyProtection="1">
      <alignment horizontal="right" vertical="center"/>
      <protection hidden="1"/>
    </xf>
    <xf numFmtId="3" fontId="34" fillId="0" borderId="0" xfId="69" applyNumberFormat="1" applyFont="1" applyAlignment="1" applyProtection="1">
      <alignment vertical="center"/>
      <protection locked="0"/>
    </xf>
    <xf numFmtId="3" fontId="29" fillId="0" borderId="0" xfId="69" applyNumberFormat="1" applyFont="1" applyAlignment="1" applyProtection="1">
      <alignment vertical="center"/>
      <protection locked="0"/>
    </xf>
    <xf numFmtId="3" fontId="29" fillId="0" borderId="0" xfId="69" applyNumberFormat="1" applyFont="1" applyAlignment="1" applyProtection="1">
      <alignment horizontal="center" vertical="center"/>
      <protection locked="0"/>
    </xf>
    <xf numFmtId="3" fontId="29" fillId="0" borderId="0" xfId="23" applyNumberFormat="1" applyFont="1" applyAlignment="1">
      <alignment vertical="center"/>
    </xf>
    <xf numFmtId="164" fontId="29" fillId="8" borderId="6" xfId="2" applyNumberFormat="1" applyFont="1" applyFill="1" applyBorder="1" applyAlignment="1" applyProtection="1">
      <alignment horizontal="center" vertical="center"/>
      <protection hidden="1"/>
    </xf>
    <xf numFmtId="164" fontId="29" fillId="8" borderId="6" xfId="2" applyNumberFormat="1" applyFont="1" applyFill="1" applyBorder="1" applyAlignment="1" applyProtection="1">
      <alignment vertical="center"/>
      <protection hidden="1"/>
    </xf>
    <xf numFmtId="3" fontId="29" fillId="8" borderId="6" xfId="70" applyNumberFormat="1" applyFont="1" applyFill="1" applyBorder="1" applyAlignment="1" applyProtection="1">
      <alignment horizontal="right" vertical="center"/>
      <protection hidden="1"/>
    </xf>
    <xf numFmtId="0" fontId="22" fillId="19" borderId="6" xfId="23" applyFont="1" applyFill="1" applyBorder="1"/>
    <xf numFmtId="3" fontId="29" fillId="0" borderId="0" xfId="23" applyNumberFormat="1" applyFont="1"/>
    <xf numFmtId="165" fontId="29" fillId="24" borderId="0" xfId="69" applyNumberFormat="1" applyFont="1" applyFill="1" applyAlignment="1">
      <alignment vertical="center"/>
    </xf>
    <xf numFmtId="0" fontId="22" fillId="16" borderId="6" xfId="23" applyFont="1" applyFill="1" applyBorder="1"/>
    <xf numFmtId="0" fontId="30" fillId="19" borderId="6" xfId="23" applyFont="1" applyFill="1" applyBorder="1" applyAlignment="1">
      <alignment horizontal="left"/>
    </xf>
    <xf numFmtId="0" fontId="191" fillId="19" borderId="6" xfId="23" applyFont="1" applyFill="1" applyBorder="1" applyAlignment="1">
      <alignment horizontal="left"/>
    </xf>
    <xf numFmtId="166" fontId="29" fillId="8" borderId="6" xfId="2" applyNumberFormat="1" applyFont="1" applyFill="1" applyBorder="1" applyAlignment="1">
      <alignment horizontal="center" vertical="center"/>
    </xf>
    <xf numFmtId="3" fontId="192" fillId="24" borderId="0" xfId="69" applyNumberFormat="1" applyFont="1" applyFill="1" applyAlignment="1">
      <alignment horizontal="center" vertical="center"/>
    </xf>
    <xf numFmtId="3" fontId="187" fillId="24" borderId="6" xfId="70" applyNumberFormat="1" applyFont="1" applyFill="1" applyBorder="1" applyAlignment="1">
      <alignment horizontal="center" vertical="center"/>
    </xf>
    <xf numFmtId="0" fontId="187" fillId="24" borderId="6" xfId="23" applyFont="1" applyFill="1" applyBorder="1" applyAlignment="1">
      <alignment horizontal="center" vertical="center"/>
    </xf>
    <xf numFmtId="0" fontId="187" fillId="24" borderId="6" xfId="23" applyFont="1" applyFill="1" applyBorder="1" applyAlignment="1">
      <alignment horizontal="left" vertical="center"/>
    </xf>
    <xf numFmtId="4" fontId="187" fillId="24" borderId="6" xfId="71" applyNumberFormat="1" applyFont="1" applyFill="1" applyBorder="1" applyAlignment="1">
      <alignment horizontal="right" vertical="center"/>
    </xf>
    <xf numFmtId="3" fontId="193" fillId="24" borderId="14" xfId="69" applyNumberFormat="1" applyFont="1" applyFill="1" applyBorder="1" applyAlignment="1">
      <alignment horizontal="right" vertical="center"/>
    </xf>
    <xf numFmtId="3" fontId="194" fillId="24" borderId="6" xfId="69" applyNumberFormat="1" applyFont="1" applyFill="1" applyBorder="1" applyAlignment="1">
      <alignment horizontal="center" vertical="center"/>
    </xf>
    <xf numFmtId="3" fontId="187" fillId="24" borderId="0" xfId="69" applyNumberFormat="1" applyFont="1" applyFill="1" applyAlignment="1">
      <alignment vertical="center"/>
    </xf>
    <xf numFmtId="3" fontId="187" fillId="24" borderId="0" xfId="69" applyNumberFormat="1" applyFont="1" applyFill="1"/>
    <xf numFmtId="4" fontId="51" fillId="24" borderId="0" xfId="69" applyNumberFormat="1" applyFont="1" applyFill="1" applyAlignment="1">
      <alignment horizontal="left" vertical="center"/>
    </xf>
    <xf numFmtId="164" fontId="29" fillId="24" borderId="6" xfId="2" applyNumberFormat="1" applyFont="1" applyFill="1" applyBorder="1" applyAlignment="1">
      <alignment horizontal="center" vertical="center"/>
    </xf>
    <xf numFmtId="0" fontId="195" fillId="25" borderId="6" xfId="23" applyFont="1" applyFill="1" applyBorder="1" applyAlignment="1">
      <alignment horizontal="left"/>
    </xf>
    <xf numFmtId="3" fontId="34" fillId="8" borderId="99" xfId="23" applyNumberFormat="1" applyFont="1" applyFill="1" applyBorder="1" applyAlignment="1" applyProtection="1">
      <alignment horizontal="center" vertical="center"/>
      <protection hidden="1"/>
    </xf>
    <xf numFmtId="164" fontId="34" fillId="8" borderId="99" xfId="2" applyNumberFormat="1" applyFont="1" applyFill="1" applyBorder="1" applyAlignment="1">
      <alignment vertical="center"/>
    </xf>
    <xf numFmtId="3" fontId="29" fillId="0" borderId="0" xfId="69" applyNumberFormat="1" applyFont="1" applyAlignment="1" applyProtection="1">
      <alignment horizontal="center"/>
      <protection locked="0"/>
    </xf>
    <xf numFmtId="3" fontId="29" fillId="0" borderId="0" xfId="69" applyNumberFormat="1" applyFont="1" applyAlignment="1" applyProtection="1">
      <alignment horizontal="left"/>
      <protection locked="0"/>
    </xf>
    <xf numFmtId="3" fontId="29" fillId="0" borderId="6" xfId="70" applyNumberFormat="1" applyFont="1" applyBorder="1" applyAlignment="1" applyProtection="1">
      <alignment horizontal="center"/>
      <protection hidden="1"/>
    </xf>
    <xf numFmtId="3" fontId="187" fillId="0" borderId="6" xfId="70" applyNumberFormat="1" applyFont="1" applyBorder="1" applyAlignment="1" applyProtection="1">
      <alignment vertical="center" wrapText="1"/>
      <protection locked="0"/>
    </xf>
    <xf numFmtId="3" fontId="29" fillId="0" borderId="6" xfId="69" applyNumberFormat="1" applyFont="1" applyBorder="1" applyAlignment="1" applyProtection="1">
      <alignment horizontal="center"/>
      <protection hidden="1"/>
    </xf>
    <xf numFmtId="164" fontId="29" fillId="0" borderId="6" xfId="2" applyNumberFormat="1" applyFont="1" applyBorder="1" applyAlignment="1">
      <alignment horizontal="center" vertical="center"/>
    </xf>
    <xf numFmtId="164" fontId="29" fillId="0" borderId="6" xfId="2" applyNumberFormat="1" applyFont="1" applyBorder="1" applyAlignment="1">
      <alignment vertical="center"/>
    </xf>
    <xf numFmtId="164" fontId="29" fillId="0" borderId="99" xfId="2" applyNumberFormat="1" applyFont="1" applyBorder="1" applyAlignment="1">
      <alignment vertical="center"/>
    </xf>
    <xf numFmtId="3" fontId="34" fillId="0" borderId="6" xfId="70" applyNumberFormat="1" applyFont="1" applyBorder="1" applyAlignment="1" applyProtection="1">
      <alignment horizontal="center"/>
      <protection hidden="1"/>
    </xf>
    <xf numFmtId="3" fontId="29" fillId="0" borderId="0" xfId="69" applyNumberFormat="1" applyFont="1" applyProtection="1">
      <protection locked="0"/>
    </xf>
    <xf numFmtId="0" fontId="29" fillId="3" borderId="6" xfId="23" applyFont="1" applyFill="1" applyBorder="1"/>
    <xf numFmtId="164" fontId="29" fillId="0" borderId="6" xfId="2" applyNumberFormat="1" applyFont="1" applyBorder="1" applyAlignment="1" applyProtection="1">
      <alignment vertical="center" wrapText="1"/>
      <protection hidden="1"/>
    </xf>
    <xf numFmtId="43" fontId="29" fillId="0" borderId="6" xfId="2" applyFont="1" applyBorder="1" applyAlignment="1">
      <alignment horizontal="center" vertical="center"/>
    </xf>
    <xf numFmtId="3" fontId="29" fillId="0" borderId="99" xfId="23" applyNumberFormat="1" applyFont="1" applyBorder="1" applyAlignment="1" applyProtection="1">
      <alignment horizontal="center"/>
      <protection hidden="1"/>
    </xf>
    <xf numFmtId="3" fontId="29" fillId="0" borderId="6" xfId="70" applyNumberFormat="1" applyFont="1" applyBorder="1" applyAlignment="1" applyProtection="1">
      <alignment horizontal="right"/>
      <protection hidden="1"/>
    </xf>
    <xf numFmtId="3" fontId="29" fillId="0" borderId="6" xfId="23" applyNumberFormat="1" applyFont="1" applyBorder="1" applyAlignment="1" applyProtection="1">
      <alignment horizontal="center"/>
      <protection hidden="1"/>
    </xf>
    <xf numFmtId="3" fontId="29" fillId="0" borderId="7" xfId="70" applyNumberFormat="1" applyFont="1" applyBorder="1" applyAlignment="1" applyProtection="1">
      <alignment horizontal="center"/>
      <protection hidden="1"/>
    </xf>
    <xf numFmtId="3" fontId="29" fillId="0" borderId="7" xfId="69" applyNumberFormat="1" applyFont="1" applyBorder="1" applyAlignment="1" applyProtection="1">
      <alignment horizontal="center"/>
      <protection hidden="1"/>
    </xf>
    <xf numFmtId="164" fontId="29" fillId="0" borderId="7" xfId="2" applyNumberFormat="1" applyFont="1" applyBorder="1" applyAlignment="1">
      <alignment horizontal="center" vertical="center"/>
    </xf>
    <xf numFmtId="164" fontId="29" fillId="0" borderId="7" xfId="2" applyNumberFormat="1" applyFont="1" applyBorder="1" applyAlignment="1">
      <alignment vertical="center"/>
    </xf>
    <xf numFmtId="3" fontId="34" fillId="0" borderId="7" xfId="70" applyNumberFormat="1" applyFont="1" applyBorder="1" applyAlignment="1" applyProtection="1">
      <alignment horizontal="center"/>
      <protection hidden="1"/>
    </xf>
    <xf numFmtId="4" fontId="29" fillId="24" borderId="0" xfId="69" applyNumberFormat="1" applyFont="1" applyFill="1" applyAlignment="1">
      <alignment vertical="center"/>
    </xf>
    <xf numFmtId="3" fontId="29" fillId="24" borderId="0" xfId="70" applyNumberFormat="1" applyFont="1" applyFill="1" applyAlignment="1">
      <alignment vertical="center"/>
    </xf>
    <xf numFmtId="3" fontId="34" fillId="24" borderId="0" xfId="70" applyNumberFormat="1" applyFont="1" applyFill="1" applyAlignment="1">
      <alignment horizontal="center" vertical="center"/>
    </xf>
    <xf numFmtId="3" fontId="34" fillId="24" borderId="0" xfId="70" applyNumberFormat="1" applyFont="1" applyFill="1" applyAlignment="1">
      <alignment vertical="center"/>
    </xf>
    <xf numFmtId="3" fontId="86" fillId="24" borderId="0" xfId="69" applyNumberFormat="1" applyFont="1" applyFill="1" applyAlignment="1">
      <alignment horizontal="center" vertical="center"/>
    </xf>
    <xf numFmtId="4" fontId="186" fillId="24" borderId="6" xfId="71" applyNumberFormat="1" applyFont="1" applyFill="1" applyBorder="1" applyAlignment="1">
      <alignment horizontal="center" vertical="center"/>
    </xf>
    <xf numFmtId="3" fontId="34" fillId="24" borderId="3" xfId="70" applyNumberFormat="1" applyFont="1" applyFill="1" applyBorder="1" applyAlignment="1">
      <alignment horizontal="right" vertical="center"/>
    </xf>
    <xf numFmtId="3" fontId="87" fillId="24" borderId="3" xfId="69" applyNumberFormat="1" applyFont="1" applyFill="1" applyBorder="1" applyAlignment="1">
      <alignment vertical="center"/>
    </xf>
    <xf numFmtId="3" fontId="34" fillId="24" borderId="0" xfId="69" applyNumberFormat="1" applyFont="1" applyFill="1" applyAlignment="1">
      <alignment vertical="center" wrapText="1"/>
    </xf>
    <xf numFmtId="3" fontId="87" fillId="24" borderId="0" xfId="69" applyNumberFormat="1" applyFont="1" applyFill="1" applyAlignment="1">
      <alignment vertical="center"/>
    </xf>
    <xf numFmtId="0" fontId="86" fillId="24" borderId="0" xfId="23" applyFont="1" applyFill="1"/>
    <xf numFmtId="3" fontId="86" fillId="24" borderId="6" xfId="70" applyNumberFormat="1" applyFont="1" applyFill="1" applyBorder="1" applyAlignment="1">
      <alignment horizontal="center" vertical="center"/>
    </xf>
    <xf numFmtId="0" fontId="86" fillId="24" borderId="6" xfId="23" applyFont="1" applyFill="1" applyBorder="1" applyAlignment="1">
      <alignment horizontal="center" vertical="center"/>
    </xf>
    <xf numFmtId="0" fontId="86" fillId="24" borderId="6" xfId="23" applyFont="1" applyFill="1" applyBorder="1" applyAlignment="1">
      <alignment horizontal="left" vertical="center"/>
    </xf>
    <xf numFmtId="4" fontId="86" fillId="24" borderId="6" xfId="71" applyNumberFormat="1" applyFont="1" applyFill="1" applyBorder="1" applyAlignment="1">
      <alignment horizontal="right" vertical="center"/>
    </xf>
    <xf numFmtId="3" fontId="86" fillId="24" borderId="14" xfId="69" applyNumberFormat="1" applyFont="1" applyFill="1" applyBorder="1" applyAlignment="1">
      <alignment horizontal="right" vertical="center"/>
    </xf>
    <xf numFmtId="3" fontId="86" fillId="24" borderId="0" xfId="69" applyNumberFormat="1" applyFont="1" applyFill="1" applyAlignment="1">
      <alignment horizontal="left" vertical="center"/>
    </xf>
    <xf numFmtId="3" fontId="29" fillId="24" borderId="6" xfId="70" applyNumberFormat="1" applyFont="1" applyFill="1" applyBorder="1" applyAlignment="1">
      <alignment horizontal="right" vertical="center"/>
    </xf>
    <xf numFmtId="3" fontId="186" fillId="24" borderId="6" xfId="71" applyNumberFormat="1" applyFont="1" applyFill="1" applyBorder="1" applyAlignment="1">
      <alignment horizontal="right" vertical="center"/>
    </xf>
    <xf numFmtId="168" fontId="29" fillId="24" borderId="6" xfId="23" applyNumberFormat="1" applyFont="1" applyFill="1" applyBorder="1" applyAlignment="1">
      <alignment horizontal="center" vertical="center"/>
    </xf>
    <xf numFmtId="3" fontId="34" fillId="24" borderId="7" xfId="71" applyNumberFormat="1" applyFont="1" applyFill="1" applyBorder="1" applyAlignment="1">
      <alignment horizontal="right" vertical="center"/>
    </xf>
    <xf numFmtId="168" fontId="29" fillId="24" borderId="6" xfId="69" applyNumberFormat="1" applyFont="1" applyFill="1" applyBorder="1" applyAlignment="1">
      <alignment horizontal="right" vertical="center"/>
    </xf>
    <xf numFmtId="3" fontId="29" fillId="24" borderId="6" xfId="69" applyNumberFormat="1" applyFont="1" applyFill="1" applyBorder="1" applyAlignment="1">
      <alignment horizontal="right" vertical="center"/>
    </xf>
    <xf numFmtId="0" fontId="187" fillId="24" borderId="0" xfId="23" applyFont="1" applyFill="1" applyAlignment="1">
      <alignment horizontal="left"/>
    </xf>
    <xf numFmtId="3" fontId="187" fillId="24" borderId="6" xfId="71" applyNumberFormat="1" applyFont="1" applyFill="1" applyBorder="1" applyAlignment="1">
      <alignment horizontal="right" vertical="center"/>
    </xf>
    <xf numFmtId="3" fontId="48" fillId="24" borderId="0" xfId="69" applyNumberFormat="1" applyFont="1" applyFill="1" applyAlignment="1">
      <alignment horizontal="center" vertical="top"/>
    </xf>
    <xf numFmtId="3" fontId="29" fillId="24" borderId="0" xfId="70" applyNumberFormat="1" applyFont="1" applyFill="1" applyAlignment="1">
      <alignment horizontal="left" vertical="top"/>
    </xf>
    <xf numFmtId="3" fontId="29" fillId="24" borderId="0" xfId="69" applyNumberFormat="1" applyFont="1" applyFill="1" applyAlignment="1">
      <alignment vertical="top"/>
    </xf>
    <xf numFmtId="3" fontId="48" fillId="24" borderId="0" xfId="23" applyNumberFormat="1" applyFont="1" applyFill="1" applyAlignment="1">
      <alignment vertical="center"/>
    </xf>
    <xf numFmtId="4" fontId="29" fillId="24" borderId="8" xfId="71" applyNumberFormat="1" applyFont="1" applyFill="1" applyBorder="1" applyAlignment="1">
      <alignment horizontal="center" vertical="center"/>
    </xf>
    <xf numFmtId="4" fontId="29" fillId="24" borderId="3" xfId="71" applyNumberFormat="1" applyFont="1" applyFill="1" applyBorder="1" applyAlignment="1">
      <alignment horizontal="center" vertical="center"/>
    </xf>
    <xf numFmtId="185" fontId="29" fillId="24" borderId="6" xfId="23" applyNumberFormat="1" applyFont="1" applyFill="1" applyBorder="1" applyAlignment="1">
      <alignment horizontal="center" vertical="center"/>
    </xf>
    <xf numFmtId="0" fontId="22" fillId="0" borderId="6" xfId="23" quotePrefix="1" applyFont="1" applyBorder="1" applyAlignment="1">
      <alignment horizontal="left"/>
    </xf>
    <xf numFmtId="0" fontId="22" fillId="0" borderId="6" xfId="23" applyFont="1" applyBorder="1" applyAlignment="1" applyProtection="1">
      <alignment horizontal="left"/>
      <protection locked="0"/>
    </xf>
    <xf numFmtId="165" fontId="29" fillId="24" borderId="6" xfId="69" applyNumberFormat="1" applyFont="1" applyFill="1" applyBorder="1" applyAlignment="1">
      <alignment vertical="center"/>
    </xf>
    <xf numFmtId="2" fontId="29" fillId="24" borderId="6" xfId="23" applyNumberFormat="1" applyFont="1" applyFill="1" applyBorder="1" applyAlignment="1">
      <alignment horizontal="center" vertical="center"/>
    </xf>
    <xf numFmtId="168" fontId="34" fillId="24" borderId="6" xfId="71" applyNumberFormat="1" applyFont="1" applyFill="1" applyBorder="1" applyAlignment="1">
      <alignment horizontal="center" vertical="center"/>
    </xf>
    <xf numFmtId="168" fontId="29" fillId="24" borderId="6" xfId="70" applyNumberFormat="1" applyFont="1" applyFill="1" applyBorder="1" applyAlignment="1">
      <alignment horizontal="center" vertical="center"/>
    </xf>
    <xf numFmtId="3" fontId="29" fillId="24" borderId="26" xfId="69" applyNumberFormat="1" applyFont="1" applyFill="1" applyBorder="1" applyAlignment="1">
      <alignment vertical="center"/>
    </xf>
    <xf numFmtId="3" fontId="48" fillId="24" borderId="14" xfId="69" applyNumberFormat="1" applyFont="1" applyFill="1" applyBorder="1" applyAlignment="1">
      <alignment horizontal="right" vertical="center"/>
    </xf>
    <xf numFmtId="3" fontId="186" fillId="24" borderId="8" xfId="71" applyNumberFormat="1" applyFont="1" applyFill="1" applyBorder="1" applyAlignment="1">
      <alignment horizontal="center" vertical="center"/>
    </xf>
    <xf numFmtId="0" fontId="48" fillId="24" borderId="14" xfId="23" applyFont="1" applyFill="1" applyBorder="1" applyAlignment="1">
      <alignment horizontal="left" vertical="center"/>
    </xf>
    <xf numFmtId="3" fontId="29" fillId="24" borderId="3" xfId="69" applyNumberFormat="1" applyFont="1" applyFill="1" applyBorder="1" applyAlignment="1">
      <alignment vertical="center"/>
    </xf>
    <xf numFmtId="0" fontId="81" fillId="24" borderId="0" xfId="23" applyFont="1" applyFill="1" applyAlignment="1">
      <alignment horizontal="left"/>
    </xf>
    <xf numFmtId="186" fontId="29" fillId="24" borderId="6" xfId="23" applyNumberFormat="1" applyFont="1" applyFill="1" applyBorder="1" applyAlignment="1">
      <alignment horizontal="center" vertical="center"/>
    </xf>
    <xf numFmtId="3" fontId="29" fillId="24" borderId="8" xfId="70" applyNumberFormat="1" applyFont="1" applyFill="1" applyBorder="1" applyAlignment="1">
      <alignment horizontal="center" vertical="center"/>
    </xf>
    <xf numFmtId="3" fontId="29" fillId="24" borderId="24" xfId="70" applyNumberFormat="1" applyFont="1" applyFill="1" applyBorder="1" applyAlignment="1">
      <alignment vertical="center"/>
    </xf>
    <xf numFmtId="3" fontId="35" fillId="24" borderId="3" xfId="69" applyNumberFormat="1" applyFont="1" applyFill="1" applyBorder="1" applyAlignment="1">
      <alignment horizontal="center" wrapText="1"/>
    </xf>
    <xf numFmtId="3" fontId="48" fillId="24" borderId="3" xfId="27" applyNumberFormat="1" applyFont="1" applyFill="1" applyBorder="1"/>
    <xf numFmtId="3" fontId="51" fillId="24" borderId="3" xfId="27" applyNumberFormat="1" applyFont="1" applyFill="1" applyBorder="1" applyAlignment="1">
      <alignment horizontal="center"/>
    </xf>
    <xf numFmtId="3" fontId="29" fillId="24" borderId="3" xfId="69" applyNumberFormat="1" applyFont="1" applyFill="1" applyBorder="1" applyAlignment="1">
      <alignment wrapText="1"/>
    </xf>
    <xf numFmtId="3" fontId="48" fillId="24" borderId="3" xfId="69" quotePrefix="1" applyNumberFormat="1" applyFont="1" applyFill="1" applyBorder="1"/>
    <xf numFmtId="4" fontId="51" fillId="24" borderId="3" xfId="27" applyNumberFormat="1" applyFont="1" applyFill="1" applyBorder="1" applyAlignment="1">
      <alignment horizontal="center"/>
    </xf>
    <xf numFmtId="3" fontId="34" fillId="24" borderId="3" xfId="69" applyNumberFormat="1" applyFont="1" applyFill="1" applyBorder="1" applyAlignment="1">
      <alignment horizontal="right" wrapText="1"/>
    </xf>
    <xf numFmtId="3" fontId="48" fillId="24" borderId="0" xfId="69" applyNumberFormat="1" applyFont="1" applyFill="1"/>
    <xf numFmtId="3" fontId="48" fillId="24" borderId="3" xfId="69" applyNumberFormat="1" applyFont="1" applyFill="1" applyBorder="1"/>
    <xf numFmtId="3" fontId="51" fillId="24" borderId="3" xfId="27" quotePrefix="1" applyNumberFormat="1" applyFont="1" applyFill="1" applyBorder="1" applyAlignment="1">
      <alignment horizontal="center"/>
    </xf>
    <xf numFmtId="3" fontId="51" fillId="24" borderId="3" xfId="69" applyNumberFormat="1" applyFont="1" applyFill="1" applyBorder="1" applyAlignment="1">
      <alignment horizontal="center"/>
    </xf>
    <xf numFmtId="4" fontId="29" fillId="24" borderId="3" xfId="69" applyNumberFormat="1" applyFont="1" applyFill="1" applyBorder="1" applyAlignment="1">
      <alignment wrapText="1"/>
    </xf>
    <xf numFmtId="3" fontId="48" fillId="24" borderId="3" xfId="27" applyNumberFormat="1" applyFont="1" applyFill="1" applyBorder="1" applyAlignment="1">
      <alignment horizontal="center"/>
    </xf>
    <xf numFmtId="3" fontId="48" fillId="24" borderId="3" xfId="27" applyNumberFormat="1" applyFont="1" applyFill="1" applyBorder="1" applyAlignment="1">
      <alignment horizontal="left"/>
    </xf>
    <xf numFmtId="3" fontId="48" fillId="24" borderId="3" xfId="27" quotePrefix="1" applyNumberFormat="1" applyFont="1" applyFill="1" applyBorder="1" applyAlignment="1">
      <alignment horizontal="right"/>
    </xf>
    <xf numFmtId="3" fontId="48" fillId="24" borderId="3" xfId="69" applyNumberFormat="1" applyFont="1" applyFill="1" applyBorder="1" applyAlignment="1">
      <alignment horizontal="center"/>
    </xf>
    <xf numFmtId="165" fontId="29" fillId="24" borderId="3" xfId="69" applyNumberFormat="1" applyFont="1" applyFill="1" applyBorder="1" applyAlignment="1">
      <alignment wrapText="1"/>
    </xf>
    <xf numFmtId="3" fontId="48" fillId="24" borderId="3" xfId="27" quotePrefix="1" applyNumberFormat="1" applyFont="1" applyFill="1" applyBorder="1" applyAlignment="1">
      <alignment horizontal="left"/>
    </xf>
    <xf numFmtId="165" fontId="29" fillId="24" borderId="0" xfId="69" applyNumberFormat="1" applyFont="1" applyFill="1"/>
    <xf numFmtId="4" fontId="48" fillId="24" borderId="3" xfId="27" applyNumberFormat="1" applyFont="1" applyFill="1" applyBorder="1" applyAlignment="1">
      <alignment horizontal="center"/>
    </xf>
    <xf numFmtId="4" fontId="48" fillId="24" borderId="12" xfId="27" applyNumberFormat="1" applyFont="1" applyFill="1" applyBorder="1" applyAlignment="1">
      <alignment horizontal="center"/>
    </xf>
    <xf numFmtId="3" fontId="48" fillId="24" borderId="12" xfId="27" applyNumberFormat="1" applyFont="1" applyFill="1" applyBorder="1" applyAlignment="1">
      <alignment horizontal="left"/>
    </xf>
    <xf numFmtId="3" fontId="48" fillId="24" borderId="12" xfId="27" applyNumberFormat="1" applyFont="1" applyFill="1" applyBorder="1" applyAlignment="1">
      <alignment horizontal="right"/>
    </xf>
    <xf numFmtId="3" fontId="48" fillId="24" borderId="12" xfId="27" quotePrefix="1" applyNumberFormat="1" applyFont="1" applyFill="1" applyBorder="1" applyAlignment="1">
      <alignment horizontal="right"/>
    </xf>
    <xf numFmtId="3" fontId="48" fillId="24" borderId="12" xfId="27" applyNumberFormat="1" applyFont="1" applyFill="1" applyBorder="1" applyAlignment="1">
      <alignment horizontal="center"/>
    </xf>
    <xf numFmtId="4" fontId="52" fillId="24" borderId="12" xfId="27" applyNumberFormat="1" applyFont="1" applyFill="1" applyBorder="1" applyAlignment="1">
      <alignment horizontal="center"/>
    </xf>
    <xf numFmtId="3" fontId="51" fillId="24" borderId="12" xfId="27" applyNumberFormat="1" applyFont="1" applyFill="1" applyBorder="1"/>
    <xf numFmtId="3" fontId="52" fillId="24" borderId="12" xfId="27" applyNumberFormat="1" applyFont="1" applyFill="1" applyBorder="1"/>
    <xf numFmtId="3" fontId="48" fillId="24" borderId="12" xfId="27" applyNumberFormat="1" applyFont="1" applyFill="1" applyBorder="1"/>
    <xf numFmtId="168" fontId="51" fillId="24" borderId="12" xfId="27" applyNumberFormat="1" applyFont="1" applyFill="1" applyBorder="1" applyAlignment="1">
      <alignment horizontal="center"/>
    </xf>
    <xf numFmtId="3" fontId="51" fillId="24" borderId="3" xfId="27" applyNumberFormat="1" applyFont="1" applyFill="1" applyBorder="1"/>
    <xf numFmtId="3" fontId="29" fillId="24" borderId="0" xfId="69" applyNumberFormat="1" applyFont="1" applyFill="1" applyAlignment="1">
      <alignment wrapText="1"/>
    </xf>
    <xf numFmtId="3" fontId="52" fillId="24" borderId="16" xfId="27" applyNumberFormat="1" applyFont="1" applyFill="1" applyBorder="1"/>
    <xf numFmtId="3" fontId="48" fillId="24" borderId="16" xfId="27" applyNumberFormat="1" applyFont="1" applyFill="1" applyBorder="1"/>
    <xf numFmtId="3" fontId="48" fillId="24" borderId="16" xfId="27" applyNumberFormat="1" applyFont="1" applyFill="1" applyBorder="1" applyAlignment="1">
      <alignment horizontal="center"/>
    </xf>
    <xf numFmtId="3" fontId="52" fillId="24" borderId="0" xfId="69" applyNumberFormat="1" applyFont="1" applyFill="1" applyAlignment="1">
      <alignment horizontal="center" vertical="center"/>
    </xf>
    <xf numFmtId="3" fontId="51" fillId="24" borderId="12" xfId="27" applyNumberFormat="1" applyFont="1" applyFill="1" applyBorder="1" applyAlignment="1">
      <alignment horizontal="right"/>
    </xf>
    <xf numFmtId="3" fontId="26" fillId="24" borderId="0" xfId="69" applyNumberFormat="1" applyFont="1" applyFill="1" applyAlignment="1">
      <alignment horizontal="center"/>
    </xf>
    <xf numFmtId="3" fontId="46" fillId="24" borderId="0" xfId="69" applyNumberFormat="1" applyFont="1" applyFill="1" applyAlignment="1">
      <alignment horizontal="center"/>
    </xf>
    <xf numFmtId="168" fontId="46" fillId="24" borderId="0" xfId="69" applyNumberFormat="1" applyFont="1" applyFill="1" applyAlignment="1">
      <alignment horizontal="center"/>
    </xf>
    <xf numFmtId="3" fontId="108" fillId="24" borderId="0" xfId="69" applyNumberFormat="1" applyFont="1" applyFill="1" applyAlignment="1">
      <alignment horizontal="center"/>
    </xf>
    <xf numFmtId="3" fontId="86" fillId="24" borderId="0" xfId="69" applyNumberFormat="1" applyFont="1" applyFill="1" applyAlignment="1">
      <alignment horizontal="center"/>
    </xf>
    <xf numFmtId="170" fontId="185" fillId="24" borderId="0" xfId="10" quotePrefix="1" applyNumberFormat="1" applyFont="1" applyFill="1" applyAlignment="1">
      <alignment horizontal="center"/>
    </xf>
    <xf numFmtId="3" fontId="10" fillId="24" borderId="0" xfId="69" applyNumberFormat="1" applyFont="1" applyFill="1" applyAlignment="1">
      <alignment horizontal="center"/>
    </xf>
    <xf numFmtId="3" fontId="9" fillId="24" borderId="0" xfId="69" quotePrefix="1" applyNumberFormat="1" applyFont="1" applyFill="1" applyAlignment="1">
      <alignment horizontal="center"/>
    </xf>
    <xf numFmtId="3" fontId="34" fillId="24" borderId="0" xfId="69" applyNumberFormat="1" applyFont="1" applyFill="1" applyAlignment="1">
      <alignment horizontal="center" wrapText="1"/>
    </xf>
    <xf numFmtId="3" fontId="34" fillId="24" borderId="2" xfId="69" applyNumberFormat="1" applyFont="1" applyFill="1" applyBorder="1" applyAlignment="1">
      <alignment horizontal="center" vertical="center"/>
    </xf>
    <xf numFmtId="3" fontId="34" fillId="24" borderId="25" xfId="69" applyNumberFormat="1" applyFont="1" applyFill="1" applyBorder="1" applyAlignment="1">
      <alignment horizontal="center" vertical="center"/>
    </xf>
    <xf numFmtId="3" fontId="34" fillId="24" borderId="3" xfId="69" applyNumberFormat="1" applyFont="1" applyFill="1" applyBorder="1" applyAlignment="1">
      <alignment horizontal="center" wrapText="1"/>
    </xf>
    <xf numFmtId="3" fontId="29" fillId="24" borderId="2" xfId="69" applyNumberFormat="1" applyFont="1" applyFill="1" applyBorder="1" applyAlignment="1">
      <alignment horizontal="center"/>
    </xf>
    <xf numFmtId="170" fontId="188" fillId="24" borderId="0" xfId="10" quotePrefix="1" applyNumberFormat="1" applyFont="1" applyFill="1" applyAlignment="1">
      <alignment horizontal="center"/>
    </xf>
    <xf numFmtId="3" fontId="34" fillId="24" borderId="10" xfId="69" applyNumberFormat="1" applyFont="1" applyFill="1" applyBorder="1" applyAlignment="1">
      <alignment horizontal="center"/>
    </xf>
    <xf numFmtId="3" fontId="34" fillId="24" borderId="0" xfId="69" quotePrefix="1" applyNumberFormat="1" applyFont="1" applyFill="1" applyAlignment="1">
      <alignment horizontal="center"/>
    </xf>
    <xf numFmtId="43" fontId="29" fillId="24" borderId="3" xfId="2" applyFont="1" applyFill="1" applyBorder="1" applyAlignment="1">
      <alignment horizontal="center"/>
    </xf>
    <xf numFmtId="170" fontId="189" fillId="24" borderId="0" xfId="10" quotePrefix="1" applyNumberFormat="1" applyFont="1" applyFill="1" applyAlignment="1">
      <alignment horizontal="center"/>
    </xf>
    <xf numFmtId="3" fontId="29" fillId="24" borderId="3" xfId="71" applyNumberFormat="1" applyFont="1" applyFill="1" applyBorder="1" applyAlignment="1">
      <alignment horizontal="center"/>
    </xf>
    <xf numFmtId="3" fontId="29" fillId="24" borderId="2" xfId="71" applyNumberFormat="1" applyFont="1" applyFill="1" applyBorder="1" applyAlignment="1">
      <alignment horizontal="center"/>
    </xf>
    <xf numFmtId="3" fontId="29" fillId="24" borderId="0" xfId="71" applyNumberFormat="1" applyFont="1" applyFill="1" applyAlignment="1">
      <alignment horizontal="center"/>
    </xf>
    <xf numFmtId="3" fontId="29" fillId="24" borderId="2" xfId="70" applyNumberFormat="1" applyFont="1" applyFill="1" applyBorder="1" applyAlignment="1">
      <alignment horizontal="center"/>
    </xf>
    <xf numFmtId="3" fontId="29" fillId="24" borderId="0" xfId="70" applyNumberFormat="1" applyFont="1" applyFill="1" applyAlignment="1">
      <alignment horizontal="center"/>
    </xf>
    <xf numFmtId="3" fontId="34" fillId="24" borderId="0" xfId="69" applyNumberFormat="1" applyFont="1" applyFill="1" applyAlignment="1">
      <alignment horizontal="center" vertical="center"/>
    </xf>
    <xf numFmtId="3" fontId="29" fillId="24" borderId="0" xfId="69" applyNumberFormat="1" applyFont="1" applyFill="1" applyAlignment="1">
      <alignment horizontal="center" vertical="center" wrapText="1"/>
    </xf>
    <xf numFmtId="168" fontId="29" fillId="24" borderId="0" xfId="69" applyNumberFormat="1" applyFont="1" applyFill="1" applyAlignment="1">
      <alignment horizontal="center" vertical="center"/>
    </xf>
    <xf numFmtId="168" fontId="29" fillId="24" borderId="3" xfId="71" applyNumberFormat="1" applyFont="1" applyFill="1" applyBorder="1" applyAlignment="1">
      <alignment horizontal="center" vertical="center"/>
    </xf>
    <xf numFmtId="3" fontId="29" fillId="24" borderId="2" xfId="70" applyNumberFormat="1" applyFont="1" applyFill="1" applyBorder="1" applyAlignment="1">
      <alignment horizontal="center" vertical="center"/>
    </xf>
    <xf numFmtId="168" fontId="29" fillId="24" borderId="2" xfId="70" applyNumberFormat="1" applyFont="1" applyFill="1" applyBorder="1" applyAlignment="1">
      <alignment horizontal="center" vertical="center"/>
    </xf>
    <xf numFmtId="3" fontId="34" fillId="24" borderId="10" xfId="69" applyNumberFormat="1" applyFont="1" applyFill="1" applyBorder="1" applyAlignment="1">
      <alignment horizontal="center" vertical="center"/>
    </xf>
    <xf numFmtId="3" fontId="34" fillId="24" borderId="10" xfId="70" applyNumberFormat="1" applyFont="1" applyFill="1" applyBorder="1" applyAlignment="1">
      <alignment horizontal="center" vertical="center"/>
    </xf>
    <xf numFmtId="3" fontId="86" fillId="24" borderId="10" xfId="69" applyNumberFormat="1" applyFont="1" applyFill="1" applyBorder="1" applyAlignment="1">
      <alignment horizontal="center" vertical="center"/>
    </xf>
    <xf numFmtId="3" fontId="29" fillId="24" borderId="10" xfId="69" applyNumberFormat="1" applyFont="1" applyFill="1" applyBorder="1" applyAlignment="1">
      <alignment horizontal="center" vertical="center"/>
    </xf>
    <xf numFmtId="3" fontId="29" fillId="0" borderId="99" xfId="70" applyNumberFormat="1" applyFont="1" applyBorder="1" applyAlignment="1" applyProtection="1">
      <alignment horizontal="center"/>
      <protection hidden="1"/>
    </xf>
    <xf numFmtId="168" fontId="29" fillId="24" borderId="0" xfId="70" applyNumberFormat="1" applyFont="1" applyFill="1" applyAlignment="1">
      <alignment horizontal="center" vertical="center"/>
    </xf>
    <xf numFmtId="3" fontId="29" fillId="24" borderId="0" xfId="70" applyNumberFormat="1" applyFont="1" applyFill="1" applyAlignment="1">
      <alignment horizontal="center" vertical="center"/>
    </xf>
    <xf numFmtId="3" fontId="34" fillId="24" borderId="10" xfId="69" applyNumberFormat="1" applyFont="1" applyFill="1" applyBorder="1" applyAlignment="1">
      <alignment horizontal="center" vertical="top"/>
    </xf>
    <xf numFmtId="3" fontId="34" fillId="24" borderId="2" xfId="70" applyNumberFormat="1" applyFont="1" applyFill="1" applyBorder="1" applyAlignment="1">
      <alignment vertical="center"/>
    </xf>
    <xf numFmtId="3" fontId="34" fillId="24" borderId="3" xfId="69" applyNumberFormat="1" applyFont="1" applyFill="1" applyBorder="1" applyAlignment="1">
      <alignment vertical="center"/>
    </xf>
    <xf numFmtId="3" fontId="34" fillId="24" borderId="12" xfId="69" applyNumberFormat="1" applyFont="1" applyFill="1" applyBorder="1" applyAlignment="1">
      <alignment vertical="center"/>
    </xf>
    <xf numFmtId="3" fontId="34" fillId="24" borderId="13" xfId="69" applyNumberFormat="1" applyFont="1" applyFill="1" applyBorder="1" applyAlignment="1">
      <alignment vertical="center"/>
    </xf>
    <xf numFmtId="3" fontId="34" fillId="24" borderId="12" xfId="69" applyNumberFormat="1" applyFont="1" applyFill="1" applyBorder="1" applyAlignment="1">
      <alignment vertical="center" wrapText="1"/>
    </xf>
    <xf numFmtId="3" fontId="34" fillId="24" borderId="13" xfId="69" applyNumberFormat="1" applyFont="1" applyFill="1" applyBorder="1" applyAlignment="1">
      <alignment vertical="center" wrapText="1"/>
    </xf>
    <xf numFmtId="3" fontId="34" fillId="24" borderId="10" xfId="69" applyNumberFormat="1" applyFont="1" applyFill="1" applyBorder="1" applyAlignment="1">
      <alignment vertical="top"/>
    </xf>
    <xf numFmtId="3" fontId="87" fillId="24" borderId="12" xfId="69" applyNumberFormat="1" applyFont="1" applyFill="1" applyBorder="1" applyAlignment="1">
      <alignment vertical="center"/>
    </xf>
    <xf numFmtId="3" fontId="87" fillId="24" borderId="13" xfId="69" applyNumberFormat="1" applyFont="1" applyFill="1" applyBorder="1" applyAlignment="1">
      <alignment vertical="center"/>
    </xf>
    <xf numFmtId="3" fontId="34" fillId="24" borderId="2" xfId="70" applyNumberFormat="1" applyFont="1" applyFill="1" applyBorder="1" applyAlignment="1"/>
    <xf numFmtId="3" fontId="34" fillId="24" borderId="2" xfId="71" applyNumberFormat="1" applyFont="1" applyFill="1" applyBorder="1" applyAlignment="1"/>
    <xf numFmtId="3" fontId="34" fillId="24" borderId="2" xfId="69" applyNumberFormat="1" applyFont="1" applyFill="1" applyBorder="1" applyAlignment="1"/>
    <xf numFmtId="3" fontId="34" fillId="24" borderId="10" xfId="69" applyNumberFormat="1" applyFont="1" applyFill="1" applyBorder="1" applyAlignment="1"/>
    <xf numFmtId="3" fontId="48" fillId="24" borderId="12" xfId="69" applyNumberFormat="1" applyFont="1" applyFill="1" applyBorder="1" applyAlignment="1">
      <alignment vertical="center"/>
    </xf>
    <xf numFmtId="3" fontId="52" fillId="24" borderId="13" xfId="69" applyNumberFormat="1" applyFont="1" applyFill="1" applyBorder="1" applyAlignment="1">
      <alignment vertical="center"/>
    </xf>
    <xf numFmtId="3" fontId="48" fillId="24" borderId="20" xfId="69" applyNumberFormat="1" applyFont="1" applyFill="1" applyBorder="1" applyAlignment="1">
      <alignment vertical="center"/>
    </xf>
    <xf numFmtId="3" fontId="52" fillId="24" borderId="20" xfId="69" applyNumberFormat="1" applyFont="1" applyFill="1" applyBorder="1" applyAlignment="1">
      <alignment vertical="center"/>
    </xf>
    <xf numFmtId="0" fontId="29" fillId="24" borderId="3" xfId="71" applyNumberFormat="1" applyFont="1" applyFill="1" applyBorder="1" applyAlignment="1">
      <alignment horizontal="center" vertical="center"/>
    </xf>
    <xf numFmtId="3" fontId="36" fillId="0" borderId="0" xfId="14" applyNumberFormat="1" applyFont="1" applyFill="1" applyBorder="1" applyAlignment="1" applyProtection="1">
      <alignment vertical="center"/>
    </xf>
    <xf numFmtId="3" fontId="25" fillId="0" borderId="15" xfId="14" applyNumberFormat="1" applyFont="1" applyFill="1" applyBorder="1" applyAlignment="1" applyProtection="1">
      <alignment vertical="center"/>
    </xf>
    <xf numFmtId="3" fontId="25" fillId="0" borderId="16" xfId="14" applyNumberFormat="1" applyFont="1" applyFill="1" applyBorder="1" applyAlignment="1" applyProtection="1">
      <alignment vertical="center"/>
    </xf>
    <xf numFmtId="3" fontId="36" fillId="0" borderId="16" xfId="14" applyNumberFormat="1" applyFont="1" applyFill="1" applyBorder="1" applyAlignment="1" applyProtection="1">
      <alignment horizontal="center" vertical="center"/>
    </xf>
    <xf numFmtId="3" fontId="25" fillId="0" borderId="16" xfId="14" applyNumberFormat="1" applyFont="1" applyFill="1" applyBorder="1" applyAlignment="1" applyProtection="1">
      <alignment horizontal="center" vertical="center"/>
    </xf>
    <xf numFmtId="0" fontId="25" fillId="0" borderId="16" xfId="14" applyNumberFormat="1" applyFont="1" applyFill="1" applyBorder="1" applyAlignment="1" applyProtection="1">
      <alignment horizontal="center" vertical="center"/>
    </xf>
    <xf numFmtId="3" fontId="34" fillId="24" borderId="3" xfId="69" applyNumberFormat="1" applyFont="1" applyFill="1" applyBorder="1" applyAlignment="1">
      <alignment horizontal="left"/>
    </xf>
    <xf numFmtId="0" fontId="25" fillId="0" borderId="3" xfId="2" applyNumberFormat="1" applyFont="1" applyBorder="1" applyAlignment="1" applyProtection="1">
      <alignment horizontal="center" vertical="center"/>
    </xf>
    <xf numFmtId="0" fontId="29" fillId="24" borderId="3" xfId="23" applyFont="1" applyFill="1" applyBorder="1" applyAlignment="1">
      <alignment horizontal="center" vertical="center"/>
    </xf>
    <xf numFmtId="0" fontId="29" fillId="24" borderId="3" xfId="23" applyFont="1" applyFill="1" applyBorder="1" applyAlignment="1">
      <alignment horizontal="left" vertical="center"/>
    </xf>
    <xf numFmtId="0" fontId="34" fillId="24" borderId="3" xfId="23" applyFont="1" applyFill="1" applyBorder="1" applyAlignment="1">
      <alignment horizontal="center" vertical="center"/>
    </xf>
    <xf numFmtId="0" fontId="48" fillId="24" borderId="3" xfId="23" applyFont="1" applyFill="1" applyBorder="1" applyAlignment="1">
      <alignment horizontal="center" vertical="center"/>
    </xf>
    <xf numFmtId="0" fontId="29" fillId="24" borderId="3" xfId="23" applyFont="1" applyFill="1" applyBorder="1" applyAlignment="1">
      <alignment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9"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87" fillId="24" borderId="3" xfId="70" applyNumberFormat="1" applyFont="1" applyFill="1" applyBorder="1" applyAlignment="1">
      <alignment vertical="center"/>
    </xf>
    <xf numFmtId="4" fontId="29" fillId="24" borderId="3" xfId="71" applyNumberFormat="1" applyFont="1" applyFill="1" applyBorder="1" applyAlignment="1">
      <alignment horizontal="right" vertical="center"/>
    </xf>
    <xf numFmtId="164" fontId="29" fillId="24" borderId="3" xfId="2" applyNumberFormat="1" applyFont="1" applyFill="1" applyBorder="1" applyAlignment="1">
      <alignment vertical="center"/>
    </xf>
    <xf numFmtId="3" fontId="187" fillId="24" borderId="3" xfId="70" applyNumberFormat="1" applyFont="1" applyFill="1" applyBorder="1" applyAlignment="1">
      <alignment vertical="center" wrapText="1"/>
    </xf>
    <xf numFmtId="164" fontId="34" fillId="8" borderId="3" xfId="2" applyNumberFormat="1" applyFont="1" applyFill="1" applyBorder="1" applyAlignment="1" applyProtection="1">
      <alignment horizontal="center" vertical="center"/>
      <protection hidden="1"/>
    </xf>
    <xf numFmtId="164" fontId="29" fillId="24" borderId="3" xfId="2"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0" fontId="34" fillId="24" borderId="3" xfId="23" applyNumberFormat="1" applyFont="1" applyFill="1" applyBorder="1" applyAlignment="1">
      <alignment horizontal="center" vertical="center"/>
    </xf>
    <xf numFmtId="0" fontId="29" fillId="24"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3" fontId="136" fillId="0" borderId="12" xfId="0" applyNumberFormat="1" applyFont="1" applyBorder="1" applyAlignment="1">
      <alignment horizontal="left" vertical="center"/>
    </xf>
    <xf numFmtId="3" fontId="136" fillId="0" borderId="12" xfId="0" applyNumberFormat="1" applyFont="1" applyFill="1" applyBorder="1">
      <alignment horizontal="center" vertical="center"/>
    </xf>
    <xf numFmtId="3" fontId="136" fillId="0" borderId="12" xfId="0" applyNumberFormat="1" applyFont="1" applyFill="1" applyBorder="1" applyAlignment="1">
      <alignment horizontal="left" vertical="center" shrinkToFit="1"/>
    </xf>
    <xf numFmtId="3" fontId="145" fillId="0" borderId="12" xfId="0" applyNumberFormat="1" applyFont="1" applyFill="1" applyBorder="1" applyAlignment="1" applyProtection="1">
      <alignment vertical="center" shrinkToFit="1"/>
      <protection hidden="1"/>
    </xf>
    <xf numFmtId="3" fontId="145" fillId="0" borderId="12" xfId="0" applyNumberFormat="1" applyFont="1" applyFill="1" applyBorder="1" applyAlignment="1" applyProtection="1">
      <alignment horizontal="left" vertical="center"/>
      <protection hidden="1"/>
    </xf>
    <xf numFmtId="3" fontId="145" fillId="0" borderId="12" xfId="0" applyNumberFormat="1" applyFont="1" applyFill="1" applyBorder="1" applyAlignment="1" applyProtection="1">
      <alignment horizontal="center" vertical="center"/>
      <protection hidden="1"/>
    </xf>
    <xf numFmtId="3" fontId="145" fillId="0" borderId="3" xfId="2" applyNumberFormat="1" applyFont="1" applyBorder="1" applyAlignment="1" applyProtection="1">
      <alignment horizontal="center" vertical="center"/>
      <protection hidden="1"/>
    </xf>
    <xf numFmtId="3" fontId="145" fillId="0" borderId="12" xfId="2" applyNumberFormat="1" applyFont="1" applyBorder="1" applyAlignment="1" applyProtection="1">
      <alignment horizontal="center" vertical="center"/>
      <protection hidden="1"/>
    </xf>
    <xf numFmtId="0" fontId="136" fillId="0" borderId="3" xfId="0" applyNumberFormat="1" applyFont="1" applyBorder="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2"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0" fontId="22" fillId="19" borderId="102"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7" fillId="16" borderId="12" xfId="0" applyNumberFormat="1" applyFont="1" applyFill="1" applyBorder="1" applyAlignment="1" applyProtection="1">
      <alignment horizontal="center" vertical="center" wrapText="1"/>
    </xf>
    <xf numFmtId="0" fontId="127"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7" fillId="16" borderId="12" xfId="0" applyNumberFormat="1" applyFont="1" applyFill="1" applyBorder="1" applyAlignment="1">
      <alignment horizontal="center" vertical="center" wrapText="1"/>
    </xf>
    <xf numFmtId="0" fontId="127" fillId="16" borderId="13" xfId="0" applyNumberFormat="1" applyFont="1" applyFill="1" applyBorder="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4" fillId="0" borderId="0" xfId="19" applyFont="1" applyAlignment="1">
      <alignment horizontal="center" vertical="center" wrapText="1"/>
    </xf>
    <xf numFmtId="0" fontId="47" fillId="0" borderId="0" xfId="19" applyFont="1" applyAlignment="1">
      <alignment horizontal="center" vertical="center" wrapText="1"/>
    </xf>
    <xf numFmtId="14" fontId="134"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98" fillId="0" borderId="0" xfId="0" applyFont="1" applyBorder="1" applyAlignment="1">
      <alignment horizontal="center" vertical="center" wrapText="1"/>
    </xf>
    <xf numFmtId="0" fontId="0" fillId="0" borderId="0" xfId="0" applyFont="1" applyAlignment="1">
      <alignment horizontal="center" vertical="center" shrinkToFit="1"/>
    </xf>
    <xf numFmtId="49" fontId="25" fillId="0" borderId="0" xfId="0" applyNumberFormat="1" applyFont="1" applyFill="1" applyBorder="1" applyAlignment="1">
      <alignment vertical="center"/>
    </xf>
    <xf numFmtId="2" fontId="29" fillId="24" borderId="3" xfId="71" applyNumberFormat="1" applyFont="1" applyFill="1" applyBorder="1" applyAlignment="1">
      <alignment horizontal="center" vertical="center"/>
    </xf>
    <xf numFmtId="2" fontId="25" fillId="0" borderId="3" xfId="2" applyNumberFormat="1" applyFont="1" applyBorder="1" applyAlignment="1" applyProtection="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67" xr:uid="{00000000-0005-0000-0000-000006000000}"/>
    <cellStyle name="Comma 5" xfId="68" xr:uid="{00000000-0005-0000-0000-000007000000}"/>
    <cellStyle name="Grey" xfId="3" xr:uid="{00000000-0005-0000-0000-000008000000}"/>
    <cellStyle name="Grey 2" xfId="33" xr:uid="{00000000-0005-0000-0000-000009000000}"/>
    <cellStyle name="Grey 3" xfId="49" xr:uid="{00000000-0005-0000-0000-00000A000000}"/>
    <cellStyle name="HEADER" xfId="4" xr:uid="{00000000-0005-0000-0000-00000B000000}"/>
    <cellStyle name="HEADER 2" xfId="39" xr:uid="{00000000-0005-0000-0000-00000C000000}"/>
    <cellStyle name="Header1" xfId="5" xr:uid="{00000000-0005-0000-0000-00000D000000}"/>
    <cellStyle name="Header1 2" xfId="54" xr:uid="{00000000-0005-0000-0000-00000E000000}"/>
    <cellStyle name="Header2" xfId="6" xr:uid="{00000000-0005-0000-0000-00000F000000}"/>
    <cellStyle name="Header2 2" xfId="55" xr:uid="{00000000-0005-0000-0000-000010000000}"/>
    <cellStyle name="Hyperlink" xfId="20" builtinId="8"/>
    <cellStyle name="Hyperlink 2" xfId="46" xr:uid="{00000000-0005-0000-0000-000012000000}"/>
    <cellStyle name="Input [yellow]" xfId="7" xr:uid="{00000000-0005-0000-0000-000013000000}"/>
    <cellStyle name="Input [yellow] 2" xfId="36" xr:uid="{00000000-0005-0000-0000-000014000000}"/>
    <cellStyle name="Input [yellow] 3" xfId="53" xr:uid="{00000000-0005-0000-0000-000015000000}"/>
    <cellStyle name="Model" xfId="8" xr:uid="{00000000-0005-0000-0000-000016000000}"/>
    <cellStyle name="Model 2" xfId="30" xr:uid="{00000000-0005-0000-0000-000017000000}"/>
    <cellStyle name="Normal" xfId="0" builtinId="0" customBuiltin="1"/>
    <cellStyle name="Normal - Style1" xfId="9" xr:uid="{00000000-0005-0000-0000-000019000000}"/>
    <cellStyle name="Normal - Style1 2" xfId="21" xr:uid="{00000000-0005-0000-0000-00001A000000}"/>
    <cellStyle name="Normal - Style1 2 2" xfId="51" xr:uid="{00000000-0005-0000-0000-00001B000000}"/>
    <cellStyle name="Normal - Style1 3" xfId="52" xr:uid="{00000000-0005-0000-0000-00001C000000}"/>
    <cellStyle name="Normal 10" xfId="60" xr:uid="{00000000-0005-0000-0000-00001D000000}"/>
    <cellStyle name="Normal 11" xfId="61" xr:uid="{00000000-0005-0000-0000-00001E000000}"/>
    <cellStyle name="Normal 12" xfId="62" xr:uid="{00000000-0005-0000-0000-00001F000000}"/>
    <cellStyle name="Normal 13" xfId="63" xr:uid="{00000000-0005-0000-0000-000020000000}"/>
    <cellStyle name="Normal 14" xfId="64" xr:uid="{00000000-0005-0000-0000-000021000000}"/>
    <cellStyle name="Normal 15" xfId="65" xr:uid="{00000000-0005-0000-0000-000022000000}"/>
    <cellStyle name="Normal 2" xfId="19" xr:uid="{00000000-0005-0000-0000-000023000000}"/>
    <cellStyle name="Normal 2 2" xfId="34" xr:uid="{00000000-0005-0000-0000-000024000000}"/>
    <cellStyle name="Normal 2 3" xfId="50" xr:uid="{00000000-0005-0000-0000-000025000000}"/>
    <cellStyle name="Normal 3" xfId="23" xr:uid="{00000000-0005-0000-0000-000026000000}"/>
    <cellStyle name="Normal 3 2" xfId="35" xr:uid="{00000000-0005-0000-0000-000027000000}"/>
    <cellStyle name="Normal 4" xfId="24" xr:uid="{00000000-0005-0000-0000-000028000000}"/>
    <cellStyle name="Normal 4 2" xfId="32" xr:uid="{00000000-0005-0000-0000-000029000000}"/>
    <cellStyle name="Normal 4 3" xfId="48" xr:uid="{00000000-0005-0000-0000-00002A000000}"/>
    <cellStyle name="Normal 5" xfId="28" xr:uid="{00000000-0005-0000-0000-00002B000000}"/>
    <cellStyle name="Normal 5 2" xfId="31" xr:uid="{00000000-0005-0000-0000-00002C000000}"/>
    <cellStyle name="Normal 5 3" xfId="47" xr:uid="{00000000-0005-0000-0000-00002D000000}"/>
    <cellStyle name="Normal 6" xfId="45" xr:uid="{00000000-0005-0000-0000-00002E000000}"/>
    <cellStyle name="Normal 7" xfId="57" xr:uid="{00000000-0005-0000-0000-00002F000000}"/>
    <cellStyle name="Normal 8" xfId="58" xr:uid="{00000000-0005-0000-0000-000030000000}"/>
    <cellStyle name="Normal 9" xfId="59" xr:uid="{00000000-0005-0000-0000-000031000000}"/>
    <cellStyle name="Normal_ak" xfId="10" xr:uid="{00000000-0005-0000-0000-000032000000}"/>
    <cellStyle name="Normal_DTOAN_Tan Tay" xfId="11" xr:uid="{00000000-0005-0000-0000-000033000000}"/>
    <cellStyle name="Normal_DTOAN_Tan Thanh" xfId="12" xr:uid="{00000000-0005-0000-0000-000034000000}"/>
    <cellStyle name="Normal_DU TOANTICH THIEN2" xfId="13" xr:uid="{00000000-0005-0000-0000-000036000000}"/>
    <cellStyle name="Normal_DU TOANTICH THIEN2 2" xfId="71" xr:uid="{D325CD59-4C96-4BF1-A01F-61F606E071BF}"/>
    <cellStyle name="Normal_DuToan KCN3" xfId="27" xr:uid="{00000000-0005-0000-0000-000037000000}"/>
    <cellStyle name="Normal_Vinh Thanh" xfId="14" xr:uid="{00000000-0005-0000-0000-000038000000}"/>
    <cellStyle name="Normal_Vinh Thanh 2" xfId="70" xr:uid="{E3E665C1-55BA-4A52-A457-DD9C36909701}"/>
    <cellStyle name="Normal_Vinh Trach Dong(hc)" xfId="15" xr:uid="{00000000-0005-0000-0000-00003A000000}"/>
    <cellStyle name="Normal_Vinh Trach Dong(hc) 2" xfId="69" xr:uid="{B8F5C28A-1F15-4CE1-BDCD-7EC759C3DAD7}"/>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1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96</xdr:row>
      <xdr:rowOff>103106</xdr:rowOff>
    </xdr:from>
    <xdr:to>
      <xdr:col>193</xdr:col>
      <xdr:colOff>573741</xdr:colOff>
      <xdr:row>103</xdr:row>
      <xdr:rowOff>76455</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441153"/>
          <a:ext cx="11452038" cy="1488384"/>
          <a:chOff x="85725" y="16143193"/>
          <a:chExt cx="7563657" cy="1487584"/>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2930</xdr:row>
      <xdr:rowOff>0</xdr:rowOff>
    </xdr:from>
    <xdr:to>
      <xdr:col>11</xdr:col>
      <xdr:colOff>880284</xdr:colOff>
      <xdr:row>2947</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37221459"/>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224365</xdr:colOff>
      <xdr:row>2374</xdr:row>
      <xdr:rowOff>201082</xdr:rowOff>
    </xdr:from>
    <xdr:to>
      <xdr:col>18</xdr:col>
      <xdr:colOff>656166</xdr:colOff>
      <xdr:row>2391</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89765" y="28767615"/>
          <a:ext cx="9601201" cy="3391020"/>
          <a:chOff x="2753599" y="21685249"/>
          <a:chExt cx="980881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53599" y="21685249"/>
            <a:ext cx="9808817" cy="3356162"/>
            <a:chOff x="2586665" y="23593984"/>
            <a:chExt cx="9770983"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86665" y="23593984"/>
              <a:ext cx="9696971" cy="1979694"/>
              <a:chOff x="2321601" y="12302290"/>
              <a:chExt cx="8898900" cy="1979695"/>
            </a:xfrm>
          </xdr:grpSpPr>
          <xdr:sp macro="" textlink="WORD!Y2">
            <xdr:nvSpPr>
              <xdr:cNvPr id="23" name="TextBox 22">
                <a:extLst>
                  <a:ext uri="{FF2B5EF4-FFF2-40B4-BE49-F238E27FC236}">
                    <a16:creationId xmlns:a16="http://schemas.microsoft.com/office/drawing/2014/main" id="{00000000-0008-0000-0400-000017000000}"/>
                  </a:ext>
                </a:extLst>
              </xdr:cNvPr>
              <xdr:cNvSpPr txBox="1"/>
            </xdr:nvSpPr>
            <xdr:spPr>
              <a:xfrm>
                <a:off x="2321601" y="13583787"/>
                <a:ext cx="2850565" cy="6981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F07DE19-3F3A-4F5F-8F73-F6BDA6F6BE19}"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846673" y="2637421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Nguyễn Đăng Nam</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270309</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770529" y="46074107"/>
          <a:ext cx="11040036"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113</xdr:row>
      <xdr:rowOff>85729</xdr:rowOff>
    </xdr:from>
    <xdr:to>
      <xdr:col>6</xdr:col>
      <xdr:colOff>19049</xdr:colOff>
      <xdr:row>118</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45188509"/>
          <a:ext cx="9928859" cy="2162172"/>
          <a:chOff x="57150" y="35871154"/>
          <a:chExt cx="9410699" cy="2162172"/>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4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Nguyễn Đăng Nam</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5"/>
  <dimension ref="A1:J1974"/>
  <sheetViews>
    <sheetView showZeros="0" zoomScaleNormal="100" workbookViewId="0">
      <pane xSplit="3" ySplit="2" topLeftCell="D1960" activePane="bottomRight" state="frozen"/>
      <selection activeCell="C16" sqref="C16"/>
      <selection pane="topRight" activeCell="C16" sqref="C16"/>
      <selection pane="bottomLeft" activeCell="C16" sqref="C16"/>
      <selection pane="bottomRight" activeCell="A1972" sqref="A1972:A1974"/>
    </sheetView>
  </sheetViews>
  <sheetFormatPr defaultColWidth="8.90625" defaultRowHeight="13.2"/>
  <cols>
    <col min="1" max="1" width="15.36328125" style="1784" customWidth="1"/>
    <col min="2" max="2" width="9.81640625" style="1778" customWidth="1"/>
    <col min="3" max="3" width="58.453125" style="1784" customWidth="1"/>
    <col min="4" max="4" width="8.90625" style="55" customWidth="1"/>
    <col min="5" max="5" width="5.08984375" style="2238" customWidth="1"/>
    <col min="6" max="16384" width="8.90625" style="55"/>
  </cols>
  <sheetData>
    <row r="1" spans="1:10" s="1765" customFormat="1" ht="27.75" customHeight="1">
      <c r="A1" s="1154" t="s">
        <v>6178</v>
      </c>
      <c r="B1" s="1764" t="s">
        <v>2612</v>
      </c>
      <c r="C1" s="1763" t="s">
        <v>2613</v>
      </c>
      <c r="D1" s="1471" t="s">
        <v>2614</v>
      </c>
      <c r="E1" s="1913"/>
      <c r="F1" s="1765" t="s">
        <v>1712</v>
      </c>
      <c r="G1" s="1765" t="s">
        <v>4548</v>
      </c>
      <c r="H1" s="1765" t="s">
        <v>4866</v>
      </c>
      <c r="I1" s="1765" t="s">
        <v>4867</v>
      </c>
    </row>
    <row r="2" spans="1:10" s="1765" customFormat="1" ht="21.75" customHeight="1">
      <c r="A2" s="1763"/>
      <c r="B2" s="1764">
        <v>2</v>
      </c>
      <c r="C2" s="1763">
        <v>3</v>
      </c>
      <c r="D2" s="1471">
        <v>4</v>
      </c>
      <c r="E2" s="1913"/>
      <c r="F2" s="1765">
        <v>3000</v>
      </c>
    </row>
    <row r="3" spans="1:10">
      <c r="A3" s="79" t="s">
        <v>230</v>
      </c>
      <c r="B3" s="84" t="s">
        <v>1750</v>
      </c>
      <c r="C3" s="79" t="s">
        <v>2615</v>
      </c>
      <c r="D3" s="80" t="s">
        <v>2563</v>
      </c>
      <c r="E3" s="2238" t="str">
        <f>LEFT(A3,2)</f>
        <v>D1</v>
      </c>
      <c r="F3" s="55">
        <v>50</v>
      </c>
      <c r="G3" s="55" t="s">
        <v>512</v>
      </c>
      <c r="J3" s="55" t="str">
        <f>A3</f>
        <v>D12</v>
      </c>
    </row>
    <row r="4" spans="1:10">
      <c r="A4" s="79" t="s">
        <v>231</v>
      </c>
      <c r="B4" s="84" t="s">
        <v>220</v>
      </c>
      <c r="C4" s="79" t="s">
        <v>2616</v>
      </c>
      <c r="D4" s="80" t="s">
        <v>2563</v>
      </c>
      <c r="E4" s="2238" t="str">
        <f t="shared" ref="E4:E70" si="0">LEFT(A4,2)</f>
        <v>D1</v>
      </c>
      <c r="F4" s="55">
        <v>50</v>
      </c>
      <c r="G4" s="55" t="s">
        <v>512</v>
      </c>
      <c r="J4" s="55" t="str">
        <f t="shared" ref="J4:J68" si="1">A4</f>
        <v>D15</v>
      </c>
    </row>
    <row r="5" spans="1:10">
      <c r="A5" s="79" t="s">
        <v>163</v>
      </c>
      <c r="B5" s="84" t="s">
        <v>1561</v>
      </c>
      <c r="C5" s="79" t="s">
        <v>2617</v>
      </c>
      <c r="D5" s="80" t="s">
        <v>2563</v>
      </c>
      <c r="E5" s="2238" t="str">
        <f t="shared" si="0"/>
        <v>D2</v>
      </c>
      <c r="F5" s="55">
        <v>50</v>
      </c>
      <c r="G5" s="55" t="s">
        <v>512</v>
      </c>
      <c r="J5" s="55" t="str">
        <f t="shared" si="1"/>
        <v>D20</v>
      </c>
    </row>
    <row r="6" spans="1:10">
      <c r="A6" s="79" t="s">
        <v>1851</v>
      </c>
      <c r="B6" s="84" t="s">
        <v>1561</v>
      </c>
      <c r="C6" s="79" t="s">
        <v>2618</v>
      </c>
      <c r="D6" s="80" t="s">
        <v>2563</v>
      </c>
      <c r="E6" s="2238" t="str">
        <f t="shared" si="0"/>
        <v>D2</v>
      </c>
      <c r="F6" s="55">
        <v>50</v>
      </c>
      <c r="G6" s="55" t="s">
        <v>512</v>
      </c>
      <c r="J6" s="55" t="str">
        <f t="shared" si="1"/>
        <v>D25</v>
      </c>
    </row>
    <row r="7" spans="1:10">
      <c r="A7" s="79" t="s">
        <v>1261</v>
      </c>
      <c r="B7" s="84" t="s">
        <v>220</v>
      </c>
      <c r="C7" s="79" t="s">
        <v>2619</v>
      </c>
      <c r="D7" s="80" t="s">
        <v>2563</v>
      </c>
      <c r="E7" s="2238" t="str">
        <f t="shared" si="0"/>
        <v>DN</v>
      </c>
      <c r="F7" s="55">
        <v>50</v>
      </c>
      <c r="G7" s="55" t="s">
        <v>512</v>
      </c>
      <c r="J7" s="55" t="str">
        <f t="shared" si="1"/>
        <v>DN0212</v>
      </c>
    </row>
    <row r="8" spans="1:10">
      <c r="A8" s="79" t="s">
        <v>342</v>
      </c>
      <c r="B8" s="84" t="s">
        <v>220</v>
      </c>
      <c r="C8" s="79" t="s">
        <v>2620</v>
      </c>
      <c r="D8" s="80" t="s">
        <v>2563</v>
      </c>
      <c r="E8" s="2238" t="str">
        <f t="shared" si="0"/>
        <v>DN</v>
      </c>
      <c r="F8" s="55">
        <v>50</v>
      </c>
      <c r="G8" s="55" t="s">
        <v>512</v>
      </c>
      <c r="J8" s="55" t="str">
        <f t="shared" si="1"/>
        <v>DN0412</v>
      </c>
    </row>
    <row r="9" spans="1:10">
      <c r="A9" s="79" t="s">
        <v>2136</v>
      </c>
      <c r="B9" s="84" t="s">
        <v>1561</v>
      </c>
      <c r="C9" s="79" t="s">
        <v>2621</v>
      </c>
      <c r="D9" s="80" t="s">
        <v>2563</v>
      </c>
      <c r="E9" s="2238" t="str">
        <f t="shared" si="0"/>
        <v>DN</v>
      </c>
      <c r="F9" s="55">
        <v>50</v>
      </c>
      <c r="G9" s="55" t="s">
        <v>512</v>
      </c>
      <c r="J9" s="55" t="str">
        <f t="shared" si="1"/>
        <v>DN0415</v>
      </c>
    </row>
    <row r="10" spans="1:10">
      <c r="A10" s="79" t="s">
        <v>2137</v>
      </c>
      <c r="B10" s="84" t="s">
        <v>1561</v>
      </c>
      <c r="C10" s="79" t="s">
        <v>2622</v>
      </c>
      <c r="D10" s="80" t="s">
        <v>2563</v>
      </c>
      <c r="E10" s="2238" t="str">
        <f t="shared" si="0"/>
        <v>DN</v>
      </c>
      <c r="F10" s="55">
        <v>50</v>
      </c>
      <c r="G10" s="55" t="s">
        <v>512</v>
      </c>
      <c r="J10" s="55" t="str">
        <f t="shared" si="1"/>
        <v>DN0615</v>
      </c>
    </row>
    <row r="11" spans="1:10">
      <c r="A11" s="79" t="s">
        <v>1735</v>
      </c>
      <c r="B11" s="84" t="s">
        <v>1561</v>
      </c>
      <c r="C11" s="79" t="s">
        <v>2623</v>
      </c>
      <c r="D11" s="80" t="s">
        <v>2563</v>
      </c>
      <c r="E11" s="2238" t="str">
        <f t="shared" si="0"/>
        <v>DN</v>
      </c>
      <c r="F11" s="55">
        <v>50</v>
      </c>
      <c r="G11" s="55" t="s">
        <v>512</v>
      </c>
      <c r="J11" s="55" t="str">
        <f t="shared" si="1"/>
        <v>DN0618</v>
      </c>
    </row>
    <row r="12" spans="1:10">
      <c r="A12" s="79" t="s">
        <v>1077</v>
      </c>
      <c r="B12" s="84" t="s">
        <v>1561</v>
      </c>
      <c r="C12" s="79" t="s">
        <v>2624</v>
      </c>
      <c r="D12" s="80" t="s">
        <v>2563</v>
      </c>
      <c r="E12" s="2238" t="str">
        <f t="shared" si="0"/>
        <v>DN</v>
      </c>
      <c r="F12" s="55">
        <v>50</v>
      </c>
      <c r="G12" s="55" t="s">
        <v>512</v>
      </c>
      <c r="J12" s="55" t="str">
        <f t="shared" si="1"/>
        <v>DN1500</v>
      </c>
    </row>
    <row r="13" spans="1:10">
      <c r="A13" s="79" t="s">
        <v>1076</v>
      </c>
      <c r="B13" s="84" t="s">
        <v>220</v>
      </c>
      <c r="C13" s="79" t="s">
        <v>2625</v>
      </c>
      <c r="D13" s="80" t="s">
        <v>2563</v>
      </c>
      <c r="E13" s="2238" t="str">
        <f t="shared" si="0"/>
        <v>DN</v>
      </c>
      <c r="F13" s="55">
        <v>50</v>
      </c>
      <c r="G13" s="55" t="s">
        <v>512</v>
      </c>
      <c r="J13" s="55" t="str">
        <f t="shared" si="1"/>
        <v>DN1200</v>
      </c>
    </row>
    <row r="14" spans="1:10">
      <c r="A14" s="79" t="s">
        <v>1002</v>
      </c>
      <c r="B14" s="1767"/>
      <c r="C14" s="79" t="s">
        <v>2626</v>
      </c>
      <c r="D14" s="80" t="s">
        <v>2563</v>
      </c>
      <c r="E14" s="2238" t="str">
        <f t="shared" si="0"/>
        <v>BN</v>
      </c>
      <c r="F14" s="55">
        <v>50</v>
      </c>
      <c r="G14" s="55" t="s">
        <v>512</v>
      </c>
      <c r="J14" s="55" t="str">
        <f t="shared" si="1"/>
        <v>BNH</v>
      </c>
    </row>
    <row r="15" spans="1:10">
      <c r="A15" s="79" t="s">
        <v>378</v>
      </c>
      <c r="B15" s="1767"/>
      <c r="C15" s="79" t="s">
        <v>2627</v>
      </c>
      <c r="D15" s="80" t="s">
        <v>2563</v>
      </c>
      <c r="E15" s="2238" t="str">
        <f t="shared" si="0"/>
        <v>BB</v>
      </c>
      <c r="F15" s="55">
        <v>50</v>
      </c>
      <c r="G15" s="55" t="s">
        <v>512</v>
      </c>
      <c r="J15" s="55" t="str">
        <f t="shared" si="1"/>
        <v>BBD</v>
      </c>
    </row>
    <row r="16" spans="1:10">
      <c r="A16" s="79" t="s">
        <v>2177</v>
      </c>
      <c r="B16" s="1767"/>
      <c r="C16" s="79" t="s">
        <v>2628</v>
      </c>
      <c r="D16" s="80" t="s">
        <v>2445</v>
      </c>
      <c r="E16" s="2238" t="str">
        <f t="shared" si="0"/>
        <v>B4</v>
      </c>
      <c r="F16" s="55">
        <v>50</v>
      </c>
      <c r="G16" s="55" t="s">
        <v>512</v>
      </c>
      <c r="J16" s="55" t="str">
        <f t="shared" si="1"/>
        <v>B460</v>
      </c>
    </row>
    <row r="17" spans="1:10">
      <c r="A17" s="79" t="s">
        <v>790</v>
      </c>
      <c r="B17" s="1767"/>
      <c r="C17" s="79" t="s">
        <v>2629</v>
      </c>
      <c r="D17" s="80" t="s">
        <v>2445</v>
      </c>
      <c r="E17" s="2238" t="str">
        <f t="shared" si="0"/>
        <v>B6</v>
      </c>
      <c r="F17" s="55">
        <v>50</v>
      </c>
      <c r="G17" s="55" t="s">
        <v>512</v>
      </c>
      <c r="J17" s="55" t="str">
        <f t="shared" si="1"/>
        <v>B630</v>
      </c>
    </row>
    <row r="18" spans="1:10">
      <c r="A18" s="79" t="s">
        <v>743</v>
      </c>
      <c r="B18" s="1767"/>
      <c r="C18" s="79" t="s">
        <v>2630</v>
      </c>
      <c r="D18" s="80" t="s">
        <v>2445</v>
      </c>
      <c r="E18" s="2238" t="str">
        <f t="shared" si="0"/>
        <v>B1</v>
      </c>
      <c r="F18" s="55">
        <v>50</v>
      </c>
      <c r="G18" s="55" t="s">
        <v>512</v>
      </c>
      <c r="J18" s="55" t="str">
        <f t="shared" si="1"/>
        <v>B1030TH</v>
      </c>
    </row>
    <row r="19" spans="1:10">
      <c r="A19" s="79" t="s">
        <v>1801</v>
      </c>
      <c r="B19" s="1767"/>
      <c r="C19" s="79" t="s">
        <v>2631</v>
      </c>
      <c r="D19" s="80" t="s">
        <v>2445</v>
      </c>
      <c r="E19" s="2238" t="str">
        <f t="shared" si="0"/>
        <v>B1</v>
      </c>
      <c r="F19" s="55">
        <v>50</v>
      </c>
      <c r="G19" s="55" t="s">
        <v>512</v>
      </c>
      <c r="J19" s="55" t="str">
        <f t="shared" si="1"/>
        <v>B1040</v>
      </c>
    </row>
    <row r="20" spans="1:10">
      <c r="A20" s="79" t="s">
        <v>671</v>
      </c>
      <c r="B20" s="1767"/>
      <c r="C20" s="79" t="s">
        <v>2632</v>
      </c>
      <c r="D20" s="80" t="s">
        <v>2445</v>
      </c>
      <c r="E20" s="2238" t="str">
        <f t="shared" si="0"/>
        <v>B1</v>
      </c>
      <c r="F20" s="55">
        <v>50</v>
      </c>
      <c r="G20" s="55" t="s">
        <v>512</v>
      </c>
      <c r="J20" s="55" t="str">
        <f t="shared" si="1"/>
        <v>B1050</v>
      </c>
    </row>
    <row r="21" spans="1:10">
      <c r="A21" s="79" t="s">
        <v>468</v>
      </c>
      <c r="B21" s="1767"/>
      <c r="C21" s="79" t="s">
        <v>2633</v>
      </c>
      <c r="D21" s="80" t="s">
        <v>2445</v>
      </c>
      <c r="E21" s="2238" t="str">
        <f t="shared" si="0"/>
        <v>B1</v>
      </c>
      <c r="F21" s="55">
        <v>50</v>
      </c>
      <c r="G21" s="55" t="s">
        <v>512</v>
      </c>
      <c r="J21" s="55" t="str">
        <f t="shared" si="1"/>
        <v>B10250</v>
      </c>
    </row>
    <row r="22" spans="1:10">
      <c r="A22" s="79" t="s">
        <v>437</v>
      </c>
      <c r="B22" s="1767"/>
      <c r="C22" s="79" t="s">
        <v>2634</v>
      </c>
      <c r="D22" s="80" t="s">
        <v>2445</v>
      </c>
      <c r="E22" s="2238" t="str">
        <f t="shared" si="0"/>
        <v>B1</v>
      </c>
      <c r="F22" s="55">
        <v>50</v>
      </c>
      <c r="G22" s="55" t="s">
        <v>512</v>
      </c>
      <c r="J22" s="55" t="str">
        <f t="shared" si="1"/>
        <v>B1230</v>
      </c>
    </row>
    <row r="23" spans="1:10">
      <c r="A23" s="79" t="s">
        <v>138</v>
      </c>
      <c r="B23" s="1767"/>
      <c r="C23" s="79" t="s">
        <v>2635</v>
      </c>
      <c r="D23" s="80" t="s">
        <v>2445</v>
      </c>
      <c r="E23" s="2238" t="str">
        <f t="shared" si="0"/>
        <v>B1</v>
      </c>
      <c r="F23" s="55">
        <v>50</v>
      </c>
      <c r="G23" s="55" t="s">
        <v>512</v>
      </c>
      <c r="J23" s="55" t="str">
        <f t="shared" si="1"/>
        <v>B1240</v>
      </c>
    </row>
    <row r="24" spans="1:10">
      <c r="A24" s="79" t="s">
        <v>701</v>
      </c>
      <c r="B24" s="1767"/>
      <c r="C24" s="79" t="s">
        <v>2636</v>
      </c>
      <c r="D24" s="80" t="s">
        <v>2445</v>
      </c>
      <c r="E24" s="2238" t="str">
        <f t="shared" si="0"/>
        <v>B1</v>
      </c>
      <c r="F24" s="55">
        <v>50</v>
      </c>
      <c r="G24" s="55" t="s">
        <v>512</v>
      </c>
      <c r="J24" s="55" t="str">
        <f t="shared" si="1"/>
        <v>B1250</v>
      </c>
    </row>
    <row r="25" spans="1:10">
      <c r="A25" s="79" t="s">
        <v>1989</v>
      </c>
      <c r="B25" s="1767"/>
      <c r="C25" s="79" t="s">
        <v>2637</v>
      </c>
      <c r="D25" s="80" t="s">
        <v>2445</v>
      </c>
      <c r="E25" s="2238" t="str">
        <f t="shared" si="0"/>
        <v>B1</v>
      </c>
      <c r="F25" s="55">
        <v>50</v>
      </c>
      <c r="G25" s="55" t="s">
        <v>512</v>
      </c>
      <c r="J25" s="55" t="str">
        <f t="shared" si="1"/>
        <v>B1260</v>
      </c>
    </row>
    <row r="26" spans="1:10">
      <c r="A26" s="79" t="s">
        <v>1167</v>
      </c>
      <c r="B26" s="1767"/>
      <c r="C26" s="79" t="s">
        <v>2638</v>
      </c>
      <c r="D26" s="80" t="s">
        <v>2445</v>
      </c>
      <c r="E26" s="2238" t="str">
        <f t="shared" si="0"/>
        <v>B1</v>
      </c>
      <c r="F26" s="55">
        <v>50</v>
      </c>
      <c r="G26" s="55" t="s">
        <v>512</v>
      </c>
      <c r="J26" s="55" t="str">
        <f t="shared" si="1"/>
        <v>B1280</v>
      </c>
    </row>
    <row r="27" spans="1:10">
      <c r="A27" s="79" t="s">
        <v>2276</v>
      </c>
      <c r="B27" s="1767"/>
      <c r="C27" s="79" t="s">
        <v>2639</v>
      </c>
      <c r="D27" s="80" t="s">
        <v>2445</v>
      </c>
      <c r="E27" s="2238" t="str">
        <f t="shared" si="0"/>
        <v>B1</v>
      </c>
      <c r="F27" s="55">
        <v>50</v>
      </c>
      <c r="G27" s="55" t="s">
        <v>512</v>
      </c>
      <c r="J27" s="55" t="str">
        <f t="shared" si="1"/>
        <v>B12100</v>
      </c>
    </row>
    <row r="28" spans="1:10">
      <c r="A28" s="79" t="s">
        <v>1246</v>
      </c>
      <c r="B28" s="1767"/>
      <c r="C28" s="79" t="s">
        <v>2640</v>
      </c>
      <c r="D28" s="80" t="s">
        <v>2445</v>
      </c>
      <c r="E28" s="2238" t="str">
        <f t="shared" si="0"/>
        <v>B1</v>
      </c>
      <c r="F28" s="55">
        <v>50</v>
      </c>
      <c r="G28" s="55" t="s">
        <v>512</v>
      </c>
      <c r="J28" s="55" t="str">
        <f t="shared" si="1"/>
        <v>B12150</v>
      </c>
    </row>
    <row r="29" spans="1:10">
      <c r="A29" s="79" t="s">
        <v>2179</v>
      </c>
      <c r="B29" s="1767"/>
      <c r="C29" s="79" t="s">
        <v>2641</v>
      </c>
      <c r="D29" s="80" t="s">
        <v>2445</v>
      </c>
      <c r="E29" s="2238" t="str">
        <f t="shared" si="0"/>
        <v>B1</v>
      </c>
      <c r="F29" s="55">
        <v>50</v>
      </c>
      <c r="G29" s="55" t="s">
        <v>512</v>
      </c>
      <c r="J29" s="55" t="str">
        <f t="shared" si="1"/>
        <v>B12200</v>
      </c>
    </row>
    <row r="30" spans="1:10">
      <c r="A30" s="79" t="s">
        <v>498</v>
      </c>
      <c r="B30" s="1767"/>
      <c r="C30" s="79" t="s">
        <v>2642</v>
      </c>
      <c r="D30" s="80" t="s">
        <v>2445</v>
      </c>
      <c r="E30" s="2238" t="str">
        <f t="shared" si="0"/>
        <v>B1</v>
      </c>
      <c r="F30" s="55">
        <v>50</v>
      </c>
      <c r="G30" s="55" t="s">
        <v>512</v>
      </c>
      <c r="J30" s="55" t="str">
        <f t="shared" si="1"/>
        <v>B1230TH</v>
      </c>
    </row>
    <row r="31" spans="1:10">
      <c r="A31" s="79" t="s">
        <v>499</v>
      </c>
      <c r="B31" s="1767"/>
      <c r="C31" s="79" t="s">
        <v>2643</v>
      </c>
      <c r="D31" s="80" t="s">
        <v>2445</v>
      </c>
      <c r="E31" s="2238" t="str">
        <f t="shared" si="0"/>
        <v>B1</v>
      </c>
      <c r="F31" s="55">
        <v>50</v>
      </c>
      <c r="G31" s="55" t="s">
        <v>512</v>
      </c>
      <c r="J31" s="55" t="str">
        <f t="shared" si="1"/>
        <v>B1240TH</v>
      </c>
    </row>
    <row r="32" spans="1:10">
      <c r="A32" s="79" t="s">
        <v>916</v>
      </c>
      <c r="B32" s="1767"/>
      <c r="C32" s="79" t="s">
        <v>2644</v>
      </c>
      <c r="D32" s="80" t="s">
        <v>2445</v>
      </c>
      <c r="E32" s="2238" t="str">
        <f t="shared" si="0"/>
        <v>B1</v>
      </c>
      <c r="F32" s="55">
        <v>50</v>
      </c>
      <c r="G32" s="55" t="s">
        <v>512</v>
      </c>
      <c r="J32" s="55" t="str">
        <f t="shared" si="1"/>
        <v>B1250TH</v>
      </c>
    </row>
    <row r="33" spans="1:10">
      <c r="A33" s="79" t="s">
        <v>4541</v>
      </c>
      <c r="B33" s="1767"/>
      <c r="C33" s="79" t="s">
        <v>4542</v>
      </c>
      <c r="D33" s="80" t="s">
        <v>2445</v>
      </c>
      <c r="E33" s="2238" t="str">
        <f t="shared" ref="E33" si="2">LEFT(A33,2)</f>
        <v>B1</v>
      </c>
      <c r="F33" s="55">
        <v>50</v>
      </c>
      <c r="G33" s="55" t="s">
        <v>512</v>
      </c>
      <c r="J33" s="55" t="str">
        <f t="shared" si="1"/>
        <v>B14100</v>
      </c>
    </row>
    <row r="34" spans="1:10">
      <c r="A34" s="79" t="s">
        <v>4359</v>
      </c>
      <c r="B34" s="1767"/>
      <c r="C34" s="79" t="s">
        <v>4360</v>
      </c>
      <c r="D34" s="80" t="s">
        <v>2445</v>
      </c>
      <c r="E34" s="2238" t="str">
        <f t="shared" si="0"/>
        <v>B1</v>
      </c>
      <c r="F34" s="55">
        <v>50</v>
      </c>
      <c r="G34" s="55" t="s">
        <v>512</v>
      </c>
      <c r="J34" s="55" t="str">
        <f t="shared" si="1"/>
        <v>B14150</v>
      </c>
    </row>
    <row r="35" spans="1:10">
      <c r="A35" s="79" t="s">
        <v>1789</v>
      </c>
      <c r="B35" s="1767"/>
      <c r="C35" s="79" t="s">
        <v>2645</v>
      </c>
      <c r="D35" s="80" t="s">
        <v>2445</v>
      </c>
      <c r="E35" s="2238" t="str">
        <f t="shared" si="0"/>
        <v>B1</v>
      </c>
      <c r="F35" s="55">
        <v>50</v>
      </c>
      <c r="G35" s="55" t="s">
        <v>512</v>
      </c>
      <c r="J35" s="55" t="str">
        <f t="shared" si="1"/>
        <v>B1635</v>
      </c>
    </row>
    <row r="36" spans="1:10">
      <c r="A36" s="79" t="s">
        <v>2155</v>
      </c>
      <c r="B36" s="1767"/>
      <c r="C36" s="79" t="s">
        <v>2646</v>
      </c>
      <c r="D36" s="80" t="s">
        <v>2445</v>
      </c>
      <c r="E36" s="2238" t="str">
        <f t="shared" si="0"/>
        <v>B1</v>
      </c>
      <c r="F36" s="55">
        <v>50</v>
      </c>
      <c r="G36" s="55" t="s">
        <v>512</v>
      </c>
      <c r="J36" s="55" t="str">
        <f t="shared" si="1"/>
        <v>B1640</v>
      </c>
    </row>
    <row r="37" spans="1:10">
      <c r="A37" s="1768" t="s">
        <v>1790</v>
      </c>
      <c r="B37" s="84"/>
      <c r="C37" s="79" t="s">
        <v>2647</v>
      </c>
      <c r="D37" s="80" t="s">
        <v>2445</v>
      </c>
      <c r="E37" s="2238" t="str">
        <f t="shared" si="0"/>
        <v>B1</v>
      </c>
      <c r="F37" s="55">
        <v>50</v>
      </c>
      <c r="G37" s="55" t="s">
        <v>512</v>
      </c>
      <c r="J37" s="55" t="str">
        <f t="shared" si="1"/>
        <v>B1650</v>
      </c>
    </row>
    <row r="38" spans="1:10">
      <c r="A38" s="1768" t="s">
        <v>802</v>
      </c>
      <c r="B38" s="84"/>
      <c r="C38" s="79" t="s">
        <v>2648</v>
      </c>
      <c r="D38" s="80" t="s">
        <v>2445</v>
      </c>
      <c r="E38" s="2238" t="str">
        <f t="shared" si="0"/>
        <v>B1</v>
      </c>
      <c r="F38" s="55">
        <v>50</v>
      </c>
      <c r="G38" s="55" t="s">
        <v>512</v>
      </c>
      <c r="J38" s="55" t="str">
        <f t="shared" si="1"/>
        <v>B16100</v>
      </c>
    </row>
    <row r="39" spans="1:10">
      <c r="A39" s="1768" t="s">
        <v>244</v>
      </c>
      <c r="B39" s="84"/>
      <c r="C39" s="79" t="s">
        <v>2649</v>
      </c>
      <c r="D39" s="80" t="s">
        <v>2445</v>
      </c>
      <c r="E39" s="2238" t="str">
        <f t="shared" si="0"/>
        <v>B1</v>
      </c>
      <c r="F39" s="55">
        <v>50</v>
      </c>
      <c r="G39" s="55" t="s">
        <v>512</v>
      </c>
      <c r="J39" s="55" t="str">
        <f t="shared" si="1"/>
        <v>B16150</v>
      </c>
    </row>
    <row r="40" spans="1:10">
      <c r="A40" s="1768" t="s">
        <v>137</v>
      </c>
      <c r="B40" s="84"/>
      <c r="C40" s="79" t="s">
        <v>2650</v>
      </c>
      <c r="D40" s="80" t="s">
        <v>2445</v>
      </c>
      <c r="E40" s="2238" t="str">
        <f t="shared" si="0"/>
        <v>B1</v>
      </c>
      <c r="F40" s="55">
        <v>50</v>
      </c>
      <c r="G40" s="55" t="s">
        <v>512</v>
      </c>
      <c r="J40" s="55" t="str">
        <f t="shared" si="1"/>
        <v>B16200</v>
      </c>
    </row>
    <row r="41" spans="1:10">
      <c r="A41" s="79" t="s">
        <v>1897</v>
      </c>
      <c r="B41" s="1767"/>
      <c r="C41" s="79" t="s">
        <v>2651</v>
      </c>
      <c r="D41" s="80" t="s">
        <v>2445</v>
      </c>
      <c r="E41" s="2238" t="str">
        <f t="shared" si="0"/>
        <v>B1</v>
      </c>
      <c r="F41" s="55">
        <v>50</v>
      </c>
      <c r="G41" s="55" t="s">
        <v>512</v>
      </c>
      <c r="J41" s="55" t="str">
        <f t="shared" si="1"/>
        <v>B16230</v>
      </c>
    </row>
    <row r="42" spans="1:10">
      <c r="A42" s="1768" t="s">
        <v>1898</v>
      </c>
      <c r="B42" s="84"/>
      <c r="C42" s="79" t="s">
        <v>2652</v>
      </c>
      <c r="D42" s="80" t="s">
        <v>2445</v>
      </c>
      <c r="E42" s="2238" t="str">
        <f t="shared" si="0"/>
        <v>B1</v>
      </c>
      <c r="F42" s="55">
        <v>50</v>
      </c>
      <c r="G42" s="55" t="s">
        <v>512</v>
      </c>
      <c r="J42" s="55" t="str">
        <f t="shared" si="1"/>
        <v>B16240</v>
      </c>
    </row>
    <row r="43" spans="1:10">
      <c r="A43" s="79" t="s">
        <v>1612</v>
      </c>
      <c r="B43" s="1767"/>
      <c r="C43" s="79" t="s">
        <v>2653</v>
      </c>
      <c r="D43" s="80" t="s">
        <v>2445</v>
      </c>
      <c r="E43" s="2238" t="str">
        <f t="shared" si="0"/>
        <v>B1</v>
      </c>
      <c r="F43" s="55">
        <v>50</v>
      </c>
      <c r="G43" s="55" t="s">
        <v>512</v>
      </c>
      <c r="J43" s="55" t="str">
        <f t="shared" si="1"/>
        <v>B16250</v>
      </c>
    </row>
    <row r="44" spans="1:10">
      <c r="A44" s="79" t="s">
        <v>321</v>
      </c>
      <c r="B44" s="1767"/>
      <c r="C44" s="79" t="s">
        <v>2654</v>
      </c>
      <c r="D44" s="80" t="s">
        <v>2445</v>
      </c>
      <c r="E44" s="2238" t="str">
        <f t="shared" si="0"/>
        <v>B1</v>
      </c>
      <c r="F44" s="55">
        <v>50</v>
      </c>
      <c r="G44" s="55" t="s">
        <v>512</v>
      </c>
      <c r="J44" s="55" t="str">
        <f t="shared" si="1"/>
        <v>B16260</v>
      </c>
    </row>
    <row r="45" spans="1:10">
      <c r="A45" s="79" t="s">
        <v>340</v>
      </c>
      <c r="B45" s="1767"/>
      <c r="C45" s="79" t="s">
        <v>2655</v>
      </c>
      <c r="D45" s="80" t="s">
        <v>2445</v>
      </c>
      <c r="E45" s="2238" t="str">
        <f t="shared" si="0"/>
        <v>B1</v>
      </c>
      <c r="F45" s="55">
        <v>50</v>
      </c>
      <c r="G45" s="55" t="s">
        <v>512</v>
      </c>
      <c r="J45" s="55" t="str">
        <f t="shared" si="1"/>
        <v>B16270</v>
      </c>
    </row>
    <row r="46" spans="1:10">
      <c r="A46" s="1768" t="s">
        <v>322</v>
      </c>
      <c r="B46" s="84"/>
      <c r="C46" s="79" t="s">
        <v>2656</v>
      </c>
      <c r="D46" s="80" t="s">
        <v>2445</v>
      </c>
      <c r="E46" s="2238" t="str">
        <f t="shared" si="0"/>
        <v>B1</v>
      </c>
      <c r="F46" s="55">
        <v>50</v>
      </c>
      <c r="G46" s="55" t="s">
        <v>512</v>
      </c>
      <c r="J46" s="55" t="str">
        <f t="shared" si="1"/>
        <v>B16280</v>
      </c>
    </row>
    <row r="47" spans="1:10">
      <c r="A47" s="79" t="s">
        <v>1613</v>
      </c>
      <c r="B47" s="1767"/>
      <c r="C47" s="79" t="s">
        <v>2657</v>
      </c>
      <c r="D47" s="80" t="s">
        <v>2445</v>
      </c>
      <c r="E47" s="2238" t="str">
        <f t="shared" si="0"/>
        <v>B1</v>
      </c>
      <c r="F47" s="55">
        <v>50</v>
      </c>
      <c r="G47" s="55" t="s">
        <v>512</v>
      </c>
      <c r="J47" s="55" t="str">
        <f t="shared" si="1"/>
        <v>B16300</v>
      </c>
    </row>
    <row r="48" spans="1:10">
      <c r="A48" s="1768" t="s">
        <v>699</v>
      </c>
      <c r="B48" s="84"/>
      <c r="C48" s="79" t="s">
        <v>2658</v>
      </c>
      <c r="D48" s="80" t="s">
        <v>2445</v>
      </c>
      <c r="E48" s="2238" t="str">
        <f t="shared" si="0"/>
        <v>B1</v>
      </c>
      <c r="F48" s="55">
        <v>50</v>
      </c>
      <c r="G48" s="55" t="s">
        <v>512</v>
      </c>
      <c r="J48" s="55" t="str">
        <f t="shared" si="1"/>
        <v>B16320</v>
      </c>
    </row>
    <row r="49" spans="1:10">
      <c r="A49" s="1768" t="s">
        <v>1079</v>
      </c>
      <c r="B49" s="84"/>
      <c r="C49" s="79" t="s">
        <v>2659</v>
      </c>
      <c r="D49" s="80" t="s">
        <v>2445</v>
      </c>
      <c r="E49" s="2238" t="str">
        <f t="shared" si="0"/>
        <v>B1</v>
      </c>
      <c r="F49" s="55">
        <v>50</v>
      </c>
      <c r="G49" s="55" t="s">
        <v>512</v>
      </c>
      <c r="J49" s="55" t="str">
        <f t="shared" si="1"/>
        <v>B16350</v>
      </c>
    </row>
    <row r="50" spans="1:10">
      <c r="A50" s="1768" t="s">
        <v>1083</v>
      </c>
      <c r="B50" s="84"/>
      <c r="C50" s="79" t="s">
        <v>2660</v>
      </c>
      <c r="D50" s="80" t="s">
        <v>2445</v>
      </c>
      <c r="E50" s="2238" t="str">
        <f t="shared" si="0"/>
        <v>B1</v>
      </c>
      <c r="F50" s="55">
        <v>50</v>
      </c>
      <c r="G50" s="55" t="s">
        <v>512</v>
      </c>
      <c r="J50" s="55" t="str">
        <f t="shared" si="1"/>
        <v>B16400</v>
      </c>
    </row>
    <row r="51" spans="1:10">
      <c r="A51" s="1768" t="s">
        <v>323</v>
      </c>
      <c r="B51" s="84"/>
      <c r="C51" s="79" t="s">
        <v>2661</v>
      </c>
      <c r="D51" s="80" t="s">
        <v>2445</v>
      </c>
      <c r="E51" s="2238" t="str">
        <f t="shared" si="0"/>
        <v>B1</v>
      </c>
      <c r="F51" s="55">
        <v>50</v>
      </c>
      <c r="G51" s="55" t="s">
        <v>512</v>
      </c>
      <c r="J51" s="55" t="str">
        <f t="shared" si="1"/>
        <v>B16450</v>
      </c>
    </row>
    <row r="52" spans="1:10">
      <c r="A52" s="1768" t="s">
        <v>1542</v>
      </c>
      <c r="B52" s="84"/>
      <c r="C52" s="79" t="s">
        <v>2662</v>
      </c>
      <c r="D52" s="80" t="s">
        <v>2445</v>
      </c>
      <c r="E52" s="2238" t="str">
        <f t="shared" si="0"/>
        <v>B1</v>
      </c>
      <c r="F52" s="55">
        <v>50</v>
      </c>
      <c r="G52" s="55" t="s">
        <v>512</v>
      </c>
      <c r="J52" s="55" t="str">
        <f t="shared" si="1"/>
        <v>B16500</v>
      </c>
    </row>
    <row r="53" spans="1:10">
      <c r="A53" s="1768" t="s">
        <v>1786</v>
      </c>
      <c r="B53" s="84"/>
      <c r="C53" s="79" t="s">
        <v>2663</v>
      </c>
      <c r="D53" s="80" t="s">
        <v>2445</v>
      </c>
      <c r="E53" s="2238" t="str">
        <f t="shared" si="0"/>
        <v>B1</v>
      </c>
      <c r="F53" s="55">
        <v>50</v>
      </c>
      <c r="G53" s="55" t="s">
        <v>512</v>
      </c>
      <c r="J53" s="55" t="str">
        <f t="shared" si="1"/>
        <v>B16600</v>
      </c>
    </row>
    <row r="54" spans="1:10">
      <c r="A54" s="79" t="s">
        <v>1896</v>
      </c>
      <c r="B54" s="1767"/>
      <c r="C54" s="79" t="s">
        <v>2664</v>
      </c>
      <c r="D54" s="80" t="s">
        <v>2445</v>
      </c>
      <c r="E54" s="2238" t="str">
        <f t="shared" si="0"/>
        <v>B1</v>
      </c>
      <c r="F54" s="55">
        <v>50</v>
      </c>
      <c r="G54" s="55" t="s">
        <v>512</v>
      </c>
      <c r="J54" s="55" t="str">
        <f t="shared" si="1"/>
        <v>B1680V</v>
      </c>
    </row>
    <row r="55" spans="1:10">
      <c r="A55" s="1768" t="s">
        <v>1895</v>
      </c>
      <c r="B55" s="84"/>
      <c r="C55" s="79" t="s">
        <v>2665</v>
      </c>
      <c r="D55" s="80" t="s">
        <v>2445</v>
      </c>
      <c r="E55" s="2238" t="str">
        <f t="shared" si="0"/>
        <v>B1</v>
      </c>
      <c r="F55" s="55">
        <v>50</v>
      </c>
      <c r="G55" s="55" t="s">
        <v>512</v>
      </c>
      <c r="J55" s="55" t="str">
        <f t="shared" si="1"/>
        <v>B16100V</v>
      </c>
    </row>
    <row r="56" spans="1:10">
      <c r="A56" s="79" t="s">
        <v>1787</v>
      </c>
      <c r="B56" s="1767"/>
      <c r="C56" s="79" t="s">
        <v>2666</v>
      </c>
      <c r="D56" s="80" t="s">
        <v>2445</v>
      </c>
      <c r="E56" s="2238" t="str">
        <f t="shared" si="0"/>
        <v>B1</v>
      </c>
      <c r="F56" s="55">
        <v>50</v>
      </c>
      <c r="G56" s="55" t="s">
        <v>512</v>
      </c>
      <c r="J56" s="55" t="str">
        <f t="shared" si="1"/>
        <v>B16200V</v>
      </c>
    </row>
    <row r="57" spans="1:10">
      <c r="A57" s="79" t="s">
        <v>1729</v>
      </c>
      <c r="B57" s="1767"/>
      <c r="C57" s="79" t="s">
        <v>2667</v>
      </c>
      <c r="D57" s="80" t="s">
        <v>2445</v>
      </c>
      <c r="E57" s="2238" t="str">
        <f t="shared" si="0"/>
        <v>B1</v>
      </c>
      <c r="F57" s="55">
        <v>50</v>
      </c>
      <c r="G57" s="55" t="s">
        <v>512</v>
      </c>
      <c r="J57" s="55" t="str">
        <f t="shared" si="1"/>
        <v>B16250V</v>
      </c>
    </row>
    <row r="58" spans="1:10">
      <c r="A58" s="79" t="s">
        <v>1788</v>
      </c>
      <c r="B58" s="1767"/>
      <c r="C58" s="79" t="s">
        <v>2668</v>
      </c>
      <c r="D58" s="80" t="s">
        <v>2445</v>
      </c>
      <c r="E58" s="2238" t="str">
        <f t="shared" si="0"/>
        <v>B1</v>
      </c>
      <c r="F58" s="55">
        <v>50</v>
      </c>
      <c r="G58" s="55" t="s">
        <v>512</v>
      </c>
      <c r="J58" s="55" t="str">
        <f t="shared" si="1"/>
        <v>B16300V</v>
      </c>
    </row>
    <row r="59" spans="1:10">
      <c r="A59" s="79" t="s">
        <v>968</v>
      </c>
      <c r="B59" s="1767"/>
      <c r="C59" s="79" t="s">
        <v>2669</v>
      </c>
      <c r="D59" s="80" t="s">
        <v>2445</v>
      </c>
      <c r="E59" s="2238" t="str">
        <f t="shared" si="0"/>
        <v>B1</v>
      </c>
      <c r="F59" s="55">
        <v>50</v>
      </c>
      <c r="G59" s="55" t="s">
        <v>512</v>
      </c>
      <c r="J59" s="55" t="str">
        <f t="shared" si="1"/>
        <v>B16350V</v>
      </c>
    </row>
    <row r="60" spans="1:10">
      <c r="A60" s="1768" t="s">
        <v>1785</v>
      </c>
      <c r="B60" s="84"/>
      <c r="C60" s="79" t="s">
        <v>2670</v>
      </c>
      <c r="D60" s="80" t="s">
        <v>2445</v>
      </c>
      <c r="E60" s="2238" t="str">
        <f t="shared" si="0"/>
        <v>B1</v>
      </c>
      <c r="F60" s="55">
        <v>50</v>
      </c>
      <c r="G60" s="55" t="s">
        <v>512</v>
      </c>
      <c r="J60" s="55" t="str">
        <f t="shared" si="1"/>
        <v>B16400v</v>
      </c>
    </row>
    <row r="61" spans="1:10">
      <c r="A61" s="79" t="s">
        <v>1168</v>
      </c>
      <c r="B61" s="1767"/>
      <c r="C61" s="79" t="s">
        <v>2671</v>
      </c>
      <c r="D61" s="80" t="s">
        <v>2445</v>
      </c>
      <c r="E61" s="2238" t="str">
        <f t="shared" ref="E61" si="3">LEFT(A61,2)</f>
        <v>B1</v>
      </c>
      <c r="F61" s="55">
        <v>50</v>
      </c>
      <c r="G61" s="55" t="s">
        <v>512</v>
      </c>
      <c r="J61" s="55" t="str">
        <f t="shared" si="1"/>
        <v>B16500V</v>
      </c>
    </row>
    <row r="62" spans="1:10">
      <c r="A62" s="79" t="s">
        <v>4862</v>
      </c>
      <c r="B62" s="1767"/>
      <c r="C62" s="79" t="s">
        <v>4863</v>
      </c>
      <c r="D62" s="80" t="s">
        <v>2445</v>
      </c>
      <c r="E62" s="2238" t="str">
        <f t="shared" si="0"/>
        <v>B1</v>
      </c>
      <c r="F62" s="55">
        <v>50</v>
      </c>
      <c r="G62" s="55" t="s">
        <v>512</v>
      </c>
      <c r="J62" s="55" t="str">
        <f t="shared" si="1"/>
        <v>B16450V</v>
      </c>
    </row>
    <row r="63" spans="1:10">
      <c r="A63" s="79" t="s">
        <v>1384</v>
      </c>
      <c r="B63" s="1767"/>
      <c r="C63" s="79" t="s">
        <v>2672</v>
      </c>
      <c r="D63" s="80" t="s">
        <v>2445</v>
      </c>
      <c r="E63" s="2238" t="str">
        <f t="shared" ref="E63" si="4">LEFT(A63,2)</f>
        <v>B1</v>
      </c>
      <c r="F63" s="55">
        <v>50</v>
      </c>
      <c r="G63" s="55" t="s">
        <v>512</v>
      </c>
      <c r="J63" s="55" t="str">
        <f t="shared" ref="J63" si="5">A63</f>
        <v>B16550V</v>
      </c>
    </row>
    <row r="64" spans="1:10">
      <c r="A64" s="79" t="s">
        <v>5009</v>
      </c>
      <c r="B64" s="1767"/>
      <c r="C64" s="79" t="s">
        <v>5043</v>
      </c>
      <c r="D64" s="80" t="s">
        <v>2445</v>
      </c>
      <c r="E64" s="2238" t="str">
        <f t="shared" si="0"/>
        <v>B1</v>
      </c>
      <c r="F64" s="55">
        <v>50</v>
      </c>
      <c r="G64" s="55" t="s">
        <v>512</v>
      </c>
      <c r="J64" s="55" t="str">
        <f t="shared" si="1"/>
        <v>B16550</v>
      </c>
    </row>
    <row r="65" spans="1:10">
      <c r="A65" s="79" t="s">
        <v>1383</v>
      </c>
      <c r="B65" s="1767"/>
      <c r="C65" s="79" t="s">
        <v>2673</v>
      </c>
      <c r="D65" s="80" t="s">
        <v>2445</v>
      </c>
      <c r="E65" s="2238" t="str">
        <f t="shared" si="0"/>
        <v>B1</v>
      </c>
      <c r="F65" s="55">
        <v>50</v>
      </c>
      <c r="G65" s="55" t="s">
        <v>512</v>
      </c>
      <c r="J65" s="55" t="str">
        <f t="shared" si="1"/>
        <v>B16600V</v>
      </c>
    </row>
    <row r="66" spans="1:10">
      <c r="A66" s="79" t="s">
        <v>1543</v>
      </c>
      <c r="B66" s="1767"/>
      <c r="C66" s="79" t="s">
        <v>2674</v>
      </c>
      <c r="D66" s="80" t="s">
        <v>2445</v>
      </c>
      <c r="E66" s="2238" t="str">
        <f t="shared" si="0"/>
        <v>B1</v>
      </c>
      <c r="F66" s="55">
        <v>50</v>
      </c>
      <c r="G66" s="55" t="s">
        <v>512</v>
      </c>
      <c r="J66" s="55" t="str">
        <f t="shared" si="1"/>
        <v>B16650V</v>
      </c>
    </row>
    <row r="67" spans="1:10">
      <c r="A67" s="79" t="s">
        <v>2165</v>
      </c>
      <c r="B67" s="1767"/>
      <c r="C67" s="79" t="s">
        <v>2675</v>
      </c>
      <c r="D67" s="80" t="s">
        <v>2445</v>
      </c>
      <c r="E67" s="2238" t="str">
        <f t="shared" si="0"/>
        <v>B1</v>
      </c>
      <c r="F67" s="55">
        <v>50</v>
      </c>
      <c r="G67" s="55" t="s">
        <v>512</v>
      </c>
      <c r="J67" s="55" t="str">
        <f t="shared" si="1"/>
        <v>B16700V</v>
      </c>
    </row>
    <row r="68" spans="1:10">
      <c r="A68" s="79" t="s">
        <v>395</v>
      </c>
      <c r="B68" s="1767"/>
      <c r="C68" s="79" t="s">
        <v>2676</v>
      </c>
      <c r="D68" s="80" t="s">
        <v>2445</v>
      </c>
      <c r="E68" s="2238" t="str">
        <f t="shared" si="0"/>
        <v>B2</v>
      </c>
      <c r="F68" s="55">
        <v>50</v>
      </c>
      <c r="G68" s="55" t="s">
        <v>512</v>
      </c>
      <c r="J68" s="55" t="str">
        <f t="shared" si="1"/>
        <v>B22260</v>
      </c>
    </row>
    <row r="69" spans="1:10">
      <c r="A69" s="79" t="s">
        <v>1169</v>
      </c>
      <c r="B69" s="1767"/>
      <c r="C69" s="79" t="s">
        <v>2677</v>
      </c>
      <c r="D69" s="80" t="s">
        <v>2445</v>
      </c>
      <c r="E69" s="2238" t="str">
        <f t="shared" si="0"/>
        <v>B2</v>
      </c>
      <c r="F69" s="55">
        <v>50</v>
      </c>
      <c r="G69" s="55" t="s">
        <v>512</v>
      </c>
      <c r="J69" s="55" t="str">
        <f t="shared" ref="J69:J133" si="6">A69</f>
        <v>B22450</v>
      </c>
    </row>
    <row r="70" spans="1:10">
      <c r="A70" s="1768" t="s">
        <v>396</v>
      </c>
      <c r="B70" s="84"/>
      <c r="C70" s="79" t="s">
        <v>2678</v>
      </c>
      <c r="D70" s="80" t="s">
        <v>2445</v>
      </c>
      <c r="E70" s="2238" t="str">
        <f t="shared" si="0"/>
        <v>B2</v>
      </c>
      <c r="F70" s="55">
        <v>50</v>
      </c>
      <c r="G70" s="55" t="s">
        <v>512</v>
      </c>
      <c r="J70" s="55" t="str">
        <f t="shared" si="6"/>
        <v>B22500</v>
      </c>
    </row>
    <row r="71" spans="1:10">
      <c r="A71" s="1768" t="s">
        <v>397</v>
      </c>
      <c r="B71" s="84"/>
      <c r="C71" s="79" t="s">
        <v>2679</v>
      </c>
      <c r="D71" s="80" t="s">
        <v>2445</v>
      </c>
      <c r="E71" s="2238" t="str">
        <f t="shared" ref="E71:E135" si="7">LEFT(A71,2)</f>
        <v>B2</v>
      </c>
      <c r="F71" s="55">
        <v>50</v>
      </c>
      <c r="G71" s="55" t="s">
        <v>512</v>
      </c>
      <c r="J71" s="55" t="str">
        <f t="shared" si="6"/>
        <v>B22550</v>
      </c>
    </row>
    <row r="72" spans="1:10">
      <c r="A72" s="79" t="s">
        <v>785</v>
      </c>
      <c r="B72" s="1767" t="s">
        <v>1016</v>
      </c>
      <c r="C72" s="79" t="s">
        <v>2680</v>
      </c>
      <c r="D72" s="80" t="s">
        <v>2445</v>
      </c>
      <c r="E72" s="2238" t="str">
        <f t="shared" si="7"/>
        <v>B2</v>
      </c>
      <c r="F72" s="55">
        <v>50</v>
      </c>
      <c r="G72" s="55" t="s">
        <v>512</v>
      </c>
      <c r="J72" s="55" t="str">
        <f t="shared" si="6"/>
        <v>B22600</v>
      </c>
    </row>
    <row r="73" spans="1:10">
      <c r="A73" s="79" t="s">
        <v>398</v>
      </c>
      <c r="B73" s="1767"/>
      <c r="C73" s="79" t="s">
        <v>2681</v>
      </c>
      <c r="D73" s="80" t="s">
        <v>2445</v>
      </c>
      <c r="E73" s="2238" t="str">
        <f t="shared" si="7"/>
        <v>B2</v>
      </c>
      <c r="F73" s="55">
        <v>50</v>
      </c>
      <c r="G73" s="55" t="s">
        <v>512</v>
      </c>
      <c r="J73" s="55" t="str">
        <f t="shared" si="6"/>
        <v>B22650</v>
      </c>
    </row>
    <row r="74" spans="1:10">
      <c r="A74" s="79" t="s">
        <v>1831</v>
      </c>
      <c r="B74" s="1767"/>
      <c r="C74" s="79" t="s">
        <v>2682</v>
      </c>
      <c r="D74" s="80" t="s">
        <v>2445</v>
      </c>
      <c r="E74" s="2238" t="str">
        <f t="shared" si="7"/>
        <v>B2</v>
      </c>
      <c r="F74" s="55">
        <v>50</v>
      </c>
      <c r="G74" s="55" t="s">
        <v>512</v>
      </c>
      <c r="J74" s="55" t="str">
        <f t="shared" si="6"/>
        <v>B22700</v>
      </c>
    </row>
    <row r="75" spans="1:10">
      <c r="A75" s="79" t="s">
        <v>721</v>
      </c>
      <c r="B75" s="1767"/>
      <c r="C75" s="79" t="s">
        <v>2683</v>
      </c>
      <c r="D75" s="80" t="s">
        <v>2445</v>
      </c>
      <c r="E75" s="2238" t="str">
        <f t="shared" si="7"/>
        <v>B2</v>
      </c>
      <c r="F75" s="55">
        <v>50</v>
      </c>
      <c r="G75" s="55" t="s">
        <v>512</v>
      </c>
      <c r="J75" s="55" t="str">
        <f t="shared" si="6"/>
        <v>B22750</v>
      </c>
    </row>
    <row r="76" spans="1:10">
      <c r="A76" s="79" t="s">
        <v>786</v>
      </c>
      <c r="B76" s="1767"/>
      <c r="C76" s="79" t="s">
        <v>2684</v>
      </c>
      <c r="D76" s="80" t="s">
        <v>2445</v>
      </c>
      <c r="E76" s="2238" t="str">
        <f t="shared" si="7"/>
        <v>B2</v>
      </c>
      <c r="F76" s="55">
        <v>50</v>
      </c>
      <c r="G76" s="55" t="s">
        <v>512</v>
      </c>
      <c r="J76" s="55" t="str">
        <f t="shared" si="6"/>
        <v>B22800</v>
      </c>
    </row>
    <row r="77" spans="1:10">
      <c r="A77" s="79" t="s">
        <v>563</v>
      </c>
      <c r="B77" s="1767"/>
      <c r="C77" s="79" t="s">
        <v>2685</v>
      </c>
      <c r="D77" s="80" t="s">
        <v>2445</v>
      </c>
      <c r="E77" s="2238" t="str">
        <f t="shared" si="7"/>
        <v>B2</v>
      </c>
      <c r="F77" s="55">
        <v>50</v>
      </c>
      <c r="G77" s="55" t="s">
        <v>512</v>
      </c>
      <c r="J77" s="55" t="str">
        <f t="shared" si="6"/>
        <v>B22850</v>
      </c>
    </row>
    <row r="78" spans="1:10">
      <c r="A78" s="79" t="s">
        <v>1791</v>
      </c>
      <c r="B78" s="1767"/>
      <c r="C78" s="79" t="s">
        <v>2686</v>
      </c>
      <c r="D78" s="80" t="s">
        <v>2445</v>
      </c>
      <c r="E78" s="2238" t="str">
        <f t="shared" si="7"/>
        <v>B2</v>
      </c>
      <c r="F78" s="55">
        <v>50</v>
      </c>
      <c r="G78" s="55" t="s">
        <v>512</v>
      </c>
      <c r="J78" s="55" t="str">
        <f t="shared" si="6"/>
        <v>B221000</v>
      </c>
    </row>
    <row r="79" spans="1:10">
      <c r="A79" s="79" t="s">
        <v>346</v>
      </c>
      <c r="B79" s="1767"/>
      <c r="C79" s="79" t="s">
        <v>2687</v>
      </c>
      <c r="D79" s="80" t="s">
        <v>2445</v>
      </c>
      <c r="E79" s="2238" t="str">
        <f t="shared" si="7"/>
        <v>B2</v>
      </c>
      <c r="F79" s="55">
        <v>50</v>
      </c>
      <c r="G79" s="55" t="s">
        <v>512</v>
      </c>
      <c r="J79" s="55" t="str">
        <f t="shared" si="6"/>
        <v>B22500C</v>
      </c>
    </row>
    <row r="80" spans="1:10">
      <c r="A80" s="79" t="s">
        <v>564</v>
      </c>
      <c r="B80" s="1767"/>
      <c r="C80" s="79" t="s">
        <v>2688</v>
      </c>
      <c r="D80" s="80" t="s">
        <v>2445</v>
      </c>
      <c r="E80" s="2238" t="str">
        <f t="shared" si="7"/>
        <v>B3</v>
      </c>
      <c r="F80" s="55">
        <v>50</v>
      </c>
      <c r="G80" s="55" t="s">
        <v>512</v>
      </c>
      <c r="J80" s="55" t="str">
        <f t="shared" si="6"/>
        <v>B30800</v>
      </c>
    </row>
    <row r="81" spans="1:10">
      <c r="A81" s="79" t="s">
        <v>565</v>
      </c>
      <c r="B81" s="1767"/>
      <c r="C81" s="79" t="s">
        <v>2689</v>
      </c>
      <c r="D81" s="80" t="s">
        <v>2445</v>
      </c>
      <c r="E81" s="2238" t="str">
        <f t="shared" si="7"/>
        <v>B3</v>
      </c>
      <c r="F81" s="55">
        <v>50</v>
      </c>
      <c r="G81" s="55" t="s">
        <v>512</v>
      </c>
      <c r="J81" s="55" t="str">
        <f t="shared" si="6"/>
        <v>B301000</v>
      </c>
    </row>
    <row r="82" spans="1:10">
      <c r="A82" s="79" t="s">
        <v>399</v>
      </c>
      <c r="B82" s="1767"/>
      <c r="C82" s="79" t="s">
        <v>2690</v>
      </c>
      <c r="D82" s="80" t="s">
        <v>2445</v>
      </c>
      <c r="E82" s="2238" t="str">
        <f t="shared" si="7"/>
        <v>BM</v>
      </c>
      <c r="F82" s="55">
        <v>50</v>
      </c>
      <c r="G82" s="55" t="s">
        <v>512</v>
      </c>
      <c r="J82" s="55" t="str">
        <f t="shared" si="6"/>
        <v>BM16230</v>
      </c>
    </row>
    <row r="83" spans="1:10">
      <c r="A83" s="79" t="s">
        <v>1061</v>
      </c>
      <c r="B83" s="1767"/>
      <c r="C83" s="79" t="s">
        <v>2691</v>
      </c>
      <c r="D83" s="80" t="s">
        <v>2445</v>
      </c>
      <c r="E83" s="2238" t="str">
        <f t="shared" si="7"/>
        <v>BM</v>
      </c>
      <c r="F83" s="55">
        <v>50</v>
      </c>
      <c r="G83" s="55" t="s">
        <v>512</v>
      </c>
      <c r="J83" s="55" t="str">
        <f t="shared" si="6"/>
        <v>BM16250</v>
      </c>
    </row>
    <row r="84" spans="1:10">
      <c r="A84" s="79" t="s">
        <v>417</v>
      </c>
      <c r="B84" s="1767"/>
      <c r="C84" s="79" t="s">
        <v>2692</v>
      </c>
      <c r="D84" s="80" t="s">
        <v>2445</v>
      </c>
      <c r="E84" s="2238" t="str">
        <f t="shared" ref="E84" si="8">LEFT(A84,2)</f>
        <v>BM</v>
      </c>
      <c r="F84" s="55">
        <v>50</v>
      </c>
      <c r="G84" s="55" t="s">
        <v>512</v>
      </c>
      <c r="J84" s="55" t="str">
        <f t="shared" ref="J84" si="9">A84</f>
        <v>BM16300</v>
      </c>
    </row>
    <row r="85" spans="1:10">
      <c r="A85" s="79" t="s">
        <v>4952</v>
      </c>
      <c r="B85" s="1767"/>
      <c r="C85" s="79" t="s">
        <v>4953</v>
      </c>
      <c r="D85" s="80" t="s">
        <v>2445</v>
      </c>
      <c r="E85" s="2238" t="str">
        <f t="shared" si="7"/>
        <v>BM</v>
      </c>
      <c r="F85" s="55">
        <v>50</v>
      </c>
      <c r="G85" s="55" t="s">
        <v>512</v>
      </c>
      <c r="J85" s="55" t="str">
        <f t="shared" si="6"/>
        <v>BM16350</v>
      </c>
    </row>
    <row r="86" spans="1:10">
      <c r="A86" s="79" t="s">
        <v>851</v>
      </c>
      <c r="B86" s="1767"/>
      <c r="C86" s="79" t="s">
        <v>2693</v>
      </c>
      <c r="D86" s="80" t="s">
        <v>2445</v>
      </c>
      <c r="E86" s="2238" t="str">
        <f t="shared" si="7"/>
        <v>BM</v>
      </c>
      <c r="F86" s="55">
        <v>50</v>
      </c>
      <c r="G86" s="55" t="s">
        <v>512</v>
      </c>
      <c r="J86" s="55" t="str">
        <f t="shared" si="6"/>
        <v>BMOC16250</v>
      </c>
    </row>
    <row r="87" spans="1:10">
      <c r="A87" s="79" t="s">
        <v>852</v>
      </c>
      <c r="B87" s="1767"/>
      <c r="C87" s="79" t="s">
        <v>2694</v>
      </c>
      <c r="D87" s="80" t="s">
        <v>2445</v>
      </c>
      <c r="E87" s="2238" t="str">
        <f t="shared" si="7"/>
        <v>BM</v>
      </c>
      <c r="F87" s="55">
        <v>50</v>
      </c>
      <c r="G87" s="55" t="s">
        <v>512</v>
      </c>
      <c r="J87" s="55" t="str">
        <f t="shared" si="6"/>
        <v>BMOC16300</v>
      </c>
    </row>
    <row r="88" spans="1:10">
      <c r="A88" s="1769" t="s">
        <v>2545</v>
      </c>
      <c r="B88" s="1767"/>
      <c r="C88" s="79" t="s">
        <v>2695</v>
      </c>
      <c r="D88" s="80" t="s">
        <v>2445</v>
      </c>
      <c r="E88" s="2238" t="str">
        <f t="shared" si="7"/>
        <v>Bu</v>
      </c>
      <c r="F88" s="55">
        <v>50</v>
      </c>
      <c r="G88" s="55" t="s">
        <v>512</v>
      </c>
      <c r="J88" s="55" t="str">
        <f t="shared" si="6"/>
        <v>BulonVRS + ĐO</v>
      </c>
    </row>
    <row r="89" spans="1:10">
      <c r="A89" s="79" t="s">
        <v>706</v>
      </c>
      <c r="B89" s="84"/>
      <c r="C89" s="79" t="s">
        <v>2696</v>
      </c>
      <c r="D89" s="80" t="s">
        <v>2563</v>
      </c>
      <c r="E89" s="2238" t="str">
        <f t="shared" si="7"/>
        <v>LD</v>
      </c>
      <c r="F89" s="55">
        <v>50</v>
      </c>
      <c r="G89" s="55" t="s">
        <v>512</v>
      </c>
      <c r="J89" s="55" t="str">
        <f t="shared" si="6"/>
        <v>LD tron</v>
      </c>
    </row>
    <row r="90" spans="1:10">
      <c r="A90" s="79" t="s">
        <v>1522</v>
      </c>
      <c r="B90" s="84"/>
      <c r="C90" s="79" t="s">
        <v>2697</v>
      </c>
      <c r="D90" s="80" t="s">
        <v>2563</v>
      </c>
      <c r="E90" s="2238" t="str">
        <f t="shared" si="7"/>
        <v>LD</v>
      </c>
      <c r="F90" s="55">
        <v>50</v>
      </c>
      <c r="G90" s="55" t="s">
        <v>512</v>
      </c>
      <c r="J90" s="55" t="str">
        <f t="shared" si="6"/>
        <v>LD 40</v>
      </c>
    </row>
    <row r="91" spans="1:10">
      <c r="A91" s="79" t="s">
        <v>1523</v>
      </c>
      <c r="B91" s="84"/>
      <c r="C91" s="79" t="s">
        <v>2698</v>
      </c>
      <c r="D91" s="80" t="s">
        <v>2563</v>
      </c>
      <c r="E91" s="2238" t="str">
        <f t="shared" si="7"/>
        <v>LD</v>
      </c>
      <c r="F91" s="55">
        <v>50</v>
      </c>
      <c r="G91" s="55" t="s">
        <v>512</v>
      </c>
      <c r="J91" s="55" t="str">
        <f t="shared" si="6"/>
        <v>LD 60</v>
      </c>
    </row>
    <row r="92" spans="1:10">
      <c r="A92" s="79" t="s">
        <v>30</v>
      </c>
      <c r="B92" s="1767"/>
      <c r="C92" s="79" t="s">
        <v>2699</v>
      </c>
      <c r="D92" s="78" t="s">
        <v>2391</v>
      </c>
      <c r="E92" s="2238" t="str">
        <f t="shared" si="7"/>
        <v>BA</v>
      </c>
      <c r="F92" s="55">
        <v>50</v>
      </c>
      <c r="G92" s="55" t="s">
        <v>512</v>
      </c>
      <c r="J92" s="55" t="str">
        <f t="shared" si="6"/>
        <v>BATLI</v>
      </c>
    </row>
    <row r="93" spans="1:10">
      <c r="A93" s="79" t="s">
        <v>6179</v>
      </c>
      <c r="B93" s="1767"/>
      <c r="C93" s="79" t="s">
        <v>2700</v>
      </c>
      <c r="D93" s="78" t="s">
        <v>2391</v>
      </c>
      <c r="E93" s="2238" t="str">
        <f t="shared" si="7"/>
        <v>BA</v>
      </c>
      <c r="F93" s="55">
        <v>50</v>
      </c>
      <c r="G93" s="55" t="s">
        <v>512</v>
      </c>
      <c r="J93" s="55" t="str">
        <f t="shared" si="6"/>
        <v>BATLA</v>
      </c>
    </row>
    <row r="94" spans="1:10">
      <c r="A94" s="79" t="s">
        <v>2277</v>
      </c>
      <c r="B94" s="84"/>
      <c r="C94" s="79" t="s">
        <v>4924</v>
      </c>
      <c r="D94" s="80" t="s">
        <v>2445</v>
      </c>
      <c r="E94" s="2238" t="str">
        <f t="shared" si="7"/>
        <v>BA</v>
      </c>
      <c r="F94" s="55">
        <v>50</v>
      </c>
      <c r="G94" s="55" t="s">
        <v>512</v>
      </c>
      <c r="J94" s="55" t="str">
        <f t="shared" si="6"/>
        <v>BATLL</v>
      </c>
    </row>
    <row r="95" spans="1:10">
      <c r="A95" s="79" t="s">
        <v>757</v>
      </c>
      <c r="B95" s="1767" t="s">
        <v>1562</v>
      </c>
      <c r="C95" s="79" t="s">
        <v>2701</v>
      </c>
      <c r="D95" s="80" t="s">
        <v>2598</v>
      </c>
      <c r="E95" s="2238" t="str">
        <f t="shared" si="7"/>
        <v>CT</v>
      </c>
      <c r="F95" s="55">
        <v>50</v>
      </c>
      <c r="G95" s="55" t="s">
        <v>512</v>
      </c>
      <c r="J95" s="55" t="str">
        <f t="shared" si="6"/>
        <v>CT25</v>
      </c>
    </row>
    <row r="96" spans="1:10">
      <c r="A96" s="79" t="s">
        <v>132</v>
      </c>
      <c r="B96" s="1767" t="s">
        <v>1562</v>
      </c>
      <c r="C96" s="79" t="s">
        <v>2702</v>
      </c>
      <c r="D96" s="80" t="s">
        <v>2598</v>
      </c>
      <c r="E96" s="2238" t="str">
        <f t="shared" si="7"/>
        <v>CT</v>
      </c>
      <c r="F96" s="55">
        <v>50</v>
      </c>
      <c r="G96" s="55" t="s">
        <v>512</v>
      </c>
      <c r="J96" s="55" t="str">
        <f t="shared" si="6"/>
        <v>CT3</v>
      </c>
    </row>
    <row r="97" spans="1:10">
      <c r="A97" s="79" t="s">
        <v>1433</v>
      </c>
      <c r="B97" s="1767" t="s">
        <v>1562</v>
      </c>
      <c r="C97" s="79" t="s">
        <v>1435</v>
      </c>
      <c r="D97" s="80" t="s">
        <v>2563</v>
      </c>
      <c r="E97" s="2238" t="str">
        <f t="shared" si="7"/>
        <v>co</v>
      </c>
      <c r="F97" s="55">
        <v>50</v>
      </c>
      <c r="G97" s="55" t="s">
        <v>512</v>
      </c>
      <c r="J97" s="55" t="str">
        <f t="shared" si="6"/>
        <v>cong 1</v>
      </c>
    </row>
    <row r="98" spans="1:10">
      <c r="A98" s="79" t="s">
        <v>1434</v>
      </c>
      <c r="B98" s="1767" t="s">
        <v>1562</v>
      </c>
      <c r="C98" s="79" t="s">
        <v>1436</v>
      </c>
      <c r="D98" s="80" t="s">
        <v>2563</v>
      </c>
      <c r="E98" s="2238" t="str">
        <f t="shared" si="7"/>
        <v>co</v>
      </c>
      <c r="F98" s="55">
        <v>50</v>
      </c>
      <c r="G98" s="55" t="s">
        <v>512</v>
      </c>
      <c r="J98" s="55" t="str">
        <f t="shared" si="6"/>
        <v>cong 2</v>
      </c>
    </row>
    <row r="99" spans="1:10">
      <c r="A99" s="79" t="s">
        <v>2252</v>
      </c>
      <c r="B99" s="1767" t="s">
        <v>1562</v>
      </c>
      <c r="C99" s="79" t="s">
        <v>2703</v>
      </c>
      <c r="D99" s="80" t="s">
        <v>2598</v>
      </c>
      <c r="E99" s="2238" t="str">
        <f t="shared" si="7"/>
        <v>CT</v>
      </c>
      <c r="F99" s="55">
        <v>50</v>
      </c>
      <c r="G99" s="55" t="s">
        <v>512</v>
      </c>
      <c r="J99" s="55" t="str">
        <f t="shared" si="6"/>
        <v>CT5</v>
      </c>
    </row>
    <row r="100" spans="1:10">
      <c r="A100" s="79" t="s">
        <v>1630</v>
      </c>
      <c r="B100" s="84"/>
      <c r="C100" s="79" t="s">
        <v>2704</v>
      </c>
      <c r="D100" s="80" t="s">
        <v>2705</v>
      </c>
      <c r="E100" s="2238" t="str">
        <f t="shared" si="7"/>
        <v>Mo</v>
      </c>
      <c r="F100" s="55">
        <v>50</v>
      </c>
      <c r="G100" s="55" t="s">
        <v>512</v>
      </c>
      <c r="J100" s="55" t="str">
        <f t="shared" si="6"/>
        <v>MongTB</v>
      </c>
    </row>
    <row r="101" spans="1:10">
      <c r="A101" s="1768" t="s">
        <v>1555</v>
      </c>
      <c r="B101" s="84"/>
      <c r="C101" s="79" t="s">
        <v>2706</v>
      </c>
      <c r="D101" s="80" t="s">
        <v>2254</v>
      </c>
      <c r="E101" s="2238" t="str">
        <f t="shared" si="7"/>
        <v>M1</v>
      </c>
      <c r="F101" s="55">
        <v>12</v>
      </c>
      <c r="G101" s="55" t="s">
        <v>512</v>
      </c>
      <c r="J101" s="55" t="str">
        <f t="shared" si="6"/>
        <v>M11</v>
      </c>
    </row>
    <row r="102" spans="1:10">
      <c r="A102" s="1768" t="s">
        <v>2253</v>
      </c>
      <c r="B102" s="84"/>
      <c r="C102" s="79" t="s">
        <v>2707</v>
      </c>
      <c r="D102" s="80" t="s">
        <v>2254</v>
      </c>
      <c r="E102" s="2238" t="str">
        <f t="shared" si="7"/>
        <v>M2</v>
      </c>
      <c r="F102" s="55">
        <v>12</v>
      </c>
      <c r="G102" s="55" t="s">
        <v>512</v>
      </c>
      <c r="J102" s="55" t="str">
        <f t="shared" si="6"/>
        <v>M22</v>
      </c>
    </row>
    <row r="103" spans="1:10">
      <c r="A103" s="1768" t="s">
        <v>1033</v>
      </c>
      <c r="B103" s="84"/>
      <c r="C103" s="79" t="s">
        <v>2708</v>
      </c>
      <c r="D103" s="80" t="s">
        <v>2254</v>
      </c>
      <c r="E103" s="2238" t="str">
        <f t="shared" si="7"/>
        <v>M2</v>
      </c>
      <c r="F103" s="55">
        <v>12</v>
      </c>
      <c r="G103" s="55" t="s">
        <v>512</v>
      </c>
      <c r="J103" s="55" t="str">
        <f t="shared" si="6"/>
        <v>M25</v>
      </c>
    </row>
    <row r="104" spans="1:10">
      <c r="A104" s="1768" t="s">
        <v>612</v>
      </c>
      <c r="B104" s="84"/>
      <c r="C104" s="79" t="s">
        <v>2709</v>
      </c>
      <c r="D104" s="80" t="s">
        <v>2254</v>
      </c>
      <c r="E104" s="2238" t="str">
        <f t="shared" si="7"/>
        <v>M3</v>
      </c>
      <c r="F104" s="55">
        <v>12</v>
      </c>
      <c r="G104" s="55" t="s">
        <v>512</v>
      </c>
      <c r="J104" s="55" t="str">
        <f t="shared" si="6"/>
        <v>M38</v>
      </c>
    </row>
    <row r="105" spans="1:10">
      <c r="A105" s="79" t="s">
        <v>242</v>
      </c>
      <c r="B105" s="84"/>
      <c r="C105" s="79" t="s">
        <v>2710</v>
      </c>
      <c r="D105" s="80" t="s">
        <v>2711</v>
      </c>
      <c r="E105" s="2238" t="str">
        <f t="shared" si="7"/>
        <v>MT</v>
      </c>
      <c r="F105" s="55">
        <v>50</v>
      </c>
      <c r="G105" s="55" t="s">
        <v>512</v>
      </c>
      <c r="J105" s="55" t="str">
        <f t="shared" si="6"/>
        <v>MTBU</v>
      </c>
    </row>
    <row r="106" spans="1:10">
      <c r="A106" s="1768" t="s">
        <v>1214</v>
      </c>
      <c r="B106" s="84"/>
      <c r="C106" s="79" t="s">
        <v>2712</v>
      </c>
      <c r="D106" s="80" t="s">
        <v>2254</v>
      </c>
      <c r="E106" s="2238" t="str">
        <f t="shared" si="7"/>
        <v>M5</v>
      </c>
      <c r="F106" s="55">
        <v>12</v>
      </c>
      <c r="G106" s="55" t="s">
        <v>512</v>
      </c>
      <c r="J106" s="55" t="str">
        <f t="shared" si="6"/>
        <v>M50</v>
      </c>
    </row>
    <row r="107" spans="1:10">
      <c r="A107" s="79" t="s">
        <v>272</v>
      </c>
      <c r="B107" s="84"/>
      <c r="C107" s="79" t="s">
        <v>2713</v>
      </c>
      <c r="D107" s="80" t="s">
        <v>2538</v>
      </c>
      <c r="E107" s="2238" t="str">
        <f t="shared" si="7"/>
        <v>XL</v>
      </c>
      <c r="F107" s="55">
        <v>10</v>
      </c>
      <c r="G107" s="55" t="s">
        <v>512</v>
      </c>
      <c r="J107" s="55" t="str">
        <f t="shared" si="6"/>
        <v>XLPE22</v>
      </c>
    </row>
    <row r="108" spans="1:10">
      <c r="A108" s="79" t="s">
        <v>697</v>
      </c>
      <c r="B108" s="84"/>
      <c r="C108" s="79" t="s">
        <v>2714</v>
      </c>
      <c r="D108" s="80" t="s">
        <v>2538</v>
      </c>
      <c r="E108" s="2238" t="str">
        <f t="shared" si="7"/>
        <v>XL</v>
      </c>
      <c r="F108" s="55">
        <v>10</v>
      </c>
      <c r="G108" s="55" t="s">
        <v>512</v>
      </c>
      <c r="J108" s="55" t="str">
        <f t="shared" si="6"/>
        <v>XLPE25</v>
      </c>
    </row>
    <row r="109" spans="1:10">
      <c r="A109" s="79" t="s">
        <v>1740</v>
      </c>
      <c r="B109" s="84"/>
      <c r="C109" s="79" t="s">
        <v>2715</v>
      </c>
      <c r="D109" s="80" t="s">
        <v>2538</v>
      </c>
      <c r="E109" s="2238" t="str">
        <f t="shared" si="7"/>
        <v>XL</v>
      </c>
      <c r="F109" s="55">
        <v>10</v>
      </c>
      <c r="G109" s="55" t="s">
        <v>512</v>
      </c>
      <c r="J109" s="55" t="str">
        <f t="shared" si="6"/>
        <v>XLPE35</v>
      </c>
    </row>
    <row r="110" spans="1:10">
      <c r="A110" s="79" t="s">
        <v>271</v>
      </c>
      <c r="B110" s="84"/>
      <c r="C110" s="79" t="s">
        <v>2716</v>
      </c>
      <c r="D110" s="80" t="s">
        <v>2538</v>
      </c>
      <c r="E110" s="2238" t="str">
        <f t="shared" si="7"/>
        <v>XL</v>
      </c>
      <c r="F110" s="55">
        <v>10</v>
      </c>
      <c r="G110" s="55" t="s">
        <v>512</v>
      </c>
      <c r="J110" s="55" t="str">
        <f t="shared" si="6"/>
        <v>XLPE50</v>
      </c>
    </row>
    <row r="111" spans="1:10">
      <c r="A111" s="79" t="s">
        <v>270</v>
      </c>
      <c r="B111" s="84"/>
      <c r="C111" s="79" t="s">
        <v>2717</v>
      </c>
      <c r="D111" s="80" t="s">
        <v>2538</v>
      </c>
      <c r="E111" s="2238" t="str">
        <f t="shared" si="7"/>
        <v>XL</v>
      </c>
      <c r="F111" s="55">
        <v>10</v>
      </c>
      <c r="G111" s="55" t="s">
        <v>512</v>
      </c>
      <c r="J111" s="55" t="str">
        <f t="shared" si="6"/>
        <v>XLPE70</v>
      </c>
    </row>
    <row r="112" spans="1:10">
      <c r="A112" s="79" t="s">
        <v>1836</v>
      </c>
      <c r="B112" s="84"/>
      <c r="C112" s="79" t="s">
        <v>2718</v>
      </c>
      <c r="D112" s="80" t="s">
        <v>2538</v>
      </c>
      <c r="E112" s="2238" t="str">
        <f t="shared" si="7"/>
        <v>XL</v>
      </c>
      <c r="F112" s="55">
        <v>10</v>
      </c>
      <c r="G112" s="55" t="s">
        <v>512</v>
      </c>
      <c r="J112" s="55" t="str">
        <f t="shared" si="6"/>
        <v>XLPE95</v>
      </c>
    </row>
    <row r="113" spans="1:10">
      <c r="A113" s="79" t="s">
        <v>601</v>
      </c>
      <c r="B113" s="84"/>
      <c r="C113" s="79" t="s">
        <v>2719</v>
      </c>
      <c r="D113" s="80" t="s">
        <v>2538</v>
      </c>
      <c r="E113" s="2238" t="str">
        <f t="shared" si="7"/>
        <v>XL</v>
      </c>
      <c r="F113" s="55">
        <v>10</v>
      </c>
      <c r="G113" s="55" t="s">
        <v>512</v>
      </c>
      <c r="J113" s="55" t="str">
        <f t="shared" si="6"/>
        <v>XLPE120</v>
      </c>
    </row>
    <row r="114" spans="1:10">
      <c r="A114" s="79" t="s">
        <v>1471</v>
      </c>
      <c r="B114" s="84"/>
      <c r="C114" s="79" t="s">
        <v>2720</v>
      </c>
      <c r="D114" s="80" t="s">
        <v>2538</v>
      </c>
      <c r="E114" s="2238" t="str">
        <f t="shared" si="7"/>
        <v>XL</v>
      </c>
      <c r="F114" s="55">
        <v>10</v>
      </c>
      <c r="G114" s="55" t="s">
        <v>512</v>
      </c>
      <c r="J114" s="55" t="str">
        <f t="shared" si="6"/>
        <v>XLPE150</v>
      </c>
    </row>
    <row r="115" spans="1:10">
      <c r="A115" s="79" t="s">
        <v>1976</v>
      </c>
      <c r="B115" s="84"/>
      <c r="C115" s="79" t="s">
        <v>2721</v>
      </c>
      <c r="D115" s="80" t="s">
        <v>2538</v>
      </c>
      <c r="E115" s="2238" t="str">
        <f t="shared" si="7"/>
        <v>XL</v>
      </c>
      <c r="F115" s="55">
        <v>10</v>
      </c>
      <c r="G115" s="55" t="s">
        <v>512</v>
      </c>
      <c r="J115" s="55" t="str">
        <f t="shared" si="6"/>
        <v>XLPE185</v>
      </c>
    </row>
    <row r="116" spans="1:10">
      <c r="A116" s="79" t="s">
        <v>1503</v>
      </c>
      <c r="B116" s="84"/>
      <c r="C116" s="79" t="s">
        <v>2722</v>
      </c>
      <c r="D116" s="80" t="s">
        <v>2538</v>
      </c>
      <c r="E116" s="2238" t="str">
        <f t="shared" si="7"/>
        <v>XL</v>
      </c>
      <c r="F116" s="55">
        <v>10</v>
      </c>
      <c r="G116" s="55" t="s">
        <v>512</v>
      </c>
      <c r="J116" s="55" t="str">
        <f t="shared" si="6"/>
        <v>XLPE240</v>
      </c>
    </row>
    <row r="117" spans="1:10">
      <c r="A117" s="79" t="s">
        <v>1775</v>
      </c>
      <c r="B117" s="84"/>
      <c r="C117" s="79" t="s">
        <v>2723</v>
      </c>
      <c r="D117" s="80" t="s">
        <v>2538</v>
      </c>
      <c r="E117" s="2238" t="str">
        <f t="shared" si="7"/>
        <v>XL</v>
      </c>
      <c r="F117" s="55">
        <v>10</v>
      </c>
      <c r="G117" s="55" t="s">
        <v>512</v>
      </c>
      <c r="J117" s="55" t="str">
        <f t="shared" si="6"/>
        <v>XLPE250</v>
      </c>
    </row>
    <row r="118" spans="1:10">
      <c r="A118" s="79" t="s">
        <v>1741</v>
      </c>
      <c r="B118" s="84"/>
      <c r="C118" s="79" t="s">
        <v>2724</v>
      </c>
      <c r="D118" s="80" t="s">
        <v>2538</v>
      </c>
      <c r="E118" s="2238" t="str">
        <f t="shared" si="7"/>
        <v>XL</v>
      </c>
      <c r="F118" s="55">
        <v>15</v>
      </c>
      <c r="G118" s="55" t="s">
        <v>512</v>
      </c>
      <c r="J118" s="55" t="str">
        <f t="shared" si="6"/>
        <v>XLPE25A</v>
      </c>
    </row>
    <row r="119" spans="1:10">
      <c r="A119" s="79" t="s">
        <v>54</v>
      </c>
      <c r="B119" s="84"/>
      <c r="C119" s="79" t="s">
        <v>2725</v>
      </c>
      <c r="D119" s="80" t="s">
        <v>2538</v>
      </c>
      <c r="E119" s="2238" t="str">
        <f t="shared" si="7"/>
        <v>XL</v>
      </c>
      <c r="F119" s="55">
        <v>15</v>
      </c>
      <c r="G119" s="55" t="s">
        <v>512</v>
      </c>
      <c r="J119" s="55" t="str">
        <f t="shared" si="6"/>
        <v>XLPE35A</v>
      </c>
    </row>
    <row r="120" spans="1:10">
      <c r="A120" s="79" t="s">
        <v>55</v>
      </c>
      <c r="B120" s="84"/>
      <c r="C120" s="79" t="s">
        <v>2726</v>
      </c>
      <c r="D120" s="80" t="s">
        <v>2538</v>
      </c>
      <c r="E120" s="2238" t="str">
        <f t="shared" si="7"/>
        <v>XL</v>
      </c>
      <c r="F120" s="55">
        <v>15</v>
      </c>
      <c r="G120" s="55" t="s">
        <v>512</v>
      </c>
      <c r="J120" s="55" t="str">
        <f t="shared" si="6"/>
        <v>XLPE50A</v>
      </c>
    </row>
    <row r="121" spans="1:10">
      <c r="A121" s="79" t="s">
        <v>56</v>
      </c>
      <c r="B121" s="84"/>
      <c r="C121" s="79" t="s">
        <v>2727</v>
      </c>
      <c r="D121" s="80" t="s">
        <v>2538</v>
      </c>
      <c r="E121" s="2238" t="str">
        <f t="shared" si="7"/>
        <v>XL</v>
      </c>
      <c r="F121" s="55">
        <v>15</v>
      </c>
      <c r="G121" s="55" t="s">
        <v>512</v>
      </c>
      <c r="J121" s="55" t="str">
        <f t="shared" si="6"/>
        <v>XLPE70A</v>
      </c>
    </row>
    <row r="122" spans="1:10">
      <c r="A122" s="79" t="s">
        <v>57</v>
      </c>
      <c r="B122" s="84"/>
      <c r="C122" s="79" t="s">
        <v>2728</v>
      </c>
      <c r="D122" s="80" t="s">
        <v>2538</v>
      </c>
      <c r="E122" s="2238" t="str">
        <f t="shared" si="7"/>
        <v>XL</v>
      </c>
      <c r="F122" s="55">
        <v>15</v>
      </c>
      <c r="G122" s="55" t="s">
        <v>512</v>
      </c>
      <c r="J122" s="55" t="str">
        <f t="shared" si="6"/>
        <v>XLPE95A</v>
      </c>
    </row>
    <row r="123" spans="1:10">
      <c r="A123" s="79" t="s">
        <v>657</v>
      </c>
      <c r="B123" s="84"/>
      <c r="C123" s="79" t="s">
        <v>2729</v>
      </c>
      <c r="D123" s="80" t="s">
        <v>2538</v>
      </c>
      <c r="E123" s="2238" t="str">
        <f t="shared" si="7"/>
        <v>XL</v>
      </c>
      <c r="F123" s="55">
        <v>15</v>
      </c>
      <c r="G123" s="55" t="s">
        <v>512</v>
      </c>
      <c r="J123" s="55" t="str">
        <f t="shared" si="6"/>
        <v>XLPE120A</v>
      </c>
    </row>
    <row r="124" spans="1:10">
      <c r="A124" s="79" t="s">
        <v>1032</v>
      </c>
      <c r="B124" s="84"/>
      <c r="C124" s="79" t="s">
        <v>2730</v>
      </c>
      <c r="D124" s="80" t="s">
        <v>2538</v>
      </c>
      <c r="E124" s="2238" t="str">
        <f t="shared" si="7"/>
        <v>XL</v>
      </c>
      <c r="F124" s="55">
        <v>15</v>
      </c>
      <c r="G124" s="55" t="s">
        <v>512</v>
      </c>
      <c r="J124" s="55" t="str">
        <f t="shared" si="6"/>
        <v>XLPE150A</v>
      </c>
    </row>
    <row r="125" spans="1:10">
      <c r="A125" s="79" t="s">
        <v>1031</v>
      </c>
      <c r="B125" s="84"/>
      <c r="C125" s="79" t="s">
        <v>2731</v>
      </c>
      <c r="D125" s="80" t="s">
        <v>2538</v>
      </c>
      <c r="E125" s="2238" t="str">
        <f t="shared" si="7"/>
        <v>XL</v>
      </c>
      <c r="F125" s="55">
        <v>15</v>
      </c>
      <c r="G125" s="55" t="s">
        <v>512</v>
      </c>
      <c r="J125" s="55" t="str">
        <f t="shared" si="6"/>
        <v>XLPE185A</v>
      </c>
    </row>
    <row r="126" spans="1:10">
      <c r="A126" s="79" t="s">
        <v>1798</v>
      </c>
      <c r="B126" s="84"/>
      <c r="C126" s="79" t="s">
        <v>2732</v>
      </c>
      <c r="D126" s="80" t="s">
        <v>2538</v>
      </c>
      <c r="E126" s="2238" t="str">
        <f t="shared" si="7"/>
        <v>XL</v>
      </c>
      <c r="F126" s="55">
        <v>15</v>
      </c>
      <c r="G126" s="55" t="s">
        <v>512</v>
      </c>
      <c r="J126" s="55" t="str">
        <f t="shared" si="6"/>
        <v>XLPE240A</v>
      </c>
    </row>
    <row r="127" spans="1:10">
      <c r="A127" s="79" t="s">
        <v>998</v>
      </c>
      <c r="B127" s="84"/>
      <c r="C127" s="79" t="s">
        <v>2733</v>
      </c>
      <c r="D127" s="80" t="s">
        <v>2538</v>
      </c>
      <c r="E127" s="2238" t="str">
        <f t="shared" si="7"/>
        <v>XL</v>
      </c>
      <c r="F127" s="55">
        <v>14</v>
      </c>
      <c r="G127" s="55" t="s">
        <v>512</v>
      </c>
      <c r="J127" s="55" t="str">
        <f t="shared" si="6"/>
        <v>XLPE211HT</v>
      </c>
    </row>
    <row r="128" spans="1:10">
      <c r="A128" s="79" t="s">
        <v>1081</v>
      </c>
      <c r="B128" s="84"/>
      <c r="C128" s="79" t="s">
        <v>2734</v>
      </c>
      <c r="D128" s="80" t="s">
        <v>2538</v>
      </c>
      <c r="E128" s="2238" t="str">
        <f t="shared" si="7"/>
        <v>XL</v>
      </c>
      <c r="F128" s="55">
        <v>14</v>
      </c>
      <c r="G128" s="55" t="s">
        <v>512</v>
      </c>
      <c r="J128" s="55" t="str">
        <f t="shared" si="6"/>
        <v>XLPE216HT</v>
      </c>
    </row>
    <row r="129" spans="1:10">
      <c r="A129" s="79" t="s">
        <v>963</v>
      </c>
      <c r="B129" s="84"/>
      <c r="C129" s="79" t="s">
        <v>2735</v>
      </c>
      <c r="D129" s="80" t="s">
        <v>2538</v>
      </c>
      <c r="E129" s="2238" t="str">
        <f t="shared" si="7"/>
        <v>XL</v>
      </c>
      <c r="F129" s="55">
        <v>14</v>
      </c>
      <c r="G129" s="55" t="s">
        <v>512</v>
      </c>
      <c r="J129" s="55" t="str">
        <f t="shared" si="6"/>
        <v>XLPE316HT</v>
      </c>
    </row>
    <row r="130" spans="1:10">
      <c r="A130" s="79" t="s">
        <v>526</v>
      </c>
      <c r="B130" s="84"/>
      <c r="C130" s="79" t="s">
        <v>2736</v>
      </c>
      <c r="D130" s="80" t="s">
        <v>2538</v>
      </c>
      <c r="E130" s="2238" t="str">
        <f t="shared" si="7"/>
        <v>XL</v>
      </c>
      <c r="F130" s="55">
        <v>14</v>
      </c>
      <c r="G130" s="55" t="s">
        <v>512</v>
      </c>
      <c r="J130" s="55" t="str">
        <f t="shared" si="6"/>
        <v>XLPE350HT</v>
      </c>
    </row>
    <row r="131" spans="1:10">
      <c r="A131" s="79" t="s">
        <v>999</v>
      </c>
      <c r="B131" s="84"/>
      <c r="C131" s="79" t="s">
        <v>2737</v>
      </c>
      <c r="D131" s="80" t="s">
        <v>2538</v>
      </c>
      <c r="E131" s="2238" t="str">
        <f t="shared" si="7"/>
        <v>XL</v>
      </c>
      <c r="F131" s="55">
        <v>14</v>
      </c>
      <c r="G131" s="55" t="s">
        <v>512</v>
      </c>
      <c r="J131" s="55" t="str">
        <f t="shared" si="6"/>
        <v>XLPE416HT</v>
      </c>
    </row>
    <row r="132" spans="1:10">
      <c r="A132" s="79" t="s">
        <v>673</v>
      </c>
      <c r="B132" s="84"/>
      <c r="C132" s="79" t="s">
        <v>2738</v>
      </c>
      <c r="D132" s="80" t="s">
        <v>2538</v>
      </c>
      <c r="E132" s="2238" t="str">
        <f t="shared" si="7"/>
        <v>XL</v>
      </c>
      <c r="F132" s="55">
        <v>14</v>
      </c>
      <c r="G132" s="55" t="s">
        <v>512</v>
      </c>
      <c r="J132" s="55" t="str">
        <f t="shared" si="6"/>
        <v>XLPE316+10HT</v>
      </c>
    </row>
    <row r="133" spans="1:10">
      <c r="A133" s="79" t="s">
        <v>1369</v>
      </c>
      <c r="B133" s="84"/>
      <c r="C133" s="79" t="s">
        <v>2739</v>
      </c>
      <c r="D133" s="80" t="s">
        <v>2538</v>
      </c>
      <c r="E133" s="2238" t="str">
        <f t="shared" si="7"/>
        <v>XL</v>
      </c>
      <c r="F133" s="55">
        <v>14</v>
      </c>
      <c r="G133" s="55" t="s">
        <v>512</v>
      </c>
      <c r="J133" s="55" t="str">
        <f t="shared" si="6"/>
        <v>XLPE350+35HT</v>
      </c>
    </row>
    <row r="134" spans="1:10">
      <c r="A134" s="79" t="s">
        <v>875</v>
      </c>
      <c r="B134" s="84"/>
      <c r="C134" s="79" t="s">
        <v>2740</v>
      </c>
      <c r="D134" s="80" t="s">
        <v>2538</v>
      </c>
      <c r="E134" s="2238" t="str">
        <f t="shared" si="7"/>
        <v>XL</v>
      </c>
      <c r="F134" s="55">
        <v>14</v>
      </c>
      <c r="G134" s="55" t="s">
        <v>512</v>
      </c>
      <c r="J134" s="55" t="str">
        <f t="shared" ref="J134:J199" si="10">A134</f>
        <v>XLPE370+50HT</v>
      </c>
    </row>
    <row r="135" spans="1:10">
      <c r="A135" s="79" t="s">
        <v>407</v>
      </c>
      <c r="B135" s="84"/>
      <c r="C135" s="79" t="s">
        <v>2741</v>
      </c>
      <c r="D135" s="80" t="s">
        <v>2538</v>
      </c>
      <c r="E135" s="2238" t="str">
        <f t="shared" si="7"/>
        <v>XL</v>
      </c>
      <c r="F135" s="55">
        <v>14</v>
      </c>
      <c r="G135" s="55" t="s">
        <v>512</v>
      </c>
      <c r="J135" s="55" t="str">
        <f t="shared" si="10"/>
        <v>XLPE395+50HT</v>
      </c>
    </row>
    <row r="136" spans="1:10">
      <c r="A136" s="79" t="s">
        <v>408</v>
      </c>
      <c r="B136" s="84"/>
      <c r="C136" s="79" t="s">
        <v>2742</v>
      </c>
      <c r="D136" s="80" t="s">
        <v>2538</v>
      </c>
      <c r="E136" s="2238" t="str">
        <f t="shared" ref="E136:E202" si="11">LEFT(A136,2)</f>
        <v>XL</v>
      </c>
      <c r="F136" s="55">
        <v>14</v>
      </c>
      <c r="G136" s="55" t="s">
        <v>512</v>
      </c>
      <c r="J136" s="55" t="str">
        <f t="shared" si="10"/>
        <v>XLPE3120+70HT</v>
      </c>
    </row>
    <row r="137" spans="1:10">
      <c r="A137" s="79" t="s">
        <v>409</v>
      </c>
      <c r="B137" s="84"/>
      <c r="C137" s="79" t="s">
        <v>2743</v>
      </c>
      <c r="D137" s="80" t="s">
        <v>2538</v>
      </c>
      <c r="E137" s="2238" t="str">
        <f t="shared" si="11"/>
        <v>XL</v>
      </c>
      <c r="F137" s="55">
        <v>14</v>
      </c>
      <c r="G137" s="55" t="s">
        <v>512</v>
      </c>
      <c r="J137" s="55" t="str">
        <f t="shared" si="10"/>
        <v>XLPE3150+95HT</v>
      </c>
    </row>
    <row r="138" spans="1:10">
      <c r="A138" s="79" t="s">
        <v>410</v>
      </c>
      <c r="B138" s="84"/>
      <c r="C138" s="79" t="s">
        <v>2744</v>
      </c>
      <c r="D138" s="80" t="s">
        <v>2538</v>
      </c>
      <c r="E138" s="2238" t="str">
        <f t="shared" si="11"/>
        <v>XL</v>
      </c>
      <c r="F138" s="55">
        <v>14</v>
      </c>
      <c r="G138" s="55" t="s">
        <v>512</v>
      </c>
      <c r="J138" s="55" t="str">
        <f t="shared" si="10"/>
        <v>XLPE3185+120HT</v>
      </c>
    </row>
    <row r="139" spans="1:10">
      <c r="A139" s="79" t="s">
        <v>1368</v>
      </c>
      <c r="B139" s="84"/>
      <c r="C139" s="79" t="s">
        <v>2745</v>
      </c>
      <c r="D139" s="80" t="s">
        <v>2538</v>
      </c>
      <c r="E139" s="2238" t="str">
        <f t="shared" ref="E139" si="12">LEFT(A139,2)</f>
        <v>XL</v>
      </c>
      <c r="F139" s="55">
        <v>14</v>
      </c>
      <c r="G139" s="55" t="s">
        <v>512</v>
      </c>
      <c r="J139" s="55" t="str">
        <f t="shared" ref="J139" si="13">A139</f>
        <v>XLPE350+35DHT</v>
      </c>
    </row>
    <row r="140" spans="1:10">
      <c r="A140" s="79" t="s">
        <v>4944</v>
      </c>
      <c r="B140" s="84"/>
      <c r="C140" s="79" t="s">
        <v>4945</v>
      </c>
      <c r="D140" s="80" t="s">
        <v>2538</v>
      </c>
      <c r="E140" s="2238" t="str">
        <f t="shared" si="11"/>
        <v>XL</v>
      </c>
      <c r="F140" s="55">
        <v>14</v>
      </c>
      <c r="G140" s="55" t="s">
        <v>512</v>
      </c>
      <c r="J140" s="55" t="str">
        <f t="shared" si="10"/>
        <v>XLPE370+35DHT</v>
      </c>
    </row>
    <row r="141" spans="1:10">
      <c r="A141" s="79" t="s">
        <v>1700</v>
      </c>
      <c r="B141" s="84"/>
      <c r="C141" s="79" t="s">
        <v>2746</v>
      </c>
      <c r="D141" s="80" t="s">
        <v>2538</v>
      </c>
      <c r="E141" s="2238" t="str">
        <f t="shared" si="11"/>
        <v>XL</v>
      </c>
      <c r="F141" s="55">
        <v>14</v>
      </c>
      <c r="G141" s="55" t="s">
        <v>512</v>
      </c>
      <c r="J141" s="55" t="str">
        <f t="shared" si="10"/>
        <v>XLPE325D</v>
      </c>
    </row>
    <row r="142" spans="1:10">
      <c r="A142" s="79" t="s">
        <v>470</v>
      </c>
      <c r="B142" s="84"/>
      <c r="C142" s="79" t="s">
        <v>2747</v>
      </c>
      <c r="D142" s="80" t="s">
        <v>2538</v>
      </c>
      <c r="E142" s="2238" t="str">
        <f t="shared" si="11"/>
        <v>XL</v>
      </c>
      <c r="F142" s="55">
        <v>14</v>
      </c>
      <c r="G142" s="55" t="s">
        <v>512</v>
      </c>
      <c r="J142" s="55" t="str">
        <f t="shared" si="10"/>
        <v>XLPE350D</v>
      </c>
    </row>
    <row r="143" spans="1:10">
      <c r="A143" s="79" t="s">
        <v>1698</v>
      </c>
      <c r="B143" s="84"/>
      <c r="C143" s="79" t="s">
        <v>2748</v>
      </c>
      <c r="D143" s="80" t="s">
        <v>2538</v>
      </c>
      <c r="E143" s="2238" t="str">
        <f t="shared" si="11"/>
        <v>XL</v>
      </c>
      <c r="F143" s="55">
        <v>14</v>
      </c>
      <c r="G143" s="55" t="s">
        <v>512</v>
      </c>
      <c r="J143" s="55" t="str">
        <f t="shared" si="10"/>
        <v>XLPE370D</v>
      </c>
    </row>
    <row r="144" spans="1:10">
      <c r="A144" s="79" t="s">
        <v>1699</v>
      </c>
      <c r="B144" s="84"/>
      <c r="C144" s="79" t="s">
        <v>2749</v>
      </c>
      <c r="D144" s="80" t="s">
        <v>2538</v>
      </c>
      <c r="E144" s="2238" t="str">
        <f t="shared" si="11"/>
        <v>XL</v>
      </c>
      <c r="F144" s="55">
        <v>14</v>
      </c>
      <c r="G144" s="55" t="s">
        <v>512</v>
      </c>
      <c r="J144" s="55" t="str">
        <f t="shared" si="10"/>
        <v>XLPE395D</v>
      </c>
    </row>
    <row r="145" spans="1:10">
      <c r="A145" s="79" t="s">
        <v>1704</v>
      </c>
      <c r="B145" s="84"/>
      <c r="C145" s="79" t="s">
        <v>2750</v>
      </c>
      <c r="D145" s="80" t="s">
        <v>2538</v>
      </c>
      <c r="E145" s="2238" t="str">
        <f t="shared" si="11"/>
        <v>XL</v>
      </c>
      <c r="F145" s="55">
        <v>14</v>
      </c>
      <c r="G145" s="55" t="s">
        <v>512</v>
      </c>
      <c r="J145" s="55" t="str">
        <f t="shared" si="10"/>
        <v>XLPE3120D</v>
      </c>
    </row>
    <row r="146" spans="1:10">
      <c r="A146" s="79" t="s">
        <v>1702</v>
      </c>
      <c r="B146" s="84"/>
      <c r="C146" s="79" t="s">
        <v>2751</v>
      </c>
      <c r="D146" s="80" t="s">
        <v>2538</v>
      </c>
      <c r="E146" s="2238" t="str">
        <f t="shared" si="11"/>
        <v>XL</v>
      </c>
      <c r="F146" s="55">
        <v>14</v>
      </c>
      <c r="G146" s="55" t="s">
        <v>512</v>
      </c>
      <c r="J146" s="55" t="str">
        <f t="shared" si="10"/>
        <v>XLPE3150D</v>
      </c>
    </row>
    <row r="147" spans="1:10">
      <c r="A147" s="79" t="s">
        <v>1701</v>
      </c>
      <c r="B147" s="84"/>
      <c r="C147" s="79" t="s">
        <v>2752</v>
      </c>
      <c r="D147" s="80" t="s">
        <v>2538</v>
      </c>
      <c r="E147" s="2238" t="str">
        <f t="shared" si="11"/>
        <v>XL</v>
      </c>
      <c r="F147" s="55">
        <v>14</v>
      </c>
      <c r="G147" s="55" t="s">
        <v>512</v>
      </c>
      <c r="J147" s="55" t="str">
        <f t="shared" si="10"/>
        <v>XLPE3185D</v>
      </c>
    </row>
    <row r="148" spans="1:10">
      <c r="A148" s="79" t="s">
        <v>1703</v>
      </c>
      <c r="B148" s="84"/>
      <c r="C148" s="79" t="s">
        <v>2753</v>
      </c>
      <c r="D148" s="80" t="s">
        <v>2538</v>
      </c>
      <c r="E148" s="2238" t="str">
        <f t="shared" si="11"/>
        <v>XL</v>
      </c>
      <c r="F148" s="55">
        <v>14</v>
      </c>
      <c r="G148" s="55" t="s">
        <v>512</v>
      </c>
      <c r="J148" s="55" t="str">
        <f t="shared" si="10"/>
        <v>XLPE3240D</v>
      </c>
    </row>
    <row r="149" spans="1:10">
      <c r="A149" s="79" t="s">
        <v>7</v>
      </c>
      <c r="B149" s="84"/>
      <c r="C149" s="79" t="s">
        <v>2754</v>
      </c>
      <c r="D149" s="80" t="s">
        <v>2538</v>
      </c>
      <c r="E149" s="2238" t="str">
        <f t="shared" si="11"/>
        <v>XL</v>
      </c>
      <c r="F149" s="55">
        <v>14</v>
      </c>
      <c r="G149" s="55" t="s">
        <v>512</v>
      </c>
      <c r="J149" s="55" t="str">
        <f t="shared" si="10"/>
        <v>XLPE200HT</v>
      </c>
    </row>
    <row r="150" spans="1:10">
      <c r="A150" s="79" t="s">
        <v>2104</v>
      </c>
      <c r="B150" s="84"/>
      <c r="C150" s="79" t="s">
        <v>2755</v>
      </c>
      <c r="D150" s="80" t="s">
        <v>2538</v>
      </c>
      <c r="E150" s="2238" t="str">
        <f t="shared" si="11"/>
        <v>XL</v>
      </c>
      <c r="F150" s="55">
        <v>14</v>
      </c>
      <c r="G150" s="55" t="s">
        <v>512</v>
      </c>
      <c r="J150" s="55" t="str">
        <f t="shared" si="10"/>
        <v>XLPE240HT</v>
      </c>
    </row>
    <row r="151" spans="1:10">
      <c r="A151" s="79" t="s">
        <v>2105</v>
      </c>
      <c r="B151" s="84"/>
      <c r="C151" s="79" t="s">
        <v>2756</v>
      </c>
      <c r="D151" s="80" t="s">
        <v>2538</v>
      </c>
      <c r="E151" s="2238" t="str">
        <f t="shared" si="11"/>
        <v>XL</v>
      </c>
      <c r="F151" s="55">
        <v>14</v>
      </c>
      <c r="G151" s="55" t="s">
        <v>512</v>
      </c>
      <c r="J151" s="55" t="str">
        <f t="shared" si="10"/>
        <v>XLPE250HT</v>
      </c>
    </row>
    <row r="152" spans="1:10">
      <c r="A152" s="79" t="s">
        <v>2106</v>
      </c>
      <c r="B152" s="84"/>
      <c r="C152" s="79" t="s">
        <v>2757</v>
      </c>
      <c r="D152" s="80" t="s">
        <v>2538</v>
      </c>
      <c r="E152" s="2238" t="str">
        <f t="shared" si="11"/>
        <v>XL</v>
      </c>
      <c r="F152" s="55">
        <v>14</v>
      </c>
      <c r="G152" s="55" t="s">
        <v>512</v>
      </c>
      <c r="J152" s="55" t="str">
        <f t="shared" si="10"/>
        <v>XLPE300HT</v>
      </c>
    </row>
    <row r="153" spans="1:10">
      <c r="A153" s="79" t="s">
        <v>476</v>
      </c>
      <c r="B153" s="1767"/>
      <c r="C153" s="79" t="s">
        <v>2758</v>
      </c>
      <c r="D153" s="80" t="s">
        <v>2254</v>
      </c>
      <c r="E153" s="2238" t="str">
        <f t="shared" si="11"/>
        <v>AC</v>
      </c>
      <c r="F153" s="55">
        <v>15</v>
      </c>
      <c r="G153" s="55" t="s">
        <v>512</v>
      </c>
      <c r="J153" s="55" t="str">
        <f t="shared" si="10"/>
        <v>ACKP35</v>
      </c>
    </row>
    <row r="154" spans="1:10">
      <c r="A154" s="79" t="s">
        <v>267</v>
      </c>
      <c r="B154" s="1767"/>
      <c r="C154" s="79" t="s">
        <v>2759</v>
      </c>
      <c r="D154" s="80" t="s">
        <v>2254</v>
      </c>
      <c r="E154" s="2238" t="str">
        <f t="shared" si="11"/>
        <v>AC</v>
      </c>
      <c r="F154" s="55">
        <v>15</v>
      </c>
      <c r="G154" s="55" t="s">
        <v>512</v>
      </c>
      <c r="J154" s="55" t="str">
        <f t="shared" si="10"/>
        <v>ACKP50</v>
      </c>
    </row>
    <row r="155" spans="1:10">
      <c r="A155" s="79" t="s">
        <v>268</v>
      </c>
      <c r="B155" s="1767"/>
      <c r="C155" s="79" t="s">
        <v>2760</v>
      </c>
      <c r="D155" s="80" t="s">
        <v>2254</v>
      </c>
      <c r="E155" s="2238" t="str">
        <f t="shared" si="11"/>
        <v>AC</v>
      </c>
      <c r="F155" s="55">
        <v>15</v>
      </c>
      <c r="G155" s="55" t="s">
        <v>512</v>
      </c>
      <c r="J155" s="55" t="str">
        <f t="shared" si="10"/>
        <v>ACKP70</v>
      </c>
    </row>
    <row r="156" spans="1:10">
      <c r="A156" s="1768" t="s">
        <v>196</v>
      </c>
      <c r="B156" s="84"/>
      <c r="C156" s="79" t="s">
        <v>2761</v>
      </c>
      <c r="D156" s="80" t="s">
        <v>2254</v>
      </c>
      <c r="E156" s="2238" t="str">
        <f t="shared" si="11"/>
        <v>AC</v>
      </c>
      <c r="F156" s="55">
        <v>15</v>
      </c>
      <c r="G156" s="55" t="s">
        <v>512</v>
      </c>
      <c r="J156" s="55" t="str">
        <f t="shared" si="10"/>
        <v>ACKP95</v>
      </c>
    </row>
    <row r="157" spans="1:10">
      <c r="A157" s="79" t="s">
        <v>1420</v>
      </c>
      <c r="B157" s="1767"/>
      <c r="C157" s="79" t="s">
        <v>2762</v>
      </c>
      <c r="D157" s="80" t="s">
        <v>2254</v>
      </c>
      <c r="E157" s="2238" t="str">
        <f t="shared" si="11"/>
        <v>AC</v>
      </c>
      <c r="F157" s="55">
        <v>15</v>
      </c>
      <c r="G157" s="55" t="s">
        <v>512</v>
      </c>
      <c r="J157" s="55" t="str">
        <f t="shared" si="10"/>
        <v>ACKP120</v>
      </c>
    </row>
    <row r="158" spans="1:10">
      <c r="A158" s="79" t="s">
        <v>853</v>
      </c>
      <c r="B158" s="1767"/>
      <c r="C158" s="79" t="s">
        <v>2763</v>
      </c>
      <c r="D158" s="80" t="s">
        <v>2254</v>
      </c>
      <c r="E158" s="2238" t="str">
        <f t="shared" si="11"/>
        <v>AC</v>
      </c>
      <c r="F158" s="55">
        <v>15</v>
      </c>
      <c r="G158" s="55" t="s">
        <v>512</v>
      </c>
      <c r="J158" s="55" t="str">
        <f t="shared" si="10"/>
        <v>ACKP150</v>
      </c>
    </row>
    <row r="159" spans="1:10">
      <c r="A159" s="79" t="s">
        <v>1373</v>
      </c>
      <c r="B159" s="1767"/>
      <c r="C159" s="79" t="s">
        <v>2764</v>
      </c>
      <c r="D159" s="80" t="s">
        <v>2254</v>
      </c>
      <c r="E159" s="2238" t="str">
        <f t="shared" si="11"/>
        <v>AC</v>
      </c>
      <c r="F159" s="55">
        <v>15</v>
      </c>
      <c r="G159" s="55" t="s">
        <v>512</v>
      </c>
      <c r="J159" s="55" t="str">
        <f t="shared" si="10"/>
        <v>ACKP185</v>
      </c>
    </row>
    <row r="160" spans="1:10">
      <c r="A160" s="79" t="s">
        <v>1372</v>
      </c>
      <c r="B160" s="1767"/>
      <c r="C160" s="79" t="s">
        <v>2765</v>
      </c>
      <c r="D160" s="80" t="s">
        <v>2254</v>
      </c>
      <c r="E160" s="2238" t="str">
        <f t="shared" si="11"/>
        <v>AC</v>
      </c>
      <c r="F160" s="55">
        <v>15</v>
      </c>
      <c r="G160" s="55" t="s">
        <v>512</v>
      </c>
      <c r="J160" s="55" t="str">
        <f t="shared" si="10"/>
        <v>ACKP240</v>
      </c>
    </row>
    <row r="161" spans="1:10">
      <c r="A161" s="79" t="s">
        <v>1620</v>
      </c>
      <c r="B161" s="84"/>
      <c r="C161" s="79" t="s">
        <v>2766</v>
      </c>
      <c r="D161" s="80" t="s">
        <v>2538</v>
      </c>
      <c r="E161" s="2238" t="str">
        <f t="shared" si="11"/>
        <v>AC</v>
      </c>
      <c r="F161" s="55">
        <v>11</v>
      </c>
      <c r="G161" s="55" t="s">
        <v>512</v>
      </c>
      <c r="J161" s="55" t="str">
        <f t="shared" si="10"/>
        <v>ACXV150</v>
      </c>
    </row>
    <row r="162" spans="1:10">
      <c r="A162" s="79" t="s">
        <v>360</v>
      </c>
      <c r="B162" s="84"/>
      <c r="C162" s="79" t="s">
        <v>4906</v>
      </c>
      <c r="D162" s="80" t="s">
        <v>2538</v>
      </c>
      <c r="E162" s="2238" t="str">
        <f t="shared" si="11"/>
        <v>AC</v>
      </c>
      <c r="F162" s="55">
        <v>11</v>
      </c>
      <c r="G162" s="55" t="s">
        <v>512</v>
      </c>
      <c r="J162" s="55" t="str">
        <f t="shared" si="10"/>
        <v>ACXV50</v>
      </c>
    </row>
    <row r="163" spans="1:10">
      <c r="A163" s="79" t="s">
        <v>540</v>
      </c>
      <c r="B163" s="1767"/>
      <c r="C163" s="79" t="s">
        <v>2767</v>
      </c>
      <c r="D163" s="80" t="s">
        <v>2254</v>
      </c>
      <c r="E163" s="2238" t="str">
        <f t="shared" si="11"/>
        <v>AC</v>
      </c>
      <c r="F163" s="55">
        <v>15</v>
      </c>
      <c r="G163" s="55" t="s">
        <v>512</v>
      </c>
      <c r="J163" s="55" t="str">
        <f t="shared" si="10"/>
        <v>AC35</v>
      </c>
    </row>
    <row r="164" spans="1:10">
      <c r="A164" s="79" t="s">
        <v>88</v>
      </c>
      <c r="B164" s="1767"/>
      <c r="C164" s="79" t="s">
        <v>2768</v>
      </c>
      <c r="D164" s="80" t="s">
        <v>2254</v>
      </c>
      <c r="E164" s="2238" t="str">
        <f t="shared" si="11"/>
        <v>AC</v>
      </c>
      <c r="F164" s="55">
        <v>15</v>
      </c>
      <c r="G164" s="55" t="s">
        <v>512</v>
      </c>
      <c r="J164" s="55" t="str">
        <f t="shared" si="10"/>
        <v>AC50</v>
      </c>
    </row>
    <row r="165" spans="1:10">
      <c r="A165" s="79" t="s">
        <v>1242</v>
      </c>
      <c r="B165" s="1767"/>
      <c r="C165" s="79" t="s">
        <v>2769</v>
      </c>
      <c r="D165" s="80" t="s">
        <v>2254</v>
      </c>
      <c r="E165" s="2238" t="str">
        <f t="shared" si="11"/>
        <v>AC</v>
      </c>
      <c r="F165" s="55">
        <v>15</v>
      </c>
      <c r="G165" s="55" t="s">
        <v>512</v>
      </c>
      <c r="J165" s="55" t="str">
        <f t="shared" si="10"/>
        <v>AC70</v>
      </c>
    </row>
    <row r="166" spans="1:10">
      <c r="A166" s="1768" t="s">
        <v>269</v>
      </c>
      <c r="B166" s="84"/>
      <c r="C166" s="79" t="s">
        <v>2770</v>
      </c>
      <c r="D166" s="80" t="s">
        <v>2254</v>
      </c>
      <c r="E166" s="2238" t="str">
        <f t="shared" si="11"/>
        <v>AC</v>
      </c>
      <c r="F166" s="55">
        <v>15</v>
      </c>
      <c r="G166" s="55" t="s">
        <v>512</v>
      </c>
      <c r="J166" s="55" t="str">
        <f t="shared" si="10"/>
        <v>AC95</v>
      </c>
    </row>
    <row r="167" spans="1:10">
      <c r="A167" s="79" t="s">
        <v>539</v>
      </c>
      <c r="B167" s="1767"/>
      <c r="C167" s="79" t="s">
        <v>2771</v>
      </c>
      <c r="D167" s="80" t="s">
        <v>2254</v>
      </c>
      <c r="E167" s="2238" t="str">
        <f t="shared" si="11"/>
        <v>AC</v>
      </c>
      <c r="F167" s="55">
        <v>15</v>
      </c>
      <c r="G167" s="55" t="s">
        <v>512</v>
      </c>
      <c r="J167" s="55" t="str">
        <f t="shared" si="10"/>
        <v>AC120</v>
      </c>
    </row>
    <row r="168" spans="1:10">
      <c r="A168" s="79" t="s">
        <v>841</v>
      </c>
      <c r="B168" s="1767"/>
      <c r="C168" s="79" t="s">
        <v>2772</v>
      </c>
      <c r="D168" s="80" t="s">
        <v>2254</v>
      </c>
      <c r="E168" s="2238" t="str">
        <f t="shared" si="11"/>
        <v>AC</v>
      </c>
      <c r="F168" s="55">
        <v>15</v>
      </c>
      <c r="G168" s="55" t="s">
        <v>512</v>
      </c>
      <c r="J168" s="55" t="str">
        <f t="shared" si="10"/>
        <v>AC150</v>
      </c>
    </row>
    <row r="169" spans="1:10">
      <c r="A169" s="79" t="s">
        <v>729</v>
      </c>
      <c r="B169" s="1767"/>
      <c r="C169" s="79" t="s">
        <v>2773</v>
      </c>
      <c r="D169" s="80" t="s">
        <v>2254</v>
      </c>
      <c r="E169" s="2238" t="str">
        <f t="shared" si="11"/>
        <v>AC</v>
      </c>
      <c r="F169" s="55">
        <v>15</v>
      </c>
      <c r="G169" s="55" t="s">
        <v>512</v>
      </c>
      <c r="J169" s="55" t="str">
        <f t="shared" si="10"/>
        <v>AC185</v>
      </c>
    </row>
    <row r="170" spans="1:10">
      <c r="A170" s="79" t="s">
        <v>728</v>
      </c>
      <c r="B170" s="1767"/>
      <c r="C170" s="79" t="s">
        <v>2774</v>
      </c>
      <c r="D170" s="80" t="s">
        <v>2254</v>
      </c>
      <c r="E170" s="2238" t="str">
        <f t="shared" si="11"/>
        <v>AC</v>
      </c>
      <c r="F170" s="55">
        <v>15</v>
      </c>
      <c r="G170" s="55" t="s">
        <v>512</v>
      </c>
      <c r="J170" s="55" t="str">
        <f t="shared" si="10"/>
        <v>AC240</v>
      </c>
    </row>
    <row r="171" spans="1:10">
      <c r="A171" s="79" t="s">
        <v>1736</v>
      </c>
      <c r="B171" s="84"/>
      <c r="C171" s="79" t="s">
        <v>2775</v>
      </c>
      <c r="D171" s="80" t="s">
        <v>2538</v>
      </c>
      <c r="E171" s="2238" t="str">
        <f t="shared" si="11"/>
        <v>av</v>
      </c>
      <c r="F171" s="55">
        <v>14</v>
      </c>
      <c r="G171" s="55" t="s">
        <v>512</v>
      </c>
      <c r="J171" s="55" t="str">
        <f t="shared" si="10"/>
        <v>av35</v>
      </c>
    </row>
    <row r="172" spans="1:10">
      <c r="A172" s="79" t="s">
        <v>210</v>
      </c>
      <c r="B172" s="84"/>
      <c r="C172" s="79" t="s">
        <v>2776</v>
      </c>
      <c r="D172" s="80" t="s">
        <v>2538</v>
      </c>
      <c r="E172" s="2238" t="str">
        <f t="shared" si="11"/>
        <v>av</v>
      </c>
      <c r="F172" s="55">
        <v>14</v>
      </c>
      <c r="G172" s="55" t="s">
        <v>512</v>
      </c>
      <c r="J172" s="55" t="str">
        <f t="shared" si="10"/>
        <v>av50</v>
      </c>
    </row>
    <row r="173" spans="1:10">
      <c r="A173" s="79" t="s">
        <v>211</v>
      </c>
      <c r="B173" s="84"/>
      <c r="C173" s="79" t="s">
        <v>2777</v>
      </c>
      <c r="D173" s="80" t="s">
        <v>2538</v>
      </c>
      <c r="E173" s="2238" t="str">
        <f t="shared" si="11"/>
        <v>av</v>
      </c>
      <c r="F173" s="55">
        <v>14</v>
      </c>
      <c r="G173" s="55" t="s">
        <v>512</v>
      </c>
      <c r="J173" s="55" t="str">
        <f t="shared" si="10"/>
        <v>av70</v>
      </c>
    </row>
    <row r="174" spans="1:10">
      <c r="A174" s="79" t="s">
        <v>212</v>
      </c>
      <c r="B174" s="84"/>
      <c r="C174" s="79" t="s">
        <v>2778</v>
      </c>
      <c r="D174" s="80" t="s">
        <v>2538</v>
      </c>
      <c r="E174" s="2238" t="str">
        <f t="shared" si="11"/>
        <v>av</v>
      </c>
      <c r="F174" s="55">
        <v>14</v>
      </c>
      <c r="G174" s="55" t="s">
        <v>512</v>
      </c>
      <c r="J174" s="55" t="str">
        <f t="shared" si="10"/>
        <v>av95</v>
      </c>
    </row>
    <row r="175" spans="1:10">
      <c r="A175" s="79" t="s">
        <v>154</v>
      </c>
      <c r="B175" s="84"/>
      <c r="C175" s="79" t="s">
        <v>2779</v>
      </c>
      <c r="D175" s="80" t="s">
        <v>2538</v>
      </c>
      <c r="E175" s="2238" t="str">
        <f t="shared" si="11"/>
        <v>av</v>
      </c>
      <c r="F175" s="55">
        <v>14</v>
      </c>
      <c r="G175" s="55" t="s">
        <v>512</v>
      </c>
      <c r="J175" s="55" t="str">
        <f t="shared" si="10"/>
        <v>av120</v>
      </c>
    </row>
    <row r="176" spans="1:10">
      <c r="A176" s="79" t="s">
        <v>1802</v>
      </c>
      <c r="B176" s="84"/>
      <c r="C176" s="79" t="s">
        <v>2780</v>
      </c>
      <c r="D176" s="80" t="s">
        <v>2538</v>
      </c>
      <c r="E176" s="2238" t="str">
        <f t="shared" si="11"/>
        <v>av</v>
      </c>
      <c r="F176" s="55">
        <v>14</v>
      </c>
      <c r="G176" s="55" t="s">
        <v>512</v>
      </c>
      <c r="J176" s="55" t="str">
        <f t="shared" si="10"/>
        <v>av150</v>
      </c>
    </row>
    <row r="177" spans="1:10">
      <c r="A177" s="79" t="s">
        <v>2110</v>
      </c>
      <c r="B177" s="84"/>
      <c r="C177" s="79" t="s">
        <v>2781</v>
      </c>
      <c r="D177" s="80" t="s">
        <v>2538</v>
      </c>
      <c r="E177" s="2238" t="str">
        <f t="shared" si="11"/>
        <v>av</v>
      </c>
      <c r="F177" s="55">
        <v>14</v>
      </c>
      <c r="G177" s="55" t="s">
        <v>512</v>
      </c>
      <c r="J177" s="55" t="str">
        <f t="shared" si="10"/>
        <v>av185</v>
      </c>
    </row>
    <row r="178" spans="1:10">
      <c r="A178" s="79" t="s">
        <v>872</v>
      </c>
      <c r="B178" s="84"/>
      <c r="C178" s="79" t="s">
        <v>2782</v>
      </c>
      <c r="D178" s="80" t="s">
        <v>2538</v>
      </c>
      <c r="E178" s="2238" t="str">
        <f t="shared" si="11"/>
        <v>av</v>
      </c>
      <c r="F178" s="55">
        <v>14</v>
      </c>
      <c r="G178" s="55" t="s">
        <v>512</v>
      </c>
      <c r="J178" s="55" t="str">
        <f t="shared" si="10"/>
        <v>av240</v>
      </c>
    </row>
    <row r="179" spans="1:10">
      <c r="A179" s="79" t="s">
        <v>873</v>
      </c>
      <c r="B179" s="84"/>
      <c r="C179" s="79" t="s">
        <v>2783</v>
      </c>
      <c r="D179" s="80" t="s">
        <v>2538</v>
      </c>
      <c r="E179" s="2238" t="str">
        <f t="shared" si="11"/>
        <v>av</v>
      </c>
      <c r="F179" s="55">
        <v>14</v>
      </c>
      <c r="G179" s="55" t="s">
        <v>512</v>
      </c>
      <c r="J179" s="55" t="str">
        <f t="shared" si="10"/>
        <v>av300</v>
      </c>
    </row>
    <row r="180" spans="1:10">
      <c r="A180" s="1769" t="s">
        <v>2266</v>
      </c>
      <c r="B180" s="84"/>
      <c r="C180" s="79" t="s">
        <v>2784</v>
      </c>
      <c r="D180" s="80" t="s">
        <v>2538</v>
      </c>
      <c r="E180" s="2238" t="str">
        <f t="shared" si="11"/>
        <v>AB</v>
      </c>
      <c r="F180" s="55">
        <v>11</v>
      </c>
      <c r="G180" s="55" t="s">
        <v>512</v>
      </c>
      <c r="J180" s="55" t="str">
        <f t="shared" si="10"/>
        <v>ABC3x50</v>
      </c>
    </row>
    <row r="181" spans="1:10">
      <c r="A181" s="1769" t="s">
        <v>2267</v>
      </c>
      <c r="B181" s="84"/>
      <c r="C181" s="79" t="s">
        <v>2785</v>
      </c>
      <c r="D181" s="80" t="s">
        <v>2538</v>
      </c>
      <c r="E181" s="2238" t="str">
        <f t="shared" si="11"/>
        <v>AB</v>
      </c>
      <c r="F181" s="55">
        <v>11</v>
      </c>
      <c r="G181" s="55" t="s">
        <v>512</v>
      </c>
      <c r="J181" s="55" t="str">
        <f t="shared" si="10"/>
        <v>ABC3x70</v>
      </c>
    </row>
    <row r="182" spans="1:10">
      <c r="A182" s="1769" t="s">
        <v>1149</v>
      </c>
      <c r="B182" s="84"/>
      <c r="C182" s="79" t="s">
        <v>2786</v>
      </c>
      <c r="D182" s="80" t="s">
        <v>2538</v>
      </c>
      <c r="E182" s="2238" t="str">
        <f t="shared" si="11"/>
        <v>AB</v>
      </c>
      <c r="F182" s="55">
        <v>11</v>
      </c>
      <c r="G182" s="55" t="s">
        <v>512</v>
      </c>
      <c r="J182" s="55" t="str">
        <f t="shared" si="10"/>
        <v>ABC4x50</v>
      </c>
    </row>
    <row r="183" spans="1:10">
      <c r="A183" s="1769" t="s">
        <v>1150</v>
      </c>
      <c r="B183" s="84"/>
      <c r="C183" s="79" t="s">
        <v>2787</v>
      </c>
      <c r="D183" s="80" t="s">
        <v>2538</v>
      </c>
      <c r="E183" s="2238" t="str">
        <f t="shared" si="11"/>
        <v>AB</v>
      </c>
      <c r="F183" s="55">
        <v>11</v>
      </c>
      <c r="G183" s="55" t="s">
        <v>512</v>
      </c>
      <c r="J183" s="55" t="str">
        <f t="shared" si="10"/>
        <v>ABC4x70</v>
      </c>
    </row>
    <row r="184" spans="1:10">
      <c r="A184" s="1769" t="s">
        <v>2268</v>
      </c>
      <c r="B184" s="84"/>
      <c r="C184" s="79" t="s">
        <v>4351</v>
      </c>
      <c r="D184" s="80" t="s">
        <v>2538</v>
      </c>
      <c r="E184" s="2238" t="str">
        <f t="shared" si="11"/>
        <v>AB</v>
      </c>
      <c r="F184" s="55">
        <v>11</v>
      </c>
      <c r="G184" s="55" t="s">
        <v>512</v>
      </c>
      <c r="J184" s="55" t="str">
        <f t="shared" si="10"/>
        <v>ABC3x95</v>
      </c>
    </row>
    <row r="185" spans="1:10">
      <c r="A185" s="1769" t="s">
        <v>1151</v>
      </c>
      <c r="B185" s="84"/>
      <c r="C185" s="79" t="s">
        <v>4508</v>
      </c>
      <c r="D185" s="80" t="s">
        <v>2538</v>
      </c>
      <c r="E185" s="2238" t="str">
        <f t="shared" ref="E185" si="14">LEFT(A185,2)</f>
        <v>AB</v>
      </c>
      <c r="F185" s="55">
        <v>11</v>
      </c>
      <c r="G185" s="55" t="s">
        <v>512</v>
      </c>
      <c r="J185" s="55" t="str">
        <f t="shared" si="10"/>
        <v>ABC4x95</v>
      </c>
    </row>
    <row r="186" spans="1:10">
      <c r="A186" s="1769" t="s">
        <v>1152</v>
      </c>
      <c r="B186" s="84"/>
      <c r="C186" s="79" t="s">
        <v>2788</v>
      </c>
      <c r="D186" s="80" t="s">
        <v>2538</v>
      </c>
      <c r="E186" s="2238" t="str">
        <f t="shared" si="11"/>
        <v>AB</v>
      </c>
      <c r="F186" s="55">
        <v>11</v>
      </c>
      <c r="G186" s="55" t="s">
        <v>512</v>
      </c>
      <c r="J186" s="55" t="str">
        <f t="shared" si="10"/>
        <v>ABC4x120</v>
      </c>
    </row>
    <row r="187" spans="1:10">
      <c r="A187" s="1769" t="s">
        <v>116</v>
      </c>
      <c r="B187" s="84"/>
      <c r="C187" s="79" t="s">
        <v>2789</v>
      </c>
      <c r="D187" s="80" t="s">
        <v>2538</v>
      </c>
      <c r="E187" s="2238" t="str">
        <f t="shared" si="11"/>
        <v>AB</v>
      </c>
      <c r="F187" s="55">
        <v>11</v>
      </c>
      <c r="G187" s="55" t="s">
        <v>512</v>
      </c>
      <c r="J187" s="55" t="str">
        <f t="shared" si="10"/>
        <v>ABC4x150</v>
      </c>
    </row>
    <row r="188" spans="1:10">
      <c r="A188" s="79" t="s">
        <v>8</v>
      </c>
      <c r="B188" s="83" t="s">
        <v>1530</v>
      </c>
      <c r="C188" s="79" t="s">
        <v>2790</v>
      </c>
      <c r="D188" s="80" t="s">
        <v>2538</v>
      </c>
      <c r="E188" s="2238" t="str">
        <f t="shared" si="11"/>
        <v>CV</v>
      </c>
      <c r="F188" s="55">
        <v>9</v>
      </c>
      <c r="G188" s="55" t="s">
        <v>512</v>
      </c>
      <c r="J188" s="55" t="str">
        <f t="shared" si="10"/>
        <v>CVV2x2,5</v>
      </c>
    </row>
    <row r="189" spans="1:10">
      <c r="A189" s="79" t="s">
        <v>1171</v>
      </c>
      <c r="B189" s="83" t="s">
        <v>1530</v>
      </c>
      <c r="C189" s="81" t="s">
        <v>2791</v>
      </c>
      <c r="D189" s="80" t="s">
        <v>2538</v>
      </c>
      <c r="E189" s="2238" t="str">
        <f t="shared" si="11"/>
        <v>CV</v>
      </c>
      <c r="F189" s="55">
        <v>9</v>
      </c>
      <c r="G189" s="55" t="s">
        <v>512</v>
      </c>
      <c r="J189" s="55" t="str">
        <f t="shared" si="10"/>
        <v>CVV316</v>
      </c>
    </row>
    <row r="190" spans="1:10">
      <c r="A190" s="79" t="s">
        <v>1826</v>
      </c>
      <c r="B190" s="83" t="s">
        <v>1530</v>
      </c>
      <c r="C190" s="79" t="s">
        <v>2792</v>
      </c>
      <c r="D190" s="80" t="s">
        <v>2538</v>
      </c>
      <c r="E190" s="2238" t="str">
        <f t="shared" si="11"/>
        <v>CV</v>
      </c>
      <c r="F190" s="55">
        <v>9</v>
      </c>
      <c r="G190" s="55" t="s">
        <v>512</v>
      </c>
      <c r="J190" s="55" t="str">
        <f t="shared" si="10"/>
        <v>CVV4X2,5</v>
      </c>
    </row>
    <row r="191" spans="1:10">
      <c r="A191" s="79" t="s">
        <v>2145</v>
      </c>
      <c r="B191" s="83"/>
      <c r="C191" s="79" t="s">
        <v>2793</v>
      </c>
      <c r="D191" s="80" t="s">
        <v>2538</v>
      </c>
      <c r="E191" s="2238" t="str">
        <f t="shared" si="11"/>
        <v>M5</v>
      </c>
      <c r="F191" s="55">
        <v>50</v>
      </c>
      <c r="G191" s="55" t="s">
        <v>512</v>
      </c>
      <c r="J191" s="55" t="str">
        <f t="shared" si="10"/>
        <v>M5M</v>
      </c>
    </row>
    <row r="192" spans="1:10">
      <c r="A192" s="79" t="s">
        <v>2282</v>
      </c>
      <c r="B192" s="83" t="s">
        <v>1530</v>
      </c>
      <c r="C192" s="79" t="s">
        <v>2794</v>
      </c>
      <c r="D192" s="80" t="s">
        <v>2538</v>
      </c>
      <c r="E192" s="2238" t="str">
        <f t="shared" si="11"/>
        <v>CV</v>
      </c>
      <c r="F192" s="55">
        <v>9</v>
      </c>
      <c r="G192" s="55" t="s">
        <v>512</v>
      </c>
      <c r="J192" s="55" t="str">
        <f t="shared" si="10"/>
        <v>CVV4X4</v>
      </c>
    </row>
    <row r="193" spans="1:10">
      <c r="A193" s="79" t="s">
        <v>1371</v>
      </c>
      <c r="B193" s="1770" t="s">
        <v>2255</v>
      </c>
      <c r="C193" s="79" t="s">
        <v>2795</v>
      </c>
      <c r="D193" s="80" t="s">
        <v>2538</v>
      </c>
      <c r="E193" s="2238" t="str">
        <f t="shared" si="11"/>
        <v>CV</v>
      </c>
      <c r="F193" s="55">
        <v>8</v>
      </c>
      <c r="G193" s="55" t="s">
        <v>512</v>
      </c>
      <c r="J193" s="55" t="str">
        <f t="shared" si="10"/>
        <v>CV2,5</v>
      </c>
    </row>
    <row r="194" spans="1:10">
      <c r="A194" s="79" t="s">
        <v>2113</v>
      </c>
      <c r="B194" s="1770" t="s">
        <v>2255</v>
      </c>
      <c r="C194" s="79" t="s">
        <v>2796</v>
      </c>
      <c r="D194" s="80" t="s">
        <v>2538</v>
      </c>
      <c r="E194" s="2238" t="str">
        <f t="shared" si="11"/>
        <v>cv</v>
      </c>
      <c r="F194" s="55">
        <v>9</v>
      </c>
      <c r="G194" s="55" t="s">
        <v>512</v>
      </c>
      <c r="J194" s="55" t="str">
        <f t="shared" si="10"/>
        <v>cv11</v>
      </c>
    </row>
    <row r="195" spans="1:10">
      <c r="A195" s="79" t="s">
        <v>497</v>
      </c>
      <c r="B195" s="1770" t="s">
        <v>2255</v>
      </c>
      <c r="C195" s="79" t="s">
        <v>2797</v>
      </c>
      <c r="D195" s="80" t="s">
        <v>2538</v>
      </c>
      <c r="E195" s="2238" t="str">
        <f t="shared" si="11"/>
        <v>cv</v>
      </c>
      <c r="F195" s="55">
        <v>8</v>
      </c>
      <c r="G195" s="55" t="s">
        <v>512</v>
      </c>
      <c r="J195" s="55" t="str">
        <f t="shared" si="10"/>
        <v>cv16</v>
      </c>
    </row>
    <row r="196" spans="1:10">
      <c r="A196" s="79" t="s">
        <v>1529</v>
      </c>
      <c r="B196" s="1770"/>
      <c r="C196" s="79" t="s">
        <v>2798</v>
      </c>
      <c r="D196" s="80" t="s">
        <v>2538</v>
      </c>
      <c r="E196" s="2238" t="str">
        <f t="shared" ref="E196" si="15">LEFT(A196,2)</f>
        <v>cv</v>
      </c>
      <c r="F196" s="55">
        <v>8</v>
      </c>
      <c r="G196" s="55" t="s">
        <v>512</v>
      </c>
      <c r="J196" s="55" t="str">
        <f t="shared" ref="J196" si="16">A196</f>
        <v>cv25</v>
      </c>
    </row>
    <row r="197" spans="1:10">
      <c r="A197" s="79" t="s">
        <v>4948</v>
      </c>
      <c r="B197" s="1770"/>
      <c r="C197" s="79" t="s">
        <v>4949</v>
      </c>
      <c r="D197" s="80" t="s">
        <v>2538</v>
      </c>
      <c r="E197" s="2238" t="str">
        <f t="shared" si="11"/>
        <v>cx</v>
      </c>
      <c r="F197" s="55">
        <v>8</v>
      </c>
      <c r="G197" s="55" t="s">
        <v>512</v>
      </c>
      <c r="J197" s="55" t="str">
        <f t="shared" si="10"/>
        <v>cxv25</v>
      </c>
    </row>
    <row r="198" spans="1:10">
      <c r="A198" s="79" t="s">
        <v>60</v>
      </c>
      <c r="B198" s="1770"/>
      <c r="C198" s="79" t="s">
        <v>2799</v>
      </c>
      <c r="D198" s="80" t="s">
        <v>2538</v>
      </c>
      <c r="E198" s="2238" t="str">
        <f t="shared" si="11"/>
        <v>cv</v>
      </c>
      <c r="F198" s="55">
        <v>8</v>
      </c>
      <c r="G198" s="55" t="s">
        <v>512</v>
      </c>
      <c r="J198" s="55" t="str">
        <f t="shared" si="10"/>
        <v>cv35</v>
      </c>
    </row>
    <row r="199" spans="1:10">
      <c r="A199" s="79" t="s">
        <v>273</v>
      </c>
      <c r="B199" s="1770"/>
      <c r="C199" s="79" t="s">
        <v>2800</v>
      </c>
      <c r="D199" s="80" t="s">
        <v>2538</v>
      </c>
      <c r="E199" s="2238" t="str">
        <f t="shared" si="11"/>
        <v>cv</v>
      </c>
      <c r="F199" s="55">
        <v>8</v>
      </c>
      <c r="G199" s="55" t="s">
        <v>512</v>
      </c>
      <c r="J199" s="55" t="str">
        <f t="shared" si="10"/>
        <v>cv50</v>
      </c>
    </row>
    <row r="200" spans="1:10">
      <c r="A200" s="79" t="s">
        <v>1626</v>
      </c>
      <c r="B200" s="1770"/>
      <c r="C200" s="79" t="s">
        <v>2801</v>
      </c>
      <c r="D200" s="80" t="s">
        <v>2538</v>
      </c>
      <c r="E200" s="2238" t="str">
        <f t="shared" si="11"/>
        <v>cv</v>
      </c>
      <c r="F200" s="55">
        <v>8</v>
      </c>
      <c r="G200" s="55" t="s">
        <v>512</v>
      </c>
      <c r="J200" s="55" t="str">
        <f t="shared" ref="J200:J264" si="17">A200</f>
        <v>cv70</v>
      </c>
    </row>
    <row r="201" spans="1:10">
      <c r="A201" s="79" t="s">
        <v>274</v>
      </c>
      <c r="B201" s="1770"/>
      <c r="C201" s="79" t="s">
        <v>2802</v>
      </c>
      <c r="D201" s="80" t="s">
        <v>2538</v>
      </c>
      <c r="E201" s="2238" t="str">
        <f t="shared" si="11"/>
        <v>cv</v>
      </c>
      <c r="F201" s="55">
        <v>8</v>
      </c>
      <c r="G201" s="55" t="s">
        <v>512</v>
      </c>
      <c r="J201" s="55" t="str">
        <f t="shared" si="17"/>
        <v>cv95</v>
      </c>
    </row>
    <row r="202" spans="1:10">
      <c r="A202" s="79" t="s">
        <v>32</v>
      </c>
      <c r="B202" s="84"/>
      <c r="C202" s="79" t="s">
        <v>2803</v>
      </c>
      <c r="D202" s="80" t="s">
        <v>2538</v>
      </c>
      <c r="E202" s="2238" t="str">
        <f t="shared" si="11"/>
        <v>cv</v>
      </c>
      <c r="F202" s="55">
        <v>8</v>
      </c>
      <c r="G202" s="55" t="s">
        <v>512</v>
      </c>
      <c r="J202" s="55" t="str">
        <f t="shared" si="17"/>
        <v>cv120</v>
      </c>
    </row>
    <row r="203" spans="1:10">
      <c r="A203" s="79" t="s">
        <v>34</v>
      </c>
      <c r="B203" s="84"/>
      <c r="C203" s="79" t="s">
        <v>2804</v>
      </c>
      <c r="D203" s="80" t="s">
        <v>2538</v>
      </c>
      <c r="E203" s="2238" t="str">
        <f t="shared" ref="E203:E269" si="18">LEFT(A203,2)</f>
        <v>cv</v>
      </c>
      <c r="F203" s="55">
        <v>8</v>
      </c>
      <c r="G203" s="55" t="s">
        <v>512</v>
      </c>
      <c r="J203" s="55" t="str">
        <f t="shared" si="17"/>
        <v>cv150</v>
      </c>
    </row>
    <row r="204" spans="1:10">
      <c r="A204" s="79" t="s">
        <v>1013</v>
      </c>
      <c r="B204" s="84"/>
      <c r="C204" s="79" t="s">
        <v>2805</v>
      </c>
      <c r="D204" s="80" t="s">
        <v>2538</v>
      </c>
      <c r="E204" s="2238" t="str">
        <f t="shared" si="18"/>
        <v>cv</v>
      </c>
      <c r="F204" s="55">
        <v>8</v>
      </c>
      <c r="G204" s="55" t="s">
        <v>512</v>
      </c>
      <c r="J204" s="55" t="str">
        <f t="shared" si="17"/>
        <v>cv185</v>
      </c>
    </row>
    <row r="205" spans="1:10">
      <c r="A205" s="79" t="s">
        <v>608</v>
      </c>
      <c r="B205" s="84"/>
      <c r="C205" s="79" t="s">
        <v>2806</v>
      </c>
      <c r="D205" s="80" t="s">
        <v>2538</v>
      </c>
      <c r="E205" s="2238" t="str">
        <f t="shared" si="18"/>
        <v>cv</v>
      </c>
      <c r="F205" s="55">
        <v>8</v>
      </c>
      <c r="G205" s="55" t="s">
        <v>512</v>
      </c>
      <c r="J205" s="55" t="str">
        <f t="shared" si="17"/>
        <v>cv200</v>
      </c>
    </row>
    <row r="206" spans="1:10">
      <c r="A206" s="79" t="s">
        <v>1574</v>
      </c>
      <c r="B206" s="84"/>
      <c r="C206" s="79" t="s">
        <v>2807</v>
      </c>
      <c r="D206" s="80" t="s">
        <v>2538</v>
      </c>
      <c r="E206" s="2238" t="str">
        <f t="shared" si="18"/>
        <v>cv</v>
      </c>
      <c r="F206" s="55">
        <v>8</v>
      </c>
      <c r="G206" s="55" t="s">
        <v>512</v>
      </c>
      <c r="J206" s="55" t="str">
        <f t="shared" si="17"/>
        <v>cv240</v>
      </c>
    </row>
    <row r="207" spans="1:10">
      <c r="A207" s="79" t="s">
        <v>89</v>
      </c>
      <c r="B207" s="84"/>
      <c r="C207" s="79" t="s">
        <v>2808</v>
      </c>
      <c r="D207" s="80" t="s">
        <v>2538</v>
      </c>
      <c r="E207" s="2238" t="str">
        <f t="shared" si="18"/>
        <v>cv</v>
      </c>
      <c r="F207" s="55">
        <v>8</v>
      </c>
      <c r="G207" s="55" t="s">
        <v>512</v>
      </c>
      <c r="J207" s="55" t="str">
        <f t="shared" si="17"/>
        <v>cv250</v>
      </c>
    </row>
    <row r="208" spans="1:10">
      <c r="A208" s="79" t="s">
        <v>2154</v>
      </c>
      <c r="B208" s="84"/>
      <c r="C208" s="79" t="s">
        <v>2809</v>
      </c>
      <c r="D208" s="80" t="s">
        <v>2538</v>
      </c>
      <c r="E208" s="2238" t="str">
        <f t="shared" si="18"/>
        <v>cv</v>
      </c>
      <c r="F208" s="55">
        <v>8</v>
      </c>
      <c r="G208" s="55" t="s">
        <v>512</v>
      </c>
      <c r="J208" s="55" t="str">
        <f t="shared" si="17"/>
        <v>cv300</v>
      </c>
    </row>
    <row r="209" spans="1:10">
      <c r="A209" s="79" t="s">
        <v>1915</v>
      </c>
      <c r="B209" s="84"/>
      <c r="C209" s="79" t="s">
        <v>2810</v>
      </c>
      <c r="D209" s="80" t="s">
        <v>2538</v>
      </c>
      <c r="E209" s="2238" t="str">
        <f t="shared" si="18"/>
        <v>cv</v>
      </c>
      <c r="F209" s="55">
        <v>8</v>
      </c>
      <c r="G209" s="55" t="s">
        <v>512</v>
      </c>
      <c r="J209" s="55" t="str">
        <f t="shared" si="17"/>
        <v>cv400</v>
      </c>
    </row>
    <row r="210" spans="1:10">
      <c r="A210" s="79" t="s">
        <v>1475</v>
      </c>
      <c r="B210" s="84"/>
      <c r="C210" s="79" t="s">
        <v>2811</v>
      </c>
      <c r="D210" s="80" t="s">
        <v>2538</v>
      </c>
      <c r="E210" s="2238" t="str">
        <f t="shared" si="18"/>
        <v>ac</v>
      </c>
      <c r="F210" s="55">
        <v>13</v>
      </c>
      <c r="G210" s="55" t="s">
        <v>512</v>
      </c>
      <c r="J210" s="55" t="str">
        <f t="shared" si="17"/>
        <v>acv35</v>
      </c>
    </row>
    <row r="211" spans="1:10">
      <c r="A211" s="79" t="s">
        <v>884</v>
      </c>
      <c r="B211" s="84"/>
      <c r="C211" s="79" t="s">
        <v>2812</v>
      </c>
      <c r="D211" s="80" t="s">
        <v>2538</v>
      </c>
      <c r="E211" s="2238" t="str">
        <f t="shared" si="18"/>
        <v>ac</v>
      </c>
      <c r="F211" s="55">
        <v>13</v>
      </c>
      <c r="G211" s="55" t="s">
        <v>512</v>
      </c>
      <c r="J211" s="55" t="str">
        <f t="shared" si="17"/>
        <v>acv50</v>
      </c>
    </row>
    <row r="212" spans="1:10">
      <c r="A212" s="79" t="s">
        <v>603</v>
      </c>
      <c r="B212" s="84"/>
      <c r="C212" s="79" t="s">
        <v>2813</v>
      </c>
      <c r="D212" s="80" t="s">
        <v>2538</v>
      </c>
      <c r="E212" s="2238" t="str">
        <f t="shared" si="18"/>
        <v>ac</v>
      </c>
      <c r="F212" s="55">
        <v>13</v>
      </c>
      <c r="G212" s="55" t="s">
        <v>512</v>
      </c>
      <c r="J212" s="55" t="str">
        <f t="shared" si="17"/>
        <v>acv70</v>
      </c>
    </row>
    <row r="213" spans="1:10">
      <c r="A213" s="79" t="s">
        <v>645</v>
      </c>
      <c r="B213" s="84"/>
      <c r="C213" s="79" t="s">
        <v>2814</v>
      </c>
      <c r="D213" s="80" t="s">
        <v>2538</v>
      </c>
      <c r="E213" s="2238" t="str">
        <f t="shared" si="18"/>
        <v>ac</v>
      </c>
      <c r="F213" s="55">
        <v>13</v>
      </c>
      <c r="G213" s="55" t="s">
        <v>512</v>
      </c>
      <c r="J213" s="55" t="str">
        <f t="shared" si="17"/>
        <v>acv95</v>
      </c>
    </row>
    <row r="214" spans="1:10">
      <c r="A214" s="79" t="s">
        <v>66</v>
      </c>
      <c r="B214" s="84"/>
      <c r="C214" s="79" t="s">
        <v>2815</v>
      </c>
      <c r="D214" s="80" t="s">
        <v>2538</v>
      </c>
      <c r="E214" s="2238" t="str">
        <f t="shared" si="18"/>
        <v>ac</v>
      </c>
      <c r="F214" s="55">
        <v>13</v>
      </c>
      <c r="G214" s="55" t="s">
        <v>512</v>
      </c>
      <c r="J214" s="55" t="str">
        <f t="shared" si="17"/>
        <v>acv120</v>
      </c>
    </row>
    <row r="215" spans="1:10">
      <c r="A215" s="79" t="s">
        <v>206</v>
      </c>
      <c r="B215" s="84"/>
      <c r="C215" s="79" t="s">
        <v>2816</v>
      </c>
      <c r="D215" s="80" t="s">
        <v>2538</v>
      </c>
      <c r="E215" s="2238" t="str">
        <f t="shared" si="18"/>
        <v>ac</v>
      </c>
      <c r="F215" s="55">
        <v>13</v>
      </c>
      <c r="G215" s="55" t="s">
        <v>512</v>
      </c>
      <c r="J215" s="55" t="str">
        <f t="shared" si="17"/>
        <v>acv150</v>
      </c>
    </row>
    <row r="216" spans="1:10">
      <c r="A216" s="79" t="s">
        <v>207</v>
      </c>
      <c r="B216" s="84"/>
      <c r="C216" s="79" t="s">
        <v>2817</v>
      </c>
      <c r="D216" s="80" t="s">
        <v>2538</v>
      </c>
      <c r="E216" s="2238" t="str">
        <f t="shared" si="18"/>
        <v>ac</v>
      </c>
      <c r="F216" s="55">
        <v>13</v>
      </c>
      <c r="G216" s="55" t="s">
        <v>512</v>
      </c>
      <c r="J216" s="55" t="str">
        <f t="shared" si="17"/>
        <v>acv185</v>
      </c>
    </row>
    <row r="217" spans="1:10">
      <c r="A217" s="79" t="s">
        <v>208</v>
      </c>
      <c r="B217" s="84"/>
      <c r="C217" s="79" t="s">
        <v>2818</v>
      </c>
      <c r="D217" s="80" t="s">
        <v>2538</v>
      </c>
      <c r="E217" s="2238" t="str">
        <f t="shared" si="18"/>
        <v>ac</v>
      </c>
      <c r="F217" s="55">
        <v>13</v>
      </c>
      <c r="G217" s="55" t="s">
        <v>512</v>
      </c>
      <c r="J217" s="55" t="str">
        <f t="shared" si="17"/>
        <v>acv240</v>
      </c>
    </row>
    <row r="218" spans="1:10">
      <c r="A218" s="79" t="s">
        <v>1040</v>
      </c>
      <c r="B218" s="1767"/>
      <c r="C218" s="79" t="s">
        <v>2819</v>
      </c>
      <c r="D218" s="80" t="s">
        <v>2254</v>
      </c>
      <c r="E218" s="2238" t="str">
        <f t="shared" si="18"/>
        <v>A3</v>
      </c>
      <c r="F218" s="55">
        <v>14</v>
      </c>
      <c r="G218" s="55" t="s">
        <v>512</v>
      </c>
      <c r="J218" s="55" t="str">
        <f t="shared" si="17"/>
        <v>A35</v>
      </c>
    </row>
    <row r="219" spans="1:10">
      <c r="A219" s="79" t="s">
        <v>295</v>
      </c>
      <c r="B219" s="1767"/>
      <c r="C219" s="79" t="s">
        <v>2820</v>
      </c>
      <c r="D219" s="80" t="s">
        <v>2254</v>
      </c>
      <c r="E219" s="2238" t="str">
        <f t="shared" si="18"/>
        <v>A5</v>
      </c>
      <c r="F219" s="55">
        <v>14</v>
      </c>
      <c r="G219" s="55" t="s">
        <v>512</v>
      </c>
      <c r="J219" s="55" t="str">
        <f t="shared" si="17"/>
        <v>A50</v>
      </c>
    </row>
    <row r="220" spans="1:10">
      <c r="A220" s="79" t="s">
        <v>659</v>
      </c>
      <c r="B220" s="1767"/>
      <c r="C220" s="79" t="s">
        <v>2821</v>
      </c>
      <c r="D220" s="80" t="s">
        <v>2254</v>
      </c>
      <c r="E220" s="2238" t="str">
        <f t="shared" si="18"/>
        <v>A7</v>
      </c>
      <c r="F220" s="55">
        <v>14</v>
      </c>
      <c r="G220" s="55" t="s">
        <v>512</v>
      </c>
      <c r="J220" s="55" t="str">
        <f t="shared" si="17"/>
        <v>A70</v>
      </c>
    </row>
    <row r="221" spans="1:10">
      <c r="A221" s="79" t="s">
        <v>660</v>
      </c>
      <c r="B221" s="1767"/>
      <c r="C221" s="79" t="s">
        <v>2822</v>
      </c>
      <c r="D221" s="80" t="s">
        <v>2254</v>
      </c>
      <c r="E221" s="2238" t="str">
        <f t="shared" si="18"/>
        <v>A9</v>
      </c>
      <c r="F221" s="55">
        <v>14</v>
      </c>
      <c r="G221" s="55" t="s">
        <v>512</v>
      </c>
      <c r="J221" s="55" t="str">
        <f t="shared" si="17"/>
        <v>A95</v>
      </c>
    </row>
    <row r="222" spans="1:10">
      <c r="A222" s="79" t="s">
        <v>661</v>
      </c>
      <c r="B222" s="1767"/>
      <c r="C222" s="79" t="s">
        <v>2823</v>
      </c>
      <c r="D222" s="80" t="s">
        <v>2254</v>
      </c>
      <c r="E222" s="2238" t="str">
        <f t="shared" si="18"/>
        <v>A1</v>
      </c>
      <c r="F222" s="55">
        <v>14</v>
      </c>
      <c r="G222" s="55" t="s">
        <v>512</v>
      </c>
      <c r="J222" s="55" t="str">
        <f t="shared" si="17"/>
        <v>A120</v>
      </c>
    </row>
    <row r="223" spans="1:10">
      <c r="A223" s="79" t="s">
        <v>2185</v>
      </c>
      <c r="B223" s="1767"/>
      <c r="C223" s="79" t="s">
        <v>2824</v>
      </c>
      <c r="D223" s="80" t="s">
        <v>2254</v>
      </c>
      <c r="E223" s="2238" t="str">
        <f t="shared" si="18"/>
        <v>A1</v>
      </c>
      <c r="F223" s="55">
        <v>14</v>
      </c>
      <c r="G223" s="55" t="s">
        <v>512</v>
      </c>
      <c r="J223" s="55" t="str">
        <f t="shared" si="17"/>
        <v>A150</v>
      </c>
    </row>
    <row r="224" spans="1:10">
      <c r="A224" s="79" t="s">
        <v>1070</v>
      </c>
      <c r="B224" s="1767"/>
      <c r="C224" s="79" t="s">
        <v>2825</v>
      </c>
      <c r="D224" s="80" t="s">
        <v>2254</v>
      </c>
      <c r="E224" s="2238" t="str">
        <f t="shared" si="18"/>
        <v>A1</v>
      </c>
      <c r="F224" s="55">
        <v>14</v>
      </c>
      <c r="G224" s="55" t="s">
        <v>512</v>
      </c>
      <c r="J224" s="55" t="str">
        <f t="shared" si="17"/>
        <v>A185</v>
      </c>
    </row>
    <row r="225" spans="1:10">
      <c r="A225" s="79" t="s">
        <v>1071</v>
      </c>
      <c r="B225" s="1767"/>
      <c r="C225" s="79" t="s">
        <v>2826</v>
      </c>
      <c r="D225" s="80" t="s">
        <v>2254</v>
      </c>
      <c r="E225" s="2238" t="str">
        <f t="shared" si="18"/>
        <v>A2</v>
      </c>
      <c r="F225" s="55">
        <v>14</v>
      </c>
      <c r="G225" s="55" t="s">
        <v>512</v>
      </c>
      <c r="J225" s="55" t="str">
        <f t="shared" si="17"/>
        <v>A240</v>
      </c>
    </row>
    <row r="226" spans="1:10">
      <c r="A226" s="1771" t="s">
        <v>275</v>
      </c>
      <c r="B226" s="84"/>
      <c r="C226" s="79" t="s">
        <v>2827</v>
      </c>
      <c r="D226" s="80" t="s">
        <v>2254</v>
      </c>
      <c r="E226" s="2238" t="str">
        <f t="shared" si="18"/>
        <v>C3</v>
      </c>
      <c r="F226" s="55">
        <v>16</v>
      </c>
      <c r="G226" s="55" t="s">
        <v>512</v>
      </c>
      <c r="J226" s="55" t="str">
        <f t="shared" si="17"/>
        <v>C3/8</v>
      </c>
    </row>
    <row r="227" spans="1:10">
      <c r="A227" s="1771" t="s">
        <v>4967</v>
      </c>
      <c r="B227" s="84"/>
      <c r="C227" s="79" t="s">
        <v>2828</v>
      </c>
      <c r="D227" s="80" t="s">
        <v>2538</v>
      </c>
      <c r="E227" s="2238" t="str">
        <f t="shared" ref="E227" si="19">LEFT(A227,2)</f>
        <v>C5</v>
      </c>
      <c r="F227" s="55">
        <v>16</v>
      </c>
      <c r="G227" s="55" t="s">
        <v>512</v>
      </c>
      <c r="J227" s="55" t="str">
        <f t="shared" ref="J227" si="20">A227</f>
        <v>C5/8m</v>
      </c>
    </row>
    <row r="228" spans="1:10">
      <c r="A228" s="1771" t="s">
        <v>1362</v>
      </c>
      <c r="B228" s="84"/>
      <c r="C228" s="79" t="s">
        <v>2828</v>
      </c>
      <c r="D228" s="80" t="s">
        <v>2254</v>
      </c>
      <c r="E228" s="2238" t="str">
        <f t="shared" si="18"/>
        <v>C5</v>
      </c>
      <c r="F228" s="55">
        <v>16</v>
      </c>
      <c r="G228" s="55" t="s">
        <v>512</v>
      </c>
      <c r="J228" s="55" t="str">
        <f t="shared" si="17"/>
        <v>C5/8</v>
      </c>
    </row>
    <row r="229" spans="1:10">
      <c r="A229" s="79" t="s">
        <v>1269</v>
      </c>
      <c r="B229" s="1767"/>
      <c r="C229" s="79" t="s">
        <v>2829</v>
      </c>
      <c r="D229" s="80" t="s">
        <v>2563</v>
      </c>
      <c r="E229" s="2238" t="str">
        <f t="shared" si="18"/>
        <v>CS</v>
      </c>
      <c r="F229" s="55">
        <v>50</v>
      </c>
      <c r="G229" s="55" t="s">
        <v>512</v>
      </c>
      <c r="J229" s="55" t="str">
        <f t="shared" si="17"/>
        <v>CSDI</v>
      </c>
    </row>
    <row r="230" spans="1:10">
      <c r="A230" s="79" t="s">
        <v>590</v>
      </c>
      <c r="B230" s="1767"/>
      <c r="C230" s="79" t="s">
        <v>2830</v>
      </c>
      <c r="D230" s="80" t="s">
        <v>2563</v>
      </c>
      <c r="E230" s="2238" t="str">
        <f t="shared" si="18"/>
        <v>CS</v>
      </c>
      <c r="F230" s="55">
        <v>50</v>
      </c>
      <c r="G230" s="55" t="s">
        <v>512</v>
      </c>
      <c r="J230" s="55" t="str">
        <f t="shared" si="17"/>
        <v>CSDG</v>
      </c>
    </row>
    <row r="231" spans="1:10">
      <c r="A231" s="1768" t="s">
        <v>1268</v>
      </c>
      <c r="B231" s="84"/>
      <c r="C231" s="79" t="s">
        <v>2831</v>
      </c>
      <c r="D231" s="80" t="s">
        <v>2563</v>
      </c>
      <c r="E231" s="2238" t="str">
        <f t="shared" si="18"/>
        <v>CS</v>
      </c>
      <c r="F231" s="55">
        <v>50</v>
      </c>
      <c r="G231" s="55" t="s">
        <v>512</v>
      </c>
      <c r="J231" s="55" t="str">
        <f t="shared" si="17"/>
        <v>CSD</v>
      </c>
    </row>
    <row r="232" spans="1:10">
      <c r="A232" s="79" t="s">
        <v>229</v>
      </c>
      <c r="B232" s="1767"/>
      <c r="C232" s="79" t="s">
        <v>2832</v>
      </c>
      <c r="D232" s="80" t="s">
        <v>2254</v>
      </c>
      <c r="E232" s="2238" t="str">
        <f t="shared" ref="E232" si="21">LEFT(A232,2)</f>
        <v>DA</v>
      </c>
      <c r="F232" s="55">
        <v>50</v>
      </c>
      <c r="G232" s="55" t="s">
        <v>512</v>
      </c>
      <c r="J232" s="55" t="str">
        <f t="shared" si="17"/>
        <v>DAYA</v>
      </c>
    </row>
    <row r="233" spans="1:10">
      <c r="A233" s="79" t="s">
        <v>4490</v>
      </c>
      <c r="B233" s="1767"/>
      <c r="C233" s="79" t="s">
        <v>4491</v>
      </c>
      <c r="D233" s="80" t="s">
        <v>2254</v>
      </c>
      <c r="E233" s="2238" t="str">
        <f t="shared" si="18"/>
        <v>DA</v>
      </c>
      <c r="F233" s="55">
        <v>50</v>
      </c>
      <c r="G233" s="55" t="s">
        <v>512</v>
      </c>
      <c r="J233" s="55" t="str">
        <f t="shared" si="17"/>
        <v>DAYA70</v>
      </c>
    </row>
    <row r="234" spans="1:10">
      <c r="A234" s="79" t="s">
        <v>1459</v>
      </c>
      <c r="B234" s="1767" t="s">
        <v>277</v>
      </c>
      <c r="C234" s="79" t="s">
        <v>2833</v>
      </c>
      <c r="D234" s="80" t="s">
        <v>2445</v>
      </c>
      <c r="E234" s="2238" t="str">
        <f t="shared" si="18"/>
        <v>GD</v>
      </c>
      <c r="F234" s="55">
        <v>50</v>
      </c>
      <c r="G234" s="55" t="s">
        <v>512</v>
      </c>
      <c r="J234" s="55" t="str">
        <f t="shared" si="17"/>
        <v>GDFCO</v>
      </c>
    </row>
    <row r="235" spans="1:10">
      <c r="A235" s="79" t="s">
        <v>1648</v>
      </c>
      <c r="B235" s="1767" t="s">
        <v>277</v>
      </c>
      <c r="C235" s="79" t="s">
        <v>2834</v>
      </c>
      <c r="D235" s="80" t="s">
        <v>2445</v>
      </c>
      <c r="E235" s="2238" t="str">
        <f t="shared" si="18"/>
        <v>GU</v>
      </c>
      <c r="F235" s="55">
        <v>50</v>
      </c>
      <c r="G235" s="55" t="s">
        <v>512</v>
      </c>
      <c r="J235" s="55" t="str">
        <f t="shared" si="17"/>
        <v>GUFCO</v>
      </c>
    </row>
    <row r="236" spans="1:10">
      <c r="A236" s="79" t="s">
        <v>147</v>
      </c>
      <c r="B236" s="1767" t="s">
        <v>1753</v>
      </c>
      <c r="C236" s="79" t="s">
        <v>2835</v>
      </c>
      <c r="D236" s="80" t="s">
        <v>1631</v>
      </c>
      <c r="E236" s="2238" t="str">
        <f t="shared" si="18"/>
        <v>GI</v>
      </c>
      <c r="F236" s="55">
        <v>50</v>
      </c>
      <c r="G236" s="55" t="s">
        <v>512</v>
      </c>
      <c r="J236" s="55" t="str">
        <f t="shared" si="17"/>
        <v>GIATFCO</v>
      </c>
    </row>
    <row r="237" spans="1:10">
      <c r="A237" s="79" t="s">
        <v>1266</v>
      </c>
      <c r="B237" s="1767"/>
      <c r="C237" s="79" t="s">
        <v>2836</v>
      </c>
      <c r="D237" s="80" t="s">
        <v>2445</v>
      </c>
      <c r="E237" s="2238" t="str">
        <f t="shared" si="18"/>
        <v>Gi</v>
      </c>
      <c r="F237" s="55">
        <v>50</v>
      </c>
      <c r="G237" s="55" t="s">
        <v>512</v>
      </c>
      <c r="J237" s="55" t="str">
        <f t="shared" si="17"/>
        <v>Gianoi1600</v>
      </c>
    </row>
    <row r="238" spans="1:10">
      <c r="A238" s="79" t="s">
        <v>1267</v>
      </c>
      <c r="B238" s="1767"/>
      <c r="C238" s="79" t="s">
        <v>2836</v>
      </c>
      <c r="D238" s="80" t="s">
        <v>2445</v>
      </c>
      <c r="E238" s="2238" t="str">
        <f t="shared" si="18"/>
        <v>Gi</v>
      </c>
      <c r="F238" s="55">
        <v>50</v>
      </c>
      <c r="G238" s="55" t="s">
        <v>512</v>
      </c>
      <c r="J238" s="55" t="str">
        <f t="shared" si="17"/>
        <v>Gianoi2500</v>
      </c>
    </row>
    <row r="239" spans="1:10">
      <c r="A239" s="79" t="s">
        <v>1538</v>
      </c>
      <c r="B239" s="1767"/>
      <c r="C239" s="79" t="s">
        <v>2836</v>
      </c>
      <c r="D239" s="80" t="s">
        <v>2445</v>
      </c>
      <c r="E239" s="2238" t="str">
        <f t="shared" si="18"/>
        <v>Gi</v>
      </c>
      <c r="F239" s="55">
        <v>50</v>
      </c>
      <c r="G239" s="55" t="s">
        <v>512</v>
      </c>
      <c r="J239" s="55" t="str">
        <f t="shared" si="17"/>
        <v>GianoiCB</v>
      </c>
    </row>
    <row r="240" spans="1:10">
      <c r="A240" s="79" t="s">
        <v>1176</v>
      </c>
      <c r="B240" s="1767"/>
      <c r="C240" s="79" t="s">
        <v>2837</v>
      </c>
      <c r="D240" s="80" t="s">
        <v>2254</v>
      </c>
      <c r="E240" s="2238" t="str">
        <f t="shared" si="18"/>
        <v>GC</v>
      </c>
      <c r="F240" s="55">
        <v>2000</v>
      </c>
      <c r="G240" s="55" t="s">
        <v>512</v>
      </c>
      <c r="J240" s="55" t="str">
        <f t="shared" si="17"/>
        <v>GCST</v>
      </c>
    </row>
    <row r="241" spans="1:10">
      <c r="A241" s="79" t="s">
        <v>1818</v>
      </c>
      <c r="B241" s="1767"/>
      <c r="C241" s="79" t="s">
        <v>2838</v>
      </c>
      <c r="D241" s="80" t="s">
        <v>2839</v>
      </c>
      <c r="E241" s="2238" t="str">
        <f t="shared" si="18"/>
        <v>G</v>
      </c>
      <c r="F241" s="55">
        <v>2000</v>
      </c>
      <c r="G241" s="55" t="s">
        <v>512</v>
      </c>
      <c r="J241" s="55" t="str">
        <f t="shared" si="17"/>
        <v>G</v>
      </c>
    </row>
    <row r="242" spans="1:10">
      <c r="A242" s="79" t="s">
        <v>1581</v>
      </c>
      <c r="B242" s="1767"/>
      <c r="C242" s="79" t="s">
        <v>2840</v>
      </c>
      <c r="D242" s="80" t="s">
        <v>2563</v>
      </c>
      <c r="E242" s="2238" t="str">
        <f t="shared" si="18"/>
        <v>K3</v>
      </c>
      <c r="F242" s="55">
        <v>50</v>
      </c>
      <c r="G242" s="55" t="s">
        <v>512</v>
      </c>
      <c r="J242" s="55" t="str">
        <f t="shared" si="17"/>
        <v>K3B</v>
      </c>
    </row>
    <row r="243" spans="1:10">
      <c r="A243" s="1768" t="s">
        <v>228</v>
      </c>
      <c r="B243" s="84"/>
      <c r="C243" s="79" t="s">
        <v>4382</v>
      </c>
      <c r="D243" s="80" t="s">
        <v>2284</v>
      </c>
      <c r="E243" s="2238" t="str">
        <f t="shared" si="18"/>
        <v>CT</v>
      </c>
      <c r="F243" s="55">
        <v>50</v>
      </c>
      <c r="G243" s="55" t="s">
        <v>512</v>
      </c>
      <c r="J243" s="55" t="str">
        <f t="shared" si="17"/>
        <v>CTD</v>
      </c>
    </row>
    <row r="244" spans="1:10">
      <c r="A244" s="1768" t="s">
        <v>1511</v>
      </c>
      <c r="B244" s="84"/>
      <c r="C244" s="79" t="s">
        <v>4897</v>
      </c>
      <c r="D244" s="80" t="s">
        <v>2445</v>
      </c>
      <c r="E244" s="2238" t="str">
        <f t="shared" si="18"/>
        <v>CT</v>
      </c>
      <c r="F244" s="55">
        <v>50</v>
      </c>
      <c r="G244" s="55" t="s">
        <v>512</v>
      </c>
      <c r="J244" s="55" t="str">
        <f t="shared" si="17"/>
        <v>CTD+K</v>
      </c>
    </row>
    <row r="245" spans="1:10">
      <c r="A245" s="79" t="s">
        <v>553</v>
      </c>
      <c r="B245" s="84"/>
      <c r="C245" s="79" t="s">
        <v>2841</v>
      </c>
      <c r="D245" s="80" t="s">
        <v>2563</v>
      </c>
      <c r="E245" s="2238" t="str">
        <f t="shared" si="18"/>
        <v>K-</v>
      </c>
      <c r="F245" s="55">
        <v>50</v>
      </c>
      <c r="G245" s="55" t="s">
        <v>512</v>
      </c>
      <c r="J245" s="55" t="str">
        <f t="shared" si="17"/>
        <v>K-Cu</v>
      </c>
    </row>
    <row r="246" spans="1:10">
      <c r="A246" s="79" t="s">
        <v>1793</v>
      </c>
      <c r="B246" s="84"/>
      <c r="C246" s="79" t="s">
        <v>2842</v>
      </c>
      <c r="D246" s="80" t="s">
        <v>2563</v>
      </c>
      <c r="E246" s="2238" t="str">
        <f t="shared" si="18"/>
        <v>K-</v>
      </c>
      <c r="F246" s="55">
        <v>50</v>
      </c>
      <c r="G246" s="55" t="s">
        <v>512</v>
      </c>
      <c r="J246" s="55" t="str">
        <f t="shared" si="17"/>
        <v>K-Fe</v>
      </c>
    </row>
    <row r="247" spans="1:10">
      <c r="A247" s="1768" t="s">
        <v>1386</v>
      </c>
      <c r="B247" s="84"/>
      <c r="C247" s="79" t="s">
        <v>2843</v>
      </c>
      <c r="D247" s="80" t="s">
        <v>2563</v>
      </c>
      <c r="E247" s="2238" t="str">
        <f t="shared" si="18"/>
        <v>K3</v>
      </c>
      <c r="F247" s="55">
        <v>50</v>
      </c>
      <c r="G247" s="55" t="s">
        <v>512</v>
      </c>
      <c r="J247" s="55" t="str">
        <f t="shared" si="17"/>
        <v>K35</v>
      </c>
    </row>
    <row r="248" spans="1:10">
      <c r="A248" s="1768" t="s">
        <v>1855</v>
      </c>
      <c r="B248" s="84"/>
      <c r="C248" s="79" t="s">
        <v>2844</v>
      </c>
      <c r="D248" s="80" t="s">
        <v>2563</v>
      </c>
      <c r="E248" s="2238" t="str">
        <f t="shared" si="18"/>
        <v>K5</v>
      </c>
      <c r="F248" s="55">
        <v>50</v>
      </c>
      <c r="G248" s="55" t="s">
        <v>512</v>
      </c>
      <c r="J248" s="55" t="str">
        <f t="shared" si="17"/>
        <v>K50</v>
      </c>
    </row>
    <row r="249" spans="1:10">
      <c r="A249" s="79" t="s">
        <v>1387</v>
      </c>
      <c r="B249" s="1767"/>
      <c r="C249" s="79" t="s">
        <v>2845</v>
      </c>
      <c r="D249" s="80" t="s">
        <v>2563</v>
      </c>
      <c r="E249" s="2238" t="str">
        <f t="shared" si="18"/>
        <v>K7</v>
      </c>
      <c r="F249" s="55">
        <v>50</v>
      </c>
      <c r="G249" s="55" t="s">
        <v>512</v>
      </c>
      <c r="J249" s="55" t="str">
        <f t="shared" si="17"/>
        <v>K70</v>
      </c>
    </row>
    <row r="250" spans="1:10">
      <c r="A250" s="79" t="s">
        <v>1388</v>
      </c>
      <c r="B250" s="84"/>
      <c r="C250" s="79" t="s">
        <v>2846</v>
      </c>
      <c r="D250" s="80" t="s">
        <v>2563</v>
      </c>
      <c r="E250" s="2238" t="str">
        <f t="shared" si="18"/>
        <v>K9</v>
      </c>
      <c r="F250" s="55">
        <v>50</v>
      </c>
      <c r="G250" s="55" t="s">
        <v>512</v>
      </c>
      <c r="J250" s="55" t="str">
        <f t="shared" si="17"/>
        <v>K95</v>
      </c>
    </row>
    <row r="251" spans="1:10">
      <c r="A251" s="1768" t="s">
        <v>2079</v>
      </c>
      <c r="B251" s="84"/>
      <c r="C251" s="79" t="s">
        <v>2847</v>
      </c>
      <c r="D251" s="80" t="s">
        <v>2563</v>
      </c>
      <c r="E251" s="2238" t="str">
        <f t="shared" si="18"/>
        <v>K1</v>
      </c>
      <c r="F251" s="55">
        <v>50</v>
      </c>
      <c r="G251" s="55" t="s">
        <v>512</v>
      </c>
      <c r="J251" s="55" t="str">
        <f t="shared" si="17"/>
        <v>K120</v>
      </c>
    </row>
    <row r="252" spans="1:10">
      <c r="A252" s="1768" t="s">
        <v>1177</v>
      </c>
      <c r="B252" s="84"/>
      <c r="C252" s="79" t="s">
        <v>2848</v>
      </c>
      <c r="D252" s="80" t="s">
        <v>2563</v>
      </c>
      <c r="E252" s="2238" t="str">
        <f t="shared" si="18"/>
        <v>K1</v>
      </c>
      <c r="F252" s="55">
        <v>50</v>
      </c>
      <c r="G252" s="55" t="s">
        <v>512</v>
      </c>
      <c r="J252" s="55" t="str">
        <f t="shared" si="17"/>
        <v>K150</v>
      </c>
    </row>
    <row r="253" spans="1:10">
      <c r="A253" s="1768" t="s">
        <v>2078</v>
      </c>
      <c r="B253" s="84"/>
      <c r="C253" s="79" t="s">
        <v>2849</v>
      </c>
      <c r="D253" s="80" t="s">
        <v>2563</v>
      </c>
      <c r="E253" s="2238" t="str">
        <f t="shared" si="18"/>
        <v>K1</v>
      </c>
      <c r="F253" s="55">
        <v>50</v>
      </c>
      <c r="G253" s="55" t="s">
        <v>512</v>
      </c>
      <c r="J253" s="55" t="str">
        <f t="shared" si="17"/>
        <v>K185</v>
      </c>
    </row>
    <row r="254" spans="1:10">
      <c r="A254" s="1768" t="s">
        <v>2077</v>
      </c>
      <c r="B254" s="84"/>
      <c r="C254" s="79" t="s">
        <v>2850</v>
      </c>
      <c r="D254" s="80" t="s">
        <v>2563</v>
      </c>
      <c r="E254" s="2238" t="str">
        <f t="shared" si="18"/>
        <v>K2</v>
      </c>
      <c r="F254" s="55">
        <v>50</v>
      </c>
      <c r="G254" s="55" t="s">
        <v>512</v>
      </c>
      <c r="J254" s="55" t="str">
        <f t="shared" si="17"/>
        <v>K240</v>
      </c>
    </row>
    <row r="255" spans="1:10">
      <c r="A255" s="1772" t="s">
        <v>580</v>
      </c>
      <c r="B255" s="84"/>
      <c r="C255" s="79" t="s">
        <v>2851</v>
      </c>
      <c r="D255" s="80" t="s">
        <v>2563</v>
      </c>
      <c r="E255" s="2238" t="str">
        <f t="shared" si="18"/>
        <v>KT</v>
      </c>
      <c r="F255" s="55">
        <v>50</v>
      </c>
      <c r="G255" s="55" t="s">
        <v>512</v>
      </c>
      <c r="J255" s="55" t="str">
        <f t="shared" si="17"/>
        <v>KTREO211</v>
      </c>
    </row>
    <row r="256" spans="1:10">
      <c r="A256" s="1772" t="s">
        <v>1879</v>
      </c>
      <c r="B256" s="84"/>
      <c r="C256" s="79" t="s">
        <v>2852</v>
      </c>
      <c r="D256" s="80" t="s">
        <v>2563</v>
      </c>
      <c r="E256" s="2238" t="str">
        <f t="shared" si="18"/>
        <v>KT</v>
      </c>
      <c r="F256" s="55">
        <v>50</v>
      </c>
      <c r="G256" s="55" t="s">
        <v>512</v>
      </c>
      <c r="J256" s="55" t="str">
        <f t="shared" si="17"/>
        <v>KTREO11</v>
      </c>
    </row>
    <row r="257" spans="1:10">
      <c r="A257" s="1772" t="s">
        <v>826</v>
      </c>
      <c r="B257" s="84"/>
      <c r="C257" s="79" t="s">
        <v>2853</v>
      </c>
      <c r="D257" s="80" t="s">
        <v>2563</v>
      </c>
      <c r="E257" s="2238" t="str">
        <f t="shared" si="18"/>
        <v>KT</v>
      </c>
      <c r="F257" s="55">
        <v>50</v>
      </c>
      <c r="G257" s="55" t="s">
        <v>512</v>
      </c>
      <c r="J257" s="55" t="str">
        <f t="shared" si="17"/>
        <v>KTREO22</v>
      </c>
    </row>
    <row r="258" spans="1:10">
      <c r="A258" s="1772" t="s">
        <v>2066</v>
      </c>
      <c r="B258" s="84"/>
      <c r="C258" s="79" t="s">
        <v>2854</v>
      </c>
      <c r="D258" s="80" t="s">
        <v>2563</v>
      </c>
      <c r="E258" s="2238" t="str">
        <f t="shared" si="18"/>
        <v>KT</v>
      </c>
      <c r="F258" s="55">
        <v>50</v>
      </c>
      <c r="G258" s="55" t="s">
        <v>512</v>
      </c>
      <c r="J258" s="55" t="str">
        <f t="shared" si="17"/>
        <v>KTREO35</v>
      </c>
    </row>
    <row r="259" spans="1:10">
      <c r="A259" s="1772" t="s">
        <v>1697</v>
      </c>
      <c r="B259" s="84"/>
      <c r="C259" s="79" t="s">
        <v>2855</v>
      </c>
      <c r="D259" s="80" t="s">
        <v>2563</v>
      </c>
      <c r="E259" s="2238" t="str">
        <f t="shared" si="18"/>
        <v>KT</v>
      </c>
      <c r="F259" s="55">
        <v>50</v>
      </c>
      <c r="G259" s="55" t="s">
        <v>512</v>
      </c>
      <c r="J259" s="55" t="str">
        <f t="shared" si="17"/>
        <v>KTREO50</v>
      </c>
    </row>
    <row r="260" spans="1:10">
      <c r="A260" s="1772" t="s">
        <v>1696</v>
      </c>
      <c r="B260" s="1773" t="s">
        <v>1772</v>
      </c>
      <c r="C260" s="79" t="s">
        <v>2856</v>
      </c>
      <c r="D260" s="80" t="s">
        <v>2563</v>
      </c>
      <c r="E260" s="2238" t="str">
        <f t="shared" si="18"/>
        <v>KT</v>
      </c>
      <c r="F260" s="55">
        <v>50</v>
      </c>
      <c r="G260" s="55" t="s">
        <v>512</v>
      </c>
      <c r="J260" s="55" t="str">
        <f t="shared" si="17"/>
        <v>KTREO70</v>
      </c>
    </row>
    <row r="261" spans="1:10">
      <c r="A261" s="1772" t="s">
        <v>1159</v>
      </c>
      <c r="B261" s="84"/>
      <c r="C261" s="79" t="s">
        <v>4916</v>
      </c>
      <c r="D261" s="80" t="s">
        <v>2563</v>
      </c>
      <c r="E261" s="2238" t="str">
        <f t="shared" si="18"/>
        <v>KT</v>
      </c>
      <c r="F261" s="55">
        <v>50</v>
      </c>
      <c r="G261" s="55" t="s">
        <v>512</v>
      </c>
      <c r="J261" s="55" t="str">
        <f t="shared" si="17"/>
        <v>KTREO95</v>
      </c>
    </row>
    <row r="262" spans="1:10">
      <c r="A262" s="1772" t="s">
        <v>1158</v>
      </c>
      <c r="B262" s="84"/>
      <c r="C262" s="79" t="s">
        <v>2857</v>
      </c>
      <c r="D262" s="80" t="s">
        <v>2563</v>
      </c>
      <c r="E262" s="2238" t="str">
        <f t="shared" si="18"/>
        <v>KT</v>
      </c>
      <c r="F262" s="55">
        <v>50</v>
      </c>
      <c r="G262" s="55" t="s">
        <v>512</v>
      </c>
      <c r="J262" s="55" t="str">
        <f t="shared" si="17"/>
        <v>KTREO120</v>
      </c>
    </row>
    <row r="263" spans="1:10">
      <c r="A263" s="1772" t="s">
        <v>146</v>
      </c>
      <c r="B263" s="84"/>
      <c r="C263" s="79" t="s">
        <v>2858</v>
      </c>
      <c r="D263" s="80" t="s">
        <v>2563</v>
      </c>
      <c r="E263" s="2238" t="str">
        <f t="shared" si="18"/>
        <v>KT</v>
      </c>
      <c r="F263" s="55">
        <v>50</v>
      </c>
      <c r="G263" s="55" t="s">
        <v>512</v>
      </c>
      <c r="J263" s="55" t="str">
        <f t="shared" si="17"/>
        <v>KTREO150</v>
      </c>
    </row>
    <row r="264" spans="1:10">
      <c r="A264" s="79" t="s">
        <v>1738</v>
      </c>
      <c r="B264" s="84"/>
      <c r="C264" s="79" t="s">
        <v>2859</v>
      </c>
      <c r="D264" s="80" t="s">
        <v>2563</v>
      </c>
      <c r="E264" s="2238" t="str">
        <f t="shared" si="18"/>
        <v>MT</v>
      </c>
      <c r="F264" s="55">
        <v>50</v>
      </c>
      <c r="G264" s="55" t="s">
        <v>512</v>
      </c>
      <c r="J264" s="55" t="str">
        <f t="shared" si="17"/>
        <v>MTREO A</v>
      </c>
    </row>
    <row r="265" spans="1:10">
      <c r="A265" s="79" t="s">
        <v>2214</v>
      </c>
      <c r="B265" s="84"/>
      <c r="C265" s="79" t="s">
        <v>2860</v>
      </c>
      <c r="D265" s="80" t="s">
        <v>2563</v>
      </c>
      <c r="E265" s="2238" t="str">
        <f t="shared" si="18"/>
        <v>MO</v>
      </c>
      <c r="F265" s="55">
        <v>50</v>
      </c>
      <c r="G265" s="55" t="s">
        <v>512</v>
      </c>
      <c r="J265" s="55" t="str">
        <f t="shared" ref="J265:J328" si="22">A265</f>
        <v>MOCDUNG</v>
      </c>
    </row>
    <row r="266" spans="1:10">
      <c r="A266" s="79" t="s">
        <v>2028</v>
      </c>
      <c r="B266" s="84"/>
      <c r="C266" s="79" t="s">
        <v>2861</v>
      </c>
      <c r="D266" s="80" t="s">
        <v>2563</v>
      </c>
      <c r="E266" s="2238" t="str">
        <f t="shared" ref="E266" si="23">LEFT(A266,2)</f>
        <v>MT</v>
      </c>
      <c r="F266" s="55">
        <v>50</v>
      </c>
      <c r="G266" s="55" t="s">
        <v>512</v>
      </c>
      <c r="J266" s="55" t="str">
        <f t="shared" si="22"/>
        <v xml:space="preserve">MTREO </v>
      </c>
    </row>
    <row r="267" spans="1:10">
      <c r="A267" s="79" t="s">
        <v>4522</v>
      </c>
      <c r="B267" s="84"/>
      <c r="C267" s="79" t="s">
        <v>4767</v>
      </c>
      <c r="D267" s="80" t="s">
        <v>2563</v>
      </c>
      <c r="E267" s="2238" t="str">
        <f t="shared" si="18"/>
        <v>KD</v>
      </c>
      <c r="F267" s="55">
        <v>50</v>
      </c>
      <c r="G267" s="55" t="s">
        <v>512</v>
      </c>
      <c r="J267" s="55" t="str">
        <f t="shared" si="22"/>
        <v>KDPLY</v>
      </c>
    </row>
    <row r="268" spans="1:10">
      <c r="A268" s="1772" t="s">
        <v>2217</v>
      </c>
      <c r="B268" s="84"/>
      <c r="C268" s="79" t="s">
        <v>2862</v>
      </c>
      <c r="D268" s="80" t="s">
        <v>2563</v>
      </c>
      <c r="E268" s="2238" t="str">
        <f t="shared" si="18"/>
        <v>KN</v>
      </c>
      <c r="F268" s="55">
        <v>50</v>
      </c>
      <c r="G268" s="55" t="s">
        <v>512</v>
      </c>
      <c r="J268" s="55" t="str">
        <f t="shared" si="22"/>
        <v>KNGUNG211</v>
      </c>
    </row>
    <row r="269" spans="1:10">
      <c r="A269" s="1772" t="s">
        <v>2216</v>
      </c>
      <c r="B269" s="84"/>
      <c r="C269" s="79" t="s">
        <v>2863</v>
      </c>
      <c r="D269" s="80" t="s">
        <v>2563</v>
      </c>
      <c r="E269" s="2238" t="str">
        <f t="shared" si="18"/>
        <v>KN</v>
      </c>
      <c r="F269" s="55">
        <v>50</v>
      </c>
      <c r="G269" s="55" t="s">
        <v>512</v>
      </c>
      <c r="J269" s="55" t="str">
        <f t="shared" si="22"/>
        <v>KNGUNG11</v>
      </c>
    </row>
    <row r="270" spans="1:10">
      <c r="A270" s="1772" t="s">
        <v>2215</v>
      </c>
      <c r="B270" s="84"/>
      <c r="C270" s="79" t="s">
        <v>2864</v>
      </c>
      <c r="D270" s="80" t="s">
        <v>2563</v>
      </c>
      <c r="E270" s="2238" t="str">
        <f t="shared" ref="E270:E335" si="24">LEFT(A270,2)</f>
        <v>KN</v>
      </c>
      <c r="F270" s="55">
        <v>50</v>
      </c>
      <c r="G270" s="55" t="s">
        <v>512</v>
      </c>
      <c r="J270" s="55" t="str">
        <f t="shared" si="22"/>
        <v>KNGUNG22</v>
      </c>
    </row>
    <row r="271" spans="1:10">
      <c r="A271" s="1772" t="s">
        <v>2067</v>
      </c>
      <c r="B271" s="84"/>
      <c r="C271" s="79" t="s">
        <v>2865</v>
      </c>
      <c r="D271" s="80" t="s">
        <v>2563</v>
      </c>
      <c r="E271" s="2238" t="str">
        <f t="shared" si="24"/>
        <v>KN</v>
      </c>
      <c r="F271" s="55">
        <v>50</v>
      </c>
      <c r="G271" s="55" t="s">
        <v>512</v>
      </c>
      <c r="J271" s="55" t="str">
        <f t="shared" si="22"/>
        <v>KNGUNG35</v>
      </c>
    </row>
    <row r="272" spans="1:10">
      <c r="A272" s="1772" t="s">
        <v>313</v>
      </c>
      <c r="B272" s="84"/>
      <c r="C272" s="79" t="s">
        <v>2866</v>
      </c>
      <c r="D272" s="80" t="s">
        <v>2563</v>
      </c>
      <c r="E272" s="2238" t="str">
        <f t="shared" si="24"/>
        <v>KN</v>
      </c>
      <c r="F272" s="55">
        <v>50</v>
      </c>
      <c r="G272" s="55" t="s">
        <v>512</v>
      </c>
      <c r="J272" s="55" t="str">
        <f t="shared" si="22"/>
        <v>KNGUNG50</v>
      </c>
    </row>
    <row r="273" spans="1:10">
      <c r="A273" s="1772" t="s">
        <v>2264</v>
      </c>
      <c r="B273" s="1773" t="s">
        <v>1772</v>
      </c>
      <c r="C273" s="79" t="s">
        <v>2867</v>
      </c>
      <c r="D273" s="80" t="s">
        <v>2563</v>
      </c>
      <c r="E273" s="2238" t="str">
        <f t="shared" si="24"/>
        <v>KN</v>
      </c>
      <c r="F273" s="55">
        <v>50</v>
      </c>
      <c r="G273" s="55" t="s">
        <v>512</v>
      </c>
      <c r="J273" s="55" t="str">
        <f t="shared" si="22"/>
        <v>KNGUNG70</v>
      </c>
    </row>
    <row r="274" spans="1:10">
      <c r="A274" s="1772" t="s">
        <v>1432</v>
      </c>
      <c r="B274" s="84"/>
      <c r="C274" s="79" t="s">
        <v>4797</v>
      </c>
      <c r="D274" s="80" t="s">
        <v>2563</v>
      </c>
      <c r="E274" s="2238" t="str">
        <f t="shared" si="24"/>
        <v>KN</v>
      </c>
      <c r="F274" s="55">
        <v>50</v>
      </c>
      <c r="G274" s="55" t="s">
        <v>512</v>
      </c>
      <c r="J274" s="55" t="str">
        <f t="shared" si="22"/>
        <v>KNGUNG95</v>
      </c>
    </row>
    <row r="275" spans="1:10">
      <c r="A275" s="1772" t="s">
        <v>1431</v>
      </c>
      <c r="B275" s="84"/>
      <c r="C275" s="79" t="s">
        <v>2868</v>
      </c>
      <c r="D275" s="80" t="s">
        <v>2563</v>
      </c>
      <c r="E275" s="2238" t="str">
        <f t="shared" si="24"/>
        <v>KN</v>
      </c>
      <c r="F275" s="55">
        <v>50</v>
      </c>
      <c r="G275" s="55" t="s">
        <v>512</v>
      </c>
      <c r="J275" s="55" t="str">
        <f t="shared" si="22"/>
        <v>KNGUNG120</v>
      </c>
    </row>
    <row r="276" spans="1:10">
      <c r="A276" s="1772" t="s">
        <v>2225</v>
      </c>
      <c r="B276" s="84"/>
      <c r="C276" s="79" t="s">
        <v>2869</v>
      </c>
      <c r="D276" s="80" t="s">
        <v>2563</v>
      </c>
      <c r="E276" s="2238" t="str">
        <f t="shared" si="24"/>
        <v>KN</v>
      </c>
      <c r="F276" s="55">
        <v>50</v>
      </c>
      <c r="G276" s="55" t="s">
        <v>512</v>
      </c>
      <c r="J276" s="55" t="str">
        <f t="shared" si="22"/>
        <v>KNGUNG150</v>
      </c>
    </row>
    <row r="277" spans="1:10">
      <c r="A277" s="79" t="s">
        <v>1817</v>
      </c>
      <c r="B277" s="1767"/>
      <c r="C277" s="79" t="s">
        <v>2870</v>
      </c>
      <c r="D277" s="80" t="s">
        <v>2563</v>
      </c>
      <c r="E277" s="2238" t="str">
        <f t="shared" si="24"/>
        <v>Ho</v>
      </c>
      <c r="F277" s="55">
        <v>50</v>
      </c>
      <c r="G277" s="55" t="s">
        <v>512</v>
      </c>
      <c r="J277" s="55" t="str">
        <f t="shared" si="22"/>
        <v>Hopcap240</v>
      </c>
    </row>
    <row r="278" spans="1:10">
      <c r="A278" s="79" t="s">
        <v>1843</v>
      </c>
      <c r="B278" s="1767"/>
      <c r="C278" s="79" t="s">
        <v>2871</v>
      </c>
      <c r="D278" s="80" t="s">
        <v>2563</v>
      </c>
      <c r="E278" s="2238" t="str">
        <f t="shared" si="24"/>
        <v>Ho</v>
      </c>
      <c r="F278" s="55">
        <v>50</v>
      </c>
      <c r="G278" s="55" t="s">
        <v>512</v>
      </c>
      <c r="J278" s="55" t="str">
        <f t="shared" si="22"/>
        <v>Hopcap185</v>
      </c>
    </row>
    <row r="279" spans="1:10">
      <c r="A279" s="79" t="s">
        <v>1360</v>
      </c>
      <c r="B279" s="1767"/>
      <c r="C279" s="79" t="s">
        <v>2872</v>
      </c>
      <c r="D279" s="80" t="s">
        <v>2563</v>
      </c>
      <c r="E279" s="2238" t="str">
        <f t="shared" si="24"/>
        <v>Ho</v>
      </c>
      <c r="F279" s="55">
        <v>50</v>
      </c>
      <c r="G279" s="55" t="s">
        <v>512</v>
      </c>
      <c r="J279" s="55" t="str">
        <f t="shared" si="22"/>
        <v>Hopcap150</v>
      </c>
    </row>
    <row r="280" spans="1:10">
      <c r="A280" s="79" t="s">
        <v>582</v>
      </c>
      <c r="B280" s="1767"/>
      <c r="C280" s="79" t="s">
        <v>2873</v>
      </c>
      <c r="D280" s="80" t="s">
        <v>2563</v>
      </c>
      <c r="E280" s="2238" t="str">
        <f t="shared" si="24"/>
        <v>Ho</v>
      </c>
      <c r="F280" s="55">
        <v>50</v>
      </c>
      <c r="G280" s="55" t="s">
        <v>512</v>
      </c>
      <c r="J280" s="55" t="str">
        <f t="shared" si="22"/>
        <v>Hopcap120</v>
      </c>
    </row>
    <row r="281" spans="1:10">
      <c r="A281" s="79" t="s">
        <v>47</v>
      </c>
      <c r="B281" s="1767"/>
      <c r="C281" s="79" t="s">
        <v>2874</v>
      </c>
      <c r="D281" s="80" t="s">
        <v>2563</v>
      </c>
      <c r="E281" s="2238" t="str">
        <f t="shared" si="24"/>
        <v>Ho</v>
      </c>
      <c r="F281" s="55">
        <v>50</v>
      </c>
      <c r="G281" s="55" t="s">
        <v>512</v>
      </c>
      <c r="J281" s="55" t="str">
        <f t="shared" si="22"/>
        <v>Hopcap95</v>
      </c>
    </row>
    <row r="282" spans="1:10">
      <c r="A282" s="79" t="s">
        <v>787</v>
      </c>
      <c r="B282" s="1767"/>
      <c r="C282" s="79" t="s">
        <v>2875</v>
      </c>
      <c r="D282" s="80" t="s">
        <v>2563</v>
      </c>
      <c r="E282" s="2238" t="str">
        <f t="shared" si="24"/>
        <v>Ho</v>
      </c>
      <c r="F282" s="55">
        <v>50</v>
      </c>
      <c r="G282" s="55" t="s">
        <v>512</v>
      </c>
      <c r="J282" s="55" t="str">
        <f t="shared" si="22"/>
        <v>Hopcap70</v>
      </c>
    </row>
    <row r="283" spans="1:10">
      <c r="A283" s="79" t="s">
        <v>1053</v>
      </c>
      <c r="B283" s="1767"/>
      <c r="C283" s="79" t="s">
        <v>2876</v>
      </c>
      <c r="D283" s="80" t="s">
        <v>2563</v>
      </c>
      <c r="E283" s="2238" t="str">
        <f t="shared" si="24"/>
        <v>Ho</v>
      </c>
      <c r="F283" s="55">
        <v>50</v>
      </c>
      <c r="G283" s="55" t="s">
        <v>512</v>
      </c>
      <c r="J283" s="55" t="str">
        <f t="shared" si="22"/>
        <v>Hopcap50</v>
      </c>
    </row>
    <row r="284" spans="1:10">
      <c r="A284" s="1774" t="s">
        <v>1156</v>
      </c>
      <c r="B284" s="1773" t="s">
        <v>1772</v>
      </c>
      <c r="C284" s="79" t="s">
        <v>4915</v>
      </c>
      <c r="D284" s="80" t="s">
        <v>2563</v>
      </c>
      <c r="E284" s="2238" t="str">
        <f t="shared" si="24"/>
        <v>HO</v>
      </c>
      <c r="F284" s="55">
        <v>50</v>
      </c>
      <c r="G284" s="55" t="s">
        <v>512</v>
      </c>
      <c r="J284" s="55" t="str">
        <f t="shared" si="22"/>
        <v>HOP9C</v>
      </c>
    </row>
    <row r="285" spans="1:10">
      <c r="A285" s="1774" t="s">
        <v>1157</v>
      </c>
      <c r="B285" s="84"/>
      <c r="C285" s="79" t="s">
        <v>2877</v>
      </c>
      <c r="D285" s="80" t="s">
        <v>2563</v>
      </c>
      <c r="E285" s="2238" t="str">
        <f t="shared" si="24"/>
        <v>HO</v>
      </c>
      <c r="F285" s="55">
        <v>50</v>
      </c>
      <c r="G285" s="55" t="s">
        <v>512</v>
      </c>
      <c r="J285" s="55" t="str">
        <f t="shared" si="22"/>
        <v>HOP6C</v>
      </c>
    </row>
    <row r="286" spans="1:10">
      <c r="A286" s="79" t="s">
        <v>1110</v>
      </c>
      <c r="B286" s="1767"/>
      <c r="C286" s="79" t="s">
        <v>2878</v>
      </c>
      <c r="D286" s="80" t="s">
        <v>856</v>
      </c>
      <c r="E286" s="2238" t="str">
        <f t="shared" si="24"/>
        <v>BT</v>
      </c>
      <c r="F286" s="55">
        <v>50</v>
      </c>
      <c r="G286" s="55" t="s">
        <v>512</v>
      </c>
      <c r="J286" s="55" t="str">
        <f t="shared" si="22"/>
        <v>BTNN</v>
      </c>
    </row>
    <row r="287" spans="1:10">
      <c r="A287" s="79" t="s">
        <v>587</v>
      </c>
      <c r="B287" s="1767"/>
      <c r="C287" s="79" t="s">
        <v>2879</v>
      </c>
      <c r="D287" s="80" t="s">
        <v>856</v>
      </c>
      <c r="E287" s="2238" t="str">
        <f t="shared" si="24"/>
        <v>BT</v>
      </c>
      <c r="F287" s="55">
        <v>50</v>
      </c>
      <c r="G287" s="55" t="s">
        <v>512</v>
      </c>
      <c r="J287" s="55" t="str">
        <f t="shared" si="22"/>
        <v>BTNN min</v>
      </c>
    </row>
    <row r="288" spans="1:10">
      <c r="A288" s="79" t="s">
        <v>1217</v>
      </c>
      <c r="B288" s="1767" t="s">
        <v>2037</v>
      </c>
      <c r="C288" s="79" t="s">
        <v>2880</v>
      </c>
      <c r="D288" s="80" t="s">
        <v>1964</v>
      </c>
      <c r="E288" s="2238" t="str">
        <f t="shared" si="24"/>
        <v>BT</v>
      </c>
      <c r="F288" s="55">
        <v>50</v>
      </c>
      <c r="G288" s="55" t="s">
        <v>512</v>
      </c>
      <c r="J288" s="55" t="str">
        <f t="shared" si="22"/>
        <v>BTNN-TL</v>
      </c>
    </row>
    <row r="289" spans="1:10">
      <c r="A289" s="79" t="s">
        <v>130</v>
      </c>
      <c r="B289" s="1767" t="s">
        <v>908</v>
      </c>
      <c r="C289" s="79" t="s">
        <v>2881</v>
      </c>
      <c r="D289" s="80" t="s">
        <v>1964</v>
      </c>
      <c r="E289" s="2238" t="str">
        <f t="shared" si="24"/>
        <v>BT</v>
      </c>
      <c r="F289" s="55">
        <v>50</v>
      </c>
      <c r="G289" s="55" t="s">
        <v>512</v>
      </c>
      <c r="J289" s="55" t="str">
        <f t="shared" si="22"/>
        <v>BTNN-TL min</v>
      </c>
    </row>
    <row r="290" spans="1:10">
      <c r="A290" s="79" t="s">
        <v>1064</v>
      </c>
      <c r="B290" s="84" t="s">
        <v>153</v>
      </c>
      <c r="C290" s="79" t="s">
        <v>1065</v>
      </c>
      <c r="D290" s="80" t="s">
        <v>1964</v>
      </c>
      <c r="E290" s="2238" t="str">
        <f t="shared" si="24"/>
        <v>BT</v>
      </c>
      <c r="F290" s="55">
        <v>50</v>
      </c>
      <c r="G290" s="55" t="s">
        <v>512</v>
      </c>
      <c r="J290" s="55" t="str">
        <f t="shared" si="22"/>
        <v>BT</v>
      </c>
    </row>
    <row r="291" spans="1:10">
      <c r="A291" s="1772" t="s">
        <v>2226</v>
      </c>
      <c r="B291" s="84"/>
      <c r="C291" s="79" t="s">
        <v>2882</v>
      </c>
      <c r="D291" s="80" t="s">
        <v>2563</v>
      </c>
      <c r="E291" s="2238" t="str">
        <f t="shared" si="24"/>
        <v>BI</v>
      </c>
      <c r="F291" s="55">
        <v>50</v>
      </c>
      <c r="G291" s="55" t="s">
        <v>512</v>
      </c>
      <c r="J291" s="55" t="str">
        <f t="shared" si="22"/>
        <v>BIT150</v>
      </c>
    </row>
    <row r="292" spans="1:10">
      <c r="A292" s="1772" t="s">
        <v>314</v>
      </c>
      <c r="B292" s="84"/>
      <c r="C292" s="79" t="s">
        <v>2883</v>
      </c>
      <c r="D292" s="80" t="s">
        <v>2563</v>
      </c>
      <c r="E292" s="2238" t="str">
        <f t="shared" si="24"/>
        <v>BI</v>
      </c>
      <c r="F292" s="55">
        <v>50</v>
      </c>
      <c r="G292" s="55" t="s">
        <v>512</v>
      </c>
      <c r="J292" s="55" t="str">
        <f t="shared" si="22"/>
        <v>BIT120</v>
      </c>
    </row>
    <row r="293" spans="1:10">
      <c r="A293" s="1772" t="s">
        <v>858</v>
      </c>
      <c r="B293" s="84"/>
      <c r="C293" s="79" t="s">
        <v>2884</v>
      </c>
      <c r="D293" s="80" t="s">
        <v>2563</v>
      </c>
      <c r="E293" s="2238" t="str">
        <f t="shared" si="24"/>
        <v>BI</v>
      </c>
      <c r="F293" s="55">
        <v>50</v>
      </c>
      <c r="G293" s="55" t="s">
        <v>512</v>
      </c>
      <c r="J293" s="55" t="str">
        <f t="shared" si="22"/>
        <v>BIT95</v>
      </c>
    </row>
    <row r="294" spans="1:10">
      <c r="A294" s="1772" t="s">
        <v>859</v>
      </c>
      <c r="B294" s="84"/>
      <c r="C294" s="79" t="s">
        <v>2885</v>
      </c>
      <c r="D294" s="80" t="s">
        <v>2563</v>
      </c>
      <c r="E294" s="2238" t="str">
        <f t="shared" si="24"/>
        <v>BI</v>
      </c>
      <c r="F294" s="55">
        <v>50</v>
      </c>
      <c r="G294" s="55" t="s">
        <v>512</v>
      </c>
      <c r="J294" s="55" t="str">
        <f t="shared" si="22"/>
        <v>BIT70</v>
      </c>
    </row>
    <row r="295" spans="1:10">
      <c r="A295" s="1772" t="s">
        <v>860</v>
      </c>
      <c r="B295" s="84"/>
      <c r="C295" s="79" t="s">
        <v>2886</v>
      </c>
      <c r="D295" s="80" t="s">
        <v>2563</v>
      </c>
      <c r="E295" s="2238" t="str">
        <f t="shared" si="24"/>
        <v>BI</v>
      </c>
      <c r="F295" s="55">
        <v>50</v>
      </c>
      <c r="G295" s="55" t="s">
        <v>512</v>
      </c>
      <c r="J295" s="55" t="str">
        <f t="shared" si="22"/>
        <v>BIT50</v>
      </c>
    </row>
    <row r="296" spans="1:10">
      <c r="A296" s="1772" t="s">
        <v>4317</v>
      </c>
      <c r="B296" s="84"/>
      <c r="C296" s="79" t="s">
        <v>2570</v>
      </c>
      <c r="D296" s="80" t="s">
        <v>2563</v>
      </c>
      <c r="E296" s="2238" t="str">
        <f t="shared" si="24"/>
        <v>BI</v>
      </c>
      <c r="F296" s="55">
        <v>50</v>
      </c>
      <c r="G296" s="55" t="s">
        <v>512</v>
      </c>
      <c r="J296" s="55" t="str">
        <f t="shared" si="22"/>
        <v>BIT35</v>
      </c>
    </row>
    <row r="297" spans="1:10">
      <c r="A297" s="79" t="s">
        <v>4349</v>
      </c>
      <c r="B297" s="84"/>
      <c r="C297" s="79" t="s">
        <v>4348</v>
      </c>
      <c r="D297" s="80" t="s">
        <v>2563</v>
      </c>
      <c r="E297" s="2238" t="str">
        <f t="shared" si="24"/>
        <v>KE</v>
      </c>
      <c r="F297" s="55">
        <v>50</v>
      </c>
      <c r="G297" s="55" t="s">
        <v>512</v>
      </c>
      <c r="J297" s="55" t="str">
        <f t="shared" si="22"/>
        <v>KE399</v>
      </c>
    </row>
    <row r="298" spans="1:10">
      <c r="A298" s="79" t="s">
        <v>1115</v>
      </c>
      <c r="B298" s="84"/>
      <c r="C298" s="79" t="s">
        <v>2887</v>
      </c>
      <c r="D298" s="80" t="s">
        <v>2563</v>
      </c>
      <c r="E298" s="2238" t="str">
        <f t="shared" si="24"/>
        <v>KE</v>
      </c>
      <c r="F298" s="55">
        <v>50</v>
      </c>
      <c r="G298" s="55" t="s">
        <v>512</v>
      </c>
      <c r="J298" s="55" t="str">
        <f t="shared" si="22"/>
        <v>KE25</v>
      </c>
    </row>
    <row r="299" spans="1:10">
      <c r="A299" s="79" t="s">
        <v>239</v>
      </c>
      <c r="B299" s="84"/>
      <c r="C299" s="79" t="s">
        <v>2888</v>
      </c>
      <c r="D299" s="80" t="s">
        <v>2563</v>
      </c>
      <c r="E299" s="2238" t="str">
        <f t="shared" si="24"/>
        <v>KE</v>
      </c>
      <c r="F299" s="55">
        <v>50</v>
      </c>
      <c r="G299" s="55" t="s">
        <v>512</v>
      </c>
      <c r="J299" s="55" t="str">
        <f t="shared" si="22"/>
        <v>KE35</v>
      </c>
    </row>
    <row r="300" spans="1:10">
      <c r="A300" s="79" t="s">
        <v>1582</v>
      </c>
      <c r="B300" s="84"/>
      <c r="C300" s="79" t="s">
        <v>2889</v>
      </c>
      <c r="D300" s="80" t="s">
        <v>2563</v>
      </c>
      <c r="E300" s="2238" t="str">
        <f t="shared" si="24"/>
        <v>KE</v>
      </c>
      <c r="F300" s="55">
        <v>50</v>
      </c>
      <c r="G300" s="55" t="s">
        <v>512</v>
      </c>
      <c r="J300" s="55" t="str">
        <f t="shared" si="22"/>
        <v>KE50</v>
      </c>
    </row>
    <row r="301" spans="1:10">
      <c r="A301" s="79" t="s">
        <v>1583</v>
      </c>
      <c r="B301" s="84"/>
      <c r="C301" s="79" t="s">
        <v>2890</v>
      </c>
      <c r="D301" s="80" t="s">
        <v>2563</v>
      </c>
      <c r="E301" s="2238" t="str">
        <f t="shared" si="24"/>
        <v>KE</v>
      </c>
      <c r="F301" s="55">
        <v>50</v>
      </c>
      <c r="G301" s="55" t="s">
        <v>512</v>
      </c>
      <c r="J301" s="55" t="str">
        <f t="shared" si="22"/>
        <v>KE70</v>
      </c>
    </row>
    <row r="302" spans="1:10">
      <c r="A302" s="79" t="s">
        <v>240</v>
      </c>
      <c r="B302" s="84"/>
      <c r="C302" s="79" t="s">
        <v>2891</v>
      </c>
      <c r="D302" s="80" t="s">
        <v>2563</v>
      </c>
      <c r="E302" s="2238" t="str">
        <f t="shared" si="24"/>
        <v>KE</v>
      </c>
      <c r="F302" s="55">
        <v>50</v>
      </c>
      <c r="G302" s="55" t="s">
        <v>512</v>
      </c>
      <c r="J302" s="55" t="str">
        <f t="shared" si="22"/>
        <v>KE95</v>
      </c>
    </row>
    <row r="303" spans="1:10">
      <c r="A303" s="79" t="s">
        <v>241</v>
      </c>
      <c r="B303" s="84"/>
      <c r="C303" s="79" t="s">
        <v>2892</v>
      </c>
      <c r="D303" s="80" t="s">
        <v>2563</v>
      </c>
      <c r="E303" s="2238" t="str">
        <f t="shared" si="24"/>
        <v>KE</v>
      </c>
      <c r="F303" s="55">
        <v>50</v>
      </c>
      <c r="G303" s="55" t="s">
        <v>512</v>
      </c>
      <c r="J303" s="55" t="str">
        <f t="shared" si="22"/>
        <v>KE120</v>
      </c>
    </row>
    <row r="304" spans="1:10">
      <c r="A304" s="79" t="s">
        <v>16</v>
      </c>
      <c r="B304" s="84"/>
      <c r="C304" s="79" t="s">
        <v>2893</v>
      </c>
      <c r="D304" s="80" t="s">
        <v>2563</v>
      </c>
      <c r="E304" s="2238" t="str">
        <f t="shared" si="24"/>
        <v>KE</v>
      </c>
      <c r="F304" s="55">
        <v>50</v>
      </c>
      <c r="G304" s="55" t="s">
        <v>512</v>
      </c>
      <c r="J304" s="55" t="str">
        <f t="shared" si="22"/>
        <v>KE150</v>
      </c>
    </row>
    <row r="305" spans="1:10">
      <c r="A305" s="79" t="s">
        <v>708</v>
      </c>
      <c r="B305" s="84"/>
      <c r="C305" s="79" t="s">
        <v>2894</v>
      </c>
      <c r="D305" s="80" t="s">
        <v>2563</v>
      </c>
      <c r="E305" s="2238" t="str">
        <f t="shared" si="24"/>
        <v>KE</v>
      </c>
      <c r="F305" s="55">
        <v>50</v>
      </c>
      <c r="G305" s="55" t="s">
        <v>512</v>
      </c>
      <c r="J305" s="55" t="str">
        <f t="shared" si="22"/>
        <v>KE185</v>
      </c>
    </row>
    <row r="306" spans="1:10">
      <c r="A306" s="79" t="s">
        <v>709</v>
      </c>
      <c r="B306" s="84"/>
      <c r="C306" s="79" t="s">
        <v>2895</v>
      </c>
      <c r="D306" s="80" t="s">
        <v>2563</v>
      </c>
      <c r="E306" s="2238" t="str">
        <f t="shared" si="24"/>
        <v>KE</v>
      </c>
      <c r="F306" s="55">
        <v>50</v>
      </c>
      <c r="G306" s="55" t="s">
        <v>512</v>
      </c>
      <c r="J306" s="55" t="str">
        <f t="shared" si="22"/>
        <v>KE240</v>
      </c>
    </row>
    <row r="307" spans="1:10">
      <c r="A307" s="79" t="s">
        <v>1481</v>
      </c>
      <c r="B307" s="1767"/>
      <c r="C307" s="79" t="s">
        <v>2896</v>
      </c>
      <c r="D307" s="80" t="s">
        <v>2563</v>
      </c>
      <c r="E307" s="2238" t="str">
        <f t="shared" si="24"/>
        <v>KC</v>
      </c>
      <c r="F307" s="55">
        <v>50</v>
      </c>
      <c r="G307" s="55" t="s">
        <v>512</v>
      </c>
      <c r="J307" s="55" t="str">
        <f t="shared" si="22"/>
        <v>KCUAL</v>
      </c>
    </row>
    <row r="308" spans="1:10">
      <c r="A308" s="79" t="s">
        <v>1877</v>
      </c>
      <c r="B308" s="1767"/>
      <c r="C308" s="79" t="s">
        <v>2897</v>
      </c>
      <c r="D308" s="80" t="s">
        <v>2563</v>
      </c>
      <c r="E308" s="2238" t="str">
        <f t="shared" si="24"/>
        <v>KC</v>
      </c>
      <c r="F308" s="55">
        <v>50</v>
      </c>
      <c r="G308" s="55" t="s">
        <v>512</v>
      </c>
      <c r="J308" s="55" t="str">
        <f t="shared" si="22"/>
        <v>KCUAL60</v>
      </c>
    </row>
    <row r="309" spans="1:10">
      <c r="A309" s="79" t="s">
        <v>1482</v>
      </c>
      <c r="B309" s="84" t="s">
        <v>1761</v>
      </c>
      <c r="C309" s="79" t="s">
        <v>3810</v>
      </c>
      <c r="D309" s="80" t="s">
        <v>2563</v>
      </c>
      <c r="E309" s="2238" t="str">
        <f t="shared" ref="E309" si="25">LEFT(A309,2)</f>
        <v>KQ</v>
      </c>
      <c r="F309" s="55">
        <v>50</v>
      </c>
      <c r="G309" s="55" t="s">
        <v>512</v>
      </c>
      <c r="J309" s="55" t="str">
        <f t="shared" si="22"/>
        <v>KQ2/0</v>
      </c>
    </row>
    <row r="310" spans="1:10">
      <c r="A310" s="79" t="s">
        <v>4487</v>
      </c>
      <c r="B310" s="84" t="s">
        <v>1761</v>
      </c>
      <c r="C310" s="79" t="s">
        <v>4371</v>
      </c>
      <c r="D310" s="80" t="s">
        <v>2445</v>
      </c>
      <c r="E310" s="2238" t="str">
        <f t="shared" si="24"/>
        <v>KQ</v>
      </c>
      <c r="F310" s="55">
        <v>50</v>
      </c>
      <c r="G310" s="55" t="s">
        <v>512</v>
      </c>
      <c r="J310" s="55" t="str">
        <f t="shared" si="22"/>
        <v xml:space="preserve">KQ2/0 </v>
      </c>
    </row>
    <row r="311" spans="1:10">
      <c r="A311" s="79" t="s">
        <v>236</v>
      </c>
      <c r="B311" s="84" t="s">
        <v>1761</v>
      </c>
      <c r="C311" s="79" t="s">
        <v>2898</v>
      </c>
      <c r="D311" s="80" t="s">
        <v>2563</v>
      </c>
      <c r="E311" s="2238" t="str">
        <f t="shared" si="24"/>
        <v>KQ</v>
      </c>
      <c r="F311" s="55">
        <v>50</v>
      </c>
      <c r="G311" s="55" t="s">
        <v>512</v>
      </c>
      <c r="J311" s="55" t="str">
        <f t="shared" si="22"/>
        <v>KQ4/0</v>
      </c>
    </row>
    <row r="312" spans="1:10">
      <c r="A312" s="79" t="s">
        <v>4520</v>
      </c>
      <c r="B312" s="84" t="s">
        <v>1761</v>
      </c>
      <c r="C312" s="79" t="s">
        <v>4521</v>
      </c>
      <c r="D312" s="80" t="s">
        <v>2563</v>
      </c>
      <c r="E312" s="2238" t="str">
        <f t="shared" ref="E312" si="26">LEFT(A312,2)</f>
        <v>KQ</v>
      </c>
      <c r="F312" s="55">
        <v>50</v>
      </c>
      <c r="G312" s="55" t="s">
        <v>512</v>
      </c>
      <c r="J312" s="55" t="str">
        <f t="shared" si="22"/>
        <v xml:space="preserve">KQ4/0 </v>
      </c>
    </row>
    <row r="313" spans="1:10">
      <c r="A313" s="79" t="s">
        <v>1480</v>
      </c>
      <c r="B313" s="84" t="s">
        <v>1761</v>
      </c>
      <c r="C313" s="79" t="s">
        <v>4361</v>
      </c>
      <c r="D313" s="80" t="s">
        <v>2563</v>
      </c>
      <c r="E313" s="2238" t="str">
        <f t="shared" si="24"/>
        <v>KH</v>
      </c>
      <c r="F313" s="55">
        <v>50</v>
      </c>
      <c r="G313" s="55" t="s">
        <v>512</v>
      </c>
      <c r="J313" s="55" t="str">
        <f t="shared" si="22"/>
        <v>KH2/0</v>
      </c>
    </row>
    <row r="314" spans="1:10">
      <c r="A314" s="79" t="s">
        <v>1049</v>
      </c>
      <c r="B314" s="84" t="s">
        <v>1761</v>
      </c>
      <c r="C314" s="79" t="s">
        <v>2899</v>
      </c>
      <c r="D314" s="80" t="s">
        <v>2563</v>
      </c>
      <c r="E314" s="2238" t="str">
        <f t="shared" si="24"/>
        <v>KH</v>
      </c>
      <c r="F314" s="55">
        <v>50</v>
      </c>
      <c r="G314" s="55" t="s">
        <v>512</v>
      </c>
      <c r="J314" s="55" t="str">
        <f t="shared" si="22"/>
        <v>KH4/0</v>
      </c>
    </row>
    <row r="315" spans="1:10">
      <c r="A315" s="79" t="s">
        <v>1674</v>
      </c>
      <c r="B315" s="84" t="s">
        <v>1761</v>
      </c>
      <c r="C315" s="79" t="s">
        <v>2900</v>
      </c>
      <c r="D315" s="80" t="s">
        <v>2563</v>
      </c>
      <c r="E315" s="2238" t="str">
        <f t="shared" si="24"/>
        <v>KH</v>
      </c>
      <c r="F315" s="55">
        <v>50</v>
      </c>
      <c r="G315" s="55" t="s">
        <v>512</v>
      </c>
      <c r="J315" s="55" t="str">
        <f t="shared" si="22"/>
        <v>KH350M</v>
      </c>
    </row>
    <row r="316" spans="1:10">
      <c r="A316" s="79" t="s">
        <v>955</v>
      </c>
      <c r="B316" s="1767"/>
      <c r="C316" s="79" t="s">
        <v>2901</v>
      </c>
      <c r="D316" s="80" t="s">
        <v>2563</v>
      </c>
      <c r="E316" s="2238" t="str">
        <f t="shared" si="24"/>
        <v>KE</v>
      </c>
      <c r="F316" s="55">
        <v>50</v>
      </c>
      <c r="G316" s="55" t="s">
        <v>512</v>
      </c>
      <c r="J316" s="55" t="str">
        <f t="shared" si="22"/>
        <v>KEU35</v>
      </c>
    </row>
    <row r="317" spans="1:10">
      <c r="A317" s="79" t="s">
        <v>2167</v>
      </c>
      <c r="B317" s="1767"/>
      <c r="C317" s="79" t="s">
        <v>2902</v>
      </c>
      <c r="D317" s="80" t="s">
        <v>2563</v>
      </c>
      <c r="E317" s="2238" t="str">
        <f t="shared" si="24"/>
        <v>KE</v>
      </c>
      <c r="F317" s="55">
        <v>50</v>
      </c>
      <c r="G317" s="55" t="s">
        <v>512</v>
      </c>
      <c r="J317" s="55" t="str">
        <f t="shared" si="22"/>
        <v>KEU50</v>
      </c>
    </row>
    <row r="318" spans="1:10">
      <c r="A318" s="79" t="s">
        <v>2168</v>
      </c>
      <c r="B318" s="1767"/>
      <c r="C318" s="79" t="s">
        <v>2903</v>
      </c>
      <c r="D318" s="80" t="s">
        <v>2563</v>
      </c>
      <c r="E318" s="2238" t="str">
        <f t="shared" si="24"/>
        <v>KE</v>
      </c>
      <c r="F318" s="55">
        <v>50</v>
      </c>
      <c r="G318" s="55" t="s">
        <v>512</v>
      </c>
      <c r="J318" s="55" t="str">
        <f t="shared" si="22"/>
        <v>KEU70</v>
      </c>
    </row>
    <row r="319" spans="1:10">
      <c r="A319" s="79" t="s">
        <v>1601</v>
      </c>
      <c r="B319" s="1767"/>
      <c r="C319" s="79" t="s">
        <v>2904</v>
      </c>
      <c r="D319" s="80" t="s">
        <v>2563</v>
      </c>
      <c r="E319" s="2238" t="str">
        <f t="shared" si="24"/>
        <v>KE</v>
      </c>
      <c r="F319" s="55">
        <v>50</v>
      </c>
      <c r="G319" s="55" t="s">
        <v>512</v>
      </c>
      <c r="J319" s="55" t="str">
        <f t="shared" si="22"/>
        <v>KEU95</v>
      </c>
    </row>
    <row r="320" spans="1:10">
      <c r="A320" s="1768" t="s">
        <v>1856</v>
      </c>
      <c r="B320" s="84"/>
      <c r="C320" s="79" t="s">
        <v>2905</v>
      </c>
      <c r="D320" s="80" t="s">
        <v>2563</v>
      </c>
      <c r="E320" s="2238" t="str">
        <f t="shared" si="24"/>
        <v>Kd</v>
      </c>
      <c r="F320" s="55">
        <v>50</v>
      </c>
      <c r="G320" s="55" t="s">
        <v>512</v>
      </c>
      <c r="J320" s="55" t="str">
        <f t="shared" si="22"/>
        <v>Kd50</v>
      </c>
    </row>
    <row r="321" spans="1:10">
      <c r="A321" s="1768" t="s">
        <v>359</v>
      </c>
      <c r="B321" s="84"/>
      <c r="C321" s="79" t="s">
        <v>2906</v>
      </c>
      <c r="D321" s="80" t="s">
        <v>2563</v>
      </c>
      <c r="E321" s="2238" t="str">
        <f t="shared" si="24"/>
        <v>Kd</v>
      </c>
      <c r="F321" s="55">
        <v>50</v>
      </c>
      <c r="G321" s="55" t="s">
        <v>512</v>
      </c>
      <c r="J321" s="55" t="str">
        <f t="shared" si="22"/>
        <v>Kd70</v>
      </c>
    </row>
    <row r="322" spans="1:10">
      <c r="A322" s="1768" t="s">
        <v>2260</v>
      </c>
      <c r="B322" s="84"/>
      <c r="C322" s="79" t="s">
        <v>2907</v>
      </c>
      <c r="D322" s="80" t="s">
        <v>2563</v>
      </c>
      <c r="E322" s="2238" t="str">
        <f t="shared" si="24"/>
        <v>Kd</v>
      </c>
      <c r="F322" s="55">
        <v>50</v>
      </c>
      <c r="G322" s="55" t="s">
        <v>512</v>
      </c>
      <c r="J322" s="55" t="str">
        <f t="shared" si="22"/>
        <v>Kd95</v>
      </c>
    </row>
    <row r="323" spans="1:10">
      <c r="A323" s="1768" t="s">
        <v>2261</v>
      </c>
      <c r="B323" s="84"/>
      <c r="C323" s="79" t="s">
        <v>2908</v>
      </c>
      <c r="D323" s="80" t="s">
        <v>2563</v>
      </c>
      <c r="E323" s="2238" t="str">
        <f t="shared" si="24"/>
        <v>Kd</v>
      </c>
      <c r="F323" s="55">
        <v>50</v>
      </c>
      <c r="G323" s="55" t="s">
        <v>512</v>
      </c>
      <c r="J323" s="55" t="str">
        <f t="shared" si="22"/>
        <v>Kd120</v>
      </c>
    </row>
    <row r="324" spans="1:10">
      <c r="A324" s="1768" t="s">
        <v>329</v>
      </c>
      <c r="B324" s="84"/>
      <c r="C324" s="79" t="s">
        <v>2909</v>
      </c>
      <c r="D324" s="80" t="s">
        <v>2563</v>
      </c>
      <c r="E324" s="2238" t="str">
        <f t="shared" si="24"/>
        <v>Kd</v>
      </c>
      <c r="F324" s="55">
        <v>50</v>
      </c>
      <c r="G324" s="55" t="s">
        <v>512</v>
      </c>
      <c r="J324" s="55" t="str">
        <f t="shared" si="22"/>
        <v>Kd150</v>
      </c>
    </row>
    <row r="325" spans="1:10">
      <c r="A325" s="1768" t="s">
        <v>330</v>
      </c>
      <c r="B325" s="84"/>
      <c r="C325" s="79" t="s">
        <v>2910</v>
      </c>
      <c r="D325" s="80" t="s">
        <v>2563</v>
      </c>
      <c r="E325" s="2238" t="str">
        <f t="shared" si="24"/>
        <v>Kd</v>
      </c>
      <c r="F325" s="55">
        <v>50</v>
      </c>
      <c r="G325" s="55" t="s">
        <v>512</v>
      </c>
      <c r="J325" s="55" t="str">
        <f t="shared" si="22"/>
        <v>Kd185</v>
      </c>
    </row>
    <row r="326" spans="1:10">
      <c r="A326" s="1768" t="s">
        <v>331</v>
      </c>
      <c r="B326" s="84"/>
      <c r="C326" s="79" t="s">
        <v>2911</v>
      </c>
      <c r="D326" s="80" t="s">
        <v>2563</v>
      </c>
      <c r="E326" s="2238" t="str">
        <f t="shared" si="24"/>
        <v>Kd</v>
      </c>
      <c r="F326" s="55">
        <v>50</v>
      </c>
      <c r="G326" s="55" t="s">
        <v>512</v>
      </c>
      <c r="J326" s="55" t="str">
        <f t="shared" si="22"/>
        <v>Kd240</v>
      </c>
    </row>
    <row r="327" spans="1:10">
      <c r="A327" s="1768" t="s">
        <v>1483</v>
      </c>
      <c r="B327" s="84"/>
      <c r="C327" s="79" t="s">
        <v>2912</v>
      </c>
      <c r="D327" s="80" t="s">
        <v>2563</v>
      </c>
      <c r="E327" s="2238" t="str">
        <f t="shared" si="24"/>
        <v>KD</v>
      </c>
      <c r="F327" s="55">
        <v>50</v>
      </c>
      <c r="G327" s="55" t="s">
        <v>512</v>
      </c>
      <c r="J327" s="55" t="str">
        <f t="shared" si="22"/>
        <v>KD357</v>
      </c>
    </row>
    <row r="328" spans="1:10">
      <c r="A328" s="1768" t="s">
        <v>2259</v>
      </c>
      <c r="B328" s="84"/>
      <c r="C328" s="79" t="s">
        <v>2913</v>
      </c>
      <c r="D328" s="80" t="s">
        <v>2563</v>
      </c>
      <c r="E328" s="2238" t="str">
        <f t="shared" si="24"/>
        <v>KD</v>
      </c>
      <c r="F328" s="55">
        <v>50</v>
      </c>
      <c r="G328" s="55" t="s">
        <v>512</v>
      </c>
      <c r="J328" s="55" t="str">
        <f t="shared" si="22"/>
        <v>KD912</v>
      </c>
    </row>
    <row r="329" spans="1:10">
      <c r="A329" s="1768" t="s">
        <v>1677</v>
      </c>
      <c r="B329" s="84"/>
      <c r="C329" s="79" t="s">
        <v>2914</v>
      </c>
      <c r="D329" s="80" t="s">
        <v>2563</v>
      </c>
      <c r="E329" s="2238" t="str">
        <f t="shared" si="24"/>
        <v>KD</v>
      </c>
      <c r="F329" s="55">
        <v>50</v>
      </c>
      <c r="G329" s="55" t="s">
        <v>512</v>
      </c>
      <c r="J329" s="55" t="str">
        <f t="shared" ref="J329:J394" si="27">A329</f>
        <v>KD158</v>
      </c>
    </row>
    <row r="330" spans="1:10">
      <c r="A330" s="79" t="s">
        <v>479</v>
      </c>
      <c r="B330" s="1767"/>
      <c r="C330" s="79" t="s">
        <v>2915</v>
      </c>
      <c r="D330" s="80" t="s">
        <v>2563</v>
      </c>
      <c r="E330" s="2238" t="str">
        <f t="shared" si="24"/>
        <v>KN</v>
      </c>
      <c r="F330" s="55">
        <v>50</v>
      </c>
      <c r="G330" s="55" t="s">
        <v>512</v>
      </c>
      <c r="J330" s="55" t="str">
        <f t="shared" si="27"/>
        <v>KN35</v>
      </c>
    </row>
    <row r="331" spans="1:10">
      <c r="A331" s="79" t="s">
        <v>1485</v>
      </c>
      <c r="B331" s="1767"/>
      <c r="C331" s="79" t="s">
        <v>2916</v>
      </c>
      <c r="D331" s="80" t="s">
        <v>2563</v>
      </c>
      <c r="E331" s="2238" t="str">
        <f t="shared" si="24"/>
        <v>KN</v>
      </c>
      <c r="F331" s="55">
        <v>50</v>
      </c>
      <c r="G331" s="55" t="s">
        <v>512</v>
      </c>
      <c r="J331" s="55" t="str">
        <f t="shared" si="27"/>
        <v>KN50</v>
      </c>
    </row>
    <row r="332" spans="1:10">
      <c r="A332" s="1768" t="s">
        <v>2237</v>
      </c>
      <c r="B332" s="84"/>
      <c r="C332" s="79" t="s">
        <v>2917</v>
      </c>
      <c r="D332" s="80" t="s">
        <v>2563</v>
      </c>
      <c r="E332" s="2238" t="str">
        <f t="shared" si="24"/>
        <v>KN</v>
      </c>
      <c r="F332" s="55">
        <v>50</v>
      </c>
      <c r="G332" s="55" t="s">
        <v>512</v>
      </c>
      <c r="J332" s="55" t="str">
        <f t="shared" si="27"/>
        <v>KN70</v>
      </c>
    </row>
    <row r="333" spans="1:10">
      <c r="A333" s="1768" t="s">
        <v>1260</v>
      </c>
      <c r="B333" s="84"/>
      <c r="C333" s="79" t="s">
        <v>2918</v>
      </c>
      <c r="D333" s="80" t="s">
        <v>2563</v>
      </c>
      <c r="E333" s="2238" t="str">
        <f t="shared" si="24"/>
        <v>KN</v>
      </c>
      <c r="F333" s="55">
        <v>50</v>
      </c>
      <c r="G333" s="55" t="s">
        <v>512</v>
      </c>
      <c r="J333" s="55" t="str">
        <f t="shared" si="27"/>
        <v>KN95</v>
      </c>
    </row>
    <row r="334" spans="1:10">
      <c r="A334" s="1768" t="s">
        <v>431</v>
      </c>
      <c r="B334" s="84"/>
      <c r="C334" s="79" t="s">
        <v>2919</v>
      </c>
      <c r="D334" s="80" t="s">
        <v>2563</v>
      </c>
      <c r="E334" s="2238" t="str">
        <f t="shared" si="24"/>
        <v>KN</v>
      </c>
      <c r="F334" s="55">
        <v>50</v>
      </c>
      <c r="G334" s="55" t="s">
        <v>512</v>
      </c>
      <c r="J334" s="55" t="str">
        <f t="shared" si="27"/>
        <v>KN120</v>
      </c>
    </row>
    <row r="335" spans="1:10">
      <c r="A335" s="1768" t="s">
        <v>2115</v>
      </c>
      <c r="B335" s="84"/>
      <c r="C335" s="79" t="s">
        <v>2920</v>
      </c>
      <c r="D335" s="80" t="s">
        <v>2563</v>
      </c>
      <c r="E335" s="2238" t="str">
        <f t="shared" si="24"/>
        <v>KN</v>
      </c>
      <c r="F335" s="55">
        <v>50</v>
      </c>
      <c r="G335" s="55" t="s">
        <v>512</v>
      </c>
      <c r="J335" s="55" t="str">
        <f t="shared" si="27"/>
        <v>KN150</v>
      </c>
    </row>
    <row r="336" spans="1:10">
      <c r="A336" s="1768" t="s">
        <v>1746</v>
      </c>
      <c r="B336" s="84"/>
      <c r="C336" s="79" t="s">
        <v>2921</v>
      </c>
      <c r="D336" s="80" t="s">
        <v>2563</v>
      </c>
      <c r="E336" s="2238" t="str">
        <f t="shared" ref="E336:E413" si="28">LEFT(A336,2)</f>
        <v>KN</v>
      </c>
      <c r="F336" s="55">
        <v>50</v>
      </c>
      <c r="G336" s="55" t="s">
        <v>512</v>
      </c>
      <c r="J336" s="55" t="str">
        <f t="shared" si="27"/>
        <v>KN185</v>
      </c>
    </row>
    <row r="337" spans="1:10">
      <c r="A337" s="1768" t="s">
        <v>1745</v>
      </c>
      <c r="B337" s="84"/>
      <c r="C337" s="79" t="s">
        <v>2922</v>
      </c>
      <c r="D337" s="80" t="s">
        <v>2563</v>
      </c>
      <c r="E337" s="2238" t="str">
        <f t="shared" si="28"/>
        <v>KN</v>
      </c>
      <c r="F337" s="55">
        <v>50</v>
      </c>
      <c r="G337" s="55" t="s">
        <v>512</v>
      </c>
      <c r="J337" s="55" t="str">
        <f t="shared" si="27"/>
        <v>KN240</v>
      </c>
    </row>
    <row r="338" spans="1:10">
      <c r="A338" s="1768" t="s">
        <v>106</v>
      </c>
      <c r="B338" s="84"/>
      <c r="C338" s="79" t="s">
        <v>2923</v>
      </c>
      <c r="D338" s="80" t="s">
        <v>2563</v>
      </c>
      <c r="E338" s="2238" t="str">
        <f t="shared" si="28"/>
        <v>KN</v>
      </c>
      <c r="F338" s="55">
        <v>50</v>
      </c>
      <c r="G338" s="55" t="s">
        <v>512</v>
      </c>
      <c r="J338" s="55" t="str">
        <f t="shared" si="27"/>
        <v>KN158</v>
      </c>
    </row>
    <row r="339" spans="1:10">
      <c r="A339" s="1768" t="s">
        <v>1599</v>
      </c>
      <c r="B339" s="84"/>
      <c r="C339" s="79" t="s">
        <v>2924</v>
      </c>
      <c r="D339" s="80" t="s">
        <v>2563</v>
      </c>
      <c r="E339" s="2238" t="str">
        <f t="shared" si="28"/>
        <v>KN</v>
      </c>
      <c r="F339" s="55">
        <v>50</v>
      </c>
      <c r="G339" s="55" t="s">
        <v>512</v>
      </c>
      <c r="J339" s="55" t="str">
        <f t="shared" si="27"/>
        <v>KN912</v>
      </c>
    </row>
    <row r="340" spans="1:10">
      <c r="A340" s="1768" t="s">
        <v>1486</v>
      </c>
      <c r="B340" s="84"/>
      <c r="C340" s="79" t="s">
        <v>2925</v>
      </c>
      <c r="D340" s="80" t="s">
        <v>2563</v>
      </c>
      <c r="E340" s="2238" t="str">
        <f t="shared" si="28"/>
        <v>KN</v>
      </c>
      <c r="F340" s="55">
        <v>50</v>
      </c>
      <c r="G340" s="55" t="s">
        <v>512</v>
      </c>
      <c r="J340" s="55" t="str">
        <f t="shared" si="27"/>
        <v>KN357</v>
      </c>
    </row>
    <row r="341" spans="1:10">
      <c r="A341" s="79" t="s">
        <v>544</v>
      </c>
      <c r="B341" s="84"/>
      <c r="C341" s="79" t="s">
        <v>4911</v>
      </c>
      <c r="D341" s="80" t="s">
        <v>2563</v>
      </c>
      <c r="E341" s="2238" t="str">
        <f t="shared" si="28"/>
        <v>GN</v>
      </c>
      <c r="F341" s="55">
        <v>50</v>
      </c>
      <c r="G341" s="55" t="s">
        <v>512</v>
      </c>
      <c r="J341" s="55" t="str">
        <f t="shared" si="27"/>
        <v>GNIU</v>
      </c>
    </row>
    <row r="342" spans="1:10">
      <c r="A342" s="79" t="s">
        <v>2005</v>
      </c>
      <c r="B342" s="1767"/>
      <c r="C342" s="79" t="s">
        <v>2926</v>
      </c>
      <c r="D342" s="80" t="s">
        <v>2563</v>
      </c>
      <c r="E342" s="2238" t="str">
        <f t="shared" si="28"/>
        <v>MA</v>
      </c>
      <c r="F342" s="55">
        <v>50</v>
      </c>
      <c r="G342" s="55" t="s">
        <v>512</v>
      </c>
      <c r="J342" s="55" t="str">
        <f t="shared" si="27"/>
        <v>MANG</v>
      </c>
    </row>
    <row r="343" spans="1:10">
      <c r="A343" s="79" t="s">
        <v>1487</v>
      </c>
      <c r="B343" s="1767"/>
      <c r="C343" s="79" t="s">
        <v>2927</v>
      </c>
      <c r="D343" s="80" t="s">
        <v>2563</v>
      </c>
      <c r="E343" s="2238" t="str">
        <f t="shared" si="28"/>
        <v>MN</v>
      </c>
      <c r="F343" s="55">
        <v>50</v>
      </c>
      <c r="G343" s="55" t="s">
        <v>512</v>
      </c>
      <c r="J343" s="55" t="str">
        <f t="shared" si="27"/>
        <v>MND</v>
      </c>
    </row>
    <row r="344" spans="1:10">
      <c r="A344" s="79" t="s">
        <v>1488</v>
      </c>
      <c r="B344" s="1767"/>
      <c r="C344" s="79" t="s">
        <v>2928</v>
      </c>
      <c r="D344" s="80" t="s">
        <v>2563</v>
      </c>
      <c r="E344" s="2238" t="str">
        <f t="shared" si="28"/>
        <v>MN</v>
      </c>
      <c r="F344" s="55">
        <v>50</v>
      </c>
      <c r="G344" s="55" t="s">
        <v>512</v>
      </c>
      <c r="J344" s="55" t="str">
        <f t="shared" si="27"/>
        <v>MNTG</v>
      </c>
    </row>
    <row r="345" spans="1:10">
      <c r="A345" s="79" t="s">
        <v>1489</v>
      </c>
      <c r="B345" s="1767"/>
      <c r="C345" s="79" t="s">
        <v>2929</v>
      </c>
      <c r="D345" s="80" t="s">
        <v>2563</v>
      </c>
      <c r="E345" s="2238" t="str">
        <f t="shared" si="28"/>
        <v>MT</v>
      </c>
      <c r="F345" s="55">
        <v>50</v>
      </c>
      <c r="G345" s="55" t="s">
        <v>512</v>
      </c>
      <c r="J345" s="55" t="str">
        <f t="shared" si="27"/>
        <v>MT</v>
      </c>
    </row>
    <row r="346" spans="1:10">
      <c r="A346" s="79" t="s">
        <v>1255</v>
      </c>
      <c r="B346" s="1767"/>
      <c r="C346" s="79" t="s">
        <v>2930</v>
      </c>
      <c r="D346" s="80" t="s">
        <v>2563</v>
      </c>
      <c r="E346" s="2238" t="str">
        <f t="shared" si="28"/>
        <v>MT</v>
      </c>
      <c r="F346" s="55">
        <v>50</v>
      </c>
      <c r="G346" s="55" t="s">
        <v>512</v>
      </c>
      <c r="J346" s="55" t="str">
        <f t="shared" si="27"/>
        <v>MT61A</v>
      </c>
    </row>
    <row r="347" spans="1:10">
      <c r="A347" s="79" t="s">
        <v>1572</v>
      </c>
      <c r="B347" s="1767"/>
      <c r="C347" s="79" t="s">
        <v>2931</v>
      </c>
      <c r="D347" s="80" t="s">
        <v>2563</v>
      </c>
      <c r="E347" s="2238" t="str">
        <f t="shared" si="28"/>
        <v>VT</v>
      </c>
      <c r="F347" s="55">
        <v>50</v>
      </c>
      <c r="G347" s="55" t="s">
        <v>512</v>
      </c>
      <c r="J347" s="55" t="str">
        <f t="shared" si="27"/>
        <v>VT</v>
      </c>
    </row>
    <row r="348" spans="1:10">
      <c r="A348" s="1768" t="s">
        <v>705</v>
      </c>
      <c r="B348" s="84"/>
      <c r="C348" s="79" t="s">
        <v>2932</v>
      </c>
      <c r="D348" s="80" t="s">
        <v>2563</v>
      </c>
      <c r="E348" s="2238" t="str">
        <f t="shared" si="28"/>
        <v>ON</v>
      </c>
      <c r="F348" s="55">
        <v>50</v>
      </c>
      <c r="G348" s="55" t="s">
        <v>512</v>
      </c>
      <c r="J348" s="55" t="str">
        <f t="shared" si="27"/>
        <v>ON240A</v>
      </c>
    </row>
    <row r="349" spans="1:10">
      <c r="A349" s="1768" t="s">
        <v>209</v>
      </c>
      <c r="B349" s="84"/>
      <c r="C349" s="79" t="s">
        <v>2933</v>
      </c>
      <c r="D349" s="80" t="s">
        <v>2563</v>
      </c>
      <c r="E349" s="2238" t="str">
        <f t="shared" si="28"/>
        <v>ON</v>
      </c>
      <c r="F349" s="55">
        <v>50</v>
      </c>
      <c r="G349" s="55" t="s">
        <v>512</v>
      </c>
      <c r="J349" s="55" t="str">
        <f t="shared" si="27"/>
        <v>ON185A</v>
      </c>
    </row>
    <row r="350" spans="1:10">
      <c r="A350" s="1768" t="s">
        <v>2224</v>
      </c>
      <c r="B350" s="84"/>
      <c r="C350" s="79" t="s">
        <v>2934</v>
      </c>
      <c r="D350" s="80" t="s">
        <v>2563</v>
      </c>
      <c r="E350" s="2238" t="str">
        <f t="shared" si="28"/>
        <v>ON</v>
      </c>
      <c r="F350" s="55">
        <v>50</v>
      </c>
      <c r="G350" s="55" t="s">
        <v>512</v>
      </c>
      <c r="J350" s="55" t="str">
        <f t="shared" si="27"/>
        <v>ON120A</v>
      </c>
    </row>
    <row r="351" spans="1:10">
      <c r="A351" s="79" t="s">
        <v>524</v>
      </c>
      <c r="B351" s="1767"/>
      <c r="C351" s="79" t="s">
        <v>2935</v>
      </c>
      <c r="D351" s="80" t="s">
        <v>2563</v>
      </c>
      <c r="E351" s="2238" t="str">
        <f t="shared" si="28"/>
        <v>ON</v>
      </c>
      <c r="F351" s="55">
        <v>50</v>
      </c>
      <c r="G351" s="55" t="s">
        <v>512</v>
      </c>
      <c r="J351" s="55" t="str">
        <f t="shared" si="27"/>
        <v>ON95A</v>
      </c>
    </row>
    <row r="352" spans="1:10">
      <c r="A352" s="1768" t="s">
        <v>523</v>
      </c>
      <c r="B352" s="84"/>
      <c r="C352" s="79" t="s">
        <v>2936</v>
      </c>
      <c r="D352" s="80" t="s">
        <v>2563</v>
      </c>
      <c r="E352" s="2238" t="str">
        <f t="shared" si="28"/>
        <v>ON</v>
      </c>
      <c r="F352" s="55">
        <v>50</v>
      </c>
      <c r="G352" s="55" t="s">
        <v>512</v>
      </c>
      <c r="J352" s="55" t="str">
        <f t="shared" si="27"/>
        <v>ON70A</v>
      </c>
    </row>
    <row r="353" spans="1:10">
      <c r="A353" s="1768" t="s">
        <v>522</v>
      </c>
      <c r="B353" s="84"/>
      <c r="C353" s="79" t="s">
        <v>2937</v>
      </c>
      <c r="D353" s="80" t="s">
        <v>2563</v>
      </c>
      <c r="E353" s="2238" t="str">
        <f t="shared" si="28"/>
        <v>ON</v>
      </c>
      <c r="F353" s="55">
        <v>50</v>
      </c>
      <c r="G353" s="55" t="s">
        <v>512</v>
      </c>
      <c r="J353" s="55" t="str">
        <f t="shared" si="27"/>
        <v>ON50A</v>
      </c>
    </row>
    <row r="354" spans="1:10">
      <c r="A354" s="1768" t="s">
        <v>618</v>
      </c>
      <c r="B354" s="84"/>
      <c r="C354" s="79" t="s">
        <v>2938</v>
      </c>
      <c r="D354" s="80" t="s">
        <v>2563</v>
      </c>
      <c r="E354" s="2238" t="str">
        <f t="shared" si="28"/>
        <v>ON</v>
      </c>
      <c r="F354" s="55">
        <v>50</v>
      </c>
      <c r="G354" s="55" t="s">
        <v>512</v>
      </c>
      <c r="J354" s="55" t="str">
        <f t="shared" si="27"/>
        <v>ON35A</v>
      </c>
    </row>
    <row r="355" spans="1:10">
      <c r="A355" s="1768" t="s">
        <v>574</v>
      </c>
      <c r="B355" s="84"/>
      <c r="C355" s="79" t="s">
        <v>2939</v>
      </c>
      <c r="D355" s="80" t="s">
        <v>2563</v>
      </c>
      <c r="E355" s="2238" t="str">
        <f t="shared" si="28"/>
        <v>ON</v>
      </c>
      <c r="F355" s="55">
        <v>50</v>
      </c>
      <c r="G355" s="55" t="s">
        <v>512</v>
      </c>
      <c r="J355" s="55" t="str">
        <f t="shared" si="27"/>
        <v>ON35</v>
      </c>
    </row>
    <row r="356" spans="1:10">
      <c r="A356" s="1768" t="s">
        <v>1490</v>
      </c>
      <c r="B356" s="84"/>
      <c r="C356" s="79" t="s">
        <v>2940</v>
      </c>
      <c r="D356" s="80" t="s">
        <v>2563</v>
      </c>
      <c r="E356" s="2238" t="str">
        <f t="shared" si="28"/>
        <v>ON</v>
      </c>
      <c r="F356" s="55">
        <v>50</v>
      </c>
      <c r="G356" s="55" t="s">
        <v>512</v>
      </c>
      <c r="J356" s="55" t="str">
        <f t="shared" si="27"/>
        <v>ON50</v>
      </c>
    </row>
    <row r="357" spans="1:10">
      <c r="A357" s="1768" t="s">
        <v>1491</v>
      </c>
      <c r="B357" s="84"/>
      <c r="C357" s="79" t="s">
        <v>2941</v>
      </c>
      <c r="D357" s="80" t="s">
        <v>2563</v>
      </c>
      <c r="E357" s="2238" t="str">
        <f t="shared" si="28"/>
        <v>ON</v>
      </c>
      <c r="F357" s="55">
        <v>50</v>
      </c>
      <c r="G357" s="55" t="s">
        <v>512</v>
      </c>
      <c r="J357" s="55" t="str">
        <f t="shared" si="27"/>
        <v>ON70</v>
      </c>
    </row>
    <row r="358" spans="1:10">
      <c r="A358" s="79" t="s">
        <v>432</v>
      </c>
      <c r="B358" s="1767"/>
      <c r="C358" s="79" t="s">
        <v>2942</v>
      </c>
      <c r="D358" s="80" t="s">
        <v>2563</v>
      </c>
      <c r="E358" s="2238" t="str">
        <f t="shared" si="28"/>
        <v>ON</v>
      </c>
      <c r="F358" s="55">
        <v>50</v>
      </c>
      <c r="G358" s="55" t="s">
        <v>512</v>
      </c>
      <c r="J358" s="55" t="str">
        <f t="shared" si="27"/>
        <v>ON95</v>
      </c>
    </row>
    <row r="359" spans="1:10">
      <c r="A359" s="1768" t="s">
        <v>573</v>
      </c>
      <c r="B359" s="84"/>
      <c r="C359" s="79" t="s">
        <v>2943</v>
      </c>
      <c r="D359" s="80" t="s">
        <v>2563</v>
      </c>
      <c r="E359" s="2238" t="str">
        <f t="shared" si="28"/>
        <v>ON</v>
      </c>
      <c r="F359" s="55">
        <v>50</v>
      </c>
      <c r="G359" s="55" t="s">
        <v>512</v>
      </c>
      <c r="J359" s="55" t="str">
        <f t="shared" si="27"/>
        <v>ON120</v>
      </c>
    </row>
    <row r="360" spans="1:10">
      <c r="A360" s="1768" t="s">
        <v>937</v>
      </c>
      <c r="B360" s="84"/>
      <c r="C360" s="79" t="s">
        <v>2944</v>
      </c>
      <c r="D360" s="80" t="s">
        <v>2563</v>
      </c>
      <c r="E360" s="2238" t="str">
        <f t="shared" si="28"/>
        <v>ON</v>
      </c>
      <c r="F360" s="55">
        <v>50</v>
      </c>
      <c r="G360" s="55" t="s">
        <v>512</v>
      </c>
      <c r="J360" s="55" t="str">
        <f t="shared" si="27"/>
        <v>ON150</v>
      </c>
    </row>
    <row r="361" spans="1:10">
      <c r="A361" s="1768" t="s">
        <v>572</v>
      </c>
      <c r="B361" s="84"/>
      <c r="C361" s="79" t="s">
        <v>2945</v>
      </c>
      <c r="D361" s="80" t="s">
        <v>2563</v>
      </c>
      <c r="E361" s="2238" t="str">
        <f t="shared" si="28"/>
        <v>ON</v>
      </c>
      <c r="F361" s="55">
        <v>50</v>
      </c>
      <c r="G361" s="55" t="s">
        <v>512</v>
      </c>
      <c r="J361" s="55" t="str">
        <f t="shared" si="27"/>
        <v>ON185</v>
      </c>
    </row>
    <row r="362" spans="1:10">
      <c r="A362" s="1768" t="s">
        <v>571</v>
      </c>
      <c r="B362" s="84"/>
      <c r="C362" s="79" t="s">
        <v>2946</v>
      </c>
      <c r="D362" s="80" t="s">
        <v>2563</v>
      </c>
      <c r="E362" s="2238" t="str">
        <f t="shared" si="28"/>
        <v>ON</v>
      </c>
      <c r="F362" s="55">
        <v>50</v>
      </c>
      <c r="G362" s="55" t="s">
        <v>512</v>
      </c>
      <c r="J362" s="55" t="str">
        <f t="shared" si="27"/>
        <v>ON240</v>
      </c>
    </row>
    <row r="363" spans="1:10">
      <c r="A363" s="79" t="s">
        <v>433</v>
      </c>
      <c r="B363" s="1767"/>
      <c r="C363" s="79" t="s">
        <v>2947</v>
      </c>
      <c r="D363" s="80" t="s">
        <v>2563</v>
      </c>
      <c r="E363" s="2238" t="str">
        <f t="shared" si="28"/>
        <v>ON</v>
      </c>
      <c r="F363" s="55">
        <v>50</v>
      </c>
      <c r="G363" s="55" t="s">
        <v>512</v>
      </c>
      <c r="J363" s="55" t="str">
        <f t="shared" si="27"/>
        <v>ON50B</v>
      </c>
    </row>
    <row r="364" spans="1:10">
      <c r="A364" s="79" t="s">
        <v>2194</v>
      </c>
      <c r="B364" s="1767"/>
      <c r="C364" s="79" t="s">
        <v>2195</v>
      </c>
      <c r="D364" s="80" t="s">
        <v>2563</v>
      </c>
      <c r="E364" s="2238" t="str">
        <f t="shared" si="28"/>
        <v>PU</v>
      </c>
      <c r="F364" s="55">
        <v>50</v>
      </c>
      <c r="G364" s="55" t="s">
        <v>512</v>
      </c>
      <c r="J364" s="55" t="str">
        <f t="shared" si="27"/>
        <v>PU</v>
      </c>
    </row>
    <row r="365" spans="1:10">
      <c r="A365" s="79" t="s">
        <v>1913</v>
      </c>
      <c r="B365" s="1767"/>
      <c r="C365" s="79" t="s">
        <v>2948</v>
      </c>
      <c r="D365" s="80" t="s">
        <v>2445</v>
      </c>
      <c r="E365" s="2238" t="str">
        <f t="shared" si="28"/>
        <v>R1</v>
      </c>
      <c r="F365" s="55">
        <v>50</v>
      </c>
      <c r="G365" s="55" t="s">
        <v>512</v>
      </c>
      <c r="J365" s="55" t="str">
        <f t="shared" si="27"/>
        <v>R1</v>
      </c>
    </row>
    <row r="366" spans="1:10">
      <c r="A366" s="79" t="s">
        <v>2265</v>
      </c>
      <c r="B366" s="1767"/>
      <c r="C366" s="79" t="s">
        <v>2949</v>
      </c>
      <c r="D366" s="80" t="s">
        <v>2445</v>
      </c>
      <c r="E366" s="2238" t="str">
        <f t="shared" si="28"/>
        <v>R2</v>
      </c>
      <c r="F366" s="55">
        <v>50</v>
      </c>
      <c r="G366" s="55" t="s">
        <v>512</v>
      </c>
      <c r="J366" s="55" t="str">
        <f t="shared" si="27"/>
        <v>R2</v>
      </c>
    </row>
    <row r="367" spans="1:10">
      <c r="A367" s="79" t="s">
        <v>667</v>
      </c>
      <c r="B367" s="1767"/>
      <c r="C367" s="79" t="s">
        <v>2950</v>
      </c>
      <c r="D367" s="80" t="s">
        <v>2445</v>
      </c>
      <c r="E367" s="2238" t="str">
        <f t="shared" si="28"/>
        <v>R3</v>
      </c>
      <c r="F367" s="55">
        <v>50</v>
      </c>
      <c r="G367" s="55" t="s">
        <v>512</v>
      </c>
      <c r="J367" s="55" t="str">
        <f t="shared" si="27"/>
        <v>R3</v>
      </c>
    </row>
    <row r="368" spans="1:10">
      <c r="A368" s="79" t="s">
        <v>51</v>
      </c>
      <c r="B368" s="1767"/>
      <c r="C368" s="1768" t="s">
        <v>1450</v>
      </c>
      <c r="D368" s="80" t="s">
        <v>2563</v>
      </c>
      <c r="E368" s="2238" t="str">
        <f t="shared" si="28"/>
        <v>R4</v>
      </c>
      <c r="F368" s="55">
        <v>50</v>
      </c>
      <c r="G368" s="55" t="s">
        <v>512</v>
      </c>
      <c r="J368" s="55" t="str">
        <f t="shared" si="27"/>
        <v>R4</v>
      </c>
    </row>
    <row r="369" spans="1:10">
      <c r="A369" s="79" t="s">
        <v>1452</v>
      </c>
      <c r="B369" s="1767"/>
      <c r="C369" s="79" t="s">
        <v>2951</v>
      </c>
      <c r="D369" s="80" t="s">
        <v>2445</v>
      </c>
      <c r="E369" s="2238" t="str">
        <f t="shared" si="28"/>
        <v>R4</v>
      </c>
      <c r="F369" s="55">
        <v>50</v>
      </c>
      <c r="G369" s="55" t="s">
        <v>512</v>
      </c>
      <c r="J369" s="55" t="str">
        <f t="shared" si="27"/>
        <v>R4S</v>
      </c>
    </row>
    <row r="370" spans="1:10">
      <c r="A370" s="79" t="s">
        <v>696</v>
      </c>
      <c r="B370" s="1767"/>
      <c r="C370" s="79" t="s">
        <v>2952</v>
      </c>
      <c r="D370" s="80" t="s">
        <v>2563</v>
      </c>
      <c r="E370" s="2238" t="str">
        <f t="shared" ref="E370:E371" si="29">LEFT(A370,2)</f>
        <v>SD</v>
      </c>
      <c r="F370" s="55">
        <v>3</v>
      </c>
      <c r="G370" s="55" t="s">
        <v>512</v>
      </c>
      <c r="J370" s="55" t="str">
        <f t="shared" ref="J370:J371" si="30">A370</f>
        <v>SD</v>
      </c>
    </row>
    <row r="371" spans="1:10">
      <c r="A371" s="79" t="s">
        <v>4946</v>
      </c>
      <c r="B371" s="1767"/>
      <c r="C371" s="79" t="s">
        <v>4908</v>
      </c>
      <c r="D371" s="80" t="s">
        <v>2563</v>
      </c>
      <c r="E371" s="2238" t="str">
        <f t="shared" si="29"/>
        <v>SD</v>
      </c>
      <c r="F371" s="55">
        <v>6</v>
      </c>
      <c r="G371" s="55" t="s">
        <v>512</v>
      </c>
      <c r="J371" s="55" t="str">
        <f t="shared" si="30"/>
        <v>SDC</v>
      </c>
    </row>
    <row r="372" spans="1:10">
      <c r="A372" s="79" t="s">
        <v>4947</v>
      </c>
      <c r="B372" s="1767"/>
      <c r="C372" s="79" t="s">
        <v>4909</v>
      </c>
      <c r="D372" s="80" t="s">
        <v>2563</v>
      </c>
      <c r="E372" s="2238" t="str">
        <f t="shared" si="28"/>
        <v>CS</v>
      </c>
      <c r="F372" s="55">
        <v>6</v>
      </c>
      <c r="G372" s="55" t="s">
        <v>512</v>
      </c>
      <c r="J372" s="55" t="str">
        <f t="shared" si="27"/>
        <v>CSDC</v>
      </c>
    </row>
    <row r="373" spans="1:10">
      <c r="A373" s="79" t="s">
        <v>1001</v>
      </c>
      <c r="B373" s="1767"/>
      <c r="C373" s="79" t="s">
        <v>2953</v>
      </c>
      <c r="D373" s="80" t="s">
        <v>2445</v>
      </c>
      <c r="E373" s="2238" t="str">
        <f t="shared" si="28"/>
        <v>SD</v>
      </c>
      <c r="F373" s="55">
        <v>6</v>
      </c>
      <c r="G373" s="55" t="s">
        <v>512</v>
      </c>
      <c r="J373" s="55" t="str">
        <f t="shared" si="27"/>
        <v>SD35</v>
      </c>
    </row>
    <row r="374" spans="1:10">
      <c r="A374" s="79" t="s">
        <v>732</v>
      </c>
      <c r="B374" s="1767"/>
      <c r="C374" s="79" t="s">
        <v>2954</v>
      </c>
      <c r="D374" s="80" t="s">
        <v>2445</v>
      </c>
      <c r="E374" s="2238" t="str">
        <f t="shared" si="28"/>
        <v>SD</v>
      </c>
      <c r="F374" s="55">
        <v>6</v>
      </c>
      <c r="G374" s="55" t="s">
        <v>512</v>
      </c>
      <c r="J374" s="55" t="str">
        <f t="shared" si="27"/>
        <v>SDI35</v>
      </c>
    </row>
    <row r="375" spans="1:10">
      <c r="A375" s="79" t="s">
        <v>733</v>
      </c>
      <c r="B375" s="1767"/>
      <c r="C375" s="79" t="s">
        <v>2955</v>
      </c>
      <c r="D375" s="80" t="s">
        <v>2563</v>
      </c>
      <c r="E375" s="2238" t="str">
        <f t="shared" si="28"/>
        <v>SD</v>
      </c>
      <c r="F375" s="55">
        <v>6</v>
      </c>
      <c r="G375" s="55" t="s">
        <v>512</v>
      </c>
      <c r="J375" s="55" t="str">
        <f t="shared" si="27"/>
        <v>SDCM</v>
      </c>
    </row>
    <row r="376" spans="1:10">
      <c r="A376" s="79" t="s">
        <v>111</v>
      </c>
      <c r="B376" s="1767"/>
      <c r="C376" s="79" t="s">
        <v>2956</v>
      </c>
      <c r="D376" s="80" t="s">
        <v>2563</v>
      </c>
      <c r="E376" s="2238" t="str">
        <f t="shared" si="28"/>
        <v>SN</v>
      </c>
      <c r="F376" s="55">
        <v>50</v>
      </c>
      <c r="G376" s="55" t="s">
        <v>512</v>
      </c>
      <c r="J376" s="55" t="str">
        <f t="shared" si="27"/>
        <v>SN</v>
      </c>
    </row>
    <row r="377" spans="1:10">
      <c r="A377" s="79" t="s">
        <v>2134</v>
      </c>
      <c r="B377" s="1767"/>
      <c r="C377" s="79" t="s">
        <v>2957</v>
      </c>
      <c r="D377" s="80" t="s">
        <v>2563</v>
      </c>
      <c r="E377" s="2238" t="str">
        <f t="shared" si="28"/>
        <v>SO</v>
      </c>
      <c r="F377" s="55">
        <v>50</v>
      </c>
      <c r="G377" s="55" t="s">
        <v>512</v>
      </c>
      <c r="J377" s="55" t="str">
        <f t="shared" si="27"/>
        <v>SOC</v>
      </c>
    </row>
    <row r="378" spans="1:10">
      <c r="A378" s="79" t="s">
        <v>112</v>
      </c>
      <c r="B378" s="1767"/>
      <c r="C378" s="79" t="s">
        <v>2958</v>
      </c>
      <c r="D378" s="80" t="s">
        <v>2959</v>
      </c>
      <c r="E378" s="2238" t="str">
        <f t="shared" si="28"/>
        <v>ST</v>
      </c>
      <c r="F378" s="55">
        <v>50</v>
      </c>
      <c r="G378" s="55" t="s">
        <v>512</v>
      </c>
      <c r="J378" s="55" t="str">
        <f t="shared" si="27"/>
        <v>ST</v>
      </c>
    </row>
    <row r="379" spans="1:10">
      <c r="A379" s="79" t="s">
        <v>558</v>
      </c>
      <c r="B379" s="1767"/>
      <c r="C379" s="79" t="s">
        <v>2960</v>
      </c>
      <c r="D379" s="80" t="s">
        <v>2959</v>
      </c>
      <c r="E379" s="2238" t="str">
        <f t="shared" si="28"/>
        <v>ST</v>
      </c>
      <c r="F379" s="55">
        <v>50</v>
      </c>
      <c r="G379" s="55" t="s">
        <v>512</v>
      </c>
      <c r="J379" s="55" t="str">
        <f t="shared" si="27"/>
        <v>ST120</v>
      </c>
    </row>
    <row r="380" spans="1:10">
      <c r="A380" s="79" t="s">
        <v>1029</v>
      </c>
      <c r="B380" s="1767"/>
      <c r="C380" s="79" t="s">
        <v>2961</v>
      </c>
      <c r="D380" s="80" t="s">
        <v>2518</v>
      </c>
      <c r="E380" s="2238" t="str">
        <f t="shared" si="28"/>
        <v>ST</v>
      </c>
      <c r="F380" s="55">
        <v>3</v>
      </c>
      <c r="G380" s="55" t="s">
        <v>512</v>
      </c>
      <c r="J380" s="55" t="str">
        <f t="shared" si="27"/>
        <v>STply</v>
      </c>
    </row>
    <row r="381" spans="1:10">
      <c r="A381" s="79" t="s">
        <v>538</v>
      </c>
      <c r="B381" s="1767"/>
      <c r="C381" s="79" t="s">
        <v>2962</v>
      </c>
      <c r="D381" s="80" t="s">
        <v>2563</v>
      </c>
      <c r="E381" s="2238" t="str">
        <f t="shared" si="28"/>
        <v>St</v>
      </c>
      <c r="F381" s="55">
        <v>50</v>
      </c>
      <c r="G381" s="55" t="s">
        <v>512</v>
      </c>
      <c r="J381" s="55" t="str">
        <f t="shared" si="27"/>
        <v>Stply-HT</v>
      </c>
    </row>
    <row r="382" spans="1:10">
      <c r="A382" s="79" t="s">
        <v>1030</v>
      </c>
      <c r="B382" s="1767"/>
      <c r="C382" s="79" t="s">
        <v>2963</v>
      </c>
      <c r="D382" s="80" t="s">
        <v>2254</v>
      </c>
      <c r="E382" s="2238" t="str">
        <f t="shared" si="28"/>
        <v>S4</v>
      </c>
      <c r="F382" s="55">
        <v>50</v>
      </c>
      <c r="G382" s="55" t="s">
        <v>512</v>
      </c>
      <c r="J382" s="55" t="str">
        <f t="shared" si="27"/>
        <v>S40</v>
      </c>
    </row>
    <row r="383" spans="1:10">
      <c r="A383" s="79" t="s">
        <v>2112</v>
      </c>
      <c r="B383" s="1767"/>
      <c r="C383" s="79" t="s">
        <v>4903</v>
      </c>
      <c r="D383" s="80" t="s">
        <v>2254</v>
      </c>
      <c r="E383" s="2238" t="str">
        <f t="shared" si="28"/>
        <v>S5</v>
      </c>
      <c r="F383" s="55">
        <v>50</v>
      </c>
      <c r="G383" s="55" t="s">
        <v>512</v>
      </c>
      <c r="J383" s="55" t="str">
        <f t="shared" si="27"/>
        <v>S50</v>
      </c>
    </row>
    <row r="384" spans="1:10">
      <c r="A384" s="79" t="s">
        <v>279</v>
      </c>
      <c r="B384" s="1767"/>
      <c r="C384" s="79" t="s">
        <v>2964</v>
      </c>
      <c r="D384" s="80" t="s">
        <v>2254</v>
      </c>
      <c r="E384" s="2238" t="str">
        <f t="shared" si="28"/>
        <v>S6</v>
      </c>
      <c r="F384" s="55">
        <v>50</v>
      </c>
      <c r="G384" s="55" t="s">
        <v>512</v>
      </c>
      <c r="J384" s="55" t="str">
        <f t="shared" si="27"/>
        <v>S60</v>
      </c>
    </row>
    <row r="385" spans="1:10">
      <c r="A385" s="79" t="s">
        <v>1119</v>
      </c>
      <c r="B385" s="1767"/>
      <c r="C385" s="79" t="s">
        <v>2965</v>
      </c>
      <c r="D385" s="80" t="s">
        <v>2254</v>
      </c>
      <c r="E385" s="2238" t="str">
        <f t="shared" si="28"/>
        <v>S7</v>
      </c>
      <c r="F385" s="55">
        <v>50</v>
      </c>
      <c r="G385" s="55" t="s">
        <v>512</v>
      </c>
      <c r="J385" s="55" t="str">
        <f t="shared" si="27"/>
        <v>S70</v>
      </c>
    </row>
    <row r="386" spans="1:10">
      <c r="A386" s="1768" t="s">
        <v>1120</v>
      </c>
      <c r="B386" s="84"/>
      <c r="C386" s="79" t="s">
        <v>2966</v>
      </c>
      <c r="D386" s="80" t="s">
        <v>2254</v>
      </c>
      <c r="E386" s="2238" t="str">
        <f t="shared" si="28"/>
        <v>S8</v>
      </c>
      <c r="F386" s="55">
        <v>50</v>
      </c>
      <c r="G386" s="55" t="s">
        <v>512</v>
      </c>
      <c r="J386" s="55" t="str">
        <f t="shared" si="27"/>
        <v>S806</v>
      </c>
    </row>
    <row r="387" spans="1:10">
      <c r="A387" s="1768" t="s">
        <v>2233</v>
      </c>
      <c r="B387" s="84"/>
      <c r="C387" s="79" t="s">
        <v>2967</v>
      </c>
      <c r="D387" s="80" t="s">
        <v>2254</v>
      </c>
      <c r="E387" s="2238" t="str">
        <f t="shared" si="28"/>
        <v>S8</v>
      </c>
      <c r="F387" s="55">
        <v>50</v>
      </c>
      <c r="G387" s="55" t="s">
        <v>512</v>
      </c>
      <c r="J387" s="55" t="str">
        <f t="shared" si="27"/>
        <v>S80</v>
      </c>
    </row>
    <row r="388" spans="1:10">
      <c r="A388" s="79" t="s">
        <v>2234</v>
      </c>
      <c r="B388" s="1767"/>
      <c r="C388" s="79" t="s">
        <v>2968</v>
      </c>
      <c r="D388" s="80" t="s">
        <v>2254</v>
      </c>
      <c r="E388" s="2238" t="str">
        <f t="shared" si="28"/>
        <v>S1</v>
      </c>
      <c r="F388" s="55">
        <v>50</v>
      </c>
      <c r="G388" s="55" t="s">
        <v>512</v>
      </c>
      <c r="J388" s="55" t="str">
        <f t="shared" si="27"/>
        <v>S1008</v>
      </c>
    </row>
    <row r="389" spans="1:10">
      <c r="A389" s="1768" t="s">
        <v>640</v>
      </c>
      <c r="B389" s="84"/>
      <c r="C389" s="79" t="s">
        <v>2969</v>
      </c>
      <c r="D389" s="80" t="s">
        <v>2254</v>
      </c>
      <c r="E389" s="2238" t="str">
        <f t="shared" si="28"/>
        <v>SL</v>
      </c>
      <c r="F389" s="55">
        <v>50</v>
      </c>
      <c r="G389" s="55" t="s">
        <v>512</v>
      </c>
      <c r="J389" s="55" t="str">
        <f t="shared" si="27"/>
        <v>SL32</v>
      </c>
    </row>
    <row r="390" spans="1:10">
      <c r="A390" s="1768" t="s">
        <v>1616</v>
      </c>
      <c r="B390" s="84"/>
      <c r="C390" s="79" t="s">
        <v>2970</v>
      </c>
      <c r="D390" s="80" t="s">
        <v>2254</v>
      </c>
      <c r="E390" s="2238" t="str">
        <f t="shared" si="28"/>
        <v>SL</v>
      </c>
      <c r="F390" s="55">
        <v>50</v>
      </c>
      <c r="G390" s="55" t="s">
        <v>512</v>
      </c>
      <c r="J390" s="55" t="str">
        <f t="shared" si="27"/>
        <v>SL40</v>
      </c>
    </row>
    <row r="391" spans="1:10">
      <c r="A391" s="79" t="s">
        <v>1518</v>
      </c>
      <c r="B391" s="1767"/>
      <c r="C391" s="79" t="s">
        <v>2971</v>
      </c>
      <c r="D391" s="80" t="s">
        <v>2254</v>
      </c>
      <c r="E391" s="2238" t="str">
        <f t="shared" si="28"/>
        <v>SL</v>
      </c>
      <c r="F391" s="55">
        <v>50</v>
      </c>
      <c r="G391" s="55" t="s">
        <v>512</v>
      </c>
      <c r="J391" s="55" t="str">
        <f t="shared" si="27"/>
        <v>SL45</v>
      </c>
    </row>
    <row r="392" spans="1:10">
      <c r="A392" s="1768" t="s">
        <v>457</v>
      </c>
      <c r="B392" s="84"/>
      <c r="C392" s="79" t="s">
        <v>2972</v>
      </c>
      <c r="D392" s="80" t="s">
        <v>2254</v>
      </c>
      <c r="E392" s="2238" t="str">
        <f t="shared" ref="E392:E396" si="31">LEFT(A392,2)</f>
        <v>SL</v>
      </c>
      <c r="F392" s="55">
        <v>50</v>
      </c>
      <c r="G392" s="55" t="s">
        <v>512</v>
      </c>
      <c r="J392" s="55" t="str">
        <f t="shared" si="27"/>
        <v>SL50</v>
      </c>
    </row>
    <row r="393" spans="1:10">
      <c r="A393" s="2236" t="str">
        <f t="shared" ref="A393:A394" si="32">"SL50-"&amp;H393</f>
        <v>SL50-720</v>
      </c>
      <c r="B393" s="1767"/>
      <c r="C393" s="79" t="str">
        <f t="shared" ref="C393" si="33">"Sắt góc L50 x50 x5 "&amp;"x"&amp;H393</f>
        <v>Sắt góc L50 x50 x5 x720</v>
      </c>
      <c r="D393" s="80" t="s">
        <v>2563</v>
      </c>
      <c r="E393" s="2238" t="str">
        <f t="shared" ref="E393:E395" si="34">LEFT(A393,2)</f>
        <v>SL</v>
      </c>
      <c r="F393" s="55">
        <v>50</v>
      </c>
      <c r="G393" s="55" t="s">
        <v>512</v>
      </c>
      <c r="H393" s="55">
        <v>720</v>
      </c>
      <c r="J393" s="55" t="str">
        <f t="shared" si="27"/>
        <v>SL50-720</v>
      </c>
    </row>
    <row r="394" spans="1:10">
      <c r="A394" s="2236" t="str">
        <f t="shared" si="32"/>
        <v>SL50-810</v>
      </c>
      <c r="B394" s="1767"/>
      <c r="C394" s="79" t="s">
        <v>4900</v>
      </c>
      <c r="D394" s="80" t="s">
        <v>2563</v>
      </c>
      <c r="E394" s="2238" t="str">
        <f t="shared" si="34"/>
        <v>SL</v>
      </c>
      <c r="F394" s="55">
        <v>50</v>
      </c>
      <c r="G394" s="55" t="s">
        <v>512</v>
      </c>
      <c r="H394" s="55">
        <v>810</v>
      </c>
      <c r="J394" s="55" t="str">
        <f t="shared" si="27"/>
        <v>SL50-810</v>
      </c>
    </row>
    <row r="395" spans="1:10">
      <c r="A395" s="2236" t="str">
        <f>"SL50-"&amp;H395</f>
        <v>SL50-920</v>
      </c>
      <c r="B395" s="1767"/>
      <c r="C395" s="79" t="str">
        <f>"Sắt góc L50 x50 x5 "&amp;"x"&amp;H395</f>
        <v>Sắt góc L50 x50 x5 x920</v>
      </c>
      <c r="D395" s="80" t="s">
        <v>2563</v>
      </c>
      <c r="E395" s="2238" t="str">
        <f t="shared" si="34"/>
        <v>SL</v>
      </c>
      <c r="F395" s="55">
        <v>50</v>
      </c>
      <c r="G395" s="55" t="s">
        <v>512</v>
      </c>
      <c r="H395" s="55">
        <v>920</v>
      </c>
      <c r="J395" s="55" t="str">
        <f t="shared" ref="J395:J459" si="35">A395</f>
        <v>SL50-920</v>
      </c>
    </row>
    <row r="396" spans="1:10">
      <c r="A396" s="2236" t="str">
        <f>"SL50-"&amp;H396</f>
        <v>SL50-1190</v>
      </c>
      <c r="B396" s="1767"/>
      <c r="C396" s="79" t="str">
        <f>"Sắt góc L50 x50 x5 "&amp;"x"&amp;H396</f>
        <v>Sắt góc L50 x50 x5 x1190</v>
      </c>
      <c r="D396" s="80" t="s">
        <v>2563</v>
      </c>
      <c r="E396" s="2238" t="str">
        <f t="shared" si="31"/>
        <v>SL</v>
      </c>
      <c r="F396" s="55">
        <v>50</v>
      </c>
      <c r="G396" s="55" t="s">
        <v>512</v>
      </c>
      <c r="H396" s="55">
        <v>1190</v>
      </c>
      <c r="J396" s="55" t="str">
        <f t="shared" si="35"/>
        <v>SL50-1190</v>
      </c>
    </row>
    <row r="397" spans="1:10">
      <c r="A397" s="1768" t="s">
        <v>4750</v>
      </c>
      <c r="B397" s="84"/>
      <c r="C397" s="79" t="s">
        <v>2972</v>
      </c>
      <c r="D397" s="80" t="s">
        <v>2254</v>
      </c>
      <c r="E397" s="2238" t="str">
        <f t="shared" si="28"/>
        <v>SL</v>
      </c>
      <c r="F397" s="55">
        <v>50</v>
      </c>
      <c r="G397" s="55" t="s">
        <v>512</v>
      </c>
      <c r="J397" s="55" t="str">
        <f t="shared" si="35"/>
        <v>SL50kg</v>
      </c>
    </row>
    <row r="398" spans="1:10">
      <c r="A398" s="79" t="s">
        <v>1118</v>
      </c>
      <c r="B398" s="1767"/>
      <c r="C398" s="79" t="s">
        <v>2973</v>
      </c>
      <c r="D398" s="80" t="s">
        <v>2254</v>
      </c>
      <c r="E398" s="2238" t="str">
        <f t="shared" si="28"/>
        <v>SL</v>
      </c>
      <c r="F398" s="55">
        <v>50</v>
      </c>
      <c r="G398" s="55" t="s">
        <v>512</v>
      </c>
      <c r="J398" s="55" t="str">
        <f t="shared" si="35"/>
        <v>SL70</v>
      </c>
    </row>
    <row r="399" spans="1:10">
      <c r="A399" s="79" t="s">
        <v>4749</v>
      </c>
      <c r="B399" s="1767"/>
      <c r="C399" s="79" t="s">
        <v>2443</v>
      </c>
      <c r="D399" s="80" t="s">
        <v>2254</v>
      </c>
      <c r="E399" s="2238" t="str">
        <f t="shared" ref="E399:E405" si="36">LEFT(A399,2)</f>
        <v>SL</v>
      </c>
      <c r="F399" s="55">
        <v>50</v>
      </c>
      <c r="G399" s="55" t="s">
        <v>512</v>
      </c>
      <c r="J399" s="55" t="str">
        <f t="shared" si="35"/>
        <v>SL75kg</v>
      </c>
    </row>
    <row r="400" spans="1:10">
      <c r="A400" s="79" t="s">
        <v>109</v>
      </c>
      <c r="B400" s="1767"/>
      <c r="C400" s="79" t="s">
        <v>2443</v>
      </c>
      <c r="D400" s="80" t="s">
        <v>2254</v>
      </c>
      <c r="E400" s="2238" t="str">
        <f t="shared" si="36"/>
        <v>SL</v>
      </c>
      <c r="F400" s="55">
        <v>50</v>
      </c>
      <c r="G400" s="55" t="s">
        <v>512</v>
      </c>
      <c r="J400" s="55" t="str">
        <f t="shared" si="35"/>
        <v>SL75</v>
      </c>
    </row>
    <row r="401" spans="1:10">
      <c r="A401" s="2236" t="str">
        <f t="shared" ref="A401:A405" si="37">"SL75-"&amp;H401</f>
        <v>SL75-1660</v>
      </c>
      <c r="B401" s="1767"/>
      <c r="C401" s="79" t="str">
        <f t="shared" ref="C401:C405" si="38">"Sắt góc L75 x75 x8 "&amp;"x"&amp;H401</f>
        <v>Sắt góc L75 x75 x8 x1660</v>
      </c>
      <c r="D401" s="80" t="s">
        <v>2563</v>
      </c>
      <c r="E401" s="2238" t="str">
        <f t="shared" si="36"/>
        <v>SL</v>
      </c>
      <c r="F401" s="55">
        <v>50</v>
      </c>
      <c r="G401" s="55" t="s">
        <v>512</v>
      </c>
      <c r="H401" s="55">
        <v>1660</v>
      </c>
      <c r="J401" s="55" t="str">
        <f t="shared" si="35"/>
        <v>SL75-1660</v>
      </c>
    </row>
    <row r="402" spans="1:10">
      <c r="A402" s="2236" t="str">
        <f t="shared" si="37"/>
        <v>SL75-2000</v>
      </c>
      <c r="B402" s="1767"/>
      <c r="C402" s="79" t="s">
        <v>4899</v>
      </c>
      <c r="D402" s="80" t="s">
        <v>2563</v>
      </c>
      <c r="E402" s="2238" t="str">
        <f t="shared" si="36"/>
        <v>SL</v>
      </c>
      <c r="F402" s="55">
        <v>50</v>
      </c>
      <c r="G402" s="55" t="s">
        <v>512</v>
      </c>
      <c r="H402" s="55">
        <v>2000</v>
      </c>
      <c r="J402" s="55" t="str">
        <f t="shared" si="35"/>
        <v>SL75-2000</v>
      </c>
    </row>
    <row r="403" spans="1:10">
      <c r="A403" s="2236" t="str">
        <f t="shared" ref="A403" si="39">"SL75-"&amp;H403</f>
        <v>SL75-1990</v>
      </c>
      <c r="B403" s="1767"/>
      <c r="C403" s="79" t="s">
        <v>4902</v>
      </c>
      <c r="D403" s="80" t="s">
        <v>2563</v>
      </c>
      <c r="E403" s="2238" t="str">
        <f t="shared" ref="E403" si="40">LEFT(A403,2)</f>
        <v>SL</v>
      </c>
      <c r="F403" s="55">
        <v>50</v>
      </c>
      <c r="G403" s="55" t="s">
        <v>512</v>
      </c>
      <c r="H403" s="55">
        <v>1990</v>
      </c>
      <c r="J403" s="55" t="str">
        <f t="shared" ref="J403" si="41">A403</f>
        <v>SL75-1990</v>
      </c>
    </row>
    <row r="404" spans="1:10">
      <c r="A404" s="2236" t="str">
        <f t="shared" si="37"/>
        <v>SL75-2100</v>
      </c>
      <c r="B404" s="1767"/>
      <c r="C404" s="79" t="s">
        <v>4901</v>
      </c>
      <c r="D404" s="80" t="s">
        <v>2563</v>
      </c>
      <c r="E404" s="2238" t="str">
        <f t="shared" si="36"/>
        <v>SL</v>
      </c>
      <c r="F404" s="55">
        <v>50</v>
      </c>
      <c r="G404" s="55" t="s">
        <v>512</v>
      </c>
      <c r="H404" s="55">
        <v>2100</v>
      </c>
      <c r="J404" s="55" t="str">
        <f t="shared" si="35"/>
        <v>SL75-2100</v>
      </c>
    </row>
    <row r="405" spans="1:10">
      <c r="A405" s="2236" t="str">
        <f t="shared" si="37"/>
        <v>SL75-2200</v>
      </c>
      <c r="B405" s="1767"/>
      <c r="C405" s="79" t="str">
        <f t="shared" si="38"/>
        <v>Sắt góc L75 x75 x8 x2200</v>
      </c>
      <c r="D405" s="80" t="s">
        <v>2563</v>
      </c>
      <c r="E405" s="2238" t="str">
        <f t="shared" si="36"/>
        <v>SL</v>
      </c>
      <c r="F405" s="55">
        <v>50</v>
      </c>
      <c r="G405" s="55" t="s">
        <v>512</v>
      </c>
      <c r="H405" s="55">
        <v>2200</v>
      </c>
      <c r="J405" s="55" t="str">
        <f t="shared" si="35"/>
        <v>SL75-2200</v>
      </c>
    </row>
    <row r="406" spans="1:10">
      <c r="A406" s="2236" t="str">
        <f>"SL75-"&amp;H406</f>
        <v>SL75-2400</v>
      </c>
      <c r="B406" s="1767"/>
      <c r="C406" s="79" t="str">
        <f>"Sắt góc L75 x75 x8 "&amp;"x"&amp;H406</f>
        <v>Sắt góc L75 x75 x8 x2400</v>
      </c>
      <c r="D406" s="80" t="s">
        <v>2563</v>
      </c>
      <c r="E406" s="2238" t="str">
        <f t="shared" si="28"/>
        <v>SL</v>
      </c>
      <c r="F406" s="55">
        <v>50</v>
      </c>
      <c r="G406" s="55" t="s">
        <v>512</v>
      </c>
      <c r="H406" s="55">
        <v>2400</v>
      </c>
      <c r="J406" s="55" t="str">
        <f t="shared" si="35"/>
        <v>SL75-2400</v>
      </c>
    </row>
    <row r="407" spans="1:10">
      <c r="A407" s="79" t="s">
        <v>1977</v>
      </c>
      <c r="B407" s="1767"/>
      <c r="C407" s="79" t="s">
        <v>4841</v>
      </c>
      <c r="D407" s="80" t="s">
        <v>2254</v>
      </c>
      <c r="E407" s="2238" t="str">
        <f t="shared" si="28"/>
        <v>SO</v>
      </c>
      <c r="F407" s="55">
        <v>50</v>
      </c>
      <c r="G407" s="55" t="s">
        <v>512</v>
      </c>
      <c r="J407" s="55" t="str">
        <f t="shared" si="35"/>
        <v>SO6</v>
      </c>
    </row>
    <row r="408" spans="1:10">
      <c r="A408" s="79" t="s">
        <v>1427</v>
      </c>
      <c r="B408" s="1767"/>
      <c r="C408" s="79" t="s">
        <v>4842</v>
      </c>
      <c r="D408" s="80" t="s">
        <v>2254</v>
      </c>
      <c r="E408" s="2238" t="str">
        <f t="shared" si="28"/>
        <v>SO</v>
      </c>
      <c r="F408" s="55">
        <v>50</v>
      </c>
      <c r="G408" s="55" t="s">
        <v>512</v>
      </c>
      <c r="J408" s="55" t="str">
        <f t="shared" si="35"/>
        <v>SO8</v>
      </c>
    </row>
    <row r="409" spans="1:10">
      <c r="A409" s="79" t="s">
        <v>2012</v>
      </c>
      <c r="B409" s="1767"/>
      <c r="C409" s="79" t="s">
        <v>4843</v>
      </c>
      <c r="D409" s="80" t="s">
        <v>2254</v>
      </c>
      <c r="E409" s="2238" t="str">
        <f t="shared" si="28"/>
        <v>SO</v>
      </c>
      <c r="F409" s="55">
        <v>50</v>
      </c>
      <c r="G409" s="55" t="s">
        <v>512</v>
      </c>
      <c r="J409" s="55" t="str">
        <f t="shared" si="35"/>
        <v>SO10</v>
      </c>
    </row>
    <row r="410" spans="1:10">
      <c r="A410" s="79" t="s">
        <v>1519</v>
      </c>
      <c r="B410" s="1767"/>
      <c r="C410" s="79" t="s">
        <v>4844</v>
      </c>
      <c r="D410" s="80" t="s">
        <v>2254</v>
      </c>
      <c r="E410" s="2238" t="str">
        <f t="shared" si="28"/>
        <v>SO</v>
      </c>
      <c r="F410" s="55">
        <v>50</v>
      </c>
      <c r="G410" s="55" t="s">
        <v>512</v>
      </c>
      <c r="J410" s="55" t="str">
        <f t="shared" si="35"/>
        <v>SO12</v>
      </c>
    </row>
    <row r="411" spans="1:10">
      <c r="A411" s="79" t="s">
        <v>1438</v>
      </c>
      <c r="B411" s="1767"/>
      <c r="C411" s="79" t="s">
        <v>4845</v>
      </c>
      <c r="D411" s="80" t="s">
        <v>2254</v>
      </c>
      <c r="E411" s="2238" t="str">
        <f t="shared" si="28"/>
        <v>SO</v>
      </c>
      <c r="F411" s="55">
        <v>50</v>
      </c>
      <c r="G411" s="55" t="s">
        <v>512</v>
      </c>
      <c r="J411" s="55" t="str">
        <f t="shared" si="35"/>
        <v>SO16</v>
      </c>
    </row>
    <row r="412" spans="1:10">
      <c r="A412" s="79" t="s">
        <v>1978</v>
      </c>
      <c r="B412" s="1767"/>
      <c r="C412" s="79" t="s">
        <v>4846</v>
      </c>
      <c r="D412" s="80" t="s">
        <v>2254</v>
      </c>
      <c r="E412" s="2238" t="str">
        <f t="shared" si="28"/>
        <v>SO</v>
      </c>
      <c r="F412" s="55">
        <v>50</v>
      </c>
      <c r="G412" s="55" t="s">
        <v>512</v>
      </c>
      <c r="J412" s="55" t="str">
        <f t="shared" si="35"/>
        <v>SO24</v>
      </c>
    </row>
    <row r="413" spans="1:10">
      <c r="A413" s="79" t="s">
        <v>2231</v>
      </c>
      <c r="B413" s="1767"/>
      <c r="C413" s="79" t="s">
        <v>2974</v>
      </c>
      <c r="D413" s="80" t="s">
        <v>2254</v>
      </c>
      <c r="E413" s="2238" t="str">
        <f t="shared" si="28"/>
        <v>EK</v>
      </c>
      <c r="F413" s="55">
        <v>50</v>
      </c>
      <c r="G413" s="55" t="s">
        <v>512</v>
      </c>
      <c r="J413" s="55" t="str">
        <f t="shared" si="35"/>
        <v>EKE300</v>
      </c>
    </row>
    <row r="414" spans="1:10">
      <c r="A414" s="79" t="s">
        <v>52</v>
      </c>
      <c r="B414" s="1767"/>
      <c r="C414" s="1775" t="s">
        <v>2975</v>
      </c>
      <c r="D414" s="80" t="s">
        <v>2254</v>
      </c>
      <c r="E414" s="2238" t="str">
        <f t="shared" ref="E414:E482" si="42">LEFT(A414,2)</f>
        <v>th</v>
      </c>
      <c r="F414" s="55">
        <v>50</v>
      </c>
      <c r="G414" s="55" t="s">
        <v>512</v>
      </c>
      <c r="J414" s="55" t="str">
        <f t="shared" si="35"/>
        <v>thept6</v>
      </c>
    </row>
    <row r="415" spans="1:10">
      <c r="A415" s="79" t="s">
        <v>700</v>
      </c>
      <c r="B415" s="1767"/>
      <c r="C415" s="1775" t="s">
        <v>2976</v>
      </c>
      <c r="D415" s="80" t="s">
        <v>2254</v>
      </c>
      <c r="E415" s="2238" t="str">
        <f t="shared" si="42"/>
        <v>th</v>
      </c>
      <c r="F415" s="55">
        <v>50</v>
      </c>
      <c r="G415" s="55" t="s">
        <v>512</v>
      </c>
      <c r="J415" s="55" t="str">
        <f t="shared" si="35"/>
        <v>thept5</v>
      </c>
    </row>
    <row r="416" spans="1:10">
      <c r="A416" s="79" t="s">
        <v>341</v>
      </c>
      <c r="B416" s="1767"/>
      <c r="C416" s="1775" t="s">
        <v>2977</v>
      </c>
      <c r="D416" s="80" t="s">
        <v>2254</v>
      </c>
      <c r="E416" s="2238" t="str">
        <f t="shared" si="42"/>
        <v>th</v>
      </c>
      <c r="F416" s="55">
        <v>50</v>
      </c>
      <c r="G416" s="55" t="s">
        <v>512</v>
      </c>
      <c r="J416" s="55" t="str">
        <f t="shared" si="35"/>
        <v>thept4</v>
      </c>
    </row>
    <row r="417" spans="1:10">
      <c r="A417" s="79" t="s">
        <v>881</v>
      </c>
      <c r="B417" s="1767"/>
      <c r="C417" s="1775" t="s">
        <v>2978</v>
      </c>
      <c r="D417" s="80" t="s">
        <v>2254</v>
      </c>
      <c r="E417" s="2238" t="str">
        <f t="shared" si="42"/>
        <v>th</v>
      </c>
      <c r="F417" s="55">
        <v>50</v>
      </c>
      <c r="G417" s="55" t="s">
        <v>512</v>
      </c>
      <c r="J417" s="55" t="str">
        <f t="shared" si="35"/>
        <v>thept2</v>
      </c>
    </row>
    <row r="418" spans="1:10">
      <c r="A418" s="79" t="s">
        <v>607</v>
      </c>
      <c r="B418" s="1767"/>
      <c r="C418" s="79" t="s">
        <v>4383</v>
      </c>
      <c r="D418" s="80" t="s">
        <v>2445</v>
      </c>
      <c r="E418" s="2238" t="str">
        <f t="shared" si="42"/>
        <v>CL</v>
      </c>
      <c r="F418" s="55">
        <v>50</v>
      </c>
      <c r="G418" s="55" t="s">
        <v>512</v>
      </c>
      <c r="J418" s="55" t="str">
        <f t="shared" si="35"/>
        <v>CL</v>
      </c>
    </row>
    <row r="419" spans="1:10">
      <c r="A419" s="79" t="s">
        <v>188</v>
      </c>
      <c r="B419" s="1767"/>
      <c r="C419" s="79" t="s">
        <v>4384</v>
      </c>
      <c r="D419" s="80" t="s">
        <v>2445</v>
      </c>
      <c r="E419" s="2238" t="str">
        <f t="shared" si="42"/>
        <v>CL</v>
      </c>
      <c r="F419" s="55">
        <v>50</v>
      </c>
      <c r="G419" s="55" t="s">
        <v>512</v>
      </c>
      <c r="J419" s="55" t="str">
        <f t="shared" si="35"/>
        <v>CLHT</v>
      </c>
    </row>
    <row r="420" spans="1:10">
      <c r="A420" s="1768" t="s">
        <v>2052</v>
      </c>
      <c r="B420" s="84"/>
      <c r="C420" s="1768" t="s">
        <v>4385</v>
      </c>
      <c r="D420" s="80" t="s">
        <v>2563</v>
      </c>
      <c r="E420" s="2238" t="str">
        <f t="shared" si="42"/>
        <v>TN</v>
      </c>
      <c r="F420" s="55">
        <v>50</v>
      </c>
      <c r="G420" s="55" t="s">
        <v>512</v>
      </c>
      <c r="J420" s="55" t="str">
        <f t="shared" si="35"/>
        <v>TN1618</v>
      </c>
    </row>
    <row r="421" spans="1:10">
      <c r="A421" s="1768" t="s">
        <v>746</v>
      </c>
      <c r="B421" s="84"/>
      <c r="C421" s="1768" t="s">
        <v>4386</v>
      </c>
      <c r="D421" s="80" t="s">
        <v>2563</v>
      </c>
      <c r="E421" s="2238" t="str">
        <f t="shared" si="42"/>
        <v>TN</v>
      </c>
      <c r="F421" s="55">
        <v>50</v>
      </c>
      <c r="G421" s="55" t="s">
        <v>512</v>
      </c>
      <c r="J421" s="55" t="str">
        <f t="shared" si="35"/>
        <v>TN1624</v>
      </c>
    </row>
    <row r="422" spans="1:10">
      <c r="A422" s="1768" t="s">
        <v>2169</v>
      </c>
      <c r="B422" s="84"/>
      <c r="C422" s="1768" t="s">
        <v>4387</v>
      </c>
      <c r="D422" s="80" t="s">
        <v>2563</v>
      </c>
      <c r="E422" s="2238" t="str">
        <f t="shared" si="42"/>
        <v>TN</v>
      </c>
      <c r="F422" s="55">
        <v>50</v>
      </c>
      <c r="G422" s="55" t="s">
        <v>512</v>
      </c>
      <c r="J422" s="55" t="str">
        <f t="shared" si="35"/>
        <v>TN1824</v>
      </c>
    </row>
    <row r="423" spans="1:10">
      <c r="A423" s="1768" t="s">
        <v>536</v>
      </c>
      <c r="B423" s="84"/>
      <c r="C423" s="1768" t="s">
        <v>4388</v>
      </c>
      <c r="D423" s="80" t="s">
        <v>2563</v>
      </c>
      <c r="E423" s="2238" t="str">
        <f t="shared" si="42"/>
        <v>TN</v>
      </c>
      <c r="F423" s="55">
        <v>50</v>
      </c>
      <c r="G423" s="55" t="s">
        <v>512</v>
      </c>
      <c r="J423" s="55" t="str">
        <f t="shared" si="35"/>
        <v>TN2224</v>
      </c>
    </row>
    <row r="424" spans="1:10">
      <c r="A424" s="1768" t="s">
        <v>2003</v>
      </c>
      <c r="B424" s="84"/>
      <c r="C424" s="1768" t="s">
        <v>4389</v>
      </c>
      <c r="D424" s="80" t="s">
        <v>2563</v>
      </c>
      <c r="E424" s="2238" t="str">
        <f t="shared" si="42"/>
        <v>TN</v>
      </c>
      <c r="F424" s="55">
        <v>50</v>
      </c>
      <c r="G424" s="55" t="s">
        <v>512</v>
      </c>
      <c r="J424" s="55" t="str">
        <f t="shared" si="35"/>
        <v>TN30</v>
      </c>
    </row>
    <row r="425" spans="1:10">
      <c r="A425" s="1768" t="s">
        <v>113</v>
      </c>
      <c r="B425" s="84"/>
      <c r="C425" s="1768" t="s">
        <v>4390</v>
      </c>
      <c r="D425" s="80" t="s">
        <v>2563</v>
      </c>
      <c r="E425" s="2238" t="str">
        <f t="shared" si="42"/>
        <v>TN</v>
      </c>
      <c r="F425" s="55">
        <v>50</v>
      </c>
      <c r="G425" s="55" t="s">
        <v>512</v>
      </c>
      <c r="J425" s="55" t="str">
        <f t="shared" si="35"/>
        <v>TN37</v>
      </c>
    </row>
    <row r="426" spans="1:10">
      <c r="A426" s="79" t="s">
        <v>1292</v>
      </c>
      <c r="B426" s="84" t="s">
        <v>1750</v>
      </c>
      <c r="C426" s="79" t="s">
        <v>2979</v>
      </c>
      <c r="D426" s="80" t="s">
        <v>2563</v>
      </c>
      <c r="E426" s="2238" t="str">
        <f t="shared" si="42"/>
        <v>NX</v>
      </c>
      <c r="F426" s="55">
        <v>50</v>
      </c>
      <c r="G426" s="55" t="s">
        <v>512</v>
      </c>
      <c r="J426" s="55" t="str">
        <f t="shared" si="35"/>
        <v>NX</v>
      </c>
    </row>
    <row r="427" spans="1:10">
      <c r="A427" s="79" t="s">
        <v>1293</v>
      </c>
      <c r="B427" s="1767" t="s">
        <v>1758</v>
      </c>
      <c r="C427" s="79" t="s">
        <v>2980</v>
      </c>
      <c r="D427" s="80" t="s">
        <v>2445</v>
      </c>
      <c r="E427" s="2238" t="str">
        <f t="shared" si="42"/>
        <v>CD</v>
      </c>
      <c r="F427" s="55">
        <v>50</v>
      </c>
      <c r="G427" s="55" t="s">
        <v>512</v>
      </c>
      <c r="J427" s="55" t="str">
        <f t="shared" si="35"/>
        <v>CD142</v>
      </c>
    </row>
    <row r="428" spans="1:10">
      <c r="A428" s="79" t="s">
        <v>222</v>
      </c>
      <c r="B428" s="1767" t="s">
        <v>1758</v>
      </c>
      <c r="C428" s="79" t="s">
        <v>2981</v>
      </c>
      <c r="D428" s="80" t="s">
        <v>2445</v>
      </c>
      <c r="E428" s="2238" t="str">
        <f t="shared" si="42"/>
        <v>CD</v>
      </c>
      <c r="F428" s="55">
        <v>50</v>
      </c>
      <c r="G428" s="55" t="s">
        <v>512</v>
      </c>
      <c r="J428" s="55" t="str">
        <f t="shared" si="35"/>
        <v>CD142a</v>
      </c>
    </row>
    <row r="429" spans="1:10">
      <c r="A429" s="79" t="s">
        <v>1842</v>
      </c>
      <c r="B429" s="1767" t="s">
        <v>1758</v>
      </c>
      <c r="C429" s="79" t="s">
        <v>2982</v>
      </c>
      <c r="D429" s="80" t="s">
        <v>2445</v>
      </c>
      <c r="E429" s="2238" t="str">
        <f t="shared" si="42"/>
        <v>CD</v>
      </c>
      <c r="F429" s="55">
        <v>50</v>
      </c>
      <c r="G429" s="55" t="s">
        <v>512</v>
      </c>
      <c r="J429" s="55" t="str">
        <f t="shared" si="35"/>
        <v>CD146</v>
      </c>
    </row>
    <row r="430" spans="1:10">
      <c r="A430" s="79" t="s">
        <v>1854</v>
      </c>
      <c r="B430" s="1767" t="s">
        <v>1758</v>
      </c>
      <c r="C430" s="79" t="s">
        <v>2983</v>
      </c>
      <c r="D430" s="80" t="s">
        <v>2445</v>
      </c>
      <c r="E430" s="2238" t="str">
        <f t="shared" si="42"/>
        <v>CD</v>
      </c>
      <c r="F430" s="55">
        <v>50</v>
      </c>
      <c r="G430" s="55" t="s">
        <v>512</v>
      </c>
      <c r="J430" s="55" t="str">
        <f t="shared" si="35"/>
        <v>CD146a</v>
      </c>
    </row>
    <row r="431" spans="1:10">
      <c r="A431" s="79" t="s">
        <v>844</v>
      </c>
      <c r="B431" s="1767" t="s">
        <v>1758</v>
      </c>
      <c r="C431" s="79" t="s">
        <v>2984</v>
      </c>
      <c r="D431" s="80" t="s">
        <v>2445</v>
      </c>
      <c r="E431" s="2238" t="str">
        <f t="shared" si="42"/>
        <v>CD</v>
      </c>
      <c r="F431" s="55">
        <v>50</v>
      </c>
      <c r="G431" s="55" t="s">
        <v>512</v>
      </c>
      <c r="J431" s="55" t="str">
        <f t="shared" si="35"/>
        <v>CD682</v>
      </c>
    </row>
    <row r="432" spans="1:10">
      <c r="A432" s="79" t="s">
        <v>1130</v>
      </c>
      <c r="B432" s="1767" t="s">
        <v>682</v>
      </c>
      <c r="C432" s="79" t="s">
        <v>2985</v>
      </c>
      <c r="D432" s="80" t="s">
        <v>2445</v>
      </c>
      <c r="E432" s="2238" t="str">
        <f t="shared" si="42"/>
        <v>LC</v>
      </c>
      <c r="F432" s="55">
        <v>2000</v>
      </c>
      <c r="G432" s="55" t="s">
        <v>512</v>
      </c>
      <c r="J432" s="55" t="str">
        <f t="shared" si="35"/>
        <v>LCD</v>
      </c>
    </row>
    <row r="433" spans="1:10">
      <c r="A433" s="79" t="s">
        <v>1595</v>
      </c>
      <c r="B433" s="1767" t="s">
        <v>1758</v>
      </c>
      <c r="C433" s="79" t="s">
        <v>4381</v>
      </c>
      <c r="D433" s="80" t="s">
        <v>2445</v>
      </c>
      <c r="E433" s="2238" t="str">
        <f t="shared" si="42"/>
        <v>CD</v>
      </c>
      <c r="F433" s="55">
        <v>50</v>
      </c>
      <c r="G433" s="55" t="s">
        <v>512</v>
      </c>
      <c r="J433" s="55" t="str">
        <f t="shared" si="35"/>
        <v>CD21</v>
      </c>
    </row>
    <row r="434" spans="1:10">
      <c r="A434" s="79" t="s">
        <v>374</v>
      </c>
      <c r="B434" s="1767" t="s">
        <v>1758</v>
      </c>
      <c r="C434" s="79" t="s">
        <v>4391</v>
      </c>
      <c r="D434" s="80" t="s">
        <v>2445</v>
      </c>
      <c r="E434" s="2238" t="str">
        <f t="shared" si="42"/>
        <v>CD</v>
      </c>
      <c r="F434" s="55">
        <v>50</v>
      </c>
      <c r="G434" s="55" t="s">
        <v>512</v>
      </c>
      <c r="J434" s="55" t="str">
        <f t="shared" si="35"/>
        <v>CD21S10</v>
      </c>
    </row>
    <row r="435" spans="1:10">
      <c r="A435" s="79" t="s">
        <v>1995</v>
      </c>
      <c r="B435" s="1767" t="s">
        <v>1758</v>
      </c>
      <c r="C435" s="79" t="s">
        <v>4392</v>
      </c>
      <c r="D435" s="80" t="s">
        <v>2445</v>
      </c>
      <c r="E435" s="2238" t="str">
        <f t="shared" si="42"/>
        <v>CD</v>
      </c>
      <c r="F435" s="55">
        <v>50</v>
      </c>
      <c r="G435" s="55" t="s">
        <v>512</v>
      </c>
      <c r="J435" s="55" t="str">
        <f t="shared" si="35"/>
        <v>CD60</v>
      </c>
    </row>
    <row r="436" spans="1:10">
      <c r="A436" s="79" t="s">
        <v>1994</v>
      </c>
      <c r="B436" s="1767" t="s">
        <v>1758</v>
      </c>
      <c r="C436" s="79" t="s">
        <v>4393</v>
      </c>
      <c r="D436" s="80" t="s">
        <v>2445</v>
      </c>
      <c r="E436" s="2238" t="str">
        <f t="shared" si="42"/>
        <v>CD</v>
      </c>
      <c r="F436" s="55">
        <v>50</v>
      </c>
      <c r="G436" s="55" t="s">
        <v>512</v>
      </c>
      <c r="J436" s="55" t="str">
        <f t="shared" si="35"/>
        <v>CD90</v>
      </c>
    </row>
    <row r="437" spans="1:10">
      <c r="A437" s="79" t="s">
        <v>731</v>
      </c>
      <c r="B437" s="1767" t="s">
        <v>1758</v>
      </c>
      <c r="C437" s="79" t="s">
        <v>4394</v>
      </c>
      <c r="D437" s="80" t="s">
        <v>2445</v>
      </c>
      <c r="E437" s="2238" t="str">
        <f t="shared" si="42"/>
        <v>CD</v>
      </c>
      <c r="F437" s="55">
        <v>50</v>
      </c>
      <c r="G437" s="55" t="s">
        <v>512</v>
      </c>
      <c r="J437" s="55" t="str">
        <f t="shared" si="35"/>
        <v>CD114</v>
      </c>
    </row>
    <row r="438" spans="1:10">
      <c r="A438" s="79" t="s">
        <v>1539</v>
      </c>
      <c r="B438" s="1767" t="s">
        <v>1758</v>
      </c>
      <c r="C438" s="79" t="s">
        <v>4395</v>
      </c>
      <c r="D438" s="80" t="s">
        <v>2445</v>
      </c>
      <c r="E438" s="2238" t="str">
        <f t="shared" si="42"/>
        <v>CD</v>
      </c>
      <c r="F438" s="55">
        <v>50</v>
      </c>
      <c r="G438" s="55" t="s">
        <v>512</v>
      </c>
      <c r="J438" s="55" t="str">
        <f t="shared" si="35"/>
        <v>CD140</v>
      </c>
    </row>
    <row r="439" spans="1:10">
      <c r="A439" s="79" t="s">
        <v>945</v>
      </c>
      <c r="B439" s="1767" t="s">
        <v>1758</v>
      </c>
      <c r="C439" s="79" t="s">
        <v>4396</v>
      </c>
      <c r="D439" s="80" t="s">
        <v>2445</v>
      </c>
      <c r="E439" s="2238" t="str">
        <f t="shared" si="42"/>
        <v>CD</v>
      </c>
      <c r="F439" s="55">
        <v>50</v>
      </c>
      <c r="G439" s="55" t="s">
        <v>512</v>
      </c>
      <c r="J439" s="55" t="str">
        <f t="shared" si="35"/>
        <v>CD140TK</v>
      </c>
    </row>
    <row r="440" spans="1:10">
      <c r="A440" s="79" t="s">
        <v>225</v>
      </c>
      <c r="B440" s="1767" t="s">
        <v>1758</v>
      </c>
      <c r="C440" s="79" t="s">
        <v>4397</v>
      </c>
      <c r="D440" s="80" t="s">
        <v>2445</v>
      </c>
      <c r="E440" s="2238" t="str">
        <f t="shared" si="42"/>
        <v>CD</v>
      </c>
      <c r="F440" s="55">
        <v>50</v>
      </c>
      <c r="G440" s="55" t="s">
        <v>512</v>
      </c>
      <c r="J440" s="55" t="str">
        <f t="shared" si="35"/>
        <v>CD195</v>
      </c>
    </row>
    <row r="441" spans="1:10">
      <c r="A441" s="79" t="s">
        <v>845</v>
      </c>
      <c r="B441" s="1767" t="s">
        <v>1758</v>
      </c>
      <c r="C441" s="79" t="s">
        <v>4398</v>
      </c>
      <c r="D441" s="80" t="s">
        <v>2445</v>
      </c>
      <c r="E441" s="2238" t="str">
        <f t="shared" si="42"/>
        <v>CD</v>
      </c>
      <c r="F441" s="55">
        <v>50</v>
      </c>
      <c r="G441" s="55" t="s">
        <v>512</v>
      </c>
      <c r="J441" s="55" t="str">
        <f t="shared" si="35"/>
        <v>CD207</v>
      </c>
    </row>
    <row r="442" spans="1:10">
      <c r="A442" s="79" t="s">
        <v>1993</v>
      </c>
      <c r="B442" s="1767" t="s">
        <v>1758</v>
      </c>
      <c r="C442" s="79" t="s">
        <v>4399</v>
      </c>
      <c r="D442" s="80" t="s">
        <v>2445</v>
      </c>
      <c r="E442" s="2238" t="str">
        <f t="shared" si="42"/>
        <v>CD</v>
      </c>
      <c r="F442" s="55">
        <v>50</v>
      </c>
      <c r="G442" s="55" t="s">
        <v>512</v>
      </c>
      <c r="J442" s="55" t="str">
        <f t="shared" si="35"/>
        <v>CD220</v>
      </c>
    </row>
    <row r="443" spans="1:10">
      <c r="A443" s="79" t="s">
        <v>803</v>
      </c>
      <c r="B443" s="1767" t="s">
        <v>1758</v>
      </c>
      <c r="C443" s="79" t="s">
        <v>4400</v>
      </c>
      <c r="D443" s="80" t="s">
        <v>2445</v>
      </c>
      <c r="E443" s="2238" t="str">
        <f t="shared" si="42"/>
        <v>CD</v>
      </c>
      <c r="F443" s="55">
        <v>50</v>
      </c>
      <c r="G443" s="55" t="s">
        <v>512</v>
      </c>
      <c r="J443" s="55" t="str">
        <f t="shared" si="35"/>
        <v>CD240</v>
      </c>
    </row>
    <row r="444" spans="1:10">
      <c r="A444" s="79" t="s">
        <v>2076</v>
      </c>
      <c r="B444" s="1767" t="s">
        <v>1758</v>
      </c>
      <c r="C444" s="79" t="s">
        <v>4401</v>
      </c>
      <c r="D444" s="80" t="s">
        <v>2445</v>
      </c>
      <c r="E444" s="2238" t="str">
        <f t="shared" si="42"/>
        <v>CD</v>
      </c>
      <c r="F444" s="55">
        <v>50</v>
      </c>
      <c r="G444" s="55" t="s">
        <v>512</v>
      </c>
      <c r="J444" s="55" t="str">
        <f t="shared" si="35"/>
        <v>CD250</v>
      </c>
    </row>
    <row r="445" spans="1:10">
      <c r="A445" s="79" t="s">
        <v>319</v>
      </c>
      <c r="B445" s="1767" t="s">
        <v>1758</v>
      </c>
      <c r="C445" s="79" t="s">
        <v>2986</v>
      </c>
      <c r="D445" s="80" t="s">
        <v>2445</v>
      </c>
      <c r="E445" s="2238" t="str">
        <f t="shared" si="42"/>
        <v>CD</v>
      </c>
      <c r="F445" s="55">
        <v>50</v>
      </c>
      <c r="G445" s="55" t="s">
        <v>512</v>
      </c>
      <c r="J445" s="55" t="str">
        <f t="shared" si="35"/>
        <v>CD320</v>
      </c>
    </row>
    <row r="446" spans="1:10">
      <c r="A446" s="79" t="s">
        <v>1881</v>
      </c>
      <c r="B446" s="1767" t="s">
        <v>1758</v>
      </c>
      <c r="C446" s="1776" t="s">
        <v>2987</v>
      </c>
      <c r="D446" s="80" t="s">
        <v>2445</v>
      </c>
      <c r="E446" s="2238" t="str">
        <f t="shared" si="42"/>
        <v>Cd</v>
      </c>
      <c r="F446" s="55">
        <v>50</v>
      </c>
      <c r="G446" s="55" t="s">
        <v>512</v>
      </c>
      <c r="J446" s="55" t="str">
        <f t="shared" si="35"/>
        <v>Cdtrudoi</v>
      </c>
    </row>
    <row r="447" spans="1:10">
      <c r="A447" s="79" t="s">
        <v>1882</v>
      </c>
      <c r="B447" s="1767" t="s">
        <v>1758</v>
      </c>
      <c r="C447" s="1776" t="s">
        <v>2988</v>
      </c>
      <c r="D447" s="80" t="s">
        <v>2445</v>
      </c>
      <c r="E447" s="2238" t="str">
        <f t="shared" si="42"/>
        <v>Cd</v>
      </c>
      <c r="F447" s="55">
        <v>50</v>
      </c>
      <c r="G447" s="55" t="s">
        <v>512</v>
      </c>
      <c r="J447" s="55" t="str">
        <f t="shared" si="35"/>
        <v>CdtrudoiHT</v>
      </c>
    </row>
    <row r="448" spans="1:10">
      <c r="A448" s="79" t="s">
        <v>472</v>
      </c>
      <c r="B448" s="1767" t="s">
        <v>1758</v>
      </c>
      <c r="C448" s="1776" t="s">
        <v>2989</v>
      </c>
      <c r="D448" s="80" t="s">
        <v>2445</v>
      </c>
      <c r="E448" s="2238" t="str">
        <f t="shared" si="42"/>
        <v>Cd</v>
      </c>
      <c r="F448" s="55">
        <v>50</v>
      </c>
      <c r="G448" s="55" t="s">
        <v>512</v>
      </c>
      <c r="J448" s="55" t="str">
        <f t="shared" si="35"/>
        <v>Cdedaucap</v>
      </c>
    </row>
    <row r="449" spans="1:10">
      <c r="A449" s="79" t="s">
        <v>223</v>
      </c>
      <c r="B449" s="1767" t="s">
        <v>1758</v>
      </c>
      <c r="C449" s="1776" t="s">
        <v>2990</v>
      </c>
      <c r="D449" s="80" t="s">
        <v>2445</v>
      </c>
      <c r="E449" s="2238" t="str">
        <f t="shared" si="42"/>
        <v>Cd</v>
      </c>
      <c r="F449" s="55">
        <v>50</v>
      </c>
      <c r="G449" s="55" t="s">
        <v>512</v>
      </c>
      <c r="J449" s="55" t="str">
        <f t="shared" si="35"/>
        <v>Cdtrudoi140</v>
      </c>
    </row>
    <row r="450" spans="1:10">
      <c r="A450" s="79" t="s">
        <v>471</v>
      </c>
      <c r="B450" s="1767" t="s">
        <v>1758</v>
      </c>
      <c r="C450" s="1776" t="s">
        <v>2991</v>
      </c>
      <c r="D450" s="80" t="s">
        <v>2445</v>
      </c>
      <c r="E450" s="2238" t="str">
        <f t="shared" si="42"/>
        <v>Cd</v>
      </c>
      <c r="F450" s="55">
        <v>50</v>
      </c>
      <c r="G450" s="55" t="s">
        <v>512</v>
      </c>
      <c r="J450" s="55" t="str">
        <f t="shared" si="35"/>
        <v>Cdtru140</v>
      </c>
    </row>
    <row r="451" spans="1:10">
      <c r="A451" s="79" t="s">
        <v>2006</v>
      </c>
      <c r="B451" s="1767" t="s">
        <v>1758</v>
      </c>
      <c r="C451" s="1776" t="s">
        <v>2992</v>
      </c>
      <c r="D451" s="80" t="s">
        <v>2445</v>
      </c>
      <c r="E451" s="2238" t="str">
        <f t="shared" si="42"/>
        <v>Cd</v>
      </c>
      <c r="F451" s="55">
        <v>50</v>
      </c>
      <c r="G451" s="55" t="s">
        <v>512</v>
      </c>
      <c r="J451" s="55" t="str">
        <f t="shared" si="35"/>
        <v>Cdeoptru</v>
      </c>
    </row>
    <row r="452" spans="1:10">
      <c r="A452" s="79" t="s">
        <v>2426</v>
      </c>
      <c r="B452" s="1767" t="s">
        <v>1758</v>
      </c>
      <c r="C452" s="1777" t="s">
        <v>2993</v>
      </c>
      <c r="D452" s="80" t="s">
        <v>2445</v>
      </c>
      <c r="E452" s="2238" t="str">
        <f t="shared" si="42"/>
        <v>CD</v>
      </c>
      <c r="F452" s="55">
        <v>50</v>
      </c>
      <c r="G452" s="55" t="s">
        <v>512</v>
      </c>
      <c r="J452" s="55" t="str">
        <f t="shared" si="35"/>
        <v>CD bắt xà</v>
      </c>
    </row>
    <row r="453" spans="1:10">
      <c r="A453" s="79" t="s">
        <v>226</v>
      </c>
      <c r="B453" s="1767" t="s">
        <v>1758</v>
      </c>
      <c r="C453" s="1776" t="s">
        <v>2994</v>
      </c>
      <c r="D453" s="80" t="s">
        <v>2445</v>
      </c>
      <c r="E453" s="2238" t="str">
        <f t="shared" si="42"/>
        <v>CD</v>
      </c>
      <c r="F453" s="55">
        <v>50</v>
      </c>
      <c r="G453" s="55" t="s">
        <v>512</v>
      </c>
      <c r="J453" s="55" t="str">
        <f t="shared" si="35"/>
        <v>CD30x3</v>
      </c>
    </row>
    <row r="454" spans="1:10">
      <c r="A454" s="79" t="s">
        <v>227</v>
      </c>
      <c r="B454" s="1767" t="s">
        <v>1758</v>
      </c>
      <c r="C454" s="1776" t="s">
        <v>2995</v>
      </c>
      <c r="D454" s="80" t="s">
        <v>2445</v>
      </c>
      <c r="E454" s="2238" t="str">
        <f t="shared" si="42"/>
        <v>CD</v>
      </c>
      <c r="F454" s="55">
        <v>50</v>
      </c>
      <c r="G454" s="55" t="s">
        <v>512</v>
      </c>
      <c r="J454" s="55" t="str">
        <f t="shared" si="35"/>
        <v>CD25x2</v>
      </c>
    </row>
    <row r="455" spans="1:10">
      <c r="A455" s="79" t="s">
        <v>1823</v>
      </c>
      <c r="B455" s="1767" t="s">
        <v>1758</v>
      </c>
      <c r="C455" s="79" t="s">
        <v>4402</v>
      </c>
      <c r="D455" s="80" t="s">
        <v>2445</v>
      </c>
      <c r="E455" s="2238" t="str">
        <f t="shared" si="42"/>
        <v>CD</v>
      </c>
      <c r="F455" s="55">
        <v>50</v>
      </c>
      <c r="G455" s="55" t="s">
        <v>512</v>
      </c>
      <c r="J455" s="55" t="str">
        <f t="shared" si="35"/>
        <v>CD21T</v>
      </c>
    </row>
    <row r="456" spans="1:10">
      <c r="A456" s="79" t="s">
        <v>203</v>
      </c>
      <c r="B456" s="1767" t="s">
        <v>1758</v>
      </c>
      <c r="C456" s="1776" t="s">
        <v>2996</v>
      </c>
      <c r="D456" s="80" t="s">
        <v>2445</v>
      </c>
      <c r="E456" s="2238" t="str">
        <f t="shared" si="42"/>
        <v>Cd</v>
      </c>
      <c r="F456" s="55">
        <v>50</v>
      </c>
      <c r="G456" s="55" t="s">
        <v>512</v>
      </c>
      <c r="J456" s="55" t="str">
        <f t="shared" si="35"/>
        <v>Cd42T</v>
      </c>
    </row>
    <row r="457" spans="1:10">
      <c r="A457" s="79" t="s">
        <v>1247</v>
      </c>
      <c r="B457" s="1767" t="s">
        <v>1758</v>
      </c>
      <c r="C457" s="1776" t="s">
        <v>2997</v>
      </c>
      <c r="D457" s="80" t="s">
        <v>2445</v>
      </c>
      <c r="E457" s="2238" t="str">
        <f t="shared" si="42"/>
        <v>Cd</v>
      </c>
      <c r="F457" s="55">
        <v>50</v>
      </c>
      <c r="G457" s="55" t="s">
        <v>512</v>
      </c>
      <c r="J457" s="55" t="str">
        <f t="shared" si="35"/>
        <v>Cd114T</v>
      </c>
    </row>
    <row r="458" spans="1:10">
      <c r="A458" s="79" t="s">
        <v>120</v>
      </c>
      <c r="B458" s="1767" t="s">
        <v>1758</v>
      </c>
      <c r="C458" s="1776" t="s">
        <v>2998</v>
      </c>
      <c r="D458" s="80" t="s">
        <v>2445</v>
      </c>
      <c r="E458" s="2238" t="str">
        <f t="shared" si="42"/>
        <v>Cd</v>
      </c>
      <c r="F458" s="55">
        <v>50</v>
      </c>
      <c r="G458" s="55" t="s">
        <v>512</v>
      </c>
      <c r="J458" s="55" t="str">
        <f t="shared" si="35"/>
        <v>Cd140T</v>
      </c>
    </row>
    <row r="459" spans="1:10">
      <c r="A459" s="79" t="s">
        <v>588</v>
      </c>
      <c r="B459" s="1767" t="s">
        <v>1758</v>
      </c>
      <c r="C459" s="1776" t="s">
        <v>2999</v>
      </c>
      <c r="D459" s="80" t="s">
        <v>2445</v>
      </c>
      <c r="E459" s="2238" t="str">
        <f t="shared" ref="E459" si="43">LEFT(A459,2)</f>
        <v>CD</v>
      </c>
      <c r="F459" s="55">
        <v>50</v>
      </c>
      <c r="G459" s="55" t="s">
        <v>512</v>
      </c>
      <c r="J459" s="55" t="str">
        <f t="shared" si="35"/>
        <v>CD5x50</v>
      </c>
    </row>
    <row r="460" spans="1:10">
      <c r="A460" s="79" t="s">
        <v>4882</v>
      </c>
      <c r="B460" s="1767" t="s">
        <v>1758</v>
      </c>
      <c r="C460" s="1776" t="s">
        <v>4881</v>
      </c>
      <c r="D460" s="80" t="s">
        <v>2445</v>
      </c>
      <c r="E460" s="2238" t="str">
        <f t="shared" si="42"/>
        <v>CD</v>
      </c>
      <c r="F460" s="55">
        <v>50</v>
      </c>
      <c r="G460" s="55" t="s">
        <v>512</v>
      </c>
      <c r="J460" s="55" t="str">
        <f t="shared" ref="J460:J524" si="44">A460</f>
        <v>CD6x60</v>
      </c>
    </row>
    <row r="461" spans="1:10">
      <c r="A461" s="79" t="s">
        <v>569</v>
      </c>
      <c r="B461" s="1767" t="s">
        <v>1758</v>
      </c>
      <c r="C461" s="1776" t="s">
        <v>3000</v>
      </c>
      <c r="D461" s="80" t="s">
        <v>2445</v>
      </c>
      <c r="E461" s="2238" t="str">
        <f t="shared" si="42"/>
        <v>CD</v>
      </c>
      <c r="F461" s="55">
        <v>50</v>
      </c>
      <c r="G461" s="55" t="s">
        <v>512</v>
      </c>
      <c r="J461" s="55" t="str">
        <f t="shared" si="44"/>
        <v>CDXA</v>
      </c>
    </row>
    <row r="462" spans="1:10">
      <c r="A462" s="79" t="s">
        <v>4354</v>
      </c>
      <c r="B462" s="1767"/>
      <c r="C462" s="1776" t="s">
        <v>4355</v>
      </c>
      <c r="D462" s="80" t="s">
        <v>2563</v>
      </c>
      <c r="E462" s="2238" t="str">
        <f t="shared" si="42"/>
        <v>CO</v>
      </c>
      <c r="F462" s="55">
        <v>50</v>
      </c>
      <c r="G462" s="55" t="s">
        <v>512</v>
      </c>
      <c r="J462" s="55" t="str">
        <f t="shared" si="44"/>
        <v>COM110x800x5-2,4</v>
      </c>
    </row>
    <row r="463" spans="1:10">
      <c r="A463" s="79" t="s">
        <v>4479</v>
      </c>
      <c r="B463" s="1767"/>
      <c r="C463" s="1776" t="s">
        <v>4480</v>
      </c>
      <c r="D463" s="80" t="s">
        <v>2563</v>
      </c>
      <c r="E463" s="2238" t="str">
        <f t="shared" ref="E463:E464" si="45">LEFT(A463,2)</f>
        <v>CO</v>
      </c>
      <c r="F463" s="55">
        <v>50</v>
      </c>
      <c r="G463" s="55" t="s">
        <v>512</v>
      </c>
      <c r="J463" s="55" t="str">
        <f t="shared" si="44"/>
        <v>COM110x800x5-2,6</v>
      </c>
    </row>
    <row r="464" spans="1:10">
      <c r="A464" s="79" t="s">
        <v>4569</v>
      </c>
      <c r="B464" s="1767"/>
      <c r="C464" s="1776" t="s">
        <v>4904</v>
      </c>
      <c r="D464" s="80" t="s">
        <v>2563</v>
      </c>
      <c r="E464" s="2238" t="str">
        <f t="shared" si="45"/>
        <v>CO</v>
      </c>
      <c r="F464" s="55">
        <v>50</v>
      </c>
      <c r="G464" s="55" t="s">
        <v>512</v>
      </c>
      <c r="J464" s="55" t="str">
        <f t="shared" si="44"/>
        <v>COM08</v>
      </c>
    </row>
    <row r="465" spans="1:10">
      <c r="A465" s="79" t="s">
        <v>4539</v>
      </c>
      <c r="B465" s="1767"/>
      <c r="C465" s="1776" t="s">
        <v>4540</v>
      </c>
      <c r="D465" s="80" t="s">
        <v>2563</v>
      </c>
      <c r="E465" s="2238" t="str">
        <f t="shared" ref="E465" si="46">LEFT(A465,2)</f>
        <v>CO</v>
      </c>
      <c r="F465" s="55">
        <v>50</v>
      </c>
      <c r="G465" s="55" t="s">
        <v>512</v>
      </c>
      <c r="J465" s="55" t="str">
        <f t="shared" si="44"/>
        <v>COM08-720</v>
      </c>
    </row>
    <row r="466" spans="1:10">
      <c r="A466" s="79" t="s">
        <v>4765</v>
      </c>
      <c r="B466" s="1767"/>
      <c r="C466" s="1776" t="s">
        <v>4905</v>
      </c>
      <c r="D466" s="80" t="s">
        <v>2563</v>
      </c>
      <c r="E466" s="2238" t="str">
        <f t="shared" ref="E466" si="47">LEFT(A466,2)</f>
        <v>co</v>
      </c>
      <c r="F466" s="55">
        <v>50</v>
      </c>
      <c r="G466" s="55" t="s">
        <v>512</v>
      </c>
      <c r="J466" s="55" t="str">
        <f t="shared" si="44"/>
        <v>com40x10x720</v>
      </c>
    </row>
    <row r="467" spans="1:10">
      <c r="A467" s="79" t="s">
        <v>362</v>
      </c>
      <c r="B467" s="1767"/>
      <c r="C467" s="1776" t="s">
        <v>3001</v>
      </c>
      <c r="D467" s="80" t="s">
        <v>2563</v>
      </c>
      <c r="E467" s="2238" t="str">
        <f t="shared" si="42"/>
        <v>CO</v>
      </c>
      <c r="F467" s="55">
        <v>50</v>
      </c>
      <c r="G467" s="55" t="s">
        <v>512</v>
      </c>
      <c r="J467" s="55" t="str">
        <f t="shared" si="44"/>
        <v>COM110x800x5</v>
      </c>
    </row>
    <row r="468" spans="1:10">
      <c r="A468" s="79" t="s">
        <v>363</v>
      </c>
      <c r="B468" s="1767"/>
      <c r="C468" s="1776" t="s">
        <v>3002</v>
      </c>
      <c r="D468" s="80" t="s">
        <v>2563</v>
      </c>
      <c r="E468" s="2238" t="str">
        <f t="shared" si="42"/>
        <v>CO</v>
      </c>
      <c r="F468" s="55">
        <v>50</v>
      </c>
      <c r="G468" s="55" t="s">
        <v>512</v>
      </c>
      <c r="J468" s="55" t="str">
        <f t="shared" si="44"/>
        <v>COM40X10X920</v>
      </c>
    </row>
    <row r="469" spans="1:10">
      <c r="A469" s="79" t="s">
        <v>1536</v>
      </c>
      <c r="B469" s="1767"/>
      <c r="C469" s="79" t="s">
        <v>3003</v>
      </c>
      <c r="D469" s="80" t="s">
        <v>2839</v>
      </c>
      <c r="E469" s="2238" t="str">
        <f t="shared" si="42"/>
        <v>T7</v>
      </c>
      <c r="F469" s="55">
        <v>16</v>
      </c>
      <c r="G469" s="55" t="s">
        <v>512</v>
      </c>
      <c r="J469" s="55" t="str">
        <f t="shared" si="44"/>
        <v>T75</v>
      </c>
    </row>
    <row r="470" spans="1:10">
      <c r="A470" s="79" t="s">
        <v>874</v>
      </c>
      <c r="B470" s="1767"/>
      <c r="C470" s="79" t="s">
        <v>3004</v>
      </c>
      <c r="D470" s="80" t="s">
        <v>2839</v>
      </c>
      <c r="E470" s="2238" t="str">
        <f t="shared" si="42"/>
        <v>T8</v>
      </c>
      <c r="F470" s="55">
        <v>16</v>
      </c>
      <c r="G470" s="55" t="s">
        <v>512</v>
      </c>
      <c r="J470" s="55" t="str">
        <f t="shared" si="44"/>
        <v>T84</v>
      </c>
    </row>
    <row r="471" spans="1:10">
      <c r="A471" s="79" t="s">
        <v>186</v>
      </c>
      <c r="B471" s="1767"/>
      <c r="C471" s="79" t="s">
        <v>3005</v>
      </c>
      <c r="D471" s="80" t="s">
        <v>2839</v>
      </c>
      <c r="E471" s="2238" t="str">
        <f t="shared" si="42"/>
        <v>T8</v>
      </c>
      <c r="F471" s="55">
        <v>16</v>
      </c>
      <c r="G471" s="55" t="s">
        <v>512</v>
      </c>
      <c r="J471" s="55" t="str">
        <f t="shared" si="44"/>
        <v>T84td</v>
      </c>
    </row>
    <row r="472" spans="1:10">
      <c r="A472" s="79" t="s">
        <v>993</v>
      </c>
      <c r="B472" s="1767"/>
      <c r="C472" s="79" t="s">
        <v>3006</v>
      </c>
      <c r="D472" s="80" t="s">
        <v>2839</v>
      </c>
      <c r="E472" s="2238" t="str">
        <f t="shared" si="42"/>
        <v>T8</v>
      </c>
      <c r="F472" s="55">
        <v>16</v>
      </c>
      <c r="G472" s="55" t="s">
        <v>512</v>
      </c>
      <c r="J472" s="55" t="str">
        <f t="shared" si="44"/>
        <v>T85</v>
      </c>
    </row>
    <row r="473" spans="1:10">
      <c r="A473" s="79" t="s">
        <v>1878</v>
      </c>
      <c r="B473" s="1767"/>
      <c r="C473" s="79" t="s">
        <v>3007</v>
      </c>
      <c r="D473" s="80" t="s">
        <v>2839</v>
      </c>
      <c r="E473" s="2238" t="str">
        <f t="shared" si="42"/>
        <v>T1</v>
      </c>
      <c r="F473" s="55">
        <v>16</v>
      </c>
      <c r="G473" s="55" t="s">
        <v>512</v>
      </c>
      <c r="J473" s="55" t="str">
        <f t="shared" si="44"/>
        <v>T10</v>
      </c>
    </row>
    <row r="474" spans="1:10">
      <c r="A474" s="79" t="s">
        <v>114</v>
      </c>
      <c r="B474" s="1767"/>
      <c r="C474" s="79" t="s">
        <v>3008</v>
      </c>
      <c r="D474" s="80" t="s">
        <v>2839</v>
      </c>
      <c r="E474" s="2238" t="str">
        <f t="shared" si="42"/>
        <v>T1</v>
      </c>
      <c r="F474" s="55">
        <v>16</v>
      </c>
      <c r="G474" s="55" t="s">
        <v>512</v>
      </c>
      <c r="J474" s="55" t="str">
        <f t="shared" si="44"/>
        <v>T105</v>
      </c>
    </row>
    <row r="475" spans="1:10">
      <c r="A475" s="79" t="s">
        <v>115</v>
      </c>
      <c r="B475" s="1767"/>
      <c r="C475" s="79" t="s">
        <v>3009</v>
      </c>
      <c r="D475" s="80" t="s">
        <v>2839</v>
      </c>
      <c r="E475" s="2238" t="str">
        <f t="shared" si="42"/>
        <v>T1</v>
      </c>
      <c r="F475" s="55">
        <v>16</v>
      </c>
      <c r="G475" s="55" t="s">
        <v>512</v>
      </c>
      <c r="J475" s="55" t="str">
        <f t="shared" si="44"/>
        <v>T12</v>
      </c>
    </row>
    <row r="476" spans="1:10">
      <c r="A476" s="79" t="s">
        <v>2418</v>
      </c>
      <c r="B476" s="1767"/>
      <c r="C476" s="79" t="s">
        <v>3010</v>
      </c>
      <c r="D476" s="80" t="s">
        <v>2839</v>
      </c>
      <c r="E476" s="2238" t="str">
        <f t="shared" si="42"/>
        <v>T1</v>
      </c>
      <c r="F476" s="55">
        <v>16</v>
      </c>
      <c r="G476" s="55" t="s">
        <v>512</v>
      </c>
      <c r="J476" s="55" t="str">
        <f t="shared" si="44"/>
        <v>T12TĐ</v>
      </c>
    </row>
    <row r="477" spans="1:10">
      <c r="A477" s="79" t="s">
        <v>107</v>
      </c>
      <c r="B477" s="1767"/>
      <c r="C477" s="79" t="s">
        <v>3011</v>
      </c>
      <c r="D477" s="80" t="s">
        <v>2839</v>
      </c>
      <c r="E477" s="2238" t="str">
        <f t="shared" si="42"/>
        <v>T1</v>
      </c>
      <c r="F477" s="55">
        <v>16</v>
      </c>
      <c r="G477" s="55" t="s">
        <v>512</v>
      </c>
      <c r="J477" s="55" t="str">
        <f t="shared" si="44"/>
        <v>T14</v>
      </c>
    </row>
    <row r="478" spans="1:10">
      <c r="A478" s="79" t="s">
        <v>2097</v>
      </c>
      <c r="B478" s="1767"/>
      <c r="C478" s="79" t="s">
        <v>3012</v>
      </c>
      <c r="D478" s="80" t="s">
        <v>2839</v>
      </c>
      <c r="E478" s="2238" t="str">
        <f t="shared" si="42"/>
        <v>T2</v>
      </c>
      <c r="F478" s="55">
        <v>16</v>
      </c>
      <c r="G478" s="55" t="s">
        <v>512</v>
      </c>
      <c r="J478" s="55" t="str">
        <f t="shared" si="44"/>
        <v>T20</v>
      </c>
    </row>
    <row r="479" spans="1:10">
      <c r="A479" s="79" t="s">
        <v>110</v>
      </c>
      <c r="B479" s="1767"/>
      <c r="C479" s="79" t="s">
        <v>3013</v>
      </c>
      <c r="D479" s="80" t="s">
        <v>2254</v>
      </c>
      <c r="E479" s="2238" t="str">
        <f t="shared" si="42"/>
        <v>SO</v>
      </c>
      <c r="F479" s="55">
        <v>50</v>
      </c>
      <c r="G479" s="55" t="s">
        <v>512</v>
      </c>
      <c r="J479" s="55" t="str">
        <f t="shared" si="44"/>
        <v>SON</v>
      </c>
    </row>
    <row r="480" spans="1:10">
      <c r="A480" s="79" t="s">
        <v>855</v>
      </c>
      <c r="B480" s="1767"/>
      <c r="C480" s="79" t="s">
        <v>3014</v>
      </c>
      <c r="D480" s="80" t="s">
        <v>2254</v>
      </c>
      <c r="E480" s="2238" t="str">
        <f t="shared" si="42"/>
        <v>SO</v>
      </c>
      <c r="F480" s="55">
        <v>50</v>
      </c>
      <c r="G480" s="55" t="s">
        <v>512</v>
      </c>
      <c r="J480" s="55" t="str">
        <f t="shared" si="44"/>
        <v>SONCR</v>
      </c>
    </row>
    <row r="481" spans="1:10">
      <c r="A481" s="79" t="s">
        <v>755</v>
      </c>
      <c r="B481" s="1767"/>
      <c r="C481" s="79" t="s">
        <v>3015</v>
      </c>
      <c r="D481" s="80" t="s">
        <v>856</v>
      </c>
      <c r="E481" s="2238" t="str">
        <f t="shared" si="42"/>
        <v>NU</v>
      </c>
      <c r="F481" s="55">
        <v>50</v>
      </c>
      <c r="G481" s="55" t="s">
        <v>512</v>
      </c>
      <c r="J481" s="55" t="str">
        <f t="shared" si="44"/>
        <v>NU</v>
      </c>
    </row>
    <row r="482" spans="1:10">
      <c r="A482" s="79" t="s">
        <v>857</v>
      </c>
      <c r="B482" s="1767"/>
      <c r="C482" s="79" t="s">
        <v>3016</v>
      </c>
      <c r="D482" s="80" t="s">
        <v>856</v>
      </c>
      <c r="E482" s="2238" t="str">
        <f t="shared" si="42"/>
        <v>GO</v>
      </c>
      <c r="F482" s="55">
        <v>999</v>
      </c>
      <c r="G482" s="55" t="s">
        <v>512</v>
      </c>
      <c r="J482" s="55" t="str">
        <f t="shared" si="44"/>
        <v>GO</v>
      </c>
    </row>
    <row r="483" spans="1:10">
      <c r="A483" s="79" t="s">
        <v>2062</v>
      </c>
      <c r="B483" s="1767"/>
      <c r="C483" s="79" t="s">
        <v>3017</v>
      </c>
      <c r="D483" s="80" t="s">
        <v>2254</v>
      </c>
      <c r="E483" s="2238" t="str">
        <f t="shared" ref="E483:E547" si="48">LEFT(A483,2)</f>
        <v>DI</v>
      </c>
      <c r="F483" s="55">
        <v>50</v>
      </c>
      <c r="G483" s="55" t="s">
        <v>512</v>
      </c>
      <c r="J483" s="55" t="str">
        <f t="shared" si="44"/>
        <v>DINH</v>
      </c>
    </row>
    <row r="484" spans="1:10">
      <c r="A484" s="79" t="s">
        <v>753</v>
      </c>
      <c r="B484" s="84"/>
      <c r="C484" s="79" t="s">
        <v>3018</v>
      </c>
      <c r="D484" s="80" t="s">
        <v>856</v>
      </c>
      <c r="E484" s="2238" t="str">
        <f t="shared" si="48"/>
        <v>D1</v>
      </c>
      <c r="F484" s="55">
        <v>999</v>
      </c>
      <c r="G484" s="55" t="s">
        <v>512</v>
      </c>
      <c r="J484" s="55" t="str">
        <f t="shared" si="44"/>
        <v>D1x2</v>
      </c>
    </row>
    <row r="485" spans="1:10">
      <c r="A485" s="79" t="s">
        <v>131</v>
      </c>
      <c r="B485" s="84"/>
      <c r="C485" s="79" t="s">
        <v>3019</v>
      </c>
      <c r="D485" s="80" t="s">
        <v>856</v>
      </c>
      <c r="E485" s="2238" t="str">
        <f t="shared" si="48"/>
        <v>D0</v>
      </c>
      <c r="F485" s="55">
        <v>999</v>
      </c>
      <c r="G485" s="55" t="s">
        <v>512</v>
      </c>
      <c r="J485" s="55" t="str">
        <f t="shared" si="44"/>
        <v>D0x4</v>
      </c>
    </row>
    <row r="486" spans="1:10">
      <c r="A486" s="79" t="s">
        <v>520</v>
      </c>
      <c r="B486" s="84"/>
      <c r="C486" s="79" t="s">
        <v>3020</v>
      </c>
      <c r="D486" s="80" t="s">
        <v>856</v>
      </c>
      <c r="E486" s="2238" t="str">
        <f t="shared" si="48"/>
        <v>D2</v>
      </c>
      <c r="F486" s="55">
        <v>999</v>
      </c>
      <c r="G486" s="55" t="s">
        <v>512</v>
      </c>
      <c r="J486" s="55" t="str">
        <f t="shared" si="44"/>
        <v>D2x4</v>
      </c>
    </row>
    <row r="487" spans="1:10">
      <c r="A487" s="79" t="s">
        <v>754</v>
      </c>
      <c r="B487" s="1767"/>
      <c r="C487" s="79" t="s">
        <v>3021</v>
      </c>
      <c r="D487" s="80" t="s">
        <v>856</v>
      </c>
      <c r="E487" s="2238" t="str">
        <f t="shared" si="48"/>
        <v>D4</v>
      </c>
      <c r="F487" s="55">
        <v>999</v>
      </c>
      <c r="G487" s="55" t="s">
        <v>512</v>
      </c>
      <c r="J487" s="55" t="str">
        <f t="shared" si="44"/>
        <v>D4x6</v>
      </c>
    </row>
    <row r="488" spans="1:10">
      <c r="A488" s="1019" t="s">
        <v>4440</v>
      </c>
      <c r="B488" s="1767"/>
      <c r="C488" s="79" t="s">
        <v>3022</v>
      </c>
      <c r="D488" s="80" t="s">
        <v>856</v>
      </c>
      <c r="E488" s="2238" t="str">
        <f t="shared" ref="E488" si="49">LEFT(A488,2)</f>
        <v>ca</v>
      </c>
      <c r="F488" s="55">
        <v>997</v>
      </c>
      <c r="G488" s="55" t="s">
        <v>512</v>
      </c>
      <c r="J488" s="55" t="str">
        <f t="shared" ref="J488" si="50">A488</f>
        <v>cat</v>
      </c>
    </row>
    <row r="489" spans="1:10">
      <c r="A489" s="1019" t="s">
        <v>5042</v>
      </c>
      <c r="B489" s="1767"/>
      <c r="C489" s="79" t="s">
        <v>3022</v>
      </c>
      <c r="D489" s="80" t="s">
        <v>856</v>
      </c>
      <c r="E489" s="2238" t="str">
        <f t="shared" si="48"/>
        <v>cv</v>
      </c>
      <c r="F489" s="55">
        <v>997</v>
      </c>
      <c r="G489" s="55" t="s">
        <v>512</v>
      </c>
      <c r="J489" s="55" t="str">
        <f t="shared" si="44"/>
        <v>cv</v>
      </c>
    </row>
    <row r="490" spans="1:10">
      <c r="A490" s="79" t="s">
        <v>934</v>
      </c>
      <c r="B490" s="1767"/>
      <c r="C490" s="79" t="s">
        <v>3023</v>
      </c>
      <c r="D490" s="80" t="s">
        <v>3024</v>
      </c>
      <c r="E490" s="2238" t="str">
        <f t="shared" si="48"/>
        <v>ga</v>
      </c>
      <c r="F490" s="55">
        <v>50</v>
      </c>
      <c r="G490" s="55" t="s">
        <v>512</v>
      </c>
      <c r="J490" s="55" t="str">
        <f t="shared" si="44"/>
        <v>gachong</v>
      </c>
    </row>
    <row r="491" spans="1:10">
      <c r="A491" s="79" t="s">
        <v>1679</v>
      </c>
      <c r="B491" s="1767"/>
      <c r="C491" s="79" t="s">
        <v>3025</v>
      </c>
      <c r="D491" s="80" t="s">
        <v>3024</v>
      </c>
      <c r="E491" s="2238" t="str">
        <f t="shared" si="48"/>
        <v>ga</v>
      </c>
      <c r="F491" s="55">
        <v>50</v>
      </c>
      <c r="G491" s="55" t="s">
        <v>512</v>
      </c>
      <c r="J491" s="55" t="str">
        <f t="shared" si="44"/>
        <v>gachtau</v>
      </c>
    </row>
    <row r="492" spans="1:10">
      <c r="A492" s="79" t="s">
        <v>84</v>
      </c>
      <c r="B492" s="1767"/>
      <c r="C492" s="79" t="s">
        <v>3026</v>
      </c>
      <c r="D492" s="80" t="s">
        <v>3024</v>
      </c>
      <c r="E492" s="2238" t="str">
        <f t="shared" si="48"/>
        <v>ga</v>
      </c>
      <c r="F492" s="55">
        <v>50</v>
      </c>
      <c r="G492" s="55" t="s">
        <v>512</v>
      </c>
      <c r="J492" s="55" t="str">
        <f t="shared" si="44"/>
        <v>gachthe</v>
      </c>
    </row>
    <row r="493" spans="1:10">
      <c r="A493" s="79" t="s">
        <v>751</v>
      </c>
      <c r="B493" s="1767"/>
      <c r="C493" s="79" t="s">
        <v>4896</v>
      </c>
      <c r="D493" s="80" t="s">
        <v>2254</v>
      </c>
      <c r="E493" s="2238" t="str">
        <f t="shared" si="48"/>
        <v>XM</v>
      </c>
      <c r="F493" s="55">
        <v>996</v>
      </c>
      <c r="G493" s="55" t="s">
        <v>512</v>
      </c>
      <c r="J493" s="55" t="str">
        <f t="shared" si="44"/>
        <v>XM</v>
      </c>
    </row>
    <row r="494" spans="1:10">
      <c r="A494" s="79" t="s">
        <v>702</v>
      </c>
      <c r="B494" s="1767"/>
      <c r="C494" s="1775" t="s">
        <v>3027</v>
      </c>
      <c r="D494" s="80" t="s">
        <v>2254</v>
      </c>
      <c r="E494" s="2238" t="str">
        <f t="shared" si="48"/>
        <v>qh</v>
      </c>
      <c r="F494" s="55">
        <v>50</v>
      </c>
      <c r="G494" s="55" t="s">
        <v>512</v>
      </c>
      <c r="J494" s="55" t="str">
        <f t="shared" si="44"/>
        <v>qhan</v>
      </c>
    </row>
    <row r="495" spans="1:10">
      <c r="A495" s="79" t="s">
        <v>869</v>
      </c>
      <c r="B495" s="1767"/>
      <c r="C495" s="1775" t="s">
        <v>3028</v>
      </c>
      <c r="D495" s="80" t="s">
        <v>2563</v>
      </c>
      <c r="E495" s="2238" t="str">
        <f t="shared" si="48"/>
        <v>co</v>
      </c>
      <c r="F495" s="55">
        <v>50</v>
      </c>
      <c r="G495" s="55" t="s">
        <v>512</v>
      </c>
      <c r="J495" s="55" t="str">
        <f t="shared" si="44"/>
        <v>coson</v>
      </c>
    </row>
    <row r="496" spans="1:10">
      <c r="A496" s="79" t="s">
        <v>1680</v>
      </c>
      <c r="B496" s="84"/>
      <c r="C496" s="1776" t="s">
        <v>3029</v>
      </c>
      <c r="D496" s="80" t="s">
        <v>1964</v>
      </c>
      <c r="E496" s="2238" t="str">
        <f t="shared" si="48"/>
        <v>Ni</v>
      </c>
      <c r="F496" s="55">
        <v>50</v>
      </c>
      <c r="G496" s="55" t="s">
        <v>512</v>
      </c>
      <c r="J496" s="55" t="str">
        <f t="shared" si="44"/>
        <v>Nilong</v>
      </c>
    </row>
    <row r="497" spans="1:10">
      <c r="A497" s="79" t="s">
        <v>918</v>
      </c>
      <c r="B497" s="1767"/>
      <c r="C497" s="1775" t="s">
        <v>3030</v>
      </c>
      <c r="D497" s="80" t="s">
        <v>1827</v>
      </c>
      <c r="E497" s="2238" t="str">
        <f t="shared" si="48"/>
        <v>NL</v>
      </c>
      <c r="F497" s="55">
        <v>50</v>
      </c>
      <c r="G497" s="55" t="s">
        <v>512</v>
      </c>
      <c r="J497" s="55" t="str">
        <f t="shared" si="44"/>
        <v>NLON</v>
      </c>
    </row>
    <row r="498" spans="1:10">
      <c r="A498" s="79" t="s">
        <v>2221</v>
      </c>
      <c r="B498" s="1767"/>
      <c r="C498" s="79" t="s">
        <v>3031</v>
      </c>
      <c r="D498" s="80" t="s">
        <v>2254</v>
      </c>
      <c r="E498" s="2238" t="str">
        <f t="shared" si="48"/>
        <v>th</v>
      </c>
      <c r="F498" s="55">
        <v>50</v>
      </c>
      <c r="G498" s="55" t="s">
        <v>512</v>
      </c>
      <c r="J498" s="55" t="str">
        <f t="shared" si="44"/>
        <v>thepb</v>
      </c>
    </row>
    <row r="499" spans="1:10">
      <c r="A499" s="79" t="s">
        <v>1355</v>
      </c>
      <c r="B499" s="1767"/>
      <c r="C499" s="79" t="s">
        <v>3032</v>
      </c>
      <c r="D499" s="80" t="s">
        <v>2563</v>
      </c>
      <c r="E499" s="2238" t="str">
        <f t="shared" si="48"/>
        <v>da</v>
      </c>
      <c r="F499" s="55">
        <v>50</v>
      </c>
      <c r="G499" s="55" t="s">
        <v>512</v>
      </c>
      <c r="J499" s="55" t="str">
        <f t="shared" si="44"/>
        <v>daucap50</v>
      </c>
    </row>
    <row r="500" spans="1:10">
      <c r="A500" s="79" t="s">
        <v>1921</v>
      </c>
      <c r="B500" s="1767"/>
      <c r="C500" s="79" t="s">
        <v>3033</v>
      </c>
      <c r="D500" s="80" t="s">
        <v>2563</v>
      </c>
      <c r="E500" s="2238" t="str">
        <f t="shared" si="48"/>
        <v>da</v>
      </c>
      <c r="F500" s="55">
        <v>50</v>
      </c>
      <c r="G500" s="55" t="s">
        <v>512</v>
      </c>
      <c r="J500" s="55" t="str">
        <f t="shared" si="44"/>
        <v>daucap70</v>
      </c>
    </row>
    <row r="501" spans="1:10">
      <c r="A501" s="79" t="s">
        <v>2222</v>
      </c>
      <c r="B501" s="1767"/>
      <c r="C501" s="79" t="s">
        <v>3034</v>
      </c>
      <c r="D501" s="80" t="s">
        <v>2563</v>
      </c>
      <c r="E501" s="2238" t="str">
        <f t="shared" si="48"/>
        <v>da</v>
      </c>
      <c r="F501" s="55">
        <v>50</v>
      </c>
      <c r="G501" s="55" t="s">
        <v>512</v>
      </c>
      <c r="J501" s="55" t="str">
        <f t="shared" si="44"/>
        <v>daucap95</v>
      </c>
    </row>
    <row r="502" spans="1:10">
      <c r="A502" s="79" t="s">
        <v>1276</v>
      </c>
      <c r="B502" s="1767"/>
      <c r="C502" s="79" t="s">
        <v>3035</v>
      </c>
      <c r="D502" s="80" t="s">
        <v>2563</v>
      </c>
      <c r="E502" s="2238" t="str">
        <f t="shared" si="48"/>
        <v>da</v>
      </c>
      <c r="F502" s="55">
        <v>50</v>
      </c>
      <c r="G502" s="55" t="s">
        <v>512</v>
      </c>
      <c r="J502" s="55" t="str">
        <f t="shared" si="44"/>
        <v>daucap120</v>
      </c>
    </row>
    <row r="503" spans="1:10">
      <c r="A503" s="79" t="s">
        <v>1853</v>
      </c>
      <c r="B503" s="1767"/>
      <c r="C503" s="79" t="s">
        <v>3036</v>
      </c>
      <c r="D503" s="80" t="s">
        <v>2563</v>
      </c>
      <c r="E503" s="2238" t="str">
        <f t="shared" si="48"/>
        <v>da</v>
      </c>
      <c r="F503" s="55">
        <v>50</v>
      </c>
      <c r="G503" s="55" t="s">
        <v>512</v>
      </c>
      <c r="J503" s="55" t="str">
        <f t="shared" si="44"/>
        <v>daucap150</v>
      </c>
    </row>
    <row r="504" spans="1:10">
      <c r="A504" s="79" t="s">
        <v>1397</v>
      </c>
      <c r="B504" s="1767"/>
      <c r="C504" s="79" t="s">
        <v>3037</v>
      </c>
      <c r="D504" s="80" t="s">
        <v>2563</v>
      </c>
      <c r="E504" s="2238" t="str">
        <f t="shared" si="48"/>
        <v>da</v>
      </c>
      <c r="F504" s="55">
        <v>50</v>
      </c>
      <c r="G504" s="55" t="s">
        <v>512</v>
      </c>
      <c r="J504" s="55" t="str">
        <f t="shared" si="44"/>
        <v>daucap185</v>
      </c>
    </row>
    <row r="505" spans="1:10">
      <c r="A505" s="79" t="s">
        <v>264</v>
      </c>
      <c r="B505" s="1767"/>
      <c r="C505" s="79" t="s">
        <v>3038</v>
      </c>
      <c r="D505" s="80" t="s">
        <v>2563</v>
      </c>
      <c r="E505" s="2238" t="str">
        <f t="shared" si="48"/>
        <v>da</v>
      </c>
      <c r="F505" s="55">
        <v>50</v>
      </c>
      <c r="G505" s="55" t="s">
        <v>512</v>
      </c>
      <c r="J505" s="55" t="str">
        <f t="shared" si="44"/>
        <v>daucap240</v>
      </c>
    </row>
    <row r="506" spans="1:10">
      <c r="A506" s="79" t="s">
        <v>1356</v>
      </c>
      <c r="B506" s="1767"/>
      <c r="C506" s="79" t="s">
        <v>3039</v>
      </c>
      <c r="D506" s="80" t="s">
        <v>2563</v>
      </c>
      <c r="E506" s="2238" t="str">
        <f t="shared" si="48"/>
        <v>da</v>
      </c>
      <c r="F506" s="55">
        <v>50</v>
      </c>
      <c r="G506" s="55" t="s">
        <v>512</v>
      </c>
      <c r="J506" s="55" t="str">
        <f t="shared" si="44"/>
        <v>daucap50in</v>
      </c>
    </row>
    <row r="507" spans="1:10">
      <c r="A507" s="79" t="s">
        <v>1357</v>
      </c>
      <c r="B507" s="1767"/>
      <c r="C507" s="79" t="s">
        <v>3040</v>
      </c>
      <c r="D507" s="80" t="s">
        <v>2563</v>
      </c>
      <c r="E507" s="2238" t="str">
        <f t="shared" si="48"/>
        <v>da</v>
      </c>
      <c r="F507" s="55">
        <v>50</v>
      </c>
      <c r="G507" s="55" t="s">
        <v>512</v>
      </c>
      <c r="J507" s="55" t="str">
        <f t="shared" si="44"/>
        <v>daucap70in</v>
      </c>
    </row>
    <row r="508" spans="1:10">
      <c r="A508" s="79" t="s">
        <v>868</v>
      </c>
      <c r="B508" s="1767"/>
      <c r="C508" s="79" t="s">
        <v>3041</v>
      </c>
      <c r="D508" s="80" t="s">
        <v>2563</v>
      </c>
      <c r="E508" s="2238" t="str">
        <f t="shared" si="48"/>
        <v>da</v>
      </c>
      <c r="F508" s="55">
        <v>50</v>
      </c>
      <c r="G508" s="55" t="s">
        <v>512</v>
      </c>
      <c r="J508" s="55" t="str">
        <f t="shared" si="44"/>
        <v>daucap95in</v>
      </c>
    </row>
    <row r="509" spans="1:10">
      <c r="A509" s="79" t="s">
        <v>1354</v>
      </c>
      <c r="B509" s="1767"/>
      <c r="C509" s="79" t="s">
        <v>3042</v>
      </c>
      <c r="D509" s="80" t="s">
        <v>2563</v>
      </c>
      <c r="E509" s="2238" t="str">
        <f t="shared" si="48"/>
        <v>da</v>
      </c>
      <c r="F509" s="55">
        <v>50</v>
      </c>
      <c r="G509" s="55" t="s">
        <v>512</v>
      </c>
      <c r="J509" s="55" t="str">
        <f t="shared" si="44"/>
        <v>daucap120in</v>
      </c>
    </row>
    <row r="510" spans="1:10">
      <c r="A510" s="79" t="s">
        <v>221</v>
      </c>
      <c r="B510" s="1767"/>
      <c r="C510" s="79" t="s">
        <v>3043</v>
      </c>
      <c r="D510" s="80" t="s">
        <v>2563</v>
      </c>
      <c r="E510" s="2238" t="str">
        <f t="shared" si="48"/>
        <v>da</v>
      </c>
      <c r="F510" s="55">
        <v>50</v>
      </c>
      <c r="G510" s="55" t="s">
        <v>512</v>
      </c>
      <c r="J510" s="55" t="str">
        <f t="shared" si="44"/>
        <v>daucap150in</v>
      </c>
    </row>
    <row r="511" spans="1:10">
      <c r="A511" s="79" t="s">
        <v>1028</v>
      </c>
      <c r="B511" s="1767"/>
      <c r="C511" s="79" t="s">
        <v>3044</v>
      </c>
      <c r="D511" s="80" t="s">
        <v>2563</v>
      </c>
      <c r="E511" s="2238" t="str">
        <f t="shared" si="48"/>
        <v>da</v>
      </c>
      <c r="F511" s="55">
        <v>50</v>
      </c>
      <c r="G511" s="55" t="s">
        <v>512</v>
      </c>
      <c r="J511" s="55" t="str">
        <f t="shared" si="44"/>
        <v>daucap185in</v>
      </c>
    </row>
    <row r="512" spans="1:10">
      <c r="A512" s="79" t="s">
        <v>1914</v>
      </c>
      <c r="B512" s="1767"/>
      <c r="C512" s="79" t="s">
        <v>3045</v>
      </c>
      <c r="D512" s="80" t="s">
        <v>2563</v>
      </c>
      <c r="E512" s="2238" t="str">
        <f t="shared" si="48"/>
        <v>da</v>
      </c>
      <c r="F512" s="55">
        <v>50</v>
      </c>
      <c r="G512" s="55" t="s">
        <v>512</v>
      </c>
      <c r="J512" s="55" t="str">
        <f t="shared" si="44"/>
        <v>daucap240in</v>
      </c>
    </row>
    <row r="513" spans="1:10">
      <c r="A513" s="79" t="s">
        <v>149</v>
      </c>
      <c r="B513" s="84"/>
      <c r="C513" s="79" t="s">
        <v>3046</v>
      </c>
      <c r="D513" s="80" t="s">
        <v>2563</v>
      </c>
      <c r="E513" s="2238" t="str">
        <f t="shared" si="48"/>
        <v>DC</v>
      </c>
      <c r="F513" s="55">
        <v>50</v>
      </c>
      <c r="G513" s="55" t="s">
        <v>512</v>
      </c>
      <c r="J513" s="55" t="str">
        <f t="shared" si="44"/>
        <v>DCAPHT3185</v>
      </c>
    </row>
    <row r="514" spans="1:10">
      <c r="A514" s="79" t="s">
        <v>1285</v>
      </c>
      <c r="B514" s="84"/>
      <c r="C514" s="79" t="s">
        <v>3047</v>
      </c>
      <c r="D514" s="80" t="s">
        <v>2563</v>
      </c>
      <c r="E514" s="2238" t="str">
        <f t="shared" si="48"/>
        <v>DC</v>
      </c>
      <c r="F514" s="55">
        <v>50</v>
      </c>
      <c r="G514" s="55" t="s">
        <v>512</v>
      </c>
      <c r="J514" s="55" t="str">
        <f t="shared" si="44"/>
        <v>DCAPHT3120</v>
      </c>
    </row>
    <row r="515" spans="1:10">
      <c r="A515" s="79" t="s">
        <v>1284</v>
      </c>
      <c r="B515" s="84"/>
      <c r="C515" s="79" t="s">
        <v>3048</v>
      </c>
      <c r="D515" s="80" t="s">
        <v>2563</v>
      </c>
      <c r="E515" s="2238" t="str">
        <f t="shared" si="48"/>
        <v>DC</v>
      </c>
      <c r="F515" s="55">
        <v>50</v>
      </c>
      <c r="G515" s="55" t="s">
        <v>512</v>
      </c>
      <c r="J515" s="55" t="str">
        <f t="shared" si="44"/>
        <v>DCAPHT395</v>
      </c>
    </row>
    <row r="516" spans="1:10">
      <c r="A516" s="79" t="s">
        <v>1635</v>
      </c>
      <c r="B516" s="84"/>
      <c r="C516" s="79" t="s">
        <v>3049</v>
      </c>
      <c r="D516" s="80" t="s">
        <v>2563</v>
      </c>
      <c r="E516" s="2238" t="str">
        <f t="shared" si="48"/>
        <v>DC</v>
      </c>
      <c r="F516" s="55">
        <v>50</v>
      </c>
      <c r="G516" s="55" t="s">
        <v>512</v>
      </c>
      <c r="J516" s="55" t="str">
        <f t="shared" si="44"/>
        <v>DCAPHT370</v>
      </c>
    </row>
    <row r="517" spans="1:10">
      <c r="A517" s="79" t="s">
        <v>1363</v>
      </c>
      <c r="B517" s="84"/>
      <c r="C517" s="79" t="s">
        <v>3050</v>
      </c>
      <c r="D517" s="80" t="s">
        <v>2563</v>
      </c>
      <c r="E517" s="2238" t="str">
        <f t="shared" si="48"/>
        <v>DC</v>
      </c>
      <c r="F517" s="55">
        <v>50</v>
      </c>
      <c r="G517" s="55" t="s">
        <v>512</v>
      </c>
      <c r="J517" s="55" t="str">
        <f t="shared" si="44"/>
        <v>DCAPHT350+35</v>
      </c>
    </row>
    <row r="518" spans="1:10">
      <c r="A518" s="79" t="s">
        <v>1850</v>
      </c>
      <c r="B518" s="84"/>
      <c r="C518" s="79" t="s">
        <v>3051</v>
      </c>
      <c r="D518" s="80" t="s">
        <v>2563</v>
      </c>
      <c r="E518" s="2238" t="str">
        <f t="shared" si="48"/>
        <v>DC</v>
      </c>
      <c r="F518" s="55">
        <v>50</v>
      </c>
      <c r="G518" s="55" t="s">
        <v>512</v>
      </c>
      <c r="J518" s="55" t="str">
        <f t="shared" si="44"/>
        <v>DCAPHT350</v>
      </c>
    </row>
    <row r="519" spans="1:10">
      <c r="A519" s="79" t="s">
        <v>72</v>
      </c>
      <c r="B519" s="84"/>
      <c r="C519" s="79" t="s">
        <v>3052</v>
      </c>
      <c r="D519" s="80" t="s">
        <v>2538</v>
      </c>
      <c r="E519" s="2238" t="str">
        <f t="shared" si="48"/>
        <v>st</v>
      </c>
      <c r="F519" s="55">
        <v>50</v>
      </c>
      <c r="G519" s="55" t="s">
        <v>512</v>
      </c>
      <c r="J519" s="55" t="str">
        <f t="shared" si="44"/>
        <v>stk42</v>
      </c>
    </row>
    <row r="520" spans="1:10">
      <c r="A520" s="79" t="s">
        <v>73</v>
      </c>
      <c r="B520" s="84"/>
      <c r="C520" s="79" t="s">
        <v>3053</v>
      </c>
      <c r="D520" s="80" t="s">
        <v>2538</v>
      </c>
      <c r="E520" s="2238" t="str">
        <f t="shared" si="48"/>
        <v>st</v>
      </c>
      <c r="F520" s="55">
        <v>50</v>
      </c>
      <c r="G520" s="55" t="s">
        <v>512</v>
      </c>
      <c r="J520" s="55" t="str">
        <f t="shared" si="44"/>
        <v>stk60</v>
      </c>
    </row>
    <row r="521" spans="1:10">
      <c r="A521" s="79" t="s">
        <v>1017</v>
      </c>
      <c r="B521" s="84" t="s">
        <v>1909</v>
      </c>
      <c r="C521" s="79" t="s">
        <v>3054</v>
      </c>
      <c r="D521" s="80" t="s">
        <v>2538</v>
      </c>
      <c r="E521" s="2238" t="str">
        <f t="shared" si="48"/>
        <v>st</v>
      </c>
      <c r="F521" s="55">
        <v>50</v>
      </c>
      <c r="G521" s="55" t="s">
        <v>512</v>
      </c>
      <c r="J521" s="55" t="str">
        <f t="shared" si="44"/>
        <v>stk90</v>
      </c>
    </row>
    <row r="522" spans="1:10">
      <c r="A522" s="79" t="s">
        <v>2223</v>
      </c>
      <c r="B522" s="84" t="s">
        <v>1909</v>
      </c>
      <c r="C522" s="79" t="s">
        <v>3055</v>
      </c>
      <c r="D522" s="80" t="s">
        <v>2538</v>
      </c>
      <c r="E522" s="2238" t="str">
        <f t="shared" si="48"/>
        <v>st</v>
      </c>
      <c r="F522" s="55">
        <v>50</v>
      </c>
      <c r="G522" s="55" t="s">
        <v>512</v>
      </c>
      <c r="J522" s="55" t="str">
        <f t="shared" si="44"/>
        <v>stk114</v>
      </c>
    </row>
    <row r="523" spans="1:10">
      <c r="A523" s="79" t="s">
        <v>623</v>
      </c>
      <c r="B523" s="84" t="s">
        <v>1909</v>
      </c>
      <c r="C523" s="79" t="s">
        <v>3056</v>
      </c>
      <c r="D523" s="80" t="s">
        <v>2538</v>
      </c>
      <c r="E523" s="2238" t="str">
        <f t="shared" si="48"/>
        <v>st</v>
      </c>
      <c r="F523" s="55">
        <v>50</v>
      </c>
      <c r="G523" s="55" t="s">
        <v>512</v>
      </c>
      <c r="J523" s="55" t="str">
        <f t="shared" si="44"/>
        <v>stk140</v>
      </c>
    </row>
    <row r="524" spans="1:10">
      <c r="A524" s="79" t="s">
        <v>914</v>
      </c>
      <c r="B524" s="84" t="s">
        <v>1909</v>
      </c>
      <c r="C524" s="79" t="s">
        <v>3057</v>
      </c>
      <c r="D524" s="80" t="s">
        <v>2538</v>
      </c>
      <c r="E524" s="2238" t="str">
        <f t="shared" si="48"/>
        <v>st</v>
      </c>
      <c r="F524" s="55">
        <v>50</v>
      </c>
      <c r="G524" s="55" t="s">
        <v>512</v>
      </c>
      <c r="J524" s="55" t="str">
        <f t="shared" si="44"/>
        <v>stk160</v>
      </c>
    </row>
    <row r="525" spans="1:10">
      <c r="A525" s="79" t="s">
        <v>38</v>
      </c>
      <c r="B525" s="84" t="s">
        <v>1909</v>
      </c>
      <c r="C525" s="79" t="s">
        <v>3058</v>
      </c>
      <c r="D525" s="80" t="s">
        <v>2538</v>
      </c>
      <c r="E525" s="2238" t="str">
        <f t="shared" si="48"/>
        <v>st</v>
      </c>
      <c r="F525" s="55">
        <v>50</v>
      </c>
      <c r="G525" s="55" t="s">
        <v>512</v>
      </c>
      <c r="J525" s="55" t="str">
        <f t="shared" ref="J525:J588" si="51">A525</f>
        <v>stk168</v>
      </c>
    </row>
    <row r="526" spans="1:10">
      <c r="A526" s="79" t="s">
        <v>1018</v>
      </c>
      <c r="B526" s="84"/>
      <c r="C526" s="79" t="s">
        <v>3059</v>
      </c>
      <c r="D526" s="80" t="s">
        <v>2563</v>
      </c>
      <c r="E526" s="2238" t="str">
        <f t="shared" si="48"/>
        <v>co</v>
      </c>
      <c r="F526" s="55">
        <v>50</v>
      </c>
      <c r="G526" s="55" t="s">
        <v>512</v>
      </c>
      <c r="J526" s="55" t="str">
        <f t="shared" si="51"/>
        <v>costk114</v>
      </c>
    </row>
    <row r="527" spans="1:10">
      <c r="A527" s="79" t="s">
        <v>670</v>
      </c>
      <c r="B527" s="1767"/>
      <c r="C527" s="79" t="s">
        <v>3060</v>
      </c>
      <c r="D527" s="80" t="s">
        <v>2563</v>
      </c>
      <c r="E527" s="2238" t="str">
        <f t="shared" si="48"/>
        <v>co</v>
      </c>
      <c r="F527" s="55">
        <v>50</v>
      </c>
      <c r="G527" s="55" t="s">
        <v>512</v>
      </c>
      <c r="J527" s="55" t="str">
        <f t="shared" si="51"/>
        <v>costk90</v>
      </c>
    </row>
    <row r="528" spans="1:10">
      <c r="A528" s="79" t="s">
        <v>2004</v>
      </c>
      <c r="B528" s="1767"/>
      <c r="C528" s="79" t="s">
        <v>3061</v>
      </c>
      <c r="D528" s="80" t="s">
        <v>2563</v>
      </c>
      <c r="E528" s="2238" t="str">
        <f t="shared" si="48"/>
        <v>YC</v>
      </c>
      <c r="F528" s="55">
        <v>50</v>
      </c>
      <c r="G528" s="55" t="s">
        <v>512</v>
      </c>
      <c r="J528" s="55" t="str">
        <f t="shared" si="51"/>
        <v>YC</v>
      </c>
    </row>
    <row r="529" spans="1:10">
      <c r="A529" s="1766" t="s">
        <v>5049</v>
      </c>
      <c r="C529" s="1766" t="s">
        <v>5050</v>
      </c>
      <c r="D529" s="80" t="s">
        <v>2563</v>
      </c>
      <c r="E529" s="2238" t="str">
        <f t="shared" si="48"/>
        <v>DB</v>
      </c>
      <c r="F529" s="55">
        <v>50</v>
      </c>
      <c r="J529" s="55" t="str">
        <f t="shared" si="51"/>
        <v>DBCST</v>
      </c>
    </row>
    <row r="530" spans="1:10">
      <c r="A530" s="1766" t="s">
        <v>5051</v>
      </c>
      <c r="C530" s="1766" t="s">
        <v>5052</v>
      </c>
      <c r="D530" s="80" t="s">
        <v>2563</v>
      </c>
      <c r="E530" s="2238" t="str">
        <f t="shared" si="48"/>
        <v>DB</v>
      </c>
      <c r="F530" s="55">
        <v>50</v>
      </c>
      <c r="J530" s="55" t="str">
        <f t="shared" si="51"/>
        <v>DBCSG</v>
      </c>
    </row>
    <row r="531" spans="1:10">
      <c r="A531" s="1766" t="s">
        <v>5054</v>
      </c>
      <c r="C531" s="1766" t="s">
        <v>5055</v>
      </c>
      <c r="D531" s="80" t="s">
        <v>2563</v>
      </c>
      <c r="E531" s="2238" t="str">
        <f t="shared" si="48"/>
        <v>Db</v>
      </c>
      <c r="F531" s="55">
        <v>50</v>
      </c>
      <c r="J531" s="55" t="str">
        <f t="shared" si="51"/>
        <v>DbsSSF</v>
      </c>
    </row>
    <row r="532" spans="1:10">
      <c r="A532" s="1766" t="s">
        <v>5037</v>
      </c>
      <c r="C532" s="1766" t="s">
        <v>5030</v>
      </c>
      <c r="D532" s="80" t="s">
        <v>2563</v>
      </c>
      <c r="E532" s="2238" t="str">
        <f t="shared" si="48"/>
        <v>ke</v>
      </c>
      <c r="F532" s="55">
        <v>50</v>
      </c>
      <c r="J532" s="55" t="str">
        <f t="shared" si="51"/>
        <v>ke189</v>
      </c>
    </row>
    <row r="533" spans="1:10">
      <c r="A533" s="1779" t="s">
        <v>2611</v>
      </c>
      <c r="B533" s="1780" t="s">
        <v>2612</v>
      </c>
      <c r="C533" s="1779" t="s">
        <v>3062</v>
      </c>
      <c r="D533" s="1781" t="s">
        <v>2614</v>
      </c>
      <c r="E533" s="2238" t="str">
        <f t="shared" si="48"/>
        <v>Mã</v>
      </c>
      <c r="F533" s="55">
        <v>50</v>
      </c>
      <c r="J533" s="55" t="str">
        <f t="shared" si="51"/>
        <v>Mã</v>
      </c>
    </row>
    <row r="534" spans="1:10">
      <c r="A534" s="1779">
        <v>1</v>
      </c>
      <c r="B534" s="1780">
        <v>2</v>
      </c>
      <c r="C534" s="1779">
        <v>3</v>
      </c>
      <c r="D534" s="1781">
        <v>4</v>
      </c>
      <c r="E534" s="2238" t="str">
        <f t="shared" si="48"/>
        <v>1</v>
      </c>
      <c r="F534" s="55">
        <v>50</v>
      </c>
      <c r="J534" s="55">
        <f t="shared" si="51"/>
        <v>1</v>
      </c>
    </row>
    <row r="535" spans="1:10">
      <c r="A535" s="1768" t="s">
        <v>957</v>
      </c>
      <c r="B535" s="84" t="s">
        <v>454</v>
      </c>
      <c r="C535" s="79" t="s">
        <v>3063</v>
      </c>
      <c r="D535" s="80" t="s">
        <v>856</v>
      </c>
      <c r="E535" s="2238" t="str">
        <f t="shared" si="48"/>
        <v>MD</v>
      </c>
      <c r="F535" s="55">
        <v>2000</v>
      </c>
      <c r="J535" s="55" t="str">
        <f t="shared" si="51"/>
        <v>MDDA1</v>
      </c>
    </row>
    <row r="536" spans="1:10">
      <c r="A536" s="1768" t="s">
        <v>453</v>
      </c>
      <c r="B536" s="84" t="s">
        <v>454</v>
      </c>
      <c r="C536" s="79" t="s">
        <v>3064</v>
      </c>
      <c r="D536" s="80" t="s">
        <v>856</v>
      </c>
      <c r="E536" s="2238" t="str">
        <f t="shared" si="48"/>
        <v>MD</v>
      </c>
      <c r="F536" s="55">
        <v>2000</v>
      </c>
      <c r="J536" s="55" t="str">
        <f t="shared" si="51"/>
        <v>MDDA2</v>
      </c>
    </row>
    <row r="537" spans="1:10">
      <c r="A537" s="1768" t="s">
        <v>583</v>
      </c>
      <c r="B537" s="84" t="s">
        <v>545</v>
      </c>
      <c r="C537" s="79" t="s">
        <v>3065</v>
      </c>
      <c r="D537" s="80" t="s">
        <v>856</v>
      </c>
      <c r="E537" s="2238" t="str">
        <f t="shared" si="48"/>
        <v>MD</v>
      </c>
      <c r="F537" s="55">
        <v>2000</v>
      </c>
      <c r="J537" s="55" t="str">
        <f t="shared" si="51"/>
        <v>MDD11</v>
      </c>
    </row>
    <row r="538" spans="1:10">
      <c r="A538" s="79" t="s">
        <v>1991</v>
      </c>
      <c r="B538" s="84" t="s">
        <v>2124</v>
      </c>
      <c r="C538" s="79" t="s">
        <v>3066</v>
      </c>
      <c r="D538" s="80" t="s">
        <v>856</v>
      </c>
      <c r="E538" s="2238" t="str">
        <f t="shared" si="48"/>
        <v>MD</v>
      </c>
      <c r="F538" s="55">
        <v>2000</v>
      </c>
      <c r="J538" s="55" t="str">
        <f t="shared" si="51"/>
        <v>MDD21</v>
      </c>
    </row>
    <row r="539" spans="1:10">
      <c r="A539" s="1768" t="s">
        <v>820</v>
      </c>
      <c r="B539" s="84" t="s">
        <v>599</v>
      </c>
      <c r="C539" s="79" t="s">
        <v>3067</v>
      </c>
      <c r="D539" s="80" t="s">
        <v>856</v>
      </c>
      <c r="E539" s="2238" t="str">
        <f t="shared" si="48"/>
        <v>MD</v>
      </c>
      <c r="F539" s="55">
        <v>2000</v>
      </c>
      <c r="J539" s="55" t="str">
        <f t="shared" si="51"/>
        <v>MDD31</v>
      </c>
    </row>
    <row r="540" spans="1:10">
      <c r="A540" s="1768" t="s">
        <v>527</v>
      </c>
      <c r="B540" s="84" t="s">
        <v>296</v>
      </c>
      <c r="C540" s="79" t="s">
        <v>3068</v>
      </c>
      <c r="D540" s="80" t="s">
        <v>856</v>
      </c>
      <c r="E540" s="2238" t="str">
        <f t="shared" si="48"/>
        <v>MD</v>
      </c>
      <c r="F540" s="55">
        <v>2000</v>
      </c>
      <c r="J540" s="55" t="str">
        <f t="shared" si="51"/>
        <v>MDD41</v>
      </c>
    </row>
    <row r="541" spans="1:10">
      <c r="A541" s="1768" t="s">
        <v>976</v>
      </c>
      <c r="B541" s="84" t="s">
        <v>1990</v>
      </c>
      <c r="C541" s="79" t="s">
        <v>3069</v>
      </c>
      <c r="D541" s="80" t="s">
        <v>856</v>
      </c>
      <c r="E541" s="2238" t="str">
        <f t="shared" si="48"/>
        <v>MD</v>
      </c>
      <c r="F541" s="55">
        <v>2000</v>
      </c>
      <c r="J541" s="55" t="str">
        <f t="shared" si="51"/>
        <v>MDD2</v>
      </c>
    </row>
    <row r="542" spans="1:10">
      <c r="A542" s="1768" t="s">
        <v>639</v>
      </c>
      <c r="B542" s="1782" t="s">
        <v>1751</v>
      </c>
      <c r="C542" s="79" t="s">
        <v>4966</v>
      </c>
      <c r="D542" s="80" t="s">
        <v>856</v>
      </c>
      <c r="E542" s="2238" t="str">
        <f t="shared" si="48"/>
        <v>MD</v>
      </c>
      <c r="F542" s="55">
        <v>3000</v>
      </c>
      <c r="J542" s="55" t="str">
        <f t="shared" si="51"/>
        <v>MDD3</v>
      </c>
    </row>
    <row r="543" spans="1:10">
      <c r="A543" s="79" t="s">
        <v>1229</v>
      </c>
      <c r="B543" s="84" t="s">
        <v>707</v>
      </c>
      <c r="C543" s="79" t="s">
        <v>3070</v>
      </c>
      <c r="D543" s="80" t="s">
        <v>856</v>
      </c>
      <c r="E543" s="2238" t="str">
        <f t="shared" si="48"/>
        <v>AH</v>
      </c>
      <c r="F543" s="55">
        <v>2000</v>
      </c>
      <c r="J543" s="55" t="str">
        <f t="shared" si="51"/>
        <v>AH2120</v>
      </c>
    </row>
    <row r="544" spans="1:10">
      <c r="A544" s="1768" t="s">
        <v>1395</v>
      </c>
      <c r="B544" s="84" t="s">
        <v>1396</v>
      </c>
      <c r="C544" s="79" t="s">
        <v>3071</v>
      </c>
      <c r="D544" s="80" t="s">
        <v>856</v>
      </c>
      <c r="E544" s="2238" t="str">
        <f t="shared" si="48"/>
        <v>MD</v>
      </c>
      <c r="F544" s="55">
        <v>2000</v>
      </c>
      <c r="J544" s="55" t="str">
        <f t="shared" si="51"/>
        <v>MDD4</v>
      </c>
    </row>
    <row r="545" spans="1:10">
      <c r="A545" s="1768" t="s">
        <v>127</v>
      </c>
      <c r="B545" s="84" t="s">
        <v>676</v>
      </c>
      <c r="C545" s="79" t="s">
        <v>3072</v>
      </c>
      <c r="D545" s="80" t="s">
        <v>856</v>
      </c>
      <c r="E545" s="2238" t="str">
        <f t="shared" si="48"/>
        <v>MD</v>
      </c>
      <c r="F545" s="55">
        <v>2000</v>
      </c>
      <c r="J545" s="55" t="str">
        <f t="shared" si="51"/>
        <v>MDAP1</v>
      </c>
    </row>
    <row r="546" spans="1:10">
      <c r="A546" s="1768" t="s">
        <v>677</v>
      </c>
      <c r="B546" s="84" t="s">
        <v>678</v>
      </c>
      <c r="C546" s="79" t="s">
        <v>3073</v>
      </c>
      <c r="D546" s="80" t="s">
        <v>856</v>
      </c>
      <c r="E546" s="2238" t="str">
        <f t="shared" si="48"/>
        <v>MD</v>
      </c>
      <c r="F546" s="55">
        <v>2000</v>
      </c>
      <c r="J546" s="55" t="str">
        <f t="shared" si="51"/>
        <v>MDAP2</v>
      </c>
    </row>
    <row r="547" spans="1:10">
      <c r="A547" s="1768" t="s">
        <v>21</v>
      </c>
      <c r="B547" s="1782" t="s">
        <v>1752</v>
      </c>
      <c r="C547" s="79" t="s">
        <v>3074</v>
      </c>
      <c r="D547" s="80" t="s">
        <v>856</v>
      </c>
      <c r="E547" s="2238" t="str">
        <f t="shared" si="48"/>
        <v>MD</v>
      </c>
      <c r="F547" s="55">
        <v>2000</v>
      </c>
      <c r="J547" s="55" t="str">
        <f t="shared" si="51"/>
        <v>MDAP3</v>
      </c>
    </row>
    <row r="548" spans="1:10">
      <c r="A548" s="1768" t="s">
        <v>1830</v>
      </c>
      <c r="B548" s="84" t="s">
        <v>22</v>
      </c>
      <c r="C548" s="79" t="s">
        <v>3075</v>
      </c>
      <c r="D548" s="80" t="s">
        <v>856</v>
      </c>
      <c r="E548" s="2238" t="str">
        <f t="shared" ref="E548:E610" si="52">LEFT(A548,2)</f>
        <v>MD</v>
      </c>
      <c r="F548" s="55">
        <v>2000</v>
      </c>
      <c r="J548" s="55" t="str">
        <f t="shared" si="51"/>
        <v>MDAP4</v>
      </c>
    </row>
    <row r="549" spans="1:10">
      <c r="A549" s="79" t="s">
        <v>143</v>
      </c>
      <c r="B549" s="84" t="s">
        <v>25</v>
      </c>
      <c r="C549" s="79" t="s">
        <v>3076</v>
      </c>
      <c r="D549" s="80" t="s">
        <v>856</v>
      </c>
      <c r="E549" s="2238" t="str">
        <f t="shared" si="52"/>
        <v>DM</v>
      </c>
      <c r="F549" s="55">
        <v>2000</v>
      </c>
      <c r="J549" s="55" t="str">
        <f t="shared" si="51"/>
        <v>DMC2</v>
      </c>
    </row>
    <row r="550" spans="1:10">
      <c r="A550" s="79" t="s">
        <v>144</v>
      </c>
      <c r="B550" s="84" t="s">
        <v>795</v>
      </c>
      <c r="C550" s="79" t="s">
        <v>3077</v>
      </c>
      <c r="D550" s="80" t="s">
        <v>856</v>
      </c>
      <c r="E550" s="2238" t="str">
        <f t="shared" si="52"/>
        <v>DM</v>
      </c>
      <c r="F550" s="55">
        <v>2000</v>
      </c>
      <c r="J550" s="55" t="str">
        <f t="shared" si="51"/>
        <v>DMC3</v>
      </c>
    </row>
    <row r="551" spans="1:10">
      <c r="A551" s="79" t="s">
        <v>145</v>
      </c>
      <c r="B551" s="84" t="s">
        <v>600</v>
      </c>
      <c r="C551" s="79" t="s">
        <v>3078</v>
      </c>
      <c r="D551" s="80" t="s">
        <v>856</v>
      </c>
      <c r="E551" s="2238" t="str">
        <f t="shared" si="52"/>
        <v>DM</v>
      </c>
      <c r="F551" s="55">
        <v>2000</v>
      </c>
      <c r="J551" s="55" t="str">
        <f t="shared" si="51"/>
        <v>DMC4</v>
      </c>
    </row>
    <row r="552" spans="1:10">
      <c r="A552" s="79" t="s">
        <v>528</v>
      </c>
      <c r="B552" s="84" t="s">
        <v>797</v>
      </c>
      <c r="C552" s="79" t="s">
        <v>3079</v>
      </c>
      <c r="D552" s="80" t="s">
        <v>856</v>
      </c>
      <c r="E552" s="2238" t="str">
        <f t="shared" si="52"/>
        <v>DD</v>
      </c>
      <c r="F552" s="55">
        <v>2000</v>
      </c>
      <c r="J552" s="55" t="str">
        <f t="shared" si="51"/>
        <v>DDMC2</v>
      </c>
    </row>
    <row r="553" spans="1:10">
      <c r="A553" s="79" t="s">
        <v>529</v>
      </c>
      <c r="B553" s="84" t="s">
        <v>799</v>
      </c>
      <c r="C553" s="79" t="s">
        <v>3080</v>
      </c>
      <c r="D553" s="80" t="s">
        <v>856</v>
      </c>
      <c r="E553" s="2238" t="str">
        <f t="shared" si="52"/>
        <v>DD</v>
      </c>
      <c r="F553" s="55">
        <v>2000</v>
      </c>
      <c r="J553" s="55" t="str">
        <f t="shared" si="51"/>
        <v>DDMC3</v>
      </c>
    </row>
    <row r="554" spans="1:10">
      <c r="A554" s="79" t="s">
        <v>530</v>
      </c>
      <c r="B554" s="84" t="s">
        <v>799</v>
      </c>
      <c r="C554" s="79" t="s">
        <v>3081</v>
      </c>
      <c r="D554" s="80" t="s">
        <v>856</v>
      </c>
      <c r="E554" s="2238" t="str">
        <f t="shared" si="52"/>
        <v>DD</v>
      </c>
      <c r="F554" s="55">
        <v>2000</v>
      </c>
      <c r="J554" s="55" t="str">
        <f t="shared" si="51"/>
        <v>DDMC4</v>
      </c>
    </row>
    <row r="555" spans="1:10">
      <c r="A555" s="79" t="s">
        <v>23</v>
      </c>
      <c r="B555" s="84" t="s">
        <v>846</v>
      </c>
      <c r="C555" s="79" t="s">
        <v>3082</v>
      </c>
      <c r="D555" s="80" t="s">
        <v>856</v>
      </c>
      <c r="E555" s="2238" t="str">
        <f t="shared" si="52"/>
        <v>DC</v>
      </c>
      <c r="F555" s="55">
        <v>2000</v>
      </c>
      <c r="J555" s="55" t="str">
        <f t="shared" si="51"/>
        <v>DCAT</v>
      </c>
    </row>
    <row r="556" spans="1:10">
      <c r="A556" s="79" t="s">
        <v>1111</v>
      </c>
      <c r="B556" s="84" t="s">
        <v>846</v>
      </c>
      <c r="C556" s="79" t="s">
        <v>3083</v>
      </c>
      <c r="D556" s="80" t="s">
        <v>856</v>
      </c>
      <c r="E556" s="2238" t="str">
        <f t="shared" si="52"/>
        <v>DD</v>
      </c>
      <c r="F556" s="55">
        <v>2000</v>
      </c>
      <c r="J556" s="55" t="str">
        <f t="shared" si="51"/>
        <v>DD1x2</v>
      </c>
    </row>
    <row r="557" spans="1:10">
      <c r="A557" s="79" t="s">
        <v>1106</v>
      </c>
      <c r="B557" s="84" t="s">
        <v>846</v>
      </c>
      <c r="C557" s="79" t="s">
        <v>3084</v>
      </c>
      <c r="D557" s="80" t="s">
        <v>856</v>
      </c>
      <c r="E557" s="2238" t="str">
        <f t="shared" si="52"/>
        <v>DD</v>
      </c>
      <c r="F557" s="55">
        <v>2000</v>
      </c>
      <c r="J557" s="55" t="str">
        <f t="shared" si="51"/>
        <v>DD2x4</v>
      </c>
    </row>
    <row r="558" spans="1:10">
      <c r="A558" s="79" t="s">
        <v>24</v>
      </c>
      <c r="B558" s="84" t="s">
        <v>25</v>
      </c>
      <c r="C558" s="79" t="s">
        <v>3085</v>
      </c>
      <c r="D558" s="80" t="s">
        <v>856</v>
      </c>
      <c r="E558" s="2238" t="str">
        <f t="shared" si="52"/>
        <v>DT</v>
      </c>
      <c r="F558" s="55">
        <v>2000</v>
      </c>
      <c r="J558" s="55" t="str">
        <f t="shared" si="51"/>
        <v>DTD2</v>
      </c>
    </row>
    <row r="559" spans="1:10">
      <c r="A559" s="79" t="s">
        <v>794</v>
      </c>
      <c r="B559" s="84" t="s">
        <v>1756</v>
      </c>
      <c r="C559" s="79" t="s">
        <v>3086</v>
      </c>
      <c r="D559" s="80" t="s">
        <v>856</v>
      </c>
      <c r="E559" s="2238" t="str">
        <f t="shared" si="52"/>
        <v>DT</v>
      </c>
      <c r="F559" s="55">
        <v>2000</v>
      </c>
      <c r="J559" s="55" t="str">
        <f t="shared" si="51"/>
        <v>DTD3</v>
      </c>
    </row>
    <row r="560" spans="1:10">
      <c r="A560" s="79" t="s">
        <v>1858</v>
      </c>
      <c r="B560" s="84" t="s">
        <v>795</v>
      </c>
      <c r="C560" s="79" t="s">
        <v>3087</v>
      </c>
      <c r="D560" s="80" t="s">
        <v>856</v>
      </c>
      <c r="E560" s="2238" t="str">
        <f t="shared" si="52"/>
        <v>DT</v>
      </c>
      <c r="F560" s="55">
        <v>2000</v>
      </c>
      <c r="J560" s="55" t="str">
        <f t="shared" si="51"/>
        <v>DTD4</v>
      </c>
    </row>
    <row r="561" spans="1:10">
      <c r="A561" s="79" t="s">
        <v>796</v>
      </c>
      <c r="B561" s="84" t="s">
        <v>797</v>
      </c>
      <c r="C561" s="79" t="s">
        <v>3088</v>
      </c>
      <c r="D561" s="80" t="s">
        <v>856</v>
      </c>
      <c r="E561" s="2238" t="str">
        <f t="shared" si="52"/>
        <v>DA</v>
      </c>
      <c r="F561" s="55">
        <v>2000</v>
      </c>
      <c r="J561" s="55" t="str">
        <f t="shared" si="51"/>
        <v>DATD2</v>
      </c>
    </row>
    <row r="562" spans="1:10">
      <c r="A562" s="79" t="s">
        <v>798</v>
      </c>
      <c r="B562" s="84" t="s">
        <v>1757</v>
      </c>
      <c r="C562" s="79" t="s">
        <v>4898</v>
      </c>
      <c r="D562" s="80" t="s">
        <v>856</v>
      </c>
      <c r="E562" s="2238" t="str">
        <f t="shared" si="52"/>
        <v>DA</v>
      </c>
      <c r="F562" s="55">
        <v>2000</v>
      </c>
      <c r="J562" s="55" t="str">
        <f t="shared" si="51"/>
        <v>DATD3</v>
      </c>
    </row>
    <row r="563" spans="1:10">
      <c r="A563" s="79" t="s">
        <v>1857</v>
      </c>
      <c r="B563" s="84" t="s">
        <v>799</v>
      </c>
      <c r="C563" s="79" t="s">
        <v>3089</v>
      </c>
      <c r="D563" s="80" t="s">
        <v>856</v>
      </c>
      <c r="E563" s="2238" t="str">
        <f t="shared" si="52"/>
        <v>DA</v>
      </c>
      <c r="F563" s="55">
        <v>2000</v>
      </c>
      <c r="J563" s="55" t="str">
        <f t="shared" si="51"/>
        <v>DATD4</v>
      </c>
    </row>
    <row r="564" spans="1:10">
      <c r="A564" s="79" t="s">
        <v>2024</v>
      </c>
      <c r="B564" s="84" t="s">
        <v>691</v>
      </c>
      <c r="C564" s="81" t="s">
        <v>4427</v>
      </c>
      <c r="D564" s="80" t="s">
        <v>2445</v>
      </c>
      <c r="E564" s="2238" t="str">
        <f t="shared" si="52"/>
        <v>LG</v>
      </c>
      <c r="F564" s="55">
        <v>2000</v>
      </c>
      <c r="J564" s="55" t="str">
        <f t="shared" si="51"/>
        <v>LGIA</v>
      </c>
    </row>
    <row r="565" spans="1:10">
      <c r="A565" s="79" t="s">
        <v>2130</v>
      </c>
      <c r="B565" s="1767" t="s">
        <v>1458</v>
      </c>
      <c r="C565" s="81" t="s">
        <v>3090</v>
      </c>
      <c r="D565" s="80" t="s">
        <v>2445</v>
      </c>
      <c r="E565" s="2238" t="str">
        <f t="shared" si="52"/>
        <v>la</v>
      </c>
      <c r="F565" s="55">
        <v>2000</v>
      </c>
      <c r="J565" s="55" t="str">
        <f t="shared" si="51"/>
        <v>lapkep</v>
      </c>
    </row>
    <row r="566" spans="1:10">
      <c r="A566" s="79" t="s">
        <v>1103</v>
      </c>
      <c r="B566" s="84" t="s">
        <v>85</v>
      </c>
      <c r="C566" s="79" t="s">
        <v>3091</v>
      </c>
      <c r="D566" s="80" t="s">
        <v>3024</v>
      </c>
      <c r="E566" s="2238" t="str">
        <f t="shared" si="52"/>
        <v>LG</v>
      </c>
      <c r="F566" s="55">
        <v>2000</v>
      </c>
      <c r="J566" s="55" t="str">
        <f t="shared" si="51"/>
        <v>LGACH</v>
      </c>
    </row>
    <row r="567" spans="1:10">
      <c r="A567" s="79" t="s">
        <v>662</v>
      </c>
      <c r="B567" s="84"/>
      <c r="C567" s="79" t="s">
        <v>3092</v>
      </c>
      <c r="D567" s="80" t="s">
        <v>856</v>
      </c>
      <c r="E567" s="2238" t="str">
        <f t="shared" si="52"/>
        <v>LN</v>
      </c>
      <c r="F567" s="55">
        <v>2000</v>
      </c>
      <c r="J567" s="55" t="str">
        <f t="shared" si="51"/>
        <v>LNLON</v>
      </c>
    </row>
    <row r="568" spans="1:10">
      <c r="A568" s="79" t="s">
        <v>624</v>
      </c>
      <c r="B568" s="84" t="s">
        <v>220</v>
      </c>
      <c r="C568" s="79" t="s">
        <v>3093</v>
      </c>
      <c r="D568" s="80" t="s">
        <v>2563</v>
      </c>
      <c r="E568" s="2238" t="str">
        <f t="shared" si="52"/>
        <v>M1</v>
      </c>
      <c r="F568" s="55">
        <v>2000</v>
      </c>
      <c r="J568" s="55" t="str">
        <f t="shared" si="51"/>
        <v>M15</v>
      </c>
    </row>
    <row r="569" spans="1:10">
      <c r="A569" s="79" t="s">
        <v>1048</v>
      </c>
      <c r="B569" s="84" t="s">
        <v>1561</v>
      </c>
      <c r="C569" s="79" t="s">
        <v>3094</v>
      </c>
      <c r="D569" s="80" t="s">
        <v>2563</v>
      </c>
      <c r="E569" s="2238" t="str">
        <f t="shared" si="52"/>
        <v>MD</v>
      </c>
      <c r="F569" s="55">
        <v>2000</v>
      </c>
      <c r="J569" s="55" t="str">
        <f t="shared" si="51"/>
        <v>MD25</v>
      </c>
    </row>
    <row r="570" spans="1:10">
      <c r="A570" s="79" t="s">
        <v>978</v>
      </c>
      <c r="B570" s="84" t="s">
        <v>1562</v>
      </c>
      <c r="C570" s="79" t="s">
        <v>3095</v>
      </c>
      <c r="D570" s="80" t="s">
        <v>2598</v>
      </c>
      <c r="E570" s="2238" t="str">
        <f t="shared" si="52"/>
        <v>DC</v>
      </c>
      <c r="F570" s="55">
        <v>2000</v>
      </c>
      <c r="J570" s="55" t="str">
        <f t="shared" si="51"/>
        <v>DCT25</v>
      </c>
    </row>
    <row r="571" spans="1:10">
      <c r="A571" s="79" t="s">
        <v>991</v>
      </c>
      <c r="B571" s="84" t="s">
        <v>1562</v>
      </c>
      <c r="C571" s="79" t="s">
        <v>3096</v>
      </c>
      <c r="D571" s="80" t="s">
        <v>2598</v>
      </c>
      <c r="E571" s="2238" t="str">
        <f t="shared" si="52"/>
        <v>DC</v>
      </c>
      <c r="F571" s="55">
        <v>2000</v>
      </c>
      <c r="J571" s="55" t="str">
        <f t="shared" si="51"/>
        <v>DCT30</v>
      </c>
    </row>
    <row r="572" spans="1:10">
      <c r="A572" s="79" t="s">
        <v>445</v>
      </c>
      <c r="B572" s="84" t="s">
        <v>1562</v>
      </c>
      <c r="C572" s="79" t="s">
        <v>3097</v>
      </c>
      <c r="D572" s="80" t="s">
        <v>2598</v>
      </c>
      <c r="E572" s="2238" t="str">
        <f t="shared" si="52"/>
        <v>DC</v>
      </c>
      <c r="F572" s="55">
        <v>2000</v>
      </c>
      <c r="J572" s="55" t="str">
        <f t="shared" si="51"/>
        <v>DCT50</v>
      </c>
    </row>
    <row r="573" spans="1:10">
      <c r="A573" s="79" t="s">
        <v>152</v>
      </c>
      <c r="B573" s="84" t="s">
        <v>153</v>
      </c>
      <c r="C573" s="79" t="s">
        <v>3098</v>
      </c>
      <c r="D573" s="80" t="s">
        <v>1964</v>
      </c>
      <c r="E573" s="2238" t="str">
        <f t="shared" si="52"/>
        <v>QB</v>
      </c>
      <c r="F573" s="55">
        <v>2000</v>
      </c>
      <c r="J573" s="55" t="str">
        <f t="shared" si="51"/>
        <v>QBT</v>
      </c>
    </row>
    <row r="574" spans="1:10">
      <c r="A574" s="79" t="s">
        <v>37</v>
      </c>
      <c r="B574" s="84" t="s">
        <v>556</v>
      </c>
      <c r="C574" s="79" t="s">
        <v>2591</v>
      </c>
      <c r="D574" s="80" t="s">
        <v>2448</v>
      </c>
      <c r="E574" s="2238" t="str">
        <f t="shared" si="52"/>
        <v>VC</v>
      </c>
      <c r="F574" s="55">
        <v>2000</v>
      </c>
      <c r="J574" s="55" t="str">
        <f t="shared" si="51"/>
        <v>VCDA1</v>
      </c>
    </row>
    <row r="575" spans="1:10">
      <c r="A575" s="79" t="s">
        <v>1824</v>
      </c>
      <c r="B575" s="84" t="s">
        <v>1825</v>
      </c>
      <c r="C575" s="79" t="s">
        <v>3099</v>
      </c>
      <c r="D575" s="80" t="s">
        <v>2448</v>
      </c>
      <c r="E575" s="2238" t="str">
        <f t="shared" si="52"/>
        <v>VC</v>
      </c>
      <c r="F575" s="55">
        <v>2000</v>
      </c>
      <c r="J575" s="55" t="str">
        <f t="shared" si="51"/>
        <v>VCDA2</v>
      </c>
    </row>
    <row r="576" spans="1:10">
      <c r="A576" s="79" t="s">
        <v>192</v>
      </c>
      <c r="B576" s="84" t="s">
        <v>193</v>
      </c>
      <c r="C576" s="79" t="s">
        <v>3100</v>
      </c>
      <c r="D576" s="80" t="s">
        <v>2448</v>
      </c>
      <c r="E576" s="2238" t="str">
        <f t="shared" si="52"/>
        <v>VC</v>
      </c>
      <c r="F576" s="55">
        <v>2000</v>
      </c>
      <c r="J576" s="55" t="str">
        <f t="shared" si="51"/>
        <v>VCDA3</v>
      </c>
    </row>
    <row r="577" spans="1:10">
      <c r="A577" s="79" t="s">
        <v>343</v>
      </c>
      <c r="B577" s="84" t="s">
        <v>1095</v>
      </c>
      <c r="C577" s="79" t="s">
        <v>3101</v>
      </c>
      <c r="D577" s="80" t="s">
        <v>2448</v>
      </c>
      <c r="E577" s="2238" t="str">
        <f t="shared" si="52"/>
        <v>VC</v>
      </c>
      <c r="F577" s="55">
        <v>2000</v>
      </c>
      <c r="J577" s="55" t="str">
        <f t="shared" si="51"/>
        <v>VCDA4</v>
      </c>
    </row>
    <row r="578" spans="1:10">
      <c r="A578" s="79" t="s">
        <v>1634</v>
      </c>
      <c r="B578" s="84" t="s">
        <v>556</v>
      </c>
      <c r="C578" s="79" t="s">
        <v>2593</v>
      </c>
      <c r="D578" s="80" t="s">
        <v>2448</v>
      </c>
      <c r="E578" s="2238" t="str">
        <f t="shared" si="52"/>
        <v>VC</v>
      </c>
      <c r="F578" s="55">
        <v>2000</v>
      </c>
      <c r="J578" s="55" t="str">
        <f t="shared" si="51"/>
        <v>VCDN1</v>
      </c>
    </row>
    <row r="579" spans="1:10">
      <c r="A579" s="79" t="s">
        <v>263</v>
      </c>
      <c r="B579" s="84" t="s">
        <v>1825</v>
      </c>
      <c r="C579" s="79" t="s">
        <v>3102</v>
      </c>
      <c r="D579" s="80" t="s">
        <v>2448</v>
      </c>
      <c r="E579" s="2238" t="str">
        <f t="shared" si="52"/>
        <v>VC</v>
      </c>
      <c r="F579" s="55">
        <v>2000</v>
      </c>
      <c r="J579" s="55" t="str">
        <f t="shared" si="51"/>
        <v>VCDN2</v>
      </c>
    </row>
    <row r="580" spans="1:10">
      <c r="A580" s="79" t="s">
        <v>1476</v>
      </c>
      <c r="B580" s="84" t="s">
        <v>193</v>
      </c>
      <c r="C580" s="79" t="s">
        <v>3103</v>
      </c>
      <c r="D580" s="80" t="s">
        <v>2448</v>
      </c>
      <c r="E580" s="2238" t="str">
        <f t="shared" si="52"/>
        <v>VC</v>
      </c>
      <c r="F580" s="55">
        <v>2000</v>
      </c>
      <c r="J580" s="55" t="str">
        <f t="shared" si="51"/>
        <v>VCDN3</v>
      </c>
    </row>
    <row r="581" spans="1:10">
      <c r="A581" s="79" t="s">
        <v>1670</v>
      </c>
      <c r="B581" s="84" t="s">
        <v>1095</v>
      </c>
      <c r="C581" s="79" t="s">
        <v>3104</v>
      </c>
      <c r="D581" s="80" t="s">
        <v>2448</v>
      </c>
      <c r="E581" s="2238" t="str">
        <f t="shared" si="52"/>
        <v>VC</v>
      </c>
      <c r="F581" s="55">
        <v>2000</v>
      </c>
      <c r="J581" s="55" t="str">
        <f t="shared" si="51"/>
        <v>VCDN4</v>
      </c>
    </row>
    <row r="582" spans="1:10">
      <c r="A582" s="79" t="s">
        <v>1711</v>
      </c>
      <c r="B582" s="84" t="s">
        <v>1133</v>
      </c>
      <c r="C582" s="79" t="s">
        <v>2594</v>
      </c>
      <c r="D582" s="80" t="s">
        <v>2448</v>
      </c>
      <c r="E582" s="2238" t="str">
        <f t="shared" si="52"/>
        <v>VC</v>
      </c>
      <c r="F582" s="55">
        <v>2000</v>
      </c>
      <c r="J582" s="55" t="str">
        <f t="shared" si="51"/>
        <v>VCNX1</v>
      </c>
    </row>
    <row r="583" spans="1:10">
      <c r="A583" s="79" t="s">
        <v>1125</v>
      </c>
      <c r="B583" s="84" t="s">
        <v>27</v>
      </c>
      <c r="C583" s="79" t="s">
        <v>3105</v>
      </c>
      <c r="D583" s="80" t="s">
        <v>2448</v>
      </c>
      <c r="E583" s="2238" t="str">
        <f t="shared" si="52"/>
        <v>VC</v>
      </c>
      <c r="F583" s="55">
        <v>2000</v>
      </c>
      <c r="J583" s="55" t="str">
        <f t="shared" si="51"/>
        <v>VCNX2</v>
      </c>
    </row>
    <row r="584" spans="1:10">
      <c r="A584" s="79" t="s">
        <v>1126</v>
      </c>
      <c r="B584" s="84" t="s">
        <v>1676</v>
      </c>
      <c r="C584" s="79" t="s">
        <v>3106</v>
      </c>
      <c r="D584" s="80" t="s">
        <v>2448</v>
      </c>
      <c r="E584" s="2238" t="str">
        <f t="shared" si="52"/>
        <v>VC</v>
      </c>
      <c r="F584" s="55">
        <v>2000</v>
      </c>
      <c r="J584" s="55" t="str">
        <f t="shared" si="51"/>
        <v>VCNX3</v>
      </c>
    </row>
    <row r="585" spans="1:10">
      <c r="A585" s="79" t="s">
        <v>1127</v>
      </c>
      <c r="B585" s="84" t="s">
        <v>141</v>
      </c>
      <c r="C585" s="79" t="s">
        <v>3107</v>
      </c>
      <c r="D585" s="80" t="s">
        <v>2448</v>
      </c>
      <c r="E585" s="2238" t="str">
        <f t="shared" si="52"/>
        <v>VC</v>
      </c>
      <c r="F585" s="55">
        <v>2000</v>
      </c>
      <c r="J585" s="55" t="str">
        <f t="shared" si="51"/>
        <v>VCNX4</v>
      </c>
    </row>
    <row r="586" spans="1:10">
      <c r="A586" s="79" t="s">
        <v>1586</v>
      </c>
      <c r="B586" s="84" t="s">
        <v>2242</v>
      </c>
      <c r="C586" s="79" t="s">
        <v>2595</v>
      </c>
      <c r="D586" s="80" t="s">
        <v>2448</v>
      </c>
      <c r="E586" s="2238" t="str">
        <f t="shared" si="52"/>
        <v>VC</v>
      </c>
      <c r="F586" s="55">
        <v>2000</v>
      </c>
      <c r="J586" s="55" t="str">
        <f t="shared" si="51"/>
        <v>VCC1</v>
      </c>
    </row>
    <row r="587" spans="1:10">
      <c r="A587" s="79" t="s">
        <v>2243</v>
      </c>
      <c r="B587" s="84" t="s">
        <v>2244</v>
      </c>
      <c r="C587" s="79" t="s">
        <v>3108</v>
      </c>
      <c r="D587" s="80" t="s">
        <v>2448</v>
      </c>
      <c r="E587" s="2238" t="str">
        <f t="shared" si="52"/>
        <v>VC</v>
      </c>
      <c r="F587" s="55">
        <v>2000</v>
      </c>
      <c r="J587" s="55" t="str">
        <f t="shared" si="51"/>
        <v>VCC2</v>
      </c>
    </row>
    <row r="588" spans="1:10">
      <c r="A588" s="79" t="s">
        <v>567</v>
      </c>
      <c r="B588" s="84" t="s">
        <v>568</v>
      </c>
      <c r="C588" s="79" t="s">
        <v>3109</v>
      </c>
      <c r="D588" s="80" t="s">
        <v>2448</v>
      </c>
      <c r="E588" s="2238" t="str">
        <f t="shared" si="52"/>
        <v>VC</v>
      </c>
      <c r="F588" s="55">
        <v>2000</v>
      </c>
      <c r="J588" s="55" t="str">
        <f t="shared" si="51"/>
        <v>VCC3</v>
      </c>
    </row>
    <row r="589" spans="1:10">
      <c r="A589" s="79" t="s">
        <v>1646</v>
      </c>
      <c r="B589" s="84" t="s">
        <v>2246</v>
      </c>
      <c r="C589" s="79" t="s">
        <v>3110</v>
      </c>
      <c r="D589" s="80" t="s">
        <v>2448</v>
      </c>
      <c r="E589" s="2238" t="str">
        <f t="shared" si="52"/>
        <v>VC</v>
      </c>
      <c r="F589" s="55">
        <v>2000</v>
      </c>
      <c r="J589" s="55" t="str">
        <f t="shared" ref="J589:J652" si="53">A589</f>
        <v>VCC4</v>
      </c>
    </row>
    <row r="590" spans="1:10">
      <c r="A590" s="79" t="s">
        <v>1132</v>
      </c>
      <c r="B590" s="84" t="s">
        <v>1133</v>
      </c>
      <c r="C590" s="79" t="s">
        <v>2596</v>
      </c>
      <c r="D590" s="80" t="s">
        <v>2448</v>
      </c>
      <c r="E590" s="2238" t="str">
        <f t="shared" si="52"/>
        <v>VC</v>
      </c>
      <c r="F590" s="55">
        <v>2000</v>
      </c>
      <c r="J590" s="55" t="str">
        <f t="shared" si="53"/>
        <v>VCPK1</v>
      </c>
    </row>
    <row r="591" spans="1:10">
      <c r="A591" s="79" t="s">
        <v>1134</v>
      </c>
      <c r="B591" s="84" t="s">
        <v>27</v>
      </c>
      <c r="C591" s="79" t="s">
        <v>3111</v>
      </c>
      <c r="D591" s="80" t="s">
        <v>2448</v>
      </c>
      <c r="E591" s="2238" t="str">
        <f t="shared" si="52"/>
        <v>VC</v>
      </c>
      <c r="F591" s="55">
        <v>2000</v>
      </c>
      <c r="J591" s="55" t="str">
        <f t="shared" si="53"/>
        <v>VCPK2</v>
      </c>
    </row>
    <row r="592" spans="1:10">
      <c r="A592" s="79" t="s">
        <v>1675</v>
      </c>
      <c r="B592" s="84" t="s">
        <v>1676</v>
      </c>
      <c r="C592" s="79" t="s">
        <v>3112</v>
      </c>
      <c r="D592" s="80" t="s">
        <v>2448</v>
      </c>
      <c r="E592" s="2238" t="str">
        <f t="shared" si="52"/>
        <v>VC</v>
      </c>
      <c r="F592" s="55">
        <v>2000</v>
      </c>
      <c r="J592" s="55" t="str">
        <f t="shared" si="53"/>
        <v>VCPK3</v>
      </c>
    </row>
    <row r="593" spans="1:10">
      <c r="A593" s="79" t="s">
        <v>1407</v>
      </c>
      <c r="B593" s="84" t="s">
        <v>141</v>
      </c>
      <c r="C593" s="79" t="s">
        <v>3113</v>
      </c>
      <c r="D593" s="80" t="s">
        <v>2448</v>
      </c>
      <c r="E593" s="2238" t="str">
        <f t="shared" si="52"/>
        <v>VC</v>
      </c>
      <c r="F593" s="55">
        <v>2000</v>
      </c>
      <c r="J593" s="55" t="str">
        <f t="shared" si="53"/>
        <v>VCPK4</v>
      </c>
    </row>
    <row r="594" spans="1:10">
      <c r="A594" s="79" t="s">
        <v>1833</v>
      </c>
      <c r="B594" s="84" t="s">
        <v>1209</v>
      </c>
      <c r="C594" s="79" t="s">
        <v>2592</v>
      </c>
      <c r="D594" s="80" t="s">
        <v>2448</v>
      </c>
      <c r="E594" s="2238" t="str">
        <f t="shared" si="52"/>
        <v>VC</v>
      </c>
      <c r="F594" s="55">
        <v>2000</v>
      </c>
      <c r="J594" s="55" t="str">
        <f t="shared" si="53"/>
        <v>VCTD1</v>
      </c>
    </row>
    <row r="595" spans="1:10">
      <c r="A595" s="79" t="s">
        <v>117</v>
      </c>
      <c r="B595" s="84" t="s">
        <v>1541</v>
      </c>
      <c r="C595" s="79" t="s">
        <v>3114</v>
      </c>
      <c r="D595" s="80" t="s">
        <v>2448</v>
      </c>
      <c r="E595" s="2238" t="str">
        <f t="shared" si="52"/>
        <v>VC</v>
      </c>
      <c r="F595" s="55">
        <v>2000</v>
      </c>
      <c r="J595" s="55" t="str">
        <f t="shared" si="53"/>
        <v>VCTD2</v>
      </c>
    </row>
    <row r="596" spans="1:10">
      <c r="A596" s="79" t="s">
        <v>964</v>
      </c>
      <c r="B596" s="84" t="s">
        <v>1547</v>
      </c>
      <c r="C596" s="79" t="s">
        <v>3115</v>
      </c>
      <c r="D596" s="80" t="s">
        <v>2448</v>
      </c>
      <c r="E596" s="2238" t="str">
        <f t="shared" si="52"/>
        <v>VC</v>
      </c>
      <c r="F596" s="55">
        <v>2000</v>
      </c>
      <c r="J596" s="55" t="str">
        <f t="shared" si="53"/>
        <v>VCTD3</v>
      </c>
    </row>
    <row r="597" spans="1:10">
      <c r="A597" s="79" t="s">
        <v>1958</v>
      </c>
      <c r="B597" s="84" t="s">
        <v>1549</v>
      </c>
      <c r="C597" s="79" t="s">
        <v>3116</v>
      </c>
      <c r="D597" s="80" t="s">
        <v>2448</v>
      </c>
      <c r="E597" s="2238" t="str">
        <f t="shared" si="52"/>
        <v>VC</v>
      </c>
      <c r="F597" s="55">
        <v>2000</v>
      </c>
      <c r="J597" s="55" t="str">
        <f t="shared" si="53"/>
        <v>VCTD4</v>
      </c>
    </row>
    <row r="598" spans="1:10">
      <c r="A598" s="79" t="s">
        <v>1196</v>
      </c>
      <c r="B598" s="84" t="s">
        <v>1197</v>
      </c>
      <c r="C598" s="79" t="s">
        <v>2599</v>
      </c>
      <c r="D598" s="80" t="s">
        <v>2448</v>
      </c>
      <c r="E598" s="2238" t="str">
        <f t="shared" si="52"/>
        <v>VC</v>
      </c>
      <c r="F598" s="55">
        <v>2000</v>
      </c>
      <c r="J598" s="55" t="str">
        <f t="shared" si="53"/>
        <v>VCD1</v>
      </c>
    </row>
    <row r="599" spans="1:10">
      <c r="A599" s="79" t="s">
        <v>2122</v>
      </c>
      <c r="B599" s="84" t="s">
        <v>2043</v>
      </c>
      <c r="C599" s="79" t="s">
        <v>3117</v>
      </c>
      <c r="D599" s="80" t="s">
        <v>2448</v>
      </c>
      <c r="E599" s="2238" t="str">
        <f t="shared" si="52"/>
        <v>VC</v>
      </c>
      <c r="F599" s="55">
        <v>2000</v>
      </c>
      <c r="J599" s="55" t="str">
        <f t="shared" si="53"/>
        <v>VCD2</v>
      </c>
    </row>
    <row r="600" spans="1:10">
      <c r="A600" s="79" t="s">
        <v>315</v>
      </c>
      <c r="B600" s="84" t="s">
        <v>316</v>
      </c>
      <c r="C600" s="79" t="s">
        <v>3118</v>
      </c>
      <c r="D600" s="80" t="s">
        <v>2448</v>
      </c>
      <c r="E600" s="2238" t="str">
        <f t="shared" si="52"/>
        <v>VC</v>
      </c>
      <c r="F600" s="55">
        <v>2000</v>
      </c>
      <c r="J600" s="55" t="str">
        <f t="shared" si="53"/>
        <v>VCD3</v>
      </c>
    </row>
    <row r="601" spans="1:10">
      <c r="A601" s="79" t="s">
        <v>1544</v>
      </c>
      <c r="B601" s="84" t="s">
        <v>1545</v>
      </c>
      <c r="C601" s="79" t="s">
        <v>3119</v>
      </c>
      <c r="D601" s="80" t="s">
        <v>2448</v>
      </c>
      <c r="E601" s="2238" t="str">
        <f t="shared" si="52"/>
        <v>VC</v>
      </c>
      <c r="F601" s="55">
        <v>2000</v>
      </c>
      <c r="J601" s="55" t="str">
        <f t="shared" si="53"/>
        <v>VCD4</v>
      </c>
    </row>
    <row r="602" spans="1:10">
      <c r="A602" s="79" t="s">
        <v>1908</v>
      </c>
      <c r="B602" s="84" t="s">
        <v>75</v>
      </c>
      <c r="C602" s="79" t="s">
        <v>3120</v>
      </c>
      <c r="D602" s="80" t="s">
        <v>2448</v>
      </c>
      <c r="E602" s="2238" t="str">
        <f t="shared" si="52"/>
        <v>VC</v>
      </c>
      <c r="F602" s="55">
        <v>2000</v>
      </c>
      <c r="J602" s="55" t="str">
        <f t="shared" si="53"/>
        <v>VCS1</v>
      </c>
    </row>
    <row r="603" spans="1:10">
      <c r="A603" s="79" t="s">
        <v>76</v>
      </c>
      <c r="B603" s="84" t="s">
        <v>77</v>
      </c>
      <c r="C603" s="79" t="s">
        <v>3121</v>
      </c>
      <c r="D603" s="80" t="s">
        <v>2448</v>
      </c>
      <c r="E603" s="2238" t="str">
        <f t="shared" si="52"/>
        <v>VC</v>
      </c>
      <c r="F603" s="55">
        <v>2000</v>
      </c>
      <c r="J603" s="55" t="str">
        <f t="shared" si="53"/>
        <v>VCS2</v>
      </c>
    </row>
    <row r="604" spans="1:10">
      <c r="A604" s="79" t="s">
        <v>2081</v>
      </c>
      <c r="B604" s="84" t="s">
        <v>2082</v>
      </c>
      <c r="C604" s="79" t="s">
        <v>3122</v>
      </c>
      <c r="D604" s="80" t="s">
        <v>2448</v>
      </c>
      <c r="E604" s="2238" t="str">
        <f t="shared" si="52"/>
        <v>VC</v>
      </c>
      <c r="F604" s="55">
        <v>2000</v>
      </c>
      <c r="J604" s="55" t="str">
        <f t="shared" si="53"/>
        <v>VCS3</v>
      </c>
    </row>
    <row r="605" spans="1:10">
      <c r="A605" s="79" t="s">
        <v>944</v>
      </c>
      <c r="B605" s="84" t="s">
        <v>1608</v>
      </c>
      <c r="C605" s="79" t="s">
        <v>3123</v>
      </c>
      <c r="D605" s="80" t="s">
        <v>2448</v>
      </c>
      <c r="E605" s="2238" t="str">
        <f t="shared" si="52"/>
        <v>VC</v>
      </c>
      <c r="F605" s="55">
        <v>2000</v>
      </c>
      <c r="J605" s="55" t="str">
        <f t="shared" si="53"/>
        <v>VCS4</v>
      </c>
    </row>
    <row r="606" spans="1:10">
      <c r="A606" s="79" t="s">
        <v>1609</v>
      </c>
      <c r="B606" s="84" t="s">
        <v>1610</v>
      </c>
      <c r="C606" s="79" t="s">
        <v>2449</v>
      </c>
      <c r="D606" s="80" t="s">
        <v>2448</v>
      </c>
      <c r="E606" s="2238" t="str">
        <f t="shared" si="52"/>
        <v>VC</v>
      </c>
      <c r="F606" s="55">
        <v>2000</v>
      </c>
      <c r="J606" s="55" t="str">
        <f t="shared" si="53"/>
        <v>VCX1</v>
      </c>
    </row>
    <row r="607" spans="1:10">
      <c r="A607" s="79" t="s">
        <v>1611</v>
      </c>
      <c r="B607" s="84" t="s">
        <v>2247</v>
      </c>
      <c r="C607" s="79" t="s">
        <v>3124</v>
      </c>
      <c r="D607" s="80" t="s">
        <v>2448</v>
      </c>
      <c r="E607" s="2238" t="str">
        <f t="shared" si="52"/>
        <v>VC</v>
      </c>
      <c r="F607" s="55">
        <v>2000</v>
      </c>
      <c r="J607" s="55" t="str">
        <f t="shared" si="53"/>
        <v>VCX2</v>
      </c>
    </row>
    <row r="608" spans="1:10">
      <c r="A608" s="79" t="s">
        <v>1393</v>
      </c>
      <c r="B608" s="84" t="s">
        <v>1996</v>
      </c>
      <c r="C608" s="79" t="s">
        <v>3125</v>
      </c>
      <c r="D608" s="80" t="s">
        <v>2448</v>
      </c>
      <c r="E608" s="2238" t="str">
        <f t="shared" si="52"/>
        <v>VC</v>
      </c>
      <c r="F608" s="55">
        <v>2000</v>
      </c>
      <c r="J608" s="55" t="str">
        <f t="shared" si="53"/>
        <v>VCX3</v>
      </c>
    </row>
    <row r="609" spans="1:10">
      <c r="A609" s="79" t="s">
        <v>1997</v>
      </c>
      <c r="B609" s="84" t="s">
        <v>1998</v>
      </c>
      <c r="C609" s="79" t="s">
        <v>3126</v>
      </c>
      <c r="D609" s="80" t="s">
        <v>2448</v>
      </c>
      <c r="E609" s="2238" t="str">
        <f t="shared" si="52"/>
        <v>VC</v>
      </c>
      <c r="F609" s="55">
        <v>2000</v>
      </c>
      <c r="J609" s="55" t="str">
        <f t="shared" si="53"/>
        <v>VCX4</v>
      </c>
    </row>
    <row r="610" spans="1:10">
      <c r="A610" s="79" t="s">
        <v>1985</v>
      </c>
      <c r="B610" s="84" t="s">
        <v>1695</v>
      </c>
      <c r="C610" s="79" t="s">
        <v>2450</v>
      </c>
      <c r="D610" s="80" t="s">
        <v>2448</v>
      </c>
      <c r="E610" s="2238" t="str">
        <f t="shared" si="52"/>
        <v>VC</v>
      </c>
      <c r="F610" s="55">
        <v>2000</v>
      </c>
      <c r="J610" s="55" t="str">
        <f t="shared" si="53"/>
        <v>VCDC1</v>
      </c>
    </row>
    <row r="611" spans="1:10">
      <c r="A611" s="79" t="s">
        <v>1532</v>
      </c>
      <c r="B611" s="84" t="s">
        <v>1533</v>
      </c>
      <c r="C611" s="79" t="s">
        <v>3127</v>
      </c>
      <c r="D611" s="80" t="s">
        <v>2448</v>
      </c>
      <c r="E611" s="2238" t="str">
        <f t="shared" ref="E611:E674" si="54">LEFT(A611,2)</f>
        <v>VC</v>
      </c>
      <c r="F611" s="55">
        <v>2000</v>
      </c>
      <c r="J611" s="55" t="str">
        <f t="shared" si="53"/>
        <v>VCDC2</v>
      </c>
    </row>
    <row r="612" spans="1:10">
      <c r="A612" s="79" t="s">
        <v>1534</v>
      </c>
      <c r="B612" s="84" t="s">
        <v>1535</v>
      </c>
      <c r="C612" s="79" t="s">
        <v>3128</v>
      </c>
      <c r="D612" s="80" t="s">
        <v>2448</v>
      </c>
      <c r="E612" s="2238" t="str">
        <f t="shared" si="54"/>
        <v>VC</v>
      </c>
      <c r="F612" s="55">
        <v>2000</v>
      </c>
      <c r="J612" s="55" t="str">
        <f t="shared" si="53"/>
        <v>VCDC3</v>
      </c>
    </row>
    <row r="613" spans="1:10">
      <c r="A613" s="79" t="s">
        <v>990</v>
      </c>
      <c r="B613" s="84" t="s">
        <v>1815</v>
      </c>
      <c r="C613" s="79" t="s">
        <v>3129</v>
      </c>
      <c r="D613" s="80" t="s">
        <v>2448</v>
      </c>
      <c r="E613" s="2238" t="str">
        <f t="shared" si="54"/>
        <v>VC</v>
      </c>
      <c r="F613" s="55">
        <v>2000</v>
      </c>
      <c r="J613" s="55" t="str">
        <f t="shared" si="53"/>
        <v>VCDC4</v>
      </c>
    </row>
    <row r="614" spans="1:10">
      <c r="A614" s="79" t="s">
        <v>1250</v>
      </c>
      <c r="B614" s="84" t="s">
        <v>1251</v>
      </c>
      <c r="C614" s="79" t="s">
        <v>3130</v>
      </c>
      <c r="D614" s="80" t="s">
        <v>2598</v>
      </c>
      <c r="E614" s="2238" t="str">
        <f t="shared" si="54"/>
        <v>VC</v>
      </c>
      <c r="F614" s="55">
        <v>2000</v>
      </c>
      <c r="J614" s="55" t="str">
        <f t="shared" si="53"/>
        <v>VCCT1</v>
      </c>
    </row>
    <row r="615" spans="1:10">
      <c r="A615" s="79" t="s">
        <v>1418</v>
      </c>
      <c r="B615" s="84" t="s">
        <v>598</v>
      </c>
      <c r="C615" s="79" t="s">
        <v>3131</v>
      </c>
      <c r="D615" s="80" t="s">
        <v>2598</v>
      </c>
      <c r="E615" s="2238" t="str">
        <f t="shared" si="54"/>
        <v>VC</v>
      </c>
      <c r="F615" s="55">
        <v>2000</v>
      </c>
      <c r="J615" s="55" t="str">
        <f t="shared" si="53"/>
        <v>VCCT2</v>
      </c>
    </row>
    <row r="616" spans="1:10">
      <c r="A616" s="79" t="s">
        <v>2250</v>
      </c>
      <c r="B616" s="84" t="s">
        <v>2251</v>
      </c>
      <c r="C616" s="79" t="s">
        <v>3132</v>
      </c>
      <c r="D616" s="80" t="s">
        <v>2598</v>
      </c>
      <c r="E616" s="2238" t="str">
        <f t="shared" si="54"/>
        <v>VC</v>
      </c>
      <c r="F616" s="55">
        <v>2000</v>
      </c>
      <c r="J616" s="55" t="str">
        <f t="shared" si="53"/>
        <v>VCCT3</v>
      </c>
    </row>
    <row r="617" spans="1:10">
      <c r="A617" s="79" t="s">
        <v>1803</v>
      </c>
      <c r="B617" s="84" t="s">
        <v>714</v>
      </c>
      <c r="C617" s="79" t="s">
        <v>3133</v>
      </c>
      <c r="D617" s="80" t="s">
        <v>2598</v>
      </c>
      <c r="E617" s="2238" t="str">
        <f t="shared" si="54"/>
        <v>VC</v>
      </c>
      <c r="F617" s="55">
        <v>2000</v>
      </c>
      <c r="J617" s="55" t="str">
        <f t="shared" si="53"/>
        <v>VCCT4</v>
      </c>
    </row>
    <row r="618" spans="1:10">
      <c r="A618" s="79" t="s">
        <v>715</v>
      </c>
      <c r="B618" s="84" t="s">
        <v>716</v>
      </c>
      <c r="C618" s="79" t="s">
        <v>2597</v>
      </c>
      <c r="D618" s="80" t="s">
        <v>2598</v>
      </c>
      <c r="E618" s="2238" t="str">
        <f t="shared" si="54"/>
        <v>VC</v>
      </c>
      <c r="F618" s="55">
        <v>2000</v>
      </c>
      <c r="J618" s="55" t="str">
        <f t="shared" si="53"/>
        <v>VCCT5</v>
      </c>
    </row>
    <row r="619" spans="1:10">
      <c r="A619" s="79" t="s">
        <v>717</v>
      </c>
      <c r="B619" s="84" t="s">
        <v>718</v>
      </c>
      <c r="C619" s="79" t="s">
        <v>3134</v>
      </c>
      <c r="D619" s="80" t="s">
        <v>2598</v>
      </c>
      <c r="E619" s="2238" t="str">
        <f t="shared" si="54"/>
        <v>VC</v>
      </c>
      <c r="F619" s="55">
        <v>2000</v>
      </c>
      <c r="J619" s="55" t="str">
        <f t="shared" si="53"/>
        <v>VCCT6</v>
      </c>
    </row>
    <row r="620" spans="1:10">
      <c r="A620" s="79" t="s">
        <v>1560</v>
      </c>
      <c r="B620" s="84" t="s">
        <v>1021</v>
      </c>
      <c r="C620" s="79" t="s">
        <v>3135</v>
      </c>
      <c r="D620" s="80" t="s">
        <v>2598</v>
      </c>
      <c r="E620" s="2238" t="str">
        <f t="shared" si="54"/>
        <v>VC</v>
      </c>
      <c r="F620" s="55">
        <v>2000</v>
      </c>
      <c r="J620" s="55" t="str">
        <f t="shared" si="53"/>
        <v>VCCT7</v>
      </c>
    </row>
    <row r="621" spans="1:10">
      <c r="A621" s="79" t="s">
        <v>1820</v>
      </c>
      <c r="B621" s="84" t="s">
        <v>1821</v>
      </c>
      <c r="C621" s="79" t="s">
        <v>3136</v>
      </c>
      <c r="D621" s="80" t="s">
        <v>2598</v>
      </c>
      <c r="E621" s="2238" t="str">
        <f t="shared" si="54"/>
        <v>VC</v>
      </c>
      <c r="F621" s="55">
        <v>2000</v>
      </c>
      <c r="J621" s="55" t="str">
        <f t="shared" si="53"/>
        <v>VCCT8</v>
      </c>
    </row>
    <row r="622" spans="1:10">
      <c r="A622" s="79" t="s">
        <v>495</v>
      </c>
      <c r="B622" s="84" t="s">
        <v>496</v>
      </c>
      <c r="C622" s="79" t="s">
        <v>2588</v>
      </c>
      <c r="D622" s="80" t="s">
        <v>2448</v>
      </c>
      <c r="E622" s="2238" t="str">
        <f t="shared" si="54"/>
        <v>VC</v>
      </c>
      <c r="F622" s="55">
        <v>2000</v>
      </c>
      <c r="J622" s="55" t="str">
        <f t="shared" si="53"/>
        <v>VCXM1</v>
      </c>
    </row>
    <row r="623" spans="1:10">
      <c r="A623" s="79" t="s">
        <v>1286</v>
      </c>
      <c r="B623" s="84" t="s">
        <v>1287</v>
      </c>
      <c r="C623" s="79" t="s">
        <v>3137</v>
      </c>
      <c r="D623" s="80" t="s">
        <v>2448</v>
      </c>
      <c r="E623" s="2238" t="str">
        <f t="shared" si="54"/>
        <v>VC</v>
      </c>
      <c r="F623" s="55">
        <v>2000</v>
      </c>
      <c r="J623" s="55" t="str">
        <f t="shared" si="53"/>
        <v>VCXM2</v>
      </c>
    </row>
    <row r="624" spans="1:10">
      <c r="A624" s="79" t="s">
        <v>1288</v>
      </c>
      <c r="B624" s="84" t="s">
        <v>1289</v>
      </c>
      <c r="C624" s="79" t="s">
        <v>3138</v>
      </c>
      <c r="D624" s="80" t="s">
        <v>2448</v>
      </c>
      <c r="E624" s="2238" t="str">
        <f t="shared" si="54"/>
        <v>VC</v>
      </c>
      <c r="F624" s="55">
        <v>2000</v>
      </c>
      <c r="J624" s="55" t="str">
        <f t="shared" si="53"/>
        <v>VCXM3</v>
      </c>
    </row>
    <row r="625" spans="1:10">
      <c r="A625" s="79" t="s">
        <v>1290</v>
      </c>
      <c r="B625" s="84" t="s">
        <v>1291</v>
      </c>
      <c r="C625" s="79" t="s">
        <v>3139</v>
      </c>
      <c r="D625" s="80" t="s">
        <v>2448</v>
      </c>
      <c r="E625" s="2238" t="str">
        <f t="shared" si="54"/>
        <v>VC</v>
      </c>
      <c r="F625" s="55">
        <v>2000</v>
      </c>
      <c r="J625" s="55" t="str">
        <f t="shared" si="53"/>
        <v>VCXM4</v>
      </c>
    </row>
    <row r="626" spans="1:10">
      <c r="A626" s="79" t="s">
        <v>521</v>
      </c>
      <c r="B626" s="84" t="s">
        <v>808</v>
      </c>
      <c r="C626" s="79" t="s">
        <v>2590</v>
      </c>
      <c r="D626" s="80" t="s">
        <v>856</v>
      </c>
      <c r="E626" s="2238" t="str">
        <f t="shared" si="54"/>
        <v>VC</v>
      </c>
      <c r="F626" s="55">
        <v>2000</v>
      </c>
      <c r="J626" s="55" t="str">
        <f t="shared" si="53"/>
        <v>VCLD1</v>
      </c>
    </row>
    <row r="627" spans="1:10">
      <c r="A627" s="79" t="s">
        <v>1970</v>
      </c>
      <c r="B627" s="84" t="s">
        <v>1971</v>
      </c>
      <c r="C627" s="79" t="s">
        <v>3140</v>
      </c>
      <c r="D627" s="80" t="s">
        <v>856</v>
      </c>
      <c r="E627" s="2238" t="str">
        <f t="shared" si="54"/>
        <v>VC</v>
      </c>
      <c r="F627" s="55">
        <v>2000</v>
      </c>
      <c r="J627" s="55" t="str">
        <f t="shared" si="53"/>
        <v>VCLD2</v>
      </c>
    </row>
    <row r="628" spans="1:10">
      <c r="A628" s="79" t="s">
        <v>1972</v>
      </c>
      <c r="B628" s="84" t="s">
        <v>1973</v>
      </c>
      <c r="C628" s="79" t="s">
        <v>3141</v>
      </c>
      <c r="D628" s="80" t="s">
        <v>856</v>
      </c>
      <c r="E628" s="2238" t="str">
        <f t="shared" si="54"/>
        <v>VC</v>
      </c>
      <c r="F628" s="55">
        <v>2000</v>
      </c>
      <c r="J628" s="55" t="str">
        <f t="shared" si="53"/>
        <v>VCLD3</v>
      </c>
    </row>
    <row r="629" spans="1:10">
      <c r="A629" s="79" t="s">
        <v>1974</v>
      </c>
      <c r="B629" s="84" t="s">
        <v>1975</v>
      </c>
      <c r="C629" s="79" t="s">
        <v>3142</v>
      </c>
      <c r="D629" s="80" t="s">
        <v>856</v>
      </c>
      <c r="E629" s="2238" t="str">
        <f t="shared" si="54"/>
        <v>VC</v>
      </c>
      <c r="F629" s="55">
        <v>2000</v>
      </c>
      <c r="J629" s="55" t="str">
        <f t="shared" si="53"/>
        <v>VCLD4</v>
      </c>
    </row>
    <row r="630" spans="1:10">
      <c r="A630" s="79" t="s">
        <v>43</v>
      </c>
      <c r="B630" s="84" t="s">
        <v>44</v>
      </c>
      <c r="C630" s="79" t="s">
        <v>3143</v>
      </c>
      <c r="D630" s="80" t="s">
        <v>856</v>
      </c>
      <c r="E630" s="2238" t="str">
        <f t="shared" si="54"/>
        <v>VC</v>
      </c>
      <c r="F630" s="55">
        <v>2000</v>
      </c>
      <c r="J630" s="55" t="str">
        <f t="shared" si="53"/>
        <v>VCDAT1</v>
      </c>
    </row>
    <row r="631" spans="1:10">
      <c r="A631" s="79" t="s">
        <v>1986</v>
      </c>
      <c r="B631" s="84" t="s">
        <v>1987</v>
      </c>
      <c r="C631" s="79" t="s">
        <v>3144</v>
      </c>
      <c r="D631" s="80" t="s">
        <v>856</v>
      </c>
      <c r="E631" s="2238" t="str">
        <f t="shared" si="54"/>
        <v>VC</v>
      </c>
      <c r="F631" s="55">
        <v>2000</v>
      </c>
      <c r="J631" s="55" t="str">
        <f t="shared" si="53"/>
        <v>VCDAT2</v>
      </c>
    </row>
    <row r="632" spans="1:10">
      <c r="A632" s="79" t="s">
        <v>1399</v>
      </c>
      <c r="B632" s="84" t="s">
        <v>1400</v>
      </c>
      <c r="C632" s="79" t="s">
        <v>3145</v>
      </c>
      <c r="D632" s="80" t="s">
        <v>856</v>
      </c>
      <c r="E632" s="2238" t="str">
        <f t="shared" si="54"/>
        <v>VC</v>
      </c>
      <c r="F632" s="55">
        <v>2000</v>
      </c>
      <c r="J632" s="55" t="str">
        <f t="shared" si="53"/>
        <v>VCDAT3</v>
      </c>
    </row>
    <row r="633" spans="1:10">
      <c r="A633" s="79" t="s">
        <v>1774</v>
      </c>
      <c r="B633" s="84" t="s">
        <v>2007</v>
      </c>
      <c r="C633" s="79" t="s">
        <v>3146</v>
      </c>
      <c r="D633" s="80" t="s">
        <v>856</v>
      </c>
      <c r="E633" s="2238" t="str">
        <f t="shared" si="54"/>
        <v>VC</v>
      </c>
      <c r="F633" s="55">
        <v>2000</v>
      </c>
      <c r="J633" s="55" t="str">
        <f t="shared" si="53"/>
        <v>VCDAT4</v>
      </c>
    </row>
    <row r="634" spans="1:10">
      <c r="A634" s="79" t="s">
        <v>2008</v>
      </c>
      <c r="B634" s="84" t="s">
        <v>2009</v>
      </c>
      <c r="C634" s="79" t="s">
        <v>3147</v>
      </c>
      <c r="D634" s="80" t="s">
        <v>856</v>
      </c>
      <c r="E634" s="2238" t="str">
        <f t="shared" si="54"/>
        <v>VC</v>
      </c>
      <c r="F634" s="55">
        <v>2000</v>
      </c>
      <c r="J634" s="55" t="str">
        <f t="shared" si="53"/>
        <v>VCCAT1D</v>
      </c>
    </row>
    <row r="635" spans="1:10">
      <c r="A635" s="79" t="s">
        <v>45</v>
      </c>
      <c r="B635" s="84" t="s">
        <v>46</v>
      </c>
      <c r="C635" s="79" t="s">
        <v>3148</v>
      </c>
      <c r="D635" s="80" t="s">
        <v>856</v>
      </c>
      <c r="E635" s="2238" t="str">
        <f t="shared" si="54"/>
        <v>VC</v>
      </c>
      <c r="F635" s="55">
        <v>2000</v>
      </c>
      <c r="J635" s="55" t="str">
        <f t="shared" si="53"/>
        <v>VCCAT2d</v>
      </c>
    </row>
    <row r="636" spans="1:10">
      <c r="A636" s="79" t="s">
        <v>1707</v>
      </c>
      <c r="B636" s="84" t="s">
        <v>1708</v>
      </c>
      <c r="C636" s="79" t="s">
        <v>3149</v>
      </c>
      <c r="D636" s="80" t="s">
        <v>856</v>
      </c>
      <c r="E636" s="2238" t="str">
        <f t="shared" si="54"/>
        <v>VC</v>
      </c>
      <c r="F636" s="55">
        <v>2000</v>
      </c>
      <c r="J636" s="55" t="str">
        <f t="shared" si="53"/>
        <v>VCCAT3d</v>
      </c>
    </row>
    <row r="637" spans="1:10">
      <c r="A637" s="79" t="s">
        <v>1709</v>
      </c>
      <c r="B637" s="84" t="s">
        <v>1710</v>
      </c>
      <c r="C637" s="79" t="s">
        <v>3150</v>
      </c>
      <c r="D637" s="80" t="s">
        <v>856</v>
      </c>
      <c r="E637" s="2238" t="str">
        <f t="shared" si="54"/>
        <v>VC</v>
      </c>
      <c r="F637" s="55">
        <v>2000</v>
      </c>
      <c r="J637" s="55" t="str">
        <f t="shared" si="53"/>
        <v>VCCAT4d</v>
      </c>
    </row>
    <row r="638" spans="1:10">
      <c r="A638" s="79" t="s">
        <v>1614</v>
      </c>
      <c r="B638" s="84" t="s">
        <v>1117</v>
      </c>
      <c r="C638" s="79" t="s">
        <v>2589</v>
      </c>
      <c r="D638" s="80" t="s">
        <v>856</v>
      </c>
      <c r="E638" s="2238" t="str">
        <f t="shared" si="54"/>
        <v>VC</v>
      </c>
      <c r="F638" s="55">
        <v>2000</v>
      </c>
      <c r="J638" s="55" t="str">
        <f t="shared" si="53"/>
        <v>VCCAT1</v>
      </c>
    </row>
    <row r="639" spans="1:10">
      <c r="A639" s="79" t="s">
        <v>800</v>
      </c>
      <c r="B639" s="84" t="s">
        <v>1795</v>
      </c>
      <c r="C639" s="79" t="s">
        <v>3151</v>
      </c>
      <c r="D639" s="80" t="s">
        <v>856</v>
      </c>
      <c r="E639" s="2238" t="str">
        <f t="shared" si="54"/>
        <v>VC</v>
      </c>
      <c r="F639" s="55">
        <v>2000</v>
      </c>
      <c r="J639" s="55" t="str">
        <f t="shared" si="53"/>
        <v>VCCAT2</v>
      </c>
    </row>
    <row r="640" spans="1:10">
      <c r="A640" s="79" t="s">
        <v>1235</v>
      </c>
      <c r="B640" s="84" t="s">
        <v>1236</v>
      </c>
      <c r="C640" s="79" t="s">
        <v>3152</v>
      </c>
      <c r="D640" s="80" t="s">
        <v>856</v>
      </c>
      <c r="E640" s="2238" t="str">
        <f t="shared" si="54"/>
        <v>VC</v>
      </c>
      <c r="F640" s="55">
        <v>2000</v>
      </c>
      <c r="J640" s="55" t="str">
        <f t="shared" si="53"/>
        <v>VCCAT3</v>
      </c>
    </row>
    <row r="641" spans="1:10">
      <c r="A641" s="79" t="s">
        <v>1237</v>
      </c>
      <c r="B641" s="84" t="s">
        <v>1207</v>
      </c>
      <c r="C641" s="79" t="s">
        <v>3153</v>
      </c>
      <c r="D641" s="80" t="s">
        <v>856</v>
      </c>
      <c r="E641" s="2238" t="str">
        <f t="shared" si="54"/>
        <v>VC</v>
      </c>
      <c r="F641" s="55">
        <v>2000</v>
      </c>
      <c r="J641" s="55" t="str">
        <f t="shared" si="53"/>
        <v>VCCAT4</v>
      </c>
    </row>
    <row r="642" spans="1:10">
      <c r="A642" s="79" t="s">
        <v>1208</v>
      </c>
      <c r="B642" s="84" t="s">
        <v>1209</v>
      </c>
      <c r="C642" s="79" t="s">
        <v>2587</v>
      </c>
      <c r="D642" s="80" t="s">
        <v>2448</v>
      </c>
      <c r="E642" s="2238" t="str">
        <f t="shared" si="54"/>
        <v>VC</v>
      </c>
      <c r="F642" s="55">
        <v>2000</v>
      </c>
      <c r="J642" s="55" t="str">
        <f t="shared" si="53"/>
        <v>VCFE1</v>
      </c>
    </row>
    <row r="643" spans="1:10">
      <c r="A643" s="79" t="s">
        <v>1540</v>
      </c>
      <c r="B643" s="84" t="s">
        <v>1541</v>
      </c>
      <c r="C643" s="79" t="s">
        <v>3154</v>
      </c>
      <c r="D643" s="80" t="s">
        <v>2448</v>
      </c>
      <c r="E643" s="2238" t="str">
        <f t="shared" si="54"/>
        <v>VC</v>
      </c>
      <c r="F643" s="55">
        <v>2000</v>
      </c>
      <c r="J643" s="55" t="str">
        <f t="shared" si="53"/>
        <v>VCFE2</v>
      </c>
    </row>
    <row r="644" spans="1:10">
      <c r="A644" s="79" t="s">
        <v>1546</v>
      </c>
      <c r="B644" s="84" t="s">
        <v>1547</v>
      </c>
      <c r="C644" s="79" t="s">
        <v>3155</v>
      </c>
      <c r="D644" s="80" t="s">
        <v>2448</v>
      </c>
      <c r="E644" s="2238" t="str">
        <f t="shared" si="54"/>
        <v>VC</v>
      </c>
      <c r="F644" s="55">
        <v>2000</v>
      </c>
      <c r="J644" s="55" t="str">
        <f t="shared" si="53"/>
        <v>VCFE3</v>
      </c>
    </row>
    <row r="645" spans="1:10">
      <c r="A645" s="79" t="s">
        <v>1548</v>
      </c>
      <c r="B645" s="84" t="s">
        <v>1549</v>
      </c>
      <c r="C645" s="79" t="s">
        <v>3156</v>
      </c>
      <c r="D645" s="80" t="s">
        <v>2448</v>
      </c>
      <c r="E645" s="2238" t="str">
        <f t="shared" si="54"/>
        <v>VC</v>
      </c>
      <c r="F645" s="55">
        <v>2000</v>
      </c>
      <c r="J645" s="55" t="str">
        <f t="shared" si="53"/>
        <v>VCFE4</v>
      </c>
    </row>
    <row r="646" spans="1:10">
      <c r="A646" s="79" t="s">
        <v>1579</v>
      </c>
      <c r="B646" s="84" t="s">
        <v>1981</v>
      </c>
      <c r="C646" s="79" t="s">
        <v>3157</v>
      </c>
      <c r="D646" s="80" t="s">
        <v>2448</v>
      </c>
      <c r="E646" s="2238" t="str">
        <f t="shared" si="54"/>
        <v>BO</v>
      </c>
      <c r="F646" s="55">
        <v>2000</v>
      </c>
      <c r="J646" s="55" t="str">
        <f t="shared" si="53"/>
        <v>BOCDC</v>
      </c>
    </row>
    <row r="647" spans="1:10">
      <c r="A647" s="79" t="s">
        <v>763</v>
      </c>
      <c r="B647" s="84" t="s">
        <v>764</v>
      </c>
      <c r="C647" s="79" t="s">
        <v>3158</v>
      </c>
      <c r="D647" s="80" t="s">
        <v>2448</v>
      </c>
      <c r="E647" s="2238" t="str">
        <f t="shared" si="54"/>
        <v>BO</v>
      </c>
      <c r="F647" s="55">
        <v>2000</v>
      </c>
      <c r="J647" s="55" t="str">
        <f t="shared" si="53"/>
        <v>BOCNX</v>
      </c>
    </row>
    <row r="648" spans="1:10">
      <c r="A648" s="79" t="s">
        <v>1477</v>
      </c>
      <c r="B648" s="84" t="s">
        <v>1478</v>
      </c>
      <c r="C648" s="79" t="s">
        <v>3159</v>
      </c>
      <c r="D648" s="80" t="s">
        <v>2448</v>
      </c>
      <c r="E648" s="2238" t="str">
        <f t="shared" si="54"/>
        <v>BO</v>
      </c>
      <c r="F648" s="55">
        <v>2000</v>
      </c>
      <c r="J648" s="55" t="str">
        <f t="shared" si="53"/>
        <v>BOCTR</v>
      </c>
    </row>
    <row r="649" spans="1:10">
      <c r="A649" s="79" t="s">
        <v>217</v>
      </c>
      <c r="B649" s="84" t="s">
        <v>218</v>
      </c>
      <c r="C649" s="79" t="s">
        <v>2447</v>
      </c>
      <c r="D649" s="80" t="s">
        <v>2448</v>
      </c>
      <c r="E649" s="2238" t="str">
        <f t="shared" si="54"/>
        <v>BO</v>
      </c>
      <c r="F649" s="55">
        <v>2000</v>
      </c>
      <c r="J649" s="55" t="str">
        <f t="shared" si="53"/>
        <v>BOCX</v>
      </c>
    </row>
    <row r="650" spans="1:10">
      <c r="A650" s="79" t="s">
        <v>1479</v>
      </c>
      <c r="B650" s="84" t="s">
        <v>1227</v>
      </c>
      <c r="C650" s="79" t="s">
        <v>3160</v>
      </c>
      <c r="D650" s="80" t="s">
        <v>2448</v>
      </c>
      <c r="E650" s="2238" t="str">
        <f t="shared" si="54"/>
        <v>BO</v>
      </c>
      <c r="F650" s="55">
        <v>2000</v>
      </c>
      <c r="J650" s="55" t="str">
        <f t="shared" si="53"/>
        <v>BOCD</v>
      </c>
    </row>
    <row r="651" spans="1:10">
      <c r="A651" s="79" t="s">
        <v>2135</v>
      </c>
      <c r="B651" s="84" t="s">
        <v>1057</v>
      </c>
      <c r="C651" s="79" t="s">
        <v>3161</v>
      </c>
      <c r="D651" s="80" t="s">
        <v>2448</v>
      </c>
      <c r="E651" s="2238" t="str">
        <f t="shared" si="54"/>
        <v>BO</v>
      </c>
      <c r="F651" s="55">
        <v>2000</v>
      </c>
      <c r="J651" s="55" t="str">
        <f t="shared" si="53"/>
        <v>BOCPK</v>
      </c>
    </row>
    <row r="652" spans="1:10">
      <c r="A652" s="79" t="s">
        <v>813</v>
      </c>
      <c r="B652" s="84" t="s">
        <v>814</v>
      </c>
      <c r="C652" s="79" t="s">
        <v>3162</v>
      </c>
      <c r="D652" s="80" t="s">
        <v>2448</v>
      </c>
      <c r="E652" s="2238" t="str">
        <f t="shared" si="54"/>
        <v>BO</v>
      </c>
      <c r="F652" s="55">
        <v>2000</v>
      </c>
      <c r="J652" s="55" t="str">
        <f t="shared" si="53"/>
        <v>BOCS</v>
      </c>
    </row>
    <row r="653" spans="1:10">
      <c r="A653" s="79" t="s">
        <v>815</v>
      </c>
      <c r="B653" s="84" t="s">
        <v>317</v>
      </c>
      <c r="C653" s="79" t="s">
        <v>3163</v>
      </c>
      <c r="D653" s="80" t="s">
        <v>2448</v>
      </c>
      <c r="E653" s="2238" t="str">
        <f t="shared" si="54"/>
        <v>BO</v>
      </c>
      <c r="F653" s="55">
        <v>2000</v>
      </c>
      <c r="J653" s="55" t="str">
        <f t="shared" ref="J653:J716" si="55">A653</f>
        <v>BOCTH</v>
      </c>
    </row>
    <row r="654" spans="1:10">
      <c r="A654" s="79" t="s">
        <v>1296</v>
      </c>
      <c r="B654" s="84" t="s">
        <v>1297</v>
      </c>
      <c r="C654" s="79" t="s">
        <v>3164</v>
      </c>
      <c r="D654" s="80" t="s">
        <v>2448</v>
      </c>
      <c r="E654" s="2238" t="str">
        <f t="shared" si="54"/>
        <v>BO</v>
      </c>
      <c r="F654" s="55">
        <v>2000</v>
      </c>
      <c r="J654" s="55" t="str">
        <f t="shared" si="55"/>
        <v>BOCXI</v>
      </c>
    </row>
    <row r="655" spans="1:10">
      <c r="A655" s="79" t="s">
        <v>133</v>
      </c>
      <c r="B655" s="84" t="s">
        <v>134</v>
      </c>
      <c r="C655" s="79" t="s">
        <v>3165</v>
      </c>
      <c r="D655" s="80" t="s">
        <v>856</v>
      </c>
      <c r="E655" s="2238" t="str">
        <f t="shared" si="54"/>
        <v>BO</v>
      </c>
      <c r="F655" s="55">
        <v>2000</v>
      </c>
      <c r="J655" s="55" t="str">
        <f t="shared" si="55"/>
        <v>BOCCAT</v>
      </c>
    </row>
    <row r="656" spans="1:10">
      <c r="A656" s="79" t="s">
        <v>135</v>
      </c>
      <c r="B656" s="84" t="s">
        <v>723</v>
      </c>
      <c r="C656" s="79" t="s">
        <v>3166</v>
      </c>
      <c r="D656" s="80" t="s">
        <v>856</v>
      </c>
      <c r="E656" s="2238" t="str">
        <f t="shared" si="54"/>
        <v>BO</v>
      </c>
      <c r="F656" s="55">
        <v>2000</v>
      </c>
      <c r="J656" s="55" t="str">
        <f t="shared" si="55"/>
        <v>BOCDA</v>
      </c>
    </row>
    <row r="657" spans="1:10">
      <c r="A657" s="79" t="s">
        <v>2111</v>
      </c>
      <c r="B657" s="84" t="s">
        <v>1097</v>
      </c>
      <c r="C657" s="79" t="s">
        <v>3167</v>
      </c>
      <c r="D657" s="80" t="s">
        <v>856</v>
      </c>
      <c r="E657" s="2238" t="str">
        <f t="shared" si="54"/>
        <v>BO</v>
      </c>
      <c r="F657" s="55">
        <v>2000</v>
      </c>
      <c r="J657" s="55" t="str">
        <f t="shared" si="55"/>
        <v>BOBT</v>
      </c>
    </row>
    <row r="658" spans="1:10">
      <c r="A658" s="79" t="s">
        <v>1580</v>
      </c>
      <c r="B658" s="84" t="s">
        <v>724</v>
      </c>
      <c r="C658" s="79" t="s">
        <v>3168</v>
      </c>
      <c r="D658" s="80" t="s">
        <v>2598</v>
      </c>
      <c r="E658" s="2238" t="str">
        <f t="shared" si="54"/>
        <v>BO</v>
      </c>
      <c r="F658" s="55">
        <v>2000</v>
      </c>
      <c r="J658" s="55" t="str">
        <f t="shared" si="55"/>
        <v>BOCCT5</v>
      </c>
    </row>
    <row r="659" spans="1:10">
      <c r="A659" s="79" t="s">
        <v>1520</v>
      </c>
      <c r="B659" s="84" t="s">
        <v>266</v>
      </c>
      <c r="C659" s="79" t="s">
        <v>3169</v>
      </c>
      <c r="D659" s="80" t="s">
        <v>2538</v>
      </c>
      <c r="E659" s="2238" t="str">
        <f t="shared" si="54"/>
        <v>KT</v>
      </c>
      <c r="F659" s="55">
        <v>2000</v>
      </c>
      <c r="J659" s="55" t="str">
        <f t="shared" si="55"/>
        <v>KTD</v>
      </c>
    </row>
    <row r="660" spans="1:10">
      <c r="A660" s="79" t="s">
        <v>389</v>
      </c>
      <c r="B660" s="84" t="s">
        <v>1497</v>
      </c>
      <c r="C660" s="79" t="s">
        <v>3170</v>
      </c>
      <c r="D660" s="80" t="s">
        <v>2538</v>
      </c>
      <c r="E660" s="2238" t="str">
        <f t="shared" si="54"/>
        <v>KT</v>
      </c>
      <c r="F660" s="55">
        <v>2000</v>
      </c>
      <c r="J660" s="55" t="str">
        <f t="shared" si="55"/>
        <v>KTDTBA</v>
      </c>
    </row>
    <row r="661" spans="1:10">
      <c r="A661" s="79" t="s">
        <v>1104</v>
      </c>
      <c r="B661" s="1782" t="s">
        <v>1767</v>
      </c>
      <c r="C661" s="79" t="s">
        <v>4357</v>
      </c>
      <c r="D661" s="80" t="s">
        <v>2284</v>
      </c>
      <c r="E661" s="2238" t="str">
        <f t="shared" si="54"/>
        <v>DC</v>
      </c>
      <c r="F661" s="55">
        <v>2000</v>
      </c>
      <c r="J661" s="55" t="str">
        <f t="shared" si="55"/>
        <v>DCTD3</v>
      </c>
    </row>
    <row r="662" spans="1:10">
      <c r="A662" s="79" t="s">
        <v>61</v>
      </c>
      <c r="B662" s="84" t="s">
        <v>1498</v>
      </c>
      <c r="C662" s="79" t="s">
        <v>3171</v>
      </c>
      <c r="D662" s="80" t="s">
        <v>2284</v>
      </c>
      <c r="E662" s="2238" t="str">
        <f t="shared" si="54"/>
        <v>DC</v>
      </c>
      <c r="F662" s="55">
        <v>2000</v>
      </c>
      <c r="J662" s="55" t="str">
        <f t="shared" si="55"/>
        <v>DCTD4</v>
      </c>
    </row>
    <row r="663" spans="1:10">
      <c r="A663" s="79" t="s">
        <v>1441</v>
      </c>
      <c r="B663" s="84" t="s">
        <v>1713</v>
      </c>
      <c r="C663" s="79" t="s">
        <v>3172</v>
      </c>
      <c r="D663" s="80" t="s">
        <v>2284</v>
      </c>
      <c r="E663" s="2238" t="str">
        <f t="shared" si="54"/>
        <v>DC</v>
      </c>
      <c r="F663" s="55">
        <v>2000</v>
      </c>
      <c r="J663" s="55" t="str">
        <f t="shared" si="55"/>
        <v>DCTDTBA</v>
      </c>
    </row>
    <row r="664" spans="1:10">
      <c r="A664" s="79" t="s">
        <v>1499</v>
      </c>
      <c r="B664" s="84" t="s">
        <v>1500</v>
      </c>
      <c r="C664" s="79" t="s">
        <v>3173</v>
      </c>
      <c r="D664" s="80" t="s">
        <v>2839</v>
      </c>
      <c r="E664" s="2238" t="str">
        <f t="shared" si="54"/>
        <v>C8</v>
      </c>
      <c r="F664" s="55">
        <v>2000</v>
      </c>
      <c r="J664" s="55" t="str">
        <f t="shared" si="55"/>
        <v>C8</v>
      </c>
    </row>
    <row r="665" spans="1:10">
      <c r="A665" s="79" t="s">
        <v>1819</v>
      </c>
      <c r="B665" s="84" t="s">
        <v>392</v>
      </c>
      <c r="C665" s="79" t="s">
        <v>3174</v>
      </c>
      <c r="D665" s="80" t="s">
        <v>2839</v>
      </c>
      <c r="E665" s="2238" t="str">
        <f t="shared" si="54"/>
        <v>C1</v>
      </c>
      <c r="F665" s="55">
        <v>2000</v>
      </c>
      <c r="J665" s="55" t="str">
        <f t="shared" si="55"/>
        <v>C10</v>
      </c>
    </row>
    <row r="666" spans="1:10">
      <c r="A666" s="79" t="s">
        <v>456</v>
      </c>
      <c r="B666" s="84" t="s">
        <v>136</v>
      </c>
      <c r="C666" s="79" t="s">
        <v>3175</v>
      </c>
      <c r="D666" s="80" t="s">
        <v>2839</v>
      </c>
      <c r="E666" s="2238" t="str">
        <f t="shared" si="54"/>
        <v>C1</v>
      </c>
      <c r="F666" s="55">
        <v>2000</v>
      </c>
      <c r="J666" s="55" t="str">
        <f t="shared" si="55"/>
        <v>C105</v>
      </c>
    </row>
    <row r="667" spans="1:10">
      <c r="A667" s="79" t="s">
        <v>1617</v>
      </c>
      <c r="B667" s="84" t="s">
        <v>136</v>
      </c>
      <c r="C667" s="79" t="s">
        <v>3176</v>
      </c>
      <c r="D667" s="80" t="s">
        <v>2839</v>
      </c>
      <c r="E667" s="2238" t="str">
        <f t="shared" si="54"/>
        <v>C1</v>
      </c>
      <c r="F667" s="55">
        <v>2000</v>
      </c>
      <c r="J667" s="55" t="str">
        <f t="shared" si="55"/>
        <v>C12</v>
      </c>
    </row>
    <row r="668" spans="1:10">
      <c r="A668" s="1768" t="s">
        <v>1015</v>
      </c>
      <c r="B668" s="84" t="s">
        <v>684</v>
      </c>
      <c r="C668" s="79" t="s">
        <v>3177</v>
      </c>
      <c r="D668" s="80" t="s">
        <v>2839</v>
      </c>
      <c r="E668" s="2238" t="str">
        <f t="shared" si="54"/>
        <v>C1</v>
      </c>
      <c r="F668" s="55">
        <v>2000</v>
      </c>
      <c r="J668" s="55" t="str">
        <f t="shared" si="55"/>
        <v>C14</v>
      </c>
    </row>
    <row r="669" spans="1:10">
      <c r="A669" s="79" t="s">
        <v>2256</v>
      </c>
      <c r="B669" s="84" t="s">
        <v>2257</v>
      </c>
      <c r="C669" s="79" t="s">
        <v>3178</v>
      </c>
      <c r="D669" s="80" t="s">
        <v>2839</v>
      </c>
      <c r="E669" s="2238" t="str">
        <f t="shared" si="54"/>
        <v>C2</v>
      </c>
      <c r="F669" s="55">
        <v>2000</v>
      </c>
      <c r="J669" s="55" t="str">
        <f t="shared" si="55"/>
        <v>C20</v>
      </c>
    </row>
    <row r="670" spans="1:10">
      <c r="A670" s="79" t="s">
        <v>1602</v>
      </c>
      <c r="B670" s="1782" t="s">
        <v>2102</v>
      </c>
      <c r="C670" s="79" t="s">
        <v>3179</v>
      </c>
      <c r="D670" s="80" t="s">
        <v>2839</v>
      </c>
      <c r="E670" s="2238" t="str">
        <f t="shared" si="54"/>
        <v>C8</v>
      </c>
      <c r="F670" s="55">
        <v>2000</v>
      </c>
      <c r="J670" s="55" t="str">
        <f t="shared" si="55"/>
        <v>C8m</v>
      </c>
    </row>
    <row r="671" spans="1:10">
      <c r="A671" s="79" t="s">
        <v>2258</v>
      </c>
      <c r="B671" s="1782" t="s">
        <v>1768</v>
      </c>
      <c r="C671" s="79" t="s">
        <v>3180</v>
      </c>
      <c r="D671" s="80" t="s">
        <v>2839</v>
      </c>
      <c r="E671" s="2238" t="str">
        <f t="shared" si="54"/>
        <v>C1</v>
      </c>
      <c r="F671" s="55">
        <v>2000</v>
      </c>
      <c r="J671" s="55" t="str">
        <f t="shared" si="55"/>
        <v>C10m</v>
      </c>
    </row>
    <row r="672" spans="1:10">
      <c r="A672" s="79" t="s">
        <v>1615</v>
      </c>
      <c r="B672" s="1782" t="s">
        <v>1769</v>
      </c>
      <c r="C672" s="79" t="s">
        <v>3181</v>
      </c>
      <c r="D672" s="80" t="s">
        <v>2839</v>
      </c>
      <c r="E672" s="2238" t="str">
        <f t="shared" si="54"/>
        <v>C1</v>
      </c>
      <c r="F672" s="55">
        <v>2000</v>
      </c>
      <c r="J672" s="55" t="str">
        <f t="shared" si="55"/>
        <v>C105m</v>
      </c>
    </row>
    <row r="673" spans="1:10">
      <c r="A673" s="79" t="s">
        <v>2175</v>
      </c>
      <c r="B673" s="84" t="s">
        <v>1769</v>
      </c>
      <c r="C673" s="79" t="s">
        <v>3182</v>
      </c>
      <c r="D673" s="80" t="s">
        <v>2839</v>
      </c>
      <c r="E673" s="2238" t="str">
        <f t="shared" si="54"/>
        <v>C1</v>
      </c>
      <c r="F673" s="55">
        <v>2000</v>
      </c>
      <c r="J673" s="55" t="str">
        <f t="shared" si="55"/>
        <v>C12m</v>
      </c>
    </row>
    <row r="674" spans="1:10">
      <c r="A674" s="1768" t="s">
        <v>1663</v>
      </c>
      <c r="B674" s="84" t="s">
        <v>1664</v>
      </c>
      <c r="C674" s="79" t="s">
        <v>3183</v>
      </c>
      <c r="D674" s="80" t="s">
        <v>2839</v>
      </c>
      <c r="E674" s="2238" t="str">
        <f t="shared" si="54"/>
        <v>C1</v>
      </c>
      <c r="F674" s="55">
        <v>2000</v>
      </c>
      <c r="J674" s="55" t="str">
        <f t="shared" si="55"/>
        <v>C14m</v>
      </c>
    </row>
    <row r="675" spans="1:10">
      <c r="A675" s="79" t="s">
        <v>1665</v>
      </c>
      <c r="B675" s="84" t="s">
        <v>1666</v>
      </c>
      <c r="C675" s="79" t="s">
        <v>3184</v>
      </c>
      <c r="D675" s="80" t="s">
        <v>2839</v>
      </c>
      <c r="E675" s="2238" t="str">
        <f t="shared" ref="E675:E738" si="56">LEFT(A675,2)</f>
        <v>C2</v>
      </c>
      <c r="F675" s="55">
        <v>2000</v>
      </c>
      <c r="J675" s="55" t="str">
        <f t="shared" si="55"/>
        <v>C20m</v>
      </c>
    </row>
    <row r="676" spans="1:10">
      <c r="A676" s="79" t="s">
        <v>2132</v>
      </c>
      <c r="B676" s="84" t="s">
        <v>2133</v>
      </c>
      <c r="C676" s="79" t="s">
        <v>3185</v>
      </c>
      <c r="D676" s="80" t="s">
        <v>2839</v>
      </c>
      <c r="E676" s="2238" t="str">
        <f t="shared" si="56"/>
        <v>C1</v>
      </c>
      <c r="F676" s="55">
        <v>2000</v>
      </c>
      <c r="J676" s="55" t="str">
        <f t="shared" si="55"/>
        <v>C12m-TBA</v>
      </c>
    </row>
    <row r="677" spans="1:10">
      <c r="A677" s="79" t="s">
        <v>644</v>
      </c>
      <c r="B677" s="84" t="s">
        <v>2133</v>
      </c>
      <c r="C677" s="79" t="s">
        <v>3186</v>
      </c>
      <c r="D677" s="80" t="s">
        <v>2839</v>
      </c>
      <c r="E677" s="2238" t="str">
        <f t="shared" si="56"/>
        <v>C1</v>
      </c>
      <c r="F677" s="55">
        <v>2000</v>
      </c>
      <c r="J677" s="55" t="str">
        <f t="shared" si="55"/>
        <v>C10m-TBA</v>
      </c>
    </row>
    <row r="678" spans="1:10">
      <c r="A678" s="79" t="s">
        <v>1999</v>
      </c>
      <c r="B678" s="84" t="s">
        <v>4481</v>
      </c>
      <c r="C678" s="81" t="s">
        <v>3187</v>
      </c>
      <c r="D678" s="80" t="s">
        <v>2445</v>
      </c>
      <c r="E678" s="2238" t="str">
        <f t="shared" si="56"/>
        <v>LX</v>
      </c>
      <c r="F678" s="55">
        <v>2000</v>
      </c>
      <c r="J678" s="55" t="str">
        <f t="shared" si="55"/>
        <v>LXIT</v>
      </c>
    </row>
    <row r="679" spans="1:10">
      <c r="A679" s="79" t="s">
        <v>516</v>
      </c>
      <c r="B679" s="84" t="s">
        <v>1550</v>
      </c>
      <c r="C679" s="81" t="s">
        <v>3188</v>
      </c>
      <c r="D679" s="80" t="s">
        <v>2445</v>
      </c>
      <c r="E679" s="2238" t="str">
        <f t="shared" si="56"/>
        <v>LX</v>
      </c>
      <c r="F679" s="55">
        <v>2000</v>
      </c>
      <c r="J679" s="55" t="str">
        <f t="shared" si="55"/>
        <v>LXITL</v>
      </c>
    </row>
    <row r="680" spans="1:10">
      <c r="A680" s="79" t="s">
        <v>2011</v>
      </c>
      <c r="B680" s="84" t="s">
        <v>818</v>
      </c>
      <c r="C680" s="81" t="s">
        <v>3189</v>
      </c>
      <c r="D680" s="80" t="s">
        <v>2445</v>
      </c>
      <c r="E680" s="2238" t="str">
        <f t="shared" si="56"/>
        <v>LX</v>
      </c>
      <c r="F680" s="55">
        <v>2000</v>
      </c>
      <c r="J680" s="55" t="str">
        <f t="shared" si="55"/>
        <v>LXINN</v>
      </c>
    </row>
    <row r="681" spans="1:10">
      <c r="A681" s="79" t="s">
        <v>2002</v>
      </c>
      <c r="B681" s="84" t="s">
        <v>1551</v>
      </c>
      <c r="C681" s="81" t="s">
        <v>3190</v>
      </c>
      <c r="D681" s="80" t="s">
        <v>2445</v>
      </c>
      <c r="E681" s="2238" t="str">
        <f t="shared" si="56"/>
        <v>LX</v>
      </c>
      <c r="F681" s="55">
        <v>2000</v>
      </c>
      <c r="J681" s="55" t="str">
        <f t="shared" si="55"/>
        <v>LXIN</v>
      </c>
    </row>
    <row r="682" spans="1:10">
      <c r="A682" s="79" t="s">
        <v>517</v>
      </c>
      <c r="B682" s="84" t="s">
        <v>1876</v>
      </c>
      <c r="C682" s="81" t="s">
        <v>3191</v>
      </c>
      <c r="D682" s="80" t="s">
        <v>2445</v>
      </c>
      <c r="E682" s="2238" t="str">
        <f t="shared" si="56"/>
        <v>LX</v>
      </c>
      <c r="F682" s="55">
        <v>2000</v>
      </c>
      <c r="J682" s="55" t="str">
        <f t="shared" si="55"/>
        <v>LXINL</v>
      </c>
    </row>
    <row r="683" spans="1:10">
      <c r="A683" s="79" t="s">
        <v>1883</v>
      </c>
      <c r="B683" s="84" t="s">
        <v>1885</v>
      </c>
      <c r="C683" s="81" t="s">
        <v>3192</v>
      </c>
      <c r="D683" s="80" t="s">
        <v>2445</v>
      </c>
      <c r="E683" s="2238" t="str">
        <f t="shared" si="56"/>
        <v>LX</v>
      </c>
      <c r="F683" s="55">
        <v>2000</v>
      </c>
      <c r="J683" s="55" t="str">
        <f t="shared" si="55"/>
        <v>LXID</v>
      </c>
    </row>
    <row r="684" spans="1:10">
      <c r="A684" s="79" t="s">
        <v>1884</v>
      </c>
      <c r="B684" s="84" t="s">
        <v>1886</v>
      </c>
      <c r="C684" s="81" t="s">
        <v>3193</v>
      </c>
      <c r="D684" s="80" t="s">
        <v>2445</v>
      </c>
      <c r="E684" s="2238" t="str">
        <f t="shared" si="56"/>
        <v>LX</v>
      </c>
      <c r="F684" s="55">
        <v>2000</v>
      </c>
      <c r="J684" s="55" t="str">
        <f t="shared" si="55"/>
        <v>LXIDL</v>
      </c>
    </row>
    <row r="685" spans="1:10">
      <c r="A685" s="79" t="s">
        <v>2248</v>
      </c>
      <c r="B685" s="84" t="s">
        <v>1764</v>
      </c>
      <c r="C685" s="81" t="s">
        <v>2446</v>
      </c>
      <c r="D685" s="80" t="s">
        <v>2445</v>
      </c>
      <c r="E685" s="2238" t="str">
        <f t="shared" si="56"/>
        <v>LX</v>
      </c>
      <c r="F685" s="55">
        <v>2000</v>
      </c>
      <c r="J685" s="55" t="str">
        <f t="shared" si="55"/>
        <v>LXHN1</v>
      </c>
    </row>
    <row r="686" spans="1:10">
      <c r="A686" s="79" t="s">
        <v>967</v>
      </c>
      <c r="B686" s="84" t="s">
        <v>1080</v>
      </c>
      <c r="C686" s="81" t="s">
        <v>3194</v>
      </c>
      <c r="D686" s="80" t="s">
        <v>2445</v>
      </c>
      <c r="E686" s="2238" t="str">
        <f t="shared" si="56"/>
        <v>LX</v>
      </c>
      <c r="F686" s="55">
        <v>2000</v>
      </c>
      <c r="J686" s="55" t="str">
        <f t="shared" si="55"/>
        <v>LXHN2</v>
      </c>
    </row>
    <row r="687" spans="1:10">
      <c r="A687" s="79" t="s">
        <v>680</v>
      </c>
      <c r="B687" s="84" t="s">
        <v>1552</v>
      </c>
      <c r="C687" s="81" t="s">
        <v>3195</v>
      </c>
      <c r="D687" s="80" t="s">
        <v>2445</v>
      </c>
      <c r="E687" s="2238" t="str">
        <f t="shared" si="56"/>
        <v>LX</v>
      </c>
      <c r="F687" s="55">
        <v>2000</v>
      </c>
      <c r="J687" s="55" t="str">
        <f t="shared" si="55"/>
        <v>LXHN3</v>
      </c>
    </row>
    <row r="688" spans="1:10">
      <c r="A688" s="79" t="s">
        <v>1592</v>
      </c>
      <c r="B688" s="84" t="s">
        <v>1593</v>
      </c>
      <c r="C688" s="81" t="s">
        <v>3196</v>
      </c>
      <c r="D688" s="80" t="s">
        <v>2563</v>
      </c>
      <c r="E688" s="2238" t="str">
        <f t="shared" si="56"/>
        <v>LD</v>
      </c>
      <c r="F688" s="55">
        <v>2000</v>
      </c>
      <c r="J688" s="55" t="str">
        <f t="shared" si="55"/>
        <v>LDAUCAP70</v>
      </c>
    </row>
    <row r="689" spans="1:10">
      <c r="A689" s="79" t="s">
        <v>1591</v>
      </c>
      <c r="B689" s="84" t="s">
        <v>40</v>
      </c>
      <c r="C689" s="81" t="s">
        <v>3197</v>
      </c>
      <c r="D689" s="80" t="s">
        <v>2563</v>
      </c>
      <c r="E689" s="2238" t="str">
        <f t="shared" si="56"/>
        <v>LD</v>
      </c>
      <c r="F689" s="55">
        <v>2000</v>
      </c>
      <c r="J689" s="55" t="str">
        <f t="shared" si="55"/>
        <v>LDAUCAP120</v>
      </c>
    </row>
    <row r="690" spans="1:10">
      <c r="A690" s="79" t="s">
        <v>39</v>
      </c>
      <c r="B690" s="84" t="s">
        <v>942</v>
      </c>
      <c r="C690" s="81" t="s">
        <v>3198</v>
      </c>
      <c r="D690" s="80" t="s">
        <v>2563</v>
      </c>
      <c r="E690" s="2238" t="str">
        <f t="shared" si="56"/>
        <v>LD</v>
      </c>
      <c r="F690" s="55">
        <v>2000</v>
      </c>
      <c r="J690" s="55" t="str">
        <f t="shared" si="55"/>
        <v>LDAUCAP185</v>
      </c>
    </row>
    <row r="691" spans="1:10">
      <c r="A691" s="79" t="s">
        <v>307</v>
      </c>
      <c r="B691" s="84" t="s">
        <v>551</v>
      </c>
      <c r="C691" s="81" t="s">
        <v>3199</v>
      </c>
      <c r="D691" s="80" t="s">
        <v>2563</v>
      </c>
      <c r="E691" s="2238" t="str">
        <f t="shared" si="56"/>
        <v>LD</v>
      </c>
      <c r="F691" s="55">
        <v>2000</v>
      </c>
      <c r="J691" s="55" t="str">
        <f t="shared" si="55"/>
        <v>LDAUCAP70HT</v>
      </c>
    </row>
    <row r="692" spans="1:10">
      <c r="A692" s="79" t="s">
        <v>308</v>
      </c>
      <c r="B692" s="84" t="s">
        <v>1782</v>
      </c>
      <c r="C692" s="81" t="s">
        <v>3200</v>
      </c>
      <c r="D692" s="80" t="s">
        <v>2563</v>
      </c>
      <c r="E692" s="2238" t="str">
        <f t="shared" si="56"/>
        <v>LD</v>
      </c>
      <c r="F692" s="55">
        <v>2000</v>
      </c>
      <c r="J692" s="55" t="str">
        <f t="shared" si="55"/>
        <v>LDAUCAP120HT</v>
      </c>
    </row>
    <row r="693" spans="1:10">
      <c r="A693" s="79" t="s">
        <v>309</v>
      </c>
      <c r="B693" s="84" t="s">
        <v>148</v>
      </c>
      <c r="C693" s="81" t="s">
        <v>3201</v>
      </c>
      <c r="D693" s="80" t="s">
        <v>2563</v>
      </c>
      <c r="E693" s="2238" t="str">
        <f t="shared" si="56"/>
        <v>LD</v>
      </c>
      <c r="F693" s="55">
        <v>2000</v>
      </c>
      <c r="J693" s="55" t="str">
        <f t="shared" si="55"/>
        <v>LDAUCAP185HT</v>
      </c>
    </row>
    <row r="694" spans="1:10">
      <c r="A694" s="79" t="s">
        <v>681</v>
      </c>
      <c r="B694" s="84" t="s">
        <v>682</v>
      </c>
      <c r="C694" s="81" t="s">
        <v>2985</v>
      </c>
      <c r="D694" s="80" t="s">
        <v>2563</v>
      </c>
      <c r="E694" s="2238" t="str">
        <f t="shared" si="56"/>
        <v>XL</v>
      </c>
      <c r="F694" s="55">
        <v>2000</v>
      </c>
      <c r="J694" s="55" t="str">
        <f t="shared" si="55"/>
        <v>XLCD</v>
      </c>
    </row>
    <row r="695" spans="1:10">
      <c r="A695" s="79" t="s">
        <v>971</v>
      </c>
      <c r="B695" s="84"/>
      <c r="C695" s="81" t="s">
        <v>3202</v>
      </c>
      <c r="D695" s="80"/>
      <c r="E695" s="2238" t="str">
        <f t="shared" si="56"/>
        <v>LB</v>
      </c>
      <c r="F695" s="55">
        <v>2000</v>
      </c>
      <c r="J695" s="55" t="str">
        <f t="shared" si="55"/>
        <v>LBAKE</v>
      </c>
    </row>
    <row r="696" spans="1:10">
      <c r="A696" s="79" t="s">
        <v>970</v>
      </c>
      <c r="B696" s="84"/>
      <c r="C696" s="81" t="s">
        <v>3203</v>
      </c>
      <c r="D696" s="80"/>
      <c r="E696" s="2238" t="str">
        <f t="shared" si="56"/>
        <v>LC</v>
      </c>
      <c r="F696" s="55">
        <v>2000</v>
      </c>
      <c r="J696" s="55" t="str">
        <f t="shared" si="55"/>
        <v>LCHI</v>
      </c>
    </row>
    <row r="697" spans="1:10">
      <c r="A697" s="79" t="s">
        <v>348</v>
      </c>
      <c r="B697" s="84" t="s">
        <v>1758</v>
      </c>
      <c r="C697" s="81" t="s">
        <v>3204</v>
      </c>
      <c r="D697" s="80" t="s">
        <v>2563</v>
      </c>
      <c r="E697" s="2238" t="str">
        <f t="shared" si="56"/>
        <v>LC</v>
      </c>
      <c r="F697" s="55">
        <v>2000</v>
      </c>
      <c r="J697" s="55" t="str">
        <f t="shared" si="55"/>
        <v>LCSD</v>
      </c>
    </row>
    <row r="698" spans="1:10">
      <c r="A698" s="79" t="s">
        <v>1910</v>
      </c>
      <c r="B698" s="84" t="s">
        <v>1460</v>
      </c>
      <c r="C698" s="81" t="s">
        <v>3205</v>
      </c>
      <c r="D698" s="80" t="s">
        <v>2445</v>
      </c>
      <c r="E698" s="2238" t="str">
        <f t="shared" si="56"/>
        <v>LC</v>
      </c>
      <c r="F698" s="55">
        <v>2000</v>
      </c>
      <c r="J698" s="55" t="str">
        <f t="shared" si="55"/>
        <v>LCL</v>
      </c>
    </row>
    <row r="699" spans="1:10">
      <c r="A699" s="79" t="s">
        <v>1922</v>
      </c>
      <c r="B699" s="84" t="s">
        <v>1770</v>
      </c>
      <c r="C699" s="81" t="s">
        <v>3206</v>
      </c>
      <c r="D699" s="80" t="s">
        <v>2445</v>
      </c>
      <c r="E699" s="2238" t="str">
        <f t="shared" si="56"/>
        <v>LD</v>
      </c>
      <c r="F699" s="55">
        <v>2000</v>
      </c>
      <c r="J699" s="55" t="str">
        <f t="shared" si="55"/>
        <v>LDN</v>
      </c>
    </row>
    <row r="700" spans="1:10">
      <c r="A700" s="79" t="s">
        <v>1965</v>
      </c>
      <c r="B700" s="84" t="s">
        <v>220</v>
      </c>
      <c r="C700" s="81" t="s">
        <v>3207</v>
      </c>
      <c r="D700" s="80" t="s">
        <v>2563</v>
      </c>
      <c r="E700" s="2238" t="str">
        <f t="shared" si="56"/>
        <v>NX</v>
      </c>
      <c r="F700" s="55">
        <v>2000</v>
      </c>
      <c r="J700" s="55" t="str">
        <f t="shared" si="55"/>
        <v>NXOE</v>
      </c>
    </row>
    <row r="701" spans="1:10">
      <c r="A701" s="79" t="s">
        <v>2138</v>
      </c>
      <c r="B701" s="84" t="s">
        <v>220</v>
      </c>
      <c r="C701" s="81" t="s">
        <v>3208</v>
      </c>
      <c r="D701" s="80" t="s">
        <v>2563</v>
      </c>
      <c r="E701" s="2238" t="str">
        <f t="shared" si="56"/>
        <v>LD</v>
      </c>
      <c r="F701" s="55">
        <v>2000</v>
      </c>
      <c r="J701" s="55" t="str">
        <f t="shared" si="55"/>
        <v>LDN0212</v>
      </c>
    </row>
    <row r="702" spans="1:10">
      <c r="A702" s="79" t="s">
        <v>2139</v>
      </c>
      <c r="B702" s="84" t="s">
        <v>220</v>
      </c>
      <c r="C702" s="81" t="s">
        <v>3209</v>
      </c>
      <c r="D702" s="80" t="s">
        <v>2563</v>
      </c>
      <c r="E702" s="2238" t="str">
        <f t="shared" si="56"/>
        <v>LD</v>
      </c>
      <c r="F702" s="55">
        <v>2000</v>
      </c>
      <c r="J702" s="55" t="str">
        <f t="shared" si="55"/>
        <v>LDN0412</v>
      </c>
    </row>
    <row r="703" spans="1:10">
      <c r="A703" s="79" t="s">
        <v>1180</v>
      </c>
      <c r="B703" s="84" t="s">
        <v>1561</v>
      </c>
      <c r="C703" s="81" t="s">
        <v>3210</v>
      </c>
      <c r="D703" s="80" t="s">
        <v>2563</v>
      </c>
      <c r="E703" s="2238" t="str">
        <f t="shared" si="56"/>
        <v>LD</v>
      </c>
      <c r="F703" s="55">
        <v>2000</v>
      </c>
      <c r="J703" s="55" t="str">
        <f t="shared" si="55"/>
        <v>LDN0415</v>
      </c>
    </row>
    <row r="704" spans="1:10">
      <c r="A704" s="79" t="s">
        <v>1181</v>
      </c>
      <c r="B704" s="84" t="s">
        <v>1561</v>
      </c>
      <c r="C704" s="81" t="s">
        <v>3211</v>
      </c>
      <c r="D704" s="80" t="s">
        <v>2563</v>
      </c>
      <c r="E704" s="2238" t="str">
        <f t="shared" si="56"/>
        <v>LD</v>
      </c>
      <c r="F704" s="55">
        <v>2000</v>
      </c>
      <c r="J704" s="55" t="str">
        <f t="shared" si="55"/>
        <v>LDN0615</v>
      </c>
    </row>
    <row r="705" spans="1:10">
      <c r="A705" s="79" t="s">
        <v>604</v>
      </c>
      <c r="B705" s="84" t="s">
        <v>220</v>
      </c>
      <c r="C705" s="81" t="s">
        <v>3212</v>
      </c>
      <c r="D705" s="80" t="s">
        <v>2563</v>
      </c>
      <c r="E705" s="2238" t="str">
        <f t="shared" si="56"/>
        <v>LD</v>
      </c>
      <c r="F705" s="55">
        <v>2000</v>
      </c>
      <c r="J705" s="55" t="str">
        <f t="shared" si="55"/>
        <v>LDN4</v>
      </c>
    </row>
    <row r="706" spans="1:10">
      <c r="A706" s="79" t="s">
        <v>1911</v>
      </c>
      <c r="B706" s="84" t="s">
        <v>1561</v>
      </c>
      <c r="C706" s="81" t="s">
        <v>3213</v>
      </c>
      <c r="D706" s="80" t="s">
        <v>2563</v>
      </c>
      <c r="E706" s="2238" t="str">
        <f t="shared" si="56"/>
        <v>LD</v>
      </c>
      <c r="F706" s="55">
        <v>2000</v>
      </c>
      <c r="J706" s="55" t="str">
        <f t="shared" si="55"/>
        <v>LDN6</v>
      </c>
    </row>
    <row r="707" spans="1:10">
      <c r="A707" s="79" t="s">
        <v>1959</v>
      </c>
      <c r="B707" s="84" t="s">
        <v>1389</v>
      </c>
      <c r="C707" s="81" t="s">
        <v>3214</v>
      </c>
      <c r="D707" s="80" t="s">
        <v>856</v>
      </c>
      <c r="E707" s="2238" t="str">
        <f t="shared" si="56"/>
        <v>DB</v>
      </c>
      <c r="F707" s="55">
        <v>2000</v>
      </c>
      <c r="J707" s="55" t="str">
        <f t="shared" si="55"/>
        <v>DBT10046</v>
      </c>
    </row>
    <row r="708" spans="1:10">
      <c r="A708" s="79" t="s">
        <v>1839</v>
      </c>
      <c r="B708" s="84" t="s">
        <v>1766</v>
      </c>
      <c r="C708" s="81" t="s">
        <v>3215</v>
      </c>
      <c r="D708" s="80" t="s">
        <v>856</v>
      </c>
      <c r="E708" s="2238" t="str">
        <f t="shared" si="56"/>
        <v>DB</v>
      </c>
      <c r="F708" s="55">
        <v>2000</v>
      </c>
      <c r="J708" s="55" t="str">
        <f t="shared" si="55"/>
        <v>DBT15012</v>
      </c>
    </row>
    <row r="709" spans="1:10">
      <c r="A709" s="79" t="s">
        <v>1840</v>
      </c>
      <c r="B709" s="1782" t="s">
        <v>1765</v>
      </c>
      <c r="C709" s="81" t="s">
        <v>3216</v>
      </c>
      <c r="D709" s="80" t="s">
        <v>856</v>
      </c>
      <c r="E709" s="2238" t="str">
        <f t="shared" si="56"/>
        <v>DB</v>
      </c>
      <c r="F709" s="55">
        <v>2000</v>
      </c>
      <c r="J709" s="55" t="str">
        <f t="shared" si="55"/>
        <v>DBT20012</v>
      </c>
    </row>
    <row r="710" spans="1:10">
      <c r="A710" s="79" t="s">
        <v>9</v>
      </c>
      <c r="B710" s="84" t="s">
        <v>1779</v>
      </c>
      <c r="C710" s="81" t="s">
        <v>3217</v>
      </c>
      <c r="D710" s="80" t="s">
        <v>2254</v>
      </c>
      <c r="E710" s="2238" t="str">
        <f t="shared" si="56"/>
        <v>LC</v>
      </c>
      <c r="F710" s="55">
        <v>2000</v>
      </c>
      <c r="J710" s="55" t="str">
        <f t="shared" si="55"/>
        <v>LCT10</v>
      </c>
    </row>
    <row r="711" spans="1:10">
      <c r="A711" s="79" t="s">
        <v>585</v>
      </c>
      <c r="B711" s="84" t="s">
        <v>886</v>
      </c>
      <c r="C711" s="81" t="s">
        <v>3218</v>
      </c>
      <c r="D711" s="80" t="s">
        <v>2254</v>
      </c>
      <c r="E711" s="2238" t="str">
        <f t="shared" si="56"/>
        <v>LC</v>
      </c>
      <c r="F711" s="55">
        <v>2000</v>
      </c>
      <c r="J711" s="55" t="str">
        <f t="shared" si="55"/>
        <v>LCT18</v>
      </c>
    </row>
    <row r="712" spans="1:10">
      <c r="A712" s="79" t="s">
        <v>1811</v>
      </c>
      <c r="B712" s="84" t="s">
        <v>1812</v>
      </c>
      <c r="C712" s="81" t="s">
        <v>3219</v>
      </c>
      <c r="D712" s="80" t="s">
        <v>2254</v>
      </c>
      <c r="E712" s="2238" t="str">
        <f t="shared" si="56"/>
        <v>LC</v>
      </c>
      <c r="F712" s="55">
        <v>2000</v>
      </c>
      <c r="J712" s="55" t="str">
        <f t="shared" si="55"/>
        <v>LCT&gt;18</v>
      </c>
    </row>
    <row r="713" spans="1:10">
      <c r="A713" s="79" t="s">
        <v>10</v>
      </c>
      <c r="B713" s="84" t="s">
        <v>53</v>
      </c>
      <c r="C713" s="81" t="s">
        <v>3220</v>
      </c>
      <c r="D713" s="80" t="s">
        <v>1964</v>
      </c>
      <c r="E713" s="2238" t="str">
        <f t="shared" si="56"/>
        <v>LD</v>
      </c>
      <c r="F713" s="55">
        <v>2000</v>
      </c>
      <c r="J713" s="55" t="str">
        <f t="shared" si="55"/>
        <v>LDVANK</v>
      </c>
    </row>
    <row r="714" spans="1:10">
      <c r="A714" s="79" t="s">
        <v>1966</v>
      </c>
      <c r="B714" s="84" t="s">
        <v>1405</v>
      </c>
      <c r="C714" s="81" t="s">
        <v>3221</v>
      </c>
      <c r="D714" s="80" t="s">
        <v>2042</v>
      </c>
      <c r="E714" s="2238" t="str">
        <f t="shared" si="56"/>
        <v>KD</v>
      </c>
      <c r="F714" s="55">
        <v>2000</v>
      </c>
      <c r="J714" s="55" t="str">
        <f t="shared" si="55"/>
        <v>KDA35</v>
      </c>
    </row>
    <row r="715" spans="1:10">
      <c r="A715" s="79" t="s">
        <v>1406</v>
      </c>
      <c r="B715" s="84" t="s">
        <v>1628</v>
      </c>
      <c r="C715" s="81" t="s">
        <v>3222</v>
      </c>
      <c r="D715" s="80" t="s">
        <v>2042</v>
      </c>
      <c r="E715" s="2238" t="str">
        <f t="shared" si="56"/>
        <v>KD</v>
      </c>
      <c r="F715" s="55">
        <v>2000</v>
      </c>
      <c r="J715" s="55" t="str">
        <f t="shared" si="55"/>
        <v>KDA50</v>
      </c>
    </row>
    <row r="716" spans="1:10">
      <c r="A716" s="79" t="s">
        <v>619</v>
      </c>
      <c r="B716" s="84" t="s">
        <v>620</v>
      </c>
      <c r="C716" s="81" t="s">
        <v>3223</v>
      </c>
      <c r="D716" s="80" t="s">
        <v>2042</v>
      </c>
      <c r="E716" s="2238" t="str">
        <f t="shared" si="56"/>
        <v>KD</v>
      </c>
      <c r="F716" s="55">
        <v>2000</v>
      </c>
      <c r="J716" s="55" t="str">
        <f t="shared" si="55"/>
        <v>KDA70</v>
      </c>
    </row>
    <row r="717" spans="1:10">
      <c r="A717" s="79" t="s">
        <v>2249</v>
      </c>
      <c r="B717" s="84" t="s">
        <v>1162</v>
      </c>
      <c r="C717" s="81" t="s">
        <v>3224</v>
      </c>
      <c r="D717" s="80" t="s">
        <v>2042</v>
      </c>
      <c r="E717" s="2238" t="str">
        <f t="shared" si="56"/>
        <v>KD</v>
      </c>
      <c r="F717" s="55">
        <v>2000</v>
      </c>
      <c r="J717" s="55" t="str">
        <f t="shared" ref="J717:J780" si="57">A717</f>
        <v>KDA95</v>
      </c>
    </row>
    <row r="718" spans="1:10">
      <c r="A718" s="79" t="s">
        <v>1166</v>
      </c>
      <c r="B718" s="84" t="s">
        <v>1525</v>
      </c>
      <c r="C718" s="81" t="s">
        <v>3225</v>
      </c>
      <c r="D718" s="80" t="s">
        <v>2042</v>
      </c>
      <c r="E718" s="2238" t="str">
        <f t="shared" si="56"/>
        <v>KD</v>
      </c>
      <c r="F718" s="55">
        <v>2000</v>
      </c>
      <c r="J718" s="55" t="str">
        <f t="shared" si="57"/>
        <v>KDA35B</v>
      </c>
    </row>
    <row r="719" spans="1:10">
      <c r="A719" s="79" t="s">
        <v>451</v>
      </c>
      <c r="B719" s="84" t="s">
        <v>1628</v>
      </c>
      <c r="C719" s="81" t="s">
        <v>3226</v>
      </c>
      <c r="D719" s="80" t="s">
        <v>2042</v>
      </c>
      <c r="E719" s="2238" t="str">
        <f t="shared" si="56"/>
        <v>KD</v>
      </c>
      <c r="F719" s="55">
        <v>2000</v>
      </c>
      <c r="J719" s="55" t="str">
        <f t="shared" si="57"/>
        <v>KDA50B</v>
      </c>
    </row>
    <row r="720" spans="1:10">
      <c r="A720" s="79" t="s">
        <v>79</v>
      </c>
      <c r="B720" s="84" t="s">
        <v>1526</v>
      </c>
      <c r="C720" s="81" t="s">
        <v>3227</v>
      </c>
      <c r="D720" s="80" t="s">
        <v>2042</v>
      </c>
      <c r="E720" s="2238" t="str">
        <f t="shared" si="56"/>
        <v>KD</v>
      </c>
      <c r="F720" s="55">
        <v>2000</v>
      </c>
      <c r="J720" s="55" t="str">
        <f t="shared" si="57"/>
        <v>KDA70B</v>
      </c>
    </row>
    <row r="721" spans="1:10">
      <c r="A721" s="79" t="s">
        <v>1512</v>
      </c>
      <c r="B721" s="84" t="s">
        <v>2039</v>
      </c>
      <c r="C721" s="81" t="s">
        <v>3228</v>
      </c>
      <c r="D721" s="80" t="s">
        <v>2042</v>
      </c>
      <c r="E721" s="2238" t="str">
        <f t="shared" si="56"/>
        <v>KD</v>
      </c>
      <c r="F721" s="55">
        <v>2000</v>
      </c>
      <c r="J721" s="55" t="str">
        <f t="shared" si="57"/>
        <v>KDA95B</v>
      </c>
    </row>
    <row r="722" spans="1:10">
      <c r="A722" s="79" t="s">
        <v>1174</v>
      </c>
      <c r="B722" s="84" t="s">
        <v>1163</v>
      </c>
      <c r="C722" s="81" t="s">
        <v>3229</v>
      </c>
      <c r="D722" s="80" t="s">
        <v>2042</v>
      </c>
      <c r="E722" s="2238" t="str">
        <f t="shared" si="56"/>
        <v>KD</v>
      </c>
      <c r="F722" s="55">
        <v>2000</v>
      </c>
      <c r="J722" s="55" t="str">
        <f t="shared" si="57"/>
        <v>KDA120B</v>
      </c>
    </row>
    <row r="723" spans="1:10">
      <c r="A723" s="79" t="s">
        <v>924</v>
      </c>
      <c r="B723" s="84" t="s">
        <v>792</v>
      </c>
      <c r="C723" s="81" t="s">
        <v>3230</v>
      </c>
      <c r="D723" s="80" t="s">
        <v>2042</v>
      </c>
      <c r="E723" s="2238" t="str">
        <f t="shared" si="56"/>
        <v>KD</v>
      </c>
      <c r="F723" s="55">
        <v>2000</v>
      </c>
      <c r="J723" s="55" t="str">
        <f t="shared" si="57"/>
        <v>KDA150B</v>
      </c>
    </row>
    <row r="724" spans="1:10">
      <c r="A724" s="79" t="s">
        <v>925</v>
      </c>
      <c r="B724" s="84" t="s">
        <v>1164</v>
      </c>
      <c r="C724" s="81" t="s">
        <v>3231</v>
      </c>
      <c r="D724" s="80" t="s">
        <v>2042</v>
      </c>
      <c r="E724" s="2238" t="str">
        <f t="shared" si="56"/>
        <v>KD</v>
      </c>
      <c r="F724" s="55">
        <v>2000</v>
      </c>
      <c r="J724" s="55" t="str">
        <f t="shared" si="57"/>
        <v>KDA185B</v>
      </c>
    </row>
    <row r="725" spans="1:10">
      <c r="A725" s="79" t="s">
        <v>1444</v>
      </c>
      <c r="B725" s="84" t="s">
        <v>1165</v>
      </c>
      <c r="C725" s="81" t="s">
        <v>3232</v>
      </c>
      <c r="D725" s="80" t="s">
        <v>2042</v>
      </c>
      <c r="E725" s="2238" t="str">
        <f t="shared" si="56"/>
        <v>KD</v>
      </c>
      <c r="F725" s="55">
        <v>2000</v>
      </c>
      <c r="J725" s="55" t="str">
        <f t="shared" si="57"/>
        <v>KDA240B</v>
      </c>
    </row>
    <row r="726" spans="1:10">
      <c r="A726" s="1783" t="s">
        <v>2228</v>
      </c>
      <c r="B726" s="84" t="s">
        <v>783</v>
      </c>
      <c r="C726" s="81" t="s">
        <v>3233</v>
      </c>
      <c r="D726" s="80" t="s">
        <v>2042</v>
      </c>
      <c r="E726" s="2238" t="str">
        <f t="shared" si="56"/>
        <v>KD</v>
      </c>
      <c r="F726" s="55">
        <v>2000</v>
      </c>
      <c r="J726" s="55" t="str">
        <f t="shared" si="57"/>
        <v>KDAABC150</v>
      </c>
    </row>
    <row r="727" spans="1:10">
      <c r="A727" s="1783" t="s">
        <v>863</v>
      </c>
      <c r="B727" s="84" t="s">
        <v>783</v>
      </c>
      <c r="C727" s="81" t="s">
        <v>3234</v>
      </c>
      <c r="D727" s="80" t="s">
        <v>2042</v>
      </c>
      <c r="E727" s="2238" t="str">
        <f t="shared" si="56"/>
        <v>KD</v>
      </c>
      <c r="F727" s="55">
        <v>2000</v>
      </c>
      <c r="J727" s="55" t="str">
        <f t="shared" si="57"/>
        <v>KDAABC120</v>
      </c>
    </row>
    <row r="728" spans="1:10">
      <c r="A728" s="1783" t="s">
        <v>864</v>
      </c>
      <c r="B728" s="84" t="s">
        <v>784</v>
      </c>
      <c r="C728" s="81" t="s">
        <v>4350</v>
      </c>
      <c r="D728" s="80" t="s">
        <v>2042</v>
      </c>
      <c r="E728" s="2238" t="str">
        <f t="shared" si="56"/>
        <v>KD</v>
      </c>
      <c r="F728" s="55">
        <v>2000</v>
      </c>
      <c r="J728" s="55" t="str">
        <f t="shared" si="57"/>
        <v>KDAABC95</v>
      </c>
    </row>
    <row r="729" spans="1:10">
      <c r="A729" s="1783" t="s">
        <v>865</v>
      </c>
      <c r="B729" s="1782" t="s">
        <v>2103</v>
      </c>
      <c r="C729" s="81" t="s">
        <v>3235</v>
      </c>
      <c r="D729" s="80" t="s">
        <v>2042</v>
      </c>
      <c r="E729" s="2238" t="str">
        <f t="shared" si="56"/>
        <v>KD</v>
      </c>
      <c r="F729" s="55">
        <v>2000</v>
      </c>
      <c r="J729" s="55" t="str">
        <f t="shared" si="57"/>
        <v>KDAABC70</v>
      </c>
    </row>
    <row r="730" spans="1:10">
      <c r="A730" s="1783" t="s">
        <v>866</v>
      </c>
      <c r="B730" s="84" t="s">
        <v>1773</v>
      </c>
      <c r="C730" s="81" t="s">
        <v>3236</v>
      </c>
      <c r="D730" s="80" t="s">
        <v>2042</v>
      </c>
      <c r="E730" s="2238" t="str">
        <f t="shared" si="56"/>
        <v>KD</v>
      </c>
      <c r="F730" s="55">
        <v>2000</v>
      </c>
      <c r="J730" s="55" t="str">
        <f t="shared" si="57"/>
        <v>KDAABC50</v>
      </c>
    </row>
    <row r="731" spans="1:10">
      <c r="A731" s="79" t="s">
        <v>1524</v>
      </c>
      <c r="B731" s="84" t="s">
        <v>1525</v>
      </c>
      <c r="C731" s="81" t="s">
        <v>3237</v>
      </c>
      <c r="D731" s="80" t="s">
        <v>2042</v>
      </c>
      <c r="E731" s="2238" t="str">
        <f t="shared" si="56"/>
        <v>KD</v>
      </c>
      <c r="F731" s="55">
        <v>2000</v>
      </c>
      <c r="J731" s="55" t="str">
        <f t="shared" si="57"/>
        <v>KDAC35</v>
      </c>
    </row>
    <row r="732" spans="1:10">
      <c r="A732" s="79" t="s">
        <v>1272</v>
      </c>
      <c r="B732" s="84" t="s">
        <v>1771</v>
      </c>
      <c r="C732" s="81" t="s">
        <v>3238</v>
      </c>
      <c r="D732" s="80" t="s">
        <v>2042</v>
      </c>
      <c r="E732" s="2238" t="str">
        <f t="shared" si="56"/>
        <v>KD</v>
      </c>
      <c r="F732" s="55">
        <v>2000</v>
      </c>
      <c r="J732" s="55" t="str">
        <f t="shared" si="57"/>
        <v>KDAC50</v>
      </c>
    </row>
    <row r="733" spans="1:10">
      <c r="A733" s="79" t="s">
        <v>1417</v>
      </c>
      <c r="B733" s="84" t="s">
        <v>1526</v>
      </c>
      <c r="C733" s="81" t="s">
        <v>3239</v>
      </c>
      <c r="D733" s="80" t="s">
        <v>2042</v>
      </c>
      <c r="E733" s="2238" t="str">
        <f t="shared" si="56"/>
        <v>KD</v>
      </c>
      <c r="F733" s="55">
        <v>2000</v>
      </c>
      <c r="J733" s="55" t="str">
        <f t="shared" si="57"/>
        <v>KDAC70</v>
      </c>
    </row>
    <row r="734" spans="1:10">
      <c r="A734" s="79" t="s">
        <v>1527</v>
      </c>
      <c r="B734" s="84" t="s">
        <v>2039</v>
      </c>
      <c r="C734" s="81" t="s">
        <v>3240</v>
      </c>
      <c r="D734" s="80" t="s">
        <v>2042</v>
      </c>
      <c r="E734" s="2238" t="str">
        <f t="shared" si="56"/>
        <v>KD</v>
      </c>
      <c r="F734" s="55">
        <v>2000</v>
      </c>
      <c r="J734" s="55" t="str">
        <f t="shared" si="57"/>
        <v>KDAC95</v>
      </c>
    </row>
    <row r="735" spans="1:10">
      <c r="A735" s="79" t="s">
        <v>139</v>
      </c>
      <c r="B735" s="84" t="s">
        <v>1163</v>
      </c>
      <c r="C735" s="81" t="s">
        <v>3241</v>
      </c>
      <c r="D735" s="80" t="s">
        <v>2042</v>
      </c>
      <c r="E735" s="2238" t="str">
        <f t="shared" si="56"/>
        <v>KD</v>
      </c>
      <c r="F735" s="55">
        <v>2000</v>
      </c>
      <c r="J735" s="55" t="str">
        <f t="shared" si="57"/>
        <v>KDAC120</v>
      </c>
    </row>
    <row r="736" spans="1:10">
      <c r="A736" s="79" t="s">
        <v>791</v>
      </c>
      <c r="B736" s="84" t="s">
        <v>792</v>
      </c>
      <c r="C736" s="81" t="s">
        <v>3242</v>
      </c>
      <c r="D736" s="80" t="s">
        <v>2042</v>
      </c>
      <c r="E736" s="2238" t="str">
        <f t="shared" si="56"/>
        <v>KD</v>
      </c>
      <c r="F736" s="55">
        <v>2000</v>
      </c>
      <c r="J736" s="55" t="str">
        <f t="shared" si="57"/>
        <v>KDAC150</v>
      </c>
    </row>
    <row r="737" spans="1:10">
      <c r="A737" s="79" t="s">
        <v>366</v>
      </c>
      <c r="B737" s="84" t="s">
        <v>1771</v>
      </c>
      <c r="C737" s="81" t="s">
        <v>4362</v>
      </c>
      <c r="D737" s="80" t="s">
        <v>2042</v>
      </c>
      <c r="E737" s="2238" t="str">
        <f t="shared" si="56"/>
        <v>KD</v>
      </c>
      <c r="F737" s="55">
        <v>2000</v>
      </c>
      <c r="J737" s="55" t="str">
        <f t="shared" si="57"/>
        <v>KDACXV50</v>
      </c>
    </row>
    <row r="738" spans="1:10">
      <c r="A738" s="79" t="s">
        <v>1375</v>
      </c>
      <c r="B738" s="84" t="s">
        <v>792</v>
      </c>
      <c r="C738" s="81" t="s">
        <v>3243</v>
      </c>
      <c r="D738" s="80" t="s">
        <v>2042</v>
      </c>
      <c r="E738" s="2238" t="str">
        <f t="shared" si="56"/>
        <v>KD</v>
      </c>
      <c r="F738" s="55">
        <v>2000</v>
      </c>
      <c r="J738" s="55" t="str">
        <f t="shared" si="57"/>
        <v>KDACXV150</v>
      </c>
    </row>
    <row r="739" spans="1:10">
      <c r="A739" s="79" t="s">
        <v>140</v>
      </c>
      <c r="B739" s="84" t="s">
        <v>1164</v>
      </c>
      <c r="C739" s="81" t="s">
        <v>3244</v>
      </c>
      <c r="D739" s="80" t="s">
        <v>2042</v>
      </c>
      <c r="E739" s="2238" t="str">
        <f t="shared" ref="E739:E802" si="58">LEFT(A739,2)</f>
        <v>KD</v>
      </c>
      <c r="F739" s="55">
        <v>2000</v>
      </c>
      <c r="J739" s="55" t="str">
        <f t="shared" si="57"/>
        <v>KDAC185</v>
      </c>
    </row>
    <row r="740" spans="1:10">
      <c r="A740" s="79" t="s">
        <v>711</v>
      </c>
      <c r="B740" s="84" t="s">
        <v>1165</v>
      </c>
      <c r="C740" s="81" t="s">
        <v>3245</v>
      </c>
      <c r="D740" s="80" t="s">
        <v>2042</v>
      </c>
      <c r="E740" s="2238" t="str">
        <f t="shared" si="58"/>
        <v>KD</v>
      </c>
      <c r="F740" s="55">
        <v>2000</v>
      </c>
      <c r="J740" s="55" t="str">
        <f t="shared" si="57"/>
        <v>KDAC240</v>
      </c>
    </row>
    <row r="741" spans="1:10">
      <c r="A741" s="79" t="s">
        <v>390</v>
      </c>
      <c r="B741" s="84" t="s">
        <v>391</v>
      </c>
      <c r="C741" s="81" t="s">
        <v>3246</v>
      </c>
      <c r="D741" s="80" t="s">
        <v>2042</v>
      </c>
      <c r="E741" s="2238" t="str">
        <f t="shared" si="58"/>
        <v>KD</v>
      </c>
      <c r="F741" s="55">
        <v>2000</v>
      </c>
      <c r="J741" s="55" t="str">
        <f t="shared" si="57"/>
        <v>KDM22</v>
      </c>
    </row>
    <row r="742" spans="1:10">
      <c r="A742" s="79" t="s">
        <v>679</v>
      </c>
      <c r="B742" s="84" t="s">
        <v>391</v>
      </c>
      <c r="C742" s="81" t="s">
        <v>3247</v>
      </c>
      <c r="D742" s="80" t="s">
        <v>2042</v>
      </c>
      <c r="E742" s="2238" t="str">
        <f t="shared" si="58"/>
        <v>KD</v>
      </c>
      <c r="F742" s="55">
        <v>2000</v>
      </c>
      <c r="J742" s="55" t="str">
        <f t="shared" si="57"/>
        <v>KDM25</v>
      </c>
    </row>
    <row r="743" spans="1:10">
      <c r="A743" s="79" t="s">
        <v>298</v>
      </c>
      <c r="B743" s="84" t="s">
        <v>299</v>
      </c>
      <c r="C743" s="81" t="s">
        <v>3248</v>
      </c>
      <c r="D743" s="80" t="s">
        <v>2042</v>
      </c>
      <c r="E743" s="2238" t="str">
        <f t="shared" si="58"/>
        <v>KD</v>
      </c>
      <c r="F743" s="55">
        <v>2000</v>
      </c>
      <c r="J743" s="55" t="str">
        <f t="shared" si="57"/>
        <v>KDM35</v>
      </c>
    </row>
    <row r="744" spans="1:10">
      <c r="A744" s="79" t="s">
        <v>413</v>
      </c>
      <c r="B744" s="84" t="s">
        <v>414</v>
      </c>
      <c r="C744" s="81" t="s">
        <v>3249</v>
      </c>
      <c r="D744" s="80" t="s">
        <v>2042</v>
      </c>
      <c r="E744" s="2238" t="str">
        <f t="shared" si="58"/>
        <v>KD</v>
      </c>
      <c r="F744" s="55">
        <v>2000</v>
      </c>
      <c r="J744" s="55" t="str">
        <f t="shared" si="57"/>
        <v>KDM48</v>
      </c>
    </row>
    <row r="745" spans="1:10">
      <c r="A745" s="79" t="s">
        <v>480</v>
      </c>
      <c r="B745" s="84" t="s">
        <v>414</v>
      </c>
      <c r="C745" s="81" t="s">
        <v>3250</v>
      </c>
      <c r="D745" s="80" t="s">
        <v>2042</v>
      </c>
      <c r="E745" s="2238" t="str">
        <f t="shared" si="58"/>
        <v>KD</v>
      </c>
      <c r="F745" s="55">
        <v>2000</v>
      </c>
      <c r="J745" s="55" t="str">
        <f t="shared" si="57"/>
        <v>KDM50</v>
      </c>
    </row>
    <row r="746" spans="1:10">
      <c r="A746" s="79" t="s">
        <v>481</v>
      </c>
      <c r="B746" s="84" t="s">
        <v>482</v>
      </c>
      <c r="C746" s="81" t="s">
        <v>3251</v>
      </c>
      <c r="D746" s="80" t="s">
        <v>2042</v>
      </c>
      <c r="E746" s="2238" t="str">
        <f t="shared" si="58"/>
        <v>KD</v>
      </c>
      <c r="F746" s="55">
        <v>2000</v>
      </c>
      <c r="J746" s="55" t="str">
        <f t="shared" si="57"/>
        <v>KDM70</v>
      </c>
    </row>
    <row r="747" spans="1:10">
      <c r="A747" s="79" t="s">
        <v>477</v>
      </c>
      <c r="B747" s="84" t="s">
        <v>478</v>
      </c>
      <c r="C747" s="81" t="s">
        <v>3252</v>
      </c>
      <c r="D747" s="80" t="s">
        <v>2042</v>
      </c>
      <c r="E747" s="2238" t="str">
        <f t="shared" si="58"/>
        <v>KD</v>
      </c>
      <c r="F747" s="55">
        <v>2000</v>
      </c>
      <c r="J747" s="55" t="str">
        <f t="shared" si="57"/>
        <v>KDM95</v>
      </c>
    </row>
    <row r="748" spans="1:10">
      <c r="A748" s="79" t="s">
        <v>96</v>
      </c>
      <c r="B748" s="84" t="s">
        <v>391</v>
      </c>
      <c r="C748" s="81" t="s">
        <v>3253</v>
      </c>
      <c r="D748" s="80" t="s">
        <v>2042</v>
      </c>
      <c r="E748" s="2238" t="str">
        <f t="shared" si="58"/>
        <v>KD</v>
      </c>
      <c r="F748" s="55">
        <v>2000</v>
      </c>
      <c r="J748" s="55" t="str">
        <f t="shared" si="57"/>
        <v>KDM25B</v>
      </c>
    </row>
    <row r="749" spans="1:10">
      <c r="A749" s="79" t="s">
        <v>253</v>
      </c>
      <c r="B749" s="84" t="s">
        <v>414</v>
      </c>
      <c r="C749" s="81" t="s">
        <v>3254</v>
      </c>
      <c r="D749" s="80" t="s">
        <v>2042</v>
      </c>
      <c r="E749" s="2238" t="str">
        <f t="shared" si="58"/>
        <v>KD</v>
      </c>
      <c r="F749" s="55">
        <v>2000</v>
      </c>
      <c r="J749" s="55" t="str">
        <f t="shared" si="57"/>
        <v>KDM50B</v>
      </c>
    </row>
    <row r="750" spans="1:10">
      <c r="A750" s="79" t="s">
        <v>2099</v>
      </c>
      <c r="B750" s="84" t="s">
        <v>478</v>
      </c>
      <c r="C750" s="81" t="s">
        <v>3255</v>
      </c>
      <c r="D750" s="80" t="s">
        <v>2042</v>
      </c>
      <c r="E750" s="2238" t="str">
        <f t="shared" si="58"/>
        <v>KD</v>
      </c>
      <c r="F750" s="55">
        <v>2000</v>
      </c>
      <c r="J750" s="55" t="str">
        <f t="shared" si="57"/>
        <v>KDM95B</v>
      </c>
    </row>
    <row r="751" spans="1:10">
      <c r="A751" s="79" t="s">
        <v>1403</v>
      </c>
      <c r="B751" s="84" t="s">
        <v>1404</v>
      </c>
      <c r="C751" s="81" t="s">
        <v>3256</v>
      </c>
      <c r="D751" s="80" t="s">
        <v>3257</v>
      </c>
      <c r="E751" s="2238" t="str">
        <f t="shared" si="58"/>
        <v>KD</v>
      </c>
      <c r="F751" s="55">
        <v>2000</v>
      </c>
      <c r="J751" s="55" t="str">
        <f t="shared" si="57"/>
        <v>KDQG1</v>
      </c>
    </row>
    <row r="752" spans="1:10">
      <c r="A752" s="79" t="s">
        <v>353</v>
      </c>
      <c r="B752" s="84" t="s">
        <v>332</v>
      </c>
      <c r="C752" s="81" t="s">
        <v>3258</v>
      </c>
      <c r="D752" s="80" t="s">
        <v>3257</v>
      </c>
      <c r="E752" s="2238" t="str">
        <f t="shared" si="58"/>
        <v>KD</v>
      </c>
      <c r="F752" s="55">
        <v>2000</v>
      </c>
      <c r="J752" s="55" t="str">
        <f t="shared" si="57"/>
        <v>KDQG2</v>
      </c>
    </row>
    <row r="753" spans="1:10">
      <c r="A753" s="79" t="s">
        <v>354</v>
      </c>
      <c r="B753" s="84" t="s">
        <v>333</v>
      </c>
      <c r="C753" s="81" t="s">
        <v>3259</v>
      </c>
      <c r="D753" s="80" t="s">
        <v>3257</v>
      </c>
      <c r="E753" s="2238" t="str">
        <f t="shared" si="58"/>
        <v>KD</v>
      </c>
      <c r="F753" s="55">
        <v>2000</v>
      </c>
      <c r="J753" s="55" t="str">
        <f t="shared" si="57"/>
        <v>KDQS</v>
      </c>
    </row>
    <row r="754" spans="1:10">
      <c r="A754" s="79" t="s">
        <v>62</v>
      </c>
      <c r="B754" s="84" t="s">
        <v>333</v>
      </c>
      <c r="C754" s="81" t="s">
        <v>3260</v>
      </c>
      <c r="D754" s="80" t="s">
        <v>3257</v>
      </c>
      <c r="E754" s="2238" t="str">
        <f t="shared" si="58"/>
        <v>KD</v>
      </c>
      <c r="F754" s="55">
        <v>2000</v>
      </c>
      <c r="J754" s="55" t="str">
        <f t="shared" si="57"/>
        <v>KDQMR</v>
      </c>
    </row>
    <row r="755" spans="1:10">
      <c r="A755" s="79" t="s">
        <v>2044</v>
      </c>
      <c r="B755" s="84" t="s">
        <v>2045</v>
      </c>
      <c r="C755" s="81" t="s">
        <v>3261</v>
      </c>
      <c r="D755" s="80" t="s">
        <v>3257</v>
      </c>
      <c r="E755" s="2238" t="str">
        <f t="shared" si="58"/>
        <v>KD</v>
      </c>
      <c r="F755" s="55">
        <v>2000</v>
      </c>
      <c r="J755" s="55" t="str">
        <f t="shared" si="57"/>
        <v>KDQD</v>
      </c>
    </row>
    <row r="756" spans="1:10">
      <c r="A756" s="79" t="s">
        <v>2046</v>
      </c>
      <c r="B756" s="84" t="s">
        <v>1160</v>
      </c>
      <c r="C756" s="81" t="s">
        <v>3262</v>
      </c>
      <c r="D756" s="80" t="s">
        <v>3257</v>
      </c>
      <c r="E756" s="2238" t="str">
        <f t="shared" si="58"/>
        <v>KD</v>
      </c>
      <c r="F756" s="55">
        <v>2000</v>
      </c>
      <c r="J756" s="55" t="str">
        <f t="shared" si="57"/>
        <v>KDQD1</v>
      </c>
    </row>
    <row r="757" spans="1:10">
      <c r="A757" s="79" t="s">
        <v>1553</v>
      </c>
      <c r="B757" s="84" t="s">
        <v>1909</v>
      </c>
      <c r="C757" s="81" t="s">
        <v>3263</v>
      </c>
      <c r="D757" s="80" t="s">
        <v>2538</v>
      </c>
      <c r="E757" s="2238" t="str">
        <f t="shared" si="58"/>
        <v>LS</v>
      </c>
      <c r="F757" s="55">
        <v>2000</v>
      </c>
      <c r="J757" s="55" t="str">
        <f t="shared" si="57"/>
        <v>LSTK100</v>
      </c>
    </row>
    <row r="758" spans="1:10">
      <c r="A758" s="79" t="s">
        <v>1554</v>
      </c>
      <c r="B758" s="84" t="s">
        <v>1100</v>
      </c>
      <c r="C758" s="81" t="s">
        <v>3264</v>
      </c>
      <c r="D758" s="80" t="s">
        <v>2538</v>
      </c>
      <c r="E758" s="2238" t="str">
        <f t="shared" si="58"/>
        <v>LS</v>
      </c>
      <c r="F758" s="55">
        <v>2000</v>
      </c>
      <c r="J758" s="55" t="str">
        <f t="shared" si="57"/>
        <v>LSTK70</v>
      </c>
    </row>
    <row r="759" spans="1:10">
      <c r="A759" s="79" t="s">
        <v>411</v>
      </c>
      <c r="B759" s="84" t="s">
        <v>1101</v>
      </c>
      <c r="C759" s="81" t="s">
        <v>3265</v>
      </c>
      <c r="D759" s="80" t="s">
        <v>2538</v>
      </c>
      <c r="E759" s="2238" t="str">
        <f t="shared" si="58"/>
        <v>LS</v>
      </c>
      <c r="F759" s="55">
        <v>2000</v>
      </c>
      <c r="J759" s="55" t="str">
        <f t="shared" si="57"/>
        <v>LSTK50</v>
      </c>
    </row>
    <row r="760" spans="1:10">
      <c r="A760" s="79" t="s">
        <v>412</v>
      </c>
      <c r="B760" s="84" t="s">
        <v>1281</v>
      </c>
      <c r="C760" s="81" t="s">
        <v>3266</v>
      </c>
      <c r="D760" s="80" t="s">
        <v>2538</v>
      </c>
      <c r="E760" s="2238" t="str">
        <f t="shared" si="58"/>
        <v>LS</v>
      </c>
      <c r="F760" s="55">
        <v>2000</v>
      </c>
      <c r="J760" s="55" t="str">
        <f t="shared" si="57"/>
        <v>LSTK120d</v>
      </c>
    </row>
    <row r="761" spans="1:10">
      <c r="A761" s="79" t="s">
        <v>491</v>
      </c>
      <c r="B761" s="84" t="s">
        <v>1419</v>
      </c>
      <c r="C761" s="81" t="s">
        <v>3267</v>
      </c>
      <c r="D761" s="80" t="s">
        <v>2538</v>
      </c>
      <c r="E761" s="2238" t="str">
        <f t="shared" si="58"/>
        <v>LS</v>
      </c>
      <c r="F761" s="55">
        <v>2000</v>
      </c>
      <c r="J761" s="55" t="str">
        <f t="shared" si="57"/>
        <v>LSTK220d</v>
      </c>
    </row>
    <row r="762" spans="1:10">
      <c r="A762" s="79" t="s">
        <v>2014</v>
      </c>
      <c r="B762" s="84" t="s">
        <v>1102</v>
      </c>
      <c r="C762" s="81" t="s">
        <v>3268</v>
      </c>
      <c r="D762" s="80" t="s">
        <v>2538</v>
      </c>
      <c r="E762" s="2238" t="str">
        <f t="shared" si="58"/>
        <v>LP</v>
      </c>
      <c r="F762" s="55">
        <v>2000</v>
      </c>
      <c r="J762" s="55" t="str">
        <f t="shared" si="57"/>
        <v>LPVC42CL</v>
      </c>
    </row>
    <row r="763" spans="1:10">
      <c r="A763" s="79" t="s">
        <v>1099</v>
      </c>
      <c r="B763" s="84" t="s">
        <v>2108</v>
      </c>
      <c r="C763" s="81" t="s">
        <v>3269</v>
      </c>
      <c r="D763" s="80" t="s">
        <v>2538</v>
      </c>
      <c r="E763" s="2238" t="str">
        <f t="shared" si="58"/>
        <v>LP</v>
      </c>
      <c r="F763" s="55">
        <v>2000</v>
      </c>
      <c r="J763" s="55" t="str">
        <f t="shared" si="57"/>
        <v>LPVC60CL</v>
      </c>
    </row>
    <row r="764" spans="1:10">
      <c r="A764" s="79" t="s">
        <v>552</v>
      </c>
      <c r="B764" s="84" t="s">
        <v>1754</v>
      </c>
      <c r="C764" s="81" t="s">
        <v>3270</v>
      </c>
      <c r="D764" s="80" t="s">
        <v>2538</v>
      </c>
      <c r="E764" s="2238" t="str">
        <f t="shared" si="58"/>
        <v>LP</v>
      </c>
      <c r="F764" s="55">
        <v>2000</v>
      </c>
      <c r="J764" s="55" t="str">
        <f t="shared" si="57"/>
        <v>LPVC90CL</v>
      </c>
    </row>
    <row r="765" spans="1:10">
      <c r="A765" s="79" t="s">
        <v>961</v>
      </c>
      <c r="B765" s="84" t="s">
        <v>962</v>
      </c>
      <c r="C765" s="81" t="s">
        <v>3271</v>
      </c>
      <c r="D765" s="80" t="s">
        <v>2538</v>
      </c>
      <c r="E765" s="2238" t="str">
        <f t="shared" si="58"/>
        <v>LP</v>
      </c>
      <c r="F765" s="55">
        <v>2000</v>
      </c>
      <c r="J765" s="55" t="str">
        <f t="shared" si="57"/>
        <v>LPVC114CL</v>
      </c>
    </row>
    <row r="766" spans="1:10">
      <c r="A766" s="79" t="s">
        <v>442</v>
      </c>
      <c r="B766" s="84" t="s">
        <v>1102</v>
      </c>
      <c r="C766" s="81" t="s">
        <v>3272</v>
      </c>
      <c r="D766" s="80" t="s">
        <v>2538</v>
      </c>
      <c r="E766" s="2238" t="str">
        <f t="shared" si="58"/>
        <v>LP</v>
      </c>
      <c r="F766" s="55">
        <v>2000</v>
      </c>
      <c r="J766" s="55" t="str">
        <f t="shared" si="57"/>
        <v>LPVC140CL</v>
      </c>
    </row>
    <row r="767" spans="1:10">
      <c r="A767" s="79" t="s">
        <v>1188</v>
      </c>
      <c r="B767" s="1767" t="s">
        <v>575</v>
      </c>
      <c r="C767" s="81" t="s">
        <v>1189</v>
      </c>
      <c r="D767" s="80" t="s">
        <v>2538</v>
      </c>
      <c r="E767" s="2238" t="str">
        <f t="shared" si="58"/>
        <v>LP</v>
      </c>
      <c r="F767" s="55">
        <v>2000</v>
      </c>
      <c r="J767" s="55" t="str">
        <f t="shared" si="57"/>
        <v>LPVC</v>
      </c>
    </row>
    <row r="768" spans="1:10">
      <c r="A768" s="79" t="s">
        <v>2100</v>
      </c>
      <c r="B768" s="1767" t="s">
        <v>1603</v>
      </c>
      <c r="C768" s="81" t="s">
        <v>3273</v>
      </c>
      <c r="D768" s="80" t="s">
        <v>2538</v>
      </c>
      <c r="E768" s="2238" t="str">
        <f t="shared" si="58"/>
        <v>KC</v>
      </c>
      <c r="F768" s="55">
        <v>2000</v>
      </c>
      <c r="J768" s="55" t="str">
        <f t="shared" si="57"/>
        <v>KCN1kg</v>
      </c>
    </row>
    <row r="769" spans="1:10">
      <c r="A769" s="79" t="s">
        <v>1837</v>
      </c>
      <c r="B769" s="1767" t="s">
        <v>1604</v>
      </c>
      <c r="C769" s="81" t="s">
        <v>3274</v>
      </c>
      <c r="D769" s="80" t="s">
        <v>2538</v>
      </c>
      <c r="E769" s="2238" t="str">
        <f t="shared" si="58"/>
        <v>KC</v>
      </c>
      <c r="F769" s="55">
        <v>2000</v>
      </c>
      <c r="J769" s="55" t="str">
        <f t="shared" si="57"/>
        <v>KCN2kg</v>
      </c>
    </row>
    <row r="770" spans="1:10">
      <c r="A770" s="79" t="s">
        <v>810</v>
      </c>
      <c r="B770" s="1767" t="s">
        <v>1605</v>
      </c>
      <c r="C770" s="81" t="s">
        <v>3275</v>
      </c>
      <c r="D770" s="80" t="s">
        <v>2538</v>
      </c>
      <c r="E770" s="2238" t="str">
        <f t="shared" si="58"/>
        <v>KC</v>
      </c>
      <c r="F770" s="55">
        <v>2000</v>
      </c>
      <c r="J770" s="55" t="str">
        <f t="shared" si="57"/>
        <v>KCN3kg</v>
      </c>
    </row>
    <row r="771" spans="1:10">
      <c r="A771" s="79" t="s">
        <v>811</v>
      </c>
      <c r="B771" s="1767" t="s">
        <v>1606</v>
      </c>
      <c r="C771" s="81" t="s">
        <v>3276</v>
      </c>
      <c r="D771" s="80" t="s">
        <v>2538</v>
      </c>
      <c r="E771" s="2238" t="str">
        <f t="shared" si="58"/>
        <v>KC</v>
      </c>
      <c r="F771" s="55">
        <v>2000</v>
      </c>
      <c r="J771" s="55" t="str">
        <f t="shared" si="57"/>
        <v>KCN4kg</v>
      </c>
    </row>
    <row r="772" spans="1:10">
      <c r="A772" s="79" t="s">
        <v>1182</v>
      </c>
      <c r="B772" s="1767" t="s">
        <v>1607</v>
      </c>
      <c r="C772" s="81" t="s">
        <v>3277</v>
      </c>
      <c r="D772" s="80" t="s">
        <v>2538</v>
      </c>
      <c r="E772" s="2238" t="str">
        <f t="shared" si="58"/>
        <v>KC</v>
      </c>
      <c r="F772" s="55">
        <v>2000</v>
      </c>
      <c r="J772" s="55" t="str">
        <f t="shared" si="57"/>
        <v>KCN6kg</v>
      </c>
    </row>
    <row r="773" spans="1:10">
      <c r="A773" s="79" t="s">
        <v>1183</v>
      </c>
      <c r="B773" s="1767" t="s">
        <v>1689</v>
      </c>
      <c r="C773" s="81" t="s">
        <v>3278</v>
      </c>
      <c r="D773" s="80" t="s">
        <v>2538</v>
      </c>
      <c r="E773" s="2238" t="str">
        <f t="shared" si="58"/>
        <v>KC</v>
      </c>
      <c r="F773" s="55">
        <v>2000</v>
      </c>
      <c r="J773" s="55" t="str">
        <f t="shared" si="57"/>
        <v>KCN7kg</v>
      </c>
    </row>
    <row r="774" spans="1:10">
      <c r="A774" s="79" t="s">
        <v>1039</v>
      </c>
      <c r="B774" s="1767" t="s">
        <v>1690</v>
      </c>
      <c r="C774" s="81" t="s">
        <v>3279</v>
      </c>
      <c r="D774" s="80" t="s">
        <v>2538</v>
      </c>
      <c r="E774" s="2238" t="str">
        <f t="shared" si="58"/>
        <v>KC</v>
      </c>
      <c r="F774" s="55">
        <v>2000</v>
      </c>
      <c r="J774" s="55" t="str">
        <f t="shared" si="57"/>
        <v>KCN9kg</v>
      </c>
    </row>
    <row r="775" spans="1:10">
      <c r="A775" s="79" t="s">
        <v>1691</v>
      </c>
      <c r="B775" s="1767" t="s">
        <v>1693</v>
      </c>
      <c r="C775" s="81" t="s">
        <v>3280</v>
      </c>
      <c r="D775" s="80" t="s">
        <v>2538</v>
      </c>
      <c r="E775" s="2238" t="str">
        <f t="shared" si="58"/>
        <v>KC</v>
      </c>
      <c r="F775" s="55">
        <v>2000</v>
      </c>
      <c r="J775" s="55" t="str">
        <f t="shared" si="57"/>
        <v>KCN10kg</v>
      </c>
    </row>
    <row r="776" spans="1:10">
      <c r="A776" s="79" t="s">
        <v>1692</v>
      </c>
      <c r="B776" s="1767" t="s">
        <v>1694</v>
      </c>
      <c r="C776" s="81" t="s">
        <v>3281</v>
      </c>
      <c r="D776" s="80" t="s">
        <v>2538</v>
      </c>
      <c r="E776" s="2238" t="str">
        <f t="shared" si="58"/>
        <v>KC</v>
      </c>
      <c r="F776" s="55">
        <v>2000</v>
      </c>
      <c r="J776" s="55" t="str">
        <f t="shared" si="57"/>
        <v>KCN12kg</v>
      </c>
    </row>
    <row r="777" spans="1:10">
      <c r="A777" s="79" t="s">
        <v>1200</v>
      </c>
      <c r="B777" s="84" t="s">
        <v>1530</v>
      </c>
      <c r="C777" s="81" t="s">
        <v>3282</v>
      </c>
      <c r="D777" s="80" t="s">
        <v>2538</v>
      </c>
      <c r="E777" s="2238" t="str">
        <f t="shared" si="58"/>
        <v>KC</v>
      </c>
      <c r="F777" s="55">
        <v>2000</v>
      </c>
      <c r="J777" s="55" t="str">
        <f t="shared" si="57"/>
        <v>KCNT1kg</v>
      </c>
    </row>
    <row r="778" spans="1:10">
      <c r="A778" s="79" t="s">
        <v>1201</v>
      </c>
      <c r="B778" s="84" t="s">
        <v>334</v>
      </c>
      <c r="C778" s="81" t="s">
        <v>3283</v>
      </c>
      <c r="D778" s="80" t="s">
        <v>2538</v>
      </c>
      <c r="E778" s="2238" t="str">
        <f t="shared" si="58"/>
        <v>KC</v>
      </c>
      <c r="F778" s="55">
        <v>2000</v>
      </c>
      <c r="J778" s="55" t="str">
        <f t="shared" si="57"/>
        <v>KCNT2kg</v>
      </c>
    </row>
    <row r="779" spans="1:10">
      <c r="A779" s="79" t="s">
        <v>1202</v>
      </c>
      <c r="B779" s="84" t="s">
        <v>335</v>
      </c>
      <c r="C779" s="81" t="s">
        <v>3284</v>
      </c>
      <c r="D779" s="80" t="s">
        <v>2538</v>
      </c>
      <c r="E779" s="2238" t="str">
        <f t="shared" si="58"/>
        <v>KC</v>
      </c>
      <c r="F779" s="55">
        <v>2000</v>
      </c>
      <c r="J779" s="55" t="str">
        <f t="shared" si="57"/>
        <v>KCNT3kg</v>
      </c>
    </row>
    <row r="780" spans="1:10">
      <c r="A780" s="79" t="s">
        <v>1203</v>
      </c>
      <c r="B780" s="84" t="s">
        <v>336</v>
      </c>
      <c r="C780" s="81" t="s">
        <v>3285</v>
      </c>
      <c r="D780" s="80" t="s">
        <v>2538</v>
      </c>
      <c r="E780" s="2238" t="str">
        <f t="shared" si="58"/>
        <v>KC</v>
      </c>
      <c r="F780" s="55">
        <v>2000</v>
      </c>
      <c r="J780" s="55" t="str">
        <f t="shared" si="57"/>
        <v>KCNT4kg</v>
      </c>
    </row>
    <row r="781" spans="1:10">
      <c r="A781" s="79" t="s">
        <v>1204</v>
      </c>
      <c r="B781" s="84" t="s">
        <v>337</v>
      </c>
      <c r="C781" s="81" t="s">
        <v>3286</v>
      </c>
      <c r="D781" s="80" t="s">
        <v>2538</v>
      </c>
      <c r="E781" s="2238" t="str">
        <f t="shared" si="58"/>
        <v>KC</v>
      </c>
      <c r="F781" s="55">
        <v>2000</v>
      </c>
      <c r="J781" s="55" t="str">
        <f t="shared" ref="J781:J836" si="59">A781</f>
        <v>KCNT6kg</v>
      </c>
    </row>
    <row r="782" spans="1:10">
      <c r="A782" s="79" t="s">
        <v>1205</v>
      </c>
      <c r="B782" s="84" t="s">
        <v>1283</v>
      </c>
      <c r="C782" s="81" t="s">
        <v>3287</v>
      </c>
      <c r="D782" s="80" t="s">
        <v>2538</v>
      </c>
      <c r="E782" s="2238" t="str">
        <f t="shared" si="58"/>
        <v>KC</v>
      </c>
      <c r="F782" s="55">
        <v>2000</v>
      </c>
      <c r="J782" s="55" t="str">
        <f t="shared" si="59"/>
        <v>KCNT7kg</v>
      </c>
    </row>
    <row r="783" spans="1:10">
      <c r="A783" s="79" t="s">
        <v>1206</v>
      </c>
      <c r="B783" s="84" t="s">
        <v>338</v>
      </c>
      <c r="C783" s="81" t="s">
        <v>3288</v>
      </c>
      <c r="D783" s="80" t="s">
        <v>2538</v>
      </c>
      <c r="E783" s="2238" t="str">
        <f t="shared" si="58"/>
        <v>KC</v>
      </c>
      <c r="F783" s="55">
        <v>2000</v>
      </c>
      <c r="J783" s="55" t="str">
        <f t="shared" si="59"/>
        <v>KCNT9kg</v>
      </c>
    </row>
    <row r="784" spans="1:10">
      <c r="A784" s="79" t="s">
        <v>347</v>
      </c>
      <c r="B784" s="84" t="s">
        <v>434</v>
      </c>
      <c r="C784" s="81" t="s">
        <v>3289</v>
      </c>
      <c r="D784" s="80" t="s">
        <v>2445</v>
      </c>
      <c r="E784" s="2238" t="str">
        <f t="shared" si="58"/>
        <v>LS</v>
      </c>
      <c r="F784" s="55">
        <v>2000</v>
      </c>
      <c r="J784" s="55" t="str">
        <f t="shared" si="59"/>
        <v>LSD</v>
      </c>
    </row>
    <row r="785" spans="1:10">
      <c r="A785" s="79" t="s">
        <v>1230</v>
      </c>
      <c r="B785" s="84" t="s">
        <v>434</v>
      </c>
      <c r="C785" s="81" t="s">
        <v>3290</v>
      </c>
      <c r="D785" s="80" t="s">
        <v>2445</v>
      </c>
      <c r="E785" s="2238" t="str">
        <f t="shared" si="58"/>
        <v>LS</v>
      </c>
      <c r="F785" s="55">
        <v>2000</v>
      </c>
      <c r="J785" s="55" t="str">
        <f t="shared" si="59"/>
        <v>LSD_T</v>
      </c>
    </row>
    <row r="786" spans="1:10">
      <c r="A786" s="79" t="s">
        <v>1184</v>
      </c>
      <c r="B786" s="84" t="s">
        <v>926</v>
      </c>
      <c r="C786" s="81" t="s">
        <v>3291</v>
      </c>
      <c r="D786" s="80" t="s">
        <v>2445</v>
      </c>
      <c r="E786" s="2238" t="str">
        <f t="shared" si="58"/>
        <v>ls</v>
      </c>
      <c r="F786" s="55">
        <v>2000</v>
      </c>
      <c r="J786" s="55" t="str">
        <f t="shared" si="59"/>
        <v>lsd35</v>
      </c>
    </row>
    <row r="787" spans="1:10">
      <c r="A787" s="79" t="s">
        <v>349</v>
      </c>
      <c r="B787" s="84" t="s">
        <v>1252</v>
      </c>
      <c r="C787" s="81" t="s">
        <v>3292</v>
      </c>
      <c r="D787" s="80" t="s">
        <v>2518</v>
      </c>
      <c r="E787" s="2238" t="str">
        <f t="shared" si="58"/>
        <v>LC</v>
      </c>
      <c r="F787" s="55">
        <v>2000</v>
      </c>
      <c r="J787" s="55" t="str">
        <f t="shared" si="59"/>
        <v>LCHSD</v>
      </c>
    </row>
    <row r="788" spans="1:10">
      <c r="A788" s="79" t="s">
        <v>350</v>
      </c>
      <c r="B788" s="84" t="s">
        <v>294</v>
      </c>
      <c r="C788" s="81" t="s">
        <v>3293</v>
      </c>
      <c r="D788" s="80" t="s">
        <v>2518</v>
      </c>
      <c r="E788" s="2238" t="str">
        <f t="shared" si="58"/>
        <v>LC</v>
      </c>
      <c r="F788" s="55">
        <v>2000</v>
      </c>
      <c r="J788" s="55" t="str">
        <f t="shared" si="59"/>
        <v>LCHSN</v>
      </c>
    </row>
    <row r="789" spans="1:10">
      <c r="A789" s="79" t="s">
        <v>1510</v>
      </c>
      <c r="B789" s="84" t="s">
        <v>4366</v>
      </c>
      <c r="C789" s="81" t="s">
        <v>3294</v>
      </c>
      <c r="D789" s="80" t="s">
        <v>2518</v>
      </c>
      <c r="E789" s="2238" t="str">
        <f t="shared" si="58"/>
        <v>LC</v>
      </c>
      <c r="F789" s="55">
        <v>2000</v>
      </c>
      <c r="J789" s="55" t="str">
        <f t="shared" si="59"/>
        <v>LCHSNply</v>
      </c>
    </row>
    <row r="790" spans="1:10">
      <c r="A790" s="79" t="s">
        <v>626</v>
      </c>
      <c r="B790" s="84" t="s">
        <v>627</v>
      </c>
      <c r="C790" s="81" t="s">
        <v>3295</v>
      </c>
      <c r="D790" s="80" t="s">
        <v>2518</v>
      </c>
      <c r="E790" s="2238" t="str">
        <f t="shared" si="58"/>
        <v>LC</v>
      </c>
      <c r="F790" s="55">
        <v>2000</v>
      </c>
      <c r="J790" s="55" t="str">
        <f t="shared" si="59"/>
        <v>LCHSN3</v>
      </c>
    </row>
    <row r="791" spans="1:10">
      <c r="A791" s="79" t="s">
        <v>351</v>
      </c>
      <c r="B791" s="84" t="s">
        <v>4365</v>
      </c>
      <c r="C791" s="81" t="s">
        <v>3296</v>
      </c>
      <c r="D791" s="80" t="s">
        <v>2445</v>
      </c>
      <c r="E791" s="2238" t="str">
        <f t="shared" si="58"/>
        <v>LS</v>
      </c>
      <c r="F791" s="55">
        <v>2000</v>
      </c>
      <c r="J791" s="55" t="str">
        <f t="shared" si="59"/>
        <v>LSOC</v>
      </c>
    </row>
    <row r="792" spans="1:10">
      <c r="A792" s="79" t="s">
        <v>125</v>
      </c>
      <c r="B792" s="84" t="s">
        <v>126</v>
      </c>
      <c r="C792" s="81" t="s">
        <v>3297</v>
      </c>
      <c r="D792" s="80" t="s">
        <v>2445</v>
      </c>
      <c r="E792" s="2238" t="str">
        <f t="shared" si="58"/>
        <v>LR</v>
      </c>
      <c r="F792" s="55">
        <v>2000</v>
      </c>
      <c r="J792" s="55" t="str">
        <f t="shared" si="59"/>
        <v>LR2</v>
      </c>
    </row>
    <row r="793" spans="1:10">
      <c r="A793" s="79" t="s">
        <v>452</v>
      </c>
      <c r="B793" s="84" t="s">
        <v>1011</v>
      </c>
      <c r="C793" s="81" t="s">
        <v>3298</v>
      </c>
      <c r="D793" s="80" t="s">
        <v>2445</v>
      </c>
      <c r="E793" s="2238" t="str">
        <f t="shared" si="58"/>
        <v>LR</v>
      </c>
      <c r="F793" s="55">
        <v>2000</v>
      </c>
      <c r="J793" s="55" t="str">
        <f t="shared" si="59"/>
        <v>LR3</v>
      </c>
    </row>
    <row r="794" spans="1:10">
      <c r="A794" s="79" t="s">
        <v>689</v>
      </c>
      <c r="B794" s="84" t="s">
        <v>1012</v>
      </c>
      <c r="C794" s="81" t="s">
        <v>3299</v>
      </c>
      <c r="D794" s="80" t="s">
        <v>2445</v>
      </c>
      <c r="E794" s="2238" t="str">
        <f t="shared" si="58"/>
        <v>LR</v>
      </c>
      <c r="F794" s="55">
        <v>2000</v>
      </c>
      <c r="J794" s="55" t="str">
        <f t="shared" si="59"/>
        <v>LR4</v>
      </c>
    </row>
    <row r="795" spans="1:10">
      <c r="A795" s="79" t="s">
        <v>2170</v>
      </c>
      <c r="B795" s="1767" t="s">
        <v>2171</v>
      </c>
      <c r="C795" s="81" t="s">
        <v>3300</v>
      </c>
      <c r="D795" s="80" t="s">
        <v>2839</v>
      </c>
      <c r="E795" s="2238" t="str">
        <f t="shared" si="58"/>
        <v>LT</v>
      </c>
      <c r="F795" s="55">
        <v>2000</v>
      </c>
      <c r="J795" s="55" t="str">
        <f t="shared" si="59"/>
        <v>LTRUHL-I</v>
      </c>
    </row>
    <row r="796" spans="1:10">
      <c r="A796" s="79" t="s">
        <v>160</v>
      </c>
      <c r="B796" s="1767" t="s">
        <v>156</v>
      </c>
      <c r="C796" s="81" t="s">
        <v>3301</v>
      </c>
      <c r="D796" s="80" t="s">
        <v>2445</v>
      </c>
      <c r="E796" s="2238" t="str">
        <f t="shared" si="58"/>
        <v>LS</v>
      </c>
      <c r="F796" s="55">
        <v>2000</v>
      </c>
      <c r="J796" s="55" t="str">
        <f t="shared" si="59"/>
        <v>LSDHL-DX</v>
      </c>
    </row>
    <row r="797" spans="1:10">
      <c r="A797" s="79" t="s">
        <v>155</v>
      </c>
      <c r="B797" s="1767" t="s">
        <v>157</v>
      </c>
      <c r="C797" s="81" t="s">
        <v>3302</v>
      </c>
      <c r="D797" s="80" t="s">
        <v>2445</v>
      </c>
      <c r="E797" s="2238" t="str">
        <f t="shared" si="58"/>
        <v>LC</v>
      </c>
      <c r="F797" s="55">
        <v>2000</v>
      </c>
      <c r="J797" s="55" t="str">
        <f t="shared" si="59"/>
        <v>LCHSNplyHL</v>
      </c>
    </row>
    <row r="798" spans="1:10">
      <c r="A798" s="79" t="s">
        <v>401</v>
      </c>
      <c r="B798" s="1767" t="s">
        <v>402</v>
      </c>
      <c r="C798" s="81" t="s">
        <v>3303</v>
      </c>
      <c r="D798" s="80" t="s">
        <v>3304</v>
      </c>
      <c r="E798" s="2238" t="str">
        <f t="shared" si="58"/>
        <v>DN</v>
      </c>
      <c r="F798" s="55">
        <v>2000</v>
      </c>
      <c r="J798" s="55" t="str">
        <f t="shared" si="59"/>
        <v>DN CL</v>
      </c>
    </row>
    <row r="799" spans="1:10">
      <c r="A799" s="79" t="s">
        <v>159</v>
      </c>
      <c r="B799" s="1767" t="s">
        <v>158</v>
      </c>
      <c r="C799" s="81" t="s">
        <v>3305</v>
      </c>
      <c r="D799" s="80" t="s">
        <v>2445</v>
      </c>
      <c r="E799" s="2238" t="str">
        <f t="shared" si="58"/>
        <v>LX</v>
      </c>
      <c r="F799" s="55">
        <v>2000</v>
      </c>
      <c r="J799" s="55" t="str">
        <f t="shared" si="59"/>
        <v>LXHL</v>
      </c>
    </row>
    <row r="800" spans="1:10">
      <c r="A800" s="79" t="s">
        <v>161</v>
      </c>
      <c r="B800" s="1767" t="s">
        <v>325</v>
      </c>
      <c r="C800" s="81" t="s">
        <v>3306</v>
      </c>
      <c r="D800" s="80" t="s">
        <v>2445</v>
      </c>
      <c r="E800" s="2238" t="str">
        <f t="shared" si="58"/>
        <v>LS</v>
      </c>
      <c r="F800" s="55">
        <v>2000</v>
      </c>
      <c r="J800" s="55" t="str">
        <f t="shared" si="59"/>
        <v>LSDHL-V</v>
      </c>
    </row>
    <row r="801" spans="1:10">
      <c r="A801" s="79" t="s">
        <v>327</v>
      </c>
      <c r="B801" s="1767" t="s">
        <v>326</v>
      </c>
      <c r="C801" s="81" t="s">
        <v>3307</v>
      </c>
      <c r="D801" s="80" t="s">
        <v>2445</v>
      </c>
      <c r="E801" s="2238" t="str">
        <f t="shared" si="58"/>
        <v>LF</v>
      </c>
      <c r="F801" s="55">
        <v>2000</v>
      </c>
      <c r="J801" s="55" t="str">
        <f t="shared" si="59"/>
        <v>LFCOHL</v>
      </c>
    </row>
    <row r="802" spans="1:10">
      <c r="A802" s="79" t="s">
        <v>328</v>
      </c>
      <c r="B802" s="1767" t="s">
        <v>326</v>
      </c>
      <c r="C802" s="81" t="s">
        <v>3308</v>
      </c>
      <c r="D802" s="80" t="s">
        <v>2563</v>
      </c>
      <c r="E802" s="2238" t="str">
        <f t="shared" si="58"/>
        <v>LL</v>
      </c>
      <c r="F802" s="55">
        <v>2000</v>
      </c>
      <c r="J802" s="55" t="str">
        <f t="shared" si="59"/>
        <v>LLAHL</v>
      </c>
    </row>
    <row r="803" spans="1:10">
      <c r="A803" s="79" t="s">
        <v>352</v>
      </c>
      <c r="B803" s="84" t="s">
        <v>2128</v>
      </c>
      <c r="C803" s="81" t="s">
        <v>3309</v>
      </c>
      <c r="D803" s="80" t="s">
        <v>2563</v>
      </c>
      <c r="E803" s="2238" t="str">
        <f t="shared" ref="E803:E858" si="60">LEFT(A803,2)</f>
        <v>LB</v>
      </c>
      <c r="F803" s="55">
        <v>2000</v>
      </c>
      <c r="J803" s="55" t="str">
        <f t="shared" si="59"/>
        <v>LBNH</v>
      </c>
    </row>
    <row r="804" spans="1:10">
      <c r="A804" s="79" t="s">
        <v>848</v>
      </c>
      <c r="B804" s="84" t="s">
        <v>2255</v>
      </c>
      <c r="C804" s="81" t="s">
        <v>3310</v>
      </c>
      <c r="D804" s="80" t="s">
        <v>1827</v>
      </c>
      <c r="E804" s="2238" t="str">
        <f t="shared" si="60"/>
        <v>Lc</v>
      </c>
      <c r="F804" s="55">
        <v>2000</v>
      </c>
      <c r="J804" s="55" t="str">
        <f t="shared" si="59"/>
        <v>LcapdongTB95</v>
      </c>
    </row>
    <row r="805" spans="1:10">
      <c r="A805" s="79" t="s">
        <v>849</v>
      </c>
      <c r="B805" s="84" t="s">
        <v>33</v>
      </c>
      <c r="C805" s="81" t="s">
        <v>3311</v>
      </c>
      <c r="D805" s="80" t="s">
        <v>1827</v>
      </c>
      <c r="E805" s="2238" t="str">
        <f t="shared" si="60"/>
        <v>Lc</v>
      </c>
      <c r="F805" s="55">
        <v>2000</v>
      </c>
      <c r="J805" s="55" t="str">
        <f t="shared" si="59"/>
        <v>LcapdongTB150</v>
      </c>
    </row>
    <row r="806" spans="1:10">
      <c r="A806" s="79" t="s">
        <v>1894</v>
      </c>
      <c r="B806" s="84" t="s">
        <v>1014</v>
      </c>
      <c r="C806" s="81" t="s">
        <v>3312</v>
      </c>
      <c r="D806" s="80" t="s">
        <v>1827</v>
      </c>
      <c r="E806" s="2238" t="str">
        <f t="shared" si="60"/>
        <v>Lc</v>
      </c>
      <c r="F806" s="55">
        <v>2000</v>
      </c>
      <c r="J806" s="55" t="str">
        <f t="shared" si="59"/>
        <v>LcapdongTB240</v>
      </c>
    </row>
    <row r="807" spans="1:10">
      <c r="A807" s="79" t="s">
        <v>831</v>
      </c>
      <c r="B807" s="84" t="s">
        <v>435</v>
      </c>
      <c r="C807" s="81" t="s">
        <v>3313</v>
      </c>
      <c r="D807" s="80" t="s">
        <v>2563</v>
      </c>
      <c r="E807" s="2238" t="str">
        <f t="shared" si="60"/>
        <v>LF</v>
      </c>
      <c r="F807" s="55">
        <v>2000</v>
      </c>
      <c r="J807" s="55" t="str">
        <f t="shared" si="59"/>
        <v>LFCO</v>
      </c>
    </row>
    <row r="808" spans="1:10">
      <c r="A808" s="79" t="s">
        <v>1401</v>
      </c>
      <c r="B808" s="84" t="s">
        <v>435</v>
      </c>
      <c r="C808" s="81" t="s">
        <v>3314</v>
      </c>
      <c r="D808" s="80" t="s">
        <v>2563</v>
      </c>
      <c r="E808" s="2238" t="str">
        <f t="shared" si="60"/>
        <v>LL</v>
      </c>
      <c r="F808" s="55">
        <v>2000</v>
      </c>
      <c r="J808" s="55" t="str">
        <f t="shared" si="59"/>
        <v>LLBFCO</v>
      </c>
    </row>
    <row r="809" spans="1:10">
      <c r="A809" s="79" t="s">
        <v>1402</v>
      </c>
      <c r="B809" s="84" t="s">
        <v>682</v>
      </c>
      <c r="C809" s="81" t="s">
        <v>2532</v>
      </c>
      <c r="D809" s="80" t="s">
        <v>2445</v>
      </c>
      <c r="E809" s="2238" t="str">
        <f t="shared" si="60"/>
        <v>LG</v>
      </c>
      <c r="F809" s="55">
        <v>2000</v>
      </c>
      <c r="J809" s="55" t="str">
        <f t="shared" si="59"/>
        <v>LGFCO</v>
      </c>
    </row>
    <row r="810" spans="1:10">
      <c r="A810" s="79" t="s">
        <v>98</v>
      </c>
      <c r="B810" s="84" t="s">
        <v>99</v>
      </c>
      <c r="C810" s="81" t="s">
        <v>3315</v>
      </c>
      <c r="D810" s="80" t="s">
        <v>1964</v>
      </c>
      <c r="E810" s="2238" t="str">
        <f t="shared" si="60"/>
        <v>PT</v>
      </c>
      <c r="F810" s="55">
        <v>2000</v>
      </c>
      <c r="J810" s="55" t="str">
        <f t="shared" si="59"/>
        <v>PT</v>
      </c>
    </row>
    <row r="811" spans="1:10">
      <c r="A811" s="79" t="s">
        <v>1216</v>
      </c>
      <c r="B811" s="84" t="s">
        <v>847</v>
      </c>
      <c r="C811" s="81" t="s">
        <v>3316</v>
      </c>
      <c r="D811" s="80" t="s">
        <v>1964</v>
      </c>
      <c r="E811" s="2238" t="str">
        <f t="shared" si="60"/>
        <v>PH</v>
      </c>
      <c r="F811" s="55">
        <v>2000</v>
      </c>
      <c r="J811" s="55" t="str">
        <f t="shared" si="59"/>
        <v>PHABETONG</v>
      </c>
    </row>
    <row r="812" spans="1:10">
      <c r="A812" s="79" t="s">
        <v>1627</v>
      </c>
      <c r="B812" s="1767" t="s">
        <v>779</v>
      </c>
      <c r="C812" s="81" t="s">
        <v>3317</v>
      </c>
      <c r="D812" s="80" t="s">
        <v>3318</v>
      </c>
      <c r="E812" s="2238" t="str">
        <f t="shared" si="60"/>
        <v>TR</v>
      </c>
      <c r="F812" s="55">
        <v>1</v>
      </c>
      <c r="G812" s="55" t="s">
        <v>512</v>
      </c>
      <c r="J812" s="55" t="str">
        <f t="shared" si="59"/>
        <v>TR15</v>
      </c>
    </row>
    <row r="813" spans="1:10">
      <c r="A813" s="79" t="s">
        <v>935</v>
      </c>
      <c r="B813" s="1767" t="s">
        <v>779</v>
      </c>
      <c r="C813" s="81" t="s">
        <v>3319</v>
      </c>
      <c r="D813" s="80" t="s">
        <v>3318</v>
      </c>
      <c r="E813" s="2238" t="str">
        <f t="shared" si="60"/>
        <v>TR</v>
      </c>
      <c r="F813" s="55">
        <v>1</v>
      </c>
      <c r="G813" s="55" t="s">
        <v>512</v>
      </c>
      <c r="J813" s="55" t="str">
        <f t="shared" si="59"/>
        <v>TR25</v>
      </c>
    </row>
    <row r="814" spans="1:10">
      <c r="A814" s="79" t="s">
        <v>1652</v>
      </c>
      <c r="B814" s="1767" t="s">
        <v>1653</v>
      </c>
      <c r="C814" s="81" t="s">
        <v>3320</v>
      </c>
      <c r="D814" s="80" t="s">
        <v>3318</v>
      </c>
      <c r="E814" s="2238" t="str">
        <f t="shared" si="60"/>
        <v>TR</v>
      </c>
      <c r="F814" s="55">
        <v>1</v>
      </c>
      <c r="G814" s="55" t="s">
        <v>512</v>
      </c>
      <c r="J814" s="55" t="str">
        <f t="shared" si="59"/>
        <v>TR37</v>
      </c>
    </row>
    <row r="815" spans="1:10">
      <c r="A815" s="79" t="s">
        <v>946</v>
      </c>
      <c r="B815" s="1767" t="s">
        <v>1653</v>
      </c>
      <c r="C815" s="81" t="s">
        <v>3321</v>
      </c>
      <c r="D815" s="80" t="s">
        <v>3318</v>
      </c>
      <c r="E815" s="2238" t="str">
        <f t="shared" si="60"/>
        <v>TR</v>
      </c>
      <c r="F815" s="55">
        <v>1</v>
      </c>
      <c r="G815" s="55" t="s">
        <v>512</v>
      </c>
      <c r="J815" s="55" t="str">
        <f t="shared" si="59"/>
        <v>TR50</v>
      </c>
    </row>
    <row r="816" spans="1:10">
      <c r="A816" s="79" t="s">
        <v>1834</v>
      </c>
      <c r="B816" s="1767" t="s">
        <v>214</v>
      </c>
      <c r="C816" s="81" t="s">
        <v>3322</v>
      </c>
      <c r="D816" s="80" t="s">
        <v>3318</v>
      </c>
      <c r="E816" s="2238" t="str">
        <f t="shared" si="60"/>
        <v>TR</v>
      </c>
      <c r="F816" s="55">
        <v>1</v>
      </c>
      <c r="G816" s="55" t="s">
        <v>512</v>
      </c>
      <c r="J816" s="55" t="str">
        <f t="shared" si="59"/>
        <v>TR75</v>
      </c>
    </row>
    <row r="817" spans="1:10">
      <c r="A817" s="79" t="s">
        <v>502</v>
      </c>
      <c r="B817" s="84" t="s">
        <v>1859</v>
      </c>
      <c r="C817" s="81" t="s">
        <v>3323</v>
      </c>
      <c r="D817" s="80" t="s">
        <v>3318</v>
      </c>
      <c r="E817" s="2238" t="str">
        <f t="shared" si="60"/>
        <v>T1</v>
      </c>
      <c r="F817" s="55">
        <v>1</v>
      </c>
      <c r="G817" s="55" t="s">
        <v>512</v>
      </c>
      <c r="J817" s="55" t="str">
        <f t="shared" si="59"/>
        <v>T100</v>
      </c>
    </row>
    <row r="818" spans="1:10">
      <c r="A818" s="79" t="s">
        <v>822</v>
      </c>
      <c r="B818" s="1767" t="s">
        <v>779</v>
      </c>
      <c r="C818" s="81" t="s">
        <v>3324</v>
      </c>
      <c r="D818" s="80" t="s">
        <v>3318</v>
      </c>
      <c r="E818" s="2238" t="str">
        <f t="shared" si="60"/>
        <v>TR</v>
      </c>
      <c r="F818" s="55">
        <v>1</v>
      </c>
      <c r="G818" s="55" t="s">
        <v>512</v>
      </c>
      <c r="J818" s="55" t="str">
        <f t="shared" si="59"/>
        <v>TR151</v>
      </c>
    </row>
    <row r="819" spans="1:10">
      <c r="A819" s="79" t="s">
        <v>1210</v>
      </c>
      <c r="B819" s="1767" t="s">
        <v>779</v>
      </c>
      <c r="C819" s="81" t="s">
        <v>3325</v>
      </c>
      <c r="D819" s="80" t="s">
        <v>3318</v>
      </c>
      <c r="E819" s="2238" t="str">
        <f t="shared" si="60"/>
        <v>TR</v>
      </c>
      <c r="F819" s="55">
        <v>1</v>
      </c>
      <c r="G819" s="55" t="s">
        <v>512</v>
      </c>
      <c r="J819" s="55" t="str">
        <f t="shared" si="59"/>
        <v>TR251</v>
      </c>
    </row>
    <row r="820" spans="1:10">
      <c r="A820" s="79" t="s">
        <v>1211</v>
      </c>
      <c r="B820" s="1767" t="s">
        <v>1747</v>
      </c>
      <c r="C820" s="81" t="s">
        <v>3326</v>
      </c>
      <c r="D820" s="80" t="s">
        <v>3318</v>
      </c>
      <c r="E820" s="2238" t="str">
        <f t="shared" si="60"/>
        <v>TR</v>
      </c>
      <c r="F820" s="55">
        <v>1</v>
      </c>
      <c r="G820" s="55" t="s">
        <v>512</v>
      </c>
      <c r="J820" s="55" t="str">
        <f t="shared" si="59"/>
        <v>TR371</v>
      </c>
    </row>
    <row r="821" spans="1:10">
      <c r="A821" s="79" t="s">
        <v>1212</v>
      </c>
      <c r="B821" s="1767" t="s">
        <v>1653</v>
      </c>
      <c r="C821" s="81" t="s">
        <v>4799</v>
      </c>
      <c r="D821" s="80" t="s">
        <v>3318</v>
      </c>
      <c r="E821" s="2238" t="str">
        <f t="shared" si="60"/>
        <v>TR</v>
      </c>
      <c r="F821" s="55">
        <v>1</v>
      </c>
      <c r="G821" s="55" t="s">
        <v>512</v>
      </c>
      <c r="J821" s="55" t="str">
        <f t="shared" si="59"/>
        <v>TR501</v>
      </c>
    </row>
    <row r="822" spans="1:10">
      <c r="A822" s="79" t="s">
        <v>1213</v>
      </c>
      <c r="B822" s="1767" t="s">
        <v>214</v>
      </c>
      <c r="C822" s="81" t="s">
        <v>4547</v>
      </c>
      <c r="D822" s="80" t="s">
        <v>3318</v>
      </c>
      <c r="E822" s="2238" t="str">
        <f t="shared" si="60"/>
        <v>TR</v>
      </c>
      <c r="F822" s="55">
        <v>1</v>
      </c>
      <c r="G822" s="55" t="s">
        <v>512</v>
      </c>
      <c r="J822" s="55" t="str">
        <f t="shared" si="59"/>
        <v>TR751</v>
      </c>
    </row>
    <row r="823" spans="1:10">
      <c r="A823" s="79" t="s">
        <v>503</v>
      </c>
      <c r="B823" s="84" t="s">
        <v>1859</v>
      </c>
      <c r="C823" s="81" t="s">
        <v>3327</v>
      </c>
      <c r="D823" s="80" t="s">
        <v>3318</v>
      </c>
      <c r="E823" s="2238" t="str">
        <f t="shared" si="60"/>
        <v>T1</v>
      </c>
      <c r="F823" s="55">
        <v>1</v>
      </c>
      <c r="G823" s="55" t="s">
        <v>512</v>
      </c>
      <c r="J823" s="55" t="str">
        <f t="shared" si="59"/>
        <v>T1001</v>
      </c>
    </row>
    <row r="824" spans="1:10">
      <c r="A824" s="81" t="s">
        <v>249</v>
      </c>
      <c r="B824" s="1785" t="s">
        <v>929</v>
      </c>
      <c r="C824" s="81" t="s">
        <v>3328</v>
      </c>
      <c r="D824" s="80" t="s">
        <v>3318</v>
      </c>
      <c r="E824" s="2238" t="str">
        <f t="shared" si="60"/>
        <v>TR</v>
      </c>
      <c r="F824" s="55">
        <v>1</v>
      </c>
      <c r="G824" s="55" t="s">
        <v>512</v>
      </c>
      <c r="J824" s="55" t="str">
        <f t="shared" si="59"/>
        <v>TR100</v>
      </c>
    </row>
    <row r="825" spans="1:10">
      <c r="A825" s="81" t="s">
        <v>1505</v>
      </c>
      <c r="B825" s="1785" t="s">
        <v>1860</v>
      </c>
      <c r="C825" s="81" t="s">
        <v>3329</v>
      </c>
      <c r="D825" s="80" t="s">
        <v>3318</v>
      </c>
      <c r="E825" s="2238" t="str">
        <f t="shared" si="60"/>
        <v>TR</v>
      </c>
      <c r="F825" s="55">
        <v>1</v>
      </c>
      <c r="G825" s="55" t="s">
        <v>512</v>
      </c>
      <c r="J825" s="55" t="str">
        <f t="shared" si="59"/>
        <v>TR160</v>
      </c>
    </row>
    <row r="826" spans="1:10">
      <c r="A826" s="81" t="s">
        <v>1245</v>
      </c>
      <c r="B826" s="1785" t="s">
        <v>1860</v>
      </c>
      <c r="C826" s="81" t="s">
        <v>3330</v>
      </c>
      <c r="D826" s="80" t="s">
        <v>3318</v>
      </c>
      <c r="E826" s="2238" t="str">
        <f t="shared" si="60"/>
        <v>TR</v>
      </c>
      <c r="F826" s="55">
        <v>1</v>
      </c>
      <c r="G826" s="55" t="s">
        <v>512</v>
      </c>
      <c r="J826" s="55" t="str">
        <f t="shared" si="59"/>
        <v>TR180</v>
      </c>
    </row>
    <row r="827" spans="1:10">
      <c r="A827" s="81" t="s">
        <v>2075</v>
      </c>
      <c r="B827" s="1785" t="s">
        <v>1861</v>
      </c>
      <c r="C827" s="81" t="s">
        <v>3331</v>
      </c>
      <c r="D827" s="80" t="s">
        <v>3318</v>
      </c>
      <c r="E827" s="2238" t="str">
        <f t="shared" si="60"/>
        <v>TR</v>
      </c>
      <c r="F827" s="55">
        <v>1</v>
      </c>
      <c r="G827" s="55" t="s">
        <v>512</v>
      </c>
      <c r="J827" s="55" t="str">
        <f t="shared" si="59"/>
        <v>TR250</v>
      </c>
    </row>
    <row r="828" spans="1:10">
      <c r="A828" s="81" t="s">
        <v>436</v>
      </c>
      <c r="B828" s="1785" t="s">
        <v>1861</v>
      </c>
      <c r="C828" s="81" t="s">
        <v>3332</v>
      </c>
      <c r="D828" s="80" t="s">
        <v>3318</v>
      </c>
      <c r="E828" s="2238" t="str">
        <f t="shared" si="60"/>
        <v>TR</v>
      </c>
      <c r="F828" s="55">
        <v>1</v>
      </c>
      <c r="G828" s="55" t="s">
        <v>512</v>
      </c>
      <c r="J828" s="55" t="str">
        <f t="shared" si="59"/>
        <v>TR320</v>
      </c>
    </row>
    <row r="829" spans="1:10">
      <c r="A829" s="81" t="s">
        <v>63</v>
      </c>
      <c r="B829" s="1785" t="s">
        <v>1861</v>
      </c>
      <c r="C829" s="81" t="s">
        <v>3333</v>
      </c>
      <c r="D829" s="80" t="s">
        <v>3318</v>
      </c>
      <c r="E829" s="2238" t="str">
        <f t="shared" si="60"/>
        <v>TR</v>
      </c>
      <c r="F829" s="55">
        <v>1</v>
      </c>
      <c r="G829" s="55" t="s">
        <v>512</v>
      </c>
      <c r="J829" s="55" t="str">
        <f t="shared" si="59"/>
        <v>TR400</v>
      </c>
    </row>
    <row r="830" spans="1:10">
      <c r="A830" s="81" t="s">
        <v>843</v>
      </c>
      <c r="B830" s="1785" t="s">
        <v>1862</v>
      </c>
      <c r="C830" s="81" t="s">
        <v>3334</v>
      </c>
      <c r="D830" s="80" t="s">
        <v>3318</v>
      </c>
      <c r="E830" s="2238" t="str">
        <f t="shared" si="60"/>
        <v>TR</v>
      </c>
      <c r="F830" s="55">
        <v>1</v>
      </c>
      <c r="G830" s="55" t="s">
        <v>512</v>
      </c>
      <c r="J830" s="55" t="str">
        <f t="shared" si="59"/>
        <v>TR560</v>
      </c>
    </row>
    <row r="831" spans="1:10">
      <c r="A831" s="81" t="s">
        <v>877</v>
      </c>
      <c r="B831" s="1785" t="s">
        <v>1862</v>
      </c>
      <c r="C831" s="81" t="s">
        <v>3335</v>
      </c>
      <c r="D831" s="80" t="s">
        <v>3318</v>
      </c>
      <c r="E831" s="2238" t="str">
        <f t="shared" si="60"/>
        <v>TR</v>
      </c>
      <c r="F831" s="55">
        <v>1</v>
      </c>
      <c r="G831" s="55" t="s">
        <v>512</v>
      </c>
      <c r="J831" s="55" t="str">
        <f t="shared" si="59"/>
        <v>TR630</v>
      </c>
    </row>
    <row r="832" spans="1:10">
      <c r="A832" s="81" t="s">
        <v>2172</v>
      </c>
      <c r="B832" s="1785" t="s">
        <v>1863</v>
      </c>
      <c r="C832" s="81" t="s">
        <v>3336</v>
      </c>
      <c r="D832" s="80" t="s">
        <v>3318</v>
      </c>
      <c r="E832" s="2238" t="str">
        <f t="shared" si="60"/>
        <v>TR</v>
      </c>
      <c r="F832" s="55">
        <v>1</v>
      </c>
      <c r="G832" s="55" t="s">
        <v>512</v>
      </c>
      <c r="J832" s="55" t="str">
        <f t="shared" si="59"/>
        <v>TR750</v>
      </c>
    </row>
    <row r="833" spans="1:10">
      <c r="A833" s="81" t="s">
        <v>1984</v>
      </c>
      <c r="B833" s="1785" t="s">
        <v>1863</v>
      </c>
      <c r="C833" s="81" t="s">
        <v>3337</v>
      </c>
      <c r="D833" s="80" t="s">
        <v>3318</v>
      </c>
      <c r="E833" s="2238" t="str">
        <f t="shared" si="60"/>
        <v>TR</v>
      </c>
      <c r="F833" s="55">
        <v>1</v>
      </c>
      <c r="G833" s="55" t="s">
        <v>512</v>
      </c>
      <c r="J833" s="55" t="str">
        <f t="shared" si="59"/>
        <v>TR1000</v>
      </c>
    </row>
    <row r="834" spans="1:10">
      <c r="A834" s="81" t="s">
        <v>694</v>
      </c>
      <c r="B834" s="1785" t="s">
        <v>1863</v>
      </c>
      <c r="C834" s="81" t="s">
        <v>3338</v>
      </c>
      <c r="D834" s="80" t="s">
        <v>3318</v>
      </c>
      <c r="E834" s="2238" t="str">
        <f t="shared" si="60"/>
        <v>TR</v>
      </c>
      <c r="F834" s="55">
        <v>1</v>
      </c>
      <c r="G834" s="55" t="s">
        <v>512</v>
      </c>
      <c r="J834" s="55" t="str">
        <f t="shared" si="59"/>
        <v>TR1250</v>
      </c>
    </row>
    <row r="835" spans="1:10">
      <c r="A835" s="81" t="s">
        <v>1415</v>
      </c>
      <c r="B835" s="1785" t="s">
        <v>1863</v>
      </c>
      <c r="C835" s="81" t="s">
        <v>3339</v>
      </c>
      <c r="D835" s="80" t="s">
        <v>3318</v>
      </c>
      <c r="E835" s="2238" t="str">
        <f t="shared" si="60"/>
        <v>TR</v>
      </c>
      <c r="F835" s="55">
        <v>1</v>
      </c>
      <c r="G835" s="55" t="s">
        <v>512</v>
      </c>
      <c r="J835" s="55" t="str">
        <f t="shared" si="59"/>
        <v>TR1500</v>
      </c>
    </row>
    <row r="836" spans="1:10">
      <c r="A836" s="81" t="s">
        <v>1455</v>
      </c>
      <c r="B836" s="1785" t="s">
        <v>1863</v>
      </c>
      <c r="C836" s="81" t="s">
        <v>3340</v>
      </c>
      <c r="D836" s="80" t="s">
        <v>3318</v>
      </c>
      <c r="E836" s="2238" t="str">
        <f t="shared" si="60"/>
        <v>TR</v>
      </c>
      <c r="F836" s="55">
        <v>1</v>
      </c>
      <c r="G836" s="55" t="s">
        <v>512</v>
      </c>
      <c r="J836" s="55" t="str">
        <f t="shared" si="59"/>
        <v>TR1600</v>
      </c>
    </row>
    <row r="837" spans="1:10">
      <c r="A837" s="81" t="s">
        <v>900</v>
      </c>
      <c r="B837" s="1785" t="s">
        <v>1863</v>
      </c>
      <c r="C837" s="81" t="s">
        <v>3341</v>
      </c>
      <c r="D837" s="80" t="s">
        <v>3318</v>
      </c>
      <c r="E837" s="2238" t="str">
        <f t="shared" si="60"/>
        <v>TR</v>
      </c>
      <c r="F837" s="55">
        <v>1</v>
      </c>
      <c r="G837" s="55" t="s">
        <v>512</v>
      </c>
      <c r="J837" s="55" t="str">
        <f t="shared" ref="J837:J900" si="61">A837</f>
        <v>TR2000</v>
      </c>
    </row>
    <row r="838" spans="1:10">
      <c r="A838" s="81" t="s">
        <v>1424</v>
      </c>
      <c r="B838" s="1785" t="s">
        <v>1863</v>
      </c>
      <c r="C838" s="81" t="s">
        <v>3342</v>
      </c>
      <c r="D838" s="80" t="s">
        <v>3318</v>
      </c>
      <c r="E838" s="2238" t="str">
        <f t="shared" si="60"/>
        <v>TR</v>
      </c>
      <c r="F838" s="55">
        <v>1</v>
      </c>
      <c r="G838" s="55" t="s">
        <v>512</v>
      </c>
      <c r="J838" s="55" t="str">
        <f t="shared" si="61"/>
        <v>TR2500</v>
      </c>
    </row>
    <row r="839" spans="1:10">
      <c r="A839" s="81" t="s">
        <v>1425</v>
      </c>
      <c r="B839" s="1785" t="s">
        <v>1863</v>
      </c>
      <c r="C839" s="81" t="s">
        <v>3343</v>
      </c>
      <c r="D839" s="80" t="s">
        <v>3318</v>
      </c>
      <c r="E839" s="2238" t="str">
        <f t="shared" si="60"/>
        <v>TR</v>
      </c>
      <c r="F839" s="55">
        <v>1</v>
      </c>
      <c r="G839" s="55" t="s">
        <v>512</v>
      </c>
      <c r="J839" s="55" t="str">
        <f t="shared" si="61"/>
        <v>TR3000</v>
      </c>
    </row>
    <row r="840" spans="1:10">
      <c r="A840" s="81" t="s">
        <v>1426</v>
      </c>
      <c r="B840" s="1785" t="s">
        <v>1863</v>
      </c>
      <c r="C840" s="81" t="s">
        <v>3344</v>
      </c>
      <c r="D840" s="80" t="s">
        <v>3318</v>
      </c>
      <c r="E840" s="2238" t="str">
        <f t="shared" si="60"/>
        <v>TR</v>
      </c>
      <c r="F840" s="55">
        <v>1</v>
      </c>
      <c r="G840" s="55" t="s">
        <v>512</v>
      </c>
      <c r="J840" s="55" t="str">
        <f t="shared" si="61"/>
        <v>TR4000</v>
      </c>
    </row>
    <row r="841" spans="1:10">
      <c r="A841" s="79" t="s">
        <v>941</v>
      </c>
      <c r="B841" s="1767" t="s">
        <v>1864</v>
      </c>
      <c r="C841" s="81" t="s">
        <v>4919</v>
      </c>
      <c r="D841" s="80" t="s">
        <v>3318</v>
      </c>
      <c r="E841" s="2238" t="str">
        <f t="shared" si="60"/>
        <v>TR</v>
      </c>
      <c r="F841" s="55">
        <v>1</v>
      </c>
      <c r="G841" s="55" t="s">
        <v>512</v>
      </c>
      <c r="J841" s="55" t="str">
        <f t="shared" si="61"/>
        <v>TR1001</v>
      </c>
    </row>
    <row r="842" spans="1:10">
      <c r="A842" s="79" t="s">
        <v>1506</v>
      </c>
      <c r="B842" s="1767" t="s">
        <v>651</v>
      </c>
      <c r="C842" s="81" t="s">
        <v>3345</v>
      </c>
      <c r="D842" s="80" t="s">
        <v>3318</v>
      </c>
      <c r="E842" s="2238" t="str">
        <f t="shared" si="60"/>
        <v>TR</v>
      </c>
      <c r="F842" s="55">
        <v>1</v>
      </c>
      <c r="G842" s="55" t="s">
        <v>512</v>
      </c>
      <c r="J842" s="55" t="str">
        <f t="shared" si="61"/>
        <v>TR1601</v>
      </c>
    </row>
    <row r="843" spans="1:10">
      <c r="A843" s="79" t="s">
        <v>1244</v>
      </c>
      <c r="B843" s="1767" t="s">
        <v>651</v>
      </c>
      <c r="C843" s="81" t="s">
        <v>3346</v>
      </c>
      <c r="D843" s="80" t="s">
        <v>3318</v>
      </c>
      <c r="E843" s="2238" t="str">
        <f t="shared" si="60"/>
        <v>TR</v>
      </c>
      <c r="F843" s="55">
        <v>1</v>
      </c>
      <c r="G843" s="55" t="s">
        <v>512</v>
      </c>
      <c r="J843" s="55" t="str">
        <f t="shared" si="61"/>
        <v>TR1801</v>
      </c>
    </row>
    <row r="844" spans="1:10">
      <c r="A844" s="79" t="s">
        <v>781</v>
      </c>
      <c r="B844" s="1767" t="s">
        <v>1748</v>
      </c>
      <c r="C844" s="81" t="s">
        <v>3347</v>
      </c>
      <c r="D844" s="80" t="s">
        <v>3318</v>
      </c>
      <c r="E844" s="2238" t="str">
        <f t="shared" si="60"/>
        <v>TR</v>
      </c>
      <c r="F844" s="55">
        <v>1</v>
      </c>
      <c r="G844" s="55" t="s">
        <v>512</v>
      </c>
      <c r="J844" s="55" t="str">
        <f t="shared" si="61"/>
        <v>TR2501</v>
      </c>
    </row>
    <row r="845" spans="1:10">
      <c r="A845" s="79" t="s">
        <v>485</v>
      </c>
      <c r="B845" s="1767" t="s">
        <v>690</v>
      </c>
      <c r="C845" s="81" t="s">
        <v>3348</v>
      </c>
      <c r="D845" s="80" t="s">
        <v>3318</v>
      </c>
      <c r="E845" s="2238" t="str">
        <f t="shared" si="60"/>
        <v>TR</v>
      </c>
      <c r="F845" s="55">
        <v>1</v>
      </c>
      <c r="G845" s="55" t="s">
        <v>512</v>
      </c>
      <c r="J845" s="55" t="str">
        <f t="shared" si="61"/>
        <v>TR3201</v>
      </c>
    </row>
    <row r="846" spans="1:10">
      <c r="A846" s="79" t="s">
        <v>65</v>
      </c>
      <c r="B846" s="1767" t="s">
        <v>2101</v>
      </c>
      <c r="C846" s="81" t="s">
        <v>3349</v>
      </c>
      <c r="D846" s="80" t="s">
        <v>3318</v>
      </c>
      <c r="E846" s="2238" t="str">
        <f t="shared" si="60"/>
        <v>TR</v>
      </c>
      <c r="F846" s="55">
        <v>1</v>
      </c>
      <c r="G846" s="55" t="s">
        <v>512</v>
      </c>
      <c r="J846" s="55" t="str">
        <f t="shared" si="61"/>
        <v>TR4001</v>
      </c>
    </row>
    <row r="847" spans="1:10">
      <c r="A847" s="79" t="s">
        <v>876</v>
      </c>
      <c r="B847" s="1767" t="s">
        <v>2101</v>
      </c>
      <c r="C847" s="81" t="s">
        <v>3350</v>
      </c>
      <c r="D847" s="80" t="s">
        <v>3318</v>
      </c>
      <c r="E847" s="2238" t="str">
        <f t="shared" si="60"/>
        <v>TR</v>
      </c>
      <c r="F847" s="55">
        <v>1</v>
      </c>
      <c r="G847" s="55" t="s">
        <v>512</v>
      </c>
      <c r="J847" s="55" t="str">
        <f t="shared" si="61"/>
        <v>TR5601</v>
      </c>
    </row>
    <row r="848" spans="1:10">
      <c r="A848" s="79" t="s">
        <v>878</v>
      </c>
      <c r="B848" s="1767" t="s">
        <v>2101</v>
      </c>
      <c r="C848" s="81" t="s">
        <v>3351</v>
      </c>
      <c r="D848" s="80" t="s">
        <v>3318</v>
      </c>
      <c r="E848" s="2238" t="str">
        <f t="shared" si="60"/>
        <v>TR</v>
      </c>
      <c r="F848" s="55">
        <v>1</v>
      </c>
      <c r="G848" s="55" t="s">
        <v>512</v>
      </c>
      <c r="J848" s="55" t="str">
        <f t="shared" si="61"/>
        <v>TR6301</v>
      </c>
    </row>
    <row r="849" spans="1:10">
      <c r="A849" s="79" t="s">
        <v>613</v>
      </c>
      <c r="B849" s="1767" t="s">
        <v>652</v>
      </c>
      <c r="C849" s="81" t="s">
        <v>3352</v>
      </c>
      <c r="D849" s="80" t="s">
        <v>3318</v>
      </c>
      <c r="E849" s="2238" t="str">
        <f t="shared" si="60"/>
        <v>TR</v>
      </c>
      <c r="F849" s="55">
        <v>1</v>
      </c>
      <c r="G849" s="55" t="s">
        <v>512</v>
      </c>
      <c r="J849" s="55" t="str">
        <f t="shared" si="61"/>
        <v>TR7501</v>
      </c>
    </row>
    <row r="850" spans="1:10">
      <c r="A850" s="79" t="s">
        <v>614</v>
      </c>
      <c r="B850" s="1767" t="s">
        <v>652</v>
      </c>
      <c r="C850" s="81" t="s">
        <v>3353</v>
      </c>
      <c r="D850" s="80" t="s">
        <v>3318</v>
      </c>
      <c r="E850" s="2238" t="str">
        <f t="shared" si="60"/>
        <v>TR</v>
      </c>
      <c r="F850" s="55">
        <v>1</v>
      </c>
      <c r="G850" s="55" t="s">
        <v>512</v>
      </c>
      <c r="J850" s="55" t="str">
        <f t="shared" si="61"/>
        <v>TR10001</v>
      </c>
    </row>
    <row r="851" spans="1:10">
      <c r="A851" s="79" t="s">
        <v>1416</v>
      </c>
      <c r="B851" s="1767" t="s">
        <v>652</v>
      </c>
      <c r="C851" s="81" t="s">
        <v>3354</v>
      </c>
      <c r="D851" s="80" t="s">
        <v>3318</v>
      </c>
      <c r="E851" s="2238" t="str">
        <f t="shared" si="60"/>
        <v>TR</v>
      </c>
      <c r="F851" s="55">
        <v>1</v>
      </c>
      <c r="G851" s="55" t="s">
        <v>512</v>
      </c>
      <c r="J851" s="55" t="str">
        <f t="shared" si="61"/>
        <v>TR12501</v>
      </c>
    </row>
    <row r="852" spans="1:10">
      <c r="A852" s="79" t="s">
        <v>306</v>
      </c>
      <c r="B852" s="1767" t="s">
        <v>652</v>
      </c>
      <c r="C852" s="81" t="s">
        <v>3355</v>
      </c>
      <c r="D852" s="80" t="s">
        <v>3318</v>
      </c>
      <c r="E852" s="2238" t="str">
        <f t="shared" si="60"/>
        <v>TR</v>
      </c>
      <c r="F852" s="55">
        <v>1</v>
      </c>
      <c r="G852" s="55" t="s">
        <v>512</v>
      </c>
      <c r="J852" s="55" t="str">
        <f t="shared" si="61"/>
        <v>TR15001</v>
      </c>
    </row>
    <row r="853" spans="1:10">
      <c r="A853" s="79" t="s">
        <v>1456</v>
      </c>
      <c r="B853" s="1767" t="s">
        <v>652</v>
      </c>
      <c r="C853" s="81" t="s">
        <v>3356</v>
      </c>
      <c r="D853" s="80" t="s">
        <v>3318</v>
      </c>
      <c r="E853" s="2238" t="str">
        <f t="shared" si="60"/>
        <v>TR</v>
      </c>
      <c r="F853" s="55">
        <v>1</v>
      </c>
      <c r="G853" s="55" t="s">
        <v>512</v>
      </c>
      <c r="J853" s="55" t="str">
        <f t="shared" si="61"/>
        <v>TR16001</v>
      </c>
    </row>
    <row r="854" spans="1:10">
      <c r="A854" s="79" t="s">
        <v>2158</v>
      </c>
      <c r="B854" s="1767" t="s">
        <v>652</v>
      </c>
      <c r="C854" s="81" t="s">
        <v>3357</v>
      </c>
      <c r="D854" s="80" t="s">
        <v>3318</v>
      </c>
      <c r="E854" s="2238" t="str">
        <f t="shared" si="60"/>
        <v>TR</v>
      </c>
      <c r="F854" s="55">
        <v>1</v>
      </c>
      <c r="G854" s="55" t="s">
        <v>512</v>
      </c>
      <c r="J854" s="55" t="str">
        <f t="shared" si="61"/>
        <v>TR20001</v>
      </c>
    </row>
    <row r="855" spans="1:10">
      <c r="A855" s="79" t="s">
        <v>48</v>
      </c>
      <c r="B855" s="1767" t="s">
        <v>652</v>
      </c>
      <c r="C855" s="81" t="s">
        <v>3358</v>
      </c>
      <c r="D855" s="80" t="s">
        <v>3318</v>
      </c>
      <c r="E855" s="2238" t="str">
        <f t="shared" si="60"/>
        <v>TR</v>
      </c>
      <c r="F855" s="55">
        <v>1</v>
      </c>
      <c r="G855" s="55" t="s">
        <v>512</v>
      </c>
      <c r="J855" s="55" t="str">
        <f t="shared" si="61"/>
        <v>TR25001</v>
      </c>
    </row>
    <row r="856" spans="1:10">
      <c r="A856" s="79" t="s">
        <v>1282</v>
      </c>
      <c r="B856" s="1767" t="s">
        <v>652</v>
      </c>
      <c r="C856" s="81" t="s">
        <v>3359</v>
      </c>
      <c r="D856" s="80" t="s">
        <v>3318</v>
      </c>
      <c r="E856" s="2238" t="str">
        <f t="shared" si="60"/>
        <v>TR</v>
      </c>
      <c r="F856" s="55">
        <v>1</v>
      </c>
      <c r="G856" s="55" t="s">
        <v>512</v>
      </c>
      <c r="J856" s="55" t="str">
        <f t="shared" si="61"/>
        <v>TR30001</v>
      </c>
    </row>
    <row r="857" spans="1:10">
      <c r="A857" s="79" t="s">
        <v>804</v>
      </c>
      <c r="B857" s="1767" t="s">
        <v>652</v>
      </c>
      <c r="C857" s="81" t="s">
        <v>3360</v>
      </c>
      <c r="D857" s="80" t="s">
        <v>3318</v>
      </c>
      <c r="E857" s="2238" t="str">
        <f t="shared" si="60"/>
        <v>TR</v>
      </c>
      <c r="F857" s="55">
        <v>1</v>
      </c>
      <c r="G857" s="55" t="s">
        <v>512</v>
      </c>
      <c r="J857" s="55" t="str">
        <f t="shared" si="61"/>
        <v>TR40001</v>
      </c>
    </row>
    <row r="858" spans="1:10">
      <c r="A858" s="79" t="s">
        <v>1658</v>
      </c>
      <c r="B858" s="1786" t="s">
        <v>1654</v>
      </c>
      <c r="C858" s="79" t="s">
        <v>4921</v>
      </c>
      <c r="D858" s="80" t="s">
        <v>2563</v>
      </c>
      <c r="E858" s="2238" t="str">
        <f t="shared" si="60"/>
        <v>FC</v>
      </c>
      <c r="F858" s="55">
        <v>3</v>
      </c>
      <c r="G858" s="55" t="s">
        <v>512</v>
      </c>
      <c r="J858" s="55" t="str">
        <f t="shared" si="61"/>
        <v>FCO100-15</v>
      </c>
    </row>
    <row r="859" spans="1:10">
      <c r="A859" s="79" t="s">
        <v>1659</v>
      </c>
      <c r="B859" s="1786" t="s">
        <v>1654</v>
      </c>
      <c r="C859" s="79" t="s">
        <v>2034</v>
      </c>
      <c r="D859" s="80" t="s">
        <v>2563</v>
      </c>
      <c r="E859" s="2238" t="str">
        <f t="shared" ref="E859:E923" si="62">LEFT(A859,2)</f>
        <v>FC</v>
      </c>
      <c r="F859" s="55">
        <v>3</v>
      </c>
      <c r="G859" s="55" t="s">
        <v>512</v>
      </c>
      <c r="J859" s="55" t="str">
        <f t="shared" si="61"/>
        <v>FCO200-15</v>
      </c>
    </row>
    <row r="860" spans="1:10">
      <c r="A860" s="79" t="s">
        <v>1655</v>
      </c>
      <c r="B860" s="1786" t="s">
        <v>1749</v>
      </c>
      <c r="C860" s="79" t="s">
        <v>4836</v>
      </c>
      <c r="D860" s="80" t="s">
        <v>2563</v>
      </c>
      <c r="E860" s="2238" t="str">
        <f t="shared" si="62"/>
        <v>FC</v>
      </c>
      <c r="F860" s="55">
        <v>3</v>
      </c>
      <c r="G860" s="55" t="s">
        <v>512</v>
      </c>
      <c r="J860" s="55" t="str">
        <f t="shared" si="61"/>
        <v>FCO100-22</v>
      </c>
    </row>
    <row r="861" spans="1:10">
      <c r="A861" s="79" t="s">
        <v>1656</v>
      </c>
      <c r="B861" s="1786" t="s">
        <v>435</v>
      </c>
      <c r="C861" s="79" t="s">
        <v>2034</v>
      </c>
      <c r="D861" s="80" t="s">
        <v>2563</v>
      </c>
      <c r="E861" s="2238" t="str">
        <f t="shared" si="62"/>
        <v>FC</v>
      </c>
      <c r="F861" s="55">
        <v>3</v>
      </c>
      <c r="G861" s="55" t="s">
        <v>512</v>
      </c>
      <c r="J861" s="55" t="str">
        <f t="shared" si="61"/>
        <v>FCO200-22</v>
      </c>
    </row>
    <row r="862" spans="1:10">
      <c r="A862" s="79" t="s">
        <v>1660</v>
      </c>
      <c r="B862" s="1786" t="s">
        <v>1654</v>
      </c>
      <c r="C862" s="79" t="s">
        <v>1259</v>
      </c>
      <c r="D862" s="80" t="s">
        <v>2563</v>
      </c>
      <c r="E862" s="2238" t="str">
        <f t="shared" si="62"/>
        <v>lb</v>
      </c>
      <c r="F862" s="55">
        <v>3</v>
      </c>
      <c r="G862" s="55" t="s">
        <v>512</v>
      </c>
      <c r="J862" s="55" t="str">
        <f t="shared" si="61"/>
        <v>lbfco100-15</v>
      </c>
    </row>
    <row r="863" spans="1:10">
      <c r="A863" s="79" t="s">
        <v>1661</v>
      </c>
      <c r="B863" s="1786" t="s">
        <v>1654</v>
      </c>
      <c r="C863" s="79" t="s">
        <v>1258</v>
      </c>
      <c r="D863" s="80" t="s">
        <v>2563</v>
      </c>
      <c r="E863" s="2238" t="str">
        <f t="shared" si="62"/>
        <v>LB</v>
      </c>
      <c r="F863" s="55">
        <v>3</v>
      </c>
      <c r="G863" s="55" t="s">
        <v>512</v>
      </c>
      <c r="J863" s="55" t="str">
        <f t="shared" si="61"/>
        <v>LBFCO200-15</v>
      </c>
    </row>
    <row r="864" spans="1:10">
      <c r="A864" s="79" t="s">
        <v>2131</v>
      </c>
      <c r="B864" s="1786" t="s">
        <v>435</v>
      </c>
      <c r="C864" s="79" t="s">
        <v>1259</v>
      </c>
      <c r="D864" s="80" t="s">
        <v>2563</v>
      </c>
      <c r="E864" s="2238" t="str">
        <f t="shared" si="62"/>
        <v>lb</v>
      </c>
      <c r="F864" s="55">
        <v>3</v>
      </c>
      <c r="G864" s="55" t="s">
        <v>512</v>
      </c>
      <c r="J864" s="55" t="str">
        <f t="shared" si="61"/>
        <v>lbfco100-22</v>
      </c>
    </row>
    <row r="865" spans="1:10">
      <c r="A865" s="79" t="s">
        <v>1657</v>
      </c>
      <c r="B865" s="1786" t="s">
        <v>435</v>
      </c>
      <c r="C865" s="79" t="s">
        <v>1258</v>
      </c>
      <c r="D865" s="80" t="s">
        <v>2563</v>
      </c>
      <c r="E865" s="2238" t="str">
        <f t="shared" si="62"/>
        <v>LB</v>
      </c>
      <c r="F865" s="55">
        <v>3</v>
      </c>
      <c r="G865" s="55" t="s">
        <v>512</v>
      </c>
      <c r="J865" s="55" t="str">
        <f t="shared" si="61"/>
        <v>LBFCO200-22</v>
      </c>
    </row>
    <row r="866" spans="1:10">
      <c r="A866" s="79" t="s">
        <v>446</v>
      </c>
      <c r="B866" s="1787" t="s">
        <v>1392</v>
      </c>
      <c r="C866" s="79" t="s">
        <v>1218</v>
      </c>
      <c r="D866" s="80" t="s">
        <v>2445</v>
      </c>
      <c r="E866" s="2238" t="str">
        <f t="shared" si="62"/>
        <v>DS</v>
      </c>
      <c r="F866" s="55">
        <v>50</v>
      </c>
      <c r="G866" s="55" t="s">
        <v>512</v>
      </c>
      <c r="J866" s="55" t="str">
        <f t="shared" si="61"/>
        <v>DS1P</v>
      </c>
    </row>
    <row r="867" spans="1:10">
      <c r="A867" s="79" t="s">
        <v>393</v>
      </c>
      <c r="B867" s="1787" t="s">
        <v>1392</v>
      </c>
      <c r="C867" s="79" t="s">
        <v>1596</v>
      </c>
      <c r="D867" s="80" t="s">
        <v>2445</v>
      </c>
      <c r="E867" s="2238" t="str">
        <f t="shared" si="62"/>
        <v>DS</v>
      </c>
      <c r="F867" s="55">
        <v>50</v>
      </c>
      <c r="G867" s="55" t="s">
        <v>512</v>
      </c>
      <c r="J867" s="55" t="str">
        <f t="shared" si="61"/>
        <v>DS3P</v>
      </c>
    </row>
    <row r="868" spans="1:10">
      <c r="A868" s="79" t="s">
        <v>1190</v>
      </c>
      <c r="B868" s="1787" t="s">
        <v>128</v>
      </c>
      <c r="C868" s="79" t="s">
        <v>1218</v>
      </c>
      <c r="D868" s="80" t="s">
        <v>2445</v>
      </c>
      <c r="E868" s="2238" t="str">
        <f t="shared" si="62"/>
        <v>DS</v>
      </c>
      <c r="F868" s="55">
        <v>50</v>
      </c>
      <c r="G868" s="55" t="s">
        <v>512</v>
      </c>
      <c r="J868" s="55" t="str">
        <f t="shared" si="61"/>
        <v>DS1PDD</v>
      </c>
    </row>
    <row r="869" spans="1:10">
      <c r="A869" s="79" t="s">
        <v>1191</v>
      </c>
      <c r="B869" s="1787" t="s">
        <v>129</v>
      </c>
      <c r="C869" s="79" t="s">
        <v>1596</v>
      </c>
      <c r="D869" s="80" t="s">
        <v>2445</v>
      </c>
      <c r="E869" s="2238" t="str">
        <f t="shared" si="62"/>
        <v>DS</v>
      </c>
      <c r="F869" s="55">
        <v>50</v>
      </c>
      <c r="G869" s="55" t="s">
        <v>512</v>
      </c>
      <c r="J869" s="55" t="str">
        <f t="shared" si="61"/>
        <v>DS3PDD</v>
      </c>
    </row>
    <row r="870" spans="1:10">
      <c r="A870" s="79" t="s">
        <v>602</v>
      </c>
      <c r="B870" s="1787" t="s">
        <v>1508</v>
      </c>
      <c r="C870" s="79" t="s">
        <v>1706</v>
      </c>
      <c r="D870" s="80" t="s">
        <v>2445</v>
      </c>
      <c r="E870" s="2238" t="str">
        <f t="shared" si="62"/>
        <v>LB</v>
      </c>
      <c r="F870" s="55">
        <v>50</v>
      </c>
      <c r="G870" s="55" t="s">
        <v>512</v>
      </c>
      <c r="J870" s="55" t="str">
        <f t="shared" si="61"/>
        <v>LBS 16</v>
      </c>
    </row>
    <row r="871" spans="1:10">
      <c r="A871" s="79" t="s">
        <v>535</v>
      </c>
      <c r="B871" s="1787" t="s">
        <v>1508</v>
      </c>
      <c r="C871" s="79" t="s">
        <v>3361</v>
      </c>
      <c r="D871" s="80" t="s">
        <v>2445</v>
      </c>
      <c r="E871" s="2238" t="str">
        <f t="shared" si="62"/>
        <v>LB</v>
      </c>
      <c r="F871" s="55">
        <v>50</v>
      </c>
      <c r="G871" s="55" t="s">
        <v>512</v>
      </c>
      <c r="J871" s="55" t="str">
        <f t="shared" si="61"/>
        <v>LBS treo</v>
      </c>
    </row>
    <row r="872" spans="1:10">
      <c r="A872" s="79" t="s">
        <v>2190</v>
      </c>
      <c r="B872" s="1787" t="s">
        <v>642</v>
      </c>
      <c r="C872" s="79" t="s">
        <v>2040</v>
      </c>
      <c r="D872" s="80" t="s">
        <v>2445</v>
      </c>
      <c r="E872" s="2238" t="str">
        <f t="shared" si="62"/>
        <v>RE</v>
      </c>
      <c r="F872" s="55">
        <v>50</v>
      </c>
      <c r="G872" s="55" t="s">
        <v>512</v>
      </c>
      <c r="J872" s="55" t="str">
        <f t="shared" si="61"/>
        <v>REC</v>
      </c>
    </row>
    <row r="873" spans="1:10">
      <c r="A873" s="79" t="s">
        <v>1916</v>
      </c>
      <c r="B873" s="1787" t="s">
        <v>1508</v>
      </c>
      <c r="C873" s="79" t="s">
        <v>2063</v>
      </c>
      <c r="D873" s="80" t="s">
        <v>2445</v>
      </c>
      <c r="E873" s="2238" t="str">
        <f t="shared" si="62"/>
        <v>Re</v>
      </c>
      <c r="F873" s="55">
        <v>50</v>
      </c>
      <c r="G873" s="55" t="s">
        <v>512</v>
      </c>
      <c r="J873" s="55" t="str">
        <f t="shared" si="61"/>
        <v>Recloser</v>
      </c>
    </row>
    <row r="874" spans="1:10">
      <c r="A874" s="79" t="s">
        <v>788</v>
      </c>
      <c r="B874" s="1787" t="s">
        <v>668</v>
      </c>
      <c r="C874" s="79" t="s">
        <v>1187</v>
      </c>
      <c r="D874" s="80" t="s">
        <v>2563</v>
      </c>
      <c r="E874" s="2238" t="str">
        <f t="shared" si="62"/>
        <v>LT</v>
      </c>
      <c r="F874" s="55">
        <v>50</v>
      </c>
      <c r="G874" s="55" t="s">
        <v>512</v>
      </c>
      <c r="J874" s="55" t="str">
        <f t="shared" si="61"/>
        <v>LTD</v>
      </c>
    </row>
    <row r="875" spans="1:10">
      <c r="A875" s="79" t="s">
        <v>966</v>
      </c>
      <c r="B875" s="1787" t="s">
        <v>965</v>
      </c>
      <c r="C875" s="79" t="s">
        <v>1194</v>
      </c>
      <c r="D875" s="80" t="s">
        <v>2563</v>
      </c>
      <c r="E875" s="2238" t="str">
        <f t="shared" si="62"/>
        <v>LA</v>
      </c>
      <c r="F875" s="55">
        <v>4</v>
      </c>
      <c r="G875" s="55" t="s">
        <v>512</v>
      </c>
      <c r="J875" s="55" t="str">
        <f t="shared" si="61"/>
        <v>LA12</v>
      </c>
    </row>
    <row r="876" spans="1:10">
      <c r="A876" s="79" t="s">
        <v>1376</v>
      </c>
      <c r="B876" s="1787" t="s">
        <v>965</v>
      </c>
      <c r="C876" s="79" t="s">
        <v>4922</v>
      </c>
      <c r="D876" s="80" t="s">
        <v>2563</v>
      </c>
      <c r="E876" s="2238" t="str">
        <f t="shared" si="62"/>
        <v>LA</v>
      </c>
      <c r="F876" s="55">
        <v>3</v>
      </c>
      <c r="G876" s="55" t="s">
        <v>512</v>
      </c>
      <c r="J876" s="55" t="str">
        <f t="shared" si="61"/>
        <v>LA18</v>
      </c>
    </row>
    <row r="877" spans="1:10">
      <c r="A877" s="79" t="s">
        <v>2164</v>
      </c>
      <c r="B877" s="84" t="s">
        <v>1478</v>
      </c>
      <c r="C877" s="79" t="s">
        <v>3362</v>
      </c>
      <c r="D877" s="80" t="s">
        <v>2563</v>
      </c>
      <c r="E877" s="2238" t="str">
        <f t="shared" si="62"/>
        <v>TI</v>
      </c>
      <c r="F877" s="55">
        <v>2000</v>
      </c>
      <c r="G877" s="55" t="s">
        <v>512</v>
      </c>
      <c r="J877" s="55" t="str">
        <f t="shared" si="61"/>
        <v>TI10</v>
      </c>
    </row>
    <row r="878" spans="1:10">
      <c r="A878" s="79" t="s">
        <v>1671</v>
      </c>
      <c r="B878" s="84" t="s">
        <v>1478</v>
      </c>
      <c r="C878" s="79" t="s">
        <v>3363</v>
      </c>
      <c r="D878" s="80" t="s">
        <v>2563</v>
      </c>
      <c r="E878" s="2238" t="str">
        <f t="shared" si="62"/>
        <v>TI</v>
      </c>
      <c r="F878" s="55">
        <v>2000</v>
      </c>
      <c r="G878" s="55" t="s">
        <v>512</v>
      </c>
      <c r="J878" s="55" t="str">
        <f t="shared" si="61"/>
        <v>TI15</v>
      </c>
    </row>
    <row r="879" spans="1:10">
      <c r="A879" s="79" t="s">
        <v>1733</v>
      </c>
      <c r="B879" s="84" t="s">
        <v>1478</v>
      </c>
      <c r="C879" s="79" t="s">
        <v>3364</v>
      </c>
      <c r="D879" s="80" t="s">
        <v>2563</v>
      </c>
      <c r="E879" s="2238" t="str">
        <f t="shared" si="62"/>
        <v>TI</v>
      </c>
      <c r="F879" s="55">
        <v>2000</v>
      </c>
      <c r="G879" s="55" t="s">
        <v>512</v>
      </c>
      <c r="J879" s="55" t="str">
        <f t="shared" si="61"/>
        <v>TI20</v>
      </c>
    </row>
    <row r="880" spans="1:10">
      <c r="A880" s="79" t="s">
        <v>1731</v>
      </c>
      <c r="B880" s="84" t="s">
        <v>1478</v>
      </c>
      <c r="C880" s="79" t="s">
        <v>3365</v>
      </c>
      <c r="D880" s="80" t="s">
        <v>2563</v>
      </c>
      <c r="E880" s="2238" t="str">
        <f t="shared" si="62"/>
        <v>TI</v>
      </c>
      <c r="F880" s="55">
        <v>2000</v>
      </c>
      <c r="G880" s="55" t="s">
        <v>512</v>
      </c>
      <c r="J880" s="55" t="str">
        <f t="shared" si="61"/>
        <v>TI25</v>
      </c>
    </row>
    <row r="881" spans="1:10">
      <c r="A881" s="79" t="s">
        <v>901</v>
      </c>
      <c r="B881" s="84" t="s">
        <v>1478</v>
      </c>
      <c r="C881" s="79" t="s">
        <v>3366</v>
      </c>
      <c r="D881" s="80" t="s">
        <v>2563</v>
      </c>
      <c r="E881" s="2238" t="str">
        <f t="shared" si="62"/>
        <v>TI</v>
      </c>
      <c r="F881" s="55">
        <v>2000</v>
      </c>
      <c r="G881" s="55" t="s">
        <v>512</v>
      </c>
      <c r="J881" s="55" t="str">
        <f t="shared" si="61"/>
        <v>TI30</v>
      </c>
    </row>
    <row r="882" spans="1:10">
      <c r="A882" s="79" t="s">
        <v>1732</v>
      </c>
      <c r="B882" s="84" t="s">
        <v>1478</v>
      </c>
      <c r="C882" s="79" t="s">
        <v>3367</v>
      </c>
      <c r="D882" s="80" t="s">
        <v>2563</v>
      </c>
      <c r="E882" s="2238" t="str">
        <f t="shared" si="62"/>
        <v>TI</v>
      </c>
      <c r="F882" s="55">
        <v>2000</v>
      </c>
      <c r="G882" s="55" t="s">
        <v>512</v>
      </c>
      <c r="J882" s="55" t="str">
        <f t="shared" si="61"/>
        <v>TI40</v>
      </c>
    </row>
    <row r="883" spans="1:10">
      <c r="A883" s="79" t="s">
        <v>202</v>
      </c>
      <c r="B883" s="84" t="s">
        <v>1478</v>
      </c>
      <c r="C883" s="79" t="s">
        <v>3368</v>
      </c>
      <c r="D883" s="80" t="s">
        <v>2563</v>
      </c>
      <c r="E883" s="2238" t="str">
        <f t="shared" si="62"/>
        <v>TI</v>
      </c>
      <c r="F883" s="55">
        <v>2000</v>
      </c>
      <c r="G883" s="55" t="s">
        <v>512</v>
      </c>
      <c r="J883" s="55" t="str">
        <f t="shared" si="61"/>
        <v>TI50</v>
      </c>
    </row>
    <row r="884" spans="1:10">
      <c r="A884" s="79" t="s">
        <v>2196</v>
      </c>
      <c r="B884" s="84" t="s">
        <v>1478</v>
      </c>
      <c r="C884" s="79" t="s">
        <v>3369</v>
      </c>
      <c r="D884" s="80" t="s">
        <v>2563</v>
      </c>
      <c r="E884" s="2238" t="str">
        <f t="shared" si="62"/>
        <v>TI</v>
      </c>
      <c r="F884" s="55">
        <v>2000</v>
      </c>
      <c r="G884" s="55" t="s">
        <v>512</v>
      </c>
      <c r="J884" s="55" t="str">
        <f t="shared" si="61"/>
        <v>TI60</v>
      </c>
    </row>
    <row r="885" spans="1:10">
      <c r="A885" s="79" t="s">
        <v>2095</v>
      </c>
      <c r="B885" s="84" t="s">
        <v>1478</v>
      </c>
      <c r="C885" s="79" t="s">
        <v>3370</v>
      </c>
      <c r="D885" s="80" t="s">
        <v>2563</v>
      </c>
      <c r="E885" s="2238" t="str">
        <f t="shared" si="62"/>
        <v>TI</v>
      </c>
      <c r="F885" s="55">
        <v>2000</v>
      </c>
      <c r="G885" s="55" t="s">
        <v>512</v>
      </c>
      <c r="J885" s="55" t="str">
        <f t="shared" si="61"/>
        <v>TI75</v>
      </c>
    </row>
    <row r="886" spans="1:10">
      <c r="A886" s="79" t="s">
        <v>1474</v>
      </c>
      <c r="B886" s="84" t="s">
        <v>1478</v>
      </c>
      <c r="C886" s="79" t="s">
        <v>3371</v>
      </c>
      <c r="D886" s="80" t="s">
        <v>2563</v>
      </c>
      <c r="E886" s="2238" t="str">
        <f t="shared" si="62"/>
        <v>TI</v>
      </c>
      <c r="F886" s="55">
        <v>2000</v>
      </c>
      <c r="G886" s="55" t="s">
        <v>512</v>
      </c>
      <c r="J886" s="55" t="str">
        <f t="shared" si="61"/>
        <v>TI100</v>
      </c>
    </row>
    <row r="887" spans="1:10">
      <c r="A887" s="79" t="s">
        <v>817</v>
      </c>
      <c r="B887" s="84" t="s">
        <v>1478</v>
      </c>
      <c r="C887" s="79" t="s">
        <v>3372</v>
      </c>
      <c r="D887" s="80" t="s">
        <v>2563</v>
      </c>
      <c r="E887" s="2238" t="str">
        <f t="shared" si="62"/>
        <v>TI</v>
      </c>
      <c r="F887" s="55">
        <v>2000</v>
      </c>
      <c r="G887" s="55" t="s">
        <v>512</v>
      </c>
      <c r="J887" s="55" t="str">
        <f t="shared" si="61"/>
        <v>TI150</v>
      </c>
    </row>
    <row r="888" spans="1:10">
      <c r="A888" s="79" t="s">
        <v>823</v>
      </c>
      <c r="B888" s="84"/>
      <c r="C888" s="1775" t="s">
        <v>3373</v>
      </c>
      <c r="D888" s="80" t="s">
        <v>2563</v>
      </c>
      <c r="E888" s="2238" t="str">
        <f t="shared" si="62"/>
        <v>TI</v>
      </c>
      <c r="F888" s="55">
        <v>2000</v>
      </c>
      <c r="G888" s="55" t="s">
        <v>512</v>
      </c>
      <c r="J888" s="55" t="str">
        <f t="shared" si="61"/>
        <v>TI755</v>
      </c>
    </row>
    <row r="889" spans="1:10">
      <c r="A889" s="79" t="s">
        <v>2048</v>
      </c>
      <c r="B889" s="84"/>
      <c r="C889" s="1775" t="s">
        <v>3374</v>
      </c>
      <c r="D889" s="80" t="s">
        <v>2563</v>
      </c>
      <c r="E889" s="2238" t="str">
        <f t="shared" si="62"/>
        <v>TI</v>
      </c>
      <c r="F889" s="55">
        <v>2000</v>
      </c>
      <c r="G889" s="55" t="s">
        <v>512</v>
      </c>
      <c r="J889" s="55" t="str">
        <f t="shared" si="61"/>
        <v>TI1005</v>
      </c>
    </row>
    <row r="890" spans="1:10">
      <c r="A890" s="79" t="s">
        <v>2049</v>
      </c>
      <c r="B890" s="84"/>
      <c r="C890" s="1775" t="s">
        <v>3375</v>
      </c>
      <c r="D890" s="80" t="s">
        <v>2563</v>
      </c>
      <c r="E890" s="2238" t="str">
        <f t="shared" si="62"/>
        <v>TI</v>
      </c>
      <c r="F890" s="55">
        <v>2000</v>
      </c>
      <c r="G890" s="55" t="s">
        <v>512</v>
      </c>
      <c r="J890" s="55" t="str">
        <f t="shared" si="61"/>
        <v>TI1255</v>
      </c>
    </row>
    <row r="891" spans="1:10">
      <c r="A891" s="79" t="s">
        <v>2192</v>
      </c>
      <c r="B891" s="84"/>
      <c r="C891" s="1775" t="s">
        <v>3376</v>
      </c>
      <c r="D891" s="80" t="s">
        <v>2563</v>
      </c>
      <c r="E891" s="2238" t="str">
        <f t="shared" si="62"/>
        <v>TI</v>
      </c>
      <c r="F891" s="55">
        <v>2000</v>
      </c>
      <c r="G891" s="55" t="s">
        <v>512</v>
      </c>
      <c r="J891" s="55" t="str">
        <f t="shared" si="61"/>
        <v>TI1505</v>
      </c>
    </row>
    <row r="892" spans="1:10">
      <c r="A892" s="79" t="s">
        <v>1116</v>
      </c>
      <c r="B892" s="84"/>
      <c r="C892" s="1775" t="s">
        <v>3377</v>
      </c>
      <c r="D892" s="80" t="s">
        <v>2563</v>
      </c>
      <c r="E892" s="2238" t="str">
        <f t="shared" si="62"/>
        <v>TI</v>
      </c>
      <c r="F892" s="55">
        <v>2000</v>
      </c>
      <c r="G892" s="55" t="s">
        <v>512</v>
      </c>
      <c r="J892" s="55" t="str">
        <f t="shared" si="61"/>
        <v>TI200</v>
      </c>
    </row>
    <row r="893" spans="1:10">
      <c r="A893" s="79" t="s">
        <v>1672</v>
      </c>
      <c r="B893" s="84"/>
      <c r="C893" s="1775" t="s">
        <v>3378</v>
      </c>
      <c r="D893" s="80" t="s">
        <v>2563</v>
      </c>
      <c r="E893" s="2238" t="str">
        <f t="shared" si="62"/>
        <v>TI</v>
      </c>
      <c r="F893" s="55">
        <v>2000</v>
      </c>
      <c r="G893" s="55" t="s">
        <v>512</v>
      </c>
      <c r="J893" s="55" t="str">
        <f t="shared" si="61"/>
        <v>TI250</v>
      </c>
    </row>
    <row r="894" spans="1:10">
      <c r="A894" s="79" t="s">
        <v>898</v>
      </c>
      <c r="B894" s="84"/>
      <c r="C894" s="1775" t="s">
        <v>3379</v>
      </c>
      <c r="D894" s="80" t="s">
        <v>2563</v>
      </c>
      <c r="E894" s="2238" t="str">
        <f t="shared" si="62"/>
        <v>TI</v>
      </c>
      <c r="F894" s="55">
        <v>2000</v>
      </c>
      <c r="G894" s="55" t="s">
        <v>512</v>
      </c>
      <c r="J894" s="55" t="str">
        <f t="shared" si="61"/>
        <v>TI300</v>
      </c>
    </row>
    <row r="895" spans="1:10">
      <c r="A895" s="79" t="s">
        <v>897</v>
      </c>
      <c r="B895" s="84"/>
      <c r="C895" s="1775" t="s">
        <v>3380</v>
      </c>
      <c r="D895" s="80" t="s">
        <v>2563</v>
      </c>
      <c r="E895" s="2238" t="str">
        <f t="shared" si="62"/>
        <v>TI</v>
      </c>
      <c r="F895" s="55">
        <v>2000</v>
      </c>
      <c r="G895" s="55" t="s">
        <v>512</v>
      </c>
      <c r="J895" s="55" t="str">
        <f t="shared" si="61"/>
        <v>TI400</v>
      </c>
    </row>
    <row r="896" spans="1:10">
      <c r="A896" s="79" t="s">
        <v>2281</v>
      </c>
      <c r="B896" s="84"/>
      <c r="C896" s="1775" t="s">
        <v>3381</v>
      </c>
      <c r="D896" s="80" t="s">
        <v>2563</v>
      </c>
      <c r="E896" s="2238" t="str">
        <f t="shared" si="62"/>
        <v>TI</v>
      </c>
      <c r="F896" s="55">
        <v>2000</v>
      </c>
      <c r="G896" s="55" t="s">
        <v>512</v>
      </c>
      <c r="J896" s="55" t="str">
        <f t="shared" si="61"/>
        <v>TI500</v>
      </c>
    </row>
    <row r="897" spans="1:10">
      <c r="A897" s="79" t="s">
        <v>64</v>
      </c>
      <c r="B897" s="84"/>
      <c r="C897" s="79" t="s">
        <v>3382</v>
      </c>
      <c r="D897" s="80" t="s">
        <v>2563</v>
      </c>
      <c r="E897" s="2238" t="str">
        <f t="shared" si="62"/>
        <v>TI</v>
      </c>
      <c r="F897" s="55">
        <v>2000</v>
      </c>
      <c r="G897" s="55" t="s">
        <v>512</v>
      </c>
      <c r="J897" s="55" t="str">
        <f t="shared" si="61"/>
        <v>TI600</v>
      </c>
    </row>
    <row r="898" spans="1:10">
      <c r="A898" s="79" t="s">
        <v>2047</v>
      </c>
      <c r="B898" s="84"/>
      <c r="C898" s="1775" t="s">
        <v>3383</v>
      </c>
      <c r="D898" s="80" t="s">
        <v>2563</v>
      </c>
      <c r="E898" s="2238" t="str">
        <f t="shared" si="62"/>
        <v>TI</v>
      </c>
      <c r="F898" s="55">
        <v>2000</v>
      </c>
      <c r="G898" s="55" t="s">
        <v>512</v>
      </c>
      <c r="J898" s="55" t="str">
        <f t="shared" si="61"/>
        <v>TI800</v>
      </c>
    </row>
    <row r="899" spans="1:10">
      <c r="A899" s="79" t="s">
        <v>1377</v>
      </c>
      <c r="B899" s="84" t="s">
        <v>317</v>
      </c>
      <c r="C899" s="1775" t="s">
        <v>3384</v>
      </c>
      <c r="D899" s="80" t="s">
        <v>2563</v>
      </c>
      <c r="E899" s="2238" t="str">
        <f t="shared" si="62"/>
        <v>TU</v>
      </c>
      <c r="F899" s="55">
        <v>2000</v>
      </c>
      <c r="G899" s="55" t="s">
        <v>512</v>
      </c>
      <c r="J899" s="55" t="str">
        <f t="shared" si="61"/>
        <v>TU15</v>
      </c>
    </row>
    <row r="900" spans="1:10">
      <c r="A900" s="79" t="s">
        <v>2193</v>
      </c>
      <c r="B900" s="84" t="s">
        <v>317</v>
      </c>
      <c r="C900" s="1775" t="s">
        <v>3385</v>
      </c>
      <c r="D900" s="80" t="s">
        <v>2563</v>
      </c>
      <c r="E900" s="2238" t="str">
        <f t="shared" si="62"/>
        <v>TU</v>
      </c>
      <c r="F900" s="55">
        <v>2000</v>
      </c>
      <c r="G900" s="55" t="s">
        <v>512</v>
      </c>
      <c r="J900" s="55" t="str">
        <f t="shared" si="61"/>
        <v>TU22</v>
      </c>
    </row>
    <row r="901" spans="1:10">
      <c r="A901" s="79" t="s">
        <v>2230</v>
      </c>
      <c r="B901" s="84"/>
      <c r="C901" s="1775" t="s">
        <v>3386</v>
      </c>
      <c r="D901" s="80" t="s">
        <v>2445</v>
      </c>
      <c r="E901" s="2238" t="str">
        <f t="shared" si="62"/>
        <v>TI</v>
      </c>
      <c r="F901" s="55">
        <v>50</v>
      </c>
      <c r="G901" s="55" t="s">
        <v>512</v>
      </c>
      <c r="J901" s="55" t="str">
        <f t="shared" ref="J901:J964" si="63">A901</f>
        <v>TIMER</v>
      </c>
    </row>
    <row r="902" spans="1:10">
      <c r="A902" s="79" t="s">
        <v>1800</v>
      </c>
      <c r="B902" s="84"/>
      <c r="C902" s="1775" t="s">
        <v>1140</v>
      </c>
      <c r="D902" s="80" t="s">
        <v>2563</v>
      </c>
      <c r="E902" s="2238" t="str">
        <f t="shared" si="62"/>
        <v>CO</v>
      </c>
      <c r="F902" s="55">
        <v>50</v>
      </c>
      <c r="G902" s="55" t="s">
        <v>512</v>
      </c>
      <c r="J902" s="55" t="str">
        <f t="shared" si="63"/>
        <v>COTATOR</v>
      </c>
    </row>
    <row r="903" spans="1:10">
      <c r="A903" s="79" t="s">
        <v>67</v>
      </c>
      <c r="B903" s="84"/>
      <c r="C903" s="1775" t="s">
        <v>68</v>
      </c>
      <c r="D903" s="80" t="s">
        <v>2563</v>
      </c>
      <c r="E903" s="2238" t="str">
        <f t="shared" si="62"/>
        <v>CO</v>
      </c>
      <c r="F903" s="55">
        <v>50</v>
      </c>
      <c r="G903" s="55" t="s">
        <v>512</v>
      </c>
      <c r="J903" s="55" t="str">
        <f t="shared" si="63"/>
        <v>CONTACTOR 100</v>
      </c>
    </row>
    <row r="904" spans="1:10">
      <c r="A904" s="79" t="s">
        <v>1647</v>
      </c>
      <c r="B904" s="84"/>
      <c r="C904" s="1775" t="s">
        <v>896</v>
      </c>
      <c r="D904" s="80" t="s">
        <v>2563</v>
      </c>
      <c r="E904" s="2238" t="str">
        <f t="shared" si="62"/>
        <v>CO</v>
      </c>
      <c r="F904" s="55">
        <v>50</v>
      </c>
      <c r="G904" s="55" t="s">
        <v>512</v>
      </c>
      <c r="J904" s="55" t="str">
        <f t="shared" si="63"/>
        <v>CONTACTOR 125</v>
      </c>
    </row>
    <row r="905" spans="1:10">
      <c r="A905" s="79" t="s">
        <v>2197</v>
      </c>
      <c r="B905" s="1767" t="s">
        <v>1390</v>
      </c>
      <c r="C905" s="1775" t="s">
        <v>3387</v>
      </c>
      <c r="D905" s="80" t="s">
        <v>3388</v>
      </c>
      <c r="E905" s="2238" t="str">
        <f t="shared" si="62"/>
        <v>TU</v>
      </c>
      <c r="F905" s="55">
        <v>2000</v>
      </c>
      <c r="G905" s="55" t="s">
        <v>512</v>
      </c>
      <c r="J905" s="55" t="str">
        <f t="shared" si="63"/>
        <v>TUBU1000</v>
      </c>
    </row>
    <row r="906" spans="1:10">
      <c r="A906" s="79" t="s">
        <v>2056</v>
      </c>
      <c r="B906" s="1767" t="s">
        <v>1390</v>
      </c>
      <c r="C906" s="1775" t="s">
        <v>3389</v>
      </c>
      <c r="D906" s="80" t="s">
        <v>3388</v>
      </c>
      <c r="E906" s="2238" t="str">
        <f t="shared" si="62"/>
        <v>TU</v>
      </c>
      <c r="F906" s="55">
        <v>2000</v>
      </c>
      <c r="G906" s="55" t="s">
        <v>512</v>
      </c>
      <c r="J906" s="55" t="str">
        <f t="shared" si="63"/>
        <v>TUBU750</v>
      </c>
    </row>
    <row r="907" spans="1:10">
      <c r="A907" s="79" t="s">
        <v>570</v>
      </c>
      <c r="B907" s="1767" t="s">
        <v>1390</v>
      </c>
      <c r="C907" s="1775" t="s">
        <v>3390</v>
      </c>
      <c r="D907" s="80" t="s">
        <v>3388</v>
      </c>
      <c r="E907" s="2238" t="str">
        <f t="shared" si="62"/>
        <v>TU</v>
      </c>
      <c r="F907" s="55">
        <v>2000</v>
      </c>
      <c r="G907" s="55" t="s">
        <v>512</v>
      </c>
      <c r="J907" s="55" t="str">
        <f t="shared" si="63"/>
        <v>TUBU600</v>
      </c>
    </row>
    <row r="908" spans="1:10">
      <c r="A908" s="79" t="s">
        <v>1963</v>
      </c>
      <c r="B908" s="1767" t="s">
        <v>1390</v>
      </c>
      <c r="C908" s="1775" t="s">
        <v>3391</v>
      </c>
      <c r="D908" s="80" t="s">
        <v>3388</v>
      </c>
      <c r="E908" s="2238" t="str">
        <f t="shared" si="62"/>
        <v>TU</v>
      </c>
      <c r="F908" s="55">
        <v>2000</v>
      </c>
      <c r="G908" s="55" t="s">
        <v>512</v>
      </c>
      <c r="J908" s="55" t="str">
        <f t="shared" si="63"/>
        <v>TUBU400</v>
      </c>
    </row>
    <row r="909" spans="1:10">
      <c r="A909" s="79" t="s">
        <v>1594</v>
      </c>
      <c r="B909" s="1767" t="s">
        <v>1390</v>
      </c>
      <c r="C909" s="1775" t="s">
        <v>3392</v>
      </c>
      <c r="D909" s="80" t="s">
        <v>3388</v>
      </c>
      <c r="E909" s="2238" t="str">
        <f t="shared" si="62"/>
        <v>TU</v>
      </c>
      <c r="F909" s="55">
        <v>2000</v>
      </c>
      <c r="G909" s="55" t="s">
        <v>512</v>
      </c>
      <c r="J909" s="55" t="str">
        <f t="shared" si="63"/>
        <v>TUBU380</v>
      </c>
    </row>
    <row r="910" spans="1:10">
      <c r="A910" s="79" t="s">
        <v>1796</v>
      </c>
      <c r="B910" s="1767" t="s">
        <v>1390</v>
      </c>
      <c r="C910" s="1775" t="s">
        <v>3393</v>
      </c>
      <c r="D910" s="80" t="s">
        <v>3388</v>
      </c>
      <c r="E910" s="2238" t="str">
        <f t="shared" si="62"/>
        <v>TU</v>
      </c>
      <c r="F910" s="55">
        <v>2000</v>
      </c>
      <c r="G910" s="55" t="s">
        <v>512</v>
      </c>
      <c r="J910" s="55" t="str">
        <f t="shared" si="63"/>
        <v>TUBU300</v>
      </c>
    </row>
    <row r="911" spans="1:10">
      <c r="A911" s="79" t="s">
        <v>734</v>
      </c>
      <c r="B911" s="1767" t="s">
        <v>1390</v>
      </c>
      <c r="C911" s="1775" t="s">
        <v>3394</v>
      </c>
      <c r="D911" s="80" t="s">
        <v>3388</v>
      </c>
      <c r="E911" s="2238" t="str">
        <f t="shared" si="62"/>
        <v>TU</v>
      </c>
      <c r="F911" s="55">
        <v>2000</v>
      </c>
      <c r="G911" s="55" t="s">
        <v>512</v>
      </c>
      <c r="J911" s="55" t="str">
        <f t="shared" si="63"/>
        <v>TUBU250</v>
      </c>
    </row>
    <row r="912" spans="1:10">
      <c r="A912" s="79" t="s">
        <v>1961</v>
      </c>
      <c r="B912" s="1767" t="s">
        <v>1390</v>
      </c>
      <c r="C912" s="1775" t="s">
        <v>3395</v>
      </c>
      <c r="D912" s="80" t="s">
        <v>3388</v>
      </c>
      <c r="E912" s="2238" t="str">
        <f t="shared" si="62"/>
        <v>TU</v>
      </c>
      <c r="F912" s="55">
        <v>2000</v>
      </c>
      <c r="G912" s="55" t="s">
        <v>512</v>
      </c>
      <c r="J912" s="55" t="str">
        <f t="shared" si="63"/>
        <v>TUBU220</v>
      </c>
    </row>
    <row r="913" spans="1:10">
      <c r="A913" s="79" t="s">
        <v>727</v>
      </c>
      <c r="B913" s="1767" t="s">
        <v>1390</v>
      </c>
      <c r="C913" s="1775" t="s">
        <v>3396</v>
      </c>
      <c r="D913" s="80" t="s">
        <v>3388</v>
      </c>
      <c r="E913" s="2238" t="str">
        <f t="shared" si="62"/>
        <v>TU</v>
      </c>
      <c r="F913" s="55">
        <v>2000</v>
      </c>
      <c r="G913" s="55" t="s">
        <v>512</v>
      </c>
      <c r="J913" s="55" t="str">
        <f t="shared" si="63"/>
        <v>TUBU160</v>
      </c>
    </row>
    <row r="914" spans="1:10">
      <c r="A914" s="79" t="s">
        <v>486</v>
      </c>
      <c r="B914" s="1767" t="s">
        <v>1390</v>
      </c>
      <c r="C914" s="1775" t="s">
        <v>3397</v>
      </c>
      <c r="D914" s="80" t="s">
        <v>3388</v>
      </c>
      <c r="E914" s="2238" t="str">
        <f t="shared" si="62"/>
        <v>TU</v>
      </c>
      <c r="F914" s="55">
        <v>2000</v>
      </c>
      <c r="G914" s="55" t="s">
        <v>512</v>
      </c>
      <c r="J914" s="55" t="str">
        <f t="shared" si="63"/>
        <v>TUBU135</v>
      </c>
    </row>
    <row r="915" spans="1:10">
      <c r="A915" s="79" t="s">
        <v>772</v>
      </c>
      <c r="B915" s="1767" t="s">
        <v>1390</v>
      </c>
      <c r="C915" s="1775" t="s">
        <v>3398</v>
      </c>
      <c r="D915" s="80" t="s">
        <v>3388</v>
      </c>
      <c r="E915" s="2238" t="str">
        <f t="shared" si="62"/>
        <v>TU</v>
      </c>
      <c r="F915" s="55">
        <v>2000</v>
      </c>
      <c r="G915" s="55" t="s">
        <v>512</v>
      </c>
      <c r="J915" s="55" t="str">
        <f t="shared" si="63"/>
        <v>TUBU130</v>
      </c>
    </row>
    <row r="916" spans="1:10">
      <c r="A916" s="79" t="s">
        <v>1797</v>
      </c>
      <c r="B916" s="1767" t="s">
        <v>1763</v>
      </c>
      <c r="C916" s="1775" t="s">
        <v>3399</v>
      </c>
      <c r="D916" s="80" t="s">
        <v>3388</v>
      </c>
      <c r="E916" s="2238" t="str">
        <f t="shared" si="62"/>
        <v>TU</v>
      </c>
      <c r="F916" s="55">
        <v>2000</v>
      </c>
      <c r="G916" s="55" t="s">
        <v>512</v>
      </c>
      <c r="J916" s="55" t="str">
        <f t="shared" si="63"/>
        <v>TUBU100</v>
      </c>
    </row>
    <row r="917" spans="1:10">
      <c r="A917" s="79" t="s">
        <v>4629</v>
      </c>
      <c r="B917" s="1767" t="s">
        <v>1390</v>
      </c>
      <c r="C917" s="1775" t="s">
        <v>4630</v>
      </c>
      <c r="D917" s="80" t="s">
        <v>3388</v>
      </c>
      <c r="E917" s="2238" t="str">
        <f t="shared" ref="E917" si="64">LEFT(A917,2)</f>
        <v>TU</v>
      </c>
      <c r="F917" s="55">
        <v>2000</v>
      </c>
      <c r="G917" s="55" t="s">
        <v>512</v>
      </c>
      <c r="J917" s="55" t="str">
        <f t="shared" si="63"/>
        <v>TUBU90</v>
      </c>
    </row>
    <row r="918" spans="1:10">
      <c r="A918" s="79" t="s">
        <v>686</v>
      </c>
      <c r="B918" s="1767" t="s">
        <v>1390</v>
      </c>
      <c r="C918" s="1775" t="s">
        <v>3400</v>
      </c>
      <c r="D918" s="80" t="s">
        <v>3388</v>
      </c>
      <c r="E918" s="2238" t="str">
        <f t="shared" si="62"/>
        <v>TU</v>
      </c>
      <c r="F918" s="55">
        <v>2000</v>
      </c>
      <c r="G918" s="55" t="s">
        <v>512</v>
      </c>
      <c r="J918" s="55" t="str">
        <f t="shared" si="63"/>
        <v>TUBU80</v>
      </c>
    </row>
    <row r="919" spans="1:10">
      <c r="A919" s="79" t="s">
        <v>2198</v>
      </c>
      <c r="B919" s="1767" t="s">
        <v>1390</v>
      </c>
      <c r="C919" s="1775" t="s">
        <v>3401</v>
      </c>
      <c r="D919" s="80" t="s">
        <v>3388</v>
      </c>
      <c r="E919" s="2238" t="str">
        <f t="shared" si="62"/>
        <v>TU</v>
      </c>
      <c r="F919" s="55">
        <v>2000</v>
      </c>
      <c r="G919" s="55" t="s">
        <v>512</v>
      </c>
      <c r="J919" s="55" t="str">
        <f t="shared" si="63"/>
        <v>TUBU60</v>
      </c>
    </row>
    <row r="920" spans="1:10">
      <c r="A920" s="79" t="s">
        <v>758</v>
      </c>
      <c r="B920" s="1767" t="s">
        <v>1390</v>
      </c>
      <c r="C920" s="1775" t="s">
        <v>4920</v>
      </c>
      <c r="D920" s="80" t="s">
        <v>3388</v>
      </c>
      <c r="E920" s="2238" t="str">
        <f t="shared" si="62"/>
        <v>TU</v>
      </c>
      <c r="F920" s="55">
        <v>2000</v>
      </c>
      <c r="G920" s="55" t="s">
        <v>512</v>
      </c>
      <c r="J920" s="55" t="str">
        <f t="shared" si="63"/>
        <v>TUBU40</v>
      </c>
    </row>
    <row r="921" spans="1:10">
      <c r="A921" s="79" t="s">
        <v>1597</v>
      </c>
      <c r="B921" s="1767" t="s">
        <v>1391</v>
      </c>
      <c r="C921" s="79" t="s">
        <v>3402</v>
      </c>
      <c r="D921" s="80" t="s">
        <v>3388</v>
      </c>
      <c r="E921" s="2238" t="str">
        <f t="shared" si="62"/>
        <v>TU</v>
      </c>
      <c r="F921" s="55">
        <v>50</v>
      </c>
      <c r="G921" s="55" t="s">
        <v>512</v>
      </c>
      <c r="J921" s="55" t="str">
        <f t="shared" si="63"/>
        <v>TULBS</v>
      </c>
    </row>
    <row r="922" spans="1:10">
      <c r="A922" s="79" t="s">
        <v>11</v>
      </c>
      <c r="B922" s="1767" t="s">
        <v>1391</v>
      </c>
      <c r="C922" s="79" t="s">
        <v>3403</v>
      </c>
      <c r="D922" s="80" t="s">
        <v>3388</v>
      </c>
      <c r="E922" s="2238" t="str">
        <f t="shared" si="62"/>
        <v>TU</v>
      </c>
      <c r="F922" s="55">
        <v>50</v>
      </c>
      <c r="G922" s="55" t="s">
        <v>512</v>
      </c>
      <c r="J922" s="55" t="str">
        <f t="shared" si="63"/>
        <v>TU LBS</v>
      </c>
    </row>
    <row r="923" spans="1:10">
      <c r="A923" s="79" t="s">
        <v>1794</v>
      </c>
      <c r="B923" s="1767" t="s">
        <v>1391</v>
      </c>
      <c r="C923" s="79" t="s">
        <v>3404</v>
      </c>
      <c r="D923" s="80" t="s">
        <v>3388</v>
      </c>
      <c r="E923" s="2238" t="str">
        <f t="shared" si="62"/>
        <v>TU</v>
      </c>
      <c r="F923" s="55">
        <v>50</v>
      </c>
      <c r="G923" s="55" t="s">
        <v>512</v>
      </c>
      <c r="J923" s="55" t="str">
        <f t="shared" si="63"/>
        <v>TUTC LBS</v>
      </c>
    </row>
    <row r="924" spans="1:10">
      <c r="A924" s="79" t="s">
        <v>1598</v>
      </c>
      <c r="B924" s="1767" t="s">
        <v>1391</v>
      </c>
      <c r="C924" s="79" t="s">
        <v>3405</v>
      </c>
      <c r="D924" s="80" t="s">
        <v>3388</v>
      </c>
      <c r="E924" s="2238" t="str">
        <f t="shared" ref="E924:E988" si="65">LEFT(A924,2)</f>
        <v>TU</v>
      </c>
      <c r="F924" s="55">
        <v>50</v>
      </c>
      <c r="G924" s="55" t="s">
        <v>512</v>
      </c>
      <c r="J924" s="55" t="str">
        <f t="shared" si="63"/>
        <v>TUDS</v>
      </c>
    </row>
    <row r="925" spans="1:10">
      <c r="A925" s="79" t="s">
        <v>1382</v>
      </c>
      <c r="B925" s="1767" t="s">
        <v>1025</v>
      </c>
      <c r="C925" s="79" t="s">
        <v>3406</v>
      </c>
      <c r="D925" s="80" t="s">
        <v>2563</v>
      </c>
      <c r="E925" s="2238" t="str">
        <f t="shared" si="65"/>
        <v>TU</v>
      </c>
      <c r="F925" s="55">
        <v>50</v>
      </c>
      <c r="G925" s="55" t="s">
        <v>512</v>
      </c>
      <c r="J925" s="55" t="str">
        <f t="shared" si="63"/>
        <v>TUACB</v>
      </c>
    </row>
    <row r="926" spans="1:10">
      <c r="A926" s="79" t="s">
        <v>887</v>
      </c>
      <c r="B926" s="1767" t="s">
        <v>1025</v>
      </c>
      <c r="C926" s="79" t="s">
        <v>3407</v>
      </c>
      <c r="D926" s="80" t="s">
        <v>2563</v>
      </c>
      <c r="E926" s="2238" t="str">
        <f t="shared" si="65"/>
        <v>TU</v>
      </c>
      <c r="F926" s="55">
        <v>50</v>
      </c>
      <c r="G926" s="55" t="s">
        <v>512</v>
      </c>
      <c r="J926" s="55" t="str">
        <f t="shared" si="63"/>
        <v>TUACB3200</v>
      </c>
    </row>
    <row r="927" spans="1:10">
      <c r="A927" s="79" t="s">
        <v>628</v>
      </c>
      <c r="B927" s="1767" t="s">
        <v>1025</v>
      </c>
      <c r="C927" s="79" t="s">
        <v>3408</v>
      </c>
      <c r="D927" s="80" t="s">
        <v>2563</v>
      </c>
      <c r="E927" s="2238" t="str">
        <f t="shared" si="65"/>
        <v>TU</v>
      </c>
      <c r="F927" s="55">
        <v>50</v>
      </c>
      <c r="G927" s="55" t="s">
        <v>512</v>
      </c>
      <c r="J927" s="55" t="str">
        <f t="shared" si="63"/>
        <v>TUACB4000</v>
      </c>
    </row>
    <row r="928" spans="1:10">
      <c r="A928" s="79" t="s">
        <v>615</v>
      </c>
      <c r="B928" s="1767" t="s">
        <v>1760</v>
      </c>
      <c r="C928" s="79" t="s">
        <v>3409</v>
      </c>
      <c r="D928" s="80" t="s">
        <v>2563</v>
      </c>
      <c r="E928" s="2238" t="str">
        <f t="shared" si="65"/>
        <v>TU</v>
      </c>
      <c r="F928" s="55">
        <v>50</v>
      </c>
      <c r="G928" s="55" t="s">
        <v>512</v>
      </c>
      <c r="J928" s="55" t="str">
        <f t="shared" si="63"/>
        <v>TUAP3-N</v>
      </c>
    </row>
    <row r="929" spans="1:10">
      <c r="A929" s="79" t="s">
        <v>1024</v>
      </c>
      <c r="B929" s="1767" t="s">
        <v>1759</v>
      </c>
      <c r="C929" s="79" t="s">
        <v>3410</v>
      </c>
      <c r="D929" s="80" t="s">
        <v>2563</v>
      </c>
      <c r="E929" s="2238" t="str">
        <f t="shared" si="65"/>
        <v>TU</v>
      </c>
      <c r="F929" s="55">
        <v>50</v>
      </c>
      <c r="G929" s="55" t="s">
        <v>512</v>
      </c>
      <c r="J929" s="55" t="str">
        <f t="shared" si="63"/>
        <v>TUAP1</v>
      </c>
    </row>
    <row r="930" spans="1:10">
      <c r="A930" s="79" t="s">
        <v>838</v>
      </c>
      <c r="B930" s="84" t="s">
        <v>1673</v>
      </c>
      <c r="C930" s="79" t="s">
        <v>3411</v>
      </c>
      <c r="D930" s="80" t="s">
        <v>2563</v>
      </c>
      <c r="E930" s="2238" t="str">
        <f t="shared" si="65"/>
        <v>TU</v>
      </c>
      <c r="F930" s="55">
        <v>50</v>
      </c>
      <c r="G930" s="55" t="s">
        <v>512</v>
      </c>
      <c r="J930" s="55" t="str">
        <f t="shared" si="63"/>
        <v>TUN</v>
      </c>
    </row>
    <row r="931" spans="1:10">
      <c r="A931" s="79" t="s">
        <v>1919</v>
      </c>
      <c r="B931" s="84" t="s">
        <v>1673</v>
      </c>
      <c r="C931" s="79" t="s">
        <v>3412</v>
      </c>
      <c r="D931" s="80" t="s">
        <v>2563</v>
      </c>
      <c r="E931" s="2238" t="str">
        <f t="shared" si="65"/>
        <v>TU</v>
      </c>
      <c r="F931" s="55">
        <v>50</v>
      </c>
      <c r="G931" s="55" t="s">
        <v>512</v>
      </c>
      <c r="J931" s="55" t="str">
        <f t="shared" si="63"/>
        <v>TUDKDT</v>
      </c>
    </row>
    <row r="932" spans="1:10">
      <c r="A932" s="79" t="s">
        <v>1026</v>
      </c>
      <c r="B932" s="84" t="s">
        <v>1025</v>
      </c>
      <c r="C932" s="79" t="s">
        <v>3413</v>
      </c>
      <c r="D932" s="80" t="s">
        <v>2563</v>
      </c>
      <c r="E932" s="2238" t="str">
        <f t="shared" si="65"/>
        <v>TU</v>
      </c>
      <c r="F932" s="55">
        <v>50</v>
      </c>
      <c r="G932" s="55" t="s">
        <v>512</v>
      </c>
      <c r="J932" s="55" t="str">
        <f t="shared" si="63"/>
        <v>TUAP3</v>
      </c>
    </row>
    <row r="933" spans="1:10">
      <c r="A933" s="79" t="s">
        <v>1507</v>
      </c>
      <c r="B933" s="84" t="s">
        <v>1760</v>
      </c>
      <c r="C933" s="79" t="s">
        <v>3414</v>
      </c>
      <c r="D933" s="80" t="s">
        <v>2563</v>
      </c>
      <c r="E933" s="2238" t="str">
        <f t="shared" si="65"/>
        <v>TU</v>
      </c>
      <c r="F933" s="55">
        <v>50</v>
      </c>
      <c r="G933" s="55" t="s">
        <v>512</v>
      </c>
      <c r="J933" s="55" t="str">
        <f t="shared" si="63"/>
        <v>TUAP3L</v>
      </c>
    </row>
    <row r="934" spans="1:10">
      <c r="A934" s="79" t="s">
        <v>1232</v>
      </c>
      <c r="B934" s="84" t="s">
        <v>1025</v>
      </c>
      <c r="C934" s="79" t="s">
        <v>3415</v>
      </c>
      <c r="D934" s="80" t="s">
        <v>2711</v>
      </c>
      <c r="E934" s="2238" t="str">
        <f t="shared" si="65"/>
        <v>KH</v>
      </c>
      <c r="F934" s="55">
        <v>50</v>
      </c>
      <c r="G934" s="55" t="s">
        <v>512</v>
      </c>
      <c r="J934" s="55" t="str">
        <f t="shared" si="63"/>
        <v>KHUNG TU</v>
      </c>
    </row>
    <row r="935" spans="1:10">
      <c r="A935" s="79" t="s">
        <v>917</v>
      </c>
      <c r="B935" s="84" t="s">
        <v>1673</v>
      </c>
      <c r="C935" s="79" t="s">
        <v>3416</v>
      </c>
      <c r="D935" s="80" t="s">
        <v>2563</v>
      </c>
      <c r="E935" s="2238" t="str">
        <f t="shared" si="65"/>
        <v>TU</v>
      </c>
      <c r="F935" s="55">
        <v>50</v>
      </c>
      <c r="G935" s="55" t="s">
        <v>512</v>
      </c>
      <c r="J935" s="55" t="str">
        <f t="shared" si="63"/>
        <v>TUPP</v>
      </c>
    </row>
    <row r="936" spans="1:10">
      <c r="A936" s="79" t="s">
        <v>2180</v>
      </c>
      <c r="B936" s="80"/>
      <c r="C936" s="79" t="s">
        <v>3417</v>
      </c>
      <c r="D936" s="80" t="s">
        <v>2563</v>
      </c>
      <c r="E936" s="2238" t="str">
        <f t="shared" si="65"/>
        <v>AT</v>
      </c>
      <c r="F936" s="55">
        <v>50</v>
      </c>
      <c r="G936" s="55" t="s">
        <v>512</v>
      </c>
      <c r="J936" s="55" t="str">
        <f t="shared" si="63"/>
        <v>ATM30A</v>
      </c>
    </row>
    <row r="937" spans="1:10">
      <c r="A937" s="79" t="s">
        <v>889</v>
      </c>
      <c r="B937" s="80"/>
      <c r="C937" s="79" t="s">
        <v>3418</v>
      </c>
      <c r="D937" s="80" t="s">
        <v>2563</v>
      </c>
      <c r="E937" s="2238" t="str">
        <f t="shared" si="65"/>
        <v>AT</v>
      </c>
      <c r="F937" s="55">
        <v>50</v>
      </c>
      <c r="G937" s="55" t="s">
        <v>512</v>
      </c>
      <c r="J937" s="55" t="str">
        <f t="shared" si="63"/>
        <v>ATM40A</v>
      </c>
    </row>
    <row r="938" spans="1:10">
      <c r="A938" s="79" t="s">
        <v>1421</v>
      </c>
      <c r="B938" s="80"/>
      <c r="C938" s="79" t="s">
        <v>3419</v>
      </c>
      <c r="D938" s="80" t="s">
        <v>2563</v>
      </c>
      <c r="E938" s="2238" t="str">
        <f t="shared" si="65"/>
        <v>AT</v>
      </c>
      <c r="F938" s="55">
        <v>50</v>
      </c>
      <c r="G938" s="55" t="s">
        <v>512</v>
      </c>
      <c r="J938" s="55" t="str">
        <f t="shared" si="63"/>
        <v>ATM100A</v>
      </c>
    </row>
    <row r="939" spans="1:10">
      <c r="A939" s="79" t="s">
        <v>80</v>
      </c>
      <c r="B939" s="1787" t="s">
        <v>1516</v>
      </c>
      <c r="C939" s="79" t="s">
        <v>4923</v>
      </c>
      <c r="D939" s="80" t="s">
        <v>2563</v>
      </c>
      <c r="E939" s="2238" t="str">
        <f t="shared" si="65"/>
        <v>AT</v>
      </c>
      <c r="F939" s="55">
        <v>5</v>
      </c>
      <c r="G939" s="55" t="s">
        <v>512</v>
      </c>
      <c r="J939" s="55" t="str">
        <f t="shared" si="63"/>
        <v>ATM50</v>
      </c>
    </row>
    <row r="940" spans="1:10">
      <c r="A940" s="79" t="s">
        <v>1728</v>
      </c>
      <c r="B940" s="1787" t="s">
        <v>1516</v>
      </c>
      <c r="C940" s="79" t="s">
        <v>3420</v>
      </c>
      <c r="D940" s="80" t="s">
        <v>2563</v>
      </c>
      <c r="E940" s="2238" t="str">
        <f t="shared" si="65"/>
        <v>AT</v>
      </c>
      <c r="F940" s="55">
        <v>5</v>
      </c>
      <c r="G940" s="55" t="s">
        <v>512</v>
      </c>
      <c r="J940" s="55" t="str">
        <f t="shared" si="63"/>
        <v>ATM80</v>
      </c>
    </row>
    <row r="941" spans="1:10">
      <c r="A941" s="79" t="s">
        <v>81</v>
      </c>
      <c r="B941" s="1787" t="s">
        <v>1516</v>
      </c>
      <c r="C941" s="79" t="s">
        <v>3421</v>
      </c>
      <c r="D941" s="80" t="s">
        <v>2563</v>
      </c>
      <c r="E941" s="2238" t="str">
        <f t="shared" si="65"/>
        <v>AT</v>
      </c>
      <c r="F941" s="55">
        <v>5</v>
      </c>
      <c r="G941" s="55" t="s">
        <v>512</v>
      </c>
      <c r="J941" s="55" t="str">
        <f t="shared" si="63"/>
        <v>ATM75</v>
      </c>
    </row>
    <row r="942" spans="1:10">
      <c r="A942" s="79" t="s">
        <v>793</v>
      </c>
      <c r="B942" s="1787" t="s">
        <v>1516</v>
      </c>
      <c r="C942" s="79" t="s">
        <v>3422</v>
      </c>
      <c r="D942" s="80" t="s">
        <v>2563</v>
      </c>
      <c r="E942" s="2238" t="str">
        <f t="shared" si="65"/>
        <v>AT</v>
      </c>
      <c r="F942" s="55">
        <v>5</v>
      </c>
      <c r="G942" s="55" t="s">
        <v>512</v>
      </c>
      <c r="J942" s="55" t="str">
        <f t="shared" si="63"/>
        <v>ATM100</v>
      </c>
    </row>
    <row r="943" spans="1:10">
      <c r="A943" s="79" t="s">
        <v>1422</v>
      </c>
      <c r="B943" s="1787" t="s">
        <v>1516</v>
      </c>
      <c r="C943" s="79" t="s">
        <v>4568</v>
      </c>
      <c r="D943" s="80" t="s">
        <v>2563</v>
      </c>
      <c r="E943" s="2238" t="str">
        <f t="shared" si="65"/>
        <v>AT</v>
      </c>
      <c r="F943" s="55">
        <v>5</v>
      </c>
      <c r="G943" s="55" t="s">
        <v>512</v>
      </c>
      <c r="J943" s="55" t="str">
        <f t="shared" si="63"/>
        <v>ATM125</v>
      </c>
    </row>
    <row r="944" spans="1:10">
      <c r="A944" s="79" t="s">
        <v>1852</v>
      </c>
      <c r="B944" s="1787" t="s">
        <v>1516</v>
      </c>
      <c r="C944" s="79" t="s">
        <v>3423</v>
      </c>
      <c r="D944" s="80" t="s">
        <v>2563</v>
      </c>
      <c r="E944" s="2238" t="str">
        <f t="shared" si="65"/>
        <v>AT</v>
      </c>
      <c r="F944" s="55">
        <v>5</v>
      </c>
      <c r="G944" s="55" t="s">
        <v>512</v>
      </c>
      <c r="J944" s="55" t="str">
        <f t="shared" si="63"/>
        <v>ATM150</v>
      </c>
    </row>
    <row r="945" spans="1:10">
      <c r="A945" s="79" t="s">
        <v>1430</v>
      </c>
      <c r="B945" s="1787" t="s">
        <v>1516</v>
      </c>
      <c r="C945" s="79" t="s">
        <v>3424</v>
      </c>
      <c r="D945" s="80" t="s">
        <v>2563</v>
      </c>
      <c r="E945" s="2238" t="str">
        <f t="shared" si="65"/>
        <v>AT</v>
      </c>
      <c r="F945" s="55">
        <v>5</v>
      </c>
      <c r="G945" s="55" t="s">
        <v>512</v>
      </c>
      <c r="J945" s="55" t="str">
        <f t="shared" si="63"/>
        <v>ATM200</v>
      </c>
    </row>
    <row r="946" spans="1:10">
      <c r="A946" s="79" t="s">
        <v>1563</v>
      </c>
      <c r="B946" s="1787" t="s">
        <v>1516</v>
      </c>
      <c r="C946" s="79" t="s">
        <v>4482</v>
      </c>
      <c r="D946" s="80" t="s">
        <v>2563</v>
      </c>
      <c r="E946" s="2238" t="str">
        <f t="shared" si="65"/>
        <v>AT</v>
      </c>
      <c r="F946" s="55">
        <v>5</v>
      </c>
      <c r="G946" s="55" t="s">
        <v>512</v>
      </c>
      <c r="J946" s="55" t="str">
        <f t="shared" si="63"/>
        <v>ATM250</v>
      </c>
    </row>
    <row r="947" spans="1:10">
      <c r="A947" s="79" t="s">
        <v>986</v>
      </c>
      <c r="B947" s="1787" t="s">
        <v>1887</v>
      </c>
      <c r="C947" s="79" t="s">
        <v>4535</v>
      </c>
      <c r="D947" s="80" t="s">
        <v>2563</v>
      </c>
      <c r="E947" s="2238" t="str">
        <f t="shared" si="65"/>
        <v>AT</v>
      </c>
      <c r="F947" s="55">
        <v>5</v>
      </c>
      <c r="G947" s="55" t="s">
        <v>512</v>
      </c>
      <c r="J947" s="55" t="str">
        <f t="shared" si="63"/>
        <v>ATM400</v>
      </c>
    </row>
    <row r="948" spans="1:10">
      <c r="A948" s="79" t="s">
        <v>305</v>
      </c>
      <c r="B948" s="1787" t="s">
        <v>543</v>
      </c>
      <c r="C948" s="79" t="s">
        <v>4792</v>
      </c>
      <c r="D948" s="80" t="s">
        <v>2563</v>
      </c>
      <c r="E948" s="2238" t="str">
        <f t="shared" si="65"/>
        <v>AT</v>
      </c>
      <c r="F948" s="55">
        <v>5</v>
      </c>
      <c r="G948" s="55" t="s">
        <v>512</v>
      </c>
      <c r="J948" s="55" t="str">
        <f t="shared" si="63"/>
        <v>ATM500</v>
      </c>
    </row>
    <row r="949" spans="1:10">
      <c r="A949" s="79" t="s">
        <v>542</v>
      </c>
      <c r="B949" s="1787" t="s">
        <v>543</v>
      </c>
      <c r="C949" s="79" t="s">
        <v>3425</v>
      </c>
      <c r="D949" s="80" t="s">
        <v>2563</v>
      </c>
      <c r="E949" s="2238" t="str">
        <f t="shared" si="65"/>
        <v>AT</v>
      </c>
      <c r="F949" s="55">
        <v>5</v>
      </c>
      <c r="G949" s="55" t="s">
        <v>512</v>
      </c>
      <c r="J949" s="55" t="str">
        <f t="shared" si="63"/>
        <v>ATM600</v>
      </c>
    </row>
    <row r="950" spans="1:10">
      <c r="A950" s="79" t="s">
        <v>960</v>
      </c>
      <c r="B950" s="1787" t="s">
        <v>543</v>
      </c>
      <c r="C950" s="79" t="s">
        <v>3426</v>
      </c>
      <c r="D950" s="80" t="s">
        <v>2563</v>
      </c>
      <c r="E950" s="2238" t="str">
        <f t="shared" si="65"/>
        <v>AT</v>
      </c>
      <c r="F950" s="55">
        <v>5</v>
      </c>
      <c r="G950" s="55" t="s">
        <v>512</v>
      </c>
      <c r="J950" s="55" t="str">
        <f t="shared" si="63"/>
        <v>ATM630</v>
      </c>
    </row>
    <row r="951" spans="1:10">
      <c r="A951" s="79" t="s">
        <v>655</v>
      </c>
      <c r="B951" s="1787" t="s">
        <v>543</v>
      </c>
      <c r="C951" s="79" t="s">
        <v>3427</v>
      </c>
      <c r="D951" s="80" t="s">
        <v>2563</v>
      </c>
      <c r="E951" s="2238" t="str">
        <f t="shared" si="65"/>
        <v>AT</v>
      </c>
      <c r="F951" s="55">
        <v>5</v>
      </c>
      <c r="G951" s="55" t="s">
        <v>512</v>
      </c>
      <c r="J951" s="55" t="str">
        <f t="shared" si="63"/>
        <v>ATM800</v>
      </c>
    </row>
    <row r="952" spans="1:10">
      <c r="A952" s="79" t="s">
        <v>656</v>
      </c>
      <c r="B952" s="1787" t="s">
        <v>825</v>
      </c>
      <c r="C952" s="79" t="s">
        <v>3428</v>
      </c>
      <c r="D952" s="80" t="s">
        <v>2563</v>
      </c>
      <c r="E952" s="2238" t="str">
        <f t="shared" si="65"/>
        <v>AT</v>
      </c>
      <c r="F952" s="55">
        <v>5</v>
      </c>
      <c r="G952" s="55" t="s">
        <v>512</v>
      </c>
      <c r="J952" s="55" t="str">
        <f t="shared" si="63"/>
        <v>ATM1000</v>
      </c>
    </row>
    <row r="953" spans="1:10">
      <c r="A953" s="79" t="s">
        <v>1379</v>
      </c>
      <c r="B953" s="1787" t="s">
        <v>825</v>
      </c>
      <c r="C953" s="79" t="s">
        <v>3429</v>
      </c>
      <c r="D953" s="80" t="s">
        <v>2563</v>
      </c>
      <c r="E953" s="2238" t="str">
        <f t="shared" si="65"/>
        <v>AT</v>
      </c>
      <c r="F953" s="55">
        <v>5</v>
      </c>
      <c r="G953" s="55" t="s">
        <v>512</v>
      </c>
      <c r="J953" s="55" t="str">
        <f t="shared" si="63"/>
        <v>ATM1250</v>
      </c>
    </row>
    <row r="954" spans="1:10">
      <c r="A954" s="79" t="s">
        <v>1380</v>
      </c>
      <c r="B954" s="1787" t="s">
        <v>825</v>
      </c>
      <c r="C954" s="79" t="s">
        <v>3430</v>
      </c>
      <c r="D954" s="80" t="s">
        <v>2563</v>
      </c>
      <c r="E954" s="2238" t="str">
        <f t="shared" si="65"/>
        <v>AT</v>
      </c>
      <c r="F954" s="55">
        <v>5</v>
      </c>
      <c r="G954" s="55" t="s">
        <v>512</v>
      </c>
      <c r="J954" s="55" t="str">
        <f t="shared" si="63"/>
        <v>ATM1600</v>
      </c>
    </row>
    <row r="955" spans="1:10">
      <c r="A955" s="79" t="s">
        <v>641</v>
      </c>
      <c r="B955" s="1787" t="s">
        <v>825</v>
      </c>
      <c r="C955" s="79" t="s">
        <v>3431</v>
      </c>
      <c r="D955" s="80" t="s">
        <v>2563</v>
      </c>
      <c r="E955" s="2238" t="str">
        <f t="shared" si="65"/>
        <v>AC</v>
      </c>
      <c r="F955" s="55">
        <v>50</v>
      </c>
      <c r="G955" s="55" t="s">
        <v>512</v>
      </c>
      <c r="J955" s="55" t="str">
        <f t="shared" si="63"/>
        <v>ACB1600</v>
      </c>
    </row>
    <row r="956" spans="1:10">
      <c r="A956" s="79" t="s">
        <v>440</v>
      </c>
      <c r="B956" s="1787" t="s">
        <v>825</v>
      </c>
      <c r="C956" s="79" t="s">
        <v>3432</v>
      </c>
      <c r="D956" s="80" t="s">
        <v>2563</v>
      </c>
      <c r="E956" s="2238" t="str">
        <f t="shared" si="65"/>
        <v>AC</v>
      </c>
      <c r="F956" s="55">
        <v>2</v>
      </c>
      <c r="G956" s="55" t="s">
        <v>512</v>
      </c>
      <c r="J956" s="55" t="str">
        <f t="shared" si="63"/>
        <v>ACB2000</v>
      </c>
    </row>
    <row r="957" spans="1:10">
      <c r="A957" s="79" t="s">
        <v>1135</v>
      </c>
      <c r="B957" s="1787" t="s">
        <v>825</v>
      </c>
      <c r="C957" s="79" t="s">
        <v>3433</v>
      </c>
      <c r="D957" s="80" t="s">
        <v>2563</v>
      </c>
      <c r="E957" s="2238" t="str">
        <f t="shared" si="65"/>
        <v>AC</v>
      </c>
      <c r="F957" s="55">
        <v>50</v>
      </c>
      <c r="G957" s="55" t="s">
        <v>512</v>
      </c>
      <c r="J957" s="55" t="str">
        <f t="shared" si="63"/>
        <v>ACB2500</v>
      </c>
    </row>
    <row r="958" spans="1:10">
      <c r="A958" s="79" t="s">
        <v>2191</v>
      </c>
      <c r="B958" s="1787" t="s">
        <v>825</v>
      </c>
      <c r="C958" s="79" t="s">
        <v>3434</v>
      </c>
      <c r="D958" s="80" t="s">
        <v>2563</v>
      </c>
      <c r="E958" s="2238" t="str">
        <f t="shared" si="65"/>
        <v>AC</v>
      </c>
      <c r="F958" s="55">
        <v>50</v>
      </c>
      <c r="G958" s="55" t="s">
        <v>512</v>
      </c>
      <c r="J958" s="55" t="str">
        <f t="shared" si="63"/>
        <v>ACB3200</v>
      </c>
    </row>
    <row r="959" spans="1:10">
      <c r="A959" s="79" t="s">
        <v>824</v>
      </c>
      <c r="B959" s="1787" t="s">
        <v>825</v>
      </c>
      <c r="C959" s="79" t="s">
        <v>3435</v>
      </c>
      <c r="D959" s="80" t="s">
        <v>2563</v>
      </c>
      <c r="E959" s="2238" t="str">
        <f t="shared" si="65"/>
        <v>AC</v>
      </c>
      <c r="F959" s="55">
        <v>50</v>
      </c>
      <c r="G959" s="55" t="s">
        <v>512</v>
      </c>
      <c r="J959" s="55" t="str">
        <f t="shared" si="63"/>
        <v>ACB4000</v>
      </c>
    </row>
    <row r="960" spans="1:10">
      <c r="A960" s="79" t="s">
        <v>1457</v>
      </c>
      <c r="B960" s="1787" t="s">
        <v>825</v>
      </c>
      <c r="C960" s="79" t="s">
        <v>3436</v>
      </c>
      <c r="D960" s="80" t="s">
        <v>2563</v>
      </c>
      <c r="E960" s="2238" t="str">
        <f t="shared" si="65"/>
        <v>AC</v>
      </c>
      <c r="F960" s="55">
        <v>50</v>
      </c>
      <c r="G960" s="55" t="s">
        <v>512</v>
      </c>
      <c r="J960" s="55" t="str">
        <f t="shared" si="63"/>
        <v>ACB4000-130</v>
      </c>
    </row>
    <row r="961" spans="1:10">
      <c r="A961" s="79" t="s">
        <v>1838</v>
      </c>
      <c r="B961" s="1787" t="s">
        <v>825</v>
      </c>
      <c r="C961" s="79" t="s">
        <v>3437</v>
      </c>
      <c r="D961" s="80" t="s">
        <v>2563</v>
      </c>
      <c r="E961" s="2238" t="str">
        <f t="shared" si="65"/>
        <v>AC</v>
      </c>
      <c r="F961" s="55">
        <v>50</v>
      </c>
      <c r="G961" s="55" t="s">
        <v>512</v>
      </c>
      <c r="J961" s="55" t="str">
        <f t="shared" si="63"/>
        <v>ACB6300</v>
      </c>
    </row>
    <row r="962" spans="1:10">
      <c r="A962" s="79" t="s">
        <v>1564</v>
      </c>
      <c r="B962" s="1787"/>
      <c r="C962" s="79" t="s">
        <v>3438</v>
      </c>
      <c r="D962" s="80" t="s">
        <v>2563</v>
      </c>
      <c r="E962" s="2238" t="str">
        <f t="shared" si="65"/>
        <v>AP</v>
      </c>
      <c r="F962" s="55">
        <v>50</v>
      </c>
      <c r="G962" s="55" t="s">
        <v>512</v>
      </c>
      <c r="J962" s="55" t="str">
        <f t="shared" si="63"/>
        <v>AP250</v>
      </c>
    </row>
    <row r="963" spans="1:10">
      <c r="A963" s="79" t="s">
        <v>1669</v>
      </c>
      <c r="B963" s="1787"/>
      <c r="C963" s="79" t="s">
        <v>3439</v>
      </c>
      <c r="D963" s="80" t="s">
        <v>2563</v>
      </c>
      <c r="E963" s="2238" t="str">
        <f t="shared" si="65"/>
        <v>AP</v>
      </c>
      <c r="F963" s="55">
        <v>50</v>
      </c>
      <c r="G963" s="55" t="s">
        <v>512</v>
      </c>
      <c r="J963" s="55" t="str">
        <f t="shared" si="63"/>
        <v>AP150</v>
      </c>
    </row>
    <row r="964" spans="1:10">
      <c r="A964" s="79" t="s">
        <v>888</v>
      </c>
      <c r="B964" s="84"/>
      <c r="C964" s="79" t="s">
        <v>3440</v>
      </c>
      <c r="D964" s="80" t="s">
        <v>2608</v>
      </c>
      <c r="E964" s="2238" t="str">
        <f t="shared" si="65"/>
        <v>CH</v>
      </c>
      <c r="F964" s="55">
        <v>50</v>
      </c>
      <c r="G964" s="55" t="s">
        <v>512</v>
      </c>
      <c r="J964" s="55" t="str">
        <f t="shared" si="63"/>
        <v>CHI3K</v>
      </c>
    </row>
    <row r="965" spans="1:10">
      <c r="A965" s="79" t="s">
        <v>26</v>
      </c>
      <c r="B965" s="84"/>
      <c r="C965" s="79" t="s">
        <v>3441</v>
      </c>
      <c r="D965" s="80" t="s">
        <v>2608</v>
      </c>
      <c r="E965" s="2238" t="str">
        <f t="shared" si="65"/>
        <v>CH</v>
      </c>
      <c r="F965" s="55">
        <v>50</v>
      </c>
      <c r="G965" s="55" t="s">
        <v>512</v>
      </c>
      <c r="J965" s="55" t="str">
        <f t="shared" ref="J965:J1028" si="66">A965</f>
        <v>CHI6K</v>
      </c>
    </row>
    <row r="966" spans="1:10">
      <c r="A966" s="79" t="s">
        <v>1027</v>
      </c>
      <c r="B966" s="84"/>
      <c r="C966" s="79" t="s">
        <v>3442</v>
      </c>
      <c r="D966" s="80" t="s">
        <v>2608</v>
      </c>
      <c r="E966" s="2238" t="str">
        <f t="shared" si="65"/>
        <v>CH</v>
      </c>
      <c r="F966" s="55">
        <v>50</v>
      </c>
      <c r="G966" s="55" t="s">
        <v>512</v>
      </c>
      <c r="J966" s="55" t="str">
        <f t="shared" si="66"/>
        <v>CHI8K</v>
      </c>
    </row>
    <row r="967" spans="1:10">
      <c r="A967" s="79" t="s">
        <v>1146</v>
      </c>
      <c r="B967" s="84"/>
      <c r="C967" s="79" t="s">
        <v>3443</v>
      </c>
      <c r="D967" s="80" t="s">
        <v>2608</v>
      </c>
      <c r="E967" s="2238" t="str">
        <f t="shared" si="65"/>
        <v>CH</v>
      </c>
      <c r="F967" s="55">
        <v>50</v>
      </c>
      <c r="G967" s="55" t="s">
        <v>512</v>
      </c>
      <c r="J967" s="55" t="str">
        <f t="shared" si="66"/>
        <v>CHI10K</v>
      </c>
    </row>
    <row r="968" spans="1:10">
      <c r="A968" s="79" t="s">
        <v>2071</v>
      </c>
      <c r="B968" s="84"/>
      <c r="C968" s="79" t="s">
        <v>3444</v>
      </c>
      <c r="D968" s="80" t="s">
        <v>2608</v>
      </c>
      <c r="E968" s="2238" t="str">
        <f t="shared" si="65"/>
        <v>CH</v>
      </c>
      <c r="F968" s="55">
        <v>50</v>
      </c>
      <c r="G968" s="55" t="s">
        <v>512</v>
      </c>
      <c r="J968" s="55" t="str">
        <f t="shared" si="66"/>
        <v>CHI12K</v>
      </c>
    </row>
    <row r="969" spans="1:10">
      <c r="A969" s="79" t="s">
        <v>2072</v>
      </c>
      <c r="B969" s="84"/>
      <c r="C969" s="79" t="s">
        <v>3445</v>
      </c>
      <c r="D969" s="80" t="s">
        <v>2608</v>
      </c>
      <c r="E969" s="2238" t="str">
        <f t="shared" si="65"/>
        <v>CH</v>
      </c>
      <c r="F969" s="55">
        <v>50</v>
      </c>
      <c r="G969" s="55" t="s">
        <v>512</v>
      </c>
      <c r="J969" s="55" t="str">
        <f t="shared" si="66"/>
        <v>CHI15K</v>
      </c>
    </row>
    <row r="970" spans="1:10">
      <c r="A970" s="79" t="s">
        <v>1161</v>
      </c>
      <c r="B970" s="84"/>
      <c r="C970" s="79" t="s">
        <v>3446</v>
      </c>
      <c r="D970" s="80" t="s">
        <v>2608</v>
      </c>
      <c r="E970" s="2238" t="str">
        <f t="shared" si="65"/>
        <v>CH</v>
      </c>
      <c r="F970" s="55">
        <v>50</v>
      </c>
      <c r="G970" s="55" t="s">
        <v>512</v>
      </c>
      <c r="J970" s="55" t="str">
        <f t="shared" si="66"/>
        <v>CHI20K</v>
      </c>
    </row>
    <row r="971" spans="1:10">
      <c r="A971" s="79" t="s">
        <v>2070</v>
      </c>
      <c r="B971" s="84"/>
      <c r="C971" s="79" t="s">
        <v>3447</v>
      </c>
      <c r="D971" s="80" t="s">
        <v>2608</v>
      </c>
      <c r="E971" s="2238" t="str">
        <f t="shared" si="65"/>
        <v>CH</v>
      </c>
      <c r="F971" s="55">
        <v>50</v>
      </c>
      <c r="G971" s="55" t="s">
        <v>512</v>
      </c>
      <c r="J971" s="55" t="str">
        <f t="shared" si="66"/>
        <v>CHI25K</v>
      </c>
    </row>
    <row r="972" spans="1:10">
      <c r="A972" s="79" t="s">
        <v>2073</v>
      </c>
      <c r="B972" s="84"/>
      <c r="C972" s="79" t="s">
        <v>3448</v>
      </c>
      <c r="D972" s="80" t="s">
        <v>2608</v>
      </c>
      <c r="E972" s="2238" t="str">
        <f t="shared" si="65"/>
        <v>CH</v>
      </c>
      <c r="F972" s="55">
        <v>50</v>
      </c>
      <c r="G972" s="55" t="s">
        <v>512</v>
      </c>
      <c r="J972" s="55" t="str">
        <f t="shared" si="66"/>
        <v>CHI30K</v>
      </c>
    </row>
    <row r="973" spans="1:10">
      <c r="A973" s="79" t="s">
        <v>2074</v>
      </c>
      <c r="B973" s="84"/>
      <c r="C973" s="79" t="s">
        <v>3449</v>
      </c>
      <c r="D973" s="80" t="s">
        <v>2608</v>
      </c>
      <c r="E973" s="2238" t="str">
        <f t="shared" si="65"/>
        <v>CH</v>
      </c>
      <c r="F973" s="55">
        <v>50</v>
      </c>
      <c r="G973" s="55" t="s">
        <v>512</v>
      </c>
      <c r="J973" s="55" t="str">
        <f t="shared" si="66"/>
        <v>CHI40K</v>
      </c>
    </row>
    <row r="974" spans="1:10">
      <c r="A974" s="79" t="s">
        <v>541</v>
      </c>
      <c r="B974" s="84"/>
      <c r="C974" s="79" t="s">
        <v>3450</v>
      </c>
      <c r="D974" s="80" t="s">
        <v>2608</v>
      </c>
      <c r="E974" s="2238" t="str">
        <f t="shared" si="65"/>
        <v>CH</v>
      </c>
      <c r="F974" s="55">
        <v>50</v>
      </c>
      <c r="G974" s="55" t="s">
        <v>512</v>
      </c>
      <c r="J974" s="55" t="str">
        <f t="shared" si="66"/>
        <v>CHI50K</v>
      </c>
    </row>
    <row r="975" spans="1:10">
      <c r="A975" s="79" t="s">
        <v>693</v>
      </c>
      <c r="B975" s="84"/>
      <c r="C975" s="79" t="s">
        <v>3451</v>
      </c>
      <c r="D975" s="80" t="s">
        <v>2608</v>
      </c>
      <c r="E975" s="2238" t="str">
        <f t="shared" si="65"/>
        <v>CH</v>
      </c>
      <c r="F975" s="55">
        <v>50</v>
      </c>
      <c r="G975" s="55" t="s">
        <v>512</v>
      </c>
      <c r="J975" s="55" t="str">
        <f t="shared" si="66"/>
        <v>CHI65K</v>
      </c>
    </row>
    <row r="976" spans="1:10">
      <c r="A976" s="79" t="s">
        <v>555</v>
      </c>
      <c r="B976" s="84"/>
      <c r="C976" s="79" t="s">
        <v>3452</v>
      </c>
      <c r="D976" s="80" t="s">
        <v>2608</v>
      </c>
      <c r="E976" s="2238" t="str">
        <f t="shared" si="65"/>
        <v>CH</v>
      </c>
      <c r="F976" s="55">
        <v>50</v>
      </c>
      <c r="G976" s="55" t="s">
        <v>512</v>
      </c>
      <c r="J976" s="55" t="str">
        <f t="shared" si="66"/>
        <v>CHI80K</v>
      </c>
    </row>
    <row r="977" spans="1:10">
      <c r="A977" s="79" t="s">
        <v>561</v>
      </c>
      <c r="B977" s="84"/>
      <c r="C977" s="79" t="s">
        <v>3453</v>
      </c>
      <c r="D977" s="80" t="s">
        <v>2608</v>
      </c>
      <c r="E977" s="2238" t="str">
        <f t="shared" si="65"/>
        <v>CH</v>
      </c>
      <c r="F977" s="55">
        <v>50</v>
      </c>
      <c r="G977" s="55" t="s">
        <v>512</v>
      </c>
      <c r="J977" s="55" t="str">
        <f t="shared" si="66"/>
        <v>CHI100K</v>
      </c>
    </row>
    <row r="978" spans="1:10">
      <c r="A978" s="79" t="s">
        <v>562</v>
      </c>
      <c r="B978" s="84"/>
      <c r="C978" s="79" t="s">
        <v>3454</v>
      </c>
      <c r="D978" s="80" t="s">
        <v>2608</v>
      </c>
      <c r="E978" s="2238" t="str">
        <f t="shared" si="65"/>
        <v>CH</v>
      </c>
      <c r="F978" s="55">
        <v>50</v>
      </c>
      <c r="G978" s="55" t="s">
        <v>512</v>
      </c>
      <c r="J978" s="55" t="str">
        <f t="shared" si="66"/>
        <v>CHI140K</v>
      </c>
    </row>
    <row r="979" spans="1:10">
      <c r="A979" s="79" t="s">
        <v>1587</v>
      </c>
      <c r="B979" s="1787"/>
      <c r="C979" s="79" t="s">
        <v>3455</v>
      </c>
      <c r="D979" s="80" t="s">
        <v>2563</v>
      </c>
      <c r="E979" s="2238" t="str">
        <f t="shared" si="65"/>
        <v>DK</v>
      </c>
      <c r="F979" s="55">
        <v>2000</v>
      </c>
      <c r="G979" s="55" t="s">
        <v>512</v>
      </c>
      <c r="J979" s="55" t="str">
        <f t="shared" si="66"/>
        <v>DK1p100A</v>
      </c>
    </row>
    <row r="980" spans="1:10">
      <c r="A980" s="79" t="s">
        <v>2199</v>
      </c>
      <c r="B980" s="1787"/>
      <c r="C980" s="79" t="s">
        <v>3456</v>
      </c>
      <c r="D980" s="80" t="s">
        <v>2563</v>
      </c>
      <c r="E980" s="2238" t="str">
        <f t="shared" si="65"/>
        <v>DK</v>
      </c>
      <c r="F980" s="55">
        <v>2000</v>
      </c>
      <c r="G980" s="55" t="s">
        <v>512</v>
      </c>
      <c r="J980" s="55" t="str">
        <f t="shared" si="66"/>
        <v>DK1p80A</v>
      </c>
    </row>
    <row r="981" spans="1:10">
      <c r="A981" s="79" t="s">
        <v>287</v>
      </c>
      <c r="B981" s="1787"/>
      <c r="C981" s="79" t="s">
        <v>3457</v>
      </c>
      <c r="D981" s="80" t="s">
        <v>2563</v>
      </c>
      <c r="E981" s="2238" t="str">
        <f t="shared" si="65"/>
        <v>DK</v>
      </c>
      <c r="F981" s="55">
        <v>2000</v>
      </c>
      <c r="G981" s="55" t="s">
        <v>512</v>
      </c>
      <c r="J981" s="55" t="str">
        <f t="shared" si="66"/>
        <v>DK1p5A</v>
      </c>
    </row>
    <row r="982" spans="1:10">
      <c r="A982" s="79" t="s">
        <v>1394</v>
      </c>
      <c r="B982" s="1787"/>
      <c r="C982" s="79" t="s">
        <v>3458</v>
      </c>
      <c r="D982" s="80" t="s">
        <v>2563</v>
      </c>
      <c r="E982" s="2238" t="str">
        <f t="shared" si="65"/>
        <v>DK</v>
      </c>
      <c r="F982" s="55">
        <v>2000</v>
      </c>
      <c r="G982" s="55" t="s">
        <v>512</v>
      </c>
      <c r="J982" s="55" t="str">
        <f t="shared" si="66"/>
        <v>DK3p50(100)A</v>
      </c>
    </row>
    <row r="983" spans="1:10">
      <c r="A983" s="79" t="s">
        <v>288</v>
      </c>
      <c r="B983" s="1787" t="s">
        <v>58</v>
      </c>
      <c r="C983" s="79" t="s">
        <v>3459</v>
      </c>
      <c r="D983" s="80" t="s">
        <v>2563</v>
      </c>
      <c r="E983" s="2238" t="str">
        <f t="shared" si="65"/>
        <v>DK</v>
      </c>
      <c r="F983" s="55">
        <v>2000</v>
      </c>
      <c r="G983" s="55" t="s">
        <v>512</v>
      </c>
      <c r="J983" s="55" t="str">
        <f t="shared" si="66"/>
        <v>DK3p5A</v>
      </c>
    </row>
    <row r="984" spans="1:10">
      <c r="A984" s="79" t="s">
        <v>4537</v>
      </c>
      <c r="B984" s="1787" t="s">
        <v>58</v>
      </c>
      <c r="C984" s="79" t="s">
        <v>4538</v>
      </c>
      <c r="D984" s="80" t="s">
        <v>2563</v>
      </c>
      <c r="E984" s="2238" t="str">
        <f t="shared" ref="E984" si="67">LEFT(A984,2)</f>
        <v>DK</v>
      </c>
      <c r="F984" s="55">
        <v>2000</v>
      </c>
      <c r="G984" s="55" t="s">
        <v>512</v>
      </c>
      <c r="J984" s="55" t="str">
        <f t="shared" si="66"/>
        <v>DK380-5A</v>
      </c>
    </row>
    <row r="985" spans="1:10">
      <c r="A985" s="79" t="s">
        <v>1841</v>
      </c>
      <c r="B985" s="1787"/>
      <c r="C985" s="79" t="s">
        <v>3460</v>
      </c>
      <c r="D985" s="80" t="s">
        <v>2563</v>
      </c>
      <c r="E985" s="2238" t="str">
        <f t="shared" si="65"/>
        <v>DK</v>
      </c>
      <c r="F985" s="55">
        <v>2000</v>
      </c>
      <c r="G985" s="55" t="s">
        <v>512</v>
      </c>
      <c r="J985" s="55" t="str">
        <f t="shared" si="66"/>
        <v>DK3DT</v>
      </c>
    </row>
    <row r="986" spans="1:10">
      <c r="A986" s="79" t="s">
        <v>943</v>
      </c>
      <c r="B986" s="1787" t="s">
        <v>58</v>
      </c>
      <c r="C986" s="79" t="s">
        <v>3461</v>
      </c>
      <c r="D986" s="80" t="s">
        <v>2563</v>
      </c>
      <c r="E986" s="2238" t="str">
        <f t="shared" si="65"/>
        <v>DK</v>
      </c>
      <c r="F986" s="55">
        <v>2000</v>
      </c>
      <c r="G986" s="55" t="s">
        <v>512</v>
      </c>
      <c r="J986" s="55" t="str">
        <f t="shared" si="66"/>
        <v>DK3P</v>
      </c>
    </row>
    <row r="987" spans="1:10">
      <c r="A987" s="79" t="s">
        <v>289</v>
      </c>
      <c r="B987" s="1787" t="s">
        <v>1762</v>
      </c>
      <c r="C987" s="79" t="s">
        <v>4585</v>
      </c>
      <c r="D987" s="80" t="s">
        <v>2445</v>
      </c>
      <c r="E987" s="2238" t="str">
        <f t="shared" si="65"/>
        <v>BA</v>
      </c>
      <c r="F987" s="55">
        <v>50</v>
      </c>
      <c r="G987" s="55" t="s">
        <v>512</v>
      </c>
      <c r="J987" s="55" t="str">
        <f t="shared" si="66"/>
        <v>BANG</v>
      </c>
    </row>
    <row r="988" spans="1:10">
      <c r="A988" s="79" t="s">
        <v>1588</v>
      </c>
      <c r="B988" s="84"/>
      <c r="C988" s="1776" t="s">
        <v>3462</v>
      </c>
      <c r="D988" s="80" t="s">
        <v>3463</v>
      </c>
      <c r="E988" s="2238" t="str">
        <f t="shared" si="65"/>
        <v>GT</v>
      </c>
      <c r="F988" s="55">
        <v>50</v>
      </c>
      <c r="G988" s="55" t="s">
        <v>512</v>
      </c>
      <c r="J988" s="55" t="str">
        <f t="shared" si="66"/>
        <v>GTD</v>
      </c>
    </row>
    <row r="989" spans="1:10">
      <c r="A989" s="79" t="s">
        <v>3464</v>
      </c>
      <c r="B989" s="84"/>
      <c r="C989" s="1776" t="s">
        <v>3465</v>
      </c>
      <c r="D989" s="80" t="s">
        <v>3463</v>
      </c>
      <c r="E989" s="2238" t="str">
        <f t="shared" ref="E989:E1053" si="68">LEFT(A989,2)</f>
        <v>GT</v>
      </c>
      <c r="F989" s="55">
        <v>50</v>
      </c>
      <c r="G989" s="55" t="s">
        <v>512</v>
      </c>
      <c r="J989" s="55" t="str">
        <f t="shared" si="66"/>
        <v>GTDĐ</v>
      </c>
    </row>
    <row r="990" spans="1:10">
      <c r="A990" s="79" t="s">
        <v>1256</v>
      </c>
      <c r="B990" s="1786" t="s">
        <v>1257</v>
      </c>
      <c r="C990" s="1776" t="s">
        <v>3466</v>
      </c>
      <c r="D990" s="80" t="s">
        <v>2563</v>
      </c>
      <c r="E990" s="2238" t="str">
        <f t="shared" si="68"/>
        <v>SX</v>
      </c>
      <c r="F990" s="55">
        <v>50</v>
      </c>
      <c r="G990" s="55" t="s">
        <v>512</v>
      </c>
      <c r="J990" s="55" t="str">
        <f t="shared" si="66"/>
        <v>SXTg</v>
      </c>
    </row>
    <row r="991" spans="1:10">
      <c r="A991" s="79" t="s">
        <v>1730</v>
      </c>
      <c r="B991" s="84"/>
      <c r="C991" s="1776" t="s">
        <v>4428</v>
      </c>
      <c r="D991" s="80" t="s">
        <v>2445</v>
      </c>
      <c r="E991" s="2238" t="str">
        <f t="shared" si="68"/>
        <v>GS</v>
      </c>
      <c r="F991" s="55">
        <v>50</v>
      </c>
      <c r="G991" s="55" t="s">
        <v>512</v>
      </c>
      <c r="J991" s="55" t="str">
        <f t="shared" si="66"/>
        <v>GSXTg</v>
      </c>
    </row>
    <row r="992" spans="1:10">
      <c r="A992" s="79" t="s">
        <v>1632</v>
      </c>
      <c r="B992" s="84"/>
      <c r="C992" s="1776" t="s">
        <v>3467</v>
      </c>
      <c r="D992" s="80" t="s">
        <v>2445</v>
      </c>
      <c r="E992" s="2238" t="str">
        <f t="shared" si="68"/>
        <v>GC</v>
      </c>
      <c r="F992" s="55">
        <v>50</v>
      </c>
      <c r="G992" s="55" t="s">
        <v>512</v>
      </c>
      <c r="J992" s="55" t="str">
        <f t="shared" si="66"/>
        <v>GCAP</v>
      </c>
    </row>
    <row r="993" spans="1:10">
      <c r="A993" s="79" t="s">
        <v>2235</v>
      </c>
      <c r="B993" s="1787" t="s">
        <v>2236</v>
      </c>
      <c r="C993" s="1776" t="s">
        <v>3468</v>
      </c>
      <c r="D993" s="80" t="s">
        <v>2445</v>
      </c>
      <c r="E993" s="2238" t="str">
        <f t="shared" si="68"/>
        <v>SD</v>
      </c>
      <c r="F993" s="55">
        <v>50</v>
      </c>
      <c r="G993" s="55" t="s">
        <v>512</v>
      </c>
      <c r="J993" s="55" t="str">
        <f t="shared" si="66"/>
        <v>SDTC</v>
      </c>
    </row>
    <row r="994" spans="1:10">
      <c r="A994" s="79" t="s">
        <v>1979</v>
      </c>
      <c r="B994" s="84" t="s">
        <v>1980</v>
      </c>
      <c r="C994" s="1776" t="s">
        <v>3469</v>
      </c>
      <c r="D994" s="80" t="s">
        <v>1827</v>
      </c>
      <c r="E994" s="2238" t="str">
        <f t="shared" si="68"/>
        <v>TC</v>
      </c>
      <c r="F994" s="55">
        <v>50</v>
      </c>
      <c r="G994" s="55" t="s">
        <v>512</v>
      </c>
      <c r="J994" s="55" t="str">
        <f t="shared" si="66"/>
        <v>TC450</v>
      </c>
    </row>
    <row r="995" spans="1:10">
      <c r="A995" s="79" t="s">
        <v>123</v>
      </c>
      <c r="B995" s="84" t="s">
        <v>1980</v>
      </c>
      <c r="C995" s="1776" t="s">
        <v>3470</v>
      </c>
      <c r="D995" s="80" t="s">
        <v>1827</v>
      </c>
      <c r="E995" s="2238" t="str">
        <f t="shared" si="68"/>
        <v>TC</v>
      </c>
      <c r="F995" s="55">
        <v>50</v>
      </c>
      <c r="G995" s="55" t="s">
        <v>512</v>
      </c>
      <c r="J995" s="55" t="str">
        <f t="shared" si="66"/>
        <v>TC430</v>
      </c>
    </row>
    <row r="996" spans="1:10">
      <c r="A996" s="79" t="s">
        <v>124</v>
      </c>
      <c r="B996" s="84" t="s">
        <v>1779</v>
      </c>
      <c r="C996" s="1776" t="s">
        <v>3471</v>
      </c>
      <c r="D996" s="80" t="s">
        <v>1827</v>
      </c>
      <c r="E996" s="2238" t="str">
        <f t="shared" si="68"/>
        <v>TC</v>
      </c>
      <c r="F996" s="55">
        <v>50</v>
      </c>
      <c r="G996" s="55" t="s">
        <v>512</v>
      </c>
      <c r="J996" s="55" t="str">
        <f t="shared" si="66"/>
        <v>TC420</v>
      </c>
    </row>
    <row r="997" spans="1:10">
      <c r="A997" s="79" t="s">
        <v>1128</v>
      </c>
      <c r="B997" s="84"/>
      <c r="C997" s="1776" t="s">
        <v>3472</v>
      </c>
      <c r="D997" s="80" t="s">
        <v>2445</v>
      </c>
      <c r="E997" s="2238" t="str">
        <f t="shared" si="68"/>
        <v>Gi</v>
      </c>
      <c r="F997" s="55">
        <v>50</v>
      </c>
      <c r="G997" s="55" t="s">
        <v>512</v>
      </c>
      <c r="J997" s="55" t="str">
        <f t="shared" si="66"/>
        <v>GiacapTT-2m</v>
      </c>
    </row>
    <row r="998" spans="1:10">
      <c r="A998" s="79" t="s">
        <v>1233</v>
      </c>
      <c r="B998" s="84"/>
      <c r="C998" s="1776" t="s">
        <v>3472</v>
      </c>
      <c r="D998" s="80" t="s">
        <v>2445</v>
      </c>
      <c r="E998" s="2238" t="str">
        <f t="shared" si="68"/>
        <v>Gi</v>
      </c>
      <c r="F998" s="55">
        <v>50</v>
      </c>
      <c r="G998" s="55" t="s">
        <v>512</v>
      </c>
      <c r="J998" s="55" t="str">
        <f t="shared" si="66"/>
        <v>GiacapTT-6m</v>
      </c>
    </row>
    <row r="999" spans="1:10">
      <c r="A999" s="79" t="s">
        <v>850</v>
      </c>
      <c r="B999" s="84"/>
      <c r="C999" s="1776" t="s">
        <v>3472</v>
      </c>
      <c r="D999" s="80" t="s">
        <v>2445</v>
      </c>
      <c r="E999" s="2238" t="str">
        <f t="shared" si="68"/>
        <v>Gi</v>
      </c>
      <c r="F999" s="55">
        <v>50</v>
      </c>
      <c r="G999" s="55" t="s">
        <v>512</v>
      </c>
      <c r="J999" s="55" t="str">
        <f t="shared" si="66"/>
        <v>GiacapTT-8m</v>
      </c>
    </row>
    <row r="1000" spans="1:10">
      <c r="A1000" s="79" t="s">
        <v>560</v>
      </c>
      <c r="B1000" s="84"/>
      <c r="C1000" s="1776" t="s">
        <v>3472</v>
      </c>
      <c r="D1000" s="80" t="s">
        <v>2445</v>
      </c>
      <c r="E1000" s="2238" t="str">
        <f t="shared" si="68"/>
        <v>Gi</v>
      </c>
      <c r="F1000" s="55">
        <v>50</v>
      </c>
      <c r="G1000" s="55" t="s">
        <v>512</v>
      </c>
      <c r="J1000" s="55" t="str">
        <f t="shared" si="66"/>
        <v>GiacapTT-15m</v>
      </c>
    </row>
    <row r="1001" spans="1:10">
      <c r="A1001" s="79" t="s">
        <v>2143</v>
      </c>
      <c r="B1001" s="84"/>
      <c r="C1001" s="1776" t="s">
        <v>3473</v>
      </c>
      <c r="D1001" s="80" t="s">
        <v>2445</v>
      </c>
      <c r="E1001" s="2238" t="str">
        <f t="shared" si="68"/>
        <v>Gi</v>
      </c>
      <c r="F1001" s="55">
        <v>50</v>
      </c>
      <c r="G1001" s="55" t="s">
        <v>512</v>
      </c>
      <c r="J1001" s="55" t="str">
        <f t="shared" si="66"/>
        <v>GiacapTHT-10m</v>
      </c>
    </row>
    <row r="1002" spans="1:10">
      <c r="A1002" s="79" t="s">
        <v>907</v>
      </c>
      <c r="B1002" s="84"/>
      <c r="C1002" s="1776" t="s">
        <v>3474</v>
      </c>
      <c r="D1002" s="80" t="s">
        <v>2445</v>
      </c>
      <c r="E1002" s="2238" t="str">
        <f t="shared" si="68"/>
        <v>Gi</v>
      </c>
      <c r="F1002" s="55">
        <v>50</v>
      </c>
      <c r="G1002" s="55" t="s">
        <v>512</v>
      </c>
      <c r="J1002" s="55" t="str">
        <f t="shared" si="66"/>
        <v>GiacapHT-1m</v>
      </c>
    </row>
    <row r="1003" spans="1:10">
      <c r="A1003" s="79" t="s">
        <v>1454</v>
      </c>
      <c r="B1003" s="1786"/>
      <c r="C1003" s="1776" t="s">
        <v>3474</v>
      </c>
      <c r="D1003" s="80" t="s">
        <v>2445</v>
      </c>
      <c r="E1003" s="2238" t="str">
        <f t="shared" si="68"/>
        <v>Gi</v>
      </c>
      <c r="F1003" s="55">
        <v>50</v>
      </c>
      <c r="G1003" s="55" t="s">
        <v>512</v>
      </c>
      <c r="J1003" s="55" t="str">
        <f t="shared" si="66"/>
        <v>GiacapHT-2m</v>
      </c>
    </row>
    <row r="1004" spans="1:10">
      <c r="A1004" s="79" t="s">
        <v>2238</v>
      </c>
      <c r="B1004" s="1786"/>
      <c r="C1004" s="1776" t="s">
        <v>3474</v>
      </c>
      <c r="D1004" s="80" t="s">
        <v>2445</v>
      </c>
      <c r="E1004" s="2238" t="str">
        <f t="shared" si="68"/>
        <v>Gi</v>
      </c>
      <c r="F1004" s="55">
        <v>50</v>
      </c>
      <c r="G1004" s="55" t="s">
        <v>512</v>
      </c>
      <c r="J1004" s="55" t="str">
        <f t="shared" si="66"/>
        <v>GiacapHT-3m</v>
      </c>
    </row>
    <row r="1005" spans="1:10">
      <c r="A1005" s="79" t="s">
        <v>248</v>
      </c>
      <c r="B1005" s="1786"/>
      <c r="C1005" s="1776" t="s">
        <v>3474</v>
      </c>
      <c r="D1005" s="80" t="s">
        <v>2445</v>
      </c>
      <c r="E1005" s="2238" t="str">
        <f t="shared" si="68"/>
        <v>Gi</v>
      </c>
      <c r="F1005" s="55">
        <v>50</v>
      </c>
      <c r="G1005" s="55" t="s">
        <v>512</v>
      </c>
      <c r="J1005" s="55" t="str">
        <f t="shared" si="66"/>
        <v>GiacapHT-4m</v>
      </c>
    </row>
    <row r="1006" spans="1:10">
      <c r="A1006" s="79" t="s">
        <v>1822</v>
      </c>
      <c r="B1006" s="1786"/>
      <c r="C1006" s="1776" t="s">
        <v>3474</v>
      </c>
      <c r="D1006" s="80" t="s">
        <v>2711</v>
      </c>
      <c r="E1006" s="2238" t="str">
        <f t="shared" si="68"/>
        <v>Gi</v>
      </c>
      <c r="F1006" s="55">
        <v>50</v>
      </c>
      <c r="G1006" s="55" t="s">
        <v>512</v>
      </c>
      <c r="J1006" s="55" t="str">
        <f t="shared" si="66"/>
        <v>GiacapHT</v>
      </c>
    </row>
    <row r="1007" spans="1:10">
      <c r="A1007" s="79" t="s">
        <v>164</v>
      </c>
      <c r="B1007" s="1786"/>
      <c r="C1007" s="1776" t="s">
        <v>3474</v>
      </c>
      <c r="D1007" s="80" t="s">
        <v>2445</v>
      </c>
      <c r="E1007" s="2238" t="str">
        <f t="shared" si="68"/>
        <v>Gi</v>
      </c>
      <c r="F1007" s="55">
        <v>50</v>
      </c>
      <c r="G1007" s="55" t="s">
        <v>512</v>
      </c>
      <c r="J1007" s="55" t="str">
        <f t="shared" si="66"/>
        <v>GiacapHT-30m</v>
      </c>
    </row>
    <row r="1008" spans="1:10">
      <c r="A1008" s="79" t="s">
        <v>1589</v>
      </c>
      <c r="B1008" s="1767" t="s">
        <v>277</v>
      </c>
      <c r="C1008" s="1776" t="s">
        <v>4429</v>
      </c>
      <c r="D1008" s="80" t="s">
        <v>3475</v>
      </c>
      <c r="E1008" s="2238" t="str">
        <f t="shared" si="68"/>
        <v>GT</v>
      </c>
      <c r="F1008" s="55">
        <v>50</v>
      </c>
      <c r="G1008" s="55" t="s">
        <v>512</v>
      </c>
      <c r="J1008" s="55" t="str">
        <f t="shared" si="66"/>
        <v>GTMBA15</v>
      </c>
    </row>
    <row r="1009" spans="1:10">
      <c r="A1009" s="79" t="s">
        <v>1000</v>
      </c>
      <c r="B1009" s="1767" t="s">
        <v>277</v>
      </c>
      <c r="C1009" s="1776" t="s">
        <v>4430</v>
      </c>
      <c r="D1009" s="80" t="s">
        <v>2563</v>
      </c>
      <c r="E1009" s="2238" t="str">
        <f t="shared" si="68"/>
        <v>GT</v>
      </c>
      <c r="F1009" s="55">
        <v>50</v>
      </c>
      <c r="G1009" s="55" t="s">
        <v>512</v>
      </c>
      <c r="J1009" s="55" t="str">
        <f t="shared" si="66"/>
        <v>GTMBA25</v>
      </c>
    </row>
    <row r="1010" spans="1:10">
      <c r="A1010" s="79" t="s">
        <v>1590</v>
      </c>
      <c r="B1010" s="1767" t="s">
        <v>277</v>
      </c>
      <c r="C1010" s="1776" t="s">
        <v>4431</v>
      </c>
      <c r="D1010" s="80" t="s">
        <v>2563</v>
      </c>
      <c r="E1010" s="2238" t="str">
        <f t="shared" si="68"/>
        <v>GT</v>
      </c>
      <c r="F1010" s="55">
        <v>50</v>
      </c>
      <c r="G1010" s="55" t="s">
        <v>512</v>
      </c>
      <c r="J1010" s="55" t="str">
        <f t="shared" si="66"/>
        <v>GTMBA37,5</v>
      </c>
    </row>
    <row r="1011" spans="1:10">
      <c r="A1011" s="79" t="s">
        <v>5036</v>
      </c>
      <c r="B1011" s="1767" t="s">
        <v>277</v>
      </c>
      <c r="C1011" s="1776" t="s">
        <v>4432</v>
      </c>
      <c r="D1011" s="80" t="s">
        <v>2563</v>
      </c>
      <c r="E1011" s="2238" t="str">
        <f t="shared" ref="E1011" si="69">LEFT(A1011,2)</f>
        <v>GT</v>
      </c>
      <c r="F1011" s="55">
        <v>50</v>
      </c>
      <c r="G1011" s="55" t="s">
        <v>512</v>
      </c>
      <c r="J1011" s="55" t="str">
        <f t="shared" si="66"/>
        <v>GTMBA50</v>
      </c>
    </row>
    <row r="1012" spans="1:10">
      <c r="A1012" s="79" t="s">
        <v>4800</v>
      </c>
      <c r="B1012" s="1767" t="s">
        <v>277</v>
      </c>
      <c r="C1012" s="1776" t="s">
        <v>4801</v>
      </c>
      <c r="D1012" s="80" t="s">
        <v>2448</v>
      </c>
      <c r="E1012" s="2238" t="str">
        <f t="shared" si="68"/>
        <v>La</v>
      </c>
      <c r="F1012" s="55">
        <v>2000</v>
      </c>
      <c r="G1012" s="55" t="s">
        <v>512</v>
      </c>
      <c r="J1012" s="55" t="str">
        <f t="shared" si="66"/>
        <v>LapGTMBA</v>
      </c>
    </row>
    <row r="1013" spans="1:10">
      <c r="A1013" s="79" t="s">
        <v>1173</v>
      </c>
      <c r="B1013" s="84" t="s">
        <v>1298</v>
      </c>
      <c r="C1013" s="79" t="s">
        <v>3476</v>
      </c>
      <c r="D1013" s="80" t="s">
        <v>2563</v>
      </c>
      <c r="E1013" s="2238" t="str">
        <f t="shared" si="68"/>
        <v>CO</v>
      </c>
      <c r="F1013" s="55">
        <v>50</v>
      </c>
      <c r="G1013" s="55" t="s">
        <v>512</v>
      </c>
      <c r="J1013" s="55" t="str">
        <f t="shared" si="66"/>
        <v>COSe16</v>
      </c>
    </row>
    <row r="1014" spans="1:10">
      <c r="A1014" s="79" t="s">
        <v>548</v>
      </c>
      <c r="B1014" s="84" t="s">
        <v>1298</v>
      </c>
      <c r="C1014" s="79" t="s">
        <v>3477</v>
      </c>
      <c r="D1014" s="80" t="s">
        <v>2563</v>
      </c>
      <c r="E1014" s="2238" t="str">
        <f t="shared" si="68"/>
        <v>CO</v>
      </c>
      <c r="F1014" s="55">
        <v>50</v>
      </c>
      <c r="G1014" s="55" t="s">
        <v>512</v>
      </c>
      <c r="J1014" s="55" t="str">
        <f t="shared" si="66"/>
        <v>COSe25</v>
      </c>
    </row>
    <row r="1015" spans="1:10">
      <c r="A1015" s="79" t="s">
        <v>1301</v>
      </c>
      <c r="B1015" s="84" t="s">
        <v>1300</v>
      </c>
      <c r="C1015" s="79" t="s">
        <v>3478</v>
      </c>
      <c r="D1015" s="80" t="s">
        <v>2563</v>
      </c>
      <c r="E1015" s="2238" t="str">
        <f t="shared" si="68"/>
        <v>CO</v>
      </c>
      <c r="F1015" s="55">
        <v>50</v>
      </c>
      <c r="G1015" s="55" t="s">
        <v>512</v>
      </c>
      <c r="J1015" s="55" t="str">
        <f t="shared" si="66"/>
        <v>COSe50</v>
      </c>
    </row>
    <row r="1016" spans="1:10">
      <c r="A1016" s="79" t="s">
        <v>1992</v>
      </c>
      <c r="B1016" s="84" t="s">
        <v>1302</v>
      </c>
      <c r="C1016" s="79" t="s">
        <v>3479</v>
      </c>
      <c r="D1016" s="80" t="s">
        <v>2563</v>
      </c>
      <c r="E1016" s="2238" t="str">
        <f t="shared" si="68"/>
        <v>CO</v>
      </c>
      <c r="F1016" s="55">
        <v>50</v>
      </c>
      <c r="G1016" s="55" t="s">
        <v>512</v>
      </c>
      <c r="J1016" s="55" t="str">
        <f t="shared" si="66"/>
        <v>COSe70</v>
      </c>
    </row>
    <row r="1017" spans="1:10">
      <c r="A1017" s="79" t="s">
        <v>1303</v>
      </c>
      <c r="B1017" s="84" t="s">
        <v>1304</v>
      </c>
      <c r="C1017" s="79" t="s">
        <v>3480</v>
      </c>
      <c r="D1017" s="80" t="s">
        <v>2563</v>
      </c>
      <c r="E1017" s="2238" t="str">
        <f t="shared" si="68"/>
        <v>CO</v>
      </c>
      <c r="F1017" s="55">
        <v>50</v>
      </c>
      <c r="G1017" s="55" t="s">
        <v>512</v>
      </c>
      <c r="J1017" s="55" t="str">
        <f t="shared" si="66"/>
        <v>COSe95</v>
      </c>
    </row>
    <row r="1018" spans="1:10">
      <c r="A1018" s="79" t="s">
        <v>2149</v>
      </c>
      <c r="B1018" s="84" t="s">
        <v>1889</v>
      </c>
      <c r="C1018" s="79" t="s">
        <v>3481</v>
      </c>
      <c r="D1018" s="80" t="s">
        <v>2563</v>
      </c>
      <c r="E1018" s="2238" t="str">
        <f t="shared" si="68"/>
        <v>CO</v>
      </c>
      <c r="F1018" s="55">
        <v>50</v>
      </c>
      <c r="G1018" s="55" t="s">
        <v>512</v>
      </c>
      <c r="J1018" s="55" t="str">
        <f t="shared" si="66"/>
        <v>COSe120</v>
      </c>
    </row>
    <row r="1019" spans="1:10">
      <c r="A1019" s="79" t="s">
        <v>2150</v>
      </c>
      <c r="B1019" s="84" t="s">
        <v>1359</v>
      </c>
      <c r="C1019" s="79" t="s">
        <v>3482</v>
      </c>
      <c r="D1019" s="80" t="s">
        <v>2563</v>
      </c>
      <c r="E1019" s="2238" t="str">
        <f t="shared" si="68"/>
        <v>CO</v>
      </c>
      <c r="F1019" s="55">
        <v>50</v>
      </c>
      <c r="G1019" s="55" t="s">
        <v>512</v>
      </c>
      <c r="J1019" s="55" t="str">
        <f t="shared" si="66"/>
        <v>COSe150</v>
      </c>
    </row>
    <row r="1020" spans="1:10">
      <c r="A1020" s="79" t="s">
        <v>2151</v>
      </c>
      <c r="B1020" s="84" t="s">
        <v>1890</v>
      </c>
      <c r="C1020" s="79" t="s">
        <v>3483</v>
      </c>
      <c r="D1020" s="80" t="s">
        <v>2563</v>
      </c>
      <c r="E1020" s="2238" t="str">
        <f t="shared" si="68"/>
        <v>CO</v>
      </c>
      <c r="F1020" s="55">
        <v>50</v>
      </c>
      <c r="G1020" s="55" t="s">
        <v>512</v>
      </c>
      <c r="J1020" s="55" t="str">
        <f t="shared" si="66"/>
        <v>COSe185</v>
      </c>
    </row>
    <row r="1021" spans="1:10">
      <c r="A1021" s="79" t="s">
        <v>609</v>
      </c>
      <c r="B1021" s="84" t="s">
        <v>2163</v>
      </c>
      <c r="C1021" s="79" t="s">
        <v>3484</v>
      </c>
      <c r="D1021" s="80" t="s">
        <v>2563</v>
      </c>
      <c r="E1021" s="2238" t="str">
        <f t="shared" si="68"/>
        <v>CO</v>
      </c>
      <c r="F1021" s="55">
        <v>50</v>
      </c>
      <c r="G1021" s="55" t="s">
        <v>512</v>
      </c>
      <c r="J1021" s="55" t="str">
        <f t="shared" si="66"/>
        <v>COSe200</v>
      </c>
    </row>
    <row r="1022" spans="1:10">
      <c r="A1022" s="79" t="s">
        <v>1846</v>
      </c>
      <c r="B1022" s="84" t="s">
        <v>2163</v>
      </c>
      <c r="C1022" s="79" t="s">
        <v>3485</v>
      </c>
      <c r="D1022" s="80" t="s">
        <v>2563</v>
      </c>
      <c r="E1022" s="2238" t="str">
        <f t="shared" si="68"/>
        <v>CO</v>
      </c>
      <c r="F1022" s="55">
        <v>50</v>
      </c>
      <c r="G1022" s="55" t="s">
        <v>512</v>
      </c>
      <c r="J1022" s="55" t="str">
        <f t="shared" si="66"/>
        <v>COSe240</v>
      </c>
    </row>
    <row r="1023" spans="1:10">
      <c r="A1023" s="79" t="s">
        <v>782</v>
      </c>
      <c r="B1023" s="84" t="s">
        <v>2163</v>
      </c>
      <c r="C1023" s="79" t="s">
        <v>3486</v>
      </c>
      <c r="D1023" s="80" t="s">
        <v>2563</v>
      </c>
      <c r="E1023" s="2238" t="str">
        <f t="shared" si="68"/>
        <v>CO</v>
      </c>
      <c r="F1023" s="55">
        <v>50</v>
      </c>
      <c r="G1023" s="55" t="s">
        <v>512</v>
      </c>
      <c r="J1023" s="55" t="str">
        <f t="shared" si="66"/>
        <v>COSe250</v>
      </c>
    </row>
    <row r="1024" spans="1:10">
      <c r="A1024" s="79" t="s">
        <v>250</v>
      </c>
      <c r="B1024" s="84" t="s">
        <v>2163</v>
      </c>
      <c r="C1024" s="79" t="s">
        <v>3487</v>
      </c>
      <c r="D1024" s="80" t="s">
        <v>2563</v>
      </c>
      <c r="E1024" s="2238" t="str">
        <f t="shared" si="68"/>
        <v>CO</v>
      </c>
      <c r="F1024" s="55">
        <v>50</v>
      </c>
      <c r="G1024" s="55" t="s">
        <v>512</v>
      </c>
      <c r="J1024" s="55" t="str">
        <f t="shared" si="66"/>
        <v>COSe300</v>
      </c>
    </row>
    <row r="1025" spans="1:10">
      <c r="A1025" s="79" t="s">
        <v>4437</v>
      </c>
      <c r="B1025" s="84" t="s">
        <v>2163</v>
      </c>
      <c r="C1025" s="79" t="s">
        <v>3488</v>
      </c>
      <c r="D1025" s="80" t="s">
        <v>2563</v>
      </c>
      <c r="E1025" s="2238" t="str">
        <f t="shared" si="68"/>
        <v>CO</v>
      </c>
      <c r="F1025" s="55">
        <v>50</v>
      </c>
      <c r="G1025" s="55" t="s">
        <v>512</v>
      </c>
      <c r="J1025" s="55" t="str">
        <f t="shared" si="66"/>
        <v>COSe400</v>
      </c>
    </row>
    <row r="1026" spans="1:10">
      <c r="A1026" s="79" t="s">
        <v>1869</v>
      </c>
      <c r="B1026" s="84" t="s">
        <v>1298</v>
      </c>
      <c r="C1026" s="1788" t="s">
        <v>3489</v>
      </c>
      <c r="D1026" s="80" t="s">
        <v>2563</v>
      </c>
      <c r="E1026" s="2238" t="str">
        <f t="shared" si="68"/>
        <v>CO</v>
      </c>
      <c r="F1026" s="55">
        <v>50</v>
      </c>
      <c r="G1026" s="55" t="s">
        <v>512</v>
      </c>
      <c r="J1026" s="55" t="str">
        <f t="shared" si="66"/>
        <v>COS2,5</v>
      </c>
    </row>
    <row r="1027" spans="1:10">
      <c r="A1027" s="79" t="s">
        <v>2146</v>
      </c>
      <c r="B1027" s="84" t="s">
        <v>1298</v>
      </c>
      <c r="C1027" s="79" t="s">
        <v>3490</v>
      </c>
      <c r="D1027" s="80" t="s">
        <v>2563</v>
      </c>
      <c r="E1027" s="2238" t="str">
        <f t="shared" si="68"/>
        <v>CO</v>
      </c>
      <c r="F1027" s="55">
        <v>50</v>
      </c>
      <c r="G1027" s="55" t="s">
        <v>512</v>
      </c>
      <c r="J1027" s="55" t="str">
        <f t="shared" si="66"/>
        <v>COS5</v>
      </c>
    </row>
    <row r="1028" spans="1:10">
      <c r="A1028" s="79" t="s">
        <v>1847</v>
      </c>
      <c r="B1028" s="84" t="s">
        <v>1298</v>
      </c>
      <c r="C1028" s="79" t="s">
        <v>3491</v>
      </c>
      <c r="D1028" s="80" t="s">
        <v>2563</v>
      </c>
      <c r="E1028" s="2238" t="str">
        <f t="shared" si="68"/>
        <v>CO</v>
      </c>
      <c r="F1028" s="55">
        <v>50</v>
      </c>
      <c r="G1028" s="55" t="s">
        <v>512</v>
      </c>
      <c r="J1028" s="55" t="str">
        <f t="shared" si="66"/>
        <v>COS11</v>
      </c>
    </row>
    <row r="1029" spans="1:10">
      <c r="A1029" s="79" t="s">
        <v>537</v>
      </c>
      <c r="B1029" s="84" t="s">
        <v>1298</v>
      </c>
      <c r="C1029" s="79" t="s">
        <v>3492</v>
      </c>
      <c r="D1029" s="80" t="s">
        <v>2563</v>
      </c>
      <c r="E1029" s="2238" t="str">
        <f t="shared" si="68"/>
        <v>CO</v>
      </c>
      <c r="F1029" s="55">
        <v>50</v>
      </c>
      <c r="G1029" s="55" t="s">
        <v>512</v>
      </c>
      <c r="J1029" s="55" t="str">
        <f t="shared" ref="J1029:J1092" si="70">A1029</f>
        <v>COS16</v>
      </c>
    </row>
    <row r="1030" spans="1:10">
      <c r="A1030" s="79" t="s">
        <v>683</v>
      </c>
      <c r="B1030" s="84" t="s">
        <v>1298</v>
      </c>
      <c r="C1030" s="79" t="s">
        <v>3493</v>
      </c>
      <c r="D1030" s="80" t="s">
        <v>2563</v>
      </c>
      <c r="E1030" s="2238" t="str">
        <f t="shared" si="68"/>
        <v>CO</v>
      </c>
      <c r="F1030" s="55">
        <v>50</v>
      </c>
      <c r="G1030" s="55" t="s">
        <v>512</v>
      </c>
      <c r="J1030" s="55" t="str">
        <f t="shared" si="70"/>
        <v>COS22</v>
      </c>
    </row>
    <row r="1031" spans="1:10">
      <c r="A1031" s="79" t="s">
        <v>104</v>
      </c>
      <c r="B1031" s="84" t="s">
        <v>1298</v>
      </c>
      <c r="C1031" s="79" t="s">
        <v>3494</v>
      </c>
      <c r="D1031" s="80" t="s">
        <v>2563</v>
      </c>
      <c r="E1031" s="2238" t="str">
        <f t="shared" si="68"/>
        <v>CO</v>
      </c>
      <c r="F1031" s="55">
        <v>50</v>
      </c>
      <c r="G1031" s="55" t="s">
        <v>512</v>
      </c>
      <c r="J1031" s="55" t="str">
        <f t="shared" si="70"/>
        <v>COS25</v>
      </c>
    </row>
    <row r="1032" spans="1:10">
      <c r="A1032" s="79" t="s">
        <v>1537</v>
      </c>
      <c r="B1032" s="84" t="s">
        <v>1300</v>
      </c>
      <c r="C1032" s="79" t="s">
        <v>3495</v>
      </c>
      <c r="D1032" s="80" t="s">
        <v>2563</v>
      </c>
      <c r="E1032" s="2238" t="str">
        <f t="shared" si="68"/>
        <v>CO</v>
      </c>
      <c r="F1032" s="55">
        <v>50</v>
      </c>
      <c r="G1032" s="55" t="s">
        <v>512</v>
      </c>
      <c r="J1032" s="55" t="str">
        <f t="shared" si="70"/>
        <v>COS35</v>
      </c>
    </row>
    <row r="1033" spans="1:10">
      <c r="A1033" s="79" t="s">
        <v>1299</v>
      </c>
      <c r="B1033" s="84" t="s">
        <v>1300</v>
      </c>
      <c r="C1033" s="79" t="s">
        <v>3496</v>
      </c>
      <c r="D1033" s="80" t="s">
        <v>2563</v>
      </c>
      <c r="E1033" s="2238" t="str">
        <f t="shared" si="68"/>
        <v>CO</v>
      </c>
      <c r="F1033" s="55">
        <v>50</v>
      </c>
      <c r="G1033" s="55" t="s">
        <v>512</v>
      </c>
      <c r="J1033" s="55" t="str">
        <f t="shared" si="70"/>
        <v>COS38</v>
      </c>
    </row>
    <row r="1034" spans="1:10">
      <c r="A1034" s="79" t="s">
        <v>1305</v>
      </c>
      <c r="B1034" s="84" t="s">
        <v>1300</v>
      </c>
      <c r="C1034" s="79" t="s">
        <v>3497</v>
      </c>
      <c r="D1034" s="80" t="s">
        <v>2563</v>
      </c>
      <c r="E1034" s="2238" t="str">
        <f t="shared" si="68"/>
        <v>CO</v>
      </c>
      <c r="F1034" s="55">
        <v>50</v>
      </c>
      <c r="G1034" s="55" t="s">
        <v>512</v>
      </c>
      <c r="J1034" s="55" t="str">
        <f t="shared" si="70"/>
        <v>COS50</v>
      </c>
    </row>
    <row r="1035" spans="1:10">
      <c r="A1035" s="79" t="s">
        <v>1306</v>
      </c>
      <c r="B1035" s="84" t="s">
        <v>1302</v>
      </c>
      <c r="C1035" s="79" t="s">
        <v>3498</v>
      </c>
      <c r="D1035" s="80" t="s">
        <v>2563</v>
      </c>
      <c r="E1035" s="2238" t="str">
        <f t="shared" si="68"/>
        <v>CO</v>
      </c>
      <c r="F1035" s="55">
        <v>50</v>
      </c>
      <c r="G1035" s="55" t="s">
        <v>512</v>
      </c>
      <c r="J1035" s="55" t="str">
        <f t="shared" si="70"/>
        <v>COS70</v>
      </c>
    </row>
    <row r="1036" spans="1:10">
      <c r="A1036" s="79" t="s">
        <v>1307</v>
      </c>
      <c r="B1036" s="84" t="s">
        <v>1304</v>
      </c>
      <c r="C1036" s="79" t="s">
        <v>3499</v>
      </c>
      <c r="D1036" s="80" t="s">
        <v>2563</v>
      </c>
      <c r="E1036" s="2238" t="str">
        <f t="shared" si="68"/>
        <v>CO</v>
      </c>
      <c r="F1036" s="55">
        <v>50</v>
      </c>
      <c r="G1036" s="55" t="s">
        <v>512</v>
      </c>
      <c r="J1036" s="55" t="str">
        <f t="shared" si="70"/>
        <v>COS95</v>
      </c>
    </row>
    <row r="1037" spans="1:10">
      <c r="A1037" s="79" t="s">
        <v>1308</v>
      </c>
      <c r="B1037" s="84" t="s">
        <v>1889</v>
      </c>
      <c r="C1037" s="79" t="s">
        <v>3500</v>
      </c>
      <c r="D1037" s="80" t="s">
        <v>2563</v>
      </c>
      <c r="E1037" s="2238" t="str">
        <f t="shared" si="68"/>
        <v>CO</v>
      </c>
      <c r="F1037" s="55">
        <v>50</v>
      </c>
      <c r="G1037" s="55" t="s">
        <v>512</v>
      </c>
      <c r="J1037" s="55" t="str">
        <f t="shared" si="70"/>
        <v>COS120</v>
      </c>
    </row>
    <row r="1038" spans="1:10">
      <c r="A1038" s="79" t="s">
        <v>2161</v>
      </c>
      <c r="B1038" s="84" t="s">
        <v>1359</v>
      </c>
      <c r="C1038" s="79" t="s">
        <v>3501</v>
      </c>
      <c r="D1038" s="80" t="s">
        <v>2563</v>
      </c>
      <c r="E1038" s="2238" t="str">
        <f t="shared" si="68"/>
        <v>CO</v>
      </c>
      <c r="F1038" s="55">
        <v>50</v>
      </c>
      <c r="G1038" s="55" t="s">
        <v>512</v>
      </c>
      <c r="J1038" s="55" t="str">
        <f t="shared" si="70"/>
        <v>COS150</v>
      </c>
    </row>
    <row r="1039" spans="1:10">
      <c r="A1039" s="79" t="s">
        <v>151</v>
      </c>
      <c r="B1039" s="84" t="s">
        <v>1890</v>
      </c>
      <c r="C1039" s="79" t="s">
        <v>3502</v>
      </c>
      <c r="D1039" s="80" t="s">
        <v>2563</v>
      </c>
      <c r="E1039" s="2238" t="str">
        <f t="shared" si="68"/>
        <v>CO</v>
      </c>
      <c r="F1039" s="55">
        <v>50</v>
      </c>
      <c r="G1039" s="55" t="s">
        <v>512</v>
      </c>
      <c r="J1039" s="55" t="str">
        <f t="shared" si="70"/>
        <v>COS185</v>
      </c>
    </row>
    <row r="1040" spans="1:10">
      <c r="A1040" s="79" t="s">
        <v>447</v>
      </c>
      <c r="B1040" s="84" t="s">
        <v>2163</v>
      </c>
      <c r="C1040" s="79" t="s">
        <v>3503</v>
      </c>
      <c r="D1040" s="80" t="s">
        <v>2563</v>
      </c>
      <c r="E1040" s="2238" t="str">
        <f t="shared" si="68"/>
        <v>CO</v>
      </c>
      <c r="F1040" s="55">
        <v>50</v>
      </c>
      <c r="G1040" s="55" t="s">
        <v>512</v>
      </c>
      <c r="J1040" s="55" t="str">
        <f t="shared" si="70"/>
        <v>COS200</v>
      </c>
    </row>
    <row r="1041" spans="1:10">
      <c r="A1041" s="79" t="s">
        <v>2162</v>
      </c>
      <c r="B1041" s="84" t="s">
        <v>2163</v>
      </c>
      <c r="C1041" s="79" t="s">
        <v>3504</v>
      </c>
      <c r="D1041" s="80" t="s">
        <v>2563</v>
      </c>
      <c r="E1041" s="2238" t="str">
        <f t="shared" si="68"/>
        <v>CO</v>
      </c>
      <c r="F1041" s="55">
        <v>50</v>
      </c>
      <c r="G1041" s="55" t="s">
        <v>512</v>
      </c>
      <c r="J1041" s="55" t="str">
        <f t="shared" si="70"/>
        <v>COS240</v>
      </c>
    </row>
    <row r="1042" spans="1:10">
      <c r="A1042" s="79" t="s">
        <v>448</v>
      </c>
      <c r="B1042" s="84" t="s">
        <v>1778</v>
      </c>
      <c r="C1042" s="79" t="s">
        <v>3505</v>
      </c>
      <c r="D1042" s="80" t="s">
        <v>2563</v>
      </c>
      <c r="E1042" s="2238" t="str">
        <f t="shared" si="68"/>
        <v>CO</v>
      </c>
      <c r="F1042" s="55">
        <v>50</v>
      </c>
      <c r="G1042" s="55" t="s">
        <v>512</v>
      </c>
      <c r="J1042" s="55" t="str">
        <f t="shared" si="70"/>
        <v>COS250</v>
      </c>
    </row>
    <row r="1043" spans="1:10">
      <c r="A1043" s="79" t="s">
        <v>449</v>
      </c>
      <c r="B1043" s="84" t="s">
        <v>1778</v>
      </c>
      <c r="C1043" s="79" t="s">
        <v>3506</v>
      </c>
      <c r="D1043" s="80" t="s">
        <v>2563</v>
      </c>
      <c r="E1043" s="2238" t="str">
        <f t="shared" si="68"/>
        <v>CO</v>
      </c>
      <c r="F1043" s="55">
        <v>50</v>
      </c>
      <c r="G1043" s="55" t="s">
        <v>512</v>
      </c>
      <c r="J1043" s="55" t="str">
        <f t="shared" si="70"/>
        <v>COS300</v>
      </c>
    </row>
    <row r="1044" spans="1:10">
      <c r="A1044" s="79" t="s">
        <v>1234</v>
      </c>
      <c r="B1044" s="84"/>
      <c r="C1044" s="1789" t="s">
        <v>3507</v>
      </c>
      <c r="D1044" s="80" t="s">
        <v>2563</v>
      </c>
      <c r="E1044" s="2238" t="str">
        <f t="shared" si="68"/>
        <v>CH</v>
      </c>
      <c r="F1044" s="55">
        <v>50</v>
      </c>
      <c r="G1044" s="55" t="s">
        <v>512</v>
      </c>
      <c r="J1044" s="55" t="str">
        <f t="shared" si="70"/>
        <v>CHCOS11</v>
      </c>
    </row>
    <row r="1045" spans="1:10">
      <c r="A1045" s="79" t="s">
        <v>74</v>
      </c>
      <c r="B1045" s="84"/>
      <c r="C1045" s="1789" t="s">
        <v>3508</v>
      </c>
      <c r="D1045" s="80" t="s">
        <v>2563</v>
      </c>
      <c r="E1045" s="2238" t="str">
        <f t="shared" si="68"/>
        <v>CH</v>
      </c>
      <c r="F1045" s="55">
        <v>50</v>
      </c>
      <c r="G1045" s="55" t="s">
        <v>512</v>
      </c>
      <c r="J1045" s="55" t="str">
        <f t="shared" si="70"/>
        <v>CHCOS16</v>
      </c>
    </row>
    <row r="1046" spans="1:10">
      <c r="A1046" s="79" t="s">
        <v>1920</v>
      </c>
      <c r="B1046" s="84"/>
      <c r="C1046" s="1789" t="s">
        <v>3509</v>
      </c>
      <c r="D1046" s="80" t="s">
        <v>2563</v>
      </c>
      <c r="E1046" s="2238" t="str">
        <f t="shared" si="68"/>
        <v>CH</v>
      </c>
      <c r="F1046" s="55">
        <v>50</v>
      </c>
      <c r="G1046" s="55" t="s">
        <v>512</v>
      </c>
      <c r="J1046" s="55" t="str">
        <f t="shared" si="70"/>
        <v>CHCOS25</v>
      </c>
    </row>
    <row r="1047" spans="1:10">
      <c r="A1047" s="79" t="s">
        <v>418</v>
      </c>
      <c r="B1047" s="84"/>
      <c r="C1047" s="1789" t="s">
        <v>3510</v>
      </c>
      <c r="D1047" s="80" t="s">
        <v>2563</v>
      </c>
      <c r="E1047" s="2238" t="str">
        <f t="shared" si="68"/>
        <v>CH</v>
      </c>
      <c r="F1047" s="55">
        <v>50</v>
      </c>
      <c r="G1047" s="55" t="s">
        <v>512</v>
      </c>
      <c r="J1047" s="55" t="str">
        <f t="shared" si="70"/>
        <v>CHCOS35</v>
      </c>
    </row>
    <row r="1048" spans="1:10">
      <c r="A1048" s="79" t="s">
        <v>2157</v>
      </c>
      <c r="B1048" s="84"/>
      <c r="C1048" s="1789" t="s">
        <v>3511</v>
      </c>
      <c r="D1048" s="80" t="s">
        <v>2563</v>
      </c>
      <c r="E1048" s="2238" t="str">
        <f t="shared" si="68"/>
        <v>CH</v>
      </c>
      <c r="F1048" s="55">
        <v>50</v>
      </c>
      <c r="G1048" s="55" t="s">
        <v>512</v>
      </c>
      <c r="J1048" s="55" t="str">
        <f t="shared" si="70"/>
        <v>CHCOS50</v>
      </c>
    </row>
    <row r="1049" spans="1:10">
      <c r="A1049" s="79" t="s">
        <v>611</v>
      </c>
      <c r="B1049" s="84"/>
      <c r="C1049" s="1789" t="s">
        <v>3512</v>
      </c>
      <c r="D1049" s="80" t="s">
        <v>2563</v>
      </c>
      <c r="E1049" s="2238" t="str">
        <f t="shared" si="68"/>
        <v>CH</v>
      </c>
      <c r="F1049" s="55">
        <v>50</v>
      </c>
      <c r="G1049" s="55" t="s">
        <v>512</v>
      </c>
      <c r="J1049" s="55" t="str">
        <f t="shared" si="70"/>
        <v>CHCOS70</v>
      </c>
    </row>
    <row r="1050" spans="1:10">
      <c r="A1050" s="79" t="s">
        <v>94</v>
      </c>
      <c r="B1050" s="84"/>
      <c r="C1050" s="1789" t="s">
        <v>3513</v>
      </c>
      <c r="D1050" s="80" t="s">
        <v>2563</v>
      </c>
      <c r="E1050" s="2238" t="str">
        <f t="shared" si="68"/>
        <v>CH</v>
      </c>
      <c r="F1050" s="55">
        <v>50</v>
      </c>
      <c r="G1050" s="55" t="s">
        <v>512</v>
      </c>
      <c r="J1050" s="55" t="str">
        <f t="shared" si="70"/>
        <v>CHCOS95</v>
      </c>
    </row>
    <row r="1051" spans="1:10">
      <c r="A1051" s="79" t="s">
        <v>93</v>
      </c>
      <c r="B1051" s="84"/>
      <c r="C1051" s="1789" t="s">
        <v>3514</v>
      </c>
      <c r="D1051" s="80" t="s">
        <v>2563</v>
      </c>
      <c r="E1051" s="2238" t="str">
        <f t="shared" si="68"/>
        <v>CH</v>
      </c>
      <c r="F1051" s="55">
        <v>50</v>
      </c>
      <c r="G1051" s="55" t="s">
        <v>512</v>
      </c>
      <c r="J1051" s="55" t="str">
        <f t="shared" si="70"/>
        <v>CHCOS120</v>
      </c>
    </row>
    <row r="1052" spans="1:10">
      <c r="A1052" s="79" t="s">
        <v>91</v>
      </c>
      <c r="B1052" s="84"/>
      <c r="C1052" s="1789" t="s">
        <v>3515</v>
      </c>
      <c r="D1052" s="80" t="s">
        <v>2563</v>
      </c>
      <c r="E1052" s="2238" t="str">
        <f t="shared" si="68"/>
        <v>CH</v>
      </c>
      <c r="F1052" s="55">
        <v>50</v>
      </c>
      <c r="G1052" s="55" t="s">
        <v>512</v>
      </c>
      <c r="J1052" s="55" t="str">
        <f t="shared" si="70"/>
        <v>CHCOS150</v>
      </c>
    </row>
    <row r="1053" spans="1:10">
      <c r="A1053" s="79" t="s">
        <v>150</v>
      </c>
      <c r="B1053" s="84"/>
      <c r="C1053" s="1789" t="s">
        <v>3516</v>
      </c>
      <c r="D1053" s="80" t="s">
        <v>2563</v>
      </c>
      <c r="E1053" s="2238" t="str">
        <f t="shared" si="68"/>
        <v>CH</v>
      </c>
      <c r="F1053" s="55">
        <v>50</v>
      </c>
      <c r="G1053" s="55" t="s">
        <v>512</v>
      </c>
      <c r="J1053" s="55" t="str">
        <f t="shared" si="70"/>
        <v>CHCOS185</v>
      </c>
    </row>
    <row r="1054" spans="1:10">
      <c r="A1054" s="79" t="s">
        <v>610</v>
      </c>
      <c r="B1054" s="84"/>
      <c r="C1054" s="1789" t="s">
        <v>3517</v>
      </c>
      <c r="D1054" s="80" t="s">
        <v>2563</v>
      </c>
      <c r="E1054" s="2238" t="str">
        <f t="shared" ref="E1054:E1120" si="71">LEFT(A1054,2)</f>
        <v>CH</v>
      </c>
      <c r="F1054" s="55">
        <v>50</v>
      </c>
      <c r="G1054" s="55" t="s">
        <v>512</v>
      </c>
      <c r="J1054" s="55" t="str">
        <f t="shared" si="70"/>
        <v>CHCOS200</v>
      </c>
    </row>
    <row r="1055" spans="1:10">
      <c r="A1055" s="79" t="s">
        <v>90</v>
      </c>
      <c r="B1055" s="84"/>
      <c r="C1055" s="1789" t="s">
        <v>3518</v>
      </c>
      <c r="D1055" s="80" t="s">
        <v>2563</v>
      </c>
      <c r="E1055" s="2238" t="str">
        <f t="shared" si="71"/>
        <v>CH</v>
      </c>
      <c r="F1055" s="55">
        <v>50</v>
      </c>
      <c r="G1055" s="55" t="s">
        <v>512</v>
      </c>
      <c r="J1055" s="55" t="str">
        <f t="shared" si="70"/>
        <v>CHCOS240</v>
      </c>
    </row>
    <row r="1056" spans="1:10">
      <c r="A1056" s="79" t="s">
        <v>1072</v>
      </c>
      <c r="B1056" s="84"/>
      <c r="C1056" s="1789" t="s">
        <v>3519</v>
      </c>
      <c r="D1056" s="80" t="s">
        <v>2563</v>
      </c>
      <c r="E1056" s="2238" t="str">
        <f t="shared" si="71"/>
        <v>CH</v>
      </c>
      <c r="F1056" s="55">
        <v>50</v>
      </c>
      <c r="G1056" s="55" t="s">
        <v>512</v>
      </c>
      <c r="J1056" s="55" t="str">
        <f t="shared" si="70"/>
        <v>CHCOS250</v>
      </c>
    </row>
    <row r="1057" spans="1:10">
      <c r="A1057" s="79" t="s">
        <v>975</v>
      </c>
      <c r="B1057" s="84"/>
      <c r="C1057" s="1789" t="s">
        <v>3520</v>
      </c>
      <c r="D1057" s="80" t="s">
        <v>2563</v>
      </c>
      <c r="E1057" s="2238" t="str">
        <f t="shared" si="71"/>
        <v>CH</v>
      </c>
      <c r="F1057" s="55">
        <v>50</v>
      </c>
      <c r="G1057" s="55" t="s">
        <v>512</v>
      </c>
      <c r="J1057" s="55" t="str">
        <f t="shared" si="70"/>
        <v>CHCOS300</v>
      </c>
    </row>
    <row r="1058" spans="1:10">
      <c r="A1058" s="79" t="s">
        <v>381</v>
      </c>
      <c r="B1058" s="84"/>
      <c r="C1058" s="1789" t="s">
        <v>3521</v>
      </c>
      <c r="D1058" s="80" t="s">
        <v>2445</v>
      </c>
      <c r="E1058" s="2238" t="str">
        <f t="shared" si="71"/>
        <v>CH</v>
      </c>
      <c r="F1058" s="55">
        <v>50</v>
      </c>
      <c r="G1058" s="55" t="s">
        <v>512</v>
      </c>
      <c r="J1058" s="55" t="str">
        <f t="shared" si="70"/>
        <v>CHFCO</v>
      </c>
    </row>
    <row r="1059" spans="1:10">
      <c r="A1059" s="79" t="s">
        <v>379</v>
      </c>
      <c r="B1059" s="84"/>
      <c r="C1059" s="1789" t="s">
        <v>3522</v>
      </c>
      <c r="D1059" s="80" t="s">
        <v>2563</v>
      </c>
      <c r="E1059" s="2238" t="str">
        <f t="shared" si="71"/>
        <v>CH</v>
      </c>
      <c r="F1059" s="55">
        <v>50</v>
      </c>
      <c r="G1059" s="55" t="s">
        <v>512</v>
      </c>
      <c r="J1059" s="55" t="str">
        <f t="shared" si="70"/>
        <v>CHLA</v>
      </c>
    </row>
    <row r="1060" spans="1:10">
      <c r="A1060" s="79" t="s">
        <v>380</v>
      </c>
      <c r="B1060" s="84"/>
      <c r="C1060" s="1789" t="s">
        <v>3523</v>
      </c>
      <c r="D1060" s="80" t="s">
        <v>2563</v>
      </c>
      <c r="E1060" s="2238" t="str">
        <f t="shared" ref="E1060" si="72">LEFT(A1060,2)</f>
        <v>CH</v>
      </c>
      <c r="F1060" s="55">
        <v>50</v>
      </c>
      <c r="G1060" s="55" t="s">
        <v>512</v>
      </c>
      <c r="J1060" s="55" t="str">
        <f t="shared" si="70"/>
        <v>CHMBA</v>
      </c>
    </row>
    <row r="1061" spans="1:10">
      <c r="A1061" s="79" t="s">
        <v>4488</v>
      </c>
      <c r="B1061" s="84"/>
      <c r="C1061" s="1789" t="s">
        <v>4489</v>
      </c>
      <c r="D1061" s="80" t="s">
        <v>2445</v>
      </c>
      <c r="E1061" s="2238" t="str">
        <f t="shared" si="71"/>
        <v>CH</v>
      </c>
      <c r="F1061" s="55">
        <v>50</v>
      </c>
      <c r="G1061" s="55" t="s">
        <v>512</v>
      </c>
      <c r="J1061" s="55" t="str">
        <f t="shared" si="70"/>
        <v>CHQ-H</v>
      </c>
    </row>
    <row r="1062" spans="1:10">
      <c r="A1062" s="79" t="s">
        <v>197</v>
      </c>
      <c r="B1062" s="1787"/>
      <c r="C1062" s="1776" t="s">
        <v>3524</v>
      </c>
      <c r="D1062" s="80" t="s">
        <v>1827</v>
      </c>
      <c r="E1062" s="2238" t="str">
        <f t="shared" si="71"/>
        <v>DK</v>
      </c>
      <c r="F1062" s="55">
        <v>50</v>
      </c>
      <c r="G1062" s="55" t="s">
        <v>512</v>
      </c>
      <c r="J1062" s="55" t="str">
        <f t="shared" si="70"/>
        <v>DK2x11</v>
      </c>
    </row>
    <row r="1063" spans="1:10">
      <c r="A1063" s="79" t="s">
        <v>198</v>
      </c>
      <c r="B1063" s="1787"/>
      <c r="C1063" s="1776" t="s">
        <v>3525</v>
      </c>
      <c r="D1063" s="80" t="s">
        <v>1827</v>
      </c>
      <c r="E1063" s="2238" t="str">
        <f t="shared" si="71"/>
        <v>DV</v>
      </c>
      <c r="F1063" s="55">
        <v>50</v>
      </c>
      <c r="G1063" s="55" t="s">
        <v>512</v>
      </c>
      <c r="J1063" s="55" t="str">
        <f t="shared" si="70"/>
        <v>DVV7x1.5</v>
      </c>
    </row>
    <row r="1064" spans="1:10">
      <c r="A1064" s="79" t="s">
        <v>1686</v>
      </c>
      <c r="B1064" s="1787"/>
      <c r="C1064" s="1776" t="s">
        <v>3526</v>
      </c>
      <c r="D1064" s="80" t="s">
        <v>1827</v>
      </c>
      <c r="E1064" s="2238" t="str">
        <f t="shared" si="71"/>
        <v>Du</v>
      </c>
      <c r="F1064" s="55">
        <v>50</v>
      </c>
      <c r="G1064" s="55" t="s">
        <v>512</v>
      </c>
      <c r="J1064" s="55" t="str">
        <f t="shared" si="70"/>
        <v>Duplex 211</v>
      </c>
    </row>
    <row r="1065" spans="1:10">
      <c r="A1065" s="79" t="s">
        <v>3</v>
      </c>
      <c r="B1065" s="1787"/>
      <c r="C1065" s="1776" t="s">
        <v>3527</v>
      </c>
      <c r="D1065" s="80" t="s">
        <v>1827</v>
      </c>
      <c r="E1065" s="2238" t="str">
        <f t="shared" si="71"/>
        <v>Du</v>
      </c>
      <c r="F1065" s="55">
        <v>50</v>
      </c>
      <c r="G1065" s="55" t="s">
        <v>512</v>
      </c>
      <c r="J1065" s="55" t="str">
        <f t="shared" si="70"/>
        <v>Duplex 216</v>
      </c>
    </row>
    <row r="1066" spans="1:10">
      <c r="A1066" s="79" t="s">
        <v>927</v>
      </c>
      <c r="B1066" s="1787"/>
      <c r="C1066" s="1776" t="s">
        <v>3528</v>
      </c>
      <c r="D1066" s="80" t="s">
        <v>1827</v>
      </c>
      <c r="E1066" s="2238" t="str">
        <f t="shared" si="71"/>
        <v>Du</v>
      </c>
      <c r="F1066" s="55">
        <v>50</v>
      </c>
      <c r="G1066" s="55" t="s">
        <v>512</v>
      </c>
      <c r="J1066" s="55" t="str">
        <f t="shared" si="70"/>
        <v>Duplex 311</v>
      </c>
    </row>
    <row r="1067" spans="1:10">
      <c r="A1067" s="79" t="s">
        <v>928</v>
      </c>
      <c r="B1067" s="1787"/>
      <c r="C1067" s="1776" t="s">
        <v>3529</v>
      </c>
      <c r="D1067" s="80" t="s">
        <v>1827</v>
      </c>
      <c r="E1067" s="2238" t="str">
        <f t="shared" si="71"/>
        <v>Du</v>
      </c>
      <c r="F1067" s="55">
        <v>50</v>
      </c>
      <c r="G1067" s="55" t="s">
        <v>512</v>
      </c>
      <c r="J1067" s="55" t="str">
        <f t="shared" si="70"/>
        <v>Duplex 316</v>
      </c>
    </row>
    <row r="1068" spans="1:10">
      <c r="A1068" s="79" t="s">
        <v>1687</v>
      </c>
      <c r="B1068" s="1787"/>
      <c r="C1068" s="1776" t="s">
        <v>3530</v>
      </c>
      <c r="D1068" s="80" t="s">
        <v>1827</v>
      </c>
      <c r="E1068" s="2238" t="str">
        <f t="shared" si="71"/>
        <v>Du</v>
      </c>
      <c r="F1068" s="55">
        <v>50</v>
      </c>
      <c r="G1068" s="55" t="s">
        <v>512</v>
      </c>
      <c r="J1068" s="55" t="str">
        <f t="shared" si="70"/>
        <v>Duplex 411</v>
      </c>
    </row>
    <row r="1069" spans="1:10">
      <c r="A1069" s="79" t="s">
        <v>4</v>
      </c>
      <c r="B1069" s="1787"/>
      <c r="C1069" s="1776" t="s">
        <v>3531</v>
      </c>
      <c r="D1069" s="80" t="s">
        <v>1827</v>
      </c>
      <c r="E1069" s="2238" t="str">
        <f t="shared" si="71"/>
        <v>Du</v>
      </c>
      <c r="F1069" s="55">
        <v>50</v>
      </c>
      <c r="G1069" s="55" t="s">
        <v>512</v>
      </c>
      <c r="J1069" s="55" t="str">
        <f t="shared" si="70"/>
        <v>Duplex 416</v>
      </c>
    </row>
    <row r="1070" spans="1:10">
      <c r="A1070" s="79" t="s">
        <v>1060</v>
      </c>
      <c r="B1070" s="80" t="s">
        <v>108</v>
      </c>
      <c r="C1070" s="1776" t="s">
        <v>3532</v>
      </c>
      <c r="D1070" s="80" t="s">
        <v>2445</v>
      </c>
      <c r="E1070" s="2238" t="str">
        <f t="shared" si="71"/>
        <v>DE</v>
      </c>
      <c r="F1070" s="55">
        <v>50</v>
      </c>
      <c r="G1070" s="55" t="s">
        <v>512</v>
      </c>
      <c r="J1070" s="55" t="str">
        <f t="shared" si="70"/>
        <v>DENHQ</v>
      </c>
    </row>
    <row r="1071" spans="1:10">
      <c r="A1071" s="79" t="s">
        <v>1513</v>
      </c>
      <c r="B1071" s="1787"/>
      <c r="C1071" s="1776" t="s">
        <v>3533</v>
      </c>
      <c r="D1071" s="80" t="s">
        <v>2538</v>
      </c>
      <c r="E1071" s="2238" t="str">
        <f t="shared" si="71"/>
        <v>D1</v>
      </c>
      <c r="F1071" s="55">
        <v>50</v>
      </c>
      <c r="G1071" s="55" t="s">
        <v>512</v>
      </c>
      <c r="J1071" s="55" t="str">
        <f t="shared" si="70"/>
        <v>D16/10</v>
      </c>
    </row>
    <row r="1072" spans="1:10">
      <c r="A1072" s="79" t="s">
        <v>469</v>
      </c>
      <c r="B1072" s="1770"/>
      <c r="C1072" s="1776" t="s">
        <v>3534</v>
      </c>
      <c r="D1072" s="80" t="s">
        <v>2538</v>
      </c>
      <c r="E1072" s="2238" t="str">
        <f t="shared" si="71"/>
        <v>D2</v>
      </c>
      <c r="F1072" s="55">
        <v>50</v>
      </c>
      <c r="G1072" s="55" t="s">
        <v>512</v>
      </c>
      <c r="J1072" s="55" t="str">
        <f t="shared" si="70"/>
        <v>D20/10</v>
      </c>
    </row>
    <row r="1073" spans="1:10">
      <c r="A1073" s="79" t="s">
        <v>1514</v>
      </c>
      <c r="B1073" s="1787"/>
      <c r="C1073" s="1776" t="s">
        <v>3535</v>
      </c>
      <c r="D1073" s="80" t="s">
        <v>2538</v>
      </c>
      <c r="E1073" s="2238" t="str">
        <f t="shared" si="71"/>
        <v>D3</v>
      </c>
      <c r="F1073" s="55">
        <v>50</v>
      </c>
      <c r="G1073" s="55" t="s">
        <v>512</v>
      </c>
      <c r="J1073" s="55" t="str">
        <f t="shared" si="70"/>
        <v>D30/10</v>
      </c>
    </row>
    <row r="1074" spans="1:10">
      <c r="A1074" s="79" t="s">
        <v>1352</v>
      </c>
      <c r="B1074" s="1787"/>
      <c r="C1074" s="1776" t="s">
        <v>3536</v>
      </c>
      <c r="D1074" s="80" t="s">
        <v>3537</v>
      </c>
      <c r="E1074" s="2238" t="str">
        <f t="shared" si="71"/>
        <v>DR</v>
      </c>
      <c r="F1074" s="55">
        <v>50</v>
      </c>
      <c r="G1074" s="55" t="s">
        <v>512</v>
      </c>
      <c r="J1074" s="55" t="str">
        <f t="shared" si="70"/>
        <v>DRC</v>
      </c>
    </row>
    <row r="1075" spans="1:10">
      <c r="A1075" s="79" t="s">
        <v>1515</v>
      </c>
      <c r="B1075" s="84" t="s">
        <v>1516</v>
      </c>
      <c r="C1075" s="1776" t="s">
        <v>3538</v>
      </c>
      <c r="D1075" s="80" t="s">
        <v>2563</v>
      </c>
      <c r="E1075" s="2238" t="str">
        <f t="shared" si="71"/>
        <v>CD</v>
      </c>
      <c r="F1075" s="55">
        <v>50</v>
      </c>
      <c r="G1075" s="55" t="s">
        <v>512</v>
      </c>
      <c r="J1075" s="55" t="str">
        <f t="shared" si="70"/>
        <v>CDAO15</v>
      </c>
    </row>
    <row r="1076" spans="1:10">
      <c r="A1076" s="79" t="s">
        <v>1517</v>
      </c>
      <c r="B1076" s="84" t="s">
        <v>1516</v>
      </c>
      <c r="C1076" s="1776" t="s">
        <v>3539</v>
      </c>
      <c r="D1076" s="80" t="s">
        <v>2563</v>
      </c>
      <c r="E1076" s="2238" t="str">
        <f t="shared" si="71"/>
        <v>CD</v>
      </c>
      <c r="F1076" s="55">
        <v>50</v>
      </c>
      <c r="G1076" s="55" t="s">
        <v>512</v>
      </c>
      <c r="J1076" s="55" t="str">
        <f t="shared" si="70"/>
        <v>CDAO30</v>
      </c>
    </row>
    <row r="1077" spans="1:10">
      <c r="A1077" s="79" t="s">
        <v>261</v>
      </c>
      <c r="B1077" s="84" t="s">
        <v>1516</v>
      </c>
      <c r="C1077" s="1776" t="s">
        <v>3540</v>
      </c>
      <c r="D1077" s="80" t="s">
        <v>2563</v>
      </c>
      <c r="E1077" s="2238" t="str">
        <f t="shared" si="71"/>
        <v>CD</v>
      </c>
      <c r="F1077" s="55">
        <v>50</v>
      </c>
      <c r="G1077" s="55" t="s">
        <v>512</v>
      </c>
      <c r="J1077" s="55" t="str">
        <f t="shared" si="70"/>
        <v>CDAO60</v>
      </c>
    </row>
    <row r="1078" spans="1:10">
      <c r="A1078" s="79" t="s">
        <v>262</v>
      </c>
      <c r="B1078" s="84" t="s">
        <v>1516</v>
      </c>
      <c r="C1078" s="1776" t="s">
        <v>3541</v>
      </c>
      <c r="D1078" s="80" t="s">
        <v>2563</v>
      </c>
      <c r="E1078" s="2238" t="str">
        <f t="shared" si="71"/>
        <v>CD</v>
      </c>
      <c r="F1078" s="55">
        <v>50</v>
      </c>
      <c r="G1078" s="55" t="s">
        <v>512</v>
      </c>
      <c r="J1078" s="55" t="str">
        <f t="shared" si="70"/>
        <v>CDAO100</v>
      </c>
    </row>
    <row r="1079" spans="1:10">
      <c r="A1079" s="79" t="s">
        <v>712</v>
      </c>
      <c r="B1079" s="84" t="s">
        <v>1516</v>
      </c>
      <c r="C1079" s="1776" t="s">
        <v>3542</v>
      </c>
      <c r="D1079" s="80" t="s">
        <v>2563</v>
      </c>
      <c r="E1079" s="2238" t="str">
        <f t="shared" si="71"/>
        <v>CD</v>
      </c>
      <c r="F1079" s="55">
        <v>50</v>
      </c>
      <c r="G1079" s="55" t="s">
        <v>512</v>
      </c>
      <c r="J1079" s="55" t="str">
        <f t="shared" si="70"/>
        <v>CDAO150</v>
      </c>
    </row>
    <row r="1080" spans="1:10">
      <c r="A1080" s="79" t="s">
        <v>1098</v>
      </c>
      <c r="B1080" s="84" t="s">
        <v>1516</v>
      </c>
      <c r="C1080" s="1776" t="s">
        <v>3543</v>
      </c>
      <c r="D1080" s="80" t="s">
        <v>2563</v>
      </c>
      <c r="E1080" s="2238" t="str">
        <f t="shared" si="71"/>
        <v>CD</v>
      </c>
      <c r="F1080" s="55">
        <v>50</v>
      </c>
      <c r="G1080" s="55" t="s">
        <v>512</v>
      </c>
      <c r="J1080" s="55" t="str">
        <f t="shared" si="70"/>
        <v>CDAO200</v>
      </c>
    </row>
    <row r="1081" spans="1:10">
      <c r="A1081" s="79" t="s">
        <v>297</v>
      </c>
      <c r="B1081" s="84" t="s">
        <v>1516</v>
      </c>
      <c r="C1081" s="1776" t="s">
        <v>3544</v>
      </c>
      <c r="D1081" s="80" t="s">
        <v>2563</v>
      </c>
      <c r="E1081" s="2238" t="str">
        <f t="shared" si="71"/>
        <v>CD</v>
      </c>
      <c r="F1081" s="55">
        <v>50</v>
      </c>
      <c r="G1081" s="55" t="s">
        <v>512</v>
      </c>
      <c r="J1081" s="55" t="str">
        <f t="shared" si="70"/>
        <v>CDAO250</v>
      </c>
    </row>
    <row r="1082" spans="1:10">
      <c r="A1082" s="79" t="s">
        <v>1059</v>
      </c>
      <c r="B1082" s="84" t="s">
        <v>1516</v>
      </c>
      <c r="C1082" s="1776" t="s">
        <v>3545</v>
      </c>
      <c r="D1082" s="80" t="s">
        <v>2563</v>
      </c>
      <c r="E1082" s="2238" t="str">
        <f t="shared" si="71"/>
        <v>CD</v>
      </c>
      <c r="F1082" s="55">
        <v>50</v>
      </c>
      <c r="G1082" s="55" t="s">
        <v>512</v>
      </c>
      <c r="J1082" s="55" t="str">
        <f t="shared" si="70"/>
        <v>CDAO300</v>
      </c>
    </row>
    <row r="1083" spans="1:10">
      <c r="A1083" s="79" t="s">
        <v>1705</v>
      </c>
      <c r="B1083" s="1787"/>
      <c r="C1083" s="1776" t="s">
        <v>3546</v>
      </c>
      <c r="D1083" s="80" t="s">
        <v>1827</v>
      </c>
      <c r="E1083" s="2238" t="str">
        <f t="shared" si="71"/>
        <v>PV</v>
      </c>
      <c r="F1083" s="55">
        <v>50</v>
      </c>
      <c r="G1083" s="55" t="s">
        <v>512</v>
      </c>
      <c r="J1083" s="55" t="str">
        <f t="shared" si="70"/>
        <v>PVC200</v>
      </c>
    </row>
    <row r="1084" spans="1:10">
      <c r="A1084" s="79" t="s">
        <v>1681</v>
      </c>
      <c r="B1084" s="1787"/>
      <c r="C1084" s="1776" t="s">
        <v>3547</v>
      </c>
      <c r="D1084" s="80" t="s">
        <v>1827</v>
      </c>
      <c r="E1084" s="2238" t="str">
        <f t="shared" si="71"/>
        <v>PV</v>
      </c>
      <c r="F1084" s="55">
        <v>50</v>
      </c>
      <c r="G1084" s="55" t="s">
        <v>512</v>
      </c>
      <c r="J1084" s="55" t="str">
        <f t="shared" si="70"/>
        <v>PVC168</v>
      </c>
    </row>
    <row r="1085" spans="1:10">
      <c r="A1085" s="79" t="s">
        <v>1521</v>
      </c>
      <c r="B1085" s="1787"/>
      <c r="C1085" s="1776" t="s">
        <v>3548</v>
      </c>
      <c r="D1085" s="80" t="s">
        <v>1827</v>
      </c>
      <c r="E1085" s="2238" t="str">
        <f t="shared" si="71"/>
        <v>PV</v>
      </c>
      <c r="F1085" s="55">
        <v>50</v>
      </c>
      <c r="G1085" s="55" t="s">
        <v>512</v>
      </c>
      <c r="J1085" s="55" t="str">
        <f t="shared" si="70"/>
        <v>PVC140</v>
      </c>
    </row>
    <row r="1086" spans="1:10">
      <c r="A1086" s="79" t="s">
        <v>1042</v>
      </c>
      <c r="B1086" s="1787"/>
      <c r="C1086" s="1776" t="s">
        <v>3549</v>
      </c>
      <c r="D1086" s="80" t="s">
        <v>1827</v>
      </c>
      <c r="E1086" s="2238" t="str">
        <f t="shared" si="71"/>
        <v>PV</v>
      </c>
      <c r="F1086" s="55">
        <v>50</v>
      </c>
      <c r="G1086" s="55" t="s">
        <v>512</v>
      </c>
      <c r="J1086" s="55" t="str">
        <f t="shared" si="70"/>
        <v>PVC114</v>
      </c>
    </row>
    <row r="1087" spans="1:10">
      <c r="A1087" s="79" t="s">
        <v>282</v>
      </c>
      <c r="B1087" s="1787" t="s">
        <v>1755</v>
      </c>
      <c r="C1087" s="1776" t="s">
        <v>3550</v>
      </c>
      <c r="D1087" s="80" t="s">
        <v>1827</v>
      </c>
      <c r="E1087" s="2238" t="str">
        <f t="shared" si="71"/>
        <v>PV</v>
      </c>
      <c r="F1087" s="55">
        <v>50</v>
      </c>
      <c r="G1087" s="55" t="s">
        <v>512</v>
      </c>
      <c r="J1087" s="55" t="str">
        <f t="shared" si="70"/>
        <v>PVC90</v>
      </c>
    </row>
    <row r="1088" spans="1:10">
      <c r="A1088" s="79" t="s">
        <v>2013</v>
      </c>
      <c r="B1088" s="1787" t="s">
        <v>1781</v>
      </c>
      <c r="C1088" s="1776" t="s">
        <v>3551</v>
      </c>
      <c r="D1088" s="80" t="s">
        <v>1827</v>
      </c>
      <c r="E1088" s="2238" t="str">
        <f t="shared" si="71"/>
        <v>PV</v>
      </c>
      <c r="F1088" s="55">
        <v>50</v>
      </c>
      <c r="G1088" s="55" t="s">
        <v>512</v>
      </c>
      <c r="J1088" s="55" t="str">
        <f t="shared" si="70"/>
        <v>PVC60</v>
      </c>
    </row>
    <row r="1089" spans="1:10">
      <c r="A1089" s="79" t="s">
        <v>895</v>
      </c>
      <c r="B1089" s="1787" t="s">
        <v>1780</v>
      </c>
      <c r="C1089" s="1776" t="s">
        <v>3552</v>
      </c>
      <c r="D1089" s="80" t="s">
        <v>1827</v>
      </c>
      <c r="E1089" s="2238" t="str">
        <f t="shared" si="71"/>
        <v>PV</v>
      </c>
      <c r="F1089" s="55">
        <v>50</v>
      </c>
      <c r="G1089" s="55" t="s">
        <v>512</v>
      </c>
      <c r="J1089" s="55" t="str">
        <f t="shared" si="70"/>
        <v>PVC49</v>
      </c>
    </row>
    <row r="1090" spans="1:10">
      <c r="A1090" s="79" t="s">
        <v>2147</v>
      </c>
      <c r="B1090" s="1787" t="s">
        <v>1780</v>
      </c>
      <c r="C1090" s="1776" t="s">
        <v>3553</v>
      </c>
      <c r="D1090" s="80" t="s">
        <v>1827</v>
      </c>
      <c r="E1090" s="2238" t="str">
        <f t="shared" si="71"/>
        <v>PV</v>
      </c>
      <c r="F1090" s="55">
        <v>50</v>
      </c>
      <c r="G1090" s="55" t="s">
        <v>512</v>
      </c>
      <c r="J1090" s="55" t="str">
        <f t="shared" si="70"/>
        <v>PVC42</v>
      </c>
    </row>
    <row r="1091" spans="1:10">
      <c r="A1091" s="79" t="s">
        <v>576</v>
      </c>
      <c r="B1091" s="1787" t="s">
        <v>1780</v>
      </c>
      <c r="C1091" s="1776" t="s">
        <v>3554</v>
      </c>
      <c r="D1091" s="80" t="s">
        <v>1827</v>
      </c>
      <c r="E1091" s="2238" t="str">
        <f t="shared" si="71"/>
        <v>PV</v>
      </c>
      <c r="F1091" s="55">
        <v>50</v>
      </c>
      <c r="G1091" s="55" t="s">
        <v>512</v>
      </c>
      <c r="J1091" s="55" t="str">
        <f t="shared" si="70"/>
        <v>PVC21</v>
      </c>
    </row>
    <row r="1092" spans="1:10">
      <c r="A1092" s="79" t="s">
        <v>1051</v>
      </c>
      <c r="B1092" s="1787"/>
      <c r="C1092" s="1776" t="s">
        <v>3555</v>
      </c>
      <c r="D1092" s="80" t="s">
        <v>2538</v>
      </c>
      <c r="E1092" s="2238" t="str">
        <f t="shared" si="71"/>
        <v>OD</v>
      </c>
      <c r="F1092" s="55">
        <v>50</v>
      </c>
      <c r="G1092" s="55" t="s">
        <v>512</v>
      </c>
      <c r="J1092" s="55" t="str">
        <f t="shared" si="70"/>
        <v>ODH42</v>
      </c>
    </row>
    <row r="1093" spans="1:10">
      <c r="A1093" s="79" t="s">
        <v>238</v>
      </c>
      <c r="B1093" s="1787" t="s">
        <v>575</v>
      </c>
      <c r="C1093" s="1776" t="s">
        <v>3556</v>
      </c>
      <c r="D1093" s="80" t="s">
        <v>1827</v>
      </c>
      <c r="E1093" s="2238" t="str">
        <f t="shared" si="71"/>
        <v>ON</v>
      </c>
      <c r="F1093" s="55">
        <v>50</v>
      </c>
      <c r="G1093" s="55" t="s">
        <v>512</v>
      </c>
      <c r="J1093" s="55" t="str">
        <f t="shared" ref="J1093:J1157" si="73">A1093</f>
        <v>ONGDH168</v>
      </c>
    </row>
    <row r="1094" spans="1:10">
      <c r="A1094" s="79" t="s">
        <v>2280</v>
      </c>
      <c r="B1094" s="1787" t="s">
        <v>575</v>
      </c>
      <c r="C1094" s="1776" t="s">
        <v>3557</v>
      </c>
      <c r="D1094" s="80" t="s">
        <v>1827</v>
      </c>
      <c r="E1094" s="2238" t="str">
        <f t="shared" si="71"/>
        <v>ON</v>
      </c>
      <c r="F1094" s="55">
        <v>50</v>
      </c>
      <c r="G1094" s="55" t="s">
        <v>512</v>
      </c>
      <c r="J1094" s="55" t="str">
        <f t="shared" si="73"/>
        <v>ONGDH42</v>
      </c>
    </row>
    <row r="1095" spans="1:10">
      <c r="A1095" s="79" t="s">
        <v>1744</v>
      </c>
      <c r="B1095" s="1787" t="s">
        <v>575</v>
      </c>
      <c r="C1095" s="1776" t="s">
        <v>3558</v>
      </c>
      <c r="D1095" s="80" t="s">
        <v>1827</v>
      </c>
      <c r="E1095" s="2238" t="str">
        <f t="shared" si="71"/>
        <v>ON</v>
      </c>
      <c r="F1095" s="55">
        <v>50</v>
      </c>
      <c r="G1095" s="55" t="s">
        <v>512</v>
      </c>
      <c r="J1095" s="55" t="str">
        <f t="shared" si="73"/>
        <v>ONGDH114</v>
      </c>
    </row>
    <row r="1096" spans="1:10">
      <c r="A1096" s="79" t="s">
        <v>577</v>
      </c>
      <c r="B1096" s="84"/>
      <c r="C1096" s="1776" t="s">
        <v>578</v>
      </c>
      <c r="D1096" s="80" t="s">
        <v>2563</v>
      </c>
      <c r="E1096" s="2238" t="str">
        <f t="shared" si="71"/>
        <v>CU</v>
      </c>
      <c r="F1096" s="55">
        <v>50</v>
      </c>
      <c r="G1096" s="55" t="s">
        <v>512</v>
      </c>
      <c r="J1096" s="55" t="str">
        <f t="shared" si="73"/>
        <v>CUT21</v>
      </c>
    </row>
    <row r="1097" spans="1:10">
      <c r="A1097" s="79" t="s">
        <v>245</v>
      </c>
      <c r="B1097" s="84"/>
      <c r="C1097" s="1776" t="s">
        <v>3559</v>
      </c>
      <c r="D1097" s="80" t="s">
        <v>2563</v>
      </c>
      <c r="E1097" s="2238" t="str">
        <f t="shared" si="71"/>
        <v>CU</v>
      </c>
      <c r="F1097" s="55">
        <v>50</v>
      </c>
      <c r="G1097" s="55" t="s">
        <v>512</v>
      </c>
      <c r="J1097" s="55" t="str">
        <f t="shared" si="73"/>
        <v>CUT4245</v>
      </c>
    </row>
    <row r="1098" spans="1:10">
      <c r="A1098" s="79" t="s">
        <v>1619</v>
      </c>
      <c r="B1098" s="84"/>
      <c r="C1098" s="1776" t="s">
        <v>3560</v>
      </c>
      <c r="D1098" s="80" t="s">
        <v>2563</v>
      </c>
      <c r="E1098" s="2238" t="str">
        <f t="shared" si="71"/>
        <v>CU</v>
      </c>
      <c r="F1098" s="55">
        <v>50</v>
      </c>
      <c r="G1098" s="55" t="s">
        <v>512</v>
      </c>
      <c r="J1098" s="55" t="str">
        <f t="shared" si="73"/>
        <v>CUT42</v>
      </c>
    </row>
    <row r="1099" spans="1:10">
      <c r="A1099" s="79" t="s">
        <v>1050</v>
      </c>
      <c r="B1099" s="84"/>
      <c r="C1099" s="1776" t="s">
        <v>3561</v>
      </c>
      <c r="D1099" s="80" t="s">
        <v>2563</v>
      </c>
      <c r="E1099" s="2238" t="str">
        <f t="shared" si="71"/>
        <v>CU</v>
      </c>
      <c r="F1099" s="55">
        <v>50</v>
      </c>
      <c r="G1099" s="55" t="s">
        <v>512</v>
      </c>
      <c r="J1099" s="55" t="str">
        <f t="shared" si="73"/>
        <v>CUT42T</v>
      </c>
    </row>
    <row r="1100" spans="1:10">
      <c r="A1100" s="79" t="s">
        <v>1105</v>
      </c>
      <c r="B1100" s="84"/>
      <c r="C1100" s="1776" t="s">
        <v>3562</v>
      </c>
      <c r="D1100" s="80" t="s">
        <v>2563</v>
      </c>
      <c r="E1100" s="2238" t="str">
        <f t="shared" si="71"/>
        <v>CU</v>
      </c>
      <c r="F1100" s="55">
        <v>50</v>
      </c>
      <c r="G1100" s="55" t="s">
        <v>512</v>
      </c>
      <c r="J1100" s="55" t="str">
        <f t="shared" si="73"/>
        <v>CUT60</v>
      </c>
    </row>
    <row r="1101" spans="1:10">
      <c r="A1101" s="79" t="s">
        <v>940</v>
      </c>
      <c r="B1101" s="84"/>
      <c r="C1101" s="1776" t="s">
        <v>3563</v>
      </c>
      <c r="D1101" s="80" t="s">
        <v>2563</v>
      </c>
      <c r="E1101" s="2238" t="str">
        <f t="shared" si="71"/>
        <v>CU</v>
      </c>
      <c r="F1101" s="55">
        <v>50</v>
      </c>
      <c r="G1101" s="55" t="s">
        <v>512</v>
      </c>
      <c r="J1101" s="55" t="str">
        <f t="shared" si="73"/>
        <v>CUT60135</v>
      </c>
    </row>
    <row r="1102" spans="1:10">
      <c r="A1102" s="79" t="s">
        <v>283</v>
      </c>
      <c r="B1102" s="84"/>
      <c r="C1102" s="1776" t="s">
        <v>3564</v>
      </c>
      <c r="D1102" s="80" t="s">
        <v>2563</v>
      </c>
      <c r="E1102" s="2238" t="str">
        <f t="shared" si="71"/>
        <v>CU</v>
      </c>
      <c r="F1102" s="55">
        <v>50</v>
      </c>
      <c r="G1102" s="55" t="s">
        <v>512</v>
      </c>
      <c r="J1102" s="55" t="str">
        <f t="shared" si="73"/>
        <v>CUT90</v>
      </c>
    </row>
    <row r="1103" spans="1:10">
      <c r="A1103" s="79" t="s">
        <v>1215</v>
      </c>
      <c r="B1103" s="84"/>
      <c r="C1103" s="1776" t="s">
        <v>3565</v>
      </c>
      <c r="D1103" s="80" t="s">
        <v>2563</v>
      </c>
      <c r="E1103" s="2238" t="str">
        <f t="shared" si="71"/>
        <v>CU</v>
      </c>
      <c r="F1103" s="55">
        <v>50</v>
      </c>
      <c r="G1103" s="55" t="s">
        <v>512</v>
      </c>
      <c r="J1103" s="55" t="str">
        <f t="shared" si="73"/>
        <v>CUT90135</v>
      </c>
    </row>
    <row r="1104" spans="1:10">
      <c r="A1104" s="79" t="s">
        <v>70</v>
      </c>
      <c r="B1104" s="84"/>
      <c r="C1104" s="1776" t="s">
        <v>3566</v>
      </c>
      <c r="D1104" s="80" t="s">
        <v>2563</v>
      </c>
      <c r="E1104" s="2238" t="str">
        <f t="shared" si="71"/>
        <v>CU</v>
      </c>
      <c r="F1104" s="55">
        <v>50</v>
      </c>
      <c r="G1104" s="55" t="s">
        <v>512</v>
      </c>
      <c r="J1104" s="55" t="str">
        <f t="shared" si="73"/>
        <v>CUT90T</v>
      </c>
    </row>
    <row r="1105" spans="1:10">
      <c r="A1105" s="79" t="s">
        <v>2123</v>
      </c>
      <c r="B1105" s="84"/>
      <c r="C1105" s="1776" t="s">
        <v>3567</v>
      </c>
      <c r="D1105" s="80" t="s">
        <v>2563</v>
      </c>
      <c r="E1105" s="2238" t="str">
        <f t="shared" ref="E1105" si="74">LEFT(A1105,2)</f>
        <v>CU</v>
      </c>
      <c r="F1105" s="55">
        <v>50</v>
      </c>
      <c r="G1105" s="55" t="s">
        <v>512</v>
      </c>
      <c r="J1105" s="55" t="str">
        <f t="shared" si="73"/>
        <v>CUT114T</v>
      </c>
    </row>
    <row r="1106" spans="1:10">
      <c r="A1106" s="79" t="s">
        <v>4802</v>
      </c>
      <c r="B1106" s="84"/>
      <c r="C1106" s="1776" t="s">
        <v>4803</v>
      </c>
      <c r="D1106" s="80" t="s">
        <v>2563</v>
      </c>
      <c r="E1106" s="2238" t="str">
        <f t="shared" si="71"/>
        <v>CU</v>
      </c>
      <c r="F1106" s="55">
        <v>50</v>
      </c>
      <c r="G1106" s="55" t="s">
        <v>512</v>
      </c>
      <c r="J1106" s="55" t="str">
        <f t="shared" si="73"/>
        <v>CUT114L</v>
      </c>
    </row>
    <row r="1107" spans="1:10">
      <c r="A1107" s="79" t="s">
        <v>1043</v>
      </c>
      <c r="B1107" s="84"/>
      <c r="C1107" s="1776" t="s">
        <v>3568</v>
      </c>
      <c r="D1107" s="80" t="s">
        <v>2563</v>
      </c>
      <c r="E1107" s="2238" t="str">
        <f t="shared" si="71"/>
        <v>CU</v>
      </c>
      <c r="F1107" s="55">
        <v>50</v>
      </c>
      <c r="G1107" s="55" t="s">
        <v>512</v>
      </c>
      <c r="J1107" s="55" t="str">
        <f t="shared" si="73"/>
        <v>CUT114</v>
      </c>
    </row>
    <row r="1108" spans="1:10">
      <c r="A1108" s="79" t="s">
        <v>450</v>
      </c>
      <c r="B1108" s="84"/>
      <c r="C1108" s="1776" t="s">
        <v>3569</v>
      </c>
      <c r="D1108" s="80" t="s">
        <v>2563</v>
      </c>
      <c r="E1108" s="2238" t="str">
        <f t="shared" si="71"/>
        <v>CU</v>
      </c>
      <c r="F1108" s="55">
        <v>50</v>
      </c>
      <c r="G1108" s="55" t="s">
        <v>512</v>
      </c>
      <c r="J1108" s="55" t="str">
        <f t="shared" si="73"/>
        <v>CUT140t</v>
      </c>
    </row>
    <row r="1109" spans="1:10">
      <c r="A1109" s="79" t="s">
        <v>473</v>
      </c>
      <c r="B1109" s="84"/>
      <c r="C1109" s="1776" t="s">
        <v>3570</v>
      </c>
      <c r="D1109" s="80" t="s">
        <v>2563</v>
      </c>
      <c r="E1109" s="2238" t="str">
        <f t="shared" si="71"/>
        <v>CU</v>
      </c>
      <c r="F1109" s="55">
        <v>50</v>
      </c>
      <c r="G1109" s="55" t="s">
        <v>512</v>
      </c>
      <c r="J1109" s="55" t="str">
        <f t="shared" si="73"/>
        <v>CUT140</v>
      </c>
    </row>
    <row r="1110" spans="1:10">
      <c r="A1110" s="79" t="s">
        <v>1274</v>
      </c>
      <c r="B1110" s="84"/>
      <c r="C1110" s="1776" t="s">
        <v>3571</v>
      </c>
      <c r="D1110" s="80" t="s">
        <v>2563</v>
      </c>
      <c r="E1110" s="2238" t="str">
        <f t="shared" si="71"/>
        <v>CU</v>
      </c>
      <c r="F1110" s="55">
        <v>50</v>
      </c>
      <c r="G1110" s="55" t="s">
        <v>512</v>
      </c>
      <c r="J1110" s="55" t="str">
        <f t="shared" si="73"/>
        <v>CUT168</v>
      </c>
    </row>
    <row r="1111" spans="1:10">
      <c r="A1111" s="79" t="s">
        <v>688</v>
      </c>
      <c r="B1111" s="1787"/>
      <c r="C1111" s="1776" t="s">
        <v>4477</v>
      </c>
      <c r="D1111" s="80" t="s">
        <v>2563</v>
      </c>
      <c r="E1111" s="2238" t="str">
        <f t="shared" ref="E1111" si="75">LEFT(A1111,2)</f>
        <v>NP</v>
      </c>
      <c r="F1111" s="55">
        <v>50</v>
      </c>
      <c r="G1111" s="55" t="s">
        <v>512</v>
      </c>
      <c r="J1111" s="55" t="str">
        <f t="shared" si="73"/>
        <v>NPVC114</v>
      </c>
    </row>
    <row r="1112" spans="1:10">
      <c r="A1112" s="79" t="s">
        <v>1410</v>
      </c>
      <c r="B1112" s="1787"/>
      <c r="C1112" s="1776" t="s">
        <v>3572</v>
      </c>
      <c r="D1112" s="80" t="s">
        <v>2563</v>
      </c>
      <c r="E1112" s="2238" t="str">
        <f t="shared" si="71"/>
        <v>NP</v>
      </c>
      <c r="F1112" s="55">
        <v>50</v>
      </c>
      <c r="G1112" s="55" t="s">
        <v>512</v>
      </c>
      <c r="J1112" s="55" t="str">
        <f t="shared" si="73"/>
        <v>NPVC140</v>
      </c>
    </row>
    <row r="1113" spans="1:10">
      <c r="A1113" s="79" t="s">
        <v>4372</v>
      </c>
      <c r="B1113" s="1787"/>
      <c r="C1113" s="1776" t="s">
        <v>4373</v>
      </c>
      <c r="D1113" s="80" t="s">
        <v>2563</v>
      </c>
      <c r="E1113" s="2238" t="str">
        <f t="shared" si="71"/>
        <v>NP</v>
      </c>
      <c r="F1113" s="55">
        <v>50</v>
      </c>
      <c r="G1113" s="55" t="s">
        <v>512</v>
      </c>
      <c r="J1113" s="55" t="str">
        <f t="shared" si="73"/>
        <v>NPVC114-90</v>
      </c>
    </row>
    <row r="1114" spans="1:10">
      <c r="A1114" s="79" t="s">
        <v>725</v>
      </c>
      <c r="B1114" s="1787"/>
      <c r="C1114" s="1776" t="s">
        <v>3573</v>
      </c>
      <c r="D1114" s="80" t="s">
        <v>2563</v>
      </c>
      <c r="E1114" s="2238" t="str">
        <f t="shared" si="71"/>
        <v>NP</v>
      </c>
      <c r="F1114" s="55">
        <v>50</v>
      </c>
      <c r="G1114" s="55" t="s">
        <v>512</v>
      </c>
      <c r="J1114" s="55" t="str">
        <f t="shared" si="73"/>
        <v>NPVC90</v>
      </c>
    </row>
    <row r="1115" spans="1:10">
      <c r="A1115" s="79" t="s">
        <v>1917</v>
      </c>
      <c r="B1115" s="1787"/>
      <c r="C1115" s="1776" t="s">
        <v>3574</v>
      </c>
      <c r="D1115" s="80" t="s">
        <v>2563</v>
      </c>
      <c r="E1115" s="2238" t="str">
        <f t="shared" si="71"/>
        <v>NP</v>
      </c>
      <c r="F1115" s="55">
        <v>50</v>
      </c>
      <c r="G1115" s="55" t="s">
        <v>512</v>
      </c>
      <c r="J1115" s="55" t="str">
        <f t="shared" si="73"/>
        <v>NPVC42</v>
      </c>
    </row>
    <row r="1116" spans="1:10">
      <c r="A1116" s="79" t="s">
        <v>2278</v>
      </c>
      <c r="B1116" s="1787"/>
      <c r="C1116" s="1776" t="s">
        <v>3575</v>
      </c>
      <c r="D1116" s="80" t="s">
        <v>2563</v>
      </c>
      <c r="E1116" s="2238" t="str">
        <f t="shared" si="71"/>
        <v>NP</v>
      </c>
      <c r="F1116" s="55">
        <v>50</v>
      </c>
      <c r="G1116" s="55" t="s">
        <v>512</v>
      </c>
      <c r="J1116" s="55" t="str">
        <f t="shared" si="73"/>
        <v>NPVC21</v>
      </c>
    </row>
    <row r="1117" spans="1:10">
      <c r="A1117" s="79" t="s">
        <v>2279</v>
      </c>
      <c r="B1117" s="1787"/>
      <c r="C1117" s="1776" t="s">
        <v>3576</v>
      </c>
      <c r="D1117" s="80" t="s">
        <v>2563</v>
      </c>
      <c r="E1117" s="2238" t="str">
        <f t="shared" si="71"/>
        <v>NT</v>
      </c>
      <c r="F1117" s="55">
        <v>50</v>
      </c>
      <c r="G1117" s="55" t="s">
        <v>512</v>
      </c>
      <c r="J1117" s="55" t="str">
        <f t="shared" si="73"/>
        <v>NT42</v>
      </c>
    </row>
    <row r="1118" spans="1:10">
      <c r="A1118" s="79" t="s">
        <v>622</v>
      </c>
      <c r="B1118" s="84"/>
      <c r="C1118" s="81" t="s">
        <v>3577</v>
      </c>
      <c r="D1118" s="80" t="s">
        <v>2563</v>
      </c>
      <c r="E1118" s="2238" t="str">
        <f t="shared" si="71"/>
        <v>BA</v>
      </c>
      <c r="F1118" s="55">
        <v>50</v>
      </c>
      <c r="G1118" s="55" t="s">
        <v>512</v>
      </c>
      <c r="J1118" s="55" t="str">
        <f t="shared" si="73"/>
        <v>BAKE6200</v>
      </c>
    </row>
    <row r="1119" spans="1:10">
      <c r="A1119" s="79" t="s">
        <v>880</v>
      </c>
      <c r="B1119" s="1787"/>
      <c r="C1119" s="1776" t="s">
        <v>3578</v>
      </c>
      <c r="D1119" s="80" t="s">
        <v>2563</v>
      </c>
      <c r="E1119" s="2238" t="str">
        <f t="shared" si="71"/>
        <v>BA</v>
      </c>
      <c r="F1119" s="55">
        <v>50</v>
      </c>
      <c r="G1119" s="55" t="s">
        <v>512</v>
      </c>
      <c r="J1119" s="55" t="str">
        <f t="shared" si="73"/>
        <v>BAKE</v>
      </c>
    </row>
    <row r="1120" spans="1:10">
      <c r="A1120" s="79" t="s">
        <v>1918</v>
      </c>
      <c r="B1120" s="1787"/>
      <c r="C1120" s="1776" t="s">
        <v>3579</v>
      </c>
      <c r="D1120" s="80" t="s">
        <v>2563</v>
      </c>
      <c r="E1120" s="2238" t="str">
        <f t="shared" si="71"/>
        <v>BA</v>
      </c>
      <c r="F1120" s="55">
        <v>50</v>
      </c>
      <c r="G1120" s="55" t="s">
        <v>512</v>
      </c>
      <c r="J1120" s="55" t="str">
        <f t="shared" si="73"/>
        <v>BAKEDKDT</v>
      </c>
    </row>
    <row r="1121" spans="1:10">
      <c r="A1121" s="79" t="s">
        <v>59</v>
      </c>
      <c r="B1121" s="1787"/>
      <c r="C1121" s="1776" t="s">
        <v>3580</v>
      </c>
      <c r="D1121" s="80" t="s">
        <v>2563</v>
      </c>
      <c r="E1121" s="2238" t="str">
        <f t="shared" ref="E1121:E1192" si="76">LEFT(A1121,2)</f>
        <v>BA</v>
      </c>
      <c r="F1121" s="55">
        <v>50</v>
      </c>
      <c r="G1121" s="55" t="s">
        <v>512</v>
      </c>
      <c r="J1121" s="55" t="str">
        <f t="shared" si="73"/>
        <v>BAKETu</v>
      </c>
    </row>
    <row r="1122" spans="1:10">
      <c r="A1122" s="79" t="s">
        <v>243</v>
      </c>
      <c r="B1122" s="1787"/>
      <c r="C1122" s="1776" t="s">
        <v>3581</v>
      </c>
      <c r="D1122" s="80" t="s">
        <v>2563</v>
      </c>
      <c r="E1122" s="2238" t="str">
        <f t="shared" si="76"/>
        <v>BA</v>
      </c>
      <c r="F1122" s="55">
        <v>50</v>
      </c>
      <c r="G1122" s="55" t="s">
        <v>512</v>
      </c>
      <c r="J1122" s="55" t="str">
        <f t="shared" si="73"/>
        <v>BANGG</v>
      </c>
    </row>
    <row r="1123" spans="1:10">
      <c r="A1123" s="79" t="s">
        <v>1600</v>
      </c>
      <c r="B1123" s="1787"/>
      <c r="C1123" s="1776" t="s">
        <v>3582</v>
      </c>
      <c r="D1123" s="80" t="s">
        <v>2563</v>
      </c>
      <c r="E1123" s="2238" t="str">
        <f t="shared" si="76"/>
        <v>BA</v>
      </c>
      <c r="F1123" s="55">
        <v>50</v>
      </c>
      <c r="G1123" s="55" t="s">
        <v>512</v>
      </c>
      <c r="J1123" s="55" t="str">
        <f t="shared" si="73"/>
        <v>BANGNHUA</v>
      </c>
    </row>
    <row r="1124" spans="1:10">
      <c r="A1124" s="79" t="s">
        <v>672</v>
      </c>
      <c r="B1124" s="1787"/>
      <c r="C1124" s="1776" t="s">
        <v>3583</v>
      </c>
      <c r="D1124" s="80" t="s">
        <v>3584</v>
      </c>
      <c r="E1124" s="2238" t="str">
        <f t="shared" ref="E1124" si="77">LEFT(A1124,2)</f>
        <v>BA</v>
      </c>
      <c r="F1124" s="55">
        <v>50</v>
      </c>
      <c r="G1124" s="55" t="s">
        <v>512</v>
      </c>
      <c r="J1124" s="55" t="str">
        <f t="shared" ref="J1124" si="78">A1124</f>
        <v>BANGKEO</v>
      </c>
    </row>
    <row r="1125" spans="1:10">
      <c r="A1125" s="79" t="s">
        <v>5012</v>
      </c>
      <c r="B1125" s="1787"/>
      <c r="C1125" s="1776" t="s">
        <v>5024</v>
      </c>
      <c r="D1125" s="80" t="s">
        <v>3584</v>
      </c>
      <c r="E1125" s="2238" t="str">
        <f t="shared" si="76"/>
        <v>BA</v>
      </c>
      <c r="F1125" s="55">
        <v>50</v>
      </c>
      <c r="G1125" s="55" t="s">
        <v>512</v>
      </c>
      <c r="J1125" s="55" t="str">
        <f t="shared" si="73"/>
        <v>BANGKEOt</v>
      </c>
    </row>
    <row r="1126" spans="1:10">
      <c r="A1126" s="79" t="s">
        <v>372</v>
      </c>
      <c r="B1126" s="1787"/>
      <c r="C1126" s="1776" t="s">
        <v>373</v>
      </c>
      <c r="D1126" s="80" t="s">
        <v>2563</v>
      </c>
      <c r="E1126" s="2238" t="str">
        <f t="shared" si="76"/>
        <v>BA</v>
      </c>
      <c r="F1126" s="55">
        <v>50</v>
      </c>
      <c r="G1126" s="55" t="s">
        <v>512</v>
      </c>
      <c r="J1126" s="55" t="str">
        <f t="shared" si="73"/>
        <v>BAKE16-200X200</v>
      </c>
    </row>
    <row r="1127" spans="1:10">
      <c r="A1127" s="79" t="s">
        <v>1179</v>
      </c>
      <c r="B1127" s="1790"/>
      <c r="C1127" s="1776" t="s">
        <v>3585</v>
      </c>
      <c r="D1127" s="80" t="s">
        <v>3586</v>
      </c>
      <c r="E1127" s="2238" t="str">
        <f t="shared" si="76"/>
        <v>KE</v>
      </c>
      <c r="F1127" s="55">
        <v>50</v>
      </c>
      <c r="G1127" s="55" t="s">
        <v>512</v>
      </c>
      <c r="J1127" s="55" t="str">
        <f t="shared" si="73"/>
        <v>KEOBIT</v>
      </c>
    </row>
    <row r="1128" spans="1:10">
      <c r="A1128" s="79" t="s">
        <v>1428</v>
      </c>
      <c r="B1128" s="1767"/>
      <c r="C1128" s="79" t="s">
        <v>3587</v>
      </c>
      <c r="D1128" s="80" t="s">
        <v>2254</v>
      </c>
      <c r="E1128" s="2238" t="str">
        <f t="shared" si="76"/>
        <v>KE</v>
      </c>
      <c r="F1128" s="55">
        <v>50</v>
      </c>
      <c r="G1128" s="55" t="s">
        <v>512</v>
      </c>
      <c r="J1128" s="55" t="str">
        <f t="shared" si="73"/>
        <v>KEM</v>
      </c>
    </row>
    <row r="1129" spans="1:10">
      <c r="A1129" s="79" t="s">
        <v>2041</v>
      </c>
      <c r="B1129" s="84"/>
      <c r="C1129" s="1776" t="s">
        <v>3588</v>
      </c>
      <c r="D1129" s="80" t="s">
        <v>3589</v>
      </c>
      <c r="E1129" s="2238" t="str">
        <f t="shared" si="76"/>
        <v>ke</v>
      </c>
      <c r="F1129" s="55">
        <v>50</v>
      </c>
      <c r="G1129" s="55" t="s">
        <v>512</v>
      </c>
      <c r="J1129" s="55" t="str">
        <f t="shared" si="73"/>
        <v>keodan</v>
      </c>
    </row>
    <row r="1130" spans="1:10">
      <c r="A1130" s="79" t="s">
        <v>726</v>
      </c>
      <c r="B1130" s="84"/>
      <c r="C1130" s="1776" t="s">
        <v>3590</v>
      </c>
      <c r="D1130" s="80" t="s">
        <v>388</v>
      </c>
      <c r="E1130" s="2238" t="str">
        <f t="shared" si="76"/>
        <v>KE</v>
      </c>
      <c r="F1130" s="55">
        <v>50</v>
      </c>
      <c r="G1130" s="55" t="s">
        <v>512</v>
      </c>
      <c r="J1130" s="55" t="str">
        <f t="shared" si="73"/>
        <v>KEO</v>
      </c>
    </row>
    <row r="1131" spans="1:10">
      <c r="A1131" s="79" t="s">
        <v>2126</v>
      </c>
      <c r="B1131" s="1790"/>
      <c r="C1131" s="1776" t="s">
        <v>3591</v>
      </c>
      <c r="D1131" s="80" t="s">
        <v>2563</v>
      </c>
      <c r="E1131" s="2238" t="str">
        <f t="shared" si="76"/>
        <v>KV</v>
      </c>
      <c r="F1131" s="55">
        <v>50</v>
      </c>
      <c r="G1131" s="55" t="s">
        <v>512</v>
      </c>
      <c r="J1131" s="55" t="str">
        <f t="shared" si="73"/>
        <v>KVRT42</v>
      </c>
    </row>
    <row r="1132" spans="1:10">
      <c r="A1132" s="79" t="s">
        <v>931</v>
      </c>
      <c r="B1132" s="1790"/>
      <c r="C1132" s="1776" t="s">
        <v>3592</v>
      </c>
      <c r="D1132" s="80" t="s">
        <v>2563</v>
      </c>
      <c r="E1132" s="2238" t="str">
        <f t="shared" si="76"/>
        <v>KV</v>
      </c>
      <c r="F1132" s="55">
        <v>50</v>
      </c>
      <c r="G1132" s="55" t="s">
        <v>512</v>
      </c>
      <c r="J1132" s="55" t="str">
        <f t="shared" si="73"/>
        <v>KVRT90</v>
      </c>
    </row>
    <row r="1133" spans="1:10">
      <c r="A1133" s="79" t="s">
        <v>1968</v>
      </c>
      <c r="B1133" s="1790"/>
      <c r="C1133" s="1776" t="s">
        <v>3593</v>
      </c>
      <c r="D1133" s="80" t="s">
        <v>2563</v>
      </c>
      <c r="E1133" s="2238" t="str">
        <f t="shared" si="76"/>
        <v>KV</v>
      </c>
      <c r="F1133" s="55">
        <v>50</v>
      </c>
      <c r="G1133" s="55" t="s">
        <v>512</v>
      </c>
      <c r="J1133" s="55" t="str">
        <f t="shared" si="73"/>
        <v>KVRT114</v>
      </c>
    </row>
    <row r="1134" spans="1:10">
      <c r="A1134" s="79" t="s">
        <v>1502</v>
      </c>
      <c r="B1134" s="1790"/>
      <c r="C1134" s="1776" t="s">
        <v>3594</v>
      </c>
      <c r="D1134" s="80" t="s">
        <v>2563</v>
      </c>
      <c r="E1134" s="2238" t="str">
        <f t="shared" si="76"/>
        <v>KV</v>
      </c>
      <c r="F1134" s="55">
        <v>50</v>
      </c>
      <c r="G1134" s="55" t="s">
        <v>512</v>
      </c>
      <c r="J1134" s="55" t="str">
        <f t="shared" si="73"/>
        <v>KVRT140</v>
      </c>
    </row>
    <row r="1135" spans="1:10">
      <c r="A1135" s="79" t="s">
        <v>959</v>
      </c>
      <c r="B1135" s="1790"/>
      <c r="C1135" s="1776" t="s">
        <v>3595</v>
      </c>
      <c r="D1135" s="80" t="s">
        <v>2563</v>
      </c>
      <c r="E1135" s="2238" t="str">
        <f t="shared" si="76"/>
        <v>KV</v>
      </c>
      <c r="F1135" s="55">
        <v>50</v>
      </c>
      <c r="G1135" s="55" t="s">
        <v>512</v>
      </c>
      <c r="J1135" s="55" t="str">
        <f t="shared" si="73"/>
        <v>KVRN42</v>
      </c>
    </row>
    <row r="1136" spans="1:10">
      <c r="A1136" s="79" t="s">
        <v>930</v>
      </c>
      <c r="B1136" s="1790"/>
      <c r="C1136" s="1776" t="s">
        <v>3596</v>
      </c>
      <c r="D1136" s="80" t="s">
        <v>2563</v>
      </c>
      <c r="E1136" s="2238" t="str">
        <f t="shared" si="76"/>
        <v>KV</v>
      </c>
      <c r="F1136" s="55">
        <v>50</v>
      </c>
      <c r="G1136" s="55" t="s">
        <v>512</v>
      </c>
      <c r="J1136" s="55" t="str">
        <f t="shared" si="73"/>
        <v>KVRN90</v>
      </c>
    </row>
    <row r="1137" spans="1:10">
      <c r="A1137" s="79" t="s">
        <v>1969</v>
      </c>
      <c r="B1137" s="1790"/>
      <c r="C1137" s="1776" t="s">
        <v>3597</v>
      </c>
      <c r="D1137" s="80" t="s">
        <v>2563</v>
      </c>
      <c r="E1137" s="2238" t="str">
        <f t="shared" si="76"/>
        <v>KV</v>
      </c>
      <c r="F1137" s="55">
        <v>50</v>
      </c>
      <c r="G1137" s="55" t="s">
        <v>512</v>
      </c>
      <c r="J1137" s="55" t="str">
        <f t="shared" si="73"/>
        <v>KVRN114</v>
      </c>
    </row>
    <row r="1138" spans="1:10">
      <c r="A1138" s="79" t="s">
        <v>1888</v>
      </c>
      <c r="B1138" s="1790"/>
      <c r="C1138" s="1776" t="s">
        <v>3598</v>
      </c>
      <c r="D1138" s="80" t="s">
        <v>2563</v>
      </c>
      <c r="E1138" s="2238" t="str">
        <f t="shared" si="76"/>
        <v>KV</v>
      </c>
      <c r="F1138" s="55">
        <v>50</v>
      </c>
      <c r="G1138" s="55" t="s">
        <v>512</v>
      </c>
      <c r="J1138" s="55" t="str">
        <f t="shared" si="73"/>
        <v>KVRN140</v>
      </c>
    </row>
    <row r="1139" spans="1:10">
      <c r="A1139" s="79" t="s">
        <v>1036</v>
      </c>
      <c r="B1139" s="1791" t="s">
        <v>1458</v>
      </c>
      <c r="C1139" s="1776" t="s">
        <v>4770</v>
      </c>
      <c r="D1139" s="80" t="s">
        <v>2563</v>
      </c>
      <c r="E1139" s="2238" t="str">
        <f t="shared" si="76"/>
        <v>OX</v>
      </c>
      <c r="F1139" s="55">
        <v>50</v>
      </c>
      <c r="G1139" s="55" t="s">
        <v>512</v>
      </c>
      <c r="J1139" s="55" t="str">
        <f t="shared" si="73"/>
        <v>OXC1/0</v>
      </c>
    </row>
    <row r="1140" spans="1:10">
      <c r="A1140" s="79" t="s">
        <v>1037</v>
      </c>
      <c r="B1140" s="1791" t="s">
        <v>1458</v>
      </c>
      <c r="C1140" s="1776" t="s">
        <v>4771</v>
      </c>
      <c r="D1140" s="80" t="s">
        <v>2563</v>
      </c>
      <c r="E1140" s="2238" t="str">
        <f t="shared" si="76"/>
        <v>OX</v>
      </c>
      <c r="F1140" s="55">
        <v>50</v>
      </c>
      <c r="G1140" s="55" t="s">
        <v>512</v>
      </c>
      <c r="J1140" s="55" t="str">
        <f t="shared" si="73"/>
        <v>OXC2/0</v>
      </c>
    </row>
    <row r="1141" spans="1:10">
      <c r="A1141" s="79" t="s">
        <v>2127</v>
      </c>
      <c r="B1141" s="1791" t="s">
        <v>1458</v>
      </c>
      <c r="C1141" s="1776" t="s">
        <v>4772</v>
      </c>
      <c r="D1141" s="80" t="s">
        <v>2563</v>
      </c>
      <c r="E1141" s="2238" t="str">
        <f t="shared" si="76"/>
        <v>OX</v>
      </c>
      <c r="F1141" s="55">
        <v>50</v>
      </c>
      <c r="G1141" s="55" t="s">
        <v>512</v>
      </c>
      <c r="J1141" s="55" t="str">
        <f t="shared" si="73"/>
        <v>OXCth</v>
      </c>
    </row>
    <row r="1142" spans="1:10">
      <c r="A1142" s="79" t="s">
        <v>1473</v>
      </c>
      <c r="B1142" s="1791" t="s">
        <v>1458</v>
      </c>
      <c r="C1142" s="1776" t="s">
        <v>4773</v>
      </c>
      <c r="D1142" s="80" t="s">
        <v>2563</v>
      </c>
      <c r="E1142" s="2238" t="str">
        <f t="shared" si="76"/>
        <v>OX</v>
      </c>
      <c r="F1142" s="55">
        <v>50</v>
      </c>
      <c r="G1142" s="55" t="s">
        <v>512</v>
      </c>
      <c r="J1142" s="55" t="str">
        <f t="shared" si="73"/>
        <v>OXC11</v>
      </c>
    </row>
    <row r="1143" spans="1:10">
      <c r="A1143" s="79" t="s">
        <v>2262</v>
      </c>
      <c r="B1143" s="1791" t="s">
        <v>1458</v>
      </c>
      <c r="C1143" s="1776" t="s">
        <v>4774</v>
      </c>
      <c r="D1143" s="80" t="s">
        <v>2563</v>
      </c>
      <c r="E1143" s="2238" t="str">
        <f t="shared" si="76"/>
        <v>OX</v>
      </c>
      <c r="F1143" s="55">
        <v>50</v>
      </c>
      <c r="G1143" s="55" t="s">
        <v>512</v>
      </c>
      <c r="J1143" s="55" t="str">
        <f t="shared" si="73"/>
        <v>OXC22</v>
      </c>
    </row>
    <row r="1144" spans="1:10">
      <c r="A1144" s="79" t="s">
        <v>1062</v>
      </c>
      <c r="B1144" s="1787" t="s">
        <v>1458</v>
      </c>
      <c r="C1144" s="79" t="s">
        <v>4775</v>
      </c>
      <c r="D1144" s="80" t="s">
        <v>2563</v>
      </c>
      <c r="E1144" s="2238" t="str">
        <f t="shared" si="76"/>
        <v>OX</v>
      </c>
      <c r="F1144" s="55">
        <v>50</v>
      </c>
      <c r="G1144" s="55" t="s">
        <v>512</v>
      </c>
      <c r="J1144" s="55" t="str">
        <f t="shared" si="73"/>
        <v>OXC25</v>
      </c>
    </row>
    <row r="1145" spans="1:10">
      <c r="A1145" s="79" t="s">
        <v>1063</v>
      </c>
      <c r="B1145" s="1791" t="s">
        <v>1458</v>
      </c>
      <c r="C1145" s="1776" t="s">
        <v>4776</v>
      </c>
      <c r="D1145" s="80" t="s">
        <v>2563</v>
      </c>
      <c r="E1145" s="2238" t="str">
        <f t="shared" si="76"/>
        <v>OX</v>
      </c>
      <c r="F1145" s="55">
        <v>50</v>
      </c>
      <c r="G1145" s="55" t="s">
        <v>512</v>
      </c>
      <c r="J1145" s="55" t="str">
        <f t="shared" si="73"/>
        <v>OXC38</v>
      </c>
    </row>
    <row r="1146" spans="1:10">
      <c r="A1146" s="79" t="s">
        <v>1472</v>
      </c>
      <c r="B1146" s="1791" t="s">
        <v>1458</v>
      </c>
      <c r="C1146" s="1776" t="s">
        <v>4777</v>
      </c>
      <c r="D1146" s="80" t="s">
        <v>2563</v>
      </c>
      <c r="E1146" s="2238" t="str">
        <f t="shared" si="76"/>
        <v>OX</v>
      </c>
      <c r="F1146" s="55">
        <v>50</v>
      </c>
      <c r="G1146" s="55" t="s">
        <v>512</v>
      </c>
      <c r="J1146" s="55" t="str">
        <f t="shared" si="73"/>
        <v>OXC50</v>
      </c>
    </row>
    <row r="1147" spans="1:10">
      <c r="A1147" s="79" t="s">
        <v>1623</v>
      </c>
      <c r="B1147" s="1791" t="s">
        <v>1458</v>
      </c>
      <c r="C1147" s="1776" t="s">
        <v>4778</v>
      </c>
      <c r="D1147" s="80" t="s">
        <v>2563</v>
      </c>
      <c r="E1147" s="2238" t="str">
        <f t="shared" si="76"/>
        <v>OX</v>
      </c>
      <c r="F1147" s="55">
        <v>50</v>
      </c>
      <c r="G1147" s="55" t="s">
        <v>512</v>
      </c>
      <c r="J1147" s="55" t="str">
        <f t="shared" si="73"/>
        <v>OXC70</v>
      </c>
    </row>
    <row r="1148" spans="1:10">
      <c r="A1148" s="79" t="s">
        <v>687</v>
      </c>
      <c r="B1148" s="1791" t="s">
        <v>1458</v>
      </c>
      <c r="C1148" s="1776" t="s">
        <v>4779</v>
      </c>
      <c r="D1148" s="80" t="s">
        <v>2563</v>
      </c>
      <c r="E1148" s="2238" t="str">
        <f t="shared" si="76"/>
        <v>OX</v>
      </c>
      <c r="F1148" s="55">
        <v>50</v>
      </c>
      <c r="G1148" s="55" t="s">
        <v>512</v>
      </c>
      <c r="J1148" s="55" t="str">
        <f t="shared" si="73"/>
        <v>OXC95</v>
      </c>
    </row>
    <row r="1149" spans="1:10">
      <c r="A1149" s="79" t="s">
        <v>625</v>
      </c>
      <c r="B1149" s="1791" t="s">
        <v>1458</v>
      </c>
      <c r="C1149" s="1776" t="s">
        <v>4780</v>
      </c>
      <c r="D1149" s="80" t="s">
        <v>2563</v>
      </c>
      <c r="E1149" s="2238" t="str">
        <f t="shared" si="76"/>
        <v>OX</v>
      </c>
      <c r="F1149" s="55">
        <v>50</v>
      </c>
      <c r="G1149" s="55" t="s">
        <v>512</v>
      </c>
      <c r="J1149" s="55" t="str">
        <f t="shared" si="73"/>
        <v>OXC120</v>
      </c>
    </row>
    <row r="1150" spans="1:10">
      <c r="A1150" s="79" t="s">
        <v>1096</v>
      </c>
      <c r="B1150" s="1787" t="s">
        <v>1458</v>
      </c>
      <c r="C1150" s="79" t="s">
        <v>4781</v>
      </c>
      <c r="D1150" s="80" t="s">
        <v>2563</v>
      </c>
      <c r="E1150" s="2238" t="str">
        <f t="shared" si="76"/>
        <v>OX</v>
      </c>
      <c r="F1150" s="55">
        <v>50</v>
      </c>
      <c r="G1150" s="55" t="s">
        <v>512</v>
      </c>
      <c r="J1150" s="55" t="str">
        <f t="shared" si="73"/>
        <v>OXC150</v>
      </c>
    </row>
    <row r="1151" spans="1:10">
      <c r="A1151" s="79" t="s">
        <v>2114</v>
      </c>
      <c r="B1151" s="1787" t="s">
        <v>1458</v>
      </c>
      <c r="C1151" s="79" t="s">
        <v>4782</v>
      </c>
      <c r="D1151" s="80" t="s">
        <v>2563</v>
      </c>
      <c r="E1151" s="2238" t="str">
        <f t="shared" si="76"/>
        <v>OX</v>
      </c>
      <c r="F1151" s="55">
        <v>50</v>
      </c>
      <c r="G1151" s="55" t="s">
        <v>512</v>
      </c>
      <c r="J1151" s="55" t="str">
        <f t="shared" si="73"/>
        <v>OXC185</v>
      </c>
    </row>
    <row r="1152" spans="1:10">
      <c r="A1152" s="79" t="s">
        <v>487</v>
      </c>
      <c r="B1152" s="1787" t="s">
        <v>1458</v>
      </c>
      <c r="C1152" s="79" t="s">
        <v>4783</v>
      </c>
      <c r="D1152" s="80" t="s">
        <v>2563</v>
      </c>
      <c r="E1152" s="2238" t="str">
        <f t="shared" si="76"/>
        <v>OX</v>
      </c>
      <c r="F1152" s="55">
        <v>50</v>
      </c>
      <c r="G1152" s="55" t="s">
        <v>512</v>
      </c>
      <c r="J1152" s="55" t="str">
        <f t="shared" si="73"/>
        <v>OXC240</v>
      </c>
    </row>
    <row r="1153" spans="1:10">
      <c r="A1153" s="79" t="s">
        <v>2083</v>
      </c>
      <c r="B1153" s="84"/>
      <c r="C1153" s="1776" t="s">
        <v>3600</v>
      </c>
      <c r="D1153" s="80" t="s">
        <v>2563</v>
      </c>
      <c r="E1153" s="2238" t="str">
        <f t="shared" si="76"/>
        <v>KH</v>
      </c>
      <c r="F1153" s="55">
        <v>50</v>
      </c>
      <c r="G1153" s="55" t="s">
        <v>512</v>
      </c>
      <c r="J1153" s="55" t="str">
        <f t="shared" si="73"/>
        <v>KHOA</v>
      </c>
    </row>
    <row r="1154" spans="1:10">
      <c r="A1154" s="79" t="s">
        <v>438</v>
      </c>
      <c r="B1154" s="80"/>
      <c r="C1154" s="1775" t="s">
        <v>3601</v>
      </c>
      <c r="D1154" s="80" t="s">
        <v>856</v>
      </c>
      <c r="E1154" s="2238" t="str">
        <f t="shared" si="76"/>
        <v>ox</v>
      </c>
      <c r="F1154" s="55">
        <v>50</v>
      </c>
      <c r="G1154" s="55" t="s">
        <v>512</v>
      </c>
      <c r="J1154" s="55" t="str">
        <f t="shared" si="73"/>
        <v>oxy</v>
      </c>
    </row>
    <row r="1155" spans="1:10">
      <c r="A1155" s="79" t="s">
        <v>870</v>
      </c>
      <c r="B1155" s="80" t="s">
        <v>215</v>
      </c>
      <c r="C1155" s="81" t="s">
        <v>3602</v>
      </c>
      <c r="D1155" s="80" t="s">
        <v>3603</v>
      </c>
      <c r="E1155" s="2238" t="str">
        <f t="shared" si="76"/>
        <v>LC</v>
      </c>
      <c r="F1155" s="55">
        <v>50</v>
      </c>
      <c r="J1155" s="55" t="str">
        <f t="shared" si="73"/>
        <v>LCbh9</v>
      </c>
    </row>
    <row r="1156" spans="1:10">
      <c r="A1156" s="79" t="s">
        <v>1642</v>
      </c>
      <c r="B1156" s="80" t="s">
        <v>2098</v>
      </c>
      <c r="C1156" s="81" t="s">
        <v>3604</v>
      </c>
      <c r="D1156" s="80" t="s">
        <v>3603</v>
      </c>
      <c r="E1156" s="2238" t="str">
        <f t="shared" si="76"/>
        <v>LB</v>
      </c>
      <c r="F1156" s="55">
        <v>50</v>
      </c>
      <c r="J1156" s="55" t="str">
        <f t="shared" si="73"/>
        <v>LBbh</v>
      </c>
    </row>
    <row r="1157" spans="1:10">
      <c r="A1157" s="79" t="s">
        <v>403</v>
      </c>
      <c r="B1157" s="80"/>
      <c r="C1157" s="81" t="s">
        <v>3605</v>
      </c>
      <c r="D1157" s="80" t="s">
        <v>3388</v>
      </c>
      <c r="E1157" s="2238" t="str">
        <f t="shared" si="76"/>
        <v>LT</v>
      </c>
      <c r="F1157" s="55">
        <v>50</v>
      </c>
      <c r="J1157" s="55" t="str">
        <f t="shared" si="73"/>
        <v>LTC</v>
      </c>
    </row>
    <row r="1158" spans="1:10">
      <c r="A1158" s="79" t="s">
        <v>1643</v>
      </c>
      <c r="B1158" s="1787" t="s">
        <v>1147</v>
      </c>
      <c r="C1158" s="81" t="s">
        <v>3606</v>
      </c>
      <c r="D1158" s="80" t="s">
        <v>1964</v>
      </c>
      <c r="E1158" s="2238" t="str">
        <f t="shared" si="76"/>
        <v>So</v>
      </c>
      <c r="F1158" s="55">
        <v>50</v>
      </c>
      <c r="J1158" s="55" t="str">
        <f t="shared" ref="J1158:J1221" si="79">A1158</f>
        <v>SonCBH</v>
      </c>
    </row>
    <row r="1159" spans="1:10">
      <c r="A1159" s="79" t="s">
        <v>311</v>
      </c>
      <c r="B1159" s="1787" t="s">
        <v>1147</v>
      </c>
      <c r="C1159" s="81" t="s">
        <v>3607</v>
      </c>
      <c r="D1159" s="80" t="s">
        <v>1964</v>
      </c>
      <c r="E1159" s="2238" t="str">
        <f t="shared" si="76"/>
        <v>So</v>
      </c>
      <c r="F1159" s="55">
        <v>50</v>
      </c>
      <c r="J1159" s="55" t="str">
        <f t="shared" si="79"/>
        <v>SonBBH</v>
      </c>
    </row>
    <row r="1160" spans="1:10">
      <c r="A1160" s="79" t="s">
        <v>1644</v>
      </c>
      <c r="B1160" s="1786" t="s">
        <v>1148</v>
      </c>
      <c r="C1160" s="81" t="s">
        <v>3608</v>
      </c>
      <c r="D1160" s="80" t="s">
        <v>3603</v>
      </c>
      <c r="E1160" s="2238" t="str">
        <f t="shared" si="76"/>
        <v>VC</v>
      </c>
      <c r="F1160" s="55">
        <v>2000</v>
      </c>
      <c r="J1160" s="55" t="str">
        <f t="shared" si="79"/>
        <v>VCT</v>
      </c>
    </row>
    <row r="1161" spans="1:10">
      <c r="A1161" s="79" t="s">
        <v>1136</v>
      </c>
      <c r="B1161" s="1786" t="s">
        <v>692</v>
      </c>
      <c r="C1161" s="81" t="s">
        <v>4483</v>
      </c>
      <c r="D1161" s="80" t="s">
        <v>2563</v>
      </c>
      <c r="E1161" s="2238" t="str">
        <f t="shared" si="76"/>
        <v>U1</v>
      </c>
      <c r="F1161" s="55">
        <v>50</v>
      </c>
      <c r="G1161" s="55" t="s">
        <v>512</v>
      </c>
      <c r="J1161" s="55" t="str">
        <f t="shared" si="79"/>
        <v>U16-280</v>
      </c>
    </row>
    <row r="1162" spans="1:10">
      <c r="A1162" s="79" t="s">
        <v>1411</v>
      </c>
      <c r="B1162" s="1786" t="s">
        <v>692</v>
      </c>
      <c r="C1162" s="81" t="s">
        <v>4484</v>
      </c>
      <c r="D1162" s="80" t="s">
        <v>2563</v>
      </c>
      <c r="E1162" s="2238" t="str">
        <f t="shared" si="76"/>
        <v>U2</v>
      </c>
      <c r="F1162" s="55">
        <v>50</v>
      </c>
      <c r="G1162" s="55" t="s">
        <v>512</v>
      </c>
      <c r="J1162" s="55" t="str">
        <f t="shared" si="79"/>
        <v>U20-280</v>
      </c>
    </row>
    <row r="1163" spans="1:10">
      <c r="A1163" s="79" t="s">
        <v>1138</v>
      </c>
      <c r="B1163" s="1786" t="s">
        <v>691</v>
      </c>
      <c r="C1163" s="81" t="s">
        <v>3609</v>
      </c>
      <c r="D1163" s="80" t="s">
        <v>2563</v>
      </c>
      <c r="E1163" s="2238" t="str">
        <f t="shared" si="76"/>
        <v>U1</v>
      </c>
      <c r="F1163" s="55">
        <v>50</v>
      </c>
      <c r="G1163" s="55" t="s">
        <v>512</v>
      </c>
      <c r="J1163" s="55" t="str">
        <f t="shared" si="79"/>
        <v>U1008</v>
      </c>
    </row>
    <row r="1164" spans="1:10">
      <c r="A1164" s="79" t="s">
        <v>1429</v>
      </c>
      <c r="B1164" s="1786" t="s">
        <v>2156</v>
      </c>
      <c r="C1164" s="81" t="s">
        <v>3610</v>
      </c>
      <c r="D1164" s="80" t="s">
        <v>2254</v>
      </c>
      <c r="E1164" s="2238" t="str">
        <f t="shared" si="76"/>
        <v>U8</v>
      </c>
      <c r="F1164" s="55">
        <v>50</v>
      </c>
      <c r="G1164" s="55" t="s">
        <v>512</v>
      </c>
      <c r="J1164" s="55" t="str">
        <f t="shared" si="79"/>
        <v>U8034</v>
      </c>
    </row>
    <row r="1165" spans="1:10">
      <c r="A1165" s="79" t="s">
        <v>1137</v>
      </c>
      <c r="B1165" s="1786" t="s">
        <v>691</v>
      </c>
      <c r="C1165" s="81" t="s">
        <v>3611</v>
      </c>
      <c r="D1165" s="80" t="s">
        <v>2563</v>
      </c>
      <c r="E1165" s="2238" t="str">
        <f t="shared" si="76"/>
        <v>U1</v>
      </c>
      <c r="F1165" s="55">
        <v>50</v>
      </c>
      <c r="G1165" s="55" t="s">
        <v>512</v>
      </c>
      <c r="J1165" s="55" t="str">
        <f t="shared" si="79"/>
        <v>U1004</v>
      </c>
    </row>
    <row r="1166" spans="1:10">
      <c r="A1166" s="2236" t="str">
        <f>"U100-"&amp;H1166</f>
        <v>U100-500</v>
      </c>
      <c r="B1166" s="2239"/>
      <c r="C1166" s="2240" t="str">
        <f>"Đà U100x46x4.5x"&amp;H1166</f>
        <v>Đà U100x46x4.5x500</v>
      </c>
      <c r="D1166" s="80" t="s">
        <v>2563</v>
      </c>
      <c r="E1166" s="2238" t="str">
        <f t="shared" ref="E1166:E1171" si="80">LEFT(A1166,2)</f>
        <v>U1</v>
      </c>
      <c r="F1166" s="55">
        <v>50</v>
      </c>
      <c r="G1166" s="55" t="s">
        <v>512</v>
      </c>
      <c r="H1166" s="55">
        <v>500</v>
      </c>
      <c r="J1166" s="55" t="str">
        <f t="shared" si="79"/>
        <v>U100-500</v>
      </c>
    </row>
    <row r="1167" spans="1:10">
      <c r="A1167" s="2236" t="str">
        <f>"U100-"&amp;H1167</f>
        <v>U100-700</v>
      </c>
      <c r="B1167" s="2239"/>
      <c r="C1167" s="2240" t="str">
        <f>"Đà U100x46x4.5x"&amp;H1167</f>
        <v>Đà U100x46x4.5x700</v>
      </c>
      <c r="D1167" s="80" t="s">
        <v>2563</v>
      </c>
      <c r="E1167" s="2238" t="str">
        <f t="shared" si="80"/>
        <v>U1</v>
      </c>
      <c r="F1167" s="55">
        <v>50</v>
      </c>
      <c r="G1167" s="55" t="s">
        <v>512</v>
      </c>
      <c r="H1167" s="55">
        <v>700</v>
      </c>
      <c r="J1167" s="55" t="str">
        <f t="shared" si="79"/>
        <v>U100-700</v>
      </c>
    </row>
    <row r="1168" spans="1:10">
      <c r="A1168" s="2236" t="str">
        <f t="shared" ref="A1168:A1171" si="81">"U160-"&amp;H1168</f>
        <v>U160-740</v>
      </c>
      <c r="B1168" s="2239"/>
      <c r="C1168" s="2240" t="str">
        <f t="shared" ref="C1168:C1171" si="82">"Đà U100x68x5x"&amp;H1168</f>
        <v>Đà U100x68x5x740</v>
      </c>
      <c r="D1168" s="80" t="s">
        <v>2563</v>
      </c>
      <c r="E1168" s="2238" t="str">
        <f t="shared" si="80"/>
        <v>U1</v>
      </c>
      <c r="F1168" s="55">
        <v>50</v>
      </c>
      <c r="G1168" s="55" t="s">
        <v>512</v>
      </c>
      <c r="H1168" s="55">
        <v>740</v>
      </c>
      <c r="J1168" s="55" t="str">
        <f t="shared" si="79"/>
        <v>U160-740</v>
      </c>
    </row>
    <row r="1169" spans="1:10">
      <c r="A1169" s="2236" t="str">
        <f t="shared" si="81"/>
        <v>U160-1100</v>
      </c>
      <c r="B1169" s="2239"/>
      <c r="C1169" s="2240" t="str">
        <f t="shared" si="82"/>
        <v>Đà U100x68x5x1100</v>
      </c>
      <c r="D1169" s="80" t="s">
        <v>2563</v>
      </c>
      <c r="E1169" s="2238" t="str">
        <f t="shared" si="80"/>
        <v>U1</v>
      </c>
      <c r="F1169" s="55">
        <v>50</v>
      </c>
      <c r="G1169" s="55" t="s">
        <v>512</v>
      </c>
      <c r="H1169" s="55">
        <v>1100</v>
      </c>
      <c r="J1169" s="55" t="str">
        <f t="shared" si="79"/>
        <v>U160-1100</v>
      </c>
    </row>
    <row r="1170" spans="1:10">
      <c r="A1170" s="2236" t="str">
        <f t="shared" si="81"/>
        <v>U160-1449</v>
      </c>
      <c r="B1170" s="2239"/>
      <c r="C1170" s="2240" t="str">
        <f t="shared" si="82"/>
        <v>Đà U100x68x5x1449</v>
      </c>
      <c r="D1170" s="80" t="s">
        <v>2563</v>
      </c>
      <c r="E1170" s="2238" t="str">
        <f t="shared" si="80"/>
        <v>U1</v>
      </c>
      <c r="F1170" s="55">
        <v>50</v>
      </c>
      <c r="G1170" s="55" t="s">
        <v>512</v>
      </c>
      <c r="H1170" s="55">
        <v>1449</v>
      </c>
      <c r="J1170" s="55" t="str">
        <f t="shared" si="79"/>
        <v>U160-1449</v>
      </c>
    </row>
    <row r="1171" spans="1:10">
      <c r="A1171" s="2236" t="str">
        <f t="shared" si="81"/>
        <v>U160-1700</v>
      </c>
      <c r="B1171" s="2239"/>
      <c r="C1171" s="2240" t="str">
        <f t="shared" si="82"/>
        <v>Đà U100x68x5x1700</v>
      </c>
      <c r="D1171" s="80" t="s">
        <v>2563</v>
      </c>
      <c r="E1171" s="2238" t="str">
        <f t="shared" si="80"/>
        <v>U1</v>
      </c>
      <c r="F1171" s="55">
        <v>50</v>
      </c>
      <c r="G1171" s="55" t="s">
        <v>512</v>
      </c>
      <c r="H1171" s="55">
        <v>1700</v>
      </c>
      <c r="J1171" s="55" t="str">
        <f t="shared" si="79"/>
        <v>U160-1700</v>
      </c>
    </row>
    <row r="1172" spans="1:10">
      <c r="A1172" s="2236" t="str">
        <f>"U160-"&amp;H1172</f>
        <v>U160-2100</v>
      </c>
      <c r="B1172" s="2239"/>
      <c r="C1172" s="2240" t="str">
        <f>"Đà U100x68x5x"&amp;H1172</f>
        <v>Đà U100x68x5x2100</v>
      </c>
      <c r="D1172" s="80" t="s">
        <v>2563</v>
      </c>
      <c r="E1172" s="2238" t="str">
        <f t="shared" ref="E1172" si="83">LEFT(A1172,2)</f>
        <v>U1</v>
      </c>
      <c r="F1172" s="55">
        <v>50</v>
      </c>
      <c r="G1172" s="55" t="s">
        <v>512</v>
      </c>
      <c r="H1172" s="55">
        <v>2100</v>
      </c>
      <c r="J1172" s="55" t="str">
        <f t="shared" si="79"/>
        <v>U160-2100</v>
      </c>
    </row>
    <row r="1173" spans="1:10">
      <c r="A1173" s="79" t="s">
        <v>1003</v>
      </c>
      <c r="B1173" s="1786" t="s">
        <v>691</v>
      </c>
      <c r="C1173" s="81" t="s">
        <v>3612</v>
      </c>
      <c r="D1173" s="80" t="s">
        <v>2391</v>
      </c>
      <c r="E1173" s="2238" t="str">
        <f t="shared" si="76"/>
        <v>XA</v>
      </c>
      <c r="F1173" s="55">
        <v>50</v>
      </c>
      <c r="G1173" s="55" t="s">
        <v>512</v>
      </c>
      <c r="J1173" s="55" t="str">
        <f t="shared" si="79"/>
        <v>XATUTI</v>
      </c>
    </row>
    <row r="1174" spans="1:10">
      <c r="A1174" s="79" t="s">
        <v>199</v>
      </c>
      <c r="B1174" s="80"/>
      <c r="C1174" s="81" t="s">
        <v>3613</v>
      </c>
      <c r="D1174" s="80" t="s">
        <v>2391</v>
      </c>
      <c r="E1174" s="2238" t="str">
        <f t="shared" si="76"/>
        <v>AK</v>
      </c>
      <c r="F1174" s="55">
        <v>50</v>
      </c>
      <c r="G1174" s="55" t="s">
        <v>512</v>
      </c>
      <c r="J1174" s="55" t="str">
        <f t="shared" si="79"/>
        <v>AK1</v>
      </c>
    </row>
    <row r="1175" spans="1:10">
      <c r="A1175" s="79" t="s">
        <v>200</v>
      </c>
      <c r="B1175" s="80"/>
      <c r="C1175" s="81" t="s">
        <v>3614</v>
      </c>
      <c r="D1175" s="80" t="s">
        <v>2391</v>
      </c>
      <c r="E1175" s="2238" t="str">
        <f t="shared" si="76"/>
        <v>VK</v>
      </c>
      <c r="F1175" s="55">
        <v>50</v>
      </c>
      <c r="G1175" s="55" t="s">
        <v>512</v>
      </c>
      <c r="J1175" s="55" t="str">
        <f t="shared" si="79"/>
        <v>VK1</v>
      </c>
    </row>
    <row r="1176" spans="1:10">
      <c r="A1176" s="79" t="s">
        <v>2096</v>
      </c>
      <c r="B1176" s="80"/>
      <c r="C1176" s="81" t="s">
        <v>3615</v>
      </c>
      <c r="D1176" s="80" t="s">
        <v>2391</v>
      </c>
      <c r="E1176" s="2238" t="str">
        <f t="shared" si="76"/>
        <v>AV</v>
      </c>
      <c r="F1176" s="55">
        <v>50</v>
      </c>
      <c r="G1176" s="55" t="s">
        <v>512</v>
      </c>
      <c r="J1176" s="55" t="str">
        <f t="shared" si="79"/>
        <v>AVK1</v>
      </c>
    </row>
    <row r="1177" spans="1:10">
      <c r="A1177" s="79" t="s">
        <v>2187</v>
      </c>
      <c r="B1177" s="80"/>
      <c r="C1177" s="81" t="s">
        <v>3616</v>
      </c>
      <c r="D1177" s="80" t="s">
        <v>2391</v>
      </c>
      <c r="E1177" s="2238" t="str">
        <f t="shared" si="76"/>
        <v>AV</v>
      </c>
      <c r="F1177" s="55">
        <v>50</v>
      </c>
      <c r="G1177" s="55" t="s">
        <v>512</v>
      </c>
      <c r="J1177" s="55" t="str">
        <f t="shared" si="79"/>
        <v>AVK3</v>
      </c>
    </row>
    <row r="1178" spans="1:10">
      <c r="A1178" s="79" t="s">
        <v>1567</v>
      </c>
      <c r="B1178" s="80"/>
      <c r="C1178" s="1775" t="s">
        <v>3617</v>
      </c>
      <c r="D1178" s="80" t="s">
        <v>856</v>
      </c>
      <c r="E1178" s="2238" t="str">
        <f t="shared" si="76"/>
        <v>ax</v>
      </c>
      <c r="F1178" s="55">
        <v>50</v>
      </c>
      <c r="G1178" s="55" t="s">
        <v>512</v>
      </c>
      <c r="J1178" s="55" t="str">
        <f t="shared" si="79"/>
        <v>axetylen</v>
      </c>
    </row>
    <row r="1179" spans="1:10">
      <c r="A1179" s="1792" t="s">
        <v>899</v>
      </c>
      <c r="B1179" s="1787"/>
      <c r="C1179" s="79" t="s">
        <v>3618</v>
      </c>
      <c r="D1179" s="80" t="s">
        <v>2563</v>
      </c>
      <c r="E1179" s="2238" t="str">
        <f t="shared" si="76"/>
        <v>GI</v>
      </c>
      <c r="F1179" s="55">
        <v>50</v>
      </c>
      <c r="G1179" s="55" t="s">
        <v>512</v>
      </c>
      <c r="J1179" s="55" t="str">
        <f t="shared" si="79"/>
        <v>GIP11-11</v>
      </c>
    </row>
    <row r="1180" spans="1:10">
      <c r="A1180" s="1792" t="s">
        <v>2220</v>
      </c>
      <c r="B1180" s="1787"/>
      <c r="C1180" s="79" t="s">
        <v>3619</v>
      </c>
      <c r="D1180" s="80" t="s">
        <v>2563</v>
      </c>
      <c r="E1180" s="2238" t="str">
        <f t="shared" si="76"/>
        <v>GI</v>
      </c>
      <c r="F1180" s="55">
        <v>50</v>
      </c>
      <c r="G1180" s="55" t="s">
        <v>512</v>
      </c>
      <c r="J1180" s="55" t="str">
        <f t="shared" si="79"/>
        <v>GIP22-11</v>
      </c>
    </row>
    <row r="1181" spans="1:10">
      <c r="A1181" s="1792" t="s">
        <v>2219</v>
      </c>
      <c r="B1181" s="1787"/>
      <c r="C1181" s="79" t="s">
        <v>3620</v>
      </c>
      <c r="D1181" s="80" t="s">
        <v>2563</v>
      </c>
      <c r="E1181" s="2238" t="str">
        <f t="shared" si="76"/>
        <v>GI</v>
      </c>
      <c r="F1181" s="55">
        <v>50</v>
      </c>
      <c r="G1181" s="55" t="s">
        <v>512</v>
      </c>
      <c r="J1181" s="55" t="str">
        <f t="shared" si="79"/>
        <v>GIP22-22</v>
      </c>
    </row>
    <row r="1182" spans="1:10">
      <c r="A1182" s="1792" t="s">
        <v>1066</v>
      </c>
      <c r="B1182" s="1787"/>
      <c r="C1182" s="79" t="s">
        <v>3621</v>
      </c>
      <c r="D1182" s="80" t="s">
        <v>2563</v>
      </c>
      <c r="E1182" s="2238" t="str">
        <f t="shared" si="76"/>
        <v>GI</v>
      </c>
      <c r="F1182" s="55">
        <v>50</v>
      </c>
      <c r="G1182" s="55" t="s">
        <v>512</v>
      </c>
      <c r="J1182" s="55" t="str">
        <f t="shared" si="79"/>
        <v>GIP35-35</v>
      </c>
    </row>
    <row r="1183" spans="1:10">
      <c r="A1183" s="1792" t="s">
        <v>1442</v>
      </c>
      <c r="B1183" s="1787"/>
      <c r="C1183" s="79" t="s">
        <v>3622</v>
      </c>
      <c r="D1183" s="80" t="s">
        <v>2563</v>
      </c>
      <c r="E1183" s="2238" t="str">
        <f t="shared" si="76"/>
        <v>GI</v>
      </c>
      <c r="F1183" s="55">
        <v>50</v>
      </c>
      <c r="G1183" s="55" t="s">
        <v>512</v>
      </c>
      <c r="J1183" s="55" t="str">
        <f t="shared" si="79"/>
        <v>GIP50-25</v>
      </c>
    </row>
    <row r="1184" spans="1:10">
      <c r="A1184" s="1792" t="s">
        <v>2218</v>
      </c>
      <c r="B1184" s="1787"/>
      <c r="C1184" s="79" t="s">
        <v>3623</v>
      </c>
      <c r="D1184" s="80" t="s">
        <v>2563</v>
      </c>
      <c r="E1184" s="2238" t="str">
        <f t="shared" si="76"/>
        <v>GI</v>
      </c>
      <c r="F1184" s="55">
        <v>50</v>
      </c>
      <c r="G1184" s="55" t="s">
        <v>512</v>
      </c>
      <c r="J1184" s="55" t="str">
        <f t="shared" si="79"/>
        <v>GIP50-35</v>
      </c>
    </row>
    <row r="1185" spans="1:10">
      <c r="A1185" s="1792" t="s">
        <v>2207</v>
      </c>
      <c r="B1185" s="1787"/>
      <c r="C1185" s="79" t="s">
        <v>2392</v>
      </c>
      <c r="D1185" s="80" t="s">
        <v>2563</v>
      </c>
      <c r="E1185" s="2238" t="str">
        <f t="shared" si="76"/>
        <v>GI</v>
      </c>
      <c r="F1185" s="55">
        <v>50</v>
      </c>
      <c r="G1185" s="55" t="s">
        <v>512</v>
      </c>
      <c r="J1185" s="55" t="str">
        <f t="shared" si="79"/>
        <v>GIP70-35</v>
      </c>
    </row>
    <row r="1186" spans="1:10">
      <c r="A1186" s="1792" t="s">
        <v>4347</v>
      </c>
      <c r="B1186" s="1787"/>
      <c r="C1186" s="79" t="s">
        <v>4914</v>
      </c>
      <c r="D1186" s="80" t="s">
        <v>2563</v>
      </c>
      <c r="E1186" s="2238" t="str">
        <f t="shared" si="76"/>
        <v>GI</v>
      </c>
      <c r="F1186" s="55">
        <v>50</v>
      </c>
      <c r="G1186" s="55" t="s">
        <v>512</v>
      </c>
      <c r="J1186" s="55" t="str">
        <f t="shared" si="79"/>
        <v>GIP95-25</v>
      </c>
    </row>
    <row r="1187" spans="1:10">
      <c r="A1187" s="1792" t="s">
        <v>861</v>
      </c>
      <c r="B1187" s="1787"/>
      <c r="C1187" s="79" t="s">
        <v>3624</v>
      </c>
      <c r="D1187" s="80" t="s">
        <v>2563</v>
      </c>
      <c r="E1187" s="2238" t="str">
        <f t="shared" si="76"/>
        <v>GI</v>
      </c>
      <c r="F1187" s="55">
        <v>50</v>
      </c>
      <c r="G1187" s="55" t="s">
        <v>512</v>
      </c>
      <c r="J1187" s="55" t="str">
        <f t="shared" si="79"/>
        <v>GIP95-35</v>
      </c>
    </row>
    <row r="1188" spans="1:10">
      <c r="A1188" s="1792" t="s">
        <v>862</v>
      </c>
      <c r="B1188" s="1787"/>
      <c r="C1188" s="79" t="s">
        <v>3625</v>
      </c>
      <c r="D1188" s="80" t="s">
        <v>2563</v>
      </c>
      <c r="E1188" s="2238" t="str">
        <f t="shared" si="76"/>
        <v>GI</v>
      </c>
      <c r="F1188" s="55">
        <v>50</v>
      </c>
      <c r="G1188" s="55" t="s">
        <v>512</v>
      </c>
      <c r="J1188" s="55" t="str">
        <f t="shared" si="79"/>
        <v>GIP120-35</v>
      </c>
    </row>
    <row r="1189" spans="1:10">
      <c r="A1189" s="1792" t="s">
        <v>2027</v>
      </c>
      <c r="B1189" s="1787"/>
      <c r="C1189" s="79" t="s">
        <v>3626</v>
      </c>
      <c r="D1189" s="80" t="s">
        <v>2563</v>
      </c>
      <c r="E1189" s="2238" t="str">
        <f t="shared" si="76"/>
        <v>GI</v>
      </c>
      <c r="F1189" s="55">
        <v>50</v>
      </c>
      <c r="G1189" s="55" t="s">
        <v>512</v>
      </c>
      <c r="J1189" s="55" t="str">
        <f t="shared" si="79"/>
        <v>GIP50-50</v>
      </c>
    </row>
    <row r="1190" spans="1:10">
      <c r="A1190" s="1793" t="s">
        <v>2035</v>
      </c>
      <c r="B1190" s="1787"/>
      <c r="C1190" s="79" t="s">
        <v>3627</v>
      </c>
      <c r="D1190" s="80" t="s">
        <v>2563</v>
      </c>
      <c r="E1190" s="2238" t="str">
        <f t="shared" si="76"/>
        <v>GI</v>
      </c>
      <c r="F1190" s="55">
        <v>50</v>
      </c>
      <c r="G1190" s="55" t="s">
        <v>512</v>
      </c>
      <c r="J1190" s="55" t="str">
        <f t="shared" si="79"/>
        <v>GIP70-50</v>
      </c>
    </row>
    <row r="1191" spans="1:10">
      <c r="A1191" s="1793" t="s">
        <v>1154</v>
      </c>
      <c r="B1191" s="1787"/>
      <c r="C1191" s="79" t="s">
        <v>3628</v>
      </c>
      <c r="D1191" s="80" t="s">
        <v>2563</v>
      </c>
      <c r="E1191" s="2238" t="str">
        <f t="shared" si="76"/>
        <v>GI</v>
      </c>
      <c r="F1191" s="55">
        <v>50</v>
      </c>
      <c r="G1191" s="55" t="s">
        <v>512</v>
      </c>
      <c r="J1191" s="55" t="str">
        <f t="shared" si="79"/>
        <v>GIP95-50</v>
      </c>
    </row>
    <row r="1192" spans="1:10">
      <c r="A1192" s="1793" t="s">
        <v>1155</v>
      </c>
      <c r="B1192" s="1787"/>
      <c r="C1192" s="79" t="s">
        <v>3629</v>
      </c>
      <c r="D1192" s="80" t="s">
        <v>2563</v>
      </c>
      <c r="E1192" s="2238" t="str">
        <f t="shared" si="76"/>
        <v>GI</v>
      </c>
      <c r="F1192" s="55">
        <v>50</v>
      </c>
      <c r="G1192" s="55" t="s">
        <v>512</v>
      </c>
      <c r="J1192" s="55" t="str">
        <f t="shared" si="79"/>
        <v>GIP120-50</v>
      </c>
    </row>
    <row r="1193" spans="1:10">
      <c r="A1193" s="1793" t="s">
        <v>1350</v>
      </c>
      <c r="B1193" s="1787"/>
      <c r="C1193" s="79" t="s">
        <v>3630</v>
      </c>
      <c r="D1193" s="80" t="s">
        <v>2563</v>
      </c>
      <c r="E1193" s="2238" t="str">
        <f t="shared" ref="E1193:E1254" si="84">LEFT(A1193,2)</f>
        <v>GI</v>
      </c>
      <c r="F1193" s="55">
        <v>50</v>
      </c>
      <c r="G1193" s="55" t="s">
        <v>512</v>
      </c>
      <c r="J1193" s="55" t="str">
        <f t="shared" si="79"/>
        <v>GIP150-50</v>
      </c>
    </row>
    <row r="1194" spans="1:10">
      <c r="A1194" s="1792" t="s">
        <v>1109</v>
      </c>
      <c r="B1194" s="1787"/>
      <c r="C1194" s="79" t="s">
        <v>3631</v>
      </c>
      <c r="D1194" s="80" t="s">
        <v>2563</v>
      </c>
      <c r="E1194" s="2238" t="str">
        <f t="shared" si="84"/>
        <v>GI</v>
      </c>
      <c r="F1194" s="55">
        <v>50</v>
      </c>
      <c r="G1194" s="55" t="s">
        <v>512</v>
      </c>
      <c r="J1194" s="55" t="str">
        <f t="shared" si="79"/>
        <v>GIP70-70</v>
      </c>
    </row>
    <row r="1195" spans="1:10">
      <c r="A1195" s="1793" t="s">
        <v>2036</v>
      </c>
      <c r="B1195" s="1787"/>
      <c r="C1195" s="79" t="s">
        <v>3632</v>
      </c>
      <c r="D1195" s="80" t="s">
        <v>2563</v>
      </c>
      <c r="E1195" s="2238" t="str">
        <f t="shared" si="84"/>
        <v>GI</v>
      </c>
      <c r="F1195" s="55">
        <v>50</v>
      </c>
      <c r="G1195" s="55" t="s">
        <v>512</v>
      </c>
      <c r="J1195" s="55" t="str">
        <f t="shared" si="79"/>
        <v>GIP95-70</v>
      </c>
    </row>
    <row r="1196" spans="1:10">
      <c r="A1196" s="1792" t="s">
        <v>474</v>
      </c>
      <c r="B1196" s="1787"/>
      <c r="C1196" s="79" t="s">
        <v>3633</v>
      </c>
      <c r="D1196" s="80" t="s">
        <v>2563</v>
      </c>
      <c r="E1196" s="2238" t="str">
        <f t="shared" si="84"/>
        <v>GI</v>
      </c>
      <c r="F1196" s="55">
        <v>50</v>
      </c>
      <c r="G1196" s="55" t="s">
        <v>512</v>
      </c>
      <c r="J1196" s="55" t="str">
        <f t="shared" si="79"/>
        <v>GIP120-70</v>
      </c>
    </row>
    <row r="1197" spans="1:10">
      <c r="A1197" s="1792" t="s">
        <v>1348</v>
      </c>
      <c r="B1197" s="1787"/>
      <c r="C1197" s="79" t="s">
        <v>3634</v>
      </c>
      <c r="D1197" s="80" t="s">
        <v>2563</v>
      </c>
      <c r="E1197" s="2238" t="str">
        <f t="shared" si="84"/>
        <v>GI</v>
      </c>
      <c r="F1197" s="55">
        <v>50</v>
      </c>
      <c r="G1197" s="55" t="s">
        <v>512</v>
      </c>
      <c r="J1197" s="55" t="str">
        <f t="shared" si="79"/>
        <v>GIP150-70</v>
      </c>
    </row>
    <row r="1198" spans="1:10">
      <c r="A1198" s="1792" t="s">
        <v>1108</v>
      </c>
      <c r="B1198" s="1787"/>
      <c r="C1198" s="79" t="s">
        <v>3635</v>
      </c>
      <c r="D1198" s="80" t="s">
        <v>2563</v>
      </c>
      <c r="E1198" s="2238" t="str">
        <f t="shared" si="84"/>
        <v>GI</v>
      </c>
      <c r="F1198" s="55">
        <v>50</v>
      </c>
      <c r="G1198" s="55" t="s">
        <v>512</v>
      </c>
      <c r="J1198" s="55" t="str">
        <f t="shared" si="79"/>
        <v>GIP95-95</v>
      </c>
    </row>
    <row r="1199" spans="1:10" ht="14.25" customHeight="1">
      <c r="A1199" s="1793" t="s">
        <v>1153</v>
      </c>
      <c r="B1199" s="1787"/>
      <c r="C1199" s="79" t="s">
        <v>3636</v>
      </c>
      <c r="D1199" s="80" t="s">
        <v>2563</v>
      </c>
      <c r="E1199" s="2238" t="str">
        <f t="shared" si="84"/>
        <v>GI</v>
      </c>
      <c r="F1199" s="55">
        <v>50</v>
      </c>
      <c r="G1199" s="55" t="s">
        <v>512</v>
      </c>
      <c r="J1199" s="55" t="str">
        <f t="shared" si="79"/>
        <v>GIP95-120</v>
      </c>
    </row>
    <row r="1200" spans="1:10" ht="14.25" customHeight="1">
      <c r="A1200" s="1793" t="s">
        <v>1347</v>
      </c>
      <c r="B1200" s="1787"/>
      <c r="C1200" s="79" t="s">
        <v>3637</v>
      </c>
      <c r="D1200" s="80" t="s">
        <v>2563</v>
      </c>
      <c r="E1200" s="2238" t="str">
        <f t="shared" si="84"/>
        <v>GI</v>
      </c>
      <c r="F1200" s="55">
        <v>50</v>
      </c>
      <c r="G1200" s="55" t="s">
        <v>512</v>
      </c>
      <c r="J1200" s="55" t="str">
        <f t="shared" si="79"/>
        <v>GIP95-150</v>
      </c>
    </row>
    <row r="1201" spans="1:10">
      <c r="A1201" s="1772" t="s">
        <v>923</v>
      </c>
      <c r="B1201" s="84" t="s">
        <v>581</v>
      </c>
      <c r="C1201" s="79" t="s">
        <v>3638</v>
      </c>
      <c r="D1201" s="80" t="s">
        <v>2042</v>
      </c>
      <c r="E1201" s="2238" t="str">
        <f t="shared" si="84"/>
        <v>KQ</v>
      </c>
      <c r="F1201" s="55">
        <v>50</v>
      </c>
      <c r="J1201" s="55" t="str">
        <f t="shared" si="79"/>
        <v>KQDUPLEX35</v>
      </c>
    </row>
    <row r="1202" spans="1:10">
      <c r="A1202" s="1772" t="s">
        <v>1113</v>
      </c>
      <c r="B1202" s="84" t="s">
        <v>773</v>
      </c>
      <c r="C1202" s="79" t="s">
        <v>3639</v>
      </c>
      <c r="D1202" s="80" t="s">
        <v>2042</v>
      </c>
      <c r="E1202" s="2238" t="str">
        <f t="shared" si="84"/>
        <v>KQ</v>
      </c>
      <c r="F1202" s="55">
        <v>50</v>
      </c>
      <c r="J1202" s="55" t="str">
        <f t="shared" si="79"/>
        <v>KQDUPLEX22</v>
      </c>
    </row>
    <row r="1203" spans="1:10">
      <c r="A1203" s="1772" t="s">
        <v>2068</v>
      </c>
      <c r="B1203" s="84" t="s">
        <v>775</v>
      </c>
      <c r="C1203" s="79" t="s">
        <v>3640</v>
      </c>
      <c r="D1203" s="80" t="s">
        <v>2042</v>
      </c>
      <c r="E1203" s="2238" t="str">
        <f t="shared" si="84"/>
        <v>KQ</v>
      </c>
      <c r="F1203" s="55">
        <v>50</v>
      </c>
      <c r="J1203" s="55" t="str">
        <f t="shared" si="79"/>
        <v>KQDUPLEX16</v>
      </c>
    </row>
    <row r="1204" spans="1:10">
      <c r="A1204" s="1772" t="s">
        <v>774</v>
      </c>
      <c r="B1204" s="84" t="s">
        <v>775</v>
      </c>
      <c r="C1204" s="79" t="s">
        <v>3641</v>
      </c>
      <c r="D1204" s="80" t="s">
        <v>2042</v>
      </c>
      <c r="E1204" s="2238" t="str">
        <f t="shared" si="84"/>
        <v>KQ</v>
      </c>
      <c r="F1204" s="55">
        <v>50</v>
      </c>
      <c r="J1204" s="55" t="str">
        <f t="shared" si="79"/>
        <v>KQDUPLEX14</v>
      </c>
    </row>
    <row r="1205" spans="1:10">
      <c r="A1205" s="1772" t="s">
        <v>776</v>
      </c>
      <c r="B1205" s="84" t="s">
        <v>775</v>
      </c>
      <c r="C1205" s="79" t="s">
        <v>3642</v>
      </c>
      <c r="D1205" s="80" t="s">
        <v>2042</v>
      </c>
      <c r="E1205" s="2238" t="str">
        <f t="shared" si="84"/>
        <v>KQ</v>
      </c>
      <c r="F1205" s="55">
        <v>50</v>
      </c>
      <c r="J1205" s="55" t="str">
        <f t="shared" si="79"/>
        <v>KQDUPLEX11</v>
      </c>
    </row>
    <row r="1206" spans="1:10">
      <c r="A1206" s="1772" t="s">
        <v>735</v>
      </c>
      <c r="B1206" s="84" t="s">
        <v>775</v>
      </c>
      <c r="C1206" s="79" t="s">
        <v>3643</v>
      </c>
      <c r="D1206" s="80" t="s">
        <v>2042</v>
      </c>
      <c r="E1206" s="2238" t="str">
        <f t="shared" si="84"/>
        <v>KT</v>
      </c>
      <c r="F1206" s="55">
        <v>50</v>
      </c>
      <c r="J1206" s="55" t="str">
        <f t="shared" si="79"/>
        <v>KTriplex16</v>
      </c>
    </row>
    <row r="1207" spans="1:10">
      <c r="A1207" s="1772" t="s">
        <v>777</v>
      </c>
      <c r="B1207" s="84" t="s">
        <v>775</v>
      </c>
      <c r="C1207" s="79" t="s">
        <v>3644</v>
      </c>
      <c r="D1207" s="80" t="s">
        <v>2042</v>
      </c>
      <c r="E1207" s="2238" t="str">
        <f t="shared" si="84"/>
        <v>KD</v>
      </c>
      <c r="F1207" s="55">
        <v>50</v>
      </c>
      <c r="J1207" s="55" t="str">
        <f t="shared" si="79"/>
        <v>KDUPLEX11</v>
      </c>
    </row>
    <row r="1208" spans="1:10">
      <c r="A1208" s="79" t="s">
        <v>467</v>
      </c>
      <c r="B1208" s="1787"/>
      <c r="C1208" s="81" t="s">
        <v>3645</v>
      </c>
      <c r="D1208" s="80" t="s">
        <v>2563</v>
      </c>
      <c r="E1208" s="2238" t="str">
        <f t="shared" si="84"/>
        <v>Di</v>
      </c>
      <c r="F1208" s="55">
        <v>50</v>
      </c>
      <c r="G1208" s="55" t="s">
        <v>512</v>
      </c>
      <c r="J1208" s="55" t="str">
        <f t="shared" si="79"/>
        <v>Diabaohieu</v>
      </c>
    </row>
    <row r="1209" spans="1:10">
      <c r="A1209" s="79" t="s">
        <v>1423</v>
      </c>
      <c r="B1209" s="1787"/>
      <c r="C1209" s="81" t="s">
        <v>3646</v>
      </c>
      <c r="D1209" s="80" t="s">
        <v>2563</v>
      </c>
      <c r="E1209" s="2238" t="str">
        <f t="shared" si="84"/>
        <v>De</v>
      </c>
      <c r="F1209" s="55">
        <v>50</v>
      </c>
      <c r="G1209" s="55" t="s">
        <v>512</v>
      </c>
      <c r="J1209" s="55" t="str">
        <f t="shared" si="79"/>
        <v>Denbao</v>
      </c>
    </row>
    <row r="1210" spans="1:10">
      <c r="A1210" s="1784" t="s">
        <v>3647</v>
      </c>
      <c r="E1210" s="2238" t="str">
        <f t="shared" si="84"/>
        <v>Đơ</v>
      </c>
      <c r="F1210" s="55">
        <v>50</v>
      </c>
      <c r="G1210" s="55" t="s">
        <v>512</v>
      </c>
      <c r="J1210" s="55" t="str">
        <f t="shared" si="79"/>
        <v>Đơn giá chiếu sáng</v>
      </c>
    </row>
    <row r="1211" spans="1:10">
      <c r="A1211" s="79" t="s">
        <v>2064</v>
      </c>
      <c r="B1211" s="1767" t="s">
        <v>1804</v>
      </c>
      <c r="C1211" s="79" t="s">
        <v>2610</v>
      </c>
      <c r="D1211" s="80" t="s">
        <v>2563</v>
      </c>
      <c r="E1211" s="2238" t="str">
        <f t="shared" si="84"/>
        <v>TU</v>
      </c>
      <c r="F1211" s="55">
        <v>50</v>
      </c>
      <c r="G1211" s="55" t="s">
        <v>512</v>
      </c>
      <c r="J1211" s="55" t="str">
        <f t="shared" si="79"/>
        <v>TUDKCS</v>
      </c>
    </row>
    <row r="1212" spans="1:10">
      <c r="A1212" s="79" t="s">
        <v>441</v>
      </c>
      <c r="B1212" s="84"/>
      <c r="C1212" s="81" t="s">
        <v>3648</v>
      </c>
      <c r="D1212" s="80" t="s">
        <v>2839</v>
      </c>
      <c r="E1212" s="2238" t="str">
        <f t="shared" si="84"/>
        <v>TR</v>
      </c>
      <c r="F1212" s="55">
        <v>16</v>
      </c>
      <c r="G1212" s="55" t="s">
        <v>512</v>
      </c>
      <c r="J1212" s="55" t="str">
        <f t="shared" si="79"/>
        <v>TRTHEP6</v>
      </c>
    </row>
    <row r="1213" spans="1:10">
      <c r="A1213" s="79" t="s">
        <v>387</v>
      </c>
      <c r="B1213" s="84"/>
      <c r="C1213" s="81" t="s">
        <v>3649</v>
      </c>
      <c r="D1213" s="80" t="s">
        <v>2839</v>
      </c>
      <c r="E1213" s="2238" t="str">
        <f t="shared" si="84"/>
        <v>TR</v>
      </c>
      <c r="F1213" s="55">
        <v>16</v>
      </c>
      <c r="G1213" s="55" t="s">
        <v>512</v>
      </c>
      <c r="J1213" s="55" t="str">
        <f t="shared" si="79"/>
        <v>TRTHEP7</v>
      </c>
    </row>
    <row r="1214" spans="1:10">
      <c r="A1214" s="79" t="s">
        <v>1364</v>
      </c>
      <c r="B1214" s="84" t="s">
        <v>220</v>
      </c>
      <c r="C1214" s="81" t="s">
        <v>3650</v>
      </c>
      <c r="D1214" s="80" t="s">
        <v>2563</v>
      </c>
      <c r="E1214" s="2238" t="str">
        <f t="shared" si="84"/>
        <v>D1</v>
      </c>
      <c r="F1214" s="55">
        <v>50</v>
      </c>
      <c r="G1214" s="55" t="s">
        <v>512</v>
      </c>
      <c r="J1214" s="55" t="str">
        <f t="shared" si="79"/>
        <v>D12 CS</v>
      </c>
    </row>
    <row r="1215" spans="1:10" ht="32.25" customHeight="1">
      <c r="A1215" s="79" t="s">
        <v>1249</v>
      </c>
      <c r="B1215" s="84"/>
      <c r="C1215" s="81" t="s">
        <v>3651</v>
      </c>
      <c r="D1215" s="80" t="s">
        <v>3652</v>
      </c>
      <c r="E1215" s="2238" t="str">
        <f t="shared" si="84"/>
        <v>CD</v>
      </c>
      <c r="F1215" s="55">
        <v>50</v>
      </c>
      <c r="G1215" s="55" t="s">
        <v>512</v>
      </c>
      <c r="J1215" s="55" t="str">
        <f t="shared" si="79"/>
        <v>CDDON</v>
      </c>
    </row>
    <row r="1216" spans="1:10" ht="32.25" customHeight="1">
      <c r="A1216" s="79" t="s">
        <v>1248</v>
      </c>
      <c r="B1216" s="84"/>
      <c r="C1216" s="81" t="s">
        <v>3653</v>
      </c>
      <c r="D1216" s="80" t="s">
        <v>3652</v>
      </c>
      <c r="E1216" s="2238" t="str">
        <f t="shared" si="84"/>
        <v>CD</v>
      </c>
      <c r="F1216" s="55">
        <v>50</v>
      </c>
      <c r="G1216" s="55" t="s">
        <v>512</v>
      </c>
      <c r="J1216" s="55" t="str">
        <f t="shared" si="79"/>
        <v>CDDOI</v>
      </c>
    </row>
    <row r="1217" spans="1:10" ht="32.25" customHeight="1">
      <c r="A1217" s="79" t="s">
        <v>2141</v>
      </c>
      <c r="B1217" s="84"/>
      <c r="C1217" s="81" t="s">
        <v>3654</v>
      </c>
      <c r="D1217" s="80" t="s">
        <v>3652</v>
      </c>
      <c r="E1217" s="2238" t="str">
        <f t="shared" si="84"/>
        <v>CD</v>
      </c>
      <c r="F1217" s="55">
        <v>50</v>
      </c>
      <c r="G1217" s="55" t="s">
        <v>512</v>
      </c>
      <c r="J1217" s="55" t="str">
        <f t="shared" si="79"/>
        <v>CD-Sonadezi</v>
      </c>
    </row>
    <row r="1218" spans="1:10" ht="30.75" customHeight="1">
      <c r="A1218" s="79" t="s">
        <v>839</v>
      </c>
      <c r="B1218" s="84"/>
      <c r="C1218" s="81" t="s">
        <v>3655</v>
      </c>
      <c r="D1218" s="80" t="s">
        <v>3652</v>
      </c>
      <c r="E1218" s="2238" t="str">
        <f t="shared" si="84"/>
        <v>CD</v>
      </c>
      <c r="F1218" s="55">
        <v>50</v>
      </c>
      <c r="G1218" s="55" t="s">
        <v>512</v>
      </c>
      <c r="J1218" s="55" t="str">
        <f t="shared" si="79"/>
        <v>CDDON+C</v>
      </c>
    </row>
    <row r="1219" spans="1:10" ht="32.25" customHeight="1">
      <c r="A1219" s="79" t="s">
        <v>840</v>
      </c>
      <c r="B1219" s="84"/>
      <c r="C1219" s="81" t="s">
        <v>3656</v>
      </c>
      <c r="D1219" s="80" t="s">
        <v>3652</v>
      </c>
      <c r="E1219" s="2238" t="str">
        <f t="shared" si="84"/>
        <v>CD</v>
      </c>
      <c r="F1219" s="55">
        <v>50</v>
      </c>
      <c r="G1219" s="55" t="s">
        <v>512</v>
      </c>
      <c r="J1219" s="55" t="str">
        <f t="shared" si="79"/>
        <v>CDDOI+C</v>
      </c>
    </row>
    <row r="1220" spans="1:10">
      <c r="A1220" s="79" t="s">
        <v>1170</v>
      </c>
      <c r="B1220" s="84"/>
      <c r="C1220" s="81" t="s">
        <v>3657</v>
      </c>
      <c r="D1220" s="80" t="s">
        <v>3652</v>
      </c>
      <c r="E1220" s="2238" t="str">
        <f t="shared" si="84"/>
        <v>CD</v>
      </c>
      <c r="F1220" s="55">
        <v>50</v>
      </c>
      <c r="G1220" s="55" t="s">
        <v>512</v>
      </c>
      <c r="J1220" s="55" t="str">
        <f t="shared" si="79"/>
        <v>CDBA</v>
      </c>
    </row>
    <row r="1221" spans="1:10">
      <c r="A1221" s="79" t="s">
        <v>320</v>
      </c>
      <c r="B1221" s="1787"/>
      <c r="C1221" s="81" t="s">
        <v>3658</v>
      </c>
      <c r="D1221" s="80" t="s">
        <v>2445</v>
      </c>
      <c r="E1221" s="2238" t="str">
        <f t="shared" si="84"/>
        <v>DE</v>
      </c>
      <c r="F1221" s="55">
        <v>50</v>
      </c>
      <c r="G1221" s="55" t="s">
        <v>512</v>
      </c>
      <c r="J1221" s="55" t="str">
        <f t="shared" si="79"/>
        <v>DEN</v>
      </c>
    </row>
    <row r="1222" spans="1:10">
      <c r="A1222" s="79" t="s">
        <v>1365</v>
      </c>
      <c r="B1222" s="1787"/>
      <c r="C1222" s="81" t="s">
        <v>3659</v>
      </c>
      <c r="D1222" s="80" t="s">
        <v>2445</v>
      </c>
      <c r="E1222" s="2238" t="str">
        <f t="shared" si="84"/>
        <v>DE</v>
      </c>
      <c r="F1222" s="55">
        <v>50</v>
      </c>
      <c r="G1222" s="55" t="s">
        <v>512</v>
      </c>
      <c r="J1222" s="55" t="str">
        <f t="shared" ref="J1222:J1285" si="85">A1222</f>
        <v>DEN-sonadezi</v>
      </c>
    </row>
    <row r="1223" spans="1:10">
      <c r="A1223" s="79" t="s">
        <v>969</v>
      </c>
      <c r="B1223" s="84"/>
      <c r="C1223" s="81" t="s">
        <v>3660</v>
      </c>
      <c r="D1223" s="80" t="s">
        <v>2563</v>
      </c>
      <c r="E1223" s="2238" t="str">
        <f t="shared" si="84"/>
        <v>CH</v>
      </c>
      <c r="F1223" s="55">
        <v>50</v>
      </c>
      <c r="G1223" s="55" t="s">
        <v>512</v>
      </c>
      <c r="J1223" s="55" t="str">
        <f t="shared" si="85"/>
        <v>CHI5</v>
      </c>
    </row>
    <row r="1224" spans="1:10">
      <c r="A1224" s="79" t="s">
        <v>475</v>
      </c>
      <c r="B1224" s="1787"/>
      <c r="C1224" s="81" t="s">
        <v>3661</v>
      </c>
      <c r="D1224" s="80" t="s">
        <v>2563</v>
      </c>
      <c r="E1224" s="2238" t="str">
        <f t="shared" si="84"/>
        <v>DO</v>
      </c>
      <c r="F1224" s="55">
        <v>50</v>
      </c>
      <c r="G1224" s="55" t="s">
        <v>512</v>
      </c>
      <c r="J1224" s="55" t="str">
        <f t="shared" si="85"/>
        <v>DOMINO</v>
      </c>
    </row>
    <row r="1225" spans="1:10">
      <c r="A1225" s="1794"/>
      <c r="B1225" s="1795"/>
      <c r="C1225" s="1794"/>
      <c r="D1225" s="1796"/>
      <c r="E1225" s="2238" t="str">
        <f t="shared" si="84"/>
        <v/>
      </c>
      <c r="F1225" s="55">
        <v>50</v>
      </c>
      <c r="J1225" s="55">
        <f t="shared" si="85"/>
        <v>0</v>
      </c>
    </row>
    <row r="1226" spans="1:10">
      <c r="A1226" s="1797" t="s">
        <v>1848</v>
      </c>
      <c r="B1226" s="1798" t="s">
        <v>290</v>
      </c>
      <c r="C1226" s="1797" t="s">
        <v>3662</v>
      </c>
      <c r="D1226" s="1799" t="s">
        <v>2563</v>
      </c>
      <c r="E1226" s="2238" t="str">
        <f t="shared" si="84"/>
        <v>LC</v>
      </c>
      <c r="F1226" s="55">
        <v>2000</v>
      </c>
      <c r="J1226" s="55" t="str">
        <f t="shared" si="85"/>
        <v>LCAN+C</v>
      </c>
    </row>
    <row r="1227" spans="1:10">
      <c r="A1227" s="79" t="s">
        <v>514</v>
      </c>
      <c r="B1227" s="1767" t="s">
        <v>291</v>
      </c>
      <c r="C1227" s="79" t="s">
        <v>3663</v>
      </c>
      <c r="D1227" s="80" t="s">
        <v>3652</v>
      </c>
      <c r="E1227" s="2238" t="str">
        <f t="shared" si="84"/>
        <v>LC</v>
      </c>
      <c r="F1227" s="55">
        <v>2000</v>
      </c>
      <c r="J1227" s="55" t="str">
        <f t="shared" si="85"/>
        <v>LCAN2,8</v>
      </c>
    </row>
    <row r="1228" spans="1:10">
      <c r="A1228" s="79" t="s">
        <v>121</v>
      </c>
      <c r="B1228" s="1767" t="s">
        <v>122</v>
      </c>
      <c r="C1228" s="79" t="s">
        <v>3664</v>
      </c>
      <c r="D1228" s="80" t="s">
        <v>3652</v>
      </c>
      <c r="E1228" s="2238" t="str">
        <f t="shared" si="84"/>
        <v>LC</v>
      </c>
      <c r="F1228" s="55">
        <v>2000</v>
      </c>
      <c r="J1228" s="55" t="str">
        <f t="shared" si="85"/>
        <v>LCAN3,2</v>
      </c>
    </row>
    <row r="1229" spans="1:10">
      <c r="A1229" s="79" t="s">
        <v>1805</v>
      </c>
      <c r="B1229" s="1767" t="s">
        <v>1807</v>
      </c>
      <c r="C1229" s="79" t="s">
        <v>3665</v>
      </c>
      <c r="D1229" s="80" t="s">
        <v>2538</v>
      </c>
      <c r="E1229" s="2238" t="str">
        <f t="shared" si="84"/>
        <v>LT</v>
      </c>
      <c r="F1229" s="55">
        <v>2000</v>
      </c>
      <c r="J1229" s="55" t="str">
        <f t="shared" si="85"/>
        <v>LTD-DEN</v>
      </c>
    </row>
    <row r="1230" spans="1:10">
      <c r="A1230" s="79" t="s">
        <v>1172</v>
      </c>
      <c r="B1230" s="1767" t="s">
        <v>292</v>
      </c>
      <c r="C1230" s="79" t="s">
        <v>3666</v>
      </c>
      <c r="D1230" s="80" t="s">
        <v>2445</v>
      </c>
      <c r="E1230" s="2238" t="str">
        <f t="shared" si="84"/>
        <v>LD</v>
      </c>
      <c r="F1230" s="55">
        <v>2000</v>
      </c>
      <c r="J1230" s="55" t="str">
        <f t="shared" si="85"/>
        <v>LDEN</v>
      </c>
    </row>
    <row r="1231" spans="1:10">
      <c r="A1231" s="79" t="s">
        <v>494</v>
      </c>
      <c r="B1231" s="1767" t="s">
        <v>1366</v>
      </c>
      <c r="C1231" s="81" t="s">
        <v>3667</v>
      </c>
      <c r="D1231" s="80" t="s">
        <v>2839</v>
      </c>
      <c r="E1231" s="2238" t="str">
        <f t="shared" si="84"/>
        <v>LT</v>
      </c>
      <c r="F1231" s="55">
        <v>2000</v>
      </c>
      <c r="J1231" s="55" t="str">
        <f t="shared" si="85"/>
        <v>LTRUDEN</v>
      </c>
    </row>
    <row r="1232" spans="1:10">
      <c r="A1232" s="79" t="s">
        <v>1367</v>
      </c>
      <c r="B1232" s="1767" t="s">
        <v>789</v>
      </c>
      <c r="C1232" s="81" t="s">
        <v>3668</v>
      </c>
      <c r="D1232" s="80" t="s">
        <v>2839</v>
      </c>
      <c r="E1232" s="2238" t="str">
        <f t="shared" si="84"/>
        <v>LB</v>
      </c>
      <c r="F1232" s="55">
        <v>2000</v>
      </c>
      <c r="J1232" s="55" t="str">
        <f t="shared" si="85"/>
        <v>LBTLT</v>
      </c>
    </row>
    <row r="1233" spans="1:10">
      <c r="A1233" s="79" t="s">
        <v>1688</v>
      </c>
      <c r="B1233" s="1767" t="s">
        <v>493</v>
      </c>
      <c r="C1233" s="81" t="s">
        <v>3669</v>
      </c>
      <c r="D1233" s="80" t="s">
        <v>2538</v>
      </c>
      <c r="E1233" s="2238" t="str">
        <f t="shared" si="84"/>
        <v>LU</v>
      </c>
      <c r="F1233" s="55">
        <v>2000</v>
      </c>
      <c r="J1233" s="55" t="str">
        <f t="shared" si="85"/>
        <v>LUONDAY</v>
      </c>
    </row>
    <row r="1234" spans="1:10">
      <c r="A1234" s="79" t="s">
        <v>592</v>
      </c>
      <c r="B1234" s="1767" t="s">
        <v>593</v>
      </c>
      <c r="C1234" s="81" t="s">
        <v>3670</v>
      </c>
      <c r="D1234" s="80" t="s">
        <v>2538</v>
      </c>
      <c r="E1234" s="2238" t="str">
        <f t="shared" si="84"/>
        <v>KC</v>
      </c>
      <c r="F1234" s="55">
        <v>2000</v>
      </c>
      <c r="J1234" s="55" t="str">
        <f t="shared" si="85"/>
        <v>KCAPDEN</v>
      </c>
    </row>
    <row r="1235" spans="1:10">
      <c r="A1235" s="79" t="s">
        <v>594</v>
      </c>
      <c r="B1235" s="1767" t="s">
        <v>595</v>
      </c>
      <c r="C1235" s="81" t="s">
        <v>3671</v>
      </c>
      <c r="D1235" s="80" t="s">
        <v>2538</v>
      </c>
      <c r="E1235" s="2238" t="str">
        <f t="shared" si="84"/>
        <v>KC</v>
      </c>
      <c r="F1235" s="55">
        <v>2000</v>
      </c>
      <c r="J1235" s="55" t="str">
        <f t="shared" si="85"/>
        <v>KCAPDEN25</v>
      </c>
    </row>
    <row r="1236" spans="1:10">
      <c r="A1236" s="79" t="s">
        <v>293</v>
      </c>
      <c r="B1236" s="1767" t="s">
        <v>492</v>
      </c>
      <c r="C1236" s="81" t="s">
        <v>3672</v>
      </c>
      <c r="D1236" s="80" t="s">
        <v>2538</v>
      </c>
      <c r="E1236" s="2238" t="str">
        <f t="shared" si="84"/>
        <v>LC</v>
      </c>
      <c r="F1236" s="55">
        <v>2000</v>
      </c>
      <c r="J1236" s="55" t="str">
        <f t="shared" si="85"/>
        <v>LCAPDEN</v>
      </c>
    </row>
    <row r="1237" spans="1:10">
      <c r="A1237" s="79" t="s">
        <v>596</v>
      </c>
      <c r="B1237" s="1767" t="s">
        <v>597</v>
      </c>
      <c r="C1237" s="81" t="s">
        <v>3673</v>
      </c>
      <c r="D1237" s="80" t="s">
        <v>2445</v>
      </c>
      <c r="E1237" s="2238" t="str">
        <f t="shared" si="84"/>
        <v>LD</v>
      </c>
      <c r="F1237" s="55">
        <v>2000</v>
      </c>
      <c r="J1237" s="55" t="str">
        <f t="shared" si="85"/>
        <v>LDAUCAPCS</v>
      </c>
    </row>
    <row r="1238" spans="1:10">
      <c r="A1238" s="79" t="s">
        <v>1121</v>
      </c>
      <c r="B1238" s="1767" t="s">
        <v>1122</v>
      </c>
      <c r="C1238" s="81" t="s">
        <v>3674</v>
      </c>
      <c r="D1238" s="80" t="s">
        <v>2563</v>
      </c>
      <c r="E1238" s="2238" t="str">
        <f t="shared" si="84"/>
        <v>Lc</v>
      </c>
      <c r="F1238" s="55">
        <v>2000</v>
      </c>
      <c r="J1238" s="55" t="str">
        <f t="shared" si="85"/>
        <v>Lcauchi</v>
      </c>
    </row>
    <row r="1239" spans="1:10">
      <c r="A1239" s="79" t="s">
        <v>1278</v>
      </c>
      <c r="B1239" s="1767" t="s">
        <v>2108</v>
      </c>
      <c r="C1239" s="81" t="s">
        <v>3675</v>
      </c>
      <c r="D1239" s="80" t="s">
        <v>2538</v>
      </c>
      <c r="E1239" s="2238" t="str">
        <f t="shared" si="84"/>
        <v>LP</v>
      </c>
      <c r="F1239" s="55">
        <v>2000</v>
      </c>
      <c r="J1239" s="55" t="str">
        <f t="shared" si="85"/>
        <v>LPVC60CL CS</v>
      </c>
    </row>
    <row r="1240" spans="1:10">
      <c r="A1240" s="79" t="s">
        <v>1279</v>
      </c>
      <c r="B1240" s="1767" t="s">
        <v>2109</v>
      </c>
      <c r="C1240" s="81" t="s">
        <v>3676</v>
      </c>
      <c r="D1240" s="80" t="s">
        <v>2538</v>
      </c>
      <c r="E1240" s="2238" t="str">
        <f t="shared" si="84"/>
        <v>LP</v>
      </c>
      <c r="F1240" s="55">
        <v>2000</v>
      </c>
      <c r="J1240" s="55" t="str">
        <f t="shared" si="85"/>
        <v>LPVC90CL CS</v>
      </c>
    </row>
    <row r="1241" spans="1:10">
      <c r="A1241" s="79" t="s">
        <v>1280</v>
      </c>
      <c r="B1241" s="1767" t="s">
        <v>1281</v>
      </c>
      <c r="C1241" s="81" t="s">
        <v>3677</v>
      </c>
      <c r="D1241" s="80" t="s">
        <v>2538</v>
      </c>
      <c r="E1241" s="2238" t="str">
        <f t="shared" si="84"/>
        <v>LS</v>
      </c>
      <c r="F1241" s="55">
        <v>2000</v>
      </c>
      <c r="J1241" s="55" t="str">
        <f t="shared" si="85"/>
        <v>LSTK120d CS</v>
      </c>
    </row>
    <row r="1242" spans="1:10">
      <c r="A1242" s="79" t="s">
        <v>2129</v>
      </c>
      <c r="B1242" s="1767" t="s">
        <v>85</v>
      </c>
      <c r="C1242" s="81" t="s">
        <v>3678</v>
      </c>
      <c r="D1242" s="80" t="s">
        <v>3024</v>
      </c>
      <c r="E1242" s="2238" t="str">
        <f t="shared" si="84"/>
        <v>LG</v>
      </c>
      <c r="F1242" s="55">
        <v>2000</v>
      </c>
      <c r="J1242" s="55" t="str">
        <f t="shared" si="85"/>
        <v>LGACH CS</v>
      </c>
    </row>
    <row r="1243" spans="1:10">
      <c r="A1243" s="79" t="s">
        <v>1557</v>
      </c>
      <c r="B1243" s="1767" t="s">
        <v>2201</v>
      </c>
      <c r="C1243" s="81" t="s">
        <v>3679</v>
      </c>
      <c r="D1243" s="80" t="s">
        <v>856</v>
      </c>
      <c r="E1243" s="2238" t="str">
        <f t="shared" si="84"/>
        <v>DM</v>
      </c>
      <c r="F1243" s="55">
        <v>2000</v>
      </c>
      <c r="J1243" s="55" t="str">
        <f t="shared" si="85"/>
        <v>DMCS</v>
      </c>
    </row>
    <row r="1244" spans="1:10">
      <c r="A1244" s="79" t="s">
        <v>2202</v>
      </c>
      <c r="B1244" s="1767" t="s">
        <v>2203</v>
      </c>
      <c r="C1244" s="81" t="s">
        <v>3680</v>
      </c>
      <c r="D1244" s="80" t="s">
        <v>856</v>
      </c>
      <c r="E1244" s="2238" t="str">
        <f t="shared" si="84"/>
        <v>DD</v>
      </c>
      <c r="F1244" s="55">
        <v>2000</v>
      </c>
      <c r="J1244" s="55" t="str">
        <f t="shared" si="85"/>
        <v>DDMCS3</v>
      </c>
    </row>
    <row r="1245" spans="1:10">
      <c r="A1245" s="79" t="s">
        <v>2204</v>
      </c>
      <c r="B1245" s="1767" t="s">
        <v>2205</v>
      </c>
      <c r="C1245" s="81" t="s">
        <v>3681</v>
      </c>
      <c r="D1245" s="80" t="s">
        <v>856</v>
      </c>
      <c r="E1245" s="2238" t="str">
        <f t="shared" si="84"/>
        <v>DC</v>
      </c>
      <c r="F1245" s="55">
        <v>2000</v>
      </c>
      <c r="J1245" s="55" t="str">
        <f t="shared" si="85"/>
        <v>DCatMCS</v>
      </c>
    </row>
    <row r="1246" spans="1:10">
      <c r="A1246" s="79" t="s">
        <v>559</v>
      </c>
      <c r="B1246" s="1767" t="s">
        <v>1558</v>
      </c>
      <c r="C1246" s="81" t="s">
        <v>3682</v>
      </c>
      <c r="D1246" s="80" t="s">
        <v>856</v>
      </c>
      <c r="E1246" s="2238" t="str">
        <f t="shared" si="84"/>
        <v>DM</v>
      </c>
      <c r="F1246" s="55">
        <v>2000</v>
      </c>
      <c r="J1246" s="55" t="str">
        <f t="shared" si="85"/>
        <v>DMongCS</v>
      </c>
    </row>
    <row r="1247" spans="1:10">
      <c r="A1247" s="79" t="s">
        <v>1556</v>
      </c>
      <c r="B1247" s="1767" t="s">
        <v>1559</v>
      </c>
      <c r="C1247" s="81" t="s">
        <v>3683</v>
      </c>
      <c r="D1247" s="80" t="s">
        <v>856</v>
      </c>
      <c r="E1247" s="2238" t="str">
        <f t="shared" si="84"/>
        <v>DM</v>
      </c>
      <c r="F1247" s="55">
        <v>2000</v>
      </c>
      <c r="J1247" s="55" t="str">
        <f t="shared" si="85"/>
        <v>DMongCS1</v>
      </c>
    </row>
    <row r="1248" spans="1:10">
      <c r="A1248" s="79" t="s">
        <v>1809</v>
      </c>
      <c r="B1248" s="1767" t="s">
        <v>972</v>
      </c>
      <c r="C1248" s="81" t="s">
        <v>3684</v>
      </c>
      <c r="D1248" s="80" t="s">
        <v>856</v>
      </c>
      <c r="E1248" s="2238" t="str">
        <f t="shared" si="84"/>
        <v>DD</v>
      </c>
      <c r="F1248" s="55">
        <v>2000</v>
      </c>
      <c r="J1248" s="55" t="str">
        <f t="shared" si="85"/>
        <v>DDMongCS3</v>
      </c>
    </row>
    <row r="1249" spans="1:10">
      <c r="A1249" s="79" t="s">
        <v>1810</v>
      </c>
      <c r="B1249" s="1767" t="s">
        <v>973</v>
      </c>
      <c r="C1249" s="81" t="s">
        <v>3685</v>
      </c>
      <c r="D1249" s="80" t="s">
        <v>856</v>
      </c>
      <c r="E1249" s="2238" t="str">
        <f t="shared" si="84"/>
        <v>DC</v>
      </c>
      <c r="F1249" s="55">
        <v>2000</v>
      </c>
      <c r="J1249" s="55" t="str">
        <f t="shared" si="85"/>
        <v>DCatMongCS</v>
      </c>
    </row>
    <row r="1250" spans="1:10">
      <c r="A1250" s="79" t="s">
        <v>1808</v>
      </c>
      <c r="B1250" s="1767" t="s">
        <v>1806</v>
      </c>
      <c r="C1250" s="81" t="s">
        <v>3686</v>
      </c>
      <c r="D1250" s="80" t="s">
        <v>2284</v>
      </c>
      <c r="E1250" s="2238" t="str">
        <f t="shared" si="84"/>
        <v>Do</v>
      </c>
      <c r="F1250" s="55">
        <v>2000</v>
      </c>
      <c r="J1250" s="55" t="str">
        <f t="shared" si="85"/>
        <v>DongCTD</v>
      </c>
    </row>
    <row r="1251" spans="1:10">
      <c r="A1251" s="79" t="s">
        <v>1956</v>
      </c>
      <c r="B1251" s="1767" t="s">
        <v>1957</v>
      </c>
      <c r="C1251" s="81" t="s">
        <v>3687</v>
      </c>
      <c r="D1251" s="80" t="s">
        <v>856</v>
      </c>
      <c r="E1251" s="2238" t="str">
        <f t="shared" si="84"/>
        <v>DB</v>
      </c>
      <c r="F1251" s="55">
        <v>2000</v>
      </c>
      <c r="J1251" s="55" t="str">
        <f t="shared" si="85"/>
        <v>DBTM150CS</v>
      </c>
    </row>
    <row r="1252" spans="1:10">
      <c r="A1252" s="79" t="s">
        <v>1576</v>
      </c>
      <c r="B1252" s="1767" t="s">
        <v>265</v>
      </c>
      <c r="C1252" s="81" t="s">
        <v>3688</v>
      </c>
      <c r="D1252" s="80" t="s">
        <v>856</v>
      </c>
      <c r="E1252" s="2238" t="str">
        <f t="shared" si="84"/>
        <v>DB</v>
      </c>
      <c r="F1252" s="55">
        <v>2000</v>
      </c>
      <c r="J1252" s="55" t="str">
        <f t="shared" si="85"/>
        <v>DBT20012CS</v>
      </c>
    </row>
    <row r="1253" spans="1:10">
      <c r="A1253" s="1800" t="s">
        <v>4165</v>
      </c>
      <c r="B1253" s="1767" t="s">
        <v>1758</v>
      </c>
      <c r="C1253" s="1801" t="s">
        <v>4918</v>
      </c>
      <c r="D1253" s="1802" t="s">
        <v>4166</v>
      </c>
      <c r="E1253" s="2238" t="str">
        <f t="shared" si="84"/>
        <v>Ho</v>
      </c>
      <c r="F1253" s="55">
        <v>50</v>
      </c>
      <c r="G1253" s="55" t="s">
        <v>512</v>
      </c>
      <c r="J1253" s="55" t="str">
        <f t="shared" si="85"/>
        <v>HopCBpd</v>
      </c>
    </row>
    <row r="1254" spans="1:10">
      <c r="A1254" s="1800" t="s">
        <v>4374</v>
      </c>
      <c r="B1254" s="1767"/>
      <c r="C1254" s="1801" t="s">
        <v>4375</v>
      </c>
      <c r="D1254" s="1803" t="s">
        <v>2563</v>
      </c>
      <c r="E1254" s="2238" t="str">
        <f t="shared" si="84"/>
        <v>CC</v>
      </c>
      <c r="F1254" s="55">
        <v>50</v>
      </c>
      <c r="G1254" s="55" t="s">
        <v>512</v>
      </c>
      <c r="J1254" s="55" t="str">
        <f t="shared" si="85"/>
        <v>CCĐMBA</v>
      </c>
    </row>
    <row r="1255" spans="1:10">
      <c r="A1255" s="1800" t="s">
        <v>4368</v>
      </c>
      <c r="B1255" s="1767"/>
      <c r="C1255" s="1801" t="s">
        <v>4367</v>
      </c>
      <c r="D1255" s="1803" t="s">
        <v>2445</v>
      </c>
      <c r="E1255" s="2238" t="str">
        <f t="shared" ref="E1255:E1272" si="86">LEFT(A1255,2)</f>
        <v>CC</v>
      </c>
      <c r="F1255" s="55">
        <v>50</v>
      </c>
      <c r="G1255" s="55" t="s">
        <v>512</v>
      </c>
      <c r="J1255" s="55" t="str">
        <f t="shared" si="85"/>
        <v>CCĐfco</v>
      </c>
    </row>
    <row r="1256" spans="1:10">
      <c r="A1256" s="1800" t="s">
        <v>4376</v>
      </c>
      <c r="B1256" s="1767"/>
      <c r="C1256" s="1801" t="s">
        <v>4377</v>
      </c>
      <c r="D1256" s="1803" t="s">
        <v>2563</v>
      </c>
      <c r="E1256" s="2238" t="str">
        <f t="shared" si="86"/>
        <v>CC</v>
      </c>
      <c r="F1256" s="55">
        <v>50</v>
      </c>
      <c r="G1256" s="55" t="s">
        <v>512</v>
      </c>
      <c r="J1256" s="55" t="str">
        <f t="shared" si="85"/>
        <v>CCĐLA</v>
      </c>
    </row>
    <row r="1257" spans="1:10">
      <c r="A1257" s="1800" t="s">
        <v>4564</v>
      </c>
      <c r="B1257" s="1767"/>
      <c r="C1257" s="1801" t="s">
        <v>4565</v>
      </c>
      <c r="D1257" s="1803" t="s">
        <v>2563</v>
      </c>
      <c r="E1257" s="2238" t="str">
        <f t="shared" ref="E1257" si="87">LEFT(A1257,2)</f>
        <v>CC</v>
      </c>
      <c r="F1257" s="55">
        <v>50</v>
      </c>
      <c r="G1257" s="55" t="s">
        <v>512</v>
      </c>
      <c r="J1257" s="55" t="str">
        <f t="shared" si="85"/>
        <v>CCDQU</v>
      </c>
    </row>
    <row r="1258" spans="1:10">
      <c r="A1258" s="1800" t="s">
        <v>4316</v>
      </c>
      <c r="B1258" s="1767"/>
      <c r="C1258" s="1801" t="s">
        <v>4917</v>
      </c>
      <c r="D1258" s="1803" t="s">
        <v>2445</v>
      </c>
      <c r="E1258" s="2238" t="str">
        <f t="shared" si="86"/>
        <v>TD</v>
      </c>
      <c r="F1258" s="55">
        <v>50</v>
      </c>
      <c r="G1258" s="55" t="s">
        <v>512</v>
      </c>
      <c r="J1258" s="55" t="str">
        <f t="shared" si="85"/>
        <v>TDLLCD</v>
      </c>
    </row>
    <row r="1259" spans="1:10">
      <c r="A1259" s="1800" t="s">
        <v>356</v>
      </c>
      <c r="B1259" s="84" t="s">
        <v>1133</v>
      </c>
      <c r="C1259" s="1775" t="s">
        <v>4363</v>
      </c>
      <c r="D1259" s="1803" t="s">
        <v>2448</v>
      </c>
      <c r="E1259" s="2238" t="str">
        <f t="shared" si="86"/>
        <v>PK</v>
      </c>
      <c r="F1259" s="55">
        <v>2000</v>
      </c>
      <c r="J1259" s="55" t="str">
        <f t="shared" si="85"/>
        <v>PK</v>
      </c>
    </row>
    <row r="1260" spans="1:10">
      <c r="A1260" s="1800" t="s">
        <v>357</v>
      </c>
      <c r="B1260" s="84" t="s">
        <v>1197</v>
      </c>
      <c r="C1260" s="1775" t="s">
        <v>2599</v>
      </c>
      <c r="D1260" s="1803" t="s">
        <v>2448</v>
      </c>
      <c r="E1260" s="2238" t="str">
        <f t="shared" si="86"/>
        <v>DA</v>
      </c>
      <c r="F1260" s="55">
        <v>2000</v>
      </c>
      <c r="J1260" s="55" t="str">
        <f t="shared" si="85"/>
        <v>DAY</v>
      </c>
    </row>
    <row r="1261" spans="1:10">
      <c r="A1261" s="1800" t="s">
        <v>606</v>
      </c>
      <c r="B1261" s="84" t="s">
        <v>1695</v>
      </c>
      <c r="C1261" s="1775" t="s">
        <v>4364</v>
      </c>
      <c r="D1261" s="1803" t="s">
        <v>2448</v>
      </c>
      <c r="E1261" s="2238" t="str">
        <f t="shared" si="86"/>
        <v>DC</v>
      </c>
      <c r="F1261" s="55">
        <v>2000</v>
      </c>
      <c r="J1261" s="55" t="str">
        <f t="shared" si="85"/>
        <v>DCTC</v>
      </c>
    </row>
    <row r="1262" spans="1:10">
      <c r="A1262" s="1800" t="s">
        <v>17</v>
      </c>
      <c r="B1262" s="84" t="s">
        <v>1209</v>
      </c>
      <c r="C1262" s="1775" t="s">
        <v>2587</v>
      </c>
      <c r="D1262" s="1803" t="s">
        <v>2448</v>
      </c>
      <c r="E1262" s="2238" t="str">
        <f t="shared" si="86"/>
        <v>TH</v>
      </c>
      <c r="F1262" s="55">
        <v>2000</v>
      </c>
      <c r="J1262" s="55" t="str">
        <f t="shared" si="85"/>
        <v>THEP</v>
      </c>
    </row>
    <row r="1263" spans="1:10">
      <c r="A1263" s="1800" t="s">
        <v>18</v>
      </c>
      <c r="B1263" s="84" t="s">
        <v>496</v>
      </c>
      <c r="C1263" s="1775" t="s">
        <v>2588</v>
      </c>
      <c r="D1263" s="1803" t="s">
        <v>2448</v>
      </c>
      <c r="E1263" s="2238" t="str">
        <f t="shared" si="86"/>
        <v>XI</v>
      </c>
      <c r="F1263" s="55">
        <v>2000</v>
      </c>
      <c r="J1263" s="55" t="str">
        <f t="shared" si="85"/>
        <v>XIMANG</v>
      </c>
    </row>
    <row r="1264" spans="1:10">
      <c r="A1264" s="1800" t="s">
        <v>4438</v>
      </c>
      <c r="B1264" s="84" t="s">
        <v>1117</v>
      </c>
      <c r="C1264" s="1775" t="s">
        <v>2589</v>
      </c>
      <c r="D1264" s="1803" t="s">
        <v>856</v>
      </c>
      <c r="E1264" s="2238" t="str">
        <f t="shared" si="86"/>
        <v>vc</v>
      </c>
      <c r="F1264" s="55">
        <v>2000</v>
      </c>
      <c r="J1264" s="55" t="str">
        <f t="shared" si="85"/>
        <v>vcCAT</v>
      </c>
    </row>
    <row r="1265" spans="1:10">
      <c r="A1265" s="1800" t="s">
        <v>20</v>
      </c>
      <c r="B1265" s="84" t="s">
        <v>808</v>
      </c>
      <c r="C1265" s="1775" t="s">
        <v>2590</v>
      </c>
      <c r="D1265" s="1803" t="s">
        <v>856</v>
      </c>
      <c r="E1265" s="2238" t="str">
        <f t="shared" si="86"/>
        <v>DA</v>
      </c>
      <c r="F1265" s="55">
        <v>2000</v>
      </c>
      <c r="J1265" s="55" t="str">
        <f t="shared" si="85"/>
        <v>DADAM</v>
      </c>
    </row>
    <row r="1266" spans="1:10">
      <c r="A1266" s="1800" t="s">
        <v>4436</v>
      </c>
      <c r="B1266" s="84" t="s">
        <v>556</v>
      </c>
      <c r="C1266" s="1775" t="s">
        <v>2591</v>
      </c>
      <c r="D1266" s="1803" t="s">
        <v>2448</v>
      </c>
      <c r="E1266" s="2238" t="str">
        <f t="shared" si="86"/>
        <v>DA</v>
      </c>
      <c r="F1266" s="55">
        <v>2000</v>
      </c>
      <c r="J1266" s="55" t="str">
        <f t="shared" si="85"/>
        <v>DA</v>
      </c>
    </row>
    <row r="1267" spans="1:10">
      <c r="A1267" s="1800" t="s">
        <v>1907</v>
      </c>
      <c r="B1267" s="84" t="s">
        <v>1209</v>
      </c>
      <c r="C1267" s="1775" t="s">
        <v>2592</v>
      </c>
      <c r="D1267" s="1803" t="s">
        <v>2448</v>
      </c>
      <c r="E1267" s="2238" t="str">
        <f t="shared" si="86"/>
        <v>TD</v>
      </c>
      <c r="F1267" s="55">
        <v>2000</v>
      </c>
      <c r="J1267" s="55" t="str">
        <f t="shared" si="85"/>
        <v>TD</v>
      </c>
    </row>
    <row r="1268" spans="1:10">
      <c r="A1268" s="1800" t="s">
        <v>605</v>
      </c>
      <c r="B1268" s="84" t="s">
        <v>556</v>
      </c>
      <c r="C1268" s="1775" t="s">
        <v>2593</v>
      </c>
      <c r="D1268" s="1803" t="s">
        <v>2448</v>
      </c>
      <c r="E1268" s="2238" t="str">
        <f t="shared" si="86"/>
        <v>DN</v>
      </c>
      <c r="F1268" s="55">
        <v>2000</v>
      </c>
      <c r="J1268" s="55" t="str">
        <f t="shared" si="85"/>
        <v>DN</v>
      </c>
    </row>
    <row r="1269" spans="1:10">
      <c r="A1269" s="1800" t="s">
        <v>4439</v>
      </c>
      <c r="B1269" s="84" t="s">
        <v>1133</v>
      </c>
      <c r="C1269" s="1775" t="s">
        <v>2594</v>
      </c>
      <c r="D1269" s="1803" t="s">
        <v>2448</v>
      </c>
      <c r="E1269" s="2238" t="str">
        <f t="shared" si="86"/>
        <v>vc</v>
      </c>
      <c r="F1269" s="55">
        <v>2000</v>
      </c>
      <c r="J1269" s="55" t="str">
        <f t="shared" si="85"/>
        <v>vcNX</v>
      </c>
    </row>
    <row r="1270" spans="1:10">
      <c r="A1270" s="1800" t="s">
        <v>1199</v>
      </c>
      <c r="B1270" s="84" t="s">
        <v>2242</v>
      </c>
      <c r="C1270" s="1775" t="s">
        <v>2595</v>
      </c>
      <c r="D1270" s="1803" t="s">
        <v>2448</v>
      </c>
      <c r="E1270" s="2238" t="str">
        <f t="shared" si="86"/>
        <v>CO</v>
      </c>
      <c r="F1270" s="55">
        <v>2000</v>
      </c>
      <c r="J1270" s="55" t="str">
        <f t="shared" si="85"/>
        <v>COT</v>
      </c>
    </row>
    <row r="1271" spans="1:10">
      <c r="A1271" s="1800" t="s">
        <v>2001</v>
      </c>
      <c r="B1271" s="84" t="s">
        <v>1610</v>
      </c>
      <c r="C1271" s="1775" t="s">
        <v>2449</v>
      </c>
      <c r="D1271" s="1803" t="s">
        <v>2448</v>
      </c>
      <c r="E1271" s="2238" t="str">
        <f t="shared" si="86"/>
        <v>XA</v>
      </c>
      <c r="F1271" s="55">
        <v>2000</v>
      </c>
      <c r="J1271" s="55" t="str">
        <f t="shared" si="85"/>
        <v>XA</v>
      </c>
    </row>
    <row r="1272" spans="1:10">
      <c r="A1272" s="1800" t="s">
        <v>634</v>
      </c>
      <c r="B1272" s="84" t="s">
        <v>716</v>
      </c>
      <c r="C1272" s="1775" t="s">
        <v>2597</v>
      </c>
      <c r="D1272" s="1803" t="s">
        <v>2598</v>
      </c>
      <c r="E1272" s="2238" t="str">
        <f t="shared" si="86"/>
        <v>ct</v>
      </c>
      <c r="F1272" s="55">
        <v>2000</v>
      </c>
      <c r="J1272" s="55" t="str">
        <f t="shared" si="85"/>
        <v>ctram</v>
      </c>
    </row>
    <row r="1273" spans="1:10">
      <c r="A1273" s="1784" t="s">
        <v>5040</v>
      </c>
      <c r="C1273" s="1784" t="s">
        <v>5032</v>
      </c>
      <c r="D1273" s="55" t="s">
        <v>2391</v>
      </c>
      <c r="F1273" s="55">
        <v>50</v>
      </c>
      <c r="J1273" s="55" t="str">
        <f t="shared" si="85"/>
        <v>CD114dd23</v>
      </c>
    </row>
    <row r="1274" spans="1:10">
      <c r="A1274" s="1784" t="s">
        <v>5041</v>
      </c>
      <c r="C1274" s="1784" t="s">
        <v>5033</v>
      </c>
      <c r="D1274" s="55" t="s">
        <v>2391</v>
      </c>
      <c r="F1274" s="55">
        <v>50</v>
      </c>
      <c r="J1274" s="55" t="str">
        <f t="shared" si="85"/>
        <v>CD114dd28</v>
      </c>
    </row>
    <row r="1275" spans="1:10">
      <c r="A1275" s="1784" t="s">
        <v>87</v>
      </c>
      <c r="C1275" s="1784" t="s">
        <v>2332</v>
      </c>
      <c r="D1275" s="55" t="s">
        <v>2333</v>
      </c>
      <c r="F1275" s="55">
        <v>2000</v>
      </c>
      <c r="J1275" s="55" t="str">
        <f t="shared" si="85"/>
        <v>M7</v>
      </c>
    </row>
    <row r="1276" spans="1:10">
      <c r="A1276" s="1784" t="s">
        <v>102</v>
      </c>
      <c r="C1276" s="1784" t="s">
        <v>2334</v>
      </c>
      <c r="D1276" s="55" t="s">
        <v>2333</v>
      </c>
      <c r="F1276" s="55">
        <v>2000</v>
      </c>
      <c r="J1276" s="55" t="str">
        <f t="shared" si="85"/>
        <v>M7a</v>
      </c>
    </row>
    <row r="1277" spans="1:10">
      <c r="A1277" s="1784" t="s">
        <v>762</v>
      </c>
      <c r="C1277" s="1784" t="s">
        <v>2335</v>
      </c>
      <c r="D1277" s="55" t="s">
        <v>2333</v>
      </c>
      <c r="F1277" s="55">
        <v>2000</v>
      </c>
      <c r="J1277" s="55" t="str">
        <f t="shared" si="85"/>
        <v>M7b</v>
      </c>
    </row>
    <row r="1278" spans="1:10">
      <c r="A1278" s="1784" t="s">
        <v>761</v>
      </c>
      <c r="C1278" s="1784" t="s">
        <v>2336</v>
      </c>
      <c r="D1278" s="55" t="s">
        <v>2333</v>
      </c>
      <c r="F1278" s="55">
        <v>2000</v>
      </c>
      <c r="J1278" s="55" t="str">
        <f t="shared" si="85"/>
        <v>M7aa</v>
      </c>
    </row>
    <row r="1279" spans="1:10">
      <c r="A1279" s="1784" t="s">
        <v>443</v>
      </c>
      <c r="C1279" s="1784" t="s">
        <v>2337</v>
      </c>
      <c r="D1279" s="55" t="s">
        <v>2333</v>
      </c>
      <c r="F1279" s="55">
        <v>2000</v>
      </c>
      <c r="J1279" s="55" t="str">
        <f t="shared" si="85"/>
        <v>M7ba</v>
      </c>
    </row>
    <row r="1280" spans="1:10">
      <c r="A1280" s="1784" t="s">
        <v>444</v>
      </c>
      <c r="C1280" s="1784" t="s">
        <v>2338</v>
      </c>
      <c r="D1280" s="55" t="s">
        <v>2333</v>
      </c>
      <c r="F1280" s="55">
        <v>2000</v>
      </c>
      <c r="J1280" s="55" t="str">
        <f t="shared" si="85"/>
        <v>M7-2a</v>
      </c>
    </row>
    <row r="1281" spans="1:10">
      <c r="A1281" s="1784" t="s">
        <v>958</v>
      </c>
      <c r="C1281" s="1784" t="s">
        <v>2339</v>
      </c>
      <c r="D1281" s="55" t="s">
        <v>2333</v>
      </c>
      <c r="F1281" s="55">
        <v>2000</v>
      </c>
      <c r="J1281" s="55" t="str">
        <f t="shared" si="85"/>
        <v>M8</v>
      </c>
    </row>
    <row r="1282" spans="1:10">
      <c r="A1282" s="1784" t="s">
        <v>2182</v>
      </c>
      <c r="C1282" s="1784" t="s">
        <v>2340</v>
      </c>
      <c r="D1282" s="55" t="s">
        <v>2333</v>
      </c>
      <c r="F1282" s="55">
        <v>2000</v>
      </c>
      <c r="J1282" s="55" t="str">
        <f t="shared" si="85"/>
        <v>M8a</v>
      </c>
    </row>
    <row r="1283" spans="1:10">
      <c r="A1283" s="1784" t="s">
        <v>2321</v>
      </c>
      <c r="C1283" s="1784" t="s">
        <v>2341</v>
      </c>
      <c r="D1283" s="55" t="s">
        <v>2333</v>
      </c>
      <c r="F1283" s="55">
        <v>2000</v>
      </c>
      <c r="J1283" s="55" t="str">
        <f t="shared" si="85"/>
        <v>M8BT Đơn</v>
      </c>
    </row>
    <row r="1284" spans="1:10">
      <c r="A1284" s="1784" t="s">
        <v>4154</v>
      </c>
      <c r="C1284" s="1784" t="s">
        <v>4315</v>
      </c>
      <c r="D1284" s="55" t="s">
        <v>2333</v>
      </c>
      <c r="F1284" s="55">
        <v>2000</v>
      </c>
      <c r="J1284" s="55" t="str">
        <f t="shared" si="85"/>
        <v>M7BT Đôi</v>
      </c>
    </row>
    <row r="1285" spans="1:10">
      <c r="A1285" s="1784" t="s">
        <v>234</v>
      </c>
      <c r="C1285" s="1784" t="s">
        <v>2342</v>
      </c>
      <c r="D1285" s="55" t="s">
        <v>2333</v>
      </c>
      <c r="F1285" s="55">
        <v>2000</v>
      </c>
      <c r="J1285" s="55" t="str">
        <f t="shared" si="85"/>
        <v>M8b</v>
      </c>
    </row>
    <row r="1286" spans="1:10">
      <c r="A1286" s="1784" t="s">
        <v>2183</v>
      </c>
      <c r="C1286" s="1784" t="s">
        <v>2343</v>
      </c>
      <c r="D1286" s="55" t="s">
        <v>2333</v>
      </c>
      <c r="F1286" s="55">
        <v>2000</v>
      </c>
      <c r="J1286" s="55" t="str">
        <f t="shared" ref="J1286:J1349" si="88">A1286</f>
        <v>M8aa</v>
      </c>
    </row>
    <row r="1287" spans="1:10">
      <c r="A1287" s="1784" t="s">
        <v>932</v>
      </c>
      <c r="C1287" s="1784" t="s">
        <v>2344</v>
      </c>
      <c r="D1287" s="55" t="s">
        <v>2333</v>
      </c>
      <c r="F1287" s="55">
        <v>2000</v>
      </c>
      <c r="J1287" s="55" t="str">
        <f t="shared" si="88"/>
        <v>M8ba</v>
      </c>
    </row>
    <row r="1288" spans="1:10">
      <c r="A1288" s="1784" t="s">
        <v>933</v>
      </c>
      <c r="C1288" s="1784" t="s">
        <v>2345</v>
      </c>
      <c r="D1288" s="55" t="s">
        <v>2333</v>
      </c>
      <c r="F1288" s="55">
        <v>2000</v>
      </c>
      <c r="J1288" s="55" t="str">
        <f t="shared" si="88"/>
        <v>M8bb</v>
      </c>
    </row>
    <row r="1289" spans="1:10">
      <c r="A1289" s="1784" t="s">
        <v>2184</v>
      </c>
      <c r="C1289" s="1784" t="s">
        <v>2346</v>
      </c>
      <c r="D1289" s="55" t="s">
        <v>2333</v>
      </c>
      <c r="F1289" s="55">
        <v>2000</v>
      </c>
      <c r="J1289" s="55" t="str">
        <f t="shared" si="88"/>
        <v>M8-2a</v>
      </c>
    </row>
    <row r="1290" spans="1:10">
      <c r="A1290" s="1784" t="s">
        <v>12</v>
      </c>
      <c r="C1290" s="1784" t="s">
        <v>2347</v>
      </c>
      <c r="D1290" s="55" t="s">
        <v>2333</v>
      </c>
      <c r="F1290" s="55">
        <v>2000</v>
      </c>
      <c r="J1290" s="55" t="str">
        <f t="shared" si="88"/>
        <v>M10</v>
      </c>
    </row>
    <row r="1291" spans="1:10">
      <c r="A1291" s="1784" t="s">
        <v>695</v>
      </c>
      <c r="C1291" s="1784" t="s">
        <v>2348</v>
      </c>
      <c r="D1291" s="55" t="s">
        <v>2333</v>
      </c>
      <c r="F1291" s="55">
        <v>2000</v>
      </c>
      <c r="J1291" s="55" t="str">
        <f t="shared" si="88"/>
        <v>M10a</v>
      </c>
    </row>
    <row r="1292" spans="1:10">
      <c r="A1292" s="1784" t="s">
        <v>994</v>
      </c>
      <c r="C1292" s="1784" t="s">
        <v>2349</v>
      </c>
      <c r="D1292" s="55" t="s">
        <v>2333</v>
      </c>
      <c r="F1292" s="55">
        <v>2000</v>
      </c>
      <c r="J1292" s="55" t="str">
        <f t="shared" si="88"/>
        <v>M10b</v>
      </c>
    </row>
    <row r="1293" spans="1:10">
      <c r="A1293" s="1784" t="s">
        <v>2309</v>
      </c>
      <c r="C1293" s="1784" t="s">
        <v>2350</v>
      </c>
      <c r="D1293" s="55" t="s">
        <v>2333</v>
      </c>
      <c r="F1293" s="55">
        <v>2000</v>
      </c>
      <c r="J1293" s="55" t="str">
        <f t="shared" si="88"/>
        <v>M10BT ĐƠN</v>
      </c>
    </row>
    <row r="1294" spans="1:10">
      <c r="A1294" s="1784" t="s">
        <v>100</v>
      </c>
      <c r="C1294" s="1784" t="s">
        <v>2351</v>
      </c>
      <c r="D1294" s="55" t="s">
        <v>2333</v>
      </c>
      <c r="F1294" s="55">
        <v>2000</v>
      </c>
      <c r="J1294" s="55" t="str">
        <f t="shared" si="88"/>
        <v>M10aa</v>
      </c>
    </row>
    <row r="1295" spans="1:10">
      <c r="A1295" s="1784" t="s">
        <v>833</v>
      </c>
      <c r="C1295" s="1784" t="s">
        <v>2352</v>
      </c>
      <c r="D1295" s="55" t="s">
        <v>2333</v>
      </c>
      <c r="F1295" s="55">
        <v>2000</v>
      </c>
      <c r="J1295" s="55" t="str">
        <f t="shared" si="88"/>
        <v>M10ba</v>
      </c>
    </row>
    <row r="1296" spans="1:10">
      <c r="A1296" s="1784" t="s">
        <v>834</v>
      </c>
      <c r="C1296" s="1784" t="s">
        <v>2353</v>
      </c>
      <c r="D1296" s="55" t="s">
        <v>2333</v>
      </c>
      <c r="F1296" s="55">
        <v>2000</v>
      </c>
      <c r="J1296" s="55" t="str">
        <f t="shared" si="88"/>
        <v>M10bb</v>
      </c>
    </row>
    <row r="1297" spans="1:10">
      <c r="A1297" s="1784" t="s">
        <v>286</v>
      </c>
      <c r="C1297" s="1784" t="s">
        <v>2354</v>
      </c>
      <c r="D1297" s="55" t="s">
        <v>2333</v>
      </c>
      <c r="F1297" s="55">
        <v>2000</v>
      </c>
      <c r="J1297" s="55" t="str">
        <f t="shared" si="88"/>
        <v>M10-2bn</v>
      </c>
    </row>
    <row r="1298" spans="1:10">
      <c r="A1298" s="1784" t="s">
        <v>832</v>
      </c>
      <c r="C1298" s="1784" t="s">
        <v>2355</v>
      </c>
      <c r="D1298" s="55" t="s">
        <v>2333</v>
      </c>
      <c r="F1298" s="55">
        <v>2000</v>
      </c>
      <c r="J1298" s="55" t="str">
        <f t="shared" si="88"/>
        <v>M10-2a</v>
      </c>
    </row>
    <row r="1299" spans="1:10">
      <c r="A1299" s="1784" t="s">
        <v>760</v>
      </c>
      <c r="C1299" s="1784" t="s">
        <v>2356</v>
      </c>
      <c r="D1299" s="55" t="s">
        <v>2333</v>
      </c>
      <c r="F1299" s="55">
        <v>2000</v>
      </c>
      <c r="J1299" s="55" t="str">
        <f t="shared" si="88"/>
        <v>M10-2b</v>
      </c>
    </row>
    <row r="1300" spans="1:10">
      <c r="A1300" s="1784" t="s">
        <v>219</v>
      </c>
      <c r="C1300" s="1784" t="s">
        <v>2357</v>
      </c>
      <c r="D1300" s="55" t="s">
        <v>2333</v>
      </c>
      <c r="F1300" s="55">
        <v>2000</v>
      </c>
      <c r="J1300" s="55" t="str">
        <f t="shared" si="88"/>
        <v>M12</v>
      </c>
    </row>
    <row r="1301" spans="1:10">
      <c r="A1301" s="1784" t="s">
        <v>303</v>
      </c>
      <c r="C1301" s="1784" t="s">
        <v>2358</v>
      </c>
      <c r="D1301" s="55" t="s">
        <v>2333</v>
      </c>
      <c r="F1301" s="55">
        <v>2000</v>
      </c>
      <c r="J1301" s="55" t="str">
        <f t="shared" si="88"/>
        <v>M12a</v>
      </c>
    </row>
    <row r="1302" spans="1:10">
      <c r="A1302" s="1784" t="s">
        <v>2269</v>
      </c>
      <c r="C1302" s="1784" t="s">
        <v>2359</v>
      </c>
      <c r="D1302" s="55" t="s">
        <v>2333</v>
      </c>
      <c r="F1302" s="55">
        <v>2000</v>
      </c>
      <c r="J1302" s="55" t="str">
        <f t="shared" si="88"/>
        <v>M12b</v>
      </c>
    </row>
    <row r="1303" spans="1:10">
      <c r="A1303" s="1784" t="s">
        <v>304</v>
      </c>
      <c r="C1303" s="1784" t="s">
        <v>2360</v>
      </c>
      <c r="D1303" s="55" t="s">
        <v>2333</v>
      </c>
      <c r="F1303" s="55">
        <v>2000</v>
      </c>
      <c r="J1303" s="55" t="str">
        <f t="shared" si="88"/>
        <v>M12aa</v>
      </c>
    </row>
    <row r="1304" spans="1:10">
      <c r="A1304" s="1784" t="s">
        <v>638</v>
      </c>
      <c r="C1304" s="1784" t="s">
        <v>2361</v>
      </c>
      <c r="D1304" s="55" t="s">
        <v>2333</v>
      </c>
      <c r="F1304" s="55">
        <v>2000</v>
      </c>
      <c r="J1304" s="55" t="str">
        <f t="shared" si="88"/>
        <v>M12ba</v>
      </c>
    </row>
    <row r="1305" spans="1:10">
      <c r="A1305" s="1784" t="s">
        <v>647</v>
      </c>
      <c r="C1305" s="1784" t="s">
        <v>2362</v>
      </c>
      <c r="D1305" s="55" t="s">
        <v>2333</v>
      </c>
      <c r="F1305" s="55">
        <v>2000</v>
      </c>
      <c r="J1305" s="55" t="str">
        <f t="shared" si="88"/>
        <v>M12bb</v>
      </c>
    </row>
    <row r="1306" spans="1:10">
      <c r="A1306" s="1784" t="s">
        <v>511</v>
      </c>
      <c r="C1306" s="1784" t="s">
        <v>2363</v>
      </c>
      <c r="D1306" s="55" t="s">
        <v>2333</v>
      </c>
      <c r="F1306" s="55">
        <v>2000</v>
      </c>
      <c r="J1306" s="55" t="str">
        <f t="shared" si="88"/>
        <v>M12-2bn</v>
      </c>
    </row>
    <row r="1307" spans="1:10">
      <c r="A1307" s="1784" t="s">
        <v>646</v>
      </c>
      <c r="C1307" s="1784" t="s">
        <v>2364</v>
      </c>
      <c r="D1307" s="55" t="s">
        <v>2333</v>
      </c>
      <c r="F1307" s="55">
        <v>2000</v>
      </c>
      <c r="J1307" s="55" t="str">
        <f t="shared" si="88"/>
        <v>M12-2a</v>
      </c>
    </row>
    <row r="1308" spans="1:10">
      <c r="A1308" s="1784" t="s">
        <v>1905</v>
      </c>
      <c r="C1308" s="1784" t="s">
        <v>2365</v>
      </c>
      <c r="D1308" s="55" t="s">
        <v>2333</v>
      </c>
      <c r="F1308" s="55">
        <v>2000</v>
      </c>
      <c r="J1308" s="55" t="str">
        <f t="shared" si="88"/>
        <v>M12-2b</v>
      </c>
    </row>
    <row r="1309" spans="1:10">
      <c r="A1309" s="1784" t="s">
        <v>2186</v>
      </c>
      <c r="C1309" s="1784" t="s">
        <v>2366</v>
      </c>
      <c r="D1309" s="55" t="s">
        <v>2333</v>
      </c>
      <c r="F1309" s="55">
        <v>2000</v>
      </c>
      <c r="J1309" s="55" t="str">
        <f t="shared" si="88"/>
        <v>M12b-aa(hh)</v>
      </c>
    </row>
    <row r="1310" spans="1:10">
      <c r="A1310" s="1784" t="s">
        <v>500</v>
      </c>
      <c r="C1310" s="1784" t="s">
        <v>2367</v>
      </c>
      <c r="D1310" s="55" t="s">
        <v>2333</v>
      </c>
      <c r="F1310" s="55">
        <v>2000</v>
      </c>
      <c r="J1310" s="55" t="str">
        <f t="shared" si="88"/>
        <v>M12b-2a(hh)</v>
      </c>
    </row>
    <row r="1311" spans="1:10">
      <c r="A1311" s="1784" t="s">
        <v>2310</v>
      </c>
      <c r="C1311" s="1784" t="s">
        <v>2368</v>
      </c>
      <c r="D1311" s="55" t="s">
        <v>2333</v>
      </c>
      <c r="F1311" s="55">
        <v>2000</v>
      </c>
      <c r="J1311" s="55" t="str">
        <f t="shared" si="88"/>
        <v>M12 PĐ</v>
      </c>
    </row>
    <row r="1312" spans="1:10">
      <c r="A1312" s="1784" t="s">
        <v>2311</v>
      </c>
      <c r="C1312" s="1784" t="s">
        <v>2369</v>
      </c>
      <c r="D1312" s="55" t="s">
        <v>2333</v>
      </c>
      <c r="F1312" s="55">
        <v>2000</v>
      </c>
      <c r="J1312" s="55" t="str">
        <f t="shared" si="88"/>
        <v>M12BT ĐƠN</v>
      </c>
    </row>
    <row r="1313" spans="1:10">
      <c r="A1313" s="1784" t="s">
        <v>2312</v>
      </c>
      <c r="C1313" s="1784" t="s">
        <v>2370</v>
      </c>
      <c r="D1313" s="55" t="s">
        <v>2333</v>
      </c>
      <c r="F1313" s="55">
        <v>2000</v>
      </c>
      <c r="J1313" s="55" t="str">
        <f t="shared" si="88"/>
        <v>M12BT ĐÔI</v>
      </c>
    </row>
    <row r="1314" spans="1:10">
      <c r="A1314" s="1784" t="s">
        <v>744</v>
      </c>
      <c r="C1314" s="1784" t="s">
        <v>2371</v>
      </c>
      <c r="D1314" s="55" t="s">
        <v>2333</v>
      </c>
      <c r="F1314" s="55">
        <v>2000</v>
      </c>
      <c r="J1314" s="55" t="str">
        <f t="shared" si="88"/>
        <v>M12 CN</v>
      </c>
    </row>
    <row r="1315" spans="1:10">
      <c r="A1315" s="1784" t="s">
        <v>2270</v>
      </c>
      <c r="C1315" s="1784" t="s">
        <v>2373</v>
      </c>
      <c r="D1315" s="55" t="s">
        <v>2333</v>
      </c>
      <c r="F1315" s="55">
        <v>2000</v>
      </c>
      <c r="J1315" s="55" t="str">
        <f t="shared" si="88"/>
        <v>M12BT P500</v>
      </c>
    </row>
    <row r="1316" spans="1:10">
      <c r="A1316" s="1784" t="s">
        <v>780</v>
      </c>
      <c r="C1316" s="1784" t="s">
        <v>2374</v>
      </c>
      <c r="D1316" s="55" t="s">
        <v>2333</v>
      </c>
      <c r="F1316" s="55">
        <v>2000</v>
      </c>
      <c r="J1316" s="55" t="str">
        <f t="shared" si="88"/>
        <v>M14</v>
      </c>
    </row>
    <row r="1317" spans="1:10">
      <c r="A1317" s="1784" t="s">
        <v>648</v>
      </c>
      <c r="C1317" s="1784" t="s">
        <v>2375</v>
      </c>
      <c r="D1317" s="55" t="s">
        <v>2333</v>
      </c>
      <c r="F1317" s="55">
        <v>2000</v>
      </c>
      <c r="J1317" s="55" t="str">
        <f t="shared" si="88"/>
        <v>M14a</v>
      </c>
    </row>
    <row r="1318" spans="1:10">
      <c r="A1318" s="1784" t="s">
        <v>750</v>
      </c>
      <c r="C1318" s="1784" t="s">
        <v>2376</v>
      </c>
      <c r="D1318" s="55" t="s">
        <v>2333</v>
      </c>
      <c r="F1318" s="55">
        <v>2000</v>
      </c>
      <c r="J1318" s="55" t="str">
        <f t="shared" si="88"/>
        <v>M14b</v>
      </c>
    </row>
    <row r="1319" spans="1:10">
      <c r="A1319" s="1784" t="s">
        <v>2313</v>
      </c>
      <c r="C1319" s="1784" t="s">
        <v>2377</v>
      </c>
      <c r="D1319" s="55" t="s">
        <v>2333</v>
      </c>
      <c r="F1319" s="55">
        <v>2000</v>
      </c>
      <c r="J1319" s="55" t="str">
        <f t="shared" si="88"/>
        <v>M14BT ĐƠN</v>
      </c>
    </row>
    <row r="1320" spans="1:10">
      <c r="A1320" s="1784" t="s">
        <v>649</v>
      </c>
      <c r="C1320" s="1784" t="s">
        <v>2378</v>
      </c>
      <c r="D1320" s="55" t="s">
        <v>2333</v>
      </c>
      <c r="F1320" s="55">
        <v>2000</v>
      </c>
      <c r="J1320" s="55" t="str">
        <f t="shared" si="88"/>
        <v>M14aa</v>
      </c>
    </row>
    <row r="1321" spans="1:10">
      <c r="A1321" s="1784" t="s">
        <v>483</v>
      </c>
      <c r="C1321" s="1784" t="s">
        <v>2379</v>
      </c>
      <c r="D1321" s="55" t="s">
        <v>2333</v>
      </c>
      <c r="F1321" s="55">
        <v>2000</v>
      </c>
      <c r="J1321" s="55" t="str">
        <f t="shared" si="88"/>
        <v>M14ba</v>
      </c>
    </row>
    <row r="1322" spans="1:10">
      <c r="A1322" s="1784" t="s">
        <v>484</v>
      </c>
      <c r="C1322" s="1784" t="s">
        <v>2380</v>
      </c>
      <c r="D1322" s="55" t="s">
        <v>2333</v>
      </c>
      <c r="F1322" s="55">
        <v>2000</v>
      </c>
      <c r="J1322" s="55" t="str">
        <f t="shared" si="88"/>
        <v>M14bb</v>
      </c>
    </row>
    <row r="1323" spans="1:10">
      <c r="A1323" s="1784" t="s">
        <v>285</v>
      </c>
      <c r="C1323" s="1784" t="s">
        <v>2381</v>
      </c>
      <c r="D1323" s="55" t="s">
        <v>2333</v>
      </c>
      <c r="F1323" s="55">
        <v>2000</v>
      </c>
      <c r="J1323" s="55" t="str">
        <f t="shared" si="88"/>
        <v>M14-2bn</v>
      </c>
    </row>
    <row r="1324" spans="1:10">
      <c r="A1324" s="1784" t="s">
        <v>650</v>
      </c>
      <c r="C1324" s="1784" t="s">
        <v>2382</v>
      </c>
      <c r="D1324" s="55" t="s">
        <v>2333</v>
      </c>
      <c r="F1324" s="55">
        <v>2000</v>
      </c>
      <c r="J1324" s="55" t="str">
        <f t="shared" si="88"/>
        <v>M14-2a</v>
      </c>
    </row>
    <row r="1325" spans="1:10">
      <c r="A1325" s="1784" t="s">
        <v>1645</v>
      </c>
      <c r="C1325" s="1784" t="s">
        <v>2383</v>
      </c>
      <c r="D1325" s="55" t="s">
        <v>2333</v>
      </c>
      <c r="F1325" s="55">
        <v>2000</v>
      </c>
      <c r="J1325" s="55" t="str">
        <f t="shared" si="88"/>
        <v>M14-2b</v>
      </c>
    </row>
    <row r="1326" spans="1:10">
      <c r="A1326" s="1784" t="s">
        <v>987</v>
      </c>
      <c r="C1326" s="1784" t="s">
        <v>2384</v>
      </c>
      <c r="D1326" s="55" t="s">
        <v>2333</v>
      </c>
      <c r="F1326" s="55">
        <v>2000</v>
      </c>
      <c r="J1326" s="55" t="str">
        <f t="shared" si="88"/>
        <v>M14-4b</v>
      </c>
    </row>
    <row r="1327" spans="1:10">
      <c r="A1327" s="1784" t="s">
        <v>312</v>
      </c>
      <c r="C1327" s="1784" t="s">
        <v>2385</v>
      </c>
      <c r="D1327" s="55" t="s">
        <v>2333</v>
      </c>
      <c r="F1327" s="55">
        <v>2000</v>
      </c>
      <c r="J1327" s="55" t="str">
        <f t="shared" si="88"/>
        <v>BTCL-14-500</v>
      </c>
    </row>
    <row r="1328" spans="1:10">
      <c r="A1328" s="1784" t="s">
        <v>891</v>
      </c>
      <c r="C1328" s="1784" t="s">
        <v>2386</v>
      </c>
      <c r="D1328" s="55" t="s">
        <v>2333</v>
      </c>
      <c r="F1328" s="55">
        <v>2000</v>
      </c>
      <c r="J1328" s="55" t="str">
        <f t="shared" si="88"/>
        <v>M20-4b</v>
      </c>
    </row>
    <row r="1329" spans="1:10">
      <c r="A1329" s="1784" t="s">
        <v>513</v>
      </c>
      <c r="C1329" s="1784" t="s">
        <v>2387</v>
      </c>
      <c r="D1329" s="55" t="s">
        <v>2388</v>
      </c>
      <c r="F1329" s="55">
        <v>2000</v>
      </c>
      <c r="J1329" s="55" t="str">
        <f t="shared" si="88"/>
        <v>MTUPP</v>
      </c>
    </row>
    <row r="1330" spans="1:10">
      <c r="A1330" s="1784" t="s">
        <v>549</v>
      </c>
      <c r="C1330" s="1784" t="s">
        <v>2389</v>
      </c>
      <c r="D1330" s="55" t="s">
        <v>2388</v>
      </c>
      <c r="F1330" s="55">
        <v>2000</v>
      </c>
      <c r="J1330" s="55" t="str">
        <f t="shared" si="88"/>
        <v>MTUCS</v>
      </c>
    </row>
    <row r="1331" spans="1:10">
      <c r="A1331" s="1784" t="s">
        <v>1565</v>
      </c>
      <c r="C1331" s="1784" t="s">
        <v>2390</v>
      </c>
      <c r="D1331" s="55" t="s">
        <v>2391</v>
      </c>
      <c r="F1331" s="55">
        <v>2000</v>
      </c>
      <c r="J1331" s="55" t="str">
        <f t="shared" si="88"/>
        <v>TD75</v>
      </c>
    </row>
    <row r="1332" spans="1:10">
      <c r="A1332" s="1784" t="s">
        <v>1566</v>
      </c>
      <c r="C1332" s="1784" t="s">
        <v>2393</v>
      </c>
      <c r="D1332" s="55" t="s">
        <v>2391</v>
      </c>
      <c r="F1332" s="55">
        <v>2000</v>
      </c>
      <c r="J1332" s="55" t="str">
        <f t="shared" si="88"/>
        <v>TD85</v>
      </c>
    </row>
    <row r="1333" spans="1:10">
      <c r="A1333" s="1784" t="s">
        <v>5</v>
      </c>
      <c r="C1333" s="1784" t="s">
        <v>4319</v>
      </c>
      <c r="D1333" s="55" t="s">
        <v>2391</v>
      </c>
      <c r="F1333" s="55">
        <v>2000</v>
      </c>
      <c r="J1333" s="55" t="str">
        <f t="shared" si="88"/>
        <v>TD85ABC</v>
      </c>
    </row>
    <row r="1334" spans="1:10">
      <c r="A1334" s="1784" t="s">
        <v>515</v>
      </c>
      <c r="C1334" s="1784" t="s">
        <v>2395</v>
      </c>
      <c r="D1334" s="55" t="s">
        <v>2391</v>
      </c>
      <c r="F1334" s="55">
        <v>2000</v>
      </c>
      <c r="J1334" s="55" t="str">
        <f t="shared" si="88"/>
        <v>TDTUPP</v>
      </c>
    </row>
    <row r="1335" spans="1:10">
      <c r="A1335" s="1784" t="s">
        <v>2148</v>
      </c>
      <c r="C1335" s="1784" t="s">
        <v>2396</v>
      </c>
      <c r="D1335" s="55" t="s">
        <v>2391</v>
      </c>
      <c r="F1335" s="55">
        <v>2000</v>
      </c>
      <c r="J1335" s="55" t="str">
        <f t="shared" si="88"/>
        <v>TDTT105</v>
      </c>
    </row>
    <row r="1336" spans="1:10">
      <c r="A1336" s="1784" t="s">
        <v>1640</v>
      </c>
      <c r="C1336" s="1784" t="s">
        <v>2397</v>
      </c>
      <c r="D1336" s="55" t="s">
        <v>2391</v>
      </c>
      <c r="F1336" s="55">
        <v>2000</v>
      </c>
      <c r="J1336" s="55" t="str">
        <f t="shared" si="88"/>
        <v>TDTT12</v>
      </c>
    </row>
    <row r="1337" spans="1:10">
      <c r="A1337" s="1784" t="s">
        <v>2241</v>
      </c>
      <c r="C1337" s="1784" t="s">
        <v>2398</v>
      </c>
      <c r="D1337" s="55" t="s">
        <v>2391</v>
      </c>
      <c r="F1337" s="55">
        <v>2000</v>
      </c>
      <c r="J1337" s="55" t="str">
        <f t="shared" si="88"/>
        <v>TDLL12</v>
      </c>
    </row>
    <row r="1338" spans="1:10">
      <c r="A1338" s="1784" t="s">
        <v>2054</v>
      </c>
      <c r="C1338" s="1784" t="s">
        <v>2399</v>
      </c>
      <c r="D1338" s="55" t="s">
        <v>2391</v>
      </c>
      <c r="F1338" s="55">
        <v>2000</v>
      </c>
      <c r="J1338" s="55" t="str">
        <f t="shared" si="88"/>
        <v>TDDD12</v>
      </c>
    </row>
    <row r="1339" spans="1:10">
      <c r="A1339" s="1784" t="s">
        <v>1641</v>
      </c>
      <c r="C1339" s="1784" t="s">
        <v>2400</v>
      </c>
      <c r="D1339" s="55" t="s">
        <v>2391</v>
      </c>
      <c r="F1339" s="55">
        <v>2000</v>
      </c>
      <c r="J1339" s="55" t="str">
        <f t="shared" si="88"/>
        <v>TDTT14</v>
      </c>
    </row>
    <row r="1340" spans="1:10">
      <c r="A1340" s="1784" t="s">
        <v>1988</v>
      </c>
      <c r="C1340" s="1784" t="s">
        <v>2401</v>
      </c>
      <c r="D1340" s="55" t="s">
        <v>2391</v>
      </c>
      <c r="F1340" s="55">
        <v>2000</v>
      </c>
      <c r="J1340" s="55" t="str">
        <f t="shared" si="88"/>
        <v>TDTT20</v>
      </c>
    </row>
    <row r="1341" spans="1:10">
      <c r="A1341" s="1784" t="s">
        <v>547</v>
      </c>
      <c r="C1341" s="1784" t="s">
        <v>2402</v>
      </c>
      <c r="D1341" s="55" t="s">
        <v>2391</v>
      </c>
      <c r="F1341" s="55">
        <v>2000</v>
      </c>
      <c r="J1341" s="55" t="str">
        <f t="shared" si="88"/>
        <v>TDMT</v>
      </c>
    </row>
    <row r="1342" spans="1:10">
      <c r="A1342" s="1784" t="s">
        <v>1054</v>
      </c>
      <c r="C1342" s="1784" t="s">
        <v>2403</v>
      </c>
      <c r="D1342" s="55" t="s">
        <v>2391</v>
      </c>
      <c r="F1342" s="55">
        <v>2000</v>
      </c>
      <c r="J1342" s="55" t="str">
        <f t="shared" si="88"/>
        <v>TDDD</v>
      </c>
    </row>
    <row r="1343" spans="1:10">
      <c r="A1343" s="1784" t="s">
        <v>954</v>
      </c>
      <c r="C1343" s="1784" t="s">
        <v>2404</v>
      </c>
      <c r="D1343" s="55" t="s">
        <v>2283</v>
      </c>
      <c r="F1343" s="55">
        <v>2000</v>
      </c>
      <c r="J1343" s="55" t="str">
        <f t="shared" si="88"/>
        <v>TRUTHEP</v>
      </c>
    </row>
    <row r="1344" spans="1:10">
      <c r="A1344" s="1784" t="s">
        <v>233</v>
      </c>
      <c r="C1344" s="1784" t="s">
        <v>2405</v>
      </c>
      <c r="D1344" s="55" t="s">
        <v>2283</v>
      </c>
      <c r="F1344" s="55">
        <v>2000</v>
      </c>
      <c r="J1344" s="55" t="str">
        <f t="shared" si="88"/>
        <v>BTLT 7.5</v>
      </c>
    </row>
    <row r="1345" spans="1:10">
      <c r="A1345" s="1784" t="s">
        <v>232</v>
      </c>
      <c r="C1345" s="1784" t="s">
        <v>4579</v>
      </c>
      <c r="D1345" s="55" t="s">
        <v>2283</v>
      </c>
      <c r="F1345" s="55">
        <v>2000</v>
      </c>
      <c r="J1345" s="55" t="str">
        <f t="shared" si="88"/>
        <v>BTLT 8.5</v>
      </c>
    </row>
    <row r="1346" spans="1:10">
      <c r="A1346" s="1784" t="s">
        <v>4580</v>
      </c>
      <c r="C1346" s="1784" t="s">
        <v>2406</v>
      </c>
      <c r="D1346" s="55" t="s">
        <v>2283</v>
      </c>
      <c r="F1346" s="55">
        <v>2000</v>
      </c>
      <c r="J1346" s="55" t="str">
        <f t="shared" si="88"/>
        <v xml:space="preserve">BTLT 8.4 </v>
      </c>
    </row>
    <row r="1347" spans="1:10">
      <c r="A1347" s="1784" t="s">
        <v>185</v>
      </c>
      <c r="C1347" s="1784" t="s">
        <v>2407</v>
      </c>
      <c r="D1347" s="55" t="s">
        <v>2283</v>
      </c>
      <c r="F1347" s="55">
        <v>2000</v>
      </c>
      <c r="J1347" s="55" t="str">
        <f t="shared" si="88"/>
        <v>BTLT 8.4TD</v>
      </c>
    </row>
    <row r="1348" spans="1:10">
      <c r="A1348" s="1784" t="s">
        <v>1633</v>
      </c>
      <c r="C1348" s="1784" t="s">
        <v>2408</v>
      </c>
      <c r="D1348" s="55" t="s">
        <v>2283</v>
      </c>
      <c r="F1348" s="55">
        <v>2000</v>
      </c>
      <c r="J1348" s="55" t="str">
        <f t="shared" si="88"/>
        <v>N-BTLT 8.4</v>
      </c>
    </row>
    <row r="1349" spans="1:10">
      <c r="A1349" s="1784" t="s">
        <v>510</v>
      </c>
      <c r="C1349" s="1784" t="s">
        <v>2411</v>
      </c>
      <c r="D1349" s="55" t="s">
        <v>2283</v>
      </c>
      <c r="F1349" s="55">
        <v>2000</v>
      </c>
      <c r="J1349" s="55" t="str">
        <f t="shared" si="88"/>
        <v>N-T-BTLT 8.4</v>
      </c>
    </row>
    <row r="1350" spans="1:10">
      <c r="A1350" s="1784" t="s">
        <v>300</v>
      </c>
      <c r="C1350" s="1784" t="s">
        <v>2412</v>
      </c>
      <c r="D1350" s="55" t="s">
        <v>2283</v>
      </c>
      <c r="F1350" s="55">
        <v>2000</v>
      </c>
      <c r="J1350" s="55" t="str">
        <f t="shared" ref="J1350:J1413" si="89">A1350</f>
        <v>BTLT 10.5</v>
      </c>
    </row>
    <row r="1351" spans="1:10">
      <c r="A1351" s="1784" t="s">
        <v>370</v>
      </c>
      <c r="C1351" s="1784" t="s">
        <v>2413</v>
      </c>
      <c r="D1351" s="55" t="s">
        <v>2283</v>
      </c>
      <c r="F1351" s="55">
        <v>2000</v>
      </c>
      <c r="J1351" s="55" t="str">
        <f t="shared" si="89"/>
        <v>N-BTLT 10.5</v>
      </c>
    </row>
    <row r="1352" spans="1:10">
      <c r="A1352" s="1784" t="s">
        <v>1186</v>
      </c>
      <c r="C1352" s="1784" t="s">
        <v>2415</v>
      </c>
      <c r="D1352" s="55" t="s">
        <v>2283</v>
      </c>
      <c r="F1352" s="55">
        <v>2000</v>
      </c>
      <c r="J1352" s="55" t="str">
        <f t="shared" si="89"/>
        <v>BTLT 12 TC</v>
      </c>
    </row>
    <row r="1353" spans="1:10">
      <c r="A1353" s="1784" t="s">
        <v>301</v>
      </c>
      <c r="C1353" s="1784" t="s">
        <v>2416</v>
      </c>
      <c r="D1353" s="55" t="s">
        <v>2283</v>
      </c>
      <c r="F1353" s="55">
        <v>2000</v>
      </c>
      <c r="J1353" s="55" t="str">
        <f t="shared" si="89"/>
        <v>BTLT 12</v>
      </c>
    </row>
    <row r="1354" spans="1:10">
      <c r="A1354" s="1784" t="s">
        <v>2314</v>
      </c>
      <c r="C1354" s="1784" t="s">
        <v>2417</v>
      </c>
      <c r="D1354" s="55" t="s">
        <v>2283</v>
      </c>
      <c r="F1354" s="55">
        <v>2000</v>
      </c>
      <c r="J1354" s="55" t="str">
        <f t="shared" si="89"/>
        <v>BTLT 12 TĐ</v>
      </c>
    </row>
    <row r="1355" spans="1:10">
      <c r="A1355" s="1784" t="s">
        <v>302</v>
      </c>
      <c r="C1355" s="1784" t="s">
        <v>2419</v>
      </c>
      <c r="D1355" s="55" t="s">
        <v>2283</v>
      </c>
      <c r="F1355" s="55">
        <v>2000</v>
      </c>
      <c r="J1355" s="55" t="str">
        <f t="shared" si="89"/>
        <v>BTLT 14</v>
      </c>
    </row>
    <row r="1356" spans="1:10">
      <c r="A1356" s="1784" t="s">
        <v>759</v>
      </c>
      <c r="C1356" s="1784" t="s">
        <v>2420</v>
      </c>
      <c r="D1356" s="55" t="s">
        <v>2283</v>
      </c>
      <c r="F1356" s="55">
        <v>2000</v>
      </c>
      <c r="J1356" s="55" t="str">
        <f t="shared" si="89"/>
        <v>BTLT 20</v>
      </c>
    </row>
    <row r="1357" spans="1:10">
      <c r="A1357" s="1784" t="s">
        <v>361</v>
      </c>
      <c r="C1357" s="1784" t="s">
        <v>2459</v>
      </c>
      <c r="D1357" s="55" t="s">
        <v>2391</v>
      </c>
      <c r="F1357" s="55">
        <v>2000</v>
      </c>
      <c r="G1357" s="55" t="s">
        <v>512</v>
      </c>
      <c r="J1357" s="55" t="str">
        <f t="shared" si="89"/>
        <v>X-24COMPOSITE</v>
      </c>
    </row>
    <row r="1358" spans="1:10">
      <c r="A1358" s="1784" t="s">
        <v>2315</v>
      </c>
      <c r="C1358" s="1784" t="s">
        <v>2421</v>
      </c>
      <c r="D1358" s="55" t="s">
        <v>2391</v>
      </c>
      <c r="F1358" s="55">
        <v>2000</v>
      </c>
      <c r="J1358" s="55" t="str">
        <f t="shared" si="89"/>
        <v>X-1,66Đ</v>
      </c>
    </row>
    <row r="1359" spans="1:10">
      <c r="A1359" s="1784" t="s">
        <v>1294</v>
      </c>
      <c r="C1359" s="1784" t="s">
        <v>2422</v>
      </c>
      <c r="D1359" s="55" t="s">
        <v>2391</v>
      </c>
      <c r="F1359" s="55">
        <v>2000</v>
      </c>
      <c r="J1359" s="55" t="str">
        <f t="shared" si="89"/>
        <v>X-1,66K</v>
      </c>
    </row>
    <row r="1360" spans="1:10">
      <c r="A1360" s="1784" t="s">
        <v>2301</v>
      </c>
      <c r="C1360" s="1784" t="s">
        <v>4353</v>
      </c>
      <c r="D1360" s="55" t="s">
        <v>2391</v>
      </c>
      <c r="F1360" s="55">
        <v>2000</v>
      </c>
      <c r="J1360" s="55" t="str">
        <f t="shared" si="89"/>
        <v>X-22K-Đ</v>
      </c>
    </row>
    <row r="1361" spans="1:10">
      <c r="A1361" s="1784" t="s">
        <v>2297</v>
      </c>
      <c r="C1361" s="1784" t="s">
        <v>2423</v>
      </c>
      <c r="D1361" s="55" t="s">
        <v>2391</v>
      </c>
      <c r="F1361" s="55">
        <v>2000</v>
      </c>
      <c r="J1361" s="55" t="str">
        <f t="shared" si="89"/>
        <v>X-20Đ</v>
      </c>
    </row>
    <row r="1362" spans="1:10">
      <c r="A1362" s="1784" t="s">
        <v>909</v>
      </c>
      <c r="C1362" s="1784" t="s">
        <v>2424</v>
      </c>
      <c r="D1362" s="55" t="s">
        <v>2391</v>
      </c>
      <c r="F1362" s="55">
        <v>2000</v>
      </c>
      <c r="J1362" s="55" t="str">
        <f t="shared" si="89"/>
        <v>X-20K</v>
      </c>
    </row>
    <row r="1363" spans="1:10">
      <c r="A1363" s="1784" t="s">
        <v>2300</v>
      </c>
      <c r="C1363" s="1784" t="s">
        <v>2425</v>
      </c>
      <c r="D1363" s="55" t="s">
        <v>2391</v>
      </c>
      <c r="F1363" s="55">
        <v>2000</v>
      </c>
      <c r="J1363" s="55" t="str">
        <f t="shared" si="89"/>
        <v>X-22Đ</v>
      </c>
    </row>
    <row r="1364" spans="1:10">
      <c r="A1364" s="1784" t="s">
        <v>2316</v>
      </c>
      <c r="C1364" s="1784" t="s">
        <v>2427</v>
      </c>
      <c r="D1364" s="55" t="s">
        <v>2391</v>
      </c>
      <c r="F1364" s="55">
        <v>2000</v>
      </c>
      <c r="J1364" s="55" t="str">
        <f t="shared" si="89"/>
        <v>X-22Đ - C920</v>
      </c>
    </row>
    <row r="1365" spans="1:10">
      <c r="A1365" s="1784" t="s">
        <v>1082</v>
      </c>
      <c r="C1365" s="1784" t="s">
        <v>2428</v>
      </c>
      <c r="D1365" s="55" t="s">
        <v>2391</v>
      </c>
      <c r="F1365" s="55">
        <v>2000</v>
      </c>
      <c r="J1365" s="55" t="str">
        <f t="shared" si="89"/>
        <v>TL X-21K</v>
      </c>
    </row>
    <row r="1366" spans="1:10">
      <c r="A1366" s="1784" t="s">
        <v>533</v>
      </c>
      <c r="C1366" s="1784" t="s">
        <v>2429</v>
      </c>
      <c r="D1366" s="55" t="s">
        <v>2391</v>
      </c>
      <c r="F1366" s="55">
        <v>2000</v>
      </c>
      <c r="J1366" s="55" t="str">
        <f t="shared" si="89"/>
        <v>X-22K-K</v>
      </c>
    </row>
    <row r="1367" spans="1:10">
      <c r="A1367" s="1784" t="s">
        <v>1112</v>
      </c>
      <c r="C1367" s="1784" t="s">
        <v>2430</v>
      </c>
      <c r="D1367" s="55" t="s">
        <v>2391</v>
      </c>
      <c r="F1367" s="55">
        <v>2000</v>
      </c>
      <c r="J1367" s="55" t="str">
        <f t="shared" si="89"/>
        <v>X-22K - C920</v>
      </c>
    </row>
    <row r="1368" spans="1:10">
      <c r="A1368" s="1784" t="s">
        <v>2302</v>
      </c>
      <c r="C1368" s="1784" t="s">
        <v>2431</v>
      </c>
      <c r="D1368" s="55" t="s">
        <v>2391</v>
      </c>
      <c r="F1368" s="55">
        <v>2000</v>
      </c>
      <c r="J1368" s="55" t="str">
        <f t="shared" si="89"/>
        <v>X-24Đ</v>
      </c>
    </row>
    <row r="1369" spans="1:10">
      <c r="A1369" s="1784" t="s">
        <v>910</v>
      </c>
      <c r="C1369" s="1784" t="s">
        <v>2432</v>
      </c>
      <c r="D1369" s="55" t="s">
        <v>2391</v>
      </c>
      <c r="F1369" s="55">
        <v>2000</v>
      </c>
      <c r="J1369" s="55" t="str">
        <f t="shared" si="89"/>
        <v>X-24K</v>
      </c>
    </row>
    <row r="1370" spans="1:10">
      <c r="A1370" s="1784" t="s">
        <v>713</v>
      </c>
      <c r="C1370" s="1784" t="s">
        <v>2433</v>
      </c>
      <c r="D1370" s="55" t="s">
        <v>2391</v>
      </c>
      <c r="F1370" s="55">
        <v>2000</v>
      </c>
      <c r="J1370" s="55" t="str">
        <f t="shared" si="89"/>
        <v>TL X-26K</v>
      </c>
    </row>
    <row r="1371" spans="1:10">
      <c r="A1371" s="1784" t="s">
        <v>2303</v>
      </c>
      <c r="C1371" s="1784" t="s">
        <v>2434</v>
      </c>
      <c r="D1371" s="55" t="s">
        <v>2391</v>
      </c>
      <c r="F1371" s="55">
        <v>2000</v>
      </c>
      <c r="J1371" s="55" t="str">
        <f t="shared" si="89"/>
        <v>X-8ĐL</v>
      </c>
    </row>
    <row r="1372" spans="1:10">
      <c r="A1372" s="1784" t="s">
        <v>344</v>
      </c>
      <c r="C1372" s="1784" t="s">
        <v>2435</v>
      </c>
      <c r="D1372" s="55" t="s">
        <v>2391</v>
      </c>
      <c r="F1372" s="55">
        <v>2000</v>
      </c>
      <c r="J1372" s="55" t="str">
        <f t="shared" si="89"/>
        <v>X-8KL</v>
      </c>
    </row>
    <row r="1373" spans="1:10">
      <c r="A1373" s="1784" t="s">
        <v>2298</v>
      </c>
      <c r="C1373" s="1784" t="s">
        <v>2436</v>
      </c>
      <c r="D1373" s="55" t="s">
        <v>2391</v>
      </c>
      <c r="F1373" s="55">
        <v>2000</v>
      </c>
      <c r="J1373" s="55" t="str">
        <f t="shared" si="89"/>
        <v>X-21ĐL</v>
      </c>
    </row>
    <row r="1374" spans="1:10">
      <c r="A1374" s="1784" t="s">
        <v>893</v>
      </c>
      <c r="C1374" s="1784" t="s">
        <v>2437</v>
      </c>
      <c r="D1374" s="55" t="s">
        <v>2391</v>
      </c>
      <c r="F1374" s="55">
        <v>2000</v>
      </c>
      <c r="J1374" s="55" t="str">
        <f t="shared" si="89"/>
        <v>X-21KL</v>
      </c>
    </row>
    <row r="1375" spans="1:10">
      <c r="A1375" s="1784" t="s">
        <v>2299</v>
      </c>
      <c r="C1375" s="1784" t="s">
        <v>2438</v>
      </c>
      <c r="D1375" s="55" t="s">
        <v>2391</v>
      </c>
      <c r="F1375" s="55">
        <v>2000</v>
      </c>
      <c r="J1375" s="55" t="str">
        <f t="shared" si="89"/>
        <v>X-20ĐL2/3</v>
      </c>
    </row>
    <row r="1376" spans="1:10">
      <c r="A1376" s="1784" t="s">
        <v>2125</v>
      </c>
      <c r="C1376" s="1784" t="s">
        <v>2439</v>
      </c>
      <c r="D1376" s="55" t="s">
        <v>2391</v>
      </c>
      <c r="F1376" s="55">
        <v>2000</v>
      </c>
      <c r="J1376" s="55" t="str">
        <f t="shared" si="89"/>
        <v>X-20KL2/3</v>
      </c>
    </row>
    <row r="1377" spans="1:10">
      <c r="A1377" s="1784" t="s">
        <v>2304</v>
      </c>
      <c r="C1377" s="1784" t="s">
        <v>2440</v>
      </c>
      <c r="D1377" s="55" t="s">
        <v>2391</v>
      </c>
      <c r="F1377" s="55">
        <v>2000</v>
      </c>
      <c r="J1377" s="55" t="str">
        <f t="shared" si="89"/>
        <v>X-24ĐP</v>
      </c>
    </row>
    <row r="1378" spans="1:10">
      <c r="A1378" s="1784" t="s">
        <v>213</v>
      </c>
      <c r="C1378" s="1784" t="s">
        <v>2441</v>
      </c>
      <c r="D1378" s="55" t="s">
        <v>2391</v>
      </c>
      <c r="F1378" s="55">
        <v>2000</v>
      </c>
      <c r="J1378" s="55" t="str">
        <f t="shared" si="89"/>
        <v>X-24KP</v>
      </c>
    </row>
    <row r="1379" spans="1:10">
      <c r="A1379" s="1784" t="s">
        <v>2317</v>
      </c>
      <c r="C1379" s="1784" t="s">
        <v>2442</v>
      </c>
      <c r="D1379" s="55" t="s">
        <v>2391</v>
      </c>
      <c r="F1379" s="55">
        <v>2000</v>
      </c>
      <c r="J1379" s="55" t="str">
        <f t="shared" si="89"/>
        <v>X-26ĐP</v>
      </c>
    </row>
    <row r="1380" spans="1:10">
      <c r="A1380" s="1784" t="s">
        <v>1504</v>
      </c>
      <c r="C1380" s="1784" t="s">
        <v>2451</v>
      </c>
      <c r="D1380" s="55" t="s">
        <v>2391</v>
      </c>
      <c r="F1380" s="55">
        <v>2000</v>
      </c>
      <c r="J1380" s="55" t="str">
        <f t="shared" si="89"/>
        <v>X-26KP</v>
      </c>
    </row>
    <row r="1381" spans="1:10">
      <c r="A1381" s="1784" t="s">
        <v>1577</v>
      </c>
      <c r="C1381" s="1784" t="s">
        <v>2453</v>
      </c>
      <c r="D1381" s="55" t="s">
        <v>2391</v>
      </c>
      <c r="F1381" s="55">
        <v>2000</v>
      </c>
      <c r="J1381" s="55" t="str">
        <f t="shared" si="89"/>
        <v>X-28KP</v>
      </c>
    </row>
    <row r="1382" spans="1:10">
      <c r="A1382" s="1784" t="s">
        <v>105</v>
      </c>
      <c r="C1382" s="1784" t="s">
        <v>2455</v>
      </c>
      <c r="D1382" s="55" t="s">
        <v>2391</v>
      </c>
      <c r="F1382" s="55">
        <v>2000</v>
      </c>
      <c r="J1382" s="55" t="str">
        <f t="shared" si="89"/>
        <v>X-30KP</v>
      </c>
    </row>
    <row r="1383" spans="1:10">
      <c r="A1383" s="1784" t="s">
        <v>2305</v>
      </c>
      <c r="C1383" s="1784" t="s">
        <v>2456</v>
      </c>
      <c r="D1383" s="55" t="s">
        <v>2391</v>
      </c>
      <c r="F1383" s="55">
        <v>2000</v>
      </c>
      <c r="J1383" s="55" t="str">
        <f t="shared" si="89"/>
        <v>X-38Đ</v>
      </c>
    </row>
    <row r="1384" spans="1:10">
      <c r="A1384" s="1784" t="s">
        <v>807</v>
      </c>
      <c r="C1384" s="1784" t="s">
        <v>2457</v>
      </c>
      <c r="D1384" s="55" t="s">
        <v>2391</v>
      </c>
      <c r="F1384" s="55">
        <v>2000</v>
      </c>
      <c r="J1384" s="55" t="str">
        <f t="shared" si="89"/>
        <v>X-42KP</v>
      </c>
    </row>
    <row r="1385" spans="1:10">
      <c r="A1385" s="1784" t="s">
        <v>1872</v>
      </c>
      <c r="C1385" s="1784" t="s">
        <v>2458</v>
      </c>
      <c r="D1385" s="55" t="s">
        <v>2391</v>
      </c>
      <c r="F1385" s="55">
        <v>2000</v>
      </c>
      <c r="J1385" s="55" t="str">
        <f t="shared" si="89"/>
        <v>X-24KP500</v>
      </c>
    </row>
    <row r="1386" spans="1:10">
      <c r="A1386" s="1784" t="s">
        <v>806</v>
      </c>
      <c r="C1386" s="1784" t="s">
        <v>2460</v>
      </c>
      <c r="D1386" s="55" t="s">
        <v>2391</v>
      </c>
      <c r="F1386" s="55">
        <v>2000</v>
      </c>
      <c r="J1386" s="55" t="str">
        <f t="shared" si="89"/>
        <v>G-20KP</v>
      </c>
    </row>
    <row r="1387" spans="1:10">
      <c r="A1387" s="1784" t="s">
        <v>805</v>
      </c>
      <c r="C1387" s="1784" t="s">
        <v>2461</v>
      </c>
      <c r="D1387" s="55" t="s">
        <v>2391</v>
      </c>
      <c r="F1387" s="55">
        <v>2000</v>
      </c>
      <c r="J1387" s="55" t="str">
        <f t="shared" si="89"/>
        <v>G-23KP</v>
      </c>
    </row>
    <row r="1388" spans="1:10">
      <c r="A1388" s="1784" t="s">
        <v>1569</v>
      </c>
      <c r="C1388" s="1784" t="s">
        <v>2462</v>
      </c>
      <c r="D1388" s="55" t="s">
        <v>2391</v>
      </c>
      <c r="F1388" s="55">
        <v>2000</v>
      </c>
      <c r="J1388" s="55" t="str">
        <f t="shared" si="89"/>
        <v>G-720</v>
      </c>
    </row>
    <row r="1389" spans="1:10">
      <c r="A1389" s="1784" t="s">
        <v>1195</v>
      </c>
      <c r="C1389" s="1784" t="s">
        <v>2463</v>
      </c>
      <c r="D1389" s="55" t="s">
        <v>2391</v>
      </c>
      <c r="F1389" s="55">
        <v>2000</v>
      </c>
      <c r="J1389" s="55" t="str">
        <f t="shared" si="89"/>
        <v>CODE th-Þ240</v>
      </c>
    </row>
    <row r="1390" spans="1:10">
      <c r="A1390" s="1784" t="s">
        <v>633</v>
      </c>
      <c r="C1390" s="1784" t="s">
        <v>2464</v>
      </c>
      <c r="D1390" s="55" t="s">
        <v>2391</v>
      </c>
      <c r="F1390" s="55">
        <v>2000</v>
      </c>
      <c r="J1390" s="55" t="str">
        <f t="shared" si="89"/>
        <v>CX-ht</v>
      </c>
    </row>
    <row r="1391" spans="1:10">
      <c r="A1391" s="1784" t="s">
        <v>205</v>
      </c>
      <c r="C1391" s="1784" t="s">
        <v>2465</v>
      </c>
      <c r="D1391" s="55" t="s">
        <v>2391</v>
      </c>
      <c r="F1391" s="55">
        <v>2000</v>
      </c>
      <c r="J1391" s="55" t="str">
        <f t="shared" si="89"/>
        <v>T CL-ht</v>
      </c>
    </row>
    <row r="1392" spans="1:10">
      <c r="A1392" s="1784" t="s">
        <v>632</v>
      </c>
      <c r="C1392" s="1784" t="s">
        <v>2468</v>
      </c>
      <c r="D1392" s="55" t="s">
        <v>2391</v>
      </c>
      <c r="F1392" s="55">
        <v>2000</v>
      </c>
      <c r="J1392" s="55" t="str">
        <f t="shared" si="89"/>
        <v>CL-ht</v>
      </c>
    </row>
    <row r="1393" spans="1:10">
      <c r="A1393" s="1784" t="s">
        <v>835</v>
      </c>
      <c r="C1393" s="1784" t="s">
        <v>2469</v>
      </c>
      <c r="D1393" s="55" t="s">
        <v>2391</v>
      </c>
      <c r="F1393" s="55">
        <v>2000</v>
      </c>
      <c r="J1393" s="55" t="str">
        <f t="shared" si="89"/>
        <v>CX10-B</v>
      </c>
    </row>
    <row r="1394" spans="1:10">
      <c r="A1394" s="1784" t="s">
        <v>836</v>
      </c>
      <c r="C1394" s="1784" t="s">
        <v>2470</v>
      </c>
      <c r="D1394" s="55" t="s">
        <v>2391</v>
      </c>
      <c r="F1394" s="55">
        <v>2000</v>
      </c>
      <c r="J1394" s="55" t="str">
        <f t="shared" si="89"/>
        <v>CL10-B</v>
      </c>
    </row>
    <row r="1395" spans="1:10">
      <c r="A1395" s="1784" t="s">
        <v>837</v>
      </c>
      <c r="C1395" s="1784" t="s">
        <v>2471</v>
      </c>
      <c r="D1395" s="55" t="s">
        <v>2391</v>
      </c>
      <c r="F1395" s="55">
        <v>2000</v>
      </c>
      <c r="J1395" s="55" t="str">
        <f t="shared" si="89"/>
        <v>CXX10-B</v>
      </c>
    </row>
    <row r="1396" spans="1:10">
      <c r="A1396" s="1784" t="s">
        <v>1273</v>
      </c>
      <c r="C1396" s="1784" t="s">
        <v>2472</v>
      </c>
      <c r="D1396" s="55" t="s">
        <v>2391</v>
      </c>
      <c r="F1396" s="55">
        <v>2000</v>
      </c>
      <c r="J1396" s="55" t="str">
        <f t="shared" si="89"/>
        <v>T CX12-B</v>
      </c>
    </row>
    <row r="1397" spans="1:10">
      <c r="A1397" s="1784" t="s">
        <v>663</v>
      </c>
      <c r="C1397" s="1784" t="s">
        <v>2473</v>
      </c>
      <c r="D1397" s="55" t="s">
        <v>2391</v>
      </c>
      <c r="F1397" s="55">
        <v>2000</v>
      </c>
      <c r="J1397" s="55" t="str">
        <f t="shared" si="89"/>
        <v>CX12-B</v>
      </c>
    </row>
    <row r="1398" spans="1:10">
      <c r="A1398" s="1784" t="s">
        <v>195</v>
      </c>
      <c r="C1398" s="1784" t="s">
        <v>2475</v>
      </c>
      <c r="D1398" s="55" t="s">
        <v>2391</v>
      </c>
      <c r="F1398" s="55">
        <v>2000</v>
      </c>
      <c r="J1398" s="55" t="str">
        <f t="shared" si="89"/>
        <v>T CL12-B</v>
      </c>
    </row>
    <row r="1399" spans="1:10">
      <c r="A1399" s="1784" t="s">
        <v>664</v>
      </c>
      <c r="C1399" s="1784" t="s">
        <v>2476</v>
      </c>
      <c r="D1399" s="55" t="s">
        <v>2391</v>
      </c>
      <c r="F1399" s="55">
        <v>2000</v>
      </c>
      <c r="J1399" s="55" t="str">
        <f t="shared" si="89"/>
        <v>CL12-B</v>
      </c>
    </row>
    <row r="1400" spans="1:10">
      <c r="A1400" s="1784" t="s">
        <v>665</v>
      </c>
      <c r="C1400" s="1784" t="s">
        <v>2477</v>
      </c>
      <c r="D1400" s="55" t="s">
        <v>2391</v>
      </c>
      <c r="F1400" s="55">
        <v>2000</v>
      </c>
      <c r="J1400" s="55" t="str">
        <f t="shared" si="89"/>
        <v>CXX12-B</v>
      </c>
    </row>
    <row r="1401" spans="1:10">
      <c r="A1401" s="1784" t="s">
        <v>666</v>
      </c>
      <c r="C1401" s="1784" t="s">
        <v>2478</v>
      </c>
      <c r="D1401" s="55" t="s">
        <v>2391</v>
      </c>
      <c r="F1401" s="55">
        <v>2000</v>
      </c>
      <c r="J1401" s="55" t="str">
        <f t="shared" si="89"/>
        <v>CX14-B</v>
      </c>
    </row>
    <row r="1402" spans="1:10">
      <c r="A1402" s="1784" t="s">
        <v>912</v>
      </c>
      <c r="C1402" s="1784" t="s">
        <v>2479</v>
      </c>
      <c r="D1402" s="55" t="s">
        <v>2391</v>
      </c>
      <c r="F1402" s="55">
        <v>2000</v>
      </c>
      <c r="J1402" s="55" t="str">
        <f t="shared" si="89"/>
        <v>CL14-B</v>
      </c>
    </row>
    <row r="1403" spans="1:10">
      <c r="A1403" s="1784" t="s">
        <v>913</v>
      </c>
      <c r="C1403" s="1784" t="s">
        <v>2480</v>
      </c>
      <c r="D1403" s="55" t="s">
        <v>2391</v>
      </c>
      <c r="F1403" s="55">
        <v>2000</v>
      </c>
      <c r="J1403" s="55" t="str">
        <f t="shared" si="89"/>
        <v>CXX14-B</v>
      </c>
    </row>
    <row r="1404" spans="1:10">
      <c r="A1404" s="1784" t="s">
        <v>749</v>
      </c>
      <c r="C1404" s="1784" t="s">
        <v>2481</v>
      </c>
      <c r="D1404" s="55" t="s">
        <v>2391</v>
      </c>
      <c r="F1404" s="55">
        <v>2000</v>
      </c>
      <c r="J1404" s="55" t="str">
        <f t="shared" si="89"/>
        <v>CK-B</v>
      </c>
    </row>
    <row r="1405" spans="1:10">
      <c r="A1405" s="1784" t="s">
        <v>748</v>
      </c>
      <c r="C1405" s="1784" t="s">
        <v>2482</v>
      </c>
      <c r="D1405" s="55" t="s">
        <v>2391</v>
      </c>
      <c r="F1405" s="55">
        <v>2000</v>
      </c>
      <c r="J1405" s="55" t="str">
        <f t="shared" si="89"/>
        <v>CKK-B</v>
      </c>
    </row>
    <row r="1406" spans="1:10">
      <c r="A1406" s="1784" t="s">
        <v>345</v>
      </c>
      <c r="C1406" s="1784" t="s">
        <v>2483</v>
      </c>
      <c r="D1406" s="55" t="s">
        <v>2391</v>
      </c>
      <c r="F1406" s="55">
        <v>2000</v>
      </c>
      <c r="J1406" s="55" t="str">
        <f t="shared" si="89"/>
        <v>CX10-C</v>
      </c>
    </row>
    <row r="1407" spans="1:10">
      <c r="A1407" s="1784" t="s">
        <v>1084</v>
      </c>
      <c r="C1407" s="1784" t="s">
        <v>2484</v>
      </c>
      <c r="D1407" s="55" t="s">
        <v>2391</v>
      </c>
      <c r="F1407" s="55">
        <v>2000</v>
      </c>
      <c r="J1407" s="55" t="str">
        <f t="shared" si="89"/>
        <v>CL10-C</v>
      </c>
    </row>
    <row r="1408" spans="1:10">
      <c r="A1408" s="1784" t="s">
        <v>1085</v>
      </c>
      <c r="C1408" s="1784" t="s">
        <v>2485</v>
      </c>
      <c r="D1408" s="55" t="s">
        <v>2391</v>
      </c>
      <c r="F1408" s="55">
        <v>2000</v>
      </c>
      <c r="J1408" s="55" t="str">
        <f t="shared" si="89"/>
        <v>CXX10-C</v>
      </c>
    </row>
    <row r="1409" spans="1:10">
      <c r="A1409" s="1784" t="s">
        <v>1086</v>
      </c>
      <c r="C1409" s="1784" t="s">
        <v>2486</v>
      </c>
      <c r="D1409" s="55" t="s">
        <v>2391</v>
      </c>
      <c r="F1409" s="55">
        <v>2000</v>
      </c>
      <c r="J1409" s="55" t="str">
        <f t="shared" si="89"/>
        <v>CX12-C</v>
      </c>
    </row>
    <row r="1410" spans="1:10">
      <c r="A1410" s="1784" t="s">
        <v>1087</v>
      </c>
      <c r="C1410" s="1784" t="s">
        <v>2487</v>
      </c>
      <c r="D1410" s="55" t="s">
        <v>2391</v>
      </c>
      <c r="F1410" s="55">
        <v>2000</v>
      </c>
      <c r="J1410" s="55" t="str">
        <f t="shared" si="89"/>
        <v>CL12-C</v>
      </c>
    </row>
    <row r="1411" spans="1:10">
      <c r="A1411" s="1784" t="s">
        <v>1088</v>
      </c>
      <c r="C1411" s="1784" t="s">
        <v>2488</v>
      </c>
      <c r="D1411" s="55" t="s">
        <v>2391</v>
      </c>
      <c r="F1411" s="55">
        <v>2000</v>
      </c>
      <c r="J1411" s="55" t="str">
        <f t="shared" si="89"/>
        <v>CXX12-C</v>
      </c>
    </row>
    <row r="1412" spans="1:10">
      <c r="A1412" s="1784" t="s">
        <v>1813</v>
      </c>
      <c r="C1412" s="1784" t="s">
        <v>2489</v>
      </c>
      <c r="D1412" s="55" t="s">
        <v>2391</v>
      </c>
      <c r="F1412" s="55">
        <v>2000</v>
      </c>
      <c r="J1412" s="55" t="str">
        <f t="shared" si="89"/>
        <v>CX14-C</v>
      </c>
    </row>
    <row r="1413" spans="1:10">
      <c r="A1413" s="1784" t="s">
        <v>339</v>
      </c>
      <c r="C1413" s="1784" t="s">
        <v>2490</v>
      </c>
      <c r="D1413" s="55" t="s">
        <v>2391</v>
      </c>
      <c r="F1413" s="55">
        <v>2000</v>
      </c>
      <c r="J1413" s="55" t="str">
        <f t="shared" si="89"/>
        <v>CL14-C</v>
      </c>
    </row>
    <row r="1414" spans="1:10">
      <c r="A1414" s="1784" t="s">
        <v>1243</v>
      </c>
      <c r="C1414" s="1784" t="s">
        <v>2491</v>
      </c>
      <c r="D1414" s="55" t="s">
        <v>2391</v>
      </c>
      <c r="F1414" s="55">
        <v>2000</v>
      </c>
      <c r="J1414" s="55" t="str">
        <f t="shared" ref="J1414:J1477" si="90">A1414</f>
        <v>CXX14-C</v>
      </c>
    </row>
    <row r="1415" spans="1:10">
      <c r="A1415" s="1784" t="s">
        <v>812</v>
      </c>
      <c r="C1415" s="1784" t="s">
        <v>2492</v>
      </c>
      <c r="D1415" s="55" t="s">
        <v>2391</v>
      </c>
      <c r="F1415" s="55">
        <v>2000</v>
      </c>
      <c r="J1415" s="55" t="str">
        <f t="shared" si="90"/>
        <v>CX20-C</v>
      </c>
    </row>
    <row r="1416" spans="1:10">
      <c r="A1416" s="1784" t="s">
        <v>1089</v>
      </c>
      <c r="C1416" s="1784" t="s">
        <v>2493</v>
      </c>
      <c r="D1416" s="55" t="s">
        <v>2391</v>
      </c>
      <c r="F1416" s="55">
        <v>2000</v>
      </c>
      <c r="J1416" s="55" t="str">
        <f t="shared" si="90"/>
        <v>CK-C</v>
      </c>
    </row>
    <row r="1417" spans="1:10">
      <c r="A1417" s="1784" t="s">
        <v>1090</v>
      </c>
      <c r="C1417" s="1784" t="s">
        <v>2494</v>
      </c>
      <c r="D1417" s="55" t="s">
        <v>2391</v>
      </c>
      <c r="F1417" s="55">
        <v>2000</v>
      </c>
      <c r="J1417" s="55" t="str">
        <f t="shared" si="90"/>
        <v>CKK-C</v>
      </c>
    </row>
    <row r="1418" spans="1:10">
      <c r="A1418" s="1784" t="s">
        <v>1495</v>
      </c>
      <c r="C1418" s="1784" t="s">
        <v>2495</v>
      </c>
      <c r="D1418" s="55" t="s">
        <v>2391</v>
      </c>
      <c r="F1418" s="55">
        <v>2000</v>
      </c>
      <c r="J1418" s="55" t="str">
        <f t="shared" si="90"/>
        <v>NXX</v>
      </c>
    </row>
    <row r="1419" spans="1:10">
      <c r="A1419" s="1784" t="s">
        <v>1496</v>
      </c>
      <c r="C1419" s="1784" t="s">
        <v>2496</v>
      </c>
      <c r="D1419" s="55" t="s">
        <v>2391</v>
      </c>
      <c r="F1419" s="55">
        <v>2000</v>
      </c>
      <c r="J1419" s="55" t="str">
        <f t="shared" si="90"/>
        <v>NXL</v>
      </c>
    </row>
    <row r="1420" spans="1:10">
      <c r="A1420" s="1784" t="s">
        <v>1575</v>
      </c>
      <c r="C1420" s="1784" t="s">
        <v>2497</v>
      </c>
      <c r="D1420" s="55" t="s">
        <v>2391</v>
      </c>
      <c r="F1420" s="55">
        <v>2000</v>
      </c>
      <c r="J1420" s="55" t="str">
        <f t="shared" si="90"/>
        <v xml:space="preserve">MNX12-2 </v>
      </c>
    </row>
    <row r="1421" spans="1:10">
      <c r="A1421" s="1784" t="s">
        <v>1091</v>
      </c>
      <c r="C1421" s="1784" t="s">
        <v>2498</v>
      </c>
      <c r="D1421" s="55" t="s">
        <v>2391</v>
      </c>
      <c r="F1421" s="55">
        <v>2000</v>
      </c>
      <c r="J1421" s="55" t="str">
        <f t="shared" si="90"/>
        <v>MNL12-2</v>
      </c>
    </row>
    <row r="1422" spans="1:10">
      <c r="A1422" s="1784" t="s">
        <v>2152</v>
      </c>
      <c r="C1422" s="1784" t="s">
        <v>2499</v>
      </c>
      <c r="D1422" s="55" t="s">
        <v>2391</v>
      </c>
      <c r="F1422" s="55">
        <v>2000</v>
      </c>
      <c r="J1422" s="55" t="str">
        <f t="shared" si="90"/>
        <v xml:space="preserve">MNX12-4 </v>
      </c>
    </row>
    <row r="1423" spans="1:10">
      <c r="A1423" s="1784" t="s">
        <v>1092</v>
      </c>
      <c r="C1423" s="1784" t="s">
        <v>2500</v>
      </c>
      <c r="D1423" s="55" t="s">
        <v>2391</v>
      </c>
      <c r="F1423" s="55">
        <v>2000</v>
      </c>
      <c r="J1423" s="55" t="str">
        <f t="shared" si="90"/>
        <v xml:space="preserve">MNL12-4 </v>
      </c>
    </row>
    <row r="1424" spans="1:10">
      <c r="A1424" s="1784" t="s">
        <v>2153</v>
      </c>
      <c r="C1424" s="1784" t="s">
        <v>2501</v>
      </c>
      <c r="D1424" s="55" t="s">
        <v>2391</v>
      </c>
      <c r="F1424" s="55">
        <v>2000</v>
      </c>
      <c r="J1424" s="55" t="str">
        <f t="shared" si="90"/>
        <v xml:space="preserve">MNX15-4 </v>
      </c>
    </row>
    <row r="1425" spans="1:10">
      <c r="A1425" s="1784" t="s">
        <v>1093</v>
      </c>
      <c r="C1425" s="1784" t="s">
        <v>2502</v>
      </c>
      <c r="D1425" s="55" t="s">
        <v>2391</v>
      </c>
      <c r="F1425" s="55">
        <v>2000</v>
      </c>
      <c r="J1425" s="55" t="str">
        <f t="shared" si="90"/>
        <v>MNL15-4</v>
      </c>
    </row>
    <row r="1426" spans="1:10">
      <c r="A1426" s="1784" t="s">
        <v>2050</v>
      </c>
      <c r="C1426" s="1784" t="s">
        <v>2503</v>
      </c>
      <c r="D1426" s="55" t="s">
        <v>2391</v>
      </c>
      <c r="F1426" s="55">
        <v>2000</v>
      </c>
      <c r="J1426" s="55" t="str">
        <f t="shared" si="90"/>
        <v xml:space="preserve">MNX15-6 </v>
      </c>
    </row>
    <row r="1427" spans="1:10">
      <c r="A1427" s="1784" t="s">
        <v>1094</v>
      </c>
      <c r="C1427" s="1784" t="s">
        <v>2504</v>
      </c>
      <c r="D1427" s="55" t="s">
        <v>2391</v>
      </c>
      <c r="F1427" s="55">
        <v>2000</v>
      </c>
      <c r="J1427" s="55" t="str">
        <f t="shared" si="90"/>
        <v xml:space="preserve">MNL15-6 </v>
      </c>
    </row>
    <row r="1428" spans="1:10">
      <c r="A1428" s="1784" t="s">
        <v>28</v>
      </c>
      <c r="C1428" s="1784" t="s">
        <v>4433</v>
      </c>
      <c r="D1428" s="55" t="s">
        <v>2307</v>
      </c>
      <c r="F1428" s="55">
        <v>2000</v>
      </c>
      <c r="J1428" s="55" t="str">
        <f t="shared" si="90"/>
        <v>DDTT3P-ct</v>
      </c>
    </row>
    <row r="1429" spans="1:10">
      <c r="A1429" s="1784" t="s">
        <v>742</v>
      </c>
      <c r="C1429" s="1784" t="s">
        <v>2533</v>
      </c>
      <c r="D1429" s="55" t="s">
        <v>2307</v>
      </c>
      <c r="F1429" s="55">
        <v>2000</v>
      </c>
      <c r="J1429" s="55" t="str">
        <f t="shared" si="90"/>
        <v>DDTT3P2m-m</v>
      </c>
    </row>
    <row r="1430" spans="1:10">
      <c r="A1430" s="1784" t="s">
        <v>1923</v>
      </c>
      <c r="C1430" s="1784" t="s">
        <v>4494</v>
      </c>
      <c r="D1430" s="55" t="s">
        <v>2307</v>
      </c>
      <c r="F1430" s="55">
        <v>2000</v>
      </c>
      <c r="J1430" s="55" t="str">
        <f t="shared" si="90"/>
        <v>DDTT3P1m-m</v>
      </c>
    </row>
    <row r="1431" spans="1:10">
      <c r="A1431" s="1784" t="s">
        <v>1982</v>
      </c>
      <c r="C1431" s="1784" t="s">
        <v>2562</v>
      </c>
      <c r="D1431" s="55" t="s">
        <v>2307</v>
      </c>
      <c r="F1431" s="55">
        <v>2000</v>
      </c>
      <c r="J1431" s="55" t="str">
        <f t="shared" si="90"/>
        <v>DDTT1P-m</v>
      </c>
    </row>
    <row r="1432" spans="1:10">
      <c r="A1432" s="1784" t="s">
        <v>284</v>
      </c>
      <c r="C1432" s="1784" t="s">
        <v>2567</v>
      </c>
      <c r="D1432" s="55" t="s">
        <v>2307</v>
      </c>
      <c r="F1432" s="55">
        <v>2000</v>
      </c>
      <c r="J1432" s="55" t="str">
        <f t="shared" si="90"/>
        <v>DDHTDL</v>
      </c>
    </row>
    <row r="1433" spans="1:10">
      <c r="A1433" s="1784" t="s">
        <v>31</v>
      </c>
      <c r="C1433" s="1784" t="s">
        <v>2572</v>
      </c>
      <c r="D1433" s="55" t="s">
        <v>2307</v>
      </c>
      <c r="F1433" s="55">
        <v>2000</v>
      </c>
      <c r="J1433" s="55" t="str">
        <f t="shared" si="90"/>
        <v>DDHTHH</v>
      </c>
    </row>
    <row r="1434" spans="1:10">
      <c r="A1434" s="1784" t="s">
        <v>162</v>
      </c>
      <c r="C1434" s="1784" t="s">
        <v>2573</v>
      </c>
      <c r="D1434" s="55" t="s">
        <v>2307</v>
      </c>
      <c r="F1434" s="55">
        <v>2000</v>
      </c>
      <c r="J1434" s="55" t="str">
        <f t="shared" si="90"/>
        <v>HTCS</v>
      </c>
    </row>
    <row r="1435" spans="1:10">
      <c r="A1435" s="1784" t="s">
        <v>1501</v>
      </c>
      <c r="C1435" s="1784" t="s">
        <v>2574</v>
      </c>
      <c r="F1435" s="55">
        <v>2000</v>
      </c>
      <c r="J1435" s="55" t="str">
        <f t="shared" si="90"/>
        <v>Hotline</v>
      </c>
    </row>
    <row r="1436" spans="1:10">
      <c r="A1436" s="1784" t="s">
        <v>589</v>
      </c>
      <c r="C1436" s="1784" t="s">
        <v>2575</v>
      </c>
      <c r="F1436" s="55">
        <v>2000</v>
      </c>
      <c r="J1436" s="55" t="str">
        <f t="shared" si="90"/>
        <v>TBDD3pct</v>
      </c>
    </row>
    <row r="1437" spans="1:10">
      <c r="A1437" s="1784" t="s">
        <v>1926</v>
      </c>
      <c r="C1437" s="1784" t="s">
        <v>2576</v>
      </c>
      <c r="F1437" s="55">
        <v>2000</v>
      </c>
      <c r="J1437" s="55" t="str">
        <f t="shared" si="90"/>
        <v>TBDD3p2m</v>
      </c>
    </row>
    <row r="1438" spans="1:10">
      <c r="A1438" s="1784" t="s">
        <v>1139</v>
      </c>
      <c r="C1438" s="1784" t="s">
        <v>2577</v>
      </c>
      <c r="F1438" s="55">
        <v>2000</v>
      </c>
      <c r="J1438" s="55" t="str">
        <f t="shared" si="90"/>
        <v>TBDD3p1m</v>
      </c>
    </row>
    <row r="1439" spans="1:10">
      <c r="A1439" s="1784" t="s">
        <v>2318</v>
      </c>
      <c r="C1439" s="1784" t="s">
        <v>2578</v>
      </c>
      <c r="F1439" s="55">
        <v>2000</v>
      </c>
      <c r="J1439" s="55" t="str">
        <f t="shared" si="90"/>
        <v>TĐĐ</v>
      </c>
    </row>
    <row r="1440" spans="1:10">
      <c r="A1440" s="1784" t="s">
        <v>1903</v>
      </c>
      <c r="C1440" s="1784" t="s">
        <v>2579</v>
      </c>
      <c r="F1440" s="55">
        <v>2000</v>
      </c>
      <c r="J1440" s="55" t="str">
        <f t="shared" si="90"/>
        <v>TBDD1p</v>
      </c>
    </row>
    <row r="1441" spans="1:10">
      <c r="A1441" s="1784" t="s">
        <v>947</v>
      </c>
      <c r="C1441" s="1784" t="s">
        <v>2580</v>
      </c>
      <c r="F1441" s="55">
        <v>2000</v>
      </c>
      <c r="J1441" s="55" t="str">
        <f t="shared" si="90"/>
        <v>TBHT</v>
      </c>
    </row>
    <row r="1442" spans="1:10">
      <c r="A1442" s="1784" t="s">
        <v>1044</v>
      </c>
      <c r="C1442" s="1784" t="s">
        <v>2581</v>
      </c>
      <c r="F1442" s="55">
        <v>2000</v>
      </c>
      <c r="J1442" s="55" t="str">
        <f t="shared" si="90"/>
        <v>BBVS</v>
      </c>
    </row>
    <row r="1443" spans="1:10">
      <c r="A1443" s="1784" t="s">
        <v>1045</v>
      </c>
      <c r="C1443" s="1784" t="s">
        <v>2582</v>
      </c>
      <c r="D1443" s="55" t="s">
        <v>2583</v>
      </c>
      <c r="F1443" s="55">
        <v>2000</v>
      </c>
      <c r="J1443" s="55" t="str">
        <f t="shared" si="90"/>
        <v>CBH9</v>
      </c>
    </row>
    <row r="1444" spans="1:10">
      <c r="A1444" s="1784" t="s">
        <v>1046</v>
      </c>
      <c r="C1444" s="1784" t="s">
        <v>2584</v>
      </c>
      <c r="D1444" s="55" t="s">
        <v>2585</v>
      </c>
      <c r="F1444" s="55">
        <v>2000</v>
      </c>
      <c r="J1444" s="55" t="str">
        <f t="shared" si="90"/>
        <v>BBH1212</v>
      </c>
    </row>
    <row r="1445" spans="1:10">
      <c r="A1445" s="1784" t="s">
        <v>1047</v>
      </c>
      <c r="C1445" s="1784" t="s">
        <v>2586</v>
      </c>
      <c r="D1445" s="55" t="s">
        <v>2333</v>
      </c>
      <c r="F1445" s="55">
        <v>2000</v>
      </c>
      <c r="J1445" s="55" t="str">
        <f t="shared" si="90"/>
        <v>MCBH1212</v>
      </c>
    </row>
    <row r="1446" spans="1:10" ht="16.8">
      <c r="A1446" s="1804" t="s">
        <v>2505</v>
      </c>
      <c r="C1446" s="1784" t="s">
        <v>2506</v>
      </c>
      <c r="D1446" s="55" t="s">
        <v>2445</v>
      </c>
      <c r="F1446" s="55">
        <v>2000</v>
      </c>
      <c r="J1446" s="55" t="str">
        <f t="shared" si="90"/>
        <v>Đth-U</v>
      </c>
    </row>
    <row r="1447" spans="1:10" ht="16.8">
      <c r="A1447" s="1804" t="s">
        <v>1624</v>
      </c>
      <c r="C1447" s="1784" t="s">
        <v>2507</v>
      </c>
      <c r="D1447" s="55" t="s">
        <v>2445</v>
      </c>
      <c r="F1447" s="55">
        <v>2000</v>
      </c>
      <c r="J1447" s="55" t="str">
        <f t="shared" si="90"/>
        <v>Nth-U</v>
      </c>
    </row>
    <row r="1448" spans="1:10" ht="16.8">
      <c r="A1448" s="1804" t="s">
        <v>1625</v>
      </c>
      <c r="C1448" s="1784" t="s">
        <v>2508</v>
      </c>
      <c r="D1448" s="55" t="s">
        <v>2445</v>
      </c>
      <c r="F1448" s="55">
        <v>2000</v>
      </c>
      <c r="J1448" s="55" t="str">
        <f t="shared" si="90"/>
        <v>Nth-T</v>
      </c>
    </row>
    <row r="1449" spans="1:10" ht="16.8">
      <c r="A1449" s="1804" t="s">
        <v>2166</v>
      </c>
      <c r="C1449" s="1784" t="s">
        <v>2509</v>
      </c>
      <c r="D1449" s="55" t="s">
        <v>2445</v>
      </c>
      <c r="F1449" s="55">
        <v>2000</v>
      </c>
      <c r="J1449" s="55" t="str">
        <f t="shared" si="90"/>
        <v>Nth-X</v>
      </c>
    </row>
    <row r="1450" spans="1:10" ht="16.8">
      <c r="A1450" s="1804" t="s">
        <v>2510</v>
      </c>
      <c r="C1450" s="1784" t="s">
        <v>2511</v>
      </c>
      <c r="D1450" s="55" t="s">
        <v>2445</v>
      </c>
      <c r="E1450" s="2238" t="str">
        <f t="shared" ref="E1450" si="91">LEFT(A1450,2)</f>
        <v>SĐ</v>
      </c>
      <c r="F1450" s="55">
        <v>2000</v>
      </c>
      <c r="J1450" s="55" t="str">
        <f t="shared" si="90"/>
        <v>SĐU</v>
      </c>
    </row>
    <row r="1451" spans="1:10" ht="16.8">
      <c r="A1451" s="1804" t="s">
        <v>2512</v>
      </c>
      <c r="C1451" s="1784" t="s">
        <v>2513</v>
      </c>
      <c r="D1451" s="55" t="s">
        <v>2445</v>
      </c>
      <c r="F1451" s="55">
        <v>2000</v>
      </c>
      <c r="J1451" s="55" t="str">
        <f t="shared" si="90"/>
        <v>SĐI</v>
      </c>
    </row>
    <row r="1452" spans="1:10" ht="16.8">
      <c r="A1452" s="1804" t="s">
        <v>2514</v>
      </c>
      <c r="C1452" s="1784" t="s">
        <v>2515</v>
      </c>
      <c r="D1452" s="55" t="s">
        <v>2445</v>
      </c>
      <c r="F1452" s="55">
        <v>2000</v>
      </c>
      <c r="J1452" s="55" t="str">
        <f t="shared" si="90"/>
        <v>SĐG</v>
      </c>
    </row>
    <row r="1453" spans="1:10" ht="16.8">
      <c r="A1453" s="1804" t="s">
        <v>2516</v>
      </c>
      <c r="C1453" s="1784" t="s">
        <v>2517</v>
      </c>
      <c r="D1453" s="55" t="s">
        <v>2445</v>
      </c>
      <c r="F1453" s="55">
        <v>2000</v>
      </c>
      <c r="J1453" s="55" t="str">
        <f t="shared" si="90"/>
        <v>CĐT 2BAT-T</v>
      </c>
    </row>
    <row r="1454" spans="1:10" ht="16.8">
      <c r="A1454" s="1804" t="s">
        <v>2519</v>
      </c>
      <c r="C1454" s="1784" t="s">
        <v>2520</v>
      </c>
      <c r="D1454" s="55" t="s">
        <v>2445</v>
      </c>
      <c r="F1454" s="55">
        <v>2000</v>
      </c>
      <c r="J1454" s="55" t="str">
        <f t="shared" si="90"/>
        <v>CĐT 2BAT-X</v>
      </c>
    </row>
    <row r="1455" spans="1:10" ht="16.8">
      <c r="A1455" s="1804" t="s">
        <v>2521</v>
      </c>
      <c r="C1455" s="1784" t="s">
        <v>2522</v>
      </c>
      <c r="D1455" s="55" t="s">
        <v>2445</v>
      </c>
      <c r="F1455" s="55">
        <v>2000</v>
      </c>
      <c r="J1455" s="55" t="str">
        <f t="shared" si="90"/>
        <v>CĐT ply-X</v>
      </c>
    </row>
    <row r="1456" spans="1:10" ht="16.8">
      <c r="A1456" s="1804" t="s">
        <v>2535</v>
      </c>
      <c r="C1456" s="1784" t="s">
        <v>2536</v>
      </c>
      <c r="D1456" s="55" t="s">
        <v>2445</v>
      </c>
      <c r="F1456" s="55">
        <v>2000</v>
      </c>
      <c r="J1456" s="55" t="str">
        <f t="shared" si="90"/>
        <v>CĐT pty-X</v>
      </c>
    </row>
    <row r="1457" spans="1:10" ht="16.8">
      <c r="A1457" s="1804" t="s">
        <v>2540</v>
      </c>
      <c r="C1457" s="1784" t="s">
        <v>2541</v>
      </c>
      <c r="D1457" s="55" t="s">
        <v>2445</v>
      </c>
      <c r="F1457" s="55">
        <v>2000</v>
      </c>
      <c r="J1457" s="55" t="str">
        <f t="shared" si="90"/>
        <v>Đth-U-g</v>
      </c>
    </row>
    <row r="1458" spans="1:10" ht="16.8">
      <c r="A1458" s="1804" t="s">
        <v>2542</v>
      </c>
      <c r="C1458" s="1784" t="s">
        <v>2543</v>
      </c>
      <c r="D1458" s="55" t="s">
        <v>2445</v>
      </c>
      <c r="F1458" s="55">
        <v>2000</v>
      </c>
      <c r="J1458" s="55" t="str">
        <f t="shared" si="90"/>
        <v>Đth-X</v>
      </c>
    </row>
    <row r="1459" spans="1:10" ht="16.8">
      <c r="A1459" s="1804" t="s">
        <v>534</v>
      </c>
      <c r="C1459" s="1784" t="s">
        <v>2544</v>
      </c>
      <c r="D1459" s="55" t="s">
        <v>2445</v>
      </c>
      <c r="F1459" s="55">
        <v>2000</v>
      </c>
      <c r="J1459" s="55" t="str">
        <f t="shared" si="90"/>
        <v>Nth-T-g</v>
      </c>
    </row>
    <row r="1460" spans="1:10" ht="16.8">
      <c r="A1460" s="1804" t="s">
        <v>2548</v>
      </c>
      <c r="C1460" s="1784" t="s">
        <v>2522</v>
      </c>
      <c r="D1460" s="55" t="s">
        <v>2445</v>
      </c>
      <c r="F1460" s="55">
        <v>2000</v>
      </c>
      <c r="J1460" s="55" t="str">
        <f t="shared" si="90"/>
        <v>CĐTply-X</v>
      </c>
    </row>
    <row r="1461" spans="1:10" ht="16.8">
      <c r="A1461" s="1804" t="s">
        <v>2549</v>
      </c>
      <c r="C1461" s="1784" t="s">
        <v>2550</v>
      </c>
      <c r="D1461" s="55" t="s">
        <v>2445</v>
      </c>
      <c r="F1461" s="55">
        <v>2000</v>
      </c>
      <c r="J1461" s="55" t="str">
        <f t="shared" si="90"/>
        <v>CĐTply-T</v>
      </c>
    </row>
    <row r="1462" spans="1:10">
      <c r="A1462" s="1784" t="s">
        <v>4745</v>
      </c>
      <c r="C1462" s="1784" t="s">
        <v>4663</v>
      </c>
      <c r="D1462" s="55" t="s">
        <v>2563</v>
      </c>
      <c r="F1462" s="55">
        <v>50</v>
      </c>
      <c r="J1462" s="55" t="str">
        <f t="shared" si="90"/>
        <v>ttf50</v>
      </c>
    </row>
    <row r="1463" spans="1:10">
      <c r="A1463" s="1784" t="s">
        <v>4746</v>
      </c>
      <c r="C1463" s="1784" t="s">
        <v>4913</v>
      </c>
      <c r="D1463" s="55" t="s">
        <v>2563</v>
      </c>
      <c r="F1463" s="55">
        <v>50</v>
      </c>
      <c r="J1463" s="55" t="str">
        <f t="shared" si="90"/>
        <v>ssf50</v>
      </c>
    </row>
    <row r="1464" spans="1:10">
      <c r="A1464" s="1784" t="s">
        <v>4664</v>
      </c>
      <c r="C1464" s="1784" t="s">
        <v>4665</v>
      </c>
      <c r="D1464" s="55" t="s">
        <v>856</v>
      </c>
      <c r="F1464" s="55">
        <v>999</v>
      </c>
      <c r="J1464" s="55" t="str">
        <f t="shared" si="90"/>
        <v>GO-CH</v>
      </c>
    </row>
    <row r="1465" spans="1:10">
      <c r="A1465" s="1784" t="s">
        <v>4666</v>
      </c>
      <c r="C1465" s="1784" t="s">
        <v>4667</v>
      </c>
      <c r="D1465" s="55" t="s">
        <v>856</v>
      </c>
      <c r="F1465" s="55">
        <v>999</v>
      </c>
      <c r="J1465" s="55" t="str">
        <f t="shared" si="90"/>
        <v>GO-DN</v>
      </c>
    </row>
    <row r="1466" spans="1:10">
      <c r="A1466" s="1784" t="s">
        <v>4668</v>
      </c>
      <c r="C1466" s="1784" t="s">
        <v>4669</v>
      </c>
      <c r="D1466" s="55" t="s">
        <v>856</v>
      </c>
      <c r="F1466" s="55">
        <v>999</v>
      </c>
      <c r="J1466" s="55" t="str">
        <f t="shared" si="90"/>
        <v>GO-V</v>
      </c>
    </row>
    <row r="1467" spans="1:10">
      <c r="A1467" s="1784" t="s">
        <v>4670</v>
      </c>
      <c r="C1467" s="1784" t="s">
        <v>4671</v>
      </c>
      <c r="D1467" s="55" t="s">
        <v>856</v>
      </c>
      <c r="F1467" s="55">
        <v>2000</v>
      </c>
      <c r="J1467" s="55" t="str">
        <f t="shared" si="90"/>
        <v>MDD3R1</v>
      </c>
    </row>
    <row r="1468" spans="1:10">
      <c r="A1468" s="1784" t="s">
        <v>4672</v>
      </c>
      <c r="C1468" s="1784" t="s">
        <v>4673</v>
      </c>
      <c r="D1468" s="55" t="s">
        <v>2445</v>
      </c>
      <c r="F1468" s="55">
        <v>50</v>
      </c>
      <c r="J1468" s="55" t="str">
        <f t="shared" si="90"/>
        <v>B16750V</v>
      </c>
    </row>
    <row r="1469" spans="1:10">
      <c r="A1469" s="1784" t="s">
        <v>4878</v>
      </c>
      <c r="C1469" s="1784" t="s">
        <v>4879</v>
      </c>
      <c r="D1469" s="55" t="s">
        <v>2445</v>
      </c>
      <c r="F1469" s="55">
        <v>50</v>
      </c>
      <c r="J1469" s="55" t="str">
        <f t="shared" si="90"/>
        <v>B16800V</v>
      </c>
    </row>
    <row r="1470" spans="1:10">
      <c r="A1470" s="1784" t="s">
        <v>4674</v>
      </c>
      <c r="C1470" s="1784" t="s">
        <v>4675</v>
      </c>
      <c r="D1470" s="55" t="s">
        <v>4676</v>
      </c>
      <c r="F1470" s="55">
        <v>3000</v>
      </c>
      <c r="J1470" s="55" t="str">
        <f t="shared" si="90"/>
        <v>LVANK</v>
      </c>
    </row>
    <row r="1471" spans="1:10">
      <c r="A1471" s="1784" t="s">
        <v>4677</v>
      </c>
      <c r="C1471" s="1784" t="s">
        <v>4678</v>
      </c>
      <c r="D1471" s="55" t="s">
        <v>2839</v>
      </c>
      <c r="F1471" s="55">
        <v>16</v>
      </c>
      <c r="J1471" s="55" t="str">
        <f t="shared" si="90"/>
        <v>T12540</v>
      </c>
    </row>
    <row r="1472" spans="1:10">
      <c r="A1472" s="1784" t="s">
        <v>4679</v>
      </c>
      <c r="C1472" s="1784" t="s">
        <v>4680</v>
      </c>
      <c r="D1472" s="55" t="s">
        <v>4681</v>
      </c>
      <c r="F1472" s="55">
        <v>50</v>
      </c>
      <c r="J1472" s="55" t="str">
        <f t="shared" si="90"/>
        <v>d22</v>
      </c>
    </row>
    <row r="1473" spans="1:10">
      <c r="A1473" s="1784" t="s">
        <v>4682</v>
      </c>
      <c r="C1473" s="1784" t="s">
        <v>4683</v>
      </c>
      <c r="D1473" s="55" t="s">
        <v>4681</v>
      </c>
      <c r="F1473" s="55">
        <v>50</v>
      </c>
      <c r="J1473" s="55" t="str">
        <f t="shared" si="90"/>
        <v>t81</v>
      </c>
    </row>
    <row r="1474" spans="1:10">
      <c r="A1474" s="1784" t="s">
        <v>4684</v>
      </c>
      <c r="C1474" s="1784" t="s">
        <v>4685</v>
      </c>
      <c r="D1474" s="55" t="s">
        <v>4681</v>
      </c>
      <c r="F1474" s="55">
        <v>50</v>
      </c>
      <c r="J1474" s="55" t="str">
        <f t="shared" si="90"/>
        <v>d200</v>
      </c>
    </row>
    <row r="1475" spans="1:10">
      <c r="A1475" s="1784" t="s">
        <v>4686</v>
      </c>
      <c r="C1475" s="1784" t="s">
        <v>4687</v>
      </c>
      <c r="D1475" s="55" t="s">
        <v>4681</v>
      </c>
      <c r="F1475" s="55">
        <v>50</v>
      </c>
      <c r="J1475" s="55" t="str">
        <f t="shared" si="90"/>
        <v>t115</v>
      </c>
    </row>
    <row r="1476" spans="1:10">
      <c r="A1476" s="1784" t="s">
        <v>4688</v>
      </c>
      <c r="C1476" s="1784" t="s">
        <v>4689</v>
      </c>
      <c r="D1476" s="55" t="s">
        <v>2445</v>
      </c>
      <c r="F1476" s="55">
        <v>2000</v>
      </c>
      <c r="J1476" s="55" t="str">
        <f t="shared" si="90"/>
        <v>XT2</v>
      </c>
    </row>
    <row r="1477" spans="1:10">
      <c r="A1477" s="1784" t="s">
        <v>4690</v>
      </c>
      <c r="C1477" s="1784" t="s">
        <v>4691</v>
      </c>
      <c r="D1477" s="55" t="s">
        <v>2445</v>
      </c>
      <c r="F1477" s="55">
        <v>2000</v>
      </c>
      <c r="J1477" s="55" t="str">
        <f t="shared" si="90"/>
        <v>XTK2</v>
      </c>
    </row>
    <row r="1478" spans="1:10">
      <c r="A1478" s="1784" t="s">
        <v>4692</v>
      </c>
      <c r="C1478" s="1784" t="s">
        <v>4693</v>
      </c>
      <c r="D1478" s="55" t="s">
        <v>2563</v>
      </c>
      <c r="F1478" s="55">
        <v>50</v>
      </c>
      <c r="J1478" s="55" t="str">
        <f t="shared" ref="J1478:J1521" si="92">A1478</f>
        <v>MANG4</v>
      </c>
    </row>
    <row r="1479" spans="1:10">
      <c r="A1479" s="1784" t="s">
        <v>4694</v>
      </c>
      <c r="C1479" s="1784" t="s">
        <v>4695</v>
      </c>
      <c r="D1479" s="55" t="s">
        <v>2538</v>
      </c>
      <c r="F1479" s="55">
        <v>11</v>
      </c>
      <c r="J1479" s="55" t="str">
        <f t="shared" si="92"/>
        <v>ACX50</v>
      </c>
    </row>
    <row r="1480" spans="1:10">
      <c r="A1480" s="1784" t="s">
        <v>4696</v>
      </c>
      <c r="C1480" s="1784" t="s">
        <v>4697</v>
      </c>
      <c r="D1480" s="55" t="s">
        <v>2563</v>
      </c>
      <c r="F1480" s="55">
        <v>50</v>
      </c>
      <c r="J1480" s="55" t="str">
        <f t="shared" si="92"/>
        <v>GNIU 185</v>
      </c>
    </row>
    <row r="1481" spans="1:10">
      <c r="A1481" s="1784" t="s">
        <v>4698</v>
      </c>
      <c r="C1481" s="1784" t="s">
        <v>4699</v>
      </c>
      <c r="D1481" s="55" t="s">
        <v>2563</v>
      </c>
      <c r="F1481" s="55">
        <v>50</v>
      </c>
      <c r="J1481" s="55" t="str">
        <f t="shared" si="92"/>
        <v>GNIU50</v>
      </c>
    </row>
    <row r="1482" spans="1:10">
      <c r="A1482" s="1784" t="s">
        <v>4700</v>
      </c>
      <c r="C1482" s="1784" t="s">
        <v>4701</v>
      </c>
      <c r="D1482" s="55" t="s">
        <v>2563</v>
      </c>
      <c r="F1482" s="55">
        <v>50</v>
      </c>
      <c r="J1482" s="55" t="str">
        <f t="shared" si="92"/>
        <v>ke279</v>
      </c>
    </row>
    <row r="1483" spans="1:10">
      <c r="A1483" s="1784" t="s">
        <v>4702</v>
      </c>
      <c r="C1483" s="1784" t="s">
        <v>4703</v>
      </c>
      <c r="D1483" s="55" t="s">
        <v>2563</v>
      </c>
      <c r="F1483" s="55">
        <v>50</v>
      </c>
      <c r="J1483" s="55" t="str">
        <f t="shared" si="92"/>
        <v>ke419</v>
      </c>
    </row>
    <row r="1484" spans="1:10">
      <c r="A1484" s="1784" t="s">
        <v>4704</v>
      </c>
      <c r="C1484" s="1784" t="s">
        <v>4705</v>
      </c>
      <c r="D1484" s="55" t="s">
        <v>2563</v>
      </c>
      <c r="F1484" s="55">
        <v>50</v>
      </c>
      <c r="J1484" s="55" t="str">
        <f t="shared" si="92"/>
        <v>ke929</v>
      </c>
    </row>
    <row r="1485" spans="1:10">
      <c r="A1485" s="1784" t="s">
        <v>4706</v>
      </c>
      <c r="C1485" s="1784" t="s">
        <v>4806</v>
      </c>
      <c r="D1485" s="55" t="s">
        <v>1827</v>
      </c>
      <c r="F1485" s="55">
        <v>50</v>
      </c>
      <c r="J1485" s="55" t="str">
        <f t="shared" si="92"/>
        <v>OCN</v>
      </c>
    </row>
    <row r="1486" spans="1:10">
      <c r="A1486" s="1784" t="s">
        <v>4707</v>
      </c>
      <c r="C1486" s="1784" t="s">
        <v>4708</v>
      </c>
      <c r="D1486" s="55" t="s">
        <v>2445</v>
      </c>
      <c r="F1486" s="55">
        <v>50</v>
      </c>
      <c r="J1486" s="55" t="str">
        <f t="shared" si="92"/>
        <v>chupU</v>
      </c>
    </row>
    <row r="1487" spans="1:10">
      <c r="A1487" s="1784" t="s">
        <v>4709</v>
      </c>
      <c r="C1487" s="1784" t="s">
        <v>4710</v>
      </c>
      <c r="D1487" s="55" t="s">
        <v>2391</v>
      </c>
      <c r="F1487" s="55">
        <v>50</v>
      </c>
      <c r="J1487" s="55" t="str">
        <f t="shared" si="92"/>
        <v>KDIN</v>
      </c>
    </row>
    <row r="1488" spans="1:10">
      <c r="A1488" s="1784" t="s">
        <v>4747</v>
      </c>
      <c r="C1488" s="1784" t="s">
        <v>4912</v>
      </c>
      <c r="D1488" s="55" t="s">
        <v>2563</v>
      </c>
      <c r="F1488" s="55">
        <v>50</v>
      </c>
      <c r="J1488" s="55" t="str">
        <f t="shared" si="92"/>
        <v>ttf185</v>
      </c>
    </row>
    <row r="1489" spans="1:10">
      <c r="A1489" s="1784" t="s">
        <v>4748</v>
      </c>
      <c r="C1489" s="1784" t="s">
        <v>4662</v>
      </c>
      <c r="D1489" s="55" t="s">
        <v>2563</v>
      </c>
      <c r="F1489" s="55">
        <v>50</v>
      </c>
      <c r="J1489" s="55" t="str">
        <f t="shared" si="92"/>
        <v>ssf185</v>
      </c>
    </row>
    <row r="1490" spans="1:10">
      <c r="A1490" s="1784" t="s">
        <v>4711</v>
      </c>
      <c r="C1490" s="1784" t="s">
        <v>4712</v>
      </c>
      <c r="D1490" s="55" t="s">
        <v>2445</v>
      </c>
      <c r="E1490" s="2238" t="str">
        <f t="shared" ref="E1490" si="93">LEFT(A1490,2)</f>
        <v>LS</v>
      </c>
      <c r="F1490" s="55">
        <v>2000</v>
      </c>
      <c r="J1490" s="55" t="str">
        <f t="shared" si="92"/>
        <v>LSDD</v>
      </c>
    </row>
    <row r="1491" spans="1:10">
      <c r="A1491" s="1784" t="s">
        <v>4713</v>
      </c>
      <c r="C1491" s="1784" t="s">
        <v>3729</v>
      </c>
      <c r="D1491" s="55" t="s">
        <v>2445</v>
      </c>
      <c r="F1491" s="55">
        <v>2000</v>
      </c>
      <c r="J1491" s="55" t="str">
        <f t="shared" si="92"/>
        <v>BTLT 12 F540</v>
      </c>
    </row>
    <row r="1492" spans="1:10">
      <c r="A1492" s="1784" t="s">
        <v>4714</v>
      </c>
      <c r="C1492" s="1784" t="s">
        <v>4715</v>
      </c>
      <c r="D1492" s="55" t="s">
        <v>2563</v>
      </c>
      <c r="E1492" s="2238" t="s">
        <v>4716</v>
      </c>
      <c r="F1492" s="55">
        <v>18</v>
      </c>
      <c r="J1492" s="55" t="str">
        <f t="shared" si="92"/>
        <v>TC920</v>
      </c>
    </row>
    <row r="1493" spans="1:10">
      <c r="A1493" s="1784" t="s">
        <v>4717</v>
      </c>
      <c r="C1493" s="1784" t="s">
        <v>4718</v>
      </c>
      <c r="D1493" s="55" t="s">
        <v>2563</v>
      </c>
      <c r="E1493" s="2238" t="s">
        <v>4716</v>
      </c>
      <c r="F1493" s="55">
        <v>18</v>
      </c>
      <c r="J1493" s="55" t="str">
        <f t="shared" si="92"/>
        <v>TC810</v>
      </c>
    </row>
    <row r="1494" spans="1:10">
      <c r="A1494" s="1784" t="s">
        <v>4719</v>
      </c>
      <c r="C1494" s="1784" t="s">
        <v>4720</v>
      </c>
      <c r="D1494" s="55" t="s">
        <v>2563</v>
      </c>
      <c r="E1494" s="2238" t="s">
        <v>4716</v>
      </c>
      <c r="F1494" s="55">
        <v>18</v>
      </c>
      <c r="J1494" s="55" t="str">
        <f t="shared" si="92"/>
        <v>TC1150</v>
      </c>
    </row>
    <row r="1495" spans="1:10">
      <c r="A1495" s="1784" t="s">
        <v>4721</v>
      </c>
      <c r="C1495" s="1784" t="s">
        <v>4722</v>
      </c>
      <c r="D1495" s="55" t="s">
        <v>3463</v>
      </c>
      <c r="F1495" s="55">
        <v>17</v>
      </c>
      <c r="J1495" s="55" t="str">
        <f t="shared" si="92"/>
        <v>Xa1660</v>
      </c>
    </row>
    <row r="1496" spans="1:10">
      <c r="A1496" s="1784" t="s">
        <v>4723</v>
      </c>
      <c r="C1496" s="1784" t="s">
        <v>4724</v>
      </c>
      <c r="D1496" s="55" t="s">
        <v>3463</v>
      </c>
      <c r="F1496" s="55">
        <v>17</v>
      </c>
      <c r="J1496" s="55" t="str">
        <f t="shared" si="92"/>
        <v>xa2000</v>
      </c>
    </row>
    <row r="1497" spans="1:10">
      <c r="A1497" s="1784" t="s">
        <v>4725</v>
      </c>
      <c r="C1497" s="1784" t="s">
        <v>4726</v>
      </c>
      <c r="D1497" s="55" t="s">
        <v>3463</v>
      </c>
      <c r="F1497" s="55">
        <v>17</v>
      </c>
      <c r="J1497" s="55" t="str">
        <f t="shared" si="92"/>
        <v>xa2200</v>
      </c>
    </row>
    <row r="1498" spans="1:10">
      <c r="A1498" s="1784" t="s">
        <v>4727</v>
      </c>
      <c r="C1498" s="1784" t="s">
        <v>4570</v>
      </c>
      <c r="D1498" s="55" t="s">
        <v>2598</v>
      </c>
      <c r="F1498" s="55">
        <v>17</v>
      </c>
      <c r="G1498" s="55" t="s">
        <v>512</v>
      </c>
      <c r="J1498" s="55" t="str">
        <f t="shared" si="92"/>
        <v>com800</v>
      </c>
    </row>
    <row r="1499" spans="1:10">
      <c r="A1499" s="1784" t="s">
        <v>4728</v>
      </c>
      <c r="C1499" s="1784" t="s">
        <v>4729</v>
      </c>
      <c r="D1499" s="55" t="s">
        <v>2563</v>
      </c>
      <c r="F1499" s="55">
        <v>50</v>
      </c>
      <c r="J1499" s="55" t="str">
        <f t="shared" si="92"/>
        <v>len</v>
      </c>
    </row>
    <row r="1500" spans="1:10">
      <c r="A1500" s="1784" t="s">
        <v>4730</v>
      </c>
      <c r="C1500" s="1784" t="s">
        <v>4731</v>
      </c>
      <c r="D1500" s="55" t="s">
        <v>2563</v>
      </c>
      <c r="F1500" s="55">
        <v>50</v>
      </c>
      <c r="J1500" s="55" t="str">
        <f t="shared" ref="J1500" si="94">A1500</f>
        <v>Kep3U</v>
      </c>
    </row>
    <row r="1501" spans="1:10">
      <c r="A1501" s="1784" t="s">
        <v>4950</v>
      </c>
      <c r="C1501" s="1784" t="s">
        <v>4951</v>
      </c>
      <c r="D1501" s="55" t="s">
        <v>2563</v>
      </c>
      <c r="F1501" s="55">
        <v>50</v>
      </c>
      <c r="J1501" s="55" t="str">
        <f t="shared" si="92"/>
        <v>Kep5U</v>
      </c>
    </row>
    <row r="1502" spans="1:10">
      <c r="A1502" s="1784" t="s">
        <v>4732</v>
      </c>
      <c r="C1502" s="1784" t="s">
        <v>4733</v>
      </c>
      <c r="D1502" s="55" t="s">
        <v>2563</v>
      </c>
      <c r="E1502" s="2238" t="str">
        <f t="shared" ref="E1502" si="95">LEFT(A1502,2)</f>
        <v>ts</v>
      </c>
      <c r="F1502" s="55">
        <v>50</v>
      </c>
      <c r="J1502" s="55" t="str">
        <f t="shared" si="92"/>
        <v>tsd20</v>
      </c>
    </row>
    <row r="1503" spans="1:10">
      <c r="A1503" s="1784" t="s">
        <v>4734</v>
      </c>
      <c r="C1503" s="1784" t="s">
        <v>4735</v>
      </c>
      <c r="D1503" s="55" t="s">
        <v>2391</v>
      </c>
      <c r="F1503" s="55">
        <v>2000</v>
      </c>
      <c r="J1503" s="55" t="str">
        <f t="shared" si="92"/>
        <v>STTT-2BAT</v>
      </c>
    </row>
    <row r="1504" spans="1:10">
      <c r="A1504" s="1784" t="s">
        <v>4736</v>
      </c>
      <c r="C1504" s="1784" t="s">
        <v>4737</v>
      </c>
      <c r="D1504" s="55" t="s">
        <v>2445</v>
      </c>
      <c r="F1504" s="55">
        <v>19</v>
      </c>
      <c r="J1504" s="55" t="str">
        <f t="shared" si="92"/>
        <v>cl1200</v>
      </c>
    </row>
    <row r="1505" spans="1:10">
      <c r="A1505" s="1784" t="s">
        <v>4738</v>
      </c>
      <c r="C1505" s="1784" t="s">
        <v>4739</v>
      </c>
      <c r="D1505" s="55" t="s">
        <v>2445</v>
      </c>
      <c r="E1505" s="2238" t="s">
        <v>4740</v>
      </c>
      <c r="F1505" s="55">
        <v>50</v>
      </c>
      <c r="J1505" s="55" t="str">
        <f t="shared" si="92"/>
        <v>BMOC16200</v>
      </c>
    </row>
    <row r="1506" spans="1:10">
      <c r="A1506" s="1784" t="s">
        <v>4741</v>
      </c>
      <c r="C1506" s="1784" t="s">
        <v>4742</v>
      </c>
      <c r="D1506" s="55" t="s">
        <v>2445</v>
      </c>
      <c r="F1506" s="55">
        <v>2000</v>
      </c>
      <c r="G1506" s="55" t="s">
        <v>512</v>
      </c>
      <c r="J1506" s="55" t="str">
        <f t="shared" si="92"/>
        <v>X-com800</v>
      </c>
    </row>
    <row r="1507" spans="1:10">
      <c r="A1507" s="1784" t="s">
        <v>4743</v>
      </c>
      <c r="C1507" s="1784" t="s">
        <v>3950</v>
      </c>
      <c r="D1507" s="55" t="s">
        <v>2563</v>
      </c>
      <c r="E1507" s="2238" t="s">
        <v>4744</v>
      </c>
      <c r="F1507" s="55">
        <v>50</v>
      </c>
      <c r="J1507" s="55" t="str">
        <f t="shared" si="92"/>
        <v>GIP</v>
      </c>
    </row>
    <row r="1508" spans="1:10">
      <c r="A1508" s="1784" t="s">
        <v>4751</v>
      </c>
      <c r="C1508" s="1784" t="s">
        <v>4752</v>
      </c>
      <c r="D1508" s="55" t="s">
        <v>2563</v>
      </c>
      <c r="F1508" s="55">
        <v>50</v>
      </c>
      <c r="J1508" s="55" t="str">
        <f t="shared" si="92"/>
        <v>khanhkep</v>
      </c>
    </row>
    <row r="1509" spans="1:10">
      <c r="A1509" s="1784" t="s">
        <v>4850</v>
      </c>
      <c r="C1509" s="1784" t="s">
        <v>4894</v>
      </c>
      <c r="D1509" s="55" t="s">
        <v>2391</v>
      </c>
      <c r="F1509" s="55">
        <v>2000</v>
      </c>
      <c r="J1509" s="55" t="str">
        <f t="shared" si="92"/>
        <v>X-22K-Đ-C920</v>
      </c>
    </row>
    <row r="1510" spans="1:10">
      <c r="A1510" s="1784" t="s">
        <v>4851</v>
      </c>
      <c r="C1510" s="1784" t="s">
        <v>4893</v>
      </c>
      <c r="D1510" s="55" t="s">
        <v>2391</v>
      </c>
      <c r="F1510" s="55">
        <v>2000</v>
      </c>
      <c r="J1510" s="55" t="str">
        <f t="shared" si="92"/>
        <v>X-22K-K-C920</v>
      </c>
    </row>
    <row r="1511" spans="1:10">
      <c r="A1511" s="1784" t="s">
        <v>5006</v>
      </c>
      <c r="C1511" s="1784" t="s">
        <v>5015</v>
      </c>
      <c r="D1511" s="55" t="s">
        <v>2563</v>
      </c>
      <c r="F1511" s="55">
        <v>50</v>
      </c>
      <c r="J1511" s="55" t="str">
        <f t="shared" si="92"/>
        <v>OXC</v>
      </c>
    </row>
    <row r="1512" spans="1:10">
      <c r="A1512" s="1784" t="s">
        <v>5007</v>
      </c>
      <c r="C1512" s="1784" t="s">
        <v>5016</v>
      </c>
      <c r="D1512" s="55" t="s">
        <v>4681</v>
      </c>
      <c r="F1512" s="2238">
        <v>50</v>
      </c>
      <c r="J1512" s="55" t="str">
        <f t="shared" si="92"/>
        <v>Comp24</v>
      </c>
    </row>
    <row r="1513" spans="1:10">
      <c r="A1513" s="1784" t="s">
        <v>5008</v>
      </c>
      <c r="C1513" s="1784" t="s">
        <v>5017</v>
      </c>
      <c r="D1513" s="55" t="s">
        <v>4681</v>
      </c>
      <c r="F1513" s="2238">
        <v>50</v>
      </c>
      <c r="J1513" s="55" t="str">
        <f t="shared" si="92"/>
        <v>TCX</v>
      </c>
    </row>
    <row r="1514" spans="1:10">
      <c r="A1514" s="1784" t="s">
        <v>5010</v>
      </c>
      <c r="C1514" s="1784" t="s">
        <v>5018</v>
      </c>
      <c r="D1514" s="55" t="s">
        <v>4681</v>
      </c>
      <c r="F1514" s="2238">
        <v>50</v>
      </c>
      <c r="J1514" s="55" t="str">
        <f t="shared" si="92"/>
        <v>d21</v>
      </c>
    </row>
    <row r="1515" spans="1:10">
      <c r="A1515" s="1784" t="s">
        <v>5011</v>
      </c>
      <c r="C1515" s="1784" t="s">
        <v>5019</v>
      </c>
      <c r="D1515" s="55" t="s">
        <v>4681</v>
      </c>
      <c r="F1515" s="2238">
        <v>50</v>
      </c>
      <c r="J1515" s="55" t="str">
        <f t="shared" si="92"/>
        <v>t199</v>
      </c>
    </row>
    <row r="1516" spans="1:10">
      <c r="A1516" s="1784" t="s">
        <v>5013</v>
      </c>
      <c r="C1516" s="1784" t="s">
        <v>5025</v>
      </c>
      <c r="D1516" s="55" t="s">
        <v>2563</v>
      </c>
      <c r="F1516" s="2238">
        <v>50</v>
      </c>
      <c r="J1516" s="55" t="str">
        <f t="shared" si="92"/>
        <v>Dbstt</v>
      </c>
    </row>
    <row r="1517" spans="1:10">
      <c r="A1517" s="1784" t="s">
        <v>5014</v>
      </c>
      <c r="C1517" s="1784" t="s">
        <v>5028</v>
      </c>
      <c r="D1517" s="55" t="s">
        <v>2563</v>
      </c>
      <c r="F1517" s="2238">
        <v>50</v>
      </c>
      <c r="J1517" s="55" t="str">
        <f t="shared" si="92"/>
        <v>HOPPP</v>
      </c>
    </row>
    <row r="1518" spans="1:10">
      <c r="A1518" s="1784" t="s">
        <v>5034</v>
      </c>
      <c r="C1518" s="1784" t="s">
        <v>5029</v>
      </c>
      <c r="D1518" s="55" t="s">
        <v>2563</v>
      </c>
      <c r="F1518" s="2238">
        <v>50</v>
      </c>
      <c r="J1518" s="55" t="str">
        <f t="shared" si="92"/>
        <v>Chupm</v>
      </c>
    </row>
    <row r="1519" spans="1:10">
      <c r="A1519" s="1784" t="s">
        <v>5035</v>
      </c>
      <c r="C1519" s="1784" t="s">
        <v>3522</v>
      </c>
      <c r="D1519" s="55" t="s">
        <v>2563</v>
      </c>
      <c r="F1519" s="2238">
        <v>50</v>
      </c>
      <c r="J1519" s="55" t="str">
        <f t="shared" si="92"/>
        <v>Chupl</v>
      </c>
    </row>
    <row r="1520" spans="1:10">
      <c r="A1520" s="1784" t="s">
        <v>5039</v>
      </c>
      <c r="C1520" s="1784" t="s">
        <v>5031</v>
      </c>
      <c r="D1520" s="55" t="s">
        <v>2563</v>
      </c>
      <c r="F1520" s="2238">
        <v>50</v>
      </c>
      <c r="J1520" s="55" t="str">
        <f t="shared" si="92"/>
        <v>CUT114135</v>
      </c>
    </row>
    <row r="1521" spans="1:10">
      <c r="J1521" s="55">
        <f t="shared" si="92"/>
        <v>0</v>
      </c>
    </row>
    <row r="1530" spans="1:10">
      <c r="A1530" s="1784" t="s">
        <v>5100</v>
      </c>
      <c r="B1530" s="1778" t="s">
        <v>1750</v>
      </c>
      <c r="C1530" s="1784" t="s">
        <v>5101</v>
      </c>
      <c r="D1530" s="55" t="s">
        <v>2563</v>
      </c>
      <c r="F1530" s="55" t="s">
        <v>4420</v>
      </c>
    </row>
    <row r="1531" spans="1:10">
      <c r="A1531" s="1784" t="s">
        <v>5102</v>
      </c>
      <c r="C1531" s="1784" t="s">
        <v>5103</v>
      </c>
      <c r="D1531" s="55" t="s">
        <v>2445</v>
      </c>
      <c r="F1531" s="55" t="s">
        <v>4420</v>
      </c>
    </row>
    <row r="1532" spans="1:10">
      <c r="A1532" s="1784" t="s">
        <v>5104</v>
      </c>
      <c r="C1532" s="1784" t="s">
        <v>5105</v>
      </c>
      <c r="D1532" s="55" t="s">
        <v>2445</v>
      </c>
      <c r="F1532" s="55" t="s">
        <v>4420</v>
      </c>
    </row>
    <row r="1533" spans="1:10">
      <c r="A1533" s="1784" t="s">
        <v>5106</v>
      </c>
      <c r="C1533" s="1784" t="s">
        <v>5107</v>
      </c>
      <c r="D1533" s="55" t="s">
        <v>2445</v>
      </c>
      <c r="F1533" s="55" t="s">
        <v>4420</v>
      </c>
    </row>
    <row r="1534" spans="1:10">
      <c r="A1534" s="1784" t="s">
        <v>5108</v>
      </c>
      <c r="C1534" s="1784" t="s">
        <v>5109</v>
      </c>
      <c r="D1534" s="55" t="s">
        <v>2445</v>
      </c>
      <c r="F1534" s="55" t="s">
        <v>4420</v>
      </c>
    </row>
    <row r="1535" spans="1:10">
      <c r="A1535" s="1784" t="s">
        <v>5110</v>
      </c>
      <c r="C1535" s="1784" t="s">
        <v>5111</v>
      </c>
      <c r="D1535" s="55" t="s">
        <v>2445</v>
      </c>
      <c r="F1535" s="55">
        <v>50</v>
      </c>
    </row>
    <row r="1536" spans="1:10">
      <c r="A1536" s="1784" t="s">
        <v>5112</v>
      </c>
      <c r="C1536" s="1784" t="s">
        <v>5113</v>
      </c>
      <c r="D1536" s="55" t="s">
        <v>2445</v>
      </c>
      <c r="F1536" s="55" t="s">
        <v>4420</v>
      </c>
    </row>
    <row r="1537" spans="1:6">
      <c r="A1537" s="1784" t="s">
        <v>5114</v>
      </c>
      <c r="C1537" s="1784" t="s">
        <v>5115</v>
      </c>
      <c r="D1537" s="55" t="s">
        <v>2445</v>
      </c>
      <c r="F1537" s="55" t="s">
        <v>4420</v>
      </c>
    </row>
    <row r="1538" spans="1:6">
      <c r="A1538" s="1784" t="s">
        <v>5116</v>
      </c>
      <c r="C1538" s="1784" t="s">
        <v>4673</v>
      </c>
      <c r="D1538" s="55" t="s">
        <v>2445</v>
      </c>
      <c r="F1538" s="55" t="s">
        <v>4420</v>
      </c>
    </row>
    <row r="1539" spans="1:6">
      <c r="A1539" s="1784" t="s">
        <v>5118</v>
      </c>
      <c r="C1539" s="1784" t="s">
        <v>5119</v>
      </c>
      <c r="D1539" s="55" t="s">
        <v>2445</v>
      </c>
      <c r="F1539" s="55" t="s">
        <v>4420</v>
      </c>
    </row>
    <row r="1540" spans="1:6">
      <c r="A1540" s="1784" t="s">
        <v>5120</v>
      </c>
      <c r="C1540" s="1784" t="s">
        <v>5119</v>
      </c>
      <c r="D1540" s="55" t="s">
        <v>2445</v>
      </c>
      <c r="F1540" s="55" t="s">
        <v>4420</v>
      </c>
    </row>
    <row r="1541" spans="1:6">
      <c r="A1541" s="1784" t="s">
        <v>5121</v>
      </c>
      <c r="C1541" s="1784" t="s">
        <v>5119</v>
      </c>
      <c r="D1541" s="55" t="s">
        <v>2445</v>
      </c>
      <c r="F1541" s="55" t="s">
        <v>4420</v>
      </c>
    </row>
    <row r="1542" spans="1:6">
      <c r="A1542" s="1784" t="s">
        <v>5122</v>
      </c>
      <c r="C1542" s="1784" t="s">
        <v>5119</v>
      </c>
      <c r="D1542" s="55" t="s">
        <v>2445</v>
      </c>
      <c r="F1542" s="55" t="s">
        <v>4420</v>
      </c>
    </row>
    <row r="1543" spans="1:6">
      <c r="A1543" s="1784" t="s">
        <v>5125</v>
      </c>
      <c r="C1543" s="1784" t="s">
        <v>5126</v>
      </c>
      <c r="D1543" s="55" t="s">
        <v>2445</v>
      </c>
      <c r="F1543" s="55" t="s">
        <v>4420</v>
      </c>
    </row>
    <row r="1544" spans="1:6">
      <c r="A1544" s="1784" t="s">
        <v>5128</v>
      </c>
      <c r="C1544" s="1784" t="s">
        <v>5129</v>
      </c>
      <c r="D1544" s="55" t="s">
        <v>2445</v>
      </c>
      <c r="F1544" s="55" t="s">
        <v>4420</v>
      </c>
    </row>
    <row r="1545" spans="1:6">
      <c r="A1545" s="1784" t="s">
        <v>5131</v>
      </c>
      <c r="C1545" s="1784" t="s">
        <v>5132</v>
      </c>
      <c r="D1545" s="55" t="s">
        <v>2583</v>
      </c>
      <c r="F1545" s="55" t="s">
        <v>4420</v>
      </c>
    </row>
    <row r="1546" spans="1:6">
      <c r="A1546" s="1784" t="s">
        <v>5133</v>
      </c>
      <c r="C1546" s="1784" t="s">
        <v>5134</v>
      </c>
      <c r="D1546" s="55" t="s">
        <v>2538</v>
      </c>
      <c r="F1546" s="55" t="s">
        <v>4420</v>
      </c>
    </row>
    <row r="1547" spans="1:6">
      <c r="A1547" s="1784" t="s">
        <v>5135</v>
      </c>
      <c r="C1547" s="1784" t="s">
        <v>5136</v>
      </c>
      <c r="D1547" s="55" t="s">
        <v>2538</v>
      </c>
      <c r="F1547" s="55" t="s">
        <v>4420</v>
      </c>
    </row>
    <row r="1548" spans="1:6">
      <c r="A1548" s="1784" t="s">
        <v>5137</v>
      </c>
      <c r="C1548" s="1784" t="s">
        <v>5138</v>
      </c>
      <c r="D1548" s="55" t="s">
        <v>2538</v>
      </c>
      <c r="F1548" s="55" t="s">
        <v>4420</v>
      </c>
    </row>
    <row r="1549" spans="1:6">
      <c r="A1549" s="1784" t="s">
        <v>5140</v>
      </c>
      <c r="C1549" s="1784" t="s">
        <v>2718</v>
      </c>
      <c r="D1549" s="55" t="s">
        <v>2538</v>
      </c>
      <c r="F1549" s="55" t="s">
        <v>4420</v>
      </c>
    </row>
    <row r="1550" spans="1:6">
      <c r="A1550" s="1784" t="s">
        <v>5141</v>
      </c>
      <c r="C1550" s="1784" t="s">
        <v>5086</v>
      </c>
      <c r="D1550" s="55" t="s">
        <v>2538</v>
      </c>
      <c r="F1550" s="55" t="s">
        <v>4420</v>
      </c>
    </row>
    <row r="1551" spans="1:6">
      <c r="A1551" s="1784" t="s">
        <v>5142</v>
      </c>
      <c r="C1551" s="1784" t="s">
        <v>5143</v>
      </c>
      <c r="D1551" s="55" t="s">
        <v>2538</v>
      </c>
      <c r="F1551" s="55" t="s">
        <v>4420</v>
      </c>
    </row>
    <row r="1552" spans="1:6">
      <c r="A1552" s="1784" t="s">
        <v>5144</v>
      </c>
      <c r="C1552" s="1784" t="s">
        <v>5145</v>
      </c>
      <c r="D1552" s="55" t="s">
        <v>2538</v>
      </c>
      <c r="F1552" s="55">
        <v>11</v>
      </c>
    </row>
    <row r="1553" spans="1:6">
      <c r="A1553" s="1784" t="s">
        <v>5146</v>
      </c>
      <c r="C1553" s="1784" t="s">
        <v>5147</v>
      </c>
      <c r="D1553" s="55" t="s">
        <v>2538</v>
      </c>
      <c r="F1553" s="55" t="s">
        <v>4420</v>
      </c>
    </row>
    <row r="1554" spans="1:6">
      <c r="A1554" s="1784" t="s">
        <v>5148</v>
      </c>
      <c r="C1554" s="1784" t="s">
        <v>5149</v>
      </c>
      <c r="D1554" s="55" t="s">
        <v>2538</v>
      </c>
      <c r="F1554" s="55" t="s">
        <v>4420</v>
      </c>
    </row>
    <row r="1555" spans="1:6">
      <c r="A1555" s="1784" t="s">
        <v>5150</v>
      </c>
      <c r="C1555" s="1784" t="s">
        <v>5151</v>
      </c>
      <c r="D1555" s="55" t="s">
        <v>2538</v>
      </c>
      <c r="F1555" s="55" t="s">
        <v>4420</v>
      </c>
    </row>
    <row r="1556" spans="1:6">
      <c r="A1556" s="1784" t="s">
        <v>5152</v>
      </c>
      <c r="C1556" s="1784" t="s">
        <v>5153</v>
      </c>
      <c r="D1556" s="55" t="s">
        <v>2538</v>
      </c>
      <c r="F1556" s="55" t="s">
        <v>4420</v>
      </c>
    </row>
    <row r="1557" spans="1:6">
      <c r="A1557" s="1784" t="s">
        <v>5154</v>
      </c>
      <c r="C1557" s="1784" t="s">
        <v>5155</v>
      </c>
      <c r="D1557" s="55" t="s">
        <v>2538</v>
      </c>
      <c r="F1557" s="55" t="s">
        <v>4420</v>
      </c>
    </row>
    <row r="1558" spans="1:6">
      <c r="A1558" s="1784" t="s">
        <v>5156</v>
      </c>
      <c r="C1558" s="1784" t="s">
        <v>5157</v>
      </c>
      <c r="D1558" s="55" t="s">
        <v>2538</v>
      </c>
      <c r="F1558" s="55" t="s">
        <v>4420</v>
      </c>
    </row>
    <row r="1559" spans="1:6">
      <c r="A1559" s="1784" t="s">
        <v>5158</v>
      </c>
      <c r="C1559" s="1784" t="s">
        <v>5159</v>
      </c>
      <c r="D1559" s="55" t="s">
        <v>2538</v>
      </c>
      <c r="F1559" s="55" t="s">
        <v>4420</v>
      </c>
    </row>
    <row r="1560" spans="1:6">
      <c r="A1560" s="1784" t="s">
        <v>5160</v>
      </c>
      <c r="C1560" s="1784" t="s">
        <v>5161</v>
      </c>
      <c r="D1560" s="55" t="s">
        <v>2538</v>
      </c>
      <c r="F1560" s="55" t="s">
        <v>4420</v>
      </c>
    </row>
    <row r="1561" spans="1:6">
      <c r="A1561" s="1784" t="s">
        <v>5162</v>
      </c>
      <c r="C1561" s="1784" t="s">
        <v>5163</v>
      </c>
      <c r="D1561" s="55" t="s">
        <v>2538</v>
      </c>
      <c r="F1561" s="55" t="s">
        <v>4420</v>
      </c>
    </row>
    <row r="1562" spans="1:6">
      <c r="A1562" s="1784" t="s">
        <v>5164</v>
      </c>
      <c r="C1562" s="1784" t="s">
        <v>5165</v>
      </c>
      <c r="D1562" s="55" t="s">
        <v>2538</v>
      </c>
      <c r="F1562" s="55" t="s">
        <v>4420</v>
      </c>
    </row>
    <row r="1563" spans="1:6">
      <c r="A1563" s="1784" t="s">
        <v>5166</v>
      </c>
      <c r="C1563" s="1784" t="s">
        <v>5167</v>
      </c>
      <c r="D1563" s="55" t="s">
        <v>2538</v>
      </c>
      <c r="F1563" s="55" t="s">
        <v>4420</v>
      </c>
    </row>
    <row r="1564" spans="1:6">
      <c r="A1564" s="1784" t="s">
        <v>5168</v>
      </c>
      <c r="C1564" s="1784" t="s">
        <v>5169</v>
      </c>
      <c r="D1564" s="55" t="s">
        <v>2538</v>
      </c>
      <c r="F1564" s="55" t="s">
        <v>4420</v>
      </c>
    </row>
    <row r="1565" spans="1:6">
      <c r="A1565" s="1784" t="s">
        <v>5170</v>
      </c>
      <c r="C1565" s="1784" t="s">
        <v>5171</v>
      </c>
      <c r="D1565" s="55" t="s">
        <v>2538</v>
      </c>
      <c r="F1565" s="55" t="s">
        <v>4420</v>
      </c>
    </row>
    <row r="1566" spans="1:6">
      <c r="A1566" s="1784" t="s">
        <v>5172</v>
      </c>
      <c r="C1566" s="1784" t="s">
        <v>5173</v>
      </c>
      <c r="D1566" s="55" t="s">
        <v>2538</v>
      </c>
      <c r="F1566" s="55" t="s">
        <v>4420</v>
      </c>
    </row>
    <row r="1567" spans="1:6">
      <c r="A1567" s="1784" t="s">
        <v>5174</v>
      </c>
      <c r="C1567" s="1784" t="s">
        <v>5175</v>
      </c>
      <c r="D1567" s="55" t="s">
        <v>2538</v>
      </c>
      <c r="F1567" s="55" t="s">
        <v>4420</v>
      </c>
    </row>
    <row r="1568" spans="1:6">
      <c r="A1568" s="1784" t="s">
        <v>5176</v>
      </c>
      <c r="C1568" s="1784" t="s">
        <v>5177</v>
      </c>
      <c r="D1568" s="55" t="s">
        <v>2538</v>
      </c>
      <c r="F1568" s="55" t="s">
        <v>4420</v>
      </c>
    </row>
    <row r="1569" spans="1:6">
      <c r="A1569" s="1784" t="s">
        <v>5178</v>
      </c>
      <c r="C1569" s="1784" t="s">
        <v>5179</v>
      </c>
      <c r="D1569" s="55" t="s">
        <v>2538</v>
      </c>
      <c r="F1569" s="55" t="s">
        <v>4420</v>
      </c>
    </row>
    <row r="1570" spans="1:6">
      <c r="A1570" s="1784" t="s">
        <v>5180</v>
      </c>
      <c r="C1570" s="1784" t="s">
        <v>5181</v>
      </c>
      <c r="D1570" s="55" t="s">
        <v>2538</v>
      </c>
      <c r="F1570" s="55" t="s">
        <v>4420</v>
      </c>
    </row>
    <row r="1571" spans="1:6">
      <c r="A1571" s="1784" t="s">
        <v>5182</v>
      </c>
      <c r="C1571" s="1784" t="s">
        <v>5183</v>
      </c>
      <c r="D1571" s="55" t="s">
        <v>2538</v>
      </c>
      <c r="F1571" s="55" t="s">
        <v>4420</v>
      </c>
    </row>
    <row r="1572" spans="1:6">
      <c r="A1572" s="1784" t="s">
        <v>5184</v>
      </c>
      <c r="C1572" s="1784" t="s">
        <v>5185</v>
      </c>
      <c r="D1572" s="55" t="s">
        <v>2538</v>
      </c>
      <c r="F1572" s="55" t="s">
        <v>4420</v>
      </c>
    </row>
    <row r="1573" spans="1:6">
      <c r="A1573" s="1784" t="s">
        <v>5186</v>
      </c>
      <c r="C1573" s="1784" t="s">
        <v>5187</v>
      </c>
      <c r="D1573" s="55" t="s">
        <v>2538</v>
      </c>
      <c r="F1573" s="55" t="s">
        <v>4420</v>
      </c>
    </row>
    <row r="1574" spans="1:6">
      <c r="A1574" s="1784" t="s">
        <v>5188</v>
      </c>
      <c r="C1574" s="1784" t="s">
        <v>5189</v>
      </c>
      <c r="D1574" s="55" t="s">
        <v>2538</v>
      </c>
      <c r="F1574" s="55" t="s">
        <v>4420</v>
      </c>
    </row>
    <row r="1575" spans="1:6">
      <c r="A1575" s="1784" t="s">
        <v>5190</v>
      </c>
      <c r="C1575" s="1784" t="s">
        <v>5191</v>
      </c>
      <c r="D1575" s="55" t="s">
        <v>2538</v>
      </c>
      <c r="F1575" s="55" t="s">
        <v>4420</v>
      </c>
    </row>
    <row r="1576" spans="1:6">
      <c r="A1576" s="1784" t="s">
        <v>5192</v>
      </c>
      <c r="C1576" s="1784" t="s">
        <v>5193</v>
      </c>
      <c r="D1576" s="55" t="s">
        <v>2538</v>
      </c>
      <c r="F1576" s="55" t="s">
        <v>4420</v>
      </c>
    </row>
    <row r="1577" spans="1:6">
      <c r="A1577" s="1784" t="s">
        <v>5194</v>
      </c>
      <c r="C1577" s="1784" t="s">
        <v>5195</v>
      </c>
      <c r="D1577" s="55" t="s">
        <v>2538</v>
      </c>
      <c r="F1577" s="55" t="s">
        <v>4420</v>
      </c>
    </row>
    <row r="1578" spans="1:6">
      <c r="A1578" s="1784" t="s">
        <v>5196</v>
      </c>
      <c r="C1578" s="1784" t="s">
        <v>5197</v>
      </c>
      <c r="D1578" s="55" t="s">
        <v>2538</v>
      </c>
      <c r="F1578" s="55" t="s">
        <v>4420</v>
      </c>
    </row>
    <row r="1579" spans="1:6">
      <c r="A1579" s="1784" t="s">
        <v>5198</v>
      </c>
      <c r="C1579" s="1784" t="s">
        <v>6174</v>
      </c>
      <c r="D1579" s="55" t="s">
        <v>2563</v>
      </c>
      <c r="F1579" s="55">
        <v>50</v>
      </c>
    </row>
    <row r="1580" spans="1:6">
      <c r="A1580" s="1784" t="s">
        <v>5199</v>
      </c>
      <c r="C1580" s="1784" t="s">
        <v>6175</v>
      </c>
      <c r="D1580" s="55" t="s">
        <v>2563</v>
      </c>
      <c r="F1580" s="55">
        <v>50</v>
      </c>
    </row>
    <row r="1581" spans="1:6">
      <c r="A1581" s="1784" t="s">
        <v>5200</v>
      </c>
      <c r="C1581" s="1784" t="s">
        <v>5201</v>
      </c>
      <c r="D1581" s="55" t="s">
        <v>2563</v>
      </c>
      <c r="F1581" s="55" t="s">
        <v>4420</v>
      </c>
    </row>
    <row r="1582" spans="1:6">
      <c r="A1582" s="1784" t="s">
        <v>5202</v>
      </c>
      <c r="C1582" s="1784" t="s">
        <v>5203</v>
      </c>
      <c r="D1582" s="55" t="s">
        <v>2563</v>
      </c>
      <c r="F1582" s="55" t="s">
        <v>4420</v>
      </c>
    </row>
    <row r="1583" spans="1:6">
      <c r="A1583" s="1784" t="s">
        <v>5204</v>
      </c>
      <c r="C1583" s="1784" t="s">
        <v>5205</v>
      </c>
      <c r="D1583" s="55" t="s">
        <v>2563</v>
      </c>
      <c r="F1583" s="55">
        <v>50</v>
      </c>
    </row>
    <row r="1584" spans="1:6">
      <c r="A1584" s="1784" t="s">
        <v>5206</v>
      </c>
      <c r="C1584" s="1784" t="s">
        <v>5207</v>
      </c>
      <c r="D1584" s="55" t="s">
        <v>2563</v>
      </c>
      <c r="F1584" s="55" t="s">
        <v>4420</v>
      </c>
    </row>
    <row r="1585" spans="1:6">
      <c r="A1585" s="1784" t="s">
        <v>5208</v>
      </c>
      <c r="B1585" s="1778" t="s">
        <v>5209</v>
      </c>
      <c r="C1585" s="1784" t="s">
        <v>5210</v>
      </c>
      <c r="D1585" s="55" t="s">
        <v>2445</v>
      </c>
      <c r="F1585" s="55" t="s">
        <v>4420</v>
      </c>
    </row>
    <row r="1586" spans="1:6">
      <c r="A1586" s="1784" t="s">
        <v>5211</v>
      </c>
      <c r="C1586" s="1784" t="s">
        <v>2838</v>
      </c>
      <c r="D1586" s="55" t="s">
        <v>2839</v>
      </c>
      <c r="F1586" s="55" t="s">
        <v>4420</v>
      </c>
    </row>
    <row r="1587" spans="1:6">
      <c r="A1587" s="1784" t="s">
        <v>5212</v>
      </c>
      <c r="C1587" s="1784" t="s">
        <v>5213</v>
      </c>
      <c r="D1587" s="55" t="s">
        <v>2598</v>
      </c>
      <c r="F1587" s="55" t="s">
        <v>4420</v>
      </c>
    </row>
    <row r="1588" spans="1:6">
      <c r="A1588" s="1784" t="s">
        <v>5214</v>
      </c>
      <c r="C1588" s="1784" t="s">
        <v>5215</v>
      </c>
      <c r="D1588" s="55" t="s">
        <v>2598</v>
      </c>
      <c r="F1588" s="55" t="s">
        <v>4420</v>
      </c>
    </row>
    <row r="1589" spans="1:6">
      <c r="A1589" s="1784" t="s">
        <v>5216</v>
      </c>
      <c r="C1589" s="1784" t="s">
        <v>5217</v>
      </c>
      <c r="D1589" s="55" t="s">
        <v>2598</v>
      </c>
      <c r="F1589" s="55" t="s">
        <v>4420</v>
      </c>
    </row>
    <row r="1590" spans="1:6">
      <c r="A1590" s="1784" t="s">
        <v>5218</v>
      </c>
      <c r="C1590" s="1784" t="s">
        <v>4904</v>
      </c>
      <c r="D1590" s="55" t="s">
        <v>2598</v>
      </c>
      <c r="F1590" s="55" t="s">
        <v>4420</v>
      </c>
    </row>
    <row r="1591" spans="1:6">
      <c r="A1591" s="1784" t="s">
        <v>5219</v>
      </c>
      <c r="C1591" s="1784" t="s">
        <v>5220</v>
      </c>
      <c r="D1591" s="55" t="s">
        <v>5221</v>
      </c>
      <c r="F1591" s="55" t="s">
        <v>4420</v>
      </c>
    </row>
    <row r="1592" spans="1:6">
      <c r="A1592" s="1784" t="s">
        <v>5222</v>
      </c>
      <c r="C1592" s="1784" t="s">
        <v>5223</v>
      </c>
      <c r="D1592" s="55" t="s">
        <v>5221</v>
      </c>
      <c r="F1592" s="55" t="s">
        <v>4420</v>
      </c>
    </row>
    <row r="1593" spans="1:6">
      <c r="A1593" s="1784" t="s">
        <v>5225</v>
      </c>
      <c r="C1593" s="1784" t="s">
        <v>5226</v>
      </c>
      <c r="D1593" s="55" t="s">
        <v>2254</v>
      </c>
      <c r="F1593" s="55">
        <v>50</v>
      </c>
    </row>
    <row r="1594" spans="1:6">
      <c r="A1594" s="1784" t="s">
        <v>5227</v>
      </c>
      <c r="C1594" s="1784" t="s">
        <v>5228</v>
      </c>
      <c r="D1594" s="55" t="s">
        <v>2254</v>
      </c>
      <c r="F1594" s="55">
        <v>50</v>
      </c>
    </row>
    <row r="1595" spans="1:6">
      <c r="A1595" s="1784" t="s">
        <v>5229</v>
      </c>
      <c r="B1595" s="1778" t="s">
        <v>5230</v>
      </c>
      <c r="C1595" s="1784" t="s">
        <v>5231</v>
      </c>
      <c r="D1595" s="55" t="s">
        <v>5232</v>
      </c>
      <c r="F1595" s="55" t="s">
        <v>4420</v>
      </c>
    </row>
    <row r="1596" spans="1:6">
      <c r="A1596" s="1784" t="s">
        <v>5233</v>
      </c>
      <c r="C1596" s="1784" t="s">
        <v>5234</v>
      </c>
      <c r="D1596" s="55" t="s">
        <v>5235</v>
      </c>
      <c r="F1596" s="55" t="s">
        <v>4420</v>
      </c>
    </row>
    <row r="1597" spans="1:6">
      <c r="A1597" s="1784" t="s">
        <v>5236</v>
      </c>
      <c r="C1597" s="1784" t="s">
        <v>5237</v>
      </c>
      <c r="D1597" s="55" t="s">
        <v>5235</v>
      </c>
      <c r="F1597" s="55" t="s">
        <v>4420</v>
      </c>
    </row>
    <row r="1598" spans="1:6">
      <c r="A1598" s="1784" t="s">
        <v>5238</v>
      </c>
      <c r="C1598" s="1784" t="s">
        <v>5239</v>
      </c>
      <c r="D1598" s="55" t="s">
        <v>5235</v>
      </c>
      <c r="F1598" s="55" t="s">
        <v>4420</v>
      </c>
    </row>
    <row r="1599" spans="1:6">
      <c r="A1599" s="1784" t="s">
        <v>5240</v>
      </c>
      <c r="C1599" s="1784" t="s">
        <v>5241</v>
      </c>
      <c r="D1599" s="55" t="s">
        <v>5235</v>
      </c>
      <c r="F1599" s="55" t="s">
        <v>4420</v>
      </c>
    </row>
    <row r="1600" spans="1:6">
      <c r="A1600" s="1784" t="s">
        <v>5242</v>
      </c>
      <c r="C1600" s="1784" t="s">
        <v>5243</v>
      </c>
      <c r="D1600" s="55" t="s">
        <v>2538</v>
      </c>
      <c r="F1600" s="55" t="s">
        <v>4420</v>
      </c>
    </row>
    <row r="1601" spans="1:6">
      <c r="A1601" s="1784" t="s">
        <v>5244</v>
      </c>
      <c r="C1601" s="1784" t="s">
        <v>5245</v>
      </c>
      <c r="D1601" s="55" t="s">
        <v>2563</v>
      </c>
      <c r="F1601" s="55" t="s">
        <v>4420</v>
      </c>
    </row>
    <row r="1602" spans="1:6">
      <c r="A1602" s="1784" t="s">
        <v>5246</v>
      </c>
      <c r="C1602" s="1784" t="s">
        <v>2851</v>
      </c>
      <c r="D1602" s="55" t="s">
        <v>2563</v>
      </c>
      <c r="F1602" s="55" t="s">
        <v>4420</v>
      </c>
    </row>
    <row r="1603" spans="1:6">
      <c r="A1603" s="1784" t="s">
        <v>5247</v>
      </c>
      <c r="C1603" s="1784" t="s">
        <v>2852</v>
      </c>
      <c r="D1603" s="55" t="s">
        <v>2563</v>
      </c>
      <c r="F1603" s="55" t="s">
        <v>4420</v>
      </c>
    </row>
    <row r="1604" spans="1:6">
      <c r="A1604" s="1784" t="s">
        <v>5248</v>
      </c>
      <c r="C1604" s="1784" t="s">
        <v>2853</v>
      </c>
      <c r="D1604" s="55" t="s">
        <v>2563</v>
      </c>
      <c r="F1604" s="55" t="s">
        <v>4420</v>
      </c>
    </row>
    <row r="1605" spans="1:6">
      <c r="A1605" s="1784" t="s">
        <v>5249</v>
      </c>
      <c r="C1605" s="1784" t="s">
        <v>2854</v>
      </c>
      <c r="D1605" s="55" t="s">
        <v>2563</v>
      </c>
      <c r="F1605" s="55" t="s">
        <v>4420</v>
      </c>
    </row>
    <row r="1606" spans="1:6">
      <c r="A1606" s="1784" t="s">
        <v>5250</v>
      </c>
      <c r="C1606" s="1784" t="s">
        <v>2855</v>
      </c>
      <c r="D1606" s="55" t="s">
        <v>2563</v>
      </c>
      <c r="F1606" s="55" t="s">
        <v>4420</v>
      </c>
    </row>
    <row r="1607" spans="1:6">
      <c r="A1607" s="1784" t="s">
        <v>5251</v>
      </c>
      <c r="C1607" s="1784" t="s">
        <v>2856</v>
      </c>
      <c r="D1607" s="55" t="s">
        <v>2563</v>
      </c>
      <c r="F1607" s="55" t="s">
        <v>4420</v>
      </c>
    </row>
    <row r="1608" spans="1:6">
      <c r="A1608" s="1784" t="s">
        <v>5252</v>
      </c>
      <c r="C1608" s="1784" t="s">
        <v>4916</v>
      </c>
      <c r="D1608" s="55" t="s">
        <v>2563</v>
      </c>
      <c r="F1608" s="55" t="s">
        <v>4420</v>
      </c>
    </row>
    <row r="1609" spans="1:6">
      <c r="A1609" s="1784" t="s">
        <v>5253</v>
      </c>
      <c r="C1609" s="1784" t="s">
        <v>2857</v>
      </c>
      <c r="D1609" s="55" t="s">
        <v>2563</v>
      </c>
      <c r="F1609" s="55" t="s">
        <v>4420</v>
      </c>
    </row>
    <row r="1610" spans="1:6">
      <c r="A1610" s="1784" t="s">
        <v>5254</v>
      </c>
      <c r="C1610" s="1784" t="s">
        <v>2858</v>
      </c>
      <c r="D1610" s="55" t="s">
        <v>2563</v>
      </c>
      <c r="F1610" s="55" t="s">
        <v>4420</v>
      </c>
    </row>
    <row r="1611" spans="1:6">
      <c r="A1611" s="1784" t="s">
        <v>5255</v>
      </c>
      <c r="C1611" s="1784" t="s">
        <v>2862</v>
      </c>
      <c r="D1611" s="55" t="s">
        <v>2563</v>
      </c>
      <c r="F1611" s="55" t="s">
        <v>4420</v>
      </c>
    </row>
    <row r="1612" spans="1:6">
      <c r="A1612" s="1784" t="s">
        <v>5256</v>
      </c>
      <c r="C1612" s="1784" t="s">
        <v>2863</v>
      </c>
      <c r="D1612" s="55" t="s">
        <v>2563</v>
      </c>
      <c r="F1612" s="55" t="s">
        <v>4420</v>
      </c>
    </row>
    <row r="1613" spans="1:6">
      <c r="A1613" s="1784" t="s">
        <v>5257</v>
      </c>
      <c r="C1613" s="1784" t="s">
        <v>2864</v>
      </c>
      <c r="D1613" s="55" t="s">
        <v>2563</v>
      </c>
      <c r="F1613" s="55" t="s">
        <v>4420</v>
      </c>
    </row>
    <row r="1614" spans="1:6">
      <c r="A1614" s="1784" t="s">
        <v>5258</v>
      </c>
      <c r="C1614" s="1784" t="s">
        <v>2865</v>
      </c>
      <c r="D1614" s="55" t="s">
        <v>2563</v>
      </c>
      <c r="F1614" s="55" t="s">
        <v>4420</v>
      </c>
    </row>
    <row r="1615" spans="1:6">
      <c r="A1615" s="1784" t="s">
        <v>5259</v>
      </c>
      <c r="C1615" s="1784" t="s">
        <v>2866</v>
      </c>
      <c r="D1615" s="55" t="s">
        <v>2563</v>
      </c>
      <c r="F1615" s="55" t="s">
        <v>4420</v>
      </c>
    </row>
    <row r="1616" spans="1:6">
      <c r="A1616" s="1784" t="s">
        <v>5260</v>
      </c>
      <c r="C1616" s="1784" t="s">
        <v>2867</v>
      </c>
      <c r="D1616" s="55" t="s">
        <v>2563</v>
      </c>
      <c r="F1616" s="55" t="s">
        <v>4420</v>
      </c>
    </row>
    <row r="1617" spans="1:6">
      <c r="A1617" s="1784" t="s">
        <v>5261</v>
      </c>
      <c r="C1617" s="1784" t="s">
        <v>4797</v>
      </c>
      <c r="D1617" s="55" t="s">
        <v>2563</v>
      </c>
      <c r="F1617" s="55" t="s">
        <v>4420</v>
      </c>
    </row>
    <row r="1618" spans="1:6">
      <c r="A1618" s="1784" t="s">
        <v>5262</v>
      </c>
      <c r="C1618" s="1784" t="s">
        <v>2868</v>
      </c>
      <c r="D1618" s="55" t="s">
        <v>2563</v>
      </c>
      <c r="F1618" s="55" t="s">
        <v>4420</v>
      </c>
    </row>
    <row r="1619" spans="1:6">
      <c r="A1619" s="1784" t="s">
        <v>5263</v>
      </c>
      <c r="C1619" s="1784" t="s">
        <v>2869</v>
      </c>
      <c r="D1619" s="55" t="s">
        <v>2563</v>
      </c>
      <c r="F1619" s="55" t="s">
        <v>4420</v>
      </c>
    </row>
    <row r="1620" spans="1:6">
      <c r="A1620" s="1784" t="s">
        <v>5264</v>
      </c>
      <c r="B1620" s="1778" t="s">
        <v>5265</v>
      </c>
      <c r="C1620" s="1784" t="s">
        <v>5266</v>
      </c>
      <c r="D1620" s="55" t="s">
        <v>2563</v>
      </c>
      <c r="F1620" s="55" t="s">
        <v>4420</v>
      </c>
    </row>
    <row r="1621" spans="1:6">
      <c r="A1621" s="1784" t="s">
        <v>5267</v>
      </c>
      <c r="B1621" s="1778" t="s">
        <v>5265</v>
      </c>
      <c r="C1621" s="1784" t="s">
        <v>5268</v>
      </c>
      <c r="D1621" s="55" t="s">
        <v>2563</v>
      </c>
      <c r="F1621" s="55" t="s">
        <v>4420</v>
      </c>
    </row>
    <row r="1622" spans="1:6">
      <c r="A1622" s="1784" t="s">
        <v>5269</v>
      </c>
      <c r="C1622" s="1784" t="s">
        <v>2882</v>
      </c>
      <c r="D1622" s="55" t="s">
        <v>2563</v>
      </c>
      <c r="F1622" s="55" t="s">
        <v>4420</v>
      </c>
    </row>
    <row r="1623" spans="1:6">
      <c r="A1623" s="1784" t="s">
        <v>5270</v>
      </c>
      <c r="C1623" s="1784" t="s">
        <v>2883</v>
      </c>
      <c r="D1623" s="55" t="s">
        <v>2563</v>
      </c>
      <c r="F1623" s="55" t="s">
        <v>4420</v>
      </c>
    </row>
    <row r="1624" spans="1:6">
      <c r="A1624" s="1784" t="s">
        <v>5271</v>
      </c>
      <c r="C1624" s="1784" t="s">
        <v>2884</v>
      </c>
      <c r="D1624" s="55" t="s">
        <v>2563</v>
      </c>
      <c r="F1624" s="55" t="s">
        <v>4420</v>
      </c>
    </row>
    <row r="1625" spans="1:6">
      <c r="A1625" s="1784" t="s">
        <v>5272</v>
      </c>
      <c r="C1625" s="1784" t="s">
        <v>2885</v>
      </c>
      <c r="D1625" s="55" t="s">
        <v>2563</v>
      </c>
      <c r="F1625" s="55" t="s">
        <v>4420</v>
      </c>
    </row>
    <row r="1626" spans="1:6">
      <c r="A1626" s="1784" t="s">
        <v>5273</v>
      </c>
      <c r="C1626" s="1784" t="s">
        <v>2886</v>
      </c>
      <c r="D1626" s="55" t="s">
        <v>2563</v>
      </c>
      <c r="F1626" s="55" t="s">
        <v>4420</v>
      </c>
    </row>
    <row r="1627" spans="1:6">
      <c r="A1627" s="1784" t="s">
        <v>5274</v>
      </c>
      <c r="C1627" s="1784" t="s">
        <v>5275</v>
      </c>
      <c r="D1627" s="55" t="s">
        <v>2445</v>
      </c>
      <c r="F1627" s="55" t="s">
        <v>4420</v>
      </c>
    </row>
    <row r="1628" spans="1:6">
      <c r="A1628" s="1784" t="s">
        <v>5276</v>
      </c>
      <c r="C1628" s="1784" t="s">
        <v>5277</v>
      </c>
      <c r="D1628" s="55" t="s">
        <v>2563</v>
      </c>
      <c r="F1628" s="55" t="s">
        <v>4420</v>
      </c>
    </row>
    <row r="1629" spans="1:6">
      <c r="A1629" s="1784" t="s">
        <v>5278</v>
      </c>
      <c r="C1629" s="1784" t="s">
        <v>5279</v>
      </c>
      <c r="D1629" s="55" t="s">
        <v>2563</v>
      </c>
      <c r="F1629" s="55">
        <v>50</v>
      </c>
    </row>
    <row r="1630" spans="1:6">
      <c r="A1630" s="1784" t="s">
        <v>5280</v>
      </c>
      <c r="C1630" s="1784" t="s">
        <v>5281</v>
      </c>
      <c r="D1630" s="55" t="s">
        <v>2563</v>
      </c>
      <c r="F1630" s="55" t="s">
        <v>4420</v>
      </c>
    </row>
    <row r="1631" spans="1:6">
      <c r="A1631" s="1784" t="s">
        <v>5282</v>
      </c>
      <c r="C1631" s="1784" t="s">
        <v>5283</v>
      </c>
      <c r="D1631" s="55" t="s">
        <v>2563</v>
      </c>
      <c r="F1631" s="55" t="s">
        <v>4420</v>
      </c>
    </row>
    <row r="1632" spans="1:6">
      <c r="A1632" s="1784" t="s">
        <v>5284</v>
      </c>
      <c r="C1632" s="1784" t="s">
        <v>5285</v>
      </c>
      <c r="D1632" s="55" t="s">
        <v>2563</v>
      </c>
      <c r="F1632" s="55" t="s">
        <v>4420</v>
      </c>
    </row>
    <row r="1633" spans="1:6">
      <c r="A1633" s="1784" t="s">
        <v>5286</v>
      </c>
      <c r="C1633" s="1784" t="s">
        <v>5287</v>
      </c>
      <c r="D1633" s="55" t="s">
        <v>2563</v>
      </c>
      <c r="F1633" s="55" t="s">
        <v>4420</v>
      </c>
    </row>
    <row r="1634" spans="1:6">
      <c r="A1634" s="1784" t="s">
        <v>5289</v>
      </c>
      <c r="C1634" s="1784" t="s">
        <v>5290</v>
      </c>
      <c r="D1634" s="55" t="s">
        <v>5235</v>
      </c>
      <c r="F1634" s="55" t="s">
        <v>4420</v>
      </c>
    </row>
    <row r="1635" spans="1:6">
      <c r="A1635" s="1784" t="s">
        <v>6172</v>
      </c>
      <c r="C1635" s="1784" t="s">
        <v>6173</v>
      </c>
      <c r="D1635" s="55" t="s">
        <v>2563</v>
      </c>
      <c r="F1635" s="55" t="s">
        <v>4420</v>
      </c>
    </row>
    <row r="1636" spans="1:6">
      <c r="A1636" s="1784" t="s">
        <v>5291</v>
      </c>
      <c r="C1636" s="1784" t="s">
        <v>5292</v>
      </c>
      <c r="D1636" s="55" t="s">
        <v>5235</v>
      </c>
      <c r="F1636" s="55" t="s">
        <v>4420</v>
      </c>
    </row>
    <row r="1637" spans="1:6">
      <c r="A1637" s="1784" t="s">
        <v>5293</v>
      </c>
      <c r="C1637" s="1784" t="s">
        <v>5294</v>
      </c>
      <c r="D1637" s="55" t="s">
        <v>5235</v>
      </c>
      <c r="F1637" s="55" t="s">
        <v>4420</v>
      </c>
    </row>
    <row r="1638" spans="1:6">
      <c r="A1638" s="1784" t="s">
        <v>5295</v>
      </c>
      <c r="C1638" s="1784" t="s">
        <v>5296</v>
      </c>
      <c r="D1638" s="55" t="s">
        <v>5235</v>
      </c>
      <c r="F1638" s="55" t="s">
        <v>4420</v>
      </c>
    </row>
    <row r="1639" spans="1:6">
      <c r="A1639" s="1784" t="s">
        <v>5297</v>
      </c>
      <c r="C1639" s="1784" t="s">
        <v>5298</v>
      </c>
      <c r="D1639" s="55" t="s">
        <v>5235</v>
      </c>
      <c r="F1639" s="55" t="s">
        <v>4420</v>
      </c>
    </row>
    <row r="1640" spans="1:6">
      <c r="A1640" s="1784" t="s">
        <v>5299</v>
      </c>
      <c r="C1640" s="1784" t="s">
        <v>5300</v>
      </c>
      <c r="D1640" s="55" t="s">
        <v>5235</v>
      </c>
      <c r="F1640" s="55" t="s">
        <v>4420</v>
      </c>
    </row>
    <row r="1641" spans="1:6">
      <c r="A1641" s="1784" t="s">
        <v>5301</v>
      </c>
      <c r="C1641" s="1784" t="s">
        <v>5302</v>
      </c>
      <c r="D1641" s="55" t="s">
        <v>5235</v>
      </c>
      <c r="F1641" s="55" t="s">
        <v>4420</v>
      </c>
    </row>
    <row r="1642" spans="1:6">
      <c r="A1642" s="1784" t="s">
        <v>5303</v>
      </c>
      <c r="C1642" s="1784" t="s">
        <v>5304</v>
      </c>
      <c r="D1642" s="55" t="s">
        <v>5235</v>
      </c>
      <c r="F1642" s="55" t="s">
        <v>4420</v>
      </c>
    </row>
    <row r="1643" spans="1:6">
      <c r="A1643" s="1784" t="s">
        <v>5305</v>
      </c>
      <c r="C1643" s="1784" t="s">
        <v>5306</v>
      </c>
      <c r="D1643" s="55" t="s">
        <v>5235</v>
      </c>
      <c r="F1643" s="55" t="s">
        <v>4420</v>
      </c>
    </row>
    <row r="1644" spans="1:6">
      <c r="A1644" s="1784" t="s">
        <v>5309</v>
      </c>
      <c r="C1644" s="1784" t="s">
        <v>5310</v>
      </c>
      <c r="D1644" s="55" t="s">
        <v>2445</v>
      </c>
      <c r="F1644" s="55" t="s">
        <v>4420</v>
      </c>
    </row>
    <row r="1645" spans="1:6">
      <c r="A1645" s="1784" t="s">
        <v>5311</v>
      </c>
      <c r="C1645" s="1784" t="s">
        <v>5312</v>
      </c>
      <c r="D1645" s="55" t="s">
        <v>2445</v>
      </c>
      <c r="F1645" s="55" t="s">
        <v>4420</v>
      </c>
    </row>
    <row r="1646" spans="1:6">
      <c r="A1646" s="1784" t="s">
        <v>5314</v>
      </c>
      <c r="C1646" s="1784" t="s">
        <v>5315</v>
      </c>
      <c r="D1646" s="55" t="s">
        <v>2445</v>
      </c>
      <c r="F1646" s="55" t="s">
        <v>4420</v>
      </c>
    </row>
    <row r="1647" spans="1:6">
      <c r="A1647" s="1784" t="s">
        <v>5316</v>
      </c>
      <c r="C1647" s="1784" t="s">
        <v>5317</v>
      </c>
      <c r="D1647" s="55" t="s">
        <v>2445</v>
      </c>
      <c r="F1647" s="55" t="s">
        <v>4420</v>
      </c>
    </row>
    <row r="1648" spans="1:6">
      <c r="A1648" s="1784" t="s">
        <v>5320</v>
      </c>
      <c r="C1648" s="1784" t="s">
        <v>5321</v>
      </c>
      <c r="D1648" s="55" t="s">
        <v>2445</v>
      </c>
      <c r="F1648" s="55" t="s">
        <v>4420</v>
      </c>
    </row>
    <row r="1649" spans="1:6">
      <c r="A1649" s="1784" t="s">
        <v>5322</v>
      </c>
      <c r="C1649" s="1784" t="s">
        <v>5323</v>
      </c>
      <c r="D1649" s="55" t="s">
        <v>2445</v>
      </c>
      <c r="F1649" s="55" t="s">
        <v>4420</v>
      </c>
    </row>
    <row r="1650" spans="1:6">
      <c r="A1650" s="1784" t="s">
        <v>5324</v>
      </c>
      <c r="C1650" s="1784" t="s">
        <v>5325</v>
      </c>
      <c r="D1650" s="55" t="s">
        <v>2445</v>
      </c>
      <c r="F1650" s="55" t="s">
        <v>4420</v>
      </c>
    </row>
    <row r="1651" spans="1:6">
      <c r="A1651" s="1784" t="s">
        <v>5326</v>
      </c>
      <c r="C1651" s="1784" t="s">
        <v>5327</v>
      </c>
      <c r="D1651" s="55" t="s">
        <v>2445</v>
      </c>
      <c r="F1651" s="55" t="s">
        <v>4420</v>
      </c>
    </row>
    <row r="1652" spans="1:6">
      <c r="A1652" s="1784" t="s">
        <v>5328</v>
      </c>
      <c r="C1652" s="1784" t="s">
        <v>5329</v>
      </c>
      <c r="D1652" s="55" t="s">
        <v>2445</v>
      </c>
      <c r="F1652" s="55" t="s">
        <v>4420</v>
      </c>
    </row>
    <row r="1653" spans="1:6">
      <c r="A1653" s="1784" t="s">
        <v>5332</v>
      </c>
      <c r="B1653" s="1778" t="s">
        <v>5333</v>
      </c>
      <c r="C1653" s="1784" t="s">
        <v>5334</v>
      </c>
      <c r="D1653" s="55" t="s">
        <v>2445</v>
      </c>
      <c r="F1653" s="55" t="s">
        <v>4420</v>
      </c>
    </row>
    <row r="1654" spans="1:6">
      <c r="A1654" s="1784" t="s">
        <v>5335</v>
      </c>
      <c r="C1654" s="1784" t="s">
        <v>5336</v>
      </c>
      <c r="D1654" s="55" t="s">
        <v>2839</v>
      </c>
      <c r="F1654" s="55" t="s">
        <v>4420</v>
      </c>
    </row>
    <row r="1655" spans="1:6">
      <c r="A1655" s="1784" t="s">
        <v>5337</v>
      </c>
      <c r="C1655" s="1784" t="s">
        <v>5338</v>
      </c>
      <c r="D1655" s="55" t="s">
        <v>2839</v>
      </c>
      <c r="F1655" s="55" t="s">
        <v>4420</v>
      </c>
    </row>
    <row r="1656" spans="1:6">
      <c r="A1656" s="1784" t="s">
        <v>5339</v>
      </c>
      <c r="C1656" s="1784" t="s">
        <v>5340</v>
      </c>
      <c r="D1656" s="55" t="s">
        <v>2839</v>
      </c>
      <c r="F1656" s="55" t="s">
        <v>4420</v>
      </c>
    </row>
    <row r="1657" spans="1:6">
      <c r="A1657" s="1784" t="s">
        <v>5341</v>
      </c>
      <c r="C1657" s="1784" t="s">
        <v>5342</v>
      </c>
      <c r="D1657" s="55" t="s">
        <v>2839</v>
      </c>
      <c r="F1657" s="55" t="s">
        <v>4420</v>
      </c>
    </row>
    <row r="1658" spans="1:6">
      <c r="A1658" s="1784" t="s">
        <v>5343</v>
      </c>
      <c r="C1658" s="1784" t="s">
        <v>5344</v>
      </c>
      <c r="D1658" s="55" t="s">
        <v>2839</v>
      </c>
      <c r="F1658" s="55" t="s">
        <v>4420</v>
      </c>
    </row>
    <row r="1659" spans="1:6">
      <c r="A1659" s="1784" t="s">
        <v>5345</v>
      </c>
      <c r="C1659" s="1784" t="s">
        <v>5346</v>
      </c>
      <c r="D1659" s="55" t="s">
        <v>2839</v>
      </c>
      <c r="F1659" s="55" t="s">
        <v>4420</v>
      </c>
    </row>
    <row r="1660" spans="1:6">
      <c r="A1660" s="1784" t="s">
        <v>5347</v>
      </c>
      <c r="C1660" s="1784" t="s">
        <v>5348</v>
      </c>
      <c r="D1660" s="55" t="s">
        <v>2839</v>
      </c>
      <c r="F1660" s="55" t="s">
        <v>4420</v>
      </c>
    </row>
    <row r="1661" spans="1:6">
      <c r="A1661" s="1784" t="s">
        <v>5349</v>
      </c>
      <c r="C1661" s="1784" t="s">
        <v>5350</v>
      </c>
      <c r="D1661" s="55" t="s">
        <v>856</v>
      </c>
      <c r="F1661" s="55" t="s">
        <v>4420</v>
      </c>
    </row>
    <row r="1662" spans="1:6">
      <c r="A1662" s="1784" t="s">
        <v>5353</v>
      </c>
      <c r="C1662" s="1784" t="s">
        <v>5354</v>
      </c>
      <c r="D1662" s="55" t="s">
        <v>2563</v>
      </c>
      <c r="F1662" s="55" t="s">
        <v>4420</v>
      </c>
    </row>
    <row r="1663" spans="1:6">
      <c r="A1663" s="1784" t="s">
        <v>5355</v>
      </c>
      <c r="C1663" s="1784" t="s">
        <v>5356</v>
      </c>
      <c r="D1663" s="55" t="s">
        <v>2563</v>
      </c>
      <c r="F1663" s="55" t="s">
        <v>4420</v>
      </c>
    </row>
    <row r="1664" spans="1:6">
      <c r="A1664" s="1784" t="s">
        <v>5357</v>
      </c>
      <c r="C1664" s="1784" t="s">
        <v>5358</v>
      </c>
      <c r="D1664" s="55" t="s">
        <v>2563</v>
      </c>
      <c r="F1664" s="55" t="s">
        <v>4420</v>
      </c>
    </row>
    <row r="1665" spans="1:6">
      <c r="A1665" s="1784" t="s">
        <v>5359</v>
      </c>
      <c r="C1665" s="1784" t="s">
        <v>5360</v>
      </c>
      <c r="D1665" s="55" t="s">
        <v>2563</v>
      </c>
      <c r="F1665" s="55" t="s">
        <v>4420</v>
      </c>
    </row>
    <row r="1666" spans="1:6">
      <c r="A1666" s="1784" t="s">
        <v>5361</v>
      </c>
      <c r="B1666" s="1778" t="s">
        <v>5362</v>
      </c>
      <c r="C1666" s="1784" t="s">
        <v>5363</v>
      </c>
      <c r="D1666" s="55" t="s">
        <v>2538</v>
      </c>
      <c r="F1666" s="55" t="s">
        <v>4420</v>
      </c>
    </row>
    <row r="1667" spans="1:6">
      <c r="A1667" s="1784" t="s">
        <v>5364</v>
      </c>
      <c r="B1667" s="1778" t="s">
        <v>5365</v>
      </c>
      <c r="C1667" s="1784" t="s">
        <v>5366</v>
      </c>
      <c r="D1667" s="55" t="s">
        <v>2538</v>
      </c>
      <c r="F1667" s="55">
        <v>50</v>
      </c>
    </row>
    <row r="1668" spans="1:6">
      <c r="A1668" s="1784" t="s">
        <v>5369</v>
      </c>
      <c r="B1668" s="1778" t="s">
        <v>5367</v>
      </c>
      <c r="C1668" s="1784" t="s">
        <v>5370</v>
      </c>
      <c r="D1668" s="55" t="s">
        <v>2538</v>
      </c>
      <c r="F1668" s="55" t="s">
        <v>4420</v>
      </c>
    </row>
    <row r="1669" spans="1:6">
      <c r="A1669" s="1784" t="s">
        <v>5371</v>
      </c>
      <c r="C1669" s="1784" t="s">
        <v>5372</v>
      </c>
      <c r="D1669" s="55" t="s">
        <v>2538</v>
      </c>
      <c r="F1669" s="55">
        <v>50</v>
      </c>
    </row>
    <row r="1670" spans="1:6">
      <c r="A1670" s="1784" t="s">
        <v>5373</v>
      </c>
      <c r="F1670" s="55" t="s">
        <v>4420</v>
      </c>
    </row>
    <row r="1671" spans="1:6">
      <c r="A1671" s="1784" t="s">
        <v>5374</v>
      </c>
      <c r="B1671" s="1778" t="s">
        <v>5375</v>
      </c>
      <c r="C1671" s="1784" t="s">
        <v>5376</v>
      </c>
      <c r="D1671" s="55" t="s">
        <v>856</v>
      </c>
      <c r="F1671" s="55" t="s">
        <v>4420</v>
      </c>
    </row>
    <row r="1672" spans="1:6">
      <c r="A1672" s="1784" t="s">
        <v>5377</v>
      </c>
      <c r="B1672" s="1778" t="s">
        <v>5378</v>
      </c>
      <c r="C1672" s="1784" t="s">
        <v>5379</v>
      </c>
      <c r="D1672" s="55" t="s">
        <v>856</v>
      </c>
      <c r="F1672" s="55" t="s">
        <v>4420</v>
      </c>
    </row>
    <row r="1673" spans="1:6">
      <c r="A1673" s="1784" t="s">
        <v>5380</v>
      </c>
      <c r="B1673" s="1778" t="s">
        <v>5381</v>
      </c>
      <c r="C1673" s="1784" t="s">
        <v>5382</v>
      </c>
      <c r="D1673" s="55" t="s">
        <v>856</v>
      </c>
      <c r="F1673" s="55" t="s">
        <v>4420</v>
      </c>
    </row>
    <row r="1674" spans="1:6">
      <c r="A1674" s="1784" t="s">
        <v>5383</v>
      </c>
      <c r="B1674" s="1778" t="s">
        <v>5384</v>
      </c>
      <c r="C1674" s="1784" t="s">
        <v>5385</v>
      </c>
      <c r="D1674" s="55" t="s">
        <v>856</v>
      </c>
      <c r="F1674" s="55" t="s">
        <v>4420</v>
      </c>
    </row>
    <row r="1675" spans="1:6">
      <c r="A1675" s="1784" t="s">
        <v>5391</v>
      </c>
      <c r="B1675" s="1778" t="s">
        <v>5392</v>
      </c>
      <c r="C1675" s="1784" t="s">
        <v>5393</v>
      </c>
      <c r="D1675" s="55" t="s">
        <v>856</v>
      </c>
      <c r="F1675" s="55" t="s">
        <v>4420</v>
      </c>
    </row>
    <row r="1676" spans="1:6">
      <c r="A1676" s="1784" t="s">
        <v>5400</v>
      </c>
      <c r="B1676" s="1778" t="s">
        <v>5401</v>
      </c>
      <c r="C1676" s="1784" t="s">
        <v>5402</v>
      </c>
      <c r="D1676" s="55" t="s">
        <v>856</v>
      </c>
      <c r="F1676" s="55" t="s">
        <v>4420</v>
      </c>
    </row>
    <row r="1677" spans="1:6">
      <c r="A1677" s="1784" t="s">
        <v>5410</v>
      </c>
      <c r="B1677" s="1778" t="s">
        <v>5411</v>
      </c>
      <c r="C1677" s="1784" t="s">
        <v>5412</v>
      </c>
      <c r="D1677" s="55" t="s">
        <v>2284</v>
      </c>
      <c r="F1677" s="55" t="s">
        <v>4420</v>
      </c>
    </row>
    <row r="1678" spans="1:6">
      <c r="A1678" s="1784" t="s">
        <v>5415</v>
      </c>
      <c r="B1678" s="1778" t="s">
        <v>1713</v>
      </c>
      <c r="C1678" s="1784" t="s">
        <v>5416</v>
      </c>
      <c r="D1678" s="55" t="s">
        <v>2284</v>
      </c>
      <c r="F1678" s="55" t="s">
        <v>4420</v>
      </c>
    </row>
    <row r="1679" spans="1:6">
      <c r="A1679" s="1784" t="s">
        <v>5417</v>
      </c>
      <c r="B1679" s="1778" t="s">
        <v>1713</v>
      </c>
      <c r="C1679" s="1784" t="s">
        <v>5418</v>
      </c>
      <c r="D1679" s="55" t="s">
        <v>2284</v>
      </c>
      <c r="F1679" s="55" t="s">
        <v>4420</v>
      </c>
    </row>
    <row r="1680" spans="1:6">
      <c r="A1680" s="1784" t="s">
        <v>5423</v>
      </c>
      <c r="B1680" s="1778" t="s">
        <v>5424</v>
      </c>
      <c r="C1680" s="1784" t="s">
        <v>5425</v>
      </c>
      <c r="D1680" s="55" t="s">
        <v>2839</v>
      </c>
      <c r="F1680" s="55" t="s">
        <v>4420</v>
      </c>
    </row>
    <row r="1681" spans="1:6">
      <c r="A1681" s="1784" t="s">
        <v>5426</v>
      </c>
      <c r="B1681" s="1778" t="s">
        <v>5427</v>
      </c>
      <c r="C1681" s="1784" t="s">
        <v>5428</v>
      </c>
      <c r="D1681" s="55" t="s">
        <v>5429</v>
      </c>
      <c r="F1681" s="55">
        <v>3000</v>
      </c>
    </row>
    <row r="1682" spans="1:6">
      <c r="A1682" s="1784" t="s">
        <v>5430</v>
      </c>
      <c r="B1682" s="1778" t="s">
        <v>2133</v>
      </c>
      <c r="C1682" s="1784" t="s">
        <v>5431</v>
      </c>
      <c r="D1682" s="55" t="s">
        <v>2839</v>
      </c>
      <c r="F1682" s="55" t="s">
        <v>4420</v>
      </c>
    </row>
    <row r="1683" spans="1:6">
      <c r="A1683" s="1784" t="s">
        <v>5432</v>
      </c>
      <c r="B1683" s="1778" t="s">
        <v>5209</v>
      </c>
      <c r="C1683" s="1784" t="s">
        <v>5433</v>
      </c>
      <c r="D1683" s="55" t="s">
        <v>2445</v>
      </c>
      <c r="F1683" s="55" t="s">
        <v>4420</v>
      </c>
    </row>
    <row r="1684" spans="1:6">
      <c r="A1684" s="1784" t="s">
        <v>5434</v>
      </c>
      <c r="B1684" s="1778" t="s">
        <v>5209</v>
      </c>
      <c r="C1684" s="1784" t="s">
        <v>5435</v>
      </c>
      <c r="D1684" s="55" t="s">
        <v>2445</v>
      </c>
      <c r="F1684" s="55" t="s">
        <v>4420</v>
      </c>
    </row>
    <row r="1685" spans="1:6">
      <c r="A1685" s="1784" t="s">
        <v>5436</v>
      </c>
      <c r="B1685" s="1778" t="s">
        <v>5209</v>
      </c>
      <c r="C1685" s="1784" t="s">
        <v>5437</v>
      </c>
      <c r="D1685" s="55" t="s">
        <v>2445</v>
      </c>
      <c r="F1685" s="55" t="s">
        <v>4420</v>
      </c>
    </row>
    <row r="1686" spans="1:6">
      <c r="A1686" s="1784" t="s">
        <v>5438</v>
      </c>
      <c r="B1686" s="1778" t="s">
        <v>5209</v>
      </c>
      <c r="C1686" s="1784" t="s">
        <v>5439</v>
      </c>
      <c r="D1686" s="55" t="s">
        <v>2445</v>
      </c>
      <c r="F1686" s="55" t="s">
        <v>4420</v>
      </c>
    </row>
    <row r="1687" spans="1:6">
      <c r="A1687" s="1784" t="s">
        <v>5442</v>
      </c>
      <c r="B1687" s="1778" t="s">
        <v>5443</v>
      </c>
      <c r="C1687" s="1784" t="s">
        <v>5444</v>
      </c>
      <c r="D1687" s="55" t="s">
        <v>2445</v>
      </c>
      <c r="F1687" s="55" t="s">
        <v>4420</v>
      </c>
    </row>
    <row r="1688" spans="1:6">
      <c r="A1688" s="1784" t="s">
        <v>5445</v>
      </c>
      <c r="B1688" s="1778" t="s">
        <v>5446</v>
      </c>
      <c r="C1688" s="1784" t="s">
        <v>5447</v>
      </c>
      <c r="D1688" s="55" t="s">
        <v>2445</v>
      </c>
      <c r="F1688" s="55" t="s">
        <v>4420</v>
      </c>
    </row>
    <row r="1689" spans="1:6">
      <c r="A1689" s="1784" t="s">
        <v>5448</v>
      </c>
      <c r="B1689" s="1778" t="s">
        <v>5449</v>
      </c>
      <c r="C1689" s="1784" t="s">
        <v>5450</v>
      </c>
      <c r="D1689" s="55" t="s">
        <v>2445</v>
      </c>
      <c r="F1689" s="55" t="s">
        <v>4420</v>
      </c>
    </row>
    <row r="1690" spans="1:6">
      <c r="A1690" s="1784" t="s">
        <v>5451</v>
      </c>
      <c r="B1690" s="1778" t="s">
        <v>5452</v>
      </c>
      <c r="C1690" s="1784" t="s">
        <v>5453</v>
      </c>
      <c r="D1690" s="55" t="s">
        <v>2445</v>
      </c>
      <c r="F1690" s="55" t="s">
        <v>4420</v>
      </c>
    </row>
    <row r="1691" spans="1:6">
      <c r="A1691" s="1784" t="s">
        <v>5454</v>
      </c>
      <c r="B1691" s="1778" t="s">
        <v>5455</v>
      </c>
      <c r="C1691" s="1784" t="s">
        <v>5456</v>
      </c>
      <c r="D1691" s="55" t="s">
        <v>2445</v>
      </c>
      <c r="F1691" s="55" t="s">
        <v>4420</v>
      </c>
    </row>
    <row r="1692" spans="1:6">
      <c r="A1692" s="1784" t="s">
        <v>5457</v>
      </c>
      <c r="B1692" s="1778" t="s">
        <v>5458</v>
      </c>
      <c r="C1692" s="1784" t="s">
        <v>5459</v>
      </c>
      <c r="D1692" s="55" t="s">
        <v>2445</v>
      </c>
      <c r="F1692" s="55" t="s">
        <v>4420</v>
      </c>
    </row>
    <row r="1693" spans="1:6">
      <c r="A1693" s="1784" t="s">
        <v>5460</v>
      </c>
      <c r="B1693" s="1778" t="s">
        <v>5461</v>
      </c>
      <c r="C1693" s="1784" t="s">
        <v>5462</v>
      </c>
      <c r="D1693" s="55" t="s">
        <v>2445</v>
      </c>
      <c r="F1693" s="55" t="s">
        <v>4420</v>
      </c>
    </row>
    <row r="1694" spans="1:6">
      <c r="A1694" s="1784" t="s">
        <v>5463</v>
      </c>
      <c r="B1694" s="1778" t="s">
        <v>5464</v>
      </c>
      <c r="C1694" s="1784" t="s">
        <v>5465</v>
      </c>
      <c r="D1694" s="55" t="s">
        <v>2445</v>
      </c>
      <c r="F1694" s="55" t="s">
        <v>4420</v>
      </c>
    </row>
    <row r="1695" spans="1:6">
      <c r="A1695" s="1784" t="s">
        <v>5466</v>
      </c>
      <c r="B1695" s="1778" t="s">
        <v>5467</v>
      </c>
      <c r="C1695" s="1784" t="s">
        <v>5468</v>
      </c>
      <c r="D1695" s="55" t="s">
        <v>2445</v>
      </c>
      <c r="F1695" s="55" t="s">
        <v>4420</v>
      </c>
    </row>
    <row r="1696" spans="1:6">
      <c r="A1696" s="1784" t="s">
        <v>5469</v>
      </c>
      <c r="B1696" s="1778" t="s">
        <v>5461</v>
      </c>
      <c r="C1696" s="1784" t="s">
        <v>5470</v>
      </c>
      <c r="D1696" s="55" t="s">
        <v>2445</v>
      </c>
      <c r="F1696" s="55" t="s">
        <v>4420</v>
      </c>
    </row>
    <row r="1697" spans="1:6">
      <c r="A1697" s="1784" t="s">
        <v>5471</v>
      </c>
      <c r="B1697" s="1778" t="s">
        <v>5472</v>
      </c>
      <c r="C1697" s="1784" t="s">
        <v>5473</v>
      </c>
      <c r="D1697" s="55" t="s">
        <v>2445</v>
      </c>
      <c r="F1697" s="55" t="s">
        <v>4420</v>
      </c>
    </row>
    <row r="1698" spans="1:6">
      <c r="A1698" s="1784" t="s">
        <v>5474</v>
      </c>
      <c r="B1698" s="1778" t="s">
        <v>5475</v>
      </c>
      <c r="C1698" s="1784" t="s">
        <v>5476</v>
      </c>
      <c r="D1698" s="55" t="s">
        <v>2445</v>
      </c>
      <c r="F1698" s="55" t="s">
        <v>4420</v>
      </c>
    </row>
    <row r="1699" spans="1:6">
      <c r="A1699" s="1784" t="s">
        <v>5477</v>
      </c>
      <c r="B1699" s="1778" t="s">
        <v>5478</v>
      </c>
      <c r="C1699" s="1784" t="s">
        <v>5479</v>
      </c>
      <c r="D1699" s="55" t="s">
        <v>2445</v>
      </c>
      <c r="F1699" s="55" t="s">
        <v>4420</v>
      </c>
    </row>
    <row r="1700" spans="1:6">
      <c r="A1700" s="1784" t="s">
        <v>5480</v>
      </c>
      <c r="B1700" s="1778" t="s">
        <v>5481</v>
      </c>
      <c r="C1700" s="1784" t="s">
        <v>5482</v>
      </c>
      <c r="D1700" s="55" t="s">
        <v>2445</v>
      </c>
      <c r="F1700" s="55" t="s">
        <v>4420</v>
      </c>
    </row>
    <row r="1701" spans="1:6">
      <c r="A1701" s="1784" t="s">
        <v>5485</v>
      </c>
      <c r="B1701" s="1778" t="s">
        <v>2271</v>
      </c>
      <c r="C1701" s="1784" t="s">
        <v>5486</v>
      </c>
      <c r="D1701" s="55" t="s">
        <v>2445</v>
      </c>
      <c r="F1701" s="55" t="s">
        <v>4420</v>
      </c>
    </row>
    <row r="1702" spans="1:6">
      <c r="A1702" s="1784" t="s">
        <v>5487</v>
      </c>
      <c r="B1702" s="1778" t="s">
        <v>5488</v>
      </c>
      <c r="C1702" s="1784" t="s">
        <v>5489</v>
      </c>
      <c r="D1702" s="55" t="s">
        <v>2254</v>
      </c>
      <c r="F1702" s="55" t="s">
        <v>4420</v>
      </c>
    </row>
    <row r="1703" spans="1:6">
      <c r="A1703" s="1784" t="s">
        <v>5494</v>
      </c>
      <c r="B1703" s="1778" t="s">
        <v>5495</v>
      </c>
      <c r="C1703" s="1784" t="s">
        <v>5496</v>
      </c>
      <c r="D1703" s="55" t="s">
        <v>2445</v>
      </c>
      <c r="F1703" s="55" t="s">
        <v>4420</v>
      </c>
    </row>
    <row r="1704" spans="1:6">
      <c r="A1704" s="1784" t="s">
        <v>5497</v>
      </c>
      <c r="B1704" s="1778" t="s">
        <v>5498</v>
      </c>
      <c r="C1704" s="1784" t="s">
        <v>5499</v>
      </c>
      <c r="D1704" s="55" t="s">
        <v>2445</v>
      </c>
      <c r="F1704" s="55" t="s">
        <v>4420</v>
      </c>
    </row>
    <row r="1705" spans="1:6">
      <c r="A1705" s="1784" t="s">
        <v>5500</v>
      </c>
      <c r="B1705" s="1778" t="s">
        <v>5501</v>
      </c>
      <c r="C1705" s="1784" t="s">
        <v>5502</v>
      </c>
      <c r="D1705" s="55" t="s">
        <v>2445</v>
      </c>
      <c r="F1705" s="55" t="s">
        <v>4420</v>
      </c>
    </row>
    <row r="1706" spans="1:6">
      <c r="A1706" s="1784" t="s">
        <v>5503</v>
      </c>
      <c r="B1706" s="1778" t="s">
        <v>5504</v>
      </c>
      <c r="C1706" s="1784" t="s">
        <v>5505</v>
      </c>
      <c r="D1706" s="55" t="s">
        <v>2445</v>
      </c>
      <c r="F1706" s="55" t="s">
        <v>4420</v>
      </c>
    </row>
    <row r="1707" spans="1:6">
      <c r="A1707" s="1784" t="s">
        <v>5507</v>
      </c>
      <c r="B1707" s="1778" t="s">
        <v>5493</v>
      </c>
      <c r="C1707" s="1784" t="s">
        <v>5508</v>
      </c>
      <c r="D1707" s="55" t="s">
        <v>2445</v>
      </c>
      <c r="F1707" s="55" t="s">
        <v>4420</v>
      </c>
    </row>
    <row r="1708" spans="1:6">
      <c r="A1708" s="1784" t="s">
        <v>5509</v>
      </c>
      <c r="B1708" s="1778" t="s">
        <v>5495</v>
      </c>
      <c r="C1708" s="1784" t="s">
        <v>5510</v>
      </c>
      <c r="D1708" s="55" t="s">
        <v>2445</v>
      </c>
      <c r="F1708" s="55" t="s">
        <v>4420</v>
      </c>
    </row>
    <row r="1709" spans="1:6">
      <c r="A1709" s="1784" t="s">
        <v>5511</v>
      </c>
      <c r="B1709" s="1778" t="s">
        <v>5512</v>
      </c>
      <c r="C1709" s="1784" t="s">
        <v>5513</v>
      </c>
      <c r="D1709" s="55" t="s">
        <v>2445</v>
      </c>
      <c r="F1709" s="55" t="s">
        <v>4420</v>
      </c>
    </row>
    <row r="1710" spans="1:6">
      <c r="A1710" s="1784" t="s">
        <v>5514</v>
      </c>
      <c r="B1710" s="1778" t="s">
        <v>5515</v>
      </c>
      <c r="C1710" s="1784" t="s">
        <v>5516</v>
      </c>
      <c r="D1710" s="55" t="s">
        <v>2445</v>
      </c>
      <c r="F1710" s="55" t="s">
        <v>4420</v>
      </c>
    </row>
    <row r="1711" spans="1:6">
      <c r="A1711" s="1784" t="s">
        <v>5517</v>
      </c>
      <c r="C1711" s="1784" t="s">
        <v>5518</v>
      </c>
      <c r="D1711" s="55" t="s">
        <v>2563</v>
      </c>
      <c r="F1711" s="55" t="s">
        <v>4420</v>
      </c>
    </row>
    <row r="1712" spans="1:6">
      <c r="A1712" s="1784" t="s">
        <v>5519</v>
      </c>
      <c r="C1712" s="1784" t="s">
        <v>5520</v>
      </c>
      <c r="D1712" s="55" t="s">
        <v>2563</v>
      </c>
      <c r="F1712" s="55" t="s">
        <v>4420</v>
      </c>
    </row>
    <row r="1713" spans="1:6">
      <c r="A1713" s="1784" t="s">
        <v>5522</v>
      </c>
      <c r="B1713" s="1778" t="s">
        <v>5523</v>
      </c>
      <c r="C1713" s="1784" t="s">
        <v>3196</v>
      </c>
      <c r="D1713" s="55" t="s">
        <v>2563</v>
      </c>
      <c r="F1713" s="55" t="s">
        <v>4420</v>
      </c>
    </row>
    <row r="1714" spans="1:6">
      <c r="A1714" s="1784" t="s">
        <v>5524</v>
      </c>
      <c r="B1714" s="1778">
        <v>74316</v>
      </c>
      <c r="C1714" s="1784" t="s">
        <v>5525</v>
      </c>
      <c r="D1714" s="55" t="s">
        <v>2563</v>
      </c>
      <c r="F1714" s="55" t="s">
        <v>4420</v>
      </c>
    </row>
    <row r="1715" spans="1:6">
      <c r="A1715" s="1784" t="s">
        <v>5526</v>
      </c>
      <c r="B1715" s="1778" t="s">
        <v>5527</v>
      </c>
      <c r="C1715" s="1784" t="s">
        <v>5528</v>
      </c>
      <c r="D1715" s="55" t="s">
        <v>2563</v>
      </c>
      <c r="F1715" s="55" t="s">
        <v>4420</v>
      </c>
    </row>
    <row r="1716" spans="1:6">
      <c r="A1716" s="1784" t="s">
        <v>5529</v>
      </c>
      <c r="B1716" s="1778" t="s">
        <v>1782</v>
      </c>
      <c r="C1716" s="1784" t="s">
        <v>5530</v>
      </c>
      <c r="D1716" s="55" t="s">
        <v>2563</v>
      </c>
      <c r="F1716" s="55" t="s">
        <v>4420</v>
      </c>
    </row>
    <row r="1717" spans="1:6">
      <c r="A1717" s="1784" t="s">
        <v>5531</v>
      </c>
      <c r="B1717" s="1778">
        <v>74316</v>
      </c>
      <c r="C1717" s="1784" t="s">
        <v>5525</v>
      </c>
      <c r="D1717" s="55" t="s">
        <v>2563</v>
      </c>
      <c r="F1717" s="55" t="s">
        <v>4420</v>
      </c>
    </row>
    <row r="1718" spans="1:6">
      <c r="A1718" s="1784" t="s">
        <v>5537</v>
      </c>
      <c r="B1718" s="1778" t="s">
        <v>5538</v>
      </c>
      <c r="C1718" s="1784" t="s">
        <v>5539</v>
      </c>
      <c r="D1718" s="55" t="s">
        <v>856</v>
      </c>
      <c r="F1718" s="55" t="s">
        <v>4420</v>
      </c>
    </row>
    <row r="1719" spans="1:6">
      <c r="A1719" s="1784" t="s">
        <v>5542</v>
      </c>
      <c r="B1719" s="1778" t="s">
        <v>5543</v>
      </c>
      <c r="C1719" s="1784" t="s">
        <v>5544</v>
      </c>
      <c r="D1719" s="55" t="s">
        <v>1964</v>
      </c>
      <c r="F1719" s="55">
        <v>50</v>
      </c>
    </row>
    <row r="1720" spans="1:6">
      <c r="A1720" s="1784" t="s">
        <v>5545</v>
      </c>
      <c r="C1720" s="1784" t="s">
        <v>5546</v>
      </c>
      <c r="D1720" s="55" t="s">
        <v>856</v>
      </c>
      <c r="F1720" s="55">
        <v>3000</v>
      </c>
    </row>
    <row r="1721" spans="1:6">
      <c r="A1721" s="1784" t="s">
        <v>5547</v>
      </c>
      <c r="C1721" s="1784" t="s">
        <v>5548</v>
      </c>
      <c r="D1721" s="55" t="s">
        <v>856</v>
      </c>
      <c r="F1721" s="55">
        <v>3000</v>
      </c>
    </row>
    <row r="1722" spans="1:6">
      <c r="A1722" s="1784" t="s">
        <v>5549</v>
      </c>
      <c r="B1722" s="1778" t="s">
        <v>5550</v>
      </c>
      <c r="C1722" s="1784" t="s">
        <v>5551</v>
      </c>
      <c r="D1722" s="55" t="s">
        <v>856</v>
      </c>
      <c r="F1722" s="55">
        <v>3000</v>
      </c>
    </row>
    <row r="1723" spans="1:6">
      <c r="A1723" s="1784" t="s">
        <v>5556</v>
      </c>
      <c r="B1723" s="1778" t="s">
        <v>5557</v>
      </c>
      <c r="C1723" s="1784" t="s">
        <v>3233</v>
      </c>
      <c r="D1723" s="55" t="s">
        <v>2042</v>
      </c>
      <c r="F1723" s="55" t="s">
        <v>4420</v>
      </c>
    </row>
    <row r="1724" spans="1:6">
      <c r="A1724" s="1784" t="s">
        <v>5558</v>
      </c>
      <c r="B1724" s="1778" t="s">
        <v>5552</v>
      </c>
      <c r="C1724" s="1784" t="s">
        <v>2571</v>
      </c>
      <c r="D1724" s="55" t="s">
        <v>2042</v>
      </c>
      <c r="F1724" s="55" t="s">
        <v>4420</v>
      </c>
    </row>
    <row r="1725" spans="1:6">
      <c r="A1725" s="1784" t="s">
        <v>5559</v>
      </c>
      <c r="B1725" s="1778" t="s">
        <v>5553</v>
      </c>
      <c r="C1725" s="1784" t="s">
        <v>5560</v>
      </c>
      <c r="D1725" s="55" t="s">
        <v>2042</v>
      </c>
      <c r="F1725" s="55" t="s">
        <v>4420</v>
      </c>
    </row>
    <row r="1726" spans="1:6">
      <c r="A1726" s="1784" t="s">
        <v>5561</v>
      </c>
      <c r="B1726" s="1778" t="s">
        <v>5554</v>
      </c>
      <c r="C1726" s="1784" t="s">
        <v>4350</v>
      </c>
      <c r="D1726" s="55" t="s">
        <v>2042</v>
      </c>
      <c r="F1726" s="55" t="s">
        <v>4420</v>
      </c>
    </row>
    <row r="1727" spans="1:6">
      <c r="A1727" s="1784" t="s">
        <v>5562</v>
      </c>
      <c r="B1727" s="1778" t="s">
        <v>5555</v>
      </c>
      <c r="C1727" s="1784" t="s">
        <v>5563</v>
      </c>
      <c r="D1727" s="55" t="s">
        <v>2042</v>
      </c>
      <c r="F1727" s="55" t="s">
        <v>4420</v>
      </c>
    </row>
    <row r="1728" spans="1:6">
      <c r="A1728" s="1784" t="s">
        <v>5564</v>
      </c>
      <c r="B1728" s="1778" t="s">
        <v>5557</v>
      </c>
      <c r="C1728" s="1784" t="s">
        <v>5565</v>
      </c>
      <c r="D1728" s="55" t="s">
        <v>2042</v>
      </c>
      <c r="F1728" s="55" t="s">
        <v>4420</v>
      </c>
    </row>
    <row r="1729" spans="1:6">
      <c r="A1729" s="1784" t="s">
        <v>5566</v>
      </c>
      <c r="B1729" s="1778" t="s">
        <v>5552</v>
      </c>
      <c r="C1729" s="1784" t="s">
        <v>5567</v>
      </c>
      <c r="D1729" s="55" t="s">
        <v>2042</v>
      </c>
      <c r="F1729" s="55" t="s">
        <v>4420</v>
      </c>
    </row>
    <row r="1730" spans="1:6">
      <c r="A1730" s="1784" t="s">
        <v>5568</v>
      </c>
      <c r="B1730" s="1778" t="s">
        <v>5553</v>
      </c>
      <c r="C1730" s="1784" t="s">
        <v>5569</v>
      </c>
      <c r="D1730" s="55" t="s">
        <v>2042</v>
      </c>
      <c r="F1730" s="55" t="s">
        <v>4420</v>
      </c>
    </row>
    <row r="1731" spans="1:6">
      <c r="A1731" s="1784" t="s">
        <v>5570</v>
      </c>
      <c r="B1731" s="1778" t="s">
        <v>5554</v>
      </c>
      <c r="C1731" s="1784" t="s">
        <v>5571</v>
      </c>
      <c r="D1731" s="55" t="s">
        <v>2042</v>
      </c>
      <c r="F1731" s="55" t="s">
        <v>4420</v>
      </c>
    </row>
    <row r="1732" spans="1:6">
      <c r="A1732" s="1784" t="s">
        <v>5572</v>
      </c>
      <c r="B1732" s="1778" t="s">
        <v>5555</v>
      </c>
      <c r="C1732" s="1784" t="s">
        <v>5573</v>
      </c>
      <c r="D1732" s="55" t="s">
        <v>2042</v>
      </c>
      <c r="F1732" s="55" t="s">
        <v>4420</v>
      </c>
    </row>
    <row r="1733" spans="1:6">
      <c r="A1733" s="1784" t="s">
        <v>5574</v>
      </c>
      <c r="B1733" s="1778" t="s">
        <v>5557</v>
      </c>
      <c r="C1733" s="1784" t="s">
        <v>5575</v>
      </c>
      <c r="D1733" s="55" t="s">
        <v>2042</v>
      </c>
      <c r="F1733" s="55" t="s">
        <v>4420</v>
      </c>
    </row>
    <row r="1734" spans="1:6">
      <c r="A1734" s="1784" t="s">
        <v>5581</v>
      </c>
      <c r="B1734" s="1778" t="s">
        <v>5576</v>
      </c>
      <c r="C1734" s="1784" t="s">
        <v>5582</v>
      </c>
      <c r="D1734" s="55" t="s">
        <v>2042</v>
      </c>
      <c r="F1734" s="55" t="s">
        <v>4420</v>
      </c>
    </row>
    <row r="1735" spans="1:6">
      <c r="A1735" s="1784" t="s">
        <v>5583</v>
      </c>
      <c r="B1735" s="1778" t="s">
        <v>5577</v>
      </c>
      <c r="C1735" s="1784" t="s">
        <v>5584</v>
      </c>
      <c r="D1735" s="55" t="s">
        <v>2042</v>
      </c>
      <c r="F1735" s="55" t="s">
        <v>4420</v>
      </c>
    </row>
    <row r="1736" spans="1:6">
      <c r="A1736" s="1784" t="s">
        <v>5585</v>
      </c>
      <c r="B1736" s="1778" t="s">
        <v>5578</v>
      </c>
      <c r="C1736" s="1784" t="s">
        <v>5586</v>
      </c>
      <c r="D1736" s="55" t="s">
        <v>2042</v>
      </c>
      <c r="F1736" s="55" t="s">
        <v>4420</v>
      </c>
    </row>
    <row r="1737" spans="1:6">
      <c r="A1737" s="1784" t="s">
        <v>5587</v>
      </c>
      <c r="B1737" s="1778" t="s">
        <v>5579</v>
      </c>
      <c r="C1737" s="1784" t="s">
        <v>5588</v>
      </c>
      <c r="D1737" s="55" t="s">
        <v>2042</v>
      </c>
      <c r="F1737" s="55" t="s">
        <v>4420</v>
      </c>
    </row>
    <row r="1738" spans="1:6">
      <c r="A1738" s="1784" t="s">
        <v>5589</v>
      </c>
      <c r="B1738" s="1778" t="s">
        <v>5580</v>
      </c>
      <c r="C1738" s="1784" t="s">
        <v>5590</v>
      </c>
      <c r="D1738" s="55" t="s">
        <v>2042</v>
      </c>
      <c r="F1738" s="55" t="s">
        <v>4420</v>
      </c>
    </row>
    <row r="1739" spans="1:6">
      <c r="A1739" s="1784" t="s">
        <v>5591</v>
      </c>
      <c r="B1739" s="1778" t="s">
        <v>5592</v>
      </c>
      <c r="C1739" s="1784" t="s">
        <v>5593</v>
      </c>
      <c r="D1739" s="55" t="s">
        <v>2042</v>
      </c>
      <c r="F1739" s="55" t="s">
        <v>4420</v>
      </c>
    </row>
    <row r="1740" spans="1:6">
      <c r="A1740" s="1784" t="s">
        <v>5594</v>
      </c>
      <c r="B1740" s="1778" t="s">
        <v>5595</v>
      </c>
      <c r="C1740" s="1784" t="s">
        <v>5596</v>
      </c>
      <c r="D1740" s="55" t="s">
        <v>2042</v>
      </c>
      <c r="F1740" s="55" t="s">
        <v>4420</v>
      </c>
    </row>
    <row r="1741" spans="1:6">
      <c r="A1741" s="1784" t="s">
        <v>5597</v>
      </c>
      <c r="B1741" s="1778" t="s">
        <v>5598</v>
      </c>
      <c r="C1741" s="1784" t="s">
        <v>5599</v>
      </c>
      <c r="D1741" s="55" t="s">
        <v>2042</v>
      </c>
      <c r="F1741" s="55" t="s">
        <v>4420</v>
      </c>
    </row>
    <row r="1742" spans="1:6">
      <c r="A1742" s="1784" t="s">
        <v>5600</v>
      </c>
      <c r="B1742" s="1778" t="s">
        <v>5601</v>
      </c>
      <c r="C1742" s="1784" t="s">
        <v>5602</v>
      </c>
      <c r="D1742" s="55" t="s">
        <v>2042</v>
      </c>
      <c r="F1742" s="55" t="s">
        <v>4420</v>
      </c>
    </row>
    <row r="1743" spans="1:6">
      <c r="A1743" s="1784" t="s">
        <v>5603</v>
      </c>
      <c r="B1743" s="1778" t="s">
        <v>5604</v>
      </c>
      <c r="C1743" s="1784" t="s">
        <v>5605</v>
      </c>
      <c r="D1743" s="55" t="s">
        <v>2042</v>
      </c>
      <c r="F1743" s="55" t="s">
        <v>4420</v>
      </c>
    </row>
    <row r="1744" spans="1:6">
      <c r="A1744" s="1784" t="s">
        <v>5606</v>
      </c>
      <c r="B1744" s="1778" t="s">
        <v>478</v>
      </c>
      <c r="C1744" s="1784" t="s">
        <v>5607</v>
      </c>
      <c r="D1744" s="55" t="s">
        <v>2042</v>
      </c>
      <c r="F1744" s="55" t="s">
        <v>4420</v>
      </c>
    </row>
    <row r="1745" spans="1:6">
      <c r="A1745" s="1784" t="s">
        <v>5611</v>
      </c>
      <c r="B1745" s="1778" t="s">
        <v>5612</v>
      </c>
      <c r="C1745" s="1784" t="s">
        <v>5613</v>
      </c>
      <c r="D1745" s="55" t="s">
        <v>2538</v>
      </c>
      <c r="F1745" s="55" t="s">
        <v>4420</v>
      </c>
    </row>
    <row r="1746" spans="1:6">
      <c r="A1746" s="1784" t="s">
        <v>5615</v>
      </c>
      <c r="B1746" s="1778">
        <v>73213</v>
      </c>
      <c r="C1746" s="1784" t="s">
        <v>5616</v>
      </c>
      <c r="D1746" s="55" t="s">
        <v>2538</v>
      </c>
      <c r="F1746" s="55" t="s">
        <v>4420</v>
      </c>
    </row>
    <row r="1747" spans="1:6">
      <c r="A1747" s="1784" t="s">
        <v>5617</v>
      </c>
      <c r="B1747" s="1778">
        <v>73413</v>
      </c>
      <c r="C1747" s="1784" t="s">
        <v>5618</v>
      </c>
      <c r="D1747" s="55" t="s">
        <v>2538</v>
      </c>
      <c r="F1747" s="55" t="s">
        <v>4420</v>
      </c>
    </row>
    <row r="1748" spans="1:6">
      <c r="A1748" s="1784" t="s">
        <v>5619</v>
      </c>
      <c r="B1748" s="1778" t="s">
        <v>5620</v>
      </c>
      <c r="C1748" s="1784" t="s">
        <v>5621</v>
      </c>
      <c r="D1748" s="55" t="s">
        <v>2445</v>
      </c>
      <c r="F1748" s="55" t="s">
        <v>4420</v>
      </c>
    </row>
    <row r="1749" spans="1:6">
      <c r="A1749" s="1784" t="s">
        <v>5623</v>
      </c>
      <c r="B1749" s="1778" t="s">
        <v>5624</v>
      </c>
      <c r="C1749" s="1784" t="s">
        <v>5625</v>
      </c>
      <c r="D1749" s="55" t="s">
        <v>2563</v>
      </c>
      <c r="F1749" s="55" t="s">
        <v>4420</v>
      </c>
    </row>
    <row r="1750" spans="1:6">
      <c r="A1750" s="1784" t="s">
        <v>5627</v>
      </c>
      <c r="B1750" s="1778" t="s">
        <v>5626</v>
      </c>
      <c r="C1750" s="1784" t="s">
        <v>5628</v>
      </c>
      <c r="D1750" s="55" t="s">
        <v>2445</v>
      </c>
      <c r="F1750" s="55" t="s">
        <v>4420</v>
      </c>
    </row>
    <row r="1751" spans="1:6">
      <c r="C1751" s="1784" t="s">
        <v>5632</v>
      </c>
      <c r="F1751" s="55">
        <v>3000</v>
      </c>
    </row>
    <row r="1752" spans="1:6">
      <c r="A1752" s="1784" t="s">
        <v>5637</v>
      </c>
      <c r="B1752" s="1778" t="s">
        <v>5638</v>
      </c>
      <c r="C1752" s="1784" t="s">
        <v>5639</v>
      </c>
      <c r="D1752" s="55" t="s">
        <v>1827</v>
      </c>
      <c r="F1752" s="55" t="s">
        <v>4420</v>
      </c>
    </row>
    <row r="1753" spans="1:6">
      <c r="A1753" s="1784" t="s">
        <v>5640</v>
      </c>
      <c r="B1753" s="1778" t="s">
        <v>435</v>
      </c>
      <c r="C1753" s="1784" t="s">
        <v>5641</v>
      </c>
      <c r="D1753" s="55" t="s">
        <v>2563</v>
      </c>
      <c r="F1753" s="55" t="s">
        <v>4420</v>
      </c>
    </row>
    <row r="1754" spans="1:6">
      <c r="A1754" s="1784" t="s">
        <v>5644</v>
      </c>
      <c r="F1754" s="55" t="s">
        <v>4420</v>
      </c>
    </row>
    <row r="1755" spans="1:6">
      <c r="A1755" s="1784" t="s">
        <v>5657</v>
      </c>
      <c r="B1755" s="1778" t="s">
        <v>5658</v>
      </c>
      <c r="C1755" s="1784" t="s">
        <v>5659</v>
      </c>
      <c r="D1755" s="55" t="s">
        <v>3388</v>
      </c>
      <c r="F1755" s="55" t="s">
        <v>4420</v>
      </c>
    </row>
    <row r="1756" spans="1:6">
      <c r="A1756" s="1784" t="s">
        <v>5665</v>
      </c>
      <c r="B1756" s="1778" t="s">
        <v>5664</v>
      </c>
      <c r="C1756" s="1784" t="s">
        <v>1194</v>
      </c>
      <c r="D1756" s="55" t="s">
        <v>2563</v>
      </c>
      <c r="F1756" s="55" t="s">
        <v>4420</v>
      </c>
    </row>
    <row r="1757" spans="1:6">
      <c r="A1757" s="1784" t="s">
        <v>5666</v>
      </c>
      <c r="B1757" s="1778" t="s">
        <v>5664</v>
      </c>
      <c r="C1757" s="1784" t="s">
        <v>1193</v>
      </c>
      <c r="D1757" s="55" t="s">
        <v>2563</v>
      </c>
      <c r="F1757" s="55" t="s">
        <v>4420</v>
      </c>
    </row>
    <row r="1758" spans="1:6">
      <c r="A1758" s="1784" t="s">
        <v>5667</v>
      </c>
      <c r="C1758" s="1784" t="s">
        <v>5668</v>
      </c>
      <c r="D1758" s="55" t="s">
        <v>2563</v>
      </c>
      <c r="F1758" s="55" t="s">
        <v>4420</v>
      </c>
    </row>
    <row r="1759" spans="1:6">
      <c r="A1759" s="1784" t="s">
        <v>5669</v>
      </c>
      <c r="C1759" s="1784" t="s">
        <v>5670</v>
      </c>
      <c r="D1759" s="55" t="s">
        <v>2563</v>
      </c>
      <c r="F1759" s="55" t="s">
        <v>4420</v>
      </c>
    </row>
    <row r="1760" spans="1:6">
      <c r="A1760" s="1784" t="s">
        <v>5671</v>
      </c>
      <c r="C1760" s="1784" t="s">
        <v>5672</v>
      </c>
      <c r="D1760" s="55" t="s">
        <v>2563</v>
      </c>
      <c r="F1760" s="55" t="s">
        <v>4420</v>
      </c>
    </row>
    <row r="1761" spans="1:6">
      <c r="A1761" s="1784" t="s">
        <v>5674</v>
      </c>
      <c r="B1761" s="1778" t="s">
        <v>5675</v>
      </c>
      <c r="C1761" s="1784" t="s">
        <v>5676</v>
      </c>
      <c r="D1761" s="55" t="s">
        <v>3388</v>
      </c>
      <c r="F1761" s="55" t="s">
        <v>4420</v>
      </c>
    </row>
    <row r="1762" spans="1:6">
      <c r="A1762" s="1784" t="s">
        <v>5677</v>
      </c>
      <c r="B1762" s="1778" t="s">
        <v>1025</v>
      </c>
      <c r="C1762" s="1784" t="s">
        <v>5678</v>
      </c>
      <c r="D1762" s="55" t="s">
        <v>3388</v>
      </c>
      <c r="F1762" s="55" t="s">
        <v>4420</v>
      </c>
    </row>
    <row r="1763" spans="1:6">
      <c r="A1763" s="1784" t="s">
        <v>5679</v>
      </c>
      <c r="B1763" s="1778" t="s">
        <v>1025</v>
      </c>
      <c r="C1763" s="1784" t="s">
        <v>5680</v>
      </c>
      <c r="D1763" s="55" t="s">
        <v>3388</v>
      </c>
      <c r="F1763" s="55">
        <v>3000</v>
      </c>
    </row>
    <row r="1764" spans="1:6">
      <c r="A1764" s="1784" t="s">
        <v>5684</v>
      </c>
      <c r="B1764" s="1778" t="s">
        <v>5681</v>
      </c>
      <c r="C1764" s="1784" t="s">
        <v>5685</v>
      </c>
      <c r="D1764" s="55" t="s">
        <v>3388</v>
      </c>
      <c r="F1764" s="55" t="s">
        <v>4420</v>
      </c>
    </row>
    <row r="1765" spans="1:6">
      <c r="A1765" s="1784" t="s">
        <v>5686</v>
      </c>
      <c r="B1765" s="1778" t="s">
        <v>1025</v>
      </c>
      <c r="C1765" s="1784" t="s">
        <v>5687</v>
      </c>
      <c r="D1765" s="55" t="s">
        <v>3388</v>
      </c>
      <c r="F1765" s="55" t="s">
        <v>4420</v>
      </c>
    </row>
    <row r="1766" spans="1:6">
      <c r="A1766" s="1784" t="s">
        <v>5688</v>
      </c>
      <c r="B1766" s="1778" t="s">
        <v>1391</v>
      </c>
      <c r="C1766" s="1784" t="s">
        <v>5689</v>
      </c>
      <c r="D1766" s="55" t="s">
        <v>3388</v>
      </c>
      <c r="F1766" s="55" t="s">
        <v>4420</v>
      </c>
    </row>
    <row r="1767" spans="1:6">
      <c r="A1767" s="1784" t="s">
        <v>5690</v>
      </c>
      <c r="B1767" s="1778" t="s">
        <v>5691</v>
      </c>
      <c r="C1767" s="1784" t="s">
        <v>5692</v>
      </c>
      <c r="D1767" s="55" t="s">
        <v>3388</v>
      </c>
      <c r="F1767" s="55" t="s">
        <v>4420</v>
      </c>
    </row>
    <row r="1768" spans="1:6">
      <c r="A1768" s="1784" t="s">
        <v>5693</v>
      </c>
      <c r="B1768" s="1778" t="s">
        <v>5691</v>
      </c>
      <c r="C1768" s="1784" t="s">
        <v>5694</v>
      </c>
      <c r="D1768" s="55" t="s">
        <v>3388</v>
      </c>
      <c r="F1768" s="55" t="s">
        <v>4420</v>
      </c>
    </row>
    <row r="1769" spans="1:6">
      <c r="A1769" s="1784" t="s">
        <v>5696</v>
      </c>
      <c r="B1769" s="1778" t="s">
        <v>5695</v>
      </c>
      <c r="C1769" s="1784" t="s">
        <v>5697</v>
      </c>
      <c r="D1769" s="55" t="s">
        <v>2563</v>
      </c>
      <c r="F1769" s="55" t="s">
        <v>4420</v>
      </c>
    </row>
    <row r="1770" spans="1:6">
      <c r="A1770" s="1784" t="s">
        <v>5698</v>
      </c>
      <c r="B1770" s="1778" t="s">
        <v>5695</v>
      </c>
      <c r="C1770" s="1784" t="s">
        <v>5699</v>
      </c>
      <c r="D1770" s="55" t="s">
        <v>2563</v>
      </c>
      <c r="F1770" s="55">
        <v>50</v>
      </c>
    </row>
    <row r="1771" spans="1:6">
      <c r="A1771" s="1784" t="s">
        <v>5700</v>
      </c>
      <c r="B1771" s="1778" t="s">
        <v>5695</v>
      </c>
      <c r="C1771" s="1784" t="s">
        <v>5701</v>
      </c>
      <c r="D1771" s="55" t="s">
        <v>2563</v>
      </c>
      <c r="F1771" s="55" t="s">
        <v>4420</v>
      </c>
    </row>
    <row r="1772" spans="1:6">
      <c r="A1772" s="1784" t="s">
        <v>5703</v>
      </c>
      <c r="B1772" s="1778" t="s">
        <v>5695</v>
      </c>
      <c r="C1772" s="1784" t="s">
        <v>5704</v>
      </c>
      <c r="D1772" s="55" t="s">
        <v>2563</v>
      </c>
      <c r="F1772" s="55" t="s">
        <v>4420</v>
      </c>
    </row>
    <row r="1773" spans="1:6">
      <c r="A1773" s="1784" t="s">
        <v>5705</v>
      </c>
      <c r="B1773" s="1778" t="s">
        <v>5695</v>
      </c>
      <c r="C1773" s="1784" t="s">
        <v>5706</v>
      </c>
      <c r="D1773" s="55" t="s">
        <v>2563</v>
      </c>
      <c r="F1773" s="55" t="s">
        <v>4420</v>
      </c>
    </row>
    <row r="1774" spans="1:6">
      <c r="A1774" s="1784" t="s">
        <v>5707</v>
      </c>
      <c r="B1774" s="1778" t="s">
        <v>5695</v>
      </c>
      <c r="C1774" s="1784" t="s">
        <v>5708</v>
      </c>
      <c r="D1774" s="55" t="s">
        <v>2563</v>
      </c>
      <c r="F1774" s="55" t="s">
        <v>4420</v>
      </c>
    </row>
    <row r="1775" spans="1:6">
      <c r="A1775" s="1784" t="s">
        <v>5709</v>
      </c>
      <c r="B1775" s="1778" t="s">
        <v>5695</v>
      </c>
      <c r="C1775" s="1784" t="s">
        <v>5710</v>
      </c>
      <c r="D1775" s="55" t="s">
        <v>2563</v>
      </c>
      <c r="F1775" s="55" t="s">
        <v>4420</v>
      </c>
    </row>
    <row r="1776" spans="1:6">
      <c r="A1776" s="1784" t="s">
        <v>5711</v>
      </c>
      <c r="B1776" s="1778" t="s">
        <v>5695</v>
      </c>
      <c r="C1776" s="1784" t="s">
        <v>5712</v>
      </c>
      <c r="D1776" s="55" t="s">
        <v>2563</v>
      </c>
      <c r="F1776" s="55" t="s">
        <v>4420</v>
      </c>
    </row>
    <row r="1777" spans="1:6">
      <c r="A1777" s="1784" t="s">
        <v>5713</v>
      </c>
      <c r="B1777" s="1778" t="s">
        <v>5695</v>
      </c>
      <c r="C1777" s="1784" t="s">
        <v>5714</v>
      </c>
      <c r="D1777" s="55" t="s">
        <v>2563</v>
      </c>
      <c r="F1777" s="55" t="s">
        <v>4420</v>
      </c>
    </row>
    <row r="1778" spans="1:6">
      <c r="A1778" s="1784" t="s">
        <v>5715</v>
      </c>
      <c r="B1778" s="1778" t="s">
        <v>5695</v>
      </c>
      <c r="C1778" s="1784" t="s">
        <v>5708</v>
      </c>
      <c r="D1778" s="55" t="s">
        <v>2563</v>
      </c>
      <c r="F1778" s="55" t="s">
        <v>4420</v>
      </c>
    </row>
    <row r="1779" spans="1:6">
      <c r="A1779" s="1784" t="s">
        <v>5716</v>
      </c>
      <c r="B1779" s="1778" t="s">
        <v>5717</v>
      </c>
      <c r="C1779" s="1784" t="s">
        <v>5718</v>
      </c>
      <c r="D1779" s="55" t="s">
        <v>2563</v>
      </c>
      <c r="F1779" s="55" t="s">
        <v>4420</v>
      </c>
    </row>
    <row r="1780" spans="1:6">
      <c r="A1780" s="1784" t="s">
        <v>5719</v>
      </c>
      <c r="B1780" s="1778" t="s">
        <v>5695</v>
      </c>
      <c r="C1780" s="1784" t="s">
        <v>5720</v>
      </c>
      <c r="D1780" s="55" t="s">
        <v>2563</v>
      </c>
      <c r="F1780" s="55" t="s">
        <v>4420</v>
      </c>
    </row>
    <row r="1781" spans="1:6">
      <c r="A1781" s="1784" t="s">
        <v>5722</v>
      </c>
      <c r="B1781" s="1778" t="s">
        <v>5695</v>
      </c>
      <c r="C1781" s="1784" t="s">
        <v>5723</v>
      </c>
      <c r="D1781" s="55" t="s">
        <v>2563</v>
      </c>
      <c r="F1781" s="55" t="s">
        <v>4420</v>
      </c>
    </row>
    <row r="1782" spans="1:6">
      <c r="A1782" s="1784" t="s">
        <v>5724</v>
      </c>
      <c r="B1782" s="1778" t="s">
        <v>58</v>
      </c>
      <c r="C1782" s="1784" t="s">
        <v>5725</v>
      </c>
      <c r="D1782" s="55" t="s">
        <v>2563</v>
      </c>
      <c r="F1782" s="55" t="s">
        <v>4420</v>
      </c>
    </row>
    <row r="1783" spans="1:6">
      <c r="A1783" s="1784" t="s">
        <v>5726</v>
      </c>
      <c r="C1783" s="1784" t="s">
        <v>5727</v>
      </c>
      <c r="D1783" s="55" t="s">
        <v>2563</v>
      </c>
      <c r="F1783" s="55" t="s">
        <v>4420</v>
      </c>
    </row>
    <row r="1784" spans="1:6">
      <c r="A1784" s="1784" t="s">
        <v>5728</v>
      </c>
      <c r="C1784" s="1784" t="s">
        <v>5729</v>
      </c>
      <c r="D1784" s="55" t="s">
        <v>2563</v>
      </c>
      <c r="F1784" s="55" t="s">
        <v>4420</v>
      </c>
    </row>
    <row r="1785" spans="1:6">
      <c r="A1785" s="1784" t="s">
        <v>5730</v>
      </c>
      <c r="C1785" s="1784" t="s">
        <v>5731</v>
      </c>
      <c r="D1785" s="55" t="s">
        <v>2563</v>
      </c>
      <c r="F1785" s="55" t="s">
        <v>4420</v>
      </c>
    </row>
    <row r="1786" spans="1:6">
      <c r="A1786" s="1784" t="s">
        <v>5732</v>
      </c>
      <c r="C1786" s="1784" t="s">
        <v>5733</v>
      </c>
      <c r="D1786" s="55" t="s">
        <v>2563</v>
      </c>
      <c r="F1786" s="55" t="s">
        <v>4420</v>
      </c>
    </row>
    <row r="1787" spans="1:6">
      <c r="A1787" s="1784" t="s">
        <v>5734</v>
      </c>
      <c r="C1787" s="1784" t="s">
        <v>5735</v>
      </c>
      <c r="D1787" s="55" t="s">
        <v>2563</v>
      </c>
      <c r="F1787" s="55" t="s">
        <v>4420</v>
      </c>
    </row>
    <row r="1788" spans="1:6">
      <c r="A1788" s="1784" t="s">
        <v>5736</v>
      </c>
      <c r="C1788" s="1784" t="s">
        <v>5737</v>
      </c>
      <c r="D1788" s="55" t="s">
        <v>2563</v>
      </c>
      <c r="F1788" s="55" t="s">
        <v>4420</v>
      </c>
    </row>
    <row r="1789" spans="1:6">
      <c r="A1789" s="1784" t="s">
        <v>5739</v>
      </c>
      <c r="C1789" s="1784" t="s">
        <v>5740</v>
      </c>
      <c r="D1789" s="55" t="s">
        <v>2563</v>
      </c>
      <c r="F1789" s="55" t="s">
        <v>4420</v>
      </c>
    </row>
    <row r="1790" spans="1:6">
      <c r="A1790" s="1784" t="s">
        <v>5745</v>
      </c>
      <c r="C1790" s="1784" t="s">
        <v>5746</v>
      </c>
      <c r="D1790" s="55" t="s">
        <v>2563</v>
      </c>
      <c r="F1790" s="55" t="s">
        <v>4420</v>
      </c>
    </row>
    <row r="1791" spans="1:6">
      <c r="A1791" s="1784" t="s">
        <v>5753</v>
      </c>
      <c r="B1791" s="1778" t="s">
        <v>5750</v>
      </c>
      <c r="C1791" s="1784" t="s">
        <v>5754</v>
      </c>
      <c r="D1791" s="55" t="s">
        <v>2563</v>
      </c>
      <c r="F1791" s="55" t="s">
        <v>4420</v>
      </c>
    </row>
    <row r="1792" spans="1:6">
      <c r="A1792" s="1784" t="s">
        <v>5755</v>
      </c>
      <c r="C1792" s="1784" t="s">
        <v>5756</v>
      </c>
      <c r="D1792" s="55" t="s">
        <v>2563</v>
      </c>
      <c r="F1792" s="55" t="s">
        <v>4420</v>
      </c>
    </row>
    <row r="1793" spans="1:6">
      <c r="A1793" s="1784" t="s">
        <v>5757</v>
      </c>
      <c r="C1793" s="1784" t="s">
        <v>5758</v>
      </c>
      <c r="D1793" s="55" t="s">
        <v>2563</v>
      </c>
      <c r="F1793" s="55" t="s">
        <v>4420</v>
      </c>
    </row>
    <row r="1794" spans="1:6">
      <c r="A1794" s="1784" t="s">
        <v>5759</v>
      </c>
      <c r="C1794" s="1784" t="s">
        <v>5760</v>
      </c>
      <c r="D1794" s="55" t="s">
        <v>3463</v>
      </c>
      <c r="F1794" s="55">
        <v>50</v>
      </c>
    </row>
    <row r="1795" spans="1:6">
      <c r="A1795" s="1784" t="s">
        <v>5761</v>
      </c>
      <c r="C1795" s="1784" t="s">
        <v>5762</v>
      </c>
      <c r="D1795" s="55" t="s">
        <v>2563</v>
      </c>
      <c r="F1795" s="55">
        <v>50</v>
      </c>
    </row>
    <row r="1796" spans="1:6">
      <c r="A1796" s="1784" t="s">
        <v>5763</v>
      </c>
      <c r="C1796" s="1784" t="s">
        <v>5764</v>
      </c>
      <c r="D1796" s="55" t="s">
        <v>2563</v>
      </c>
      <c r="F1796" s="55" t="s">
        <v>4420</v>
      </c>
    </row>
    <row r="1797" spans="1:6">
      <c r="A1797" s="1784" t="s">
        <v>5765</v>
      </c>
      <c r="C1797" s="1784" t="s">
        <v>5764</v>
      </c>
      <c r="D1797" s="55" t="s">
        <v>2563</v>
      </c>
      <c r="F1797" s="55" t="s">
        <v>4420</v>
      </c>
    </row>
    <row r="1798" spans="1:6">
      <c r="A1798" s="1784" t="s">
        <v>5766</v>
      </c>
      <c r="C1798" s="1784" t="s">
        <v>4565</v>
      </c>
      <c r="D1798" s="55" t="s">
        <v>3463</v>
      </c>
      <c r="F1798" s="55" t="s">
        <v>4420</v>
      </c>
    </row>
    <row r="1799" spans="1:6">
      <c r="A1799" s="1784" t="s">
        <v>5767</v>
      </c>
      <c r="C1799" s="1784" t="s">
        <v>5768</v>
      </c>
      <c r="D1799" s="55" t="s">
        <v>2563</v>
      </c>
      <c r="F1799" s="55">
        <v>50</v>
      </c>
    </row>
    <row r="1800" spans="1:6">
      <c r="A1800" s="1784" t="s">
        <v>5769</v>
      </c>
      <c r="C1800" s="1784" t="s">
        <v>5770</v>
      </c>
      <c r="D1800" s="55" t="s">
        <v>2563</v>
      </c>
      <c r="F1800" s="55">
        <v>50</v>
      </c>
    </row>
    <row r="1801" spans="1:6">
      <c r="A1801" s="1784" t="s">
        <v>5772</v>
      </c>
      <c r="C1801" s="1784" t="s">
        <v>5773</v>
      </c>
      <c r="D1801" s="55" t="s">
        <v>2563</v>
      </c>
      <c r="F1801" s="55" t="s">
        <v>4420</v>
      </c>
    </row>
    <row r="1802" spans="1:6">
      <c r="A1802" s="1784" t="s">
        <v>1041</v>
      </c>
      <c r="C1802" s="1784" t="s">
        <v>5779</v>
      </c>
      <c r="D1802" s="55" t="s">
        <v>3475</v>
      </c>
      <c r="F1802" s="55" t="s">
        <v>4420</v>
      </c>
    </row>
    <row r="1803" spans="1:6">
      <c r="A1803" s="1784" t="s">
        <v>5780</v>
      </c>
      <c r="C1803" s="1784" t="s">
        <v>5781</v>
      </c>
      <c r="D1803" s="55" t="s">
        <v>3475</v>
      </c>
      <c r="F1803" s="55" t="s">
        <v>4420</v>
      </c>
    </row>
    <row r="1804" spans="1:6">
      <c r="A1804" s="1784" t="s">
        <v>5782</v>
      </c>
      <c r="B1804" s="1778" t="s">
        <v>5488</v>
      </c>
      <c r="C1804" s="1784" t="s">
        <v>5783</v>
      </c>
      <c r="D1804" s="55" t="s">
        <v>3475</v>
      </c>
      <c r="F1804" s="55" t="s">
        <v>4420</v>
      </c>
    </row>
    <row r="1805" spans="1:6">
      <c r="A1805" s="1784" t="s">
        <v>5784</v>
      </c>
      <c r="B1805" s="1778" t="s">
        <v>691</v>
      </c>
      <c r="C1805" s="1784" t="s">
        <v>5785</v>
      </c>
      <c r="D1805" s="55" t="s">
        <v>3475</v>
      </c>
      <c r="F1805" s="55" t="s">
        <v>4420</v>
      </c>
    </row>
    <row r="1806" spans="1:6">
      <c r="A1806" s="1784" t="s">
        <v>5796</v>
      </c>
      <c r="B1806" s="1778" t="s">
        <v>5786</v>
      </c>
      <c r="C1806" s="1784" t="s">
        <v>5797</v>
      </c>
      <c r="D1806" s="55" t="s">
        <v>2563</v>
      </c>
      <c r="F1806" s="55">
        <v>50</v>
      </c>
    </row>
    <row r="1807" spans="1:6">
      <c r="A1807" s="1784" t="s">
        <v>5798</v>
      </c>
      <c r="B1807" s="1778" t="s">
        <v>5786</v>
      </c>
      <c r="C1807" s="1784" t="s">
        <v>5799</v>
      </c>
      <c r="D1807" s="55" t="s">
        <v>2563</v>
      </c>
      <c r="F1807" s="55" t="s">
        <v>4420</v>
      </c>
    </row>
    <row r="1808" spans="1:6">
      <c r="A1808" s="1784" t="s">
        <v>5800</v>
      </c>
      <c r="B1808" s="1778" t="s">
        <v>5787</v>
      </c>
      <c r="C1808" s="1784" t="s">
        <v>3495</v>
      </c>
      <c r="D1808" s="55" t="s">
        <v>2563</v>
      </c>
      <c r="F1808" s="55" t="s">
        <v>4420</v>
      </c>
    </row>
    <row r="1809" spans="1:6">
      <c r="A1809" s="1784" t="s">
        <v>5801</v>
      </c>
      <c r="B1809" s="1778" t="s">
        <v>5787</v>
      </c>
      <c r="C1809" s="1784" t="s">
        <v>3496</v>
      </c>
      <c r="D1809" s="55" t="s">
        <v>2563</v>
      </c>
      <c r="F1809" s="55" t="s">
        <v>4420</v>
      </c>
    </row>
    <row r="1810" spans="1:6">
      <c r="A1810" s="1784" t="s">
        <v>5802</v>
      </c>
      <c r="B1810" s="1778" t="s">
        <v>5787</v>
      </c>
      <c r="C1810" s="1784" t="s">
        <v>3497</v>
      </c>
      <c r="D1810" s="55" t="s">
        <v>2563</v>
      </c>
      <c r="F1810" s="55" t="s">
        <v>4420</v>
      </c>
    </row>
    <row r="1811" spans="1:6">
      <c r="A1811" s="1784" t="s">
        <v>5803</v>
      </c>
      <c r="B1811" s="1778" t="s">
        <v>5788</v>
      </c>
      <c r="C1811" s="1784" t="s">
        <v>3498</v>
      </c>
      <c r="D1811" s="55" t="s">
        <v>2563</v>
      </c>
      <c r="F1811" s="55" t="s">
        <v>4420</v>
      </c>
    </row>
    <row r="1812" spans="1:6">
      <c r="A1812" s="1784" t="s">
        <v>5804</v>
      </c>
      <c r="B1812" s="1778" t="s">
        <v>5789</v>
      </c>
      <c r="C1812" s="1784" t="s">
        <v>3499</v>
      </c>
      <c r="D1812" s="55" t="s">
        <v>2563</v>
      </c>
      <c r="F1812" s="55" t="s">
        <v>4420</v>
      </c>
    </row>
    <row r="1813" spans="1:6">
      <c r="A1813" s="1784" t="s">
        <v>5805</v>
      </c>
      <c r="B1813" s="1778" t="s">
        <v>5790</v>
      </c>
      <c r="C1813" s="1784" t="s">
        <v>3500</v>
      </c>
      <c r="D1813" s="55" t="s">
        <v>2563</v>
      </c>
      <c r="F1813" s="55" t="s">
        <v>4420</v>
      </c>
    </row>
    <row r="1814" spans="1:6">
      <c r="A1814" s="1784" t="s">
        <v>5806</v>
      </c>
      <c r="B1814" s="1778" t="s">
        <v>5791</v>
      </c>
      <c r="C1814" s="1784" t="s">
        <v>3501</v>
      </c>
      <c r="D1814" s="55" t="s">
        <v>2563</v>
      </c>
      <c r="F1814" s="55" t="s">
        <v>4420</v>
      </c>
    </row>
    <row r="1815" spans="1:6">
      <c r="A1815" s="1784" t="s">
        <v>5807</v>
      </c>
      <c r="B1815" s="1778" t="s">
        <v>5792</v>
      </c>
      <c r="C1815" s="1784" t="s">
        <v>3502</v>
      </c>
      <c r="D1815" s="55" t="s">
        <v>2563</v>
      </c>
      <c r="F1815" s="55" t="s">
        <v>4420</v>
      </c>
    </row>
    <row r="1816" spans="1:6">
      <c r="A1816" s="1784" t="s">
        <v>5808</v>
      </c>
      <c r="B1816" s="1778" t="s">
        <v>5793</v>
      </c>
      <c r="C1816" s="1784" t="s">
        <v>3503</v>
      </c>
      <c r="D1816" s="55" t="s">
        <v>2563</v>
      </c>
      <c r="F1816" s="55" t="s">
        <v>4420</v>
      </c>
    </row>
    <row r="1817" spans="1:6">
      <c r="A1817" s="1784" t="s">
        <v>5809</v>
      </c>
      <c r="B1817" s="1778" t="s">
        <v>5793</v>
      </c>
      <c r="C1817" s="1784" t="s">
        <v>3504</v>
      </c>
      <c r="D1817" s="55" t="s">
        <v>2563</v>
      </c>
      <c r="F1817" s="55" t="s">
        <v>4420</v>
      </c>
    </row>
    <row r="1818" spans="1:6">
      <c r="A1818" s="1784" t="s">
        <v>5810</v>
      </c>
      <c r="B1818" s="1778" t="s">
        <v>5793</v>
      </c>
      <c r="C1818" s="1784" t="s">
        <v>3505</v>
      </c>
      <c r="D1818" s="55" t="s">
        <v>2563</v>
      </c>
      <c r="F1818" s="55" t="s">
        <v>4420</v>
      </c>
    </row>
    <row r="1819" spans="1:6">
      <c r="A1819" s="1784" t="s">
        <v>5811</v>
      </c>
      <c r="B1819" s="1778" t="s">
        <v>5794</v>
      </c>
      <c r="C1819" s="1784" t="s">
        <v>3506</v>
      </c>
      <c r="D1819" s="55" t="s">
        <v>2563</v>
      </c>
      <c r="F1819" s="55" t="s">
        <v>4420</v>
      </c>
    </row>
    <row r="1820" spans="1:6">
      <c r="A1820" s="1784" t="s">
        <v>5812</v>
      </c>
      <c r="B1820" s="1778" t="s">
        <v>5794</v>
      </c>
      <c r="C1820" s="1784" t="s">
        <v>5813</v>
      </c>
      <c r="D1820" s="55" t="s">
        <v>2563</v>
      </c>
      <c r="F1820" s="55" t="s">
        <v>4420</v>
      </c>
    </row>
    <row r="1821" spans="1:6">
      <c r="A1821" s="1784" t="s">
        <v>5814</v>
      </c>
      <c r="B1821" s="1778" t="s">
        <v>5787</v>
      </c>
      <c r="C1821" s="1784" t="s">
        <v>5815</v>
      </c>
      <c r="D1821" s="55" t="s">
        <v>2563</v>
      </c>
      <c r="F1821" s="55" t="s">
        <v>4420</v>
      </c>
    </row>
    <row r="1822" spans="1:6">
      <c r="A1822" s="1784" t="s">
        <v>5816</v>
      </c>
      <c r="B1822" s="1778" t="s">
        <v>5788</v>
      </c>
      <c r="C1822" s="1784" t="s">
        <v>5817</v>
      </c>
      <c r="D1822" s="55" t="s">
        <v>2563</v>
      </c>
      <c r="F1822" s="55" t="s">
        <v>4420</v>
      </c>
    </row>
    <row r="1823" spans="1:6">
      <c r="A1823" s="1784" t="s">
        <v>5818</v>
      </c>
      <c r="B1823" s="1778" t="s">
        <v>5794</v>
      </c>
      <c r="C1823" s="1784" t="s">
        <v>5813</v>
      </c>
      <c r="D1823" s="55" t="s">
        <v>2563</v>
      </c>
      <c r="F1823" s="55" t="s">
        <v>4420</v>
      </c>
    </row>
    <row r="1824" spans="1:6">
      <c r="A1824" s="1784" t="s">
        <v>5819</v>
      </c>
      <c r="B1824" s="1778" t="s">
        <v>5786</v>
      </c>
      <c r="C1824" s="1784" t="s">
        <v>5820</v>
      </c>
      <c r="D1824" s="55" t="s">
        <v>2563</v>
      </c>
      <c r="F1824" s="55" t="s">
        <v>4420</v>
      </c>
    </row>
    <row r="1825" spans="1:6">
      <c r="A1825" s="1784" t="s">
        <v>5821</v>
      </c>
      <c r="B1825" s="1778" t="s">
        <v>5787</v>
      </c>
      <c r="C1825" s="1784" t="s">
        <v>5822</v>
      </c>
      <c r="D1825" s="55" t="s">
        <v>2563</v>
      </c>
      <c r="F1825" s="55" t="s">
        <v>4420</v>
      </c>
    </row>
    <row r="1826" spans="1:6">
      <c r="A1826" s="1784" t="s">
        <v>5823</v>
      </c>
      <c r="B1826" s="1778" t="s">
        <v>5788</v>
      </c>
      <c r="C1826" s="1784" t="s">
        <v>5824</v>
      </c>
      <c r="D1826" s="55" t="s">
        <v>2563</v>
      </c>
      <c r="F1826" s="55" t="s">
        <v>4420</v>
      </c>
    </row>
    <row r="1827" spans="1:6">
      <c r="A1827" s="1784" t="s">
        <v>5825</v>
      </c>
      <c r="B1827" s="1778" t="s">
        <v>5789</v>
      </c>
      <c r="C1827" s="1784" t="s">
        <v>5826</v>
      </c>
      <c r="D1827" s="55" t="s">
        <v>2563</v>
      </c>
      <c r="F1827" s="55" t="s">
        <v>4420</v>
      </c>
    </row>
    <row r="1828" spans="1:6">
      <c r="A1828" s="1784" t="s">
        <v>5827</v>
      </c>
      <c r="B1828" s="1778" t="s">
        <v>5790</v>
      </c>
      <c r="C1828" s="1784" t="s">
        <v>5828</v>
      </c>
      <c r="D1828" s="55" t="s">
        <v>2563</v>
      </c>
      <c r="F1828" s="55" t="s">
        <v>4420</v>
      </c>
    </row>
    <row r="1829" spans="1:6">
      <c r="A1829" s="1784" t="s">
        <v>5829</v>
      </c>
      <c r="B1829" s="1778" t="s">
        <v>5791</v>
      </c>
      <c r="C1829" s="1784" t="s">
        <v>5830</v>
      </c>
      <c r="D1829" s="55" t="s">
        <v>2563</v>
      </c>
      <c r="F1829" s="55" t="s">
        <v>4420</v>
      </c>
    </row>
    <row r="1830" spans="1:6">
      <c r="A1830" s="1784" t="s">
        <v>5831</v>
      </c>
      <c r="B1830" s="1778" t="s">
        <v>5792</v>
      </c>
      <c r="C1830" s="1784" t="s">
        <v>5832</v>
      </c>
      <c r="D1830" s="55" t="s">
        <v>2563</v>
      </c>
      <c r="F1830" s="55" t="s">
        <v>4420</v>
      </c>
    </row>
    <row r="1831" spans="1:6">
      <c r="A1831" s="1784" t="s">
        <v>5833</v>
      </c>
      <c r="B1831" s="1778" t="s">
        <v>5793</v>
      </c>
      <c r="C1831" s="1784" t="s">
        <v>5834</v>
      </c>
      <c r="D1831" s="55" t="s">
        <v>2563</v>
      </c>
      <c r="F1831" s="55" t="s">
        <v>4420</v>
      </c>
    </row>
    <row r="1832" spans="1:6">
      <c r="A1832" s="1784" t="s">
        <v>5835</v>
      </c>
      <c r="B1832" s="1778" t="s">
        <v>5793</v>
      </c>
      <c r="C1832" s="1784" t="s">
        <v>5836</v>
      </c>
      <c r="D1832" s="55" t="s">
        <v>2563</v>
      </c>
      <c r="F1832" s="55" t="s">
        <v>4420</v>
      </c>
    </row>
    <row r="1833" spans="1:6">
      <c r="A1833" s="1784" t="s">
        <v>5837</v>
      </c>
      <c r="B1833" s="1778" t="s">
        <v>5793</v>
      </c>
      <c r="C1833" s="1784" t="s">
        <v>5838</v>
      </c>
      <c r="D1833" s="55" t="s">
        <v>2563</v>
      </c>
      <c r="F1833" s="55" t="s">
        <v>4420</v>
      </c>
    </row>
    <row r="1834" spans="1:6">
      <c r="A1834" s="1784" t="s">
        <v>5839</v>
      </c>
      <c r="B1834" s="1778" t="s">
        <v>5794</v>
      </c>
      <c r="C1834" s="1784" t="s">
        <v>5840</v>
      </c>
      <c r="D1834" s="55" t="s">
        <v>2563</v>
      </c>
      <c r="F1834" s="55" t="s">
        <v>4420</v>
      </c>
    </row>
    <row r="1835" spans="1:6">
      <c r="A1835" s="1784" t="s">
        <v>5841</v>
      </c>
      <c r="B1835" s="1778" t="s">
        <v>5795</v>
      </c>
      <c r="C1835" s="1784" t="s">
        <v>5842</v>
      </c>
      <c r="D1835" s="55" t="s">
        <v>2563</v>
      </c>
      <c r="F1835" s="55" t="s">
        <v>4420</v>
      </c>
    </row>
    <row r="1836" spans="1:6">
      <c r="A1836" s="1784" t="s">
        <v>5843</v>
      </c>
      <c r="C1836" s="1784" t="s">
        <v>5844</v>
      </c>
      <c r="D1836" s="55" t="s">
        <v>1827</v>
      </c>
      <c r="F1836" s="55" t="s">
        <v>4420</v>
      </c>
    </row>
    <row r="1837" spans="1:6">
      <c r="A1837" s="1784" t="s">
        <v>5845</v>
      </c>
      <c r="C1837" s="1784" t="s">
        <v>5846</v>
      </c>
      <c r="D1837" s="55" t="s">
        <v>1827</v>
      </c>
      <c r="F1837" s="55" t="s">
        <v>4420</v>
      </c>
    </row>
    <row r="1838" spans="1:6">
      <c r="A1838" s="1784" t="s">
        <v>5847</v>
      </c>
      <c r="C1838" s="1784" t="s">
        <v>5848</v>
      </c>
      <c r="D1838" s="55" t="s">
        <v>1827</v>
      </c>
      <c r="F1838" s="55" t="s">
        <v>4420</v>
      </c>
    </row>
    <row r="1839" spans="1:6">
      <c r="A1839" s="1784" t="s">
        <v>5849</v>
      </c>
      <c r="C1839" s="1784" t="s">
        <v>5850</v>
      </c>
      <c r="D1839" s="55" t="s">
        <v>1827</v>
      </c>
      <c r="F1839" s="55" t="s">
        <v>4420</v>
      </c>
    </row>
    <row r="1840" spans="1:6">
      <c r="A1840" s="1784" t="s">
        <v>5851</v>
      </c>
      <c r="C1840" s="1784" t="s">
        <v>5852</v>
      </c>
      <c r="D1840" s="55" t="s">
        <v>1827</v>
      </c>
      <c r="F1840" s="55" t="s">
        <v>4420</v>
      </c>
    </row>
    <row r="1841" spans="1:6">
      <c r="A1841" s="1784" t="s">
        <v>5853</v>
      </c>
      <c r="C1841" s="1784" t="s">
        <v>5854</v>
      </c>
      <c r="D1841" s="55" t="s">
        <v>1827</v>
      </c>
      <c r="F1841" s="55" t="s">
        <v>4420</v>
      </c>
    </row>
    <row r="1842" spans="1:6">
      <c r="A1842" s="1784" t="s">
        <v>5855</v>
      </c>
      <c r="C1842" s="1784" t="s">
        <v>5856</v>
      </c>
      <c r="D1842" s="55" t="s">
        <v>1827</v>
      </c>
      <c r="F1842" s="55" t="s">
        <v>4420</v>
      </c>
    </row>
    <row r="1843" spans="1:6">
      <c r="A1843" s="1784" t="s">
        <v>5862</v>
      </c>
      <c r="C1843" s="1784" t="s">
        <v>5024</v>
      </c>
      <c r="D1843" s="55" t="s">
        <v>3584</v>
      </c>
      <c r="F1843" s="55" t="s">
        <v>4420</v>
      </c>
    </row>
    <row r="1844" spans="1:6">
      <c r="A1844" s="1784" t="s">
        <v>5864</v>
      </c>
      <c r="C1844" s="1784" t="s">
        <v>5865</v>
      </c>
      <c r="D1844" s="55" t="s">
        <v>2563</v>
      </c>
      <c r="F1844" s="55" t="s">
        <v>4420</v>
      </c>
    </row>
    <row r="1845" spans="1:6">
      <c r="A1845" s="1784" t="s">
        <v>5866</v>
      </c>
      <c r="C1845" s="1784" t="s">
        <v>5867</v>
      </c>
      <c r="D1845" s="55" t="s">
        <v>2563</v>
      </c>
      <c r="F1845" s="55" t="s">
        <v>4420</v>
      </c>
    </row>
    <row r="1846" spans="1:6">
      <c r="A1846" s="1784" t="s">
        <v>5869</v>
      </c>
      <c r="C1846" s="1784" t="s">
        <v>5870</v>
      </c>
      <c r="D1846" s="55" t="s">
        <v>2563</v>
      </c>
      <c r="F1846" s="55" t="s">
        <v>4420</v>
      </c>
    </row>
    <row r="1847" spans="1:6">
      <c r="A1847" s="1784" t="s">
        <v>5871</v>
      </c>
      <c r="C1847" s="1784" t="s">
        <v>5872</v>
      </c>
      <c r="D1847" s="55" t="s">
        <v>2563</v>
      </c>
      <c r="F1847" s="55" t="s">
        <v>4420</v>
      </c>
    </row>
    <row r="1848" spans="1:6">
      <c r="A1848" s="1784" t="s">
        <v>5873</v>
      </c>
      <c r="C1848" s="1784" t="s">
        <v>5874</v>
      </c>
      <c r="D1848" s="55" t="s">
        <v>2563</v>
      </c>
      <c r="F1848" s="55" t="s">
        <v>4420</v>
      </c>
    </row>
    <row r="1849" spans="1:6">
      <c r="A1849" s="1784" t="s">
        <v>5875</v>
      </c>
      <c r="C1849" s="1784" t="s">
        <v>5876</v>
      </c>
      <c r="D1849" s="55" t="s">
        <v>2563</v>
      </c>
      <c r="F1849" s="55" t="s">
        <v>4420</v>
      </c>
    </row>
    <row r="1850" spans="1:6">
      <c r="A1850" s="1784" t="s">
        <v>5877</v>
      </c>
      <c r="C1850" s="1784" t="s">
        <v>5878</v>
      </c>
      <c r="D1850" s="55" t="s">
        <v>4681</v>
      </c>
      <c r="F1850" s="55" t="s">
        <v>4420</v>
      </c>
    </row>
    <row r="1851" spans="1:6">
      <c r="A1851" s="1784" t="s">
        <v>5879</v>
      </c>
      <c r="C1851" s="1784" t="s">
        <v>5880</v>
      </c>
      <c r="D1851" s="55" t="s">
        <v>4681</v>
      </c>
      <c r="F1851" s="55" t="s">
        <v>4420</v>
      </c>
    </row>
    <row r="1852" spans="1:6">
      <c r="A1852" s="1784" t="s">
        <v>5881</v>
      </c>
      <c r="C1852" s="1784" t="s">
        <v>5882</v>
      </c>
      <c r="D1852" s="55" t="s">
        <v>4681</v>
      </c>
      <c r="F1852" s="55" t="s">
        <v>4420</v>
      </c>
    </row>
    <row r="1853" spans="1:6">
      <c r="A1853" s="1784" t="s">
        <v>5883</v>
      </c>
      <c r="C1853" s="1784" t="s">
        <v>5884</v>
      </c>
      <c r="D1853" s="55" t="s">
        <v>4681</v>
      </c>
      <c r="F1853" s="55" t="s">
        <v>4420</v>
      </c>
    </row>
    <row r="1854" spans="1:6">
      <c r="A1854" s="1784" t="s">
        <v>5885</v>
      </c>
      <c r="C1854" s="1784" t="s">
        <v>5886</v>
      </c>
      <c r="D1854" s="55" t="s">
        <v>4681</v>
      </c>
      <c r="F1854" s="55" t="s">
        <v>4420</v>
      </c>
    </row>
    <row r="1855" spans="1:6">
      <c r="A1855" s="1784" t="s">
        <v>5887</v>
      </c>
      <c r="C1855" s="1784" t="s">
        <v>5888</v>
      </c>
      <c r="D1855" s="55" t="s">
        <v>4681</v>
      </c>
      <c r="F1855" s="55" t="s">
        <v>4420</v>
      </c>
    </row>
    <row r="1856" spans="1:6">
      <c r="A1856" s="1784" t="s">
        <v>5889</v>
      </c>
      <c r="C1856" s="1784" t="s">
        <v>5890</v>
      </c>
      <c r="D1856" s="55" t="s">
        <v>4681</v>
      </c>
      <c r="F1856" s="55" t="s">
        <v>4420</v>
      </c>
    </row>
    <row r="1857" spans="1:6">
      <c r="A1857" s="1784" t="s">
        <v>5891</v>
      </c>
      <c r="C1857" s="1784" t="s">
        <v>5892</v>
      </c>
      <c r="D1857" s="55" t="s">
        <v>4681</v>
      </c>
      <c r="F1857" s="55" t="s">
        <v>4420</v>
      </c>
    </row>
    <row r="1858" spans="1:6">
      <c r="A1858" s="1784" t="s">
        <v>5893</v>
      </c>
      <c r="C1858" s="1784" t="s">
        <v>5894</v>
      </c>
      <c r="D1858" s="55" t="s">
        <v>4681</v>
      </c>
      <c r="F1858" s="55" t="s">
        <v>4420</v>
      </c>
    </row>
    <row r="1859" spans="1:6">
      <c r="A1859" s="1784" t="s">
        <v>5895</v>
      </c>
      <c r="C1859" s="1784" t="s">
        <v>5896</v>
      </c>
      <c r="D1859" s="55" t="s">
        <v>4681</v>
      </c>
      <c r="F1859" s="55" t="s">
        <v>4420</v>
      </c>
    </row>
    <row r="1860" spans="1:6">
      <c r="A1860" s="1784" t="s">
        <v>5897</v>
      </c>
      <c r="C1860" s="1784" t="s">
        <v>5898</v>
      </c>
      <c r="D1860" s="55" t="s">
        <v>2254</v>
      </c>
      <c r="F1860" s="55" t="s">
        <v>4420</v>
      </c>
    </row>
    <row r="1861" spans="1:6">
      <c r="A1861" s="1784" t="s">
        <v>5901</v>
      </c>
      <c r="C1861" s="1784" t="s">
        <v>5902</v>
      </c>
      <c r="D1861" s="55" t="s">
        <v>2254</v>
      </c>
      <c r="F1861" s="55" t="s">
        <v>4420</v>
      </c>
    </row>
    <row r="1862" spans="1:6">
      <c r="A1862" s="1784" t="s">
        <v>5903</v>
      </c>
      <c r="C1862" s="1784" t="s">
        <v>5904</v>
      </c>
      <c r="D1862" s="55" t="s">
        <v>2254</v>
      </c>
      <c r="F1862" s="55" t="s">
        <v>4420</v>
      </c>
    </row>
    <row r="1863" spans="1:6">
      <c r="A1863" s="1784" t="s">
        <v>5905</v>
      </c>
      <c r="C1863" s="1784" t="s">
        <v>5906</v>
      </c>
      <c r="D1863" s="55" t="s">
        <v>2254</v>
      </c>
      <c r="F1863" s="55" t="s">
        <v>4420</v>
      </c>
    </row>
    <row r="1864" spans="1:6">
      <c r="A1864" s="1784" t="s">
        <v>5907</v>
      </c>
      <c r="C1864" s="1784" t="s">
        <v>5908</v>
      </c>
      <c r="D1864" s="55" t="s">
        <v>2254</v>
      </c>
      <c r="F1864" s="55" t="s">
        <v>4420</v>
      </c>
    </row>
    <row r="1865" spans="1:6">
      <c r="A1865" s="1784" t="s">
        <v>5909</v>
      </c>
      <c r="C1865" s="1784" t="s">
        <v>5910</v>
      </c>
      <c r="D1865" s="55" t="s">
        <v>2254</v>
      </c>
      <c r="F1865" s="55" t="s">
        <v>4420</v>
      </c>
    </row>
    <row r="1866" spans="1:6">
      <c r="A1866" s="1784" t="s">
        <v>5911</v>
      </c>
      <c r="C1866" s="1784" t="s">
        <v>5912</v>
      </c>
      <c r="D1866" s="55" t="s">
        <v>2254</v>
      </c>
      <c r="F1866" s="55" t="s">
        <v>4420</v>
      </c>
    </row>
    <row r="1867" spans="1:6">
      <c r="A1867" s="1784" t="s">
        <v>5913</v>
      </c>
      <c r="C1867" s="1784" t="s">
        <v>5914</v>
      </c>
      <c r="D1867" s="55" t="s">
        <v>2254</v>
      </c>
      <c r="F1867" s="55" t="s">
        <v>4420</v>
      </c>
    </row>
    <row r="1868" spans="1:6">
      <c r="A1868" s="1784" t="s">
        <v>5915</v>
      </c>
      <c r="C1868" s="1784" t="s">
        <v>5916</v>
      </c>
      <c r="D1868" s="55" t="s">
        <v>2254</v>
      </c>
      <c r="F1868" s="55" t="s">
        <v>4420</v>
      </c>
    </row>
    <row r="1869" spans="1:6">
      <c r="A1869" s="1784" t="s">
        <v>5917</v>
      </c>
      <c r="C1869" s="1784" t="s">
        <v>5918</v>
      </c>
      <c r="D1869" s="55" t="s">
        <v>2254</v>
      </c>
      <c r="F1869" s="55" t="s">
        <v>4420</v>
      </c>
    </row>
    <row r="1870" spans="1:6">
      <c r="A1870" s="1784" t="s">
        <v>5919</v>
      </c>
      <c r="C1870" s="1784" t="s">
        <v>5920</v>
      </c>
      <c r="D1870" s="55" t="s">
        <v>2254</v>
      </c>
      <c r="F1870" s="55" t="s">
        <v>4420</v>
      </c>
    </row>
    <row r="1871" spans="1:6">
      <c r="A1871" s="1784" t="s">
        <v>5921</v>
      </c>
      <c r="C1871" s="1784" t="s">
        <v>5922</v>
      </c>
      <c r="D1871" s="55" t="s">
        <v>2254</v>
      </c>
      <c r="F1871" s="55" t="s">
        <v>4420</v>
      </c>
    </row>
    <row r="1872" spans="1:6">
      <c r="A1872" s="1784" t="s">
        <v>5923</v>
      </c>
      <c r="C1872" s="1784" t="s">
        <v>5924</v>
      </c>
      <c r="D1872" s="55" t="s">
        <v>2254</v>
      </c>
      <c r="F1872" s="55" t="s">
        <v>4420</v>
      </c>
    </row>
    <row r="1873" spans="1:6">
      <c r="A1873" s="1784" t="s">
        <v>5925</v>
      </c>
      <c r="C1873" s="1784" t="s">
        <v>5926</v>
      </c>
      <c r="D1873" s="55" t="s">
        <v>2254</v>
      </c>
      <c r="F1873" s="55" t="s">
        <v>4420</v>
      </c>
    </row>
    <row r="1874" spans="1:6">
      <c r="A1874" s="1784" t="s">
        <v>5927</v>
      </c>
      <c r="C1874" s="1784" t="s">
        <v>5928</v>
      </c>
      <c r="D1874" s="55" t="s">
        <v>2254</v>
      </c>
      <c r="F1874" s="55" t="s">
        <v>4420</v>
      </c>
    </row>
    <row r="1875" spans="1:6">
      <c r="A1875" s="1784" t="s">
        <v>5929</v>
      </c>
      <c r="C1875" s="1784" t="s">
        <v>5930</v>
      </c>
      <c r="D1875" s="55" t="s">
        <v>2254</v>
      </c>
      <c r="F1875" s="55" t="s">
        <v>4420</v>
      </c>
    </row>
    <row r="1876" spans="1:6">
      <c r="A1876" s="1784" t="s">
        <v>5932</v>
      </c>
      <c r="C1876" s="1784" t="s">
        <v>5933</v>
      </c>
      <c r="D1876" s="55" t="s">
        <v>2563</v>
      </c>
      <c r="F1876" s="55" t="s">
        <v>4420</v>
      </c>
    </row>
    <row r="1877" spans="1:6">
      <c r="A1877" s="1784" t="s">
        <v>5934</v>
      </c>
      <c r="C1877" s="1784" t="s">
        <v>5935</v>
      </c>
      <c r="D1877" s="55" t="s">
        <v>2563</v>
      </c>
      <c r="F1877" s="55" t="s">
        <v>4420</v>
      </c>
    </row>
    <row r="1878" spans="1:6">
      <c r="A1878" s="1784" t="s">
        <v>5936</v>
      </c>
      <c r="C1878" s="1784" t="s">
        <v>5937</v>
      </c>
      <c r="D1878" s="55" t="s">
        <v>2563</v>
      </c>
      <c r="F1878" s="55" t="s">
        <v>4420</v>
      </c>
    </row>
    <row r="1879" spans="1:6">
      <c r="A1879" s="1784" t="s">
        <v>5938</v>
      </c>
      <c r="C1879" s="1784" t="s">
        <v>5939</v>
      </c>
      <c r="D1879" s="55" t="s">
        <v>2563</v>
      </c>
      <c r="F1879" s="55" t="s">
        <v>4420</v>
      </c>
    </row>
    <row r="1880" spans="1:6">
      <c r="A1880" s="1784" t="s">
        <v>5940</v>
      </c>
      <c r="C1880" s="1784" t="s">
        <v>5941</v>
      </c>
      <c r="D1880" s="55" t="s">
        <v>2563</v>
      </c>
      <c r="F1880" s="55" t="s">
        <v>4420</v>
      </c>
    </row>
    <row r="1881" spans="1:6">
      <c r="A1881" s="1784" t="s">
        <v>5942</v>
      </c>
      <c r="C1881" s="1784" t="s">
        <v>5943</v>
      </c>
      <c r="D1881" s="55" t="s">
        <v>2563</v>
      </c>
      <c r="F1881" s="55" t="s">
        <v>4420</v>
      </c>
    </row>
    <row r="1882" spans="1:6">
      <c r="A1882" s="1784" t="s">
        <v>5944</v>
      </c>
      <c r="B1882" s="1778" t="s">
        <v>581</v>
      </c>
      <c r="C1882" s="1784" t="s">
        <v>3638</v>
      </c>
      <c r="D1882" s="55" t="s">
        <v>2042</v>
      </c>
      <c r="F1882" s="55" t="s">
        <v>4420</v>
      </c>
    </row>
    <row r="1883" spans="1:6">
      <c r="A1883" s="1784" t="s">
        <v>5945</v>
      </c>
      <c r="B1883" s="1778" t="s">
        <v>773</v>
      </c>
      <c r="C1883" s="1784" t="s">
        <v>3639</v>
      </c>
      <c r="D1883" s="55" t="s">
        <v>2042</v>
      </c>
      <c r="F1883" s="55" t="s">
        <v>4420</v>
      </c>
    </row>
    <row r="1884" spans="1:6">
      <c r="A1884" s="1784" t="s">
        <v>5946</v>
      </c>
      <c r="B1884" s="1778" t="s">
        <v>775</v>
      </c>
      <c r="C1884" s="1784" t="s">
        <v>3640</v>
      </c>
      <c r="D1884" s="55" t="s">
        <v>2042</v>
      </c>
      <c r="F1884" s="55" t="s">
        <v>4420</v>
      </c>
    </row>
    <row r="1885" spans="1:6">
      <c r="A1885" s="1784" t="s">
        <v>5947</v>
      </c>
      <c r="B1885" s="1778" t="s">
        <v>775</v>
      </c>
      <c r="C1885" s="1784" t="s">
        <v>3641</v>
      </c>
      <c r="D1885" s="55" t="s">
        <v>2042</v>
      </c>
      <c r="F1885" s="55" t="s">
        <v>4420</v>
      </c>
    </row>
    <row r="1886" spans="1:6">
      <c r="A1886" s="1784" t="s">
        <v>5948</v>
      </c>
      <c r="B1886" s="1778" t="s">
        <v>775</v>
      </c>
      <c r="C1886" s="1784" t="s">
        <v>3642</v>
      </c>
      <c r="D1886" s="55" t="s">
        <v>2042</v>
      </c>
      <c r="F1886" s="55" t="s">
        <v>4420</v>
      </c>
    </row>
    <row r="1887" spans="1:6">
      <c r="A1887" s="1784" t="s">
        <v>5949</v>
      </c>
      <c r="B1887" s="1778" t="s">
        <v>775</v>
      </c>
      <c r="C1887" s="1784" t="s">
        <v>3643</v>
      </c>
      <c r="D1887" s="55" t="s">
        <v>2042</v>
      </c>
      <c r="F1887" s="55" t="s">
        <v>4420</v>
      </c>
    </row>
    <row r="1888" spans="1:6">
      <c r="A1888" s="1784" t="s">
        <v>5950</v>
      </c>
      <c r="B1888" s="1778" t="s">
        <v>775</v>
      </c>
      <c r="C1888" s="1784" t="s">
        <v>3644</v>
      </c>
      <c r="D1888" s="55" t="s">
        <v>2042</v>
      </c>
      <c r="F1888" s="55" t="s">
        <v>4420</v>
      </c>
    </row>
    <row r="1889" spans="1:6">
      <c r="A1889" s="1784" t="s">
        <v>5951</v>
      </c>
      <c r="C1889" s="1784" t="s">
        <v>5952</v>
      </c>
      <c r="D1889" s="55" t="s">
        <v>2563</v>
      </c>
      <c r="F1889" s="55" t="s">
        <v>4420</v>
      </c>
    </row>
    <row r="1890" spans="1:6">
      <c r="A1890" s="1784">
        <v>3</v>
      </c>
      <c r="B1890" s="1778" t="s">
        <v>5953</v>
      </c>
      <c r="C1890" s="1784">
        <v>9</v>
      </c>
      <c r="D1890" s="55">
        <v>12</v>
      </c>
      <c r="F1890" s="55" t="s">
        <v>4420</v>
      </c>
    </row>
    <row r="1891" spans="1:6">
      <c r="F1891" s="55">
        <v>3000</v>
      </c>
    </row>
    <row r="1892" spans="1:6">
      <c r="A1892" s="1784" t="s">
        <v>5954</v>
      </c>
      <c r="B1892" s="1778" t="s">
        <v>5955</v>
      </c>
      <c r="C1892" s="1784" t="s">
        <v>5956</v>
      </c>
      <c r="D1892" s="55" t="s">
        <v>2563</v>
      </c>
      <c r="F1892" s="55" t="s">
        <v>4420</v>
      </c>
    </row>
    <row r="1893" spans="1:6">
      <c r="A1893" s="1784" t="s">
        <v>5957</v>
      </c>
      <c r="B1893" s="1778" t="s">
        <v>5958</v>
      </c>
      <c r="C1893" s="1784" t="s">
        <v>5959</v>
      </c>
      <c r="D1893" s="55" t="s">
        <v>2563</v>
      </c>
      <c r="F1893" s="55" t="s">
        <v>4420</v>
      </c>
    </row>
    <row r="1894" spans="1:6">
      <c r="A1894" s="1784" t="s">
        <v>5960</v>
      </c>
      <c r="B1894" s="1778" t="s">
        <v>5961</v>
      </c>
      <c r="C1894" s="1784" t="s">
        <v>5962</v>
      </c>
      <c r="D1894" s="55" t="s">
        <v>2563</v>
      </c>
      <c r="F1894" s="55" t="s">
        <v>4420</v>
      </c>
    </row>
    <row r="1895" spans="1:6">
      <c r="A1895" s="1784" t="s">
        <v>5963</v>
      </c>
      <c r="B1895" s="1778" t="s">
        <v>5964</v>
      </c>
      <c r="C1895" s="1784" t="s">
        <v>5965</v>
      </c>
      <c r="D1895" s="55" t="s">
        <v>2563</v>
      </c>
      <c r="F1895" s="55" t="s">
        <v>4420</v>
      </c>
    </row>
    <row r="1896" spans="1:6">
      <c r="A1896" s="1784" t="s">
        <v>5966</v>
      </c>
      <c r="B1896" s="1778" t="s">
        <v>5967</v>
      </c>
      <c r="C1896" s="1784" t="s">
        <v>5968</v>
      </c>
      <c r="D1896" s="55" t="s">
        <v>2563</v>
      </c>
      <c r="F1896" s="55" t="s">
        <v>4420</v>
      </c>
    </row>
    <row r="1897" spans="1:6">
      <c r="A1897" s="1784" t="s">
        <v>5969</v>
      </c>
      <c r="B1897" s="1778" t="s">
        <v>5970</v>
      </c>
      <c r="C1897" s="1784" t="s">
        <v>5971</v>
      </c>
      <c r="D1897" s="55" t="s">
        <v>2563</v>
      </c>
      <c r="F1897" s="55" t="s">
        <v>4420</v>
      </c>
    </row>
    <row r="1898" spans="1:6">
      <c r="A1898" s="1784" t="s">
        <v>5972</v>
      </c>
      <c r="B1898" s="1778" t="s">
        <v>5955</v>
      </c>
      <c r="C1898" s="1784" t="s">
        <v>5973</v>
      </c>
      <c r="D1898" s="55" t="s">
        <v>2563</v>
      </c>
      <c r="F1898" s="55" t="s">
        <v>4420</v>
      </c>
    </row>
    <row r="1899" spans="1:6">
      <c r="A1899" s="1784" t="s">
        <v>5974</v>
      </c>
      <c r="B1899" s="1778" t="s">
        <v>5958</v>
      </c>
      <c r="C1899" s="1784" t="s">
        <v>5975</v>
      </c>
      <c r="D1899" s="55" t="s">
        <v>2563</v>
      </c>
      <c r="F1899" s="55" t="s">
        <v>4420</v>
      </c>
    </row>
    <row r="1900" spans="1:6">
      <c r="A1900" s="1784" t="s">
        <v>5976</v>
      </c>
      <c r="B1900" s="1778" t="s">
        <v>5961</v>
      </c>
      <c r="C1900" s="1784" t="s">
        <v>5977</v>
      </c>
      <c r="D1900" s="55" t="s">
        <v>2563</v>
      </c>
      <c r="F1900" s="55" t="s">
        <v>4420</v>
      </c>
    </row>
    <row r="1901" spans="1:6">
      <c r="A1901" s="1784" t="s">
        <v>5978</v>
      </c>
      <c r="B1901" s="1778" t="s">
        <v>5964</v>
      </c>
      <c r="C1901" s="1784" t="s">
        <v>5979</v>
      </c>
      <c r="D1901" s="55" t="s">
        <v>2563</v>
      </c>
      <c r="F1901" s="55" t="s">
        <v>4420</v>
      </c>
    </row>
    <row r="1902" spans="1:6">
      <c r="A1902" s="1784" t="s">
        <v>5980</v>
      </c>
      <c r="B1902" s="1778" t="s">
        <v>5967</v>
      </c>
      <c r="C1902" s="1784" t="s">
        <v>5981</v>
      </c>
      <c r="D1902" s="55" t="s">
        <v>2563</v>
      </c>
      <c r="F1902" s="55" t="s">
        <v>4420</v>
      </c>
    </row>
    <row r="1903" spans="1:6">
      <c r="A1903" s="1784" t="s">
        <v>5982</v>
      </c>
      <c r="B1903" s="1778" t="s">
        <v>5970</v>
      </c>
      <c r="C1903" s="1784" t="s">
        <v>5983</v>
      </c>
      <c r="D1903" s="55" t="s">
        <v>2563</v>
      </c>
      <c r="F1903" s="55" t="s">
        <v>4420</v>
      </c>
    </row>
    <row r="1904" spans="1:6">
      <c r="A1904" s="1784" t="s">
        <v>5984</v>
      </c>
      <c r="B1904" s="1778" t="s">
        <v>5985</v>
      </c>
      <c r="C1904" s="1784" t="s">
        <v>5986</v>
      </c>
      <c r="D1904" s="55" t="s">
        <v>2563</v>
      </c>
      <c r="F1904" s="55" t="s">
        <v>4420</v>
      </c>
    </row>
    <row r="1905" spans="1:6">
      <c r="A1905" s="1784" t="s">
        <v>5987</v>
      </c>
      <c r="B1905" s="1778" t="s">
        <v>5988</v>
      </c>
      <c r="C1905" s="1784" t="s">
        <v>5989</v>
      </c>
      <c r="D1905" s="55" t="s">
        <v>2563</v>
      </c>
      <c r="F1905" s="55" t="s">
        <v>4420</v>
      </c>
    </row>
    <row r="1906" spans="1:6">
      <c r="A1906" s="1784" t="s">
        <v>5990</v>
      </c>
      <c r="B1906" s="1778" t="s">
        <v>5991</v>
      </c>
      <c r="C1906" s="1784" t="s">
        <v>5992</v>
      </c>
      <c r="D1906" s="55" t="s">
        <v>4166</v>
      </c>
      <c r="F1906" s="55" t="s">
        <v>4420</v>
      </c>
    </row>
    <row r="1907" spans="1:6">
      <c r="A1907" s="1784" t="s">
        <v>5993</v>
      </c>
      <c r="B1907" s="1778" t="s">
        <v>5985</v>
      </c>
      <c r="C1907" s="1784" t="s">
        <v>5994</v>
      </c>
      <c r="D1907" s="55" t="s">
        <v>2563</v>
      </c>
      <c r="F1907" s="55" t="s">
        <v>4420</v>
      </c>
    </row>
    <row r="1908" spans="1:6">
      <c r="A1908" s="1784" t="s">
        <v>5995</v>
      </c>
      <c r="B1908" s="1778" t="s">
        <v>5988</v>
      </c>
      <c r="C1908" s="1784" t="s">
        <v>5996</v>
      </c>
      <c r="D1908" s="55" t="s">
        <v>2563</v>
      </c>
      <c r="F1908" s="55" t="s">
        <v>4420</v>
      </c>
    </row>
    <row r="1909" spans="1:6">
      <c r="A1909" s="1784" t="s">
        <v>5997</v>
      </c>
      <c r="B1909" s="1778" t="s">
        <v>5991</v>
      </c>
      <c r="C1909" s="1784" t="s">
        <v>5998</v>
      </c>
      <c r="D1909" s="55" t="s">
        <v>2563</v>
      </c>
      <c r="F1909" s="55" t="s">
        <v>4420</v>
      </c>
    </row>
    <row r="1910" spans="1:6">
      <c r="A1910" s="1784" t="s">
        <v>5999</v>
      </c>
      <c r="B1910" s="1778" t="s">
        <v>5991</v>
      </c>
      <c r="C1910" s="1784" t="s">
        <v>6000</v>
      </c>
      <c r="D1910" s="55" t="s">
        <v>4166</v>
      </c>
      <c r="F1910" s="55" t="s">
        <v>4420</v>
      </c>
    </row>
    <row r="1911" spans="1:6">
      <c r="A1911" s="1784" t="s">
        <v>6001</v>
      </c>
      <c r="B1911" s="1778" t="s">
        <v>5991</v>
      </c>
      <c r="C1911" s="1784" t="s">
        <v>6002</v>
      </c>
      <c r="D1911" s="55" t="s">
        <v>4166</v>
      </c>
      <c r="F1911" s="55" t="s">
        <v>4420</v>
      </c>
    </row>
    <row r="1912" spans="1:6">
      <c r="A1912" s="1784" t="s">
        <v>6003</v>
      </c>
      <c r="B1912" s="1778" t="s">
        <v>6004</v>
      </c>
      <c r="C1912" s="1784" t="s">
        <v>6005</v>
      </c>
      <c r="D1912" s="55" t="s">
        <v>3318</v>
      </c>
      <c r="F1912" s="55" t="s">
        <v>4420</v>
      </c>
    </row>
    <row r="1913" spans="1:6">
      <c r="A1913" s="1784" t="s">
        <v>6006</v>
      </c>
      <c r="B1913" s="1778" t="s">
        <v>6007</v>
      </c>
      <c r="C1913" s="1784" t="s">
        <v>6008</v>
      </c>
      <c r="D1913" s="55" t="s">
        <v>3318</v>
      </c>
      <c r="F1913" s="55" t="s">
        <v>4420</v>
      </c>
    </row>
    <row r="1914" spans="1:6">
      <c r="A1914" s="1784" t="s">
        <v>6009</v>
      </c>
      <c r="B1914" s="1778" t="s">
        <v>5651</v>
      </c>
      <c r="C1914" s="1784" t="s">
        <v>6010</v>
      </c>
      <c r="D1914" s="55" t="s">
        <v>3318</v>
      </c>
      <c r="F1914" s="55" t="s">
        <v>4420</v>
      </c>
    </row>
    <row r="1915" spans="1:6">
      <c r="A1915" s="1784" t="s">
        <v>6011</v>
      </c>
      <c r="B1915" s="1778" t="s">
        <v>5652</v>
      </c>
      <c r="C1915" s="1784" t="s">
        <v>6012</v>
      </c>
      <c r="D1915" s="55" t="s">
        <v>3318</v>
      </c>
      <c r="F1915" s="55" t="s">
        <v>4420</v>
      </c>
    </row>
    <row r="1916" spans="1:6">
      <c r="A1916" s="1784" t="s">
        <v>6013</v>
      </c>
      <c r="B1916" s="1778" t="s">
        <v>5653</v>
      </c>
      <c r="C1916" s="1784" t="s">
        <v>6014</v>
      </c>
      <c r="D1916" s="55" t="s">
        <v>3318</v>
      </c>
      <c r="F1916" s="55" t="s">
        <v>4420</v>
      </c>
    </row>
    <row r="1917" spans="1:6">
      <c r="A1917" s="1784" t="s">
        <v>6015</v>
      </c>
      <c r="B1917" s="1778" t="s">
        <v>5654</v>
      </c>
      <c r="C1917" s="1784" t="s">
        <v>6016</v>
      </c>
      <c r="D1917" s="55" t="s">
        <v>3318</v>
      </c>
      <c r="F1917" s="55" t="s">
        <v>4420</v>
      </c>
    </row>
    <row r="1918" spans="1:6">
      <c r="A1918" s="1784" t="s">
        <v>6017</v>
      </c>
      <c r="B1918" s="1778" t="s">
        <v>5655</v>
      </c>
      <c r="C1918" s="1784" t="s">
        <v>6018</v>
      </c>
      <c r="D1918" s="55" t="s">
        <v>3318</v>
      </c>
      <c r="F1918" s="55" t="s">
        <v>4420</v>
      </c>
    </row>
    <row r="1919" spans="1:6">
      <c r="A1919" s="1784" t="s">
        <v>6019</v>
      </c>
      <c r="B1919" s="1778" t="s">
        <v>5656</v>
      </c>
      <c r="C1919" s="1784" t="s">
        <v>6020</v>
      </c>
      <c r="D1919" s="55" t="s">
        <v>3318</v>
      </c>
      <c r="F1919" s="55" t="s">
        <v>4420</v>
      </c>
    </row>
    <row r="1920" spans="1:6">
      <c r="A1920" s="1784" t="s">
        <v>6021</v>
      </c>
      <c r="B1920" s="1778" t="s">
        <v>5645</v>
      </c>
      <c r="C1920" s="1784" t="s">
        <v>6022</v>
      </c>
      <c r="D1920" s="55" t="s">
        <v>3318</v>
      </c>
      <c r="F1920" s="55" t="s">
        <v>4420</v>
      </c>
    </row>
    <row r="1921" spans="1:6">
      <c r="A1921" s="1784" t="s">
        <v>6023</v>
      </c>
      <c r="B1921" s="1778" t="s">
        <v>5646</v>
      </c>
      <c r="C1921" s="1784" t="s">
        <v>6024</v>
      </c>
      <c r="D1921" s="55" t="s">
        <v>3318</v>
      </c>
      <c r="F1921" s="55" t="s">
        <v>4420</v>
      </c>
    </row>
    <row r="1922" spans="1:6">
      <c r="A1922" s="1784" t="s">
        <v>6025</v>
      </c>
      <c r="B1922" s="1778" t="s">
        <v>5647</v>
      </c>
      <c r="C1922" s="1784" t="s">
        <v>6026</v>
      </c>
      <c r="D1922" s="55" t="s">
        <v>3318</v>
      </c>
      <c r="F1922" s="55" t="s">
        <v>4420</v>
      </c>
    </row>
    <row r="1923" spans="1:6">
      <c r="A1923" s="1784" t="s">
        <v>6027</v>
      </c>
      <c r="B1923" s="1778" t="s">
        <v>5648</v>
      </c>
      <c r="C1923" s="1784" t="s">
        <v>6028</v>
      </c>
      <c r="D1923" s="55" t="s">
        <v>3318</v>
      </c>
      <c r="F1923" s="55" t="s">
        <v>4420</v>
      </c>
    </row>
    <row r="1924" spans="1:6">
      <c r="A1924" s="1784" t="s">
        <v>6029</v>
      </c>
      <c r="B1924" s="1778" t="s">
        <v>6030</v>
      </c>
      <c r="C1924" s="1784" t="s">
        <v>6031</v>
      </c>
      <c r="D1924" s="55" t="s">
        <v>3318</v>
      </c>
      <c r="F1924" s="55" t="s">
        <v>4420</v>
      </c>
    </row>
    <row r="1925" spans="1:6">
      <c r="A1925" s="1784" t="s">
        <v>6032</v>
      </c>
      <c r="B1925" s="1778" t="s">
        <v>6033</v>
      </c>
      <c r="C1925" s="1784" t="s">
        <v>6034</v>
      </c>
      <c r="D1925" s="55" t="s">
        <v>3318</v>
      </c>
      <c r="F1925" s="55" t="s">
        <v>4420</v>
      </c>
    </row>
    <row r="1926" spans="1:6">
      <c r="A1926" s="1784" t="s">
        <v>6035</v>
      </c>
      <c r="B1926" s="1778" t="s">
        <v>5663</v>
      </c>
      <c r="C1926" s="1784" t="s">
        <v>6036</v>
      </c>
      <c r="D1926" s="55" t="s">
        <v>2563</v>
      </c>
      <c r="F1926" s="55" t="s">
        <v>4420</v>
      </c>
    </row>
    <row r="1927" spans="1:6">
      <c r="A1927" s="1784" t="s">
        <v>6037</v>
      </c>
      <c r="B1927" s="1778" t="s">
        <v>5661</v>
      </c>
      <c r="C1927" s="1784" t="s">
        <v>6038</v>
      </c>
      <c r="D1927" s="55" t="s">
        <v>2563</v>
      </c>
      <c r="F1927" s="55" t="s">
        <v>4420</v>
      </c>
    </row>
    <row r="1928" spans="1:6">
      <c r="A1928" s="1784" t="s">
        <v>6039</v>
      </c>
      <c r="B1928" s="1778" t="s">
        <v>5664</v>
      </c>
      <c r="C1928" s="1784" t="s">
        <v>6040</v>
      </c>
      <c r="D1928" s="55" t="s">
        <v>2563</v>
      </c>
      <c r="F1928" s="55" t="s">
        <v>4420</v>
      </c>
    </row>
    <row r="1929" spans="1:6">
      <c r="C1929" s="1784" t="s">
        <v>6041</v>
      </c>
      <c r="F1929" s="55">
        <v>3000</v>
      </c>
    </row>
    <row r="1930" spans="1:6">
      <c r="A1930" s="1784" t="s">
        <v>6042</v>
      </c>
      <c r="B1930" s="1778" t="s">
        <v>6043</v>
      </c>
      <c r="C1930" s="1784" t="s">
        <v>6044</v>
      </c>
      <c r="D1930" s="55" t="s">
        <v>2563</v>
      </c>
      <c r="F1930" s="55" t="s">
        <v>4420</v>
      </c>
    </row>
    <row r="1931" spans="1:6">
      <c r="A1931" s="1784" t="s">
        <v>6045</v>
      </c>
      <c r="B1931" s="1778" t="s">
        <v>6043</v>
      </c>
      <c r="C1931" s="1784" t="s">
        <v>6046</v>
      </c>
      <c r="D1931" s="55" t="s">
        <v>2563</v>
      </c>
      <c r="F1931" s="55" t="s">
        <v>4420</v>
      </c>
    </row>
    <row r="1932" spans="1:6">
      <c r="A1932" s="1784" t="s">
        <v>6047</v>
      </c>
      <c r="B1932" s="1778" t="s">
        <v>6048</v>
      </c>
      <c r="C1932" s="1784" t="s">
        <v>6049</v>
      </c>
      <c r="D1932" s="55" t="s">
        <v>2563</v>
      </c>
      <c r="F1932" s="55" t="s">
        <v>4420</v>
      </c>
    </row>
    <row r="1933" spans="1:6">
      <c r="A1933" s="1784" t="s">
        <v>6050</v>
      </c>
      <c r="B1933" s="1778" t="s">
        <v>5624</v>
      </c>
      <c r="C1933" s="1784" t="s">
        <v>6051</v>
      </c>
      <c r="D1933" s="55" t="s">
        <v>2445</v>
      </c>
      <c r="F1933" s="55" t="s">
        <v>4420</v>
      </c>
    </row>
    <row r="1934" spans="1:6">
      <c r="A1934" s="1784" t="s">
        <v>6052</v>
      </c>
      <c r="B1934" s="1778" t="s">
        <v>6053</v>
      </c>
      <c r="C1934" s="1784" t="s">
        <v>6054</v>
      </c>
      <c r="D1934" s="55" t="s">
        <v>2839</v>
      </c>
      <c r="F1934" s="55" t="s">
        <v>4420</v>
      </c>
    </row>
    <row r="1935" spans="1:6">
      <c r="A1935" s="1784" t="s">
        <v>6055</v>
      </c>
      <c r="B1935" s="1778" t="s">
        <v>6056</v>
      </c>
      <c r="C1935" s="1784" t="s">
        <v>6057</v>
      </c>
      <c r="D1935" s="55" t="s">
        <v>2839</v>
      </c>
      <c r="F1935" s="55" t="s">
        <v>4420</v>
      </c>
    </row>
    <row r="1936" spans="1:6">
      <c r="A1936" s="1784" t="s">
        <v>6058</v>
      </c>
      <c r="B1936" s="1778" t="s">
        <v>6059</v>
      </c>
      <c r="C1936" s="1784" t="s">
        <v>6060</v>
      </c>
      <c r="D1936" s="55" t="s">
        <v>2839</v>
      </c>
      <c r="F1936" s="55" t="s">
        <v>4420</v>
      </c>
    </row>
    <row r="1937" spans="1:6">
      <c r="A1937" s="1784" t="s">
        <v>6061</v>
      </c>
      <c r="B1937" s="1778" t="s">
        <v>6062</v>
      </c>
      <c r="C1937" s="1784" t="s">
        <v>6063</v>
      </c>
      <c r="D1937" s="55" t="s">
        <v>2839</v>
      </c>
      <c r="F1937" s="55" t="s">
        <v>4420</v>
      </c>
    </row>
    <row r="1938" spans="1:6">
      <c r="A1938" s="1784" t="s">
        <v>6064</v>
      </c>
      <c r="B1938" s="1778" t="s">
        <v>6065</v>
      </c>
      <c r="C1938" s="1784" t="s">
        <v>6066</v>
      </c>
      <c r="D1938" s="55" t="s">
        <v>1827</v>
      </c>
      <c r="F1938" s="55" t="s">
        <v>4420</v>
      </c>
    </row>
    <row r="1939" spans="1:6">
      <c r="A1939" s="1784" t="s">
        <v>6067</v>
      </c>
      <c r="B1939" s="1778" t="s">
        <v>6068</v>
      </c>
      <c r="C1939" s="1784" t="s">
        <v>6069</v>
      </c>
      <c r="D1939" s="55" t="s">
        <v>1827</v>
      </c>
      <c r="F1939" s="55" t="s">
        <v>4420</v>
      </c>
    </row>
    <row r="1940" spans="1:6">
      <c r="A1940" s="1784" t="s">
        <v>6070</v>
      </c>
      <c r="B1940" s="1778" t="s">
        <v>6071</v>
      </c>
      <c r="C1940" s="1784" t="s">
        <v>6072</v>
      </c>
      <c r="D1940" s="55" t="s">
        <v>1827</v>
      </c>
      <c r="F1940" s="55" t="s">
        <v>4420</v>
      </c>
    </row>
    <row r="1941" spans="1:6">
      <c r="A1941" s="1784" t="s">
        <v>6073</v>
      </c>
      <c r="B1941" s="1778" t="s">
        <v>6074</v>
      </c>
      <c r="C1941" s="1784" t="s">
        <v>6075</v>
      </c>
      <c r="D1941" s="55" t="s">
        <v>1827</v>
      </c>
      <c r="F1941" s="55" t="s">
        <v>4420</v>
      </c>
    </row>
    <row r="1942" spans="1:6">
      <c r="A1942" s="1784" t="s">
        <v>6076</v>
      </c>
      <c r="B1942" s="1778" t="s">
        <v>6077</v>
      </c>
      <c r="C1942" s="1784" t="s">
        <v>6078</v>
      </c>
      <c r="D1942" s="55" t="s">
        <v>1827</v>
      </c>
      <c r="F1942" s="55" t="s">
        <v>4420</v>
      </c>
    </row>
    <row r="1943" spans="1:6">
      <c r="C1943" s="1784" t="s">
        <v>6079</v>
      </c>
      <c r="D1943" s="55" t="s">
        <v>1827</v>
      </c>
      <c r="F1943" s="55">
        <v>3000</v>
      </c>
    </row>
    <row r="1944" spans="1:6">
      <c r="A1944" s="1784" t="s">
        <v>6080</v>
      </c>
      <c r="B1944" s="1778" t="s">
        <v>6081</v>
      </c>
      <c r="C1944" s="1784" t="s">
        <v>6082</v>
      </c>
      <c r="D1944" s="55" t="s">
        <v>1827</v>
      </c>
      <c r="F1944" s="55" t="s">
        <v>4420</v>
      </c>
    </row>
    <row r="1945" spans="1:6">
      <c r="A1945" s="1784" t="s">
        <v>6083</v>
      </c>
      <c r="B1945" s="1778" t="s">
        <v>6084</v>
      </c>
      <c r="C1945" s="1784" t="s">
        <v>6085</v>
      </c>
      <c r="D1945" s="55" t="s">
        <v>1827</v>
      </c>
      <c r="F1945" s="55" t="s">
        <v>4420</v>
      </c>
    </row>
    <row r="1946" spans="1:6">
      <c r="A1946" s="1784" t="s">
        <v>6086</v>
      </c>
      <c r="B1946" s="1778" t="s">
        <v>6087</v>
      </c>
      <c r="C1946" s="1784" t="s">
        <v>6088</v>
      </c>
      <c r="D1946" s="55" t="s">
        <v>1827</v>
      </c>
      <c r="F1946" s="55" t="s">
        <v>4420</v>
      </c>
    </row>
    <row r="1947" spans="1:6">
      <c r="A1947" s="1784" t="s">
        <v>6089</v>
      </c>
      <c r="B1947" s="1778" t="s">
        <v>6090</v>
      </c>
      <c r="C1947" s="1784" t="s">
        <v>6091</v>
      </c>
      <c r="D1947" s="55" t="s">
        <v>1827</v>
      </c>
      <c r="F1947" s="55" t="s">
        <v>4420</v>
      </c>
    </row>
    <row r="1948" spans="1:6">
      <c r="A1948" s="1784" t="s">
        <v>6092</v>
      </c>
      <c r="B1948" s="1778" t="s">
        <v>6093</v>
      </c>
      <c r="C1948" s="1784" t="s">
        <v>6094</v>
      </c>
      <c r="D1948" s="55" t="s">
        <v>1827</v>
      </c>
      <c r="F1948" s="55" t="s">
        <v>4420</v>
      </c>
    </row>
    <row r="1949" spans="1:6">
      <c r="A1949" s="1784" t="s">
        <v>6095</v>
      </c>
      <c r="B1949" s="1778" t="s">
        <v>6096</v>
      </c>
      <c r="C1949" s="1784" t="s">
        <v>6097</v>
      </c>
      <c r="D1949" s="55" t="s">
        <v>1827</v>
      </c>
      <c r="F1949" s="55" t="s">
        <v>4420</v>
      </c>
    </row>
    <row r="1950" spans="1:6">
      <c r="C1950" s="1784" t="s">
        <v>6098</v>
      </c>
      <c r="D1950" s="55" t="s">
        <v>1827</v>
      </c>
      <c r="F1950" s="55">
        <v>3000</v>
      </c>
    </row>
    <row r="1951" spans="1:6">
      <c r="A1951" s="1784" t="s">
        <v>6099</v>
      </c>
      <c r="B1951" s="1778" t="s">
        <v>6100</v>
      </c>
      <c r="C1951" s="1784" t="s">
        <v>6101</v>
      </c>
      <c r="D1951" s="55" t="s">
        <v>1827</v>
      </c>
      <c r="F1951" s="55" t="s">
        <v>4420</v>
      </c>
    </row>
    <row r="1952" spans="1:6">
      <c r="A1952" s="1784" t="s">
        <v>6102</v>
      </c>
      <c r="B1952" s="1778" t="s">
        <v>6103</v>
      </c>
      <c r="C1952" s="1784" t="s">
        <v>6104</v>
      </c>
      <c r="D1952" s="55" t="s">
        <v>1827</v>
      </c>
      <c r="F1952" s="55" t="s">
        <v>4420</v>
      </c>
    </row>
    <row r="1953" spans="1:6">
      <c r="A1953" s="1784" t="s">
        <v>6105</v>
      </c>
      <c r="B1953" s="1778" t="s">
        <v>6106</v>
      </c>
      <c r="C1953" s="1784" t="s">
        <v>6107</v>
      </c>
      <c r="D1953" s="55" t="s">
        <v>1827</v>
      </c>
      <c r="F1953" s="55" t="s">
        <v>4420</v>
      </c>
    </row>
    <row r="1954" spans="1:6">
      <c r="A1954" s="1784" t="s">
        <v>6108</v>
      </c>
      <c r="B1954" s="1778" t="s">
        <v>6109</v>
      </c>
      <c r="C1954" s="1784" t="s">
        <v>6110</v>
      </c>
      <c r="D1954" s="55" t="s">
        <v>1827</v>
      </c>
      <c r="F1954" s="55" t="s">
        <v>4420</v>
      </c>
    </row>
    <row r="1955" spans="1:6">
      <c r="A1955" s="1784" t="s">
        <v>6111</v>
      </c>
      <c r="B1955" s="1778" t="s">
        <v>6112</v>
      </c>
      <c r="C1955" s="1784" t="s">
        <v>6113</v>
      </c>
      <c r="D1955" s="55" t="s">
        <v>1827</v>
      </c>
      <c r="F1955" s="55" t="s">
        <v>4420</v>
      </c>
    </row>
    <row r="1956" spans="1:6">
      <c r="A1956" s="1784" t="s">
        <v>6114</v>
      </c>
      <c r="B1956" s="1778" t="s">
        <v>6115</v>
      </c>
      <c r="C1956" s="1784" t="s">
        <v>6116</v>
      </c>
      <c r="D1956" s="55" t="s">
        <v>1827</v>
      </c>
      <c r="F1956" s="55" t="s">
        <v>4420</v>
      </c>
    </row>
    <row r="1957" spans="1:6">
      <c r="C1957" s="1784" t="s">
        <v>6117</v>
      </c>
      <c r="D1957" s="55" t="s">
        <v>1827</v>
      </c>
      <c r="F1957" s="55">
        <v>3000</v>
      </c>
    </row>
    <row r="1958" spans="1:6">
      <c r="A1958" s="1784" t="s">
        <v>6118</v>
      </c>
      <c r="B1958" s="1778" t="s">
        <v>6119</v>
      </c>
      <c r="C1958" s="1784" t="s">
        <v>6120</v>
      </c>
      <c r="D1958" s="55" t="s">
        <v>1827</v>
      </c>
      <c r="F1958" s="55" t="s">
        <v>4420</v>
      </c>
    </row>
    <row r="1959" spans="1:6">
      <c r="A1959" s="1784" t="s">
        <v>6121</v>
      </c>
      <c r="B1959" s="1778" t="s">
        <v>6122</v>
      </c>
      <c r="C1959" s="1784" t="s">
        <v>6123</v>
      </c>
      <c r="D1959" s="55" t="s">
        <v>1827</v>
      </c>
      <c r="F1959" s="55" t="s">
        <v>4420</v>
      </c>
    </row>
    <row r="1960" spans="1:6">
      <c r="A1960" s="1784" t="s">
        <v>6124</v>
      </c>
      <c r="B1960" s="1778" t="s">
        <v>6125</v>
      </c>
      <c r="C1960" s="1784" t="s">
        <v>6126</v>
      </c>
      <c r="D1960" s="55" t="s">
        <v>1827</v>
      </c>
      <c r="F1960" s="55" t="s">
        <v>4420</v>
      </c>
    </row>
    <row r="1961" spans="1:6">
      <c r="A1961" s="1784" t="s">
        <v>6127</v>
      </c>
      <c r="B1961" s="1778" t="s">
        <v>6128</v>
      </c>
      <c r="C1961" s="1784" t="s">
        <v>6129</v>
      </c>
      <c r="D1961" s="55" t="s">
        <v>1827</v>
      </c>
      <c r="F1961" s="55" t="s">
        <v>4420</v>
      </c>
    </row>
    <row r="1962" spans="1:6">
      <c r="C1962" s="1784" t="s">
        <v>6130</v>
      </c>
      <c r="D1962" s="55" t="s">
        <v>1827</v>
      </c>
      <c r="F1962" s="55">
        <v>3000</v>
      </c>
    </row>
    <row r="1963" spans="1:6">
      <c r="A1963" s="1784" t="s">
        <v>6131</v>
      </c>
      <c r="B1963" s="1778" t="s">
        <v>6132</v>
      </c>
      <c r="C1963" s="1784" t="s">
        <v>6133</v>
      </c>
      <c r="D1963" s="55" t="s">
        <v>1827</v>
      </c>
      <c r="F1963" s="55" t="s">
        <v>4420</v>
      </c>
    </row>
    <row r="1964" spans="1:6">
      <c r="A1964" s="1784" t="s">
        <v>6134</v>
      </c>
      <c r="B1964" s="1778" t="s">
        <v>6135</v>
      </c>
      <c r="C1964" s="1784" t="s">
        <v>6136</v>
      </c>
      <c r="D1964" s="55" t="s">
        <v>1827</v>
      </c>
      <c r="F1964" s="55" t="s">
        <v>4420</v>
      </c>
    </row>
    <row r="1965" spans="1:6">
      <c r="A1965" s="1784" t="s">
        <v>6137</v>
      </c>
      <c r="B1965" s="1778" t="s">
        <v>6138</v>
      </c>
      <c r="C1965" s="1784" t="s">
        <v>6139</v>
      </c>
      <c r="D1965" s="55" t="s">
        <v>1827</v>
      </c>
      <c r="F1965" s="55" t="s">
        <v>4420</v>
      </c>
    </row>
    <row r="1966" spans="1:6">
      <c r="A1966" s="1784" t="s">
        <v>6140</v>
      </c>
      <c r="B1966" s="1778" t="s">
        <v>6141</v>
      </c>
      <c r="C1966" s="1784" t="s">
        <v>6142</v>
      </c>
      <c r="D1966" s="55" t="s">
        <v>1827</v>
      </c>
      <c r="F1966" s="55" t="s">
        <v>4420</v>
      </c>
    </row>
    <row r="1967" spans="1:6">
      <c r="C1967" s="1784" t="s">
        <v>6143</v>
      </c>
      <c r="D1967" s="55" t="s">
        <v>1827</v>
      </c>
      <c r="F1967" s="55">
        <v>3000</v>
      </c>
    </row>
    <row r="1968" spans="1:6">
      <c r="A1968" s="1784" t="s">
        <v>6144</v>
      </c>
      <c r="B1968" s="1778" t="s">
        <v>6081</v>
      </c>
      <c r="C1968" s="1784" t="s">
        <v>6145</v>
      </c>
      <c r="D1968" s="55" t="s">
        <v>1827</v>
      </c>
      <c r="F1968" s="55" t="s">
        <v>4420</v>
      </c>
    </row>
    <row r="1969" spans="1:6">
      <c r="A1969" s="1784" t="s">
        <v>6146</v>
      </c>
      <c r="B1969" s="1778" t="s">
        <v>6081</v>
      </c>
      <c r="C1969" s="1784" t="s">
        <v>6147</v>
      </c>
      <c r="D1969" s="55" t="s">
        <v>1827</v>
      </c>
      <c r="F1969" s="55" t="s">
        <v>4420</v>
      </c>
    </row>
    <row r="1970" spans="1:6">
      <c r="A1970" s="1784" t="s">
        <v>6148</v>
      </c>
      <c r="B1970" s="1778" t="s">
        <v>6081</v>
      </c>
      <c r="C1970" s="1784" t="s">
        <v>6149</v>
      </c>
      <c r="D1970" s="55" t="s">
        <v>1827</v>
      </c>
      <c r="F1970" s="55" t="s">
        <v>4420</v>
      </c>
    </row>
    <row r="1971" spans="1:6">
      <c r="A1971" s="1784" t="s">
        <v>6150</v>
      </c>
      <c r="B1971" s="1778" t="s">
        <v>6081</v>
      </c>
      <c r="C1971" s="1784" t="s">
        <v>6151</v>
      </c>
      <c r="D1971" s="55" t="s">
        <v>1827</v>
      </c>
      <c r="F1971" s="55" t="s">
        <v>4420</v>
      </c>
    </row>
    <row r="1972" spans="1:6">
      <c r="A1972" s="1784" t="s">
        <v>6491</v>
      </c>
      <c r="C1972" s="1784" t="s">
        <v>6311</v>
      </c>
      <c r="D1972" s="55" t="s">
        <v>2391</v>
      </c>
      <c r="F1972" s="55">
        <v>2000</v>
      </c>
    </row>
    <row r="1973" spans="1:6">
      <c r="A1973" s="1784" t="s">
        <v>6492</v>
      </c>
      <c r="C1973" s="1784" t="s">
        <v>6350</v>
      </c>
      <c r="D1973" s="55" t="s">
        <v>2391</v>
      </c>
      <c r="F1973" s="55">
        <v>2000</v>
      </c>
    </row>
    <row r="1974" spans="1:6">
      <c r="A1974" s="1784" t="s">
        <v>6493</v>
      </c>
      <c r="C1974" s="1784" t="s">
        <v>6351</v>
      </c>
      <c r="D1974" s="55" t="s">
        <v>2391</v>
      </c>
      <c r="F1974" s="55">
        <v>2000</v>
      </c>
    </row>
  </sheetData>
  <autoFilter ref="A1:J1971" xr:uid="{CDCE6830-F7E8-4182-AD7E-544E010A1BA3}"/>
  <phoneticPr fontId="0" type="noConversion"/>
  <conditionalFormatting sqref="A1:A1048576">
    <cfRule type="duplicateValues" dxfId="151"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87" operator="containsText" id="{0B8AF989-5A70-4A24-9767-D1344D6C9362}">
            <xm:f>NOT(ISERROR(SEARCH($A$1,C1)))</xm:f>
            <xm:f>$A$1</xm:f>
            <x14:dxf>
              <font>
                <color rgb="FF9C0006"/>
              </font>
              <fill>
                <patternFill>
                  <bgColor rgb="FFFFC7CE"/>
                </patternFill>
              </fill>
            </x14:dxf>
          </x14:cfRule>
          <xm:sqref>C918:C1010 C1:C60 C406:C458 C397:C398 C1012:C1104 C1106:C1123 C62 C1173:C1467 C1469:C1499 C460:C487 C140:C195 C372:C391 C197:C226 C228:C369 C64:C83 C1125:C1165 C489:C916 C1501:C1048576 C85:C138</xm:sqref>
        </x14:conditionalFormatting>
        <x14:conditionalFormatting xmlns:xm="http://schemas.microsoft.com/office/excel/2006/main">
          <x14:cfRule type="containsText" priority="84" operator="containsText" id="{795BEE92-6A39-40C0-89D4-1A74CD7C97F1}">
            <xm:f>NOT(ISERROR(SEARCH($A$1,C917)))</xm:f>
            <xm:f>$A$1</xm:f>
            <x14:dxf>
              <font>
                <color rgb="FF9C0006"/>
              </font>
              <fill>
                <patternFill>
                  <bgColor rgb="FFFFC7CE"/>
                </patternFill>
              </fill>
            </x14:dxf>
          </x14:cfRule>
          <xm:sqref>C917</xm:sqref>
        </x14:conditionalFormatting>
        <x14:conditionalFormatting xmlns:xm="http://schemas.microsoft.com/office/excel/2006/main">
          <x14:cfRule type="containsText" priority="81" operator="containsText" id="{A88093C9-8EC1-4F07-82DD-BB042154E89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78" operator="containsText" id="{067D279C-E49E-4FDE-898F-39574835D17E}">
            <xm:f>NOT(ISERROR(SEARCH($A$1,C392)))</xm:f>
            <xm:f>$A$1</xm:f>
            <x14:dxf>
              <font>
                <color rgb="FF9C0006"/>
              </font>
              <fill>
                <patternFill>
                  <bgColor rgb="FFFFC7CE"/>
                </patternFill>
              </fill>
            </x14:dxf>
          </x14:cfRule>
          <xm:sqref>C392</xm:sqref>
        </x14:conditionalFormatting>
        <x14:conditionalFormatting xmlns:xm="http://schemas.microsoft.com/office/excel/2006/main">
          <x14:cfRule type="containsText" priority="75" operator="containsText" id="{F1E642A3-C265-47BF-AD3C-201F26DF5606}">
            <xm:f>NOT(ISERROR(SEARCH($A$1,C1011)))</xm:f>
            <xm:f>$A$1</xm:f>
            <x14:dxf>
              <font>
                <color rgb="FF9C0006"/>
              </font>
              <fill>
                <patternFill>
                  <bgColor rgb="FFFFC7CE"/>
                </patternFill>
              </fill>
            </x14:dxf>
          </x14:cfRule>
          <xm:sqref>C1011</xm:sqref>
        </x14:conditionalFormatting>
        <x14:conditionalFormatting xmlns:xm="http://schemas.microsoft.com/office/excel/2006/main">
          <x14:cfRule type="containsText" priority="72" operator="containsText" id="{7D892640-3359-43DF-8F05-61266BB6DDD1}">
            <xm:f>NOT(ISERROR(SEARCH($A$1,C1105)))</xm:f>
            <xm:f>$A$1</xm:f>
            <x14:dxf>
              <font>
                <color rgb="FF9C0006"/>
              </font>
              <fill>
                <patternFill>
                  <bgColor rgb="FFFFC7CE"/>
                </patternFill>
              </fill>
            </x14:dxf>
          </x14:cfRule>
          <xm:sqref>C1105</xm:sqref>
        </x14:conditionalFormatting>
        <x14:conditionalFormatting xmlns:xm="http://schemas.microsoft.com/office/excel/2006/main">
          <x14:cfRule type="containsText" priority="69" operator="containsText" id="{F1F319DC-9B9F-42B4-9321-93481C06118A}">
            <xm:f>NOT(ISERROR(SEARCH($A$1,C400)))</xm:f>
            <xm:f>$A$1</xm:f>
            <x14:dxf>
              <font>
                <color rgb="FF9C0006"/>
              </font>
              <fill>
                <patternFill>
                  <bgColor rgb="FFFFC7CE"/>
                </patternFill>
              </fill>
            </x14:dxf>
          </x14:cfRule>
          <xm:sqref>C400</xm:sqref>
        </x14:conditionalFormatting>
        <x14:conditionalFormatting xmlns:xm="http://schemas.microsoft.com/office/excel/2006/main">
          <x14:cfRule type="containsText" priority="66" operator="containsText" id="{C2125A6F-4A98-469D-AE4D-25BB300B4B50}">
            <xm:f>NOT(ISERROR(SEARCH($A$1,C401)))</xm:f>
            <xm:f>$A$1</xm:f>
            <x14:dxf>
              <font>
                <color rgb="FF9C0006"/>
              </font>
              <fill>
                <patternFill>
                  <bgColor rgb="FFFFC7CE"/>
                </patternFill>
              </fill>
            </x14:dxf>
          </x14:cfRule>
          <xm:sqref>C401:C402 C404:C405</xm:sqref>
        </x14:conditionalFormatting>
        <x14:conditionalFormatting xmlns:xm="http://schemas.microsoft.com/office/excel/2006/main">
          <x14:cfRule type="containsText" priority="62" operator="containsText" id="{3F6BC000-304E-4E3D-8118-11B025A8ECD6}">
            <xm:f>NOT(ISERROR(SEARCH($A$1,C396)))</xm:f>
            <xm:f>$A$1</xm:f>
            <x14:dxf>
              <font>
                <color rgb="FF9C0006"/>
              </font>
              <fill>
                <patternFill>
                  <bgColor rgb="FFFFC7CE"/>
                </patternFill>
              </fill>
            </x14:dxf>
          </x14:cfRule>
          <xm:sqref>C396</xm:sqref>
        </x14:conditionalFormatting>
        <x14:conditionalFormatting xmlns:xm="http://schemas.microsoft.com/office/excel/2006/main">
          <x14:cfRule type="containsText" priority="59" operator="containsText" id="{DDABA488-7C85-4FB9-984F-7034119D545A}">
            <xm:f>NOT(ISERROR(SEARCH($A$1,C393)))</xm:f>
            <xm:f>$A$1</xm:f>
            <x14:dxf>
              <font>
                <color rgb="FF9C0006"/>
              </font>
              <fill>
                <patternFill>
                  <bgColor rgb="FFFFC7CE"/>
                </patternFill>
              </fill>
            </x14:dxf>
          </x14:cfRule>
          <xm:sqref>C393:C394</xm:sqref>
        </x14:conditionalFormatting>
        <x14:conditionalFormatting xmlns:xm="http://schemas.microsoft.com/office/excel/2006/main">
          <x14:cfRule type="containsText" priority="56" operator="containsText" id="{BFCCC23D-1127-49A7-B95A-A1F6359ADD04}">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5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50" operator="containsText" id="{9EE53B7D-D832-4255-944F-F817D63735A4}">
            <xm:f>NOT(ISERROR(SEARCH($A$1,C1166)))</xm:f>
            <xm:f>$A$1</xm:f>
            <x14:dxf>
              <font>
                <color rgb="FF9C0006"/>
              </font>
              <fill>
                <patternFill>
                  <bgColor rgb="FFFFC7CE"/>
                </patternFill>
              </fill>
            </x14:dxf>
          </x14:cfRule>
          <xm:sqref>C1166</xm:sqref>
        </x14:conditionalFormatting>
        <x14:conditionalFormatting xmlns:xm="http://schemas.microsoft.com/office/excel/2006/main">
          <x14:cfRule type="containsText" priority="47" operator="containsText" id="{AEADC3BC-D6ED-43C6-BB56-B42AB72D46CD}">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44" operator="containsText" id="{0FCF5498-2363-46EE-A409-37BF43E243E2}">
            <xm:f>NOT(ISERROR(SEARCH($A$1,C1167)))</xm:f>
            <xm:f>$A$1</xm:f>
            <x14:dxf>
              <font>
                <color rgb="FF9C0006"/>
              </font>
              <fill>
                <patternFill>
                  <bgColor rgb="FFFFC7CE"/>
                </patternFill>
              </fill>
            </x14:dxf>
          </x14:cfRule>
          <xm:sqref>C1167</xm:sqref>
        </x14:conditionalFormatting>
        <x14:conditionalFormatting xmlns:xm="http://schemas.microsoft.com/office/excel/2006/main">
          <x14:cfRule type="containsText" priority="41" operator="containsText" id="{E510B465-AB61-4474-9F45-7A8CF8E40874}">
            <xm:f>NOT(ISERROR(SEARCH($A$1,C1168)))</xm:f>
            <xm:f>$A$1</xm:f>
            <x14:dxf>
              <font>
                <color rgb="FF9C0006"/>
              </font>
              <fill>
                <patternFill>
                  <bgColor rgb="FFFFC7CE"/>
                </patternFill>
              </fill>
            </x14:dxf>
          </x14:cfRule>
          <xm:sqref>C1168:C1171</xm:sqref>
        </x14:conditionalFormatting>
        <x14:conditionalFormatting xmlns:xm="http://schemas.microsoft.com/office/excel/2006/main">
          <x14:cfRule type="containsText" priority="38" operator="containsText" id="{F1DF0670-A887-43DD-AF95-94E162005DE1}">
            <xm:f>NOT(ISERROR(SEARCH($A$1,C1468)))</xm:f>
            <xm:f>$A$1</xm:f>
            <x14:dxf>
              <font>
                <color rgb="FF9C0006"/>
              </font>
              <fill>
                <patternFill>
                  <bgColor rgb="FFFFC7CE"/>
                </patternFill>
              </fill>
            </x14:dxf>
          </x14:cfRule>
          <xm:sqref>C1468</xm:sqref>
        </x14:conditionalFormatting>
        <x14:conditionalFormatting xmlns:xm="http://schemas.microsoft.com/office/excel/2006/main">
          <x14:cfRule type="containsText" priority="35" operator="containsText" id="{6F1B295B-C92F-497F-8561-EB1022D0CCC7}">
            <xm:f>NOT(ISERROR(SEARCH($A$1,C459)))</xm:f>
            <xm:f>$A$1</xm:f>
            <x14:dxf>
              <font>
                <color rgb="FF9C0006"/>
              </font>
              <fill>
                <patternFill>
                  <bgColor rgb="FFFFC7CE"/>
                </patternFill>
              </fill>
            </x14:dxf>
          </x14:cfRule>
          <xm:sqref>C459</xm:sqref>
        </x14:conditionalFormatting>
        <x14:conditionalFormatting xmlns:xm="http://schemas.microsoft.com/office/excel/2006/main">
          <x14:cfRule type="containsText" priority="32" operator="containsText" id="{CC4F65EA-6BF7-434A-A1A1-CBB01BB60D2C}">
            <xm:f>NOT(ISERROR(SEARCH($A$1,C139)))</xm:f>
            <xm:f>$A$1</xm:f>
            <x14:dxf>
              <font>
                <color rgb="FF9C0006"/>
              </font>
              <fill>
                <patternFill>
                  <bgColor rgb="FFFFC7CE"/>
                </patternFill>
              </fill>
            </x14:dxf>
          </x14:cfRule>
          <xm:sqref>C139</xm:sqref>
        </x14:conditionalFormatting>
        <x14:conditionalFormatting xmlns:xm="http://schemas.microsoft.com/office/excel/2006/main">
          <x14:cfRule type="containsText" priority="29" operator="containsText" id="{A602F37B-E401-4BB7-AA8E-426E71597B6D}">
            <xm:f>NOT(ISERROR(SEARCH($A$1,C403)))</xm:f>
            <xm:f>$A$1</xm:f>
            <x14:dxf>
              <font>
                <color rgb="FF9C0006"/>
              </font>
              <fill>
                <patternFill>
                  <bgColor rgb="FFFFC7CE"/>
                </patternFill>
              </fill>
            </x14:dxf>
          </x14:cfRule>
          <xm:sqref>C403</xm:sqref>
        </x14:conditionalFormatting>
        <x14:conditionalFormatting xmlns:xm="http://schemas.microsoft.com/office/excel/2006/main">
          <x14:cfRule type="containsText" priority="26" operator="containsText" id="{14C503A3-5F44-4728-8466-3ECA56926196}">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23" operator="containsText" id="{7303AD66-B4A8-4FE7-BD29-15D34BEA472B}">
            <xm:f>NOT(ISERROR(SEARCH($A$1,C371)))</xm:f>
            <xm:f>$A$1</xm:f>
            <x14:dxf>
              <font>
                <color rgb="FF9C0006"/>
              </font>
              <fill>
                <patternFill>
                  <bgColor rgb="FFFFC7CE"/>
                </patternFill>
              </fill>
            </x14:dxf>
          </x14:cfRule>
          <xm:sqref>C371</xm:sqref>
        </x14:conditionalFormatting>
        <x14:conditionalFormatting xmlns:xm="http://schemas.microsoft.com/office/excel/2006/main">
          <x14:cfRule type="containsText" priority="20" operator="containsText" id="{AD90DCFC-75DF-4111-806A-4C2FFEB320FB}">
            <xm:f>NOT(ISERROR(SEARCH($A$1,C196)))</xm:f>
            <xm:f>$A$1</xm:f>
            <x14:dxf>
              <font>
                <color rgb="FF9C0006"/>
              </font>
              <fill>
                <patternFill>
                  <bgColor rgb="FFFFC7CE"/>
                </patternFill>
              </fill>
            </x14:dxf>
          </x14:cfRule>
          <xm:sqref>C196</xm:sqref>
        </x14:conditionalFormatting>
        <x14:conditionalFormatting xmlns:xm="http://schemas.microsoft.com/office/excel/2006/main">
          <x14:cfRule type="containsText" priority="17" operator="containsText" id="{B58E1C8F-FC1C-421C-9007-C2FB65DBDEB2}">
            <xm:f>NOT(ISERROR(SEARCH($A$1,C1500)))</xm:f>
            <xm:f>$A$1</xm:f>
            <x14:dxf>
              <font>
                <color rgb="FF9C0006"/>
              </font>
              <fill>
                <patternFill>
                  <bgColor rgb="FFFFC7CE"/>
                </patternFill>
              </fill>
            </x14:dxf>
          </x14:cfRule>
          <xm:sqref>C1500</xm:sqref>
        </x14:conditionalFormatting>
        <x14:conditionalFormatting xmlns:xm="http://schemas.microsoft.com/office/excel/2006/main">
          <x14:cfRule type="containsText" priority="14" operator="containsText" id="{20D4F4FD-2932-4B92-862B-E4A371D72731}">
            <xm:f>NOT(ISERROR(SEARCH($A$1,C84)))</xm:f>
            <xm:f>$A$1</xm:f>
            <x14:dxf>
              <font>
                <color rgb="FF9C0006"/>
              </font>
              <fill>
                <patternFill>
                  <bgColor rgb="FFFFC7CE"/>
                </patternFill>
              </fill>
            </x14:dxf>
          </x14:cfRule>
          <xm:sqref>C84</xm:sqref>
        </x14:conditionalFormatting>
        <x14:conditionalFormatting xmlns:xm="http://schemas.microsoft.com/office/excel/2006/main">
          <x14:cfRule type="containsText" priority="11" operator="containsText" id="{2679C204-C56E-477F-87E2-630C74893E5D}">
            <xm:f>NOT(ISERROR(SEARCH($A$1,C227)))</xm:f>
            <xm:f>$A$1</xm:f>
            <x14:dxf>
              <font>
                <color rgb="FF9C0006"/>
              </font>
              <fill>
                <patternFill>
                  <bgColor rgb="FFFFC7CE"/>
                </patternFill>
              </fill>
            </x14:dxf>
          </x14:cfRule>
          <xm:sqref>C227</xm:sqref>
        </x14:conditionalFormatting>
        <x14:conditionalFormatting xmlns:xm="http://schemas.microsoft.com/office/excel/2006/main">
          <x14:cfRule type="containsText" priority="8" operator="containsText" id="{B58A42A6-31E2-4C9A-A249-67D3E187294F}">
            <xm:f>NOT(ISERROR(SEARCH($A$1,C488)))</xm:f>
            <xm:f>$A$1</xm:f>
            <x14:dxf>
              <font>
                <color rgb="FF9C0006"/>
              </font>
              <fill>
                <patternFill>
                  <bgColor rgb="FFFFC7CE"/>
                </patternFill>
              </fill>
            </x14:dxf>
          </x14:cfRule>
          <xm:sqref>C488</xm:sqref>
        </x14:conditionalFormatting>
        <x14:conditionalFormatting xmlns:xm="http://schemas.microsoft.com/office/excel/2006/main">
          <x14:cfRule type="containsText" priority="5" operator="containsText" id="{34767DF7-FDDB-4139-812C-B5CDC8C0BB4B}">
            <xm:f>NOT(ISERROR(SEARCH($A$1,C63)))</xm:f>
            <xm:f>$A$1</xm:f>
            <x14:dxf>
              <font>
                <color rgb="FF9C0006"/>
              </font>
              <fill>
                <patternFill>
                  <bgColor rgb="FFFFC7CE"/>
                </patternFill>
              </fill>
            </x14:dxf>
          </x14:cfRule>
          <xm:sqref>C63</xm:sqref>
        </x14:conditionalFormatting>
        <x14:conditionalFormatting xmlns:xm="http://schemas.microsoft.com/office/excel/2006/main">
          <x14:cfRule type="containsText" priority="2" operator="containsText" id="{BF41E4C9-353B-46E5-97AA-2935099CC573}">
            <xm:f>NOT(ISERROR(SEARCH($A$1,C1124)))</xm:f>
            <xm:f>$A$1</xm:f>
            <x14:dxf>
              <font>
                <color rgb="FF9C0006"/>
              </font>
              <fill>
                <patternFill>
                  <bgColor rgb="FFFFC7CE"/>
                </patternFill>
              </fill>
            </x14:dxf>
          </x14:cfRule>
          <xm:sqref>C1124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Q16"/>
  <sheetViews>
    <sheetView tabSelected="1" topLeftCell="AY1" zoomScale="85" zoomScaleNormal="85" workbookViewId="0">
      <selection activeCell="BB5" sqref="BB5"/>
    </sheetView>
  </sheetViews>
  <sheetFormatPr defaultColWidth="8.90625" defaultRowHeight="16.8" outlineLevelCol="1"/>
  <cols>
    <col min="1" max="1" width="18.90625" style="992" customWidth="1" outlineLevel="1"/>
    <col min="2" max="2" width="20.54296875" style="992" customWidth="1" outlineLevel="1"/>
    <col min="3" max="3" width="15.08984375" style="1282" customWidth="1" outlineLevel="1"/>
    <col min="4" max="4" width="11.453125" style="993" customWidth="1" outlineLevel="1"/>
    <col min="5" max="5" width="15.08984375" style="1282" customWidth="1" outlineLevel="1"/>
    <col min="6" max="6" width="20.90625" style="992" customWidth="1" outlineLevel="1"/>
    <col min="7" max="7" width="11.453125" style="993" customWidth="1" outlineLevel="1"/>
    <col min="8" max="9" width="19" style="993" customWidth="1" outlineLevel="1"/>
    <col min="10" max="10" width="15.08984375" style="1282" customWidth="1" outlineLevel="1"/>
    <col min="11" max="11" width="12.81640625" customWidth="1" outlineLevel="1"/>
    <col min="12" max="12" width="8.08984375" style="993" customWidth="1" outlineLevel="1"/>
    <col min="13" max="13" width="8.81640625" style="993" customWidth="1" outlineLevel="1"/>
    <col min="14" max="14" width="11.54296875" style="993" customWidth="1" outlineLevel="1"/>
    <col min="15" max="15" width="14.6328125" style="993" customWidth="1" outlineLevel="1"/>
    <col min="16" max="16" width="11.453125" style="1282" customWidth="1" outlineLevel="1"/>
    <col min="17" max="17" width="11.54296875" style="993" customWidth="1" outlineLevel="1"/>
    <col min="18" max="18" width="8.1796875" style="996" customWidth="1" outlineLevel="1"/>
    <col min="19" max="19" width="15.453125" style="993" customWidth="1" outlineLevel="1"/>
    <col min="20" max="20" width="17.453125" style="993" customWidth="1" outlineLevel="1"/>
    <col min="21" max="21" width="21" style="992" customWidth="1" outlineLevel="1"/>
    <col min="22" max="22" width="19.6328125" style="992" customWidth="1"/>
    <col min="23" max="23" width="17.1796875" style="992" customWidth="1"/>
    <col min="24" max="24" width="22.6328125" style="992" customWidth="1"/>
    <col min="25" max="25" width="22.6328125" style="1282" customWidth="1"/>
    <col min="26" max="27" width="8.90625" style="992"/>
    <col min="28" max="30" width="22.6328125" style="992" customWidth="1"/>
    <col min="31" max="31" width="22.6328125" style="992" hidden="1" customWidth="1"/>
    <col min="32" max="37" width="8.90625" style="992"/>
    <col min="38" max="38" width="11.90625" style="992" customWidth="1"/>
    <col min="39" max="39" width="8.90625" style="992"/>
    <col min="40" max="42" width="8.90625" style="992" customWidth="1" outlineLevel="1"/>
    <col min="43" max="43" width="20.6328125" style="992" customWidth="1" outlineLevel="1"/>
    <col min="44" max="44" width="8.90625" style="992" customWidth="1" outlineLevel="1"/>
    <col min="45" max="45" width="8.90625" style="1282" customWidth="1" outlineLevel="1"/>
    <col min="46" max="48" width="8.90625" style="992" customWidth="1" outlineLevel="1"/>
    <col min="49" max="49" width="38.1796875" style="992" customWidth="1" outlineLevel="1"/>
    <col min="50" max="50" width="53.6328125" style="992" customWidth="1"/>
    <col min="51" max="51" width="8.90625" style="992"/>
    <col min="52" max="59" width="20.453125" style="992" customWidth="1"/>
    <col min="60" max="60" width="20" style="992" customWidth="1"/>
    <col min="61" max="69" width="18.90625" style="992" customWidth="1"/>
    <col min="70" max="16384" width="8.90625" style="992"/>
  </cols>
  <sheetData>
    <row r="1" spans="1:69" s="995" customFormat="1" ht="46.95" customHeight="1" thickTop="1">
      <c r="A1" s="1915" t="s">
        <v>4634</v>
      </c>
      <c r="B1" s="1915" t="s">
        <v>4405</v>
      </c>
      <c r="C1" s="1915" t="s">
        <v>4571</v>
      </c>
      <c r="D1" s="1915" t="s">
        <v>4408</v>
      </c>
      <c r="E1" s="1915" t="s">
        <v>4582</v>
      </c>
      <c r="F1" s="1915" t="s">
        <v>4496</v>
      </c>
      <c r="G1" s="1915" t="s">
        <v>4635</v>
      </c>
      <c r="H1" s="1915" t="s">
        <v>4636</v>
      </c>
      <c r="I1" s="1915" t="s">
        <v>4637</v>
      </c>
      <c r="J1" s="1915" t="s">
        <v>4987</v>
      </c>
      <c r="K1" s="1915" t="s">
        <v>4638</v>
      </c>
      <c r="L1" s="1915" t="s">
        <v>4639</v>
      </c>
      <c r="M1" s="1915" t="s">
        <v>4640</v>
      </c>
      <c r="N1" s="1915" t="s">
        <v>4641</v>
      </c>
      <c r="O1" s="1915" t="s">
        <v>4412</v>
      </c>
      <c r="P1" s="1915" t="s">
        <v>4989</v>
      </c>
      <c r="Q1" s="1915" t="s">
        <v>4409</v>
      </c>
      <c r="R1" s="1915" t="s">
        <v>4410</v>
      </c>
      <c r="S1" s="1915" t="s">
        <v>4411</v>
      </c>
      <c r="T1" s="1915" t="s">
        <v>4407</v>
      </c>
      <c r="U1" s="1915" t="s">
        <v>4642</v>
      </c>
      <c r="V1" s="1915" t="s">
        <v>4643</v>
      </c>
      <c r="W1" s="1915" t="s">
        <v>4199</v>
      </c>
      <c r="X1" s="1915" t="s">
        <v>4985</v>
      </c>
      <c r="Y1" s="1915" t="s">
        <v>4986</v>
      </c>
      <c r="Z1" s="1915" t="s">
        <v>4414</v>
      </c>
      <c r="AA1" s="1915" t="s">
        <v>4415</v>
      </c>
      <c r="AB1" s="1915" t="s">
        <v>4417</v>
      </c>
      <c r="AC1" s="1915" t="s">
        <v>4413</v>
      </c>
      <c r="AD1" s="1915" t="s">
        <v>4416</v>
      </c>
      <c r="AE1" s="1915" t="s">
        <v>4406</v>
      </c>
      <c r="AF1" s="1918" t="s">
        <v>4322</v>
      </c>
      <c r="AG1" s="1919" t="s">
        <v>4644</v>
      </c>
      <c r="AH1" s="1920" t="s">
        <v>4645</v>
      </c>
      <c r="AI1" s="1921" t="s">
        <v>4646</v>
      </c>
      <c r="AJ1" s="1915" t="s">
        <v>4647</v>
      </c>
      <c r="AK1" s="1915" t="s">
        <v>4648</v>
      </c>
      <c r="AL1" s="995" t="s">
        <v>4807</v>
      </c>
      <c r="AM1" s="995" t="s">
        <v>4840</v>
      </c>
      <c r="AN1" s="995" t="s">
        <v>4889</v>
      </c>
      <c r="AO1" s="995" t="s">
        <v>4886</v>
      </c>
      <c r="AP1" s="995" t="s">
        <v>4501</v>
      </c>
      <c r="AQ1" s="995" t="s">
        <v>1064</v>
      </c>
      <c r="AR1" s="995" t="s">
        <v>4888</v>
      </c>
      <c r="AS1" s="1914" t="s">
        <v>4895</v>
      </c>
      <c r="AT1" s="995" t="s">
        <v>4887</v>
      </c>
      <c r="AU1" s="995" t="s">
        <v>4890</v>
      </c>
      <c r="AV1" s="995" t="s">
        <v>4891</v>
      </c>
      <c r="AW1" s="995" t="s">
        <v>4977</v>
      </c>
      <c r="AX1" s="2306" t="s">
        <v>4990</v>
      </c>
      <c r="AY1" s="2307" t="s">
        <v>4991</v>
      </c>
      <c r="AZ1" s="2307" t="s">
        <v>4992</v>
      </c>
      <c r="BA1" s="2307" t="s">
        <v>4993</v>
      </c>
      <c r="BB1" s="2307" t="s">
        <v>4994</v>
      </c>
      <c r="BC1" s="2307" t="s">
        <v>4995</v>
      </c>
      <c r="BD1" s="2307" t="s">
        <v>4996</v>
      </c>
      <c r="BE1" s="2307" t="s">
        <v>4997</v>
      </c>
      <c r="BF1" s="2307" t="s">
        <v>4998</v>
      </c>
      <c r="BG1" s="2307" t="s">
        <v>4999</v>
      </c>
      <c r="BH1" s="2308" t="s">
        <v>5000</v>
      </c>
      <c r="BI1" s="2307" t="str">
        <f>"Top_"&amp;AZ1</f>
        <v>Top_NgayNTVT</v>
      </c>
      <c r="BJ1" s="2307" t="str">
        <f t="shared" ref="BJ1:BN1" si="0">"Top_"&amp;BA1</f>
        <v>Top_Ngay_Mong</v>
      </c>
      <c r="BK1" s="2307" t="str">
        <f t="shared" si="0"/>
        <v>Top_Ngay_TrongTru-LapNeo</v>
      </c>
      <c r="BL1" s="2307" t="str">
        <f t="shared" si="0"/>
        <v>Top_NgayBeTong</v>
      </c>
      <c r="BM1" s="2307" t="str">
        <f t="shared" si="0"/>
        <v>Top_NgayPhuKien</v>
      </c>
      <c r="BN1" s="2307" t="str">
        <f t="shared" si="0"/>
        <v>Top_NgayKeoDay</v>
      </c>
      <c r="BO1" s="2307" t="str">
        <f t="shared" ref="BO1" si="1">"Top_"&amp;BF1</f>
        <v>Top_NgayLapThietBi</v>
      </c>
      <c r="BP1" s="2307" t="str">
        <f t="shared" ref="BP1" si="2">"Top_"&amp;BG1</f>
        <v>Top_NgayTiepDia</v>
      </c>
      <c r="BQ1" s="2307" t="str">
        <f t="shared" ref="BQ1" si="3">"Top_"&amp;BH1</f>
        <v>Top_NgayDauNoi</v>
      </c>
    </row>
    <row r="2" spans="1:69" s="1285" customFormat="1" ht="117.6">
      <c r="A2" s="1916" t="s">
        <v>6152</v>
      </c>
      <c r="B2" s="1916" t="s">
        <v>6153</v>
      </c>
      <c r="C2" s="1913" t="s">
        <v>4988</v>
      </c>
      <c r="D2" s="1916" t="s">
        <v>6154</v>
      </c>
      <c r="E2" s="1913" t="s">
        <v>4560</v>
      </c>
      <c r="F2" s="1916" t="s">
        <v>6155</v>
      </c>
      <c r="G2" s="1916" t="s">
        <v>4524</v>
      </c>
      <c r="H2" s="1916" t="s">
        <v>6156</v>
      </c>
      <c r="I2" s="1916" t="s">
        <v>6157</v>
      </c>
      <c r="J2" s="1913" t="s">
        <v>4560</v>
      </c>
      <c r="K2" s="1913" t="s">
        <v>6158</v>
      </c>
      <c r="L2" s="1916"/>
      <c r="M2" s="1916"/>
      <c r="N2" s="1916" t="s">
        <v>6159</v>
      </c>
      <c r="O2" s="1916" t="s">
        <v>6160</v>
      </c>
      <c r="P2" s="1913" t="s">
        <v>4560</v>
      </c>
      <c r="Q2" s="1913" t="s">
        <v>6161</v>
      </c>
      <c r="R2" s="1916" t="s">
        <v>6162</v>
      </c>
      <c r="S2" s="1914"/>
      <c r="T2" s="1916"/>
      <c r="U2" s="1916"/>
      <c r="V2" s="1913" t="s">
        <v>4560</v>
      </c>
      <c r="W2" s="1917" t="s">
        <v>6488</v>
      </c>
      <c r="X2" s="1917" t="s">
        <v>6487</v>
      </c>
      <c r="Y2" s="1917" t="s">
        <v>4199</v>
      </c>
      <c r="Z2" s="1913" t="s">
        <v>4811</v>
      </c>
      <c r="AA2" s="1917" t="str">
        <f>UPPER(Z2)</f>
        <v>SUỐI CAO</v>
      </c>
      <c r="AB2" s="1916" t="s">
        <v>6489</v>
      </c>
      <c r="AC2" s="1916" t="str">
        <f>UPPER(AB2)</f>
        <v>ĐƯỜNG DÂY TRUNG THẾ VÀ TBA 3P-1250KVA TRANG TRẠI TỔNG HỢP NGUYỄN ĐĂNG NAM</v>
      </c>
      <c r="AD2" s="1917" t="str">
        <f>IF(Z2&lt;&gt;0,"Xã "&amp;Z2&amp;" - ","")&amp;"Huyện Xuân Lộc - Tỉnh Đồng Nai"</f>
        <v>Xã Suối Cao - Huyện Xuân Lộc - Tỉnh Đồng Nai</v>
      </c>
      <c r="AE2" s="1917" t="str">
        <f>UPPER(AD2)</f>
        <v>XÃ SUỐI CAO - HUYỆN XUÂN LỘC - TỈNH ĐỒNG NAI</v>
      </c>
      <c r="AF2" s="1922" t="s">
        <v>4649</v>
      </c>
      <c r="AG2" s="1923" t="s">
        <v>4650</v>
      </c>
      <c r="AH2" s="1924" t="s">
        <v>4198</v>
      </c>
      <c r="AI2" s="1925"/>
      <c r="AJ2" s="2120" t="s">
        <v>6163</v>
      </c>
      <c r="AK2" s="2120" t="s">
        <v>6490</v>
      </c>
      <c r="AL2" s="1285" t="s">
        <v>6494</v>
      </c>
      <c r="AM2" s="2261" t="s">
        <v>6495</v>
      </c>
      <c r="AN2" s="2267">
        <f>Solieu!D3</f>
        <v>2</v>
      </c>
      <c r="AO2" s="2267">
        <f>Solieu!D4</f>
        <v>3</v>
      </c>
      <c r="AP2" s="2267">
        <f>Solieu!D5</f>
        <v>4</v>
      </c>
      <c r="AQ2" s="2267">
        <f>Solieu!D6</f>
        <v>4</v>
      </c>
      <c r="AR2" s="2267">
        <f>Solieu!D7</f>
        <v>5</v>
      </c>
      <c r="AS2" s="2267">
        <f>Solieu!D8</f>
        <v>6</v>
      </c>
      <c r="AT2" s="2267">
        <f>Solieu!D9</f>
        <v>7</v>
      </c>
      <c r="AU2" s="2267">
        <f>Solieu!D10</f>
        <v>8</v>
      </c>
      <c r="AV2" s="2267">
        <f>Solieu!D11</f>
        <v>9</v>
      </c>
      <c r="AW2" s="2261" t="str">
        <f t="array" ref="AW2">_xlfn.TEXTJOIN(CHAR(10),TRUE,AW5:AW16)</f>
        <v xml:space="preserve"> - Từ trụ 036A/020 đến trụ 048/001 đường dây băng qua bên trái đường và đi dọc theo đường hiện hữu.</v>
      </c>
      <c r="AX2" s="2309" t="s">
        <v>5001</v>
      </c>
      <c r="AY2" s="2296" t="s">
        <v>5002</v>
      </c>
      <c r="AZ2" s="2310"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310" t="str">
        <f t="shared" ref="BA2:BH2" si="4">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310" t="str">
        <f t="shared" si="4"/>
        <v>Bắt đầu: .......... giờ .......... ngày .......... tháng.......... năm 2020.
Kết thúc:.......... giờ .......... ngày.......... tháng .......... năm 2020.</v>
      </c>
      <c r="BC2" s="2310" t="str">
        <f t="shared" si="4"/>
        <v>Bắt đầu: .......... giờ .......... ngày .......... tháng.......... năm 2020.
Kết thúc:.......... giờ .......... ngày.......... tháng .......... năm 2020.</v>
      </c>
      <c r="BD2" s="2310" t="str">
        <f t="shared" si="4"/>
        <v>Bắt đầu: .......... giờ .......... ngày .......... tháng.......... năm 2020.
Kết thúc:.......... giờ .......... ngày.......... tháng .......... năm 2020.</v>
      </c>
      <c r="BE2" s="2310" t="str">
        <f t="shared" si="4"/>
        <v>Bắt đầu: .......... giờ .......... ngày .......... tháng.......... năm 2020.
Kết thúc:.......... giờ .......... ngày.......... tháng .......... năm 2020.</v>
      </c>
      <c r="BF2" s="2310" t="str">
        <f t="shared" si="4"/>
        <v>Bắt đầu: .......... giờ .......... ngày .......... tháng.......... năm 2020.
Kết thúc:.......... giờ .......... ngày.......... tháng .......... năm 2020.</v>
      </c>
      <c r="BG2" s="2310" t="str">
        <f t="shared" si="4"/>
        <v>Bắt đầu: .......... giờ .......... ngày .......... tháng.......... năm 2020.
Kết thúc:.......... giờ .......... ngày.......... tháng .......... năm 2020.</v>
      </c>
      <c r="BH2" s="2310" t="str">
        <f t="shared" si="4"/>
        <v>Bắt đầu: .......... giờ .......... ngày .......... tháng.......... năm 2020.
Kết thúc:.......... giờ .......... ngày.......... tháng .......... năm 2020.</v>
      </c>
      <c r="BI2" s="2261" t="str">
        <f ca="1">IF(BI3&gt;0,"ngày "&amp;TEXT(BI3,"dd")&amp;" tháng "&amp;TEXT(BI3,"MM")&amp;" năm "&amp;TEXT(BI3,"yyyy")," ngày         tháng         năm "&amp;YEAR(TODAY()))</f>
        <v xml:space="preserve"> ngày         tháng         năm 2020</v>
      </c>
      <c r="BJ2" s="2261" t="str">
        <f t="shared" ref="BJ2:BN2" ca="1" si="5">IF(BJ3&gt;0,"ngày "&amp;TEXT(BJ3,"dd")&amp;" tháng "&amp;TEXT(BJ3,"MM")&amp;" năm "&amp;TEXT(BJ3,"yyyy")," ngày         tháng         năm "&amp;YEAR(TODAY()))</f>
        <v xml:space="preserve"> ngày         tháng         năm 2020</v>
      </c>
      <c r="BK2" s="2261" t="str">
        <f t="shared" ca="1" si="5"/>
        <v xml:space="preserve"> ngày         tháng         năm 2020</v>
      </c>
      <c r="BL2" s="2261" t="str">
        <f t="shared" ca="1" si="5"/>
        <v xml:space="preserve"> ngày         tháng         năm 2020</v>
      </c>
      <c r="BM2" s="2261" t="str">
        <f t="shared" ca="1" si="5"/>
        <v xml:space="preserve"> ngày         tháng         năm 2020</v>
      </c>
      <c r="BN2" s="2261" t="str">
        <f t="shared" ca="1" si="5"/>
        <v xml:space="preserve"> ngày         tháng         năm 2020</v>
      </c>
      <c r="BO2" s="2261" t="str">
        <f t="shared" ref="BO2" ca="1" si="6">IF(BO3&gt;0,"ngày "&amp;TEXT(BO3,"dd")&amp;" tháng "&amp;TEXT(BO3,"MM")&amp;" năm "&amp;TEXT(BO3,"yyyy")," ngày         tháng         năm "&amp;YEAR(TODAY()))</f>
        <v xml:space="preserve"> ngày         tháng         năm 2020</v>
      </c>
      <c r="BP2" s="2261" t="str">
        <f t="shared" ref="BP2" ca="1" si="7">IF(BP3&gt;0,"ngày "&amp;TEXT(BP3,"dd")&amp;" tháng "&amp;TEXT(BP3,"MM")&amp;" năm "&amp;TEXT(BP3,"yyyy")," ngày         tháng         năm "&amp;YEAR(TODAY()))</f>
        <v xml:space="preserve"> ngày         tháng         năm 2020</v>
      </c>
      <c r="BQ2" s="2261" t="str">
        <f t="shared" ref="BQ2" ca="1" si="8">IF(BQ3&gt;0,"ngày "&amp;TEXT(BQ3,"dd")&amp;" tháng "&amp;TEXT(BQ3,"MM")&amp;" năm "&amp;TEXT(BQ3,"yyyy")," ngày         tháng         năm "&amp;YEAR(TODAY()))</f>
        <v xml:space="preserve"> ngày         tháng         năm 2020</v>
      </c>
    </row>
    <row r="3" spans="1:69" s="1010" customFormat="1" ht="62.4">
      <c r="A3" s="1916" t="s">
        <v>4954</v>
      </c>
      <c r="B3" s="1916" t="s">
        <v>4955</v>
      </c>
      <c r="C3" s="1913" t="s">
        <v>4560</v>
      </c>
      <c r="D3" s="1916" t="s">
        <v>4956</v>
      </c>
      <c r="E3" s="1913" t="s">
        <v>4560</v>
      </c>
      <c r="F3" s="1916" t="s">
        <v>4957</v>
      </c>
      <c r="G3" s="1916" t="s">
        <v>4958</v>
      </c>
      <c r="H3" s="1916" t="s">
        <v>4959</v>
      </c>
      <c r="I3" s="1916" t="str">
        <f>F3</f>
        <v>………………………</v>
      </c>
      <c r="J3" s="1913" t="s">
        <v>4988</v>
      </c>
      <c r="K3" s="1916" t="s">
        <v>4963</v>
      </c>
      <c r="L3" s="1916"/>
      <c r="M3" s="1916"/>
      <c r="N3" s="1916" t="s">
        <v>4961</v>
      </c>
      <c r="O3" s="1916" t="s">
        <v>4962</v>
      </c>
      <c r="P3" s="1913" t="s">
        <v>4560</v>
      </c>
      <c r="Q3" s="1916" t="s">
        <v>4960</v>
      </c>
      <c r="R3" s="1914"/>
      <c r="S3" s="1914"/>
      <c r="T3" s="1009"/>
      <c r="U3" s="1009"/>
      <c r="V3" s="1009"/>
      <c r="Z3" s="1913" t="s">
        <v>4811</v>
      </c>
      <c r="AB3" s="1916" t="s">
        <v>4812</v>
      </c>
      <c r="AC3" s="1916" t="str">
        <f>UPPER(AB3)</f>
        <v>ĐƯỜNG DÂY TRUNG THẾ &amp; TBA 1 PHA 25KVA - 12,7/0,23 KV HỘ DUY TRƯỜNG</v>
      </c>
      <c r="AL3" s="1285" t="s">
        <v>4808</v>
      </c>
      <c r="AX3" s="1011" t="s">
        <v>5003</v>
      </c>
      <c r="AY3" s="2311"/>
      <c r="AZ3" s="2312"/>
      <c r="BA3" s="2312"/>
      <c r="BB3" s="2312"/>
      <c r="BC3" s="2312"/>
      <c r="BD3" s="2312"/>
      <c r="BE3" s="2312"/>
      <c r="BF3" s="2312"/>
      <c r="BG3" s="2312"/>
      <c r="BH3" s="2313"/>
      <c r="BI3" s="2333">
        <f>AZ3</f>
        <v>0</v>
      </c>
      <c r="BJ3" s="2333">
        <f t="shared" ref="BJ3:BN3" si="9">BA3</f>
        <v>0</v>
      </c>
      <c r="BK3" s="2333">
        <f t="shared" si="9"/>
        <v>0</v>
      </c>
      <c r="BL3" s="2333">
        <f t="shared" si="9"/>
        <v>0</v>
      </c>
      <c r="BM3" s="2333">
        <f t="shared" si="9"/>
        <v>0</v>
      </c>
      <c r="BN3" s="2333">
        <f t="shared" si="9"/>
        <v>0</v>
      </c>
      <c r="BO3" s="2333">
        <f t="shared" ref="BO3" si="10">BF3</f>
        <v>0</v>
      </c>
      <c r="BP3" s="2333">
        <f t="shared" ref="BP3" si="11">BG3</f>
        <v>0</v>
      </c>
      <c r="BQ3" s="2333">
        <f t="shared" ref="BQ3" si="12">BH3</f>
        <v>0</v>
      </c>
    </row>
    <row r="4" spans="1:69" s="1010" customFormat="1" ht="63" thickBot="1">
      <c r="A4" s="983"/>
      <c r="B4" s="983"/>
      <c r="C4" s="1284"/>
      <c r="D4" s="983"/>
      <c r="E4" s="1284"/>
      <c r="F4" s="983"/>
      <c r="G4" s="983"/>
      <c r="H4" s="983"/>
      <c r="I4" s="983"/>
      <c r="J4" s="1284"/>
      <c r="K4" s="995"/>
      <c r="L4" s="995"/>
      <c r="P4" s="1284"/>
      <c r="R4" s="1011"/>
      <c r="S4" s="983"/>
      <c r="Z4" s="1913" t="s">
        <v>4839</v>
      </c>
      <c r="AB4" s="1916" t="s">
        <v>4798</v>
      </c>
      <c r="AT4" s="1459" t="s">
        <v>4971</v>
      </c>
      <c r="AU4" s="1459" t="s">
        <v>4972</v>
      </c>
      <c r="AV4" s="1459" t="s">
        <v>4973</v>
      </c>
      <c r="AW4" s="2305" t="s">
        <v>4974</v>
      </c>
      <c r="AX4" s="2314"/>
      <c r="AY4" s="2315"/>
      <c r="AZ4" s="2316">
        <f>AZ3</f>
        <v>0</v>
      </c>
      <c r="BA4" s="2316">
        <f t="shared" ref="BA4:BH4" si="13">BA3</f>
        <v>0</v>
      </c>
      <c r="BB4" s="2316">
        <f t="shared" si="13"/>
        <v>0</v>
      </c>
      <c r="BC4" s="2316">
        <v>43964</v>
      </c>
      <c r="BD4" s="2316">
        <f t="shared" si="13"/>
        <v>0</v>
      </c>
      <c r="BE4" s="2316">
        <f t="shared" si="13"/>
        <v>0</v>
      </c>
      <c r="BF4" s="2316">
        <f t="shared" si="13"/>
        <v>0</v>
      </c>
      <c r="BG4" s="2316">
        <f t="shared" si="13"/>
        <v>0</v>
      </c>
      <c r="BH4" s="2317">
        <f t="shared" si="13"/>
        <v>0</v>
      </c>
    </row>
    <row r="5" spans="1:69" s="1010" customFormat="1" ht="106.5" customHeight="1">
      <c r="A5" s="983"/>
      <c r="B5" s="983"/>
      <c r="C5" s="1284"/>
      <c r="D5" s="983"/>
      <c r="E5" s="1284"/>
      <c r="F5" s="983"/>
      <c r="J5" s="1284"/>
      <c r="P5" s="1284"/>
      <c r="R5" s="1011"/>
      <c r="Z5" s="1913" t="s">
        <v>4964</v>
      </c>
      <c r="AB5" s="1011" t="s">
        <v>4925</v>
      </c>
      <c r="AT5" s="2325" t="str">
        <f>AJ2</f>
        <v>036A/020</v>
      </c>
      <c r="AU5" s="2287" t="s">
        <v>5048</v>
      </c>
      <c r="AV5" s="1924" t="s">
        <v>4975</v>
      </c>
      <c r="AW5" s="2288" t="str">
        <f>IF(AU5&lt;&gt;0," - Từ trụ "&amp;AT5&amp;" đến trụ "&amp;AU5&amp;" đường dây băng qua bên "&amp;AV5&amp;" đường và đi dọc theo đường hiện hữu.","")</f>
        <v xml:space="preserve"> - Từ trụ 036A/020 đến trụ 048/001 đường dây băng qua bên trái đường và đi dọc theo đường hiện hữu.</v>
      </c>
    </row>
    <row r="6" spans="1:69" ht="43.2" customHeight="1">
      <c r="A6" s="983"/>
      <c r="B6" s="983"/>
      <c r="C6" s="1284"/>
      <c r="D6" s="983"/>
      <c r="E6" s="1284"/>
      <c r="F6" s="983"/>
      <c r="G6" s="983"/>
      <c r="H6" s="983"/>
      <c r="I6" s="983"/>
      <c r="J6" s="1284"/>
      <c r="K6" s="995"/>
      <c r="L6" s="995"/>
      <c r="M6" s="983"/>
      <c r="N6" s="1284"/>
      <c r="O6" s="995"/>
      <c r="P6" s="1284"/>
      <c r="Q6" s="1284"/>
      <c r="S6" s="983"/>
      <c r="Z6" s="1913" t="s">
        <v>5004</v>
      </c>
      <c r="AT6" s="1924"/>
      <c r="AU6" s="2287"/>
      <c r="AV6" s="1924" t="s">
        <v>4976</v>
      </c>
      <c r="AW6" s="2288" t="str">
        <f t="shared" ref="AW6:AW15" si="14">IF(AU6&lt;&gt;0," - Từ trụ "&amp;AT6&amp;" đến trụ "&amp;AU6&amp;" đường dây băng qua bên "&amp;AV6&amp;" đường và đi dọc theo đường hiện hữu.","")</f>
        <v/>
      </c>
    </row>
    <row r="7" spans="1:69" s="1285" customFormat="1" ht="43.2" customHeight="1">
      <c r="A7" s="983"/>
      <c r="B7" s="983"/>
      <c r="C7" s="1284"/>
      <c r="D7" s="983"/>
      <c r="E7" s="1284"/>
      <c r="F7" s="983"/>
      <c r="G7" s="983"/>
      <c r="H7" s="983"/>
      <c r="I7" s="983"/>
      <c r="J7" s="1284"/>
      <c r="K7" s="995"/>
      <c r="L7" s="995"/>
      <c r="M7" s="983"/>
      <c r="N7" s="1284"/>
      <c r="O7" s="995"/>
      <c r="P7" s="1284"/>
      <c r="Q7" s="1284"/>
      <c r="R7" s="995"/>
      <c r="S7" s="983"/>
      <c r="T7" s="983"/>
      <c r="U7" s="995"/>
      <c r="V7" s="995"/>
      <c r="AT7" s="810"/>
      <c r="AU7" s="2287"/>
      <c r="AV7" s="1924" t="s">
        <v>4975</v>
      </c>
      <c r="AW7" s="2288" t="str">
        <f t="shared" si="14"/>
        <v/>
      </c>
    </row>
    <row r="8" spans="1:69" s="1285" customFormat="1" ht="43.2" customHeight="1">
      <c r="A8" s="983"/>
      <c r="B8" s="983"/>
      <c r="C8" s="1284"/>
      <c r="D8" s="983"/>
      <c r="E8" s="1284"/>
      <c r="F8" s="983"/>
      <c r="G8" s="983"/>
      <c r="H8" s="983"/>
      <c r="I8" s="983"/>
      <c r="J8" s="1284"/>
      <c r="K8" s="995"/>
      <c r="L8" s="995"/>
      <c r="M8" s="983"/>
      <c r="N8" s="1284"/>
      <c r="O8" s="995"/>
      <c r="P8" s="1284"/>
      <c r="Q8" s="1284"/>
      <c r="R8" s="995"/>
      <c r="S8" s="983"/>
      <c r="T8" s="983"/>
      <c r="U8" s="995"/>
      <c r="V8" s="995"/>
      <c r="AT8" s="810"/>
      <c r="AU8" s="2287"/>
      <c r="AV8" s="1924" t="s">
        <v>4976</v>
      </c>
      <c r="AW8" s="2288" t="str">
        <f t="shared" si="14"/>
        <v/>
      </c>
    </row>
    <row r="9" spans="1:69" s="1285" customFormat="1" ht="43.2" customHeight="1">
      <c r="A9" s="983"/>
      <c r="B9" s="983"/>
      <c r="C9" s="1284"/>
      <c r="D9" s="983"/>
      <c r="E9" s="1284"/>
      <c r="F9" s="983"/>
      <c r="G9" s="983"/>
      <c r="H9" s="983"/>
      <c r="I9" s="983"/>
      <c r="J9" s="1284"/>
      <c r="K9" s="995"/>
      <c r="L9" s="995"/>
      <c r="M9" s="983"/>
      <c r="N9" s="1284"/>
      <c r="O9" s="995"/>
      <c r="P9" s="1284"/>
      <c r="Q9" s="1284"/>
      <c r="R9" s="995"/>
      <c r="S9" s="983"/>
      <c r="T9" s="983"/>
      <c r="U9" s="995"/>
      <c r="V9" s="995"/>
      <c r="AT9" s="810"/>
      <c r="AU9" s="2287"/>
      <c r="AV9" s="1924" t="s">
        <v>4975</v>
      </c>
      <c r="AW9" s="2288" t="str">
        <f t="shared" si="14"/>
        <v/>
      </c>
    </row>
    <row r="10" spans="1:69" ht="43.2" customHeight="1">
      <c r="AT10" s="810"/>
      <c r="AU10" s="2287"/>
      <c r="AV10" s="1924" t="s">
        <v>4976</v>
      </c>
      <c r="AW10" s="2288" t="str">
        <f t="shared" si="14"/>
        <v/>
      </c>
    </row>
    <row r="11" spans="1:69" ht="43.2" customHeight="1">
      <c r="AT11" s="810"/>
      <c r="AU11" s="2287"/>
      <c r="AV11" s="1924" t="s">
        <v>4975</v>
      </c>
      <c r="AW11" s="2288" t="str">
        <f t="shared" si="14"/>
        <v/>
      </c>
    </row>
    <row r="12" spans="1:69" ht="43.2" customHeight="1">
      <c r="AT12" s="810"/>
      <c r="AU12" s="2287"/>
      <c r="AV12" s="1924" t="s">
        <v>4976</v>
      </c>
      <c r="AW12" s="2288" t="str">
        <f t="shared" si="14"/>
        <v/>
      </c>
    </row>
    <row r="13" spans="1:69">
      <c r="AT13" s="810"/>
      <c r="AU13" s="810"/>
      <c r="AV13" s="1924" t="s">
        <v>4975</v>
      </c>
      <c r="AW13" s="2288" t="str">
        <f t="shared" si="14"/>
        <v/>
      </c>
    </row>
    <row r="14" spans="1:69">
      <c r="AT14" s="810"/>
      <c r="AU14" s="810"/>
      <c r="AV14" s="1924" t="s">
        <v>4976</v>
      </c>
      <c r="AW14" s="2288" t="str">
        <f t="shared" si="14"/>
        <v/>
      </c>
    </row>
    <row r="15" spans="1:69">
      <c r="AT15" s="810"/>
      <c r="AU15" s="810"/>
      <c r="AV15" s="1924" t="s">
        <v>4975</v>
      </c>
      <c r="AW15" s="2288" t="str">
        <f t="shared" si="14"/>
        <v/>
      </c>
    </row>
    <row r="16" spans="1:69">
      <c r="AT16" s="810"/>
      <c r="AU16" s="810"/>
      <c r="AV16" s="1924"/>
      <c r="AW16" s="810"/>
    </row>
  </sheetData>
  <dataValidations count="2">
    <dataValidation type="list" allowBlank="1" showInputMessage="1" showErrorMessage="1" sqref="N6:N9 C2:C9 E2:E9 J2:J9 K2 P2:Q2 P3:P9" xr:uid="{00000000-0002-0000-0400-000000000000}">
      <formula1>"Ông, Bà"</formula1>
    </dataValidation>
    <dataValidation showInputMessage="1" showErrorMessage="1" sqref="N3 O2" xr:uid="{00000000-0002-0000-04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2" spans="1:13" ht="17.399999999999999">
      <c r="B2" s="99"/>
      <c r="C2" s="85"/>
      <c r="D2" s="85"/>
      <c r="E2" s="85"/>
    </row>
    <row r="3" spans="1:13" ht="35.25" customHeight="1">
      <c r="B3" s="90" t="s">
        <v>3781</v>
      </c>
      <c r="C3" s="100"/>
      <c r="D3" s="100"/>
      <c r="E3" s="100"/>
      <c r="F3" s="101"/>
      <c r="G3" s="102"/>
      <c r="H3" s="103"/>
      <c r="I3" s="103"/>
    </row>
    <row r="4" spans="1:13" ht="13.8">
      <c r="A4" s="104"/>
      <c r="B4" s="2957" t="s">
        <v>1712</v>
      </c>
      <c r="C4" s="2957" t="s">
        <v>2287</v>
      </c>
      <c r="D4" s="91" t="s">
        <v>2288</v>
      </c>
      <c r="E4" s="91" t="s">
        <v>2289</v>
      </c>
      <c r="F4" s="105">
        <f>pp_NC!GV5</f>
        <v>0</v>
      </c>
      <c r="G4" s="105" t="str">
        <f>'pp3p2m '!ED6</f>
        <v>B</v>
      </c>
      <c r="H4" s="105" t="s">
        <v>1038</v>
      </c>
      <c r="I4" s="105" t="s">
        <v>1038</v>
      </c>
      <c r="J4" s="106"/>
      <c r="K4" s="102"/>
      <c r="L4" s="102"/>
      <c r="M4" s="102"/>
    </row>
    <row r="5" spans="1:13" ht="13.8">
      <c r="A5" s="92" t="s">
        <v>2290</v>
      </c>
      <c r="B5" s="2958"/>
      <c r="C5" s="2958"/>
      <c r="D5" s="93" t="s">
        <v>2291</v>
      </c>
      <c r="E5" s="93" t="s">
        <v>2292</v>
      </c>
      <c r="F5" s="94" t="s">
        <v>2293</v>
      </c>
      <c r="G5" s="107"/>
      <c r="H5" s="104"/>
      <c r="I5" s="104"/>
      <c r="J5" s="104"/>
    </row>
    <row r="6" spans="1:13" ht="13.8">
      <c r="A6" s="108"/>
      <c r="B6" s="109" t="s">
        <v>501</v>
      </c>
      <c r="C6" s="95" t="s">
        <v>2294</v>
      </c>
      <c r="D6" s="110"/>
      <c r="E6" s="111"/>
      <c r="F6" s="104"/>
      <c r="G6" s="112">
        <v>1</v>
      </c>
      <c r="H6" s="104"/>
      <c r="I6" s="104"/>
      <c r="J6" s="104"/>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108" t="e">
        <f>#REF!</f>
        <v>#REF!</v>
      </c>
      <c r="B14" s="113" t="e">
        <f>IF(E14=0,"",COUNTIF($E$7:$E14,"&gt;0"))</f>
        <v>#REF!</v>
      </c>
      <c r="C14" s="114" t="e">
        <v>#REF!</v>
      </c>
      <c r="D14" s="97" t="e">
        <v>#REF!</v>
      </c>
      <c r="E14" s="115" t="e">
        <v>#REF!</v>
      </c>
      <c r="F14" s="104"/>
      <c r="G14" s="116" t="e">
        <f t="shared" si="0"/>
        <v>#REF!</v>
      </c>
      <c r="H14" s="104"/>
      <c r="I14" s="104"/>
      <c r="J14" s="104"/>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108" t="e">
        <f>#REF!</f>
        <v>#REF!</v>
      </c>
      <c r="B34" s="113" t="e">
        <f>IF(E34=0,"",COUNTIF($E$7:$E34,"&gt;0"))</f>
        <v>#REF!</v>
      </c>
      <c r="C34" s="114" t="e">
        <v>#REF!</v>
      </c>
      <c r="D34" s="97" t="e">
        <v>#REF!</v>
      </c>
      <c r="E34" s="115" t="e">
        <v>#REF!</v>
      </c>
      <c r="F34" s="104"/>
      <c r="G34" s="116" t="e">
        <f>IF(E34&lt;&gt;0,1,0)</f>
        <v>#REF!</v>
      </c>
      <c r="H34" s="104"/>
      <c r="I34" s="104"/>
      <c r="J34" s="104"/>
    </row>
    <row r="35" spans="1:10" ht="13.8">
      <c r="A35" s="108" t="e">
        <f>#REF!</f>
        <v>#REF!</v>
      </c>
      <c r="B35" s="113" t="e">
        <f>IF(E35=0,"",COUNTIF($E$7:$E35,"&gt;0"))</f>
        <v>#REF!</v>
      </c>
      <c r="C35" s="114" t="e">
        <v>#REF!</v>
      </c>
      <c r="D35" s="97" t="e">
        <v>#REF!</v>
      </c>
      <c r="E35" s="115" t="e">
        <v>#REF!</v>
      </c>
      <c r="F35" s="104"/>
      <c r="G35" s="116" t="e">
        <f>IF(E35&lt;&gt;0,1,0)</f>
        <v>#REF!</v>
      </c>
      <c r="H35" s="104"/>
      <c r="I35" s="104"/>
      <c r="J35" s="104"/>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108" t="e">
        <f>#REF!</f>
        <v>#REF!</v>
      </c>
      <c r="B38" s="117" t="s">
        <v>939</v>
      </c>
      <c r="C38" s="96" t="s">
        <v>2295</v>
      </c>
      <c r="D38" s="114"/>
      <c r="E38" s="115"/>
      <c r="F38" s="104"/>
      <c r="G38" s="112">
        <v>1</v>
      </c>
      <c r="H38" s="104"/>
      <c r="I38" s="104"/>
      <c r="J38" s="104"/>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108" t="e">
        <f>#REF!</f>
        <v>#REF!</v>
      </c>
      <c r="B40" s="113" t="e">
        <f>IF(E40=0,"",COUNTIF($E$39:$E40,"&gt;0"))</f>
        <v>#REF!</v>
      </c>
      <c r="C40" s="114" t="e">
        <v>#REF!</v>
      </c>
      <c r="D40" s="97" t="e">
        <v>#REF!</v>
      </c>
      <c r="E40" s="115" t="e">
        <v>#REF!</v>
      </c>
      <c r="F40" s="104"/>
      <c r="G40" s="116" t="e">
        <f>IF(E40&lt;&gt;0,1,0)</f>
        <v>#REF!</v>
      </c>
      <c r="H40" s="104"/>
      <c r="I40" s="104"/>
      <c r="J40" s="104"/>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108" t="e">
        <f>#REF!</f>
        <v>#REF!</v>
      </c>
      <c r="B43" s="117" t="s">
        <v>1618</v>
      </c>
      <c r="C43" s="96" t="s">
        <v>2296</v>
      </c>
      <c r="D43" s="114"/>
      <c r="E43" s="115"/>
      <c r="F43" s="104"/>
      <c r="G43" s="112">
        <v>1</v>
      </c>
      <c r="H43" s="104"/>
      <c r="I43" s="104"/>
      <c r="J43" s="104"/>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108" t="e">
        <f>#REF!</f>
        <v>#REF!</v>
      </c>
      <c r="B47" s="113" t="e">
        <f>IF(E47=0,"",COUNTIF($E$44:$E47,"&gt;0"))</f>
        <v>#REF!</v>
      </c>
      <c r="C47" s="114" t="e">
        <v>#REF!</v>
      </c>
      <c r="D47" s="97" t="e">
        <v>#REF!</v>
      </c>
      <c r="E47" s="115" t="e">
        <v>#REF!</v>
      </c>
      <c r="F47" s="104"/>
      <c r="G47" s="112" t="e">
        <f t="shared" si="2"/>
        <v>#REF!</v>
      </c>
      <c r="H47" s="104"/>
      <c r="I47" s="104"/>
      <c r="J47" s="104"/>
    </row>
    <row r="48" spans="1:10" ht="13.8">
      <c r="A48" s="108" t="e">
        <f>#REF!</f>
        <v>#REF!</v>
      </c>
      <c r="B48" s="113" t="e">
        <f>IF(E48=0,"",COUNTIF($E$44:$E48,"&gt;0"))</f>
        <v>#REF!</v>
      </c>
      <c r="C48" s="114" t="e">
        <v>#REF!</v>
      </c>
      <c r="D48" s="97" t="e">
        <v>#REF!</v>
      </c>
      <c r="E48" s="115" t="e">
        <v>#REF!</v>
      </c>
      <c r="F48" s="104"/>
      <c r="G48" s="112" t="e">
        <f t="shared" si="2"/>
        <v>#REF!</v>
      </c>
      <c r="H48" s="104"/>
      <c r="I48" s="104"/>
      <c r="J48" s="104"/>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108" t="e">
        <f>#REF!</f>
        <v>#REF!</v>
      </c>
      <c r="B60" s="113" t="e">
        <f>IF(E60=0,"",COUNTIF($E$44:$E60,"&gt;0"))</f>
        <v>#REF!</v>
      </c>
      <c r="C60" s="114" t="e">
        <v>#REF!</v>
      </c>
      <c r="D60" s="97" t="e">
        <v>#REF!</v>
      </c>
      <c r="E60" s="115" t="e">
        <v>#REF!</v>
      </c>
      <c r="F60" s="104"/>
      <c r="G60" s="112" t="e">
        <f>IF(E60&lt;&gt;0,1,0)</f>
        <v>#REF!</v>
      </c>
      <c r="H60" s="104"/>
      <c r="I60" s="104"/>
      <c r="J60" s="104"/>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108" t="e">
        <f>#REF!</f>
        <v>#REF!</v>
      </c>
      <c r="B72" s="113" t="e">
        <f>IF(E72=0,"",COUNTIF($E$44:$E72,"&gt;0"))</f>
        <v>#REF!</v>
      </c>
      <c r="C72" s="114" t="e">
        <v>#REF!</v>
      </c>
      <c r="D72" s="97" t="e">
        <v>#REF!</v>
      </c>
      <c r="E72" s="115" t="e">
        <v>#REF!</v>
      </c>
      <c r="F72" s="104"/>
      <c r="G72" s="112" t="e">
        <f t="shared" si="2"/>
        <v>#REF!</v>
      </c>
      <c r="H72" s="104"/>
      <c r="I72" s="104"/>
      <c r="J72" s="104"/>
    </row>
    <row r="73" spans="1:10" ht="13.8">
      <c r="A73" s="108" t="e">
        <f>#REF!</f>
        <v>#REF!</v>
      </c>
      <c r="B73" s="113" t="e">
        <f>IF(E73=0,"",COUNTIF($E$44:$E73,"&gt;0"))</f>
        <v>#REF!</v>
      </c>
      <c r="C73" s="114" t="e">
        <v>#REF!</v>
      </c>
      <c r="D73" s="97" t="e">
        <v>#REF!</v>
      </c>
      <c r="E73" s="115" t="e">
        <v>#REF!</v>
      </c>
      <c r="F73" s="104"/>
      <c r="G73" s="116" t="e">
        <f t="shared" si="2"/>
        <v>#REF!</v>
      </c>
      <c r="H73" s="104"/>
      <c r="I73" s="104"/>
      <c r="J73" s="104"/>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108" t="e">
        <f>#REF!</f>
        <v>#REF!</v>
      </c>
      <c r="B81" s="113" t="e">
        <f>IF(E81=0,"",COUNTIF($E$44:$E81,"&gt;0"))</f>
        <v>#REF!</v>
      </c>
      <c r="C81" s="114" t="e">
        <v>#REF!</v>
      </c>
      <c r="D81" s="97" t="e">
        <v>#REF!</v>
      </c>
      <c r="E81" s="115" t="e">
        <v>#REF!</v>
      </c>
      <c r="F81" s="104"/>
      <c r="G81" s="116" t="e">
        <f>IF(E81&lt;&gt;0,1,0)</f>
        <v>#REF!</v>
      </c>
      <c r="H81" s="104"/>
      <c r="I81" s="104"/>
      <c r="J81" s="104"/>
    </row>
    <row r="82" spans="1:10" ht="13.8">
      <c r="A82" s="108" t="e">
        <f>#REF!</f>
        <v>#REF!</v>
      </c>
      <c r="B82" s="113" t="e">
        <f>IF(E82=0,"",COUNTIF($E$44:$E82,"&gt;0"))</f>
        <v>#REF!</v>
      </c>
      <c r="C82" s="114" t="e">
        <v>#REF!</v>
      </c>
      <c r="D82" s="97" t="e">
        <v>#REF!</v>
      </c>
      <c r="E82" s="115" t="e">
        <v>#REF!</v>
      </c>
      <c r="F82" s="104"/>
      <c r="G82" s="116" t="e">
        <f>IF(E82&lt;&gt;0,1,0)</f>
        <v>#REF!</v>
      </c>
      <c r="H82" s="104"/>
      <c r="I82" s="104"/>
      <c r="J82" s="104"/>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108" t="e">
        <f>#REF!</f>
        <v>#REF!</v>
      </c>
      <c r="B91" s="117" t="s">
        <v>1912</v>
      </c>
      <c r="C91" s="96" t="s">
        <v>2306</v>
      </c>
      <c r="D91" s="97" t="s">
        <v>2307</v>
      </c>
      <c r="E91" s="118"/>
      <c r="F91" s="104"/>
      <c r="G91" s="112">
        <v>1</v>
      </c>
      <c r="H91" s="104"/>
      <c r="I91" s="104"/>
      <c r="J91" s="104"/>
    </row>
    <row r="92" spans="1:10" s="1" customFormat="1" ht="13.8">
      <c r="A92" s="9" t="str">
        <f>chitiet!B1493</f>
        <v>AC240</v>
      </c>
      <c r="B92" s="18" t="str">
        <f>IF(E92=0,"",COUNTIF($E$92:$E92,"&gt;0"))</f>
        <v/>
      </c>
      <c r="C92" s="16" t="s">
        <v>5059</v>
      </c>
      <c r="D92" s="19" t="s">
        <v>2254</v>
      </c>
      <c r="E92" s="17">
        <v>0</v>
      </c>
      <c r="F92" s="10"/>
      <c r="G92" s="7">
        <f>IF(E92&lt;&gt;0,1,0)</f>
        <v>0</v>
      </c>
      <c r="H92" s="4"/>
      <c r="I92" s="4"/>
      <c r="J92" s="4"/>
    </row>
    <row r="93" spans="1:10" s="1" customFormat="1" ht="13.8">
      <c r="A93" s="9" t="str">
        <f>chitiet!B1494</f>
        <v>AC185</v>
      </c>
      <c r="B93" s="18" t="str">
        <f>IF(E93=0,"",COUNTIF($B$92:$B92,"&gt;0")+1)</f>
        <v/>
      </c>
      <c r="C93" s="16" t="s">
        <v>2773</v>
      </c>
      <c r="D93" s="19" t="s">
        <v>2254</v>
      </c>
      <c r="E93" s="17">
        <v>0</v>
      </c>
      <c r="F93" s="10"/>
      <c r="G93" s="7">
        <f>IF(E93&lt;&gt;0,1,0)</f>
        <v>0</v>
      </c>
      <c r="H93" s="4"/>
      <c r="I93" s="4"/>
      <c r="J93" s="4"/>
    </row>
    <row r="94" spans="1:10" s="1" customFormat="1" ht="13.8">
      <c r="A94" s="9" t="str">
        <f>chitiet!B1495</f>
        <v>AC150</v>
      </c>
      <c r="B94" s="18" t="str">
        <f>IF(E94=0,"",COUNTIF($B$92:$B93,"&gt;0")+1)</f>
        <v/>
      </c>
      <c r="C94" s="16" t="s">
        <v>2772</v>
      </c>
      <c r="D94" s="19" t="s">
        <v>2254</v>
      </c>
      <c r="E94" s="17">
        <v>0</v>
      </c>
      <c r="F94" s="10">
        <f>chitiet!E1495</f>
        <v>0</v>
      </c>
      <c r="G94" s="7">
        <f>IF(E94&lt;&gt;0,1,0)</f>
        <v>0</v>
      </c>
      <c r="H94" s="4"/>
      <c r="I94" s="4"/>
      <c r="J94" s="4"/>
    </row>
    <row r="95" spans="1:10" s="1" customFormat="1" ht="13.8">
      <c r="A95" s="9" t="str">
        <f>chitiet!B1496</f>
        <v>AC120</v>
      </c>
      <c r="B95" s="18" t="str">
        <f>IF(E95=0,"",COUNTIF($B$92:$B94,"&gt;0")+1)</f>
        <v/>
      </c>
      <c r="C95" s="16" t="s">
        <v>2771</v>
      </c>
      <c r="D95" s="19" t="s">
        <v>2254</v>
      </c>
      <c r="E95" s="17">
        <v>0</v>
      </c>
      <c r="F95" s="10">
        <f>chitiet!E1496</f>
        <v>0</v>
      </c>
      <c r="G95" s="7">
        <f>IF(E95&lt;&gt;0,1,0)</f>
        <v>0</v>
      </c>
      <c r="H95" s="4"/>
      <c r="I95" s="4"/>
      <c r="J95" s="4"/>
    </row>
    <row r="96" spans="1:10" s="1" customFormat="1" ht="13.8">
      <c r="A96" s="9" t="str">
        <f>chitiet!B1497</f>
        <v>AC95</v>
      </c>
      <c r="B96" s="18" t="str">
        <f>IF(E96=0,"",COUNTIF($B$92:$B95,"&gt;0")+1)</f>
        <v/>
      </c>
      <c r="C96" s="16" t="s">
        <v>2770</v>
      </c>
      <c r="D96" s="19" t="s">
        <v>2254</v>
      </c>
      <c r="E96" s="17">
        <v>0</v>
      </c>
      <c r="F96" s="10"/>
      <c r="G96" s="7">
        <f t="shared" ref="G96:G104" si="3">IF(E96&lt;&gt;0,1,0)</f>
        <v>0</v>
      </c>
      <c r="H96" s="4"/>
      <c r="I96" s="4"/>
      <c r="J96" s="4"/>
    </row>
    <row r="97" spans="1:10" s="1" customFormat="1" ht="13.8">
      <c r="A97" s="9" t="str">
        <f>chitiet!B1498</f>
        <v>AC70</v>
      </c>
      <c r="B97" s="18" t="str">
        <f>IF(E97=0,"",COUNTIF($B$92:$B96,"&gt;0")+1)</f>
        <v/>
      </c>
      <c r="C97" s="16" t="s">
        <v>2769</v>
      </c>
      <c r="D97" s="19" t="s">
        <v>2254</v>
      </c>
      <c r="E97" s="17">
        <v>0</v>
      </c>
      <c r="F97" s="10">
        <f>chitiet!E1498</f>
        <v>0</v>
      </c>
      <c r="G97" s="7">
        <f t="shared" si="3"/>
        <v>0</v>
      </c>
      <c r="H97" s="4"/>
      <c r="I97" s="4"/>
      <c r="J97" s="4"/>
    </row>
    <row r="98" spans="1:10" s="1" customFormat="1" ht="13.8">
      <c r="A98" s="9" t="str">
        <f>chitiet!B1499</f>
        <v>AC50</v>
      </c>
      <c r="B98" s="18" t="str">
        <f>IF(E98=0,"",COUNTIF($B$92:$B97,"&gt;0")+1)</f>
        <v/>
      </c>
      <c r="C98" s="16" t="s">
        <v>2768</v>
      </c>
      <c r="D98" s="19" t="s">
        <v>2254</v>
      </c>
      <c r="E98" s="17">
        <v>0</v>
      </c>
      <c r="F98" s="10">
        <f>chitiet!E1499</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19" t="str">
        <f>chitiet!B1500</f>
        <v>ACXV50</v>
      </c>
      <c r="B106" s="113" t="e">
        <f>IF(E106=0,"",COUNTIF($B$92:$B105,"&gt;0")+1)</f>
        <v>#N/A</v>
      </c>
      <c r="C106" s="114" t="e">
        <v>#N/A</v>
      </c>
      <c r="D106" s="97" t="e">
        <v>#N/A</v>
      </c>
      <c r="E106" s="115" t="e">
        <v>#N/A</v>
      </c>
      <c r="F106" s="120">
        <f>chitiet!E1500</f>
        <v>0</v>
      </c>
      <c r="G106" s="112" t="e">
        <f>IF(E106&lt;&gt;0,1,0)</f>
        <v>#N/A</v>
      </c>
      <c r="H106" s="104"/>
      <c r="I106" s="104"/>
      <c r="J106" s="104"/>
    </row>
    <row r="107" spans="1:10" s="1" customFormat="1" ht="13.8">
      <c r="A107" s="9" t="str">
        <f>chitiet!B1501</f>
        <v>XLPE240A</v>
      </c>
      <c r="B107" s="18" t="str">
        <f>IF(E107=0,"",COUNTIF($B$92:$B106,"&gt;0")+1)</f>
        <v/>
      </c>
      <c r="C107" s="16" t="s">
        <v>2732</v>
      </c>
      <c r="D107" s="19" t="s">
        <v>2538</v>
      </c>
      <c r="E107" s="17">
        <v>0</v>
      </c>
      <c r="F107" s="10">
        <f>chitiet!E1501</f>
        <v>0</v>
      </c>
      <c r="G107" s="7">
        <f t="shared" si="4"/>
        <v>0</v>
      </c>
      <c r="H107" s="4"/>
      <c r="I107" s="4"/>
      <c r="J107" s="4"/>
    </row>
    <row r="108" spans="1:10" s="1" customFormat="1" ht="13.8">
      <c r="A108" s="9" t="str">
        <f>chitiet!B1502</f>
        <v>XLPE185A</v>
      </c>
      <c r="B108" s="18" t="str">
        <f>IF(E108=0,"",COUNTIF($B$92:$B107,"&gt;0")+1)</f>
        <v/>
      </c>
      <c r="C108" s="16" t="s">
        <v>2731</v>
      </c>
      <c r="D108" s="19" t="s">
        <v>2538</v>
      </c>
      <c r="E108" s="17">
        <v>0</v>
      </c>
      <c r="F108" s="10">
        <f>chitiet!E1502</f>
        <v>0</v>
      </c>
      <c r="G108" s="7">
        <f t="shared" si="4"/>
        <v>0</v>
      </c>
      <c r="H108" s="4"/>
      <c r="I108" s="4"/>
      <c r="J108" s="4"/>
    </row>
    <row r="109" spans="1:10" s="1" customFormat="1" ht="13.8">
      <c r="A109" s="9" t="str">
        <f>chitiet!B1503</f>
        <v>XLPE150A</v>
      </c>
      <c r="B109" s="18" t="str">
        <f>IF(E109=0,"",COUNTIF($B$92:$B108,"&gt;0")+1)</f>
        <v/>
      </c>
      <c r="C109" s="16" t="s">
        <v>2730</v>
      </c>
      <c r="D109" s="19" t="s">
        <v>2538</v>
      </c>
      <c r="E109" s="17">
        <v>0</v>
      </c>
      <c r="F109" s="10">
        <f>chitiet!E1503</f>
        <v>0</v>
      </c>
      <c r="G109" s="7">
        <f t="shared" si="4"/>
        <v>0</v>
      </c>
      <c r="H109" s="4"/>
      <c r="I109" s="4"/>
      <c r="J109" s="4"/>
    </row>
    <row r="110" spans="1:10" s="1" customFormat="1" ht="13.8">
      <c r="A110" s="9" t="str">
        <f>chitiet!B1504</f>
        <v>XLPE120A</v>
      </c>
      <c r="B110" s="18" t="str">
        <f>IF(E110=0,"",COUNTIF($B$92:$B109,"&gt;0")+1)</f>
        <v/>
      </c>
      <c r="C110" s="16" t="s">
        <v>2729</v>
      </c>
      <c r="D110" s="19" t="s">
        <v>2538</v>
      </c>
      <c r="E110" s="17">
        <v>0</v>
      </c>
      <c r="F110" s="10"/>
      <c r="G110" s="7">
        <f t="shared" si="4"/>
        <v>0</v>
      </c>
      <c r="H110" s="4"/>
      <c r="I110" s="4"/>
      <c r="J110" s="4"/>
    </row>
    <row r="111" spans="1:10" s="1" customFormat="1" ht="13.8">
      <c r="A111" s="9" t="str">
        <f>chitiet!B1505</f>
        <v>XLPE95A</v>
      </c>
      <c r="B111" s="18" t="e">
        <f>IF(E111=0,"",COUNTIF($B$92:$B110,"&gt;0")+1)</f>
        <v>#N/A</v>
      </c>
      <c r="C111" s="16" t="e">
        <v>#N/A</v>
      </c>
      <c r="D111" s="19" t="e">
        <v>#N/A</v>
      </c>
      <c r="E111" s="17" t="e">
        <v>#N/A</v>
      </c>
      <c r="F111" s="10">
        <f>chitiet!E1505</f>
        <v>0</v>
      </c>
      <c r="G111" s="7" t="e">
        <f t="shared" si="4"/>
        <v>#N/A</v>
      </c>
      <c r="H111" s="4"/>
      <c r="I111" s="4"/>
      <c r="J111" s="4"/>
    </row>
    <row r="112" spans="1:10" s="1" customFormat="1" ht="13.8">
      <c r="A112" s="9" t="str">
        <f>chitiet!B1506</f>
        <v>XLPE70A</v>
      </c>
      <c r="B112" s="18" t="e">
        <f>IF(E112=0,"",COUNTIF($B$92:$B111,"&gt;0")+1)</f>
        <v>#N/A</v>
      </c>
      <c r="C112" s="16" t="e">
        <v>#N/A</v>
      </c>
      <c r="D112" s="19" t="e">
        <v>#N/A</v>
      </c>
      <c r="E112" s="17" t="e">
        <v>#N/A</v>
      </c>
      <c r="F112" s="10">
        <f>chitiet!E1506</f>
        <v>0</v>
      </c>
      <c r="G112" s="7" t="e">
        <f>IF(E112&lt;&gt;0,1,0)</f>
        <v>#N/A</v>
      </c>
      <c r="H112" s="4"/>
      <c r="I112" s="4"/>
      <c r="J112" s="4"/>
    </row>
    <row r="113" spans="1:10" ht="13.8">
      <c r="A113" s="119" t="str">
        <f>chitiet!B1507</f>
        <v>Đth-U</v>
      </c>
      <c r="B113" s="113" t="e">
        <f>IF(E113=0,"",COUNTIF($B$92:$B112,"&gt;0")+1)</f>
        <v>#N/A</v>
      </c>
      <c r="C113" s="121" t="e">
        <v>#N/A</v>
      </c>
      <c r="D113" s="122" t="e">
        <v>#N/A</v>
      </c>
      <c r="E113" s="123" t="e">
        <v>#N/A</v>
      </c>
      <c r="F113" s="104"/>
      <c r="G113" s="116" t="e">
        <f>IF(E113&lt;&gt;0,1,0)</f>
        <v>#N/A</v>
      </c>
      <c r="H113" s="104"/>
      <c r="I113" s="104"/>
      <c r="J113" s="104"/>
    </row>
    <row r="114" spans="1:10" ht="13.8">
      <c r="A114" s="119" t="str">
        <f>chitiet!B1508</f>
        <v>R1</v>
      </c>
      <c r="B114" s="113"/>
      <c r="C114" s="114" t="s">
        <v>2948</v>
      </c>
      <c r="D114" s="97" t="s">
        <v>2445</v>
      </c>
      <c r="E114" s="115" t="e">
        <f>E113</f>
        <v>#N/A</v>
      </c>
      <c r="F114" s="104"/>
      <c r="G114" s="116" t="e">
        <f t="shared" ref="G114:G181" si="5">IF(E114&lt;&gt;0,1,0)</f>
        <v>#N/A</v>
      </c>
      <c r="H114" s="104"/>
      <c r="I114" s="104"/>
      <c r="J114" s="104"/>
    </row>
    <row r="115" spans="1:10" ht="13.8">
      <c r="A115" s="119" t="str">
        <f>chitiet!B1509</f>
        <v>B16300</v>
      </c>
      <c r="B115" s="113"/>
      <c r="C115" s="114" t="s">
        <v>2657</v>
      </c>
      <c r="D115" s="97" t="s">
        <v>2445</v>
      </c>
      <c r="E115" s="115" t="e">
        <f>E114</f>
        <v>#N/A</v>
      </c>
      <c r="F115" s="120">
        <f>chitiet!E1513</f>
        <v>0</v>
      </c>
      <c r="G115" s="116" t="e">
        <f t="shared" si="5"/>
        <v>#N/A</v>
      </c>
      <c r="H115" s="104"/>
      <c r="I115" s="104"/>
      <c r="J115" s="104"/>
    </row>
    <row r="116" spans="1:10" s="1" customFormat="1" ht="14.4">
      <c r="A116" s="9" t="str">
        <f>chitiet!B1510</f>
        <v>Nth-U</v>
      </c>
      <c r="B116" s="18" t="str">
        <f>IF(E116=0,"",COUNTIF($B$92:$B115,"&gt;0")+1)</f>
        <v/>
      </c>
      <c r="C116" s="21" t="s">
        <v>5060</v>
      </c>
      <c r="D116" s="22" t="s">
        <v>5058</v>
      </c>
      <c r="E116" s="23">
        <v>0</v>
      </c>
      <c r="F116" s="4"/>
      <c r="G116" s="8">
        <f t="shared" si="5"/>
        <v>0</v>
      </c>
      <c r="H116" s="4"/>
      <c r="I116" s="4"/>
      <c r="J116" s="4"/>
    </row>
    <row r="117" spans="1:10" s="1" customFormat="1" ht="13.8">
      <c r="A117" s="9" t="str">
        <f>chitiet!B1511</f>
        <v>R1</v>
      </c>
      <c r="B117" s="18" t="str">
        <f>IF(E117=0,"",COUNTIF($E$92:$E117,"&gt;0"))</f>
        <v/>
      </c>
      <c r="C117" s="16" t="s">
        <v>2948</v>
      </c>
      <c r="D117" s="19" t="s">
        <v>2445</v>
      </c>
      <c r="E117" s="17"/>
      <c r="F117" s="4"/>
      <c r="G117" s="8">
        <f t="shared" si="5"/>
        <v>0</v>
      </c>
      <c r="H117" s="4"/>
      <c r="I117" s="4"/>
      <c r="J117" s="4"/>
    </row>
    <row r="118" spans="1:10" s="1" customFormat="1" ht="13.8">
      <c r="A118" s="9" t="str">
        <f>chitiet!B1512</f>
        <v>B16300</v>
      </c>
      <c r="B118" s="18" t="str">
        <f>IF(E118=0,"",COUNTIF($E$92:$E118,"&gt;0"))</f>
        <v/>
      </c>
      <c r="C118" s="16" t="s">
        <v>2657</v>
      </c>
      <c r="D118" s="19" t="s">
        <v>2445</v>
      </c>
      <c r="E118" s="17"/>
      <c r="F118" s="4"/>
      <c r="G118" s="8">
        <f t="shared" si="5"/>
        <v>0</v>
      </c>
      <c r="H118" s="4"/>
      <c r="I118" s="4"/>
      <c r="J118" s="4"/>
    </row>
    <row r="119" spans="1:10" s="1" customFormat="1" ht="13.8">
      <c r="A119" s="9" t="str">
        <f>chitiet!B1513</f>
        <v>K50</v>
      </c>
      <c r="B119" s="18" t="str">
        <f>IF(E119=0,"",COUNTIF($E$92:$E119,"&gt;0"))</f>
        <v/>
      </c>
      <c r="C119" s="16" t="s">
        <v>5061</v>
      </c>
      <c r="D119" s="19" t="s">
        <v>2563</v>
      </c>
      <c r="E119" s="17"/>
      <c r="F119" s="4"/>
      <c r="G119" s="8">
        <f t="shared" si="5"/>
        <v>0</v>
      </c>
      <c r="H119" s="4"/>
      <c r="I119" s="4"/>
      <c r="J119" s="4"/>
    </row>
    <row r="120" spans="1:10" s="1" customFormat="1" ht="14.4">
      <c r="A120" s="9" t="str">
        <f>chitiet!B1514</f>
        <v>Nth-T</v>
      </c>
      <c r="B120" s="18">
        <f>IF(E120=0,"",COUNTIF($B$92:$B119,"&gt;0")+1)</f>
        <v>1</v>
      </c>
      <c r="C120" s="21" t="s">
        <v>5062</v>
      </c>
      <c r="D120" s="22" t="s">
        <v>5058</v>
      </c>
      <c r="E120" s="23">
        <v>1</v>
      </c>
      <c r="F120" s="4"/>
      <c r="G120" s="8">
        <f t="shared" si="5"/>
        <v>1</v>
      </c>
      <c r="H120" s="4"/>
      <c r="I120" s="4"/>
      <c r="J120" s="4"/>
    </row>
    <row r="121" spans="1:10" s="1" customFormat="1" ht="13.8">
      <c r="A121" s="9" t="str">
        <f>chitiet!B1515</f>
        <v>kn50</v>
      </c>
      <c r="B121" s="18" t="str">
        <f>IF(E121=0,"",COUNTIF($E$92:$E121,"&gt;0"))</f>
        <v/>
      </c>
      <c r="C121" s="16" t="s">
        <v>2916</v>
      </c>
      <c r="D121" s="19" t="s">
        <v>2563</v>
      </c>
      <c r="E121" s="17"/>
      <c r="F121" s="4"/>
      <c r="G121" s="8">
        <f t="shared" si="5"/>
        <v>0</v>
      </c>
      <c r="H121" s="4"/>
      <c r="I121" s="4"/>
      <c r="J121" s="4"/>
    </row>
    <row r="122" spans="1:10" s="1" customFormat="1" ht="13.8">
      <c r="A122" s="9" t="str">
        <f>chitiet!B1516</f>
        <v>MT</v>
      </c>
      <c r="B122" s="18" t="str">
        <f>IF(E122=0,"",COUNTIF($E$92:$E122,"&gt;0"))</f>
        <v/>
      </c>
      <c r="C122" s="16" t="s">
        <v>5063</v>
      </c>
      <c r="D122" s="19" t="s">
        <v>2563</v>
      </c>
      <c r="E122" s="17"/>
      <c r="F122" s="4"/>
      <c r="G122" s="8">
        <f t="shared" si="5"/>
        <v>0</v>
      </c>
      <c r="H122" s="4"/>
      <c r="I122" s="4"/>
      <c r="J122" s="4"/>
    </row>
    <row r="123" spans="1:10" s="1" customFormat="1" ht="13.8">
      <c r="A123" s="9" t="str">
        <f>chitiet!B1517</f>
        <v>BM16300</v>
      </c>
      <c r="B123" s="18">
        <f>IF(E123=0,"",COUNTIF($E$92:$E123,"&gt;0"))</f>
        <v>2</v>
      </c>
      <c r="C123" s="37" t="s">
        <v>5020</v>
      </c>
      <c r="D123" s="29" t="s">
        <v>2445</v>
      </c>
      <c r="E123" s="30">
        <v>1</v>
      </c>
      <c r="F123" s="4"/>
      <c r="G123" s="8">
        <f t="shared" si="5"/>
        <v>1</v>
      </c>
      <c r="H123" s="4"/>
      <c r="I123" s="4"/>
      <c r="J123" s="4"/>
    </row>
    <row r="124" spans="1:10" s="1" customFormat="1" ht="13.8">
      <c r="A124" s="9" t="str">
        <f>chitiet!B1518</f>
        <v>KE50</v>
      </c>
      <c r="B124" s="18" t="str">
        <f>IF(E124=0,"",COUNTIF($E$92:$E124,"&gt;0"))</f>
        <v/>
      </c>
      <c r="C124" s="16" t="s">
        <v>2889</v>
      </c>
      <c r="D124" s="19" t="s">
        <v>2563</v>
      </c>
      <c r="E124" s="17"/>
      <c r="F124" s="4"/>
      <c r="G124" s="8">
        <f t="shared" si="5"/>
        <v>0</v>
      </c>
      <c r="H124" s="4"/>
      <c r="I124" s="4"/>
      <c r="J124" s="4"/>
    </row>
    <row r="125" spans="1:10" ht="13.8">
      <c r="A125" s="119" t="str">
        <f>chitiet!B1519</f>
        <v>Nth-X</v>
      </c>
      <c r="B125" s="113" t="str">
        <f>IF(E125=0,"",COUNTIF($B$92:$B124,"&gt;0")+1)</f>
        <v/>
      </c>
      <c r="C125" s="121" t="s">
        <v>5064</v>
      </c>
      <c r="D125" s="122" t="s">
        <v>5058</v>
      </c>
      <c r="E125" s="123">
        <v>0</v>
      </c>
      <c r="F125" s="104"/>
      <c r="G125" s="116">
        <f>IF(E125&lt;&gt;0,1,0)</f>
        <v>0</v>
      </c>
      <c r="H125" s="104"/>
      <c r="I125" s="104"/>
      <c r="J125" s="104"/>
    </row>
    <row r="126" spans="1:10" ht="13.8">
      <c r="A126" s="119" t="str">
        <f>chitiet!B1520</f>
        <v>kn50</v>
      </c>
      <c r="B126" s="113"/>
      <c r="C126" s="114" t="s">
        <v>2916</v>
      </c>
      <c r="D126" s="97" t="s">
        <v>2563</v>
      </c>
      <c r="E126" s="115">
        <f>E125</f>
        <v>0</v>
      </c>
      <c r="F126" s="104"/>
      <c r="G126" s="116">
        <f>IF(E126&lt;&gt;0,1,0)</f>
        <v>0</v>
      </c>
      <c r="H126" s="104"/>
      <c r="I126" s="104"/>
      <c r="J126" s="104"/>
    </row>
    <row r="127" spans="1:10" ht="13.8">
      <c r="A127" s="119" t="str">
        <f>chitiet!B1521</f>
        <v>MT</v>
      </c>
      <c r="B127" s="113"/>
      <c r="C127" s="114" t="s">
        <v>5063</v>
      </c>
      <c r="D127" s="97" t="s">
        <v>2563</v>
      </c>
      <c r="E127" s="115">
        <f>E126*2</f>
        <v>0</v>
      </c>
      <c r="F127" s="104"/>
      <c r="G127" s="116">
        <f>IF(E127&lt;&gt;0,1,0)</f>
        <v>0</v>
      </c>
      <c r="H127" s="104"/>
      <c r="I127" s="104"/>
      <c r="J127" s="104"/>
    </row>
    <row r="128" spans="1:10" ht="13.8">
      <c r="A128" s="119" t="str">
        <f>chitiet!B1522</f>
        <v>KE50</v>
      </c>
      <c r="B128" s="113"/>
      <c r="C128" s="124" t="s">
        <v>2889</v>
      </c>
      <c r="D128" s="125" t="s">
        <v>2563</v>
      </c>
      <c r="E128" s="126">
        <f>E127</f>
        <v>0</v>
      </c>
      <c r="F128" s="104"/>
      <c r="G128" s="116">
        <f>IF(E128&lt;&gt;0,1,0)</f>
        <v>0</v>
      </c>
      <c r="H128" s="104"/>
      <c r="I128" s="104"/>
      <c r="J128" s="104"/>
    </row>
    <row r="129" spans="1:10" ht="13.8">
      <c r="A129" s="119" t="str">
        <f>chitiet!B1523</f>
        <v>SĐU</v>
      </c>
      <c r="B129" s="113" t="e">
        <f>IF(E129=0,"",COUNTIF($B$92:$B128,"&gt;0")+1)</f>
        <v>#N/A</v>
      </c>
      <c r="C129" s="127" t="e">
        <v>#N/A</v>
      </c>
      <c r="D129" s="128" t="e">
        <v>#N/A</v>
      </c>
      <c r="E129" s="123" t="e">
        <v>#N/A</v>
      </c>
      <c r="F129" s="104"/>
      <c r="G129" s="116" t="e">
        <f t="shared" si="5"/>
        <v>#N/A</v>
      </c>
      <c r="H129" s="104"/>
      <c r="I129" s="104"/>
      <c r="J129" s="104"/>
    </row>
    <row r="130" spans="1:10" ht="13.8">
      <c r="A130" s="119" t="str">
        <f>chitiet!B1524</f>
        <v>SD</v>
      </c>
      <c r="B130" s="113"/>
      <c r="C130" s="114" t="s">
        <v>5021</v>
      </c>
      <c r="D130" s="97" t="s">
        <v>2563</v>
      </c>
      <c r="E130" s="115" t="e">
        <f>E129</f>
        <v>#N/A</v>
      </c>
      <c r="F130" s="104"/>
      <c r="G130" s="116" t="e">
        <f t="shared" si="5"/>
        <v>#N/A</v>
      </c>
      <c r="H130" s="104"/>
      <c r="I130" s="104"/>
      <c r="J130" s="104"/>
    </row>
    <row r="131" spans="1:10" ht="13.8">
      <c r="A131" s="119" t="str">
        <f>chitiet!B1525</f>
        <v>CSD</v>
      </c>
      <c r="B131" s="113"/>
      <c r="C131" s="114" t="s">
        <v>5022</v>
      </c>
      <c r="D131" s="97" t="s">
        <v>2563</v>
      </c>
      <c r="E131" s="115" t="e">
        <f>E130</f>
        <v>#N/A</v>
      </c>
      <c r="F131" s="104"/>
      <c r="G131" s="116" t="e">
        <f t="shared" si="5"/>
        <v>#N/A</v>
      </c>
      <c r="H131" s="104"/>
      <c r="I131" s="104"/>
      <c r="J131" s="104"/>
    </row>
    <row r="132" spans="1:10" s="1" customFormat="1" ht="14.4">
      <c r="A132" s="9" t="str">
        <f>chitiet!B1526</f>
        <v>SĐI</v>
      </c>
      <c r="B132" s="18" t="e">
        <f>IF(E132=0,"",COUNTIF($B$92:$B131,"&gt;0")+1)</f>
        <v>#N/A</v>
      </c>
      <c r="C132" s="21" t="e">
        <v>#N/A</v>
      </c>
      <c r="D132" s="22" t="e">
        <v>#N/A</v>
      </c>
      <c r="E132" s="23" t="e">
        <v>#N/A</v>
      </c>
      <c r="F132" s="4"/>
      <c r="G132" s="8" t="e">
        <f t="shared" si="5"/>
        <v>#N/A</v>
      </c>
      <c r="H132" s="4"/>
      <c r="I132" s="4"/>
      <c r="J132" s="4"/>
    </row>
    <row r="133" spans="1:10" s="1" customFormat="1" ht="13.8">
      <c r="A133" s="9" t="str">
        <f>chitiet!B1527</f>
        <v>SD</v>
      </c>
      <c r="B133" s="18"/>
      <c r="C133" s="16" t="s">
        <v>5021</v>
      </c>
      <c r="D133" s="19" t="s">
        <v>2563</v>
      </c>
      <c r="E133" s="17"/>
      <c r="F133" s="4"/>
      <c r="G133" s="8">
        <f t="shared" si="5"/>
        <v>0</v>
      </c>
      <c r="H133" s="4"/>
      <c r="I133" s="4"/>
      <c r="J133" s="4"/>
    </row>
    <row r="134" spans="1:10" s="1" customFormat="1" ht="13.8">
      <c r="A134" s="9" t="str">
        <f>chitiet!B1528</f>
        <v>CSDI</v>
      </c>
      <c r="B134" s="18"/>
      <c r="C134" s="16" t="s">
        <v>5093</v>
      </c>
      <c r="D134" s="19" t="s">
        <v>2563</v>
      </c>
      <c r="E134" s="17"/>
      <c r="F134" s="4"/>
      <c r="G134" s="8">
        <f t="shared" si="5"/>
        <v>0</v>
      </c>
      <c r="H134" s="4"/>
      <c r="I134" s="4"/>
      <c r="J134" s="4"/>
    </row>
    <row r="135" spans="1:10" s="1" customFormat="1" ht="13.8">
      <c r="A135" s="9" t="str">
        <f>chitiet!B1529</f>
        <v>B16300</v>
      </c>
      <c r="B135" s="18" t="str">
        <f>IF(E135=0,"",COUNTIF($B$92:$B134,"&gt;0")+1)</f>
        <v/>
      </c>
      <c r="C135" s="16" t="s">
        <v>2657</v>
      </c>
      <c r="D135" s="19" t="s">
        <v>2445</v>
      </c>
      <c r="E135" s="17"/>
      <c r="F135" s="4"/>
      <c r="G135" s="8">
        <f t="shared" si="5"/>
        <v>0</v>
      </c>
      <c r="H135" s="4"/>
      <c r="I135" s="4"/>
      <c r="J135" s="4"/>
    </row>
    <row r="136" spans="1:10" s="1" customFormat="1" ht="14.4">
      <c r="A136" s="9" t="str">
        <f>chitiet!B1530</f>
        <v>SĐG</v>
      </c>
      <c r="B136" s="18" t="e">
        <f>IF(E136=0,"",COUNTIF($B$92:$B135,"&gt;0")+1)</f>
        <v>#N/A</v>
      </c>
      <c r="C136" s="21" t="e">
        <v>#N/A</v>
      </c>
      <c r="D136" s="22" t="e">
        <v>#N/A</v>
      </c>
      <c r="E136" s="23" t="e">
        <v>#N/A</v>
      </c>
      <c r="F136" s="4"/>
      <c r="G136" s="8" t="e">
        <f t="shared" si="5"/>
        <v>#N/A</v>
      </c>
      <c r="H136" s="4"/>
      <c r="I136" s="4"/>
      <c r="J136" s="4"/>
    </row>
    <row r="137" spans="1:10" s="1" customFormat="1" ht="13.8">
      <c r="A137" s="9" t="str">
        <f>chitiet!B1531</f>
        <v>SD</v>
      </c>
      <c r="B137" s="18" t="e">
        <f>IF(E137=0,"",COUNTIF($B$92:$B136,"&gt;0")+1)</f>
        <v>#N/A</v>
      </c>
      <c r="C137" s="16" t="s">
        <v>5021</v>
      </c>
      <c r="D137" s="19" t="s">
        <v>2563</v>
      </c>
      <c r="E137" s="17" t="e">
        <f>E136*2</f>
        <v>#N/A</v>
      </c>
      <c r="F137" s="4"/>
      <c r="G137" s="8" t="e">
        <f t="shared" si="5"/>
        <v>#N/A</v>
      </c>
      <c r="H137" s="4"/>
      <c r="I137" s="4"/>
      <c r="J137" s="4"/>
    </row>
    <row r="138" spans="1:10" s="1" customFormat="1" ht="13.8">
      <c r="A138" s="9" t="str">
        <f>chitiet!B1532</f>
        <v>CSDG</v>
      </c>
      <c r="B138" s="18" t="e">
        <f>IF(E138=0,"",COUNTIF($B$92:$B137,"&gt;0")+1)</f>
        <v>#N/A</v>
      </c>
      <c r="C138" s="16" t="s">
        <v>5080</v>
      </c>
      <c r="D138" s="19" t="s">
        <v>2563</v>
      </c>
      <c r="E138" s="17" t="e">
        <f>E137</f>
        <v>#N/A</v>
      </c>
      <c r="F138" s="4"/>
      <c r="G138" s="8" t="e">
        <f t="shared" si="5"/>
        <v>#N/A</v>
      </c>
      <c r="H138" s="4"/>
      <c r="I138" s="4"/>
      <c r="J138" s="4"/>
    </row>
    <row r="139" spans="1:10" s="1" customFormat="1" ht="13.8">
      <c r="A139" s="9" t="str">
        <f>chitiet!B1533</f>
        <v>B16300</v>
      </c>
      <c r="B139" s="28" t="e">
        <f>IF(E139=0,"",COUNTIF($B$92:$B138,"&gt;0")+1)</f>
        <v>#N/A</v>
      </c>
      <c r="C139" s="37" t="s">
        <v>2657</v>
      </c>
      <c r="D139" s="29" t="s">
        <v>2445</v>
      </c>
      <c r="E139" s="30" t="e">
        <f>E138</f>
        <v>#N/A</v>
      </c>
      <c r="F139" s="4"/>
      <c r="G139" s="8" t="e">
        <f t="shared" si="5"/>
        <v>#N/A</v>
      </c>
      <c r="H139" s="4"/>
      <c r="I139" s="4"/>
      <c r="J139" s="4"/>
    </row>
    <row r="140" spans="1:10" s="1" customFormat="1" ht="14.4">
      <c r="A140" s="9" t="str">
        <f>chitiet!B1534</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chitiet!B1535</f>
        <v>St</v>
      </c>
      <c r="B141" s="18" t="str">
        <f>IF(E141=0,"",COUNTIF($B$92:$B140,"&gt;0")+1)</f>
        <v/>
      </c>
      <c r="C141" s="16" t="s">
        <v>2958</v>
      </c>
      <c r="D141" s="19" t="s">
        <v>2959</v>
      </c>
      <c r="E141" s="17"/>
      <c r="F141" s="4"/>
      <c r="G141" s="8">
        <f t="shared" si="5"/>
        <v>0</v>
      </c>
      <c r="H141" s="4"/>
      <c r="I141" s="4"/>
      <c r="J141" s="4"/>
    </row>
    <row r="142" spans="1:10" s="1" customFormat="1" ht="13.8">
      <c r="A142" s="9" t="str">
        <f>chitiet!B1536</f>
        <v>MT</v>
      </c>
      <c r="B142" s="18" t="str">
        <f>IF(E142=0,"",COUNTIF($B$92:$B141,"&gt;0")+1)</f>
        <v/>
      </c>
      <c r="C142" s="16" t="s">
        <v>5063</v>
      </c>
      <c r="D142" s="19" t="s">
        <v>2563</v>
      </c>
      <c r="E142" s="17"/>
      <c r="F142" s="4"/>
      <c r="G142" s="8">
        <f t="shared" si="5"/>
        <v>0</v>
      </c>
      <c r="H142" s="4"/>
      <c r="I142" s="4"/>
      <c r="J142" s="4"/>
    </row>
    <row r="143" spans="1:10" s="1" customFormat="1" ht="13.8">
      <c r="A143" s="9" t="str">
        <f>chitiet!B1537</f>
        <v>VT</v>
      </c>
      <c r="B143" s="18" t="str">
        <f>IF(E143=0,"",COUNTIF($B$92:$B142,"&gt;0")+1)</f>
        <v/>
      </c>
      <c r="C143" s="16" t="s">
        <v>2931</v>
      </c>
      <c r="D143" s="19" t="s">
        <v>2563</v>
      </c>
      <c r="E143" s="17"/>
      <c r="F143" s="4"/>
      <c r="G143" s="8">
        <f t="shared" si="5"/>
        <v>0</v>
      </c>
      <c r="H143" s="4"/>
      <c r="I143" s="4"/>
      <c r="J143" s="4"/>
    </row>
    <row r="144" spans="1:10" s="1" customFormat="1" ht="13.8">
      <c r="A144" s="9" t="str">
        <f>chitiet!B1538</f>
        <v>MND</v>
      </c>
      <c r="B144" s="18" t="str">
        <f>IF(E144=0,"",COUNTIF($B$92:$B143,"&gt;0")+1)</f>
        <v/>
      </c>
      <c r="C144" s="16" t="s">
        <v>2927</v>
      </c>
      <c r="D144" s="19" t="s">
        <v>2563</v>
      </c>
      <c r="E144" s="17"/>
      <c r="F144" s="4"/>
      <c r="G144" s="8">
        <f t="shared" si="5"/>
        <v>0</v>
      </c>
      <c r="H144" s="4"/>
      <c r="I144" s="4"/>
      <c r="J144" s="4"/>
    </row>
    <row r="145" spans="1:10" s="1" customFormat="1" ht="13.8">
      <c r="A145" s="9" t="str">
        <f>chitiet!B1539</f>
        <v>Bm16300</v>
      </c>
      <c r="B145" s="18" t="str">
        <f>IF(E145=0,"",COUNTIF($B$92:$B144,"&gt;0")+1)</f>
        <v/>
      </c>
      <c r="C145" s="16" t="s">
        <v>5020</v>
      </c>
      <c r="D145" s="19" t="s">
        <v>2445</v>
      </c>
      <c r="E145" s="17"/>
      <c r="F145" s="4"/>
      <c r="G145" s="8">
        <f t="shared" si="5"/>
        <v>0</v>
      </c>
      <c r="H145" s="4"/>
      <c r="I145" s="4"/>
      <c r="J145" s="4"/>
    </row>
    <row r="146" spans="1:10" s="1" customFormat="1" ht="14.4">
      <c r="A146" s="9" t="str">
        <f>chitiet!B1540</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chitiet!B1541</f>
        <v>ST</v>
      </c>
      <c r="B147" s="18" t="str">
        <f>IF(E147=0,"",COUNTIF($B$92:$B146,"&gt;0")+1)</f>
        <v/>
      </c>
      <c r="C147" s="16" t="s">
        <v>2958</v>
      </c>
      <c r="D147" s="19" t="s">
        <v>2959</v>
      </c>
      <c r="E147" s="17"/>
      <c r="F147" s="4"/>
      <c r="G147" s="8">
        <f t="shared" si="5"/>
        <v>0</v>
      </c>
      <c r="H147" s="4"/>
      <c r="I147" s="4"/>
      <c r="J147" s="4"/>
    </row>
    <row r="148" spans="1:10" s="1" customFormat="1" ht="13.8">
      <c r="A148" s="9" t="str">
        <f>chitiet!B1542</f>
        <v>MT</v>
      </c>
      <c r="B148" s="18" t="str">
        <f>IF(E148=0,"",COUNTIF($B$92:$B147,"&gt;0")+1)</f>
        <v/>
      </c>
      <c r="C148" s="16" t="s">
        <v>5063</v>
      </c>
      <c r="D148" s="19" t="s">
        <v>2563</v>
      </c>
      <c r="E148" s="17"/>
      <c r="F148" s="4"/>
      <c r="G148" s="8">
        <f t="shared" si="5"/>
        <v>0</v>
      </c>
      <c r="H148" s="4"/>
      <c r="I148" s="4"/>
      <c r="J148" s="4"/>
    </row>
    <row r="149" spans="1:10" s="1" customFormat="1" ht="13.8">
      <c r="A149" s="9" t="str">
        <f>chitiet!B1543</f>
        <v>VT</v>
      </c>
      <c r="B149" s="18" t="str">
        <f>IF(E149=0,"",COUNTIF($B$92:$B148,"&gt;0")+1)</f>
        <v/>
      </c>
      <c r="C149" s="16" t="s">
        <v>2931</v>
      </c>
      <c r="D149" s="19" t="s">
        <v>2563</v>
      </c>
      <c r="E149" s="17"/>
      <c r="F149" s="4"/>
      <c r="G149" s="8">
        <f t="shared" si="5"/>
        <v>0</v>
      </c>
      <c r="H149" s="4"/>
      <c r="I149" s="4"/>
      <c r="J149" s="4"/>
    </row>
    <row r="150" spans="1:10" s="1" customFormat="1" ht="13.8">
      <c r="A150" s="9" t="str">
        <f>chitiet!B1544</f>
        <v>MND</v>
      </c>
      <c r="B150" s="18"/>
      <c r="C150" s="16" t="s">
        <v>2927</v>
      </c>
      <c r="D150" s="19" t="s">
        <v>2563</v>
      </c>
      <c r="E150" s="17"/>
      <c r="F150" s="4"/>
      <c r="G150" s="8">
        <f t="shared" si="5"/>
        <v>0</v>
      </c>
      <c r="H150" s="4"/>
      <c r="I150" s="4"/>
      <c r="J150" s="4"/>
    </row>
    <row r="151" spans="1:10" ht="13.8">
      <c r="A151" s="119" t="str">
        <f>chitiet!B1545</f>
        <v>CĐT ply-X</v>
      </c>
      <c r="B151" s="113" t="e">
        <f>IF(E151=0,"",COUNTIF($B$92:$B150,"&gt;0")+1)</f>
        <v>#N/A</v>
      </c>
      <c r="C151" s="121" t="e">
        <v>#N/A</v>
      </c>
      <c r="D151" s="122" t="e">
        <v>#N/A</v>
      </c>
      <c r="E151" s="123" t="e">
        <v>#N/A</v>
      </c>
      <c r="F151" s="104"/>
      <c r="G151" s="116" t="e">
        <f t="shared" si="5"/>
        <v>#N/A</v>
      </c>
      <c r="H151" s="104"/>
      <c r="I151" s="104"/>
      <c r="J151" s="104"/>
    </row>
    <row r="152" spans="1:10" ht="13.8">
      <c r="A152" s="119" t="str">
        <f>chitiet!B1546</f>
        <v>Stply</v>
      </c>
      <c r="B152" s="113"/>
      <c r="C152" s="114" t="s">
        <v>2961</v>
      </c>
      <c r="D152" s="97" t="s">
        <v>2563</v>
      </c>
      <c r="E152" s="115" t="e">
        <f>E151</f>
        <v>#N/A</v>
      </c>
      <c r="F152" s="104"/>
      <c r="G152" s="116" t="e">
        <f t="shared" si="5"/>
        <v>#N/A</v>
      </c>
      <c r="H152" s="104"/>
      <c r="I152" s="104"/>
      <c r="J152" s="104"/>
    </row>
    <row r="153" spans="1:10" ht="13.8">
      <c r="A153" s="119" t="str">
        <f>chitiet!B1547</f>
        <v>MT</v>
      </c>
      <c r="B153" s="113"/>
      <c r="C153" s="114" t="s">
        <v>5063</v>
      </c>
      <c r="D153" s="97" t="s">
        <v>2563</v>
      </c>
      <c r="E153" s="115" t="e">
        <f>E152*2</f>
        <v>#N/A</v>
      </c>
      <c r="F153" s="104"/>
      <c r="G153" s="116" t="e">
        <f t="shared" si="5"/>
        <v>#N/A</v>
      </c>
      <c r="H153" s="104"/>
      <c r="I153" s="104"/>
      <c r="J153" s="104"/>
    </row>
    <row r="154" spans="1:10" ht="13.8">
      <c r="A154" s="129">
        <f>chitiet!B1551</f>
        <v>0</v>
      </c>
      <c r="B154" s="113"/>
      <c r="C154" s="60" t="s">
        <v>2523</v>
      </c>
      <c r="D154" s="97"/>
      <c r="E154" s="115"/>
      <c r="F154" s="104"/>
      <c r="G154" s="116">
        <v>1</v>
      </c>
      <c r="H154" s="104"/>
      <c r="I154" s="104"/>
      <c r="J154" s="104"/>
    </row>
    <row r="155" spans="1:10" s="1" customFormat="1" ht="13.8">
      <c r="A155" s="11" t="str">
        <f>chitiet!B1552</f>
        <v>KD240</v>
      </c>
      <c r="B155" s="18" t="str">
        <f>IF(E155=0,"",COUNTIF($B$92:$B154,"&gt;0")+1)</f>
        <v/>
      </c>
      <c r="C155" s="16" t="str">
        <f>chitiet!F1552</f>
        <v>Khóa đỡ dây cỡ dây 240</v>
      </c>
      <c r="D155" s="19" t="str">
        <f>chitiet!G1552</f>
        <v>cái</v>
      </c>
      <c r="E155" s="17">
        <f>chitiet!D1552</f>
        <v>0</v>
      </c>
      <c r="F155" s="4"/>
      <c r="G155" s="8">
        <f t="shared" si="5"/>
        <v>0</v>
      </c>
      <c r="H155" s="4"/>
      <c r="I155" s="4"/>
      <c r="J155" s="4"/>
    </row>
    <row r="156" spans="1:10" s="1" customFormat="1" ht="13.8">
      <c r="A156" s="11" t="str">
        <f>chitiet!B1553</f>
        <v>KD185</v>
      </c>
      <c r="B156" s="18" t="str">
        <f>IF(E156=0,"",COUNTIF($B$92:$B155,"&gt;0")+1)</f>
        <v/>
      </c>
      <c r="C156" s="16" t="str">
        <f>chitiet!F1553</f>
        <v>Khóa đỡ dây cỡ dây 185</v>
      </c>
      <c r="D156" s="19" t="str">
        <f>chitiet!G1553</f>
        <v>cái</v>
      </c>
      <c r="E156" s="17">
        <f>chitiet!D1553</f>
        <v>0</v>
      </c>
      <c r="F156" s="4"/>
      <c r="G156" s="8">
        <f t="shared" si="5"/>
        <v>0</v>
      </c>
      <c r="H156" s="4"/>
      <c r="I156" s="4"/>
      <c r="J156" s="4"/>
    </row>
    <row r="157" spans="1:10" s="1" customFormat="1" ht="13.8">
      <c r="A157" s="11" t="str">
        <f>chitiet!B1554</f>
        <v>KD150</v>
      </c>
      <c r="B157" s="18" t="str">
        <f>IF(E157=0,"",COUNTIF($B$92:$B156,"&gt;0")+1)</f>
        <v/>
      </c>
      <c r="C157" s="16" t="str">
        <f>chitiet!F1554</f>
        <v>Khóa đỡ dây cỡ dây 150</v>
      </c>
      <c r="D157" s="19" t="str">
        <f>chitiet!G1554</f>
        <v>cái</v>
      </c>
      <c r="E157" s="17">
        <f>chitiet!D1554</f>
        <v>0</v>
      </c>
      <c r="F157" s="4"/>
      <c r="G157" s="8">
        <f t="shared" si="5"/>
        <v>0</v>
      </c>
      <c r="H157" s="4"/>
      <c r="I157" s="4"/>
      <c r="J157" s="4"/>
    </row>
    <row r="158" spans="1:10" s="1" customFormat="1" ht="13.8">
      <c r="A158" s="11" t="str">
        <f>chitiet!B1555</f>
        <v>KD120</v>
      </c>
      <c r="B158" s="18" t="str">
        <f>IF(E158=0,"",COUNTIF($B$92:$B157,"&gt;0")+1)</f>
        <v/>
      </c>
      <c r="C158" s="16" t="str">
        <f>chitiet!F1555</f>
        <v>Khóa đỡ dây cỡ dây 120</v>
      </c>
      <c r="D158" s="19" t="str">
        <f>chitiet!G1555</f>
        <v>cái</v>
      </c>
      <c r="E158" s="17">
        <f>chitiet!D1555</f>
        <v>0</v>
      </c>
      <c r="F158" s="4"/>
      <c r="G158" s="8">
        <f t="shared" si="5"/>
        <v>0</v>
      </c>
      <c r="H158" s="4"/>
      <c r="I158" s="4"/>
      <c r="J158" s="4"/>
    </row>
    <row r="159" spans="1:10" s="1" customFormat="1" ht="13.8">
      <c r="A159" s="11" t="str">
        <f>chitiet!B1556</f>
        <v>KD95</v>
      </c>
      <c r="B159" s="18" t="str">
        <f>IF(E159=0,"",COUNTIF($B$92:$B158,"&gt;0")+1)</f>
        <v/>
      </c>
      <c r="C159" s="16" t="str">
        <f>chitiet!F1556</f>
        <v>Khóa đỡ dây cỡ dây 95</v>
      </c>
      <c r="D159" s="19" t="str">
        <f>chitiet!G1556</f>
        <v>cái</v>
      </c>
      <c r="E159" s="17">
        <f>chitiet!D1556</f>
        <v>0</v>
      </c>
      <c r="F159" s="4"/>
      <c r="G159" s="8">
        <f t="shared" si="5"/>
        <v>0</v>
      </c>
      <c r="H159" s="4"/>
      <c r="I159" s="4"/>
      <c r="J159" s="4"/>
    </row>
    <row r="160" spans="1:10" s="1" customFormat="1" ht="13.8">
      <c r="A160" s="11" t="str">
        <f>chitiet!B1557</f>
        <v>KD70</v>
      </c>
      <c r="B160" s="18" t="str">
        <f>IF(E160=0,"",COUNTIF($B$92:$B159,"&gt;0")+1)</f>
        <v/>
      </c>
      <c r="C160" s="16" t="str">
        <f>chitiet!F1557</f>
        <v>Khóa đỡ dây cỡ dây 70</v>
      </c>
      <c r="D160" s="19" t="str">
        <f>chitiet!G1557</f>
        <v>cái</v>
      </c>
      <c r="E160" s="17">
        <f>chitiet!D1557</f>
        <v>0</v>
      </c>
      <c r="F160" s="4"/>
      <c r="G160" s="8">
        <f t="shared" si="5"/>
        <v>0</v>
      </c>
      <c r="H160" s="4"/>
      <c r="I160" s="4"/>
      <c r="J160" s="4"/>
    </row>
    <row r="161" spans="1:10" s="1" customFormat="1" ht="13.8">
      <c r="A161" s="11" t="str">
        <f>chitiet!B1558</f>
        <v>KD50</v>
      </c>
      <c r="B161" s="18" t="str">
        <f>IF(E161=0,"",COUNTIF($B$92:$B160,"&gt;0")+1)</f>
        <v/>
      </c>
      <c r="C161" s="16" t="str">
        <f>chitiet!F1558</f>
        <v>Khóa đỡ dây cỡ dây 50</v>
      </c>
      <c r="D161" s="19" t="str">
        <f>chitiet!G1558</f>
        <v>cái</v>
      </c>
      <c r="E161" s="17">
        <f>chitiet!D1558</f>
        <v>0</v>
      </c>
      <c r="F161" s="4"/>
      <c r="G161" s="8">
        <f t="shared" si="5"/>
        <v>0</v>
      </c>
      <c r="H161" s="4"/>
      <c r="I161" s="4"/>
      <c r="J161" s="4"/>
    </row>
    <row r="162" spans="1:10" s="1" customFormat="1" ht="13.8">
      <c r="A162" s="11" t="str">
        <f>chitiet!B1559</f>
        <v>KN240</v>
      </c>
      <c r="B162" s="18" t="str">
        <f>IF(E162=0,"",COUNTIF($B$92:$B161,"&gt;0")+1)</f>
        <v/>
      </c>
      <c r="C162" s="16" t="str">
        <f>chitiet!F1559</f>
        <v>Khóa néo dây cỡ dây 240</v>
      </c>
      <c r="D162" s="19" t="str">
        <f>chitiet!G1559</f>
        <v>cái</v>
      </c>
      <c r="E162" s="17">
        <f>chitiet!D1559</f>
        <v>0</v>
      </c>
      <c r="F162" s="4"/>
      <c r="G162" s="8">
        <f t="shared" si="5"/>
        <v>0</v>
      </c>
      <c r="H162" s="4"/>
      <c r="I162" s="4"/>
      <c r="J162" s="4"/>
    </row>
    <row r="163" spans="1:10" s="1" customFormat="1" ht="13.8">
      <c r="A163" s="11" t="str">
        <f>chitiet!B1560</f>
        <v>KN185</v>
      </c>
      <c r="B163" s="18" t="str">
        <f>IF(E163=0,"",COUNTIF($B$92:$B162,"&gt;0")+1)</f>
        <v/>
      </c>
      <c r="C163" s="16" t="str">
        <f>chitiet!F1560</f>
        <v>Khóa néo dây cỡ dây 185</v>
      </c>
      <c r="D163" s="19" t="str">
        <f>chitiet!G1560</f>
        <v>cái</v>
      </c>
      <c r="E163" s="17">
        <f>chitiet!D1560</f>
        <v>0</v>
      </c>
      <c r="F163" s="4"/>
      <c r="G163" s="8">
        <f t="shared" si="5"/>
        <v>0</v>
      </c>
      <c r="H163" s="4"/>
      <c r="I163" s="4"/>
      <c r="J163" s="4"/>
    </row>
    <row r="164" spans="1:10" s="1" customFormat="1" ht="13.8">
      <c r="A164" s="11" t="str">
        <f>chitiet!B1561</f>
        <v>KN150</v>
      </c>
      <c r="B164" s="18" t="str">
        <f>IF(E164=0,"",COUNTIF($B$92:$B163,"&gt;0")+1)</f>
        <v/>
      </c>
      <c r="C164" s="16" t="str">
        <f>chitiet!F1561</f>
        <v>Khóa néo dây cỡ dây 150</v>
      </c>
      <c r="D164" s="19" t="str">
        <f>chitiet!G1561</f>
        <v>cái</v>
      </c>
      <c r="E164" s="17">
        <f>chitiet!D1561</f>
        <v>0</v>
      </c>
      <c r="F164" s="4"/>
      <c r="G164" s="8">
        <f t="shared" si="5"/>
        <v>0</v>
      </c>
      <c r="H164" s="4"/>
      <c r="I164" s="4"/>
      <c r="J164" s="4"/>
    </row>
    <row r="165" spans="1:10" s="1" customFormat="1" ht="13.8">
      <c r="A165" s="11" t="str">
        <f>chitiet!B1562</f>
        <v>KN120</v>
      </c>
      <c r="B165" s="18" t="str">
        <f>IF(E165=0,"",COUNTIF($B$92:$B164,"&gt;0")+1)</f>
        <v/>
      </c>
      <c r="C165" s="16" t="str">
        <f>chitiet!F1562</f>
        <v>Khóa néo dây cỡ dây 120</v>
      </c>
      <c r="D165" s="19" t="str">
        <f>chitiet!G1562</f>
        <v>cái</v>
      </c>
      <c r="E165" s="17">
        <f>chitiet!D1562</f>
        <v>0</v>
      </c>
      <c r="F165" s="4"/>
      <c r="G165" s="8">
        <f t="shared" si="5"/>
        <v>0</v>
      </c>
      <c r="H165" s="4"/>
      <c r="I165" s="4"/>
      <c r="J165" s="4"/>
    </row>
    <row r="166" spans="1:10" s="1" customFormat="1" ht="13.8">
      <c r="A166" s="11" t="str">
        <f>chitiet!B1563</f>
        <v>KN95</v>
      </c>
      <c r="B166" s="18" t="str">
        <f>IF(E166=0,"",COUNTIF($B$92:$B165,"&gt;0")+1)</f>
        <v/>
      </c>
      <c r="C166" s="16" t="str">
        <f>chitiet!F1563</f>
        <v>Khóa néo dây cỡ dây 95</v>
      </c>
      <c r="D166" s="19" t="str">
        <f>chitiet!G1563</f>
        <v>cái</v>
      </c>
      <c r="E166" s="17">
        <f>chitiet!D1563</f>
        <v>0</v>
      </c>
      <c r="F166" s="4"/>
      <c r="G166" s="8">
        <f t="shared" si="5"/>
        <v>0</v>
      </c>
      <c r="H166" s="4"/>
      <c r="I166" s="4"/>
      <c r="J166" s="4"/>
    </row>
    <row r="167" spans="1:10" s="1" customFormat="1" ht="13.8">
      <c r="A167" s="11" t="str">
        <f>chitiet!B1564</f>
        <v>KN70</v>
      </c>
      <c r="B167" s="18" t="str">
        <f>IF(E167=0,"",COUNTIF($B$92:$B166,"&gt;0")+1)</f>
        <v/>
      </c>
      <c r="C167" s="16" t="str">
        <f>chitiet!F1564</f>
        <v>Khóa néo dây cỡ dây 70</v>
      </c>
      <c r="D167" s="19" t="str">
        <f>chitiet!G1564</f>
        <v>cái</v>
      </c>
      <c r="E167" s="17">
        <f>chitiet!D1564</f>
        <v>0</v>
      </c>
      <c r="F167" s="4"/>
      <c r="G167" s="8">
        <f t="shared" si="5"/>
        <v>0</v>
      </c>
      <c r="H167" s="4"/>
      <c r="I167" s="4"/>
      <c r="J167" s="4"/>
    </row>
    <row r="168" spans="1:10" s="1" customFormat="1" ht="13.8">
      <c r="A168" s="11" t="str">
        <f>chitiet!B1565</f>
        <v>KN50</v>
      </c>
      <c r="B168" s="18" t="str">
        <f>IF(E168=0,"",COUNTIF($B$92:$B167,"&gt;0")+1)</f>
        <v/>
      </c>
      <c r="C168" s="16" t="str">
        <f>chitiet!F1565</f>
        <v>Khóa néo dây cỡ dây 50</v>
      </c>
      <c r="D168" s="19" t="str">
        <f>chitiet!G1565</f>
        <v>cái</v>
      </c>
      <c r="E168" s="17">
        <f>chitiet!D1565</f>
        <v>0</v>
      </c>
      <c r="F168" s="4"/>
      <c r="G168" s="8">
        <f t="shared" si="5"/>
        <v>0</v>
      </c>
      <c r="H168" s="4"/>
      <c r="I168" s="4"/>
      <c r="J168" s="4"/>
    </row>
    <row r="169" spans="1:10" s="1" customFormat="1" ht="13.8">
      <c r="A169" s="11" t="str">
        <f>chitiet!B1566</f>
        <v>k50</v>
      </c>
      <c r="B169" s="18" t="str">
        <f>IF(E169=0,"",COUNTIF($B$92:$B168,"&gt;0")+1)</f>
        <v/>
      </c>
      <c r="C169" s="16" t="str">
        <f>chitiet!F1566</f>
        <v>Kẹp 2 rãnh (APC) cỡ dây 50mm2</v>
      </c>
      <c r="D169" s="19" t="str">
        <f>chitiet!G1566</f>
        <v>cái</v>
      </c>
      <c r="E169" s="17">
        <f>chitiet!D1566</f>
        <v>0</v>
      </c>
      <c r="F169" s="4"/>
      <c r="G169" s="8">
        <f t="shared" si="5"/>
        <v>0</v>
      </c>
      <c r="H169" s="4"/>
      <c r="I169" s="4"/>
      <c r="J169" s="4"/>
    </row>
    <row r="170" spans="1:10" s="1" customFormat="1" ht="13.8">
      <c r="A170" s="11" t="str">
        <f>chitiet!B1567</f>
        <v>k70</v>
      </c>
      <c r="B170" s="18" t="str">
        <f>IF(E170=0,"",COUNTIF($B$92:$B169,"&gt;0")+1)</f>
        <v/>
      </c>
      <c r="C170" s="16" t="str">
        <f>chitiet!F1567</f>
        <v>Kẹp 2 rãnh (APC) cỡ dây 70mm2</v>
      </c>
      <c r="D170" s="19" t="str">
        <f>chitiet!G1567</f>
        <v>cái</v>
      </c>
      <c r="E170" s="17">
        <f>chitiet!D1567</f>
        <v>0</v>
      </c>
      <c r="F170" s="4"/>
      <c r="G170" s="8">
        <f t="shared" si="5"/>
        <v>0</v>
      </c>
      <c r="H170" s="4"/>
      <c r="I170" s="4"/>
      <c r="J170" s="4"/>
    </row>
    <row r="171" spans="1:10" s="1" customFormat="1" ht="13.8">
      <c r="A171" s="11" t="str">
        <f>chitiet!B1568</f>
        <v>k95</v>
      </c>
      <c r="B171" s="18" t="str">
        <f>IF(E171=0,"",COUNTIF($B$92:$B170,"&gt;0")+1)</f>
        <v/>
      </c>
      <c r="C171" s="16" t="str">
        <f>chitiet!F1568</f>
        <v>Kẹp 2 rãnh (APC) cỡ dây 95mm2</v>
      </c>
      <c r="D171" s="19" t="str">
        <f>chitiet!G1568</f>
        <v>cái</v>
      </c>
      <c r="E171" s="17">
        <f>chitiet!D1568</f>
        <v>0</v>
      </c>
      <c r="F171" s="4"/>
      <c r="G171" s="8">
        <f t="shared" si="5"/>
        <v>0</v>
      </c>
      <c r="H171" s="4"/>
      <c r="I171" s="4"/>
      <c r="J171" s="4"/>
    </row>
    <row r="172" spans="1:10" ht="13.8">
      <c r="A172" s="129" t="str">
        <f>chitiet!B1572</f>
        <v>ke95</v>
      </c>
      <c r="B172" s="113" t="str">
        <f>IF(E172=0,"",COUNTIF($B$92:$B171,"&gt;0")+1)</f>
        <v/>
      </c>
      <c r="C172" s="114" t="str">
        <f>chitiet!F1572</f>
        <v>Kẹp ép WR cỡ dây 95mm2</v>
      </c>
      <c r="D172" s="97" t="str">
        <f>chitiet!G1572</f>
        <v>cái</v>
      </c>
      <c r="E172" s="115">
        <f>chitiet!D1572</f>
        <v>0</v>
      </c>
      <c r="F172" s="104"/>
      <c r="G172" s="116">
        <f t="shared" si="5"/>
        <v>0</v>
      </c>
      <c r="H172" s="104"/>
      <c r="I172" s="104"/>
      <c r="J172" s="104"/>
    </row>
    <row r="173" spans="1:10" ht="13.8">
      <c r="A173" s="129" t="str">
        <f>chitiet!B1573</f>
        <v>kE150</v>
      </c>
      <c r="B173" s="113" t="str">
        <f>IF(E173=0,"",COUNTIF($B$92:$B172,"&gt;0")+1)</f>
        <v/>
      </c>
      <c r="C173" s="114" t="str">
        <f>chitiet!F1573</f>
        <v>Kẹp ép WR cỡ dây 150mm2</v>
      </c>
      <c r="D173" s="97" t="str">
        <f>chitiet!G1573</f>
        <v>cái</v>
      </c>
      <c r="E173" s="115">
        <f>chitiet!D1573</f>
        <v>0</v>
      </c>
      <c r="F173" s="104"/>
      <c r="G173" s="116">
        <f t="shared" si="5"/>
        <v>0</v>
      </c>
      <c r="H173" s="104"/>
      <c r="I173" s="104"/>
      <c r="J173" s="104"/>
    </row>
    <row r="174" spans="1:10" s="1" customFormat="1" ht="13.8">
      <c r="A174" s="11" t="str">
        <f>chitiet!B1574</f>
        <v>ke185</v>
      </c>
      <c r="B174" s="18" t="str">
        <f>IF(E174=0,"",COUNTIF($B$92:$B173,"&gt;0")+1)</f>
        <v/>
      </c>
      <c r="C174" s="16" t="str">
        <f>chitiet!F1574</f>
        <v>Kẹp ép WR cỡ dây 185mm2</v>
      </c>
      <c r="D174" s="19" t="str">
        <f>chitiet!G1574</f>
        <v>cái</v>
      </c>
      <c r="E174" s="17">
        <f>chitiet!D1574</f>
        <v>0</v>
      </c>
      <c r="F174" s="4"/>
      <c r="G174" s="8">
        <f t="shared" si="5"/>
        <v>0</v>
      </c>
      <c r="H174" s="4"/>
      <c r="I174" s="4"/>
      <c r="J174" s="4"/>
    </row>
    <row r="175" spans="1:10" ht="13.8">
      <c r="A175" s="129" t="str">
        <f>chitiet!B1575</f>
        <v>kE240</v>
      </c>
      <c r="B175" s="113" t="str">
        <f>IF(E175=0,"",COUNTIF($B$92:$B174,"&gt;0")+1)</f>
        <v/>
      </c>
      <c r="C175" s="114" t="str">
        <f>chitiet!F1575</f>
        <v>Kẹp ép WR cỡ dây 240mm2</v>
      </c>
      <c r="D175" s="97" t="str">
        <f>chitiet!G1575</f>
        <v>cái</v>
      </c>
      <c r="E175" s="115">
        <f>chitiet!D1575</f>
        <v>0</v>
      </c>
      <c r="F175" s="104"/>
      <c r="G175" s="116">
        <f t="shared" si="5"/>
        <v>0</v>
      </c>
      <c r="H175" s="104"/>
      <c r="I175" s="104"/>
      <c r="J175" s="104"/>
    </row>
    <row r="176" spans="1:10" s="1" customFormat="1" ht="13.8">
      <c r="A176" s="11" t="str">
        <f>chitiet!B1576</f>
        <v>cose70</v>
      </c>
      <c r="B176" s="18" t="str">
        <f>IF(E176=0,"",COUNTIF($B$92:$B175,"&gt;0")+1)</f>
        <v/>
      </c>
      <c r="C176" s="16" t="str">
        <f>chitiet!F1576</f>
        <v>Đầu cosse ép Cu-Al 70mm2</v>
      </c>
      <c r="D176" s="19" t="str">
        <f>chitiet!G1576</f>
        <v>cái</v>
      </c>
      <c r="E176" s="17">
        <f>chitiet!D1576</f>
        <v>0</v>
      </c>
      <c r="F176" s="4"/>
      <c r="G176" s="8">
        <f t="shared" si="5"/>
        <v>0</v>
      </c>
      <c r="H176" s="4"/>
      <c r="I176" s="4"/>
      <c r="J176" s="4"/>
    </row>
    <row r="177" spans="1:10" s="1" customFormat="1" ht="13.8">
      <c r="A177" s="11" t="str">
        <f>chitiet!B1577</f>
        <v>cose95</v>
      </c>
      <c r="B177" s="18" t="str">
        <f>IF(E177=0,"",COUNTIF($B$92:$B176,"&gt;0")+1)</f>
        <v/>
      </c>
      <c r="C177" s="16" t="str">
        <f>chitiet!F1577</f>
        <v>Đầu cosse ép Cu-Al 95mm2</v>
      </c>
      <c r="D177" s="19" t="str">
        <f>chitiet!G1577</f>
        <v>cái</v>
      </c>
      <c r="E177" s="17">
        <f>chitiet!D1577</f>
        <v>0</v>
      </c>
      <c r="F177" s="4"/>
      <c r="G177" s="8">
        <f t="shared" si="5"/>
        <v>0</v>
      </c>
      <c r="H177" s="4"/>
      <c r="I177" s="4"/>
      <c r="J177" s="4"/>
    </row>
    <row r="178" spans="1:10" s="1" customFormat="1" ht="13.8">
      <c r="A178" s="11" t="str">
        <f>chitiet!B1578</f>
        <v>cose120</v>
      </c>
      <c r="B178" s="18" t="str">
        <f>IF(E178=0,"",COUNTIF($B$92:$B177,"&gt;0")+1)</f>
        <v/>
      </c>
      <c r="C178" s="16" t="str">
        <f>chitiet!F1578</f>
        <v>Đầu cosse ép Cu-Al 120mm2</v>
      </c>
      <c r="D178" s="19" t="str">
        <f>chitiet!G1578</f>
        <v>cái</v>
      </c>
      <c r="E178" s="17">
        <f>chitiet!D1578</f>
        <v>0</v>
      </c>
      <c r="F178" s="4"/>
      <c r="G178" s="8">
        <f t="shared" si="5"/>
        <v>0</v>
      </c>
      <c r="H178" s="4"/>
      <c r="I178" s="4"/>
      <c r="J178" s="4"/>
    </row>
    <row r="179" spans="1:10" ht="13.8">
      <c r="A179" s="129" t="str">
        <f>chitiet!B1579</f>
        <v>cose150</v>
      </c>
      <c r="B179" s="113" t="str">
        <f>IF(E179=0,"",COUNTIF($B$92:$B178,"&gt;0")+1)</f>
        <v/>
      </c>
      <c r="C179" s="114" t="str">
        <f>chitiet!F1579</f>
        <v>Đầu cosse ép Cu-Al 150mm2</v>
      </c>
      <c r="D179" s="97" t="str">
        <f>chitiet!G1579</f>
        <v>cái</v>
      </c>
      <c r="E179" s="115">
        <f>chitiet!D1579</f>
        <v>0</v>
      </c>
      <c r="F179" s="104"/>
      <c r="G179" s="116">
        <f t="shared" si="5"/>
        <v>0</v>
      </c>
      <c r="H179" s="104"/>
      <c r="I179" s="104"/>
      <c r="J179" s="104"/>
    </row>
    <row r="180" spans="1:10" s="1" customFormat="1" ht="13.8">
      <c r="A180" s="11" t="str">
        <f>chitiet!B1580</f>
        <v>cose185</v>
      </c>
      <c r="B180" s="18" t="str">
        <f>IF(E180=0,"",COUNTIF($B$92:$B179,"&gt;0")+1)</f>
        <v/>
      </c>
      <c r="C180" s="16" t="str">
        <f>chitiet!F1580</f>
        <v>Đầu cosse ép Cu-Al 185mm2</v>
      </c>
      <c r="D180" s="19" t="str">
        <f>chitiet!G1580</f>
        <v>cái</v>
      </c>
      <c r="E180" s="17">
        <f>chitiet!D1580</f>
        <v>0</v>
      </c>
      <c r="F180" s="4"/>
      <c r="G180" s="8">
        <f t="shared" si="5"/>
        <v>0</v>
      </c>
      <c r="H180" s="4"/>
      <c r="I180" s="4"/>
      <c r="J180" s="4"/>
    </row>
    <row r="181" spans="1:10" ht="13.8">
      <c r="A181" s="129" t="str">
        <f>chitiet!B1581</f>
        <v>cose240</v>
      </c>
      <c r="B181" s="113" t="str">
        <f>IF(E181=0,"",COUNTIF($B$92:$B180,"&gt;0")+1)</f>
        <v/>
      </c>
      <c r="C181" s="114" t="str">
        <f>chitiet!F1581</f>
        <v>Đầu cosse ép Cu-Al 240mm2</v>
      </c>
      <c r="D181" s="97" t="str">
        <f>chitiet!G1581</f>
        <v>cái</v>
      </c>
      <c r="E181" s="115">
        <f>chitiet!D1581</f>
        <v>0</v>
      </c>
      <c r="F181" s="104"/>
      <c r="G181" s="116">
        <f t="shared" si="5"/>
        <v>0</v>
      </c>
      <c r="H181" s="104"/>
      <c r="I181" s="104"/>
      <c r="J181" s="104"/>
    </row>
    <row r="182" spans="1:10" ht="13.8">
      <c r="A182" s="129" t="str">
        <f>chitiet!B1582</f>
        <v>B1230</v>
      </c>
      <c r="B182" s="113" t="str">
        <f>IF(E182=0,"",COUNTIF($B$92:$B181,"&gt;0")+1)</f>
        <v/>
      </c>
      <c r="C182" s="114" t="str">
        <f>chitiet!F1582</f>
        <v>Boulon 12x30+ 2 long đền vuông D14-50x50x3/Zn</v>
      </c>
      <c r="D182" s="97" t="str">
        <f>chitiet!G1582</f>
        <v>bộ</v>
      </c>
      <c r="E182" s="115">
        <f>chitiet!D1582</f>
        <v>0</v>
      </c>
      <c r="F182" s="104"/>
      <c r="G182" s="116">
        <f t="shared" ref="G182:G204" si="6">IF(E182&lt;&gt;0,1,0)</f>
        <v>0</v>
      </c>
      <c r="H182" s="104"/>
      <c r="I182" s="104"/>
      <c r="J182" s="104"/>
    </row>
    <row r="183" spans="1:10" s="1" customFormat="1" ht="13.8">
      <c r="A183" s="11" t="str">
        <f>chitiet!B1583</f>
        <v>KQ2/0</v>
      </c>
      <c r="B183" s="18" t="str">
        <f>IF(E183=0,"",COUNTIF($B$92:$B182,"&gt;0")+1)</f>
        <v/>
      </c>
      <c r="C183" s="16" t="str">
        <f>chitiet!F1583</f>
        <v>Kẹp quai 2/0</v>
      </c>
      <c r="D183" s="19" t="str">
        <f>chitiet!G1583</f>
        <v>cái</v>
      </c>
      <c r="E183" s="17">
        <f>chitiet!D1583</f>
        <v>0</v>
      </c>
      <c r="F183" s="4"/>
      <c r="G183" s="8">
        <f t="shared" si="6"/>
        <v>0</v>
      </c>
      <c r="H183" s="4"/>
      <c r="I183" s="4"/>
      <c r="J183" s="4"/>
    </row>
    <row r="184" spans="1:10" s="1" customFormat="1" ht="13.8">
      <c r="A184" s="11" t="str">
        <f>chitiet!B1584</f>
        <v>KQ4/0</v>
      </c>
      <c r="B184" s="18" t="str">
        <f>IF(E184=0,"",COUNTIF($B$92:$B183,"&gt;0")+1)</f>
        <v/>
      </c>
      <c r="C184" s="16" t="str">
        <f>chitiet!F1584</f>
        <v>Kẹp quai 4/0</v>
      </c>
      <c r="D184" s="19" t="str">
        <f>chitiet!G1584</f>
        <v>cái</v>
      </c>
      <c r="E184" s="17">
        <f>chitiet!D1584</f>
        <v>0</v>
      </c>
      <c r="F184" s="4"/>
      <c r="G184" s="8">
        <f t="shared" si="6"/>
        <v>0</v>
      </c>
      <c r="H184" s="4"/>
      <c r="I184" s="4"/>
      <c r="J184" s="4"/>
    </row>
    <row r="185" spans="1:10" s="1" customFormat="1" ht="13.8">
      <c r="A185" s="11" t="str">
        <f>chitiet!B1585</f>
        <v>KH2/0</v>
      </c>
      <c r="B185" s="18" t="str">
        <f>IF(E185=0,"",COUNTIF($B$92:$B184,"&gt;0")+1)</f>
        <v/>
      </c>
      <c r="C185" s="16" t="str">
        <f>chitiet!F1585</f>
        <v>Kẹp hotline 2/0</v>
      </c>
      <c r="D185" s="19" t="str">
        <f>chitiet!G1585</f>
        <v>cái</v>
      </c>
      <c r="E185" s="17">
        <f>chitiet!D1585</f>
        <v>0</v>
      </c>
      <c r="F185" s="4"/>
      <c r="G185" s="8">
        <f t="shared" si="6"/>
        <v>0</v>
      </c>
      <c r="H185" s="4"/>
      <c r="I185" s="4"/>
      <c r="J185" s="4"/>
    </row>
    <row r="186" spans="1:10" s="1" customFormat="1" ht="13.8">
      <c r="A186" s="11" t="str">
        <f>chitiet!B1586</f>
        <v>KH4/0</v>
      </c>
      <c r="B186" s="18" t="str">
        <f>IF(E186=0,"",COUNTIF($B$92:$B185,"&gt;0")+1)</f>
        <v/>
      </c>
      <c r="C186" s="16" t="str">
        <f>chitiet!F1586</f>
        <v>Kẹp hotline 4/0</v>
      </c>
      <c r="D186" s="19" t="str">
        <f>chitiet!G1586</f>
        <v>cái</v>
      </c>
      <c r="E186" s="17">
        <f>chitiet!D1586</f>
        <v>0</v>
      </c>
      <c r="F186" s="4"/>
      <c r="G186" s="8">
        <f t="shared" si="6"/>
        <v>0</v>
      </c>
      <c r="H186" s="4"/>
      <c r="I186" s="4"/>
      <c r="J186" s="4"/>
    </row>
    <row r="187" spans="1:10" s="1" customFormat="1" ht="13.8">
      <c r="A187" s="11" t="str">
        <f>chitiet!B1587</f>
        <v>ON50</v>
      </c>
      <c r="B187" s="18" t="str">
        <f>IF(E187=0,"",COUNTIF($B$92:$B186,"&gt;0")+1)</f>
        <v/>
      </c>
      <c r="C187" s="16" t="str">
        <f>chitiet!F1587</f>
        <v>Ống nối dây cỡ 50mm2</v>
      </c>
      <c r="D187" s="19" t="str">
        <f>chitiet!G1587</f>
        <v>cái</v>
      </c>
      <c r="E187" s="17">
        <f>chitiet!D1587</f>
        <v>0</v>
      </c>
      <c r="F187" s="4"/>
      <c r="G187" s="8">
        <f t="shared" si="6"/>
        <v>0</v>
      </c>
      <c r="H187" s="4"/>
      <c r="I187" s="4"/>
      <c r="J187" s="4"/>
    </row>
    <row r="188" spans="1:10" s="1" customFormat="1" ht="13.8">
      <c r="A188" s="11" t="str">
        <f>chitiet!B1588</f>
        <v>ON70</v>
      </c>
      <c r="B188" s="18" t="str">
        <f>IF(E188=0,"",COUNTIF($B$92:$B187,"&gt;0")+1)</f>
        <v/>
      </c>
      <c r="C188" s="16" t="str">
        <f>chitiet!F1588</f>
        <v>Ống nối dây cỡ 70mm2</v>
      </c>
      <c r="D188" s="19" t="str">
        <f>chitiet!G1588</f>
        <v>cái</v>
      </c>
      <c r="E188" s="17">
        <f>chitiet!D1588</f>
        <v>0</v>
      </c>
      <c r="F188" s="4"/>
      <c r="G188" s="8">
        <f t="shared" si="6"/>
        <v>0</v>
      </c>
      <c r="H188" s="4"/>
      <c r="I188" s="4"/>
      <c r="J188" s="4"/>
    </row>
    <row r="189" spans="1:10" s="1" customFormat="1" ht="13.8">
      <c r="A189" s="11" t="str">
        <f>chitiet!B1589</f>
        <v>ON95</v>
      </c>
      <c r="B189" s="18" t="str">
        <f>IF(E189=0,"",COUNTIF($B$92:$B188,"&gt;0")+1)</f>
        <v/>
      </c>
      <c r="C189" s="16" t="str">
        <f>chitiet!F1589</f>
        <v>Ống nối dây cỡ 95mm2</v>
      </c>
      <c r="D189" s="19" t="str">
        <f>chitiet!G1589</f>
        <v>cái</v>
      </c>
      <c r="E189" s="17">
        <f>chitiet!D1589</f>
        <v>0</v>
      </c>
      <c r="F189" s="4"/>
      <c r="G189" s="8">
        <f t="shared" si="6"/>
        <v>0</v>
      </c>
      <c r="H189" s="4"/>
      <c r="I189" s="4"/>
      <c r="J189" s="4"/>
    </row>
    <row r="190" spans="1:10" s="1" customFormat="1" ht="13.8">
      <c r="A190" s="11" t="str">
        <f>chitiet!B1590</f>
        <v>ON120</v>
      </c>
      <c r="B190" s="18" t="str">
        <f>IF(E190=0,"",COUNTIF($B$92:$B189,"&gt;0")+1)</f>
        <v/>
      </c>
      <c r="C190" s="16" t="str">
        <f>chitiet!F1590</f>
        <v>Ống nối dây cỡ 120mm2</v>
      </c>
      <c r="D190" s="19" t="str">
        <f>chitiet!G1590</f>
        <v>cái</v>
      </c>
      <c r="E190" s="17">
        <f>chitiet!D1590</f>
        <v>0</v>
      </c>
      <c r="F190" s="4"/>
      <c r="G190" s="8">
        <f t="shared" si="6"/>
        <v>0</v>
      </c>
      <c r="H190" s="4"/>
      <c r="I190" s="4"/>
      <c r="J190" s="4"/>
    </row>
    <row r="191" spans="1:10" s="1" customFormat="1" ht="13.8">
      <c r="A191" s="11" t="str">
        <f>chitiet!B1591</f>
        <v>ON150</v>
      </c>
      <c r="B191" s="18" t="str">
        <f>IF(E191=0,"",COUNTIF($B$92:$B190,"&gt;0")+1)</f>
        <v/>
      </c>
      <c r="C191" s="16" t="str">
        <f>chitiet!F1591</f>
        <v>Ống nối dây cỡ 150mm2</v>
      </c>
      <c r="D191" s="19" t="str">
        <f>chitiet!G1591</f>
        <v>cái</v>
      </c>
      <c r="E191" s="17">
        <f>chitiet!D1591</f>
        <v>0</v>
      </c>
      <c r="F191" s="4"/>
      <c r="G191" s="8">
        <f t="shared" si="6"/>
        <v>0</v>
      </c>
      <c r="H191" s="4"/>
      <c r="I191" s="4"/>
      <c r="J191" s="4"/>
    </row>
    <row r="192" spans="1:10" s="1" customFormat="1" ht="13.8">
      <c r="A192" s="11" t="str">
        <f>chitiet!B1592</f>
        <v>ON185</v>
      </c>
      <c r="B192" s="18" t="str">
        <f>IF(E192=0,"",COUNTIF($B$92:$B191,"&gt;0")+1)</f>
        <v/>
      </c>
      <c r="C192" s="16" t="str">
        <f>chitiet!F1592</f>
        <v>Ống nối dây cỡ 185mm2</v>
      </c>
      <c r="D192" s="19" t="str">
        <f>chitiet!G1592</f>
        <v>cái</v>
      </c>
      <c r="E192" s="17">
        <f>chitiet!D1592</f>
        <v>0</v>
      </c>
      <c r="F192" s="4"/>
      <c r="G192" s="8">
        <f t="shared" si="6"/>
        <v>0</v>
      </c>
      <c r="H192" s="4"/>
      <c r="I192" s="4"/>
      <c r="J192" s="4"/>
    </row>
    <row r="193" spans="1:10" ht="13.8">
      <c r="A193" s="129" t="str">
        <f>chitiet!B1593</f>
        <v>ON240</v>
      </c>
      <c r="B193" s="113" t="str">
        <f>IF(E193=0,"",COUNTIF($B$92:$B192,"&gt;0")+1)</f>
        <v/>
      </c>
      <c r="C193" s="114" t="str">
        <f>chitiet!F1593</f>
        <v>Ống nối dây cỡ 240mm2</v>
      </c>
      <c r="D193" s="97" t="str">
        <f>chitiet!G1593</f>
        <v>cái</v>
      </c>
      <c r="E193" s="115">
        <f>chitiet!D1593</f>
        <v>0</v>
      </c>
      <c r="F193" s="104"/>
      <c r="G193" s="116">
        <f t="shared" si="6"/>
        <v>0</v>
      </c>
      <c r="H193" s="104"/>
      <c r="I193" s="104"/>
      <c r="J193" s="104"/>
    </row>
    <row r="194" spans="1:10" ht="13.8">
      <c r="A194" s="129" t="str">
        <f>chitiet!B1594</f>
        <v>DAYA</v>
      </c>
      <c r="B194" s="113" t="str">
        <f>IF(E194=0,"",COUNTIF($B$92:$B193,"&gt;0")+1)</f>
        <v/>
      </c>
      <c r="C194" s="114" t="str">
        <f>chitiet!F1594</f>
        <v xml:space="preserve">Dây nhôm buộc </v>
      </c>
      <c r="D194" s="97" t="str">
        <f>chitiet!G1594</f>
        <v>kg</v>
      </c>
      <c r="E194" s="115">
        <f>chitiet!D1594</f>
        <v>0</v>
      </c>
      <c r="F194" s="104"/>
      <c r="G194" s="116">
        <f t="shared" si="6"/>
        <v>0</v>
      </c>
      <c r="H194" s="104"/>
      <c r="I194" s="104"/>
      <c r="J194" s="104"/>
    </row>
    <row r="195" spans="1:10" ht="13.8">
      <c r="A195" s="129" t="str">
        <f>chitiet!B1595</f>
        <v>bnh</v>
      </c>
      <c r="B195" s="113" t="str">
        <f>IF(E195=0,"",COUNTIF($B$92:$B194,"&gt;0")+1)</f>
        <v/>
      </c>
      <c r="C195" s="114" t="str">
        <f>chitiet!F1595</f>
        <v>Biển số - Bảng nguy hiểm</v>
      </c>
      <c r="D195" s="97" t="str">
        <f>chitiet!G1595</f>
        <v>cái</v>
      </c>
      <c r="E195" s="115">
        <f>chitiet!D1595</f>
        <v>0</v>
      </c>
      <c r="F195" s="104"/>
      <c r="G195" s="116">
        <f t="shared" si="6"/>
        <v>0</v>
      </c>
      <c r="H195" s="104"/>
      <c r="I195" s="104"/>
      <c r="J195" s="104"/>
    </row>
    <row r="196" spans="1:10" s="1" customFormat="1" ht="13.8">
      <c r="A196" s="12" t="s">
        <v>589</v>
      </c>
      <c r="B196" s="15" t="s">
        <v>1901</v>
      </c>
      <c r="C196" s="96" t="s">
        <v>2308</v>
      </c>
      <c r="D196" s="97" t="s">
        <v>2307</v>
      </c>
      <c r="E196" s="20"/>
      <c r="F196" s="4"/>
      <c r="G196" s="8">
        <f t="shared" si="6"/>
        <v>0</v>
      </c>
      <c r="H196" s="4"/>
      <c r="I196" s="4"/>
      <c r="J196" s="4"/>
    </row>
    <row r="197" spans="1:10" s="1" customFormat="1" ht="13.8">
      <c r="A197" s="13" t="s">
        <v>788</v>
      </c>
      <c r="B197" s="18" t="str">
        <f>IF(E197=0,"",COUNTIF($B$196:$B196,"&gt;0")+1)</f>
        <v/>
      </c>
      <c r="C197" s="16" t="s">
        <v>1187</v>
      </c>
      <c r="D197" s="19" t="s">
        <v>2563</v>
      </c>
      <c r="E197" s="24">
        <f>pp_NC!ED184</f>
        <v>0</v>
      </c>
      <c r="F197" s="4"/>
      <c r="G197" s="8">
        <f t="shared" si="6"/>
        <v>0</v>
      </c>
      <c r="H197" s="4"/>
      <c r="I197" s="4"/>
      <c r="J197" s="4"/>
    </row>
    <row r="198" spans="1:10" s="1" customFormat="1" ht="13.8">
      <c r="A198" s="13" t="s">
        <v>675</v>
      </c>
      <c r="B198" s="18" t="str">
        <f>IF(E198=0,"",COUNTIF($B$196:$B197,"&gt;0")+1)</f>
        <v/>
      </c>
      <c r="C198" s="16" t="e">
        <v>#N/A</v>
      </c>
      <c r="D198" s="19" t="e">
        <v>#N/A</v>
      </c>
      <c r="E198" s="24">
        <f>pp_NC!ED185</f>
        <v>0</v>
      </c>
      <c r="F198" s="4"/>
      <c r="G198" s="8">
        <f t="shared" si="6"/>
        <v>0</v>
      </c>
      <c r="H198" s="4"/>
      <c r="I198" s="4"/>
      <c r="J198" s="4"/>
    </row>
    <row r="199" spans="1:10" s="1" customFormat="1" ht="13.8">
      <c r="A199" s="13" t="s">
        <v>1902</v>
      </c>
      <c r="B199" s="18" t="str">
        <f>IF(E199=0,"",COUNTIF($B$196:$B198,"&gt;0")+1)</f>
        <v/>
      </c>
      <c r="C199" s="16" t="e">
        <v>#N/A</v>
      </c>
      <c r="D199" s="19" t="e">
        <v>#N/A</v>
      </c>
      <c r="E199" s="24">
        <f>pp_NC!ED186</f>
        <v>0</v>
      </c>
      <c r="F199" s="4"/>
      <c r="G199" s="8">
        <f t="shared" si="6"/>
        <v>0</v>
      </c>
      <c r="H199" s="4"/>
      <c r="I199" s="4"/>
      <c r="J199" s="4"/>
    </row>
    <row r="200" spans="1:10" s="1" customFormat="1" ht="13.8">
      <c r="A200" s="13" t="s">
        <v>446</v>
      </c>
      <c r="B200" s="18" t="str">
        <f>IF(E200=0,"",COUNTIF($B$196:$B199,"&gt;0")+1)</f>
        <v/>
      </c>
      <c r="C200" s="16" t="s">
        <v>1218</v>
      </c>
      <c r="D200" s="19" t="s">
        <v>2445</v>
      </c>
      <c r="E200" s="24">
        <f>pp_NC!ED187</f>
        <v>0</v>
      </c>
      <c r="F200" s="4"/>
      <c r="G200" s="8">
        <f t="shared" si="6"/>
        <v>0</v>
      </c>
      <c r="H200" s="4"/>
      <c r="I200" s="4"/>
      <c r="J200" s="4"/>
    </row>
    <row r="201" spans="1:10" s="1" customFormat="1" ht="13.8">
      <c r="A201" s="13" t="s">
        <v>1925</v>
      </c>
      <c r="B201" s="18" t="str">
        <f>IF(E201=0,"",COUNTIF($B$196:$B200,"&gt;0")+1)</f>
        <v/>
      </c>
      <c r="C201" s="16" t="s">
        <v>1596</v>
      </c>
      <c r="D201" s="19" t="s">
        <v>2445</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1916</v>
      </c>
      <c r="B203" s="18" t="str">
        <f>IF(E203=0,"",COUNTIF($B$196:$B202,"&gt;0")+1)</f>
        <v/>
      </c>
      <c r="C203" s="16" t="s">
        <v>2063</v>
      </c>
      <c r="D203" s="19" t="s">
        <v>2445</v>
      </c>
      <c r="E203" s="24">
        <f>pp_NC!ED190</f>
        <v>0</v>
      </c>
      <c r="F203" s="4"/>
      <c r="G203" s="8">
        <f t="shared" si="6"/>
        <v>0</v>
      </c>
      <c r="H203" s="4"/>
      <c r="I203" s="4"/>
      <c r="J203" s="4"/>
    </row>
    <row r="204" spans="1:10" s="1" customFormat="1" ht="13.8">
      <c r="A204" s="6" t="s">
        <v>393</v>
      </c>
      <c r="B204" s="18"/>
      <c r="C204" s="16" t="s">
        <v>1596</v>
      </c>
      <c r="D204" s="19" t="s">
        <v>2445</v>
      </c>
      <c r="E204" s="24">
        <f>pp_NC!EJ184</f>
        <v>0</v>
      </c>
      <c r="F204" s="4"/>
      <c r="G204" s="8">
        <f t="shared" si="6"/>
        <v>0</v>
      </c>
      <c r="H204" s="4"/>
      <c r="I204" s="4"/>
      <c r="J204" s="4"/>
    </row>
    <row r="205" spans="1:10" ht="13.8">
      <c r="A205" s="108"/>
      <c r="B205" s="130"/>
      <c r="C205" s="131"/>
      <c r="D205" s="132"/>
      <c r="E205" s="133"/>
      <c r="F205" s="104"/>
      <c r="G205" s="112">
        <v>1</v>
      </c>
      <c r="H205" s="104"/>
      <c r="I205" s="104"/>
      <c r="J205" s="104"/>
    </row>
    <row r="206" spans="1:10" ht="13.8">
      <c r="A206" s="104"/>
      <c r="B206" s="104"/>
      <c r="C206" s="104"/>
      <c r="D206" s="104"/>
      <c r="E206" s="104"/>
      <c r="F206" s="104"/>
      <c r="G206" s="104"/>
      <c r="H206" s="104"/>
      <c r="I206" s="104"/>
      <c r="J206" s="104"/>
    </row>
    <row r="207" spans="1:10" ht="13.8">
      <c r="A207" s="104"/>
      <c r="B207" s="104"/>
      <c r="C207" s="104"/>
      <c r="D207" s="104"/>
      <c r="E207" s="104"/>
      <c r="F207" s="104"/>
      <c r="G207" s="104"/>
      <c r="H207" s="104"/>
      <c r="I207" s="104"/>
      <c r="J207" s="104"/>
    </row>
    <row r="208" spans="1:10" ht="13.8">
      <c r="A208" s="104"/>
      <c r="B208" s="104"/>
      <c r="C208" s="104"/>
      <c r="D208" s="104"/>
      <c r="E208" s="104"/>
      <c r="F208" s="104"/>
      <c r="G208" s="107"/>
      <c r="H208" s="104"/>
      <c r="I208" s="104"/>
      <c r="J208" s="104"/>
    </row>
    <row r="209" spans="1:10" ht="13.8">
      <c r="A209" s="104"/>
      <c r="B209" s="104"/>
      <c r="C209" s="104"/>
      <c r="D209" s="104"/>
      <c r="E209" s="104"/>
      <c r="F209" s="104"/>
      <c r="G209" s="107"/>
      <c r="H209" s="104"/>
      <c r="I209" s="104"/>
      <c r="J209" s="104"/>
    </row>
    <row r="210" spans="1:10" ht="13.8">
      <c r="A210" s="104"/>
      <c r="B210" s="104"/>
      <c r="C210" s="104"/>
      <c r="D210" s="104"/>
      <c r="E210" s="104"/>
      <c r="F210" s="104"/>
      <c r="G210" s="107"/>
      <c r="H210" s="104"/>
      <c r="I210" s="104"/>
      <c r="J210" s="104"/>
    </row>
    <row r="211" spans="1:10" ht="13.8">
      <c r="A211" s="104"/>
      <c r="B211" s="104"/>
      <c r="C211" s="104"/>
      <c r="D211" s="104"/>
      <c r="E211" s="104"/>
      <c r="F211" s="104"/>
      <c r="G211" s="107"/>
      <c r="H211" s="104"/>
      <c r="I211" s="104"/>
      <c r="J211" s="104"/>
    </row>
    <row r="212" spans="1:10" ht="13.8">
      <c r="A212" s="104"/>
      <c r="B212" s="104"/>
      <c r="C212" s="104"/>
      <c r="D212" s="104"/>
      <c r="E212" s="104"/>
      <c r="F212" s="104"/>
      <c r="G212" s="107"/>
      <c r="H212" s="104"/>
      <c r="I212" s="104"/>
      <c r="J212" s="104"/>
    </row>
    <row r="213" spans="1:10" ht="13.8">
      <c r="A213" s="104"/>
      <c r="B213" s="104"/>
      <c r="C213" s="104"/>
      <c r="D213" s="104"/>
      <c r="E213" s="104"/>
      <c r="F213" s="104"/>
      <c r="G213" s="107"/>
      <c r="H213" s="104"/>
      <c r="I213" s="104"/>
      <c r="J213" s="104"/>
    </row>
    <row r="214" spans="1:10" ht="13.8">
      <c r="A214" s="104"/>
      <c r="B214" s="104"/>
      <c r="C214" s="104"/>
      <c r="D214" s="104"/>
      <c r="E214" s="104"/>
      <c r="F214" s="104"/>
      <c r="G214" s="107"/>
      <c r="H214" s="104"/>
      <c r="I214" s="104"/>
      <c r="J214" s="104"/>
    </row>
    <row r="215" spans="1:10" ht="13.8">
      <c r="A215" s="104"/>
      <c r="B215" s="104"/>
      <c r="C215" s="104"/>
      <c r="D215" s="104"/>
      <c r="E215" s="104"/>
      <c r="F215" s="104"/>
      <c r="G215" s="107"/>
      <c r="H215" s="104"/>
      <c r="I215" s="104"/>
      <c r="J215" s="104"/>
    </row>
    <row r="216" spans="1:10" ht="13.8">
      <c r="A216" s="104"/>
      <c r="B216" s="104"/>
      <c r="C216" s="104"/>
      <c r="D216" s="104"/>
      <c r="E216" s="104"/>
      <c r="F216" s="104"/>
      <c r="G216" s="107"/>
      <c r="H216" s="104"/>
      <c r="I216" s="104"/>
      <c r="J216" s="104"/>
    </row>
    <row r="217" spans="1:10" ht="13.8">
      <c r="A217" s="104"/>
      <c r="B217" s="104"/>
      <c r="C217" s="104"/>
      <c r="D217" s="104"/>
      <c r="E217" s="104"/>
      <c r="F217" s="104"/>
      <c r="G217" s="107"/>
      <c r="H217" s="104"/>
      <c r="I217" s="104"/>
      <c r="J217" s="104"/>
    </row>
    <row r="218" spans="1:10" ht="13.8">
      <c r="A218" s="104"/>
      <c r="B218" s="104"/>
      <c r="C218" s="104"/>
      <c r="D218" s="104"/>
      <c r="E218" s="104"/>
      <c r="F218" s="104"/>
      <c r="G218" s="107"/>
      <c r="H218" s="104"/>
      <c r="I218" s="104"/>
      <c r="J218" s="104"/>
    </row>
    <row r="219" spans="1:10" ht="13.8">
      <c r="A219" s="104"/>
      <c r="B219" s="104"/>
      <c r="C219" s="104"/>
      <c r="D219" s="104"/>
      <c r="E219" s="104"/>
      <c r="F219" s="104"/>
      <c r="G219" s="107"/>
      <c r="H219" s="104"/>
      <c r="I219" s="104"/>
      <c r="J219" s="10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sheetData>
  <autoFilter ref="G6:G205" xr:uid="{00000000-0009-0000-0000-000009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8" customWidth="1"/>
    <col min="8" max="16384" width="8.90625" style="67"/>
  </cols>
  <sheetData>
    <row r="5" spans="1:13" ht="16.8">
      <c r="B5" s="100" t="s">
        <v>3782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38" t="s">
        <v>501</v>
      </c>
      <c r="C10" s="135" t="s">
        <v>2294</v>
      </c>
      <c r="D10" s="139"/>
      <c r="E10" s="111"/>
      <c r="F10" s="104"/>
      <c r="G10" s="112">
        <v>1</v>
      </c>
      <c r="H10" s="104"/>
      <c r="I10" s="104"/>
      <c r="J10" s="104"/>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108" t="e">
        <f>#REF!</f>
        <v>#REF!</v>
      </c>
      <c r="B18" s="113" t="e">
        <f>IF(E18=0,"",COUNTIF($E$11:$E18,"&gt;0"))</f>
        <v>#REF!</v>
      </c>
      <c r="C18" s="114" t="e">
        <v>#REF!</v>
      </c>
      <c r="D18" s="97" t="e">
        <v>#REF!</v>
      </c>
      <c r="E18" s="115" t="e">
        <v>#REF!</v>
      </c>
      <c r="F18" s="104"/>
      <c r="G18" s="112" t="e">
        <f>IF(E18&lt;&gt;0,1,0)</f>
        <v>#REF!</v>
      </c>
      <c r="H18" s="104"/>
      <c r="I18" s="104"/>
      <c r="J18" s="104"/>
    </row>
    <row r="19" spans="1:10" ht="13.8">
      <c r="A19" s="108" t="e">
        <f>#REF!</f>
        <v>#REF!</v>
      </c>
      <c r="B19" s="113" t="e">
        <f>IF(E19=0,"",COUNTIF($E$11:$E19,"&gt;0"))</f>
        <v>#REF!</v>
      </c>
      <c r="C19" s="114" t="e">
        <v>#REF!</v>
      </c>
      <c r="D19" s="97" t="e">
        <v>#REF!</v>
      </c>
      <c r="E19" s="115" t="e">
        <v>#REF!</v>
      </c>
      <c r="F19" s="104"/>
      <c r="G19" s="112" t="e">
        <f>IF(E19&lt;&gt;0,1,0)</f>
        <v>#REF!</v>
      </c>
      <c r="H19" s="104"/>
      <c r="I19" s="104"/>
      <c r="J19" s="104"/>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108" t="e">
        <f>#REF!</f>
        <v>#REF!</v>
      </c>
      <c r="B41" s="113" t="e">
        <f>IF(E41=0,"",COUNTIF($E$11:$E41,"&gt;0"))</f>
        <v>#REF!</v>
      </c>
      <c r="C41" s="114" t="e">
        <v>#REF!</v>
      </c>
      <c r="D41" s="97" t="e">
        <v>#REF!</v>
      </c>
      <c r="E41" s="115" t="e">
        <v>#REF!</v>
      </c>
      <c r="F41" s="104"/>
      <c r="G41" s="112" t="e">
        <f t="shared" si="2"/>
        <v>#REF!</v>
      </c>
      <c r="H41" s="104"/>
      <c r="I41" s="104"/>
      <c r="J41" s="104"/>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108" t="e">
        <f>#REF!</f>
        <v>#REF!</v>
      </c>
      <c r="B44" s="117" t="s">
        <v>939</v>
      </c>
      <c r="C44" s="96" t="s">
        <v>2320</v>
      </c>
      <c r="D44" s="114"/>
      <c r="E44" s="115"/>
      <c r="F44" s="104"/>
      <c r="G44" s="112">
        <v>1</v>
      </c>
      <c r="H44" s="104"/>
      <c r="I44" s="104"/>
      <c r="J44" s="104"/>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108" t="e">
        <f>#REF!</f>
        <v>#REF!</v>
      </c>
      <c r="B46" s="113" t="e">
        <f>IF(E46=0,"",COUNTIF($E$45:$E46,"&gt;0"))</f>
        <v>#REF!</v>
      </c>
      <c r="C46" s="114" t="e">
        <v>#REF!</v>
      </c>
      <c r="D46" s="97" t="e">
        <v>#REF!</v>
      </c>
      <c r="E46" s="115" t="e">
        <v>#REF!</v>
      </c>
      <c r="F46" s="104"/>
      <c r="G46" s="112" t="e">
        <f t="shared" si="0"/>
        <v>#REF!</v>
      </c>
      <c r="H46" s="104"/>
      <c r="I46" s="104"/>
      <c r="J46" s="104"/>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108" t="e">
        <f>#REF!</f>
        <v>#REF!</v>
      </c>
      <c r="B49" s="113" t="e">
        <f>IF(E49=0,"",COUNTIF($E$45:$E49,"&gt;0"))</f>
        <v>#REF!</v>
      </c>
      <c r="C49" s="114" t="e">
        <v>#REF!</v>
      </c>
      <c r="D49" s="97" t="e">
        <v>#REF!</v>
      </c>
      <c r="E49" s="115" t="e">
        <v>#REF!</v>
      </c>
      <c r="F49" s="104"/>
      <c r="G49" s="112" t="e">
        <f>IF(E49&lt;&gt;0,1,0)</f>
        <v>#REF!</v>
      </c>
      <c r="H49" s="104"/>
      <c r="I49" s="104"/>
      <c r="J49" s="104"/>
    </row>
    <row r="50" spans="1:10" ht="13.8">
      <c r="A50" s="108" t="e">
        <f>#REF!</f>
        <v>#REF!</v>
      </c>
      <c r="B50" s="113" t="e">
        <f>IF(E50=0,"",COUNTIF($E$45:$E50,"&gt;0"))</f>
        <v>#REF!</v>
      </c>
      <c r="C50" s="114" t="e">
        <v>#REF!</v>
      </c>
      <c r="D50" s="97" t="e">
        <v>#REF!</v>
      </c>
      <c r="E50" s="115" t="e">
        <v>#REF!</v>
      </c>
      <c r="F50" s="104"/>
      <c r="G50" s="112" t="e">
        <f>IF(E50&lt;&gt;0,1,0)</f>
        <v>#REF!</v>
      </c>
      <c r="H50" s="104"/>
      <c r="I50" s="104"/>
      <c r="J50" s="104"/>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44" customFormat="1" ht="13.8">
      <c r="A57" s="140" t="e">
        <f>#REF!</f>
        <v>#REF!</v>
      </c>
      <c r="B57" s="141" t="e">
        <f>IF(E57=0,"",COUNTIF($E$45:$E57,"&gt;0"))</f>
        <v>#REF!</v>
      </c>
      <c r="C57" s="114" t="e">
        <v>#REF!</v>
      </c>
      <c r="D57" s="97" t="e">
        <v>#REF!</v>
      </c>
      <c r="E57" s="115" t="e">
        <v>#REF!</v>
      </c>
      <c r="F57" s="142"/>
      <c r="G57" s="143" t="e">
        <f>IF(E57&lt;&gt;0,1,0)</f>
        <v>#REF!</v>
      </c>
      <c r="H57" s="142"/>
      <c r="I57" s="142"/>
      <c r="J57" s="142"/>
    </row>
    <row r="58" spans="1:10" ht="13.8">
      <c r="A58" s="108" t="e">
        <f>#REF!</f>
        <v>#REF!</v>
      </c>
      <c r="B58" s="113" t="e">
        <f>IF(E58=0,"",COUNTIF($E$45:$E58,"&gt;0"))</f>
        <v>#REF!</v>
      </c>
      <c r="C58" s="114" t="e">
        <v>#REF!</v>
      </c>
      <c r="D58" s="97" t="e">
        <v>#REF!</v>
      </c>
      <c r="E58" s="115" t="e">
        <v>#REF!</v>
      </c>
      <c r="F58" s="104"/>
      <c r="G58" s="112" t="e">
        <f t="shared" si="0"/>
        <v>#REF!</v>
      </c>
      <c r="H58" s="104"/>
      <c r="I58" s="104"/>
      <c r="J58" s="104"/>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108" t="e">
        <f>#REF!</f>
        <v>#REF!</v>
      </c>
      <c r="B67" s="117" t="s">
        <v>1618</v>
      </c>
      <c r="C67" s="96" t="s">
        <v>2306</v>
      </c>
      <c r="D67" s="97" t="s">
        <v>2307</v>
      </c>
      <c r="E67" s="118"/>
      <c r="F67" s="104"/>
      <c r="G67" s="112">
        <v>1</v>
      </c>
      <c r="H67" s="104"/>
      <c r="I67" s="104"/>
      <c r="J67" s="104"/>
    </row>
    <row r="68" spans="1:10" s="1" customFormat="1" ht="13.8">
      <c r="A68" s="9" t="str">
        <f>chitiet!B2157</f>
        <v>AV95</v>
      </c>
      <c r="B68" s="18" t="e">
        <f>IF(E68=0,"",COUNTIF($E$68:$E68,"&gt;0"))</f>
        <v>#NAME?</v>
      </c>
      <c r="C68" s="16" t="e">
        <f>VLOOKUP($A68,DSPKhthh,4,)</f>
        <v>#NAME?</v>
      </c>
      <c r="D68" s="19" t="e">
        <f>VLOOKUP($A68,DSPKhthh,5,)</f>
        <v>#NAME?</v>
      </c>
      <c r="E68" s="24" t="e">
        <f>VLOOKUP($A68,DSPKhthh,6,)</f>
        <v>#NAME?</v>
      </c>
      <c r="F68" s="10">
        <f>chitiet!E2157</f>
        <v>0</v>
      </c>
      <c r="G68" s="7" t="e">
        <f t="shared" si="0"/>
        <v>#NAME?</v>
      </c>
      <c r="H68" s="4"/>
      <c r="I68" s="4"/>
      <c r="J68" s="4"/>
    </row>
    <row r="69" spans="1:10" ht="13.8">
      <c r="A69" s="119" t="str">
        <f>chitiet!B2158</f>
        <v>AV50</v>
      </c>
      <c r="B69" s="113" t="e">
        <f>IF(E69=0,"",COUNTIF($E$68:$E69,"&gt;0"))</f>
        <v>#NAME?</v>
      </c>
      <c r="C69" s="114" t="e">
        <f t="shared" ref="C69:C85" si="3">VLOOKUP($A69,DSPKhthh,4,)</f>
        <v>#NAME?</v>
      </c>
      <c r="D69" s="97" t="e">
        <f t="shared" ref="D69:D85" si="4">VLOOKUP($A69,DSPKhthh,5,)</f>
        <v>#NAME?</v>
      </c>
      <c r="E69" s="145" t="e">
        <f t="shared" ref="E69:E84" si="5">VLOOKUP($A69,DSPKhthh,6,)</f>
        <v>#NAME?</v>
      </c>
      <c r="F69" s="104"/>
      <c r="G69" s="112" t="e">
        <f t="shared" si="0"/>
        <v>#NAME?</v>
      </c>
      <c r="H69" s="104"/>
      <c r="I69" s="104"/>
      <c r="J69" s="104"/>
    </row>
    <row r="70" spans="1:10" ht="13.8">
      <c r="A70" s="119" t="str">
        <f>chitiet!B2159</f>
        <v>AC50</v>
      </c>
      <c r="B70" s="113" t="e">
        <f>IF(E70=0,"",COUNTIF($E$68:$E70,"&gt;0"))</f>
        <v>#NAME?</v>
      </c>
      <c r="C70" s="114" t="e">
        <f t="shared" si="3"/>
        <v>#NAME?</v>
      </c>
      <c r="D70" s="97" t="e">
        <f t="shared" si="4"/>
        <v>#NAME?</v>
      </c>
      <c r="E70" s="145" t="e">
        <f t="shared" si="5"/>
        <v>#NAME?</v>
      </c>
      <c r="F70" s="104"/>
      <c r="G70" s="112" t="e">
        <f>IF(E70&lt;&gt;0,1,0)</f>
        <v>#NAME?</v>
      </c>
      <c r="H70" s="104"/>
      <c r="I70" s="104"/>
      <c r="J70" s="104"/>
    </row>
    <row r="71" spans="1:10" ht="13.8">
      <c r="A71" s="119" t="str">
        <f>chitiet!B2160</f>
        <v>Duplex 211</v>
      </c>
      <c r="B71" s="113" t="e">
        <f>IF(E71=0,"",COUNTIF($E$68:$E71,"&gt;0"))</f>
        <v>#NAME?</v>
      </c>
      <c r="C71" s="114" t="e">
        <f t="shared" si="3"/>
        <v>#NAME?</v>
      </c>
      <c r="D71" s="97" t="e">
        <f t="shared" si="4"/>
        <v>#NAME?</v>
      </c>
      <c r="E71" s="145" t="e">
        <f t="shared" si="5"/>
        <v>#NAME?</v>
      </c>
      <c r="F71" s="104"/>
      <c r="G71" s="112" t="e">
        <f>IF(E71&lt;&gt;0,1,0)</f>
        <v>#NAME?</v>
      </c>
      <c r="H71" s="104"/>
      <c r="I71" s="104"/>
      <c r="J71" s="104"/>
    </row>
    <row r="72" spans="1:10" s="1" customFormat="1" ht="13.8">
      <c r="A72" s="9" t="str">
        <f>chitiet!B2161</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chitiet!B2162</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chitiet!B2163</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19" t="str">
        <f>chitiet!B2164</f>
        <v>r2</v>
      </c>
      <c r="B75" s="113" t="e">
        <f>IF(E75=0,"",COUNTIF($E$68:$E75,"&gt;0"))</f>
        <v>#NAME?</v>
      </c>
      <c r="C75" s="114" t="e">
        <f t="shared" si="3"/>
        <v>#NAME?</v>
      </c>
      <c r="D75" s="97" t="e">
        <f t="shared" si="4"/>
        <v>#NAME?</v>
      </c>
      <c r="E75" s="145" t="e">
        <f t="shared" si="5"/>
        <v>#NAME?</v>
      </c>
      <c r="F75" s="104"/>
      <c r="G75" s="112" t="e">
        <f t="shared" si="0"/>
        <v>#NAME?</v>
      </c>
      <c r="H75" s="104"/>
      <c r="I75" s="104"/>
      <c r="J75" s="104"/>
    </row>
    <row r="76" spans="1:10" ht="13.8">
      <c r="A76" s="119" t="str">
        <f>chitiet!B2165</f>
        <v>r3</v>
      </c>
      <c r="B76" s="113" t="e">
        <f>IF(E76=0,"",COUNTIF($E$68:$E76,"&gt;0"))</f>
        <v>#NAME?</v>
      </c>
      <c r="C76" s="114" t="e">
        <f t="shared" si="3"/>
        <v>#NAME?</v>
      </c>
      <c r="D76" s="97" t="e">
        <f t="shared" si="4"/>
        <v>#NAME?</v>
      </c>
      <c r="E76" s="145" t="e">
        <f t="shared" si="5"/>
        <v>#NAME?</v>
      </c>
      <c r="F76" s="104"/>
      <c r="G76" s="112" t="e">
        <f t="shared" si="0"/>
        <v>#NAME?</v>
      </c>
      <c r="H76" s="104"/>
      <c r="I76" s="104"/>
      <c r="J76" s="104"/>
    </row>
    <row r="77" spans="1:10" ht="13.8">
      <c r="A77" s="119" t="str">
        <f>chitiet!B2166</f>
        <v>r4</v>
      </c>
      <c r="B77" s="113" t="e">
        <f>IF(E77=0,"",COUNTIF($E$68:$E77,"&gt;0"))</f>
        <v>#NAME?</v>
      </c>
      <c r="C77" s="114" t="e">
        <f t="shared" si="3"/>
        <v>#NAME?</v>
      </c>
      <c r="D77" s="97" t="e">
        <f t="shared" si="4"/>
        <v>#NAME?</v>
      </c>
      <c r="E77" s="145" t="e">
        <f t="shared" si="5"/>
        <v>#NAME?</v>
      </c>
      <c r="F77" s="104"/>
      <c r="G77" s="112" t="e">
        <f t="shared" si="0"/>
        <v>#NAME?</v>
      </c>
      <c r="H77" s="104"/>
      <c r="I77" s="104"/>
      <c r="J77" s="104"/>
    </row>
    <row r="78" spans="1:10" s="1" customFormat="1" ht="13.8">
      <c r="A78" s="9" t="str">
        <f>chitiet!B2168</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chitiet!B2169</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chitiet!B2170</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chitiet!B2171</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19" t="str">
        <f>chitiet!B2172</f>
        <v>ON50</v>
      </c>
      <c r="B82" s="113" t="e">
        <f>IF(E82=0,"",COUNTIF($E$68:$E82,"&gt;0"))</f>
        <v>#NAME?</v>
      </c>
      <c r="C82" s="114" t="e">
        <f t="shared" si="3"/>
        <v>#NAME?</v>
      </c>
      <c r="D82" s="97" t="e">
        <f t="shared" si="4"/>
        <v>#NAME?</v>
      </c>
      <c r="E82" s="145" t="e">
        <f t="shared" si="5"/>
        <v>#NAME?</v>
      </c>
      <c r="F82" s="104"/>
      <c r="G82" s="112" t="e">
        <f t="shared" si="0"/>
        <v>#NAME?</v>
      </c>
      <c r="H82" s="104"/>
      <c r="I82" s="104"/>
      <c r="J82" s="104"/>
    </row>
    <row r="83" spans="1:10" s="1" customFormat="1" ht="13.8">
      <c r="A83" s="9" t="str">
        <f>chitiet!B2173</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19" t="str">
        <f>chitiet!B2174</f>
        <v>bnh</v>
      </c>
      <c r="B84" s="113" t="e">
        <f>IF(E84=0,"",COUNTIF($E$68:$E84,"&gt;0"))</f>
        <v>#NAME?</v>
      </c>
      <c r="C84" s="114" t="e">
        <f t="shared" si="3"/>
        <v>#NAME?</v>
      </c>
      <c r="D84" s="97" t="e">
        <f t="shared" si="4"/>
        <v>#NAME?</v>
      </c>
      <c r="E84" s="145" t="e">
        <f t="shared" si="5"/>
        <v>#NAME?</v>
      </c>
      <c r="F84" s="104"/>
      <c r="G84" s="112" t="e">
        <f>IF(E84&lt;&gt;0,1,0)</f>
        <v>#NAME?</v>
      </c>
      <c r="H84" s="104"/>
      <c r="I84" s="104"/>
      <c r="J84" s="104"/>
    </row>
    <row r="85" spans="1:10" ht="13.8">
      <c r="A85" s="119" t="str">
        <f>chitiet!B2175</f>
        <v>DAYA</v>
      </c>
      <c r="B85" s="113" t="e">
        <f>IF(E85=0,"",COUNTIF($E$68:$E85,"&gt;0"))</f>
        <v>#NAME?</v>
      </c>
      <c r="C85" s="114" t="e">
        <f t="shared" si="3"/>
        <v>#NAME?</v>
      </c>
      <c r="D85" s="97" t="e">
        <f t="shared" si="4"/>
        <v>#NAME?</v>
      </c>
      <c r="E85" s="145" t="e">
        <f>VLOOKUP($A85,DSPKhthh,6,)</f>
        <v>#NAME?</v>
      </c>
      <c r="F85" s="104"/>
      <c r="G85" s="112" t="e">
        <f>IF(E85&lt;&gt;0,1,0)</f>
        <v>#NAME?</v>
      </c>
      <c r="H85" s="104"/>
      <c r="I85" s="104"/>
      <c r="J85" s="104"/>
    </row>
    <row r="86" spans="1:10" ht="13.8">
      <c r="A86" s="108"/>
      <c r="B86" s="146" t="s">
        <v>890</v>
      </c>
      <c r="C86" s="147"/>
      <c r="D86" s="147"/>
      <c r="E86" s="147"/>
      <c r="F86" s="104"/>
      <c r="G86" s="112">
        <v>1</v>
      </c>
      <c r="H86" s="104"/>
      <c r="I86" s="104"/>
      <c r="J86" s="104"/>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4"/>
      <c r="B94" s="104"/>
      <c r="C94" s="104"/>
      <c r="D94" s="104"/>
      <c r="E94" s="104"/>
      <c r="F94" s="104"/>
      <c r="G94" s="107"/>
      <c r="H94" s="104"/>
      <c r="I94" s="104"/>
      <c r="J94" s="104"/>
    </row>
    <row r="95" spans="1:10" ht="13.8">
      <c r="A95" s="104"/>
      <c r="B95" s="104"/>
      <c r="C95" s="104"/>
      <c r="D95" s="104"/>
      <c r="E95" s="104"/>
      <c r="F95" s="104"/>
      <c r="G95" s="107"/>
      <c r="H95" s="104"/>
      <c r="I95" s="104"/>
      <c r="J95" s="104"/>
    </row>
    <row r="96" spans="1:10" ht="13.8">
      <c r="A96" s="104"/>
      <c r="B96" s="104"/>
      <c r="C96" s="104"/>
      <c r="D96" s="104"/>
      <c r="E96" s="104"/>
      <c r="F96" s="104"/>
      <c r="G96" s="107"/>
      <c r="H96" s="104"/>
      <c r="I96" s="104"/>
      <c r="J96" s="104"/>
    </row>
    <row r="97" spans="1:10" ht="13.8">
      <c r="A97" s="104"/>
      <c r="B97" s="104"/>
      <c r="C97" s="104"/>
      <c r="D97" s="104"/>
      <c r="E97" s="104"/>
      <c r="F97" s="104"/>
      <c r="G97" s="107"/>
      <c r="H97" s="104"/>
      <c r="I97" s="104"/>
      <c r="J97" s="104"/>
    </row>
    <row r="98" spans="1:10" ht="13.8">
      <c r="A98" s="104"/>
      <c r="B98" s="104"/>
      <c r="C98" s="104"/>
      <c r="D98" s="104"/>
      <c r="E98" s="104"/>
      <c r="F98" s="104"/>
      <c r="G98" s="107"/>
      <c r="H98" s="104"/>
      <c r="I98" s="104"/>
      <c r="J98" s="104"/>
    </row>
    <row r="99" spans="1:10" ht="13.8">
      <c r="A99" s="104"/>
      <c r="B99" s="104"/>
      <c r="C99" s="104"/>
      <c r="D99" s="104"/>
      <c r="E99" s="104"/>
      <c r="F99" s="104"/>
      <c r="G99" s="107"/>
      <c r="H99" s="104"/>
      <c r="I99" s="104"/>
      <c r="J99" s="104"/>
    </row>
    <row r="100" spans="1:10" ht="13.8">
      <c r="A100" s="104"/>
      <c r="B100" s="104"/>
      <c r="C100" s="104"/>
      <c r="D100" s="104"/>
      <c r="E100" s="104"/>
      <c r="F100" s="104"/>
      <c r="G100" s="107"/>
      <c r="H100" s="104"/>
      <c r="I100" s="104"/>
      <c r="J100" s="104"/>
    </row>
    <row r="101" spans="1:10" ht="13.8">
      <c r="A101" s="104"/>
      <c r="B101" s="104"/>
      <c r="C101" s="104"/>
      <c r="D101" s="104"/>
      <c r="E101" s="104"/>
      <c r="F101" s="104"/>
      <c r="G101" s="107"/>
      <c r="H101" s="104"/>
      <c r="I101" s="104"/>
      <c r="J101" s="104"/>
    </row>
    <row r="114" spans="3:4">
      <c r="C114" s="134"/>
      <c r="D114" s="134"/>
    </row>
    <row r="115" spans="3:4">
      <c r="C115" s="134"/>
      <c r="D115" s="134"/>
    </row>
    <row r="116" spans="3:4">
      <c r="C116" s="134"/>
      <c r="D116" s="134"/>
    </row>
    <row r="117" spans="3:4">
      <c r="C117" s="134"/>
      <c r="D117" s="134"/>
    </row>
    <row r="118" spans="3:4">
      <c r="C118" s="134"/>
      <c r="D118" s="134"/>
    </row>
    <row r="119" spans="3:4">
      <c r="C119" s="134"/>
      <c r="D119" s="134"/>
    </row>
    <row r="120" spans="3:4">
      <c r="C120" s="134"/>
      <c r="D120" s="134"/>
    </row>
    <row r="121" spans="3:4">
      <c r="C121" s="134"/>
      <c r="D121" s="134"/>
    </row>
    <row r="122" spans="3:4">
      <c r="C122" s="134"/>
      <c r="D122" s="134"/>
    </row>
    <row r="123" spans="3:4">
      <c r="C123" s="134"/>
      <c r="D123" s="134"/>
    </row>
    <row r="124" spans="3:4">
      <c r="C124" s="134"/>
      <c r="D124" s="134"/>
    </row>
    <row r="125" spans="3:4">
      <c r="C125" s="134"/>
      <c r="D125" s="134"/>
    </row>
    <row r="126" spans="3:4">
      <c r="C126" s="134"/>
      <c r="D126" s="134"/>
    </row>
    <row r="127" spans="3:4">
      <c r="C127" s="134"/>
      <c r="D127" s="134"/>
    </row>
    <row r="128" spans="3:4">
      <c r="C128" s="134"/>
      <c r="D128" s="134"/>
    </row>
    <row r="129" spans="3:4">
      <c r="C129" s="134"/>
      <c r="D129" s="134"/>
    </row>
    <row r="130" spans="3:4">
      <c r="C130" s="134"/>
      <c r="D130" s="134"/>
    </row>
    <row r="131" spans="3:4">
      <c r="C131" s="134"/>
      <c r="D131" s="134"/>
    </row>
    <row r="132" spans="3:4">
      <c r="C132" s="134"/>
      <c r="D132" s="134"/>
    </row>
    <row r="133" spans="3:4">
      <c r="C133" s="134"/>
      <c r="D133" s="134"/>
    </row>
    <row r="134" spans="3:4">
      <c r="C134" s="134"/>
      <c r="D134" s="134"/>
    </row>
    <row r="135" spans="3:4">
      <c r="C135" s="134"/>
      <c r="D135" s="134"/>
    </row>
    <row r="136" spans="3:4">
      <c r="C136" s="134"/>
      <c r="D136" s="134"/>
    </row>
    <row r="137" spans="3:4">
      <c r="C137" s="134"/>
      <c r="D137" s="134"/>
    </row>
    <row r="138" spans="3:4">
      <c r="C138" s="134"/>
      <c r="D138" s="134"/>
    </row>
    <row r="139" spans="3:4">
      <c r="C139" s="134"/>
      <c r="D139" s="134"/>
    </row>
    <row r="140" spans="3:4">
      <c r="C140" s="134"/>
      <c r="D140" s="134"/>
    </row>
    <row r="141" spans="3:4">
      <c r="C141" s="134"/>
      <c r="D141" s="134"/>
    </row>
    <row r="142" spans="3:4">
      <c r="C142" s="134"/>
      <c r="D142" s="134"/>
    </row>
    <row r="143" spans="3:4">
      <c r="C143" s="134"/>
      <c r="D143" s="134"/>
    </row>
    <row r="144" spans="3:4">
      <c r="C144" s="134"/>
      <c r="D144" s="134"/>
    </row>
    <row r="145" spans="3:4">
      <c r="C145" s="134"/>
      <c r="D145" s="134"/>
    </row>
    <row r="146" spans="3:4">
      <c r="C146" s="134"/>
      <c r="D146" s="134"/>
    </row>
    <row r="147" spans="3:4">
      <c r="C147" s="134"/>
      <c r="D147" s="134"/>
    </row>
    <row r="148" spans="3:4">
      <c r="C148" s="134"/>
      <c r="D148" s="134"/>
    </row>
    <row r="149" spans="3:4">
      <c r="C149" s="134"/>
      <c r="D149" s="134"/>
    </row>
    <row r="150" spans="3:4">
      <c r="C150" s="134"/>
      <c r="D150" s="134"/>
    </row>
    <row r="151" spans="3:4">
      <c r="C151" s="134"/>
      <c r="D151" s="134"/>
    </row>
    <row r="152" spans="3:4">
      <c r="C152" s="134"/>
      <c r="D152" s="134"/>
    </row>
    <row r="153" spans="3:4">
      <c r="C153" s="134"/>
      <c r="D153" s="134"/>
    </row>
    <row r="154" spans="3:4">
      <c r="C154" s="134"/>
      <c r="D154" s="134"/>
    </row>
    <row r="155" spans="3:4">
      <c r="C155" s="134"/>
      <c r="D155" s="134"/>
    </row>
    <row r="156" spans="3:4">
      <c r="C156" s="134"/>
      <c r="D156" s="134"/>
    </row>
    <row r="157" spans="3:4">
      <c r="C157" s="134"/>
      <c r="D157" s="134"/>
    </row>
    <row r="158" spans="3:4">
      <c r="C158" s="134"/>
      <c r="D158" s="134"/>
    </row>
    <row r="159" spans="3:4">
      <c r="C159" s="134"/>
      <c r="D159" s="134"/>
    </row>
    <row r="160" spans="3:4">
      <c r="C160" s="134"/>
      <c r="D160" s="134"/>
    </row>
    <row r="161" spans="3:4">
      <c r="C161" s="134"/>
      <c r="D161" s="134"/>
    </row>
    <row r="162" spans="3:4">
      <c r="C162" s="134"/>
      <c r="D162" s="134"/>
    </row>
    <row r="163" spans="3:4">
      <c r="C163" s="134"/>
      <c r="D163" s="134"/>
    </row>
    <row r="164" spans="3:4">
      <c r="C164" s="134"/>
      <c r="D164" s="13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sheetData>
  <autoFilter ref="G9:G93" xr:uid="{00000000-0009-0000-0000-00000A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69" customWidth="1"/>
    <col min="2" max="2" width="5.36328125" style="170" customWidth="1"/>
    <col min="3" max="3" width="8.453125" style="170" customWidth="1"/>
    <col min="4" max="4" width="8.453125" style="170" hidden="1" customWidth="1"/>
    <col min="5" max="9" width="6.1796875" style="170" hidden="1" customWidth="1"/>
    <col min="10" max="10" width="6.1796875" style="169" hidden="1" customWidth="1"/>
    <col min="11" max="11" width="4.1796875" style="169" hidden="1" customWidth="1"/>
    <col min="12" max="12" width="4.81640625" style="169" hidden="1" customWidth="1"/>
    <col min="13" max="13" width="6.90625" style="391" customWidth="1"/>
    <col min="14" max="14" width="4.1796875" style="169" hidden="1" customWidth="1"/>
    <col min="15" max="16" width="4.453125" style="169" hidden="1" customWidth="1"/>
    <col min="17" max="20" width="3.81640625" style="169" hidden="1" customWidth="1"/>
    <col min="21" max="21" width="3.81640625" style="169" customWidth="1"/>
    <col min="22" max="23" width="3.453125" style="169" hidden="1" customWidth="1"/>
    <col min="24" max="25" width="4.36328125" style="169" hidden="1" customWidth="1"/>
    <col min="26" max="43" width="4.453125" style="169" hidden="1" customWidth="1"/>
    <col min="44" max="44" width="5.1796875" style="169" hidden="1" customWidth="1"/>
    <col min="45" max="52" width="3.453125" style="169" hidden="1" customWidth="1"/>
    <col min="53" max="53" width="4.08984375" style="169" hidden="1" customWidth="1"/>
    <col min="54" max="54" width="3.453125" style="169" hidden="1" customWidth="1"/>
    <col min="55" max="55" width="3.81640625" style="169" hidden="1" customWidth="1"/>
    <col min="56" max="56" width="4.08984375" style="169" hidden="1" customWidth="1"/>
    <col min="57" max="59" width="4.453125" style="169" hidden="1" customWidth="1"/>
    <col min="60" max="60" width="4.453125" style="169" customWidth="1"/>
    <col min="61" max="61" width="3.453125" style="169" hidden="1" customWidth="1"/>
    <col min="62" max="62" width="4.08984375" style="169" hidden="1" customWidth="1"/>
    <col min="63" max="67" width="3.453125" style="169" hidden="1" customWidth="1"/>
    <col min="68" max="68" width="4.81640625" style="169" hidden="1" customWidth="1"/>
    <col min="69" max="69" width="4.453125" style="169" hidden="1" customWidth="1"/>
    <col min="70" max="70" width="4.453125" style="169" customWidth="1"/>
    <col min="71" max="72" width="4.453125" style="169" hidden="1" customWidth="1"/>
    <col min="73" max="81" width="3.453125" style="169" hidden="1" customWidth="1"/>
    <col min="82" max="82" width="4.453125" style="169" hidden="1" customWidth="1"/>
    <col min="83" max="83" width="4.1796875" style="169" hidden="1" customWidth="1"/>
    <col min="84" max="84" width="4.453125" style="169" hidden="1" customWidth="1"/>
    <col min="85" max="86" width="3.453125" style="169" hidden="1" customWidth="1"/>
    <col min="87" max="87" width="3.81640625" style="169" hidden="1" customWidth="1"/>
    <col min="88" max="88" width="3.453125" style="169" customWidth="1"/>
    <col min="89" max="89" width="3.90625" style="169" customWidth="1"/>
    <col min="90" max="90" width="3.453125" style="169" customWidth="1"/>
    <col min="91" max="97" width="3.453125" style="169" hidden="1" customWidth="1"/>
    <col min="98" max="98" width="3.453125" style="169" customWidth="1"/>
    <col min="99" max="109" width="3.453125" style="169" hidden="1" customWidth="1"/>
    <col min="110" max="110" width="4.453125" style="169" hidden="1" customWidth="1"/>
    <col min="111" max="111" width="3.90625" style="169" hidden="1" customWidth="1"/>
    <col min="112" max="112" width="3.81640625" style="169" customWidth="1"/>
    <col min="113" max="113" width="3.90625" style="169" hidden="1" customWidth="1"/>
    <col min="114" max="114" width="4.36328125" style="169" customWidth="1"/>
    <col min="115" max="115" width="3.81640625" style="169" hidden="1" customWidth="1"/>
    <col min="116" max="117" width="3.90625" style="169" hidden="1" customWidth="1"/>
    <col min="118" max="118" width="3.453125" style="169" hidden="1" customWidth="1"/>
    <col min="119" max="119" width="3.90625" style="169" hidden="1" customWidth="1"/>
    <col min="120" max="120" width="3.90625" style="169" customWidth="1"/>
    <col min="121" max="121" width="3.81640625" style="169" customWidth="1"/>
    <col min="122" max="122" width="3.90625" style="169" customWidth="1"/>
    <col min="123" max="123" width="3.81640625" style="169" customWidth="1"/>
    <col min="124" max="126" width="3.81640625" style="169" hidden="1" customWidth="1"/>
    <col min="127" max="137" width="3.453125" style="169" hidden="1" customWidth="1"/>
    <col min="138" max="138" width="3.453125" style="169" customWidth="1"/>
    <col min="139" max="142" width="3.453125" style="169" hidden="1" customWidth="1"/>
    <col min="143" max="143" width="3.36328125" style="169" hidden="1" customWidth="1"/>
    <col min="144" max="157" width="3.453125" style="169" hidden="1" customWidth="1"/>
    <col min="158" max="158" width="3.90625" style="169" hidden="1" customWidth="1"/>
    <col min="159" max="159" width="4.08984375" style="169" hidden="1" customWidth="1"/>
    <col min="160" max="160" width="3.90625" style="169" customWidth="1"/>
    <col min="161" max="161" width="3.90625" style="169" hidden="1" customWidth="1"/>
    <col min="162" max="162" width="4.08984375" style="169" hidden="1" customWidth="1"/>
    <col min="163" max="165" width="3.453125" style="169" hidden="1" customWidth="1"/>
    <col min="166" max="167" width="4.1796875" style="169" hidden="1" customWidth="1"/>
    <col min="168" max="168" width="5.90625" style="169" customWidth="1"/>
    <col min="169" max="170" width="4.08984375" style="169" hidden="1" customWidth="1"/>
    <col min="171" max="171" width="3.453125" style="169" customWidth="1"/>
    <col min="172" max="172" width="3.453125" style="169" hidden="1" customWidth="1"/>
    <col min="173" max="173" width="3.81640625" style="169" hidden="1" customWidth="1"/>
    <col min="174" max="174" width="3.453125" style="169" hidden="1" customWidth="1"/>
    <col min="175" max="175" width="3.453125" style="169" customWidth="1"/>
    <col min="176" max="184" width="3.453125" style="169" hidden="1" customWidth="1"/>
    <col min="185" max="185" width="3.81640625" style="169" hidden="1" customWidth="1"/>
    <col min="186" max="186" width="3.81640625" style="169" customWidth="1"/>
    <col min="187" max="188" width="4.453125" style="169" hidden="1" customWidth="1"/>
    <col min="189" max="201" width="3.453125" style="169" hidden="1" customWidth="1"/>
    <col min="202" max="202" width="3.1796875" style="169" hidden="1" customWidth="1"/>
    <col min="203" max="203" width="7.08984375" style="169" customWidth="1"/>
    <col min="204" max="16384" width="8.90625" style="169"/>
  </cols>
  <sheetData>
    <row r="1" spans="1:256" ht="13.8">
      <c r="M1" s="171"/>
    </row>
    <row r="2" spans="1:256" s="174" customFormat="1" ht="13.8">
      <c r="A2" s="148" t="s">
        <v>3783</v>
      </c>
      <c r="B2" s="172"/>
      <c r="C2" s="172"/>
      <c r="D2" s="172"/>
      <c r="E2" s="172"/>
      <c r="F2" s="172"/>
      <c r="G2" s="172"/>
      <c r="H2" s="172"/>
      <c r="I2" s="172"/>
      <c r="J2" s="148"/>
      <c r="K2" s="148"/>
      <c r="L2" s="148"/>
      <c r="M2" s="173"/>
      <c r="N2" s="148"/>
      <c r="O2" s="148"/>
      <c r="P2" s="148"/>
      <c r="Q2" s="148"/>
      <c r="R2" s="148"/>
      <c r="S2" s="148"/>
      <c r="T2" s="148"/>
      <c r="U2" s="148"/>
      <c r="V2" s="148"/>
      <c r="W2" s="148"/>
      <c r="X2" s="148"/>
      <c r="Y2" s="148"/>
      <c r="Z2" s="148"/>
      <c r="AA2" s="148"/>
      <c r="AB2" s="148"/>
      <c r="AC2" s="148"/>
      <c r="AD2" s="148"/>
      <c r="AE2" s="148"/>
      <c r="AF2" s="148"/>
      <c r="AG2" s="148"/>
      <c r="AH2" s="148"/>
      <c r="AI2" s="148"/>
      <c r="AJ2" s="148"/>
      <c r="AK2" s="148"/>
      <c r="AL2" s="148"/>
      <c r="AM2" s="148"/>
      <c r="AN2" s="148"/>
      <c r="AO2" s="148"/>
      <c r="AP2" s="148"/>
      <c r="AQ2" s="148"/>
      <c r="AR2" s="148"/>
      <c r="AS2" s="148"/>
      <c r="AT2" s="148"/>
      <c r="AU2" s="148"/>
      <c r="AV2" s="148"/>
      <c r="AW2" s="148"/>
      <c r="AX2" s="148"/>
      <c r="AY2" s="148"/>
      <c r="AZ2" s="148"/>
      <c r="BA2" s="148"/>
      <c r="BB2" s="148"/>
      <c r="BC2" s="148"/>
      <c r="BD2" s="148"/>
      <c r="BE2" s="148"/>
      <c r="BF2" s="148"/>
      <c r="BG2" s="148"/>
      <c r="BH2" s="148"/>
      <c r="BI2" s="148"/>
      <c r="BJ2" s="148"/>
      <c r="BK2" s="148"/>
      <c r="BL2" s="148"/>
      <c r="BM2" s="148"/>
      <c r="BN2" s="148"/>
      <c r="BO2" s="148"/>
      <c r="BP2" s="148"/>
      <c r="BQ2" s="148"/>
      <c r="BR2" s="148"/>
      <c r="BS2" s="148"/>
      <c r="BT2" s="148"/>
      <c r="BU2" s="148"/>
      <c r="BV2" s="148"/>
      <c r="BW2" s="148"/>
      <c r="BX2" s="148"/>
      <c r="BY2" s="148"/>
      <c r="BZ2" s="148"/>
      <c r="CA2" s="148"/>
      <c r="CB2" s="148"/>
      <c r="CC2" s="148"/>
      <c r="CD2" s="148"/>
      <c r="CE2" s="148"/>
      <c r="CF2" s="148"/>
      <c r="CG2" s="148"/>
      <c r="CH2" s="148"/>
      <c r="CI2" s="148"/>
      <c r="CJ2" s="148"/>
      <c r="CK2" s="148"/>
      <c r="CL2" s="148"/>
      <c r="CM2" s="148"/>
      <c r="CN2" s="148"/>
      <c r="CO2" s="148"/>
      <c r="CP2" s="148"/>
      <c r="CQ2" s="148"/>
      <c r="CR2" s="148"/>
      <c r="CS2" s="148"/>
      <c r="CT2" s="148"/>
      <c r="CU2" s="148"/>
      <c r="CV2" s="148"/>
      <c r="CW2" s="148"/>
      <c r="CX2" s="148"/>
      <c r="CY2" s="148"/>
      <c r="CZ2" s="148"/>
      <c r="DA2" s="148"/>
      <c r="DB2" s="148"/>
      <c r="DC2" s="148"/>
      <c r="DD2" s="148"/>
      <c r="DE2" s="148"/>
      <c r="DF2" s="148"/>
      <c r="DG2" s="148"/>
      <c r="DH2" s="148"/>
      <c r="DI2" s="148"/>
      <c r="DJ2" s="148"/>
      <c r="DK2" s="148"/>
      <c r="DL2" s="148"/>
      <c r="DM2" s="148"/>
      <c r="DN2" s="148"/>
      <c r="DO2" s="148"/>
      <c r="DP2" s="148"/>
      <c r="DQ2" s="148"/>
      <c r="DR2" s="148"/>
      <c r="DS2" s="148"/>
      <c r="DT2" s="148"/>
      <c r="DU2" s="148"/>
      <c r="DV2" s="148"/>
      <c r="DW2" s="148"/>
      <c r="DX2" s="148"/>
      <c r="DY2" s="148"/>
      <c r="DZ2" s="148"/>
      <c r="EA2" s="148"/>
      <c r="EB2" s="148"/>
      <c r="EC2" s="148"/>
      <c r="ED2" s="148"/>
      <c r="EE2" s="148"/>
      <c r="EF2" s="148"/>
      <c r="EG2" s="148"/>
      <c r="EH2" s="148"/>
      <c r="EI2" s="148"/>
      <c r="EJ2" s="148"/>
      <c r="EK2" s="148"/>
      <c r="EL2" s="148"/>
      <c r="EM2" s="148"/>
      <c r="EN2" s="148"/>
      <c r="EO2" s="148"/>
      <c r="EP2" s="148"/>
      <c r="EQ2" s="148"/>
      <c r="ER2" s="148"/>
      <c r="ES2" s="148"/>
      <c r="ET2" s="148"/>
      <c r="EU2" s="148"/>
      <c r="EV2" s="148"/>
      <c r="EW2" s="148"/>
      <c r="EX2" s="148"/>
      <c r="EY2" s="148"/>
      <c r="EZ2" s="148"/>
      <c r="FA2" s="148"/>
      <c r="FB2" s="148"/>
      <c r="FC2" s="148"/>
      <c r="FD2" s="148"/>
      <c r="FE2" s="148"/>
      <c r="FF2" s="148"/>
      <c r="FG2" s="148"/>
      <c r="FH2" s="148"/>
      <c r="FI2" s="148"/>
      <c r="FJ2" s="148"/>
      <c r="FK2" s="148"/>
      <c r="FL2" s="148"/>
      <c r="FM2" s="148"/>
      <c r="FN2" s="148"/>
      <c r="FO2" s="148"/>
      <c r="FP2" s="148"/>
      <c r="FQ2" s="148"/>
      <c r="FR2" s="148"/>
      <c r="FS2" s="148"/>
      <c r="FT2" s="148"/>
      <c r="FU2" s="148"/>
      <c r="FV2" s="148"/>
      <c r="FW2" s="148"/>
      <c r="FX2" s="148"/>
      <c r="FY2" s="148"/>
      <c r="FZ2" s="148"/>
      <c r="GA2" s="148"/>
      <c r="GB2" s="148"/>
      <c r="GC2" s="148"/>
      <c r="GD2" s="148"/>
      <c r="GE2" s="148"/>
      <c r="GF2" s="148"/>
      <c r="GG2" s="148"/>
      <c r="GH2" s="148"/>
      <c r="GI2" s="148"/>
      <c r="GJ2" s="148"/>
      <c r="GK2" s="148"/>
      <c r="GL2" s="148"/>
      <c r="GM2" s="148"/>
      <c r="GN2" s="148"/>
      <c r="GO2" s="148"/>
      <c r="GP2" s="148"/>
      <c r="GQ2" s="148"/>
      <c r="GR2" s="148"/>
      <c r="GS2" s="148"/>
      <c r="GT2" s="148"/>
      <c r="GU2" s="148"/>
    </row>
    <row r="3" spans="1:256" s="174" customFormat="1" ht="38.25" customHeight="1" thickBot="1">
      <c r="B3" s="988" t="str">
        <f>"Công trình: "&amp;WORD!S2</f>
        <v xml:space="preserve">Công trình: </v>
      </c>
      <c r="C3" s="989"/>
      <c r="D3" s="172"/>
      <c r="E3" s="172"/>
      <c r="F3" s="172"/>
      <c r="G3" s="172"/>
      <c r="H3" s="172"/>
      <c r="I3" s="172"/>
      <c r="J3" s="148"/>
      <c r="K3" s="148"/>
      <c r="L3" s="148"/>
      <c r="M3" s="990"/>
      <c r="N3" s="148"/>
      <c r="O3" s="148"/>
      <c r="P3" s="148"/>
      <c r="Q3" s="148"/>
      <c r="R3" s="148"/>
      <c r="S3" s="148"/>
      <c r="T3" s="148"/>
      <c r="U3" s="991"/>
      <c r="V3" s="148"/>
      <c r="W3" s="148"/>
      <c r="X3" s="148"/>
      <c r="Y3" s="148"/>
      <c r="Z3" s="148"/>
      <c r="AA3" s="148"/>
      <c r="AB3" s="148"/>
      <c r="AC3" s="148"/>
      <c r="AD3" s="148"/>
      <c r="AE3" s="148"/>
      <c r="AF3" s="148"/>
      <c r="AG3" s="148"/>
      <c r="AH3" s="148"/>
      <c r="AI3" s="148"/>
      <c r="AJ3" s="148"/>
      <c r="AK3" s="148"/>
      <c r="AL3" s="148"/>
      <c r="AM3" s="148"/>
      <c r="AN3" s="148"/>
      <c r="AO3" s="148"/>
      <c r="AP3" s="148"/>
      <c r="AQ3" s="148"/>
      <c r="AR3" s="148"/>
      <c r="AS3" s="148"/>
      <c r="AT3" s="148"/>
      <c r="AU3" s="148"/>
      <c r="AV3" s="148"/>
      <c r="AW3" s="148"/>
      <c r="AX3" s="148"/>
      <c r="AY3" s="148"/>
      <c r="AZ3" s="148"/>
      <c r="BA3" s="148"/>
      <c r="BB3" s="148"/>
      <c r="BC3" s="148"/>
      <c r="BD3" s="148"/>
      <c r="BE3" s="148"/>
      <c r="BF3" s="148"/>
      <c r="BG3" s="148"/>
      <c r="BH3" s="991"/>
      <c r="BI3" s="148"/>
      <c r="BJ3" s="148"/>
      <c r="BK3" s="148"/>
      <c r="BL3" s="148"/>
      <c r="BM3" s="148"/>
      <c r="BN3" s="148"/>
      <c r="BO3" s="148"/>
      <c r="BP3" s="148"/>
      <c r="BQ3" s="148"/>
      <c r="BR3" s="991"/>
      <c r="BS3" s="148"/>
      <c r="BT3" s="148"/>
      <c r="BU3" s="148"/>
      <c r="BV3" s="148"/>
      <c r="BW3" s="148"/>
      <c r="BX3" s="148"/>
      <c r="BY3" s="148"/>
      <c r="BZ3" s="148"/>
      <c r="CA3" s="148"/>
      <c r="CB3" s="148"/>
      <c r="CC3" s="148"/>
      <c r="CD3" s="148"/>
      <c r="CE3" s="148"/>
      <c r="CF3" s="148"/>
      <c r="CG3" s="148"/>
      <c r="CH3" s="148"/>
      <c r="CI3" s="148"/>
      <c r="CJ3" s="991"/>
      <c r="CK3" s="991"/>
      <c r="CL3" s="991"/>
      <c r="CM3" s="148"/>
      <c r="CN3" s="148"/>
      <c r="CO3" s="148"/>
      <c r="CP3" s="148"/>
      <c r="CQ3" s="148"/>
      <c r="CR3" s="148"/>
      <c r="CS3" s="148"/>
      <c r="CT3" s="991"/>
      <c r="CU3" s="148"/>
      <c r="CV3" s="148"/>
      <c r="CW3" s="148"/>
      <c r="CX3" s="148"/>
      <c r="CY3" s="148"/>
      <c r="CZ3" s="148"/>
      <c r="DA3" s="148"/>
      <c r="DB3" s="148"/>
      <c r="DC3" s="148"/>
      <c r="DD3" s="148"/>
      <c r="DE3" s="148"/>
      <c r="DF3" s="148"/>
      <c r="DG3" s="148"/>
      <c r="DH3" s="991"/>
      <c r="DI3" s="148"/>
      <c r="DJ3" s="991"/>
      <c r="DK3" s="148"/>
      <c r="DL3" s="148"/>
      <c r="DM3" s="148"/>
      <c r="DN3" s="148"/>
      <c r="DO3" s="148"/>
      <c r="DP3" s="991"/>
      <c r="DQ3" s="991"/>
      <c r="DR3" s="991"/>
      <c r="DS3" s="991"/>
      <c r="DT3" s="148"/>
      <c r="DU3" s="148"/>
      <c r="DV3" s="148"/>
      <c r="DW3" s="148"/>
      <c r="DX3" s="148"/>
      <c r="DY3" s="148"/>
      <c r="DZ3" s="148"/>
      <c r="EA3" s="148"/>
      <c r="EB3" s="148"/>
      <c r="EC3" s="148"/>
      <c r="ED3" s="148"/>
      <c r="EE3" s="148"/>
      <c r="EF3" s="148"/>
      <c r="EG3" s="148"/>
      <c r="EH3" s="991"/>
      <c r="EI3" s="148"/>
      <c r="EJ3" s="148"/>
      <c r="EK3" s="148"/>
      <c r="EL3" s="148"/>
      <c r="EM3" s="148"/>
      <c r="EN3" s="148"/>
      <c r="EO3" s="148"/>
      <c r="EP3" s="148"/>
      <c r="EQ3" s="148"/>
      <c r="ER3" s="148"/>
      <c r="ES3" s="148"/>
      <c r="ET3" s="148"/>
      <c r="EU3" s="148"/>
      <c r="EV3" s="148"/>
      <c r="EW3" s="148"/>
      <c r="EX3" s="148"/>
      <c r="EY3" s="148"/>
      <c r="EZ3" s="148"/>
      <c r="FA3" s="148"/>
      <c r="FB3" s="148"/>
      <c r="FC3" s="148"/>
      <c r="FD3" s="991"/>
      <c r="FE3" s="148"/>
      <c r="FF3" s="148"/>
      <c r="FG3" s="148"/>
      <c r="FH3" s="148"/>
      <c r="FI3" s="148"/>
      <c r="FJ3" s="148"/>
      <c r="FK3" s="148"/>
      <c r="FL3" s="991"/>
      <c r="FM3" s="148"/>
      <c r="FN3" s="148"/>
      <c r="FO3" s="991"/>
      <c r="FP3" s="148"/>
      <c r="FQ3" s="148"/>
      <c r="FR3" s="148"/>
      <c r="FS3" s="991"/>
      <c r="FT3" s="148"/>
      <c r="FU3" s="148"/>
      <c r="FV3" s="148"/>
      <c r="FW3" s="148"/>
      <c r="FX3" s="148"/>
      <c r="FY3" s="148"/>
      <c r="FZ3" s="148"/>
      <c r="GA3" s="148"/>
      <c r="GB3" s="148"/>
      <c r="GC3" s="148"/>
      <c r="GD3" s="991"/>
      <c r="GE3" s="148"/>
      <c r="GF3" s="148"/>
      <c r="GG3" s="148"/>
      <c r="GH3" s="148"/>
      <c r="GI3" s="148"/>
      <c r="GJ3" s="148"/>
      <c r="GK3" s="148"/>
      <c r="GL3" s="148"/>
      <c r="GM3" s="148"/>
      <c r="GN3" s="148"/>
      <c r="GO3" s="148"/>
      <c r="GP3" s="148"/>
      <c r="GQ3" s="148"/>
      <c r="GR3" s="148"/>
      <c r="GS3" s="148"/>
      <c r="GT3" s="148"/>
      <c r="GU3" s="148"/>
    </row>
    <row r="4" spans="1:256" s="179" customFormat="1" ht="16.5" customHeight="1" thickTop="1">
      <c r="A4" s="2971" t="s">
        <v>3784</v>
      </c>
      <c r="B4" s="2959" t="s">
        <v>3785</v>
      </c>
      <c r="C4" s="2959" t="s">
        <v>4426</v>
      </c>
      <c r="D4" s="2959" t="s">
        <v>3786</v>
      </c>
      <c r="E4" s="2959" t="s">
        <v>3787</v>
      </c>
      <c r="F4" s="2959" t="s">
        <v>3788</v>
      </c>
      <c r="G4" s="2959" t="s">
        <v>3789</v>
      </c>
      <c r="H4" s="2959" t="s">
        <v>3790</v>
      </c>
      <c r="I4" s="2959" t="s">
        <v>3791</v>
      </c>
      <c r="J4" s="2961" t="s">
        <v>3792</v>
      </c>
      <c r="K4" s="2961" t="s">
        <v>3793</v>
      </c>
      <c r="L4" s="2961" t="s">
        <v>3794</v>
      </c>
      <c r="M4" s="2978" t="s">
        <v>3795</v>
      </c>
      <c r="N4" s="149" t="s">
        <v>2283</v>
      </c>
      <c r="O4" s="175"/>
      <c r="P4" s="175"/>
      <c r="Q4" s="175"/>
      <c r="R4" s="175"/>
      <c r="S4" s="175"/>
      <c r="T4" s="175"/>
      <c r="U4" s="175"/>
      <c r="V4" s="175"/>
      <c r="W4" s="176"/>
      <c r="X4" s="149" t="s">
        <v>3796</v>
      </c>
      <c r="Y4" s="175"/>
      <c r="Z4" s="175"/>
      <c r="AA4" s="175"/>
      <c r="AB4" s="175"/>
      <c r="AC4" s="175"/>
      <c r="AD4" s="175"/>
      <c r="AE4" s="175"/>
      <c r="AF4" s="175"/>
      <c r="AG4" s="175"/>
      <c r="AH4" s="175"/>
      <c r="AI4" s="175"/>
      <c r="AJ4" s="175"/>
      <c r="AK4" s="175"/>
      <c r="AL4" s="175"/>
      <c r="AM4" s="175"/>
      <c r="AN4" s="175"/>
      <c r="AO4" s="175"/>
      <c r="AP4" s="175"/>
      <c r="AQ4" s="175"/>
      <c r="AR4" s="175"/>
      <c r="AS4" s="175"/>
      <c r="AT4" s="175"/>
      <c r="AU4" s="175"/>
      <c r="AV4" s="175"/>
      <c r="AW4" s="175"/>
      <c r="AX4" s="175"/>
      <c r="AY4" s="175"/>
      <c r="AZ4" s="175"/>
      <c r="BA4" s="176"/>
      <c r="BB4" s="149" t="s">
        <v>3797</v>
      </c>
      <c r="BC4" s="175"/>
      <c r="BD4" s="175"/>
      <c r="BE4" s="175"/>
      <c r="BF4" s="175"/>
      <c r="BG4" s="175"/>
      <c r="BH4" s="175"/>
      <c r="BI4" s="175"/>
      <c r="BJ4" s="175"/>
      <c r="BK4" s="175"/>
      <c r="BL4" s="175"/>
      <c r="BM4" s="175"/>
      <c r="BN4" s="175"/>
      <c r="BO4" s="175"/>
      <c r="BP4" s="176"/>
      <c r="BQ4" s="2986" t="s">
        <v>3798</v>
      </c>
      <c r="BR4" s="2987"/>
      <c r="BS4" s="2987"/>
      <c r="BT4" s="2987"/>
      <c r="BU4" s="2987"/>
      <c r="BV4" s="2987"/>
      <c r="BW4" s="2987"/>
      <c r="BX4" s="2987"/>
      <c r="BY4" s="2987"/>
      <c r="BZ4" s="2987"/>
      <c r="CA4" s="2987"/>
      <c r="CB4" s="2988"/>
      <c r="CC4" s="2963" t="s">
        <v>2393</v>
      </c>
      <c r="CD4" s="2963" t="s">
        <v>2396</v>
      </c>
      <c r="CE4" s="2963" t="s">
        <v>2399</v>
      </c>
      <c r="CF4" s="2963" t="s">
        <v>2398</v>
      </c>
      <c r="CG4" s="2963" t="s">
        <v>2400</v>
      </c>
      <c r="CH4" s="2963" t="s">
        <v>2401</v>
      </c>
      <c r="CI4" s="150" t="s">
        <v>3799</v>
      </c>
      <c r="CJ4" s="177"/>
      <c r="CK4" s="177"/>
      <c r="CL4" s="177"/>
      <c r="CM4" s="178"/>
      <c r="CN4" s="178"/>
      <c r="CO4" s="178"/>
      <c r="CP4" s="178"/>
      <c r="CQ4" s="178"/>
      <c r="CR4" s="178"/>
      <c r="CS4" s="178"/>
      <c r="CT4" s="178"/>
      <c r="CU4" s="178"/>
      <c r="CV4" s="178"/>
      <c r="CW4" s="178"/>
      <c r="CX4" s="178"/>
      <c r="CY4" s="178"/>
      <c r="CZ4" s="178"/>
      <c r="DA4" s="178"/>
      <c r="DB4" s="178"/>
      <c r="DC4" s="178"/>
      <c r="DD4" s="178"/>
      <c r="DE4" s="178"/>
      <c r="DF4" s="2967" t="s">
        <v>3800</v>
      </c>
      <c r="DG4" s="2967" t="s">
        <v>3801</v>
      </c>
      <c r="DH4" s="2965" t="s">
        <v>3802</v>
      </c>
      <c r="DI4" s="2965" t="s">
        <v>3803</v>
      </c>
      <c r="DJ4" s="2965" t="s">
        <v>3804</v>
      </c>
      <c r="DK4" s="2965" t="s">
        <v>3805</v>
      </c>
      <c r="DL4" s="2965" t="s">
        <v>3806</v>
      </c>
      <c r="DM4" s="2965" t="s">
        <v>3807</v>
      </c>
      <c r="DN4" s="2965" t="s">
        <v>3808</v>
      </c>
      <c r="DO4" s="2965" t="s">
        <v>3809</v>
      </c>
      <c r="DP4" s="2965" t="s">
        <v>3810</v>
      </c>
      <c r="DQ4" s="2976" t="s">
        <v>1737</v>
      </c>
      <c r="DR4" s="2965" t="s">
        <v>3811</v>
      </c>
      <c r="DS4" s="2976" t="s">
        <v>4113</v>
      </c>
      <c r="DT4" s="2976" t="s">
        <v>3813</v>
      </c>
      <c r="DU4" s="2976" t="s">
        <v>3814</v>
      </c>
      <c r="DV4" s="2976" t="s">
        <v>3815</v>
      </c>
      <c r="DW4" s="2976" t="s">
        <v>3816</v>
      </c>
      <c r="DX4" s="2976" t="s">
        <v>3817</v>
      </c>
      <c r="DY4" s="2976" t="s">
        <v>3818</v>
      </c>
      <c r="DZ4" s="2976" t="s">
        <v>3819</v>
      </c>
      <c r="EA4" s="2976" t="s">
        <v>3820</v>
      </c>
      <c r="EB4" s="2976" t="s">
        <v>3821</v>
      </c>
      <c r="EC4" s="2976" t="s">
        <v>3822</v>
      </c>
      <c r="ED4" s="3005" t="s">
        <v>788</v>
      </c>
      <c r="EE4" s="2979" t="s">
        <v>1408</v>
      </c>
      <c r="EF4" s="2979" t="s">
        <v>1378</v>
      </c>
      <c r="EG4" s="2973" t="s">
        <v>675</v>
      </c>
      <c r="EH4" s="2973" t="s">
        <v>1902</v>
      </c>
      <c r="EI4" s="2973" t="s">
        <v>1129</v>
      </c>
      <c r="EJ4" s="2973" t="s">
        <v>1925</v>
      </c>
      <c r="EK4" s="2973" t="s">
        <v>394</v>
      </c>
      <c r="EL4" s="2973" t="s">
        <v>1916</v>
      </c>
      <c r="EM4" s="2973" t="s">
        <v>630</v>
      </c>
      <c r="EN4" s="2973" t="s">
        <v>629</v>
      </c>
      <c r="EO4" s="2973" t="s">
        <v>631</v>
      </c>
      <c r="EP4" s="2981" t="s">
        <v>3823</v>
      </c>
      <c r="EQ4" s="2981" t="s">
        <v>3824</v>
      </c>
      <c r="ER4" s="2981" t="s">
        <v>3825</v>
      </c>
      <c r="ES4" s="2981" t="s">
        <v>3826</v>
      </c>
      <c r="ET4" s="2963" t="s">
        <v>3827</v>
      </c>
      <c r="EU4" s="2963" t="s">
        <v>3828</v>
      </c>
      <c r="EV4" s="2963" t="s">
        <v>3829</v>
      </c>
      <c r="EW4" s="2963" t="s">
        <v>3830</v>
      </c>
      <c r="EX4" s="2963" t="s">
        <v>3831</v>
      </c>
      <c r="EY4" s="2963" t="s">
        <v>3832</v>
      </c>
      <c r="EZ4" s="2963" t="s">
        <v>3833</v>
      </c>
      <c r="FA4" s="2963" t="s">
        <v>3834</v>
      </c>
      <c r="FB4" s="2981" t="s">
        <v>3835</v>
      </c>
      <c r="FC4" s="2981" t="s">
        <v>3836</v>
      </c>
      <c r="FD4" s="2981" t="s">
        <v>3837</v>
      </c>
      <c r="FE4" s="2981" t="s">
        <v>3838</v>
      </c>
      <c r="FF4" s="2981" t="s">
        <v>3839</v>
      </c>
      <c r="FG4" s="2981" t="s">
        <v>3840</v>
      </c>
      <c r="FH4" s="2981" t="s">
        <v>3841</v>
      </c>
      <c r="FI4" s="2981" t="s">
        <v>3842</v>
      </c>
      <c r="FJ4" s="2981" t="s">
        <v>3843</v>
      </c>
      <c r="FK4" s="2981" t="s">
        <v>3844</v>
      </c>
      <c r="FL4" s="2981" t="s">
        <v>4356</v>
      </c>
      <c r="FM4" s="2981" t="s">
        <v>3845</v>
      </c>
      <c r="FN4" s="2981" t="s">
        <v>3846</v>
      </c>
      <c r="FO4" s="2981" t="s">
        <v>3847</v>
      </c>
      <c r="FP4" s="2981" t="s">
        <v>3848</v>
      </c>
      <c r="FQ4" s="2981" t="s">
        <v>3849</v>
      </c>
      <c r="FR4" s="2963" t="s">
        <v>3850</v>
      </c>
      <c r="FS4" s="2963" t="s">
        <v>3851</v>
      </c>
      <c r="FT4" s="2963" t="s">
        <v>3852</v>
      </c>
      <c r="FU4" s="2983" t="s">
        <v>3853</v>
      </c>
      <c r="FV4" s="2983" t="s">
        <v>3854</v>
      </c>
      <c r="FW4" s="2983" t="s">
        <v>3855</v>
      </c>
      <c r="FX4" s="2983" t="s">
        <v>3856</v>
      </c>
      <c r="FY4" s="2983" t="s">
        <v>3857</v>
      </c>
      <c r="FZ4" s="2983" t="s">
        <v>3858</v>
      </c>
      <c r="GA4" s="2983" t="s">
        <v>3859</v>
      </c>
      <c r="GB4" s="2983" t="s">
        <v>3860</v>
      </c>
      <c r="GC4" s="2983" t="s">
        <v>3861</v>
      </c>
      <c r="GD4" s="2983" t="s">
        <v>3862</v>
      </c>
      <c r="GE4" s="2983" t="s">
        <v>3863</v>
      </c>
      <c r="GF4" s="2983" t="s">
        <v>3864</v>
      </c>
      <c r="GG4" s="2983" t="s">
        <v>3865</v>
      </c>
      <c r="GH4" s="2993" t="s">
        <v>3866</v>
      </c>
      <c r="GI4" s="2993" t="s">
        <v>3867</v>
      </c>
      <c r="GJ4" s="2995" t="s">
        <v>3868</v>
      </c>
      <c r="GK4" s="2995" t="s">
        <v>3869</v>
      </c>
      <c r="GL4" s="2993" t="s">
        <v>3870</v>
      </c>
      <c r="GM4" s="2995" t="s">
        <v>3871</v>
      </c>
      <c r="GN4" s="2995" t="s">
        <v>3872</v>
      </c>
      <c r="GO4" s="2993" t="s">
        <v>3873</v>
      </c>
      <c r="GP4" s="2993" t="s">
        <v>3874</v>
      </c>
      <c r="GQ4" s="2993" t="s">
        <v>3875</v>
      </c>
      <c r="GR4" s="2983" t="s">
        <v>3876</v>
      </c>
      <c r="GS4" s="2983" t="s">
        <v>3689</v>
      </c>
      <c r="GT4" s="3003" t="s">
        <v>3877</v>
      </c>
      <c r="GU4" s="3001" t="s">
        <v>2607</v>
      </c>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74"/>
      <c r="IB4" s="174"/>
      <c r="IC4" s="174"/>
      <c r="ID4" s="174"/>
      <c r="IE4" s="174"/>
      <c r="IF4" s="174"/>
      <c r="IG4" s="174"/>
      <c r="IH4" s="174"/>
      <c r="II4" s="174"/>
      <c r="IJ4" s="174"/>
      <c r="IK4" s="174"/>
      <c r="IL4" s="174"/>
      <c r="IM4" s="174"/>
      <c r="IN4" s="174"/>
      <c r="IO4" s="174"/>
      <c r="IP4" s="174"/>
      <c r="IQ4" s="174"/>
      <c r="IR4" s="174"/>
      <c r="IS4" s="174"/>
      <c r="IT4" s="174"/>
      <c r="IU4" s="174"/>
      <c r="IV4" s="174"/>
    </row>
    <row r="5" spans="1:256" s="181" customFormat="1" ht="136.5" customHeight="1">
      <c r="A5" s="2972"/>
      <c r="B5" s="2960"/>
      <c r="C5" s="2960"/>
      <c r="D5" s="2960"/>
      <c r="E5" s="2960"/>
      <c r="F5" s="2960"/>
      <c r="G5" s="2960"/>
      <c r="H5" s="2960"/>
      <c r="I5" s="2960"/>
      <c r="J5" s="2975"/>
      <c r="K5" s="2962"/>
      <c r="L5" s="2962"/>
      <c r="M5" s="2968"/>
      <c r="N5" s="152" t="s">
        <v>92</v>
      </c>
      <c r="O5" s="152" t="s">
        <v>1531</v>
      </c>
      <c r="P5" s="152" t="s">
        <v>1829</v>
      </c>
      <c r="Q5" s="152" t="s">
        <v>1828</v>
      </c>
      <c r="R5" s="152" t="s">
        <v>233</v>
      </c>
      <c r="S5" s="152" t="s">
        <v>519</v>
      </c>
      <c r="T5" s="152" t="s">
        <v>300</v>
      </c>
      <c r="U5" s="963" t="s">
        <v>318</v>
      </c>
      <c r="V5" s="180" t="s">
        <v>302</v>
      </c>
      <c r="W5" s="152" t="s">
        <v>759</v>
      </c>
      <c r="X5" s="151" t="s">
        <v>2182</v>
      </c>
      <c r="Y5" s="151" t="s">
        <v>3878</v>
      </c>
      <c r="Z5" s="151" t="s">
        <v>695</v>
      </c>
      <c r="AA5" s="151" t="s">
        <v>100</v>
      </c>
      <c r="AB5" s="151" t="s">
        <v>833</v>
      </c>
      <c r="AC5" s="151" t="s">
        <v>834</v>
      </c>
      <c r="AD5" s="151" t="s">
        <v>832</v>
      </c>
      <c r="AE5" s="151" t="s">
        <v>760</v>
      </c>
      <c r="AF5" s="151" t="s">
        <v>286</v>
      </c>
      <c r="AG5" s="151" t="s">
        <v>303</v>
      </c>
      <c r="AH5" s="151" t="s">
        <v>2269</v>
      </c>
      <c r="AI5" s="151" t="s">
        <v>304</v>
      </c>
      <c r="AJ5" s="151" t="s">
        <v>638</v>
      </c>
      <c r="AK5" s="151" t="s">
        <v>647</v>
      </c>
      <c r="AL5" s="151" t="s">
        <v>646</v>
      </c>
      <c r="AM5" s="151" t="s">
        <v>1905</v>
      </c>
      <c r="AN5" s="151" t="s">
        <v>511</v>
      </c>
      <c r="AO5" s="151" t="s">
        <v>2186</v>
      </c>
      <c r="AP5" s="151" t="s">
        <v>500</v>
      </c>
      <c r="AQ5" s="151" t="s">
        <v>648</v>
      </c>
      <c r="AR5" s="151" t="s">
        <v>750</v>
      </c>
      <c r="AS5" s="151" t="s">
        <v>649</v>
      </c>
      <c r="AT5" s="151" t="s">
        <v>483</v>
      </c>
      <c r="AU5" s="151" t="s">
        <v>484</v>
      </c>
      <c r="AV5" s="151" t="s">
        <v>650</v>
      </c>
      <c r="AW5" s="151" t="s">
        <v>1645</v>
      </c>
      <c r="AX5" s="151" t="s">
        <v>285</v>
      </c>
      <c r="AY5" s="151" t="s">
        <v>987</v>
      </c>
      <c r="AZ5" s="151" t="s">
        <v>312</v>
      </c>
      <c r="BA5" s="151" t="s">
        <v>891</v>
      </c>
      <c r="BB5" s="151" t="s">
        <v>835</v>
      </c>
      <c r="BC5" s="151" t="s">
        <v>836</v>
      </c>
      <c r="BD5" s="151" t="s">
        <v>633</v>
      </c>
      <c r="BE5" s="151" t="s">
        <v>632</v>
      </c>
      <c r="BF5" s="151" t="s">
        <v>837</v>
      </c>
      <c r="BG5" s="151" t="s">
        <v>663</v>
      </c>
      <c r="BH5" s="151" t="s">
        <v>664</v>
      </c>
      <c r="BI5" s="151" t="s">
        <v>665</v>
      </c>
      <c r="BJ5" s="151" t="s">
        <v>666</v>
      </c>
      <c r="BK5" s="151" t="s">
        <v>912</v>
      </c>
      <c r="BL5" s="151" t="s">
        <v>913</v>
      </c>
      <c r="BM5" s="151" t="s">
        <v>1277</v>
      </c>
      <c r="BN5" s="151" t="s">
        <v>749</v>
      </c>
      <c r="BO5" s="151" t="s">
        <v>748</v>
      </c>
      <c r="BP5" s="151" t="s">
        <v>3879</v>
      </c>
      <c r="BQ5" s="151" t="s">
        <v>1495</v>
      </c>
      <c r="BR5" s="151" t="s">
        <v>1496</v>
      </c>
      <c r="BS5" s="151" t="s">
        <v>1575</v>
      </c>
      <c r="BT5" s="151" t="s">
        <v>1091</v>
      </c>
      <c r="BU5" s="151" t="s">
        <v>2152</v>
      </c>
      <c r="BV5" s="151" t="s">
        <v>1092</v>
      </c>
      <c r="BW5" s="151" t="s">
        <v>2153</v>
      </c>
      <c r="BX5" s="151" t="s">
        <v>1093</v>
      </c>
      <c r="BY5" s="151" t="s">
        <v>2050</v>
      </c>
      <c r="BZ5" s="151" t="s">
        <v>1094</v>
      </c>
      <c r="CA5" s="151" t="s">
        <v>2051</v>
      </c>
      <c r="CB5" s="151" t="s">
        <v>892</v>
      </c>
      <c r="CC5" s="2964"/>
      <c r="CD5" s="2964"/>
      <c r="CE5" s="2964"/>
      <c r="CF5" s="2964"/>
      <c r="CG5" s="2964"/>
      <c r="CH5" s="2964"/>
      <c r="CI5" s="151" t="s">
        <v>2300</v>
      </c>
      <c r="CJ5" s="151" t="s">
        <v>2301</v>
      </c>
      <c r="CK5" s="151" t="s">
        <v>2299</v>
      </c>
      <c r="CL5" s="151" t="s">
        <v>2125</v>
      </c>
      <c r="CM5" s="151" t="s">
        <v>2298</v>
      </c>
      <c r="CN5" s="151" t="s">
        <v>893</v>
      </c>
      <c r="CO5" s="151" t="s">
        <v>280</v>
      </c>
      <c r="CP5" s="151" t="s">
        <v>910</v>
      </c>
      <c r="CQ5" s="151" t="s">
        <v>2317</v>
      </c>
      <c r="CR5" s="151" t="s">
        <v>1504</v>
      </c>
      <c r="CS5" s="151" t="s">
        <v>213</v>
      </c>
      <c r="CT5" s="151" t="s">
        <v>361</v>
      </c>
      <c r="CU5" s="151" t="s">
        <v>2303</v>
      </c>
      <c r="CV5" s="151" t="s">
        <v>344</v>
      </c>
      <c r="CW5" s="151" t="s">
        <v>1872</v>
      </c>
      <c r="CX5" s="151" t="s">
        <v>827</v>
      </c>
      <c r="CY5" s="151" t="s">
        <v>1577</v>
      </c>
      <c r="CZ5" s="151" t="s">
        <v>2305</v>
      </c>
      <c r="DA5" s="151" t="s">
        <v>807</v>
      </c>
      <c r="DB5" s="151" t="s">
        <v>1445</v>
      </c>
      <c r="DC5" s="151" t="s">
        <v>806</v>
      </c>
      <c r="DD5" s="151" t="s">
        <v>805</v>
      </c>
      <c r="DE5" s="151" t="s">
        <v>1195</v>
      </c>
      <c r="DF5" s="2968"/>
      <c r="DG5" s="2968"/>
      <c r="DH5" s="2966"/>
      <c r="DI5" s="2966"/>
      <c r="DJ5" s="2966"/>
      <c r="DK5" s="2966"/>
      <c r="DL5" s="2966"/>
      <c r="DM5" s="2966"/>
      <c r="DN5" s="2966"/>
      <c r="DO5" s="2966"/>
      <c r="DP5" s="2966"/>
      <c r="DQ5" s="2977"/>
      <c r="DR5" s="2966"/>
      <c r="DS5" s="2977"/>
      <c r="DT5" s="2977"/>
      <c r="DU5" s="2977"/>
      <c r="DV5" s="2977"/>
      <c r="DW5" s="2977"/>
      <c r="DX5" s="2977"/>
      <c r="DY5" s="2977"/>
      <c r="DZ5" s="2977"/>
      <c r="EA5" s="2977"/>
      <c r="EB5" s="2977"/>
      <c r="EC5" s="2977"/>
      <c r="ED5" s="3006"/>
      <c r="EE5" s="2980"/>
      <c r="EF5" s="2980"/>
      <c r="EG5" s="2974"/>
      <c r="EH5" s="2974"/>
      <c r="EI5" s="2974"/>
      <c r="EJ5" s="2974"/>
      <c r="EK5" s="2974"/>
      <c r="EL5" s="2974"/>
      <c r="EM5" s="2974"/>
      <c r="EN5" s="2974"/>
      <c r="EO5" s="2974"/>
      <c r="EP5" s="2982"/>
      <c r="EQ5" s="2982"/>
      <c r="ER5" s="2982"/>
      <c r="ES5" s="2982"/>
      <c r="ET5" s="2964"/>
      <c r="EU5" s="2964"/>
      <c r="EV5" s="2964"/>
      <c r="EW5" s="2964"/>
      <c r="EX5" s="2964"/>
      <c r="EY5" s="2964"/>
      <c r="EZ5" s="2964"/>
      <c r="FA5" s="2964"/>
      <c r="FB5" s="2982"/>
      <c r="FC5" s="2982"/>
      <c r="FD5" s="2982"/>
      <c r="FE5" s="2982"/>
      <c r="FF5" s="2982"/>
      <c r="FG5" s="2982"/>
      <c r="FH5" s="2982"/>
      <c r="FI5" s="2982"/>
      <c r="FJ5" s="2982"/>
      <c r="FK5" s="2982"/>
      <c r="FL5" s="2982"/>
      <c r="FM5" s="2982"/>
      <c r="FN5" s="2982"/>
      <c r="FO5" s="2982"/>
      <c r="FP5" s="2982"/>
      <c r="FQ5" s="2982"/>
      <c r="FR5" s="2964"/>
      <c r="FS5" s="2964"/>
      <c r="FT5" s="2964"/>
      <c r="FU5" s="2984"/>
      <c r="FV5" s="2984"/>
      <c r="FW5" s="2984"/>
      <c r="FX5" s="2984"/>
      <c r="FY5" s="2984"/>
      <c r="FZ5" s="2984"/>
      <c r="GA5" s="2984"/>
      <c r="GB5" s="2984"/>
      <c r="GC5" s="2984"/>
      <c r="GD5" s="2984"/>
      <c r="GE5" s="2984"/>
      <c r="GF5" s="2984"/>
      <c r="GG5" s="2984"/>
      <c r="GH5" s="2994"/>
      <c r="GI5" s="2994"/>
      <c r="GJ5" s="2996"/>
      <c r="GK5" s="2996"/>
      <c r="GL5" s="2994"/>
      <c r="GM5" s="2996"/>
      <c r="GN5" s="2996"/>
      <c r="GO5" s="2994"/>
      <c r="GP5" s="2994"/>
      <c r="GQ5" s="2994"/>
      <c r="GR5" s="2984"/>
      <c r="GS5" s="2984"/>
      <c r="GT5" s="3004"/>
      <c r="GU5" s="3002"/>
      <c r="GV5" s="174"/>
      <c r="GW5" s="174"/>
      <c r="GX5" s="174"/>
      <c r="GY5" s="174"/>
      <c r="GZ5" s="174"/>
      <c r="HA5" s="174"/>
      <c r="HB5" s="174"/>
      <c r="HC5" s="174"/>
      <c r="HD5" s="174"/>
      <c r="HE5" s="174"/>
      <c r="HF5" s="174"/>
      <c r="HG5" s="174"/>
      <c r="HH5" s="174"/>
      <c r="HI5" s="174"/>
      <c r="HJ5" s="174"/>
      <c r="HK5" s="174"/>
      <c r="HL5" s="174"/>
      <c r="HM5" s="174"/>
      <c r="HN5" s="174"/>
      <c r="HO5" s="174"/>
      <c r="HP5" s="174"/>
      <c r="HQ5" s="174"/>
      <c r="HR5" s="174"/>
      <c r="HS5" s="174"/>
      <c r="HT5" s="174"/>
      <c r="HU5" s="174"/>
      <c r="HV5" s="174"/>
      <c r="HW5" s="174"/>
      <c r="HX5" s="174"/>
      <c r="HY5" s="174"/>
      <c r="HZ5" s="174"/>
      <c r="IA5" s="174"/>
      <c r="IB5" s="174"/>
      <c r="IC5" s="174"/>
      <c r="ID5" s="174"/>
      <c r="IE5" s="174"/>
      <c r="IF5" s="174"/>
      <c r="IG5" s="174"/>
      <c r="IH5" s="174"/>
      <c r="II5" s="174"/>
      <c r="IJ5" s="174"/>
      <c r="IK5" s="174"/>
      <c r="IL5" s="174"/>
      <c r="IM5" s="174"/>
      <c r="IN5" s="174"/>
      <c r="IO5" s="174"/>
      <c r="IP5" s="174"/>
      <c r="IQ5" s="174"/>
      <c r="IR5" s="174"/>
      <c r="IS5" s="174"/>
      <c r="IT5" s="174"/>
      <c r="IU5" s="174"/>
      <c r="IV5" s="174"/>
    </row>
    <row r="6" spans="1:256" ht="13.8" hidden="1">
      <c r="A6" s="153"/>
      <c r="B6" s="182"/>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c r="AC6" s="182"/>
      <c r="AD6" s="182"/>
      <c r="AE6" s="182"/>
      <c r="AF6" s="182"/>
      <c r="AG6" s="182"/>
      <c r="AH6" s="182"/>
      <c r="AI6" s="182"/>
      <c r="AJ6" s="182"/>
      <c r="AK6" s="182"/>
      <c r="AL6" s="182"/>
      <c r="AM6" s="182"/>
      <c r="AN6" s="182"/>
      <c r="AO6" s="182"/>
      <c r="AP6" s="182"/>
      <c r="AQ6" s="182"/>
      <c r="AR6" s="182"/>
      <c r="AS6" s="182"/>
      <c r="AT6" s="182"/>
      <c r="AU6" s="182"/>
      <c r="AV6" s="182"/>
      <c r="AW6" s="182"/>
      <c r="AX6" s="182"/>
      <c r="AY6" s="182"/>
      <c r="AZ6" s="182"/>
      <c r="BA6" s="182"/>
      <c r="BB6" s="182"/>
      <c r="BC6" s="182"/>
      <c r="BD6" s="182"/>
      <c r="BE6" s="182"/>
      <c r="BF6" s="182"/>
      <c r="BG6" s="182"/>
      <c r="BH6" s="182"/>
      <c r="BI6" s="182"/>
      <c r="BJ6" s="182"/>
      <c r="BK6" s="182"/>
      <c r="BL6" s="182"/>
      <c r="BM6" s="182"/>
      <c r="BN6" s="182"/>
      <c r="BO6" s="182"/>
      <c r="BP6" s="182"/>
      <c r="BQ6" s="182"/>
      <c r="BR6" s="182"/>
      <c r="BS6" s="182"/>
      <c r="BT6" s="182"/>
      <c r="BU6" s="182"/>
      <c r="BV6" s="182"/>
      <c r="BW6" s="182"/>
      <c r="BX6" s="182"/>
      <c r="BY6" s="182"/>
      <c r="BZ6" s="182"/>
      <c r="CA6" s="182"/>
      <c r="CB6" s="182"/>
      <c r="CC6" s="182"/>
      <c r="CD6" s="182"/>
      <c r="CE6" s="182"/>
      <c r="CF6" s="182"/>
      <c r="CG6" s="182"/>
      <c r="CH6" s="182"/>
      <c r="CI6" s="182"/>
      <c r="CJ6" s="182"/>
      <c r="CK6" s="182"/>
      <c r="CL6" s="182"/>
      <c r="CM6" s="182"/>
      <c r="CN6" s="182"/>
      <c r="CO6" s="182"/>
      <c r="CP6" s="182"/>
      <c r="CQ6" s="182"/>
      <c r="CR6" s="182"/>
      <c r="CS6" s="182"/>
      <c r="CT6" s="182"/>
      <c r="CU6" s="182"/>
      <c r="CV6" s="182"/>
      <c r="CW6" s="182"/>
      <c r="CX6" s="182"/>
      <c r="CY6" s="182"/>
      <c r="CZ6" s="182"/>
      <c r="DA6" s="182"/>
      <c r="DB6" s="182"/>
      <c r="DC6" s="182"/>
      <c r="DD6" s="182"/>
      <c r="DE6" s="182"/>
      <c r="DF6" s="182"/>
      <c r="DG6" s="182"/>
      <c r="DH6" s="182"/>
      <c r="DI6" s="182"/>
      <c r="DJ6" s="182"/>
      <c r="DK6" s="182"/>
      <c r="DL6" s="182"/>
      <c r="DM6" s="182"/>
      <c r="DN6" s="182"/>
      <c r="DO6" s="182"/>
      <c r="DP6" s="182"/>
      <c r="DQ6" s="182"/>
      <c r="DR6" s="182"/>
      <c r="DS6" s="182"/>
      <c r="DT6" s="182"/>
      <c r="DU6" s="182"/>
      <c r="DV6" s="182"/>
      <c r="DW6" s="182"/>
      <c r="DX6" s="182"/>
      <c r="DY6" s="182"/>
      <c r="DZ6" s="182"/>
      <c r="EA6" s="182"/>
      <c r="EB6" s="182"/>
      <c r="EC6" s="182"/>
      <c r="ED6" s="182"/>
      <c r="EE6" s="182"/>
      <c r="EF6" s="182"/>
      <c r="EG6" s="182"/>
      <c r="EH6" s="182"/>
      <c r="EI6" s="182"/>
      <c r="EJ6" s="182"/>
      <c r="EK6" s="182"/>
      <c r="EL6" s="182"/>
      <c r="EM6" s="182"/>
      <c r="EN6" s="182"/>
      <c r="EO6" s="182"/>
      <c r="EP6" s="182"/>
      <c r="EQ6" s="182"/>
      <c r="ER6" s="182"/>
      <c r="ES6" s="182"/>
      <c r="ET6" s="182"/>
      <c r="EU6" s="182"/>
      <c r="EV6" s="182"/>
      <c r="EW6" s="182"/>
      <c r="EX6" s="182"/>
      <c r="EY6" s="182"/>
      <c r="EZ6" s="182"/>
      <c r="FA6" s="182"/>
      <c r="FB6" s="182"/>
      <c r="FC6" s="182"/>
      <c r="FD6" s="182"/>
      <c r="FE6" s="182"/>
      <c r="FF6" s="182"/>
      <c r="FG6" s="182"/>
      <c r="FH6" s="182"/>
      <c r="FI6" s="182"/>
      <c r="FJ6" s="182"/>
      <c r="FK6" s="182"/>
      <c r="FL6" s="182"/>
      <c r="FM6" s="182"/>
      <c r="FN6" s="182"/>
      <c r="FO6" s="182"/>
      <c r="FP6" s="182"/>
      <c r="FQ6" s="182"/>
      <c r="FR6" s="182"/>
      <c r="FS6" s="182"/>
      <c r="FT6" s="182"/>
      <c r="FU6" s="182"/>
      <c r="FV6" s="182"/>
      <c r="FW6" s="182"/>
      <c r="FX6" s="182"/>
      <c r="FY6" s="182"/>
      <c r="FZ6" s="182"/>
      <c r="GA6" s="182"/>
      <c r="GB6" s="182"/>
      <c r="GC6" s="182"/>
      <c r="GD6" s="182"/>
      <c r="GE6" s="182"/>
      <c r="GF6" s="182"/>
      <c r="GG6" s="182"/>
      <c r="GH6" s="182"/>
      <c r="GI6" s="182"/>
      <c r="GJ6" s="182"/>
      <c r="GK6" s="182"/>
      <c r="GL6" s="182"/>
      <c r="GM6" s="182"/>
      <c r="GN6" s="182"/>
      <c r="GO6" s="182"/>
      <c r="GP6" s="182"/>
      <c r="GQ6" s="182"/>
      <c r="GR6" s="182"/>
      <c r="GS6" s="182"/>
      <c r="GT6" s="182"/>
      <c r="GU6" s="183"/>
      <c r="GV6" s="174"/>
      <c r="GW6" s="174"/>
      <c r="GX6" s="174"/>
      <c r="GY6" s="174"/>
      <c r="GZ6" s="174"/>
      <c r="HA6" s="174"/>
      <c r="HB6" s="174"/>
      <c r="HC6" s="174"/>
      <c r="HD6" s="174"/>
      <c r="HE6" s="174"/>
      <c r="HF6" s="174"/>
      <c r="HG6" s="174"/>
      <c r="HH6" s="174"/>
      <c r="HI6" s="174"/>
      <c r="HJ6" s="174"/>
      <c r="HK6" s="174"/>
      <c r="HL6" s="174"/>
      <c r="HM6" s="174"/>
      <c r="HN6" s="174"/>
      <c r="HO6" s="174"/>
      <c r="HP6" s="174"/>
      <c r="HQ6" s="174"/>
      <c r="HR6" s="174"/>
      <c r="HS6" s="174"/>
      <c r="HT6" s="174"/>
      <c r="HU6" s="174"/>
      <c r="HV6" s="174"/>
      <c r="HW6" s="174"/>
      <c r="HX6" s="174"/>
      <c r="HY6" s="174"/>
      <c r="HZ6" s="174"/>
      <c r="IA6" s="174"/>
      <c r="IB6" s="174"/>
      <c r="IC6" s="174"/>
      <c r="ID6" s="174"/>
      <c r="IE6" s="174"/>
      <c r="IF6" s="174"/>
      <c r="IG6" s="174"/>
      <c r="IH6" s="174"/>
      <c r="II6" s="174"/>
      <c r="IJ6" s="174"/>
      <c r="IK6" s="174"/>
      <c r="IL6" s="174"/>
      <c r="IM6" s="174"/>
      <c r="IN6" s="174"/>
      <c r="IO6" s="174"/>
      <c r="IP6" s="174"/>
      <c r="IQ6" s="174"/>
      <c r="IR6" s="174"/>
      <c r="IS6" s="174"/>
      <c r="IT6" s="174"/>
      <c r="IU6" s="174"/>
      <c r="IV6" s="174"/>
    </row>
    <row r="7" spans="1:256" ht="13.8" hidden="1">
      <c r="A7" s="154"/>
      <c r="B7" s="184"/>
      <c r="C7" s="184"/>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4"/>
      <c r="DY7" s="184"/>
      <c r="DZ7" s="184"/>
      <c r="EA7" s="184"/>
      <c r="EB7" s="184"/>
      <c r="EC7" s="184"/>
      <c r="ED7" s="184"/>
      <c r="EE7" s="184"/>
      <c r="EF7" s="184"/>
      <c r="EG7" s="184"/>
      <c r="EH7" s="184"/>
      <c r="EI7" s="184"/>
      <c r="EJ7" s="184"/>
      <c r="EK7" s="184"/>
      <c r="EL7" s="184"/>
      <c r="EM7" s="184"/>
      <c r="EN7" s="184"/>
      <c r="EO7" s="184"/>
      <c r="EP7" s="184"/>
      <c r="EQ7" s="184"/>
      <c r="ER7" s="184"/>
      <c r="ES7" s="184"/>
      <c r="ET7" s="184"/>
      <c r="EU7" s="184"/>
      <c r="EV7" s="184"/>
      <c r="EW7" s="184"/>
      <c r="EX7" s="184"/>
      <c r="EY7" s="184"/>
      <c r="EZ7" s="184"/>
      <c r="FA7" s="184"/>
      <c r="FB7" s="184"/>
      <c r="FC7" s="184"/>
      <c r="FD7" s="184"/>
      <c r="FE7" s="184"/>
      <c r="FF7" s="184"/>
      <c r="FG7" s="184"/>
      <c r="FH7" s="184"/>
      <c r="FI7" s="184"/>
      <c r="FJ7" s="184"/>
      <c r="FK7" s="184"/>
      <c r="FL7" s="184"/>
      <c r="FM7" s="184"/>
      <c r="FN7" s="184"/>
      <c r="FO7" s="184"/>
      <c r="FP7" s="184"/>
      <c r="FQ7" s="184"/>
      <c r="FR7" s="184"/>
      <c r="FS7" s="184"/>
      <c r="FT7" s="184"/>
      <c r="FU7" s="184"/>
      <c r="FV7" s="184"/>
      <c r="FW7" s="184"/>
      <c r="FX7" s="184"/>
      <c r="FY7" s="184"/>
      <c r="FZ7" s="184"/>
      <c r="GA7" s="184"/>
      <c r="GB7" s="184"/>
      <c r="GC7" s="184"/>
      <c r="GD7" s="184"/>
      <c r="GE7" s="184"/>
      <c r="GF7" s="184"/>
      <c r="GG7" s="184"/>
      <c r="GH7" s="184"/>
      <c r="GI7" s="184"/>
      <c r="GJ7" s="184"/>
      <c r="GK7" s="184"/>
      <c r="GL7" s="184"/>
      <c r="GM7" s="184"/>
      <c r="GN7" s="184"/>
      <c r="GO7" s="184"/>
      <c r="GP7" s="184"/>
      <c r="GQ7" s="184"/>
      <c r="GR7" s="184"/>
      <c r="GS7" s="184"/>
      <c r="GT7" s="184"/>
      <c r="GU7" s="185"/>
      <c r="GV7" s="174"/>
      <c r="GW7" s="174"/>
      <c r="GX7" s="174"/>
      <c r="GY7" s="174"/>
      <c r="GZ7" s="174"/>
      <c r="HA7" s="174"/>
      <c r="HB7" s="174"/>
      <c r="HC7" s="174"/>
      <c r="HD7" s="174"/>
      <c r="HE7" s="174"/>
      <c r="HF7" s="174"/>
      <c r="HG7" s="174"/>
      <c r="HH7" s="174"/>
      <c r="HI7" s="174"/>
      <c r="HJ7" s="174"/>
      <c r="HK7" s="174"/>
      <c r="HL7" s="174"/>
      <c r="HM7" s="174"/>
      <c r="HN7" s="174"/>
      <c r="HO7" s="174"/>
      <c r="HP7" s="174"/>
      <c r="HQ7" s="174"/>
      <c r="HR7" s="174"/>
      <c r="HS7" s="174"/>
      <c r="HT7" s="174"/>
      <c r="HU7" s="174"/>
      <c r="HV7" s="174"/>
      <c r="HW7" s="174"/>
      <c r="HX7" s="174"/>
      <c r="HY7" s="174"/>
      <c r="HZ7" s="174"/>
      <c r="IA7" s="174"/>
      <c r="IB7" s="174"/>
      <c r="IC7" s="174"/>
      <c r="ID7" s="174"/>
      <c r="IE7" s="174"/>
      <c r="IF7" s="174"/>
      <c r="IG7" s="174"/>
      <c r="IH7" s="174"/>
      <c r="II7" s="174"/>
      <c r="IJ7" s="174"/>
      <c r="IK7" s="174"/>
      <c r="IL7" s="174"/>
      <c r="IM7" s="174"/>
      <c r="IN7" s="174"/>
      <c r="IO7" s="174"/>
      <c r="IP7" s="174"/>
      <c r="IQ7" s="174"/>
      <c r="IR7" s="174"/>
      <c r="IS7" s="174"/>
      <c r="IT7" s="174"/>
      <c r="IU7" s="174"/>
      <c r="IV7" s="174"/>
    </row>
    <row r="8" spans="1:256" ht="13.8" hidden="1">
      <c r="A8" s="154"/>
      <c r="B8" s="184"/>
      <c r="C8" s="184"/>
      <c r="D8" s="184"/>
      <c r="E8" s="184"/>
      <c r="F8" s="184"/>
      <c r="G8" s="184"/>
      <c r="H8" s="184"/>
      <c r="I8" s="184"/>
      <c r="J8" s="184"/>
      <c r="K8" s="184"/>
      <c r="L8" s="184"/>
      <c r="M8" s="184"/>
      <c r="N8" s="184"/>
      <c r="O8" s="184"/>
      <c r="P8" s="184"/>
      <c r="Q8" s="184"/>
      <c r="R8" s="184"/>
      <c r="S8" s="184"/>
      <c r="T8" s="184"/>
      <c r="U8" s="184"/>
      <c r="V8" s="184"/>
      <c r="W8" s="184"/>
      <c r="X8" s="184"/>
      <c r="Y8" s="184"/>
      <c r="Z8" s="184"/>
      <c r="AA8" s="184"/>
      <c r="AB8" s="184"/>
      <c r="AC8" s="184"/>
      <c r="AD8" s="184"/>
      <c r="AE8" s="184"/>
      <c r="AF8" s="184"/>
      <c r="AG8" s="184"/>
      <c r="AH8" s="184"/>
      <c r="AI8" s="184"/>
      <c r="AJ8" s="184"/>
      <c r="AK8" s="184"/>
      <c r="AL8" s="184"/>
      <c r="AM8" s="184"/>
      <c r="AN8" s="184"/>
      <c r="AO8" s="184"/>
      <c r="AP8" s="184"/>
      <c r="AQ8" s="184"/>
      <c r="AR8" s="184"/>
      <c r="AS8" s="184"/>
      <c r="AT8" s="184"/>
      <c r="AU8" s="184"/>
      <c r="AV8" s="184"/>
      <c r="AW8" s="184"/>
      <c r="AX8" s="184"/>
      <c r="AY8" s="184"/>
      <c r="AZ8" s="184"/>
      <c r="BA8" s="184"/>
      <c r="BB8" s="184"/>
      <c r="BC8" s="184"/>
      <c r="BD8" s="184"/>
      <c r="BE8" s="184"/>
      <c r="BF8" s="184"/>
      <c r="BG8" s="184"/>
      <c r="BH8" s="184"/>
      <c r="BI8" s="184"/>
      <c r="BJ8" s="184"/>
      <c r="BK8" s="184"/>
      <c r="BL8" s="184"/>
      <c r="BM8" s="184"/>
      <c r="BN8" s="184"/>
      <c r="BO8" s="184"/>
      <c r="BP8" s="184"/>
      <c r="BQ8" s="184"/>
      <c r="BR8" s="184"/>
      <c r="BS8" s="184"/>
      <c r="BT8" s="184"/>
      <c r="BU8" s="184"/>
      <c r="BV8" s="184"/>
      <c r="BW8" s="184"/>
      <c r="BX8" s="184"/>
      <c r="BY8" s="184"/>
      <c r="BZ8" s="184"/>
      <c r="CA8" s="184"/>
      <c r="CB8" s="184"/>
      <c r="CC8" s="184"/>
      <c r="CD8" s="184"/>
      <c r="CE8" s="184"/>
      <c r="CF8" s="184"/>
      <c r="CG8" s="184"/>
      <c r="CH8" s="184"/>
      <c r="CI8" s="184"/>
      <c r="CJ8" s="184"/>
      <c r="CK8" s="184"/>
      <c r="CL8" s="184"/>
      <c r="CM8" s="184"/>
      <c r="CN8" s="184"/>
      <c r="CO8" s="184"/>
      <c r="CP8" s="184"/>
      <c r="CQ8" s="184"/>
      <c r="CR8" s="184"/>
      <c r="CS8" s="184"/>
      <c r="CT8" s="184"/>
      <c r="CU8" s="184"/>
      <c r="CV8" s="184"/>
      <c r="CW8" s="184"/>
      <c r="CX8" s="184"/>
      <c r="CY8" s="184"/>
      <c r="CZ8" s="184"/>
      <c r="DA8" s="184"/>
      <c r="DB8" s="184"/>
      <c r="DC8" s="184"/>
      <c r="DD8" s="184"/>
      <c r="DE8" s="184"/>
      <c r="DF8" s="184"/>
      <c r="DG8" s="184"/>
      <c r="DH8" s="184"/>
      <c r="DI8" s="184"/>
      <c r="DJ8" s="184"/>
      <c r="DK8" s="184"/>
      <c r="DL8" s="184"/>
      <c r="DM8" s="184"/>
      <c r="DN8" s="184"/>
      <c r="DO8" s="184"/>
      <c r="DP8" s="184"/>
      <c r="DQ8" s="184"/>
      <c r="DR8" s="184"/>
      <c r="DS8" s="184"/>
      <c r="DT8" s="184"/>
      <c r="DU8" s="184"/>
      <c r="DV8" s="184"/>
      <c r="DW8" s="184"/>
      <c r="DX8" s="184"/>
      <c r="DY8" s="184"/>
      <c r="DZ8" s="184"/>
      <c r="EA8" s="184"/>
      <c r="EB8" s="184"/>
      <c r="EC8" s="184"/>
      <c r="ED8" s="184"/>
      <c r="EE8" s="184"/>
      <c r="EF8" s="184"/>
      <c r="EG8" s="184"/>
      <c r="EH8" s="184"/>
      <c r="EI8" s="184"/>
      <c r="EJ8" s="184"/>
      <c r="EK8" s="184"/>
      <c r="EL8" s="184"/>
      <c r="EM8" s="184"/>
      <c r="EN8" s="184"/>
      <c r="EO8" s="184"/>
      <c r="EP8" s="184"/>
      <c r="EQ8" s="184"/>
      <c r="ER8" s="184"/>
      <c r="ES8" s="184"/>
      <c r="ET8" s="184"/>
      <c r="EU8" s="184"/>
      <c r="EV8" s="184"/>
      <c r="EW8" s="184"/>
      <c r="EX8" s="184"/>
      <c r="EY8" s="184"/>
      <c r="EZ8" s="184"/>
      <c r="FA8" s="184"/>
      <c r="FB8" s="184"/>
      <c r="FC8" s="184"/>
      <c r="FD8" s="184"/>
      <c r="FE8" s="184"/>
      <c r="FF8" s="184"/>
      <c r="FG8" s="184"/>
      <c r="FH8" s="184"/>
      <c r="FI8" s="184"/>
      <c r="FJ8" s="184"/>
      <c r="FK8" s="184"/>
      <c r="FL8" s="184"/>
      <c r="FM8" s="184"/>
      <c r="FN8" s="184"/>
      <c r="FO8" s="184"/>
      <c r="FP8" s="184"/>
      <c r="FQ8" s="184"/>
      <c r="FR8" s="184"/>
      <c r="FS8" s="184"/>
      <c r="FT8" s="184"/>
      <c r="FU8" s="184"/>
      <c r="FV8" s="184"/>
      <c r="FW8" s="184"/>
      <c r="FX8" s="184"/>
      <c r="FY8" s="184"/>
      <c r="FZ8" s="184"/>
      <c r="GA8" s="184"/>
      <c r="GB8" s="184"/>
      <c r="GC8" s="184"/>
      <c r="GD8" s="184"/>
      <c r="GE8" s="184"/>
      <c r="GF8" s="184"/>
      <c r="GG8" s="184"/>
      <c r="GH8" s="184"/>
      <c r="GI8" s="184"/>
      <c r="GJ8" s="184"/>
      <c r="GK8" s="184"/>
      <c r="GL8" s="184"/>
      <c r="GM8" s="184"/>
      <c r="GN8" s="184"/>
      <c r="GO8" s="184"/>
      <c r="GP8" s="184"/>
      <c r="GQ8" s="184"/>
      <c r="GR8" s="184"/>
      <c r="GS8" s="184"/>
      <c r="GT8" s="184"/>
      <c r="GU8" s="185"/>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row>
    <row r="9" spans="1:256" ht="13.8">
      <c r="A9" s="1336"/>
      <c r="B9" s="1337"/>
      <c r="C9" s="1338"/>
      <c r="D9" s="187"/>
      <c r="E9" s="187"/>
      <c r="F9" s="187"/>
      <c r="G9" s="187"/>
      <c r="H9" s="187"/>
      <c r="I9" s="187"/>
      <c r="J9" s="188"/>
      <c r="K9" s="189"/>
      <c r="L9" s="190"/>
      <c r="M9" s="1341"/>
      <c r="N9" s="191"/>
      <c r="O9" s="192"/>
      <c r="P9" s="193"/>
      <c r="Q9" s="193"/>
      <c r="R9" s="193"/>
      <c r="S9" s="193"/>
      <c r="T9" s="193"/>
      <c r="U9" s="189"/>
      <c r="V9" s="193"/>
      <c r="W9" s="191"/>
      <c r="X9" s="194"/>
      <c r="Y9" s="194"/>
      <c r="Z9" s="194"/>
      <c r="AA9" s="194"/>
      <c r="AB9" s="194"/>
      <c r="AC9" s="194"/>
      <c r="AD9" s="194"/>
      <c r="AE9" s="194"/>
      <c r="AF9" s="194"/>
      <c r="AG9" s="194"/>
      <c r="AH9" s="194"/>
      <c r="AI9" s="194"/>
      <c r="AJ9" s="194"/>
      <c r="AK9" s="194"/>
      <c r="AL9" s="194"/>
      <c r="AM9" s="194"/>
      <c r="AN9" s="194"/>
      <c r="AO9" s="194"/>
      <c r="AP9" s="194"/>
      <c r="AQ9" s="194"/>
      <c r="AR9" s="194"/>
      <c r="AS9" s="194"/>
      <c r="AT9" s="194"/>
      <c r="AU9" s="194"/>
      <c r="AV9" s="194"/>
      <c r="AW9" s="194"/>
      <c r="AX9" s="194"/>
      <c r="AY9" s="194"/>
      <c r="AZ9" s="194"/>
      <c r="BA9" s="194"/>
      <c r="BB9" s="191"/>
      <c r="BC9" s="191"/>
      <c r="BD9" s="191"/>
      <c r="BE9" s="191"/>
      <c r="BF9" s="191"/>
      <c r="BG9" s="191"/>
      <c r="BH9" s="191"/>
      <c r="BI9" s="191"/>
      <c r="BJ9" s="191"/>
      <c r="BK9" s="191"/>
      <c r="BL9" s="191"/>
      <c r="BM9" s="191"/>
      <c r="BN9" s="191"/>
      <c r="BO9" s="191"/>
      <c r="BP9" s="191"/>
      <c r="BQ9" s="194"/>
      <c r="BR9" s="191"/>
      <c r="BS9" s="194"/>
      <c r="BT9" s="194"/>
      <c r="BU9" s="194"/>
      <c r="BV9" s="194"/>
      <c r="BW9" s="194"/>
      <c r="BX9" s="194"/>
      <c r="BY9" s="194"/>
      <c r="BZ9" s="194"/>
      <c r="CA9" s="194"/>
      <c r="CB9" s="194"/>
      <c r="CC9" s="191"/>
      <c r="CD9" s="191"/>
      <c r="CE9" s="191"/>
      <c r="CF9" s="191"/>
      <c r="CG9" s="191"/>
      <c r="CH9" s="191"/>
      <c r="CI9" s="195"/>
      <c r="CJ9" s="191"/>
      <c r="CK9" s="191"/>
      <c r="CL9" s="191"/>
      <c r="CM9" s="195"/>
      <c r="CN9" s="195"/>
      <c r="CO9" s="195"/>
      <c r="CP9" s="195"/>
      <c r="CQ9" s="195"/>
      <c r="CR9" s="195"/>
      <c r="CS9" s="195"/>
      <c r="CT9" s="191"/>
      <c r="CU9" s="195"/>
      <c r="CV9" s="195"/>
      <c r="CW9" s="195"/>
      <c r="CX9" s="195"/>
      <c r="CY9" s="195"/>
      <c r="CZ9" s="195"/>
      <c r="DA9" s="195"/>
      <c r="DB9" s="195"/>
      <c r="DC9" s="195"/>
      <c r="DD9" s="195"/>
      <c r="DE9" s="195"/>
      <c r="DF9" s="191"/>
      <c r="DG9" s="191"/>
      <c r="DH9" s="191"/>
      <c r="DI9" s="191"/>
      <c r="DJ9" s="191"/>
      <c r="DK9" s="191"/>
      <c r="DL9" s="191"/>
      <c r="DM9" s="191"/>
      <c r="DN9" s="191"/>
      <c r="DO9" s="191"/>
      <c r="DP9" s="191"/>
      <c r="DQ9" s="191"/>
      <c r="DR9" s="191"/>
      <c r="DS9" s="191"/>
      <c r="DT9" s="191"/>
      <c r="DU9" s="191"/>
      <c r="DV9" s="191"/>
      <c r="DW9" s="191"/>
      <c r="DX9" s="191"/>
      <c r="DY9" s="191"/>
      <c r="DZ9" s="191"/>
      <c r="EA9" s="191"/>
      <c r="EB9" s="191"/>
      <c r="EC9" s="191"/>
      <c r="ED9" s="191"/>
      <c r="EE9" s="191"/>
      <c r="EF9" s="191"/>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343"/>
      <c r="GV9" s="174"/>
      <c r="GW9" s="174"/>
      <c r="GX9" s="174"/>
      <c r="GY9" s="174"/>
      <c r="GZ9" s="174"/>
      <c r="HA9" s="174"/>
      <c r="HB9" s="174"/>
      <c r="HC9" s="174"/>
      <c r="HD9" s="174"/>
      <c r="HE9" s="174"/>
      <c r="HF9" s="174"/>
      <c r="HG9" s="174"/>
      <c r="HH9" s="174"/>
      <c r="HI9" s="174"/>
      <c r="HJ9" s="174"/>
      <c r="HK9" s="174"/>
      <c r="HL9" s="174"/>
      <c r="HM9" s="174"/>
      <c r="HN9" s="174"/>
      <c r="HO9" s="174"/>
      <c r="HP9" s="174"/>
      <c r="HQ9" s="174"/>
      <c r="HR9" s="174"/>
      <c r="HS9" s="174"/>
      <c r="HT9" s="174"/>
      <c r="HU9" s="174"/>
      <c r="HV9" s="174"/>
      <c r="HW9" s="174"/>
      <c r="HX9" s="174"/>
      <c r="HY9" s="174"/>
      <c r="HZ9" s="174"/>
      <c r="IA9" s="174"/>
      <c r="IB9" s="174"/>
      <c r="IC9" s="174"/>
      <c r="ID9" s="174"/>
      <c r="IE9" s="174"/>
      <c r="IF9" s="174"/>
      <c r="IG9" s="174"/>
      <c r="IH9" s="174"/>
      <c r="II9" s="174"/>
      <c r="IJ9" s="174"/>
      <c r="IK9" s="174"/>
      <c r="IL9" s="174"/>
      <c r="IM9" s="174"/>
      <c r="IN9" s="174"/>
      <c r="IO9" s="174"/>
      <c r="IP9" s="174"/>
      <c r="IQ9" s="174"/>
      <c r="IR9" s="174"/>
      <c r="IS9" s="174"/>
      <c r="IT9" s="174"/>
      <c r="IU9" s="174"/>
      <c r="IV9" s="174"/>
    </row>
    <row r="10" spans="1:256" ht="13.8">
      <c r="A10" s="1336"/>
      <c r="B10" s="1339"/>
      <c r="C10" s="273"/>
      <c r="D10" s="197"/>
      <c r="E10" s="197"/>
      <c r="F10" s="197"/>
      <c r="G10" s="197"/>
      <c r="H10" s="197"/>
      <c r="I10" s="197"/>
      <c r="J10" s="198"/>
      <c r="K10" s="199"/>
      <c r="L10" s="200"/>
      <c r="M10" s="1342"/>
      <c r="N10" s="202"/>
      <c r="O10" s="203"/>
      <c r="P10" s="204"/>
      <c r="Q10" s="204"/>
      <c r="R10" s="204"/>
      <c r="S10" s="204"/>
      <c r="T10" s="204"/>
      <c r="U10" s="199"/>
      <c r="V10" s="204"/>
      <c r="W10" s="202"/>
      <c r="X10" s="205"/>
      <c r="Y10" s="205"/>
      <c r="Z10" s="205"/>
      <c r="AA10" s="205"/>
      <c r="AB10" s="205"/>
      <c r="AC10" s="205"/>
      <c r="AD10" s="205"/>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2"/>
      <c r="BC10" s="202"/>
      <c r="BD10" s="202"/>
      <c r="BE10" s="202"/>
      <c r="BF10" s="202"/>
      <c r="BG10" s="202"/>
      <c r="BH10" s="202"/>
      <c r="BI10" s="202"/>
      <c r="BJ10" s="202"/>
      <c r="BK10" s="202"/>
      <c r="BL10" s="202"/>
      <c r="BM10" s="202"/>
      <c r="BN10" s="202"/>
      <c r="BO10" s="202"/>
      <c r="BP10" s="202"/>
      <c r="BQ10" s="205"/>
      <c r="BR10" s="202"/>
      <c r="BS10" s="205"/>
      <c r="BT10" s="205"/>
      <c r="BU10" s="205"/>
      <c r="BV10" s="205"/>
      <c r="BW10" s="205"/>
      <c r="BX10" s="205"/>
      <c r="BY10" s="205"/>
      <c r="BZ10" s="205"/>
      <c r="CA10" s="205"/>
      <c r="CB10" s="205"/>
      <c r="CC10" s="202"/>
      <c r="CD10" s="202"/>
      <c r="CE10" s="202"/>
      <c r="CF10" s="202"/>
      <c r="CG10" s="202"/>
      <c r="CH10" s="202"/>
      <c r="CI10" s="206"/>
      <c r="CJ10" s="202"/>
      <c r="CK10" s="202"/>
      <c r="CL10" s="202"/>
      <c r="CM10" s="206"/>
      <c r="CN10" s="206"/>
      <c r="CO10" s="206"/>
      <c r="CP10" s="206"/>
      <c r="CQ10" s="206"/>
      <c r="CR10" s="206"/>
      <c r="CS10" s="206"/>
      <c r="CT10" s="202"/>
      <c r="CU10" s="206"/>
      <c r="CV10" s="206"/>
      <c r="CW10" s="206"/>
      <c r="CX10" s="206"/>
      <c r="CY10" s="206"/>
      <c r="CZ10" s="206"/>
      <c r="DA10" s="206"/>
      <c r="DB10" s="206"/>
      <c r="DC10" s="206"/>
      <c r="DD10" s="206"/>
      <c r="DE10" s="206"/>
      <c r="DF10" s="202"/>
      <c r="DG10" s="202"/>
      <c r="DH10" s="202"/>
      <c r="DI10" s="202"/>
      <c r="DJ10" s="202"/>
      <c r="DK10" s="202"/>
      <c r="DL10" s="202"/>
      <c r="DM10" s="202"/>
      <c r="DN10" s="202"/>
      <c r="DO10" s="202"/>
      <c r="DP10" s="202"/>
      <c r="DQ10" s="202"/>
      <c r="DR10" s="202"/>
      <c r="DS10" s="202"/>
      <c r="DT10" s="202"/>
      <c r="DU10" s="202"/>
      <c r="DV10" s="202"/>
      <c r="DW10" s="202"/>
      <c r="DX10" s="202"/>
      <c r="DY10" s="202"/>
      <c r="DZ10" s="202"/>
      <c r="EA10" s="202"/>
      <c r="EB10" s="202"/>
      <c r="EC10" s="202"/>
      <c r="ED10" s="202"/>
      <c r="EE10" s="202"/>
      <c r="EF10" s="202"/>
      <c r="EG10" s="208"/>
      <c r="EH10" s="208"/>
      <c r="EI10" s="208"/>
      <c r="EJ10" s="208"/>
      <c r="EK10" s="208"/>
      <c r="EL10" s="208"/>
      <c r="EM10" s="208"/>
      <c r="EN10" s="208"/>
      <c r="EO10" s="208"/>
      <c r="EP10" s="208"/>
      <c r="EQ10" s="208"/>
      <c r="ER10" s="208"/>
      <c r="ES10" s="208"/>
      <c r="ET10" s="208"/>
      <c r="EU10" s="208"/>
      <c r="EV10" s="208"/>
      <c r="EW10" s="208"/>
      <c r="EX10" s="208"/>
      <c r="EY10" s="208"/>
      <c r="EZ10" s="208"/>
      <c r="FA10" s="208"/>
      <c r="FB10" s="208"/>
      <c r="FC10" s="208"/>
      <c r="FD10" s="208"/>
      <c r="FE10" s="208"/>
      <c r="FF10" s="208"/>
      <c r="FG10" s="208"/>
      <c r="FH10" s="208"/>
      <c r="FI10" s="208"/>
      <c r="FJ10" s="208"/>
      <c r="FK10" s="208"/>
      <c r="FL10" s="964"/>
      <c r="FM10" s="208"/>
      <c r="FN10" s="208"/>
      <c r="FO10" s="208"/>
      <c r="FP10" s="208"/>
      <c r="FQ10" s="208"/>
      <c r="FR10" s="208"/>
      <c r="FS10" s="208"/>
      <c r="FT10" s="208"/>
      <c r="FU10" s="208"/>
      <c r="FV10" s="208"/>
      <c r="FW10" s="208"/>
      <c r="FX10" s="208"/>
      <c r="FY10" s="208"/>
      <c r="FZ10" s="208"/>
      <c r="GA10" s="208"/>
      <c r="GB10" s="208"/>
      <c r="GC10" s="208"/>
      <c r="GD10" s="208"/>
      <c r="GE10" s="208"/>
      <c r="GF10" s="208"/>
      <c r="GG10" s="208"/>
      <c r="GH10" s="208"/>
      <c r="GI10" s="208"/>
      <c r="GJ10" s="208"/>
      <c r="GK10" s="208"/>
      <c r="GL10" s="208"/>
      <c r="GM10" s="208"/>
      <c r="GN10" s="208"/>
      <c r="GO10" s="208"/>
      <c r="GP10" s="208"/>
      <c r="GQ10" s="208"/>
      <c r="GR10" s="208"/>
      <c r="GS10" s="208"/>
      <c r="GT10" s="208"/>
      <c r="GU10" s="281"/>
      <c r="GV10" s="174"/>
      <c r="GW10" s="174"/>
      <c r="GX10" s="174"/>
      <c r="GY10" s="174"/>
      <c r="GZ10" s="174"/>
      <c r="HA10" s="174"/>
      <c r="HB10" s="174"/>
      <c r="HC10" s="174"/>
      <c r="HD10" s="174"/>
      <c r="HE10" s="174"/>
      <c r="HF10" s="174"/>
      <c r="HG10" s="174"/>
      <c r="HH10" s="174"/>
      <c r="HI10" s="174"/>
      <c r="HJ10" s="174"/>
      <c r="HK10" s="174"/>
      <c r="HL10" s="174"/>
      <c r="HM10" s="174"/>
      <c r="HN10" s="174"/>
      <c r="HO10" s="174"/>
      <c r="HP10" s="174"/>
      <c r="HQ10" s="174"/>
      <c r="HR10" s="174"/>
      <c r="HS10" s="174"/>
      <c r="HT10" s="174"/>
      <c r="HU10" s="174"/>
      <c r="HV10" s="174"/>
      <c r="HW10" s="174"/>
      <c r="HX10" s="174"/>
      <c r="HY10" s="174"/>
      <c r="HZ10" s="174"/>
      <c r="IA10" s="174"/>
      <c r="IB10" s="174"/>
      <c r="IC10" s="174"/>
      <c r="ID10" s="174"/>
      <c r="IE10" s="174"/>
      <c r="IF10" s="174"/>
      <c r="IG10" s="174"/>
      <c r="IH10" s="174"/>
      <c r="II10" s="174"/>
      <c r="IJ10" s="174"/>
      <c r="IK10" s="174"/>
      <c r="IL10" s="174"/>
      <c r="IM10" s="174"/>
      <c r="IN10" s="174"/>
      <c r="IO10" s="174"/>
      <c r="IP10" s="174"/>
      <c r="IQ10" s="174"/>
      <c r="IR10" s="174"/>
      <c r="IS10" s="174"/>
      <c r="IT10" s="174"/>
      <c r="IU10" s="174"/>
      <c r="IV10" s="174"/>
    </row>
    <row r="11" spans="1:256" ht="13.8">
      <c r="A11" s="1336"/>
      <c r="B11" s="1339"/>
      <c r="C11" s="273"/>
      <c r="D11" s="197"/>
      <c r="E11" s="197"/>
      <c r="F11" s="197"/>
      <c r="G11" s="197"/>
      <c r="H11" s="197"/>
      <c r="I11" s="197"/>
      <c r="J11" s="198"/>
      <c r="K11" s="199"/>
      <c r="L11" s="200"/>
      <c r="M11" s="1342"/>
      <c r="N11" s="202"/>
      <c r="O11" s="203"/>
      <c r="P11" s="204"/>
      <c r="Q11" s="204"/>
      <c r="R11" s="204"/>
      <c r="S11" s="204"/>
      <c r="T11" s="204"/>
      <c r="U11" s="199"/>
      <c r="V11" s="204"/>
      <c r="W11" s="202"/>
      <c r="X11" s="205"/>
      <c r="Y11" s="205"/>
      <c r="Z11" s="205"/>
      <c r="AA11" s="205"/>
      <c r="AB11" s="205"/>
      <c r="AC11" s="205"/>
      <c r="AD11" s="205"/>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2"/>
      <c r="BC11" s="202"/>
      <c r="BD11" s="202"/>
      <c r="BE11" s="202"/>
      <c r="BF11" s="202"/>
      <c r="BG11" s="202"/>
      <c r="BH11" s="202"/>
      <c r="BI11" s="202"/>
      <c r="BJ11" s="202"/>
      <c r="BK11" s="202"/>
      <c r="BL11" s="202"/>
      <c r="BM11" s="202"/>
      <c r="BN11" s="202"/>
      <c r="BO11" s="202"/>
      <c r="BP11" s="202"/>
      <c r="BQ11" s="205"/>
      <c r="BR11" s="202"/>
      <c r="BS11" s="205"/>
      <c r="BT11" s="205"/>
      <c r="BU11" s="205"/>
      <c r="BV11" s="205"/>
      <c r="BW11" s="205"/>
      <c r="BX11" s="205"/>
      <c r="BY11" s="205"/>
      <c r="BZ11" s="205"/>
      <c r="CA11" s="205"/>
      <c r="CB11" s="205"/>
      <c r="CC11" s="202"/>
      <c r="CD11" s="202"/>
      <c r="CE11" s="202"/>
      <c r="CF11" s="202"/>
      <c r="CG11" s="202"/>
      <c r="CH11" s="202"/>
      <c r="CI11" s="206"/>
      <c r="CJ11" s="202"/>
      <c r="CK11" s="202"/>
      <c r="CL11" s="202"/>
      <c r="CM11" s="206"/>
      <c r="CN11" s="206"/>
      <c r="CO11" s="206"/>
      <c r="CP11" s="206"/>
      <c r="CQ11" s="206"/>
      <c r="CR11" s="206"/>
      <c r="CS11" s="206"/>
      <c r="CT11" s="202"/>
      <c r="CU11" s="206"/>
      <c r="CV11" s="206"/>
      <c r="CW11" s="206"/>
      <c r="CX11" s="206"/>
      <c r="CY11" s="206"/>
      <c r="CZ11" s="206"/>
      <c r="DA11" s="206"/>
      <c r="DB11" s="206"/>
      <c r="DC11" s="206"/>
      <c r="DD11" s="206"/>
      <c r="DE11" s="206"/>
      <c r="DF11" s="202"/>
      <c r="DG11" s="202"/>
      <c r="DH11" s="202"/>
      <c r="DI11" s="202"/>
      <c r="DJ11" s="202"/>
      <c r="DK11" s="202"/>
      <c r="DL11" s="202"/>
      <c r="DM11" s="202"/>
      <c r="DN11" s="202"/>
      <c r="DO11" s="202"/>
      <c r="DP11" s="202"/>
      <c r="DQ11" s="202"/>
      <c r="DR11" s="202"/>
      <c r="DS11" s="202"/>
      <c r="DT11" s="202"/>
      <c r="DU11" s="202"/>
      <c r="DV11" s="202"/>
      <c r="DW11" s="202"/>
      <c r="DX11" s="202"/>
      <c r="DY11" s="202"/>
      <c r="DZ11" s="202"/>
      <c r="EA11" s="202"/>
      <c r="EB11" s="202"/>
      <c r="EC11" s="202"/>
      <c r="ED11" s="202"/>
      <c r="EE11" s="202"/>
      <c r="EF11" s="202"/>
      <c r="EG11" s="208"/>
      <c r="EH11" s="208"/>
      <c r="EI11" s="208"/>
      <c r="EJ11" s="208"/>
      <c r="EK11" s="208"/>
      <c r="EL11" s="208"/>
      <c r="EM11" s="208"/>
      <c r="EN11" s="208"/>
      <c r="EO11" s="208"/>
      <c r="EP11" s="208"/>
      <c r="EQ11" s="208"/>
      <c r="ER11" s="208"/>
      <c r="ES11" s="208"/>
      <c r="ET11" s="208"/>
      <c r="EU11" s="208"/>
      <c r="EV11" s="208"/>
      <c r="EW11" s="208"/>
      <c r="EX11" s="208"/>
      <c r="EY11" s="208"/>
      <c r="EZ11" s="208"/>
      <c r="FA11" s="208"/>
      <c r="FB11" s="208"/>
      <c r="FC11" s="208"/>
      <c r="FD11" s="208"/>
      <c r="FE11" s="208"/>
      <c r="FF11" s="208"/>
      <c r="FG11" s="208"/>
      <c r="FH11" s="208"/>
      <c r="FI11" s="208"/>
      <c r="FJ11" s="208"/>
      <c r="FK11" s="208"/>
      <c r="FL11" s="964"/>
      <c r="FM11" s="208"/>
      <c r="FN11" s="208"/>
      <c r="FO11" s="208"/>
      <c r="FP11" s="208"/>
      <c r="FQ11" s="208"/>
      <c r="FR11" s="208"/>
      <c r="FS11" s="208"/>
      <c r="FT11" s="208"/>
      <c r="FU11" s="208"/>
      <c r="FV11" s="208"/>
      <c r="FW11" s="208"/>
      <c r="FX11" s="208"/>
      <c r="FY11" s="208"/>
      <c r="FZ11" s="208"/>
      <c r="GA11" s="208"/>
      <c r="GB11" s="208"/>
      <c r="GC11" s="208"/>
      <c r="GD11" s="208"/>
      <c r="GE11" s="208"/>
      <c r="GF11" s="199"/>
      <c r="GG11" s="208"/>
      <c r="GH11" s="208"/>
      <c r="GI11" s="208"/>
      <c r="GJ11" s="208"/>
      <c r="GK11" s="208"/>
      <c r="GL11" s="208"/>
      <c r="GM11" s="208"/>
      <c r="GN11" s="208"/>
      <c r="GO11" s="208"/>
      <c r="GP11" s="208"/>
      <c r="GQ11" s="208"/>
      <c r="GR11" s="208"/>
      <c r="GS11" s="208"/>
      <c r="GT11" s="208"/>
      <c r="GU11" s="281"/>
      <c r="GV11" s="174"/>
      <c r="GW11" s="174"/>
      <c r="GX11" s="174"/>
      <c r="GY11" s="174"/>
      <c r="GZ11" s="174"/>
      <c r="HA11" s="174"/>
      <c r="HB11" s="174"/>
      <c r="HC11" s="174"/>
      <c r="HD11" s="174"/>
      <c r="HE11" s="174"/>
      <c r="HF11" s="174"/>
      <c r="HG11" s="174"/>
      <c r="HH11" s="174"/>
      <c r="HI11" s="174"/>
      <c r="HJ11" s="174"/>
      <c r="HK11" s="174"/>
      <c r="HL11" s="174"/>
      <c r="HM11" s="174"/>
      <c r="HN11" s="174"/>
      <c r="HO11" s="174"/>
      <c r="HP11" s="174"/>
      <c r="HQ11" s="174"/>
      <c r="HR11" s="174"/>
      <c r="HS11" s="174"/>
      <c r="HT11" s="174"/>
      <c r="HU11" s="174"/>
      <c r="HV11" s="174"/>
      <c r="HW11" s="174"/>
      <c r="HX11" s="174"/>
      <c r="HY11" s="174"/>
      <c r="HZ11" s="174"/>
      <c r="IA11" s="174"/>
      <c r="IB11" s="174"/>
      <c r="IC11" s="174"/>
      <c r="ID11" s="174"/>
      <c r="IE11" s="174"/>
      <c r="IF11" s="174"/>
      <c r="IG11" s="174"/>
      <c r="IH11" s="174"/>
      <c r="II11" s="174"/>
      <c r="IJ11" s="174"/>
      <c r="IK11" s="174"/>
      <c r="IL11" s="174"/>
      <c r="IM11" s="174"/>
      <c r="IN11" s="174"/>
      <c r="IO11" s="174"/>
      <c r="IP11" s="174"/>
      <c r="IQ11" s="174"/>
      <c r="IR11" s="174"/>
      <c r="IS11" s="174"/>
      <c r="IT11" s="174"/>
      <c r="IU11" s="174"/>
      <c r="IV11" s="174"/>
    </row>
    <row r="12" spans="1:256" ht="13.8">
      <c r="A12" s="1336"/>
      <c r="B12" s="1340"/>
      <c r="C12" s="273"/>
      <c r="D12" s="197"/>
      <c r="E12" s="197"/>
      <c r="F12" s="197"/>
      <c r="G12" s="197"/>
      <c r="H12" s="197"/>
      <c r="I12" s="197"/>
      <c r="J12" s="198"/>
      <c r="K12" s="199"/>
      <c r="L12" s="200"/>
      <c r="M12" s="1342"/>
      <c r="N12" s="202"/>
      <c r="O12" s="203"/>
      <c r="P12" s="204"/>
      <c r="Q12" s="204"/>
      <c r="R12" s="204"/>
      <c r="S12" s="204"/>
      <c r="T12" s="204"/>
      <c r="U12" s="199"/>
      <c r="V12" s="204"/>
      <c r="W12" s="202"/>
      <c r="X12" s="205"/>
      <c r="Y12" s="205"/>
      <c r="Z12" s="205"/>
      <c r="AA12" s="205"/>
      <c r="AB12" s="205"/>
      <c r="AC12" s="205"/>
      <c r="AD12" s="205"/>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2"/>
      <c r="BC12" s="202"/>
      <c r="BD12" s="202"/>
      <c r="BE12" s="202"/>
      <c r="BF12" s="202"/>
      <c r="BG12" s="202"/>
      <c r="BH12" s="202"/>
      <c r="BI12" s="202"/>
      <c r="BJ12" s="202"/>
      <c r="BK12" s="202"/>
      <c r="BL12" s="202"/>
      <c r="BM12" s="202"/>
      <c r="BN12" s="202"/>
      <c r="BO12" s="202"/>
      <c r="BP12" s="202"/>
      <c r="BQ12" s="205"/>
      <c r="BR12" s="202"/>
      <c r="BS12" s="205"/>
      <c r="BT12" s="205"/>
      <c r="BU12" s="205"/>
      <c r="BV12" s="205"/>
      <c r="BW12" s="205"/>
      <c r="BX12" s="205"/>
      <c r="BY12" s="205"/>
      <c r="BZ12" s="205"/>
      <c r="CA12" s="205"/>
      <c r="CB12" s="205"/>
      <c r="CC12" s="202"/>
      <c r="CD12" s="202"/>
      <c r="CE12" s="202"/>
      <c r="CF12" s="202"/>
      <c r="CG12" s="202"/>
      <c r="CH12" s="202"/>
      <c r="CI12" s="206"/>
      <c r="CJ12" s="202"/>
      <c r="CK12" s="202"/>
      <c r="CL12" s="202"/>
      <c r="CM12" s="206"/>
      <c r="CN12" s="206"/>
      <c r="CO12" s="206"/>
      <c r="CP12" s="206"/>
      <c r="CQ12" s="206"/>
      <c r="CR12" s="206"/>
      <c r="CS12" s="206"/>
      <c r="CT12" s="202"/>
      <c r="CU12" s="206"/>
      <c r="CV12" s="206"/>
      <c r="CW12" s="206"/>
      <c r="CX12" s="206"/>
      <c r="CY12" s="206"/>
      <c r="CZ12" s="206"/>
      <c r="DA12" s="206"/>
      <c r="DB12" s="206"/>
      <c r="DC12" s="206"/>
      <c r="DD12" s="206"/>
      <c r="DE12" s="206"/>
      <c r="DF12" s="202"/>
      <c r="DG12" s="202"/>
      <c r="DH12" s="202"/>
      <c r="DI12" s="202"/>
      <c r="DJ12" s="202"/>
      <c r="DK12" s="202"/>
      <c r="DL12" s="202"/>
      <c r="DM12" s="202"/>
      <c r="DN12" s="202"/>
      <c r="DO12" s="202"/>
      <c r="DP12" s="202"/>
      <c r="DQ12" s="202"/>
      <c r="DR12" s="202"/>
      <c r="DS12" s="202"/>
      <c r="DT12" s="202"/>
      <c r="DU12" s="202"/>
      <c r="DV12" s="202"/>
      <c r="DW12" s="202"/>
      <c r="DX12" s="202"/>
      <c r="DY12" s="202"/>
      <c r="DZ12" s="202"/>
      <c r="EA12" s="202"/>
      <c r="EB12" s="202"/>
      <c r="EC12" s="202"/>
      <c r="ED12" s="202"/>
      <c r="EE12" s="202"/>
      <c r="EF12" s="202"/>
      <c r="EG12" s="208"/>
      <c r="EH12" s="208"/>
      <c r="EI12" s="208"/>
      <c r="EJ12" s="208"/>
      <c r="EK12" s="208"/>
      <c r="EL12" s="208"/>
      <c r="EM12" s="208"/>
      <c r="EN12" s="208"/>
      <c r="EO12" s="208"/>
      <c r="EP12" s="208"/>
      <c r="EQ12" s="208"/>
      <c r="ER12" s="208"/>
      <c r="ES12" s="208"/>
      <c r="ET12" s="208"/>
      <c r="EU12" s="208"/>
      <c r="EV12" s="208"/>
      <c r="EW12" s="208"/>
      <c r="EX12" s="208"/>
      <c r="EY12" s="208"/>
      <c r="EZ12" s="208"/>
      <c r="FA12" s="208"/>
      <c r="FB12" s="208"/>
      <c r="FC12" s="208"/>
      <c r="FD12" s="208"/>
      <c r="FE12" s="208"/>
      <c r="FF12" s="208"/>
      <c r="FG12" s="208"/>
      <c r="FH12" s="208"/>
      <c r="FI12" s="208"/>
      <c r="FJ12" s="208"/>
      <c r="FK12" s="208"/>
      <c r="FL12" s="964"/>
      <c r="FM12" s="208"/>
      <c r="FN12" s="208"/>
      <c r="FO12" s="208"/>
      <c r="FP12" s="208"/>
      <c r="FQ12" s="208"/>
      <c r="FR12" s="208"/>
      <c r="FS12" s="208"/>
      <c r="FT12" s="208"/>
      <c r="FU12" s="208"/>
      <c r="FV12" s="208"/>
      <c r="FW12" s="208"/>
      <c r="FX12" s="208"/>
      <c r="FY12" s="208"/>
      <c r="FZ12" s="208"/>
      <c r="GA12" s="208"/>
      <c r="GB12" s="208"/>
      <c r="GC12" s="208"/>
      <c r="GD12" s="208"/>
      <c r="GE12" s="208"/>
      <c r="GF12" s="199"/>
      <c r="GG12" s="208"/>
      <c r="GH12" s="208"/>
      <c r="GI12" s="208"/>
      <c r="GJ12" s="208"/>
      <c r="GK12" s="208"/>
      <c r="GL12" s="208"/>
      <c r="GM12" s="208"/>
      <c r="GN12" s="208"/>
      <c r="GO12" s="208"/>
      <c r="GP12" s="208"/>
      <c r="GQ12" s="208"/>
      <c r="GR12" s="208"/>
      <c r="GS12" s="208"/>
      <c r="GT12" s="208"/>
      <c r="GU12" s="281"/>
      <c r="GV12" s="174"/>
      <c r="GW12" s="174"/>
      <c r="GX12" s="174"/>
      <c r="GY12" s="174"/>
      <c r="GZ12" s="174"/>
      <c r="HA12" s="174"/>
      <c r="HB12" s="174"/>
      <c r="HC12" s="174"/>
      <c r="HD12" s="174"/>
      <c r="HE12" s="174"/>
      <c r="HF12" s="174"/>
      <c r="HG12" s="174"/>
      <c r="HH12" s="174"/>
      <c r="HI12" s="174"/>
      <c r="HJ12" s="174"/>
      <c r="HK12" s="174"/>
      <c r="HL12" s="174"/>
      <c r="HM12" s="174"/>
      <c r="HN12" s="174"/>
      <c r="HO12" s="174"/>
      <c r="HP12" s="174"/>
      <c r="HQ12" s="174"/>
      <c r="HR12" s="174"/>
      <c r="HS12" s="174"/>
      <c r="HT12" s="174"/>
      <c r="HU12" s="174"/>
      <c r="HV12" s="174"/>
      <c r="HW12" s="174"/>
      <c r="HX12" s="174"/>
      <c r="HY12" s="174"/>
      <c r="HZ12" s="174"/>
      <c r="IA12" s="174"/>
      <c r="IB12" s="174"/>
      <c r="IC12" s="174"/>
      <c r="ID12" s="174"/>
      <c r="IE12" s="174"/>
      <c r="IF12" s="174"/>
      <c r="IG12" s="174"/>
      <c r="IH12" s="174"/>
      <c r="II12" s="174"/>
      <c r="IJ12" s="174"/>
      <c r="IK12" s="174"/>
      <c r="IL12" s="174"/>
      <c r="IM12" s="174"/>
      <c r="IN12" s="174"/>
      <c r="IO12" s="174"/>
      <c r="IP12" s="174"/>
      <c r="IQ12" s="174"/>
      <c r="IR12" s="174"/>
      <c r="IS12" s="174"/>
      <c r="IT12" s="174"/>
      <c r="IU12" s="174"/>
      <c r="IV12" s="174"/>
    </row>
    <row r="13" spans="1:256" s="214" customFormat="1" ht="13.8">
      <c r="A13" s="1336"/>
      <c r="B13" s="1340"/>
      <c r="C13" s="273"/>
      <c r="D13" s="197"/>
      <c r="E13" s="197"/>
      <c r="F13" s="197"/>
      <c r="G13" s="197"/>
      <c r="H13" s="197"/>
      <c r="I13" s="197"/>
      <c r="J13" s="198"/>
      <c r="K13" s="199"/>
      <c r="L13" s="200"/>
      <c r="M13" s="1342"/>
      <c r="N13" s="202"/>
      <c r="O13" s="203"/>
      <c r="P13" s="204"/>
      <c r="Q13" s="204"/>
      <c r="R13" s="204"/>
      <c r="S13" s="204"/>
      <c r="T13" s="204"/>
      <c r="U13" s="199"/>
      <c r="V13" s="204"/>
      <c r="W13" s="208"/>
      <c r="X13" s="205"/>
      <c r="Y13" s="205"/>
      <c r="Z13" s="205"/>
      <c r="AA13" s="205"/>
      <c r="AB13" s="205"/>
      <c r="AC13" s="205"/>
      <c r="AD13" s="205"/>
      <c r="AE13" s="205"/>
      <c r="AF13" s="205"/>
      <c r="AG13" s="205"/>
      <c r="AH13" s="211"/>
      <c r="AI13" s="211"/>
      <c r="AJ13" s="211"/>
      <c r="AK13" s="211"/>
      <c r="AL13" s="211"/>
      <c r="AM13" s="211"/>
      <c r="AN13" s="211"/>
      <c r="AO13" s="211"/>
      <c r="AP13" s="211"/>
      <c r="AQ13" s="211"/>
      <c r="AR13" s="211"/>
      <c r="AS13" s="211"/>
      <c r="AT13" s="211"/>
      <c r="AU13" s="211"/>
      <c r="AV13" s="211"/>
      <c r="AW13" s="211"/>
      <c r="AX13" s="211"/>
      <c r="AY13" s="211"/>
      <c r="AZ13" s="211"/>
      <c r="BA13" s="211"/>
      <c r="BB13" s="208"/>
      <c r="BC13" s="208"/>
      <c r="BD13" s="208"/>
      <c r="BE13" s="208"/>
      <c r="BF13" s="208"/>
      <c r="BG13" s="208"/>
      <c r="BH13" s="208"/>
      <c r="BI13" s="208"/>
      <c r="BJ13" s="208"/>
      <c r="BK13" s="208"/>
      <c r="BL13" s="208"/>
      <c r="BM13" s="208"/>
      <c r="BN13" s="208"/>
      <c r="BO13" s="208"/>
      <c r="BP13" s="208"/>
      <c r="BQ13" s="205"/>
      <c r="BR13" s="202"/>
      <c r="BS13" s="205"/>
      <c r="BT13" s="205"/>
      <c r="BU13" s="211"/>
      <c r="BV13" s="211"/>
      <c r="BW13" s="211"/>
      <c r="BX13" s="211"/>
      <c r="BY13" s="211"/>
      <c r="BZ13" s="211"/>
      <c r="CA13" s="211"/>
      <c r="CB13" s="211"/>
      <c r="CC13" s="208"/>
      <c r="CD13" s="208"/>
      <c r="CE13" s="208"/>
      <c r="CF13" s="202"/>
      <c r="CG13" s="208"/>
      <c r="CH13" s="208"/>
      <c r="CI13" s="212"/>
      <c r="CJ13" s="208"/>
      <c r="CK13" s="202"/>
      <c r="CL13" s="208"/>
      <c r="CM13" s="212"/>
      <c r="CN13" s="212"/>
      <c r="CO13" s="212"/>
      <c r="CP13" s="212"/>
      <c r="CQ13" s="212"/>
      <c r="CR13" s="212"/>
      <c r="CS13" s="212"/>
      <c r="CT13" s="208"/>
      <c r="CU13" s="212"/>
      <c r="CV13" s="212"/>
      <c r="CW13" s="212"/>
      <c r="CX13" s="212"/>
      <c r="CY13" s="212"/>
      <c r="CZ13" s="212"/>
      <c r="DA13" s="212"/>
      <c r="DB13" s="212"/>
      <c r="DC13" s="212"/>
      <c r="DD13" s="212"/>
      <c r="DE13" s="212"/>
      <c r="DF13" s="208"/>
      <c r="DG13" s="208"/>
      <c r="DH13" s="202"/>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08"/>
      <c r="EL13" s="208"/>
      <c r="EM13" s="208"/>
      <c r="EN13" s="208"/>
      <c r="EO13" s="208"/>
      <c r="EP13" s="208"/>
      <c r="EQ13" s="208"/>
      <c r="ER13" s="208"/>
      <c r="ES13" s="208"/>
      <c r="ET13" s="208"/>
      <c r="EU13" s="208"/>
      <c r="EV13" s="208"/>
      <c r="EW13" s="208"/>
      <c r="EX13" s="208"/>
      <c r="EY13" s="208"/>
      <c r="EZ13" s="208"/>
      <c r="FA13" s="208"/>
      <c r="FB13" s="208"/>
      <c r="FC13" s="208"/>
      <c r="FD13" s="208"/>
      <c r="FE13" s="208"/>
      <c r="FF13" s="208"/>
      <c r="FG13" s="208"/>
      <c r="FH13" s="208"/>
      <c r="FI13" s="208"/>
      <c r="FJ13" s="208"/>
      <c r="FK13" s="208"/>
      <c r="FL13" s="964"/>
      <c r="FM13" s="199"/>
      <c r="FN13" s="199"/>
      <c r="FO13" s="208"/>
      <c r="FP13" s="208"/>
      <c r="FQ13" s="199"/>
      <c r="FR13" s="208"/>
      <c r="FS13" s="208"/>
      <c r="FT13" s="208"/>
      <c r="FU13" s="208"/>
      <c r="FV13" s="208"/>
      <c r="FW13" s="208"/>
      <c r="FX13" s="208"/>
      <c r="FY13" s="208"/>
      <c r="FZ13" s="208"/>
      <c r="GA13" s="208"/>
      <c r="GB13" s="208"/>
      <c r="GC13" s="208"/>
      <c r="GD13" s="208"/>
      <c r="GE13" s="208"/>
      <c r="GF13" s="199"/>
      <c r="GG13" s="208"/>
      <c r="GH13" s="208"/>
      <c r="GI13" s="208"/>
      <c r="GJ13" s="208"/>
      <c r="GK13" s="208"/>
      <c r="GL13" s="208"/>
      <c r="GM13" s="208"/>
      <c r="GN13" s="208"/>
      <c r="GO13" s="208"/>
      <c r="GP13" s="208"/>
      <c r="GQ13" s="208"/>
      <c r="GR13" s="208"/>
      <c r="GS13" s="208"/>
      <c r="GT13" s="208"/>
      <c r="GU13" s="281"/>
      <c r="GV13" s="174"/>
      <c r="GW13" s="174"/>
      <c r="GX13" s="174"/>
      <c r="GY13" s="174"/>
      <c r="GZ13" s="174"/>
      <c r="HA13" s="174"/>
      <c r="HB13" s="174"/>
      <c r="HC13" s="174"/>
      <c r="HD13" s="174"/>
      <c r="HE13" s="174"/>
      <c r="HF13" s="174"/>
      <c r="HG13" s="174"/>
      <c r="HH13" s="174"/>
      <c r="HI13" s="174"/>
      <c r="HJ13" s="174"/>
      <c r="HK13" s="174"/>
      <c r="HL13" s="174"/>
      <c r="HM13" s="174"/>
      <c r="HN13" s="174"/>
      <c r="HO13" s="174"/>
      <c r="HP13" s="174"/>
      <c r="HQ13" s="174"/>
      <c r="HR13" s="174"/>
      <c r="HS13" s="174"/>
      <c r="HT13" s="174"/>
      <c r="HU13" s="174"/>
      <c r="HV13" s="174"/>
      <c r="HW13" s="174"/>
      <c r="HX13" s="174"/>
      <c r="HY13" s="174"/>
      <c r="HZ13" s="174"/>
      <c r="IA13" s="174"/>
      <c r="IB13" s="174"/>
      <c r="IC13" s="174"/>
      <c r="ID13" s="174"/>
      <c r="IE13" s="174"/>
      <c r="IF13" s="174"/>
      <c r="IG13" s="174"/>
      <c r="IH13" s="174"/>
      <c r="II13" s="174"/>
      <c r="IJ13" s="174"/>
      <c r="IK13" s="174"/>
      <c r="IL13" s="174"/>
      <c r="IM13" s="174"/>
      <c r="IN13" s="174"/>
      <c r="IO13" s="174"/>
      <c r="IP13" s="174"/>
      <c r="IQ13" s="174"/>
      <c r="IR13" s="174"/>
      <c r="IS13" s="174"/>
      <c r="IT13" s="174"/>
      <c r="IU13" s="174"/>
      <c r="IV13" s="174"/>
    </row>
    <row r="14" spans="1:256" ht="13.8">
      <c r="A14" s="1336"/>
      <c r="B14" s="1340"/>
      <c r="C14" s="273"/>
      <c r="D14" s="197"/>
      <c r="E14" s="197"/>
      <c r="F14" s="197"/>
      <c r="G14" s="197"/>
      <c r="H14" s="197"/>
      <c r="I14" s="197"/>
      <c r="J14" s="198"/>
      <c r="K14" s="199"/>
      <c r="L14" s="200"/>
      <c r="M14" s="1342"/>
      <c r="N14" s="202"/>
      <c r="O14" s="203"/>
      <c r="P14" s="204"/>
      <c r="Q14" s="204"/>
      <c r="R14" s="204"/>
      <c r="S14" s="204"/>
      <c r="T14" s="204"/>
      <c r="U14" s="199"/>
      <c r="V14" s="204"/>
      <c r="W14" s="202"/>
      <c r="X14" s="205"/>
      <c r="Y14" s="205"/>
      <c r="Z14" s="205"/>
      <c r="AA14" s="205"/>
      <c r="AB14" s="205"/>
      <c r="AC14" s="205"/>
      <c r="AD14" s="205"/>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2"/>
      <c r="BC14" s="202"/>
      <c r="BD14" s="202"/>
      <c r="BE14" s="202"/>
      <c r="BF14" s="202"/>
      <c r="BG14" s="202"/>
      <c r="BH14" s="202"/>
      <c r="BI14" s="202"/>
      <c r="BJ14" s="202"/>
      <c r="BK14" s="202"/>
      <c r="BL14" s="202"/>
      <c r="BM14" s="202"/>
      <c r="BN14" s="202"/>
      <c r="BO14" s="202"/>
      <c r="BP14" s="202"/>
      <c r="BQ14" s="205"/>
      <c r="BR14" s="202"/>
      <c r="BS14" s="205"/>
      <c r="BT14" s="205"/>
      <c r="BU14" s="205"/>
      <c r="BV14" s="205"/>
      <c r="BW14" s="205"/>
      <c r="BX14" s="205"/>
      <c r="BY14" s="205"/>
      <c r="BZ14" s="205"/>
      <c r="CA14" s="205"/>
      <c r="CB14" s="205"/>
      <c r="CC14" s="202"/>
      <c r="CD14" s="202"/>
      <c r="CE14" s="202"/>
      <c r="CF14" s="202"/>
      <c r="CG14" s="202"/>
      <c r="CH14" s="202"/>
      <c r="CI14" s="206"/>
      <c r="CJ14" s="202"/>
      <c r="CK14" s="202"/>
      <c r="CL14" s="202"/>
      <c r="CM14" s="206"/>
      <c r="CN14" s="206"/>
      <c r="CO14" s="206"/>
      <c r="CP14" s="206"/>
      <c r="CQ14" s="206"/>
      <c r="CR14" s="206"/>
      <c r="CS14" s="206"/>
      <c r="CT14" s="202"/>
      <c r="CU14" s="206"/>
      <c r="CV14" s="206"/>
      <c r="CW14" s="206"/>
      <c r="CX14" s="206"/>
      <c r="CY14" s="206"/>
      <c r="CZ14" s="206"/>
      <c r="DA14" s="206"/>
      <c r="DB14" s="206"/>
      <c r="DC14" s="206"/>
      <c r="DD14" s="206"/>
      <c r="DE14" s="206"/>
      <c r="DF14" s="202"/>
      <c r="DG14" s="202"/>
      <c r="DH14" s="202"/>
      <c r="DI14" s="202"/>
      <c r="DJ14" s="202"/>
      <c r="DK14" s="202"/>
      <c r="DL14" s="202"/>
      <c r="DM14" s="202"/>
      <c r="DN14" s="202"/>
      <c r="DO14" s="202"/>
      <c r="DP14" s="202"/>
      <c r="DQ14" s="202"/>
      <c r="DR14" s="202"/>
      <c r="DS14" s="202"/>
      <c r="DT14" s="202"/>
      <c r="DU14" s="202"/>
      <c r="DV14" s="202"/>
      <c r="DW14" s="202"/>
      <c r="DX14" s="202"/>
      <c r="DY14" s="202"/>
      <c r="DZ14" s="202"/>
      <c r="EA14" s="202"/>
      <c r="EB14" s="202"/>
      <c r="EC14" s="202"/>
      <c r="ED14" s="202"/>
      <c r="EE14" s="202"/>
      <c r="EF14" s="202"/>
      <c r="EG14" s="208"/>
      <c r="EH14" s="208"/>
      <c r="EI14" s="208"/>
      <c r="EJ14" s="208"/>
      <c r="EK14" s="208"/>
      <c r="EL14" s="208"/>
      <c r="EM14" s="208"/>
      <c r="EN14" s="208"/>
      <c r="EO14" s="208"/>
      <c r="EP14" s="208"/>
      <c r="EQ14" s="208"/>
      <c r="ER14" s="208"/>
      <c r="ES14" s="208"/>
      <c r="ET14" s="208"/>
      <c r="EU14" s="208"/>
      <c r="EV14" s="208"/>
      <c r="EW14" s="208"/>
      <c r="EX14" s="208"/>
      <c r="EY14" s="208"/>
      <c r="EZ14" s="208"/>
      <c r="FA14" s="208"/>
      <c r="FB14" s="208"/>
      <c r="FC14" s="208"/>
      <c r="FD14" s="208"/>
      <c r="FE14" s="208"/>
      <c r="FF14" s="208"/>
      <c r="FG14" s="208"/>
      <c r="FH14" s="208"/>
      <c r="FI14" s="208"/>
      <c r="FJ14" s="208"/>
      <c r="FK14" s="208"/>
      <c r="FL14" s="964"/>
      <c r="FM14" s="199"/>
      <c r="FN14" s="199"/>
      <c r="FO14" s="208"/>
      <c r="FP14" s="208"/>
      <c r="FQ14" s="199"/>
      <c r="FR14" s="208"/>
      <c r="FS14" s="208"/>
      <c r="FT14" s="208"/>
      <c r="FU14" s="208"/>
      <c r="FV14" s="208"/>
      <c r="FW14" s="208"/>
      <c r="FX14" s="208"/>
      <c r="FY14" s="208"/>
      <c r="FZ14" s="208"/>
      <c r="GA14" s="208"/>
      <c r="GB14" s="208"/>
      <c r="GC14" s="208"/>
      <c r="GD14" s="208"/>
      <c r="GE14" s="208"/>
      <c r="GF14" s="199"/>
      <c r="GG14" s="208"/>
      <c r="GH14" s="208"/>
      <c r="GI14" s="208"/>
      <c r="GJ14" s="208"/>
      <c r="GK14" s="208"/>
      <c r="GL14" s="208"/>
      <c r="GM14" s="208"/>
      <c r="GN14" s="208"/>
      <c r="GO14" s="208"/>
      <c r="GP14" s="208"/>
      <c r="GQ14" s="208"/>
      <c r="GR14" s="208"/>
      <c r="GS14" s="208"/>
      <c r="GT14" s="208"/>
      <c r="GU14" s="281"/>
      <c r="GV14" s="174"/>
      <c r="GW14" s="174"/>
      <c r="GX14" s="174"/>
      <c r="GY14" s="174"/>
      <c r="GZ14" s="174"/>
      <c r="HA14" s="174"/>
      <c r="HB14" s="174"/>
      <c r="HC14" s="174"/>
      <c r="HD14" s="174"/>
      <c r="HE14" s="174"/>
      <c r="HF14" s="174"/>
      <c r="HG14" s="174"/>
      <c r="HH14" s="174"/>
      <c r="HI14" s="174"/>
      <c r="HJ14" s="174"/>
      <c r="HK14" s="174"/>
      <c r="HL14" s="174"/>
      <c r="HM14" s="174"/>
      <c r="HN14" s="174"/>
      <c r="HO14" s="174"/>
      <c r="HP14" s="174"/>
      <c r="HQ14" s="174"/>
      <c r="HR14" s="174"/>
      <c r="HS14" s="174"/>
      <c r="HT14" s="174"/>
      <c r="HU14" s="174"/>
      <c r="HV14" s="174"/>
      <c r="HW14" s="174"/>
      <c r="HX14" s="174"/>
      <c r="HY14" s="174"/>
      <c r="HZ14" s="174"/>
      <c r="IA14" s="174"/>
      <c r="IB14" s="174"/>
      <c r="IC14" s="174"/>
      <c r="ID14" s="174"/>
      <c r="IE14" s="174"/>
      <c r="IF14" s="174"/>
      <c r="IG14" s="174"/>
      <c r="IH14" s="174"/>
      <c r="II14" s="174"/>
      <c r="IJ14" s="174"/>
      <c r="IK14" s="174"/>
      <c r="IL14" s="174"/>
      <c r="IM14" s="174"/>
      <c r="IN14" s="174"/>
      <c r="IO14" s="174"/>
      <c r="IP14" s="174"/>
      <c r="IQ14" s="174"/>
      <c r="IR14" s="174"/>
      <c r="IS14" s="174"/>
      <c r="IT14" s="174"/>
      <c r="IU14" s="174"/>
      <c r="IV14" s="174"/>
    </row>
    <row r="15" spans="1:256" ht="13.8">
      <c r="A15" s="1336"/>
      <c r="B15" s="1340"/>
      <c r="C15" s="273"/>
      <c r="D15" s="197"/>
      <c r="E15" s="197"/>
      <c r="F15" s="197"/>
      <c r="G15" s="197"/>
      <c r="H15" s="197"/>
      <c r="I15" s="197"/>
      <c r="J15" s="198"/>
      <c r="K15" s="199"/>
      <c r="L15" s="200"/>
      <c r="M15" s="1342"/>
      <c r="N15" s="202"/>
      <c r="O15" s="203"/>
      <c r="P15" s="204"/>
      <c r="Q15" s="204"/>
      <c r="R15" s="204"/>
      <c r="S15" s="204"/>
      <c r="T15" s="204"/>
      <c r="U15" s="199"/>
      <c r="V15" s="204"/>
      <c r="W15" s="202"/>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2"/>
      <c r="BC15" s="202"/>
      <c r="BD15" s="202"/>
      <c r="BE15" s="202"/>
      <c r="BF15" s="202"/>
      <c r="BG15" s="202"/>
      <c r="BH15" s="202"/>
      <c r="BI15" s="202"/>
      <c r="BJ15" s="202"/>
      <c r="BK15" s="202"/>
      <c r="BL15" s="202"/>
      <c r="BM15" s="202"/>
      <c r="BN15" s="202"/>
      <c r="BO15" s="202"/>
      <c r="BP15" s="202"/>
      <c r="BQ15" s="205"/>
      <c r="BR15" s="202"/>
      <c r="BS15" s="205"/>
      <c r="BT15" s="205"/>
      <c r="BU15" s="205"/>
      <c r="BV15" s="205"/>
      <c r="BW15" s="205"/>
      <c r="BX15" s="205"/>
      <c r="BY15" s="205"/>
      <c r="BZ15" s="205"/>
      <c r="CA15" s="205"/>
      <c r="CB15" s="205"/>
      <c r="CC15" s="202"/>
      <c r="CD15" s="202"/>
      <c r="CE15" s="202"/>
      <c r="CF15" s="202"/>
      <c r="CG15" s="202"/>
      <c r="CH15" s="202"/>
      <c r="CI15" s="206"/>
      <c r="CJ15" s="202"/>
      <c r="CK15" s="202"/>
      <c r="CL15" s="202"/>
      <c r="CM15" s="206"/>
      <c r="CN15" s="206"/>
      <c r="CO15" s="206"/>
      <c r="CP15" s="206"/>
      <c r="CQ15" s="206"/>
      <c r="CR15" s="206"/>
      <c r="CS15" s="206"/>
      <c r="CT15" s="202"/>
      <c r="CU15" s="206"/>
      <c r="CV15" s="206"/>
      <c r="CW15" s="206"/>
      <c r="CX15" s="206"/>
      <c r="CY15" s="206"/>
      <c r="CZ15" s="206"/>
      <c r="DA15" s="206"/>
      <c r="DB15" s="206"/>
      <c r="DC15" s="206"/>
      <c r="DD15" s="206"/>
      <c r="DE15" s="206"/>
      <c r="DF15" s="202"/>
      <c r="DG15" s="202"/>
      <c r="DH15" s="202"/>
      <c r="DI15" s="202"/>
      <c r="DJ15" s="202"/>
      <c r="DK15" s="202"/>
      <c r="DL15" s="202"/>
      <c r="DM15" s="202"/>
      <c r="DN15" s="202"/>
      <c r="DO15" s="202"/>
      <c r="DP15" s="202"/>
      <c r="DQ15" s="202"/>
      <c r="DR15" s="202"/>
      <c r="DS15" s="202"/>
      <c r="DT15" s="202"/>
      <c r="DU15" s="202"/>
      <c r="DV15" s="202"/>
      <c r="DW15" s="202"/>
      <c r="DX15" s="202"/>
      <c r="DY15" s="202"/>
      <c r="DZ15" s="202"/>
      <c r="EA15" s="202"/>
      <c r="EB15" s="202"/>
      <c r="EC15" s="202"/>
      <c r="ED15" s="202"/>
      <c r="EE15" s="202"/>
      <c r="EF15" s="202"/>
      <c r="EG15" s="208"/>
      <c r="EH15" s="208"/>
      <c r="EI15" s="208"/>
      <c r="EJ15" s="208"/>
      <c r="EK15" s="208"/>
      <c r="EL15" s="208"/>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964"/>
      <c r="FM15" s="208"/>
      <c r="FN15" s="208"/>
      <c r="FO15" s="208"/>
      <c r="FP15" s="208"/>
      <c r="FQ15" s="208"/>
      <c r="FR15" s="208"/>
      <c r="FS15" s="208"/>
      <c r="FT15" s="208"/>
      <c r="FU15" s="208"/>
      <c r="FV15" s="208"/>
      <c r="FW15" s="208"/>
      <c r="FX15" s="208"/>
      <c r="FY15" s="208"/>
      <c r="FZ15" s="208"/>
      <c r="GA15" s="208"/>
      <c r="GB15" s="208"/>
      <c r="GC15" s="208"/>
      <c r="GD15" s="208"/>
      <c r="GE15" s="208"/>
      <c r="GF15" s="199"/>
      <c r="GG15" s="208"/>
      <c r="GH15" s="208"/>
      <c r="GI15" s="208"/>
      <c r="GJ15" s="208"/>
      <c r="GK15" s="208"/>
      <c r="GL15" s="208"/>
      <c r="GM15" s="208"/>
      <c r="GN15" s="208"/>
      <c r="GO15" s="208"/>
      <c r="GP15" s="208"/>
      <c r="GQ15" s="208"/>
      <c r="GR15" s="208"/>
      <c r="GS15" s="208"/>
      <c r="GT15" s="208"/>
      <c r="GU15" s="281"/>
      <c r="GV15" s="174"/>
      <c r="GW15" s="174"/>
      <c r="GX15" s="174"/>
      <c r="GY15" s="174"/>
      <c r="GZ15" s="174"/>
      <c r="HA15" s="174"/>
      <c r="HB15" s="174"/>
      <c r="HC15" s="174"/>
      <c r="HD15" s="174"/>
      <c r="HE15" s="174"/>
      <c r="HF15" s="174"/>
      <c r="HG15" s="174"/>
      <c r="HH15" s="174"/>
      <c r="HI15" s="174"/>
      <c r="HJ15" s="174"/>
      <c r="HK15" s="174"/>
      <c r="HL15" s="174"/>
      <c r="HM15" s="174"/>
      <c r="HN15" s="174"/>
      <c r="HO15" s="174"/>
      <c r="HP15" s="174"/>
      <c r="HQ15" s="174"/>
      <c r="HR15" s="174"/>
      <c r="HS15" s="174"/>
      <c r="HT15" s="174"/>
      <c r="HU15" s="174"/>
      <c r="HV15" s="174"/>
      <c r="HW15" s="174"/>
      <c r="HX15" s="174"/>
      <c r="HY15" s="174"/>
      <c r="HZ15" s="174"/>
      <c r="IA15" s="174"/>
      <c r="IB15" s="174"/>
      <c r="IC15" s="174"/>
      <c r="ID15" s="174"/>
      <c r="IE15" s="174"/>
      <c r="IF15" s="174"/>
      <c r="IG15" s="174"/>
      <c r="IH15" s="174"/>
      <c r="II15" s="174"/>
      <c r="IJ15" s="174"/>
      <c r="IK15" s="174"/>
      <c r="IL15" s="174"/>
      <c r="IM15" s="174"/>
      <c r="IN15" s="174"/>
      <c r="IO15" s="174"/>
      <c r="IP15" s="174"/>
      <c r="IQ15" s="174"/>
      <c r="IR15" s="174"/>
      <c r="IS15" s="174"/>
      <c r="IT15" s="174"/>
      <c r="IU15" s="174"/>
      <c r="IV15" s="174"/>
    </row>
    <row r="16" spans="1:256" ht="13.8">
      <c r="A16" s="1336"/>
      <c r="B16" s="1340"/>
      <c r="C16" s="273"/>
      <c r="D16" s="197"/>
      <c r="E16" s="197"/>
      <c r="F16" s="197"/>
      <c r="G16" s="197"/>
      <c r="H16" s="197"/>
      <c r="I16" s="197"/>
      <c r="J16" s="198"/>
      <c r="K16" s="199"/>
      <c r="L16" s="200"/>
      <c r="M16" s="1342"/>
      <c r="N16" s="202"/>
      <c r="O16" s="203"/>
      <c r="P16" s="204"/>
      <c r="Q16" s="204"/>
      <c r="R16" s="204"/>
      <c r="S16" s="204"/>
      <c r="T16" s="204"/>
      <c r="U16" s="199"/>
      <c r="V16" s="204"/>
      <c r="W16" s="202"/>
      <c r="X16" s="205"/>
      <c r="Y16" s="205"/>
      <c r="Z16" s="205"/>
      <c r="AA16" s="205"/>
      <c r="AB16" s="205"/>
      <c r="AC16" s="205"/>
      <c r="AD16" s="205"/>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2"/>
      <c r="BC16" s="202"/>
      <c r="BD16" s="202"/>
      <c r="BE16" s="202"/>
      <c r="BF16" s="202"/>
      <c r="BG16" s="202"/>
      <c r="BH16" s="202"/>
      <c r="BI16" s="202"/>
      <c r="BJ16" s="202"/>
      <c r="BK16" s="202"/>
      <c r="BL16" s="202"/>
      <c r="BM16" s="202"/>
      <c r="BN16" s="202"/>
      <c r="BO16" s="202"/>
      <c r="BP16" s="202"/>
      <c r="BQ16" s="205"/>
      <c r="BR16" s="202"/>
      <c r="BS16" s="205"/>
      <c r="BT16" s="205"/>
      <c r="BU16" s="205"/>
      <c r="BV16" s="205"/>
      <c r="BW16" s="205"/>
      <c r="BX16" s="205"/>
      <c r="BY16" s="205"/>
      <c r="BZ16" s="205"/>
      <c r="CA16" s="205"/>
      <c r="CB16" s="205"/>
      <c r="CC16" s="202"/>
      <c r="CD16" s="202"/>
      <c r="CE16" s="202"/>
      <c r="CF16" s="202"/>
      <c r="CG16" s="202"/>
      <c r="CH16" s="202"/>
      <c r="CI16" s="206"/>
      <c r="CJ16" s="202"/>
      <c r="CK16" s="202"/>
      <c r="CL16" s="202"/>
      <c r="CM16" s="206"/>
      <c r="CN16" s="206"/>
      <c r="CO16" s="206"/>
      <c r="CP16" s="206"/>
      <c r="CQ16" s="206"/>
      <c r="CR16" s="206"/>
      <c r="CS16" s="206"/>
      <c r="CT16" s="202"/>
      <c r="CU16" s="206"/>
      <c r="CV16" s="206"/>
      <c r="CW16" s="206"/>
      <c r="CX16" s="206"/>
      <c r="CY16" s="206"/>
      <c r="CZ16" s="206"/>
      <c r="DA16" s="206"/>
      <c r="DB16" s="206"/>
      <c r="DC16" s="206"/>
      <c r="DD16" s="206"/>
      <c r="DE16" s="206"/>
      <c r="DF16" s="202"/>
      <c r="DG16" s="202"/>
      <c r="DH16" s="202"/>
      <c r="DI16" s="202"/>
      <c r="DJ16" s="202"/>
      <c r="DK16" s="202"/>
      <c r="DL16" s="202"/>
      <c r="DM16" s="202"/>
      <c r="DN16" s="202"/>
      <c r="DO16" s="202"/>
      <c r="DP16" s="202"/>
      <c r="DQ16" s="202"/>
      <c r="DR16" s="202"/>
      <c r="DS16" s="202"/>
      <c r="DT16" s="202"/>
      <c r="DU16" s="202"/>
      <c r="DV16" s="202"/>
      <c r="DW16" s="202"/>
      <c r="DX16" s="202"/>
      <c r="DY16" s="202"/>
      <c r="DZ16" s="202"/>
      <c r="EA16" s="202"/>
      <c r="EB16" s="202"/>
      <c r="EC16" s="202"/>
      <c r="ED16" s="202"/>
      <c r="EE16" s="202"/>
      <c r="EF16" s="202"/>
      <c r="EG16" s="208"/>
      <c r="EH16" s="208"/>
      <c r="EI16" s="208"/>
      <c r="EJ16" s="208"/>
      <c r="EK16" s="208"/>
      <c r="EL16" s="208"/>
      <c r="EM16" s="208"/>
      <c r="EN16" s="208"/>
      <c r="EO16" s="208"/>
      <c r="EP16" s="208"/>
      <c r="EQ16" s="208"/>
      <c r="ER16" s="208"/>
      <c r="ES16" s="208"/>
      <c r="ET16" s="208"/>
      <c r="EU16" s="208"/>
      <c r="EV16" s="208"/>
      <c r="EW16" s="208"/>
      <c r="EX16" s="208"/>
      <c r="EY16" s="208"/>
      <c r="EZ16" s="208"/>
      <c r="FA16" s="208"/>
      <c r="FB16" s="208"/>
      <c r="FC16" s="208"/>
      <c r="FD16" s="208"/>
      <c r="FE16" s="208"/>
      <c r="FF16" s="208"/>
      <c r="FG16" s="208"/>
      <c r="FH16" s="208"/>
      <c r="FI16" s="208"/>
      <c r="FJ16" s="208"/>
      <c r="FK16" s="208"/>
      <c r="FL16" s="964"/>
      <c r="FM16" s="208"/>
      <c r="FN16" s="208"/>
      <c r="FO16" s="208"/>
      <c r="FP16" s="208"/>
      <c r="FQ16" s="208"/>
      <c r="FR16" s="208"/>
      <c r="FS16" s="208"/>
      <c r="FT16" s="208"/>
      <c r="FU16" s="208"/>
      <c r="FV16" s="208"/>
      <c r="FW16" s="208"/>
      <c r="FX16" s="208"/>
      <c r="FY16" s="208"/>
      <c r="FZ16" s="208"/>
      <c r="GA16" s="208"/>
      <c r="GB16" s="208"/>
      <c r="GC16" s="208"/>
      <c r="GD16" s="208"/>
      <c r="GE16" s="208"/>
      <c r="GF16" s="199"/>
      <c r="GG16" s="208"/>
      <c r="GH16" s="208"/>
      <c r="GI16" s="208"/>
      <c r="GJ16" s="208"/>
      <c r="GK16" s="208"/>
      <c r="GL16" s="208"/>
      <c r="GM16" s="208"/>
      <c r="GN16" s="208"/>
      <c r="GO16" s="208"/>
      <c r="GP16" s="208"/>
      <c r="GQ16" s="208"/>
      <c r="GR16" s="208"/>
      <c r="GS16" s="208"/>
      <c r="GT16" s="208"/>
      <c r="GU16" s="281"/>
      <c r="GV16" s="174"/>
      <c r="GW16" s="174"/>
      <c r="GX16" s="174"/>
      <c r="GY16" s="174"/>
      <c r="GZ16" s="174"/>
      <c r="HA16" s="174"/>
      <c r="HB16" s="174"/>
      <c r="HC16" s="174"/>
      <c r="HD16" s="174"/>
      <c r="HE16" s="174"/>
      <c r="HF16" s="174"/>
      <c r="HG16" s="174"/>
      <c r="HH16" s="174"/>
      <c r="HI16" s="174"/>
      <c r="HJ16" s="174"/>
      <c r="HK16" s="174"/>
      <c r="HL16" s="174"/>
      <c r="HM16" s="174"/>
      <c r="HN16" s="174"/>
      <c r="HO16" s="174"/>
      <c r="HP16" s="174"/>
      <c r="HQ16" s="174"/>
      <c r="HR16" s="174"/>
      <c r="HS16" s="174"/>
      <c r="HT16" s="174"/>
      <c r="HU16" s="174"/>
      <c r="HV16" s="174"/>
      <c r="HW16" s="174"/>
      <c r="HX16" s="174"/>
      <c r="HY16" s="174"/>
      <c r="HZ16" s="174"/>
      <c r="IA16" s="174"/>
      <c r="IB16" s="174"/>
      <c r="IC16" s="174"/>
      <c r="ID16" s="174"/>
      <c r="IE16" s="174"/>
      <c r="IF16" s="174"/>
      <c r="IG16" s="174"/>
      <c r="IH16" s="174"/>
      <c r="II16" s="174"/>
      <c r="IJ16" s="174"/>
      <c r="IK16" s="174"/>
      <c r="IL16" s="174"/>
      <c r="IM16" s="174"/>
      <c r="IN16" s="174"/>
      <c r="IO16" s="174"/>
      <c r="IP16" s="174"/>
      <c r="IQ16" s="174"/>
      <c r="IR16" s="174"/>
      <c r="IS16" s="174"/>
      <c r="IT16" s="174"/>
      <c r="IU16" s="174"/>
      <c r="IV16" s="174"/>
    </row>
    <row r="17" spans="1:256" s="214" customFormat="1" ht="13.8">
      <c r="A17" s="1336"/>
      <c r="B17" s="1340"/>
      <c r="C17" s="273"/>
      <c r="D17" s="197"/>
      <c r="E17" s="197"/>
      <c r="F17" s="197"/>
      <c r="G17" s="197"/>
      <c r="H17" s="197"/>
      <c r="I17" s="197"/>
      <c r="J17" s="198"/>
      <c r="K17" s="199"/>
      <c r="L17" s="200"/>
      <c r="M17" s="1342"/>
      <c r="N17" s="202"/>
      <c r="O17" s="203"/>
      <c r="P17" s="204"/>
      <c r="Q17" s="204"/>
      <c r="R17" s="204"/>
      <c r="S17" s="204"/>
      <c r="T17" s="204"/>
      <c r="U17" s="199"/>
      <c r="V17" s="204"/>
      <c r="W17" s="208"/>
      <c r="X17" s="205"/>
      <c r="Y17" s="205"/>
      <c r="Z17" s="205"/>
      <c r="AA17" s="205"/>
      <c r="AB17" s="205"/>
      <c r="AC17" s="205"/>
      <c r="AD17" s="205"/>
      <c r="AE17" s="205"/>
      <c r="AF17" s="205"/>
      <c r="AG17" s="205"/>
      <c r="AH17" s="211"/>
      <c r="AI17" s="211"/>
      <c r="AJ17" s="211"/>
      <c r="AK17" s="211"/>
      <c r="AL17" s="211"/>
      <c r="AM17" s="211"/>
      <c r="AN17" s="211"/>
      <c r="AO17" s="211"/>
      <c r="AP17" s="211"/>
      <c r="AQ17" s="211"/>
      <c r="AR17" s="211"/>
      <c r="AS17" s="211"/>
      <c r="AT17" s="211"/>
      <c r="AU17" s="211"/>
      <c r="AV17" s="211"/>
      <c r="AW17" s="211"/>
      <c r="AX17" s="211"/>
      <c r="AY17" s="211"/>
      <c r="AZ17" s="211"/>
      <c r="BA17" s="211"/>
      <c r="BB17" s="208"/>
      <c r="BC17" s="208"/>
      <c r="BD17" s="208"/>
      <c r="BE17" s="208"/>
      <c r="BF17" s="208"/>
      <c r="BG17" s="208"/>
      <c r="BH17" s="208"/>
      <c r="BI17" s="208"/>
      <c r="BJ17" s="208"/>
      <c r="BK17" s="208"/>
      <c r="BL17" s="208"/>
      <c r="BM17" s="208"/>
      <c r="BN17" s="208"/>
      <c r="BO17" s="208"/>
      <c r="BP17" s="208"/>
      <c r="BQ17" s="205"/>
      <c r="BR17" s="202"/>
      <c r="BS17" s="205"/>
      <c r="BT17" s="205"/>
      <c r="BU17" s="211"/>
      <c r="BV17" s="211"/>
      <c r="BW17" s="211"/>
      <c r="BX17" s="211"/>
      <c r="BY17" s="211"/>
      <c r="BZ17" s="211"/>
      <c r="CA17" s="211"/>
      <c r="CB17" s="211"/>
      <c r="CC17" s="208"/>
      <c r="CD17" s="208"/>
      <c r="CE17" s="208"/>
      <c r="CF17" s="202"/>
      <c r="CG17" s="208"/>
      <c r="CH17" s="208"/>
      <c r="CI17" s="212"/>
      <c r="CJ17" s="208"/>
      <c r="CK17" s="202"/>
      <c r="CL17" s="208"/>
      <c r="CM17" s="212"/>
      <c r="CN17" s="212"/>
      <c r="CO17" s="212"/>
      <c r="CP17" s="212"/>
      <c r="CQ17" s="212"/>
      <c r="CR17" s="212"/>
      <c r="CS17" s="212"/>
      <c r="CT17" s="208"/>
      <c r="CU17" s="212"/>
      <c r="CV17" s="212"/>
      <c r="CW17" s="212"/>
      <c r="CX17" s="212"/>
      <c r="CY17" s="212"/>
      <c r="CZ17" s="212"/>
      <c r="DA17" s="212"/>
      <c r="DB17" s="212"/>
      <c r="DC17" s="212"/>
      <c r="DD17" s="212"/>
      <c r="DE17" s="212"/>
      <c r="DF17" s="208"/>
      <c r="DG17" s="208"/>
      <c r="DH17" s="202"/>
      <c r="DI17" s="208"/>
      <c r="DJ17" s="208"/>
      <c r="DK17" s="208"/>
      <c r="DL17" s="208"/>
      <c r="DM17" s="208"/>
      <c r="DN17" s="208"/>
      <c r="DO17" s="208"/>
      <c r="DP17" s="208"/>
      <c r="DQ17" s="208"/>
      <c r="DR17" s="208"/>
      <c r="DS17" s="208"/>
      <c r="DT17" s="208"/>
      <c r="DU17" s="208"/>
      <c r="DV17" s="208"/>
      <c r="DW17" s="208"/>
      <c r="DX17" s="208"/>
      <c r="DY17" s="208"/>
      <c r="DZ17" s="208"/>
      <c r="EA17" s="208"/>
      <c r="EB17" s="208"/>
      <c r="EC17" s="208"/>
      <c r="ED17" s="208"/>
      <c r="EE17" s="208"/>
      <c r="EF17" s="208"/>
      <c r="EG17" s="208"/>
      <c r="EH17" s="208"/>
      <c r="EI17" s="208"/>
      <c r="EJ17" s="208"/>
      <c r="EK17" s="208"/>
      <c r="EL17" s="208"/>
      <c r="EM17" s="208"/>
      <c r="EN17" s="208"/>
      <c r="EO17" s="208"/>
      <c r="EP17" s="208"/>
      <c r="EQ17" s="208"/>
      <c r="ER17" s="208"/>
      <c r="ES17" s="208"/>
      <c r="ET17" s="208"/>
      <c r="EU17" s="208"/>
      <c r="EV17" s="208"/>
      <c r="EW17" s="208"/>
      <c r="EX17" s="208"/>
      <c r="EY17" s="208"/>
      <c r="EZ17" s="208"/>
      <c r="FA17" s="208"/>
      <c r="FB17" s="208"/>
      <c r="FC17" s="208"/>
      <c r="FD17" s="208"/>
      <c r="FE17" s="208"/>
      <c r="FF17" s="208"/>
      <c r="FG17" s="208"/>
      <c r="FH17" s="208"/>
      <c r="FI17" s="208"/>
      <c r="FJ17" s="208"/>
      <c r="FK17" s="208"/>
      <c r="FL17" s="964"/>
      <c r="FM17" s="199"/>
      <c r="FN17" s="199"/>
      <c r="FO17" s="208"/>
      <c r="FP17" s="208"/>
      <c r="FQ17" s="199"/>
      <c r="FR17" s="208"/>
      <c r="FS17" s="208"/>
      <c r="FT17" s="208"/>
      <c r="FU17" s="208"/>
      <c r="FV17" s="208"/>
      <c r="FW17" s="208"/>
      <c r="FX17" s="208"/>
      <c r="FY17" s="208"/>
      <c r="FZ17" s="208"/>
      <c r="GA17" s="208"/>
      <c r="GB17" s="208"/>
      <c r="GC17" s="208"/>
      <c r="GD17" s="208"/>
      <c r="GE17" s="208"/>
      <c r="GF17" s="199"/>
      <c r="GG17" s="208"/>
      <c r="GH17" s="208"/>
      <c r="GI17" s="208"/>
      <c r="GJ17" s="208"/>
      <c r="GK17" s="208"/>
      <c r="GL17" s="208"/>
      <c r="GM17" s="208"/>
      <c r="GN17" s="208"/>
      <c r="GO17" s="208"/>
      <c r="GP17" s="208"/>
      <c r="GQ17" s="208"/>
      <c r="GR17" s="208"/>
      <c r="GS17" s="208"/>
      <c r="GT17" s="208"/>
      <c r="GU17" s="281"/>
      <c r="GV17" s="174"/>
      <c r="GW17" s="174"/>
      <c r="GX17" s="174"/>
      <c r="GY17" s="174"/>
      <c r="GZ17" s="174"/>
      <c r="HA17" s="174"/>
      <c r="HB17" s="174"/>
      <c r="HC17" s="174"/>
      <c r="HD17" s="174"/>
      <c r="HE17" s="174"/>
      <c r="HF17" s="174"/>
      <c r="HG17" s="174"/>
      <c r="HH17" s="174"/>
      <c r="HI17" s="174"/>
      <c r="HJ17" s="174"/>
      <c r="HK17" s="174"/>
      <c r="HL17" s="174"/>
      <c r="HM17" s="174"/>
      <c r="HN17" s="174"/>
      <c r="HO17" s="174"/>
      <c r="HP17" s="174"/>
      <c r="HQ17" s="174"/>
      <c r="HR17" s="174"/>
      <c r="HS17" s="174"/>
      <c r="HT17" s="174"/>
      <c r="HU17" s="174"/>
      <c r="HV17" s="174"/>
      <c r="HW17" s="174"/>
      <c r="HX17" s="174"/>
      <c r="HY17" s="174"/>
      <c r="HZ17" s="174"/>
      <c r="IA17" s="174"/>
      <c r="IB17" s="174"/>
      <c r="IC17" s="174"/>
      <c r="ID17" s="174"/>
      <c r="IE17" s="174"/>
      <c r="IF17" s="174"/>
      <c r="IG17" s="174"/>
      <c r="IH17" s="174"/>
      <c r="II17" s="174"/>
      <c r="IJ17" s="174"/>
      <c r="IK17" s="174"/>
      <c r="IL17" s="174"/>
      <c r="IM17" s="174"/>
      <c r="IN17" s="174"/>
      <c r="IO17" s="174"/>
      <c r="IP17" s="174"/>
      <c r="IQ17" s="174"/>
      <c r="IR17" s="174"/>
      <c r="IS17" s="174"/>
      <c r="IT17" s="174"/>
      <c r="IU17" s="174"/>
      <c r="IV17" s="174"/>
    </row>
    <row r="18" spans="1:256" ht="13.8">
      <c r="A18" s="1336"/>
      <c r="B18" s="1340"/>
      <c r="C18" s="273"/>
      <c r="D18" s="197"/>
      <c r="E18" s="197"/>
      <c r="F18" s="197"/>
      <c r="G18" s="197"/>
      <c r="H18" s="197"/>
      <c r="I18" s="197"/>
      <c r="J18" s="198"/>
      <c r="K18" s="199"/>
      <c r="L18" s="200"/>
      <c r="M18" s="1342"/>
      <c r="N18" s="202"/>
      <c r="O18" s="203"/>
      <c r="P18" s="204"/>
      <c r="Q18" s="204"/>
      <c r="R18" s="204"/>
      <c r="S18" s="204"/>
      <c r="T18" s="204"/>
      <c r="U18" s="199"/>
      <c r="V18" s="204"/>
      <c r="W18" s="202"/>
      <c r="X18" s="205"/>
      <c r="Y18" s="205"/>
      <c r="Z18" s="205"/>
      <c r="AA18" s="205"/>
      <c r="AB18" s="205"/>
      <c r="AC18" s="205"/>
      <c r="AD18" s="205"/>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2"/>
      <c r="BC18" s="202"/>
      <c r="BD18" s="202"/>
      <c r="BE18" s="202"/>
      <c r="BF18" s="202"/>
      <c r="BG18" s="202"/>
      <c r="BH18" s="202"/>
      <c r="BI18" s="202"/>
      <c r="BJ18" s="202"/>
      <c r="BK18" s="202"/>
      <c r="BL18" s="202"/>
      <c r="BM18" s="202"/>
      <c r="BN18" s="202"/>
      <c r="BO18" s="202"/>
      <c r="BP18" s="202"/>
      <c r="BQ18" s="205"/>
      <c r="BR18" s="202"/>
      <c r="BS18" s="205"/>
      <c r="BT18" s="205"/>
      <c r="BU18" s="205"/>
      <c r="BV18" s="205"/>
      <c r="BW18" s="205"/>
      <c r="BX18" s="205"/>
      <c r="BY18" s="205"/>
      <c r="BZ18" s="205"/>
      <c r="CA18" s="205"/>
      <c r="CB18" s="205"/>
      <c r="CC18" s="202"/>
      <c r="CD18" s="202"/>
      <c r="CE18" s="202"/>
      <c r="CF18" s="202"/>
      <c r="CG18" s="202"/>
      <c r="CH18" s="202"/>
      <c r="CI18" s="206"/>
      <c r="CJ18" s="202"/>
      <c r="CK18" s="202"/>
      <c r="CL18" s="202"/>
      <c r="CM18" s="206"/>
      <c r="CN18" s="206"/>
      <c r="CO18" s="206"/>
      <c r="CP18" s="206"/>
      <c r="CQ18" s="206"/>
      <c r="CR18" s="206"/>
      <c r="CS18" s="206"/>
      <c r="CT18" s="202"/>
      <c r="CU18" s="206"/>
      <c r="CV18" s="206"/>
      <c r="CW18" s="206"/>
      <c r="CX18" s="206"/>
      <c r="CY18" s="206"/>
      <c r="CZ18" s="206"/>
      <c r="DA18" s="206"/>
      <c r="DB18" s="206"/>
      <c r="DC18" s="206"/>
      <c r="DD18" s="206"/>
      <c r="DE18" s="206"/>
      <c r="DF18" s="202"/>
      <c r="DG18" s="202"/>
      <c r="DH18" s="202"/>
      <c r="DI18" s="202"/>
      <c r="DJ18" s="202"/>
      <c r="DK18" s="202"/>
      <c r="DL18" s="202"/>
      <c r="DM18" s="202"/>
      <c r="DN18" s="202"/>
      <c r="DO18" s="202"/>
      <c r="DP18" s="202"/>
      <c r="DQ18" s="202"/>
      <c r="DR18" s="202"/>
      <c r="DS18" s="202"/>
      <c r="DT18" s="202"/>
      <c r="DU18" s="202"/>
      <c r="DV18" s="202"/>
      <c r="DW18" s="202"/>
      <c r="DX18" s="202"/>
      <c r="DY18" s="202"/>
      <c r="DZ18" s="202"/>
      <c r="EA18" s="202"/>
      <c r="EB18" s="202"/>
      <c r="EC18" s="202"/>
      <c r="ED18" s="202"/>
      <c r="EE18" s="202"/>
      <c r="EF18" s="202"/>
      <c r="EG18" s="208"/>
      <c r="EH18" s="208"/>
      <c r="EI18" s="208"/>
      <c r="EJ18" s="208"/>
      <c r="EK18" s="208"/>
      <c r="EL18" s="208"/>
      <c r="EM18" s="208"/>
      <c r="EN18" s="208"/>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964"/>
      <c r="FM18" s="199"/>
      <c r="FN18" s="199"/>
      <c r="FO18" s="208"/>
      <c r="FP18" s="208"/>
      <c r="FQ18" s="199"/>
      <c r="FR18" s="208"/>
      <c r="FS18" s="208"/>
      <c r="FT18" s="208"/>
      <c r="FU18" s="208"/>
      <c r="FV18" s="208"/>
      <c r="FW18" s="208"/>
      <c r="FX18" s="208"/>
      <c r="FY18" s="208"/>
      <c r="FZ18" s="208"/>
      <c r="GA18" s="208"/>
      <c r="GB18" s="208"/>
      <c r="GC18" s="208"/>
      <c r="GD18" s="208"/>
      <c r="GE18" s="208"/>
      <c r="GF18" s="199"/>
      <c r="GG18" s="208"/>
      <c r="GH18" s="208"/>
      <c r="GI18" s="208"/>
      <c r="GJ18" s="208"/>
      <c r="GK18" s="208"/>
      <c r="GL18" s="208"/>
      <c r="GM18" s="208"/>
      <c r="GN18" s="208"/>
      <c r="GO18" s="208"/>
      <c r="GP18" s="208"/>
      <c r="GQ18" s="208"/>
      <c r="GR18" s="208"/>
      <c r="GS18" s="208"/>
      <c r="GT18" s="208"/>
      <c r="GU18" s="281"/>
      <c r="GV18" s="174"/>
      <c r="GW18" s="174"/>
      <c r="GX18" s="174"/>
      <c r="GY18" s="174"/>
      <c r="GZ18" s="174"/>
      <c r="HA18" s="174"/>
      <c r="HB18" s="174"/>
      <c r="HC18" s="174"/>
      <c r="HD18" s="174"/>
      <c r="HE18" s="174"/>
      <c r="HF18" s="174"/>
      <c r="HG18" s="174"/>
      <c r="HH18" s="174"/>
      <c r="HI18" s="174"/>
      <c r="HJ18" s="174"/>
      <c r="HK18" s="174"/>
      <c r="HL18" s="174"/>
      <c r="HM18" s="174"/>
      <c r="HN18" s="174"/>
      <c r="HO18" s="174"/>
      <c r="HP18" s="174"/>
      <c r="HQ18" s="174"/>
      <c r="HR18" s="174"/>
      <c r="HS18" s="174"/>
      <c r="HT18" s="174"/>
      <c r="HU18" s="174"/>
      <c r="HV18" s="174"/>
      <c r="HW18" s="174"/>
      <c r="HX18" s="174"/>
      <c r="HY18" s="174"/>
      <c r="HZ18" s="174"/>
      <c r="IA18" s="174"/>
      <c r="IB18" s="174"/>
      <c r="IC18" s="174"/>
      <c r="ID18" s="174"/>
      <c r="IE18" s="174"/>
      <c r="IF18" s="174"/>
      <c r="IG18" s="174"/>
      <c r="IH18" s="174"/>
      <c r="II18" s="174"/>
      <c r="IJ18" s="174"/>
      <c r="IK18" s="174"/>
      <c r="IL18" s="174"/>
      <c r="IM18" s="174"/>
      <c r="IN18" s="174"/>
      <c r="IO18" s="174"/>
      <c r="IP18" s="174"/>
      <c r="IQ18" s="174"/>
      <c r="IR18" s="174"/>
      <c r="IS18" s="174"/>
      <c r="IT18" s="174"/>
      <c r="IU18" s="174"/>
      <c r="IV18" s="174"/>
    </row>
    <row r="19" spans="1:256" ht="13.8">
      <c r="A19" s="1336"/>
      <c r="B19" s="1340"/>
      <c r="C19" s="273"/>
      <c r="D19" s="197"/>
      <c r="E19" s="197"/>
      <c r="F19" s="197"/>
      <c r="G19" s="197"/>
      <c r="H19" s="197"/>
      <c r="I19" s="197"/>
      <c r="J19" s="198"/>
      <c r="K19" s="199"/>
      <c r="L19" s="200"/>
      <c r="M19" s="1342"/>
      <c r="N19" s="202"/>
      <c r="O19" s="203"/>
      <c r="P19" s="204"/>
      <c r="Q19" s="204"/>
      <c r="R19" s="204"/>
      <c r="S19" s="204"/>
      <c r="T19" s="204"/>
      <c r="U19" s="199"/>
      <c r="V19" s="204"/>
      <c r="W19" s="202"/>
      <c r="X19" s="205"/>
      <c r="Y19" s="205"/>
      <c r="Z19" s="205"/>
      <c r="AA19" s="205"/>
      <c r="AB19" s="205"/>
      <c r="AC19" s="205"/>
      <c r="AD19" s="205"/>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2"/>
      <c r="BC19" s="202"/>
      <c r="BD19" s="202"/>
      <c r="BE19" s="202"/>
      <c r="BF19" s="202"/>
      <c r="BG19" s="202"/>
      <c r="BH19" s="202"/>
      <c r="BI19" s="202"/>
      <c r="BJ19" s="202"/>
      <c r="BK19" s="202"/>
      <c r="BL19" s="202"/>
      <c r="BM19" s="202"/>
      <c r="BN19" s="202"/>
      <c r="BO19" s="202"/>
      <c r="BP19" s="202"/>
      <c r="BQ19" s="205"/>
      <c r="BR19" s="202"/>
      <c r="BS19" s="205"/>
      <c r="BT19" s="205"/>
      <c r="BU19" s="205"/>
      <c r="BV19" s="205"/>
      <c r="BW19" s="205"/>
      <c r="BX19" s="205"/>
      <c r="BY19" s="205"/>
      <c r="BZ19" s="205"/>
      <c r="CA19" s="205"/>
      <c r="CB19" s="205"/>
      <c r="CC19" s="202"/>
      <c r="CD19" s="202"/>
      <c r="CE19" s="202"/>
      <c r="CF19" s="202"/>
      <c r="CG19" s="202"/>
      <c r="CH19" s="202"/>
      <c r="CI19" s="206"/>
      <c r="CJ19" s="202"/>
      <c r="CK19" s="202"/>
      <c r="CL19" s="202"/>
      <c r="CM19" s="206"/>
      <c r="CN19" s="206"/>
      <c r="CO19" s="206"/>
      <c r="CP19" s="206"/>
      <c r="CQ19" s="206"/>
      <c r="CR19" s="206"/>
      <c r="CS19" s="206"/>
      <c r="CT19" s="202"/>
      <c r="CU19" s="206"/>
      <c r="CV19" s="206"/>
      <c r="CW19" s="206"/>
      <c r="CX19" s="206"/>
      <c r="CY19" s="206"/>
      <c r="CZ19" s="206"/>
      <c r="DA19" s="206"/>
      <c r="DB19" s="206"/>
      <c r="DC19" s="206"/>
      <c r="DD19" s="206"/>
      <c r="DE19" s="206"/>
      <c r="DF19" s="202"/>
      <c r="DG19" s="202"/>
      <c r="DH19" s="202"/>
      <c r="DI19" s="202"/>
      <c r="DJ19" s="202"/>
      <c r="DK19" s="202"/>
      <c r="DL19" s="202"/>
      <c r="DM19" s="202"/>
      <c r="DN19" s="202"/>
      <c r="DO19" s="202"/>
      <c r="DP19" s="202"/>
      <c r="DQ19" s="202"/>
      <c r="DR19" s="202"/>
      <c r="DS19" s="202"/>
      <c r="DT19" s="202"/>
      <c r="DU19" s="202"/>
      <c r="DV19" s="202"/>
      <c r="DW19" s="202"/>
      <c r="DX19" s="202"/>
      <c r="DY19" s="202"/>
      <c r="DZ19" s="202"/>
      <c r="EA19" s="202"/>
      <c r="EB19" s="202"/>
      <c r="EC19" s="202"/>
      <c r="ED19" s="202"/>
      <c r="EE19" s="202"/>
      <c r="EF19" s="202"/>
      <c r="EG19" s="208"/>
      <c r="EH19" s="208"/>
      <c r="EI19" s="208"/>
      <c r="EJ19" s="208"/>
      <c r="EK19" s="208"/>
      <c r="EL19" s="208"/>
      <c r="EM19" s="208"/>
      <c r="EN19" s="208"/>
      <c r="EO19" s="208"/>
      <c r="EP19" s="208"/>
      <c r="EQ19" s="208"/>
      <c r="ER19" s="208"/>
      <c r="ES19" s="208"/>
      <c r="ET19" s="208"/>
      <c r="EU19" s="208"/>
      <c r="EV19" s="208"/>
      <c r="EW19" s="208"/>
      <c r="EX19" s="208"/>
      <c r="EY19" s="208"/>
      <c r="EZ19" s="208"/>
      <c r="FA19" s="208"/>
      <c r="FB19" s="208"/>
      <c r="FC19" s="208"/>
      <c r="FD19" s="208"/>
      <c r="FE19" s="208"/>
      <c r="FF19" s="208"/>
      <c r="FG19" s="208"/>
      <c r="FH19" s="208"/>
      <c r="FI19" s="208"/>
      <c r="FJ19" s="208"/>
      <c r="FK19" s="208"/>
      <c r="FL19" s="964"/>
      <c r="FM19" s="199"/>
      <c r="FN19" s="199"/>
      <c r="FO19" s="208"/>
      <c r="FP19" s="208"/>
      <c r="FQ19" s="199"/>
      <c r="FR19" s="208"/>
      <c r="FS19" s="208"/>
      <c r="FT19" s="208"/>
      <c r="FU19" s="208"/>
      <c r="FV19" s="208"/>
      <c r="FW19" s="208"/>
      <c r="FX19" s="208"/>
      <c r="FY19" s="208"/>
      <c r="FZ19" s="208"/>
      <c r="GA19" s="208"/>
      <c r="GB19" s="208"/>
      <c r="GC19" s="208"/>
      <c r="GD19" s="208"/>
      <c r="GE19" s="208"/>
      <c r="GF19" s="199"/>
      <c r="GG19" s="208"/>
      <c r="GH19" s="208"/>
      <c r="GI19" s="208"/>
      <c r="GJ19" s="208"/>
      <c r="GK19" s="208"/>
      <c r="GL19" s="208"/>
      <c r="GM19" s="208"/>
      <c r="GN19" s="208"/>
      <c r="GO19" s="208"/>
      <c r="GP19" s="208"/>
      <c r="GQ19" s="208"/>
      <c r="GR19" s="208"/>
      <c r="GS19" s="208"/>
      <c r="GT19" s="208"/>
      <c r="GU19" s="281"/>
      <c r="GV19" s="174"/>
      <c r="GW19" s="174"/>
      <c r="GX19" s="174"/>
      <c r="GY19" s="174"/>
      <c r="GZ19" s="174"/>
      <c r="HA19" s="174"/>
      <c r="HB19" s="174"/>
      <c r="HC19" s="174"/>
      <c r="HD19" s="174"/>
      <c r="HE19" s="174"/>
      <c r="HF19" s="174"/>
      <c r="HG19" s="174"/>
      <c r="HH19" s="174"/>
      <c r="HI19" s="174"/>
      <c r="HJ19" s="174"/>
      <c r="HK19" s="174"/>
      <c r="HL19" s="174"/>
      <c r="HM19" s="174"/>
      <c r="HN19" s="174"/>
      <c r="HO19" s="174"/>
      <c r="HP19" s="174"/>
      <c r="HQ19" s="174"/>
      <c r="HR19" s="174"/>
      <c r="HS19" s="174"/>
      <c r="HT19" s="174"/>
      <c r="HU19" s="174"/>
      <c r="HV19" s="174"/>
      <c r="HW19" s="174"/>
      <c r="HX19" s="174"/>
      <c r="HY19" s="174"/>
      <c r="HZ19" s="174"/>
      <c r="IA19" s="174"/>
      <c r="IB19" s="174"/>
      <c r="IC19" s="174"/>
      <c r="ID19" s="174"/>
      <c r="IE19" s="174"/>
      <c r="IF19" s="174"/>
      <c r="IG19" s="174"/>
      <c r="IH19" s="174"/>
      <c r="II19" s="174"/>
      <c r="IJ19" s="174"/>
      <c r="IK19" s="174"/>
      <c r="IL19" s="174"/>
      <c r="IM19" s="174"/>
      <c r="IN19" s="174"/>
      <c r="IO19" s="174"/>
      <c r="IP19" s="174"/>
      <c r="IQ19" s="174"/>
      <c r="IR19" s="174"/>
      <c r="IS19" s="174"/>
      <c r="IT19" s="174"/>
      <c r="IU19" s="174"/>
      <c r="IV19" s="174"/>
    </row>
    <row r="20" spans="1:256" ht="13.8">
      <c r="A20" s="1336"/>
      <c r="B20" s="1340"/>
      <c r="C20" s="273"/>
      <c r="D20" s="197"/>
      <c r="E20" s="197"/>
      <c r="F20" s="197"/>
      <c r="G20" s="197"/>
      <c r="H20" s="197"/>
      <c r="I20" s="197"/>
      <c r="J20" s="198"/>
      <c r="K20" s="199"/>
      <c r="L20" s="200"/>
      <c r="M20" s="1342"/>
      <c r="N20" s="202"/>
      <c r="O20" s="203"/>
      <c r="P20" s="204"/>
      <c r="Q20" s="204"/>
      <c r="R20" s="204"/>
      <c r="S20" s="204"/>
      <c r="T20" s="204"/>
      <c r="U20" s="199"/>
      <c r="V20" s="204"/>
      <c r="W20" s="202"/>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2"/>
      <c r="BC20" s="202"/>
      <c r="BD20" s="202"/>
      <c r="BE20" s="202"/>
      <c r="BF20" s="202"/>
      <c r="BG20" s="202"/>
      <c r="BH20" s="202"/>
      <c r="BI20" s="202"/>
      <c r="BJ20" s="202"/>
      <c r="BK20" s="202"/>
      <c r="BL20" s="202"/>
      <c r="BM20" s="202"/>
      <c r="BN20" s="202"/>
      <c r="BO20" s="202"/>
      <c r="BP20" s="202"/>
      <c r="BQ20" s="205"/>
      <c r="BR20" s="202"/>
      <c r="BS20" s="205"/>
      <c r="BT20" s="205"/>
      <c r="BU20" s="205"/>
      <c r="BV20" s="205"/>
      <c r="BW20" s="205"/>
      <c r="BX20" s="205"/>
      <c r="BY20" s="205"/>
      <c r="BZ20" s="205"/>
      <c r="CA20" s="205"/>
      <c r="CB20" s="205"/>
      <c r="CC20" s="202"/>
      <c r="CD20" s="202"/>
      <c r="CE20" s="202"/>
      <c r="CF20" s="202"/>
      <c r="CG20" s="202"/>
      <c r="CH20" s="202"/>
      <c r="CI20" s="206"/>
      <c r="CJ20" s="202"/>
      <c r="CK20" s="202"/>
      <c r="CL20" s="202"/>
      <c r="CM20" s="206"/>
      <c r="CN20" s="206"/>
      <c r="CO20" s="206"/>
      <c r="CP20" s="206"/>
      <c r="CQ20" s="206"/>
      <c r="CR20" s="206"/>
      <c r="CS20" s="206"/>
      <c r="CT20" s="202"/>
      <c r="CU20" s="206"/>
      <c r="CV20" s="206"/>
      <c r="CW20" s="206"/>
      <c r="CX20" s="206"/>
      <c r="CY20" s="206"/>
      <c r="CZ20" s="206"/>
      <c r="DA20" s="206"/>
      <c r="DB20" s="206"/>
      <c r="DC20" s="206"/>
      <c r="DD20" s="206"/>
      <c r="DE20" s="206"/>
      <c r="DF20" s="202"/>
      <c r="DG20" s="202"/>
      <c r="DH20" s="202"/>
      <c r="DI20" s="202"/>
      <c r="DJ20" s="202"/>
      <c r="DK20" s="202"/>
      <c r="DL20" s="202"/>
      <c r="DM20" s="202"/>
      <c r="DN20" s="202"/>
      <c r="DO20" s="202"/>
      <c r="DP20" s="202"/>
      <c r="DQ20" s="202"/>
      <c r="DR20" s="202"/>
      <c r="DS20" s="202"/>
      <c r="DT20" s="202"/>
      <c r="DU20" s="202"/>
      <c r="DV20" s="202"/>
      <c r="DW20" s="202"/>
      <c r="DX20" s="202"/>
      <c r="DY20" s="202"/>
      <c r="DZ20" s="202"/>
      <c r="EA20" s="202"/>
      <c r="EB20" s="202"/>
      <c r="EC20" s="202"/>
      <c r="ED20" s="202"/>
      <c r="EE20" s="202"/>
      <c r="EF20" s="202"/>
      <c r="EG20" s="208"/>
      <c r="EH20" s="208"/>
      <c r="EI20" s="208"/>
      <c r="EJ20" s="208"/>
      <c r="EK20" s="208"/>
      <c r="EL20" s="208"/>
      <c r="EM20" s="208"/>
      <c r="EN20" s="208"/>
      <c r="EO20" s="208"/>
      <c r="EP20" s="208"/>
      <c r="EQ20" s="208"/>
      <c r="ER20" s="208"/>
      <c r="ES20" s="208"/>
      <c r="ET20" s="208"/>
      <c r="EU20" s="208"/>
      <c r="EV20" s="208"/>
      <c r="EW20" s="208"/>
      <c r="EX20" s="208"/>
      <c r="EY20" s="208"/>
      <c r="EZ20" s="208"/>
      <c r="FA20" s="208"/>
      <c r="FB20" s="208"/>
      <c r="FC20" s="208"/>
      <c r="FD20" s="208"/>
      <c r="FE20" s="208"/>
      <c r="FF20" s="208"/>
      <c r="FG20" s="208"/>
      <c r="FH20" s="208"/>
      <c r="FI20" s="208"/>
      <c r="FJ20" s="208"/>
      <c r="FK20" s="208"/>
      <c r="FL20" s="964"/>
      <c r="FM20" s="208"/>
      <c r="FN20" s="208"/>
      <c r="FO20" s="208"/>
      <c r="FP20" s="208"/>
      <c r="FQ20" s="208"/>
      <c r="FR20" s="208"/>
      <c r="FS20" s="208"/>
      <c r="FT20" s="208"/>
      <c r="FU20" s="208"/>
      <c r="FV20" s="208"/>
      <c r="FW20" s="208"/>
      <c r="FX20" s="208"/>
      <c r="FY20" s="208"/>
      <c r="FZ20" s="208"/>
      <c r="GA20" s="208"/>
      <c r="GB20" s="208"/>
      <c r="GC20" s="208"/>
      <c r="GD20" s="208"/>
      <c r="GE20" s="208"/>
      <c r="GF20" s="199"/>
      <c r="GG20" s="208"/>
      <c r="GH20" s="208"/>
      <c r="GI20" s="208"/>
      <c r="GJ20" s="208"/>
      <c r="GK20" s="208"/>
      <c r="GL20" s="208"/>
      <c r="GM20" s="208"/>
      <c r="GN20" s="208"/>
      <c r="GO20" s="208"/>
      <c r="GP20" s="208"/>
      <c r="GQ20" s="208"/>
      <c r="GR20" s="208"/>
      <c r="GS20" s="208"/>
      <c r="GT20" s="208"/>
      <c r="GU20" s="281"/>
      <c r="GV20" s="174"/>
      <c r="GW20" s="174"/>
      <c r="GX20" s="174"/>
      <c r="GY20" s="174"/>
      <c r="GZ20" s="174"/>
      <c r="HA20" s="174"/>
      <c r="HB20" s="174"/>
      <c r="HC20" s="174"/>
      <c r="HD20" s="174"/>
      <c r="HE20" s="174"/>
      <c r="HF20" s="174"/>
      <c r="HG20" s="174"/>
      <c r="HH20" s="174"/>
      <c r="HI20" s="174"/>
      <c r="HJ20" s="174"/>
      <c r="HK20" s="174"/>
      <c r="HL20" s="174"/>
      <c r="HM20" s="174"/>
      <c r="HN20" s="174"/>
      <c r="HO20" s="174"/>
      <c r="HP20" s="174"/>
      <c r="HQ20" s="174"/>
      <c r="HR20" s="174"/>
      <c r="HS20" s="174"/>
      <c r="HT20" s="174"/>
      <c r="HU20" s="174"/>
      <c r="HV20" s="174"/>
      <c r="HW20" s="174"/>
      <c r="HX20" s="174"/>
      <c r="HY20" s="174"/>
      <c r="HZ20" s="174"/>
      <c r="IA20" s="174"/>
      <c r="IB20" s="174"/>
      <c r="IC20" s="174"/>
      <c r="ID20" s="174"/>
      <c r="IE20" s="174"/>
      <c r="IF20" s="174"/>
      <c r="IG20" s="174"/>
      <c r="IH20" s="174"/>
      <c r="II20" s="174"/>
      <c r="IJ20" s="174"/>
      <c r="IK20" s="174"/>
      <c r="IL20" s="174"/>
      <c r="IM20" s="174"/>
      <c r="IN20" s="174"/>
      <c r="IO20" s="174"/>
      <c r="IP20" s="174"/>
      <c r="IQ20" s="174"/>
      <c r="IR20" s="174"/>
      <c r="IS20" s="174"/>
      <c r="IT20" s="174"/>
      <c r="IU20" s="174"/>
      <c r="IV20" s="174"/>
    </row>
    <row r="21" spans="1:256" ht="13.8" hidden="1">
      <c r="A21" s="209"/>
      <c r="B21" s="210"/>
      <c r="C21" s="198"/>
      <c r="D21" s="197"/>
      <c r="E21" s="197"/>
      <c r="F21" s="197"/>
      <c r="G21" s="197"/>
      <c r="H21" s="197"/>
      <c r="I21" s="197"/>
      <c r="J21" s="198"/>
      <c r="K21" s="199"/>
      <c r="L21" s="200"/>
      <c r="M21" s="201"/>
      <c r="N21" s="202"/>
      <c r="O21" s="203"/>
      <c r="P21" s="204"/>
      <c r="Q21" s="204"/>
      <c r="R21" s="204"/>
      <c r="S21" s="204"/>
      <c r="T21" s="204"/>
      <c r="U21" s="204"/>
      <c r="V21" s="204"/>
      <c r="W21" s="202"/>
      <c r="X21" s="205"/>
      <c r="Y21" s="205"/>
      <c r="Z21" s="205"/>
      <c r="AA21" s="205"/>
      <c r="AB21" s="205"/>
      <c r="AC21" s="205"/>
      <c r="AD21" s="205"/>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2"/>
      <c r="BC21" s="202"/>
      <c r="BD21" s="202"/>
      <c r="BE21" s="202"/>
      <c r="BF21" s="202"/>
      <c r="BG21" s="202"/>
      <c r="BH21" s="202"/>
      <c r="BI21" s="202"/>
      <c r="BJ21" s="202"/>
      <c r="BK21" s="202"/>
      <c r="BL21" s="202"/>
      <c r="BM21" s="202"/>
      <c r="BN21" s="202"/>
      <c r="BO21" s="202"/>
      <c r="BP21" s="202"/>
      <c r="BQ21" s="205"/>
      <c r="BR21" s="205"/>
      <c r="BS21" s="205"/>
      <c r="BT21" s="205"/>
      <c r="BU21" s="205"/>
      <c r="BV21" s="205"/>
      <c r="BW21" s="205"/>
      <c r="BX21" s="205"/>
      <c r="BY21" s="205"/>
      <c r="BZ21" s="205"/>
      <c r="CA21" s="205"/>
      <c r="CB21" s="205"/>
      <c r="CC21" s="202"/>
      <c r="CD21" s="202"/>
      <c r="CE21" s="202"/>
      <c r="CF21" s="202"/>
      <c r="CG21" s="202"/>
      <c r="CH21" s="202"/>
      <c r="CI21" s="206"/>
      <c r="CJ21" s="206"/>
      <c r="CK21" s="206"/>
      <c r="CL21" s="206"/>
      <c r="CM21" s="206"/>
      <c r="CN21" s="206"/>
      <c r="CO21" s="206"/>
      <c r="CP21" s="206"/>
      <c r="CQ21" s="206"/>
      <c r="CR21" s="206"/>
      <c r="CS21" s="206"/>
      <c r="CT21" s="206"/>
      <c r="CU21" s="206"/>
      <c r="CV21" s="206"/>
      <c r="CW21" s="206"/>
      <c r="CX21" s="206"/>
      <c r="CY21" s="206"/>
      <c r="CZ21" s="206"/>
      <c r="DA21" s="206"/>
      <c r="DB21" s="206"/>
      <c r="DC21" s="206"/>
      <c r="DD21" s="206"/>
      <c r="DE21" s="206"/>
      <c r="DF21" s="202"/>
      <c r="DG21" s="202"/>
      <c r="DH21" s="202"/>
      <c r="DI21" s="202"/>
      <c r="DJ21" s="207"/>
      <c r="DK21" s="202"/>
      <c r="DL21" s="202"/>
      <c r="DM21" s="202"/>
      <c r="DN21" s="202"/>
      <c r="DO21" s="202"/>
      <c r="DP21" s="202"/>
      <c r="DQ21" s="202"/>
      <c r="DR21" s="202"/>
      <c r="DS21" s="202"/>
      <c r="DT21" s="202"/>
      <c r="DU21" s="202"/>
      <c r="DV21" s="202"/>
      <c r="DW21" s="202"/>
      <c r="DX21" s="202"/>
      <c r="DY21" s="202"/>
      <c r="DZ21" s="202"/>
      <c r="EA21" s="202"/>
      <c r="EB21" s="202"/>
      <c r="EC21" s="202"/>
      <c r="ED21" s="202"/>
      <c r="EE21" s="202"/>
      <c r="EF21" s="202"/>
      <c r="EG21" s="208"/>
      <c r="EH21" s="208"/>
      <c r="EI21" s="208"/>
      <c r="EJ21" s="208"/>
      <c r="EK21" s="208"/>
      <c r="EL21" s="208"/>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8"/>
      <c r="FQ21" s="208"/>
      <c r="FR21" s="208"/>
      <c r="FS21" s="208"/>
      <c r="FT21" s="208"/>
      <c r="FU21" s="208"/>
      <c r="FV21" s="208"/>
      <c r="FW21" s="208"/>
      <c r="FX21" s="208"/>
      <c r="FY21" s="208"/>
      <c r="FZ21" s="208"/>
      <c r="GA21" s="208"/>
      <c r="GB21" s="208"/>
      <c r="GC21" s="208"/>
      <c r="GD21" s="208"/>
      <c r="GE21" s="208"/>
      <c r="GF21" s="199"/>
      <c r="GG21" s="208"/>
      <c r="GH21" s="208"/>
      <c r="GI21" s="208"/>
      <c r="GJ21" s="208"/>
      <c r="GK21" s="208"/>
      <c r="GL21" s="208"/>
      <c r="GM21" s="208"/>
      <c r="GN21" s="208"/>
      <c r="GO21" s="208"/>
      <c r="GP21" s="208"/>
      <c r="GQ21" s="208"/>
      <c r="GR21" s="208"/>
      <c r="GS21" s="208"/>
      <c r="GT21" s="208"/>
      <c r="GU21" s="155"/>
      <c r="GV21" s="174"/>
      <c r="GW21" s="174"/>
      <c r="GX21" s="174"/>
      <c r="GY21" s="174"/>
      <c r="GZ21" s="174"/>
      <c r="HA21" s="174"/>
      <c r="HB21" s="174"/>
      <c r="HC21" s="174"/>
      <c r="HD21" s="174"/>
      <c r="HE21" s="174"/>
      <c r="HF21" s="174"/>
      <c r="HG21" s="174"/>
      <c r="HH21" s="174"/>
      <c r="HI21" s="174"/>
      <c r="HJ21" s="174"/>
      <c r="HK21" s="174"/>
      <c r="HL21" s="174"/>
      <c r="HM21" s="174"/>
      <c r="HN21" s="174"/>
      <c r="HO21" s="174"/>
      <c r="HP21" s="174"/>
      <c r="HQ21" s="174"/>
      <c r="HR21" s="174"/>
      <c r="HS21" s="174"/>
      <c r="HT21" s="174"/>
      <c r="HU21" s="174"/>
      <c r="HV21" s="174"/>
      <c r="HW21" s="174"/>
      <c r="HX21" s="174"/>
      <c r="HY21" s="174"/>
      <c r="HZ21" s="174"/>
      <c r="IA21" s="174"/>
      <c r="IB21" s="174"/>
      <c r="IC21" s="174"/>
      <c r="ID21" s="174"/>
      <c r="IE21" s="174"/>
      <c r="IF21" s="174"/>
      <c r="IG21" s="174"/>
      <c r="IH21" s="174"/>
      <c r="II21" s="174"/>
      <c r="IJ21" s="174"/>
      <c r="IK21" s="174"/>
      <c r="IL21" s="174"/>
      <c r="IM21" s="174"/>
      <c r="IN21" s="174"/>
      <c r="IO21" s="174"/>
      <c r="IP21" s="174"/>
      <c r="IQ21" s="174"/>
      <c r="IR21" s="174"/>
      <c r="IS21" s="174"/>
      <c r="IT21" s="174"/>
      <c r="IU21" s="174"/>
      <c r="IV21" s="174"/>
    </row>
    <row r="22" spans="1:256" s="214" customFormat="1" ht="13.8" hidden="1">
      <c r="A22" s="209"/>
      <c r="B22" s="210"/>
      <c r="C22" s="198"/>
      <c r="D22" s="197"/>
      <c r="E22" s="197"/>
      <c r="F22" s="197"/>
      <c r="G22" s="197"/>
      <c r="H22" s="197"/>
      <c r="I22" s="197"/>
      <c r="J22" s="198"/>
      <c r="K22" s="199"/>
      <c r="L22" s="200"/>
      <c r="M22" s="201"/>
      <c r="N22" s="202"/>
      <c r="O22" s="203"/>
      <c r="P22" s="204"/>
      <c r="Q22" s="204"/>
      <c r="R22" s="204"/>
      <c r="S22" s="204"/>
      <c r="T22" s="204"/>
      <c r="U22" s="204"/>
      <c r="V22" s="204"/>
      <c r="W22" s="208"/>
      <c r="X22" s="205"/>
      <c r="Y22" s="205"/>
      <c r="Z22" s="205"/>
      <c r="AA22" s="205"/>
      <c r="AB22" s="205"/>
      <c r="AC22" s="205"/>
      <c r="AD22" s="205"/>
      <c r="AE22" s="205"/>
      <c r="AF22" s="205"/>
      <c r="AG22" s="205"/>
      <c r="AH22" s="211"/>
      <c r="AI22" s="211"/>
      <c r="AJ22" s="211"/>
      <c r="AK22" s="211"/>
      <c r="AL22" s="211"/>
      <c r="AM22" s="211"/>
      <c r="AN22" s="211"/>
      <c r="AO22" s="211"/>
      <c r="AP22" s="211"/>
      <c r="AQ22" s="211"/>
      <c r="AR22" s="211"/>
      <c r="AS22" s="211"/>
      <c r="AT22" s="211"/>
      <c r="AU22" s="211"/>
      <c r="AV22" s="211"/>
      <c r="AW22" s="211"/>
      <c r="AX22" s="211"/>
      <c r="AY22" s="211"/>
      <c r="AZ22" s="211"/>
      <c r="BA22" s="211"/>
      <c r="BB22" s="208"/>
      <c r="BC22" s="208"/>
      <c r="BD22" s="208"/>
      <c r="BE22" s="208"/>
      <c r="BF22" s="208"/>
      <c r="BG22" s="208"/>
      <c r="BH22" s="208"/>
      <c r="BI22" s="208"/>
      <c r="BJ22" s="208"/>
      <c r="BK22" s="208"/>
      <c r="BL22" s="208"/>
      <c r="BM22" s="208"/>
      <c r="BN22" s="208"/>
      <c r="BO22" s="208"/>
      <c r="BP22" s="208"/>
      <c r="BQ22" s="205"/>
      <c r="BR22" s="205"/>
      <c r="BS22" s="205"/>
      <c r="BT22" s="205"/>
      <c r="BU22" s="211"/>
      <c r="BV22" s="211"/>
      <c r="BW22" s="211"/>
      <c r="BX22" s="211"/>
      <c r="BY22" s="211"/>
      <c r="BZ22" s="211"/>
      <c r="CA22" s="211"/>
      <c r="CB22" s="211"/>
      <c r="CC22" s="208"/>
      <c r="CD22" s="208"/>
      <c r="CE22" s="208"/>
      <c r="CF22" s="202"/>
      <c r="CG22" s="208"/>
      <c r="CH22" s="208"/>
      <c r="CI22" s="212"/>
      <c r="CJ22" s="212"/>
      <c r="CK22" s="206"/>
      <c r="CL22" s="212"/>
      <c r="CM22" s="212"/>
      <c r="CN22" s="212"/>
      <c r="CO22" s="212"/>
      <c r="CP22" s="212"/>
      <c r="CQ22" s="212"/>
      <c r="CR22" s="212"/>
      <c r="CS22" s="212"/>
      <c r="CT22" s="212"/>
      <c r="CU22" s="212"/>
      <c r="CV22" s="212"/>
      <c r="CW22" s="212"/>
      <c r="CX22" s="212"/>
      <c r="CY22" s="212"/>
      <c r="CZ22" s="212"/>
      <c r="DA22" s="212"/>
      <c r="DB22" s="212"/>
      <c r="DC22" s="212"/>
      <c r="DD22" s="212"/>
      <c r="DE22" s="212"/>
      <c r="DF22" s="208"/>
      <c r="DG22" s="208"/>
      <c r="DH22" s="202"/>
      <c r="DI22" s="208"/>
      <c r="DJ22" s="213"/>
      <c r="DK22" s="208"/>
      <c r="DL22" s="208"/>
      <c r="DM22" s="208"/>
      <c r="DN22" s="208"/>
      <c r="DO22" s="208"/>
      <c r="DP22" s="208"/>
      <c r="DQ22" s="208"/>
      <c r="DR22" s="208"/>
      <c r="DS22" s="208"/>
      <c r="DT22" s="208"/>
      <c r="DU22" s="208"/>
      <c r="DV22" s="208"/>
      <c r="DW22" s="208"/>
      <c r="DX22" s="208"/>
      <c r="DY22" s="208"/>
      <c r="DZ22" s="208"/>
      <c r="EA22" s="208"/>
      <c r="EB22" s="208"/>
      <c r="EC22" s="208"/>
      <c r="ED22" s="208"/>
      <c r="EE22" s="208"/>
      <c r="EF22" s="208"/>
      <c r="EG22" s="208"/>
      <c r="EH22" s="208"/>
      <c r="EI22" s="208"/>
      <c r="EJ22" s="208"/>
      <c r="EK22" s="208"/>
      <c r="EL22" s="208"/>
      <c r="EM22" s="208"/>
      <c r="EN22" s="208"/>
      <c r="EO22" s="208"/>
      <c r="EP22" s="208"/>
      <c r="EQ22" s="208"/>
      <c r="ER22" s="208"/>
      <c r="ES22" s="208"/>
      <c r="ET22" s="208"/>
      <c r="EU22" s="208"/>
      <c r="EV22" s="208"/>
      <c r="EW22" s="208"/>
      <c r="EX22" s="208"/>
      <c r="EY22" s="208"/>
      <c r="EZ22" s="208"/>
      <c r="FA22" s="208"/>
      <c r="FB22" s="208"/>
      <c r="FC22" s="208"/>
      <c r="FD22" s="208"/>
      <c r="FE22" s="208"/>
      <c r="FF22" s="208"/>
      <c r="FG22" s="208"/>
      <c r="FH22" s="208"/>
      <c r="FI22" s="208"/>
      <c r="FJ22" s="208"/>
      <c r="FK22" s="208"/>
      <c r="FL22" s="199"/>
      <c r="FM22" s="199"/>
      <c r="FN22" s="199"/>
      <c r="FO22" s="208"/>
      <c r="FP22" s="208"/>
      <c r="FQ22" s="199"/>
      <c r="FR22" s="208"/>
      <c r="FS22" s="208"/>
      <c r="FT22" s="208"/>
      <c r="FU22" s="208"/>
      <c r="FV22" s="208"/>
      <c r="FW22" s="208"/>
      <c r="FX22" s="208"/>
      <c r="FY22" s="208"/>
      <c r="FZ22" s="208"/>
      <c r="GA22" s="208"/>
      <c r="GB22" s="208"/>
      <c r="GC22" s="208"/>
      <c r="GD22" s="208"/>
      <c r="GE22" s="208"/>
      <c r="GF22" s="199"/>
      <c r="GG22" s="208"/>
      <c r="GH22" s="208"/>
      <c r="GI22" s="208"/>
      <c r="GJ22" s="208"/>
      <c r="GK22" s="208"/>
      <c r="GL22" s="208"/>
      <c r="GM22" s="208"/>
      <c r="GN22" s="208"/>
      <c r="GO22" s="208"/>
      <c r="GP22" s="208"/>
      <c r="GQ22" s="208"/>
      <c r="GR22" s="208"/>
      <c r="GS22" s="208"/>
      <c r="GT22" s="208"/>
      <c r="GU22" s="155"/>
      <c r="GV22" s="174"/>
      <c r="GW22" s="174"/>
      <c r="GX22" s="174"/>
      <c r="GY22" s="174"/>
      <c r="GZ22" s="174"/>
      <c r="HA22" s="174"/>
      <c r="HB22" s="174"/>
      <c r="HC22" s="174"/>
      <c r="HD22" s="174"/>
      <c r="HE22" s="174"/>
      <c r="HF22" s="174"/>
      <c r="HG22" s="174"/>
      <c r="HH22" s="174"/>
      <c r="HI22" s="174"/>
      <c r="HJ22" s="174"/>
      <c r="HK22" s="174"/>
      <c r="HL22" s="174"/>
      <c r="HM22" s="174"/>
      <c r="HN22" s="174"/>
      <c r="HO22" s="174"/>
      <c r="HP22" s="174"/>
      <c r="HQ22" s="174"/>
      <c r="HR22" s="174"/>
      <c r="HS22" s="174"/>
      <c r="HT22" s="174"/>
      <c r="HU22" s="174"/>
      <c r="HV22" s="174"/>
      <c r="HW22" s="174"/>
      <c r="HX22" s="174"/>
      <c r="HY22" s="174"/>
      <c r="HZ22" s="174"/>
      <c r="IA22" s="174"/>
      <c r="IB22" s="174"/>
      <c r="IC22" s="174"/>
      <c r="ID22" s="174"/>
      <c r="IE22" s="174"/>
      <c r="IF22" s="174"/>
      <c r="IG22" s="174"/>
      <c r="IH22" s="174"/>
      <c r="II22" s="174"/>
      <c r="IJ22" s="174"/>
      <c r="IK22" s="174"/>
      <c r="IL22" s="174"/>
      <c r="IM22" s="174"/>
      <c r="IN22" s="174"/>
      <c r="IO22" s="174"/>
      <c r="IP22" s="174"/>
      <c r="IQ22" s="174"/>
      <c r="IR22" s="174"/>
      <c r="IS22" s="174"/>
      <c r="IT22" s="174"/>
      <c r="IU22" s="174"/>
      <c r="IV22" s="174"/>
    </row>
    <row r="23" spans="1:256" ht="13.8" hidden="1">
      <c r="A23" s="209"/>
      <c r="B23" s="210"/>
      <c r="C23" s="198"/>
      <c r="D23" s="197"/>
      <c r="E23" s="197"/>
      <c r="F23" s="197"/>
      <c r="G23" s="197"/>
      <c r="H23" s="197"/>
      <c r="I23" s="197"/>
      <c r="J23" s="198"/>
      <c r="K23" s="199"/>
      <c r="L23" s="200"/>
      <c r="M23" s="201"/>
      <c r="N23" s="202"/>
      <c r="O23" s="203"/>
      <c r="P23" s="204"/>
      <c r="Q23" s="204"/>
      <c r="R23" s="204"/>
      <c r="S23" s="204"/>
      <c r="T23" s="204"/>
      <c r="U23" s="204"/>
      <c r="V23" s="204"/>
      <c r="W23" s="202"/>
      <c r="X23" s="205"/>
      <c r="Y23" s="205"/>
      <c r="Z23" s="205"/>
      <c r="AA23" s="205"/>
      <c r="AB23" s="205"/>
      <c r="AC23" s="205"/>
      <c r="AD23" s="205"/>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2"/>
      <c r="BC23" s="202"/>
      <c r="BD23" s="202"/>
      <c r="BE23" s="202"/>
      <c r="BF23" s="202"/>
      <c r="BG23" s="202"/>
      <c r="BH23" s="202"/>
      <c r="BI23" s="202"/>
      <c r="BJ23" s="202"/>
      <c r="BK23" s="202"/>
      <c r="BL23" s="202"/>
      <c r="BM23" s="202"/>
      <c r="BN23" s="202"/>
      <c r="BO23" s="202"/>
      <c r="BP23" s="202"/>
      <c r="BQ23" s="205"/>
      <c r="BR23" s="205"/>
      <c r="BS23" s="205"/>
      <c r="BT23" s="205"/>
      <c r="BU23" s="205"/>
      <c r="BV23" s="205"/>
      <c r="BW23" s="205"/>
      <c r="BX23" s="205"/>
      <c r="BY23" s="205"/>
      <c r="BZ23" s="205"/>
      <c r="CA23" s="205"/>
      <c r="CB23" s="205"/>
      <c r="CC23" s="202"/>
      <c r="CD23" s="202"/>
      <c r="CE23" s="202"/>
      <c r="CF23" s="202"/>
      <c r="CG23" s="202"/>
      <c r="CH23" s="202"/>
      <c r="CI23" s="206"/>
      <c r="CJ23" s="206"/>
      <c r="CK23" s="206"/>
      <c r="CL23" s="206"/>
      <c r="CM23" s="206"/>
      <c r="CN23" s="206"/>
      <c r="CO23" s="206"/>
      <c r="CP23" s="206"/>
      <c r="CQ23" s="206"/>
      <c r="CR23" s="206"/>
      <c r="CS23" s="206"/>
      <c r="CT23" s="206"/>
      <c r="CU23" s="206"/>
      <c r="CV23" s="206"/>
      <c r="CW23" s="206"/>
      <c r="CX23" s="206"/>
      <c r="CY23" s="206"/>
      <c r="CZ23" s="206"/>
      <c r="DA23" s="206"/>
      <c r="DB23" s="206"/>
      <c r="DC23" s="206"/>
      <c r="DD23" s="206"/>
      <c r="DE23" s="206"/>
      <c r="DF23" s="202"/>
      <c r="DG23" s="202"/>
      <c r="DH23" s="202"/>
      <c r="DI23" s="202"/>
      <c r="DJ23" s="207"/>
      <c r="DK23" s="202"/>
      <c r="DL23" s="202"/>
      <c r="DM23" s="202"/>
      <c r="DN23" s="202"/>
      <c r="DO23" s="202"/>
      <c r="DP23" s="202"/>
      <c r="DQ23" s="202"/>
      <c r="DR23" s="202"/>
      <c r="DS23" s="202"/>
      <c r="DT23" s="202"/>
      <c r="DU23" s="202"/>
      <c r="DV23" s="202"/>
      <c r="DW23" s="202"/>
      <c r="DX23" s="202"/>
      <c r="DY23" s="202"/>
      <c r="DZ23" s="202"/>
      <c r="EA23" s="202"/>
      <c r="EB23" s="202"/>
      <c r="EC23" s="202"/>
      <c r="ED23" s="202"/>
      <c r="EE23" s="202"/>
      <c r="EF23" s="202"/>
      <c r="EG23" s="208"/>
      <c r="EH23" s="208"/>
      <c r="EI23" s="208"/>
      <c r="EJ23" s="208"/>
      <c r="EK23" s="208"/>
      <c r="EL23" s="208"/>
      <c r="EM23" s="208"/>
      <c r="EN23" s="208"/>
      <c r="EO23" s="208"/>
      <c r="EP23" s="208"/>
      <c r="EQ23" s="208"/>
      <c r="ER23" s="208"/>
      <c r="ES23" s="208"/>
      <c r="ET23" s="208"/>
      <c r="EU23" s="208"/>
      <c r="EV23" s="208"/>
      <c r="EW23" s="208"/>
      <c r="EX23" s="208"/>
      <c r="EY23" s="208"/>
      <c r="EZ23" s="208"/>
      <c r="FA23" s="208"/>
      <c r="FB23" s="208"/>
      <c r="FC23" s="208"/>
      <c r="FD23" s="208"/>
      <c r="FE23" s="208"/>
      <c r="FF23" s="208"/>
      <c r="FG23" s="208"/>
      <c r="FH23" s="208"/>
      <c r="FI23" s="208"/>
      <c r="FJ23" s="208"/>
      <c r="FK23" s="208"/>
      <c r="FL23" s="199"/>
      <c r="FM23" s="199"/>
      <c r="FN23" s="199"/>
      <c r="FO23" s="208"/>
      <c r="FP23" s="208"/>
      <c r="FQ23" s="199"/>
      <c r="FR23" s="208"/>
      <c r="FS23" s="208"/>
      <c r="FT23" s="208"/>
      <c r="FU23" s="208"/>
      <c r="FV23" s="208"/>
      <c r="FW23" s="208"/>
      <c r="FX23" s="208"/>
      <c r="FY23" s="208"/>
      <c r="FZ23" s="208"/>
      <c r="GA23" s="208"/>
      <c r="GB23" s="208"/>
      <c r="GC23" s="208"/>
      <c r="GD23" s="208"/>
      <c r="GE23" s="208"/>
      <c r="GF23" s="199"/>
      <c r="GG23" s="208"/>
      <c r="GH23" s="208"/>
      <c r="GI23" s="208"/>
      <c r="GJ23" s="208"/>
      <c r="GK23" s="208"/>
      <c r="GL23" s="208"/>
      <c r="GM23" s="208"/>
      <c r="GN23" s="208"/>
      <c r="GO23" s="208"/>
      <c r="GP23" s="208"/>
      <c r="GQ23" s="208"/>
      <c r="GR23" s="208"/>
      <c r="GS23" s="208"/>
      <c r="GT23" s="208"/>
      <c r="GU23" s="155"/>
      <c r="GV23" s="174"/>
      <c r="GW23" s="174"/>
      <c r="GX23" s="174"/>
      <c r="GY23" s="174"/>
      <c r="GZ23" s="174"/>
      <c r="HA23" s="174"/>
      <c r="HB23" s="174"/>
      <c r="HC23" s="174"/>
      <c r="HD23" s="174"/>
      <c r="HE23" s="174"/>
      <c r="HF23" s="174"/>
      <c r="HG23" s="174"/>
      <c r="HH23" s="174"/>
      <c r="HI23" s="174"/>
      <c r="HJ23" s="174"/>
      <c r="HK23" s="174"/>
      <c r="HL23" s="174"/>
      <c r="HM23" s="174"/>
      <c r="HN23" s="174"/>
      <c r="HO23" s="174"/>
      <c r="HP23" s="174"/>
      <c r="HQ23" s="174"/>
      <c r="HR23" s="174"/>
      <c r="HS23" s="174"/>
      <c r="HT23" s="174"/>
      <c r="HU23" s="174"/>
      <c r="HV23" s="174"/>
      <c r="HW23" s="174"/>
      <c r="HX23" s="174"/>
      <c r="HY23" s="174"/>
      <c r="HZ23" s="174"/>
      <c r="IA23" s="174"/>
      <c r="IB23" s="174"/>
      <c r="IC23" s="174"/>
      <c r="ID23" s="174"/>
      <c r="IE23" s="174"/>
      <c r="IF23" s="174"/>
      <c r="IG23" s="174"/>
      <c r="IH23" s="174"/>
      <c r="II23" s="174"/>
      <c r="IJ23" s="174"/>
      <c r="IK23" s="174"/>
      <c r="IL23" s="174"/>
      <c r="IM23" s="174"/>
      <c r="IN23" s="174"/>
      <c r="IO23" s="174"/>
      <c r="IP23" s="174"/>
      <c r="IQ23" s="174"/>
      <c r="IR23" s="174"/>
      <c r="IS23" s="174"/>
      <c r="IT23" s="174"/>
      <c r="IU23" s="174"/>
      <c r="IV23" s="174"/>
    </row>
    <row r="24" spans="1:256" ht="13.8" hidden="1">
      <c r="A24" s="209"/>
      <c r="B24" s="210"/>
      <c r="C24" s="198"/>
      <c r="D24" s="197"/>
      <c r="E24" s="197"/>
      <c r="F24" s="197"/>
      <c r="G24" s="197"/>
      <c r="H24" s="197"/>
      <c r="I24" s="197"/>
      <c r="J24" s="198"/>
      <c r="K24" s="199"/>
      <c r="L24" s="200"/>
      <c r="M24" s="201"/>
      <c r="N24" s="202"/>
      <c r="O24" s="203"/>
      <c r="P24" s="204"/>
      <c r="Q24" s="204"/>
      <c r="R24" s="204"/>
      <c r="S24" s="204"/>
      <c r="T24" s="204"/>
      <c r="U24" s="204"/>
      <c r="V24" s="204"/>
      <c r="W24" s="202"/>
      <c r="X24" s="205"/>
      <c r="Y24" s="205"/>
      <c r="Z24" s="205"/>
      <c r="AA24" s="205"/>
      <c r="AB24" s="205"/>
      <c r="AC24" s="205"/>
      <c r="AD24" s="205"/>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2"/>
      <c r="BC24" s="202"/>
      <c r="BD24" s="202"/>
      <c r="BE24" s="202"/>
      <c r="BF24" s="202"/>
      <c r="BG24" s="202"/>
      <c r="BH24" s="202"/>
      <c r="BI24" s="202"/>
      <c r="BJ24" s="202"/>
      <c r="BK24" s="202"/>
      <c r="BL24" s="202"/>
      <c r="BM24" s="202"/>
      <c r="BN24" s="202"/>
      <c r="BO24" s="202"/>
      <c r="BP24" s="202"/>
      <c r="BQ24" s="205"/>
      <c r="BR24" s="205"/>
      <c r="BS24" s="205"/>
      <c r="BT24" s="205"/>
      <c r="BU24" s="205"/>
      <c r="BV24" s="205"/>
      <c r="BW24" s="205"/>
      <c r="BX24" s="205"/>
      <c r="BY24" s="205"/>
      <c r="BZ24" s="205"/>
      <c r="CA24" s="205"/>
      <c r="CB24" s="205"/>
      <c r="CC24" s="202"/>
      <c r="CD24" s="202"/>
      <c r="CE24" s="202"/>
      <c r="CF24" s="202"/>
      <c r="CG24" s="202"/>
      <c r="CH24" s="202"/>
      <c r="CI24" s="206"/>
      <c r="CJ24" s="206"/>
      <c r="CK24" s="206"/>
      <c r="CL24" s="206"/>
      <c r="CM24" s="206"/>
      <c r="CN24" s="206"/>
      <c r="CO24" s="206"/>
      <c r="CP24" s="206"/>
      <c r="CQ24" s="206"/>
      <c r="CR24" s="206"/>
      <c r="CS24" s="206"/>
      <c r="CT24" s="206"/>
      <c r="CU24" s="206"/>
      <c r="CV24" s="206"/>
      <c r="CW24" s="206"/>
      <c r="CX24" s="206"/>
      <c r="CY24" s="206"/>
      <c r="CZ24" s="206"/>
      <c r="DA24" s="206"/>
      <c r="DB24" s="206"/>
      <c r="DC24" s="206"/>
      <c r="DD24" s="206"/>
      <c r="DE24" s="206"/>
      <c r="DF24" s="202"/>
      <c r="DG24" s="202"/>
      <c r="DH24" s="202"/>
      <c r="DI24" s="202"/>
      <c r="DJ24" s="207"/>
      <c r="DK24" s="202"/>
      <c r="DL24" s="202"/>
      <c r="DM24" s="202"/>
      <c r="DN24" s="202"/>
      <c r="DO24" s="202"/>
      <c r="DP24" s="202"/>
      <c r="DQ24" s="202"/>
      <c r="DR24" s="202"/>
      <c r="DS24" s="202"/>
      <c r="DT24" s="202"/>
      <c r="DU24" s="202"/>
      <c r="DV24" s="202"/>
      <c r="DW24" s="202"/>
      <c r="DX24" s="202"/>
      <c r="DY24" s="202"/>
      <c r="DZ24" s="202"/>
      <c r="EA24" s="202"/>
      <c r="EB24" s="202"/>
      <c r="EC24" s="202"/>
      <c r="ED24" s="202"/>
      <c r="EE24" s="202"/>
      <c r="EF24" s="202"/>
      <c r="EG24" s="208"/>
      <c r="EH24" s="208"/>
      <c r="EI24" s="208"/>
      <c r="EJ24" s="208"/>
      <c r="EK24" s="208"/>
      <c r="EL24" s="208"/>
      <c r="EM24" s="208"/>
      <c r="EN24" s="208"/>
      <c r="EO24" s="208"/>
      <c r="EP24" s="208"/>
      <c r="EQ24" s="208"/>
      <c r="ER24" s="208"/>
      <c r="ES24" s="208"/>
      <c r="ET24" s="208"/>
      <c r="EU24" s="208"/>
      <c r="EV24" s="208"/>
      <c r="EW24" s="208"/>
      <c r="EX24" s="208"/>
      <c r="EY24" s="208"/>
      <c r="EZ24" s="208"/>
      <c r="FA24" s="208"/>
      <c r="FB24" s="208"/>
      <c r="FC24" s="208"/>
      <c r="FD24" s="208"/>
      <c r="FE24" s="208"/>
      <c r="FF24" s="208"/>
      <c r="FG24" s="208"/>
      <c r="FH24" s="208"/>
      <c r="FI24" s="208"/>
      <c r="FJ24" s="208"/>
      <c r="FK24" s="208"/>
      <c r="FL24" s="208"/>
      <c r="FM24" s="208"/>
      <c r="FN24" s="208"/>
      <c r="FO24" s="208"/>
      <c r="FP24" s="208"/>
      <c r="FQ24" s="208"/>
      <c r="FR24" s="208"/>
      <c r="FS24" s="208"/>
      <c r="FT24" s="208"/>
      <c r="FU24" s="208"/>
      <c r="FV24" s="208"/>
      <c r="FW24" s="208"/>
      <c r="FX24" s="208"/>
      <c r="FY24" s="208"/>
      <c r="FZ24" s="208"/>
      <c r="GA24" s="208"/>
      <c r="GB24" s="208"/>
      <c r="GC24" s="208"/>
      <c r="GD24" s="208"/>
      <c r="GE24" s="208"/>
      <c r="GF24" s="199"/>
      <c r="GG24" s="208"/>
      <c r="GH24" s="208"/>
      <c r="GI24" s="208"/>
      <c r="GJ24" s="208"/>
      <c r="GK24" s="208"/>
      <c r="GL24" s="208"/>
      <c r="GM24" s="208"/>
      <c r="GN24" s="208"/>
      <c r="GO24" s="208"/>
      <c r="GP24" s="208"/>
      <c r="GQ24" s="208"/>
      <c r="GR24" s="208"/>
      <c r="GS24" s="208"/>
      <c r="GT24" s="208"/>
      <c r="GU24" s="155"/>
      <c r="GV24" s="174"/>
      <c r="GW24" s="174"/>
      <c r="GX24" s="174"/>
      <c r="GY24" s="174"/>
      <c r="GZ24" s="174"/>
      <c r="HA24" s="174"/>
      <c r="HB24" s="174"/>
      <c r="HC24" s="174"/>
      <c r="HD24" s="174"/>
      <c r="HE24" s="174"/>
      <c r="HF24" s="174"/>
      <c r="HG24" s="174"/>
      <c r="HH24" s="174"/>
      <c r="HI24" s="174"/>
      <c r="HJ24" s="174"/>
      <c r="HK24" s="174"/>
      <c r="HL24" s="174"/>
      <c r="HM24" s="174"/>
      <c r="HN24" s="174"/>
      <c r="HO24" s="174"/>
      <c r="HP24" s="174"/>
      <c r="HQ24" s="174"/>
      <c r="HR24" s="174"/>
      <c r="HS24" s="174"/>
      <c r="HT24" s="174"/>
      <c r="HU24" s="174"/>
      <c r="HV24" s="174"/>
      <c r="HW24" s="174"/>
      <c r="HX24" s="174"/>
      <c r="HY24" s="174"/>
      <c r="HZ24" s="174"/>
      <c r="IA24" s="174"/>
      <c r="IB24" s="174"/>
      <c r="IC24" s="174"/>
      <c r="ID24" s="174"/>
      <c r="IE24" s="174"/>
      <c r="IF24" s="174"/>
      <c r="IG24" s="174"/>
      <c r="IH24" s="174"/>
      <c r="II24" s="174"/>
      <c r="IJ24" s="174"/>
      <c r="IK24" s="174"/>
      <c r="IL24" s="174"/>
      <c r="IM24" s="174"/>
      <c r="IN24" s="174"/>
      <c r="IO24" s="174"/>
      <c r="IP24" s="174"/>
      <c r="IQ24" s="174"/>
      <c r="IR24" s="174"/>
      <c r="IS24" s="174"/>
      <c r="IT24" s="174"/>
      <c r="IU24" s="174"/>
      <c r="IV24" s="174"/>
    </row>
    <row r="25" spans="1:256" s="214" customFormat="1" ht="13.8" hidden="1">
      <c r="A25" s="209"/>
      <c r="B25" s="210"/>
      <c r="C25" s="198"/>
      <c r="D25" s="197"/>
      <c r="E25" s="197"/>
      <c r="F25" s="197"/>
      <c r="G25" s="197"/>
      <c r="H25" s="197"/>
      <c r="I25" s="197"/>
      <c r="J25" s="198"/>
      <c r="K25" s="199"/>
      <c r="L25" s="200"/>
      <c r="M25" s="201"/>
      <c r="N25" s="202"/>
      <c r="O25" s="203"/>
      <c r="P25" s="204"/>
      <c r="Q25" s="204"/>
      <c r="R25" s="204"/>
      <c r="S25" s="204"/>
      <c r="T25" s="204"/>
      <c r="U25" s="204"/>
      <c r="V25" s="204"/>
      <c r="W25" s="208"/>
      <c r="X25" s="205"/>
      <c r="Y25" s="205"/>
      <c r="Z25" s="205"/>
      <c r="AA25" s="205"/>
      <c r="AB25" s="205"/>
      <c r="AC25" s="205"/>
      <c r="AD25" s="205"/>
      <c r="AE25" s="205"/>
      <c r="AF25" s="205"/>
      <c r="AG25" s="205"/>
      <c r="AH25" s="211"/>
      <c r="AI25" s="211"/>
      <c r="AJ25" s="211"/>
      <c r="AK25" s="211"/>
      <c r="AL25" s="211"/>
      <c r="AM25" s="211"/>
      <c r="AN25" s="211"/>
      <c r="AO25" s="211"/>
      <c r="AP25" s="211"/>
      <c r="AQ25" s="211"/>
      <c r="AR25" s="211"/>
      <c r="AS25" s="211"/>
      <c r="AT25" s="211"/>
      <c r="AU25" s="211"/>
      <c r="AV25" s="211"/>
      <c r="AW25" s="211"/>
      <c r="AX25" s="211"/>
      <c r="AY25" s="211"/>
      <c r="AZ25" s="211"/>
      <c r="BA25" s="211"/>
      <c r="BB25" s="208"/>
      <c r="BC25" s="208"/>
      <c r="BD25" s="208"/>
      <c r="BE25" s="208"/>
      <c r="BF25" s="208"/>
      <c r="BG25" s="208"/>
      <c r="BH25" s="208"/>
      <c r="BI25" s="208"/>
      <c r="BJ25" s="208"/>
      <c r="BK25" s="208"/>
      <c r="BL25" s="208"/>
      <c r="BM25" s="208"/>
      <c r="BN25" s="208"/>
      <c r="BO25" s="208"/>
      <c r="BP25" s="208"/>
      <c r="BQ25" s="205"/>
      <c r="BR25" s="205"/>
      <c r="BS25" s="205"/>
      <c r="BT25" s="205"/>
      <c r="BU25" s="211"/>
      <c r="BV25" s="211"/>
      <c r="BW25" s="211"/>
      <c r="BX25" s="211"/>
      <c r="BY25" s="211"/>
      <c r="BZ25" s="211"/>
      <c r="CA25" s="211"/>
      <c r="CB25" s="211"/>
      <c r="CC25" s="208"/>
      <c r="CD25" s="208"/>
      <c r="CE25" s="208"/>
      <c r="CF25" s="202"/>
      <c r="CG25" s="208"/>
      <c r="CH25" s="208"/>
      <c r="CI25" s="212"/>
      <c r="CJ25" s="212"/>
      <c r="CK25" s="206"/>
      <c r="CL25" s="212"/>
      <c r="CM25" s="212"/>
      <c r="CN25" s="212"/>
      <c r="CO25" s="212"/>
      <c r="CP25" s="212"/>
      <c r="CQ25" s="212"/>
      <c r="CR25" s="212"/>
      <c r="CS25" s="212"/>
      <c r="CT25" s="212"/>
      <c r="CU25" s="212"/>
      <c r="CV25" s="212"/>
      <c r="CW25" s="212"/>
      <c r="CX25" s="212"/>
      <c r="CY25" s="212"/>
      <c r="CZ25" s="212"/>
      <c r="DA25" s="212"/>
      <c r="DB25" s="212"/>
      <c r="DC25" s="212"/>
      <c r="DD25" s="212"/>
      <c r="DE25" s="212"/>
      <c r="DF25" s="208"/>
      <c r="DG25" s="208"/>
      <c r="DH25" s="202"/>
      <c r="DI25" s="208"/>
      <c r="DJ25" s="213"/>
      <c r="DK25" s="208"/>
      <c r="DL25" s="208"/>
      <c r="DM25" s="208"/>
      <c r="DN25" s="208"/>
      <c r="DO25" s="208"/>
      <c r="DP25" s="208"/>
      <c r="DQ25" s="208"/>
      <c r="DR25" s="208"/>
      <c r="DS25" s="208"/>
      <c r="DT25" s="208"/>
      <c r="DU25" s="208"/>
      <c r="DV25" s="208"/>
      <c r="DW25" s="208"/>
      <c r="DX25" s="208"/>
      <c r="DY25" s="208"/>
      <c r="DZ25" s="208"/>
      <c r="EA25" s="208"/>
      <c r="EB25" s="208"/>
      <c r="EC25" s="208"/>
      <c r="ED25" s="208"/>
      <c r="EE25" s="208"/>
      <c r="EF25" s="208"/>
      <c r="EG25" s="208"/>
      <c r="EH25" s="208"/>
      <c r="EI25" s="208"/>
      <c r="EJ25" s="208"/>
      <c r="EK25" s="208"/>
      <c r="EL25" s="208"/>
      <c r="EM25" s="208"/>
      <c r="EN25" s="208"/>
      <c r="EO25" s="208"/>
      <c r="EP25" s="208"/>
      <c r="EQ25" s="208"/>
      <c r="ER25" s="208"/>
      <c r="ES25" s="208"/>
      <c r="ET25" s="208"/>
      <c r="EU25" s="208"/>
      <c r="EV25" s="208"/>
      <c r="EW25" s="208"/>
      <c r="EX25" s="208"/>
      <c r="EY25" s="208"/>
      <c r="EZ25" s="208"/>
      <c r="FA25" s="208"/>
      <c r="FB25" s="208"/>
      <c r="FC25" s="208"/>
      <c r="FD25" s="208"/>
      <c r="FE25" s="208"/>
      <c r="FF25" s="208"/>
      <c r="FG25" s="208"/>
      <c r="FH25" s="208"/>
      <c r="FI25" s="208"/>
      <c r="FJ25" s="208"/>
      <c r="FK25" s="208"/>
      <c r="FL25" s="199"/>
      <c r="FM25" s="199"/>
      <c r="FN25" s="199"/>
      <c r="FO25" s="208"/>
      <c r="FP25" s="208"/>
      <c r="FQ25" s="199"/>
      <c r="FR25" s="208"/>
      <c r="FS25" s="208"/>
      <c r="FT25" s="208"/>
      <c r="FU25" s="208"/>
      <c r="FV25" s="208"/>
      <c r="FW25" s="208"/>
      <c r="FX25" s="208"/>
      <c r="FY25" s="208"/>
      <c r="FZ25" s="208"/>
      <c r="GA25" s="208"/>
      <c r="GB25" s="208"/>
      <c r="GC25" s="208"/>
      <c r="GD25" s="208"/>
      <c r="GE25" s="208"/>
      <c r="GF25" s="199"/>
      <c r="GG25" s="208"/>
      <c r="GH25" s="208"/>
      <c r="GI25" s="208"/>
      <c r="GJ25" s="208"/>
      <c r="GK25" s="208"/>
      <c r="GL25" s="208"/>
      <c r="GM25" s="208"/>
      <c r="GN25" s="208"/>
      <c r="GO25" s="208"/>
      <c r="GP25" s="208"/>
      <c r="GQ25" s="208"/>
      <c r="GR25" s="208"/>
      <c r="GS25" s="208"/>
      <c r="GT25" s="208"/>
      <c r="GU25" s="155"/>
      <c r="GV25" s="174"/>
      <c r="GW25" s="174"/>
      <c r="GX25" s="174"/>
      <c r="GY25" s="174"/>
      <c r="GZ25" s="174"/>
      <c r="HA25" s="174"/>
      <c r="HB25" s="174"/>
      <c r="HC25" s="174"/>
      <c r="HD25" s="174"/>
      <c r="HE25" s="174"/>
      <c r="HF25" s="174"/>
      <c r="HG25" s="174"/>
      <c r="HH25" s="174"/>
      <c r="HI25" s="174"/>
      <c r="HJ25" s="174"/>
      <c r="HK25" s="174"/>
      <c r="HL25" s="174"/>
      <c r="HM25" s="174"/>
      <c r="HN25" s="174"/>
      <c r="HO25" s="174"/>
      <c r="HP25" s="174"/>
      <c r="HQ25" s="174"/>
      <c r="HR25" s="174"/>
      <c r="HS25" s="174"/>
      <c r="HT25" s="174"/>
      <c r="HU25" s="174"/>
      <c r="HV25" s="174"/>
      <c r="HW25" s="174"/>
      <c r="HX25" s="174"/>
      <c r="HY25" s="174"/>
      <c r="HZ25" s="174"/>
      <c r="IA25" s="174"/>
      <c r="IB25" s="174"/>
      <c r="IC25" s="174"/>
      <c r="ID25" s="174"/>
      <c r="IE25" s="174"/>
      <c r="IF25" s="174"/>
      <c r="IG25" s="174"/>
      <c r="IH25" s="174"/>
      <c r="II25" s="174"/>
      <c r="IJ25" s="174"/>
      <c r="IK25" s="174"/>
      <c r="IL25" s="174"/>
      <c r="IM25" s="174"/>
      <c r="IN25" s="174"/>
      <c r="IO25" s="174"/>
      <c r="IP25" s="174"/>
      <c r="IQ25" s="174"/>
      <c r="IR25" s="174"/>
      <c r="IS25" s="174"/>
      <c r="IT25" s="174"/>
      <c r="IU25" s="174"/>
      <c r="IV25" s="174"/>
    </row>
    <row r="26" spans="1:256" ht="13.8" hidden="1">
      <c r="A26" s="209"/>
      <c r="B26" s="210"/>
      <c r="C26" s="198"/>
      <c r="D26" s="197"/>
      <c r="E26" s="197"/>
      <c r="F26" s="197"/>
      <c r="G26" s="197"/>
      <c r="H26" s="197"/>
      <c r="I26" s="197"/>
      <c r="J26" s="198"/>
      <c r="K26" s="199"/>
      <c r="L26" s="200"/>
      <c r="M26" s="201"/>
      <c r="N26" s="202"/>
      <c r="O26" s="203"/>
      <c r="P26" s="204"/>
      <c r="Q26" s="204"/>
      <c r="R26" s="204"/>
      <c r="S26" s="204"/>
      <c r="T26" s="204"/>
      <c r="U26" s="204"/>
      <c r="V26" s="204"/>
      <c r="W26" s="202"/>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2"/>
      <c r="BC26" s="202"/>
      <c r="BD26" s="202"/>
      <c r="BE26" s="202"/>
      <c r="BF26" s="202"/>
      <c r="BG26" s="202"/>
      <c r="BH26" s="202"/>
      <c r="BI26" s="202"/>
      <c r="BJ26" s="202"/>
      <c r="BK26" s="202"/>
      <c r="BL26" s="202"/>
      <c r="BM26" s="202"/>
      <c r="BN26" s="202"/>
      <c r="BO26" s="202"/>
      <c r="BP26" s="202"/>
      <c r="BQ26" s="205"/>
      <c r="BR26" s="205"/>
      <c r="BS26" s="205"/>
      <c r="BT26" s="205"/>
      <c r="BU26" s="205"/>
      <c r="BV26" s="205"/>
      <c r="BW26" s="205"/>
      <c r="BX26" s="205"/>
      <c r="BY26" s="205"/>
      <c r="BZ26" s="205"/>
      <c r="CA26" s="205"/>
      <c r="CB26" s="205"/>
      <c r="CC26" s="202"/>
      <c r="CD26" s="202"/>
      <c r="CE26" s="202"/>
      <c r="CF26" s="202"/>
      <c r="CG26" s="202"/>
      <c r="CH26" s="202"/>
      <c r="CI26" s="206"/>
      <c r="CJ26" s="206"/>
      <c r="CK26" s="206"/>
      <c r="CL26" s="206"/>
      <c r="CM26" s="206"/>
      <c r="CN26" s="206"/>
      <c r="CO26" s="206"/>
      <c r="CP26" s="206"/>
      <c r="CQ26" s="206"/>
      <c r="CR26" s="206"/>
      <c r="CS26" s="206"/>
      <c r="CT26" s="206"/>
      <c r="CU26" s="206"/>
      <c r="CV26" s="206"/>
      <c r="CW26" s="206"/>
      <c r="CX26" s="206"/>
      <c r="CY26" s="206"/>
      <c r="CZ26" s="206"/>
      <c r="DA26" s="206"/>
      <c r="DB26" s="206"/>
      <c r="DC26" s="206"/>
      <c r="DD26" s="206"/>
      <c r="DE26" s="206"/>
      <c r="DF26" s="202"/>
      <c r="DG26" s="202"/>
      <c r="DH26" s="202"/>
      <c r="DI26" s="202"/>
      <c r="DJ26" s="207"/>
      <c r="DK26" s="202"/>
      <c r="DL26" s="202"/>
      <c r="DM26" s="202"/>
      <c r="DN26" s="202"/>
      <c r="DO26" s="202"/>
      <c r="DP26" s="202"/>
      <c r="DQ26" s="202"/>
      <c r="DR26" s="202"/>
      <c r="DS26" s="202"/>
      <c r="DT26" s="202"/>
      <c r="DU26" s="202"/>
      <c r="DV26" s="202"/>
      <c r="DW26" s="202"/>
      <c r="DX26" s="202"/>
      <c r="DY26" s="202"/>
      <c r="DZ26" s="202"/>
      <c r="EA26" s="202"/>
      <c r="EB26" s="202"/>
      <c r="EC26" s="202"/>
      <c r="ED26" s="202"/>
      <c r="EE26" s="202"/>
      <c r="EF26" s="202"/>
      <c r="EG26" s="208"/>
      <c r="EH26" s="208"/>
      <c r="EI26" s="208"/>
      <c r="EJ26" s="208"/>
      <c r="EK26" s="208"/>
      <c r="EL26" s="208"/>
      <c r="EM26" s="208"/>
      <c r="EN26" s="208"/>
      <c r="EO26" s="208"/>
      <c r="EP26" s="208"/>
      <c r="EQ26" s="208"/>
      <c r="ER26" s="208"/>
      <c r="ES26" s="208"/>
      <c r="ET26" s="208"/>
      <c r="EU26" s="208"/>
      <c r="EV26" s="208"/>
      <c r="EW26" s="208"/>
      <c r="EX26" s="208"/>
      <c r="EY26" s="208"/>
      <c r="EZ26" s="208"/>
      <c r="FA26" s="208"/>
      <c r="FB26" s="208"/>
      <c r="FC26" s="208"/>
      <c r="FD26" s="208"/>
      <c r="FE26" s="208"/>
      <c r="FF26" s="208"/>
      <c r="FG26" s="208"/>
      <c r="FH26" s="208"/>
      <c r="FI26" s="208"/>
      <c r="FJ26" s="208"/>
      <c r="FK26" s="208"/>
      <c r="FL26" s="199"/>
      <c r="FM26" s="199"/>
      <c r="FN26" s="199"/>
      <c r="FO26" s="208"/>
      <c r="FP26" s="208"/>
      <c r="FQ26" s="199"/>
      <c r="FR26" s="208"/>
      <c r="FS26" s="208"/>
      <c r="FT26" s="208"/>
      <c r="FU26" s="208"/>
      <c r="FV26" s="208"/>
      <c r="FW26" s="208"/>
      <c r="FX26" s="208"/>
      <c r="FY26" s="208"/>
      <c r="FZ26" s="208"/>
      <c r="GA26" s="208"/>
      <c r="GB26" s="208"/>
      <c r="GC26" s="208"/>
      <c r="GD26" s="208"/>
      <c r="GE26" s="208"/>
      <c r="GF26" s="199"/>
      <c r="GG26" s="208"/>
      <c r="GH26" s="208"/>
      <c r="GI26" s="208"/>
      <c r="GJ26" s="208"/>
      <c r="GK26" s="208"/>
      <c r="GL26" s="208"/>
      <c r="GM26" s="208"/>
      <c r="GN26" s="208"/>
      <c r="GO26" s="208"/>
      <c r="GP26" s="208"/>
      <c r="GQ26" s="208"/>
      <c r="GR26" s="208"/>
      <c r="GS26" s="208"/>
      <c r="GT26" s="208"/>
      <c r="GU26" s="155"/>
      <c r="GV26" s="174"/>
      <c r="GW26" s="174"/>
      <c r="GX26" s="174"/>
      <c r="GY26" s="174"/>
      <c r="GZ26" s="174"/>
      <c r="HA26" s="174"/>
      <c r="HB26" s="174"/>
      <c r="HC26" s="174"/>
      <c r="HD26" s="174"/>
      <c r="HE26" s="174"/>
      <c r="HF26" s="174"/>
      <c r="HG26" s="174"/>
      <c r="HH26" s="174"/>
      <c r="HI26" s="174"/>
      <c r="HJ26" s="174"/>
      <c r="HK26" s="174"/>
      <c r="HL26" s="174"/>
      <c r="HM26" s="174"/>
      <c r="HN26" s="174"/>
      <c r="HO26" s="174"/>
      <c r="HP26" s="174"/>
      <c r="HQ26" s="174"/>
      <c r="HR26" s="174"/>
      <c r="HS26" s="174"/>
      <c r="HT26" s="174"/>
      <c r="HU26" s="174"/>
      <c r="HV26" s="174"/>
      <c r="HW26" s="174"/>
      <c r="HX26" s="174"/>
      <c r="HY26" s="174"/>
      <c r="HZ26" s="174"/>
      <c r="IA26" s="174"/>
      <c r="IB26" s="174"/>
      <c r="IC26" s="174"/>
      <c r="ID26" s="174"/>
      <c r="IE26" s="174"/>
      <c r="IF26" s="174"/>
      <c r="IG26" s="174"/>
      <c r="IH26" s="174"/>
      <c r="II26" s="174"/>
      <c r="IJ26" s="174"/>
      <c r="IK26" s="174"/>
      <c r="IL26" s="174"/>
      <c r="IM26" s="174"/>
      <c r="IN26" s="174"/>
      <c r="IO26" s="174"/>
      <c r="IP26" s="174"/>
      <c r="IQ26" s="174"/>
      <c r="IR26" s="174"/>
      <c r="IS26" s="174"/>
      <c r="IT26" s="174"/>
      <c r="IU26" s="174"/>
      <c r="IV26" s="174"/>
    </row>
    <row r="27" spans="1:256" ht="17.25" hidden="1" customHeight="1">
      <c r="A27" s="209"/>
      <c r="B27" s="215"/>
      <c r="C27" s="198"/>
      <c r="D27" s="216"/>
      <c r="E27" s="216"/>
      <c r="F27" s="216"/>
      <c r="G27" s="216"/>
      <c r="H27" s="216"/>
      <c r="I27" s="216"/>
      <c r="J27" s="217"/>
      <c r="K27" s="218"/>
      <c r="L27" s="219"/>
      <c r="M27" s="201"/>
      <c r="N27" s="202"/>
      <c r="O27" s="203"/>
      <c r="P27" s="220"/>
      <c r="Q27" s="220"/>
      <c r="R27" s="220"/>
      <c r="S27" s="220"/>
      <c r="T27" s="220"/>
      <c r="U27" s="220"/>
      <c r="V27" s="220"/>
      <c r="W27" s="221"/>
      <c r="X27" s="205"/>
      <c r="Y27" s="205"/>
      <c r="Z27" s="205"/>
      <c r="AA27" s="205"/>
      <c r="AB27" s="205"/>
      <c r="AC27" s="205"/>
      <c r="AD27" s="205"/>
      <c r="AE27" s="205"/>
      <c r="AF27" s="205"/>
      <c r="AG27" s="205"/>
      <c r="AH27" s="222"/>
      <c r="AI27" s="222"/>
      <c r="AJ27" s="222"/>
      <c r="AK27" s="222"/>
      <c r="AL27" s="222"/>
      <c r="AM27" s="222"/>
      <c r="AN27" s="222"/>
      <c r="AO27" s="222"/>
      <c r="AP27" s="222"/>
      <c r="AQ27" s="222"/>
      <c r="AR27" s="222"/>
      <c r="AS27" s="222"/>
      <c r="AT27" s="222"/>
      <c r="AU27" s="222"/>
      <c r="AV27" s="222"/>
      <c r="AW27" s="222"/>
      <c r="AX27" s="222"/>
      <c r="AY27" s="222"/>
      <c r="AZ27" s="222"/>
      <c r="BA27" s="222"/>
      <c r="BB27" s="221"/>
      <c r="BC27" s="221"/>
      <c r="BD27" s="221"/>
      <c r="BE27" s="221"/>
      <c r="BF27" s="221"/>
      <c r="BG27" s="221"/>
      <c r="BH27" s="221"/>
      <c r="BI27" s="221"/>
      <c r="BJ27" s="221"/>
      <c r="BK27" s="221"/>
      <c r="BL27" s="221"/>
      <c r="BM27" s="221"/>
      <c r="BN27" s="221"/>
      <c r="BO27" s="221"/>
      <c r="BP27" s="221"/>
      <c r="BQ27" s="222"/>
      <c r="BR27" s="222"/>
      <c r="BS27" s="222"/>
      <c r="BT27" s="222"/>
      <c r="BU27" s="222"/>
      <c r="BV27" s="222"/>
      <c r="BW27" s="222"/>
      <c r="BX27" s="222"/>
      <c r="BY27" s="222"/>
      <c r="BZ27" s="222"/>
      <c r="CA27" s="222"/>
      <c r="CB27" s="222"/>
      <c r="CC27" s="221"/>
      <c r="CD27" s="221"/>
      <c r="CE27" s="221"/>
      <c r="CF27" s="221"/>
      <c r="CG27" s="221"/>
      <c r="CH27" s="221"/>
      <c r="CI27" s="223"/>
      <c r="CJ27" s="223"/>
      <c r="CK27" s="206"/>
      <c r="CL27" s="223"/>
      <c r="CM27" s="223"/>
      <c r="CN27" s="223"/>
      <c r="CO27" s="223"/>
      <c r="CP27" s="223"/>
      <c r="CQ27" s="223"/>
      <c r="CR27" s="223"/>
      <c r="CS27" s="223"/>
      <c r="CT27" s="223"/>
      <c r="CU27" s="223"/>
      <c r="CV27" s="223"/>
      <c r="CW27" s="223"/>
      <c r="CX27" s="223"/>
      <c r="CY27" s="223"/>
      <c r="CZ27" s="223"/>
      <c r="DA27" s="223"/>
      <c r="DB27" s="223"/>
      <c r="DC27" s="223"/>
      <c r="DD27" s="223"/>
      <c r="DE27" s="223"/>
      <c r="DF27" s="221"/>
      <c r="DG27" s="221"/>
      <c r="DH27" s="221"/>
      <c r="DI27" s="221"/>
      <c r="DJ27" s="224"/>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5"/>
      <c r="EH27" s="225"/>
      <c r="EI27" s="225"/>
      <c r="EJ27" s="225"/>
      <c r="EK27" s="225"/>
      <c r="EL27" s="225"/>
      <c r="EM27" s="225"/>
      <c r="EN27" s="225"/>
      <c r="EO27" s="225"/>
      <c r="EP27" s="225"/>
      <c r="EQ27" s="225"/>
      <c r="ER27" s="225"/>
      <c r="ES27" s="225"/>
      <c r="ET27" s="225"/>
      <c r="EU27" s="225"/>
      <c r="EV27" s="225"/>
      <c r="EW27" s="225"/>
      <c r="EX27" s="225"/>
      <c r="EY27" s="225"/>
      <c r="EZ27" s="225"/>
      <c r="FA27" s="225"/>
      <c r="FB27" s="225"/>
      <c r="FC27" s="225"/>
      <c r="FD27" s="225"/>
      <c r="FE27" s="225"/>
      <c r="FF27" s="225"/>
      <c r="FG27" s="225"/>
      <c r="FH27" s="225"/>
      <c r="FI27" s="225"/>
      <c r="FJ27" s="225"/>
      <c r="FK27" s="225"/>
      <c r="FL27" s="218"/>
      <c r="FM27" s="218"/>
      <c r="FN27" s="218"/>
      <c r="FO27" s="225"/>
      <c r="FP27" s="225"/>
      <c r="FQ27" s="218"/>
      <c r="FR27" s="225"/>
      <c r="FS27" s="225"/>
      <c r="FT27" s="225"/>
      <c r="FU27" s="225"/>
      <c r="FV27" s="225"/>
      <c r="FW27" s="225"/>
      <c r="FX27" s="225"/>
      <c r="FY27" s="225"/>
      <c r="FZ27" s="225"/>
      <c r="GA27" s="225"/>
      <c r="GB27" s="225"/>
      <c r="GC27" s="225"/>
      <c r="GD27" s="225"/>
      <c r="GE27" s="218"/>
      <c r="GF27" s="218"/>
      <c r="GG27" s="225"/>
      <c r="GH27" s="225"/>
      <c r="GI27" s="225"/>
      <c r="GJ27" s="225"/>
      <c r="GK27" s="225"/>
      <c r="GL27" s="225"/>
      <c r="GM27" s="225"/>
      <c r="GN27" s="225"/>
      <c r="GO27" s="225"/>
      <c r="GP27" s="225"/>
      <c r="GQ27" s="225"/>
      <c r="GR27" s="225"/>
      <c r="GS27" s="225"/>
      <c r="GT27" s="225"/>
      <c r="GU27" s="155"/>
      <c r="GV27" s="174"/>
      <c r="GW27" s="174"/>
      <c r="GX27" s="174"/>
      <c r="GY27" s="174"/>
      <c r="GZ27" s="174"/>
      <c r="HA27" s="174"/>
      <c r="HB27" s="174"/>
      <c r="HC27" s="174"/>
      <c r="HD27" s="174"/>
      <c r="HE27" s="174"/>
      <c r="HF27" s="174"/>
      <c r="HG27" s="174"/>
      <c r="HH27" s="174"/>
      <c r="HI27" s="174"/>
      <c r="HJ27" s="174"/>
      <c r="HK27" s="174"/>
      <c r="HL27" s="174"/>
      <c r="HM27" s="174"/>
      <c r="HN27" s="174"/>
      <c r="HO27" s="174"/>
      <c r="HP27" s="174"/>
      <c r="HQ27" s="174"/>
      <c r="HR27" s="174"/>
      <c r="HS27" s="174"/>
      <c r="HT27" s="174"/>
      <c r="HU27" s="174"/>
      <c r="HV27" s="174"/>
      <c r="HW27" s="174"/>
      <c r="HX27" s="174"/>
      <c r="HY27" s="174"/>
      <c r="HZ27" s="174"/>
      <c r="IA27" s="174"/>
      <c r="IB27" s="174"/>
      <c r="IC27" s="174"/>
      <c r="ID27" s="174"/>
      <c r="IE27" s="174"/>
      <c r="IF27" s="174"/>
      <c r="IG27" s="174"/>
      <c r="IH27" s="174"/>
      <c r="II27" s="174"/>
      <c r="IJ27" s="174"/>
      <c r="IK27" s="174"/>
      <c r="IL27" s="174"/>
      <c r="IM27" s="174"/>
      <c r="IN27" s="174"/>
      <c r="IO27" s="174"/>
      <c r="IP27" s="174"/>
      <c r="IQ27" s="174"/>
      <c r="IR27" s="174"/>
      <c r="IS27" s="174"/>
      <c r="IT27" s="174"/>
      <c r="IU27" s="174"/>
      <c r="IV27" s="174"/>
    </row>
    <row r="28" spans="1:256" ht="13.8" hidden="1">
      <c r="A28" s="226"/>
      <c r="B28" s="215"/>
      <c r="C28" s="198"/>
      <c r="D28" s="216"/>
      <c r="E28" s="216"/>
      <c r="F28" s="216"/>
      <c r="G28" s="216"/>
      <c r="H28" s="216"/>
      <c r="I28" s="216"/>
      <c r="J28" s="217"/>
      <c r="K28" s="218"/>
      <c r="L28" s="219"/>
      <c r="M28" s="201"/>
      <c r="N28" s="202"/>
      <c r="O28" s="203"/>
      <c r="P28" s="220"/>
      <c r="Q28" s="220"/>
      <c r="R28" s="220"/>
      <c r="S28" s="220"/>
      <c r="T28" s="220"/>
      <c r="U28" s="220"/>
      <c r="V28" s="220"/>
      <c r="W28" s="221"/>
      <c r="X28" s="227"/>
      <c r="Y28" s="227"/>
      <c r="Z28" s="227"/>
      <c r="AA28" s="227"/>
      <c r="AB28" s="227"/>
      <c r="AC28" s="227"/>
      <c r="AD28" s="227"/>
      <c r="AE28" s="227"/>
      <c r="AF28" s="227"/>
      <c r="AG28" s="227"/>
      <c r="AH28" s="222"/>
      <c r="AI28" s="222"/>
      <c r="AJ28" s="222"/>
      <c r="AK28" s="222"/>
      <c r="AL28" s="222"/>
      <c r="AM28" s="222"/>
      <c r="AN28" s="222"/>
      <c r="AO28" s="222"/>
      <c r="AP28" s="222"/>
      <c r="AQ28" s="222"/>
      <c r="AR28" s="222"/>
      <c r="AS28" s="222"/>
      <c r="AT28" s="222"/>
      <c r="AU28" s="222"/>
      <c r="AV28" s="222"/>
      <c r="AW28" s="222"/>
      <c r="AX28" s="222"/>
      <c r="AY28" s="222"/>
      <c r="AZ28" s="222"/>
      <c r="BA28" s="222"/>
      <c r="BB28" s="221"/>
      <c r="BC28" s="221"/>
      <c r="BD28" s="221"/>
      <c r="BE28" s="221"/>
      <c r="BF28" s="221"/>
      <c r="BG28" s="221"/>
      <c r="BH28" s="221"/>
      <c r="BI28" s="221"/>
      <c r="BJ28" s="221"/>
      <c r="BK28" s="221"/>
      <c r="BL28" s="221"/>
      <c r="BM28" s="221"/>
      <c r="BN28" s="221"/>
      <c r="BO28" s="221"/>
      <c r="BP28" s="221"/>
      <c r="BQ28" s="222"/>
      <c r="BR28" s="222"/>
      <c r="BS28" s="222"/>
      <c r="BT28" s="222"/>
      <c r="BU28" s="222"/>
      <c r="BV28" s="222"/>
      <c r="BW28" s="222"/>
      <c r="BX28" s="222"/>
      <c r="BY28" s="222"/>
      <c r="BZ28" s="222"/>
      <c r="CA28" s="222"/>
      <c r="CB28" s="222"/>
      <c r="CC28" s="221"/>
      <c r="CD28" s="221"/>
      <c r="CE28" s="221"/>
      <c r="CF28" s="221"/>
      <c r="CG28" s="221"/>
      <c r="CH28" s="221"/>
      <c r="CI28" s="223"/>
      <c r="CJ28" s="223"/>
      <c r="CK28" s="206"/>
      <c r="CL28" s="223"/>
      <c r="CM28" s="223"/>
      <c r="CN28" s="223"/>
      <c r="CO28" s="223"/>
      <c r="CP28" s="223"/>
      <c r="CQ28" s="223"/>
      <c r="CR28" s="223"/>
      <c r="CS28" s="223"/>
      <c r="CT28" s="223"/>
      <c r="CU28" s="223"/>
      <c r="CV28" s="223"/>
      <c r="CW28" s="223"/>
      <c r="CX28" s="223"/>
      <c r="CY28" s="223"/>
      <c r="CZ28" s="223"/>
      <c r="DA28" s="223"/>
      <c r="DB28" s="223"/>
      <c r="DC28" s="223"/>
      <c r="DD28" s="223"/>
      <c r="DE28" s="223"/>
      <c r="DF28" s="221"/>
      <c r="DG28" s="221"/>
      <c r="DH28" s="221"/>
      <c r="DI28" s="221"/>
      <c r="DJ28" s="224"/>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5"/>
      <c r="EH28" s="225"/>
      <c r="EI28" s="225"/>
      <c r="EJ28" s="225"/>
      <c r="EK28" s="225"/>
      <c r="EL28" s="225"/>
      <c r="EM28" s="225"/>
      <c r="EN28" s="225"/>
      <c r="EO28" s="225"/>
      <c r="EP28" s="225"/>
      <c r="EQ28" s="225"/>
      <c r="ER28" s="225"/>
      <c r="ES28" s="225"/>
      <c r="ET28" s="225"/>
      <c r="EU28" s="225"/>
      <c r="EV28" s="225"/>
      <c r="EW28" s="225"/>
      <c r="EX28" s="225"/>
      <c r="EY28" s="225"/>
      <c r="EZ28" s="225"/>
      <c r="FA28" s="225"/>
      <c r="FB28" s="225"/>
      <c r="FC28" s="225"/>
      <c r="FD28" s="225"/>
      <c r="FE28" s="225"/>
      <c r="FF28" s="225"/>
      <c r="FG28" s="225"/>
      <c r="FH28" s="225"/>
      <c r="FI28" s="225"/>
      <c r="FJ28" s="225"/>
      <c r="FK28" s="225"/>
      <c r="FL28" s="218"/>
      <c r="FM28" s="218"/>
      <c r="FN28" s="218"/>
      <c r="FO28" s="225"/>
      <c r="FP28" s="225"/>
      <c r="FQ28" s="218"/>
      <c r="FR28" s="225"/>
      <c r="FS28" s="225"/>
      <c r="FT28" s="225"/>
      <c r="FU28" s="225"/>
      <c r="FV28" s="225"/>
      <c r="FW28" s="225"/>
      <c r="FX28" s="225"/>
      <c r="FY28" s="225"/>
      <c r="FZ28" s="225"/>
      <c r="GA28" s="225"/>
      <c r="GB28" s="225"/>
      <c r="GC28" s="225"/>
      <c r="GD28" s="225"/>
      <c r="GE28" s="218"/>
      <c r="GF28" s="218"/>
      <c r="GG28" s="225"/>
      <c r="GH28" s="225"/>
      <c r="GI28" s="225"/>
      <c r="GJ28" s="225"/>
      <c r="GK28" s="225"/>
      <c r="GL28" s="225"/>
      <c r="GM28" s="225"/>
      <c r="GN28" s="225"/>
      <c r="GO28" s="225"/>
      <c r="GP28" s="225"/>
      <c r="GQ28" s="225"/>
      <c r="GR28" s="225"/>
      <c r="GS28" s="225"/>
      <c r="GT28" s="225"/>
      <c r="GU28" s="155"/>
      <c r="GV28" s="174"/>
      <c r="GW28" s="174"/>
      <c r="GX28" s="174"/>
      <c r="GY28" s="174"/>
      <c r="GZ28" s="174"/>
      <c r="HA28" s="174"/>
      <c r="HB28" s="174"/>
      <c r="HC28" s="174"/>
      <c r="HD28" s="174"/>
      <c r="HE28" s="174"/>
      <c r="HF28" s="174"/>
      <c r="HG28" s="174"/>
      <c r="HH28" s="174"/>
      <c r="HI28" s="174"/>
      <c r="HJ28" s="174"/>
      <c r="HK28" s="174"/>
      <c r="HL28" s="174"/>
      <c r="HM28" s="174"/>
      <c r="HN28" s="174"/>
      <c r="HO28" s="174"/>
      <c r="HP28" s="174"/>
      <c r="HQ28" s="174"/>
      <c r="HR28" s="174"/>
      <c r="HS28" s="174"/>
      <c r="HT28" s="174"/>
      <c r="HU28" s="174"/>
      <c r="HV28" s="174"/>
      <c r="HW28" s="174"/>
      <c r="HX28" s="174"/>
      <c r="HY28" s="174"/>
      <c r="HZ28" s="174"/>
      <c r="IA28" s="174"/>
      <c r="IB28" s="174"/>
      <c r="IC28" s="174"/>
      <c r="ID28" s="174"/>
      <c r="IE28" s="174"/>
      <c r="IF28" s="174"/>
      <c r="IG28" s="174"/>
      <c r="IH28" s="174"/>
      <c r="II28" s="174"/>
      <c r="IJ28" s="174"/>
      <c r="IK28" s="174"/>
      <c r="IL28" s="174"/>
      <c r="IM28" s="174"/>
      <c r="IN28" s="174"/>
      <c r="IO28" s="174"/>
      <c r="IP28" s="174"/>
      <c r="IQ28" s="174"/>
      <c r="IR28" s="174"/>
      <c r="IS28" s="174"/>
      <c r="IT28" s="174"/>
      <c r="IU28" s="174"/>
      <c r="IV28" s="174"/>
    </row>
    <row r="29" spans="1:256" s="233" customFormat="1" ht="13.8" hidden="1">
      <c r="A29" s="156"/>
      <c r="B29" s="228">
        <f>SUM(B9:B28)</f>
        <v>0</v>
      </c>
      <c r="C29" s="229">
        <f>B29</f>
        <v>0</v>
      </c>
      <c r="D29" s="229">
        <f t="shared" ref="D29:L29" si="0">SUM(D11:D28)</f>
        <v>0</v>
      </c>
      <c r="E29" s="229">
        <f t="shared" si="0"/>
        <v>0</v>
      </c>
      <c r="F29" s="229">
        <f t="shared" si="0"/>
        <v>0</v>
      </c>
      <c r="G29" s="229">
        <f t="shared" si="0"/>
        <v>0</v>
      </c>
      <c r="H29" s="229">
        <f t="shared" si="0"/>
        <v>0</v>
      </c>
      <c r="I29" s="229">
        <f t="shared" si="0"/>
        <v>0</v>
      </c>
      <c r="J29" s="230">
        <f t="shared" si="0"/>
        <v>0</v>
      </c>
      <c r="K29" s="230">
        <f t="shared" si="0"/>
        <v>0</v>
      </c>
      <c r="L29" s="230">
        <f t="shared" si="0"/>
        <v>0</v>
      </c>
      <c r="M29" s="230"/>
      <c r="N29" s="230">
        <f>SUM(N9:N28)</f>
        <v>0</v>
      </c>
      <c r="O29" s="230">
        <f t="shared" ref="O29:CC29" si="1">SUM(O9:O28)</f>
        <v>0</v>
      </c>
      <c r="P29" s="230">
        <f>SUM(P9:P28)</f>
        <v>0</v>
      </c>
      <c r="Q29" s="230">
        <f>SUM(Q9:Q28)</f>
        <v>0</v>
      </c>
      <c r="R29" s="230">
        <f t="shared" si="1"/>
        <v>0</v>
      </c>
      <c r="S29" s="230">
        <f t="shared" si="1"/>
        <v>0</v>
      </c>
      <c r="T29" s="230">
        <f t="shared" si="1"/>
        <v>0</v>
      </c>
      <c r="U29" s="230">
        <f t="shared" si="1"/>
        <v>0</v>
      </c>
      <c r="V29" s="230">
        <f t="shared" si="1"/>
        <v>0</v>
      </c>
      <c r="W29" s="230">
        <f t="shared" si="1"/>
        <v>0</v>
      </c>
      <c r="X29" s="230">
        <f t="shared" si="1"/>
        <v>0</v>
      </c>
      <c r="Y29" s="230"/>
      <c r="Z29" s="230">
        <f t="shared" si="1"/>
        <v>0</v>
      </c>
      <c r="AA29" s="230">
        <f t="shared" si="1"/>
        <v>0</v>
      </c>
      <c r="AB29" s="230">
        <f t="shared" si="1"/>
        <v>0</v>
      </c>
      <c r="AC29" s="230">
        <f t="shared" si="1"/>
        <v>0</v>
      </c>
      <c r="AD29" s="230">
        <f t="shared" si="1"/>
        <v>0</v>
      </c>
      <c r="AE29" s="230">
        <f t="shared" si="1"/>
        <v>0</v>
      </c>
      <c r="AF29" s="230">
        <f t="shared" si="1"/>
        <v>0</v>
      </c>
      <c r="AG29" s="230">
        <f t="shared" si="1"/>
        <v>0</v>
      </c>
      <c r="AH29" s="230">
        <f t="shared" si="1"/>
        <v>0</v>
      </c>
      <c r="AI29" s="230">
        <f t="shared" si="1"/>
        <v>0</v>
      </c>
      <c r="AJ29" s="230">
        <f t="shared" si="1"/>
        <v>0</v>
      </c>
      <c r="AK29" s="230">
        <f t="shared" si="1"/>
        <v>0</v>
      </c>
      <c r="AL29" s="230">
        <f t="shared" si="1"/>
        <v>0</v>
      </c>
      <c r="AM29" s="230">
        <f t="shared" si="1"/>
        <v>0</v>
      </c>
      <c r="AN29" s="230">
        <f t="shared" si="1"/>
        <v>0</v>
      </c>
      <c r="AO29" s="230">
        <f t="shared" si="1"/>
        <v>0</v>
      </c>
      <c r="AP29" s="230">
        <f t="shared" si="1"/>
        <v>0</v>
      </c>
      <c r="AQ29" s="230">
        <f t="shared" si="1"/>
        <v>0</v>
      </c>
      <c r="AR29" s="230">
        <f t="shared" si="1"/>
        <v>0</v>
      </c>
      <c r="AS29" s="230">
        <f t="shared" si="1"/>
        <v>0</v>
      </c>
      <c r="AT29" s="230">
        <f t="shared" si="1"/>
        <v>0</v>
      </c>
      <c r="AU29" s="230">
        <f t="shared" si="1"/>
        <v>0</v>
      </c>
      <c r="AV29" s="230">
        <f t="shared" si="1"/>
        <v>0</v>
      </c>
      <c r="AW29" s="230">
        <f t="shared" si="1"/>
        <v>0</v>
      </c>
      <c r="AX29" s="230">
        <f t="shared" si="1"/>
        <v>0</v>
      </c>
      <c r="AY29" s="230">
        <f t="shared" si="1"/>
        <v>0</v>
      </c>
      <c r="AZ29" s="230">
        <f t="shared" si="1"/>
        <v>0</v>
      </c>
      <c r="BA29" s="230">
        <f t="shared" si="1"/>
        <v>0</v>
      </c>
      <c r="BB29" s="230">
        <f t="shared" si="1"/>
        <v>0</v>
      </c>
      <c r="BC29" s="230">
        <f t="shared" si="1"/>
        <v>0</v>
      </c>
      <c r="BD29" s="230">
        <f t="shared" si="1"/>
        <v>0</v>
      </c>
      <c r="BE29" s="230">
        <f t="shared" si="1"/>
        <v>0</v>
      </c>
      <c r="BF29" s="230">
        <f t="shared" si="1"/>
        <v>0</v>
      </c>
      <c r="BG29" s="230">
        <f t="shared" si="1"/>
        <v>0</v>
      </c>
      <c r="BH29" s="230">
        <f t="shared" si="1"/>
        <v>0</v>
      </c>
      <c r="BI29" s="230">
        <f t="shared" si="1"/>
        <v>0</v>
      </c>
      <c r="BJ29" s="230">
        <f t="shared" si="1"/>
        <v>0</v>
      </c>
      <c r="BK29" s="230">
        <f t="shared" si="1"/>
        <v>0</v>
      </c>
      <c r="BL29" s="230">
        <f t="shared" si="1"/>
        <v>0</v>
      </c>
      <c r="BM29" s="230">
        <f t="shared" si="1"/>
        <v>0</v>
      </c>
      <c r="BN29" s="230">
        <f t="shared" si="1"/>
        <v>0</v>
      </c>
      <c r="BO29" s="230">
        <f t="shared" si="1"/>
        <v>0</v>
      </c>
      <c r="BP29" s="230">
        <f t="shared" si="1"/>
        <v>0</v>
      </c>
      <c r="BQ29" s="230">
        <f t="shared" si="1"/>
        <v>0</v>
      </c>
      <c r="BR29" s="230">
        <f t="shared" si="1"/>
        <v>0</v>
      </c>
      <c r="BS29" s="230">
        <f t="shared" si="1"/>
        <v>0</v>
      </c>
      <c r="BT29" s="230">
        <f t="shared" si="1"/>
        <v>0</v>
      </c>
      <c r="BU29" s="230">
        <f t="shared" si="1"/>
        <v>0</v>
      </c>
      <c r="BV29" s="230">
        <f t="shared" si="1"/>
        <v>0</v>
      </c>
      <c r="BW29" s="230">
        <f t="shared" si="1"/>
        <v>0</v>
      </c>
      <c r="BX29" s="230">
        <f t="shared" si="1"/>
        <v>0</v>
      </c>
      <c r="BY29" s="230">
        <f t="shared" si="1"/>
        <v>0</v>
      </c>
      <c r="BZ29" s="230">
        <f t="shared" si="1"/>
        <v>0</v>
      </c>
      <c r="CA29" s="230">
        <f t="shared" si="1"/>
        <v>0</v>
      </c>
      <c r="CB29" s="230">
        <f t="shared" si="1"/>
        <v>0</v>
      </c>
      <c r="CC29" s="230">
        <f t="shared" si="1"/>
        <v>0</v>
      </c>
      <c r="CD29" s="230">
        <f t="shared" ref="CD29:EQ29" si="2">SUM(CD9:CD28)</f>
        <v>0</v>
      </c>
      <c r="CE29" s="230">
        <f t="shared" si="2"/>
        <v>0</v>
      </c>
      <c r="CF29" s="230">
        <f t="shared" si="2"/>
        <v>0</v>
      </c>
      <c r="CG29" s="230">
        <f t="shared" si="2"/>
        <v>0</v>
      </c>
      <c r="CH29" s="230">
        <f t="shared" si="2"/>
        <v>0</v>
      </c>
      <c r="CI29" s="230">
        <f t="shared" si="2"/>
        <v>0</v>
      </c>
      <c r="CJ29" s="230">
        <f t="shared" si="2"/>
        <v>0</v>
      </c>
      <c r="CK29" s="230">
        <f t="shared" si="2"/>
        <v>0</v>
      </c>
      <c r="CL29" s="230">
        <f t="shared" si="2"/>
        <v>0</v>
      </c>
      <c r="CM29" s="230">
        <f t="shared" si="2"/>
        <v>0</v>
      </c>
      <c r="CN29" s="230">
        <f t="shared" si="2"/>
        <v>0</v>
      </c>
      <c r="CO29" s="230">
        <f t="shared" si="2"/>
        <v>0</v>
      </c>
      <c r="CP29" s="230">
        <f t="shared" si="2"/>
        <v>0</v>
      </c>
      <c r="CQ29" s="230">
        <f t="shared" si="2"/>
        <v>0</v>
      </c>
      <c r="CR29" s="230">
        <f t="shared" si="2"/>
        <v>0</v>
      </c>
      <c r="CS29" s="230">
        <f t="shared" si="2"/>
        <v>0</v>
      </c>
      <c r="CT29" s="230">
        <f t="shared" si="2"/>
        <v>0</v>
      </c>
      <c r="CU29" s="230">
        <f t="shared" si="2"/>
        <v>0</v>
      </c>
      <c r="CV29" s="230">
        <f t="shared" si="2"/>
        <v>0</v>
      </c>
      <c r="CW29" s="230">
        <f t="shared" si="2"/>
        <v>0</v>
      </c>
      <c r="CX29" s="230">
        <f t="shared" si="2"/>
        <v>0</v>
      </c>
      <c r="CY29" s="230">
        <f t="shared" si="2"/>
        <v>0</v>
      </c>
      <c r="CZ29" s="230">
        <f t="shared" si="2"/>
        <v>0</v>
      </c>
      <c r="DA29" s="230">
        <f t="shared" si="2"/>
        <v>0</v>
      </c>
      <c r="DB29" s="230">
        <f t="shared" si="2"/>
        <v>0</v>
      </c>
      <c r="DC29" s="230">
        <f t="shared" si="2"/>
        <v>0</v>
      </c>
      <c r="DD29" s="230">
        <f t="shared" si="2"/>
        <v>0</v>
      </c>
      <c r="DE29" s="230">
        <f t="shared" si="2"/>
        <v>0</v>
      </c>
      <c r="DF29" s="230">
        <f t="shared" si="2"/>
        <v>0</v>
      </c>
      <c r="DG29" s="230">
        <f t="shared" si="2"/>
        <v>0</v>
      </c>
      <c r="DH29" s="230">
        <f t="shared" si="2"/>
        <v>0</v>
      </c>
      <c r="DI29" s="230">
        <f t="shared" si="2"/>
        <v>0</v>
      </c>
      <c r="DJ29" s="230">
        <f t="shared" si="2"/>
        <v>0</v>
      </c>
      <c r="DK29" s="230">
        <f t="shared" si="2"/>
        <v>0</v>
      </c>
      <c r="DL29" s="230">
        <f t="shared" si="2"/>
        <v>0</v>
      </c>
      <c r="DM29" s="230">
        <f t="shared" si="2"/>
        <v>0</v>
      </c>
      <c r="DN29" s="230">
        <f t="shared" si="2"/>
        <v>0</v>
      </c>
      <c r="DO29" s="230">
        <f t="shared" si="2"/>
        <v>0</v>
      </c>
      <c r="DP29" s="230">
        <f>SUM(DP9:DP28)</f>
        <v>0</v>
      </c>
      <c r="DQ29" s="230">
        <f>SUM(DQ9:DQ28)</f>
        <v>0</v>
      </c>
      <c r="DR29" s="230">
        <f t="shared" si="2"/>
        <v>0</v>
      </c>
      <c r="DS29" s="230">
        <f t="shared" si="2"/>
        <v>0</v>
      </c>
      <c r="DT29" s="230">
        <f t="shared" si="2"/>
        <v>0</v>
      </c>
      <c r="DU29" s="230">
        <f t="shared" si="2"/>
        <v>0</v>
      </c>
      <c r="DV29" s="230">
        <f t="shared" si="2"/>
        <v>0</v>
      </c>
      <c r="DW29" s="230">
        <f t="shared" si="2"/>
        <v>0</v>
      </c>
      <c r="DX29" s="230">
        <f t="shared" si="2"/>
        <v>0</v>
      </c>
      <c r="DY29" s="230">
        <f t="shared" si="2"/>
        <v>0</v>
      </c>
      <c r="DZ29" s="230">
        <f t="shared" si="2"/>
        <v>0</v>
      </c>
      <c r="EA29" s="230">
        <f t="shared" si="2"/>
        <v>0</v>
      </c>
      <c r="EB29" s="230">
        <f t="shared" si="2"/>
        <v>0</v>
      </c>
      <c r="EC29" s="230">
        <f t="shared" si="2"/>
        <v>0</v>
      </c>
      <c r="ED29" s="230">
        <f t="shared" si="2"/>
        <v>0</v>
      </c>
      <c r="EE29" s="230">
        <f t="shared" si="2"/>
        <v>0</v>
      </c>
      <c r="EF29" s="230">
        <f t="shared" si="2"/>
        <v>0</v>
      </c>
      <c r="EG29" s="230">
        <f t="shared" si="2"/>
        <v>0</v>
      </c>
      <c r="EH29" s="230">
        <f t="shared" si="2"/>
        <v>0</v>
      </c>
      <c r="EI29" s="230">
        <f t="shared" si="2"/>
        <v>0</v>
      </c>
      <c r="EJ29" s="230">
        <f t="shared" si="2"/>
        <v>0</v>
      </c>
      <c r="EK29" s="230">
        <f t="shared" si="2"/>
        <v>0</v>
      </c>
      <c r="EL29" s="230">
        <f t="shared" si="2"/>
        <v>0</v>
      </c>
      <c r="EM29" s="230">
        <f t="shared" si="2"/>
        <v>0</v>
      </c>
      <c r="EN29" s="230">
        <f t="shared" si="2"/>
        <v>0</v>
      </c>
      <c r="EO29" s="230">
        <f t="shared" si="2"/>
        <v>0</v>
      </c>
      <c r="EP29" s="230">
        <f t="shared" si="2"/>
        <v>0</v>
      </c>
      <c r="EQ29" s="230">
        <f t="shared" si="2"/>
        <v>0</v>
      </c>
      <c r="ER29" s="230">
        <f t="shared" ref="ER29:GQ29" si="3">SUM(ER9:ER28)</f>
        <v>0</v>
      </c>
      <c r="ES29" s="230">
        <f t="shared" si="3"/>
        <v>0</v>
      </c>
      <c r="ET29" s="230">
        <f t="shared" si="3"/>
        <v>0</v>
      </c>
      <c r="EU29" s="230">
        <f t="shared" si="3"/>
        <v>0</v>
      </c>
      <c r="EV29" s="230">
        <f t="shared" si="3"/>
        <v>0</v>
      </c>
      <c r="EW29" s="230">
        <f t="shared" si="3"/>
        <v>0</v>
      </c>
      <c r="EX29" s="230">
        <f t="shared" ref="EX29:FC29" si="4">SUM(EX9:EX28)</f>
        <v>0</v>
      </c>
      <c r="EY29" s="230">
        <f t="shared" si="4"/>
        <v>0</v>
      </c>
      <c r="EZ29" s="230">
        <f t="shared" si="4"/>
        <v>0</v>
      </c>
      <c r="FA29" s="230">
        <f t="shared" si="4"/>
        <v>0</v>
      </c>
      <c r="FB29" s="230">
        <f t="shared" si="4"/>
        <v>0</v>
      </c>
      <c r="FC29" s="230">
        <f t="shared" si="4"/>
        <v>0</v>
      </c>
      <c r="FD29" s="230">
        <f t="shared" si="3"/>
        <v>0</v>
      </c>
      <c r="FE29" s="230">
        <f t="shared" si="3"/>
        <v>0</v>
      </c>
      <c r="FF29" s="230">
        <f t="shared" si="3"/>
        <v>0</v>
      </c>
      <c r="FG29" s="230">
        <f t="shared" si="3"/>
        <v>0</v>
      </c>
      <c r="FH29" s="230">
        <f t="shared" si="3"/>
        <v>0</v>
      </c>
      <c r="FI29" s="230">
        <f t="shared" si="3"/>
        <v>0</v>
      </c>
      <c r="FJ29" s="230">
        <f t="shared" si="3"/>
        <v>0</v>
      </c>
      <c r="FK29" s="230">
        <f t="shared" si="3"/>
        <v>0</v>
      </c>
      <c r="FL29" s="230">
        <f t="shared" ref="FL29:FT29" si="5">SUM(FL9:FL28)</f>
        <v>0</v>
      </c>
      <c r="FM29" s="230">
        <f t="shared" si="5"/>
        <v>0</v>
      </c>
      <c r="FN29" s="230">
        <f t="shared" si="5"/>
        <v>0</v>
      </c>
      <c r="FO29" s="230">
        <f t="shared" si="5"/>
        <v>0</v>
      </c>
      <c r="FP29" s="230">
        <f t="shared" si="5"/>
        <v>0</v>
      </c>
      <c r="FQ29" s="230">
        <f t="shared" si="5"/>
        <v>0</v>
      </c>
      <c r="FR29" s="230">
        <f t="shared" si="5"/>
        <v>0</v>
      </c>
      <c r="FS29" s="230">
        <f t="shared" si="5"/>
        <v>0</v>
      </c>
      <c r="FT29" s="230">
        <f t="shared" si="5"/>
        <v>0</v>
      </c>
      <c r="FU29" s="230">
        <f t="shared" si="3"/>
        <v>0</v>
      </c>
      <c r="FV29" s="230">
        <f t="shared" si="3"/>
        <v>0</v>
      </c>
      <c r="FW29" s="230">
        <f t="shared" si="3"/>
        <v>0</v>
      </c>
      <c r="FX29" s="230">
        <f t="shared" si="3"/>
        <v>0</v>
      </c>
      <c r="FY29" s="230">
        <f t="shared" si="3"/>
        <v>0</v>
      </c>
      <c r="FZ29" s="230">
        <f t="shared" si="3"/>
        <v>0</v>
      </c>
      <c r="GA29" s="230">
        <f t="shared" si="3"/>
        <v>0</v>
      </c>
      <c r="GB29" s="230">
        <f t="shared" si="3"/>
        <v>0</v>
      </c>
      <c r="GC29" s="230">
        <f t="shared" si="3"/>
        <v>0</v>
      </c>
      <c r="GD29" s="230">
        <f t="shared" si="3"/>
        <v>0</v>
      </c>
      <c r="GE29" s="230">
        <f t="shared" si="3"/>
        <v>0</v>
      </c>
      <c r="GF29" s="230">
        <f t="shared" si="3"/>
        <v>0</v>
      </c>
      <c r="GG29" s="230">
        <f t="shared" si="3"/>
        <v>0</v>
      </c>
      <c r="GH29" s="230">
        <f t="shared" si="3"/>
        <v>0</v>
      </c>
      <c r="GI29" s="230">
        <f t="shared" si="3"/>
        <v>0</v>
      </c>
      <c r="GJ29" s="230">
        <f t="shared" si="3"/>
        <v>0</v>
      </c>
      <c r="GK29" s="230">
        <f t="shared" si="3"/>
        <v>0</v>
      </c>
      <c r="GL29" s="230">
        <f t="shared" si="3"/>
        <v>0</v>
      </c>
      <c r="GM29" s="230">
        <f t="shared" si="3"/>
        <v>0</v>
      </c>
      <c r="GN29" s="230">
        <f t="shared" si="3"/>
        <v>0</v>
      </c>
      <c r="GO29" s="230">
        <f t="shared" si="3"/>
        <v>0</v>
      </c>
      <c r="GP29" s="230">
        <f t="shared" si="3"/>
        <v>0</v>
      </c>
      <c r="GQ29" s="230">
        <f t="shared" si="3"/>
        <v>0</v>
      </c>
      <c r="GR29" s="231"/>
      <c r="GS29" s="231"/>
      <c r="GT29" s="231"/>
      <c r="GU29" s="232"/>
      <c r="GV29" s="174"/>
      <c r="GW29" s="174"/>
      <c r="GX29" s="174"/>
      <c r="GY29" s="174"/>
      <c r="GZ29" s="174"/>
      <c r="HA29" s="174"/>
      <c r="HB29" s="174"/>
      <c r="HC29" s="174"/>
      <c r="HD29" s="174"/>
      <c r="HE29" s="174"/>
      <c r="HF29" s="174"/>
      <c r="HG29" s="174"/>
      <c r="HH29" s="174"/>
      <c r="HI29" s="174"/>
      <c r="HJ29" s="174"/>
      <c r="HK29" s="174"/>
      <c r="HL29" s="174"/>
      <c r="HM29" s="174"/>
      <c r="HN29" s="174"/>
      <c r="HO29" s="174"/>
      <c r="HP29" s="174"/>
      <c r="HQ29" s="174"/>
      <c r="HR29" s="174"/>
      <c r="HS29" s="174"/>
      <c r="HT29" s="174"/>
      <c r="HU29" s="174"/>
      <c r="HV29" s="174"/>
      <c r="HW29" s="174"/>
      <c r="HX29" s="174"/>
      <c r="HY29" s="174"/>
      <c r="HZ29" s="174"/>
      <c r="IA29" s="174"/>
      <c r="IB29" s="174"/>
      <c r="IC29" s="174"/>
      <c r="ID29" s="174"/>
      <c r="IE29" s="174"/>
      <c r="IF29" s="174"/>
      <c r="IG29" s="174"/>
      <c r="IH29" s="174"/>
      <c r="II29" s="174"/>
      <c r="IJ29" s="174"/>
      <c r="IK29" s="174"/>
      <c r="IL29" s="174"/>
      <c r="IM29" s="174"/>
      <c r="IN29" s="174"/>
      <c r="IO29" s="174"/>
      <c r="IP29" s="174"/>
      <c r="IQ29" s="174"/>
      <c r="IR29" s="174"/>
      <c r="IS29" s="174"/>
      <c r="IT29" s="174"/>
      <c r="IU29" s="174"/>
      <c r="IV29" s="174"/>
    </row>
    <row r="30" spans="1:256" ht="13.8" hidden="1">
      <c r="A30" s="154"/>
      <c r="B30" s="184"/>
      <c r="C30" s="184"/>
      <c r="D30" s="184"/>
      <c r="E30" s="184"/>
      <c r="F30" s="184"/>
      <c r="G30" s="184"/>
      <c r="H30" s="184"/>
      <c r="I30" s="184"/>
      <c r="J30" s="184"/>
      <c r="K30" s="184"/>
      <c r="L30" s="184"/>
      <c r="M30" s="184"/>
      <c r="N30" s="184"/>
      <c r="O30" s="184"/>
      <c r="P30" s="184"/>
      <c r="Q30" s="184"/>
      <c r="R30" s="184"/>
      <c r="S30" s="184"/>
      <c r="T30" s="184"/>
      <c r="U30" s="184"/>
      <c r="V30" s="184"/>
      <c r="W30" s="184"/>
      <c r="X30" s="184"/>
      <c r="Y30" s="184"/>
      <c r="Z30" s="184"/>
      <c r="AA30" s="184"/>
      <c r="AB30" s="184"/>
      <c r="AC30" s="184"/>
      <c r="AD30" s="184"/>
      <c r="AE30" s="184"/>
      <c r="AF30" s="184"/>
      <c r="AG30" s="184"/>
      <c r="AH30" s="184"/>
      <c r="AI30" s="184"/>
      <c r="AJ30" s="184"/>
      <c r="AK30" s="184"/>
      <c r="AL30" s="184"/>
      <c r="AM30" s="184"/>
      <c r="AN30" s="184"/>
      <c r="AO30" s="184"/>
      <c r="AP30" s="184"/>
      <c r="AQ30" s="184"/>
      <c r="AR30" s="184"/>
      <c r="AS30" s="184"/>
      <c r="AT30" s="184"/>
      <c r="AU30" s="184"/>
      <c r="AV30" s="184"/>
      <c r="AW30" s="184"/>
      <c r="AX30" s="184"/>
      <c r="AY30" s="184"/>
      <c r="AZ30" s="184"/>
      <c r="BA30" s="184"/>
      <c r="BB30" s="184"/>
      <c r="BC30" s="184"/>
      <c r="BD30" s="184"/>
      <c r="BE30" s="184"/>
      <c r="BF30" s="184"/>
      <c r="BG30" s="184"/>
      <c r="BH30" s="184"/>
      <c r="BI30" s="184"/>
      <c r="BJ30" s="184"/>
      <c r="BK30" s="184"/>
      <c r="BL30" s="184"/>
      <c r="BM30" s="184"/>
      <c r="BN30" s="184"/>
      <c r="BO30" s="184"/>
      <c r="BP30" s="184"/>
      <c r="BQ30" s="184"/>
      <c r="BR30" s="184"/>
      <c r="BS30" s="184"/>
      <c r="BT30" s="184"/>
      <c r="BU30" s="184"/>
      <c r="BV30" s="184"/>
      <c r="BW30" s="184"/>
      <c r="BX30" s="184"/>
      <c r="BY30" s="184"/>
      <c r="BZ30" s="184"/>
      <c r="CA30" s="184"/>
      <c r="CB30" s="184"/>
      <c r="CC30" s="184"/>
      <c r="CD30" s="184"/>
      <c r="CE30" s="184"/>
      <c r="CF30" s="184"/>
      <c r="CG30" s="184"/>
      <c r="CH30" s="184"/>
      <c r="CI30" s="184"/>
      <c r="CJ30" s="184"/>
      <c r="CK30" s="184"/>
      <c r="CL30" s="184"/>
      <c r="CM30" s="184"/>
      <c r="CN30" s="184"/>
      <c r="CO30" s="184"/>
      <c r="CP30" s="184"/>
      <c r="CQ30" s="184"/>
      <c r="CR30" s="184"/>
      <c r="CS30" s="184"/>
      <c r="CT30" s="184"/>
      <c r="CU30" s="184"/>
      <c r="CV30" s="184"/>
      <c r="CW30" s="184"/>
      <c r="CX30" s="184"/>
      <c r="CY30" s="184"/>
      <c r="CZ30" s="184"/>
      <c r="DA30" s="184"/>
      <c r="DB30" s="184"/>
      <c r="DC30" s="184"/>
      <c r="DD30" s="184"/>
      <c r="DE30" s="184"/>
      <c r="DF30" s="184"/>
      <c r="DG30" s="184"/>
      <c r="DH30" s="184"/>
      <c r="DI30" s="184"/>
      <c r="DJ30" s="184"/>
      <c r="DK30" s="184"/>
      <c r="DL30" s="184"/>
      <c r="DM30" s="184"/>
      <c r="DN30" s="184"/>
      <c r="DO30" s="184"/>
      <c r="DP30" s="184"/>
      <c r="DQ30" s="184"/>
      <c r="DR30" s="184"/>
      <c r="DS30" s="184"/>
      <c r="DT30" s="184"/>
      <c r="DU30" s="184"/>
      <c r="DV30" s="184"/>
      <c r="DW30" s="184"/>
      <c r="DX30" s="184"/>
      <c r="DY30" s="184"/>
      <c r="DZ30" s="184"/>
      <c r="EA30" s="184"/>
      <c r="EB30" s="184"/>
      <c r="EC30" s="184"/>
      <c r="ED30" s="184"/>
      <c r="EE30" s="184"/>
      <c r="EF30" s="184"/>
      <c r="EG30" s="184"/>
      <c r="EH30" s="184"/>
      <c r="EI30" s="184"/>
      <c r="EJ30" s="184"/>
      <c r="EK30" s="184"/>
      <c r="EL30" s="184"/>
      <c r="EM30" s="184"/>
      <c r="EN30" s="184"/>
      <c r="EO30" s="184"/>
      <c r="EP30" s="184"/>
      <c r="EQ30" s="184"/>
      <c r="ER30" s="184"/>
      <c r="ES30" s="184"/>
      <c r="ET30" s="184"/>
      <c r="EU30" s="184"/>
      <c r="EV30" s="184"/>
      <c r="EW30" s="184"/>
      <c r="EX30" s="184"/>
      <c r="EY30" s="184"/>
      <c r="EZ30" s="184"/>
      <c r="FA30" s="184"/>
      <c r="FB30" s="184"/>
      <c r="FC30" s="184"/>
      <c r="FD30" s="184"/>
      <c r="FE30" s="184"/>
      <c r="FF30" s="184"/>
      <c r="FG30" s="184"/>
      <c r="FH30" s="184"/>
      <c r="FI30" s="184"/>
      <c r="FJ30" s="184"/>
      <c r="FK30" s="184"/>
      <c r="FL30" s="184"/>
      <c r="FM30" s="184"/>
      <c r="FN30" s="184"/>
      <c r="FO30" s="184"/>
      <c r="FP30" s="184"/>
      <c r="FQ30" s="184"/>
      <c r="FR30" s="184"/>
      <c r="FS30" s="184"/>
      <c r="FT30" s="184"/>
      <c r="FU30" s="184"/>
      <c r="FV30" s="184"/>
      <c r="FW30" s="184"/>
      <c r="FX30" s="184"/>
      <c r="FY30" s="184"/>
      <c r="FZ30" s="184"/>
      <c r="GA30" s="184"/>
      <c r="GB30" s="184"/>
      <c r="GC30" s="184"/>
      <c r="GD30" s="184"/>
      <c r="GE30" s="184"/>
      <c r="GF30" s="184"/>
      <c r="GG30" s="184"/>
      <c r="GH30" s="184"/>
      <c r="GI30" s="184"/>
      <c r="GJ30" s="184"/>
      <c r="GK30" s="184"/>
      <c r="GL30" s="184"/>
      <c r="GM30" s="184"/>
      <c r="GN30" s="184"/>
      <c r="GO30" s="184"/>
      <c r="GP30" s="184"/>
      <c r="GQ30" s="184"/>
      <c r="GR30" s="184"/>
      <c r="GS30" s="184"/>
      <c r="GT30" s="184"/>
      <c r="GU30" s="185"/>
      <c r="GV30" s="174"/>
      <c r="GW30" s="174"/>
      <c r="GX30" s="174"/>
      <c r="GY30" s="174"/>
      <c r="GZ30" s="174"/>
      <c r="HA30" s="174"/>
      <c r="HB30" s="174"/>
      <c r="HC30" s="174"/>
      <c r="HD30" s="174"/>
      <c r="HE30" s="174"/>
      <c r="HF30" s="174"/>
      <c r="HG30" s="174"/>
      <c r="HH30" s="174"/>
      <c r="HI30" s="174"/>
      <c r="HJ30" s="174"/>
      <c r="HK30" s="174"/>
      <c r="HL30" s="174"/>
      <c r="HM30" s="174"/>
      <c r="HN30" s="174"/>
      <c r="HO30" s="174"/>
      <c r="HP30" s="174"/>
      <c r="HQ30" s="174"/>
      <c r="HR30" s="174"/>
      <c r="HS30" s="174"/>
      <c r="HT30" s="174"/>
      <c r="HU30" s="174"/>
      <c r="HV30" s="174"/>
      <c r="HW30" s="174"/>
      <c r="HX30" s="174"/>
      <c r="HY30" s="174"/>
      <c r="HZ30" s="174"/>
      <c r="IA30" s="174"/>
      <c r="IB30" s="174"/>
      <c r="IC30" s="174"/>
      <c r="ID30" s="174"/>
      <c r="IE30" s="174"/>
      <c r="IF30" s="174"/>
      <c r="IG30" s="174"/>
      <c r="IH30" s="174"/>
      <c r="II30" s="174"/>
      <c r="IJ30" s="174"/>
      <c r="IK30" s="174"/>
      <c r="IL30" s="174"/>
      <c r="IM30" s="174"/>
      <c r="IN30" s="174"/>
      <c r="IO30" s="174"/>
      <c r="IP30" s="174"/>
      <c r="IQ30" s="174"/>
      <c r="IR30" s="174"/>
      <c r="IS30" s="174"/>
      <c r="IT30" s="174"/>
      <c r="IU30" s="174"/>
      <c r="IV30" s="174"/>
    </row>
    <row r="31" spans="1:256" ht="13.8" hidden="1">
      <c r="A31" s="234"/>
      <c r="B31" s="186"/>
      <c r="C31" s="197"/>
      <c r="D31" s="197"/>
      <c r="E31" s="197"/>
      <c r="F31" s="197"/>
      <c r="G31" s="197"/>
      <c r="H31" s="197"/>
      <c r="I31" s="197"/>
      <c r="J31" s="198"/>
      <c r="K31" s="199"/>
      <c r="L31" s="200"/>
      <c r="M31" s="201"/>
      <c r="N31" s="202"/>
      <c r="O31" s="235"/>
      <c r="P31" s="204"/>
      <c r="Q31" s="204"/>
      <c r="R31" s="204"/>
      <c r="S31" s="204"/>
      <c r="T31" s="204"/>
      <c r="U31" s="204"/>
      <c r="V31" s="204"/>
      <c r="W31" s="202"/>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2"/>
      <c r="BC31" s="202"/>
      <c r="BD31" s="202"/>
      <c r="BE31" s="202"/>
      <c r="BF31" s="202"/>
      <c r="BG31" s="202"/>
      <c r="BH31" s="202"/>
      <c r="BI31" s="202"/>
      <c r="BJ31" s="202"/>
      <c r="BK31" s="202"/>
      <c r="BL31" s="202"/>
      <c r="BM31" s="202"/>
      <c r="BN31" s="202"/>
      <c r="BO31" s="202"/>
      <c r="BP31" s="202"/>
      <c r="BQ31" s="205"/>
      <c r="BR31" s="205"/>
      <c r="BS31" s="205"/>
      <c r="BT31" s="205"/>
      <c r="BU31" s="205"/>
      <c r="BV31" s="205"/>
      <c r="BW31" s="205"/>
      <c r="BX31" s="205"/>
      <c r="BY31" s="205"/>
      <c r="BZ31" s="205"/>
      <c r="CA31" s="205"/>
      <c r="CB31" s="205"/>
      <c r="CC31" s="202"/>
      <c r="CD31" s="202"/>
      <c r="CE31" s="202"/>
      <c r="CF31" s="202"/>
      <c r="CG31" s="202"/>
      <c r="CH31" s="202"/>
      <c r="CI31" s="206"/>
      <c r="CJ31" s="206"/>
      <c r="CK31" s="206"/>
      <c r="CL31" s="206"/>
      <c r="CM31" s="206"/>
      <c r="CN31" s="206"/>
      <c r="CO31" s="206"/>
      <c r="CP31" s="206"/>
      <c r="CQ31" s="206"/>
      <c r="CR31" s="206"/>
      <c r="CS31" s="206"/>
      <c r="CT31" s="206"/>
      <c r="CU31" s="206"/>
      <c r="CV31" s="206"/>
      <c r="CW31" s="206"/>
      <c r="CX31" s="206"/>
      <c r="CY31" s="206"/>
      <c r="CZ31" s="206"/>
      <c r="DA31" s="206"/>
      <c r="DB31" s="206"/>
      <c r="DC31" s="206"/>
      <c r="DD31" s="206"/>
      <c r="DE31" s="206"/>
      <c r="DF31" s="202"/>
      <c r="DG31" s="202"/>
      <c r="DH31" s="202"/>
      <c r="DI31" s="202"/>
      <c r="DJ31" s="207"/>
      <c r="DK31" s="202"/>
      <c r="DL31" s="202"/>
      <c r="DM31" s="202"/>
      <c r="DN31" s="202"/>
      <c r="DO31" s="202"/>
      <c r="DP31" s="202"/>
      <c r="DQ31" s="202"/>
      <c r="DR31" s="202"/>
      <c r="DS31" s="202"/>
      <c r="DT31" s="202"/>
      <c r="DU31" s="202"/>
      <c r="DV31" s="202"/>
      <c r="DW31" s="202"/>
      <c r="DX31" s="202"/>
      <c r="DY31" s="202"/>
      <c r="DZ31" s="202"/>
      <c r="EA31" s="202"/>
      <c r="EB31" s="202"/>
      <c r="EC31" s="202"/>
      <c r="ED31" s="208"/>
      <c r="EE31" s="208"/>
      <c r="EF31" s="208"/>
      <c r="EG31" s="208"/>
      <c r="EH31" s="208"/>
      <c r="EI31" s="208"/>
      <c r="EJ31" s="208"/>
      <c r="EK31" s="208"/>
      <c r="EL31" s="208"/>
      <c r="EM31" s="208"/>
      <c r="EN31" s="208"/>
      <c r="EO31" s="208"/>
      <c r="EP31" s="208"/>
      <c r="EQ31" s="208"/>
      <c r="ER31" s="208"/>
      <c r="ES31" s="208"/>
      <c r="ET31" s="208"/>
      <c r="EU31" s="208"/>
      <c r="EV31" s="208"/>
      <c r="EW31" s="208"/>
      <c r="EX31" s="208"/>
      <c r="EY31" s="208"/>
      <c r="EZ31" s="208"/>
      <c r="FA31" s="208"/>
      <c r="FB31" s="208"/>
      <c r="FC31" s="208"/>
      <c r="FD31" s="208"/>
      <c r="FE31" s="208"/>
      <c r="FF31" s="208"/>
      <c r="FG31" s="208"/>
      <c r="FH31" s="208"/>
      <c r="FI31" s="208"/>
      <c r="FJ31" s="208"/>
      <c r="FK31" s="208"/>
      <c r="FL31" s="199"/>
      <c r="FM31" s="199"/>
      <c r="FN31" s="199"/>
      <c r="FO31" s="208"/>
      <c r="FP31" s="208"/>
      <c r="FQ31" s="199"/>
      <c r="FR31" s="208"/>
      <c r="FS31" s="208"/>
      <c r="FT31" s="208"/>
      <c r="FU31" s="208"/>
      <c r="FV31" s="208"/>
      <c r="FW31" s="208"/>
      <c r="FX31" s="208"/>
      <c r="FY31" s="208"/>
      <c r="FZ31" s="208"/>
      <c r="GA31" s="208"/>
      <c r="GB31" s="208"/>
      <c r="GC31" s="208"/>
      <c r="GD31" s="208"/>
      <c r="GE31" s="199"/>
      <c r="GF31" s="199"/>
      <c r="GG31" s="208"/>
      <c r="GH31" s="208"/>
      <c r="GI31" s="208"/>
      <c r="GJ31" s="208"/>
      <c r="GK31" s="208"/>
      <c r="GL31" s="208"/>
      <c r="GM31" s="208"/>
      <c r="GN31" s="208"/>
      <c r="GO31" s="208"/>
      <c r="GP31" s="208"/>
      <c r="GQ31" s="208"/>
      <c r="GR31" s="208"/>
      <c r="GS31" s="208"/>
      <c r="GT31" s="208"/>
      <c r="GU31" s="155" t="s">
        <v>3882</v>
      </c>
      <c r="GV31" s="174"/>
      <c r="GW31" s="174"/>
      <c r="GX31" s="174"/>
      <c r="GY31" s="174"/>
      <c r="GZ31" s="174"/>
      <c r="HA31" s="174"/>
      <c r="HB31" s="174"/>
      <c r="HC31" s="174"/>
      <c r="HD31" s="174"/>
      <c r="HE31" s="174"/>
      <c r="HF31" s="174"/>
      <c r="HG31" s="174"/>
      <c r="HH31" s="174"/>
      <c r="HI31" s="174"/>
      <c r="HJ31" s="174"/>
      <c r="HK31" s="174"/>
      <c r="HL31" s="174"/>
      <c r="HM31" s="174"/>
      <c r="HN31" s="174"/>
      <c r="HO31" s="174"/>
      <c r="HP31" s="174"/>
      <c r="HQ31" s="174"/>
      <c r="HR31" s="174"/>
      <c r="HS31" s="174"/>
      <c r="HT31" s="174"/>
      <c r="HU31" s="174"/>
      <c r="HV31" s="174"/>
      <c r="HW31" s="174"/>
      <c r="HX31" s="174"/>
      <c r="HY31" s="174"/>
      <c r="HZ31" s="174"/>
      <c r="IA31" s="174"/>
      <c r="IB31" s="174"/>
      <c r="IC31" s="174"/>
      <c r="ID31" s="174"/>
      <c r="IE31" s="174"/>
      <c r="IF31" s="174"/>
      <c r="IG31" s="174"/>
      <c r="IH31" s="174"/>
      <c r="II31" s="174"/>
      <c r="IJ31" s="174"/>
      <c r="IK31" s="174"/>
      <c r="IL31" s="174"/>
      <c r="IM31" s="174"/>
      <c r="IN31" s="174"/>
      <c r="IO31" s="174"/>
      <c r="IP31" s="174"/>
      <c r="IQ31" s="174"/>
      <c r="IR31" s="174"/>
      <c r="IS31" s="174"/>
      <c r="IT31" s="174"/>
      <c r="IU31" s="174"/>
      <c r="IV31" s="174"/>
    </row>
    <row r="32" spans="1:256" ht="13.8" hidden="1">
      <c r="A32" s="234"/>
      <c r="B32" s="236"/>
      <c r="C32" s="197"/>
      <c r="D32" s="197"/>
      <c r="E32" s="197"/>
      <c r="F32" s="197"/>
      <c r="G32" s="197"/>
      <c r="H32" s="197"/>
      <c r="I32" s="197"/>
      <c r="J32" s="198"/>
      <c r="K32" s="199"/>
      <c r="L32" s="200"/>
      <c r="M32" s="201"/>
      <c r="N32" s="202"/>
      <c r="O32" s="203"/>
      <c r="P32" s="204"/>
      <c r="Q32" s="204"/>
      <c r="R32" s="204"/>
      <c r="S32" s="204"/>
      <c r="T32" s="204"/>
      <c r="U32" s="204"/>
      <c r="V32" s="204"/>
      <c r="W32" s="202"/>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2"/>
      <c r="BC32" s="202"/>
      <c r="BD32" s="202"/>
      <c r="BE32" s="202"/>
      <c r="BF32" s="202"/>
      <c r="BG32" s="202"/>
      <c r="BH32" s="202"/>
      <c r="BI32" s="202"/>
      <c r="BJ32" s="202"/>
      <c r="BK32" s="202"/>
      <c r="BL32" s="202"/>
      <c r="BM32" s="202"/>
      <c r="BN32" s="202"/>
      <c r="BO32" s="202"/>
      <c r="BP32" s="202"/>
      <c r="BQ32" s="205"/>
      <c r="BR32" s="205"/>
      <c r="BS32" s="205"/>
      <c r="BT32" s="205"/>
      <c r="BU32" s="205"/>
      <c r="BV32" s="205"/>
      <c r="BW32" s="205"/>
      <c r="BX32" s="205"/>
      <c r="BY32" s="205"/>
      <c r="BZ32" s="205"/>
      <c r="CA32" s="205"/>
      <c r="CB32" s="205"/>
      <c r="CC32" s="202"/>
      <c r="CD32" s="202"/>
      <c r="CE32" s="202"/>
      <c r="CF32" s="202"/>
      <c r="CG32" s="202"/>
      <c r="CH32" s="202"/>
      <c r="CI32" s="206"/>
      <c r="CJ32" s="206"/>
      <c r="CK32" s="206"/>
      <c r="CL32" s="206"/>
      <c r="CM32" s="206"/>
      <c r="CN32" s="206"/>
      <c r="CO32" s="206"/>
      <c r="CP32" s="206"/>
      <c r="CQ32" s="206"/>
      <c r="CR32" s="206"/>
      <c r="CS32" s="206"/>
      <c r="CT32" s="206"/>
      <c r="CU32" s="206"/>
      <c r="CV32" s="206"/>
      <c r="CW32" s="206"/>
      <c r="CX32" s="206"/>
      <c r="CY32" s="206"/>
      <c r="CZ32" s="206"/>
      <c r="DA32" s="206"/>
      <c r="DB32" s="206"/>
      <c r="DC32" s="206"/>
      <c r="DD32" s="206"/>
      <c r="DE32" s="206"/>
      <c r="DF32" s="202"/>
      <c r="DG32" s="202"/>
      <c r="DH32" s="202"/>
      <c r="DI32" s="202"/>
      <c r="DJ32" s="207"/>
      <c r="DK32" s="202"/>
      <c r="DL32" s="202"/>
      <c r="DM32" s="202"/>
      <c r="DN32" s="202"/>
      <c r="DO32" s="202"/>
      <c r="DP32" s="202"/>
      <c r="DQ32" s="202"/>
      <c r="DR32" s="202"/>
      <c r="DS32" s="202"/>
      <c r="DT32" s="202"/>
      <c r="DU32" s="202"/>
      <c r="DV32" s="202"/>
      <c r="DW32" s="202"/>
      <c r="DX32" s="202"/>
      <c r="DY32" s="202"/>
      <c r="DZ32" s="202"/>
      <c r="EA32" s="202"/>
      <c r="EB32" s="202"/>
      <c r="EC32" s="202"/>
      <c r="ED32" s="208"/>
      <c r="EE32" s="208"/>
      <c r="EF32" s="208"/>
      <c r="EG32" s="208"/>
      <c r="EH32" s="208"/>
      <c r="EI32" s="208"/>
      <c r="EJ32" s="208"/>
      <c r="EK32" s="208"/>
      <c r="EL32" s="208"/>
      <c r="EM32" s="208"/>
      <c r="EN32" s="208"/>
      <c r="EO32" s="208"/>
      <c r="EP32" s="208"/>
      <c r="EQ32" s="208"/>
      <c r="ER32" s="208"/>
      <c r="ES32" s="208"/>
      <c r="ET32" s="208"/>
      <c r="EU32" s="208"/>
      <c r="EV32" s="208"/>
      <c r="EW32" s="208"/>
      <c r="EX32" s="208"/>
      <c r="EY32" s="208"/>
      <c r="EZ32" s="208"/>
      <c r="FA32" s="208"/>
      <c r="FB32" s="208"/>
      <c r="FC32" s="208"/>
      <c r="FD32" s="208"/>
      <c r="FE32" s="208"/>
      <c r="FF32" s="208"/>
      <c r="FG32" s="208"/>
      <c r="FH32" s="208"/>
      <c r="FI32" s="208"/>
      <c r="FJ32" s="208"/>
      <c r="FK32" s="208"/>
      <c r="FL32" s="199"/>
      <c r="FM32" s="199"/>
      <c r="FN32" s="199"/>
      <c r="FO32" s="208"/>
      <c r="FP32" s="208"/>
      <c r="FQ32" s="199"/>
      <c r="FR32" s="208"/>
      <c r="FS32" s="208"/>
      <c r="FT32" s="208"/>
      <c r="FU32" s="208"/>
      <c r="FV32" s="208"/>
      <c r="FW32" s="208"/>
      <c r="FX32" s="208"/>
      <c r="FY32" s="208"/>
      <c r="FZ32" s="208"/>
      <c r="GA32" s="208"/>
      <c r="GB32" s="208"/>
      <c r="GC32" s="208"/>
      <c r="GD32" s="208"/>
      <c r="GE32" s="199"/>
      <c r="GF32" s="199"/>
      <c r="GG32" s="208"/>
      <c r="GH32" s="208"/>
      <c r="GI32" s="208"/>
      <c r="GJ32" s="208"/>
      <c r="GK32" s="208"/>
      <c r="GL32" s="208"/>
      <c r="GM32" s="208"/>
      <c r="GN32" s="208"/>
      <c r="GO32" s="208"/>
      <c r="GP32" s="208"/>
      <c r="GQ32" s="208"/>
      <c r="GR32" s="208"/>
      <c r="GS32" s="208"/>
      <c r="GT32" s="208"/>
      <c r="GU32" s="155" t="s">
        <v>3882</v>
      </c>
      <c r="GV32" s="174"/>
      <c r="GW32" s="174"/>
      <c r="GX32" s="174"/>
      <c r="GY32" s="174"/>
      <c r="GZ32" s="174"/>
      <c r="HA32" s="174"/>
      <c r="HB32" s="174"/>
      <c r="HC32" s="174"/>
      <c r="HD32" s="174"/>
      <c r="HE32" s="174"/>
      <c r="HF32" s="174"/>
      <c r="HG32" s="174"/>
      <c r="HH32" s="174"/>
      <c r="HI32" s="174"/>
      <c r="HJ32" s="174"/>
      <c r="HK32" s="174"/>
      <c r="HL32" s="174"/>
      <c r="HM32" s="174"/>
      <c r="HN32" s="174"/>
      <c r="HO32" s="174"/>
      <c r="HP32" s="174"/>
      <c r="HQ32" s="174"/>
      <c r="HR32" s="174"/>
      <c r="HS32" s="174"/>
      <c r="HT32" s="174"/>
      <c r="HU32" s="174"/>
      <c r="HV32" s="174"/>
      <c r="HW32" s="174"/>
      <c r="HX32" s="174"/>
      <c r="HY32" s="174"/>
      <c r="HZ32" s="174"/>
      <c r="IA32" s="174"/>
      <c r="IB32" s="174"/>
      <c r="IC32" s="174"/>
      <c r="ID32" s="174"/>
      <c r="IE32" s="174"/>
      <c r="IF32" s="174"/>
      <c r="IG32" s="174"/>
      <c r="IH32" s="174"/>
      <c r="II32" s="174"/>
      <c r="IJ32" s="174"/>
      <c r="IK32" s="174"/>
      <c r="IL32" s="174"/>
      <c r="IM32" s="174"/>
      <c r="IN32" s="174"/>
      <c r="IO32" s="174"/>
      <c r="IP32" s="174"/>
      <c r="IQ32" s="174"/>
      <c r="IR32" s="174"/>
      <c r="IS32" s="174"/>
      <c r="IT32" s="174"/>
      <c r="IU32" s="174"/>
      <c r="IV32" s="174"/>
    </row>
    <row r="33" spans="1:256" ht="13.8" hidden="1">
      <c r="A33" s="234"/>
      <c r="B33" s="236"/>
      <c r="C33" s="197"/>
      <c r="D33" s="197"/>
      <c r="E33" s="197"/>
      <c r="F33" s="197"/>
      <c r="G33" s="197"/>
      <c r="H33" s="197"/>
      <c r="I33" s="197"/>
      <c r="J33" s="198"/>
      <c r="K33" s="199"/>
      <c r="L33" s="200"/>
      <c r="M33" s="201"/>
      <c r="N33" s="202"/>
      <c r="O33" s="203"/>
      <c r="P33" s="204"/>
      <c r="Q33" s="204"/>
      <c r="R33" s="204"/>
      <c r="S33" s="204"/>
      <c r="T33" s="204"/>
      <c r="U33" s="204"/>
      <c r="V33" s="204"/>
      <c r="W33" s="202"/>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2"/>
      <c r="BC33" s="202"/>
      <c r="BD33" s="202"/>
      <c r="BE33" s="202"/>
      <c r="BF33" s="202"/>
      <c r="BG33" s="202"/>
      <c r="BH33" s="202"/>
      <c r="BI33" s="202"/>
      <c r="BJ33" s="202"/>
      <c r="BK33" s="202"/>
      <c r="BL33" s="202"/>
      <c r="BM33" s="202"/>
      <c r="BN33" s="202"/>
      <c r="BO33" s="202"/>
      <c r="BP33" s="202"/>
      <c r="BQ33" s="205"/>
      <c r="BR33" s="205"/>
      <c r="BS33" s="205"/>
      <c r="BT33" s="205"/>
      <c r="BU33" s="205"/>
      <c r="BV33" s="205"/>
      <c r="BW33" s="205"/>
      <c r="BX33" s="205"/>
      <c r="BY33" s="205"/>
      <c r="BZ33" s="205"/>
      <c r="CA33" s="205"/>
      <c r="CB33" s="205"/>
      <c r="CC33" s="202"/>
      <c r="CD33" s="202"/>
      <c r="CE33" s="202"/>
      <c r="CF33" s="202"/>
      <c r="CG33" s="202"/>
      <c r="CH33" s="202"/>
      <c r="CI33" s="206"/>
      <c r="CJ33" s="206"/>
      <c r="CK33" s="206"/>
      <c r="CL33" s="206"/>
      <c r="CM33" s="206"/>
      <c r="CN33" s="206"/>
      <c r="CO33" s="206"/>
      <c r="CP33" s="206"/>
      <c r="CQ33" s="206"/>
      <c r="CR33" s="206"/>
      <c r="CS33" s="206"/>
      <c r="CT33" s="206"/>
      <c r="CU33" s="206"/>
      <c r="CV33" s="206"/>
      <c r="CW33" s="206"/>
      <c r="CX33" s="206"/>
      <c r="CY33" s="206"/>
      <c r="CZ33" s="206"/>
      <c r="DA33" s="206"/>
      <c r="DB33" s="206"/>
      <c r="DC33" s="206"/>
      <c r="DD33" s="206"/>
      <c r="DE33" s="206"/>
      <c r="DF33" s="202"/>
      <c r="DG33" s="202"/>
      <c r="DH33" s="202"/>
      <c r="DI33" s="202"/>
      <c r="DJ33" s="207"/>
      <c r="DK33" s="202"/>
      <c r="DL33" s="202"/>
      <c r="DM33" s="202"/>
      <c r="DN33" s="202"/>
      <c r="DO33" s="202"/>
      <c r="DP33" s="202"/>
      <c r="DQ33" s="202"/>
      <c r="DR33" s="202"/>
      <c r="DS33" s="202"/>
      <c r="DT33" s="202"/>
      <c r="DU33" s="202"/>
      <c r="DV33" s="202"/>
      <c r="DW33" s="202"/>
      <c r="DX33" s="202"/>
      <c r="DY33" s="202"/>
      <c r="DZ33" s="202"/>
      <c r="EA33" s="202"/>
      <c r="EB33" s="202"/>
      <c r="EC33" s="202"/>
      <c r="ED33" s="208"/>
      <c r="EE33" s="208"/>
      <c r="EF33" s="208"/>
      <c r="EG33" s="208"/>
      <c r="EH33" s="208"/>
      <c r="EI33" s="208"/>
      <c r="EJ33" s="208"/>
      <c r="EK33" s="208"/>
      <c r="EL33" s="208"/>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199"/>
      <c r="FM33" s="199"/>
      <c r="FN33" s="199"/>
      <c r="FO33" s="208"/>
      <c r="FP33" s="208"/>
      <c r="FQ33" s="199"/>
      <c r="FR33" s="208"/>
      <c r="FS33" s="208"/>
      <c r="FT33" s="208"/>
      <c r="FU33" s="208"/>
      <c r="FV33" s="208"/>
      <c r="FW33" s="208"/>
      <c r="FX33" s="208"/>
      <c r="FY33" s="208"/>
      <c r="FZ33" s="208"/>
      <c r="GA33" s="208"/>
      <c r="GB33" s="208"/>
      <c r="GC33" s="208"/>
      <c r="GD33" s="208"/>
      <c r="GE33" s="199"/>
      <c r="GF33" s="199"/>
      <c r="GG33" s="208"/>
      <c r="GH33" s="208"/>
      <c r="GI33" s="208"/>
      <c r="GJ33" s="208"/>
      <c r="GK33" s="208"/>
      <c r="GL33" s="208"/>
      <c r="GM33" s="208"/>
      <c r="GN33" s="208"/>
      <c r="GO33" s="208"/>
      <c r="GP33" s="208"/>
      <c r="GQ33" s="208"/>
      <c r="GR33" s="208"/>
      <c r="GS33" s="208"/>
      <c r="GT33" s="208"/>
      <c r="GU33" s="155" t="s">
        <v>3882</v>
      </c>
      <c r="GV33" s="174"/>
      <c r="GW33" s="174"/>
      <c r="GX33" s="174"/>
      <c r="GY33" s="174"/>
      <c r="GZ33" s="174"/>
      <c r="HA33" s="174"/>
      <c r="HB33" s="174"/>
      <c r="HC33" s="174"/>
      <c r="HD33" s="174"/>
      <c r="HE33" s="174"/>
      <c r="HF33" s="174"/>
      <c r="HG33" s="174"/>
      <c r="HH33" s="174"/>
      <c r="HI33" s="174"/>
      <c r="HJ33" s="174"/>
      <c r="HK33" s="174"/>
      <c r="HL33" s="174"/>
      <c r="HM33" s="174"/>
      <c r="HN33" s="174"/>
      <c r="HO33" s="174"/>
      <c r="HP33" s="174"/>
      <c r="HQ33" s="174"/>
      <c r="HR33" s="174"/>
      <c r="HS33" s="174"/>
      <c r="HT33" s="174"/>
      <c r="HU33" s="174"/>
      <c r="HV33" s="174"/>
      <c r="HW33" s="174"/>
      <c r="HX33" s="174"/>
      <c r="HY33" s="174"/>
      <c r="HZ33" s="174"/>
      <c r="IA33" s="174"/>
      <c r="IB33" s="174"/>
      <c r="IC33" s="174"/>
      <c r="ID33" s="174"/>
      <c r="IE33" s="174"/>
      <c r="IF33" s="174"/>
      <c r="IG33" s="174"/>
      <c r="IH33" s="174"/>
      <c r="II33" s="174"/>
      <c r="IJ33" s="174"/>
      <c r="IK33" s="174"/>
      <c r="IL33" s="174"/>
      <c r="IM33" s="174"/>
      <c r="IN33" s="174"/>
      <c r="IO33" s="174"/>
      <c r="IP33" s="174"/>
      <c r="IQ33" s="174"/>
      <c r="IR33" s="174"/>
      <c r="IS33" s="174"/>
      <c r="IT33" s="174"/>
      <c r="IU33" s="174"/>
      <c r="IV33" s="174"/>
    </row>
    <row r="34" spans="1:256" ht="13.8" hidden="1">
      <c r="A34" s="234"/>
      <c r="B34" s="236"/>
      <c r="C34" s="197"/>
      <c r="D34" s="197"/>
      <c r="E34" s="197"/>
      <c r="F34" s="197"/>
      <c r="G34" s="197"/>
      <c r="H34" s="197"/>
      <c r="I34" s="197"/>
      <c r="J34" s="198"/>
      <c r="K34" s="199"/>
      <c r="L34" s="200"/>
      <c r="M34" s="201"/>
      <c r="N34" s="202"/>
      <c r="O34" s="203"/>
      <c r="P34" s="204"/>
      <c r="Q34" s="204"/>
      <c r="R34" s="204"/>
      <c r="S34" s="204"/>
      <c r="T34" s="204"/>
      <c r="U34" s="204"/>
      <c r="V34" s="204"/>
      <c r="W34" s="202"/>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2"/>
      <c r="BC34" s="202"/>
      <c r="BD34" s="202"/>
      <c r="BE34" s="202"/>
      <c r="BF34" s="202"/>
      <c r="BG34" s="202"/>
      <c r="BH34" s="202"/>
      <c r="BI34" s="202"/>
      <c r="BJ34" s="202"/>
      <c r="BK34" s="202"/>
      <c r="BL34" s="202"/>
      <c r="BM34" s="202"/>
      <c r="BN34" s="202"/>
      <c r="BO34" s="202"/>
      <c r="BP34" s="202"/>
      <c r="BQ34" s="205"/>
      <c r="BR34" s="205"/>
      <c r="BS34" s="205"/>
      <c r="BT34" s="205"/>
      <c r="BU34" s="205"/>
      <c r="BV34" s="205"/>
      <c r="BW34" s="205"/>
      <c r="BX34" s="205"/>
      <c r="BY34" s="205"/>
      <c r="BZ34" s="205"/>
      <c r="CA34" s="205"/>
      <c r="CB34" s="205"/>
      <c r="CC34" s="202"/>
      <c r="CD34" s="202"/>
      <c r="CE34" s="202"/>
      <c r="CF34" s="202"/>
      <c r="CG34" s="202"/>
      <c r="CH34" s="202"/>
      <c r="CI34" s="206"/>
      <c r="CJ34" s="206"/>
      <c r="CK34" s="206"/>
      <c r="CL34" s="206"/>
      <c r="CM34" s="206"/>
      <c r="CN34" s="206"/>
      <c r="CO34" s="206"/>
      <c r="CP34" s="206"/>
      <c r="CQ34" s="206"/>
      <c r="CR34" s="206"/>
      <c r="CS34" s="206"/>
      <c r="CT34" s="206"/>
      <c r="CU34" s="206"/>
      <c r="CV34" s="206"/>
      <c r="CW34" s="206"/>
      <c r="CX34" s="206"/>
      <c r="CY34" s="206"/>
      <c r="CZ34" s="206"/>
      <c r="DA34" s="206"/>
      <c r="DB34" s="206"/>
      <c r="DC34" s="206"/>
      <c r="DD34" s="206"/>
      <c r="DE34" s="206"/>
      <c r="DF34" s="202"/>
      <c r="DG34" s="202"/>
      <c r="DH34" s="202"/>
      <c r="DI34" s="202"/>
      <c r="DJ34" s="207"/>
      <c r="DK34" s="202"/>
      <c r="DL34" s="202"/>
      <c r="DM34" s="202"/>
      <c r="DN34" s="202"/>
      <c r="DO34" s="202"/>
      <c r="DP34" s="202"/>
      <c r="DQ34" s="202"/>
      <c r="DR34" s="202"/>
      <c r="DS34" s="202"/>
      <c r="DT34" s="202"/>
      <c r="DU34" s="202"/>
      <c r="DV34" s="202"/>
      <c r="DW34" s="202"/>
      <c r="DX34" s="202"/>
      <c r="DY34" s="202"/>
      <c r="DZ34" s="202"/>
      <c r="EA34" s="202"/>
      <c r="EB34" s="202"/>
      <c r="EC34" s="202"/>
      <c r="ED34" s="208"/>
      <c r="EE34" s="208"/>
      <c r="EF34" s="208"/>
      <c r="EG34" s="208"/>
      <c r="EH34" s="208"/>
      <c r="EI34" s="208"/>
      <c r="EJ34" s="208"/>
      <c r="EK34" s="208"/>
      <c r="EL34" s="208"/>
      <c r="EM34" s="208"/>
      <c r="EN34" s="208"/>
      <c r="EO34" s="208"/>
      <c r="EP34" s="208"/>
      <c r="EQ34" s="208"/>
      <c r="ER34" s="208"/>
      <c r="ES34" s="208"/>
      <c r="ET34" s="208"/>
      <c r="EU34" s="208"/>
      <c r="EV34" s="208"/>
      <c r="EW34" s="208"/>
      <c r="EX34" s="208"/>
      <c r="EY34" s="208"/>
      <c r="EZ34" s="208"/>
      <c r="FA34" s="208"/>
      <c r="FB34" s="208"/>
      <c r="FC34" s="208"/>
      <c r="FD34" s="208"/>
      <c r="FE34" s="208"/>
      <c r="FF34" s="208"/>
      <c r="FG34" s="208"/>
      <c r="FH34" s="208"/>
      <c r="FI34" s="208"/>
      <c r="FJ34" s="208"/>
      <c r="FK34" s="208"/>
      <c r="FL34" s="199"/>
      <c r="FM34" s="199"/>
      <c r="FN34" s="199"/>
      <c r="FO34" s="208"/>
      <c r="FP34" s="208"/>
      <c r="FQ34" s="199"/>
      <c r="FR34" s="208"/>
      <c r="FS34" s="208"/>
      <c r="FT34" s="208"/>
      <c r="FU34" s="208"/>
      <c r="FV34" s="208"/>
      <c r="FW34" s="208"/>
      <c r="FX34" s="208"/>
      <c r="FY34" s="208"/>
      <c r="FZ34" s="208"/>
      <c r="GA34" s="208"/>
      <c r="GB34" s="208"/>
      <c r="GC34" s="208"/>
      <c r="GD34" s="208"/>
      <c r="GE34" s="199"/>
      <c r="GF34" s="199"/>
      <c r="GG34" s="208"/>
      <c r="GH34" s="208"/>
      <c r="GI34" s="208"/>
      <c r="GJ34" s="208"/>
      <c r="GK34" s="208"/>
      <c r="GL34" s="208"/>
      <c r="GM34" s="208"/>
      <c r="GN34" s="208"/>
      <c r="GO34" s="208"/>
      <c r="GP34" s="208"/>
      <c r="GQ34" s="208"/>
      <c r="GR34" s="208"/>
      <c r="GS34" s="208"/>
      <c r="GT34" s="208"/>
      <c r="GU34" s="155" t="s">
        <v>3882</v>
      </c>
      <c r="GV34" s="174"/>
      <c r="GW34" s="174"/>
      <c r="GX34" s="174"/>
      <c r="GY34" s="174"/>
      <c r="GZ34" s="174"/>
      <c r="HA34" s="174"/>
      <c r="HB34" s="174"/>
      <c r="HC34" s="174"/>
      <c r="HD34" s="174"/>
      <c r="HE34" s="174"/>
      <c r="HF34" s="174"/>
      <c r="HG34" s="174"/>
      <c r="HH34" s="174"/>
      <c r="HI34" s="174"/>
      <c r="HJ34" s="174"/>
      <c r="HK34" s="174"/>
      <c r="HL34" s="174"/>
      <c r="HM34" s="174"/>
      <c r="HN34" s="174"/>
      <c r="HO34" s="174"/>
      <c r="HP34" s="174"/>
      <c r="HQ34" s="174"/>
      <c r="HR34" s="174"/>
      <c r="HS34" s="174"/>
      <c r="HT34" s="174"/>
      <c r="HU34" s="174"/>
      <c r="HV34" s="174"/>
      <c r="HW34" s="174"/>
      <c r="HX34" s="174"/>
      <c r="HY34" s="174"/>
      <c r="HZ34" s="174"/>
      <c r="IA34" s="174"/>
      <c r="IB34" s="174"/>
      <c r="IC34" s="174"/>
      <c r="ID34" s="174"/>
      <c r="IE34" s="174"/>
      <c r="IF34" s="174"/>
      <c r="IG34" s="174"/>
      <c r="IH34" s="174"/>
      <c r="II34" s="174"/>
      <c r="IJ34" s="174"/>
      <c r="IK34" s="174"/>
      <c r="IL34" s="174"/>
      <c r="IM34" s="174"/>
      <c r="IN34" s="174"/>
      <c r="IO34" s="174"/>
      <c r="IP34" s="174"/>
      <c r="IQ34" s="174"/>
      <c r="IR34" s="174"/>
      <c r="IS34" s="174"/>
      <c r="IT34" s="174"/>
      <c r="IU34" s="174"/>
      <c r="IV34" s="174"/>
    </row>
    <row r="35" spans="1:256" ht="13.8" hidden="1">
      <c r="A35" s="234"/>
      <c r="B35" s="236"/>
      <c r="C35" s="197"/>
      <c r="D35" s="197"/>
      <c r="E35" s="197"/>
      <c r="F35" s="197"/>
      <c r="G35" s="197"/>
      <c r="H35" s="197"/>
      <c r="I35" s="197"/>
      <c r="J35" s="198"/>
      <c r="K35" s="199"/>
      <c r="L35" s="200"/>
      <c r="M35" s="201"/>
      <c r="N35" s="202"/>
      <c r="O35" s="203"/>
      <c r="P35" s="204"/>
      <c r="Q35" s="204"/>
      <c r="R35" s="204"/>
      <c r="S35" s="204"/>
      <c r="T35" s="204"/>
      <c r="U35" s="204"/>
      <c r="V35" s="204"/>
      <c r="W35" s="202"/>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2"/>
      <c r="BC35" s="202"/>
      <c r="BD35" s="202"/>
      <c r="BE35" s="202"/>
      <c r="BF35" s="202"/>
      <c r="BG35" s="202"/>
      <c r="BH35" s="202"/>
      <c r="BI35" s="202"/>
      <c r="BJ35" s="202"/>
      <c r="BK35" s="202"/>
      <c r="BL35" s="202"/>
      <c r="BM35" s="202"/>
      <c r="BN35" s="202"/>
      <c r="BO35" s="202"/>
      <c r="BP35" s="202"/>
      <c r="BQ35" s="205"/>
      <c r="BR35" s="205"/>
      <c r="BS35" s="205"/>
      <c r="BT35" s="205"/>
      <c r="BU35" s="205"/>
      <c r="BV35" s="205"/>
      <c r="BW35" s="205"/>
      <c r="BX35" s="205"/>
      <c r="BY35" s="205"/>
      <c r="BZ35" s="205"/>
      <c r="CA35" s="205"/>
      <c r="CB35" s="205"/>
      <c r="CC35" s="202"/>
      <c r="CD35" s="202"/>
      <c r="CE35" s="202"/>
      <c r="CF35" s="202"/>
      <c r="CG35" s="202"/>
      <c r="CH35" s="202"/>
      <c r="CI35" s="206"/>
      <c r="CJ35" s="206"/>
      <c r="CK35" s="206"/>
      <c r="CL35" s="206"/>
      <c r="CM35" s="206"/>
      <c r="CN35" s="206"/>
      <c r="CO35" s="206"/>
      <c r="CP35" s="206"/>
      <c r="CQ35" s="206"/>
      <c r="CR35" s="206"/>
      <c r="CS35" s="206"/>
      <c r="CT35" s="206"/>
      <c r="CU35" s="206"/>
      <c r="CV35" s="206"/>
      <c r="CW35" s="206"/>
      <c r="CX35" s="206"/>
      <c r="CY35" s="206"/>
      <c r="CZ35" s="206"/>
      <c r="DA35" s="206"/>
      <c r="DB35" s="206"/>
      <c r="DC35" s="206"/>
      <c r="DD35" s="206"/>
      <c r="DE35" s="206"/>
      <c r="DF35" s="202"/>
      <c r="DG35" s="202"/>
      <c r="DH35" s="202"/>
      <c r="DI35" s="202"/>
      <c r="DJ35" s="207"/>
      <c r="DK35" s="202"/>
      <c r="DL35" s="202"/>
      <c r="DM35" s="202"/>
      <c r="DN35" s="202"/>
      <c r="DO35" s="202"/>
      <c r="DP35" s="202"/>
      <c r="DQ35" s="202"/>
      <c r="DR35" s="202"/>
      <c r="DS35" s="202"/>
      <c r="DT35" s="202"/>
      <c r="DU35" s="202"/>
      <c r="DV35" s="202"/>
      <c r="DW35" s="202"/>
      <c r="DX35" s="202"/>
      <c r="DY35" s="202"/>
      <c r="DZ35" s="202"/>
      <c r="EA35" s="202"/>
      <c r="EB35" s="202"/>
      <c r="EC35" s="202"/>
      <c r="ED35" s="208"/>
      <c r="EE35" s="208"/>
      <c r="EF35" s="208"/>
      <c r="EG35" s="208"/>
      <c r="EH35" s="208"/>
      <c r="EI35" s="208"/>
      <c r="EJ35" s="208"/>
      <c r="EK35" s="208"/>
      <c r="EL35" s="208"/>
      <c r="EM35" s="208"/>
      <c r="EN35" s="208"/>
      <c r="EO35" s="208"/>
      <c r="EP35" s="208"/>
      <c r="EQ35" s="208"/>
      <c r="ER35" s="208"/>
      <c r="ES35" s="208"/>
      <c r="ET35" s="208"/>
      <c r="EU35" s="208"/>
      <c r="EV35" s="208"/>
      <c r="EW35" s="208"/>
      <c r="EX35" s="208"/>
      <c r="EY35" s="208"/>
      <c r="EZ35" s="208"/>
      <c r="FA35" s="208"/>
      <c r="FB35" s="208"/>
      <c r="FC35" s="208"/>
      <c r="FD35" s="208"/>
      <c r="FE35" s="208"/>
      <c r="FF35" s="208"/>
      <c r="FG35" s="208"/>
      <c r="FH35" s="208"/>
      <c r="FI35" s="208"/>
      <c r="FJ35" s="208"/>
      <c r="FK35" s="208"/>
      <c r="FL35" s="199"/>
      <c r="FM35" s="199"/>
      <c r="FN35" s="199"/>
      <c r="FO35" s="208"/>
      <c r="FP35" s="208"/>
      <c r="FQ35" s="199"/>
      <c r="FR35" s="208"/>
      <c r="FS35" s="208"/>
      <c r="FT35" s="208"/>
      <c r="FU35" s="208"/>
      <c r="FV35" s="208"/>
      <c r="FW35" s="208"/>
      <c r="FX35" s="208"/>
      <c r="FY35" s="208"/>
      <c r="FZ35" s="208"/>
      <c r="GA35" s="208"/>
      <c r="GB35" s="208"/>
      <c r="GC35" s="208"/>
      <c r="GD35" s="208"/>
      <c r="GE35" s="199"/>
      <c r="GF35" s="199"/>
      <c r="GG35" s="208"/>
      <c r="GH35" s="208"/>
      <c r="GI35" s="208"/>
      <c r="GJ35" s="208"/>
      <c r="GK35" s="208"/>
      <c r="GL35" s="208"/>
      <c r="GM35" s="208"/>
      <c r="GN35" s="208"/>
      <c r="GO35" s="208"/>
      <c r="GP35" s="208"/>
      <c r="GQ35" s="208"/>
      <c r="GR35" s="208"/>
      <c r="GS35" s="208"/>
      <c r="GT35" s="208"/>
      <c r="GU35" s="155" t="s">
        <v>3882</v>
      </c>
      <c r="GV35" s="174"/>
      <c r="GW35" s="174"/>
      <c r="GX35" s="174"/>
      <c r="GY35" s="174"/>
      <c r="GZ35" s="174"/>
      <c r="HA35" s="174"/>
      <c r="HB35" s="174"/>
      <c r="HC35" s="174"/>
      <c r="HD35" s="174"/>
      <c r="HE35" s="174"/>
      <c r="HF35" s="174"/>
      <c r="HG35" s="174"/>
      <c r="HH35" s="174"/>
      <c r="HI35" s="174"/>
      <c r="HJ35" s="174"/>
      <c r="HK35" s="174"/>
      <c r="HL35" s="174"/>
      <c r="HM35" s="174"/>
      <c r="HN35" s="174"/>
      <c r="HO35" s="174"/>
      <c r="HP35" s="174"/>
      <c r="HQ35" s="174"/>
      <c r="HR35" s="174"/>
      <c r="HS35" s="174"/>
      <c r="HT35" s="174"/>
      <c r="HU35" s="174"/>
      <c r="HV35" s="174"/>
      <c r="HW35" s="174"/>
      <c r="HX35" s="174"/>
      <c r="HY35" s="174"/>
      <c r="HZ35" s="174"/>
      <c r="IA35" s="174"/>
      <c r="IB35" s="174"/>
      <c r="IC35" s="174"/>
      <c r="ID35" s="174"/>
      <c r="IE35" s="174"/>
      <c r="IF35" s="174"/>
      <c r="IG35" s="174"/>
      <c r="IH35" s="174"/>
      <c r="II35" s="174"/>
      <c r="IJ35" s="174"/>
      <c r="IK35" s="174"/>
      <c r="IL35" s="174"/>
      <c r="IM35" s="174"/>
      <c r="IN35" s="174"/>
      <c r="IO35" s="174"/>
      <c r="IP35" s="174"/>
      <c r="IQ35" s="174"/>
      <c r="IR35" s="174"/>
      <c r="IS35" s="174"/>
      <c r="IT35" s="174"/>
      <c r="IU35" s="174"/>
      <c r="IV35" s="174"/>
    </row>
    <row r="36" spans="1:256" ht="13.8" hidden="1">
      <c r="A36" s="234"/>
      <c r="B36" s="236"/>
      <c r="C36" s="197"/>
      <c r="D36" s="197"/>
      <c r="E36" s="197"/>
      <c r="F36" s="197"/>
      <c r="G36" s="197"/>
      <c r="H36" s="197"/>
      <c r="I36" s="197"/>
      <c r="J36" s="198"/>
      <c r="K36" s="199"/>
      <c r="L36" s="200"/>
      <c r="M36" s="201"/>
      <c r="N36" s="202"/>
      <c r="O36" s="203"/>
      <c r="P36" s="204"/>
      <c r="Q36" s="204"/>
      <c r="R36" s="204"/>
      <c r="S36" s="204"/>
      <c r="T36" s="204"/>
      <c r="U36" s="204"/>
      <c r="V36" s="204"/>
      <c r="W36" s="202"/>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2"/>
      <c r="BC36" s="202"/>
      <c r="BD36" s="202"/>
      <c r="BE36" s="202"/>
      <c r="BF36" s="202"/>
      <c r="BG36" s="202"/>
      <c r="BH36" s="202"/>
      <c r="BI36" s="202"/>
      <c r="BJ36" s="202"/>
      <c r="BK36" s="202"/>
      <c r="BL36" s="202"/>
      <c r="BM36" s="202"/>
      <c r="BN36" s="202"/>
      <c r="BO36" s="202"/>
      <c r="BP36" s="202"/>
      <c r="BQ36" s="205"/>
      <c r="BR36" s="205"/>
      <c r="BS36" s="205"/>
      <c r="BT36" s="205"/>
      <c r="BU36" s="205"/>
      <c r="BV36" s="205"/>
      <c r="BW36" s="205"/>
      <c r="BX36" s="205"/>
      <c r="BY36" s="205"/>
      <c r="BZ36" s="205"/>
      <c r="CA36" s="205"/>
      <c r="CB36" s="205"/>
      <c r="CC36" s="202"/>
      <c r="CD36" s="202"/>
      <c r="CE36" s="202"/>
      <c r="CF36" s="202"/>
      <c r="CG36" s="202"/>
      <c r="CH36" s="202"/>
      <c r="CI36" s="206"/>
      <c r="CJ36" s="206"/>
      <c r="CK36" s="206"/>
      <c r="CL36" s="206"/>
      <c r="CM36" s="206"/>
      <c r="CN36" s="206"/>
      <c r="CO36" s="206"/>
      <c r="CP36" s="206"/>
      <c r="CQ36" s="206"/>
      <c r="CR36" s="206"/>
      <c r="CS36" s="206"/>
      <c r="CT36" s="206"/>
      <c r="CU36" s="206"/>
      <c r="CV36" s="206"/>
      <c r="CW36" s="206"/>
      <c r="CX36" s="206"/>
      <c r="CY36" s="206"/>
      <c r="CZ36" s="206"/>
      <c r="DA36" s="206"/>
      <c r="DB36" s="206"/>
      <c r="DC36" s="206"/>
      <c r="DD36" s="206"/>
      <c r="DE36" s="206"/>
      <c r="DF36" s="202"/>
      <c r="DG36" s="202"/>
      <c r="DH36" s="202"/>
      <c r="DI36" s="202"/>
      <c r="DJ36" s="207"/>
      <c r="DK36" s="202"/>
      <c r="DL36" s="202"/>
      <c r="DM36" s="202"/>
      <c r="DN36" s="202"/>
      <c r="DO36" s="202"/>
      <c r="DP36" s="202"/>
      <c r="DQ36" s="202"/>
      <c r="DR36" s="202"/>
      <c r="DS36" s="202"/>
      <c r="DT36" s="202"/>
      <c r="DU36" s="202"/>
      <c r="DV36" s="202"/>
      <c r="DW36" s="202"/>
      <c r="DX36" s="202"/>
      <c r="DY36" s="202"/>
      <c r="DZ36" s="202"/>
      <c r="EA36" s="202"/>
      <c r="EB36" s="202"/>
      <c r="EC36" s="202"/>
      <c r="ED36" s="208"/>
      <c r="EE36" s="208"/>
      <c r="EF36" s="208"/>
      <c r="EG36" s="208"/>
      <c r="EH36" s="208"/>
      <c r="EI36" s="208"/>
      <c r="EJ36" s="208"/>
      <c r="EK36" s="208"/>
      <c r="EL36" s="208"/>
      <c r="EM36" s="208"/>
      <c r="EN36" s="208"/>
      <c r="EO36" s="208"/>
      <c r="EP36" s="208"/>
      <c r="EQ36" s="208"/>
      <c r="ER36" s="208"/>
      <c r="ES36" s="208"/>
      <c r="ET36" s="208"/>
      <c r="EU36" s="208"/>
      <c r="EV36" s="208"/>
      <c r="EW36" s="208"/>
      <c r="EX36" s="208"/>
      <c r="EY36" s="208"/>
      <c r="EZ36" s="208"/>
      <c r="FA36" s="208"/>
      <c r="FB36" s="208"/>
      <c r="FC36" s="208"/>
      <c r="FD36" s="208"/>
      <c r="FE36" s="208"/>
      <c r="FF36" s="208"/>
      <c r="FG36" s="208"/>
      <c r="FH36" s="208"/>
      <c r="FI36" s="208"/>
      <c r="FJ36" s="208"/>
      <c r="FK36" s="208"/>
      <c r="FL36" s="199"/>
      <c r="FM36" s="199"/>
      <c r="FN36" s="199"/>
      <c r="FO36" s="208"/>
      <c r="FP36" s="208"/>
      <c r="FQ36" s="199"/>
      <c r="FR36" s="208"/>
      <c r="FS36" s="208"/>
      <c r="FT36" s="208"/>
      <c r="FU36" s="208"/>
      <c r="FV36" s="208"/>
      <c r="FW36" s="208"/>
      <c r="FX36" s="208"/>
      <c r="FY36" s="208"/>
      <c r="FZ36" s="208"/>
      <c r="GA36" s="208"/>
      <c r="GB36" s="208"/>
      <c r="GC36" s="208"/>
      <c r="GD36" s="208"/>
      <c r="GE36" s="199"/>
      <c r="GF36" s="199"/>
      <c r="GG36" s="208"/>
      <c r="GH36" s="208"/>
      <c r="GI36" s="208"/>
      <c r="GJ36" s="208"/>
      <c r="GK36" s="208"/>
      <c r="GL36" s="208"/>
      <c r="GM36" s="208"/>
      <c r="GN36" s="208"/>
      <c r="GO36" s="208"/>
      <c r="GP36" s="208"/>
      <c r="GQ36" s="208"/>
      <c r="GR36" s="208"/>
      <c r="GS36" s="208"/>
      <c r="GT36" s="208"/>
      <c r="GU36" s="155" t="s">
        <v>3882</v>
      </c>
      <c r="GV36" s="174"/>
      <c r="GW36" s="174"/>
      <c r="GX36" s="174"/>
      <c r="GY36" s="174"/>
      <c r="GZ36" s="174"/>
      <c r="HA36" s="174"/>
      <c r="HB36" s="174"/>
      <c r="HC36" s="174"/>
      <c r="HD36" s="174"/>
      <c r="HE36" s="174"/>
      <c r="HF36" s="174"/>
      <c r="HG36" s="174"/>
      <c r="HH36" s="174"/>
      <c r="HI36" s="174"/>
      <c r="HJ36" s="174"/>
      <c r="HK36" s="174"/>
      <c r="HL36" s="174"/>
      <c r="HM36" s="174"/>
      <c r="HN36" s="174"/>
      <c r="HO36" s="174"/>
      <c r="HP36" s="174"/>
      <c r="HQ36" s="174"/>
      <c r="HR36" s="174"/>
      <c r="HS36" s="174"/>
      <c r="HT36" s="174"/>
      <c r="HU36" s="174"/>
      <c r="HV36" s="174"/>
      <c r="HW36" s="174"/>
      <c r="HX36" s="174"/>
      <c r="HY36" s="174"/>
      <c r="HZ36" s="174"/>
      <c r="IA36" s="174"/>
      <c r="IB36" s="174"/>
      <c r="IC36" s="174"/>
      <c r="ID36" s="174"/>
      <c r="IE36" s="174"/>
      <c r="IF36" s="174"/>
      <c r="IG36" s="174"/>
      <c r="IH36" s="174"/>
      <c r="II36" s="174"/>
      <c r="IJ36" s="174"/>
      <c r="IK36" s="174"/>
      <c r="IL36" s="174"/>
      <c r="IM36" s="174"/>
      <c r="IN36" s="174"/>
      <c r="IO36" s="174"/>
      <c r="IP36" s="174"/>
      <c r="IQ36" s="174"/>
      <c r="IR36" s="174"/>
      <c r="IS36" s="174"/>
      <c r="IT36" s="174"/>
      <c r="IU36" s="174"/>
      <c r="IV36" s="174"/>
    </row>
    <row r="37" spans="1:256" ht="13.8" hidden="1">
      <c r="A37" s="234"/>
      <c r="B37" s="236"/>
      <c r="C37" s="197"/>
      <c r="D37" s="197"/>
      <c r="E37" s="197"/>
      <c r="F37" s="197"/>
      <c r="G37" s="197"/>
      <c r="H37" s="197"/>
      <c r="I37" s="197"/>
      <c r="J37" s="198"/>
      <c r="K37" s="199"/>
      <c r="L37" s="200"/>
      <c r="M37" s="201"/>
      <c r="N37" s="202"/>
      <c r="O37" s="203"/>
      <c r="P37" s="204"/>
      <c r="Q37" s="204"/>
      <c r="R37" s="204"/>
      <c r="S37" s="204"/>
      <c r="T37" s="204"/>
      <c r="U37" s="204"/>
      <c r="V37" s="204"/>
      <c r="W37" s="202"/>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2"/>
      <c r="BC37" s="202"/>
      <c r="BD37" s="202"/>
      <c r="BE37" s="202"/>
      <c r="BF37" s="202"/>
      <c r="BG37" s="202"/>
      <c r="BH37" s="202"/>
      <c r="BI37" s="202"/>
      <c r="BJ37" s="202"/>
      <c r="BK37" s="202"/>
      <c r="BL37" s="202"/>
      <c r="BM37" s="202"/>
      <c r="BN37" s="202"/>
      <c r="BO37" s="202"/>
      <c r="BP37" s="202"/>
      <c r="BQ37" s="205"/>
      <c r="BR37" s="205"/>
      <c r="BS37" s="205"/>
      <c r="BT37" s="205"/>
      <c r="BU37" s="205"/>
      <c r="BV37" s="205"/>
      <c r="BW37" s="205"/>
      <c r="BX37" s="205"/>
      <c r="BY37" s="205"/>
      <c r="BZ37" s="205"/>
      <c r="CA37" s="205"/>
      <c r="CB37" s="205"/>
      <c r="CC37" s="202"/>
      <c r="CD37" s="202"/>
      <c r="CE37" s="202"/>
      <c r="CF37" s="202"/>
      <c r="CG37" s="202"/>
      <c r="CH37" s="202"/>
      <c r="CI37" s="206"/>
      <c r="CJ37" s="206"/>
      <c r="CK37" s="206"/>
      <c r="CL37" s="206"/>
      <c r="CM37" s="206"/>
      <c r="CN37" s="206"/>
      <c r="CO37" s="206"/>
      <c r="CP37" s="206"/>
      <c r="CQ37" s="206"/>
      <c r="CR37" s="206"/>
      <c r="CS37" s="206"/>
      <c r="CT37" s="206"/>
      <c r="CU37" s="206"/>
      <c r="CV37" s="206"/>
      <c r="CW37" s="206"/>
      <c r="CX37" s="206"/>
      <c r="CY37" s="206"/>
      <c r="CZ37" s="206"/>
      <c r="DA37" s="206"/>
      <c r="DB37" s="206"/>
      <c r="DC37" s="206"/>
      <c r="DD37" s="206"/>
      <c r="DE37" s="206"/>
      <c r="DF37" s="202"/>
      <c r="DG37" s="202"/>
      <c r="DH37" s="202"/>
      <c r="DI37" s="202"/>
      <c r="DJ37" s="207"/>
      <c r="DK37" s="202"/>
      <c r="DL37" s="202"/>
      <c r="DM37" s="202"/>
      <c r="DN37" s="202"/>
      <c r="DO37" s="202"/>
      <c r="DP37" s="202"/>
      <c r="DQ37" s="202"/>
      <c r="DR37" s="202"/>
      <c r="DS37" s="202"/>
      <c r="DT37" s="202"/>
      <c r="DU37" s="202"/>
      <c r="DV37" s="202"/>
      <c r="DW37" s="202"/>
      <c r="DX37" s="202"/>
      <c r="DY37" s="202"/>
      <c r="DZ37" s="202"/>
      <c r="EA37" s="202"/>
      <c r="EB37" s="202"/>
      <c r="EC37" s="202"/>
      <c r="ED37" s="208"/>
      <c r="EE37" s="208"/>
      <c r="EF37" s="208"/>
      <c r="EG37" s="208"/>
      <c r="EH37" s="208"/>
      <c r="EI37" s="208"/>
      <c r="EJ37" s="208"/>
      <c r="EK37" s="208"/>
      <c r="EL37" s="208"/>
      <c r="EM37" s="208"/>
      <c r="EN37" s="208"/>
      <c r="EO37" s="208"/>
      <c r="EP37" s="208"/>
      <c r="EQ37" s="208"/>
      <c r="ER37" s="208"/>
      <c r="ES37" s="208"/>
      <c r="ET37" s="208"/>
      <c r="EU37" s="208"/>
      <c r="EV37" s="208"/>
      <c r="EW37" s="208"/>
      <c r="EX37" s="208"/>
      <c r="EY37" s="208"/>
      <c r="EZ37" s="208"/>
      <c r="FA37" s="208"/>
      <c r="FB37" s="208"/>
      <c r="FC37" s="208"/>
      <c r="FD37" s="208"/>
      <c r="FE37" s="208"/>
      <c r="FF37" s="208"/>
      <c r="FG37" s="208"/>
      <c r="FH37" s="208"/>
      <c r="FI37" s="208"/>
      <c r="FJ37" s="208"/>
      <c r="FK37" s="208"/>
      <c r="FL37" s="199"/>
      <c r="FM37" s="199"/>
      <c r="FN37" s="199"/>
      <c r="FO37" s="208"/>
      <c r="FP37" s="208"/>
      <c r="FQ37" s="199"/>
      <c r="FR37" s="208"/>
      <c r="FS37" s="208"/>
      <c r="FT37" s="208"/>
      <c r="FU37" s="208"/>
      <c r="FV37" s="208"/>
      <c r="FW37" s="208"/>
      <c r="FX37" s="208"/>
      <c r="FY37" s="208"/>
      <c r="FZ37" s="208"/>
      <c r="GA37" s="208"/>
      <c r="GB37" s="208"/>
      <c r="GC37" s="208"/>
      <c r="GD37" s="208"/>
      <c r="GE37" s="208"/>
      <c r="GF37" s="199"/>
      <c r="GG37" s="208"/>
      <c r="GH37" s="208"/>
      <c r="GI37" s="208"/>
      <c r="GJ37" s="208"/>
      <c r="GK37" s="208"/>
      <c r="GL37" s="208"/>
      <c r="GM37" s="208"/>
      <c r="GN37" s="208"/>
      <c r="GO37" s="208"/>
      <c r="GP37" s="208"/>
      <c r="GQ37" s="208"/>
      <c r="GR37" s="208"/>
      <c r="GS37" s="208"/>
      <c r="GT37" s="208"/>
      <c r="GU37" s="155" t="s">
        <v>3882</v>
      </c>
      <c r="GV37" s="174"/>
      <c r="GW37" s="174"/>
      <c r="GX37" s="174"/>
      <c r="GY37" s="174"/>
      <c r="GZ37" s="174"/>
      <c r="HA37" s="174"/>
      <c r="HB37" s="174"/>
      <c r="HC37" s="174"/>
      <c r="HD37" s="174"/>
      <c r="HE37" s="174"/>
      <c r="HF37" s="174"/>
      <c r="HG37" s="174"/>
      <c r="HH37" s="174"/>
      <c r="HI37" s="174"/>
      <c r="HJ37" s="174"/>
      <c r="HK37" s="174"/>
      <c r="HL37" s="174"/>
      <c r="HM37" s="174"/>
      <c r="HN37" s="174"/>
      <c r="HO37" s="174"/>
      <c r="HP37" s="174"/>
      <c r="HQ37" s="174"/>
      <c r="HR37" s="174"/>
      <c r="HS37" s="174"/>
      <c r="HT37" s="174"/>
      <c r="HU37" s="174"/>
      <c r="HV37" s="174"/>
      <c r="HW37" s="174"/>
      <c r="HX37" s="174"/>
      <c r="HY37" s="174"/>
      <c r="HZ37" s="174"/>
      <c r="IA37" s="174"/>
      <c r="IB37" s="174"/>
      <c r="IC37" s="174"/>
      <c r="ID37" s="174"/>
      <c r="IE37" s="174"/>
      <c r="IF37" s="174"/>
      <c r="IG37" s="174"/>
      <c r="IH37" s="174"/>
      <c r="II37" s="174"/>
      <c r="IJ37" s="174"/>
      <c r="IK37" s="174"/>
      <c r="IL37" s="174"/>
      <c r="IM37" s="174"/>
      <c r="IN37" s="174"/>
      <c r="IO37" s="174"/>
      <c r="IP37" s="174"/>
      <c r="IQ37" s="174"/>
      <c r="IR37" s="174"/>
      <c r="IS37" s="174"/>
      <c r="IT37" s="174"/>
      <c r="IU37" s="174"/>
      <c r="IV37" s="174"/>
    </row>
    <row r="38" spans="1:256" ht="13.8" hidden="1">
      <c r="A38" s="234"/>
      <c r="B38" s="236"/>
      <c r="C38" s="197"/>
      <c r="D38" s="197"/>
      <c r="E38" s="197"/>
      <c r="F38" s="197"/>
      <c r="G38" s="197"/>
      <c r="H38" s="197"/>
      <c r="I38" s="197"/>
      <c r="J38" s="198"/>
      <c r="K38" s="199"/>
      <c r="L38" s="200"/>
      <c r="M38" s="201"/>
      <c r="N38" s="202"/>
      <c r="O38" s="203"/>
      <c r="P38" s="204"/>
      <c r="Q38" s="204"/>
      <c r="R38" s="204"/>
      <c r="S38" s="204"/>
      <c r="T38" s="204"/>
      <c r="U38" s="204"/>
      <c r="V38" s="204"/>
      <c r="W38" s="202"/>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2"/>
      <c r="BC38" s="202"/>
      <c r="BD38" s="202"/>
      <c r="BE38" s="202"/>
      <c r="BF38" s="202"/>
      <c r="BG38" s="202"/>
      <c r="BH38" s="202"/>
      <c r="BI38" s="202"/>
      <c r="BJ38" s="202"/>
      <c r="BK38" s="202"/>
      <c r="BL38" s="202"/>
      <c r="BM38" s="202"/>
      <c r="BN38" s="202"/>
      <c r="BO38" s="202"/>
      <c r="BP38" s="202"/>
      <c r="BQ38" s="205"/>
      <c r="BR38" s="205"/>
      <c r="BS38" s="205"/>
      <c r="BT38" s="205"/>
      <c r="BU38" s="205"/>
      <c r="BV38" s="205"/>
      <c r="BW38" s="205"/>
      <c r="BX38" s="205"/>
      <c r="BY38" s="205"/>
      <c r="BZ38" s="205"/>
      <c r="CA38" s="205"/>
      <c r="CB38" s="205"/>
      <c r="CC38" s="202"/>
      <c r="CD38" s="202"/>
      <c r="CE38" s="202"/>
      <c r="CF38" s="202"/>
      <c r="CG38" s="202"/>
      <c r="CH38" s="202"/>
      <c r="CI38" s="206"/>
      <c r="CJ38" s="206"/>
      <c r="CK38" s="206"/>
      <c r="CL38" s="206"/>
      <c r="CM38" s="206"/>
      <c r="CN38" s="206"/>
      <c r="CO38" s="206"/>
      <c r="CP38" s="206"/>
      <c r="CQ38" s="206"/>
      <c r="CR38" s="206"/>
      <c r="CS38" s="206"/>
      <c r="CT38" s="206"/>
      <c r="CU38" s="206"/>
      <c r="CV38" s="206"/>
      <c r="CW38" s="206"/>
      <c r="CX38" s="206"/>
      <c r="CY38" s="206"/>
      <c r="CZ38" s="206"/>
      <c r="DA38" s="206"/>
      <c r="DB38" s="206"/>
      <c r="DC38" s="206"/>
      <c r="DD38" s="206"/>
      <c r="DE38" s="206"/>
      <c r="DF38" s="202"/>
      <c r="DG38" s="202"/>
      <c r="DH38" s="202"/>
      <c r="DI38" s="202"/>
      <c r="DJ38" s="207"/>
      <c r="DK38" s="202"/>
      <c r="DL38" s="202"/>
      <c r="DM38" s="202"/>
      <c r="DN38" s="202"/>
      <c r="DO38" s="202"/>
      <c r="DP38" s="202"/>
      <c r="DQ38" s="202"/>
      <c r="DR38" s="202"/>
      <c r="DS38" s="202"/>
      <c r="DT38" s="202"/>
      <c r="DU38" s="202"/>
      <c r="DV38" s="202"/>
      <c r="DW38" s="202"/>
      <c r="DX38" s="202"/>
      <c r="DY38" s="202"/>
      <c r="DZ38" s="202"/>
      <c r="EA38" s="202"/>
      <c r="EB38" s="202"/>
      <c r="EC38" s="202"/>
      <c r="ED38" s="208"/>
      <c r="EE38" s="208"/>
      <c r="EF38" s="208"/>
      <c r="EG38" s="208"/>
      <c r="EH38" s="208"/>
      <c r="EI38" s="208"/>
      <c r="EJ38" s="208"/>
      <c r="EK38" s="208"/>
      <c r="EL38" s="208"/>
      <c r="EM38" s="208"/>
      <c r="EN38" s="208"/>
      <c r="EO38" s="208"/>
      <c r="EP38" s="208"/>
      <c r="EQ38" s="208"/>
      <c r="ER38" s="208"/>
      <c r="ES38" s="208"/>
      <c r="ET38" s="208"/>
      <c r="EU38" s="208"/>
      <c r="EV38" s="208"/>
      <c r="EW38" s="208"/>
      <c r="EX38" s="208"/>
      <c r="EY38" s="208"/>
      <c r="EZ38" s="208"/>
      <c r="FA38" s="208"/>
      <c r="FB38" s="208"/>
      <c r="FC38" s="208"/>
      <c r="FD38" s="208"/>
      <c r="FE38" s="208"/>
      <c r="FF38" s="208"/>
      <c r="FG38" s="208"/>
      <c r="FH38" s="208"/>
      <c r="FI38" s="208"/>
      <c r="FJ38" s="208"/>
      <c r="FK38" s="208"/>
      <c r="FL38" s="199"/>
      <c r="FM38" s="199"/>
      <c r="FN38" s="199"/>
      <c r="FO38" s="208"/>
      <c r="FP38" s="208"/>
      <c r="FQ38" s="199"/>
      <c r="FR38" s="208"/>
      <c r="FS38" s="208"/>
      <c r="FT38" s="208"/>
      <c r="FU38" s="208"/>
      <c r="FV38" s="208"/>
      <c r="FW38" s="208"/>
      <c r="FX38" s="208"/>
      <c r="FY38" s="208"/>
      <c r="FZ38" s="208"/>
      <c r="GA38" s="208"/>
      <c r="GB38" s="208"/>
      <c r="GC38" s="208"/>
      <c r="GD38" s="208"/>
      <c r="GE38" s="208"/>
      <c r="GF38" s="199"/>
      <c r="GG38" s="208"/>
      <c r="GH38" s="208"/>
      <c r="GI38" s="208"/>
      <c r="GJ38" s="208"/>
      <c r="GK38" s="208"/>
      <c r="GL38" s="208"/>
      <c r="GM38" s="208"/>
      <c r="GN38" s="208"/>
      <c r="GO38" s="208"/>
      <c r="GP38" s="208"/>
      <c r="GQ38" s="208"/>
      <c r="GR38" s="208"/>
      <c r="GS38" s="208"/>
      <c r="GT38" s="208"/>
      <c r="GU38" s="155" t="s">
        <v>3882</v>
      </c>
      <c r="GV38" s="174"/>
      <c r="GW38" s="174"/>
      <c r="GX38" s="174"/>
      <c r="GY38" s="174"/>
      <c r="GZ38" s="174"/>
      <c r="HA38" s="174"/>
      <c r="HB38" s="174"/>
      <c r="HC38" s="174"/>
      <c r="HD38" s="174"/>
      <c r="HE38" s="174"/>
      <c r="HF38" s="174"/>
      <c r="HG38" s="174"/>
      <c r="HH38" s="174"/>
      <c r="HI38" s="174"/>
      <c r="HJ38" s="174"/>
      <c r="HK38" s="174"/>
      <c r="HL38" s="174"/>
      <c r="HM38" s="174"/>
      <c r="HN38" s="174"/>
      <c r="HO38" s="174"/>
      <c r="HP38" s="174"/>
      <c r="HQ38" s="174"/>
      <c r="HR38" s="174"/>
      <c r="HS38" s="174"/>
      <c r="HT38" s="174"/>
      <c r="HU38" s="174"/>
      <c r="HV38" s="174"/>
      <c r="HW38" s="174"/>
      <c r="HX38" s="174"/>
      <c r="HY38" s="174"/>
      <c r="HZ38" s="174"/>
      <c r="IA38" s="174"/>
      <c r="IB38" s="174"/>
      <c r="IC38" s="174"/>
      <c r="ID38" s="174"/>
      <c r="IE38" s="174"/>
      <c r="IF38" s="174"/>
      <c r="IG38" s="174"/>
      <c r="IH38" s="174"/>
      <c r="II38" s="174"/>
      <c r="IJ38" s="174"/>
      <c r="IK38" s="174"/>
      <c r="IL38" s="174"/>
      <c r="IM38" s="174"/>
      <c r="IN38" s="174"/>
      <c r="IO38" s="174"/>
      <c r="IP38" s="174"/>
      <c r="IQ38" s="174"/>
      <c r="IR38" s="174"/>
      <c r="IS38" s="174"/>
      <c r="IT38" s="174"/>
      <c r="IU38" s="174"/>
      <c r="IV38" s="174"/>
    </row>
    <row r="39" spans="1:256" ht="13.8" hidden="1">
      <c r="A39" s="234"/>
      <c r="B39" s="236"/>
      <c r="C39" s="197"/>
      <c r="D39" s="197"/>
      <c r="E39" s="197"/>
      <c r="F39" s="197"/>
      <c r="G39" s="197"/>
      <c r="H39" s="197"/>
      <c r="I39" s="197"/>
      <c r="J39" s="198"/>
      <c r="K39" s="199"/>
      <c r="L39" s="200"/>
      <c r="M39" s="201"/>
      <c r="N39" s="202"/>
      <c r="O39" s="203"/>
      <c r="P39" s="204"/>
      <c r="Q39" s="204"/>
      <c r="R39" s="204"/>
      <c r="S39" s="204"/>
      <c r="T39" s="204"/>
      <c r="U39" s="204"/>
      <c r="V39" s="204"/>
      <c r="W39" s="202"/>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2"/>
      <c r="BC39" s="202"/>
      <c r="BD39" s="202"/>
      <c r="BE39" s="202"/>
      <c r="BF39" s="202"/>
      <c r="BG39" s="202"/>
      <c r="BH39" s="202"/>
      <c r="BI39" s="202"/>
      <c r="BJ39" s="202"/>
      <c r="BK39" s="202"/>
      <c r="BL39" s="202"/>
      <c r="BM39" s="202"/>
      <c r="BN39" s="202"/>
      <c r="BO39" s="202"/>
      <c r="BP39" s="202"/>
      <c r="BQ39" s="205"/>
      <c r="BR39" s="205"/>
      <c r="BS39" s="205"/>
      <c r="BT39" s="205"/>
      <c r="BU39" s="205"/>
      <c r="BV39" s="205"/>
      <c r="BW39" s="205"/>
      <c r="BX39" s="205"/>
      <c r="BY39" s="205"/>
      <c r="BZ39" s="205"/>
      <c r="CA39" s="205"/>
      <c r="CB39" s="205"/>
      <c r="CC39" s="202"/>
      <c r="CD39" s="202"/>
      <c r="CE39" s="202"/>
      <c r="CF39" s="202"/>
      <c r="CG39" s="202"/>
      <c r="CH39" s="202"/>
      <c r="CI39" s="206"/>
      <c r="CJ39" s="206"/>
      <c r="CK39" s="206"/>
      <c r="CL39" s="206"/>
      <c r="CM39" s="206"/>
      <c r="CN39" s="206"/>
      <c r="CO39" s="206"/>
      <c r="CP39" s="206"/>
      <c r="CQ39" s="206"/>
      <c r="CR39" s="206"/>
      <c r="CS39" s="206"/>
      <c r="CT39" s="206"/>
      <c r="CU39" s="206"/>
      <c r="CV39" s="206"/>
      <c r="CW39" s="206"/>
      <c r="CX39" s="206"/>
      <c r="CY39" s="206"/>
      <c r="CZ39" s="206"/>
      <c r="DA39" s="206"/>
      <c r="DB39" s="206"/>
      <c r="DC39" s="206"/>
      <c r="DD39" s="206"/>
      <c r="DE39" s="206"/>
      <c r="DF39" s="202"/>
      <c r="DG39" s="202"/>
      <c r="DH39" s="202"/>
      <c r="DI39" s="202"/>
      <c r="DJ39" s="207"/>
      <c r="DK39" s="202"/>
      <c r="DL39" s="202"/>
      <c r="DM39" s="202"/>
      <c r="DN39" s="202"/>
      <c r="DO39" s="202"/>
      <c r="DP39" s="202"/>
      <c r="DQ39" s="202"/>
      <c r="DR39" s="202"/>
      <c r="DS39" s="202"/>
      <c r="DT39" s="202"/>
      <c r="DU39" s="202"/>
      <c r="DV39" s="202"/>
      <c r="DW39" s="202"/>
      <c r="DX39" s="202"/>
      <c r="DY39" s="202"/>
      <c r="DZ39" s="202"/>
      <c r="EA39" s="202"/>
      <c r="EB39" s="202"/>
      <c r="EC39" s="202"/>
      <c r="ED39" s="208"/>
      <c r="EE39" s="208"/>
      <c r="EF39" s="208"/>
      <c r="EG39" s="208"/>
      <c r="EH39" s="208"/>
      <c r="EI39" s="208"/>
      <c r="EJ39" s="208"/>
      <c r="EK39" s="208"/>
      <c r="EL39" s="208"/>
      <c r="EM39" s="208"/>
      <c r="EN39" s="208"/>
      <c r="EO39" s="208"/>
      <c r="EP39" s="208"/>
      <c r="EQ39" s="208"/>
      <c r="ER39" s="208"/>
      <c r="ES39" s="208"/>
      <c r="ET39" s="208"/>
      <c r="EU39" s="208"/>
      <c r="EV39" s="208"/>
      <c r="EW39" s="208"/>
      <c r="EX39" s="208"/>
      <c r="EY39" s="208"/>
      <c r="EZ39" s="208"/>
      <c r="FA39" s="208"/>
      <c r="FB39" s="208"/>
      <c r="FC39" s="208"/>
      <c r="FD39" s="208"/>
      <c r="FE39" s="208"/>
      <c r="FF39" s="208"/>
      <c r="FG39" s="208"/>
      <c r="FH39" s="208"/>
      <c r="FI39" s="208"/>
      <c r="FJ39" s="208"/>
      <c r="FK39" s="208"/>
      <c r="FL39" s="199"/>
      <c r="FM39" s="199"/>
      <c r="FN39" s="199"/>
      <c r="FO39" s="208"/>
      <c r="FP39" s="208"/>
      <c r="FQ39" s="199"/>
      <c r="FR39" s="208"/>
      <c r="FS39" s="208"/>
      <c r="FT39" s="208"/>
      <c r="FU39" s="208"/>
      <c r="FV39" s="208"/>
      <c r="FW39" s="208"/>
      <c r="FX39" s="208"/>
      <c r="FY39" s="208"/>
      <c r="FZ39" s="208"/>
      <c r="GA39" s="208"/>
      <c r="GB39" s="208"/>
      <c r="GC39" s="208"/>
      <c r="GD39" s="208"/>
      <c r="GE39" s="208"/>
      <c r="GF39" s="199"/>
      <c r="GG39" s="208"/>
      <c r="GH39" s="208"/>
      <c r="GI39" s="208"/>
      <c r="GJ39" s="208"/>
      <c r="GK39" s="208"/>
      <c r="GL39" s="208"/>
      <c r="GM39" s="208"/>
      <c r="GN39" s="208"/>
      <c r="GO39" s="208"/>
      <c r="GP39" s="208"/>
      <c r="GQ39" s="208"/>
      <c r="GR39" s="208"/>
      <c r="GS39" s="208"/>
      <c r="GT39" s="208"/>
      <c r="GU39" s="155" t="s">
        <v>3882</v>
      </c>
      <c r="GV39" s="174"/>
      <c r="GW39" s="174"/>
      <c r="GX39" s="174"/>
      <c r="GY39" s="174"/>
      <c r="GZ39" s="174"/>
      <c r="HA39" s="174"/>
      <c r="HB39" s="174"/>
      <c r="HC39" s="174"/>
      <c r="HD39" s="174"/>
      <c r="HE39" s="174"/>
      <c r="HF39" s="174"/>
      <c r="HG39" s="174"/>
      <c r="HH39" s="174"/>
      <c r="HI39" s="174"/>
      <c r="HJ39" s="174"/>
      <c r="HK39" s="174"/>
      <c r="HL39" s="174"/>
      <c r="HM39" s="174"/>
      <c r="HN39" s="174"/>
      <c r="HO39" s="174"/>
      <c r="HP39" s="174"/>
      <c r="HQ39" s="174"/>
      <c r="HR39" s="174"/>
      <c r="HS39" s="174"/>
      <c r="HT39" s="174"/>
      <c r="HU39" s="174"/>
      <c r="HV39" s="174"/>
      <c r="HW39" s="174"/>
      <c r="HX39" s="174"/>
      <c r="HY39" s="174"/>
      <c r="HZ39" s="174"/>
      <c r="IA39" s="174"/>
      <c r="IB39" s="174"/>
      <c r="IC39" s="174"/>
      <c r="ID39" s="174"/>
      <c r="IE39" s="174"/>
      <c r="IF39" s="174"/>
      <c r="IG39" s="174"/>
      <c r="IH39" s="174"/>
      <c r="II39" s="174"/>
      <c r="IJ39" s="174"/>
      <c r="IK39" s="174"/>
      <c r="IL39" s="174"/>
      <c r="IM39" s="174"/>
      <c r="IN39" s="174"/>
      <c r="IO39" s="174"/>
      <c r="IP39" s="174"/>
      <c r="IQ39" s="174"/>
      <c r="IR39" s="174"/>
      <c r="IS39" s="174"/>
      <c r="IT39" s="174"/>
      <c r="IU39" s="174"/>
      <c r="IV39" s="174"/>
    </row>
    <row r="40" spans="1:256" ht="13.8" hidden="1">
      <c r="A40" s="234"/>
      <c r="B40" s="236"/>
      <c r="C40" s="197"/>
      <c r="D40" s="197"/>
      <c r="E40" s="197"/>
      <c r="F40" s="197"/>
      <c r="G40" s="197"/>
      <c r="H40" s="197"/>
      <c r="I40" s="197"/>
      <c r="J40" s="198"/>
      <c r="K40" s="199"/>
      <c r="L40" s="200"/>
      <c r="M40" s="201"/>
      <c r="N40" s="202"/>
      <c r="O40" s="203"/>
      <c r="P40" s="204"/>
      <c r="Q40" s="204"/>
      <c r="R40" s="204"/>
      <c r="S40" s="204"/>
      <c r="T40" s="204"/>
      <c r="U40" s="204"/>
      <c r="V40" s="204"/>
      <c r="W40" s="202"/>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2"/>
      <c r="BC40" s="202"/>
      <c r="BD40" s="202"/>
      <c r="BE40" s="202"/>
      <c r="BF40" s="202"/>
      <c r="BG40" s="202"/>
      <c r="BH40" s="202"/>
      <c r="BI40" s="202"/>
      <c r="BJ40" s="202"/>
      <c r="BK40" s="202"/>
      <c r="BL40" s="202"/>
      <c r="BM40" s="202"/>
      <c r="BN40" s="202"/>
      <c r="BO40" s="202"/>
      <c r="BP40" s="202"/>
      <c r="BQ40" s="205"/>
      <c r="BR40" s="205"/>
      <c r="BS40" s="205"/>
      <c r="BT40" s="205"/>
      <c r="BU40" s="205"/>
      <c r="BV40" s="205"/>
      <c r="BW40" s="205"/>
      <c r="BX40" s="205"/>
      <c r="BY40" s="205"/>
      <c r="BZ40" s="205"/>
      <c r="CA40" s="205"/>
      <c r="CB40" s="205"/>
      <c r="CC40" s="202"/>
      <c r="CD40" s="202"/>
      <c r="CE40" s="202"/>
      <c r="CF40" s="202"/>
      <c r="CG40" s="202"/>
      <c r="CH40" s="202"/>
      <c r="CI40" s="206"/>
      <c r="CJ40" s="206"/>
      <c r="CK40" s="206"/>
      <c r="CL40" s="206"/>
      <c r="CM40" s="206"/>
      <c r="CN40" s="206"/>
      <c r="CO40" s="206"/>
      <c r="CP40" s="206"/>
      <c r="CQ40" s="206"/>
      <c r="CR40" s="206"/>
      <c r="CS40" s="206"/>
      <c r="CT40" s="206"/>
      <c r="CU40" s="206"/>
      <c r="CV40" s="206"/>
      <c r="CW40" s="206"/>
      <c r="CX40" s="206"/>
      <c r="CY40" s="206"/>
      <c r="CZ40" s="206"/>
      <c r="DA40" s="206"/>
      <c r="DB40" s="206"/>
      <c r="DC40" s="206"/>
      <c r="DD40" s="206"/>
      <c r="DE40" s="206"/>
      <c r="DF40" s="202"/>
      <c r="DG40" s="202"/>
      <c r="DH40" s="202"/>
      <c r="DI40" s="202"/>
      <c r="DJ40" s="207"/>
      <c r="DK40" s="202"/>
      <c r="DL40" s="202"/>
      <c r="DM40" s="202"/>
      <c r="DN40" s="202"/>
      <c r="DO40" s="202"/>
      <c r="DP40" s="202"/>
      <c r="DQ40" s="202"/>
      <c r="DR40" s="202"/>
      <c r="DS40" s="202"/>
      <c r="DT40" s="202"/>
      <c r="DU40" s="202"/>
      <c r="DV40" s="202"/>
      <c r="DW40" s="202"/>
      <c r="DX40" s="202"/>
      <c r="DY40" s="202"/>
      <c r="DZ40" s="202"/>
      <c r="EA40" s="202"/>
      <c r="EB40" s="202"/>
      <c r="EC40" s="202"/>
      <c r="ED40" s="208"/>
      <c r="EE40" s="208"/>
      <c r="EF40" s="208"/>
      <c r="EG40" s="208"/>
      <c r="EH40" s="208"/>
      <c r="EI40" s="208"/>
      <c r="EJ40" s="208"/>
      <c r="EK40" s="208"/>
      <c r="EL40" s="208"/>
      <c r="EM40" s="208"/>
      <c r="EN40" s="208"/>
      <c r="EO40" s="208"/>
      <c r="EP40" s="208"/>
      <c r="EQ40" s="208"/>
      <c r="ER40" s="208"/>
      <c r="ES40" s="208"/>
      <c r="ET40" s="208"/>
      <c r="EU40" s="208"/>
      <c r="EV40" s="208"/>
      <c r="EW40" s="208"/>
      <c r="EX40" s="208"/>
      <c r="EY40" s="208"/>
      <c r="EZ40" s="208"/>
      <c r="FA40" s="208"/>
      <c r="FB40" s="208"/>
      <c r="FC40" s="208"/>
      <c r="FD40" s="208"/>
      <c r="FE40" s="208"/>
      <c r="FF40" s="208"/>
      <c r="FG40" s="208"/>
      <c r="FH40" s="208"/>
      <c r="FI40" s="208"/>
      <c r="FJ40" s="208"/>
      <c r="FK40" s="208"/>
      <c r="FL40" s="199"/>
      <c r="FM40" s="199"/>
      <c r="FN40" s="199"/>
      <c r="FO40" s="208"/>
      <c r="FP40" s="208"/>
      <c r="FQ40" s="199"/>
      <c r="FR40" s="208"/>
      <c r="FS40" s="208"/>
      <c r="FT40" s="208"/>
      <c r="FU40" s="208"/>
      <c r="FV40" s="208"/>
      <c r="FW40" s="208"/>
      <c r="FX40" s="208"/>
      <c r="FY40" s="208"/>
      <c r="FZ40" s="208"/>
      <c r="GA40" s="208"/>
      <c r="GB40" s="208"/>
      <c r="GC40" s="208"/>
      <c r="GD40" s="208"/>
      <c r="GE40" s="208"/>
      <c r="GF40" s="199"/>
      <c r="GG40" s="208"/>
      <c r="GH40" s="208"/>
      <c r="GI40" s="208"/>
      <c r="GJ40" s="208"/>
      <c r="GK40" s="208"/>
      <c r="GL40" s="208"/>
      <c r="GM40" s="208"/>
      <c r="GN40" s="208"/>
      <c r="GO40" s="208"/>
      <c r="GP40" s="208"/>
      <c r="GQ40" s="208"/>
      <c r="GR40" s="208"/>
      <c r="GS40" s="208"/>
      <c r="GT40" s="208"/>
      <c r="GU40" s="155" t="s">
        <v>3882</v>
      </c>
      <c r="GV40" s="174"/>
      <c r="GW40" s="174"/>
      <c r="GX40" s="174"/>
      <c r="GY40" s="174"/>
      <c r="GZ40" s="174"/>
      <c r="HA40" s="174"/>
      <c r="HB40" s="174"/>
      <c r="HC40" s="174"/>
      <c r="HD40" s="174"/>
      <c r="HE40" s="174"/>
      <c r="HF40" s="174"/>
      <c r="HG40" s="174"/>
      <c r="HH40" s="174"/>
      <c r="HI40" s="174"/>
      <c r="HJ40" s="174"/>
      <c r="HK40" s="174"/>
      <c r="HL40" s="174"/>
      <c r="HM40" s="174"/>
      <c r="HN40" s="174"/>
      <c r="HO40" s="174"/>
      <c r="HP40" s="174"/>
      <c r="HQ40" s="174"/>
      <c r="HR40" s="174"/>
      <c r="HS40" s="174"/>
      <c r="HT40" s="174"/>
      <c r="HU40" s="174"/>
      <c r="HV40" s="174"/>
      <c r="HW40" s="174"/>
      <c r="HX40" s="174"/>
      <c r="HY40" s="174"/>
      <c r="HZ40" s="174"/>
      <c r="IA40" s="174"/>
      <c r="IB40" s="174"/>
      <c r="IC40" s="174"/>
      <c r="ID40" s="174"/>
      <c r="IE40" s="174"/>
      <c r="IF40" s="174"/>
      <c r="IG40" s="174"/>
      <c r="IH40" s="174"/>
      <c r="II40" s="174"/>
      <c r="IJ40" s="174"/>
      <c r="IK40" s="174"/>
      <c r="IL40" s="174"/>
      <c r="IM40" s="174"/>
      <c r="IN40" s="174"/>
      <c r="IO40" s="174"/>
      <c r="IP40" s="174"/>
      <c r="IQ40" s="174"/>
      <c r="IR40" s="174"/>
      <c r="IS40" s="174"/>
      <c r="IT40" s="174"/>
      <c r="IU40" s="174"/>
      <c r="IV40" s="174"/>
    </row>
    <row r="41" spans="1:256" ht="13.8" hidden="1">
      <c r="A41" s="234"/>
      <c r="B41" s="236"/>
      <c r="C41" s="197"/>
      <c r="D41" s="197"/>
      <c r="E41" s="197"/>
      <c r="F41" s="197"/>
      <c r="G41" s="197"/>
      <c r="H41" s="197"/>
      <c r="I41" s="197"/>
      <c r="J41" s="198"/>
      <c r="K41" s="199"/>
      <c r="L41" s="200"/>
      <c r="M41" s="201"/>
      <c r="N41" s="202"/>
      <c r="O41" s="203"/>
      <c r="P41" s="204"/>
      <c r="Q41" s="204"/>
      <c r="R41" s="204"/>
      <c r="S41" s="204"/>
      <c r="T41" s="204"/>
      <c r="U41" s="204"/>
      <c r="V41" s="204"/>
      <c r="W41" s="202"/>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2"/>
      <c r="BC41" s="202"/>
      <c r="BD41" s="202"/>
      <c r="BE41" s="202"/>
      <c r="BF41" s="202"/>
      <c r="BG41" s="202"/>
      <c r="BH41" s="202"/>
      <c r="BI41" s="202"/>
      <c r="BJ41" s="202"/>
      <c r="BK41" s="202"/>
      <c r="BL41" s="202"/>
      <c r="BM41" s="202"/>
      <c r="BN41" s="202"/>
      <c r="BO41" s="202"/>
      <c r="BP41" s="202"/>
      <c r="BQ41" s="205"/>
      <c r="BR41" s="205"/>
      <c r="BS41" s="205"/>
      <c r="BT41" s="205"/>
      <c r="BU41" s="205"/>
      <c r="BV41" s="205"/>
      <c r="BW41" s="205"/>
      <c r="BX41" s="205"/>
      <c r="BY41" s="205"/>
      <c r="BZ41" s="205"/>
      <c r="CA41" s="205"/>
      <c r="CB41" s="205"/>
      <c r="CC41" s="202"/>
      <c r="CD41" s="202"/>
      <c r="CE41" s="202"/>
      <c r="CF41" s="202"/>
      <c r="CG41" s="202"/>
      <c r="CH41" s="202"/>
      <c r="CI41" s="206"/>
      <c r="CJ41" s="206"/>
      <c r="CK41" s="206"/>
      <c r="CL41" s="206"/>
      <c r="CM41" s="206"/>
      <c r="CN41" s="206"/>
      <c r="CO41" s="206"/>
      <c r="CP41" s="206"/>
      <c r="CQ41" s="206"/>
      <c r="CR41" s="206"/>
      <c r="CS41" s="206"/>
      <c r="CT41" s="206"/>
      <c r="CU41" s="206"/>
      <c r="CV41" s="206"/>
      <c r="CW41" s="206"/>
      <c r="CX41" s="206"/>
      <c r="CY41" s="206"/>
      <c r="CZ41" s="206"/>
      <c r="DA41" s="206"/>
      <c r="DB41" s="206"/>
      <c r="DC41" s="206"/>
      <c r="DD41" s="206"/>
      <c r="DE41" s="206"/>
      <c r="DF41" s="202"/>
      <c r="DG41" s="202"/>
      <c r="DH41" s="202"/>
      <c r="DI41" s="202"/>
      <c r="DJ41" s="207"/>
      <c r="DK41" s="202"/>
      <c r="DL41" s="202"/>
      <c r="DM41" s="202"/>
      <c r="DN41" s="202"/>
      <c r="DO41" s="202"/>
      <c r="DP41" s="202"/>
      <c r="DQ41" s="202"/>
      <c r="DR41" s="202"/>
      <c r="DS41" s="202"/>
      <c r="DT41" s="202"/>
      <c r="DU41" s="202"/>
      <c r="DV41" s="202"/>
      <c r="DW41" s="202"/>
      <c r="DX41" s="202"/>
      <c r="DY41" s="202"/>
      <c r="DZ41" s="202"/>
      <c r="EA41" s="202"/>
      <c r="EB41" s="202"/>
      <c r="EC41" s="202"/>
      <c r="ED41" s="208"/>
      <c r="EE41" s="208"/>
      <c r="EF41" s="208"/>
      <c r="EG41" s="208"/>
      <c r="EH41" s="208"/>
      <c r="EI41" s="208"/>
      <c r="EJ41" s="208"/>
      <c r="EK41" s="208"/>
      <c r="EL41" s="208"/>
      <c r="EM41" s="208"/>
      <c r="EN41" s="208"/>
      <c r="EO41" s="208"/>
      <c r="EP41" s="208"/>
      <c r="EQ41" s="208"/>
      <c r="ER41" s="208"/>
      <c r="ES41" s="208"/>
      <c r="ET41" s="208"/>
      <c r="EU41" s="208"/>
      <c r="EV41" s="208"/>
      <c r="EW41" s="208"/>
      <c r="EX41" s="208"/>
      <c r="EY41" s="208"/>
      <c r="EZ41" s="208"/>
      <c r="FA41" s="208"/>
      <c r="FB41" s="208"/>
      <c r="FC41" s="208"/>
      <c r="FD41" s="208"/>
      <c r="FE41" s="208"/>
      <c r="FF41" s="208"/>
      <c r="FG41" s="208"/>
      <c r="FH41" s="208"/>
      <c r="FI41" s="208"/>
      <c r="FJ41" s="208"/>
      <c r="FK41" s="208"/>
      <c r="FL41" s="199"/>
      <c r="FM41" s="199"/>
      <c r="FN41" s="199"/>
      <c r="FO41" s="208"/>
      <c r="FP41" s="208"/>
      <c r="FQ41" s="199"/>
      <c r="FR41" s="208"/>
      <c r="FS41" s="208"/>
      <c r="FT41" s="208"/>
      <c r="FU41" s="208"/>
      <c r="FV41" s="208"/>
      <c r="FW41" s="208"/>
      <c r="FX41" s="208"/>
      <c r="FY41" s="208"/>
      <c r="FZ41" s="208"/>
      <c r="GA41" s="208"/>
      <c r="GB41" s="208"/>
      <c r="GC41" s="208"/>
      <c r="GD41" s="208"/>
      <c r="GE41" s="208"/>
      <c r="GF41" s="199"/>
      <c r="GG41" s="208"/>
      <c r="GH41" s="208"/>
      <c r="GI41" s="208"/>
      <c r="GJ41" s="208"/>
      <c r="GK41" s="208"/>
      <c r="GL41" s="208"/>
      <c r="GM41" s="208"/>
      <c r="GN41" s="208"/>
      <c r="GO41" s="208"/>
      <c r="GP41" s="208"/>
      <c r="GQ41" s="208"/>
      <c r="GR41" s="208"/>
      <c r="GS41" s="208"/>
      <c r="GT41" s="208"/>
      <c r="GU41" s="155" t="s">
        <v>3882</v>
      </c>
      <c r="GV41" s="174"/>
      <c r="GW41" s="174"/>
      <c r="GX41" s="174"/>
      <c r="GY41" s="174"/>
      <c r="GZ41" s="174"/>
      <c r="HA41" s="174"/>
      <c r="HB41" s="174"/>
      <c r="HC41" s="174"/>
      <c r="HD41" s="174"/>
      <c r="HE41" s="174"/>
      <c r="HF41" s="174"/>
      <c r="HG41" s="174"/>
      <c r="HH41" s="174"/>
      <c r="HI41" s="174"/>
      <c r="HJ41" s="174"/>
      <c r="HK41" s="174"/>
      <c r="HL41" s="174"/>
      <c r="HM41" s="174"/>
      <c r="HN41" s="174"/>
      <c r="HO41" s="174"/>
      <c r="HP41" s="174"/>
      <c r="HQ41" s="174"/>
      <c r="HR41" s="174"/>
      <c r="HS41" s="174"/>
      <c r="HT41" s="174"/>
      <c r="HU41" s="174"/>
      <c r="HV41" s="174"/>
      <c r="HW41" s="174"/>
      <c r="HX41" s="174"/>
      <c r="HY41" s="174"/>
      <c r="HZ41" s="174"/>
      <c r="IA41" s="174"/>
      <c r="IB41" s="174"/>
      <c r="IC41" s="174"/>
      <c r="ID41" s="174"/>
      <c r="IE41" s="174"/>
      <c r="IF41" s="174"/>
      <c r="IG41" s="174"/>
      <c r="IH41" s="174"/>
      <c r="II41" s="174"/>
      <c r="IJ41" s="174"/>
      <c r="IK41" s="174"/>
      <c r="IL41" s="174"/>
      <c r="IM41" s="174"/>
      <c r="IN41" s="174"/>
      <c r="IO41" s="174"/>
      <c r="IP41" s="174"/>
      <c r="IQ41" s="174"/>
      <c r="IR41" s="174"/>
      <c r="IS41" s="174"/>
      <c r="IT41" s="174"/>
      <c r="IU41" s="174"/>
      <c r="IV41" s="174"/>
    </row>
    <row r="42" spans="1:256" s="247" customFormat="1" ht="13.8" hidden="1">
      <c r="A42" s="237"/>
      <c r="B42" s="238"/>
      <c r="C42" s="239"/>
      <c r="D42" s="239"/>
      <c r="E42" s="239"/>
      <c r="F42" s="239"/>
      <c r="G42" s="239"/>
      <c r="H42" s="239"/>
      <c r="I42" s="239"/>
      <c r="J42" s="240"/>
      <c r="K42" s="241"/>
      <c r="L42" s="242"/>
      <c r="M42" s="201"/>
      <c r="N42" s="243"/>
      <c r="O42" s="244"/>
      <c r="P42" s="241"/>
      <c r="Q42" s="241"/>
      <c r="R42" s="241"/>
      <c r="S42" s="241"/>
      <c r="T42" s="241"/>
      <c r="U42" s="241"/>
      <c r="V42" s="241"/>
      <c r="W42" s="243"/>
      <c r="X42" s="243"/>
      <c r="Y42" s="243"/>
      <c r="Z42" s="243"/>
      <c r="AA42" s="243"/>
      <c r="AB42" s="243"/>
      <c r="AC42" s="243"/>
      <c r="AD42" s="243"/>
      <c r="AE42" s="243"/>
      <c r="AF42" s="243"/>
      <c r="AG42" s="245"/>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5"/>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6"/>
      <c r="EE42" s="246"/>
      <c r="EF42" s="246"/>
      <c r="EG42" s="246"/>
      <c r="EH42" s="246"/>
      <c r="EI42" s="246"/>
      <c r="EJ42" s="246"/>
      <c r="EK42" s="246"/>
      <c r="EL42" s="246"/>
      <c r="EM42" s="246"/>
      <c r="EN42" s="246"/>
      <c r="EO42" s="246"/>
      <c r="EP42" s="246"/>
      <c r="EQ42" s="246"/>
      <c r="ER42" s="245"/>
      <c r="ES42" s="246"/>
      <c r="ET42" s="245"/>
      <c r="EU42" s="245"/>
      <c r="EV42" s="245"/>
      <c r="EW42" s="245"/>
      <c r="EX42" s="245"/>
      <c r="EY42" s="245"/>
      <c r="EZ42" s="245"/>
      <c r="FA42" s="245"/>
      <c r="FB42" s="245"/>
      <c r="FC42" s="246"/>
      <c r="FD42" s="245"/>
      <c r="FE42" s="245"/>
      <c r="FF42" s="246"/>
      <c r="FG42" s="246"/>
      <c r="FH42" s="246"/>
      <c r="FI42" s="246"/>
      <c r="FJ42" s="246"/>
      <c r="FK42" s="246"/>
      <c r="FL42" s="241"/>
      <c r="FM42" s="241"/>
      <c r="FN42" s="241"/>
      <c r="FO42" s="246"/>
      <c r="FP42" s="246"/>
      <c r="FQ42" s="241"/>
      <c r="FR42" s="246"/>
      <c r="FS42" s="246"/>
      <c r="FT42" s="246"/>
      <c r="FU42" s="246"/>
      <c r="FV42" s="246"/>
      <c r="FW42" s="245"/>
      <c r="FX42" s="246"/>
      <c r="FY42" s="246"/>
      <c r="FZ42" s="246"/>
      <c r="GA42" s="246"/>
      <c r="GB42" s="246"/>
      <c r="GC42" s="245"/>
      <c r="GD42" s="245"/>
      <c r="GE42" s="246"/>
      <c r="GF42" s="241"/>
      <c r="GG42" s="246"/>
      <c r="GH42" s="246"/>
      <c r="GI42" s="246"/>
      <c r="GJ42" s="246"/>
      <c r="GK42" s="246"/>
      <c r="GL42" s="246"/>
      <c r="GM42" s="243"/>
      <c r="GN42" s="246"/>
      <c r="GO42" s="246"/>
      <c r="GP42" s="246"/>
      <c r="GQ42" s="246"/>
      <c r="GR42" s="246"/>
      <c r="GS42" s="246"/>
      <c r="GT42" s="246"/>
      <c r="GU42" s="157" t="s">
        <v>3883</v>
      </c>
      <c r="GV42" s="174"/>
      <c r="GW42" s="174"/>
      <c r="GX42" s="174"/>
      <c r="GY42" s="174"/>
      <c r="GZ42" s="174"/>
      <c r="HA42" s="174"/>
      <c r="HB42" s="174"/>
      <c r="HC42" s="174"/>
      <c r="HD42" s="174"/>
      <c r="HE42" s="174"/>
      <c r="HF42" s="174"/>
      <c r="HG42" s="174"/>
      <c r="HH42" s="174"/>
      <c r="HI42" s="174"/>
      <c r="HJ42" s="174"/>
      <c r="HK42" s="174"/>
      <c r="HL42" s="174"/>
      <c r="HM42" s="174"/>
      <c r="HN42" s="174"/>
      <c r="HO42" s="174"/>
      <c r="HP42" s="174"/>
      <c r="HQ42" s="174"/>
      <c r="HR42" s="174"/>
      <c r="HS42" s="174"/>
      <c r="HT42" s="174"/>
      <c r="HU42" s="174"/>
      <c r="HV42" s="174"/>
      <c r="HW42" s="174"/>
      <c r="HX42" s="174"/>
      <c r="HY42" s="174"/>
      <c r="HZ42" s="174"/>
      <c r="IA42" s="174"/>
      <c r="IB42" s="174"/>
      <c r="IC42" s="174"/>
      <c r="ID42" s="174"/>
      <c r="IE42" s="174"/>
      <c r="IF42" s="174"/>
      <c r="IG42" s="174"/>
      <c r="IH42" s="174"/>
      <c r="II42" s="174"/>
      <c r="IJ42" s="174"/>
      <c r="IK42" s="174"/>
      <c r="IL42" s="174"/>
      <c r="IM42" s="174"/>
      <c r="IN42" s="174"/>
      <c r="IO42" s="174"/>
      <c r="IP42" s="174"/>
      <c r="IQ42" s="174"/>
      <c r="IR42" s="174"/>
      <c r="IS42" s="174"/>
      <c r="IT42" s="174"/>
      <c r="IU42" s="174"/>
      <c r="IV42" s="174"/>
    </row>
    <row r="43" spans="1:256" s="247" customFormat="1" ht="13.8" hidden="1">
      <c r="A43" s="237"/>
      <c r="B43" s="238"/>
      <c r="C43" s="239"/>
      <c r="D43" s="239"/>
      <c r="E43" s="239"/>
      <c r="F43" s="239"/>
      <c r="G43" s="239"/>
      <c r="H43" s="239"/>
      <c r="I43" s="239"/>
      <c r="J43" s="240"/>
      <c r="K43" s="241"/>
      <c r="L43" s="242"/>
      <c r="M43" s="201"/>
      <c r="N43" s="243"/>
      <c r="O43" s="244"/>
      <c r="P43" s="241"/>
      <c r="Q43" s="241"/>
      <c r="R43" s="241"/>
      <c r="S43" s="241"/>
      <c r="T43" s="241"/>
      <c r="U43" s="241"/>
      <c r="V43" s="241"/>
      <c r="W43" s="243"/>
      <c r="X43" s="243"/>
      <c r="Y43" s="243"/>
      <c r="Z43" s="243"/>
      <c r="AA43" s="243"/>
      <c r="AB43" s="243"/>
      <c r="AC43" s="243"/>
      <c r="AD43" s="243"/>
      <c r="AE43" s="243"/>
      <c r="AF43" s="243"/>
      <c r="AG43" s="245"/>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5"/>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6"/>
      <c r="EE43" s="246"/>
      <c r="EF43" s="246"/>
      <c r="EG43" s="246"/>
      <c r="EH43" s="246"/>
      <c r="EI43" s="246"/>
      <c r="EJ43" s="246"/>
      <c r="EK43" s="246"/>
      <c r="EL43" s="246"/>
      <c r="EM43" s="246"/>
      <c r="EN43" s="246"/>
      <c r="EO43" s="246"/>
      <c r="EP43" s="246"/>
      <c r="EQ43" s="246"/>
      <c r="ER43" s="245"/>
      <c r="ES43" s="246"/>
      <c r="ET43" s="245"/>
      <c r="EU43" s="245"/>
      <c r="EV43" s="245"/>
      <c r="EW43" s="245"/>
      <c r="EX43" s="245"/>
      <c r="EY43" s="245"/>
      <c r="EZ43" s="245"/>
      <c r="FA43" s="245"/>
      <c r="FB43" s="245"/>
      <c r="FC43" s="246"/>
      <c r="FD43" s="245"/>
      <c r="FE43" s="245"/>
      <c r="FF43" s="246"/>
      <c r="FG43" s="246"/>
      <c r="FH43" s="246"/>
      <c r="FI43" s="246"/>
      <c r="FJ43" s="246"/>
      <c r="FK43" s="246"/>
      <c r="FL43" s="241"/>
      <c r="FM43" s="241"/>
      <c r="FN43" s="241"/>
      <c r="FO43" s="246"/>
      <c r="FP43" s="246"/>
      <c r="FQ43" s="241"/>
      <c r="FR43" s="246"/>
      <c r="FS43" s="246"/>
      <c r="FT43" s="246"/>
      <c r="FU43" s="246"/>
      <c r="FV43" s="246"/>
      <c r="FW43" s="245"/>
      <c r="FX43" s="246"/>
      <c r="FY43" s="246"/>
      <c r="FZ43" s="246"/>
      <c r="GA43" s="246"/>
      <c r="GB43" s="246"/>
      <c r="GC43" s="245"/>
      <c r="GD43" s="245"/>
      <c r="GE43" s="246"/>
      <c r="GF43" s="241"/>
      <c r="GG43" s="246"/>
      <c r="GH43" s="246"/>
      <c r="GI43" s="246"/>
      <c r="GJ43" s="246"/>
      <c r="GK43" s="246"/>
      <c r="GL43" s="246"/>
      <c r="GM43" s="243"/>
      <c r="GN43" s="246"/>
      <c r="GO43" s="246"/>
      <c r="GP43" s="246"/>
      <c r="GQ43" s="246"/>
      <c r="GR43" s="246"/>
      <c r="GS43" s="246"/>
      <c r="GT43" s="246"/>
      <c r="GU43" s="157" t="s">
        <v>3883</v>
      </c>
      <c r="GV43" s="174"/>
      <c r="GW43" s="174"/>
      <c r="GX43" s="174"/>
      <c r="GY43" s="174"/>
      <c r="GZ43" s="174"/>
      <c r="HA43" s="174"/>
      <c r="HB43" s="174"/>
      <c r="HC43" s="174"/>
      <c r="HD43" s="174"/>
      <c r="HE43" s="174"/>
      <c r="HF43" s="174"/>
      <c r="HG43" s="174"/>
      <c r="HH43" s="174"/>
      <c r="HI43" s="174"/>
      <c r="HJ43" s="174"/>
      <c r="HK43" s="174"/>
      <c r="HL43" s="174"/>
      <c r="HM43" s="174"/>
      <c r="HN43" s="174"/>
      <c r="HO43" s="174"/>
      <c r="HP43" s="174"/>
      <c r="HQ43" s="174"/>
      <c r="HR43" s="174"/>
      <c r="HS43" s="174"/>
      <c r="HT43" s="174"/>
      <c r="HU43" s="174"/>
      <c r="HV43" s="174"/>
      <c r="HW43" s="174"/>
      <c r="HX43" s="174"/>
      <c r="HY43" s="174"/>
      <c r="HZ43" s="174"/>
      <c r="IA43" s="174"/>
      <c r="IB43" s="174"/>
      <c r="IC43" s="174"/>
      <c r="ID43" s="174"/>
      <c r="IE43" s="174"/>
      <c r="IF43" s="174"/>
      <c r="IG43" s="174"/>
      <c r="IH43" s="174"/>
      <c r="II43" s="174"/>
      <c r="IJ43" s="174"/>
      <c r="IK43" s="174"/>
      <c r="IL43" s="174"/>
      <c r="IM43" s="174"/>
      <c r="IN43" s="174"/>
      <c r="IO43" s="174"/>
      <c r="IP43" s="174"/>
      <c r="IQ43" s="174"/>
      <c r="IR43" s="174"/>
      <c r="IS43" s="174"/>
      <c r="IT43" s="174"/>
      <c r="IU43" s="174"/>
      <c r="IV43" s="174"/>
    </row>
    <row r="44" spans="1:256" s="247" customFormat="1" ht="13.8" hidden="1">
      <c r="A44" s="237"/>
      <c r="B44" s="238"/>
      <c r="C44" s="239"/>
      <c r="D44" s="239"/>
      <c r="E44" s="239"/>
      <c r="F44" s="239"/>
      <c r="G44" s="239"/>
      <c r="H44" s="239"/>
      <c r="I44" s="239"/>
      <c r="J44" s="240"/>
      <c r="K44" s="241"/>
      <c r="L44" s="242"/>
      <c r="M44" s="201"/>
      <c r="N44" s="243"/>
      <c r="O44" s="244"/>
      <c r="P44" s="241"/>
      <c r="Q44" s="241"/>
      <c r="R44" s="241"/>
      <c r="S44" s="241"/>
      <c r="T44" s="241"/>
      <c r="U44" s="241"/>
      <c r="V44" s="241"/>
      <c r="W44" s="243"/>
      <c r="X44" s="243"/>
      <c r="Y44" s="243"/>
      <c r="Z44" s="243"/>
      <c r="AA44" s="243"/>
      <c r="AB44" s="243"/>
      <c r="AC44" s="243"/>
      <c r="AD44" s="243"/>
      <c r="AE44" s="243"/>
      <c r="AF44" s="243"/>
      <c r="AG44" s="245"/>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5"/>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6"/>
      <c r="EE44" s="246"/>
      <c r="EF44" s="246"/>
      <c r="EG44" s="246"/>
      <c r="EH44" s="246"/>
      <c r="EI44" s="246"/>
      <c r="EJ44" s="246"/>
      <c r="EK44" s="246"/>
      <c r="EL44" s="246"/>
      <c r="EM44" s="246"/>
      <c r="EN44" s="246"/>
      <c r="EO44" s="246"/>
      <c r="EP44" s="246"/>
      <c r="EQ44" s="246"/>
      <c r="ER44" s="245"/>
      <c r="ES44" s="246"/>
      <c r="ET44" s="245"/>
      <c r="EU44" s="245"/>
      <c r="EV44" s="245"/>
      <c r="EW44" s="245"/>
      <c r="EX44" s="245"/>
      <c r="EY44" s="245"/>
      <c r="EZ44" s="245"/>
      <c r="FA44" s="245"/>
      <c r="FB44" s="245"/>
      <c r="FC44" s="246"/>
      <c r="FD44" s="245"/>
      <c r="FE44" s="245"/>
      <c r="FF44" s="246"/>
      <c r="FG44" s="246"/>
      <c r="FH44" s="246"/>
      <c r="FI44" s="246"/>
      <c r="FJ44" s="246"/>
      <c r="FK44" s="246"/>
      <c r="FL44" s="241"/>
      <c r="FM44" s="241"/>
      <c r="FN44" s="241"/>
      <c r="FO44" s="246"/>
      <c r="FP44" s="246"/>
      <c r="FQ44" s="241"/>
      <c r="FR44" s="246"/>
      <c r="FS44" s="246"/>
      <c r="FT44" s="246"/>
      <c r="FU44" s="246"/>
      <c r="FV44" s="246"/>
      <c r="FW44" s="245"/>
      <c r="FX44" s="246"/>
      <c r="FY44" s="246"/>
      <c r="FZ44" s="246"/>
      <c r="GA44" s="246"/>
      <c r="GB44" s="246"/>
      <c r="GC44" s="245"/>
      <c r="GD44" s="245"/>
      <c r="GE44" s="246"/>
      <c r="GF44" s="241"/>
      <c r="GG44" s="246"/>
      <c r="GH44" s="246"/>
      <c r="GI44" s="246"/>
      <c r="GJ44" s="246"/>
      <c r="GK44" s="246"/>
      <c r="GL44" s="246"/>
      <c r="GM44" s="243"/>
      <c r="GN44" s="246"/>
      <c r="GO44" s="246"/>
      <c r="GP44" s="246"/>
      <c r="GQ44" s="246"/>
      <c r="GR44" s="246"/>
      <c r="GS44" s="246"/>
      <c r="GT44" s="246"/>
      <c r="GU44" s="157" t="s">
        <v>3883</v>
      </c>
      <c r="GV44" s="174"/>
      <c r="GW44" s="174"/>
      <c r="GX44" s="174"/>
      <c r="GY44" s="174"/>
      <c r="GZ44" s="174"/>
      <c r="HA44" s="174"/>
      <c r="HB44" s="174"/>
      <c r="HC44" s="174"/>
      <c r="HD44" s="174"/>
      <c r="HE44" s="174"/>
      <c r="HF44" s="174"/>
      <c r="HG44" s="174"/>
      <c r="HH44" s="174"/>
      <c r="HI44" s="174"/>
      <c r="HJ44" s="174"/>
      <c r="HK44" s="174"/>
      <c r="HL44" s="174"/>
      <c r="HM44" s="174"/>
      <c r="HN44" s="174"/>
      <c r="HO44" s="174"/>
      <c r="HP44" s="174"/>
      <c r="HQ44" s="174"/>
      <c r="HR44" s="174"/>
      <c r="HS44" s="174"/>
      <c r="HT44" s="174"/>
      <c r="HU44" s="174"/>
      <c r="HV44" s="174"/>
      <c r="HW44" s="174"/>
      <c r="HX44" s="174"/>
      <c r="HY44" s="174"/>
      <c r="HZ44" s="174"/>
      <c r="IA44" s="174"/>
      <c r="IB44" s="174"/>
      <c r="IC44" s="174"/>
      <c r="ID44" s="174"/>
      <c r="IE44" s="174"/>
      <c r="IF44" s="174"/>
      <c r="IG44" s="174"/>
      <c r="IH44" s="174"/>
      <c r="II44" s="174"/>
      <c r="IJ44" s="174"/>
      <c r="IK44" s="174"/>
      <c r="IL44" s="174"/>
      <c r="IM44" s="174"/>
      <c r="IN44" s="174"/>
      <c r="IO44" s="174"/>
      <c r="IP44" s="174"/>
      <c r="IQ44" s="174"/>
      <c r="IR44" s="174"/>
      <c r="IS44" s="174"/>
      <c r="IT44" s="174"/>
      <c r="IU44" s="174"/>
      <c r="IV44" s="174"/>
    </row>
    <row r="45" spans="1:256" ht="13.8" hidden="1">
      <c r="A45" s="248"/>
      <c r="B45" s="249"/>
      <c r="C45" s="197"/>
      <c r="D45" s="197"/>
      <c r="E45" s="197"/>
      <c r="F45" s="197"/>
      <c r="G45" s="197"/>
      <c r="H45" s="197"/>
      <c r="I45" s="197"/>
      <c r="J45" s="198"/>
      <c r="K45" s="199"/>
      <c r="L45" s="200"/>
      <c r="M45" s="201"/>
      <c r="N45" s="202"/>
      <c r="O45" s="250"/>
      <c r="P45" s="204"/>
      <c r="Q45" s="204"/>
      <c r="R45" s="204"/>
      <c r="S45" s="204"/>
      <c r="T45" s="204"/>
      <c r="U45" s="204"/>
      <c r="V45" s="204"/>
      <c r="W45" s="202"/>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2"/>
      <c r="BC45" s="202"/>
      <c r="BD45" s="202"/>
      <c r="BE45" s="202"/>
      <c r="BF45" s="202"/>
      <c r="BG45" s="202"/>
      <c r="BH45" s="202"/>
      <c r="BI45" s="202"/>
      <c r="BJ45" s="202"/>
      <c r="BK45" s="202"/>
      <c r="BL45" s="202"/>
      <c r="BM45" s="202"/>
      <c r="BN45" s="202"/>
      <c r="BO45" s="202"/>
      <c r="BP45" s="202"/>
      <c r="BQ45" s="205"/>
      <c r="BR45" s="205"/>
      <c r="BS45" s="205"/>
      <c r="BT45" s="205"/>
      <c r="BU45" s="205"/>
      <c r="BV45" s="205"/>
      <c r="BW45" s="205"/>
      <c r="BX45" s="205"/>
      <c r="BY45" s="205"/>
      <c r="BZ45" s="205"/>
      <c r="CA45" s="205"/>
      <c r="CB45" s="205"/>
      <c r="CC45" s="202"/>
      <c r="CD45" s="202"/>
      <c r="CE45" s="202"/>
      <c r="CF45" s="202"/>
      <c r="CG45" s="202"/>
      <c r="CH45" s="202"/>
      <c r="CI45" s="206"/>
      <c r="CJ45" s="206"/>
      <c r="CK45" s="206"/>
      <c r="CL45" s="206"/>
      <c r="CM45" s="206"/>
      <c r="CN45" s="206"/>
      <c r="CO45" s="206"/>
      <c r="CP45" s="206"/>
      <c r="CQ45" s="206"/>
      <c r="CR45" s="206"/>
      <c r="CS45" s="206"/>
      <c r="CT45" s="206"/>
      <c r="CU45" s="206"/>
      <c r="CV45" s="206"/>
      <c r="CW45" s="206"/>
      <c r="CX45" s="206"/>
      <c r="CY45" s="206"/>
      <c r="CZ45" s="206"/>
      <c r="DA45" s="206"/>
      <c r="DB45" s="206"/>
      <c r="DC45" s="206"/>
      <c r="DD45" s="206"/>
      <c r="DE45" s="206"/>
      <c r="DF45" s="202"/>
      <c r="DG45" s="202"/>
      <c r="DH45" s="251"/>
      <c r="DI45" s="202"/>
      <c r="DJ45" s="207"/>
      <c r="DK45" s="207"/>
      <c r="DL45" s="207"/>
      <c r="DM45" s="207"/>
      <c r="DN45" s="207"/>
      <c r="DO45" s="207"/>
      <c r="DP45" s="202"/>
      <c r="DQ45" s="202"/>
      <c r="DR45" s="202"/>
      <c r="DS45" s="202"/>
      <c r="DT45" s="202"/>
      <c r="DU45" s="202"/>
      <c r="DV45" s="202"/>
      <c r="DW45" s="202"/>
      <c r="DX45" s="202"/>
      <c r="DY45" s="202"/>
      <c r="DZ45" s="202"/>
      <c r="EA45" s="202"/>
      <c r="EB45" s="202"/>
      <c r="EC45" s="202"/>
      <c r="ED45" s="208"/>
      <c r="EE45" s="208"/>
      <c r="EF45" s="208"/>
      <c r="EG45" s="208"/>
      <c r="EH45" s="208"/>
      <c r="EI45" s="208"/>
      <c r="EJ45" s="208"/>
      <c r="EK45" s="208"/>
      <c r="EL45" s="208"/>
      <c r="EM45" s="208"/>
      <c r="EN45" s="208"/>
      <c r="EO45" s="208"/>
      <c r="EP45" s="208"/>
      <c r="EQ45" s="208"/>
      <c r="ER45" s="252"/>
      <c r="ES45" s="208"/>
      <c r="ET45" s="252"/>
      <c r="EU45" s="252"/>
      <c r="EV45" s="252"/>
      <c r="EW45" s="252"/>
      <c r="EX45" s="252"/>
      <c r="EY45" s="252"/>
      <c r="EZ45" s="252"/>
      <c r="FA45" s="252"/>
      <c r="FB45" s="251"/>
      <c r="FC45" s="208"/>
      <c r="FD45" s="252"/>
      <c r="FE45" s="252"/>
      <c r="FF45" s="208"/>
      <c r="FG45" s="208"/>
      <c r="FH45" s="208"/>
      <c r="FI45" s="208"/>
      <c r="FJ45" s="208"/>
      <c r="FK45" s="208"/>
      <c r="FL45" s="199"/>
      <c r="FM45" s="199"/>
      <c r="FN45" s="199"/>
      <c r="FO45" s="208"/>
      <c r="FP45" s="208"/>
      <c r="FQ45" s="199"/>
      <c r="FR45" s="208"/>
      <c r="FS45" s="208"/>
      <c r="FT45" s="208"/>
      <c r="FU45" s="208"/>
      <c r="FV45" s="208"/>
      <c r="FW45" s="252"/>
      <c r="FX45" s="208"/>
      <c r="FY45" s="208"/>
      <c r="FZ45" s="208"/>
      <c r="GA45" s="208"/>
      <c r="GB45" s="208"/>
      <c r="GC45" s="251"/>
      <c r="GD45" s="251"/>
      <c r="GE45" s="208"/>
      <c r="GF45" s="199"/>
      <c r="GG45" s="208"/>
      <c r="GH45" s="208"/>
      <c r="GI45" s="208"/>
      <c r="GJ45" s="208"/>
      <c r="GK45" s="208"/>
      <c r="GL45" s="208"/>
      <c r="GM45" s="208"/>
      <c r="GN45" s="208"/>
      <c r="GO45" s="208"/>
      <c r="GP45" s="208"/>
      <c r="GQ45" s="208"/>
      <c r="GR45" s="208"/>
      <c r="GS45" s="208"/>
      <c r="GT45" s="208"/>
      <c r="GU45" s="155" t="s">
        <v>3882</v>
      </c>
      <c r="GV45" s="174"/>
      <c r="GW45" s="174"/>
      <c r="GX45" s="174"/>
      <c r="GY45" s="174"/>
      <c r="GZ45" s="174"/>
      <c r="HA45" s="174"/>
      <c r="HB45" s="174"/>
      <c r="HC45" s="174"/>
      <c r="HD45" s="174"/>
      <c r="HE45" s="174"/>
      <c r="HF45" s="174"/>
      <c r="HG45" s="174"/>
      <c r="HH45" s="174"/>
      <c r="HI45" s="174"/>
      <c r="HJ45" s="174"/>
      <c r="HK45" s="174"/>
      <c r="HL45" s="174"/>
      <c r="HM45" s="174"/>
      <c r="HN45" s="174"/>
      <c r="HO45" s="174"/>
      <c r="HP45" s="174"/>
      <c r="HQ45" s="174"/>
      <c r="HR45" s="174"/>
      <c r="HS45" s="174"/>
      <c r="HT45" s="174"/>
      <c r="HU45" s="174"/>
      <c r="HV45" s="174"/>
      <c r="HW45" s="174"/>
      <c r="HX45" s="174"/>
      <c r="HY45" s="174"/>
      <c r="HZ45" s="174"/>
      <c r="IA45" s="174"/>
      <c r="IB45" s="174"/>
      <c r="IC45" s="174"/>
      <c r="ID45" s="174"/>
      <c r="IE45" s="174"/>
      <c r="IF45" s="174"/>
      <c r="IG45" s="174"/>
      <c r="IH45" s="174"/>
      <c r="II45" s="174"/>
      <c r="IJ45" s="174"/>
      <c r="IK45" s="174"/>
      <c r="IL45" s="174"/>
      <c r="IM45" s="174"/>
      <c r="IN45" s="174"/>
      <c r="IO45" s="174"/>
      <c r="IP45" s="174"/>
      <c r="IQ45" s="174"/>
      <c r="IR45" s="174"/>
      <c r="IS45" s="174"/>
      <c r="IT45" s="174"/>
      <c r="IU45" s="174"/>
      <c r="IV45" s="174"/>
    </row>
    <row r="46" spans="1:256" s="247" customFormat="1" ht="13.8" hidden="1">
      <c r="A46" s="237"/>
      <c r="B46" s="238"/>
      <c r="C46" s="239"/>
      <c r="D46" s="239"/>
      <c r="E46" s="239"/>
      <c r="F46" s="239"/>
      <c r="G46" s="239"/>
      <c r="H46" s="239"/>
      <c r="I46" s="239"/>
      <c r="J46" s="240"/>
      <c r="K46" s="241"/>
      <c r="L46" s="242"/>
      <c r="M46" s="201"/>
      <c r="N46" s="243"/>
      <c r="O46" s="244"/>
      <c r="P46" s="241"/>
      <c r="Q46" s="241"/>
      <c r="R46" s="241"/>
      <c r="S46" s="241"/>
      <c r="T46" s="241"/>
      <c r="U46" s="241"/>
      <c r="V46" s="241"/>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5"/>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6"/>
      <c r="EE46" s="246"/>
      <c r="EF46" s="246"/>
      <c r="EG46" s="246"/>
      <c r="EH46" s="246"/>
      <c r="EI46" s="246"/>
      <c r="EJ46" s="246"/>
      <c r="EK46" s="246"/>
      <c r="EL46" s="246"/>
      <c r="EM46" s="246"/>
      <c r="EN46" s="246"/>
      <c r="EO46" s="246"/>
      <c r="EP46" s="246"/>
      <c r="EQ46" s="246"/>
      <c r="ER46" s="245"/>
      <c r="ES46" s="246"/>
      <c r="ET46" s="245"/>
      <c r="EU46" s="245"/>
      <c r="EV46" s="245"/>
      <c r="EW46" s="245"/>
      <c r="EX46" s="245"/>
      <c r="EY46" s="245"/>
      <c r="EZ46" s="245"/>
      <c r="FA46" s="245"/>
      <c r="FB46" s="245"/>
      <c r="FC46" s="246"/>
      <c r="FD46" s="245"/>
      <c r="FE46" s="245"/>
      <c r="FF46" s="246"/>
      <c r="FG46" s="246"/>
      <c r="FH46" s="246"/>
      <c r="FI46" s="246"/>
      <c r="FJ46" s="246"/>
      <c r="FK46" s="246"/>
      <c r="FL46" s="241"/>
      <c r="FM46" s="241"/>
      <c r="FN46" s="241"/>
      <c r="FO46" s="246"/>
      <c r="FP46" s="246"/>
      <c r="FQ46" s="241"/>
      <c r="FR46" s="246"/>
      <c r="FS46" s="246"/>
      <c r="FT46" s="246"/>
      <c r="FU46" s="246"/>
      <c r="FV46" s="246"/>
      <c r="FW46" s="245"/>
      <c r="FX46" s="246"/>
      <c r="FY46" s="246"/>
      <c r="FZ46" s="246"/>
      <c r="GA46" s="246"/>
      <c r="GB46" s="246"/>
      <c r="GC46" s="245"/>
      <c r="GD46" s="245"/>
      <c r="GE46" s="246"/>
      <c r="GF46" s="241"/>
      <c r="GG46" s="246"/>
      <c r="GH46" s="246"/>
      <c r="GI46" s="246"/>
      <c r="GJ46" s="246"/>
      <c r="GK46" s="246"/>
      <c r="GL46" s="246"/>
      <c r="GM46" s="246"/>
      <c r="GN46" s="246"/>
      <c r="GO46" s="246"/>
      <c r="GP46" s="246"/>
      <c r="GQ46" s="246"/>
      <c r="GR46" s="246"/>
      <c r="GS46" s="246"/>
      <c r="GT46" s="246"/>
      <c r="GU46" s="157" t="s">
        <v>3883</v>
      </c>
      <c r="GV46" s="174"/>
      <c r="GW46" s="174"/>
      <c r="GX46" s="174"/>
      <c r="GY46" s="174"/>
      <c r="GZ46" s="174"/>
      <c r="HA46" s="174"/>
      <c r="HB46" s="174"/>
      <c r="HC46" s="174"/>
      <c r="HD46" s="174"/>
      <c r="HE46" s="174"/>
      <c r="HF46" s="174"/>
      <c r="HG46" s="174"/>
      <c r="HH46" s="174"/>
      <c r="HI46" s="174"/>
      <c r="HJ46" s="174"/>
      <c r="HK46" s="174"/>
      <c r="HL46" s="174"/>
      <c r="HM46" s="174"/>
      <c r="HN46" s="174"/>
      <c r="HO46" s="174"/>
      <c r="HP46" s="174"/>
      <c r="HQ46" s="174"/>
      <c r="HR46" s="174"/>
      <c r="HS46" s="174"/>
      <c r="HT46" s="174"/>
      <c r="HU46" s="174"/>
      <c r="HV46" s="174"/>
      <c r="HW46" s="174"/>
      <c r="HX46" s="174"/>
      <c r="HY46" s="174"/>
      <c r="HZ46" s="174"/>
      <c r="IA46" s="174"/>
      <c r="IB46" s="174"/>
      <c r="IC46" s="174"/>
      <c r="ID46" s="174"/>
      <c r="IE46" s="174"/>
      <c r="IF46" s="174"/>
      <c r="IG46" s="174"/>
      <c r="IH46" s="174"/>
      <c r="II46" s="174"/>
      <c r="IJ46" s="174"/>
      <c r="IK46" s="174"/>
      <c r="IL46" s="174"/>
      <c r="IM46" s="174"/>
      <c r="IN46" s="174"/>
      <c r="IO46" s="174"/>
      <c r="IP46" s="174"/>
      <c r="IQ46" s="174"/>
      <c r="IR46" s="174"/>
      <c r="IS46" s="174"/>
      <c r="IT46" s="174"/>
      <c r="IU46" s="174"/>
      <c r="IV46" s="174"/>
    </row>
    <row r="47" spans="1:256" ht="13.8" hidden="1">
      <c r="A47" s="248"/>
      <c r="B47" s="249"/>
      <c r="C47" s="197"/>
      <c r="D47" s="197"/>
      <c r="E47" s="197"/>
      <c r="F47" s="197"/>
      <c r="G47" s="197"/>
      <c r="H47" s="197"/>
      <c r="I47" s="197"/>
      <c r="J47" s="198"/>
      <c r="K47" s="199"/>
      <c r="L47" s="200"/>
      <c r="M47" s="201"/>
      <c r="N47" s="202"/>
      <c r="O47" s="250"/>
      <c r="P47" s="204"/>
      <c r="Q47" s="204"/>
      <c r="R47" s="204"/>
      <c r="S47" s="204"/>
      <c r="T47" s="204"/>
      <c r="U47" s="204"/>
      <c r="V47" s="204"/>
      <c r="W47" s="202"/>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2"/>
      <c r="BC47" s="202"/>
      <c r="BD47" s="202"/>
      <c r="BE47" s="202"/>
      <c r="BF47" s="202"/>
      <c r="BG47" s="202"/>
      <c r="BH47" s="202"/>
      <c r="BI47" s="202"/>
      <c r="BJ47" s="202"/>
      <c r="BK47" s="202"/>
      <c r="BL47" s="202"/>
      <c r="BM47" s="202"/>
      <c r="BN47" s="202"/>
      <c r="BO47" s="202"/>
      <c r="BP47" s="202"/>
      <c r="BQ47" s="205"/>
      <c r="BR47" s="205"/>
      <c r="BS47" s="205"/>
      <c r="BT47" s="205"/>
      <c r="BU47" s="205"/>
      <c r="BV47" s="205"/>
      <c r="BW47" s="205"/>
      <c r="BX47" s="205"/>
      <c r="BY47" s="205"/>
      <c r="BZ47" s="205"/>
      <c r="CA47" s="205"/>
      <c r="CB47" s="205"/>
      <c r="CC47" s="202"/>
      <c r="CD47" s="202"/>
      <c r="CE47" s="202"/>
      <c r="CF47" s="202"/>
      <c r="CG47" s="202"/>
      <c r="CH47" s="202"/>
      <c r="CI47" s="206"/>
      <c r="CJ47" s="206"/>
      <c r="CK47" s="206"/>
      <c r="CL47" s="206"/>
      <c r="CM47" s="206"/>
      <c r="CN47" s="206"/>
      <c r="CO47" s="206"/>
      <c r="CP47" s="206"/>
      <c r="CQ47" s="206"/>
      <c r="CR47" s="206"/>
      <c r="CS47" s="206"/>
      <c r="CT47" s="206"/>
      <c r="CU47" s="206"/>
      <c r="CV47" s="206"/>
      <c r="CW47" s="206"/>
      <c r="CX47" s="206"/>
      <c r="CY47" s="206"/>
      <c r="CZ47" s="206"/>
      <c r="DA47" s="206"/>
      <c r="DB47" s="206"/>
      <c r="DC47" s="206"/>
      <c r="DD47" s="206"/>
      <c r="DE47" s="206"/>
      <c r="DF47" s="202"/>
      <c r="DG47" s="202"/>
      <c r="DH47" s="251"/>
      <c r="DI47" s="202"/>
      <c r="DJ47" s="207"/>
      <c r="DK47" s="207"/>
      <c r="DL47" s="207"/>
      <c r="DM47" s="207"/>
      <c r="DN47" s="207"/>
      <c r="DO47" s="207"/>
      <c r="DP47" s="207"/>
      <c r="DQ47" s="207"/>
      <c r="DR47" s="207"/>
      <c r="DS47" s="207"/>
      <c r="DT47" s="207"/>
      <c r="DU47" s="207"/>
      <c r="DV47" s="207"/>
      <c r="DW47" s="207"/>
      <c r="DX47" s="207"/>
      <c r="DY47" s="207"/>
      <c r="DZ47" s="207"/>
      <c r="EA47" s="207"/>
      <c r="EB47" s="207"/>
      <c r="EC47" s="207"/>
      <c r="ED47" s="207"/>
      <c r="EE47" s="207"/>
      <c r="EF47" s="208"/>
      <c r="EG47" s="208"/>
      <c r="EH47" s="208"/>
      <c r="EI47" s="208"/>
      <c r="EJ47" s="208"/>
      <c r="EK47" s="208"/>
      <c r="EL47" s="208"/>
      <c r="EM47" s="208"/>
      <c r="EN47" s="208"/>
      <c r="EO47" s="208"/>
      <c r="EP47" s="208"/>
      <c r="EQ47" s="208"/>
      <c r="ER47" s="252"/>
      <c r="ES47" s="208"/>
      <c r="ET47" s="252"/>
      <c r="EU47" s="252"/>
      <c r="EV47" s="252"/>
      <c r="EW47" s="252"/>
      <c r="EX47" s="252"/>
      <c r="EY47" s="252"/>
      <c r="EZ47" s="252"/>
      <c r="FA47" s="252"/>
      <c r="FB47" s="251"/>
      <c r="FC47" s="208"/>
      <c r="FD47" s="252"/>
      <c r="FE47" s="252"/>
      <c r="FF47" s="208"/>
      <c r="FG47" s="208"/>
      <c r="FH47" s="208"/>
      <c r="FI47" s="208"/>
      <c r="FJ47" s="208"/>
      <c r="FK47" s="208"/>
      <c r="FL47" s="199"/>
      <c r="FM47" s="199"/>
      <c r="FN47" s="199"/>
      <c r="FO47" s="208"/>
      <c r="FP47" s="208"/>
      <c r="FQ47" s="199"/>
      <c r="FR47" s="208"/>
      <c r="FS47" s="208"/>
      <c r="FT47" s="208"/>
      <c r="FU47" s="208"/>
      <c r="FV47" s="208"/>
      <c r="FW47" s="252"/>
      <c r="FX47" s="208"/>
      <c r="FY47" s="208"/>
      <c r="FZ47" s="208"/>
      <c r="GA47" s="208"/>
      <c r="GB47" s="208"/>
      <c r="GC47" s="251"/>
      <c r="GD47" s="251"/>
      <c r="GE47" s="208"/>
      <c r="GF47" s="199"/>
      <c r="GG47" s="208"/>
      <c r="GH47" s="208"/>
      <c r="GI47" s="208"/>
      <c r="GJ47" s="208"/>
      <c r="GK47" s="208"/>
      <c r="GL47" s="208"/>
      <c r="GM47" s="208"/>
      <c r="GN47" s="208"/>
      <c r="GO47" s="208"/>
      <c r="GP47" s="208"/>
      <c r="GQ47" s="208"/>
      <c r="GR47" s="208"/>
      <c r="GS47" s="208"/>
      <c r="GT47" s="208"/>
      <c r="GU47" s="155" t="s">
        <v>3882</v>
      </c>
      <c r="GV47" s="174"/>
      <c r="GW47" s="174"/>
      <c r="GX47" s="174"/>
      <c r="GY47" s="174"/>
      <c r="GZ47" s="174"/>
      <c r="HA47" s="174"/>
      <c r="HB47" s="174"/>
      <c r="HC47" s="174"/>
      <c r="HD47" s="174"/>
      <c r="HE47" s="174"/>
      <c r="HF47" s="174"/>
      <c r="HG47" s="174"/>
      <c r="HH47" s="174"/>
      <c r="HI47" s="174"/>
      <c r="HJ47" s="174"/>
      <c r="HK47" s="174"/>
      <c r="HL47" s="174"/>
      <c r="HM47" s="174"/>
      <c r="HN47" s="174"/>
      <c r="HO47" s="174"/>
      <c r="HP47" s="174"/>
      <c r="HQ47" s="174"/>
      <c r="HR47" s="174"/>
      <c r="HS47" s="174"/>
      <c r="HT47" s="174"/>
      <c r="HU47" s="174"/>
      <c r="HV47" s="174"/>
      <c r="HW47" s="174"/>
      <c r="HX47" s="174"/>
      <c r="HY47" s="174"/>
      <c r="HZ47" s="174"/>
      <c r="IA47" s="174"/>
      <c r="IB47" s="174"/>
      <c r="IC47" s="174"/>
      <c r="ID47" s="174"/>
      <c r="IE47" s="174"/>
      <c r="IF47" s="174"/>
      <c r="IG47" s="174"/>
      <c r="IH47" s="174"/>
      <c r="II47" s="174"/>
      <c r="IJ47" s="174"/>
      <c r="IK47" s="174"/>
      <c r="IL47" s="174"/>
      <c r="IM47" s="174"/>
      <c r="IN47" s="174"/>
      <c r="IO47" s="174"/>
      <c r="IP47" s="174"/>
      <c r="IQ47" s="174"/>
      <c r="IR47" s="174"/>
      <c r="IS47" s="174"/>
      <c r="IT47" s="174"/>
      <c r="IU47" s="174"/>
      <c r="IV47" s="174"/>
    </row>
    <row r="48" spans="1:256" ht="13.8" hidden="1">
      <c r="A48" s="248"/>
      <c r="B48" s="249"/>
      <c r="C48" s="197"/>
      <c r="D48" s="197"/>
      <c r="E48" s="197"/>
      <c r="F48" s="197"/>
      <c r="G48" s="197"/>
      <c r="H48" s="197"/>
      <c r="I48" s="197"/>
      <c r="J48" s="198"/>
      <c r="K48" s="199"/>
      <c r="L48" s="200"/>
      <c r="M48" s="201"/>
      <c r="N48" s="202"/>
      <c r="O48" s="250"/>
      <c r="P48" s="204"/>
      <c r="Q48" s="204"/>
      <c r="R48" s="204"/>
      <c r="S48" s="204"/>
      <c r="T48" s="204"/>
      <c r="U48" s="204"/>
      <c r="V48" s="204"/>
      <c r="W48" s="202"/>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2"/>
      <c r="BC48" s="202"/>
      <c r="BD48" s="202"/>
      <c r="BE48" s="202"/>
      <c r="BF48" s="202"/>
      <c r="BG48" s="202"/>
      <c r="BH48" s="202"/>
      <c r="BI48" s="202"/>
      <c r="BJ48" s="202"/>
      <c r="BK48" s="202"/>
      <c r="BL48" s="202"/>
      <c r="BM48" s="202"/>
      <c r="BN48" s="202"/>
      <c r="BO48" s="202"/>
      <c r="BP48" s="202"/>
      <c r="BQ48" s="205"/>
      <c r="BR48" s="205"/>
      <c r="BS48" s="205"/>
      <c r="BT48" s="205"/>
      <c r="BU48" s="205"/>
      <c r="BV48" s="205"/>
      <c r="BW48" s="205"/>
      <c r="BX48" s="205"/>
      <c r="BY48" s="205"/>
      <c r="BZ48" s="205"/>
      <c r="CA48" s="205"/>
      <c r="CB48" s="205"/>
      <c r="CC48" s="202"/>
      <c r="CD48" s="202"/>
      <c r="CE48" s="202"/>
      <c r="CF48" s="202"/>
      <c r="CG48" s="202"/>
      <c r="CH48" s="202"/>
      <c r="CI48" s="206"/>
      <c r="CJ48" s="206"/>
      <c r="CK48" s="206"/>
      <c r="CL48" s="206"/>
      <c r="CM48" s="206"/>
      <c r="CN48" s="206"/>
      <c r="CO48" s="206"/>
      <c r="CP48" s="206"/>
      <c r="CQ48" s="206"/>
      <c r="CR48" s="206"/>
      <c r="CS48" s="206"/>
      <c r="CT48" s="206"/>
      <c r="CU48" s="206"/>
      <c r="CV48" s="206"/>
      <c r="CW48" s="206"/>
      <c r="CX48" s="206"/>
      <c r="CY48" s="206"/>
      <c r="CZ48" s="206"/>
      <c r="DA48" s="206"/>
      <c r="DB48" s="206"/>
      <c r="DC48" s="206"/>
      <c r="DD48" s="206"/>
      <c r="DE48" s="206"/>
      <c r="DF48" s="202"/>
      <c r="DG48" s="202"/>
      <c r="DH48" s="251"/>
      <c r="DI48" s="202"/>
      <c r="DJ48" s="207"/>
      <c r="DK48" s="207"/>
      <c r="DL48" s="207"/>
      <c r="DM48" s="207"/>
      <c r="DN48" s="207"/>
      <c r="DO48" s="207"/>
      <c r="DP48" s="207"/>
      <c r="DQ48" s="207"/>
      <c r="DR48" s="207"/>
      <c r="DS48" s="207"/>
      <c r="DT48" s="207"/>
      <c r="DU48" s="207"/>
      <c r="DV48" s="207"/>
      <c r="DW48" s="207"/>
      <c r="DX48" s="207"/>
      <c r="DY48" s="207"/>
      <c r="DZ48" s="207"/>
      <c r="EA48" s="207"/>
      <c r="EB48" s="207"/>
      <c r="EC48" s="207"/>
      <c r="ED48" s="207"/>
      <c r="EE48" s="207"/>
      <c r="EF48" s="208"/>
      <c r="EG48" s="208"/>
      <c r="EH48" s="208"/>
      <c r="EI48" s="208"/>
      <c r="EJ48" s="208"/>
      <c r="EK48" s="208"/>
      <c r="EL48" s="208"/>
      <c r="EM48" s="208"/>
      <c r="EN48" s="208"/>
      <c r="EO48" s="208"/>
      <c r="EP48" s="208"/>
      <c r="EQ48" s="208"/>
      <c r="ER48" s="252"/>
      <c r="ES48" s="208"/>
      <c r="ET48" s="252"/>
      <c r="EU48" s="252"/>
      <c r="EV48" s="252"/>
      <c r="EW48" s="252"/>
      <c r="EX48" s="252"/>
      <c r="EY48" s="252"/>
      <c r="EZ48" s="252"/>
      <c r="FA48" s="252"/>
      <c r="FB48" s="251"/>
      <c r="FC48" s="208"/>
      <c r="FD48" s="252"/>
      <c r="FE48" s="252"/>
      <c r="FF48" s="208"/>
      <c r="FG48" s="208"/>
      <c r="FH48" s="208"/>
      <c r="FI48" s="208"/>
      <c r="FJ48" s="208"/>
      <c r="FK48" s="208"/>
      <c r="FL48" s="199"/>
      <c r="FM48" s="199"/>
      <c r="FN48" s="199"/>
      <c r="FO48" s="208"/>
      <c r="FP48" s="208"/>
      <c r="FQ48" s="199"/>
      <c r="FR48" s="208"/>
      <c r="FS48" s="208"/>
      <c r="FT48" s="208"/>
      <c r="FU48" s="208"/>
      <c r="FV48" s="208"/>
      <c r="FW48" s="252"/>
      <c r="FX48" s="208"/>
      <c r="FY48" s="208"/>
      <c r="FZ48" s="208"/>
      <c r="GA48" s="208"/>
      <c r="GB48" s="208"/>
      <c r="GC48" s="251"/>
      <c r="GD48" s="251"/>
      <c r="GE48" s="208"/>
      <c r="GF48" s="199"/>
      <c r="GG48" s="208"/>
      <c r="GH48" s="208"/>
      <c r="GI48" s="208"/>
      <c r="GJ48" s="208"/>
      <c r="GK48" s="208"/>
      <c r="GL48" s="208"/>
      <c r="GM48" s="208"/>
      <c r="GN48" s="208"/>
      <c r="GO48" s="208"/>
      <c r="GP48" s="208"/>
      <c r="GQ48" s="208"/>
      <c r="GR48" s="208"/>
      <c r="GS48" s="208"/>
      <c r="GT48" s="208"/>
      <c r="GU48" s="155" t="s">
        <v>3882</v>
      </c>
      <c r="GV48" s="174"/>
      <c r="GW48" s="174"/>
      <c r="GX48" s="174"/>
      <c r="GY48" s="174"/>
      <c r="GZ48" s="174"/>
      <c r="HA48" s="174"/>
      <c r="HB48" s="174"/>
      <c r="HC48" s="174"/>
      <c r="HD48" s="174"/>
      <c r="HE48" s="174"/>
      <c r="HF48" s="174"/>
      <c r="HG48" s="174"/>
      <c r="HH48" s="174"/>
      <c r="HI48" s="174"/>
      <c r="HJ48" s="174"/>
      <c r="HK48" s="174"/>
      <c r="HL48" s="174"/>
      <c r="HM48" s="174"/>
      <c r="HN48" s="174"/>
      <c r="HO48" s="174"/>
      <c r="HP48" s="174"/>
      <c r="HQ48" s="174"/>
      <c r="HR48" s="174"/>
      <c r="HS48" s="174"/>
      <c r="HT48" s="174"/>
      <c r="HU48" s="174"/>
      <c r="HV48" s="174"/>
      <c r="HW48" s="174"/>
      <c r="HX48" s="174"/>
      <c r="HY48" s="174"/>
      <c r="HZ48" s="174"/>
      <c r="IA48" s="174"/>
      <c r="IB48" s="174"/>
      <c r="IC48" s="174"/>
      <c r="ID48" s="174"/>
      <c r="IE48" s="174"/>
      <c r="IF48" s="174"/>
      <c r="IG48" s="174"/>
      <c r="IH48" s="174"/>
      <c r="II48" s="174"/>
      <c r="IJ48" s="174"/>
      <c r="IK48" s="174"/>
      <c r="IL48" s="174"/>
      <c r="IM48" s="174"/>
      <c r="IN48" s="174"/>
      <c r="IO48" s="174"/>
      <c r="IP48" s="174"/>
      <c r="IQ48" s="174"/>
      <c r="IR48" s="174"/>
      <c r="IS48" s="174"/>
      <c r="IT48" s="174"/>
      <c r="IU48" s="174"/>
      <c r="IV48" s="174"/>
    </row>
    <row r="49" spans="1:256" s="247" customFormat="1" ht="13.8" hidden="1">
      <c r="A49" s="237"/>
      <c r="B49" s="238"/>
      <c r="C49" s="239"/>
      <c r="D49" s="239"/>
      <c r="E49" s="239"/>
      <c r="F49" s="239"/>
      <c r="G49" s="239"/>
      <c r="H49" s="239"/>
      <c r="I49" s="239"/>
      <c r="J49" s="240"/>
      <c r="K49" s="241"/>
      <c r="L49" s="242"/>
      <c r="M49" s="201"/>
      <c r="N49" s="243"/>
      <c r="O49" s="244"/>
      <c r="P49" s="241"/>
      <c r="Q49" s="241"/>
      <c r="R49" s="241"/>
      <c r="S49" s="241"/>
      <c r="T49" s="241"/>
      <c r="U49" s="241"/>
      <c r="V49" s="241"/>
      <c r="W49" s="243"/>
      <c r="X49" s="243"/>
      <c r="Y49" s="243"/>
      <c r="Z49" s="243"/>
      <c r="AA49" s="243"/>
      <c r="AB49" s="243"/>
      <c r="AC49" s="243"/>
      <c r="AD49" s="243"/>
      <c r="AE49" s="243"/>
      <c r="AF49" s="243"/>
      <c r="AG49" s="245"/>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5"/>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6"/>
      <c r="EE49" s="246"/>
      <c r="EF49" s="246"/>
      <c r="EG49" s="246"/>
      <c r="EH49" s="246"/>
      <c r="EI49" s="246"/>
      <c r="EJ49" s="246"/>
      <c r="EK49" s="246"/>
      <c r="EL49" s="246"/>
      <c r="EM49" s="246"/>
      <c r="EN49" s="246"/>
      <c r="EO49" s="246"/>
      <c r="EP49" s="246"/>
      <c r="EQ49" s="246"/>
      <c r="ER49" s="245"/>
      <c r="ES49" s="246"/>
      <c r="ET49" s="245"/>
      <c r="EU49" s="245"/>
      <c r="EV49" s="245"/>
      <c r="EW49" s="245"/>
      <c r="EX49" s="245"/>
      <c r="EY49" s="245"/>
      <c r="EZ49" s="245"/>
      <c r="FA49" s="245"/>
      <c r="FB49" s="245"/>
      <c r="FC49" s="246"/>
      <c r="FD49" s="245"/>
      <c r="FE49" s="245"/>
      <c r="FF49" s="246"/>
      <c r="FG49" s="246"/>
      <c r="FH49" s="246"/>
      <c r="FI49" s="246"/>
      <c r="FJ49" s="246"/>
      <c r="FK49" s="246"/>
      <c r="FL49" s="241"/>
      <c r="FM49" s="241"/>
      <c r="FN49" s="241"/>
      <c r="FO49" s="246"/>
      <c r="FP49" s="246"/>
      <c r="FQ49" s="241"/>
      <c r="FR49" s="246"/>
      <c r="FS49" s="246"/>
      <c r="FT49" s="246"/>
      <c r="FU49" s="246"/>
      <c r="FV49" s="246"/>
      <c r="FW49" s="245"/>
      <c r="FX49" s="246"/>
      <c r="FY49" s="246"/>
      <c r="FZ49" s="246"/>
      <c r="GA49" s="246"/>
      <c r="GB49" s="246"/>
      <c r="GC49" s="245"/>
      <c r="GD49" s="245"/>
      <c r="GE49" s="246"/>
      <c r="GF49" s="241"/>
      <c r="GG49" s="246"/>
      <c r="GH49" s="246"/>
      <c r="GI49" s="246"/>
      <c r="GJ49" s="246"/>
      <c r="GK49" s="246"/>
      <c r="GL49" s="246"/>
      <c r="GM49" s="246"/>
      <c r="GN49" s="246"/>
      <c r="GO49" s="246"/>
      <c r="GP49" s="246"/>
      <c r="GQ49" s="246"/>
      <c r="GR49" s="246"/>
      <c r="GS49" s="246"/>
      <c r="GT49" s="246"/>
      <c r="GU49" s="157" t="s">
        <v>3883</v>
      </c>
      <c r="GV49" s="174"/>
      <c r="GW49" s="174"/>
      <c r="GX49" s="174"/>
      <c r="GY49" s="174"/>
      <c r="GZ49" s="174"/>
      <c r="HA49" s="174"/>
      <c r="HB49" s="174"/>
      <c r="HC49" s="174"/>
      <c r="HD49" s="174"/>
      <c r="HE49" s="174"/>
      <c r="HF49" s="174"/>
      <c r="HG49" s="174"/>
      <c r="HH49" s="174"/>
      <c r="HI49" s="174"/>
      <c r="HJ49" s="174"/>
      <c r="HK49" s="174"/>
      <c r="HL49" s="174"/>
      <c r="HM49" s="174"/>
      <c r="HN49" s="174"/>
      <c r="HO49" s="174"/>
      <c r="HP49" s="174"/>
      <c r="HQ49" s="174"/>
      <c r="HR49" s="174"/>
      <c r="HS49" s="174"/>
      <c r="HT49" s="174"/>
      <c r="HU49" s="174"/>
      <c r="HV49" s="174"/>
      <c r="HW49" s="174"/>
      <c r="HX49" s="174"/>
      <c r="HY49" s="174"/>
      <c r="HZ49" s="174"/>
      <c r="IA49" s="174"/>
      <c r="IB49" s="174"/>
      <c r="IC49" s="174"/>
      <c r="ID49" s="174"/>
      <c r="IE49" s="174"/>
      <c r="IF49" s="174"/>
      <c r="IG49" s="174"/>
      <c r="IH49" s="174"/>
      <c r="II49" s="174"/>
      <c r="IJ49" s="174"/>
      <c r="IK49" s="174"/>
      <c r="IL49" s="174"/>
      <c r="IM49" s="174"/>
      <c r="IN49" s="174"/>
      <c r="IO49" s="174"/>
      <c r="IP49" s="174"/>
      <c r="IQ49" s="174"/>
      <c r="IR49" s="174"/>
      <c r="IS49" s="174"/>
      <c r="IT49" s="174"/>
      <c r="IU49" s="174"/>
      <c r="IV49" s="174"/>
    </row>
    <row r="50" spans="1:256" s="247" customFormat="1" ht="13.8" hidden="1">
      <c r="A50" s="237"/>
      <c r="B50" s="238"/>
      <c r="C50" s="239"/>
      <c r="D50" s="239"/>
      <c r="E50" s="239"/>
      <c r="F50" s="239"/>
      <c r="G50" s="239"/>
      <c r="H50" s="239"/>
      <c r="I50" s="239"/>
      <c r="J50" s="240"/>
      <c r="K50" s="241"/>
      <c r="L50" s="242"/>
      <c r="M50" s="201"/>
      <c r="N50" s="243"/>
      <c r="O50" s="244"/>
      <c r="P50" s="241"/>
      <c r="Q50" s="241"/>
      <c r="R50" s="241"/>
      <c r="S50" s="241"/>
      <c r="T50" s="241"/>
      <c r="U50" s="241"/>
      <c r="V50" s="241"/>
      <c r="W50" s="243"/>
      <c r="X50" s="243"/>
      <c r="Y50" s="243"/>
      <c r="Z50" s="243"/>
      <c r="AA50" s="243"/>
      <c r="AB50" s="243"/>
      <c r="AC50" s="243"/>
      <c r="AD50" s="243"/>
      <c r="AE50" s="243"/>
      <c r="AF50" s="243"/>
      <c r="AG50" s="245"/>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5"/>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6"/>
      <c r="EE50" s="246"/>
      <c r="EF50" s="246"/>
      <c r="EG50" s="246"/>
      <c r="EH50" s="246"/>
      <c r="EI50" s="246"/>
      <c r="EJ50" s="246"/>
      <c r="EK50" s="246"/>
      <c r="EL50" s="246"/>
      <c r="EM50" s="246"/>
      <c r="EN50" s="246"/>
      <c r="EO50" s="246"/>
      <c r="EP50" s="246"/>
      <c r="EQ50" s="246"/>
      <c r="ER50" s="245"/>
      <c r="ES50" s="246"/>
      <c r="ET50" s="245"/>
      <c r="EU50" s="245"/>
      <c r="EV50" s="245"/>
      <c r="EW50" s="245"/>
      <c r="EX50" s="245"/>
      <c r="EY50" s="245"/>
      <c r="EZ50" s="245"/>
      <c r="FA50" s="245"/>
      <c r="FB50" s="245"/>
      <c r="FC50" s="246"/>
      <c r="FD50" s="245"/>
      <c r="FE50" s="245"/>
      <c r="FF50" s="246"/>
      <c r="FG50" s="246"/>
      <c r="FH50" s="246"/>
      <c r="FI50" s="246"/>
      <c r="FJ50" s="246"/>
      <c r="FK50" s="246"/>
      <c r="FL50" s="241"/>
      <c r="FM50" s="241"/>
      <c r="FN50" s="241"/>
      <c r="FO50" s="246"/>
      <c r="FP50" s="246"/>
      <c r="FQ50" s="241"/>
      <c r="FR50" s="246"/>
      <c r="FS50" s="246"/>
      <c r="FT50" s="246"/>
      <c r="FU50" s="246"/>
      <c r="FV50" s="246"/>
      <c r="FW50" s="245"/>
      <c r="FX50" s="246"/>
      <c r="FY50" s="246"/>
      <c r="FZ50" s="246"/>
      <c r="GA50" s="246"/>
      <c r="GB50" s="246"/>
      <c r="GC50" s="245"/>
      <c r="GD50" s="245"/>
      <c r="GE50" s="246"/>
      <c r="GF50" s="241"/>
      <c r="GG50" s="246"/>
      <c r="GH50" s="246"/>
      <c r="GI50" s="246"/>
      <c r="GJ50" s="246"/>
      <c r="GK50" s="246"/>
      <c r="GL50" s="246"/>
      <c r="GM50" s="246"/>
      <c r="GN50" s="246"/>
      <c r="GO50" s="246"/>
      <c r="GP50" s="246"/>
      <c r="GQ50" s="246"/>
      <c r="GR50" s="246"/>
      <c r="GS50" s="246"/>
      <c r="GT50" s="246"/>
      <c r="GU50" s="157" t="s">
        <v>3883</v>
      </c>
      <c r="GV50" s="174"/>
      <c r="GW50" s="174"/>
      <c r="GX50" s="174"/>
      <c r="GY50" s="174"/>
      <c r="GZ50" s="174"/>
      <c r="HA50" s="174"/>
      <c r="HB50" s="174"/>
      <c r="HC50" s="174"/>
      <c r="HD50" s="174"/>
      <c r="HE50" s="174"/>
      <c r="HF50" s="174"/>
      <c r="HG50" s="174"/>
      <c r="HH50" s="174"/>
      <c r="HI50" s="174"/>
      <c r="HJ50" s="174"/>
      <c r="HK50" s="174"/>
      <c r="HL50" s="174"/>
      <c r="HM50" s="174"/>
      <c r="HN50" s="174"/>
      <c r="HO50" s="174"/>
      <c r="HP50" s="174"/>
      <c r="HQ50" s="174"/>
      <c r="HR50" s="174"/>
      <c r="HS50" s="174"/>
      <c r="HT50" s="174"/>
      <c r="HU50" s="174"/>
      <c r="HV50" s="174"/>
      <c r="HW50" s="174"/>
      <c r="HX50" s="174"/>
      <c r="HY50" s="174"/>
      <c r="HZ50" s="174"/>
      <c r="IA50" s="174"/>
      <c r="IB50" s="174"/>
      <c r="IC50" s="174"/>
      <c r="ID50" s="174"/>
      <c r="IE50" s="174"/>
      <c r="IF50" s="174"/>
      <c r="IG50" s="174"/>
      <c r="IH50" s="174"/>
      <c r="II50" s="174"/>
      <c r="IJ50" s="174"/>
      <c r="IK50" s="174"/>
      <c r="IL50" s="174"/>
      <c r="IM50" s="174"/>
      <c r="IN50" s="174"/>
      <c r="IO50" s="174"/>
      <c r="IP50" s="174"/>
      <c r="IQ50" s="174"/>
      <c r="IR50" s="174"/>
      <c r="IS50" s="174"/>
      <c r="IT50" s="174"/>
      <c r="IU50" s="174"/>
      <c r="IV50" s="174"/>
    </row>
    <row r="51" spans="1:256" s="247" customFormat="1" ht="13.8" hidden="1">
      <c r="A51" s="237"/>
      <c r="B51" s="238"/>
      <c r="C51" s="239"/>
      <c r="D51" s="239"/>
      <c r="E51" s="239"/>
      <c r="F51" s="239"/>
      <c r="G51" s="239"/>
      <c r="H51" s="239"/>
      <c r="I51" s="239"/>
      <c r="J51" s="240"/>
      <c r="K51" s="241"/>
      <c r="L51" s="242"/>
      <c r="M51" s="201"/>
      <c r="N51" s="243"/>
      <c r="O51" s="244"/>
      <c r="P51" s="241"/>
      <c r="Q51" s="241"/>
      <c r="R51" s="241"/>
      <c r="S51" s="241"/>
      <c r="T51" s="241"/>
      <c r="U51" s="241"/>
      <c r="V51" s="241"/>
      <c r="W51" s="243"/>
      <c r="X51" s="243"/>
      <c r="Y51" s="243"/>
      <c r="Z51" s="243"/>
      <c r="AA51" s="243"/>
      <c r="AB51" s="243"/>
      <c r="AC51" s="243"/>
      <c r="AD51" s="243"/>
      <c r="AE51" s="243"/>
      <c r="AF51" s="243"/>
      <c r="AG51" s="245"/>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6"/>
      <c r="EE51" s="246"/>
      <c r="EF51" s="246"/>
      <c r="EG51" s="246"/>
      <c r="EH51" s="246"/>
      <c r="EI51" s="246"/>
      <c r="EJ51" s="246"/>
      <c r="EK51" s="246"/>
      <c r="EL51" s="246"/>
      <c r="EM51" s="246"/>
      <c r="EN51" s="246"/>
      <c r="EO51" s="246"/>
      <c r="EP51" s="246"/>
      <c r="EQ51" s="246"/>
      <c r="ER51" s="245"/>
      <c r="ES51" s="246"/>
      <c r="ET51" s="245"/>
      <c r="EU51" s="245"/>
      <c r="EV51" s="245"/>
      <c r="EW51" s="245"/>
      <c r="EX51" s="245"/>
      <c r="EY51" s="245"/>
      <c r="EZ51" s="245"/>
      <c r="FA51" s="245"/>
      <c r="FB51" s="246"/>
      <c r="FC51" s="246"/>
      <c r="FD51" s="245"/>
      <c r="FE51" s="245"/>
      <c r="FF51" s="246"/>
      <c r="FG51" s="246"/>
      <c r="FH51" s="246"/>
      <c r="FI51" s="246"/>
      <c r="FJ51" s="246"/>
      <c r="FK51" s="246"/>
      <c r="FL51" s="241"/>
      <c r="FM51" s="241"/>
      <c r="FN51" s="241"/>
      <c r="FO51" s="246"/>
      <c r="FP51" s="246"/>
      <c r="FQ51" s="241"/>
      <c r="FR51" s="246"/>
      <c r="FS51" s="246"/>
      <c r="FT51" s="246"/>
      <c r="FU51" s="246"/>
      <c r="FV51" s="246"/>
      <c r="FW51" s="245"/>
      <c r="FX51" s="246"/>
      <c r="FY51" s="245"/>
      <c r="FZ51" s="246"/>
      <c r="GA51" s="246"/>
      <c r="GB51" s="246"/>
      <c r="GC51" s="246"/>
      <c r="GD51" s="246"/>
      <c r="GE51" s="246"/>
      <c r="GF51" s="241"/>
      <c r="GG51" s="246"/>
      <c r="GH51" s="246"/>
      <c r="GI51" s="246"/>
      <c r="GJ51" s="246"/>
      <c r="GK51" s="246"/>
      <c r="GL51" s="246"/>
      <c r="GM51" s="246"/>
      <c r="GN51" s="246"/>
      <c r="GO51" s="246"/>
      <c r="GP51" s="246"/>
      <c r="GQ51" s="246"/>
      <c r="GR51" s="246"/>
      <c r="GS51" s="246"/>
      <c r="GT51" s="246"/>
      <c r="GU51" s="157" t="s">
        <v>3883</v>
      </c>
      <c r="GV51" s="174"/>
      <c r="GW51" s="174"/>
      <c r="GX51" s="174"/>
      <c r="GY51" s="174"/>
      <c r="GZ51" s="174"/>
      <c r="HA51" s="174"/>
      <c r="HB51" s="174"/>
      <c r="HC51" s="174"/>
      <c r="HD51" s="174"/>
      <c r="HE51" s="174"/>
      <c r="HF51" s="174"/>
      <c r="HG51" s="174"/>
      <c r="HH51" s="174"/>
      <c r="HI51" s="174"/>
      <c r="HJ51" s="174"/>
      <c r="HK51" s="174"/>
      <c r="HL51" s="174"/>
      <c r="HM51" s="174"/>
      <c r="HN51" s="174"/>
      <c r="HO51" s="174"/>
      <c r="HP51" s="174"/>
      <c r="HQ51" s="174"/>
      <c r="HR51" s="174"/>
      <c r="HS51" s="174"/>
      <c r="HT51" s="174"/>
      <c r="HU51" s="174"/>
      <c r="HV51" s="174"/>
      <c r="HW51" s="174"/>
      <c r="HX51" s="174"/>
      <c r="HY51" s="174"/>
      <c r="HZ51" s="174"/>
      <c r="IA51" s="174"/>
      <c r="IB51" s="174"/>
      <c r="IC51" s="174"/>
      <c r="ID51" s="174"/>
      <c r="IE51" s="174"/>
      <c r="IF51" s="174"/>
      <c r="IG51" s="174"/>
      <c r="IH51" s="174"/>
      <c r="II51" s="174"/>
      <c r="IJ51" s="174"/>
      <c r="IK51" s="174"/>
      <c r="IL51" s="174"/>
      <c r="IM51" s="174"/>
      <c r="IN51" s="174"/>
      <c r="IO51" s="174"/>
      <c r="IP51" s="174"/>
      <c r="IQ51" s="174"/>
      <c r="IR51" s="174"/>
      <c r="IS51" s="174"/>
      <c r="IT51" s="174"/>
      <c r="IU51" s="174"/>
      <c r="IV51" s="174"/>
    </row>
    <row r="52" spans="1:256" s="247" customFormat="1" ht="13.8" hidden="1">
      <c r="A52" s="253"/>
      <c r="B52" s="254"/>
      <c r="C52" s="255"/>
      <c r="D52" s="255"/>
      <c r="E52" s="255"/>
      <c r="F52" s="255"/>
      <c r="G52" s="255"/>
      <c r="H52" s="255"/>
      <c r="I52" s="255"/>
      <c r="J52" s="256"/>
      <c r="K52" s="257"/>
      <c r="L52" s="258"/>
      <c r="M52" s="201"/>
      <c r="N52" s="259"/>
      <c r="O52" s="244"/>
      <c r="P52" s="257"/>
      <c r="Q52" s="257"/>
      <c r="R52" s="257"/>
      <c r="S52" s="257"/>
      <c r="T52" s="257"/>
      <c r="U52" s="241"/>
      <c r="V52" s="257"/>
      <c r="W52" s="259"/>
      <c r="X52" s="259"/>
      <c r="Y52" s="259"/>
      <c r="Z52" s="259"/>
      <c r="AA52" s="259"/>
      <c r="AB52" s="259"/>
      <c r="AC52" s="259"/>
      <c r="AD52" s="259"/>
      <c r="AE52" s="259"/>
      <c r="AF52" s="259"/>
      <c r="AG52" s="245"/>
      <c r="AH52" s="259"/>
      <c r="AI52" s="259"/>
      <c r="AJ52" s="259"/>
      <c r="AK52" s="259"/>
      <c r="AL52" s="259"/>
      <c r="AM52" s="259"/>
      <c r="AN52" s="259"/>
      <c r="AO52" s="259"/>
      <c r="AP52" s="259"/>
      <c r="AQ52" s="259"/>
      <c r="AR52" s="259"/>
      <c r="AS52" s="259"/>
      <c r="AT52" s="259"/>
      <c r="AU52" s="259"/>
      <c r="AV52" s="259"/>
      <c r="AW52" s="259"/>
      <c r="AX52" s="259"/>
      <c r="AY52" s="259"/>
      <c r="AZ52" s="259"/>
      <c r="BA52" s="259"/>
      <c r="BB52" s="259"/>
      <c r="BC52" s="259"/>
      <c r="BD52" s="259"/>
      <c r="BE52" s="259"/>
      <c r="BF52" s="259"/>
      <c r="BG52" s="259"/>
      <c r="BH52" s="259"/>
      <c r="BI52" s="259"/>
      <c r="BJ52" s="259"/>
      <c r="BK52" s="259"/>
      <c r="BL52" s="259"/>
      <c r="BM52" s="259"/>
      <c r="BN52" s="259"/>
      <c r="BO52" s="259"/>
      <c r="BP52" s="259"/>
      <c r="BQ52" s="259"/>
      <c r="BR52" s="259"/>
      <c r="BS52" s="259"/>
      <c r="BT52" s="259"/>
      <c r="BU52" s="259"/>
      <c r="BV52" s="259"/>
      <c r="BW52" s="259"/>
      <c r="BX52" s="259"/>
      <c r="BY52" s="259"/>
      <c r="BZ52" s="259"/>
      <c r="CA52" s="259"/>
      <c r="CB52" s="259"/>
      <c r="CC52" s="259"/>
      <c r="CD52" s="259"/>
      <c r="CE52" s="259"/>
      <c r="CF52" s="259"/>
      <c r="CG52" s="259"/>
      <c r="CH52" s="259"/>
      <c r="CI52" s="259"/>
      <c r="CJ52" s="259"/>
      <c r="CK52" s="259"/>
      <c r="CL52" s="259"/>
      <c r="CM52" s="259"/>
      <c r="CN52" s="259"/>
      <c r="CO52" s="259"/>
      <c r="CP52" s="259"/>
      <c r="CQ52" s="259"/>
      <c r="CR52" s="259"/>
      <c r="CS52" s="259"/>
      <c r="CT52" s="259"/>
      <c r="CU52" s="259"/>
      <c r="CV52" s="259"/>
      <c r="CW52" s="259"/>
      <c r="CX52" s="259"/>
      <c r="CY52" s="259"/>
      <c r="CZ52" s="259"/>
      <c r="DA52" s="259"/>
      <c r="DB52" s="259"/>
      <c r="DC52" s="259"/>
      <c r="DD52" s="259"/>
      <c r="DE52" s="259"/>
      <c r="DF52" s="259"/>
      <c r="DG52" s="259"/>
      <c r="DH52" s="259"/>
      <c r="DI52" s="259"/>
      <c r="DJ52" s="259"/>
      <c r="DK52" s="243"/>
      <c r="DL52" s="259"/>
      <c r="DM52" s="259"/>
      <c r="DN52" s="259"/>
      <c r="DO52" s="259"/>
      <c r="DP52" s="259"/>
      <c r="DQ52" s="259"/>
      <c r="DR52" s="259"/>
      <c r="DS52" s="259"/>
      <c r="DT52" s="259"/>
      <c r="DU52" s="259"/>
      <c r="DV52" s="259"/>
      <c r="DW52" s="259"/>
      <c r="DX52" s="259"/>
      <c r="DY52" s="259"/>
      <c r="DZ52" s="259"/>
      <c r="EA52" s="259"/>
      <c r="EB52" s="259"/>
      <c r="EC52" s="259"/>
      <c r="ED52" s="260"/>
      <c r="EE52" s="260"/>
      <c r="EF52" s="260"/>
      <c r="EG52" s="260"/>
      <c r="EH52" s="260"/>
      <c r="EI52" s="260"/>
      <c r="EJ52" s="260"/>
      <c r="EK52" s="260"/>
      <c r="EL52" s="260"/>
      <c r="EM52" s="260"/>
      <c r="EN52" s="260"/>
      <c r="EO52" s="260"/>
      <c r="EP52" s="260"/>
      <c r="EQ52" s="260"/>
      <c r="ER52" s="245"/>
      <c r="ES52" s="260"/>
      <c r="ET52" s="245"/>
      <c r="EU52" s="245"/>
      <c r="EV52" s="245"/>
      <c r="EW52" s="245"/>
      <c r="EX52" s="245"/>
      <c r="EY52" s="245"/>
      <c r="EZ52" s="245"/>
      <c r="FA52" s="245"/>
      <c r="FB52" s="260"/>
      <c r="FC52" s="246"/>
      <c r="FD52" s="245"/>
      <c r="FE52" s="245"/>
      <c r="FF52" s="246"/>
      <c r="FG52" s="260"/>
      <c r="FH52" s="260"/>
      <c r="FI52" s="260"/>
      <c r="FJ52" s="260"/>
      <c r="FK52" s="260"/>
      <c r="FL52" s="257"/>
      <c r="FM52" s="257"/>
      <c r="FN52" s="257"/>
      <c r="FO52" s="260"/>
      <c r="FP52" s="260"/>
      <c r="FQ52" s="257"/>
      <c r="FR52" s="260"/>
      <c r="FS52" s="260"/>
      <c r="FT52" s="260"/>
      <c r="FU52" s="260"/>
      <c r="FV52" s="260"/>
      <c r="FW52" s="245"/>
      <c r="FX52" s="260"/>
      <c r="FY52" s="260"/>
      <c r="FZ52" s="246"/>
      <c r="GA52" s="246"/>
      <c r="GB52" s="246"/>
      <c r="GC52" s="260"/>
      <c r="GD52" s="260"/>
      <c r="GE52" s="260"/>
      <c r="GF52" s="257"/>
      <c r="GG52" s="260"/>
      <c r="GH52" s="260"/>
      <c r="GI52" s="260"/>
      <c r="GJ52" s="260"/>
      <c r="GK52" s="260"/>
      <c r="GL52" s="260"/>
      <c r="GM52" s="260"/>
      <c r="GN52" s="260"/>
      <c r="GO52" s="260"/>
      <c r="GP52" s="260"/>
      <c r="GQ52" s="260"/>
      <c r="GR52" s="260"/>
      <c r="GS52" s="260"/>
      <c r="GT52" s="260"/>
      <c r="GU52" s="157" t="s">
        <v>3883</v>
      </c>
      <c r="GV52" s="174"/>
      <c r="GW52" s="174"/>
      <c r="GX52" s="174"/>
      <c r="GY52" s="174"/>
      <c r="GZ52" s="174"/>
      <c r="HA52" s="174"/>
      <c r="HB52" s="174"/>
      <c r="HC52" s="174"/>
      <c r="HD52" s="174"/>
      <c r="HE52" s="174"/>
      <c r="HF52" s="174"/>
      <c r="HG52" s="174"/>
      <c r="HH52" s="174"/>
      <c r="HI52" s="174"/>
      <c r="HJ52" s="174"/>
      <c r="HK52" s="174"/>
      <c r="HL52" s="174"/>
      <c r="HM52" s="174"/>
      <c r="HN52" s="174"/>
      <c r="HO52" s="174"/>
      <c r="HP52" s="174"/>
      <c r="HQ52" s="174"/>
      <c r="HR52" s="174"/>
      <c r="HS52" s="174"/>
      <c r="HT52" s="174"/>
      <c r="HU52" s="174"/>
      <c r="HV52" s="174"/>
      <c r="HW52" s="174"/>
      <c r="HX52" s="174"/>
      <c r="HY52" s="174"/>
      <c r="HZ52" s="174"/>
      <c r="IA52" s="174"/>
      <c r="IB52" s="174"/>
      <c r="IC52" s="174"/>
      <c r="ID52" s="174"/>
      <c r="IE52" s="174"/>
      <c r="IF52" s="174"/>
      <c r="IG52" s="174"/>
      <c r="IH52" s="174"/>
      <c r="II52" s="174"/>
      <c r="IJ52" s="174"/>
      <c r="IK52" s="174"/>
      <c r="IL52" s="174"/>
      <c r="IM52" s="174"/>
      <c r="IN52" s="174"/>
      <c r="IO52" s="174"/>
      <c r="IP52" s="174"/>
      <c r="IQ52" s="174"/>
      <c r="IR52" s="174"/>
      <c r="IS52" s="174"/>
      <c r="IT52" s="174"/>
      <c r="IU52" s="174"/>
      <c r="IV52" s="174"/>
    </row>
    <row r="53" spans="1:256" s="233" customFormat="1" ht="13.8" hidden="1">
      <c r="A53" s="156"/>
      <c r="B53" s="229">
        <f>SUM(B31:B52)</f>
        <v>0</v>
      </c>
      <c r="C53" s="261"/>
      <c r="D53" s="261">
        <f>D52</f>
        <v>0</v>
      </c>
      <c r="E53" s="261"/>
      <c r="F53" s="261"/>
      <c r="G53" s="261"/>
      <c r="H53" s="261"/>
      <c r="I53" s="261"/>
      <c r="J53" s="262"/>
      <c r="K53" s="263"/>
      <c r="L53" s="264"/>
      <c r="M53" s="265"/>
      <c r="N53" s="228">
        <f>SUM(N31:N52)</f>
        <v>0</v>
      </c>
      <c r="O53" s="228">
        <f t="shared" ref="O53:CC53" si="6">SUM(O31:O52)</f>
        <v>0</v>
      </c>
      <c r="P53" s="228">
        <f>SUM(P31:P52)</f>
        <v>0</v>
      </c>
      <c r="Q53" s="228">
        <f>SUM(Q31:Q52)</f>
        <v>0</v>
      </c>
      <c r="R53" s="228">
        <f t="shared" si="6"/>
        <v>0</v>
      </c>
      <c r="S53" s="228">
        <f t="shared" si="6"/>
        <v>0</v>
      </c>
      <c r="T53" s="228">
        <f t="shared" si="6"/>
        <v>0</v>
      </c>
      <c r="U53" s="228">
        <f t="shared" si="6"/>
        <v>0</v>
      </c>
      <c r="V53" s="228">
        <f t="shared" si="6"/>
        <v>0</v>
      </c>
      <c r="W53" s="228">
        <f t="shared" si="6"/>
        <v>0</v>
      </c>
      <c r="X53" s="228">
        <f t="shared" si="6"/>
        <v>0</v>
      </c>
      <c r="Y53" s="228"/>
      <c r="Z53" s="228">
        <f t="shared" si="6"/>
        <v>0</v>
      </c>
      <c r="AA53" s="228">
        <f t="shared" si="6"/>
        <v>0</v>
      </c>
      <c r="AB53" s="228">
        <f t="shared" si="6"/>
        <v>0</v>
      </c>
      <c r="AC53" s="228">
        <f t="shared" si="6"/>
        <v>0</v>
      </c>
      <c r="AD53" s="228">
        <f t="shared" si="6"/>
        <v>0</v>
      </c>
      <c r="AE53" s="228">
        <f t="shared" si="6"/>
        <v>0</v>
      </c>
      <c r="AF53" s="228">
        <f t="shared" si="6"/>
        <v>0</v>
      </c>
      <c r="AG53" s="228">
        <f t="shared" si="6"/>
        <v>0</v>
      </c>
      <c r="AH53" s="228">
        <f t="shared" si="6"/>
        <v>0</v>
      </c>
      <c r="AI53" s="228">
        <f t="shared" si="6"/>
        <v>0</v>
      </c>
      <c r="AJ53" s="228">
        <f t="shared" si="6"/>
        <v>0</v>
      </c>
      <c r="AK53" s="228">
        <f t="shared" si="6"/>
        <v>0</v>
      </c>
      <c r="AL53" s="228">
        <f t="shared" si="6"/>
        <v>0</v>
      </c>
      <c r="AM53" s="228">
        <f t="shared" si="6"/>
        <v>0</v>
      </c>
      <c r="AN53" s="228">
        <f t="shared" si="6"/>
        <v>0</v>
      </c>
      <c r="AO53" s="228">
        <f t="shared" si="6"/>
        <v>0</v>
      </c>
      <c r="AP53" s="228">
        <f t="shared" si="6"/>
        <v>0</v>
      </c>
      <c r="AQ53" s="228">
        <f t="shared" si="6"/>
        <v>0</v>
      </c>
      <c r="AR53" s="228">
        <f t="shared" si="6"/>
        <v>0</v>
      </c>
      <c r="AS53" s="228">
        <f t="shared" si="6"/>
        <v>0</v>
      </c>
      <c r="AT53" s="228">
        <f t="shared" si="6"/>
        <v>0</v>
      </c>
      <c r="AU53" s="228">
        <f t="shared" si="6"/>
        <v>0</v>
      </c>
      <c r="AV53" s="228">
        <f t="shared" si="6"/>
        <v>0</v>
      </c>
      <c r="AW53" s="228">
        <f t="shared" si="6"/>
        <v>0</v>
      </c>
      <c r="AX53" s="228">
        <f t="shared" si="6"/>
        <v>0</v>
      </c>
      <c r="AY53" s="228">
        <f t="shared" si="6"/>
        <v>0</v>
      </c>
      <c r="AZ53" s="228">
        <f t="shared" si="6"/>
        <v>0</v>
      </c>
      <c r="BA53" s="228">
        <f t="shared" si="6"/>
        <v>0</v>
      </c>
      <c r="BB53" s="228">
        <f t="shared" si="6"/>
        <v>0</v>
      </c>
      <c r="BC53" s="228">
        <f t="shared" si="6"/>
        <v>0</v>
      </c>
      <c r="BD53" s="228">
        <f t="shared" si="6"/>
        <v>0</v>
      </c>
      <c r="BE53" s="228">
        <f t="shared" si="6"/>
        <v>0</v>
      </c>
      <c r="BF53" s="228">
        <f t="shared" si="6"/>
        <v>0</v>
      </c>
      <c r="BG53" s="228">
        <f t="shared" si="6"/>
        <v>0</v>
      </c>
      <c r="BH53" s="228">
        <f t="shared" si="6"/>
        <v>0</v>
      </c>
      <c r="BI53" s="228">
        <f t="shared" si="6"/>
        <v>0</v>
      </c>
      <c r="BJ53" s="228">
        <f t="shared" si="6"/>
        <v>0</v>
      </c>
      <c r="BK53" s="228">
        <f t="shared" si="6"/>
        <v>0</v>
      </c>
      <c r="BL53" s="228">
        <f t="shared" si="6"/>
        <v>0</v>
      </c>
      <c r="BM53" s="228">
        <f t="shared" si="6"/>
        <v>0</v>
      </c>
      <c r="BN53" s="228">
        <f t="shared" si="6"/>
        <v>0</v>
      </c>
      <c r="BO53" s="228">
        <f t="shared" si="6"/>
        <v>0</v>
      </c>
      <c r="BP53" s="228">
        <f t="shared" si="6"/>
        <v>0</v>
      </c>
      <c r="BQ53" s="228">
        <f t="shared" si="6"/>
        <v>0</v>
      </c>
      <c r="BR53" s="228">
        <f t="shared" si="6"/>
        <v>0</v>
      </c>
      <c r="BS53" s="228">
        <f t="shared" si="6"/>
        <v>0</v>
      </c>
      <c r="BT53" s="228">
        <f t="shared" si="6"/>
        <v>0</v>
      </c>
      <c r="BU53" s="228">
        <f t="shared" si="6"/>
        <v>0</v>
      </c>
      <c r="BV53" s="228">
        <f t="shared" si="6"/>
        <v>0</v>
      </c>
      <c r="BW53" s="228">
        <f t="shared" si="6"/>
        <v>0</v>
      </c>
      <c r="BX53" s="228">
        <f t="shared" si="6"/>
        <v>0</v>
      </c>
      <c r="BY53" s="228">
        <f t="shared" si="6"/>
        <v>0</v>
      </c>
      <c r="BZ53" s="228">
        <f t="shared" si="6"/>
        <v>0</v>
      </c>
      <c r="CA53" s="228">
        <f t="shared" si="6"/>
        <v>0</v>
      </c>
      <c r="CB53" s="228">
        <f t="shared" si="6"/>
        <v>0</v>
      </c>
      <c r="CC53" s="228">
        <f t="shared" si="6"/>
        <v>0</v>
      </c>
      <c r="CD53" s="228">
        <f t="shared" ref="CD53:EQ53" si="7">SUM(CD31:CD52)</f>
        <v>0</v>
      </c>
      <c r="CE53" s="228">
        <f t="shared" si="7"/>
        <v>0</v>
      </c>
      <c r="CF53" s="228">
        <f t="shared" si="7"/>
        <v>0</v>
      </c>
      <c r="CG53" s="228">
        <f t="shared" si="7"/>
        <v>0</v>
      </c>
      <c r="CH53" s="228">
        <f t="shared" si="7"/>
        <v>0</v>
      </c>
      <c r="CI53" s="228">
        <f t="shared" si="7"/>
        <v>0</v>
      </c>
      <c r="CJ53" s="228">
        <f t="shared" si="7"/>
        <v>0</v>
      </c>
      <c r="CK53" s="228">
        <f t="shared" si="7"/>
        <v>0</v>
      </c>
      <c r="CL53" s="228">
        <f t="shared" si="7"/>
        <v>0</v>
      </c>
      <c r="CM53" s="228">
        <f t="shared" si="7"/>
        <v>0</v>
      </c>
      <c r="CN53" s="228">
        <f t="shared" si="7"/>
        <v>0</v>
      </c>
      <c r="CO53" s="228">
        <f t="shared" si="7"/>
        <v>0</v>
      </c>
      <c r="CP53" s="228">
        <f t="shared" si="7"/>
        <v>0</v>
      </c>
      <c r="CQ53" s="228">
        <f t="shared" si="7"/>
        <v>0</v>
      </c>
      <c r="CR53" s="228">
        <f t="shared" si="7"/>
        <v>0</v>
      </c>
      <c r="CS53" s="228">
        <f t="shared" si="7"/>
        <v>0</v>
      </c>
      <c r="CT53" s="228">
        <f t="shared" si="7"/>
        <v>0</v>
      </c>
      <c r="CU53" s="228">
        <f t="shared" si="7"/>
        <v>0</v>
      </c>
      <c r="CV53" s="228">
        <f t="shared" si="7"/>
        <v>0</v>
      </c>
      <c r="CW53" s="228">
        <f t="shared" si="7"/>
        <v>0</v>
      </c>
      <c r="CX53" s="228">
        <f t="shared" si="7"/>
        <v>0</v>
      </c>
      <c r="CY53" s="228">
        <f t="shared" si="7"/>
        <v>0</v>
      </c>
      <c r="CZ53" s="228">
        <f t="shared" si="7"/>
        <v>0</v>
      </c>
      <c r="DA53" s="228">
        <f t="shared" si="7"/>
        <v>0</v>
      </c>
      <c r="DB53" s="228">
        <f t="shared" si="7"/>
        <v>0</v>
      </c>
      <c r="DC53" s="228">
        <f t="shared" si="7"/>
        <v>0</v>
      </c>
      <c r="DD53" s="228">
        <f t="shared" si="7"/>
        <v>0</v>
      </c>
      <c r="DE53" s="228">
        <f t="shared" si="7"/>
        <v>0</v>
      </c>
      <c r="DF53" s="228">
        <f t="shared" si="7"/>
        <v>0</v>
      </c>
      <c r="DG53" s="228">
        <f t="shared" si="7"/>
        <v>0</v>
      </c>
      <c r="DH53" s="228">
        <f t="shared" si="7"/>
        <v>0</v>
      </c>
      <c r="DI53" s="228">
        <f t="shared" si="7"/>
        <v>0</v>
      </c>
      <c r="DJ53" s="228">
        <f t="shared" si="7"/>
        <v>0</v>
      </c>
      <c r="DK53" s="228">
        <f t="shared" si="7"/>
        <v>0</v>
      </c>
      <c r="DL53" s="228">
        <f t="shared" si="7"/>
        <v>0</v>
      </c>
      <c r="DM53" s="228">
        <f t="shared" si="7"/>
        <v>0</v>
      </c>
      <c r="DN53" s="228">
        <f t="shared" si="7"/>
        <v>0</v>
      </c>
      <c r="DO53" s="228">
        <f t="shared" si="7"/>
        <v>0</v>
      </c>
      <c r="DP53" s="228">
        <f>SUM(DP31:DP52)</f>
        <v>0</v>
      </c>
      <c r="DQ53" s="228">
        <f>SUM(DQ31:DQ52)</f>
        <v>0</v>
      </c>
      <c r="DR53" s="228">
        <f t="shared" si="7"/>
        <v>0</v>
      </c>
      <c r="DS53" s="228">
        <f t="shared" si="7"/>
        <v>0</v>
      </c>
      <c r="DT53" s="228">
        <f t="shared" si="7"/>
        <v>0</v>
      </c>
      <c r="DU53" s="228">
        <f t="shared" si="7"/>
        <v>0</v>
      </c>
      <c r="DV53" s="228">
        <f t="shared" si="7"/>
        <v>0</v>
      </c>
      <c r="DW53" s="228">
        <f t="shared" si="7"/>
        <v>0</v>
      </c>
      <c r="DX53" s="228">
        <f t="shared" si="7"/>
        <v>0</v>
      </c>
      <c r="DY53" s="228">
        <f t="shared" si="7"/>
        <v>0</v>
      </c>
      <c r="DZ53" s="228">
        <f t="shared" si="7"/>
        <v>0</v>
      </c>
      <c r="EA53" s="228">
        <f t="shared" si="7"/>
        <v>0</v>
      </c>
      <c r="EB53" s="228">
        <f t="shared" si="7"/>
        <v>0</v>
      </c>
      <c r="EC53" s="228">
        <f t="shared" si="7"/>
        <v>0</v>
      </c>
      <c r="ED53" s="228">
        <f t="shared" si="7"/>
        <v>0</v>
      </c>
      <c r="EE53" s="228">
        <f t="shared" si="7"/>
        <v>0</v>
      </c>
      <c r="EF53" s="228">
        <f t="shared" si="7"/>
        <v>0</v>
      </c>
      <c r="EG53" s="228">
        <f t="shared" si="7"/>
        <v>0</v>
      </c>
      <c r="EH53" s="228">
        <f t="shared" si="7"/>
        <v>0</v>
      </c>
      <c r="EI53" s="228">
        <f t="shared" si="7"/>
        <v>0</v>
      </c>
      <c r="EJ53" s="228">
        <f t="shared" si="7"/>
        <v>0</v>
      </c>
      <c r="EK53" s="228">
        <f t="shared" si="7"/>
        <v>0</v>
      </c>
      <c r="EL53" s="228">
        <f t="shared" si="7"/>
        <v>0</v>
      </c>
      <c r="EM53" s="228">
        <f t="shared" si="7"/>
        <v>0</v>
      </c>
      <c r="EN53" s="228">
        <f t="shared" si="7"/>
        <v>0</v>
      </c>
      <c r="EO53" s="228">
        <f t="shared" si="7"/>
        <v>0</v>
      </c>
      <c r="EP53" s="228">
        <f t="shared" si="7"/>
        <v>0</v>
      </c>
      <c r="EQ53" s="228">
        <f t="shared" si="7"/>
        <v>0</v>
      </c>
      <c r="ER53" s="228">
        <f t="shared" ref="ER53:GT53" si="8">SUM(ER31:ER52)</f>
        <v>0</v>
      </c>
      <c r="ES53" s="228">
        <f t="shared" si="8"/>
        <v>0</v>
      </c>
      <c r="ET53" s="228">
        <f t="shared" si="8"/>
        <v>0</v>
      </c>
      <c r="EU53" s="228">
        <f t="shared" si="8"/>
        <v>0</v>
      </c>
      <c r="EV53" s="228">
        <f t="shared" si="8"/>
        <v>0</v>
      </c>
      <c r="EW53" s="228">
        <f t="shared" si="8"/>
        <v>0</v>
      </c>
      <c r="EX53" s="228">
        <f t="shared" ref="EX53:FC53" si="9">SUM(EX31:EX52)</f>
        <v>0</v>
      </c>
      <c r="EY53" s="228">
        <f t="shared" si="9"/>
        <v>0</v>
      </c>
      <c r="EZ53" s="228">
        <f t="shared" si="9"/>
        <v>0</v>
      </c>
      <c r="FA53" s="228">
        <f t="shared" si="9"/>
        <v>0</v>
      </c>
      <c r="FB53" s="228">
        <f t="shared" si="9"/>
        <v>0</v>
      </c>
      <c r="FC53" s="228">
        <f t="shared" si="9"/>
        <v>0</v>
      </c>
      <c r="FD53" s="228">
        <f t="shared" si="8"/>
        <v>0</v>
      </c>
      <c r="FE53" s="228">
        <f t="shared" si="8"/>
        <v>0</v>
      </c>
      <c r="FF53" s="228">
        <f t="shared" si="8"/>
        <v>0</v>
      </c>
      <c r="FG53" s="228">
        <f t="shared" si="8"/>
        <v>0</v>
      </c>
      <c r="FH53" s="228">
        <f t="shared" si="8"/>
        <v>0</v>
      </c>
      <c r="FI53" s="228">
        <f t="shared" si="8"/>
        <v>0</v>
      </c>
      <c r="FJ53" s="228">
        <f t="shared" si="8"/>
        <v>0</v>
      </c>
      <c r="FK53" s="228">
        <f t="shared" si="8"/>
        <v>0</v>
      </c>
      <c r="FL53" s="228">
        <f t="shared" ref="FL53:FT53" si="10">SUM(FL31:FL52)</f>
        <v>0</v>
      </c>
      <c r="FM53" s="228">
        <f t="shared" si="10"/>
        <v>0</v>
      </c>
      <c r="FN53" s="228">
        <f t="shared" si="10"/>
        <v>0</v>
      </c>
      <c r="FO53" s="228">
        <f t="shared" si="10"/>
        <v>0</v>
      </c>
      <c r="FP53" s="228">
        <f t="shared" si="10"/>
        <v>0</v>
      </c>
      <c r="FQ53" s="228">
        <f t="shared" si="10"/>
        <v>0</v>
      </c>
      <c r="FR53" s="228">
        <f t="shared" si="10"/>
        <v>0</v>
      </c>
      <c r="FS53" s="228">
        <f t="shared" si="10"/>
        <v>0</v>
      </c>
      <c r="FT53" s="228">
        <f t="shared" si="10"/>
        <v>0</v>
      </c>
      <c r="FU53" s="228">
        <f t="shared" si="8"/>
        <v>0</v>
      </c>
      <c r="FV53" s="228">
        <f t="shared" si="8"/>
        <v>0</v>
      </c>
      <c r="FW53" s="228">
        <f t="shared" si="8"/>
        <v>0</v>
      </c>
      <c r="FX53" s="228">
        <f t="shared" si="8"/>
        <v>0</v>
      </c>
      <c r="FY53" s="228">
        <f t="shared" si="8"/>
        <v>0</v>
      </c>
      <c r="FZ53" s="228">
        <f t="shared" si="8"/>
        <v>0</v>
      </c>
      <c r="GA53" s="228">
        <f t="shared" si="8"/>
        <v>0</v>
      </c>
      <c r="GB53" s="228">
        <f t="shared" si="8"/>
        <v>0</v>
      </c>
      <c r="GC53" s="228">
        <f t="shared" si="8"/>
        <v>0</v>
      </c>
      <c r="GD53" s="228">
        <f t="shared" si="8"/>
        <v>0</v>
      </c>
      <c r="GE53" s="228">
        <f t="shared" si="8"/>
        <v>0</v>
      </c>
      <c r="GF53" s="228">
        <f t="shared" si="8"/>
        <v>0</v>
      </c>
      <c r="GG53" s="228">
        <f t="shared" si="8"/>
        <v>0</v>
      </c>
      <c r="GH53" s="228">
        <f t="shared" si="8"/>
        <v>0</v>
      </c>
      <c r="GI53" s="228">
        <f t="shared" si="8"/>
        <v>0</v>
      </c>
      <c r="GJ53" s="228">
        <f t="shared" si="8"/>
        <v>0</v>
      </c>
      <c r="GK53" s="228">
        <f t="shared" si="8"/>
        <v>0</v>
      </c>
      <c r="GL53" s="228">
        <f t="shared" si="8"/>
        <v>0</v>
      </c>
      <c r="GM53" s="228">
        <f t="shared" si="8"/>
        <v>0</v>
      </c>
      <c r="GN53" s="228">
        <f t="shared" si="8"/>
        <v>0</v>
      </c>
      <c r="GO53" s="228">
        <f t="shared" si="8"/>
        <v>0</v>
      </c>
      <c r="GP53" s="228">
        <f t="shared" si="8"/>
        <v>0</v>
      </c>
      <c r="GQ53" s="228">
        <f t="shared" si="8"/>
        <v>0</v>
      </c>
      <c r="GR53" s="229">
        <f t="shared" si="8"/>
        <v>0</v>
      </c>
      <c r="GS53" s="229">
        <f t="shared" si="8"/>
        <v>0</v>
      </c>
      <c r="GT53" s="229">
        <f t="shared" si="8"/>
        <v>0</v>
      </c>
      <c r="GU53" s="232"/>
      <c r="GV53" s="174"/>
      <c r="GW53" s="174"/>
      <c r="GX53" s="174"/>
      <c r="GY53" s="174"/>
      <c r="GZ53" s="174"/>
      <c r="HA53" s="174"/>
      <c r="HB53" s="174"/>
      <c r="HC53" s="174"/>
      <c r="HD53" s="174"/>
      <c r="HE53" s="174"/>
      <c r="HF53" s="174"/>
      <c r="HG53" s="174"/>
      <c r="HH53" s="174"/>
      <c r="HI53" s="174"/>
      <c r="HJ53" s="174"/>
      <c r="HK53" s="174"/>
      <c r="HL53" s="174"/>
      <c r="HM53" s="174"/>
      <c r="HN53" s="174"/>
      <c r="HO53" s="174"/>
      <c r="HP53" s="174"/>
      <c r="HQ53" s="174"/>
      <c r="HR53" s="174"/>
      <c r="HS53" s="174"/>
      <c r="HT53" s="174"/>
      <c r="HU53" s="174"/>
      <c r="HV53" s="174"/>
      <c r="HW53" s="174"/>
      <c r="HX53" s="174"/>
      <c r="HY53" s="174"/>
      <c r="HZ53" s="174"/>
      <c r="IA53" s="174"/>
      <c r="IB53" s="174"/>
      <c r="IC53" s="174"/>
      <c r="ID53" s="174"/>
      <c r="IE53" s="174"/>
      <c r="IF53" s="174"/>
      <c r="IG53" s="174"/>
      <c r="IH53" s="174"/>
      <c r="II53" s="174"/>
      <c r="IJ53" s="174"/>
      <c r="IK53" s="174"/>
      <c r="IL53" s="174"/>
      <c r="IM53" s="174"/>
      <c r="IN53" s="174"/>
      <c r="IO53" s="174"/>
      <c r="IP53" s="174"/>
      <c r="IQ53" s="174"/>
      <c r="IR53" s="174"/>
      <c r="IS53" s="174"/>
      <c r="IT53" s="174"/>
      <c r="IU53" s="174"/>
      <c r="IV53" s="174"/>
    </row>
    <row r="54" spans="1:256" ht="13.8" hidden="1">
      <c r="A54" s="154"/>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c r="AK54" s="184"/>
      <c r="AL54" s="184"/>
      <c r="AM54" s="184"/>
      <c r="AN54" s="184"/>
      <c r="AO54" s="184"/>
      <c r="AP54" s="184"/>
      <c r="AQ54" s="184"/>
      <c r="AR54" s="184"/>
      <c r="AS54" s="184"/>
      <c r="AT54" s="184"/>
      <c r="AU54" s="184"/>
      <c r="AV54" s="184"/>
      <c r="AW54" s="184"/>
      <c r="AX54" s="184"/>
      <c r="AY54" s="184"/>
      <c r="AZ54" s="184"/>
      <c r="BA54" s="184"/>
      <c r="BB54" s="184"/>
      <c r="BC54" s="184"/>
      <c r="BD54" s="184"/>
      <c r="BE54" s="184"/>
      <c r="BF54" s="184"/>
      <c r="BG54" s="184"/>
      <c r="BH54" s="184"/>
      <c r="BI54" s="184"/>
      <c r="BJ54" s="184"/>
      <c r="BK54" s="184"/>
      <c r="BL54" s="184"/>
      <c r="BM54" s="184"/>
      <c r="BN54" s="184"/>
      <c r="BO54" s="184"/>
      <c r="BP54" s="184"/>
      <c r="BQ54" s="184"/>
      <c r="BR54" s="184"/>
      <c r="BS54" s="184"/>
      <c r="BT54" s="184"/>
      <c r="BU54" s="184"/>
      <c r="BV54" s="184"/>
      <c r="BW54" s="184"/>
      <c r="BX54" s="184"/>
      <c r="BY54" s="184"/>
      <c r="BZ54" s="184"/>
      <c r="CA54" s="184"/>
      <c r="CB54" s="184"/>
      <c r="CC54" s="184"/>
      <c r="CD54" s="184"/>
      <c r="CE54" s="184"/>
      <c r="CF54" s="184"/>
      <c r="CG54" s="184"/>
      <c r="CH54" s="184"/>
      <c r="CI54" s="184"/>
      <c r="CJ54" s="184"/>
      <c r="CK54" s="184"/>
      <c r="CL54" s="184"/>
      <c r="CM54" s="184"/>
      <c r="CN54" s="184"/>
      <c r="CO54" s="184"/>
      <c r="CP54" s="184"/>
      <c r="CQ54" s="184"/>
      <c r="CR54" s="184"/>
      <c r="CS54" s="184"/>
      <c r="CT54" s="184"/>
      <c r="CU54" s="184"/>
      <c r="CV54" s="184"/>
      <c r="CW54" s="184"/>
      <c r="CX54" s="184"/>
      <c r="CY54" s="184"/>
      <c r="CZ54" s="184"/>
      <c r="DA54" s="184"/>
      <c r="DB54" s="184"/>
      <c r="DC54" s="184"/>
      <c r="DD54" s="184"/>
      <c r="DE54" s="184"/>
      <c r="DF54" s="184"/>
      <c r="DG54" s="184"/>
      <c r="DH54" s="184"/>
      <c r="DI54" s="184"/>
      <c r="DJ54" s="184"/>
      <c r="DK54" s="184"/>
      <c r="DL54" s="184"/>
      <c r="DM54" s="184"/>
      <c r="DN54" s="184"/>
      <c r="DO54" s="184"/>
      <c r="DP54" s="184"/>
      <c r="DQ54" s="184"/>
      <c r="DR54" s="184"/>
      <c r="DS54" s="184"/>
      <c r="DT54" s="184"/>
      <c r="DU54" s="184"/>
      <c r="DV54" s="184"/>
      <c r="DW54" s="184"/>
      <c r="DX54" s="184"/>
      <c r="DY54" s="184"/>
      <c r="DZ54" s="184"/>
      <c r="EA54" s="184"/>
      <c r="EB54" s="184"/>
      <c r="EC54" s="184"/>
      <c r="ED54" s="184"/>
      <c r="EE54" s="184"/>
      <c r="EF54" s="184"/>
      <c r="EG54" s="184"/>
      <c r="EH54" s="184"/>
      <c r="EI54" s="184"/>
      <c r="EJ54" s="184"/>
      <c r="EK54" s="184"/>
      <c r="EL54" s="184"/>
      <c r="EM54" s="184"/>
      <c r="EN54" s="184"/>
      <c r="EO54" s="184"/>
      <c r="EP54" s="184"/>
      <c r="EQ54" s="184"/>
      <c r="ER54" s="184"/>
      <c r="ES54" s="184"/>
      <c r="ET54" s="184"/>
      <c r="EU54" s="184"/>
      <c r="EV54" s="184"/>
      <c r="EW54" s="184"/>
      <c r="EX54" s="184"/>
      <c r="EY54" s="184"/>
      <c r="EZ54" s="184"/>
      <c r="FA54" s="184"/>
      <c r="FB54" s="184"/>
      <c r="FC54" s="184"/>
      <c r="FD54" s="184"/>
      <c r="FE54" s="184"/>
      <c r="FF54" s="184"/>
      <c r="FG54" s="184"/>
      <c r="FH54" s="184"/>
      <c r="FI54" s="184"/>
      <c r="FJ54" s="184"/>
      <c r="FK54" s="184"/>
      <c r="FL54" s="184"/>
      <c r="FM54" s="184"/>
      <c r="FN54" s="184"/>
      <c r="FO54" s="184"/>
      <c r="FP54" s="184"/>
      <c r="FQ54" s="184"/>
      <c r="FR54" s="184"/>
      <c r="FS54" s="184"/>
      <c r="FT54" s="184"/>
      <c r="FU54" s="184"/>
      <c r="FV54" s="184"/>
      <c r="FW54" s="184"/>
      <c r="FX54" s="184"/>
      <c r="FY54" s="184"/>
      <c r="FZ54" s="184"/>
      <c r="GA54" s="184"/>
      <c r="GB54" s="184"/>
      <c r="GC54" s="184"/>
      <c r="GD54" s="184"/>
      <c r="GE54" s="184"/>
      <c r="GF54" s="184"/>
      <c r="GG54" s="184"/>
      <c r="GH54" s="184"/>
      <c r="GI54" s="184"/>
      <c r="GJ54" s="184"/>
      <c r="GK54" s="184"/>
      <c r="GL54" s="184"/>
      <c r="GM54" s="184"/>
      <c r="GN54" s="184"/>
      <c r="GO54" s="184"/>
      <c r="GP54" s="184"/>
      <c r="GQ54" s="184"/>
      <c r="GR54" s="184"/>
      <c r="GS54" s="184"/>
      <c r="GT54" s="184"/>
      <c r="GU54" s="185"/>
      <c r="GV54" s="174"/>
      <c r="GW54" s="174"/>
      <c r="GX54" s="174"/>
      <c r="GY54" s="174"/>
      <c r="GZ54" s="174"/>
      <c r="HA54" s="174"/>
      <c r="HB54" s="174"/>
      <c r="HC54" s="174"/>
      <c r="HD54" s="174"/>
      <c r="HE54" s="174"/>
      <c r="HF54" s="174"/>
      <c r="HG54" s="174"/>
      <c r="HH54" s="174"/>
      <c r="HI54" s="174"/>
      <c r="HJ54" s="174"/>
      <c r="HK54" s="174"/>
      <c r="HL54" s="174"/>
      <c r="HM54" s="174"/>
      <c r="HN54" s="174"/>
      <c r="HO54" s="174"/>
      <c r="HP54" s="174"/>
      <c r="HQ54" s="174"/>
      <c r="HR54" s="174"/>
      <c r="HS54" s="174"/>
      <c r="HT54" s="174"/>
      <c r="HU54" s="174"/>
      <c r="HV54" s="174"/>
      <c r="HW54" s="174"/>
      <c r="HX54" s="174"/>
      <c r="HY54" s="174"/>
      <c r="HZ54" s="174"/>
      <c r="IA54" s="174"/>
      <c r="IB54" s="174"/>
      <c r="IC54" s="174"/>
      <c r="ID54" s="174"/>
      <c r="IE54" s="174"/>
      <c r="IF54" s="174"/>
      <c r="IG54" s="174"/>
      <c r="IH54" s="174"/>
      <c r="II54" s="174"/>
      <c r="IJ54" s="174"/>
      <c r="IK54" s="174"/>
      <c r="IL54" s="174"/>
      <c r="IM54" s="174"/>
      <c r="IN54" s="174"/>
      <c r="IO54" s="174"/>
      <c r="IP54" s="174"/>
      <c r="IQ54" s="174"/>
      <c r="IR54" s="174"/>
      <c r="IS54" s="174"/>
      <c r="IT54" s="174"/>
      <c r="IU54" s="174"/>
      <c r="IV54" s="174"/>
    </row>
    <row r="55" spans="1:256" s="247" customFormat="1" ht="13.8" hidden="1">
      <c r="A55" s="237"/>
      <c r="B55" s="266"/>
      <c r="C55" s="239"/>
      <c r="D55" s="239"/>
      <c r="E55" s="239"/>
      <c r="F55" s="239"/>
      <c r="G55" s="239"/>
      <c r="H55" s="239"/>
      <c r="I55" s="239"/>
      <c r="J55" s="240"/>
      <c r="K55" s="241"/>
      <c r="L55" s="242"/>
      <c r="M55" s="201"/>
      <c r="N55" s="243"/>
      <c r="O55" s="267"/>
      <c r="P55" s="241"/>
      <c r="Q55" s="241"/>
      <c r="R55" s="241"/>
      <c r="S55" s="241"/>
      <c r="T55" s="241"/>
      <c r="U55" s="241"/>
      <c r="V55" s="241"/>
      <c r="W55" s="243"/>
      <c r="X55" s="243"/>
      <c r="Y55" s="243"/>
      <c r="Z55" s="243"/>
      <c r="AA55" s="243"/>
      <c r="AB55" s="243"/>
      <c r="AC55" s="243"/>
      <c r="AD55" s="243"/>
      <c r="AE55" s="243"/>
      <c r="AF55" s="243"/>
      <c r="AG55" s="268"/>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6"/>
      <c r="EE55" s="246"/>
      <c r="EF55" s="246"/>
      <c r="EG55" s="246"/>
      <c r="EH55" s="246"/>
      <c r="EI55" s="246"/>
      <c r="EJ55" s="246"/>
      <c r="EK55" s="246"/>
      <c r="EL55" s="246"/>
      <c r="EM55" s="246"/>
      <c r="EN55" s="246"/>
      <c r="EO55" s="246"/>
      <c r="EP55" s="246"/>
      <c r="EQ55" s="246"/>
      <c r="ER55" s="268"/>
      <c r="ES55" s="246"/>
      <c r="ET55" s="268"/>
      <c r="EU55" s="268"/>
      <c r="EV55" s="268"/>
      <c r="EW55" s="268"/>
      <c r="EX55" s="268"/>
      <c r="EY55" s="268"/>
      <c r="EZ55" s="268"/>
      <c r="FA55" s="268"/>
      <c r="FB55" s="268"/>
      <c r="FC55" s="268"/>
      <c r="FD55" s="268"/>
      <c r="FE55" s="268"/>
      <c r="FF55" s="246"/>
      <c r="FG55" s="246"/>
      <c r="FH55" s="246"/>
      <c r="FI55" s="246"/>
      <c r="FJ55" s="246"/>
      <c r="FK55" s="246"/>
      <c r="FL55" s="241"/>
      <c r="FM55" s="241"/>
      <c r="FN55" s="241"/>
      <c r="FO55" s="246"/>
      <c r="FP55" s="246"/>
      <c r="FQ55" s="241"/>
      <c r="FR55" s="246"/>
      <c r="FS55" s="246"/>
      <c r="FT55" s="246"/>
      <c r="FU55" s="246"/>
      <c r="FV55" s="246"/>
      <c r="FW55" s="246"/>
      <c r="FX55" s="246"/>
      <c r="FY55" s="246"/>
      <c r="FZ55" s="246"/>
      <c r="GA55" s="246"/>
      <c r="GB55" s="246"/>
      <c r="GC55" s="246"/>
      <c r="GD55" s="246"/>
      <c r="GE55" s="246"/>
      <c r="GF55" s="241"/>
      <c r="GG55" s="246"/>
      <c r="GH55" s="246"/>
      <c r="GI55" s="246"/>
      <c r="GJ55" s="246"/>
      <c r="GK55" s="246"/>
      <c r="GL55" s="246"/>
      <c r="GM55" s="246"/>
      <c r="GN55" s="246"/>
      <c r="GO55" s="246"/>
      <c r="GP55" s="246"/>
      <c r="GQ55" s="246"/>
      <c r="GR55" s="246"/>
      <c r="GS55" s="246"/>
      <c r="GT55" s="246"/>
      <c r="GU55" s="157"/>
      <c r="GV55" s="174"/>
      <c r="GW55" s="174"/>
      <c r="GX55" s="174"/>
      <c r="GY55" s="174"/>
      <c r="GZ55" s="174"/>
      <c r="HA55" s="174"/>
      <c r="HB55" s="174"/>
      <c r="HC55" s="174"/>
      <c r="HD55" s="174"/>
      <c r="HE55" s="174"/>
      <c r="HF55" s="174"/>
      <c r="HG55" s="174"/>
      <c r="HH55" s="174"/>
      <c r="HI55" s="174"/>
      <c r="HJ55" s="174"/>
      <c r="HK55" s="174"/>
      <c r="HL55" s="174"/>
      <c r="HM55" s="174"/>
      <c r="HN55" s="174"/>
      <c r="HO55" s="174"/>
      <c r="HP55" s="174"/>
      <c r="HQ55" s="174"/>
      <c r="HR55" s="174"/>
      <c r="HS55" s="174"/>
      <c r="HT55" s="174"/>
      <c r="HU55" s="174"/>
      <c r="HV55" s="174"/>
      <c r="HW55" s="174"/>
      <c r="HX55" s="174"/>
      <c r="HY55" s="174"/>
      <c r="HZ55" s="174"/>
      <c r="IA55" s="174"/>
      <c r="IB55" s="174"/>
      <c r="IC55" s="174"/>
      <c r="ID55" s="174"/>
      <c r="IE55" s="174"/>
      <c r="IF55" s="174"/>
      <c r="IG55" s="174"/>
      <c r="IH55" s="174"/>
      <c r="II55" s="174"/>
      <c r="IJ55" s="174"/>
      <c r="IK55" s="174"/>
      <c r="IL55" s="174"/>
      <c r="IM55" s="174"/>
      <c r="IN55" s="174"/>
      <c r="IO55" s="174"/>
      <c r="IP55" s="174"/>
      <c r="IQ55" s="174"/>
      <c r="IR55" s="174"/>
      <c r="IS55" s="174"/>
      <c r="IT55" s="174"/>
      <c r="IU55" s="174"/>
      <c r="IV55" s="174"/>
    </row>
    <row r="56" spans="1:256" s="247" customFormat="1" ht="13.8" hidden="1">
      <c r="A56" s="237"/>
      <c r="B56" s="238"/>
      <c r="C56" s="239"/>
      <c r="D56" s="239"/>
      <c r="E56" s="239"/>
      <c r="F56" s="239"/>
      <c r="G56" s="239"/>
      <c r="H56" s="239"/>
      <c r="I56" s="239"/>
      <c r="J56" s="240"/>
      <c r="K56" s="241"/>
      <c r="L56" s="242"/>
      <c r="M56" s="201"/>
      <c r="N56" s="243"/>
      <c r="O56" s="244"/>
      <c r="P56" s="241"/>
      <c r="Q56" s="241"/>
      <c r="R56" s="241"/>
      <c r="S56" s="241"/>
      <c r="T56" s="241"/>
      <c r="U56" s="241"/>
      <c r="V56" s="241"/>
      <c r="W56" s="243"/>
      <c r="X56" s="243"/>
      <c r="Y56" s="243"/>
      <c r="Z56" s="243"/>
      <c r="AA56" s="243"/>
      <c r="AB56" s="243"/>
      <c r="AC56" s="243"/>
      <c r="AD56" s="243"/>
      <c r="AE56" s="243"/>
      <c r="AF56" s="243"/>
      <c r="AG56" s="245"/>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6"/>
      <c r="EE56" s="246"/>
      <c r="EF56" s="246"/>
      <c r="EG56" s="246"/>
      <c r="EH56" s="246"/>
      <c r="EI56" s="246"/>
      <c r="EJ56" s="246"/>
      <c r="EK56" s="246"/>
      <c r="EL56" s="246"/>
      <c r="EM56" s="246"/>
      <c r="EN56" s="246"/>
      <c r="EO56" s="246"/>
      <c r="EP56" s="246"/>
      <c r="EQ56" s="246"/>
      <c r="ER56" s="245"/>
      <c r="ES56" s="246"/>
      <c r="ET56" s="245"/>
      <c r="EU56" s="245"/>
      <c r="EV56" s="245"/>
      <c r="EW56" s="245"/>
      <c r="EX56" s="245"/>
      <c r="EY56" s="245"/>
      <c r="EZ56" s="245"/>
      <c r="FA56" s="245"/>
      <c r="FB56" s="245"/>
      <c r="FC56" s="245"/>
      <c r="FD56" s="245"/>
      <c r="FE56" s="245"/>
      <c r="FF56" s="246"/>
      <c r="FG56" s="246"/>
      <c r="FH56" s="246"/>
      <c r="FI56" s="246"/>
      <c r="FJ56" s="246"/>
      <c r="FK56" s="246"/>
      <c r="FL56" s="241"/>
      <c r="FM56" s="241"/>
      <c r="FN56" s="241"/>
      <c r="FO56" s="246"/>
      <c r="FP56" s="246"/>
      <c r="FQ56" s="241"/>
      <c r="FR56" s="246"/>
      <c r="FS56" s="246"/>
      <c r="FT56" s="246"/>
      <c r="FU56" s="246"/>
      <c r="FV56" s="246"/>
      <c r="FW56" s="246"/>
      <c r="FX56" s="246"/>
      <c r="FY56" s="246"/>
      <c r="FZ56" s="246"/>
      <c r="GA56" s="246"/>
      <c r="GB56" s="246"/>
      <c r="GC56" s="246"/>
      <c r="GD56" s="246"/>
      <c r="GE56" s="246"/>
      <c r="GF56" s="241"/>
      <c r="GG56" s="246"/>
      <c r="GH56" s="246"/>
      <c r="GI56" s="246"/>
      <c r="GJ56" s="246"/>
      <c r="GK56" s="246"/>
      <c r="GL56" s="246"/>
      <c r="GM56" s="246"/>
      <c r="GN56" s="246"/>
      <c r="GO56" s="246"/>
      <c r="GP56" s="246"/>
      <c r="GQ56" s="246"/>
      <c r="GR56" s="246"/>
      <c r="GS56" s="246"/>
      <c r="GT56" s="246"/>
      <c r="GU56" s="157"/>
      <c r="GV56" s="174"/>
      <c r="GW56" s="174"/>
      <c r="GX56" s="174"/>
      <c r="GY56" s="174"/>
      <c r="GZ56" s="174"/>
      <c r="HA56" s="174"/>
      <c r="HB56" s="174"/>
      <c r="HC56" s="174"/>
      <c r="HD56" s="174"/>
      <c r="HE56" s="174"/>
      <c r="HF56" s="174"/>
      <c r="HG56" s="174"/>
      <c r="HH56" s="174"/>
      <c r="HI56" s="174"/>
      <c r="HJ56" s="174"/>
      <c r="HK56" s="174"/>
      <c r="HL56" s="174"/>
      <c r="HM56" s="174"/>
      <c r="HN56" s="174"/>
      <c r="HO56" s="174"/>
      <c r="HP56" s="174"/>
      <c r="HQ56" s="174"/>
      <c r="HR56" s="174"/>
      <c r="HS56" s="174"/>
      <c r="HT56" s="174"/>
      <c r="HU56" s="174"/>
      <c r="HV56" s="174"/>
      <c r="HW56" s="174"/>
      <c r="HX56" s="174"/>
      <c r="HY56" s="174"/>
      <c r="HZ56" s="174"/>
      <c r="IA56" s="174"/>
      <c r="IB56" s="174"/>
      <c r="IC56" s="174"/>
      <c r="ID56" s="174"/>
      <c r="IE56" s="174"/>
      <c r="IF56" s="174"/>
      <c r="IG56" s="174"/>
      <c r="IH56" s="174"/>
      <c r="II56" s="174"/>
      <c r="IJ56" s="174"/>
      <c r="IK56" s="174"/>
      <c r="IL56" s="174"/>
      <c r="IM56" s="174"/>
      <c r="IN56" s="174"/>
      <c r="IO56" s="174"/>
      <c r="IP56" s="174"/>
      <c r="IQ56" s="174"/>
      <c r="IR56" s="174"/>
      <c r="IS56" s="174"/>
      <c r="IT56" s="174"/>
      <c r="IU56" s="174"/>
      <c r="IV56" s="174"/>
    </row>
    <row r="57" spans="1:256" s="247" customFormat="1" ht="13.8" hidden="1">
      <c r="A57" s="237"/>
      <c r="B57" s="238"/>
      <c r="C57" s="239"/>
      <c r="D57" s="239"/>
      <c r="E57" s="239"/>
      <c r="F57" s="239"/>
      <c r="G57" s="239"/>
      <c r="H57" s="239"/>
      <c r="I57" s="239"/>
      <c r="J57" s="240"/>
      <c r="K57" s="241"/>
      <c r="L57" s="242"/>
      <c r="M57" s="201"/>
      <c r="N57" s="243"/>
      <c r="O57" s="244"/>
      <c r="P57" s="241"/>
      <c r="Q57" s="241"/>
      <c r="R57" s="241"/>
      <c r="S57" s="241"/>
      <c r="T57" s="241"/>
      <c r="U57" s="241"/>
      <c r="V57" s="241"/>
      <c r="W57" s="243"/>
      <c r="X57" s="243"/>
      <c r="Y57" s="243"/>
      <c r="Z57" s="243"/>
      <c r="AA57" s="243"/>
      <c r="AB57" s="243"/>
      <c r="AC57" s="243"/>
      <c r="AD57" s="243"/>
      <c r="AE57" s="243"/>
      <c r="AF57" s="243"/>
      <c r="AG57" s="245"/>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6"/>
      <c r="EE57" s="246"/>
      <c r="EF57" s="246"/>
      <c r="EG57" s="246"/>
      <c r="EH57" s="246"/>
      <c r="EI57" s="246"/>
      <c r="EJ57" s="246"/>
      <c r="EK57" s="246"/>
      <c r="EL57" s="246"/>
      <c r="EM57" s="246"/>
      <c r="EN57" s="246"/>
      <c r="EO57" s="246"/>
      <c r="EP57" s="246"/>
      <c r="EQ57" s="246"/>
      <c r="ER57" s="245"/>
      <c r="ES57" s="246"/>
      <c r="ET57" s="245"/>
      <c r="EU57" s="245"/>
      <c r="EV57" s="245"/>
      <c r="EW57" s="245"/>
      <c r="EX57" s="245"/>
      <c r="EY57" s="245"/>
      <c r="EZ57" s="245"/>
      <c r="FA57" s="245"/>
      <c r="FB57" s="245"/>
      <c r="FC57" s="245"/>
      <c r="FD57" s="245"/>
      <c r="FE57" s="245"/>
      <c r="FF57" s="246"/>
      <c r="FG57" s="246"/>
      <c r="FH57" s="246"/>
      <c r="FI57" s="246"/>
      <c r="FJ57" s="246"/>
      <c r="FK57" s="246"/>
      <c r="FL57" s="241"/>
      <c r="FM57" s="241"/>
      <c r="FN57" s="241"/>
      <c r="FO57" s="246"/>
      <c r="FP57" s="246"/>
      <c r="FQ57" s="241"/>
      <c r="FR57" s="246"/>
      <c r="FS57" s="246"/>
      <c r="FT57" s="246"/>
      <c r="FU57" s="246"/>
      <c r="FV57" s="246"/>
      <c r="FW57" s="246"/>
      <c r="FX57" s="246"/>
      <c r="FY57" s="246"/>
      <c r="FZ57" s="246"/>
      <c r="GA57" s="246"/>
      <c r="GB57" s="246"/>
      <c r="GC57" s="246"/>
      <c r="GD57" s="246"/>
      <c r="GE57" s="246"/>
      <c r="GF57" s="241"/>
      <c r="GG57" s="246"/>
      <c r="GH57" s="246"/>
      <c r="GI57" s="246"/>
      <c r="GJ57" s="246"/>
      <c r="GK57" s="246"/>
      <c r="GL57" s="246"/>
      <c r="GM57" s="246"/>
      <c r="GN57" s="246"/>
      <c r="GO57" s="246"/>
      <c r="GP57" s="246"/>
      <c r="GQ57" s="246"/>
      <c r="GR57" s="246"/>
      <c r="GS57" s="246"/>
      <c r="GT57" s="246"/>
      <c r="GU57" s="157"/>
      <c r="GV57" s="174"/>
      <c r="GW57" s="174"/>
      <c r="GX57" s="174"/>
      <c r="GY57" s="174"/>
      <c r="GZ57" s="174"/>
      <c r="HA57" s="174"/>
      <c r="HB57" s="174"/>
      <c r="HC57" s="174"/>
      <c r="HD57" s="174"/>
      <c r="HE57" s="174"/>
      <c r="HF57" s="174"/>
      <c r="HG57" s="174"/>
      <c r="HH57" s="174"/>
      <c r="HI57" s="174"/>
      <c r="HJ57" s="174"/>
      <c r="HK57" s="174"/>
      <c r="HL57" s="174"/>
      <c r="HM57" s="174"/>
      <c r="HN57" s="174"/>
      <c r="HO57" s="174"/>
      <c r="HP57" s="174"/>
      <c r="HQ57" s="174"/>
      <c r="HR57" s="174"/>
      <c r="HS57" s="174"/>
      <c r="HT57" s="174"/>
      <c r="HU57" s="174"/>
      <c r="HV57" s="174"/>
      <c r="HW57" s="174"/>
      <c r="HX57" s="174"/>
      <c r="HY57" s="174"/>
      <c r="HZ57" s="174"/>
      <c r="IA57" s="174"/>
      <c r="IB57" s="174"/>
      <c r="IC57" s="174"/>
      <c r="ID57" s="174"/>
      <c r="IE57" s="174"/>
      <c r="IF57" s="174"/>
      <c r="IG57" s="174"/>
      <c r="IH57" s="174"/>
      <c r="II57" s="174"/>
      <c r="IJ57" s="174"/>
      <c r="IK57" s="174"/>
      <c r="IL57" s="174"/>
      <c r="IM57" s="174"/>
      <c r="IN57" s="174"/>
      <c r="IO57" s="174"/>
      <c r="IP57" s="174"/>
      <c r="IQ57" s="174"/>
      <c r="IR57" s="174"/>
      <c r="IS57" s="174"/>
      <c r="IT57" s="174"/>
      <c r="IU57" s="174"/>
      <c r="IV57" s="174"/>
    </row>
    <row r="58" spans="1:256" s="247" customFormat="1" ht="13.8" hidden="1">
      <c r="A58" s="237"/>
      <c r="B58" s="238"/>
      <c r="C58" s="239"/>
      <c r="D58" s="239"/>
      <c r="E58" s="239"/>
      <c r="F58" s="239"/>
      <c r="G58" s="239"/>
      <c r="H58" s="239"/>
      <c r="I58" s="239"/>
      <c r="J58" s="240"/>
      <c r="K58" s="241"/>
      <c r="L58" s="242"/>
      <c r="M58" s="201"/>
      <c r="N58" s="243"/>
      <c r="O58" s="244"/>
      <c r="P58" s="241"/>
      <c r="Q58" s="241"/>
      <c r="R58" s="241"/>
      <c r="S58" s="241"/>
      <c r="T58" s="241"/>
      <c r="U58" s="241"/>
      <c r="V58" s="241"/>
      <c r="W58" s="243"/>
      <c r="X58" s="243"/>
      <c r="Y58" s="243"/>
      <c r="Z58" s="243"/>
      <c r="AA58" s="243"/>
      <c r="AB58" s="243"/>
      <c r="AC58" s="243"/>
      <c r="AD58" s="243"/>
      <c r="AE58" s="243"/>
      <c r="AF58" s="243"/>
      <c r="AG58" s="245"/>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6"/>
      <c r="EE58" s="246"/>
      <c r="EF58" s="246"/>
      <c r="EG58" s="246"/>
      <c r="EH58" s="246"/>
      <c r="EI58" s="246"/>
      <c r="EJ58" s="246"/>
      <c r="EK58" s="246"/>
      <c r="EL58" s="246"/>
      <c r="EM58" s="246"/>
      <c r="EN58" s="246"/>
      <c r="EO58" s="246"/>
      <c r="EP58" s="246"/>
      <c r="EQ58" s="246"/>
      <c r="ER58" s="245"/>
      <c r="ES58" s="246"/>
      <c r="ET58" s="245"/>
      <c r="EU58" s="245"/>
      <c r="EV58" s="245"/>
      <c r="EW58" s="245"/>
      <c r="EX58" s="245"/>
      <c r="EY58" s="245"/>
      <c r="EZ58" s="245"/>
      <c r="FA58" s="245"/>
      <c r="FB58" s="245"/>
      <c r="FC58" s="245"/>
      <c r="FD58" s="245"/>
      <c r="FE58" s="245"/>
      <c r="FF58" s="246"/>
      <c r="FG58" s="246"/>
      <c r="FH58" s="246"/>
      <c r="FI58" s="246"/>
      <c r="FJ58" s="246"/>
      <c r="FK58" s="246"/>
      <c r="FL58" s="241"/>
      <c r="FM58" s="241"/>
      <c r="FN58" s="241"/>
      <c r="FO58" s="246"/>
      <c r="FP58" s="246"/>
      <c r="FQ58" s="241"/>
      <c r="FR58" s="246"/>
      <c r="FS58" s="246"/>
      <c r="FT58" s="246"/>
      <c r="FU58" s="246"/>
      <c r="FV58" s="246"/>
      <c r="FW58" s="246"/>
      <c r="FX58" s="246"/>
      <c r="FY58" s="246"/>
      <c r="FZ58" s="246"/>
      <c r="GA58" s="246"/>
      <c r="GB58" s="246"/>
      <c r="GC58" s="246"/>
      <c r="GD58" s="246"/>
      <c r="GE58" s="246"/>
      <c r="GF58" s="241"/>
      <c r="GG58" s="246"/>
      <c r="GH58" s="246"/>
      <c r="GI58" s="246"/>
      <c r="GJ58" s="246"/>
      <c r="GK58" s="246"/>
      <c r="GL58" s="246"/>
      <c r="GM58" s="246"/>
      <c r="GN58" s="246"/>
      <c r="GO58" s="246"/>
      <c r="GP58" s="246"/>
      <c r="GQ58" s="246"/>
      <c r="GR58" s="246"/>
      <c r="GS58" s="246"/>
      <c r="GT58" s="246"/>
      <c r="GU58" s="157"/>
      <c r="GV58" s="174"/>
      <c r="GW58" s="174"/>
      <c r="GX58" s="174"/>
      <c r="GY58" s="174"/>
      <c r="GZ58" s="174"/>
      <c r="HA58" s="174"/>
      <c r="HB58" s="174"/>
      <c r="HC58" s="174"/>
      <c r="HD58" s="174"/>
      <c r="HE58" s="174"/>
      <c r="HF58" s="174"/>
      <c r="HG58" s="174"/>
      <c r="HH58" s="174"/>
      <c r="HI58" s="174"/>
      <c r="HJ58" s="174"/>
      <c r="HK58" s="174"/>
      <c r="HL58" s="174"/>
      <c r="HM58" s="174"/>
      <c r="HN58" s="174"/>
      <c r="HO58" s="174"/>
      <c r="HP58" s="174"/>
      <c r="HQ58" s="174"/>
      <c r="HR58" s="174"/>
      <c r="HS58" s="174"/>
      <c r="HT58" s="174"/>
      <c r="HU58" s="174"/>
      <c r="HV58" s="174"/>
      <c r="HW58" s="174"/>
      <c r="HX58" s="174"/>
      <c r="HY58" s="174"/>
      <c r="HZ58" s="174"/>
      <c r="IA58" s="174"/>
      <c r="IB58" s="174"/>
      <c r="IC58" s="174"/>
      <c r="ID58" s="174"/>
      <c r="IE58" s="174"/>
      <c r="IF58" s="174"/>
      <c r="IG58" s="174"/>
      <c r="IH58" s="174"/>
      <c r="II58" s="174"/>
      <c r="IJ58" s="174"/>
      <c r="IK58" s="174"/>
      <c r="IL58" s="174"/>
      <c r="IM58" s="174"/>
      <c r="IN58" s="174"/>
      <c r="IO58" s="174"/>
      <c r="IP58" s="174"/>
      <c r="IQ58" s="174"/>
      <c r="IR58" s="174"/>
      <c r="IS58" s="174"/>
      <c r="IT58" s="174"/>
      <c r="IU58" s="174"/>
      <c r="IV58" s="174"/>
    </row>
    <row r="59" spans="1:256" s="247" customFormat="1" ht="13.8" hidden="1">
      <c r="A59" s="237"/>
      <c r="B59" s="238"/>
      <c r="C59" s="239"/>
      <c r="D59" s="239"/>
      <c r="E59" s="239"/>
      <c r="F59" s="239"/>
      <c r="G59" s="239"/>
      <c r="H59" s="239"/>
      <c r="I59" s="239"/>
      <c r="J59" s="240"/>
      <c r="K59" s="241"/>
      <c r="L59" s="242"/>
      <c r="M59" s="201"/>
      <c r="N59" s="243"/>
      <c r="O59" s="244"/>
      <c r="P59" s="241"/>
      <c r="Q59" s="241"/>
      <c r="R59" s="241"/>
      <c r="S59" s="241"/>
      <c r="T59" s="241"/>
      <c r="U59" s="241"/>
      <c r="V59" s="241"/>
      <c r="W59" s="243"/>
      <c r="X59" s="243"/>
      <c r="Y59" s="243"/>
      <c r="Z59" s="243"/>
      <c r="AA59" s="243"/>
      <c r="AB59" s="243"/>
      <c r="AC59" s="243"/>
      <c r="AD59" s="243"/>
      <c r="AE59" s="243"/>
      <c r="AF59" s="243"/>
      <c r="AG59" s="245"/>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6"/>
      <c r="EE59" s="246"/>
      <c r="EF59" s="246"/>
      <c r="EG59" s="246"/>
      <c r="EH59" s="246"/>
      <c r="EI59" s="246"/>
      <c r="EJ59" s="246"/>
      <c r="EK59" s="246"/>
      <c r="EL59" s="246"/>
      <c r="EM59" s="246"/>
      <c r="EN59" s="246"/>
      <c r="EO59" s="246"/>
      <c r="EP59" s="246"/>
      <c r="EQ59" s="246"/>
      <c r="ER59" s="245"/>
      <c r="ES59" s="246"/>
      <c r="ET59" s="245"/>
      <c r="EU59" s="245"/>
      <c r="EV59" s="245"/>
      <c r="EW59" s="245"/>
      <c r="EX59" s="245"/>
      <c r="EY59" s="245"/>
      <c r="EZ59" s="245"/>
      <c r="FA59" s="245"/>
      <c r="FB59" s="245"/>
      <c r="FC59" s="245"/>
      <c r="FD59" s="245"/>
      <c r="FE59" s="245"/>
      <c r="FF59" s="246"/>
      <c r="FG59" s="246"/>
      <c r="FH59" s="246"/>
      <c r="FI59" s="246"/>
      <c r="FJ59" s="246"/>
      <c r="FK59" s="246"/>
      <c r="FL59" s="241"/>
      <c r="FM59" s="241"/>
      <c r="FN59" s="241"/>
      <c r="FO59" s="246"/>
      <c r="FP59" s="246"/>
      <c r="FQ59" s="241"/>
      <c r="FR59" s="246"/>
      <c r="FS59" s="246"/>
      <c r="FT59" s="246"/>
      <c r="FU59" s="246"/>
      <c r="FV59" s="246"/>
      <c r="FW59" s="246"/>
      <c r="FX59" s="246"/>
      <c r="FY59" s="246"/>
      <c r="FZ59" s="246"/>
      <c r="GA59" s="246"/>
      <c r="GB59" s="246"/>
      <c r="GC59" s="246"/>
      <c r="GD59" s="246"/>
      <c r="GE59" s="246"/>
      <c r="GF59" s="241"/>
      <c r="GG59" s="246"/>
      <c r="GH59" s="246"/>
      <c r="GI59" s="246"/>
      <c r="GJ59" s="246"/>
      <c r="GK59" s="246"/>
      <c r="GL59" s="246"/>
      <c r="GM59" s="246"/>
      <c r="GN59" s="246"/>
      <c r="GO59" s="246"/>
      <c r="GP59" s="246"/>
      <c r="GQ59" s="246"/>
      <c r="GR59" s="246"/>
      <c r="GS59" s="246"/>
      <c r="GT59" s="246"/>
      <c r="GU59" s="157"/>
      <c r="GV59" s="174"/>
      <c r="GW59" s="174"/>
      <c r="GX59" s="174"/>
      <c r="GY59" s="174"/>
      <c r="GZ59" s="174"/>
      <c r="HA59" s="174"/>
      <c r="HB59" s="174"/>
      <c r="HC59" s="174"/>
      <c r="HD59" s="174"/>
      <c r="HE59" s="174"/>
      <c r="HF59" s="174"/>
      <c r="HG59" s="174"/>
      <c r="HH59" s="174"/>
      <c r="HI59" s="174"/>
      <c r="HJ59" s="174"/>
      <c r="HK59" s="174"/>
      <c r="HL59" s="174"/>
      <c r="HM59" s="174"/>
      <c r="HN59" s="174"/>
      <c r="HO59" s="174"/>
      <c r="HP59" s="174"/>
      <c r="HQ59" s="174"/>
      <c r="HR59" s="174"/>
      <c r="HS59" s="174"/>
      <c r="HT59" s="174"/>
      <c r="HU59" s="174"/>
      <c r="HV59" s="174"/>
      <c r="HW59" s="174"/>
      <c r="HX59" s="174"/>
      <c r="HY59" s="174"/>
      <c r="HZ59" s="174"/>
      <c r="IA59" s="174"/>
      <c r="IB59" s="174"/>
      <c r="IC59" s="174"/>
      <c r="ID59" s="174"/>
      <c r="IE59" s="174"/>
      <c r="IF59" s="174"/>
      <c r="IG59" s="174"/>
      <c r="IH59" s="174"/>
      <c r="II59" s="174"/>
      <c r="IJ59" s="174"/>
      <c r="IK59" s="174"/>
      <c r="IL59" s="174"/>
      <c r="IM59" s="174"/>
      <c r="IN59" s="174"/>
      <c r="IO59" s="174"/>
      <c r="IP59" s="174"/>
      <c r="IQ59" s="174"/>
      <c r="IR59" s="174"/>
      <c r="IS59" s="174"/>
      <c r="IT59" s="174"/>
      <c r="IU59" s="174"/>
      <c r="IV59" s="174"/>
    </row>
    <row r="60" spans="1:256" s="247" customFormat="1" ht="13.8" hidden="1">
      <c r="A60" s="237"/>
      <c r="B60" s="238"/>
      <c r="C60" s="239"/>
      <c r="D60" s="239"/>
      <c r="E60" s="239"/>
      <c r="F60" s="239"/>
      <c r="G60" s="239"/>
      <c r="H60" s="239"/>
      <c r="I60" s="239"/>
      <c r="J60" s="240"/>
      <c r="K60" s="241"/>
      <c r="L60" s="242"/>
      <c r="M60" s="201"/>
      <c r="N60" s="243"/>
      <c r="O60" s="244"/>
      <c r="P60" s="241"/>
      <c r="Q60" s="241"/>
      <c r="R60" s="241"/>
      <c r="S60" s="241"/>
      <c r="T60" s="241"/>
      <c r="U60" s="241"/>
      <c r="V60" s="241"/>
      <c r="W60" s="243"/>
      <c r="X60" s="243"/>
      <c r="Y60" s="243"/>
      <c r="Z60" s="243"/>
      <c r="AA60" s="243"/>
      <c r="AB60" s="243"/>
      <c r="AC60" s="243"/>
      <c r="AD60" s="243"/>
      <c r="AE60" s="243"/>
      <c r="AF60" s="243"/>
      <c r="AG60" s="245"/>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6"/>
      <c r="EE60" s="246"/>
      <c r="EF60" s="246"/>
      <c r="EG60" s="246"/>
      <c r="EH60" s="246"/>
      <c r="EI60" s="246"/>
      <c r="EJ60" s="246"/>
      <c r="EK60" s="246"/>
      <c r="EL60" s="246"/>
      <c r="EM60" s="246"/>
      <c r="EN60" s="246"/>
      <c r="EO60" s="246"/>
      <c r="EP60" s="246"/>
      <c r="EQ60" s="246"/>
      <c r="ER60" s="245"/>
      <c r="ES60" s="246"/>
      <c r="ET60" s="245"/>
      <c r="EU60" s="245"/>
      <c r="EV60" s="245"/>
      <c r="EW60" s="245"/>
      <c r="EX60" s="245"/>
      <c r="EY60" s="245"/>
      <c r="EZ60" s="245"/>
      <c r="FA60" s="245"/>
      <c r="FB60" s="245"/>
      <c r="FC60" s="245"/>
      <c r="FD60" s="245"/>
      <c r="FE60" s="245"/>
      <c r="FF60" s="246"/>
      <c r="FG60" s="246"/>
      <c r="FH60" s="246"/>
      <c r="FI60" s="246"/>
      <c r="FJ60" s="246"/>
      <c r="FK60" s="246"/>
      <c r="FL60" s="241"/>
      <c r="FM60" s="241"/>
      <c r="FN60" s="241"/>
      <c r="FO60" s="246"/>
      <c r="FP60" s="246"/>
      <c r="FQ60" s="241"/>
      <c r="FR60" s="246"/>
      <c r="FS60" s="246"/>
      <c r="FT60" s="246"/>
      <c r="FU60" s="246"/>
      <c r="FV60" s="246"/>
      <c r="FW60" s="246"/>
      <c r="FX60" s="246"/>
      <c r="FY60" s="246"/>
      <c r="FZ60" s="246"/>
      <c r="GA60" s="246"/>
      <c r="GB60" s="246"/>
      <c r="GC60" s="246"/>
      <c r="GD60" s="246"/>
      <c r="GE60" s="246"/>
      <c r="GF60" s="241"/>
      <c r="GG60" s="246"/>
      <c r="GH60" s="246"/>
      <c r="GI60" s="246"/>
      <c r="GJ60" s="246"/>
      <c r="GK60" s="246"/>
      <c r="GL60" s="246"/>
      <c r="GM60" s="246"/>
      <c r="GN60" s="246"/>
      <c r="GO60" s="246"/>
      <c r="GP60" s="246"/>
      <c r="GQ60" s="246"/>
      <c r="GR60" s="246"/>
      <c r="GS60" s="246"/>
      <c r="GT60" s="246"/>
      <c r="GU60" s="157"/>
      <c r="GV60" s="174"/>
      <c r="GW60" s="174"/>
      <c r="GX60" s="174"/>
      <c r="GY60" s="174"/>
      <c r="GZ60" s="174"/>
      <c r="HA60" s="174"/>
      <c r="HB60" s="174"/>
      <c r="HC60" s="174"/>
      <c r="HD60" s="174"/>
      <c r="HE60" s="174"/>
      <c r="HF60" s="174"/>
      <c r="HG60" s="174"/>
      <c r="HH60" s="174"/>
      <c r="HI60" s="174"/>
      <c r="HJ60" s="174"/>
      <c r="HK60" s="174"/>
      <c r="HL60" s="174"/>
      <c r="HM60" s="174"/>
      <c r="HN60" s="174"/>
      <c r="HO60" s="174"/>
      <c r="HP60" s="174"/>
      <c r="HQ60" s="174"/>
      <c r="HR60" s="174"/>
      <c r="HS60" s="174"/>
      <c r="HT60" s="174"/>
      <c r="HU60" s="174"/>
      <c r="HV60" s="174"/>
      <c r="HW60" s="174"/>
      <c r="HX60" s="174"/>
      <c r="HY60" s="174"/>
      <c r="HZ60" s="174"/>
      <c r="IA60" s="174"/>
      <c r="IB60" s="174"/>
      <c r="IC60" s="174"/>
      <c r="ID60" s="174"/>
      <c r="IE60" s="174"/>
      <c r="IF60" s="174"/>
      <c r="IG60" s="174"/>
      <c r="IH60" s="174"/>
      <c r="II60" s="174"/>
      <c r="IJ60" s="174"/>
      <c r="IK60" s="174"/>
      <c r="IL60" s="174"/>
      <c r="IM60" s="174"/>
      <c r="IN60" s="174"/>
      <c r="IO60" s="174"/>
      <c r="IP60" s="174"/>
      <c r="IQ60" s="174"/>
      <c r="IR60" s="174"/>
      <c r="IS60" s="174"/>
      <c r="IT60" s="174"/>
      <c r="IU60" s="174"/>
      <c r="IV60" s="174"/>
    </row>
    <row r="61" spans="1:256" s="247" customFormat="1" ht="13.8" hidden="1">
      <c r="A61" s="237"/>
      <c r="B61" s="238"/>
      <c r="C61" s="239"/>
      <c r="D61" s="239"/>
      <c r="E61" s="239"/>
      <c r="F61" s="239"/>
      <c r="G61" s="239"/>
      <c r="H61" s="239"/>
      <c r="I61" s="239"/>
      <c r="J61" s="240"/>
      <c r="K61" s="241"/>
      <c r="L61" s="242"/>
      <c r="M61" s="201"/>
      <c r="N61" s="243"/>
      <c r="O61" s="244"/>
      <c r="P61" s="241"/>
      <c r="Q61" s="241"/>
      <c r="R61" s="241"/>
      <c r="S61" s="241"/>
      <c r="T61" s="241"/>
      <c r="U61" s="241"/>
      <c r="V61" s="241"/>
      <c r="W61" s="243"/>
      <c r="X61" s="243"/>
      <c r="Y61" s="243"/>
      <c r="Z61" s="243"/>
      <c r="AA61" s="243"/>
      <c r="AB61" s="243"/>
      <c r="AC61" s="243"/>
      <c r="AD61" s="243"/>
      <c r="AE61" s="243"/>
      <c r="AF61" s="243"/>
      <c r="AG61" s="245"/>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6"/>
      <c r="EE61" s="246"/>
      <c r="EF61" s="246"/>
      <c r="EG61" s="246"/>
      <c r="EH61" s="246"/>
      <c r="EI61" s="246"/>
      <c r="EJ61" s="246"/>
      <c r="EK61" s="246"/>
      <c r="EL61" s="246"/>
      <c r="EM61" s="246"/>
      <c r="EN61" s="246"/>
      <c r="EO61" s="246"/>
      <c r="EP61" s="246"/>
      <c r="EQ61" s="246"/>
      <c r="ER61" s="245"/>
      <c r="ES61" s="246"/>
      <c r="ET61" s="245"/>
      <c r="EU61" s="245"/>
      <c r="EV61" s="245"/>
      <c r="EW61" s="245"/>
      <c r="EX61" s="245"/>
      <c r="EY61" s="245"/>
      <c r="EZ61" s="245"/>
      <c r="FA61" s="245"/>
      <c r="FB61" s="245"/>
      <c r="FC61" s="245"/>
      <c r="FD61" s="245"/>
      <c r="FE61" s="245"/>
      <c r="FF61" s="246"/>
      <c r="FG61" s="246"/>
      <c r="FH61" s="246"/>
      <c r="FI61" s="246"/>
      <c r="FJ61" s="246"/>
      <c r="FK61" s="246"/>
      <c r="FL61" s="241"/>
      <c r="FM61" s="241"/>
      <c r="FN61" s="241"/>
      <c r="FO61" s="246"/>
      <c r="FP61" s="246"/>
      <c r="FQ61" s="241"/>
      <c r="FR61" s="246"/>
      <c r="FS61" s="246"/>
      <c r="FT61" s="246"/>
      <c r="FU61" s="246"/>
      <c r="FV61" s="246"/>
      <c r="FW61" s="246"/>
      <c r="FX61" s="246"/>
      <c r="FY61" s="246"/>
      <c r="FZ61" s="246"/>
      <c r="GA61" s="246"/>
      <c r="GB61" s="246"/>
      <c r="GC61" s="246"/>
      <c r="GD61" s="246"/>
      <c r="GE61" s="246"/>
      <c r="GF61" s="241"/>
      <c r="GG61" s="246"/>
      <c r="GH61" s="246"/>
      <c r="GI61" s="246"/>
      <c r="GJ61" s="246"/>
      <c r="GK61" s="246"/>
      <c r="GL61" s="246"/>
      <c r="GM61" s="246"/>
      <c r="GN61" s="246"/>
      <c r="GO61" s="246"/>
      <c r="GP61" s="246"/>
      <c r="GQ61" s="246"/>
      <c r="GR61" s="246"/>
      <c r="GS61" s="246"/>
      <c r="GT61" s="246"/>
      <c r="GU61" s="157"/>
      <c r="GV61" s="174"/>
      <c r="GW61" s="174"/>
      <c r="GX61" s="174"/>
      <c r="GY61" s="174"/>
      <c r="GZ61" s="174"/>
      <c r="HA61" s="174"/>
      <c r="HB61" s="174"/>
      <c r="HC61" s="174"/>
      <c r="HD61" s="174"/>
      <c r="HE61" s="174"/>
      <c r="HF61" s="174"/>
      <c r="HG61" s="174"/>
      <c r="HH61" s="174"/>
      <c r="HI61" s="174"/>
      <c r="HJ61" s="174"/>
      <c r="HK61" s="174"/>
      <c r="HL61" s="174"/>
      <c r="HM61" s="174"/>
      <c r="HN61" s="174"/>
      <c r="HO61" s="174"/>
      <c r="HP61" s="174"/>
      <c r="HQ61" s="174"/>
      <c r="HR61" s="174"/>
      <c r="HS61" s="174"/>
      <c r="HT61" s="174"/>
      <c r="HU61" s="174"/>
      <c r="HV61" s="174"/>
      <c r="HW61" s="174"/>
      <c r="HX61" s="174"/>
      <c r="HY61" s="174"/>
      <c r="HZ61" s="174"/>
      <c r="IA61" s="174"/>
      <c r="IB61" s="174"/>
      <c r="IC61" s="174"/>
      <c r="ID61" s="174"/>
      <c r="IE61" s="174"/>
      <c r="IF61" s="174"/>
      <c r="IG61" s="174"/>
      <c r="IH61" s="174"/>
      <c r="II61" s="174"/>
      <c r="IJ61" s="174"/>
      <c r="IK61" s="174"/>
      <c r="IL61" s="174"/>
      <c r="IM61" s="174"/>
      <c r="IN61" s="174"/>
      <c r="IO61" s="174"/>
      <c r="IP61" s="174"/>
      <c r="IQ61" s="174"/>
      <c r="IR61" s="174"/>
      <c r="IS61" s="174"/>
      <c r="IT61" s="174"/>
      <c r="IU61" s="174"/>
      <c r="IV61" s="174"/>
    </row>
    <row r="62" spans="1:256" s="247" customFormat="1" ht="13.8" hidden="1">
      <c r="A62" s="237"/>
      <c r="B62" s="238"/>
      <c r="C62" s="239"/>
      <c r="D62" s="239"/>
      <c r="E62" s="239"/>
      <c r="F62" s="239"/>
      <c r="G62" s="239"/>
      <c r="H62" s="239"/>
      <c r="I62" s="239"/>
      <c r="J62" s="240"/>
      <c r="K62" s="241"/>
      <c r="L62" s="242"/>
      <c r="M62" s="201"/>
      <c r="N62" s="243"/>
      <c r="O62" s="244"/>
      <c r="P62" s="241"/>
      <c r="Q62" s="241"/>
      <c r="R62" s="241"/>
      <c r="S62" s="241"/>
      <c r="T62" s="241"/>
      <c r="U62" s="241"/>
      <c r="V62" s="241"/>
      <c r="W62" s="243"/>
      <c r="X62" s="243"/>
      <c r="Y62" s="243"/>
      <c r="Z62" s="243"/>
      <c r="AA62" s="243"/>
      <c r="AB62" s="243"/>
      <c r="AC62" s="243"/>
      <c r="AD62" s="243"/>
      <c r="AE62" s="243"/>
      <c r="AF62" s="243"/>
      <c r="AG62" s="245"/>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6"/>
      <c r="EE62" s="246"/>
      <c r="EF62" s="246"/>
      <c r="EG62" s="246"/>
      <c r="EH62" s="246"/>
      <c r="EI62" s="246"/>
      <c r="EJ62" s="246"/>
      <c r="EK62" s="246"/>
      <c r="EL62" s="246"/>
      <c r="EM62" s="246"/>
      <c r="EN62" s="246"/>
      <c r="EO62" s="246"/>
      <c r="EP62" s="246"/>
      <c r="EQ62" s="246"/>
      <c r="ER62" s="245"/>
      <c r="ES62" s="246"/>
      <c r="ET62" s="245"/>
      <c r="EU62" s="245"/>
      <c r="EV62" s="245"/>
      <c r="EW62" s="245"/>
      <c r="EX62" s="245"/>
      <c r="EY62" s="245"/>
      <c r="EZ62" s="245"/>
      <c r="FA62" s="245"/>
      <c r="FB62" s="245"/>
      <c r="FC62" s="245"/>
      <c r="FD62" s="245"/>
      <c r="FE62" s="245"/>
      <c r="FF62" s="246"/>
      <c r="FG62" s="246"/>
      <c r="FH62" s="246"/>
      <c r="FI62" s="246"/>
      <c r="FJ62" s="246"/>
      <c r="FK62" s="246"/>
      <c r="FL62" s="241"/>
      <c r="FM62" s="241"/>
      <c r="FN62" s="241"/>
      <c r="FO62" s="246"/>
      <c r="FP62" s="246"/>
      <c r="FQ62" s="241"/>
      <c r="FR62" s="246"/>
      <c r="FS62" s="246"/>
      <c r="FT62" s="246"/>
      <c r="FU62" s="246"/>
      <c r="FV62" s="246"/>
      <c r="FW62" s="246"/>
      <c r="FX62" s="246"/>
      <c r="FY62" s="246"/>
      <c r="FZ62" s="246"/>
      <c r="GA62" s="246"/>
      <c r="GB62" s="246"/>
      <c r="GC62" s="246"/>
      <c r="GD62" s="246"/>
      <c r="GE62" s="246"/>
      <c r="GF62" s="241"/>
      <c r="GG62" s="246"/>
      <c r="GH62" s="246"/>
      <c r="GI62" s="246"/>
      <c r="GJ62" s="246"/>
      <c r="GK62" s="246"/>
      <c r="GL62" s="246"/>
      <c r="GM62" s="246"/>
      <c r="GN62" s="246"/>
      <c r="GO62" s="246"/>
      <c r="GP62" s="246"/>
      <c r="GQ62" s="246"/>
      <c r="GR62" s="246"/>
      <c r="GS62" s="246"/>
      <c r="GT62" s="246"/>
      <c r="GU62" s="157"/>
      <c r="GV62" s="174"/>
      <c r="GW62" s="174"/>
      <c r="GX62" s="174"/>
      <c r="GY62" s="174"/>
      <c r="GZ62" s="174"/>
      <c r="HA62" s="174"/>
      <c r="HB62" s="174"/>
      <c r="HC62" s="174"/>
      <c r="HD62" s="174"/>
      <c r="HE62" s="174"/>
      <c r="HF62" s="174"/>
      <c r="HG62" s="174"/>
      <c r="HH62" s="174"/>
      <c r="HI62" s="174"/>
      <c r="HJ62" s="174"/>
      <c r="HK62" s="174"/>
      <c r="HL62" s="174"/>
      <c r="HM62" s="174"/>
      <c r="HN62" s="174"/>
      <c r="HO62" s="174"/>
      <c r="HP62" s="174"/>
      <c r="HQ62" s="174"/>
      <c r="HR62" s="174"/>
      <c r="HS62" s="174"/>
      <c r="HT62" s="174"/>
      <c r="HU62" s="174"/>
      <c r="HV62" s="174"/>
      <c r="HW62" s="174"/>
      <c r="HX62" s="174"/>
      <c r="HY62" s="174"/>
      <c r="HZ62" s="174"/>
      <c r="IA62" s="174"/>
      <c r="IB62" s="174"/>
      <c r="IC62" s="174"/>
      <c r="ID62" s="174"/>
      <c r="IE62" s="174"/>
      <c r="IF62" s="174"/>
      <c r="IG62" s="174"/>
      <c r="IH62" s="174"/>
      <c r="II62" s="174"/>
      <c r="IJ62" s="174"/>
      <c r="IK62" s="174"/>
      <c r="IL62" s="174"/>
      <c r="IM62" s="174"/>
      <c r="IN62" s="174"/>
      <c r="IO62" s="174"/>
      <c r="IP62" s="174"/>
      <c r="IQ62" s="174"/>
      <c r="IR62" s="174"/>
      <c r="IS62" s="174"/>
      <c r="IT62" s="174"/>
      <c r="IU62" s="174"/>
      <c r="IV62" s="174"/>
    </row>
    <row r="63" spans="1:256" ht="13.8" hidden="1">
      <c r="A63" s="248"/>
      <c r="B63" s="249"/>
      <c r="C63" s="197"/>
      <c r="D63" s="197"/>
      <c r="E63" s="197"/>
      <c r="F63" s="197"/>
      <c r="G63" s="197"/>
      <c r="H63" s="197"/>
      <c r="I63" s="197"/>
      <c r="J63" s="198"/>
      <c r="K63" s="199"/>
      <c r="L63" s="200"/>
      <c r="M63" s="201"/>
      <c r="N63" s="202"/>
      <c r="O63" s="250"/>
      <c r="P63" s="204"/>
      <c r="Q63" s="204"/>
      <c r="R63" s="204"/>
      <c r="S63" s="204"/>
      <c r="T63" s="204"/>
      <c r="U63" s="204"/>
      <c r="V63" s="204"/>
      <c r="W63" s="204"/>
      <c r="X63" s="204"/>
      <c r="Y63" s="204"/>
      <c r="Z63" s="204"/>
      <c r="AA63" s="204"/>
      <c r="AB63" s="204"/>
      <c r="AC63" s="204"/>
      <c r="AD63" s="204"/>
      <c r="AE63" s="204"/>
      <c r="AF63" s="204"/>
      <c r="AG63" s="204"/>
      <c r="AH63" s="204"/>
      <c r="AI63" s="204"/>
      <c r="AJ63" s="204"/>
      <c r="AK63" s="204"/>
      <c r="AL63" s="204"/>
      <c r="AM63" s="204"/>
      <c r="AN63" s="204"/>
      <c r="AO63" s="204"/>
      <c r="AP63" s="204"/>
      <c r="AQ63" s="204"/>
      <c r="AR63" s="204"/>
      <c r="AS63" s="204"/>
      <c r="AT63" s="204"/>
      <c r="AU63" s="204"/>
      <c r="AV63" s="204"/>
      <c r="AW63" s="204"/>
      <c r="AX63" s="204"/>
      <c r="AY63" s="204"/>
      <c r="AZ63" s="204"/>
      <c r="BA63" s="204"/>
      <c r="BB63" s="204"/>
      <c r="BC63" s="204"/>
      <c r="BD63" s="204"/>
      <c r="BE63" s="204"/>
      <c r="BF63" s="204"/>
      <c r="BG63" s="202"/>
      <c r="BH63" s="202"/>
      <c r="BI63" s="202"/>
      <c r="BJ63" s="202"/>
      <c r="BK63" s="202"/>
      <c r="BL63" s="202"/>
      <c r="BM63" s="202"/>
      <c r="BN63" s="202"/>
      <c r="BO63" s="202"/>
      <c r="BP63" s="202"/>
      <c r="BQ63" s="202"/>
      <c r="BR63" s="202"/>
      <c r="BS63" s="202"/>
      <c r="BT63" s="202"/>
      <c r="BU63" s="202"/>
      <c r="BV63" s="202"/>
      <c r="BW63" s="202"/>
      <c r="BX63" s="202"/>
      <c r="BY63" s="202"/>
      <c r="BZ63" s="202"/>
      <c r="CA63" s="202"/>
      <c r="CB63" s="202"/>
      <c r="CC63" s="202"/>
      <c r="CD63" s="202"/>
      <c r="CE63" s="202"/>
      <c r="CF63" s="202"/>
      <c r="CG63" s="202"/>
      <c r="CH63" s="202"/>
      <c r="CI63" s="202"/>
      <c r="CJ63" s="202"/>
      <c r="CK63" s="202"/>
      <c r="CL63" s="202"/>
      <c r="CM63" s="202"/>
      <c r="CN63" s="202"/>
      <c r="CO63" s="202"/>
      <c r="CP63" s="202"/>
      <c r="CQ63" s="202"/>
      <c r="CR63" s="202"/>
      <c r="CS63" s="202"/>
      <c r="CT63" s="202"/>
      <c r="CU63" s="202"/>
      <c r="CV63" s="202"/>
      <c r="CW63" s="202"/>
      <c r="CX63" s="202"/>
      <c r="CY63" s="202"/>
      <c r="CZ63" s="202"/>
      <c r="DA63" s="202"/>
      <c r="DB63" s="202"/>
      <c r="DC63" s="202"/>
      <c r="DD63" s="202"/>
      <c r="DE63" s="202"/>
      <c r="DF63" s="202"/>
      <c r="DG63" s="202"/>
      <c r="DH63" s="202"/>
      <c r="DI63" s="202"/>
      <c r="DJ63" s="207"/>
      <c r="DK63" s="202"/>
      <c r="DL63" s="202"/>
      <c r="DM63" s="202"/>
      <c r="DN63" s="202"/>
      <c r="DO63" s="202"/>
      <c r="DP63" s="202"/>
      <c r="DQ63" s="202"/>
      <c r="DR63" s="202"/>
      <c r="DS63" s="202"/>
      <c r="DT63" s="202"/>
      <c r="DU63" s="202"/>
      <c r="DV63" s="202"/>
      <c r="DW63" s="202"/>
      <c r="DX63" s="202"/>
      <c r="DY63" s="202"/>
      <c r="DZ63" s="202"/>
      <c r="EA63" s="202"/>
      <c r="EB63" s="202"/>
      <c r="EC63" s="202"/>
      <c r="ED63" s="208"/>
      <c r="EE63" s="208"/>
      <c r="EF63" s="208"/>
      <c r="EG63" s="208"/>
      <c r="EH63" s="208"/>
      <c r="EI63" s="208"/>
      <c r="EJ63" s="208"/>
      <c r="EK63" s="208"/>
      <c r="EL63" s="208"/>
      <c r="EM63" s="208"/>
      <c r="EN63" s="208"/>
      <c r="EO63" s="208"/>
      <c r="EP63" s="208"/>
      <c r="EQ63" s="208"/>
      <c r="ER63" s="252"/>
      <c r="ES63" s="208"/>
      <c r="ET63" s="252"/>
      <c r="EU63" s="252"/>
      <c r="EV63" s="252"/>
      <c r="EW63" s="252"/>
      <c r="EX63" s="252"/>
      <c r="EY63" s="252"/>
      <c r="EZ63" s="252"/>
      <c r="FA63" s="252"/>
      <c r="FB63" s="252"/>
      <c r="FC63" s="252"/>
      <c r="FD63" s="252"/>
      <c r="FE63" s="252"/>
      <c r="FF63" s="208"/>
      <c r="FG63" s="208"/>
      <c r="FH63" s="208"/>
      <c r="FI63" s="208"/>
      <c r="FJ63" s="208"/>
      <c r="FK63" s="208"/>
      <c r="FL63" s="199"/>
      <c r="FM63" s="199"/>
      <c r="FN63" s="199"/>
      <c r="FO63" s="208"/>
      <c r="FP63" s="208"/>
      <c r="FQ63" s="199"/>
      <c r="FR63" s="208"/>
      <c r="FS63" s="208"/>
      <c r="FT63" s="208"/>
      <c r="FU63" s="208"/>
      <c r="FV63" s="208"/>
      <c r="FW63" s="208"/>
      <c r="FX63" s="208"/>
      <c r="FY63" s="208"/>
      <c r="FZ63" s="208"/>
      <c r="GA63" s="208"/>
      <c r="GB63" s="208"/>
      <c r="GC63" s="208"/>
      <c r="GD63" s="208"/>
      <c r="GE63" s="208"/>
      <c r="GF63" s="199"/>
      <c r="GG63" s="208"/>
      <c r="GH63" s="208"/>
      <c r="GI63" s="208"/>
      <c r="GJ63" s="208"/>
      <c r="GK63" s="208"/>
      <c r="GL63" s="208"/>
      <c r="GM63" s="208"/>
      <c r="GN63" s="208"/>
      <c r="GO63" s="208"/>
      <c r="GP63" s="208"/>
      <c r="GQ63" s="208"/>
      <c r="GR63" s="208"/>
      <c r="GS63" s="208"/>
      <c r="GT63" s="208"/>
      <c r="GU63" s="155" t="s">
        <v>3882</v>
      </c>
      <c r="GV63" s="174"/>
      <c r="GW63" s="174"/>
      <c r="GX63" s="174"/>
      <c r="GY63" s="174"/>
      <c r="GZ63" s="174"/>
      <c r="HA63" s="174"/>
      <c r="HB63" s="174"/>
      <c r="HC63" s="174"/>
      <c r="HD63" s="174"/>
      <c r="HE63" s="174"/>
      <c r="HF63" s="174"/>
      <c r="HG63" s="174"/>
      <c r="HH63" s="174"/>
      <c r="HI63" s="174"/>
      <c r="HJ63" s="174"/>
      <c r="HK63" s="174"/>
      <c r="HL63" s="174"/>
      <c r="HM63" s="174"/>
      <c r="HN63" s="174"/>
      <c r="HO63" s="174"/>
      <c r="HP63" s="174"/>
      <c r="HQ63" s="174"/>
      <c r="HR63" s="174"/>
      <c r="HS63" s="174"/>
      <c r="HT63" s="174"/>
      <c r="HU63" s="174"/>
      <c r="HV63" s="174"/>
      <c r="HW63" s="174"/>
      <c r="HX63" s="174"/>
      <c r="HY63" s="174"/>
      <c r="HZ63" s="174"/>
      <c r="IA63" s="174"/>
      <c r="IB63" s="174"/>
      <c r="IC63" s="174"/>
      <c r="ID63" s="174"/>
      <c r="IE63" s="174"/>
      <c r="IF63" s="174"/>
      <c r="IG63" s="174"/>
      <c r="IH63" s="174"/>
      <c r="II63" s="174"/>
      <c r="IJ63" s="174"/>
      <c r="IK63" s="174"/>
      <c r="IL63" s="174"/>
      <c r="IM63" s="174"/>
      <c r="IN63" s="174"/>
      <c r="IO63" s="174"/>
      <c r="IP63" s="174"/>
      <c r="IQ63" s="174"/>
      <c r="IR63" s="174"/>
      <c r="IS63" s="174"/>
      <c r="IT63" s="174"/>
      <c r="IU63" s="174"/>
      <c r="IV63" s="174"/>
    </row>
    <row r="64" spans="1:256" s="247" customFormat="1" ht="13.8" hidden="1">
      <c r="A64" s="237"/>
      <c r="B64" s="238"/>
      <c r="C64" s="239"/>
      <c r="D64" s="239"/>
      <c r="E64" s="239"/>
      <c r="F64" s="239"/>
      <c r="G64" s="239"/>
      <c r="H64" s="239"/>
      <c r="I64" s="239"/>
      <c r="J64" s="240"/>
      <c r="K64" s="241"/>
      <c r="L64" s="242"/>
      <c r="M64" s="201"/>
      <c r="N64" s="243"/>
      <c r="O64" s="244"/>
      <c r="P64" s="241"/>
      <c r="Q64" s="241"/>
      <c r="R64" s="241"/>
      <c r="S64" s="241"/>
      <c r="T64" s="241"/>
      <c r="U64" s="241"/>
      <c r="V64" s="241"/>
      <c r="W64" s="243"/>
      <c r="X64" s="243"/>
      <c r="Y64" s="243"/>
      <c r="Z64" s="243"/>
      <c r="AA64" s="243"/>
      <c r="AB64" s="243"/>
      <c r="AC64" s="243"/>
      <c r="AD64" s="243"/>
      <c r="AE64" s="243"/>
      <c r="AF64" s="243"/>
      <c r="AG64" s="245"/>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6"/>
      <c r="EE64" s="246"/>
      <c r="EF64" s="246"/>
      <c r="EG64" s="246"/>
      <c r="EH64" s="246"/>
      <c r="EI64" s="246"/>
      <c r="EJ64" s="246"/>
      <c r="EK64" s="246"/>
      <c r="EL64" s="246"/>
      <c r="EM64" s="246"/>
      <c r="EN64" s="246"/>
      <c r="EO64" s="246"/>
      <c r="EP64" s="246"/>
      <c r="EQ64" s="246"/>
      <c r="ER64" s="245"/>
      <c r="ES64" s="246"/>
      <c r="ET64" s="245"/>
      <c r="EU64" s="245"/>
      <c r="EV64" s="245"/>
      <c r="EW64" s="245"/>
      <c r="EX64" s="245"/>
      <c r="EY64" s="245"/>
      <c r="EZ64" s="245"/>
      <c r="FA64" s="245"/>
      <c r="FB64" s="245"/>
      <c r="FC64" s="245"/>
      <c r="FD64" s="245"/>
      <c r="FE64" s="245"/>
      <c r="FF64" s="246"/>
      <c r="FG64" s="246"/>
      <c r="FH64" s="246"/>
      <c r="FI64" s="246"/>
      <c r="FJ64" s="246"/>
      <c r="FK64" s="246"/>
      <c r="FL64" s="241"/>
      <c r="FM64" s="241"/>
      <c r="FN64" s="241"/>
      <c r="FO64" s="246"/>
      <c r="FP64" s="246"/>
      <c r="FQ64" s="241"/>
      <c r="FR64" s="246"/>
      <c r="FS64" s="246"/>
      <c r="FT64" s="246"/>
      <c r="FU64" s="246"/>
      <c r="FV64" s="246"/>
      <c r="FW64" s="246"/>
      <c r="FX64" s="246"/>
      <c r="FY64" s="246"/>
      <c r="FZ64" s="246"/>
      <c r="GA64" s="246"/>
      <c r="GB64" s="246"/>
      <c r="GC64" s="246"/>
      <c r="GD64" s="246"/>
      <c r="GE64" s="246"/>
      <c r="GF64" s="241"/>
      <c r="GG64" s="246"/>
      <c r="GH64" s="246"/>
      <c r="GI64" s="246"/>
      <c r="GJ64" s="246"/>
      <c r="GK64" s="246"/>
      <c r="GL64" s="246"/>
      <c r="GM64" s="246"/>
      <c r="GN64" s="246"/>
      <c r="GO64" s="246"/>
      <c r="GP64" s="246"/>
      <c r="GQ64" s="246"/>
      <c r="GR64" s="246"/>
      <c r="GS64" s="246"/>
      <c r="GT64" s="246"/>
      <c r="GU64" s="157"/>
      <c r="GV64" s="174"/>
      <c r="GW64" s="174"/>
      <c r="GX64" s="174"/>
      <c r="GY64" s="174"/>
      <c r="GZ64" s="174"/>
      <c r="HA64" s="174"/>
      <c r="HB64" s="174"/>
      <c r="HC64" s="174"/>
      <c r="HD64" s="174"/>
      <c r="HE64" s="174"/>
      <c r="HF64" s="174"/>
      <c r="HG64" s="174"/>
      <c r="HH64" s="174"/>
      <c r="HI64" s="174"/>
      <c r="HJ64" s="174"/>
      <c r="HK64" s="174"/>
      <c r="HL64" s="174"/>
      <c r="HM64" s="174"/>
      <c r="HN64" s="174"/>
      <c r="HO64" s="174"/>
      <c r="HP64" s="174"/>
      <c r="HQ64" s="174"/>
      <c r="HR64" s="174"/>
      <c r="HS64" s="174"/>
      <c r="HT64" s="174"/>
      <c r="HU64" s="174"/>
      <c r="HV64" s="174"/>
      <c r="HW64" s="174"/>
      <c r="HX64" s="174"/>
      <c r="HY64" s="174"/>
      <c r="HZ64" s="174"/>
      <c r="IA64" s="174"/>
      <c r="IB64" s="174"/>
      <c r="IC64" s="174"/>
      <c r="ID64" s="174"/>
      <c r="IE64" s="174"/>
      <c r="IF64" s="174"/>
      <c r="IG64" s="174"/>
      <c r="IH64" s="174"/>
      <c r="II64" s="174"/>
      <c r="IJ64" s="174"/>
      <c r="IK64" s="174"/>
      <c r="IL64" s="174"/>
      <c r="IM64" s="174"/>
      <c r="IN64" s="174"/>
      <c r="IO64" s="174"/>
      <c r="IP64" s="174"/>
      <c r="IQ64" s="174"/>
      <c r="IR64" s="174"/>
      <c r="IS64" s="174"/>
      <c r="IT64" s="174"/>
      <c r="IU64" s="174"/>
      <c r="IV64" s="174"/>
    </row>
    <row r="65" spans="1:256" s="247" customFormat="1" ht="13.8" hidden="1">
      <c r="A65" s="269"/>
      <c r="B65" s="238"/>
      <c r="C65" s="239"/>
      <c r="D65" s="239"/>
      <c r="E65" s="239"/>
      <c r="F65" s="239"/>
      <c r="G65" s="239"/>
      <c r="H65" s="239"/>
      <c r="I65" s="239"/>
      <c r="J65" s="240"/>
      <c r="K65" s="241"/>
      <c r="L65" s="242"/>
      <c r="M65" s="201"/>
      <c r="N65" s="243"/>
      <c r="O65" s="244"/>
      <c r="P65" s="241"/>
      <c r="Q65" s="241"/>
      <c r="R65" s="241"/>
      <c r="S65" s="241"/>
      <c r="T65" s="241"/>
      <c r="U65" s="241"/>
      <c r="V65" s="241"/>
      <c r="W65" s="243"/>
      <c r="X65" s="243"/>
      <c r="Y65" s="243"/>
      <c r="Z65" s="243"/>
      <c r="AA65" s="243"/>
      <c r="AB65" s="243"/>
      <c r="AC65" s="243"/>
      <c r="AD65" s="243"/>
      <c r="AE65" s="243"/>
      <c r="AF65" s="243"/>
      <c r="AG65" s="245"/>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6"/>
      <c r="EE65" s="246"/>
      <c r="EF65" s="246"/>
      <c r="EG65" s="246"/>
      <c r="EH65" s="246"/>
      <c r="EI65" s="246"/>
      <c r="EJ65" s="246"/>
      <c r="EK65" s="246"/>
      <c r="EL65" s="246"/>
      <c r="EM65" s="246"/>
      <c r="EN65" s="246"/>
      <c r="EO65" s="246"/>
      <c r="EP65" s="246"/>
      <c r="EQ65" s="246"/>
      <c r="ER65" s="245"/>
      <c r="ES65" s="246"/>
      <c r="ET65" s="245"/>
      <c r="EU65" s="245"/>
      <c r="EV65" s="245"/>
      <c r="EW65" s="245"/>
      <c r="EX65" s="245"/>
      <c r="EY65" s="245"/>
      <c r="EZ65" s="245"/>
      <c r="FA65" s="245"/>
      <c r="FB65" s="245"/>
      <c r="FC65" s="245"/>
      <c r="FD65" s="245"/>
      <c r="FE65" s="245"/>
      <c r="FF65" s="246"/>
      <c r="FG65" s="246"/>
      <c r="FH65" s="246"/>
      <c r="FI65" s="246"/>
      <c r="FJ65" s="246"/>
      <c r="FK65" s="246"/>
      <c r="FL65" s="241"/>
      <c r="FM65" s="241"/>
      <c r="FN65" s="241"/>
      <c r="FO65" s="246"/>
      <c r="FP65" s="246"/>
      <c r="FQ65" s="241"/>
      <c r="FR65" s="246"/>
      <c r="FS65" s="246"/>
      <c r="FT65" s="246"/>
      <c r="FU65" s="246"/>
      <c r="FV65" s="246"/>
      <c r="FW65" s="246"/>
      <c r="FX65" s="246"/>
      <c r="FY65" s="246"/>
      <c r="FZ65" s="246"/>
      <c r="GA65" s="246"/>
      <c r="GB65" s="246"/>
      <c r="GC65" s="246"/>
      <c r="GD65" s="246"/>
      <c r="GE65" s="246"/>
      <c r="GF65" s="241"/>
      <c r="GG65" s="246"/>
      <c r="GH65" s="246"/>
      <c r="GI65" s="246"/>
      <c r="GJ65" s="246"/>
      <c r="GK65" s="246"/>
      <c r="GL65" s="246"/>
      <c r="GM65" s="246"/>
      <c r="GN65" s="246"/>
      <c r="GO65" s="246"/>
      <c r="GP65" s="246"/>
      <c r="GQ65" s="246"/>
      <c r="GR65" s="246"/>
      <c r="GS65" s="246"/>
      <c r="GT65" s="246"/>
      <c r="GU65" s="157"/>
      <c r="GV65" s="174"/>
      <c r="GW65" s="174"/>
      <c r="GX65" s="174"/>
      <c r="GY65" s="174"/>
      <c r="GZ65" s="174"/>
      <c r="HA65" s="174"/>
      <c r="HB65" s="174"/>
      <c r="HC65" s="174"/>
      <c r="HD65" s="174"/>
      <c r="HE65" s="174"/>
      <c r="HF65" s="174"/>
      <c r="HG65" s="174"/>
      <c r="HH65" s="174"/>
      <c r="HI65" s="174"/>
      <c r="HJ65" s="174"/>
      <c r="HK65" s="174"/>
      <c r="HL65" s="174"/>
      <c r="HM65" s="174"/>
      <c r="HN65" s="174"/>
      <c r="HO65" s="174"/>
      <c r="HP65" s="174"/>
      <c r="HQ65" s="174"/>
      <c r="HR65" s="174"/>
      <c r="HS65" s="174"/>
      <c r="HT65" s="174"/>
      <c r="HU65" s="174"/>
      <c r="HV65" s="174"/>
      <c r="HW65" s="174"/>
      <c r="HX65" s="174"/>
      <c r="HY65" s="174"/>
      <c r="HZ65" s="174"/>
      <c r="IA65" s="174"/>
      <c r="IB65" s="174"/>
      <c r="IC65" s="174"/>
      <c r="ID65" s="174"/>
      <c r="IE65" s="174"/>
      <c r="IF65" s="174"/>
      <c r="IG65" s="174"/>
      <c r="IH65" s="174"/>
      <c r="II65" s="174"/>
      <c r="IJ65" s="174"/>
      <c r="IK65" s="174"/>
      <c r="IL65" s="174"/>
      <c r="IM65" s="174"/>
      <c r="IN65" s="174"/>
      <c r="IO65" s="174"/>
      <c r="IP65" s="174"/>
      <c r="IQ65" s="174"/>
      <c r="IR65" s="174"/>
      <c r="IS65" s="174"/>
      <c r="IT65" s="174"/>
      <c r="IU65" s="174"/>
      <c r="IV65" s="174"/>
    </row>
    <row r="66" spans="1:256" s="247" customFormat="1" ht="13.8" hidden="1">
      <c r="A66" s="269"/>
      <c r="B66" s="238"/>
      <c r="C66" s="239"/>
      <c r="D66" s="239"/>
      <c r="E66" s="239"/>
      <c r="F66" s="239"/>
      <c r="G66" s="239"/>
      <c r="H66" s="239"/>
      <c r="I66" s="239"/>
      <c r="J66" s="240"/>
      <c r="K66" s="241"/>
      <c r="L66" s="242"/>
      <c r="M66" s="201"/>
      <c r="N66" s="243"/>
      <c r="O66" s="244"/>
      <c r="P66" s="241"/>
      <c r="Q66" s="241"/>
      <c r="R66" s="241"/>
      <c r="S66" s="241"/>
      <c r="T66" s="241"/>
      <c r="U66" s="241"/>
      <c r="V66" s="241"/>
      <c r="W66" s="243"/>
      <c r="X66" s="243"/>
      <c r="Y66" s="243"/>
      <c r="Z66" s="243"/>
      <c r="AA66" s="243"/>
      <c r="AB66" s="243"/>
      <c r="AC66" s="243"/>
      <c r="AD66" s="243"/>
      <c r="AE66" s="243"/>
      <c r="AF66" s="243"/>
      <c r="AG66" s="245"/>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6"/>
      <c r="EE66" s="246"/>
      <c r="EF66" s="246"/>
      <c r="EG66" s="246"/>
      <c r="EH66" s="246"/>
      <c r="EI66" s="246"/>
      <c r="EJ66" s="246"/>
      <c r="EK66" s="246"/>
      <c r="EL66" s="246"/>
      <c r="EM66" s="246"/>
      <c r="EN66" s="246"/>
      <c r="EO66" s="246"/>
      <c r="EP66" s="246"/>
      <c r="EQ66" s="246"/>
      <c r="ER66" s="245"/>
      <c r="ES66" s="246"/>
      <c r="ET66" s="245"/>
      <c r="EU66" s="245"/>
      <c r="EV66" s="245"/>
      <c r="EW66" s="245"/>
      <c r="EX66" s="245"/>
      <c r="EY66" s="245"/>
      <c r="EZ66" s="245"/>
      <c r="FA66" s="245"/>
      <c r="FB66" s="245"/>
      <c r="FC66" s="245"/>
      <c r="FD66" s="245"/>
      <c r="FE66" s="245"/>
      <c r="FF66" s="246"/>
      <c r="FG66" s="246"/>
      <c r="FH66" s="246"/>
      <c r="FI66" s="246"/>
      <c r="FJ66" s="246"/>
      <c r="FK66" s="246"/>
      <c r="FL66" s="241"/>
      <c r="FM66" s="241"/>
      <c r="FN66" s="241"/>
      <c r="FO66" s="246"/>
      <c r="FP66" s="246"/>
      <c r="FQ66" s="241"/>
      <c r="FR66" s="246"/>
      <c r="FS66" s="246"/>
      <c r="FT66" s="246"/>
      <c r="FU66" s="246"/>
      <c r="FV66" s="246"/>
      <c r="FW66" s="246"/>
      <c r="FX66" s="246"/>
      <c r="FY66" s="246"/>
      <c r="FZ66" s="246"/>
      <c r="GA66" s="246"/>
      <c r="GB66" s="246"/>
      <c r="GC66" s="246"/>
      <c r="GD66" s="246"/>
      <c r="GE66" s="246"/>
      <c r="GF66" s="241"/>
      <c r="GG66" s="246"/>
      <c r="GH66" s="246"/>
      <c r="GI66" s="246"/>
      <c r="GJ66" s="246"/>
      <c r="GK66" s="246"/>
      <c r="GL66" s="246"/>
      <c r="GM66" s="246"/>
      <c r="GN66" s="246"/>
      <c r="GO66" s="246"/>
      <c r="GP66" s="246"/>
      <c r="GQ66" s="246"/>
      <c r="GR66" s="246"/>
      <c r="GS66" s="246"/>
      <c r="GT66" s="246"/>
      <c r="GU66" s="157"/>
      <c r="GV66" s="174"/>
      <c r="GW66" s="174"/>
      <c r="GX66" s="174"/>
      <c r="GY66" s="174"/>
      <c r="GZ66" s="174"/>
      <c r="HA66" s="174"/>
      <c r="HB66" s="174"/>
      <c r="HC66" s="174"/>
      <c r="HD66" s="174"/>
      <c r="HE66" s="174"/>
      <c r="HF66" s="174"/>
      <c r="HG66" s="174"/>
      <c r="HH66" s="174"/>
      <c r="HI66" s="174"/>
      <c r="HJ66" s="174"/>
      <c r="HK66" s="174"/>
      <c r="HL66" s="174"/>
      <c r="HM66" s="174"/>
      <c r="HN66" s="174"/>
      <c r="HO66" s="174"/>
      <c r="HP66" s="174"/>
      <c r="HQ66" s="174"/>
      <c r="HR66" s="174"/>
      <c r="HS66" s="174"/>
      <c r="HT66" s="174"/>
      <c r="HU66" s="174"/>
      <c r="HV66" s="174"/>
      <c r="HW66" s="174"/>
      <c r="HX66" s="174"/>
      <c r="HY66" s="174"/>
      <c r="HZ66" s="174"/>
      <c r="IA66" s="174"/>
      <c r="IB66" s="174"/>
      <c r="IC66" s="174"/>
      <c r="ID66" s="174"/>
      <c r="IE66" s="174"/>
      <c r="IF66" s="174"/>
      <c r="IG66" s="174"/>
      <c r="IH66" s="174"/>
      <c r="II66" s="174"/>
      <c r="IJ66" s="174"/>
      <c r="IK66" s="174"/>
      <c r="IL66" s="174"/>
      <c r="IM66" s="174"/>
      <c r="IN66" s="174"/>
      <c r="IO66" s="174"/>
      <c r="IP66" s="174"/>
      <c r="IQ66" s="174"/>
      <c r="IR66" s="174"/>
      <c r="IS66" s="174"/>
      <c r="IT66" s="174"/>
      <c r="IU66" s="174"/>
      <c r="IV66" s="174"/>
    </row>
    <row r="67" spans="1:256" s="247" customFormat="1" ht="13.8" hidden="1">
      <c r="A67" s="237"/>
      <c r="B67" s="238"/>
      <c r="C67" s="239"/>
      <c r="D67" s="239"/>
      <c r="E67" s="239"/>
      <c r="F67" s="239"/>
      <c r="G67" s="239"/>
      <c r="H67" s="239"/>
      <c r="I67" s="239"/>
      <c r="J67" s="240"/>
      <c r="K67" s="241"/>
      <c r="L67" s="242"/>
      <c r="M67" s="201"/>
      <c r="N67" s="243"/>
      <c r="O67" s="244"/>
      <c r="P67" s="241"/>
      <c r="Q67" s="241"/>
      <c r="R67" s="241"/>
      <c r="S67" s="241"/>
      <c r="T67" s="241"/>
      <c r="U67" s="241"/>
      <c r="V67" s="241"/>
      <c r="W67" s="243"/>
      <c r="X67" s="243"/>
      <c r="Y67" s="243"/>
      <c r="Z67" s="243"/>
      <c r="AA67" s="243"/>
      <c r="AB67" s="243"/>
      <c r="AC67" s="243"/>
      <c r="AD67" s="243"/>
      <c r="AE67" s="243"/>
      <c r="AF67" s="243"/>
      <c r="AG67" s="245"/>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6"/>
      <c r="EE67" s="246"/>
      <c r="EF67" s="246"/>
      <c r="EG67" s="246"/>
      <c r="EH67" s="246"/>
      <c r="EI67" s="246"/>
      <c r="EJ67" s="246"/>
      <c r="EK67" s="246"/>
      <c r="EL67" s="246"/>
      <c r="EM67" s="246"/>
      <c r="EN67" s="246"/>
      <c r="EO67" s="246"/>
      <c r="EP67" s="246"/>
      <c r="EQ67" s="246"/>
      <c r="ER67" s="245"/>
      <c r="ES67" s="246"/>
      <c r="ET67" s="245"/>
      <c r="EU67" s="245"/>
      <c r="EV67" s="245"/>
      <c r="EW67" s="245"/>
      <c r="EX67" s="245"/>
      <c r="EY67" s="245"/>
      <c r="EZ67" s="245"/>
      <c r="FA67" s="245"/>
      <c r="FB67" s="245"/>
      <c r="FC67" s="245"/>
      <c r="FD67" s="245"/>
      <c r="FE67" s="245"/>
      <c r="FF67" s="246"/>
      <c r="FG67" s="246"/>
      <c r="FH67" s="246"/>
      <c r="FI67" s="246"/>
      <c r="FJ67" s="246"/>
      <c r="FK67" s="246"/>
      <c r="FL67" s="241"/>
      <c r="FM67" s="241"/>
      <c r="FN67" s="241"/>
      <c r="FO67" s="246"/>
      <c r="FP67" s="246"/>
      <c r="FQ67" s="241"/>
      <c r="FR67" s="246"/>
      <c r="FS67" s="246"/>
      <c r="FT67" s="246"/>
      <c r="FU67" s="246"/>
      <c r="FV67" s="246"/>
      <c r="FW67" s="246"/>
      <c r="FX67" s="246"/>
      <c r="FY67" s="246"/>
      <c r="FZ67" s="246"/>
      <c r="GA67" s="246"/>
      <c r="GB67" s="246"/>
      <c r="GC67" s="246"/>
      <c r="GD67" s="246"/>
      <c r="GE67" s="246"/>
      <c r="GF67" s="241"/>
      <c r="GG67" s="246"/>
      <c r="GH67" s="246"/>
      <c r="GI67" s="246"/>
      <c r="GJ67" s="246"/>
      <c r="GK67" s="246"/>
      <c r="GL67" s="246"/>
      <c r="GM67" s="246"/>
      <c r="GN67" s="246"/>
      <c r="GO67" s="246"/>
      <c r="GP67" s="246"/>
      <c r="GQ67" s="246"/>
      <c r="GR67" s="246"/>
      <c r="GS67" s="246"/>
      <c r="GT67" s="246"/>
      <c r="GU67" s="157"/>
      <c r="GV67" s="174"/>
      <c r="GW67" s="174"/>
      <c r="GX67" s="174"/>
      <c r="GY67" s="174"/>
      <c r="GZ67" s="174"/>
      <c r="HA67" s="174"/>
      <c r="HB67" s="174"/>
      <c r="HC67" s="174"/>
      <c r="HD67" s="174"/>
      <c r="HE67" s="174"/>
      <c r="HF67" s="174"/>
      <c r="HG67" s="174"/>
      <c r="HH67" s="174"/>
      <c r="HI67" s="174"/>
      <c r="HJ67" s="174"/>
      <c r="HK67" s="174"/>
      <c r="HL67" s="174"/>
      <c r="HM67" s="174"/>
      <c r="HN67" s="174"/>
      <c r="HO67" s="174"/>
      <c r="HP67" s="174"/>
      <c r="HQ67" s="174"/>
      <c r="HR67" s="174"/>
      <c r="HS67" s="174"/>
      <c r="HT67" s="174"/>
      <c r="HU67" s="174"/>
      <c r="HV67" s="174"/>
      <c r="HW67" s="174"/>
      <c r="HX67" s="174"/>
      <c r="HY67" s="174"/>
      <c r="HZ67" s="174"/>
      <c r="IA67" s="174"/>
      <c r="IB67" s="174"/>
      <c r="IC67" s="174"/>
      <c r="ID67" s="174"/>
      <c r="IE67" s="174"/>
      <c r="IF67" s="174"/>
      <c r="IG67" s="174"/>
      <c r="IH67" s="174"/>
      <c r="II67" s="174"/>
      <c r="IJ67" s="174"/>
      <c r="IK67" s="174"/>
      <c r="IL67" s="174"/>
      <c r="IM67" s="174"/>
      <c r="IN67" s="174"/>
      <c r="IO67" s="174"/>
      <c r="IP67" s="174"/>
      <c r="IQ67" s="174"/>
      <c r="IR67" s="174"/>
      <c r="IS67" s="174"/>
      <c r="IT67" s="174"/>
      <c r="IU67" s="174"/>
      <c r="IV67" s="174"/>
    </row>
    <row r="68" spans="1:256" s="247" customFormat="1" ht="13.8" hidden="1">
      <c r="A68" s="237"/>
      <c r="B68" s="238"/>
      <c r="C68" s="239"/>
      <c r="D68" s="239"/>
      <c r="E68" s="239"/>
      <c r="F68" s="239"/>
      <c r="G68" s="239"/>
      <c r="H68" s="239"/>
      <c r="I68" s="239"/>
      <c r="J68" s="240"/>
      <c r="K68" s="241"/>
      <c r="L68" s="242"/>
      <c r="M68" s="201"/>
      <c r="N68" s="243"/>
      <c r="O68" s="244"/>
      <c r="P68" s="241"/>
      <c r="Q68" s="241"/>
      <c r="R68" s="241"/>
      <c r="S68" s="241"/>
      <c r="T68" s="241"/>
      <c r="U68" s="241"/>
      <c r="V68" s="241"/>
      <c r="W68" s="243"/>
      <c r="X68" s="243"/>
      <c r="Y68" s="243"/>
      <c r="Z68" s="243"/>
      <c r="AA68" s="243"/>
      <c r="AB68" s="243"/>
      <c r="AC68" s="243"/>
      <c r="AD68" s="243"/>
      <c r="AE68" s="243"/>
      <c r="AF68" s="243"/>
      <c r="AG68" s="245"/>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6"/>
      <c r="EE68" s="246"/>
      <c r="EF68" s="246"/>
      <c r="EG68" s="246"/>
      <c r="EH68" s="246"/>
      <c r="EI68" s="246"/>
      <c r="EJ68" s="246"/>
      <c r="EK68" s="246"/>
      <c r="EL68" s="246"/>
      <c r="EM68" s="246"/>
      <c r="EN68" s="246"/>
      <c r="EO68" s="246"/>
      <c r="EP68" s="246"/>
      <c r="EQ68" s="246"/>
      <c r="ER68" s="245"/>
      <c r="ES68" s="246"/>
      <c r="ET68" s="245"/>
      <c r="EU68" s="245"/>
      <c r="EV68" s="245"/>
      <c r="EW68" s="245"/>
      <c r="EX68" s="245"/>
      <c r="EY68" s="245"/>
      <c r="EZ68" s="245"/>
      <c r="FA68" s="245"/>
      <c r="FB68" s="245"/>
      <c r="FC68" s="245"/>
      <c r="FD68" s="245"/>
      <c r="FE68" s="245"/>
      <c r="FF68" s="246"/>
      <c r="FG68" s="246"/>
      <c r="FH68" s="246"/>
      <c r="FI68" s="246"/>
      <c r="FJ68" s="246"/>
      <c r="FK68" s="246"/>
      <c r="FL68" s="241"/>
      <c r="FM68" s="241"/>
      <c r="FN68" s="241"/>
      <c r="FO68" s="246"/>
      <c r="FP68" s="246"/>
      <c r="FQ68" s="241"/>
      <c r="FR68" s="246"/>
      <c r="FS68" s="246"/>
      <c r="FT68" s="246"/>
      <c r="FU68" s="246"/>
      <c r="FV68" s="246"/>
      <c r="FW68" s="246"/>
      <c r="FX68" s="246"/>
      <c r="FY68" s="246"/>
      <c r="FZ68" s="246"/>
      <c r="GA68" s="246"/>
      <c r="GB68" s="246"/>
      <c r="GC68" s="246"/>
      <c r="GD68" s="246"/>
      <c r="GE68" s="246"/>
      <c r="GF68" s="241"/>
      <c r="GG68" s="246"/>
      <c r="GH68" s="246"/>
      <c r="GI68" s="246"/>
      <c r="GJ68" s="246"/>
      <c r="GK68" s="246"/>
      <c r="GL68" s="246"/>
      <c r="GM68" s="246"/>
      <c r="GN68" s="246"/>
      <c r="GO68" s="246"/>
      <c r="GP68" s="246"/>
      <c r="GQ68" s="246"/>
      <c r="GR68" s="246"/>
      <c r="GS68" s="246"/>
      <c r="GT68" s="246"/>
      <c r="GU68" s="157"/>
      <c r="GV68" s="174"/>
      <c r="GW68" s="174"/>
      <c r="GX68" s="174"/>
      <c r="GY68" s="174"/>
      <c r="GZ68" s="174"/>
      <c r="HA68" s="174"/>
      <c r="HB68" s="174"/>
      <c r="HC68" s="174"/>
      <c r="HD68" s="174"/>
      <c r="HE68" s="174"/>
      <c r="HF68" s="174"/>
      <c r="HG68" s="174"/>
      <c r="HH68" s="174"/>
      <c r="HI68" s="174"/>
      <c r="HJ68" s="174"/>
      <c r="HK68" s="174"/>
      <c r="HL68" s="174"/>
      <c r="HM68" s="174"/>
      <c r="HN68" s="174"/>
      <c r="HO68" s="174"/>
      <c r="HP68" s="174"/>
      <c r="HQ68" s="174"/>
      <c r="HR68" s="174"/>
      <c r="HS68" s="174"/>
      <c r="HT68" s="174"/>
      <c r="HU68" s="174"/>
      <c r="HV68" s="174"/>
      <c r="HW68" s="174"/>
      <c r="HX68" s="174"/>
      <c r="HY68" s="174"/>
      <c r="HZ68" s="174"/>
      <c r="IA68" s="174"/>
      <c r="IB68" s="174"/>
      <c r="IC68" s="174"/>
      <c r="ID68" s="174"/>
      <c r="IE68" s="174"/>
      <c r="IF68" s="174"/>
      <c r="IG68" s="174"/>
      <c r="IH68" s="174"/>
      <c r="II68" s="174"/>
      <c r="IJ68" s="174"/>
      <c r="IK68" s="174"/>
      <c r="IL68" s="174"/>
      <c r="IM68" s="174"/>
      <c r="IN68" s="174"/>
      <c r="IO68" s="174"/>
      <c r="IP68" s="174"/>
      <c r="IQ68" s="174"/>
      <c r="IR68" s="174"/>
      <c r="IS68" s="174"/>
      <c r="IT68" s="174"/>
      <c r="IU68" s="174"/>
      <c r="IV68" s="174"/>
    </row>
    <row r="69" spans="1:256" s="171" customFormat="1" ht="13.8" hidden="1">
      <c r="A69" s="270"/>
      <c r="B69" s="271"/>
      <c r="C69" s="272"/>
      <c r="D69" s="272"/>
      <c r="E69" s="272"/>
      <c r="F69" s="272"/>
      <c r="G69" s="272"/>
      <c r="H69" s="272"/>
      <c r="I69" s="272"/>
      <c r="J69" s="273"/>
      <c r="K69" s="199"/>
      <c r="L69" s="200"/>
      <c r="M69" s="201"/>
      <c r="N69" s="202"/>
      <c r="O69" s="274"/>
      <c r="P69" s="199"/>
      <c r="Q69" s="199"/>
      <c r="R69" s="199"/>
      <c r="S69" s="199"/>
      <c r="T69" s="199"/>
      <c r="U69" s="199"/>
      <c r="V69" s="199"/>
      <c r="W69" s="202"/>
      <c r="X69" s="202"/>
      <c r="Y69" s="202"/>
      <c r="Z69" s="202"/>
      <c r="AA69" s="202"/>
      <c r="AB69" s="202"/>
      <c r="AC69" s="202"/>
      <c r="AD69" s="202"/>
      <c r="AE69" s="202"/>
      <c r="AF69" s="202"/>
      <c r="AG69" s="70"/>
      <c r="AH69" s="202"/>
      <c r="AI69" s="202"/>
      <c r="AJ69" s="202"/>
      <c r="AK69" s="202"/>
      <c r="AL69" s="202"/>
      <c r="AM69" s="202"/>
      <c r="AN69" s="202"/>
      <c r="AO69" s="202"/>
      <c r="AP69" s="202"/>
      <c r="AQ69" s="202"/>
      <c r="AR69" s="202"/>
      <c r="AS69" s="202"/>
      <c r="AT69" s="202"/>
      <c r="AU69" s="202"/>
      <c r="AV69" s="202"/>
      <c r="AW69" s="202"/>
      <c r="AX69" s="202"/>
      <c r="AY69" s="202"/>
      <c r="AZ69" s="202"/>
      <c r="BA69" s="202"/>
      <c r="BB69" s="202"/>
      <c r="BC69" s="202"/>
      <c r="BD69" s="202"/>
      <c r="BE69" s="202"/>
      <c r="BF69" s="202"/>
      <c r="BG69" s="202"/>
      <c r="BH69" s="202"/>
      <c r="BI69" s="202"/>
      <c r="BJ69" s="202"/>
      <c r="BK69" s="202"/>
      <c r="BL69" s="202"/>
      <c r="BM69" s="202"/>
      <c r="BN69" s="202"/>
      <c r="BO69" s="202"/>
      <c r="BP69" s="202"/>
      <c r="BQ69" s="202"/>
      <c r="BR69" s="202"/>
      <c r="BS69" s="202"/>
      <c r="BT69" s="202"/>
      <c r="BU69" s="202"/>
      <c r="BV69" s="202"/>
      <c r="BW69" s="202"/>
      <c r="BX69" s="202"/>
      <c r="BY69" s="202"/>
      <c r="BZ69" s="202"/>
      <c r="CA69" s="202"/>
      <c r="CB69" s="202"/>
      <c r="CC69" s="202"/>
      <c r="CD69" s="202"/>
      <c r="CE69" s="202"/>
      <c r="CF69" s="202"/>
      <c r="CG69" s="202"/>
      <c r="CH69" s="202"/>
      <c r="CI69" s="202"/>
      <c r="CJ69" s="202"/>
      <c r="CK69" s="202"/>
      <c r="CL69" s="202"/>
      <c r="CM69" s="202"/>
      <c r="CN69" s="202"/>
      <c r="CO69" s="202"/>
      <c r="CP69" s="202"/>
      <c r="CQ69" s="202"/>
      <c r="CR69" s="202"/>
      <c r="CS69" s="202"/>
      <c r="CT69" s="202"/>
      <c r="CU69" s="202"/>
      <c r="CV69" s="202"/>
      <c r="CW69" s="202"/>
      <c r="CX69" s="202"/>
      <c r="CY69" s="202"/>
      <c r="CZ69" s="202"/>
      <c r="DA69" s="202"/>
      <c r="DB69" s="202"/>
      <c r="DC69" s="202"/>
      <c r="DD69" s="202"/>
      <c r="DE69" s="202"/>
      <c r="DF69" s="202"/>
      <c r="DG69" s="202"/>
      <c r="DH69" s="202"/>
      <c r="DI69" s="202"/>
      <c r="DJ69" s="202"/>
      <c r="DK69" s="202"/>
      <c r="DL69" s="202"/>
      <c r="DM69" s="202"/>
      <c r="DN69" s="202"/>
      <c r="DO69" s="202"/>
      <c r="DP69" s="202"/>
      <c r="DQ69" s="202"/>
      <c r="DR69" s="202"/>
      <c r="DS69" s="202"/>
      <c r="DT69" s="202"/>
      <c r="DU69" s="202"/>
      <c r="DV69" s="202"/>
      <c r="DW69" s="202"/>
      <c r="DX69" s="202"/>
      <c r="DY69" s="202"/>
      <c r="DZ69" s="202"/>
      <c r="EA69" s="202"/>
      <c r="EB69" s="202"/>
      <c r="EC69" s="202"/>
      <c r="ED69" s="208"/>
      <c r="EE69" s="208"/>
      <c r="EF69" s="208"/>
      <c r="EG69" s="208"/>
      <c r="EH69" s="208"/>
      <c r="EI69" s="208"/>
      <c r="EJ69" s="208"/>
      <c r="EK69" s="208"/>
      <c r="EL69" s="208"/>
      <c r="EM69" s="208"/>
      <c r="EN69" s="208"/>
      <c r="EO69" s="208"/>
      <c r="EP69" s="208"/>
      <c r="EQ69" s="208"/>
      <c r="ER69" s="70"/>
      <c r="ES69" s="208"/>
      <c r="ET69" s="70"/>
      <c r="EU69" s="70"/>
      <c r="EV69" s="70"/>
      <c r="EW69" s="70"/>
      <c r="EX69" s="70"/>
      <c r="EY69" s="70"/>
      <c r="EZ69" s="70"/>
      <c r="FA69" s="70"/>
      <c r="FB69" s="70"/>
      <c r="FC69" s="70"/>
      <c r="FD69" s="70"/>
      <c r="FE69" s="70"/>
      <c r="FF69" s="208"/>
      <c r="FG69" s="208"/>
      <c r="FH69" s="208"/>
      <c r="FI69" s="208"/>
      <c r="FJ69" s="208"/>
      <c r="FK69" s="208"/>
      <c r="FL69" s="199"/>
      <c r="FM69" s="199"/>
      <c r="FN69" s="199"/>
      <c r="FO69" s="208"/>
      <c r="FP69" s="208"/>
      <c r="FQ69" s="199"/>
      <c r="FR69" s="208"/>
      <c r="FS69" s="208"/>
      <c r="FT69" s="208"/>
      <c r="FU69" s="208"/>
      <c r="FV69" s="208"/>
      <c r="FW69" s="208"/>
      <c r="FX69" s="208"/>
      <c r="FY69" s="208"/>
      <c r="FZ69" s="208"/>
      <c r="GA69" s="208"/>
      <c r="GB69" s="208"/>
      <c r="GC69" s="208"/>
      <c r="GD69" s="208"/>
      <c r="GE69" s="208"/>
      <c r="GF69" s="199"/>
      <c r="GG69" s="208"/>
      <c r="GH69" s="208"/>
      <c r="GI69" s="208"/>
      <c r="GJ69" s="208"/>
      <c r="GK69" s="208"/>
      <c r="GL69" s="208"/>
      <c r="GM69" s="208"/>
      <c r="GN69" s="208"/>
      <c r="GO69" s="208"/>
      <c r="GP69" s="208"/>
      <c r="GQ69" s="208"/>
      <c r="GR69" s="208"/>
      <c r="GS69" s="208"/>
      <c r="GT69" s="208"/>
      <c r="GU69" s="155" t="s">
        <v>3882</v>
      </c>
      <c r="GV69" s="174"/>
      <c r="GW69" s="174"/>
      <c r="GX69" s="174"/>
      <c r="GY69" s="174"/>
      <c r="GZ69" s="174"/>
      <c r="HA69" s="174"/>
      <c r="HB69" s="174"/>
      <c r="HC69" s="174"/>
      <c r="HD69" s="174"/>
      <c r="HE69" s="174"/>
      <c r="HF69" s="174"/>
      <c r="HG69" s="174"/>
      <c r="HH69" s="174"/>
      <c r="HI69" s="174"/>
      <c r="HJ69" s="174"/>
      <c r="HK69" s="174"/>
      <c r="HL69" s="174"/>
      <c r="HM69" s="174"/>
      <c r="HN69" s="174"/>
      <c r="HO69" s="174"/>
      <c r="HP69" s="174"/>
      <c r="HQ69" s="174"/>
      <c r="HR69" s="174"/>
      <c r="HS69" s="174"/>
      <c r="HT69" s="174"/>
      <c r="HU69" s="174"/>
      <c r="HV69" s="174"/>
      <c r="HW69" s="174"/>
      <c r="HX69" s="174"/>
      <c r="HY69" s="174"/>
      <c r="HZ69" s="174"/>
      <c r="IA69" s="174"/>
      <c r="IB69" s="174"/>
      <c r="IC69" s="174"/>
      <c r="ID69" s="174"/>
      <c r="IE69" s="174"/>
      <c r="IF69" s="174"/>
      <c r="IG69" s="174"/>
      <c r="IH69" s="174"/>
      <c r="II69" s="174"/>
      <c r="IJ69" s="174"/>
      <c r="IK69" s="174"/>
      <c r="IL69" s="174"/>
      <c r="IM69" s="174"/>
      <c r="IN69" s="174"/>
      <c r="IO69" s="174"/>
      <c r="IP69" s="174"/>
      <c r="IQ69" s="174"/>
      <c r="IR69" s="174"/>
      <c r="IS69" s="174"/>
      <c r="IT69" s="174"/>
      <c r="IU69" s="174"/>
      <c r="IV69" s="174"/>
    </row>
    <row r="70" spans="1:256" s="247" customFormat="1" ht="13.8" hidden="1">
      <c r="A70" s="269"/>
      <c r="B70" s="238"/>
      <c r="C70" s="239"/>
      <c r="D70" s="239"/>
      <c r="E70" s="239"/>
      <c r="F70" s="239"/>
      <c r="G70" s="239"/>
      <c r="H70" s="239"/>
      <c r="I70" s="239"/>
      <c r="J70" s="240"/>
      <c r="K70" s="241"/>
      <c r="L70" s="242"/>
      <c r="M70" s="201"/>
      <c r="N70" s="243"/>
      <c r="O70" s="244"/>
      <c r="P70" s="241"/>
      <c r="Q70" s="241"/>
      <c r="R70" s="241"/>
      <c r="S70" s="241"/>
      <c r="T70" s="241"/>
      <c r="U70" s="241"/>
      <c r="V70" s="241"/>
      <c r="W70" s="243"/>
      <c r="X70" s="243"/>
      <c r="Y70" s="243"/>
      <c r="Z70" s="243"/>
      <c r="AA70" s="243"/>
      <c r="AB70" s="243"/>
      <c r="AC70" s="243"/>
      <c r="AD70" s="243"/>
      <c r="AE70" s="243"/>
      <c r="AF70" s="243"/>
      <c r="AG70" s="245"/>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6"/>
      <c r="EE70" s="246"/>
      <c r="EF70" s="246"/>
      <c r="EG70" s="246"/>
      <c r="EH70" s="246"/>
      <c r="EI70" s="246"/>
      <c r="EJ70" s="246"/>
      <c r="EK70" s="246"/>
      <c r="EL70" s="246"/>
      <c r="EM70" s="246"/>
      <c r="EN70" s="246"/>
      <c r="EO70" s="246"/>
      <c r="EP70" s="246"/>
      <c r="EQ70" s="246"/>
      <c r="ER70" s="245"/>
      <c r="ES70" s="246"/>
      <c r="ET70" s="245"/>
      <c r="EU70" s="245"/>
      <c r="EV70" s="245"/>
      <c r="EW70" s="245"/>
      <c r="EX70" s="245"/>
      <c r="EY70" s="245"/>
      <c r="EZ70" s="245"/>
      <c r="FA70" s="245"/>
      <c r="FB70" s="245"/>
      <c r="FC70" s="245"/>
      <c r="FD70" s="245"/>
      <c r="FE70" s="245"/>
      <c r="FF70" s="246"/>
      <c r="FG70" s="246"/>
      <c r="FH70" s="246"/>
      <c r="FI70" s="246"/>
      <c r="FJ70" s="246"/>
      <c r="FK70" s="246"/>
      <c r="FL70" s="241"/>
      <c r="FM70" s="241"/>
      <c r="FN70" s="241"/>
      <c r="FO70" s="246"/>
      <c r="FP70" s="246"/>
      <c r="FQ70" s="241"/>
      <c r="FR70" s="246"/>
      <c r="FS70" s="246"/>
      <c r="FT70" s="246"/>
      <c r="FU70" s="246"/>
      <c r="FV70" s="246"/>
      <c r="FW70" s="246"/>
      <c r="FX70" s="246"/>
      <c r="FY70" s="246"/>
      <c r="FZ70" s="246"/>
      <c r="GA70" s="246"/>
      <c r="GB70" s="246"/>
      <c r="GC70" s="246"/>
      <c r="GD70" s="246"/>
      <c r="GE70" s="246"/>
      <c r="GF70" s="241"/>
      <c r="GG70" s="246"/>
      <c r="GH70" s="246"/>
      <c r="GI70" s="246"/>
      <c r="GJ70" s="246"/>
      <c r="GK70" s="246"/>
      <c r="GL70" s="246"/>
      <c r="GM70" s="246"/>
      <c r="GN70" s="246"/>
      <c r="GO70" s="246"/>
      <c r="GP70" s="246"/>
      <c r="GQ70" s="246"/>
      <c r="GR70" s="246"/>
      <c r="GS70" s="246"/>
      <c r="GT70" s="246"/>
      <c r="GU70" s="157"/>
      <c r="GV70" s="174"/>
      <c r="GW70" s="174"/>
      <c r="GX70" s="174"/>
      <c r="GY70" s="174"/>
      <c r="GZ70" s="174"/>
      <c r="HA70" s="174"/>
      <c r="HB70" s="174"/>
      <c r="HC70" s="174"/>
      <c r="HD70" s="174"/>
      <c r="HE70" s="174"/>
      <c r="HF70" s="174"/>
      <c r="HG70" s="174"/>
      <c r="HH70" s="174"/>
      <c r="HI70" s="174"/>
      <c r="HJ70" s="174"/>
      <c r="HK70" s="174"/>
      <c r="HL70" s="174"/>
      <c r="HM70" s="174"/>
      <c r="HN70" s="174"/>
      <c r="HO70" s="174"/>
      <c r="HP70" s="174"/>
      <c r="HQ70" s="174"/>
      <c r="HR70" s="174"/>
      <c r="HS70" s="174"/>
      <c r="HT70" s="174"/>
      <c r="HU70" s="174"/>
      <c r="HV70" s="174"/>
      <c r="HW70" s="174"/>
      <c r="HX70" s="174"/>
      <c r="HY70" s="174"/>
      <c r="HZ70" s="174"/>
      <c r="IA70" s="174"/>
      <c r="IB70" s="174"/>
      <c r="IC70" s="174"/>
      <c r="ID70" s="174"/>
      <c r="IE70" s="174"/>
      <c r="IF70" s="174"/>
      <c r="IG70" s="174"/>
      <c r="IH70" s="174"/>
      <c r="II70" s="174"/>
      <c r="IJ70" s="174"/>
      <c r="IK70" s="174"/>
      <c r="IL70" s="174"/>
      <c r="IM70" s="174"/>
      <c r="IN70" s="174"/>
      <c r="IO70" s="174"/>
      <c r="IP70" s="174"/>
      <c r="IQ70" s="174"/>
      <c r="IR70" s="174"/>
      <c r="IS70" s="174"/>
      <c r="IT70" s="174"/>
      <c r="IU70" s="174"/>
      <c r="IV70" s="174"/>
    </row>
    <row r="71" spans="1:256" s="247" customFormat="1" ht="13.8" hidden="1">
      <c r="A71" s="269"/>
      <c r="B71" s="238"/>
      <c r="C71" s="239"/>
      <c r="D71" s="239"/>
      <c r="E71" s="239"/>
      <c r="F71" s="239"/>
      <c r="G71" s="239"/>
      <c r="H71" s="239"/>
      <c r="I71" s="239"/>
      <c r="J71" s="240"/>
      <c r="K71" s="241"/>
      <c r="L71" s="242"/>
      <c r="M71" s="201"/>
      <c r="N71" s="243"/>
      <c r="O71" s="244"/>
      <c r="P71" s="241"/>
      <c r="Q71" s="241"/>
      <c r="R71" s="241"/>
      <c r="S71" s="241"/>
      <c r="T71" s="241"/>
      <c r="U71" s="241"/>
      <c r="V71" s="241"/>
      <c r="W71" s="243"/>
      <c r="X71" s="243"/>
      <c r="Y71" s="243"/>
      <c r="Z71" s="243"/>
      <c r="AA71" s="243"/>
      <c r="AB71" s="243"/>
      <c r="AC71" s="243"/>
      <c r="AD71" s="243"/>
      <c r="AE71" s="243"/>
      <c r="AF71" s="243"/>
      <c r="AG71" s="245"/>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6"/>
      <c r="EE71" s="246"/>
      <c r="EF71" s="246"/>
      <c r="EG71" s="246"/>
      <c r="EH71" s="246"/>
      <c r="EI71" s="246"/>
      <c r="EJ71" s="246"/>
      <c r="EK71" s="246"/>
      <c r="EL71" s="246"/>
      <c r="EM71" s="246"/>
      <c r="EN71" s="246"/>
      <c r="EO71" s="246"/>
      <c r="EP71" s="246"/>
      <c r="EQ71" s="246"/>
      <c r="ER71" s="245"/>
      <c r="ES71" s="246"/>
      <c r="ET71" s="245"/>
      <c r="EU71" s="245"/>
      <c r="EV71" s="245"/>
      <c r="EW71" s="245"/>
      <c r="EX71" s="245"/>
      <c r="EY71" s="245"/>
      <c r="EZ71" s="245"/>
      <c r="FA71" s="245"/>
      <c r="FB71" s="245"/>
      <c r="FC71" s="245"/>
      <c r="FD71" s="245"/>
      <c r="FE71" s="245"/>
      <c r="FF71" s="246"/>
      <c r="FG71" s="246"/>
      <c r="FH71" s="246"/>
      <c r="FI71" s="246"/>
      <c r="FJ71" s="246"/>
      <c r="FK71" s="246"/>
      <c r="FL71" s="241"/>
      <c r="FM71" s="241"/>
      <c r="FN71" s="241"/>
      <c r="FO71" s="246"/>
      <c r="FP71" s="246"/>
      <c r="FQ71" s="241"/>
      <c r="FR71" s="246"/>
      <c r="FS71" s="246"/>
      <c r="FT71" s="246"/>
      <c r="FU71" s="246"/>
      <c r="FV71" s="246"/>
      <c r="FW71" s="246"/>
      <c r="FX71" s="246"/>
      <c r="FY71" s="246"/>
      <c r="FZ71" s="246"/>
      <c r="GA71" s="246"/>
      <c r="GB71" s="246"/>
      <c r="GC71" s="246"/>
      <c r="GD71" s="246"/>
      <c r="GE71" s="246"/>
      <c r="GF71" s="241"/>
      <c r="GG71" s="246"/>
      <c r="GH71" s="246"/>
      <c r="GI71" s="246"/>
      <c r="GJ71" s="246"/>
      <c r="GK71" s="246"/>
      <c r="GL71" s="246"/>
      <c r="GM71" s="246"/>
      <c r="GN71" s="246"/>
      <c r="GO71" s="246"/>
      <c r="GP71" s="246"/>
      <c r="GQ71" s="246"/>
      <c r="GR71" s="246"/>
      <c r="GS71" s="246"/>
      <c r="GT71" s="246"/>
      <c r="GU71" s="157"/>
      <c r="GV71" s="174"/>
      <c r="GW71" s="174"/>
      <c r="GX71" s="174"/>
      <c r="GY71" s="174"/>
      <c r="GZ71" s="174"/>
      <c r="HA71" s="174"/>
      <c r="HB71" s="174"/>
      <c r="HC71" s="174"/>
      <c r="HD71" s="174"/>
      <c r="HE71" s="174"/>
      <c r="HF71" s="174"/>
      <c r="HG71" s="174"/>
      <c r="HH71" s="174"/>
      <c r="HI71" s="174"/>
      <c r="HJ71" s="174"/>
      <c r="HK71" s="174"/>
      <c r="HL71" s="174"/>
      <c r="HM71" s="174"/>
      <c r="HN71" s="174"/>
      <c r="HO71" s="174"/>
      <c r="HP71" s="174"/>
      <c r="HQ71" s="174"/>
      <c r="HR71" s="174"/>
      <c r="HS71" s="174"/>
      <c r="HT71" s="174"/>
      <c r="HU71" s="174"/>
      <c r="HV71" s="174"/>
      <c r="HW71" s="174"/>
      <c r="HX71" s="174"/>
      <c r="HY71" s="174"/>
      <c r="HZ71" s="174"/>
      <c r="IA71" s="174"/>
      <c r="IB71" s="174"/>
      <c r="IC71" s="174"/>
      <c r="ID71" s="174"/>
      <c r="IE71" s="174"/>
      <c r="IF71" s="174"/>
      <c r="IG71" s="174"/>
      <c r="IH71" s="174"/>
      <c r="II71" s="174"/>
      <c r="IJ71" s="174"/>
      <c r="IK71" s="174"/>
      <c r="IL71" s="174"/>
      <c r="IM71" s="174"/>
      <c r="IN71" s="174"/>
      <c r="IO71" s="174"/>
      <c r="IP71" s="174"/>
      <c r="IQ71" s="174"/>
      <c r="IR71" s="174"/>
      <c r="IS71" s="174"/>
      <c r="IT71" s="174"/>
      <c r="IU71" s="174"/>
      <c r="IV71" s="174"/>
    </row>
    <row r="72" spans="1:256" s="171" customFormat="1" ht="13.8" hidden="1">
      <c r="A72" s="270"/>
      <c r="B72" s="271"/>
      <c r="C72" s="272"/>
      <c r="D72" s="272"/>
      <c r="E72" s="272"/>
      <c r="F72" s="272"/>
      <c r="G72" s="272"/>
      <c r="H72" s="272"/>
      <c r="I72" s="272"/>
      <c r="J72" s="273"/>
      <c r="K72" s="199"/>
      <c r="L72" s="200"/>
      <c r="M72" s="201"/>
      <c r="N72" s="202"/>
      <c r="O72" s="274"/>
      <c r="P72" s="199"/>
      <c r="Q72" s="199"/>
      <c r="R72" s="199"/>
      <c r="S72" s="199"/>
      <c r="T72" s="199"/>
      <c r="U72" s="199"/>
      <c r="V72" s="199"/>
      <c r="W72" s="202"/>
      <c r="X72" s="202"/>
      <c r="Y72" s="202"/>
      <c r="Z72" s="202"/>
      <c r="AA72" s="202"/>
      <c r="AB72" s="202"/>
      <c r="AC72" s="202"/>
      <c r="AD72" s="202"/>
      <c r="AE72" s="202"/>
      <c r="AF72" s="202"/>
      <c r="AG72" s="202"/>
      <c r="AH72" s="202"/>
      <c r="AI72" s="202"/>
      <c r="AJ72" s="202"/>
      <c r="AK72" s="202"/>
      <c r="AL72" s="202"/>
      <c r="AM72" s="202"/>
      <c r="AN72" s="202"/>
      <c r="AO72" s="202"/>
      <c r="AP72" s="202"/>
      <c r="AQ72" s="202"/>
      <c r="AR72" s="202"/>
      <c r="AS72" s="202"/>
      <c r="AT72" s="202"/>
      <c r="AU72" s="202"/>
      <c r="AV72" s="202"/>
      <c r="AW72" s="202"/>
      <c r="AX72" s="202"/>
      <c r="AY72" s="202"/>
      <c r="AZ72" s="202"/>
      <c r="BA72" s="202"/>
      <c r="BB72" s="202"/>
      <c r="BC72" s="202"/>
      <c r="BD72" s="202"/>
      <c r="BE72" s="202"/>
      <c r="BF72" s="202"/>
      <c r="BG72" s="202"/>
      <c r="BH72" s="202"/>
      <c r="BI72" s="202"/>
      <c r="BJ72" s="202"/>
      <c r="BK72" s="202"/>
      <c r="BL72" s="202"/>
      <c r="BM72" s="202"/>
      <c r="BN72" s="202"/>
      <c r="BO72" s="202"/>
      <c r="BP72" s="202"/>
      <c r="BQ72" s="202"/>
      <c r="BR72" s="202"/>
      <c r="BS72" s="202"/>
      <c r="BT72" s="202"/>
      <c r="BU72" s="202"/>
      <c r="BV72" s="202"/>
      <c r="BW72" s="202"/>
      <c r="BX72" s="202"/>
      <c r="BY72" s="202"/>
      <c r="BZ72" s="202"/>
      <c r="CA72" s="202"/>
      <c r="CB72" s="202"/>
      <c r="CC72" s="202"/>
      <c r="CD72" s="202"/>
      <c r="CE72" s="202"/>
      <c r="CF72" s="202"/>
      <c r="CG72" s="202"/>
      <c r="CH72" s="202"/>
      <c r="CI72" s="202"/>
      <c r="CJ72" s="202"/>
      <c r="CK72" s="202"/>
      <c r="CL72" s="202"/>
      <c r="CM72" s="202"/>
      <c r="CN72" s="202"/>
      <c r="CO72" s="202"/>
      <c r="CP72" s="202"/>
      <c r="CQ72" s="202"/>
      <c r="CR72" s="202"/>
      <c r="CS72" s="202"/>
      <c r="CT72" s="202"/>
      <c r="CU72" s="202"/>
      <c r="CV72" s="202"/>
      <c r="CW72" s="202"/>
      <c r="CX72" s="202"/>
      <c r="CY72" s="202"/>
      <c r="CZ72" s="202"/>
      <c r="DA72" s="202"/>
      <c r="DB72" s="202"/>
      <c r="DC72" s="202"/>
      <c r="DD72" s="202"/>
      <c r="DE72" s="202"/>
      <c r="DF72" s="202"/>
      <c r="DG72" s="202"/>
      <c r="DH72" s="202"/>
      <c r="DI72" s="202"/>
      <c r="DJ72" s="202"/>
      <c r="DK72" s="202"/>
      <c r="DL72" s="202"/>
      <c r="DM72" s="202"/>
      <c r="DN72" s="202"/>
      <c r="DO72" s="202"/>
      <c r="DP72" s="202"/>
      <c r="DQ72" s="202"/>
      <c r="DR72" s="202"/>
      <c r="DS72" s="202"/>
      <c r="DT72" s="202"/>
      <c r="DU72" s="202"/>
      <c r="DV72" s="202"/>
      <c r="DW72" s="202"/>
      <c r="DX72" s="202"/>
      <c r="DY72" s="202"/>
      <c r="DZ72" s="202"/>
      <c r="EA72" s="202"/>
      <c r="EB72" s="202"/>
      <c r="EC72" s="202"/>
      <c r="ED72" s="208"/>
      <c r="EE72" s="208"/>
      <c r="EF72" s="208"/>
      <c r="EG72" s="208"/>
      <c r="EH72" s="208"/>
      <c r="EI72" s="208"/>
      <c r="EJ72" s="208"/>
      <c r="EK72" s="208"/>
      <c r="EL72" s="208"/>
      <c r="EM72" s="208"/>
      <c r="EN72" s="208"/>
      <c r="EO72" s="208"/>
      <c r="EP72" s="208"/>
      <c r="EQ72" s="208"/>
      <c r="ER72" s="208"/>
      <c r="ES72" s="208"/>
      <c r="ET72" s="208"/>
      <c r="EU72" s="208"/>
      <c r="EV72" s="208"/>
      <c r="EW72" s="208"/>
      <c r="EX72" s="208"/>
      <c r="EY72" s="208"/>
      <c r="EZ72" s="208"/>
      <c r="FA72" s="208"/>
      <c r="FB72" s="208"/>
      <c r="FC72" s="208"/>
      <c r="FD72" s="208"/>
      <c r="FE72" s="208"/>
      <c r="FF72" s="208"/>
      <c r="FG72" s="208"/>
      <c r="FH72" s="208"/>
      <c r="FI72" s="208"/>
      <c r="FJ72" s="208"/>
      <c r="FK72" s="208"/>
      <c r="FL72" s="199"/>
      <c r="FM72" s="199"/>
      <c r="FN72" s="199"/>
      <c r="FO72" s="208"/>
      <c r="FP72" s="208"/>
      <c r="FQ72" s="199"/>
      <c r="FR72" s="208"/>
      <c r="FS72" s="208"/>
      <c r="FT72" s="208"/>
      <c r="FU72" s="208"/>
      <c r="FV72" s="208"/>
      <c r="FW72" s="208"/>
      <c r="FX72" s="208"/>
      <c r="FY72" s="208"/>
      <c r="FZ72" s="208"/>
      <c r="GA72" s="208"/>
      <c r="GB72" s="208"/>
      <c r="GC72" s="208"/>
      <c r="GD72" s="208"/>
      <c r="GE72" s="208"/>
      <c r="GF72" s="199"/>
      <c r="GG72" s="208"/>
      <c r="GH72" s="208"/>
      <c r="GI72" s="208"/>
      <c r="GJ72" s="208"/>
      <c r="GK72" s="208"/>
      <c r="GL72" s="208"/>
      <c r="GM72" s="208"/>
      <c r="GN72" s="208"/>
      <c r="GO72" s="208"/>
      <c r="GP72" s="208"/>
      <c r="GQ72" s="208"/>
      <c r="GR72" s="208"/>
      <c r="GS72" s="208"/>
      <c r="GT72" s="208"/>
      <c r="GU72" s="155" t="s">
        <v>3882</v>
      </c>
      <c r="GV72" s="174"/>
      <c r="GW72" s="174"/>
      <c r="GX72" s="174"/>
      <c r="GY72" s="174"/>
      <c r="GZ72" s="174"/>
      <c r="HA72" s="174"/>
      <c r="HB72" s="174"/>
      <c r="HC72" s="174"/>
      <c r="HD72" s="174"/>
      <c r="HE72" s="174"/>
      <c r="HF72" s="174"/>
      <c r="HG72" s="174"/>
      <c r="HH72" s="174"/>
      <c r="HI72" s="174"/>
      <c r="HJ72" s="174"/>
      <c r="HK72" s="174"/>
      <c r="HL72" s="174"/>
      <c r="HM72" s="174"/>
      <c r="HN72" s="174"/>
      <c r="HO72" s="174"/>
      <c r="HP72" s="174"/>
      <c r="HQ72" s="174"/>
      <c r="HR72" s="174"/>
      <c r="HS72" s="174"/>
      <c r="HT72" s="174"/>
      <c r="HU72" s="174"/>
      <c r="HV72" s="174"/>
      <c r="HW72" s="174"/>
      <c r="HX72" s="174"/>
      <c r="HY72" s="174"/>
      <c r="HZ72" s="174"/>
      <c r="IA72" s="174"/>
      <c r="IB72" s="174"/>
      <c r="IC72" s="174"/>
      <c r="ID72" s="174"/>
      <c r="IE72" s="174"/>
      <c r="IF72" s="174"/>
      <c r="IG72" s="174"/>
      <c r="IH72" s="174"/>
      <c r="II72" s="174"/>
      <c r="IJ72" s="174"/>
      <c r="IK72" s="174"/>
      <c r="IL72" s="174"/>
      <c r="IM72" s="174"/>
      <c r="IN72" s="174"/>
      <c r="IO72" s="174"/>
      <c r="IP72" s="174"/>
      <c r="IQ72" s="174"/>
      <c r="IR72" s="174"/>
      <c r="IS72" s="174"/>
      <c r="IT72" s="174"/>
      <c r="IU72" s="174"/>
      <c r="IV72" s="174"/>
    </row>
    <row r="73" spans="1:256" s="171" customFormat="1" ht="13.8" hidden="1">
      <c r="A73" s="270"/>
      <c r="B73" s="271"/>
      <c r="C73" s="272"/>
      <c r="D73" s="272"/>
      <c r="E73" s="272"/>
      <c r="F73" s="272"/>
      <c r="G73" s="272"/>
      <c r="H73" s="272"/>
      <c r="I73" s="272"/>
      <c r="J73" s="273"/>
      <c r="K73" s="199"/>
      <c r="L73" s="200"/>
      <c r="M73" s="201"/>
      <c r="N73" s="202"/>
      <c r="O73" s="274"/>
      <c r="P73" s="199"/>
      <c r="Q73" s="199"/>
      <c r="R73" s="199"/>
      <c r="S73" s="199"/>
      <c r="T73" s="199"/>
      <c r="U73" s="199"/>
      <c r="V73" s="199"/>
      <c r="W73" s="202"/>
      <c r="X73" s="202"/>
      <c r="Y73" s="202"/>
      <c r="Z73" s="202"/>
      <c r="AA73" s="202"/>
      <c r="AB73" s="202"/>
      <c r="AC73" s="202"/>
      <c r="AD73" s="202"/>
      <c r="AE73" s="202"/>
      <c r="AF73" s="202"/>
      <c r="AG73" s="202"/>
      <c r="AH73" s="202"/>
      <c r="AI73" s="202"/>
      <c r="AJ73" s="202"/>
      <c r="AK73" s="202"/>
      <c r="AL73" s="202"/>
      <c r="AM73" s="202"/>
      <c r="AN73" s="202"/>
      <c r="AO73" s="202"/>
      <c r="AP73" s="202"/>
      <c r="AQ73" s="202"/>
      <c r="AR73" s="202"/>
      <c r="AS73" s="202"/>
      <c r="AT73" s="202"/>
      <c r="AU73" s="202"/>
      <c r="AV73" s="202"/>
      <c r="AW73" s="202"/>
      <c r="AX73" s="202"/>
      <c r="AY73" s="202"/>
      <c r="AZ73" s="202"/>
      <c r="BA73" s="202"/>
      <c r="BB73" s="202"/>
      <c r="BC73" s="202"/>
      <c r="BD73" s="202"/>
      <c r="BE73" s="202"/>
      <c r="BF73" s="202"/>
      <c r="BG73" s="202"/>
      <c r="BH73" s="202"/>
      <c r="BI73" s="202"/>
      <c r="BJ73" s="202"/>
      <c r="BK73" s="202"/>
      <c r="BL73" s="202"/>
      <c r="BM73" s="202"/>
      <c r="BN73" s="202"/>
      <c r="BO73" s="202"/>
      <c r="BP73" s="202"/>
      <c r="BQ73" s="202"/>
      <c r="BR73" s="202"/>
      <c r="BS73" s="202"/>
      <c r="BT73" s="202"/>
      <c r="BU73" s="202"/>
      <c r="BV73" s="202"/>
      <c r="BW73" s="202"/>
      <c r="BX73" s="202"/>
      <c r="BY73" s="202"/>
      <c r="BZ73" s="202"/>
      <c r="CA73" s="202"/>
      <c r="CB73" s="202"/>
      <c r="CC73" s="202"/>
      <c r="CD73" s="202"/>
      <c r="CE73" s="202"/>
      <c r="CF73" s="202"/>
      <c r="CG73" s="202"/>
      <c r="CH73" s="202"/>
      <c r="CI73" s="202"/>
      <c r="CJ73" s="202"/>
      <c r="CK73" s="202"/>
      <c r="CL73" s="202"/>
      <c r="CM73" s="202"/>
      <c r="CN73" s="202"/>
      <c r="CO73" s="202"/>
      <c r="CP73" s="202"/>
      <c r="CQ73" s="202"/>
      <c r="CR73" s="202"/>
      <c r="CS73" s="202"/>
      <c r="CT73" s="202"/>
      <c r="CU73" s="202"/>
      <c r="CV73" s="202"/>
      <c r="CW73" s="202"/>
      <c r="CX73" s="202"/>
      <c r="CY73" s="202"/>
      <c r="CZ73" s="202"/>
      <c r="DA73" s="202"/>
      <c r="DB73" s="202"/>
      <c r="DC73" s="202"/>
      <c r="DD73" s="202"/>
      <c r="DE73" s="202"/>
      <c r="DF73" s="202"/>
      <c r="DG73" s="202"/>
      <c r="DH73" s="202"/>
      <c r="DI73" s="202"/>
      <c r="DJ73" s="202"/>
      <c r="DK73" s="202"/>
      <c r="DL73" s="202"/>
      <c r="DM73" s="202"/>
      <c r="DN73" s="202"/>
      <c r="DO73" s="202"/>
      <c r="DP73" s="202"/>
      <c r="DQ73" s="202"/>
      <c r="DR73" s="202"/>
      <c r="DS73" s="202"/>
      <c r="DT73" s="202"/>
      <c r="DU73" s="202"/>
      <c r="DV73" s="202"/>
      <c r="DW73" s="202"/>
      <c r="DX73" s="202"/>
      <c r="DY73" s="202"/>
      <c r="DZ73" s="202"/>
      <c r="EA73" s="202"/>
      <c r="EB73" s="202"/>
      <c r="EC73" s="202"/>
      <c r="ED73" s="208"/>
      <c r="EE73" s="208"/>
      <c r="EF73" s="208"/>
      <c r="EG73" s="208"/>
      <c r="EH73" s="208"/>
      <c r="EI73" s="208"/>
      <c r="EJ73" s="208"/>
      <c r="EK73" s="208"/>
      <c r="EL73" s="208"/>
      <c r="EM73" s="208"/>
      <c r="EN73" s="208"/>
      <c r="EO73" s="208"/>
      <c r="EP73" s="208"/>
      <c r="EQ73" s="208"/>
      <c r="ER73" s="208"/>
      <c r="ES73" s="208"/>
      <c r="ET73" s="208"/>
      <c r="EU73" s="208"/>
      <c r="EV73" s="208"/>
      <c r="EW73" s="208"/>
      <c r="EX73" s="208"/>
      <c r="EY73" s="208"/>
      <c r="EZ73" s="208"/>
      <c r="FA73" s="208"/>
      <c r="FB73" s="208"/>
      <c r="FC73" s="208"/>
      <c r="FD73" s="208"/>
      <c r="FE73" s="208"/>
      <c r="FF73" s="208"/>
      <c r="FG73" s="208"/>
      <c r="FH73" s="208"/>
      <c r="FI73" s="208"/>
      <c r="FJ73" s="208"/>
      <c r="FK73" s="208"/>
      <c r="FL73" s="199"/>
      <c r="FM73" s="199"/>
      <c r="FN73" s="199"/>
      <c r="FO73" s="208"/>
      <c r="FP73" s="208"/>
      <c r="FQ73" s="199"/>
      <c r="FR73" s="208"/>
      <c r="FS73" s="208"/>
      <c r="FT73" s="208"/>
      <c r="FU73" s="208"/>
      <c r="FV73" s="208"/>
      <c r="FW73" s="208"/>
      <c r="FX73" s="208"/>
      <c r="FY73" s="208"/>
      <c r="FZ73" s="208"/>
      <c r="GA73" s="208"/>
      <c r="GB73" s="208"/>
      <c r="GC73" s="208"/>
      <c r="GD73" s="208"/>
      <c r="GE73" s="208"/>
      <c r="GF73" s="199"/>
      <c r="GG73" s="208"/>
      <c r="GH73" s="208"/>
      <c r="GI73" s="208"/>
      <c r="GJ73" s="208"/>
      <c r="GK73" s="208"/>
      <c r="GL73" s="208"/>
      <c r="GM73" s="208"/>
      <c r="GN73" s="208"/>
      <c r="GO73" s="208"/>
      <c r="GP73" s="208"/>
      <c r="GQ73" s="208"/>
      <c r="GR73" s="208"/>
      <c r="GS73" s="208"/>
      <c r="GT73" s="208"/>
      <c r="GU73" s="155" t="s">
        <v>3882</v>
      </c>
      <c r="GV73" s="174"/>
      <c r="GW73" s="174"/>
      <c r="GX73" s="174"/>
      <c r="GY73" s="174"/>
      <c r="GZ73" s="174"/>
      <c r="HA73" s="174"/>
      <c r="HB73" s="174"/>
      <c r="HC73" s="174"/>
      <c r="HD73" s="174"/>
      <c r="HE73" s="174"/>
      <c r="HF73" s="174"/>
      <c r="HG73" s="174"/>
      <c r="HH73" s="174"/>
      <c r="HI73" s="174"/>
      <c r="HJ73" s="174"/>
      <c r="HK73" s="174"/>
      <c r="HL73" s="174"/>
      <c r="HM73" s="174"/>
      <c r="HN73" s="174"/>
      <c r="HO73" s="174"/>
      <c r="HP73" s="174"/>
      <c r="HQ73" s="174"/>
      <c r="HR73" s="174"/>
      <c r="HS73" s="174"/>
      <c r="HT73" s="174"/>
      <c r="HU73" s="174"/>
      <c r="HV73" s="174"/>
      <c r="HW73" s="174"/>
      <c r="HX73" s="174"/>
      <c r="HY73" s="174"/>
      <c r="HZ73" s="174"/>
      <c r="IA73" s="174"/>
      <c r="IB73" s="174"/>
      <c r="IC73" s="174"/>
      <c r="ID73" s="174"/>
      <c r="IE73" s="174"/>
      <c r="IF73" s="174"/>
      <c r="IG73" s="174"/>
      <c r="IH73" s="174"/>
      <c r="II73" s="174"/>
      <c r="IJ73" s="174"/>
      <c r="IK73" s="174"/>
      <c r="IL73" s="174"/>
      <c r="IM73" s="174"/>
      <c r="IN73" s="174"/>
      <c r="IO73" s="174"/>
      <c r="IP73" s="174"/>
      <c r="IQ73" s="174"/>
      <c r="IR73" s="174"/>
      <c r="IS73" s="174"/>
      <c r="IT73" s="174"/>
      <c r="IU73" s="174"/>
      <c r="IV73" s="174"/>
    </row>
    <row r="74" spans="1:256" s="171" customFormat="1" ht="13.8" hidden="1">
      <c r="A74" s="270"/>
      <c r="B74" s="271"/>
      <c r="C74" s="272"/>
      <c r="D74" s="272"/>
      <c r="E74" s="272"/>
      <c r="F74" s="272"/>
      <c r="G74" s="272"/>
      <c r="H74" s="272"/>
      <c r="I74" s="272"/>
      <c r="J74" s="273"/>
      <c r="K74" s="199"/>
      <c r="L74" s="200"/>
      <c r="M74" s="201"/>
      <c r="N74" s="202"/>
      <c r="O74" s="274"/>
      <c r="P74" s="199"/>
      <c r="Q74" s="199"/>
      <c r="R74" s="199"/>
      <c r="S74" s="199"/>
      <c r="T74" s="199"/>
      <c r="U74" s="199"/>
      <c r="V74" s="199"/>
      <c r="W74" s="202"/>
      <c r="X74" s="202"/>
      <c r="Y74" s="202"/>
      <c r="Z74" s="202"/>
      <c r="AA74" s="202"/>
      <c r="AB74" s="202"/>
      <c r="AC74" s="202"/>
      <c r="AD74" s="202"/>
      <c r="AE74" s="202"/>
      <c r="AF74" s="202"/>
      <c r="AG74" s="202"/>
      <c r="AH74" s="202"/>
      <c r="AI74" s="202"/>
      <c r="AJ74" s="202"/>
      <c r="AK74" s="202"/>
      <c r="AL74" s="202"/>
      <c r="AM74" s="202"/>
      <c r="AN74" s="202"/>
      <c r="AO74" s="202"/>
      <c r="AP74" s="202"/>
      <c r="AQ74" s="202"/>
      <c r="AR74" s="202"/>
      <c r="AS74" s="202"/>
      <c r="AT74" s="202"/>
      <c r="AU74" s="202"/>
      <c r="AV74" s="202"/>
      <c r="AW74" s="202"/>
      <c r="AX74" s="202"/>
      <c r="AY74" s="202"/>
      <c r="AZ74" s="202"/>
      <c r="BA74" s="202"/>
      <c r="BB74" s="202"/>
      <c r="BC74" s="202"/>
      <c r="BD74" s="202"/>
      <c r="BE74" s="202"/>
      <c r="BF74" s="202"/>
      <c r="BG74" s="202"/>
      <c r="BH74" s="202"/>
      <c r="BI74" s="202"/>
      <c r="BJ74" s="202"/>
      <c r="BK74" s="202"/>
      <c r="BL74" s="202"/>
      <c r="BM74" s="202"/>
      <c r="BN74" s="202"/>
      <c r="BO74" s="202"/>
      <c r="BP74" s="202"/>
      <c r="BQ74" s="202"/>
      <c r="BR74" s="202"/>
      <c r="BS74" s="202"/>
      <c r="BT74" s="202"/>
      <c r="BU74" s="202"/>
      <c r="BV74" s="202"/>
      <c r="BW74" s="202"/>
      <c r="BX74" s="202"/>
      <c r="BY74" s="202"/>
      <c r="BZ74" s="202"/>
      <c r="CA74" s="202"/>
      <c r="CB74" s="202"/>
      <c r="CC74" s="202"/>
      <c r="CD74" s="202"/>
      <c r="CE74" s="202"/>
      <c r="CF74" s="202"/>
      <c r="CG74" s="202"/>
      <c r="CH74" s="202"/>
      <c r="CI74" s="202"/>
      <c r="CJ74" s="202"/>
      <c r="CK74" s="202"/>
      <c r="CL74" s="202"/>
      <c r="CM74" s="202"/>
      <c r="CN74" s="202"/>
      <c r="CO74" s="202"/>
      <c r="CP74" s="202"/>
      <c r="CQ74" s="202"/>
      <c r="CR74" s="202"/>
      <c r="CS74" s="202"/>
      <c r="CT74" s="202"/>
      <c r="CU74" s="202"/>
      <c r="CV74" s="202"/>
      <c r="CW74" s="202"/>
      <c r="CX74" s="202"/>
      <c r="CY74" s="202"/>
      <c r="CZ74" s="202"/>
      <c r="DA74" s="202"/>
      <c r="DB74" s="202"/>
      <c r="DC74" s="202"/>
      <c r="DD74" s="202"/>
      <c r="DE74" s="202"/>
      <c r="DF74" s="202"/>
      <c r="DG74" s="202"/>
      <c r="DH74" s="202"/>
      <c r="DI74" s="202"/>
      <c r="DJ74" s="202"/>
      <c r="DK74" s="202"/>
      <c r="DL74" s="202"/>
      <c r="DM74" s="202"/>
      <c r="DN74" s="202"/>
      <c r="DO74" s="202"/>
      <c r="DP74" s="202"/>
      <c r="DQ74" s="202"/>
      <c r="DR74" s="202"/>
      <c r="DS74" s="202"/>
      <c r="DT74" s="202"/>
      <c r="DU74" s="202"/>
      <c r="DV74" s="202"/>
      <c r="DW74" s="202"/>
      <c r="DX74" s="202"/>
      <c r="DY74" s="202"/>
      <c r="DZ74" s="202"/>
      <c r="EA74" s="202"/>
      <c r="EB74" s="202"/>
      <c r="EC74" s="202"/>
      <c r="ED74" s="208"/>
      <c r="EE74" s="208"/>
      <c r="EF74" s="208"/>
      <c r="EG74" s="208"/>
      <c r="EH74" s="208"/>
      <c r="EI74" s="208"/>
      <c r="EJ74" s="208"/>
      <c r="EK74" s="208"/>
      <c r="EL74" s="208"/>
      <c r="EM74" s="208"/>
      <c r="EN74" s="208"/>
      <c r="EO74" s="208"/>
      <c r="EP74" s="208"/>
      <c r="EQ74" s="208"/>
      <c r="ER74" s="208"/>
      <c r="ES74" s="208"/>
      <c r="ET74" s="208"/>
      <c r="EU74" s="208"/>
      <c r="EV74" s="208"/>
      <c r="EW74" s="208"/>
      <c r="EX74" s="208"/>
      <c r="EY74" s="208"/>
      <c r="EZ74" s="208"/>
      <c r="FA74" s="208"/>
      <c r="FB74" s="208"/>
      <c r="FC74" s="208"/>
      <c r="FD74" s="208"/>
      <c r="FE74" s="208"/>
      <c r="FF74" s="208"/>
      <c r="FG74" s="208"/>
      <c r="FH74" s="208"/>
      <c r="FI74" s="208"/>
      <c r="FJ74" s="208"/>
      <c r="FK74" s="208"/>
      <c r="FL74" s="199"/>
      <c r="FM74" s="199"/>
      <c r="FN74" s="199"/>
      <c r="FO74" s="208"/>
      <c r="FP74" s="208"/>
      <c r="FQ74" s="199"/>
      <c r="FR74" s="208"/>
      <c r="FS74" s="208"/>
      <c r="FT74" s="208"/>
      <c r="FU74" s="208"/>
      <c r="FV74" s="208"/>
      <c r="FW74" s="208"/>
      <c r="FX74" s="208"/>
      <c r="FY74" s="208"/>
      <c r="FZ74" s="208"/>
      <c r="GA74" s="208"/>
      <c r="GB74" s="208"/>
      <c r="GC74" s="208"/>
      <c r="GD74" s="208"/>
      <c r="GE74" s="208"/>
      <c r="GF74" s="199"/>
      <c r="GG74" s="208"/>
      <c r="GH74" s="208"/>
      <c r="GI74" s="208"/>
      <c r="GJ74" s="208"/>
      <c r="GK74" s="208"/>
      <c r="GL74" s="208"/>
      <c r="GM74" s="208"/>
      <c r="GN74" s="208"/>
      <c r="GO74" s="208"/>
      <c r="GP74" s="208"/>
      <c r="GQ74" s="208"/>
      <c r="GR74" s="208"/>
      <c r="GS74" s="208"/>
      <c r="GT74" s="208"/>
      <c r="GU74" s="155" t="s">
        <v>3882</v>
      </c>
      <c r="GV74" s="174"/>
      <c r="GW74" s="174"/>
      <c r="GX74" s="174"/>
      <c r="GY74" s="174"/>
      <c r="GZ74" s="174"/>
      <c r="HA74" s="174"/>
      <c r="HB74" s="174"/>
      <c r="HC74" s="174"/>
      <c r="HD74" s="174"/>
      <c r="HE74" s="174"/>
      <c r="HF74" s="174"/>
      <c r="HG74" s="174"/>
      <c r="HH74" s="174"/>
      <c r="HI74" s="174"/>
      <c r="HJ74" s="174"/>
      <c r="HK74" s="174"/>
      <c r="HL74" s="174"/>
      <c r="HM74" s="174"/>
      <c r="HN74" s="174"/>
      <c r="HO74" s="174"/>
      <c r="HP74" s="174"/>
      <c r="HQ74" s="174"/>
      <c r="HR74" s="174"/>
      <c r="HS74" s="174"/>
      <c r="HT74" s="174"/>
      <c r="HU74" s="174"/>
      <c r="HV74" s="174"/>
      <c r="HW74" s="174"/>
      <c r="HX74" s="174"/>
      <c r="HY74" s="174"/>
      <c r="HZ74" s="174"/>
      <c r="IA74" s="174"/>
      <c r="IB74" s="174"/>
      <c r="IC74" s="174"/>
      <c r="ID74" s="174"/>
      <c r="IE74" s="174"/>
      <c r="IF74" s="174"/>
      <c r="IG74" s="174"/>
      <c r="IH74" s="174"/>
      <c r="II74" s="174"/>
      <c r="IJ74" s="174"/>
      <c r="IK74" s="174"/>
      <c r="IL74" s="174"/>
      <c r="IM74" s="174"/>
      <c r="IN74" s="174"/>
      <c r="IO74" s="174"/>
      <c r="IP74" s="174"/>
      <c r="IQ74" s="174"/>
      <c r="IR74" s="174"/>
      <c r="IS74" s="174"/>
      <c r="IT74" s="174"/>
      <c r="IU74" s="174"/>
      <c r="IV74" s="174"/>
    </row>
    <row r="75" spans="1:256" s="171" customFormat="1" ht="13.8" hidden="1">
      <c r="A75" s="270"/>
      <c r="B75" s="271"/>
      <c r="C75" s="272"/>
      <c r="D75" s="272"/>
      <c r="E75" s="272"/>
      <c r="F75" s="272"/>
      <c r="G75" s="272"/>
      <c r="H75" s="272"/>
      <c r="I75" s="272"/>
      <c r="J75" s="273"/>
      <c r="K75" s="199"/>
      <c r="L75" s="200"/>
      <c r="M75" s="201"/>
      <c r="N75" s="202"/>
      <c r="O75" s="274"/>
      <c r="P75" s="199"/>
      <c r="Q75" s="199"/>
      <c r="R75" s="199"/>
      <c r="S75" s="199"/>
      <c r="T75" s="199"/>
      <c r="U75" s="199"/>
      <c r="V75" s="199"/>
      <c r="W75" s="202"/>
      <c r="X75" s="202"/>
      <c r="Y75" s="202"/>
      <c r="Z75" s="202"/>
      <c r="AA75" s="202"/>
      <c r="AB75" s="202"/>
      <c r="AC75" s="202"/>
      <c r="AD75" s="202"/>
      <c r="AE75" s="202"/>
      <c r="AF75" s="202"/>
      <c r="AG75" s="202"/>
      <c r="AH75" s="202"/>
      <c r="AI75" s="202"/>
      <c r="AJ75" s="202"/>
      <c r="AK75" s="202"/>
      <c r="AL75" s="202"/>
      <c r="AM75" s="202"/>
      <c r="AN75" s="202"/>
      <c r="AO75" s="202"/>
      <c r="AP75" s="202"/>
      <c r="AQ75" s="202"/>
      <c r="AR75" s="202"/>
      <c r="AS75" s="202"/>
      <c r="AT75" s="202"/>
      <c r="AU75" s="202"/>
      <c r="AV75" s="202"/>
      <c r="AW75" s="202"/>
      <c r="AX75" s="202"/>
      <c r="AY75" s="202"/>
      <c r="AZ75" s="202"/>
      <c r="BA75" s="202"/>
      <c r="BB75" s="202"/>
      <c r="BC75" s="202"/>
      <c r="BD75" s="202"/>
      <c r="BE75" s="202"/>
      <c r="BF75" s="202"/>
      <c r="BG75" s="202"/>
      <c r="BH75" s="202"/>
      <c r="BI75" s="202"/>
      <c r="BJ75" s="202"/>
      <c r="BK75" s="202"/>
      <c r="BL75" s="202"/>
      <c r="BM75" s="202"/>
      <c r="BN75" s="202"/>
      <c r="BO75" s="202"/>
      <c r="BP75" s="202"/>
      <c r="BQ75" s="202"/>
      <c r="BR75" s="202"/>
      <c r="BS75" s="202"/>
      <c r="BT75" s="202"/>
      <c r="BU75" s="202"/>
      <c r="BV75" s="202"/>
      <c r="BW75" s="202"/>
      <c r="BX75" s="202"/>
      <c r="BY75" s="202"/>
      <c r="BZ75" s="202"/>
      <c r="CA75" s="202"/>
      <c r="CB75" s="202"/>
      <c r="CC75" s="202"/>
      <c r="CD75" s="202"/>
      <c r="CE75" s="202"/>
      <c r="CF75" s="202"/>
      <c r="CG75" s="202"/>
      <c r="CH75" s="202"/>
      <c r="CI75" s="202"/>
      <c r="CJ75" s="202"/>
      <c r="CK75" s="202"/>
      <c r="CL75" s="202"/>
      <c r="CM75" s="202"/>
      <c r="CN75" s="202"/>
      <c r="CO75" s="202"/>
      <c r="CP75" s="202"/>
      <c r="CQ75" s="202"/>
      <c r="CR75" s="202"/>
      <c r="CS75" s="202"/>
      <c r="CT75" s="202"/>
      <c r="CU75" s="202"/>
      <c r="CV75" s="202"/>
      <c r="CW75" s="202"/>
      <c r="CX75" s="202"/>
      <c r="CY75" s="202"/>
      <c r="CZ75" s="202"/>
      <c r="DA75" s="202"/>
      <c r="DB75" s="202"/>
      <c r="DC75" s="202"/>
      <c r="DD75" s="202"/>
      <c r="DE75" s="202"/>
      <c r="DF75" s="202"/>
      <c r="DG75" s="202"/>
      <c r="DH75" s="202"/>
      <c r="DI75" s="202"/>
      <c r="DJ75" s="202"/>
      <c r="DK75" s="202"/>
      <c r="DL75" s="202"/>
      <c r="DM75" s="202"/>
      <c r="DN75" s="202"/>
      <c r="DO75" s="202"/>
      <c r="DP75" s="202"/>
      <c r="DQ75" s="202"/>
      <c r="DR75" s="202"/>
      <c r="DS75" s="202"/>
      <c r="DT75" s="202"/>
      <c r="DU75" s="202"/>
      <c r="DV75" s="202"/>
      <c r="DW75" s="202"/>
      <c r="DX75" s="202"/>
      <c r="DY75" s="202"/>
      <c r="DZ75" s="202"/>
      <c r="EA75" s="202"/>
      <c r="EB75" s="202"/>
      <c r="EC75" s="202"/>
      <c r="ED75" s="208"/>
      <c r="EE75" s="208"/>
      <c r="EF75" s="208"/>
      <c r="EG75" s="208"/>
      <c r="EH75" s="208"/>
      <c r="EI75" s="208"/>
      <c r="EJ75" s="208"/>
      <c r="EK75" s="208"/>
      <c r="EL75" s="208"/>
      <c r="EM75" s="208"/>
      <c r="EN75" s="208"/>
      <c r="EO75" s="208"/>
      <c r="EP75" s="208"/>
      <c r="EQ75" s="208"/>
      <c r="ER75" s="208"/>
      <c r="ES75" s="208"/>
      <c r="ET75" s="208"/>
      <c r="EU75" s="208"/>
      <c r="EV75" s="208"/>
      <c r="EW75" s="208"/>
      <c r="EX75" s="208"/>
      <c r="EY75" s="208"/>
      <c r="EZ75" s="208"/>
      <c r="FA75" s="208"/>
      <c r="FB75" s="208"/>
      <c r="FC75" s="208"/>
      <c r="FD75" s="208"/>
      <c r="FE75" s="208"/>
      <c r="FF75" s="208"/>
      <c r="FG75" s="208"/>
      <c r="FH75" s="208"/>
      <c r="FI75" s="208"/>
      <c r="FJ75" s="208"/>
      <c r="FK75" s="208"/>
      <c r="FL75" s="199"/>
      <c r="FM75" s="199"/>
      <c r="FN75" s="199"/>
      <c r="FO75" s="208"/>
      <c r="FP75" s="208"/>
      <c r="FQ75" s="199"/>
      <c r="FR75" s="208"/>
      <c r="FS75" s="208"/>
      <c r="FT75" s="208"/>
      <c r="FU75" s="208"/>
      <c r="FV75" s="208"/>
      <c r="FW75" s="208"/>
      <c r="FX75" s="208"/>
      <c r="FY75" s="208"/>
      <c r="FZ75" s="208"/>
      <c r="GA75" s="208"/>
      <c r="GB75" s="208"/>
      <c r="GC75" s="208"/>
      <c r="GD75" s="208"/>
      <c r="GE75" s="208"/>
      <c r="GF75" s="199"/>
      <c r="GG75" s="208"/>
      <c r="GH75" s="208"/>
      <c r="GI75" s="208"/>
      <c r="GJ75" s="208"/>
      <c r="GK75" s="208"/>
      <c r="GL75" s="208"/>
      <c r="GM75" s="208"/>
      <c r="GN75" s="208"/>
      <c r="GO75" s="208"/>
      <c r="GP75" s="208"/>
      <c r="GQ75" s="208"/>
      <c r="GR75" s="208"/>
      <c r="GS75" s="208"/>
      <c r="GT75" s="208"/>
      <c r="GU75" s="155" t="s">
        <v>3882</v>
      </c>
      <c r="GV75" s="174"/>
      <c r="GW75" s="174"/>
      <c r="GX75" s="174"/>
      <c r="GY75" s="174"/>
      <c r="GZ75" s="174"/>
      <c r="HA75" s="174"/>
      <c r="HB75" s="174"/>
      <c r="HC75" s="174"/>
      <c r="HD75" s="174"/>
      <c r="HE75" s="174"/>
      <c r="HF75" s="174"/>
      <c r="HG75" s="174"/>
      <c r="HH75" s="174"/>
      <c r="HI75" s="174"/>
      <c r="HJ75" s="174"/>
      <c r="HK75" s="174"/>
      <c r="HL75" s="174"/>
      <c r="HM75" s="174"/>
      <c r="HN75" s="174"/>
      <c r="HO75" s="174"/>
      <c r="HP75" s="174"/>
      <c r="HQ75" s="174"/>
      <c r="HR75" s="174"/>
      <c r="HS75" s="174"/>
      <c r="HT75" s="174"/>
      <c r="HU75" s="174"/>
      <c r="HV75" s="174"/>
      <c r="HW75" s="174"/>
      <c r="HX75" s="174"/>
      <c r="HY75" s="174"/>
      <c r="HZ75" s="174"/>
      <c r="IA75" s="174"/>
      <c r="IB75" s="174"/>
      <c r="IC75" s="174"/>
      <c r="ID75" s="174"/>
      <c r="IE75" s="174"/>
      <c r="IF75" s="174"/>
      <c r="IG75" s="174"/>
      <c r="IH75" s="174"/>
      <c r="II75" s="174"/>
      <c r="IJ75" s="174"/>
      <c r="IK75" s="174"/>
      <c r="IL75" s="174"/>
      <c r="IM75" s="174"/>
      <c r="IN75" s="174"/>
      <c r="IO75" s="174"/>
      <c r="IP75" s="174"/>
      <c r="IQ75" s="174"/>
      <c r="IR75" s="174"/>
      <c r="IS75" s="174"/>
      <c r="IT75" s="174"/>
      <c r="IU75" s="174"/>
      <c r="IV75" s="174"/>
    </row>
    <row r="76" spans="1:256" s="171" customFormat="1" ht="13.8" hidden="1">
      <c r="A76" s="270"/>
      <c r="B76" s="271"/>
      <c r="C76" s="272"/>
      <c r="D76" s="272"/>
      <c r="E76" s="272"/>
      <c r="F76" s="272"/>
      <c r="G76" s="272"/>
      <c r="H76" s="272"/>
      <c r="I76" s="272"/>
      <c r="J76" s="273"/>
      <c r="K76" s="199"/>
      <c r="L76" s="200"/>
      <c r="M76" s="201"/>
      <c r="N76" s="202"/>
      <c r="O76" s="274"/>
      <c r="P76" s="199"/>
      <c r="Q76" s="199"/>
      <c r="R76" s="199"/>
      <c r="S76" s="199"/>
      <c r="T76" s="199"/>
      <c r="U76" s="199"/>
      <c r="V76" s="199"/>
      <c r="W76" s="202"/>
      <c r="X76" s="202"/>
      <c r="Y76" s="202"/>
      <c r="Z76" s="202"/>
      <c r="AA76" s="202"/>
      <c r="AB76" s="202"/>
      <c r="AC76" s="202"/>
      <c r="AD76" s="202"/>
      <c r="AE76" s="202"/>
      <c r="AF76" s="202"/>
      <c r="AG76" s="202"/>
      <c r="AH76" s="202"/>
      <c r="AI76" s="202"/>
      <c r="AJ76" s="202"/>
      <c r="AK76" s="202"/>
      <c r="AL76" s="202"/>
      <c r="AM76" s="202"/>
      <c r="AN76" s="202"/>
      <c r="AO76" s="202"/>
      <c r="AP76" s="202"/>
      <c r="AQ76" s="202"/>
      <c r="AR76" s="202"/>
      <c r="AS76" s="202"/>
      <c r="AT76" s="202"/>
      <c r="AU76" s="202"/>
      <c r="AV76" s="202"/>
      <c r="AW76" s="202"/>
      <c r="AX76" s="202"/>
      <c r="AY76" s="202"/>
      <c r="AZ76" s="202"/>
      <c r="BA76" s="202"/>
      <c r="BB76" s="202"/>
      <c r="BC76" s="202"/>
      <c r="BD76" s="202"/>
      <c r="BE76" s="202"/>
      <c r="BF76" s="202"/>
      <c r="BG76" s="202"/>
      <c r="BH76" s="202"/>
      <c r="BI76" s="202"/>
      <c r="BJ76" s="202"/>
      <c r="BK76" s="202"/>
      <c r="BL76" s="202"/>
      <c r="BM76" s="202"/>
      <c r="BN76" s="202"/>
      <c r="BO76" s="202"/>
      <c r="BP76" s="202"/>
      <c r="BQ76" s="202"/>
      <c r="BR76" s="202"/>
      <c r="BS76" s="202"/>
      <c r="BT76" s="202"/>
      <c r="BU76" s="202"/>
      <c r="BV76" s="202"/>
      <c r="BW76" s="202"/>
      <c r="BX76" s="202"/>
      <c r="BY76" s="202"/>
      <c r="BZ76" s="202"/>
      <c r="CA76" s="202"/>
      <c r="CB76" s="202"/>
      <c r="CC76" s="202"/>
      <c r="CD76" s="202"/>
      <c r="CE76" s="202"/>
      <c r="CF76" s="202"/>
      <c r="CG76" s="202"/>
      <c r="CH76" s="202"/>
      <c r="CI76" s="202"/>
      <c r="CJ76" s="202"/>
      <c r="CK76" s="202"/>
      <c r="CL76" s="202"/>
      <c r="CM76" s="202"/>
      <c r="CN76" s="202"/>
      <c r="CO76" s="202"/>
      <c r="CP76" s="202"/>
      <c r="CQ76" s="202"/>
      <c r="CR76" s="202"/>
      <c r="CS76" s="202"/>
      <c r="CT76" s="202"/>
      <c r="CU76" s="202"/>
      <c r="CV76" s="202"/>
      <c r="CW76" s="202"/>
      <c r="CX76" s="202"/>
      <c r="CY76" s="202"/>
      <c r="CZ76" s="202"/>
      <c r="DA76" s="202"/>
      <c r="DB76" s="202"/>
      <c r="DC76" s="202"/>
      <c r="DD76" s="202"/>
      <c r="DE76" s="202"/>
      <c r="DF76" s="202"/>
      <c r="DG76" s="202"/>
      <c r="DH76" s="202"/>
      <c r="DI76" s="202"/>
      <c r="DJ76" s="202"/>
      <c r="DK76" s="202"/>
      <c r="DL76" s="202"/>
      <c r="DM76" s="202"/>
      <c r="DN76" s="202"/>
      <c r="DO76" s="202"/>
      <c r="DP76" s="202"/>
      <c r="DQ76" s="202"/>
      <c r="DR76" s="202"/>
      <c r="DS76" s="202"/>
      <c r="DT76" s="202"/>
      <c r="DU76" s="202"/>
      <c r="DV76" s="202"/>
      <c r="DW76" s="202"/>
      <c r="DX76" s="202"/>
      <c r="DY76" s="202"/>
      <c r="DZ76" s="202"/>
      <c r="EA76" s="202"/>
      <c r="EB76" s="202"/>
      <c r="EC76" s="202"/>
      <c r="ED76" s="208"/>
      <c r="EE76" s="208"/>
      <c r="EF76" s="208"/>
      <c r="EG76" s="208"/>
      <c r="EH76" s="208"/>
      <c r="EI76" s="208"/>
      <c r="EJ76" s="208"/>
      <c r="EK76" s="208"/>
      <c r="EL76" s="208"/>
      <c r="EM76" s="208"/>
      <c r="EN76" s="208"/>
      <c r="EO76" s="208"/>
      <c r="EP76" s="208"/>
      <c r="EQ76" s="208"/>
      <c r="ER76" s="208"/>
      <c r="ES76" s="208"/>
      <c r="ET76" s="208"/>
      <c r="EU76" s="208"/>
      <c r="EV76" s="208"/>
      <c r="EW76" s="208"/>
      <c r="EX76" s="208"/>
      <c r="EY76" s="208"/>
      <c r="EZ76" s="208"/>
      <c r="FA76" s="208"/>
      <c r="FB76" s="208"/>
      <c r="FC76" s="208"/>
      <c r="FD76" s="208"/>
      <c r="FE76" s="208"/>
      <c r="FF76" s="208"/>
      <c r="FG76" s="208"/>
      <c r="FH76" s="208"/>
      <c r="FI76" s="208"/>
      <c r="FJ76" s="208"/>
      <c r="FK76" s="208"/>
      <c r="FL76" s="199"/>
      <c r="FM76" s="199"/>
      <c r="FN76" s="199"/>
      <c r="FO76" s="208"/>
      <c r="FP76" s="208"/>
      <c r="FQ76" s="199"/>
      <c r="FR76" s="208"/>
      <c r="FS76" s="208"/>
      <c r="FT76" s="208"/>
      <c r="FU76" s="208"/>
      <c r="FV76" s="208"/>
      <c r="FW76" s="208"/>
      <c r="FX76" s="208"/>
      <c r="FY76" s="208"/>
      <c r="FZ76" s="208"/>
      <c r="GA76" s="208"/>
      <c r="GB76" s="208"/>
      <c r="GC76" s="208"/>
      <c r="GD76" s="208"/>
      <c r="GE76" s="208"/>
      <c r="GF76" s="199"/>
      <c r="GG76" s="208"/>
      <c r="GH76" s="208"/>
      <c r="GI76" s="208"/>
      <c r="GJ76" s="208"/>
      <c r="GK76" s="208"/>
      <c r="GL76" s="208"/>
      <c r="GM76" s="208"/>
      <c r="GN76" s="208"/>
      <c r="GO76" s="208"/>
      <c r="GP76" s="208"/>
      <c r="GQ76" s="208"/>
      <c r="GR76" s="208"/>
      <c r="GS76" s="208"/>
      <c r="GT76" s="208"/>
      <c r="GU76" s="155" t="s">
        <v>3882</v>
      </c>
      <c r="GV76" s="169"/>
      <c r="GW76" s="169"/>
      <c r="GX76" s="169"/>
      <c r="GY76" s="169"/>
      <c r="GZ76" s="169"/>
      <c r="HA76" s="169"/>
      <c r="HB76" s="169"/>
      <c r="HC76" s="169"/>
      <c r="HD76" s="169"/>
      <c r="HE76" s="169"/>
      <c r="HF76" s="169"/>
      <c r="HG76" s="169"/>
      <c r="HH76" s="169"/>
      <c r="HI76" s="169"/>
      <c r="HJ76" s="169"/>
      <c r="HK76" s="169"/>
      <c r="HL76" s="169"/>
      <c r="HM76" s="169"/>
      <c r="HN76" s="169"/>
      <c r="HO76" s="169"/>
      <c r="HP76" s="169"/>
      <c r="HQ76" s="169"/>
      <c r="HR76" s="169"/>
      <c r="HS76" s="169"/>
      <c r="HT76" s="169"/>
      <c r="HU76" s="169"/>
      <c r="HV76" s="169"/>
      <c r="HW76" s="169"/>
      <c r="HX76" s="169"/>
      <c r="HY76" s="169"/>
      <c r="HZ76" s="169"/>
      <c r="IA76" s="169"/>
      <c r="IB76" s="169"/>
      <c r="IC76" s="169"/>
      <c r="ID76" s="169"/>
      <c r="IE76" s="169"/>
      <c r="IF76" s="169"/>
      <c r="IG76" s="169"/>
      <c r="IH76" s="169"/>
      <c r="II76" s="169"/>
      <c r="IJ76" s="169"/>
      <c r="IK76" s="169"/>
      <c r="IL76" s="169"/>
      <c r="IM76" s="169"/>
      <c r="IN76" s="169"/>
      <c r="IO76" s="169"/>
      <c r="IP76" s="169"/>
      <c r="IQ76" s="169"/>
      <c r="IR76" s="169"/>
      <c r="IS76" s="169"/>
      <c r="IT76" s="169"/>
      <c r="IU76" s="169"/>
      <c r="IV76" s="169"/>
    </row>
    <row r="77" spans="1:256" s="171" customFormat="1" ht="13.8" hidden="1">
      <c r="A77" s="270"/>
      <c r="B77" s="271"/>
      <c r="C77" s="272"/>
      <c r="D77" s="272"/>
      <c r="E77" s="272"/>
      <c r="F77" s="272"/>
      <c r="G77" s="272"/>
      <c r="H77" s="272"/>
      <c r="I77" s="272"/>
      <c r="J77" s="273"/>
      <c r="K77" s="199"/>
      <c r="L77" s="200"/>
      <c r="M77" s="201"/>
      <c r="N77" s="202"/>
      <c r="O77" s="274"/>
      <c r="P77" s="199"/>
      <c r="Q77" s="199"/>
      <c r="R77" s="199"/>
      <c r="S77" s="199"/>
      <c r="T77" s="199"/>
      <c r="U77" s="199"/>
      <c r="V77" s="202"/>
      <c r="W77" s="202"/>
      <c r="X77" s="202"/>
      <c r="Y77" s="202"/>
      <c r="Z77" s="202"/>
      <c r="AA77" s="202"/>
      <c r="AB77" s="202"/>
      <c r="AC77" s="202"/>
      <c r="AD77" s="202"/>
      <c r="AE77" s="202"/>
      <c r="AF77" s="202"/>
      <c r="AG77" s="202"/>
      <c r="AH77" s="202"/>
      <c r="AI77" s="202"/>
      <c r="AJ77" s="202"/>
      <c r="AK77" s="202"/>
      <c r="AL77" s="202"/>
      <c r="AM77" s="202"/>
      <c r="AN77" s="202"/>
      <c r="AO77" s="202"/>
      <c r="AP77" s="202"/>
      <c r="AQ77" s="202"/>
      <c r="AR77" s="202"/>
      <c r="AS77" s="202"/>
      <c r="AT77" s="202"/>
      <c r="AU77" s="202"/>
      <c r="AV77" s="202"/>
      <c r="AW77" s="202"/>
      <c r="AX77" s="202"/>
      <c r="AY77" s="202"/>
      <c r="AZ77" s="202"/>
      <c r="BA77" s="202"/>
      <c r="BB77" s="202"/>
      <c r="BC77" s="202"/>
      <c r="BD77" s="202"/>
      <c r="BE77" s="202"/>
      <c r="BF77" s="202"/>
      <c r="BG77" s="202"/>
      <c r="BH77" s="202"/>
      <c r="BI77" s="202"/>
      <c r="BJ77" s="202"/>
      <c r="BK77" s="202"/>
      <c r="BL77" s="202"/>
      <c r="BM77" s="202"/>
      <c r="BN77" s="202"/>
      <c r="BO77" s="202"/>
      <c r="BP77" s="202"/>
      <c r="BQ77" s="202"/>
      <c r="BR77" s="202"/>
      <c r="BS77" s="202"/>
      <c r="BT77" s="202"/>
      <c r="BU77" s="202"/>
      <c r="BV77" s="202"/>
      <c r="BW77" s="202"/>
      <c r="BX77" s="202"/>
      <c r="BY77" s="202"/>
      <c r="BZ77" s="202"/>
      <c r="CA77" s="202"/>
      <c r="CB77" s="202"/>
      <c r="CC77" s="202"/>
      <c r="CD77" s="202"/>
      <c r="CE77" s="202"/>
      <c r="CF77" s="202"/>
      <c r="CG77" s="202"/>
      <c r="CH77" s="202"/>
      <c r="CI77" s="202"/>
      <c r="CJ77" s="202"/>
      <c r="CK77" s="202"/>
      <c r="CL77" s="202"/>
      <c r="CM77" s="202"/>
      <c r="CN77" s="202"/>
      <c r="CO77" s="202"/>
      <c r="CP77" s="202"/>
      <c r="CQ77" s="202"/>
      <c r="CR77" s="202"/>
      <c r="CS77" s="202"/>
      <c r="CT77" s="202"/>
      <c r="CU77" s="202"/>
      <c r="CV77" s="202"/>
      <c r="CW77" s="202"/>
      <c r="CX77" s="202"/>
      <c r="CY77" s="202"/>
      <c r="CZ77" s="202"/>
      <c r="DA77" s="202"/>
      <c r="DB77" s="202"/>
      <c r="DC77" s="202"/>
      <c r="DD77" s="202"/>
      <c r="DE77" s="202"/>
      <c r="DF77" s="202"/>
      <c r="DG77" s="202"/>
      <c r="DH77" s="202"/>
      <c r="DI77" s="202"/>
      <c r="DJ77" s="202"/>
      <c r="DK77" s="202"/>
      <c r="DL77" s="202"/>
      <c r="DM77" s="202"/>
      <c r="DN77" s="202"/>
      <c r="DO77" s="202"/>
      <c r="DP77" s="202"/>
      <c r="DQ77" s="202"/>
      <c r="DR77" s="202"/>
      <c r="DS77" s="202"/>
      <c r="DT77" s="202"/>
      <c r="DU77" s="202"/>
      <c r="DV77" s="202"/>
      <c r="DW77" s="202"/>
      <c r="DX77" s="202"/>
      <c r="DY77" s="202"/>
      <c r="DZ77" s="202"/>
      <c r="EA77" s="202"/>
      <c r="EB77" s="202"/>
      <c r="EC77" s="202"/>
      <c r="ED77" s="202"/>
      <c r="EE77" s="202"/>
      <c r="EF77" s="202"/>
      <c r="EG77" s="202"/>
      <c r="EH77" s="202"/>
      <c r="EI77" s="202"/>
      <c r="EJ77" s="202"/>
      <c r="EK77" s="202"/>
      <c r="EL77" s="202"/>
      <c r="EM77" s="202"/>
      <c r="EN77" s="202"/>
      <c r="EO77" s="202"/>
      <c r="EP77" s="202"/>
      <c r="EQ77" s="202"/>
      <c r="ER77" s="202"/>
      <c r="ES77" s="202"/>
      <c r="ET77" s="202"/>
      <c r="EU77" s="202"/>
      <c r="EV77" s="202"/>
      <c r="EW77" s="202"/>
      <c r="EX77" s="202"/>
      <c r="EY77" s="202"/>
      <c r="EZ77" s="202"/>
      <c r="FA77" s="202"/>
      <c r="FB77" s="202"/>
      <c r="FC77" s="202"/>
      <c r="FD77" s="202"/>
      <c r="FE77" s="202"/>
      <c r="FF77" s="202"/>
      <c r="FG77" s="202"/>
      <c r="FH77" s="202"/>
      <c r="FI77" s="202"/>
      <c r="FJ77" s="202"/>
      <c r="FK77" s="202"/>
      <c r="FL77" s="202"/>
      <c r="FM77" s="202"/>
      <c r="FN77" s="202"/>
      <c r="FO77" s="202"/>
      <c r="FP77" s="202"/>
      <c r="FQ77" s="202"/>
      <c r="FR77" s="202"/>
      <c r="FS77" s="202"/>
      <c r="FT77" s="202"/>
      <c r="FU77" s="202"/>
      <c r="FV77" s="202"/>
      <c r="FW77" s="202"/>
      <c r="FX77" s="202"/>
      <c r="FY77" s="202"/>
      <c r="FZ77" s="202"/>
      <c r="GA77" s="202"/>
      <c r="GB77" s="202"/>
      <c r="GC77" s="202"/>
      <c r="GD77" s="202"/>
      <c r="GE77" s="202"/>
      <c r="GF77" s="202"/>
      <c r="GG77" s="202"/>
      <c r="GH77" s="202"/>
      <c r="GI77" s="202"/>
      <c r="GJ77" s="202"/>
      <c r="GK77" s="202"/>
      <c r="GL77" s="202"/>
      <c r="GM77" s="202"/>
      <c r="GN77" s="202"/>
      <c r="GO77" s="202"/>
      <c r="GP77" s="202"/>
      <c r="GQ77" s="202"/>
      <c r="GR77" s="202"/>
      <c r="GS77" s="208"/>
      <c r="GT77" s="208"/>
      <c r="GU77" s="155" t="s">
        <v>3882</v>
      </c>
      <c r="GV77" s="169"/>
      <c r="GW77" s="169"/>
      <c r="GX77" s="169"/>
      <c r="GY77" s="169"/>
      <c r="GZ77" s="169"/>
      <c r="HA77" s="169"/>
      <c r="HB77" s="169"/>
      <c r="HC77" s="169"/>
      <c r="HD77" s="169"/>
      <c r="HE77" s="169"/>
      <c r="HF77" s="169"/>
      <c r="HG77" s="169"/>
      <c r="HH77" s="169"/>
      <c r="HI77" s="169"/>
      <c r="HJ77" s="169"/>
      <c r="HK77" s="169"/>
      <c r="HL77" s="169"/>
      <c r="HM77" s="169"/>
      <c r="HN77" s="169"/>
      <c r="HO77" s="169"/>
      <c r="HP77" s="169"/>
      <c r="HQ77" s="169"/>
      <c r="HR77" s="169"/>
      <c r="HS77" s="169"/>
      <c r="HT77" s="169"/>
      <c r="HU77" s="169"/>
      <c r="HV77" s="169"/>
      <c r="HW77" s="169"/>
      <c r="HX77" s="169"/>
      <c r="HY77" s="169"/>
      <c r="HZ77" s="169"/>
      <c r="IA77" s="169"/>
      <c r="IB77" s="169"/>
      <c r="IC77" s="169"/>
      <c r="ID77" s="169"/>
      <c r="IE77" s="169"/>
      <c r="IF77" s="169"/>
      <c r="IG77" s="169"/>
      <c r="IH77" s="169"/>
      <c r="II77" s="169"/>
      <c r="IJ77" s="169"/>
      <c r="IK77" s="169"/>
      <c r="IL77" s="169"/>
      <c r="IM77" s="169"/>
      <c r="IN77" s="169"/>
      <c r="IO77" s="169"/>
      <c r="IP77" s="169"/>
      <c r="IQ77" s="169"/>
      <c r="IR77" s="169"/>
      <c r="IS77" s="169"/>
      <c r="IT77" s="169"/>
      <c r="IU77" s="169"/>
      <c r="IV77" s="169"/>
    </row>
    <row r="78" spans="1:256" s="171" customFormat="1" ht="13.8" hidden="1">
      <c r="A78" s="270"/>
      <c r="B78" s="271"/>
      <c r="C78" s="272"/>
      <c r="D78" s="272"/>
      <c r="E78" s="272"/>
      <c r="F78" s="272"/>
      <c r="G78" s="272"/>
      <c r="H78" s="272"/>
      <c r="I78" s="272"/>
      <c r="J78" s="273"/>
      <c r="K78" s="199"/>
      <c r="L78" s="200"/>
      <c r="M78" s="201"/>
      <c r="N78" s="202"/>
      <c r="O78" s="274"/>
      <c r="P78" s="199"/>
      <c r="Q78" s="199"/>
      <c r="R78" s="199"/>
      <c r="S78" s="199"/>
      <c r="T78" s="199"/>
      <c r="U78" s="199"/>
      <c r="V78" s="202"/>
      <c r="W78" s="202"/>
      <c r="X78" s="202"/>
      <c r="Y78" s="202"/>
      <c r="Z78" s="202"/>
      <c r="AA78" s="202"/>
      <c r="AB78" s="202"/>
      <c r="AC78" s="202"/>
      <c r="AD78" s="202"/>
      <c r="AE78" s="202"/>
      <c r="AF78" s="202"/>
      <c r="AG78" s="202"/>
      <c r="AH78" s="202"/>
      <c r="AI78" s="202"/>
      <c r="AJ78" s="202"/>
      <c r="AK78" s="202"/>
      <c r="AL78" s="202"/>
      <c r="AM78" s="202"/>
      <c r="AN78" s="202"/>
      <c r="AO78" s="202"/>
      <c r="AP78" s="202"/>
      <c r="AQ78" s="202"/>
      <c r="AR78" s="202"/>
      <c r="AS78" s="202"/>
      <c r="AT78" s="202"/>
      <c r="AU78" s="202"/>
      <c r="AV78" s="202"/>
      <c r="AW78" s="202"/>
      <c r="AX78" s="202"/>
      <c r="AY78" s="202"/>
      <c r="AZ78" s="202"/>
      <c r="BA78" s="202"/>
      <c r="BB78" s="202"/>
      <c r="BC78" s="202"/>
      <c r="BD78" s="202"/>
      <c r="BE78" s="202"/>
      <c r="BF78" s="202"/>
      <c r="BG78" s="202"/>
      <c r="BH78" s="202"/>
      <c r="BI78" s="202"/>
      <c r="BJ78" s="202"/>
      <c r="BK78" s="202"/>
      <c r="BL78" s="202"/>
      <c r="BM78" s="202"/>
      <c r="BN78" s="202"/>
      <c r="BO78" s="202"/>
      <c r="BP78" s="202"/>
      <c r="BQ78" s="202"/>
      <c r="BR78" s="202"/>
      <c r="BS78" s="202"/>
      <c r="BT78" s="202"/>
      <c r="BU78" s="202"/>
      <c r="BV78" s="202"/>
      <c r="BW78" s="202"/>
      <c r="BX78" s="202"/>
      <c r="BY78" s="202"/>
      <c r="BZ78" s="202"/>
      <c r="CA78" s="202"/>
      <c r="CB78" s="202"/>
      <c r="CC78" s="202"/>
      <c r="CD78" s="202"/>
      <c r="CE78" s="202"/>
      <c r="CF78" s="202"/>
      <c r="CG78" s="202"/>
      <c r="CH78" s="202"/>
      <c r="CI78" s="202"/>
      <c r="CJ78" s="202"/>
      <c r="CK78" s="202"/>
      <c r="CL78" s="202"/>
      <c r="CM78" s="202"/>
      <c r="CN78" s="202"/>
      <c r="CO78" s="202"/>
      <c r="CP78" s="202"/>
      <c r="CQ78" s="202"/>
      <c r="CR78" s="202"/>
      <c r="CS78" s="202"/>
      <c r="CT78" s="202"/>
      <c r="CU78" s="202"/>
      <c r="CV78" s="202"/>
      <c r="CW78" s="202"/>
      <c r="CX78" s="202"/>
      <c r="CY78" s="202"/>
      <c r="CZ78" s="202"/>
      <c r="DA78" s="202"/>
      <c r="DB78" s="202"/>
      <c r="DC78" s="202"/>
      <c r="DD78" s="202"/>
      <c r="DE78" s="202"/>
      <c r="DF78" s="202"/>
      <c r="DG78" s="202"/>
      <c r="DH78" s="202"/>
      <c r="DI78" s="202"/>
      <c r="DJ78" s="202"/>
      <c r="DK78" s="202"/>
      <c r="DL78" s="202"/>
      <c r="DM78" s="202"/>
      <c r="DN78" s="202"/>
      <c r="DO78" s="202"/>
      <c r="DP78" s="202"/>
      <c r="DQ78" s="202"/>
      <c r="DR78" s="202"/>
      <c r="DS78" s="202"/>
      <c r="DT78" s="202"/>
      <c r="DU78" s="202"/>
      <c r="DV78" s="202"/>
      <c r="DW78" s="202"/>
      <c r="DX78" s="202"/>
      <c r="DY78" s="202"/>
      <c r="DZ78" s="202"/>
      <c r="EA78" s="202"/>
      <c r="EB78" s="202"/>
      <c r="EC78" s="202"/>
      <c r="ED78" s="202"/>
      <c r="EE78" s="202"/>
      <c r="EF78" s="202"/>
      <c r="EG78" s="202"/>
      <c r="EH78" s="202"/>
      <c r="EI78" s="202"/>
      <c r="EJ78" s="202"/>
      <c r="EK78" s="202"/>
      <c r="EL78" s="202"/>
      <c r="EM78" s="202"/>
      <c r="EN78" s="202"/>
      <c r="EO78" s="202"/>
      <c r="EP78" s="202"/>
      <c r="EQ78" s="202"/>
      <c r="ER78" s="202"/>
      <c r="ES78" s="202"/>
      <c r="ET78" s="202"/>
      <c r="EU78" s="202"/>
      <c r="EV78" s="202"/>
      <c r="EW78" s="202"/>
      <c r="EX78" s="202"/>
      <c r="EY78" s="202"/>
      <c r="EZ78" s="202"/>
      <c r="FA78" s="202"/>
      <c r="FB78" s="202"/>
      <c r="FC78" s="202"/>
      <c r="FD78" s="202"/>
      <c r="FE78" s="202"/>
      <c r="FF78" s="202"/>
      <c r="FG78" s="202"/>
      <c r="FH78" s="202"/>
      <c r="FI78" s="202"/>
      <c r="FJ78" s="202"/>
      <c r="FK78" s="202"/>
      <c r="FL78" s="202"/>
      <c r="FM78" s="202"/>
      <c r="FN78" s="202"/>
      <c r="FO78" s="202"/>
      <c r="FP78" s="202"/>
      <c r="FQ78" s="202"/>
      <c r="FR78" s="202"/>
      <c r="FS78" s="202"/>
      <c r="FT78" s="202"/>
      <c r="FU78" s="202"/>
      <c r="FV78" s="202"/>
      <c r="FW78" s="202"/>
      <c r="FX78" s="202"/>
      <c r="FY78" s="202"/>
      <c r="FZ78" s="202"/>
      <c r="GA78" s="202"/>
      <c r="GB78" s="202"/>
      <c r="GC78" s="202"/>
      <c r="GD78" s="202"/>
      <c r="GE78" s="202"/>
      <c r="GF78" s="202"/>
      <c r="GG78" s="202"/>
      <c r="GH78" s="202"/>
      <c r="GI78" s="202"/>
      <c r="GJ78" s="202"/>
      <c r="GK78" s="202"/>
      <c r="GL78" s="202"/>
      <c r="GM78" s="202"/>
      <c r="GN78" s="202"/>
      <c r="GO78" s="202"/>
      <c r="GP78" s="202"/>
      <c r="GQ78" s="202"/>
      <c r="GR78" s="202"/>
      <c r="GS78" s="208"/>
      <c r="GT78" s="208"/>
      <c r="GU78" s="155" t="s">
        <v>3882</v>
      </c>
      <c r="GV78" s="169"/>
      <c r="GW78" s="169"/>
      <c r="GX78" s="169"/>
      <c r="GY78" s="169"/>
      <c r="GZ78" s="169"/>
      <c r="HA78" s="169"/>
      <c r="HB78" s="169"/>
      <c r="HC78" s="169"/>
      <c r="HD78" s="169"/>
      <c r="HE78" s="169"/>
      <c r="HF78" s="169"/>
      <c r="HG78" s="169"/>
      <c r="HH78" s="169"/>
      <c r="HI78" s="169"/>
      <c r="HJ78" s="169"/>
      <c r="HK78" s="169"/>
      <c r="HL78" s="169"/>
      <c r="HM78" s="169"/>
      <c r="HN78" s="169"/>
      <c r="HO78" s="169"/>
      <c r="HP78" s="169"/>
      <c r="HQ78" s="169"/>
      <c r="HR78" s="169"/>
      <c r="HS78" s="169"/>
      <c r="HT78" s="169"/>
      <c r="HU78" s="169"/>
      <c r="HV78" s="169"/>
      <c r="HW78" s="169"/>
      <c r="HX78" s="169"/>
      <c r="HY78" s="169"/>
      <c r="HZ78" s="169"/>
      <c r="IA78" s="169"/>
      <c r="IB78" s="169"/>
      <c r="IC78" s="169"/>
      <c r="ID78" s="169"/>
      <c r="IE78" s="169"/>
      <c r="IF78" s="169"/>
      <c r="IG78" s="169"/>
      <c r="IH78" s="169"/>
      <c r="II78" s="169"/>
      <c r="IJ78" s="169"/>
      <c r="IK78" s="169"/>
      <c r="IL78" s="169"/>
      <c r="IM78" s="169"/>
      <c r="IN78" s="169"/>
      <c r="IO78" s="169"/>
      <c r="IP78" s="169"/>
      <c r="IQ78" s="169"/>
      <c r="IR78" s="169"/>
      <c r="IS78" s="169"/>
      <c r="IT78" s="169"/>
      <c r="IU78" s="169"/>
      <c r="IV78" s="169"/>
    </row>
    <row r="79" spans="1:256" s="171" customFormat="1" ht="13.8" hidden="1">
      <c r="A79" s="270"/>
      <c r="B79" s="271"/>
      <c r="C79" s="272"/>
      <c r="D79" s="272"/>
      <c r="E79" s="272"/>
      <c r="F79" s="272"/>
      <c r="G79" s="272"/>
      <c r="H79" s="272"/>
      <c r="I79" s="272"/>
      <c r="J79" s="273"/>
      <c r="K79" s="199"/>
      <c r="L79" s="200"/>
      <c r="M79" s="201"/>
      <c r="N79" s="202"/>
      <c r="O79" s="274"/>
      <c r="P79" s="199"/>
      <c r="Q79" s="199"/>
      <c r="R79" s="199"/>
      <c r="S79" s="199"/>
      <c r="T79" s="199"/>
      <c r="U79" s="199"/>
      <c r="V79" s="202"/>
      <c r="W79" s="202"/>
      <c r="X79" s="202"/>
      <c r="Y79" s="202"/>
      <c r="Z79" s="202"/>
      <c r="AA79" s="202"/>
      <c r="AB79" s="202"/>
      <c r="AC79" s="202"/>
      <c r="AD79" s="202"/>
      <c r="AE79" s="202"/>
      <c r="AF79" s="202"/>
      <c r="AG79" s="202"/>
      <c r="AH79" s="202"/>
      <c r="AI79" s="202"/>
      <c r="AJ79" s="202"/>
      <c r="AK79" s="202"/>
      <c r="AL79" s="202"/>
      <c r="AM79" s="202"/>
      <c r="AN79" s="202"/>
      <c r="AO79" s="202"/>
      <c r="AP79" s="202"/>
      <c r="AQ79" s="202"/>
      <c r="AR79" s="202"/>
      <c r="AS79" s="202"/>
      <c r="AT79" s="202"/>
      <c r="AU79" s="202"/>
      <c r="AV79" s="202"/>
      <c r="AW79" s="202"/>
      <c r="AX79" s="202"/>
      <c r="AY79" s="202"/>
      <c r="AZ79" s="202"/>
      <c r="BA79" s="202"/>
      <c r="BB79" s="202"/>
      <c r="BC79" s="202"/>
      <c r="BD79" s="202"/>
      <c r="BE79" s="202"/>
      <c r="BF79" s="202"/>
      <c r="BG79" s="202"/>
      <c r="BH79" s="202"/>
      <c r="BI79" s="202"/>
      <c r="BJ79" s="202"/>
      <c r="BK79" s="202"/>
      <c r="BL79" s="202"/>
      <c r="BM79" s="202"/>
      <c r="BN79" s="202"/>
      <c r="BO79" s="202"/>
      <c r="BP79" s="202"/>
      <c r="BQ79" s="202"/>
      <c r="BR79" s="202"/>
      <c r="BS79" s="202"/>
      <c r="BT79" s="202"/>
      <c r="BU79" s="202"/>
      <c r="BV79" s="202"/>
      <c r="BW79" s="202"/>
      <c r="BX79" s="202"/>
      <c r="BY79" s="202"/>
      <c r="BZ79" s="202"/>
      <c r="CA79" s="202"/>
      <c r="CB79" s="202"/>
      <c r="CC79" s="202"/>
      <c r="CD79" s="202"/>
      <c r="CE79" s="202"/>
      <c r="CF79" s="202"/>
      <c r="CG79" s="202"/>
      <c r="CH79" s="202"/>
      <c r="CI79" s="202"/>
      <c r="CJ79" s="202"/>
      <c r="CK79" s="202"/>
      <c r="CL79" s="202"/>
      <c r="CM79" s="202"/>
      <c r="CN79" s="202"/>
      <c r="CO79" s="202"/>
      <c r="CP79" s="202"/>
      <c r="CQ79" s="202"/>
      <c r="CR79" s="202"/>
      <c r="CS79" s="202"/>
      <c r="CT79" s="202"/>
      <c r="CU79" s="202"/>
      <c r="CV79" s="202"/>
      <c r="CW79" s="202"/>
      <c r="CX79" s="202"/>
      <c r="CY79" s="202"/>
      <c r="CZ79" s="202"/>
      <c r="DA79" s="202"/>
      <c r="DB79" s="202"/>
      <c r="DC79" s="202"/>
      <c r="DD79" s="202"/>
      <c r="DE79" s="202"/>
      <c r="DF79" s="202"/>
      <c r="DG79" s="202"/>
      <c r="DH79" s="202"/>
      <c r="DI79" s="202"/>
      <c r="DJ79" s="202"/>
      <c r="DK79" s="202"/>
      <c r="DL79" s="202"/>
      <c r="DM79" s="202"/>
      <c r="DN79" s="202"/>
      <c r="DO79" s="202"/>
      <c r="DP79" s="202"/>
      <c r="DQ79" s="202"/>
      <c r="DR79" s="202"/>
      <c r="DS79" s="202"/>
      <c r="DT79" s="202"/>
      <c r="DU79" s="202"/>
      <c r="DV79" s="202"/>
      <c r="DW79" s="202"/>
      <c r="DX79" s="202"/>
      <c r="DY79" s="202"/>
      <c r="DZ79" s="202"/>
      <c r="EA79" s="202"/>
      <c r="EB79" s="202"/>
      <c r="EC79" s="202"/>
      <c r="ED79" s="202"/>
      <c r="EE79" s="202"/>
      <c r="EF79" s="202"/>
      <c r="EG79" s="202"/>
      <c r="EH79" s="202"/>
      <c r="EI79" s="202"/>
      <c r="EJ79" s="202"/>
      <c r="EK79" s="202"/>
      <c r="EL79" s="202"/>
      <c r="EM79" s="202"/>
      <c r="EN79" s="202"/>
      <c r="EO79" s="202"/>
      <c r="EP79" s="202"/>
      <c r="EQ79" s="202"/>
      <c r="ER79" s="202"/>
      <c r="ES79" s="202"/>
      <c r="ET79" s="202"/>
      <c r="EU79" s="202"/>
      <c r="EV79" s="202"/>
      <c r="EW79" s="202"/>
      <c r="EX79" s="202"/>
      <c r="EY79" s="202"/>
      <c r="EZ79" s="202"/>
      <c r="FA79" s="202"/>
      <c r="FB79" s="202"/>
      <c r="FC79" s="202"/>
      <c r="FD79" s="202"/>
      <c r="FE79" s="202"/>
      <c r="FF79" s="202"/>
      <c r="FG79" s="202"/>
      <c r="FH79" s="202"/>
      <c r="FI79" s="202"/>
      <c r="FJ79" s="202"/>
      <c r="FK79" s="202"/>
      <c r="FL79" s="202"/>
      <c r="FM79" s="202"/>
      <c r="FN79" s="202"/>
      <c r="FO79" s="202"/>
      <c r="FP79" s="202"/>
      <c r="FQ79" s="202"/>
      <c r="FR79" s="202"/>
      <c r="FS79" s="202"/>
      <c r="FT79" s="202"/>
      <c r="FU79" s="202"/>
      <c r="FV79" s="202"/>
      <c r="FW79" s="202"/>
      <c r="FX79" s="202"/>
      <c r="FY79" s="202"/>
      <c r="FZ79" s="202"/>
      <c r="GA79" s="202"/>
      <c r="GB79" s="202"/>
      <c r="GC79" s="202"/>
      <c r="GD79" s="202"/>
      <c r="GE79" s="202"/>
      <c r="GF79" s="202"/>
      <c r="GG79" s="202"/>
      <c r="GH79" s="202"/>
      <c r="GI79" s="202"/>
      <c r="GJ79" s="202"/>
      <c r="GK79" s="202"/>
      <c r="GL79" s="202"/>
      <c r="GM79" s="202"/>
      <c r="GN79" s="202"/>
      <c r="GO79" s="202"/>
      <c r="GP79" s="202"/>
      <c r="GQ79" s="202"/>
      <c r="GR79" s="202"/>
      <c r="GS79" s="208"/>
      <c r="GT79" s="208"/>
      <c r="GU79" s="155" t="s">
        <v>3882</v>
      </c>
      <c r="GV79" s="169"/>
      <c r="GW79" s="169"/>
      <c r="GX79" s="169"/>
      <c r="GY79" s="169"/>
      <c r="GZ79" s="169"/>
      <c r="HA79" s="169"/>
      <c r="HB79" s="169"/>
      <c r="HC79" s="169"/>
      <c r="HD79" s="169"/>
      <c r="HE79" s="169"/>
      <c r="HF79" s="169"/>
      <c r="HG79" s="169"/>
      <c r="HH79" s="169"/>
      <c r="HI79" s="169"/>
      <c r="HJ79" s="169"/>
      <c r="HK79" s="169"/>
      <c r="HL79" s="169"/>
      <c r="HM79" s="169"/>
      <c r="HN79" s="169"/>
      <c r="HO79" s="169"/>
      <c r="HP79" s="169"/>
      <c r="HQ79" s="169"/>
      <c r="HR79" s="169"/>
      <c r="HS79" s="169"/>
      <c r="HT79" s="169"/>
      <c r="HU79" s="169"/>
      <c r="HV79" s="169"/>
      <c r="HW79" s="169"/>
      <c r="HX79" s="169"/>
      <c r="HY79" s="169"/>
      <c r="HZ79" s="169"/>
      <c r="IA79" s="169"/>
      <c r="IB79" s="169"/>
      <c r="IC79" s="169"/>
      <c r="ID79" s="169"/>
      <c r="IE79" s="169"/>
      <c r="IF79" s="169"/>
      <c r="IG79" s="169"/>
      <c r="IH79" s="169"/>
      <c r="II79" s="169"/>
      <c r="IJ79" s="169"/>
      <c r="IK79" s="169"/>
      <c r="IL79" s="169"/>
      <c r="IM79" s="169"/>
      <c r="IN79" s="169"/>
      <c r="IO79" s="169"/>
      <c r="IP79" s="169"/>
      <c r="IQ79" s="169"/>
      <c r="IR79" s="169"/>
      <c r="IS79" s="169"/>
      <c r="IT79" s="169"/>
      <c r="IU79" s="169"/>
      <c r="IV79" s="169"/>
    </row>
    <row r="80" spans="1:256" s="171" customFormat="1" ht="13.8" hidden="1">
      <c r="A80" s="270"/>
      <c r="B80" s="271"/>
      <c r="C80" s="272"/>
      <c r="D80" s="272"/>
      <c r="E80" s="272"/>
      <c r="F80" s="272"/>
      <c r="G80" s="272"/>
      <c r="H80" s="272"/>
      <c r="I80" s="272"/>
      <c r="J80" s="273"/>
      <c r="K80" s="199"/>
      <c r="L80" s="200"/>
      <c r="M80" s="201"/>
      <c r="N80" s="202"/>
      <c r="O80" s="274"/>
      <c r="P80" s="199"/>
      <c r="Q80" s="199"/>
      <c r="R80" s="199"/>
      <c r="S80" s="199"/>
      <c r="T80" s="199"/>
      <c r="U80" s="199"/>
      <c r="V80" s="202"/>
      <c r="W80" s="202"/>
      <c r="X80" s="202"/>
      <c r="Y80" s="202"/>
      <c r="Z80" s="202"/>
      <c r="AA80" s="202"/>
      <c r="AB80" s="202"/>
      <c r="AC80" s="202"/>
      <c r="AD80" s="202"/>
      <c r="AE80" s="202"/>
      <c r="AF80" s="202"/>
      <c r="AG80" s="202"/>
      <c r="AH80" s="202"/>
      <c r="AI80" s="202"/>
      <c r="AJ80" s="202"/>
      <c r="AK80" s="202"/>
      <c r="AL80" s="202"/>
      <c r="AM80" s="202"/>
      <c r="AN80" s="202"/>
      <c r="AO80" s="202"/>
      <c r="AP80" s="202"/>
      <c r="AQ80" s="202"/>
      <c r="AR80" s="202"/>
      <c r="AS80" s="202"/>
      <c r="AT80" s="202"/>
      <c r="AU80" s="202"/>
      <c r="AV80" s="202"/>
      <c r="AW80" s="202"/>
      <c r="AX80" s="202"/>
      <c r="AY80" s="202"/>
      <c r="AZ80" s="202"/>
      <c r="BA80" s="202"/>
      <c r="BB80" s="202"/>
      <c r="BC80" s="202"/>
      <c r="BD80" s="202"/>
      <c r="BE80" s="202"/>
      <c r="BF80" s="202"/>
      <c r="BG80" s="202"/>
      <c r="BH80" s="202"/>
      <c r="BI80" s="202"/>
      <c r="BJ80" s="202"/>
      <c r="BK80" s="202"/>
      <c r="BL80" s="202"/>
      <c r="BM80" s="202"/>
      <c r="BN80" s="202"/>
      <c r="BO80" s="202"/>
      <c r="BP80" s="202"/>
      <c r="BQ80" s="202"/>
      <c r="BR80" s="202"/>
      <c r="BS80" s="202"/>
      <c r="BT80" s="202"/>
      <c r="BU80" s="202"/>
      <c r="BV80" s="202"/>
      <c r="BW80" s="202"/>
      <c r="BX80" s="202"/>
      <c r="BY80" s="202"/>
      <c r="BZ80" s="202"/>
      <c r="CA80" s="202"/>
      <c r="CB80" s="202"/>
      <c r="CC80" s="202"/>
      <c r="CD80" s="202"/>
      <c r="CE80" s="202"/>
      <c r="CF80" s="202"/>
      <c r="CG80" s="202"/>
      <c r="CH80" s="202"/>
      <c r="CI80" s="202"/>
      <c r="CJ80" s="202"/>
      <c r="CK80" s="202"/>
      <c r="CL80" s="202"/>
      <c r="CM80" s="202"/>
      <c r="CN80" s="202"/>
      <c r="CO80" s="202"/>
      <c r="CP80" s="202"/>
      <c r="CQ80" s="202"/>
      <c r="CR80" s="202"/>
      <c r="CS80" s="202"/>
      <c r="CT80" s="202"/>
      <c r="CU80" s="202"/>
      <c r="CV80" s="202"/>
      <c r="CW80" s="202"/>
      <c r="CX80" s="202"/>
      <c r="CY80" s="202"/>
      <c r="CZ80" s="202"/>
      <c r="DA80" s="202"/>
      <c r="DB80" s="202"/>
      <c r="DC80" s="202"/>
      <c r="DD80" s="202"/>
      <c r="DE80" s="202"/>
      <c r="DF80" s="202"/>
      <c r="DG80" s="202"/>
      <c r="DH80" s="202"/>
      <c r="DI80" s="202"/>
      <c r="DJ80" s="202"/>
      <c r="DK80" s="202"/>
      <c r="DL80" s="202"/>
      <c r="DM80" s="202"/>
      <c r="DN80" s="202"/>
      <c r="DO80" s="202"/>
      <c r="DP80" s="202"/>
      <c r="DQ80" s="202"/>
      <c r="DR80" s="202"/>
      <c r="DS80" s="202"/>
      <c r="DT80" s="202"/>
      <c r="DU80" s="202"/>
      <c r="DV80" s="202"/>
      <c r="DW80" s="202"/>
      <c r="DX80" s="202"/>
      <c r="DY80" s="202"/>
      <c r="DZ80" s="202"/>
      <c r="EA80" s="202"/>
      <c r="EB80" s="202"/>
      <c r="EC80" s="202"/>
      <c r="ED80" s="202"/>
      <c r="EE80" s="202"/>
      <c r="EF80" s="202"/>
      <c r="EG80" s="202"/>
      <c r="EH80" s="202"/>
      <c r="EI80" s="202"/>
      <c r="EJ80" s="202"/>
      <c r="EK80" s="202"/>
      <c r="EL80" s="202"/>
      <c r="EM80" s="202"/>
      <c r="EN80" s="202"/>
      <c r="EO80" s="202"/>
      <c r="EP80" s="202"/>
      <c r="EQ80" s="202"/>
      <c r="ER80" s="202"/>
      <c r="ES80" s="202"/>
      <c r="ET80" s="202"/>
      <c r="EU80" s="202"/>
      <c r="EV80" s="202"/>
      <c r="EW80" s="202"/>
      <c r="EX80" s="202"/>
      <c r="EY80" s="202"/>
      <c r="EZ80" s="202"/>
      <c r="FA80" s="202"/>
      <c r="FB80" s="202"/>
      <c r="FC80" s="202"/>
      <c r="FD80" s="202"/>
      <c r="FE80" s="202"/>
      <c r="FF80" s="202"/>
      <c r="FG80" s="202"/>
      <c r="FH80" s="202"/>
      <c r="FI80" s="202"/>
      <c r="FJ80" s="202"/>
      <c r="FK80" s="202"/>
      <c r="FL80" s="202"/>
      <c r="FM80" s="202"/>
      <c r="FN80" s="202"/>
      <c r="FO80" s="202"/>
      <c r="FP80" s="202"/>
      <c r="FQ80" s="202"/>
      <c r="FR80" s="202"/>
      <c r="FS80" s="202"/>
      <c r="FT80" s="202"/>
      <c r="FU80" s="202"/>
      <c r="FV80" s="202"/>
      <c r="FW80" s="202"/>
      <c r="FX80" s="202"/>
      <c r="FY80" s="202"/>
      <c r="FZ80" s="202"/>
      <c r="GA80" s="202"/>
      <c r="GB80" s="202"/>
      <c r="GC80" s="202"/>
      <c r="GD80" s="202"/>
      <c r="GE80" s="202"/>
      <c r="GF80" s="202"/>
      <c r="GG80" s="202"/>
      <c r="GH80" s="202"/>
      <c r="GI80" s="202"/>
      <c r="GJ80" s="202"/>
      <c r="GK80" s="202"/>
      <c r="GL80" s="202"/>
      <c r="GM80" s="202"/>
      <c r="GN80" s="202"/>
      <c r="GO80" s="202"/>
      <c r="GP80" s="202"/>
      <c r="GQ80" s="202"/>
      <c r="GR80" s="202"/>
      <c r="GS80" s="208"/>
      <c r="GT80" s="208"/>
      <c r="GU80" s="155" t="s">
        <v>3882</v>
      </c>
      <c r="GV80" s="169"/>
      <c r="GW80" s="169"/>
      <c r="GX80" s="169"/>
      <c r="GY80" s="169"/>
      <c r="GZ80" s="169"/>
      <c r="HA80" s="169"/>
      <c r="HB80" s="169"/>
      <c r="HC80" s="169"/>
      <c r="HD80" s="169"/>
      <c r="HE80" s="169"/>
      <c r="HF80" s="169"/>
      <c r="HG80" s="169"/>
      <c r="HH80" s="169"/>
      <c r="HI80" s="169"/>
      <c r="HJ80" s="169"/>
      <c r="HK80" s="169"/>
      <c r="HL80" s="169"/>
      <c r="HM80" s="169"/>
      <c r="HN80" s="169"/>
      <c r="HO80" s="169"/>
      <c r="HP80" s="169"/>
      <c r="HQ80" s="169"/>
      <c r="HR80" s="169"/>
      <c r="HS80" s="169"/>
      <c r="HT80" s="169"/>
      <c r="HU80" s="169"/>
      <c r="HV80" s="169"/>
      <c r="HW80" s="169"/>
      <c r="HX80" s="169"/>
      <c r="HY80" s="169"/>
      <c r="HZ80" s="169"/>
      <c r="IA80" s="169"/>
      <c r="IB80" s="169"/>
      <c r="IC80" s="169"/>
      <c r="ID80" s="169"/>
      <c r="IE80" s="169"/>
      <c r="IF80" s="169"/>
      <c r="IG80" s="169"/>
      <c r="IH80" s="169"/>
      <c r="II80" s="169"/>
      <c r="IJ80" s="169"/>
      <c r="IK80" s="169"/>
      <c r="IL80" s="169"/>
      <c r="IM80" s="169"/>
      <c r="IN80" s="169"/>
      <c r="IO80" s="169"/>
      <c r="IP80" s="169"/>
      <c r="IQ80" s="169"/>
      <c r="IR80" s="169"/>
      <c r="IS80" s="169"/>
      <c r="IT80" s="169"/>
      <c r="IU80" s="169"/>
      <c r="IV80" s="169"/>
    </row>
    <row r="81" spans="1:256" s="171" customFormat="1" ht="13.8" hidden="1">
      <c r="A81" s="270"/>
      <c r="B81" s="271"/>
      <c r="C81" s="272"/>
      <c r="D81" s="272"/>
      <c r="E81" s="272"/>
      <c r="F81" s="272"/>
      <c r="G81" s="272"/>
      <c r="H81" s="272"/>
      <c r="I81" s="272"/>
      <c r="J81" s="273"/>
      <c r="K81" s="199"/>
      <c r="L81" s="200"/>
      <c r="M81" s="201"/>
      <c r="N81" s="202"/>
      <c r="O81" s="274"/>
      <c r="P81" s="199"/>
      <c r="Q81" s="199"/>
      <c r="R81" s="199"/>
      <c r="S81" s="199"/>
      <c r="T81" s="199"/>
      <c r="U81" s="199"/>
      <c r="V81" s="202"/>
      <c r="W81" s="202"/>
      <c r="X81" s="202"/>
      <c r="Y81" s="202"/>
      <c r="Z81" s="202"/>
      <c r="AA81" s="202"/>
      <c r="AB81" s="202"/>
      <c r="AC81" s="202"/>
      <c r="AD81" s="202"/>
      <c r="AE81" s="202"/>
      <c r="AF81" s="202"/>
      <c r="AG81" s="202"/>
      <c r="AH81" s="202"/>
      <c r="AI81" s="202"/>
      <c r="AJ81" s="202"/>
      <c r="AK81" s="202"/>
      <c r="AL81" s="202"/>
      <c r="AM81" s="202"/>
      <c r="AN81" s="202"/>
      <c r="AO81" s="202"/>
      <c r="AP81" s="202"/>
      <c r="AQ81" s="202"/>
      <c r="AR81" s="202"/>
      <c r="AS81" s="202"/>
      <c r="AT81" s="202"/>
      <c r="AU81" s="202"/>
      <c r="AV81" s="202"/>
      <c r="AW81" s="202"/>
      <c r="AX81" s="202"/>
      <c r="AY81" s="202"/>
      <c r="AZ81" s="202"/>
      <c r="BA81" s="202"/>
      <c r="BB81" s="202"/>
      <c r="BC81" s="202"/>
      <c r="BD81" s="202"/>
      <c r="BE81" s="202"/>
      <c r="BF81" s="202"/>
      <c r="BG81" s="202"/>
      <c r="BH81" s="202"/>
      <c r="BI81" s="202"/>
      <c r="BJ81" s="202"/>
      <c r="BK81" s="202"/>
      <c r="BL81" s="202"/>
      <c r="BM81" s="202"/>
      <c r="BN81" s="202"/>
      <c r="BO81" s="202"/>
      <c r="BP81" s="202"/>
      <c r="BQ81" s="202"/>
      <c r="BR81" s="202"/>
      <c r="BS81" s="202"/>
      <c r="BT81" s="202"/>
      <c r="BU81" s="202"/>
      <c r="BV81" s="202"/>
      <c r="BW81" s="202"/>
      <c r="BX81" s="202"/>
      <c r="BY81" s="202"/>
      <c r="BZ81" s="202"/>
      <c r="CA81" s="202"/>
      <c r="CB81" s="202"/>
      <c r="CC81" s="202"/>
      <c r="CD81" s="202"/>
      <c r="CE81" s="202"/>
      <c r="CF81" s="202"/>
      <c r="CG81" s="202"/>
      <c r="CH81" s="202"/>
      <c r="CI81" s="202"/>
      <c r="CJ81" s="202"/>
      <c r="CK81" s="202"/>
      <c r="CL81" s="202"/>
      <c r="CM81" s="202"/>
      <c r="CN81" s="202"/>
      <c r="CO81" s="202"/>
      <c r="CP81" s="202"/>
      <c r="CQ81" s="202"/>
      <c r="CR81" s="202"/>
      <c r="CS81" s="202"/>
      <c r="CT81" s="202"/>
      <c r="CU81" s="202"/>
      <c r="CV81" s="202"/>
      <c r="CW81" s="202"/>
      <c r="CX81" s="202"/>
      <c r="CY81" s="202"/>
      <c r="CZ81" s="202"/>
      <c r="DA81" s="202"/>
      <c r="DB81" s="202"/>
      <c r="DC81" s="202"/>
      <c r="DD81" s="202"/>
      <c r="DE81" s="202"/>
      <c r="DF81" s="202"/>
      <c r="DG81" s="202"/>
      <c r="DH81" s="202"/>
      <c r="DI81" s="202"/>
      <c r="DJ81" s="202"/>
      <c r="DK81" s="202"/>
      <c r="DL81" s="202"/>
      <c r="DM81" s="202"/>
      <c r="DN81" s="202"/>
      <c r="DO81" s="202"/>
      <c r="DP81" s="202"/>
      <c r="DQ81" s="202"/>
      <c r="DR81" s="202"/>
      <c r="DS81" s="202"/>
      <c r="DT81" s="202"/>
      <c r="DU81" s="202"/>
      <c r="DV81" s="202"/>
      <c r="DW81" s="202"/>
      <c r="DX81" s="202"/>
      <c r="DY81" s="202"/>
      <c r="DZ81" s="202"/>
      <c r="EA81" s="202"/>
      <c r="EB81" s="202"/>
      <c r="EC81" s="202"/>
      <c r="ED81" s="202"/>
      <c r="EE81" s="202"/>
      <c r="EF81" s="202"/>
      <c r="EG81" s="202"/>
      <c r="EH81" s="202"/>
      <c r="EI81" s="202"/>
      <c r="EJ81" s="202"/>
      <c r="EK81" s="202"/>
      <c r="EL81" s="202"/>
      <c r="EM81" s="202"/>
      <c r="EN81" s="202"/>
      <c r="EO81" s="202"/>
      <c r="EP81" s="202"/>
      <c r="EQ81" s="202"/>
      <c r="ER81" s="202"/>
      <c r="ES81" s="202"/>
      <c r="ET81" s="202"/>
      <c r="EU81" s="202"/>
      <c r="EV81" s="202"/>
      <c r="EW81" s="202"/>
      <c r="EX81" s="202"/>
      <c r="EY81" s="202"/>
      <c r="EZ81" s="202"/>
      <c r="FA81" s="202"/>
      <c r="FB81" s="202"/>
      <c r="FC81" s="202"/>
      <c r="FD81" s="202"/>
      <c r="FE81" s="202"/>
      <c r="FF81" s="202"/>
      <c r="FG81" s="202"/>
      <c r="FH81" s="202"/>
      <c r="FI81" s="202"/>
      <c r="FJ81" s="202"/>
      <c r="FK81" s="202"/>
      <c r="FL81" s="202"/>
      <c r="FM81" s="202"/>
      <c r="FN81" s="202"/>
      <c r="FO81" s="202"/>
      <c r="FP81" s="202"/>
      <c r="FQ81" s="202"/>
      <c r="FR81" s="202"/>
      <c r="FS81" s="202"/>
      <c r="FT81" s="202"/>
      <c r="FU81" s="202"/>
      <c r="FV81" s="202"/>
      <c r="FW81" s="202"/>
      <c r="FX81" s="202"/>
      <c r="FY81" s="202"/>
      <c r="FZ81" s="202"/>
      <c r="GA81" s="202"/>
      <c r="GB81" s="202"/>
      <c r="GC81" s="202"/>
      <c r="GD81" s="202"/>
      <c r="GE81" s="202"/>
      <c r="GF81" s="202"/>
      <c r="GG81" s="202"/>
      <c r="GH81" s="202"/>
      <c r="GI81" s="202"/>
      <c r="GJ81" s="202"/>
      <c r="GK81" s="202"/>
      <c r="GL81" s="202"/>
      <c r="GM81" s="202"/>
      <c r="GN81" s="202"/>
      <c r="GO81" s="202"/>
      <c r="GP81" s="202"/>
      <c r="GQ81" s="202"/>
      <c r="GR81" s="202"/>
      <c r="GS81" s="208"/>
      <c r="GT81" s="208"/>
      <c r="GU81" s="155" t="s">
        <v>3882</v>
      </c>
      <c r="GV81" s="169"/>
      <c r="GW81" s="169"/>
      <c r="GX81" s="169"/>
      <c r="GY81" s="169"/>
      <c r="GZ81" s="169"/>
      <c r="HA81" s="169"/>
      <c r="HB81" s="169"/>
      <c r="HC81" s="169"/>
      <c r="HD81" s="169"/>
      <c r="HE81" s="169"/>
      <c r="HF81" s="169"/>
      <c r="HG81" s="169"/>
      <c r="HH81" s="169"/>
      <c r="HI81" s="169"/>
      <c r="HJ81" s="169"/>
      <c r="HK81" s="169"/>
      <c r="HL81" s="169"/>
      <c r="HM81" s="169"/>
      <c r="HN81" s="169"/>
      <c r="HO81" s="169"/>
      <c r="HP81" s="169"/>
      <c r="HQ81" s="169"/>
      <c r="HR81" s="169"/>
      <c r="HS81" s="169"/>
      <c r="HT81" s="169"/>
      <c r="HU81" s="169"/>
      <c r="HV81" s="169"/>
      <c r="HW81" s="169"/>
      <c r="HX81" s="169"/>
      <c r="HY81" s="169"/>
      <c r="HZ81" s="169"/>
      <c r="IA81" s="169"/>
      <c r="IB81" s="169"/>
      <c r="IC81" s="169"/>
      <c r="ID81" s="169"/>
      <c r="IE81" s="169"/>
      <c r="IF81" s="169"/>
      <c r="IG81" s="169"/>
      <c r="IH81" s="169"/>
      <c r="II81" s="169"/>
      <c r="IJ81" s="169"/>
      <c r="IK81" s="169"/>
      <c r="IL81" s="169"/>
      <c r="IM81" s="169"/>
      <c r="IN81" s="169"/>
      <c r="IO81" s="169"/>
      <c r="IP81" s="169"/>
      <c r="IQ81" s="169"/>
      <c r="IR81" s="169"/>
      <c r="IS81" s="169"/>
      <c r="IT81" s="169"/>
      <c r="IU81" s="169"/>
      <c r="IV81" s="169"/>
    </row>
    <row r="82" spans="1:256" ht="13.8" hidden="1">
      <c r="A82" s="275"/>
      <c r="B82" s="249"/>
      <c r="C82" s="197"/>
      <c r="D82" s="197"/>
      <c r="E82" s="197"/>
      <c r="F82" s="197"/>
      <c r="G82" s="197"/>
      <c r="H82" s="197"/>
      <c r="I82" s="197"/>
      <c r="J82" s="198"/>
      <c r="K82" s="199"/>
      <c r="L82" s="200"/>
      <c r="M82" s="201"/>
      <c r="N82" s="202"/>
      <c r="O82" s="250"/>
      <c r="P82" s="204"/>
      <c r="Q82" s="204"/>
      <c r="R82" s="204"/>
      <c r="S82" s="204"/>
      <c r="T82" s="204"/>
      <c r="U82" s="199"/>
      <c r="V82" s="202"/>
      <c r="W82" s="202"/>
      <c r="X82" s="202"/>
      <c r="Y82" s="202"/>
      <c r="Z82" s="202"/>
      <c r="AA82" s="202"/>
      <c r="AB82" s="202"/>
      <c r="AC82" s="202"/>
      <c r="AD82" s="202"/>
      <c r="AE82" s="202"/>
      <c r="AF82" s="202"/>
      <c r="AG82" s="202"/>
      <c r="AH82" s="202"/>
      <c r="AI82" s="202"/>
      <c r="AJ82" s="202"/>
      <c r="AK82" s="202"/>
      <c r="AL82" s="202"/>
      <c r="AM82" s="202"/>
      <c r="AN82" s="202"/>
      <c r="AO82" s="202"/>
      <c r="AP82" s="202"/>
      <c r="AQ82" s="202"/>
      <c r="AR82" s="202"/>
      <c r="AS82" s="202"/>
      <c r="AT82" s="202"/>
      <c r="AU82" s="202"/>
      <c r="AV82" s="202"/>
      <c r="AW82" s="202"/>
      <c r="AX82" s="202"/>
      <c r="AY82" s="202"/>
      <c r="AZ82" s="202"/>
      <c r="BA82" s="202"/>
      <c r="BB82" s="202"/>
      <c r="BC82" s="202"/>
      <c r="BD82" s="202"/>
      <c r="BE82" s="202"/>
      <c r="BF82" s="202"/>
      <c r="BG82" s="202"/>
      <c r="BH82" s="202"/>
      <c r="BI82" s="202"/>
      <c r="BJ82" s="202"/>
      <c r="BK82" s="202"/>
      <c r="BL82" s="202"/>
      <c r="BM82" s="202"/>
      <c r="BN82" s="202"/>
      <c r="BO82" s="202"/>
      <c r="BP82" s="202"/>
      <c r="BQ82" s="202"/>
      <c r="BR82" s="202"/>
      <c r="BS82" s="202"/>
      <c r="BT82" s="202"/>
      <c r="BU82" s="202"/>
      <c r="BV82" s="202"/>
      <c r="BW82" s="202"/>
      <c r="BX82" s="202"/>
      <c r="BY82" s="202"/>
      <c r="BZ82" s="202"/>
      <c r="CA82" s="202"/>
      <c r="CB82" s="202"/>
      <c r="CC82" s="202"/>
      <c r="CD82" s="202"/>
      <c r="CE82" s="202"/>
      <c r="CF82" s="202"/>
      <c r="CG82" s="202"/>
      <c r="CH82" s="202"/>
      <c r="CI82" s="202"/>
      <c r="CJ82" s="202"/>
      <c r="CK82" s="202"/>
      <c r="CL82" s="202"/>
      <c r="CM82" s="202"/>
      <c r="CN82" s="202"/>
      <c r="CO82" s="202"/>
      <c r="CP82" s="202"/>
      <c r="CQ82" s="202"/>
      <c r="CR82" s="202"/>
      <c r="CS82" s="202"/>
      <c r="CT82" s="202"/>
      <c r="CU82" s="202"/>
      <c r="CV82" s="202"/>
      <c r="CW82" s="202"/>
      <c r="CX82" s="202"/>
      <c r="CY82" s="206"/>
      <c r="CZ82" s="206"/>
      <c r="DA82" s="206"/>
      <c r="DB82" s="206"/>
      <c r="DC82" s="206"/>
      <c r="DD82" s="206"/>
      <c r="DE82" s="206"/>
      <c r="DF82" s="202"/>
      <c r="DG82" s="202"/>
      <c r="DH82" s="202"/>
      <c r="DI82" s="202"/>
      <c r="DJ82" s="202"/>
      <c r="DK82" s="202"/>
      <c r="DL82" s="202"/>
      <c r="DM82" s="202"/>
      <c r="DN82" s="202"/>
      <c r="DO82" s="202"/>
      <c r="DP82" s="202"/>
      <c r="DQ82" s="202"/>
      <c r="DR82" s="202"/>
      <c r="DS82" s="202"/>
      <c r="DT82" s="202"/>
      <c r="DU82" s="202"/>
      <c r="DV82" s="202"/>
      <c r="DW82" s="202"/>
      <c r="DX82" s="202"/>
      <c r="DY82" s="202"/>
      <c r="DZ82" s="202"/>
      <c r="EA82" s="202"/>
      <c r="EB82" s="202"/>
      <c r="EC82" s="202"/>
      <c r="ED82" s="202"/>
      <c r="EE82" s="202"/>
      <c r="EF82" s="202"/>
      <c r="EG82" s="202"/>
      <c r="EH82" s="202"/>
      <c r="EI82" s="202"/>
      <c r="EJ82" s="202"/>
      <c r="EK82" s="202"/>
      <c r="EL82" s="202"/>
      <c r="EM82" s="202"/>
      <c r="EN82" s="202"/>
      <c r="EO82" s="202"/>
      <c r="EP82" s="202"/>
      <c r="EQ82" s="202"/>
      <c r="ER82" s="202"/>
      <c r="ES82" s="202"/>
      <c r="ET82" s="202"/>
      <c r="EU82" s="202"/>
      <c r="EV82" s="202"/>
      <c r="EW82" s="202"/>
      <c r="EX82" s="202"/>
      <c r="EY82" s="202"/>
      <c r="EZ82" s="202"/>
      <c r="FA82" s="202"/>
      <c r="FB82" s="202"/>
      <c r="FC82" s="202"/>
      <c r="FD82" s="202"/>
      <c r="FE82" s="202"/>
      <c r="FF82" s="202"/>
      <c r="FG82" s="202"/>
      <c r="FH82" s="202"/>
      <c r="FI82" s="202"/>
      <c r="FJ82" s="202"/>
      <c r="FK82" s="202"/>
      <c r="FL82" s="202"/>
      <c r="FM82" s="202"/>
      <c r="FN82" s="202"/>
      <c r="FO82" s="202"/>
      <c r="FP82" s="202"/>
      <c r="FQ82" s="202"/>
      <c r="FR82" s="202"/>
      <c r="FS82" s="202"/>
      <c r="FT82" s="202"/>
      <c r="FU82" s="202"/>
      <c r="FV82" s="202"/>
      <c r="FW82" s="202"/>
      <c r="FX82" s="202"/>
      <c r="FY82" s="202"/>
      <c r="FZ82" s="202"/>
      <c r="GA82" s="202"/>
      <c r="GB82" s="202"/>
      <c r="GC82" s="202"/>
      <c r="GD82" s="202"/>
      <c r="GE82" s="202"/>
      <c r="GF82" s="202"/>
      <c r="GG82" s="202"/>
      <c r="GH82" s="202"/>
      <c r="GI82" s="202"/>
      <c r="GJ82" s="202"/>
      <c r="GK82" s="202"/>
      <c r="GL82" s="202"/>
      <c r="GM82" s="202"/>
      <c r="GN82" s="202"/>
      <c r="GO82" s="202"/>
      <c r="GP82" s="202"/>
      <c r="GQ82" s="202"/>
      <c r="GR82" s="202"/>
      <c r="GS82" s="208"/>
      <c r="GT82" s="208"/>
      <c r="GU82" s="155" t="s">
        <v>3882</v>
      </c>
    </row>
    <row r="83" spans="1:256" s="171" customFormat="1" ht="13.8" hidden="1">
      <c r="A83" s="270"/>
      <c r="B83" s="271"/>
      <c r="C83" s="272"/>
      <c r="D83" s="272"/>
      <c r="E83" s="272"/>
      <c r="F83" s="272"/>
      <c r="G83" s="272"/>
      <c r="H83" s="272"/>
      <c r="I83" s="272"/>
      <c r="J83" s="273"/>
      <c r="K83" s="199"/>
      <c r="L83" s="200"/>
      <c r="M83" s="201"/>
      <c r="N83" s="202"/>
      <c r="O83" s="274"/>
      <c r="P83" s="199"/>
      <c r="Q83" s="199"/>
      <c r="R83" s="199"/>
      <c r="S83" s="199"/>
      <c r="T83" s="199"/>
      <c r="U83" s="199"/>
      <c r="V83" s="202"/>
      <c r="W83" s="202"/>
      <c r="X83" s="202"/>
      <c r="Y83" s="202"/>
      <c r="Z83" s="202"/>
      <c r="AA83" s="202"/>
      <c r="AB83" s="202"/>
      <c r="AC83" s="202"/>
      <c r="AD83" s="202"/>
      <c r="AE83" s="202"/>
      <c r="AF83" s="202"/>
      <c r="AG83" s="202"/>
      <c r="AH83" s="202"/>
      <c r="AI83" s="202"/>
      <c r="AJ83" s="202"/>
      <c r="AK83" s="202"/>
      <c r="AL83" s="202"/>
      <c r="AM83" s="202"/>
      <c r="AN83" s="202"/>
      <c r="AO83" s="202"/>
      <c r="AP83" s="202"/>
      <c r="AQ83" s="202"/>
      <c r="AR83" s="202"/>
      <c r="AS83" s="202"/>
      <c r="AT83" s="202"/>
      <c r="AU83" s="202"/>
      <c r="AV83" s="202"/>
      <c r="AW83" s="202"/>
      <c r="AX83" s="202"/>
      <c r="AY83" s="202"/>
      <c r="AZ83" s="202"/>
      <c r="BA83" s="202"/>
      <c r="BB83" s="202"/>
      <c r="BC83" s="202"/>
      <c r="BD83" s="202"/>
      <c r="BE83" s="202"/>
      <c r="BF83" s="202"/>
      <c r="BG83" s="202"/>
      <c r="BH83" s="202"/>
      <c r="BI83" s="202"/>
      <c r="BJ83" s="202"/>
      <c r="BK83" s="202"/>
      <c r="BL83" s="202"/>
      <c r="BM83" s="202"/>
      <c r="BN83" s="202"/>
      <c r="BO83" s="202"/>
      <c r="BP83" s="202"/>
      <c r="BQ83" s="202"/>
      <c r="BR83" s="202"/>
      <c r="BS83" s="202"/>
      <c r="BT83" s="202"/>
      <c r="BU83" s="202"/>
      <c r="BV83" s="202"/>
      <c r="BW83" s="202"/>
      <c r="BX83" s="202"/>
      <c r="BY83" s="202"/>
      <c r="BZ83" s="202"/>
      <c r="CA83" s="202"/>
      <c r="CB83" s="202"/>
      <c r="CC83" s="202"/>
      <c r="CD83" s="202"/>
      <c r="CE83" s="202"/>
      <c r="CF83" s="202"/>
      <c r="CG83" s="202"/>
      <c r="CH83" s="202"/>
      <c r="CI83" s="202"/>
      <c r="CJ83" s="202"/>
      <c r="CK83" s="202"/>
      <c r="CL83" s="202"/>
      <c r="CM83" s="202"/>
      <c r="CN83" s="202"/>
      <c r="CO83" s="202"/>
      <c r="CP83" s="202"/>
      <c r="CQ83" s="202"/>
      <c r="CR83" s="202"/>
      <c r="CS83" s="202"/>
      <c r="CT83" s="202"/>
      <c r="CU83" s="202"/>
      <c r="CV83" s="202"/>
      <c r="CW83" s="202"/>
      <c r="CX83" s="202"/>
      <c r="CY83" s="202"/>
      <c r="CZ83" s="202"/>
      <c r="DA83" s="202"/>
      <c r="DB83" s="202"/>
      <c r="DC83" s="202"/>
      <c r="DD83" s="202"/>
      <c r="DE83" s="202"/>
      <c r="DF83" s="202"/>
      <c r="DG83" s="202"/>
      <c r="DH83" s="202"/>
      <c r="DI83" s="202"/>
      <c r="DJ83" s="202"/>
      <c r="DK83" s="202"/>
      <c r="DL83" s="202"/>
      <c r="DM83" s="202"/>
      <c r="DN83" s="202"/>
      <c r="DO83" s="202"/>
      <c r="DP83" s="202"/>
      <c r="DQ83" s="202"/>
      <c r="DR83" s="202"/>
      <c r="DS83" s="202"/>
      <c r="DT83" s="202"/>
      <c r="DU83" s="202"/>
      <c r="DV83" s="202"/>
      <c r="DW83" s="202"/>
      <c r="DX83" s="202"/>
      <c r="DY83" s="202"/>
      <c r="DZ83" s="202"/>
      <c r="EA83" s="202"/>
      <c r="EB83" s="202"/>
      <c r="EC83" s="202"/>
      <c r="ED83" s="202"/>
      <c r="EE83" s="202"/>
      <c r="EF83" s="202"/>
      <c r="EG83" s="202"/>
      <c r="EH83" s="202"/>
      <c r="EI83" s="202"/>
      <c r="EJ83" s="202"/>
      <c r="EK83" s="202"/>
      <c r="EL83" s="202"/>
      <c r="EM83" s="202"/>
      <c r="EN83" s="202"/>
      <c r="EO83" s="202"/>
      <c r="EP83" s="202"/>
      <c r="EQ83" s="202"/>
      <c r="ER83" s="202"/>
      <c r="ES83" s="202"/>
      <c r="ET83" s="202"/>
      <c r="EU83" s="202"/>
      <c r="EV83" s="202"/>
      <c r="EW83" s="202"/>
      <c r="EX83" s="202"/>
      <c r="EY83" s="202"/>
      <c r="EZ83" s="202"/>
      <c r="FA83" s="202"/>
      <c r="FB83" s="202"/>
      <c r="FC83" s="202"/>
      <c r="FD83" s="202"/>
      <c r="FE83" s="202"/>
      <c r="FF83" s="202"/>
      <c r="FG83" s="202"/>
      <c r="FH83" s="202"/>
      <c r="FI83" s="202"/>
      <c r="FJ83" s="202"/>
      <c r="FK83" s="202"/>
      <c r="FL83" s="202"/>
      <c r="FM83" s="202"/>
      <c r="FN83" s="202"/>
      <c r="FO83" s="202"/>
      <c r="FP83" s="202"/>
      <c r="FQ83" s="202"/>
      <c r="FR83" s="202"/>
      <c r="FS83" s="202"/>
      <c r="FT83" s="202"/>
      <c r="FU83" s="202"/>
      <c r="FV83" s="202"/>
      <c r="FW83" s="202"/>
      <c r="FX83" s="202"/>
      <c r="FY83" s="202"/>
      <c r="FZ83" s="202"/>
      <c r="GA83" s="202"/>
      <c r="GB83" s="202"/>
      <c r="GC83" s="202"/>
      <c r="GD83" s="202"/>
      <c r="GE83" s="202"/>
      <c r="GF83" s="202"/>
      <c r="GG83" s="202"/>
      <c r="GH83" s="202"/>
      <c r="GI83" s="202"/>
      <c r="GJ83" s="202"/>
      <c r="GK83" s="202"/>
      <c r="GL83" s="202"/>
      <c r="GM83" s="202"/>
      <c r="GN83" s="202"/>
      <c r="GO83" s="202"/>
      <c r="GP83" s="202"/>
      <c r="GQ83" s="202"/>
      <c r="GR83" s="202"/>
      <c r="GS83" s="208"/>
      <c r="GT83" s="208"/>
      <c r="GU83" s="155" t="s">
        <v>3882</v>
      </c>
      <c r="GV83" s="169"/>
      <c r="GW83" s="169"/>
      <c r="GX83" s="169"/>
      <c r="GY83" s="169"/>
      <c r="GZ83" s="169"/>
      <c r="HA83" s="169"/>
      <c r="HB83" s="169"/>
      <c r="HC83" s="169"/>
      <c r="HD83" s="169"/>
      <c r="HE83" s="169"/>
      <c r="HF83" s="169"/>
      <c r="HG83" s="169"/>
      <c r="HH83" s="169"/>
      <c r="HI83" s="169"/>
      <c r="HJ83" s="169"/>
      <c r="HK83" s="169"/>
      <c r="HL83" s="169"/>
      <c r="HM83" s="169"/>
      <c r="HN83" s="169"/>
      <c r="HO83" s="169"/>
      <c r="HP83" s="169"/>
      <c r="HQ83" s="169"/>
      <c r="HR83" s="169"/>
      <c r="HS83" s="169"/>
      <c r="HT83" s="169"/>
      <c r="HU83" s="169"/>
      <c r="HV83" s="169"/>
      <c r="HW83" s="169"/>
      <c r="HX83" s="169"/>
      <c r="HY83" s="169"/>
      <c r="HZ83" s="169"/>
      <c r="IA83" s="169"/>
      <c r="IB83" s="169"/>
      <c r="IC83" s="169"/>
      <c r="ID83" s="169"/>
      <c r="IE83" s="169"/>
      <c r="IF83" s="169"/>
      <c r="IG83" s="169"/>
      <c r="IH83" s="169"/>
      <c r="II83" s="169"/>
      <c r="IJ83" s="169"/>
      <c r="IK83" s="169"/>
      <c r="IL83" s="169"/>
      <c r="IM83" s="169"/>
      <c r="IN83" s="169"/>
      <c r="IO83" s="169"/>
      <c r="IP83" s="169"/>
      <c r="IQ83" s="169"/>
      <c r="IR83" s="169"/>
      <c r="IS83" s="169"/>
      <c r="IT83" s="169"/>
      <c r="IU83" s="169"/>
      <c r="IV83" s="169"/>
    </row>
    <row r="84" spans="1:256" ht="13.8" hidden="1">
      <c r="A84" s="275"/>
      <c r="B84" s="249"/>
      <c r="C84" s="197"/>
      <c r="D84" s="197"/>
      <c r="E84" s="197"/>
      <c r="F84" s="197"/>
      <c r="G84" s="197"/>
      <c r="H84" s="197"/>
      <c r="I84" s="197"/>
      <c r="J84" s="198"/>
      <c r="K84" s="199"/>
      <c r="L84" s="200"/>
      <c r="M84" s="201"/>
      <c r="N84" s="202"/>
      <c r="O84" s="250"/>
      <c r="P84" s="204"/>
      <c r="Q84" s="204"/>
      <c r="R84" s="204"/>
      <c r="S84" s="204"/>
      <c r="T84" s="204"/>
      <c r="U84" s="199"/>
      <c r="V84" s="202"/>
      <c r="W84" s="202"/>
      <c r="X84" s="202"/>
      <c r="Y84" s="202"/>
      <c r="Z84" s="202"/>
      <c r="AA84" s="202"/>
      <c r="AB84" s="202"/>
      <c r="AC84" s="202"/>
      <c r="AD84" s="202"/>
      <c r="AE84" s="202"/>
      <c r="AF84" s="202"/>
      <c r="AG84" s="202"/>
      <c r="AH84" s="202"/>
      <c r="AI84" s="202"/>
      <c r="AJ84" s="202"/>
      <c r="AK84" s="202"/>
      <c r="AL84" s="202"/>
      <c r="AM84" s="202"/>
      <c r="AN84" s="202"/>
      <c r="AO84" s="202"/>
      <c r="AP84" s="202"/>
      <c r="AQ84" s="202"/>
      <c r="AR84" s="202"/>
      <c r="AS84" s="202"/>
      <c r="AT84" s="202"/>
      <c r="AU84" s="202"/>
      <c r="AV84" s="202"/>
      <c r="AW84" s="202"/>
      <c r="AX84" s="202"/>
      <c r="AY84" s="202"/>
      <c r="AZ84" s="202"/>
      <c r="BA84" s="202"/>
      <c r="BB84" s="202"/>
      <c r="BC84" s="202"/>
      <c r="BD84" s="202"/>
      <c r="BE84" s="202"/>
      <c r="BF84" s="202"/>
      <c r="BG84" s="202"/>
      <c r="BH84" s="202"/>
      <c r="BI84" s="202"/>
      <c r="BJ84" s="202"/>
      <c r="BK84" s="202"/>
      <c r="BL84" s="202"/>
      <c r="BM84" s="202"/>
      <c r="BN84" s="202"/>
      <c r="BO84" s="202"/>
      <c r="BP84" s="202"/>
      <c r="BQ84" s="202"/>
      <c r="BR84" s="202"/>
      <c r="BS84" s="202"/>
      <c r="BT84" s="202"/>
      <c r="BU84" s="202"/>
      <c r="BV84" s="202"/>
      <c r="BW84" s="202"/>
      <c r="BX84" s="202"/>
      <c r="BY84" s="202"/>
      <c r="BZ84" s="202"/>
      <c r="CA84" s="202"/>
      <c r="CB84" s="202"/>
      <c r="CC84" s="202"/>
      <c r="CD84" s="202"/>
      <c r="CE84" s="202"/>
      <c r="CF84" s="202"/>
      <c r="CG84" s="202"/>
      <c r="CH84" s="202"/>
      <c r="CI84" s="202"/>
      <c r="CJ84" s="202"/>
      <c r="CK84" s="202"/>
      <c r="CL84" s="202"/>
      <c r="CM84" s="202"/>
      <c r="CN84" s="202"/>
      <c r="CO84" s="202"/>
      <c r="CP84" s="202"/>
      <c r="CQ84" s="202"/>
      <c r="CR84" s="202"/>
      <c r="CS84" s="202"/>
      <c r="CT84" s="202"/>
      <c r="CU84" s="202"/>
      <c r="CV84" s="202"/>
      <c r="CW84" s="202"/>
      <c r="CX84" s="202"/>
      <c r="CY84" s="206"/>
      <c r="CZ84" s="206"/>
      <c r="DA84" s="206"/>
      <c r="DB84" s="206"/>
      <c r="DC84" s="206"/>
      <c r="DD84" s="206"/>
      <c r="DE84" s="206"/>
      <c r="DF84" s="202"/>
      <c r="DG84" s="202"/>
      <c r="DH84" s="202"/>
      <c r="DI84" s="202"/>
      <c r="DJ84" s="202"/>
      <c r="DK84" s="202"/>
      <c r="DL84" s="202"/>
      <c r="DM84" s="202"/>
      <c r="DN84" s="202"/>
      <c r="DO84" s="202"/>
      <c r="DP84" s="202"/>
      <c r="DQ84" s="202"/>
      <c r="DR84" s="202"/>
      <c r="DS84" s="202"/>
      <c r="DT84" s="202"/>
      <c r="DU84" s="202"/>
      <c r="DV84" s="202"/>
      <c r="DW84" s="202"/>
      <c r="DX84" s="202"/>
      <c r="DY84" s="202"/>
      <c r="DZ84" s="202"/>
      <c r="EA84" s="202"/>
      <c r="EB84" s="202"/>
      <c r="EC84" s="202"/>
      <c r="ED84" s="202"/>
      <c r="EE84" s="202"/>
      <c r="EF84" s="202"/>
      <c r="EG84" s="202"/>
      <c r="EH84" s="202"/>
      <c r="EI84" s="202"/>
      <c r="EJ84" s="202"/>
      <c r="EK84" s="202"/>
      <c r="EL84" s="202"/>
      <c r="EM84" s="202"/>
      <c r="EN84" s="202"/>
      <c r="EO84" s="202"/>
      <c r="EP84" s="202"/>
      <c r="EQ84" s="202"/>
      <c r="ER84" s="202"/>
      <c r="ES84" s="202"/>
      <c r="ET84" s="202"/>
      <c r="EU84" s="202"/>
      <c r="EV84" s="202"/>
      <c r="EW84" s="202"/>
      <c r="EX84" s="202"/>
      <c r="EY84" s="202"/>
      <c r="EZ84" s="202"/>
      <c r="FA84" s="202"/>
      <c r="FB84" s="202"/>
      <c r="FC84" s="202"/>
      <c r="FD84" s="202"/>
      <c r="FE84" s="202"/>
      <c r="FF84" s="202"/>
      <c r="FG84" s="202"/>
      <c r="FH84" s="202"/>
      <c r="FI84" s="202"/>
      <c r="FJ84" s="202"/>
      <c r="FK84" s="202"/>
      <c r="FL84" s="202"/>
      <c r="FM84" s="202"/>
      <c r="FN84" s="202"/>
      <c r="FO84" s="202"/>
      <c r="FP84" s="202"/>
      <c r="FQ84" s="202"/>
      <c r="FR84" s="202"/>
      <c r="FS84" s="202"/>
      <c r="FT84" s="202"/>
      <c r="FU84" s="202"/>
      <c r="FV84" s="202"/>
      <c r="FW84" s="202"/>
      <c r="FX84" s="202"/>
      <c r="FY84" s="202"/>
      <c r="FZ84" s="202"/>
      <c r="GA84" s="202"/>
      <c r="GB84" s="202"/>
      <c r="GC84" s="202"/>
      <c r="GD84" s="202"/>
      <c r="GE84" s="202"/>
      <c r="GF84" s="202"/>
      <c r="GG84" s="202"/>
      <c r="GH84" s="202"/>
      <c r="GI84" s="202"/>
      <c r="GJ84" s="202"/>
      <c r="GK84" s="202"/>
      <c r="GL84" s="202"/>
      <c r="GM84" s="202"/>
      <c r="GN84" s="202"/>
      <c r="GO84" s="202"/>
      <c r="GP84" s="202"/>
      <c r="GQ84" s="202"/>
      <c r="GR84" s="202"/>
      <c r="GS84" s="208"/>
      <c r="GT84" s="208"/>
      <c r="GU84" s="155" t="s">
        <v>3882</v>
      </c>
    </row>
    <row r="85" spans="1:256" s="171" customFormat="1" ht="13.8" hidden="1">
      <c r="A85" s="276"/>
      <c r="B85" s="277"/>
      <c r="C85" s="278"/>
      <c r="D85" s="272"/>
      <c r="E85" s="278"/>
      <c r="F85" s="278"/>
      <c r="G85" s="278"/>
      <c r="H85" s="278"/>
      <c r="I85" s="278"/>
      <c r="J85" s="279"/>
      <c r="K85" s="218"/>
      <c r="L85" s="219"/>
      <c r="M85" s="201"/>
      <c r="N85" s="221"/>
      <c r="O85" s="274"/>
      <c r="P85" s="218"/>
      <c r="Q85" s="218"/>
      <c r="R85" s="218"/>
      <c r="S85" s="218"/>
      <c r="T85" s="218"/>
      <c r="U85" s="218"/>
      <c r="V85" s="221"/>
      <c r="W85" s="221"/>
      <c r="X85" s="221"/>
      <c r="Y85" s="221"/>
      <c r="Z85" s="221"/>
      <c r="AA85" s="22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5"/>
      <c r="GT85" s="225"/>
      <c r="GU85" s="155" t="s">
        <v>3882</v>
      </c>
      <c r="GV85" s="169"/>
      <c r="GW85" s="169"/>
      <c r="GX85" s="169"/>
      <c r="GY85" s="169"/>
      <c r="GZ85" s="169"/>
      <c r="HA85" s="169"/>
      <c r="HB85" s="169"/>
      <c r="HC85" s="169"/>
      <c r="HD85" s="169"/>
      <c r="HE85" s="169"/>
      <c r="HF85" s="169"/>
      <c r="HG85" s="169"/>
      <c r="HH85" s="169"/>
      <c r="HI85" s="169"/>
      <c r="HJ85" s="169"/>
      <c r="HK85" s="169"/>
      <c r="HL85" s="169"/>
      <c r="HM85" s="169"/>
      <c r="HN85" s="169"/>
      <c r="HO85" s="169"/>
      <c r="HP85" s="169"/>
      <c r="HQ85" s="169"/>
      <c r="HR85" s="169"/>
      <c r="HS85" s="169"/>
      <c r="HT85" s="169"/>
      <c r="HU85" s="169"/>
      <c r="HV85" s="169"/>
      <c r="HW85" s="169"/>
      <c r="HX85" s="169"/>
      <c r="HY85" s="169"/>
      <c r="HZ85" s="169"/>
      <c r="IA85" s="169"/>
      <c r="IB85" s="169"/>
      <c r="IC85" s="169"/>
      <c r="ID85" s="169"/>
      <c r="IE85" s="169"/>
      <c r="IF85" s="169"/>
      <c r="IG85" s="169"/>
      <c r="IH85" s="169"/>
      <c r="II85" s="169"/>
      <c r="IJ85" s="169"/>
      <c r="IK85" s="169"/>
      <c r="IL85" s="169"/>
      <c r="IM85" s="169"/>
      <c r="IN85" s="169"/>
      <c r="IO85" s="169"/>
      <c r="IP85" s="169"/>
      <c r="IQ85" s="169"/>
      <c r="IR85" s="169"/>
      <c r="IS85" s="169"/>
      <c r="IT85" s="169"/>
      <c r="IU85" s="169"/>
      <c r="IV85" s="169"/>
    </row>
    <row r="86" spans="1:256" s="233" customFormat="1" ht="13.8" hidden="1">
      <c r="A86" s="156"/>
      <c r="B86" s="229">
        <f>SUM(B55:B85)</f>
        <v>0</v>
      </c>
      <c r="C86" s="261"/>
      <c r="D86" s="261">
        <f>D85</f>
        <v>0</v>
      </c>
      <c r="E86" s="261"/>
      <c r="F86" s="261"/>
      <c r="G86" s="261"/>
      <c r="H86" s="261"/>
      <c r="I86" s="261"/>
      <c r="J86" s="262"/>
      <c r="K86" s="263"/>
      <c r="L86" s="264"/>
      <c r="M86" s="265"/>
      <c r="N86" s="228">
        <f t="shared" ref="N86:AT86" si="11">SUM(N55:N85)</f>
        <v>0</v>
      </c>
      <c r="O86" s="228">
        <f t="shared" si="11"/>
        <v>0</v>
      </c>
      <c r="P86" s="228">
        <f t="shared" si="11"/>
        <v>0</v>
      </c>
      <c r="Q86" s="228">
        <f t="shared" si="11"/>
        <v>0</v>
      </c>
      <c r="R86" s="228">
        <f t="shared" si="11"/>
        <v>0</v>
      </c>
      <c r="S86" s="228">
        <f t="shared" si="11"/>
        <v>0</v>
      </c>
      <c r="T86" s="228">
        <f t="shared" si="11"/>
        <v>0</v>
      </c>
      <c r="U86" s="228">
        <f t="shared" si="11"/>
        <v>0</v>
      </c>
      <c r="V86" s="228">
        <f t="shared" si="11"/>
        <v>0</v>
      </c>
      <c r="W86" s="228">
        <f t="shared" si="11"/>
        <v>0</v>
      </c>
      <c r="X86" s="228">
        <f t="shared" si="11"/>
        <v>0</v>
      </c>
      <c r="Y86" s="228"/>
      <c r="Z86" s="228">
        <f t="shared" si="11"/>
        <v>0</v>
      </c>
      <c r="AA86" s="228">
        <f t="shared" si="11"/>
        <v>0</v>
      </c>
      <c r="AB86" s="228">
        <f t="shared" si="11"/>
        <v>0</v>
      </c>
      <c r="AC86" s="228">
        <f t="shared" si="11"/>
        <v>0</v>
      </c>
      <c r="AD86" s="228">
        <f t="shared" si="11"/>
        <v>0</v>
      </c>
      <c r="AE86" s="228">
        <f t="shared" si="11"/>
        <v>0</v>
      </c>
      <c r="AF86" s="228">
        <f t="shared" si="11"/>
        <v>0</v>
      </c>
      <c r="AG86" s="228">
        <f t="shared" si="11"/>
        <v>0</v>
      </c>
      <c r="AH86" s="228">
        <f t="shared" si="11"/>
        <v>0</v>
      </c>
      <c r="AI86" s="228">
        <f t="shared" si="11"/>
        <v>0</v>
      </c>
      <c r="AJ86" s="228">
        <f t="shared" si="11"/>
        <v>0</v>
      </c>
      <c r="AK86" s="228">
        <f t="shared" si="11"/>
        <v>0</v>
      </c>
      <c r="AL86" s="228">
        <f t="shared" si="11"/>
        <v>0</v>
      </c>
      <c r="AM86" s="228">
        <f t="shared" si="11"/>
        <v>0</v>
      </c>
      <c r="AN86" s="228">
        <f t="shared" si="11"/>
        <v>0</v>
      </c>
      <c r="AO86" s="228">
        <f t="shared" si="11"/>
        <v>0</v>
      </c>
      <c r="AP86" s="228">
        <f t="shared" si="11"/>
        <v>0</v>
      </c>
      <c r="AQ86" s="228">
        <f t="shared" si="11"/>
        <v>0</v>
      </c>
      <c r="AR86" s="228">
        <f t="shared" si="11"/>
        <v>0</v>
      </c>
      <c r="AS86" s="228">
        <f t="shared" si="11"/>
        <v>0</v>
      </c>
      <c r="AT86" s="228">
        <f t="shared" si="11"/>
        <v>0</v>
      </c>
      <c r="AU86" s="228">
        <f t="shared" ref="AU86:BZ86" si="12">SUM(AU55:AU85)</f>
        <v>0</v>
      </c>
      <c r="AV86" s="228">
        <f t="shared" si="12"/>
        <v>0</v>
      </c>
      <c r="AW86" s="228">
        <f t="shared" si="12"/>
        <v>0</v>
      </c>
      <c r="AX86" s="228">
        <f t="shared" si="12"/>
        <v>0</v>
      </c>
      <c r="AY86" s="228">
        <f t="shared" si="12"/>
        <v>0</v>
      </c>
      <c r="AZ86" s="228">
        <f t="shared" si="12"/>
        <v>0</v>
      </c>
      <c r="BA86" s="228">
        <f t="shared" si="12"/>
        <v>0</v>
      </c>
      <c r="BB86" s="228">
        <f t="shared" si="12"/>
        <v>0</v>
      </c>
      <c r="BC86" s="228">
        <f t="shared" si="12"/>
        <v>0</v>
      </c>
      <c r="BD86" s="228">
        <f t="shared" si="12"/>
        <v>0</v>
      </c>
      <c r="BE86" s="228">
        <f t="shared" si="12"/>
        <v>0</v>
      </c>
      <c r="BF86" s="228">
        <f t="shared" si="12"/>
        <v>0</v>
      </c>
      <c r="BG86" s="228">
        <f t="shared" si="12"/>
        <v>0</v>
      </c>
      <c r="BH86" s="228">
        <f t="shared" si="12"/>
        <v>0</v>
      </c>
      <c r="BI86" s="228">
        <f t="shared" si="12"/>
        <v>0</v>
      </c>
      <c r="BJ86" s="228">
        <f t="shared" si="12"/>
        <v>0</v>
      </c>
      <c r="BK86" s="228">
        <f t="shared" si="12"/>
        <v>0</v>
      </c>
      <c r="BL86" s="228">
        <f t="shared" si="12"/>
        <v>0</v>
      </c>
      <c r="BM86" s="228">
        <f t="shared" si="12"/>
        <v>0</v>
      </c>
      <c r="BN86" s="228">
        <f t="shared" si="12"/>
        <v>0</v>
      </c>
      <c r="BO86" s="228">
        <f t="shared" si="12"/>
        <v>0</v>
      </c>
      <c r="BP86" s="228">
        <f t="shared" si="12"/>
        <v>0</v>
      </c>
      <c r="BQ86" s="228">
        <f t="shared" si="12"/>
        <v>0</v>
      </c>
      <c r="BR86" s="228">
        <f t="shared" si="12"/>
        <v>0</v>
      </c>
      <c r="BS86" s="228">
        <f t="shared" si="12"/>
        <v>0</v>
      </c>
      <c r="BT86" s="228">
        <f t="shared" si="12"/>
        <v>0</v>
      </c>
      <c r="BU86" s="228">
        <f t="shared" si="12"/>
        <v>0</v>
      </c>
      <c r="BV86" s="228">
        <f t="shared" si="12"/>
        <v>0</v>
      </c>
      <c r="BW86" s="228">
        <f t="shared" si="12"/>
        <v>0</v>
      </c>
      <c r="BX86" s="228">
        <f t="shared" si="12"/>
        <v>0</v>
      </c>
      <c r="BY86" s="228">
        <f t="shared" si="12"/>
        <v>0</v>
      </c>
      <c r="BZ86" s="228">
        <f t="shared" si="12"/>
        <v>0</v>
      </c>
      <c r="CA86" s="228">
        <f t="shared" ref="CA86:DH86" si="13">SUM(CA55:CA85)</f>
        <v>0</v>
      </c>
      <c r="CB86" s="228">
        <f t="shared" si="13"/>
        <v>0</v>
      </c>
      <c r="CC86" s="228">
        <f t="shared" si="13"/>
        <v>0</v>
      </c>
      <c r="CD86" s="228">
        <f t="shared" si="13"/>
        <v>0</v>
      </c>
      <c r="CE86" s="228">
        <f t="shared" si="13"/>
        <v>0</v>
      </c>
      <c r="CF86" s="228">
        <f t="shared" si="13"/>
        <v>0</v>
      </c>
      <c r="CG86" s="228">
        <f t="shared" si="13"/>
        <v>0</v>
      </c>
      <c r="CH86" s="228">
        <f t="shared" si="13"/>
        <v>0</v>
      </c>
      <c r="CI86" s="228">
        <f t="shared" si="13"/>
        <v>0</v>
      </c>
      <c r="CJ86" s="228">
        <f t="shared" si="13"/>
        <v>0</v>
      </c>
      <c r="CK86" s="228">
        <f t="shared" si="13"/>
        <v>0</v>
      </c>
      <c r="CL86" s="228">
        <f t="shared" si="13"/>
        <v>0</v>
      </c>
      <c r="CM86" s="228">
        <f t="shared" si="13"/>
        <v>0</v>
      </c>
      <c r="CN86" s="228">
        <f t="shared" si="13"/>
        <v>0</v>
      </c>
      <c r="CO86" s="228">
        <f t="shared" si="13"/>
        <v>0</v>
      </c>
      <c r="CP86" s="228">
        <f t="shared" si="13"/>
        <v>0</v>
      </c>
      <c r="CQ86" s="228">
        <f t="shared" si="13"/>
        <v>0</v>
      </c>
      <c r="CR86" s="228">
        <f t="shared" si="13"/>
        <v>0</v>
      </c>
      <c r="CS86" s="228">
        <f t="shared" si="13"/>
        <v>0</v>
      </c>
      <c r="CT86" s="228">
        <f t="shared" si="13"/>
        <v>0</v>
      </c>
      <c r="CU86" s="228">
        <f t="shared" si="13"/>
        <v>0</v>
      </c>
      <c r="CV86" s="228">
        <f t="shared" si="13"/>
        <v>0</v>
      </c>
      <c r="CW86" s="228">
        <f t="shared" si="13"/>
        <v>0</v>
      </c>
      <c r="CX86" s="228">
        <f t="shared" si="13"/>
        <v>0</v>
      </c>
      <c r="CY86" s="228">
        <f t="shared" si="13"/>
        <v>0</v>
      </c>
      <c r="CZ86" s="228">
        <f t="shared" si="13"/>
        <v>0</v>
      </c>
      <c r="DA86" s="228">
        <f t="shared" si="13"/>
        <v>0</v>
      </c>
      <c r="DB86" s="228">
        <f t="shared" si="13"/>
        <v>0</v>
      </c>
      <c r="DC86" s="228">
        <f t="shared" si="13"/>
        <v>0</v>
      </c>
      <c r="DD86" s="228">
        <f t="shared" si="13"/>
        <v>0</v>
      </c>
      <c r="DE86" s="228">
        <f t="shared" si="13"/>
        <v>0</v>
      </c>
      <c r="DF86" s="228">
        <f t="shared" si="13"/>
        <v>0</v>
      </c>
      <c r="DG86" s="228">
        <f t="shared" si="13"/>
        <v>0</v>
      </c>
      <c r="DH86" s="228">
        <f t="shared" si="13"/>
        <v>0</v>
      </c>
      <c r="DI86" s="228">
        <f t="shared" ref="DI86:ES86" si="14">SUM(DI55:DI85)</f>
        <v>0</v>
      </c>
      <c r="DJ86" s="228">
        <f t="shared" si="14"/>
        <v>0</v>
      </c>
      <c r="DK86" s="228">
        <f t="shared" si="14"/>
        <v>0</v>
      </c>
      <c r="DL86" s="228">
        <f t="shared" si="14"/>
        <v>0</v>
      </c>
      <c r="DM86" s="228">
        <f t="shared" si="14"/>
        <v>0</v>
      </c>
      <c r="DN86" s="228">
        <f t="shared" si="14"/>
        <v>0</v>
      </c>
      <c r="DO86" s="228">
        <f t="shared" si="14"/>
        <v>0</v>
      </c>
      <c r="DP86" s="228">
        <f>SUM(DP55:DP85)</f>
        <v>0</v>
      </c>
      <c r="DQ86" s="228">
        <f>SUM(DQ55:DQ85)</f>
        <v>0</v>
      </c>
      <c r="DR86" s="228">
        <f t="shared" si="14"/>
        <v>0</v>
      </c>
      <c r="DS86" s="228">
        <f t="shared" si="14"/>
        <v>0</v>
      </c>
      <c r="DT86" s="228">
        <f t="shared" si="14"/>
        <v>0</v>
      </c>
      <c r="DU86" s="228">
        <f t="shared" si="14"/>
        <v>0</v>
      </c>
      <c r="DV86" s="228">
        <f t="shared" si="14"/>
        <v>0</v>
      </c>
      <c r="DW86" s="228">
        <f t="shared" si="14"/>
        <v>0</v>
      </c>
      <c r="DX86" s="228">
        <f t="shared" si="14"/>
        <v>0</v>
      </c>
      <c r="DY86" s="228">
        <f t="shared" si="14"/>
        <v>0</v>
      </c>
      <c r="DZ86" s="228">
        <f t="shared" si="14"/>
        <v>0</v>
      </c>
      <c r="EA86" s="228">
        <f t="shared" si="14"/>
        <v>0</v>
      </c>
      <c r="EB86" s="228">
        <f t="shared" si="14"/>
        <v>0</v>
      </c>
      <c r="EC86" s="228">
        <f t="shared" si="14"/>
        <v>0</v>
      </c>
      <c r="ED86" s="228">
        <f t="shared" si="14"/>
        <v>0</v>
      </c>
      <c r="EE86" s="228">
        <f t="shared" si="14"/>
        <v>0</v>
      </c>
      <c r="EF86" s="228">
        <f t="shared" si="14"/>
        <v>0</v>
      </c>
      <c r="EG86" s="228">
        <f t="shared" si="14"/>
        <v>0</v>
      </c>
      <c r="EH86" s="228">
        <f t="shared" si="14"/>
        <v>0</v>
      </c>
      <c r="EI86" s="228">
        <f t="shared" si="14"/>
        <v>0</v>
      </c>
      <c r="EJ86" s="228">
        <f t="shared" si="14"/>
        <v>0</v>
      </c>
      <c r="EK86" s="228">
        <f t="shared" si="14"/>
        <v>0</v>
      </c>
      <c r="EL86" s="228">
        <f t="shared" si="14"/>
        <v>0</v>
      </c>
      <c r="EM86" s="228">
        <f t="shared" si="14"/>
        <v>0</v>
      </c>
      <c r="EN86" s="228">
        <f t="shared" si="14"/>
        <v>0</v>
      </c>
      <c r="EO86" s="228">
        <f t="shared" si="14"/>
        <v>0</v>
      </c>
      <c r="EP86" s="228">
        <f t="shared" si="14"/>
        <v>0</v>
      </c>
      <c r="EQ86" s="228">
        <f t="shared" si="14"/>
        <v>0</v>
      </c>
      <c r="ER86" s="228">
        <f t="shared" si="14"/>
        <v>0</v>
      </c>
      <c r="ES86" s="228">
        <f t="shared" si="14"/>
        <v>0</v>
      </c>
      <c r="ET86" s="228">
        <f t="shared" ref="ET86:GE86" si="15">SUM(ET55:ET85)</f>
        <v>0</v>
      </c>
      <c r="EU86" s="228">
        <f t="shared" si="15"/>
        <v>0</v>
      </c>
      <c r="EV86" s="228">
        <f t="shared" si="15"/>
        <v>0</v>
      </c>
      <c r="EW86" s="228">
        <f t="shared" si="15"/>
        <v>0</v>
      </c>
      <c r="EX86" s="228">
        <f t="shared" si="15"/>
        <v>0</v>
      </c>
      <c r="EY86" s="228">
        <f t="shared" si="15"/>
        <v>0</v>
      </c>
      <c r="EZ86" s="228">
        <f t="shared" si="15"/>
        <v>0</v>
      </c>
      <c r="FA86" s="228">
        <f t="shared" si="15"/>
        <v>0</v>
      </c>
      <c r="FB86" s="228">
        <f t="shared" si="15"/>
        <v>0</v>
      </c>
      <c r="FC86" s="228">
        <f t="shared" si="15"/>
        <v>0</v>
      </c>
      <c r="FD86" s="228">
        <f t="shared" si="15"/>
        <v>0</v>
      </c>
      <c r="FE86" s="228">
        <f t="shared" si="15"/>
        <v>0</v>
      </c>
      <c r="FF86" s="228">
        <f t="shared" si="15"/>
        <v>0</v>
      </c>
      <c r="FG86" s="228">
        <f t="shared" si="15"/>
        <v>0</v>
      </c>
      <c r="FH86" s="228">
        <f t="shared" si="15"/>
        <v>0</v>
      </c>
      <c r="FI86" s="228">
        <f t="shared" si="15"/>
        <v>0</v>
      </c>
      <c r="FJ86" s="228">
        <f t="shared" si="15"/>
        <v>0</v>
      </c>
      <c r="FK86" s="228">
        <f t="shared" si="15"/>
        <v>0</v>
      </c>
      <c r="FL86" s="228">
        <f t="shared" si="15"/>
        <v>0</v>
      </c>
      <c r="FM86" s="228">
        <f t="shared" si="15"/>
        <v>0</v>
      </c>
      <c r="FN86" s="228">
        <f t="shared" si="15"/>
        <v>0</v>
      </c>
      <c r="FO86" s="228">
        <f t="shared" si="15"/>
        <v>0</v>
      </c>
      <c r="FP86" s="228">
        <f t="shared" si="15"/>
        <v>0</v>
      </c>
      <c r="FQ86" s="228">
        <f t="shared" si="15"/>
        <v>0</v>
      </c>
      <c r="FR86" s="228">
        <f t="shared" si="15"/>
        <v>0</v>
      </c>
      <c r="FS86" s="228">
        <f t="shared" si="15"/>
        <v>0</v>
      </c>
      <c r="FT86" s="228">
        <f t="shared" si="15"/>
        <v>0</v>
      </c>
      <c r="FU86" s="228">
        <f t="shared" si="15"/>
        <v>0</v>
      </c>
      <c r="FV86" s="228">
        <f t="shared" si="15"/>
        <v>0</v>
      </c>
      <c r="FW86" s="228">
        <f t="shared" si="15"/>
        <v>0</v>
      </c>
      <c r="FX86" s="228">
        <f t="shared" si="15"/>
        <v>0</v>
      </c>
      <c r="FY86" s="228">
        <f t="shared" si="15"/>
        <v>0</v>
      </c>
      <c r="FZ86" s="228">
        <f t="shared" si="15"/>
        <v>0</v>
      </c>
      <c r="GA86" s="228">
        <f t="shared" si="15"/>
        <v>0</v>
      </c>
      <c r="GB86" s="228">
        <f t="shared" si="15"/>
        <v>0</v>
      </c>
      <c r="GC86" s="228">
        <f t="shared" si="15"/>
        <v>0</v>
      </c>
      <c r="GD86" s="228">
        <f t="shared" si="15"/>
        <v>0</v>
      </c>
      <c r="GE86" s="228">
        <f t="shared" si="15"/>
        <v>0</v>
      </c>
      <c r="GF86" s="228">
        <f t="shared" ref="GF86:GQ86" si="16">SUM(GF55:GF85)</f>
        <v>0</v>
      </c>
      <c r="GG86" s="228">
        <f t="shared" si="16"/>
        <v>0</v>
      </c>
      <c r="GH86" s="228">
        <f t="shared" si="16"/>
        <v>0</v>
      </c>
      <c r="GI86" s="228">
        <f t="shared" si="16"/>
        <v>0</v>
      </c>
      <c r="GJ86" s="228">
        <f t="shared" si="16"/>
        <v>0</v>
      </c>
      <c r="GK86" s="228">
        <f t="shared" si="16"/>
        <v>0</v>
      </c>
      <c r="GL86" s="228">
        <f t="shared" si="16"/>
        <v>0</v>
      </c>
      <c r="GM86" s="228">
        <f t="shared" si="16"/>
        <v>0</v>
      </c>
      <c r="GN86" s="228">
        <f t="shared" si="16"/>
        <v>0</v>
      </c>
      <c r="GO86" s="228">
        <f t="shared" si="16"/>
        <v>0</v>
      </c>
      <c r="GP86" s="228">
        <f t="shared" si="16"/>
        <v>0</v>
      </c>
      <c r="GQ86" s="228">
        <f t="shared" si="16"/>
        <v>0</v>
      </c>
      <c r="GR86" s="280"/>
      <c r="GS86" s="231"/>
      <c r="GT86" s="231"/>
      <c r="GU86" s="232"/>
      <c r="GV86" s="169"/>
      <c r="GW86" s="169"/>
      <c r="GX86" s="169"/>
      <c r="GY86" s="169"/>
      <c r="GZ86" s="169"/>
      <c r="HA86" s="169"/>
      <c r="HB86" s="169"/>
      <c r="HC86" s="169"/>
      <c r="HD86" s="169"/>
      <c r="HE86" s="169"/>
      <c r="HF86" s="169"/>
      <c r="HG86" s="169"/>
      <c r="HH86" s="169"/>
      <c r="HI86" s="169"/>
      <c r="HJ86" s="169"/>
      <c r="HK86" s="169"/>
      <c r="HL86" s="169"/>
      <c r="HM86" s="169"/>
      <c r="HN86" s="169"/>
      <c r="HO86" s="169"/>
      <c r="HP86" s="169"/>
      <c r="HQ86" s="169"/>
      <c r="HR86" s="169"/>
      <c r="HS86" s="169"/>
      <c r="HT86" s="169"/>
      <c r="HU86" s="169"/>
      <c r="HV86" s="169"/>
      <c r="HW86" s="169"/>
      <c r="HX86" s="169"/>
      <c r="HY86" s="169"/>
      <c r="HZ86" s="169"/>
      <c r="IA86" s="169"/>
      <c r="IB86" s="169"/>
      <c r="IC86" s="169"/>
      <c r="ID86" s="169"/>
      <c r="IE86" s="169"/>
      <c r="IF86" s="169"/>
      <c r="IG86" s="169"/>
      <c r="IH86" s="169"/>
      <c r="II86" s="169"/>
      <c r="IJ86" s="169"/>
      <c r="IK86" s="169"/>
      <c r="IL86" s="169"/>
      <c r="IM86" s="169"/>
      <c r="IN86" s="169"/>
      <c r="IO86" s="169"/>
      <c r="IP86" s="169"/>
      <c r="IQ86" s="169"/>
      <c r="IR86" s="169"/>
      <c r="IS86" s="169"/>
      <c r="IT86" s="169"/>
      <c r="IU86" s="169"/>
      <c r="IV86" s="169"/>
    </row>
    <row r="87" spans="1:256" ht="13.8" hidden="1">
      <c r="A87" s="154"/>
      <c r="B87" s="184"/>
      <c r="C87" s="184"/>
      <c r="D87" s="184"/>
      <c r="E87" s="184"/>
      <c r="F87" s="184"/>
      <c r="G87" s="184"/>
      <c r="H87" s="184"/>
      <c r="I87" s="184"/>
      <c r="J87" s="184"/>
      <c r="K87" s="184"/>
      <c r="L87" s="184"/>
      <c r="M87" s="184"/>
      <c r="N87" s="184"/>
      <c r="O87" s="184"/>
      <c r="P87" s="184"/>
      <c r="Q87" s="184"/>
      <c r="R87" s="184"/>
      <c r="S87" s="184"/>
      <c r="T87" s="184"/>
      <c r="U87" s="184"/>
      <c r="V87" s="184"/>
      <c r="W87" s="184"/>
      <c r="X87" s="184"/>
      <c r="Y87" s="184"/>
      <c r="Z87" s="184"/>
      <c r="AA87" s="184"/>
      <c r="AB87" s="184"/>
      <c r="AC87" s="184"/>
      <c r="AD87" s="184"/>
      <c r="AE87" s="184"/>
      <c r="AF87" s="184"/>
      <c r="AG87" s="184"/>
      <c r="AH87" s="184"/>
      <c r="AI87" s="184"/>
      <c r="AJ87" s="184"/>
      <c r="AK87" s="184"/>
      <c r="AL87" s="184"/>
      <c r="AM87" s="184"/>
      <c r="AN87" s="184"/>
      <c r="AO87" s="184"/>
      <c r="AP87" s="184"/>
      <c r="AQ87" s="184"/>
      <c r="AR87" s="184"/>
      <c r="AS87" s="184"/>
      <c r="AT87" s="184"/>
      <c r="AU87" s="184"/>
      <c r="AV87" s="184"/>
      <c r="AW87" s="184"/>
      <c r="AX87" s="184"/>
      <c r="AY87" s="184"/>
      <c r="AZ87" s="184"/>
      <c r="BA87" s="184"/>
      <c r="BB87" s="184"/>
      <c r="BC87" s="184"/>
      <c r="BD87" s="184"/>
      <c r="BE87" s="184"/>
      <c r="BF87" s="184"/>
      <c r="BG87" s="184"/>
      <c r="BH87" s="184"/>
      <c r="BI87" s="184"/>
      <c r="BJ87" s="184"/>
      <c r="BK87" s="184"/>
      <c r="BL87" s="184"/>
      <c r="BM87" s="184"/>
      <c r="BN87" s="184"/>
      <c r="BO87" s="184"/>
      <c r="BP87" s="184"/>
      <c r="BQ87" s="184"/>
      <c r="BR87" s="184"/>
      <c r="BS87" s="184"/>
      <c r="BT87" s="184"/>
      <c r="BU87" s="184"/>
      <c r="BV87" s="184"/>
      <c r="BW87" s="184"/>
      <c r="BX87" s="184"/>
      <c r="BY87" s="184"/>
      <c r="BZ87" s="184"/>
      <c r="CA87" s="184"/>
      <c r="CB87" s="184"/>
      <c r="CC87" s="184"/>
      <c r="CD87" s="184"/>
      <c r="CE87" s="184"/>
      <c r="CF87" s="184"/>
      <c r="CG87" s="184"/>
      <c r="CH87" s="184"/>
      <c r="CI87" s="184"/>
      <c r="CJ87" s="184"/>
      <c r="CK87" s="184"/>
      <c r="CL87" s="184"/>
      <c r="CM87" s="184"/>
      <c r="CN87" s="184"/>
      <c r="CO87" s="184"/>
      <c r="CP87" s="184"/>
      <c r="CQ87" s="184"/>
      <c r="CR87" s="184"/>
      <c r="CS87" s="184"/>
      <c r="CT87" s="184"/>
      <c r="CU87" s="184"/>
      <c r="CV87" s="184"/>
      <c r="CW87" s="184"/>
      <c r="CX87" s="184"/>
      <c r="CY87" s="184"/>
      <c r="CZ87" s="184"/>
      <c r="DA87" s="184"/>
      <c r="DB87" s="184"/>
      <c r="DC87" s="184"/>
      <c r="DD87" s="184"/>
      <c r="DE87" s="184"/>
      <c r="DF87" s="184"/>
      <c r="DG87" s="184"/>
      <c r="DH87" s="184"/>
      <c r="DI87" s="184"/>
      <c r="DJ87" s="184"/>
      <c r="DK87" s="184"/>
      <c r="DL87" s="184"/>
      <c r="DM87" s="184"/>
      <c r="DN87" s="184"/>
      <c r="DO87" s="184"/>
      <c r="DP87" s="184"/>
      <c r="DQ87" s="184"/>
      <c r="DR87" s="184"/>
      <c r="DS87" s="184"/>
      <c r="DT87" s="184"/>
      <c r="DU87" s="184"/>
      <c r="DV87" s="184"/>
      <c r="DW87" s="184"/>
      <c r="DX87" s="184"/>
      <c r="DY87" s="184"/>
      <c r="DZ87" s="184"/>
      <c r="EA87" s="184"/>
      <c r="EB87" s="184"/>
      <c r="EC87" s="184"/>
      <c r="ED87" s="184"/>
      <c r="EE87" s="184"/>
      <c r="EF87" s="184"/>
      <c r="EG87" s="184"/>
      <c r="EH87" s="184"/>
      <c r="EI87" s="184"/>
      <c r="EJ87" s="184"/>
      <c r="EK87" s="184"/>
      <c r="EL87" s="184"/>
      <c r="EM87" s="184"/>
      <c r="EN87" s="184"/>
      <c r="EO87" s="184"/>
      <c r="EP87" s="184"/>
      <c r="EQ87" s="184"/>
      <c r="ER87" s="184"/>
      <c r="ES87" s="184"/>
      <c r="ET87" s="184"/>
      <c r="EU87" s="184"/>
      <c r="EV87" s="184"/>
      <c r="EW87" s="184"/>
      <c r="EX87" s="184"/>
      <c r="EY87" s="184"/>
      <c r="EZ87" s="184"/>
      <c r="FA87" s="184"/>
      <c r="FB87" s="184"/>
      <c r="FC87" s="184"/>
      <c r="FD87" s="184"/>
      <c r="FE87" s="184"/>
      <c r="FF87" s="184"/>
      <c r="FG87" s="184"/>
      <c r="FH87" s="184"/>
      <c r="FI87" s="184"/>
      <c r="FJ87" s="184"/>
      <c r="FK87" s="184"/>
      <c r="FL87" s="184"/>
      <c r="FM87" s="184"/>
      <c r="FN87" s="184"/>
      <c r="FO87" s="184"/>
      <c r="FP87" s="184"/>
      <c r="FQ87" s="184"/>
      <c r="FR87" s="184"/>
      <c r="FS87" s="184"/>
      <c r="FT87" s="184"/>
      <c r="FU87" s="184"/>
      <c r="FV87" s="184"/>
      <c r="FW87" s="184"/>
      <c r="FX87" s="184"/>
      <c r="FY87" s="184"/>
      <c r="FZ87" s="184"/>
      <c r="GA87" s="184"/>
      <c r="GB87" s="184"/>
      <c r="GC87" s="184"/>
      <c r="GD87" s="184"/>
      <c r="GE87" s="184"/>
      <c r="GF87" s="184"/>
      <c r="GG87" s="184"/>
      <c r="GH87" s="184"/>
      <c r="GI87" s="184"/>
      <c r="GJ87" s="184"/>
      <c r="GK87" s="184"/>
      <c r="GL87" s="184"/>
      <c r="GM87" s="184"/>
      <c r="GN87" s="184"/>
      <c r="GO87" s="184"/>
      <c r="GP87" s="184"/>
      <c r="GQ87" s="184"/>
      <c r="GR87" s="184"/>
      <c r="GS87" s="184"/>
      <c r="GT87" s="184"/>
      <c r="GU87" s="185"/>
    </row>
    <row r="88" spans="1:256" s="171" customFormat="1" ht="13.8" hidden="1">
      <c r="A88" s="270"/>
      <c r="B88" s="271"/>
      <c r="C88" s="272"/>
      <c r="D88" s="272"/>
      <c r="E88" s="272"/>
      <c r="F88" s="272"/>
      <c r="G88" s="272"/>
      <c r="H88" s="272"/>
      <c r="I88" s="272"/>
      <c r="J88" s="273"/>
      <c r="K88" s="199"/>
      <c r="L88" s="200"/>
      <c r="M88" s="201"/>
      <c r="N88" s="202"/>
      <c r="O88" s="274"/>
      <c r="P88" s="199"/>
      <c r="Q88" s="199"/>
      <c r="R88" s="199"/>
      <c r="S88" s="199"/>
      <c r="T88" s="199"/>
      <c r="U88" s="199"/>
      <c r="V88" s="202"/>
      <c r="W88" s="202"/>
      <c r="X88" s="202"/>
      <c r="Y88" s="202"/>
      <c r="Z88" s="202"/>
      <c r="AA88" s="202"/>
      <c r="AB88" s="202"/>
      <c r="AC88" s="202"/>
      <c r="AD88" s="202"/>
      <c r="AE88" s="202"/>
      <c r="AF88" s="202"/>
      <c r="AG88" s="202"/>
      <c r="AH88" s="202"/>
      <c r="AI88" s="202"/>
      <c r="AJ88" s="202"/>
      <c r="AK88" s="202"/>
      <c r="AL88" s="202"/>
      <c r="AM88" s="202"/>
      <c r="AN88" s="202"/>
      <c r="AO88" s="202"/>
      <c r="AP88" s="202"/>
      <c r="AQ88" s="202"/>
      <c r="AR88" s="202"/>
      <c r="AS88" s="202"/>
      <c r="AT88" s="202"/>
      <c r="AU88" s="202"/>
      <c r="AV88" s="202"/>
      <c r="AW88" s="202"/>
      <c r="AX88" s="202"/>
      <c r="AY88" s="202"/>
      <c r="AZ88" s="202"/>
      <c r="BA88" s="202"/>
      <c r="BB88" s="202"/>
      <c r="BC88" s="202"/>
      <c r="BD88" s="202"/>
      <c r="BE88" s="202"/>
      <c r="BF88" s="202"/>
      <c r="BG88" s="202"/>
      <c r="BH88" s="202"/>
      <c r="BI88" s="202"/>
      <c r="BJ88" s="202"/>
      <c r="BK88" s="202"/>
      <c r="BL88" s="202"/>
      <c r="BM88" s="202"/>
      <c r="BN88" s="202"/>
      <c r="BO88" s="202"/>
      <c r="BP88" s="202"/>
      <c r="BQ88" s="202"/>
      <c r="BR88" s="202"/>
      <c r="BS88" s="202"/>
      <c r="BT88" s="202"/>
      <c r="BU88" s="202"/>
      <c r="BV88" s="202"/>
      <c r="BW88" s="202"/>
      <c r="BX88" s="202"/>
      <c r="BY88" s="202"/>
      <c r="BZ88" s="202"/>
      <c r="CA88" s="202"/>
      <c r="CB88" s="202"/>
      <c r="CC88" s="202"/>
      <c r="CD88" s="202"/>
      <c r="CE88" s="202"/>
      <c r="CF88" s="202"/>
      <c r="CG88" s="202"/>
      <c r="CH88" s="202"/>
      <c r="CI88" s="202"/>
      <c r="CJ88" s="202"/>
      <c r="CK88" s="202"/>
      <c r="CL88" s="202"/>
      <c r="CM88" s="202"/>
      <c r="CN88" s="202"/>
      <c r="CO88" s="202"/>
      <c r="CP88" s="202"/>
      <c r="CQ88" s="202"/>
      <c r="CR88" s="202"/>
      <c r="CS88" s="202"/>
      <c r="CT88" s="202"/>
      <c r="CU88" s="202"/>
      <c r="CV88" s="202"/>
      <c r="CW88" s="202"/>
      <c r="CX88" s="202"/>
      <c r="CY88" s="202"/>
      <c r="CZ88" s="202"/>
      <c r="DA88" s="202"/>
      <c r="DB88" s="202"/>
      <c r="DC88" s="202"/>
      <c r="DD88" s="202"/>
      <c r="DE88" s="202"/>
      <c r="DF88" s="202"/>
      <c r="DG88" s="202"/>
      <c r="DH88" s="202"/>
      <c r="DI88" s="202"/>
      <c r="DJ88" s="202"/>
      <c r="DK88" s="202"/>
      <c r="DL88" s="202"/>
      <c r="DM88" s="202"/>
      <c r="DN88" s="202"/>
      <c r="DO88" s="202"/>
      <c r="DP88" s="202"/>
      <c r="DQ88" s="202"/>
      <c r="DR88" s="202"/>
      <c r="DS88" s="202"/>
      <c r="DT88" s="202"/>
      <c r="DU88" s="202"/>
      <c r="DV88" s="202"/>
      <c r="DW88" s="202"/>
      <c r="DX88" s="202"/>
      <c r="DY88" s="202"/>
      <c r="DZ88" s="202"/>
      <c r="EA88" s="202"/>
      <c r="EB88" s="202"/>
      <c r="EC88" s="202"/>
      <c r="ED88" s="202"/>
      <c r="EE88" s="202"/>
      <c r="EF88" s="202"/>
      <c r="EG88" s="202"/>
      <c r="EH88" s="202"/>
      <c r="EI88" s="202"/>
      <c r="EJ88" s="202"/>
      <c r="EK88" s="202"/>
      <c r="EL88" s="202"/>
      <c r="EM88" s="202"/>
      <c r="EN88" s="202"/>
      <c r="EO88" s="202"/>
      <c r="EP88" s="202"/>
      <c r="EQ88" s="202"/>
      <c r="ER88" s="202"/>
      <c r="ES88" s="202"/>
      <c r="ET88" s="202"/>
      <c r="EU88" s="202"/>
      <c r="EV88" s="202"/>
      <c r="EW88" s="202"/>
      <c r="EX88" s="202"/>
      <c r="EY88" s="202"/>
      <c r="EZ88" s="202"/>
      <c r="FA88" s="202"/>
      <c r="FB88" s="202"/>
      <c r="FC88" s="202"/>
      <c r="FD88" s="202"/>
      <c r="FE88" s="202"/>
      <c r="FF88" s="202"/>
      <c r="FG88" s="202"/>
      <c r="FH88" s="202"/>
      <c r="FI88" s="202"/>
      <c r="FJ88" s="202"/>
      <c r="FK88" s="202"/>
      <c r="FL88" s="202"/>
      <c r="FM88" s="202"/>
      <c r="FN88" s="202"/>
      <c r="FO88" s="202"/>
      <c r="FP88" s="202"/>
      <c r="FQ88" s="202"/>
      <c r="FR88" s="202"/>
      <c r="FS88" s="202"/>
      <c r="FT88" s="202"/>
      <c r="FU88" s="202"/>
      <c r="FV88" s="202"/>
      <c r="FW88" s="202"/>
      <c r="FX88" s="202"/>
      <c r="FY88" s="202"/>
      <c r="FZ88" s="202"/>
      <c r="GA88" s="202"/>
      <c r="GB88" s="202"/>
      <c r="GC88" s="202"/>
      <c r="GD88" s="202"/>
      <c r="GE88" s="202"/>
      <c r="GF88" s="202"/>
      <c r="GG88" s="202"/>
      <c r="GH88" s="202"/>
      <c r="GI88" s="202"/>
      <c r="GJ88" s="202"/>
      <c r="GK88" s="202"/>
      <c r="GL88" s="202"/>
      <c r="GM88" s="202"/>
      <c r="GN88" s="202"/>
      <c r="GO88" s="202"/>
      <c r="GP88" s="202"/>
      <c r="GQ88" s="202"/>
      <c r="GR88" s="202"/>
      <c r="GS88" s="208"/>
      <c r="GT88" s="208"/>
      <c r="GU88" s="281"/>
      <c r="GV88" s="169"/>
      <c r="GW88" s="169"/>
      <c r="GX88" s="169"/>
      <c r="GY88" s="169"/>
      <c r="GZ88" s="169"/>
      <c r="HA88" s="169"/>
      <c r="HB88" s="169"/>
      <c r="HC88" s="169"/>
      <c r="HD88" s="169"/>
      <c r="HE88" s="169"/>
      <c r="HF88" s="169"/>
      <c r="HG88" s="169"/>
      <c r="HH88" s="169"/>
      <c r="HI88" s="169"/>
      <c r="HJ88" s="169"/>
      <c r="HK88" s="169"/>
      <c r="HL88" s="169"/>
      <c r="HM88" s="169"/>
      <c r="HN88" s="169"/>
      <c r="HO88" s="169"/>
      <c r="HP88" s="169"/>
      <c r="HQ88" s="169"/>
      <c r="HR88" s="169"/>
      <c r="HS88" s="169"/>
      <c r="HT88" s="169"/>
      <c r="HU88" s="169"/>
      <c r="HV88" s="169"/>
      <c r="HW88" s="169"/>
      <c r="HX88" s="169"/>
      <c r="HY88" s="169"/>
      <c r="HZ88" s="169"/>
      <c r="IA88" s="169"/>
      <c r="IB88" s="169"/>
      <c r="IC88" s="169"/>
      <c r="ID88" s="169"/>
      <c r="IE88" s="169"/>
      <c r="IF88" s="169"/>
      <c r="IG88" s="169"/>
      <c r="IH88" s="169"/>
      <c r="II88" s="169"/>
      <c r="IJ88" s="169"/>
      <c r="IK88" s="169"/>
      <c r="IL88" s="169"/>
      <c r="IM88" s="169"/>
      <c r="IN88" s="169"/>
      <c r="IO88" s="169"/>
      <c r="IP88" s="169"/>
      <c r="IQ88" s="169"/>
      <c r="IR88" s="169"/>
      <c r="IS88" s="169"/>
      <c r="IT88" s="169"/>
      <c r="IU88" s="169"/>
      <c r="IV88" s="169"/>
    </row>
    <row r="89" spans="1:256" s="247" customFormat="1" ht="13.8" hidden="1">
      <c r="A89" s="269"/>
      <c r="B89" s="238"/>
      <c r="C89" s="239"/>
      <c r="D89" s="239"/>
      <c r="E89" s="239"/>
      <c r="F89" s="239"/>
      <c r="G89" s="239"/>
      <c r="H89" s="239"/>
      <c r="I89" s="239"/>
      <c r="J89" s="240"/>
      <c r="K89" s="241"/>
      <c r="L89" s="242"/>
      <c r="M89" s="201"/>
      <c r="N89" s="243"/>
      <c r="O89" s="244"/>
      <c r="P89" s="241"/>
      <c r="Q89" s="241"/>
      <c r="R89" s="241"/>
      <c r="S89" s="241"/>
      <c r="T89" s="241"/>
      <c r="U89" s="241"/>
      <c r="V89" s="243"/>
      <c r="W89" s="243"/>
      <c r="X89" s="243"/>
      <c r="Y89" s="243"/>
      <c r="Z89" s="243"/>
      <c r="AA89" s="243"/>
      <c r="AB89" s="243"/>
      <c r="AC89" s="243"/>
      <c r="AD89" s="243"/>
      <c r="AE89" s="243"/>
      <c r="AF89" s="243"/>
      <c r="AG89" s="245"/>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5"/>
      <c r="ES89" s="243"/>
      <c r="ET89" s="245"/>
      <c r="EU89" s="245"/>
      <c r="EV89" s="245"/>
      <c r="EW89" s="245"/>
      <c r="EX89" s="245"/>
      <c r="EY89" s="245"/>
      <c r="EZ89" s="245"/>
      <c r="FA89" s="245"/>
      <c r="FB89" s="245"/>
      <c r="FC89" s="245"/>
      <c r="FD89" s="245"/>
      <c r="FE89" s="245"/>
      <c r="FF89" s="245"/>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6"/>
      <c r="GT89" s="246"/>
      <c r="GU89" s="158" t="s">
        <v>3884</v>
      </c>
      <c r="GV89" s="169"/>
      <c r="GW89" s="169"/>
      <c r="GX89" s="169"/>
      <c r="GY89" s="169"/>
      <c r="GZ89" s="169"/>
      <c r="HA89" s="169"/>
      <c r="HB89" s="169"/>
      <c r="HC89" s="169"/>
      <c r="HD89" s="169"/>
      <c r="HE89" s="169"/>
      <c r="HF89" s="169"/>
      <c r="HG89" s="169"/>
      <c r="HH89" s="169"/>
      <c r="HI89" s="169"/>
      <c r="HJ89" s="169"/>
      <c r="HK89" s="169"/>
      <c r="HL89" s="169"/>
      <c r="HM89" s="169"/>
      <c r="HN89" s="169"/>
      <c r="HO89" s="169"/>
      <c r="HP89" s="169"/>
      <c r="HQ89" s="169"/>
      <c r="HR89" s="169"/>
      <c r="HS89" s="169"/>
      <c r="HT89" s="169"/>
      <c r="HU89" s="169"/>
      <c r="HV89" s="169"/>
      <c r="HW89" s="169"/>
      <c r="HX89" s="169"/>
      <c r="HY89" s="169"/>
      <c r="HZ89" s="169"/>
      <c r="IA89" s="169"/>
      <c r="IB89" s="169"/>
      <c r="IC89" s="169"/>
      <c r="ID89" s="169"/>
      <c r="IE89" s="169"/>
      <c r="IF89" s="169"/>
      <c r="IG89" s="169"/>
      <c r="IH89" s="169"/>
      <c r="II89" s="169"/>
      <c r="IJ89" s="169"/>
      <c r="IK89" s="169"/>
      <c r="IL89" s="169"/>
      <c r="IM89" s="169"/>
      <c r="IN89" s="169"/>
      <c r="IO89" s="169"/>
      <c r="IP89" s="169"/>
      <c r="IQ89" s="169"/>
      <c r="IR89" s="169"/>
      <c r="IS89" s="169"/>
      <c r="IT89" s="169"/>
      <c r="IU89" s="169"/>
      <c r="IV89" s="169"/>
    </row>
    <row r="90" spans="1:256" s="247" customFormat="1" ht="13.8" hidden="1">
      <c r="A90" s="269"/>
      <c r="B90" s="238"/>
      <c r="C90" s="239"/>
      <c r="D90" s="239"/>
      <c r="E90" s="239"/>
      <c r="F90" s="239"/>
      <c r="G90" s="239"/>
      <c r="H90" s="239"/>
      <c r="I90" s="239"/>
      <c r="J90" s="240"/>
      <c r="K90" s="241"/>
      <c r="L90" s="242"/>
      <c r="M90" s="201"/>
      <c r="N90" s="282"/>
      <c r="O90" s="244"/>
      <c r="P90" s="241"/>
      <c r="Q90" s="241"/>
      <c r="R90" s="241"/>
      <c r="S90" s="241"/>
      <c r="T90" s="241"/>
      <c r="U90" s="241"/>
      <c r="V90" s="241"/>
      <c r="W90" s="241"/>
      <c r="X90" s="243"/>
      <c r="Y90" s="243"/>
      <c r="Z90" s="243"/>
      <c r="AA90" s="243"/>
      <c r="AB90" s="243"/>
      <c r="AC90" s="243"/>
      <c r="AD90" s="243"/>
      <c r="AE90" s="243"/>
      <c r="AF90" s="243"/>
      <c r="AG90" s="245"/>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5"/>
      <c r="ES90" s="243"/>
      <c r="ET90" s="245"/>
      <c r="EU90" s="245"/>
      <c r="EV90" s="245"/>
      <c r="EW90" s="245"/>
      <c r="EX90" s="245"/>
      <c r="EY90" s="245"/>
      <c r="EZ90" s="245"/>
      <c r="FA90" s="245"/>
      <c r="FB90" s="245"/>
      <c r="FC90" s="245"/>
      <c r="FD90" s="245"/>
      <c r="FE90" s="245"/>
      <c r="FF90" s="245"/>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6"/>
      <c r="GT90" s="246"/>
      <c r="GU90" s="158" t="s">
        <v>3885</v>
      </c>
      <c r="GV90" s="169"/>
      <c r="GW90" s="169"/>
      <c r="GX90" s="169"/>
      <c r="GY90" s="169"/>
      <c r="GZ90" s="169"/>
      <c r="HA90" s="169"/>
      <c r="HB90" s="169"/>
      <c r="HC90" s="169"/>
      <c r="HD90" s="169"/>
      <c r="HE90" s="169"/>
      <c r="HF90" s="169"/>
      <c r="HG90" s="169"/>
      <c r="HH90" s="169"/>
      <c r="HI90" s="169"/>
      <c r="HJ90" s="169"/>
      <c r="HK90" s="169"/>
      <c r="HL90" s="169"/>
      <c r="HM90" s="169"/>
      <c r="HN90" s="169"/>
      <c r="HO90" s="169"/>
      <c r="HP90" s="169"/>
      <c r="HQ90" s="169"/>
      <c r="HR90" s="169"/>
      <c r="HS90" s="169"/>
      <c r="HT90" s="169"/>
      <c r="HU90" s="169"/>
      <c r="HV90" s="169"/>
      <c r="HW90" s="169"/>
      <c r="HX90" s="169"/>
      <c r="HY90" s="169"/>
      <c r="HZ90" s="169"/>
      <c r="IA90" s="169"/>
      <c r="IB90" s="169"/>
      <c r="IC90" s="169"/>
      <c r="ID90" s="169"/>
      <c r="IE90" s="169"/>
      <c r="IF90" s="169"/>
      <c r="IG90" s="169"/>
      <c r="IH90" s="169"/>
      <c r="II90" s="169"/>
      <c r="IJ90" s="169"/>
      <c r="IK90" s="169"/>
      <c r="IL90" s="169"/>
      <c r="IM90" s="169"/>
      <c r="IN90" s="169"/>
      <c r="IO90" s="169"/>
      <c r="IP90" s="169"/>
      <c r="IQ90" s="169"/>
      <c r="IR90" s="169"/>
      <c r="IS90" s="169"/>
      <c r="IT90" s="169"/>
      <c r="IU90" s="169"/>
      <c r="IV90" s="169"/>
    </row>
    <row r="91" spans="1:256" s="247" customFormat="1" ht="13.8" hidden="1">
      <c r="A91" s="283"/>
      <c r="B91" s="254"/>
      <c r="C91" s="255"/>
      <c r="D91" s="255"/>
      <c r="E91" s="239"/>
      <c r="F91" s="255"/>
      <c r="G91" s="255"/>
      <c r="H91" s="255"/>
      <c r="I91" s="255"/>
      <c r="J91" s="256"/>
      <c r="K91" s="257"/>
      <c r="L91" s="258"/>
      <c r="M91" s="201"/>
      <c r="N91" s="259"/>
      <c r="O91" s="244"/>
      <c r="P91" s="257"/>
      <c r="Q91" s="257"/>
      <c r="R91" s="257"/>
      <c r="S91" s="257"/>
      <c r="T91" s="257"/>
      <c r="U91" s="257"/>
      <c r="V91" s="259"/>
      <c r="W91" s="259"/>
      <c r="X91" s="259"/>
      <c r="Y91" s="259"/>
      <c r="Z91" s="259"/>
      <c r="AA91" s="259"/>
      <c r="AB91" s="259"/>
      <c r="AC91" s="259"/>
      <c r="AD91" s="259"/>
      <c r="AE91" s="259"/>
      <c r="AF91" s="259"/>
      <c r="AG91" s="245"/>
      <c r="AH91" s="259"/>
      <c r="AI91" s="259"/>
      <c r="AJ91" s="259"/>
      <c r="AK91" s="259"/>
      <c r="AL91" s="259"/>
      <c r="AM91" s="259"/>
      <c r="AN91" s="259"/>
      <c r="AO91" s="259"/>
      <c r="AP91" s="259"/>
      <c r="AQ91" s="259"/>
      <c r="AR91" s="259"/>
      <c r="AS91" s="259"/>
      <c r="AT91" s="259"/>
      <c r="AU91" s="259"/>
      <c r="AV91" s="259"/>
      <c r="AW91" s="259"/>
      <c r="AX91" s="259"/>
      <c r="AY91" s="259"/>
      <c r="AZ91" s="259"/>
      <c r="BA91" s="259"/>
      <c r="BB91" s="259"/>
      <c r="BC91" s="259"/>
      <c r="BD91" s="259"/>
      <c r="BE91" s="259"/>
      <c r="BF91" s="259"/>
      <c r="BG91" s="259"/>
      <c r="BH91" s="259"/>
      <c r="BI91" s="259"/>
      <c r="BJ91" s="259"/>
      <c r="BK91" s="259"/>
      <c r="BL91" s="259"/>
      <c r="BM91" s="259"/>
      <c r="BN91" s="259"/>
      <c r="BO91" s="259"/>
      <c r="BP91" s="259"/>
      <c r="BQ91" s="259"/>
      <c r="BR91" s="259"/>
      <c r="BS91" s="259"/>
      <c r="BT91" s="259"/>
      <c r="BU91" s="259"/>
      <c r="BV91" s="259"/>
      <c r="BW91" s="259"/>
      <c r="BX91" s="259"/>
      <c r="BY91" s="259"/>
      <c r="BZ91" s="259"/>
      <c r="CA91" s="259"/>
      <c r="CB91" s="259"/>
      <c r="CC91" s="259"/>
      <c r="CD91" s="259"/>
      <c r="CE91" s="259"/>
      <c r="CF91" s="259"/>
      <c r="CG91" s="259"/>
      <c r="CH91" s="259"/>
      <c r="CI91" s="259"/>
      <c r="CJ91" s="259"/>
      <c r="CK91" s="259"/>
      <c r="CL91" s="259"/>
      <c r="CM91" s="259"/>
      <c r="CN91" s="259"/>
      <c r="CO91" s="259"/>
      <c r="CP91" s="259"/>
      <c r="CQ91" s="259"/>
      <c r="CR91" s="259"/>
      <c r="CS91" s="259"/>
      <c r="CT91" s="259"/>
      <c r="CU91" s="259"/>
      <c r="CV91" s="259"/>
      <c r="CW91" s="259"/>
      <c r="CX91" s="259"/>
      <c r="CY91" s="259"/>
      <c r="CZ91" s="259"/>
      <c r="DA91" s="259"/>
      <c r="DB91" s="259"/>
      <c r="DC91" s="259"/>
      <c r="DD91" s="259"/>
      <c r="DE91" s="259"/>
      <c r="DF91" s="259"/>
      <c r="DG91" s="259"/>
      <c r="DH91" s="259"/>
      <c r="DI91" s="259"/>
      <c r="DJ91" s="259"/>
      <c r="DK91" s="259"/>
      <c r="DL91" s="259"/>
      <c r="DM91" s="259"/>
      <c r="DN91" s="259"/>
      <c r="DO91" s="259"/>
      <c r="DP91" s="259"/>
      <c r="DQ91" s="259"/>
      <c r="DR91" s="259"/>
      <c r="DS91" s="259"/>
      <c r="DT91" s="259"/>
      <c r="DU91" s="259"/>
      <c r="DV91" s="259"/>
      <c r="DW91" s="259"/>
      <c r="DX91" s="259"/>
      <c r="DY91" s="259"/>
      <c r="DZ91" s="259"/>
      <c r="EA91" s="259"/>
      <c r="EB91" s="259"/>
      <c r="EC91" s="259"/>
      <c r="ED91" s="259"/>
      <c r="EE91" s="259"/>
      <c r="EF91" s="259"/>
      <c r="EG91" s="259"/>
      <c r="EH91" s="259"/>
      <c r="EI91" s="259"/>
      <c r="EJ91" s="259"/>
      <c r="EK91" s="259"/>
      <c r="EL91" s="259"/>
      <c r="EM91" s="259"/>
      <c r="EN91" s="259"/>
      <c r="EO91" s="259"/>
      <c r="EP91" s="259"/>
      <c r="EQ91" s="259"/>
      <c r="ER91" s="245"/>
      <c r="ES91" s="259"/>
      <c r="ET91" s="245"/>
      <c r="EU91" s="245"/>
      <c r="EV91" s="245"/>
      <c r="EW91" s="245"/>
      <c r="EX91" s="245"/>
      <c r="EY91" s="245"/>
      <c r="EZ91" s="245"/>
      <c r="FA91" s="245"/>
      <c r="FB91" s="245"/>
      <c r="FC91" s="245"/>
      <c r="FD91" s="245"/>
      <c r="FE91" s="245"/>
      <c r="FF91" s="245"/>
      <c r="FG91" s="259"/>
      <c r="FH91" s="259"/>
      <c r="FI91" s="259"/>
      <c r="FJ91" s="259"/>
      <c r="FK91" s="259"/>
      <c r="FL91" s="259"/>
      <c r="FM91" s="259"/>
      <c r="FN91" s="259"/>
      <c r="FO91" s="259"/>
      <c r="FP91" s="259"/>
      <c r="FQ91" s="259"/>
      <c r="FR91" s="259"/>
      <c r="FS91" s="259"/>
      <c r="FT91" s="259"/>
      <c r="FU91" s="259"/>
      <c r="FV91" s="259"/>
      <c r="FW91" s="259"/>
      <c r="FX91" s="259"/>
      <c r="FY91" s="259"/>
      <c r="FZ91" s="259"/>
      <c r="GA91" s="259"/>
      <c r="GB91" s="259"/>
      <c r="GC91" s="259"/>
      <c r="GD91" s="259"/>
      <c r="GE91" s="259"/>
      <c r="GF91" s="259"/>
      <c r="GG91" s="259"/>
      <c r="GH91" s="259"/>
      <c r="GI91" s="259"/>
      <c r="GJ91" s="259"/>
      <c r="GK91" s="259"/>
      <c r="GL91" s="259"/>
      <c r="GM91" s="259"/>
      <c r="GN91" s="259"/>
      <c r="GO91" s="259"/>
      <c r="GP91" s="259"/>
      <c r="GQ91" s="259"/>
      <c r="GR91" s="259"/>
      <c r="GS91" s="260"/>
      <c r="GT91" s="260"/>
      <c r="GU91" s="284"/>
      <c r="GV91" s="169"/>
      <c r="GW91" s="169"/>
      <c r="GX91" s="169"/>
      <c r="GY91" s="169"/>
      <c r="GZ91" s="169"/>
      <c r="HA91" s="169"/>
      <c r="HB91" s="169"/>
      <c r="HC91" s="169"/>
      <c r="HD91" s="169"/>
      <c r="HE91" s="169"/>
      <c r="HF91" s="169"/>
      <c r="HG91" s="169"/>
      <c r="HH91" s="169"/>
      <c r="HI91" s="169"/>
      <c r="HJ91" s="169"/>
      <c r="HK91" s="169"/>
      <c r="HL91" s="169"/>
      <c r="HM91" s="169"/>
      <c r="HN91" s="169"/>
      <c r="HO91" s="169"/>
      <c r="HP91" s="169"/>
      <c r="HQ91" s="169"/>
      <c r="HR91" s="169"/>
      <c r="HS91" s="169"/>
      <c r="HT91" s="169"/>
      <c r="HU91" s="169"/>
      <c r="HV91" s="169"/>
      <c r="HW91" s="169"/>
      <c r="HX91" s="169"/>
      <c r="HY91" s="169"/>
      <c r="HZ91" s="169"/>
      <c r="IA91" s="169"/>
      <c r="IB91" s="169"/>
      <c r="IC91" s="169"/>
      <c r="ID91" s="169"/>
      <c r="IE91" s="169"/>
      <c r="IF91" s="169"/>
      <c r="IG91" s="169"/>
      <c r="IH91" s="169"/>
      <c r="II91" s="169"/>
      <c r="IJ91" s="169"/>
      <c r="IK91" s="169"/>
      <c r="IL91" s="169"/>
      <c r="IM91" s="169"/>
      <c r="IN91" s="169"/>
      <c r="IO91" s="169"/>
      <c r="IP91" s="169"/>
      <c r="IQ91" s="169"/>
      <c r="IR91" s="169"/>
      <c r="IS91" s="169"/>
      <c r="IT91" s="169"/>
      <c r="IU91" s="169"/>
      <c r="IV91" s="169"/>
    </row>
    <row r="92" spans="1:256" s="247" customFormat="1" ht="13.8" hidden="1">
      <c r="A92" s="269"/>
      <c r="B92" s="238"/>
      <c r="C92" s="239"/>
      <c r="D92" s="239"/>
      <c r="E92" s="239"/>
      <c r="F92" s="239"/>
      <c r="G92" s="239"/>
      <c r="H92" s="239"/>
      <c r="I92" s="239"/>
      <c r="J92" s="240"/>
      <c r="K92" s="241"/>
      <c r="L92" s="242"/>
      <c r="M92" s="201"/>
      <c r="N92" s="282"/>
      <c r="O92" s="244"/>
      <c r="P92" s="241"/>
      <c r="Q92" s="241"/>
      <c r="R92" s="241"/>
      <c r="S92" s="241"/>
      <c r="T92" s="241"/>
      <c r="U92" s="241"/>
      <c r="V92" s="241"/>
      <c r="W92" s="241"/>
      <c r="X92" s="243"/>
      <c r="Y92" s="243"/>
      <c r="Z92" s="243"/>
      <c r="AA92" s="243"/>
      <c r="AB92" s="243"/>
      <c r="AC92" s="243"/>
      <c r="AD92" s="243"/>
      <c r="AE92" s="243"/>
      <c r="AF92" s="243"/>
      <c r="AG92" s="245"/>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5"/>
      <c r="ES92" s="243"/>
      <c r="ET92" s="245"/>
      <c r="EU92" s="245"/>
      <c r="EV92" s="245"/>
      <c r="EW92" s="245"/>
      <c r="EX92" s="245"/>
      <c r="EY92" s="245"/>
      <c r="EZ92" s="245"/>
      <c r="FA92" s="245"/>
      <c r="FB92" s="245"/>
      <c r="FC92" s="245"/>
      <c r="FD92" s="245"/>
      <c r="FE92" s="245"/>
      <c r="FF92" s="245"/>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6"/>
      <c r="GT92" s="246"/>
      <c r="GU92" s="158" t="s">
        <v>3885</v>
      </c>
      <c r="GV92" s="169"/>
      <c r="GW92" s="169"/>
      <c r="GX92" s="169"/>
      <c r="GY92" s="169"/>
      <c r="GZ92" s="169"/>
      <c r="HA92" s="169"/>
      <c r="HB92" s="169"/>
      <c r="HC92" s="169"/>
      <c r="HD92" s="169"/>
      <c r="HE92" s="169"/>
      <c r="HF92" s="169"/>
      <c r="HG92" s="169"/>
      <c r="HH92" s="169"/>
      <c r="HI92" s="169"/>
      <c r="HJ92" s="169"/>
      <c r="HK92" s="169"/>
      <c r="HL92" s="169"/>
      <c r="HM92" s="169"/>
      <c r="HN92" s="169"/>
      <c r="HO92" s="169"/>
      <c r="HP92" s="169"/>
      <c r="HQ92" s="169"/>
      <c r="HR92" s="169"/>
      <c r="HS92" s="169"/>
      <c r="HT92" s="169"/>
      <c r="HU92" s="169"/>
      <c r="HV92" s="169"/>
      <c r="HW92" s="169"/>
      <c r="HX92" s="169"/>
      <c r="HY92" s="169"/>
      <c r="HZ92" s="169"/>
      <c r="IA92" s="169"/>
      <c r="IB92" s="169"/>
      <c r="IC92" s="169"/>
      <c r="ID92" s="169"/>
      <c r="IE92" s="169"/>
      <c r="IF92" s="169"/>
      <c r="IG92" s="169"/>
      <c r="IH92" s="169"/>
      <c r="II92" s="169"/>
      <c r="IJ92" s="169"/>
      <c r="IK92" s="169"/>
      <c r="IL92" s="169"/>
      <c r="IM92" s="169"/>
      <c r="IN92" s="169"/>
      <c r="IO92" s="169"/>
      <c r="IP92" s="169"/>
      <c r="IQ92" s="169"/>
      <c r="IR92" s="169"/>
      <c r="IS92" s="169"/>
      <c r="IT92" s="169"/>
      <c r="IU92" s="169"/>
      <c r="IV92" s="169"/>
    </row>
    <row r="93" spans="1:256" s="247" customFormat="1" ht="13.8" hidden="1">
      <c r="A93" s="269"/>
      <c r="B93" s="254"/>
      <c r="C93" s="255"/>
      <c r="D93" s="255"/>
      <c r="E93" s="239"/>
      <c r="F93" s="255"/>
      <c r="G93" s="255"/>
      <c r="H93" s="255"/>
      <c r="I93" s="255"/>
      <c r="J93" s="256"/>
      <c r="K93" s="257"/>
      <c r="L93" s="258"/>
      <c r="M93" s="201"/>
      <c r="N93" s="259"/>
      <c r="O93" s="244"/>
      <c r="P93" s="257"/>
      <c r="Q93" s="257"/>
      <c r="R93" s="257"/>
      <c r="S93" s="257"/>
      <c r="T93" s="257"/>
      <c r="U93" s="257"/>
      <c r="V93" s="259"/>
      <c r="W93" s="259"/>
      <c r="X93" s="259"/>
      <c r="Y93" s="259"/>
      <c r="Z93" s="259"/>
      <c r="AA93" s="259"/>
      <c r="AB93" s="259"/>
      <c r="AC93" s="259"/>
      <c r="AD93" s="259"/>
      <c r="AE93" s="259"/>
      <c r="AF93" s="259"/>
      <c r="AG93" s="245"/>
      <c r="AH93" s="259"/>
      <c r="AI93" s="259"/>
      <c r="AJ93" s="259"/>
      <c r="AK93" s="259"/>
      <c r="AL93" s="259"/>
      <c r="AM93" s="259"/>
      <c r="AN93" s="259"/>
      <c r="AO93" s="259"/>
      <c r="AP93" s="259"/>
      <c r="AQ93" s="259"/>
      <c r="AR93" s="259"/>
      <c r="AS93" s="259"/>
      <c r="AT93" s="259"/>
      <c r="AU93" s="259"/>
      <c r="AV93" s="259"/>
      <c r="AW93" s="259"/>
      <c r="AX93" s="259"/>
      <c r="AY93" s="259"/>
      <c r="AZ93" s="259"/>
      <c r="BA93" s="259"/>
      <c r="BB93" s="259"/>
      <c r="BC93" s="259"/>
      <c r="BD93" s="259"/>
      <c r="BE93" s="259"/>
      <c r="BF93" s="259"/>
      <c r="BG93" s="259"/>
      <c r="BH93" s="259"/>
      <c r="BI93" s="259"/>
      <c r="BJ93" s="259"/>
      <c r="BK93" s="259"/>
      <c r="BL93" s="259"/>
      <c r="BM93" s="259"/>
      <c r="BN93" s="259"/>
      <c r="BO93" s="259"/>
      <c r="BP93" s="259"/>
      <c r="BQ93" s="259"/>
      <c r="BR93" s="259"/>
      <c r="BS93" s="259"/>
      <c r="BT93" s="259"/>
      <c r="BU93" s="259"/>
      <c r="BV93" s="259"/>
      <c r="BW93" s="259"/>
      <c r="BX93" s="259"/>
      <c r="BY93" s="259"/>
      <c r="BZ93" s="259"/>
      <c r="CA93" s="259"/>
      <c r="CB93" s="259"/>
      <c r="CC93" s="259"/>
      <c r="CD93" s="259"/>
      <c r="CE93" s="259"/>
      <c r="CF93" s="259"/>
      <c r="CG93" s="259"/>
      <c r="CH93" s="259"/>
      <c r="CI93" s="259"/>
      <c r="CJ93" s="259"/>
      <c r="CK93" s="259"/>
      <c r="CL93" s="259"/>
      <c r="CM93" s="259"/>
      <c r="CN93" s="259"/>
      <c r="CO93" s="259"/>
      <c r="CP93" s="259"/>
      <c r="CQ93" s="259"/>
      <c r="CR93" s="259"/>
      <c r="CS93" s="259"/>
      <c r="CT93" s="259"/>
      <c r="CU93" s="259"/>
      <c r="CV93" s="259"/>
      <c r="CW93" s="259"/>
      <c r="CX93" s="259"/>
      <c r="CY93" s="259"/>
      <c r="CZ93" s="259"/>
      <c r="DA93" s="259"/>
      <c r="DB93" s="259"/>
      <c r="DC93" s="259"/>
      <c r="DD93" s="259"/>
      <c r="DE93" s="259"/>
      <c r="DF93" s="259"/>
      <c r="DG93" s="259"/>
      <c r="DH93" s="259"/>
      <c r="DI93" s="259"/>
      <c r="DJ93" s="259"/>
      <c r="DK93" s="259"/>
      <c r="DL93" s="259"/>
      <c r="DM93" s="259"/>
      <c r="DN93" s="259"/>
      <c r="DO93" s="259"/>
      <c r="DP93" s="259"/>
      <c r="DQ93" s="259"/>
      <c r="DR93" s="259"/>
      <c r="DS93" s="259"/>
      <c r="DT93" s="259"/>
      <c r="DU93" s="259"/>
      <c r="DV93" s="259"/>
      <c r="DW93" s="259"/>
      <c r="DX93" s="259"/>
      <c r="DY93" s="259"/>
      <c r="DZ93" s="259"/>
      <c r="EA93" s="259"/>
      <c r="EB93" s="259"/>
      <c r="EC93" s="259"/>
      <c r="ED93" s="259"/>
      <c r="EE93" s="259"/>
      <c r="EF93" s="259"/>
      <c r="EG93" s="259"/>
      <c r="EH93" s="259"/>
      <c r="EI93" s="259"/>
      <c r="EJ93" s="259"/>
      <c r="EK93" s="259"/>
      <c r="EL93" s="259"/>
      <c r="EM93" s="259"/>
      <c r="EN93" s="259"/>
      <c r="EO93" s="259"/>
      <c r="EP93" s="259"/>
      <c r="EQ93" s="259"/>
      <c r="ER93" s="245"/>
      <c r="ES93" s="259"/>
      <c r="ET93" s="245"/>
      <c r="EU93" s="245"/>
      <c r="EV93" s="245"/>
      <c r="EW93" s="245"/>
      <c r="EX93" s="245"/>
      <c r="EY93" s="245"/>
      <c r="EZ93" s="245"/>
      <c r="FA93" s="245"/>
      <c r="FB93" s="245"/>
      <c r="FC93" s="245"/>
      <c r="FD93" s="245"/>
      <c r="FE93" s="245"/>
      <c r="FF93" s="245"/>
      <c r="FG93" s="259"/>
      <c r="FH93" s="259"/>
      <c r="FI93" s="259"/>
      <c r="FJ93" s="259"/>
      <c r="FK93" s="259"/>
      <c r="FL93" s="259"/>
      <c r="FM93" s="259"/>
      <c r="FN93" s="259"/>
      <c r="FO93" s="259"/>
      <c r="FP93" s="259"/>
      <c r="FQ93" s="259"/>
      <c r="FR93" s="259"/>
      <c r="FS93" s="259"/>
      <c r="FT93" s="259"/>
      <c r="FU93" s="259"/>
      <c r="FV93" s="259"/>
      <c r="FW93" s="259"/>
      <c r="FX93" s="259"/>
      <c r="FY93" s="259"/>
      <c r="FZ93" s="259"/>
      <c r="GA93" s="259"/>
      <c r="GB93" s="259"/>
      <c r="GC93" s="259"/>
      <c r="GD93" s="259"/>
      <c r="GE93" s="259"/>
      <c r="GF93" s="259"/>
      <c r="GG93" s="259"/>
      <c r="GH93" s="259"/>
      <c r="GI93" s="259"/>
      <c r="GJ93" s="259"/>
      <c r="GK93" s="259"/>
      <c r="GL93" s="259"/>
      <c r="GM93" s="259"/>
      <c r="GN93" s="259"/>
      <c r="GO93" s="259"/>
      <c r="GP93" s="259"/>
      <c r="GQ93" s="259"/>
      <c r="GR93" s="259"/>
      <c r="GS93" s="260"/>
      <c r="GT93" s="260"/>
      <c r="GU93" s="284"/>
      <c r="GV93" s="169"/>
      <c r="GW93" s="169"/>
      <c r="GX93" s="169"/>
      <c r="GY93" s="169"/>
      <c r="GZ93" s="169"/>
      <c r="HA93" s="169"/>
      <c r="HB93" s="169"/>
      <c r="HC93" s="169"/>
      <c r="HD93" s="169"/>
      <c r="HE93" s="169"/>
      <c r="HF93" s="169"/>
      <c r="HG93" s="169"/>
      <c r="HH93" s="169"/>
      <c r="HI93" s="169"/>
      <c r="HJ93" s="169"/>
      <c r="HK93" s="169"/>
      <c r="HL93" s="169"/>
      <c r="HM93" s="169"/>
      <c r="HN93" s="169"/>
      <c r="HO93" s="169"/>
      <c r="HP93" s="169"/>
      <c r="HQ93" s="169"/>
      <c r="HR93" s="169"/>
      <c r="HS93" s="169"/>
      <c r="HT93" s="169"/>
      <c r="HU93" s="169"/>
      <c r="HV93" s="169"/>
      <c r="HW93" s="169"/>
      <c r="HX93" s="169"/>
      <c r="HY93" s="169"/>
      <c r="HZ93" s="169"/>
      <c r="IA93" s="169"/>
      <c r="IB93" s="169"/>
      <c r="IC93" s="169"/>
      <c r="ID93" s="169"/>
      <c r="IE93" s="169"/>
      <c r="IF93" s="169"/>
      <c r="IG93" s="169"/>
      <c r="IH93" s="169"/>
      <c r="II93" s="169"/>
      <c r="IJ93" s="169"/>
      <c r="IK93" s="169"/>
      <c r="IL93" s="169"/>
      <c r="IM93" s="169"/>
      <c r="IN93" s="169"/>
      <c r="IO93" s="169"/>
      <c r="IP93" s="169"/>
      <c r="IQ93" s="169"/>
      <c r="IR93" s="169"/>
      <c r="IS93" s="169"/>
      <c r="IT93" s="169"/>
      <c r="IU93" s="169"/>
      <c r="IV93" s="169"/>
    </row>
    <row r="94" spans="1:256" s="233" customFormat="1" ht="13.8" hidden="1">
      <c r="A94" s="156"/>
      <c r="B94" s="229">
        <f>SUM(B88:B93)</f>
        <v>0</v>
      </c>
      <c r="C94" s="261"/>
      <c r="D94" s="261"/>
      <c r="E94" s="261">
        <f>E93</f>
        <v>0</v>
      </c>
      <c r="F94" s="261"/>
      <c r="G94" s="261"/>
      <c r="H94" s="261"/>
      <c r="I94" s="261"/>
      <c r="J94" s="262"/>
      <c r="K94" s="263"/>
      <c r="L94" s="264"/>
      <c r="M94" s="265"/>
      <c r="N94" s="229">
        <f>SUM(N88:N91)</f>
        <v>0</v>
      </c>
      <c r="O94" s="228">
        <f>SUM(O88:O93)</f>
        <v>0</v>
      </c>
      <c r="P94" s="228">
        <f t="shared" ref="P94:CB94" si="17">SUM(P88:P93)</f>
        <v>0</v>
      </c>
      <c r="Q94" s="228">
        <f t="shared" si="17"/>
        <v>0</v>
      </c>
      <c r="R94" s="228">
        <f t="shared" si="17"/>
        <v>0</v>
      </c>
      <c r="S94" s="228">
        <f t="shared" si="17"/>
        <v>0</v>
      </c>
      <c r="T94" s="228">
        <f t="shared" si="17"/>
        <v>0</v>
      </c>
      <c r="U94" s="228">
        <f t="shared" si="17"/>
        <v>0</v>
      </c>
      <c r="V94" s="228">
        <f t="shared" si="17"/>
        <v>0</v>
      </c>
      <c r="W94" s="228">
        <f t="shared" si="17"/>
        <v>0</v>
      </c>
      <c r="X94" s="228">
        <f t="shared" si="17"/>
        <v>0</v>
      </c>
      <c r="Y94" s="228"/>
      <c r="Z94" s="228">
        <f t="shared" si="17"/>
        <v>0</v>
      </c>
      <c r="AA94" s="228">
        <f t="shared" si="17"/>
        <v>0</v>
      </c>
      <c r="AB94" s="228">
        <f t="shared" si="17"/>
        <v>0</v>
      </c>
      <c r="AC94" s="228">
        <f t="shared" si="17"/>
        <v>0</v>
      </c>
      <c r="AD94" s="228">
        <f t="shared" si="17"/>
        <v>0</v>
      </c>
      <c r="AE94" s="228">
        <f t="shared" si="17"/>
        <v>0</v>
      </c>
      <c r="AF94" s="228">
        <f t="shared" si="17"/>
        <v>0</v>
      </c>
      <c r="AG94" s="228">
        <f t="shared" si="17"/>
        <v>0</v>
      </c>
      <c r="AH94" s="228">
        <f t="shared" si="17"/>
        <v>0</v>
      </c>
      <c r="AI94" s="228">
        <f t="shared" si="17"/>
        <v>0</v>
      </c>
      <c r="AJ94" s="228">
        <f t="shared" si="17"/>
        <v>0</v>
      </c>
      <c r="AK94" s="228">
        <f t="shared" si="17"/>
        <v>0</v>
      </c>
      <c r="AL94" s="228">
        <f t="shared" si="17"/>
        <v>0</v>
      </c>
      <c r="AM94" s="228">
        <f t="shared" si="17"/>
        <v>0</v>
      </c>
      <c r="AN94" s="228">
        <f t="shared" si="17"/>
        <v>0</v>
      </c>
      <c r="AO94" s="228">
        <f t="shared" si="17"/>
        <v>0</v>
      </c>
      <c r="AP94" s="228">
        <f t="shared" si="17"/>
        <v>0</v>
      </c>
      <c r="AQ94" s="228">
        <f t="shared" si="17"/>
        <v>0</v>
      </c>
      <c r="AR94" s="228">
        <f t="shared" si="17"/>
        <v>0</v>
      </c>
      <c r="AS94" s="228">
        <f t="shared" si="17"/>
        <v>0</v>
      </c>
      <c r="AT94" s="228">
        <f t="shared" si="17"/>
        <v>0</v>
      </c>
      <c r="AU94" s="228">
        <f t="shared" si="17"/>
        <v>0</v>
      </c>
      <c r="AV94" s="228">
        <f t="shared" si="17"/>
        <v>0</v>
      </c>
      <c r="AW94" s="228">
        <f t="shared" si="17"/>
        <v>0</v>
      </c>
      <c r="AX94" s="228">
        <f t="shared" si="17"/>
        <v>0</v>
      </c>
      <c r="AY94" s="228">
        <f t="shared" si="17"/>
        <v>0</v>
      </c>
      <c r="AZ94" s="228">
        <f t="shared" si="17"/>
        <v>0</v>
      </c>
      <c r="BA94" s="228">
        <f t="shared" si="17"/>
        <v>0</v>
      </c>
      <c r="BB94" s="228">
        <f t="shared" si="17"/>
        <v>0</v>
      </c>
      <c r="BC94" s="228">
        <f t="shared" si="17"/>
        <v>0</v>
      </c>
      <c r="BD94" s="228">
        <f t="shared" si="17"/>
        <v>0</v>
      </c>
      <c r="BE94" s="228">
        <f t="shared" si="17"/>
        <v>0</v>
      </c>
      <c r="BF94" s="228">
        <f t="shared" si="17"/>
        <v>0</v>
      </c>
      <c r="BG94" s="228">
        <f t="shared" si="17"/>
        <v>0</v>
      </c>
      <c r="BH94" s="228">
        <f t="shared" si="17"/>
        <v>0</v>
      </c>
      <c r="BI94" s="228">
        <f t="shared" si="17"/>
        <v>0</v>
      </c>
      <c r="BJ94" s="228">
        <f t="shared" si="17"/>
        <v>0</v>
      </c>
      <c r="BK94" s="228">
        <f t="shared" si="17"/>
        <v>0</v>
      </c>
      <c r="BL94" s="228">
        <f t="shared" si="17"/>
        <v>0</v>
      </c>
      <c r="BM94" s="228">
        <f t="shared" si="17"/>
        <v>0</v>
      </c>
      <c r="BN94" s="228">
        <f t="shared" si="17"/>
        <v>0</v>
      </c>
      <c r="BO94" s="228">
        <f t="shared" si="17"/>
        <v>0</v>
      </c>
      <c r="BP94" s="228">
        <f t="shared" si="17"/>
        <v>0</v>
      </c>
      <c r="BQ94" s="228">
        <f t="shared" si="17"/>
        <v>0</v>
      </c>
      <c r="BR94" s="228">
        <f t="shared" si="17"/>
        <v>0</v>
      </c>
      <c r="BS94" s="228">
        <f t="shared" si="17"/>
        <v>0</v>
      </c>
      <c r="BT94" s="228">
        <f t="shared" si="17"/>
        <v>0</v>
      </c>
      <c r="BU94" s="228">
        <f t="shared" si="17"/>
        <v>0</v>
      </c>
      <c r="BV94" s="228">
        <f t="shared" si="17"/>
        <v>0</v>
      </c>
      <c r="BW94" s="228">
        <f t="shared" si="17"/>
        <v>0</v>
      </c>
      <c r="BX94" s="228">
        <f t="shared" si="17"/>
        <v>0</v>
      </c>
      <c r="BY94" s="228">
        <f t="shared" si="17"/>
        <v>0</v>
      </c>
      <c r="BZ94" s="228">
        <f t="shared" si="17"/>
        <v>0</v>
      </c>
      <c r="CA94" s="228">
        <f t="shared" si="17"/>
        <v>0</v>
      </c>
      <c r="CB94" s="228">
        <f t="shared" si="17"/>
        <v>0</v>
      </c>
      <c r="CC94" s="228">
        <f t="shared" ref="CC94:ES94" si="18">SUM(CC88:CC93)</f>
        <v>0</v>
      </c>
      <c r="CD94" s="228">
        <f t="shared" si="18"/>
        <v>0</v>
      </c>
      <c r="CE94" s="228">
        <f t="shared" si="18"/>
        <v>0</v>
      </c>
      <c r="CF94" s="228">
        <f t="shared" si="18"/>
        <v>0</v>
      </c>
      <c r="CG94" s="228">
        <f t="shared" si="18"/>
        <v>0</v>
      </c>
      <c r="CH94" s="228">
        <f t="shared" si="18"/>
        <v>0</v>
      </c>
      <c r="CI94" s="228">
        <f t="shared" si="18"/>
        <v>0</v>
      </c>
      <c r="CJ94" s="228">
        <f t="shared" si="18"/>
        <v>0</v>
      </c>
      <c r="CK94" s="228">
        <f t="shared" si="18"/>
        <v>0</v>
      </c>
      <c r="CL94" s="228">
        <f t="shared" si="18"/>
        <v>0</v>
      </c>
      <c r="CM94" s="228">
        <f t="shared" si="18"/>
        <v>0</v>
      </c>
      <c r="CN94" s="228">
        <f t="shared" si="18"/>
        <v>0</v>
      </c>
      <c r="CO94" s="228">
        <f t="shared" si="18"/>
        <v>0</v>
      </c>
      <c r="CP94" s="228">
        <f t="shared" si="18"/>
        <v>0</v>
      </c>
      <c r="CQ94" s="228">
        <f t="shared" si="18"/>
        <v>0</v>
      </c>
      <c r="CR94" s="228">
        <f t="shared" si="18"/>
        <v>0</v>
      </c>
      <c r="CS94" s="228">
        <f t="shared" si="18"/>
        <v>0</v>
      </c>
      <c r="CT94" s="228">
        <f t="shared" si="18"/>
        <v>0</v>
      </c>
      <c r="CU94" s="228">
        <f t="shared" si="18"/>
        <v>0</v>
      </c>
      <c r="CV94" s="228">
        <f t="shared" si="18"/>
        <v>0</v>
      </c>
      <c r="CW94" s="228">
        <f t="shared" si="18"/>
        <v>0</v>
      </c>
      <c r="CX94" s="228">
        <f t="shared" si="18"/>
        <v>0</v>
      </c>
      <c r="CY94" s="228">
        <f t="shared" si="18"/>
        <v>0</v>
      </c>
      <c r="CZ94" s="228">
        <f t="shared" si="18"/>
        <v>0</v>
      </c>
      <c r="DA94" s="228">
        <f t="shared" si="18"/>
        <v>0</v>
      </c>
      <c r="DB94" s="228">
        <f t="shared" si="18"/>
        <v>0</v>
      </c>
      <c r="DC94" s="228">
        <f t="shared" si="18"/>
        <v>0</v>
      </c>
      <c r="DD94" s="228">
        <f t="shared" si="18"/>
        <v>0</v>
      </c>
      <c r="DE94" s="228">
        <f t="shared" si="18"/>
        <v>0</v>
      </c>
      <c r="DF94" s="228">
        <f t="shared" si="18"/>
        <v>0</v>
      </c>
      <c r="DG94" s="228">
        <f t="shared" si="18"/>
        <v>0</v>
      </c>
      <c r="DH94" s="228">
        <f t="shared" si="18"/>
        <v>0</v>
      </c>
      <c r="DI94" s="228">
        <f t="shared" si="18"/>
        <v>0</v>
      </c>
      <c r="DJ94" s="228">
        <f t="shared" si="18"/>
        <v>0</v>
      </c>
      <c r="DK94" s="228">
        <f t="shared" si="18"/>
        <v>0</v>
      </c>
      <c r="DL94" s="228">
        <f t="shared" si="18"/>
        <v>0</v>
      </c>
      <c r="DM94" s="228">
        <f t="shared" si="18"/>
        <v>0</v>
      </c>
      <c r="DN94" s="228">
        <f t="shared" si="18"/>
        <v>0</v>
      </c>
      <c r="DO94" s="228">
        <f t="shared" si="18"/>
        <v>0</v>
      </c>
      <c r="DP94" s="228">
        <f>SUM(DP88:DP93)</f>
        <v>0</v>
      </c>
      <c r="DQ94" s="228">
        <f>SUM(DQ88:DQ93)</f>
        <v>0</v>
      </c>
      <c r="DR94" s="228">
        <f t="shared" si="18"/>
        <v>0</v>
      </c>
      <c r="DS94" s="228">
        <f t="shared" si="18"/>
        <v>0</v>
      </c>
      <c r="DT94" s="228">
        <f t="shared" si="18"/>
        <v>0</v>
      </c>
      <c r="DU94" s="228">
        <f t="shared" si="18"/>
        <v>0</v>
      </c>
      <c r="DV94" s="228">
        <f t="shared" si="18"/>
        <v>0</v>
      </c>
      <c r="DW94" s="228">
        <f t="shared" si="18"/>
        <v>0</v>
      </c>
      <c r="DX94" s="228">
        <f t="shared" si="18"/>
        <v>0</v>
      </c>
      <c r="DY94" s="228">
        <f t="shared" si="18"/>
        <v>0</v>
      </c>
      <c r="DZ94" s="228">
        <f t="shared" si="18"/>
        <v>0</v>
      </c>
      <c r="EA94" s="228">
        <f t="shared" si="18"/>
        <v>0</v>
      </c>
      <c r="EB94" s="228">
        <f t="shared" si="18"/>
        <v>0</v>
      </c>
      <c r="EC94" s="228">
        <f t="shared" si="18"/>
        <v>0</v>
      </c>
      <c r="ED94" s="228">
        <f t="shared" si="18"/>
        <v>0</v>
      </c>
      <c r="EE94" s="228">
        <f t="shared" si="18"/>
        <v>0</v>
      </c>
      <c r="EF94" s="228">
        <f t="shared" si="18"/>
        <v>0</v>
      </c>
      <c r="EG94" s="228">
        <f t="shared" si="18"/>
        <v>0</v>
      </c>
      <c r="EH94" s="228">
        <f t="shared" si="18"/>
        <v>0</v>
      </c>
      <c r="EI94" s="228">
        <f t="shared" si="18"/>
        <v>0</v>
      </c>
      <c r="EJ94" s="228">
        <f t="shared" si="18"/>
        <v>0</v>
      </c>
      <c r="EK94" s="228">
        <f t="shared" si="18"/>
        <v>0</v>
      </c>
      <c r="EL94" s="228">
        <f t="shared" si="18"/>
        <v>0</v>
      </c>
      <c r="EM94" s="228">
        <f t="shared" si="18"/>
        <v>0</v>
      </c>
      <c r="EN94" s="228">
        <f t="shared" si="18"/>
        <v>0</v>
      </c>
      <c r="EO94" s="228">
        <f t="shared" si="18"/>
        <v>0</v>
      </c>
      <c r="EP94" s="228">
        <f t="shared" si="18"/>
        <v>0</v>
      </c>
      <c r="EQ94" s="228">
        <f t="shared" si="18"/>
        <v>0</v>
      </c>
      <c r="ER94" s="228">
        <f t="shared" si="18"/>
        <v>0</v>
      </c>
      <c r="ES94" s="228">
        <f t="shared" si="18"/>
        <v>0</v>
      </c>
      <c r="ET94" s="228">
        <f t="shared" ref="ET94:GO94" si="19">SUM(ET88:ET93)</f>
        <v>0</v>
      </c>
      <c r="EU94" s="228">
        <f t="shared" si="19"/>
        <v>0</v>
      </c>
      <c r="EV94" s="228">
        <f t="shared" si="19"/>
        <v>0</v>
      </c>
      <c r="EW94" s="228">
        <f t="shared" si="19"/>
        <v>0</v>
      </c>
      <c r="EX94" s="228">
        <f t="shared" si="19"/>
        <v>0</v>
      </c>
      <c r="EY94" s="228">
        <f t="shared" si="19"/>
        <v>0</v>
      </c>
      <c r="EZ94" s="228">
        <f t="shared" si="19"/>
        <v>0</v>
      </c>
      <c r="FA94" s="228">
        <f t="shared" si="19"/>
        <v>0</v>
      </c>
      <c r="FB94" s="228">
        <f t="shared" si="19"/>
        <v>0</v>
      </c>
      <c r="FC94" s="228">
        <f t="shared" si="19"/>
        <v>0</v>
      </c>
      <c r="FD94" s="228">
        <f t="shared" si="19"/>
        <v>0</v>
      </c>
      <c r="FE94" s="228">
        <f t="shared" si="19"/>
        <v>0</v>
      </c>
      <c r="FF94" s="228">
        <f t="shared" si="19"/>
        <v>0</v>
      </c>
      <c r="FG94" s="228">
        <f t="shared" si="19"/>
        <v>0</v>
      </c>
      <c r="FH94" s="228">
        <f t="shared" si="19"/>
        <v>0</v>
      </c>
      <c r="FI94" s="228">
        <f t="shared" si="19"/>
        <v>0</v>
      </c>
      <c r="FJ94" s="228">
        <f t="shared" si="19"/>
        <v>0</v>
      </c>
      <c r="FK94" s="228">
        <f t="shared" si="19"/>
        <v>0</v>
      </c>
      <c r="FL94" s="228">
        <f t="shared" si="19"/>
        <v>0</v>
      </c>
      <c r="FM94" s="228">
        <f t="shared" si="19"/>
        <v>0</v>
      </c>
      <c r="FN94" s="228">
        <f t="shared" si="19"/>
        <v>0</v>
      </c>
      <c r="FO94" s="228">
        <f t="shared" si="19"/>
        <v>0</v>
      </c>
      <c r="FP94" s="228">
        <f t="shared" si="19"/>
        <v>0</v>
      </c>
      <c r="FQ94" s="228">
        <f t="shared" si="19"/>
        <v>0</v>
      </c>
      <c r="FR94" s="228">
        <f t="shared" si="19"/>
        <v>0</v>
      </c>
      <c r="FS94" s="228">
        <f t="shared" si="19"/>
        <v>0</v>
      </c>
      <c r="FT94" s="228">
        <f t="shared" si="19"/>
        <v>0</v>
      </c>
      <c r="FU94" s="228">
        <f t="shared" si="19"/>
        <v>0</v>
      </c>
      <c r="FV94" s="228">
        <f t="shared" si="19"/>
        <v>0</v>
      </c>
      <c r="FW94" s="228">
        <f t="shared" si="19"/>
        <v>0</v>
      </c>
      <c r="FX94" s="228">
        <f t="shared" si="19"/>
        <v>0</v>
      </c>
      <c r="FY94" s="228">
        <f t="shared" si="19"/>
        <v>0</v>
      </c>
      <c r="FZ94" s="228">
        <f t="shared" si="19"/>
        <v>0</v>
      </c>
      <c r="GA94" s="228">
        <f t="shared" si="19"/>
        <v>0</v>
      </c>
      <c r="GB94" s="228">
        <f t="shared" si="19"/>
        <v>0</v>
      </c>
      <c r="GC94" s="228">
        <f t="shared" si="19"/>
        <v>0</v>
      </c>
      <c r="GD94" s="228">
        <f t="shared" si="19"/>
        <v>0</v>
      </c>
      <c r="GE94" s="228">
        <f t="shared" si="19"/>
        <v>0</v>
      </c>
      <c r="GF94" s="228">
        <f t="shared" si="19"/>
        <v>0</v>
      </c>
      <c r="GG94" s="228">
        <f t="shared" si="19"/>
        <v>0</v>
      </c>
      <c r="GH94" s="228">
        <f t="shared" si="19"/>
        <v>0</v>
      </c>
      <c r="GI94" s="228">
        <f t="shared" si="19"/>
        <v>0</v>
      </c>
      <c r="GJ94" s="228">
        <f t="shared" si="19"/>
        <v>0</v>
      </c>
      <c r="GK94" s="228">
        <f t="shared" si="19"/>
        <v>0</v>
      </c>
      <c r="GL94" s="228">
        <f t="shared" si="19"/>
        <v>0</v>
      </c>
      <c r="GM94" s="228">
        <f t="shared" si="19"/>
        <v>0</v>
      </c>
      <c r="GN94" s="228">
        <f t="shared" si="19"/>
        <v>0</v>
      </c>
      <c r="GO94" s="228">
        <f t="shared" si="19"/>
        <v>0</v>
      </c>
      <c r="GP94" s="228">
        <f>SUM(GP88:GP91)</f>
        <v>0</v>
      </c>
      <c r="GQ94" s="228">
        <f>SUM(GQ88:GQ91)</f>
        <v>0</v>
      </c>
      <c r="GR94" s="280"/>
      <c r="GS94" s="231"/>
      <c r="GT94" s="231"/>
      <c r="GU94" s="232"/>
      <c r="GV94" s="169"/>
      <c r="GW94" s="169"/>
      <c r="GX94" s="169"/>
      <c r="GY94" s="169"/>
      <c r="GZ94" s="169"/>
      <c r="HA94" s="169"/>
      <c r="HB94" s="169"/>
      <c r="HC94" s="169"/>
      <c r="HD94" s="169"/>
      <c r="HE94" s="169"/>
      <c r="HF94" s="169"/>
      <c r="HG94" s="169"/>
      <c r="HH94" s="169"/>
      <c r="HI94" s="169"/>
      <c r="HJ94" s="169"/>
      <c r="HK94" s="169"/>
      <c r="HL94" s="169"/>
      <c r="HM94" s="169"/>
      <c r="HN94" s="169"/>
      <c r="HO94" s="169"/>
      <c r="HP94" s="169"/>
      <c r="HQ94" s="169"/>
      <c r="HR94" s="169"/>
      <c r="HS94" s="169"/>
      <c r="HT94" s="169"/>
      <c r="HU94" s="169"/>
      <c r="HV94" s="169"/>
      <c r="HW94" s="169"/>
      <c r="HX94" s="169"/>
      <c r="HY94" s="169"/>
      <c r="HZ94" s="169"/>
      <c r="IA94" s="169"/>
      <c r="IB94" s="169"/>
      <c r="IC94" s="169"/>
      <c r="ID94" s="169"/>
      <c r="IE94" s="169"/>
      <c r="IF94" s="169"/>
      <c r="IG94" s="169"/>
      <c r="IH94" s="169"/>
      <c r="II94" s="169"/>
      <c r="IJ94" s="169"/>
      <c r="IK94" s="169"/>
      <c r="IL94" s="169"/>
      <c r="IM94" s="169"/>
      <c r="IN94" s="169"/>
      <c r="IO94" s="169"/>
      <c r="IP94" s="169"/>
      <c r="IQ94" s="169"/>
      <c r="IR94" s="169"/>
      <c r="IS94" s="169"/>
      <c r="IT94" s="169"/>
      <c r="IU94" s="169"/>
      <c r="IV94" s="169"/>
    </row>
    <row r="95" spans="1:256" s="174" customFormat="1" ht="13.8" hidden="1">
      <c r="A95" s="159"/>
      <c r="B95" s="285">
        <f>B94+B86+B53+B29</f>
        <v>0</v>
      </c>
      <c r="C95" s="286">
        <f>C94+C86+C53+C29</f>
        <v>0</v>
      </c>
      <c r="D95" s="286">
        <f t="shared" ref="D95:N95" si="20">D94+D86+D53+D29</f>
        <v>0</v>
      </c>
      <c r="E95" s="286">
        <f t="shared" si="20"/>
        <v>0</v>
      </c>
      <c r="F95" s="286">
        <f t="shared" si="20"/>
        <v>0</v>
      </c>
      <c r="G95" s="286">
        <f t="shared" si="20"/>
        <v>0</v>
      </c>
      <c r="H95" s="286">
        <f t="shared" si="20"/>
        <v>0</v>
      </c>
      <c r="I95" s="286">
        <f t="shared" si="20"/>
        <v>0</v>
      </c>
      <c r="J95" s="286">
        <f t="shared" si="20"/>
        <v>0</v>
      </c>
      <c r="K95" s="286">
        <f t="shared" si="20"/>
        <v>0</v>
      </c>
      <c r="L95" s="286">
        <f t="shared" si="20"/>
        <v>0</v>
      </c>
      <c r="M95" s="286"/>
      <c r="N95" s="285">
        <f t="shared" si="20"/>
        <v>0</v>
      </c>
      <c r="O95" s="285">
        <f t="shared" ref="O95:AU95" si="21">O94+O86+O53+O29</f>
        <v>0</v>
      </c>
      <c r="P95" s="285">
        <f t="shared" si="21"/>
        <v>0</v>
      </c>
      <c r="Q95" s="285">
        <f t="shared" si="21"/>
        <v>0</v>
      </c>
      <c r="R95" s="285">
        <f t="shared" si="21"/>
        <v>0</v>
      </c>
      <c r="S95" s="285">
        <f t="shared" si="21"/>
        <v>0</v>
      </c>
      <c r="T95" s="285">
        <f t="shared" si="21"/>
        <v>0</v>
      </c>
      <c r="U95" s="285">
        <f t="shared" si="21"/>
        <v>0</v>
      </c>
      <c r="V95" s="285">
        <f t="shared" si="21"/>
        <v>0</v>
      </c>
      <c r="W95" s="285">
        <f t="shared" si="21"/>
        <v>0</v>
      </c>
      <c r="X95" s="285">
        <f t="shared" si="21"/>
        <v>0</v>
      </c>
      <c r="Y95" s="285"/>
      <c r="Z95" s="285">
        <f t="shared" si="21"/>
        <v>0</v>
      </c>
      <c r="AA95" s="285">
        <f t="shared" si="21"/>
        <v>0</v>
      </c>
      <c r="AB95" s="285">
        <f t="shared" si="21"/>
        <v>0</v>
      </c>
      <c r="AC95" s="285">
        <f t="shared" si="21"/>
        <v>0</v>
      </c>
      <c r="AD95" s="285">
        <f t="shared" si="21"/>
        <v>0</v>
      </c>
      <c r="AE95" s="285">
        <f t="shared" si="21"/>
        <v>0</v>
      </c>
      <c r="AF95" s="285">
        <f t="shared" si="21"/>
        <v>0</v>
      </c>
      <c r="AG95" s="285">
        <f t="shared" si="21"/>
        <v>0</v>
      </c>
      <c r="AH95" s="285">
        <f t="shared" si="21"/>
        <v>0</v>
      </c>
      <c r="AI95" s="285">
        <f t="shared" si="21"/>
        <v>0</v>
      </c>
      <c r="AJ95" s="285">
        <f t="shared" si="21"/>
        <v>0</v>
      </c>
      <c r="AK95" s="285">
        <f t="shared" si="21"/>
        <v>0</v>
      </c>
      <c r="AL95" s="285">
        <f t="shared" si="21"/>
        <v>0</v>
      </c>
      <c r="AM95" s="285">
        <f t="shared" si="21"/>
        <v>0</v>
      </c>
      <c r="AN95" s="285">
        <f t="shared" si="21"/>
        <v>0</v>
      </c>
      <c r="AO95" s="285">
        <f t="shared" si="21"/>
        <v>0</v>
      </c>
      <c r="AP95" s="285">
        <f t="shared" si="21"/>
        <v>0</v>
      </c>
      <c r="AQ95" s="285">
        <f t="shared" si="21"/>
        <v>0</v>
      </c>
      <c r="AR95" s="285">
        <f t="shared" si="21"/>
        <v>0</v>
      </c>
      <c r="AS95" s="285">
        <f t="shared" si="21"/>
        <v>0</v>
      </c>
      <c r="AT95" s="285">
        <f t="shared" si="21"/>
        <v>0</v>
      </c>
      <c r="AU95" s="285">
        <f t="shared" si="21"/>
        <v>0</v>
      </c>
      <c r="AV95" s="285">
        <f t="shared" ref="AV95:CA95" si="22">AV94+AV86+AV53+AV29</f>
        <v>0</v>
      </c>
      <c r="AW95" s="285">
        <f t="shared" si="22"/>
        <v>0</v>
      </c>
      <c r="AX95" s="285">
        <f t="shared" si="22"/>
        <v>0</v>
      </c>
      <c r="AY95" s="285">
        <f t="shared" si="22"/>
        <v>0</v>
      </c>
      <c r="AZ95" s="285">
        <f t="shared" si="22"/>
        <v>0</v>
      </c>
      <c r="BA95" s="285">
        <f t="shared" si="22"/>
        <v>0</v>
      </c>
      <c r="BB95" s="285">
        <f t="shared" si="22"/>
        <v>0</v>
      </c>
      <c r="BC95" s="285">
        <f t="shared" si="22"/>
        <v>0</v>
      </c>
      <c r="BD95" s="285">
        <f t="shared" si="22"/>
        <v>0</v>
      </c>
      <c r="BE95" s="285">
        <f t="shared" si="22"/>
        <v>0</v>
      </c>
      <c r="BF95" s="285">
        <f t="shared" si="22"/>
        <v>0</v>
      </c>
      <c r="BG95" s="285">
        <f t="shared" si="22"/>
        <v>0</v>
      </c>
      <c r="BH95" s="285">
        <f t="shared" si="22"/>
        <v>0</v>
      </c>
      <c r="BI95" s="285">
        <f t="shared" si="22"/>
        <v>0</v>
      </c>
      <c r="BJ95" s="285">
        <f t="shared" si="22"/>
        <v>0</v>
      </c>
      <c r="BK95" s="285">
        <f t="shared" si="22"/>
        <v>0</v>
      </c>
      <c r="BL95" s="285">
        <f t="shared" si="22"/>
        <v>0</v>
      </c>
      <c r="BM95" s="285">
        <f t="shared" si="22"/>
        <v>0</v>
      </c>
      <c r="BN95" s="285">
        <f t="shared" si="22"/>
        <v>0</v>
      </c>
      <c r="BO95" s="285">
        <f t="shared" si="22"/>
        <v>0</v>
      </c>
      <c r="BP95" s="285">
        <f t="shared" si="22"/>
        <v>0</v>
      </c>
      <c r="BQ95" s="285">
        <f t="shared" si="22"/>
        <v>0</v>
      </c>
      <c r="BR95" s="285">
        <f t="shared" si="22"/>
        <v>0</v>
      </c>
      <c r="BS95" s="285">
        <f t="shared" si="22"/>
        <v>0</v>
      </c>
      <c r="BT95" s="285">
        <f t="shared" si="22"/>
        <v>0</v>
      </c>
      <c r="BU95" s="285">
        <f t="shared" si="22"/>
        <v>0</v>
      </c>
      <c r="BV95" s="285">
        <f t="shared" si="22"/>
        <v>0</v>
      </c>
      <c r="BW95" s="285">
        <f t="shared" si="22"/>
        <v>0</v>
      </c>
      <c r="BX95" s="285">
        <f t="shared" si="22"/>
        <v>0</v>
      </c>
      <c r="BY95" s="285">
        <f t="shared" si="22"/>
        <v>0</v>
      </c>
      <c r="BZ95" s="285">
        <f t="shared" si="22"/>
        <v>0</v>
      </c>
      <c r="CA95" s="285">
        <f t="shared" si="22"/>
        <v>0</v>
      </c>
      <c r="CB95" s="285">
        <f t="shared" ref="CB95:DI95" si="23">CB94+CB86+CB53+CB29</f>
        <v>0</v>
      </c>
      <c r="CC95" s="285">
        <f t="shared" si="23"/>
        <v>0</v>
      </c>
      <c r="CD95" s="285">
        <f t="shared" si="23"/>
        <v>0</v>
      </c>
      <c r="CE95" s="285">
        <f t="shared" si="23"/>
        <v>0</v>
      </c>
      <c r="CF95" s="285">
        <f t="shared" si="23"/>
        <v>0</v>
      </c>
      <c r="CG95" s="285">
        <f t="shared" si="23"/>
        <v>0</v>
      </c>
      <c r="CH95" s="285">
        <f t="shared" si="23"/>
        <v>0</v>
      </c>
      <c r="CI95" s="285">
        <f t="shared" si="23"/>
        <v>0</v>
      </c>
      <c r="CJ95" s="285">
        <f t="shared" si="23"/>
        <v>0</v>
      </c>
      <c r="CK95" s="285">
        <f t="shared" si="23"/>
        <v>0</v>
      </c>
      <c r="CL95" s="285">
        <f t="shared" si="23"/>
        <v>0</v>
      </c>
      <c r="CM95" s="285">
        <f t="shared" si="23"/>
        <v>0</v>
      </c>
      <c r="CN95" s="285">
        <f t="shared" si="23"/>
        <v>0</v>
      </c>
      <c r="CO95" s="285">
        <f t="shared" si="23"/>
        <v>0</v>
      </c>
      <c r="CP95" s="285">
        <f t="shared" si="23"/>
        <v>0</v>
      </c>
      <c r="CQ95" s="285">
        <f t="shared" si="23"/>
        <v>0</v>
      </c>
      <c r="CR95" s="285">
        <f t="shared" si="23"/>
        <v>0</v>
      </c>
      <c r="CS95" s="285">
        <f t="shared" si="23"/>
        <v>0</v>
      </c>
      <c r="CT95" s="285">
        <f t="shared" si="23"/>
        <v>0</v>
      </c>
      <c r="CU95" s="285">
        <f t="shared" si="23"/>
        <v>0</v>
      </c>
      <c r="CV95" s="285">
        <f t="shared" si="23"/>
        <v>0</v>
      </c>
      <c r="CW95" s="285">
        <f t="shared" si="23"/>
        <v>0</v>
      </c>
      <c r="CX95" s="285">
        <f t="shared" si="23"/>
        <v>0</v>
      </c>
      <c r="CY95" s="285">
        <f t="shared" si="23"/>
        <v>0</v>
      </c>
      <c r="CZ95" s="285">
        <f t="shared" si="23"/>
        <v>0</v>
      </c>
      <c r="DA95" s="285">
        <f t="shared" si="23"/>
        <v>0</v>
      </c>
      <c r="DB95" s="285">
        <f t="shared" si="23"/>
        <v>0</v>
      </c>
      <c r="DC95" s="285">
        <f t="shared" si="23"/>
        <v>0</v>
      </c>
      <c r="DD95" s="285">
        <f t="shared" si="23"/>
        <v>0</v>
      </c>
      <c r="DE95" s="285">
        <f t="shared" si="23"/>
        <v>0</v>
      </c>
      <c r="DF95" s="285">
        <f t="shared" si="23"/>
        <v>0</v>
      </c>
      <c r="DG95" s="285">
        <f t="shared" si="23"/>
        <v>0</v>
      </c>
      <c r="DH95" s="285">
        <f t="shared" si="23"/>
        <v>0</v>
      </c>
      <c r="DI95" s="285">
        <f t="shared" si="23"/>
        <v>0</v>
      </c>
      <c r="DJ95" s="285">
        <f t="shared" ref="DJ95:ET95" si="24">DJ94+DJ86+DJ53+DJ29</f>
        <v>0</v>
      </c>
      <c r="DK95" s="285">
        <f t="shared" si="24"/>
        <v>0</v>
      </c>
      <c r="DL95" s="285">
        <f t="shared" si="24"/>
        <v>0</v>
      </c>
      <c r="DM95" s="285">
        <f t="shared" si="24"/>
        <v>0</v>
      </c>
      <c r="DN95" s="285">
        <f t="shared" si="24"/>
        <v>0</v>
      </c>
      <c r="DO95" s="285">
        <f t="shared" si="24"/>
        <v>0</v>
      </c>
      <c r="DP95" s="285">
        <f>DP94+DP86+DP53+DP29</f>
        <v>0</v>
      </c>
      <c r="DQ95" s="285">
        <f>DQ94+DQ86+DQ53+DQ29</f>
        <v>0</v>
      </c>
      <c r="DR95" s="285">
        <f t="shared" si="24"/>
        <v>0</v>
      </c>
      <c r="DS95" s="285">
        <f t="shared" si="24"/>
        <v>0</v>
      </c>
      <c r="DT95" s="285">
        <f t="shared" si="24"/>
        <v>0</v>
      </c>
      <c r="DU95" s="285">
        <f t="shared" si="24"/>
        <v>0</v>
      </c>
      <c r="DV95" s="285">
        <f t="shared" si="24"/>
        <v>0</v>
      </c>
      <c r="DW95" s="285">
        <f t="shared" si="24"/>
        <v>0</v>
      </c>
      <c r="DX95" s="285">
        <f t="shared" si="24"/>
        <v>0</v>
      </c>
      <c r="DY95" s="285">
        <f t="shared" si="24"/>
        <v>0</v>
      </c>
      <c r="DZ95" s="285">
        <f t="shared" si="24"/>
        <v>0</v>
      </c>
      <c r="EA95" s="285">
        <f t="shared" si="24"/>
        <v>0</v>
      </c>
      <c r="EB95" s="285">
        <f t="shared" si="24"/>
        <v>0</v>
      </c>
      <c r="EC95" s="285">
        <f t="shared" si="24"/>
        <v>0</v>
      </c>
      <c r="ED95" s="285">
        <f t="shared" si="24"/>
        <v>0</v>
      </c>
      <c r="EE95" s="285">
        <f t="shared" si="24"/>
        <v>0</v>
      </c>
      <c r="EF95" s="285">
        <f t="shared" si="24"/>
        <v>0</v>
      </c>
      <c r="EG95" s="285">
        <f t="shared" si="24"/>
        <v>0</v>
      </c>
      <c r="EH95" s="285">
        <f t="shared" si="24"/>
        <v>0</v>
      </c>
      <c r="EI95" s="285">
        <f t="shared" si="24"/>
        <v>0</v>
      </c>
      <c r="EJ95" s="285">
        <f t="shared" si="24"/>
        <v>0</v>
      </c>
      <c r="EK95" s="285">
        <f t="shared" si="24"/>
        <v>0</v>
      </c>
      <c r="EL95" s="285">
        <f t="shared" si="24"/>
        <v>0</v>
      </c>
      <c r="EM95" s="285">
        <f t="shared" si="24"/>
        <v>0</v>
      </c>
      <c r="EN95" s="285">
        <f t="shared" si="24"/>
        <v>0</v>
      </c>
      <c r="EO95" s="285">
        <f t="shared" si="24"/>
        <v>0</v>
      </c>
      <c r="EP95" s="285">
        <f t="shared" si="24"/>
        <v>0</v>
      </c>
      <c r="EQ95" s="285">
        <f t="shared" si="24"/>
        <v>0</v>
      </c>
      <c r="ER95" s="285">
        <f t="shared" si="24"/>
        <v>0</v>
      </c>
      <c r="ES95" s="285">
        <f t="shared" si="24"/>
        <v>0</v>
      </c>
      <c r="ET95" s="285">
        <f t="shared" si="24"/>
        <v>0</v>
      </c>
      <c r="EU95" s="285">
        <f t="shared" ref="EU95:GF95" si="25">EU94+EU86+EU53+EU29</f>
        <v>0</v>
      </c>
      <c r="EV95" s="285">
        <f t="shared" si="25"/>
        <v>0</v>
      </c>
      <c r="EW95" s="285">
        <f t="shared" si="25"/>
        <v>0</v>
      </c>
      <c r="EX95" s="285">
        <f t="shared" si="25"/>
        <v>0</v>
      </c>
      <c r="EY95" s="285">
        <f t="shared" si="25"/>
        <v>0</v>
      </c>
      <c r="EZ95" s="285">
        <f t="shared" si="25"/>
        <v>0</v>
      </c>
      <c r="FA95" s="285">
        <f t="shared" si="25"/>
        <v>0</v>
      </c>
      <c r="FB95" s="285">
        <f t="shared" si="25"/>
        <v>0</v>
      </c>
      <c r="FC95" s="285">
        <f t="shared" si="25"/>
        <v>0</v>
      </c>
      <c r="FD95" s="285">
        <f t="shared" si="25"/>
        <v>0</v>
      </c>
      <c r="FE95" s="285">
        <f t="shared" si="25"/>
        <v>0</v>
      </c>
      <c r="FF95" s="285">
        <f t="shared" si="25"/>
        <v>0</v>
      </c>
      <c r="FG95" s="285">
        <f t="shared" si="25"/>
        <v>0</v>
      </c>
      <c r="FH95" s="285">
        <f t="shared" si="25"/>
        <v>0</v>
      </c>
      <c r="FI95" s="285">
        <f t="shared" si="25"/>
        <v>0</v>
      </c>
      <c r="FJ95" s="285">
        <f t="shared" si="25"/>
        <v>0</v>
      </c>
      <c r="FK95" s="285">
        <f t="shared" si="25"/>
        <v>0</v>
      </c>
      <c r="FL95" s="285">
        <f t="shared" si="25"/>
        <v>0</v>
      </c>
      <c r="FM95" s="285">
        <f t="shared" si="25"/>
        <v>0</v>
      </c>
      <c r="FN95" s="285">
        <f t="shared" si="25"/>
        <v>0</v>
      </c>
      <c r="FO95" s="285">
        <f t="shared" si="25"/>
        <v>0</v>
      </c>
      <c r="FP95" s="285">
        <f>FP94+FP86+FP53+FP29</f>
        <v>0</v>
      </c>
      <c r="FQ95" s="285">
        <f t="shared" si="25"/>
        <v>0</v>
      </c>
      <c r="FR95" s="285">
        <f t="shared" si="25"/>
        <v>0</v>
      </c>
      <c r="FS95" s="285">
        <f t="shared" si="25"/>
        <v>0</v>
      </c>
      <c r="FT95" s="285">
        <f t="shared" si="25"/>
        <v>0</v>
      </c>
      <c r="FU95" s="285">
        <f t="shared" si="25"/>
        <v>0</v>
      </c>
      <c r="FV95" s="285">
        <f t="shared" si="25"/>
        <v>0</v>
      </c>
      <c r="FW95" s="285">
        <f t="shared" si="25"/>
        <v>0</v>
      </c>
      <c r="FX95" s="285">
        <f t="shared" si="25"/>
        <v>0</v>
      </c>
      <c r="FY95" s="285">
        <f t="shared" si="25"/>
        <v>0</v>
      </c>
      <c r="FZ95" s="285">
        <f t="shared" si="25"/>
        <v>0</v>
      </c>
      <c r="GA95" s="285">
        <f t="shared" si="25"/>
        <v>0</v>
      </c>
      <c r="GB95" s="285">
        <f t="shared" si="25"/>
        <v>0</v>
      </c>
      <c r="GC95" s="285">
        <f t="shared" si="25"/>
        <v>0</v>
      </c>
      <c r="GD95" s="285">
        <f t="shared" si="25"/>
        <v>0</v>
      </c>
      <c r="GE95" s="285">
        <f t="shared" si="25"/>
        <v>0</v>
      </c>
      <c r="GF95" s="285">
        <f t="shared" si="25"/>
        <v>0</v>
      </c>
      <c r="GG95" s="285">
        <f t="shared" ref="GG95:GT95" si="26">GG94+GG86+GG53+GG29</f>
        <v>0</v>
      </c>
      <c r="GH95" s="285">
        <f t="shared" si="26"/>
        <v>0</v>
      </c>
      <c r="GI95" s="285">
        <f t="shared" si="26"/>
        <v>0</v>
      </c>
      <c r="GJ95" s="285">
        <f t="shared" si="26"/>
        <v>0</v>
      </c>
      <c r="GK95" s="285">
        <f t="shared" si="26"/>
        <v>0</v>
      </c>
      <c r="GL95" s="285">
        <f t="shared" si="26"/>
        <v>0</v>
      </c>
      <c r="GM95" s="285">
        <f t="shared" si="26"/>
        <v>0</v>
      </c>
      <c r="GN95" s="285">
        <f t="shared" si="26"/>
        <v>0</v>
      </c>
      <c r="GO95" s="285">
        <f t="shared" si="26"/>
        <v>0</v>
      </c>
      <c r="GP95" s="285">
        <f t="shared" si="26"/>
        <v>0</v>
      </c>
      <c r="GQ95" s="285">
        <f t="shared" si="26"/>
        <v>0</v>
      </c>
      <c r="GR95" s="285">
        <f t="shared" si="26"/>
        <v>0</v>
      </c>
      <c r="GS95" s="285">
        <f t="shared" si="26"/>
        <v>0</v>
      </c>
      <c r="GT95" s="285">
        <f t="shared" si="26"/>
        <v>0</v>
      </c>
      <c r="GU95" s="287">
        <f>SUM(GU73:GU86)</f>
        <v>0</v>
      </c>
      <c r="GV95" s="169"/>
      <c r="GW95" s="169"/>
      <c r="GX95" s="169"/>
      <c r="GY95" s="169"/>
      <c r="GZ95" s="169"/>
      <c r="HA95" s="169"/>
      <c r="HB95" s="169"/>
      <c r="HC95" s="169"/>
      <c r="HD95" s="169"/>
      <c r="HE95" s="169"/>
      <c r="HF95" s="169"/>
      <c r="HG95" s="169"/>
      <c r="HH95" s="169"/>
      <c r="HI95" s="169"/>
      <c r="HJ95" s="169"/>
      <c r="HK95" s="169"/>
      <c r="HL95" s="169"/>
      <c r="HM95" s="169"/>
      <c r="HN95" s="169"/>
      <c r="HO95" s="169"/>
      <c r="HP95" s="169"/>
      <c r="HQ95" s="169"/>
      <c r="HR95" s="169"/>
      <c r="HS95" s="169"/>
      <c r="HT95" s="169"/>
      <c r="HU95" s="169"/>
      <c r="HV95" s="169"/>
      <c r="HW95" s="169"/>
      <c r="HX95" s="169"/>
      <c r="HY95" s="169"/>
      <c r="HZ95" s="169"/>
      <c r="IA95" s="169"/>
      <c r="IB95" s="169"/>
      <c r="IC95" s="169"/>
      <c r="ID95" s="169"/>
      <c r="IE95" s="169"/>
      <c r="IF95" s="169"/>
      <c r="IG95" s="169"/>
      <c r="IH95" s="169"/>
      <c r="II95" s="169"/>
      <c r="IJ95" s="169"/>
      <c r="IK95" s="169"/>
      <c r="IL95" s="169"/>
      <c r="IM95" s="169"/>
      <c r="IN95" s="169"/>
      <c r="IO95" s="169"/>
      <c r="IP95" s="169"/>
      <c r="IQ95" s="169"/>
      <c r="IR95" s="169"/>
      <c r="IS95" s="169"/>
      <c r="IT95" s="169"/>
      <c r="IU95" s="169"/>
      <c r="IV95" s="169"/>
    </row>
    <row r="96" spans="1:256" ht="13.8" hidden="1">
      <c r="A96" s="154"/>
      <c r="B96" s="184"/>
      <c r="C96" s="184"/>
      <c r="D96" s="184"/>
      <c r="E96" s="184"/>
      <c r="F96" s="184"/>
      <c r="G96" s="184"/>
      <c r="H96" s="184"/>
      <c r="I96" s="184"/>
      <c r="J96" s="184"/>
      <c r="K96" s="184"/>
      <c r="L96" s="184"/>
      <c r="M96" s="184"/>
      <c r="N96" s="184"/>
      <c r="O96" s="184"/>
      <c r="P96" s="184"/>
      <c r="Q96" s="184"/>
      <c r="R96" s="184"/>
      <c r="S96" s="184"/>
      <c r="T96" s="184"/>
      <c r="U96" s="184"/>
      <c r="V96" s="184"/>
      <c r="W96" s="184"/>
      <c r="X96" s="184"/>
      <c r="Y96" s="184"/>
      <c r="Z96" s="184"/>
      <c r="AA96" s="184"/>
      <c r="AB96" s="184"/>
      <c r="AC96" s="184"/>
      <c r="AD96" s="184"/>
      <c r="AE96" s="184"/>
      <c r="AF96" s="184"/>
      <c r="AG96" s="184"/>
      <c r="AH96" s="184"/>
      <c r="AI96" s="184"/>
      <c r="AJ96" s="184"/>
      <c r="AK96" s="184"/>
      <c r="AL96" s="184"/>
      <c r="AM96" s="184"/>
      <c r="AN96" s="184"/>
      <c r="AO96" s="184"/>
      <c r="AP96" s="184"/>
      <c r="AQ96" s="184"/>
      <c r="AR96" s="184"/>
      <c r="AS96" s="184"/>
      <c r="AT96" s="184"/>
      <c r="AU96" s="184"/>
      <c r="AV96" s="184"/>
      <c r="AW96" s="184"/>
      <c r="AX96" s="184"/>
      <c r="AY96" s="184"/>
      <c r="AZ96" s="184"/>
      <c r="BA96" s="184"/>
      <c r="BB96" s="184"/>
      <c r="BC96" s="184"/>
      <c r="BD96" s="184"/>
      <c r="BE96" s="184"/>
      <c r="BF96" s="184"/>
      <c r="BG96" s="184"/>
      <c r="BH96" s="184"/>
      <c r="BI96" s="184"/>
      <c r="BJ96" s="184"/>
      <c r="BK96" s="184"/>
      <c r="BL96" s="184"/>
      <c r="BM96" s="184"/>
      <c r="BN96" s="184"/>
      <c r="BO96" s="184"/>
      <c r="BP96" s="184"/>
      <c r="BQ96" s="184"/>
      <c r="BR96" s="184"/>
      <c r="BS96" s="184"/>
      <c r="BT96" s="184"/>
      <c r="BU96" s="184"/>
      <c r="BV96" s="184"/>
      <c r="BW96" s="184"/>
      <c r="BX96" s="184"/>
      <c r="BY96" s="184"/>
      <c r="BZ96" s="184"/>
      <c r="CA96" s="184"/>
      <c r="CB96" s="184"/>
      <c r="CC96" s="184"/>
      <c r="CD96" s="184"/>
      <c r="CE96" s="184"/>
      <c r="CF96" s="184"/>
      <c r="CG96" s="184"/>
      <c r="CH96" s="184"/>
      <c r="CI96" s="184"/>
      <c r="CJ96" s="184"/>
      <c r="CK96" s="184"/>
      <c r="CL96" s="184"/>
      <c r="CM96" s="184"/>
      <c r="CN96" s="184"/>
      <c r="CO96" s="184"/>
      <c r="CP96" s="184"/>
      <c r="CQ96" s="184"/>
      <c r="CR96" s="184"/>
      <c r="CS96" s="184"/>
      <c r="CT96" s="184"/>
      <c r="CU96" s="184"/>
      <c r="CV96" s="184"/>
      <c r="CW96" s="184"/>
      <c r="CX96" s="184"/>
      <c r="CY96" s="184"/>
      <c r="CZ96" s="184"/>
      <c r="DA96" s="184"/>
      <c r="DB96" s="184"/>
      <c r="DC96" s="184"/>
      <c r="DD96" s="184"/>
      <c r="DE96" s="184"/>
      <c r="DF96" s="184"/>
      <c r="DG96" s="184"/>
      <c r="DH96" s="184"/>
      <c r="DI96" s="184"/>
      <c r="DJ96" s="184"/>
      <c r="DK96" s="184"/>
      <c r="DL96" s="184"/>
      <c r="DM96" s="184"/>
      <c r="DN96" s="184"/>
      <c r="DO96" s="184"/>
      <c r="DP96" s="184"/>
      <c r="DQ96" s="184"/>
      <c r="DR96" s="184"/>
      <c r="DS96" s="184"/>
      <c r="DT96" s="184"/>
      <c r="DU96" s="184"/>
      <c r="DV96" s="184"/>
      <c r="DW96" s="184"/>
      <c r="DX96" s="184"/>
      <c r="DY96" s="184"/>
      <c r="DZ96" s="184"/>
      <c r="EA96" s="184"/>
      <c r="EB96" s="184"/>
      <c r="EC96" s="184"/>
      <c r="ED96" s="184"/>
      <c r="EE96" s="184"/>
      <c r="EF96" s="184"/>
      <c r="EG96" s="184"/>
      <c r="EH96" s="184"/>
      <c r="EI96" s="184"/>
      <c r="EJ96" s="184"/>
      <c r="EK96" s="184"/>
      <c r="EL96" s="184"/>
      <c r="EM96" s="184"/>
      <c r="EN96" s="184"/>
      <c r="EO96" s="184"/>
      <c r="EP96" s="184"/>
      <c r="EQ96" s="184"/>
      <c r="ER96" s="184"/>
      <c r="ES96" s="184"/>
      <c r="ET96" s="184"/>
      <c r="EU96" s="184"/>
      <c r="EV96" s="184"/>
      <c r="EW96" s="184"/>
      <c r="EX96" s="184"/>
      <c r="EY96" s="184"/>
      <c r="EZ96" s="184"/>
      <c r="FA96" s="184"/>
      <c r="FB96" s="184"/>
      <c r="FC96" s="184"/>
      <c r="FD96" s="184"/>
      <c r="FE96" s="184"/>
      <c r="FF96" s="184"/>
      <c r="FG96" s="184"/>
      <c r="FH96" s="184"/>
      <c r="FI96" s="184"/>
      <c r="FJ96" s="184"/>
      <c r="FK96" s="184"/>
      <c r="FL96" s="184"/>
      <c r="FM96" s="184"/>
      <c r="FN96" s="184"/>
      <c r="FO96" s="184"/>
      <c r="FP96" s="184"/>
      <c r="FQ96" s="184"/>
      <c r="FR96" s="184"/>
      <c r="FS96" s="184"/>
      <c r="FT96" s="184"/>
      <c r="FU96" s="184"/>
      <c r="FV96" s="184"/>
      <c r="FW96" s="184"/>
      <c r="FX96" s="184"/>
      <c r="FY96" s="184"/>
      <c r="FZ96" s="184"/>
      <c r="GA96" s="184"/>
      <c r="GB96" s="184"/>
      <c r="GC96" s="184"/>
      <c r="GD96" s="184"/>
      <c r="GE96" s="184"/>
      <c r="GF96" s="184"/>
      <c r="GG96" s="184"/>
      <c r="GH96" s="184"/>
      <c r="GI96" s="184"/>
      <c r="GJ96" s="184"/>
      <c r="GK96" s="184"/>
      <c r="GL96" s="184"/>
      <c r="GM96" s="184"/>
      <c r="GN96" s="184"/>
      <c r="GO96" s="184"/>
      <c r="GP96" s="184"/>
      <c r="GQ96" s="184"/>
      <c r="GR96" s="184"/>
      <c r="GS96" s="184"/>
      <c r="GT96" s="184"/>
      <c r="GU96" s="185"/>
    </row>
    <row r="97" spans="1:256" ht="13.8" hidden="1">
      <c r="A97" s="154"/>
      <c r="B97" s="184"/>
      <c r="C97" s="184"/>
      <c r="D97" s="184"/>
      <c r="E97" s="184"/>
      <c r="F97" s="184"/>
      <c r="G97" s="184"/>
      <c r="H97" s="184"/>
      <c r="I97" s="184"/>
      <c r="J97" s="184"/>
      <c r="K97" s="184"/>
      <c r="L97" s="184"/>
      <c r="M97" s="184"/>
      <c r="N97" s="184"/>
      <c r="O97" s="184"/>
      <c r="P97" s="184"/>
      <c r="Q97" s="184"/>
      <c r="R97" s="184"/>
      <c r="S97" s="184"/>
      <c r="T97" s="184"/>
      <c r="U97" s="184"/>
      <c r="V97" s="184"/>
      <c r="W97" s="184"/>
      <c r="X97" s="184"/>
      <c r="Y97" s="184"/>
      <c r="Z97" s="184"/>
      <c r="AA97" s="184"/>
      <c r="AB97" s="184"/>
      <c r="AC97" s="184"/>
      <c r="AD97" s="184"/>
      <c r="AE97" s="184"/>
      <c r="AF97" s="184"/>
      <c r="AG97" s="184"/>
      <c r="AH97" s="184"/>
      <c r="AI97" s="184"/>
      <c r="AJ97" s="184"/>
      <c r="AK97" s="184"/>
      <c r="AL97" s="184"/>
      <c r="AM97" s="184"/>
      <c r="AN97" s="184"/>
      <c r="AO97" s="184"/>
      <c r="AP97" s="184"/>
      <c r="AQ97" s="184"/>
      <c r="AR97" s="184"/>
      <c r="AS97" s="184"/>
      <c r="AT97" s="184"/>
      <c r="AU97" s="184"/>
      <c r="AV97" s="184"/>
      <c r="AW97" s="184"/>
      <c r="AX97" s="184"/>
      <c r="AY97" s="184"/>
      <c r="AZ97" s="184"/>
      <c r="BA97" s="184"/>
      <c r="BB97" s="184"/>
      <c r="BC97" s="184"/>
      <c r="BD97" s="184"/>
      <c r="BE97" s="184"/>
      <c r="BF97" s="184"/>
      <c r="BG97" s="184"/>
      <c r="BH97" s="184"/>
      <c r="BI97" s="184"/>
      <c r="BJ97" s="184"/>
      <c r="BK97" s="184"/>
      <c r="BL97" s="184"/>
      <c r="BM97" s="184"/>
      <c r="BN97" s="184"/>
      <c r="BO97" s="184"/>
      <c r="BP97" s="184"/>
      <c r="BQ97" s="184"/>
      <c r="BR97" s="184"/>
      <c r="BS97" s="184"/>
      <c r="BT97" s="184"/>
      <c r="BU97" s="184"/>
      <c r="BV97" s="184"/>
      <c r="BW97" s="184"/>
      <c r="BX97" s="184"/>
      <c r="BY97" s="184"/>
      <c r="BZ97" s="184"/>
      <c r="CA97" s="184"/>
      <c r="CB97" s="184"/>
      <c r="CC97" s="184"/>
      <c r="CD97" s="184"/>
      <c r="CE97" s="184"/>
      <c r="CF97" s="184"/>
      <c r="CG97" s="184"/>
      <c r="CH97" s="184"/>
      <c r="CI97" s="184"/>
      <c r="CJ97" s="184"/>
      <c r="CK97" s="184"/>
      <c r="CL97" s="184"/>
      <c r="CM97" s="184"/>
      <c r="CN97" s="184"/>
      <c r="CO97" s="184"/>
      <c r="CP97" s="184"/>
      <c r="CQ97" s="184"/>
      <c r="CR97" s="184"/>
      <c r="CS97" s="184"/>
      <c r="CT97" s="184"/>
      <c r="CU97" s="184"/>
      <c r="CV97" s="184"/>
      <c r="CW97" s="184"/>
      <c r="CX97" s="184"/>
      <c r="CY97" s="184"/>
      <c r="CZ97" s="184"/>
      <c r="DA97" s="184"/>
      <c r="DB97" s="184"/>
      <c r="DC97" s="184"/>
      <c r="DD97" s="184"/>
      <c r="DE97" s="184"/>
      <c r="DF97" s="184"/>
      <c r="DG97" s="184"/>
      <c r="DH97" s="184"/>
      <c r="DI97" s="184"/>
      <c r="DJ97" s="184"/>
      <c r="DK97" s="184"/>
      <c r="DL97" s="184"/>
      <c r="DM97" s="184"/>
      <c r="DN97" s="184"/>
      <c r="DO97" s="184"/>
      <c r="DP97" s="184"/>
      <c r="DQ97" s="184"/>
      <c r="DR97" s="184"/>
      <c r="DS97" s="184"/>
      <c r="DT97" s="184"/>
      <c r="DU97" s="184"/>
      <c r="DV97" s="184"/>
      <c r="DW97" s="184"/>
      <c r="DX97" s="184"/>
      <c r="DY97" s="184"/>
      <c r="DZ97" s="184"/>
      <c r="EA97" s="184"/>
      <c r="EB97" s="184"/>
      <c r="EC97" s="184"/>
      <c r="ED97" s="184"/>
      <c r="EE97" s="184"/>
      <c r="EF97" s="184"/>
      <c r="EG97" s="184"/>
      <c r="EH97" s="184"/>
      <c r="EI97" s="184"/>
      <c r="EJ97" s="184"/>
      <c r="EK97" s="184"/>
      <c r="EL97" s="184"/>
      <c r="EM97" s="184"/>
      <c r="EN97" s="184"/>
      <c r="EO97" s="184"/>
      <c r="EP97" s="184"/>
      <c r="EQ97" s="184"/>
      <c r="ER97" s="184"/>
      <c r="ES97" s="184"/>
      <c r="ET97" s="184"/>
      <c r="EU97" s="184"/>
      <c r="EV97" s="184"/>
      <c r="EW97" s="184"/>
      <c r="EX97" s="184"/>
      <c r="EY97" s="184"/>
      <c r="EZ97" s="184"/>
      <c r="FA97" s="184"/>
      <c r="FB97" s="184"/>
      <c r="FC97" s="184"/>
      <c r="FD97" s="184"/>
      <c r="FE97" s="184"/>
      <c r="FF97" s="184"/>
      <c r="FG97" s="184"/>
      <c r="FH97" s="184"/>
      <c r="FI97" s="184"/>
      <c r="FJ97" s="184"/>
      <c r="FK97" s="184"/>
      <c r="FL97" s="184"/>
      <c r="FM97" s="184"/>
      <c r="FN97" s="184"/>
      <c r="FO97" s="184"/>
      <c r="FP97" s="184"/>
      <c r="FQ97" s="184"/>
      <c r="FR97" s="184"/>
      <c r="FS97" s="184"/>
      <c r="FT97" s="184"/>
      <c r="FU97" s="184"/>
      <c r="FV97" s="184"/>
      <c r="FW97" s="184"/>
      <c r="FX97" s="184"/>
      <c r="FY97" s="184"/>
      <c r="FZ97" s="184"/>
      <c r="GA97" s="184"/>
      <c r="GB97" s="184"/>
      <c r="GC97" s="184"/>
      <c r="GD97" s="184"/>
      <c r="GE97" s="184"/>
      <c r="GF97" s="184"/>
      <c r="GG97" s="184"/>
      <c r="GH97" s="184"/>
      <c r="GI97" s="184"/>
      <c r="GJ97" s="184"/>
      <c r="GK97" s="184"/>
      <c r="GL97" s="184"/>
      <c r="GM97" s="184"/>
      <c r="GN97" s="184"/>
      <c r="GO97" s="184"/>
      <c r="GP97" s="184"/>
      <c r="GQ97" s="184"/>
      <c r="GR97" s="184"/>
      <c r="GS97" s="184"/>
      <c r="GT97" s="184"/>
      <c r="GU97" s="185"/>
    </row>
    <row r="98" spans="1:256" ht="13.8" hidden="1">
      <c r="A98" s="154"/>
      <c r="B98" s="184"/>
      <c r="C98" s="184"/>
      <c r="D98" s="184"/>
      <c r="E98" s="184"/>
      <c r="F98" s="184"/>
      <c r="G98" s="184"/>
      <c r="H98" s="184"/>
      <c r="I98" s="184"/>
      <c r="J98" s="184"/>
      <c r="K98" s="184"/>
      <c r="L98" s="184"/>
      <c r="M98" s="184"/>
      <c r="N98" s="184"/>
      <c r="O98" s="184"/>
      <c r="P98" s="184"/>
      <c r="Q98" s="184"/>
      <c r="R98" s="184"/>
      <c r="S98" s="184"/>
      <c r="T98" s="184"/>
      <c r="U98" s="184"/>
      <c r="V98" s="184"/>
      <c r="W98" s="184"/>
      <c r="X98" s="184"/>
      <c r="Y98" s="184"/>
      <c r="Z98" s="184"/>
      <c r="AA98" s="184"/>
      <c r="AB98" s="184"/>
      <c r="AC98" s="184"/>
      <c r="AD98" s="184"/>
      <c r="AE98" s="184"/>
      <c r="AF98" s="184"/>
      <c r="AG98" s="184"/>
      <c r="AH98" s="184"/>
      <c r="AI98" s="184"/>
      <c r="AJ98" s="184"/>
      <c r="AK98" s="184"/>
      <c r="AL98" s="184"/>
      <c r="AM98" s="184"/>
      <c r="AN98" s="184"/>
      <c r="AO98" s="184"/>
      <c r="AP98" s="184"/>
      <c r="AQ98" s="184"/>
      <c r="AR98" s="184"/>
      <c r="AS98" s="184"/>
      <c r="AT98" s="184"/>
      <c r="AU98" s="184"/>
      <c r="AV98" s="184"/>
      <c r="AW98" s="184"/>
      <c r="AX98" s="184"/>
      <c r="AY98" s="184"/>
      <c r="AZ98" s="184"/>
      <c r="BA98" s="184"/>
      <c r="BB98" s="184"/>
      <c r="BC98" s="184"/>
      <c r="BD98" s="184"/>
      <c r="BE98" s="184"/>
      <c r="BF98" s="184"/>
      <c r="BG98" s="184"/>
      <c r="BH98" s="184"/>
      <c r="BI98" s="184"/>
      <c r="BJ98" s="184"/>
      <c r="BK98" s="184"/>
      <c r="BL98" s="184"/>
      <c r="BM98" s="184"/>
      <c r="BN98" s="184"/>
      <c r="BO98" s="184"/>
      <c r="BP98" s="184"/>
      <c r="BQ98" s="184"/>
      <c r="BR98" s="184"/>
      <c r="BS98" s="184"/>
      <c r="BT98" s="184"/>
      <c r="BU98" s="184"/>
      <c r="BV98" s="184"/>
      <c r="BW98" s="184"/>
      <c r="BX98" s="184"/>
      <c r="BY98" s="184"/>
      <c r="BZ98" s="184"/>
      <c r="CA98" s="184"/>
      <c r="CB98" s="184"/>
      <c r="CC98" s="184"/>
      <c r="CD98" s="184"/>
      <c r="CE98" s="184"/>
      <c r="CF98" s="184"/>
      <c r="CG98" s="184"/>
      <c r="CH98" s="184"/>
      <c r="CI98" s="184"/>
      <c r="CJ98" s="184"/>
      <c r="CK98" s="184"/>
      <c r="CL98" s="184"/>
      <c r="CM98" s="184"/>
      <c r="CN98" s="184"/>
      <c r="CO98" s="184"/>
      <c r="CP98" s="184"/>
      <c r="CQ98" s="184"/>
      <c r="CR98" s="184"/>
      <c r="CS98" s="184"/>
      <c r="CT98" s="184"/>
      <c r="CU98" s="184"/>
      <c r="CV98" s="184"/>
      <c r="CW98" s="184"/>
      <c r="CX98" s="184"/>
      <c r="CY98" s="184"/>
      <c r="CZ98" s="184"/>
      <c r="DA98" s="184"/>
      <c r="DB98" s="184"/>
      <c r="DC98" s="184"/>
      <c r="DD98" s="184"/>
      <c r="DE98" s="184"/>
      <c r="DF98" s="184"/>
      <c r="DG98" s="184"/>
      <c r="DH98" s="184"/>
      <c r="DI98" s="184"/>
      <c r="DJ98" s="184"/>
      <c r="DK98" s="184"/>
      <c r="DL98" s="184"/>
      <c r="DM98" s="184"/>
      <c r="DN98" s="184"/>
      <c r="DO98" s="184"/>
      <c r="DP98" s="184"/>
      <c r="DQ98" s="184"/>
      <c r="DR98" s="184"/>
      <c r="DS98" s="184"/>
      <c r="DT98" s="184"/>
      <c r="DU98" s="184"/>
      <c r="DV98" s="184"/>
      <c r="DW98" s="184"/>
      <c r="DX98" s="184"/>
      <c r="DY98" s="184"/>
      <c r="DZ98" s="184"/>
      <c r="EA98" s="184"/>
      <c r="EB98" s="184"/>
      <c r="EC98" s="184"/>
      <c r="ED98" s="184"/>
      <c r="EE98" s="184"/>
      <c r="EF98" s="184"/>
      <c r="EG98" s="184"/>
      <c r="EH98" s="184"/>
      <c r="EI98" s="184"/>
      <c r="EJ98" s="184"/>
      <c r="EK98" s="184"/>
      <c r="EL98" s="184"/>
      <c r="EM98" s="184"/>
      <c r="EN98" s="184"/>
      <c r="EO98" s="184"/>
      <c r="EP98" s="184"/>
      <c r="EQ98" s="184"/>
      <c r="ER98" s="184"/>
      <c r="ES98" s="184"/>
      <c r="ET98" s="184"/>
      <c r="EU98" s="184"/>
      <c r="EV98" s="184"/>
      <c r="EW98" s="184"/>
      <c r="EX98" s="184"/>
      <c r="EY98" s="184"/>
      <c r="EZ98" s="184"/>
      <c r="FA98" s="184"/>
      <c r="FB98" s="184"/>
      <c r="FC98" s="184"/>
      <c r="FD98" s="184"/>
      <c r="FE98" s="184"/>
      <c r="FF98" s="184"/>
      <c r="FG98" s="184"/>
      <c r="FH98" s="184"/>
      <c r="FI98" s="184"/>
      <c r="FJ98" s="184"/>
      <c r="FK98" s="184"/>
      <c r="FL98" s="184"/>
      <c r="FM98" s="184"/>
      <c r="FN98" s="184"/>
      <c r="FO98" s="184"/>
      <c r="FP98" s="184"/>
      <c r="FQ98" s="184"/>
      <c r="FR98" s="184"/>
      <c r="FS98" s="184"/>
      <c r="FT98" s="184"/>
      <c r="FU98" s="184"/>
      <c r="FV98" s="184"/>
      <c r="FW98" s="184"/>
      <c r="FX98" s="184"/>
      <c r="FY98" s="184"/>
      <c r="FZ98" s="184"/>
      <c r="GA98" s="184"/>
      <c r="GB98" s="184"/>
      <c r="GC98" s="184"/>
      <c r="GD98" s="184"/>
      <c r="GE98" s="184"/>
      <c r="GF98" s="184"/>
      <c r="GG98" s="184"/>
      <c r="GH98" s="184"/>
      <c r="GI98" s="184"/>
      <c r="GJ98" s="184"/>
      <c r="GK98" s="184"/>
      <c r="GL98" s="184"/>
      <c r="GM98" s="184"/>
      <c r="GN98" s="184"/>
      <c r="GO98" s="184"/>
      <c r="GP98" s="184"/>
      <c r="GQ98" s="184"/>
      <c r="GR98" s="184"/>
      <c r="GS98" s="184"/>
      <c r="GT98" s="184"/>
      <c r="GU98" s="185"/>
    </row>
    <row r="99" spans="1:256" s="247" customFormat="1" ht="13.8" hidden="1">
      <c r="A99" s="288"/>
      <c r="B99" s="289"/>
      <c r="C99" s="289"/>
      <c r="D99" s="289"/>
      <c r="E99" s="289"/>
      <c r="F99" s="289"/>
      <c r="G99" s="289"/>
      <c r="H99" s="289"/>
      <c r="I99" s="289"/>
      <c r="J99" s="290"/>
      <c r="K99" s="291"/>
      <c r="L99" s="292"/>
      <c r="M99" s="293"/>
      <c r="N99" s="292"/>
      <c r="O99" s="292"/>
      <c r="P99" s="292"/>
      <c r="Q99" s="294"/>
      <c r="R99" s="292"/>
      <c r="S99" s="292"/>
      <c r="T99" s="292"/>
      <c r="U99" s="292"/>
      <c r="V99" s="292"/>
      <c r="W99" s="292"/>
      <c r="X99" s="292"/>
      <c r="Y99" s="292"/>
      <c r="Z99" s="292"/>
      <c r="AA99" s="292"/>
      <c r="AB99" s="292"/>
      <c r="AC99" s="292"/>
      <c r="AD99" s="292"/>
      <c r="AE99" s="292"/>
      <c r="AF99" s="292"/>
      <c r="AG99" s="292"/>
      <c r="AH99" s="292"/>
      <c r="AI99" s="292"/>
      <c r="AJ99" s="292"/>
      <c r="AK99" s="292"/>
      <c r="AL99" s="292"/>
      <c r="AM99" s="292"/>
      <c r="AN99" s="292"/>
      <c r="AO99" s="292"/>
      <c r="AP99" s="292"/>
      <c r="AQ99" s="292"/>
      <c r="AR99" s="292"/>
      <c r="AS99" s="292"/>
      <c r="AT99" s="292"/>
      <c r="AU99" s="292"/>
      <c r="AV99" s="292"/>
      <c r="AW99" s="292"/>
      <c r="AX99" s="292"/>
      <c r="AY99" s="292"/>
      <c r="AZ99" s="292"/>
      <c r="BA99" s="292"/>
      <c r="BB99" s="292"/>
      <c r="BC99" s="292"/>
      <c r="BD99" s="292"/>
      <c r="BE99" s="292"/>
      <c r="BF99" s="292"/>
      <c r="BG99" s="292"/>
      <c r="BH99" s="292"/>
      <c r="BI99" s="292"/>
      <c r="BJ99" s="292"/>
      <c r="BK99" s="292"/>
      <c r="BL99" s="292"/>
      <c r="BM99" s="292"/>
      <c r="BN99" s="292"/>
      <c r="BO99" s="292"/>
      <c r="BP99" s="292"/>
      <c r="BQ99" s="292"/>
      <c r="BR99" s="292"/>
      <c r="BS99" s="292"/>
      <c r="BT99" s="292"/>
      <c r="BU99" s="292"/>
      <c r="BV99" s="292"/>
      <c r="BW99" s="292"/>
      <c r="BX99" s="292"/>
      <c r="BY99" s="292"/>
      <c r="BZ99" s="292"/>
      <c r="CA99" s="292"/>
      <c r="CB99" s="292"/>
      <c r="CC99" s="292"/>
      <c r="CD99" s="292"/>
      <c r="CE99" s="292"/>
      <c r="CF99" s="292"/>
      <c r="CG99" s="292"/>
      <c r="CH99" s="292"/>
      <c r="CI99" s="292"/>
      <c r="CJ99" s="292"/>
      <c r="CK99" s="292"/>
      <c r="CL99" s="292"/>
      <c r="CM99" s="292"/>
      <c r="CN99" s="292"/>
      <c r="CO99" s="292"/>
      <c r="CP99" s="292"/>
      <c r="CQ99" s="292"/>
      <c r="CR99" s="292"/>
      <c r="CS99" s="292"/>
      <c r="CT99" s="292"/>
      <c r="CU99" s="292"/>
      <c r="CV99" s="292"/>
      <c r="CW99" s="292"/>
      <c r="CX99" s="292"/>
      <c r="CY99" s="292"/>
      <c r="CZ99" s="292"/>
      <c r="DA99" s="292"/>
      <c r="DB99" s="292"/>
      <c r="DC99" s="292"/>
      <c r="DD99" s="292"/>
      <c r="DE99" s="292"/>
      <c r="DF99" s="292"/>
      <c r="DG99" s="292"/>
      <c r="DH99" s="292"/>
      <c r="DI99" s="292"/>
      <c r="DJ99" s="292"/>
      <c r="DK99" s="292"/>
      <c r="DL99" s="292"/>
      <c r="DM99" s="292"/>
      <c r="DN99" s="292"/>
      <c r="DO99" s="292"/>
      <c r="DP99" s="292"/>
      <c r="DQ99" s="292"/>
      <c r="DR99" s="292"/>
      <c r="DS99" s="292"/>
      <c r="DT99" s="292"/>
      <c r="DU99" s="292"/>
      <c r="DV99" s="292"/>
      <c r="DW99" s="292"/>
      <c r="DX99" s="292"/>
      <c r="DY99" s="292"/>
      <c r="DZ99" s="292"/>
      <c r="EA99" s="292"/>
      <c r="EB99" s="292"/>
      <c r="EC99" s="292"/>
      <c r="ED99" s="292"/>
      <c r="EE99" s="292"/>
      <c r="EF99" s="292"/>
      <c r="EG99" s="292"/>
      <c r="EH99" s="292"/>
      <c r="EI99" s="292"/>
      <c r="EJ99" s="292"/>
      <c r="EK99" s="292"/>
      <c r="EL99" s="292"/>
      <c r="EM99" s="292"/>
      <c r="EN99" s="292"/>
      <c r="EO99" s="292"/>
      <c r="EP99" s="292"/>
      <c r="EQ99" s="292"/>
      <c r="ER99" s="292"/>
      <c r="ES99" s="292"/>
      <c r="ET99" s="292"/>
      <c r="EU99" s="292"/>
      <c r="EV99" s="292"/>
      <c r="EW99" s="292"/>
      <c r="EX99" s="292"/>
      <c r="EY99" s="292"/>
      <c r="EZ99" s="292"/>
      <c r="FA99" s="292"/>
      <c r="FB99" s="292"/>
      <c r="FC99" s="292"/>
      <c r="FD99" s="292"/>
      <c r="FE99" s="292"/>
      <c r="FF99" s="292"/>
      <c r="FG99" s="295"/>
      <c r="FH99" s="295"/>
      <c r="FI99" s="295"/>
      <c r="FJ99" s="292"/>
      <c r="FK99" s="295"/>
      <c r="FL99" s="292"/>
      <c r="FM99" s="292"/>
      <c r="FN99" s="292"/>
      <c r="FO99" s="292"/>
      <c r="FP99" s="292"/>
      <c r="FQ99" s="292"/>
      <c r="FR99" s="292"/>
      <c r="FS99" s="292"/>
      <c r="FT99" s="292"/>
      <c r="FU99" s="292"/>
      <c r="FV99" s="292"/>
      <c r="FW99" s="292"/>
      <c r="FX99" s="292"/>
      <c r="FY99" s="292"/>
      <c r="FZ99" s="292"/>
      <c r="GA99" s="292"/>
      <c r="GB99" s="292"/>
      <c r="GC99" s="292"/>
      <c r="GD99" s="292"/>
      <c r="GE99" s="292"/>
      <c r="GF99" s="292"/>
      <c r="GG99" s="292"/>
      <c r="GH99" s="292"/>
      <c r="GI99" s="292"/>
      <c r="GJ99" s="292"/>
      <c r="GK99" s="292"/>
      <c r="GL99" s="292"/>
      <c r="GM99" s="292"/>
      <c r="GN99" s="292"/>
      <c r="GO99" s="292"/>
      <c r="GP99" s="292"/>
      <c r="GQ99" s="292"/>
      <c r="GR99" s="292"/>
      <c r="GS99" s="292"/>
      <c r="GT99" s="292"/>
      <c r="GU99" s="296"/>
      <c r="GV99" s="169"/>
      <c r="GW99" s="169"/>
      <c r="GX99" s="169"/>
      <c r="GY99" s="169"/>
      <c r="GZ99" s="169"/>
      <c r="HA99" s="169"/>
      <c r="HB99" s="169"/>
      <c r="HC99" s="169"/>
      <c r="HD99" s="169"/>
      <c r="HE99" s="169"/>
      <c r="HF99" s="169"/>
      <c r="HG99" s="169"/>
      <c r="HH99" s="169"/>
      <c r="HI99" s="169"/>
      <c r="HJ99" s="169"/>
      <c r="HK99" s="169"/>
      <c r="HL99" s="169"/>
      <c r="HM99" s="169"/>
      <c r="HN99" s="169"/>
      <c r="HO99" s="169"/>
      <c r="HP99" s="169"/>
      <c r="HQ99" s="169"/>
      <c r="HR99" s="169"/>
      <c r="HS99" s="169"/>
      <c r="HT99" s="169"/>
      <c r="HU99" s="169"/>
      <c r="HV99" s="169"/>
      <c r="HW99" s="169"/>
      <c r="HX99" s="169"/>
      <c r="HY99" s="169"/>
      <c r="HZ99" s="169"/>
      <c r="IA99" s="169"/>
      <c r="IB99" s="169"/>
      <c r="IC99" s="169"/>
      <c r="ID99" s="169"/>
      <c r="IE99" s="169"/>
      <c r="IF99" s="169"/>
      <c r="IG99" s="169"/>
      <c r="IH99" s="169"/>
      <c r="II99" s="169"/>
      <c r="IJ99" s="169"/>
      <c r="IK99" s="169"/>
      <c r="IL99" s="169"/>
      <c r="IM99" s="169"/>
      <c r="IN99" s="169"/>
      <c r="IO99" s="169"/>
      <c r="IP99" s="169"/>
      <c r="IQ99" s="169"/>
      <c r="IR99" s="169"/>
      <c r="IS99" s="169"/>
      <c r="IT99" s="169"/>
      <c r="IU99" s="169"/>
      <c r="IV99" s="169"/>
    </row>
    <row r="100" spans="1:256" s="305" customFormat="1" ht="13.8" hidden="1">
      <c r="A100" s="297"/>
      <c r="B100" s="298"/>
      <c r="C100" s="298"/>
      <c r="D100" s="298"/>
      <c r="E100" s="298"/>
      <c r="F100" s="298"/>
      <c r="G100" s="298"/>
      <c r="H100" s="298"/>
      <c r="I100" s="298"/>
      <c r="J100" s="299"/>
      <c r="K100" s="300"/>
      <c r="L100" s="301"/>
      <c r="M100" s="302"/>
      <c r="N100" s="301"/>
      <c r="O100" s="301"/>
      <c r="P100" s="301"/>
      <c r="Q100" s="303"/>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c r="AQ100" s="301"/>
      <c r="AR100" s="301"/>
      <c r="AS100" s="301"/>
      <c r="AT100" s="301"/>
      <c r="AU100" s="301"/>
      <c r="AV100" s="301"/>
      <c r="AW100" s="301"/>
      <c r="AX100" s="301"/>
      <c r="AY100" s="301"/>
      <c r="AZ100" s="301"/>
      <c r="BA100" s="301"/>
      <c r="BB100" s="301"/>
      <c r="BC100" s="301"/>
      <c r="BD100" s="301"/>
      <c r="BE100" s="301"/>
      <c r="BF100" s="301"/>
      <c r="BG100" s="301"/>
      <c r="BH100" s="301"/>
      <c r="BI100" s="301"/>
      <c r="BJ100" s="301"/>
      <c r="BK100" s="301"/>
      <c r="BL100" s="301"/>
      <c r="BM100" s="301"/>
      <c r="BN100" s="301"/>
      <c r="BO100" s="301"/>
      <c r="BP100" s="301"/>
      <c r="BQ100" s="301"/>
      <c r="BR100" s="301"/>
      <c r="BS100" s="301"/>
      <c r="BT100" s="301"/>
      <c r="BU100" s="301"/>
      <c r="BV100" s="301"/>
      <c r="BW100" s="301"/>
      <c r="BX100" s="301"/>
      <c r="BY100" s="301"/>
      <c r="BZ100" s="301"/>
      <c r="CA100" s="301"/>
      <c r="CB100" s="301"/>
      <c r="CC100" s="301"/>
      <c r="CD100" s="301"/>
      <c r="CE100" s="301"/>
      <c r="CF100" s="301"/>
      <c r="CG100" s="301"/>
      <c r="CH100" s="301"/>
      <c r="CI100" s="301"/>
      <c r="CJ100" s="301"/>
      <c r="CK100" s="301"/>
      <c r="CL100" s="301"/>
      <c r="CM100" s="301"/>
      <c r="CN100" s="301"/>
      <c r="CO100" s="301"/>
      <c r="CP100" s="301"/>
      <c r="CQ100" s="301"/>
      <c r="CR100" s="301"/>
      <c r="CS100" s="301"/>
      <c r="CT100" s="301"/>
      <c r="CU100" s="301"/>
      <c r="CV100" s="301"/>
      <c r="CW100" s="301"/>
      <c r="CX100" s="301"/>
      <c r="CY100" s="301"/>
      <c r="CZ100" s="301"/>
      <c r="DA100" s="301"/>
      <c r="DB100" s="301"/>
      <c r="DC100" s="301"/>
      <c r="DD100" s="301"/>
      <c r="DE100" s="301"/>
      <c r="DF100" s="301"/>
      <c r="DG100" s="301"/>
      <c r="DH100" s="301"/>
      <c r="DI100" s="301"/>
      <c r="DJ100" s="301"/>
      <c r="DK100" s="301"/>
      <c r="DL100" s="301"/>
      <c r="DM100" s="301"/>
      <c r="DN100" s="301"/>
      <c r="DO100" s="301"/>
      <c r="DP100" s="301"/>
      <c r="DQ100" s="301"/>
      <c r="DR100" s="301"/>
      <c r="DS100" s="301"/>
      <c r="DT100" s="301"/>
      <c r="DU100" s="301"/>
      <c r="DV100" s="301"/>
      <c r="DW100" s="301"/>
      <c r="DX100" s="301"/>
      <c r="DY100" s="301"/>
      <c r="DZ100" s="301"/>
      <c r="EA100" s="301"/>
      <c r="EB100" s="301"/>
      <c r="EC100" s="301"/>
      <c r="ED100" s="301"/>
      <c r="EE100" s="301"/>
      <c r="EF100" s="301"/>
      <c r="EG100" s="301"/>
      <c r="EH100" s="301"/>
      <c r="EI100" s="301"/>
      <c r="EJ100" s="301"/>
      <c r="EK100" s="301"/>
      <c r="EL100" s="301"/>
      <c r="EM100" s="301"/>
      <c r="EN100" s="301"/>
      <c r="EO100" s="301"/>
      <c r="EP100" s="304"/>
      <c r="EQ100" s="301"/>
      <c r="ER100" s="301"/>
      <c r="ES100" s="301"/>
      <c r="ET100" s="301"/>
      <c r="EU100" s="301"/>
      <c r="EV100" s="301"/>
      <c r="EW100" s="301"/>
      <c r="EX100" s="301"/>
      <c r="EY100" s="301"/>
      <c r="EZ100" s="301"/>
      <c r="FA100" s="301"/>
      <c r="FB100" s="301"/>
      <c r="FC100" s="301"/>
      <c r="FD100" s="301"/>
      <c r="FE100" s="301"/>
      <c r="FF100" s="301"/>
      <c r="FG100" s="304"/>
      <c r="FH100" s="304"/>
      <c r="FI100" s="304"/>
      <c r="FJ100" s="301"/>
      <c r="FK100" s="304"/>
      <c r="FL100" s="301"/>
      <c r="FM100" s="301"/>
      <c r="FN100" s="301"/>
      <c r="FO100" s="301"/>
      <c r="FP100" s="301"/>
      <c r="FQ100" s="301"/>
      <c r="FR100" s="301"/>
      <c r="FS100" s="301"/>
      <c r="FT100" s="301"/>
      <c r="FU100" s="301"/>
      <c r="FV100" s="301"/>
      <c r="FW100" s="301"/>
      <c r="FX100" s="301"/>
      <c r="FY100" s="301"/>
      <c r="FZ100" s="301"/>
      <c r="GA100" s="301"/>
      <c r="GB100" s="301"/>
      <c r="GC100" s="301"/>
      <c r="GD100" s="301"/>
      <c r="GE100" s="301"/>
      <c r="GF100" s="301"/>
      <c r="GG100" s="301"/>
      <c r="GH100" s="301"/>
      <c r="GI100" s="301"/>
      <c r="GJ100" s="301"/>
      <c r="GK100" s="301"/>
      <c r="GL100" s="301"/>
      <c r="GM100" s="301"/>
      <c r="GN100" s="301"/>
      <c r="GO100" s="301"/>
      <c r="GP100" s="301"/>
      <c r="GQ100" s="301"/>
      <c r="GR100" s="301"/>
      <c r="GS100" s="301"/>
      <c r="GT100" s="301"/>
      <c r="GU100" s="160" t="s">
        <v>3886</v>
      </c>
      <c r="GV100" s="169"/>
      <c r="GW100" s="169"/>
      <c r="GX100" s="169"/>
      <c r="GY100" s="169"/>
      <c r="GZ100" s="169"/>
      <c r="HA100" s="169"/>
      <c r="HB100" s="169"/>
      <c r="HC100" s="169"/>
      <c r="HD100" s="169"/>
      <c r="HE100" s="169"/>
      <c r="HF100" s="169"/>
      <c r="HG100" s="169"/>
      <c r="HH100" s="169"/>
      <c r="HI100" s="169"/>
      <c r="HJ100" s="169"/>
      <c r="HK100" s="169"/>
      <c r="HL100" s="169"/>
      <c r="HM100" s="169"/>
      <c r="HN100" s="169"/>
      <c r="HO100" s="169"/>
      <c r="HP100" s="169"/>
      <c r="HQ100" s="169"/>
      <c r="HR100" s="169"/>
      <c r="HS100" s="169"/>
      <c r="HT100" s="169"/>
      <c r="HU100" s="169"/>
      <c r="HV100" s="169"/>
      <c r="HW100" s="169"/>
      <c r="HX100" s="169"/>
      <c r="HY100" s="169"/>
      <c r="HZ100" s="169"/>
      <c r="IA100" s="169"/>
      <c r="IB100" s="169"/>
      <c r="IC100" s="169"/>
      <c r="ID100" s="169"/>
      <c r="IE100" s="169"/>
      <c r="IF100" s="169"/>
      <c r="IG100" s="169"/>
      <c r="IH100" s="169"/>
      <c r="II100" s="169"/>
      <c r="IJ100" s="169"/>
      <c r="IK100" s="169"/>
      <c r="IL100" s="169"/>
      <c r="IM100" s="169"/>
      <c r="IN100" s="169"/>
      <c r="IO100" s="169"/>
      <c r="IP100" s="169"/>
      <c r="IQ100" s="169"/>
      <c r="IR100" s="169"/>
      <c r="IS100" s="169"/>
      <c r="IT100" s="169"/>
      <c r="IU100" s="169"/>
      <c r="IV100" s="169"/>
    </row>
    <row r="101" spans="1:256" s="305" customFormat="1" ht="13.8" hidden="1">
      <c r="A101" s="297"/>
      <c r="B101" s="298"/>
      <c r="C101" s="306"/>
      <c r="D101" s="298"/>
      <c r="E101" s="298"/>
      <c r="F101" s="298"/>
      <c r="G101" s="298"/>
      <c r="H101" s="298"/>
      <c r="I101" s="298"/>
      <c r="J101" s="299"/>
      <c r="K101" s="300"/>
      <c r="L101" s="301"/>
      <c r="M101" s="302"/>
      <c r="N101" s="307"/>
      <c r="O101" s="307"/>
      <c r="P101" s="307"/>
      <c r="Q101" s="303"/>
      <c r="R101" s="307"/>
      <c r="S101" s="307"/>
      <c r="T101" s="307"/>
      <c r="U101" s="307"/>
      <c r="V101" s="307"/>
      <c r="W101" s="307"/>
      <c r="X101" s="307"/>
      <c r="Y101" s="307"/>
      <c r="Z101" s="307"/>
      <c r="AA101" s="307"/>
      <c r="AB101" s="307"/>
      <c r="AC101" s="307"/>
      <c r="AD101" s="307"/>
      <c r="AE101" s="307"/>
      <c r="AF101" s="307"/>
      <c r="AG101" s="307"/>
      <c r="AH101" s="307"/>
      <c r="AI101" s="307"/>
      <c r="AJ101" s="307"/>
      <c r="AK101" s="307"/>
      <c r="AL101" s="307"/>
      <c r="AM101" s="307"/>
      <c r="AN101" s="307"/>
      <c r="AO101" s="307"/>
      <c r="AP101" s="307"/>
      <c r="AQ101" s="307"/>
      <c r="AR101" s="307"/>
      <c r="AS101" s="307"/>
      <c r="AT101" s="307"/>
      <c r="AU101" s="307"/>
      <c r="AV101" s="307"/>
      <c r="AW101" s="307"/>
      <c r="AX101" s="307"/>
      <c r="AY101" s="307"/>
      <c r="AZ101" s="307"/>
      <c r="BA101" s="307"/>
      <c r="BB101" s="307"/>
      <c r="BC101" s="307"/>
      <c r="BD101" s="307"/>
      <c r="BE101" s="307"/>
      <c r="BF101" s="307"/>
      <c r="BG101" s="307"/>
      <c r="BH101" s="307"/>
      <c r="BI101" s="307"/>
      <c r="BJ101" s="307"/>
      <c r="BK101" s="307"/>
      <c r="BL101" s="307"/>
      <c r="BM101" s="307"/>
      <c r="BN101" s="307"/>
      <c r="BO101" s="307"/>
      <c r="BP101" s="307"/>
      <c r="BQ101" s="307"/>
      <c r="BR101" s="307"/>
      <c r="BS101" s="307"/>
      <c r="BT101" s="307"/>
      <c r="BU101" s="307"/>
      <c r="BV101" s="307"/>
      <c r="BW101" s="307"/>
      <c r="BX101" s="307"/>
      <c r="BY101" s="307"/>
      <c r="BZ101" s="307"/>
      <c r="CA101" s="307"/>
      <c r="CB101" s="307"/>
      <c r="CC101" s="307"/>
      <c r="CD101" s="307"/>
      <c r="CE101" s="307"/>
      <c r="CF101" s="307"/>
      <c r="CG101" s="307"/>
      <c r="CH101" s="307"/>
      <c r="CI101" s="307"/>
      <c r="CJ101" s="307"/>
      <c r="CK101" s="307"/>
      <c r="CL101" s="307"/>
      <c r="CM101" s="307"/>
      <c r="CN101" s="307"/>
      <c r="CO101" s="307"/>
      <c r="CP101" s="307"/>
      <c r="CQ101" s="307"/>
      <c r="CR101" s="307"/>
      <c r="CS101" s="307"/>
      <c r="CT101" s="307"/>
      <c r="CU101" s="307"/>
      <c r="CV101" s="307"/>
      <c r="CW101" s="307"/>
      <c r="CX101" s="307"/>
      <c r="CY101" s="307"/>
      <c r="CZ101" s="307"/>
      <c r="DA101" s="307"/>
      <c r="DB101" s="307"/>
      <c r="DC101" s="307"/>
      <c r="DD101" s="307"/>
      <c r="DE101" s="307"/>
      <c r="DF101" s="307"/>
      <c r="DG101" s="307"/>
      <c r="DH101" s="307"/>
      <c r="DI101" s="307"/>
      <c r="DJ101" s="307"/>
      <c r="DK101" s="307"/>
      <c r="DL101" s="307"/>
      <c r="DM101" s="307"/>
      <c r="DN101" s="307"/>
      <c r="DO101" s="307"/>
      <c r="DP101" s="307"/>
      <c r="DQ101" s="307"/>
      <c r="DR101" s="307"/>
      <c r="DS101" s="307"/>
      <c r="DT101" s="307"/>
      <c r="DU101" s="307"/>
      <c r="DV101" s="307"/>
      <c r="DW101" s="307"/>
      <c r="DX101" s="307"/>
      <c r="DY101" s="307"/>
      <c r="DZ101" s="307"/>
      <c r="EA101" s="307"/>
      <c r="EB101" s="307"/>
      <c r="EC101" s="307"/>
      <c r="ED101" s="307"/>
      <c r="EE101" s="307"/>
      <c r="EF101" s="307"/>
      <c r="EG101" s="307"/>
      <c r="EH101" s="307"/>
      <c r="EI101" s="307"/>
      <c r="EJ101" s="307"/>
      <c r="EK101" s="307"/>
      <c r="EL101" s="307"/>
      <c r="EM101" s="307"/>
      <c r="EN101" s="307"/>
      <c r="EO101" s="307"/>
      <c r="EP101" s="304"/>
      <c r="EQ101" s="307"/>
      <c r="ER101" s="307"/>
      <c r="ES101" s="307"/>
      <c r="ET101" s="307"/>
      <c r="EU101" s="307"/>
      <c r="EV101" s="307"/>
      <c r="EW101" s="307"/>
      <c r="EX101" s="307"/>
      <c r="EY101" s="307"/>
      <c r="EZ101" s="307"/>
      <c r="FA101" s="307"/>
      <c r="FB101" s="307"/>
      <c r="FC101" s="307"/>
      <c r="FD101" s="307"/>
      <c r="FE101" s="307"/>
      <c r="FF101" s="307"/>
      <c r="FG101" s="304"/>
      <c r="FH101" s="304"/>
      <c r="FI101" s="304"/>
      <c r="FJ101" s="307"/>
      <c r="FK101" s="304"/>
      <c r="FL101" s="307"/>
      <c r="FM101" s="307"/>
      <c r="FN101" s="307"/>
      <c r="FO101" s="307"/>
      <c r="FP101" s="307"/>
      <c r="FQ101" s="307"/>
      <c r="FR101" s="307"/>
      <c r="FS101" s="307"/>
      <c r="FT101" s="307"/>
      <c r="FU101" s="307"/>
      <c r="FV101" s="307"/>
      <c r="FW101" s="307"/>
      <c r="FX101" s="307"/>
      <c r="FY101" s="307"/>
      <c r="FZ101" s="307"/>
      <c r="GA101" s="307"/>
      <c r="GB101" s="307"/>
      <c r="GC101" s="307"/>
      <c r="GD101" s="307"/>
      <c r="GE101" s="307"/>
      <c r="GF101" s="307"/>
      <c r="GG101" s="307"/>
      <c r="GH101" s="307"/>
      <c r="GI101" s="307"/>
      <c r="GJ101" s="307"/>
      <c r="GK101" s="307"/>
      <c r="GL101" s="307"/>
      <c r="GM101" s="307"/>
      <c r="GN101" s="307"/>
      <c r="GO101" s="307"/>
      <c r="GP101" s="307"/>
      <c r="GQ101" s="307"/>
      <c r="GR101" s="307"/>
      <c r="GS101" s="307"/>
      <c r="GT101" s="307"/>
      <c r="GU101" s="160" t="s">
        <v>3886</v>
      </c>
      <c r="GV101" s="169"/>
      <c r="GW101" s="169"/>
      <c r="GX101" s="169"/>
      <c r="GY101" s="169"/>
      <c r="GZ101" s="169"/>
      <c r="HA101" s="169"/>
      <c r="HB101" s="169"/>
      <c r="HC101" s="169"/>
      <c r="HD101" s="169"/>
      <c r="HE101" s="169"/>
      <c r="HF101" s="169"/>
      <c r="HG101" s="169"/>
      <c r="HH101" s="169"/>
      <c r="HI101" s="169"/>
      <c r="HJ101" s="169"/>
      <c r="HK101" s="169"/>
      <c r="HL101" s="169"/>
      <c r="HM101" s="169"/>
      <c r="HN101" s="169"/>
      <c r="HO101" s="169"/>
      <c r="HP101" s="169"/>
      <c r="HQ101" s="169"/>
      <c r="HR101" s="169"/>
      <c r="HS101" s="169"/>
      <c r="HT101" s="169"/>
      <c r="HU101" s="169"/>
      <c r="HV101" s="169"/>
      <c r="HW101" s="169"/>
      <c r="HX101" s="169"/>
      <c r="HY101" s="169"/>
      <c r="HZ101" s="169"/>
      <c r="IA101" s="169"/>
      <c r="IB101" s="169"/>
      <c r="IC101" s="169"/>
      <c r="ID101" s="169"/>
      <c r="IE101" s="169"/>
      <c r="IF101" s="169"/>
      <c r="IG101" s="169"/>
      <c r="IH101" s="169"/>
      <c r="II101" s="169"/>
      <c r="IJ101" s="169"/>
      <c r="IK101" s="169"/>
      <c r="IL101" s="169"/>
      <c r="IM101" s="169"/>
      <c r="IN101" s="169"/>
      <c r="IO101" s="169"/>
      <c r="IP101" s="169"/>
      <c r="IQ101" s="169"/>
      <c r="IR101" s="169"/>
      <c r="IS101" s="169"/>
      <c r="IT101" s="169"/>
      <c r="IU101" s="169"/>
      <c r="IV101" s="169"/>
    </row>
    <row r="102" spans="1:256" ht="13.8" hidden="1">
      <c r="A102" s="308"/>
      <c r="B102" s="197"/>
      <c r="C102" s="309"/>
      <c r="D102" s="197"/>
      <c r="E102" s="197"/>
      <c r="F102" s="197"/>
      <c r="G102" s="197"/>
      <c r="H102" s="197"/>
      <c r="I102" s="197"/>
      <c r="J102" s="198"/>
      <c r="K102" s="199"/>
      <c r="L102" s="200"/>
      <c r="M102" s="302"/>
      <c r="N102" s="200"/>
      <c r="O102" s="200"/>
      <c r="P102" s="200"/>
      <c r="Q102" s="310"/>
      <c r="R102" s="200"/>
      <c r="S102" s="200"/>
      <c r="T102" s="200"/>
      <c r="U102" s="200"/>
      <c r="V102" s="200"/>
      <c r="W102" s="200"/>
      <c r="X102" s="200"/>
      <c r="Y102" s="200"/>
      <c r="Z102" s="200"/>
      <c r="AA102" s="200"/>
      <c r="AB102" s="200"/>
      <c r="AC102" s="200"/>
      <c r="AD102" s="200"/>
      <c r="AE102" s="200"/>
      <c r="AF102" s="200"/>
      <c r="AG102" s="200"/>
      <c r="AH102" s="200"/>
      <c r="AI102" s="200"/>
      <c r="AJ102" s="200"/>
      <c r="AK102" s="200"/>
      <c r="AL102" s="200"/>
      <c r="AM102" s="200"/>
      <c r="AN102" s="200"/>
      <c r="AO102" s="200"/>
      <c r="AP102" s="200"/>
      <c r="AQ102" s="200"/>
      <c r="AR102" s="200"/>
      <c r="AS102" s="200"/>
      <c r="AT102" s="200"/>
      <c r="AU102" s="200"/>
      <c r="AV102" s="200"/>
      <c r="AW102" s="200"/>
      <c r="AX102" s="200"/>
      <c r="AY102" s="200"/>
      <c r="AZ102" s="200"/>
      <c r="BA102" s="200"/>
      <c r="BB102" s="200"/>
      <c r="BC102" s="200"/>
      <c r="BD102" s="200"/>
      <c r="BE102" s="200"/>
      <c r="BF102" s="200"/>
      <c r="BG102" s="200"/>
      <c r="BH102" s="200"/>
      <c r="BI102" s="200"/>
      <c r="BJ102" s="200"/>
      <c r="BK102" s="200"/>
      <c r="BL102" s="200"/>
      <c r="BM102" s="200"/>
      <c r="BN102" s="200"/>
      <c r="BO102" s="200"/>
      <c r="BP102" s="200"/>
      <c r="BQ102" s="200"/>
      <c r="BR102" s="200"/>
      <c r="BS102" s="200"/>
      <c r="BT102" s="200"/>
      <c r="BU102" s="200"/>
      <c r="BV102" s="200"/>
      <c r="BW102" s="200"/>
      <c r="BX102" s="200"/>
      <c r="BY102" s="200"/>
      <c r="BZ102" s="200"/>
      <c r="CA102" s="200"/>
      <c r="CB102" s="200"/>
      <c r="CC102" s="200"/>
      <c r="CD102" s="200"/>
      <c r="CE102" s="200"/>
      <c r="CF102" s="200"/>
      <c r="CG102" s="200"/>
      <c r="CH102" s="200"/>
      <c r="CI102" s="200"/>
      <c r="CJ102" s="200"/>
      <c r="CK102" s="200"/>
      <c r="CL102" s="200"/>
      <c r="CM102" s="200"/>
      <c r="CN102" s="200"/>
      <c r="CO102" s="200"/>
      <c r="CP102" s="200"/>
      <c r="CQ102" s="200"/>
      <c r="CR102" s="200"/>
      <c r="CS102" s="200"/>
      <c r="CT102" s="200"/>
      <c r="CU102" s="200"/>
      <c r="CV102" s="200"/>
      <c r="CW102" s="200"/>
      <c r="CX102" s="200"/>
      <c r="CY102" s="200"/>
      <c r="CZ102" s="200"/>
      <c r="DA102" s="200"/>
      <c r="DB102" s="200"/>
      <c r="DC102" s="200"/>
      <c r="DD102" s="200"/>
      <c r="DE102" s="200"/>
      <c r="DF102" s="200"/>
      <c r="DG102" s="200"/>
      <c r="DH102" s="200"/>
      <c r="DI102" s="200"/>
      <c r="DJ102" s="200"/>
      <c r="DK102" s="200"/>
      <c r="DL102" s="200"/>
      <c r="DM102" s="200"/>
      <c r="DN102" s="200"/>
      <c r="DO102" s="200"/>
      <c r="DP102" s="200"/>
      <c r="DQ102" s="200"/>
      <c r="DR102" s="200"/>
      <c r="DS102" s="200"/>
      <c r="DT102" s="200"/>
      <c r="DU102" s="200"/>
      <c r="DV102" s="200"/>
      <c r="DW102" s="200"/>
      <c r="DX102" s="200"/>
      <c r="DY102" s="200"/>
      <c r="DZ102" s="200"/>
      <c r="EA102" s="200"/>
      <c r="EB102" s="200"/>
      <c r="EC102" s="200"/>
      <c r="ED102" s="200"/>
      <c r="EE102" s="200"/>
      <c r="EF102" s="200"/>
      <c r="EG102" s="200"/>
      <c r="EH102" s="200"/>
      <c r="EI102" s="200"/>
      <c r="EJ102" s="200"/>
      <c r="EK102" s="200"/>
      <c r="EL102" s="200"/>
      <c r="EM102" s="200"/>
      <c r="EN102" s="200"/>
      <c r="EO102" s="200"/>
      <c r="EP102" s="311"/>
      <c r="EQ102" s="200"/>
      <c r="ER102" s="200"/>
      <c r="ES102" s="200"/>
      <c r="ET102" s="200"/>
      <c r="EU102" s="200"/>
      <c r="EV102" s="200"/>
      <c r="EW102" s="200"/>
      <c r="EX102" s="200"/>
      <c r="EY102" s="200"/>
      <c r="EZ102" s="200"/>
      <c r="FA102" s="200"/>
      <c r="FB102" s="200"/>
      <c r="FC102" s="200"/>
      <c r="FD102" s="200"/>
      <c r="FE102" s="200"/>
      <c r="FF102" s="200"/>
      <c r="FG102" s="311"/>
      <c r="FH102" s="311"/>
      <c r="FI102" s="311"/>
      <c r="FJ102" s="200"/>
      <c r="FK102" s="311"/>
      <c r="FL102" s="200"/>
      <c r="FM102" s="200"/>
      <c r="FN102" s="200"/>
      <c r="FO102" s="200"/>
      <c r="FP102" s="200"/>
      <c r="FQ102" s="200"/>
      <c r="FR102" s="200"/>
      <c r="FS102" s="200"/>
      <c r="FT102" s="200"/>
      <c r="FU102" s="200"/>
      <c r="FV102" s="200"/>
      <c r="FW102" s="200"/>
      <c r="FX102" s="200"/>
      <c r="FY102" s="200"/>
      <c r="FZ102" s="200"/>
      <c r="GA102" s="200"/>
      <c r="GB102" s="200"/>
      <c r="GC102" s="200"/>
      <c r="GD102" s="200"/>
      <c r="GE102" s="200"/>
      <c r="GF102" s="200"/>
      <c r="GG102" s="200"/>
      <c r="GH102" s="200"/>
      <c r="GI102" s="200"/>
      <c r="GJ102" s="200"/>
      <c r="GK102" s="200"/>
      <c r="GL102" s="200"/>
      <c r="GM102" s="200"/>
      <c r="GN102" s="200"/>
      <c r="GO102" s="200"/>
      <c r="GP102" s="200"/>
      <c r="GQ102" s="200"/>
      <c r="GR102" s="200"/>
      <c r="GS102" s="200"/>
      <c r="GT102" s="200"/>
      <c r="GU102" s="312"/>
    </row>
    <row r="103" spans="1:256" s="305" customFormat="1" ht="13.8" hidden="1">
      <c r="A103" s="297"/>
      <c r="B103" s="298"/>
      <c r="C103" s="306"/>
      <c r="D103" s="298"/>
      <c r="E103" s="298"/>
      <c r="F103" s="298"/>
      <c r="G103" s="298"/>
      <c r="H103" s="298"/>
      <c r="I103" s="298"/>
      <c r="J103" s="299"/>
      <c r="K103" s="300"/>
      <c r="L103" s="301"/>
      <c r="M103" s="302"/>
      <c r="N103" s="307"/>
      <c r="O103" s="307"/>
      <c r="P103" s="307"/>
      <c r="Q103" s="303"/>
      <c r="R103" s="307"/>
      <c r="S103" s="307"/>
      <c r="T103" s="307"/>
      <c r="U103" s="307"/>
      <c r="V103" s="307"/>
      <c r="W103" s="307"/>
      <c r="X103" s="307"/>
      <c r="Y103" s="307"/>
      <c r="Z103" s="307"/>
      <c r="AA103" s="307"/>
      <c r="AB103" s="307"/>
      <c r="AC103" s="307"/>
      <c r="AD103" s="307"/>
      <c r="AE103" s="307"/>
      <c r="AF103" s="307"/>
      <c r="AG103" s="307"/>
      <c r="AH103" s="307"/>
      <c r="AI103" s="307"/>
      <c r="AJ103" s="307"/>
      <c r="AK103" s="307"/>
      <c r="AL103" s="307"/>
      <c r="AM103" s="307"/>
      <c r="AN103" s="307"/>
      <c r="AO103" s="307"/>
      <c r="AP103" s="307"/>
      <c r="AQ103" s="307"/>
      <c r="AR103" s="307"/>
      <c r="AS103" s="307"/>
      <c r="AT103" s="307"/>
      <c r="AU103" s="307"/>
      <c r="AV103" s="307"/>
      <c r="AW103" s="307"/>
      <c r="AX103" s="307"/>
      <c r="AY103" s="307"/>
      <c r="AZ103" s="307"/>
      <c r="BA103" s="307"/>
      <c r="BB103" s="307"/>
      <c r="BC103" s="307"/>
      <c r="BD103" s="307"/>
      <c r="BE103" s="307"/>
      <c r="BF103" s="307"/>
      <c r="BG103" s="307"/>
      <c r="BH103" s="307"/>
      <c r="BI103" s="307"/>
      <c r="BJ103" s="307"/>
      <c r="BK103" s="307"/>
      <c r="BL103" s="307"/>
      <c r="BM103" s="307"/>
      <c r="BN103" s="307"/>
      <c r="BO103" s="307"/>
      <c r="BP103" s="307"/>
      <c r="BQ103" s="307"/>
      <c r="BR103" s="307"/>
      <c r="BS103" s="307"/>
      <c r="BT103" s="307"/>
      <c r="BU103" s="307"/>
      <c r="BV103" s="307"/>
      <c r="BW103" s="307"/>
      <c r="BX103" s="307"/>
      <c r="BY103" s="307"/>
      <c r="BZ103" s="307"/>
      <c r="CA103" s="307"/>
      <c r="CB103" s="307"/>
      <c r="CC103" s="307"/>
      <c r="CD103" s="307"/>
      <c r="CE103" s="307"/>
      <c r="CF103" s="307"/>
      <c r="CG103" s="307"/>
      <c r="CH103" s="307"/>
      <c r="CI103" s="307"/>
      <c r="CJ103" s="307"/>
      <c r="CK103" s="307"/>
      <c r="CL103" s="307"/>
      <c r="CM103" s="307"/>
      <c r="CN103" s="307"/>
      <c r="CO103" s="307"/>
      <c r="CP103" s="307"/>
      <c r="CQ103" s="307"/>
      <c r="CR103" s="307"/>
      <c r="CS103" s="307"/>
      <c r="CT103" s="307"/>
      <c r="CU103" s="307"/>
      <c r="CV103" s="307"/>
      <c r="CW103" s="307"/>
      <c r="CX103" s="307"/>
      <c r="CY103" s="307"/>
      <c r="CZ103" s="307"/>
      <c r="DA103" s="307"/>
      <c r="DB103" s="307"/>
      <c r="DC103" s="307"/>
      <c r="DD103" s="307"/>
      <c r="DE103" s="307"/>
      <c r="DF103" s="307"/>
      <c r="DG103" s="307"/>
      <c r="DH103" s="307"/>
      <c r="DI103" s="307"/>
      <c r="DJ103" s="307"/>
      <c r="DK103" s="307"/>
      <c r="DL103" s="307"/>
      <c r="DM103" s="307"/>
      <c r="DN103" s="307"/>
      <c r="DO103" s="307"/>
      <c r="DP103" s="307"/>
      <c r="DQ103" s="307"/>
      <c r="DR103" s="307"/>
      <c r="DS103" s="307"/>
      <c r="DT103" s="307"/>
      <c r="DU103" s="307"/>
      <c r="DV103" s="307"/>
      <c r="DW103" s="307"/>
      <c r="DX103" s="307"/>
      <c r="DY103" s="307"/>
      <c r="DZ103" s="307"/>
      <c r="EA103" s="307"/>
      <c r="EB103" s="307"/>
      <c r="EC103" s="307"/>
      <c r="ED103" s="307"/>
      <c r="EE103" s="307"/>
      <c r="EF103" s="307"/>
      <c r="EG103" s="307"/>
      <c r="EH103" s="307"/>
      <c r="EI103" s="307"/>
      <c r="EJ103" s="307"/>
      <c r="EK103" s="307"/>
      <c r="EL103" s="307"/>
      <c r="EM103" s="307"/>
      <c r="EN103" s="307"/>
      <c r="EO103" s="307"/>
      <c r="EP103" s="304"/>
      <c r="EQ103" s="307"/>
      <c r="ER103" s="307"/>
      <c r="ES103" s="307"/>
      <c r="ET103" s="307"/>
      <c r="EU103" s="307"/>
      <c r="EV103" s="307"/>
      <c r="EW103" s="307"/>
      <c r="EX103" s="307"/>
      <c r="EY103" s="307"/>
      <c r="EZ103" s="307"/>
      <c r="FA103" s="307"/>
      <c r="FB103" s="307"/>
      <c r="FC103" s="307"/>
      <c r="FD103" s="307"/>
      <c r="FE103" s="307"/>
      <c r="FF103" s="307"/>
      <c r="FG103" s="304"/>
      <c r="FH103" s="304"/>
      <c r="FI103" s="304"/>
      <c r="FJ103" s="307"/>
      <c r="FK103" s="304"/>
      <c r="FL103" s="307"/>
      <c r="FM103" s="307"/>
      <c r="FN103" s="307"/>
      <c r="FO103" s="307"/>
      <c r="FP103" s="307"/>
      <c r="FQ103" s="307"/>
      <c r="FR103" s="307"/>
      <c r="FS103" s="307"/>
      <c r="FT103" s="307"/>
      <c r="FU103" s="307"/>
      <c r="FV103" s="307"/>
      <c r="FW103" s="307"/>
      <c r="FX103" s="307"/>
      <c r="FY103" s="307"/>
      <c r="FZ103" s="307"/>
      <c r="GA103" s="307"/>
      <c r="GB103" s="307"/>
      <c r="GC103" s="307"/>
      <c r="GD103" s="307"/>
      <c r="GE103" s="307"/>
      <c r="GF103" s="307"/>
      <c r="GG103" s="307"/>
      <c r="GH103" s="307"/>
      <c r="GI103" s="307"/>
      <c r="GJ103" s="307"/>
      <c r="GK103" s="307"/>
      <c r="GL103" s="307"/>
      <c r="GM103" s="307"/>
      <c r="GN103" s="307"/>
      <c r="GO103" s="307"/>
      <c r="GP103" s="307"/>
      <c r="GQ103" s="307"/>
      <c r="GR103" s="307"/>
      <c r="GS103" s="307"/>
      <c r="GT103" s="307"/>
      <c r="GU103" s="160" t="s">
        <v>3886</v>
      </c>
      <c r="GV103" s="169"/>
      <c r="GW103" s="169"/>
      <c r="GX103" s="169"/>
      <c r="GY103" s="169"/>
      <c r="GZ103" s="169"/>
      <c r="HA103" s="169"/>
      <c r="HB103" s="169"/>
      <c r="HC103" s="169"/>
      <c r="HD103" s="169"/>
      <c r="HE103" s="169"/>
      <c r="HF103" s="169"/>
      <c r="HG103" s="169"/>
      <c r="HH103" s="169"/>
      <c r="HI103" s="169"/>
      <c r="HJ103" s="169"/>
      <c r="HK103" s="169"/>
      <c r="HL103" s="169"/>
      <c r="HM103" s="169"/>
      <c r="HN103" s="169"/>
      <c r="HO103" s="169"/>
      <c r="HP103" s="169"/>
      <c r="HQ103" s="169"/>
      <c r="HR103" s="169"/>
      <c r="HS103" s="169"/>
      <c r="HT103" s="169"/>
      <c r="HU103" s="169"/>
      <c r="HV103" s="169"/>
      <c r="HW103" s="169"/>
      <c r="HX103" s="169"/>
      <c r="HY103" s="169"/>
      <c r="HZ103" s="169"/>
      <c r="IA103" s="169"/>
      <c r="IB103" s="169"/>
      <c r="IC103" s="169"/>
      <c r="ID103" s="169"/>
      <c r="IE103" s="169"/>
      <c r="IF103" s="169"/>
      <c r="IG103" s="169"/>
      <c r="IH103" s="169"/>
      <c r="II103" s="169"/>
      <c r="IJ103" s="169"/>
      <c r="IK103" s="169"/>
      <c r="IL103" s="169"/>
      <c r="IM103" s="169"/>
      <c r="IN103" s="169"/>
      <c r="IO103" s="169"/>
      <c r="IP103" s="169"/>
      <c r="IQ103" s="169"/>
      <c r="IR103" s="169"/>
      <c r="IS103" s="169"/>
      <c r="IT103" s="169"/>
      <c r="IU103" s="169"/>
      <c r="IV103" s="169"/>
    </row>
    <row r="104" spans="1:256" ht="13.8" hidden="1">
      <c r="A104" s="308"/>
      <c r="B104" s="197"/>
      <c r="C104" s="309"/>
      <c r="D104" s="197"/>
      <c r="E104" s="197"/>
      <c r="F104" s="197"/>
      <c r="G104" s="197"/>
      <c r="H104" s="197"/>
      <c r="I104" s="197"/>
      <c r="J104" s="198"/>
      <c r="K104" s="199"/>
      <c r="L104" s="200"/>
      <c r="M104" s="302"/>
      <c r="N104" s="200"/>
      <c r="O104" s="200"/>
      <c r="P104" s="200"/>
      <c r="Q104" s="310"/>
      <c r="R104" s="200"/>
      <c r="S104" s="200"/>
      <c r="T104" s="200"/>
      <c r="U104" s="200"/>
      <c r="V104" s="200"/>
      <c r="W104" s="200"/>
      <c r="X104" s="200"/>
      <c r="Y104" s="200"/>
      <c r="Z104" s="200"/>
      <c r="AA104" s="200"/>
      <c r="AB104" s="200"/>
      <c r="AC104" s="200"/>
      <c r="AD104" s="200"/>
      <c r="AE104" s="200"/>
      <c r="AF104" s="200"/>
      <c r="AG104" s="200"/>
      <c r="AH104" s="200"/>
      <c r="AI104" s="200"/>
      <c r="AJ104" s="200"/>
      <c r="AK104" s="200"/>
      <c r="AL104" s="200"/>
      <c r="AM104" s="200"/>
      <c r="AN104" s="200"/>
      <c r="AO104" s="200"/>
      <c r="AP104" s="200"/>
      <c r="AQ104" s="200"/>
      <c r="AR104" s="200"/>
      <c r="AS104" s="200"/>
      <c r="AT104" s="200"/>
      <c r="AU104" s="200"/>
      <c r="AV104" s="200"/>
      <c r="AW104" s="200"/>
      <c r="AX104" s="200"/>
      <c r="AY104" s="200"/>
      <c r="AZ104" s="200"/>
      <c r="BA104" s="200"/>
      <c r="BB104" s="200"/>
      <c r="BC104" s="200"/>
      <c r="BD104" s="200"/>
      <c r="BE104" s="200"/>
      <c r="BF104" s="200"/>
      <c r="BG104" s="200"/>
      <c r="BH104" s="200"/>
      <c r="BI104" s="200"/>
      <c r="BJ104" s="200"/>
      <c r="BK104" s="200"/>
      <c r="BL104" s="200"/>
      <c r="BM104" s="200"/>
      <c r="BN104" s="200"/>
      <c r="BO104" s="200"/>
      <c r="BP104" s="200"/>
      <c r="BQ104" s="200"/>
      <c r="BR104" s="200"/>
      <c r="BS104" s="200"/>
      <c r="BT104" s="200"/>
      <c r="BU104" s="200"/>
      <c r="BV104" s="200"/>
      <c r="BW104" s="200"/>
      <c r="BX104" s="200"/>
      <c r="BY104" s="200"/>
      <c r="BZ104" s="200"/>
      <c r="CA104" s="200"/>
      <c r="CB104" s="200"/>
      <c r="CC104" s="200"/>
      <c r="CD104" s="200"/>
      <c r="CE104" s="200"/>
      <c r="CF104" s="200"/>
      <c r="CG104" s="200"/>
      <c r="CH104" s="200"/>
      <c r="CI104" s="200"/>
      <c r="CJ104" s="200"/>
      <c r="CK104" s="200"/>
      <c r="CL104" s="200"/>
      <c r="CM104" s="200"/>
      <c r="CN104" s="200"/>
      <c r="CO104" s="200"/>
      <c r="CP104" s="200"/>
      <c r="CQ104" s="200"/>
      <c r="CR104" s="200"/>
      <c r="CS104" s="200"/>
      <c r="CT104" s="200"/>
      <c r="CU104" s="200"/>
      <c r="CV104" s="200"/>
      <c r="CW104" s="200"/>
      <c r="CX104" s="200"/>
      <c r="CY104" s="200"/>
      <c r="CZ104" s="200"/>
      <c r="DA104" s="200"/>
      <c r="DB104" s="200"/>
      <c r="DC104" s="200"/>
      <c r="DD104" s="200"/>
      <c r="DE104" s="200"/>
      <c r="DF104" s="200"/>
      <c r="DG104" s="200"/>
      <c r="DH104" s="200"/>
      <c r="DI104" s="200"/>
      <c r="DJ104" s="200"/>
      <c r="DK104" s="200"/>
      <c r="DL104" s="200"/>
      <c r="DM104" s="200"/>
      <c r="DN104" s="200"/>
      <c r="DO104" s="200"/>
      <c r="DP104" s="200"/>
      <c r="DQ104" s="200"/>
      <c r="DR104" s="200"/>
      <c r="DS104" s="200"/>
      <c r="DT104" s="200"/>
      <c r="DU104" s="200"/>
      <c r="DV104" s="200"/>
      <c r="DW104" s="200"/>
      <c r="DX104" s="200"/>
      <c r="DY104" s="200"/>
      <c r="DZ104" s="200"/>
      <c r="EA104" s="200"/>
      <c r="EB104" s="200"/>
      <c r="EC104" s="200"/>
      <c r="ED104" s="200"/>
      <c r="EE104" s="200"/>
      <c r="EF104" s="200"/>
      <c r="EG104" s="200"/>
      <c r="EH104" s="200"/>
      <c r="EI104" s="200"/>
      <c r="EJ104" s="200"/>
      <c r="EK104" s="200"/>
      <c r="EL104" s="200"/>
      <c r="EM104" s="200"/>
      <c r="EN104" s="200"/>
      <c r="EO104" s="200"/>
      <c r="EP104" s="311"/>
      <c r="EQ104" s="200"/>
      <c r="ER104" s="200"/>
      <c r="ES104" s="200"/>
      <c r="ET104" s="200"/>
      <c r="EU104" s="200"/>
      <c r="EV104" s="200"/>
      <c r="EW104" s="200"/>
      <c r="EX104" s="200"/>
      <c r="EY104" s="200"/>
      <c r="EZ104" s="200"/>
      <c r="FA104" s="200"/>
      <c r="FB104" s="200"/>
      <c r="FC104" s="200"/>
      <c r="FD104" s="200"/>
      <c r="FE104" s="200"/>
      <c r="FF104" s="200"/>
      <c r="FG104" s="311"/>
      <c r="FH104" s="311"/>
      <c r="FI104" s="311"/>
      <c r="FJ104" s="200"/>
      <c r="FK104" s="311"/>
      <c r="FL104" s="200"/>
      <c r="FM104" s="200"/>
      <c r="FN104" s="200"/>
      <c r="FO104" s="200"/>
      <c r="FP104" s="200"/>
      <c r="FQ104" s="200"/>
      <c r="FR104" s="200"/>
      <c r="FS104" s="200"/>
      <c r="FT104" s="200"/>
      <c r="FU104" s="200"/>
      <c r="FV104" s="200"/>
      <c r="FW104" s="200"/>
      <c r="FX104" s="200"/>
      <c r="FY104" s="200"/>
      <c r="FZ104" s="200"/>
      <c r="GA104" s="200"/>
      <c r="GB104" s="200"/>
      <c r="GC104" s="200"/>
      <c r="GD104" s="200"/>
      <c r="GE104" s="200"/>
      <c r="GF104" s="200"/>
      <c r="GG104" s="200"/>
      <c r="GH104" s="200"/>
      <c r="GI104" s="200"/>
      <c r="GJ104" s="200"/>
      <c r="GK104" s="200"/>
      <c r="GL104" s="200"/>
      <c r="GM104" s="200"/>
      <c r="GN104" s="200"/>
      <c r="GO104" s="200"/>
      <c r="GP104" s="200"/>
      <c r="GQ104" s="200"/>
      <c r="GR104" s="200"/>
      <c r="GS104" s="200"/>
      <c r="GT104" s="200"/>
      <c r="GU104" s="312"/>
    </row>
    <row r="105" spans="1:256" s="305" customFormat="1" ht="13.8" hidden="1">
      <c r="A105" s="297"/>
      <c r="B105" s="298"/>
      <c r="C105" s="306"/>
      <c r="D105" s="298"/>
      <c r="E105" s="298"/>
      <c r="F105" s="298"/>
      <c r="G105" s="298"/>
      <c r="H105" s="298"/>
      <c r="I105" s="298"/>
      <c r="J105" s="299"/>
      <c r="K105" s="300"/>
      <c r="L105" s="301"/>
      <c r="M105" s="302"/>
      <c r="N105" s="307"/>
      <c r="O105" s="307"/>
      <c r="P105" s="307"/>
      <c r="Q105" s="303"/>
      <c r="R105" s="307"/>
      <c r="S105" s="307"/>
      <c r="T105" s="307"/>
      <c r="U105" s="307"/>
      <c r="V105" s="307"/>
      <c r="W105" s="307"/>
      <c r="X105" s="307"/>
      <c r="Y105" s="307"/>
      <c r="Z105" s="307"/>
      <c r="AA105" s="307"/>
      <c r="AB105" s="307"/>
      <c r="AC105" s="307"/>
      <c r="AD105" s="307"/>
      <c r="AE105" s="307"/>
      <c r="AF105" s="307"/>
      <c r="AG105" s="307"/>
      <c r="AH105" s="307"/>
      <c r="AI105" s="307"/>
      <c r="AJ105" s="307"/>
      <c r="AK105" s="307"/>
      <c r="AL105" s="307"/>
      <c r="AM105" s="307"/>
      <c r="AN105" s="307"/>
      <c r="AO105" s="307"/>
      <c r="AP105" s="307"/>
      <c r="AQ105" s="307"/>
      <c r="AR105" s="307"/>
      <c r="AS105" s="307"/>
      <c r="AT105" s="307"/>
      <c r="AU105" s="307"/>
      <c r="AV105" s="307"/>
      <c r="AW105" s="307"/>
      <c r="AX105" s="307"/>
      <c r="AY105" s="307"/>
      <c r="AZ105" s="307"/>
      <c r="BA105" s="307"/>
      <c r="BB105" s="307"/>
      <c r="BC105" s="307"/>
      <c r="BD105" s="307"/>
      <c r="BE105" s="307"/>
      <c r="BF105" s="307"/>
      <c r="BG105" s="307"/>
      <c r="BH105" s="307"/>
      <c r="BI105" s="307"/>
      <c r="BJ105" s="307"/>
      <c r="BK105" s="307"/>
      <c r="BL105" s="307"/>
      <c r="BM105" s="307"/>
      <c r="BN105" s="307"/>
      <c r="BO105" s="307"/>
      <c r="BP105" s="307"/>
      <c r="BQ105" s="307"/>
      <c r="BR105" s="307"/>
      <c r="BS105" s="307"/>
      <c r="BT105" s="307"/>
      <c r="BU105" s="307"/>
      <c r="BV105" s="307"/>
      <c r="BW105" s="307"/>
      <c r="BX105" s="307"/>
      <c r="BY105" s="307"/>
      <c r="BZ105" s="307"/>
      <c r="CA105" s="307"/>
      <c r="CB105" s="307"/>
      <c r="CC105" s="307"/>
      <c r="CD105" s="307"/>
      <c r="CE105" s="307"/>
      <c r="CF105" s="307"/>
      <c r="CG105" s="307"/>
      <c r="CH105" s="307"/>
      <c r="CI105" s="307"/>
      <c r="CJ105" s="307"/>
      <c r="CK105" s="307"/>
      <c r="CL105" s="307"/>
      <c r="CM105" s="307"/>
      <c r="CN105" s="307"/>
      <c r="CO105" s="307"/>
      <c r="CP105" s="307"/>
      <c r="CQ105" s="307"/>
      <c r="CR105" s="307"/>
      <c r="CS105" s="307"/>
      <c r="CT105" s="307"/>
      <c r="CU105" s="307"/>
      <c r="CV105" s="307"/>
      <c r="CW105" s="307"/>
      <c r="CX105" s="307"/>
      <c r="CY105" s="307"/>
      <c r="CZ105" s="307"/>
      <c r="DA105" s="307"/>
      <c r="DB105" s="307"/>
      <c r="DC105" s="307"/>
      <c r="DD105" s="307"/>
      <c r="DE105" s="307"/>
      <c r="DF105" s="307"/>
      <c r="DG105" s="307"/>
      <c r="DH105" s="307"/>
      <c r="DI105" s="307"/>
      <c r="DJ105" s="307"/>
      <c r="DK105" s="307"/>
      <c r="DL105" s="307"/>
      <c r="DM105" s="307"/>
      <c r="DN105" s="307"/>
      <c r="DO105" s="307"/>
      <c r="DP105" s="307"/>
      <c r="DQ105" s="307"/>
      <c r="DR105" s="307"/>
      <c r="DS105" s="307"/>
      <c r="DT105" s="307"/>
      <c r="DU105" s="307"/>
      <c r="DV105" s="307"/>
      <c r="DW105" s="307"/>
      <c r="DX105" s="307"/>
      <c r="DY105" s="307"/>
      <c r="DZ105" s="307"/>
      <c r="EA105" s="307"/>
      <c r="EB105" s="307"/>
      <c r="EC105" s="307"/>
      <c r="ED105" s="307"/>
      <c r="EE105" s="307"/>
      <c r="EF105" s="307"/>
      <c r="EG105" s="307"/>
      <c r="EH105" s="307"/>
      <c r="EI105" s="307"/>
      <c r="EJ105" s="307"/>
      <c r="EK105" s="307"/>
      <c r="EL105" s="307"/>
      <c r="EM105" s="307"/>
      <c r="EN105" s="307"/>
      <c r="EO105" s="307"/>
      <c r="EP105" s="304"/>
      <c r="EQ105" s="307"/>
      <c r="ER105" s="307"/>
      <c r="ES105" s="307"/>
      <c r="ET105" s="307"/>
      <c r="EU105" s="307"/>
      <c r="EV105" s="307"/>
      <c r="EW105" s="307"/>
      <c r="EX105" s="307"/>
      <c r="EY105" s="307"/>
      <c r="EZ105" s="307"/>
      <c r="FA105" s="307"/>
      <c r="FB105" s="307"/>
      <c r="FC105" s="307"/>
      <c r="FD105" s="307"/>
      <c r="FE105" s="307"/>
      <c r="FF105" s="307"/>
      <c r="FG105" s="304"/>
      <c r="FH105" s="304"/>
      <c r="FI105" s="304"/>
      <c r="FJ105" s="307"/>
      <c r="FK105" s="304"/>
      <c r="FL105" s="307"/>
      <c r="FM105" s="307"/>
      <c r="FN105" s="307"/>
      <c r="FO105" s="307"/>
      <c r="FP105" s="307"/>
      <c r="FQ105" s="307"/>
      <c r="FR105" s="307"/>
      <c r="FS105" s="307"/>
      <c r="FT105" s="307"/>
      <c r="FU105" s="307"/>
      <c r="FV105" s="307"/>
      <c r="FW105" s="307"/>
      <c r="FX105" s="307"/>
      <c r="FY105" s="307"/>
      <c r="FZ105" s="307"/>
      <c r="GA105" s="307"/>
      <c r="GB105" s="307"/>
      <c r="GC105" s="307"/>
      <c r="GD105" s="307"/>
      <c r="GE105" s="307"/>
      <c r="GF105" s="307"/>
      <c r="GG105" s="307"/>
      <c r="GH105" s="307"/>
      <c r="GI105" s="307"/>
      <c r="GJ105" s="307"/>
      <c r="GK105" s="307"/>
      <c r="GL105" s="307"/>
      <c r="GM105" s="307"/>
      <c r="GN105" s="307"/>
      <c r="GO105" s="307"/>
      <c r="GP105" s="307"/>
      <c r="GQ105" s="307"/>
      <c r="GR105" s="307"/>
      <c r="GS105" s="307"/>
      <c r="GT105" s="307"/>
      <c r="GU105" s="160" t="s">
        <v>3886</v>
      </c>
      <c r="GV105" s="169"/>
      <c r="GW105" s="169"/>
      <c r="GX105" s="169"/>
      <c r="GY105" s="169"/>
      <c r="GZ105" s="169"/>
      <c r="HA105" s="169"/>
      <c r="HB105" s="169"/>
      <c r="HC105" s="169"/>
      <c r="HD105" s="169"/>
      <c r="HE105" s="169"/>
      <c r="HF105" s="169"/>
      <c r="HG105" s="169"/>
      <c r="HH105" s="169"/>
      <c r="HI105" s="169"/>
      <c r="HJ105" s="169"/>
      <c r="HK105" s="169"/>
      <c r="HL105" s="169"/>
      <c r="HM105" s="169"/>
      <c r="HN105" s="169"/>
      <c r="HO105" s="169"/>
      <c r="HP105" s="169"/>
      <c r="HQ105" s="169"/>
      <c r="HR105" s="169"/>
      <c r="HS105" s="169"/>
      <c r="HT105" s="169"/>
      <c r="HU105" s="169"/>
      <c r="HV105" s="169"/>
      <c r="HW105" s="169"/>
      <c r="HX105" s="169"/>
      <c r="HY105" s="169"/>
      <c r="HZ105" s="169"/>
      <c r="IA105" s="169"/>
      <c r="IB105" s="169"/>
      <c r="IC105" s="169"/>
      <c r="ID105" s="169"/>
      <c r="IE105" s="169"/>
      <c r="IF105" s="169"/>
      <c r="IG105" s="169"/>
      <c r="IH105" s="169"/>
      <c r="II105" s="169"/>
      <c r="IJ105" s="169"/>
      <c r="IK105" s="169"/>
      <c r="IL105" s="169"/>
      <c r="IM105" s="169"/>
      <c r="IN105" s="169"/>
      <c r="IO105" s="169"/>
      <c r="IP105" s="169"/>
      <c r="IQ105" s="169"/>
      <c r="IR105" s="169"/>
      <c r="IS105" s="169"/>
      <c r="IT105" s="169"/>
      <c r="IU105" s="169"/>
      <c r="IV105" s="169"/>
    </row>
    <row r="106" spans="1:256" ht="13.8" hidden="1">
      <c r="A106" s="308"/>
      <c r="B106" s="197"/>
      <c r="C106" s="309"/>
      <c r="D106" s="197"/>
      <c r="E106" s="197"/>
      <c r="F106" s="197"/>
      <c r="G106" s="197"/>
      <c r="H106" s="197"/>
      <c r="I106" s="197"/>
      <c r="J106" s="198"/>
      <c r="K106" s="199"/>
      <c r="L106" s="200"/>
      <c r="M106" s="302"/>
      <c r="N106" s="202"/>
      <c r="O106" s="202"/>
      <c r="P106" s="202"/>
      <c r="Q106" s="310"/>
      <c r="R106" s="202"/>
      <c r="S106" s="202"/>
      <c r="T106" s="202"/>
      <c r="U106" s="202"/>
      <c r="V106" s="202"/>
      <c r="W106" s="202"/>
      <c r="X106" s="202"/>
      <c r="Y106" s="202"/>
      <c r="Z106" s="202"/>
      <c r="AA106" s="202"/>
      <c r="AB106" s="202"/>
      <c r="AC106" s="202"/>
      <c r="AD106" s="202"/>
      <c r="AE106" s="202"/>
      <c r="AF106" s="202"/>
      <c r="AG106" s="202"/>
      <c r="AH106" s="202"/>
      <c r="AI106" s="202"/>
      <c r="AJ106" s="202"/>
      <c r="AK106" s="202"/>
      <c r="AL106" s="202"/>
      <c r="AM106" s="202"/>
      <c r="AN106" s="202"/>
      <c r="AO106" s="202"/>
      <c r="AP106" s="202"/>
      <c r="AQ106" s="202"/>
      <c r="AR106" s="202"/>
      <c r="AS106" s="202"/>
      <c r="AT106" s="202"/>
      <c r="AU106" s="202"/>
      <c r="AV106" s="202"/>
      <c r="AW106" s="202"/>
      <c r="AX106" s="202"/>
      <c r="AY106" s="202"/>
      <c r="AZ106" s="202"/>
      <c r="BA106" s="202"/>
      <c r="BB106" s="202"/>
      <c r="BC106" s="202"/>
      <c r="BD106" s="202"/>
      <c r="BE106" s="202"/>
      <c r="BF106" s="202"/>
      <c r="BG106" s="202"/>
      <c r="BH106" s="202"/>
      <c r="BI106" s="202"/>
      <c r="BJ106" s="202"/>
      <c r="BK106" s="202"/>
      <c r="BL106" s="202"/>
      <c r="BM106" s="202"/>
      <c r="BN106" s="202"/>
      <c r="BO106" s="202"/>
      <c r="BP106" s="202"/>
      <c r="BQ106" s="202"/>
      <c r="BR106" s="202"/>
      <c r="BS106" s="202"/>
      <c r="BT106" s="202"/>
      <c r="BU106" s="202"/>
      <c r="BV106" s="202"/>
      <c r="BW106" s="202"/>
      <c r="BX106" s="202"/>
      <c r="BY106" s="202"/>
      <c r="BZ106" s="202"/>
      <c r="CA106" s="202"/>
      <c r="CB106" s="202"/>
      <c r="CC106" s="202"/>
      <c r="CD106" s="202"/>
      <c r="CE106" s="202"/>
      <c r="CF106" s="202"/>
      <c r="CG106" s="202"/>
      <c r="CH106" s="202"/>
      <c r="CI106" s="202"/>
      <c r="CJ106" s="202"/>
      <c r="CK106" s="202"/>
      <c r="CL106" s="202"/>
      <c r="CM106" s="202"/>
      <c r="CN106" s="202"/>
      <c r="CO106" s="202"/>
      <c r="CP106" s="202"/>
      <c r="CQ106" s="202"/>
      <c r="CR106" s="202"/>
      <c r="CS106" s="202"/>
      <c r="CT106" s="202"/>
      <c r="CU106" s="202"/>
      <c r="CV106" s="202"/>
      <c r="CW106" s="202"/>
      <c r="CX106" s="202"/>
      <c r="CY106" s="202"/>
      <c r="CZ106" s="202"/>
      <c r="DA106" s="202"/>
      <c r="DB106" s="202"/>
      <c r="DC106" s="202"/>
      <c r="DD106" s="202"/>
      <c r="DE106" s="202"/>
      <c r="DF106" s="202"/>
      <c r="DG106" s="202"/>
      <c r="DH106" s="202"/>
      <c r="DI106" s="202"/>
      <c r="DJ106" s="202"/>
      <c r="DK106" s="202"/>
      <c r="DL106" s="202"/>
      <c r="DM106" s="202"/>
      <c r="DN106" s="202"/>
      <c r="DO106" s="202"/>
      <c r="DP106" s="202"/>
      <c r="DQ106" s="202"/>
      <c r="DR106" s="202"/>
      <c r="DS106" s="202"/>
      <c r="DT106" s="202"/>
      <c r="DU106" s="202"/>
      <c r="DV106" s="202"/>
      <c r="DW106" s="202"/>
      <c r="DX106" s="202"/>
      <c r="DY106" s="202"/>
      <c r="DZ106" s="202"/>
      <c r="EA106" s="202"/>
      <c r="EB106" s="202"/>
      <c r="EC106" s="202"/>
      <c r="ED106" s="202"/>
      <c r="EE106" s="202"/>
      <c r="EF106" s="202"/>
      <c r="EG106" s="202"/>
      <c r="EH106" s="202"/>
      <c r="EI106" s="202"/>
      <c r="EJ106" s="202"/>
      <c r="EK106" s="202"/>
      <c r="EL106" s="202"/>
      <c r="EM106" s="202"/>
      <c r="EN106" s="202"/>
      <c r="EO106" s="202"/>
      <c r="EP106" s="202"/>
      <c r="EQ106" s="202"/>
      <c r="ER106" s="202"/>
      <c r="ES106" s="202"/>
      <c r="ET106" s="202"/>
      <c r="EU106" s="202"/>
      <c r="EV106" s="202"/>
      <c r="EW106" s="202"/>
      <c r="EX106" s="202"/>
      <c r="EY106" s="202"/>
      <c r="EZ106" s="202"/>
      <c r="FA106" s="202"/>
      <c r="FB106" s="202"/>
      <c r="FC106" s="202"/>
      <c r="FD106" s="202"/>
      <c r="FE106" s="202"/>
      <c r="FF106" s="202"/>
      <c r="FG106" s="311"/>
      <c r="FH106" s="311"/>
      <c r="FI106" s="311"/>
      <c r="FJ106" s="202"/>
      <c r="FK106" s="202"/>
      <c r="FL106" s="202"/>
      <c r="FM106" s="202"/>
      <c r="FN106" s="202"/>
      <c r="FO106" s="202"/>
      <c r="FP106" s="202"/>
      <c r="FQ106" s="202"/>
      <c r="FR106" s="202"/>
      <c r="FS106" s="202"/>
      <c r="FT106" s="202"/>
      <c r="FU106" s="202"/>
      <c r="FV106" s="202"/>
      <c r="FW106" s="202"/>
      <c r="FX106" s="202"/>
      <c r="FY106" s="202"/>
      <c r="FZ106" s="202"/>
      <c r="GA106" s="202"/>
      <c r="GB106" s="202"/>
      <c r="GC106" s="202"/>
      <c r="GD106" s="202"/>
      <c r="GE106" s="202"/>
      <c r="GF106" s="202"/>
      <c r="GG106" s="202"/>
      <c r="GH106" s="202"/>
      <c r="GI106" s="202"/>
      <c r="GJ106" s="202"/>
      <c r="GK106" s="202"/>
      <c r="GL106" s="202"/>
      <c r="GM106" s="202"/>
      <c r="GN106" s="202"/>
      <c r="GO106" s="202"/>
      <c r="GP106" s="202"/>
      <c r="GQ106" s="202"/>
      <c r="GR106" s="202"/>
      <c r="GS106" s="202"/>
      <c r="GT106" s="202"/>
      <c r="GU106" s="312"/>
    </row>
    <row r="107" spans="1:256" ht="13.8" hidden="1">
      <c r="A107" s="308"/>
      <c r="B107" s="197"/>
      <c r="C107" s="309"/>
      <c r="D107" s="197"/>
      <c r="E107" s="197"/>
      <c r="F107" s="197"/>
      <c r="G107" s="197"/>
      <c r="H107" s="197"/>
      <c r="I107" s="197"/>
      <c r="J107" s="198"/>
      <c r="K107" s="199"/>
      <c r="L107" s="200"/>
      <c r="M107" s="302"/>
      <c r="N107" s="202"/>
      <c r="O107" s="202"/>
      <c r="P107" s="202"/>
      <c r="Q107" s="313"/>
      <c r="R107" s="202"/>
      <c r="S107" s="202"/>
      <c r="T107" s="202"/>
      <c r="U107" s="202"/>
      <c r="V107" s="202"/>
      <c r="W107" s="202"/>
      <c r="X107" s="202"/>
      <c r="Y107" s="202"/>
      <c r="Z107" s="202"/>
      <c r="AA107" s="202"/>
      <c r="AB107" s="202"/>
      <c r="AC107" s="202"/>
      <c r="AD107" s="202"/>
      <c r="AE107" s="202"/>
      <c r="AF107" s="202"/>
      <c r="AG107" s="202"/>
      <c r="AH107" s="202"/>
      <c r="AI107" s="202"/>
      <c r="AJ107" s="202"/>
      <c r="AK107" s="202"/>
      <c r="AL107" s="202"/>
      <c r="AM107" s="202"/>
      <c r="AN107" s="202"/>
      <c r="AO107" s="202"/>
      <c r="AP107" s="202"/>
      <c r="AQ107" s="202"/>
      <c r="AR107" s="202"/>
      <c r="AS107" s="202"/>
      <c r="AT107" s="202"/>
      <c r="AU107" s="202"/>
      <c r="AV107" s="202"/>
      <c r="AW107" s="202"/>
      <c r="AX107" s="202"/>
      <c r="AY107" s="202"/>
      <c r="AZ107" s="202"/>
      <c r="BA107" s="202"/>
      <c r="BB107" s="202"/>
      <c r="BC107" s="202"/>
      <c r="BD107" s="202"/>
      <c r="BE107" s="202"/>
      <c r="BF107" s="202"/>
      <c r="BG107" s="202"/>
      <c r="BH107" s="202"/>
      <c r="BI107" s="202"/>
      <c r="BJ107" s="202"/>
      <c r="BK107" s="202"/>
      <c r="BL107" s="202"/>
      <c r="BM107" s="202"/>
      <c r="BN107" s="202"/>
      <c r="BO107" s="202"/>
      <c r="BP107" s="202"/>
      <c r="BQ107" s="202"/>
      <c r="BR107" s="202"/>
      <c r="BS107" s="202"/>
      <c r="BT107" s="202"/>
      <c r="BU107" s="202"/>
      <c r="BV107" s="202"/>
      <c r="BW107" s="202"/>
      <c r="BX107" s="202"/>
      <c r="BY107" s="202"/>
      <c r="BZ107" s="202"/>
      <c r="CA107" s="202"/>
      <c r="CB107" s="202"/>
      <c r="CC107" s="202"/>
      <c r="CD107" s="202"/>
      <c r="CE107" s="202"/>
      <c r="CF107" s="202"/>
      <c r="CG107" s="202"/>
      <c r="CH107" s="202"/>
      <c r="CI107" s="202"/>
      <c r="CJ107" s="202"/>
      <c r="CK107" s="202"/>
      <c r="CL107" s="202"/>
      <c r="CM107" s="202"/>
      <c r="CN107" s="202"/>
      <c r="CO107" s="202"/>
      <c r="CP107" s="202"/>
      <c r="CQ107" s="202"/>
      <c r="CR107" s="202"/>
      <c r="CS107" s="202"/>
      <c r="CT107" s="202"/>
      <c r="CU107" s="202"/>
      <c r="CV107" s="202"/>
      <c r="CW107" s="202"/>
      <c r="CX107" s="202"/>
      <c r="CY107" s="202"/>
      <c r="CZ107" s="202"/>
      <c r="DA107" s="202"/>
      <c r="DB107" s="202"/>
      <c r="DC107" s="202"/>
      <c r="DD107" s="202"/>
      <c r="DE107" s="202"/>
      <c r="DF107" s="202"/>
      <c r="DG107" s="202"/>
      <c r="DH107" s="202"/>
      <c r="DI107" s="202"/>
      <c r="DJ107" s="202"/>
      <c r="DK107" s="202"/>
      <c r="DL107" s="202"/>
      <c r="DM107" s="202"/>
      <c r="DN107" s="202"/>
      <c r="DO107" s="202"/>
      <c r="DP107" s="202"/>
      <c r="DQ107" s="202"/>
      <c r="DR107" s="202"/>
      <c r="DS107" s="202"/>
      <c r="DT107" s="202"/>
      <c r="DU107" s="202"/>
      <c r="DV107" s="202"/>
      <c r="DW107" s="202"/>
      <c r="DX107" s="202"/>
      <c r="DY107" s="202"/>
      <c r="DZ107" s="202"/>
      <c r="EA107" s="202"/>
      <c r="EB107" s="202"/>
      <c r="EC107" s="202"/>
      <c r="ED107" s="202"/>
      <c r="EE107" s="202"/>
      <c r="EF107" s="202"/>
      <c r="EG107" s="202"/>
      <c r="EH107" s="202"/>
      <c r="EI107" s="202"/>
      <c r="EJ107" s="202"/>
      <c r="EK107" s="202"/>
      <c r="EL107" s="202"/>
      <c r="EM107" s="202"/>
      <c r="EN107" s="202"/>
      <c r="EO107" s="202"/>
      <c r="EP107" s="202"/>
      <c r="EQ107" s="202"/>
      <c r="ER107" s="202"/>
      <c r="ES107" s="202"/>
      <c r="ET107" s="202"/>
      <c r="EU107" s="202"/>
      <c r="EV107" s="202"/>
      <c r="EW107" s="202"/>
      <c r="EX107" s="202"/>
      <c r="EY107" s="202"/>
      <c r="EZ107" s="202"/>
      <c r="FA107" s="202"/>
      <c r="FB107" s="202"/>
      <c r="FC107" s="202"/>
      <c r="FD107" s="202"/>
      <c r="FE107" s="202"/>
      <c r="FF107" s="202"/>
      <c r="FG107" s="314"/>
      <c r="FH107" s="314"/>
      <c r="FI107" s="314"/>
      <c r="FJ107" s="202"/>
      <c r="FK107" s="202"/>
      <c r="FL107" s="202"/>
      <c r="FM107" s="202"/>
      <c r="FN107" s="202"/>
      <c r="FO107" s="202"/>
      <c r="FP107" s="202"/>
      <c r="FQ107" s="202"/>
      <c r="FR107" s="202"/>
      <c r="FS107" s="202"/>
      <c r="FT107" s="202"/>
      <c r="FU107" s="202"/>
      <c r="FV107" s="202"/>
      <c r="FW107" s="202"/>
      <c r="FX107" s="202"/>
      <c r="FY107" s="202"/>
      <c r="FZ107" s="202"/>
      <c r="GA107" s="202"/>
      <c r="GB107" s="202"/>
      <c r="GC107" s="202"/>
      <c r="GD107" s="202"/>
      <c r="GE107" s="202"/>
      <c r="GF107" s="202"/>
      <c r="GG107" s="202"/>
      <c r="GH107" s="202"/>
      <c r="GI107" s="202"/>
      <c r="GJ107" s="202"/>
      <c r="GK107" s="202"/>
      <c r="GL107" s="202"/>
      <c r="GM107" s="202"/>
      <c r="GN107" s="202"/>
      <c r="GO107" s="202"/>
      <c r="GP107" s="202"/>
      <c r="GQ107" s="202"/>
      <c r="GR107" s="202"/>
      <c r="GS107" s="202"/>
      <c r="GT107" s="202"/>
      <c r="GU107" s="315"/>
    </row>
    <row r="108" spans="1:256" ht="13.8" hidden="1">
      <c r="A108" s="308"/>
      <c r="B108" s="197"/>
      <c r="C108" s="309"/>
      <c r="D108" s="197"/>
      <c r="E108" s="197"/>
      <c r="F108" s="197"/>
      <c r="G108" s="197"/>
      <c r="H108" s="197"/>
      <c r="I108" s="197"/>
      <c r="J108" s="198"/>
      <c r="K108" s="199"/>
      <c r="L108" s="200"/>
      <c r="M108" s="302"/>
      <c r="N108" s="202"/>
      <c r="O108" s="202"/>
      <c r="P108" s="202"/>
      <c r="Q108" s="313"/>
      <c r="R108" s="202"/>
      <c r="S108" s="202"/>
      <c r="T108" s="202"/>
      <c r="U108" s="202"/>
      <c r="V108" s="202"/>
      <c r="W108" s="202"/>
      <c r="X108" s="202"/>
      <c r="Y108" s="202"/>
      <c r="Z108" s="202"/>
      <c r="AA108" s="202"/>
      <c r="AB108" s="202"/>
      <c r="AC108" s="202"/>
      <c r="AD108" s="202"/>
      <c r="AE108" s="202"/>
      <c r="AF108" s="202"/>
      <c r="AG108" s="202"/>
      <c r="AH108" s="202"/>
      <c r="AI108" s="202"/>
      <c r="AJ108" s="202"/>
      <c r="AK108" s="202"/>
      <c r="AL108" s="202"/>
      <c r="AM108" s="202"/>
      <c r="AN108" s="202"/>
      <c r="AO108" s="202"/>
      <c r="AP108" s="202"/>
      <c r="AQ108" s="202"/>
      <c r="AR108" s="202"/>
      <c r="AS108" s="202"/>
      <c r="AT108" s="202"/>
      <c r="AU108" s="202"/>
      <c r="AV108" s="202"/>
      <c r="AW108" s="202"/>
      <c r="AX108" s="202"/>
      <c r="AY108" s="202"/>
      <c r="AZ108" s="202"/>
      <c r="BA108" s="202"/>
      <c r="BB108" s="202"/>
      <c r="BC108" s="202"/>
      <c r="BD108" s="202"/>
      <c r="BE108" s="202"/>
      <c r="BF108" s="202"/>
      <c r="BG108" s="202"/>
      <c r="BH108" s="202"/>
      <c r="BI108" s="202"/>
      <c r="BJ108" s="202"/>
      <c r="BK108" s="202"/>
      <c r="BL108" s="202"/>
      <c r="BM108" s="202"/>
      <c r="BN108" s="202"/>
      <c r="BO108" s="202"/>
      <c r="BP108" s="202"/>
      <c r="BQ108" s="202"/>
      <c r="BR108" s="202"/>
      <c r="BS108" s="202"/>
      <c r="BT108" s="202"/>
      <c r="BU108" s="202"/>
      <c r="BV108" s="202"/>
      <c r="BW108" s="202"/>
      <c r="BX108" s="202"/>
      <c r="BY108" s="202"/>
      <c r="BZ108" s="202"/>
      <c r="CA108" s="202"/>
      <c r="CB108" s="202"/>
      <c r="CC108" s="202"/>
      <c r="CD108" s="202"/>
      <c r="CE108" s="202"/>
      <c r="CF108" s="202"/>
      <c r="CG108" s="202"/>
      <c r="CH108" s="202"/>
      <c r="CI108" s="202"/>
      <c r="CJ108" s="202"/>
      <c r="CK108" s="202"/>
      <c r="CL108" s="202"/>
      <c r="CM108" s="202"/>
      <c r="CN108" s="202"/>
      <c r="CO108" s="202"/>
      <c r="CP108" s="202"/>
      <c r="CQ108" s="202"/>
      <c r="CR108" s="202"/>
      <c r="CS108" s="202"/>
      <c r="CT108" s="202"/>
      <c r="CU108" s="202"/>
      <c r="CV108" s="202"/>
      <c r="CW108" s="202"/>
      <c r="CX108" s="202"/>
      <c r="CY108" s="202"/>
      <c r="CZ108" s="202"/>
      <c r="DA108" s="202"/>
      <c r="DB108" s="202"/>
      <c r="DC108" s="202"/>
      <c r="DD108" s="202"/>
      <c r="DE108" s="202"/>
      <c r="DF108" s="202"/>
      <c r="DG108" s="202"/>
      <c r="DH108" s="202"/>
      <c r="DI108" s="202"/>
      <c r="DJ108" s="202"/>
      <c r="DK108" s="202"/>
      <c r="DL108" s="202"/>
      <c r="DM108" s="202"/>
      <c r="DN108" s="202"/>
      <c r="DO108" s="202"/>
      <c r="DP108" s="202"/>
      <c r="DQ108" s="202"/>
      <c r="DR108" s="202"/>
      <c r="DS108" s="202"/>
      <c r="DT108" s="202"/>
      <c r="DU108" s="202"/>
      <c r="DV108" s="202"/>
      <c r="DW108" s="202"/>
      <c r="DX108" s="202"/>
      <c r="DY108" s="202"/>
      <c r="DZ108" s="202"/>
      <c r="EA108" s="202"/>
      <c r="EB108" s="202"/>
      <c r="EC108" s="202"/>
      <c r="ED108" s="202"/>
      <c r="EE108" s="202"/>
      <c r="EF108" s="202"/>
      <c r="EG108" s="202"/>
      <c r="EH108" s="202"/>
      <c r="EI108" s="202"/>
      <c r="EJ108" s="202"/>
      <c r="EK108" s="202"/>
      <c r="EL108" s="202"/>
      <c r="EM108" s="202"/>
      <c r="EN108" s="202"/>
      <c r="EO108" s="202"/>
      <c r="EP108" s="202"/>
      <c r="EQ108" s="202"/>
      <c r="ER108" s="202"/>
      <c r="ES108" s="202"/>
      <c r="ET108" s="202"/>
      <c r="EU108" s="202"/>
      <c r="EV108" s="202"/>
      <c r="EW108" s="202"/>
      <c r="EX108" s="202"/>
      <c r="EY108" s="202"/>
      <c r="EZ108" s="202"/>
      <c r="FA108" s="202"/>
      <c r="FB108" s="202"/>
      <c r="FC108" s="202"/>
      <c r="FD108" s="202"/>
      <c r="FE108" s="202"/>
      <c r="FF108" s="202"/>
      <c r="FG108" s="314"/>
      <c r="FH108" s="314"/>
      <c r="FI108" s="314"/>
      <c r="FJ108" s="202"/>
      <c r="FK108" s="202"/>
      <c r="FL108" s="202"/>
      <c r="FM108" s="202"/>
      <c r="FN108" s="202"/>
      <c r="FO108" s="202"/>
      <c r="FP108" s="202"/>
      <c r="FQ108" s="202"/>
      <c r="FR108" s="202"/>
      <c r="FS108" s="202"/>
      <c r="FT108" s="202"/>
      <c r="FU108" s="202"/>
      <c r="FV108" s="202"/>
      <c r="FW108" s="202"/>
      <c r="FX108" s="202"/>
      <c r="FY108" s="202"/>
      <c r="FZ108" s="202"/>
      <c r="GA108" s="202"/>
      <c r="GB108" s="202"/>
      <c r="GC108" s="202"/>
      <c r="GD108" s="202"/>
      <c r="GE108" s="202"/>
      <c r="GF108" s="202"/>
      <c r="GG108" s="202"/>
      <c r="GH108" s="202"/>
      <c r="GI108" s="202"/>
      <c r="GJ108" s="202"/>
      <c r="GK108" s="202"/>
      <c r="GL108" s="202"/>
      <c r="GM108" s="202"/>
      <c r="GN108" s="202"/>
      <c r="GO108" s="202"/>
      <c r="GP108" s="202"/>
      <c r="GQ108" s="202"/>
      <c r="GR108" s="202"/>
      <c r="GS108" s="202"/>
      <c r="GT108" s="202"/>
      <c r="GU108" s="315"/>
    </row>
    <row r="109" spans="1:256" ht="13.8" hidden="1">
      <c r="A109" s="308"/>
      <c r="B109" s="197"/>
      <c r="C109" s="197"/>
      <c r="D109" s="197"/>
      <c r="E109" s="197"/>
      <c r="F109" s="197"/>
      <c r="G109" s="197"/>
      <c r="H109" s="197"/>
      <c r="I109" s="197"/>
      <c r="J109" s="198"/>
      <c r="K109" s="199"/>
      <c r="L109" s="200"/>
      <c r="M109" s="302"/>
      <c r="N109" s="200"/>
      <c r="O109" s="200"/>
      <c r="P109" s="200"/>
      <c r="Q109" s="313"/>
      <c r="R109" s="200"/>
      <c r="S109" s="200"/>
      <c r="T109" s="200"/>
      <c r="U109" s="200"/>
      <c r="V109" s="200"/>
      <c r="W109" s="200"/>
      <c r="X109" s="200"/>
      <c r="Y109" s="200"/>
      <c r="Z109" s="200"/>
      <c r="AA109" s="200"/>
      <c r="AB109" s="200"/>
      <c r="AC109" s="200"/>
      <c r="AD109" s="200"/>
      <c r="AE109" s="200"/>
      <c r="AF109" s="200"/>
      <c r="AG109" s="200"/>
      <c r="AH109" s="200"/>
      <c r="AI109" s="200"/>
      <c r="AJ109" s="200"/>
      <c r="AK109" s="200"/>
      <c r="AL109" s="200"/>
      <c r="AM109" s="200"/>
      <c r="AN109" s="200"/>
      <c r="AO109" s="200"/>
      <c r="AP109" s="200"/>
      <c r="AQ109" s="200"/>
      <c r="AR109" s="200"/>
      <c r="AS109" s="200"/>
      <c r="AT109" s="200"/>
      <c r="AU109" s="200"/>
      <c r="AV109" s="200"/>
      <c r="AW109" s="200"/>
      <c r="AX109" s="200"/>
      <c r="AY109" s="200"/>
      <c r="AZ109" s="200"/>
      <c r="BA109" s="200"/>
      <c r="BB109" s="200"/>
      <c r="BC109" s="200"/>
      <c r="BD109" s="200"/>
      <c r="BE109" s="200"/>
      <c r="BF109" s="200"/>
      <c r="BG109" s="200"/>
      <c r="BH109" s="200"/>
      <c r="BI109" s="200"/>
      <c r="BJ109" s="200"/>
      <c r="BK109" s="200"/>
      <c r="BL109" s="200"/>
      <c r="BM109" s="200"/>
      <c r="BN109" s="200"/>
      <c r="BO109" s="200"/>
      <c r="BP109" s="200"/>
      <c r="BQ109" s="200"/>
      <c r="BR109" s="200"/>
      <c r="BS109" s="200"/>
      <c r="BT109" s="200"/>
      <c r="BU109" s="200"/>
      <c r="BV109" s="200"/>
      <c r="BW109" s="200"/>
      <c r="BX109" s="200"/>
      <c r="BY109" s="200"/>
      <c r="BZ109" s="200"/>
      <c r="CA109" s="200"/>
      <c r="CB109" s="200"/>
      <c r="CC109" s="200"/>
      <c r="CD109" s="200"/>
      <c r="CE109" s="200"/>
      <c r="CF109" s="200"/>
      <c r="CG109" s="200"/>
      <c r="CH109" s="200"/>
      <c r="CI109" s="200"/>
      <c r="CJ109" s="200"/>
      <c r="CK109" s="200"/>
      <c r="CL109" s="200"/>
      <c r="CM109" s="200"/>
      <c r="CN109" s="200"/>
      <c r="CO109" s="200"/>
      <c r="CP109" s="200"/>
      <c r="CQ109" s="200"/>
      <c r="CR109" s="200"/>
      <c r="CS109" s="200"/>
      <c r="CT109" s="200"/>
      <c r="CU109" s="200"/>
      <c r="CV109" s="200"/>
      <c r="CW109" s="200"/>
      <c r="CX109" s="200"/>
      <c r="CY109" s="200"/>
      <c r="CZ109" s="200"/>
      <c r="DA109" s="200"/>
      <c r="DB109" s="200"/>
      <c r="DC109" s="200"/>
      <c r="DD109" s="200"/>
      <c r="DE109" s="200"/>
      <c r="DF109" s="200"/>
      <c r="DG109" s="200"/>
      <c r="DH109" s="200"/>
      <c r="DI109" s="200"/>
      <c r="DJ109" s="200"/>
      <c r="DK109" s="200"/>
      <c r="DL109" s="200"/>
      <c r="DM109" s="200"/>
      <c r="DN109" s="200"/>
      <c r="DO109" s="200"/>
      <c r="DP109" s="200"/>
      <c r="DQ109" s="200"/>
      <c r="DR109" s="200"/>
      <c r="DS109" s="200"/>
      <c r="DT109" s="200"/>
      <c r="DU109" s="200"/>
      <c r="DV109" s="200"/>
      <c r="DW109" s="200"/>
      <c r="DX109" s="200"/>
      <c r="DY109" s="200"/>
      <c r="DZ109" s="200"/>
      <c r="EA109" s="200"/>
      <c r="EB109" s="200"/>
      <c r="EC109" s="200"/>
      <c r="ED109" s="200"/>
      <c r="EE109" s="200"/>
      <c r="EF109" s="200"/>
      <c r="EG109" s="200"/>
      <c r="EH109" s="200"/>
      <c r="EI109" s="200"/>
      <c r="EJ109" s="200"/>
      <c r="EK109" s="200"/>
      <c r="EL109" s="200"/>
      <c r="EM109" s="200"/>
      <c r="EN109" s="200"/>
      <c r="EO109" s="200"/>
      <c r="EP109" s="200"/>
      <c r="EQ109" s="200"/>
      <c r="ER109" s="200"/>
      <c r="ES109" s="200"/>
      <c r="ET109" s="200"/>
      <c r="EU109" s="200"/>
      <c r="EV109" s="200"/>
      <c r="EW109" s="200"/>
      <c r="EX109" s="200"/>
      <c r="EY109" s="200"/>
      <c r="EZ109" s="200"/>
      <c r="FA109" s="200"/>
      <c r="FB109" s="200"/>
      <c r="FC109" s="200"/>
      <c r="FD109" s="200"/>
      <c r="FE109" s="200"/>
      <c r="FF109" s="200"/>
      <c r="FG109" s="314"/>
      <c r="FH109" s="314"/>
      <c r="FI109" s="314"/>
      <c r="FJ109" s="200"/>
      <c r="FK109" s="200"/>
      <c r="FL109" s="200"/>
      <c r="FM109" s="200"/>
      <c r="FN109" s="200"/>
      <c r="FO109" s="200"/>
      <c r="FP109" s="200"/>
      <c r="FQ109" s="200"/>
      <c r="FR109" s="200"/>
      <c r="FS109" s="200"/>
      <c r="FT109" s="200"/>
      <c r="FU109" s="200"/>
      <c r="FV109" s="200"/>
      <c r="FW109" s="200"/>
      <c r="FX109" s="200"/>
      <c r="FY109" s="200"/>
      <c r="FZ109" s="200"/>
      <c r="GA109" s="200"/>
      <c r="GB109" s="200"/>
      <c r="GC109" s="200"/>
      <c r="GD109" s="200"/>
      <c r="GE109" s="200"/>
      <c r="GF109" s="200"/>
      <c r="GG109" s="200"/>
      <c r="GH109" s="200"/>
      <c r="GI109" s="200"/>
      <c r="GJ109" s="200"/>
      <c r="GK109" s="200"/>
      <c r="GL109" s="200"/>
      <c r="GM109" s="200"/>
      <c r="GN109" s="200"/>
      <c r="GO109" s="200"/>
      <c r="GP109" s="200"/>
      <c r="GQ109" s="200"/>
      <c r="GR109" s="200"/>
      <c r="GS109" s="200"/>
      <c r="GT109" s="200"/>
      <c r="GU109" s="315"/>
    </row>
    <row r="110" spans="1:256" ht="13.8" hidden="1">
      <c r="A110" s="308"/>
      <c r="B110" s="197"/>
      <c r="C110" s="309"/>
      <c r="D110" s="197"/>
      <c r="E110" s="197"/>
      <c r="F110" s="197"/>
      <c r="G110" s="197"/>
      <c r="H110" s="197"/>
      <c r="I110" s="197"/>
      <c r="J110" s="198"/>
      <c r="K110" s="199"/>
      <c r="L110" s="200"/>
      <c r="M110" s="302"/>
      <c r="N110" s="316"/>
      <c r="O110" s="316"/>
      <c r="P110" s="316"/>
      <c r="Q110" s="313"/>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c r="AS110" s="316"/>
      <c r="AT110" s="316"/>
      <c r="AU110" s="316"/>
      <c r="AV110" s="316"/>
      <c r="AW110" s="316"/>
      <c r="AX110" s="316"/>
      <c r="AY110" s="316"/>
      <c r="AZ110" s="316"/>
      <c r="BA110" s="316"/>
      <c r="BB110" s="316"/>
      <c r="BC110" s="316"/>
      <c r="BD110" s="316"/>
      <c r="BE110" s="316"/>
      <c r="BF110" s="316"/>
      <c r="BG110" s="316"/>
      <c r="BH110" s="316"/>
      <c r="BI110" s="316"/>
      <c r="BJ110" s="316"/>
      <c r="BK110" s="316"/>
      <c r="BL110" s="316"/>
      <c r="BM110" s="316"/>
      <c r="BN110" s="316"/>
      <c r="BO110" s="316"/>
      <c r="BP110" s="316"/>
      <c r="BQ110" s="316"/>
      <c r="BR110" s="316"/>
      <c r="BS110" s="316"/>
      <c r="BT110" s="316"/>
      <c r="BU110" s="316"/>
      <c r="BV110" s="316"/>
      <c r="BW110" s="316"/>
      <c r="BX110" s="316"/>
      <c r="BY110" s="316"/>
      <c r="BZ110" s="316"/>
      <c r="CA110" s="316"/>
      <c r="CB110" s="316"/>
      <c r="CC110" s="316"/>
      <c r="CD110" s="316"/>
      <c r="CE110" s="316"/>
      <c r="CF110" s="316"/>
      <c r="CG110" s="316"/>
      <c r="CH110" s="316"/>
      <c r="CI110" s="316"/>
      <c r="CJ110" s="316"/>
      <c r="CK110" s="316"/>
      <c r="CL110" s="316"/>
      <c r="CM110" s="316"/>
      <c r="CN110" s="316"/>
      <c r="CO110" s="316"/>
      <c r="CP110" s="316"/>
      <c r="CQ110" s="316"/>
      <c r="CR110" s="316"/>
      <c r="CS110" s="316"/>
      <c r="CT110" s="316"/>
      <c r="CU110" s="316"/>
      <c r="CV110" s="316"/>
      <c r="CW110" s="316"/>
      <c r="CX110" s="316"/>
      <c r="CY110" s="316"/>
      <c r="CZ110" s="316"/>
      <c r="DA110" s="316"/>
      <c r="DB110" s="316"/>
      <c r="DC110" s="316"/>
      <c r="DD110" s="316"/>
      <c r="DE110" s="316"/>
      <c r="DF110" s="316"/>
      <c r="DG110" s="316"/>
      <c r="DH110" s="316"/>
      <c r="DI110" s="316"/>
      <c r="DJ110" s="316"/>
      <c r="DK110" s="316"/>
      <c r="DL110" s="316"/>
      <c r="DM110" s="316"/>
      <c r="DN110" s="316"/>
      <c r="DO110" s="316"/>
      <c r="DP110" s="316"/>
      <c r="DQ110" s="316"/>
      <c r="DR110" s="316"/>
      <c r="DS110" s="316"/>
      <c r="DT110" s="316"/>
      <c r="DU110" s="316"/>
      <c r="DV110" s="316"/>
      <c r="DW110" s="316"/>
      <c r="DX110" s="316"/>
      <c r="DY110" s="316"/>
      <c r="DZ110" s="316"/>
      <c r="EA110" s="316"/>
      <c r="EB110" s="316"/>
      <c r="EC110" s="316"/>
      <c r="ED110" s="316"/>
      <c r="EE110" s="316"/>
      <c r="EF110" s="316"/>
      <c r="EG110" s="316"/>
      <c r="EH110" s="316"/>
      <c r="EI110" s="316"/>
      <c r="EJ110" s="316"/>
      <c r="EK110" s="316"/>
      <c r="EL110" s="316"/>
      <c r="EM110" s="316"/>
      <c r="EN110" s="316"/>
      <c r="EO110" s="316"/>
      <c r="EP110" s="316"/>
      <c r="EQ110" s="316"/>
      <c r="ER110" s="316"/>
      <c r="ES110" s="316"/>
      <c r="ET110" s="316"/>
      <c r="EU110" s="316"/>
      <c r="EV110" s="316"/>
      <c r="EW110" s="316"/>
      <c r="EX110" s="316"/>
      <c r="EY110" s="316"/>
      <c r="EZ110" s="316"/>
      <c r="FA110" s="316"/>
      <c r="FB110" s="316"/>
      <c r="FC110" s="316"/>
      <c r="FD110" s="316"/>
      <c r="FE110" s="316"/>
      <c r="FF110" s="316"/>
      <c r="FG110" s="314"/>
      <c r="FH110" s="314"/>
      <c r="FI110" s="314"/>
      <c r="FJ110" s="316"/>
      <c r="FK110" s="316"/>
      <c r="FL110" s="316"/>
      <c r="FM110" s="316"/>
      <c r="FN110" s="316"/>
      <c r="FO110" s="316"/>
      <c r="FP110" s="316"/>
      <c r="FQ110" s="316"/>
      <c r="FR110" s="316"/>
      <c r="FS110" s="316"/>
      <c r="FT110" s="316"/>
      <c r="FU110" s="316"/>
      <c r="FV110" s="316"/>
      <c r="FW110" s="316"/>
      <c r="FX110" s="316"/>
      <c r="FY110" s="316"/>
      <c r="FZ110" s="316"/>
      <c r="GA110" s="316"/>
      <c r="GB110" s="316"/>
      <c r="GC110" s="316"/>
      <c r="GD110" s="316"/>
      <c r="GE110" s="316"/>
      <c r="GF110" s="316"/>
      <c r="GG110" s="316"/>
      <c r="GH110" s="316"/>
      <c r="GI110" s="316"/>
      <c r="GJ110" s="316"/>
      <c r="GK110" s="316"/>
      <c r="GL110" s="316"/>
      <c r="GM110" s="316"/>
      <c r="GN110" s="316"/>
      <c r="GO110" s="316"/>
      <c r="GP110" s="316"/>
      <c r="GQ110" s="316"/>
      <c r="GR110" s="316"/>
      <c r="GS110" s="316"/>
      <c r="GT110" s="316"/>
      <c r="GU110" s="315"/>
    </row>
    <row r="111" spans="1:256" ht="13.8" hidden="1">
      <c r="A111" s="308"/>
      <c r="B111" s="197"/>
      <c r="C111" s="309"/>
      <c r="D111" s="197"/>
      <c r="E111" s="197"/>
      <c r="F111" s="197"/>
      <c r="G111" s="197"/>
      <c r="H111" s="197"/>
      <c r="I111" s="197"/>
      <c r="J111" s="198"/>
      <c r="K111" s="199"/>
      <c r="L111" s="200"/>
      <c r="M111" s="302"/>
      <c r="N111" s="200"/>
      <c r="O111" s="200"/>
      <c r="P111" s="200"/>
      <c r="Q111" s="313"/>
      <c r="R111" s="200"/>
      <c r="S111" s="200"/>
      <c r="T111" s="200"/>
      <c r="U111" s="200"/>
      <c r="V111" s="200"/>
      <c r="W111" s="200"/>
      <c r="X111" s="200"/>
      <c r="Y111" s="200"/>
      <c r="Z111" s="200"/>
      <c r="AA111" s="200"/>
      <c r="AB111" s="200"/>
      <c r="AC111" s="200"/>
      <c r="AD111" s="200"/>
      <c r="AE111" s="200"/>
      <c r="AF111" s="200"/>
      <c r="AG111" s="200"/>
      <c r="AH111" s="200"/>
      <c r="AI111" s="200"/>
      <c r="AJ111" s="200"/>
      <c r="AK111" s="200"/>
      <c r="AL111" s="200"/>
      <c r="AM111" s="200"/>
      <c r="AN111" s="200"/>
      <c r="AO111" s="200"/>
      <c r="AP111" s="200"/>
      <c r="AQ111" s="200"/>
      <c r="AR111" s="200"/>
      <c r="AS111" s="200"/>
      <c r="AT111" s="200"/>
      <c r="AU111" s="200"/>
      <c r="AV111" s="200"/>
      <c r="AW111" s="200"/>
      <c r="AX111" s="200"/>
      <c r="AY111" s="200"/>
      <c r="AZ111" s="200"/>
      <c r="BA111" s="200"/>
      <c r="BB111" s="200"/>
      <c r="BC111" s="200"/>
      <c r="BD111" s="200"/>
      <c r="BE111" s="200"/>
      <c r="BF111" s="200"/>
      <c r="BG111" s="200"/>
      <c r="BH111" s="200"/>
      <c r="BI111" s="200"/>
      <c r="BJ111" s="200"/>
      <c r="BK111" s="200"/>
      <c r="BL111" s="200"/>
      <c r="BM111" s="200"/>
      <c r="BN111" s="200"/>
      <c r="BO111" s="200"/>
      <c r="BP111" s="200"/>
      <c r="BQ111" s="200"/>
      <c r="BR111" s="200"/>
      <c r="BS111" s="200"/>
      <c r="BT111" s="200"/>
      <c r="BU111" s="200"/>
      <c r="BV111" s="200"/>
      <c r="BW111" s="200"/>
      <c r="BX111" s="200"/>
      <c r="BY111" s="200"/>
      <c r="BZ111" s="200"/>
      <c r="CA111" s="200"/>
      <c r="CB111" s="200"/>
      <c r="CC111" s="200"/>
      <c r="CD111" s="200"/>
      <c r="CE111" s="200"/>
      <c r="CF111" s="200"/>
      <c r="CG111" s="200"/>
      <c r="CH111" s="200"/>
      <c r="CI111" s="200"/>
      <c r="CJ111" s="200"/>
      <c r="CK111" s="200"/>
      <c r="CL111" s="200"/>
      <c r="CM111" s="200"/>
      <c r="CN111" s="200"/>
      <c r="CO111" s="200"/>
      <c r="CP111" s="200"/>
      <c r="CQ111" s="200"/>
      <c r="CR111" s="200"/>
      <c r="CS111" s="200"/>
      <c r="CT111" s="200"/>
      <c r="CU111" s="200"/>
      <c r="CV111" s="200"/>
      <c r="CW111" s="200"/>
      <c r="CX111" s="200"/>
      <c r="CY111" s="200"/>
      <c r="CZ111" s="200"/>
      <c r="DA111" s="200"/>
      <c r="DB111" s="200"/>
      <c r="DC111" s="200"/>
      <c r="DD111" s="200"/>
      <c r="DE111" s="200"/>
      <c r="DF111" s="200"/>
      <c r="DG111" s="200"/>
      <c r="DH111" s="200"/>
      <c r="DI111" s="200"/>
      <c r="DJ111" s="200"/>
      <c r="DK111" s="200"/>
      <c r="DL111" s="200"/>
      <c r="DM111" s="200"/>
      <c r="DN111" s="200"/>
      <c r="DO111" s="200"/>
      <c r="DP111" s="200"/>
      <c r="DQ111" s="200"/>
      <c r="DR111" s="200"/>
      <c r="DS111" s="200"/>
      <c r="DT111" s="200"/>
      <c r="DU111" s="200"/>
      <c r="DV111" s="200"/>
      <c r="DW111" s="200"/>
      <c r="DX111" s="200"/>
      <c r="DY111" s="200"/>
      <c r="DZ111" s="200"/>
      <c r="EA111" s="200"/>
      <c r="EB111" s="200"/>
      <c r="EC111" s="200"/>
      <c r="ED111" s="200"/>
      <c r="EE111" s="200"/>
      <c r="EF111" s="200"/>
      <c r="EG111" s="200"/>
      <c r="EH111" s="200"/>
      <c r="EI111" s="200"/>
      <c r="EJ111" s="200"/>
      <c r="EK111" s="200"/>
      <c r="EL111" s="200"/>
      <c r="EM111" s="200"/>
      <c r="EN111" s="200"/>
      <c r="EO111" s="200"/>
      <c r="EP111" s="200"/>
      <c r="EQ111" s="200"/>
      <c r="ER111" s="200"/>
      <c r="ES111" s="200"/>
      <c r="ET111" s="200"/>
      <c r="EU111" s="200"/>
      <c r="EV111" s="200"/>
      <c r="EW111" s="200"/>
      <c r="EX111" s="200"/>
      <c r="EY111" s="200"/>
      <c r="EZ111" s="200"/>
      <c r="FA111" s="200"/>
      <c r="FB111" s="200"/>
      <c r="FC111" s="200"/>
      <c r="FD111" s="200"/>
      <c r="FE111" s="200"/>
      <c r="FF111" s="200"/>
      <c r="FG111" s="314"/>
      <c r="FH111" s="314"/>
      <c r="FI111" s="314"/>
      <c r="FJ111" s="200"/>
      <c r="FK111" s="200"/>
      <c r="FL111" s="200"/>
      <c r="FM111" s="200"/>
      <c r="FN111" s="200"/>
      <c r="FO111" s="200"/>
      <c r="FP111" s="200"/>
      <c r="FQ111" s="200"/>
      <c r="FR111" s="200"/>
      <c r="FS111" s="200"/>
      <c r="FT111" s="200"/>
      <c r="FU111" s="200"/>
      <c r="FV111" s="200"/>
      <c r="FW111" s="200"/>
      <c r="FX111" s="200"/>
      <c r="FY111" s="200"/>
      <c r="FZ111" s="200"/>
      <c r="GA111" s="200"/>
      <c r="GB111" s="200"/>
      <c r="GC111" s="200"/>
      <c r="GD111" s="200"/>
      <c r="GE111" s="200"/>
      <c r="GF111" s="200"/>
      <c r="GG111" s="200"/>
      <c r="GH111" s="200"/>
      <c r="GI111" s="200"/>
      <c r="GJ111" s="200"/>
      <c r="GK111" s="200"/>
      <c r="GL111" s="200"/>
      <c r="GM111" s="200"/>
      <c r="GN111" s="200"/>
      <c r="GO111" s="200"/>
      <c r="GP111" s="200"/>
      <c r="GQ111" s="200"/>
      <c r="GR111" s="200"/>
      <c r="GS111" s="200"/>
      <c r="GT111" s="200"/>
      <c r="GU111" s="315"/>
    </row>
    <row r="112" spans="1:256" ht="13.8" hidden="1">
      <c r="A112" s="308"/>
      <c r="B112" s="197"/>
      <c r="C112" s="309"/>
      <c r="D112" s="197"/>
      <c r="E112" s="197"/>
      <c r="F112" s="197"/>
      <c r="G112" s="197"/>
      <c r="H112" s="197"/>
      <c r="I112" s="197"/>
      <c r="J112" s="198"/>
      <c r="K112" s="199"/>
      <c r="L112" s="200"/>
      <c r="M112" s="302"/>
      <c r="N112" s="316"/>
      <c r="O112" s="316"/>
      <c r="P112" s="316"/>
      <c r="Q112" s="313"/>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c r="AS112" s="316"/>
      <c r="AT112" s="316"/>
      <c r="AU112" s="316"/>
      <c r="AV112" s="316"/>
      <c r="AW112" s="316"/>
      <c r="AX112" s="316"/>
      <c r="AY112" s="316"/>
      <c r="AZ112" s="316"/>
      <c r="BA112" s="316"/>
      <c r="BB112" s="316"/>
      <c r="BC112" s="316"/>
      <c r="BD112" s="316"/>
      <c r="BE112" s="316"/>
      <c r="BF112" s="316"/>
      <c r="BG112" s="316"/>
      <c r="BH112" s="316"/>
      <c r="BI112" s="316"/>
      <c r="BJ112" s="316"/>
      <c r="BK112" s="316"/>
      <c r="BL112" s="316"/>
      <c r="BM112" s="316"/>
      <c r="BN112" s="316"/>
      <c r="BO112" s="316"/>
      <c r="BP112" s="316"/>
      <c r="BQ112" s="316"/>
      <c r="BR112" s="316"/>
      <c r="BS112" s="316"/>
      <c r="BT112" s="316"/>
      <c r="BU112" s="316"/>
      <c r="BV112" s="316"/>
      <c r="BW112" s="316"/>
      <c r="BX112" s="316"/>
      <c r="BY112" s="316"/>
      <c r="BZ112" s="316"/>
      <c r="CA112" s="316"/>
      <c r="CB112" s="316"/>
      <c r="CC112" s="316"/>
      <c r="CD112" s="316"/>
      <c r="CE112" s="316"/>
      <c r="CF112" s="316"/>
      <c r="CG112" s="316"/>
      <c r="CH112" s="316"/>
      <c r="CI112" s="316"/>
      <c r="CJ112" s="316"/>
      <c r="CK112" s="316"/>
      <c r="CL112" s="316"/>
      <c r="CM112" s="316"/>
      <c r="CN112" s="316"/>
      <c r="CO112" s="316"/>
      <c r="CP112" s="316"/>
      <c r="CQ112" s="316"/>
      <c r="CR112" s="316"/>
      <c r="CS112" s="316"/>
      <c r="CT112" s="316"/>
      <c r="CU112" s="316"/>
      <c r="CV112" s="316"/>
      <c r="CW112" s="316"/>
      <c r="CX112" s="316"/>
      <c r="CY112" s="316"/>
      <c r="CZ112" s="316"/>
      <c r="DA112" s="316"/>
      <c r="DB112" s="316"/>
      <c r="DC112" s="316"/>
      <c r="DD112" s="316"/>
      <c r="DE112" s="316"/>
      <c r="DF112" s="316"/>
      <c r="DG112" s="316"/>
      <c r="DH112" s="316"/>
      <c r="DI112" s="316"/>
      <c r="DJ112" s="316"/>
      <c r="DK112" s="316"/>
      <c r="DL112" s="316"/>
      <c r="DM112" s="316"/>
      <c r="DN112" s="316"/>
      <c r="DO112" s="316"/>
      <c r="DP112" s="316"/>
      <c r="DQ112" s="316"/>
      <c r="DR112" s="316"/>
      <c r="DS112" s="316"/>
      <c r="DT112" s="316"/>
      <c r="DU112" s="316"/>
      <c r="DV112" s="316"/>
      <c r="DW112" s="316"/>
      <c r="DX112" s="316"/>
      <c r="DY112" s="316"/>
      <c r="DZ112" s="316"/>
      <c r="EA112" s="316"/>
      <c r="EB112" s="316"/>
      <c r="EC112" s="316"/>
      <c r="ED112" s="316"/>
      <c r="EE112" s="316"/>
      <c r="EF112" s="316"/>
      <c r="EG112" s="316"/>
      <c r="EH112" s="316"/>
      <c r="EI112" s="316"/>
      <c r="EJ112" s="316"/>
      <c r="EK112" s="316"/>
      <c r="EL112" s="316"/>
      <c r="EM112" s="316"/>
      <c r="EN112" s="316"/>
      <c r="EO112" s="316"/>
      <c r="EP112" s="316"/>
      <c r="EQ112" s="316"/>
      <c r="ER112" s="316"/>
      <c r="ES112" s="316"/>
      <c r="ET112" s="316"/>
      <c r="EU112" s="316"/>
      <c r="EV112" s="316"/>
      <c r="EW112" s="316"/>
      <c r="EX112" s="316"/>
      <c r="EY112" s="316"/>
      <c r="EZ112" s="316"/>
      <c r="FA112" s="316"/>
      <c r="FB112" s="316"/>
      <c r="FC112" s="316"/>
      <c r="FD112" s="316"/>
      <c r="FE112" s="316"/>
      <c r="FF112" s="316"/>
      <c r="FG112" s="314"/>
      <c r="FH112" s="314"/>
      <c r="FI112" s="314"/>
      <c r="FJ112" s="316"/>
      <c r="FK112" s="316"/>
      <c r="FL112" s="316"/>
      <c r="FM112" s="316"/>
      <c r="FN112" s="316"/>
      <c r="FO112" s="316"/>
      <c r="FP112" s="316"/>
      <c r="FQ112" s="316"/>
      <c r="FR112" s="316"/>
      <c r="FS112" s="316"/>
      <c r="FT112" s="316"/>
      <c r="FU112" s="316"/>
      <c r="FV112" s="316"/>
      <c r="FW112" s="316"/>
      <c r="FX112" s="316"/>
      <c r="FY112" s="316"/>
      <c r="FZ112" s="316"/>
      <c r="GA112" s="316"/>
      <c r="GB112" s="316"/>
      <c r="GC112" s="316"/>
      <c r="GD112" s="316"/>
      <c r="GE112" s="316"/>
      <c r="GF112" s="316"/>
      <c r="GG112" s="316"/>
      <c r="GH112" s="316"/>
      <c r="GI112" s="316"/>
      <c r="GJ112" s="316"/>
      <c r="GK112" s="316"/>
      <c r="GL112" s="316"/>
      <c r="GM112" s="316"/>
      <c r="GN112" s="316"/>
      <c r="GO112" s="316"/>
      <c r="GP112" s="316"/>
      <c r="GQ112" s="316"/>
      <c r="GR112" s="316"/>
      <c r="GS112" s="316"/>
      <c r="GT112" s="316"/>
      <c r="GU112" s="315"/>
    </row>
    <row r="113" spans="1:256" ht="13.8" hidden="1">
      <c r="A113" s="308"/>
      <c r="B113" s="197"/>
      <c r="C113" s="309"/>
      <c r="D113" s="197"/>
      <c r="E113" s="197"/>
      <c r="F113" s="197"/>
      <c r="G113" s="197"/>
      <c r="H113" s="197"/>
      <c r="I113" s="197"/>
      <c r="J113" s="198"/>
      <c r="K113" s="199"/>
      <c r="L113" s="200"/>
      <c r="M113" s="302"/>
      <c r="N113" s="200"/>
      <c r="O113" s="200"/>
      <c r="P113" s="200"/>
      <c r="Q113" s="313"/>
      <c r="R113" s="200"/>
      <c r="S113" s="200"/>
      <c r="T113" s="200"/>
      <c r="U113" s="200"/>
      <c r="V113" s="200"/>
      <c r="W113" s="200"/>
      <c r="X113" s="200"/>
      <c r="Y113" s="200"/>
      <c r="Z113" s="200"/>
      <c r="AA113" s="200"/>
      <c r="AB113" s="200"/>
      <c r="AC113" s="200"/>
      <c r="AD113" s="200"/>
      <c r="AE113" s="200"/>
      <c r="AF113" s="200"/>
      <c r="AG113" s="200"/>
      <c r="AH113" s="200"/>
      <c r="AI113" s="200"/>
      <c r="AJ113" s="200"/>
      <c r="AK113" s="200"/>
      <c r="AL113" s="200"/>
      <c r="AM113" s="200"/>
      <c r="AN113" s="200"/>
      <c r="AO113" s="200"/>
      <c r="AP113" s="200"/>
      <c r="AQ113" s="200"/>
      <c r="AR113" s="200"/>
      <c r="AS113" s="200"/>
      <c r="AT113" s="200"/>
      <c r="AU113" s="200"/>
      <c r="AV113" s="200"/>
      <c r="AW113" s="200"/>
      <c r="AX113" s="200"/>
      <c r="AY113" s="200"/>
      <c r="AZ113" s="200"/>
      <c r="BA113" s="200"/>
      <c r="BB113" s="200"/>
      <c r="BC113" s="200"/>
      <c r="BD113" s="200"/>
      <c r="BE113" s="200"/>
      <c r="BF113" s="200"/>
      <c r="BG113" s="200"/>
      <c r="BH113" s="200"/>
      <c r="BI113" s="200"/>
      <c r="BJ113" s="200"/>
      <c r="BK113" s="200"/>
      <c r="BL113" s="200"/>
      <c r="BM113" s="200"/>
      <c r="BN113" s="200"/>
      <c r="BO113" s="200"/>
      <c r="BP113" s="200"/>
      <c r="BQ113" s="200"/>
      <c r="BR113" s="200"/>
      <c r="BS113" s="200"/>
      <c r="BT113" s="200"/>
      <c r="BU113" s="200"/>
      <c r="BV113" s="200"/>
      <c r="BW113" s="200"/>
      <c r="BX113" s="200"/>
      <c r="BY113" s="200"/>
      <c r="BZ113" s="200"/>
      <c r="CA113" s="200"/>
      <c r="CB113" s="200"/>
      <c r="CC113" s="200"/>
      <c r="CD113" s="200"/>
      <c r="CE113" s="200"/>
      <c r="CF113" s="200"/>
      <c r="CG113" s="200"/>
      <c r="CH113" s="200"/>
      <c r="CI113" s="200"/>
      <c r="CJ113" s="200"/>
      <c r="CK113" s="200"/>
      <c r="CL113" s="200"/>
      <c r="CM113" s="200"/>
      <c r="CN113" s="200"/>
      <c r="CO113" s="200"/>
      <c r="CP113" s="200"/>
      <c r="CQ113" s="200"/>
      <c r="CR113" s="200"/>
      <c r="CS113" s="200"/>
      <c r="CT113" s="200"/>
      <c r="CU113" s="200"/>
      <c r="CV113" s="200"/>
      <c r="CW113" s="200"/>
      <c r="CX113" s="200"/>
      <c r="CY113" s="200"/>
      <c r="CZ113" s="200"/>
      <c r="DA113" s="200"/>
      <c r="DB113" s="200"/>
      <c r="DC113" s="200"/>
      <c r="DD113" s="200"/>
      <c r="DE113" s="200"/>
      <c r="DF113" s="200"/>
      <c r="DG113" s="200"/>
      <c r="DH113" s="200"/>
      <c r="DI113" s="200"/>
      <c r="DJ113" s="200"/>
      <c r="DK113" s="200"/>
      <c r="DL113" s="200"/>
      <c r="DM113" s="200"/>
      <c r="DN113" s="200"/>
      <c r="DO113" s="200"/>
      <c r="DP113" s="200"/>
      <c r="DQ113" s="200"/>
      <c r="DR113" s="200"/>
      <c r="DS113" s="200"/>
      <c r="DT113" s="200"/>
      <c r="DU113" s="200"/>
      <c r="DV113" s="200"/>
      <c r="DW113" s="200"/>
      <c r="DX113" s="200"/>
      <c r="DY113" s="200"/>
      <c r="DZ113" s="200"/>
      <c r="EA113" s="200"/>
      <c r="EB113" s="200"/>
      <c r="EC113" s="200"/>
      <c r="ED113" s="200"/>
      <c r="EE113" s="200"/>
      <c r="EF113" s="200"/>
      <c r="EG113" s="200"/>
      <c r="EH113" s="200"/>
      <c r="EI113" s="200"/>
      <c r="EJ113" s="200"/>
      <c r="EK113" s="200"/>
      <c r="EL113" s="200"/>
      <c r="EM113" s="200"/>
      <c r="EN113" s="200"/>
      <c r="EO113" s="200"/>
      <c r="EP113" s="200"/>
      <c r="EQ113" s="200"/>
      <c r="ER113" s="200"/>
      <c r="ES113" s="200"/>
      <c r="ET113" s="200"/>
      <c r="EU113" s="200"/>
      <c r="EV113" s="200"/>
      <c r="EW113" s="200"/>
      <c r="EX113" s="200"/>
      <c r="EY113" s="200"/>
      <c r="EZ113" s="200"/>
      <c r="FA113" s="200"/>
      <c r="FB113" s="200"/>
      <c r="FC113" s="200"/>
      <c r="FD113" s="200"/>
      <c r="FE113" s="200"/>
      <c r="FF113" s="200"/>
      <c r="FG113" s="314"/>
      <c r="FH113" s="314"/>
      <c r="FI113" s="314"/>
      <c r="FJ113" s="200"/>
      <c r="FK113" s="200"/>
      <c r="FL113" s="200"/>
      <c r="FM113" s="200"/>
      <c r="FN113" s="200"/>
      <c r="FO113" s="200"/>
      <c r="FP113" s="200"/>
      <c r="FQ113" s="200"/>
      <c r="FR113" s="200"/>
      <c r="FS113" s="200"/>
      <c r="FT113" s="200"/>
      <c r="FU113" s="200"/>
      <c r="FV113" s="200"/>
      <c r="FW113" s="200"/>
      <c r="FX113" s="200"/>
      <c r="FY113" s="200"/>
      <c r="FZ113" s="200"/>
      <c r="GA113" s="200"/>
      <c r="GB113" s="200"/>
      <c r="GC113" s="200"/>
      <c r="GD113" s="200"/>
      <c r="GE113" s="200"/>
      <c r="GF113" s="200"/>
      <c r="GG113" s="200"/>
      <c r="GH113" s="200"/>
      <c r="GI113" s="200"/>
      <c r="GJ113" s="200"/>
      <c r="GK113" s="200"/>
      <c r="GL113" s="200"/>
      <c r="GM113" s="200"/>
      <c r="GN113" s="200"/>
      <c r="GO113" s="200"/>
      <c r="GP113" s="200"/>
      <c r="GQ113" s="200"/>
      <c r="GR113" s="200"/>
      <c r="GS113" s="200"/>
      <c r="GT113" s="200"/>
      <c r="GU113" s="315"/>
    </row>
    <row r="114" spans="1:256" ht="13.8" hidden="1">
      <c r="A114" s="308"/>
      <c r="B114" s="197"/>
      <c r="C114" s="309"/>
      <c r="D114" s="197"/>
      <c r="E114" s="197"/>
      <c r="F114" s="197"/>
      <c r="G114" s="197"/>
      <c r="H114" s="197"/>
      <c r="I114" s="197"/>
      <c r="J114" s="198"/>
      <c r="K114" s="199"/>
      <c r="L114" s="200"/>
      <c r="M114" s="302"/>
      <c r="N114" s="316"/>
      <c r="O114" s="316"/>
      <c r="P114" s="316"/>
      <c r="Q114" s="313"/>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c r="AS114" s="316"/>
      <c r="AT114" s="316"/>
      <c r="AU114" s="316"/>
      <c r="AV114" s="316"/>
      <c r="AW114" s="316"/>
      <c r="AX114" s="316"/>
      <c r="AY114" s="316"/>
      <c r="AZ114" s="316"/>
      <c r="BA114" s="316"/>
      <c r="BB114" s="316"/>
      <c r="BC114" s="316"/>
      <c r="BD114" s="316"/>
      <c r="BE114" s="316"/>
      <c r="BF114" s="316"/>
      <c r="BG114" s="316"/>
      <c r="BH114" s="316"/>
      <c r="BI114" s="316"/>
      <c r="BJ114" s="316"/>
      <c r="BK114" s="316"/>
      <c r="BL114" s="316"/>
      <c r="BM114" s="316"/>
      <c r="BN114" s="316"/>
      <c r="BO114" s="316"/>
      <c r="BP114" s="316"/>
      <c r="BQ114" s="316"/>
      <c r="BR114" s="316"/>
      <c r="BS114" s="316"/>
      <c r="BT114" s="316"/>
      <c r="BU114" s="316"/>
      <c r="BV114" s="316"/>
      <c r="BW114" s="316"/>
      <c r="BX114" s="316"/>
      <c r="BY114" s="316"/>
      <c r="BZ114" s="316"/>
      <c r="CA114" s="316"/>
      <c r="CB114" s="316"/>
      <c r="CC114" s="316"/>
      <c r="CD114" s="316"/>
      <c r="CE114" s="316"/>
      <c r="CF114" s="316"/>
      <c r="CG114" s="316"/>
      <c r="CH114" s="316"/>
      <c r="CI114" s="316"/>
      <c r="CJ114" s="316"/>
      <c r="CK114" s="316"/>
      <c r="CL114" s="316"/>
      <c r="CM114" s="316"/>
      <c r="CN114" s="316"/>
      <c r="CO114" s="316"/>
      <c r="CP114" s="316"/>
      <c r="CQ114" s="316"/>
      <c r="CR114" s="316"/>
      <c r="CS114" s="316"/>
      <c r="CT114" s="316"/>
      <c r="CU114" s="316"/>
      <c r="CV114" s="316"/>
      <c r="CW114" s="316"/>
      <c r="CX114" s="316"/>
      <c r="CY114" s="316"/>
      <c r="CZ114" s="316"/>
      <c r="DA114" s="316"/>
      <c r="DB114" s="316"/>
      <c r="DC114" s="316"/>
      <c r="DD114" s="316"/>
      <c r="DE114" s="316"/>
      <c r="DF114" s="316"/>
      <c r="DG114" s="316"/>
      <c r="DH114" s="316"/>
      <c r="DI114" s="316"/>
      <c r="DJ114" s="316"/>
      <c r="DK114" s="316"/>
      <c r="DL114" s="316"/>
      <c r="DM114" s="316"/>
      <c r="DN114" s="316"/>
      <c r="DO114" s="316"/>
      <c r="DP114" s="316"/>
      <c r="DQ114" s="316"/>
      <c r="DR114" s="316"/>
      <c r="DS114" s="316"/>
      <c r="DT114" s="316"/>
      <c r="DU114" s="316"/>
      <c r="DV114" s="316"/>
      <c r="DW114" s="316"/>
      <c r="DX114" s="316"/>
      <c r="DY114" s="316"/>
      <c r="DZ114" s="316"/>
      <c r="EA114" s="316"/>
      <c r="EB114" s="316"/>
      <c r="EC114" s="316"/>
      <c r="ED114" s="316"/>
      <c r="EE114" s="316"/>
      <c r="EF114" s="316"/>
      <c r="EG114" s="316"/>
      <c r="EH114" s="316"/>
      <c r="EI114" s="316"/>
      <c r="EJ114" s="316"/>
      <c r="EK114" s="316"/>
      <c r="EL114" s="316"/>
      <c r="EM114" s="316"/>
      <c r="EN114" s="316"/>
      <c r="EO114" s="316"/>
      <c r="EP114" s="316"/>
      <c r="EQ114" s="316"/>
      <c r="ER114" s="316"/>
      <c r="ES114" s="316"/>
      <c r="ET114" s="316"/>
      <c r="EU114" s="316"/>
      <c r="EV114" s="316"/>
      <c r="EW114" s="316"/>
      <c r="EX114" s="316"/>
      <c r="EY114" s="316"/>
      <c r="EZ114" s="316"/>
      <c r="FA114" s="316"/>
      <c r="FB114" s="316"/>
      <c r="FC114" s="316"/>
      <c r="FD114" s="316"/>
      <c r="FE114" s="316"/>
      <c r="FF114" s="316"/>
      <c r="FG114" s="314"/>
      <c r="FH114" s="314"/>
      <c r="FI114" s="314"/>
      <c r="FJ114" s="316"/>
      <c r="FK114" s="316"/>
      <c r="FL114" s="316"/>
      <c r="FM114" s="316"/>
      <c r="FN114" s="316"/>
      <c r="FO114" s="316"/>
      <c r="FP114" s="316"/>
      <c r="FQ114" s="316"/>
      <c r="FR114" s="316"/>
      <c r="FS114" s="316"/>
      <c r="FT114" s="316"/>
      <c r="FU114" s="316"/>
      <c r="FV114" s="316"/>
      <c r="FW114" s="316"/>
      <c r="FX114" s="316"/>
      <c r="FY114" s="316"/>
      <c r="FZ114" s="316"/>
      <c r="GA114" s="316"/>
      <c r="GB114" s="316"/>
      <c r="GC114" s="316"/>
      <c r="GD114" s="316"/>
      <c r="GE114" s="316"/>
      <c r="GF114" s="316"/>
      <c r="GG114" s="316"/>
      <c r="GH114" s="316"/>
      <c r="GI114" s="316"/>
      <c r="GJ114" s="316"/>
      <c r="GK114" s="316"/>
      <c r="GL114" s="316"/>
      <c r="GM114" s="316"/>
      <c r="GN114" s="316"/>
      <c r="GO114" s="316"/>
      <c r="GP114" s="316"/>
      <c r="GQ114" s="316"/>
      <c r="GR114" s="316"/>
      <c r="GS114" s="316"/>
      <c r="GT114" s="316"/>
      <c r="GU114" s="315"/>
    </row>
    <row r="115" spans="1:256" ht="13.8" hidden="1">
      <c r="A115" s="308"/>
      <c r="B115" s="197"/>
      <c r="C115" s="309"/>
      <c r="D115" s="197"/>
      <c r="E115" s="197"/>
      <c r="F115" s="197"/>
      <c r="G115" s="197"/>
      <c r="H115" s="197"/>
      <c r="I115" s="197"/>
      <c r="J115" s="198"/>
      <c r="K115" s="199"/>
      <c r="L115" s="200"/>
      <c r="M115" s="302"/>
      <c r="N115" s="202"/>
      <c r="O115" s="202"/>
      <c r="P115" s="202"/>
      <c r="Q115" s="313"/>
      <c r="R115" s="202"/>
      <c r="S115" s="202"/>
      <c r="T115" s="202"/>
      <c r="U115" s="202"/>
      <c r="V115" s="202"/>
      <c r="W115" s="202"/>
      <c r="X115" s="202"/>
      <c r="Y115" s="202"/>
      <c r="Z115" s="202"/>
      <c r="AA115" s="202"/>
      <c r="AB115" s="202"/>
      <c r="AC115" s="202"/>
      <c r="AD115" s="202"/>
      <c r="AE115" s="202"/>
      <c r="AF115" s="202"/>
      <c r="AG115" s="202"/>
      <c r="AH115" s="202"/>
      <c r="AI115" s="202"/>
      <c r="AJ115" s="202"/>
      <c r="AK115" s="202"/>
      <c r="AL115" s="202"/>
      <c r="AM115" s="202"/>
      <c r="AN115" s="202"/>
      <c r="AO115" s="202"/>
      <c r="AP115" s="202"/>
      <c r="AQ115" s="202"/>
      <c r="AR115" s="202"/>
      <c r="AS115" s="202"/>
      <c r="AT115" s="202"/>
      <c r="AU115" s="202"/>
      <c r="AV115" s="202"/>
      <c r="AW115" s="202"/>
      <c r="AX115" s="202"/>
      <c r="AY115" s="202"/>
      <c r="AZ115" s="202"/>
      <c r="BA115" s="202"/>
      <c r="BB115" s="202"/>
      <c r="BC115" s="202"/>
      <c r="BD115" s="202"/>
      <c r="BE115" s="202"/>
      <c r="BF115" s="202"/>
      <c r="BG115" s="202"/>
      <c r="BH115" s="202"/>
      <c r="BI115" s="202"/>
      <c r="BJ115" s="202"/>
      <c r="BK115" s="202"/>
      <c r="BL115" s="202"/>
      <c r="BM115" s="202"/>
      <c r="BN115" s="202"/>
      <c r="BO115" s="202"/>
      <c r="BP115" s="202"/>
      <c r="BQ115" s="202"/>
      <c r="BR115" s="202"/>
      <c r="BS115" s="202"/>
      <c r="BT115" s="202"/>
      <c r="BU115" s="202"/>
      <c r="BV115" s="202"/>
      <c r="BW115" s="202"/>
      <c r="BX115" s="202"/>
      <c r="BY115" s="202"/>
      <c r="BZ115" s="202"/>
      <c r="CA115" s="202"/>
      <c r="CB115" s="202"/>
      <c r="CC115" s="202"/>
      <c r="CD115" s="202"/>
      <c r="CE115" s="202"/>
      <c r="CF115" s="202"/>
      <c r="CG115" s="202"/>
      <c r="CH115" s="202"/>
      <c r="CI115" s="202"/>
      <c r="CJ115" s="202"/>
      <c r="CK115" s="202"/>
      <c r="CL115" s="202"/>
      <c r="CM115" s="202"/>
      <c r="CN115" s="202"/>
      <c r="CO115" s="202"/>
      <c r="CP115" s="202"/>
      <c r="CQ115" s="202"/>
      <c r="CR115" s="202"/>
      <c r="CS115" s="202"/>
      <c r="CT115" s="202"/>
      <c r="CU115" s="202"/>
      <c r="CV115" s="202"/>
      <c r="CW115" s="202"/>
      <c r="CX115" s="202"/>
      <c r="CY115" s="202"/>
      <c r="CZ115" s="202"/>
      <c r="DA115" s="202"/>
      <c r="DB115" s="202"/>
      <c r="DC115" s="202"/>
      <c r="DD115" s="202"/>
      <c r="DE115" s="202"/>
      <c r="DF115" s="202"/>
      <c r="DG115" s="202"/>
      <c r="DH115" s="202"/>
      <c r="DI115" s="202"/>
      <c r="DJ115" s="202"/>
      <c r="DK115" s="202"/>
      <c r="DL115" s="202"/>
      <c r="DM115" s="202"/>
      <c r="DN115" s="202"/>
      <c r="DO115" s="202"/>
      <c r="DP115" s="202"/>
      <c r="DQ115" s="202"/>
      <c r="DR115" s="202"/>
      <c r="DS115" s="202"/>
      <c r="DT115" s="202"/>
      <c r="DU115" s="202"/>
      <c r="DV115" s="202"/>
      <c r="DW115" s="202"/>
      <c r="DX115" s="202"/>
      <c r="DY115" s="202"/>
      <c r="DZ115" s="202"/>
      <c r="EA115" s="202"/>
      <c r="EB115" s="202"/>
      <c r="EC115" s="202"/>
      <c r="ED115" s="202"/>
      <c r="EE115" s="202"/>
      <c r="EF115" s="202"/>
      <c r="EG115" s="202"/>
      <c r="EH115" s="202"/>
      <c r="EI115" s="202"/>
      <c r="EJ115" s="202"/>
      <c r="EK115" s="202"/>
      <c r="EL115" s="202"/>
      <c r="EM115" s="202"/>
      <c r="EN115" s="202"/>
      <c r="EO115" s="202"/>
      <c r="EP115" s="202"/>
      <c r="EQ115" s="202"/>
      <c r="ER115" s="202"/>
      <c r="ES115" s="202"/>
      <c r="ET115" s="202"/>
      <c r="EU115" s="202"/>
      <c r="EV115" s="202"/>
      <c r="EW115" s="202"/>
      <c r="EX115" s="202"/>
      <c r="EY115" s="202"/>
      <c r="EZ115" s="202"/>
      <c r="FA115" s="202"/>
      <c r="FB115" s="202"/>
      <c r="FC115" s="202"/>
      <c r="FD115" s="202"/>
      <c r="FE115" s="202"/>
      <c r="FF115" s="202"/>
      <c r="FG115" s="314"/>
      <c r="FH115" s="314"/>
      <c r="FI115" s="314"/>
      <c r="FJ115" s="202"/>
      <c r="FK115" s="202"/>
      <c r="FL115" s="202"/>
      <c r="FM115" s="202"/>
      <c r="FN115" s="202"/>
      <c r="FO115" s="202"/>
      <c r="FP115" s="202"/>
      <c r="FQ115" s="202"/>
      <c r="FR115" s="202"/>
      <c r="FS115" s="202"/>
      <c r="FT115" s="202"/>
      <c r="FU115" s="202"/>
      <c r="FV115" s="202"/>
      <c r="FW115" s="202"/>
      <c r="FX115" s="202"/>
      <c r="FY115" s="202"/>
      <c r="FZ115" s="202"/>
      <c r="GA115" s="202"/>
      <c r="GB115" s="202"/>
      <c r="GC115" s="202"/>
      <c r="GD115" s="202"/>
      <c r="GE115" s="202"/>
      <c r="GF115" s="202"/>
      <c r="GG115" s="202"/>
      <c r="GH115" s="202"/>
      <c r="GI115" s="202"/>
      <c r="GJ115" s="202"/>
      <c r="GK115" s="202"/>
      <c r="GL115" s="202"/>
      <c r="GM115" s="202"/>
      <c r="GN115" s="202"/>
      <c r="GO115" s="202"/>
      <c r="GP115" s="202"/>
      <c r="GQ115" s="202"/>
      <c r="GR115" s="202"/>
      <c r="GS115" s="202"/>
      <c r="GT115" s="202"/>
      <c r="GU115" s="315"/>
    </row>
    <row r="116" spans="1:256" ht="13.8" hidden="1">
      <c r="A116" s="308"/>
      <c r="B116" s="197"/>
      <c r="C116" s="309"/>
      <c r="D116" s="197"/>
      <c r="E116" s="197"/>
      <c r="F116" s="197"/>
      <c r="G116" s="197"/>
      <c r="H116" s="197"/>
      <c r="I116" s="197"/>
      <c r="J116" s="198"/>
      <c r="K116" s="199"/>
      <c r="L116" s="200"/>
      <c r="M116" s="302"/>
      <c r="N116" s="202"/>
      <c r="O116" s="202"/>
      <c r="P116" s="202"/>
      <c r="Q116" s="313"/>
      <c r="R116" s="202"/>
      <c r="S116" s="202"/>
      <c r="T116" s="202"/>
      <c r="U116" s="202"/>
      <c r="V116" s="202"/>
      <c r="W116" s="202"/>
      <c r="X116" s="202"/>
      <c r="Y116" s="202"/>
      <c r="Z116" s="202"/>
      <c r="AA116" s="202"/>
      <c r="AB116" s="202"/>
      <c r="AC116" s="202"/>
      <c r="AD116" s="202"/>
      <c r="AE116" s="202"/>
      <c r="AF116" s="202"/>
      <c r="AG116" s="202"/>
      <c r="AH116" s="202"/>
      <c r="AI116" s="202"/>
      <c r="AJ116" s="202"/>
      <c r="AK116" s="202"/>
      <c r="AL116" s="202"/>
      <c r="AM116" s="202"/>
      <c r="AN116" s="202"/>
      <c r="AO116" s="202"/>
      <c r="AP116" s="202"/>
      <c r="AQ116" s="202"/>
      <c r="AR116" s="202"/>
      <c r="AS116" s="202"/>
      <c r="AT116" s="202"/>
      <c r="AU116" s="202"/>
      <c r="AV116" s="202"/>
      <c r="AW116" s="202"/>
      <c r="AX116" s="202"/>
      <c r="AY116" s="202"/>
      <c r="AZ116" s="202"/>
      <c r="BA116" s="202"/>
      <c r="BB116" s="202"/>
      <c r="BC116" s="202"/>
      <c r="BD116" s="202"/>
      <c r="BE116" s="202"/>
      <c r="BF116" s="202"/>
      <c r="BG116" s="202"/>
      <c r="BH116" s="202"/>
      <c r="BI116" s="202"/>
      <c r="BJ116" s="202"/>
      <c r="BK116" s="202"/>
      <c r="BL116" s="202"/>
      <c r="BM116" s="202"/>
      <c r="BN116" s="202"/>
      <c r="BO116" s="202"/>
      <c r="BP116" s="202"/>
      <c r="BQ116" s="202"/>
      <c r="BR116" s="202"/>
      <c r="BS116" s="202"/>
      <c r="BT116" s="202"/>
      <c r="BU116" s="202"/>
      <c r="BV116" s="202"/>
      <c r="BW116" s="202"/>
      <c r="BX116" s="202"/>
      <c r="BY116" s="202"/>
      <c r="BZ116" s="202"/>
      <c r="CA116" s="202"/>
      <c r="CB116" s="202"/>
      <c r="CC116" s="202"/>
      <c r="CD116" s="202"/>
      <c r="CE116" s="202"/>
      <c r="CF116" s="202"/>
      <c r="CG116" s="202"/>
      <c r="CH116" s="202"/>
      <c r="CI116" s="202"/>
      <c r="CJ116" s="202"/>
      <c r="CK116" s="202"/>
      <c r="CL116" s="202"/>
      <c r="CM116" s="202"/>
      <c r="CN116" s="202"/>
      <c r="CO116" s="202"/>
      <c r="CP116" s="202"/>
      <c r="CQ116" s="202"/>
      <c r="CR116" s="202"/>
      <c r="CS116" s="202"/>
      <c r="CT116" s="202"/>
      <c r="CU116" s="202"/>
      <c r="CV116" s="202"/>
      <c r="CW116" s="202"/>
      <c r="CX116" s="202"/>
      <c r="CY116" s="202"/>
      <c r="CZ116" s="202"/>
      <c r="DA116" s="202"/>
      <c r="DB116" s="202"/>
      <c r="DC116" s="202"/>
      <c r="DD116" s="202"/>
      <c r="DE116" s="202"/>
      <c r="DF116" s="202"/>
      <c r="DG116" s="202"/>
      <c r="DH116" s="202"/>
      <c r="DI116" s="202"/>
      <c r="DJ116" s="202"/>
      <c r="DK116" s="202"/>
      <c r="DL116" s="202"/>
      <c r="DM116" s="202"/>
      <c r="DN116" s="202"/>
      <c r="DO116" s="202"/>
      <c r="DP116" s="202"/>
      <c r="DQ116" s="202"/>
      <c r="DR116" s="202"/>
      <c r="DS116" s="202"/>
      <c r="DT116" s="202"/>
      <c r="DU116" s="202"/>
      <c r="DV116" s="202"/>
      <c r="DW116" s="202"/>
      <c r="DX116" s="202"/>
      <c r="DY116" s="202"/>
      <c r="DZ116" s="202"/>
      <c r="EA116" s="202"/>
      <c r="EB116" s="202"/>
      <c r="EC116" s="202"/>
      <c r="ED116" s="202"/>
      <c r="EE116" s="202"/>
      <c r="EF116" s="202"/>
      <c r="EG116" s="202"/>
      <c r="EH116" s="202"/>
      <c r="EI116" s="202"/>
      <c r="EJ116" s="202"/>
      <c r="EK116" s="202"/>
      <c r="EL116" s="202"/>
      <c r="EM116" s="202"/>
      <c r="EN116" s="202"/>
      <c r="EO116" s="202"/>
      <c r="EP116" s="202"/>
      <c r="EQ116" s="202"/>
      <c r="ER116" s="202"/>
      <c r="ES116" s="202"/>
      <c r="ET116" s="202"/>
      <c r="EU116" s="202"/>
      <c r="EV116" s="202"/>
      <c r="EW116" s="202"/>
      <c r="EX116" s="202"/>
      <c r="EY116" s="202"/>
      <c r="EZ116" s="202"/>
      <c r="FA116" s="202"/>
      <c r="FB116" s="202"/>
      <c r="FC116" s="202"/>
      <c r="FD116" s="202"/>
      <c r="FE116" s="202"/>
      <c r="FF116" s="202"/>
      <c r="FG116" s="314"/>
      <c r="FH116" s="314"/>
      <c r="FI116" s="314"/>
      <c r="FJ116" s="202"/>
      <c r="FK116" s="202"/>
      <c r="FL116" s="202"/>
      <c r="FM116" s="202"/>
      <c r="FN116" s="202"/>
      <c r="FO116" s="202"/>
      <c r="FP116" s="202"/>
      <c r="FQ116" s="202"/>
      <c r="FR116" s="202"/>
      <c r="FS116" s="202"/>
      <c r="FT116" s="202"/>
      <c r="FU116" s="202"/>
      <c r="FV116" s="202"/>
      <c r="FW116" s="202"/>
      <c r="FX116" s="202"/>
      <c r="FY116" s="202"/>
      <c r="FZ116" s="202"/>
      <c r="GA116" s="202"/>
      <c r="GB116" s="202"/>
      <c r="GC116" s="202"/>
      <c r="GD116" s="202"/>
      <c r="GE116" s="202"/>
      <c r="GF116" s="202"/>
      <c r="GG116" s="202"/>
      <c r="GH116" s="202"/>
      <c r="GI116" s="202"/>
      <c r="GJ116" s="202"/>
      <c r="GK116" s="202"/>
      <c r="GL116" s="202"/>
      <c r="GM116" s="202"/>
      <c r="GN116" s="202"/>
      <c r="GO116" s="202"/>
      <c r="GP116" s="202"/>
      <c r="GQ116" s="202"/>
      <c r="GR116" s="202"/>
      <c r="GS116" s="202"/>
      <c r="GT116" s="202"/>
      <c r="GU116" s="315"/>
    </row>
    <row r="117" spans="1:256" s="247" customFormat="1" ht="13.8" hidden="1">
      <c r="A117" s="317"/>
      <c r="B117" s="239"/>
      <c r="C117" s="318"/>
      <c r="D117" s="239"/>
      <c r="E117" s="239"/>
      <c r="F117" s="239"/>
      <c r="G117" s="239"/>
      <c r="H117" s="239"/>
      <c r="I117" s="239"/>
      <c r="J117" s="240"/>
      <c r="K117" s="241"/>
      <c r="L117" s="242"/>
      <c r="M117" s="302"/>
      <c r="N117" s="243"/>
      <c r="O117" s="243"/>
      <c r="P117" s="243"/>
      <c r="Q117" s="319"/>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320"/>
      <c r="FH117" s="320"/>
      <c r="FI117" s="320"/>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161" t="s">
        <v>3887</v>
      </c>
      <c r="GV117" s="169"/>
      <c r="GW117" s="169"/>
      <c r="GX117" s="169"/>
      <c r="GY117" s="169"/>
      <c r="GZ117" s="169"/>
      <c r="HA117" s="169"/>
      <c r="HB117" s="169"/>
      <c r="HC117" s="169"/>
      <c r="HD117" s="169"/>
      <c r="HE117" s="169"/>
      <c r="HF117" s="169"/>
      <c r="HG117" s="169"/>
      <c r="HH117" s="169"/>
      <c r="HI117" s="169"/>
      <c r="HJ117" s="169"/>
      <c r="HK117" s="169"/>
      <c r="HL117" s="169"/>
      <c r="HM117" s="169"/>
      <c r="HN117" s="169"/>
      <c r="HO117" s="169"/>
      <c r="HP117" s="169"/>
      <c r="HQ117" s="169"/>
      <c r="HR117" s="169"/>
      <c r="HS117" s="169"/>
      <c r="HT117" s="169"/>
      <c r="HU117" s="169"/>
      <c r="HV117" s="169"/>
      <c r="HW117" s="169"/>
      <c r="HX117" s="169"/>
      <c r="HY117" s="169"/>
      <c r="HZ117" s="169"/>
      <c r="IA117" s="169"/>
      <c r="IB117" s="169"/>
      <c r="IC117" s="169"/>
      <c r="ID117" s="169"/>
      <c r="IE117" s="169"/>
      <c r="IF117" s="169"/>
      <c r="IG117" s="169"/>
      <c r="IH117" s="169"/>
      <c r="II117" s="169"/>
      <c r="IJ117" s="169"/>
      <c r="IK117" s="169"/>
      <c r="IL117" s="169"/>
      <c r="IM117" s="169"/>
      <c r="IN117" s="169"/>
      <c r="IO117" s="169"/>
      <c r="IP117" s="169"/>
      <c r="IQ117" s="169"/>
      <c r="IR117" s="169"/>
      <c r="IS117" s="169"/>
      <c r="IT117" s="169"/>
      <c r="IU117" s="169"/>
      <c r="IV117" s="169"/>
    </row>
    <row r="118" spans="1:256" ht="13.8" hidden="1">
      <c r="A118" s="321"/>
      <c r="B118" s="216"/>
      <c r="C118" s="197"/>
      <c r="D118" s="197"/>
      <c r="E118" s="197"/>
      <c r="F118" s="197"/>
      <c r="G118" s="197"/>
      <c r="H118" s="197"/>
      <c r="I118" s="197"/>
      <c r="J118" s="198"/>
      <c r="K118" s="199"/>
      <c r="L118" s="200"/>
      <c r="M118" s="322"/>
      <c r="N118" s="200"/>
      <c r="O118" s="200"/>
      <c r="P118" s="200"/>
      <c r="Q118" s="323"/>
      <c r="R118" s="200"/>
      <c r="S118" s="200"/>
      <c r="T118" s="200"/>
      <c r="U118" s="200"/>
      <c r="V118" s="200"/>
      <c r="W118" s="200"/>
      <c r="X118" s="200"/>
      <c r="Y118" s="200"/>
      <c r="Z118" s="200"/>
      <c r="AA118" s="200"/>
      <c r="AB118" s="200"/>
      <c r="AC118" s="200"/>
      <c r="AD118" s="200"/>
      <c r="AE118" s="200"/>
      <c r="AF118" s="200"/>
      <c r="AG118" s="200"/>
      <c r="AH118" s="200"/>
      <c r="AI118" s="200"/>
      <c r="AJ118" s="200"/>
      <c r="AK118" s="200"/>
      <c r="AL118" s="200"/>
      <c r="AM118" s="200"/>
      <c r="AN118" s="200"/>
      <c r="AO118" s="200"/>
      <c r="AP118" s="200"/>
      <c r="AQ118" s="200"/>
      <c r="AR118" s="200"/>
      <c r="AS118" s="200"/>
      <c r="AT118" s="200"/>
      <c r="AU118" s="200"/>
      <c r="AV118" s="200"/>
      <c r="AW118" s="200"/>
      <c r="AX118" s="200"/>
      <c r="AY118" s="200"/>
      <c r="AZ118" s="200"/>
      <c r="BA118" s="200"/>
      <c r="BB118" s="200"/>
      <c r="BC118" s="200"/>
      <c r="BD118" s="200"/>
      <c r="BE118" s="200"/>
      <c r="BF118" s="200"/>
      <c r="BG118" s="200"/>
      <c r="BH118" s="200"/>
      <c r="BI118" s="200"/>
      <c r="BJ118" s="200"/>
      <c r="BK118" s="200"/>
      <c r="BL118" s="200"/>
      <c r="BM118" s="200"/>
      <c r="BN118" s="200"/>
      <c r="BO118" s="200"/>
      <c r="BP118" s="200"/>
      <c r="BQ118" s="200"/>
      <c r="BR118" s="200"/>
      <c r="BS118" s="200"/>
      <c r="BT118" s="200"/>
      <c r="BU118" s="200"/>
      <c r="BV118" s="200"/>
      <c r="BW118" s="200"/>
      <c r="BX118" s="200"/>
      <c r="BY118" s="200"/>
      <c r="BZ118" s="200"/>
      <c r="CA118" s="200"/>
      <c r="CB118" s="200"/>
      <c r="CC118" s="200"/>
      <c r="CD118" s="200"/>
      <c r="CE118" s="200"/>
      <c r="CF118" s="200"/>
      <c r="CG118" s="200"/>
      <c r="CH118" s="200"/>
      <c r="CI118" s="200"/>
      <c r="CJ118" s="200"/>
      <c r="CK118" s="200"/>
      <c r="CL118" s="200"/>
      <c r="CM118" s="200"/>
      <c r="CN118" s="200"/>
      <c r="CO118" s="200"/>
      <c r="CP118" s="200"/>
      <c r="CQ118" s="200"/>
      <c r="CR118" s="200"/>
      <c r="CS118" s="200"/>
      <c r="CT118" s="200"/>
      <c r="CU118" s="200"/>
      <c r="CV118" s="200"/>
      <c r="CW118" s="200"/>
      <c r="CX118" s="200"/>
      <c r="CY118" s="200"/>
      <c r="CZ118" s="200"/>
      <c r="DA118" s="200"/>
      <c r="DB118" s="200"/>
      <c r="DC118" s="200"/>
      <c r="DD118" s="200"/>
      <c r="DE118" s="200"/>
      <c r="DF118" s="200"/>
      <c r="DG118" s="200"/>
      <c r="DH118" s="200"/>
      <c r="DI118" s="200"/>
      <c r="DJ118" s="200"/>
      <c r="DK118" s="200"/>
      <c r="DL118" s="200"/>
      <c r="DM118" s="200"/>
      <c r="DN118" s="200"/>
      <c r="DO118" s="200"/>
      <c r="DP118" s="200"/>
      <c r="DQ118" s="200"/>
      <c r="DR118" s="200"/>
      <c r="DS118" s="200"/>
      <c r="DT118" s="200"/>
      <c r="DU118" s="200"/>
      <c r="DV118" s="200"/>
      <c r="DW118" s="200"/>
      <c r="DX118" s="200"/>
      <c r="DY118" s="200"/>
      <c r="DZ118" s="200"/>
      <c r="EA118" s="200"/>
      <c r="EB118" s="200"/>
      <c r="EC118" s="200"/>
      <c r="ED118" s="200"/>
      <c r="EE118" s="200"/>
      <c r="EF118" s="200"/>
      <c r="EG118" s="200"/>
      <c r="EH118" s="200"/>
      <c r="EI118" s="200"/>
      <c r="EJ118" s="200"/>
      <c r="EK118" s="200"/>
      <c r="EL118" s="200"/>
      <c r="EM118" s="200"/>
      <c r="EN118" s="200"/>
      <c r="EO118" s="200"/>
      <c r="EP118" s="200"/>
      <c r="EQ118" s="200"/>
      <c r="ER118" s="200"/>
      <c r="ES118" s="200"/>
      <c r="ET118" s="200"/>
      <c r="EU118" s="200"/>
      <c r="EV118" s="200"/>
      <c r="EW118" s="200"/>
      <c r="EX118" s="200"/>
      <c r="EY118" s="200"/>
      <c r="EZ118" s="200"/>
      <c r="FA118" s="200"/>
      <c r="FB118" s="200"/>
      <c r="FC118" s="200"/>
      <c r="FD118" s="200"/>
      <c r="FE118" s="200"/>
      <c r="FF118" s="200"/>
      <c r="FG118" s="324"/>
      <c r="FH118" s="324"/>
      <c r="FI118" s="324"/>
      <c r="FJ118" s="200"/>
      <c r="FK118" s="200"/>
      <c r="FL118" s="200"/>
      <c r="FM118" s="200"/>
      <c r="FN118" s="200"/>
      <c r="FO118" s="200"/>
      <c r="FP118" s="200"/>
      <c r="FQ118" s="200"/>
      <c r="FR118" s="200"/>
      <c r="FS118" s="200"/>
      <c r="FT118" s="200"/>
      <c r="FU118" s="200"/>
      <c r="FV118" s="200"/>
      <c r="FW118" s="200"/>
      <c r="FX118" s="200"/>
      <c r="FY118" s="200"/>
      <c r="FZ118" s="200"/>
      <c r="GA118" s="200"/>
      <c r="GB118" s="200"/>
      <c r="GC118" s="200"/>
      <c r="GD118" s="200"/>
      <c r="GE118" s="200"/>
      <c r="GF118" s="200"/>
      <c r="GG118" s="200"/>
      <c r="GH118" s="200"/>
      <c r="GI118" s="200"/>
      <c r="GJ118" s="200"/>
      <c r="GK118" s="200"/>
      <c r="GL118" s="200"/>
      <c r="GM118" s="200"/>
      <c r="GN118" s="200"/>
      <c r="GO118" s="200"/>
      <c r="GP118" s="200"/>
      <c r="GQ118" s="200"/>
      <c r="GR118" s="200"/>
      <c r="GS118" s="200"/>
      <c r="GT118" s="200"/>
      <c r="GU118" s="325"/>
    </row>
    <row r="119" spans="1:256" s="233" customFormat="1" ht="13.8" hidden="1">
      <c r="A119" s="162"/>
      <c r="B119" s="261">
        <f>SUM(B100:B118)</f>
        <v>0</v>
      </c>
      <c r="C119" s="326"/>
      <c r="D119" s="327"/>
      <c r="E119" s="327"/>
      <c r="F119" s="327">
        <f>F118</f>
        <v>0</v>
      </c>
      <c r="G119" s="327"/>
      <c r="H119" s="327"/>
      <c r="I119" s="327"/>
      <c r="J119" s="328"/>
      <c r="K119" s="329"/>
      <c r="L119" s="330"/>
      <c r="M119" s="331"/>
      <c r="N119" s="262">
        <f>SUM(N100:N118)</f>
        <v>0</v>
      </c>
      <c r="O119" s="262">
        <f t="shared" ref="O119:CA119" si="27">SUM(O100:O118)</f>
        <v>0</v>
      </c>
      <c r="P119" s="262">
        <f t="shared" si="27"/>
        <v>0</v>
      </c>
      <c r="Q119" s="262">
        <f t="shared" si="27"/>
        <v>0</v>
      </c>
      <c r="R119" s="262">
        <f t="shared" si="27"/>
        <v>0</v>
      </c>
      <c r="S119" s="262">
        <f t="shared" si="27"/>
        <v>0</v>
      </c>
      <c r="T119" s="262">
        <f t="shared" si="27"/>
        <v>0</v>
      </c>
      <c r="U119" s="262">
        <f t="shared" si="27"/>
        <v>0</v>
      </c>
      <c r="V119" s="262">
        <f t="shared" si="27"/>
        <v>0</v>
      </c>
      <c r="W119" s="262">
        <f t="shared" si="27"/>
        <v>0</v>
      </c>
      <c r="X119" s="262">
        <f t="shared" si="27"/>
        <v>0</v>
      </c>
      <c r="Y119" s="262">
        <f t="shared" ref="Y119:BC119" si="28">SUM(Y100:Y118)</f>
        <v>0</v>
      </c>
      <c r="Z119" s="262">
        <f t="shared" si="28"/>
        <v>0</v>
      </c>
      <c r="AA119" s="262">
        <f t="shared" si="28"/>
        <v>0</v>
      </c>
      <c r="AB119" s="262">
        <f t="shared" si="28"/>
        <v>0</v>
      </c>
      <c r="AC119" s="262">
        <f t="shared" si="28"/>
        <v>0</v>
      </c>
      <c r="AD119" s="262">
        <f t="shared" si="28"/>
        <v>0</v>
      </c>
      <c r="AE119" s="262">
        <f t="shared" si="28"/>
        <v>0</v>
      </c>
      <c r="AF119" s="262">
        <f t="shared" si="28"/>
        <v>0</v>
      </c>
      <c r="AG119" s="262">
        <f t="shared" si="28"/>
        <v>0</v>
      </c>
      <c r="AH119" s="262">
        <f t="shared" si="28"/>
        <v>0</v>
      </c>
      <c r="AI119" s="262">
        <f t="shared" si="28"/>
        <v>0</v>
      </c>
      <c r="AJ119" s="262">
        <f t="shared" si="28"/>
        <v>0</v>
      </c>
      <c r="AK119" s="262">
        <f t="shared" si="28"/>
        <v>0</v>
      </c>
      <c r="AL119" s="262">
        <f t="shared" si="28"/>
        <v>0</v>
      </c>
      <c r="AM119" s="262">
        <f t="shared" si="28"/>
        <v>0</v>
      </c>
      <c r="AN119" s="262">
        <f t="shared" si="28"/>
        <v>0</v>
      </c>
      <c r="AO119" s="262">
        <f t="shared" si="28"/>
        <v>0</v>
      </c>
      <c r="AP119" s="262">
        <f t="shared" si="28"/>
        <v>0</v>
      </c>
      <c r="AQ119" s="262">
        <f t="shared" si="28"/>
        <v>0</v>
      </c>
      <c r="AR119" s="262">
        <f t="shared" si="28"/>
        <v>0</v>
      </c>
      <c r="AS119" s="262">
        <f t="shared" si="28"/>
        <v>0</v>
      </c>
      <c r="AT119" s="262">
        <f t="shared" si="28"/>
        <v>0</v>
      </c>
      <c r="AU119" s="262">
        <f t="shared" si="28"/>
        <v>0</v>
      </c>
      <c r="AV119" s="262">
        <f t="shared" si="28"/>
        <v>0</v>
      </c>
      <c r="AW119" s="262">
        <f t="shared" si="28"/>
        <v>0</v>
      </c>
      <c r="AX119" s="262">
        <f t="shared" si="28"/>
        <v>0</v>
      </c>
      <c r="AY119" s="262">
        <f t="shared" si="28"/>
        <v>0</v>
      </c>
      <c r="AZ119" s="262">
        <f t="shared" si="28"/>
        <v>0</v>
      </c>
      <c r="BA119" s="262">
        <f t="shared" si="28"/>
        <v>0</v>
      </c>
      <c r="BB119" s="262">
        <f t="shared" si="28"/>
        <v>0</v>
      </c>
      <c r="BC119" s="262">
        <f t="shared" si="28"/>
        <v>0</v>
      </c>
      <c r="BD119" s="262">
        <f t="shared" si="27"/>
        <v>0</v>
      </c>
      <c r="BE119" s="262">
        <f t="shared" si="27"/>
        <v>0</v>
      </c>
      <c r="BF119" s="262">
        <f t="shared" si="27"/>
        <v>0</v>
      </c>
      <c r="BG119" s="262">
        <f t="shared" si="27"/>
        <v>0</v>
      </c>
      <c r="BH119" s="262">
        <f t="shared" si="27"/>
        <v>0</v>
      </c>
      <c r="BI119" s="262">
        <f t="shared" si="27"/>
        <v>0</v>
      </c>
      <c r="BJ119" s="262">
        <f t="shared" si="27"/>
        <v>0</v>
      </c>
      <c r="BK119" s="262">
        <f t="shared" si="27"/>
        <v>0</v>
      </c>
      <c r="BL119" s="262">
        <f t="shared" si="27"/>
        <v>0</v>
      </c>
      <c r="BM119" s="262">
        <f t="shared" si="27"/>
        <v>0</v>
      </c>
      <c r="BN119" s="262">
        <f t="shared" si="27"/>
        <v>0</v>
      </c>
      <c r="BO119" s="262">
        <f t="shared" si="27"/>
        <v>0</v>
      </c>
      <c r="BP119" s="262">
        <f t="shared" si="27"/>
        <v>0</v>
      </c>
      <c r="BQ119" s="262">
        <f t="shared" si="27"/>
        <v>0</v>
      </c>
      <c r="BR119" s="262">
        <f t="shared" si="27"/>
        <v>0</v>
      </c>
      <c r="BS119" s="262">
        <f t="shared" si="27"/>
        <v>0</v>
      </c>
      <c r="BT119" s="262">
        <f t="shared" si="27"/>
        <v>0</v>
      </c>
      <c r="BU119" s="262">
        <f t="shared" si="27"/>
        <v>0</v>
      </c>
      <c r="BV119" s="262">
        <f t="shared" si="27"/>
        <v>0</v>
      </c>
      <c r="BW119" s="262">
        <f t="shared" si="27"/>
        <v>0</v>
      </c>
      <c r="BX119" s="262">
        <f t="shared" si="27"/>
        <v>0</v>
      </c>
      <c r="BY119" s="262">
        <f t="shared" si="27"/>
        <v>0</v>
      </c>
      <c r="BZ119" s="262">
        <f t="shared" si="27"/>
        <v>0</v>
      </c>
      <c r="CA119" s="262">
        <f t="shared" si="27"/>
        <v>0</v>
      </c>
      <c r="CB119" s="262">
        <f t="shared" ref="CB119:EO119" si="29">SUM(CB100:CB118)</f>
        <v>0</v>
      </c>
      <c r="CC119" s="262">
        <f t="shared" si="29"/>
        <v>0</v>
      </c>
      <c r="CD119" s="262">
        <f t="shared" si="29"/>
        <v>0</v>
      </c>
      <c r="CE119" s="262">
        <f t="shared" si="29"/>
        <v>0</v>
      </c>
      <c r="CF119" s="262">
        <f t="shared" si="29"/>
        <v>0</v>
      </c>
      <c r="CG119" s="262">
        <f t="shared" si="29"/>
        <v>0</v>
      </c>
      <c r="CH119" s="262">
        <f t="shared" si="29"/>
        <v>0</v>
      </c>
      <c r="CI119" s="262">
        <f t="shared" si="29"/>
        <v>0</v>
      </c>
      <c r="CJ119" s="262">
        <f t="shared" si="29"/>
        <v>0</v>
      </c>
      <c r="CK119" s="262">
        <f t="shared" si="29"/>
        <v>0</v>
      </c>
      <c r="CL119" s="262">
        <f t="shared" si="29"/>
        <v>0</v>
      </c>
      <c r="CM119" s="262">
        <f t="shared" si="29"/>
        <v>0</v>
      </c>
      <c r="CN119" s="262">
        <f t="shared" si="29"/>
        <v>0</v>
      </c>
      <c r="CO119" s="262">
        <f t="shared" si="29"/>
        <v>0</v>
      </c>
      <c r="CP119" s="262">
        <f t="shared" si="29"/>
        <v>0</v>
      </c>
      <c r="CQ119" s="262">
        <f t="shared" si="29"/>
        <v>0</v>
      </c>
      <c r="CR119" s="262">
        <f t="shared" si="29"/>
        <v>0</v>
      </c>
      <c r="CS119" s="262">
        <f t="shared" si="29"/>
        <v>0</v>
      </c>
      <c r="CT119" s="262">
        <f t="shared" si="29"/>
        <v>0</v>
      </c>
      <c r="CU119" s="262">
        <f t="shared" si="29"/>
        <v>0</v>
      </c>
      <c r="CV119" s="262">
        <f t="shared" si="29"/>
        <v>0</v>
      </c>
      <c r="CW119" s="262">
        <f t="shared" si="29"/>
        <v>0</v>
      </c>
      <c r="CX119" s="262">
        <f t="shared" si="29"/>
        <v>0</v>
      </c>
      <c r="CY119" s="262">
        <f t="shared" si="29"/>
        <v>0</v>
      </c>
      <c r="CZ119" s="262">
        <f t="shared" si="29"/>
        <v>0</v>
      </c>
      <c r="DA119" s="262">
        <f t="shared" si="29"/>
        <v>0</v>
      </c>
      <c r="DB119" s="262">
        <f t="shared" si="29"/>
        <v>0</v>
      </c>
      <c r="DC119" s="262">
        <f t="shared" si="29"/>
        <v>0</v>
      </c>
      <c r="DD119" s="262">
        <f t="shared" si="29"/>
        <v>0</v>
      </c>
      <c r="DE119" s="262">
        <f t="shared" si="29"/>
        <v>0</v>
      </c>
      <c r="DF119" s="262">
        <f t="shared" si="29"/>
        <v>0</v>
      </c>
      <c r="DG119" s="262">
        <f t="shared" si="29"/>
        <v>0</v>
      </c>
      <c r="DH119" s="262">
        <f t="shared" si="29"/>
        <v>0</v>
      </c>
      <c r="DI119" s="262">
        <f t="shared" si="29"/>
        <v>0</v>
      </c>
      <c r="DJ119" s="262">
        <f t="shared" si="29"/>
        <v>0</v>
      </c>
      <c r="DK119" s="262">
        <f t="shared" si="29"/>
        <v>0</v>
      </c>
      <c r="DL119" s="262">
        <f t="shared" si="29"/>
        <v>0</v>
      </c>
      <c r="DM119" s="262">
        <f t="shared" si="29"/>
        <v>0</v>
      </c>
      <c r="DN119" s="262">
        <f t="shared" si="29"/>
        <v>0</v>
      </c>
      <c r="DO119" s="262">
        <f t="shared" si="29"/>
        <v>0</v>
      </c>
      <c r="DP119" s="262">
        <f>SUM(DP100:DP118)</f>
        <v>0</v>
      </c>
      <c r="DQ119" s="262">
        <f>SUM(DQ100:DQ118)</f>
        <v>0</v>
      </c>
      <c r="DR119" s="262">
        <f t="shared" si="29"/>
        <v>0</v>
      </c>
      <c r="DS119" s="262">
        <f t="shared" si="29"/>
        <v>0</v>
      </c>
      <c r="DT119" s="262">
        <f t="shared" si="29"/>
        <v>0</v>
      </c>
      <c r="DU119" s="262">
        <f t="shared" si="29"/>
        <v>0</v>
      </c>
      <c r="DV119" s="262">
        <f t="shared" si="29"/>
        <v>0</v>
      </c>
      <c r="DW119" s="262">
        <f t="shared" si="29"/>
        <v>0</v>
      </c>
      <c r="DX119" s="262">
        <f t="shared" si="29"/>
        <v>0</v>
      </c>
      <c r="DY119" s="262">
        <f t="shared" si="29"/>
        <v>0</v>
      </c>
      <c r="DZ119" s="262">
        <f t="shared" si="29"/>
        <v>0</v>
      </c>
      <c r="EA119" s="262">
        <f t="shared" si="29"/>
        <v>0</v>
      </c>
      <c r="EB119" s="262">
        <f t="shared" si="29"/>
        <v>0</v>
      </c>
      <c r="EC119" s="262">
        <f t="shared" si="29"/>
        <v>0</v>
      </c>
      <c r="ED119" s="262">
        <f t="shared" si="29"/>
        <v>0</v>
      </c>
      <c r="EE119" s="262">
        <f t="shared" si="29"/>
        <v>0</v>
      </c>
      <c r="EF119" s="262">
        <f t="shared" si="29"/>
        <v>0</v>
      </c>
      <c r="EG119" s="262">
        <f t="shared" si="29"/>
        <v>0</v>
      </c>
      <c r="EH119" s="262">
        <f t="shared" si="29"/>
        <v>0</v>
      </c>
      <c r="EI119" s="262">
        <f t="shared" si="29"/>
        <v>0</v>
      </c>
      <c r="EJ119" s="262">
        <f t="shared" si="29"/>
        <v>0</v>
      </c>
      <c r="EK119" s="262">
        <f t="shared" si="29"/>
        <v>0</v>
      </c>
      <c r="EL119" s="262">
        <f t="shared" si="29"/>
        <v>0</v>
      </c>
      <c r="EM119" s="262">
        <f t="shared" si="29"/>
        <v>0</v>
      </c>
      <c r="EN119" s="262">
        <f t="shared" si="29"/>
        <v>0</v>
      </c>
      <c r="EO119" s="262">
        <f t="shared" si="29"/>
        <v>0</v>
      </c>
      <c r="EP119" s="262">
        <f t="shared" ref="EP119:GT119" si="30">SUM(EP100:EP118)</f>
        <v>0</v>
      </c>
      <c r="EQ119" s="262">
        <f t="shared" si="30"/>
        <v>0</v>
      </c>
      <c r="ER119" s="262">
        <f t="shared" si="30"/>
        <v>0</v>
      </c>
      <c r="ES119" s="262">
        <f t="shared" si="30"/>
        <v>0</v>
      </c>
      <c r="ET119" s="262">
        <f t="shared" si="30"/>
        <v>0</v>
      </c>
      <c r="EU119" s="262">
        <f t="shared" si="30"/>
        <v>0</v>
      </c>
      <c r="EV119" s="262">
        <f t="shared" si="30"/>
        <v>0</v>
      </c>
      <c r="EW119" s="262">
        <f t="shared" si="30"/>
        <v>0</v>
      </c>
      <c r="EX119" s="262">
        <f t="shared" ref="EX119:FC119" si="31">SUM(EX100:EX118)</f>
        <v>0</v>
      </c>
      <c r="EY119" s="262">
        <f t="shared" si="31"/>
        <v>0</v>
      </c>
      <c r="EZ119" s="262">
        <f t="shared" si="31"/>
        <v>0</v>
      </c>
      <c r="FA119" s="262">
        <f t="shared" si="31"/>
        <v>0</v>
      </c>
      <c r="FB119" s="262">
        <f t="shared" si="31"/>
        <v>0</v>
      </c>
      <c r="FC119" s="262">
        <f t="shared" si="31"/>
        <v>0</v>
      </c>
      <c r="FD119" s="262">
        <f t="shared" si="30"/>
        <v>0</v>
      </c>
      <c r="FE119" s="262">
        <f t="shared" si="30"/>
        <v>0</v>
      </c>
      <c r="FF119" s="262">
        <f t="shared" si="30"/>
        <v>0</v>
      </c>
      <c r="FG119" s="262">
        <f t="shared" si="30"/>
        <v>0</v>
      </c>
      <c r="FH119" s="262">
        <f t="shared" si="30"/>
        <v>0</v>
      </c>
      <c r="FI119" s="262">
        <f t="shared" si="30"/>
        <v>0</v>
      </c>
      <c r="FJ119" s="262">
        <f t="shared" si="30"/>
        <v>0</v>
      </c>
      <c r="FK119" s="262">
        <f t="shared" si="30"/>
        <v>0</v>
      </c>
      <c r="FL119" s="262">
        <f t="shared" ref="FL119:FT119" si="32">SUM(FL100:FL118)</f>
        <v>0</v>
      </c>
      <c r="FM119" s="262">
        <f t="shared" si="32"/>
        <v>0</v>
      </c>
      <c r="FN119" s="262">
        <f t="shared" si="32"/>
        <v>0</v>
      </c>
      <c r="FO119" s="262">
        <f t="shared" si="32"/>
        <v>0</v>
      </c>
      <c r="FP119" s="262">
        <f t="shared" si="32"/>
        <v>0</v>
      </c>
      <c r="FQ119" s="262">
        <f t="shared" si="32"/>
        <v>0</v>
      </c>
      <c r="FR119" s="262">
        <f t="shared" si="32"/>
        <v>0</v>
      </c>
      <c r="FS119" s="262">
        <f t="shared" si="32"/>
        <v>0</v>
      </c>
      <c r="FT119" s="262">
        <f t="shared" si="32"/>
        <v>0</v>
      </c>
      <c r="FU119" s="262">
        <f t="shared" si="30"/>
        <v>0</v>
      </c>
      <c r="FV119" s="262">
        <f t="shared" si="30"/>
        <v>0</v>
      </c>
      <c r="FW119" s="262">
        <f t="shared" si="30"/>
        <v>0</v>
      </c>
      <c r="FX119" s="262">
        <f t="shared" si="30"/>
        <v>0</v>
      </c>
      <c r="FY119" s="262">
        <f t="shared" si="30"/>
        <v>0</v>
      </c>
      <c r="FZ119" s="262">
        <f t="shared" si="30"/>
        <v>0</v>
      </c>
      <c r="GA119" s="262">
        <f t="shared" si="30"/>
        <v>0</v>
      </c>
      <c r="GB119" s="262">
        <f t="shared" si="30"/>
        <v>0</v>
      </c>
      <c r="GC119" s="262">
        <f t="shared" si="30"/>
        <v>0</v>
      </c>
      <c r="GD119" s="262">
        <f t="shared" si="30"/>
        <v>0</v>
      </c>
      <c r="GE119" s="262">
        <f t="shared" si="30"/>
        <v>0</v>
      </c>
      <c r="GF119" s="262">
        <f t="shared" si="30"/>
        <v>0</v>
      </c>
      <c r="GG119" s="262">
        <f t="shared" si="30"/>
        <v>0</v>
      </c>
      <c r="GH119" s="262">
        <f t="shared" si="30"/>
        <v>0</v>
      </c>
      <c r="GI119" s="262">
        <f t="shared" si="30"/>
        <v>0</v>
      </c>
      <c r="GJ119" s="262">
        <f t="shared" si="30"/>
        <v>0</v>
      </c>
      <c r="GK119" s="262">
        <f t="shared" si="30"/>
        <v>0</v>
      </c>
      <c r="GL119" s="262">
        <f t="shared" si="30"/>
        <v>0</v>
      </c>
      <c r="GM119" s="262">
        <f t="shared" si="30"/>
        <v>0</v>
      </c>
      <c r="GN119" s="262">
        <f t="shared" si="30"/>
        <v>0</v>
      </c>
      <c r="GO119" s="262">
        <f t="shared" si="30"/>
        <v>0</v>
      </c>
      <c r="GP119" s="262">
        <f t="shared" si="30"/>
        <v>0</v>
      </c>
      <c r="GQ119" s="262">
        <f t="shared" si="30"/>
        <v>0</v>
      </c>
      <c r="GR119" s="261">
        <f t="shared" si="30"/>
        <v>0</v>
      </c>
      <c r="GS119" s="261">
        <f t="shared" si="30"/>
        <v>0</v>
      </c>
      <c r="GT119" s="261">
        <f t="shared" si="30"/>
        <v>0</v>
      </c>
      <c r="GU119" s="332"/>
      <c r="GV119" s="169"/>
      <c r="GW119" s="169"/>
      <c r="GX119" s="169"/>
      <c r="GY119" s="169"/>
      <c r="GZ119" s="169"/>
      <c r="HA119" s="169"/>
      <c r="HB119" s="169"/>
      <c r="HC119" s="169"/>
      <c r="HD119" s="169"/>
      <c r="HE119" s="169"/>
      <c r="HF119" s="169"/>
      <c r="HG119" s="169"/>
      <c r="HH119" s="169"/>
      <c r="HI119" s="169"/>
      <c r="HJ119" s="169"/>
      <c r="HK119" s="169"/>
      <c r="HL119" s="169"/>
      <c r="HM119" s="169"/>
      <c r="HN119" s="169"/>
      <c r="HO119" s="169"/>
      <c r="HP119" s="169"/>
      <c r="HQ119" s="169"/>
      <c r="HR119" s="169"/>
      <c r="HS119" s="169"/>
      <c r="HT119" s="169"/>
      <c r="HU119" s="169"/>
      <c r="HV119" s="169"/>
      <c r="HW119" s="169"/>
      <c r="HX119" s="169"/>
      <c r="HY119" s="169"/>
      <c r="HZ119" s="169"/>
      <c r="IA119" s="169"/>
      <c r="IB119" s="169"/>
      <c r="IC119" s="169"/>
      <c r="ID119" s="169"/>
      <c r="IE119" s="169"/>
      <c r="IF119" s="169"/>
      <c r="IG119" s="169"/>
      <c r="IH119" s="169"/>
      <c r="II119" s="169"/>
      <c r="IJ119" s="169"/>
      <c r="IK119" s="169"/>
      <c r="IL119" s="169"/>
      <c r="IM119" s="169"/>
      <c r="IN119" s="169"/>
      <c r="IO119" s="169"/>
      <c r="IP119" s="169"/>
      <c r="IQ119" s="169"/>
      <c r="IR119" s="169"/>
      <c r="IS119" s="169"/>
      <c r="IT119" s="169"/>
      <c r="IU119" s="169"/>
      <c r="IV119" s="169"/>
    </row>
    <row r="120" spans="1:256" ht="13.8" hidden="1">
      <c r="A120" s="154"/>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c r="AN120" s="184"/>
      <c r="AO120" s="184"/>
      <c r="AP120" s="184"/>
      <c r="AQ120" s="184"/>
      <c r="AR120" s="184"/>
      <c r="AS120" s="184"/>
      <c r="AT120" s="184"/>
      <c r="AU120" s="184"/>
      <c r="AV120" s="184"/>
      <c r="AW120" s="184"/>
      <c r="AX120" s="184"/>
      <c r="AY120" s="184"/>
      <c r="AZ120" s="184"/>
      <c r="BA120" s="184"/>
      <c r="BB120" s="184"/>
      <c r="BC120" s="184"/>
      <c r="BD120" s="184"/>
      <c r="BE120" s="184"/>
      <c r="BF120" s="184"/>
      <c r="BG120" s="184"/>
      <c r="BH120" s="184"/>
      <c r="BI120" s="184"/>
      <c r="BJ120" s="184"/>
      <c r="BK120" s="184"/>
      <c r="BL120" s="184"/>
      <c r="BM120" s="184"/>
      <c r="BN120" s="184"/>
      <c r="BO120" s="184"/>
      <c r="BP120" s="184"/>
      <c r="BQ120" s="184"/>
      <c r="BR120" s="184"/>
      <c r="BS120" s="184"/>
      <c r="BT120" s="184"/>
      <c r="BU120" s="184"/>
      <c r="BV120" s="184"/>
      <c r="BW120" s="184"/>
      <c r="BX120" s="184"/>
      <c r="BY120" s="184"/>
      <c r="BZ120" s="184"/>
      <c r="CA120" s="184"/>
      <c r="CB120" s="184"/>
      <c r="CC120" s="184"/>
      <c r="CD120" s="184"/>
      <c r="CE120" s="184"/>
      <c r="CF120" s="184"/>
      <c r="CG120" s="184"/>
      <c r="CH120" s="184"/>
      <c r="CI120" s="184"/>
      <c r="CJ120" s="184"/>
      <c r="CK120" s="184"/>
      <c r="CL120" s="184"/>
      <c r="CM120" s="184"/>
      <c r="CN120" s="184"/>
      <c r="CO120" s="184"/>
      <c r="CP120" s="184"/>
      <c r="CQ120" s="184"/>
      <c r="CR120" s="184"/>
      <c r="CS120" s="184"/>
      <c r="CT120" s="184"/>
      <c r="CU120" s="184"/>
      <c r="CV120" s="184"/>
      <c r="CW120" s="184"/>
      <c r="CX120" s="184"/>
      <c r="CY120" s="184"/>
      <c r="CZ120" s="184"/>
      <c r="DA120" s="184"/>
      <c r="DB120" s="184"/>
      <c r="DC120" s="184"/>
      <c r="DD120" s="184"/>
      <c r="DE120" s="184"/>
      <c r="DF120" s="184"/>
      <c r="DG120" s="184"/>
      <c r="DH120" s="184"/>
      <c r="DI120" s="184"/>
      <c r="DJ120" s="184"/>
      <c r="DK120" s="184"/>
      <c r="DL120" s="184"/>
      <c r="DM120" s="184"/>
      <c r="DN120" s="184"/>
      <c r="DO120" s="184"/>
      <c r="DP120" s="184"/>
      <c r="DQ120" s="184"/>
      <c r="DR120" s="184"/>
      <c r="DS120" s="184"/>
      <c r="DT120" s="184"/>
      <c r="DU120" s="184"/>
      <c r="DV120" s="184"/>
      <c r="DW120" s="184"/>
      <c r="DX120" s="184"/>
      <c r="DY120" s="184"/>
      <c r="DZ120" s="184"/>
      <c r="EA120" s="184"/>
      <c r="EB120" s="184"/>
      <c r="EC120" s="184"/>
      <c r="ED120" s="184"/>
      <c r="EE120" s="184"/>
      <c r="EF120" s="184"/>
      <c r="EG120" s="184"/>
      <c r="EH120" s="184"/>
      <c r="EI120" s="184"/>
      <c r="EJ120" s="184"/>
      <c r="EK120" s="184"/>
      <c r="EL120" s="184"/>
      <c r="EM120" s="184"/>
      <c r="EN120" s="184"/>
      <c r="EO120" s="184"/>
      <c r="EP120" s="184"/>
      <c r="EQ120" s="184"/>
      <c r="ER120" s="184"/>
      <c r="ES120" s="184"/>
      <c r="ET120" s="184"/>
      <c r="EU120" s="184"/>
      <c r="EV120" s="184"/>
      <c r="EW120" s="184"/>
      <c r="EX120" s="184"/>
      <c r="EY120" s="184"/>
      <c r="EZ120" s="184"/>
      <c r="FA120" s="184"/>
      <c r="FB120" s="184"/>
      <c r="FC120" s="184"/>
      <c r="FD120" s="184"/>
      <c r="FE120" s="184"/>
      <c r="FF120" s="184"/>
      <c r="FG120" s="184"/>
      <c r="FH120" s="184"/>
      <c r="FI120" s="184"/>
      <c r="FJ120" s="184"/>
      <c r="FK120" s="184"/>
      <c r="FL120" s="184"/>
      <c r="FM120" s="184"/>
      <c r="FN120" s="184"/>
      <c r="FO120" s="184"/>
      <c r="FP120" s="184"/>
      <c r="FQ120" s="184"/>
      <c r="FR120" s="184"/>
      <c r="FS120" s="184"/>
      <c r="FT120" s="184"/>
      <c r="FU120" s="184"/>
      <c r="FV120" s="184"/>
      <c r="FW120" s="184"/>
      <c r="FX120" s="184"/>
      <c r="FY120" s="184"/>
      <c r="FZ120" s="184"/>
      <c r="GA120" s="184"/>
      <c r="GB120" s="184"/>
      <c r="GC120" s="184"/>
      <c r="GD120" s="184"/>
      <c r="GE120" s="184"/>
      <c r="GF120" s="184"/>
      <c r="GG120" s="184"/>
      <c r="GH120" s="184"/>
      <c r="GI120" s="184"/>
      <c r="GJ120" s="184"/>
      <c r="GK120" s="184"/>
      <c r="GL120" s="184"/>
      <c r="GM120" s="184"/>
      <c r="GN120" s="184"/>
      <c r="GO120" s="184"/>
      <c r="GP120" s="184"/>
      <c r="GQ120" s="184"/>
      <c r="GR120" s="184"/>
      <c r="GS120" s="184"/>
      <c r="GT120" s="184"/>
      <c r="GU120" s="185"/>
    </row>
    <row r="121" spans="1:256" ht="13.8" hidden="1">
      <c r="A121" s="308"/>
      <c r="B121" s="197"/>
      <c r="C121" s="309"/>
      <c r="D121" s="197"/>
      <c r="E121" s="197"/>
      <c r="F121" s="197"/>
      <c r="G121" s="197"/>
      <c r="H121" s="197"/>
      <c r="I121" s="197"/>
      <c r="J121" s="198"/>
      <c r="K121" s="199"/>
      <c r="L121" s="200"/>
      <c r="M121" s="302"/>
      <c r="N121" s="200"/>
      <c r="O121" s="200"/>
      <c r="P121" s="200"/>
      <c r="Q121" s="313"/>
      <c r="R121" s="200"/>
      <c r="S121" s="200"/>
      <c r="T121" s="200"/>
      <c r="U121" s="200"/>
      <c r="V121" s="200"/>
      <c r="W121" s="200"/>
      <c r="X121" s="200"/>
      <c r="Y121" s="200"/>
      <c r="Z121" s="200"/>
      <c r="AA121" s="200"/>
      <c r="AB121" s="200"/>
      <c r="AC121" s="200"/>
      <c r="AD121" s="200"/>
      <c r="AE121" s="200"/>
      <c r="AF121" s="200"/>
      <c r="AG121" s="200"/>
      <c r="AH121" s="200"/>
      <c r="AI121" s="200"/>
      <c r="AJ121" s="200"/>
      <c r="AK121" s="200"/>
      <c r="AL121" s="200"/>
      <c r="AM121" s="200"/>
      <c r="AN121" s="200"/>
      <c r="AO121" s="200"/>
      <c r="AP121" s="200"/>
      <c r="AQ121" s="200"/>
      <c r="AR121" s="200"/>
      <c r="AS121" s="200"/>
      <c r="AT121" s="200"/>
      <c r="AU121" s="200"/>
      <c r="AV121" s="200"/>
      <c r="AW121" s="200"/>
      <c r="AX121" s="200"/>
      <c r="AY121" s="200"/>
      <c r="AZ121" s="200"/>
      <c r="BA121" s="200"/>
      <c r="BB121" s="200"/>
      <c r="BC121" s="200"/>
      <c r="BD121" s="200"/>
      <c r="BE121" s="200"/>
      <c r="BF121" s="200"/>
      <c r="BG121" s="200"/>
      <c r="BH121" s="200"/>
      <c r="BI121" s="200"/>
      <c r="BJ121" s="200"/>
      <c r="BK121" s="200"/>
      <c r="BL121" s="200"/>
      <c r="BM121" s="200"/>
      <c r="BN121" s="200"/>
      <c r="BO121" s="200"/>
      <c r="BP121" s="200"/>
      <c r="BQ121" s="200"/>
      <c r="BR121" s="200"/>
      <c r="BS121" s="200"/>
      <c r="BT121" s="200"/>
      <c r="BU121" s="200"/>
      <c r="BV121" s="200"/>
      <c r="BW121" s="200"/>
      <c r="BX121" s="200"/>
      <c r="BY121" s="200"/>
      <c r="BZ121" s="200"/>
      <c r="CA121" s="200"/>
      <c r="CB121" s="200"/>
      <c r="CC121" s="200"/>
      <c r="CD121" s="200"/>
      <c r="CE121" s="200"/>
      <c r="CF121" s="200"/>
      <c r="CG121" s="200"/>
      <c r="CH121" s="200"/>
      <c r="CI121" s="200"/>
      <c r="CJ121" s="200"/>
      <c r="CK121" s="200"/>
      <c r="CL121" s="200"/>
      <c r="CM121" s="200"/>
      <c r="CN121" s="200"/>
      <c r="CO121" s="200"/>
      <c r="CP121" s="200"/>
      <c r="CQ121" s="200"/>
      <c r="CR121" s="200"/>
      <c r="CS121" s="200"/>
      <c r="CT121" s="200"/>
      <c r="CU121" s="200"/>
      <c r="CV121" s="200"/>
      <c r="CW121" s="200"/>
      <c r="CX121" s="200"/>
      <c r="CY121" s="200"/>
      <c r="CZ121" s="200"/>
      <c r="DA121" s="200"/>
      <c r="DB121" s="200"/>
      <c r="DC121" s="200"/>
      <c r="DD121" s="200"/>
      <c r="DE121" s="200"/>
      <c r="DF121" s="200"/>
      <c r="DG121" s="200"/>
      <c r="DH121" s="200"/>
      <c r="DI121" s="200"/>
      <c r="DJ121" s="200"/>
      <c r="DK121" s="200"/>
      <c r="DL121" s="200"/>
      <c r="DM121" s="200"/>
      <c r="DN121" s="200"/>
      <c r="DO121" s="200"/>
      <c r="DP121" s="200"/>
      <c r="DQ121" s="200"/>
      <c r="DR121" s="200"/>
      <c r="DS121" s="200"/>
      <c r="DT121" s="200"/>
      <c r="DU121" s="200"/>
      <c r="DV121" s="200"/>
      <c r="DW121" s="200"/>
      <c r="DX121" s="200"/>
      <c r="DY121" s="200"/>
      <c r="DZ121" s="200"/>
      <c r="EA121" s="200"/>
      <c r="EB121" s="200"/>
      <c r="EC121" s="200"/>
      <c r="ED121" s="200"/>
      <c r="EE121" s="200"/>
      <c r="EF121" s="200"/>
      <c r="EG121" s="200"/>
      <c r="EH121" s="200"/>
      <c r="EI121" s="200"/>
      <c r="EJ121" s="200"/>
      <c r="EK121" s="200"/>
      <c r="EL121" s="200"/>
      <c r="EM121" s="200"/>
      <c r="EN121" s="200"/>
      <c r="EO121" s="200"/>
      <c r="EP121" s="200"/>
      <c r="EQ121" s="200"/>
      <c r="ER121" s="200"/>
      <c r="ES121" s="200"/>
      <c r="ET121" s="200"/>
      <c r="EU121" s="200"/>
      <c r="EV121" s="200"/>
      <c r="EW121" s="200"/>
      <c r="EX121" s="200"/>
      <c r="EY121" s="200"/>
      <c r="EZ121" s="200"/>
      <c r="FA121" s="200"/>
      <c r="FB121" s="200"/>
      <c r="FC121" s="200"/>
      <c r="FD121" s="200"/>
      <c r="FE121" s="200"/>
      <c r="FF121" s="200"/>
      <c r="FG121" s="200"/>
      <c r="FH121" s="200"/>
      <c r="FI121" s="200"/>
      <c r="FJ121" s="200"/>
      <c r="FK121" s="200"/>
      <c r="FL121" s="200"/>
      <c r="FM121" s="200"/>
      <c r="FN121" s="200"/>
      <c r="FO121" s="200"/>
      <c r="FP121" s="200"/>
      <c r="FQ121" s="200"/>
      <c r="FR121" s="200"/>
      <c r="FS121" s="200"/>
      <c r="FT121" s="200"/>
      <c r="FU121" s="200"/>
      <c r="FV121" s="200"/>
      <c r="FW121" s="200"/>
      <c r="FX121" s="200"/>
      <c r="FY121" s="200"/>
      <c r="FZ121" s="200"/>
      <c r="GA121" s="200"/>
      <c r="GB121" s="200"/>
      <c r="GC121" s="200"/>
      <c r="GD121" s="200"/>
      <c r="GE121" s="200"/>
      <c r="GF121" s="200"/>
      <c r="GG121" s="200"/>
      <c r="GH121" s="200"/>
      <c r="GI121" s="200"/>
      <c r="GJ121" s="200"/>
      <c r="GK121" s="200"/>
      <c r="GL121" s="200"/>
      <c r="GM121" s="200"/>
      <c r="GN121" s="200"/>
      <c r="GO121" s="200"/>
      <c r="GP121" s="200"/>
      <c r="GQ121" s="200"/>
      <c r="GR121" s="200"/>
      <c r="GS121" s="200"/>
      <c r="GT121" s="200"/>
      <c r="GU121" s="315"/>
    </row>
    <row r="122" spans="1:256" s="247" customFormat="1" ht="13.8" hidden="1">
      <c r="A122" s="317"/>
      <c r="B122" s="239"/>
      <c r="C122" s="318"/>
      <c r="D122" s="239"/>
      <c r="E122" s="239"/>
      <c r="F122" s="239"/>
      <c r="G122" s="239"/>
      <c r="H122" s="239"/>
      <c r="I122" s="239"/>
      <c r="J122" s="240"/>
      <c r="K122" s="241"/>
      <c r="L122" s="242"/>
      <c r="M122" s="302"/>
      <c r="N122" s="333"/>
      <c r="O122" s="333"/>
      <c r="P122" s="333"/>
      <c r="Q122" s="319"/>
      <c r="R122" s="333"/>
      <c r="S122" s="333"/>
      <c r="T122" s="333"/>
      <c r="U122" s="333"/>
      <c r="V122" s="333"/>
      <c r="W122" s="333"/>
      <c r="X122" s="333"/>
      <c r="Y122" s="333"/>
      <c r="Z122" s="333"/>
      <c r="AA122" s="333"/>
      <c r="AB122" s="333"/>
      <c r="AC122" s="333"/>
      <c r="AD122" s="333"/>
      <c r="AE122" s="333"/>
      <c r="AF122" s="333"/>
      <c r="AG122" s="333"/>
      <c r="AH122" s="333"/>
      <c r="AI122" s="333"/>
      <c r="AJ122" s="333"/>
      <c r="AK122" s="333"/>
      <c r="AL122" s="333"/>
      <c r="AM122" s="333"/>
      <c r="AN122" s="333"/>
      <c r="AO122" s="333"/>
      <c r="AP122" s="333"/>
      <c r="AQ122" s="333"/>
      <c r="AR122" s="333"/>
      <c r="AS122" s="333"/>
      <c r="AT122" s="333"/>
      <c r="AU122" s="333"/>
      <c r="AV122" s="333"/>
      <c r="AW122" s="333"/>
      <c r="AX122" s="333"/>
      <c r="AY122" s="333"/>
      <c r="AZ122" s="333"/>
      <c r="BA122" s="333"/>
      <c r="BB122" s="333"/>
      <c r="BC122" s="333"/>
      <c r="BD122" s="333"/>
      <c r="BE122" s="333"/>
      <c r="BF122" s="333"/>
      <c r="BG122" s="333"/>
      <c r="BH122" s="333"/>
      <c r="BI122" s="333"/>
      <c r="BJ122" s="333"/>
      <c r="BK122" s="333"/>
      <c r="BL122" s="333"/>
      <c r="BM122" s="333"/>
      <c r="BN122" s="333"/>
      <c r="BO122" s="333"/>
      <c r="BP122" s="333"/>
      <c r="BQ122" s="333"/>
      <c r="BR122" s="333"/>
      <c r="BS122" s="333"/>
      <c r="BT122" s="333"/>
      <c r="BU122" s="333"/>
      <c r="BV122" s="333"/>
      <c r="BW122" s="333"/>
      <c r="BX122" s="333"/>
      <c r="BY122" s="333"/>
      <c r="BZ122" s="333"/>
      <c r="CA122" s="333"/>
      <c r="CB122" s="333"/>
      <c r="CC122" s="333"/>
      <c r="CD122" s="333"/>
      <c r="CE122" s="333"/>
      <c r="CF122" s="333"/>
      <c r="CG122" s="333"/>
      <c r="CH122" s="333"/>
      <c r="CI122" s="333"/>
      <c r="CJ122" s="333"/>
      <c r="CK122" s="333"/>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P122" s="333"/>
      <c r="EQ122" s="333"/>
      <c r="ER122" s="333"/>
      <c r="ES122" s="333"/>
      <c r="ET122" s="333"/>
      <c r="EU122" s="333"/>
      <c r="EV122" s="333"/>
      <c r="EW122" s="333"/>
      <c r="EX122" s="333"/>
      <c r="EY122" s="333"/>
      <c r="EZ122" s="333"/>
      <c r="FA122" s="333"/>
      <c r="FB122" s="333"/>
      <c r="FC122" s="333"/>
      <c r="FD122" s="333"/>
      <c r="FE122" s="333"/>
      <c r="FF122" s="333"/>
      <c r="FG122" s="333"/>
      <c r="FH122" s="333"/>
      <c r="FI122" s="333"/>
      <c r="FJ122" s="333"/>
      <c r="FK122" s="333"/>
      <c r="FL122" s="333"/>
      <c r="FM122" s="333"/>
      <c r="FN122" s="333"/>
      <c r="FO122" s="333"/>
      <c r="FP122" s="333"/>
      <c r="FQ122" s="333"/>
      <c r="FR122" s="333"/>
      <c r="FS122" s="333"/>
      <c r="FT122" s="333"/>
      <c r="FU122" s="333"/>
      <c r="FV122" s="333"/>
      <c r="FW122" s="333"/>
      <c r="FX122" s="333"/>
      <c r="FY122" s="333"/>
      <c r="FZ122" s="333"/>
      <c r="GA122" s="333"/>
      <c r="GB122" s="333"/>
      <c r="GC122" s="333"/>
      <c r="GD122" s="333"/>
      <c r="GE122" s="333"/>
      <c r="GF122" s="333"/>
      <c r="GG122" s="333"/>
      <c r="GH122" s="333"/>
      <c r="GI122" s="333"/>
      <c r="GJ122" s="333"/>
      <c r="GK122" s="333"/>
      <c r="GL122" s="333"/>
      <c r="GM122" s="333"/>
      <c r="GN122" s="333"/>
      <c r="GO122" s="333"/>
      <c r="GP122" s="333"/>
      <c r="GQ122" s="333"/>
      <c r="GR122" s="333"/>
      <c r="GS122" s="333"/>
      <c r="GT122" s="333"/>
      <c r="GU122" s="161"/>
      <c r="GV122" s="169"/>
      <c r="GW122" s="169"/>
      <c r="GX122" s="169"/>
      <c r="GY122" s="169"/>
      <c r="GZ122" s="169"/>
      <c r="HA122" s="169"/>
      <c r="HB122" s="169"/>
      <c r="HC122" s="169"/>
      <c r="HD122" s="169"/>
      <c r="HE122" s="169"/>
      <c r="HF122" s="169"/>
      <c r="HG122" s="169"/>
      <c r="HH122" s="169"/>
      <c r="HI122" s="169"/>
      <c r="HJ122" s="169"/>
      <c r="HK122" s="169"/>
      <c r="HL122" s="169"/>
      <c r="HM122" s="169"/>
      <c r="HN122" s="169"/>
      <c r="HO122" s="169"/>
      <c r="HP122" s="169"/>
      <c r="HQ122" s="169"/>
      <c r="HR122" s="169"/>
      <c r="HS122" s="169"/>
      <c r="HT122" s="169"/>
      <c r="HU122" s="169"/>
      <c r="HV122" s="169"/>
      <c r="HW122" s="169"/>
      <c r="HX122" s="169"/>
      <c r="HY122" s="169"/>
      <c r="HZ122" s="169"/>
      <c r="IA122" s="169"/>
      <c r="IB122" s="169"/>
      <c r="IC122" s="169"/>
      <c r="ID122" s="169"/>
      <c r="IE122" s="169"/>
      <c r="IF122" s="169"/>
      <c r="IG122" s="169"/>
      <c r="IH122" s="169"/>
      <c r="II122" s="169"/>
      <c r="IJ122" s="169"/>
      <c r="IK122" s="169"/>
      <c r="IL122" s="169"/>
      <c r="IM122" s="169"/>
      <c r="IN122" s="169"/>
      <c r="IO122" s="169"/>
      <c r="IP122" s="169"/>
      <c r="IQ122" s="169"/>
      <c r="IR122" s="169"/>
      <c r="IS122" s="169"/>
      <c r="IT122" s="169"/>
      <c r="IU122" s="169"/>
      <c r="IV122" s="169"/>
    </row>
    <row r="123" spans="1:256" ht="13.8" hidden="1">
      <c r="A123" s="308"/>
      <c r="B123" s="197"/>
      <c r="C123" s="309"/>
      <c r="D123" s="197"/>
      <c r="E123" s="197"/>
      <c r="F123" s="197"/>
      <c r="G123" s="197"/>
      <c r="H123" s="197"/>
      <c r="I123" s="197"/>
      <c r="J123" s="198"/>
      <c r="K123" s="199"/>
      <c r="L123" s="200"/>
      <c r="M123" s="302"/>
      <c r="N123" s="200"/>
      <c r="O123" s="200"/>
      <c r="P123" s="200"/>
      <c r="Q123" s="313"/>
      <c r="R123" s="200"/>
      <c r="S123" s="200"/>
      <c r="T123" s="200"/>
      <c r="U123" s="200"/>
      <c r="V123" s="200"/>
      <c r="W123" s="200"/>
      <c r="X123" s="200"/>
      <c r="Y123" s="200"/>
      <c r="Z123" s="200"/>
      <c r="AA123" s="200"/>
      <c r="AB123" s="200"/>
      <c r="AC123" s="200"/>
      <c r="AD123" s="200"/>
      <c r="AE123" s="200"/>
      <c r="AF123" s="200"/>
      <c r="AG123" s="200"/>
      <c r="AH123" s="200"/>
      <c r="AI123" s="200"/>
      <c r="AJ123" s="200"/>
      <c r="AK123" s="200"/>
      <c r="AL123" s="200"/>
      <c r="AM123" s="200"/>
      <c r="AN123" s="200"/>
      <c r="AO123" s="200"/>
      <c r="AP123" s="200"/>
      <c r="AQ123" s="200"/>
      <c r="AR123" s="200"/>
      <c r="AS123" s="200"/>
      <c r="AT123" s="200"/>
      <c r="AU123" s="200"/>
      <c r="AV123" s="200"/>
      <c r="AW123" s="200"/>
      <c r="AX123" s="200"/>
      <c r="AY123" s="200"/>
      <c r="AZ123" s="200"/>
      <c r="BA123" s="200"/>
      <c r="BB123" s="200"/>
      <c r="BC123" s="200"/>
      <c r="BD123" s="200"/>
      <c r="BE123" s="200"/>
      <c r="BF123" s="200"/>
      <c r="BG123" s="200"/>
      <c r="BH123" s="200"/>
      <c r="BI123" s="200"/>
      <c r="BJ123" s="200"/>
      <c r="BK123" s="200"/>
      <c r="BL123" s="200"/>
      <c r="BM123" s="200"/>
      <c r="BN123" s="200"/>
      <c r="BO123" s="200"/>
      <c r="BP123" s="200"/>
      <c r="BQ123" s="200"/>
      <c r="BR123" s="200"/>
      <c r="BS123" s="200"/>
      <c r="BT123" s="200"/>
      <c r="BU123" s="200"/>
      <c r="BV123" s="200"/>
      <c r="BW123" s="200"/>
      <c r="BX123" s="200"/>
      <c r="BY123" s="200"/>
      <c r="BZ123" s="200"/>
      <c r="CA123" s="200"/>
      <c r="CB123" s="200"/>
      <c r="CC123" s="200"/>
      <c r="CD123" s="200"/>
      <c r="CE123" s="200"/>
      <c r="CF123" s="200"/>
      <c r="CG123" s="200"/>
      <c r="CH123" s="200"/>
      <c r="CI123" s="200"/>
      <c r="CJ123" s="200"/>
      <c r="CK123" s="200"/>
      <c r="CL123" s="200"/>
      <c r="CM123" s="200"/>
      <c r="CN123" s="200"/>
      <c r="CO123" s="200"/>
      <c r="CP123" s="200"/>
      <c r="CQ123" s="200"/>
      <c r="CR123" s="200"/>
      <c r="CS123" s="200"/>
      <c r="CT123" s="200"/>
      <c r="CU123" s="200"/>
      <c r="CV123" s="200"/>
      <c r="CW123" s="200"/>
      <c r="CX123" s="200"/>
      <c r="CY123" s="200"/>
      <c r="CZ123" s="200"/>
      <c r="DA123" s="200"/>
      <c r="DB123" s="200"/>
      <c r="DC123" s="200"/>
      <c r="DD123" s="200"/>
      <c r="DE123" s="200"/>
      <c r="DF123" s="200"/>
      <c r="DG123" s="200"/>
      <c r="DH123" s="200"/>
      <c r="DI123" s="200"/>
      <c r="DJ123" s="200"/>
      <c r="DK123" s="200"/>
      <c r="DL123" s="200"/>
      <c r="DM123" s="200"/>
      <c r="DN123" s="200"/>
      <c r="DO123" s="200"/>
      <c r="DP123" s="200"/>
      <c r="DQ123" s="200"/>
      <c r="DR123" s="200"/>
      <c r="DS123" s="200"/>
      <c r="DT123" s="200"/>
      <c r="DU123" s="200"/>
      <c r="DV123" s="200"/>
      <c r="DW123" s="200"/>
      <c r="DX123" s="200"/>
      <c r="DY123" s="200"/>
      <c r="DZ123" s="200"/>
      <c r="EA123" s="200"/>
      <c r="EB123" s="200"/>
      <c r="EC123" s="200"/>
      <c r="ED123" s="200"/>
      <c r="EE123" s="200"/>
      <c r="EF123" s="200"/>
      <c r="EG123" s="200"/>
      <c r="EH123" s="200"/>
      <c r="EI123" s="200"/>
      <c r="EJ123" s="200"/>
      <c r="EK123" s="200"/>
      <c r="EL123" s="200"/>
      <c r="EM123" s="200"/>
      <c r="EN123" s="200"/>
      <c r="EO123" s="200"/>
      <c r="EP123" s="200"/>
      <c r="EQ123" s="200"/>
      <c r="ER123" s="200"/>
      <c r="ES123" s="200"/>
      <c r="ET123" s="200"/>
      <c r="EU123" s="200"/>
      <c r="EV123" s="200"/>
      <c r="EW123" s="200"/>
      <c r="EX123" s="200"/>
      <c r="EY123" s="200"/>
      <c r="EZ123" s="200"/>
      <c r="FA123" s="200"/>
      <c r="FB123" s="200"/>
      <c r="FC123" s="200"/>
      <c r="FD123" s="200"/>
      <c r="FE123" s="200"/>
      <c r="FF123" s="200"/>
      <c r="FG123" s="200"/>
      <c r="FH123" s="200"/>
      <c r="FI123" s="200"/>
      <c r="FJ123" s="200"/>
      <c r="FK123" s="200"/>
      <c r="FL123" s="200"/>
      <c r="FM123" s="200"/>
      <c r="FN123" s="200"/>
      <c r="FO123" s="200"/>
      <c r="FP123" s="200"/>
      <c r="FQ123" s="200"/>
      <c r="FR123" s="200"/>
      <c r="FS123" s="200"/>
      <c r="FT123" s="200"/>
      <c r="FU123" s="200"/>
      <c r="FV123" s="200"/>
      <c r="FW123" s="200"/>
      <c r="FX123" s="200"/>
      <c r="FY123" s="200"/>
      <c r="FZ123" s="200"/>
      <c r="GA123" s="200"/>
      <c r="GB123" s="200"/>
      <c r="GC123" s="200"/>
      <c r="GD123" s="200"/>
      <c r="GE123" s="200"/>
      <c r="GF123" s="200"/>
      <c r="GG123" s="200"/>
      <c r="GH123" s="200"/>
      <c r="GI123" s="200"/>
      <c r="GJ123" s="200"/>
      <c r="GK123" s="200"/>
      <c r="GL123" s="200"/>
      <c r="GM123" s="200"/>
      <c r="GN123" s="200"/>
      <c r="GO123" s="200"/>
      <c r="GP123" s="200"/>
      <c r="GQ123" s="200"/>
      <c r="GR123" s="200"/>
      <c r="GS123" s="200"/>
      <c r="GT123" s="200"/>
      <c r="GU123" s="315"/>
    </row>
    <row r="124" spans="1:256" ht="13.8" hidden="1">
      <c r="A124" s="308"/>
      <c r="B124" s="197"/>
      <c r="C124" s="309"/>
      <c r="D124" s="197"/>
      <c r="E124" s="197"/>
      <c r="F124" s="197"/>
      <c r="G124" s="197"/>
      <c r="H124" s="197"/>
      <c r="I124" s="197"/>
      <c r="J124" s="198"/>
      <c r="K124" s="199"/>
      <c r="L124" s="200"/>
      <c r="M124" s="302"/>
      <c r="N124" s="316"/>
      <c r="O124" s="316"/>
      <c r="P124" s="316"/>
      <c r="Q124" s="313"/>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c r="AS124" s="316"/>
      <c r="AT124" s="316"/>
      <c r="AU124" s="316"/>
      <c r="AV124" s="316"/>
      <c r="AW124" s="316"/>
      <c r="AX124" s="316"/>
      <c r="AY124" s="316"/>
      <c r="AZ124" s="316"/>
      <c r="BA124" s="316"/>
      <c r="BB124" s="316"/>
      <c r="BC124" s="316"/>
      <c r="BD124" s="316"/>
      <c r="BE124" s="316"/>
      <c r="BF124" s="316"/>
      <c r="BG124" s="316"/>
      <c r="BH124" s="316"/>
      <c r="BI124" s="316"/>
      <c r="BJ124" s="316"/>
      <c r="BK124" s="316"/>
      <c r="BL124" s="316"/>
      <c r="BM124" s="316"/>
      <c r="BN124" s="316"/>
      <c r="BO124" s="316"/>
      <c r="BP124" s="316"/>
      <c r="BQ124" s="316"/>
      <c r="BR124" s="316"/>
      <c r="BS124" s="316"/>
      <c r="BT124" s="316"/>
      <c r="BU124" s="316"/>
      <c r="BV124" s="316"/>
      <c r="BW124" s="316"/>
      <c r="BX124" s="316"/>
      <c r="BY124" s="316"/>
      <c r="BZ124" s="316"/>
      <c r="CA124" s="316"/>
      <c r="CB124" s="316"/>
      <c r="CC124" s="316"/>
      <c r="CD124" s="316"/>
      <c r="CE124" s="316"/>
      <c r="CF124" s="316"/>
      <c r="CG124" s="316"/>
      <c r="CH124" s="316"/>
      <c r="CI124" s="316"/>
      <c r="CJ124" s="316"/>
      <c r="CK124" s="316"/>
      <c r="CL124" s="316"/>
      <c r="CM124" s="316"/>
      <c r="CN124" s="316"/>
      <c r="CO124" s="316"/>
      <c r="CP124" s="316"/>
      <c r="CQ124" s="316"/>
      <c r="CR124" s="316"/>
      <c r="CS124" s="316"/>
      <c r="CT124" s="316"/>
      <c r="CU124" s="316"/>
      <c r="CV124" s="316"/>
      <c r="CW124" s="316"/>
      <c r="CX124" s="316"/>
      <c r="CY124" s="316"/>
      <c r="CZ124" s="316"/>
      <c r="DA124" s="316"/>
      <c r="DB124" s="316"/>
      <c r="DC124" s="316"/>
      <c r="DD124" s="316"/>
      <c r="DE124" s="316"/>
      <c r="DF124" s="316"/>
      <c r="DG124" s="316"/>
      <c r="DH124" s="316"/>
      <c r="DI124" s="316"/>
      <c r="DJ124" s="316"/>
      <c r="DK124" s="316"/>
      <c r="DL124" s="316"/>
      <c r="DM124" s="316"/>
      <c r="DN124" s="316"/>
      <c r="DO124" s="316"/>
      <c r="DP124" s="316"/>
      <c r="DQ124" s="316"/>
      <c r="DR124" s="316"/>
      <c r="DS124" s="316"/>
      <c r="DT124" s="316"/>
      <c r="DU124" s="316"/>
      <c r="DV124" s="316"/>
      <c r="DW124" s="316"/>
      <c r="DX124" s="316"/>
      <c r="DY124" s="316"/>
      <c r="DZ124" s="316"/>
      <c r="EA124" s="316"/>
      <c r="EB124" s="316"/>
      <c r="EC124" s="316"/>
      <c r="ED124" s="316"/>
      <c r="EE124" s="316"/>
      <c r="EF124" s="316"/>
      <c r="EG124" s="316"/>
      <c r="EH124" s="316"/>
      <c r="EI124" s="316"/>
      <c r="EJ124" s="316"/>
      <c r="EK124" s="316"/>
      <c r="EL124" s="316"/>
      <c r="EM124" s="316"/>
      <c r="EN124" s="316"/>
      <c r="EO124" s="316"/>
      <c r="EP124" s="316"/>
      <c r="EQ124" s="316"/>
      <c r="ER124" s="316"/>
      <c r="ES124" s="316"/>
      <c r="ET124" s="316"/>
      <c r="EU124" s="316"/>
      <c r="EV124" s="316"/>
      <c r="EW124" s="316"/>
      <c r="EX124" s="316"/>
      <c r="EY124" s="316"/>
      <c r="EZ124" s="316"/>
      <c r="FA124" s="316"/>
      <c r="FB124" s="316"/>
      <c r="FC124" s="316"/>
      <c r="FD124" s="316"/>
      <c r="FE124" s="316"/>
      <c r="FF124" s="316"/>
      <c r="FG124" s="316"/>
      <c r="FH124" s="316"/>
      <c r="FI124" s="316"/>
      <c r="FJ124" s="316"/>
      <c r="FK124" s="316"/>
      <c r="FL124" s="316"/>
      <c r="FM124" s="316"/>
      <c r="FN124" s="316"/>
      <c r="FO124" s="316"/>
      <c r="FP124" s="316"/>
      <c r="FQ124" s="316"/>
      <c r="FR124" s="316"/>
      <c r="FS124" s="316"/>
      <c r="FT124" s="316"/>
      <c r="FU124" s="316"/>
      <c r="FV124" s="316"/>
      <c r="FW124" s="316"/>
      <c r="FX124" s="316"/>
      <c r="FY124" s="316"/>
      <c r="FZ124" s="316"/>
      <c r="GA124" s="316"/>
      <c r="GB124" s="316"/>
      <c r="GC124" s="316"/>
      <c r="GD124" s="316"/>
      <c r="GE124" s="316"/>
      <c r="GF124" s="316"/>
      <c r="GG124" s="316"/>
      <c r="GH124" s="316"/>
      <c r="GI124" s="316"/>
      <c r="GJ124" s="316"/>
      <c r="GK124" s="316"/>
      <c r="GL124" s="316"/>
      <c r="GM124" s="316"/>
      <c r="GN124" s="316"/>
      <c r="GO124" s="316"/>
      <c r="GP124" s="316"/>
      <c r="GQ124" s="316"/>
      <c r="GR124" s="316"/>
      <c r="GS124" s="316"/>
      <c r="GT124" s="316"/>
      <c r="GU124" s="315"/>
    </row>
    <row r="125" spans="1:256" ht="13.8" hidden="1">
      <c r="A125" s="308"/>
      <c r="B125" s="197"/>
      <c r="C125" s="309"/>
      <c r="D125" s="197"/>
      <c r="E125" s="197"/>
      <c r="F125" s="197"/>
      <c r="G125" s="197"/>
      <c r="H125" s="197"/>
      <c r="I125" s="197"/>
      <c r="J125" s="198"/>
      <c r="K125" s="199"/>
      <c r="L125" s="200"/>
      <c r="M125" s="302"/>
      <c r="N125" s="202"/>
      <c r="O125" s="202"/>
      <c r="P125" s="202"/>
      <c r="Q125" s="313"/>
      <c r="R125" s="202"/>
      <c r="S125" s="202"/>
      <c r="T125" s="202"/>
      <c r="U125" s="202"/>
      <c r="V125" s="202"/>
      <c r="W125" s="202"/>
      <c r="X125" s="202"/>
      <c r="Y125" s="202"/>
      <c r="Z125" s="202"/>
      <c r="AA125" s="202"/>
      <c r="AB125" s="202"/>
      <c r="AC125" s="202"/>
      <c r="AD125" s="202"/>
      <c r="AE125" s="202"/>
      <c r="AF125" s="202"/>
      <c r="AG125" s="202"/>
      <c r="AH125" s="202"/>
      <c r="AI125" s="202"/>
      <c r="AJ125" s="202"/>
      <c r="AK125" s="202"/>
      <c r="AL125" s="202"/>
      <c r="AM125" s="202"/>
      <c r="AN125" s="202"/>
      <c r="AO125" s="202"/>
      <c r="AP125" s="202"/>
      <c r="AQ125" s="202"/>
      <c r="AR125" s="202"/>
      <c r="AS125" s="202"/>
      <c r="AT125" s="202"/>
      <c r="AU125" s="202"/>
      <c r="AV125" s="202"/>
      <c r="AW125" s="202"/>
      <c r="AX125" s="202"/>
      <c r="AY125" s="202"/>
      <c r="AZ125" s="202"/>
      <c r="BA125" s="202"/>
      <c r="BB125" s="202"/>
      <c r="BC125" s="202"/>
      <c r="BD125" s="202"/>
      <c r="BE125" s="202"/>
      <c r="BF125" s="202"/>
      <c r="BG125" s="202"/>
      <c r="BH125" s="202"/>
      <c r="BI125" s="202"/>
      <c r="BJ125" s="202"/>
      <c r="BK125" s="202"/>
      <c r="BL125" s="202"/>
      <c r="BM125" s="202"/>
      <c r="BN125" s="202"/>
      <c r="BO125" s="202"/>
      <c r="BP125" s="202"/>
      <c r="BQ125" s="202"/>
      <c r="BR125" s="202"/>
      <c r="BS125" s="202"/>
      <c r="BT125" s="202"/>
      <c r="BU125" s="202"/>
      <c r="BV125" s="202"/>
      <c r="BW125" s="202"/>
      <c r="BX125" s="202"/>
      <c r="BY125" s="202"/>
      <c r="BZ125" s="202"/>
      <c r="CA125" s="202"/>
      <c r="CB125" s="202"/>
      <c r="CC125" s="202"/>
      <c r="CD125" s="202"/>
      <c r="CE125" s="202"/>
      <c r="CF125" s="202"/>
      <c r="CG125" s="202"/>
      <c r="CH125" s="202"/>
      <c r="CI125" s="202"/>
      <c r="CJ125" s="202"/>
      <c r="CK125" s="202"/>
      <c r="CL125" s="202"/>
      <c r="CM125" s="202"/>
      <c r="CN125" s="202"/>
      <c r="CO125" s="202"/>
      <c r="CP125" s="202"/>
      <c r="CQ125" s="202"/>
      <c r="CR125" s="202"/>
      <c r="CS125" s="202"/>
      <c r="CT125" s="202"/>
      <c r="CU125" s="202"/>
      <c r="CV125" s="202"/>
      <c r="CW125" s="202"/>
      <c r="CX125" s="202"/>
      <c r="CY125" s="202"/>
      <c r="CZ125" s="202"/>
      <c r="DA125" s="202"/>
      <c r="DB125" s="202"/>
      <c r="DC125" s="202"/>
      <c r="DD125" s="202"/>
      <c r="DE125" s="202"/>
      <c r="DF125" s="202"/>
      <c r="DG125" s="202"/>
      <c r="DH125" s="202"/>
      <c r="DI125" s="202"/>
      <c r="DJ125" s="202"/>
      <c r="DK125" s="202"/>
      <c r="DL125" s="202"/>
      <c r="DM125" s="202"/>
      <c r="DN125" s="202"/>
      <c r="DO125" s="202"/>
      <c r="DP125" s="202"/>
      <c r="DQ125" s="202"/>
      <c r="DR125" s="202"/>
      <c r="DS125" s="202"/>
      <c r="DT125" s="202"/>
      <c r="DU125" s="202"/>
      <c r="DV125" s="202"/>
      <c r="DW125" s="202"/>
      <c r="DX125" s="202"/>
      <c r="DY125" s="202"/>
      <c r="DZ125" s="202"/>
      <c r="EA125" s="202"/>
      <c r="EB125" s="202"/>
      <c r="EC125" s="202"/>
      <c r="ED125" s="202"/>
      <c r="EE125" s="202"/>
      <c r="EF125" s="202"/>
      <c r="EG125" s="202"/>
      <c r="EH125" s="202"/>
      <c r="EI125" s="202"/>
      <c r="EJ125" s="202"/>
      <c r="EK125" s="202"/>
      <c r="EL125" s="202"/>
      <c r="EM125" s="202"/>
      <c r="EN125" s="202"/>
      <c r="EO125" s="202"/>
      <c r="EP125" s="202"/>
      <c r="EQ125" s="202"/>
      <c r="ER125" s="202"/>
      <c r="ES125" s="202"/>
      <c r="ET125" s="202"/>
      <c r="EU125" s="202"/>
      <c r="EV125" s="202"/>
      <c r="EW125" s="202"/>
      <c r="EX125" s="202"/>
      <c r="EY125" s="202"/>
      <c r="EZ125" s="202"/>
      <c r="FA125" s="202"/>
      <c r="FB125" s="202"/>
      <c r="FC125" s="202"/>
      <c r="FD125" s="202"/>
      <c r="FE125" s="202"/>
      <c r="FF125" s="202"/>
      <c r="FG125" s="202"/>
      <c r="FH125" s="202"/>
      <c r="FI125" s="202"/>
      <c r="FJ125" s="202"/>
      <c r="FK125" s="202"/>
      <c r="FL125" s="202"/>
      <c r="FM125" s="202"/>
      <c r="FN125" s="202"/>
      <c r="FO125" s="202"/>
      <c r="FP125" s="202"/>
      <c r="FQ125" s="202"/>
      <c r="FR125" s="202"/>
      <c r="FS125" s="202"/>
      <c r="FT125" s="202"/>
      <c r="FU125" s="202"/>
      <c r="FV125" s="202"/>
      <c r="FW125" s="202"/>
      <c r="FX125" s="202"/>
      <c r="FY125" s="202"/>
      <c r="FZ125" s="202"/>
      <c r="GA125" s="202"/>
      <c r="GB125" s="202"/>
      <c r="GC125" s="202"/>
      <c r="GD125" s="202"/>
      <c r="GE125" s="202"/>
      <c r="GF125" s="202"/>
      <c r="GG125" s="202"/>
      <c r="GH125" s="202"/>
      <c r="GI125" s="202"/>
      <c r="GJ125" s="202"/>
      <c r="GK125" s="202"/>
      <c r="GL125" s="202"/>
      <c r="GM125" s="202"/>
      <c r="GN125" s="202"/>
      <c r="GO125" s="202"/>
      <c r="GP125" s="202"/>
      <c r="GQ125" s="202"/>
      <c r="GR125" s="202"/>
      <c r="GS125" s="202"/>
      <c r="GT125" s="202"/>
      <c r="GU125" s="315"/>
    </row>
    <row r="126" spans="1:256" ht="13.8" hidden="1">
      <c r="A126" s="308"/>
      <c r="B126" s="197"/>
      <c r="C126" s="309"/>
      <c r="D126" s="197"/>
      <c r="E126" s="197"/>
      <c r="F126" s="197"/>
      <c r="G126" s="197"/>
      <c r="H126" s="197"/>
      <c r="I126" s="197"/>
      <c r="J126" s="198"/>
      <c r="K126" s="199"/>
      <c r="L126" s="200"/>
      <c r="M126" s="302"/>
      <c r="N126" s="202"/>
      <c r="O126" s="202"/>
      <c r="P126" s="202"/>
      <c r="Q126" s="313"/>
      <c r="R126" s="202"/>
      <c r="S126" s="202"/>
      <c r="T126" s="202"/>
      <c r="U126" s="202"/>
      <c r="V126" s="202"/>
      <c r="W126" s="202"/>
      <c r="X126" s="202"/>
      <c r="Y126" s="202"/>
      <c r="Z126" s="202"/>
      <c r="AA126" s="202"/>
      <c r="AB126" s="202"/>
      <c r="AC126" s="202"/>
      <c r="AD126" s="202"/>
      <c r="AE126" s="202"/>
      <c r="AF126" s="202"/>
      <c r="AG126" s="202"/>
      <c r="AH126" s="202"/>
      <c r="AI126" s="202"/>
      <c r="AJ126" s="202"/>
      <c r="AK126" s="202"/>
      <c r="AL126" s="202"/>
      <c r="AM126" s="202"/>
      <c r="AN126" s="202"/>
      <c r="AO126" s="202"/>
      <c r="AP126" s="202"/>
      <c r="AQ126" s="202"/>
      <c r="AR126" s="202"/>
      <c r="AS126" s="202"/>
      <c r="AT126" s="202"/>
      <c r="AU126" s="202"/>
      <c r="AV126" s="202"/>
      <c r="AW126" s="202"/>
      <c r="AX126" s="202"/>
      <c r="AY126" s="202"/>
      <c r="AZ126" s="202"/>
      <c r="BA126" s="202"/>
      <c r="BB126" s="202"/>
      <c r="BC126" s="202"/>
      <c r="BD126" s="202"/>
      <c r="BE126" s="202"/>
      <c r="BF126" s="202"/>
      <c r="BG126" s="202"/>
      <c r="BH126" s="202"/>
      <c r="BI126" s="202"/>
      <c r="BJ126" s="202"/>
      <c r="BK126" s="202"/>
      <c r="BL126" s="202"/>
      <c r="BM126" s="202"/>
      <c r="BN126" s="202"/>
      <c r="BO126" s="202"/>
      <c r="BP126" s="202"/>
      <c r="BQ126" s="202"/>
      <c r="BR126" s="202"/>
      <c r="BS126" s="202"/>
      <c r="BT126" s="202"/>
      <c r="BU126" s="202"/>
      <c r="BV126" s="202"/>
      <c r="BW126" s="202"/>
      <c r="BX126" s="202"/>
      <c r="BY126" s="202"/>
      <c r="BZ126" s="202"/>
      <c r="CA126" s="202"/>
      <c r="CB126" s="202"/>
      <c r="CC126" s="202"/>
      <c r="CD126" s="202"/>
      <c r="CE126" s="202"/>
      <c r="CF126" s="202"/>
      <c r="CG126" s="202"/>
      <c r="CH126" s="202"/>
      <c r="CI126" s="202"/>
      <c r="CJ126" s="202"/>
      <c r="CK126" s="202"/>
      <c r="CL126" s="202"/>
      <c r="CM126" s="202"/>
      <c r="CN126" s="202"/>
      <c r="CO126" s="202"/>
      <c r="CP126" s="202"/>
      <c r="CQ126" s="202"/>
      <c r="CR126" s="202"/>
      <c r="CS126" s="202"/>
      <c r="CT126" s="202"/>
      <c r="CU126" s="202"/>
      <c r="CV126" s="202"/>
      <c r="CW126" s="202"/>
      <c r="CX126" s="202"/>
      <c r="CY126" s="202"/>
      <c r="CZ126" s="202"/>
      <c r="DA126" s="202"/>
      <c r="DB126" s="202"/>
      <c r="DC126" s="202"/>
      <c r="DD126" s="202"/>
      <c r="DE126" s="202"/>
      <c r="DF126" s="202"/>
      <c r="DG126" s="202"/>
      <c r="DH126" s="202"/>
      <c r="DI126" s="202"/>
      <c r="DJ126" s="202"/>
      <c r="DK126" s="202"/>
      <c r="DL126" s="202"/>
      <c r="DM126" s="202"/>
      <c r="DN126" s="202"/>
      <c r="DO126" s="202"/>
      <c r="DP126" s="202"/>
      <c r="DQ126" s="202"/>
      <c r="DR126" s="202"/>
      <c r="DS126" s="202"/>
      <c r="DT126" s="202"/>
      <c r="DU126" s="202"/>
      <c r="DV126" s="202"/>
      <c r="DW126" s="202"/>
      <c r="DX126" s="202"/>
      <c r="DY126" s="202"/>
      <c r="DZ126" s="202"/>
      <c r="EA126" s="202"/>
      <c r="EB126" s="202"/>
      <c r="EC126" s="202"/>
      <c r="ED126" s="202"/>
      <c r="EE126" s="202"/>
      <c r="EF126" s="202"/>
      <c r="EG126" s="202"/>
      <c r="EH126" s="202"/>
      <c r="EI126" s="202"/>
      <c r="EJ126" s="202"/>
      <c r="EK126" s="202"/>
      <c r="EL126" s="202"/>
      <c r="EM126" s="202"/>
      <c r="EN126" s="202"/>
      <c r="EO126" s="202"/>
      <c r="EP126" s="202"/>
      <c r="EQ126" s="202"/>
      <c r="ER126" s="202"/>
      <c r="ES126" s="202"/>
      <c r="ET126" s="202"/>
      <c r="EU126" s="202"/>
      <c r="EV126" s="202"/>
      <c r="EW126" s="202"/>
      <c r="EX126" s="202"/>
      <c r="EY126" s="202"/>
      <c r="EZ126" s="202"/>
      <c r="FA126" s="202"/>
      <c r="FB126" s="202"/>
      <c r="FC126" s="202"/>
      <c r="FD126" s="202"/>
      <c r="FE126" s="202"/>
      <c r="FF126" s="202"/>
      <c r="FG126" s="202"/>
      <c r="FH126" s="202"/>
      <c r="FI126" s="202"/>
      <c r="FJ126" s="202"/>
      <c r="FK126" s="202"/>
      <c r="FL126" s="202"/>
      <c r="FM126" s="202"/>
      <c r="FN126" s="202"/>
      <c r="FO126" s="202"/>
      <c r="FP126" s="202"/>
      <c r="FQ126" s="202"/>
      <c r="FR126" s="202"/>
      <c r="FS126" s="202"/>
      <c r="FT126" s="202"/>
      <c r="FU126" s="202"/>
      <c r="FV126" s="202"/>
      <c r="FW126" s="202"/>
      <c r="FX126" s="202"/>
      <c r="FY126" s="202"/>
      <c r="FZ126" s="202"/>
      <c r="GA126" s="202"/>
      <c r="GB126" s="202"/>
      <c r="GC126" s="202"/>
      <c r="GD126" s="202"/>
      <c r="GE126" s="202"/>
      <c r="GF126" s="202"/>
      <c r="GG126" s="202"/>
      <c r="GH126" s="202"/>
      <c r="GI126" s="202"/>
      <c r="GJ126" s="202"/>
      <c r="GK126" s="202"/>
      <c r="GL126" s="202"/>
      <c r="GM126" s="202"/>
      <c r="GN126" s="202"/>
      <c r="GO126" s="202"/>
      <c r="GP126" s="202"/>
      <c r="GQ126" s="202"/>
      <c r="GR126" s="202"/>
      <c r="GS126" s="202"/>
      <c r="GT126" s="202"/>
      <c r="GU126" s="315"/>
    </row>
    <row r="127" spans="1:256" ht="13.8" hidden="1">
      <c r="A127" s="308"/>
      <c r="B127" s="197"/>
      <c r="C127" s="309"/>
      <c r="D127" s="197"/>
      <c r="E127" s="197"/>
      <c r="F127" s="197"/>
      <c r="G127" s="197"/>
      <c r="H127" s="197"/>
      <c r="I127" s="197"/>
      <c r="J127" s="198"/>
      <c r="K127" s="199"/>
      <c r="L127" s="200"/>
      <c r="M127" s="302"/>
      <c r="N127" s="202"/>
      <c r="O127" s="202"/>
      <c r="P127" s="202"/>
      <c r="Q127" s="313"/>
      <c r="R127" s="202"/>
      <c r="S127" s="202"/>
      <c r="T127" s="202"/>
      <c r="U127" s="202"/>
      <c r="V127" s="202"/>
      <c r="W127" s="202"/>
      <c r="X127" s="202"/>
      <c r="Y127" s="202"/>
      <c r="Z127" s="202"/>
      <c r="AA127" s="202"/>
      <c r="AB127" s="202"/>
      <c r="AC127" s="202"/>
      <c r="AD127" s="202"/>
      <c r="AE127" s="202"/>
      <c r="AF127" s="202"/>
      <c r="AG127" s="202"/>
      <c r="AH127" s="202"/>
      <c r="AI127" s="202"/>
      <c r="AJ127" s="202"/>
      <c r="AK127" s="202"/>
      <c r="AL127" s="202"/>
      <c r="AM127" s="202"/>
      <c r="AN127" s="202"/>
      <c r="AO127" s="202"/>
      <c r="AP127" s="202"/>
      <c r="AQ127" s="202"/>
      <c r="AR127" s="202"/>
      <c r="AS127" s="202"/>
      <c r="AT127" s="202"/>
      <c r="AU127" s="202"/>
      <c r="AV127" s="202"/>
      <c r="AW127" s="202"/>
      <c r="AX127" s="202"/>
      <c r="AY127" s="202"/>
      <c r="AZ127" s="202"/>
      <c r="BA127" s="202"/>
      <c r="BB127" s="202"/>
      <c r="BC127" s="202"/>
      <c r="BD127" s="202"/>
      <c r="BE127" s="202"/>
      <c r="BF127" s="202"/>
      <c r="BG127" s="202"/>
      <c r="BH127" s="202"/>
      <c r="BI127" s="202"/>
      <c r="BJ127" s="202"/>
      <c r="BK127" s="202"/>
      <c r="BL127" s="202"/>
      <c r="BM127" s="202"/>
      <c r="BN127" s="202"/>
      <c r="BO127" s="202"/>
      <c r="BP127" s="202"/>
      <c r="BQ127" s="202"/>
      <c r="BR127" s="202"/>
      <c r="BS127" s="202"/>
      <c r="BT127" s="202"/>
      <c r="BU127" s="202"/>
      <c r="BV127" s="202"/>
      <c r="BW127" s="202"/>
      <c r="BX127" s="202"/>
      <c r="BY127" s="202"/>
      <c r="BZ127" s="202"/>
      <c r="CA127" s="202"/>
      <c r="CB127" s="202"/>
      <c r="CC127" s="202"/>
      <c r="CD127" s="202"/>
      <c r="CE127" s="202"/>
      <c r="CF127" s="202"/>
      <c r="CG127" s="202"/>
      <c r="CH127" s="202"/>
      <c r="CI127" s="202"/>
      <c r="CJ127" s="202"/>
      <c r="CK127" s="202"/>
      <c r="CL127" s="202"/>
      <c r="CM127" s="202"/>
      <c r="CN127" s="202"/>
      <c r="CO127" s="202"/>
      <c r="CP127" s="202"/>
      <c r="CQ127" s="202"/>
      <c r="CR127" s="202"/>
      <c r="CS127" s="202"/>
      <c r="CT127" s="202"/>
      <c r="CU127" s="202"/>
      <c r="CV127" s="202"/>
      <c r="CW127" s="202"/>
      <c r="CX127" s="202"/>
      <c r="CY127" s="202"/>
      <c r="CZ127" s="202"/>
      <c r="DA127" s="202"/>
      <c r="DB127" s="202"/>
      <c r="DC127" s="202"/>
      <c r="DD127" s="202"/>
      <c r="DE127" s="202"/>
      <c r="DF127" s="202"/>
      <c r="DG127" s="202"/>
      <c r="DH127" s="202"/>
      <c r="DI127" s="202"/>
      <c r="DJ127" s="202"/>
      <c r="DK127" s="202"/>
      <c r="DL127" s="202"/>
      <c r="DM127" s="202"/>
      <c r="DN127" s="202"/>
      <c r="DO127" s="202"/>
      <c r="DP127" s="202"/>
      <c r="DQ127" s="202"/>
      <c r="DR127" s="202"/>
      <c r="DS127" s="202"/>
      <c r="DT127" s="202"/>
      <c r="DU127" s="202"/>
      <c r="DV127" s="202"/>
      <c r="DW127" s="202"/>
      <c r="DX127" s="202"/>
      <c r="DY127" s="202"/>
      <c r="DZ127" s="202"/>
      <c r="EA127" s="202"/>
      <c r="EB127" s="202"/>
      <c r="EC127" s="202"/>
      <c r="ED127" s="202"/>
      <c r="EE127" s="202"/>
      <c r="EF127" s="202"/>
      <c r="EG127" s="202"/>
      <c r="EH127" s="202"/>
      <c r="EI127" s="202"/>
      <c r="EJ127" s="202"/>
      <c r="EK127" s="202"/>
      <c r="EL127" s="202"/>
      <c r="EM127" s="202"/>
      <c r="EN127" s="202"/>
      <c r="EO127" s="202"/>
      <c r="EP127" s="202"/>
      <c r="EQ127" s="202"/>
      <c r="ER127" s="202"/>
      <c r="ES127" s="202"/>
      <c r="ET127" s="202"/>
      <c r="EU127" s="202"/>
      <c r="EV127" s="202"/>
      <c r="EW127" s="202"/>
      <c r="EX127" s="202"/>
      <c r="EY127" s="202"/>
      <c r="EZ127" s="202"/>
      <c r="FA127" s="202"/>
      <c r="FB127" s="202"/>
      <c r="FC127" s="202"/>
      <c r="FD127" s="202"/>
      <c r="FE127" s="202"/>
      <c r="FF127" s="202"/>
      <c r="FG127" s="202"/>
      <c r="FH127" s="202"/>
      <c r="FI127" s="202"/>
      <c r="FJ127" s="202"/>
      <c r="FK127" s="202"/>
      <c r="FL127" s="202"/>
      <c r="FM127" s="202"/>
      <c r="FN127" s="202"/>
      <c r="FO127" s="202"/>
      <c r="FP127" s="202"/>
      <c r="FQ127" s="202"/>
      <c r="FR127" s="202"/>
      <c r="FS127" s="202"/>
      <c r="FT127" s="202"/>
      <c r="FU127" s="202"/>
      <c r="FV127" s="202"/>
      <c r="FW127" s="202"/>
      <c r="FX127" s="202"/>
      <c r="FY127" s="202"/>
      <c r="FZ127" s="202"/>
      <c r="GA127" s="202"/>
      <c r="GB127" s="202"/>
      <c r="GC127" s="202"/>
      <c r="GD127" s="202"/>
      <c r="GE127" s="202"/>
      <c r="GF127" s="202"/>
      <c r="GG127" s="202"/>
      <c r="GH127" s="202"/>
      <c r="GI127" s="202"/>
      <c r="GJ127" s="202"/>
      <c r="GK127" s="202"/>
      <c r="GL127" s="202"/>
      <c r="GM127" s="202"/>
      <c r="GN127" s="202"/>
      <c r="GO127" s="202"/>
      <c r="GP127" s="202"/>
      <c r="GQ127" s="202"/>
      <c r="GR127" s="202"/>
      <c r="GS127" s="202"/>
      <c r="GT127" s="202"/>
      <c r="GU127" s="315"/>
    </row>
    <row r="128" spans="1:256" ht="13.8" hidden="1">
      <c r="A128" s="308"/>
      <c r="B128" s="197"/>
      <c r="C128" s="197"/>
      <c r="D128" s="197"/>
      <c r="E128" s="197"/>
      <c r="F128" s="197"/>
      <c r="G128" s="197"/>
      <c r="H128" s="197"/>
      <c r="I128" s="197"/>
      <c r="J128" s="198"/>
      <c r="K128" s="199"/>
      <c r="L128" s="200"/>
      <c r="M128" s="302"/>
      <c r="N128" s="200"/>
      <c r="O128" s="200"/>
      <c r="P128" s="200"/>
      <c r="Q128" s="313"/>
      <c r="R128" s="200"/>
      <c r="S128" s="200"/>
      <c r="T128" s="200"/>
      <c r="U128" s="200"/>
      <c r="V128" s="200"/>
      <c r="W128" s="200"/>
      <c r="X128" s="200"/>
      <c r="Y128" s="200"/>
      <c r="Z128" s="200"/>
      <c r="AA128" s="200"/>
      <c r="AB128" s="200"/>
      <c r="AC128" s="200"/>
      <c r="AD128" s="200"/>
      <c r="AE128" s="200"/>
      <c r="AF128" s="200"/>
      <c r="AG128" s="200"/>
      <c r="AH128" s="200"/>
      <c r="AI128" s="200"/>
      <c r="AJ128" s="200"/>
      <c r="AK128" s="200"/>
      <c r="AL128" s="200"/>
      <c r="AM128" s="200"/>
      <c r="AN128" s="200"/>
      <c r="AO128" s="200"/>
      <c r="AP128" s="200"/>
      <c r="AQ128" s="200"/>
      <c r="AR128" s="200"/>
      <c r="AS128" s="200"/>
      <c r="AT128" s="200"/>
      <c r="AU128" s="200"/>
      <c r="AV128" s="200"/>
      <c r="AW128" s="200"/>
      <c r="AX128" s="200"/>
      <c r="AY128" s="200"/>
      <c r="AZ128" s="200"/>
      <c r="BA128" s="200"/>
      <c r="BB128" s="200"/>
      <c r="BC128" s="200"/>
      <c r="BD128" s="200"/>
      <c r="BE128" s="200"/>
      <c r="BF128" s="200"/>
      <c r="BG128" s="200"/>
      <c r="BH128" s="200"/>
      <c r="BI128" s="200"/>
      <c r="BJ128" s="200"/>
      <c r="BK128" s="200"/>
      <c r="BL128" s="200"/>
      <c r="BM128" s="200"/>
      <c r="BN128" s="200"/>
      <c r="BO128" s="200"/>
      <c r="BP128" s="200"/>
      <c r="BQ128" s="200"/>
      <c r="BR128" s="200"/>
      <c r="BS128" s="200"/>
      <c r="BT128" s="200"/>
      <c r="BU128" s="200"/>
      <c r="BV128" s="200"/>
      <c r="BW128" s="200"/>
      <c r="BX128" s="200"/>
      <c r="BY128" s="200"/>
      <c r="BZ128" s="200"/>
      <c r="CA128" s="200"/>
      <c r="CB128" s="200"/>
      <c r="CC128" s="200"/>
      <c r="CD128" s="200"/>
      <c r="CE128" s="200"/>
      <c r="CF128" s="200"/>
      <c r="CG128" s="200"/>
      <c r="CH128" s="200"/>
      <c r="CI128" s="200"/>
      <c r="CJ128" s="200"/>
      <c r="CK128" s="200"/>
      <c r="CL128" s="200"/>
      <c r="CM128" s="200"/>
      <c r="CN128" s="200"/>
      <c r="CO128" s="200"/>
      <c r="CP128" s="200"/>
      <c r="CQ128" s="200"/>
      <c r="CR128" s="200"/>
      <c r="CS128" s="200"/>
      <c r="CT128" s="200"/>
      <c r="CU128" s="200"/>
      <c r="CV128" s="200"/>
      <c r="CW128" s="200"/>
      <c r="CX128" s="200"/>
      <c r="CY128" s="200"/>
      <c r="CZ128" s="200"/>
      <c r="DA128" s="200"/>
      <c r="DB128" s="200"/>
      <c r="DC128" s="200"/>
      <c r="DD128" s="200"/>
      <c r="DE128" s="200"/>
      <c r="DF128" s="200"/>
      <c r="DG128" s="200"/>
      <c r="DH128" s="200"/>
      <c r="DI128" s="200"/>
      <c r="DJ128" s="200"/>
      <c r="DK128" s="200"/>
      <c r="DL128" s="200"/>
      <c r="DM128" s="200"/>
      <c r="DN128" s="200"/>
      <c r="DO128" s="200"/>
      <c r="DP128" s="200"/>
      <c r="DQ128" s="200"/>
      <c r="DR128" s="200"/>
      <c r="DS128" s="200"/>
      <c r="DT128" s="200"/>
      <c r="DU128" s="200"/>
      <c r="DV128" s="200"/>
      <c r="DW128" s="200"/>
      <c r="DX128" s="200"/>
      <c r="DY128" s="200"/>
      <c r="DZ128" s="200"/>
      <c r="EA128" s="200"/>
      <c r="EB128" s="200"/>
      <c r="EC128" s="200"/>
      <c r="ED128" s="200"/>
      <c r="EE128" s="200"/>
      <c r="EF128" s="200"/>
      <c r="EG128" s="200"/>
      <c r="EH128" s="200"/>
      <c r="EI128" s="200"/>
      <c r="EJ128" s="200"/>
      <c r="EK128" s="200"/>
      <c r="EL128" s="200"/>
      <c r="EM128" s="200"/>
      <c r="EN128" s="200"/>
      <c r="EO128" s="200"/>
      <c r="EP128" s="200"/>
      <c r="EQ128" s="200"/>
      <c r="ER128" s="200"/>
      <c r="ES128" s="200"/>
      <c r="ET128" s="200"/>
      <c r="EU128" s="200"/>
      <c r="EV128" s="200"/>
      <c r="EW128" s="200"/>
      <c r="EX128" s="200"/>
      <c r="EY128" s="200"/>
      <c r="EZ128" s="200"/>
      <c r="FA128" s="200"/>
      <c r="FB128" s="200"/>
      <c r="FC128" s="200"/>
      <c r="FD128" s="200"/>
      <c r="FE128" s="200"/>
      <c r="FF128" s="200"/>
      <c r="FG128" s="200"/>
      <c r="FH128" s="200"/>
      <c r="FI128" s="200"/>
      <c r="FJ128" s="200"/>
      <c r="FK128" s="200"/>
      <c r="FL128" s="200"/>
      <c r="FM128" s="200"/>
      <c r="FN128" s="200"/>
      <c r="FO128" s="200"/>
      <c r="FP128" s="200"/>
      <c r="FQ128" s="200"/>
      <c r="FR128" s="200"/>
      <c r="FS128" s="200"/>
      <c r="FT128" s="200"/>
      <c r="FU128" s="200"/>
      <c r="FV128" s="200"/>
      <c r="FW128" s="200"/>
      <c r="FX128" s="200"/>
      <c r="FY128" s="200"/>
      <c r="FZ128" s="200"/>
      <c r="GA128" s="200"/>
      <c r="GB128" s="200"/>
      <c r="GC128" s="200"/>
      <c r="GD128" s="200"/>
      <c r="GE128" s="200"/>
      <c r="GF128" s="200"/>
      <c r="GG128" s="200"/>
      <c r="GH128" s="200"/>
      <c r="GI128" s="200"/>
      <c r="GJ128" s="200"/>
      <c r="GK128" s="200"/>
      <c r="GL128" s="200"/>
      <c r="GM128" s="200"/>
      <c r="GN128" s="200"/>
      <c r="GO128" s="200"/>
      <c r="GP128" s="200"/>
      <c r="GQ128" s="200"/>
      <c r="GR128" s="200"/>
      <c r="GS128" s="200"/>
      <c r="GT128" s="200"/>
      <c r="GU128" s="315"/>
    </row>
    <row r="129" spans="1:256" ht="13.8" hidden="1">
      <c r="A129" s="308"/>
      <c r="B129" s="197"/>
      <c r="C129" s="309"/>
      <c r="D129" s="197"/>
      <c r="E129" s="197"/>
      <c r="F129" s="197"/>
      <c r="G129" s="197"/>
      <c r="H129" s="197"/>
      <c r="I129" s="197"/>
      <c r="J129" s="198"/>
      <c r="K129" s="199"/>
      <c r="L129" s="200"/>
      <c r="M129" s="302"/>
      <c r="N129" s="316"/>
      <c r="O129" s="316"/>
      <c r="P129" s="316"/>
      <c r="Q129" s="313"/>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c r="AS129" s="316"/>
      <c r="AT129" s="316"/>
      <c r="AU129" s="316"/>
      <c r="AV129" s="316"/>
      <c r="AW129" s="316"/>
      <c r="AX129" s="316"/>
      <c r="AY129" s="316"/>
      <c r="AZ129" s="316"/>
      <c r="BA129" s="316"/>
      <c r="BB129" s="316"/>
      <c r="BC129" s="316"/>
      <c r="BD129" s="316"/>
      <c r="BE129" s="316"/>
      <c r="BF129" s="316"/>
      <c r="BG129" s="316"/>
      <c r="BH129" s="316"/>
      <c r="BI129" s="316"/>
      <c r="BJ129" s="316"/>
      <c r="BK129" s="316"/>
      <c r="BL129" s="316"/>
      <c r="BM129" s="316"/>
      <c r="BN129" s="316"/>
      <c r="BO129" s="316"/>
      <c r="BP129" s="316"/>
      <c r="BQ129" s="316"/>
      <c r="BR129" s="316"/>
      <c r="BS129" s="316"/>
      <c r="BT129" s="316"/>
      <c r="BU129" s="316"/>
      <c r="BV129" s="316"/>
      <c r="BW129" s="316"/>
      <c r="BX129" s="316"/>
      <c r="BY129" s="316"/>
      <c r="BZ129" s="316"/>
      <c r="CA129" s="316"/>
      <c r="CB129" s="316"/>
      <c r="CC129" s="316"/>
      <c r="CD129" s="316"/>
      <c r="CE129" s="316"/>
      <c r="CF129" s="316"/>
      <c r="CG129" s="316"/>
      <c r="CH129" s="316"/>
      <c r="CI129" s="316"/>
      <c r="CJ129" s="316"/>
      <c r="CK129" s="316"/>
      <c r="CL129" s="316"/>
      <c r="CM129" s="316"/>
      <c r="CN129" s="316"/>
      <c r="CO129" s="316"/>
      <c r="CP129" s="316"/>
      <c r="CQ129" s="316"/>
      <c r="CR129" s="316"/>
      <c r="CS129" s="316"/>
      <c r="CT129" s="316"/>
      <c r="CU129" s="316"/>
      <c r="CV129" s="316"/>
      <c r="CW129" s="316"/>
      <c r="CX129" s="316"/>
      <c r="CY129" s="316"/>
      <c r="CZ129" s="316"/>
      <c r="DA129" s="316"/>
      <c r="DB129" s="316"/>
      <c r="DC129" s="316"/>
      <c r="DD129" s="316"/>
      <c r="DE129" s="316"/>
      <c r="DF129" s="316"/>
      <c r="DG129" s="316"/>
      <c r="DH129" s="316"/>
      <c r="DI129" s="316"/>
      <c r="DJ129" s="316"/>
      <c r="DK129" s="316"/>
      <c r="DL129" s="316"/>
      <c r="DM129" s="316"/>
      <c r="DN129" s="316"/>
      <c r="DO129" s="316"/>
      <c r="DP129" s="316"/>
      <c r="DQ129" s="316"/>
      <c r="DR129" s="316"/>
      <c r="DS129" s="316"/>
      <c r="DT129" s="316"/>
      <c r="DU129" s="316"/>
      <c r="DV129" s="316"/>
      <c r="DW129" s="316"/>
      <c r="DX129" s="316"/>
      <c r="DY129" s="316"/>
      <c r="DZ129" s="316"/>
      <c r="EA129" s="316"/>
      <c r="EB129" s="316"/>
      <c r="EC129" s="316"/>
      <c r="ED129" s="316"/>
      <c r="EE129" s="316"/>
      <c r="EF129" s="316"/>
      <c r="EG129" s="316"/>
      <c r="EH129" s="316"/>
      <c r="EI129" s="316"/>
      <c r="EJ129" s="316"/>
      <c r="EK129" s="316"/>
      <c r="EL129" s="316"/>
      <c r="EM129" s="316"/>
      <c r="EN129" s="316"/>
      <c r="EO129" s="316"/>
      <c r="EP129" s="316"/>
      <c r="EQ129" s="316"/>
      <c r="ER129" s="316"/>
      <c r="ES129" s="316"/>
      <c r="ET129" s="316"/>
      <c r="EU129" s="316"/>
      <c r="EV129" s="316"/>
      <c r="EW129" s="316"/>
      <c r="EX129" s="316"/>
      <c r="EY129" s="316"/>
      <c r="EZ129" s="316"/>
      <c r="FA129" s="316"/>
      <c r="FB129" s="316"/>
      <c r="FC129" s="316"/>
      <c r="FD129" s="316"/>
      <c r="FE129" s="316"/>
      <c r="FF129" s="316"/>
      <c r="FG129" s="316"/>
      <c r="FH129" s="316"/>
      <c r="FI129" s="316"/>
      <c r="FJ129" s="316"/>
      <c r="FK129" s="316"/>
      <c r="FL129" s="316"/>
      <c r="FM129" s="316"/>
      <c r="FN129" s="316"/>
      <c r="FO129" s="316"/>
      <c r="FP129" s="316"/>
      <c r="FQ129" s="316"/>
      <c r="FR129" s="316"/>
      <c r="FS129" s="316"/>
      <c r="FT129" s="316"/>
      <c r="FU129" s="316"/>
      <c r="FV129" s="316"/>
      <c r="FW129" s="316"/>
      <c r="FX129" s="316"/>
      <c r="FY129" s="316"/>
      <c r="FZ129" s="316"/>
      <c r="GA129" s="316"/>
      <c r="GB129" s="316"/>
      <c r="GC129" s="316"/>
      <c r="GD129" s="316"/>
      <c r="GE129" s="316"/>
      <c r="GF129" s="316"/>
      <c r="GG129" s="316"/>
      <c r="GH129" s="316"/>
      <c r="GI129" s="316"/>
      <c r="GJ129" s="316"/>
      <c r="GK129" s="316"/>
      <c r="GL129" s="316"/>
      <c r="GM129" s="316"/>
      <c r="GN129" s="316"/>
      <c r="GO129" s="316"/>
      <c r="GP129" s="316"/>
      <c r="GQ129" s="316"/>
      <c r="GR129" s="316"/>
      <c r="GS129" s="316"/>
      <c r="GT129" s="316"/>
      <c r="GU129" s="315"/>
    </row>
    <row r="130" spans="1:256" ht="13.8" hidden="1">
      <c r="A130" s="308"/>
      <c r="B130" s="197"/>
      <c r="C130" s="309"/>
      <c r="D130" s="197"/>
      <c r="E130" s="197"/>
      <c r="F130" s="197"/>
      <c r="G130" s="197"/>
      <c r="H130" s="197"/>
      <c r="I130" s="197"/>
      <c r="J130" s="198"/>
      <c r="K130" s="199"/>
      <c r="L130" s="200"/>
      <c r="M130" s="322"/>
      <c r="N130" s="200"/>
      <c r="O130" s="200"/>
      <c r="P130" s="200"/>
      <c r="Q130" s="313"/>
      <c r="R130" s="200"/>
      <c r="S130" s="200"/>
      <c r="T130" s="200"/>
      <c r="U130" s="200"/>
      <c r="V130" s="200"/>
      <c r="W130" s="200"/>
      <c r="X130" s="200"/>
      <c r="Y130" s="200"/>
      <c r="Z130" s="200"/>
      <c r="AA130" s="200"/>
      <c r="AB130" s="200"/>
      <c r="AC130" s="200"/>
      <c r="AD130" s="200"/>
      <c r="AE130" s="200"/>
      <c r="AF130" s="200"/>
      <c r="AG130" s="200"/>
      <c r="AH130" s="200"/>
      <c r="AI130" s="200"/>
      <c r="AJ130" s="200"/>
      <c r="AK130" s="200"/>
      <c r="AL130" s="200"/>
      <c r="AM130" s="200"/>
      <c r="AN130" s="200"/>
      <c r="AO130" s="200"/>
      <c r="AP130" s="200"/>
      <c r="AQ130" s="200"/>
      <c r="AR130" s="200"/>
      <c r="AS130" s="200"/>
      <c r="AT130" s="200"/>
      <c r="AU130" s="200"/>
      <c r="AV130" s="200"/>
      <c r="AW130" s="200"/>
      <c r="AX130" s="200"/>
      <c r="AY130" s="200"/>
      <c r="AZ130" s="200"/>
      <c r="BA130" s="200"/>
      <c r="BB130" s="200"/>
      <c r="BC130" s="200"/>
      <c r="BD130" s="200"/>
      <c r="BE130" s="200"/>
      <c r="BF130" s="200"/>
      <c r="BG130" s="200"/>
      <c r="BH130" s="200"/>
      <c r="BI130" s="200"/>
      <c r="BJ130" s="200"/>
      <c r="BK130" s="200"/>
      <c r="BL130" s="200"/>
      <c r="BM130" s="200"/>
      <c r="BN130" s="200"/>
      <c r="BO130" s="200"/>
      <c r="BP130" s="200"/>
      <c r="BQ130" s="200"/>
      <c r="BR130" s="200"/>
      <c r="BS130" s="200"/>
      <c r="BT130" s="200"/>
      <c r="BU130" s="200"/>
      <c r="BV130" s="200"/>
      <c r="BW130" s="200"/>
      <c r="BX130" s="200"/>
      <c r="BY130" s="200"/>
      <c r="BZ130" s="200"/>
      <c r="CA130" s="200"/>
      <c r="CB130" s="200"/>
      <c r="CC130" s="200"/>
      <c r="CD130" s="200"/>
      <c r="CE130" s="200"/>
      <c r="CF130" s="200"/>
      <c r="CG130" s="200"/>
      <c r="CH130" s="200"/>
      <c r="CI130" s="200"/>
      <c r="CJ130" s="200"/>
      <c r="CK130" s="200"/>
      <c r="CL130" s="200"/>
      <c r="CM130" s="200"/>
      <c r="CN130" s="200"/>
      <c r="CO130" s="200"/>
      <c r="CP130" s="200"/>
      <c r="CQ130" s="200"/>
      <c r="CR130" s="200"/>
      <c r="CS130" s="200"/>
      <c r="CT130" s="200"/>
      <c r="CU130" s="200"/>
      <c r="CV130" s="200"/>
      <c r="CW130" s="200"/>
      <c r="CX130" s="200"/>
      <c r="CY130" s="200"/>
      <c r="CZ130" s="200"/>
      <c r="DA130" s="200"/>
      <c r="DB130" s="200"/>
      <c r="DC130" s="200"/>
      <c r="DD130" s="200"/>
      <c r="DE130" s="200"/>
      <c r="DF130" s="200"/>
      <c r="DG130" s="200"/>
      <c r="DH130" s="200"/>
      <c r="DI130" s="200"/>
      <c r="DJ130" s="200"/>
      <c r="DK130" s="200"/>
      <c r="DL130" s="200"/>
      <c r="DM130" s="200"/>
      <c r="DN130" s="200"/>
      <c r="DO130" s="200"/>
      <c r="DP130" s="200"/>
      <c r="DQ130" s="200"/>
      <c r="DR130" s="200"/>
      <c r="DS130" s="200"/>
      <c r="DT130" s="200"/>
      <c r="DU130" s="200"/>
      <c r="DV130" s="200"/>
      <c r="DW130" s="200"/>
      <c r="DX130" s="200"/>
      <c r="DY130" s="200"/>
      <c r="DZ130" s="200"/>
      <c r="EA130" s="200"/>
      <c r="EB130" s="200"/>
      <c r="EC130" s="200"/>
      <c r="ED130" s="200"/>
      <c r="EE130" s="200"/>
      <c r="EF130" s="200"/>
      <c r="EG130" s="200"/>
      <c r="EH130" s="200"/>
      <c r="EI130" s="200"/>
      <c r="EJ130" s="200"/>
      <c r="EK130" s="200"/>
      <c r="EL130" s="200"/>
      <c r="EM130" s="200"/>
      <c r="EN130" s="200"/>
      <c r="EO130" s="200"/>
      <c r="EP130" s="200"/>
      <c r="EQ130" s="200"/>
      <c r="ER130" s="200"/>
      <c r="ES130" s="200"/>
      <c r="ET130" s="200"/>
      <c r="EU130" s="200"/>
      <c r="EV130" s="200"/>
      <c r="EW130" s="200"/>
      <c r="EX130" s="200"/>
      <c r="EY130" s="200"/>
      <c r="EZ130" s="200"/>
      <c r="FA130" s="200"/>
      <c r="FB130" s="200"/>
      <c r="FC130" s="200"/>
      <c r="FD130" s="200"/>
      <c r="FE130" s="200"/>
      <c r="FF130" s="200"/>
      <c r="FG130" s="200"/>
      <c r="FH130" s="200"/>
      <c r="FI130" s="200"/>
      <c r="FJ130" s="200"/>
      <c r="FK130" s="200"/>
      <c r="FL130" s="200"/>
      <c r="FM130" s="200"/>
      <c r="FN130" s="200"/>
      <c r="FO130" s="200"/>
      <c r="FP130" s="200"/>
      <c r="FQ130" s="200"/>
      <c r="FR130" s="200"/>
      <c r="FS130" s="200"/>
      <c r="FT130" s="200"/>
      <c r="FU130" s="200"/>
      <c r="FV130" s="200"/>
      <c r="FW130" s="200"/>
      <c r="FX130" s="200"/>
      <c r="FY130" s="200"/>
      <c r="FZ130" s="200"/>
      <c r="GA130" s="200"/>
      <c r="GB130" s="200"/>
      <c r="GC130" s="200"/>
      <c r="GD130" s="200"/>
      <c r="GE130" s="200"/>
      <c r="GF130" s="200"/>
      <c r="GG130" s="200"/>
      <c r="GH130" s="200"/>
      <c r="GI130" s="200"/>
      <c r="GJ130" s="200"/>
      <c r="GK130" s="200"/>
      <c r="GL130" s="200"/>
      <c r="GM130" s="200"/>
      <c r="GN130" s="200"/>
      <c r="GO130" s="200"/>
      <c r="GP130" s="200"/>
      <c r="GQ130" s="200"/>
      <c r="GR130" s="200"/>
      <c r="GS130" s="200"/>
      <c r="GT130" s="200"/>
      <c r="GU130" s="315"/>
    </row>
    <row r="131" spans="1:256" s="233" customFormat="1" ht="13.8" hidden="1">
      <c r="A131" s="162"/>
      <c r="B131" s="261">
        <f>SUM(B121:B130)</f>
        <v>0</v>
      </c>
      <c r="C131" s="326"/>
      <c r="D131" s="327"/>
      <c r="E131" s="327"/>
      <c r="F131" s="327"/>
      <c r="G131" s="327"/>
      <c r="H131" s="327">
        <f>H130</f>
        <v>0</v>
      </c>
      <c r="I131" s="327"/>
      <c r="J131" s="328"/>
      <c r="K131" s="329"/>
      <c r="L131" s="330"/>
      <c r="M131" s="331"/>
      <c r="N131" s="262">
        <f>SUM(N121:N130)</f>
        <v>0</v>
      </c>
      <c r="O131" s="262">
        <f t="shared" ref="O131:CA131" si="33">SUM(O121:O130)</f>
        <v>0</v>
      </c>
      <c r="P131" s="262">
        <f t="shared" si="33"/>
        <v>0</v>
      </c>
      <c r="Q131" s="262">
        <f t="shared" si="33"/>
        <v>0</v>
      </c>
      <c r="R131" s="262">
        <f t="shared" si="33"/>
        <v>0</v>
      </c>
      <c r="S131" s="262">
        <f t="shared" si="33"/>
        <v>0</v>
      </c>
      <c r="T131" s="262">
        <f t="shared" si="33"/>
        <v>0</v>
      </c>
      <c r="U131" s="262">
        <f t="shared" si="33"/>
        <v>0</v>
      </c>
      <c r="V131" s="262">
        <f t="shared" si="33"/>
        <v>0</v>
      </c>
      <c r="W131" s="262">
        <f t="shared" si="33"/>
        <v>0</v>
      </c>
      <c r="X131" s="262">
        <f t="shared" si="33"/>
        <v>0</v>
      </c>
      <c r="Y131" s="262"/>
      <c r="Z131" s="262">
        <f t="shared" si="33"/>
        <v>0</v>
      </c>
      <c r="AA131" s="262">
        <f t="shared" si="33"/>
        <v>0</v>
      </c>
      <c r="AB131" s="262">
        <f t="shared" si="33"/>
        <v>0</v>
      </c>
      <c r="AC131" s="262">
        <f t="shared" si="33"/>
        <v>0</v>
      </c>
      <c r="AD131" s="262">
        <f t="shared" si="33"/>
        <v>0</v>
      </c>
      <c r="AE131" s="262">
        <f t="shared" si="33"/>
        <v>0</v>
      </c>
      <c r="AF131" s="262">
        <f t="shared" si="33"/>
        <v>0</v>
      </c>
      <c r="AG131" s="262">
        <f t="shared" si="33"/>
        <v>0</v>
      </c>
      <c r="AH131" s="262">
        <f t="shared" si="33"/>
        <v>0</v>
      </c>
      <c r="AI131" s="262">
        <f t="shared" si="33"/>
        <v>0</v>
      </c>
      <c r="AJ131" s="262">
        <f t="shared" si="33"/>
        <v>0</v>
      </c>
      <c r="AK131" s="262">
        <f t="shared" si="33"/>
        <v>0</v>
      </c>
      <c r="AL131" s="262">
        <f t="shared" si="33"/>
        <v>0</v>
      </c>
      <c r="AM131" s="262">
        <f t="shared" si="33"/>
        <v>0</v>
      </c>
      <c r="AN131" s="262">
        <f t="shared" si="33"/>
        <v>0</v>
      </c>
      <c r="AO131" s="262">
        <f t="shared" si="33"/>
        <v>0</v>
      </c>
      <c r="AP131" s="262">
        <f t="shared" si="33"/>
        <v>0</v>
      </c>
      <c r="AQ131" s="262">
        <f t="shared" si="33"/>
        <v>0</v>
      </c>
      <c r="AR131" s="262">
        <f t="shared" si="33"/>
        <v>0</v>
      </c>
      <c r="AS131" s="262">
        <f t="shared" si="33"/>
        <v>0</v>
      </c>
      <c r="AT131" s="262">
        <f t="shared" si="33"/>
        <v>0</v>
      </c>
      <c r="AU131" s="262">
        <f t="shared" si="33"/>
        <v>0</v>
      </c>
      <c r="AV131" s="262">
        <f t="shared" si="33"/>
        <v>0</v>
      </c>
      <c r="AW131" s="262">
        <f t="shared" si="33"/>
        <v>0</v>
      </c>
      <c r="AX131" s="262">
        <f t="shared" si="33"/>
        <v>0</v>
      </c>
      <c r="AY131" s="262">
        <f t="shared" si="33"/>
        <v>0</v>
      </c>
      <c r="AZ131" s="262">
        <f t="shared" si="33"/>
        <v>0</v>
      </c>
      <c r="BA131" s="262">
        <f t="shared" si="33"/>
        <v>0</v>
      </c>
      <c r="BB131" s="262">
        <f t="shared" si="33"/>
        <v>0</v>
      </c>
      <c r="BC131" s="262">
        <f t="shared" si="33"/>
        <v>0</v>
      </c>
      <c r="BD131" s="262">
        <f t="shared" si="33"/>
        <v>0</v>
      </c>
      <c r="BE131" s="262">
        <f t="shared" si="33"/>
        <v>0</v>
      </c>
      <c r="BF131" s="262">
        <f t="shared" si="33"/>
        <v>0</v>
      </c>
      <c r="BG131" s="262">
        <f t="shared" si="33"/>
        <v>0</v>
      </c>
      <c r="BH131" s="262">
        <f t="shared" si="33"/>
        <v>0</v>
      </c>
      <c r="BI131" s="262">
        <f t="shared" si="33"/>
        <v>0</v>
      </c>
      <c r="BJ131" s="262">
        <f t="shared" si="33"/>
        <v>0</v>
      </c>
      <c r="BK131" s="262">
        <f t="shared" si="33"/>
        <v>0</v>
      </c>
      <c r="BL131" s="262">
        <f t="shared" si="33"/>
        <v>0</v>
      </c>
      <c r="BM131" s="262">
        <f t="shared" si="33"/>
        <v>0</v>
      </c>
      <c r="BN131" s="262">
        <f t="shared" si="33"/>
        <v>0</v>
      </c>
      <c r="BO131" s="262">
        <f t="shared" si="33"/>
        <v>0</v>
      </c>
      <c r="BP131" s="262">
        <f t="shared" si="33"/>
        <v>0</v>
      </c>
      <c r="BQ131" s="262">
        <f t="shared" si="33"/>
        <v>0</v>
      </c>
      <c r="BR131" s="262">
        <f t="shared" si="33"/>
        <v>0</v>
      </c>
      <c r="BS131" s="262">
        <f t="shared" si="33"/>
        <v>0</v>
      </c>
      <c r="BT131" s="262">
        <f t="shared" si="33"/>
        <v>0</v>
      </c>
      <c r="BU131" s="262">
        <f t="shared" si="33"/>
        <v>0</v>
      </c>
      <c r="BV131" s="262">
        <f t="shared" si="33"/>
        <v>0</v>
      </c>
      <c r="BW131" s="262">
        <f t="shared" si="33"/>
        <v>0</v>
      </c>
      <c r="BX131" s="262">
        <f t="shared" si="33"/>
        <v>0</v>
      </c>
      <c r="BY131" s="262">
        <f t="shared" si="33"/>
        <v>0</v>
      </c>
      <c r="BZ131" s="262">
        <f t="shared" si="33"/>
        <v>0</v>
      </c>
      <c r="CA131" s="262">
        <f t="shared" si="33"/>
        <v>0</v>
      </c>
      <c r="CB131" s="262">
        <f t="shared" ref="CB131:EO131" si="34">SUM(CB121:CB130)</f>
        <v>0</v>
      </c>
      <c r="CC131" s="262">
        <f t="shared" si="34"/>
        <v>0</v>
      </c>
      <c r="CD131" s="262">
        <f t="shared" si="34"/>
        <v>0</v>
      </c>
      <c r="CE131" s="262">
        <f t="shared" si="34"/>
        <v>0</v>
      </c>
      <c r="CF131" s="262">
        <f t="shared" si="34"/>
        <v>0</v>
      </c>
      <c r="CG131" s="262">
        <f t="shared" si="34"/>
        <v>0</v>
      </c>
      <c r="CH131" s="262">
        <f t="shared" si="34"/>
        <v>0</v>
      </c>
      <c r="CI131" s="262">
        <f t="shared" si="34"/>
        <v>0</v>
      </c>
      <c r="CJ131" s="262">
        <f t="shared" si="34"/>
        <v>0</v>
      </c>
      <c r="CK131" s="262">
        <f t="shared" si="34"/>
        <v>0</v>
      </c>
      <c r="CL131" s="262">
        <f t="shared" si="34"/>
        <v>0</v>
      </c>
      <c r="CM131" s="262">
        <f t="shared" si="34"/>
        <v>0</v>
      </c>
      <c r="CN131" s="262">
        <f t="shared" si="34"/>
        <v>0</v>
      </c>
      <c r="CO131" s="262">
        <f t="shared" si="34"/>
        <v>0</v>
      </c>
      <c r="CP131" s="262">
        <f t="shared" si="34"/>
        <v>0</v>
      </c>
      <c r="CQ131" s="262">
        <f t="shared" si="34"/>
        <v>0</v>
      </c>
      <c r="CR131" s="262">
        <f t="shared" si="34"/>
        <v>0</v>
      </c>
      <c r="CS131" s="262">
        <f t="shared" si="34"/>
        <v>0</v>
      </c>
      <c r="CT131" s="262">
        <f t="shared" si="34"/>
        <v>0</v>
      </c>
      <c r="CU131" s="262">
        <f t="shared" si="34"/>
        <v>0</v>
      </c>
      <c r="CV131" s="262">
        <f t="shared" si="34"/>
        <v>0</v>
      </c>
      <c r="CW131" s="262">
        <f t="shared" si="34"/>
        <v>0</v>
      </c>
      <c r="CX131" s="262">
        <f t="shared" si="34"/>
        <v>0</v>
      </c>
      <c r="CY131" s="262">
        <f t="shared" si="34"/>
        <v>0</v>
      </c>
      <c r="CZ131" s="262">
        <f t="shared" si="34"/>
        <v>0</v>
      </c>
      <c r="DA131" s="262">
        <f t="shared" si="34"/>
        <v>0</v>
      </c>
      <c r="DB131" s="262">
        <f t="shared" si="34"/>
        <v>0</v>
      </c>
      <c r="DC131" s="262">
        <f t="shared" si="34"/>
        <v>0</v>
      </c>
      <c r="DD131" s="262">
        <f t="shared" si="34"/>
        <v>0</v>
      </c>
      <c r="DE131" s="262">
        <f t="shared" si="34"/>
        <v>0</v>
      </c>
      <c r="DF131" s="262">
        <f t="shared" si="34"/>
        <v>0</v>
      </c>
      <c r="DG131" s="262">
        <f t="shared" si="34"/>
        <v>0</v>
      </c>
      <c r="DH131" s="262">
        <f t="shared" si="34"/>
        <v>0</v>
      </c>
      <c r="DI131" s="262">
        <f t="shared" si="34"/>
        <v>0</v>
      </c>
      <c r="DJ131" s="262">
        <f t="shared" si="34"/>
        <v>0</v>
      </c>
      <c r="DK131" s="262">
        <f t="shared" si="34"/>
        <v>0</v>
      </c>
      <c r="DL131" s="262">
        <f t="shared" si="34"/>
        <v>0</v>
      </c>
      <c r="DM131" s="262">
        <f t="shared" si="34"/>
        <v>0</v>
      </c>
      <c r="DN131" s="262">
        <f t="shared" si="34"/>
        <v>0</v>
      </c>
      <c r="DO131" s="262">
        <f t="shared" si="34"/>
        <v>0</v>
      </c>
      <c r="DP131" s="262">
        <f>SUM(DP121:DP130)</f>
        <v>0</v>
      </c>
      <c r="DQ131" s="262">
        <f>SUM(DQ121:DQ130)</f>
        <v>0</v>
      </c>
      <c r="DR131" s="262">
        <f t="shared" si="34"/>
        <v>0</v>
      </c>
      <c r="DS131" s="262">
        <f t="shared" si="34"/>
        <v>0</v>
      </c>
      <c r="DT131" s="262">
        <f t="shared" si="34"/>
        <v>0</v>
      </c>
      <c r="DU131" s="262">
        <f t="shared" si="34"/>
        <v>0</v>
      </c>
      <c r="DV131" s="262">
        <f t="shared" si="34"/>
        <v>0</v>
      </c>
      <c r="DW131" s="262">
        <f t="shared" si="34"/>
        <v>0</v>
      </c>
      <c r="DX131" s="262">
        <f t="shared" si="34"/>
        <v>0</v>
      </c>
      <c r="DY131" s="262">
        <f t="shared" si="34"/>
        <v>0</v>
      </c>
      <c r="DZ131" s="262">
        <f t="shared" si="34"/>
        <v>0</v>
      </c>
      <c r="EA131" s="262">
        <f t="shared" si="34"/>
        <v>0</v>
      </c>
      <c r="EB131" s="262">
        <f t="shared" si="34"/>
        <v>0</v>
      </c>
      <c r="EC131" s="262">
        <f t="shared" si="34"/>
        <v>0</v>
      </c>
      <c r="ED131" s="262">
        <f t="shared" si="34"/>
        <v>0</v>
      </c>
      <c r="EE131" s="262">
        <f t="shared" si="34"/>
        <v>0</v>
      </c>
      <c r="EF131" s="262">
        <f t="shared" si="34"/>
        <v>0</v>
      </c>
      <c r="EG131" s="262">
        <f t="shared" si="34"/>
        <v>0</v>
      </c>
      <c r="EH131" s="262">
        <f t="shared" si="34"/>
        <v>0</v>
      </c>
      <c r="EI131" s="262">
        <f t="shared" si="34"/>
        <v>0</v>
      </c>
      <c r="EJ131" s="262">
        <f t="shared" si="34"/>
        <v>0</v>
      </c>
      <c r="EK131" s="262">
        <f t="shared" si="34"/>
        <v>0</v>
      </c>
      <c r="EL131" s="262">
        <f t="shared" si="34"/>
        <v>0</v>
      </c>
      <c r="EM131" s="262">
        <f t="shared" si="34"/>
        <v>0</v>
      </c>
      <c r="EN131" s="262">
        <f t="shared" si="34"/>
        <v>0</v>
      </c>
      <c r="EO131" s="262">
        <f t="shared" si="34"/>
        <v>0</v>
      </c>
      <c r="EP131" s="262">
        <f t="shared" ref="EP131:GT131" si="35">SUM(EP121:EP130)</f>
        <v>0</v>
      </c>
      <c r="EQ131" s="262">
        <f t="shared" si="35"/>
        <v>0</v>
      </c>
      <c r="ER131" s="262">
        <f t="shared" si="35"/>
        <v>0</v>
      </c>
      <c r="ES131" s="262">
        <f t="shared" si="35"/>
        <v>0</v>
      </c>
      <c r="ET131" s="262">
        <f t="shared" si="35"/>
        <v>0</v>
      </c>
      <c r="EU131" s="262">
        <f t="shared" si="35"/>
        <v>0</v>
      </c>
      <c r="EV131" s="262">
        <f t="shared" si="35"/>
        <v>0</v>
      </c>
      <c r="EW131" s="262">
        <f t="shared" si="35"/>
        <v>0</v>
      </c>
      <c r="EX131" s="262">
        <f t="shared" ref="EX131:FC131" si="36">SUM(EX121:EX130)</f>
        <v>0</v>
      </c>
      <c r="EY131" s="262">
        <f t="shared" si="36"/>
        <v>0</v>
      </c>
      <c r="EZ131" s="262">
        <f t="shared" si="36"/>
        <v>0</v>
      </c>
      <c r="FA131" s="262">
        <f t="shared" si="36"/>
        <v>0</v>
      </c>
      <c r="FB131" s="262">
        <f t="shared" si="36"/>
        <v>0</v>
      </c>
      <c r="FC131" s="262">
        <f t="shared" si="36"/>
        <v>0</v>
      </c>
      <c r="FD131" s="262">
        <f t="shared" si="35"/>
        <v>0</v>
      </c>
      <c r="FE131" s="262">
        <f t="shared" si="35"/>
        <v>0</v>
      </c>
      <c r="FF131" s="262">
        <f t="shared" si="35"/>
        <v>0</v>
      </c>
      <c r="FG131" s="262">
        <f t="shared" si="35"/>
        <v>0</v>
      </c>
      <c r="FH131" s="262">
        <f t="shared" si="35"/>
        <v>0</v>
      </c>
      <c r="FI131" s="262">
        <f t="shared" si="35"/>
        <v>0</v>
      </c>
      <c r="FJ131" s="262">
        <f t="shared" si="35"/>
        <v>0</v>
      </c>
      <c r="FK131" s="262">
        <f t="shared" si="35"/>
        <v>0</v>
      </c>
      <c r="FL131" s="262">
        <f t="shared" ref="FL131:FT131" si="37">SUM(FL121:FL130)</f>
        <v>0</v>
      </c>
      <c r="FM131" s="262">
        <f t="shared" si="37"/>
        <v>0</v>
      </c>
      <c r="FN131" s="262">
        <f t="shared" si="37"/>
        <v>0</v>
      </c>
      <c r="FO131" s="262">
        <f t="shared" si="37"/>
        <v>0</v>
      </c>
      <c r="FP131" s="262">
        <f t="shared" si="37"/>
        <v>0</v>
      </c>
      <c r="FQ131" s="262">
        <f t="shared" si="37"/>
        <v>0</v>
      </c>
      <c r="FR131" s="262">
        <f t="shared" si="37"/>
        <v>0</v>
      </c>
      <c r="FS131" s="262">
        <f t="shared" si="37"/>
        <v>0</v>
      </c>
      <c r="FT131" s="262">
        <f t="shared" si="37"/>
        <v>0</v>
      </c>
      <c r="FU131" s="262">
        <f t="shared" si="35"/>
        <v>0</v>
      </c>
      <c r="FV131" s="262">
        <f t="shared" si="35"/>
        <v>0</v>
      </c>
      <c r="FW131" s="262">
        <f t="shared" si="35"/>
        <v>0</v>
      </c>
      <c r="FX131" s="262">
        <f t="shared" si="35"/>
        <v>0</v>
      </c>
      <c r="FY131" s="262">
        <f t="shared" si="35"/>
        <v>0</v>
      </c>
      <c r="FZ131" s="262">
        <f t="shared" si="35"/>
        <v>0</v>
      </c>
      <c r="GA131" s="262">
        <f t="shared" si="35"/>
        <v>0</v>
      </c>
      <c r="GB131" s="262">
        <f t="shared" si="35"/>
        <v>0</v>
      </c>
      <c r="GC131" s="262">
        <f t="shared" si="35"/>
        <v>0</v>
      </c>
      <c r="GD131" s="262">
        <f t="shared" si="35"/>
        <v>0</v>
      </c>
      <c r="GE131" s="262">
        <f t="shared" si="35"/>
        <v>0</v>
      </c>
      <c r="GF131" s="262">
        <f t="shared" si="35"/>
        <v>0</v>
      </c>
      <c r="GG131" s="262">
        <f t="shared" si="35"/>
        <v>0</v>
      </c>
      <c r="GH131" s="262">
        <f t="shared" si="35"/>
        <v>0</v>
      </c>
      <c r="GI131" s="262">
        <f t="shared" si="35"/>
        <v>0</v>
      </c>
      <c r="GJ131" s="262">
        <f t="shared" si="35"/>
        <v>0</v>
      </c>
      <c r="GK131" s="262">
        <f t="shared" si="35"/>
        <v>0</v>
      </c>
      <c r="GL131" s="262">
        <f t="shared" si="35"/>
        <v>0</v>
      </c>
      <c r="GM131" s="262">
        <f t="shared" si="35"/>
        <v>0</v>
      </c>
      <c r="GN131" s="262">
        <f t="shared" si="35"/>
        <v>0</v>
      </c>
      <c r="GO131" s="262">
        <f t="shared" si="35"/>
        <v>0</v>
      </c>
      <c r="GP131" s="262">
        <f t="shared" si="35"/>
        <v>0</v>
      </c>
      <c r="GQ131" s="262">
        <f t="shared" si="35"/>
        <v>0</v>
      </c>
      <c r="GR131" s="261">
        <f t="shared" si="35"/>
        <v>0</v>
      </c>
      <c r="GS131" s="261">
        <f t="shared" si="35"/>
        <v>0</v>
      </c>
      <c r="GT131" s="261">
        <f t="shared" si="35"/>
        <v>0</v>
      </c>
      <c r="GU131" s="332"/>
      <c r="GV131" s="169"/>
      <c r="GW131" s="169"/>
      <c r="GX131" s="169"/>
      <c r="GY131" s="169"/>
      <c r="GZ131" s="169"/>
      <c r="HA131" s="169"/>
      <c r="HB131" s="169"/>
      <c r="HC131" s="169"/>
      <c r="HD131" s="169"/>
      <c r="HE131" s="169"/>
      <c r="HF131" s="169"/>
      <c r="HG131" s="169"/>
      <c r="HH131" s="169"/>
      <c r="HI131" s="169"/>
      <c r="HJ131" s="169"/>
      <c r="HK131" s="169"/>
      <c r="HL131" s="169"/>
      <c r="HM131" s="169"/>
      <c r="HN131" s="169"/>
      <c r="HO131" s="169"/>
      <c r="HP131" s="169"/>
      <c r="HQ131" s="169"/>
      <c r="HR131" s="169"/>
      <c r="HS131" s="169"/>
      <c r="HT131" s="169"/>
      <c r="HU131" s="169"/>
      <c r="HV131" s="169"/>
      <c r="HW131" s="169"/>
      <c r="HX131" s="169"/>
      <c r="HY131" s="169"/>
      <c r="HZ131" s="169"/>
      <c r="IA131" s="169"/>
      <c r="IB131" s="169"/>
      <c r="IC131" s="169"/>
      <c r="ID131" s="169"/>
      <c r="IE131" s="169"/>
      <c r="IF131" s="169"/>
      <c r="IG131" s="169"/>
      <c r="IH131" s="169"/>
      <c r="II131" s="169"/>
      <c r="IJ131" s="169"/>
      <c r="IK131" s="169"/>
      <c r="IL131" s="169"/>
      <c r="IM131" s="169"/>
      <c r="IN131" s="169"/>
      <c r="IO131" s="169"/>
      <c r="IP131" s="169"/>
      <c r="IQ131" s="169"/>
      <c r="IR131" s="169"/>
      <c r="IS131" s="169"/>
      <c r="IT131" s="169"/>
      <c r="IU131" s="169"/>
      <c r="IV131" s="169"/>
    </row>
    <row r="132" spans="1:256" ht="13.8" hidden="1">
      <c r="A132" s="154"/>
      <c r="B132" s="184"/>
      <c r="C132" s="184"/>
      <c r="D132" s="184"/>
      <c r="E132" s="184"/>
      <c r="F132" s="184"/>
      <c r="G132" s="184"/>
      <c r="H132" s="184"/>
      <c r="I132" s="184"/>
      <c r="J132" s="184"/>
      <c r="K132" s="184"/>
      <c r="L132" s="184"/>
      <c r="M132" s="184"/>
      <c r="N132" s="184"/>
      <c r="O132" s="184"/>
      <c r="P132" s="184"/>
      <c r="Q132" s="184"/>
      <c r="R132" s="184"/>
      <c r="S132" s="184"/>
      <c r="T132" s="184"/>
      <c r="U132" s="184"/>
      <c r="V132" s="184"/>
      <c r="W132" s="184"/>
      <c r="X132" s="184"/>
      <c r="Y132" s="184"/>
      <c r="Z132" s="184"/>
      <c r="AA132" s="184"/>
      <c r="AB132" s="184"/>
      <c r="AC132" s="184"/>
      <c r="AD132" s="184"/>
      <c r="AE132" s="184"/>
      <c r="AF132" s="184"/>
      <c r="AG132" s="184"/>
      <c r="AH132" s="184"/>
      <c r="AI132" s="184"/>
      <c r="AJ132" s="184"/>
      <c r="AK132" s="184"/>
      <c r="AL132" s="184"/>
      <c r="AM132" s="184"/>
      <c r="AN132" s="184"/>
      <c r="AO132" s="184"/>
      <c r="AP132" s="184"/>
      <c r="AQ132" s="184"/>
      <c r="AR132" s="184"/>
      <c r="AS132" s="184"/>
      <c r="AT132" s="184"/>
      <c r="AU132" s="184"/>
      <c r="AV132" s="184"/>
      <c r="AW132" s="184"/>
      <c r="AX132" s="184"/>
      <c r="AY132" s="184"/>
      <c r="AZ132" s="184"/>
      <c r="BA132" s="184"/>
      <c r="BB132" s="184"/>
      <c r="BC132" s="184"/>
      <c r="BD132" s="184"/>
      <c r="BE132" s="184"/>
      <c r="BF132" s="184"/>
      <c r="BG132" s="184"/>
      <c r="BH132" s="184"/>
      <c r="BI132" s="184"/>
      <c r="BJ132" s="184"/>
      <c r="BK132" s="184"/>
      <c r="BL132" s="184"/>
      <c r="BM132" s="184"/>
      <c r="BN132" s="184"/>
      <c r="BO132" s="184"/>
      <c r="BP132" s="184"/>
      <c r="BQ132" s="184"/>
      <c r="BR132" s="184"/>
      <c r="BS132" s="184"/>
      <c r="BT132" s="184"/>
      <c r="BU132" s="184"/>
      <c r="BV132" s="184"/>
      <c r="BW132" s="184"/>
      <c r="BX132" s="184"/>
      <c r="BY132" s="184"/>
      <c r="BZ132" s="184"/>
      <c r="CA132" s="184"/>
      <c r="CB132" s="184"/>
      <c r="CC132" s="184"/>
      <c r="CD132" s="184"/>
      <c r="CE132" s="184"/>
      <c r="CF132" s="184"/>
      <c r="CG132" s="184"/>
      <c r="CH132" s="184"/>
      <c r="CI132" s="184"/>
      <c r="CJ132" s="184"/>
      <c r="CK132" s="184"/>
      <c r="CL132" s="184"/>
      <c r="CM132" s="184"/>
      <c r="CN132" s="184"/>
      <c r="CO132" s="184"/>
      <c r="CP132" s="184"/>
      <c r="CQ132" s="184"/>
      <c r="CR132" s="184"/>
      <c r="CS132" s="184"/>
      <c r="CT132" s="184"/>
      <c r="CU132" s="184"/>
      <c r="CV132" s="184"/>
      <c r="CW132" s="184"/>
      <c r="CX132" s="184"/>
      <c r="CY132" s="184"/>
      <c r="CZ132" s="184"/>
      <c r="DA132" s="184"/>
      <c r="DB132" s="184"/>
      <c r="DC132" s="184"/>
      <c r="DD132" s="184"/>
      <c r="DE132" s="184"/>
      <c r="DF132" s="184"/>
      <c r="DG132" s="184"/>
      <c r="DH132" s="184"/>
      <c r="DI132" s="184"/>
      <c r="DJ132" s="184"/>
      <c r="DK132" s="184"/>
      <c r="DL132" s="184"/>
      <c r="DM132" s="184"/>
      <c r="DN132" s="184"/>
      <c r="DO132" s="184"/>
      <c r="DP132" s="184"/>
      <c r="DQ132" s="184"/>
      <c r="DR132" s="184"/>
      <c r="DS132" s="184"/>
      <c r="DT132" s="184"/>
      <c r="DU132" s="184"/>
      <c r="DV132" s="184"/>
      <c r="DW132" s="184"/>
      <c r="DX132" s="184"/>
      <c r="DY132" s="184"/>
      <c r="DZ132" s="184"/>
      <c r="EA132" s="184"/>
      <c r="EB132" s="184"/>
      <c r="EC132" s="184"/>
      <c r="ED132" s="184"/>
      <c r="EE132" s="184"/>
      <c r="EF132" s="184"/>
      <c r="EG132" s="184"/>
      <c r="EH132" s="184"/>
      <c r="EI132" s="184"/>
      <c r="EJ132" s="184"/>
      <c r="EK132" s="184"/>
      <c r="EL132" s="184"/>
      <c r="EM132" s="184"/>
      <c r="EN132" s="184"/>
      <c r="EO132" s="184"/>
      <c r="EP132" s="184"/>
      <c r="EQ132" s="184"/>
      <c r="ER132" s="184"/>
      <c r="ES132" s="184"/>
      <c r="ET132" s="184"/>
      <c r="EU132" s="184"/>
      <c r="EV132" s="184"/>
      <c r="EW132" s="184"/>
      <c r="EX132" s="184"/>
      <c r="EY132" s="184"/>
      <c r="EZ132" s="184"/>
      <c r="FA132" s="184"/>
      <c r="FB132" s="184"/>
      <c r="FC132" s="184"/>
      <c r="FD132" s="184"/>
      <c r="FE132" s="184"/>
      <c r="FF132" s="184"/>
      <c r="FG132" s="184"/>
      <c r="FH132" s="184"/>
      <c r="FI132" s="184"/>
      <c r="FJ132" s="184"/>
      <c r="FK132" s="184"/>
      <c r="FL132" s="184"/>
      <c r="FM132" s="184"/>
      <c r="FN132" s="184"/>
      <c r="FO132" s="184"/>
      <c r="FP132" s="184"/>
      <c r="FQ132" s="184"/>
      <c r="FR132" s="184"/>
      <c r="FS132" s="184"/>
      <c r="FT132" s="184"/>
      <c r="FU132" s="184"/>
      <c r="FV132" s="184"/>
      <c r="FW132" s="184"/>
      <c r="FX132" s="184"/>
      <c r="FY132" s="184"/>
      <c r="FZ132" s="184"/>
      <c r="GA132" s="184"/>
      <c r="GB132" s="184"/>
      <c r="GC132" s="184"/>
      <c r="GD132" s="184"/>
      <c r="GE132" s="184"/>
      <c r="GF132" s="184"/>
      <c r="GG132" s="184"/>
      <c r="GH132" s="184"/>
      <c r="GI132" s="184"/>
      <c r="GJ132" s="184"/>
      <c r="GK132" s="184"/>
      <c r="GL132" s="184"/>
      <c r="GM132" s="184"/>
      <c r="GN132" s="184"/>
      <c r="GO132" s="184"/>
      <c r="GP132" s="184"/>
      <c r="GQ132" s="184"/>
      <c r="GR132" s="184"/>
      <c r="GS132" s="184"/>
      <c r="GT132" s="184"/>
      <c r="GU132" s="185"/>
    </row>
    <row r="133" spans="1:256" ht="13.8" hidden="1">
      <c r="A133" s="334"/>
      <c r="B133" s="197"/>
      <c r="C133" s="309"/>
      <c r="D133" s="197"/>
      <c r="E133" s="197"/>
      <c r="F133" s="197"/>
      <c r="G133" s="197"/>
      <c r="H133" s="197"/>
      <c r="I133" s="197"/>
      <c r="J133" s="198"/>
      <c r="K133" s="199"/>
      <c r="L133" s="200"/>
      <c r="M133" s="302"/>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c r="FN133" s="200"/>
      <c r="FO133" s="200"/>
      <c r="FP133" s="200"/>
      <c r="FQ133" s="200"/>
      <c r="FR133" s="200"/>
      <c r="FS133" s="200"/>
      <c r="FT133" s="200"/>
      <c r="FU133" s="200"/>
      <c r="FV133" s="200"/>
      <c r="FW133" s="200"/>
      <c r="FX133" s="200"/>
      <c r="FY133" s="200"/>
      <c r="FZ133" s="200"/>
      <c r="GA133" s="200"/>
      <c r="GB133" s="200"/>
      <c r="GC133" s="200"/>
      <c r="GD133" s="200"/>
      <c r="GE133" s="200"/>
      <c r="GF133" s="200"/>
      <c r="GG133" s="200"/>
      <c r="GH133" s="200"/>
      <c r="GI133" s="200"/>
      <c r="GJ133" s="200"/>
      <c r="GK133" s="200"/>
      <c r="GL133" s="200"/>
      <c r="GM133" s="200"/>
      <c r="GN133" s="200"/>
      <c r="GO133" s="200"/>
      <c r="GP133" s="200"/>
      <c r="GQ133" s="200"/>
      <c r="GR133" s="200"/>
      <c r="GS133" s="200"/>
      <c r="GT133" s="200"/>
      <c r="GU133" s="315"/>
    </row>
    <row r="134" spans="1:256" ht="13.8" hidden="1">
      <c r="A134" s="334"/>
      <c r="B134" s="197"/>
      <c r="C134" s="309"/>
      <c r="D134" s="197"/>
      <c r="E134" s="197"/>
      <c r="F134" s="197"/>
      <c r="G134" s="197"/>
      <c r="H134" s="197"/>
      <c r="I134" s="197"/>
      <c r="J134" s="198"/>
      <c r="K134" s="199"/>
      <c r="L134" s="200"/>
      <c r="M134" s="302"/>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c r="AS134" s="316"/>
      <c r="AT134" s="316"/>
      <c r="AU134" s="316"/>
      <c r="AV134" s="316"/>
      <c r="AW134" s="316"/>
      <c r="AX134" s="316"/>
      <c r="AY134" s="316"/>
      <c r="AZ134" s="316"/>
      <c r="BA134" s="316"/>
      <c r="BB134" s="316"/>
      <c r="BC134" s="316"/>
      <c r="BD134" s="316"/>
      <c r="BE134" s="316"/>
      <c r="BF134" s="316"/>
      <c r="BG134" s="316"/>
      <c r="BH134" s="316"/>
      <c r="BI134" s="316"/>
      <c r="BJ134" s="316"/>
      <c r="BK134" s="316"/>
      <c r="BL134" s="316"/>
      <c r="BM134" s="316"/>
      <c r="BN134" s="316"/>
      <c r="BO134" s="316"/>
      <c r="BP134" s="316"/>
      <c r="BQ134" s="316"/>
      <c r="BR134" s="316"/>
      <c r="BS134" s="316"/>
      <c r="BT134" s="316"/>
      <c r="BU134" s="316"/>
      <c r="BV134" s="316"/>
      <c r="BW134" s="316"/>
      <c r="BX134" s="316"/>
      <c r="BY134" s="316"/>
      <c r="BZ134" s="316"/>
      <c r="CA134" s="316"/>
      <c r="CB134" s="316"/>
      <c r="CC134" s="316"/>
      <c r="CD134" s="316"/>
      <c r="CE134" s="316"/>
      <c r="CF134" s="316"/>
      <c r="CG134" s="316"/>
      <c r="CH134" s="316"/>
      <c r="CI134" s="316"/>
      <c r="CJ134" s="316"/>
      <c r="CK134" s="316"/>
      <c r="CL134" s="316"/>
      <c r="CM134" s="316"/>
      <c r="CN134" s="316"/>
      <c r="CO134" s="316"/>
      <c r="CP134" s="316"/>
      <c r="CQ134" s="316"/>
      <c r="CR134" s="316"/>
      <c r="CS134" s="316"/>
      <c r="CT134" s="316"/>
      <c r="CU134" s="316"/>
      <c r="CV134" s="316"/>
      <c r="CW134" s="316"/>
      <c r="CX134" s="316"/>
      <c r="CY134" s="316"/>
      <c r="CZ134" s="316"/>
      <c r="DA134" s="316"/>
      <c r="DB134" s="316"/>
      <c r="DC134" s="316"/>
      <c r="DD134" s="316"/>
      <c r="DE134" s="316"/>
      <c r="DF134" s="316"/>
      <c r="DG134" s="316"/>
      <c r="DH134" s="316"/>
      <c r="DI134" s="316"/>
      <c r="DJ134" s="316"/>
      <c r="DK134" s="316"/>
      <c r="DL134" s="316"/>
      <c r="DM134" s="316"/>
      <c r="DN134" s="316"/>
      <c r="DO134" s="316"/>
      <c r="DP134" s="316"/>
      <c r="DQ134" s="316"/>
      <c r="DR134" s="316"/>
      <c r="DS134" s="316"/>
      <c r="DT134" s="316"/>
      <c r="DU134" s="316"/>
      <c r="DV134" s="316"/>
      <c r="DW134" s="316"/>
      <c r="DX134" s="316"/>
      <c r="DY134" s="316"/>
      <c r="DZ134" s="316"/>
      <c r="EA134" s="316"/>
      <c r="EB134" s="316"/>
      <c r="EC134" s="316"/>
      <c r="ED134" s="316"/>
      <c r="EE134" s="316"/>
      <c r="EF134" s="316"/>
      <c r="EG134" s="316"/>
      <c r="EH134" s="316"/>
      <c r="EI134" s="316"/>
      <c r="EJ134" s="316"/>
      <c r="EK134" s="316"/>
      <c r="EL134" s="316"/>
      <c r="EM134" s="316"/>
      <c r="EN134" s="316"/>
      <c r="EO134" s="316"/>
      <c r="EP134" s="316"/>
      <c r="EQ134" s="316"/>
      <c r="ER134" s="316"/>
      <c r="ES134" s="316"/>
      <c r="ET134" s="316"/>
      <c r="EU134" s="316"/>
      <c r="EV134" s="316"/>
      <c r="EW134" s="316"/>
      <c r="EX134" s="316"/>
      <c r="EY134" s="316"/>
      <c r="EZ134" s="316"/>
      <c r="FA134" s="316"/>
      <c r="FB134" s="316"/>
      <c r="FC134" s="316"/>
      <c r="FD134" s="316"/>
      <c r="FE134" s="316"/>
      <c r="FF134" s="316"/>
      <c r="FG134" s="316"/>
      <c r="FH134" s="316"/>
      <c r="FI134" s="316"/>
      <c r="FJ134" s="316"/>
      <c r="FK134" s="316"/>
      <c r="FL134" s="316"/>
      <c r="FM134" s="316"/>
      <c r="FN134" s="316"/>
      <c r="FO134" s="316"/>
      <c r="FP134" s="316"/>
      <c r="FQ134" s="316"/>
      <c r="FR134" s="316"/>
      <c r="FS134" s="316"/>
      <c r="FT134" s="316"/>
      <c r="FU134" s="316"/>
      <c r="FV134" s="316"/>
      <c r="FW134" s="316"/>
      <c r="FX134" s="316"/>
      <c r="FY134" s="316"/>
      <c r="FZ134" s="316"/>
      <c r="GA134" s="316"/>
      <c r="GB134" s="316"/>
      <c r="GC134" s="316"/>
      <c r="GD134" s="316"/>
      <c r="GE134" s="316"/>
      <c r="GF134" s="316"/>
      <c r="GG134" s="316"/>
      <c r="GH134" s="316"/>
      <c r="GI134" s="316"/>
      <c r="GJ134" s="316"/>
      <c r="GK134" s="316"/>
      <c r="GL134" s="316"/>
      <c r="GM134" s="316"/>
      <c r="GN134" s="316"/>
      <c r="GO134" s="316"/>
      <c r="GP134" s="316"/>
      <c r="GQ134" s="316"/>
      <c r="GR134" s="316"/>
      <c r="GS134" s="316"/>
      <c r="GT134" s="316"/>
      <c r="GU134" s="315"/>
    </row>
    <row r="135" spans="1:256" s="247" customFormat="1" ht="13.8" hidden="1">
      <c r="A135" s="335"/>
      <c r="B135" s="239"/>
      <c r="C135" s="318"/>
      <c r="D135" s="239"/>
      <c r="E135" s="239"/>
      <c r="F135" s="239"/>
      <c r="G135" s="239"/>
      <c r="H135" s="239"/>
      <c r="I135" s="239"/>
      <c r="J135" s="240"/>
      <c r="K135" s="241"/>
      <c r="L135" s="242"/>
      <c r="M135" s="302"/>
      <c r="N135" s="243"/>
      <c r="O135" s="243"/>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320"/>
      <c r="FH135" s="320"/>
      <c r="FI135" s="320"/>
      <c r="FJ135" s="243"/>
      <c r="FK135" s="243"/>
      <c r="FL135" s="243"/>
      <c r="FM135" s="243"/>
      <c r="FN135" s="243"/>
      <c r="FO135" s="243"/>
      <c r="FP135" s="243"/>
      <c r="FQ135" s="243"/>
      <c r="FR135" s="243"/>
      <c r="FS135" s="243"/>
      <c r="FT135" s="243"/>
      <c r="FU135" s="243"/>
      <c r="FV135" s="243"/>
      <c r="FW135" s="243"/>
      <c r="FX135" s="243"/>
      <c r="FY135" s="243"/>
      <c r="FZ135" s="243"/>
      <c r="GA135" s="320"/>
      <c r="GB135" s="243"/>
      <c r="GC135" s="243"/>
      <c r="GD135" s="243"/>
      <c r="GE135" s="243"/>
      <c r="GF135" s="243"/>
      <c r="GG135" s="243"/>
      <c r="GH135" s="243"/>
      <c r="GI135" s="243"/>
      <c r="GJ135" s="243"/>
      <c r="GK135" s="243"/>
      <c r="GL135" s="243"/>
      <c r="GM135" s="243"/>
      <c r="GN135" s="243"/>
      <c r="GO135" s="243"/>
      <c r="GP135" s="243"/>
      <c r="GQ135" s="243"/>
      <c r="GR135" s="243"/>
      <c r="GS135" s="243"/>
      <c r="GT135" s="243"/>
      <c r="GU135" s="161"/>
      <c r="GV135" s="169"/>
      <c r="GW135" s="169"/>
      <c r="GX135" s="169"/>
      <c r="GY135" s="169"/>
      <c r="GZ135" s="169"/>
      <c r="HA135" s="169"/>
      <c r="HB135" s="169"/>
      <c r="HC135" s="169"/>
      <c r="HD135" s="169"/>
      <c r="HE135" s="169"/>
      <c r="HF135" s="169"/>
      <c r="HG135" s="169"/>
      <c r="HH135" s="169"/>
      <c r="HI135" s="169"/>
      <c r="HJ135" s="169"/>
      <c r="HK135" s="169"/>
      <c r="HL135" s="169"/>
      <c r="HM135" s="169"/>
      <c r="HN135" s="169"/>
      <c r="HO135" s="169"/>
      <c r="HP135" s="169"/>
      <c r="HQ135" s="169"/>
      <c r="HR135" s="169"/>
      <c r="HS135" s="169"/>
      <c r="HT135" s="169"/>
      <c r="HU135" s="169"/>
      <c r="HV135" s="169"/>
      <c r="HW135" s="169"/>
      <c r="HX135" s="169"/>
      <c r="HY135" s="169"/>
      <c r="HZ135" s="169"/>
      <c r="IA135" s="169"/>
      <c r="IB135" s="169"/>
      <c r="IC135" s="169"/>
      <c r="ID135" s="169"/>
      <c r="IE135" s="169"/>
      <c r="IF135" s="169"/>
      <c r="IG135" s="169"/>
      <c r="IH135" s="169"/>
      <c r="II135" s="169"/>
      <c r="IJ135" s="169"/>
      <c r="IK135" s="169"/>
      <c r="IL135" s="169"/>
      <c r="IM135" s="169"/>
      <c r="IN135" s="169"/>
      <c r="IO135" s="169"/>
      <c r="IP135" s="169"/>
      <c r="IQ135" s="169"/>
      <c r="IR135" s="169"/>
      <c r="IS135" s="169"/>
      <c r="IT135" s="169"/>
      <c r="IU135" s="169"/>
      <c r="IV135" s="169"/>
    </row>
    <row r="136" spans="1:256" s="305" customFormat="1" ht="13.8" hidden="1">
      <c r="A136" s="336"/>
      <c r="B136" s="298"/>
      <c r="C136" s="306"/>
      <c r="D136" s="298"/>
      <c r="E136" s="298"/>
      <c r="F136" s="298"/>
      <c r="G136" s="298"/>
      <c r="H136" s="298"/>
      <c r="I136" s="298"/>
      <c r="J136" s="299"/>
      <c r="K136" s="300"/>
      <c r="L136" s="301"/>
      <c r="M136" s="302"/>
      <c r="N136" s="337"/>
      <c r="O136" s="337"/>
      <c r="P136" s="337"/>
      <c r="Q136" s="338"/>
      <c r="R136" s="337"/>
      <c r="S136" s="337"/>
      <c r="T136" s="337"/>
      <c r="U136" s="337"/>
      <c r="V136" s="337"/>
      <c r="W136" s="337"/>
      <c r="X136" s="337"/>
      <c r="Y136" s="337"/>
      <c r="Z136" s="337"/>
      <c r="AA136" s="337"/>
      <c r="AB136" s="337"/>
      <c r="AC136" s="337"/>
      <c r="AD136" s="337"/>
      <c r="AE136" s="337"/>
      <c r="AF136" s="337"/>
      <c r="AG136" s="337"/>
      <c r="AH136" s="337"/>
      <c r="AI136" s="337"/>
      <c r="AJ136" s="337"/>
      <c r="AK136" s="337"/>
      <c r="AL136" s="337"/>
      <c r="AM136" s="337"/>
      <c r="AN136" s="337"/>
      <c r="AO136" s="337"/>
      <c r="AP136" s="337"/>
      <c r="AQ136" s="337"/>
      <c r="AR136" s="337"/>
      <c r="AS136" s="337"/>
      <c r="AT136" s="337"/>
      <c r="AU136" s="337"/>
      <c r="AV136" s="337"/>
      <c r="AW136" s="337"/>
      <c r="AX136" s="337"/>
      <c r="AY136" s="337"/>
      <c r="AZ136" s="337"/>
      <c r="BA136" s="337"/>
      <c r="BB136" s="337"/>
      <c r="BC136" s="337"/>
      <c r="BD136" s="337"/>
      <c r="BE136" s="337"/>
      <c r="BF136" s="337"/>
      <c r="BG136" s="337"/>
      <c r="BH136" s="337"/>
      <c r="BI136" s="337"/>
      <c r="BJ136" s="337"/>
      <c r="BK136" s="337"/>
      <c r="BL136" s="337"/>
      <c r="BM136" s="337"/>
      <c r="BN136" s="337"/>
      <c r="BO136" s="337"/>
      <c r="BP136" s="337"/>
      <c r="BQ136" s="337"/>
      <c r="BR136" s="337"/>
      <c r="BS136" s="337"/>
      <c r="BT136" s="337"/>
      <c r="BU136" s="337"/>
      <c r="BV136" s="337"/>
      <c r="BW136" s="337"/>
      <c r="BX136" s="337"/>
      <c r="BY136" s="337"/>
      <c r="BZ136" s="337"/>
      <c r="CA136" s="337"/>
      <c r="CB136" s="337"/>
      <c r="CC136" s="337"/>
      <c r="CD136" s="337"/>
      <c r="CE136" s="337"/>
      <c r="CF136" s="337"/>
      <c r="CG136" s="337"/>
      <c r="CH136" s="337"/>
      <c r="CI136" s="337"/>
      <c r="CJ136" s="337"/>
      <c r="CK136" s="337"/>
      <c r="CL136" s="337"/>
      <c r="CM136" s="337"/>
      <c r="CN136" s="337"/>
      <c r="CO136" s="337"/>
      <c r="CP136" s="337"/>
      <c r="CQ136" s="337"/>
      <c r="CR136" s="337"/>
      <c r="CS136" s="337"/>
      <c r="CT136" s="337"/>
      <c r="CU136" s="337"/>
      <c r="CV136" s="337"/>
      <c r="CW136" s="337"/>
      <c r="CX136" s="337"/>
      <c r="CY136" s="337"/>
      <c r="CZ136" s="337"/>
      <c r="DA136" s="337"/>
      <c r="DB136" s="337"/>
      <c r="DC136" s="337"/>
      <c r="DD136" s="337"/>
      <c r="DE136" s="337"/>
      <c r="DF136" s="337"/>
      <c r="DG136" s="337"/>
      <c r="DH136" s="337"/>
      <c r="DI136" s="337"/>
      <c r="DJ136" s="337"/>
      <c r="DK136" s="337"/>
      <c r="DL136" s="337"/>
      <c r="DM136" s="337"/>
      <c r="DN136" s="337"/>
      <c r="DO136" s="337"/>
      <c r="DP136" s="337"/>
      <c r="DQ136" s="337"/>
      <c r="DR136" s="337"/>
      <c r="DS136" s="337"/>
      <c r="DT136" s="337"/>
      <c r="DU136" s="337"/>
      <c r="DV136" s="337"/>
      <c r="DW136" s="337"/>
      <c r="DX136" s="337"/>
      <c r="DY136" s="337"/>
      <c r="DZ136" s="337"/>
      <c r="EA136" s="337"/>
      <c r="EB136" s="337"/>
      <c r="EC136" s="337"/>
      <c r="ED136" s="337"/>
      <c r="EE136" s="337"/>
      <c r="EF136" s="337"/>
      <c r="EG136" s="337"/>
      <c r="EH136" s="337"/>
      <c r="EI136" s="337"/>
      <c r="EJ136" s="337"/>
      <c r="EK136" s="337"/>
      <c r="EL136" s="337"/>
      <c r="EM136" s="337"/>
      <c r="EN136" s="337"/>
      <c r="EO136" s="337"/>
      <c r="EP136" s="337"/>
      <c r="EQ136" s="337"/>
      <c r="ER136" s="337"/>
      <c r="ES136" s="337"/>
      <c r="ET136" s="337"/>
      <c r="EU136" s="337"/>
      <c r="EV136" s="337"/>
      <c r="EW136" s="337"/>
      <c r="EX136" s="337"/>
      <c r="EY136" s="337"/>
      <c r="EZ136" s="337"/>
      <c r="FA136" s="337"/>
      <c r="FB136" s="337"/>
      <c r="FC136" s="337"/>
      <c r="FD136" s="337"/>
      <c r="FE136" s="337"/>
      <c r="FF136" s="337"/>
      <c r="FG136" s="339"/>
      <c r="FH136" s="339"/>
      <c r="FI136" s="339"/>
      <c r="FJ136" s="337"/>
      <c r="FK136" s="337"/>
      <c r="FL136" s="337"/>
      <c r="FM136" s="337"/>
      <c r="FN136" s="337"/>
      <c r="FO136" s="337"/>
      <c r="FP136" s="337"/>
      <c r="FQ136" s="337"/>
      <c r="FR136" s="337"/>
      <c r="FS136" s="337"/>
      <c r="FT136" s="337"/>
      <c r="FU136" s="337"/>
      <c r="FV136" s="337"/>
      <c r="FW136" s="337"/>
      <c r="FX136" s="337"/>
      <c r="FY136" s="337"/>
      <c r="FZ136" s="337"/>
      <c r="GA136" s="339"/>
      <c r="GB136" s="337"/>
      <c r="GC136" s="337"/>
      <c r="GD136" s="337"/>
      <c r="GE136" s="337"/>
      <c r="GF136" s="337"/>
      <c r="GG136" s="337"/>
      <c r="GH136" s="337"/>
      <c r="GI136" s="337"/>
      <c r="GJ136" s="337"/>
      <c r="GK136" s="337"/>
      <c r="GL136" s="337"/>
      <c r="GM136" s="337"/>
      <c r="GN136" s="337"/>
      <c r="GO136" s="337"/>
      <c r="GP136" s="337"/>
      <c r="GQ136" s="337"/>
      <c r="GR136" s="337"/>
      <c r="GS136" s="337"/>
      <c r="GT136" s="337"/>
      <c r="GU136" s="160" t="s">
        <v>3886</v>
      </c>
      <c r="GV136" s="169"/>
      <c r="GW136" s="169"/>
      <c r="GX136" s="169"/>
      <c r="GY136" s="169"/>
      <c r="GZ136" s="169"/>
      <c r="HA136" s="169"/>
      <c r="HB136" s="169"/>
      <c r="HC136" s="169"/>
      <c r="HD136" s="169"/>
      <c r="HE136" s="169"/>
      <c r="HF136" s="169"/>
      <c r="HG136" s="169"/>
      <c r="HH136" s="169"/>
      <c r="HI136" s="169"/>
      <c r="HJ136" s="169"/>
      <c r="HK136" s="169"/>
      <c r="HL136" s="169"/>
      <c r="HM136" s="169"/>
      <c r="HN136" s="169"/>
      <c r="HO136" s="169"/>
      <c r="HP136" s="169"/>
      <c r="HQ136" s="169"/>
      <c r="HR136" s="169"/>
      <c r="HS136" s="169"/>
      <c r="HT136" s="169"/>
      <c r="HU136" s="169"/>
      <c r="HV136" s="169"/>
      <c r="HW136" s="169"/>
      <c r="HX136" s="169"/>
      <c r="HY136" s="169"/>
      <c r="HZ136" s="169"/>
      <c r="IA136" s="169"/>
      <c r="IB136" s="169"/>
      <c r="IC136" s="169"/>
      <c r="ID136" s="169"/>
      <c r="IE136" s="169"/>
      <c r="IF136" s="169"/>
      <c r="IG136" s="169"/>
      <c r="IH136" s="169"/>
      <c r="II136" s="169"/>
      <c r="IJ136" s="169"/>
      <c r="IK136" s="169"/>
      <c r="IL136" s="169"/>
      <c r="IM136" s="169"/>
      <c r="IN136" s="169"/>
      <c r="IO136" s="169"/>
      <c r="IP136" s="169"/>
      <c r="IQ136" s="169"/>
      <c r="IR136" s="169"/>
      <c r="IS136" s="169"/>
      <c r="IT136" s="169"/>
      <c r="IU136" s="169"/>
      <c r="IV136" s="169"/>
    </row>
    <row r="137" spans="1:256" s="247" customFormat="1" ht="13.8" hidden="1">
      <c r="A137" s="335"/>
      <c r="B137" s="239"/>
      <c r="C137" s="318"/>
      <c r="D137" s="239"/>
      <c r="E137" s="239"/>
      <c r="F137" s="239"/>
      <c r="G137" s="239"/>
      <c r="H137" s="239"/>
      <c r="I137" s="239"/>
      <c r="J137" s="240"/>
      <c r="K137" s="241"/>
      <c r="L137" s="242"/>
      <c r="M137" s="302"/>
      <c r="N137" s="243"/>
      <c r="O137" s="243"/>
      <c r="P137" s="243"/>
      <c r="Q137" s="319"/>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320"/>
      <c r="FH137" s="320"/>
      <c r="FI137" s="320"/>
      <c r="FJ137" s="243"/>
      <c r="FK137" s="243"/>
      <c r="FL137" s="243"/>
      <c r="FM137" s="243"/>
      <c r="FN137" s="243"/>
      <c r="FO137" s="243"/>
      <c r="FP137" s="243"/>
      <c r="FQ137" s="243"/>
      <c r="FR137" s="243"/>
      <c r="FS137" s="243"/>
      <c r="FT137" s="243"/>
      <c r="FU137" s="243"/>
      <c r="FV137" s="243"/>
      <c r="FW137" s="243"/>
      <c r="FX137" s="243"/>
      <c r="FY137" s="243"/>
      <c r="FZ137" s="243"/>
      <c r="GA137" s="320"/>
      <c r="GB137" s="243"/>
      <c r="GC137" s="243"/>
      <c r="GD137" s="243"/>
      <c r="GE137" s="243"/>
      <c r="GF137" s="243"/>
      <c r="GG137" s="243"/>
      <c r="GH137" s="243"/>
      <c r="GI137" s="243"/>
      <c r="GJ137" s="243"/>
      <c r="GK137" s="243"/>
      <c r="GL137" s="243"/>
      <c r="GM137" s="243"/>
      <c r="GN137" s="243"/>
      <c r="GO137" s="243"/>
      <c r="GP137" s="243"/>
      <c r="GQ137" s="243"/>
      <c r="GR137" s="243"/>
      <c r="GS137" s="243"/>
      <c r="GT137" s="243"/>
      <c r="GU137" s="161"/>
      <c r="GV137" s="169"/>
      <c r="GW137" s="169"/>
      <c r="GX137" s="169"/>
      <c r="GY137" s="169"/>
      <c r="GZ137" s="169"/>
      <c r="HA137" s="169"/>
      <c r="HB137" s="169"/>
      <c r="HC137" s="169"/>
      <c r="HD137" s="169"/>
      <c r="HE137" s="169"/>
      <c r="HF137" s="169"/>
      <c r="HG137" s="169"/>
      <c r="HH137" s="169"/>
      <c r="HI137" s="169"/>
      <c r="HJ137" s="169"/>
      <c r="HK137" s="169"/>
      <c r="HL137" s="169"/>
      <c r="HM137" s="169"/>
      <c r="HN137" s="169"/>
      <c r="HO137" s="169"/>
      <c r="HP137" s="169"/>
      <c r="HQ137" s="169"/>
      <c r="HR137" s="169"/>
      <c r="HS137" s="169"/>
      <c r="HT137" s="169"/>
      <c r="HU137" s="169"/>
      <c r="HV137" s="169"/>
      <c r="HW137" s="169"/>
      <c r="HX137" s="169"/>
      <c r="HY137" s="169"/>
      <c r="HZ137" s="169"/>
      <c r="IA137" s="169"/>
      <c r="IB137" s="169"/>
      <c r="IC137" s="169"/>
      <c r="ID137" s="169"/>
      <c r="IE137" s="169"/>
      <c r="IF137" s="169"/>
      <c r="IG137" s="169"/>
      <c r="IH137" s="169"/>
      <c r="II137" s="169"/>
      <c r="IJ137" s="169"/>
      <c r="IK137" s="169"/>
      <c r="IL137" s="169"/>
      <c r="IM137" s="169"/>
      <c r="IN137" s="169"/>
      <c r="IO137" s="169"/>
      <c r="IP137" s="169"/>
      <c r="IQ137" s="169"/>
      <c r="IR137" s="169"/>
      <c r="IS137" s="169"/>
      <c r="IT137" s="169"/>
      <c r="IU137" s="169"/>
      <c r="IV137" s="169"/>
    </row>
    <row r="138" spans="1:256" s="247" customFormat="1" ht="13.8" hidden="1">
      <c r="A138" s="335"/>
      <c r="B138" s="239"/>
      <c r="C138" s="318"/>
      <c r="D138" s="239"/>
      <c r="E138" s="239"/>
      <c r="F138" s="239"/>
      <c r="G138" s="239"/>
      <c r="H138" s="239"/>
      <c r="I138" s="239"/>
      <c r="J138" s="240"/>
      <c r="K138" s="241"/>
      <c r="L138" s="242"/>
      <c r="M138" s="322"/>
      <c r="N138" s="333"/>
      <c r="O138" s="333"/>
      <c r="P138" s="333"/>
      <c r="Q138" s="319"/>
      <c r="R138" s="333"/>
      <c r="S138" s="333"/>
      <c r="T138" s="333"/>
      <c r="U138" s="333"/>
      <c r="V138" s="333"/>
      <c r="W138" s="333"/>
      <c r="X138" s="333"/>
      <c r="Y138" s="333"/>
      <c r="Z138" s="333"/>
      <c r="AA138" s="333"/>
      <c r="AB138" s="333"/>
      <c r="AC138" s="333"/>
      <c r="AD138" s="333"/>
      <c r="AE138" s="333"/>
      <c r="AF138" s="333"/>
      <c r="AG138" s="333"/>
      <c r="AH138" s="333"/>
      <c r="AI138" s="333"/>
      <c r="AJ138" s="333"/>
      <c r="AK138" s="333"/>
      <c r="AL138" s="333"/>
      <c r="AM138" s="333"/>
      <c r="AN138" s="333"/>
      <c r="AO138" s="333"/>
      <c r="AP138" s="333"/>
      <c r="AQ138" s="333"/>
      <c r="AR138" s="333"/>
      <c r="AS138" s="333"/>
      <c r="AT138" s="333"/>
      <c r="AU138" s="333"/>
      <c r="AV138" s="333"/>
      <c r="AW138" s="333"/>
      <c r="AX138" s="333"/>
      <c r="AY138" s="333"/>
      <c r="AZ138" s="333"/>
      <c r="BA138" s="333"/>
      <c r="BB138" s="333"/>
      <c r="BC138" s="333"/>
      <c r="BD138" s="333"/>
      <c r="BE138" s="333"/>
      <c r="BF138" s="333"/>
      <c r="BG138" s="333"/>
      <c r="BH138" s="333"/>
      <c r="BI138" s="333"/>
      <c r="BJ138" s="333"/>
      <c r="BK138" s="333"/>
      <c r="BL138" s="333"/>
      <c r="BM138" s="333"/>
      <c r="BN138" s="333"/>
      <c r="BO138" s="333"/>
      <c r="BP138" s="333"/>
      <c r="BQ138" s="333"/>
      <c r="BR138" s="333"/>
      <c r="BS138" s="333"/>
      <c r="BT138" s="333"/>
      <c r="BU138" s="333"/>
      <c r="BV138" s="333"/>
      <c r="BW138" s="333"/>
      <c r="BX138" s="333"/>
      <c r="BY138" s="333"/>
      <c r="BZ138" s="333"/>
      <c r="CA138" s="333"/>
      <c r="CB138" s="333"/>
      <c r="CC138" s="333"/>
      <c r="CD138" s="333"/>
      <c r="CE138" s="333"/>
      <c r="CF138" s="333"/>
      <c r="CG138" s="333"/>
      <c r="CH138" s="333"/>
      <c r="CI138" s="333"/>
      <c r="CJ138" s="333"/>
      <c r="CK138" s="333"/>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P138" s="333"/>
      <c r="EQ138" s="333"/>
      <c r="ER138" s="333"/>
      <c r="ES138" s="333"/>
      <c r="ET138" s="333"/>
      <c r="EU138" s="333"/>
      <c r="EV138" s="333"/>
      <c r="EW138" s="333"/>
      <c r="EX138" s="333"/>
      <c r="EY138" s="333"/>
      <c r="EZ138" s="333"/>
      <c r="FA138" s="333"/>
      <c r="FB138" s="333"/>
      <c r="FC138" s="333"/>
      <c r="FD138" s="333"/>
      <c r="FE138" s="333"/>
      <c r="FF138" s="333"/>
      <c r="FG138" s="320"/>
      <c r="FH138" s="320"/>
      <c r="FI138" s="320"/>
      <c r="FJ138" s="333"/>
      <c r="FK138" s="333"/>
      <c r="FL138" s="333"/>
      <c r="FM138" s="333"/>
      <c r="FN138" s="333"/>
      <c r="FO138" s="333"/>
      <c r="FP138" s="333"/>
      <c r="FQ138" s="333"/>
      <c r="FR138" s="333"/>
      <c r="FS138" s="333"/>
      <c r="FT138" s="333"/>
      <c r="FU138" s="333"/>
      <c r="FV138" s="333"/>
      <c r="FW138" s="333"/>
      <c r="FX138" s="333"/>
      <c r="FY138" s="333"/>
      <c r="FZ138" s="333"/>
      <c r="GA138" s="333"/>
      <c r="GB138" s="333"/>
      <c r="GC138" s="333"/>
      <c r="GD138" s="333"/>
      <c r="GE138" s="333"/>
      <c r="GF138" s="333"/>
      <c r="GG138" s="333"/>
      <c r="GH138" s="333"/>
      <c r="GI138" s="333"/>
      <c r="GJ138" s="333"/>
      <c r="GK138" s="333"/>
      <c r="GL138" s="333"/>
      <c r="GM138" s="333"/>
      <c r="GN138" s="333"/>
      <c r="GO138" s="333"/>
      <c r="GP138" s="333"/>
      <c r="GQ138" s="333"/>
      <c r="GR138" s="333"/>
      <c r="GS138" s="333"/>
      <c r="GT138" s="333"/>
      <c r="GU138" s="161"/>
      <c r="GV138" s="169"/>
      <c r="GW138" s="169"/>
      <c r="GX138" s="169"/>
      <c r="GY138" s="169"/>
      <c r="GZ138" s="169"/>
      <c r="HA138" s="169"/>
      <c r="HB138" s="169"/>
      <c r="HC138" s="169"/>
      <c r="HD138" s="169"/>
      <c r="HE138" s="169"/>
      <c r="HF138" s="169"/>
      <c r="HG138" s="169"/>
      <c r="HH138" s="169"/>
      <c r="HI138" s="169"/>
      <c r="HJ138" s="169"/>
      <c r="HK138" s="169"/>
      <c r="HL138" s="169"/>
      <c r="HM138" s="169"/>
      <c r="HN138" s="169"/>
      <c r="HO138" s="169"/>
      <c r="HP138" s="169"/>
      <c r="HQ138" s="169"/>
      <c r="HR138" s="169"/>
      <c r="HS138" s="169"/>
      <c r="HT138" s="169"/>
      <c r="HU138" s="169"/>
      <c r="HV138" s="169"/>
      <c r="HW138" s="169"/>
      <c r="HX138" s="169"/>
      <c r="HY138" s="169"/>
      <c r="HZ138" s="169"/>
      <c r="IA138" s="169"/>
      <c r="IB138" s="169"/>
      <c r="IC138" s="169"/>
      <c r="ID138" s="169"/>
      <c r="IE138" s="169"/>
      <c r="IF138" s="169"/>
      <c r="IG138" s="169"/>
      <c r="IH138" s="169"/>
      <c r="II138" s="169"/>
      <c r="IJ138" s="169"/>
      <c r="IK138" s="169"/>
      <c r="IL138" s="169"/>
      <c r="IM138" s="169"/>
      <c r="IN138" s="169"/>
      <c r="IO138" s="169"/>
      <c r="IP138" s="169"/>
      <c r="IQ138" s="169"/>
      <c r="IR138" s="169"/>
      <c r="IS138" s="169"/>
      <c r="IT138" s="169"/>
      <c r="IU138" s="169"/>
      <c r="IV138" s="169"/>
    </row>
    <row r="139" spans="1:256" s="233" customFormat="1" ht="13.8" hidden="1">
      <c r="A139" s="162"/>
      <c r="B139" s="261">
        <f>SUM(B133:B138)</f>
        <v>0</v>
      </c>
      <c r="C139" s="326"/>
      <c r="D139" s="327"/>
      <c r="E139" s="327"/>
      <c r="F139" s="327"/>
      <c r="G139" s="327"/>
      <c r="H139" s="327"/>
      <c r="I139" s="327">
        <f>I138</f>
        <v>0</v>
      </c>
      <c r="J139" s="328"/>
      <c r="K139" s="329"/>
      <c r="L139" s="330"/>
      <c r="M139" s="340"/>
      <c r="N139" s="262">
        <f>SUM(N133:N138)</f>
        <v>0</v>
      </c>
      <c r="O139" s="262">
        <f t="shared" ref="O139:CA139" si="38">SUM(O133:O138)</f>
        <v>0</v>
      </c>
      <c r="P139" s="262">
        <f t="shared" si="38"/>
        <v>0</v>
      </c>
      <c r="Q139" s="262">
        <f t="shared" si="38"/>
        <v>0</v>
      </c>
      <c r="R139" s="262">
        <f t="shared" si="38"/>
        <v>0</v>
      </c>
      <c r="S139" s="262">
        <f t="shared" si="38"/>
        <v>0</v>
      </c>
      <c r="T139" s="262">
        <f t="shared" si="38"/>
        <v>0</v>
      </c>
      <c r="U139" s="262">
        <f t="shared" si="38"/>
        <v>0</v>
      </c>
      <c r="V139" s="262">
        <f t="shared" si="38"/>
        <v>0</v>
      </c>
      <c r="W139" s="262">
        <f t="shared" si="38"/>
        <v>0</v>
      </c>
      <c r="X139" s="262">
        <f t="shared" si="38"/>
        <v>0</v>
      </c>
      <c r="Y139" s="262"/>
      <c r="Z139" s="262">
        <f t="shared" si="38"/>
        <v>0</v>
      </c>
      <c r="AA139" s="262">
        <f t="shared" si="38"/>
        <v>0</v>
      </c>
      <c r="AB139" s="262">
        <f t="shared" si="38"/>
        <v>0</v>
      </c>
      <c r="AC139" s="262">
        <f t="shared" si="38"/>
        <v>0</v>
      </c>
      <c r="AD139" s="262">
        <f t="shared" si="38"/>
        <v>0</v>
      </c>
      <c r="AE139" s="262">
        <f t="shared" si="38"/>
        <v>0</v>
      </c>
      <c r="AF139" s="262">
        <f t="shared" si="38"/>
        <v>0</v>
      </c>
      <c r="AG139" s="262">
        <f t="shared" si="38"/>
        <v>0</v>
      </c>
      <c r="AH139" s="262">
        <f t="shared" si="38"/>
        <v>0</v>
      </c>
      <c r="AI139" s="262">
        <f t="shared" si="38"/>
        <v>0</v>
      </c>
      <c r="AJ139" s="262">
        <f t="shared" si="38"/>
        <v>0</v>
      </c>
      <c r="AK139" s="262">
        <f t="shared" si="38"/>
        <v>0</v>
      </c>
      <c r="AL139" s="262">
        <f t="shared" si="38"/>
        <v>0</v>
      </c>
      <c r="AM139" s="262">
        <f t="shared" si="38"/>
        <v>0</v>
      </c>
      <c r="AN139" s="262">
        <f t="shared" si="38"/>
        <v>0</v>
      </c>
      <c r="AO139" s="262">
        <f t="shared" si="38"/>
        <v>0</v>
      </c>
      <c r="AP139" s="262">
        <f t="shared" si="38"/>
        <v>0</v>
      </c>
      <c r="AQ139" s="262">
        <f t="shared" si="38"/>
        <v>0</v>
      </c>
      <c r="AR139" s="262">
        <f t="shared" si="38"/>
        <v>0</v>
      </c>
      <c r="AS139" s="262">
        <f t="shared" si="38"/>
        <v>0</v>
      </c>
      <c r="AT139" s="262">
        <f t="shared" si="38"/>
        <v>0</v>
      </c>
      <c r="AU139" s="262">
        <f t="shared" si="38"/>
        <v>0</v>
      </c>
      <c r="AV139" s="262">
        <f t="shared" si="38"/>
        <v>0</v>
      </c>
      <c r="AW139" s="262">
        <f t="shared" si="38"/>
        <v>0</v>
      </c>
      <c r="AX139" s="262">
        <f t="shared" si="38"/>
        <v>0</v>
      </c>
      <c r="AY139" s="262">
        <f t="shared" si="38"/>
        <v>0</v>
      </c>
      <c r="AZ139" s="262">
        <f t="shared" si="38"/>
        <v>0</v>
      </c>
      <c r="BA139" s="262">
        <f t="shared" si="38"/>
        <v>0</v>
      </c>
      <c r="BB139" s="262">
        <f t="shared" si="38"/>
        <v>0</v>
      </c>
      <c r="BC139" s="262">
        <f t="shared" si="38"/>
        <v>0</v>
      </c>
      <c r="BD139" s="262">
        <f t="shared" si="38"/>
        <v>0</v>
      </c>
      <c r="BE139" s="262">
        <f t="shared" si="38"/>
        <v>0</v>
      </c>
      <c r="BF139" s="262">
        <f t="shared" si="38"/>
        <v>0</v>
      </c>
      <c r="BG139" s="262">
        <f t="shared" si="38"/>
        <v>0</v>
      </c>
      <c r="BH139" s="262">
        <f t="shared" si="38"/>
        <v>0</v>
      </c>
      <c r="BI139" s="262">
        <f t="shared" si="38"/>
        <v>0</v>
      </c>
      <c r="BJ139" s="262">
        <f t="shared" si="38"/>
        <v>0</v>
      </c>
      <c r="BK139" s="262">
        <f t="shared" si="38"/>
        <v>0</v>
      </c>
      <c r="BL139" s="262">
        <f t="shared" si="38"/>
        <v>0</v>
      </c>
      <c r="BM139" s="262">
        <f t="shared" si="38"/>
        <v>0</v>
      </c>
      <c r="BN139" s="262">
        <f t="shared" si="38"/>
        <v>0</v>
      </c>
      <c r="BO139" s="262">
        <f t="shared" si="38"/>
        <v>0</v>
      </c>
      <c r="BP139" s="262">
        <f t="shared" si="38"/>
        <v>0</v>
      </c>
      <c r="BQ139" s="262">
        <f t="shared" si="38"/>
        <v>0</v>
      </c>
      <c r="BR139" s="262">
        <f t="shared" si="38"/>
        <v>0</v>
      </c>
      <c r="BS139" s="262">
        <f t="shared" si="38"/>
        <v>0</v>
      </c>
      <c r="BT139" s="262">
        <f t="shared" si="38"/>
        <v>0</v>
      </c>
      <c r="BU139" s="262">
        <f t="shared" si="38"/>
        <v>0</v>
      </c>
      <c r="BV139" s="262">
        <f t="shared" si="38"/>
        <v>0</v>
      </c>
      <c r="BW139" s="262">
        <f t="shared" si="38"/>
        <v>0</v>
      </c>
      <c r="BX139" s="262">
        <f t="shared" si="38"/>
        <v>0</v>
      </c>
      <c r="BY139" s="262">
        <f t="shared" si="38"/>
        <v>0</v>
      </c>
      <c r="BZ139" s="262">
        <f t="shared" si="38"/>
        <v>0</v>
      </c>
      <c r="CA139" s="262">
        <f t="shared" si="38"/>
        <v>0</v>
      </c>
      <c r="CB139" s="262">
        <f t="shared" ref="CB139:EO139" si="39">SUM(CB133:CB138)</f>
        <v>0</v>
      </c>
      <c r="CC139" s="262">
        <f t="shared" si="39"/>
        <v>0</v>
      </c>
      <c r="CD139" s="262">
        <f t="shared" si="39"/>
        <v>0</v>
      </c>
      <c r="CE139" s="262">
        <f t="shared" si="39"/>
        <v>0</v>
      </c>
      <c r="CF139" s="262">
        <f t="shared" si="39"/>
        <v>0</v>
      </c>
      <c r="CG139" s="262">
        <f t="shared" si="39"/>
        <v>0</v>
      </c>
      <c r="CH139" s="262">
        <f t="shared" si="39"/>
        <v>0</v>
      </c>
      <c r="CI139" s="262">
        <f t="shared" si="39"/>
        <v>0</v>
      </c>
      <c r="CJ139" s="262">
        <f t="shared" si="39"/>
        <v>0</v>
      </c>
      <c r="CK139" s="262">
        <f t="shared" si="39"/>
        <v>0</v>
      </c>
      <c r="CL139" s="262">
        <f t="shared" si="39"/>
        <v>0</v>
      </c>
      <c r="CM139" s="262">
        <f t="shared" si="39"/>
        <v>0</v>
      </c>
      <c r="CN139" s="262">
        <f t="shared" si="39"/>
        <v>0</v>
      </c>
      <c r="CO139" s="262">
        <f t="shared" si="39"/>
        <v>0</v>
      </c>
      <c r="CP139" s="262">
        <f t="shared" si="39"/>
        <v>0</v>
      </c>
      <c r="CQ139" s="262">
        <f t="shared" si="39"/>
        <v>0</v>
      </c>
      <c r="CR139" s="262">
        <f t="shared" si="39"/>
        <v>0</v>
      </c>
      <c r="CS139" s="262">
        <f t="shared" si="39"/>
        <v>0</v>
      </c>
      <c r="CT139" s="262">
        <f t="shared" si="39"/>
        <v>0</v>
      </c>
      <c r="CU139" s="262">
        <f t="shared" si="39"/>
        <v>0</v>
      </c>
      <c r="CV139" s="262">
        <f t="shared" si="39"/>
        <v>0</v>
      </c>
      <c r="CW139" s="262">
        <f t="shared" si="39"/>
        <v>0</v>
      </c>
      <c r="CX139" s="262">
        <f t="shared" si="39"/>
        <v>0</v>
      </c>
      <c r="CY139" s="262">
        <f t="shared" si="39"/>
        <v>0</v>
      </c>
      <c r="CZ139" s="262">
        <f t="shared" si="39"/>
        <v>0</v>
      </c>
      <c r="DA139" s="262">
        <f t="shared" si="39"/>
        <v>0</v>
      </c>
      <c r="DB139" s="262">
        <f t="shared" si="39"/>
        <v>0</v>
      </c>
      <c r="DC139" s="262">
        <f t="shared" si="39"/>
        <v>0</v>
      </c>
      <c r="DD139" s="262">
        <f t="shared" si="39"/>
        <v>0</v>
      </c>
      <c r="DE139" s="262">
        <f t="shared" si="39"/>
        <v>0</v>
      </c>
      <c r="DF139" s="262">
        <f t="shared" si="39"/>
        <v>0</v>
      </c>
      <c r="DG139" s="262">
        <f t="shared" si="39"/>
        <v>0</v>
      </c>
      <c r="DH139" s="262">
        <f t="shared" si="39"/>
        <v>0</v>
      </c>
      <c r="DI139" s="262">
        <f t="shared" si="39"/>
        <v>0</v>
      </c>
      <c r="DJ139" s="262">
        <f t="shared" si="39"/>
        <v>0</v>
      </c>
      <c r="DK139" s="262">
        <f t="shared" si="39"/>
        <v>0</v>
      </c>
      <c r="DL139" s="262">
        <f t="shared" si="39"/>
        <v>0</v>
      </c>
      <c r="DM139" s="262">
        <f t="shared" si="39"/>
        <v>0</v>
      </c>
      <c r="DN139" s="262">
        <f t="shared" si="39"/>
        <v>0</v>
      </c>
      <c r="DO139" s="262">
        <f t="shared" si="39"/>
        <v>0</v>
      </c>
      <c r="DP139" s="262">
        <f>SUM(DP133:DP138)</f>
        <v>0</v>
      </c>
      <c r="DQ139" s="262">
        <f>SUM(DQ133:DQ138)</f>
        <v>0</v>
      </c>
      <c r="DR139" s="262">
        <f t="shared" si="39"/>
        <v>0</v>
      </c>
      <c r="DS139" s="262">
        <f t="shared" si="39"/>
        <v>0</v>
      </c>
      <c r="DT139" s="262">
        <f t="shared" si="39"/>
        <v>0</v>
      </c>
      <c r="DU139" s="262">
        <f t="shared" si="39"/>
        <v>0</v>
      </c>
      <c r="DV139" s="262">
        <f t="shared" si="39"/>
        <v>0</v>
      </c>
      <c r="DW139" s="262">
        <f t="shared" si="39"/>
        <v>0</v>
      </c>
      <c r="DX139" s="262">
        <f t="shared" si="39"/>
        <v>0</v>
      </c>
      <c r="DY139" s="262">
        <f t="shared" si="39"/>
        <v>0</v>
      </c>
      <c r="DZ139" s="262">
        <f t="shared" si="39"/>
        <v>0</v>
      </c>
      <c r="EA139" s="262">
        <f t="shared" si="39"/>
        <v>0</v>
      </c>
      <c r="EB139" s="262">
        <f t="shared" si="39"/>
        <v>0</v>
      </c>
      <c r="EC139" s="262">
        <f t="shared" si="39"/>
        <v>0</v>
      </c>
      <c r="ED139" s="262">
        <f t="shared" si="39"/>
        <v>0</v>
      </c>
      <c r="EE139" s="262">
        <f t="shared" si="39"/>
        <v>0</v>
      </c>
      <c r="EF139" s="262">
        <f t="shared" si="39"/>
        <v>0</v>
      </c>
      <c r="EG139" s="262">
        <f t="shared" si="39"/>
        <v>0</v>
      </c>
      <c r="EH139" s="262">
        <f t="shared" si="39"/>
        <v>0</v>
      </c>
      <c r="EI139" s="262">
        <f t="shared" si="39"/>
        <v>0</v>
      </c>
      <c r="EJ139" s="262">
        <f t="shared" si="39"/>
        <v>0</v>
      </c>
      <c r="EK139" s="262">
        <f t="shared" si="39"/>
        <v>0</v>
      </c>
      <c r="EL139" s="262">
        <f t="shared" si="39"/>
        <v>0</v>
      </c>
      <c r="EM139" s="262">
        <f t="shared" si="39"/>
        <v>0</v>
      </c>
      <c r="EN139" s="262">
        <f t="shared" si="39"/>
        <v>0</v>
      </c>
      <c r="EO139" s="262">
        <f t="shared" si="39"/>
        <v>0</v>
      </c>
      <c r="EP139" s="262">
        <f t="shared" ref="EP139:GQ139" si="40">SUM(EP133:EP138)</f>
        <v>0</v>
      </c>
      <c r="EQ139" s="262">
        <f t="shared" si="40"/>
        <v>0</v>
      </c>
      <c r="ER139" s="262">
        <f t="shared" si="40"/>
        <v>0</v>
      </c>
      <c r="ES139" s="262">
        <f t="shared" si="40"/>
        <v>0</v>
      </c>
      <c r="ET139" s="262">
        <f t="shared" si="40"/>
        <v>0</v>
      </c>
      <c r="EU139" s="262">
        <f t="shared" si="40"/>
        <v>0</v>
      </c>
      <c r="EV139" s="262">
        <f t="shared" si="40"/>
        <v>0</v>
      </c>
      <c r="EW139" s="262">
        <f t="shared" si="40"/>
        <v>0</v>
      </c>
      <c r="EX139" s="262">
        <f t="shared" ref="EX139:FC139" si="41">SUM(EX133:EX138)</f>
        <v>0</v>
      </c>
      <c r="EY139" s="262">
        <f t="shared" si="41"/>
        <v>0</v>
      </c>
      <c r="EZ139" s="262">
        <f t="shared" si="41"/>
        <v>0</v>
      </c>
      <c r="FA139" s="262">
        <f t="shared" si="41"/>
        <v>0</v>
      </c>
      <c r="FB139" s="262">
        <f t="shared" si="41"/>
        <v>0</v>
      </c>
      <c r="FC139" s="262">
        <f t="shared" si="41"/>
        <v>0</v>
      </c>
      <c r="FD139" s="262">
        <f t="shared" si="40"/>
        <v>0</v>
      </c>
      <c r="FE139" s="262">
        <f t="shared" si="40"/>
        <v>0</v>
      </c>
      <c r="FF139" s="262">
        <f t="shared" si="40"/>
        <v>0</v>
      </c>
      <c r="FG139" s="262">
        <f t="shared" si="40"/>
        <v>0</v>
      </c>
      <c r="FH139" s="262">
        <f t="shared" si="40"/>
        <v>0</v>
      </c>
      <c r="FI139" s="262">
        <f t="shared" si="40"/>
        <v>0</v>
      </c>
      <c r="FJ139" s="262">
        <f t="shared" si="40"/>
        <v>0</v>
      </c>
      <c r="FK139" s="262">
        <f t="shared" si="40"/>
        <v>0</v>
      </c>
      <c r="FL139" s="262">
        <f t="shared" ref="FL139:FT139" si="42">SUM(FL133:FL138)</f>
        <v>0</v>
      </c>
      <c r="FM139" s="262">
        <f t="shared" si="42"/>
        <v>0</v>
      </c>
      <c r="FN139" s="262">
        <f t="shared" si="42"/>
        <v>0</v>
      </c>
      <c r="FO139" s="262">
        <f t="shared" si="42"/>
        <v>0</v>
      </c>
      <c r="FP139" s="262">
        <f t="shared" si="42"/>
        <v>0</v>
      </c>
      <c r="FQ139" s="262">
        <f t="shared" si="42"/>
        <v>0</v>
      </c>
      <c r="FR139" s="262">
        <f t="shared" si="42"/>
        <v>0</v>
      </c>
      <c r="FS139" s="262">
        <f t="shared" si="42"/>
        <v>0</v>
      </c>
      <c r="FT139" s="262">
        <f t="shared" si="42"/>
        <v>0</v>
      </c>
      <c r="FU139" s="262">
        <f t="shared" si="40"/>
        <v>0</v>
      </c>
      <c r="FV139" s="262">
        <f t="shared" si="40"/>
        <v>0</v>
      </c>
      <c r="FW139" s="262">
        <f t="shared" si="40"/>
        <v>0</v>
      </c>
      <c r="FX139" s="262">
        <f t="shared" si="40"/>
        <v>0</v>
      </c>
      <c r="FY139" s="262">
        <f t="shared" si="40"/>
        <v>0</v>
      </c>
      <c r="FZ139" s="262">
        <f t="shared" si="40"/>
        <v>0</v>
      </c>
      <c r="GA139" s="262">
        <f t="shared" si="40"/>
        <v>0</v>
      </c>
      <c r="GB139" s="262">
        <f t="shared" si="40"/>
        <v>0</v>
      </c>
      <c r="GC139" s="262">
        <f t="shared" si="40"/>
        <v>0</v>
      </c>
      <c r="GD139" s="262">
        <f t="shared" si="40"/>
        <v>0</v>
      </c>
      <c r="GE139" s="262">
        <f t="shared" si="40"/>
        <v>0</v>
      </c>
      <c r="GF139" s="262">
        <f t="shared" si="40"/>
        <v>0</v>
      </c>
      <c r="GG139" s="262">
        <f t="shared" si="40"/>
        <v>0</v>
      </c>
      <c r="GH139" s="262">
        <f t="shared" si="40"/>
        <v>0</v>
      </c>
      <c r="GI139" s="262">
        <f t="shared" si="40"/>
        <v>0</v>
      </c>
      <c r="GJ139" s="262">
        <f t="shared" si="40"/>
        <v>0</v>
      </c>
      <c r="GK139" s="262">
        <f t="shared" si="40"/>
        <v>0</v>
      </c>
      <c r="GL139" s="262">
        <f t="shared" si="40"/>
        <v>0</v>
      </c>
      <c r="GM139" s="262">
        <f t="shared" si="40"/>
        <v>0</v>
      </c>
      <c r="GN139" s="262">
        <f t="shared" si="40"/>
        <v>0</v>
      </c>
      <c r="GO139" s="262">
        <f t="shared" si="40"/>
        <v>0</v>
      </c>
      <c r="GP139" s="262">
        <f t="shared" si="40"/>
        <v>0</v>
      </c>
      <c r="GQ139" s="262">
        <f t="shared" si="40"/>
        <v>0</v>
      </c>
      <c r="GR139" s="341"/>
      <c r="GS139" s="341"/>
      <c r="GT139" s="341"/>
      <c r="GU139" s="332"/>
      <c r="GV139" s="169"/>
      <c r="GW139" s="169"/>
      <c r="GX139" s="169"/>
      <c r="GY139" s="169"/>
      <c r="GZ139" s="169"/>
      <c r="HA139" s="169"/>
      <c r="HB139" s="169"/>
      <c r="HC139" s="169"/>
      <c r="HD139" s="169"/>
      <c r="HE139" s="169"/>
      <c r="HF139" s="169"/>
      <c r="HG139" s="169"/>
      <c r="HH139" s="169"/>
      <c r="HI139" s="169"/>
      <c r="HJ139" s="169"/>
      <c r="HK139" s="169"/>
      <c r="HL139" s="169"/>
      <c r="HM139" s="169"/>
      <c r="HN139" s="169"/>
      <c r="HO139" s="169"/>
      <c r="HP139" s="169"/>
      <c r="HQ139" s="169"/>
      <c r="HR139" s="169"/>
      <c r="HS139" s="169"/>
      <c r="HT139" s="169"/>
      <c r="HU139" s="169"/>
      <c r="HV139" s="169"/>
      <c r="HW139" s="169"/>
      <c r="HX139" s="169"/>
      <c r="HY139" s="169"/>
      <c r="HZ139" s="169"/>
      <c r="IA139" s="169"/>
      <c r="IB139" s="169"/>
      <c r="IC139" s="169"/>
      <c r="ID139" s="169"/>
      <c r="IE139" s="169"/>
      <c r="IF139" s="169"/>
      <c r="IG139" s="169"/>
      <c r="IH139" s="169"/>
      <c r="II139" s="169"/>
      <c r="IJ139" s="169"/>
      <c r="IK139" s="169"/>
      <c r="IL139" s="169"/>
      <c r="IM139" s="169"/>
      <c r="IN139" s="169"/>
      <c r="IO139" s="169"/>
      <c r="IP139" s="169"/>
      <c r="IQ139" s="169"/>
      <c r="IR139" s="169"/>
      <c r="IS139" s="169"/>
      <c r="IT139" s="169"/>
      <c r="IU139" s="169"/>
      <c r="IV139" s="169"/>
    </row>
    <row r="140" spans="1:256" ht="13.8" hidden="1">
      <c r="A140" s="154"/>
      <c r="B140" s="184"/>
      <c r="C140" s="184"/>
      <c r="D140" s="184"/>
      <c r="E140" s="184"/>
      <c r="F140" s="184"/>
      <c r="G140" s="184"/>
      <c r="H140" s="184"/>
      <c r="I140" s="184"/>
      <c r="J140" s="184"/>
      <c r="K140" s="184"/>
      <c r="L140" s="184"/>
      <c r="M140" s="184"/>
      <c r="N140" s="184"/>
      <c r="O140" s="184"/>
      <c r="P140" s="184"/>
      <c r="Q140" s="184"/>
      <c r="R140" s="184"/>
      <c r="S140" s="184"/>
      <c r="T140" s="184"/>
      <c r="U140" s="184"/>
      <c r="V140" s="184"/>
      <c r="W140" s="184"/>
      <c r="X140" s="184"/>
      <c r="Y140" s="184"/>
      <c r="Z140" s="184"/>
      <c r="AA140" s="184"/>
      <c r="AB140" s="184"/>
      <c r="AC140" s="184"/>
      <c r="AD140" s="184"/>
      <c r="AE140" s="184"/>
      <c r="AF140" s="184"/>
      <c r="AG140" s="184"/>
      <c r="AH140" s="184"/>
      <c r="AI140" s="184"/>
      <c r="AJ140" s="184"/>
      <c r="AK140" s="184"/>
      <c r="AL140" s="184"/>
      <c r="AM140" s="184"/>
      <c r="AN140" s="184"/>
      <c r="AO140" s="184"/>
      <c r="AP140" s="184"/>
      <c r="AQ140" s="184"/>
      <c r="AR140" s="184"/>
      <c r="AS140" s="184"/>
      <c r="AT140" s="184"/>
      <c r="AU140" s="184"/>
      <c r="AV140" s="184"/>
      <c r="AW140" s="184"/>
      <c r="AX140" s="184"/>
      <c r="AY140" s="184"/>
      <c r="AZ140" s="184"/>
      <c r="BA140" s="184"/>
      <c r="BB140" s="184"/>
      <c r="BC140" s="184"/>
      <c r="BD140" s="184"/>
      <c r="BE140" s="184"/>
      <c r="BF140" s="184"/>
      <c r="BG140" s="184"/>
      <c r="BH140" s="184"/>
      <c r="BI140" s="184"/>
      <c r="BJ140" s="184"/>
      <c r="BK140" s="184"/>
      <c r="BL140" s="184"/>
      <c r="BM140" s="184"/>
      <c r="BN140" s="184"/>
      <c r="BO140" s="184"/>
      <c r="BP140" s="184"/>
      <c r="BQ140" s="184"/>
      <c r="BR140" s="184"/>
      <c r="BS140" s="184"/>
      <c r="BT140" s="184"/>
      <c r="BU140" s="184"/>
      <c r="BV140" s="184"/>
      <c r="BW140" s="184"/>
      <c r="BX140" s="184"/>
      <c r="BY140" s="184"/>
      <c r="BZ140" s="184"/>
      <c r="CA140" s="184"/>
      <c r="CB140" s="184"/>
      <c r="CC140" s="184"/>
      <c r="CD140" s="184"/>
      <c r="CE140" s="184"/>
      <c r="CF140" s="184"/>
      <c r="CG140" s="184"/>
      <c r="CH140" s="184"/>
      <c r="CI140" s="184"/>
      <c r="CJ140" s="184"/>
      <c r="CK140" s="184"/>
      <c r="CL140" s="184"/>
      <c r="CM140" s="184"/>
      <c r="CN140" s="184"/>
      <c r="CO140" s="184"/>
      <c r="CP140" s="184"/>
      <c r="CQ140" s="184"/>
      <c r="CR140" s="184"/>
      <c r="CS140" s="184"/>
      <c r="CT140" s="184"/>
      <c r="CU140" s="184"/>
      <c r="CV140" s="184"/>
      <c r="CW140" s="184"/>
      <c r="CX140" s="184"/>
      <c r="CY140" s="184"/>
      <c r="CZ140" s="184"/>
      <c r="DA140" s="184"/>
      <c r="DB140" s="184"/>
      <c r="DC140" s="184"/>
      <c r="DD140" s="184"/>
      <c r="DE140" s="184"/>
      <c r="DF140" s="184"/>
      <c r="DG140" s="184"/>
      <c r="DH140" s="184"/>
      <c r="DI140" s="184"/>
      <c r="DJ140" s="184"/>
      <c r="DK140" s="184"/>
      <c r="DL140" s="184"/>
      <c r="DM140" s="184"/>
      <c r="DN140" s="184"/>
      <c r="DO140" s="184"/>
      <c r="DP140" s="184"/>
      <c r="DQ140" s="184"/>
      <c r="DR140" s="184"/>
      <c r="DS140" s="184"/>
      <c r="DT140" s="184"/>
      <c r="DU140" s="184"/>
      <c r="DV140" s="184"/>
      <c r="DW140" s="184"/>
      <c r="DX140" s="184"/>
      <c r="DY140" s="184"/>
      <c r="DZ140" s="184"/>
      <c r="EA140" s="184"/>
      <c r="EB140" s="184"/>
      <c r="EC140" s="184"/>
      <c r="ED140" s="184"/>
      <c r="EE140" s="184"/>
      <c r="EF140" s="184"/>
      <c r="EG140" s="184"/>
      <c r="EH140" s="184"/>
      <c r="EI140" s="184"/>
      <c r="EJ140" s="184"/>
      <c r="EK140" s="184"/>
      <c r="EL140" s="184"/>
      <c r="EM140" s="184"/>
      <c r="EN140" s="184"/>
      <c r="EO140" s="184"/>
      <c r="EP140" s="184"/>
      <c r="EQ140" s="184"/>
      <c r="ER140" s="184"/>
      <c r="ES140" s="184"/>
      <c r="ET140" s="184"/>
      <c r="EU140" s="184"/>
      <c r="EV140" s="184"/>
      <c r="EW140" s="184"/>
      <c r="EX140" s="184"/>
      <c r="EY140" s="184"/>
      <c r="EZ140" s="184"/>
      <c r="FA140" s="184"/>
      <c r="FB140" s="184"/>
      <c r="FC140" s="184"/>
      <c r="FD140" s="184"/>
      <c r="FE140" s="184"/>
      <c r="FF140" s="184"/>
      <c r="FG140" s="184"/>
      <c r="FH140" s="184"/>
      <c r="FI140" s="184"/>
      <c r="FJ140" s="184"/>
      <c r="FK140" s="184"/>
      <c r="FL140" s="184"/>
      <c r="FM140" s="184"/>
      <c r="FN140" s="184"/>
      <c r="FO140" s="184"/>
      <c r="FP140" s="184"/>
      <c r="FQ140" s="184"/>
      <c r="FR140" s="184"/>
      <c r="FS140" s="184"/>
      <c r="FT140" s="184"/>
      <c r="FU140" s="184"/>
      <c r="FV140" s="184"/>
      <c r="FW140" s="184"/>
      <c r="FX140" s="184"/>
      <c r="FY140" s="184"/>
      <c r="FZ140" s="184"/>
      <c r="GA140" s="184"/>
      <c r="GB140" s="184"/>
      <c r="GC140" s="184"/>
      <c r="GD140" s="184"/>
      <c r="GE140" s="184"/>
      <c r="GF140" s="184"/>
      <c r="GG140" s="184"/>
      <c r="GH140" s="184"/>
      <c r="GI140" s="184"/>
      <c r="GJ140" s="184"/>
      <c r="GK140" s="184"/>
      <c r="GL140" s="184"/>
      <c r="GM140" s="184"/>
      <c r="GN140" s="184"/>
      <c r="GO140" s="184"/>
      <c r="GP140" s="184"/>
      <c r="GQ140" s="184"/>
      <c r="GR140" s="184"/>
      <c r="GS140" s="184"/>
      <c r="GT140" s="184"/>
      <c r="GU140" s="185"/>
    </row>
    <row r="141" spans="1:256" ht="13.8" hidden="1">
      <c r="A141" s="154"/>
      <c r="B141" s="184"/>
      <c r="C141" s="184"/>
      <c r="D141" s="184"/>
      <c r="E141" s="184"/>
      <c r="F141" s="184"/>
      <c r="G141" s="184"/>
      <c r="H141" s="184"/>
      <c r="I141" s="184"/>
      <c r="J141" s="184"/>
      <c r="K141" s="184"/>
      <c r="L141" s="184"/>
      <c r="M141" s="184"/>
      <c r="N141" s="184"/>
      <c r="O141" s="184"/>
      <c r="P141" s="184"/>
      <c r="Q141" s="184"/>
      <c r="R141" s="184"/>
      <c r="S141" s="184"/>
      <c r="T141" s="184"/>
      <c r="U141" s="184"/>
      <c r="V141" s="184"/>
      <c r="W141" s="184"/>
      <c r="X141" s="184"/>
      <c r="Y141" s="184"/>
      <c r="Z141" s="184"/>
      <c r="AA141" s="184"/>
      <c r="AB141" s="184"/>
      <c r="AC141" s="184"/>
      <c r="AD141" s="184"/>
      <c r="AE141" s="184"/>
      <c r="AF141" s="184"/>
      <c r="AG141" s="184"/>
      <c r="AH141" s="184"/>
      <c r="AI141" s="184"/>
      <c r="AJ141" s="184"/>
      <c r="AK141" s="184"/>
      <c r="AL141" s="184"/>
      <c r="AM141" s="184"/>
      <c r="AN141" s="184"/>
      <c r="AO141" s="184"/>
      <c r="AP141" s="184"/>
      <c r="AQ141" s="184"/>
      <c r="AR141" s="184"/>
      <c r="AS141" s="184"/>
      <c r="AT141" s="184"/>
      <c r="AU141" s="184"/>
      <c r="AV141" s="184"/>
      <c r="AW141" s="184"/>
      <c r="AX141" s="184"/>
      <c r="AY141" s="184"/>
      <c r="AZ141" s="184"/>
      <c r="BA141" s="184"/>
      <c r="BB141" s="184"/>
      <c r="BC141" s="184"/>
      <c r="BD141" s="184"/>
      <c r="BE141" s="184"/>
      <c r="BF141" s="184"/>
      <c r="BG141" s="184"/>
      <c r="BH141" s="184"/>
      <c r="BI141" s="184"/>
      <c r="BJ141" s="184"/>
      <c r="BK141" s="184"/>
      <c r="BL141" s="184"/>
      <c r="BM141" s="184"/>
      <c r="BN141" s="184"/>
      <c r="BO141" s="184"/>
      <c r="BP141" s="184"/>
      <c r="BQ141" s="184"/>
      <c r="BR141" s="184"/>
      <c r="BS141" s="184"/>
      <c r="BT141" s="184"/>
      <c r="BU141" s="184"/>
      <c r="BV141" s="184"/>
      <c r="BW141" s="184"/>
      <c r="BX141" s="184"/>
      <c r="BY141" s="184"/>
      <c r="BZ141" s="184"/>
      <c r="CA141" s="184"/>
      <c r="CB141" s="184"/>
      <c r="CC141" s="184"/>
      <c r="CD141" s="184"/>
      <c r="CE141" s="184"/>
      <c r="CF141" s="184"/>
      <c r="CG141" s="184"/>
      <c r="CH141" s="184"/>
      <c r="CI141" s="184"/>
      <c r="CJ141" s="184"/>
      <c r="CK141" s="184"/>
      <c r="CL141" s="184"/>
      <c r="CM141" s="184"/>
      <c r="CN141" s="184"/>
      <c r="CO141" s="184"/>
      <c r="CP141" s="184"/>
      <c r="CQ141" s="184"/>
      <c r="CR141" s="184"/>
      <c r="CS141" s="184"/>
      <c r="CT141" s="184"/>
      <c r="CU141" s="184"/>
      <c r="CV141" s="184"/>
      <c r="CW141" s="184"/>
      <c r="CX141" s="184"/>
      <c r="CY141" s="184"/>
      <c r="CZ141" s="184"/>
      <c r="DA141" s="184"/>
      <c r="DB141" s="184"/>
      <c r="DC141" s="184"/>
      <c r="DD141" s="184"/>
      <c r="DE141" s="184"/>
      <c r="DF141" s="184"/>
      <c r="DG141" s="184"/>
      <c r="DH141" s="184"/>
      <c r="DI141" s="184"/>
      <c r="DJ141" s="184"/>
      <c r="DK141" s="184"/>
      <c r="DL141" s="184"/>
      <c r="DM141" s="184"/>
      <c r="DN141" s="184"/>
      <c r="DO141" s="184"/>
      <c r="DP141" s="184"/>
      <c r="DQ141" s="184"/>
      <c r="DR141" s="184"/>
      <c r="DS141" s="184"/>
      <c r="DT141" s="184"/>
      <c r="DU141" s="184"/>
      <c r="DV141" s="184"/>
      <c r="DW141" s="184"/>
      <c r="DX141" s="184"/>
      <c r="DY141" s="184"/>
      <c r="DZ141" s="184"/>
      <c r="EA141" s="184"/>
      <c r="EB141" s="184"/>
      <c r="EC141" s="184"/>
      <c r="ED141" s="184"/>
      <c r="EE141" s="184"/>
      <c r="EF141" s="184"/>
      <c r="EG141" s="184"/>
      <c r="EH141" s="184"/>
      <c r="EI141" s="184"/>
      <c r="EJ141" s="184"/>
      <c r="EK141" s="184"/>
      <c r="EL141" s="184"/>
      <c r="EM141" s="184"/>
      <c r="EN141" s="184"/>
      <c r="EO141" s="184"/>
      <c r="EP141" s="184"/>
      <c r="EQ141" s="184"/>
      <c r="ER141" s="184"/>
      <c r="ES141" s="184"/>
      <c r="ET141" s="184"/>
      <c r="EU141" s="184"/>
      <c r="EV141" s="184"/>
      <c r="EW141" s="184"/>
      <c r="EX141" s="184"/>
      <c r="EY141" s="184"/>
      <c r="EZ141" s="184"/>
      <c r="FA141" s="184"/>
      <c r="FB141" s="184"/>
      <c r="FC141" s="184"/>
      <c r="FD141" s="184"/>
      <c r="FE141" s="184"/>
      <c r="FF141" s="184"/>
      <c r="FG141" s="184"/>
      <c r="FH141" s="184"/>
      <c r="FI141" s="184"/>
      <c r="FJ141" s="184"/>
      <c r="FK141" s="184"/>
      <c r="FL141" s="184"/>
      <c r="FM141" s="184"/>
      <c r="FN141" s="184"/>
      <c r="FO141" s="184"/>
      <c r="FP141" s="184"/>
      <c r="FQ141" s="184"/>
      <c r="FR141" s="184"/>
      <c r="FS141" s="184"/>
      <c r="FT141" s="184"/>
      <c r="FU141" s="184"/>
      <c r="FV141" s="184"/>
      <c r="FW141" s="184"/>
      <c r="FX141" s="184"/>
      <c r="FY141" s="184"/>
      <c r="FZ141" s="184"/>
      <c r="GA141" s="184"/>
      <c r="GB141" s="184"/>
      <c r="GC141" s="184"/>
      <c r="GD141" s="184"/>
      <c r="GE141" s="184"/>
      <c r="GF141" s="184"/>
      <c r="GG141" s="184"/>
      <c r="GH141" s="184"/>
      <c r="GI141" s="184"/>
      <c r="GJ141" s="184"/>
      <c r="GK141" s="184"/>
      <c r="GL141" s="184"/>
      <c r="GM141" s="184"/>
      <c r="GN141" s="184"/>
      <c r="GO141" s="184"/>
      <c r="GP141" s="184"/>
      <c r="GQ141" s="184"/>
      <c r="GR141" s="184"/>
      <c r="GS141" s="184"/>
      <c r="GT141" s="184"/>
      <c r="GU141" s="185"/>
    </row>
    <row r="142" spans="1:256" s="305" customFormat="1" ht="13.8" hidden="1">
      <c r="A142" s="297"/>
      <c r="B142" s="342"/>
      <c r="C142" s="306"/>
      <c r="D142" s="298"/>
      <c r="E142" s="298"/>
      <c r="F142" s="298"/>
      <c r="G142" s="298"/>
      <c r="H142" s="298"/>
      <c r="I142" s="298"/>
      <c r="J142" s="299"/>
      <c r="K142" s="300"/>
      <c r="L142" s="301"/>
      <c r="M142" s="302"/>
      <c r="N142" s="343"/>
      <c r="O142" s="307"/>
      <c r="P142" s="307"/>
      <c r="Q142" s="307"/>
      <c r="R142" s="307"/>
      <c r="S142" s="307"/>
      <c r="T142" s="307"/>
      <c r="U142" s="307"/>
      <c r="V142" s="307"/>
      <c r="W142" s="307"/>
      <c r="X142" s="307"/>
      <c r="Y142" s="307"/>
      <c r="Z142" s="307"/>
      <c r="AA142" s="307"/>
      <c r="AB142" s="307"/>
      <c r="AC142" s="307"/>
      <c r="AD142" s="307"/>
      <c r="AE142" s="307"/>
      <c r="AF142" s="307"/>
      <c r="AG142" s="307"/>
      <c r="AH142" s="307"/>
      <c r="AI142" s="307"/>
      <c r="AJ142" s="307"/>
      <c r="AK142" s="307"/>
      <c r="AL142" s="307"/>
      <c r="AM142" s="307"/>
      <c r="AN142" s="307"/>
      <c r="AO142" s="307"/>
      <c r="AP142" s="307"/>
      <c r="AQ142" s="307"/>
      <c r="AR142" s="307"/>
      <c r="AS142" s="307"/>
      <c r="AT142" s="307"/>
      <c r="AU142" s="307"/>
      <c r="AV142" s="307"/>
      <c r="AW142" s="307"/>
      <c r="AX142" s="307"/>
      <c r="AY142" s="307"/>
      <c r="AZ142" s="307"/>
      <c r="BA142" s="307"/>
      <c r="BB142" s="307"/>
      <c r="BC142" s="307"/>
      <c r="BD142" s="307"/>
      <c r="BE142" s="307"/>
      <c r="BF142" s="307"/>
      <c r="BG142" s="307"/>
      <c r="BH142" s="307"/>
      <c r="BI142" s="307"/>
      <c r="BJ142" s="307"/>
      <c r="BK142" s="307"/>
      <c r="BL142" s="307"/>
      <c r="BM142" s="307"/>
      <c r="BN142" s="307"/>
      <c r="BO142" s="307"/>
      <c r="BP142" s="307"/>
      <c r="BQ142" s="307"/>
      <c r="BR142" s="307"/>
      <c r="BS142" s="307"/>
      <c r="BT142" s="307"/>
      <c r="BU142" s="307"/>
      <c r="BV142" s="307"/>
      <c r="BW142" s="307"/>
      <c r="BX142" s="307"/>
      <c r="BY142" s="307"/>
      <c r="BZ142" s="307"/>
      <c r="CA142" s="307"/>
      <c r="CB142" s="307"/>
      <c r="CC142" s="307"/>
      <c r="CD142" s="307"/>
      <c r="CE142" s="307"/>
      <c r="CF142" s="307"/>
      <c r="CG142" s="307"/>
      <c r="CH142" s="307"/>
      <c r="CI142" s="307"/>
      <c r="CJ142" s="307"/>
      <c r="CK142" s="307"/>
      <c r="CL142" s="307"/>
      <c r="CM142" s="307"/>
      <c r="CN142" s="307"/>
      <c r="CO142" s="307"/>
      <c r="CP142" s="307"/>
      <c r="CQ142" s="307"/>
      <c r="CR142" s="307"/>
      <c r="CS142" s="307"/>
      <c r="CT142" s="307"/>
      <c r="CU142" s="307"/>
      <c r="CV142" s="307"/>
      <c r="CW142" s="307"/>
      <c r="CX142" s="307"/>
      <c r="CY142" s="307"/>
      <c r="CZ142" s="307"/>
      <c r="DA142" s="307"/>
      <c r="DB142" s="307"/>
      <c r="DC142" s="307"/>
      <c r="DD142" s="307"/>
      <c r="DE142" s="307"/>
      <c r="DF142" s="307"/>
      <c r="DG142" s="307"/>
      <c r="DH142" s="307"/>
      <c r="DI142" s="307"/>
      <c r="DJ142" s="307"/>
      <c r="DK142" s="307"/>
      <c r="DL142" s="307"/>
      <c r="DM142" s="307"/>
      <c r="DN142" s="307"/>
      <c r="DO142" s="307"/>
      <c r="DP142" s="307"/>
      <c r="DQ142" s="307"/>
      <c r="DR142" s="307"/>
      <c r="DS142" s="307"/>
      <c r="DT142" s="307"/>
      <c r="DU142" s="307"/>
      <c r="DV142" s="307"/>
      <c r="DW142" s="307"/>
      <c r="DX142" s="307"/>
      <c r="DY142" s="307"/>
      <c r="DZ142" s="307"/>
      <c r="EA142" s="307"/>
      <c r="EB142" s="307"/>
      <c r="EC142" s="307"/>
      <c r="ED142" s="307"/>
      <c r="EE142" s="307"/>
      <c r="EF142" s="307"/>
      <c r="EG142" s="307"/>
      <c r="EH142" s="307"/>
      <c r="EI142" s="307"/>
      <c r="EJ142" s="307"/>
      <c r="EK142" s="307"/>
      <c r="EL142" s="307"/>
      <c r="EM142" s="307"/>
      <c r="EN142" s="307"/>
      <c r="EO142" s="307"/>
      <c r="EP142" s="307"/>
      <c r="EQ142" s="307"/>
      <c r="ER142" s="307"/>
      <c r="ES142" s="307"/>
      <c r="ET142" s="307"/>
      <c r="EU142" s="307"/>
      <c r="EV142" s="307"/>
      <c r="EW142" s="307"/>
      <c r="EX142" s="307"/>
      <c r="EY142" s="307"/>
      <c r="EZ142" s="307"/>
      <c r="FA142" s="307"/>
      <c r="FB142" s="307"/>
      <c r="FC142" s="307"/>
      <c r="FD142" s="307"/>
      <c r="FE142" s="307"/>
      <c r="FF142" s="307"/>
      <c r="FG142" s="344"/>
      <c r="FH142" s="344"/>
      <c r="FI142" s="344"/>
      <c r="FJ142" s="307"/>
      <c r="FK142" s="339"/>
      <c r="FL142" s="307"/>
      <c r="FM142" s="307"/>
      <c r="FN142" s="307"/>
      <c r="FO142" s="307"/>
      <c r="FP142" s="307"/>
      <c r="FQ142" s="307"/>
      <c r="FR142" s="307"/>
      <c r="FS142" s="307"/>
      <c r="FT142" s="307"/>
      <c r="FU142" s="344"/>
      <c r="FV142" s="344"/>
      <c r="FW142" s="307"/>
      <c r="FX142" s="307"/>
      <c r="FY142" s="307"/>
      <c r="FZ142" s="307"/>
      <c r="GA142" s="307"/>
      <c r="GB142" s="307"/>
      <c r="GC142" s="307"/>
      <c r="GD142" s="307"/>
      <c r="GE142" s="307"/>
      <c r="GF142" s="307"/>
      <c r="GG142" s="307"/>
      <c r="GH142" s="307"/>
      <c r="GI142" s="307"/>
      <c r="GJ142" s="307"/>
      <c r="GK142" s="307"/>
      <c r="GL142" s="307"/>
      <c r="GM142" s="307"/>
      <c r="GN142" s="307"/>
      <c r="GO142" s="307"/>
      <c r="GP142" s="307"/>
      <c r="GQ142" s="307"/>
      <c r="GR142" s="307"/>
      <c r="GS142" s="307"/>
      <c r="GT142" s="307"/>
      <c r="GU142" s="160" t="s">
        <v>3886</v>
      </c>
      <c r="GV142" s="169"/>
      <c r="GW142" s="169"/>
      <c r="GX142" s="169"/>
      <c r="GY142" s="169"/>
      <c r="GZ142" s="169"/>
      <c r="HA142" s="169"/>
      <c r="HB142" s="169"/>
      <c r="HC142" s="169"/>
      <c r="HD142" s="169"/>
      <c r="HE142" s="169"/>
      <c r="HF142" s="169"/>
      <c r="HG142" s="169"/>
      <c r="HH142" s="169"/>
      <c r="HI142" s="169"/>
      <c r="HJ142" s="169"/>
      <c r="HK142" s="169"/>
      <c r="HL142" s="169"/>
      <c r="HM142" s="169"/>
      <c r="HN142" s="169"/>
      <c r="HO142" s="169"/>
      <c r="HP142" s="169"/>
      <c r="HQ142" s="169"/>
      <c r="HR142" s="169"/>
      <c r="HS142" s="169"/>
      <c r="HT142" s="169"/>
      <c r="HU142" s="169"/>
      <c r="HV142" s="169"/>
      <c r="HW142" s="169"/>
      <c r="HX142" s="169"/>
      <c r="HY142" s="169"/>
      <c r="HZ142" s="169"/>
      <c r="IA142" s="169"/>
      <c r="IB142" s="169"/>
      <c r="IC142" s="169"/>
      <c r="ID142" s="169"/>
      <c r="IE142" s="169"/>
      <c r="IF142" s="169"/>
      <c r="IG142" s="169"/>
      <c r="IH142" s="169"/>
      <c r="II142" s="169"/>
      <c r="IJ142" s="169"/>
      <c r="IK142" s="169"/>
      <c r="IL142" s="169"/>
      <c r="IM142" s="169"/>
      <c r="IN142" s="169"/>
      <c r="IO142" s="169"/>
      <c r="IP142" s="169"/>
      <c r="IQ142" s="169"/>
      <c r="IR142" s="169"/>
      <c r="IS142" s="169"/>
      <c r="IT142" s="169"/>
      <c r="IU142" s="169"/>
      <c r="IV142" s="169"/>
    </row>
    <row r="143" spans="1:256" s="305" customFormat="1" ht="13.8" hidden="1">
      <c r="A143" s="297"/>
      <c r="B143" s="345"/>
      <c r="C143" s="306"/>
      <c r="D143" s="298"/>
      <c r="E143" s="298"/>
      <c r="F143" s="298"/>
      <c r="G143" s="298"/>
      <c r="H143" s="298"/>
      <c r="I143" s="298"/>
      <c r="J143" s="299"/>
      <c r="K143" s="300"/>
      <c r="L143" s="301"/>
      <c r="M143" s="302"/>
      <c r="N143" s="338"/>
      <c r="O143" s="337"/>
      <c r="P143" s="337"/>
      <c r="Q143" s="337"/>
      <c r="R143" s="337"/>
      <c r="S143" s="337"/>
      <c r="T143" s="337"/>
      <c r="U143" s="337"/>
      <c r="V143" s="337"/>
      <c r="W143" s="337"/>
      <c r="X143" s="337"/>
      <c r="Y143" s="337"/>
      <c r="Z143" s="337"/>
      <c r="AA143" s="337"/>
      <c r="AB143" s="337"/>
      <c r="AC143" s="337"/>
      <c r="AD143" s="337"/>
      <c r="AE143" s="337"/>
      <c r="AF143" s="337"/>
      <c r="AG143" s="337"/>
      <c r="AH143" s="337"/>
      <c r="AI143" s="337"/>
      <c r="AJ143" s="337"/>
      <c r="AK143" s="337"/>
      <c r="AL143" s="337"/>
      <c r="AM143" s="337"/>
      <c r="AN143" s="337"/>
      <c r="AO143" s="337"/>
      <c r="AP143" s="337"/>
      <c r="AQ143" s="337"/>
      <c r="AR143" s="337"/>
      <c r="AS143" s="337"/>
      <c r="AT143" s="337"/>
      <c r="AU143" s="337"/>
      <c r="AV143" s="337"/>
      <c r="AW143" s="337"/>
      <c r="AX143" s="337"/>
      <c r="AY143" s="337"/>
      <c r="AZ143" s="337"/>
      <c r="BA143" s="337"/>
      <c r="BB143" s="337"/>
      <c r="BC143" s="337"/>
      <c r="BD143" s="337"/>
      <c r="BE143" s="337"/>
      <c r="BF143" s="337"/>
      <c r="BG143" s="337"/>
      <c r="BH143" s="337"/>
      <c r="BI143" s="337"/>
      <c r="BJ143" s="337"/>
      <c r="BK143" s="337"/>
      <c r="BL143" s="337"/>
      <c r="BM143" s="337"/>
      <c r="BN143" s="337"/>
      <c r="BO143" s="337"/>
      <c r="BP143" s="337"/>
      <c r="BQ143" s="337"/>
      <c r="BR143" s="337"/>
      <c r="BS143" s="337"/>
      <c r="BT143" s="337"/>
      <c r="BU143" s="337"/>
      <c r="BV143" s="337"/>
      <c r="BW143" s="337"/>
      <c r="BX143" s="337"/>
      <c r="BY143" s="337"/>
      <c r="BZ143" s="337"/>
      <c r="CA143" s="337"/>
      <c r="CB143" s="337"/>
      <c r="CC143" s="337"/>
      <c r="CD143" s="337"/>
      <c r="CE143" s="337"/>
      <c r="CF143" s="337"/>
      <c r="CG143" s="337"/>
      <c r="CH143" s="337"/>
      <c r="CI143" s="337"/>
      <c r="CJ143" s="337"/>
      <c r="CK143" s="337"/>
      <c r="CL143" s="337"/>
      <c r="CM143" s="337"/>
      <c r="CN143" s="337"/>
      <c r="CO143" s="337"/>
      <c r="CP143" s="337"/>
      <c r="CQ143" s="337"/>
      <c r="CR143" s="337"/>
      <c r="CS143" s="337"/>
      <c r="CT143" s="337"/>
      <c r="CU143" s="337"/>
      <c r="CV143" s="337"/>
      <c r="CW143" s="337"/>
      <c r="CX143" s="337"/>
      <c r="CY143" s="337"/>
      <c r="CZ143" s="337"/>
      <c r="DA143" s="337"/>
      <c r="DB143" s="337"/>
      <c r="DC143" s="337"/>
      <c r="DD143" s="337"/>
      <c r="DE143" s="337"/>
      <c r="DF143" s="337"/>
      <c r="DG143" s="337"/>
      <c r="DH143" s="337"/>
      <c r="DI143" s="337"/>
      <c r="DJ143" s="337"/>
      <c r="DK143" s="337"/>
      <c r="DL143" s="337"/>
      <c r="DM143" s="337"/>
      <c r="DN143" s="337"/>
      <c r="DO143" s="337"/>
      <c r="DP143" s="337"/>
      <c r="DQ143" s="337"/>
      <c r="DR143" s="337"/>
      <c r="DS143" s="337"/>
      <c r="DT143" s="337"/>
      <c r="DU143" s="337"/>
      <c r="DV143" s="337"/>
      <c r="DW143" s="337"/>
      <c r="DX143" s="337"/>
      <c r="DY143" s="337"/>
      <c r="DZ143" s="337"/>
      <c r="EA143" s="337"/>
      <c r="EB143" s="337"/>
      <c r="EC143" s="337"/>
      <c r="ED143" s="337"/>
      <c r="EE143" s="337"/>
      <c r="EF143" s="337"/>
      <c r="EG143" s="337"/>
      <c r="EH143" s="337"/>
      <c r="EI143" s="337"/>
      <c r="EJ143" s="337"/>
      <c r="EK143" s="337"/>
      <c r="EL143" s="337"/>
      <c r="EM143" s="337"/>
      <c r="EN143" s="337"/>
      <c r="EO143" s="337"/>
      <c r="EP143" s="337"/>
      <c r="EQ143" s="337"/>
      <c r="ER143" s="337"/>
      <c r="ES143" s="337"/>
      <c r="ET143" s="337"/>
      <c r="EU143" s="337"/>
      <c r="EV143" s="337"/>
      <c r="EW143" s="337"/>
      <c r="EX143" s="337"/>
      <c r="EY143" s="337"/>
      <c r="EZ143" s="337"/>
      <c r="FA143" s="337"/>
      <c r="FB143" s="337"/>
      <c r="FC143" s="337"/>
      <c r="FD143" s="337"/>
      <c r="FE143" s="337"/>
      <c r="FF143" s="337"/>
      <c r="FG143" s="339"/>
      <c r="FH143" s="339"/>
      <c r="FI143" s="339"/>
      <c r="FJ143" s="337"/>
      <c r="FK143" s="339"/>
      <c r="FL143" s="337"/>
      <c r="FM143" s="337"/>
      <c r="FN143" s="337"/>
      <c r="FO143" s="337"/>
      <c r="FP143" s="337"/>
      <c r="FQ143" s="337"/>
      <c r="FR143" s="337"/>
      <c r="FS143" s="337"/>
      <c r="FT143" s="337"/>
      <c r="FU143" s="339"/>
      <c r="FV143" s="339"/>
      <c r="FW143" s="337"/>
      <c r="FX143" s="337"/>
      <c r="FY143" s="337"/>
      <c r="FZ143" s="337"/>
      <c r="GA143" s="337"/>
      <c r="GB143" s="337"/>
      <c r="GC143" s="337"/>
      <c r="GD143" s="337"/>
      <c r="GE143" s="337"/>
      <c r="GF143" s="337"/>
      <c r="GG143" s="337"/>
      <c r="GH143" s="337"/>
      <c r="GI143" s="337"/>
      <c r="GJ143" s="337"/>
      <c r="GK143" s="337"/>
      <c r="GL143" s="337"/>
      <c r="GM143" s="337"/>
      <c r="GN143" s="337"/>
      <c r="GO143" s="337"/>
      <c r="GP143" s="337"/>
      <c r="GQ143" s="337"/>
      <c r="GR143" s="337"/>
      <c r="GS143" s="337"/>
      <c r="GT143" s="337"/>
      <c r="GU143" s="160" t="s">
        <v>3886</v>
      </c>
      <c r="GV143" s="169"/>
      <c r="GW143" s="169"/>
      <c r="GX143" s="169"/>
      <c r="GY143" s="169"/>
      <c r="GZ143" s="169"/>
      <c r="HA143" s="169"/>
      <c r="HB143" s="169"/>
      <c r="HC143" s="169"/>
      <c r="HD143" s="169"/>
      <c r="HE143" s="169"/>
      <c r="HF143" s="169"/>
      <c r="HG143" s="169"/>
      <c r="HH143" s="169"/>
      <c r="HI143" s="169"/>
      <c r="HJ143" s="169"/>
      <c r="HK143" s="169"/>
      <c r="HL143" s="169"/>
      <c r="HM143" s="169"/>
      <c r="HN143" s="169"/>
      <c r="HO143" s="169"/>
      <c r="HP143" s="169"/>
      <c r="HQ143" s="169"/>
      <c r="HR143" s="169"/>
      <c r="HS143" s="169"/>
      <c r="HT143" s="169"/>
      <c r="HU143" s="169"/>
      <c r="HV143" s="169"/>
      <c r="HW143" s="169"/>
      <c r="HX143" s="169"/>
      <c r="HY143" s="169"/>
      <c r="HZ143" s="169"/>
      <c r="IA143" s="169"/>
      <c r="IB143" s="169"/>
      <c r="IC143" s="169"/>
      <c r="ID143" s="169"/>
      <c r="IE143" s="169"/>
      <c r="IF143" s="169"/>
      <c r="IG143" s="169"/>
      <c r="IH143" s="169"/>
      <c r="II143" s="169"/>
      <c r="IJ143" s="169"/>
      <c r="IK143" s="169"/>
      <c r="IL143" s="169"/>
      <c r="IM143" s="169"/>
      <c r="IN143" s="169"/>
      <c r="IO143" s="169"/>
      <c r="IP143" s="169"/>
      <c r="IQ143" s="169"/>
      <c r="IR143" s="169"/>
      <c r="IS143" s="169"/>
      <c r="IT143" s="169"/>
      <c r="IU143" s="169"/>
      <c r="IV143" s="169"/>
    </row>
    <row r="144" spans="1:256" s="305" customFormat="1" ht="13.8" hidden="1">
      <c r="A144" s="297"/>
      <c r="B144" s="345"/>
      <c r="C144" s="306"/>
      <c r="D144" s="298"/>
      <c r="E144" s="298"/>
      <c r="F144" s="298"/>
      <c r="G144" s="298"/>
      <c r="H144" s="298"/>
      <c r="I144" s="298"/>
      <c r="J144" s="299"/>
      <c r="K144" s="300"/>
      <c r="L144" s="301"/>
      <c r="M144" s="302"/>
      <c r="N144" s="338"/>
      <c r="O144" s="337"/>
      <c r="P144" s="337"/>
      <c r="Q144" s="337"/>
      <c r="R144" s="337"/>
      <c r="S144" s="337"/>
      <c r="T144" s="337"/>
      <c r="U144" s="337"/>
      <c r="V144" s="337"/>
      <c r="W144" s="337"/>
      <c r="X144" s="337"/>
      <c r="Y144" s="337"/>
      <c r="Z144" s="337"/>
      <c r="AA144" s="337"/>
      <c r="AB144" s="337"/>
      <c r="AC144" s="337"/>
      <c r="AD144" s="337"/>
      <c r="AE144" s="337"/>
      <c r="AF144" s="337"/>
      <c r="AG144" s="337"/>
      <c r="AH144" s="337"/>
      <c r="AI144" s="337"/>
      <c r="AJ144" s="337"/>
      <c r="AK144" s="337"/>
      <c r="AL144" s="337"/>
      <c r="AM144" s="337"/>
      <c r="AN144" s="337"/>
      <c r="AO144" s="337"/>
      <c r="AP144" s="337"/>
      <c r="AQ144" s="337"/>
      <c r="AR144" s="337"/>
      <c r="AS144" s="337"/>
      <c r="AT144" s="337"/>
      <c r="AU144" s="337"/>
      <c r="AV144" s="337"/>
      <c r="AW144" s="337"/>
      <c r="AX144" s="337"/>
      <c r="AY144" s="337"/>
      <c r="AZ144" s="337"/>
      <c r="BA144" s="337"/>
      <c r="BB144" s="337"/>
      <c r="BC144" s="337"/>
      <c r="BD144" s="337"/>
      <c r="BE144" s="337"/>
      <c r="BF144" s="337"/>
      <c r="BG144" s="337"/>
      <c r="BH144" s="337"/>
      <c r="BI144" s="337"/>
      <c r="BJ144" s="337"/>
      <c r="BK144" s="337"/>
      <c r="BL144" s="337"/>
      <c r="BM144" s="337"/>
      <c r="BN144" s="337"/>
      <c r="BO144" s="337"/>
      <c r="BP144" s="337"/>
      <c r="BQ144" s="337"/>
      <c r="BR144" s="337"/>
      <c r="BS144" s="337"/>
      <c r="BT144" s="337"/>
      <c r="BU144" s="337"/>
      <c r="BV144" s="337"/>
      <c r="BW144" s="337"/>
      <c r="BX144" s="337"/>
      <c r="BY144" s="337"/>
      <c r="BZ144" s="337"/>
      <c r="CA144" s="337"/>
      <c r="CB144" s="337"/>
      <c r="CC144" s="337"/>
      <c r="CD144" s="337"/>
      <c r="CE144" s="337"/>
      <c r="CF144" s="337"/>
      <c r="CG144" s="337"/>
      <c r="CH144" s="337"/>
      <c r="CI144" s="337"/>
      <c r="CJ144" s="337"/>
      <c r="CK144" s="337"/>
      <c r="CL144" s="337"/>
      <c r="CM144" s="337"/>
      <c r="CN144" s="337"/>
      <c r="CO144" s="337"/>
      <c r="CP144" s="337"/>
      <c r="CQ144" s="337"/>
      <c r="CR144" s="337"/>
      <c r="CS144" s="337"/>
      <c r="CT144" s="337"/>
      <c r="CU144" s="337"/>
      <c r="CV144" s="337"/>
      <c r="CW144" s="337"/>
      <c r="CX144" s="337"/>
      <c r="CY144" s="337"/>
      <c r="CZ144" s="337"/>
      <c r="DA144" s="337"/>
      <c r="DB144" s="337"/>
      <c r="DC144" s="337"/>
      <c r="DD144" s="337"/>
      <c r="DE144" s="337"/>
      <c r="DF144" s="337"/>
      <c r="DG144" s="337"/>
      <c r="DH144" s="337"/>
      <c r="DI144" s="337"/>
      <c r="DJ144" s="337"/>
      <c r="DK144" s="337"/>
      <c r="DL144" s="337"/>
      <c r="DM144" s="337"/>
      <c r="DN144" s="337"/>
      <c r="DO144" s="337"/>
      <c r="DP144" s="337"/>
      <c r="DQ144" s="337"/>
      <c r="DR144" s="337"/>
      <c r="DS144" s="337"/>
      <c r="DT144" s="337"/>
      <c r="DU144" s="337"/>
      <c r="DV144" s="337"/>
      <c r="DW144" s="337"/>
      <c r="DX144" s="337"/>
      <c r="DY144" s="337"/>
      <c r="DZ144" s="337"/>
      <c r="EA144" s="337"/>
      <c r="EB144" s="337"/>
      <c r="EC144" s="337"/>
      <c r="ED144" s="337"/>
      <c r="EE144" s="337"/>
      <c r="EF144" s="337"/>
      <c r="EG144" s="337"/>
      <c r="EH144" s="337"/>
      <c r="EI144" s="337"/>
      <c r="EJ144" s="337"/>
      <c r="EK144" s="337"/>
      <c r="EL144" s="337"/>
      <c r="EM144" s="337"/>
      <c r="EN144" s="337"/>
      <c r="EO144" s="337"/>
      <c r="EP144" s="337"/>
      <c r="EQ144" s="337"/>
      <c r="ER144" s="337"/>
      <c r="ES144" s="337"/>
      <c r="ET144" s="337"/>
      <c r="EU144" s="337"/>
      <c r="EV144" s="337"/>
      <c r="EW144" s="337"/>
      <c r="EX144" s="337"/>
      <c r="EY144" s="337"/>
      <c r="EZ144" s="337"/>
      <c r="FA144" s="337"/>
      <c r="FB144" s="337"/>
      <c r="FC144" s="337"/>
      <c r="FD144" s="337"/>
      <c r="FE144" s="337"/>
      <c r="FF144" s="337"/>
      <c r="FG144" s="339"/>
      <c r="FH144" s="339"/>
      <c r="FI144" s="339"/>
      <c r="FJ144" s="337"/>
      <c r="FK144" s="339"/>
      <c r="FL144" s="337"/>
      <c r="FM144" s="337"/>
      <c r="FN144" s="337"/>
      <c r="FO144" s="337"/>
      <c r="FP144" s="337"/>
      <c r="FQ144" s="337"/>
      <c r="FR144" s="337"/>
      <c r="FS144" s="337"/>
      <c r="FT144" s="337"/>
      <c r="FU144" s="339"/>
      <c r="FV144" s="339"/>
      <c r="FW144" s="337"/>
      <c r="FX144" s="337"/>
      <c r="FY144" s="337"/>
      <c r="FZ144" s="337"/>
      <c r="GA144" s="337"/>
      <c r="GB144" s="337"/>
      <c r="GC144" s="337"/>
      <c r="GD144" s="337"/>
      <c r="GE144" s="337"/>
      <c r="GF144" s="337"/>
      <c r="GG144" s="337"/>
      <c r="GH144" s="337"/>
      <c r="GI144" s="337"/>
      <c r="GJ144" s="337"/>
      <c r="GK144" s="337"/>
      <c r="GL144" s="337"/>
      <c r="GM144" s="337"/>
      <c r="GN144" s="337"/>
      <c r="GO144" s="337"/>
      <c r="GP144" s="337"/>
      <c r="GQ144" s="337"/>
      <c r="GR144" s="337"/>
      <c r="GS144" s="337"/>
      <c r="GT144" s="337"/>
      <c r="GU144" s="160" t="s">
        <v>3886</v>
      </c>
      <c r="GV144" s="169"/>
      <c r="GW144" s="169"/>
      <c r="GX144" s="169"/>
      <c r="GY144" s="169"/>
      <c r="GZ144" s="169"/>
      <c r="HA144" s="169"/>
      <c r="HB144" s="169"/>
      <c r="HC144" s="169"/>
      <c r="HD144" s="169"/>
      <c r="HE144" s="169"/>
      <c r="HF144" s="169"/>
      <c r="HG144" s="169"/>
      <c r="HH144" s="169"/>
      <c r="HI144" s="169"/>
      <c r="HJ144" s="169"/>
      <c r="HK144" s="169"/>
      <c r="HL144" s="169"/>
      <c r="HM144" s="169"/>
      <c r="HN144" s="169"/>
      <c r="HO144" s="169"/>
      <c r="HP144" s="169"/>
      <c r="HQ144" s="169"/>
      <c r="HR144" s="169"/>
      <c r="HS144" s="169"/>
      <c r="HT144" s="169"/>
      <c r="HU144" s="169"/>
      <c r="HV144" s="169"/>
      <c r="HW144" s="169"/>
      <c r="HX144" s="169"/>
      <c r="HY144" s="169"/>
      <c r="HZ144" s="169"/>
      <c r="IA144" s="169"/>
      <c r="IB144" s="169"/>
      <c r="IC144" s="169"/>
      <c r="ID144" s="169"/>
      <c r="IE144" s="169"/>
      <c r="IF144" s="169"/>
      <c r="IG144" s="169"/>
      <c r="IH144" s="169"/>
      <c r="II144" s="169"/>
      <c r="IJ144" s="169"/>
      <c r="IK144" s="169"/>
      <c r="IL144" s="169"/>
      <c r="IM144" s="169"/>
      <c r="IN144" s="169"/>
      <c r="IO144" s="169"/>
      <c r="IP144" s="169"/>
      <c r="IQ144" s="169"/>
      <c r="IR144" s="169"/>
      <c r="IS144" s="169"/>
      <c r="IT144" s="169"/>
      <c r="IU144" s="169"/>
      <c r="IV144" s="169"/>
    </row>
    <row r="145" spans="1:256" s="305" customFormat="1" ht="13.8" hidden="1">
      <c r="A145" s="297"/>
      <c r="B145" s="345"/>
      <c r="C145" s="306"/>
      <c r="D145" s="298"/>
      <c r="E145" s="298"/>
      <c r="F145" s="298"/>
      <c r="G145" s="298"/>
      <c r="H145" s="298"/>
      <c r="I145" s="298"/>
      <c r="J145" s="299"/>
      <c r="K145" s="300"/>
      <c r="L145" s="301"/>
      <c r="M145" s="302"/>
      <c r="N145" s="338"/>
      <c r="O145" s="337"/>
      <c r="P145" s="337"/>
      <c r="Q145" s="337"/>
      <c r="R145" s="337"/>
      <c r="S145" s="337"/>
      <c r="T145" s="337"/>
      <c r="U145" s="337"/>
      <c r="V145" s="337"/>
      <c r="W145" s="337"/>
      <c r="X145" s="337"/>
      <c r="Y145" s="337"/>
      <c r="Z145" s="337"/>
      <c r="AA145" s="337"/>
      <c r="AB145" s="337"/>
      <c r="AC145" s="337"/>
      <c r="AD145" s="337"/>
      <c r="AE145" s="337"/>
      <c r="AF145" s="337"/>
      <c r="AG145" s="337"/>
      <c r="AH145" s="337"/>
      <c r="AI145" s="337"/>
      <c r="AJ145" s="337"/>
      <c r="AK145" s="337"/>
      <c r="AL145" s="337"/>
      <c r="AM145" s="337"/>
      <c r="AN145" s="337"/>
      <c r="AO145" s="337"/>
      <c r="AP145" s="337"/>
      <c r="AQ145" s="337"/>
      <c r="AR145" s="337"/>
      <c r="AS145" s="337"/>
      <c r="AT145" s="337"/>
      <c r="AU145" s="337"/>
      <c r="AV145" s="337"/>
      <c r="AW145" s="337"/>
      <c r="AX145" s="337"/>
      <c r="AY145" s="337"/>
      <c r="AZ145" s="337"/>
      <c r="BA145" s="337"/>
      <c r="BB145" s="337"/>
      <c r="BC145" s="337"/>
      <c r="BD145" s="337"/>
      <c r="BE145" s="337"/>
      <c r="BF145" s="337"/>
      <c r="BG145" s="337"/>
      <c r="BH145" s="337"/>
      <c r="BI145" s="337"/>
      <c r="BJ145" s="337"/>
      <c r="BK145" s="337"/>
      <c r="BL145" s="337"/>
      <c r="BM145" s="337"/>
      <c r="BN145" s="337"/>
      <c r="BO145" s="337"/>
      <c r="BP145" s="337"/>
      <c r="BQ145" s="337"/>
      <c r="BR145" s="337"/>
      <c r="BS145" s="337"/>
      <c r="BT145" s="337"/>
      <c r="BU145" s="337"/>
      <c r="BV145" s="337"/>
      <c r="BW145" s="337"/>
      <c r="BX145" s="337"/>
      <c r="BY145" s="337"/>
      <c r="BZ145" s="337"/>
      <c r="CA145" s="337"/>
      <c r="CB145" s="337"/>
      <c r="CC145" s="337"/>
      <c r="CD145" s="337"/>
      <c r="CE145" s="337"/>
      <c r="CF145" s="337"/>
      <c r="CG145" s="337"/>
      <c r="CH145" s="337"/>
      <c r="CI145" s="337"/>
      <c r="CJ145" s="337"/>
      <c r="CK145" s="337"/>
      <c r="CL145" s="337"/>
      <c r="CM145" s="337"/>
      <c r="CN145" s="337"/>
      <c r="CO145" s="337"/>
      <c r="CP145" s="337"/>
      <c r="CQ145" s="337"/>
      <c r="CR145" s="337"/>
      <c r="CS145" s="337"/>
      <c r="CT145" s="337"/>
      <c r="CU145" s="337"/>
      <c r="CV145" s="337"/>
      <c r="CW145" s="337"/>
      <c r="CX145" s="337"/>
      <c r="CY145" s="337"/>
      <c r="CZ145" s="337"/>
      <c r="DA145" s="337"/>
      <c r="DB145" s="337"/>
      <c r="DC145" s="337"/>
      <c r="DD145" s="337"/>
      <c r="DE145" s="337"/>
      <c r="DF145" s="337"/>
      <c r="DG145" s="337"/>
      <c r="DH145" s="337"/>
      <c r="DI145" s="337"/>
      <c r="DJ145" s="337"/>
      <c r="DK145" s="337"/>
      <c r="DL145" s="337"/>
      <c r="DM145" s="337"/>
      <c r="DN145" s="337"/>
      <c r="DO145" s="337"/>
      <c r="DP145" s="337"/>
      <c r="DQ145" s="337"/>
      <c r="DR145" s="337"/>
      <c r="DS145" s="337"/>
      <c r="DT145" s="337"/>
      <c r="DU145" s="337"/>
      <c r="DV145" s="337"/>
      <c r="DW145" s="337"/>
      <c r="DX145" s="337"/>
      <c r="DY145" s="337"/>
      <c r="DZ145" s="337"/>
      <c r="EA145" s="337"/>
      <c r="EB145" s="337"/>
      <c r="EC145" s="337"/>
      <c r="ED145" s="337"/>
      <c r="EE145" s="337"/>
      <c r="EF145" s="337"/>
      <c r="EG145" s="337"/>
      <c r="EH145" s="337"/>
      <c r="EI145" s="337"/>
      <c r="EJ145" s="337"/>
      <c r="EK145" s="337"/>
      <c r="EL145" s="337"/>
      <c r="EM145" s="337"/>
      <c r="EN145" s="337"/>
      <c r="EO145" s="337"/>
      <c r="EP145" s="337"/>
      <c r="EQ145" s="337"/>
      <c r="ER145" s="337"/>
      <c r="ES145" s="337"/>
      <c r="ET145" s="337"/>
      <c r="EU145" s="337"/>
      <c r="EV145" s="337"/>
      <c r="EW145" s="337"/>
      <c r="EX145" s="337"/>
      <c r="EY145" s="337"/>
      <c r="EZ145" s="337"/>
      <c r="FA145" s="337"/>
      <c r="FB145" s="337"/>
      <c r="FC145" s="337"/>
      <c r="FD145" s="337"/>
      <c r="FE145" s="337"/>
      <c r="FF145" s="337"/>
      <c r="FG145" s="339"/>
      <c r="FH145" s="339"/>
      <c r="FI145" s="339"/>
      <c r="FJ145" s="337"/>
      <c r="FK145" s="339"/>
      <c r="FL145" s="337"/>
      <c r="FM145" s="337"/>
      <c r="FN145" s="337"/>
      <c r="FO145" s="337"/>
      <c r="FP145" s="337"/>
      <c r="FQ145" s="337"/>
      <c r="FR145" s="337"/>
      <c r="FS145" s="337"/>
      <c r="FT145" s="337"/>
      <c r="FU145" s="339"/>
      <c r="FV145" s="339"/>
      <c r="FW145" s="337"/>
      <c r="FX145" s="337"/>
      <c r="FY145" s="337"/>
      <c r="FZ145" s="337"/>
      <c r="GA145" s="337"/>
      <c r="GB145" s="337"/>
      <c r="GC145" s="337"/>
      <c r="GD145" s="337"/>
      <c r="GE145" s="337"/>
      <c r="GF145" s="337"/>
      <c r="GG145" s="337"/>
      <c r="GH145" s="337"/>
      <c r="GI145" s="337"/>
      <c r="GJ145" s="337"/>
      <c r="GK145" s="337"/>
      <c r="GL145" s="337"/>
      <c r="GM145" s="337"/>
      <c r="GN145" s="337"/>
      <c r="GO145" s="337"/>
      <c r="GP145" s="337"/>
      <c r="GQ145" s="337"/>
      <c r="GR145" s="337"/>
      <c r="GS145" s="337"/>
      <c r="GT145" s="337"/>
      <c r="GU145" s="160" t="s">
        <v>3886</v>
      </c>
      <c r="GV145" s="169"/>
      <c r="GW145" s="169"/>
      <c r="GX145" s="169"/>
      <c r="GY145" s="169"/>
      <c r="GZ145" s="169"/>
      <c r="HA145" s="169"/>
      <c r="HB145" s="169"/>
      <c r="HC145" s="169"/>
      <c r="HD145" s="169"/>
      <c r="HE145" s="169"/>
      <c r="HF145" s="169"/>
      <c r="HG145" s="169"/>
      <c r="HH145" s="169"/>
      <c r="HI145" s="169"/>
      <c r="HJ145" s="169"/>
      <c r="HK145" s="169"/>
      <c r="HL145" s="169"/>
      <c r="HM145" s="169"/>
      <c r="HN145" s="169"/>
      <c r="HO145" s="169"/>
      <c r="HP145" s="169"/>
      <c r="HQ145" s="169"/>
      <c r="HR145" s="169"/>
      <c r="HS145" s="169"/>
      <c r="HT145" s="169"/>
      <c r="HU145" s="169"/>
      <c r="HV145" s="169"/>
      <c r="HW145" s="169"/>
      <c r="HX145" s="169"/>
      <c r="HY145" s="169"/>
      <c r="HZ145" s="169"/>
      <c r="IA145" s="169"/>
      <c r="IB145" s="169"/>
      <c r="IC145" s="169"/>
      <c r="ID145" s="169"/>
      <c r="IE145" s="169"/>
      <c r="IF145" s="169"/>
      <c r="IG145" s="169"/>
      <c r="IH145" s="169"/>
      <c r="II145" s="169"/>
      <c r="IJ145" s="169"/>
      <c r="IK145" s="169"/>
      <c r="IL145" s="169"/>
      <c r="IM145" s="169"/>
      <c r="IN145" s="169"/>
      <c r="IO145" s="169"/>
      <c r="IP145" s="169"/>
      <c r="IQ145" s="169"/>
      <c r="IR145" s="169"/>
      <c r="IS145" s="169"/>
      <c r="IT145" s="169"/>
      <c r="IU145" s="169"/>
      <c r="IV145" s="169"/>
    </row>
    <row r="146" spans="1:256" s="305" customFormat="1" ht="13.8" hidden="1">
      <c r="A146" s="297"/>
      <c r="B146" s="345"/>
      <c r="C146" s="306"/>
      <c r="D146" s="298"/>
      <c r="E146" s="298"/>
      <c r="F146" s="298"/>
      <c r="G146" s="298"/>
      <c r="H146" s="298"/>
      <c r="I146" s="298"/>
      <c r="J146" s="299"/>
      <c r="K146" s="300"/>
      <c r="L146" s="301"/>
      <c r="M146" s="302"/>
      <c r="N146" s="338"/>
      <c r="O146" s="307"/>
      <c r="P146" s="307"/>
      <c r="Q146" s="307"/>
      <c r="R146" s="307"/>
      <c r="S146" s="337"/>
      <c r="T146" s="307"/>
      <c r="U146" s="307"/>
      <c r="V146" s="307"/>
      <c r="W146" s="307"/>
      <c r="X146" s="337"/>
      <c r="Y146" s="337"/>
      <c r="Z146" s="307"/>
      <c r="AA146" s="307"/>
      <c r="AB146" s="307"/>
      <c r="AC146" s="307"/>
      <c r="AD146" s="307"/>
      <c r="AE146" s="307"/>
      <c r="AF146" s="307"/>
      <c r="AG146" s="307"/>
      <c r="AH146" s="307"/>
      <c r="AI146" s="307"/>
      <c r="AJ146" s="307"/>
      <c r="AK146" s="307"/>
      <c r="AL146" s="307"/>
      <c r="AM146" s="307"/>
      <c r="AN146" s="307"/>
      <c r="AO146" s="307"/>
      <c r="AP146" s="307"/>
      <c r="AQ146" s="307"/>
      <c r="AR146" s="307"/>
      <c r="AS146" s="307"/>
      <c r="AT146" s="307"/>
      <c r="AU146" s="307"/>
      <c r="AV146" s="307"/>
      <c r="AW146" s="307"/>
      <c r="AX146" s="307"/>
      <c r="AY146" s="307"/>
      <c r="AZ146" s="307"/>
      <c r="BA146" s="307"/>
      <c r="BB146" s="307"/>
      <c r="BC146" s="307"/>
      <c r="BD146" s="307"/>
      <c r="BE146" s="307"/>
      <c r="BF146" s="307"/>
      <c r="BG146" s="307"/>
      <c r="BH146" s="307"/>
      <c r="BI146" s="307"/>
      <c r="BJ146" s="307"/>
      <c r="BK146" s="307"/>
      <c r="BL146" s="307"/>
      <c r="BM146" s="307"/>
      <c r="BN146" s="307"/>
      <c r="BO146" s="307"/>
      <c r="BP146" s="307"/>
      <c r="BQ146" s="307"/>
      <c r="BR146" s="307"/>
      <c r="BS146" s="307"/>
      <c r="BT146" s="307"/>
      <c r="BU146" s="307"/>
      <c r="BV146" s="307"/>
      <c r="BW146" s="307"/>
      <c r="BX146" s="307"/>
      <c r="BY146" s="307"/>
      <c r="BZ146" s="307"/>
      <c r="CA146" s="307"/>
      <c r="CB146" s="307"/>
      <c r="CC146" s="307"/>
      <c r="CD146" s="307"/>
      <c r="CE146" s="307"/>
      <c r="CF146" s="307"/>
      <c r="CG146" s="307"/>
      <c r="CH146" s="307"/>
      <c r="CI146" s="307"/>
      <c r="CJ146" s="307"/>
      <c r="CK146" s="307"/>
      <c r="CL146" s="307"/>
      <c r="CM146" s="307"/>
      <c r="CN146" s="307"/>
      <c r="CO146" s="307"/>
      <c r="CP146" s="307"/>
      <c r="CQ146" s="307"/>
      <c r="CR146" s="307"/>
      <c r="CS146" s="307"/>
      <c r="CT146" s="307"/>
      <c r="CU146" s="307"/>
      <c r="CV146" s="307"/>
      <c r="CW146" s="307"/>
      <c r="CX146" s="307"/>
      <c r="CY146" s="307"/>
      <c r="CZ146" s="307"/>
      <c r="DA146" s="307"/>
      <c r="DB146" s="307"/>
      <c r="DC146" s="307"/>
      <c r="DD146" s="307"/>
      <c r="DE146" s="307"/>
      <c r="DF146" s="307"/>
      <c r="DG146" s="307"/>
      <c r="DH146" s="307"/>
      <c r="DI146" s="307"/>
      <c r="DJ146" s="307"/>
      <c r="DK146" s="307"/>
      <c r="DL146" s="307"/>
      <c r="DM146" s="307"/>
      <c r="DN146" s="307"/>
      <c r="DO146" s="307"/>
      <c r="DP146" s="307"/>
      <c r="DQ146" s="307"/>
      <c r="DR146" s="307"/>
      <c r="DS146" s="307"/>
      <c r="DT146" s="307"/>
      <c r="DU146" s="307"/>
      <c r="DV146" s="307"/>
      <c r="DW146" s="307"/>
      <c r="DX146" s="307"/>
      <c r="DY146" s="307"/>
      <c r="DZ146" s="307"/>
      <c r="EA146" s="307"/>
      <c r="EB146" s="307"/>
      <c r="EC146" s="307"/>
      <c r="ED146" s="307"/>
      <c r="EE146" s="307"/>
      <c r="EF146" s="307"/>
      <c r="EG146" s="307"/>
      <c r="EH146" s="307"/>
      <c r="EI146" s="307"/>
      <c r="EJ146" s="307"/>
      <c r="EK146" s="307"/>
      <c r="EL146" s="307"/>
      <c r="EM146" s="307"/>
      <c r="EN146" s="307"/>
      <c r="EO146" s="307"/>
      <c r="EP146" s="307"/>
      <c r="EQ146" s="307"/>
      <c r="ER146" s="307"/>
      <c r="ES146" s="307"/>
      <c r="ET146" s="307"/>
      <c r="EU146" s="307"/>
      <c r="EV146" s="307"/>
      <c r="EW146" s="307"/>
      <c r="EX146" s="307"/>
      <c r="EY146" s="307"/>
      <c r="EZ146" s="307"/>
      <c r="FA146" s="307"/>
      <c r="FB146" s="307"/>
      <c r="FC146" s="307"/>
      <c r="FD146" s="307"/>
      <c r="FE146" s="307"/>
      <c r="FF146" s="307"/>
      <c r="FG146" s="339"/>
      <c r="FH146" s="339"/>
      <c r="FI146" s="339"/>
      <c r="FJ146" s="307"/>
      <c r="FK146" s="339"/>
      <c r="FL146" s="307"/>
      <c r="FM146" s="307"/>
      <c r="FN146" s="307"/>
      <c r="FO146" s="307"/>
      <c r="FP146" s="307"/>
      <c r="FQ146" s="307"/>
      <c r="FR146" s="307"/>
      <c r="FS146" s="307"/>
      <c r="FT146" s="307"/>
      <c r="FU146" s="339"/>
      <c r="FV146" s="339"/>
      <c r="FW146" s="307"/>
      <c r="FX146" s="307"/>
      <c r="FY146" s="307"/>
      <c r="FZ146" s="307"/>
      <c r="GA146" s="307"/>
      <c r="GB146" s="307"/>
      <c r="GC146" s="307"/>
      <c r="GD146" s="307"/>
      <c r="GE146" s="307"/>
      <c r="GF146" s="307"/>
      <c r="GG146" s="307"/>
      <c r="GH146" s="307"/>
      <c r="GI146" s="307"/>
      <c r="GJ146" s="307"/>
      <c r="GK146" s="307"/>
      <c r="GL146" s="307"/>
      <c r="GM146" s="307"/>
      <c r="GN146" s="307"/>
      <c r="GO146" s="307"/>
      <c r="GP146" s="307"/>
      <c r="GQ146" s="307"/>
      <c r="GR146" s="307"/>
      <c r="GS146" s="307"/>
      <c r="GT146" s="307"/>
      <c r="GU146" s="160" t="s">
        <v>3886</v>
      </c>
      <c r="GV146" s="169"/>
      <c r="GW146" s="169"/>
      <c r="GX146" s="169"/>
      <c r="GY146" s="169"/>
      <c r="GZ146" s="169"/>
      <c r="HA146" s="169"/>
      <c r="HB146" s="169"/>
      <c r="HC146" s="169"/>
      <c r="HD146" s="169"/>
      <c r="HE146" s="169"/>
      <c r="HF146" s="169"/>
      <c r="HG146" s="169"/>
      <c r="HH146" s="169"/>
      <c r="HI146" s="169"/>
      <c r="HJ146" s="169"/>
      <c r="HK146" s="169"/>
      <c r="HL146" s="169"/>
      <c r="HM146" s="169"/>
      <c r="HN146" s="169"/>
      <c r="HO146" s="169"/>
      <c r="HP146" s="169"/>
      <c r="HQ146" s="169"/>
      <c r="HR146" s="169"/>
      <c r="HS146" s="169"/>
      <c r="HT146" s="169"/>
      <c r="HU146" s="169"/>
      <c r="HV146" s="169"/>
      <c r="HW146" s="169"/>
      <c r="HX146" s="169"/>
      <c r="HY146" s="169"/>
      <c r="HZ146" s="169"/>
      <c r="IA146" s="169"/>
      <c r="IB146" s="169"/>
      <c r="IC146" s="169"/>
      <c r="ID146" s="169"/>
      <c r="IE146" s="169"/>
      <c r="IF146" s="169"/>
      <c r="IG146" s="169"/>
      <c r="IH146" s="169"/>
      <c r="II146" s="169"/>
      <c r="IJ146" s="169"/>
      <c r="IK146" s="169"/>
      <c r="IL146" s="169"/>
      <c r="IM146" s="169"/>
      <c r="IN146" s="169"/>
      <c r="IO146" s="169"/>
      <c r="IP146" s="169"/>
      <c r="IQ146" s="169"/>
      <c r="IR146" s="169"/>
      <c r="IS146" s="169"/>
      <c r="IT146" s="169"/>
      <c r="IU146" s="169"/>
      <c r="IV146" s="169"/>
    </row>
    <row r="147" spans="1:256" s="305" customFormat="1" ht="13.8" hidden="1">
      <c r="A147" s="297"/>
      <c r="B147" s="345"/>
      <c r="C147" s="306"/>
      <c r="D147" s="298"/>
      <c r="E147" s="298"/>
      <c r="F147" s="298"/>
      <c r="G147" s="298"/>
      <c r="H147" s="298"/>
      <c r="I147" s="298"/>
      <c r="J147" s="299"/>
      <c r="K147" s="300"/>
      <c r="L147" s="301"/>
      <c r="M147" s="322"/>
      <c r="N147" s="337"/>
      <c r="O147" s="337"/>
      <c r="P147" s="337"/>
      <c r="Q147" s="337"/>
      <c r="R147" s="337"/>
      <c r="S147" s="337"/>
      <c r="T147" s="337"/>
      <c r="U147" s="337"/>
      <c r="V147" s="337"/>
      <c r="W147" s="337"/>
      <c r="X147" s="337"/>
      <c r="Y147" s="337"/>
      <c r="Z147" s="337"/>
      <c r="AA147" s="337"/>
      <c r="AB147" s="337"/>
      <c r="AC147" s="337"/>
      <c r="AD147" s="337"/>
      <c r="AE147" s="337"/>
      <c r="AF147" s="337"/>
      <c r="AG147" s="337"/>
      <c r="AH147" s="337"/>
      <c r="AI147" s="337"/>
      <c r="AJ147" s="337"/>
      <c r="AK147" s="337"/>
      <c r="AL147" s="337"/>
      <c r="AM147" s="337"/>
      <c r="AN147" s="337"/>
      <c r="AO147" s="337"/>
      <c r="AP147" s="337"/>
      <c r="AQ147" s="337"/>
      <c r="AR147" s="337"/>
      <c r="AS147" s="337"/>
      <c r="AT147" s="337"/>
      <c r="AU147" s="337"/>
      <c r="AV147" s="337"/>
      <c r="AW147" s="337"/>
      <c r="AX147" s="337"/>
      <c r="AY147" s="337"/>
      <c r="AZ147" s="337"/>
      <c r="BA147" s="337"/>
      <c r="BB147" s="337"/>
      <c r="BC147" s="337"/>
      <c r="BD147" s="337"/>
      <c r="BE147" s="337"/>
      <c r="BF147" s="337"/>
      <c r="BG147" s="337"/>
      <c r="BH147" s="337"/>
      <c r="BI147" s="337"/>
      <c r="BJ147" s="337"/>
      <c r="BK147" s="337"/>
      <c r="BL147" s="337"/>
      <c r="BM147" s="337"/>
      <c r="BN147" s="337"/>
      <c r="BO147" s="337"/>
      <c r="BP147" s="337"/>
      <c r="BQ147" s="337"/>
      <c r="BR147" s="337"/>
      <c r="BS147" s="337"/>
      <c r="BT147" s="337"/>
      <c r="BU147" s="337"/>
      <c r="BV147" s="337"/>
      <c r="BW147" s="337"/>
      <c r="BX147" s="337"/>
      <c r="BY147" s="337"/>
      <c r="BZ147" s="337"/>
      <c r="CA147" s="337"/>
      <c r="CB147" s="337"/>
      <c r="CC147" s="337"/>
      <c r="CD147" s="337"/>
      <c r="CE147" s="337"/>
      <c r="CF147" s="337"/>
      <c r="CG147" s="337"/>
      <c r="CH147" s="337"/>
      <c r="CI147" s="337"/>
      <c r="CJ147" s="337"/>
      <c r="CK147" s="337"/>
      <c r="CL147" s="337"/>
      <c r="CM147" s="337"/>
      <c r="CN147" s="337"/>
      <c r="CO147" s="337"/>
      <c r="CP147" s="337"/>
      <c r="CQ147" s="337"/>
      <c r="CR147" s="337"/>
      <c r="CS147" s="337"/>
      <c r="CT147" s="337"/>
      <c r="CU147" s="337"/>
      <c r="CV147" s="337"/>
      <c r="CW147" s="337"/>
      <c r="CX147" s="337"/>
      <c r="CY147" s="337"/>
      <c r="CZ147" s="337"/>
      <c r="DA147" s="337"/>
      <c r="DB147" s="337"/>
      <c r="DC147" s="337"/>
      <c r="DD147" s="337"/>
      <c r="DE147" s="337"/>
      <c r="DF147" s="337"/>
      <c r="DG147" s="337"/>
      <c r="DH147" s="337"/>
      <c r="DI147" s="337"/>
      <c r="DJ147" s="337"/>
      <c r="DK147" s="337"/>
      <c r="DL147" s="337"/>
      <c r="DM147" s="337"/>
      <c r="DN147" s="337"/>
      <c r="DO147" s="337"/>
      <c r="DP147" s="337"/>
      <c r="DQ147" s="337"/>
      <c r="DR147" s="337"/>
      <c r="DS147" s="337"/>
      <c r="DT147" s="337"/>
      <c r="DU147" s="337"/>
      <c r="DV147" s="337"/>
      <c r="DW147" s="337"/>
      <c r="DX147" s="337"/>
      <c r="DY147" s="337"/>
      <c r="DZ147" s="337"/>
      <c r="EA147" s="337"/>
      <c r="EB147" s="337"/>
      <c r="EC147" s="337"/>
      <c r="ED147" s="337"/>
      <c r="EE147" s="337"/>
      <c r="EF147" s="337"/>
      <c r="EG147" s="337"/>
      <c r="EH147" s="337"/>
      <c r="EI147" s="337"/>
      <c r="EJ147" s="337"/>
      <c r="EK147" s="337"/>
      <c r="EL147" s="337"/>
      <c r="EM147" s="337"/>
      <c r="EN147" s="337"/>
      <c r="EO147" s="337"/>
      <c r="EP147" s="337"/>
      <c r="EQ147" s="337"/>
      <c r="ER147" s="337"/>
      <c r="ES147" s="337"/>
      <c r="ET147" s="337"/>
      <c r="EU147" s="337"/>
      <c r="EV147" s="337"/>
      <c r="EW147" s="337"/>
      <c r="EX147" s="337"/>
      <c r="EY147" s="337"/>
      <c r="EZ147" s="337"/>
      <c r="FA147" s="337"/>
      <c r="FB147" s="337"/>
      <c r="FC147" s="337"/>
      <c r="FD147" s="337"/>
      <c r="FE147" s="337"/>
      <c r="FF147" s="337"/>
      <c r="FG147" s="339"/>
      <c r="FH147" s="339"/>
      <c r="FI147" s="339"/>
      <c r="FJ147" s="337"/>
      <c r="FK147" s="339"/>
      <c r="FL147" s="337"/>
      <c r="FM147" s="337"/>
      <c r="FN147" s="337"/>
      <c r="FO147" s="337"/>
      <c r="FP147" s="337"/>
      <c r="FQ147" s="337"/>
      <c r="FR147" s="337"/>
      <c r="FS147" s="337"/>
      <c r="FT147" s="337"/>
      <c r="FU147" s="339"/>
      <c r="FV147" s="339"/>
      <c r="FW147" s="337"/>
      <c r="FX147" s="337"/>
      <c r="FY147" s="337"/>
      <c r="FZ147" s="337"/>
      <c r="GA147" s="337"/>
      <c r="GB147" s="337"/>
      <c r="GC147" s="337"/>
      <c r="GD147" s="337"/>
      <c r="GE147" s="337"/>
      <c r="GF147" s="337"/>
      <c r="GG147" s="337"/>
      <c r="GH147" s="337"/>
      <c r="GI147" s="337"/>
      <c r="GJ147" s="337"/>
      <c r="GK147" s="337"/>
      <c r="GL147" s="337"/>
      <c r="GM147" s="337"/>
      <c r="GN147" s="337"/>
      <c r="GO147" s="337"/>
      <c r="GP147" s="337"/>
      <c r="GQ147" s="337"/>
      <c r="GR147" s="337"/>
      <c r="GS147" s="337"/>
      <c r="GT147" s="337"/>
      <c r="GU147" s="160" t="s">
        <v>3886</v>
      </c>
      <c r="GV147" s="169"/>
      <c r="GW147" s="169"/>
      <c r="GX147" s="169"/>
      <c r="GY147" s="169"/>
      <c r="GZ147" s="169"/>
      <c r="HA147" s="169"/>
      <c r="HB147" s="169"/>
      <c r="HC147" s="169"/>
      <c r="HD147" s="169"/>
      <c r="HE147" s="169"/>
      <c r="HF147" s="169"/>
      <c r="HG147" s="169"/>
      <c r="HH147" s="169"/>
      <c r="HI147" s="169"/>
      <c r="HJ147" s="169"/>
      <c r="HK147" s="169"/>
      <c r="HL147" s="169"/>
      <c r="HM147" s="169"/>
      <c r="HN147" s="169"/>
      <c r="HO147" s="169"/>
      <c r="HP147" s="169"/>
      <c r="HQ147" s="169"/>
      <c r="HR147" s="169"/>
      <c r="HS147" s="169"/>
      <c r="HT147" s="169"/>
      <c r="HU147" s="169"/>
      <c r="HV147" s="169"/>
      <c r="HW147" s="169"/>
      <c r="HX147" s="169"/>
      <c r="HY147" s="169"/>
      <c r="HZ147" s="169"/>
      <c r="IA147" s="169"/>
      <c r="IB147" s="169"/>
      <c r="IC147" s="169"/>
      <c r="ID147" s="169"/>
      <c r="IE147" s="169"/>
      <c r="IF147" s="169"/>
      <c r="IG147" s="169"/>
      <c r="IH147" s="169"/>
      <c r="II147" s="169"/>
      <c r="IJ147" s="169"/>
      <c r="IK147" s="169"/>
      <c r="IL147" s="169"/>
      <c r="IM147" s="169"/>
      <c r="IN147" s="169"/>
      <c r="IO147" s="169"/>
      <c r="IP147" s="169"/>
      <c r="IQ147" s="169"/>
      <c r="IR147" s="169"/>
      <c r="IS147" s="169"/>
      <c r="IT147" s="169"/>
      <c r="IU147" s="169"/>
      <c r="IV147" s="169"/>
    </row>
    <row r="148" spans="1:256" s="233" customFormat="1" ht="13.8" hidden="1">
      <c r="A148" s="162"/>
      <c r="B148" s="261">
        <f>SUM(B142:B147)</f>
        <v>0</v>
      </c>
      <c r="C148" s="326"/>
      <c r="D148" s="327"/>
      <c r="E148" s="327"/>
      <c r="F148" s="327">
        <f>F147</f>
        <v>0</v>
      </c>
      <c r="G148" s="327"/>
      <c r="H148" s="327"/>
      <c r="I148" s="327"/>
      <c r="J148" s="328"/>
      <c r="K148" s="329"/>
      <c r="L148" s="330"/>
      <c r="M148" s="331"/>
      <c r="N148" s="262">
        <f>SUM(N142:N147)</f>
        <v>0</v>
      </c>
      <c r="O148" s="262">
        <f t="shared" ref="O148:CA148" si="43">SUM(O142:O147)</f>
        <v>0</v>
      </c>
      <c r="P148" s="262">
        <f t="shared" si="43"/>
        <v>0</v>
      </c>
      <c r="Q148" s="262">
        <f t="shared" si="43"/>
        <v>0</v>
      </c>
      <c r="R148" s="262">
        <f t="shared" si="43"/>
        <v>0</v>
      </c>
      <c r="S148" s="262">
        <f t="shared" si="43"/>
        <v>0</v>
      </c>
      <c r="T148" s="262">
        <f t="shared" si="43"/>
        <v>0</v>
      </c>
      <c r="U148" s="262">
        <f t="shared" si="43"/>
        <v>0</v>
      </c>
      <c r="V148" s="262">
        <f t="shared" si="43"/>
        <v>0</v>
      </c>
      <c r="W148" s="262">
        <f t="shared" si="43"/>
        <v>0</v>
      </c>
      <c r="X148" s="262">
        <f t="shared" si="43"/>
        <v>0</v>
      </c>
      <c r="Y148" s="262"/>
      <c r="Z148" s="262">
        <f t="shared" si="43"/>
        <v>0</v>
      </c>
      <c r="AA148" s="262">
        <f t="shared" si="43"/>
        <v>0</v>
      </c>
      <c r="AB148" s="262">
        <f t="shared" si="43"/>
        <v>0</v>
      </c>
      <c r="AC148" s="262">
        <f t="shared" si="43"/>
        <v>0</v>
      </c>
      <c r="AD148" s="262">
        <f t="shared" si="43"/>
        <v>0</v>
      </c>
      <c r="AE148" s="262">
        <f t="shared" si="43"/>
        <v>0</v>
      </c>
      <c r="AF148" s="262">
        <f t="shared" si="43"/>
        <v>0</v>
      </c>
      <c r="AG148" s="262">
        <f t="shared" si="43"/>
        <v>0</v>
      </c>
      <c r="AH148" s="262">
        <f t="shared" si="43"/>
        <v>0</v>
      </c>
      <c r="AI148" s="262">
        <f t="shared" si="43"/>
        <v>0</v>
      </c>
      <c r="AJ148" s="262">
        <f t="shared" si="43"/>
        <v>0</v>
      </c>
      <c r="AK148" s="262">
        <f t="shared" si="43"/>
        <v>0</v>
      </c>
      <c r="AL148" s="262">
        <f t="shared" si="43"/>
        <v>0</v>
      </c>
      <c r="AM148" s="262">
        <f t="shared" si="43"/>
        <v>0</v>
      </c>
      <c r="AN148" s="262">
        <f t="shared" si="43"/>
        <v>0</v>
      </c>
      <c r="AO148" s="262">
        <f t="shared" si="43"/>
        <v>0</v>
      </c>
      <c r="AP148" s="262">
        <f t="shared" si="43"/>
        <v>0</v>
      </c>
      <c r="AQ148" s="262">
        <f t="shared" si="43"/>
        <v>0</v>
      </c>
      <c r="AR148" s="262">
        <f t="shared" si="43"/>
        <v>0</v>
      </c>
      <c r="AS148" s="262">
        <f t="shared" si="43"/>
        <v>0</v>
      </c>
      <c r="AT148" s="262">
        <f t="shared" si="43"/>
        <v>0</v>
      </c>
      <c r="AU148" s="262">
        <f t="shared" si="43"/>
        <v>0</v>
      </c>
      <c r="AV148" s="262">
        <f t="shared" si="43"/>
        <v>0</v>
      </c>
      <c r="AW148" s="262">
        <f t="shared" si="43"/>
        <v>0</v>
      </c>
      <c r="AX148" s="262">
        <f t="shared" si="43"/>
        <v>0</v>
      </c>
      <c r="AY148" s="262">
        <f t="shared" si="43"/>
        <v>0</v>
      </c>
      <c r="AZ148" s="262">
        <f t="shared" si="43"/>
        <v>0</v>
      </c>
      <c r="BA148" s="262">
        <f t="shared" si="43"/>
        <v>0</v>
      </c>
      <c r="BB148" s="262">
        <f t="shared" si="43"/>
        <v>0</v>
      </c>
      <c r="BC148" s="262">
        <f t="shared" si="43"/>
        <v>0</v>
      </c>
      <c r="BD148" s="262">
        <f t="shared" si="43"/>
        <v>0</v>
      </c>
      <c r="BE148" s="262">
        <f t="shared" si="43"/>
        <v>0</v>
      </c>
      <c r="BF148" s="262">
        <f t="shared" si="43"/>
        <v>0</v>
      </c>
      <c r="BG148" s="262">
        <f t="shared" si="43"/>
        <v>0</v>
      </c>
      <c r="BH148" s="262">
        <f t="shared" si="43"/>
        <v>0</v>
      </c>
      <c r="BI148" s="262">
        <f t="shared" si="43"/>
        <v>0</v>
      </c>
      <c r="BJ148" s="262">
        <f t="shared" si="43"/>
        <v>0</v>
      </c>
      <c r="BK148" s="262">
        <f t="shared" si="43"/>
        <v>0</v>
      </c>
      <c r="BL148" s="262">
        <f t="shared" si="43"/>
        <v>0</v>
      </c>
      <c r="BM148" s="262">
        <f t="shared" si="43"/>
        <v>0</v>
      </c>
      <c r="BN148" s="262">
        <f t="shared" si="43"/>
        <v>0</v>
      </c>
      <c r="BO148" s="262">
        <f t="shared" si="43"/>
        <v>0</v>
      </c>
      <c r="BP148" s="262">
        <f t="shared" si="43"/>
        <v>0</v>
      </c>
      <c r="BQ148" s="262">
        <f t="shared" si="43"/>
        <v>0</v>
      </c>
      <c r="BR148" s="262">
        <f t="shared" si="43"/>
        <v>0</v>
      </c>
      <c r="BS148" s="262">
        <f t="shared" si="43"/>
        <v>0</v>
      </c>
      <c r="BT148" s="262">
        <f t="shared" si="43"/>
        <v>0</v>
      </c>
      <c r="BU148" s="262">
        <f t="shared" si="43"/>
        <v>0</v>
      </c>
      <c r="BV148" s="262">
        <f t="shared" si="43"/>
        <v>0</v>
      </c>
      <c r="BW148" s="262">
        <f t="shared" si="43"/>
        <v>0</v>
      </c>
      <c r="BX148" s="262">
        <f t="shared" si="43"/>
        <v>0</v>
      </c>
      <c r="BY148" s="262">
        <f t="shared" si="43"/>
        <v>0</v>
      </c>
      <c r="BZ148" s="262">
        <f t="shared" si="43"/>
        <v>0</v>
      </c>
      <c r="CA148" s="262">
        <f t="shared" si="43"/>
        <v>0</v>
      </c>
      <c r="CB148" s="262">
        <f t="shared" ref="CB148:EO148" si="44">SUM(CB142:CB147)</f>
        <v>0</v>
      </c>
      <c r="CC148" s="262">
        <f t="shared" si="44"/>
        <v>0</v>
      </c>
      <c r="CD148" s="262">
        <f t="shared" si="44"/>
        <v>0</v>
      </c>
      <c r="CE148" s="262">
        <f t="shared" si="44"/>
        <v>0</v>
      </c>
      <c r="CF148" s="262">
        <f t="shared" si="44"/>
        <v>0</v>
      </c>
      <c r="CG148" s="262">
        <f t="shared" si="44"/>
        <v>0</v>
      </c>
      <c r="CH148" s="262">
        <f t="shared" si="44"/>
        <v>0</v>
      </c>
      <c r="CI148" s="262">
        <f t="shared" si="44"/>
        <v>0</v>
      </c>
      <c r="CJ148" s="262">
        <f t="shared" si="44"/>
        <v>0</v>
      </c>
      <c r="CK148" s="262">
        <f t="shared" si="44"/>
        <v>0</v>
      </c>
      <c r="CL148" s="262">
        <f t="shared" si="44"/>
        <v>0</v>
      </c>
      <c r="CM148" s="262">
        <f t="shared" si="44"/>
        <v>0</v>
      </c>
      <c r="CN148" s="262">
        <f t="shared" si="44"/>
        <v>0</v>
      </c>
      <c r="CO148" s="262">
        <f t="shared" si="44"/>
        <v>0</v>
      </c>
      <c r="CP148" s="262">
        <f t="shared" si="44"/>
        <v>0</v>
      </c>
      <c r="CQ148" s="262">
        <f t="shared" si="44"/>
        <v>0</v>
      </c>
      <c r="CR148" s="262">
        <f t="shared" si="44"/>
        <v>0</v>
      </c>
      <c r="CS148" s="262">
        <f t="shared" si="44"/>
        <v>0</v>
      </c>
      <c r="CT148" s="262">
        <f t="shared" si="44"/>
        <v>0</v>
      </c>
      <c r="CU148" s="262">
        <f t="shared" si="44"/>
        <v>0</v>
      </c>
      <c r="CV148" s="262">
        <f t="shared" si="44"/>
        <v>0</v>
      </c>
      <c r="CW148" s="262">
        <f t="shared" si="44"/>
        <v>0</v>
      </c>
      <c r="CX148" s="262">
        <f t="shared" si="44"/>
        <v>0</v>
      </c>
      <c r="CY148" s="262">
        <f t="shared" si="44"/>
        <v>0</v>
      </c>
      <c r="CZ148" s="262">
        <f t="shared" si="44"/>
        <v>0</v>
      </c>
      <c r="DA148" s="262">
        <f t="shared" si="44"/>
        <v>0</v>
      </c>
      <c r="DB148" s="262">
        <f t="shared" si="44"/>
        <v>0</v>
      </c>
      <c r="DC148" s="262">
        <f t="shared" si="44"/>
        <v>0</v>
      </c>
      <c r="DD148" s="262">
        <f t="shared" si="44"/>
        <v>0</v>
      </c>
      <c r="DE148" s="262">
        <f t="shared" si="44"/>
        <v>0</v>
      </c>
      <c r="DF148" s="262">
        <f t="shared" si="44"/>
        <v>0</v>
      </c>
      <c r="DG148" s="262">
        <f t="shared" si="44"/>
        <v>0</v>
      </c>
      <c r="DH148" s="262">
        <f t="shared" si="44"/>
        <v>0</v>
      </c>
      <c r="DI148" s="262">
        <f t="shared" si="44"/>
        <v>0</v>
      </c>
      <c r="DJ148" s="262">
        <f t="shared" si="44"/>
        <v>0</v>
      </c>
      <c r="DK148" s="262">
        <f t="shared" si="44"/>
        <v>0</v>
      </c>
      <c r="DL148" s="262">
        <f t="shared" si="44"/>
        <v>0</v>
      </c>
      <c r="DM148" s="262">
        <f t="shared" si="44"/>
        <v>0</v>
      </c>
      <c r="DN148" s="262">
        <f t="shared" si="44"/>
        <v>0</v>
      </c>
      <c r="DO148" s="262">
        <f t="shared" si="44"/>
        <v>0</v>
      </c>
      <c r="DP148" s="262">
        <f>SUM(DP142:DP147)</f>
        <v>0</v>
      </c>
      <c r="DQ148" s="262">
        <f>SUM(DQ142:DQ147)</f>
        <v>0</v>
      </c>
      <c r="DR148" s="262">
        <f t="shared" si="44"/>
        <v>0</v>
      </c>
      <c r="DS148" s="262">
        <f t="shared" si="44"/>
        <v>0</v>
      </c>
      <c r="DT148" s="262">
        <f t="shared" si="44"/>
        <v>0</v>
      </c>
      <c r="DU148" s="262">
        <f t="shared" si="44"/>
        <v>0</v>
      </c>
      <c r="DV148" s="262">
        <f t="shared" si="44"/>
        <v>0</v>
      </c>
      <c r="DW148" s="262">
        <f t="shared" si="44"/>
        <v>0</v>
      </c>
      <c r="DX148" s="262">
        <f t="shared" si="44"/>
        <v>0</v>
      </c>
      <c r="DY148" s="262">
        <f t="shared" si="44"/>
        <v>0</v>
      </c>
      <c r="DZ148" s="262">
        <f t="shared" si="44"/>
        <v>0</v>
      </c>
      <c r="EA148" s="262">
        <f t="shared" si="44"/>
        <v>0</v>
      </c>
      <c r="EB148" s="262">
        <f t="shared" si="44"/>
        <v>0</v>
      </c>
      <c r="EC148" s="262">
        <f t="shared" si="44"/>
        <v>0</v>
      </c>
      <c r="ED148" s="262">
        <f t="shared" si="44"/>
        <v>0</v>
      </c>
      <c r="EE148" s="262">
        <f t="shared" si="44"/>
        <v>0</v>
      </c>
      <c r="EF148" s="262">
        <f t="shared" si="44"/>
        <v>0</v>
      </c>
      <c r="EG148" s="262">
        <f t="shared" si="44"/>
        <v>0</v>
      </c>
      <c r="EH148" s="262">
        <f t="shared" si="44"/>
        <v>0</v>
      </c>
      <c r="EI148" s="262">
        <f t="shared" si="44"/>
        <v>0</v>
      </c>
      <c r="EJ148" s="262">
        <f t="shared" si="44"/>
        <v>0</v>
      </c>
      <c r="EK148" s="262">
        <f t="shared" si="44"/>
        <v>0</v>
      </c>
      <c r="EL148" s="262">
        <f t="shared" si="44"/>
        <v>0</v>
      </c>
      <c r="EM148" s="262">
        <f t="shared" si="44"/>
        <v>0</v>
      </c>
      <c r="EN148" s="262">
        <f t="shared" si="44"/>
        <v>0</v>
      </c>
      <c r="EO148" s="262">
        <f t="shared" si="44"/>
        <v>0</v>
      </c>
      <c r="EP148" s="262">
        <f t="shared" ref="EP148:GQ148" si="45">SUM(EP142:EP147)</f>
        <v>0</v>
      </c>
      <c r="EQ148" s="262">
        <f t="shared" si="45"/>
        <v>0</v>
      </c>
      <c r="ER148" s="262">
        <f t="shared" si="45"/>
        <v>0</v>
      </c>
      <c r="ES148" s="262">
        <f t="shared" si="45"/>
        <v>0</v>
      </c>
      <c r="ET148" s="262">
        <f t="shared" si="45"/>
        <v>0</v>
      </c>
      <c r="EU148" s="262">
        <f t="shared" si="45"/>
        <v>0</v>
      </c>
      <c r="EV148" s="262">
        <f t="shared" si="45"/>
        <v>0</v>
      </c>
      <c r="EW148" s="262">
        <f t="shared" si="45"/>
        <v>0</v>
      </c>
      <c r="EX148" s="262">
        <f t="shared" ref="EX148:FC148" si="46">SUM(EX142:EX147)</f>
        <v>0</v>
      </c>
      <c r="EY148" s="262">
        <f t="shared" si="46"/>
        <v>0</v>
      </c>
      <c r="EZ148" s="262">
        <f t="shared" si="46"/>
        <v>0</v>
      </c>
      <c r="FA148" s="262">
        <f t="shared" si="46"/>
        <v>0</v>
      </c>
      <c r="FB148" s="262">
        <f t="shared" si="46"/>
        <v>0</v>
      </c>
      <c r="FC148" s="262">
        <f t="shared" si="46"/>
        <v>0</v>
      </c>
      <c r="FD148" s="262">
        <f t="shared" si="45"/>
        <v>0</v>
      </c>
      <c r="FE148" s="262">
        <f t="shared" si="45"/>
        <v>0</v>
      </c>
      <c r="FF148" s="262">
        <f t="shared" si="45"/>
        <v>0</v>
      </c>
      <c r="FG148" s="262">
        <f t="shared" si="45"/>
        <v>0</v>
      </c>
      <c r="FH148" s="262">
        <f t="shared" si="45"/>
        <v>0</v>
      </c>
      <c r="FI148" s="262">
        <f t="shared" si="45"/>
        <v>0</v>
      </c>
      <c r="FJ148" s="262">
        <f t="shared" si="45"/>
        <v>0</v>
      </c>
      <c r="FK148" s="262">
        <f t="shared" si="45"/>
        <v>0</v>
      </c>
      <c r="FL148" s="262">
        <f t="shared" ref="FL148:FT148" si="47">SUM(FL142:FL147)</f>
        <v>0</v>
      </c>
      <c r="FM148" s="262">
        <f t="shared" si="47"/>
        <v>0</v>
      </c>
      <c r="FN148" s="262">
        <f t="shared" si="47"/>
        <v>0</v>
      </c>
      <c r="FO148" s="262">
        <f t="shared" si="47"/>
        <v>0</v>
      </c>
      <c r="FP148" s="262">
        <f t="shared" si="47"/>
        <v>0</v>
      </c>
      <c r="FQ148" s="262">
        <f t="shared" si="47"/>
        <v>0</v>
      </c>
      <c r="FR148" s="262">
        <f t="shared" si="47"/>
        <v>0</v>
      </c>
      <c r="FS148" s="262">
        <f t="shared" si="47"/>
        <v>0</v>
      </c>
      <c r="FT148" s="262">
        <f t="shared" si="47"/>
        <v>0</v>
      </c>
      <c r="FU148" s="262">
        <f t="shared" si="45"/>
        <v>0</v>
      </c>
      <c r="FV148" s="262">
        <f t="shared" si="45"/>
        <v>0</v>
      </c>
      <c r="FW148" s="262">
        <f t="shared" si="45"/>
        <v>0</v>
      </c>
      <c r="FX148" s="262">
        <f t="shared" si="45"/>
        <v>0</v>
      </c>
      <c r="FY148" s="262">
        <f t="shared" si="45"/>
        <v>0</v>
      </c>
      <c r="FZ148" s="262">
        <f t="shared" si="45"/>
        <v>0</v>
      </c>
      <c r="GA148" s="262">
        <f t="shared" si="45"/>
        <v>0</v>
      </c>
      <c r="GB148" s="262">
        <f t="shared" si="45"/>
        <v>0</v>
      </c>
      <c r="GC148" s="262">
        <f t="shared" si="45"/>
        <v>0</v>
      </c>
      <c r="GD148" s="262">
        <f t="shared" si="45"/>
        <v>0</v>
      </c>
      <c r="GE148" s="262">
        <f t="shared" si="45"/>
        <v>0</v>
      </c>
      <c r="GF148" s="262">
        <f t="shared" si="45"/>
        <v>0</v>
      </c>
      <c r="GG148" s="262">
        <f t="shared" si="45"/>
        <v>0</v>
      </c>
      <c r="GH148" s="262">
        <f t="shared" si="45"/>
        <v>0</v>
      </c>
      <c r="GI148" s="262">
        <f t="shared" si="45"/>
        <v>0</v>
      </c>
      <c r="GJ148" s="262">
        <f t="shared" si="45"/>
        <v>0</v>
      </c>
      <c r="GK148" s="262">
        <f t="shared" si="45"/>
        <v>0</v>
      </c>
      <c r="GL148" s="262">
        <f t="shared" si="45"/>
        <v>0</v>
      </c>
      <c r="GM148" s="262">
        <f t="shared" si="45"/>
        <v>0</v>
      </c>
      <c r="GN148" s="262">
        <f t="shared" si="45"/>
        <v>0</v>
      </c>
      <c r="GO148" s="262">
        <f t="shared" si="45"/>
        <v>0</v>
      </c>
      <c r="GP148" s="262">
        <f t="shared" si="45"/>
        <v>0</v>
      </c>
      <c r="GQ148" s="262">
        <f t="shared" si="45"/>
        <v>0</v>
      </c>
      <c r="GR148" s="341"/>
      <c r="GS148" s="341"/>
      <c r="GT148" s="341"/>
      <c r="GU148" s="332"/>
      <c r="GV148" s="169"/>
      <c r="GW148" s="169"/>
      <c r="GX148" s="169"/>
      <c r="GY148" s="169"/>
      <c r="GZ148" s="169"/>
      <c r="HA148" s="169"/>
      <c r="HB148" s="169"/>
      <c r="HC148" s="169"/>
      <c r="HD148" s="169"/>
      <c r="HE148" s="169"/>
      <c r="HF148" s="169"/>
      <c r="HG148" s="169"/>
      <c r="HH148" s="169"/>
      <c r="HI148" s="169"/>
      <c r="HJ148" s="169"/>
      <c r="HK148" s="169"/>
      <c r="HL148" s="169"/>
      <c r="HM148" s="169"/>
      <c r="HN148" s="169"/>
      <c r="HO148" s="169"/>
      <c r="HP148" s="169"/>
      <c r="HQ148" s="169"/>
      <c r="HR148" s="169"/>
      <c r="HS148" s="169"/>
      <c r="HT148" s="169"/>
      <c r="HU148" s="169"/>
      <c r="HV148" s="169"/>
      <c r="HW148" s="169"/>
      <c r="HX148" s="169"/>
      <c r="HY148" s="169"/>
      <c r="HZ148" s="169"/>
      <c r="IA148" s="169"/>
      <c r="IB148" s="169"/>
      <c r="IC148" s="169"/>
      <c r="ID148" s="169"/>
      <c r="IE148" s="169"/>
      <c r="IF148" s="169"/>
      <c r="IG148" s="169"/>
      <c r="IH148" s="169"/>
      <c r="II148" s="169"/>
      <c r="IJ148" s="169"/>
      <c r="IK148" s="169"/>
      <c r="IL148" s="169"/>
      <c r="IM148" s="169"/>
      <c r="IN148" s="169"/>
      <c r="IO148" s="169"/>
      <c r="IP148" s="169"/>
      <c r="IQ148" s="169"/>
      <c r="IR148" s="169"/>
      <c r="IS148" s="169"/>
      <c r="IT148" s="169"/>
      <c r="IU148" s="169"/>
      <c r="IV148" s="169"/>
    </row>
    <row r="149" spans="1:256" ht="13.8" hidden="1">
      <c r="A149" s="154"/>
      <c r="B149" s="184"/>
      <c r="C149" s="184"/>
      <c r="D149" s="184"/>
      <c r="E149" s="184"/>
      <c r="F149" s="184"/>
      <c r="G149" s="184"/>
      <c r="H149" s="184"/>
      <c r="I149" s="184"/>
      <c r="J149" s="184"/>
      <c r="K149" s="184"/>
      <c r="L149" s="184"/>
      <c r="M149" s="184"/>
      <c r="N149" s="184"/>
      <c r="O149" s="184"/>
      <c r="P149" s="184"/>
      <c r="Q149" s="184"/>
      <c r="R149" s="184"/>
      <c r="S149" s="184"/>
      <c r="T149" s="184"/>
      <c r="U149" s="184"/>
      <c r="V149" s="184"/>
      <c r="W149" s="184"/>
      <c r="X149" s="184"/>
      <c r="Y149" s="184"/>
      <c r="Z149" s="184"/>
      <c r="AA149" s="184"/>
      <c r="AB149" s="184"/>
      <c r="AC149" s="184"/>
      <c r="AD149" s="184"/>
      <c r="AE149" s="184"/>
      <c r="AF149" s="184"/>
      <c r="AG149" s="184"/>
      <c r="AH149" s="184"/>
      <c r="AI149" s="184"/>
      <c r="AJ149" s="184"/>
      <c r="AK149" s="184"/>
      <c r="AL149" s="184"/>
      <c r="AM149" s="184"/>
      <c r="AN149" s="184"/>
      <c r="AO149" s="184"/>
      <c r="AP149" s="184"/>
      <c r="AQ149" s="184"/>
      <c r="AR149" s="184"/>
      <c r="AS149" s="184"/>
      <c r="AT149" s="184"/>
      <c r="AU149" s="184"/>
      <c r="AV149" s="184"/>
      <c r="AW149" s="184"/>
      <c r="AX149" s="184"/>
      <c r="AY149" s="184"/>
      <c r="AZ149" s="184"/>
      <c r="BA149" s="184"/>
      <c r="BB149" s="184"/>
      <c r="BC149" s="184"/>
      <c r="BD149" s="184"/>
      <c r="BE149" s="184"/>
      <c r="BF149" s="184"/>
      <c r="BG149" s="184"/>
      <c r="BH149" s="184"/>
      <c r="BI149" s="184"/>
      <c r="BJ149" s="184"/>
      <c r="BK149" s="184"/>
      <c r="BL149" s="184"/>
      <c r="BM149" s="184"/>
      <c r="BN149" s="184"/>
      <c r="BO149" s="184"/>
      <c r="BP149" s="184"/>
      <c r="BQ149" s="184"/>
      <c r="BR149" s="184"/>
      <c r="BS149" s="184"/>
      <c r="BT149" s="184"/>
      <c r="BU149" s="184"/>
      <c r="BV149" s="184"/>
      <c r="BW149" s="184"/>
      <c r="BX149" s="184"/>
      <c r="BY149" s="184"/>
      <c r="BZ149" s="184"/>
      <c r="CA149" s="184"/>
      <c r="CB149" s="184"/>
      <c r="CC149" s="184"/>
      <c r="CD149" s="184"/>
      <c r="CE149" s="184"/>
      <c r="CF149" s="184"/>
      <c r="CG149" s="184"/>
      <c r="CH149" s="184"/>
      <c r="CI149" s="184"/>
      <c r="CJ149" s="184"/>
      <c r="CK149" s="184"/>
      <c r="CL149" s="184"/>
      <c r="CM149" s="184"/>
      <c r="CN149" s="184"/>
      <c r="CO149" s="184"/>
      <c r="CP149" s="184"/>
      <c r="CQ149" s="184"/>
      <c r="CR149" s="184"/>
      <c r="CS149" s="184"/>
      <c r="CT149" s="184"/>
      <c r="CU149" s="184"/>
      <c r="CV149" s="184"/>
      <c r="CW149" s="184"/>
      <c r="CX149" s="184"/>
      <c r="CY149" s="184"/>
      <c r="CZ149" s="184"/>
      <c r="DA149" s="184"/>
      <c r="DB149" s="184"/>
      <c r="DC149" s="184"/>
      <c r="DD149" s="184"/>
      <c r="DE149" s="184"/>
      <c r="DF149" s="184"/>
      <c r="DG149" s="184"/>
      <c r="DH149" s="184"/>
      <c r="DI149" s="184"/>
      <c r="DJ149" s="184"/>
      <c r="DK149" s="184"/>
      <c r="DL149" s="184"/>
      <c r="DM149" s="184"/>
      <c r="DN149" s="184"/>
      <c r="DO149" s="184"/>
      <c r="DP149" s="184"/>
      <c r="DQ149" s="184"/>
      <c r="DR149" s="184"/>
      <c r="DS149" s="184"/>
      <c r="DT149" s="184"/>
      <c r="DU149" s="184"/>
      <c r="DV149" s="184"/>
      <c r="DW149" s="184"/>
      <c r="DX149" s="184"/>
      <c r="DY149" s="184"/>
      <c r="DZ149" s="184"/>
      <c r="EA149" s="184"/>
      <c r="EB149" s="184"/>
      <c r="EC149" s="184"/>
      <c r="ED149" s="184"/>
      <c r="EE149" s="184"/>
      <c r="EF149" s="184"/>
      <c r="EG149" s="184"/>
      <c r="EH149" s="184"/>
      <c r="EI149" s="184"/>
      <c r="EJ149" s="184"/>
      <c r="EK149" s="184"/>
      <c r="EL149" s="184"/>
      <c r="EM149" s="184"/>
      <c r="EN149" s="184"/>
      <c r="EO149" s="184"/>
      <c r="EP149" s="184"/>
      <c r="EQ149" s="184"/>
      <c r="ER149" s="184"/>
      <c r="ES149" s="184"/>
      <c r="ET149" s="184"/>
      <c r="EU149" s="184"/>
      <c r="EV149" s="184"/>
      <c r="EW149" s="184"/>
      <c r="EX149" s="184"/>
      <c r="EY149" s="184"/>
      <c r="EZ149" s="184"/>
      <c r="FA149" s="184"/>
      <c r="FB149" s="184"/>
      <c r="FC149" s="184"/>
      <c r="FD149" s="184"/>
      <c r="FE149" s="184"/>
      <c r="FF149" s="184"/>
      <c r="FG149" s="184"/>
      <c r="FH149" s="184"/>
      <c r="FI149" s="184"/>
      <c r="FJ149" s="184"/>
      <c r="FK149" s="184"/>
      <c r="FL149" s="184"/>
      <c r="FM149" s="184"/>
      <c r="FN149" s="184"/>
      <c r="FO149" s="184"/>
      <c r="FP149" s="184"/>
      <c r="FQ149" s="184"/>
      <c r="FR149" s="184"/>
      <c r="FS149" s="184"/>
      <c r="FT149" s="184"/>
      <c r="FU149" s="184"/>
      <c r="FV149" s="184"/>
      <c r="FW149" s="184"/>
      <c r="FX149" s="184"/>
      <c r="FY149" s="184"/>
      <c r="FZ149" s="184"/>
      <c r="GA149" s="184"/>
      <c r="GB149" s="184"/>
      <c r="GC149" s="184"/>
      <c r="GD149" s="184"/>
      <c r="GE149" s="184"/>
      <c r="GF149" s="184"/>
      <c r="GG149" s="184"/>
      <c r="GH149" s="184"/>
      <c r="GI149" s="184"/>
      <c r="GJ149" s="184"/>
      <c r="GK149" s="184"/>
      <c r="GL149" s="184"/>
      <c r="GM149" s="184"/>
      <c r="GN149" s="184"/>
      <c r="GO149" s="184"/>
      <c r="GP149" s="184"/>
      <c r="GQ149" s="184"/>
      <c r="GR149" s="184"/>
      <c r="GS149" s="184"/>
      <c r="GT149" s="184"/>
      <c r="GU149" s="185"/>
    </row>
    <row r="150" spans="1:256" s="247" customFormat="1" ht="13.8" hidden="1">
      <c r="A150" s="317"/>
      <c r="B150" s="255"/>
      <c r="C150" s="318"/>
      <c r="D150" s="239"/>
      <c r="E150" s="239"/>
      <c r="F150" s="239"/>
      <c r="G150" s="239"/>
      <c r="H150" s="239"/>
      <c r="I150" s="239"/>
      <c r="J150" s="240"/>
      <c r="K150" s="241"/>
      <c r="L150" s="242"/>
      <c r="M150" s="302"/>
      <c r="N150" s="320"/>
      <c r="O150" s="243"/>
      <c r="P150" s="243"/>
      <c r="Q150" s="243"/>
      <c r="R150" s="243"/>
      <c r="S150" s="32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320"/>
      <c r="FH150" s="320"/>
      <c r="FI150" s="320"/>
      <c r="FJ150" s="243"/>
      <c r="FK150" s="320"/>
      <c r="FL150" s="243"/>
      <c r="FM150" s="243"/>
      <c r="FN150" s="243"/>
      <c r="FO150" s="243"/>
      <c r="FP150" s="243"/>
      <c r="FQ150" s="243"/>
      <c r="FR150" s="243"/>
      <c r="FS150" s="243"/>
      <c r="FT150" s="243"/>
      <c r="FU150" s="243"/>
      <c r="FV150" s="320"/>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161"/>
      <c r="GV150" s="169"/>
      <c r="GW150" s="169"/>
      <c r="GX150" s="169"/>
      <c r="GY150" s="169"/>
      <c r="GZ150" s="169"/>
      <c r="HA150" s="169"/>
      <c r="HB150" s="169"/>
      <c r="HC150" s="169"/>
      <c r="HD150" s="169"/>
      <c r="HE150" s="169"/>
      <c r="HF150" s="169"/>
      <c r="HG150" s="169"/>
      <c r="HH150" s="169"/>
      <c r="HI150" s="169"/>
      <c r="HJ150" s="169"/>
      <c r="HK150" s="169"/>
      <c r="HL150" s="169"/>
      <c r="HM150" s="169"/>
      <c r="HN150" s="169"/>
      <c r="HO150" s="169"/>
      <c r="HP150" s="169"/>
      <c r="HQ150" s="169"/>
      <c r="HR150" s="169"/>
      <c r="HS150" s="169"/>
      <c r="HT150" s="169"/>
      <c r="HU150" s="169"/>
      <c r="HV150" s="169"/>
      <c r="HW150" s="169"/>
      <c r="HX150" s="169"/>
      <c r="HY150" s="169"/>
      <c r="HZ150" s="169"/>
      <c r="IA150" s="169"/>
      <c r="IB150" s="169"/>
      <c r="IC150" s="169"/>
      <c r="ID150" s="169"/>
      <c r="IE150" s="169"/>
      <c r="IF150" s="169"/>
      <c r="IG150" s="169"/>
      <c r="IH150" s="169"/>
      <c r="II150" s="169"/>
      <c r="IJ150" s="169"/>
      <c r="IK150" s="169"/>
      <c r="IL150" s="169"/>
      <c r="IM150" s="169"/>
      <c r="IN150" s="169"/>
      <c r="IO150" s="169"/>
      <c r="IP150" s="169"/>
      <c r="IQ150" s="169"/>
      <c r="IR150" s="169"/>
      <c r="IS150" s="169"/>
      <c r="IT150" s="169"/>
      <c r="IU150" s="169"/>
      <c r="IV150" s="169"/>
    </row>
    <row r="151" spans="1:256" s="247" customFormat="1" ht="13.8" hidden="1">
      <c r="A151" s="317"/>
      <c r="B151" s="255"/>
      <c r="C151" s="318"/>
      <c r="D151" s="239"/>
      <c r="E151" s="239"/>
      <c r="F151" s="239"/>
      <c r="G151" s="239"/>
      <c r="H151" s="239"/>
      <c r="I151" s="239"/>
      <c r="J151" s="240"/>
      <c r="K151" s="241"/>
      <c r="L151" s="242"/>
      <c r="M151" s="302"/>
      <c r="N151" s="320"/>
      <c r="O151" s="333"/>
      <c r="P151" s="333"/>
      <c r="Q151" s="333"/>
      <c r="R151" s="333"/>
      <c r="S151" s="320"/>
      <c r="T151" s="333"/>
      <c r="U151" s="333"/>
      <c r="V151" s="333"/>
      <c r="W151" s="333"/>
      <c r="X151" s="333"/>
      <c r="Y151" s="333"/>
      <c r="Z151" s="333"/>
      <c r="AA151" s="333"/>
      <c r="AB151" s="333"/>
      <c r="AC151" s="333"/>
      <c r="AD151" s="333"/>
      <c r="AE151" s="333"/>
      <c r="AF151" s="333"/>
      <c r="AG151" s="333"/>
      <c r="AH151" s="333"/>
      <c r="AI151" s="333"/>
      <c r="AJ151" s="333"/>
      <c r="AK151" s="333"/>
      <c r="AL151" s="333"/>
      <c r="AM151" s="333"/>
      <c r="AN151" s="333"/>
      <c r="AO151" s="333"/>
      <c r="AP151" s="333"/>
      <c r="AQ151" s="333"/>
      <c r="AR151" s="333"/>
      <c r="AS151" s="333"/>
      <c r="AT151" s="333"/>
      <c r="AU151" s="333"/>
      <c r="AV151" s="333"/>
      <c r="AW151" s="333"/>
      <c r="AX151" s="333"/>
      <c r="AY151" s="333"/>
      <c r="AZ151" s="333"/>
      <c r="BA151" s="333"/>
      <c r="BB151" s="333"/>
      <c r="BC151" s="333"/>
      <c r="BD151" s="333"/>
      <c r="BE151" s="333"/>
      <c r="BF151" s="333"/>
      <c r="BG151" s="333"/>
      <c r="BH151" s="333"/>
      <c r="BI151" s="333"/>
      <c r="BJ151" s="333"/>
      <c r="BK151" s="333"/>
      <c r="BL151" s="333"/>
      <c r="BM151" s="333"/>
      <c r="BN151" s="333"/>
      <c r="BO151" s="333"/>
      <c r="BP151" s="333"/>
      <c r="BQ151" s="333"/>
      <c r="BR151" s="333"/>
      <c r="BS151" s="333"/>
      <c r="BT151" s="333"/>
      <c r="BU151" s="333"/>
      <c r="BV151" s="333"/>
      <c r="BW151" s="333"/>
      <c r="BX151" s="333"/>
      <c r="BY151" s="333"/>
      <c r="BZ151" s="333"/>
      <c r="CA151" s="333"/>
      <c r="CB151" s="333"/>
      <c r="CC151" s="333"/>
      <c r="CD151" s="333"/>
      <c r="CE151" s="333"/>
      <c r="CF151" s="333"/>
      <c r="CG151" s="333"/>
      <c r="CH151" s="333"/>
      <c r="CI151" s="333"/>
      <c r="CJ151" s="333"/>
      <c r="CK151" s="333"/>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EP151" s="333"/>
      <c r="EQ151" s="333"/>
      <c r="ER151" s="333"/>
      <c r="ES151" s="333"/>
      <c r="ET151" s="333"/>
      <c r="EU151" s="333"/>
      <c r="EV151" s="333"/>
      <c r="EW151" s="333"/>
      <c r="EX151" s="333"/>
      <c r="EY151" s="333"/>
      <c r="EZ151" s="333"/>
      <c r="FA151" s="333"/>
      <c r="FB151" s="333"/>
      <c r="FC151" s="333"/>
      <c r="FD151" s="333"/>
      <c r="FE151" s="333"/>
      <c r="FF151" s="333"/>
      <c r="FG151" s="320"/>
      <c r="FH151" s="320"/>
      <c r="FI151" s="320"/>
      <c r="FJ151" s="333"/>
      <c r="FK151" s="320"/>
      <c r="FL151" s="333"/>
      <c r="FM151" s="333"/>
      <c r="FN151" s="333"/>
      <c r="FO151" s="333"/>
      <c r="FP151" s="333"/>
      <c r="FQ151" s="333"/>
      <c r="FR151" s="333"/>
      <c r="FS151" s="333"/>
      <c r="FT151" s="333"/>
      <c r="FU151" s="333"/>
      <c r="FV151" s="320"/>
      <c r="FW151" s="333"/>
      <c r="FX151" s="333"/>
      <c r="FY151" s="333"/>
      <c r="FZ151" s="333"/>
      <c r="GA151" s="333"/>
      <c r="GB151" s="333"/>
      <c r="GC151" s="333"/>
      <c r="GD151" s="333"/>
      <c r="GE151" s="333"/>
      <c r="GF151" s="333"/>
      <c r="GG151" s="333"/>
      <c r="GH151" s="333"/>
      <c r="GI151" s="333"/>
      <c r="GJ151" s="333"/>
      <c r="GK151" s="333"/>
      <c r="GL151" s="333"/>
      <c r="GM151" s="333"/>
      <c r="GN151" s="333"/>
      <c r="GO151" s="333"/>
      <c r="GP151" s="333"/>
      <c r="GQ151" s="333"/>
      <c r="GR151" s="333"/>
      <c r="GS151" s="333"/>
      <c r="GT151" s="333"/>
      <c r="GU151" s="161"/>
      <c r="GV151" s="169"/>
      <c r="GW151" s="169"/>
      <c r="GX151" s="169"/>
      <c r="GY151" s="169"/>
      <c r="GZ151" s="169"/>
      <c r="HA151" s="169"/>
      <c r="HB151" s="169"/>
      <c r="HC151" s="169"/>
      <c r="HD151" s="169"/>
      <c r="HE151" s="169"/>
      <c r="HF151" s="169"/>
      <c r="HG151" s="169"/>
      <c r="HH151" s="169"/>
      <c r="HI151" s="169"/>
      <c r="HJ151" s="169"/>
      <c r="HK151" s="169"/>
      <c r="HL151" s="169"/>
      <c r="HM151" s="169"/>
      <c r="HN151" s="169"/>
      <c r="HO151" s="169"/>
      <c r="HP151" s="169"/>
      <c r="HQ151" s="169"/>
      <c r="HR151" s="169"/>
      <c r="HS151" s="169"/>
      <c r="HT151" s="169"/>
      <c r="HU151" s="169"/>
      <c r="HV151" s="169"/>
      <c r="HW151" s="169"/>
      <c r="HX151" s="169"/>
      <c r="HY151" s="169"/>
      <c r="HZ151" s="169"/>
      <c r="IA151" s="169"/>
      <c r="IB151" s="169"/>
      <c r="IC151" s="169"/>
      <c r="ID151" s="169"/>
      <c r="IE151" s="169"/>
      <c r="IF151" s="169"/>
      <c r="IG151" s="169"/>
      <c r="IH151" s="169"/>
      <c r="II151" s="169"/>
      <c r="IJ151" s="169"/>
      <c r="IK151" s="169"/>
      <c r="IL151" s="169"/>
      <c r="IM151" s="169"/>
      <c r="IN151" s="169"/>
      <c r="IO151" s="169"/>
      <c r="IP151" s="169"/>
      <c r="IQ151" s="169"/>
      <c r="IR151" s="169"/>
      <c r="IS151" s="169"/>
      <c r="IT151" s="169"/>
      <c r="IU151" s="169"/>
      <c r="IV151" s="169"/>
    </row>
    <row r="152" spans="1:256" s="247" customFormat="1" ht="13.8" hidden="1">
      <c r="A152" s="317"/>
      <c r="B152" s="255"/>
      <c r="C152" s="318"/>
      <c r="D152" s="239"/>
      <c r="E152" s="239"/>
      <c r="F152" s="239"/>
      <c r="G152" s="239"/>
      <c r="H152" s="239"/>
      <c r="I152" s="239"/>
      <c r="J152" s="240"/>
      <c r="K152" s="241"/>
      <c r="L152" s="242"/>
      <c r="M152" s="302"/>
      <c r="N152" s="320"/>
      <c r="O152" s="243"/>
      <c r="P152" s="243"/>
      <c r="Q152" s="243"/>
      <c r="R152" s="243"/>
      <c r="S152" s="320"/>
      <c r="T152" s="243"/>
      <c r="U152" s="243"/>
      <c r="V152" s="243"/>
      <c r="W152" s="243"/>
      <c r="X152" s="333"/>
      <c r="Y152" s="33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333"/>
      <c r="EQ152" s="243"/>
      <c r="ER152" s="243"/>
      <c r="ES152" s="243"/>
      <c r="ET152" s="243"/>
      <c r="EU152" s="243"/>
      <c r="EV152" s="243"/>
      <c r="EW152" s="243"/>
      <c r="EX152" s="243"/>
      <c r="EY152" s="243"/>
      <c r="EZ152" s="243"/>
      <c r="FA152" s="243"/>
      <c r="FB152" s="243"/>
      <c r="FC152" s="243"/>
      <c r="FD152" s="243"/>
      <c r="FE152" s="243"/>
      <c r="FF152" s="243"/>
      <c r="FG152" s="320"/>
      <c r="FH152" s="320"/>
      <c r="FI152" s="320"/>
      <c r="FJ152" s="243"/>
      <c r="FK152" s="320"/>
      <c r="FL152" s="243"/>
      <c r="FM152" s="243"/>
      <c r="FN152" s="243"/>
      <c r="FO152" s="243"/>
      <c r="FP152" s="243"/>
      <c r="FQ152" s="243"/>
      <c r="FR152" s="243"/>
      <c r="FS152" s="243"/>
      <c r="FT152" s="243"/>
      <c r="FU152" s="243"/>
      <c r="FV152" s="320"/>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161"/>
      <c r="GV152" s="169"/>
      <c r="GW152" s="169"/>
      <c r="GX152" s="169"/>
      <c r="GY152" s="169"/>
      <c r="GZ152" s="169"/>
      <c r="HA152" s="169"/>
      <c r="HB152" s="169"/>
      <c r="HC152" s="169"/>
      <c r="HD152" s="169"/>
      <c r="HE152" s="169"/>
      <c r="HF152" s="169"/>
      <c r="HG152" s="169"/>
      <c r="HH152" s="169"/>
      <c r="HI152" s="169"/>
      <c r="HJ152" s="169"/>
      <c r="HK152" s="169"/>
      <c r="HL152" s="169"/>
      <c r="HM152" s="169"/>
      <c r="HN152" s="169"/>
      <c r="HO152" s="169"/>
      <c r="HP152" s="169"/>
      <c r="HQ152" s="169"/>
      <c r="HR152" s="169"/>
      <c r="HS152" s="169"/>
      <c r="HT152" s="169"/>
      <c r="HU152" s="169"/>
      <c r="HV152" s="169"/>
      <c r="HW152" s="169"/>
      <c r="HX152" s="169"/>
      <c r="HY152" s="169"/>
      <c r="HZ152" s="169"/>
      <c r="IA152" s="169"/>
      <c r="IB152" s="169"/>
      <c r="IC152" s="169"/>
      <c r="ID152" s="169"/>
      <c r="IE152" s="169"/>
      <c r="IF152" s="169"/>
      <c r="IG152" s="169"/>
      <c r="IH152" s="169"/>
      <c r="II152" s="169"/>
      <c r="IJ152" s="169"/>
      <c r="IK152" s="169"/>
      <c r="IL152" s="169"/>
      <c r="IM152" s="169"/>
      <c r="IN152" s="169"/>
      <c r="IO152" s="169"/>
      <c r="IP152" s="169"/>
      <c r="IQ152" s="169"/>
      <c r="IR152" s="169"/>
      <c r="IS152" s="169"/>
      <c r="IT152" s="169"/>
      <c r="IU152" s="169"/>
      <c r="IV152" s="169"/>
    </row>
    <row r="153" spans="1:256" s="247" customFormat="1" ht="13.8" hidden="1">
      <c r="A153" s="317"/>
      <c r="B153" s="255"/>
      <c r="C153" s="318"/>
      <c r="D153" s="239"/>
      <c r="E153" s="239"/>
      <c r="F153" s="239"/>
      <c r="G153" s="239"/>
      <c r="H153" s="239"/>
      <c r="I153" s="239"/>
      <c r="J153" s="240"/>
      <c r="K153" s="241"/>
      <c r="L153" s="242"/>
      <c r="M153" s="302"/>
      <c r="N153" s="320"/>
      <c r="O153" s="243"/>
      <c r="P153" s="243"/>
      <c r="Q153" s="243"/>
      <c r="R153" s="243"/>
      <c r="S153" s="320"/>
      <c r="T153" s="243"/>
      <c r="U153" s="243"/>
      <c r="V153" s="243"/>
      <c r="W153" s="243"/>
      <c r="X153" s="333"/>
      <c r="Y153" s="33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333"/>
      <c r="EQ153" s="243"/>
      <c r="ER153" s="243"/>
      <c r="ES153" s="243"/>
      <c r="ET153" s="243"/>
      <c r="EU153" s="243"/>
      <c r="EV153" s="243"/>
      <c r="EW153" s="243"/>
      <c r="EX153" s="243"/>
      <c r="EY153" s="243"/>
      <c r="EZ153" s="243"/>
      <c r="FA153" s="243"/>
      <c r="FB153" s="243"/>
      <c r="FC153" s="243"/>
      <c r="FD153" s="243"/>
      <c r="FE153" s="243"/>
      <c r="FF153" s="243"/>
      <c r="FG153" s="320"/>
      <c r="FH153" s="320"/>
      <c r="FI153" s="320"/>
      <c r="FJ153" s="243"/>
      <c r="FK153" s="320"/>
      <c r="FL153" s="243"/>
      <c r="FM153" s="243"/>
      <c r="FN153" s="243"/>
      <c r="FO153" s="243"/>
      <c r="FP153" s="243"/>
      <c r="FQ153" s="243"/>
      <c r="FR153" s="243"/>
      <c r="FS153" s="243"/>
      <c r="FT153" s="243"/>
      <c r="FU153" s="243"/>
      <c r="FV153" s="320"/>
      <c r="FW153" s="243"/>
      <c r="FX153" s="243"/>
      <c r="FY153" s="243"/>
      <c r="FZ153" s="243"/>
      <c r="GA153" s="320"/>
      <c r="GB153" s="320"/>
      <c r="GC153" s="243"/>
      <c r="GD153" s="243"/>
      <c r="GE153" s="243"/>
      <c r="GF153" s="243"/>
      <c r="GG153" s="243"/>
      <c r="GH153" s="243"/>
      <c r="GI153" s="243"/>
      <c r="GJ153" s="243"/>
      <c r="GK153" s="243"/>
      <c r="GL153" s="243"/>
      <c r="GM153" s="243"/>
      <c r="GN153" s="243"/>
      <c r="GO153" s="243"/>
      <c r="GP153" s="243"/>
      <c r="GQ153" s="243"/>
      <c r="GR153" s="243"/>
      <c r="GS153" s="243"/>
      <c r="GT153" s="243"/>
      <c r="GU153" s="161"/>
      <c r="GV153" s="169"/>
      <c r="GW153" s="169"/>
      <c r="GX153" s="169"/>
      <c r="GY153" s="169"/>
      <c r="GZ153" s="169"/>
      <c r="HA153" s="169"/>
      <c r="HB153" s="169"/>
      <c r="HC153" s="169"/>
      <c r="HD153" s="169"/>
      <c r="HE153" s="169"/>
      <c r="HF153" s="169"/>
      <c r="HG153" s="169"/>
      <c r="HH153" s="169"/>
      <c r="HI153" s="169"/>
      <c r="HJ153" s="169"/>
      <c r="HK153" s="169"/>
      <c r="HL153" s="169"/>
      <c r="HM153" s="169"/>
      <c r="HN153" s="169"/>
      <c r="HO153" s="169"/>
      <c r="HP153" s="169"/>
      <c r="HQ153" s="169"/>
      <c r="HR153" s="169"/>
      <c r="HS153" s="169"/>
      <c r="HT153" s="169"/>
      <c r="HU153" s="169"/>
      <c r="HV153" s="169"/>
      <c r="HW153" s="169"/>
      <c r="HX153" s="169"/>
      <c r="HY153" s="169"/>
      <c r="HZ153" s="169"/>
      <c r="IA153" s="169"/>
      <c r="IB153" s="169"/>
      <c r="IC153" s="169"/>
      <c r="ID153" s="169"/>
      <c r="IE153" s="169"/>
      <c r="IF153" s="169"/>
      <c r="IG153" s="169"/>
      <c r="IH153" s="169"/>
      <c r="II153" s="169"/>
      <c r="IJ153" s="169"/>
      <c r="IK153" s="169"/>
      <c r="IL153" s="169"/>
      <c r="IM153" s="169"/>
      <c r="IN153" s="169"/>
      <c r="IO153" s="169"/>
      <c r="IP153" s="169"/>
      <c r="IQ153" s="169"/>
      <c r="IR153" s="169"/>
      <c r="IS153" s="169"/>
      <c r="IT153" s="169"/>
      <c r="IU153" s="169"/>
      <c r="IV153" s="169"/>
    </row>
    <row r="154" spans="1:256" s="280" customFormat="1" ht="13.8" hidden="1">
      <c r="A154" s="163"/>
      <c r="B154" s="346">
        <f>SUM(B150:B153)</f>
        <v>0</v>
      </c>
      <c r="C154" s="347"/>
      <c r="D154" s="346"/>
      <c r="E154" s="346"/>
      <c r="F154" s="346"/>
      <c r="G154" s="346">
        <f>G153</f>
        <v>0</v>
      </c>
      <c r="H154" s="346"/>
      <c r="I154" s="346"/>
      <c r="J154" s="348"/>
      <c r="K154" s="349"/>
      <c r="L154" s="350"/>
      <c r="M154" s="351"/>
      <c r="N154" s="348">
        <f>SUM(N150:N153)</f>
        <v>0</v>
      </c>
      <c r="O154" s="348">
        <f t="shared" ref="O154:BZ154" si="48">SUM(O150:O153)</f>
        <v>0</v>
      </c>
      <c r="P154" s="348">
        <f t="shared" si="48"/>
        <v>0</v>
      </c>
      <c r="Q154" s="348">
        <f t="shared" si="48"/>
        <v>0</v>
      </c>
      <c r="R154" s="348">
        <f t="shared" si="48"/>
        <v>0</v>
      </c>
      <c r="S154" s="348">
        <f t="shared" si="48"/>
        <v>0</v>
      </c>
      <c r="T154" s="348">
        <f t="shared" si="48"/>
        <v>0</v>
      </c>
      <c r="U154" s="348">
        <f t="shared" si="48"/>
        <v>0</v>
      </c>
      <c r="V154" s="348">
        <f t="shared" si="48"/>
        <v>0</v>
      </c>
      <c r="W154" s="348">
        <f t="shared" si="48"/>
        <v>0</v>
      </c>
      <c r="X154" s="348">
        <f t="shared" si="48"/>
        <v>0</v>
      </c>
      <c r="Y154" s="348">
        <f t="shared" si="48"/>
        <v>0</v>
      </c>
      <c r="Z154" s="348">
        <f t="shared" si="48"/>
        <v>0</v>
      </c>
      <c r="AA154" s="348">
        <f t="shared" si="48"/>
        <v>0</v>
      </c>
      <c r="AB154" s="348">
        <f t="shared" si="48"/>
        <v>0</v>
      </c>
      <c r="AC154" s="348">
        <f t="shared" si="48"/>
        <v>0</v>
      </c>
      <c r="AD154" s="348">
        <f t="shared" si="48"/>
        <v>0</v>
      </c>
      <c r="AE154" s="348">
        <f t="shared" si="48"/>
        <v>0</v>
      </c>
      <c r="AF154" s="348">
        <f t="shared" si="48"/>
        <v>0</v>
      </c>
      <c r="AG154" s="348">
        <f t="shared" si="48"/>
        <v>0</v>
      </c>
      <c r="AH154" s="348">
        <f t="shared" si="48"/>
        <v>0</v>
      </c>
      <c r="AI154" s="348">
        <f t="shared" si="48"/>
        <v>0</v>
      </c>
      <c r="AJ154" s="348">
        <f t="shared" si="48"/>
        <v>0</v>
      </c>
      <c r="AK154" s="348">
        <f t="shared" si="48"/>
        <v>0</v>
      </c>
      <c r="AL154" s="348">
        <f t="shared" si="48"/>
        <v>0</v>
      </c>
      <c r="AM154" s="348">
        <f t="shared" si="48"/>
        <v>0</v>
      </c>
      <c r="AN154" s="348">
        <f t="shared" si="48"/>
        <v>0</v>
      </c>
      <c r="AO154" s="348">
        <f t="shared" si="48"/>
        <v>0</v>
      </c>
      <c r="AP154" s="348">
        <f t="shared" si="48"/>
        <v>0</v>
      </c>
      <c r="AQ154" s="348">
        <f t="shared" si="48"/>
        <v>0</v>
      </c>
      <c r="AR154" s="348">
        <f t="shared" si="48"/>
        <v>0</v>
      </c>
      <c r="AS154" s="348">
        <f t="shared" si="48"/>
        <v>0</v>
      </c>
      <c r="AT154" s="348">
        <f t="shared" si="48"/>
        <v>0</v>
      </c>
      <c r="AU154" s="348">
        <f t="shared" si="48"/>
        <v>0</v>
      </c>
      <c r="AV154" s="348">
        <f t="shared" si="48"/>
        <v>0</v>
      </c>
      <c r="AW154" s="348">
        <f t="shared" si="48"/>
        <v>0</v>
      </c>
      <c r="AX154" s="348">
        <f t="shared" si="48"/>
        <v>0</v>
      </c>
      <c r="AY154" s="348">
        <f t="shared" si="48"/>
        <v>0</v>
      </c>
      <c r="AZ154" s="348">
        <f t="shared" si="48"/>
        <v>0</v>
      </c>
      <c r="BA154" s="348">
        <f t="shared" si="48"/>
        <v>0</v>
      </c>
      <c r="BB154" s="348">
        <f t="shared" si="48"/>
        <v>0</v>
      </c>
      <c r="BC154" s="348">
        <f t="shared" si="48"/>
        <v>0</v>
      </c>
      <c r="BD154" s="348">
        <f t="shared" si="48"/>
        <v>0</v>
      </c>
      <c r="BE154" s="348">
        <f t="shared" si="48"/>
        <v>0</v>
      </c>
      <c r="BF154" s="348">
        <f t="shared" si="48"/>
        <v>0</v>
      </c>
      <c r="BG154" s="348">
        <f t="shared" si="48"/>
        <v>0</v>
      </c>
      <c r="BH154" s="348">
        <f t="shared" si="48"/>
        <v>0</v>
      </c>
      <c r="BI154" s="348">
        <f t="shared" si="48"/>
        <v>0</v>
      </c>
      <c r="BJ154" s="348">
        <f t="shared" si="48"/>
        <v>0</v>
      </c>
      <c r="BK154" s="348">
        <f t="shared" si="48"/>
        <v>0</v>
      </c>
      <c r="BL154" s="348">
        <f t="shared" si="48"/>
        <v>0</v>
      </c>
      <c r="BM154" s="348">
        <f t="shared" si="48"/>
        <v>0</v>
      </c>
      <c r="BN154" s="348">
        <f t="shared" si="48"/>
        <v>0</v>
      </c>
      <c r="BO154" s="348">
        <f t="shared" si="48"/>
        <v>0</v>
      </c>
      <c r="BP154" s="348">
        <f t="shared" si="48"/>
        <v>0</v>
      </c>
      <c r="BQ154" s="348">
        <f t="shared" si="48"/>
        <v>0</v>
      </c>
      <c r="BR154" s="348">
        <f t="shared" si="48"/>
        <v>0</v>
      </c>
      <c r="BS154" s="348">
        <f t="shared" si="48"/>
        <v>0</v>
      </c>
      <c r="BT154" s="348">
        <f t="shared" si="48"/>
        <v>0</v>
      </c>
      <c r="BU154" s="348">
        <f t="shared" si="48"/>
        <v>0</v>
      </c>
      <c r="BV154" s="348">
        <f t="shared" si="48"/>
        <v>0</v>
      </c>
      <c r="BW154" s="348">
        <f t="shared" si="48"/>
        <v>0</v>
      </c>
      <c r="BX154" s="348">
        <f t="shared" si="48"/>
        <v>0</v>
      </c>
      <c r="BY154" s="348">
        <f t="shared" si="48"/>
        <v>0</v>
      </c>
      <c r="BZ154" s="348">
        <f t="shared" si="48"/>
        <v>0</v>
      </c>
      <c r="CA154" s="348">
        <f t="shared" ref="CA154:EP154" si="49">SUM(CA150:CA153)</f>
        <v>0</v>
      </c>
      <c r="CB154" s="348">
        <f t="shared" si="49"/>
        <v>0</v>
      </c>
      <c r="CC154" s="348">
        <f t="shared" si="49"/>
        <v>0</v>
      </c>
      <c r="CD154" s="348">
        <f t="shared" si="49"/>
        <v>0</v>
      </c>
      <c r="CE154" s="348">
        <f t="shared" si="49"/>
        <v>0</v>
      </c>
      <c r="CF154" s="348">
        <f t="shared" si="49"/>
        <v>0</v>
      </c>
      <c r="CG154" s="348">
        <f t="shared" si="49"/>
        <v>0</v>
      </c>
      <c r="CH154" s="348">
        <f t="shared" si="49"/>
        <v>0</v>
      </c>
      <c r="CI154" s="348">
        <f t="shared" si="49"/>
        <v>0</v>
      </c>
      <c r="CJ154" s="348">
        <f t="shared" si="49"/>
        <v>0</v>
      </c>
      <c r="CK154" s="348">
        <f t="shared" si="49"/>
        <v>0</v>
      </c>
      <c r="CL154" s="348">
        <f t="shared" si="49"/>
        <v>0</v>
      </c>
      <c r="CM154" s="348">
        <f t="shared" si="49"/>
        <v>0</v>
      </c>
      <c r="CN154" s="348">
        <f t="shared" si="49"/>
        <v>0</v>
      </c>
      <c r="CO154" s="348">
        <f t="shared" si="49"/>
        <v>0</v>
      </c>
      <c r="CP154" s="348">
        <f t="shared" si="49"/>
        <v>0</v>
      </c>
      <c r="CQ154" s="348">
        <f t="shared" si="49"/>
        <v>0</v>
      </c>
      <c r="CR154" s="348">
        <f t="shared" si="49"/>
        <v>0</v>
      </c>
      <c r="CS154" s="348">
        <f t="shared" si="49"/>
        <v>0</v>
      </c>
      <c r="CT154" s="348">
        <f t="shared" si="49"/>
        <v>0</v>
      </c>
      <c r="CU154" s="348">
        <f t="shared" si="49"/>
        <v>0</v>
      </c>
      <c r="CV154" s="348">
        <f t="shared" si="49"/>
        <v>0</v>
      </c>
      <c r="CW154" s="348">
        <f t="shared" si="49"/>
        <v>0</v>
      </c>
      <c r="CX154" s="348">
        <f t="shared" si="49"/>
        <v>0</v>
      </c>
      <c r="CY154" s="348">
        <f t="shared" si="49"/>
        <v>0</v>
      </c>
      <c r="CZ154" s="348">
        <f t="shared" si="49"/>
        <v>0</v>
      </c>
      <c r="DA154" s="348">
        <f t="shared" si="49"/>
        <v>0</v>
      </c>
      <c r="DB154" s="348">
        <f t="shared" si="49"/>
        <v>0</v>
      </c>
      <c r="DC154" s="348">
        <f t="shared" si="49"/>
        <v>0</v>
      </c>
      <c r="DD154" s="348">
        <f t="shared" si="49"/>
        <v>0</v>
      </c>
      <c r="DE154" s="348">
        <f t="shared" si="49"/>
        <v>0</v>
      </c>
      <c r="DF154" s="348">
        <f t="shared" si="49"/>
        <v>0</v>
      </c>
      <c r="DG154" s="348">
        <f t="shared" si="49"/>
        <v>0</v>
      </c>
      <c r="DH154" s="348">
        <f t="shared" si="49"/>
        <v>0</v>
      </c>
      <c r="DI154" s="348">
        <f t="shared" si="49"/>
        <v>0</v>
      </c>
      <c r="DJ154" s="348">
        <f t="shared" si="49"/>
        <v>0</v>
      </c>
      <c r="DK154" s="348">
        <f t="shared" si="49"/>
        <v>0</v>
      </c>
      <c r="DL154" s="348">
        <f t="shared" si="49"/>
        <v>0</v>
      </c>
      <c r="DM154" s="348">
        <f t="shared" si="49"/>
        <v>0</v>
      </c>
      <c r="DN154" s="348">
        <f t="shared" si="49"/>
        <v>0</v>
      </c>
      <c r="DO154" s="348">
        <f t="shared" si="49"/>
        <v>0</v>
      </c>
      <c r="DP154" s="348">
        <f>SUM(DP150:DP153)</f>
        <v>0</v>
      </c>
      <c r="DQ154" s="348">
        <f>SUM(DQ150:DQ153)</f>
        <v>0</v>
      </c>
      <c r="DR154" s="348">
        <f t="shared" si="49"/>
        <v>0</v>
      </c>
      <c r="DS154" s="348">
        <f t="shared" si="49"/>
        <v>0</v>
      </c>
      <c r="DT154" s="348">
        <f t="shared" si="49"/>
        <v>0</v>
      </c>
      <c r="DU154" s="348">
        <f t="shared" si="49"/>
        <v>0</v>
      </c>
      <c r="DV154" s="348">
        <f t="shared" si="49"/>
        <v>0</v>
      </c>
      <c r="DW154" s="348">
        <f t="shared" si="49"/>
        <v>0</v>
      </c>
      <c r="DX154" s="348">
        <f t="shared" si="49"/>
        <v>0</v>
      </c>
      <c r="DY154" s="348">
        <f t="shared" si="49"/>
        <v>0</v>
      </c>
      <c r="DZ154" s="348">
        <f t="shared" si="49"/>
        <v>0</v>
      </c>
      <c r="EA154" s="348">
        <f t="shared" si="49"/>
        <v>0</v>
      </c>
      <c r="EB154" s="348">
        <f t="shared" si="49"/>
        <v>0</v>
      </c>
      <c r="EC154" s="348">
        <f t="shared" si="49"/>
        <v>0</v>
      </c>
      <c r="ED154" s="348">
        <f t="shared" si="49"/>
        <v>0</v>
      </c>
      <c r="EE154" s="348">
        <f t="shared" si="49"/>
        <v>0</v>
      </c>
      <c r="EF154" s="348">
        <f t="shared" si="49"/>
        <v>0</v>
      </c>
      <c r="EG154" s="348">
        <f t="shared" si="49"/>
        <v>0</v>
      </c>
      <c r="EH154" s="348">
        <f t="shared" si="49"/>
        <v>0</v>
      </c>
      <c r="EI154" s="348">
        <f t="shared" si="49"/>
        <v>0</v>
      </c>
      <c r="EJ154" s="348">
        <f t="shared" si="49"/>
        <v>0</v>
      </c>
      <c r="EK154" s="348">
        <f t="shared" si="49"/>
        <v>0</v>
      </c>
      <c r="EL154" s="348">
        <f t="shared" si="49"/>
        <v>0</v>
      </c>
      <c r="EM154" s="348">
        <f t="shared" si="49"/>
        <v>0</v>
      </c>
      <c r="EN154" s="348">
        <f t="shared" si="49"/>
        <v>0</v>
      </c>
      <c r="EO154" s="348">
        <f t="shared" si="49"/>
        <v>0</v>
      </c>
      <c r="EP154" s="348">
        <f t="shared" si="49"/>
        <v>0</v>
      </c>
      <c r="EQ154" s="348">
        <f t="shared" ref="EQ154:GO154" si="50">SUM(EQ150:EQ153)</f>
        <v>0</v>
      </c>
      <c r="ER154" s="348">
        <f t="shared" si="50"/>
        <v>0</v>
      </c>
      <c r="ES154" s="348">
        <f t="shared" si="50"/>
        <v>0</v>
      </c>
      <c r="ET154" s="348">
        <f t="shared" si="50"/>
        <v>0</v>
      </c>
      <c r="EU154" s="348">
        <f t="shared" si="50"/>
        <v>0</v>
      </c>
      <c r="EV154" s="348">
        <f t="shared" si="50"/>
        <v>0</v>
      </c>
      <c r="EW154" s="348">
        <f t="shared" si="50"/>
        <v>0</v>
      </c>
      <c r="EX154" s="348">
        <f t="shared" si="50"/>
        <v>0</v>
      </c>
      <c r="EY154" s="348">
        <f t="shared" si="50"/>
        <v>0</v>
      </c>
      <c r="EZ154" s="348">
        <f t="shared" si="50"/>
        <v>0</v>
      </c>
      <c r="FA154" s="348">
        <f t="shared" si="50"/>
        <v>0</v>
      </c>
      <c r="FB154" s="348">
        <f t="shared" si="50"/>
        <v>0</v>
      </c>
      <c r="FC154" s="348">
        <f t="shared" si="50"/>
        <v>0</v>
      </c>
      <c r="FD154" s="348">
        <f t="shared" si="50"/>
        <v>0</v>
      </c>
      <c r="FE154" s="348">
        <f t="shared" si="50"/>
        <v>0</v>
      </c>
      <c r="FF154" s="348">
        <f t="shared" si="50"/>
        <v>0</v>
      </c>
      <c r="FG154" s="348">
        <f t="shared" si="50"/>
        <v>0</v>
      </c>
      <c r="FH154" s="348">
        <f t="shared" si="50"/>
        <v>0</v>
      </c>
      <c r="FI154" s="348">
        <f t="shared" si="50"/>
        <v>0</v>
      </c>
      <c r="FJ154" s="348">
        <f t="shared" si="50"/>
        <v>0</v>
      </c>
      <c r="FK154" s="348">
        <f t="shared" si="50"/>
        <v>0</v>
      </c>
      <c r="FL154" s="348">
        <f t="shared" si="50"/>
        <v>0</v>
      </c>
      <c r="FM154" s="348">
        <f t="shared" si="50"/>
        <v>0</v>
      </c>
      <c r="FN154" s="348">
        <f t="shared" si="50"/>
        <v>0</v>
      </c>
      <c r="FO154" s="348">
        <f t="shared" si="50"/>
        <v>0</v>
      </c>
      <c r="FP154" s="348">
        <f t="shared" si="50"/>
        <v>0</v>
      </c>
      <c r="FQ154" s="348">
        <f t="shared" si="50"/>
        <v>0</v>
      </c>
      <c r="FR154" s="348">
        <f t="shared" si="50"/>
        <v>0</v>
      </c>
      <c r="FS154" s="348">
        <f t="shared" si="50"/>
        <v>0</v>
      </c>
      <c r="FT154" s="348">
        <f t="shared" si="50"/>
        <v>0</v>
      </c>
      <c r="FU154" s="348">
        <f t="shared" si="50"/>
        <v>0</v>
      </c>
      <c r="FV154" s="348">
        <f t="shared" si="50"/>
        <v>0</v>
      </c>
      <c r="FW154" s="348">
        <f t="shared" si="50"/>
        <v>0</v>
      </c>
      <c r="FX154" s="348">
        <f t="shared" si="50"/>
        <v>0</v>
      </c>
      <c r="FY154" s="348">
        <f t="shared" si="50"/>
        <v>0</v>
      </c>
      <c r="FZ154" s="348">
        <f t="shared" si="50"/>
        <v>0</v>
      </c>
      <c r="GA154" s="348">
        <f t="shared" si="50"/>
        <v>0</v>
      </c>
      <c r="GB154" s="348">
        <f t="shared" si="50"/>
        <v>0</v>
      </c>
      <c r="GC154" s="348">
        <f t="shared" si="50"/>
        <v>0</v>
      </c>
      <c r="GD154" s="348">
        <f t="shared" si="50"/>
        <v>0</v>
      </c>
      <c r="GE154" s="348">
        <f t="shared" si="50"/>
        <v>0</v>
      </c>
      <c r="GF154" s="348">
        <f t="shared" si="50"/>
        <v>0</v>
      </c>
      <c r="GG154" s="348">
        <f t="shared" si="50"/>
        <v>0</v>
      </c>
      <c r="GH154" s="348">
        <f t="shared" si="50"/>
        <v>0</v>
      </c>
      <c r="GI154" s="348">
        <f t="shared" si="50"/>
        <v>0</v>
      </c>
      <c r="GJ154" s="348">
        <f t="shared" si="50"/>
        <v>0</v>
      </c>
      <c r="GK154" s="348">
        <f t="shared" si="50"/>
        <v>0</v>
      </c>
      <c r="GL154" s="348">
        <f t="shared" si="50"/>
        <v>0</v>
      </c>
      <c r="GM154" s="348">
        <f t="shared" si="50"/>
        <v>0</v>
      </c>
      <c r="GN154" s="348">
        <f t="shared" si="50"/>
        <v>0</v>
      </c>
      <c r="GO154" s="348">
        <f t="shared" si="50"/>
        <v>0</v>
      </c>
      <c r="GP154" s="348">
        <f>SUM(GP141:GP153)</f>
        <v>0</v>
      </c>
      <c r="GQ154" s="348">
        <f>SUM(GQ141:GQ153)</f>
        <v>0</v>
      </c>
      <c r="GR154" s="352"/>
      <c r="GS154" s="352"/>
      <c r="GT154" s="352"/>
      <c r="GU154" s="164"/>
      <c r="GV154" s="169"/>
      <c r="GW154" s="169"/>
      <c r="GX154" s="169"/>
      <c r="GY154" s="169"/>
      <c r="GZ154" s="169"/>
      <c r="HA154" s="169"/>
      <c r="HB154" s="169"/>
      <c r="HC154" s="169"/>
      <c r="HD154" s="169"/>
      <c r="HE154" s="169"/>
      <c r="HF154" s="169"/>
      <c r="HG154" s="169"/>
      <c r="HH154" s="169"/>
      <c r="HI154" s="169"/>
      <c r="HJ154" s="169"/>
      <c r="HK154" s="169"/>
      <c r="HL154" s="169"/>
      <c r="HM154" s="169"/>
      <c r="HN154" s="169"/>
      <c r="HO154" s="169"/>
      <c r="HP154" s="169"/>
      <c r="HQ154" s="169"/>
      <c r="HR154" s="169"/>
      <c r="HS154" s="169"/>
      <c r="HT154" s="169"/>
      <c r="HU154" s="169"/>
      <c r="HV154" s="169"/>
      <c r="HW154" s="169"/>
      <c r="HX154" s="169"/>
      <c r="HY154" s="169"/>
      <c r="HZ154" s="169"/>
      <c r="IA154" s="169"/>
      <c r="IB154" s="169"/>
      <c r="IC154" s="169"/>
      <c r="ID154" s="169"/>
      <c r="IE154" s="169"/>
      <c r="IF154" s="169"/>
      <c r="IG154" s="169"/>
      <c r="IH154" s="169"/>
      <c r="II154" s="169"/>
      <c r="IJ154" s="169"/>
      <c r="IK154" s="169"/>
      <c r="IL154" s="169"/>
      <c r="IM154" s="169"/>
      <c r="IN154" s="169"/>
      <c r="IO154" s="169"/>
      <c r="IP154" s="169"/>
      <c r="IQ154" s="169"/>
      <c r="IR154" s="169"/>
      <c r="IS154" s="169"/>
      <c r="IT154" s="169"/>
      <c r="IU154" s="169"/>
      <c r="IV154" s="169"/>
    </row>
    <row r="155" spans="1:256" ht="13.8" hidden="1">
      <c r="A155" s="154"/>
      <c r="B155" s="184"/>
      <c r="C155" s="184"/>
      <c r="D155" s="184"/>
      <c r="E155" s="184"/>
      <c r="F155" s="184"/>
      <c r="G155" s="184"/>
      <c r="H155" s="184"/>
      <c r="I155" s="184"/>
      <c r="J155" s="184"/>
      <c r="K155" s="184"/>
      <c r="L155" s="184"/>
      <c r="M155" s="184"/>
      <c r="N155" s="184"/>
      <c r="O155" s="184"/>
      <c r="P155" s="184"/>
      <c r="Q155" s="184"/>
      <c r="R155" s="184"/>
      <c r="S155" s="184"/>
      <c r="T155" s="184"/>
      <c r="U155" s="184"/>
      <c r="V155" s="184"/>
      <c r="W155" s="184"/>
      <c r="X155" s="184"/>
      <c r="Y155" s="184"/>
      <c r="Z155" s="184"/>
      <c r="AA155" s="184"/>
      <c r="AB155" s="184"/>
      <c r="AC155" s="184"/>
      <c r="AD155" s="184"/>
      <c r="AE155" s="184"/>
      <c r="AF155" s="184"/>
      <c r="AG155" s="184"/>
      <c r="AH155" s="184"/>
      <c r="AI155" s="184"/>
      <c r="AJ155" s="184"/>
      <c r="AK155" s="184"/>
      <c r="AL155" s="184"/>
      <c r="AM155" s="184"/>
      <c r="AN155" s="184"/>
      <c r="AO155" s="184"/>
      <c r="AP155" s="184"/>
      <c r="AQ155" s="184"/>
      <c r="AR155" s="184"/>
      <c r="AS155" s="184"/>
      <c r="AT155" s="184"/>
      <c r="AU155" s="184"/>
      <c r="AV155" s="184"/>
      <c r="AW155" s="184"/>
      <c r="AX155" s="184"/>
      <c r="AY155" s="184"/>
      <c r="AZ155" s="184"/>
      <c r="BA155" s="184"/>
      <c r="BB155" s="184"/>
      <c r="BC155" s="184"/>
      <c r="BD155" s="184"/>
      <c r="BE155" s="184"/>
      <c r="BF155" s="184"/>
      <c r="BG155" s="184"/>
      <c r="BH155" s="184"/>
      <c r="BI155" s="184"/>
      <c r="BJ155" s="184"/>
      <c r="BK155" s="184"/>
      <c r="BL155" s="184"/>
      <c r="BM155" s="184"/>
      <c r="BN155" s="184"/>
      <c r="BO155" s="184"/>
      <c r="BP155" s="184"/>
      <c r="BQ155" s="184"/>
      <c r="BR155" s="184"/>
      <c r="BS155" s="184"/>
      <c r="BT155" s="184"/>
      <c r="BU155" s="184"/>
      <c r="BV155" s="184"/>
      <c r="BW155" s="184"/>
      <c r="BX155" s="184"/>
      <c r="BY155" s="184"/>
      <c r="BZ155" s="184"/>
      <c r="CA155" s="184"/>
      <c r="CB155" s="184"/>
      <c r="CC155" s="184"/>
      <c r="CD155" s="184"/>
      <c r="CE155" s="184"/>
      <c r="CF155" s="184"/>
      <c r="CG155" s="184"/>
      <c r="CH155" s="184"/>
      <c r="CI155" s="184"/>
      <c r="CJ155" s="184"/>
      <c r="CK155" s="184"/>
      <c r="CL155" s="184"/>
      <c r="CM155" s="184"/>
      <c r="CN155" s="184"/>
      <c r="CO155" s="184"/>
      <c r="CP155" s="184"/>
      <c r="CQ155" s="184"/>
      <c r="CR155" s="184"/>
      <c r="CS155" s="184"/>
      <c r="CT155" s="184"/>
      <c r="CU155" s="184"/>
      <c r="CV155" s="184"/>
      <c r="CW155" s="184"/>
      <c r="CX155" s="184"/>
      <c r="CY155" s="184"/>
      <c r="CZ155" s="184"/>
      <c r="DA155" s="184"/>
      <c r="DB155" s="184"/>
      <c r="DC155" s="184"/>
      <c r="DD155" s="184"/>
      <c r="DE155" s="184"/>
      <c r="DF155" s="184"/>
      <c r="DG155" s="184"/>
      <c r="DH155" s="184"/>
      <c r="DI155" s="184"/>
      <c r="DJ155" s="184"/>
      <c r="DK155" s="184"/>
      <c r="DL155" s="184"/>
      <c r="DM155" s="184"/>
      <c r="DN155" s="184"/>
      <c r="DO155" s="184"/>
      <c r="DP155" s="184"/>
      <c r="DQ155" s="184"/>
      <c r="DR155" s="184"/>
      <c r="DS155" s="184"/>
      <c r="DT155" s="184"/>
      <c r="DU155" s="184"/>
      <c r="DV155" s="184"/>
      <c r="DW155" s="184"/>
      <c r="DX155" s="184"/>
      <c r="DY155" s="184"/>
      <c r="DZ155" s="184"/>
      <c r="EA155" s="184"/>
      <c r="EB155" s="184"/>
      <c r="EC155" s="184"/>
      <c r="ED155" s="184"/>
      <c r="EE155" s="184"/>
      <c r="EF155" s="184"/>
      <c r="EG155" s="184"/>
      <c r="EH155" s="184"/>
      <c r="EI155" s="184"/>
      <c r="EJ155" s="184"/>
      <c r="EK155" s="184"/>
      <c r="EL155" s="184"/>
      <c r="EM155" s="184"/>
      <c r="EN155" s="184"/>
      <c r="EO155" s="184"/>
      <c r="EP155" s="184"/>
      <c r="EQ155" s="184"/>
      <c r="ER155" s="184"/>
      <c r="ES155" s="184"/>
      <c r="ET155" s="184"/>
      <c r="EU155" s="184"/>
      <c r="EV155" s="184"/>
      <c r="EW155" s="184"/>
      <c r="EX155" s="184"/>
      <c r="EY155" s="184"/>
      <c r="EZ155" s="184"/>
      <c r="FA155" s="184"/>
      <c r="FB155" s="184"/>
      <c r="FC155" s="184"/>
      <c r="FD155" s="184"/>
      <c r="FE155" s="184"/>
      <c r="FF155" s="184"/>
      <c r="FG155" s="184"/>
      <c r="FH155" s="184"/>
      <c r="FI155" s="184"/>
      <c r="FJ155" s="184"/>
      <c r="FK155" s="184"/>
      <c r="FL155" s="184"/>
      <c r="FM155" s="184"/>
      <c r="FN155" s="184"/>
      <c r="FO155" s="184"/>
      <c r="FP155" s="184"/>
      <c r="FQ155" s="184"/>
      <c r="FR155" s="184"/>
      <c r="FS155" s="184"/>
      <c r="FT155" s="184"/>
      <c r="FU155" s="184"/>
      <c r="FV155" s="184"/>
      <c r="FW155" s="184"/>
      <c r="FX155" s="184"/>
      <c r="FY155" s="184"/>
      <c r="FZ155" s="184"/>
      <c r="GA155" s="184"/>
      <c r="GB155" s="184"/>
      <c r="GC155" s="184"/>
      <c r="GD155" s="184"/>
      <c r="GE155" s="184"/>
      <c r="GF155" s="184"/>
      <c r="GG155" s="184"/>
      <c r="GH155" s="184"/>
      <c r="GI155" s="184"/>
      <c r="GJ155" s="184"/>
      <c r="GK155" s="184"/>
      <c r="GL155" s="184"/>
      <c r="GM155" s="184"/>
      <c r="GN155" s="184"/>
      <c r="GO155" s="184"/>
      <c r="GP155" s="184"/>
      <c r="GQ155" s="184"/>
      <c r="GR155" s="184"/>
      <c r="GS155" s="184"/>
      <c r="GT155" s="184"/>
      <c r="GU155" s="185"/>
    </row>
    <row r="156" spans="1:256" s="247" customFormat="1" ht="13.8" hidden="1">
      <c r="A156" s="317"/>
      <c r="B156" s="255"/>
      <c r="C156" s="318"/>
      <c r="D156" s="239"/>
      <c r="E156" s="239"/>
      <c r="F156" s="239"/>
      <c r="G156" s="239"/>
      <c r="H156" s="239"/>
      <c r="I156" s="239"/>
      <c r="J156" s="240"/>
      <c r="K156" s="241"/>
      <c r="L156" s="242"/>
      <c r="M156" s="302"/>
      <c r="N156" s="320"/>
      <c r="O156" s="243"/>
      <c r="P156" s="243"/>
      <c r="Q156" s="243"/>
      <c r="R156" s="243"/>
      <c r="S156" s="320"/>
      <c r="T156" s="243"/>
      <c r="U156" s="243"/>
      <c r="V156" s="243"/>
      <c r="W156" s="243"/>
      <c r="X156" s="333"/>
      <c r="Y156" s="33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333"/>
      <c r="EQ156" s="243"/>
      <c r="ER156" s="243"/>
      <c r="ES156" s="243"/>
      <c r="ET156" s="243"/>
      <c r="EU156" s="243"/>
      <c r="EV156" s="243"/>
      <c r="EW156" s="243"/>
      <c r="EX156" s="243"/>
      <c r="EY156" s="243"/>
      <c r="EZ156" s="243"/>
      <c r="FA156" s="243"/>
      <c r="FB156" s="243"/>
      <c r="FC156" s="243"/>
      <c r="FD156" s="243"/>
      <c r="FE156" s="243"/>
      <c r="FF156" s="243"/>
      <c r="FG156" s="320"/>
      <c r="FH156" s="320"/>
      <c r="FI156" s="320"/>
      <c r="FJ156" s="243"/>
      <c r="FK156" s="320"/>
      <c r="FL156" s="243"/>
      <c r="FM156" s="243"/>
      <c r="FN156" s="243"/>
      <c r="FO156" s="243"/>
      <c r="FP156" s="243"/>
      <c r="FQ156" s="243"/>
      <c r="FR156" s="243"/>
      <c r="FS156" s="243"/>
      <c r="FT156" s="243"/>
      <c r="FU156" s="243"/>
      <c r="FV156" s="320"/>
      <c r="FW156" s="243"/>
      <c r="FX156" s="243"/>
      <c r="FY156" s="243"/>
      <c r="FZ156" s="243"/>
      <c r="GA156" s="320"/>
      <c r="GB156" s="320"/>
      <c r="GC156" s="243"/>
      <c r="GD156" s="243"/>
      <c r="GE156" s="243"/>
      <c r="GF156" s="243"/>
      <c r="GG156" s="243"/>
      <c r="GH156" s="243"/>
      <c r="GI156" s="243"/>
      <c r="GJ156" s="243"/>
      <c r="GK156" s="243"/>
      <c r="GL156" s="243"/>
      <c r="GM156" s="243"/>
      <c r="GN156" s="243"/>
      <c r="GO156" s="243"/>
      <c r="GP156" s="243"/>
      <c r="GQ156" s="243"/>
      <c r="GR156" s="243"/>
      <c r="GS156" s="243"/>
      <c r="GT156" s="243"/>
      <c r="GU156" s="161"/>
      <c r="GV156" s="169"/>
      <c r="GW156" s="169"/>
      <c r="GX156" s="169"/>
      <c r="GY156" s="169"/>
      <c r="GZ156" s="169"/>
      <c r="HA156" s="169"/>
      <c r="HB156" s="169"/>
      <c r="HC156" s="169"/>
      <c r="HD156" s="169"/>
      <c r="HE156" s="169"/>
      <c r="HF156" s="169"/>
      <c r="HG156" s="169"/>
      <c r="HH156" s="169"/>
      <c r="HI156" s="169"/>
      <c r="HJ156" s="169"/>
      <c r="HK156" s="169"/>
      <c r="HL156" s="169"/>
      <c r="HM156" s="169"/>
      <c r="HN156" s="169"/>
      <c r="HO156" s="169"/>
      <c r="HP156" s="169"/>
      <c r="HQ156" s="169"/>
      <c r="HR156" s="169"/>
      <c r="HS156" s="169"/>
      <c r="HT156" s="169"/>
      <c r="HU156" s="169"/>
      <c r="HV156" s="169"/>
      <c r="HW156" s="169"/>
      <c r="HX156" s="169"/>
      <c r="HY156" s="169"/>
      <c r="HZ156" s="169"/>
      <c r="IA156" s="169"/>
      <c r="IB156" s="169"/>
      <c r="IC156" s="169"/>
      <c r="ID156" s="169"/>
      <c r="IE156" s="169"/>
      <c r="IF156" s="169"/>
      <c r="IG156" s="169"/>
      <c r="IH156" s="169"/>
      <c r="II156" s="169"/>
      <c r="IJ156" s="169"/>
      <c r="IK156" s="169"/>
      <c r="IL156" s="169"/>
      <c r="IM156" s="169"/>
      <c r="IN156" s="169"/>
      <c r="IO156" s="169"/>
      <c r="IP156" s="169"/>
      <c r="IQ156" s="169"/>
      <c r="IR156" s="169"/>
      <c r="IS156" s="169"/>
      <c r="IT156" s="169"/>
      <c r="IU156" s="169"/>
      <c r="IV156" s="169"/>
    </row>
    <row r="157" spans="1:256" s="247" customFormat="1" ht="13.8" hidden="1">
      <c r="A157" s="317"/>
      <c r="B157" s="255"/>
      <c r="C157" s="318"/>
      <c r="D157" s="239"/>
      <c r="E157" s="239"/>
      <c r="F157" s="239"/>
      <c r="G157" s="239"/>
      <c r="H157" s="239"/>
      <c r="I157" s="239"/>
      <c r="J157" s="240"/>
      <c r="K157" s="241"/>
      <c r="L157" s="242"/>
      <c r="M157" s="302"/>
      <c r="N157" s="320"/>
      <c r="O157" s="333"/>
      <c r="P157" s="333"/>
      <c r="Q157" s="333"/>
      <c r="R157" s="333"/>
      <c r="S157" s="320"/>
      <c r="T157" s="333"/>
      <c r="U157" s="333"/>
      <c r="V157" s="333"/>
      <c r="W157" s="333"/>
      <c r="X157" s="333"/>
      <c r="Y157" s="333"/>
      <c r="Z157" s="333"/>
      <c r="AA157" s="333"/>
      <c r="AB157" s="333"/>
      <c r="AC157" s="333"/>
      <c r="AD157" s="333"/>
      <c r="AE157" s="333"/>
      <c r="AF157" s="333"/>
      <c r="AG157" s="333"/>
      <c r="AH157" s="333"/>
      <c r="AI157" s="333"/>
      <c r="AJ157" s="333"/>
      <c r="AK157" s="333"/>
      <c r="AL157" s="333"/>
      <c r="AM157" s="333"/>
      <c r="AN157" s="333"/>
      <c r="AO157" s="333"/>
      <c r="AP157" s="333"/>
      <c r="AQ157" s="333"/>
      <c r="AR157" s="333"/>
      <c r="AS157" s="333"/>
      <c r="AT157" s="333"/>
      <c r="AU157" s="333"/>
      <c r="AV157" s="333"/>
      <c r="AW157" s="333"/>
      <c r="AX157" s="333"/>
      <c r="AY157" s="333"/>
      <c r="AZ157" s="333"/>
      <c r="BA157" s="333"/>
      <c r="BB157" s="333"/>
      <c r="BC157" s="333"/>
      <c r="BD157" s="333"/>
      <c r="BE157" s="333"/>
      <c r="BF157" s="333"/>
      <c r="BG157" s="333"/>
      <c r="BH157" s="333"/>
      <c r="BI157" s="333"/>
      <c r="BJ157" s="333"/>
      <c r="BK157" s="333"/>
      <c r="BL157" s="333"/>
      <c r="BM157" s="333"/>
      <c r="BN157" s="333"/>
      <c r="BO157" s="333"/>
      <c r="BP157" s="333"/>
      <c r="BQ157" s="333"/>
      <c r="BR157" s="333"/>
      <c r="BS157" s="333"/>
      <c r="BT157" s="333"/>
      <c r="BU157" s="333"/>
      <c r="BV157" s="333"/>
      <c r="BW157" s="333"/>
      <c r="BX157" s="333"/>
      <c r="BY157" s="333"/>
      <c r="BZ157" s="333"/>
      <c r="CA157" s="333"/>
      <c r="CB157" s="333"/>
      <c r="CC157" s="333"/>
      <c r="CD157" s="333"/>
      <c r="CE157" s="333"/>
      <c r="CF157" s="333"/>
      <c r="CG157" s="333"/>
      <c r="CH157" s="333"/>
      <c r="CI157" s="333"/>
      <c r="CJ157" s="333"/>
      <c r="CK157" s="333"/>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243"/>
      <c r="EP157" s="333"/>
      <c r="EQ157" s="333"/>
      <c r="ER157" s="333"/>
      <c r="ES157" s="333"/>
      <c r="ET157" s="333"/>
      <c r="EU157" s="333"/>
      <c r="EV157" s="333"/>
      <c r="EW157" s="333"/>
      <c r="EX157" s="333"/>
      <c r="EY157" s="333"/>
      <c r="EZ157" s="333"/>
      <c r="FA157" s="333"/>
      <c r="FB157" s="333"/>
      <c r="FC157" s="333"/>
      <c r="FD157" s="333"/>
      <c r="FE157" s="333"/>
      <c r="FF157" s="333"/>
      <c r="FG157" s="320"/>
      <c r="FH157" s="320"/>
      <c r="FI157" s="320"/>
      <c r="FJ157" s="333"/>
      <c r="FK157" s="320"/>
      <c r="FL157" s="333"/>
      <c r="FM157" s="333"/>
      <c r="FN157" s="333"/>
      <c r="FO157" s="333"/>
      <c r="FP157" s="333"/>
      <c r="FQ157" s="333"/>
      <c r="FR157" s="333"/>
      <c r="FS157" s="333"/>
      <c r="FT157" s="333"/>
      <c r="FU157" s="333"/>
      <c r="FV157" s="320"/>
      <c r="FW157" s="333"/>
      <c r="FX157" s="333"/>
      <c r="FY157" s="333"/>
      <c r="FZ157" s="333"/>
      <c r="GA157" s="320"/>
      <c r="GB157" s="320"/>
      <c r="GC157" s="333"/>
      <c r="GD157" s="333"/>
      <c r="GE157" s="333"/>
      <c r="GF157" s="333"/>
      <c r="GG157" s="333"/>
      <c r="GH157" s="333"/>
      <c r="GI157" s="333"/>
      <c r="GJ157" s="333"/>
      <c r="GK157" s="333"/>
      <c r="GL157" s="333"/>
      <c r="GM157" s="333"/>
      <c r="GN157" s="333"/>
      <c r="GO157" s="333"/>
      <c r="GP157" s="333"/>
      <c r="GQ157" s="333"/>
      <c r="GR157" s="333"/>
      <c r="GS157" s="333"/>
      <c r="GT157" s="333"/>
      <c r="GU157" s="161"/>
      <c r="GV157" s="169"/>
      <c r="GW157" s="169"/>
      <c r="GX157" s="169"/>
      <c r="GY157" s="169"/>
      <c r="GZ157" s="169"/>
      <c r="HA157" s="169"/>
      <c r="HB157" s="169"/>
      <c r="HC157" s="169"/>
      <c r="HD157" s="169"/>
      <c r="HE157" s="169"/>
      <c r="HF157" s="169"/>
      <c r="HG157" s="169"/>
      <c r="HH157" s="169"/>
      <c r="HI157" s="169"/>
      <c r="HJ157" s="169"/>
      <c r="HK157" s="169"/>
      <c r="HL157" s="169"/>
      <c r="HM157" s="169"/>
      <c r="HN157" s="169"/>
      <c r="HO157" s="169"/>
      <c r="HP157" s="169"/>
      <c r="HQ157" s="169"/>
      <c r="HR157" s="169"/>
      <c r="HS157" s="169"/>
      <c r="HT157" s="169"/>
      <c r="HU157" s="169"/>
      <c r="HV157" s="169"/>
      <c r="HW157" s="169"/>
      <c r="HX157" s="169"/>
      <c r="HY157" s="169"/>
      <c r="HZ157" s="169"/>
      <c r="IA157" s="169"/>
      <c r="IB157" s="169"/>
      <c r="IC157" s="169"/>
      <c r="ID157" s="169"/>
      <c r="IE157" s="169"/>
      <c r="IF157" s="169"/>
      <c r="IG157" s="169"/>
      <c r="IH157" s="169"/>
      <c r="II157" s="169"/>
      <c r="IJ157" s="169"/>
      <c r="IK157" s="169"/>
      <c r="IL157" s="169"/>
      <c r="IM157" s="169"/>
      <c r="IN157" s="169"/>
      <c r="IO157" s="169"/>
      <c r="IP157" s="169"/>
      <c r="IQ157" s="169"/>
      <c r="IR157" s="169"/>
      <c r="IS157" s="169"/>
      <c r="IT157" s="169"/>
      <c r="IU157" s="169"/>
      <c r="IV157" s="169"/>
    </row>
    <row r="158" spans="1:256" s="364" customFormat="1" ht="13.8" hidden="1">
      <c r="A158" s="353"/>
      <c r="B158" s="354"/>
      <c r="C158" s="355"/>
      <c r="D158" s="356"/>
      <c r="E158" s="356"/>
      <c r="F158" s="356"/>
      <c r="G158" s="356"/>
      <c r="H158" s="239"/>
      <c r="I158" s="356"/>
      <c r="J158" s="357"/>
      <c r="K158" s="358"/>
      <c r="L158" s="359"/>
      <c r="M158" s="360"/>
      <c r="N158" s="361"/>
      <c r="O158" s="362"/>
      <c r="P158" s="362"/>
      <c r="Q158" s="362"/>
      <c r="R158" s="362"/>
      <c r="S158" s="361"/>
      <c r="T158" s="362"/>
      <c r="U158" s="362"/>
      <c r="V158" s="362"/>
      <c r="W158" s="362"/>
      <c r="X158" s="362"/>
      <c r="Y158" s="362"/>
      <c r="Z158" s="362"/>
      <c r="AA158" s="362"/>
      <c r="AB158" s="362"/>
      <c r="AC158" s="362"/>
      <c r="AD158" s="362"/>
      <c r="AE158" s="362"/>
      <c r="AF158" s="362"/>
      <c r="AG158" s="362"/>
      <c r="AH158" s="362"/>
      <c r="AI158" s="362"/>
      <c r="AJ158" s="362"/>
      <c r="AK158" s="362"/>
      <c r="AL158" s="362"/>
      <c r="AM158" s="362"/>
      <c r="AN158" s="362"/>
      <c r="AO158" s="362"/>
      <c r="AP158" s="362"/>
      <c r="AQ158" s="362"/>
      <c r="AR158" s="362"/>
      <c r="AS158" s="362"/>
      <c r="AT158" s="362"/>
      <c r="AU158" s="362"/>
      <c r="AV158" s="362"/>
      <c r="AW158" s="362"/>
      <c r="AX158" s="362"/>
      <c r="AY158" s="362"/>
      <c r="AZ158" s="362"/>
      <c r="BA158" s="362"/>
      <c r="BB158" s="362"/>
      <c r="BC158" s="362"/>
      <c r="BD158" s="362"/>
      <c r="BE158" s="362"/>
      <c r="BF158" s="362"/>
      <c r="BG158" s="362"/>
      <c r="BH158" s="362"/>
      <c r="BI158" s="362"/>
      <c r="BJ158" s="362"/>
      <c r="BK158" s="362"/>
      <c r="BL158" s="362"/>
      <c r="BM158" s="362"/>
      <c r="BN158" s="362"/>
      <c r="BO158" s="362"/>
      <c r="BP158" s="362"/>
      <c r="BQ158" s="362"/>
      <c r="BR158" s="362"/>
      <c r="BS158" s="362"/>
      <c r="BT158" s="362"/>
      <c r="BU158" s="362"/>
      <c r="BV158" s="362"/>
      <c r="BW158" s="362"/>
      <c r="BX158" s="362"/>
      <c r="BY158" s="362"/>
      <c r="BZ158" s="362"/>
      <c r="CA158" s="362"/>
      <c r="CB158" s="362"/>
      <c r="CC158" s="362"/>
      <c r="CD158" s="362"/>
      <c r="CE158" s="362"/>
      <c r="CF158" s="362"/>
      <c r="CG158" s="362"/>
      <c r="CH158" s="362"/>
      <c r="CI158" s="362"/>
      <c r="CJ158" s="362"/>
      <c r="CK158" s="362"/>
      <c r="CL158" s="362"/>
      <c r="CM158" s="362"/>
      <c r="CN158" s="362"/>
      <c r="CO158" s="362"/>
      <c r="CP158" s="362"/>
      <c r="CQ158" s="362"/>
      <c r="CR158" s="362"/>
      <c r="CS158" s="362"/>
      <c r="CT158" s="362"/>
      <c r="CU158" s="362"/>
      <c r="CV158" s="362"/>
      <c r="CW158" s="362"/>
      <c r="CX158" s="362"/>
      <c r="CY158" s="362"/>
      <c r="CZ158" s="362"/>
      <c r="DA158" s="362"/>
      <c r="DB158" s="362"/>
      <c r="DC158" s="362"/>
      <c r="DD158" s="362"/>
      <c r="DE158" s="362"/>
      <c r="DF158" s="362"/>
      <c r="DG158" s="362"/>
      <c r="DH158" s="362"/>
      <c r="DI158" s="362"/>
      <c r="DJ158" s="362"/>
      <c r="DK158" s="362"/>
      <c r="DL158" s="362"/>
      <c r="DM158" s="362"/>
      <c r="DN158" s="362"/>
      <c r="DO158" s="362"/>
      <c r="DP158" s="362"/>
      <c r="DQ158" s="362"/>
      <c r="DR158" s="362"/>
      <c r="DS158" s="362"/>
      <c r="DT158" s="362"/>
      <c r="DU158" s="362"/>
      <c r="DV158" s="362"/>
      <c r="DW158" s="362"/>
      <c r="DX158" s="362"/>
      <c r="DY158" s="362"/>
      <c r="DZ158" s="362"/>
      <c r="EA158" s="362"/>
      <c r="EB158" s="362"/>
      <c r="EC158" s="362"/>
      <c r="ED158" s="362"/>
      <c r="EE158" s="362"/>
      <c r="EF158" s="362"/>
      <c r="EG158" s="362"/>
      <c r="EH158" s="362"/>
      <c r="EI158" s="362"/>
      <c r="EJ158" s="362"/>
      <c r="EK158" s="362"/>
      <c r="EL158" s="362"/>
      <c r="EM158" s="362"/>
      <c r="EN158" s="362"/>
      <c r="EO158" s="363"/>
      <c r="EP158" s="362"/>
      <c r="EQ158" s="362"/>
      <c r="ER158" s="362"/>
      <c r="ES158" s="362"/>
      <c r="ET158" s="362"/>
      <c r="EU158" s="362"/>
      <c r="EV158" s="362"/>
      <c r="EW158" s="362"/>
      <c r="EX158" s="362"/>
      <c r="EY158" s="362"/>
      <c r="EZ158" s="362"/>
      <c r="FA158" s="362"/>
      <c r="FB158" s="362"/>
      <c r="FC158" s="362"/>
      <c r="FD158" s="362"/>
      <c r="FE158" s="362"/>
      <c r="FF158" s="362"/>
      <c r="FG158" s="361"/>
      <c r="FH158" s="361"/>
      <c r="FI158" s="361"/>
      <c r="FJ158" s="362"/>
      <c r="FK158" s="361"/>
      <c r="FL158" s="362"/>
      <c r="FM158" s="362"/>
      <c r="FN158" s="362"/>
      <c r="FO158" s="362"/>
      <c r="FP158" s="362"/>
      <c r="FQ158" s="362"/>
      <c r="FR158" s="362"/>
      <c r="FS158" s="362"/>
      <c r="FT158" s="362"/>
      <c r="FU158" s="362"/>
      <c r="FV158" s="361"/>
      <c r="FW158" s="362"/>
      <c r="FX158" s="362"/>
      <c r="FY158" s="362"/>
      <c r="FZ158" s="362"/>
      <c r="GA158" s="361"/>
      <c r="GB158" s="361"/>
      <c r="GC158" s="362"/>
      <c r="GD158" s="362"/>
      <c r="GE158" s="362"/>
      <c r="GF158" s="362"/>
      <c r="GG158" s="362"/>
      <c r="GH158" s="362"/>
      <c r="GI158" s="362"/>
      <c r="GJ158" s="362"/>
      <c r="GK158" s="362"/>
      <c r="GL158" s="362"/>
      <c r="GM158" s="362"/>
      <c r="GN158" s="362"/>
      <c r="GO158" s="362"/>
      <c r="GP158" s="362"/>
      <c r="GQ158" s="362"/>
      <c r="GR158" s="362"/>
      <c r="GS158" s="362"/>
      <c r="GT158" s="362"/>
      <c r="GU158" s="161" t="s">
        <v>3888</v>
      </c>
      <c r="GV158" s="169"/>
      <c r="GW158" s="169"/>
      <c r="GX158" s="169"/>
      <c r="GY158" s="169"/>
      <c r="GZ158" s="169"/>
      <c r="HA158" s="169"/>
      <c r="HB158" s="169"/>
      <c r="HC158" s="169"/>
      <c r="HD158" s="169"/>
      <c r="HE158" s="169"/>
      <c r="HF158" s="169"/>
      <c r="HG158" s="169"/>
      <c r="HH158" s="169"/>
      <c r="HI158" s="169"/>
      <c r="HJ158" s="169"/>
      <c r="HK158" s="169"/>
      <c r="HL158" s="169"/>
      <c r="HM158" s="169"/>
      <c r="HN158" s="169"/>
      <c r="HO158" s="169"/>
      <c r="HP158" s="169"/>
      <c r="HQ158" s="169"/>
      <c r="HR158" s="169"/>
      <c r="HS158" s="169"/>
      <c r="HT158" s="169"/>
      <c r="HU158" s="169"/>
      <c r="HV158" s="169"/>
      <c r="HW158" s="169"/>
      <c r="HX158" s="169"/>
      <c r="HY158" s="169"/>
      <c r="HZ158" s="169"/>
      <c r="IA158" s="169"/>
      <c r="IB158" s="169"/>
      <c r="IC158" s="169"/>
      <c r="ID158" s="169"/>
      <c r="IE158" s="169"/>
      <c r="IF158" s="169"/>
      <c r="IG158" s="169"/>
      <c r="IH158" s="169"/>
      <c r="II158" s="169"/>
      <c r="IJ158" s="169"/>
      <c r="IK158" s="169"/>
      <c r="IL158" s="169"/>
      <c r="IM158" s="169"/>
      <c r="IN158" s="169"/>
      <c r="IO158" s="169"/>
      <c r="IP158" s="169"/>
      <c r="IQ158" s="169"/>
      <c r="IR158" s="169"/>
      <c r="IS158" s="169"/>
      <c r="IT158" s="169"/>
      <c r="IU158" s="169"/>
      <c r="IV158" s="169"/>
    </row>
    <row r="159" spans="1:256" s="247" customFormat="1" ht="13.8" hidden="1">
      <c r="A159" s="317"/>
      <c r="B159" s="255"/>
      <c r="C159" s="318"/>
      <c r="D159" s="239"/>
      <c r="E159" s="239"/>
      <c r="F159" s="239"/>
      <c r="G159" s="239"/>
      <c r="H159" s="239"/>
      <c r="I159" s="239"/>
      <c r="J159" s="240"/>
      <c r="K159" s="241"/>
      <c r="L159" s="242"/>
      <c r="M159" s="302"/>
      <c r="N159" s="320"/>
      <c r="O159" s="243"/>
      <c r="P159" s="243"/>
      <c r="Q159" s="243"/>
      <c r="R159" s="243"/>
      <c r="S159" s="320"/>
      <c r="T159" s="243"/>
      <c r="U159" s="243"/>
      <c r="V159" s="243"/>
      <c r="W159" s="243"/>
      <c r="X159" s="333"/>
      <c r="Y159" s="2989"/>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320"/>
      <c r="FH159" s="320"/>
      <c r="FI159" s="320"/>
      <c r="FJ159" s="243"/>
      <c r="FK159" s="320"/>
      <c r="FL159" s="243"/>
      <c r="FM159" s="243"/>
      <c r="FN159" s="243"/>
      <c r="FO159" s="243"/>
      <c r="FP159" s="243"/>
      <c r="FQ159" s="243"/>
      <c r="FR159" s="243"/>
      <c r="FS159" s="243"/>
      <c r="FT159" s="243"/>
      <c r="FU159" s="243"/>
      <c r="FV159" s="320"/>
      <c r="FW159" s="243"/>
      <c r="FX159" s="243"/>
      <c r="FY159" s="243"/>
      <c r="FZ159" s="243"/>
      <c r="GA159" s="320"/>
      <c r="GB159" s="320"/>
      <c r="GC159" s="243"/>
      <c r="GD159" s="243"/>
      <c r="GE159" s="243"/>
      <c r="GF159" s="243"/>
      <c r="GG159" s="243"/>
      <c r="GH159" s="243"/>
      <c r="GI159" s="243"/>
      <c r="GJ159" s="243"/>
      <c r="GK159" s="243"/>
      <c r="GL159" s="243"/>
      <c r="GM159" s="243"/>
      <c r="GN159" s="243"/>
      <c r="GO159" s="243"/>
      <c r="GP159" s="243"/>
      <c r="GQ159" s="243"/>
      <c r="GR159" s="243"/>
      <c r="GS159" s="243"/>
      <c r="GT159" s="243"/>
      <c r="GU159" s="2999" t="s">
        <v>3889</v>
      </c>
      <c r="GV159" s="169"/>
      <c r="GW159" s="169"/>
      <c r="GX159" s="169"/>
      <c r="GY159" s="169"/>
      <c r="GZ159" s="169"/>
      <c r="HA159" s="169"/>
      <c r="HB159" s="169"/>
      <c r="HC159" s="169"/>
      <c r="HD159" s="169"/>
      <c r="HE159" s="169"/>
      <c r="HF159" s="169"/>
      <c r="HG159" s="169"/>
      <c r="HH159" s="169"/>
      <c r="HI159" s="169"/>
      <c r="HJ159" s="169"/>
      <c r="HK159" s="169"/>
      <c r="HL159" s="169"/>
      <c r="HM159" s="169"/>
      <c r="HN159" s="169"/>
      <c r="HO159" s="169"/>
      <c r="HP159" s="169"/>
      <c r="HQ159" s="169"/>
      <c r="HR159" s="169"/>
      <c r="HS159" s="169"/>
      <c r="HT159" s="169"/>
      <c r="HU159" s="169"/>
      <c r="HV159" s="169"/>
      <c r="HW159" s="169"/>
      <c r="HX159" s="169"/>
      <c r="HY159" s="169"/>
      <c r="HZ159" s="169"/>
      <c r="IA159" s="169"/>
      <c r="IB159" s="169"/>
      <c r="IC159" s="169"/>
      <c r="ID159" s="169"/>
      <c r="IE159" s="169"/>
      <c r="IF159" s="169"/>
      <c r="IG159" s="169"/>
      <c r="IH159" s="169"/>
      <c r="II159" s="169"/>
      <c r="IJ159" s="169"/>
      <c r="IK159" s="169"/>
      <c r="IL159" s="169"/>
      <c r="IM159" s="169"/>
      <c r="IN159" s="169"/>
      <c r="IO159" s="169"/>
      <c r="IP159" s="169"/>
      <c r="IQ159" s="169"/>
      <c r="IR159" s="169"/>
      <c r="IS159" s="169"/>
      <c r="IT159" s="169"/>
      <c r="IU159" s="169"/>
      <c r="IV159" s="169"/>
    </row>
    <row r="160" spans="1:256" s="247" customFormat="1" ht="13.8" hidden="1">
      <c r="A160" s="317"/>
      <c r="B160" s="255"/>
      <c r="C160" s="318"/>
      <c r="D160" s="239"/>
      <c r="E160" s="239"/>
      <c r="F160" s="239"/>
      <c r="G160" s="239"/>
      <c r="H160" s="239"/>
      <c r="I160" s="239"/>
      <c r="J160" s="240"/>
      <c r="K160" s="241"/>
      <c r="L160" s="242"/>
      <c r="M160" s="302"/>
      <c r="N160" s="320"/>
      <c r="O160" s="243"/>
      <c r="P160" s="243"/>
      <c r="Q160" s="243"/>
      <c r="R160" s="243"/>
      <c r="S160" s="243"/>
      <c r="T160" s="243"/>
      <c r="U160" s="243"/>
      <c r="V160" s="243"/>
      <c r="W160" s="243"/>
      <c r="X160" s="333"/>
      <c r="Y160" s="2990"/>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320"/>
      <c r="FH160" s="320"/>
      <c r="FI160" s="320"/>
      <c r="FJ160" s="243"/>
      <c r="FK160" s="320"/>
      <c r="FL160" s="243"/>
      <c r="FM160" s="243"/>
      <c r="FN160" s="243"/>
      <c r="FO160" s="243"/>
      <c r="FP160" s="243"/>
      <c r="FQ160" s="243"/>
      <c r="FR160" s="243"/>
      <c r="FS160" s="243"/>
      <c r="FT160" s="243"/>
      <c r="FU160" s="243"/>
      <c r="FV160" s="320"/>
      <c r="FW160" s="243"/>
      <c r="FX160" s="243"/>
      <c r="FY160" s="243"/>
      <c r="FZ160" s="243"/>
      <c r="GA160" s="320"/>
      <c r="GB160" s="320"/>
      <c r="GC160" s="243"/>
      <c r="GD160" s="243"/>
      <c r="GE160" s="243"/>
      <c r="GF160" s="243"/>
      <c r="GG160" s="243"/>
      <c r="GH160" s="243"/>
      <c r="GI160" s="243"/>
      <c r="GJ160" s="243"/>
      <c r="GK160" s="243"/>
      <c r="GL160" s="243"/>
      <c r="GM160" s="243"/>
      <c r="GN160" s="243"/>
      <c r="GO160" s="243"/>
      <c r="GP160" s="243"/>
      <c r="GQ160" s="243"/>
      <c r="GR160" s="243"/>
      <c r="GS160" s="243"/>
      <c r="GT160" s="243"/>
      <c r="GU160" s="3000"/>
      <c r="GV160" s="169"/>
      <c r="GW160" s="169"/>
      <c r="GX160" s="169"/>
      <c r="GY160" s="169"/>
      <c r="GZ160" s="169"/>
      <c r="HA160" s="169"/>
      <c r="HB160" s="169"/>
      <c r="HC160" s="169"/>
      <c r="HD160" s="169"/>
      <c r="HE160" s="169"/>
      <c r="HF160" s="169"/>
      <c r="HG160" s="169"/>
      <c r="HH160" s="169"/>
      <c r="HI160" s="169"/>
      <c r="HJ160" s="169"/>
      <c r="HK160" s="169"/>
      <c r="HL160" s="169"/>
      <c r="HM160" s="169"/>
      <c r="HN160" s="169"/>
      <c r="HO160" s="169"/>
      <c r="HP160" s="169"/>
      <c r="HQ160" s="169"/>
      <c r="HR160" s="169"/>
      <c r="HS160" s="169"/>
      <c r="HT160" s="169"/>
      <c r="HU160" s="169"/>
      <c r="HV160" s="169"/>
      <c r="HW160" s="169"/>
      <c r="HX160" s="169"/>
      <c r="HY160" s="169"/>
      <c r="HZ160" s="169"/>
      <c r="IA160" s="169"/>
      <c r="IB160" s="169"/>
      <c r="IC160" s="169"/>
      <c r="ID160" s="169"/>
      <c r="IE160" s="169"/>
      <c r="IF160" s="169"/>
      <c r="IG160" s="169"/>
      <c r="IH160" s="169"/>
      <c r="II160" s="169"/>
      <c r="IJ160" s="169"/>
      <c r="IK160" s="169"/>
      <c r="IL160" s="169"/>
      <c r="IM160" s="169"/>
      <c r="IN160" s="169"/>
      <c r="IO160" s="169"/>
      <c r="IP160" s="169"/>
      <c r="IQ160" s="169"/>
      <c r="IR160" s="169"/>
      <c r="IS160" s="169"/>
      <c r="IT160" s="169"/>
      <c r="IU160" s="169"/>
      <c r="IV160" s="169"/>
    </row>
    <row r="161" spans="1:256" s="247" customFormat="1" ht="13.8" hidden="1">
      <c r="A161" s="317"/>
      <c r="B161" s="239"/>
      <c r="C161" s="318"/>
      <c r="D161" s="239"/>
      <c r="E161" s="239"/>
      <c r="F161" s="239"/>
      <c r="G161" s="239"/>
      <c r="H161" s="239"/>
      <c r="I161" s="239"/>
      <c r="J161" s="240"/>
      <c r="K161" s="241"/>
      <c r="L161" s="242"/>
      <c r="M161" s="302"/>
      <c r="N161" s="320"/>
      <c r="O161" s="243"/>
      <c r="P161" s="243"/>
      <c r="Q161" s="243"/>
      <c r="R161" s="243"/>
      <c r="S161" s="243"/>
      <c r="T161" s="243"/>
      <c r="U161" s="243"/>
      <c r="V161" s="243"/>
      <c r="W161" s="243"/>
      <c r="X161" s="333"/>
      <c r="Y161" s="33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320"/>
      <c r="FH161" s="320"/>
      <c r="FI161" s="320"/>
      <c r="FJ161" s="243"/>
      <c r="FK161" s="320"/>
      <c r="FL161" s="243"/>
      <c r="FM161" s="243"/>
      <c r="FN161" s="243"/>
      <c r="FO161" s="243"/>
      <c r="FP161" s="243"/>
      <c r="FQ161" s="243"/>
      <c r="FR161" s="243"/>
      <c r="FS161" s="243"/>
      <c r="FT161" s="243"/>
      <c r="FU161" s="243"/>
      <c r="FV161" s="320"/>
      <c r="FW161" s="243"/>
      <c r="FX161" s="243"/>
      <c r="FY161" s="243"/>
      <c r="FZ161" s="243"/>
      <c r="GA161" s="320"/>
      <c r="GB161" s="320"/>
      <c r="GC161" s="243"/>
      <c r="GD161" s="243"/>
      <c r="GE161" s="243"/>
      <c r="GF161" s="243"/>
      <c r="GG161" s="243"/>
      <c r="GH161" s="243"/>
      <c r="GI161" s="243"/>
      <c r="GJ161" s="243"/>
      <c r="GK161" s="243"/>
      <c r="GL161" s="243"/>
      <c r="GM161" s="243"/>
      <c r="GN161" s="243"/>
      <c r="GO161" s="243"/>
      <c r="GP161" s="243"/>
      <c r="GQ161" s="243"/>
      <c r="GR161" s="243"/>
      <c r="GS161" s="243"/>
      <c r="GT161" s="243"/>
      <c r="GU161" s="161"/>
      <c r="GV161" s="169"/>
      <c r="GW161" s="169"/>
      <c r="GX161" s="169"/>
      <c r="GY161" s="169"/>
      <c r="GZ161" s="169"/>
      <c r="HA161" s="169"/>
      <c r="HB161" s="169"/>
      <c r="HC161" s="169"/>
      <c r="HD161" s="169"/>
      <c r="HE161" s="169"/>
      <c r="HF161" s="169"/>
      <c r="HG161" s="169"/>
      <c r="HH161" s="169"/>
      <c r="HI161" s="169"/>
      <c r="HJ161" s="169"/>
      <c r="HK161" s="169"/>
      <c r="HL161" s="169"/>
      <c r="HM161" s="169"/>
      <c r="HN161" s="169"/>
      <c r="HO161" s="169"/>
      <c r="HP161" s="169"/>
      <c r="HQ161" s="169"/>
      <c r="HR161" s="169"/>
      <c r="HS161" s="169"/>
      <c r="HT161" s="169"/>
      <c r="HU161" s="169"/>
      <c r="HV161" s="169"/>
      <c r="HW161" s="169"/>
      <c r="HX161" s="169"/>
      <c r="HY161" s="169"/>
      <c r="HZ161" s="169"/>
      <c r="IA161" s="169"/>
      <c r="IB161" s="169"/>
      <c r="IC161" s="169"/>
      <c r="ID161" s="169"/>
      <c r="IE161" s="169"/>
      <c r="IF161" s="169"/>
      <c r="IG161" s="169"/>
      <c r="IH161" s="169"/>
      <c r="II161" s="169"/>
      <c r="IJ161" s="169"/>
      <c r="IK161" s="169"/>
      <c r="IL161" s="169"/>
      <c r="IM161" s="169"/>
      <c r="IN161" s="169"/>
      <c r="IO161" s="169"/>
      <c r="IP161" s="169"/>
      <c r="IQ161" s="169"/>
      <c r="IR161" s="169"/>
      <c r="IS161" s="169"/>
      <c r="IT161" s="169"/>
      <c r="IU161" s="169"/>
      <c r="IV161" s="169"/>
    </row>
    <row r="162" spans="1:256" s="305" customFormat="1" ht="13.8" hidden="1">
      <c r="A162" s="365"/>
      <c r="B162" s="345"/>
      <c r="C162" s="366"/>
      <c r="D162" s="345"/>
      <c r="E162" s="345"/>
      <c r="F162" s="345"/>
      <c r="G162" s="345"/>
      <c r="H162" s="345"/>
      <c r="I162" s="345"/>
      <c r="J162" s="367"/>
      <c r="K162" s="368"/>
      <c r="L162" s="369"/>
      <c r="M162" s="322"/>
      <c r="N162" s="370"/>
      <c r="O162" s="371"/>
      <c r="P162" s="371"/>
      <c r="Q162" s="371"/>
      <c r="R162" s="371"/>
      <c r="S162" s="371"/>
      <c r="T162" s="371"/>
      <c r="U162" s="371"/>
      <c r="V162" s="371"/>
      <c r="W162" s="371"/>
      <c r="X162" s="371"/>
      <c r="Y162" s="371"/>
      <c r="Z162" s="371"/>
      <c r="AA162" s="371"/>
      <c r="AB162" s="371"/>
      <c r="AC162" s="371"/>
      <c r="AD162" s="371"/>
      <c r="AE162" s="371"/>
      <c r="AF162" s="371"/>
      <c r="AG162" s="371"/>
      <c r="AH162" s="371"/>
      <c r="AI162" s="371"/>
      <c r="AJ162" s="371"/>
      <c r="AK162" s="371"/>
      <c r="AL162" s="371"/>
      <c r="AM162" s="371"/>
      <c r="AN162" s="371"/>
      <c r="AO162" s="371"/>
      <c r="AP162" s="371"/>
      <c r="AQ162" s="371"/>
      <c r="AR162" s="371"/>
      <c r="AS162" s="371"/>
      <c r="AT162" s="371"/>
      <c r="AU162" s="371"/>
      <c r="AV162" s="371"/>
      <c r="AW162" s="371"/>
      <c r="AX162" s="371"/>
      <c r="AY162" s="371"/>
      <c r="AZ162" s="371"/>
      <c r="BA162" s="371"/>
      <c r="BB162" s="371"/>
      <c r="BC162" s="371"/>
      <c r="BD162" s="371"/>
      <c r="BE162" s="371"/>
      <c r="BF162" s="371"/>
      <c r="BG162" s="371"/>
      <c r="BH162" s="371"/>
      <c r="BI162" s="371"/>
      <c r="BJ162" s="371"/>
      <c r="BK162" s="371"/>
      <c r="BL162" s="371"/>
      <c r="BM162" s="371"/>
      <c r="BN162" s="371"/>
      <c r="BO162" s="371"/>
      <c r="BP162" s="371"/>
      <c r="BQ162" s="371"/>
      <c r="BR162" s="371"/>
      <c r="BS162" s="371"/>
      <c r="BT162" s="371"/>
      <c r="BU162" s="371"/>
      <c r="BV162" s="371"/>
      <c r="BW162" s="371"/>
      <c r="BX162" s="371"/>
      <c r="BY162" s="371"/>
      <c r="BZ162" s="371"/>
      <c r="CA162" s="371"/>
      <c r="CB162" s="371"/>
      <c r="CC162" s="371"/>
      <c r="CD162" s="371"/>
      <c r="CE162" s="371"/>
      <c r="CF162" s="371"/>
      <c r="CG162" s="371"/>
      <c r="CH162" s="371"/>
      <c r="CI162" s="371"/>
      <c r="CJ162" s="371"/>
      <c r="CK162" s="371"/>
      <c r="CL162" s="371"/>
      <c r="CM162" s="371"/>
      <c r="CN162" s="371"/>
      <c r="CO162" s="371"/>
      <c r="CP162" s="371"/>
      <c r="CQ162" s="371"/>
      <c r="CR162" s="371"/>
      <c r="CS162" s="371"/>
      <c r="CT162" s="371"/>
      <c r="CU162" s="371"/>
      <c r="CV162" s="371"/>
      <c r="CW162" s="371"/>
      <c r="CX162" s="371"/>
      <c r="CY162" s="371"/>
      <c r="CZ162" s="371"/>
      <c r="DA162" s="371"/>
      <c r="DB162" s="371"/>
      <c r="DC162" s="371"/>
      <c r="DD162" s="371"/>
      <c r="DE162" s="371"/>
      <c r="DF162" s="371"/>
      <c r="DG162" s="371"/>
      <c r="DH162" s="371"/>
      <c r="DI162" s="371"/>
      <c r="DJ162" s="371"/>
      <c r="DK162" s="371"/>
      <c r="DL162" s="371"/>
      <c r="DM162" s="371"/>
      <c r="DN162" s="371"/>
      <c r="DO162" s="371"/>
      <c r="DP162" s="371"/>
      <c r="DQ162" s="371"/>
      <c r="DR162" s="371"/>
      <c r="DS162" s="371"/>
      <c r="DT162" s="371"/>
      <c r="DU162" s="371"/>
      <c r="DV162" s="371"/>
      <c r="DW162" s="371"/>
      <c r="DX162" s="371"/>
      <c r="DY162" s="371"/>
      <c r="DZ162" s="371"/>
      <c r="EA162" s="371"/>
      <c r="EB162" s="371"/>
      <c r="EC162" s="371"/>
      <c r="ED162" s="371"/>
      <c r="EE162" s="371"/>
      <c r="EF162" s="371"/>
      <c r="EG162" s="371"/>
      <c r="EH162" s="371"/>
      <c r="EI162" s="371"/>
      <c r="EJ162" s="371"/>
      <c r="EK162" s="371"/>
      <c r="EL162" s="371"/>
      <c r="EM162" s="371"/>
      <c r="EN162" s="371"/>
      <c r="EO162" s="371"/>
      <c r="EP162" s="371"/>
      <c r="EQ162" s="371"/>
      <c r="ER162" s="371"/>
      <c r="ES162" s="371"/>
      <c r="ET162" s="371"/>
      <c r="EU162" s="371"/>
      <c r="EV162" s="371"/>
      <c r="EW162" s="371"/>
      <c r="EX162" s="371"/>
      <c r="EY162" s="371"/>
      <c r="EZ162" s="371"/>
      <c r="FA162" s="371"/>
      <c r="FB162" s="371"/>
      <c r="FC162" s="371"/>
      <c r="FD162" s="371"/>
      <c r="FE162" s="371"/>
      <c r="FF162" s="371"/>
      <c r="FG162" s="370"/>
      <c r="FH162" s="370"/>
      <c r="FI162" s="370"/>
      <c r="FJ162" s="371"/>
      <c r="FK162" s="371"/>
      <c r="FL162" s="371"/>
      <c r="FM162" s="371"/>
      <c r="FN162" s="371"/>
      <c r="FO162" s="371"/>
      <c r="FP162" s="371"/>
      <c r="FQ162" s="371"/>
      <c r="FR162" s="371"/>
      <c r="FS162" s="371"/>
      <c r="FT162" s="371"/>
      <c r="FU162" s="371"/>
      <c r="FV162" s="370"/>
      <c r="FW162" s="371"/>
      <c r="FX162" s="371"/>
      <c r="FY162" s="371"/>
      <c r="FZ162" s="371"/>
      <c r="GA162" s="371"/>
      <c r="GB162" s="371"/>
      <c r="GC162" s="371"/>
      <c r="GD162" s="371"/>
      <c r="GE162" s="371"/>
      <c r="GF162" s="371"/>
      <c r="GG162" s="371"/>
      <c r="GH162" s="371"/>
      <c r="GI162" s="371"/>
      <c r="GJ162" s="371"/>
      <c r="GK162" s="371"/>
      <c r="GL162" s="371"/>
      <c r="GM162" s="371"/>
      <c r="GN162" s="371"/>
      <c r="GO162" s="371"/>
      <c r="GP162" s="371"/>
      <c r="GQ162" s="371"/>
      <c r="GR162" s="371"/>
      <c r="GS162" s="371"/>
      <c r="GT162" s="371"/>
      <c r="GU162" s="164" t="s">
        <v>3890</v>
      </c>
      <c r="GV162" s="169"/>
      <c r="GW162" s="169"/>
      <c r="GX162" s="169"/>
      <c r="GY162" s="169"/>
      <c r="GZ162" s="169"/>
      <c r="HA162" s="169"/>
      <c r="HB162" s="169"/>
      <c r="HC162" s="169"/>
      <c r="HD162" s="169"/>
      <c r="HE162" s="169"/>
      <c r="HF162" s="169"/>
      <c r="HG162" s="169"/>
      <c r="HH162" s="169"/>
      <c r="HI162" s="169"/>
      <c r="HJ162" s="169"/>
      <c r="HK162" s="169"/>
      <c r="HL162" s="169"/>
      <c r="HM162" s="169"/>
      <c r="HN162" s="169"/>
      <c r="HO162" s="169"/>
      <c r="HP162" s="169"/>
      <c r="HQ162" s="169"/>
      <c r="HR162" s="169"/>
      <c r="HS162" s="169"/>
      <c r="HT162" s="169"/>
      <c r="HU162" s="169"/>
      <c r="HV162" s="169"/>
      <c r="HW162" s="169"/>
      <c r="HX162" s="169"/>
      <c r="HY162" s="169"/>
      <c r="HZ162" s="169"/>
      <c r="IA162" s="169"/>
      <c r="IB162" s="169"/>
      <c r="IC162" s="169"/>
      <c r="ID162" s="169"/>
      <c r="IE162" s="169"/>
      <c r="IF162" s="169"/>
      <c r="IG162" s="169"/>
      <c r="IH162" s="169"/>
      <c r="II162" s="169"/>
      <c r="IJ162" s="169"/>
      <c r="IK162" s="169"/>
      <c r="IL162" s="169"/>
      <c r="IM162" s="169"/>
      <c r="IN162" s="169"/>
      <c r="IO162" s="169"/>
      <c r="IP162" s="169"/>
      <c r="IQ162" s="169"/>
      <c r="IR162" s="169"/>
      <c r="IS162" s="169"/>
      <c r="IT162" s="169"/>
      <c r="IU162" s="169"/>
      <c r="IV162" s="169"/>
    </row>
    <row r="163" spans="1:256" s="280" customFormat="1" ht="13.8" hidden="1">
      <c r="A163" s="165"/>
      <c r="B163" s="261">
        <f>SUM(B156:B162)</f>
        <v>0</v>
      </c>
      <c r="C163" s="372"/>
      <c r="D163" s="261"/>
      <c r="E163" s="261"/>
      <c r="F163" s="261"/>
      <c r="G163" s="261"/>
      <c r="H163" s="261">
        <f>H162</f>
        <v>0</v>
      </c>
      <c r="I163" s="261"/>
      <c r="J163" s="262"/>
      <c r="K163" s="263"/>
      <c r="L163" s="264"/>
      <c r="M163" s="331"/>
      <c r="N163" s="262">
        <f>SUM(N156:N162)</f>
        <v>0</v>
      </c>
      <c r="O163" s="262">
        <f t="shared" ref="O163:BZ163" si="51">SUM(O156:O162)</f>
        <v>0</v>
      </c>
      <c r="P163" s="262">
        <f t="shared" si="51"/>
        <v>0</v>
      </c>
      <c r="Q163" s="262">
        <f t="shared" si="51"/>
        <v>0</v>
      </c>
      <c r="R163" s="262">
        <f t="shared" si="51"/>
        <v>0</v>
      </c>
      <c r="S163" s="262">
        <f t="shared" si="51"/>
        <v>0</v>
      </c>
      <c r="T163" s="262">
        <f t="shared" si="51"/>
        <v>0</v>
      </c>
      <c r="U163" s="262">
        <f t="shared" si="51"/>
        <v>0</v>
      </c>
      <c r="V163" s="262">
        <f t="shared" si="51"/>
        <v>0</v>
      </c>
      <c r="W163" s="262">
        <f t="shared" si="51"/>
        <v>0</v>
      </c>
      <c r="X163" s="262">
        <f t="shared" si="51"/>
        <v>0</v>
      </c>
      <c r="Y163" s="262">
        <f t="shared" si="51"/>
        <v>0</v>
      </c>
      <c r="Z163" s="262">
        <f t="shared" si="51"/>
        <v>0</v>
      </c>
      <c r="AA163" s="262">
        <f t="shared" si="51"/>
        <v>0</v>
      </c>
      <c r="AB163" s="262">
        <f t="shared" si="51"/>
        <v>0</v>
      </c>
      <c r="AC163" s="262">
        <f t="shared" si="51"/>
        <v>0</v>
      </c>
      <c r="AD163" s="262">
        <f t="shared" si="51"/>
        <v>0</v>
      </c>
      <c r="AE163" s="262">
        <f t="shared" si="51"/>
        <v>0</v>
      </c>
      <c r="AF163" s="262">
        <f t="shared" si="51"/>
        <v>0</v>
      </c>
      <c r="AG163" s="262">
        <f t="shared" si="51"/>
        <v>0</v>
      </c>
      <c r="AH163" s="262">
        <f t="shared" si="51"/>
        <v>0</v>
      </c>
      <c r="AI163" s="262">
        <f t="shared" si="51"/>
        <v>0</v>
      </c>
      <c r="AJ163" s="262">
        <f t="shared" si="51"/>
        <v>0</v>
      </c>
      <c r="AK163" s="262">
        <f t="shared" si="51"/>
        <v>0</v>
      </c>
      <c r="AL163" s="262">
        <f t="shared" si="51"/>
        <v>0</v>
      </c>
      <c r="AM163" s="262">
        <f t="shared" si="51"/>
        <v>0</v>
      </c>
      <c r="AN163" s="262">
        <f t="shared" si="51"/>
        <v>0</v>
      </c>
      <c r="AO163" s="262">
        <f t="shared" si="51"/>
        <v>0</v>
      </c>
      <c r="AP163" s="262">
        <f t="shared" si="51"/>
        <v>0</v>
      </c>
      <c r="AQ163" s="262">
        <f t="shared" si="51"/>
        <v>0</v>
      </c>
      <c r="AR163" s="262">
        <f t="shared" si="51"/>
        <v>0</v>
      </c>
      <c r="AS163" s="262">
        <f t="shared" si="51"/>
        <v>0</v>
      </c>
      <c r="AT163" s="262">
        <f t="shared" si="51"/>
        <v>0</v>
      </c>
      <c r="AU163" s="262">
        <f t="shared" si="51"/>
        <v>0</v>
      </c>
      <c r="AV163" s="262">
        <f t="shared" si="51"/>
        <v>0</v>
      </c>
      <c r="AW163" s="262">
        <f t="shared" si="51"/>
        <v>0</v>
      </c>
      <c r="AX163" s="262">
        <f t="shared" si="51"/>
        <v>0</v>
      </c>
      <c r="AY163" s="262">
        <f t="shared" si="51"/>
        <v>0</v>
      </c>
      <c r="AZ163" s="262">
        <f t="shared" si="51"/>
        <v>0</v>
      </c>
      <c r="BA163" s="262">
        <f t="shared" si="51"/>
        <v>0</v>
      </c>
      <c r="BB163" s="262">
        <f t="shared" si="51"/>
        <v>0</v>
      </c>
      <c r="BC163" s="262">
        <f t="shared" si="51"/>
        <v>0</v>
      </c>
      <c r="BD163" s="262">
        <f t="shared" si="51"/>
        <v>0</v>
      </c>
      <c r="BE163" s="262">
        <f t="shared" si="51"/>
        <v>0</v>
      </c>
      <c r="BF163" s="262">
        <f t="shared" si="51"/>
        <v>0</v>
      </c>
      <c r="BG163" s="262">
        <f t="shared" si="51"/>
        <v>0</v>
      </c>
      <c r="BH163" s="262">
        <f t="shared" si="51"/>
        <v>0</v>
      </c>
      <c r="BI163" s="262">
        <f t="shared" si="51"/>
        <v>0</v>
      </c>
      <c r="BJ163" s="262">
        <f t="shared" si="51"/>
        <v>0</v>
      </c>
      <c r="BK163" s="262">
        <f t="shared" si="51"/>
        <v>0</v>
      </c>
      <c r="BL163" s="262">
        <f t="shared" si="51"/>
        <v>0</v>
      </c>
      <c r="BM163" s="262">
        <f t="shared" si="51"/>
        <v>0</v>
      </c>
      <c r="BN163" s="262">
        <f t="shared" si="51"/>
        <v>0</v>
      </c>
      <c r="BO163" s="262">
        <f t="shared" si="51"/>
        <v>0</v>
      </c>
      <c r="BP163" s="262">
        <f t="shared" si="51"/>
        <v>0</v>
      </c>
      <c r="BQ163" s="262">
        <f t="shared" si="51"/>
        <v>0</v>
      </c>
      <c r="BR163" s="262">
        <f t="shared" si="51"/>
        <v>0</v>
      </c>
      <c r="BS163" s="262">
        <f t="shared" si="51"/>
        <v>0</v>
      </c>
      <c r="BT163" s="262">
        <f t="shared" si="51"/>
        <v>0</v>
      </c>
      <c r="BU163" s="262">
        <f t="shared" si="51"/>
        <v>0</v>
      </c>
      <c r="BV163" s="262">
        <f t="shared" si="51"/>
        <v>0</v>
      </c>
      <c r="BW163" s="262">
        <f t="shared" si="51"/>
        <v>0</v>
      </c>
      <c r="BX163" s="262">
        <f t="shared" si="51"/>
        <v>0</v>
      </c>
      <c r="BY163" s="262">
        <f t="shared" si="51"/>
        <v>0</v>
      </c>
      <c r="BZ163" s="262">
        <f t="shared" si="51"/>
        <v>0</v>
      </c>
      <c r="CA163" s="262">
        <f t="shared" ref="CA163:EP163" si="52">SUM(CA156:CA162)</f>
        <v>0</v>
      </c>
      <c r="CB163" s="262">
        <f t="shared" si="52"/>
        <v>0</v>
      </c>
      <c r="CC163" s="262">
        <f t="shared" si="52"/>
        <v>0</v>
      </c>
      <c r="CD163" s="262">
        <f t="shared" si="52"/>
        <v>0</v>
      </c>
      <c r="CE163" s="262">
        <f t="shared" si="52"/>
        <v>0</v>
      </c>
      <c r="CF163" s="262">
        <f t="shared" si="52"/>
        <v>0</v>
      </c>
      <c r="CG163" s="262">
        <f t="shared" si="52"/>
        <v>0</v>
      </c>
      <c r="CH163" s="262">
        <f t="shared" si="52"/>
        <v>0</v>
      </c>
      <c r="CI163" s="262">
        <f t="shared" si="52"/>
        <v>0</v>
      </c>
      <c r="CJ163" s="262">
        <f t="shared" si="52"/>
        <v>0</v>
      </c>
      <c r="CK163" s="262">
        <f t="shared" si="52"/>
        <v>0</v>
      </c>
      <c r="CL163" s="262">
        <f t="shared" si="52"/>
        <v>0</v>
      </c>
      <c r="CM163" s="262">
        <f t="shared" si="52"/>
        <v>0</v>
      </c>
      <c r="CN163" s="262">
        <f t="shared" si="52"/>
        <v>0</v>
      </c>
      <c r="CO163" s="262">
        <f t="shared" si="52"/>
        <v>0</v>
      </c>
      <c r="CP163" s="262">
        <f t="shared" si="52"/>
        <v>0</v>
      </c>
      <c r="CQ163" s="262">
        <f t="shared" si="52"/>
        <v>0</v>
      </c>
      <c r="CR163" s="262">
        <f t="shared" si="52"/>
        <v>0</v>
      </c>
      <c r="CS163" s="262">
        <f t="shared" si="52"/>
        <v>0</v>
      </c>
      <c r="CT163" s="262">
        <f t="shared" si="52"/>
        <v>0</v>
      </c>
      <c r="CU163" s="262">
        <f t="shared" si="52"/>
        <v>0</v>
      </c>
      <c r="CV163" s="262">
        <f t="shared" si="52"/>
        <v>0</v>
      </c>
      <c r="CW163" s="262">
        <f t="shared" si="52"/>
        <v>0</v>
      </c>
      <c r="CX163" s="262">
        <f t="shared" si="52"/>
        <v>0</v>
      </c>
      <c r="CY163" s="262">
        <f t="shared" si="52"/>
        <v>0</v>
      </c>
      <c r="CZ163" s="262">
        <f t="shared" si="52"/>
        <v>0</v>
      </c>
      <c r="DA163" s="262">
        <f t="shared" si="52"/>
        <v>0</v>
      </c>
      <c r="DB163" s="262">
        <f t="shared" si="52"/>
        <v>0</v>
      </c>
      <c r="DC163" s="262">
        <f t="shared" si="52"/>
        <v>0</v>
      </c>
      <c r="DD163" s="262">
        <f t="shared" si="52"/>
        <v>0</v>
      </c>
      <c r="DE163" s="262">
        <f t="shared" si="52"/>
        <v>0</v>
      </c>
      <c r="DF163" s="262">
        <f t="shared" si="52"/>
        <v>0</v>
      </c>
      <c r="DG163" s="262">
        <f t="shared" si="52"/>
        <v>0</v>
      </c>
      <c r="DH163" s="262">
        <f t="shared" si="52"/>
        <v>0</v>
      </c>
      <c r="DI163" s="262">
        <f t="shared" si="52"/>
        <v>0</v>
      </c>
      <c r="DJ163" s="262">
        <f t="shared" si="52"/>
        <v>0</v>
      </c>
      <c r="DK163" s="262">
        <f t="shared" si="52"/>
        <v>0</v>
      </c>
      <c r="DL163" s="262">
        <f t="shared" si="52"/>
        <v>0</v>
      </c>
      <c r="DM163" s="262">
        <f t="shared" si="52"/>
        <v>0</v>
      </c>
      <c r="DN163" s="262">
        <f t="shared" si="52"/>
        <v>0</v>
      </c>
      <c r="DO163" s="262">
        <f t="shared" si="52"/>
        <v>0</v>
      </c>
      <c r="DP163" s="262">
        <f>SUM(DP156:DP162)</f>
        <v>0</v>
      </c>
      <c r="DQ163" s="262">
        <f>SUM(DQ156:DQ162)</f>
        <v>0</v>
      </c>
      <c r="DR163" s="262">
        <f t="shared" si="52"/>
        <v>0</v>
      </c>
      <c r="DS163" s="262">
        <f t="shared" si="52"/>
        <v>0</v>
      </c>
      <c r="DT163" s="262">
        <f t="shared" si="52"/>
        <v>0</v>
      </c>
      <c r="DU163" s="262">
        <f t="shared" si="52"/>
        <v>0</v>
      </c>
      <c r="DV163" s="262">
        <f t="shared" si="52"/>
        <v>0</v>
      </c>
      <c r="DW163" s="262">
        <f t="shared" si="52"/>
        <v>0</v>
      </c>
      <c r="DX163" s="262">
        <f t="shared" si="52"/>
        <v>0</v>
      </c>
      <c r="DY163" s="262">
        <f t="shared" si="52"/>
        <v>0</v>
      </c>
      <c r="DZ163" s="262">
        <f t="shared" si="52"/>
        <v>0</v>
      </c>
      <c r="EA163" s="262">
        <f t="shared" si="52"/>
        <v>0</v>
      </c>
      <c r="EB163" s="262">
        <f t="shared" si="52"/>
        <v>0</v>
      </c>
      <c r="EC163" s="262">
        <f t="shared" si="52"/>
        <v>0</v>
      </c>
      <c r="ED163" s="262">
        <f t="shared" si="52"/>
        <v>0</v>
      </c>
      <c r="EE163" s="262">
        <f t="shared" si="52"/>
        <v>0</v>
      </c>
      <c r="EF163" s="262">
        <f t="shared" si="52"/>
        <v>0</v>
      </c>
      <c r="EG163" s="262">
        <f t="shared" si="52"/>
        <v>0</v>
      </c>
      <c r="EH163" s="262">
        <f t="shared" si="52"/>
        <v>0</v>
      </c>
      <c r="EI163" s="262">
        <f t="shared" si="52"/>
        <v>0</v>
      </c>
      <c r="EJ163" s="262">
        <f t="shared" si="52"/>
        <v>0</v>
      </c>
      <c r="EK163" s="262">
        <f t="shared" si="52"/>
        <v>0</v>
      </c>
      <c r="EL163" s="262">
        <f t="shared" si="52"/>
        <v>0</v>
      </c>
      <c r="EM163" s="262">
        <f t="shared" si="52"/>
        <v>0</v>
      </c>
      <c r="EN163" s="262">
        <f t="shared" si="52"/>
        <v>0</v>
      </c>
      <c r="EO163" s="262">
        <f t="shared" si="52"/>
        <v>0</v>
      </c>
      <c r="EP163" s="262">
        <f t="shared" si="52"/>
        <v>0</v>
      </c>
      <c r="EQ163" s="262">
        <f t="shared" ref="EQ163:GT163" si="53">SUM(EQ156:EQ162)</f>
        <v>0</v>
      </c>
      <c r="ER163" s="262">
        <f t="shared" si="53"/>
        <v>0</v>
      </c>
      <c r="ES163" s="262">
        <f t="shared" si="53"/>
        <v>0</v>
      </c>
      <c r="ET163" s="262">
        <f t="shared" si="53"/>
        <v>0</v>
      </c>
      <c r="EU163" s="262">
        <f t="shared" si="53"/>
        <v>0</v>
      </c>
      <c r="EV163" s="262">
        <f t="shared" si="53"/>
        <v>0</v>
      </c>
      <c r="EW163" s="262">
        <f t="shared" si="53"/>
        <v>0</v>
      </c>
      <c r="EX163" s="262">
        <f t="shared" si="53"/>
        <v>0</v>
      </c>
      <c r="EY163" s="262">
        <f t="shared" si="53"/>
        <v>0</v>
      </c>
      <c r="EZ163" s="262">
        <f t="shared" si="53"/>
        <v>0</v>
      </c>
      <c r="FA163" s="262">
        <f t="shared" si="53"/>
        <v>0</v>
      </c>
      <c r="FB163" s="262">
        <f t="shared" si="53"/>
        <v>0</v>
      </c>
      <c r="FC163" s="262">
        <f t="shared" si="53"/>
        <v>0</v>
      </c>
      <c r="FD163" s="262">
        <f t="shared" si="53"/>
        <v>0</v>
      </c>
      <c r="FE163" s="262">
        <f t="shared" si="53"/>
        <v>0</v>
      </c>
      <c r="FF163" s="262">
        <f t="shared" si="53"/>
        <v>0</v>
      </c>
      <c r="FG163" s="262">
        <f t="shared" si="53"/>
        <v>0</v>
      </c>
      <c r="FH163" s="262">
        <f t="shared" si="53"/>
        <v>0</v>
      </c>
      <c r="FI163" s="262">
        <f t="shared" si="53"/>
        <v>0</v>
      </c>
      <c r="FJ163" s="262">
        <f t="shared" si="53"/>
        <v>0</v>
      </c>
      <c r="FK163" s="262">
        <f t="shared" si="53"/>
        <v>0</v>
      </c>
      <c r="FL163" s="262">
        <f t="shared" si="53"/>
        <v>0</v>
      </c>
      <c r="FM163" s="262">
        <f t="shared" si="53"/>
        <v>0</v>
      </c>
      <c r="FN163" s="262">
        <f t="shared" si="53"/>
        <v>0</v>
      </c>
      <c r="FO163" s="262">
        <f t="shared" si="53"/>
        <v>0</v>
      </c>
      <c r="FP163" s="262">
        <f t="shared" si="53"/>
        <v>0</v>
      </c>
      <c r="FQ163" s="262">
        <f t="shared" si="53"/>
        <v>0</v>
      </c>
      <c r="FR163" s="262">
        <f t="shared" si="53"/>
        <v>0</v>
      </c>
      <c r="FS163" s="262">
        <f t="shared" si="53"/>
        <v>0</v>
      </c>
      <c r="FT163" s="262">
        <f t="shared" si="53"/>
        <v>0</v>
      </c>
      <c r="FU163" s="262">
        <f t="shared" si="53"/>
        <v>0</v>
      </c>
      <c r="FV163" s="262">
        <f t="shared" si="53"/>
        <v>0</v>
      </c>
      <c r="FW163" s="262">
        <f t="shared" si="53"/>
        <v>0</v>
      </c>
      <c r="FX163" s="262">
        <f t="shared" si="53"/>
        <v>0</v>
      </c>
      <c r="FY163" s="262">
        <f t="shared" si="53"/>
        <v>0</v>
      </c>
      <c r="FZ163" s="262">
        <f t="shared" si="53"/>
        <v>0</v>
      </c>
      <c r="GA163" s="262">
        <f t="shared" si="53"/>
        <v>0</v>
      </c>
      <c r="GB163" s="262">
        <f t="shared" si="53"/>
        <v>0</v>
      </c>
      <c r="GC163" s="262">
        <f t="shared" si="53"/>
        <v>0</v>
      </c>
      <c r="GD163" s="262">
        <f t="shared" si="53"/>
        <v>0</v>
      </c>
      <c r="GE163" s="262">
        <f t="shared" si="53"/>
        <v>0</v>
      </c>
      <c r="GF163" s="262">
        <f t="shared" si="53"/>
        <v>0</v>
      </c>
      <c r="GG163" s="262">
        <f t="shared" si="53"/>
        <v>0</v>
      </c>
      <c r="GH163" s="262">
        <f t="shared" si="53"/>
        <v>0</v>
      </c>
      <c r="GI163" s="262">
        <f t="shared" si="53"/>
        <v>0</v>
      </c>
      <c r="GJ163" s="262">
        <f t="shared" si="53"/>
        <v>0</v>
      </c>
      <c r="GK163" s="262">
        <f t="shared" si="53"/>
        <v>0</v>
      </c>
      <c r="GL163" s="262">
        <f t="shared" si="53"/>
        <v>0</v>
      </c>
      <c r="GM163" s="262">
        <f t="shared" si="53"/>
        <v>0</v>
      </c>
      <c r="GN163" s="262">
        <f t="shared" si="53"/>
        <v>0</v>
      </c>
      <c r="GO163" s="262">
        <f t="shared" si="53"/>
        <v>0</v>
      </c>
      <c r="GP163" s="262">
        <f t="shared" si="53"/>
        <v>0</v>
      </c>
      <c r="GQ163" s="262">
        <f t="shared" si="53"/>
        <v>0</v>
      </c>
      <c r="GR163" s="262">
        <f t="shared" si="53"/>
        <v>0</v>
      </c>
      <c r="GS163" s="262">
        <f t="shared" si="53"/>
        <v>0</v>
      </c>
      <c r="GT163" s="262">
        <f t="shared" si="53"/>
        <v>0</v>
      </c>
      <c r="GU163" s="373"/>
      <c r="GV163" s="169"/>
      <c r="GW163" s="169"/>
      <c r="GX163" s="169"/>
      <c r="GY163" s="169"/>
      <c r="GZ163" s="169"/>
      <c r="HA163" s="169"/>
      <c r="HB163" s="169"/>
      <c r="HC163" s="169"/>
      <c r="HD163" s="169"/>
      <c r="HE163" s="169"/>
      <c r="HF163" s="169"/>
      <c r="HG163" s="169"/>
      <c r="HH163" s="169"/>
      <c r="HI163" s="169"/>
      <c r="HJ163" s="169"/>
      <c r="HK163" s="169"/>
      <c r="HL163" s="169"/>
      <c r="HM163" s="169"/>
      <c r="HN163" s="169"/>
      <c r="HO163" s="169"/>
      <c r="HP163" s="169"/>
      <c r="HQ163" s="169"/>
      <c r="HR163" s="169"/>
      <c r="HS163" s="169"/>
      <c r="HT163" s="169"/>
      <c r="HU163" s="169"/>
      <c r="HV163" s="169"/>
      <c r="HW163" s="169"/>
      <c r="HX163" s="169"/>
      <c r="HY163" s="169"/>
      <c r="HZ163" s="169"/>
      <c r="IA163" s="169"/>
      <c r="IB163" s="169"/>
      <c r="IC163" s="169"/>
      <c r="ID163" s="169"/>
      <c r="IE163" s="169"/>
      <c r="IF163" s="169"/>
      <c r="IG163" s="169"/>
      <c r="IH163" s="169"/>
      <c r="II163" s="169"/>
      <c r="IJ163" s="169"/>
      <c r="IK163" s="169"/>
      <c r="IL163" s="169"/>
      <c r="IM163" s="169"/>
      <c r="IN163" s="169"/>
      <c r="IO163" s="169"/>
      <c r="IP163" s="169"/>
      <c r="IQ163" s="169"/>
      <c r="IR163" s="169"/>
      <c r="IS163" s="169"/>
      <c r="IT163" s="169"/>
      <c r="IU163" s="169"/>
      <c r="IV163" s="169"/>
    </row>
    <row r="164" spans="1:256" ht="13.8" hidden="1">
      <c r="A164" s="154"/>
      <c r="B164" s="184"/>
      <c r="C164" s="184"/>
      <c r="D164" s="184"/>
      <c r="E164" s="184"/>
      <c r="F164" s="184"/>
      <c r="G164" s="184"/>
      <c r="H164" s="184"/>
      <c r="I164" s="184"/>
      <c r="J164" s="184"/>
      <c r="K164" s="184"/>
      <c r="L164" s="184"/>
      <c r="M164" s="184"/>
      <c r="N164" s="184"/>
      <c r="O164" s="184"/>
      <c r="P164" s="184"/>
      <c r="Q164" s="184"/>
      <c r="R164" s="184"/>
      <c r="S164" s="184"/>
      <c r="T164" s="184"/>
      <c r="U164" s="184"/>
      <c r="V164" s="184"/>
      <c r="W164" s="184"/>
      <c r="X164" s="184"/>
      <c r="Y164" s="184"/>
      <c r="Z164" s="184"/>
      <c r="AA164" s="184"/>
      <c r="AB164" s="184"/>
      <c r="AC164" s="184"/>
      <c r="AD164" s="184"/>
      <c r="AE164" s="184"/>
      <c r="AF164" s="184"/>
      <c r="AG164" s="184"/>
      <c r="AH164" s="184"/>
      <c r="AI164" s="184"/>
      <c r="AJ164" s="184"/>
      <c r="AK164" s="184"/>
      <c r="AL164" s="184"/>
      <c r="AM164" s="184"/>
      <c r="AN164" s="184"/>
      <c r="AO164" s="184"/>
      <c r="AP164" s="184"/>
      <c r="AQ164" s="184"/>
      <c r="AR164" s="184"/>
      <c r="AS164" s="184"/>
      <c r="AT164" s="184"/>
      <c r="AU164" s="184"/>
      <c r="AV164" s="184"/>
      <c r="AW164" s="184"/>
      <c r="AX164" s="184"/>
      <c r="AY164" s="184"/>
      <c r="AZ164" s="184"/>
      <c r="BA164" s="184"/>
      <c r="BB164" s="184"/>
      <c r="BC164" s="184"/>
      <c r="BD164" s="184"/>
      <c r="BE164" s="184"/>
      <c r="BF164" s="184"/>
      <c r="BG164" s="184"/>
      <c r="BH164" s="184"/>
      <c r="BI164" s="184"/>
      <c r="BJ164" s="184"/>
      <c r="BK164" s="184"/>
      <c r="BL164" s="184"/>
      <c r="BM164" s="184"/>
      <c r="BN164" s="184"/>
      <c r="BO164" s="184"/>
      <c r="BP164" s="184"/>
      <c r="BQ164" s="184"/>
      <c r="BR164" s="184"/>
      <c r="BS164" s="184"/>
      <c r="BT164" s="184"/>
      <c r="BU164" s="184"/>
      <c r="BV164" s="184"/>
      <c r="BW164" s="184"/>
      <c r="BX164" s="184"/>
      <c r="BY164" s="184"/>
      <c r="BZ164" s="184"/>
      <c r="CA164" s="184"/>
      <c r="CB164" s="184"/>
      <c r="CC164" s="184"/>
      <c r="CD164" s="184"/>
      <c r="CE164" s="184"/>
      <c r="CF164" s="184"/>
      <c r="CG164" s="184"/>
      <c r="CH164" s="184"/>
      <c r="CI164" s="184"/>
      <c r="CJ164" s="184"/>
      <c r="CK164" s="184"/>
      <c r="CL164" s="184"/>
      <c r="CM164" s="184"/>
      <c r="CN164" s="184"/>
      <c r="CO164" s="184"/>
      <c r="CP164" s="184"/>
      <c r="CQ164" s="184"/>
      <c r="CR164" s="184"/>
      <c r="CS164" s="184"/>
      <c r="CT164" s="184"/>
      <c r="CU164" s="184"/>
      <c r="CV164" s="184"/>
      <c r="CW164" s="184"/>
      <c r="CX164" s="184"/>
      <c r="CY164" s="184"/>
      <c r="CZ164" s="184"/>
      <c r="DA164" s="184"/>
      <c r="DB164" s="184"/>
      <c r="DC164" s="184"/>
      <c r="DD164" s="184"/>
      <c r="DE164" s="184"/>
      <c r="DF164" s="184"/>
      <c r="DG164" s="184"/>
      <c r="DH164" s="184"/>
      <c r="DI164" s="184"/>
      <c r="DJ164" s="184"/>
      <c r="DK164" s="184"/>
      <c r="DL164" s="184"/>
      <c r="DM164" s="184"/>
      <c r="DN164" s="184"/>
      <c r="DO164" s="184"/>
      <c r="DP164" s="184"/>
      <c r="DQ164" s="184"/>
      <c r="DR164" s="184"/>
      <c r="DS164" s="184"/>
      <c r="DT164" s="184"/>
      <c r="DU164" s="184"/>
      <c r="DV164" s="184"/>
      <c r="DW164" s="184"/>
      <c r="DX164" s="184"/>
      <c r="DY164" s="184"/>
      <c r="DZ164" s="184"/>
      <c r="EA164" s="184"/>
      <c r="EB164" s="184"/>
      <c r="EC164" s="184"/>
      <c r="ED164" s="184"/>
      <c r="EE164" s="184"/>
      <c r="EF164" s="184"/>
      <c r="EG164" s="184"/>
      <c r="EH164" s="184"/>
      <c r="EI164" s="184"/>
      <c r="EJ164" s="184"/>
      <c r="EK164" s="184"/>
      <c r="EL164" s="184"/>
      <c r="EM164" s="184"/>
      <c r="EN164" s="184"/>
      <c r="EO164" s="184"/>
      <c r="EP164" s="184"/>
      <c r="EQ164" s="184"/>
      <c r="ER164" s="184"/>
      <c r="ES164" s="184"/>
      <c r="ET164" s="184"/>
      <c r="EU164" s="184"/>
      <c r="EV164" s="184"/>
      <c r="EW164" s="184"/>
      <c r="EX164" s="184"/>
      <c r="EY164" s="184"/>
      <c r="EZ164" s="184"/>
      <c r="FA164" s="184"/>
      <c r="FB164" s="184"/>
      <c r="FC164" s="184"/>
      <c r="FD164" s="184"/>
      <c r="FE164" s="184"/>
      <c r="FF164" s="184"/>
      <c r="FG164" s="184"/>
      <c r="FH164" s="184"/>
      <c r="FI164" s="184"/>
      <c r="FJ164" s="184"/>
      <c r="FK164" s="184"/>
      <c r="FL164" s="184"/>
      <c r="FM164" s="184"/>
      <c r="FN164" s="184"/>
      <c r="FO164" s="184"/>
      <c r="FP164" s="184"/>
      <c r="FQ164" s="184"/>
      <c r="FR164" s="184"/>
      <c r="FS164" s="184"/>
      <c r="FT164" s="184"/>
      <c r="FU164" s="184"/>
      <c r="FV164" s="184"/>
      <c r="FW164" s="184"/>
      <c r="FX164" s="184"/>
      <c r="FY164" s="184"/>
      <c r="FZ164" s="184"/>
      <c r="GA164" s="184"/>
      <c r="GB164" s="184"/>
      <c r="GC164" s="184"/>
      <c r="GD164" s="184"/>
      <c r="GE164" s="184"/>
      <c r="GF164" s="184"/>
      <c r="GG164" s="184"/>
      <c r="GH164" s="184"/>
      <c r="GI164" s="184"/>
      <c r="GJ164" s="184"/>
      <c r="GK164" s="184"/>
      <c r="GL164" s="184"/>
      <c r="GM164" s="184"/>
      <c r="GN164" s="184"/>
      <c r="GO164" s="184"/>
      <c r="GP164" s="184"/>
      <c r="GQ164" s="184"/>
      <c r="GR164" s="184"/>
      <c r="GS164" s="184"/>
      <c r="GT164" s="184"/>
      <c r="GU164" s="185"/>
    </row>
    <row r="165" spans="1:256" s="305" customFormat="1" ht="13.8" hidden="1">
      <c r="A165" s="297"/>
      <c r="B165" s="345"/>
      <c r="C165" s="306"/>
      <c r="D165" s="298"/>
      <c r="E165" s="298"/>
      <c r="F165" s="298"/>
      <c r="G165" s="298"/>
      <c r="H165" s="298"/>
      <c r="I165" s="298"/>
      <c r="J165" s="299"/>
      <c r="K165" s="300"/>
      <c r="L165" s="301"/>
      <c r="M165" s="302"/>
      <c r="N165" s="339"/>
      <c r="O165" s="337"/>
      <c r="P165" s="337"/>
      <c r="Q165" s="339"/>
      <c r="R165" s="337"/>
      <c r="S165" s="337"/>
      <c r="T165" s="337"/>
      <c r="U165" s="337"/>
      <c r="V165" s="337"/>
      <c r="W165" s="337"/>
      <c r="X165" s="337"/>
      <c r="Y165" s="337"/>
      <c r="Z165" s="337"/>
      <c r="AA165" s="337"/>
      <c r="AB165" s="337"/>
      <c r="AC165" s="337"/>
      <c r="AD165" s="337"/>
      <c r="AE165" s="337"/>
      <c r="AF165" s="337"/>
      <c r="AG165" s="337"/>
      <c r="AH165" s="337"/>
      <c r="AI165" s="337"/>
      <c r="AJ165" s="337"/>
      <c r="AK165" s="337"/>
      <c r="AL165" s="337"/>
      <c r="AM165" s="337"/>
      <c r="AN165" s="337"/>
      <c r="AO165" s="337"/>
      <c r="AP165" s="337"/>
      <c r="AQ165" s="337"/>
      <c r="AR165" s="337"/>
      <c r="AS165" s="337"/>
      <c r="AT165" s="337"/>
      <c r="AU165" s="337"/>
      <c r="AV165" s="337"/>
      <c r="AW165" s="337"/>
      <c r="AX165" s="337"/>
      <c r="AY165" s="337"/>
      <c r="AZ165" s="337"/>
      <c r="BA165" s="337"/>
      <c r="BB165" s="337"/>
      <c r="BC165" s="337"/>
      <c r="BD165" s="337"/>
      <c r="BE165" s="337"/>
      <c r="BF165" s="337"/>
      <c r="BG165" s="337"/>
      <c r="BH165" s="337"/>
      <c r="BI165" s="337"/>
      <c r="BJ165" s="337"/>
      <c r="BK165" s="337"/>
      <c r="BL165" s="337"/>
      <c r="BM165" s="337"/>
      <c r="BN165" s="337"/>
      <c r="BO165" s="337"/>
      <c r="BP165" s="337"/>
      <c r="BQ165" s="337"/>
      <c r="BR165" s="337"/>
      <c r="BS165" s="337"/>
      <c r="BT165" s="337"/>
      <c r="BU165" s="337"/>
      <c r="BV165" s="337"/>
      <c r="BW165" s="337"/>
      <c r="BX165" s="337"/>
      <c r="BY165" s="337"/>
      <c r="BZ165" s="337"/>
      <c r="CA165" s="337"/>
      <c r="CB165" s="337"/>
      <c r="CC165" s="337"/>
      <c r="CD165" s="337"/>
      <c r="CE165" s="337"/>
      <c r="CF165" s="337"/>
      <c r="CG165" s="337"/>
      <c r="CH165" s="337"/>
      <c r="CI165" s="337"/>
      <c r="CJ165" s="337"/>
      <c r="CK165" s="337"/>
      <c r="CL165" s="337"/>
      <c r="CM165" s="337"/>
      <c r="CN165" s="337"/>
      <c r="CO165" s="337"/>
      <c r="CP165" s="337"/>
      <c r="CQ165" s="337"/>
      <c r="CR165" s="337"/>
      <c r="CS165" s="337"/>
      <c r="CT165" s="337"/>
      <c r="CU165" s="337"/>
      <c r="CV165" s="337"/>
      <c r="CW165" s="337"/>
      <c r="CX165" s="337"/>
      <c r="CY165" s="337"/>
      <c r="CZ165" s="337"/>
      <c r="DA165" s="337"/>
      <c r="DB165" s="337"/>
      <c r="DC165" s="337"/>
      <c r="DD165" s="337"/>
      <c r="DE165" s="337"/>
      <c r="DF165" s="337"/>
      <c r="DG165" s="337"/>
      <c r="DH165" s="337"/>
      <c r="DI165" s="337"/>
      <c r="DJ165" s="337"/>
      <c r="DK165" s="337"/>
      <c r="DL165" s="337"/>
      <c r="DM165" s="337"/>
      <c r="DN165" s="337"/>
      <c r="DO165" s="337"/>
      <c r="DP165" s="337"/>
      <c r="DQ165" s="337"/>
      <c r="DR165" s="337"/>
      <c r="DS165" s="337"/>
      <c r="DT165" s="337"/>
      <c r="DU165" s="337"/>
      <c r="DV165" s="337"/>
      <c r="DW165" s="337"/>
      <c r="DX165" s="337"/>
      <c r="DY165" s="337"/>
      <c r="DZ165" s="337"/>
      <c r="EA165" s="337"/>
      <c r="EB165" s="337"/>
      <c r="EC165" s="337"/>
      <c r="ED165" s="337"/>
      <c r="EE165" s="337"/>
      <c r="EF165" s="337"/>
      <c r="EG165" s="337"/>
      <c r="EH165" s="337"/>
      <c r="EI165" s="337"/>
      <c r="EJ165" s="337"/>
      <c r="EK165" s="337"/>
      <c r="EL165" s="337"/>
      <c r="EM165" s="337"/>
      <c r="EN165" s="337"/>
      <c r="EO165" s="337"/>
      <c r="EP165" s="337"/>
      <c r="EQ165" s="337"/>
      <c r="ER165" s="337"/>
      <c r="ES165" s="337"/>
      <c r="ET165" s="337"/>
      <c r="EU165" s="337"/>
      <c r="EV165" s="337"/>
      <c r="EW165" s="337"/>
      <c r="EX165" s="337"/>
      <c r="EY165" s="337"/>
      <c r="EZ165" s="337"/>
      <c r="FA165" s="337"/>
      <c r="FB165" s="337"/>
      <c r="FC165" s="337"/>
      <c r="FD165" s="337"/>
      <c r="FE165" s="337"/>
      <c r="FF165" s="337"/>
      <c r="FG165" s="339"/>
      <c r="FH165" s="339"/>
      <c r="FI165" s="339"/>
      <c r="FJ165" s="337"/>
      <c r="FK165" s="339"/>
      <c r="FL165" s="337"/>
      <c r="FM165" s="337"/>
      <c r="FN165" s="337"/>
      <c r="FO165" s="337"/>
      <c r="FP165" s="337"/>
      <c r="FQ165" s="337"/>
      <c r="FR165" s="337"/>
      <c r="FS165" s="337"/>
      <c r="FT165" s="337"/>
      <c r="FU165" s="339"/>
      <c r="FV165" s="339"/>
      <c r="FW165" s="337"/>
      <c r="FX165" s="337"/>
      <c r="FY165" s="337"/>
      <c r="FZ165" s="337"/>
      <c r="GA165" s="337"/>
      <c r="GB165" s="337"/>
      <c r="GC165" s="337"/>
      <c r="GD165" s="337"/>
      <c r="GE165" s="337"/>
      <c r="GF165" s="337"/>
      <c r="GG165" s="337"/>
      <c r="GH165" s="337"/>
      <c r="GI165" s="337"/>
      <c r="GJ165" s="337"/>
      <c r="GK165" s="337"/>
      <c r="GL165" s="337"/>
      <c r="GM165" s="337"/>
      <c r="GN165" s="337"/>
      <c r="GO165" s="337"/>
      <c r="GP165" s="337"/>
      <c r="GQ165" s="337"/>
      <c r="GR165" s="337"/>
      <c r="GS165" s="337"/>
      <c r="GT165" s="337"/>
      <c r="GU165" s="166" t="s">
        <v>3890</v>
      </c>
      <c r="GV165" s="169"/>
      <c r="GW165" s="169"/>
      <c r="GX165" s="169"/>
      <c r="GY165" s="169"/>
      <c r="GZ165" s="169"/>
      <c r="HA165" s="169"/>
      <c r="HB165" s="169"/>
      <c r="HC165" s="169"/>
      <c r="HD165" s="169"/>
      <c r="HE165" s="169"/>
      <c r="HF165" s="169"/>
      <c r="HG165" s="169"/>
      <c r="HH165" s="169"/>
      <c r="HI165" s="169"/>
      <c r="HJ165" s="169"/>
      <c r="HK165" s="169"/>
      <c r="HL165" s="169"/>
      <c r="HM165" s="169"/>
      <c r="HN165" s="169"/>
      <c r="HO165" s="169"/>
      <c r="HP165" s="169"/>
      <c r="HQ165" s="169"/>
      <c r="HR165" s="169"/>
      <c r="HS165" s="169"/>
      <c r="HT165" s="169"/>
      <c r="HU165" s="169"/>
      <c r="HV165" s="169"/>
      <c r="HW165" s="169"/>
      <c r="HX165" s="169"/>
      <c r="HY165" s="169"/>
      <c r="HZ165" s="169"/>
      <c r="IA165" s="169"/>
      <c r="IB165" s="169"/>
      <c r="IC165" s="169"/>
      <c r="ID165" s="169"/>
      <c r="IE165" s="169"/>
      <c r="IF165" s="169"/>
      <c r="IG165" s="169"/>
      <c r="IH165" s="169"/>
      <c r="II165" s="169"/>
      <c r="IJ165" s="169"/>
      <c r="IK165" s="169"/>
      <c r="IL165" s="169"/>
      <c r="IM165" s="169"/>
      <c r="IN165" s="169"/>
      <c r="IO165" s="169"/>
      <c r="IP165" s="169"/>
      <c r="IQ165" s="169"/>
      <c r="IR165" s="169"/>
      <c r="IS165" s="169"/>
      <c r="IT165" s="169"/>
      <c r="IU165" s="169"/>
      <c r="IV165" s="169"/>
    </row>
    <row r="166" spans="1:256" s="305" customFormat="1" ht="13.8" hidden="1">
      <c r="A166" s="297"/>
      <c r="B166" s="345"/>
      <c r="C166" s="306"/>
      <c r="D166" s="298"/>
      <c r="E166" s="298"/>
      <c r="F166" s="298"/>
      <c r="G166" s="298"/>
      <c r="H166" s="298"/>
      <c r="I166" s="298"/>
      <c r="J166" s="299"/>
      <c r="K166" s="300"/>
      <c r="L166" s="301"/>
      <c r="M166" s="302"/>
      <c r="N166" s="339"/>
      <c r="O166" s="337"/>
      <c r="P166" s="337"/>
      <c r="Q166" s="339"/>
      <c r="R166" s="337"/>
      <c r="S166" s="337"/>
      <c r="T166" s="337"/>
      <c r="U166" s="337"/>
      <c r="V166" s="337"/>
      <c r="W166" s="337"/>
      <c r="X166" s="337"/>
      <c r="Y166" s="337"/>
      <c r="Z166" s="337"/>
      <c r="AA166" s="337"/>
      <c r="AB166" s="337"/>
      <c r="AC166" s="337"/>
      <c r="AD166" s="337"/>
      <c r="AE166" s="337"/>
      <c r="AF166" s="337"/>
      <c r="AG166" s="337"/>
      <c r="AH166" s="337"/>
      <c r="AI166" s="337"/>
      <c r="AJ166" s="337"/>
      <c r="AK166" s="337"/>
      <c r="AL166" s="337"/>
      <c r="AM166" s="337"/>
      <c r="AN166" s="337"/>
      <c r="AO166" s="337"/>
      <c r="AP166" s="337"/>
      <c r="AQ166" s="337"/>
      <c r="AR166" s="337"/>
      <c r="AS166" s="337"/>
      <c r="AT166" s="337"/>
      <c r="AU166" s="337"/>
      <c r="AV166" s="337"/>
      <c r="AW166" s="337"/>
      <c r="AX166" s="337"/>
      <c r="AY166" s="337"/>
      <c r="AZ166" s="337"/>
      <c r="BA166" s="337"/>
      <c r="BB166" s="337"/>
      <c r="BC166" s="337"/>
      <c r="BD166" s="337"/>
      <c r="BE166" s="337"/>
      <c r="BF166" s="337"/>
      <c r="BG166" s="337"/>
      <c r="BH166" s="337"/>
      <c r="BI166" s="337"/>
      <c r="BJ166" s="337"/>
      <c r="BK166" s="337"/>
      <c r="BL166" s="337"/>
      <c r="BM166" s="337"/>
      <c r="BN166" s="337"/>
      <c r="BO166" s="337"/>
      <c r="BP166" s="337"/>
      <c r="BQ166" s="337"/>
      <c r="BR166" s="337"/>
      <c r="BS166" s="337"/>
      <c r="BT166" s="337"/>
      <c r="BU166" s="337"/>
      <c r="BV166" s="337"/>
      <c r="BW166" s="337"/>
      <c r="BX166" s="337"/>
      <c r="BY166" s="337"/>
      <c r="BZ166" s="337"/>
      <c r="CA166" s="337"/>
      <c r="CB166" s="337"/>
      <c r="CC166" s="337"/>
      <c r="CD166" s="337"/>
      <c r="CE166" s="337"/>
      <c r="CF166" s="337"/>
      <c r="CG166" s="337"/>
      <c r="CH166" s="337"/>
      <c r="CI166" s="337"/>
      <c r="CJ166" s="337"/>
      <c r="CK166" s="337"/>
      <c r="CL166" s="337"/>
      <c r="CM166" s="337"/>
      <c r="CN166" s="337"/>
      <c r="CO166" s="337"/>
      <c r="CP166" s="337"/>
      <c r="CQ166" s="337"/>
      <c r="CR166" s="337"/>
      <c r="CS166" s="337"/>
      <c r="CT166" s="337"/>
      <c r="CU166" s="337"/>
      <c r="CV166" s="337"/>
      <c r="CW166" s="337"/>
      <c r="CX166" s="337"/>
      <c r="CY166" s="337"/>
      <c r="CZ166" s="337"/>
      <c r="DA166" s="337"/>
      <c r="DB166" s="337"/>
      <c r="DC166" s="337"/>
      <c r="DD166" s="337"/>
      <c r="DE166" s="337"/>
      <c r="DF166" s="337"/>
      <c r="DG166" s="337"/>
      <c r="DH166" s="337"/>
      <c r="DI166" s="337"/>
      <c r="DJ166" s="337"/>
      <c r="DK166" s="337"/>
      <c r="DL166" s="337"/>
      <c r="DM166" s="337"/>
      <c r="DN166" s="337"/>
      <c r="DO166" s="337"/>
      <c r="DP166" s="337"/>
      <c r="DQ166" s="337"/>
      <c r="DR166" s="337"/>
      <c r="DS166" s="337"/>
      <c r="DT166" s="337"/>
      <c r="DU166" s="337"/>
      <c r="DV166" s="337"/>
      <c r="DW166" s="337"/>
      <c r="DX166" s="337"/>
      <c r="DY166" s="337"/>
      <c r="DZ166" s="337"/>
      <c r="EA166" s="337"/>
      <c r="EB166" s="337"/>
      <c r="EC166" s="337"/>
      <c r="ED166" s="337"/>
      <c r="EE166" s="337"/>
      <c r="EF166" s="337"/>
      <c r="EG166" s="337"/>
      <c r="EH166" s="337"/>
      <c r="EI166" s="337"/>
      <c r="EJ166" s="337"/>
      <c r="EK166" s="337"/>
      <c r="EL166" s="337"/>
      <c r="EM166" s="337"/>
      <c r="EN166" s="337"/>
      <c r="EO166" s="337"/>
      <c r="EP166" s="337"/>
      <c r="EQ166" s="337"/>
      <c r="ER166" s="337"/>
      <c r="ES166" s="337"/>
      <c r="ET166" s="337"/>
      <c r="EU166" s="337"/>
      <c r="EV166" s="337"/>
      <c r="EW166" s="337"/>
      <c r="EX166" s="337"/>
      <c r="EY166" s="337"/>
      <c r="EZ166" s="337"/>
      <c r="FA166" s="337"/>
      <c r="FB166" s="337"/>
      <c r="FC166" s="337"/>
      <c r="FD166" s="337"/>
      <c r="FE166" s="337"/>
      <c r="FF166" s="337"/>
      <c r="FG166" s="339"/>
      <c r="FH166" s="339"/>
      <c r="FI166" s="339"/>
      <c r="FJ166" s="337"/>
      <c r="FK166" s="339"/>
      <c r="FL166" s="337"/>
      <c r="FM166" s="337"/>
      <c r="FN166" s="337"/>
      <c r="FO166" s="337"/>
      <c r="FP166" s="337"/>
      <c r="FQ166" s="337"/>
      <c r="FR166" s="337"/>
      <c r="FS166" s="337"/>
      <c r="FT166" s="337"/>
      <c r="FU166" s="339"/>
      <c r="FV166" s="339"/>
      <c r="FW166" s="337"/>
      <c r="FX166" s="337"/>
      <c r="FY166" s="337"/>
      <c r="FZ166" s="337"/>
      <c r="GA166" s="337"/>
      <c r="GB166" s="337"/>
      <c r="GC166" s="337"/>
      <c r="GD166" s="337"/>
      <c r="GE166" s="337"/>
      <c r="GF166" s="337"/>
      <c r="GG166" s="337"/>
      <c r="GH166" s="337"/>
      <c r="GI166" s="337"/>
      <c r="GJ166" s="337"/>
      <c r="GK166" s="337"/>
      <c r="GL166" s="337"/>
      <c r="GM166" s="337"/>
      <c r="GN166" s="337"/>
      <c r="GO166" s="337"/>
      <c r="GP166" s="337"/>
      <c r="GQ166" s="337"/>
      <c r="GR166" s="337"/>
      <c r="GS166" s="337"/>
      <c r="GT166" s="337"/>
      <c r="GU166" s="160" t="s">
        <v>3886</v>
      </c>
      <c r="GV166" s="169"/>
      <c r="GW166" s="169"/>
      <c r="GX166" s="169"/>
      <c r="GY166" s="169"/>
      <c r="GZ166" s="169"/>
      <c r="HA166" s="169"/>
      <c r="HB166" s="169"/>
      <c r="HC166" s="169"/>
      <c r="HD166" s="169"/>
      <c r="HE166" s="169"/>
      <c r="HF166" s="169"/>
      <c r="HG166" s="169"/>
      <c r="HH166" s="169"/>
      <c r="HI166" s="169"/>
      <c r="HJ166" s="169"/>
      <c r="HK166" s="169"/>
      <c r="HL166" s="169"/>
      <c r="HM166" s="169"/>
      <c r="HN166" s="169"/>
      <c r="HO166" s="169"/>
      <c r="HP166" s="169"/>
      <c r="HQ166" s="169"/>
      <c r="HR166" s="169"/>
      <c r="HS166" s="169"/>
      <c r="HT166" s="169"/>
      <c r="HU166" s="169"/>
      <c r="HV166" s="169"/>
      <c r="HW166" s="169"/>
      <c r="HX166" s="169"/>
      <c r="HY166" s="169"/>
      <c r="HZ166" s="169"/>
      <c r="IA166" s="169"/>
      <c r="IB166" s="169"/>
      <c r="IC166" s="169"/>
      <c r="ID166" s="169"/>
      <c r="IE166" s="169"/>
      <c r="IF166" s="169"/>
      <c r="IG166" s="169"/>
      <c r="IH166" s="169"/>
      <c r="II166" s="169"/>
      <c r="IJ166" s="169"/>
      <c r="IK166" s="169"/>
      <c r="IL166" s="169"/>
      <c r="IM166" s="169"/>
      <c r="IN166" s="169"/>
      <c r="IO166" s="169"/>
      <c r="IP166" s="169"/>
      <c r="IQ166" s="169"/>
      <c r="IR166" s="169"/>
      <c r="IS166" s="169"/>
      <c r="IT166" s="169"/>
      <c r="IU166" s="169"/>
      <c r="IV166" s="169"/>
    </row>
    <row r="167" spans="1:256" ht="13.8" hidden="1">
      <c r="A167" s="308"/>
      <c r="B167" s="216"/>
      <c r="C167" s="309"/>
      <c r="D167" s="197"/>
      <c r="E167" s="197"/>
      <c r="F167" s="197"/>
      <c r="G167" s="197"/>
      <c r="H167" s="197"/>
      <c r="I167" s="197"/>
      <c r="J167" s="198"/>
      <c r="K167" s="199"/>
      <c r="L167" s="200"/>
      <c r="M167" s="302"/>
      <c r="N167" s="68"/>
      <c r="O167" s="316"/>
      <c r="P167" s="316"/>
      <c r="Q167" s="68"/>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c r="AS167" s="316"/>
      <c r="AT167" s="316"/>
      <c r="AU167" s="316"/>
      <c r="AV167" s="316"/>
      <c r="AW167" s="316"/>
      <c r="AX167" s="316"/>
      <c r="AY167" s="316"/>
      <c r="AZ167" s="316"/>
      <c r="BA167" s="316"/>
      <c r="BB167" s="316"/>
      <c r="BC167" s="316"/>
      <c r="BD167" s="316"/>
      <c r="BE167" s="316"/>
      <c r="BF167" s="316"/>
      <c r="BG167" s="316"/>
      <c r="BH167" s="316"/>
      <c r="BI167" s="316"/>
      <c r="BJ167" s="316"/>
      <c r="BK167" s="316"/>
      <c r="BL167" s="316"/>
      <c r="BM167" s="316"/>
      <c r="BN167" s="316"/>
      <c r="BO167" s="316"/>
      <c r="BP167" s="316"/>
      <c r="BQ167" s="316"/>
      <c r="BR167" s="316"/>
      <c r="BS167" s="316"/>
      <c r="BT167" s="316"/>
      <c r="BU167" s="316"/>
      <c r="BV167" s="316"/>
      <c r="BW167" s="316"/>
      <c r="BX167" s="316"/>
      <c r="BY167" s="316"/>
      <c r="BZ167" s="316"/>
      <c r="CA167" s="316"/>
      <c r="CB167" s="316"/>
      <c r="CC167" s="316"/>
      <c r="CD167" s="316"/>
      <c r="CE167" s="316"/>
      <c r="CF167" s="316"/>
      <c r="CG167" s="316"/>
      <c r="CH167" s="316"/>
      <c r="CI167" s="316"/>
      <c r="CJ167" s="316"/>
      <c r="CK167" s="316"/>
      <c r="CL167" s="316"/>
      <c r="CM167" s="316"/>
      <c r="CN167" s="316"/>
      <c r="CO167" s="316"/>
      <c r="CP167" s="316"/>
      <c r="CQ167" s="316"/>
      <c r="CR167" s="316"/>
      <c r="CS167" s="316"/>
      <c r="CT167" s="316"/>
      <c r="CU167" s="316"/>
      <c r="CV167" s="316"/>
      <c r="CW167" s="316"/>
      <c r="CX167" s="316"/>
      <c r="CY167" s="316"/>
      <c r="CZ167" s="316"/>
      <c r="DA167" s="316"/>
      <c r="DB167" s="316"/>
      <c r="DC167" s="316"/>
      <c r="DD167" s="316"/>
      <c r="DE167" s="316"/>
      <c r="DF167" s="316"/>
      <c r="DG167" s="316"/>
      <c r="DH167" s="316"/>
      <c r="DI167" s="316"/>
      <c r="DJ167" s="316"/>
      <c r="DK167" s="316"/>
      <c r="DL167" s="316"/>
      <c r="DM167" s="316"/>
      <c r="DN167" s="316"/>
      <c r="DO167" s="316"/>
      <c r="DP167" s="316"/>
      <c r="DQ167" s="316"/>
      <c r="DR167" s="316"/>
      <c r="DS167" s="316"/>
      <c r="DT167" s="316"/>
      <c r="DU167" s="316"/>
      <c r="DV167" s="316"/>
      <c r="DW167" s="316"/>
      <c r="DX167" s="316"/>
      <c r="DY167" s="316"/>
      <c r="DZ167" s="316"/>
      <c r="EA167" s="316"/>
      <c r="EB167" s="316"/>
      <c r="EC167" s="316"/>
      <c r="ED167" s="316"/>
      <c r="EE167" s="316"/>
      <c r="EF167" s="316"/>
      <c r="EG167" s="316"/>
      <c r="EH167" s="316"/>
      <c r="EI167" s="316"/>
      <c r="EJ167" s="316"/>
      <c r="EK167" s="316"/>
      <c r="EL167" s="316"/>
      <c r="EM167" s="316"/>
      <c r="EN167" s="316"/>
      <c r="EO167" s="316"/>
      <c r="EP167" s="316"/>
      <c r="EQ167" s="316"/>
      <c r="ER167" s="316"/>
      <c r="ES167" s="316"/>
      <c r="ET167" s="316"/>
      <c r="EU167" s="316"/>
      <c r="EV167" s="316"/>
      <c r="EW167" s="316"/>
      <c r="EX167" s="316"/>
      <c r="EY167" s="316"/>
      <c r="EZ167" s="316"/>
      <c r="FA167" s="316"/>
      <c r="FB167" s="316"/>
      <c r="FC167" s="316"/>
      <c r="FD167" s="316"/>
      <c r="FE167" s="316"/>
      <c r="FF167" s="316"/>
      <c r="FG167" s="68"/>
      <c r="FH167" s="68"/>
      <c r="FI167" s="68"/>
      <c r="FJ167" s="316"/>
      <c r="FK167" s="68"/>
      <c r="FL167" s="316"/>
      <c r="FM167" s="316"/>
      <c r="FN167" s="316"/>
      <c r="FO167" s="316"/>
      <c r="FP167" s="316"/>
      <c r="FQ167" s="316"/>
      <c r="FR167" s="316"/>
      <c r="FS167" s="316"/>
      <c r="FT167" s="316"/>
      <c r="FU167" s="68"/>
      <c r="FV167" s="68"/>
      <c r="FW167" s="316"/>
      <c r="FX167" s="316"/>
      <c r="FY167" s="316"/>
      <c r="FZ167" s="316"/>
      <c r="GA167" s="316"/>
      <c r="GB167" s="316"/>
      <c r="GC167" s="316"/>
      <c r="GD167" s="316"/>
      <c r="GE167" s="316"/>
      <c r="GF167" s="316"/>
      <c r="GG167" s="316"/>
      <c r="GH167" s="316"/>
      <c r="GI167" s="316"/>
      <c r="GJ167" s="316"/>
      <c r="GK167" s="316"/>
      <c r="GL167" s="316"/>
      <c r="GM167" s="316"/>
      <c r="GN167" s="316"/>
      <c r="GO167" s="316"/>
      <c r="GP167" s="316"/>
      <c r="GQ167" s="316"/>
      <c r="GR167" s="316"/>
      <c r="GS167" s="316"/>
      <c r="GT167" s="316"/>
      <c r="GU167" s="312"/>
    </row>
    <row r="168" spans="1:256" ht="13.8" hidden="1">
      <c r="A168" s="308"/>
      <c r="B168" s="216"/>
      <c r="C168" s="309"/>
      <c r="D168" s="197"/>
      <c r="E168" s="197"/>
      <c r="F168" s="197"/>
      <c r="G168" s="197"/>
      <c r="H168" s="197"/>
      <c r="I168" s="197"/>
      <c r="J168" s="198"/>
      <c r="K168" s="199"/>
      <c r="L168" s="200"/>
      <c r="M168" s="302"/>
      <c r="N168" s="314"/>
      <c r="O168" s="202"/>
      <c r="P168" s="202"/>
      <c r="Q168" s="314"/>
      <c r="R168" s="202"/>
      <c r="S168" s="202"/>
      <c r="T168" s="202"/>
      <c r="U168" s="202"/>
      <c r="V168" s="202"/>
      <c r="W168" s="202"/>
      <c r="X168" s="202"/>
      <c r="Y168" s="202"/>
      <c r="Z168" s="202"/>
      <c r="AA168" s="202"/>
      <c r="AB168" s="202"/>
      <c r="AC168" s="202"/>
      <c r="AD168" s="202"/>
      <c r="AE168" s="202"/>
      <c r="AF168" s="202"/>
      <c r="AG168" s="202"/>
      <c r="AH168" s="202"/>
      <c r="AI168" s="202"/>
      <c r="AJ168" s="202"/>
      <c r="AK168" s="202"/>
      <c r="AL168" s="202"/>
      <c r="AM168" s="202"/>
      <c r="AN168" s="202"/>
      <c r="AO168" s="202"/>
      <c r="AP168" s="202"/>
      <c r="AQ168" s="202"/>
      <c r="AR168" s="202"/>
      <c r="AS168" s="202"/>
      <c r="AT168" s="202"/>
      <c r="AU168" s="202"/>
      <c r="AV168" s="202"/>
      <c r="AW168" s="202"/>
      <c r="AX168" s="202"/>
      <c r="AY168" s="202"/>
      <c r="AZ168" s="202"/>
      <c r="BA168" s="202"/>
      <c r="BB168" s="202"/>
      <c r="BC168" s="202"/>
      <c r="BD168" s="202"/>
      <c r="BE168" s="202"/>
      <c r="BF168" s="202"/>
      <c r="BG168" s="202"/>
      <c r="BH168" s="202"/>
      <c r="BI168" s="202"/>
      <c r="BJ168" s="202"/>
      <c r="BK168" s="202"/>
      <c r="BL168" s="202"/>
      <c r="BM168" s="202"/>
      <c r="BN168" s="202"/>
      <c r="BO168" s="202"/>
      <c r="BP168" s="202"/>
      <c r="BQ168" s="202"/>
      <c r="BR168" s="202"/>
      <c r="BS168" s="202"/>
      <c r="BT168" s="202"/>
      <c r="BU168" s="202"/>
      <c r="BV168" s="202"/>
      <c r="BW168" s="202"/>
      <c r="BX168" s="202"/>
      <c r="BY168" s="202"/>
      <c r="BZ168" s="202"/>
      <c r="CA168" s="202"/>
      <c r="CB168" s="202"/>
      <c r="CC168" s="202"/>
      <c r="CD168" s="202"/>
      <c r="CE168" s="202"/>
      <c r="CF168" s="202"/>
      <c r="CG168" s="202"/>
      <c r="CH168" s="202"/>
      <c r="CI168" s="202"/>
      <c r="CJ168" s="202"/>
      <c r="CK168" s="202"/>
      <c r="CL168" s="202"/>
      <c r="CM168" s="202"/>
      <c r="CN168" s="202"/>
      <c r="CO168" s="202"/>
      <c r="CP168" s="202"/>
      <c r="CQ168" s="202"/>
      <c r="CR168" s="202"/>
      <c r="CS168" s="202"/>
      <c r="CT168" s="202"/>
      <c r="CU168" s="202"/>
      <c r="CV168" s="202"/>
      <c r="CW168" s="202"/>
      <c r="CX168" s="202"/>
      <c r="CY168" s="202"/>
      <c r="CZ168" s="202"/>
      <c r="DA168" s="202"/>
      <c r="DB168" s="202"/>
      <c r="DC168" s="202"/>
      <c r="DD168" s="202"/>
      <c r="DE168" s="202"/>
      <c r="DF168" s="202"/>
      <c r="DG168" s="202"/>
      <c r="DH168" s="202"/>
      <c r="DI168" s="202"/>
      <c r="DJ168" s="202"/>
      <c r="DK168" s="202"/>
      <c r="DL168" s="202"/>
      <c r="DM168" s="202"/>
      <c r="DN168" s="202"/>
      <c r="DO168" s="202"/>
      <c r="DP168" s="202"/>
      <c r="DQ168" s="202"/>
      <c r="DR168" s="202"/>
      <c r="DS168" s="202"/>
      <c r="DT168" s="202"/>
      <c r="DU168" s="202"/>
      <c r="DV168" s="202"/>
      <c r="DW168" s="202"/>
      <c r="DX168" s="202"/>
      <c r="DY168" s="202"/>
      <c r="DZ168" s="202"/>
      <c r="EA168" s="202"/>
      <c r="EB168" s="202"/>
      <c r="EC168" s="202"/>
      <c r="ED168" s="202"/>
      <c r="EE168" s="202"/>
      <c r="EF168" s="202"/>
      <c r="EG168" s="202"/>
      <c r="EH168" s="202"/>
      <c r="EI168" s="202"/>
      <c r="EJ168" s="202"/>
      <c r="EK168" s="202"/>
      <c r="EL168" s="202"/>
      <c r="EM168" s="202"/>
      <c r="EN168" s="202"/>
      <c r="EO168" s="202"/>
      <c r="EP168" s="202"/>
      <c r="EQ168" s="202"/>
      <c r="ER168" s="202"/>
      <c r="ES168" s="202"/>
      <c r="ET168" s="202"/>
      <c r="EU168" s="202"/>
      <c r="EV168" s="202"/>
      <c r="EW168" s="202"/>
      <c r="EX168" s="202"/>
      <c r="EY168" s="202"/>
      <c r="EZ168" s="202"/>
      <c r="FA168" s="202"/>
      <c r="FB168" s="202"/>
      <c r="FC168" s="202"/>
      <c r="FD168" s="202"/>
      <c r="FE168" s="202"/>
      <c r="FF168" s="202"/>
      <c r="FG168" s="314"/>
      <c r="FH168" s="314"/>
      <c r="FI168" s="314"/>
      <c r="FJ168" s="202"/>
      <c r="FK168" s="314"/>
      <c r="FL168" s="202"/>
      <c r="FM168" s="202"/>
      <c r="FN168" s="202"/>
      <c r="FO168" s="202"/>
      <c r="FP168" s="202"/>
      <c r="FQ168" s="202"/>
      <c r="FR168" s="202"/>
      <c r="FS168" s="202"/>
      <c r="FT168" s="202"/>
      <c r="FU168" s="314"/>
      <c r="FV168" s="314"/>
      <c r="FW168" s="202"/>
      <c r="FX168" s="202"/>
      <c r="FY168" s="202"/>
      <c r="FZ168" s="202"/>
      <c r="GA168" s="202"/>
      <c r="GB168" s="202"/>
      <c r="GC168" s="202"/>
      <c r="GD168" s="202"/>
      <c r="GE168" s="202"/>
      <c r="GF168" s="202"/>
      <c r="GG168" s="202"/>
      <c r="GH168" s="202"/>
      <c r="GI168" s="202"/>
      <c r="GJ168" s="202"/>
      <c r="GK168" s="202"/>
      <c r="GL168" s="202"/>
      <c r="GM168" s="202"/>
      <c r="GN168" s="202"/>
      <c r="GO168" s="202"/>
      <c r="GP168" s="202"/>
      <c r="GQ168" s="202"/>
      <c r="GR168" s="202"/>
      <c r="GS168" s="202"/>
      <c r="GT168" s="202"/>
      <c r="GU168" s="312"/>
    </row>
    <row r="169" spans="1:256" s="305" customFormat="1" ht="13.8" hidden="1">
      <c r="A169" s="297"/>
      <c r="B169" s="374"/>
      <c r="C169" s="306"/>
      <c r="D169" s="298"/>
      <c r="E169" s="298"/>
      <c r="F169" s="298"/>
      <c r="G169" s="298"/>
      <c r="H169" s="298"/>
      <c r="I169" s="298"/>
      <c r="J169" s="299"/>
      <c r="K169" s="300"/>
      <c r="L169" s="301"/>
      <c r="M169" s="302"/>
      <c r="N169" s="339"/>
      <c r="O169" s="337"/>
      <c r="P169" s="337"/>
      <c r="Q169" s="339"/>
      <c r="R169" s="337"/>
      <c r="S169" s="337"/>
      <c r="T169" s="337"/>
      <c r="U169" s="337"/>
      <c r="V169" s="337"/>
      <c r="W169" s="337"/>
      <c r="X169" s="337"/>
      <c r="Y169" s="337"/>
      <c r="Z169" s="337"/>
      <c r="AA169" s="337"/>
      <c r="AB169" s="337"/>
      <c r="AC169" s="337"/>
      <c r="AD169" s="337"/>
      <c r="AE169" s="337"/>
      <c r="AF169" s="337"/>
      <c r="AG169" s="337"/>
      <c r="AH169" s="337"/>
      <c r="AI169" s="337"/>
      <c r="AJ169" s="337"/>
      <c r="AK169" s="337"/>
      <c r="AL169" s="337"/>
      <c r="AM169" s="337"/>
      <c r="AN169" s="337"/>
      <c r="AO169" s="337"/>
      <c r="AP169" s="337"/>
      <c r="AQ169" s="337"/>
      <c r="AR169" s="337"/>
      <c r="AS169" s="337"/>
      <c r="AT169" s="337"/>
      <c r="AU169" s="337"/>
      <c r="AV169" s="337"/>
      <c r="AW169" s="337"/>
      <c r="AX169" s="337"/>
      <c r="AY169" s="337"/>
      <c r="AZ169" s="337"/>
      <c r="BA169" s="337"/>
      <c r="BB169" s="337"/>
      <c r="BC169" s="337"/>
      <c r="BD169" s="337"/>
      <c r="BE169" s="337"/>
      <c r="BF169" s="337"/>
      <c r="BG169" s="337"/>
      <c r="BH169" s="337"/>
      <c r="BI169" s="337"/>
      <c r="BJ169" s="337"/>
      <c r="BK169" s="337"/>
      <c r="BL169" s="337"/>
      <c r="BM169" s="337"/>
      <c r="BN169" s="337"/>
      <c r="BO169" s="337"/>
      <c r="BP169" s="337"/>
      <c r="BQ169" s="337"/>
      <c r="BR169" s="337"/>
      <c r="BS169" s="337"/>
      <c r="BT169" s="337"/>
      <c r="BU169" s="337"/>
      <c r="BV169" s="337"/>
      <c r="BW169" s="337"/>
      <c r="BX169" s="337"/>
      <c r="BY169" s="337"/>
      <c r="BZ169" s="337"/>
      <c r="CA169" s="337"/>
      <c r="CB169" s="337"/>
      <c r="CC169" s="337"/>
      <c r="CD169" s="337"/>
      <c r="CE169" s="337"/>
      <c r="CF169" s="337"/>
      <c r="CG169" s="337"/>
      <c r="CH169" s="337"/>
      <c r="CI169" s="337"/>
      <c r="CJ169" s="337"/>
      <c r="CK169" s="337"/>
      <c r="CL169" s="337"/>
      <c r="CM169" s="337"/>
      <c r="CN169" s="337"/>
      <c r="CO169" s="337"/>
      <c r="CP169" s="337"/>
      <c r="CQ169" s="337"/>
      <c r="CR169" s="337"/>
      <c r="CS169" s="337"/>
      <c r="CT169" s="337"/>
      <c r="CU169" s="337"/>
      <c r="CV169" s="337"/>
      <c r="CW169" s="337"/>
      <c r="CX169" s="337"/>
      <c r="CY169" s="337"/>
      <c r="CZ169" s="337"/>
      <c r="DA169" s="337"/>
      <c r="DB169" s="337"/>
      <c r="DC169" s="337"/>
      <c r="DD169" s="337"/>
      <c r="DE169" s="337"/>
      <c r="DF169" s="337"/>
      <c r="DG169" s="337"/>
      <c r="DH169" s="337"/>
      <c r="DI169" s="337"/>
      <c r="DJ169" s="337"/>
      <c r="DK169" s="337"/>
      <c r="DL169" s="337"/>
      <c r="DM169" s="337"/>
      <c r="DN169" s="337"/>
      <c r="DO169" s="337"/>
      <c r="DP169" s="337"/>
      <c r="DQ169" s="337"/>
      <c r="DR169" s="337"/>
      <c r="DS169" s="337"/>
      <c r="DT169" s="337"/>
      <c r="DU169" s="337"/>
      <c r="DV169" s="337"/>
      <c r="DW169" s="337"/>
      <c r="DX169" s="337"/>
      <c r="DY169" s="337"/>
      <c r="DZ169" s="337"/>
      <c r="EA169" s="337"/>
      <c r="EB169" s="337"/>
      <c r="EC169" s="337"/>
      <c r="ED169" s="337"/>
      <c r="EE169" s="337"/>
      <c r="EF169" s="337"/>
      <c r="EG169" s="337"/>
      <c r="EH169" s="337"/>
      <c r="EI169" s="337"/>
      <c r="EJ169" s="337"/>
      <c r="EK169" s="337"/>
      <c r="EL169" s="337"/>
      <c r="EM169" s="337"/>
      <c r="EN169" s="337"/>
      <c r="EO169" s="337"/>
      <c r="EP169" s="337"/>
      <c r="EQ169" s="337"/>
      <c r="ER169" s="337"/>
      <c r="ES169" s="337"/>
      <c r="ET169" s="337"/>
      <c r="EU169" s="337"/>
      <c r="EV169" s="337"/>
      <c r="EW169" s="337"/>
      <c r="EX169" s="337"/>
      <c r="EY169" s="337"/>
      <c r="EZ169" s="337"/>
      <c r="FA169" s="337"/>
      <c r="FB169" s="337"/>
      <c r="FC169" s="337"/>
      <c r="FD169" s="337"/>
      <c r="FE169" s="337"/>
      <c r="FF169" s="337"/>
      <c r="FG169" s="339"/>
      <c r="FH169" s="339"/>
      <c r="FI169" s="339"/>
      <c r="FJ169" s="337"/>
      <c r="FK169" s="339"/>
      <c r="FL169" s="337"/>
      <c r="FM169" s="337"/>
      <c r="FN169" s="337"/>
      <c r="FO169" s="337"/>
      <c r="FP169" s="337"/>
      <c r="FQ169" s="337"/>
      <c r="FR169" s="337"/>
      <c r="FS169" s="337"/>
      <c r="FT169" s="337"/>
      <c r="FU169" s="339"/>
      <c r="FV169" s="339"/>
      <c r="FW169" s="337"/>
      <c r="FX169" s="337"/>
      <c r="FY169" s="337"/>
      <c r="FZ169" s="337"/>
      <c r="GA169" s="337"/>
      <c r="GB169" s="337"/>
      <c r="GC169" s="337"/>
      <c r="GD169" s="337"/>
      <c r="GE169" s="337"/>
      <c r="GF169" s="337"/>
      <c r="GG169" s="337"/>
      <c r="GH169" s="337"/>
      <c r="GI169" s="337"/>
      <c r="GJ169" s="337"/>
      <c r="GK169" s="337"/>
      <c r="GL169" s="337"/>
      <c r="GM169" s="337"/>
      <c r="GN169" s="337"/>
      <c r="GO169" s="337"/>
      <c r="GP169" s="337"/>
      <c r="GQ169" s="337"/>
      <c r="GR169" s="337"/>
      <c r="GS169" s="337"/>
      <c r="GT169" s="337"/>
      <c r="GU169" s="160" t="s">
        <v>3886</v>
      </c>
      <c r="GV169" s="169"/>
      <c r="GW169" s="169"/>
      <c r="GX169" s="169"/>
      <c r="GY169" s="169"/>
      <c r="GZ169" s="169"/>
      <c r="HA169" s="169"/>
      <c r="HB169" s="169"/>
      <c r="HC169" s="169"/>
      <c r="HD169" s="169"/>
      <c r="HE169" s="169"/>
      <c r="HF169" s="169"/>
      <c r="HG169" s="169"/>
      <c r="HH169" s="169"/>
      <c r="HI169" s="169"/>
      <c r="HJ169" s="169"/>
      <c r="HK169" s="169"/>
      <c r="HL169" s="169"/>
      <c r="HM169" s="169"/>
      <c r="HN169" s="169"/>
      <c r="HO169" s="169"/>
      <c r="HP169" s="169"/>
      <c r="HQ169" s="169"/>
      <c r="HR169" s="169"/>
      <c r="HS169" s="169"/>
      <c r="HT169" s="169"/>
      <c r="HU169" s="169"/>
      <c r="HV169" s="169"/>
      <c r="HW169" s="169"/>
      <c r="HX169" s="169"/>
      <c r="HY169" s="169"/>
      <c r="HZ169" s="169"/>
      <c r="IA169" s="169"/>
      <c r="IB169" s="169"/>
      <c r="IC169" s="169"/>
      <c r="ID169" s="169"/>
      <c r="IE169" s="169"/>
      <c r="IF169" s="169"/>
      <c r="IG169" s="169"/>
      <c r="IH169" s="169"/>
      <c r="II169" s="169"/>
      <c r="IJ169" s="169"/>
      <c r="IK169" s="169"/>
      <c r="IL169" s="169"/>
      <c r="IM169" s="169"/>
      <c r="IN169" s="169"/>
      <c r="IO169" s="169"/>
      <c r="IP169" s="169"/>
      <c r="IQ169" s="169"/>
      <c r="IR169" s="169"/>
      <c r="IS169" s="169"/>
      <c r="IT169" s="169"/>
      <c r="IU169" s="169"/>
      <c r="IV169" s="169"/>
    </row>
    <row r="170" spans="1:256" ht="13.8" hidden="1">
      <c r="A170" s="308"/>
      <c r="B170" s="375"/>
      <c r="C170" s="309"/>
      <c r="D170" s="197"/>
      <c r="E170" s="197"/>
      <c r="F170" s="197"/>
      <c r="G170" s="197"/>
      <c r="H170" s="197"/>
      <c r="I170" s="197"/>
      <c r="J170" s="198"/>
      <c r="K170" s="199"/>
      <c r="L170" s="200"/>
      <c r="M170" s="302"/>
      <c r="N170" s="314"/>
      <c r="O170" s="202"/>
      <c r="P170" s="202"/>
      <c r="Q170" s="314"/>
      <c r="R170" s="202"/>
      <c r="S170" s="202"/>
      <c r="T170" s="202"/>
      <c r="U170" s="202"/>
      <c r="V170" s="202"/>
      <c r="W170" s="202"/>
      <c r="X170" s="202"/>
      <c r="Y170" s="202"/>
      <c r="Z170" s="202"/>
      <c r="AA170" s="202"/>
      <c r="AB170" s="202"/>
      <c r="AC170" s="202"/>
      <c r="AD170" s="202"/>
      <c r="AE170" s="202"/>
      <c r="AF170" s="202"/>
      <c r="AG170" s="202"/>
      <c r="AH170" s="202"/>
      <c r="AI170" s="202"/>
      <c r="AJ170" s="202"/>
      <c r="AK170" s="202"/>
      <c r="AL170" s="202"/>
      <c r="AM170" s="202"/>
      <c r="AN170" s="202"/>
      <c r="AO170" s="202"/>
      <c r="AP170" s="202"/>
      <c r="AQ170" s="202"/>
      <c r="AR170" s="202"/>
      <c r="AS170" s="202"/>
      <c r="AT170" s="202"/>
      <c r="AU170" s="202"/>
      <c r="AV170" s="202"/>
      <c r="AW170" s="202"/>
      <c r="AX170" s="202"/>
      <c r="AY170" s="202"/>
      <c r="AZ170" s="202"/>
      <c r="BA170" s="202"/>
      <c r="BB170" s="202"/>
      <c r="BC170" s="202"/>
      <c r="BD170" s="202"/>
      <c r="BE170" s="202"/>
      <c r="BF170" s="202"/>
      <c r="BG170" s="202"/>
      <c r="BH170" s="202"/>
      <c r="BI170" s="202"/>
      <c r="BJ170" s="202"/>
      <c r="BK170" s="202"/>
      <c r="BL170" s="202"/>
      <c r="BM170" s="202"/>
      <c r="BN170" s="202"/>
      <c r="BO170" s="202"/>
      <c r="BP170" s="202"/>
      <c r="BQ170" s="202"/>
      <c r="BR170" s="202"/>
      <c r="BS170" s="202"/>
      <c r="BT170" s="202"/>
      <c r="BU170" s="202"/>
      <c r="BV170" s="202"/>
      <c r="BW170" s="202"/>
      <c r="BX170" s="202"/>
      <c r="BY170" s="202"/>
      <c r="BZ170" s="202"/>
      <c r="CA170" s="202"/>
      <c r="CB170" s="202"/>
      <c r="CC170" s="202"/>
      <c r="CD170" s="202"/>
      <c r="CE170" s="202"/>
      <c r="CF170" s="202"/>
      <c r="CG170" s="202"/>
      <c r="CH170" s="202"/>
      <c r="CI170" s="202"/>
      <c r="CJ170" s="202"/>
      <c r="CK170" s="202"/>
      <c r="CL170" s="202"/>
      <c r="CM170" s="202"/>
      <c r="CN170" s="202"/>
      <c r="CO170" s="202"/>
      <c r="CP170" s="202"/>
      <c r="CQ170" s="202"/>
      <c r="CR170" s="202"/>
      <c r="CS170" s="202"/>
      <c r="CT170" s="202"/>
      <c r="CU170" s="202"/>
      <c r="CV170" s="202"/>
      <c r="CW170" s="202"/>
      <c r="CX170" s="202"/>
      <c r="CY170" s="202"/>
      <c r="CZ170" s="202"/>
      <c r="DA170" s="202"/>
      <c r="DB170" s="202"/>
      <c r="DC170" s="202"/>
      <c r="DD170" s="202"/>
      <c r="DE170" s="202"/>
      <c r="DF170" s="202"/>
      <c r="DG170" s="202"/>
      <c r="DH170" s="202"/>
      <c r="DI170" s="202"/>
      <c r="DJ170" s="202"/>
      <c r="DK170" s="202"/>
      <c r="DL170" s="202"/>
      <c r="DM170" s="202"/>
      <c r="DN170" s="202"/>
      <c r="DO170" s="202"/>
      <c r="DP170" s="202"/>
      <c r="DQ170" s="202"/>
      <c r="DR170" s="202"/>
      <c r="DS170" s="202"/>
      <c r="DT170" s="202"/>
      <c r="DU170" s="202"/>
      <c r="DV170" s="202"/>
      <c r="DW170" s="202"/>
      <c r="DX170" s="202"/>
      <c r="DY170" s="202"/>
      <c r="DZ170" s="202"/>
      <c r="EA170" s="202"/>
      <c r="EB170" s="202"/>
      <c r="EC170" s="202"/>
      <c r="ED170" s="202"/>
      <c r="EE170" s="202"/>
      <c r="EF170" s="202"/>
      <c r="EG170" s="202"/>
      <c r="EH170" s="202"/>
      <c r="EI170" s="202"/>
      <c r="EJ170" s="202"/>
      <c r="EK170" s="202"/>
      <c r="EL170" s="202"/>
      <c r="EM170" s="202"/>
      <c r="EN170" s="202"/>
      <c r="EO170" s="202"/>
      <c r="EP170" s="202"/>
      <c r="EQ170" s="202"/>
      <c r="ER170" s="202"/>
      <c r="ES170" s="202"/>
      <c r="ET170" s="202"/>
      <c r="EU170" s="202"/>
      <c r="EV170" s="202"/>
      <c r="EW170" s="202"/>
      <c r="EX170" s="202"/>
      <c r="EY170" s="202"/>
      <c r="EZ170" s="202"/>
      <c r="FA170" s="202"/>
      <c r="FB170" s="202"/>
      <c r="FC170" s="202"/>
      <c r="FD170" s="202"/>
      <c r="FE170" s="202"/>
      <c r="FF170" s="202"/>
      <c r="FG170" s="314"/>
      <c r="FH170" s="314"/>
      <c r="FI170" s="314"/>
      <c r="FJ170" s="202"/>
      <c r="FK170" s="314"/>
      <c r="FL170" s="202"/>
      <c r="FM170" s="202"/>
      <c r="FN170" s="202"/>
      <c r="FO170" s="202"/>
      <c r="FP170" s="202"/>
      <c r="FQ170" s="202"/>
      <c r="FR170" s="202"/>
      <c r="FS170" s="202"/>
      <c r="FT170" s="202"/>
      <c r="FU170" s="314"/>
      <c r="FV170" s="314"/>
      <c r="FW170" s="202"/>
      <c r="FX170" s="202"/>
      <c r="FY170" s="202"/>
      <c r="FZ170" s="202"/>
      <c r="GA170" s="202"/>
      <c r="GB170" s="202"/>
      <c r="GC170" s="202"/>
      <c r="GD170" s="202"/>
      <c r="GE170" s="202"/>
      <c r="GF170" s="202"/>
      <c r="GG170" s="202"/>
      <c r="GH170" s="202"/>
      <c r="GI170" s="202"/>
      <c r="GJ170" s="202"/>
      <c r="GK170" s="202"/>
      <c r="GL170" s="202"/>
      <c r="GM170" s="202"/>
      <c r="GN170" s="202"/>
      <c r="GO170" s="202"/>
      <c r="GP170" s="202"/>
      <c r="GQ170" s="202"/>
      <c r="GR170" s="202"/>
      <c r="GS170" s="202"/>
      <c r="GT170" s="202"/>
      <c r="GU170" s="312"/>
    </row>
    <row r="171" spans="1:256" s="305" customFormat="1" ht="13.8" hidden="1">
      <c r="A171" s="297"/>
      <c r="B171" s="345"/>
      <c r="C171" s="306"/>
      <c r="D171" s="298"/>
      <c r="E171" s="298"/>
      <c r="F171" s="298"/>
      <c r="G171" s="298"/>
      <c r="H171" s="298"/>
      <c r="I171" s="298"/>
      <c r="J171" s="299"/>
      <c r="K171" s="300"/>
      <c r="L171" s="301"/>
      <c r="M171" s="302"/>
      <c r="N171" s="376"/>
      <c r="O171" s="337"/>
      <c r="P171" s="337"/>
      <c r="Q171" s="376"/>
      <c r="R171" s="337"/>
      <c r="S171" s="337"/>
      <c r="T171" s="337"/>
      <c r="U171" s="337"/>
      <c r="V171" s="337"/>
      <c r="W171" s="337"/>
      <c r="X171" s="337"/>
      <c r="Y171" s="337"/>
      <c r="Z171" s="337"/>
      <c r="AA171" s="337"/>
      <c r="AB171" s="337"/>
      <c r="AC171" s="337"/>
      <c r="AD171" s="337"/>
      <c r="AE171" s="337"/>
      <c r="AF171" s="337"/>
      <c r="AG171" s="337"/>
      <c r="AH171" s="337"/>
      <c r="AI171" s="337"/>
      <c r="AJ171" s="337"/>
      <c r="AK171" s="337"/>
      <c r="AL171" s="337"/>
      <c r="AM171" s="337"/>
      <c r="AN171" s="337"/>
      <c r="AO171" s="337"/>
      <c r="AP171" s="337"/>
      <c r="AQ171" s="337"/>
      <c r="AR171" s="337"/>
      <c r="AS171" s="337"/>
      <c r="AT171" s="337"/>
      <c r="AU171" s="337"/>
      <c r="AV171" s="337"/>
      <c r="AW171" s="337"/>
      <c r="AX171" s="337"/>
      <c r="AY171" s="337"/>
      <c r="AZ171" s="337"/>
      <c r="BA171" s="337"/>
      <c r="BB171" s="337"/>
      <c r="BC171" s="337"/>
      <c r="BD171" s="337"/>
      <c r="BE171" s="337"/>
      <c r="BF171" s="337"/>
      <c r="BG171" s="337"/>
      <c r="BH171" s="337"/>
      <c r="BI171" s="337"/>
      <c r="BJ171" s="337"/>
      <c r="BK171" s="337"/>
      <c r="BL171" s="337"/>
      <c r="BM171" s="337"/>
      <c r="BN171" s="337"/>
      <c r="BO171" s="337"/>
      <c r="BP171" s="337"/>
      <c r="BQ171" s="337"/>
      <c r="BR171" s="337"/>
      <c r="BS171" s="337"/>
      <c r="BT171" s="337"/>
      <c r="BU171" s="337"/>
      <c r="BV171" s="337"/>
      <c r="BW171" s="337"/>
      <c r="BX171" s="337"/>
      <c r="BY171" s="337"/>
      <c r="BZ171" s="337"/>
      <c r="CA171" s="337"/>
      <c r="CB171" s="337"/>
      <c r="CC171" s="337"/>
      <c r="CD171" s="337"/>
      <c r="CE171" s="337"/>
      <c r="CF171" s="337"/>
      <c r="CG171" s="337"/>
      <c r="CH171" s="337"/>
      <c r="CI171" s="337"/>
      <c r="CJ171" s="337"/>
      <c r="CK171" s="337"/>
      <c r="CL171" s="337"/>
      <c r="CM171" s="337"/>
      <c r="CN171" s="337"/>
      <c r="CO171" s="337"/>
      <c r="CP171" s="337"/>
      <c r="CQ171" s="337"/>
      <c r="CR171" s="337"/>
      <c r="CS171" s="337"/>
      <c r="CT171" s="337"/>
      <c r="CU171" s="337"/>
      <c r="CV171" s="337"/>
      <c r="CW171" s="337"/>
      <c r="CX171" s="337"/>
      <c r="CY171" s="337"/>
      <c r="CZ171" s="337"/>
      <c r="DA171" s="337"/>
      <c r="DB171" s="337"/>
      <c r="DC171" s="337"/>
      <c r="DD171" s="337"/>
      <c r="DE171" s="337"/>
      <c r="DF171" s="337"/>
      <c r="DG171" s="337"/>
      <c r="DH171" s="337"/>
      <c r="DI171" s="337"/>
      <c r="DJ171" s="337"/>
      <c r="DK171" s="337"/>
      <c r="DL171" s="337"/>
      <c r="DM171" s="337"/>
      <c r="DN171" s="337"/>
      <c r="DO171" s="337"/>
      <c r="DP171" s="337"/>
      <c r="DQ171" s="337"/>
      <c r="DR171" s="337"/>
      <c r="DS171" s="337"/>
      <c r="DT171" s="337"/>
      <c r="DU171" s="337"/>
      <c r="DV171" s="337"/>
      <c r="DW171" s="337"/>
      <c r="DX171" s="337"/>
      <c r="DY171" s="337"/>
      <c r="DZ171" s="337"/>
      <c r="EA171" s="337"/>
      <c r="EB171" s="337"/>
      <c r="EC171" s="337"/>
      <c r="ED171" s="337"/>
      <c r="EE171" s="337"/>
      <c r="EF171" s="337"/>
      <c r="EG171" s="337"/>
      <c r="EH171" s="337"/>
      <c r="EI171" s="337"/>
      <c r="EJ171" s="337"/>
      <c r="EK171" s="337"/>
      <c r="EL171" s="337"/>
      <c r="EM171" s="337"/>
      <c r="EN171" s="337"/>
      <c r="EO171" s="337"/>
      <c r="EP171" s="337"/>
      <c r="EQ171" s="337"/>
      <c r="ER171" s="337"/>
      <c r="ES171" s="337"/>
      <c r="ET171" s="337"/>
      <c r="EU171" s="337"/>
      <c r="EV171" s="337"/>
      <c r="EW171" s="337"/>
      <c r="EX171" s="337"/>
      <c r="EY171" s="337"/>
      <c r="EZ171" s="337"/>
      <c r="FA171" s="337"/>
      <c r="FB171" s="337"/>
      <c r="FC171" s="337"/>
      <c r="FD171" s="337"/>
      <c r="FE171" s="337"/>
      <c r="FF171" s="337"/>
      <c r="FG171" s="376"/>
      <c r="FH171" s="339"/>
      <c r="FI171" s="376"/>
      <c r="FJ171" s="337"/>
      <c r="FK171" s="376"/>
      <c r="FL171" s="337"/>
      <c r="FM171" s="337"/>
      <c r="FN171" s="337"/>
      <c r="FO171" s="337"/>
      <c r="FP171" s="337"/>
      <c r="FQ171" s="337"/>
      <c r="FR171" s="337"/>
      <c r="FS171" s="337"/>
      <c r="FT171" s="337"/>
      <c r="FU171" s="376"/>
      <c r="FV171" s="376"/>
      <c r="FW171" s="337"/>
      <c r="FX171" s="337"/>
      <c r="FY171" s="337"/>
      <c r="FZ171" s="337"/>
      <c r="GA171" s="337"/>
      <c r="GB171" s="337"/>
      <c r="GC171" s="337"/>
      <c r="GD171" s="337"/>
      <c r="GE171" s="337"/>
      <c r="GF171" s="337"/>
      <c r="GG171" s="337"/>
      <c r="GH171" s="337"/>
      <c r="GI171" s="337"/>
      <c r="GJ171" s="337"/>
      <c r="GK171" s="337"/>
      <c r="GL171" s="337"/>
      <c r="GM171" s="337"/>
      <c r="GN171" s="337"/>
      <c r="GO171" s="337"/>
      <c r="GP171" s="337"/>
      <c r="GQ171" s="337"/>
      <c r="GR171" s="337"/>
      <c r="GS171" s="337"/>
      <c r="GT171" s="337"/>
      <c r="GU171" s="160" t="s">
        <v>3886</v>
      </c>
      <c r="GV171" s="169"/>
      <c r="GW171" s="169"/>
      <c r="GX171" s="169"/>
      <c r="GY171" s="169"/>
      <c r="GZ171" s="169"/>
      <c r="HA171" s="169"/>
      <c r="HB171" s="169"/>
      <c r="HC171" s="169"/>
      <c r="HD171" s="169"/>
      <c r="HE171" s="169"/>
      <c r="HF171" s="169"/>
      <c r="HG171" s="169"/>
      <c r="HH171" s="169"/>
      <c r="HI171" s="169"/>
      <c r="HJ171" s="169"/>
      <c r="HK171" s="169"/>
      <c r="HL171" s="169"/>
      <c r="HM171" s="169"/>
      <c r="HN171" s="169"/>
      <c r="HO171" s="169"/>
      <c r="HP171" s="169"/>
      <c r="HQ171" s="169"/>
      <c r="HR171" s="169"/>
      <c r="HS171" s="169"/>
      <c r="HT171" s="169"/>
      <c r="HU171" s="169"/>
      <c r="HV171" s="169"/>
      <c r="HW171" s="169"/>
      <c r="HX171" s="169"/>
      <c r="HY171" s="169"/>
      <c r="HZ171" s="169"/>
      <c r="IA171" s="169"/>
      <c r="IB171" s="169"/>
      <c r="IC171" s="169"/>
      <c r="ID171" s="169"/>
      <c r="IE171" s="169"/>
      <c r="IF171" s="169"/>
      <c r="IG171" s="169"/>
      <c r="IH171" s="169"/>
      <c r="II171" s="169"/>
      <c r="IJ171" s="169"/>
      <c r="IK171" s="169"/>
      <c r="IL171" s="169"/>
      <c r="IM171" s="169"/>
      <c r="IN171" s="169"/>
      <c r="IO171" s="169"/>
      <c r="IP171" s="169"/>
      <c r="IQ171" s="169"/>
      <c r="IR171" s="169"/>
      <c r="IS171" s="169"/>
      <c r="IT171" s="169"/>
      <c r="IU171" s="169"/>
      <c r="IV171" s="169"/>
    </row>
    <row r="172" spans="1:256" s="247" customFormat="1" ht="13.8" hidden="1">
      <c r="A172" s="317"/>
      <c r="B172" s="377"/>
      <c r="C172" s="318"/>
      <c r="D172" s="239"/>
      <c r="E172" s="239"/>
      <c r="F172" s="239"/>
      <c r="G172" s="239"/>
      <c r="H172" s="239"/>
      <c r="I172" s="239"/>
      <c r="J172" s="240"/>
      <c r="K172" s="241"/>
      <c r="L172" s="242"/>
      <c r="M172" s="302"/>
      <c r="N172" s="320"/>
      <c r="O172" s="243"/>
      <c r="P172" s="243"/>
      <c r="Q172" s="320"/>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320"/>
      <c r="FH172" s="320"/>
      <c r="FI172" s="320"/>
      <c r="FJ172" s="243"/>
      <c r="FK172" s="320"/>
      <c r="FL172" s="243"/>
      <c r="FM172" s="243"/>
      <c r="FN172" s="243"/>
      <c r="FO172" s="243"/>
      <c r="FP172" s="243"/>
      <c r="FQ172" s="243"/>
      <c r="FR172" s="243"/>
      <c r="FS172" s="243"/>
      <c r="FT172" s="243"/>
      <c r="FU172" s="320"/>
      <c r="FV172" s="320"/>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161"/>
      <c r="GV172" s="169"/>
      <c r="GW172" s="169"/>
      <c r="GX172" s="169"/>
      <c r="GY172" s="169"/>
      <c r="GZ172" s="169"/>
      <c r="HA172" s="169"/>
      <c r="HB172" s="169"/>
      <c r="HC172" s="169"/>
      <c r="HD172" s="169"/>
      <c r="HE172" s="169"/>
      <c r="HF172" s="169"/>
      <c r="HG172" s="169"/>
      <c r="HH172" s="169"/>
      <c r="HI172" s="169"/>
      <c r="HJ172" s="169"/>
      <c r="HK172" s="169"/>
      <c r="HL172" s="169"/>
      <c r="HM172" s="169"/>
      <c r="HN172" s="169"/>
      <c r="HO172" s="169"/>
      <c r="HP172" s="169"/>
      <c r="HQ172" s="169"/>
      <c r="HR172" s="169"/>
      <c r="HS172" s="169"/>
      <c r="HT172" s="169"/>
      <c r="HU172" s="169"/>
      <c r="HV172" s="169"/>
      <c r="HW172" s="169"/>
      <c r="HX172" s="169"/>
      <c r="HY172" s="169"/>
      <c r="HZ172" s="169"/>
      <c r="IA172" s="169"/>
      <c r="IB172" s="169"/>
      <c r="IC172" s="169"/>
      <c r="ID172" s="169"/>
      <c r="IE172" s="169"/>
      <c r="IF172" s="169"/>
      <c r="IG172" s="169"/>
      <c r="IH172" s="169"/>
      <c r="II172" s="169"/>
      <c r="IJ172" s="169"/>
      <c r="IK172" s="169"/>
      <c r="IL172" s="169"/>
      <c r="IM172" s="169"/>
      <c r="IN172" s="169"/>
      <c r="IO172" s="169"/>
      <c r="IP172" s="169"/>
      <c r="IQ172" s="169"/>
      <c r="IR172" s="169"/>
      <c r="IS172" s="169"/>
      <c r="IT172" s="169"/>
      <c r="IU172" s="169"/>
      <c r="IV172" s="169"/>
    </row>
    <row r="173" spans="1:256" s="305" customFormat="1" ht="13.8" hidden="1">
      <c r="A173" s="297"/>
      <c r="B173" s="374"/>
      <c r="C173" s="306"/>
      <c r="D173" s="298"/>
      <c r="E173" s="298"/>
      <c r="F173" s="298"/>
      <c r="G173" s="298"/>
      <c r="H173" s="298"/>
      <c r="I173" s="298"/>
      <c r="J173" s="299"/>
      <c r="K173" s="300"/>
      <c r="L173" s="301"/>
      <c r="M173" s="302"/>
      <c r="N173" s="339"/>
      <c r="O173" s="307"/>
      <c r="P173" s="307"/>
      <c r="Q173" s="339"/>
      <c r="R173" s="307"/>
      <c r="S173" s="307"/>
      <c r="T173" s="307"/>
      <c r="U173" s="307"/>
      <c r="V173" s="307"/>
      <c r="W173" s="307"/>
      <c r="X173" s="307"/>
      <c r="Y173" s="2991"/>
      <c r="Z173" s="307"/>
      <c r="AA173" s="307"/>
      <c r="AB173" s="307"/>
      <c r="AC173" s="307"/>
      <c r="AD173" s="307"/>
      <c r="AE173" s="307"/>
      <c r="AF173" s="307"/>
      <c r="AG173" s="307"/>
      <c r="AH173" s="307"/>
      <c r="AI173" s="307"/>
      <c r="AJ173" s="307"/>
      <c r="AK173" s="307"/>
      <c r="AL173" s="307"/>
      <c r="AM173" s="307"/>
      <c r="AN173" s="307"/>
      <c r="AO173" s="307"/>
      <c r="AP173" s="307"/>
      <c r="AQ173" s="307"/>
      <c r="AR173" s="307"/>
      <c r="AS173" s="307"/>
      <c r="AT173" s="307"/>
      <c r="AU173" s="307"/>
      <c r="AV173" s="307"/>
      <c r="AW173" s="307"/>
      <c r="AX173" s="307"/>
      <c r="AY173" s="307"/>
      <c r="AZ173" s="307"/>
      <c r="BA173" s="307"/>
      <c r="BB173" s="307"/>
      <c r="BC173" s="307"/>
      <c r="BD173" s="307"/>
      <c r="BE173" s="307"/>
      <c r="BF173" s="307"/>
      <c r="BG173" s="307"/>
      <c r="BH173" s="307"/>
      <c r="BI173" s="307"/>
      <c r="BJ173" s="307"/>
      <c r="BK173" s="307"/>
      <c r="BL173" s="307"/>
      <c r="BM173" s="307"/>
      <c r="BN173" s="307"/>
      <c r="BO173" s="307"/>
      <c r="BP173" s="307"/>
      <c r="BQ173" s="307"/>
      <c r="BR173" s="307"/>
      <c r="BS173" s="307"/>
      <c r="BT173" s="307"/>
      <c r="BU173" s="307"/>
      <c r="BV173" s="307"/>
      <c r="BW173" s="307"/>
      <c r="BX173" s="307"/>
      <c r="BY173" s="307"/>
      <c r="BZ173" s="307"/>
      <c r="CA173" s="307"/>
      <c r="CB173" s="307"/>
      <c r="CC173" s="307"/>
      <c r="CD173" s="307"/>
      <c r="CE173" s="307"/>
      <c r="CF173" s="307"/>
      <c r="CG173" s="307"/>
      <c r="CH173" s="307"/>
      <c r="CI173" s="307"/>
      <c r="CJ173" s="307"/>
      <c r="CK173" s="307"/>
      <c r="CL173" s="307"/>
      <c r="CM173" s="307"/>
      <c r="CN173" s="307"/>
      <c r="CO173" s="307"/>
      <c r="CP173" s="307"/>
      <c r="CQ173" s="307"/>
      <c r="CR173" s="307"/>
      <c r="CS173" s="307"/>
      <c r="CT173" s="307"/>
      <c r="CU173" s="307"/>
      <c r="CV173" s="307"/>
      <c r="CW173" s="307"/>
      <c r="CX173" s="307"/>
      <c r="CY173" s="307"/>
      <c r="CZ173" s="307"/>
      <c r="DA173" s="307"/>
      <c r="DB173" s="307"/>
      <c r="DC173" s="307"/>
      <c r="DD173" s="307"/>
      <c r="DE173" s="307"/>
      <c r="DF173" s="307"/>
      <c r="DG173" s="307"/>
      <c r="DH173" s="307"/>
      <c r="DI173" s="307"/>
      <c r="DJ173" s="307"/>
      <c r="DK173" s="307"/>
      <c r="DL173" s="307"/>
      <c r="DM173" s="307"/>
      <c r="DN173" s="307"/>
      <c r="DO173" s="307"/>
      <c r="DP173" s="307"/>
      <c r="DQ173" s="307"/>
      <c r="DR173" s="307"/>
      <c r="DS173" s="307"/>
      <c r="DT173" s="307"/>
      <c r="DU173" s="307"/>
      <c r="DV173" s="307"/>
      <c r="DW173" s="307"/>
      <c r="DX173" s="307"/>
      <c r="DY173" s="307"/>
      <c r="DZ173" s="307"/>
      <c r="EA173" s="307"/>
      <c r="EB173" s="307"/>
      <c r="EC173" s="307"/>
      <c r="ED173" s="307"/>
      <c r="EE173" s="307"/>
      <c r="EF173" s="307"/>
      <c r="EG173" s="307"/>
      <c r="EH173" s="307"/>
      <c r="EI173" s="307"/>
      <c r="EJ173" s="307"/>
      <c r="EK173" s="307"/>
      <c r="EL173" s="307"/>
      <c r="EM173" s="307"/>
      <c r="EN173" s="307"/>
      <c r="EO173" s="307"/>
      <c r="EP173" s="307"/>
      <c r="EQ173" s="307"/>
      <c r="ER173" s="307"/>
      <c r="ES173" s="307"/>
      <c r="ET173" s="307"/>
      <c r="EU173" s="307"/>
      <c r="EV173" s="307"/>
      <c r="EW173" s="307"/>
      <c r="EX173" s="307"/>
      <c r="EY173" s="307"/>
      <c r="EZ173" s="307"/>
      <c r="FA173" s="307"/>
      <c r="FB173" s="307"/>
      <c r="FC173" s="307"/>
      <c r="FD173" s="307"/>
      <c r="FE173" s="307"/>
      <c r="FF173" s="307"/>
      <c r="FG173" s="339"/>
      <c r="FH173" s="339"/>
      <c r="FI173" s="339"/>
      <c r="FJ173" s="307"/>
      <c r="FK173" s="339"/>
      <c r="FL173" s="307"/>
      <c r="FM173" s="307"/>
      <c r="FN173" s="307"/>
      <c r="FO173" s="307"/>
      <c r="FP173" s="307"/>
      <c r="FQ173" s="307"/>
      <c r="FR173" s="307"/>
      <c r="FS173" s="307"/>
      <c r="FT173" s="307"/>
      <c r="FU173" s="339"/>
      <c r="FV173" s="339"/>
      <c r="FW173" s="307"/>
      <c r="FX173" s="307"/>
      <c r="FY173" s="307"/>
      <c r="FZ173" s="307"/>
      <c r="GA173" s="307"/>
      <c r="GB173" s="307"/>
      <c r="GC173" s="307"/>
      <c r="GD173" s="307"/>
      <c r="GE173" s="307"/>
      <c r="GF173" s="307"/>
      <c r="GG173" s="307"/>
      <c r="GH173" s="307"/>
      <c r="GI173" s="307"/>
      <c r="GJ173" s="307"/>
      <c r="GK173" s="307"/>
      <c r="GL173" s="307"/>
      <c r="GM173" s="307"/>
      <c r="GN173" s="307"/>
      <c r="GO173" s="307"/>
      <c r="GP173" s="307"/>
      <c r="GQ173" s="307"/>
      <c r="GR173" s="307"/>
      <c r="GS173" s="307"/>
      <c r="GT173" s="307"/>
      <c r="GU173" s="2997" t="s">
        <v>3891</v>
      </c>
      <c r="GV173" s="169"/>
      <c r="GW173" s="169"/>
      <c r="GX173" s="169"/>
      <c r="GY173" s="169"/>
      <c r="GZ173" s="169"/>
      <c r="HA173" s="169"/>
      <c r="HB173" s="169"/>
      <c r="HC173" s="169"/>
      <c r="HD173" s="169"/>
      <c r="HE173" s="169"/>
      <c r="HF173" s="169"/>
      <c r="HG173" s="169"/>
      <c r="HH173" s="169"/>
      <c r="HI173" s="169"/>
      <c r="HJ173" s="169"/>
      <c r="HK173" s="169"/>
      <c r="HL173" s="169"/>
      <c r="HM173" s="169"/>
      <c r="HN173" s="169"/>
      <c r="HO173" s="169"/>
      <c r="HP173" s="169"/>
      <c r="HQ173" s="169"/>
      <c r="HR173" s="169"/>
      <c r="HS173" s="169"/>
      <c r="HT173" s="169"/>
      <c r="HU173" s="169"/>
      <c r="HV173" s="169"/>
      <c r="HW173" s="169"/>
      <c r="HX173" s="169"/>
      <c r="HY173" s="169"/>
      <c r="HZ173" s="169"/>
      <c r="IA173" s="169"/>
      <c r="IB173" s="169"/>
      <c r="IC173" s="169"/>
      <c r="ID173" s="169"/>
      <c r="IE173" s="169"/>
      <c r="IF173" s="169"/>
      <c r="IG173" s="169"/>
      <c r="IH173" s="169"/>
      <c r="II173" s="169"/>
      <c r="IJ173" s="169"/>
      <c r="IK173" s="169"/>
      <c r="IL173" s="169"/>
      <c r="IM173" s="169"/>
      <c r="IN173" s="169"/>
      <c r="IO173" s="169"/>
      <c r="IP173" s="169"/>
      <c r="IQ173" s="169"/>
      <c r="IR173" s="169"/>
      <c r="IS173" s="169"/>
      <c r="IT173" s="169"/>
      <c r="IU173" s="169"/>
      <c r="IV173" s="169"/>
    </row>
    <row r="174" spans="1:256" s="247" customFormat="1" ht="13.8" hidden="1">
      <c r="A174" s="317"/>
      <c r="B174" s="377"/>
      <c r="C174" s="318"/>
      <c r="D174" s="239"/>
      <c r="E174" s="239"/>
      <c r="F174" s="239"/>
      <c r="G174" s="239"/>
      <c r="H174" s="239"/>
      <c r="I174" s="239"/>
      <c r="J174" s="240"/>
      <c r="K174" s="241"/>
      <c r="L174" s="242"/>
      <c r="M174" s="302"/>
      <c r="N174" s="320"/>
      <c r="O174" s="243"/>
      <c r="P174" s="243"/>
      <c r="Q174" s="320"/>
      <c r="R174" s="243"/>
      <c r="S174" s="243"/>
      <c r="T174" s="243"/>
      <c r="U174" s="243"/>
      <c r="V174" s="243"/>
      <c r="W174" s="243"/>
      <c r="X174" s="243"/>
      <c r="Y174" s="2992"/>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c r="AX174" s="243"/>
      <c r="AY174" s="243"/>
      <c r="AZ174" s="243"/>
      <c r="BA174" s="243"/>
      <c r="BB174" s="243"/>
      <c r="BC174" s="243"/>
      <c r="BD174" s="243"/>
      <c r="BE174" s="243"/>
      <c r="BF174" s="243"/>
      <c r="BG174" s="243"/>
      <c r="BH174" s="243"/>
      <c r="BI174" s="243"/>
      <c r="BJ174" s="243"/>
      <c r="BK174" s="243"/>
      <c r="BL174" s="243"/>
      <c r="BM174" s="243"/>
      <c r="BN174" s="243"/>
      <c r="BO174" s="243"/>
      <c r="BP174" s="243"/>
      <c r="BQ174" s="243"/>
      <c r="BR174" s="243"/>
      <c r="BS174" s="243"/>
      <c r="BT174" s="243"/>
      <c r="BU174" s="243"/>
      <c r="BV174" s="243"/>
      <c r="BW174" s="243"/>
      <c r="BX174" s="243"/>
      <c r="BY174" s="243"/>
      <c r="BZ174" s="243"/>
      <c r="CA174" s="243"/>
      <c r="CB174" s="243"/>
      <c r="CC174" s="243"/>
      <c r="CD174" s="243"/>
      <c r="CE174" s="243"/>
      <c r="CF174" s="243"/>
      <c r="CG174" s="243"/>
      <c r="CH174" s="243"/>
      <c r="CI174" s="243"/>
      <c r="CJ174" s="243"/>
      <c r="CK174" s="243"/>
      <c r="CL174" s="243"/>
      <c r="CM174" s="243"/>
      <c r="CN174" s="243"/>
      <c r="CO174" s="243"/>
      <c r="CP174" s="243"/>
      <c r="CQ174" s="243"/>
      <c r="CR174" s="243"/>
      <c r="CS174" s="243"/>
      <c r="CT174" s="243"/>
      <c r="CU174" s="243"/>
      <c r="CV174" s="243"/>
      <c r="CW174" s="243"/>
      <c r="CX174" s="243"/>
      <c r="CY174" s="243"/>
      <c r="CZ174" s="243"/>
      <c r="DA174" s="243"/>
      <c r="DB174" s="243"/>
      <c r="DC174" s="243"/>
      <c r="DD174" s="243"/>
      <c r="DE174" s="243"/>
      <c r="DF174" s="243"/>
      <c r="DG174" s="243"/>
      <c r="DH174" s="243"/>
      <c r="DI174" s="243"/>
      <c r="DJ174" s="243"/>
      <c r="DK174" s="243"/>
      <c r="DL174" s="243"/>
      <c r="DM174" s="243"/>
      <c r="DN174" s="243"/>
      <c r="DO174" s="243"/>
      <c r="DP174" s="243"/>
      <c r="DQ174" s="243"/>
      <c r="DR174" s="243"/>
      <c r="DS174" s="243"/>
      <c r="DT174" s="243"/>
      <c r="DU174" s="243"/>
      <c r="DV174" s="243"/>
      <c r="DW174" s="243"/>
      <c r="DX174" s="243"/>
      <c r="DY174" s="243"/>
      <c r="DZ174" s="243"/>
      <c r="EA174" s="243"/>
      <c r="EB174" s="243"/>
      <c r="EC174" s="243"/>
      <c r="ED174" s="243"/>
      <c r="EE174" s="243"/>
      <c r="EF174" s="243"/>
      <c r="EG174" s="243"/>
      <c r="EH174" s="243"/>
      <c r="EI174" s="243"/>
      <c r="EJ174" s="243"/>
      <c r="EK174" s="243"/>
      <c r="EL174" s="243"/>
      <c r="EM174" s="243"/>
      <c r="EN174" s="243"/>
      <c r="EO174" s="243"/>
      <c r="EP174" s="243"/>
      <c r="EQ174" s="243"/>
      <c r="ER174" s="243"/>
      <c r="ES174" s="243"/>
      <c r="ET174" s="243"/>
      <c r="EU174" s="243"/>
      <c r="EV174" s="243"/>
      <c r="EW174" s="243"/>
      <c r="EX174" s="243"/>
      <c r="EY174" s="243"/>
      <c r="EZ174" s="243"/>
      <c r="FA174" s="243"/>
      <c r="FB174" s="243"/>
      <c r="FC174" s="243"/>
      <c r="FD174" s="243"/>
      <c r="FE174" s="243"/>
      <c r="FF174" s="243"/>
      <c r="FG174" s="320"/>
      <c r="FH174" s="320"/>
      <c r="FI174" s="320"/>
      <c r="FJ174" s="243"/>
      <c r="FK174" s="320"/>
      <c r="FL174" s="243"/>
      <c r="FM174" s="243"/>
      <c r="FN174" s="243"/>
      <c r="FO174" s="243"/>
      <c r="FP174" s="243"/>
      <c r="FQ174" s="243"/>
      <c r="FR174" s="243"/>
      <c r="FS174" s="243"/>
      <c r="FT174" s="243"/>
      <c r="FU174" s="320"/>
      <c r="FV174" s="320"/>
      <c r="FW174" s="243"/>
      <c r="FX174" s="243"/>
      <c r="FY174" s="243"/>
      <c r="FZ174" s="243"/>
      <c r="GA174" s="243"/>
      <c r="GB174" s="243"/>
      <c r="GC174" s="243"/>
      <c r="GD174" s="243"/>
      <c r="GE174" s="243"/>
      <c r="GF174" s="243"/>
      <c r="GG174" s="243"/>
      <c r="GH174" s="243"/>
      <c r="GI174" s="243"/>
      <c r="GJ174" s="243"/>
      <c r="GK174" s="243"/>
      <c r="GL174" s="243"/>
      <c r="GM174" s="243"/>
      <c r="GN174" s="243"/>
      <c r="GO174" s="243"/>
      <c r="GP174" s="243"/>
      <c r="GQ174" s="243"/>
      <c r="GR174" s="243"/>
      <c r="GS174" s="243"/>
      <c r="GT174" s="243"/>
      <c r="GU174" s="2998"/>
      <c r="GV174" s="169"/>
      <c r="GW174" s="169"/>
      <c r="GX174" s="169"/>
      <c r="GY174" s="169"/>
      <c r="GZ174" s="169"/>
      <c r="HA174" s="169"/>
      <c r="HB174" s="169"/>
      <c r="HC174" s="169"/>
      <c r="HD174" s="169"/>
      <c r="HE174" s="169"/>
      <c r="HF174" s="169"/>
      <c r="HG174" s="169"/>
      <c r="HH174" s="169"/>
      <c r="HI174" s="169"/>
      <c r="HJ174" s="169"/>
      <c r="HK174" s="169"/>
      <c r="HL174" s="169"/>
      <c r="HM174" s="169"/>
      <c r="HN174" s="169"/>
      <c r="HO174" s="169"/>
      <c r="HP174" s="169"/>
      <c r="HQ174" s="169"/>
      <c r="HR174" s="169"/>
      <c r="HS174" s="169"/>
      <c r="HT174" s="169"/>
      <c r="HU174" s="169"/>
      <c r="HV174" s="169"/>
      <c r="HW174" s="169"/>
      <c r="HX174" s="169"/>
      <c r="HY174" s="169"/>
      <c r="HZ174" s="169"/>
      <c r="IA174" s="169"/>
      <c r="IB174" s="169"/>
      <c r="IC174" s="169"/>
      <c r="ID174" s="169"/>
      <c r="IE174" s="169"/>
      <c r="IF174" s="169"/>
      <c r="IG174" s="169"/>
      <c r="IH174" s="169"/>
      <c r="II174" s="169"/>
      <c r="IJ174" s="169"/>
      <c r="IK174" s="169"/>
      <c r="IL174" s="169"/>
      <c r="IM174" s="169"/>
      <c r="IN174" s="169"/>
      <c r="IO174" s="169"/>
      <c r="IP174" s="169"/>
      <c r="IQ174" s="169"/>
      <c r="IR174" s="169"/>
      <c r="IS174" s="169"/>
      <c r="IT174" s="169"/>
      <c r="IU174" s="169"/>
      <c r="IV174" s="169"/>
    </row>
    <row r="175" spans="1:256" s="305" customFormat="1" ht="13.8" hidden="1">
      <c r="A175" s="297"/>
      <c r="B175" s="378"/>
      <c r="C175" s="306"/>
      <c r="D175" s="298"/>
      <c r="E175" s="298"/>
      <c r="F175" s="298"/>
      <c r="G175" s="298"/>
      <c r="H175" s="298"/>
      <c r="I175" s="298"/>
      <c r="J175" s="299"/>
      <c r="K175" s="300"/>
      <c r="L175" s="301"/>
      <c r="M175" s="302"/>
      <c r="N175" s="339"/>
      <c r="O175" s="337"/>
      <c r="P175" s="337"/>
      <c r="Q175" s="339"/>
      <c r="R175" s="337"/>
      <c r="S175" s="337"/>
      <c r="T175" s="337"/>
      <c r="U175" s="337"/>
      <c r="V175" s="337"/>
      <c r="W175" s="337"/>
      <c r="X175" s="337"/>
      <c r="Y175" s="337"/>
      <c r="Z175" s="337"/>
      <c r="AA175" s="337"/>
      <c r="AB175" s="337"/>
      <c r="AC175" s="337"/>
      <c r="AD175" s="337"/>
      <c r="AE175" s="337"/>
      <c r="AF175" s="337"/>
      <c r="AG175" s="337"/>
      <c r="AH175" s="337"/>
      <c r="AI175" s="337"/>
      <c r="AJ175" s="337"/>
      <c r="AK175" s="337"/>
      <c r="AL175" s="337"/>
      <c r="AM175" s="337"/>
      <c r="AN175" s="337"/>
      <c r="AO175" s="337"/>
      <c r="AP175" s="337"/>
      <c r="AQ175" s="337"/>
      <c r="AR175" s="337"/>
      <c r="AS175" s="337"/>
      <c r="AT175" s="337"/>
      <c r="AU175" s="337"/>
      <c r="AV175" s="337"/>
      <c r="AW175" s="337"/>
      <c r="AX175" s="337"/>
      <c r="AY175" s="337"/>
      <c r="AZ175" s="337"/>
      <c r="BA175" s="337"/>
      <c r="BB175" s="337"/>
      <c r="BC175" s="337"/>
      <c r="BD175" s="337"/>
      <c r="BE175" s="337"/>
      <c r="BF175" s="337"/>
      <c r="BG175" s="337"/>
      <c r="BH175" s="337"/>
      <c r="BI175" s="337"/>
      <c r="BJ175" s="337"/>
      <c r="BK175" s="337"/>
      <c r="BL175" s="337"/>
      <c r="BM175" s="337"/>
      <c r="BN175" s="337"/>
      <c r="BO175" s="337"/>
      <c r="BP175" s="337"/>
      <c r="BQ175" s="337"/>
      <c r="BR175" s="337"/>
      <c r="BS175" s="337"/>
      <c r="BT175" s="337"/>
      <c r="BU175" s="337"/>
      <c r="BV175" s="337"/>
      <c r="BW175" s="337"/>
      <c r="BX175" s="337"/>
      <c r="BY175" s="337"/>
      <c r="BZ175" s="337"/>
      <c r="CA175" s="337"/>
      <c r="CB175" s="337"/>
      <c r="CC175" s="337"/>
      <c r="CD175" s="337"/>
      <c r="CE175" s="337"/>
      <c r="CF175" s="337"/>
      <c r="CG175" s="337"/>
      <c r="CH175" s="337"/>
      <c r="CI175" s="337"/>
      <c r="CJ175" s="337"/>
      <c r="CK175" s="337"/>
      <c r="CL175" s="337"/>
      <c r="CM175" s="337"/>
      <c r="CN175" s="337"/>
      <c r="CO175" s="337"/>
      <c r="CP175" s="337"/>
      <c r="CQ175" s="337"/>
      <c r="CR175" s="337"/>
      <c r="CS175" s="337"/>
      <c r="CT175" s="337"/>
      <c r="CU175" s="337"/>
      <c r="CV175" s="337"/>
      <c r="CW175" s="337"/>
      <c r="CX175" s="337"/>
      <c r="CY175" s="337"/>
      <c r="CZ175" s="337"/>
      <c r="DA175" s="337"/>
      <c r="DB175" s="337"/>
      <c r="DC175" s="337"/>
      <c r="DD175" s="337"/>
      <c r="DE175" s="337"/>
      <c r="DF175" s="337"/>
      <c r="DG175" s="337"/>
      <c r="DH175" s="337"/>
      <c r="DI175" s="337"/>
      <c r="DJ175" s="337"/>
      <c r="DK175" s="337"/>
      <c r="DL175" s="337"/>
      <c r="DM175" s="337"/>
      <c r="DN175" s="337"/>
      <c r="DO175" s="337"/>
      <c r="DP175" s="337"/>
      <c r="DQ175" s="337"/>
      <c r="DR175" s="337"/>
      <c r="DS175" s="337"/>
      <c r="DT175" s="337"/>
      <c r="DU175" s="337"/>
      <c r="DV175" s="337"/>
      <c r="DW175" s="337"/>
      <c r="DX175" s="337"/>
      <c r="DY175" s="337"/>
      <c r="DZ175" s="337"/>
      <c r="EA175" s="337"/>
      <c r="EB175" s="337"/>
      <c r="EC175" s="337"/>
      <c r="ED175" s="337"/>
      <c r="EE175" s="337"/>
      <c r="EF175" s="337"/>
      <c r="EG175" s="337"/>
      <c r="EH175" s="337"/>
      <c r="EI175" s="337"/>
      <c r="EJ175" s="337"/>
      <c r="EK175" s="337"/>
      <c r="EL175" s="337"/>
      <c r="EM175" s="337"/>
      <c r="EN175" s="337"/>
      <c r="EO175" s="337"/>
      <c r="EP175" s="337"/>
      <c r="EQ175" s="337"/>
      <c r="ER175" s="337"/>
      <c r="ES175" s="337"/>
      <c r="ET175" s="337"/>
      <c r="EU175" s="337"/>
      <c r="EV175" s="337"/>
      <c r="EW175" s="337"/>
      <c r="EX175" s="337"/>
      <c r="EY175" s="337"/>
      <c r="EZ175" s="337"/>
      <c r="FA175" s="337"/>
      <c r="FB175" s="337"/>
      <c r="FC175" s="337"/>
      <c r="FD175" s="337"/>
      <c r="FE175" s="337"/>
      <c r="FF175" s="337"/>
      <c r="FG175" s="339"/>
      <c r="FH175" s="339"/>
      <c r="FI175" s="339"/>
      <c r="FJ175" s="337"/>
      <c r="FK175" s="339"/>
      <c r="FL175" s="337"/>
      <c r="FM175" s="337"/>
      <c r="FN175" s="337"/>
      <c r="FO175" s="337"/>
      <c r="FP175" s="337"/>
      <c r="FQ175" s="337"/>
      <c r="FR175" s="337"/>
      <c r="FS175" s="337"/>
      <c r="FT175" s="337"/>
      <c r="FU175" s="339"/>
      <c r="FV175" s="339"/>
      <c r="FW175" s="337"/>
      <c r="FX175" s="337"/>
      <c r="FY175" s="337"/>
      <c r="FZ175" s="337"/>
      <c r="GA175" s="337"/>
      <c r="GB175" s="337"/>
      <c r="GC175" s="337"/>
      <c r="GD175" s="337"/>
      <c r="GE175" s="337"/>
      <c r="GF175" s="337"/>
      <c r="GG175" s="337"/>
      <c r="GH175" s="337"/>
      <c r="GI175" s="337"/>
      <c r="GJ175" s="337"/>
      <c r="GK175" s="337"/>
      <c r="GL175" s="337"/>
      <c r="GM175" s="337"/>
      <c r="GN175" s="337"/>
      <c r="GO175" s="337"/>
      <c r="GP175" s="337"/>
      <c r="GQ175" s="337"/>
      <c r="GR175" s="337"/>
      <c r="GS175" s="337"/>
      <c r="GT175" s="337"/>
      <c r="GU175" s="166" t="s">
        <v>3892</v>
      </c>
      <c r="GV175" s="169"/>
      <c r="GW175" s="169"/>
      <c r="GX175" s="169"/>
      <c r="GY175" s="169"/>
      <c r="GZ175" s="169"/>
      <c r="HA175" s="169"/>
      <c r="HB175" s="169"/>
      <c r="HC175" s="169"/>
      <c r="HD175" s="169"/>
      <c r="HE175" s="169"/>
      <c r="HF175" s="169"/>
      <c r="HG175" s="169"/>
      <c r="HH175" s="169"/>
      <c r="HI175" s="169"/>
      <c r="HJ175" s="169"/>
      <c r="HK175" s="169"/>
      <c r="HL175" s="169"/>
      <c r="HM175" s="169"/>
      <c r="HN175" s="169"/>
      <c r="HO175" s="169"/>
      <c r="HP175" s="169"/>
      <c r="HQ175" s="169"/>
      <c r="HR175" s="169"/>
      <c r="HS175" s="169"/>
      <c r="HT175" s="169"/>
      <c r="HU175" s="169"/>
      <c r="HV175" s="169"/>
      <c r="HW175" s="169"/>
      <c r="HX175" s="169"/>
      <c r="HY175" s="169"/>
      <c r="HZ175" s="169"/>
      <c r="IA175" s="169"/>
      <c r="IB175" s="169"/>
      <c r="IC175" s="169"/>
      <c r="ID175" s="169"/>
      <c r="IE175" s="169"/>
      <c r="IF175" s="169"/>
      <c r="IG175" s="169"/>
      <c r="IH175" s="169"/>
      <c r="II175" s="169"/>
      <c r="IJ175" s="169"/>
      <c r="IK175" s="169"/>
      <c r="IL175" s="169"/>
      <c r="IM175" s="169"/>
      <c r="IN175" s="169"/>
      <c r="IO175" s="169"/>
      <c r="IP175" s="169"/>
      <c r="IQ175" s="169"/>
      <c r="IR175" s="169"/>
      <c r="IS175" s="169"/>
      <c r="IT175" s="169"/>
      <c r="IU175" s="169"/>
      <c r="IV175" s="169"/>
    </row>
    <row r="176" spans="1:256" s="247" customFormat="1" ht="13.8" hidden="1">
      <c r="A176" s="317"/>
      <c r="B176" s="379"/>
      <c r="C176" s="318"/>
      <c r="D176" s="239"/>
      <c r="E176" s="239"/>
      <c r="F176" s="239"/>
      <c r="G176" s="239"/>
      <c r="H176" s="239"/>
      <c r="I176" s="239"/>
      <c r="J176" s="240"/>
      <c r="K176" s="241"/>
      <c r="L176" s="242"/>
      <c r="M176" s="302"/>
      <c r="N176" s="320"/>
      <c r="O176" s="333"/>
      <c r="P176" s="333"/>
      <c r="Q176" s="320"/>
      <c r="R176" s="333"/>
      <c r="S176" s="333"/>
      <c r="T176" s="333"/>
      <c r="U176" s="333"/>
      <c r="V176" s="333"/>
      <c r="W176" s="333"/>
      <c r="X176" s="333"/>
      <c r="Y176" s="333"/>
      <c r="Z176" s="333"/>
      <c r="AA176" s="333"/>
      <c r="AB176" s="333"/>
      <c r="AC176" s="333"/>
      <c r="AD176" s="333"/>
      <c r="AE176" s="333"/>
      <c r="AF176" s="333"/>
      <c r="AG176" s="333"/>
      <c r="AH176" s="333"/>
      <c r="AI176" s="333"/>
      <c r="AJ176" s="333"/>
      <c r="AK176" s="333"/>
      <c r="AL176" s="333"/>
      <c r="AM176" s="333"/>
      <c r="AN176" s="333"/>
      <c r="AO176" s="333"/>
      <c r="AP176" s="333"/>
      <c r="AQ176" s="333"/>
      <c r="AR176" s="333"/>
      <c r="AS176" s="333"/>
      <c r="AT176" s="333"/>
      <c r="AU176" s="333"/>
      <c r="AV176" s="333"/>
      <c r="AW176" s="333"/>
      <c r="AX176" s="333"/>
      <c r="AY176" s="333"/>
      <c r="AZ176" s="333"/>
      <c r="BA176" s="333"/>
      <c r="BB176" s="333"/>
      <c r="BC176" s="333"/>
      <c r="BD176" s="333"/>
      <c r="BE176" s="333"/>
      <c r="BF176" s="333"/>
      <c r="BG176" s="333"/>
      <c r="BH176" s="333"/>
      <c r="BI176" s="333"/>
      <c r="BJ176" s="333"/>
      <c r="BK176" s="333"/>
      <c r="BL176" s="333"/>
      <c r="BM176" s="333"/>
      <c r="BN176" s="333"/>
      <c r="BO176" s="333"/>
      <c r="BP176" s="333"/>
      <c r="BQ176" s="333"/>
      <c r="BR176" s="333"/>
      <c r="BS176" s="333"/>
      <c r="BT176" s="333"/>
      <c r="BU176" s="333"/>
      <c r="BV176" s="333"/>
      <c r="BW176" s="333"/>
      <c r="BX176" s="333"/>
      <c r="BY176" s="333"/>
      <c r="BZ176" s="333"/>
      <c r="CA176" s="333"/>
      <c r="CB176" s="333"/>
      <c r="CC176" s="333"/>
      <c r="CD176" s="333"/>
      <c r="CE176" s="333"/>
      <c r="CF176" s="333"/>
      <c r="CG176" s="333"/>
      <c r="CH176" s="333"/>
      <c r="CI176" s="333"/>
      <c r="CJ176" s="333"/>
      <c r="CK176" s="333"/>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P176" s="333"/>
      <c r="EQ176" s="333"/>
      <c r="ER176" s="333"/>
      <c r="ES176" s="333"/>
      <c r="ET176" s="333"/>
      <c r="EU176" s="333"/>
      <c r="EV176" s="333"/>
      <c r="EW176" s="333"/>
      <c r="EX176" s="333"/>
      <c r="EY176" s="333"/>
      <c r="EZ176" s="333"/>
      <c r="FA176" s="333"/>
      <c r="FB176" s="333"/>
      <c r="FC176" s="333"/>
      <c r="FD176" s="333"/>
      <c r="FE176" s="333"/>
      <c r="FF176" s="333"/>
      <c r="FG176" s="320"/>
      <c r="FH176" s="320"/>
      <c r="FI176" s="320"/>
      <c r="FJ176" s="333"/>
      <c r="FK176" s="320"/>
      <c r="FL176" s="333"/>
      <c r="FM176" s="333"/>
      <c r="FN176" s="333"/>
      <c r="FO176" s="333"/>
      <c r="FP176" s="333"/>
      <c r="FQ176" s="333"/>
      <c r="FR176" s="333"/>
      <c r="FS176" s="333"/>
      <c r="FT176" s="333"/>
      <c r="FU176" s="333"/>
      <c r="FV176" s="333"/>
      <c r="FW176" s="333"/>
      <c r="FX176" s="333"/>
      <c r="FY176" s="333"/>
      <c r="FZ176" s="333"/>
      <c r="GA176" s="333"/>
      <c r="GB176" s="333"/>
      <c r="GC176" s="333"/>
      <c r="GD176" s="333"/>
      <c r="GE176" s="333"/>
      <c r="GF176" s="333"/>
      <c r="GG176" s="333"/>
      <c r="GH176" s="333"/>
      <c r="GI176" s="333"/>
      <c r="GJ176" s="333"/>
      <c r="GK176" s="333"/>
      <c r="GL176" s="333"/>
      <c r="GM176" s="333"/>
      <c r="GN176" s="333"/>
      <c r="GO176" s="333"/>
      <c r="GP176" s="333"/>
      <c r="GQ176" s="333"/>
      <c r="GR176" s="333"/>
      <c r="GS176" s="333"/>
      <c r="GT176" s="333"/>
      <c r="GU176" s="161" t="s">
        <v>3887</v>
      </c>
      <c r="GV176" s="169"/>
      <c r="GW176" s="169"/>
      <c r="GX176" s="169"/>
      <c r="GY176" s="169"/>
      <c r="GZ176" s="169"/>
      <c r="HA176" s="169"/>
      <c r="HB176" s="169"/>
      <c r="HC176" s="169"/>
      <c r="HD176" s="169"/>
      <c r="HE176" s="169"/>
      <c r="HF176" s="169"/>
      <c r="HG176" s="169"/>
      <c r="HH176" s="169"/>
      <c r="HI176" s="169"/>
      <c r="HJ176" s="169"/>
      <c r="HK176" s="169"/>
      <c r="HL176" s="169"/>
      <c r="HM176" s="169"/>
      <c r="HN176" s="169"/>
      <c r="HO176" s="169"/>
      <c r="HP176" s="169"/>
      <c r="HQ176" s="169"/>
      <c r="HR176" s="169"/>
      <c r="HS176" s="169"/>
      <c r="HT176" s="169"/>
      <c r="HU176" s="169"/>
      <c r="HV176" s="169"/>
      <c r="HW176" s="169"/>
      <c r="HX176" s="169"/>
      <c r="HY176" s="169"/>
      <c r="HZ176" s="169"/>
      <c r="IA176" s="169"/>
      <c r="IB176" s="169"/>
      <c r="IC176" s="169"/>
      <c r="ID176" s="169"/>
      <c r="IE176" s="169"/>
      <c r="IF176" s="169"/>
      <c r="IG176" s="169"/>
      <c r="IH176" s="169"/>
      <c r="II176" s="169"/>
      <c r="IJ176" s="169"/>
      <c r="IK176" s="169"/>
      <c r="IL176" s="169"/>
      <c r="IM176" s="169"/>
      <c r="IN176" s="169"/>
      <c r="IO176" s="169"/>
      <c r="IP176" s="169"/>
      <c r="IQ176" s="169"/>
      <c r="IR176" s="169"/>
      <c r="IS176" s="169"/>
      <c r="IT176" s="169"/>
      <c r="IU176" s="169"/>
      <c r="IV176" s="169"/>
    </row>
    <row r="177" spans="1:256" ht="13.8" hidden="1">
      <c r="A177" s="308"/>
      <c r="B177" s="216"/>
      <c r="C177" s="309"/>
      <c r="D177" s="197"/>
      <c r="E177" s="197"/>
      <c r="F177" s="197"/>
      <c r="G177" s="197"/>
      <c r="H177" s="197"/>
      <c r="I177" s="197"/>
      <c r="J177" s="198"/>
      <c r="K177" s="199"/>
      <c r="L177" s="200"/>
      <c r="M177" s="302"/>
      <c r="N177" s="68"/>
      <c r="O177" s="202"/>
      <c r="P177" s="202"/>
      <c r="Q177" s="68"/>
      <c r="R177" s="202"/>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202"/>
      <c r="BQ177" s="202"/>
      <c r="BR177" s="202"/>
      <c r="BS177" s="202"/>
      <c r="BT177" s="202"/>
      <c r="BU177" s="202"/>
      <c r="BV177" s="202"/>
      <c r="BW177" s="202"/>
      <c r="BX177" s="202"/>
      <c r="BY177" s="202"/>
      <c r="BZ177" s="202"/>
      <c r="CA177" s="202"/>
      <c r="CB177" s="202"/>
      <c r="CC177" s="202"/>
      <c r="CD177" s="202"/>
      <c r="CE177" s="202"/>
      <c r="CF177" s="202"/>
      <c r="CG177" s="202"/>
      <c r="CH177" s="202"/>
      <c r="CI177" s="202"/>
      <c r="CJ177" s="202"/>
      <c r="CK177" s="202"/>
      <c r="CL177" s="202"/>
      <c r="CM177" s="202"/>
      <c r="CN177" s="202"/>
      <c r="CO177" s="202"/>
      <c r="CP177" s="202"/>
      <c r="CQ177" s="202"/>
      <c r="CR177" s="202"/>
      <c r="CS177" s="202"/>
      <c r="CT177" s="202"/>
      <c r="CU177" s="202"/>
      <c r="CV177" s="202"/>
      <c r="CW177" s="202"/>
      <c r="CX177" s="202"/>
      <c r="CY177" s="202"/>
      <c r="CZ177" s="202"/>
      <c r="DA177" s="202"/>
      <c r="DB177" s="202"/>
      <c r="DC177" s="202"/>
      <c r="DD177" s="202"/>
      <c r="DE177" s="202"/>
      <c r="DF177" s="202"/>
      <c r="DG177" s="202"/>
      <c r="DH177" s="202"/>
      <c r="DI177" s="202"/>
      <c r="DJ177" s="202"/>
      <c r="DK177" s="202"/>
      <c r="DL177" s="202"/>
      <c r="DM177" s="202"/>
      <c r="DN177" s="202"/>
      <c r="DO177" s="202"/>
      <c r="DP177" s="202"/>
      <c r="DQ177" s="202"/>
      <c r="DR177" s="202"/>
      <c r="DS177" s="202"/>
      <c r="DT177" s="202"/>
      <c r="DU177" s="202"/>
      <c r="DV177" s="202"/>
      <c r="DW177" s="202"/>
      <c r="DX177" s="202"/>
      <c r="DY177" s="202"/>
      <c r="DZ177" s="202"/>
      <c r="EA177" s="202"/>
      <c r="EB177" s="202"/>
      <c r="EC177" s="202"/>
      <c r="ED177" s="202"/>
      <c r="EE177" s="202"/>
      <c r="EF177" s="202"/>
      <c r="EG177" s="202"/>
      <c r="EH177" s="202"/>
      <c r="EI177" s="202"/>
      <c r="EJ177" s="202"/>
      <c r="EK177" s="202"/>
      <c r="EL177" s="202"/>
      <c r="EM177" s="202"/>
      <c r="EN177" s="202"/>
      <c r="EO177" s="202"/>
      <c r="EP177" s="202"/>
      <c r="EQ177" s="202"/>
      <c r="ER177" s="202"/>
      <c r="ES177" s="202"/>
      <c r="ET177" s="202"/>
      <c r="EU177" s="202"/>
      <c r="EV177" s="202"/>
      <c r="EW177" s="202"/>
      <c r="EX177" s="202"/>
      <c r="EY177" s="202"/>
      <c r="EZ177" s="202"/>
      <c r="FA177" s="202"/>
      <c r="FB177" s="202"/>
      <c r="FC177" s="202"/>
      <c r="FD177" s="202"/>
      <c r="FE177" s="202"/>
      <c r="FF177" s="202"/>
      <c r="FG177" s="202"/>
      <c r="FH177" s="202"/>
      <c r="FI177" s="202"/>
      <c r="FJ177" s="202"/>
      <c r="FK177" s="202"/>
      <c r="FL177" s="202"/>
      <c r="FM177" s="202"/>
      <c r="FN177" s="202"/>
      <c r="FO177" s="202"/>
      <c r="FP177" s="202"/>
      <c r="FQ177" s="202"/>
      <c r="FR177" s="202"/>
      <c r="FS177" s="202"/>
      <c r="FT177" s="202"/>
      <c r="FU177" s="202"/>
      <c r="FV177" s="202"/>
      <c r="FW177" s="202"/>
      <c r="FX177" s="202"/>
      <c r="FY177" s="202"/>
      <c r="FZ177" s="202"/>
      <c r="GA177" s="202"/>
      <c r="GB177" s="202"/>
      <c r="GC177" s="202"/>
      <c r="GD177" s="202"/>
      <c r="GE177" s="202"/>
      <c r="GF177" s="202"/>
      <c r="GG177" s="202"/>
      <c r="GH177" s="202"/>
      <c r="GI177" s="202"/>
      <c r="GJ177" s="202"/>
      <c r="GK177" s="202"/>
      <c r="GL177" s="202"/>
      <c r="GM177" s="202"/>
      <c r="GN177" s="202"/>
      <c r="GO177" s="202"/>
      <c r="GP177" s="202"/>
      <c r="GQ177" s="202"/>
      <c r="GR177" s="202"/>
      <c r="GS177" s="202"/>
      <c r="GT177" s="202"/>
      <c r="GU177" s="380"/>
    </row>
    <row r="178" spans="1:256" ht="13.8" hidden="1">
      <c r="A178" s="308"/>
      <c r="B178" s="375"/>
      <c r="C178" s="309"/>
      <c r="D178" s="197"/>
      <c r="E178" s="197"/>
      <c r="F178" s="197"/>
      <c r="G178" s="197"/>
      <c r="H178" s="197"/>
      <c r="I178" s="197"/>
      <c r="J178" s="198"/>
      <c r="K178" s="199"/>
      <c r="L178" s="200"/>
      <c r="M178" s="302"/>
      <c r="N178" s="314"/>
      <c r="O178" s="202"/>
      <c r="P178" s="202"/>
      <c r="Q178" s="68"/>
      <c r="R178" s="202"/>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202"/>
      <c r="BQ178" s="202"/>
      <c r="BR178" s="202"/>
      <c r="BS178" s="202"/>
      <c r="BT178" s="202"/>
      <c r="BU178" s="202"/>
      <c r="BV178" s="202"/>
      <c r="BW178" s="202"/>
      <c r="BX178" s="202"/>
      <c r="BY178" s="202"/>
      <c r="BZ178" s="202"/>
      <c r="CA178" s="202"/>
      <c r="CB178" s="202"/>
      <c r="CC178" s="202"/>
      <c r="CD178" s="202"/>
      <c r="CE178" s="202"/>
      <c r="CF178" s="202"/>
      <c r="CG178" s="202"/>
      <c r="CH178" s="202"/>
      <c r="CI178" s="202"/>
      <c r="CJ178" s="202"/>
      <c r="CK178" s="202"/>
      <c r="CL178" s="202"/>
      <c r="CM178" s="202"/>
      <c r="CN178" s="202"/>
      <c r="CO178" s="202"/>
      <c r="CP178" s="202"/>
      <c r="CQ178" s="202"/>
      <c r="CR178" s="202"/>
      <c r="CS178" s="202"/>
      <c r="CT178" s="202"/>
      <c r="CU178" s="202"/>
      <c r="CV178" s="202"/>
      <c r="CW178" s="202"/>
      <c r="CX178" s="202"/>
      <c r="CY178" s="202"/>
      <c r="CZ178" s="202"/>
      <c r="DA178" s="202"/>
      <c r="DB178" s="202"/>
      <c r="DC178" s="202"/>
      <c r="DD178" s="202"/>
      <c r="DE178" s="202"/>
      <c r="DF178" s="202"/>
      <c r="DG178" s="202"/>
      <c r="DH178" s="202"/>
      <c r="DI178" s="202"/>
      <c r="DJ178" s="202"/>
      <c r="DK178" s="202"/>
      <c r="DL178" s="202"/>
      <c r="DM178" s="202"/>
      <c r="DN178" s="202"/>
      <c r="DO178" s="202"/>
      <c r="DP178" s="202"/>
      <c r="DQ178" s="202"/>
      <c r="DR178" s="202"/>
      <c r="DS178" s="202"/>
      <c r="DT178" s="202"/>
      <c r="DU178" s="202"/>
      <c r="DV178" s="202"/>
      <c r="DW178" s="202"/>
      <c r="DX178" s="202"/>
      <c r="DY178" s="202"/>
      <c r="DZ178" s="202"/>
      <c r="EA178" s="202"/>
      <c r="EB178" s="202"/>
      <c r="EC178" s="202"/>
      <c r="ED178" s="202"/>
      <c r="EE178" s="202"/>
      <c r="EF178" s="202"/>
      <c r="EG178" s="202"/>
      <c r="EH178" s="202"/>
      <c r="EI178" s="202"/>
      <c r="EJ178" s="202"/>
      <c r="EK178" s="202"/>
      <c r="EL178" s="202"/>
      <c r="EM178" s="202"/>
      <c r="EN178" s="202"/>
      <c r="EO178" s="202"/>
      <c r="EP178" s="202"/>
      <c r="EQ178" s="202"/>
      <c r="ER178" s="202"/>
      <c r="ES178" s="202"/>
      <c r="ET178" s="202"/>
      <c r="EU178" s="202"/>
      <c r="EV178" s="202"/>
      <c r="EW178" s="202"/>
      <c r="EX178" s="202"/>
      <c r="EY178" s="202"/>
      <c r="EZ178" s="202"/>
      <c r="FA178" s="202"/>
      <c r="FB178" s="202"/>
      <c r="FC178" s="202"/>
      <c r="FD178" s="202"/>
      <c r="FE178" s="202"/>
      <c r="FF178" s="202"/>
      <c r="FG178" s="202"/>
      <c r="FH178" s="202"/>
      <c r="FI178" s="202"/>
      <c r="FJ178" s="202"/>
      <c r="FK178" s="202"/>
      <c r="FL178" s="202"/>
      <c r="FM178" s="202"/>
      <c r="FN178" s="202"/>
      <c r="FO178" s="202"/>
      <c r="FP178" s="202"/>
      <c r="FQ178" s="202"/>
      <c r="FR178" s="202"/>
      <c r="FS178" s="202"/>
      <c r="FT178" s="202"/>
      <c r="FU178" s="202"/>
      <c r="FV178" s="202"/>
      <c r="FW178" s="202"/>
      <c r="FX178" s="202"/>
      <c r="FY178" s="202"/>
      <c r="FZ178" s="202"/>
      <c r="GA178" s="202"/>
      <c r="GB178" s="202"/>
      <c r="GC178" s="202"/>
      <c r="GD178" s="202"/>
      <c r="GE178" s="202"/>
      <c r="GF178" s="202"/>
      <c r="GG178" s="202"/>
      <c r="GH178" s="202"/>
      <c r="GI178" s="202"/>
      <c r="GJ178" s="202"/>
      <c r="GK178" s="202"/>
      <c r="GL178" s="202"/>
      <c r="GM178" s="202"/>
      <c r="GN178" s="202"/>
      <c r="GO178" s="202"/>
      <c r="GP178" s="202"/>
      <c r="GQ178" s="202"/>
      <c r="GR178" s="202"/>
      <c r="GS178" s="202"/>
      <c r="GT178" s="202"/>
      <c r="GU178" s="315"/>
    </row>
    <row r="179" spans="1:256" ht="13.8" hidden="1">
      <c r="A179" s="308"/>
      <c r="B179" s="375"/>
      <c r="C179" s="309"/>
      <c r="D179" s="197"/>
      <c r="E179" s="197"/>
      <c r="F179" s="197"/>
      <c r="G179" s="197"/>
      <c r="H179" s="197"/>
      <c r="I179" s="197"/>
      <c r="J179" s="198"/>
      <c r="K179" s="199"/>
      <c r="L179" s="200"/>
      <c r="M179" s="302"/>
      <c r="N179" s="314"/>
      <c r="O179" s="202"/>
      <c r="P179" s="202"/>
      <c r="Q179" s="68"/>
      <c r="R179" s="202"/>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202"/>
      <c r="BQ179" s="202"/>
      <c r="BR179" s="202"/>
      <c r="BS179" s="202"/>
      <c r="BT179" s="202"/>
      <c r="BU179" s="202"/>
      <c r="BV179" s="202"/>
      <c r="BW179" s="202"/>
      <c r="BX179" s="202"/>
      <c r="BY179" s="202"/>
      <c r="BZ179" s="202"/>
      <c r="CA179" s="202"/>
      <c r="CB179" s="202"/>
      <c r="CC179" s="202"/>
      <c r="CD179" s="202"/>
      <c r="CE179" s="202"/>
      <c r="CF179" s="202"/>
      <c r="CG179" s="202"/>
      <c r="CH179" s="202"/>
      <c r="CI179" s="202"/>
      <c r="CJ179" s="202"/>
      <c r="CK179" s="202"/>
      <c r="CL179" s="202"/>
      <c r="CM179" s="202"/>
      <c r="CN179" s="202"/>
      <c r="CO179" s="202"/>
      <c r="CP179" s="202"/>
      <c r="CQ179" s="202"/>
      <c r="CR179" s="202"/>
      <c r="CS179" s="202"/>
      <c r="CT179" s="202"/>
      <c r="CU179" s="202"/>
      <c r="CV179" s="202"/>
      <c r="CW179" s="202"/>
      <c r="CX179" s="202"/>
      <c r="CY179" s="202"/>
      <c r="CZ179" s="202"/>
      <c r="DA179" s="202"/>
      <c r="DB179" s="202"/>
      <c r="DC179" s="202"/>
      <c r="DD179" s="202"/>
      <c r="DE179" s="202"/>
      <c r="DF179" s="202"/>
      <c r="DG179" s="202"/>
      <c r="DH179" s="202"/>
      <c r="DI179" s="202"/>
      <c r="DJ179" s="202"/>
      <c r="DK179" s="202"/>
      <c r="DL179" s="202"/>
      <c r="DM179" s="202"/>
      <c r="DN179" s="202"/>
      <c r="DO179" s="202"/>
      <c r="DP179" s="202"/>
      <c r="DQ179" s="202"/>
      <c r="DR179" s="202"/>
      <c r="DS179" s="202"/>
      <c r="DT179" s="202"/>
      <c r="DU179" s="202"/>
      <c r="DV179" s="202"/>
      <c r="DW179" s="202"/>
      <c r="DX179" s="202"/>
      <c r="DY179" s="202"/>
      <c r="DZ179" s="202"/>
      <c r="EA179" s="202"/>
      <c r="EB179" s="202"/>
      <c r="EC179" s="202"/>
      <c r="ED179" s="202"/>
      <c r="EE179" s="202"/>
      <c r="EF179" s="202"/>
      <c r="EG179" s="202"/>
      <c r="EH179" s="202"/>
      <c r="EI179" s="202"/>
      <c r="EJ179" s="202"/>
      <c r="EK179" s="202"/>
      <c r="EL179" s="202"/>
      <c r="EM179" s="202"/>
      <c r="EN179" s="202"/>
      <c r="EO179" s="202"/>
      <c r="EP179" s="202"/>
      <c r="EQ179" s="202"/>
      <c r="ER179" s="202"/>
      <c r="ES179" s="202"/>
      <c r="ET179" s="202"/>
      <c r="EU179" s="202"/>
      <c r="EV179" s="202"/>
      <c r="EW179" s="202"/>
      <c r="EX179" s="202"/>
      <c r="EY179" s="202"/>
      <c r="EZ179" s="202"/>
      <c r="FA179" s="202"/>
      <c r="FB179" s="202"/>
      <c r="FC179" s="202"/>
      <c r="FD179" s="202"/>
      <c r="FE179" s="202"/>
      <c r="FF179" s="202"/>
      <c r="FG179" s="202"/>
      <c r="FH179" s="202"/>
      <c r="FI179" s="202"/>
      <c r="FJ179" s="202"/>
      <c r="FK179" s="202"/>
      <c r="FL179" s="202"/>
      <c r="FM179" s="202"/>
      <c r="FN179" s="202"/>
      <c r="FO179" s="202"/>
      <c r="FP179" s="202"/>
      <c r="FQ179" s="202"/>
      <c r="FR179" s="202"/>
      <c r="FS179" s="202"/>
      <c r="FT179" s="202"/>
      <c r="FU179" s="202"/>
      <c r="FV179" s="202"/>
      <c r="FW179" s="202"/>
      <c r="FX179" s="202"/>
      <c r="FY179" s="202"/>
      <c r="FZ179" s="202"/>
      <c r="GA179" s="202"/>
      <c r="GB179" s="202"/>
      <c r="GC179" s="202"/>
      <c r="GD179" s="202"/>
      <c r="GE179" s="202"/>
      <c r="GF179" s="202"/>
      <c r="GG179" s="202"/>
      <c r="GH179" s="202"/>
      <c r="GI179" s="202"/>
      <c r="GJ179" s="202"/>
      <c r="GK179" s="202"/>
      <c r="GL179" s="202"/>
      <c r="GM179" s="202"/>
      <c r="GN179" s="202"/>
      <c r="GO179" s="202"/>
      <c r="GP179" s="202"/>
      <c r="GQ179" s="202"/>
      <c r="GR179" s="202"/>
      <c r="GS179" s="202"/>
      <c r="GT179" s="202"/>
      <c r="GU179" s="315"/>
    </row>
    <row r="180" spans="1:256" ht="13.8" hidden="1">
      <c r="A180" s="308"/>
      <c r="B180" s="375"/>
      <c r="C180" s="309"/>
      <c r="D180" s="197"/>
      <c r="E180" s="197"/>
      <c r="F180" s="197"/>
      <c r="G180" s="197"/>
      <c r="H180" s="197"/>
      <c r="I180" s="197"/>
      <c r="J180" s="198"/>
      <c r="K180" s="199"/>
      <c r="L180" s="200"/>
      <c r="M180" s="322"/>
      <c r="N180" s="314"/>
      <c r="O180" s="202"/>
      <c r="P180" s="202"/>
      <c r="Q180" s="68"/>
      <c r="R180" s="202"/>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202"/>
      <c r="BQ180" s="202"/>
      <c r="BR180" s="202"/>
      <c r="BS180" s="202"/>
      <c r="BT180" s="202"/>
      <c r="BU180" s="202"/>
      <c r="BV180" s="202"/>
      <c r="BW180" s="202"/>
      <c r="BX180" s="202"/>
      <c r="BY180" s="202"/>
      <c r="BZ180" s="202"/>
      <c r="CA180" s="202"/>
      <c r="CB180" s="202"/>
      <c r="CC180" s="202"/>
      <c r="CD180" s="202"/>
      <c r="CE180" s="202"/>
      <c r="CF180" s="202"/>
      <c r="CG180" s="202"/>
      <c r="CH180" s="202"/>
      <c r="CI180" s="202"/>
      <c r="CJ180" s="202"/>
      <c r="CK180" s="202"/>
      <c r="CL180" s="202"/>
      <c r="CM180" s="202"/>
      <c r="CN180" s="202"/>
      <c r="CO180" s="202"/>
      <c r="CP180" s="202"/>
      <c r="CQ180" s="202"/>
      <c r="CR180" s="202"/>
      <c r="CS180" s="202"/>
      <c r="CT180" s="202"/>
      <c r="CU180" s="202"/>
      <c r="CV180" s="202"/>
      <c r="CW180" s="202"/>
      <c r="CX180" s="202"/>
      <c r="CY180" s="202"/>
      <c r="CZ180" s="202"/>
      <c r="DA180" s="202"/>
      <c r="DB180" s="202"/>
      <c r="DC180" s="202"/>
      <c r="DD180" s="202"/>
      <c r="DE180" s="202"/>
      <c r="DF180" s="202"/>
      <c r="DG180" s="202"/>
      <c r="DH180" s="202"/>
      <c r="DI180" s="202"/>
      <c r="DJ180" s="202"/>
      <c r="DK180" s="202"/>
      <c r="DL180" s="202"/>
      <c r="DM180" s="202"/>
      <c r="DN180" s="202"/>
      <c r="DO180" s="202"/>
      <c r="DP180" s="202"/>
      <c r="DQ180" s="202"/>
      <c r="DR180" s="202"/>
      <c r="DS180" s="202"/>
      <c r="DT180" s="202"/>
      <c r="DU180" s="202"/>
      <c r="DV180" s="202"/>
      <c r="DW180" s="202"/>
      <c r="DX180" s="202"/>
      <c r="DY180" s="202"/>
      <c r="DZ180" s="202"/>
      <c r="EA180" s="202"/>
      <c r="EB180" s="202"/>
      <c r="EC180" s="202"/>
      <c r="ED180" s="202"/>
      <c r="EE180" s="202"/>
      <c r="EF180" s="202"/>
      <c r="EG180" s="202"/>
      <c r="EH180" s="202"/>
      <c r="EI180" s="202"/>
      <c r="EJ180" s="202"/>
      <c r="EK180" s="202"/>
      <c r="EL180" s="202"/>
      <c r="EM180" s="202"/>
      <c r="EN180" s="202"/>
      <c r="EO180" s="202"/>
      <c r="EP180" s="202"/>
      <c r="EQ180" s="202"/>
      <c r="ER180" s="202"/>
      <c r="ES180" s="202"/>
      <c r="ET180" s="202"/>
      <c r="EU180" s="202"/>
      <c r="EV180" s="202"/>
      <c r="EW180" s="202"/>
      <c r="EX180" s="202"/>
      <c r="EY180" s="202"/>
      <c r="EZ180" s="202"/>
      <c r="FA180" s="202"/>
      <c r="FB180" s="202"/>
      <c r="FC180" s="202"/>
      <c r="FD180" s="202"/>
      <c r="FE180" s="202"/>
      <c r="FF180" s="202"/>
      <c r="FG180" s="202"/>
      <c r="FH180" s="202"/>
      <c r="FI180" s="202"/>
      <c r="FJ180" s="202"/>
      <c r="FK180" s="202"/>
      <c r="FL180" s="202"/>
      <c r="FM180" s="202"/>
      <c r="FN180" s="202"/>
      <c r="FO180" s="202"/>
      <c r="FP180" s="202"/>
      <c r="FQ180" s="202"/>
      <c r="FR180" s="202"/>
      <c r="FS180" s="202"/>
      <c r="FT180" s="202"/>
      <c r="FU180" s="202"/>
      <c r="FV180" s="202"/>
      <c r="FW180" s="202"/>
      <c r="FX180" s="202"/>
      <c r="FY180" s="202"/>
      <c r="FZ180" s="202"/>
      <c r="GA180" s="202"/>
      <c r="GB180" s="202"/>
      <c r="GC180" s="202"/>
      <c r="GD180" s="202"/>
      <c r="GE180" s="202"/>
      <c r="GF180" s="202"/>
      <c r="GG180" s="202"/>
      <c r="GH180" s="202"/>
      <c r="GI180" s="202"/>
      <c r="GJ180" s="202"/>
      <c r="GK180" s="202"/>
      <c r="GL180" s="202"/>
      <c r="GM180" s="202"/>
      <c r="GN180" s="202"/>
      <c r="GO180" s="202"/>
      <c r="GP180" s="202"/>
      <c r="GQ180" s="202"/>
      <c r="GR180" s="202"/>
      <c r="GS180" s="202"/>
      <c r="GT180" s="202"/>
      <c r="GU180" s="315"/>
    </row>
    <row r="181" spans="1:256" s="233" customFormat="1" ht="13.8" hidden="1">
      <c r="A181" s="167" t="s">
        <v>3881</v>
      </c>
      <c r="B181" s="381">
        <f>SUM(B165:B180)</f>
        <v>0</v>
      </c>
      <c r="C181" s="382"/>
      <c r="D181" s="381"/>
      <c r="E181" s="381"/>
      <c r="F181" s="381"/>
      <c r="G181" s="381"/>
      <c r="H181" s="381">
        <f>H180</f>
        <v>0</v>
      </c>
      <c r="I181" s="381"/>
      <c r="J181" s="328"/>
      <c r="K181" s="329"/>
      <c r="L181" s="330"/>
      <c r="M181" s="340"/>
      <c r="N181" s="383">
        <f>SUM(N165:N180)</f>
        <v>0</v>
      </c>
      <c r="O181" s="383">
        <f t="shared" ref="O181:CA181" si="54">SUM(O165:O180)</f>
        <v>0</v>
      </c>
      <c r="P181" s="383">
        <f t="shared" si="54"/>
        <v>0</v>
      </c>
      <c r="Q181" s="383">
        <f t="shared" si="54"/>
        <v>0</v>
      </c>
      <c r="R181" s="383">
        <f t="shared" si="54"/>
        <v>0</v>
      </c>
      <c r="S181" s="383">
        <f t="shared" si="54"/>
        <v>0</v>
      </c>
      <c r="T181" s="383">
        <f t="shared" si="54"/>
        <v>0</v>
      </c>
      <c r="U181" s="383">
        <f t="shared" si="54"/>
        <v>0</v>
      </c>
      <c r="V181" s="383">
        <f t="shared" si="54"/>
        <v>0</v>
      </c>
      <c r="W181" s="383">
        <f t="shared" si="54"/>
        <v>0</v>
      </c>
      <c r="X181" s="383">
        <f t="shared" si="54"/>
        <v>0</v>
      </c>
      <c r="Y181" s="383">
        <f t="shared" ref="Y181:BC181" si="55">SUM(Y165:Y180)</f>
        <v>0</v>
      </c>
      <c r="Z181" s="383">
        <f t="shared" si="55"/>
        <v>0</v>
      </c>
      <c r="AA181" s="383">
        <f t="shared" si="55"/>
        <v>0</v>
      </c>
      <c r="AB181" s="383">
        <f t="shared" si="55"/>
        <v>0</v>
      </c>
      <c r="AC181" s="383">
        <f t="shared" si="55"/>
        <v>0</v>
      </c>
      <c r="AD181" s="383">
        <f t="shared" si="55"/>
        <v>0</v>
      </c>
      <c r="AE181" s="383">
        <f t="shared" si="55"/>
        <v>0</v>
      </c>
      <c r="AF181" s="383">
        <f t="shared" si="55"/>
        <v>0</v>
      </c>
      <c r="AG181" s="383">
        <f t="shared" si="55"/>
        <v>0</v>
      </c>
      <c r="AH181" s="383">
        <f t="shared" si="55"/>
        <v>0</v>
      </c>
      <c r="AI181" s="383">
        <f t="shared" si="55"/>
        <v>0</v>
      </c>
      <c r="AJ181" s="383">
        <f t="shared" si="55"/>
        <v>0</v>
      </c>
      <c r="AK181" s="383">
        <f t="shared" si="55"/>
        <v>0</v>
      </c>
      <c r="AL181" s="383">
        <f t="shared" si="55"/>
        <v>0</v>
      </c>
      <c r="AM181" s="383">
        <f t="shared" si="55"/>
        <v>0</v>
      </c>
      <c r="AN181" s="383">
        <f t="shared" si="55"/>
        <v>0</v>
      </c>
      <c r="AO181" s="383">
        <f t="shared" si="55"/>
        <v>0</v>
      </c>
      <c r="AP181" s="383">
        <f t="shared" si="55"/>
        <v>0</v>
      </c>
      <c r="AQ181" s="383">
        <f t="shared" si="55"/>
        <v>0</v>
      </c>
      <c r="AR181" s="383">
        <f t="shared" si="55"/>
        <v>0</v>
      </c>
      <c r="AS181" s="383">
        <f t="shared" si="55"/>
        <v>0</v>
      </c>
      <c r="AT181" s="383">
        <f t="shared" si="55"/>
        <v>0</v>
      </c>
      <c r="AU181" s="383">
        <f t="shared" si="55"/>
        <v>0</v>
      </c>
      <c r="AV181" s="383">
        <f t="shared" si="55"/>
        <v>0</v>
      </c>
      <c r="AW181" s="383">
        <f t="shared" si="55"/>
        <v>0</v>
      </c>
      <c r="AX181" s="383">
        <f t="shared" si="55"/>
        <v>0</v>
      </c>
      <c r="AY181" s="383">
        <f t="shared" si="55"/>
        <v>0</v>
      </c>
      <c r="AZ181" s="383">
        <f t="shared" si="55"/>
        <v>0</v>
      </c>
      <c r="BA181" s="383">
        <f t="shared" si="55"/>
        <v>0</v>
      </c>
      <c r="BB181" s="383">
        <f t="shared" si="55"/>
        <v>0</v>
      </c>
      <c r="BC181" s="383">
        <f t="shared" si="55"/>
        <v>0</v>
      </c>
      <c r="BD181" s="383">
        <f t="shared" si="54"/>
        <v>0</v>
      </c>
      <c r="BE181" s="383">
        <f t="shared" si="54"/>
        <v>0</v>
      </c>
      <c r="BF181" s="383">
        <f t="shared" si="54"/>
        <v>0</v>
      </c>
      <c r="BG181" s="383">
        <f t="shared" si="54"/>
        <v>0</v>
      </c>
      <c r="BH181" s="383">
        <f t="shared" si="54"/>
        <v>0</v>
      </c>
      <c r="BI181" s="383">
        <f t="shared" si="54"/>
        <v>0</v>
      </c>
      <c r="BJ181" s="383">
        <f t="shared" si="54"/>
        <v>0</v>
      </c>
      <c r="BK181" s="383">
        <f t="shared" si="54"/>
        <v>0</v>
      </c>
      <c r="BL181" s="383">
        <f t="shared" si="54"/>
        <v>0</v>
      </c>
      <c r="BM181" s="383">
        <f t="shared" si="54"/>
        <v>0</v>
      </c>
      <c r="BN181" s="383">
        <f t="shared" si="54"/>
        <v>0</v>
      </c>
      <c r="BO181" s="383">
        <f t="shared" si="54"/>
        <v>0</v>
      </c>
      <c r="BP181" s="383">
        <f t="shared" si="54"/>
        <v>0</v>
      </c>
      <c r="BQ181" s="383">
        <f t="shared" si="54"/>
        <v>0</v>
      </c>
      <c r="BR181" s="383">
        <f t="shared" si="54"/>
        <v>0</v>
      </c>
      <c r="BS181" s="383">
        <f t="shared" si="54"/>
        <v>0</v>
      </c>
      <c r="BT181" s="383">
        <f t="shared" si="54"/>
        <v>0</v>
      </c>
      <c r="BU181" s="383">
        <f t="shared" si="54"/>
        <v>0</v>
      </c>
      <c r="BV181" s="383">
        <f t="shared" si="54"/>
        <v>0</v>
      </c>
      <c r="BW181" s="383">
        <f t="shared" si="54"/>
        <v>0</v>
      </c>
      <c r="BX181" s="383">
        <f t="shared" si="54"/>
        <v>0</v>
      </c>
      <c r="BY181" s="383">
        <f t="shared" si="54"/>
        <v>0</v>
      </c>
      <c r="BZ181" s="383">
        <f t="shared" si="54"/>
        <v>0</v>
      </c>
      <c r="CA181" s="383">
        <f t="shared" si="54"/>
        <v>0</v>
      </c>
      <c r="CB181" s="383">
        <f t="shared" ref="CB181:ET181" si="56">SUM(CB165:CB180)</f>
        <v>0</v>
      </c>
      <c r="CC181" s="383">
        <f t="shared" si="56"/>
        <v>0</v>
      </c>
      <c r="CD181" s="383">
        <f t="shared" si="56"/>
        <v>0</v>
      </c>
      <c r="CE181" s="383">
        <f t="shared" si="56"/>
        <v>0</v>
      </c>
      <c r="CF181" s="383">
        <f t="shared" si="56"/>
        <v>0</v>
      </c>
      <c r="CG181" s="383">
        <f t="shared" si="56"/>
        <v>0</v>
      </c>
      <c r="CH181" s="383">
        <f t="shared" si="56"/>
        <v>0</v>
      </c>
      <c r="CI181" s="383">
        <f t="shared" si="56"/>
        <v>0</v>
      </c>
      <c r="CJ181" s="383">
        <f t="shared" si="56"/>
        <v>0</v>
      </c>
      <c r="CK181" s="383">
        <f t="shared" si="56"/>
        <v>0</v>
      </c>
      <c r="CL181" s="383">
        <f t="shared" si="56"/>
        <v>0</v>
      </c>
      <c r="CM181" s="383">
        <f t="shared" si="56"/>
        <v>0</v>
      </c>
      <c r="CN181" s="383">
        <f t="shared" si="56"/>
        <v>0</v>
      </c>
      <c r="CO181" s="383">
        <f t="shared" si="56"/>
        <v>0</v>
      </c>
      <c r="CP181" s="383">
        <f t="shared" si="56"/>
        <v>0</v>
      </c>
      <c r="CQ181" s="383">
        <f t="shared" si="56"/>
        <v>0</v>
      </c>
      <c r="CR181" s="383">
        <f t="shared" si="56"/>
        <v>0</v>
      </c>
      <c r="CS181" s="383">
        <f t="shared" si="56"/>
        <v>0</v>
      </c>
      <c r="CT181" s="383">
        <f t="shared" si="56"/>
        <v>0</v>
      </c>
      <c r="CU181" s="383">
        <f t="shared" si="56"/>
        <v>0</v>
      </c>
      <c r="CV181" s="383">
        <f t="shared" si="56"/>
        <v>0</v>
      </c>
      <c r="CW181" s="383">
        <f t="shared" si="56"/>
        <v>0</v>
      </c>
      <c r="CX181" s="383">
        <f t="shared" si="56"/>
        <v>0</v>
      </c>
      <c r="CY181" s="383">
        <f t="shared" si="56"/>
        <v>0</v>
      </c>
      <c r="CZ181" s="383">
        <f t="shared" si="56"/>
        <v>0</v>
      </c>
      <c r="DA181" s="383">
        <f t="shared" si="56"/>
        <v>0</v>
      </c>
      <c r="DB181" s="383">
        <f t="shared" si="56"/>
        <v>0</v>
      </c>
      <c r="DC181" s="383">
        <f t="shared" si="56"/>
        <v>0</v>
      </c>
      <c r="DD181" s="383">
        <f t="shared" si="56"/>
        <v>0</v>
      </c>
      <c r="DE181" s="383">
        <f t="shared" si="56"/>
        <v>0</v>
      </c>
      <c r="DF181" s="383">
        <f t="shared" si="56"/>
        <v>0</v>
      </c>
      <c r="DG181" s="383">
        <f t="shared" si="56"/>
        <v>0</v>
      </c>
      <c r="DH181" s="383">
        <f t="shared" si="56"/>
        <v>0</v>
      </c>
      <c r="DI181" s="383">
        <f t="shared" si="56"/>
        <v>0</v>
      </c>
      <c r="DJ181" s="383">
        <f t="shared" si="56"/>
        <v>0</v>
      </c>
      <c r="DK181" s="383">
        <f t="shared" si="56"/>
        <v>0</v>
      </c>
      <c r="DL181" s="383">
        <f t="shared" si="56"/>
        <v>0</v>
      </c>
      <c r="DM181" s="383">
        <f t="shared" si="56"/>
        <v>0</v>
      </c>
      <c r="DN181" s="383">
        <f t="shared" si="56"/>
        <v>0</v>
      </c>
      <c r="DO181" s="383">
        <f t="shared" si="56"/>
        <v>0</v>
      </c>
      <c r="DP181" s="383">
        <f>SUM(DP165:DP180)</f>
        <v>0</v>
      </c>
      <c r="DQ181" s="383">
        <f>SUM(DQ165:DQ180)</f>
        <v>0</v>
      </c>
      <c r="DR181" s="383">
        <f t="shared" si="56"/>
        <v>0</v>
      </c>
      <c r="DS181" s="383">
        <f t="shared" si="56"/>
        <v>0</v>
      </c>
      <c r="DT181" s="383">
        <f t="shared" si="56"/>
        <v>0</v>
      </c>
      <c r="DU181" s="383">
        <f t="shared" si="56"/>
        <v>0</v>
      </c>
      <c r="DV181" s="383">
        <f t="shared" si="56"/>
        <v>0</v>
      </c>
      <c r="DW181" s="383">
        <f t="shared" si="56"/>
        <v>0</v>
      </c>
      <c r="DX181" s="383">
        <f t="shared" si="56"/>
        <v>0</v>
      </c>
      <c r="DY181" s="383">
        <f t="shared" si="56"/>
        <v>0</v>
      </c>
      <c r="DZ181" s="383">
        <f t="shared" si="56"/>
        <v>0</v>
      </c>
      <c r="EA181" s="383">
        <f t="shared" si="56"/>
        <v>0</v>
      </c>
      <c r="EB181" s="383">
        <f t="shared" si="56"/>
        <v>0</v>
      </c>
      <c r="EC181" s="383">
        <f t="shared" si="56"/>
        <v>0</v>
      </c>
      <c r="ED181" s="383">
        <f t="shared" si="56"/>
        <v>0</v>
      </c>
      <c r="EE181" s="383">
        <f t="shared" si="56"/>
        <v>0</v>
      </c>
      <c r="EF181" s="383">
        <f t="shared" si="56"/>
        <v>0</v>
      </c>
      <c r="EG181" s="383">
        <f t="shared" si="56"/>
        <v>0</v>
      </c>
      <c r="EH181" s="383">
        <f t="shared" si="56"/>
        <v>0</v>
      </c>
      <c r="EI181" s="383">
        <f t="shared" si="56"/>
        <v>0</v>
      </c>
      <c r="EJ181" s="383">
        <f t="shared" si="56"/>
        <v>0</v>
      </c>
      <c r="EK181" s="383">
        <f t="shared" si="56"/>
        <v>0</v>
      </c>
      <c r="EL181" s="383">
        <f t="shared" si="56"/>
        <v>0</v>
      </c>
      <c r="EM181" s="383">
        <f t="shared" si="56"/>
        <v>0</v>
      </c>
      <c r="EN181" s="383">
        <f t="shared" si="56"/>
        <v>0</v>
      </c>
      <c r="EO181" s="383">
        <f t="shared" si="56"/>
        <v>0</v>
      </c>
      <c r="EP181" s="383">
        <f t="shared" si="56"/>
        <v>0</v>
      </c>
      <c r="EQ181" s="383">
        <f t="shared" si="56"/>
        <v>0</v>
      </c>
      <c r="ER181" s="383">
        <f t="shared" si="56"/>
        <v>0</v>
      </c>
      <c r="ES181" s="383">
        <f t="shared" si="56"/>
        <v>0</v>
      </c>
      <c r="ET181" s="383">
        <f t="shared" si="56"/>
        <v>0</v>
      </c>
      <c r="EU181" s="383">
        <f t="shared" ref="EU181:GQ181" si="57">SUM(EU165:EU180)</f>
        <v>0</v>
      </c>
      <c r="EV181" s="383">
        <f t="shared" si="57"/>
        <v>0</v>
      </c>
      <c r="EW181" s="383">
        <f t="shared" si="57"/>
        <v>0</v>
      </c>
      <c r="EX181" s="383">
        <f t="shared" si="57"/>
        <v>0</v>
      </c>
      <c r="EY181" s="383">
        <f t="shared" si="57"/>
        <v>0</v>
      </c>
      <c r="EZ181" s="383">
        <f t="shared" si="57"/>
        <v>0</v>
      </c>
      <c r="FA181" s="383">
        <f t="shared" si="57"/>
        <v>0</v>
      </c>
      <c r="FB181" s="383">
        <f t="shared" si="57"/>
        <v>0</v>
      </c>
      <c r="FC181" s="383">
        <f t="shared" si="57"/>
        <v>0</v>
      </c>
      <c r="FD181" s="383">
        <f t="shared" si="57"/>
        <v>0</v>
      </c>
      <c r="FE181" s="383">
        <f t="shared" si="57"/>
        <v>0</v>
      </c>
      <c r="FF181" s="383">
        <f t="shared" si="57"/>
        <v>0</v>
      </c>
      <c r="FG181" s="383">
        <f t="shared" si="57"/>
        <v>0</v>
      </c>
      <c r="FH181" s="383">
        <f t="shared" si="57"/>
        <v>0</v>
      </c>
      <c r="FI181" s="383">
        <f t="shared" si="57"/>
        <v>0</v>
      </c>
      <c r="FJ181" s="383">
        <f t="shared" si="57"/>
        <v>0</v>
      </c>
      <c r="FK181" s="383">
        <f t="shared" si="57"/>
        <v>0</v>
      </c>
      <c r="FL181" s="383">
        <f t="shared" si="57"/>
        <v>0</v>
      </c>
      <c r="FM181" s="383">
        <f t="shared" si="57"/>
        <v>0</v>
      </c>
      <c r="FN181" s="383">
        <f t="shared" si="57"/>
        <v>0</v>
      </c>
      <c r="FO181" s="383">
        <f t="shared" si="57"/>
        <v>0</v>
      </c>
      <c r="FP181" s="383">
        <f t="shared" si="57"/>
        <v>0</v>
      </c>
      <c r="FQ181" s="383">
        <f t="shared" si="57"/>
        <v>0</v>
      </c>
      <c r="FR181" s="383">
        <f t="shared" si="57"/>
        <v>0</v>
      </c>
      <c r="FS181" s="383">
        <f t="shared" si="57"/>
        <v>0</v>
      </c>
      <c r="FT181" s="383">
        <f t="shared" si="57"/>
        <v>0</v>
      </c>
      <c r="FU181" s="383">
        <f t="shared" si="57"/>
        <v>0</v>
      </c>
      <c r="FV181" s="383">
        <f t="shared" si="57"/>
        <v>0</v>
      </c>
      <c r="FW181" s="383">
        <f t="shared" si="57"/>
        <v>0</v>
      </c>
      <c r="FX181" s="383">
        <f t="shared" si="57"/>
        <v>0</v>
      </c>
      <c r="FY181" s="383">
        <f t="shared" si="57"/>
        <v>0</v>
      </c>
      <c r="FZ181" s="383">
        <f t="shared" si="57"/>
        <v>0</v>
      </c>
      <c r="GA181" s="383">
        <f t="shared" si="57"/>
        <v>0</v>
      </c>
      <c r="GB181" s="383">
        <f t="shared" si="57"/>
        <v>0</v>
      </c>
      <c r="GC181" s="383">
        <f t="shared" si="57"/>
        <v>0</v>
      </c>
      <c r="GD181" s="383">
        <f t="shared" si="57"/>
        <v>0</v>
      </c>
      <c r="GE181" s="383">
        <f t="shared" si="57"/>
        <v>0</v>
      </c>
      <c r="GF181" s="383">
        <f t="shared" si="57"/>
        <v>0</v>
      </c>
      <c r="GG181" s="383">
        <f t="shared" si="57"/>
        <v>0</v>
      </c>
      <c r="GH181" s="383">
        <f t="shared" si="57"/>
        <v>0</v>
      </c>
      <c r="GI181" s="383">
        <f t="shared" si="57"/>
        <v>0</v>
      </c>
      <c r="GJ181" s="383">
        <f t="shared" si="57"/>
        <v>0</v>
      </c>
      <c r="GK181" s="383">
        <f t="shared" si="57"/>
        <v>0</v>
      </c>
      <c r="GL181" s="383">
        <f t="shared" si="57"/>
        <v>0</v>
      </c>
      <c r="GM181" s="383">
        <f t="shared" si="57"/>
        <v>0</v>
      </c>
      <c r="GN181" s="383">
        <f t="shared" si="57"/>
        <v>0</v>
      </c>
      <c r="GO181" s="383">
        <f t="shared" si="57"/>
        <v>0</v>
      </c>
      <c r="GP181" s="383">
        <f t="shared" si="57"/>
        <v>0</v>
      </c>
      <c r="GQ181" s="383">
        <f t="shared" si="57"/>
        <v>0</v>
      </c>
      <c r="GR181" s="341"/>
      <c r="GS181" s="341"/>
      <c r="GT181" s="341"/>
      <c r="GU181" s="332"/>
      <c r="GV181" s="169"/>
      <c r="GW181" s="169"/>
      <c r="GX181" s="169"/>
      <c r="GY181" s="169"/>
      <c r="GZ181" s="169"/>
      <c r="HA181" s="169"/>
      <c r="HB181" s="169"/>
      <c r="HC181" s="169"/>
      <c r="HD181" s="169"/>
      <c r="HE181" s="169"/>
      <c r="HF181" s="169"/>
      <c r="HG181" s="169"/>
      <c r="HH181" s="169"/>
      <c r="HI181" s="169"/>
      <c r="HJ181" s="169"/>
      <c r="HK181" s="169"/>
      <c r="HL181" s="169"/>
      <c r="HM181" s="169"/>
      <c r="HN181" s="169"/>
      <c r="HO181" s="169"/>
      <c r="HP181" s="169"/>
      <c r="HQ181" s="169"/>
      <c r="HR181" s="169"/>
      <c r="HS181" s="169"/>
      <c r="HT181" s="169"/>
      <c r="HU181" s="169"/>
      <c r="HV181" s="169"/>
      <c r="HW181" s="169"/>
      <c r="HX181" s="169"/>
      <c r="HY181" s="169"/>
      <c r="HZ181" s="169"/>
      <c r="IA181" s="169"/>
      <c r="IB181" s="169"/>
      <c r="IC181" s="169"/>
      <c r="ID181" s="169"/>
      <c r="IE181" s="169"/>
      <c r="IF181" s="169"/>
      <c r="IG181" s="169"/>
      <c r="IH181" s="169"/>
      <c r="II181" s="169"/>
      <c r="IJ181" s="169"/>
      <c r="IK181" s="169"/>
      <c r="IL181" s="169"/>
      <c r="IM181" s="169"/>
      <c r="IN181" s="169"/>
      <c r="IO181" s="169"/>
      <c r="IP181" s="169"/>
      <c r="IQ181" s="169"/>
      <c r="IR181" s="169"/>
      <c r="IS181" s="169"/>
      <c r="IT181" s="169"/>
      <c r="IU181" s="169"/>
      <c r="IV181" s="169"/>
    </row>
    <row r="182" spans="1:256" s="174" customFormat="1" ht="13.8" hidden="1">
      <c r="A182" s="159" t="s">
        <v>2286</v>
      </c>
      <c r="B182" s="285">
        <f>B181+B163+B154+B148+B139+B131+B119</f>
        <v>0</v>
      </c>
      <c r="C182" s="285">
        <f t="shared" ref="C182:I182" si="58">C181+C163+C154+C148+C139+C131+C119</f>
        <v>0</v>
      </c>
      <c r="D182" s="285">
        <f t="shared" si="58"/>
        <v>0</v>
      </c>
      <c r="E182" s="285">
        <f t="shared" si="58"/>
        <v>0</v>
      </c>
      <c r="F182" s="286">
        <f t="shared" si="58"/>
        <v>0</v>
      </c>
      <c r="G182" s="286">
        <f t="shared" si="58"/>
        <v>0</v>
      </c>
      <c r="H182" s="286">
        <f t="shared" si="58"/>
        <v>0</v>
      </c>
      <c r="I182" s="286">
        <f t="shared" si="58"/>
        <v>0</v>
      </c>
      <c r="J182" s="286">
        <f>J181+J163+J148+J139+J131+J119</f>
        <v>0</v>
      </c>
      <c r="K182" s="286">
        <f>K181+K163+K148+K139+K131+K119</f>
        <v>0</v>
      </c>
      <c r="L182" s="286">
        <f>L181+L163+L148+L139+L131+L119</f>
        <v>0</v>
      </c>
      <c r="M182" s="384"/>
      <c r="N182" s="285">
        <f>N181+N163+N154+N148+N139+N131+N119</f>
        <v>0</v>
      </c>
      <c r="O182" s="285">
        <f t="shared" ref="O182:BZ182" si="59">O181+O163+O154+O148+O139+O131+O119</f>
        <v>0</v>
      </c>
      <c r="P182" s="285">
        <f t="shared" si="59"/>
        <v>0</v>
      </c>
      <c r="Q182" s="285">
        <f t="shared" si="59"/>
        <v>0</v>
      </c>
      <c r="R182" s="285">
        <f t="shared" si="59"/>
        <v>0</v>
      </c>
      <c r="S182" s="285">
        <f t="shared" si="59"/>
        <v>0</v>
      </c>
      <c r="T182" s="285">
        <f t="shared" si="59"/>
        <v>0</v>
      </c>
      <c r="U182" s="285">
        <f t="shared" si="59"/>
        <v>0</v>
      </c>
      <c r="V182" s="285">
        <f t="shared" si="59"/>
        <v>0</v>
      </c>
      <c r="W182" s="285">
        <f t="shared" si="59"/>
        <v>0</v>
      </c>
      <c r="X182" s="285">
        <f t="shared" si="59"/>
        <v>0</v>
      </c>
      <c r="Y182" s="285">
        <f t="shared" si="59"/>
        <v>0</v>
      </c>
      <c r="Z182" s="285">
        <f t="shared" si="59"/>
        <v>0</v>
      </c>
      <c r="AA182" s="285">
        <f t="shared" si="59"/>
        <v>0</v>
      </c>
      <c r="AB182" s="285">
        <f t="shared" si="59"/>
        <v>0</v>
      </c>
      <c r="AC182" s="285">
        <f t="shared" si="59"/>
        <v>0</v>
      </c>
      <c r="AD182" s="285">
        <f t="shared" si="59"/>
        <v>0</v>
      </c>
      <c r="AE182" s="285">
        <f t="shared" si="59"/>
        <v>0</v>
      </c>
      <c r="AF182" s="285">
        <f t="shared" si="59"/>
        <v>0</v>
      </c>
      <c r="AG182" s="285">
        <f t="shared" si="59"/>
        <v>0</v>
      </c>
      <c r="AH182" s="285">
        <f t="shared" si="59"/>
        <v>0</v>
      </c>
      <c r="AI182" s="285">
        <f t="shared" si="59"/>
        <v>0</v>
      </c>
      <c r="AJ182" s="285">
        <f t="shared" si="59"/>
        <v>0</v>
      </c>
      <c r="AK182" s="285">
        <f t="shared" si="59"/>
        <v>0</v>
      </c>
      <c r="AL182" s="285">
        <f t="shared" si="59"/>
        <v>0</v>
      </c>
      <c r="AM182" s="285">
        <f t="shared" si="59"/>
        <v>0</v>
      </c>
      <c r="AN182" s="285">
        <f t="shared" si="59"/>
        <v>0</v>
      </c>
      <c r="AO182" s="285">
        <f t="shared" si="59"/>
        <v>0</v>
      </c>
      <c r="AP182" s="285">
        <f t="shared" si="59"/>
        <v>0</v>
      </c>
      <c r="AQ182" s="285">
        <f t="shared" si="59"/>
        <v>0</v>
      </c>
      <c r="AR182" s="285">
        <f t="shared" si="59"/>
        <v>0</v>
      </c>
      <c r="AS182" s="285">
        <f t="shared" si="59"/>
        <v>0</v>
      </c>
      <c r="AT182" s="285">
        <f t="shared" si="59"/>
        <v>0</v>
      </c>
      <c r="AU182" s="285">
        <f t="shared" si="59"/>
        <v>0</v>
      </c>
      <c r="AV182" s="285">
        <f t="shared" si="59"/>
        <v>0</v>
      </c>
      <c r="AW182" s="285">
        <f t="shared" si="59"/>
        <v>0</v>
      </c>
      <c r="AX182" s="285">
        <f t="shared" si="59"/>
        <v>0</v>
      </c>
      <c r="AY182" s="285">
        <f t="shared" si="59"/>
        <v>0</v>
      </c>
      <c r="AZ182" s="285">
        <f t="shared" si="59"/>
        <v>0</v>
      </c>
      <c r="BA182" s="285">
        <f t="shared" si="59"/>
        <v>0</v>
      </c>
      <c r="BB182" s="285">
        <f t="shared" si="59"/>
        <v>0</v>
      </c>
      <c r="BC182" s="285">
        <f t="shared" si="59"/>
        <v>0</v>
      </c>
      <c r="BD182" s="285">
        <f t="shared" si="59"/>
        <v>0</v>
      </c>
      <c r="BE182" s="285">
        <f t="shared" si="59"/>
        <v>0</v>
      </c>
      <c r="BF182" s="285">
        <f t="shared" si="59"/>
        <v>0</v>
      </c>
      <c r="BG182" s="285">
        <f t="shared" si="59"/>
        <v>0</v>
      </c>
      <c r="BH182" s="285">
        <f t="shared" si="59"/>
        <v>0</v>
      </c>
      <c r="BI182" s="285">
        <f t="shared" si="59"/>
        <v>0</v>
      </c>
      <c r="BJ182" s="285">
        <f t="shared" si="59"/>
        <v>0</v>
      </c>
      <c r="BK182" s="285">
        <f t="shared" si="59"/>
        <v>0</v>
      </c>
      <c r="BL182" s="285">
        <f t="shared" si="59"/>
        <v>0</v>
      </c>
      <c r="BM182" s="285">
        <f t="shared" si="59"/>
        <v>0</v>
      </c>
      <c r="BN182" s="285">
        <f t="shared" si="59"/>
        <v>0</v>
      </c>
      <c r="BO182" s="285">
        <f t="shared" si="59"/>
        <v>0</v>
      </c>
      <c r="BP182" s="285">
        <f t="shared" si="59"/>
        <v>0</v>
      </c>
      <c r="BQ182" s="285">
        <f t="shared" si="59"/>
        <v>0</v>
      </c>
      <c r="BR182" s="285">
        <f t="shared" si="59"/>
        <v>0</v>
      </c>
      <c r="BS182" s="285">
        <f t="shared" si="59"/>
        <v>0</v>
      </c>
      <c r="BT182" s="285">
        <f t="shared" si="59"/>
        <v>0</v>
      </c>
      <c r="BU182" s="285">
        <f t="shared" si="59"/>
        <v>0</v>
      </c>
      <c r="BV182" s="285">
        <f t="shared" si="59"/>
        <v>0</v>
      </c>
      <c r="BW182" s="285">
        <f t="shared" si="59"/>
        <v>0</v>
      </c>
      <c r="BX182" s="285">
        <f t="shared" si="59"/>
        <v>0</v>
      </c>
      <c r="BY182" s="285">
        <f t="shared" si="59"/>
        <v>0</v>
      </c>
      <c r="BZ182" s="285">
        <f t="shared" si="59"/>
        <v>0</v>
      </c>
      <c r="CA182" s="285">
        <f t="shared" ref="CA182:EP182" si="60">CA181+CA163+CA154+CA148+CA139+CA131+CA119</f>
        <v>0</v>
      </c>
      <c r="CB182" s="285">
        <f t="shared" si="60"/>
        <v>0</v>
      </c>
      <c r="CC182" s="285">
        <f t="shared" si="60"/>
        <v>0</v>
      </c>
      <c r="CD182" s="285">
        <f t="shared" si="60"/>
        <v>0</v>
      </c>
      <c r="CE182" s="285">
        <f t="shared" si="60"/>
        <v>0</v>
      </c>
      <c r="CF182" s="285">
        <f t="shared" si="60"/>
        <v>0</v>
      </c>
      <c r="CG182" s="285">
        <f t="shared" si="60"/>
        <v>0</v>
      </c>
      <c r="CH182" s="285">
        <f t="shared" si="60"/>
        <v>0</v>
      </c>
      <c r="CI182" s="285">
        <f t="shared" si="60"/>
        <v>0</v>
      </c>
      <c r="CJ182" s="285">
        <f t="shared" si="60"/>
        <v>0</v>
      </c>
      <c r="CK182" s="285">
        <f t="shared" si="60"/>
        <v>0</v>
      </c>
      <c r="CL182" s="285">
        <f t="shared" si="60"/>
        <v>0</v>
      </c>
      <c r="CM182" s="285">
        <f t="shared" si="60"/>
        <v>0</v>
      </c>
      <c r="CN182" s="285">
        <f t="shared" si="60"/>
        <v>0</v>
      </c>
      <c r="CO182" s="285">
        <f t="shared" si="60"/>
        <v>0</v>
      </c>
      <c r="CP182" s="285">
        <f t="shared" si="60"/>
        <v>0</v>
      </c>
      <c r="CQ182" s="285">
        <f t="shared" si="60"/>
        <v>0</v>
      </c>
      <c r="CR182" s="285">
        <f t="shared" si="60"/>
        <v>0</v>
      </c>
      <c r="CS182" s="285">
        <f t="shared" si="60"/>
        <v>0</v>
      </c>
      <c r="CT182" s="285">
        <f t="shared" si="60"/>
        <v>0</v>
      </c>
      <c r="CU182" s="285">
        <f t="shared" si="60"/>
        <v>0</v>
      </c>
      <c r="CV182" s="285">
        <f t="shared" si="60"/>
        <v>0</v>
      </c>
      <c r="CW182" s="285">
        <f t="shared" si="60"/>
        <v>0</v>
      </c>
      <c r="CX182" s="285">
        <f t="shared" si="60"/>
        <v>0</v>
      </c>
      <c r="CY182" s="285">
        <f t="shared" si="60"/>
        <v>0</v>
      </c>
      <c r="CZ182" s="285">
        <f t="shared" si="60"/>
        <v>0</v>
      </c>
      <c r="DA182" s="285">
        <f t="shared" si="60"/>
        <v>0</v>
      </c>
      <c r="DB182" s="285">
        <f t="shared" si="60"/>
        <v>0</v>
      </c>
      <c r="DC182" s="285">
        <f t="shared" si="60"/>
        <v>0</v>
      </c>
      <c r="DD182" s="285">
        <f t="shared" si="60"/>
        <v>0</v>
      </c>
      <c r="DE182" s="285">
        <f t="shared" si="60"/>
        <v>0</v>
      </c>
      <c r="DF182" s="285">
        <f t="shared" si="60"/>
        <v>0</v>
      </c>
      <c r="DG182" s="285">
        <f t="shared" si="60"/>
        <v>0</v>
      </c>
      <c r="DH182" s="285">
        <f t="shared" si="60"/>
        <v>0</v>
      </c>
      <c r="DI182" s="285">
        <f t="shared" si="60"/>
        <v>0</v>
      </c>
      <c r="DJ182" s="285">
        <f t="shared" si="60"/>
        <v>0</v>
      </c>
      <c r="DK182" s="285">
        <f t="shared" si="60"/>
        <v>0</v>
      </c>
      <c r="DL182" s="285">
        <f t="shared" si="60"/>
        <v>0</v>
      </c>
      <c r="DM182" s="285">
        <f t="shared" si="60"/>
        <v>0</v>
      </c>
      <c r="DN182" s="285">
        <f t="shared" si="60"/>
        <v>0</v>
      </c>
      <c r="DO182" s="285">
        <f t="shared" si="60"/>
        <v>0</v>
      </c>
      <c r="DP182" s="285">
        <f>DP181+DP163+DP154+DP148+DP139+DP131+DP119</f>
        <v>0</v>
      </c>
      <c r="DQ182" s="285">
        <f>DQ181+DQ163+DQ154+DQ148+DQ139+DQ131+DQ119</f>
        <v>0</v>
      </c>
      <c r="DR182" s="285">
        <f t="shared" si="60"/>
        <v>0</v>
      </c>
      <c r="DS182" s="285">
        <f t="shared" si="60"/>
        <v>0</v>
      </c>
      <c r="DT182" s="285">
        <f t="shared" si="60"/>
        <v>0</v>
      </c>
      <c r="DU182" s="285">
        <f t="shared" si="60"/>
        <v>0</v>
      </c>
      <c r="DV182" s="285">
        <f t="shared" si="60"/>
        <v>0</v>
      </c>
      <c r="DW182" s="285">
        <f t="shared" si="60"/>
        <v>0</v>
      </c>
      <c r="DX182" s="285">
        <f t="shared" si="60"/>
        <v>0</v>
      </c>
      <c r="DY182" s="285">
        <f t="shared" si="60"/>
        <v>0</v>
      </c>
      <c r="DZ182" s="285">
        <f t="shared" si="60"/>
        <v>0</v>
      </c>
      <c r="EA182" s="285">
        <f t="shared" si="60"/>
        <v>0</v>
      </c>
      <c r="EB182" s="285">
        <f t="shared" si="60"/>
        <v>0</v>
      </c>
      <c r="EC182" s="285">
        <f t="shared" si="60"/>
        <v>0</v>
      </c>
      <c r="ED182" s="285">
        <f t="shared" si="60"/>
        <v>0</v>
      </c>
      <c r="EE182" s="285">
        <f t="shared" si="60"/>
        <v>0</v>
      </c>
      <c r="EF182" s="285">
        <f t="shared" si="60"/>
        <v>0</v>
      </c>
      <c r="EG182" s="285">
        <f t="shared" si="60"/>
        <v>0</v>
      </c>
      <c r="EH182" s="285">
        <f t="shared" si="60"/>
        <v>0</v>
      </c>
      <c r="EI182" s="285">
        <f t="shared" si="60"/>
        <v>0</v>
      </c>
      <c r="EJ182" s="285">
        <f t="shared" si="60"/>
        <v>0</v>
      </c>
      <c r="EK182" s="285">
        <f t="shared" si="60"/>
        <v>0</v>
      </c>
      <c r="EL182" s="285">
        <f t="shared" si="60"/>
        <v>0</v>
      </c>
      <c r="EM182" s="285">
        <f t="shared" si="60"/>
        <v>0</v>
      </c>
      <c r="EN182" s="285">
        <f t="shared" si="60"/>
        <v>0</v>
      </c>
      <c r="EO182" s="285">
        <f t="shared" si="60"/>
        <v>0</v>
      </c>
      <c r="EP182" s="285">
        <f t="shared" si="60"/>
        <v>0</v>
      </c>
      <c r="EQ182" s="285">
        <f t="shared" ref="EQ182:GT182" si="61">EQ181+EQ163+EQ154+EQ148+EQ139+EQ131+EQ119</f>
        <v>0</v>
      </c>
      <c r="ER182" s="285">
        <f t="shared" si="61"/>
        <v>0</v>
      </c>
      <c r="ES182" s="285">
        <f t="shared" si="61"/>
        <v>0</v>
      </c>
      <c r="ET182" s="285">
        <f t="shared" si="61"/>
        <v>0</v>
      </c>
      <c r="EU182" s="285">
        <f t="shared" si="61"/>
        <v>0</v>
      </c>
      <c r="EV182" s="285">
        <f t="shared" si="61"/>
        <v>0</v>
      </c>
      <c r="EW182" s="285">
        <f t="shared" si="61"/>
        <v>0</v>
      </c>
      <c r="EX182" s="285">
        <f t="shared" si="61"/>
        <v>0</v>
      </c>
      <c r="EY182" s="285">
        <f t="shared" si="61"/>
        <v>0</v>
      </c>
      <c r="EZ182" s="285">
        <f t="shared" si="61"/>
        <v>0</v>
      </c>
      <c r="FA182" s="285">
        <f t="shared" si="61"/>
        <v>0</v>
      </c>
      <c r="FB182" s="285">
        <f t="shared" si="61"/>
        <v>0</v>
      </c>
      <c r="FC182" s="285">
        <f t="shared" si="61"/>
        <v>0</v>
      </c>
      <c r="FD182" s="285">
        <f t="shared" si="61"/>
        <v>0</v>
      </c>
      <c r="FE182" s="285">
        <f t="shared" si="61"/>
        <v>0</v>
      </c>
      <c r="FF182" s="285">
        <f t="shared" si="61"/>
        <v>0</v>
      </c>
      <c r="FG182" s="285">
        <f t="shared" si="61"/>
        <v>0</v>
      </c>
      <c r="FH182" s="285">
        <f t="shared" si="61"/>
        <v>0</v>
      </c>
      <c r="FI182" s="285">
        <f t="shared" si="61"/>
        <v>0</v>
      </c>
      <c r="FJ182" s="285">
        <f t="shared" si="61"/>
        <v>0</v>
      </c>
      <c r="FK182" s="285">
        <f t="shared" si="61"/>
        <v>0</v>
      </c>
      <c r="FL182" s="285">
        <f t="shared" si="61"/>
        <v>0</v>
      </c>
      <c r="FM182" s="285">
        <f t="shared" si="61"/>
        <v>0</v>
      </c>
      <c r="FN182" s="285">
        <f t="shared" si="61"/>
        <v>0</v>
      </c>
      <c r="FO182" s="285">
        <f t="shared" si="61"/>
        <v>0</v>
      </c>
      <c r="FP182" s="285">
        <f t="shared" si="61"/>
        <v>0</v>
      </c>
      <c r="FQ182" s="285">
        <f t="shared" si="61"/>
        <v>0</v>
      </c>
      <c r="FR182" s="285">
        <f t="shared" si="61"/>
        <v>0</v>
      </c>
      <c r="FS182" s="285">
        <f t="shared" si="61"/>
        <v>0</v>
      </c>
      <c r="FT182" s="285">
        <f t="shared" si="61"/>
        <v>0</v>
      </c>
      <c r="FU182" s="285">
        <f t="shared" si="61"/>
        <v>0</v>
      </c>
      <c r="FV182" s="285">
        <f t="shared" si="61"/>
        <v>0</v>
      </c>
      <c r="FW182" s="285">
        <f t="shared" si="61"/>
        <v>0</v>
      </c>
      <c r="FX182" s="285">
        <f t="shared" si="61"/>
        <v>0</v>
      </c>
      <c r="FY182" s="285">
        <f t="shared" si="61"/>
        <v>0</v>
      </c>
      <c r="FZ182" s="285">
        <f t="shared" si="61"/>
        <v>0</v>
      </c>
      <c r="GA182" s="285">
        <f t="shared" si="61"/>
        <v>0</v>
      </c>
      <c r="GB182" s="285">
        <f t="shared" si="61"/>
        <v>0</v>
      </c>
      <c r="GC182" s="285">
        <f t="shared" si="61"/>
        <v>0</v>
      </c>
      <c r="GD182" s="285">
        <f t="shared" si="61"/>
        <v>0</v>
      </c>
      <c r="GE182" s="285">
        <f t="shared" si="61"/>
        <v>0</v>
      </c>
      <c r="GF182" s="285">
        <f t="shared" si="61"/>
        <v>0</v>
      </c>
      <c r="GG182" s="285">
        <f t="shared" si="61"/>
        <v>0</v>
      </c>
      <c r="GH182" s="285">
        <f t="shared" si="61"/>
        <v>0</v>
      </c>
      <c r="GI182" s="285">
        <f t="shared" si="61"/>
        <v>0</v>
      </c>
      <c r="GJ182" s="285">
        <f t="shared" si="61"/>
        <v>0</v>
      </c>
      <c r="GK182" s="285">
        <f t="shared" si="61"/>
        <v>0</v>
      </c>
      <c r="GL182" s="285">
        <f t="shared" si="61"/>
        <v>0</v>
      </c>
      <c r="GM182" s="285">
        <f t="shared" si="61"/>
        <v>0</v>
      </c>
      <c r="GN182" s="285">
        <f t="shared" si="61"/>
        <v>0</v>
      </c>
      <c r="GO182" s="285">
        <f t="shared" si="61"/>
        <v>0</v>
      </c>
      <c r="GP182" s="285">
        <f t="shared" si="61"/>
        <v>0</v>
      </c>
      <c r="GQ182" s="285">
        <f t="shared" si="61"/>
        <v>0</v>
      </c>
      <c r="GR182" s="285">
        <f t="shared" si="61"/>
        <v>0</v>
      </c>
      <c r="GS182" s="285">
        <f t="shared" si="61"/>
        <v>0</v>
      </c>
      <c r="GT182" s="285">
        <f t="shared" si="61"/>
        <v>0</v>
      </c>
      <c r="GU182" s="287"/>
      <c r="GV182" s="169"/>
      <c r="GW182" s="169"/>
      <c r="GX182" s="169"/>
      <c r="GY182" s="169"/>
      <c r="GZ182" s="169"/>
      <c r="HA182" s="169"/>
      <c r="HB182" s="169"/>
      <c r="HC182" s="169"/>
      <c r="HD182" s="169"/>
      <c r="HE182" s="169"/>
      <c r="HF182" s="169"/>
      <c r="HG182" s="169"/>
      <c r="HH182" s="169"/>
      <c r="HI182" s="169"/>
      <c r="HJ182" s="169"/>
      <c r="HK182" s="169"/>
      <c r="HL182" s="169"/>
      <c r="HM182" s="169"/>
      <c r="HN182" s="169"/>
      <c r="HO182" s="169"/>
      <c r="HP182" s="169"/>
      <c r="HQ182" s="169"/>
      <c r="HR182" s="169"/>
      <c r="HS182" s="169"/>
      <c r="HT182" s="169"/>
      <c r="HU182" s="169"/>
      <c r="HV182" s="169"/>
      <c r="HW182" s="169"/>
      <c r="HX182" s="169"/>
      <c r="HY182" s="169"/>
      <c r="HZ182" s="169"/>
      <c r="IA182" s="169"/>
      <c r="IB182" s="169"/>
      <c r="IC182" s="169"/>
      <c r="ID182" s="169"/>
      <c r="IE182" s="169"/>
      <c r="IF182" s="169"/>
      <c r="IG182" s="169"/>
      <c r="IH182" s="169"/>
      <c r="II182" s="169"/>
      <c r="IJ182" s="169"/>
      <c r="IK182" s="169"/>
      <c r="IL182" s="169"/>
      <c r="IM182" s="169"/>
      <c r="IN182" s="169"/>
      <c r="IO182" s="169"/>
      <c r="IP182" s="169"/>
      <c r="IQ182" s="169"/>
      <c r="IR182" s="169"/>
      <c r="IS182" s="169"/>
      <c r="IT182" s="169"/>
      <c r="IU182" s="169"/>
      <c r="IV182" s="169"/>
    </row>
    <row r="183" spans="1:256" s="174" customFormat="1" ht="13.8" hidden="1">
      <c r="A183" s="154"/>
      <c r="B183" s="184"/>
      <c r="C183" s="184"/>
      <c r="D183" s="184"/>
      <c r="E183" s="184"/>
      <c r="F183" s="184"/>
      <c r="G183" s="184"/>
      <c r="H183" s="184"/>
      <c r="I183" s="184"/>
      <c r="J183" s="184"/>
      <c r="K183" s="184"/>
      <c r="L183" s="184"/>
      <c r="M183" s="184"/>
      <c r="N183" s="184"/>
      <c r="O183" s="184"/>
      <c r="P183" s="184"/>
      <c r="Q183" s="184"/>
      <c r="R183" s="184"/>
      <c r="S183" s="184"/>
      <c r="T183" s="184"/>
      <c r="U183" s="184"/>
      <c r="V183" s="184"/>
      <c r="W183" s="184"/>
      <c r="X183" s="184"/>
      <c r="Y183" s="184"/>
      <c r="Z183" s="184"/>
      <c r="AA183" s="184"/>
      <c r="AB183" s="184"/>
      <c r="AC183" s="184"/>
      <c r="AD183" s="184"/>
      <c r="AE183" s="184"/>
      <c r="AF183" s="184"/>
      <c r="AG183" s="184"/>
      <c r="AH183" s="184"/>
      <c r="AI183" s="184"/>
      <c r="AJ183" s="184"/>
      <c r="AK183" s="184"/>
      <c r="AL183" s="184"/>
      <c r="AM183" s="184"/>
      <c r="AN183" s="184"/>
      <c r="AO183" s="184"/>
      <c r="AP183" s="184"/>
      <c r="AQ183" s="184"/>
      <c r="AR183" s="184"/>
      <c r="AS183" s="184"/>
      <c r="AT183" s="184"/>
      <c r="AU183" s="184"/>
      <c r="AV183" s="184"/>
      <c r="AW183" s="184"/>
      <c r="AX183" s="184"/>
      <c r="AY183" s="184"/>
      <c r="AZ183" s="184"/>
      <c r="BA183" s="184"/>
      <c r="BB183" s="184"/>
      <c r="BC183" s="184"/>
      <c r="BD183" s="184"/>
      <c r="BE183" s="184"/>
      <c r="BF183" s="184"/>
      <c r="BG183" s="184"/>
      <c r="BH183" s="184"/>
      <c r="BI183" s="184"/>
      <c r="BJ183" s="184"/>
      <c r="BK183" s="184"/>
      <c r="BL183" s="184"/>
      <c r="BM183" s="184"/>
      <c r="BN183" s="184"/>
      <c r="BO183" s="184"/>
      <c r="BP183" s="184"/>
      <c r="BQ183" s="184"/>
      <c r="BR183" s="184"/>
      <c r="BS183" s="184"/>
      <c r="BT183" s="184"/>
      <c r="BU183" s="184"/>
      <c r="BV183" s="184"/>
      <c r="BW183" s="184"/>
      <c r="BX183" s="184"/>
      <c r="BY183" s="184"/>
      <c r="BZ183" s="184"/>
      <c r="CA183" s="184"/>
      <c r="CB183" s="184"/>
      <c r="CC183" s="184"/>
      <c r="CD183" s="184"/>
      <c r="CE183" s="184"/>
      <c r="CF183" s="184"/>
      <c r="CG183" s="184"/>
      <c r="CH183" s="184"/>
      <c r="CI183" s="184"/>
      <c r="CJ183" s="184"/>
      <c r="CK183" s="184"/>
      <c r="CL183" s="184"/>
      <c r="CM183" s="184"/>
      <c r="CN183" s="184"/>
      <c r="CO183" s="184"/>
      <c r="CP183" s="184"/>
      <c r="CQ183" s="184"/>
      <c r="CR183" s="184"/>
      <c r="CS183" s="184"/>
      <c r="CT183" s="184"/>
      <c r="CU183" s="184"/>
      <c r="CV183" s="184"/>
      <c r="CW183" s="184"/>
      <c r="CX183" s="184"/>
      <c r="CY183" s="184"/>
      <c r="CZ183" s="184"/>
      <c r="DA183" s="184"/>
      <c r="DB183" s="184"/>
      <c r="DC183" s="184"/>
      <c r="DD183" s="184"/>
      <c r="DE183" s="184"/>
      <c r="DF183" s="184"/>
      <c r="DG183" s="184"/>
      <c r="DH183" s="184"/>
      <c r="DI183" s="184"/>
      <c r="DJ183" s="184"/>
      <c r="DK183" s="184"/>
      <c r="DL183" s="184"/>
      <c r="DM183" s="184"/>
      <c r="DN183" s="184"/>
      <c r="DO183" s="184"/>
      <c r="DP183" s="184"/>
      <c r="DQ183" s="184"/>
      <c r="DR183" s="184"/>
      <c r="DS183" s="184"/>
      <c r="DT183" s="184"/>
      <c r="DU183" s="184"/>
      <c r="DV183" s="184"/>
      <c r="DW183" s="184"/>
      <c r="DX183" s="184"/>
      <c r="DY183" s="184"/>
      <c r="DZ183" s="184"/>
      <c r="EA183" s="184"/>
      <c r="EB183" s="184"/>
      <c r="EC183" s="184"/>
      <c r="ED183" s="184"/>
      <c r="EE183" s="184"/>
      <c r="EF183" s="184"/>
      <c r="EG183" s="184"/>
      <c r="EH183" s="184"/>
      <c r="EI183" s="184"/>
      <c r="EJ183" s="184"/>
      <c r="EK183" s="184"/>
      <c r="EL183" s="184"/>
      <c r="EM183" s="184"/>
      <c r="EN183" s="184"/>
      <c r="EO183" s="184"/>
      <c r="EP183" s="184"/>
      <c r="EQ183" s="184"/>
      <c r="ER183" s="184"/>
      <c r="ES183" s="184"/>
      <c r="ET183" s="184"/>
      <c r="EU183" s="184"/>
      <c r="EV183" s="184"/>
      <c r="EW183" s="184"/>
      <c r="EX183" s="184"/>
      <c r="EY183" s="184"/>
      <c r="EZ183" s="184"/>
      <c r="FA183" s="184"/>
      <c r="FB183" s="184"/>
      <c r="FC183" s="184"/>
      <c r="FD183" s="184"/>
      <c r="FE183" s="184"/>
      <c r="FF183" s="184"/>
      <c r="FG183" s="184"/>
      <c r="FH183" s="184"/>
      <c r="FI183" s="184"/>
      <c r="FJ183" s="184"/>
      <c r="FK183" s="184"/>
      <c r="FL183" s="184"/>
      <c r="FM183" s="184"/>
      <c r="FN183" s="184"/>
      <c r="FO183" s="184"/>
      <c r="FP183" s="184"/>
      <c r="FQ183" s="184"/>
      <c r="FR183" s="184"/>
      <c r="FS183" s="184"/>
      <c r="FT183" s="184"/>
      <c r="FU183" s="184"/>
      <c r="FV183" s="184"/>
      <c r="FW183" s="184"/>
      <c r="FX183" s="184"/>
      <c r="FY183" s="184"/>
      <c r="FZ183" s="184"/>
      <c r="GA183" s="184"/>
      <c r="GB183" s="184"/>
      <c r="GC183" s="184"/>
      <c r="GD183" s="184"/>
      <c r="GE183" s="184"/>
      <c r="GF183" s="184"/>
      <c r="GG183" s="184"/>
      <c r="GH183" s="184"/>
      <c r="GI183" s="184"/>
      <c r="GJ183" s="184"/>
      <c r="GK183" s="184"/>
      <c r="GL183" s="184"/>
      <c r="GM183" s="184"/>
      <c r="GN183" s="184"/>
      <c r="GO183" s="184"/>
      <c r="GP183" s="184"/>
      <c r="GQ183" s="184"/>
      <c r="GR183" s="184"/>
      <c r="GS183" s="184"/>
      <c r="GT183" s="184"/>
      <c r="GU183" s="185"/>
      <c r="GV183" s="169"/>
      <c r="GW183" s="169"/>
      <c r="GX183" s="169"/>
      <c r="GY183" s="169"/>
      <c r="GZ183" s="169"/>
      <c r="HA183" s="169"/>
      <c r="HB183" s="169"/>
      <c r="HC183" s="169"/>
      <c r="HD183" s="169"/>
      <c r="HE183" s="169"/>
      <c r="HF183" s="169"/>
      <c r="HG183" s="169"/>
      <c r="HH183" s="169"/>
      <c r="HI183" s="169"/>
      <c r="HJ183" s="169"/>
      <c r="HK183" s="169"/>
      <c r="HL183" s="169"/>
      <c r="HM183" s="169"/>
      <c r="HN183" s="169"/>
      <c r="HO183" s="169"/>
      <c r="HP183" s="169"/>
      <c r="HQ183" s="169"/>
      <c r="HR183" s="169"/>
      <c r="HS183" s="169"/>
      <c r="HT183" s="169"/>
      <c r="HU183" s="169"/>
      <c r="HV183" s="169"/>
      <c r="HW183" s="169"/>
      <c r="HX183" s="169"/>
      <c r="HY183" s="169"/>
      <c r="HZ183" s="169"/>
      <c r="IA183" s="169"/>
      <c r="IB183" s="169"/>
      <c r="IC183" s="169"/>
      <c r="ID183" s="169"/>
      <c r="IE183" s="169"/>
      <c r="IF183" s="169"/>
      <c r="IG183" s="169"/>
      <c r="IH183" s="169"/>
      <c r="II183" s="169"/>
      <c r="IJ183" s="169"/>
      <c r="IK183" s="169"/>
      <c r="IL183" s="169"/>
      <c r="IM183" s="169"/>
      <c r="IN183" s="169"/>
      <c r="IO183" s="169"/>
      <c r="IP183" s="169"/>
      <c r="IQ183" s="169"/>
      <c r="IR183" s="169"/>
      <c r="IS183" s="169"/>
      <c r="IT183" s="169"/>
      <c r="IU183" s="169"/>
      <c r="IV183" s="169"/>
    </row>
    <row r="184" spans="1:256" s="174" customFormat="1" ht="14.4" thickBot="1">
      <c r="A184" s="2969" t="s">
        <v>2600</v>
      </c>
      <c r="B184" s="2970"/>
      <c r="C184" s="385">
        <f t="shared" ref="C184:U184" si="62">C182+C95</f>
        <v>0</v>
      </c>
      <c r="D184" s="385">
        <f t="shared" si="62"/>
        <v>0</v>
      </c>
      <c r="E184" s="385">
        <f t="shared" si="62"/>
        <v>0</v>
      </c>
      <c r="F184" s="385">
        <f t="shared" si="62"/>
        <v>0</v>
      </c>
      <c r="G184" s="385">
        <f t="shared" si="62"/>
        <v>0</v>
      </c>
      <c r="H184" s="385">
        <f t="shared" si="62"/>
        <v>0</v>
      </c>
      <c r="I184" s="385">
        <f t="shared" si="62"/>
        <v>0</v>
      </c>
      <c r="J184" s="385">
        <f t="shared" si="62"/>
        <v>0</v>
      </c>
      <c r="K184" s="385">
        <f t="shared" si="62"/>
        <v>0</v>
      </c>
      <c r="L184" s="385">
        <f t="shared" si="62"/>
        <v>0</v>
      </c>
      <c r="M184" s="386">
        <f t="shared" si="62"/>
        <v>0</v>
      </c>
      <c r="N184" s="387">
        <f t="shared" si="62"/>
        <v>0</v>
      </c>
      <c r="O184" s="387">
        <f t="shared" si="62"/>
        <v>0</v>
      </c>
      <c r="P184" s="387">
        <f t="shared" si="62"/>
        <v>0</v>
      </c>
      <c r="Q184" s="387">
        <f t="shared" si="62"/>
        <v>0</v>
      </c>
      <c r="R184" s="387">
        <f t="shared" si="62"/>
        <v>0</v>
      </c>
      <c r="S184" s="387">
        <f t="shared" si="62"/>
        <v>0</v>
      </c>
      <c r="T184" s="387">
        <f t="shared" si="62"/>
        <v>0</v>
      </c>
      <c r="U184" s="387">
        <f t="shared" si="62"/>
        <v>0</v>
      </c>
      <c r="V184" s="387">
        <f t="shared" ref="V184:BB184" si="63">V182+V95</f>
        <v>0</v>
      </c>
      <c r="W184" s="387">
        <f t="shared" si="63"/>
        <v>0</v>
      </c>
      <c r="X184" s="387">
        <f t="shared" si="63"/>
        <v>0</v>
      </c>
      <c r="Y184" s="387">
        <f t="shared" si="63"/>
        <v>0</v>
      </c>
      <c r="Z184" s="387">
        <f t="shared" si="63"/>
        <v>0</v>
      </c>
      <c r="AA184" s="387">
        <f t="shared" si="63"/>
        <v>0</v>
      </c>
      <c r="AB184" s="387">
        <f t="shared" si="63"/>
        <v>0</v>
      </c>
      <c r="AC184" s="387">
        <f t="shared" si="63"/>
        <v>0</v>
      </c>
      <c r="AD184" s="387">
        <f t="shared" si="63"/>
        <v>0</v>
      </c>
      <c r="AE184" s="387">
        <f t="shared" si="63"/>
        <v>0</v>
      </c>
      <c r="AF184" s="387">
        <f t="shared" si="63"/>
        <v>0</v>
      </c>
      <c r="AG184" s="387">
        <f t="shared" si="63"/>
        <v>0</v>
      </c>
      <c r="AH184" s="387">
        <f t="shared" si="63"/>
        <v>0</v>
      </c>
      <c r="AI184" s="387">
        <f t="shared" si="63"/>
        <v>0</v>
      </c>
      <c r="AJ184" s="387">
        <f t="shared" si="63"/>
        <v>0</v>
      </c>
      <c r="AK184" s="387">
        <f t="shared" si="63"/>
        <v>0</v>
      </c>
      <c r="AL184" s="387">
        <f t="shared" si="63"/>
        <v>0</v>
      </c>
      <c r="AM184" s="387">
        <f t="shared" si="63"/>
        <v>0</v>
      </c>
      <c r="AN184" s="387">
        <f t="shared" si="63"/>
        <v>0</v>
      </c>
      <c r="AO184" s="387">
        <f t="shared" si="63"/>
        <v>0</v>
      </c>
      <c r="AP184" s="387">
        <f t="shared" si="63"/>
        <v>0</v>
      </c>
      <c r="AQ184" s="387">
        <f t="shared" si="63"/>
        <v>0</v>
      </c>
      <c r="AR184" s="387">
        <f t="shared" si="63"/>
        <v>0</v>
      </c>
      <c r="AS184" s="387">
        <f t="shared" si="63"/>
        <v>0</v>
      </c>
      <c r="AT184" s="387">
        <f t="shared" si="63"/>
        <v>0</v>
      </c>
      <c r="AU184" s="387">
        <f t="shared" si="63"/>
        <v>0</v>
      </c>
      <c r="AV184" s="387">
        <f t="shared" si="63"/>
        <v>0</v>
      </c>
      <c r="AW184" s="387">
        <f t="shared" si="63"/>
        <v>0</v>
      </c>
      <c r="AX184" s="387">
        <f t="shared" si="63"/>
        <v>0</v>
      </c>
      <c r="AY184" s="387">
        <f t="shared" si="63"/>
        <v>0</v>
      </c>
      <c r="AZ184" s="387">
        <f t="shared" si="63"/>
        <v>0</v>
      </c>
      <c r="BA184" s="387">
        <f t="shared" si="63"/>
        <v>0</v>
      </c>
      <c r="BB184" s="387">
        <f t="shared" si="63"/>
        <v>0</v>
      </c>
      <c r="BC184" s="387">
        <f t="shared" ref="BC184:CH184" si="64">BC182+BC95</f>
        <v>0</v>
      </c>
      <c r="BD184" s="387">
        <f t="shared" si="64"/>
        <v>0</v>
      </c>
      <c r="BE184" s="387">
        <f t="shared" si="64"/>
        <v>0</v>
      </c>
      <c r="BF184" s="387">
        <f t="shared" si="64"/>
        <v>0</v>
      </c>
      <c r="BG184" s="387">
        <f t="shared" si="64"/>
        <v>0</v>
      </c>
      <c r="BH184" s="387">
        <f t="shared" si="64"/>
        <v>0</v>
      </c>
      <c r="BI184" s="387">
        <f t="shared" si="64"/>
        <v>0</v>
      </c>
      <c r="BJ184" s="387">
        <f t="shared" si="64"/>
        <v>0</v>
      </c>
      <c r="BK184" s="387">
        <f t="shared" si="64"/>
        <v>0</v>
      </c>
      <c r="BL184" s="387">
        <f t="shared" si="64"/>
        <v>0</v>
      </c>
      <c r="BM184" s="387">
        <f t="shared" si="64"/>
        <v>0</v>
      </c>
      <c r="BN184" s="387">
        <f t="shared" si="64"/>
        <v>0</v>
      </c>
      <c r="BO184" s="387">
        <f t="shared" si="64"/>
        <v>0</v>
      </c>
      <c r="BP184" s="387">
        <f t="shared" si="64"/>
        <v>0</v>
      </c>
      <c r="BQ184" s="387">
        <f t="shared" si="64"/>
        <v>0</v>
      </c>
      <c r="BR184" s="387">
        <f t="shared" si="64"/>
        <v>0</v>
      </c>
      <c r="BS184" s="387">
        <f t="shared" si="64"/>
        <v>0</v>
      </c>
      <c r="BT184" s="387">
        <f t="shared" si="64"/>
        <v>0</v>
      </c>
      <c r="BU184" s="387">
        <f t="shared" si="64"/>
        <v>0</v>
      </c>
      <c r="BV184" s="387">
        <f t="shared" si="64"/>
        <v>0</v>
      </c>
      <c r="BW184" s="387">
        <f t="shared" si="64"/>
        <v>0</v>
      </c>
      <c r="BX184" s="387">
        <f t="shared" si="64"/>
        <v>0</v>
      </c>
      <c r="BY184" s="387">
        <f t="shared" si="64"/>
        <v>0</v>
      </c>
      <c r="BZ184" s="387">
        <f t="shared" si="64"/>
        <v>0</v>
      </c>
      <c r="CA184" s="387">
        <f t="shared" si="64"/>
        <v>0</v>
      </c>
      <c r="CB184" s="387">
        <f t="shared" si="64"/>
        <v>0</v>
      </c>
      <c r="CC184" s="387">
        <f t="shared" si="64"/>
        <v>0</v>
      </c>
      <c r="CD184" s="387">
        <f t="shared" si="64"/>
        <v>0</v>
      </c>
      <c r="CE184" s="387">
        <f t="shared" si="64"/>
        <v>0</v>
      </c>
      <c r="CF184" s="387">
        <f t="shared" si="64"/>
        <v>0</v>
      </c>
      <c r="CG184" s="387">
        <f t="shared" si="64"/>
        <v>0</v>
      </c>
      <c r="CH184" s="387">
        <f t="shared" si="64"/>
        <v>0</v>
      </c>
      <c r="CI184" s="387">
        <f t="shared" ref="CI184:DN184" si="65">CI182+CI95</f>
        <v>0</v>
      </c>
      <c r="CJ184" s="387">
        <f t="shared" si="65"/>
        <v>0</v>
      </c>
      <c r="CK184" s="387">
        <f t="shared" si="65"/>
        <v>0</v>
      </c>
      <c r="CL184" s="387">
        <f t="shared" si="65"/>
        <v>0</v>
      </c>
      <c r="CM184" s="387">
        <f t="shared" si="65"/>
        <v>0</v>
      </c>
      <c r="CN184" s="387">
        <f t="shared" si="65"/>
        <v>0</v>
      </c>
      <c r="CO184" s="387">
        <f t="shared" si="65"/>
        <v>0</v>
      </c>
      <c r="CP184" s="387">
        <f t="shared" si="65"/>
        <v>0</v>
      </c>
      <c r="CQ184" s="387">
        <f t="shared" si="65"/>
        <v>0</v>
      </c>
      <c r="CR184" s="387">
        <f t="shared" si="65"/>
        <v>0</v>
      </c>
      <c r="CS184" s="387">
        <f t="shared" si="65"/>
        <v>0</v>
      </c>
      <c r="CT184" s="387">
        <f t="shared" si="65"/>
        <v>0</v>
      </c>
      <c r="CU184" s="387">
        <f t="shared" si="65"/>
        <v>0</v>
      </c>
      <c r="CV184" s="387">
        <f t="shared" si="65"/>
        <v>0</v>
      </c>
      <c r="CW184" s="387">
        <f t="shared" si="65"/>
        <v>0</v>
      </c>
      <c r="CX184" s="387">
        <f t="shared" si="65"/>
        <v>0</v>
      </c>
      <c r="CY184" s="387">
        <f t="shared" si="65"/>
        <v>0</v>
      </c>
      <c r="CZ184" s="387">
        <f t="shared" si="65"/>
        <v>0</v>
      </c>
      <c r="DA184" s="387">
        <f t="shared" si="65"/>
        <v>0</v>
      </c>
      <c r="DB184" s="387">
        <f t="shared" si="65"/>
        <v>0</v>
      </c>
      <c r="DC184" s="387">
        <f t="shared" si="65"/>
        <v>0</v>
      </c>
      <c r="DD184" s="387">
        <f t="shared" si="65"/>
        <v>0</v>
      </c>
      <c r="DE184" s="387">
        <f t="shared" si="65"/>
        <v>0</v>
      </c>
      <c r="DF184" s="387">
        <f t="shared" si="65"/>
        <v>0</v>
      </c>
      <c r="DG184" s="387">
        <f t="shared" si="65"/>
        <v>0</v>
      </c>
      <c r="DH184" s="387">
        <f t="shared" si="65"/>
        <v>0</v>
      </c>
      <c r="DI184" s="387">
        <f t="shared" si="65"/>
        <v>0</v>
      </c>
      <c r="DJ184" s="387">
        <f t="shared" si="65"/>
        <v>0</v>
      </c>
      <c r="DK184" s="387">
        <f t="shared" si="65"/>
        <v>0</v>
      </c>
      <c r="DL184" s="387">
        <f t="shared" si="65"/>
        <v>0</v>
      </c>
      <c r="DM184" s="387">
        <f t="shared" si="65"/>
        <v>0</v>
      </c>
      <c r="DN184" s="387">
        <f t="shared" si="65"/>
        <v>0</v>
      </c>
      <c r="DO184" s="387">
        <f t="shared" ref="DO184:EV184" si="66">DO182+DO95</f>
        <v>0</v>
      </c>
      <c r="DP184" s="387">
        <f>DP182+DP95</f>
        <v>0</v>
      </c>
      <c r="DQ184" s="387">
        <f>DQ182+DQ95</f>
        <v>0</v>
      </c>
      <c r="DR184" s="387">
        <f t="shared" si="66"/>
        <v>0</v>
      </c>
      <c r="DS184" s="387">
        <f t="shared" si="66"/>
        <v>0</v>
      </c>
      <c r="DT184" s="387">
        <f>DT182+DT95</f>
        <v>0</v>
      </c>
      <c r="DU184" s="387">
        <f t="shared" si="66"/>
        <v>0</v>
      </c>
      <c r="DV184" s="387">
        <f t="shared" si="66"/>
        <v>0</v>
      </c>
      <c r="DW184" s="387">
        <f t="shared" si="66"/>
        <v>0</v>
      </c>
      <c r="DX184" s="387">
        <f t="shared" si="66"/>
        <v>0</v>
      </c>
      <c r="DY184" s="387">
        <f t="shared" si="66"/>
        <v>0</v>
      </c>
      <c r="DZ184" s="387">
        <f t="shared" si="66"/>
        <v>0</v>
      </c>
      <c r="EA184" s="387">
        <f t="shared" si="66"/>
        <v>0</v>
      </c>
      <c r="EB184" s="387">
        <f>EB182+EB95</f>
        <v>0</v>
      </c>
      <c r="EC184" s="387">
        <f t="shared" si="66"/>
        <v>0</v>
      </c>
      <c r="ED184" s="387">
        <f t="shared" si="66"/>
        <v>0</v>
      </c>
      <c r="EE184" s="387">
        <f t="shared" si="66"/>
        <v>0</v>
      </c>
      <c r="EF184" s="387">
        <f t="shared" si="66"/>
        <v>0</v>
      </c>
      <c r="EG184" s="387">
        <f t="shared" si="66"/>
        <v>0</v>
      </c>
      <c r="EH184" s="387">
        <f t="shared" si="66"/>
        <v>0</v>
      </c>
      <c r="EI184" s="387">
        <f t="shared" si="66"/>
        <v>0</v>
      </c>
      <c r="EJ184" s="387">
        <f t="shared" si="66"/>
        <v>0</v>
      </c>
      <c r="EK184" s="387">
        <f t="shared" si="66"/>
        <v>0</v>
      </c>
      <c r="EL184" s="387">
        <f t="shared" si="66"/>
        <v>0</v>
      </c>
      <c r="EM184" s="387">
        <f t="shared" si="66"/>
        <v>0</v>
      </c>
      <c r="EN184" s="387">
        <f t="shared" si="66"/>
        <v>0</v>
      </c>
      <c r="EO184" s="387">
        <f t="shared" si="66"/>
        <v>0</v>
      </c>
      <c r="EP184" s="387">
        <f t="shared" si="66"/>
        <v>0</v>
      </c>
      <c r="EQ184" s="387">
        <f t="shared" si="66"/>
        <v>0</v>
      </c>
      <c r="ER184" s="387">
        <f t="shared" si="66"/>
        <v>0</v>
      </c>
      <c r="ES184" s="387">
        <f t="shared" si="66"/>
        <v>0</v>
      </c>
      <c r="ET184" s="387">
        <f t="shared" si="66"/>
        <v>0</v>
      </c>
      <c r="EU184" s="387">
        <f t="shared" si="66"/>
        <v>0</v>
      </c>
      <c r="EV184" s="387">
        <f t="shared" si="66"/>
        <v>0</v>
      </c>
      <c r="EW184" s="387">
        <f t="shared" ref="EW184:GB184" si="67">EW182+EW95</f>
        <v>0</v>
      </c>
      <c r="EX184" s="387">
        <f t="shared" si="67"/>
        <v>0</v>
      </c>
      <c r="EY184" s="387">
        <f t="shared" si="67"/>
        <v>0</v>
      </c>
      <c r="EZ184" s="387">
        <f t="shared" si="67"/>
        <v>0</v>
      </c>
      <c r="FA184" s="387">
        <f t="shared" si="67"/>
        <v>0</v>
      </c>
      <c r="FB184" s="387">
        <f t="shared" si="67"/>
        <v>0</v>
      </c>
      <c r="FC184" s="387">
        <f t="shared" si="67"/>
        <v>0</v>
      </c>
      <c r="FD184" s="387">
        <f t="shared" si="67"/>
        <v>0</v>
      </c>
      <c r="FE184" s="387">
        <f t="shared" si="67"/>
        <v>0</v>
      </c>
      <c r="FF184" s="387">
        <f t="shared" si="67"/>
        <v>0</v>
      </c>
      <c r="FG184" s="387">
        <f t="shared" si="67"/>
        <v>0</v>
      </c>
      <c r="FH184" s="387">
        <f t="shared" si="67"/>
        <v>0</v>
      </c>
      <c r="FI184" s="387">
        <f t="shared" si="67"/>
        <v>0</v>
      </c>
      <c r="FJ184" s="387">
        <f t="shared" si="67"/>
        <v>0</v>
      </c>
      <c r="FK184" s="387">
        <f t="shared" si="67"/>
        <v>0</v>
      </c>
      <c r="FL184" s="387">
        <f t="shared" si="67"/>
        <v>0</v>
      </c>
      <c r="FM184" s="387">
        <f t="shared" si="67"/>
        <v>0</v>
      </c>
      <c r="FN184" s="387">
        <f t="shared" si="67"/>
        <v>0</v>
      </c>
      <c r="FO184" s="387">
        <f t="shared" si="67"/>
        <v>0</v>
      </c>
      <c r="FP184" s="387">
        <f t="shared" si="67"/>
        <v>0</v>
      </c>
      <c r="FQ184" s="387">
        <f t="shared" si="67"/>
        <v>0</v>
      </c>
      <c r="FR184" s="387">
        <f t="shared" si="67"/>
        <v>0</v>
      </c>
      <c r="FS184" s="387">
        <f t="shared" si="67"/>
        <v>0</v>
      </c>
      <c r="FT184" s="387">
        <f t="shared" si="67"/>
        <v>0</v>
      </c>
      <c r="FU184" s="387">
        <f t="shared" si="67"/>
        <v>0</v>
      </c>
      <c r="FV184" s="387">
        <f t="shared" si="67"/>
        <v>0</v>
      </c>
      <c r="FW184" s="387">
        <f t="shared" si="67"/>
        <v>0</v>
      </c>
      <c r="FX184" s="387">
        <f t="shared" si="67"/>
        <v>0</v>
      </c>
      <c r="FY184" s="387">
        <f t="shared" si="67"/>
        <v>0</v>
      </c>
      <c r="FZ184" s="387">
        <f t="shared" si="67"/>
        <v>0</v>
      </c>
      <c r="GA184" s="387">
        <f t="shared" si="67"/>
        <v>0</v>
      </c>
      <c r="GB184" s="387">
        <f t="shared" si="67"/>
        <v>0</v>
      </c>
      <c r="GC184" s="387">
        <f t="shared" ref="GC184:GQ184" si="68">GC182+GC95</f>
        <v>0</v>
      </c>
      <c r="GD184" s="387">
        <f>GD182+GD95</f>
        <v>0</v>
      </c>
      <c r="GE184" s="387">
        <f t="shared" si="68"/>
        <v>0</v>
      </c>
      <c r="GF184" s="387">
        <f t="shared" si="68"/>
        <v>0</v>
      </c>
      <c r="GG184" s="387">
        <f t="shared" si="68"/>
        <v>0</v>
      </c>
      <c r="GH184" s="387">
        <f t="shared" si="68"/>
        <v>0</v>
      </c>
      <c r="GI184" s="387">
        <f t="shared" si="68"/>
        <v>0</v>
      </c>
      <c r="GJ184" s="387">
        <f t="shared" si="68"/>
        <v>0</v>
      </c>
      <c r="GK184" s="387">
        <f t="shared" si="68"/>
        <v>0</v>
      </c>
      <c r="GL184" s="387">
        <f>GL182+GL95</f>
        <v>0</v>
      </c>
      <c r="GM184" s="387">
        <f t="shared" si="68"/>
        <v>0</v>
      </c>
      <c r="GN184" s="387">
        <f t="shared" si="68"/>
        <v>0</v>
      </c>
      <c r="GO184" s="387">
        <f t="shared" si="68"/>
        <v>0</v>
      </c>
      <c r="GP184" s="387">
        <f t="shared" si="68"/>
        <v>0</v>
      </c>
      <c r="GQ184" s="387">
        <f t="shared" si="68"/>
        <v>0</v>
      </c>
      <c r="GR184" s="387">
        <f>GR95</f>
        <v>0</v>
      </c>
      <c r="GS184" s="387">
        <f>GS95</f>
        <v>0</v>
      </c>
      <c r="GT184" s="387">
        <f>GT95</f>
        <v>0</v>
      </c>
      <c r="GU184" s="388">
        <f>+GU70+GU95</f>
        <v>0</v>
      </c>
      <c r="GV184" s="169"/>
      <c r="GW184" s="169"/>
      <c r="GX184" s="169"/>
      <c r="GY184" s="169"/>
      <c r="GZ184" s="169"/>
      <c r="HA184" s="169"/>
      <c r="HB184" s="169"/>
      <c r="HC184" s="169"/>
      <c r="HD184" s="169"/>
      <c r="HE184" s="169"/>
      <c r="HF184" s="169"/>
      <c r="HG184" s="169"/>
      <c r="HH184" s="169"/>
      <c r="HI184" s="169"/>
      <c r="HJ184" s="169"/>
      <c r="HK184" s="169"/>
      <c r="HL184" s="169"/>
      <c r="HM184" s="169"/>
      <c r="HN184" s="169"/>
      <c r="HO184" s="169"/>
      <c r="HP184" s="169"/>
      <c r="HQ184" s="169"/>
      <c r="HR184" s="169"/>
      <c r="HS184" s="169"/>
      <c r="HT184" s="169"/>
      <c r="HU184" s="169"/>
      <c r="HV184" s="169"/>
      <c r="HW184" s="169"/>
      <c r="HX184" s="169"/>
      <c r="HY184" s="169"/>
      <c r="HZ184" s="169"/>
      <c r="IA184" s="169"/>
      <c r="IB184" s="169"/>
      <c r="IC184" s="169"/>
      <c r="ID184" s="169"/>
      <c r="IE184" s="169"/>
      <c r="IF184" s="169"/>
      <c r="IG184" s="169"/>
      <c r="IH184" s="169"/>
      <c r="II184" s="169"/>
      <c r="IJ184" s="169"/>
      <c r="IK184" s="169"/>
      <c r="IL184" s="169"/>
      <c r="IM184" s="169"/>
      <c r="IN184" s="169"/>
      <c r="IO184" s="169"/>
      <c r="IP184" s="169"/>
      <c r="IQ184" s="169"/>
      <c r="IR184" s="169"/>
      <c r="IS184" s="169"/>
      <c r="IT184" s="169"/>
      <c r="IU184" s="169"/>
      <c r="IV184" s="169"/>
    </row>
    <row r="185" spans="1:256" ht="18.899999999999999" hidden="1" customHeight="1" thickTop="1">
      <c r="D185" s="389"/>
      <c r="E185" s="389"/>
      <c r="F185" s="389"/>
      <c r="G185" s="389"/>
      <c r="H185" s="389"/>
      <c r="I185" s="389"/>
      <c r="L185" s="390"/>
      <c r="N185" s="168" t="s">
        <v>3893</v>
      </c>
      <c r="O185" s="392"/>
      <c r="P185" s="392"/>
      <c r="Q185" s="392"/>
      <c r="R185" s="392"/>
      <c r="S185" s="392"/>
      <c r="T185" s="392"/>
      <c r="U185" s="392"/>
      <c r="V185" s="392"/>
      <c r="W185" s="392"/>
      <c r="X185" s="392"/>
      <c r="Y185" s="392"/>
    </row>
    <row r="186" spans="1:256" ht="18.899999999999999" hidden="1" customHeight="1">
      <c r="A186" s="393" t="s">
        <v>728</v>
      </c>
      <c r="B186" s="170" t="s">
        <v>2178</v>
      </c>
      <c r="D186" s="389"/>
      <c r="E186" s="389"/>
      <c r="F186" s="389"/>
      <c r="G186" s="389"/>
      <c r="H186" s="389"/>
      <c r="I186" s="389"/>
      <c r="J186" s="169" t="s">
        <v>1827</v>
      </c>
      <c r="L186" s="394"/>
      <c r="N186" s="393" t="s">
        <v>728</v>
      </c>
      <c r="O186" s="169" t="s">
        <v>2178</v>
      </c>
      <c r="V186" s="2985">
        <f>1.02*D186</f>
        <v>0</v>
      </c>
      <c r="W186" s="2985"/>
      <c r="X186" s="2985"/>
      <c r="Y186" s="2985"/>
      <c r="Z186" s="2985"/>
      <c r="AA186" s="2985"/>
      <c r="AB186" s="2985"/>
      <c r="AC186" s="2985"/>
      <c r="AD186" s="2985"/>
      <c r="AE186" s="2985"/>
      <c r="AF186" s="2985"/>
      <c r="AG186" s="2985"/>
      <c r="AH186" s="2985"/>
      <c r="AI186" s="2985"/>
      <c r="AJ186" s="2985"/>
      <c r="AK186" s="2985"/>
      <c r="AL186" s="2985"/>
      <c r="AM186" s="2985"/>
      <c r="AN186" s="2985"/>
      <c r="AO186" s="2985"/>
      <c r="AP186" s="2985"/>
      <c r="AQ186" s="2985"/>
      <c r="AR186" s="2985"/>
      <c r="AS186" s="2985"/>
      <c r="AT186" s="2985"/>
      <c r="AU186" s="2985"/>
      <c r="AV186" s="2985"/>
      <c r="AW186" s="2985"/>
      <c r="AX186" s="2985"/>
      <c r="AY186" s="2985"/>
      <c r="AZ186" s="2985"/>
      <c r="BA186" s="2985"/>
      <c r="BB186" s="2985"/>
      <c r="BC186" s="2985"/>
      <c r="BD186" s="2985"/>
      <c r="BE186" s="2985"/>
      <c r="BF186" s="2985"/>
      <c r="BG186" s="2985"/>
      <c r="BH186" s="2985"/>
      <c r="BI186" s="2985"/>
      <c r="CS186" s="395"/>
    </row>
    <row r="187" spans="1:256" ht="18.899999999999999" hidden="1" customHeight="1">
      <c r="A187" s="393" t="s">
        <v>729</v>
      </c>
      <c r="B187" s="170" t="s">
        <v>2178</v>
      </c>
      <c r="D187" s="389"/>
      <c r="E187" s="389"/>
      <c r="F187" s="389"/>
      <c r="G187" s="389"/>
      <c r="H187" s="389"/>
      <c r="I187" s="389"/>
      <c r="J187" s="169" t="s">
        <v>1827</v>
      </c>
      <c r="L187" s="394"/>
      <c r="N187" s="393" t="s">
        <v>729</v>
      </c>
      <c r="O187" s="169" t="s">
        <v>2178</v>
      </c>
      <c r="V187" s="2985">
        <f>1.02*D187</f>
        <v>0</v>
      </c>
      <c r="W187" s="2985"/>
      <c r="X187" s="2985"/>
      <c r="Y187" s="2985"/>
      <c r="Z187" s="2985"/>
      <c r="AA187" s="2985"/>
      <c r="AB187" s="2985"/>
      <c r="AC187" s="2985"/>
      <c r="AD187" s="2985"/>
      <c r="AE187" s="2985"/>
      <c r="AF187" s="2985"/>
      <c r="AG187" s="2985"/>
      <c r="AH187" s="2985"/>
      <c r="AI187" s="2985"/>
      <c r="AJ187" s="2985"/>
      <c r="AK187" s="2985"/>
      <c r="AL187" s="2985"/>
      <c r="AM187" s="2985"/>
      <c r="AN187" s="2985"/>
      <c r="AO187" s="2985"/>
      <c r="AP187" s="2985"/>
      <c r="AQ187" s="2985"/>
      <c r="AR187" s="2985"/>
      <c r="AS187" s="2985"/>
      <c r="AT187" s="2985"/>
      <c r="AU187" s="2985"/>
      <c r="AV187" s="2985"/>
      <c r="AW187" s="2985"/>
      <c r="AX187" s="2985"/>
      <c r="AY187" s="2985"/>
      <c r="AZ187" s="2985"/>
      <c r="BA187" s="2985"/>
      <c r="BB187" s="2985"/>
      <c r="BC187" s="2985"/>
      <c r="BD187" s="2985"/>
      <c r="BE187" s="2985"/>
      <c r="BF187" s="2985"/>
      <c r="BG187" s="2985"/>
      <c r="BH187" s="2985"/>
      <c r="BI187" s="2985"/>
    </row>
    <row r="188" spans="1:256" ht="18.899999999999999" hidden="1" customHeight="1">
      <c r="A188" s="393" t="s">
        <v>841</v>
      </c>
      <c r="B188" s="170" t="s">
        <v>2178</v>
      </c>
      <c r="D188" s="389"/>
      <c r="E188" s="389"/>
      <c r="F188" s="389"/>
      <c r="G188" s="389"/>
      <c r="H188" s="389"/>
      <c r="I188" s="389"/>
      <c r="J188" s="169" t="s">
        <v>1827</v>
      </c>
      <c r="L188" s="394"/>
      <c r="N188" s="393" t="s">
        <v>841</v>
      </c>
      <c r="O188" s="169" t="s">
        <v>2178</v>
      </c>
      <c r="V188" s="2985">
        <f>1.02*D188</f>
        <v>0</v>
      </c>
      <c r="W188" s="2985"/>
      <c r="X188" s="2985"/>
      <c r="Y188" s="2985"/>
      <c r="Z188" s="2985"/>
      <c r="AA188" s="2985"/>
      <c r="AB188" s="2985"/>
      <c r="AC188" s="2985"/>
      <c r="AD188" s="2985"/>
      <c r="AE188" s="2985"/>
      <c r="AF188" s="2985"/>
      <c r="AG188" s="2985"/>
      <c r="AH188" s="2985"/>
      <c r="AI188" s="2985"/>
      <c r="AJ188" s="2985"/>
      <c r="AK188" s="2985"/>
      <c r="AL188" s="2985"/>
      <c r="AM188" s="2985"/>
      <c r="AN188" s="2985"/>
      <c r="AO188" s="2985"/>
      <c r="AP188" s="2985"/>
      <c r="AQ188" s="2985"/>
      <c r="AR188" s="2985"/>
      <c r="AS188" s="2985"/>
      <c r="AT188" s="2985"/>
      <c r="AU188" s="2985"/>
      <c r="AV188" s="2985"/>
      <c r="AW188" s="2985"/>
      <c r="AX188" s="2985"/>
      <c r="AY188" s="2985"/>
      <c r="AZ188" s="2985"/>
      <c r="BA188" s="2985"/>
      <c r="BB188" s="2985"/>
      <c r="BC188" s="2985"/>
      <c r="BD188" s="2985"/>
      <c r="BE188" s="2985"/>
      <c r="BF188" s="2985"/>
      <c r="BG188" s="2985"/>
      <c r="BH188" s="2985"/>
      <c r="BI188" s="2985"/>
    </row>
    <row r="189" spans="1:256" ht="18.899999999999999" hidden="1" customHeight="1">
      <c r="A189" s="393" t="s">
        <v>539</v>
      </c>
      <c r="B189" s="170" t="s">
        <v>2178</v>
      </c>
      <c r="D189" s="389"/>
      <c r="E189" s="389"/>
      <c r="F189" s="389"/>
      <c r="G189" s="389"/>
      <c r="H189" s="389"/>
      <c r="I189" s="389"/>
      <c r="J189" s="169" t="s">
        <v>1827</v>
      </c>
      <c r="L189" s="394"/>
      <c r="N189" s="393" t="s">
        <v>539</v>
      </c>
      <c r="O189" s="169" t="s">
        <v>2178</v>
      </c>
      <c r="V189" s="169">
        <f>1.02*D189</f>
        <v>0</v>
      </c>
      <c r="W189" s="396">
        <f t="shared" ref="W189:W198" si="69">D189*1.03</f>
        <v>0</v>
      </c>
      <c r="X189" s="397"/>
      <c r="Y189" s="397"/>
      <c r="Z189" s="169" t="s">
        <v>1827</v>
      </c>
      <c r="AD189" s="398"/>
      <c r="BJ189" s="394"/>
    </row>
    <row r="190" spans="1:256" ht="18.899999999999999" hidden="1" customHeight="1">
      <c r="A190" s="393" t="s">
        <v>269</v>
      </c>
      <c r="B190" s="170" t="s">
        <v>2178</v>
      </c>
      <c r="D190" s="389"/>
      <c r="E190" s="389"/>
      <c r="F190" s="389"/>
      <c r="G190" s="389"/>
      <c r="H190" s="389"/>
      <c r="I190" s="389"/>
      <c r="J190" s="169" t="s">
        <v>1827</v>
      </c>
      <c r="L190" s="394"/>
      <c r="N190" s="393" t="s">
        <v>269</v>
      </c>
      <c r="O190" s="169" t="s">
        <v>2178</v>
      </c>
      <c r="W190" s="396">
        <f t="shared" si="69"/>
        <v>0</v>
      </c>
      <c r="X190" s="397"/>
      <c r="Y190" s="397"/>
      <c r="Z190" s="169" t="s">
        <v>1827</v>
      </c>
      <c r="AD190" s="398"/>
    </row>
    <row r="191" spans="1:256" ht="18.899999999999999" hidden="1" customHeight="1">
      <c r="A191" s="393" t="s">
        <v>1242</v>
      </c>
      <c r="B191" s="170" t="s">
        <v>2178</v>
      </c>
      <c r="D191" s="389"/>
      <c r="E191" s="389"/>
      <c r="F191" s="389"/>
      <c r="G191" s="389"/>
      <c r="H191" s="389"/>
      <c r="I191" s="389"/>
      <c r="J191" s="169" t="s">
        <v>1827</v>
      </c>
      <c r="L191" s="394"/>
      <c r="N191" s="393" t="s">
        <v>1242</v>
      </c>
      <c r="O191" s="169" t="s">
        <v>2178</v>
      </c>
      <c r="W191" s="396">
        <f>D191*1.03</f>
        <v>0</v>
      </c>
      <c r="X191" s="397"/>
      <c r="Y191" s="397"/>
      <c r="Z191" s="169" t="s">
        <v>1827</v>
      </c>
      <c r="AD191" s="398"/>
    </row>
    <row r="192" spans="1:256" ht="18.899999999999999" hidden="1" customHeight="1">
      <c r="A192" s="393" t="s">
        <v>88</v>
      </c>
      <c r="B192" s="170" t="s">
        <v>2178</v>
      </c>
      <c r="D192" s="389"/>
      <c r="E192" s="389"/>
      <c r="F192" s="389"/>
      <c r="G192" s="389"/>
      <c r="H192" s="389"/>
      <c r="I192" s="389"/>
      <c r="J192" s="169" t="s">
        <v>1827</v>
      </c>
      <c r="L192" s="394"/>
      <c r="N192" s="393" t="s">
        <v>88</v>
      </c>
      <c r="O192" s="169" t="s">
        <v>2178</v>
      </c>
      <c r="W192" s="396">
        <f t="shared" si="69"/>
        <v>0</v>
      </c>
      <c r="X192" s="397"/>
      <c r="Y192" s="397"/>
      <c r="Z192" s="169" t="s">
        <v>1827</v>
      </c>
      <c r="AD192" s="399"/>
    </row>
    <row r="193" spans="1:62" ht="18.899999999999999" hidden="1" customHeight="1">
      <c r="A193" s="399" t="s">
        <v>1058</v>
      </c>
      <c r="B193" s="170" t="s">
        <v>2178</v>
      </c>
      <c r="D193" s="389"/>
      <c r="E193" s="389"/>
      <c r="F193" s="389"/>
      <c r="G193" s="389"/>
      <c r="H193" s="389"/>
      <c r="I193" s="389"/>
      <c r="J193" s="169" t="s">
        <v>1827</v>
      </c>
      <c r="N193" s="399" t="s">
        <v>1058</v>
      </c>
      <c r="O193" s="169" t="s">
        <v>2178</v>
      </c>
      <c r="W193" s="396">
        <f t="shared" si="69"/>
        <v>0</v>
      </c>
      <c r="X193" s="397"/>
      <c r="Y193" s="397"/>
      <c r="Z193" s="169" t="s">
        <v>1827</v>
      </c>
      <c r="AD193" s="398"/>
      <c r="BJ193" s="394"/>
    </row>
    <row r="194" spans="1:62" ht="18.899999999999999" hidden="1" customHeight="1">
      <c r="A194" s="399" t="s">
        <v>1639</v>
      </c>
      <c r="B194" s="170" t="s">
        <v>2178</v>
      </c>
      <c r="D194" s="389"/>
      <c r="E194" s="389"/>
      <c r="F194" s="389"/>
      <c r="G194" s="389"/>
      <c r="H194" s="389"/>
      <c r="I194" s="389"/>
      <c r="J194" s="169" t="s">
        <v>1827</v>
      </c>
      <c r="L194" s="394"/>
      <c r="N194" s="399" t="s">
        <v>1639</v>
      </c>
      <c r="O194" s="169" t="s">
        <v>2178</v>
      </c>
      <c r="W194" s="396">
        <f t="shared" si="69"/>
        <v>0</v>
      </c>
      <c r="X194" s="397"/>
      <c r="Y194" s="397"/>
      <c r="Z194" s="169" t="s">
        <v>1827</v>
      </c>
      <c r="AD194" s="399"/>
      <c r="BJ194" s="394"/>
    </row>
    <row r="195" spans="1:62" ht="18.899999999999999" hidden="1" customHeight="1">
      <c r="A195" s="399" t="s">
        <v>1638</v>
      </c>
      <c r="B195" s="170" t="s">
        <v>2178</v>
      </c>
      <c r="D195" s="389"/>
      <c r="E195" s="389"/>
      <c r="F195" s="389"/>
      <c r="G195" s="389"/>
      <c r="H195" s="389"/>
      <c r="I195" s="389"/>
      <c r="J195" s="169" t="s">
        <v>1827</v>
      </c>
      <c r="L195" s="394"/>
      <c r="N195" s="399" t="s">
        <v>1638</v>
      </c>
      <c r="O195" s="169" t="s">
        <v>2178</v>
      </c>
      <c r="W195" s="396">
        <f t="shared" si="69"/>
        <v>0</v>
      </c>
      <c r="X195" s="397"/>
      <c r="Y195" s="397"/>
      <c r="Z195" s="169" t="s">
        <v>1827</v>
      </c>
      <c r="AD195" s="399"/>
    </row>
    <row r="196" spans="1:62" ht="18.899999999999999" hidden="1" customHeight="1">
      <c r="A196" s="399" t="s">
        <v>1637</v>
      </c>
      <c r="B196" s="170" t="s">
        <v>2178</v>
      </c>
      <c r="D196" s="389"/>
      <c r="E196" s="389"/>
      <c r="F196" s="389"/>
      <c r="G196" s="389"/>
      <c r="H196" s="389"/>
      <c r="I196" s="389"/>
      <c r="J196" s="169" t="s">
        <v>1827</v>
      </c>
      <c r="N196" s="399" t="s">
        <v>1637</v>
      </c>
      <c r="O196" s="169" t="s">
        <v>2178</v>
      </c>
      <c r="W196" s="396">
        <f t="shared" si="69"/>
        <v>0</v>
      </c>
      <c r="X196" s="397"/>
      <c r="Y196" s="397"/>
      <c r="Z196" s="169" t="s">
        <v>1827</v>
      </c>
      <c r="AD196" s="399"/>
      <c r="BJ196" s="394"/>
    </row>
    <row r="197" spans="1:62" ht="18.899999999999999" hidden="1" customHeight="1">
      <c r="A197" s="399" t="s">
        <v>1636</v>
      </c>
      <c r="B197" s="170" t="s">
        <v>2178</v>
      </c>
      <c r="D197" s="389"/>
      <c r="E197" s="389"/>
      <c r="F197" s="389"/>
      <c r="G197" s="389"/>
      <c r="H197" s="389"/>
      <c r="I197" s="389"/>
      <c r="J197" s="169" t="s">
        <v>1827</v>
      </c>
      <c r="L197" s="394"/>
      <c r="N197" s="399" t="s">
        <v>1636</v>
      </c>
      <c r="O197" s="169" t="s">
        <v>2178</v>
      </c>
      <c r="W197" s="396">
        <f t="shared" si="69"/>
        <v>0</v>
      </c>
      <c r="X197" s="397"/>
      <c r="Y197" s="397"/>
      <c r="Z197" s="169" t="s">
        <v>1827</v>
      </c>
      <c r="BJ197" s="394"/>
    </row>
    <row r="198" spans="1:62" ht="18.899999999999999" hidden="1" customHeight="1">
      <c r="A198" s="399" t="s">
        <v>854</v>
      </c>
      <c r="B198" s="170" t="s">
        <v>2178</v>
      </c>
      <c r="D198" s="389"/>
      <c r="E198" s="389"/>
      <c r="F198" s="389"/>
      <c r="G198" s="389"/>
      <c r="H198" s="389"/>
      <c r="I198" s="389"/>
      <c r="J198" s="169" t="s">
        <v>1827</v>
      </c>
      <c r="N198" s="399" t="s">
        <v>854</v>
      </c>
      <c r="O198" s="169" t="s">
        <v>2178</v>
      </c>
      <c r="W198" s="396">
        <f t="shared" si="69"/>
        <v>0</v>
      </c>
      <c r="X198" s="397"/>
      <c r="Y198" s="397"/>
      <c r="Z198" s="169" t="s">
        <v>1827</v>
      </c>
      <c r="BJ198" s="394"/>
    </row>
    <row r="199" spans="1:62" ht="18.899999999999999" hidden="1" customHeight="1">
      <c r="A199" s="399" t="s">
        <v>4352</v>
      </c>
      <c r="B199" s="170" t="s">
        <v>2178</v>
      </c>
      <c r="C199" s="170">
        <f>C184</f>
        <v>0</v>
      </c>
      <c r="D199" s="389"/>
      <c r="E199" s="389"/>
      <c r="F199" s="389"/>
      <c r="G199" s="389"/>
      <c r="H199" s="389"/>
      <c r="I199" s="389"/>
      <c r="N199" s="399" t="s">
        <v>1034</v>
      </c>
      <c r="P199" s="169">
        <f>C199*2</f>
        <v>0</v>
      </c>
      <c r="W199" s="396"/>
      <c r="X199" s="397"/>
      <c r="Y199" s="397"/>
      <c r="BJ199" s="394"/>
    </row>
    <row r="200" spans="1:62" ht="18.899999999999999" hidden="1" customHeight="1">
      <c r="A200" s="399" t="s">
        <v>1792</v>
      </c>
      <c r="B200" s="170" t="s">
        <v>2178</v>
      </c>
      <c r="C200" s="389"/>
      <c r="D200" s="389"/>
      <c r="E200" s="389"/>
      <c r="F200" s="389"/>
      <c r="G200" s="389"/>
      <c r="H200" s="389"/>
      <c r="I200" s="389"/>
      <c r="J200" s="394"/>
      <c r="K200" s="394"/>
      <c r="L200" s="390"/>
      <c r="N200" s="399" t="s">
        <v>1792</v>
      </c>
      <c r="O200" s="392"/>
      <c r="P200" s="170">
        <f>C200</f>
        <v>0</v>
      </c>
      <c r="Q200" s="392"/>
      <c r="R200" s="392"/>
      <c r="S200" s="392"/>
      <c r="T200" s="392"/>
      <c r="U200" s="392"/>
      <c r="V200" s="392"/>
      <c r="W200" s="392"/>
      <c r="X200" s="392"/>
      <c r="Y200" s="392"/>
      <c r="BJ200" s="394"/>
    </row>
    <row r="201" spans="1:62" ht="18.899999999999999" hidden="1" customHeight="1">
      <c r="A201" s="169" t="s">
        <v>1962</v>
      </c>
      <c r="B201" s="170" t="s">
        <v>2178</v>
      </c>
      <c r="L201" s="390"/>
      <c r="N201" s="169" t="s">
        <v>1962</v>
      </c>
      <c r="P201" s="169">
        <f>C201*3</f>
        <v>0</v>
      </c>
      <c r="V201" s="392"/>
      <c r="W201" s="392"/>
      <c r="X201" s="392"/>
      <c r="Y201" s="392"/>
      <c r="BJ201" s="394"/>
    </row>
    <row r="202" spans="1:62" ht="18.899999999999999" customHeight="1" thickTop="1">
      <c r="L202" s="390"/>
      <c r="V202" s="396"/>
      <c r="W202" s="396"/>
      <c r="X202" s="397"/>
      <c r="Y202" s="397"/>
    </row>
  </sheetData>
  <autoFilter ref="A8:GU182" xr:uid="{00000000-0009-0000-0000-00000B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8" customWidth="1"/>
    <col min="2" max="2" width="5.1796875" style="428" customWidth="1"/>
    <col min="3" max="3" width="8.81640625" style="520" customWidth="1"/>
    <col min="4" max="4" width="7.453125" style="520" customWidth="1"/>
    <col min="5" max="5" width="5.453125" style="520" customWidth="1"/>
    <col min="6" max="6" width="4.36328125" style="428" customWidth="1"/>
    <col min="7" max="7" width="5.453125" style="428" customWidth="1"/>
    <col min="8" max="8" width="13.08984375" style="469" customWidth="1"/>
    <col min="9" max="9" width="4.36328125" style="428" customWidth="1"/>
    <col min="10" max="11" width="4.453125" style="428" customWidth="1"/>
    <col min="12" max="12" width="4.36328125" style="428" customWidth="1"/>
    <col min="13" max="13" width="4.453125" style="469" customWidth="1"/>
    <col min="14" max="15" width="3.453125" style="469" customWidth="1"/>
    <col min="16" max="16" width="4.90625" style="469" customWidth="1"/>
    <col min="17" max="20" width="3.453125" style="469" customWidth="1"/>
    <col min="21" max="21" width="4.81640625" style="469" customWidth="1"/>
    <col min="22" max="25" width="3.453125" style="469" customWidth="1"/>
    <col min="26" max="26" width="4.1796875" style="469" customWidth="1"/>
    <col min="27" max="27" width="4.453125" style="469" customWidth="1"/>
    <col min="28" max="29" width="3.453125" style="469" customWidth="1"/>
    <col min="30" max="30" width="4.36328125" style="469" customWidth="1"/>
    <col min="31" max="32" width="3.453125" style="469" customWidth="1"/>
    <col min="33" max="33" width="4.36328125" style="469" customWidth="1"/>
    <col min="34" max="38" width="3.453125" style="469" customWidth="1"/>
    <col min="39" max="39" width="4.90625" style="469" customWidth="1"/>
    <col min="40" max="40" width="4.453125" style="469" customWidth="1"/>
    <col min="41" max="41" width="5.1796875" style="428" customWidth="1"/>
    <col min="42" max="43" width="3.453125" style="428" customWidth="1"/>
    <col min="44" max="44" width="5.1796875" style="428" customWidth="1"/>
    <col min="45" max="45" width="3.453125" style="428" customWidth="1"/>
    <col min="46" max="46" width="6.1796875" style="428" customWidth="1"/>
    <col min="47" max="52" width="3.453125" style="428" customWidth="1"/>
    <col min="53" max="53" width="3.81640625" style="428" customWidth="1"/>
    <col min="54" max="54" width="4.90625" style="469" customWidth="1"/>
    <col min="55" max="55" width="5.81640625" style="469" customWidth="1"/>
    <col min="56" max="57" width="4.90625" style="469" customWidth="1"/>
    <col min="58" max="66" width="3.453125" style="469" customWidth="1"/>
    <col min="67" max="70" width="3.453125" style="428" customWidth="1"/>
    <col min="71" max="71" width="4.36328125" style="469" customWidth="1"/>
    <col min="72" max="72" width="3.81640625" style="469" customWidth="1"/>
    <col min="73" max="91" width="3.453125" style="469" customWidth="1"/>
    <col min="92" max="92" width="4.81640625" style="521" customWidth="1"/>
    <col min="93" max="93" width="4.453125" style="521" customWidth="1"/>
    <col min="94" max="94" width="4.81640625" style="521" customWidth="1"/>
    <col min="95" max="95" width="6.453125" style="521" customWidth="1"/>
    <col min="96" max="97" width="4.81640625" style="521" customWidth="1"/>
    <col min="98" max="99" width="5.08984375" style="521" customWidth="1"/>
    <col min="100" max="100" width="3.81640625" style="521" customWidth="1"/>
    <col min="101" max="101" width="4.08984375" style="521" customWidth="1"/>
    <col min="102" max="102" width="3.81640625" style="521" customWidth="1"/>
    <col min="103" max="103" width="4.1796875" style="522" customWidth="1"/>
    <col min="104" max="104" width="4.08984375" style="522" customWidth="1"/>
    <col min="105" max="107" width="3.453125" style="522" customWidth="1"/>
    <col min="108" max="108" width="4.81640625" style="522" customWidth="1"/>
    <col min="109" max="109" width="3.1796875" style="522" customWidth="1"/>
    <col min="110" max="115" width="3.453125" style="522" customWidth="1"/>
    <col min="116" max="116" width="4.90625" style="522" customWidth="1"/>
    <col min="117" max="125" width="4.36328125" style="522" customWidth="1"/>
    <col min="126" max="129" width="3.453125" style="522" customWidth="1"/>
    <col min="130" max="130" width="4.90625" style="522" customWidth="1"/>
    <col min="131" max="132" width="4.453125" style="521" customWidth="1"/>
    <col min="133" max="133" width="13.81640625" style="479" customWidth="1"/>
    <col min="134" max="16384" width="8.90625" style="428"/>
  </cols>
  <sheetData>
    <row r="3" spans="1:153" s="420" customFormat="1" ht="17.399999999999999">
      <c r="A3" s="400" t="s">
        <v>3894</v>
      </c>
      <c r="B3" s="414"/>
      <c r="C3" s="415"/>
      <c r="D3" s="415"/>
      <c r="E3" s="415"/>
      <c r="F3" s="414"/>
      <c r="G3" s="414"/>
      <c r="H3" s="416"/>
      <c r="I3" s="414"/>
      <c r="J3" s="417"/>
      <c r="K3" s="417"/>
      <c r="L3" s="417"/>
      <c r="M3" s="418"/>
      <c r="N3" s="418"/>
      <c r="O3" s="418"/>
      <c r="P3" s="418"/>
      <c r="Q3" s="418"/>
      <c r="R3" s="418"/>
      <c r="S3" s="418"/>
      <c r="T3" s="418"/>
      <c r="U3" s="418"/>
      <c r="V3" s="418"/>
      <c r="W3" s="418"/>
      <c r="X3" s="418"/>
      <c r="Y3" s="418"/>
      <c r="Z3" s="418"/>
      <c r="AA3" s="418"/>
      <c r="AB3" s="418"/>
      <c r="AC3" s="418"/>
      <c r="AD3" s="418"/>
      <c r="AE3" s="418"/>
      <c r="AF3" s="418"/>
      <c r="AG3" s="418"/>
      <c r="AH3" s="418"/>
      <c r="AI3" s="418"/>
      <c r="AJ3" s="418"/>
      <c r="AK3" s="418"/>
      <c r="AL3" s="418"/>
      <c r="AM3" s="418"/>
      <c r="AN3" s="418"/>
      <c r="AO3" s="417"/>
      <c r="AP3" s="417"/>
      <c r="AQ3" s="417"/>
      <c r="AR3" s="417"/>
      <c r="AS3" s="417"/>
      <c r="AT3" s="417"/>
      <c r="AU3" s="417"/>
      <c r="AV3" s="417"/>
      <c r="AW3" s="417"/>
      <c r="AX3" s="417"/>
      <c r="AY3" s="417"/>
      <c r="AZ3" s="417"/>
      <c r="BA3" s="417"/>
      <c r="BB3" s="418"/>
      <c r="BC3" s="418"/>
      <c r="BD3" s="418"/>
      <c r="BE3" s="418"/>
      <c r="BF3" s="418"/>
      <c r="BG3" s="418"/>
      <c r="BH3" s="418"/>
      <c r="BI3" s="418"/>
      <c r="BJ3" s="418"/>
      <c r="BK3" s="418"/>
      <c r="BL3" s="418"/>
      <c r="BM3" s="418"/>
      <c r="BN3" s="418"/>
      <c r="BO3" s="417"/>
      <c r="BP3" s="417"/>
      <c r="BQ3" s="417"/>
      <c r="BR3" s="417"/>
      <c r="BS3" s="418"/>
      <c r="BT3" s="418"/>
      <c r="BU3" s="418"/>
      <c r="BV3" s="418"/>
      <c r="BW3" s="418"/>
      <c r="BX3" s="418"/>
      <c r="BY3" s="418"/>
      <c r="BZ3" s="418"/>
      <c r="CA3" s="418"/>
      <c r="CB3" s="418"/>
      <c r="CC3" s="418"/>
      <c r="CD3" s="418"/>
      <c r="CE3" s="418"/>
      <c r="CF3" s="418"/>
      <c r="CG3" s="418"/>
      <c r="CH3" s="418"/>
      <c r="CI3" s="418"/>
      <c r="CJ3" s="418"/>
      <c r="CK3" s="418"/>
      <c r="CL3" s="418"/>
      <c r="CM3" s="418"/>
      <c r="CN3" s="417"/>
      <c r="CO3" s="417"/>
      <c r="CP3" s="417"/>
      <c r="CQ3" s="417"/>
      <c r="CR3" s="417"/>
      <c r="CS3" s="417"/>
      <c r="CT3" s="417"/>
      <c r="CU3" s="417"/>
      <c r="CV3" s="417"/>
      <c r="CW3" s="417"/>
      <c r="CX3" s="417"/>
      <c r="CY3" s="418"/>
      <c r="CZ3" s="418"/>
      <c r="DA3" s="418"/>
      <c r="DB3" s="418"/>
      <c r="DC3" s="418"/>
      <c r="DD3" s="418"/>
      <c r="DE3" s="418"/>
      <c r="DF3" s="418"/>
      <c r="DG3" s="418"/>
      <c r="DH3" s="418"/>
      <c r="DI3" s="418"/>
      <c r="DJ3" s="418"/>
      <c r="DK3" s="418"/>
      <c r="DL3" s="418"/>
      <c r="DM3" s="418"/>
      <c r="DN3" s="418"/>
      <c r="DO3" s="418"/>
      <c r="DP3" s="418"/>
      <c r="DQ3" s="418"/>
      <c r="DR3" s="418"/>
      <c r="DS3" s="418"/>
      <c r="DT3" s="418"/>
      <c r="DU3" s="418"/>
      <c r="DV3" s="418"/>
      <c r="DW3" s="418"/>
      <c r="DX3" s="418"/>
      <c r="DY3" s="418"/>
      <c r="DZ3" s="418"/>
      <c r="EA3" s="417"/>
      <c r="EB3" s="417"/>
      <c r="EC3" s="419"/>
    </row>
    <row r="4" spans="1:153" s="420" customFormat="1" ht="18" thickBot="1">
      <c r="A4" s="3020" t="e">
        <f>#REF!&amp;", "&amp;#REF!</f>
        <v>#REF!</v>
      </c>
      <c r="B4" s="3020"/>
      <c r="C4" s="3020"/>
      <c r="D4" s="3020"/>
      <c r="E4" s="3020"/>
      <c r="F4" s="3020"/>
      <c r="G4" s="3020"/>
      <c r="H4" s="3020"/>
      <c r="I4" s="3020"/>
      <c r="J4" s="3020"/>
      <c r="K4" s="3020"/>
      <c r="L4" s="3020"/>
      <c r="M4" s="3020"/>
      <c r="N4" s="3020"/>
      <c r="O4" s="3020"/>
      <c r="P4" s="3020"/>
      <c r="Q4" s="3020"/>
      <c r="R4" s="3020"/>
      <c r="S4" s="3020"/>
      <c r="T4" s="3020"/>
      <c r="U4" s="3020"/>
      <c r="V4" s="3020"/>
      <c r="W4" s="3020"/>
      <c r="X4" s="3020"/>
      <c r="Y4" s="3020"/>
      <c r="Z4" s="3020"/>
      <c r="AA4" s="3020"/>
      <c r="AB4" s="3020"/>
      <c r="AC4" s="3020"/>
      <c r="AD4" s="3020"/>
      <c r="AE4" s="3020"/>
      <c r="AF4" s="3020"/>
      <c r="AG4" s="3020"/>
      <c r="AH4" s="3020"/>
      <c r="AI4" s="3020"/>
      <c r="AJ4" s="3020"/>
      <c r="AK4" s="3020"/>
      <c r="AL4" s="3020"/>
      <c r="AM4" s="3020"/>
      <c r="AN4" s="3020"/>
      <c r="AO4" s="3020"/>
      <c r="AP4" s="3020"/>
      <c r="AQ4" s="3020"/>
      <c r="AR4" s="3020"/>
      <c r="AS4" s="3020"/>
      <c r="AT4" s="3020"/>
      <c r="AU4" s="3020"/>
      <c r="AV4" s="3020"/>
      <c r="AW4" s="3020"/>
      <c r="AX4" s="3020"/>
      <c r="AY4" s="3020"/>
      <c r="AZ4" s="3020"/>
      <c r="BA4" s="3020"/>
      <c r="BB4" s="3020"/>
      <c r="BC4" s="3020"/>
      <c r="BD4" s="3020"/>
      <c r="BE4" s="3020"/>
      <c r="BF4" s="3020"/>
      <c r="BG4" s="3020"/>
      <c r="BH4" s="3020"/>
      <c r="BI4" s="3020"/>
      <c r="BJ4" s="3020"/>
      <c r="BK4" s="3020"/>
      <c r="BL4" s="3020"/>
      <c r="BM4" s="3020"/>
      <c r="BN4" s="3020"/>
      <c r="BO4" s="3020"/>
      <c r="BP4" s="3020"/>
      <c r="BQ4" s="3020"/>
      <c r="BR4" s="3020"/>
      <c r="BS4" s="3020"/>
      <c r="BT4" s="3020"/>
      <c r="BU4" s="3020"/>
      <c r="BV4" s="3020"/>
      <c r="BW4" s="3020"/>
      <c r="BX4" s="3020"/>
      <c r="BY4" s="3020"/>
      <c r="BZ4" s="3020"/>
      <c r="CA4" s="3020"/>
      <c r="CB4" s="3020"/>
      <c r="CC4" s="3020"/>
      <c r="CD4" s="3020"/>
      <c r="CE4" s="3020"/>
      <c r="CF4" s="3020"/>
      <c r="CG4" s="3020"/>
      <c r="CH4" s="3020"/>
      <c r="CI4" s="3020"/>
      <c r="CJ4" s="3020"/>
      <c r="CK4" s="3020"/>
      <c r="CL4" s="3020"/>
      <c r="CM4" s="3020"/>
      <c r="CN4" s="3020"/>
      <c r="CO4" s="3020"/>
      <c r="CP4" s="3020"/>
      <c r="CQ4" s="3020"/>
      <c r="CR4" s="3020"/>
      <c r="CS4" s="3020"/>
      <c r="CT4" s="3020"/>
      <c r="CU4" s="3020"/>
      <c r="CV4" s="3020"/>
      <c r="CW4" s="3020"/>
      <c r="CX4" s="3020"/>
      <c r="CY4" s="3020"/>
      <c r="CZ4" s="3020"/>
      <c r="DA4" s="3020"/>
      <c r="DB4" s="3020"/>
      <c r="DC4" s="3020"/>
      <c r="DD4" s="3020"/>
      <c r="DE4" s="3020"/>
      <c r="DF4" s="3020"/>
      <c r="DG4" s="3020"/>
      <c r="DH4" s="3020"/>
      <c r="DI4" s="3020"/>
      <c r="DJ4" s="3020"/>
      <c r="DK4" s="3020"/>
      <c r="DL4" s="3020"/>
      <c r="DM4" s="3020"/>
      <c r="DN4" s="3020"/>
      <c r="DO4" s="3020"/>
      <c r="DP4" s="3020"/>
      <c r="DQ4" s="3020"/>
      <c r="DR4" s="3020"/>
      <c r="DS4" s="3020"/>
      <c r="DT4" s="3020"/>
      <c r="DU4" s="3020"/>
      <c r="DV4" s="3020"/>
      <c r="DW4" s="3020"/>
      <c r="DX4" s="3020"/>
      <c r="DY4" s="3020"/>
      <c r="DZ4" s="3020"/>
      <c r="EA4" s="3020"/>
      <c r="EB4" s="3020"/>
      <c r="EC4" s="3020"/>
    </row>
    <row r="5" spans="1:153" ht="34.5" customHeight="1" thickTop="1" thickBot="1">
      <c r="A5" s="3007" t="s">
        <v>3784</v>
      </c>
      <c r="B5" s="3009" t="s">
        <v>3785</v>
      </c>
      <c r="C5" s="3011" t="s">
        <v>3895</v>
      </c>
      <c r="D5" s="3011" t="s">
        <v>3896</v>
      </c>
      <c r="E5" s="3011" t="s">
        <v>3792</v>
      </c>
      <c r="F5" s="3025" t="s">
        <v>3793</v>
      </c>
      <c r="G5" s="3025" t="s">
        <v>3794</v>
      </c>
      <c r="H5" s="3025" t="s">
        <v>3795</v>
      </c>
      <c r="I5" s="3013" t="s">
        <v>2283</v>
      </c>
      <c r="J5" s="3014"/>
      <c r="K5" s="3015"/>
      <c r="L5" s="421"/>
      <c r="M5" s="401" t="s">
        <v>3897</v>
      </c>
      <c r="N5" s="422"/>
      <c r="O5" s="422"/>
      <c r="P5" s="422"/>
      <c r="Q5" s="422"/>
      <c r="R5" s="422"/>
      <c r="S5" s="422"/>
      <c r="T5" s="422"/>
      <c r="U5" s="402" t="s">
        <v>3898</v>
      </c>
      <c r="V5" s="422"/>
      <c r="W5" s="423"/>
      <c r="X5" s="405"/>
      <c r="Y5" s="405"/>
      <c r="Z5" s="405"/>
      <c r="AA5" s="405"/>
      <c r="AB5" s="405"/>
      <c r="AC5" s="405"/>
      <c r="AD5" s="405"/>
      <c r="AE5" s="405"/>
      <c r="AF5" s="405"/>
      <c r="AG5" s="405"/>
      <c r="AH5" s="405"/>
      <c r="AI5" s="405"/>
      <c r="AJ5" s="405"/>
      <c r="AK5" s="405"/>
      <c r="AL5" s="405"/>
      <c r="AM5" s="405"/>
      <c r="AN5" s="405"/>
      <c r="AO5" s="403" t="s">
        <v>3899</v>
      </c>
      <c r="AP5" s="405"/>
      <c r="AQ5" s="405"/>
      <c r="AR5" s="405"/>
      <c r="AS5" s="424"/>
      <c r="AT5" s="404" t="s">
        <v>3797</v>
      </c>
      <c r="AU5" s="425"/>
      <c r="AV5" s="405"/>
      <c r="AW5" s="405"/>
      <c r="AX5" s="405"/>
      <c r="AY5" s="405"/>
      <c r="AZ5" s="405"/>
      <c r="BA5" s="405"/>
      <c r="BB5" s="405" t="s">
        <v>3900</v>
      </c>
      <c r="BC5" s="406" t="s">
        <v>3901</v>
      </c>
      <c r="BD5" s="426"/>
      <c r="BE5" s="426"/>
      <c r="BF5" s="405"/>
      <c r="BG5" s="405"/>
      <c r="BH5" s="405"/>
      <c r="BI5" s="405"/>
      <c r="BJ5" s="405"/>
      <c r="BK5" s="405"/>
      <c r="BL5" s="405"/>
      <c r="BM5" s="405"/>
      <c r="BN5" s="405"/>
      <c r="BO5" s="3018" t="s">
        <v>2397</v>
      </c>
      <c r="BP5" s="3018" t="s">
        <v>2400</v>
      </c>
      <c r="BQ5" s="3018" t="s">
        <v>2400</v>
      </c>
      <c r="BR5" s="3018" t="s">
        <v>2401</v>
      </c>
      <c r="BS5" s="403" t="s">
        <v>3799</v>
      </c>
      <c r="BT5" s="405"/>
      <c r="BU5" s="405"/>
      <c r="BV5" s="405"/>
      <c r="BW5" s="405"/>
      <c r="BX5" s="405"/>
      <c r="BY5" s="405"/>
      <c r="BZ5" s="405"/>
      <c r="CA5" s="405"/>
      <c r="CB5" s="405"/>
      <c r="CC5" s="405"/>
      <c r="CD5" s="405"/>
      <c r="CE5" s="405"/>
      <c r="CF5" s="405"/>
      <c r="CG5" s="405"/>
      <c r="CH5" s="405"/>
      <c r="CI5" s="405"/>
      <c r="CJ5" s="405"/>
      <c r="CK5" s="405"/>
      <c r="CL5" s="405"/>
      <c r="CM5" s="405"/>
      <c r="CN5" s="3016" t="s">
        <v>3902</v>
      </c>
      <c r="CO5" s="3016" t="s">
        <v>3903</v>
      </c>
      <c r="CP5" s="3016" t="s">
        <v>3904</v>
      </c>
      <c r="CQ5" s="3033" t="str">
        <f>"Chuoãi "&amp;EF6&amp;" laép vaøo xaø  CÑX "&amp;EF6 &amp; "-X"</f>
        <v>Chuoãi Polymer laép vaøo xaø  CÑX Polymer-X</v>
      </c>
      <c r="CR5" s="3029" t="s">
        <v>3804</v>
      </c>
      <c r="CS5" s="3022" t="s">
        <v>3905</v>
      </c>
      <c r="CT5" s="3022" t="s">
        <v>3906</v>
      </c>
      <c r="CU5" s="3016" t="s">
        <v>3805</v>
      </c>
      <c r="CV5" s="3016" t="s">
        <v>3806</v>
      </c>
      <c r="CW5" s="3016" t="s">
        <v>3807</v>
      </c>
      <c r="CX5" s="3016" t="s">
        <v>3808</v>
      </c>
      <c r="CY5" s="3027" t="s">
        <v>3907</v>
      </c>
      <c r="CZ5" s="3027" t="s">
        <v>3908</v>
      </c>
      <c r="DA5" s="3027" t="s">
        <v>3909</v>
      </c>
      <c r="DB5" s="3022" t="s">
        <v>3910</v>
      </c>
      <c r="DC5" s="3027" t="s">
        <v>3911</v>
      </c>
      <c r="DD5" s="3022" t="s">
        <v>3815</v>
      </c>
      <c r="DE5" s="3027" t="s">
        <v>3912</v>
      </c>
      <c r="DF5" s="3018" t="s">
        <v>3816</v>
      </c>
      <c r="DG5" s="3018" t="s">
        <v>3817</v>
      </c>
      <c r="DH5" s="3018" t="s">
        <v>3818</v>
      </c>
      <c r="DI5" s="3018" t="s">
        <v>3819</v>
      </c>
      <c r="DJ5" s="3018" t="s">
        <v>3820</v>
      </c>
      <c r="DK5" s="3018" t="s">
        <v>3822</v>
      </c>
      <c r="DL5" s="3018" t="s">
        <v>3822</v>
      </c>
      <c r="DM5" s="3018" t="s">
        <v>788</v>
      </c>
      <c r="DN5" s="3018" t="s">
        <v>675</v>
      </c>
      <c r="DO5" s="3018" t="s">
        <v>1902</v>
      </c>
      <c r="DP5" s="3018" t="s">
        <v>1129</v>
      </c>
      <c r="DQ5" s="3018" t="s">
        <v>1925</v>
      </c>
      <c r="DR5" s="3018" t="s">
        <v>394</v>
      </c>
      <c r="DS5" s="3018" t="s">
        <v>1916</v>
      </c>
      <c r="DT5" s="3018" t="s">
        <v>1193</v>
      </c>
      <c r="DU5" s="3018" t="s">
        <v>1194</v>
      </c>
      <c r="DV5" s="427"/>
      <c r="DW5" s="427"/>
      <c r="DX5" s="427"/>
      <c r="DY5" s="427"/>
      <c r="DZ5" s="427"/>
      <c r="EA5" s="407"/>
      <c r="EB5" s="3022" t="s">
        <v>3913</v>
      </c>
      <c r="EC5" s="3031" t="s">
        <v>2607</v>
      </c>
    </row>
    <row r="6" spans="1:153" s="433" customFormat="1" ht="99.75" customHeight="1" thickTop="1">
      <c r="A6" s="3008"/>
      <c r="B6" s="3010"/>
      <c r="C6" s="3012"/>
      <c r="D6" s="3012"/>
      <c r="E6" s="3012"/>
      <c r="F6" s="3026"/>
      <c r="G6" s="3026"/>
      <c r="H6" s="3026"/>
      <c r="I6" s="429" t="s">
        <v>300</v>
      </c>
      <c r="J6" s="429" t="s">
        <v>301</v>
      </c>
      <c r="K6" s="429" t="s">
        <v>302</v>
      </c>
      <c r="L6" s="429" t="s">
        <v>759</v>
      </c>
      <c r="M6" s="409" t="s">
        <v>695</v>
      </c>
      <c r="N6" s="409" t="s">
        <v>994</v>
      </c>
      <c r="O6" s="409" t="s">
        <v>100</v>
      </c>
      <c r="P6" s="409" t="s">
        <v>833</v>
      </c>
      <c r="Q6" s="409" t="s">
        <v>834</v>
      </c>
      <c r="R6" s="409" t="s">
        <v>832</v>
      </c>
      <c r="S6" s="409" t="s">
        <v>760</v>
      </c>
      <c r="T6" s="409" t="s">
        <v>286</v>
      </c>
      <c r="U6" s="409" t="s">
        <v>303</v>
      </c>
      <c r="V6" s="409" t="s">
        <v>2269</v>
      </c>
      <c r="W6" s="409" t="s">
        <v>304</v>
      </c>
      <c r="X6" s="409" t="s">
        <v>638</v>
      </c>
      <c r="Y6" s="409" t="s">
        <v>647</v>
      </c>
      <c r="Z6" s="409" t="s">
        <v>646</v>
      </c>
      <c r="AA6" s="409" t="s">
        <v>1905</v>
      </c>
      <c r="AB6" s="409" t="s">
        <v>511</v>
      </c>
      <c r="AC6" s="409" t="s">
        <v>500</v>
      </c>
      <c r="AD6" s="409" t="s">
        <v>648</v>
      </c>
      <c r="AE6" s="409" t="s">
        <v>750</v>
      </c>
      <c r="AF6" s="409" t="s">
        <v>649</v>
      </c>
      <c r="AG6" s="409" t="s">
        <v>483</v>
      </c>
      <c r="AH6" s="409" t="s">
        <v>484</v>
      </c>
      <c r="AI6" s="409" t="s">
        <v>650</v>
      </c>
      <c r="AJ6" s="409" t="s">
        <v>1645</v>
      </c>
      <c r="AK6" s="409" t="s">
        <v>285</v>
      </c>
      <c r="AL6" s="409" t="s">
        <v>987</v>
      </c>
      <c r="AM6" s="409" t="s">
        <v>312</v>
      </c>
      <c r="AN6" s="409" t="s">
        <v>891</v>
      </c>
      <c r="AO6" s="430" t="str">
        <f>"CX10-"&amp;$ED$6</f>
        <v>CX10-B</v>
      </c>
      <c r="AP6" s="430" t="str">
        <f>"CL10-"&amp;$ED$6</f>
        <v>CL10-B</v>
      </c>
      <c r="AQ6" s="430" t="str">
        <f>"CXX10-"&amp;$ED$6</f>
        <v>CXX10-B</v>
      </c>
      <c r="AR6" s="430" t="str">
        <f>"CX12-"&amp;$ED$6</f>
        <v>CX12-B</v>
      </c>
      <c r="AS6" s="430" t="str">
        <f>"CL12-"&amp;$ED$6</f>
        <v>CL12-B</v>
      </c>
      <c r="AT6" s="430" t="str">
        <f>"CXX12-"&amp;$ED$6</f>
        <v>CXX12-B</v>
      </c>
      <c r="AU6" s="430" t="str">
        <f>"CX14-"&amp;$ED$6</f>
        <v>CX14-B</v>
      </c>
      <c r="AV6" s="430" t="str">
        <f>"CL14-"&amp;$ED$6</f>
        <v>CL14-B</v>
      </c>
      <c r="AW6" s="430" t="str">
        <f>"CXX14-"&amp;$ED$6</f>
        <v>CXX14-B</v>
      </c>
      <c r="AX6" s="430" t="str">
        <f>"CX20-"&amp;$ED$6</f>
        <v>CX20-B</v>
      </c>
      <c r="AY6" s="430" t="str">
        <f>"CK-"&amp;$ED$6</f>
        <v>CK-B</v>
      </c>
      <c r="AZ6" s="430" t="str">
        <f>"CKK-"&amp;$ED$6</f>
        <v>CKK-B</v>
      </c>
      <c r="BA6" s="408" t="s">
        <v>3879</v>
      </c>
      <c r="BB6" s="409" t="s">
        <v>1495</v>
      </c>
      <c r="BC6" s="409" t="s">
        <v>1575</v>
      </c>
      <c r="BD6" s="409" t="s">
        <v>1091</v>
      </c>
      <c r="BE6" s="409" t="s">
        <v>2121</v>
      </c>
      <c r="BF6" s="409" t="s">
        <v>2152</v>
      </c>
      <c r="BG6" s="409" t="s">
        <v>2152</v>
      </c>
      <c r="BH6" s="409" t="s">
        <v>1092</v>
      </c>
      <c r="BI6" s="409" t="s">
        <v>2153</v>
      </c>
      <c r="BJ6" s="409" t="s">
        <v>1093</v>
      </c>
      <c r="BK6" s="409" t="s">
        <v>2050</v>
      </c>
      <c r="BL6" s="409" t="s">
        <v>1094</v>
      </c>
      <c r="BM6" s="409" t="s">
        <v>2051</v>
      </c>
      <c r="BN6" s="409" t="s">
        <v>892</v>
      </c>
      <c r="BO6" s="3019"/>
      <c r="BP6" s="3019"/>
      <c r="BQ6" s="3019"/>
      <c r="BR6" s="3019"/>
      <c r="BS6" s="409" t="s">
        <v>2297</v>
      </c>
      <c r="BT6" s="409" t="s">
        <v>909</v>
      </c>
      <c r="BU6" s="409" t="s">
        <v>280</v>
      </c>
      <c r="BV6" s="409" t="s">
        <v>910</v>
      </c>
      <c r="BW6" s="409" t="s">
        <v>3880</v>
      </c>
      <c r="BX6" s="409" t="s">
        <v>2303</v>
      </c>
      <c r="BY6" s="409" t="s">
        <v>344</v>
      </c>
      <c r="BZ6" s="409" t="s">
        <v>3914</v>
      </c>
      <c r="CA6" s="409" t="s">
        <v>911</v>
      </c>
      <c r="CB6" s="409" t="s">
        <v>2299</v>
      </c>
      <c r="CC6" s="409" t="s">
        <v>2125</v>
      </c>
      <c r="CD6" s="409" t="s">
        <v>2304</v>
      </c>
      <c r="CE6" s="409" t="s">
        <v>213</v>
      </c>
      <c r="CF6" s="409" t="s">
        <v>1872</v>
      </c>
      <c r="CG6" s="409" t="s">
        <v>2305</v>
      </c>
      <c r="CH6" s="409" t="s">
        <v>1577</v>
      </c>
      <c r="CI6" s="409" t="s">
        <v>807</v>
      </c>
      <c r="CJ6" s="409" t="s">
        <v>1445</v>
      </c>
      <c r="CK6" s="409" t="s">
        <v>806</v>
      </c>
      <c r="CL6" s="409" t="s">
        <v>3915</v>
      </c>
      <c r="CM6" s="409" t="s">
        <v>1195</v>
      </c>
      <c r="CN6" s="3017"/>
      <c r="CO6" s="3017"/>
      <c r="CP6" s="3017"/>
      <c r="CQ6" s="3017"/>
      <c r="CR6" s="3030"/>
      <c r="CS6" s="3023"/>
      <c r="CT6" s="3023"/>
      <c r="CU6" s="3017"/>
      <c r="CV6" s="3017"/>
      <c r="CW6" s="3017"/>
      <c r="CX6" s="3017"/>
      <c r="CY6" s="3028"/>
      <c r="CZ6" s="3028"/>
      <c r="DA6" s="3028"/>
      <c r="DB6" s="3023"/>
      <c r="DC6" s="3028"/>
      <c r="DD6" s="3023"/>
      <c r="DE6" s="3028"/>
      <c r="DF6" s="3024"/>
      <c r="DG6" s="3024"/>
      <c r="DH6" s="3024"/>
      <c r="DI6" s="3024"/>
      <c r="DJ6" s="3024"/>
      <c r="DK6" s="3024"/>
      <c r="DL6" s="3024"/>
      <c r="DM6" s="3024"/>
      <c r="DN6" s="3024"/>
      <c r="DO6" s="3024"/>
      <c r="DP6" s="3024"/>
      <c r="DQ6" s="3024"/>
      <c r="DR6" s="3024"/>
      <c r="DS6" s="3024"/>
      <c r="DT6" s="3024"/>
      <c r="DU6" s="3024"/>
      <c r="DV6" s="410" t="s">
        <v>3916</v>
      </c>
      <c r="DW6" s="410" t="s">
        <v>3917</v>
      </c>
      <c r="DX6" s="410" t="s">
        <v>3918</v>
      </c>
      <c r="DY6" s="410" t="s">
        <v>3919</v>
      </c>
      <c r="DZ6" s="410" t="s">
        <v>3920</v>
      </c>
      <c r="EA6" s="407" t="s">
        <v>3877</v>
      </c>
      <c r="EB6" s="3023"/>
      <c r="EC6" s="3032"/>
      <c r="ED6" s="431" t="s">
        <v>1038</v>
      </c>
      <c r="EE6" s="432" t="s">
        <v>189</v>
      </c>
      <c r="EF6" s="433" t="str">
        <f>IF(EE6="P","Polymer","treo 2 baùt")</f>
        <v>Polymer</v>
      </c>
    </row>
    <row r="7" spans="1:153" ht="18.899999999999999" customHeight="1">
      <c r="A7" s="411" t="s">
        <v>3921</v>
      </c>
      <c r="B7" s="434"/>
      <c r="C7" s="434"/>
      <c r="D7" s="434"/>
      <c r="E7" s="434"/>
      <c r="F7" s="434"/>
      <c r="G7" s="434"/>
      <c r="H7" s="434"/>
      <c r="I7" s="434"/>
      <c r="J7" s="434"/>
      <c r="K7" s="434"/>
      <c r="L7" s="434"/>
      <c r="M7" s="434"/>
      <c r="N7" s="434"/>
      <c r="O7" s="434"/>
      <c r="P7" s="434"/>
      <c r="Q7" s="434"/>
      <c r="R7" s="434"/>
      <c r="S7" s="434"/>
      <c r="T7" s="434"/>
      <c r="U7" s="434"/>
      <c r="V7" s="434"/>
      <c r="W7" s="434"/>
      <c r="X7" s="434"/>
      <c r="Y7" s="434"/>
      <c r="Z7" s="434"/>
      <c r="AA7" s="434"/>
      <c r="AB7" s="434"/>
      <c r="AC7" s="434"/>
      <c r="AD7" s="434"/>
      <c r="AE7" s="434"/>
      <c r="AF7" s="434"/>
      <c r="AG7" s="434"/>
      <c r="AH7" s="434"/>
      <c r="AI7" s="434"/>
      <c r="AJ7" s="434"/>
      <c r="AK7" s="434"/>
      <c r="AL7" s="434"/>
      <c r="AM7" s="434"/>
      <c r="AN7" s="434"/>
      <c r="AO7" s="434"/>
      <c r="AP7" s="434"/>
      <c r="AQ7" s="434"/>
      <c r="AR7" s="434"/>
      <c r="AS7" s="434"/>
      <c r="AT7" s="434"/>
      <c r="AU7" s="434"/>
      <c r="AV7" s="434"/>
      <c r="AW7" s="434"/>
      <c r="AX7" s="434"/>
      <c r="AY7" s="434"/>
      <c r="AZ7" s="434"/>
      <c r="BA7" s="434"/>
      <c r="BB7" s="434"/>
      <c r="BC7" s="434"/>
      <c r="BD7" s="434"/>
      <c r="BE7" s="434"/>
      <c r="BF7" s="434"/>
      <c r="BG7" s="434"/>
      <c r="BH7" s="434"/>
      <c r="BI7" s="434"/>
      <c r="BJ7" s="434"/>
      <c r="BK7" s="434"/>
      <c r="BL7" s="434"/>
      <c r="BM7" s="434"/>
      <c r="BN7" s="434"/>
      <c r="BO7" s="434"/>
      <c r="BP7" s="434"/>
      <c r="BQ7" s="434"/>
      <c r="BR7" s="434"/>
      <c r="BS7" s="434"/>
      <c r="BT7" s="434"/>
      <c r="BU7" s="434"/>
      <c r="BV7" s="434"/>
      <c r="BW7" s="434"/>
      <c r="BX7" s="434"/>
      <c r="BY7" s="434"/>
      <c r="BZ7" s="434"/>
      <c r="CA7" s="434"/>
      <c r="CB7" s="434"/>
      <c r="CC7" s="434"/>
      <c r="CD7" s="434"/>
      <c r="CE7" s="434"/>
      <c r="CF7" s="434"/>
      <c r="CG7" s="434"/>
      <c r="CH7" s="434"/>
      <c r="CI7" s="434"/>
      <c r="CJ7" s="434"/>
      <c r="CK7" s="434"/>
      <c r="CL7" s="434"/>
      <c r="CM7" s="434"/>
      <c r="CN7" s="434"/>
      <c r="CO7" s="434"/>
      <c r="CP7" s="434"/>
      <c r="CQ7" s="434"/>
      <c r="CR7" s="434"/>
      <c r="CS7" s="434"/>
      <c r="CT7" s="434"/>
      <c r="CU7" s="434"/>
      <c r="CV7" s="434"/>
      <c r="CW7" s="434"/>
      <c r="CX7" s="434"/>
      <c r="CY7" s="434"/>
      <c r="CZ7" s="434"/>
      <c r="DA7" s="434"/>
      <c r="DB7" s="434"/>
      <c r="DC7" s="434"/>
      <c r="DD7" s="434"/>
      <c r="DE7" s="434"/>
      <c r="DF7" s="434"/>
      <c r="DG7" s="434"/>
      <c r="DH7" s="434"/>
      <c r="DI7" s="434"/>
      <c r="DJ7" s="434"/>
      <c r="DK7" s="434"/>
      <c r="DL7" s="434"/>
      <c r="DM7" s="434"/>
      <c r="DN7" s="434"/>
      <c r="DO7" s="434"/>
      <c r="DP7" s="434"/>
      <c r="DQ7" s="434"/>
      <c r="DR7" s="434"/>
      <c r="DS7" s="434"/>
      <c r="DT7" s="434"/>
      <c r="DU7" s="434"/>
      <c r="DV7" s="434"/>
      <c r="DW7" s="434"/>
      <c r="DX7" s="434"/>
      <c r="DY7" s="434"/>
      <c r="DZ7" s="434"/>
      <c r="EA7" s="434"/>
      <c r="EB7" s="434"/>
      <c r="EC7" s="435"/>
    </row>
    <row r="8" spans="1:153" ht="18" customHeight="1">
      <c r="A8" s="436" t="s">
        <v>2245</v>
      </c>
      <c r="B8" s="437"/>
      <c r="C8" s="438"/>
      <c r="D8" s="438"/>
      <c r="E8" s="438"/>
      <c r="F8" s="439"/>
      <c r="G8" s="440"/>
      <c r="H8" s="440" t="s">
        <v>546</v>
      </c>
      <c r="I8" s="440"/>
      <c r="J8" s="440">
        <v>2</v>
      </c>
      <c r="K8" s="440"/>
      <c r="L8" s="440"/>
      <c r="M8" s="440"/>
      <c r="N8" s="440"/>
      <c r="O8" s="440"/>
      <c r="P8" s="440"/>
      <c r="Q8" s="440"/>
      <c r="R8" s="440"/>
      <c r="S8" s="440"/>
      <c r="T8" s="440"/>
      <c r="U8" s="440">
        <v>2</v>
      </c>
      <c r="V8" s="440"/>
      <c r="W8" s="440"/>
      <c r="X8" s="440"/>
      <c r="Y8" s="440"/>
      <c r="Z8" s="440"/>
      <c r="AA8" s="440"/>
      <c r="AB8" s="440"/>
      <c r="AC8" s="440"/>
      <c r="AD8" s="440"/>
      <c r="AE8" s="440"/>
      <c r="AF8" s="440"/>
      <c r="AG8" s="440"/>
      <c r="AH8" s="440"/>
      <c r="AI8" s="440"/>
      <c r="AJ8" s="440"/>
      <c r="AK8" s="440"/>
      <c r="AL8" s="440"/>
      <c r="AM8" s="440"/>
      <c r="AN8" s="440"/>
      <c r="AO8" s="440"/>
      <c r="AP8" s="440"/>
      <c r="AQ8" s="440"/>
      <c r="AR8" s="440"/>
      <c r="AS8" s="440"/>
      <c r="AT8" s="441">
        <v>2</v>
      </c>
      <c r="AU8" s="440"/>
      <c r="AV8" s="440"/>
      <c r="AW8" s="440"/>
      <c r="AX8" s="440"/>
      <c r="AY8" s="440"/>
      <c r="AZ8" s="440"/>
      <c r="BA8" s="440"/>
      <c r="BB8" s="440"/>
      <c r="BC8" s="442">
        <v>2</v>
      </c>
      <c r="BD8" s="440"/>
      <c r="BE8" s="440"/>
      <c r="BF8" s="440"/>
      <c r="BG8" s="440"/>
      <c r="BH8" s="440"/>
      <c r="BI8" s="440"/>
      <c r="BJ8" s="440"/>
      <c r="BK8" s="440"/>
      <c r="BL8" s="440"/>
      <c r="BM8" s="440"/>
      <c r="BN8" s="440"/>
      <c r="BO8" s="440">
        <v>1</v>
      </c>
      <c r="BP8" s="440"/>
      <c r="BQ8" s="440"/>
      <c r="BR8" s="440"/>
      <c r="BS8" s="443"/>
      <c r="BT8" s="443"/>
      <c r="BU8" s="440"/>
      <c r="BV8" s="443"/>
      <c r="BW8" s="440"/>
      <c r="BX8" s="440"/>
      <c r="BY8" s="440"/>
      <c r="BZ8" s="440"/>
      <c r="CA8" s="440"/>
      <c r="CB8" s="440"/>
      <c r="CC8" s="440"/>
      <c r="CD8" s="440"/>
      <c r="CE8" s="440">
        <v>2</v>
      </c>
      <c r="CF8" s="440"/>
      <c r="CG8" s="440"/>
      <c r="CH8" s="440"/>
      <c r="CI8" s="440"/>
      <c r="CJ8" s="440"/>
      <c r="CK8" s="440">
        <v>1</v>
      </c>
      <c r="CL8" s="440"/>
      <c r="CM8" s="440"/>
      <c r="CN8" s="440"/>
      <c r="CO8" s="440"/>
      <c r="CP8" s="441"/>
      <c r="CQ8" s="441">
        <v>6</v>
      </c>
      <c r="CR8" s="441"/>
      <c r="CS8" s="441">
        <v>1</v>
      </c>
      <c r="CT8" s="441">
        <v>6</v>
      </c>
      <c r="CU8" s="441"/>
      <c r="CV8" s="440"/>
      <c r="CW8" s="440"/>
      <c r="CX8" s="441">
        <v>1</v>
      </c>
      <c r="CY8" s="440"/>
      <c r="CZ8" s="440"/>
      <c r="DA8" s="440"/>
      <c r="DB8" s="440"/>
      <c r="DC8" s="440"/>
      <c r="DD8" s="444">
        <v>12</v>
      </c>
      <c r="DE8" s="440"/>
      <c r="DF8" s="440"/>
      <c r="DG8" s="440"/>
      <c r="DH8" s="440"/>
      <c r="DI8" s="440"/>
      <c r="DJ8" s="440"/>
      <c r="DK8" s="440">
        <v>6</v>
      </c>
      <c r="DL8" s="440"/>
      <c r="DM8" s="440">
        <v>3</v>
      </c>
      <c r="DN8" s="440"/>
      <c r="DO8" s="440"/>
      <c r="DP8" s="440"/>
      <c r="DQ8" s="440">
        <v>1</v>
      </c>
      <c r="DR8" s="440"/>
      <c r="DS8" s="440"/>
      <c r="DT8" s="440"/>
      <c r="DU8" s="440"/>
      <c r="DV8" s="440"/>
      <c r="DW8" s="440"/>
      <c r="DX8" s="440"/>
      <c r="DY8" s="440"/>
      <c r="DZ8" s="440"/>
      <c r="EA8" s="440"/>
      <c r="EB8" s="440"/>
      <c r="EC8" s="445"/>
      <c r="ED8" s="446"/>
      <c r="EE8" s="447"/>
      <c r="EF8" s="448"/>
      <c r="EG8" s="449"/>
      <c r="EH8" s="448"/>
      <c r="EI8" s="449"/>
      <c r="EJ8" s="448"/>
      <c r="EK8" s="448"/>
      <c r="EL8" s="448"/>
      <c r="EM8" s="448"/>
      <c r="EN8" s="448"/>
      <c r="EO8" s="448"/>
      <c r="EP8" s="448"/>
      <c r="EQ8" s="448"/>
      <c r="ER8" s="448"/>
      <c r="ES8" s="448"/>
      <c r="ET8" s="447"/>
      <c r="EU8" s="450"/>
      <c r="EV8" s="451"/>
      <c r="EW8" s="452"/>
    </row>
    <row r="9" spans="1:153" ht="18.899999999999999" customHeight="1">
      <c r="A9" s="436" t="s">
        <v>948</v>
      </c>
      <c r="B9" s="437">
        <v>50</v>
      </c>
      <c r="C9" s="438">
        <f>C8+B9</f>
        <v>50</v>
      </c>
      <c r="D9" s="438"/>
      <c r="E9" s="438"/>
      <c r="F9" s="439"/>
      <c r="G9" s="440"/>
      <c r="H9" s="440" t="s">
        <v>2019</v>
      </c>
      <c r="I9" s="440"/>
      <c r="J9" s="437">
        <v>1</v>
      </c>
      <c r="K9" s="440"/>
      <c r="L9" s="440"/>
      <c r="M9" s="440"/>
      <c r="N9" s="440"/>
      <c r="O9" s="440"/>
      <c r="P9" s="440"/>
      <c r="Q9" s="440"/>
      <c r="R9" s="440"/>
      <c r="S9" s="440"/>
      <c r="T9" s="440"/>
      <c r="U9" s="444">
        <v>1</v>
      </c>
      <c r="V9" s="440"/>
      <c r="W9" s="440"/>
      <c r="X9" s="440"/>
      <c r="Y9" s="440"/>
      <c r="Z9" s="440"/>
      <c r="AA9" s="440"/>
      <c r="AB9" s="440"/>
      <c r="AC9" s="440"/>
      <c r="AD9" s="440"/>
      <c r="AE9" s="440"/>
      <c r="AF9" s="440"/>
      <c r="AG9" s="440"/>
      <c r="AH9" s="440"/>
      <c r="AI9" s="440"/>
      <c r="AJ9" s="440"/>
      <c r="AK9" s="440"/>
      <c r="AL9" s="440"/>
      <c r="AM9" s="440"/>
      <c r="AN9" s="440"/>
      <c r="AO9" s="440"/>
      <c r="AP9" s="440"/>
      <c r="AQ9" s="440"/>
      <c r="AR9" s="440"/>
      <c r="AS9" s="440"/>
      <c r="AT9" s="441"/>
      <c r="AU9" s="440"/>
      <c r="AV9" s="440"/>
      <c r="AW9" s="440"/>
      <c r="AX9" s="440"/>
      <c r="AY9" s="440"/>
      <c r="AZ9" s="440"/>
      <c r="BA9" s="440"/>
      <c r="BB9" s="440"/>
      <c r="BC9" s="442"/>
      <c r="BD9" s="440"/>
      <c r="BE9" s="440"/>
      <c r="BF9" s="440"/>
      <c r="BG9" s="440"/>
      <c r="BH9" s="440"/>
      <c r="BI9" s="440"/>
      <c r="BJ9" s="440"/>
      <c r="BK9" s="440"/>
      <c r="BL9" s="440"/>
      <c r="BM9" s="440"/>
      <c r="BN9" s="440"/>
      <c r="BO9" s="440"/>
      <c r="BP9" s="440"/>
      <c r="BQ9" s="440"/>
      <c r="BR9" s="440"/>
      <c r="BS9" s="443">
        <v>2</v>
      </c>
      <c r="BT9" s="443"/>
      <c r="BU9" s="440"/>
      <c r="BV9" s="443"/>
      <c r="BW9" s="440"/>
      <c r="BX9" s="440"/>
      <c r="BY9" s="440"/>
      <c r="BZ9" s="440"/>
      <c r="CA9" s="440"/>
      <c r="CB9" s="440"/>
      <c r="CC9" s="440"/>
      <c r="CD9" s="440"/>
      <c r="CE9" s="440"/>
      <c r="CF9" s="440"/>
      <c r="CG9" s="440"/>
      <c r="CH9" s="440"/>
      <c r="CI9" s="440"/>
      <c r="CJ9" s="440"/>
      <c r="CK9" s="440"/>
      <c r="CL9" s="440"/>
      <c r="CM9" s="440"/>
      <c r="CN9" s="440"/>
      <c r="CO9" s="440"/>
      <c r="CP9" s="441">
        <v>6</v>
      </c>
      <c r="CQ9" s="441"/>
      <c r="CR9" s="441"/>
      <c r="CS9" s="441"/>
      <c r="CT9" s="441"/>
      <c r="CU9" s="441">
        <v>1</v>
      </c>
      <c r="CV9" s="440"/>
      <c r="CW9" s="440"/>
      <c r="CX9" s="441"/>
      <c r="CY9" s="440"/>
      <c r="CZ9" s="440"/>
      <c r="DA9" s="440"/>
      <c r="DB9" s="440"/>
      <c r="DC9" s="440"/>
      <c r="DD9" s="444"/>
      <c r="DE9" s="440"/>
      <c r="DF9" s="440"/>
      <c r="DG9" s="440"/>
      <c r="DH9" s="440"/>
      <c r="DI9" s="440"/>
      <c r="DJ9" s="440"/>
      <c r="DK9" s="440"/>
      <c r="DL9" s="440"/>
      <c r="DM9" s="440"/>
      <c r="DN9" s="440"/>
      <c r="DO9" s="440"/>
      <c r="DP9" s="440"/>
      <c r="DQ9" s="440"/>
      <c r="DR9" s="440"/>
      <c r="DS9" s="440"/>
      <c r="DT9" s="440"/>
      <c r="DU9" s="440"/>
      <c r="DV9" s="440"/>
      <c r="DW9" s="440"/>
      <c r="DX9" s="440"/>
      <c r="DY9" s="440"/>
      <c r="DZ9" s="440"/>
      <c r="EA9" s="440"/>
      <c r="EB9" s="440"/>
      <c r="EC9" s="445"/>
      <c r="ED9" s="446"/>
      <c r="EE9" s="447"/>
      <c r="EF9" s="448"/>
      <c r="EG9" s="449"/>
      <c r="EH9" s="448"/>
      <c r="EI9" s="449"/>
      <c r="EJ9" s="448"/>
      <c r="EK9" s="448"/>
      <c r="EL9" s="448"/>
      <c r="EM9" s="448"/>
      <c r="EN9" s="448"/>
      <c r="EO9" s="448"/>
      <c r="EP9" s="448"/>
      <c r="EQ9" s="448"/>
      <c r="ER9" s="448"/>
      <c r="ES9" s="448"/>
      <c r="ET9" s="447"/>
      <c r="EU9" s="450"/>
      <c r="EV9" s="451"/>
      <c r="EW9" s="452"/>
    </row>
    <row r="10" spans="1:153" ht="18.899999999999999" customHeight="1">
      <c r="A10" s="436" t="s">
        <v>949</v>
      </c>
      <c r="B10" s="437">
        <v>50</v>
      </c>
      <c r="C10" s="438">
        <f t="shared" ref="C10:C30" si="0">C9+B10</f>
        <v>100</v>
      </c>
      <c r="D10" s="438"/>
      <c r="E10" s="438"/>
      <c r="F10" s="439"/>
      <c r="G10" s="440"/>
      <c r="H10" s="440" t="s">
        <v>2019</v>
      </c>
      <c r="I10" s="440"/>
      <c r="J10" s="437">
        <v>1</v>
      </c>
      <c r="K10" s="440"/>
      <c r="L10" s="440"/>
      <c r="M10" s="440"/>
      <c r="N10" s="440"/>
      <c r="O10" s="440"/>
      <c r="P10" s="440"/>
      <c r="Q10" s="440"/>
      <c r="R10" s="440"/>
      <c r="S10" s="440"/>
      <c r="T10" s="440"/>
      <c r="U10" s="444">
        <v>1</v>
      </c>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1"/>
      <c r="AU10" s="440"/>
      <c r="AV10" s="440"/>
      <c r="AW10" s="440"/>
      <c r="AX10" s="440"/>
      <c r="AY10" s="440"/>
      <c r="AZ10" s="440"/>
      <c r="BA10" s="440"/>
      <c r="BB10" s="440"/>
      <c r="BC10" s="442"/>
      <c r="BD10" s="440"/>
      <c r="BE10" s="440"/>
      <c r="BF10" s="440"/>
      <c r="BG10" s="440"/>
      <c r="BH10" s="440"/>
      <c r="BI10" s="440"/>
      <c r="BJ10" s="440"/>
      <c r="BK10" s="440"/>
      <c r="BL10" s="440"/>
      <c r="BM10" s="440"/>
      <c r="BN10" s="440"/>
      <c r="BO10" s="440"/>
      <c r="BP10" s="440"/>
      <c r="BQ10" s="440"/>
      <c r="BR10" s="440"/>
      <c r="BS10" s="443">
        <v>2</v>
      </c>
      <c r="BT10" s="443"/>
      <c r="BU10" s="440"/>
      <c r="BV10" s="443"/>
      <c r="BW10" s="440"/>
      <c r="BX10" s="440"/>
      <c r="BY10" s="440"/>
      <c r="BZ10" s="440"/>
      <c r="CA10" s="440"/>
      <c r="CB10" s="440"/>
      <c r="CC10" s="440"/>
      <c r="CD10" s="440"/>
      <c r="CE10" s="440"/>
      <c r="CF10" s="440"/>
      <c r="CG10" s="440"/>
      <c r="CH10" s="440"/>
      <c r="CI10" s="440"/>
      <c r="CJ10" s="440"/>
      <c r="CK10" s="440"/>
      <c r="CL10" s="440"/>
      <c r="CM10" s="440"/>
      <c r="CN10" s="440"/>
      <c r="CO10" s="440"/>
      <c r="CP10" s="441">
        <v>6</v>
      </c>
      <c r="CQ10" s="441"/>
      <c r="CR10" s="441"/>
      <c r="CS10" s="441"/>
      <c r="CT10" s="441"/>
      <c r="CU10" s="441">
        <v>1</v>
      </c>
      <c r="CV10" s="440"/>
      <c r="CW10" s="440"/>
      <c r="CX10" s="441"/>
      <c r="CY10" s="440"/>
      <c r="CZ10" s="440"/>
      <c r="DA10" s="440"/>
      <c r="DB10" s="440"/>
      <c r="DC10" s="440"/>
      <c r="DD10" s="444"/>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5"/>
      <c r="ED10" s="446"/>
      <c r="EE10" s="447"/>
      <c r="EF10" s="448"/>
      <c r="EG10" s="449"/>
      <c r="EH10" s="448"/>
      <c r="EI10" s="449"/>
      <c r="EJ10" s="448"/>
      <c r="EK10" s="448"/>
      <c r="EL10" s="448"/>
      <c r="EM10" s="448"/>
      <c r="EN10" s="448"/>
      <c r="EO10" s="448"/>
      <c r="EP10" s="448"/>
      <c r="EQ10" s="448"/>
      <c r="ER10" s="448"/>
      <c r="ES10" s="448"/>
      <c r="ET10" s="447"/>
      <c r="EU10" s="450"/>
      <c r="EV10" s="451"/>
      <c r="EW10" s="452"/>
    </row>
    <row r="11" spans="1:153" ht="18.899999999999999" customHeight="1">
      <c r="A11" s="436" t="s">
        <v>950</v>
      </c>
      <c r="B11" s="437">
        <v>50</v>
      </c>
      <c r="C11" s="438">
        <f t="shared" si="0"/>
        <v>150</v>
      </c>
      <c r="D11" s="438"/>
      <c r="E11" s="438"/>
      <c r="F11" s="439"/>
      <c r="G11" s="440"/>
      <c r="H11" s="440" t="s">
        <v>2019</v>
      </c>
      <c r="I11" s="440"/>
      <c r="J11" s="437">
        <v>1</v>
      </c>
      <c r="K11" s="440"/>
      <c r="L11" s="440"/>
      <c r="M11" s="440"/>
      <c r="N11" s="440"/>
      <c r="O11" s="440"/>
      <c r="P11" s="440"/>
      <c r="Q11" s="440"/>
      <c r="R11" s="440"/>
      <c r="S11" s="440"/>
      <c r="T11" s="440"/>
      <c r="U11" s="444">
        <v>1</v>
      </c>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1"/>
      <c r="AU11" s="440"/>
      <c r="AV11" s="440"/>
      <c r="AW11" s="440"/>
      <c r="AX11" s="440"/>
      <c r="AY11" s="440"/>
      <c r="AZ11" s="440"/>
      <c r="BA11" s="440"/>
      <c r="BB11" s="440"/>
      <c r="BC11" s="442"/>
      <c r="BD11" s="440"/>
      <c r="BE11" s="440"/>
      <c r="BF11" s="440"/>
      <c r="BG11" s="440"/>
      <c r="BH11" s="440"/>
      <c r="BI11" s="440"/>
      <c r="BJ11" s="440"/>
      <c r="BK11" s="440"/>
      <c r="BL11" s="440"/>
      <c r="BM11" s="440"/>
      <c r="BN11" s="440"/>
      <c r="BO11" s="440"/>
      <c r="BP11" s="440"/>
      <c r="BQ11" s="440"/>
      <c r="BR11" s="440"/>
      <c r="BS11" s="443">
        <v>2</v>
      </c>
      <c r="BT11" s="443"/>
      <c r="BU11" s="440"/>
      <c r="BV11" s="443"/>
      <c r="BW11" s="440"/>
      <c r="BX11" s="440"/>
      <c r="BY11" s="440"/>
      <c r="BZ11" s="440"/>
      <c r="CA11" s="440"/>
      <c r="CB11" s="440"/>
      <c r="CC11" s="440"/>
      <c r="CD11" s="440"/>
      <c r="CE11" s="440"/>
      <c r="CF11" s="440"/>
      <c r="CG11" s="440"/>
      <c r="CH11" s="440"/>
      <c r="CI11" s="440"/>
      <c r="CJ11" s="440"/>
      <c r="CK11" s="440"/>
      <c r="CL11" s="440"/>
      <c r="CM11" s="440"/>
      <c r="CN11" s="440"/>
      <c r="CO11" s="440"/>
      <c r="CP11" s="441">
        <v>6</v>
      </c>
      <c r="CQ11" s="441"/>
      <c r="CR11" s="441"/>
      <c r="CS11" s="441"/>
      <c r="CT11" s="441"/>
      <c r="CU11" s="441">
        <v>1</v>
      </c>
      <c r="CV11" s="440"/>
      <c r="CW11" s="440"/>
      <c r="CX11" s="441"/>
      <c r="CY11" s="440"/>
      <c r="CZ11" s="440"/>
      <c r="DA11" s="440"/>
      <c r="DB11" s="440"/>
      <c r="DC11" s="440"/>
      <c r="DD11" s="444"/>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5"/>
      <c r="ED11" s="446"/>
      <c r="EE11" s="447"/>
      <c r="EF11" s="448"/>
      <c r="EG11" s="449"/>
      <c r="EH11" s="448"/>
      <c r="EI11" s="449"/>
      <c r="EJ11" s="448"/>
      <c r="EK11" s="448"/>
      <c r="EL11" s="448"/>
      <c r="EM11" s="448"/>
      <c r="EN11" s="448"/>
      <c r="EO11" s="448"/>
      <c r="EP11" s="448"/>
      <c r="EQ11" s="448"/>
      <c r="ER11" s="448"/>
      <c r="ES11" s="448"/>
      <c r="ET11" s="447"/>
      <c r="EU11" s="450"/>
      <c r="EV11" s="451"/>
      <c r="EW11" s="452"/>
    </row>
    <row r="12" spans="1:153" ht="18.899999999999999" customHeight="1">
      <c r="A12" s="436" t="s">
        <v>951</v>
      </c>
      <c r="B12" s="437">
        <v>50</v>
      </c>
      <c r="C12" s="438">
        <f t="shared" si="0"/>
        <v>200</v>
      </c>
      <c r="D12" s="438"/>
      <c r="E12" s="438"/>
      <c r="F12" s="439"/>
      <c r="G12" s="440"/>
      <c r="H12" s="440" t="s">
        <v>2019</v>
      </c>
      <c r="I12" s="440"/>
      <c r="J12" s="437">
        <v>1</v>
      </c>
      <c r="K12" s="440"/>
      <c r="L12" s="440"/>
      <c r="M12" s="440"/>
      <c r="N12" s="440"/>
      <c r="O12" s="440"/>
      <c r="P12" s="440"/>
      <c r="Q12" s="440"/>
      <c r="R12" s="440"/>
      <c r="S12" s="440"/>
      <c r="T12" s="440"/>
      <c r="U12" s="444">
        <v>1</v>
      </c>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1"/>
      <c r="AU12" s="440"/>
      <c r="AV12" s="440"/>
      <c r="AW12" s="440"/>
      <c r="AX12" s="440"/>
      <c r="AY12" s="440"/>
      <c r="AZ12" s="440"/>
      <c r="BA12" s="440"/>
      <c r="BB12" s="440"/>
      <c r="BC12" s="442"/>
      <c r="BD12" s="440"/>
      <c r="BE12" s="440"/>
      <c r="BF12" s="440"/>
      <c r="BG12" s="440"/>
      <c r="BH12" s="440"/>
      <c r="BI12" s="440"/>
      <c r="BJ12" s="440"/>
      <c r="BK12" s="440"/>
      <c r="BL12" s="440"/>
      <c r="BM12" s="440"/>
      <c r="BN12" s="440"/>
      <c r="BO12" s="440">
        <v>1</v>
      </c>
      <c r="BP12" s="440"/>
      <c r="BQ12" s="440"/>
      <c r="BR12" s="440"/>
      <c r="BS12" s="443">
        <v>2</v>
      </c>
      <c r="BT12" s="443"/>
      <c r="BU12" s="440"/>
      <c r="BV12" s="443"/>
      <c r="BW12" s="440"/>
      <c r="BX12" s="440"/>
      <c r="BY12" s="440"/>
      <c r="BZ12" s="440"/>
      <c r="CA12" s="440"/>
      <c r="CB12" s="440"/>
      <c r="CC12" s="440"/>
      <c r="CD12" s="440"/>
      <c r="CE12" s="440"/>
      <c r="CF12" s="440"/>
      <c r="CG12" s="440"/>
      <c r="CH12" s="440"/>
      <c r="CI12" s="440"/>
      <c r="CJ12" s="440"/>
      <c r="CK12" s="440"/>
      <c r="CL12" s="440"/>
      <c r="CM12" s="440"/>
      <c r="CN12" s="440"/>
      <c r="CO12" s="440"/>
      <c r="CP12" s="441">
        <v>6</v>
      </c>
      <c r="CQ12" s="441"/>
      <c r="CR12" s="441"/>
      <c r="CS12" s="441"/>
      <c r="CT12" s="441"/>
      <c r="CU12" s="441">
        <v>1</v>
      </c>
      <c r="CV12" s="440"/>
      <c r="CW12" s="440"/>
      <c r="CX12" s="441"/>
      <c r="CY12" s="440"/>
      <c r="CZ12" s="440"/>
      <c r="DA12" s="440"/>
      <c r="DB12" s="440"/>
      <c r="DC12" s="440"/>
      <c r="DD12" s="444"/>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5"/>
      <c r="ED12" s="446"/>
      <c r="EE12" s="447"/>
      <c r="EF12" s="448"/>
      <c r="EG12" s="449"/>
      <c r="EH12" s="448"/>
      <c r="EI12" s="449"/>
      <c r="EJ12" s="448"/>
      <c r="EK12" s="448"/>
      <c r="EL12" s="448"/>
      <c r="EM12" s="448"/>
      <c r="EN12" s="448"/>
      <c r="EO12" s="448"/>
      <c r="EP12" s="448"/>
      <c r="EQ12" s="448"/>
      <c r="ER12" s="448"/>
      <c r="ES12" s="448"/>
      <c r="ET12" s="447"/>
      <c r="EU12" s="450"/>
      <c r="EV12" s="451"/>
      <c r="EW12" s="452"/>
    </row>
    <row r="13" spans="1:153" ht="18.899999999999999" customHeight="1">
      <c r="A13" s="436" t="s">
        <v>952</v>
      </c>
      <c r="B13" s="437">
        <v>50</v>
      </c>
      <c r="C13" s="438">
        <f t="shared" si="0"/>
        <v>250</v>
      </c>
      <c r="D13" s="438"/>
      <c r="E13" s="438"/>
      <c r="F13" s="439"/>
      <c r="G13" s="440"/>
      <c r="H13" s="440" t="s">
        <v>2019</v>
      </c>
      <c r="I13" s="440"/>
      <c r="J13" s="437">
        <v>1</v>
      </c>
      <c r="K13" s="440"/>
      <c r="L13" s="440"/>
      <c r="M13" s="440"/>
      <c r="N13" s="440"/>
      <c r="O13" s="440"/>
      <c r="P13" s="440"/>
      <c r="Q13" s="440"/>
      <c r="R13" s="440"/>
      <c r="S13" s="440"/>
      <c r="T13" s="440"/>
      <c r="U13" s="444">
        <v>1</v>
      </c>
      <c r="V13" s="440"/>
      <c r="W13" s="440"/>
      <c r="X13" s="440"/>
      <c r="Y13" s="440"/>
      <c r="Z13" s="440"/>
      <c r="AA13" s="440"/>
      <c r="AB13" s="440"/>
      <c r="AC13" s="440"/>
      <c r="AD13" s="440"/>
      <c r="AE13" s="440"/>
      <c r="AF13" s="440"/>
      <c r="AG13" s="440"/>
      <c r="AH13" s="440"/>
      <c r="AI13" s="440"/>
      <c r="AJ13" s="440"/>
      <c r="AK13" s="440"/>
      <c r="AL13" s="440"/>
      <c r="AM13" s="440"/>
      <c r="AN13" s="440"/>
      <c r="AO13" s="440"/>
      <c r="AP13" s="440"/>
      <c r="AQ13" s="440"/>
      <c r="AR13" s="440"/>
      <c r="AS13" s="440"/>
      <c r="AT13" s="441"/>
      <c r="AU13" s="440"/>
      <c r="AV13" s="440"/>
      <c r="AW13" s="440"/>
      <c r="AX13" s="440"/>
      <c r="AY13" s="440"/>
      <c r="AZ13" s="440"/>
      <c r="BA13" s="440"/>
      <c r="BB13" s="440"/>
      <c r="BC13" s="442"/>
      <c r="BD13" s="440"/>
      <c r="BE13" s="440"/>
      <c r="BF13" s="440"/>
      <c r="BG13" s="440"/>
      <c r="BH13" s="440"/>
      <c r="BI13" s="440"/>
      <c r="BJ13" s="440"/>
      <c r="BK13" s="440"/>
      <c r="BL13" s="440"/>
      <c r="BM13" s="440"/>
      <c r="BN13" s="440"/>
      <c r="BO13" s="440"/>
      <c r="BP13" s="440"/>
      <c r="BQ13" s="440"/>
      <c r="BR13" s="440"/>
      <c r="BS13" s="443">
        <v>2</v>
      </c>
      <c r="BT13" s="443"/>
      <c r="BU13" s="440"/>
      <c r="BV13" s="443"/>
      <c r="BW13" s="440"/>
      <c r="BX13" s="440"/>
      <c r="BY13" s="440"/>
      <c r="BZ13" s="440"/>
      <c r="CA13" s="440"/>
      <c r="CB13" s="440"/>
      <c r="CC13" s="440"/>
      <c r="CD13" s="440"/>
      <c r="CE13" s="440"/>
      <c r="CF13" s="440"/>
      <c r="CG13" s="440"/>
      <c r="CH13" s="440"/>
      <c r="CI13" s="440"/>
      <c r="CJ13" s="440"/>
      <c r="CK13" s="440"/>
      <c r="CL13" s="440"/>
      <c r="CM13" s="440"/>
      <c r="CN13" s="440"/>
      <c r="CO13" s="440"/>
      <c r="CP13" s="441">
        <v>6</v>
      </c>
      <c r="CQ13" s="441"/>
      <c r="CR13" s="441"/>
      <c r="CS13" s="441"/>
      <c r="CT13" s="441"/>
      <c r="CU13" s="441">
        <v>1</v>
      </c>
      <c r="CV13" s="440"/>
      <c r="CW13" s="440"/>
      <c r="CX13" s="441"/>
      <c r="CY13" s="440"/>
      <c r="CZ13" s="440"/>
      <c r="DA13" s="440"/>
      <c r="DB13" s="440"/>
      <c r="DC13" s="440"/>
      <c r="DD13" s="444"/>
      <c r="DE13" s="440"/>
      <c r="DF13" s="440"/>
      <c r="DG13" s="440"/>
      <c r="DH13" s="440"/>
      <c r="DI13" s="440"/>
      <c r="DJ13" s="440"/>
      <c r="DK13" s="440"/>
      <c r="DL13" s="440"/>
      <c r="DM13" s="440"/>
      <c r="DN13" s="440"/>
      <c r="DO13" s="440"/>
      <c r="DP13" s="440"/>
      <c r="DQ13" s="440"/>
      <c r="DR13" s="440"/>
      <c r="DS13" s="440"/>
      <c r="DT13" s="440"/>
      <c r="DU13" s="440"/>
      <c r="DV13" s="440"/>
      <c r="DW13" s="440"/>
      <c r="DX13" s="440"/>
      <c r="DY13" s="440"/>
      <c r="DZ13" s="440"/>
      <c r="EA13" s="440"/>
      <c r="EB13" s="440"/>
      <c r="EC13" s="445"/>
      <c r="ED13" s="446"/>
      <c r="EE13" s="447"/>
      <c r="EF13" s="448"/>
      <c r="EG13" s="449"/>
      <c r="EH13" s="448"/>
      <c r="EI13" s="449"/>
      <c r="EJ13" s="448"/>
      <c r="EK13" s="448"/>
      <c r="EL13" s="448"/>
      <c r="EM13" s="448"/>
      <c r="EN13" s="448"/>
      <c r="EO13" s="448"/>
      <c r="EP13" s="448"/>
      <c r="EQ13" s="448"/>
      <c r="ER13" s="448"/>
      <c r="ES13" s="448"/>
      <c r="ET13" s="447"/>
      <c r="EU13" s="450"/>
      <c r="EV13" s="451"/>
      <c r="EW13" s="452"/>
    </row>
    <row r="14" spans="1:153" ht="18.899999999999999" customHeight="1">
      <c r="A14" s="436" t="s">
        <v>2029</v>
      </c>
      <c r="B14" s="437">
        <v>50</v>
      </c>
      <c r="C14" s="438">
        <f t="shared" si="0"/>
        <v>300</v>
      </c>
      <c r="D14" s="438"/>
      <c r="E14" s="438"/>
      <c r="F14" s="439"/>
      <c r="G14" s="440"/>
      <c r="H14" s="440" t="s">
        <v>2019</v>
      </c>
      <c r="I14" s="440"/>
      <c r="J14" s="437">
        <v>1</v>
      </c>
      <c r="K14" s="440"/>
      <c r="L14" s="440"/>
      <c r="M14" s="440"/>
      <c r="N14" s="440"/>
      <c r="O14" s="440"/>
      <c r="P14" s="440"/>
      <c r="Q14" s="440"/>
      <c r="R14" s="440"/>
      <c r="S14" s="440"/>
      <c r="T14" s="440"/>
      <c r="U14" s="444">
        <v>1</v>
      </c>
      <c r="V14" s="440"/>
      <c r="W14" s="440"/>
      <c r="X14" s="440"/>
      <c r="Y14" s="440"/>
      <c r="Z14" s="440"/>
      <c r="AA14" s="440"/>
      <c r="AB14" s="440"/>
      <c r="AC14" s="440"/>
      <c r="AD14" s="440"/>
      <c r="AE14" s="440"/>
      <c r="AF14" s="440"/>
      <c r="AG14" s="440"/>
      <c r="AH14" s="440"/>
      <c r="AI14" s="440"/>
      <c r="AJ14" s="440"/>
      <c r="AK14" s="440"/>
      <c r="AL14" s="440"/>
      <c r="AM14" s="440"/>
      <c r="AN14" s="440"/>
      <c r="AO14" s="440"/>
      <c r="AP14" s="440"/>
      <c r="AQ14" s="440"/>
      <c r="AR14" s="440"/>
      <c r="AS14" s="440"/>
      <c r="AT14" s="441"/>
      <c r="AU14" s="440"/>
      <c r="AV14" s="440"/>
      <c r="AW14" s="440"/>
      <c r="AX14" s="440"/>
      <c r="AY14" s="440"/>
      <c r="AZ14" s="440"/>
      <c r="BA14" s="440"/>
      <c r="BB14" s="440"/>
      <c r="BC14" s="442"/>
      <c r="BD14" s="440"/>
      <c r="BE14" s="440"/>
      <c r="BF14" s="440"/>
      <c r="BG14" s="440"/>
      <c r="BH14" s="440"/>
      <c r="BI14" s="440"/>
      <c r="BJ14" s="440"/>
      <c r="BK14" s="440"/>
      <c r="BL14" s="440"/>
      <c r="BM14" s="440"/>
      <c r="BN14" s="440"/>
      <c r="BO14" s="440"/>
      <c r="BP14" s="440"/>
      <c r="BQ14" s="440"/>
      <c r="BR14" s="440"/>
      <c r="BS14" s="443">
        <v>2</v>
      </c>
      <c r="BT14" s="443"/>
      <c r="BU14" s="440"/>
      <c r="BV14" s="443"/>
      <c r="BW14" s="440"/>
      <c r="BX14" s="440"/>
      <c r="BY14" s="440"/>
      <c r="BZ14" s="440"/>
      <c r="CA14" s="440"/>
      <c r="CB14" s="440"/>
      <c r="CC14" s="440"/>
      <c r="CD14" s="440"/>
      <c r="CE14" s="440"/>
      <c r="CF14" s="440"/>
      <c r="CG14" s="440"/>
      <c r="CH14" s="440"/>
      <c r="CI14" s="440"/>
      <c r="CJ14" s="440"/>
      <c r="CK14" s="440"/>
      <c r="CL14" s="440"/>
      <c r="CM14" s="440"/>
      <c r="CN14" s="440"/>
      <c r="CO14" s="440"/>
      <c r="CP14" s="441">
        <v>6</v>
      </c>
      <c r="CQ14" s="441"/>
      <c r="CR14" s="441"/>
      <c r="CS14" s="441"/>
      <c r="CT14" s="441"/>
      <c r="CU14" s="441">
        <v>1</v>
      </c>
      <c r="CV14" s="440"/>
      <c r="CW14" s="440"/>
      <c r="CX14" s="441"/>
      <c r="CY14" s="440"/>
      <c r="CZ14" s="440"/>
      <c r="DA14" s="440"/>
      <c r="DB14" s="440"/>
      <c r="DC14" s="440"/>
      <c r="DD14" s="444"/>
      <c r="DE14" s="440"/>
      <c r="DF14" s="440"/>
      <c r="DG14" s="440"/>
      <c r="DH14" s="440"/>
      <c r="DI14" s="440"/>
      <c r="DJ14" s="440"/>
      <c r="DK14" s="440"/>
      <c r="DL14" s="440"/>
      <c r="DM14" s="440"/>
      <c r="DN14" s="440"/>
      <c r="DO14" s="440"/>
      <c r="DP14" s="440"/>
      <c r="DQ14" s="440"/>
      <c r="DR14" s="440"/>
      <c r="DS14" s="440"/>
      <c r="DT14" s="440"/>
      <c r="DU14" s="440"/>
      <c r="DV14" s="440"/>
      <c r="DW14" s="440"/>
      <c r="DX14" s="440"/>
      <c r="DY14" s="440"/>
      <c r="DZ14" s="440"/>
      <c r="EA14" s="440"/>
      <c r="EB14" s="440"/>
      <c r="EC14" s="445"/>
      <c r="ED14" s="446"/>
      <c r="EE14" s="447"/>
      <c r="EF14" s="448"/>
      <c r="EG14" s="449"/>
      <c r="EH14" s="448"/>
      <c r="EI14" s="449"/>
      <c r="EJ14" s="448"/>
      <c r="EK14" s="448"/>
      <c r="EL14" s="448"/>
      <c r="EM14" s="448"/>
      <c r="EN14" s="448"/>
      <c r="EO14" s="448"/>
      <c r="EP14" s="448"/>
      <c r="EQ14" s="448"/>
      <c r="ER14" s="448"/>
      <c r="ES14" s="448"/>
      <c r="ET14" s="447"/>
      <c r="EU14" s="450"/>
      <c r="EV14" s="451"/>
      <c r="EW14" s="452"/>
    </row>
    <row r="15" spans="1:153" ht="18.899999999999999" customHeight="1">
      <c r="A15" s="436" t="s">
        <v>2030</v>
      </c>
      <c r="B15" s="437">
        <v>50</v>
      </c>
      <c r="C15" s="438">
        <f t="shared" si="0"/>
        <v>350</v>
      </c>
      <c r="D15" s="438"/>
      <c r="E15" s="438"/>
      <c r="F15" s="439"/>
      <c r="G15" s="440"/>
      <c r="H15" s="440" t="s">
        <v>2019</v>
      </c>
      <c r="I15" s="440"/>
      <c r="J15" s="437">
        <v>1</v>
      </c>
      <c r="K15" s="440"/>
      <c r="L15" s="440"/>
      <c r="M15" s="440"/>
      <c r="N15" s="440"/>
      <c r="O15" s="440"/>
      <c r="P15" s="440"/>
      <c r="Q15" s="440"/>
      <c r="R15" s="440"/>
      <c r="S15" s="440"/>
      <c r="T15" s="440"/>
      <c r="U15" s="444">
        <v>1</v>
      </c>
      <c r="V15" s="440"/>
      <c r="W15" s="440"/>
      <c r="X15" s="440"/>
      <c r="Y15" s="440"/>
      <c r="Z15" s="440"/>
      <c r="AA15" s="440"/>
      <c r="AB15" s="440"/>
      <c r="AC15" s="440"/>
      <c r="AD15" s="440"/>
      <c r="AE15" s="440"/>
      <c r="AF15" s="440"/>
      <c r="AG15" s="440"/>
      <c r="AH15" s="440"/>
      <c r="AI15" s="440"/>
      <c r="AJ15" s="440"/>
      <c r="AK15" s="440"/>
      <c r="AL15" s="440"/>
      <c r="AM15" s="440"/>
      <c r="AN15" s="440"/>
      <c r="AO15" s="440"/>
      <c r="AP15" s="440"/>
      <c r="AQ15" s="440"/>
      <c r="AR15" s="440"/>
      <c r="AS15" s="440"/>
      <c r="AT15" s="441"/>
      <c r="AU15" s="440"/>
      <c r="AV15" s="440"/>
      <c r="AW15" s="440"/>
      <c r="AX15" s="440"/>
      <c r="AY15" s="440"/>
      <c r="AZ15" s="440"/>
      <c r="BA15" s="440"/>
      <c r="BB15" s="440"/>
      <c r="BC15" s="442"/>
      <c r="BD15" s="440"/>
      <c r="BE15" s="440"/>
      <c r="BF15" s="440"/>
      <c r="BG15" s="440"/>
      <c r="BH15" s="440"/>
      <c r="BI15" s="440"/>
      <c r="BJ15" s="440"/>
      <c r="BK15" s="440"/>
      <c r="BL15" s="440"/>
      <c r="BM15" s="440"/>
      <c r="BN15" s="440"/>
      <c r="BO15" s="440"/>
      <c r="BP15" s="440"/>
      <c r="BQ15" s="440"/>
      <c r="BR15" s="440"/>
      <c r="BS15" s="443">
        <v>2</v>
      </c>
      <c r="BT15" s="443"/>
      <c r="BU15" s="440"/>
      <c r="BV15" s="443"/>
      <c r="BW15" s="440"/>
      <c r="BX15" s="440"/>
      <c r="BY15" s="440"/>
      <c r="BZ15" s="440"/>
      <c r="CA15" s="440"/>
      <c r="CB15" s="440"/>
      <c r="CC15" s="440"/>
      <c r="CD15" s="440"/>
      <c r="CE15" s="440"/>
      <c r="CF15" s="440"/>
      <c r="CG15" s="440"/>
      <c r="CH15" s="440"/>
      <c r="CI15" s="440"/>
      <c r="CJ15" s="440"/>
      <c r="CK15" s="440"/>
      <c r="CL15" s="440"/>
      <c r="CM15" s="440"/>
      <c r="CN15" s="440"/>
      <c r="CO15" s="440"/>
      <c r="CP15" s="441">
        <v>6</v>
      </c>
      <c r="CQ15" s="441"/>
      <c r="CR15" s="441"/>
      <c r="CS15" s="441"/>
      <c r="CT15" s="441"/>
      <c r="CU15" s="441">
        <v>1</v>
      </c>
      <c r="CV15" s="440"/>
      <c r="CW15" s="440"/>
      <c r="CX15" s="441"/>
      <c r="CY15" s="440"/>
      <c r="CZ15" s="440"/>
      <c r="DA15" s="440"/>
      <c r="DB15" s="440"/>
      <c r="DC15" s="440"/>
      <c r="DD15" s="444"/>
      <c r="DE15" s="440"/>
      <c r="DF15" s="440"/>
      <c r="DG15" s="440"/>
      <c r="DH15" s="440"/>
      <c r="DI15" s="440"/>
      <c r="DJ15" s="440"/>
      <c r="DK15" s="440"/>
      <c r="DL15" s="440"/>
      <c r="DM15" s="440"/>
      <c r="DN15" s="440"/>
      <c r="DO15" s="440"/>
      <c r="DP15" s="440"/>
      <c r="DQ15" s="440"/>
      <c r="DR15" s="440"/>
      <c r="DS15" s="440"/>
      <c r="DT15" s="440"/>
      <c r="DU15" s="440"/>
      <c r="DV15" s="440"/>
      <c r="DW15" s="440"/>
      <c r="DX15" s="440"/>
      <c r="DY15" s="440"/>
      <c r="DZ15" s="440"/>
      <c r="EA15" s="440"/>
      <c r="EB15" s="440"/>
      <c r="EC15" s="445"/>
      <c r="ED15" s="446"/>
      <c r="EE15" s="447"/>
      <c r="EF15" s="448"/>
      <c r="EG15" s="449"/>
      <c r="EH15" s="448"/>
      <c r="EI15" s="449"/>
      <c r="EJ15" s="448"/>
      <c r="EK15" s="448"/>
      <c r="EL15" s="448"/>
      <c r="EM15" s="448"/>
      <c r="EN15" s="448"/>
      <c r="EO15" s="448"/>
      <c r="EP15" s="448"/>
      <c r="EQ15" s="448"/>
      <c r="ER15" s="448"/>
      <c r="ES15" s="448"/>
      <c r="ET15" s="447"/>
      <c r="EU15" s="450"/>
      <c r="EV15" s="451"/>
      <c r="EW15" s="452"/>
    </row>
    <row r="16" spans="1:153" ht="13.8">
      <c r="A16" s="436" t="s">
        <v>2031</v>
      </c>
      <c r="B16" s="437">
        <v>50</v>
      </c>
      <c r="C16" s="438">
        <f t="shared" si="0"/>
        <v>400</v>
      </c>
      <c r="D16" s="438"/>
      <c r="E16" s="438"/>
      <c r="F16" s="439"/>
      <c r="G16" s="440"/>
      <c r="H16" s="440" t="s">
        <v>2019</v>
      </c>
      <c r="I16" s="440"/>
      <c r="J16" s="437">
        <v>1</v>
      </c>
      <c r="K16" s="440"/>
      <c r="L16" s="440"/>
      <c r="M16" s="440"/>
      <c r="N16" s="440"/>
      <c r="O16" s="440"/>
      <c r="P16" s="440"/>
      <c r="Q16" s="440"/>
      <c r="R16" s="440"/>
      <c r="S16" s="440"/>
      <c r="T16" s="440"/>
      <c r="U16" s="444">
        <v>1</v>
      </c>
      <c r="V16" s="440"/>
      <c r="W16" s="440"/>
      <c r="X16" s="440"/>
      <c r="Y16" s="440"/>
      <c r="Z16" s="440"/>
      <c r="AA16" s="440"/>
      <c r="AB16" s="440"/>
      <c r="AC16" s="440"/>
      <c r="AD16" s="440"/>
      <c r="AE16" s="440"/>
      <c r="AF16" s="440"/>
      <c r="AG16" s="440"/>
      <c r="AH16" s="440"/>
      <c r="AI16" s="440"/>
      <c r="AJ16" s="440"/>
      <c r="AK16" s="440"/>
      <c r="AL16" s="440"/>
      <c r="AM16" s="440"/>
      <c r="AN16" s="440"/>
      <c r="AO16" s="440"/>
      <c r="AP16" s="440"/>
      <c r="AQ16" s="440"/>
      <c r="AR16" s="440"/>
      <c r="AS16" s="440"/>
      <c r="AT16" s="441"/>
      <c r="AU16" s="440"/>
      <c r="AV16" s="440"/>
      <c r="AW16" s="440"/>
      <c r="AX16" s="440"/>
      <c r="AY16" s="440"/>
      <c r="AZ16" s="440"/>
      <c r="BA16" s="440"/>
      <c r="BB16" s="440"/>
      <c r="BC16" s="442"/>
      <c r="BD16" s="440"/>
      <c r="BE16" s="440"/>
      <c r="BF16" s="440"/>
      <c r="BG16" s="440"/>
      <c r="BH16" s="440"/>
      <c r="BI16" s="440"/>
      <c r="BJ16" s="440"/>
      <c r="BK16" s="440"/>
      <c r="BL16" s="440"/>
      <c r="BM16" s="440"/>
      <c r="BN16" s="440"/>
      <c r="BO16" s="440">
        <v>1</v>
      </c>
      <c r="BP16" s="440"/>
      <c r="BQ16" s="440"/>
      <c r="BR16" s="440"/>
      <c r="BS16" s="443">
        <v>2</v>
      </c>
      <c r="BT16" s="443"/>
      <c r="BU16" s="440"/>
      <c r="BV16" s="443"/>
      <c r="BW16" s="440"/>
      <c r="BX16" s="440"/>
      <c r="BY16" s="440"/>
      <c r="BZ16" s="440"/>
      <c r="CA16" s="440"/>
      <c r="CB16" s="440"/>
      <c r="CC16" s="440"/>
      <c r="CD16" s="440"/>
      <c r="CE16" s="440"/>
      <c r="CF16" s="440"/>
      <c r="CG16" s="440"/>
      <c r="CH16" s="440"/>
      <c r="CI16" s="440"/>
      <c r="CJ16" s="440"/>
      <c r="CK16" s="440"/>
      <c r="CL16" s="440"/>
      <c r="CM16" s="440"/>
      <c r="CN16" s="440"/>
      <c r="CO16" s="440"/>
      <c r="CP16" s="441">
        <v>6</v>
      </c>
      <c r="CQ16" s="441"/>
      <c r="CR16" s="441"/>
      <c r="CS16" s="441"/>
      <c r="CT16" s="441"/>
      <c r="CU16" s="441">
        <v>1</v>
      </c>
      <c r="CV16" s="440"/>
      <c r="CW16" s="440"/>
      <c r="CX16" s="441"/>
      <c r="CY16" s="440"/>
      <c r="CZ16" s="440"/>
      <c r="DA16" s="440"/>
      <c r="DB16" s="440"/>
      <c r="DC16" s="440"/>
      <c r="DD16" s="444"/>
      <c r="DE16" s="440"/>
      <c r="DF16" s="440"/>
      <c r="DG16" s="440"/>
      <c r="DH16" s="440"/>
      <c r="DI16" s="440"/>
      <c r="DJ16" s="440"/>
      <c r="DK16" s="440"/>
      <c r="DL16" s="440"/>
      <c r="DM16" s="440"/>
      <c r="DN16" s="440"/>
      <c r="DO16" s="440"/>
      <c r="DP16" s="440"/>
      <c r="DQ16" s="440"/>
      <c r="DR16" s="440"/>
      <c r="DS16" s="440"/>
      <c r="DT16" s="440"/>
      <c r="DU16" s="440"/>
      <c r="DV16" s="440"/>
      <c r="DW16" s="440"/>
      <c r="DX16" s="440"/>
      <c r="DY16" s="440"/>
      <c r="DZ16" s="440"/>
      <c r="EA16" s="440"/>
      <c r="EB16" s="440"/>
      <c r="EC16" s="445"/>
      <c r="ED16" s="446"/>
      <c r="EE16" s="448"/>
      <c r="EF16" s="448"/>
      <c r="EG16" s="448"/>
      <c r="EH16" s="448"/>
      <c r="EI16" s="448"/>
      <c r="EJ16" s="448"/>
      <c r="EK16" s="448"/>
      <c r="EL16" s="448"/>
      <c r="EM16" s="448"/>
      <c r="EN16" s="448"/>
      <c r="EO16" s="448"/>
      <c r="EP16" s="448"/>
      <c r="EQ16" s="448"/>
      <c r="ER16" s="448"/>
      <c r="ES16" s="448"/>
      <c r="ET16" s="447"/>
      <c r="EU16" s="450"/>
      <c r="EV16" s="451"/>
      <c r="EW16" s="452"/>
    </row>
    <row r="17" spans="1:153" ht="18.899999999999999" customHeight="1">
      <c r="A17" s="453" t="s">
        <v>2032</v>
      </c>
      <c r="B17" s="437">
        <v>50</v>
      </c>
      <c r="C17" s="438">
        <f t="shared" si="0"/>
        <v>450</v>
      </c>
      <c r="D17" s="438"/>
      <c r="E17" s="438"/>
      <c r="F17" s="439"/>
      <c r="G17" s="440"/>
      <c r="H17" s="440" t="s">
        <v>281</v>
      </c>
      <c r="I17" s="440"/>
      <c r="J17" s="437">
        <v>2</v>
      </c>
      <c r="K17" s="440"/>
      <c r="L17" s="440"/>
      <c r="M17" s="440"/>
      <c r="N17" s="440"/>
      <c r="O17" s="440"/>
      <c r="P17" s="440"/>
      <c r="Q17" s="440"/>
      <c r="R17" s="440"/>
      <c r="S17" s="440"/>
      <c r="T17" s="440"/>
      <c r="U17" s="444">
        <v>2</v>
      </c>
      <c r="V17" s="440"/>
      <c r="W17" s="440"/>
      <c r="X17" s="440"/>
      <c r="Y17" s="440"/>
      <c r="Z17" s="440"/>
      <c r="AA17" s="440"/>
      <c r="AB17" s="440"/>
      <c r="AC17" s="440"/>
      <c r="AD17" s="440"/>
      <c r="AE17" s="440"/>
      <c r="AF17" s="440"/>
      <c r="AG17" s="440"/>
      <c r="AH17" s="440"/>
      <c r="AI17" s="440"/>
      <c r="AJ17" s="440"/>
      <c r="AK17" s="440"/>
      <c r="AL17" s="440"/>
      <c r="AM17" s="440"/>
      <c r="AN17" s="440"/>
      <c r="AO17" s="440"/>
      <c r="AP17" s="440"/>
      <c r="AQ17" s="440"/>
      <c r="AR17" s="440"/>
      <c r="AS17" s="440"/>
      <c r="AT17" s="441">
        <v>4</v>
      </c>
      <c r="AU17" s="440"/>
      <c r="AV17" s="440"/>
      <c r="AW17" s="440"/>
      <c r="AX17" s="440"/>
      <c r="AY17" s="440"/>
      <c r="AZ17" s="440"/>
      <c r="BA17" s="440"/>
      <c r="BB17" s="440"/>
      <c r="BC17" s="442">
        <v>4</v>
      </c>
      <c r="BD17" s="440"/>
      <c r="BE17" s="440"/>
      <c r="BF17" s="440"/>
      <c r="BG17" s="440"/>
      <c r="BH17" s="440"/>
      <c r="BI17" s="440"/>
      <c r="BJ17" s="440"/>
      <c r="BK17" s="440"/>
      <c r="BL17" s="440"/>
      <c r="BM17" s="440"/>
      <c r="BN17" s="440"/>
      <c r="BO17" s="440"/>
      <c r="BP17" s="440"/>
      <c r="BQ17" s="440"/>
      <c r="BR17" s="440"/>
      <c r="BS17" s="443"/>
      <c r="BT17" s="443"/>
      <c r="BU17" s="440"/>
      <c r="BV17" s="443"/>
      <c r="BW17" s="440"/>
      <c r="BX17" s="440"/>
      <c r="BY17" s="440"/>
      <c r="BZ17" s="440"/>
      <c r="CA17" s="440"/>
      <c r="CB17" s="440"/>
      <c r="CC17" s="440"/>
      <c r="CD17" s="440"/>
      <c r="CE17" s="440">
        <v>2</v>
      </c>
      <c r="CF17" s="440"/>
      <c r="CG17" s="440"/>
      <c r="CH17" s="440"/>
      <c r="CI17" s="440"/>
      <c r="CJ17" s="440"/>
      <c r="CK17" s="440">
        <v>1</v>
      </c>
      <c r="CL17" s="440"/>
      <c r="CM17" s="440"/>
      <c r="CN17" s="440"/>
      <c r="CO17" s="440"/>
      <c r="CP17" s="441">
        <v>12</v>
      </c>
      <c r="CQ17" s="441">
        <v>12</v>
      </c>
      <c r="CR17" s="441"/>
      <c r="CS17" s="441">
        <v>2</v>
      </c>
      <c r="CT17" s="441">
        <v>12</v>
      </c>
      <c r="CU17" s="441"/>
      <c r="CV17" s="440"/>
      <c r="CW17" s="440"/>
      <c r="CX17" s="441">
        <v>2</v>
      </c>
      <c r="CY17" s="440"/>
      <c r="CZ17" s="440"/>
      <c r="DA17" s="440"/>
      <c r="DB17" s="440">
        <v>2</v>
      </c>
      <c r="DC17" s="440"/>
      <c r="DD17" s="444">
        <v>12</v>
      </c>
      <c r="DE17" s="440"/>
      <c r="DF17" s="440"/>
      <c r="DG17" s="440"/>
      <c r="DH17" s="440"/>
      <c r="DI17" s="440"/>
      <c r="DJ17" s="440"/>
      <c r="DK17" s="440"/>
      <c r="DL17" s="440"/>
      <c r="DM17" s="440"/>
      <c r="DN17" s="440"/>
      <c r="DO17" s="440"/>
      <c r="DP17" s="440"/>
      <c r="DQ17" s="440"/>
      <c r="DR17" s="440"/>
      <c r="DS17" s="440"/>
      <c r="DT17" s="440"/>
      <c r="DU17" s="440"/>
      <c r="DV17" s="440"/>
      <c r="DW17" s="440"/>
      <c r="DX17" s="440"/>
      <c r="DY17" s="440"/>
      <c r="DZ17" s="440"/>
      <c r="EA17" s="440"/>
      <c r="EB17" s="440"/>
      <c r="EC17" s="445"/>
      <c r="ED17" s="454"/>
      <c r="EE17" s="449"/>
      <c r="EF17" s="449"/>
      <c r="EG17" s="449"/>
      <c r="EH17" s="449"/>
      <c r="EI17" s="449"/>
      <c r="EJ17" s="449"/>
      <c r="EK17" s="449"/>
      <c r="EL17" s="449"/>
      <c r="EM17" s="449"/>
      <c r="EN17" s="449"/>
      <c r="EO17" s="449"/>
      <c r="EP17" s="449"/>
      <c r="EQ17" s="449"/>
      <c r="ER17" s="449"/>
      <c r="ES17" s="449"/>
      <c r="ET17" s="455"/>
      <c r="EU17" s="456"/>
      <c r="EV17" s="457"/>
      <c r="EW17" s="452"/>
    </row>
    <row r="18" spans="1:153" ht="18.899999999999999" customHeight="1">
      <c r="A18" s="453" t="s">
        <v>2033</v>
      </c>
      <c r="B18" s="437">
        <v>50</v>
      </c>
      <c r="C18" s="438">
        <f t="shared" si="0"/>
        <v>500</v>
      </c>
      <c r="D18" s="438"/>
      <c r="E18" s="438"/>
      <c r="F18" s="439"/>
      <c r="G18" s="440"/>
      <c r="H18" s="440" t="s">
        <v>2019</v>
      </c>
      <c r="I18" s="440"/>
      <c r="J18" s="437">
        <v>1</v>
      </c>
      <c r="K18" s="440"/>
      <c r="L18" s="440"/>
      <c r="M18" s="440"/>
      <c r="N18" s="440"/>
      <c r="O18" s="440"/>
      <c r="P18" s="440"/>
      <c r="Q18" s="440"/>
      <c r="R18" s="440"/>
      <c r="S18" s="440"/>
      <c r="T18" s="440"/>
      <c r="U18" s="444">
        <v>1</v>
      </c>
      <c r="V18" s="440"/>
      <c r="W18" s="440"/>
      <c r="X18" s="440"/>
      <c r="Y18" s="440"/>
      <c r="Z18" s="440"/>
      <c r="AA18" s="440"/>
      <c r="AB18" s="440"/>
      <c r="AC18" s="440"/>
      <c r="AD18" s="440"/>
      <c r="AE18" s="440"/>
      <c r="AF18" s="440"/>
      <c r="AG18" s="440"/>
      <c r="AH18" s="440"/>
      <c r="AI18" s="440"/>
      <c r="AJ18" s="440"/>
      <c r="AK18" s="440"/>
      <c r="AL18" s="440"/>
      <c r="AM18" s="440"/>
      <c r="AN18" s="440"/>
      <c r="AO18" s="440"/>
      <c r="AP18" s="440"/>
      <c r="AQ18" s="440"/>
      <c r="AR18" s="440"/>
      <c r="AS18" s="440"/>
      <c r="AT18" s="441"/>
      <c r="AU18" s="440"/>
      <c r="AV18" s="440"/>
      <c r="AW18" s="440"/>
      <c r="AX18" s="440"/>
      <c r="AY18" s="440"/>
      <c r="AZ18" s="440"/>
      <c r="BA18" s="440"/>
      <c r="BB18" s="440"/>
      <c r="BC18" s="442"/>
      <c r="BD18" s="440"/>
      <c r="BE18" s="440"/>
      <c r="BF18" s="440"/>
      <c r="BG18" s="440"/>
      <c r="BH18" s="440"/>
      <c r="BI18" s="440"/>
      <c r="BJ18" s="440"/>
      <c r="BK18" s="440"/>
      <c r="BL18" s="440"/>
      <c r="BM18" s="440"/>
      <c r="BN18" s="440"/>
      <c r="BO18" s="440"/>
      <c r="BP18" s="440"/>
      <c r="BQ18" s="440"/>
      <c r="BR18" s="440"/>
      <c r="BS18" s="443">
        <v>2</v>
      </c>
      <c r="BT18" s="443"/>
      <c r="BU18" s="440"/>
      <c r="BV18" s="443"/>
      <c r="BW18" s="440"/>
      <c r="BX18" s="440"/>
      <c r="BY18" s="440"/>
      <c r="BZ18" s="440"/>
      <c r="CA18" s="440"/>
      <c r="CB18" s="440"/>
      <c r="CC18" s="440"/>
      <c r="CD18" s="440"/>
      <c r="CE18" s="440"/>
      <c r="CF18" s="440"/>
      <c r="CG18" s="440"/>
      <c r="CH18" s="440"/>
      <c r="CI18" s="440"/>
      <c r="CJ18" s="440"/>
      <c r="CK18" s="440"/>
      <c r="CL18" s="440"/>
      <c r="CM18" s="440"/>
      <c r="CN18" s="440"/>
      <c r="CO18" s="440"/>
      <c r="CP18" s="441">
        <v>6</v>
      </c>
      <c r="CQ18" s="441"/>
      <c r="CR18" s="441"/>
      <c r="CS18" s="441"/>
      <c r="CT18" s="441"/>
      <c r="CU18" s="441">
        <v>1</v>
      </c>
      <c r="CV18" s="440"/>
      <c r="CW18" s="440"/>
      <c r="CX18" s="441"/>
      <c r="CY18" s="440"/>
      <c r="CZ18" s="440"/>
      <c r="DA18" s="440"/>
      <c r="DB18" s="440"/>
      <c r="DC18" s="440"/>
      <c r="DD18" s="444"/>
      <c r="DE18" s="440"/>
      <c r="DF18" s="440"/>
      <c r="DG18" s="440"/>
      <c r="DH18" s="440"/>
      <c r="DI18" s="440"/>
      <c r="DJ18" s="440"/>
      <c r="DK18" s="440"/>
      <c r="DL18" s="440"/>
      <c r="DM18" s="440"/>
      <c r="DN18" s="440"/>
      <c r="DO18" s="440"/>
      <c r="DP18" s="440"/>
      <c r="DQ18" s="440"/>
      <c r="DR18" s="440"/>
      <c r="DS18" s="440"/>
      <c r="DT18" s="440"/>
      <c r="DU18" s="440"/>
      <c r="DV18" s="440"/>
      <c r="DW18" s="440"/>
      <c r="DX18" s="440"/>
      <c r="DY18" s="440"/>
      <c r="DZ18" s="440"/>
      <c r="EA18" s="440"/>
      <c r="EB18" s="440"/>
      <c r="EC18" s="445"/>
      <c r="ED18" s="454"/>
      <c r="EE18" s="449"/>
      <c r="EF18" s="448"/>
      <c r="EG18" s="448"/>
      <c r="EH18" s="448"/>
      <c r="EI18" s="448"/>
      <c r="EJ18" s="448"/>
      <c r="EK18" s="448"/>
      <c r="EL18" s="448"/>
      <c r="EM18" s="448"/>
      <c r="EN18" s="448"/>
      <c r="EO18" s="448"/>
      <c r="EP18" s="448"/>
      <c r="EQ18" s="448"/>
      <c r="ER18" s="448"/>
      <c r="ES18" s="448"/>
      <c r="ET18" s="447"/>
      <c r="EU18" s="450"/>
      <c r="EV18" s="451"/>
      <c r="EW18" s="452"/>
    </row>
    <row r="19" spans="1:153" ht="18.899999999999999" customHeight="1">
      <c r="A19" s="453" t="s">
        <v>422</v>
      </c>
      <c r="B19" s="437">
        <v>50</v>
      </c>
      <c r="C19" s="438">
        <f t="shared" si="0"/>
        <v>550</v>
      </c>
      <c r="D19" s="438"/>
      <c r="E19" s="438"/>
      <c r="F19" s="439"/>
      <c r="G19" s="440"/>
      <c r="H19" s="440" t="s">
        <v>2019</v>
      </c>
      <c r="I19" s="440"/>
      <c r="J19" s="437">
        <v>1</v>
      </c>
      <c r="K19" s="440"/>
      <c r="L19" s="440"/>
      <c r="M19" s="440"/>
      <c r="N19" s="440"/>
      <c r="O19" s="440"/>
      <c r="P19" s="440"/>
      <c r="Q19" s="440"/>
      <c r="R19" s="440"/>
      <c r="S19" s="440"/>
      <c r="T19" s="440"/>
      <c r="U19" s="444">
        <v>1</v>
      </c>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1"/>
      <c r="AU19" s="440"/>
      <c r="AV19" s="440"/>
      <c r="AW19" s="440"/>
      <c r="AX19" s="440"/>
      <c r="AY19" s="440"/>
      <c r="AZ19" s="440"/>
      <c r="BA19" s="440"/>
      <c r="BB19" s="440"/>
      <c r="BC19" s="442"/>
      <c r="BD19" s="440"/>
      <c r="BE19" s="440"/>
      <c r="BF19" s="440"/>
      <c r="BG19" s="440"/>
      <c r="BH19" s="440"/>
      <c r="BI19" s="440"/>
      <c r="BJ19" s="440"/>
      <c r="BK19" s="440"/>
      <c r="BL19" s="440"/>
      <c r="BM19" s="440"/>
      <c r="BN19" s="440"/>
      <c r="BO19" s="440"/>
      <c r="BP19" s="440"/>
      <c r="BQ19" s="440"/>
      <c r="BR19" s="440"/>
      <c r="BS19" s="443">
        <v>2</v>
      </c>
      <c r="BT19" s="443"/>
      <c r="BU19" s="440"/>
      <c r="BV19" s="443"/>
      <c r="BW19" s="440"/>
      <c r="BX19" s="440"/>
      <c r="BY19" s="440"/>
      <c r="BZ19" s="440"/>
      <c r="CA19" s="440"/>
      <c r="CB19" s="440"/>
      <c r="CC19" s="440"/>
      <c r="CD19" s="440"/>
      <c r="CE19" s="440"/>
      <c r="CF19" s="440"/>
      <c r="CG19" s="440"/>
      <c r="CH19" s="440"/>
      <c r="CI19" s="440"/>
      <c r="CJ19" s="440"/>
      <c r="CK19" s="440"/>
      <c r="CL19" s="440"/>
      <c r="CM19" s="440"/>
      <c r="CN19" s="440"/>
      <c r="CO19" s="440"/>
      <c r="CP19" s="441">
        <v>6</v>
      </c>
      <c r="CQ19" s="441"/>
      <c r="CR19" s="441"/>
      <c r="CS19" s="441"/>
      <c r="CT19" s="441"/>
      <c r="CU19" s="441">
        <v>1</v>
      </c>
      <c r="CV19" s="440"/>
      <c r="CW19" s="440"/>
      <c r="CX19" s="441"/>
      <c r="CY19" s="440"/>
      <c r="CZ19" s="440"/>
      <c r="DA19" s="440"/>
      <c r="DB19" s="440"/>
      <c r="DC19" s="440"/>
      <c r="DD19" s="444"/>
      <c r="DE19" s="440"/>
      <c r="DF19" s="440"/>
      <c r="DG19" s="440"/>
      <c r="DH19" s="440"/>
      <c r="DI19" s="440"/>
      <c r="DJ19" s="440"/>
      <c r="DK19" s="440"/>
      <c r="DL19" s="440"/>
      <c r="DM19" s="440"/>
      <c r="DN19" s="440"/>
      <c r="DO19" s="440"/>
      <c r="DP19" s="440"/>
      <c r="DQ19" s="440"/>
      <c r="DR19" s="440"/>
      <c r="DS19" s="440"/>
      <c r="DT19" s="440"/>
      <c r="DU19" s="440"/>
      <c r="DV19" s="440"/>
      <c r="DW19" s="440"/>
      <c r="DX19" s="440"/>
      <c r="DY19" s="440"/>
      <c r="DZ19" s="440"/>
      <c r="EA19" s="440"/>
      <c r="EB19" s="440"/>
      <c r="EC19" s="445"/>
      <c r="ED19" s="454"/>
      <c r="EE19" s="449"/>
      <c r="EF19" s="448"/>
      <c r="EG19" s="448"/>
      <c r="EH19" s="448"/>
      <c r="EI19" s="448"/>
      <c r="EJ19" s="448"/>
      <c r="EK19" s="448"/>
      <c r="EL19" s="448"/>
      <c r="EM19" s="448"/>
      <c r="EN19" s="448"/>
      <c r="EO19" s="448"/>
      <c r="EP19" s="448"/>
      <c r="EQ19" s="448"/>
      <c r="ER19" s="448"/>
      <c r="ES19" s="448"/>
      <c r="ET19" s="447"/>
      <c r="EU19" s="450"/>
      <c r="EV19" s="451"/>
      <c r="EW19" s="452"/>
    </row>
    <row r="20" spans="1:153" ht="18.899999999999999" customHeight="1">
      <c r="A20" s="453" t="s">
        <v>423</v>
      </c>
      <c r="B20" s="437">
        <v>50</v>
      </c>
      <c r="C20" s="438">
        <f t="shared" si="0"/>
        <v>600</v>
      </c>
      <c r="D20" s="438"/>
      <c r="E20" s="438"/>
      <c r="F20" s="439"/>
      <c r="G20" s="440"/>
      <c r="H20" s="440" t="s">
        <v>2019</v>
      </c>
      <c r="I20" s="440"/>
      <c r="J20" s="437">
        <v>1</v>
      </c>
      <c r="K20" s="440"/>
      <c r="L20" s="440"/>
      <c r="M20" s="440"/>
      <c r="N20" s="440"/>
      <c r="O20" s="440"/>
      <c r="P20" s="440"/>
      <c r="Q20" s="440"/>
      <c r="R20" s="440"/>
      <c r="S20" s="440"/>
      <c r="T20" s="440"/>
      <c r="U20" s="444">
        <v>1</v>
      </c>
      <c r="V20" s="440"/>
      <c r="W20" s="440"/>
      <c r="X20" s="440"/>
      <c r="Y20" s="440"/>
      <c r="Z20" s="440"/>
      <c r="AA20" s="440"/>
      <c r="AB20" s="440"/>
      <c r="AC20" s="440"/>
      <c r="AD20" s="440"/>
      <c r="AE20" s="440"/>
      <c r="AF20" s="440"/>
      <c r="AG20" s="440"/>
      <c r="AH20" s="440"/>
      <c r="AI20" s="440"/>
      <c r="AJ20" s="440"/>
      <c r="AK20" s="440"/>
      <c r="AL20" s="440"/>
      <c r="AM20" s="440"/>
      <c r="AN20" s="440"/>
      <c r="AO20" s="440"/>
      <c r="AP20" s="440"/>
      <c r="AQ20" s="440"/>
      <c r="AR20" s="440"/>
      <c r="AS20" s="440"/>
      <c r="AT20" s="441"/>
      <c r="AU20" s="440"/>
      <c r="AV20" s="440"/>
      <c r="AW20" s="440"/>
      <c r="AX20" s="440"/>
      <c r="AY20" s="440"/>
      <c r="AZ20" s="440"/>
      <c r="BA20" s="440"/>
      <c r="BB20" s="440"/>
      <c r="BC20" s="442"/>
      <c r="BD20" s="440"/>
      <c r="BE20" s="440"/>
      <c r="BF20" s="440"/>
      <c r="BG20" s="440"/>
      <c r="BH20" s="440"/>
      <c r="BI20" s="440"/>
      <c r="BJ20" s="440"/>
      <c r="BK20" s="440"/>
      <c r="BL20" s="440"/>
      <c r="BM20" s="440"/>
      <c r="BN20" s="440"/>
      <c r="BO20" s="440">
        <v>1</v>
      </c>
      <c r="BP20" s="440"/>
      <c r="BQ20" s="440"/>
      <c r="BR20" s="440"/>
      <c r="BS20" s="443">
        <v>2</v>
      </c>
      <c r="BT20" s="443"/>
      <c r="BU20" s="440"/>
      <c r="BV20" s="443"/>
      <c r="BW20" s="440"/>
      <c r="BX20" s="440"/>
      <c r="BY20" s="440"/>
      <c r="BZ20" s="440"/>
      <c r="CA20" s="440"/>
      <c r="CB20" s="440"/>
      <c r="CC20" s="440"/>
      <c r="CD20" s="440"/>
      <c r="CE20" s="440"/>
      <c r="CF20" s="440"/>
      <c r="CG20" s="440"/>
      <c r="CH20" s="440"/>
      <c r="CI20" s="440"/>
      <c r="CJ20" s="440"/>
      <c r="CK20" s="440"/>
      <c r="CL20" s="440"/>
      <c r="CM20" s="440"/>
      <c r="CN20" s="440"/>
      <c r="CO20" s="440"/>
      <c r="CP20" s="441">
        <v>6</v>
      </c>
      <c r="CQ20" s="441"/>
      <c r="CR20" s="441"/>
      <c r="CS20" s="441"/>
      <c r="CT20" s="441"/>
      <c r="CU20" s="441">
        <v>1</v>
      </c>
      <c r="CV20" s="440"/>
      <c r="CW20" s="440"/>
      <c r="CX20" s="441"/>
      <c r="CY20" s="440"/>
      <c r="CZ20" s="440"/>
      <c r="DA20" s="440"/>
      <c r="DB20" s="440"/>
      <c r="DC20" s="440"/>
      <c r="DD20" s="444"/>
      <c r="DE20" s="440"/>
      <c r="DF20" s="440"/>
      <c r="DG20" s="440"/>
      <c r="DH20" s="440"/>
      <c r="DI20" s="440"/>
      <c r="DJ20" s="440"/>
      <c r="DK20" s="440"/>
      <c r="DL20" s="440"/>
      <c r="DM20" s="440"/>
      <c r="DN20" s="440"/>
      <c r="DO20" s="440"/>
      <c r="DP20" s="440"/>
      <c r="DQ20" s="440"/>
      <c r="DR20" s="440"/>
      <c r="DS20" s="440"/>
      <c r="DT20" s="440"/>
      <c r="DU20" s="440"/>
      <c r="DV20" s="440"/>
      <c r="DW20" s="440"/>
      <c r="DX20" s="440"/>
      <c r="DY20" s="440"/>
      <c r="DZ20" s="440"/>
      <c r="EA20" s="440"/>
      <c r="EB20" s="440"/>
      <c r="EC20" s="445"/>
      <c r="ED20" s="454"/>
      <c r="EE20" s="449"/>
      <c r="EF20" s="448"/>
      <c r="EG20" s="448"/>
      <c r="EH20" s="448"/>
      <c r="EI20" s="448"/>
      <c r="EJ20" s="448"/>
      <c r="EK20" s="448"/>
      <c r="EL20" s="448"/>
      <c r="EM20" s="448"/>
      <c r="EN20" s="448"/>
      <c r="EO20" s="448"/>
      <c r="EP20" s="448"/>
      <c r="EQ20" s="448"/>
      <c r="ER20" s="448"/>
      <c r="ES20" s="448"/>
      <c r="ET20" s="447"/>
      <c r="EU20" s="450"/>
      <c r="EV20" s="451"/>
      <c r="EW20" s="452"/>
    </row>
    <row r="21" spans="1:153" ht="18.899999999999999" customHeight="1">
      <c r="A21" s="453" t="s">
        <v>424</v>
      </c>
      <c r="B21" s="437">
        <v>50</v>
      </c>
      <c r="C21" s="438">
        <f t="shared" si="0"/>
        <v>650</v>
      </c>
      <c r="D21" s="438"/>
      <c r="E21" s="438"/>
      <c r="F21" s="439"/>
      <c r="G21" s="440"/>
      <c r="H21" s="440" t="s">
        <v>2019</v>
      </c>
      <c r="I21" s="440"/>
      <c r="J21" s="437">
        <v>1</v>
      </c>
      <c r="K21" s="440"/>
      <c r="L21" s="440"/>
      <c r="M21" s="440"/>
      <c r="N21" s="440"/>
      <c r="O21" s="440"/>
      <c r="P21" s="440"/>
      <c r="Q21" s="440"/>
      <c r="R21" s="440"/>
      <c r="S21" s="440"/>
      <c r="T21" s="440"/>
      <c r="U21" s="444">
        <v>1</v>
      </c>
      <c r="V21" s="440"/>
      <c r="W21" s="440"/>
      <c r="X21" s="440"/>
      <c r="Y21" s="440"/>
      <c r="Z21" s="440"/>
      <c r="AA21" s="440"/>
      <c r="AB21" s="440"/>
      <c r="AC21" s="440"/>
      <c r="AD21" s="440"/>
      <c r="AE21" s="440"/>
      <c r="AF21" s="440"/>
      <c r="AG21" s="440"/>
      <c r="AH21" s="440"/>
      <c r="AI21" s="440"/>
      <c r="AJ21" s="440"/>
      <c r="AK21" s="440"/>
      <c r="AL21" s="440"/>
      <c r="AM21" s="440"/>
      <c r="AN21" s="440"/>
      <c r="AO21" s="440"/>
      <c r="AP21" s="440"/>
      <c r="AQ21" s="440"/>
      <c r="AR21" s="440"/>
      <c r="AS21" s="440"/>
      <c r="AT21" s="441"/>
      <c r="AU21" s="440"/>
      <c r="AV21" s="440"/>
      <c r="AW21" s="440"/>
      <c r="AX21" s="440"/>
      <c r="AY21" s="440"/>
      <c r="AZ21" s="440"/>
      <c r="BA21" s="440"/>
      <c r="BB21" s="440"/>
      <c r="BC21" s="442"/>
      <c r="BD21" s="440"/>
      <c r="BE21" s="440"/>
      <c r="BF21" s="440"/>
      <c r="BG21" s="440"/>
      <c r="BH21" s="440"/>
      <c r="BI21" s="440"/>
      <c r="BJ21" s="440"/>
      <c r="BK21" s="440"/>
      <c r="BL21" s="440"/>
      <c r="BM21" s="440"/>
      <c r="BN21" s="440"/>
      <c r="BO21" s="440"/>
      <c r="BP21" s="440"/>
      <c r="BQ21" s="440"/>
      <c r="BR21" s="440"/>
      <c r="BS21" s="443">
        <v>2</v>
      </c>
      <c r="BT21" s="443"/>
      <c r="BU21" s="440"/>
      <c r="BV21" s="443"/>
      <c r="BW21" s="440"/>
      <c r="BX21" s="440"/>
      <c r="BY21" s="440"/>
      <c r="BZ21" s="440"/>
      <c r="CA21" s="440"/>
      <c r="CB21" s="440"/>
      <c r="CC21" s="440"/>
      <c r="CD21" s="440"/>
      <c r="CE21" s="440"/>
      <c r="CF21" s="440"/>
      <c r="CG21" s="440"/>
      <c r="CH21" s="440"/>
      <c r="CI21" s="440"/>
      <c r="CJ21" s="440"/>
      <c r="CK21" s="440"/>
      <c r="CL21" s="440"/>
      <c r="CM21" s="440"/>
      <c r="CN21" s="440"/>
      <c r="CO21" s="440"/>
      <c r="CP21" s="441">
        <v>6</v>
      </c>
      <c r="CQ21" s="441"/>
      <c r="CR21" s="441"/>
      <c r="CS21" s="441"/>
      <c r="CT21" s="441"/>
      <c r="CU21" s="441">
        <v>1</v>
      </c>
      <c r="CV21" s="440"/>
      <c r="CW21" s="440"/>
      <c r="CX21" s="441"/>
      <c r="CY21" s="440"/>
      <c r="CZ21" s="440"/>
      <c r="DA21" s="440"/>
      <c r="DB21" s="440"/>
      <c r="DC21" s="440"/>
      <c r="DD21" s="444"/>
      <c r="DE21" s="440"/>
      <c r="DF21" s="440"/>
      <c r="DG21" s="440"/>
      <c r="DH21" s="440"/>
      <c r="DI21" s="440"/>
      <c r="DJ21" s="440"/>
      <c r="DK21" s="440"/>
      <c r="DL21" s="440"/>
      <c r="DM21" s="440"/>
      <c r="DN21" s="440"/>
      <c r="DO21" s="440"/>
      <c r="DP21" s="440"/>
      <c r="DQ21" s="440"/>
      <c r="DR21" s="440"/>
      <c r="DS21" s="440"/>
      <c r="DT21" s="440"/>
      <c r="DU21" s="440"/>
      <c r="DV21" s="440"/>
      <c r="DW21" s="440"/>
      <c r="DX21" s="440"/>
      <c r="DY21" s="440"/>
      <c r="DZ21" s="440"/>
      <c r="EA21" s="440"/>
      <c r="EB21" s="440"/>
      <c r="EC21" s="445"/>
      <c r="ED21" s="454"/>
      <c r="EE21" s="449"/>
      <c r="EF21" s="448"/>
      <c r="EG21" s="448"/>
      <c r="EH21" s="448"/>
      <c r="EI21" s="448"/>
      <c r="EJ21" s="448"/>
      <c r="EK21" s="448"/>
      <c r="EL21" s="448"/>
      <c r="EM21" s="448"/>
      <c r="EN21" s="448"/>
      <c r="EO21" s="448"/>
      <c r="EP21" s="448"/>
      <c r="EQ21" s="448"/>
      <c r="ER21" s="448"/>
      <c r="ES21" s="448"/>
      <c r="ET21" s="447"/>
      <c r="EU21" s="450"/>
      <c r="EV21" s="451"/>
      <c r="EW21" s="452"/>
    </row>
    <row r="22" spans="1:153" ht="18.899999999999999" customHeight="1">
      <c r="A22" s="453" t="s">
        <v>425</v>
      </c>
      <c r="B22" s="437">
        <v>50</v>
      </c>
      <c r="C22" s="438">
        <f t="shared" si="0"/>
        <v>700</v>
      </c>
      <c r="D22" s="438"/>
      <c r="E22" s="438"/>
      <c r="F22" s="439"/>
      <c r="G22" s="440"/>
      <c r="H22" s="440" t="s">
        <v>2019</v>
      </c>
      <c r="I22" s="440"/>
      <c r="J22" s="437">
        <v>1</v>
      </c>
      <c r="K22" s="440"/>
      <c r="L22" s="440"/>
      <c r="M22" s="440"/>
      <c r="N22" s="440"/>
      <c r="O22" s="440"/>
      <c r="P22" s="440"/>
      <c r="Q22" s="440"/>
      <c r="R22" s="440"/>
      <c r="S22" s="440"/>
      <c r="T22" s="440"/>
      <c r="U22" s="444">
        <v>1</v>
      </c>
      <c r="V22" s="440"/>
      <c r="W22" s="440"/>
      <c r="X22" s="440"/>
      <c r="Y22" s="440"/>
      <c r="Z22" s="440"/>
      <c r="AA22" s="440"/>
      <c r="AB22" s="440"/>
      <c r="AC22" s="440"/>
      <c r="AD22" s="440"/>
      <c r="AE22" s="440"/>
      <c r="AF22" s="440"/>
      <c r="AG22" s="440"/>
      <c r="AH22" s="440"/>
      <c r="AI22" s="440"/>
      <c r="AJ22" s="440"/>
      <c r="AK22" s="440"/>
      <c r="AL22" s="440"/>
      <c r="AM22" s="440"/>
      <c r="AN22" s="440"/>
      <c r="AO22" s="440"/>
      <c r="AP22" s="440"/>
      <c r="AQ22" s="440"/>
      <c r="AR22" s="440"/>
      <c r="AS22" s="440"/>
      <c r="AT22" s="441"/>
      <c r="AU22" s="440"/>
      <c r="AV22" s="440"/>
      <c r="AW22" s="440"/>
      <c r="AX22" s="440"/>
      <c r="AY22" s="440"/>
      <c r="AZ22" s="440"/>
      <c r="BA22" s="440"/>
      <c r="BB22" s="440"/>
      <c r="BC22" s="442"/>
      <c r="BD22" s="440"/>
      <c r="BE22" s="440"/>
      <c r="BF22" s="440"/>
      <c r="BG22" s="440"/>
      <c r="BH22" s="440"/>
      <c r="BI22" s="440"/>
      <c r="BJ22" s="440"/>
      <c r="BK22" s="440"/>
      <c r="BL22" s="440"/>
      <c r="BM22" s="440"/>
      <c r="BN22" s="440"/>
      <c r="BO22" s="440"/>
      <c r="BP22" s="440"/>
      <c r="BQ22" s="440"/>
      <c r="BR22" s="440"/>
      <c r="BS22" s="443">
        <v>2</v>
      </c>
      <c r="BT22" s="443"/>
      <c r="BU22" s="440"/>
      <c r="BV22" s="443"/>
      <c r="BW22" s="440"/>
      <c r="BX22" s="440"/>
      <c r="BY22" s="440"/>
      <c r="BZ22" s="440"/>
      <c r="CA22" s="440"/>
      <c r="CB22" s="440"/>
      <c r="CC22" s="440"/>
      <c r="CD22" s="440"/>
      <c r="CE22" s="440"/>
      <c r="CF22" s="440"/>
      <c r="CG22" s="440"/>
      <c r="CH22" s="440"/>
      <c r="CI22" s="440"/>
      <c r="CJ22" s="440"/>
      <c r="CK22" s="440"/>
      <c r="CL22" s="440"/>
      <c r="CM22" s="440"/>
      <c r="CN22" s="440"/>
      <c r="CO22" s="440"/>
      <c r="CP22" s="441">
        <v>6</v>
      </c>
      <c r="CQ22" s="441"/>
      <c r="CR22" s="441"/>
      <c r="CS22" s="441"/>
      <c r="CT22" s="441"/>
      <c r="CU22" s="441">
        <v>1</v>
      </c>
      <c r="CV22" s="440"/>
      <c r="CW22" s="440"/>
      <c r="CX22" s="441"/>
      <c r="CY22" s="440"/>
      <c r="CZ22" s="440"/>
      <c r="DA22" s="440"/>
      <c r="DB22" s="440"/>
      <c r="DC22" s="440"/>
      <c r="DD22" s="444"/>
      <c r="DE22" s="440"/>
      <c r="DF22" s="440"/>
      <c r="DG22" s="440"/>
      <c r="DH22" s="440"/>
      <c r="DI22" s="440"/>
      <c r="DJ22" s="440"/>
      <c r="DK22" s="440"/>
      <c r="DL22" s="440"/>
      <c r="DM22" s="440"/>
      <c r="DN22" s="440"/>
      <c r="DO22" s="440"/>
      <c r="DP22" s="440"/>
      <c r="DQ22" s="440"/>
      <c r="DR22" s="440"/>
      <c r="DS22" s="440"/>
      <c r="DT22" s="440"/>
      <c r="DU22" s="440"/>
      <c r="DV22" s="440"/>
      <c r="DW22" s="440"/>
      <c r="DX22" s="440"/>
      <c r="DY22" s="440"/>
      <c r="DZ22" s="440"/>
      <c r="EA22" s="440"/>
      <c r="EB22" s="440"/>
      <c r="EC22" s="445"/>
      <c r="ED22" s="454"/>
      <c r="EE22" s="449"/>
      <c r="EF22" s="448"/>
      <c r="EG22" s="448"/>
      <c r="EH22" s="448"/>
      <c r="EI22" s="448"/>
      <c r="EJ22" s="448"/>
      <c r="EK22" s="448"/>
      <c r="EL22" s="448"/>
      <c r="EM22" s="448"/>
      <c r="EN22" s="448"/>
      <c r="EO22" s="448"/>
      <c r="EP22" s="448"/>
      <c r="EQ22" s="448"/>
      <c r="ER22" s="448"/>
      <c r="ES22" s="448"/>
      <c r="ET22" s="447"/>
      <c r="EU22" s="450"/>
      <c r="EV22" s="451"/>
      <c r="EW22" s="452"/>
    </row>
    <row r="23" spans="1:153" ht="18.899999999999999" customHeight="1">
      <c r="A23" s="453" t="s">
        <v>426</v>
      </c>
      <c r="B23" s="437">
        <v>50</v>
      </c>
      <c r="C23" s="438">
        <f t="shared" si="0"/>
        <v>750</v>
      </c>
      <c r="D23" s="438"/>
      <c r="E23" s="438"/>
      <c r="F23" s="439"/>
      <c r="G23" s="440"/>
      <c r="H23" s="440" t="s">
        <v>2019</v>
      </c>
      <c r="I23" s="440"/>
      <c r="J23" s="437">
        <v>1</v>
      </c>
      <c r="K23" s="440"/>
      <c r="L23" s="440"/>
      <c r="M23" s="440"/>
      <c r="N23" s="440"/>
      <c r="O23" s="440"/>
      <c r="P23" s="440"/>
      <c r="Q23" s="440"/>
      <c r="R23" s="440"/>
      <c r="S23" s="440"/>
      <c r="T23" s="440"/>
      <c r="U23" s="444">
        <v>1</v>
      </c>
      <c r="V23" s="440"/>
      <c r="W23" s="440"/>
      <c r="X23" s="440"/>
      <c r="Y23" s="440"/>
      <c r="Z23" s="440"/>
      <c r="AA23" s="440"/>
      <c r="AB23" s="440"/>
      <c r="AC23" s="440"/>
      <c r="AD23" s="440"/>
      <c r="AE23" s="440"/>
      <c r="AF23" s="440"/>
      <c r="AG23" s="440"/>
      <c r="AH23" s="440"/>
      <c r="AI23" s="440"/>
      <c r="AJ23" s="440"/>
      <c r="AK23" s="440"/>
      <c r="AL23" s="440"/>
      <c r="AM23" s="440"/>
      <c r="AN23" s="440"/>
      <c r="AO23" s="440"/>
      <c r="AP23" s="440"/>
      <c r="AQ23" s="440"/>
      <c r="AR23" s="440"/>
      <c r="AS23" s="440"/>
      <c r="AT23" s="441"/>
      <c r="AU23" s="440"/>
      <c r="AV23" s="440"/>
      <c r="AW23" s="440"/>
      <c r="AX23" s="440"/>
      <c r="AY23" s="440"/>
      <c r="AZ23" s="440"/>
      <c r="BA23" s="440"/>
      <c r="BB23" s="440"/>
      <c r="BC23" s="442"/>
      <c r="BD23" s="440"/>
      <c r="BE23" s="440"/>
      <c r="BF23" s="440"/>
      <c r="BG23" s="440"/>
      <c r="BH23" s="440"/>
      <c r="BI23" s="440"/>
      <c r="BJ23" s="440"/>
      <c r="BK23" s="440"/>
      <c r="BL23" s="440"/>
      <c r="BM23" s="440"/>
      <c r="BN23" s="440"/>
      <c r="BO23" s="440">
        <v>1</v>
      </c>
      <c r="BP23" s="440"/>
      <c r="BQ23" s="440"/>
      <c r="BR23" s="440"/>
      <c r="BS23" s="443">
        <v>2</v>
      </c>
      <c r="BT23" s="443"/>
      <c r="BU23" s="440"/>
      <c r="BV23" s="443"/>
      <c r="BW23" s="440"/>
      <c r="BX23" s="440"/>
      <c r="BY23" s="440"/>
      <c r="BZ23" s="440"/>
      <c r="CA23" s="440"/>
      <c r="CB23" s="440"/>
      <c r="CC23" s="440"/>
      <c r="CD23" s="440"/>
      <c r="CE23" s="440"/>
      <c r="CF23" s="440"/>
      <c r="CG23" s="440"/>
      <c r="CH23" s="440"/>
      <c r="CI23" s="440"/>
      <c r="CJ23" s="440"/>
      <c r="CK23" s="440"/>
      <c r="CL23" s="440"/>
      <c r="CM23" s="440"/>
      <c r="CN23" s="440"/>
      <c r="CO23" s="440"/>
      <c r="CP23" s="441">
        <v>6</v>
      </c>
      <c r="CQ23" s="441"/>
      <c r="CR23" s="441"/>
      <c r="CS23" s="441"/>
      <c r="CT23" s="441"/>
      <c r="CU23" s="441">
        <v>1</v>
      </c>
      <c r="CV23" s="440"/>
      <c r="CW23" s="440"/>
      <c r="CX23" s="441"/>
      <c r="CY23" s="440"/>
      <c r="CZ23" s="440"/>
      <c r="DA23" s="440"/>
      <c r="DB23" s="440"/>
      <c r="DC23" s="440"/>
      <c r="DD23" s="444"/>
      <c r="DE23" s="440"/>
      <c r="DF23" s="440"/>
      <c r="DG23" s="440"/>
      <c r="DH23" s="440"/>
      <c r="DI23" s="440"/>
      <c r="DJ23" s="440"/>
      <c r="DK23" s="440"/>
      <c r="DL23" s="440"/>
      <c r="DM23" s="440"/>
      <c r="DN23" s="440"/>
      <c r="DO23" s="440"/>
      <c r="DP23" s="440"/>
      <c r="DQ23" s="440"/>
      <c r="DR23" s="440"/>
      <c r="DS23" s="440"/>
      <c r="DT23" s="440"/>
      <c r="DU23" s="440"/>
      <c r="DV23" s="440"/>
      <c r="DW23" s="440"/>
      <c r="DX23" s="440"/>
      <c r="DY23" s="440"/>
      <c r="DZ23" s="440"/>
      <c r="EA23" s="440"/>
      <c r="EB23" s="440"/>
      <c r="EC23" s="445"/>
      <c r="ED23" s="454"/>
      <c r="EE23" s="449"/>
      <c r="EF23" s="448"/>
      <c r="EG23" s="448"/>
      <c r="EH23" s="448"/>
      <c r="EI23" s="448"/>
      <c r="EJ23" s="448"/>
      <c r="EK23" s="448"/>
      <c r="EL23" s="448"/>
      <c r="EM23" s="448"/>
      <c r="EN23" s="448"/>
      <c r="EO23" s="448"/>
      <c r="EP23" s="448"/>
      <c r="EQ23" s="448"/>
      <c r="ER23" s="448"/>
      <c r="ES23" s="448"/>
      <c r="ET23" s="447"/>
      <c r="EU23" s="450"/>
      <c r="EV23" s="451"/>
      <c r="EW23" s="452"/>
    </row>
    <row r="24" spans="1:153" ht="18.899999999999999" customHeight="1">
      <c r="A24" s="453" t="s">
        <v>427</v>
      </c>
      <c r="B24" s="437">
        <v>50</v>
      </c>
      <c r="C24" s="438">
        <f t="shared" si="0"/>
        <v>800</v>
      </c>
      <c r="D24" s="438"/>
      <c r="E24" s="438"/>
      <c r="F24" s="439"/>
      <c r="G24" s="440"/>
      <c r="H24" s="440" t="s">
        <v>2019</v>
      </c>
      <c r="I24" s="440"/>
      <c r="J24" s="437">
        <v>1</v>
      </c>
      <c r="K24" s="440"/>
      <c r="L24" s="440"/>
      <c r="M24" s="440"/>
      <c r="N24" s="440"/>
      <c r="O24" s="440"/>
      <c r="P24" s="440"/>
      <c r="Q24" s="440"/>
      <c r="R24" s="440"/>
      <c r="S24" s="440"/>
      <c r="T24" s="440"/>
      <c r="U24" s="444">
        <v>1</v>
      </c>
      <c r="V24" s="440"/>
      <c r="W24" s="440"/>
      <c r="X24" s="440"/>
      <c r="Y24" s="440"/>
      <c r="Z24" s="440"/>
      <c r="AA24" s="440"/>
      <c r="AB24" s="440"/>
      <c r="AC24" s="440"/>
      <c r="AD24" s="440"/>
      <c r="AE24" s="440"/>
      <c r="AF24" s="440"/>
      <c r="AG24" s="440"/>
      <c r="AH24" s="440"/>
      <c r="AI24" s="440"/>
      <c r="AJ24" s="440"/>
      <c r="AK24" s="440"/>
      <c r="AL24" s="440"/>
      <c r="AM24" s="440"/>
      <c r="AN24" s="440"/>
      <c r="AO24" s="440"/>
      <c r="AP24" s="440"/>
      <c r="AQ24" s="440"/>
      <c r="AR24" s="440"/>
      <c r="AS24" s="440"/>
      <c r="AT24" s="441"/>
      <c r="AU24" s="440"/>
      <c r="AV24" s="440"/>
      <c r="AW24" s="440"/>
      <c r="AX24" s="440"/>
      <c r="AY24" s="440"/>
      <c r="AZ24" s="440"/>
      <c r="BA24" s="440"/>
      <c r="BB24" s="440"/>
      <c r="BC24" s="442"/>
      <c r="BD24" s="440"/>
      <c r="BE24" s="440"/>
      <c r="BF24" s="440"/>
      <c r="BG24" s="440"/>
      <c r="BH24" s="440"/>
      <c r="BI24" s="440"/>
      <c r="BJ24" s="440"/>
      <c r="BK24" s="440"/>
      <c r="BL24" s="440"/>
      <c r="BM24" s="440"/>
      <c r="BN24" s="440"/>
      <c r="BO24" s="440"/>
      <c r="BP24" s="440"/>
      <c r="BQ24" s="440"/>
      <c r="BR24" s="440"/>
      <c r="BS24" s="443">
        <v>2</v>
      </c>
      <c r="BT24" s="443"/>
      <c r="BU24" s="440"/>
      <c r="BV24" s="443"/>
      <c r="BW24" s="440"/>
      <c r="BX24" s="440"/>
      <c r="BY24" s="440"/>
      <c r="BZ24" s="440"/>
      <c r="CA24" s="440"/>
      <c r="CB24" s="440"/>
      <c r="CC24" s="440"/>
      <c r="CD24" s="440"/>
      <c r="CE24" s="440"/>
      <c r="CF24" s="440"/>
      <c r="CG24" s="440"/>
      <c r="CH24" s="440"/>
      <c r="CI24" s="440"/>
      <c r="CJ24" s="440"/>
      <c r="CK24" s="440"/>
      <c r="CL24" s="440"/>
      <c r="CM24" s="440"/>
      <c r="CN24" s="440"/>
      <c r="CO24" s="440"/>
      <c r="CP24" s="441">
        <v>6</v>
      </c>
      <c r="CQ24" s="441"/>
      <c r="CR24" s="441"/>
      <c r="CS24" s="441"/>
      <c r="CT24" s="441"/>
      <c r="CU24" s="441">
        <v>1</v>
      </c>
      <c r="CV24" s="440"/>
      <c r="CW24" s="440"/>
      <c r="CX24" s="441"/>
      <c r="CY24" s="440"/>
      <c r="CZ24" s="440"/>
      <c r="DA24" s="440"/>
      <c r="DB24" s="440"/>
      <c r="DC24" s="440"/>
      <c r="DD24" s="444"/>
      <c r="DE24" s="440"/>
      <c r="DF24" s="440"/>
      <c r="DG24" s="440"/>
      <c r="DH24" s="440"/>
      <c r="DI24" s="440"/>
      <c r="DJ24" s="440"/>
      <c r="DK24" s="440"/>
      <c r="DL24" s="440"/>
      <c r="DM24" s="440"/>
      <c r="DN24" s="440"/>
      <c r="DO24" s="440"/>
      <c r="DP24" s="440"/>
      <c r="DQ24" s="440"/>
      <c r="DR24" s="440"/>
      <c r="DS24" s="440"/>
      <c r="DT24" s="440"/>
      <c r="DU24" s="440"/>
      <c r="DV24" s="440"/>
      <c r="DW24" s="440"/>
      <c r="DX24" s="440"/>
      <c r="DY24" s="440"/>
      <c r="DZ24" s="440"/>
      <c r="EA24" s="440"/>
      <c r="EB24" s="440"/>
      <c r="EC24" s="445"/>
      <c r="ED24" s="454"/>
      <c r="EE24" s="449"/>
      <c r="EF24" s="448"/>
      <c r="EG24" s="448"/>
      <c r="EH24" s="448"/>
      <c r="EI24" s="448"/>
      <c r="EJ24" s="448"/>
      <c r="EK24" s="448"/>
      <c r="EL24" s="448"/>
      <c r="EM24" s="448"/>
      <c r="EN24" s="448"/>
      <c r="EO24" s="448"/>
      <c r="EP24" s="448"/>
      <c r="EQ24" s="448"/>
      <c r="ER24" s="448"/>
      <c r="ES24" s="448"/>
      <c r="ET24" s="447"/>
      <c r="EU24" s="450"/>
      <c r="EV24" s="451"/>
      <c r="EW24" s="452"/>
    </row>
    <row r="25" spans="1:153" ht="18.899999999999999" customHeight="1">
      <c r="A25" s="453" t="s">
        <v>428</v>
      </c>
      <c r="B25" s="437">
        <v>50</v>
      </c>
      <c r="C25" s="438">
        <f t="shared" si="0"/>
        <v>850</v>
      </c>
      <c r="D25" s="438"/>
      <c r="E25" s="438"/>
      <c r="F25" s="439"/>
      <c r="G25" s="440"/>
      <c r="H25" s="440" t="s">
        <v>2019</v>
      </c>
      <c r="I25" s="440"/>
      <c r="J25" s="437">
        <v>1</v>
      </c>
      <c r="K25" s="440"/>
      <c r="L25" s="440"/>
      <c r="M25" s="440"/>
      <c r="N25" s="440"/>
      <c r="O25" s="440"/>
      <c r="P25" s="440"/>
      <c r="Q25" s="440"/>
      <c r="R25" s="440"/>
      <c r="S25" s="440"/>
      <c r="T25" s="440"/>
      <c r="U25" s="444">
        <v>1</v>
      </c>
      <c r="V25" s="440"/>
      <c r="W25" s="440"/>
      <c r="X25" s="440"/>
      <c r="Y25" s="440"/>
      <c r="Z25" s="440"/>
      <c r="AA25" s="440"/>
      <c r="AB25" s="440"/>
      <c r="AC25" s="440"/>
      <c r="AD25" s="440"/>
      <c r="AE25" s="440"/>
      <c r="AF25" s="440"/>
      <c r="AG25" s="440"/>
      <c r="AH25" s="440"/>
      <c r="AI25" s="440"/>
      <c r="AJ25" s="440"/>
      <c r="AK25" s="440"/>
      <c r="AL25" s="440"/>
      <c r="AM25" s="440"/>
      <c r="AN25" s="440"/>
      <c r="AO25" s="440"/>
      <c r="AP25" s="440"/>
      <c r="AQ25" s="440"/>
      <c r="AR25" s="440"/>
      <c r="AS25" s="440"/>
      <c r="AT25" s="441"/>
      <c r="AU25" s="440"/>
      <c r="AV25" s="440"/>
      <c r="AW25" s="440"/>
      <c r="AX25" s="440"/>
      <c r="AY25" s="440"/>
      <c r="AZ25" s="440"/>
      <c r="BA25" s="440"/>
      <c r="BB25" s="440"/>
      <c r="BC25" s="442"/>
      <c r="BD25" s="440"/>
      <c r="BE25" s="440"/>
      <c r="BF25" s="440"/>
      <c r="BG25" s="440"/>
      <c r="BH25" s="440"/>
      <c r="BI25" s="440"/>
      <c r="BJ25" s="440"/>
      <c r="BK25" s="440"/>
      <c r="BL25" s="440"/>
      <c r="BM25" s="440"/>
      <c r="BN25" s="440"/>
      <c r="BO25" s="440"/>
      <c r="BP25" s="440"/>
      <c r="BQ25" s="440"/>
      <c r="BR25" s="440"/>
      <c r="BS25" s="443">
        <v>2</v>
      </c>
      <c r="BT25" s="443"/>
      <c r="BU25" s="440"/>
      <c r="BV25" s="443"/>
      <c r="BW25" s="440"/>
      <c r="BX25" s="440"/>
      <c r="BY25" s="440"/>
      <c r="BZ25" s="440"/>
      <c r="CA25" s="440"/>
      <c r="CB25" s="440"/>
      <c r="CC25" s="440"/>
      <c r="CD25" s="440"/>
      <c r="CE25" s="440"/>
      <c r="CF25" s="440"/>
      <c r="CG25" s="440"/>
      <c r="CH25" s="440"/>
      <c r="CI25" s="440"/>
      <c r="CJ25" s="440"/>
      <c r="CK25" s="440"/>
      <c r="CL25" s="440"/>
      <c r="CM25" s="440"/>
      <c r="CN25" s="440"/>
      <c r="CO25" s="440"/>
      <c r="CP25" s="441">
        <v>6</v>
      </c>
      <c r="CQ25" s="441"/>
      <c r="CR25" s="441"/>
      <c r="CS25" s="441"/>
      <c r="CT25" s="441"/>
      <c r="CU25" s="441">
        <v>1</v>
      </c>
      <c r="CV25" s="440"/>
      <c r="CW25" s="440"/>
      <c r="CX25" s="441"/>
      <c r="CY25" s="440"/>
      <c r="CZ25" s="440"/>
      <c r="DA25" s="440"/>
      <c r="DB25" s="440"/>
      <c r="DC25" s="440"/>
      <c r="DD25" s="444"/>
      <c r="DE25" s="440"/>
      <c r="DF25" s="440"/>
      <c r="DG25" s="440"/>
      <c r="DH25" s="440"/>
      <c r="DI25" s="440"/>
      <c r="DJ25" s="440"/>
      <c r="DK25" s="440"/>
      <c r="DL25" s="440"/>
      <c r="DM25" s="440"/>
      <c r="DN25" s="440"/>
      <c r="DO25" s="440"/>
      <c r="DP25" s="440"/>
      <c r="DQ25" s="440"/>
      <c r="DR25" s="440"/>
      <c r="DS25" s="440"/>
      <c r="DT25" s="440"/>
      <c r="DU25" s="440"/>
      <c r="DV25" s="440"/>
      <c r="DW25" s="440"/>
      <c r="DX25" s="440"/>
      <c r="DY25" s="440"/>
      <c r="DZ25" s="440"/>
      <c r="EA25" s="440"/>
      <c r="EB25" s="440"/>
      <c r="EC25" s="445"/>
      <c r="ED25" s="454"/>
      <c r="EE25" s="449"/>
      <c r="EF25" s="448"/>
      <c r="EG25" s="448"/>
      <c r="EH25" s="448"/>
      <c r="EI25" s="448"/>
      <c r="EJ25" s="448"/>
      <c r="EK25" s="448"/>
      <c r="EL25" s="448"/>
      <c r="EM25" s="448"/>
      <c r="EN25" s="448"/>
      <c r="EO25" s="448"/>
      <c r="EP25" s="448"/>
      <c r="EQ25" s="448"/>
      <c r="ER25" s="448"/>
      <c r="ES25" s="448"/>
      <c r="ET25" s="447"/>
      <c r="EU25" s="450"/>
      <c r="EV25" s="451"/>
      <c r="EW25" s="452"/>
    </row>
    <row r="26" spans="1:153" ht="18.899999999999999" customHeight="1">
      <c r="A26" s="453" t="s">
        <v>429</v>
      </c>
      <c r="B26" s="437">
        <v>50</v>
      </c>
      <c r="C26" s="438">
        <f t="shared" si="0"/>
        <v>900</v>
      </c>
      <c r="D26" s="438"/>
      <c r="E26" s="438"/>
      <c r="F26" s="439"/>
      <c r="G26" s="440"/>
      <c r="H26" s="440" t="s">
        <v>281</v>
      </c>
      <c r="I26" s="440"/>
      <c r="J26" s="437"/>
      <c r="K26" s="440">
        <v>2</v>
      </c>
      <c r="L26" s="440"/>
      <c r="M26" s="440"/>
      <c r="N26" s="440"/>
      <c r="O26" s="440"/>
      <c r="P26" s="440"/>
      <c r="Q26" s="440"/>
      <c r="R26" s="440"/>
      <c r="S26" s="440"/>
      <c r="T26" s="440"/>
      <c r="U26" s="444"/>
      <c r="V26" s="440"/>
      <c r="W26" s="440"/>
      <c r="X26" s="440"/>
      <c r="Y26" s="440"/>
      <c r="Z26" s="440"/>
      <c r="AA26" s="440"/>
      <c r="AB26" s="440"/>
      <c r="AC26" s="440"/>
      <c r="AD26" s="440">
        <v>2</v>
      </c>
      <c r="AE26" s="440"/>
      <c r="AF26" s="440"/>
      <c r="AG26" s="440"/>
      <c r="AH26" s="440"/>
      <c r="AI26" s="440"/>
      <c r="AJ26" s="440"/>
      <c r="AK26" s="440"/>
      <c r="AL26" s="440"/>
      <c r="AM26" s="440"/>
      <c r="AN26" s="440"/>
      <c r="AO26" s="440"/>
      <c r="AP26" s="440"/>
      <c r="AQ26" s="440"/>
      <c r="AR26" s="440"/>
      <c r="AS26" s="440"/>
      <c r="AT26" s="441"/>
      <c r="AU26" s="440"/>
      <c r="AV26" s="440"/>
      <c r="AW26" s="440">
        <v>4</v>
      </c>
      <c r="AX26" s="440"/>
      <c r="AY26" s="440"/>
      <c r="AZ26" s="440"/>
      <c r="BA26" s="440"/>
      <c r="BB26" s="440"/>
      <c r="BC26" s="442">
        <v>4</v>
      </c>
      <c r="BD26" s="440"/>
      <c r="BE26" s="440"/>
      <c r="BF26" s="440"/>
      <c r="BG26" s="440"/>
      <c r="BH26" s="440"/>
      <c r="BI26" s="440"/>
      <c r="BJ26" s="440"/>
      <c r="BK26" s="440"/>
      <c r="BL26" s="440"/>
      <c r="BM26" s="440"/>
      <c r="BN26" s="440"/>
      <c r="BO26" s="440"/>
      <c r="BP26" s="440">
        <v>1</v>
      </c>
      <c r="BQ26" s="440"/>
      <c r="BR26" s="440"/>
      <c r="BS26" s="443"/>
      <c r="BT26" s="443"/>
      <c r="BU26" s="440"/>
      <c r="BV26" s="443"/>
      <c r="BW26" s="440"/>
      <c r="BX26" s="440"/>
      <c r="BY26" s="440"/>
      <c r="BZ26" s="440"/>
      <c r="CA26" s="440"/>
      <c r="CB26" s="440"/>
      <c r="CC26" s="440"/>
      <c r="CD26" s="440"/>
      <c r="CE26" s="440">
        <v>2</v>
      </c>
      <c r="CF26" s="440"/>
      <c r="CG26" s="440"/>
      <c r="CH26" s="440"/>
      <c r="CI26" s="440"/>
      <c r="CJ26" s="440"/>
      <c r="CK26" s="440">
        <v>1</v>
      </c>
      <c r="CL26" s="440"/>
      <c r="CM26" s="440"/>
      <c r="CN26" s="440"/>
      <c r="CO26" s="440"/>
      <c r="CP26" s="441">
        <v>12</v>
      </c>
      <c r="CQ26" s="441">
        <v>12</v>
      </c>
      <c r="CR26" s="441"/>
      <c r="CS26" s="441">
        <v>2</v>
      </c>
      <c r="CT26" s="441">
        <v>12</v>
      </c>
      <c r="CU26" s="441"/>
      <c r="CV26" s="440"/>
      <c r="CW26" s="440"/>
      <c r="CX26" s="441">
        <v>2</v>
      </c>
      <c r="CY26" s="440"/>
      <c r="CZ26" s="440"/>
      <c r="DA26" s="440"/>
      <c r="DB26" s="440">
        <v>2</v>
      </c>
      <c r="DC26" s="440"/>
      <c r="DD26" s="444">
        <v>12</v>
      </c>
      <c r="DE26" s="440"/>
      <c r="DF26" s="440"/>
      <c r="DG26" s="440"/>
      <c r="DH26" s="440"/>
      <c r="DI26" s="440"/>
      <c r="DJ26" s="440"/>
      <c r="DK26" s="440"/>
      <c r="DL26" s="440"/>
      <c r="DM26" s="440"/>
      <c r="DN26" s="440"/>
      <c r="DO26" s="440"/>
      <c r="DP26" s="440"/>
      <c r="DQ26" s="440"/>
      <c r="DR26" s="440"/>
      <c r="DS26" s="440"/>
      <c r="DT26" s="440"/>
      <c r="DU26" s="440"/>
      <c r="DV26" s="440"/>
      <c r="DW26" s="440"/>
      <c r="DX26" s="440"/>
      <c r="DY26" s="440"/>
      <c r="DZ26" s="440"/>
      <c r="EA26" s="440"/>
      <c r="EB26" s="440"/>
      <c r="EC26" s="445"/>
      <c r="ED26" s="454"/>
      <c r="EE26" s="449"/>
      <c r="EF26" s="448"/>
      <c r="EG26" s="448"/>
      <c r="EH26" s="448"/>
      <c r="EI26" s="448"/>
      <c r="EJ26" s="448"/>
      <c r="EK26" s="448"/>
      <c r="EL26" s="448"/>
      <c r="EM26" s="448"/>
      <c r="EN26" s="448"/>
      <c r="EO26" s="448"/>
      <c r="EP26" s="448"/>
      <c r="EQ26" s="448"/>
      <c r="ER26" s="448"/>
      <c r="ES26" s="448"/>
      <c r="ET26" s="447"/>
      <c r="EU26" s="450"/>
      <c r="EV26" s="451"/>
      <c r="EW26" s="452"/>
    </row>
    <row r="27" spans="1:153" ht="18.899999999999999" customHeight="1">
      <c r="A27" s="453" t="s">
        <v>430</v>
      </c>
      <c r="B27" s="437">
        <v>50</v>
      </c>
      <c r="C27" s="438">
        <f t="shared" si="0"/>
        <v>950</v>
      </c>
      <c r="D27" s="438"/>
      <c r="E27" s="438"/>
      <c r="F27" s="439"/>
      <c r="G27" s="440"/>
      <c r="H27" s="440" t="s">
        <v>2019</v>
      </c>
      <c r="I27" s="440"/>
      <c r="J27" s="437"/>
      <c r="K27" s="440">
        <v>1</v>
      </c>
      <c r="L27" s="440"/>
      <c r="M27" s="440"/>
      <c r="N27" s="440"/>
      <c r="O27" s="440"/>
      <c r="P27" s="440"/>
      <c r="Q27" s="440"/>
      <c r="R27" s="440"/>
      <c r="S27" s="440"/>
      <c r="T27" s="440"/>
      <c r="U27" s="444"/>
      <c r="V27" s="440"/>
      <c r="W27" s="440"/>
      <c r="X27" s="440"/>
      <c r="Y27" s="440"/>
      <c r="Z27" s="440"/>
      <c r="AA27" s="440"/>
      <c r="AB27" s="440"/>
      <c r="AC27" s="440"/>
      <c r="AD27" s="440">
        <v>1</v>
      </c>
      <c r="AE27" s="440"/>
      <c r="AF27" s="440"/>
      <c r="AG27" s="440"/>
      <c r="AH27" s="440"/>
      <c r="AI27" s="440"/>
      <c r="AJ27" s="440"/>
      <c r="AK27" s="440"/>
      <c r="AL27" s="440"/>
      <c r="AM27" s="440"/>
      <c r="AN27" s="440"/>
      <c r="AO27" s="440"/>
      <c r="AP27" s="440"/>
      <c r="AQ27" s="440"/>
      <c r="AR27" s="440"/>
      <c r="AS27" s="440"/>
      <c r="AT27" s="441"/>
      <c r="AU27" s="440"/>
      <c r="AV27" s="440"/>
      <c r="AW27" s="440"/>
      <c r="AX27" s="440"/>
      <c r="AY27" s="440"/>
      <c r="AZ27" s="440"/>
      <c r="BA27" s="440"/>
      <c r="BB27" s="440"/>
      <c r="BC27" s="442"/>
      <c r="BD27" s="440"/>
      <c r="BE27" s="440"/>
      <c r="BF27" s="440"/>
      <c r="BG27" s="440"/>
      <c r="BH27" s="440"/>
      <c r="BI27" s="440"/>
      <c r="BJ27" s="440"/>
      <c r="BK27" s="440"/>
      <c r="BL27" s="440"/>
      <c r="BM27" s="440"/>
      <c r="BN27" s="440"/>
      <c r="BO27" s="440"/>
      <c r="BP27" s="440"/>
      <c r="BQ27" s="440"/>
      <c r="BR27" s="440"/>
      <c r="BS27" s="443">
        <v>2</v>
      </c>
      <c r="BT27" s="443"/>
      <c r="BU27" s="440"/>
      <c r="BV27" s="443"/>
      <c r="BW27" s="440"/>
      <c r="BX27" s="440"/>
      <c r="BY27" s="440"/>
      <c r="BZ27" s="440"/>
      <c r="CA27" s="440"/>
      <c r="CB27" s="440"/>
      <c r="CC27" s="440"/>
      <c r="CD27" s="440"/>
      <c r="CE27" s="440"/>
      <c r="CF27" s="440"/>
      <c r="CG27" s="440"/>
      <c r="CH27" s="440"/>
      <c r="CI27" s="440"/>
      <c r="CJ27" s="440"/>
      <c r="CK27" s="440"/>
      <c r="CL27" s="440"/>
      <c r="CM27" s="440"/>
      <c r="CN27" s="440"/>
      <c r="CO27" s="440"/>
      <c r="CP27" s="441">
        <v>6</v>
      </c>
      <c r="CQ27" s="441"/>
      <c r="CR27" s="441"/>
      <c r="CS27" s="441"/>
      <c r="CT27" s="441"/>
      <c r="CU27" s="441">
        <v>1</v>
      </c>
      <c r="CV27" s="440"/>
      <c r="CW27" s="440"/>
      <c r="CX27" s="441"/>
      <c r="CY27" s="440"/>
      <c r="CZ27" s="440"/>
      <c r="DA27" s="440"/>
      <c r="DB27" s="440"/>
      <c r="DC27" s="440"/>
      <c r="DD27" s="444"/>
      <c r="DE27" s="440"/>
      <c r="DF27" s="440"/>
      <c r="DG27" s="440"/>
      <c r="DH27" s="440"/>
      <c r="DI27" s="440"/>
      <c r="DJ27" s="440"/>
      <c r="DK27" s="440"/>
      <c r="DL27" s="440"/>
      <c r="DM27" s="440"/>
      <c r="DN27" s="440"/>
      <c r="DO27" s="440"/>
      <c r="DP27" s="440"/>
      <c r="DQ27" s="440"/>
      <c r="DR27" s="440"/>
      <c r="DS27" s="440"/>
      <c r="DT27" s="440"/>
      <c r="DU27" s="440"/>
      <c r="DV27" s="440"/>
      <c r="DW27" s="440"/>
      <c r="DX27" s="440"/>
      <c r="DY27" s="440"/>
      <c r="DZ27" s="440"/>
      <c r="EA27" s="440"/>
      <c r="EB27" s="440"/>
      <c r="EC27" s="445"/>
      <c r="ED27" s="454"/>
      <c r="EE27" s="449"/>
      <c r="EF27" s="448"/>
      <c r="EG27" s="448"/>
      <c r="EH27" s="448"/>
      <c r="EI27" s="448"/>
      <c r="EJ27" s="448"/>
      <c r="EK27" s="448"/>
      <c r="EL27" s="448"/>
      <c r="EM27" s="448"/>
      <c r="EN27" s="448"/>
      <c r="EO27" s="448"/>
      <c r="EP27" s="448"/>
      <c r="EQ27" s="448"/>
      <c r="ER27" s="448"/>
      <c r="ES27" s="448"/>
      <c r="ET27" s="447"/>
      <c r="EU27" s="450"/>
      <c r="EV27" s="451"/>
      <c r="EW27" s="452"/>
    </row>
    <row r="28" spans="1:153" ht="18.899999999999999" customHeight="1">
      <c r="A28" s="453" t="s">
        <v>1683</v>
      </c>
      <c r="B28" s="437">
        <v>50</v>
      </c>
      <c r="C28" s="438">
        <f t="shared" si="0"/>
        <v>1000</v>
      </c>
      <c r="D28" s="438"/>
      <c r="E28" s="438"/>
      <c r="F28" s="439"/>
      <c r="G28" s="440"/>
      <c r="H28" s="440" t="s">
        <v>2019</v>
      </c>
      <c r="I28" s="440"/>
      <c r="J28" s="437"/>
      <c r="K28" s="440">
        <v>1</v>
      </c>
      <c r="L28" s="440"/>
      <c r="M28" s="440"/>
      <c r="N28" s="440"/>
      <c r="O28" s="440"/>
      <c r="P28" s="440"/>
      <c r="Q28" s="440"/>
      <c r="R28" s="440"/>
      <c r="S28" s="440"/>
      <c r="T28" s="440"/>
      <c r="U28" s="444"/>
      <c r="V28" s="440"/>
      <c r="W28" s="440"/>
      <c r="X28" s="440"/>
      <c r="Y28" s="440"/>
      <c r="Z28" s="440"/>
      <c r="AA28" s="440"/>
      <c r="AB28" s="440"/>
      <c r="AC28" s="440"/>
      <c r="AD28" s="440">
        <v>1</v>
      </c>
      <c r="AE28" s="440"/>
      <c r="AF28" s="440"/>
      <c r="AG28" s="440"/>
      <c r="AH28" s="440"/>
      <c r="AI28" s="440"/>
      <c r="AJ28" s="440"/>
      <c r="AK28" s="440"/>
      <c r="AL28" s="440"/>
      <c r="AM28" s="440"/>
      <c r="AN28" s="440"/>
      <c r="AO28" s="440"/>
      <c r="AP28" s="440"/>
      <c r="AQ28" s="440"/>
      <c r="AR28" s="440"/>
      <c r="AS28" s="440"/>
      <c r="AT28" s="441"/>
      <c r="AU28" s="440"/>
      <c r="AV28" s="440"/>
      <c r="AW28" s="440"/>
      <c r="AX28" s="440"/>
      <c r="AY28" s="440"/>
      <c r="AZ28" s="440"/>
      <c r="BA28" s="440"/>
      <c r="BB28" s="440"/>
      <c r="BC28" s="442"/>
      <c r="BD28" s="440"/>
      <c r="BE28" s="440"/>
      <c r="BF28" s="440"/>
      <c r="BG28" s="440"/>
      <c r="BH28" s="440"/>
      <c r="BI28" s="440"/>
      <c r="BJ28" s="440"/>
      <c r="BK28" s="440"/>
      <c r="BL28" s="440"/>
      <c r="BM28" s="440"/>
      <c r="BN28" s="440"/>
      <c r="BO28" s="440"/>
      <c r="BP28" s="440"/>
      <c r="BQ28" s="440"/>
      <c r="BR28" s="440"/>
      <c r="BS28" s="443">
        <v>2</v>
      </c>
      <c r="BT28" s="443"/>
      <c r="BU28" s="440"/>
      <c r="BV28" s="443"/>
      <c r="BW28" s="440"/>
      <c r="BX28" s="440"/>
      <c r="BY28" s="440"/>
      <c r="BZ28" s="440"/>
      <c r="CA28" s="440"/>
      <c r="CB28" s="440"/>
      <c r="CC28" s="440"/>
      <c r="CD28" s="440"/>
      <c r="CE28" s="440"/>
      <c r="CF28" s="440"/>
      <c r="CG28" s="440"/>
      <c r="CH28" s="440"/>
      <c r="CI28" s="440"/>
      <c r="CJ28" s="440"/>
      <c r="CK28" s="440"/>
      <c r="CL28" s="440"/>
      <c r="CM28" s="440"/>
      <c r="CN28" s="440"/>
      <c r="CO28" s="440"/>
      <c r="CP28" s="441">
        <v>6</v>
      </c>
      <c r="CQ28" s="441"/>
      <c r="CR28" s="441"/>
      <c r="CS28" s="441"/>
      <c r="CT28" s="441"/>
      <c r="CU28" s="441">
        <v>1</v>
      </c>
      <c r="CV28" s="440"/>
      <c r="CW28" s="440"/>
      <c r="CX28" s="441"/>
      <c r="CY28" s="440"/>
      <c r="CZ28" s="440"/>
      <c r="DA28" s="440"/>
      <c r="DB28" s="440"/>
      <c r="DC28" s="440"/>
      <c r="DD28" s="444"/>
      <c r="DE28" s="440"/>
      <c r="DF28" s="440"/>
      <c r="DG28" s="440"/>
      <c r="DH28" s="440"/>
      <c r="DI28" s="440"/>
      <c r="DJ28" s="440"/>
      <c r="DK28" s="440"/>
      <c r="DL28" s="440"/>
      <c r="DM28" s="440"/>
      <c r="DN28" s="440"/>
      <c r="DO28" s="440"/>
      <c r="DP28" s="440"/>
      <c r="DQ28" s="440"/>
      <c r="DR28" s="440"/>
      <c r="DS28" s="440"/>
      <c r="DT28" s="440"/>
      <c r="DU28" s="440"/>
      <c r="DV28" s="440"/>
      <c r="DW28" s="440"/>
      <c r="DX28" s="440"/>
      <c r="DY28" s="440"/>
      <c r="DZ28" s="440"/>
      <c r="EA28" s="440"/>
      <c r="EB28" s="440"/>
      <c r="EC28" s="445"/>
      <c r="ED28" s="454"/>
      <c r="EE28" s="449"/>
      <c r="EF28" s="448"/>
      <c r="EG28" s="448"/>
      <c r="EH28" s="448"/>
      <c r="EI28" s="448"/>
      <c r="EJ28" s="448"/>
      <c r="EK28" s="448"/>
      <c r="EL28" s="448"/>
      <c r="EM28" s="448"/>
      <c r="EN28" s="448"/>
      <c r="EO28" s="448"/>
      <c r="EP28" s="448"/>
      <c r="EQ28" s="448"/>
      <c r="ER28" s="448"/>
      <c r="ES28" s="448"/>
      <c r="ET28" s="447"/>
      <c r="EU28" s="450"/>
      <c r="EV28" s="451"/>
      <c r="EW28" s="452"/>
    </row>
    <row r="29" spans="1:153" ht="18.899999999999999" customHeight="1">
      <c r="A29" s="453" t="s">
        <v>1684</v>
      </c>
      <c r="B29" s="437">
        <v>40</v>
      </c>
      <c r="C29" s="438">
        <f t="shared" si="0"/>
        <v>1040</v>
      </c>
      <c r="D29" s="438"/>
      <c r="E29" s="438"/>
      <c r="F29" s="439"/>
      <c r="G29" s="440"/>
      <c r="H29" s="440" t="s">
        <v>281</v>
      </c>
      <c r="I29" s="440"/>
      <c r="J29" s="437"/>
      <c r="K29" s="440">
        <v>2</v>
      </c>
      <c r="L29" s="440"/>
      <c r="M29" s="440"/>
      <c r="N29" s="440"/>
      <c r="O29" s="440"/>
      <c r="P29" s="440"/>
      <c r="Q29" s="440"/>
      <c r="R29" s="440"/>
      <c r="S29" s="440"/>
      <c r="T29" s="440"/>
      <c r="U29" s="444"/>
      <c r="V29" s="440"/>
      <c r="W29" s="440"/>
      <c r="X29" s="440"/>
      <c r="Y29" s="440"/>
      <c r="Z29" s="440"/>
      <c r="AA29" s="440"/>
      <c r="AB29" s="440"/>
      <c r="AC29" s="440"/>
      <c r="AD29" s="440">
        <v>2</v>
      </c>
      <c r="AE29" s="440"/>
      <c r="AF29" s="440"/>
      <c r="AG29" s="440"/>
      <c r="AH29" s="440"/>
      <c r="AI29" s="440"/>
      <c r="AJ29" s="440"/>
      <c r="AK29" s="440"/>
      <c r="AL29" s="440"/>
      <c r="AM29" s="440"/>
      <c r="AN29" s="440"/>
      <c r="AO29" s="440"/>
      <c r="AP29" s="440"/>
      <c r="AQ29" s="440"/>
      <c r="AR29" s="440"/>
      <c r="AS29" s="440"/>
      <c r="AT29" s="441"/>
      <c r="AU29" s="440"/>
      <c r="AV29" s="440"/>
      <c r="AW29" s="440">
        <v>2</v>
      </c>
      <c r="AX29" s="440"/>
      <c r="AY29" s="440"/>
      <c r="AZ29" s="440"/>
      <c r="BA29" s="440"/>
      <c r="BB29" s="440"/>
      <c r="BC29" s="442">
        <v>2</v>
      </c>
      <c r="BD29" s="440"/>
      <c r="BE29" s="440"/>
      <c r="BF29" s="440"/>
      <c r="BG29" s="440"/>
      <c r="BH29" s="440"/>
      <c r="BI29" s="440"/>
      <c r="BJ29" s="440"/>
      <c r="BK29" s="440"/>
      <c r="BL29" s="440"/>
      <c r="BM29" s="440"/>
      <c r="BN29" s="440"/>
      <c r="BO29" s="440"/>
      <c r="BP29" s="440">
        <v>1</v>
      </c>
      <c r="BQ29" s="440"/>
      <c r="BR29" s="440"/>
      <c r="BS29" s="443"/>
      <c r="BT29" s="443"/>
      <c r="BU29" s="440"/>
      <c r="BV29" s="443"/>
      <c r="BW29" s="440"/>
      <c r="BX29" s="440"/>
      <c r="BY29" s="440"/>
      <c r="BZ29" s="440"/>
      <c r="CA29" s="440"/>
      <c r="CB29" s="440"/>
      <c r="CC29" s="440"/>
      <c r="CD29" s="440"/>
      <c r="CE29" s="440">
        <v>2</v>
      </c>
      <c r="CF29" s="440"/>
      <c r="CG29" s="440"/>
      <c r="CH29" s="440"/>
      <c r="CI29" s="440"/>
      <c r="CJ29" s="440"/>
      <c r="CK29" s="440">
        <v>1</v>
      </c>
      <c r="CL29" s="440"/>
      <c r="CM29" s="440"/>
      <c r="CN29" s="440"/>
      <c r="CO29" s="440"/>
      <c r="CP29" s="441">
        <v>6</v>
      </c>
      <c r="CQ29" s="441">
        <v>9</v>
      </c>
      <c r="CR29" s="441"/>
      <c r="CS29" s="441"/>
      <c r="CT29" s="441">
        <v>6</v>
      </c>
      <c r="CU29" s="441">
        <v>1</v>
      </c>
      <c r="CV29" s="440"/>
      <c r="CW29" s="440"/>
      <c r="CX29" s="441"/>
      <c r="CY29" s="440"/>
      <c r="CZ29" s="440"/>
      <c r="DA29" s="440"/>
      <c r="DB29" s="440"/>
      <c r="DC29" s="440"/>
      <c r="DD29" s="444">
        <v>12</v>
      </c>
      <c r="DE29" s="440"/>
      <c r="DF29" s="440"/>
      <c r="DG29" s="440"/>
      <c r="DH29" s="440"/>
      <c r="DI29" s="440"/>
      <c r="DJ29" s="440"/>
      <c r="DK29" s="440"/>
      <c r="DL29" s="440"/>
      <c r="DM29" s="440"/>
      <c r="DN29" s="440"/>
      <c r="DO29" s="440"/>
      <c r="DP29" s="440"/>
      <c r="DQ29" s="440"/>
      <c r="DR29" s="440"/>
      <c r="DS29" s="440"/>
      <c r="DT29" s="440"/>
      <c r="DU29" s="440"/>
      <c r="DV29" s="440"/>
      <c r="DW29" s="440"/>
      <c r="DX29" s="440"/>
      <c r="DY29" s="440"/>
      <c r="DZ29" s="440"/>
      <c r="EA29" s="440"/>
      <c r="EB29" s="440"/>
      <c r="EC29" s="445"/>
      <c r="ED29" s="454"/>
      <c r="EE29" s="449"/>
      <c r="EF29" s="448"/>
      <c r="EG29" s="448"/>
      <c r="EH29" s="448"/>
      <c r="EI29" s="448"/>
      <c r="EJ29" s="448"/>
      <c r="EK29" s="448"/>
      <c r="EL29" s="448"/>
      <c r="EM29" s="448"/>
      <c r="EN29" s="448"/>
      <c r="EO29" s="448"/>
      <c r="EP29" s="448"/>
      <c r="EQ29" s="448"/>
      <c r="ER29" s="448"/>
      <c r="ES29" s="448"/>
      <c r="ET29" s="447"/>
      <c r="EU29" s="450"/>
      <c r="EV29" s="451"/>
      <c r="EW29" s="452"/>
    </row>
    <row r="30" spans="1:153" ht="18.899999999999999" customHeight="1">
      <c r="A30" s="453" t="s">
        <v>1685</v>
      </c>
      <c r="B30" s="437">
        <v>40</v>
      </c>
      <c r="C30" s="438">
        <f t="shared" si="0"/>
        <v>1080</v>
      </c>
      <c r="D30" s="438"/>
      <c r="E30" s="438"/>
      <c r="F30" s="439"/>
      <c r="G30" s="440"/>
      <c r="H30" s="440" t="s">
        <v>546</v>
      </c>
      <c r="I30" s="440"/>
      <c r="J30" s="437">
        <v>2</v>
      </c>
      <c r="K30" s="440"/>
      <c r="L30" s="440"/>
      <c r="M30" s="440"/>
      <c r="N30" s="440"/>
      <c r="O30" s="440"/>
      <c r="P30" s="440"/>
      <c r="Q30" s="440"/>
      <c r="R30" s="440"/>
      <c r="S30" s="440"/>
      <c r="T30" s="440"/>
      <c r="U30" s="444">
        <v>2</v>
      </c>
      <c r="V30" s="440"/>
      <c r="W30" s="440"/>
      <c r="X30" s="440"/>
      <c r="Y30" s="440"/>
      <c r="Z30" s="440"/>
      <c r="AA30" s="440"/>
      <c r="AB30" s="440"/>
      <c r="AC30" s="440"/>
      <c r="AD30" s="440"/>
      <c r="AE30" s="440"/>
      <c r="AF30" s="440"/>
      <c r="AG30" s="440"/>
      <c r="AH30" s="440"/>
      <c r="AI30" s="440"/>
      <c r="AJ30" s="440"/>
      <c r="AK30" s="440"/>
      <c r="AL30" s="440"/>
      <c r="AM30" s="440"/>
      <c r="AN30" s="440"/>
      <c r="AO30" s="440"/>
      <c r="AP30" s="440"/>
      <c r="AQ30" s="440"/>
      <c r="AR30" s="440"/>
      <c r="AS30" s="440"/>
      <c r="AT30" s="441">
        <v>2</v>
      </c>
      <c r="AU30" s="440"/>
      <c r="AV30" s="440"/>
      <c r="AW30" s="440"/>
      <c r="AX30" s="440"/>
      <c r="AY30" s="440"/>
      <c r="AZ30" s="440"/>
      <c r="BA30" s="440"/>
      <c r="BB30" s="440"/>
      <c r="BC30" s="442">
        <v>2</v>
      </c>
      <c r="BD30" s="440"/>
      <c r="BE30" s="440"/>
      <c r="BF30" s="440"/>
      <c r="BG30" s="440"/>
      <c r="BH30" s="440"/>
      <c r="BI30" s="440"/>
      <c r="BJ30" s="440"/>
      <c r="BK30" s="440"/>
      <c r="BL30" s="440"/>
      <c r="BM30" s="440"/>
      <c r="BN30" s="440"/>
      <c r="BO30" s="440"/>
      <c r="BP30" s="440"/>
      <c r="BQ30" s="440"/>
      <c r="BR30" s="440"/>
      <c r="BS30" s="443"/>
      <c r="BT30" s="443"/>
      <c r="BU30" s="440"/>
      <c r="BV30" s="443"/>
      <c r="BW30" s="440"/>
      <c r="BX30" s="440"/>
      <c r="BY30" s="440"/>
      <c r="BZ30" s="440"/>
      <c r="CA30" s="440"/>
      <c r="CB30" s="440"/>
      <c r="CC30" s="440"/>
      <c r="CD30" s="440"/>
      <c r="CE30" s="440">
        <v>2</v>
      </c>
      <c r="CF30" s="440"/>
      <c r="CG30" s="440"/>
      <c r="CH30" s="440"/>
      <c r="CI30" s="440"/>
      <c r="CJ30" s="440"/>
      <c r="CK30" s="440">
        <v>1</v>
      </c>
      <c r="CL30" s="440"/>
      <c r="CM30" s="440"/>
      <c r="CN30" s="440"/>
      <c r="CO30" s="440"/>
      <c r="CP30" s="441"/>
      <c r="CQ30" s="441">
        <v>3</v>
      </c>
      <c r="CR30" s="441"/>
      <c r="CS30" s="441">
        <v>1</v>
      </c>
      <c r="CT30" s="441">
        <v>6</v>
      </c>
      <c r="CU30" s="441"/>
      <c r="CV30" s="440"/>
      <c r="CW30" s="440"/>
      <c r="CX30" s="441">
        <v>1</v>
      </c>
      <c r="CY30" s="440"/>
      <c r="CZ30" s="440"/>
      <c r="DA30" s="440"/>
      <c r="DB30" s="440"/>
      <c r="DC30" s="440"/>
      <c r="DD30" s="444"/>
      <c r="DE30" s="440"/>
      <c r="DF30" s="440"/>
      <c r="DG30" s="440"/>
      <c r="DH30" s="440"/>
      <c r="DI30" s="440"/>
      <c r="DJ30" s="440"/>
      <c r="DK30" s="440"/>
      <c r="DL30" s="440"/>
      <c r="DM30" s="440"/>
      <c r="DN30" s="440"/>
      <c r="DO30" s="440"/>
      <c r="DP30" s="440"/>
      <c r="DQ30" s="440"/>
      <c r="DR30" s="440"/>
      <c r="DS30" s="440"/>
      <c r="DT30" s="440"/>
      <c r="DU30" s="440"/>
      <c r="DV30" s="440"/>
      <c r="DW30" s="440"/>
      <c r="DX30" s="440"/>
      <c r="DY30" s="440"/>
      <c r="DZ30" s="440"/>
      <c r="EA30" s="440"/>
      <c r="EB30" s="440"/>
      <c r="EC30" s="445"/>
      <c r="ED30" s="454"/>
      <c r="EE30" s="449"/>
      <c r="EF30" s="448"/>
      <c r="EG30" s="448"/>
      <c r="EH30" s="448"/>
      <c r="EI30" s="448"/>
      <c r="EJ30" s="448"/>
      <c r="EK30" s="448"/>
      <c r="EL30" s="448"/>
      <c r="EM30" s="448"/>
      <c r="EN30" s="448"/>
      <c r="EO30" s="448"/>
      <c r="EP30" s="448"/>
      <c r="EQ30" s="448"/>
      <c r="ER30" s="448"/>
      <c r="ES30" s="448"/>
      <c r="ET30" s="447"/>
      <c r="EU30" s="450"/>
      <c r="EV30" s="451"/>
      <c r="EW30" s="452"/>
    </row>
    <row r="31" spans="1:153" ht="18.899999999999999" customHeight="1">
      <c r="A31" s="453"/>
      <c r="B31" s="437"/>
      <c r="C31" s="438"/>
      <c r="D31" s="438"/>
      <c r="E31" s="438"/>
      <c r="F31" s="439"/>
      <c r="G31" s="440"/>
      <c r="H31" s="440"/>
      <c r="I31" s="440"/>
      <c r="J31" s="437"/>
      <c r="K31" s="440"/>
      <c r="L31" s="440"/>
      <c r="M31" s="440"/>
      <c r="N31" s="440"/>
      <c r="O31" s="440"/>
      <c r="P31" s="440"/>
      <c r="Q31" s="440"/>
      <c r="R31" s="440"/>
      <c r="S31" s="440"/>
      <c r="T31" s="440"/>
      <c r="U31" s="444"/>
      <c r="V31" s="440"/>
      <c r="W31" s="440"/>
      <c r="X31" s="440"/>
      <c r="Y31" s="440"/>
      <c r="Z31" s="440"/>
      <c r="AA31" s="440"/>
      <c r="AB31" s="440"/>
      <c r="AC31" s="440"/>
      <c r="AD31" s="440"/>
      <c r="AE31" s="440"/>
      <c r="AF31" s="440"/>
      <c r="AG31" s="440"/>
      <c r="AH31" s="440"/>
      <c r="AI31" s="440"/>
      <c r="AJ31" s="440"/>
      <c r="AK31" s="440"/>
      <c r="AL31" s="440"/>
      <c r="AM31" s="440"/>
      <c r="AN31" s="440"/>
      <c r="AO31" s="440"/>
      <c r="AP31" s="440"/>
      <c r="AQ31" s="440"/>
      <c r="AR31" s="440"/>
      <c r="AS31" s="440"/>
      <c r="AT31" s="441"/>
      <c r="AU31" s="440"/>
      <c r="AV31" s="440"/>
      <c r="AW31" s="440"/>
      <c r="AX31" s="440"/>
      <c r="AY31" s="440"/>
      <c r="AZ31" s="440"/>
      <c r="BA31" s="440"/>
      <c r="BB31" s="440"/>
      <c r="BC31" s="442"/>
      <c r="BD31" s="440"/>
      <c r="BE31" s="440"/>
      <c r="BF31" s="440"/>
      <c r="BG31" s="440"/>
      <c r="BH31" s="440"/>
      <c r="BI31" s="440"/>
      <c r="BJ31" s="440"/>
      <c r="BK31" s="440"/>
      <c r="BL31" s="440"/>
      <c r="BM31" s="440"/>
      <c r="BN31" s="440"/>
      <c r="BO31" s="440"/>
      <c r="BP31" s="440"/>
      <c r="BQ31" s="440"/>
      <c r="BR31" s="440"/>
      <c r="BS31" s="443"/>
      <c r="BT31" s="443"/>
      <c r="BU31" s="440"/>
      <c r="BV31" s="443"/>
      <c r="BW31" s="440"/>
      <c r="BX31" s="440"/>
      <c r="BY31" s="440"/>
      <c r="BZ31" s="440"/>
      <c r="CA31" s="440"/>
      <c r="CB31" s="440"/>
      <c r="CC31" s="440"/>
      <c r="CD31" s="440"/>
      <c r="CE31" s="440"/>
      <c r="CF31" s="440"/>
      <c r="CG31" s="440"/>
      <c r="CH31" s="440"/>
      <c r="CI31" s="440"/>
      <c r="CJ31" s="440"/>
      <c r="CK31" s="440"/>
      <c r="CL31" s="440"/>
      <c r="CM31" s="440"/>
      <c r="CN31" s="440"/>
      <c r="CO31" s="440"/>
      <c r="CP31" s="441"/>
      <c r="CQ31" s="441"/>
      <c r="CR31" s="441"/>
      <c r="CS31" s="441"/>
      <c r="CT31" s="441"/>
      <c r="CU31" s="441"/>
      <c r="CV31" s="440"/>
      <c r="CW31" s="440"/>
      <c r="CX31" s="441"/>
      <c r="CY31" s="440"/>
      <c r="CZ31" s="440"/>
      <c r="DA31" s="440"/>
      <c r="DB31" s="440"/>
      <c r="DC31" s="440"/>
      <c r="DD31" s="444"/>
      <c r="DE31" s="440"/>
      <c r="DF31" s="440"/>
      <c r="DG31" s="440"/>
      <c r="DH31" s="440"/>
      <c r="DI31" s="440"/>
      <c r="DJ31" s="440"/>
      <c r="DK31" s="440"/>
      <c r="DL31" s="440"/>
      <c r="DM31" s="440"/>
      <c r="DN31" s="440"/>
      <c r="DO31" s="440"/>
      <c r="DP31" s="440"/>
      <c r="DQ31" s="440"/>
      <c r="DR31" s="440"/>
      <c r="DS31" s="440"/>
      <c r="DT31" s="440"/>
      <c r="DU31" s="440"/>
      <c r="DV31" s="440"/>
      <c r="DW31" s="440"/>
      <c r="DX31" s="440"/>
      <c r="DY31" s="440"/>
      <c r="DZ31" s="440"/>
      <c r="EA31" s="440"/>
      <c r="EB31" s="440"/>
      <c r="EC31" s="445"/>
      <c r="ED31" s="454"/>
      <c r="EE31" s="449"/>
      <c r="EF31" s="448"/>
      <c r="EG31" s="448"/>
      <c r="EH31" s="448"/>
      <c r="EI31" s="448"/>
      <c r="EJ31" s="448"/>
      <c r="EK31" s="448"/>
      <c r="EL31" s="448"/>
      <c r="EM31" s="448"/>
      <c r="EN31" s="448"/>
      <c r="EO31" s="448"/>
      <c r="EP31" s="448"/>
      <c r="EQ31" s="448"/>
      <c r="ER31" s="448"/>
      <c r="ES31" s="448"/>
      <c r="ET31" s="447"/>
      <c r="EU31" s="450"/>
      <c r="EV31" s="451"/>
      <c r="EW31" s="452"/>
    </row>
    <row r="32" spans="1:153" ht="18.899999999999999" customHeight="1">
      <c r="A32" s="436" t="s">
        <v>979</v>
      </c>
      <c r="B32" s="437"/>
      <c r="C32" s="438"/>
      <c r="D32" s="438"/>
      <c r="E32" s="438"/>
      <c r="F32" s="439"/>
      <c r="G32" s="440"/>
      <c r="H32" s="440" t="s">
        <v>546</v>
      </c>
      <c r="I32" s="440"/>
      <c r="J32" s="440">
        <v>2</v>
      </c>
      <c r="K32" s="440"/>
      <c r="L32" s="440"/>
      <c r="M32" s="440"/>
      <c r="N32" s="440"/>
      <c r="O32" s="440"/>
      <c r="P32" s="440"/>
      <c r="Q32" s="440"/>
      <c r="R32" s="440"/>
      <c r="S32" s="440"/>
      <c r="T32" s="440"/>
      <c r="U32" s="440">
        <v>2</v>
      </c>
      <c r="V32" s="440"/>
      <c r="W32" s="440"/>
      <c r="X32" s="440"/>
      <c r="Y32" s="440"/>
      <c r="Z32" s="440"/>
      <c r="AA32" s="440"/>
      <c r="AB32" s="440"/>
      <c r="AC32" s="440"/>
      <c r="AD32" s="440"/>
      <c r="AE32" s="440"/>
      <c r="AF32" s="440"/>
      <c r="AG32" s="440"/>
      <c r="AH32" s="440"/>
      <c r="AI32" s="440"/>
      <c r="AJ32" s="440"/>
      <c r="AK32" s="440"/>
      <c r="AL32" s="440"/>
      <c r="AM32" s="440"/>
      <c r="AN32" s="440"/>
      <c r="AO32" s="440"/>
      <c r="AP32" s="440"/>
      <c r="AQ32" s="440"/>
      <c r="AR32" s="440"/>
      <c r="AS32" s="440"/>
      <c r="AT32" s="441">
        <v>2</v>
      </c>
      <c r="AU32" s="440"/>
      <c r="AV32" s="440"/>
      <c r="AW32" s="440"/>
      <c r="AX32" s="440"/>
      <c r="AY32" s="440"/>
      <c r="AZ32" s="440"/>
      <c r="BA32" s="440"/>
      <c r="BB32" s="440"/>
      <c r="BC32" s="442">
        <v>2</v>
      </c>
      <c r="BD32" s="440"/>
      <c r="BE32" s="440"/>
      <c r="BF32" s="440"/>
      <c r="BG32" s="440"/>
      <c r="BH32" s="440"/>
      <c r="BI32" s="440"/>
      <c r="BJ32" s="440"/>
      <c r="BK32" s="440"/>
      <c r="BL32" s="440"/>
      <c r="BM32" s="440"/>
      <c r="BN32" s="440"/>
      <c r="BO32" s="440">
        <v>1</v>
      </c>
      <c r="BP32" s="440"/>
      <c r="BQ32" s="440"/>
      <c r="BR32" s="440"/>
      <c r="BS32" s="443"/>
      <c r="BT32" s="443"/>
      <c r="BU32" s="440"/>
      <c r="BV32" s="443"/>
      <c r="BW32" s="440"/>
      <c r="BX32" s="440"/>
      <c r="BY32" s="440"/>
      <c r="BZ32" s="440"/>
      <c r="CA32" s="440"/>
      <c r="CB32" s="440"/>
      <c r="CC32" s="440"/>
      <c r="CD32" s="440"/>
      <c r="CE32" s="440">
        <v>2</v>
      </c>
      <c r="CF32" s="440"/>
      <c r="CG32" s="440"/>
      <c r="CH32" s="440"/>
      <c r="CI32" s="440"/>
      <c r="CJ32" s="440"/>
      <c r="CK32" s="440">
        <v>1</v>
      </c>
      <c r="CL32" s="440"/>
      <c r="CM32" s="440"/>
      <c r="CN32" s="440"/>
      <c r="CO32" s="440"/>
      <c r="CP32" s="441"/>
      <c r="CQ32" s="441">
        <v>6</v>
      </c>
      <c r="CR32" s="441"/>
      <c r="CS32" s="441">
        <v>1</v>
      </c>
      <c r="CT32" s="441">
        <v>6</v>
      </c>
      <c r="CU32" s="441"/>
      <c r="CV32" s="440"/>
      <c r="CW32" s="440"/>
      <c r="CX32" s="441">
        <v>1</v>
      </c>
      <c r="CY32" s="440"/>
      <c r="CZ32" s="440"/>
      <c r="DA32" s="440"/>
      <c r="DB32" s="440"/>
      <c r="DC32" s="440"/>
      <c r="DD32" s="444">
        <v>12</v>
      </c>
      <c r="DE32" s="440"/>
      <c r="DF32" s="440"/>
      <c r="DG32" s="440"/>
      <c r="DH32" s="440"/>
      <c r="DI32" s="440"/>
      <c r="DJ32" s="440"/>
      <c r="DK32" s="440">
        <v>6</v>
      </c>
      <c r="DL32" s="440"/>
      <c r="DM32" s="440">
        <v>3</v>
      </c>
      <c r="DN32" s="440"/>
      <c r="DO32" s="440"/>
      <c r="DP32" s="440"/>
      <c r="DQ32" s="440">
        <v>1</v>
      </c>
      <c r="DR32" s="440"/>
      <c r="DS32" s="440"/>
      <c r="DT32" s="440"/>
      <c r="DU32" s="440"/>
      <c r="DV32" s="440"/>
      <c r="DW32" s="440"/>
      <c r="DX32" s="440"/>
      <c r="DY32" s="440"/>
      <c r="DZ32" s="440"/>
      <c r="EA32" s="440"/>
      <c r="EB32" s="440"/>
      <c r="EC32" s="445"/>
      <c r="ED32" s="454"/>
      <c r="EE32" s="449"/>
      <c r="EF32" s="448"/>
      <c r="EG32" s="448"/>
      <c r="EH32" s="448"/>
      <c r="EI32" s="448"/>
      <c r="EJ32" s="448"/>
      <c r="EK32" s="448"/>
      <c r="EL32" s="448"/>
      <c r="EM32" s="448"/>
      <c r="EN32" s="448"/>
      <c r="EO32" s="448"/>
      <c r="EP32" s="448"/>
      <c r="EQ32" s="448"/>
      <c r="ER32" s="448"/>
      <c r="ES32" s="448"/>
      <c r="ET32" s="447"/>
      <c r="EU32" s="450"/>
      <c r="EV32" s="451"/>
      <c r="EW32" s="452"/>
    </row>
    <row r="33" spans="1:153" ht="18.899999999999999" customHeight="1">
      <c r="A33" s="436" t="s">
        <v>980</v>
      </c>
      <c r="B33" s="437">
        <v>50</v>
      </c>
      <c r="C33" s="438">
        <f>C30+B34</f>
        <v>1130</v>
      </c>
      <c r="D33" s="438"/>
      <c r="E33" s="438"/>
      <c r="F33" s="439"/>
      <c r="G33" s="440"/>
      <c r="H33" s="440" t="s">
        <v>2019</v>
      </c>
      <c r="I33" s="440"/>
      <c r="J33" s="437">
        <v>1</v>
      </c>
      <c r="K33" s="440"/>
      <c r="L33" s="440"/>
      <c r="M33" s="440"/>
      <c r="N33" s="440"/>
      <c r="O33" s="440"/>
      <c r="P33" s="440"/>
      <c r="Q33" s="440"/>
      <c r="R33" s="440"/>
      <c r="S33" s="440"/>
      <c r="T33" s="440"/>
      <c r="U33" s="444">
        <v>1</v>
      </c>
      <c r="V33" s="440"/>
      <c r="W33" s="440"/>
      <c r="X33" s="440"/>
      <c r="Y33" s="440"/>
      <c r="Z33" s="440"/>
      <c r="AA33" s="440"/>
      <c r="AB33" s="440"/>
      <c r="AC33" s="440"/>
      <c r="AD33" s="440"/>
      <c r="AE33" s="440"/>
      <c r="AF33" s="440"/>
      <c r="AG33" s="440"/>
      <c r="AH33" s="440"/>
      <c r="AI33" s="440"/>
      <c r="AJ33" s="440"/>
      <c r="AK33" s="440"/>
      <c r="AL33" s="440"/>
      <c r="AM33" s="440"/>
      <c r="AN33" s="440"/>
      <c r="AO33" s="440"/>
      <c r="AP33" s="440"/>
      <c r="AQ33" s="440"/>
      <c r="AR33" s="440"/>
      <c r="AS33" s="440"/>
      <c r="AT33" s="441"/>
      <c r="AU33" s="440"/>
      <c r="AV33" s="440"/>
      <c r="AW33" s="440"/>
      <c r="AX33" s="440"/>
      <c r="AY33" s="440"/>
      <c r="AZ33" s="440"/>
      <c r="BA33" s="440"/>
      <c r="BB33" s="440"/>
      <c r="BC33" s="442"/>
      <c r="BD33" s="440"/>
      <c r="BE33" s="440"/>
      <c r="BF33" s="440"/>
      <c r="BG33" s="440"/>
      <c r="BH33" s="440"/>
      <c r="BI33" s="440"/>
      <c r="BJ33" s="440"/>
      <c r="BK33" s="440"/>
      <c r="BL33" s="440"/>
      <c r="BM33" s="440"/>
      <c r="BN33" s="440"/>
      <c r="BO33" s="440"/>
      <c r="BP33" s="440"/>
      <c r="BQ33" s="440"/>
      <c r="BR33" s="440"/>
      <c r="BS33" s="443">
        <v>2</v>
      </c>
      <c r="BT33" s="443"/>
      <c r="BU33" s="440"/>
      <c r="BV33" s="443"/>
      <c r="BW33" s="440"/>
      <c r="BX33" s="440"/>
      <c r="BY33" s="440"/>
      <c r="BZ33" s="440"/>
      <c r="CA33" s="440"/>
      <c r="CB33" s="440"/>
      <c r="CC33" s="440"/>
      <c r="CD33" s="440"/>
      <c r="CE33" s="440"/>
      <c r="CF33" s="440"/>
      <c r="CG33" s="440"/>
      <c r="CH33" s="440"/>
      <c r="CI33" s="440"/>
      <c r="CJ33" s="440"/>
      <c r="CK33" s="440"/>
      <c r="CL33" s="440"/>
      <c r="CM33" s="440"/>
      <c r="CN33" s="440"/>
      <c r="CO33" s="440"/>
      <c r="CP33" s="441">
        <v>6</v>
      </c>
      <c r="CQ33" s="441"/>
      <c r="CR33" s="441"/>
      <c r="CS33" s="441"/>
      <c r="CT33" s="441"/>
      <c r="CU33" s="441">
        <v>1</v>
      </c>
      <c r="CV33" s="440"/>
      <c r="CW33" s="440"/>
      <c r="CX33" s="441"/>
      <c r="CY33" s="440"/>
      <c r="CZ33" s="440"/>
      <c r="DA33" s="440"/>
      <c r="DB33" s="440"/>
      <c r="DC33" s="440"/>
      <c r="DD33" s="444"/>
      <c r="DE33" s="440"/>
      <c r="DF33" s="440"/>
      <c r="DG33" s="440"/>
      <c r="DH33" s="440"/>
      <c r="DI33" s="440"/>
      <c r="DJ33" s="440"/>
      <c r="DK33" s="440"/>
      <c r="DL33" s="440"/>
      <c r="DM33" s="440"/>
      <c r="DN33" s="440"/>
      <c r="DO33" s="440"/>
      <c r="DP33" s="440"/>
      <c r="DQ33" s="440"/>
      <c r="DR33" s="440"/>
      <c r="DS33" s="440"/>
      <c r="DT33" s="440"/>
      <c r="DU33" s="440"/>
      <c r="DV33" s="440"/>
      <c r="DW33" s="440"/>
      <c r="DX33" s="440"/>
      <c r="DY33" s="440"/>
      <c r="DZ33" s="440"/>
      <c r="EA33" s="440"/>
      <c r="EB33" s="440"/>
      <c r="EC33" s="445"/>
      <c r="ED33" s="454"/>
      <c r="EE33" s="449"/>
      <c r="EF33" s="448"/>
      <c r="EG33" s="448"/>
      <c r="EH33" s="448"/>
      <c r="EI33" s="448"/>
      <c r="EJ33" s="448"/>
      <c r="EK33" s="448"/>
      <c r="EL33" s="448"/>
      <c r="EM33" s="448"/>
      <c r="EN33" s="448"/>
      <c r="EO33" s="448"/>
      <c r="EP33" s="448"/>
      <c r="EQ33" s="448"/>
      <c r="ER33" s="448"/>
      <c r="ES33" s="448"/>
      <c r="ET33" s="447"/>
      <c r="EU33" s="450"/>
      <c r="EV33" s="451"/>
      <c r="EW33" s="452"/>
    </row>
    <row r="34" spans="1:153" ht="18.899999999999999" customHeight="1">
      <c r="A34" s="436" t="s">
        <v>981</v>
      </c>
      <c r="B34" s="437">
        <v>50</v>
      </c>
      <c r="C34" s="438">
        <f t="shared" ref="C34:C53" si="1">C33+B34</f>
        <v>1180</v>
      </c>
      <c r="D34" s="438"/>
      <c r="E34" s="438"/>
      <c r="F34" s="439"/>
      <c r="G34" s="440"/>
      <c r="H34" s="440" t="s">
        <v>2019</v>
      </c>
      <c r="I34" s="440"/>
      <c r="J34" s="437">
        <v>1</v>
      </c>
      <c r="K34" s="440"/>
      <c r="L34" s="440"/>
      <c r="M34" s="440"/>
      <c r="N34" s="440"/>
      <c r="O34" s="440"/>
      <c r="P34" s="440"/>
      <c r="Q34" s="440"/>
      <c r="R34" s="440"/>
      <c r="S34" s="440"/>
      <c r="T34" s="440"/>
      <c r="U34" s="444">
        <v>1</v>
      </c>
      <c r="V34" s="440"/>
      <c r="W34" s="440"/>
      <c r="X34" s="440"/>
      <c r="Y34" s="440"/>
      <c r="Z34" s="440"/>
      <c r="AA34" s="440"/>
      <c r="AB34" s="440"/>
      <c r="AC34" s="440"/>
      <c r="AD34" s="440"/>
      <c r="AE34" s="440"/>
      <c r="AF34" s="440"/>
      <c r="AG34" s="440"/>
      <c r="AH34" s="440"/>
      <c r="AI34" s="440"/>
      <c r="AJ34" s="440"/>
      <c r="AK34" s="440"/>
      <c r="AL34" s="440"/>
      <c r="AM34" s="440"/>
      <c r="AN34" s="440"/>
      <c r="AO34" s="440"/>
      <c r="AP34" s="440"/>
      <c r="AQ34" s="440"/>
      <c r="AR34" s="440"/>
      <c r="AS34" s="440"/>
      <c r="AT34" s="441"/>
      <c r="AU34" s="440"/>
      <c r="AV34" s="440"/>
      <c r="AW34" s="440"/>
      <c r="AX34" s="440"/>
      <c r="AY34" s="440"/>
      <c r="AZ34" s="440"/>
      <c r="BA34" s="440"/>
      <c r="BB34" s="440"/>
      <c r="BC34" s="442"/>
      <c r="BD34" s="440"/>
      <c r="BE34" s="440"/>
      <c r="BF34" s="440"/>
      <c r="BG34" s="440"/>
      <c r="BH34" s="440"/>
      <c r="BI34" s="440"/>
      <c r="BJ34" s="440"/>
      <c r="BK34" s="440"/>
      <c r="BL34" s="440"/>
      <c r="BM34" s="440"/>
      <c r="BN34" s="440"/>
      <c r="BO34" s="440"/>
      <c r="BP34" s="440"/>
      <c r="BQ34" s="440"/>
      <c r="BR34" s="440"/>
      <c r="BS34" s="443">
        <v>2</v>
      </c>
      <c r="BT34" s="443"/>
      <c r="BU34" s="440"/>
      <c r="BV34" s="443"/>
      <c r="BW34" s="440"/>
      <c r="BX34" s="440"/>
      <c r="BY34" s="440"/>
      <c r="BZ34" s="440"/>
      <c r="CA34" s="440"/>
      <c r="CB34" s="440"/>
      <c r="CC34" s="440"/>
      <c r="CD34" s="440"/>
      <c r="CE34" s="440"/>
      <c r="CF34" s="440"/>
      <c r="CG34" s="440"/>
      <c r="CH34" s="440"/>
      <c r="CI34" s="440"/>
      <c r="CJ34" s="440"/>
      <c r="CK34" s="440"/>
      <c r="CL34" s="440"/>
      <c r="CM34" s="440"/>
      <c r="CN34" s="440"/>
      <c r="CO34" s="440"/>
      <c r="CP34" s="441">
        <v>6</v>
      </c>
      <c r="CQ34" s="441"/>
      <c r="CR34" s="441"/>
      <c r="CS34" s="441"/>
      <c r="CT34" s="441"/>
      <c r="CU34" s="441">
        <v>1</v>
      </c>
      <c r="CV34" s="440"/>
      <c r="CW34" s="440"/>
      <c r="CX34" s="441"/>
      <c r="CY34" s="440"/>
      <c r="CZ34" s="440"/>
      <c r="DA34" s="440"/>
      <c r="DB34" s="440"/>
      <c r="DC34" s="440"/>
      <c r="DD34" s="444"/>
      <c r="DE34" s="440"/>
      <c r="DF34" s="440"/>
      <c r="DG34" s="440"/>
      <c r="DH34" s="440"/>
      <c r="DI34" s="440"/>
      <c r="DJ34" s="440"/>
      <c r="DK34" s="440"/>
      <c r="DL34" s="440"/>
      <c r="DM34" s="440"/>
      <c r="DN34" s="440"/>
      <c r="DO34" s="440"/>
      <c r="DP34" s="440"/>
      <c r="DQ34" s="440"/>
      <c r="DR34" s="440"/>
      <c r="DS34" s="440"/>
      <c r="DT34" s="440"/>
      <c r="DU34" s="440"/>
      <c r="DV34" s="440"/>
      <c r="DW34" s="440"/>
      <c r="DX34" s="440"/>
      <c r="DY34" s="440"/>
      <c r="DZ34" s="440"/>
      <c r="EA34" s="440"/>
      <c r="EB34" s="440"/>
      <c r="EC34" s="445"/>
      <c r="ED34" s="454"/>
      <c r="EE34" s="449"/>
      <c r="EF34" s="448"/>
      <c r="EG34" s="448"/>
      <c r="EH34" s="448"/>
      <c r="EI34" s="448"/>
      <c r="EJ34" s="448"/>
      <c r="EK34" s="448"/>
      <c r="EL34" s="448"/>
      <c r="EM34" s="448"/>
      <c r="EN34" s="448"/>
      <c r="EO34" s="448"/>
      <c r="EP34" s="448"/>
      <c r="EQ34" s="448"/>
      <c r="ER34" s="448"/>
      <c r="ES34" s="448"/>
      <c r="ET34" s="447"/>
      <c r="EU34" s="450"/>
      <c r="EV34" s="451"/>
      <c r="EW34" s="452"/>
    </row>
    <row r="35" spans="1:153" ht="18.899999999999999" customHeight="1">
      <c r="A35" s="436" t="s">
        <v>982</v>
      </c>
      <c r="B35" s="437">
        <v>50</v>
      </c>
      <c r="C35" s="438">
        <f t="shared" si="1"/>
        <v>1230</v>
      </c>
      <c r="D35" s="438"/>
      <c r="E35" s="438"/>
      <c r="F35" s="439"/>
      <c r="G35" s="440"/>
      <c r="H35" s="440" t="s">
        <v>2019</v>
      </c>
      <c r="I35" s="440"/>
      <c r="J35" s="437">
        <v>1</v>
      </c>
      <c r="K35" s="440"/>
      <c r="L35" s="440"/>
      <c r="M35" s="440"/>
      <c r="N35" s="440"/>
      <c r="O35" s="440"/>
      <c r="P35" s="440"/>
      <c r="Q35" s="440"/>
      <c r="R35" s="440"/>
      <c r="S35" s="440"/>
      <c r="T35" s="440"/>
      <c r="U35" s="444">
        <v>1</v>
      </c>
      <c r="V35" s="440"/>
      <c r="W35" s="440"/>
      <c r="X35" s="440"/>
      <c r="Y35" s="440"/>
      <c r="Z35" s="440"/>
      <c r="AA35" s="440"/>
      <c r="AB35" s="440"/>
      <c r="AC35" s="440"/>
      <c r="AD35" s="440"/>
      <c r="AE35" s="440"/>
      <c r="AF35" s="440"/>
      <c r="AG35" s="440"/>
      <c r="AH35" s="440"/>
      <c r="AI35" s="440"/>
      <c r="AJ35" s="440"/>
      <c r="AK35" s="440"/>
      <c r="AL35" s="440"/>
      <c r="AM35" s="440"/>
      <c r="AN35" s="440"/>
      <c r="AO35" s="440"/>
      <c r="AP35" s="440"/>
      <c r="AQ35" s="440"/>
      <c r="AR35" s="440"/>
      <c r="AS35" s="440"/>
      <c r="AT35" s="441"/>
      <c r="AU35" s="440"/>
      <c r="AV35" s="440"/>
      <c r="AW35" s="440"/>
      <c r="AX35" s="440"/>
      <c r="AY35" s="440"/>
      <c r="AZ35" s="440"/>
      <c r="BA35" s="440"/>
      <c r="BB35" s="440"/>
      <c r="BC35" s="442"/>
      <c r="BD35" s="440"/>
      <c r="BE35" s="440"/>
      <c r="BF35" s="440"/>
      <c r="BG35" s="440"/>
      <c r="BH35" s="440"/>
      <c r="BI35" s="440"/>
      <c r="BJ35" s="440"/>
      <c r="BK35" s="440"/>
      <c r="BL35" s="440"/>
      <c r="BM35" s="440"/>
      <c r="BN35" s="440"/>
      <c r="BO35" s="440"/>
      <c r="BP35" s="440"/>
      <c r="BQ35" s="440"/>
      <c r="BR35" s="440"/>
      <c r="BS35" s="443">
        <v>2</v>
      </c>
      <c r="BT35" s="443"/>
      <c r="BU35" s="440"/>
      <c r="BV35" s="443"/>
      <c r="BW35" s="440"/>
      <c r="BX35" s="440"/>
      <c r="BY35" s="440"/>
      <c r="BZ35" s="440"/>
      <c r="CA35" s="440"/>
      <c r="CB35" s="440"/>
      <c r="CC35" s="440"/>
      <c r="CD35" s="440"/>
      <c r="CE35" s="440"/>
      <c r="CF35" s="440"/>
      <c r="CG35" s="440"/>
      <c r="CH35" s="440"/>
      <c r="CI35" s="440"/>
      <c r="CJ35" s="440"/>
      <c r="CK35" s="440"/>
      <c r="CL35" s="440"/>
      <c r="CM35" s="440"/>
      <c r="CN35" s="440"/>
      <c r="CO35" s="440"/>
      <c r="CP35" s="441">
        <v>6</v>
      </c>
      <c r="CQ35" s="441"/>
      <c r="CR35" s="441"/>
      <c r="CS35" s="441"/>
      <c r="CT35" s="441"/>
      <c r="CU35" s="441">
        <v>1</v>
      </c>
      <c r="CV35" s="440"/>
      <c r="CW35" s="440"/>
      <c r="CX35" s="441"/>
      <c r="CY35" s="440"/>
      <c r="CZ35" s="440"/>
      <c r="DA35" s="440"/>
      <c r="DB35" s="440"/>
      <c r="DC35" s="440"/>
      <c r="DD35" s="444"/>
      <c r="DE35" s="440"/>
      <c r="DF35" s="440"/>
      <c r="DG35" s="440"/>
      <c r="DH35" s="440"/>
      <c r="DI35" s="440"/>
      <c r="DJ35" s="440"/>
      <c r="DK35" s="440"/>
      <c r="DL35" s="440"/>
      <c r="DM35" s="440"/>
      <c r="DN35" s="440"/>
      <c r="DO35" s="440"/>
      <c r="DP35" s="440"/>
      <c r="DQ35" s="440"/>
      <c r="DR35" s="440"/>
      <c r="DS35" s="440"/>
      <c r="DT35" s="440"/>
      <c r="DU35" s="440"/>
      <c r="DV35" s="440"/>
      <c r="DW35" s="440"/>
      <c r="DX35" s="440"/>
      <c r="DY35" s="440"/>
      <c r="DZ35" s="440"/>
      <c r="EA35" s="440"/>
      <c r="EB35" s="440"/>
      <c r="EC35" s="445"/>
      <c r="ED35" s="454"/>
      <c r="EE35" s="449"/>
      <c r="EF35" s="448"/>
      <c r="EG35" s="448"/>
      <c r="EH35" s="448"/>
      <c r="EI35" s="448"/>
      <c r="EJ35" s="448"/>
      <c r="EK35" s="448"/>
      <c r="EL35" s="448"/>
      <c r="EM35" s="448"/>
      <c r="EN35" s="448"/>
      <c r="EO35" s="448"/>
      <c r="EP35" s="448"/>
      <c r="EQ35" s="448"/>
      <c r="ER35" s="448"/>
      <c r="ES35" s="448"/>
      <c r="ET35" s="447"/>
      <c r="EU35" s="450"/>
      <c r="EV35" s="451"/>
      <c r="EW35" s="452"/>
    </row>
    <row r="36" spans="1:153" ht="18.899999999999999" customHeight="1">
      <c r="A36" s="436" t="s">
        <v>983</v>
      </c>
      <c r="B36" s="437">
        <v>50</v>
      </c>
      <c r="C36" s="438">
        <f t="shared" si="1"/>
        <v>1280</v>
      </c>
      <c r="D36" s="438"/>
      <c r="E36" s="438"/>
      <c r="F36" s="439"/>
      <c r="G36" s="440"/>
      <c r="H36" s="440" t="s">
        <v>2019</v>
      </c>
      <c r="I36" s="440"/>
      <c r="J36" s="437">
        <v>1</v>
      </c>
      <c r="K36" s="440"/>
      <c r="L36" s="440"/>
      <c r="M36" s="440"/>
      <c r="N36" s="440"/>
      <c r="O36" s="440"/>
      <c r="P36" s="440"/>
      <c r="Q36" s="440"/>
      <c r="R36" s="440"/>
      <c r="S36" s="440"/>
      <c r="T36" s="440"/>
      <c r="U36" s="444">
        <v>1</v>
      </c>
      <c r="V36" s="440"/>
      <c r="W36" s="440"/>
      <c r="X36" s="440"/>
      <c r="Y36" s="440"/>
      <c r="Z36" s="440"/>
      <c r="AA36" s="440"/>
      <c r="AB36" s="440"/>
      <c r="AC36" s="440"/>
      <c r="AD36" s="440"/>
      <c r="AE36" s="440"/>
      <c r="AF36" s="440"/>
      <c r="AG36" s="440"/>
      <c r="AH36" s="440"/>
      <c r="AI36" s="440"/>
      <c r="AJ36" s="440"/>
      <c r="AK36" s="440"/>
      <c r="AL36" s="440"/>
      <c r="AM36" s="440"/>
      <c r="AN36" s="440"/>
      <c r="AO36" s="440"/>
      <c r="AP36" s="440"/>
      <c r="AQ36" s="440"/>
      <c r="AR36" s="440"/>
      <c r="AS36" s="440"/>
      <c r="AT36" s="441"/>
      <c r="AU36" s="440"/>
      <c r="AV36" s="440"/>
      <c r="AW36" s="440"/>
      <c r="AX36" s="440"/>
      <c r="AY36" s="440"/>
      <c r="AZ36" s="440"/>
      <c r="BA36" s="440"/>
      <c r="BB36" s="440"/>
      <c r="BC36" s="442"/>
      <c r="BD36" s="440"/>
      <c r="BE36" s="440"/>
      <c r="BF36" s="440"/>
      <c r="BG36" s="440"/>
      <c r="BH36" s="440"/>
      <c r="BI36" s="440"/>
      <c r="BJ36" s="440"/>
      <c r="BK36" s="440"/>
      <c r="BL36" s="440"/>
      <c r="BM36" s="440"/>
      <c r="BN36" s="440"/>
      <c r="BO36" s="440">
        <v>1</v>
      </c>
      <c r="BP36" s="440"/>
      <c r="BQ36" s="440"/>
      <c r="BR36" s="440"/>
      <c r="BS36" s="443">
        <v>2</v>
      </c>
      <c r="BT36" s="443"/>
      <c r="BU36" s="440"/>
      <c r="BV36" s="443"/>
      <c r="BW36" s="440"/>
      <c r="BX36" s="440"/>
      <c r="BY36" s="440"/>
      <c r="BZ36" s="440"/>
      <c r="CA36" s="440"/>
      <c r="CB36" s="440"/>
      <c r="CC36" s="440"/>
      <c r="CD36" s="440"/>
      <c r="CE36" s="440"/>
      <c r="CF36" s="440"/>
      <c r="CG36" s="440"/>
      <c r="CH36" s="440"/>
      <c r="CI36" s="440"/>
      <c r="CJ36" s="440"/>
      <c r="CK36" s="440"/>
      <c r="CL36" s="440"/>
      <c r="CM36" s="440"/>
      <c r="CN36" s="440"/>
      <c r="CO36" s="440"/>
      <c r="CP36" s="441">
        <v>6</v>
      </c>
      <c r="CQ36" s="441"/>
      <c r="CR36" s="441"/>
      <c r="CS36" s="441"/>
      <c r="CT36" s="441"/>
      <c r="CU36" s="441">
        <v>1</v>
      </c>
      <c r="CV36" s="440"/>
      <c r="CW36" s="440"/>
      <c r="CX36" s="441"/>
      <c r="CY36" s="440"/>
      <c r="CZ36" s="440"/>
      <c r="DA36" s="440"/>
      <c r="DB36" s="440"/>
      <c r="DC36" s="440"/>
      <c r="DD36" s="444"/>
      <c r="DE36" s="440"/>
      <c r="DF36" s="440"/>
      <c r="DG36" s="440"/>
      <c r="DH36" s="440"/>
      <c r="DI36" s="440"/>
      <c r="DJ36" s="440"/>
      <c r="DK36" s="440"/>
      <c r="DL36" s="440"/>
      <c r="DM36" s="440"/>
      <c r="DN36" s="440"/>
      <c r="DO36" s="440"/>
      <c r="DP36" s="440"/>
      <c r="DQ36" s="440"/>
      <c r="DR36" s="440"/>
      <c r="DS36" s="440"/>
      <c r="DT36" s="440"/>
      <c r="DU36" s="440"/>
      <c r="DV36" s="440"/>
      <c r="DW36" s="440"/>
      <c r="DX36" s="440"/>
      <c r="DY36" s="440"/>
      <c r="DZ36" s="440"/>
      <c r="EA36" s="440"/>
      <c r="EB36" s="440"/>
      <c r="EC36" s="445"/>
      <c r="ED36" s="454"/>
      <c r="EE36" s="449"/>
      <c r="EF36" s="448"/>
      <c r="EG36" s="448"/>
      <c r="EH36" s="448"/>
      <c r="EI36" s="448"/>
      <c r="EJ36" s="448"/>
      <c r="EK36" s="448"/>
      <c r="EL36" s="448"/>
      <c r="EM36" s="448"/>
      <c r="EN36" s="448"/>
      <c r="EO36" s="448"/>
      <c r="EP36" s="448"/>
      <c r="EQ36" s="448"/>
      <c r="ER36" s="448"/>
      <c r="ES36" s="448"/>
      <c r="ET36" s="447"/>
      <c r="EU36" s="450"/>
      <c r="EV36" s="451"/>
      <c r="EW36" s="452"/>
    </row>
    <row r="37" spans="1:153" ht="18.899999999999999" customHeight="1">
      <c r="A37" s="436" t="s">
        <v>1004</v>
      </c>
      <c r="B37" s="437">
        <v>50</v>
      </c>
      <c r="C37" s="438">
        <f t="shared" si="1"/>
        <v>1330</v>
      </c>
      <c r="D37" s="438"/>
      <c r="E37" s="438"/>
      <c r="F37" s="439"/>
      <c r="G37" s="440"/>
      <c r="H37" s="440" t="s">
        <v>2019</v>
      </c>
      <c r="I37" s="440"/>
      <c r="J37" s="437">
        <v>1</v>
      </c>
      <c r="K37" s="440"/>
      <c r="L37" s="440"/>
      <c r="M37" s="440"/>
      <c r="N37" s="440"/>
      <c r="O37" s="440"/>
      <c r="P37" s="440"/>
      <c r="Q37" s="440"/>
      <c r="R37" s="440"/>
      <c r="S37" s="440"/>
      <c r="T37" s="440"/>
      <c r="U37" s="444">
        <v>1</v>
      </c>
      <c r="V37" s="440"/>
      <c r="W37" s="440"/>
      <c r="X37" s="440"/>
      <c r="Y37" s="440"/>
      <c r="Z37" s="440"/>
      <c r="AA37" s="440"/>
      <c r="AB37" s="440"/>
      <c r="AC37" s="440"/>
      <c r="AD37" s="440"/>
      <c r="AE37" s="440"/>
      <c r="AF37" s="440"/>
      <c r="AG37" s="440"/>
      <c r="AH37" s="440"/>
      <c r="AI37" s="440"/>
      <c r="AJ37" s="440"/>
      <c r="AK37" s="440"/>
      <c r="AL37" s="440"/>
      <c r="AM37" s="440"/>
      <c r="AN37" s="440"/>
      <c r="AO37" s="440"/>
      <c r="AP37" s="440"/>
      <c r="AQ37" s="440"/>
      <c r="AR37" s="440"/>
      <c r="AS37" s="440"/>
      <c r="AT37" s="441"/>
      <c r="AU37" s="440"/>
      <c r="AV37" s="440"/>
      <c r="AW37" s="440"/>
      <c r="AX37" s="440"/>
      <c r="AY37" s="440"/>
      <c r="AZ37" s="440"/>
      <c r="BA37" s="440"/>
      <c r="BB37" s="440"/>
      <c r="BC37" s="442"/>
      <c r="BD37" s="440"/>
      <c r="BE37" s="440"/>
      <c r="BF37" s="440"/>
      <c r="BG37" s="440"/>
      <c r="BH37" s="440"/>
      <c r="BI37" s="440"/>
      <c r="BJ37" s="440"/>
      <c r="BK37" s="440"/>
      <c r="BL37" s="440"/>
      <c r="BM37" s="440"/>
      <c r="BN37" s="440"/>
      <c r="BO37" s="440"/>
      <c r="BP37" s="440"/>
      <c r="BQ37" s="440"/>
      <c r="BR37" s="440"/>
      <c r="BS37" s="443">
        <v>2</v>
      </c>
      <c r="BT37" s="443"/>
      <c r="BU37" s="440"/>
      <c r="BV37" s="443"/>
      <c r="BW37" s="440"/>
      <c r="BX37" s="440"/>
      <c r="BY37" s="440"/>
      <c r="BZ37" s="440"/>
      <c r="CA37" s="440"/>
      <c r="CB37" s="440"/>
      <c r="CC37" s="440"/>
      <c r="CD37" s="440"/>
      <c r="CE37" s="440"/>
      <c r="CF37" s="440"/>
      <c r="CG37" s="440"/>
      <c r="CH37" s="440"/>
      <c r="CI37" s="440"/>
      <c r="CJ37" s="440"/>
      <c r="CK37" s="440"/>
      <c r="CL37" s="440"/>
      <c r="CM37" s="440"/>
      <c r="CN37" s="440"/>
      <c r="CO37" s="440"/>
      <c r="CP37" s="441">
        <v>6</v>
      </c>
      <c r="CQ37" s="441"/>
      <c r="CR37" s="441"/>
      <c r="CS37" s="441"/>
      <c r="CT37" s="441"/>
      <c r="CU37" s="441">
        <v>1</v>
      </c>
      <c r="CV37" s="440"/>
      <c r="CW37" s="440"/>
      <c r="CX37" s="441"/>
      <c r="CY37" s="440"/>
      <c r="CZ37" s="440"/>
      <c r="DA37" s="440"/>
      <c r="DB37" s="440"/>
      <c r="DC37" s="440"/>
      <c r="DD37" s="444"/>
      <c r="DE37" s="440"/>
      <c r="DF37" s="440"/>
      <c r="DG37" s="440"/>
      <c r="DH37" s="440"/>
      <c r="DI37" s="440"/>
      <c r="DJ37" s="440"/>
      <c r="DK37" s="440"/>
      <c r="DL37" s="440"/>
      <c r="DM37" s="440"/>
      <c r="DN37" s="440"/>
      <c r="DO37" s="440"/>
      <c r="DP37" s="440"/>
      <c r="DQ37" s="440"/>
      <c r="DR37" s="440"/>
      <c r="DS37" s="440"/>
      <c r="DT37" s="440"/>
      <c r="DU37" s="440"/>
      <c r="DV37" s="440"/>
      <c r="DW37" s="440"/>
      <c r="DX37" s="440"/>
      <c r="DY37" s="440"/>
      <c r="DZ37" s="440"/>
      <c r="EA37" s="440"/>
      <c r="EB37" s="440"/>
      <c r="EC37" s="445"/>
      <c r="ED37" s="454"/>
      <c r="EE37" s="449"/>
      <c r="EF37" s="448"/>
      <c r="EG37" s="448"/>
      <c r="EH37" s="448"/>
      <c r="EI37" s="448"/>
      <c r="EJ37" s="448"/>
      <c r="EK37" s="448"/>
      <c r="EL37" s="448"/>
      <c r="EM37" s="448"/>
      <c r="EN37" s="448"/>
      <c r="EO37" s="448"/>
      <c r="EP37" s="448"/>
      <c r="EQ37" s="448"/>
      <c r="ER37" s="448"/>
      <c r="ES37" s="448"/>
      <c r="ET37" s="447"/>
      <c r="EU37" s="450"/>
      <c r="EV37" s="451"/>
      <c r="EW37" s="452"/>
    </row>
    <row r="38" spans="1:153" ht="18.899999999999999" customHeight="1">
      <c r="A38" s="436" t="s">
        <v>1005</v>
      </c>
      <c r="B38" s="437">
        <v>50</v>
      </c>
      <c r="C38" s="438">
        <f t="shared" si="1"/>
        <v>1380</v>
      </c>
      <c r="D38" s="438"/>
      <c r="E38" s="438"/>
      <c r="F38" s="439"/>
      <c r="G38" s="440"/>
      <c r="H38" s="440" t="s">
        <v>2019</v>
      </c>
      <c r="I38" s="440"/>
      <c r="J38" s="437">
        <v>1</v>
      </c>
      <c r="K38" s="440"/>
      <c r="L38" s="440"/>
      <c r="M38" s="440"/>
      <c r="N38" s="440"/>
      <c r="O38" s="440"/>
      <c r="P38" s="440"/>
      <c r="Q38" s="440"/>
      <c r="R38" s="440"/>
      <c r="S38" s="440"/>
      <c r="T38" s="440"/>
      <c r="U38" s="444">
        <v>1</v>
      </c>
      <c r="V38" s="440"/>
      <c r="W38" s="440"/>
      <c r="X38" s="440"/>
      <c r="Y38" s="440"/>
      <c r="Z38" s="440"/>
      <c r="AA38" s="440"/>
      <c r="AB38" s="440"/>
      <c r="AC38" s="440"/>
      <c r="AD38" s="440"/>
      <c r="AE38" s="440"/>
      <c r="AF38" s="440"/>
      <c r="AG38" s="440"/>
      <c r="AH38" s="440"/>
      <c r="AI38" s="440"/>
      <c r="AJ38" s="440"/>
      <c r="AK38" s="440"/>
      <c r="AL38" s="440"/>
      <c r="AM38" s="440"/>
      <c r="AN38" s="440"/>
      <c r="AO38" s="440"/>
      <c r="AP38" s="440"/>
      <c r="AQ38" s="440"/>
      <c r="AR38" s="440"/>
      <c r="AS38" s="440"/>
      <c r="AT38" s="441"/>
      <c r="AU38" s="440"/>
      <c r="AV38" s="440"/>
      <c r="AW38" s="440"/>
      <c r="AX38" s="440"/>
      <c r="AY38" s="440"/>
      <c r="AZ38" s="440"/>
      <c r="BA38" s="440"/>
      <c r="BB38" s="440"/>
      <c r="BC38" s="442"/>
      <c r="BD38" s="440"/>
      <c r="BE38" s="440"/>
      <c r="BF38" s="440"/>
      <c r="BG38" s="440"/>
      <c r="BH38" s="440"/>
      <c r="BI38" s="440"/>
      <c r="BJ38" s="440"/>
      <c r="BK38" s="440"/>
      <c r="BL38" s="440"/>
      <c r="BM38" s="440"/>
      <c r="BN38" s="440"/>
      <c r="BO38" s="440"/>
      <c r="BP38" s="440"/>
      <c r="BQ38" s="440"/>
      <c r="BR38" s="440"/>
      <c r="BS38" s="443">
        <v>2</v>
      </c>
      <c r="BT38" s="443"/>
      <c r="BU38" s="440"/>
      <c r="BV38" s="443"/>
      <c r="BW38" s="440"/>
      <c r="BX38" s="440"/>
      <c r="BY38" s="440"/>
      <c r="BZ38" s="440"/>
      <c r="CA38" s="440"/>
      <c r="CB38" s="440"/>
      <c r="CC38" s="440"/>
      <c r="CD38" s="440"/>
      <c r="CE38" s="440"/>
      <c r="CF38" s="440"/>
      <c r="CG38" s="440"/>
      <c r="CH38" s="440"/>
      <c r="CI38" s="440"/>
      <c r="CJ38" s="440"/>
      <c r="CK38" s="440"/>
      <c r="CL38" s="440"/>
      <c r="CM38" s="440"/>
      <c r="CN38" s="440"/>
      <c r="CO38" s="440"/>
      <c r="CP38" s="441">
        <v>6</v>
      </c>
      <c r="CQ38" s="441"/>
      <c r="CR38" s="441"/>
      <c r="CS38" s="441"/>
      <c r="CT38" s="441"/>
      <c r="CU38" s="441">
        <v>1</v>
      </c>
      <c r="CV38" s="440"/>
      <c r="CW38" s="440"/>
      <c r="CX38" s="441"/>
      <c r="CY38" s="440"/>
      <c r="CZ38" s="440"/>
      <c r="DA38" s="440"/>
      <c r="DB38" s="440"/>
      <c r="DC38" s="440"/>
      <c r="DD38" s="444"/>
      <c r="DE38" s="440"/>
      <c r="DF38" s="440"/>
      <c r="DG38" s="440"/>
      <c r="DH38" s="440"/>
      <c r="DI38" s="440"/>
      <c r="DJ38" s="440"/>
      <c r="DK38" s="440"/>
      <c r="DL38" s="440"/>
      <c r="DM38" s="440"/>
      <c r="DN38" s="440"/>
      <c r="DO38" s="440"/>
      <c r="DP38" s="440"/>
      <c r="DQ38" s="440"/>
      <c r="DR38" s="440"/>
      <c r="DS38" s="440"/>
      <c r="DT38" s="440"/>
      <c r="DU38" s="440"/>
      <c r="DV38" s="440"/>
      <c r="DW38" s="440"/>
      <c r="DX38" s="440"/>
      <c r="DY38" s="440"/>
      <c r="DZ38" s="440"/>
      <c r="EA38" s="440"/>
      <c r="EB38" s="440"/>
      <c r="EC38" s="445"/>
      <c r="ED38" s="454"/>
      <c r="EE38" s="449"/>
      <c r="EF38" s="448"/>
      <c r="EG38" s="448"/>
      <c r="EH38" s="448"/>
      <c r="EI38" s="448"/>
      <c r="EJ38" s="448"/>
      <c r="EK38" s="448"/>
      <c r="EL38" s="448"/>
      <c r="EM38" s="448"/>
      <c r="EN38" s="448"/>
      <c r="EO38" s="448"/>
      <c r="EP38" s="448"/>
      <c r="EQ38" s="448"/>
      <c r="ER38" s="448"/>
      <c r="ES38" s="448"/>
      <c r="ET38" s="447"/>
      <c r="EU38" s="450"/>
      <c r="EV38" s="451"/>
      <c r="EW38" s="452"/>
    </row>
    <row r="39" spans="1:153" ht="18.899999999999999" customHeight="1">
      <c r="A39" s="436" t="s">
        <v>1006</v>
      </c>
      <c r="B39" s="437">
        <v>50</v>
      </c>
      <c r="C39" s="438">
        <f t="shared" si="1"/>
        <v>1430</v>
      </c>
      <c r="D39" s="438"/>
      <c r="E39" s="438"/>
      <c r="F39" s="439"/>
      <c r="G39" s="440"/>
      <c r="H39" s="440" t="s">
        <v>2019</v>
      </c>
      <c r="I39" s="440"/>
      <c r="J39" s="437">
        <v>1</v>
      </c>
      <c r="K39" s="440"/>
      <c r="L39" s="440"/>
      <c r="M39" s="440"/>
      <c r="N39" s="440"/>
      <c r="O39" s="440"/>
      <c r="P39" s="440"/>
      <c r="Q39" s="440"/>
      <c r="R39" s="440"/>
      <c r="S39" s="440"/>
      <c r="T39" s="440"/>
      <c r="U39" s="444">
        <v>1</v>
      </c>
      <c r="V39" s="440"/>
      <c r="W39" s="440"/>
      <c r="X39" s="440"/>
      <c r="Y39" s="440"/>
      <c r="Z39" s="440"/>
      <c r="AA39" s="440"/>
      <c r="AB39" s="440"/>
      <c r="AC39" s="440"/>
      <c r="AD39" s="440"/>
      <c r="AE39" s="440"/>
      <c r="AF39" s="440"/>
      <c r="AG39" s="440"/>
      <c r="AH39" s="440"/>
      <c r="AI39" s="440"/>
      <c r="AJ39" s="440"/>
      <c r="AK39" s="440"/>
      <c r="AL39" s="440"/>
      <c r="AM39" s="440"/>
      <c r="AN39" s="440"/>
      <c r="AO39" s="440"/>
      <c r="AP39" s="440"/>
      <c r="AQ39" s="440"/>
      <c r="AR39" s="440"/>
      <c r="AS39" s="440"/>
      <c r="AT39" s="441"/>
      <c r="AU39" s="440"/>
      <c r="AV39" s="440"/>
      <c r="AW39" s="440"/>
      <c r="AX39" s="440"/>
      <c r="AY39" s="440"/>
      <c r="AZ39" s="440"/>
      <c r="BA39" s="440"/>
      <c r="BB39" s="440"/>
      <c r="BC39" s="442"/>
      <c r="BD39" s="440"/>
      <c r="BE39" s="440"/>
      <c r="BF39" s="440"/>
      <c r="BG39" s="440"/>
      <c r="BH39" s="440"/>
      <c r="BI39" s="440"/>
      <c r="BJ39" s="440"/>
      <c r="BK39" s="440"/>
      <c r="BL39" s="440"/>
      <c r="BM39" s="440"/>
      <c r="BN39" s="440"/>
      <c r="BO39" s="440"/>
      <c r="BP39" s="440"/>
      <c r="BQ39" s="440"/>
      <c r="BR39" s="440"/>
      <c r="BS39" s="443">
        <v>2</v>
      </c>
      <c r="BT39" s="443"/>
      <c r="BU39" s="440"/>
      <c r="BV39" s="443"/>
      <c r="BW39" s="440"/>
      <c r="BX39" s="440"/>
      <c r="BY39" s="440"/>
      <c r="BZ39" s="440"/>
      <c r="CA39" s="440"/>
      <c r="CB39" s="440"/>
      <c r="CC39" s="440"/>
      <c r="CD39" s="440"/>
      <c r="CE39" s="440"/>
      <c r="CF39" s="440"/>
      <c r="CG39" s="440"/>
      <c r="CH39" s="440"/>
      <c r="CI39" s="440"/>
      <c r="CJ39" s="440"/>
      <c r="CK39" s="440"/>
      <c r="CL39" s="440"/>
      <c r="CM39" s="440"/>
      <c r="CN39" s="440"/>
      <c r="CO39" s="440"/>
      <c r="CP39" s="441">
        <v>6</v>
      </c>
      <c r="CQ39" s="441"/>
      <c r="CR39" s="441"/>
      <c r="CS39" s="441"/>
      <c r="CT39" s="441"/>
      <c r="CU39" s="441">
        <v>1</v>
      </c>
      <c r="CV39" s="440"/>
      <c r="CW39" s="440"/>
      <c r="CX39" s="441"/>
      <c r="CY39" s="440"/>
      <c r="CZ39" s="440"/>
      <c r="DA39" s="440"/>
      <c r="DB39" s="440"/>
      <c r="DC39" s="440"/>
      <c r="DD39" s="444"/>
      <c r="DE39" s="440"/>
      <c r="DF39" s="440"/>
      <c r="DG39" s="440"/>
      <c r="DH39" s="440"/>
      <c r="DI39" s="440"/>
      <c r="DJ39" s="440"/>
      <c r="DK39" s="440"/>
      <c r="DL39" s="440"/>
      <c r="DM39" s="440"/>
      <c r="DN39" s="440"/>
      <c r="DO39" s="440"/>
      <c r="DP39" s="440"/>
      <c r="DQ39" s="440"/>
      <c r="DR39" s="440"/>
      <c r="DS39" s="440"/>
      <c r="DT39" s="440"/>
      <c r="DU39" s="440"/>
      <c r="DV39" s="440"/>
      <c r="DW39" s="440"/>
      <c r="DX39" s="440"/>
      <c r="DY39" s="440"/>
      <c r="DZ39" s="440"/>
      <c r="EA39" s="440"/>
      <c r="EB39" s="440"/>
      <c r="EC39" s="445"/>
      <c r="ED39" s="454"/>
      <c r="EE39" s="449"/>
      <c r="EF39" s="448"/>
      <c r="EG39" s="448"/>
      <c r="EH39" s="448"/>
      <c r="EI39" s="448"/>
      <c r="EJ39" s="448"/>
      <c r="EK39" s="448"/>
      <c r="EL39" s="448"/>
      <c r="EM39" s="448"/>
      <c r="EN39" s="448"/>
      <c r="EO39" s="448"/>
      <c r="EP39" s="448"/>
      <c r="EQ39" s="448"/>
      <c r="ER39" s="448"/>
      <c r="ES39" s="448"/>
      <c r="ET39" s="447"/>
      <c r="EU39" s="450"/>
      <c r="EV39" s="451"/>
      <c r="EW39" s="452"/>
    </row>
    <row r="40" spans="1:153" ht="18.899999999999999" customHeight="1">
      <c r="A40" s="436" t="s">
        <v>1007</v>
      </c>
      <c r="B40" s="437">
        <v>50</v>
      </c>
      <c r="C40" s="438">
        <f t="shared" si="1"/>
        <v>1480</v>
      </c>
      <c r="D40" s="438"/>
      <c r="E40" s="438"/>
      <c r="F40" s="439"/>
      <c r="G40" s="440"/>
      <c r="H40" s="440" t="s">
        <v>2019</v>
      </c>
      <c r="I40" s="440"/>
      <c r="J40" s="437">
        <v>1</v>
      </c>
      <c r="K40" s="440"/>
      <c r="L40" s="440"/>
      <c r="M40" s="440"/>
      <c r="N40" s="440"/>
      <c r="O40" s="440"/>
      <c r="P40" s="440"/>
      <c r="Q40" s="440"/>
      <c r="R40" s="440"/>
      <c r="S40" s="440"/>
      <c r="T40" s="440"/>
      <c r="U40" s="444">
        <v>1</v>
      </c>
      <c r="V40" s="440"/>
      <c r="W40" s="440"/>
      <c r="X40" s="440"/>
      <c r="Y40" s="440"/>
      <c r="Z40" s="440"/>
      <c r="AA40" s="440"/>
      <c r="AB40" s="440"/>
      <c r="AC40" s="440"/>
      <c r="AD40" s="440"/>
      <c r="AE40" s="440"/>
      <c r="AF40" s="440"/>
      <c r="AG40" s="440"/>
      <c r="AH40" s="440"/>
      <c r="AI40" s="440"/>
      <c r="AJ40" s="440"/>
      <c r="AK40" s="440"/>
      <c r="AL40" s="440"/>
      <c r="AM40" s="440"/>
      <c r="AN40" s="440"/>
      <c r="AO40" s="440"/>
      <c r="AP40" s="440"/>
      <c r="AQ40" s="440"/>
      <c r="AR40" s="440"/>
      <c r="AS40" s="440"/>
      <c r="AT40" s="441"/>
      <c r="AU40" s="440"/>
      <c r="AV40" s="440"/>
      <c r="AW40" s="440"/>
      <c r="AX40" s="440"/>
      <c r="AY40" s="440"/>
      <c r="AZ40" s="440"/>
      <c r="BA40" s="440"/>
      <c r="BB40" s="440"/>
      <c r="BC40" s="442"/>
      <c r="BD40" s="440"/>
      <c r="BE40" s="440"/>
      <c r="BF40" s="440"/>
      <c r="BG40" s="440"/>
      <c r="BH40" s="440"/>
      <c r="BI40" s="440"/>
      <c r="BJ40" s="440"/>
      <c r="BK40" s="440"/>
      <c r="BL40" s="440"/>
      <c r="BM40" s="440"/>
      <c r="BN40" s="440"/>
      <c r="BO40" s="440">
        <v>1</v>
      </c>
      <c r="BP40" s="440"/>
      <c r="BQ40" s="440"/>
      <c r="BR40" s="440"/>
      <c r="BS40" s="443">
        <v>2</v>
      </c>
      <c r="BT40" s="443"/>
      <c r="BU40" s="440"/>
      <c r="BV40" s="443"/>
      <c r="BW40" s="440"/>
      <c r="BX40" s="440"/>
      <c r="BY40" s="440"/>
      <c r="BZ40" s="440"/>
      <c r="CA40" s="440"/>
      <c r="CB40" s="440"/>
      <c r="CC40" s="440"/>
      <c r="CD40" s="440"/>
      <c r="CE40" s="440"/>
      <c r="CF40" s="440"/>
      <c r="CG40" s="440"/>
      <c r="CH40" s="440"/>
      <c r="CI40" s="440"/>
      <c r="CJ40" s="440"/>
      <c r="CK40" s="440"/>
      <c r="CL40" s="440"/>
      <c r="CM40" s="440"/>
      <c r="CN40" s="440"/>
      <c r="CO40" s="440"/>
      <c r="CP40" s="441">
        <v>6</v>
      </c>
      <c r="CQ40" s="441"/>
      <c r="CR40" s="441"/>
      <c r="CS40" s="441"/>
      <c r="CT40" s="441"/>
      <c r="CU40" s="441">
        <v>1</v>
      </c>
      <c r="CV40" s="440"/>
      <c r="CW40" s="440"/>
      <c r="CX40" s="441"/>
      <c r="CY40" s="440"/>
      <c r="CZ40" s="440"/>
      <c r="DA40" s="440"/>
      <c r="DB40" s="440"/>
      <c r="DC40" s="440"/>
      <c r="DD40" s="444"/>
      <c r="DE40" s="440"/>
      <c r="DF40" s="440"/>
      <c r="DG40" s="440"/>
      <c r="DH40" s="440"/>
      <c r="DI40" s="440"/>
      <c r="DJ40" s="440"/>
      <c r="DK40" s="440"/>
      <c r="DL40" s="440"/>
      <c r="DM40" s="440"/>
      <c r="DN40" s="440"/>
      <c r="DO40" s="440"/>
      <c r="DP40" s="440"/>
      <c r="DQ40" s="440"/>
      <c r="DR40" s="440"/>
      <c r="DS40" s="440"/>
      <c r="DT40" s="440"/>
      <c r="DU40" s="440"/>
      <c r="DV40" s="440"/>
      <c r="DW40" s="440"/>
      <c r="DX40" s="440"/>
      <c r="DY40" s="440"/>
      <c r="DZ40" s="440"/>
      <c r="EA40" s="440"/>
      <c r="EB40" s="440"/>
      <c r="EC40" s="445"/>
      <c r="ED40" s="454"/>
      <c r="EE40" s="449"/>
      <c r="EF40" s="448"/>
      <c r="EG40" s="448"/>
      <c r="EH40" s="448"/>
      <c r="EI40" s="448"/>
      <c r="EJ40" s="448"/>
      <c r="EK40" s="448"/>
      <c r="EL40" s="448"/>
      <c r="EM40" s="448"/>
      <c r="EN40" s="448"/>
      <c r="EO40" s="448"/>
      <c r="EP40" s="448"/>
      <c r="EQ40" s="448"/>
      <c r="ER40" s="448"/>
      <c r="ES40" s="448"/>
      <c r="ET40" s="447"/>
      <c r="EU40" s="450"/>
      <c r="EV40" s="451"/>
      <c r="EW40" s="452"/>
    </row>
    <row r="41" spans="1:153" ht="18.899999999999999" customHeight="1">
      <c r="A41" s="453" t="s">
        <v>1008</v>
      </c>
      <c r="B41" s="437">
        <v>50</v>
      </c>
      <c r="C41" s="438">
        <f t="shared" si="1"/>
        <v>1530</v>
      </c>
      <c r="D41" s="438"/>
      <c r="E41" s="438"/>
      <c r="F41" s="439"/>
      <c r="G41" s="440"/>
      <c r="H41" s="440" t="s">
        <v>281</v>
      </c>
      <c r="I41" s="440"/>
      <c r="J41" s="437">
        <v>2</v>
      </c>
      <c r="K41" s="440"/>
      <c r="L41" s="440"/>
      <c r="M41" s="440"/>
      <c r="N41" s="440"/>
      <c r="O41" s="440"/>
      <c r="P41" s="440"/>
      <c r="Q41" s="440"/>
      <c r="R41" s="440"/>
      <c r="S41" s="440"/>
      <c r="T41" s="440"/>
      <c r="U41" s="444">
        <v>2</v>
      </c>
      <c r="V41" s="440"/>
      <c r="W41" s="440"/>
      <c r="X41" s="440"/>
      <c r="Y41" s="440"/>
      <c r="Z41" s="440"/>
      <c r="AA41" s="440"/>
      <c r="AB41" s="440"/>
      <c r="AC41" s="440"/>
      <c r="AD41" s="440"/>
      <c r="AE41" s="440"/>
      <c r="AF41" s="440"/>
      <c r="AG41" s="440"/>
      <c r="AH41" s="440"/>
      <c r="AI41" s="440"/>
      <c r="AJ41" s="440"/>
      <c r="AK41" s="440"/>
      <c r="AL41" s="440"/>
      <c r="AM41" s="440"/>
      <c r="AN41" s="440"/>
      <c r="AO41" s="440"/>
      <c r="AP41" s="440"/>
      <c r="AQ41" s="440"/>
      <c r="AR41" s="440"/>
      <c r="AS41" s="440"/>
      <c r="AT41" s="441">
        <v>4</v>
      </c>
      <c r="AU41" s="440"/>
      <c r="AV41" s="440"/>
      <c r="AW41" s="440"/>
      <c r="AX41" s="440"/>
      <c r="AY41" s="440"/>
      <c r="AZ41" s="440"/>
      <c r="BA41" s="440"/>
      <c r="BB41" s="440"/>
      <c r="BC41" s="442">
        <v>4</v>
      </c>
      <c r="BD41" s="440"/>
      <c r="BE41" s="440"/>
      <c r="BF41" s="440"/>
      <c r="BG41" s="440"/>
      <c r="BH41" s="440"/>
      <c r="BI41" s="440"/>
      <c r="BJ41" s="440"/>
      <c r="BK41" s="440"/>
      <c r="BL41" s="440"/>
      <c r="BM41" s="440"/>
      <c r="BN41" s="440"/>
      <c r="BO41" s="440"/>
      <c r="BP41" s="440"/>
      <c r="BQ41" s="440"/>
      <c r="BR41" s="440"/>
      <c r="BS41" s="443"/>
      <c r="BT41" s="443"/>
      <c r="BU41" s="440"/>
      <c r="BV41" s="443"/>
      <c r="BW41" s="440"/>
      <c r="BX41" s="440"/>
      <c r="BY41" s="440"/>
      <c r="BZ41" s="440"/>
      <c r="CA41" s="440"/>
      <c r="CB41" s="440"/>
      <c r="CC41" s="440"/>
      <c r="CD41" s="440"/>
      <c r="CE41" s="440">
        <v>2</v>
      </c>
      <c r="CF41" s="440"/>
      <c r="CG41" s="440"/>
      <c r="CH41" s="440"/>
      <c r="CI41" s="440"/>
      <c r="CJ41" s="440"/>
      <c r="CK41" s="440">
        <v>1</v>
      </c>
      <c r="CL41" s="440"/>
      <c r="CM41" s="440"/>
      <c r="CN41" s="440"/>
      <c r="CO41" s="440"/>
      <c r="CP41" s="441">
        <v>12</v>
      </c>
      <c r="CQ41" s="441">
        <v>12</v>
      </c>
      <c r="CR41" s="441"/>
      <c r="CS41" s="441">
        <v>2</v>
      </c>
      <c r="CT41" s="441">
        <v>12</v>
      </c>
      <c r="CU41" s="441"/>
      <c r="CV41" s="440"/>
      <c r="CW41" s="440"/>
      <c r="CX41" s="441">
        <v>2</v>
      </c>
      <c r="CY41" s="440"/>
      <c r="CZ41" s="440"/>
      <c r="DA41" s="440"/>
      <c r="DB41" s="440">
        <v>2</v>
      </c>
      <c r="DC41" s="440"/>
      <c r="DD41" s="444">
        <v>12</v>
      </c>
      <c r="DE41" s="440"/>
      <c r="DF41" s="440"/>
      <c r="DG41" s="440"/>
      <c r="DH41" s="440"/>
      <c r="DI41" s="440"/>
      <c r="DJ41" s="440"/>
      <c r="DK41" s="440"/>
      <c r="DL41" s="440"/>
      <c r="DM41" s="440"/>
      <c r="DN41" s="440"/>
      <c r="DO41" s="440"/>
      <c r="DP41" s="440"/>
      <c r="DQ41" s="440"/>
      <c r="DR41" s="440"/>
      <c r="DS41" s="440"/>
      <c r="DT41" s="440"/>
      <c r="DU41" s="440"/>
      <c r="DV41" s="440"/>
      <c r="DW41" s="440"/>
      <c r="DX41" s="440"/>
      <c r="DY41" s="440"/>
      <c r="DZ41" s="440"/>
      <c r="EA41" s="440"/>
      <c r="EB41" s="440"/>
      <c r="EC41" s="445"/>
      <c r="ED41" s="454"/>
      <c r="EE41" s="449"/>
      <c r="EF41" s="448"/>
      <c r="EG41" s="448"/>
      <c r="EH41" s="448"/>
      <c r="EI41" s="448"/>
      <c r="EJ41" s="448"/>
      <c r="EK41" s="448"/>
      <c r="EL41" s="448"/>
      <c r="EM41" s="448"/>
      <c r="EN41" s="448"/>
      <c r="EO41" s="448"/>
      <c r="EP41" s="448"/>
      <c r="EQ41" s="448"/>
      <c r="ER41" s="448"/>
      <c r="ES41" s="448"/>
      <c r="ET41" s="447"/>
      <c r="EU41" s="450"/>
      <c r="EV41" s="451"/>
      <c r="EW41" s="452"/>
    </row>
    <row r="42" spans="1:153" ht="18.899999999999999" customHeight="1">
      <c r="A42" s="453" t="s">
        <v>1009</v>
      </c>
      <c r="B42" s="437">
        <v>50</v>
      </c>
      <c r="C42" s="438">
        <f t="shared" si="1"/>
        <v>1580</v>
      </c>
      <c r="D42" s="438"/>
      <c r="E42" s="438"/>
      <c r="F42" s="439"/>
      <c r="G42" s="440"/>
      <c r="H42" s="440" t="s">
        <v>2019</v>
      </c>
      <c r="I42" s="440"/>
      <c r="J42" s="437">
        <v>1</v>
      </c>
      <c r="K42" s="440"/>
      <c r="L42" s="440"/>
      <c r="M42" s="440"/>
      <c r="N42" s="440"/>
      <c r="O42" s="440"/>
      <c r="P42" s="440"/>
      <c r="Q42" s="440"/>
      <c r="R42" s="440"/>
      <c r="S42" s="440"/>
      <c r="T42" s="440"/>
      <c r="U42" s="444">
        <v>1</v>
      </c>
      <c r="V42" s="440"/>
      <c r="W42" s="440"/>
      <c r="X42" s="440"/>
      <c r="Y42" s="440"/>
      <c r="Z42" s="440"/>
      <c r="AA42" s="440"/>
      <c r="AB42" s="440"/>
      <c r="AC42" s="440"/>
      <c r="AD42" s="440"/>
      <c r="AE42" s="440"/>
      <c r="AF42" s="440"/>
      <c r="AG42" s="440"/>
      <c r="AH42" s="440"/>
      <c r="AI42" s="440"/>
      <c r="AJ42" s="440"/>
      <c r="AK42" s="440"/>
      <c r="AL42" s="440"/>
      <c r="AM42" s="440"/>
      <c r="AN42" s="440"/>
      <c r="AO42" s="440"/>
      <c r="AP42" s="440"/>
      <c r="AQ42" s="440"/>
      <c r="AR42" s="440"/>
      <c r="AS42" s="440"/>
      <c r="AT42" s="441"/>
      <c r="AU42" s="440"/>
      <c r="AV42" s="440"/>
      <c r="AW42" s="440"/>
      <c r="AX42" s="440"/>
      <c r="AY42" s="440"/>
      <c r="AZ42" s="440"/>
      <c r="BA42" s="440"/>
      <c r="BB42" s="440"/>
      <c r="BC42" s="442"/>
      <c r="BD42" s="440"/>
      <c r="BE42" s="440"/>
      <c r="BF42" s="440"/>
      <c r="BG42" s="440"/>
      <c r="BH42" s="440"/>
      <c r="BI42" s="440"/>
      <c r="BJ42" s="440"/>
      <c r="BK42" s="440"/>
      <c r="BL42" s="440"/>
      <c r="BM42" s="440"/>
      <c r="BN42" s="440"/>
      <c r="BO42" s="440"/>
      <c r="BP42" s="440"/>
      <c r="BQ42" s="440"/>
      <c r="BR42" s="440"/>
      <c r="BS42" s="443">
        <v>2</v>
      </c>
      <c r="BT42" s="443"/>
      <c r="BU42" s="440"/>
      <c r="BV42" s="443"/>
      <c r="BW42" s="440"/>
      <c r="BX42" s="440"/>
      <c r="BY42" s="440"/>
      <c r="BZ42" s="440"/>
      <c r="CA42" s="440"/>
      <c r="CB42" s="440"/>
      <c r="CC42" s="440"/>
      <c r="CD42" s="440"/>
      <c r="CE42" s="440"/>
      <c r="CF42" s="440"/>
      <c r="CG42" s="440"/>
      <c r="CH42" s="440"/>
      <c r="CI42" s="440"/>
      <c r="CJ42" s="440"/>
      <c r="CK42" s="440"/>
      <c r="CL42" s="440"/>
      <c r="CM42" s="440"/>
      <c r="CN42" s="440"/>
      <c r="CO42" s="440"/>
      <c r="CP42" s="441">
        <v>6</v>
      </c>
      <c r="CQ42" s="441"/>
      <c r="CR42" s="441"/>
      <c r="CS42" s="441"/>
      <c r="CT42" s="441"/>
      <c r="CU42" s="441">
        <v>1</v>
      </c>
      <c r="CV42" s="440"/>
      <c r="CW42" s="440"/>
      <c r="CX42" s="441"/>
      <c r="CY42" s="440"/>
      <c r="CZ42" s="440"/>
      <c r="DA42" s="440"/>
      <c r="DB42" s="440"/>
      <c r="DC42" s="440"/>
      <c r="DD42" s="444"/>
      <c r="DE42" s="440"/>
      <c r="DF42" s="440"/>
      <c r="DG42" s="440"/>
      <c r="DH42" s="440"/>
      <c r="DI42" s="440"/>
      <c r="DJ42" s="440"/>
      <c r="DK42" s="440"/>
      <c r="DL42" s="440"/>
      <c r="DM42" s="440"/>
      <c r="DN42" s="440"/>
      <c r="DO42" s="440"/>
      <c r="DP42" s="440"/>
      <c r="DQ42" s="440"/>
      <c r="DR42" s="440"/>
      <c r="DS42" s="440"/>
      <c r="DT42" s="440"/>
      <c r="DU42" s="440"/>
      <c r="DV42" s="440"/>
      <c r="DW42" s="440"/>
      <c r="DX42" s="440"/>
      <c r="DY42" s="440"/>
      <c r="DZ42" s="440"/>
      <c r="EA42" s="440"/>
      <c r="EB42" s="440"/>
      <c r="EC42" s="445"/>
      <c r="ED42" s="454"/>
      <c r="EE42" s="449"/>
      <c r="EF42" s="448"/>
      <c r="EG42" s="448"/>
      <c r="EH42" s="448"/>
      <c r="EI42" s="448"/>
      <c r="EJ42" s="448"/>
      <c r="EK42" s="448"/>
      <c r="EL42" s="448"/>
      <c r="EM42" s="448"/>
      <c r="EN42" s="448"/>
      <c r="EO42" s="448"/>
      <c r="EP42" s="448"/>
      <c r="EQ42" s="448"/>
      <c r="ER42" s="448"/>
      <c r="ES42" s="448"/>
      <c r="ET42" s="447"/>
      <c r="EU42" s="450"/>
      <c r="EV42" s="451"/>
      <c r="EW42" s="452"/>
    </row>
    <row r="43" spans="1:153" ht="18.899999999999999" customHeight="1">
      <c r="A43" s="453" t="s">
        <v>1010</v>
      </c>
      <c r="B43" s="437">
        <v>50</v>
      </c>
      <c r="C43" s="438">
        <f t="shared" si="1"/>
        <v>1630</v>
      </c>
      <c r="D43" s="438"/>
      <c r="E43" s="438"/>
      <c r="F43" s="439"/>
      <c r="G43" s="440"/>
      <c r="H43" s="440" t="s">
        <v>2019</v>
      </c>
      <c r="I43" s="440"/>
      <c r="J43" s="437">
        <v>1</v>
      </c>
      <c r="K43" s="440"/>
      <c r="L43" s="440"/>
      <c r="M43" s="440"/>
      <c r="N43" s="440"/>
      <c r="O43" s="440"/>
      <c r="P43" s="440"/>
      <c r="Q43" s="440"/>
      <c r="R43" s="440"/>
      <c r="S43" s="440"/>
      <c r="T43" s="440"/>
      <c r="U43" s="444">
        <v>1</v>
      </c>
      <c r="V43" s="440"/>
      <c r="W43" s="440"/>
      <c r="X43" s="440"/>
      <c r="Y43" s="440"/>
      <c r="Z43" s="440"/>
      <c r="AA43" s="440"/>
      <c r="AB43" s="440"/>
      <c r="AC43" s="440"/>
      <c r="AD43" s="440"/>
      <c r="AE43" s="440"/>
      <c r="AF43" s="440"/>
      <c r="AG43" s="440"/>
      <c r="AH43" s="440"/>
      <c r="AI43" s="440"/>
      <c r="AJ43" s="440"/>
      <c r="AK43" s="440"/>
      <c r="AL43" s="440"/>
      <c r="AM43" s="440"/>
      <c r="AN43" s="440"/>
      <c r="AO43" s="440"/>
      <c r="AP43" s="440"/>
      <c r="AQ43" s="440"/>
      <c r="AR43" s="440"/>
      <c r="AS43" s="440"/>
      <c r="AT43" s="441"/>
      <c r="AU43" s="440"/>
      <c r="AV43" s="440"/>
      <c r="AW43" s="440"/>
      <c r="AX43" s="440"/>
      <c r="AY43" s="440"/>
      <c r="AZ43" s="440"/>
      <c r="BA43" s="440"/>
      <c r="BB43" s="440"/>
      <c r="BC43" s="442"/>
      <c r="BD43" s="440"/>
      <c r="BE43" s="440"/>
      <c r="BF43" s="440"/>
      <c r="BG43" s="440"/>
      <c r="BH43" s="440"/>
      <c r="BI43" s="440"/>
      <c r="BJ43" s="440"/>
      <c r="BK43" s="440"/>
      <c r="BL43" s="440"/>
      <c r="BM43" s="440"/>
      <c r="BN43" s="440"/>
      <c r="BO43" s="440"/>
      <c r="BP43" s="440"/>
      <c r="BQ43" s="440"/>
      <c r="BR43" s="440"/>
      <c r="BS43" s="443">
        <v>2</v>
      </c>
      <c r="BT43" s="443"/>
      <c r="BU43" s="440"/>
      <c r="BV43" s="443"/>
      <c r="BW43" s="440"/>
      <c r="BX43" s="440"/>
      <c r="BY43" s="440"/>
      <c r="BZ43" s="440"/>
      <c r="CA43" s="440"/>
      <c r="CB43" s="440"/>
      <c r="CC43" s="440"/>
      <c r="CD43" s="440"/>
      <c r="CE43" s="440"/>
      <c r="CF43" s="440"/>
      <c r="CG43" s="440"/>
      <c r="CH43" s="440"/>
      <c r="CI43" s="440"/>
      <c r="CJ43" s="440"/>
      <c r="CK43" s="440"/>
      <c r="CL43" s="440"/>
      <c r="CM43" s="440"/>
      <c r="CN43" s="440"/>
      <c r="CO43" s="440"/>
      <c r="CP43" s="441">
        <v>6</v>
      </c>
      <c r="CQ43" s="441"/>
      <c r="CR43" s="441"/>
      <c r="CS43" s="441"/>
      <c r="CT43" s="441"/>
      <c r="CU43" s="441">
        <v>1</v>
      </c>
      <c r="CV43" s="440"/>
      <c r="CW43" s="440"/>
      <c r="CX43" s="441"/>
      <c r="CY43" s="440"/>
      <c r="CZ43" s="440"/>
      <c r="DA43" s="440"/>
      <c r="DB43" s="440"/>
      <c r="DC43" s="440"/>
      <c r="DD43" s="444"/>
      <c r="DE43" s="440"/>
      <c r="DF43" s="440"/>
      <c r="DG43" s="440"/>
      <c r="DH43" s="440"/>
      <c r="DI43" s="440"/>
      <c r="DJ43" s="440"/>
      <c r="DK43" s="440"/>
      <c r="DL43" s="440"/>
      <c r="DM43" s="440"/>
      <c r="DN43" s="440"/>
      <c r="DO43" s="440"/>
      <c r="DP43" s="440"/>
      <c r="DQ43" s="440"/>
      <c r="DR43" s="440"/>
      <c r="DS43" s="440"/>
      <c r="DT43" s="440"/>
      <c r="DU43" s="440"/>
      <c r="DV43" s="440"/>
      <c r="DW43" s="440"/>
      <c r="DX43" s="440"/>
      <c r="DY43" s="440"/>
      <c r="DZ43" s="440"/>
      <c r="EA43" s="440"/>
      <c r="EB43" s="440"/>
      <c r="EC43" s="445"/>
      <c r="ED43" s="454"/>
      <c r="EE43" s="449"/>
      <c r="EF43" s="448"/>
      <c r="EG43" s="448"/>
      <c r="EH43" s="448"/>
      <c r="EI43" s="448"/>
      <c r="EJ43" s="448"/>
      <c r="EK43" s="448"/>
      <c r="EL43" s="448"/>
      <c r="EM43" s="448"/>
      <c r="EN43" s="448"/>
      <c r="EO43" s="448"/>
      <c r="EP43" s="448"/>
      <c r="EQ43" s="448"/>
      <c r="ER43" s="448"/>
      <c r="ES43" s="448"/>
      <c r="ET43" s="447"/>
      <c r="EU43" s="450"/>
      <c r="EV43" s="451"/>
      <c r="EW43" s="452"/>
    </row>
    <row r="44" spans="1:153" ht="18.899999999999999" customHeight="1">
      <c r="A44" s="453" t="s">
        <v>2085</v>
      </c>
      <c r="B44" s="437">
        <v>50</v>
      </c>
      <c r="C44" s="438">
        <f t="shared" si="1"/>
        <v>1680</v>
      </c>
      <c r="D44" s="438"/>
      <c r="E44" s="438"/>
      <c r="F44" s="439"/>
      <c r="G44" s="440"/>
      <c r="H44" s="440" t="s">
        <v>2019</v>
      </c>
      <c r="I44" s="440"/>
      <c r="J44" s="437">
        <v>1</v>
      </c>
      <c r="K44" s="440"/>
      <c r="L44" s="440"/>
      <c r="M44" s="440"/>
      <c r="N44" s="440"/>
      <c r="O44" s="440"/>
      <c r="P44" s="440"/>
      <c r="Q44" s="440"/>
      <c r="R44" s="440"/>
      <c r="S44" s="440"/>
      <c r="T44" s="440"/>
      <c r="U44" s="444">
        <v>1</v>
      </c>
      <c r="V44" s="440"/>
      <c r="W44" s="440"/>
      <c r="X44" s="440"/>
      <c r="Y44" s="440"/>
      <c r="Z44" s="440"/>
      <c r="AA44" s="440"/>
      <c r="AB44" s="440"/>
      <c r="AC44" s="440"/>
      <c r="AD44" s="440"/>
      <c r="AE44" s="440"/>
      <c r="AF44" s="440"/>
      <c r="AG44" s="440"/>
      <c r="AH44" s="440"/>
      <c r="AI44" s="440"/>
      <c r="AJ44" s="440"/>
      <c r="AK44" s="440"/>
      <c r="AL44" s="440"/>
      <c r="AM44" s="440"/>
      <c r="AN44" s="440"/>
      <c r="AO44" s="440"/>
      <c r="AP44" s="440"/>
      <c r="AQ44" s="440"/>
      <c r="AR44" s="440"/>
      <c r="AS44" s="440"/>
      <c r="AT44" s="441"/>
      <c r="AU44" s="440"/>
      <c r="AV44" s="440"/>
      <c r="AW44" s="440"/>
      <c r="AX44" s="440"/>
      <c r="AY44" s="440"/>
      <c r="AZ44" s="440"/>
      <c r="BA44" s="440"/>
      <c r="BB44" s="440"/>
      <c r="BC44" s="442"/>
      <c r="BD44" s="440"/>
      <c r="BE44" s="440"/>
      <c r="BF44" s="440"/>
      <c r="BG44" s="440"/>
      <c r="BH44" s="440"/>
      <c r="BI44" s="440"/>
      <c r="BJ44" s="440"/>
      <c r="BK44" s="440"/>
      <c r="BL44" s="440"/>
      <c r="BM44" s="440"/>
      <c r="BN44" s="440"/>
      <c r="BO44" s="440">
        <v>1</v>
      </c>
      <c r="BP44" s="440"/>
      <c r="BQ44" s="440"/>
      <c r="BR44" s="440"/>
      <c r="BS44" s="443">
        <v>2</v>
      </c>
      <c r="BT44" s="443"/>
      <c r="BU44" s="440"/>
      <c r="BV44" s="443"/>
      <c r="BW44" s="440"/>
      <c r="BX44" s="440"/>
      <c r="BY44" s="440"/>
      <c r="BZ44" s="440"/>
      <c r="CA44" s="440"/>
      <c r="CB44" s="440"/>
      <c r="CC44" s="440"/>
      <c r="CD44" s="440"/>
      <c r="CE44" s="440"/>
      <c r="CF44" s="440"/>
      <c r="CG44" s="440"/>
      <c r="CH44" s="440"/>
      <c r="CI44" s="440"/>
      <c r="CJ44" s="440"/>
      <c r="CK44" s="440"/>
      <c r="CL44" s="440"/>
      <c r="CM44" s="440"/>
      <c r="CN44" s="440"/>
      <c r="CO44" s="440"/>
      <c r="CP44" s="441">
        <v>6</v>
      </c>
      <c r="CQ44" s="441"/>
      <c r="CR44" s="441"/>
      <c r="CS44" s="441"/>
      <c r="CT44" s="441"/>
      <c r="CU44" s="441">
        <v>1</v>
      </c>
      <c r="CV44" s="440"/>
      <c r="CW44" s="440"/>
      <c r="CX44" s="441"/>
      <c r="CY44" s="440"/>
      <c r="CZ44" s="440"/>
      <c r="DA44" s="440"/>
      <c r="DB44" s="440"/>
      <c r="DC44" s="440"/>
      <c r="DD44" s="444"/>
      <c r="DE44" s="440"/>
      <c r="DF44" s="440"/>
      <c r="DG44" s="440"/>
      <c r="DH44" s="440"/>
      <c r="DI44" s="440"/>
      <c r="DJ44" s="440"/>
      <c r="DK44" s="440"/>
      <c r="DL44" s="440"/>
      <c r="DM44" s="440"/>
      <c r="DN44" s="440"/>
      <c r="DO44" s="440"/>
      <c r="DP44" s="440"/>
      <c r="DQ44" s="440"/>
      <c r="DR44" s="440"/>
      <c r="DS44" s="440"/>
      <c r="DT44" s="440"/>
      <c r="DU44" s="440"/>
      <c r="DV44" s="440"/>
      <c r="DW44" s="440"/>
      <c r="DX44" s="440"/>
      <c r="DY44" s="440"/>
      <c r="DZ44" s="440"/>
      <c r="EA44" s="440"/>
      <c r="EB44" s="440"/>
      <c r="EC44" s="445"/>
      <c r="ED44" s="454"/>
      <c r="EE44" s="449"/>
      <c r="EF44" s="448"/>
      <c r="EG44" s="448"/>
      <c r="EH44" s="448"/>
      <c r="EI44" s="448"/>
      <c r="EJ44" s="448"/>
      <c r="EK44" s="448"/>
      <c r="EL44" s="448"/>
      <c r="EM44" s="448"/>
      <c r="EN44" s="448"/>
      <c r="EO44" s="448"/>
      <c r="EP44" s="448"/>
      <c r="EQ44" s="448"/>
      <c r="ER44" s="448"/>
      <c r="ES44" s="448"/>
      <c r="ET44" s="447"/>
      <c r="EU44" s="450"/>
      <c r="EV44" s="451"/>
      <c r="EW44" s="452"/>
    </row>
    <row r="45" spans="1:153" ht="18.899999999999999" customHeight="1">
      <c r="A45" s="453" t="s">
        <v>2086</v>
      </c>
      <c r="B45" s="437">
        <v>50</v>
      </c>
      <c r="C45" s="438">
        <f t="shared" si="1"/>
        <v>1730</v>
      </c>
      <c r="D45" s="438"/>
      <c r="E45" s="438"/>
      <c r="F45" s="439"/>
      <c r="G45" s="440"/>
      <c r="H45" s="440" t="s">
        <v>2019</v>
      </c>
      <c r="I45" s="440"/>
      <c r="J45" s="437">
        <v>1</v>
      </c>
      <c r="K45" s="440"/>
      <c r="L45" s="440"/>
      <c r="M45" s="440"/>
      <c r="N45" s="440"/>
      <c r="O45" s="440"/>
      <c r="P45" s="440"/>
      <c r="Q45" s="440"/>
      <c r="R45" s="440"/>
      <c r="S45" s="440"/>
      <c r="T45" s="440"/>
      <c r="U45" s="444">
        <v>1</v>
      </c>
      <c r="V45" s="440"/>
      <c r="W45" s="440"/>
      <c r="X45" s="440"/>
      <c r="Y45" s="440"/>
      <c r="Z45" s="440"/>
      <c r="AA45" s="440"/>
      <c r="AB45" s="440"/>
      <c r="AC45" s="440"/>
      <c r="AD45" s="440"/>
      <c r="AE45" s="440"/>
      <c r="AF45" s="440"/>
      <c r="AG45" s="440"/>
      <c r="AH45" s="440"/>
      <c r="AI45" s="440"/>
      <c r="AJ45" s="440"/>
      <c r="AK45" s="440"/>
      <c r="AL45" s="440"/>
      <c r="AM45" s="440"/>
      <c r="AN45" s="440"/>
      <c r="AO45" s="440"/>
      <c r="AP45" s="440"/>
      <c r="AQ45" s="440"/>
      <c r="AR45" s="440"/>
      <c r="AS45" s="440"/>
      <c r="AT45" s="441"/>
      <c r="AU45" s="440"/>
      <c r="AV45" s="440"/>
      <c r="AW45" s="440"/>
      <c r="AX45" s="440"/>
      <c r="AY45" s="440"/>
      <c r="AZ45" s="440"/>
      <c r="BA45" s="440"/>
      <c r="BB45" s="440"/>
      <c r="BC45" s="442"/>
      <c r="BD45" s="440"/>
      <c r="BE45" s="440"/>
      <c r="BF45" s="440"/>
      <c r="BG45" s="440"/>
      <c r="BH45" s="440"/>
      <c r="BI45" s="440"/>
      <c r="BJ45" s="440"/>
      <c r="BK45" s="440"/>
      <c r="BL45" s="440"/>
      <c r="BM45" s="440"/>
      <c r="BN45" s="440"/>
      <c r="BO45" s="440"/>
      <c r="BP45" s="440"/>
      <c r="BQ45" s="440"/>
      <c r="BR45" s="440"/>
      <c r="BS45" s="443">
        <v>2</v>
      </c>
      <c r="BT45" s="443"/>
      <c r="BU45" s="440"/>
      <c r="BV45" s="443"/>
      <c r="BW45" s="440"/>
      <c r="BX45" s="440"/>
      <c r="BY45" s="440"/>
      <c r="BZ45" s="440"/>
      <c r="CA45" s="440"/>
      <c r="CB45" s="440"/>
      <c r="CC45" s="440"/>
      <c r="CD45" s="440"/>
      <c r="CE45" s="440"/>
      <c r="CF45" s="440"/>
      <c r="CG45" s="440"/>
      <c r="CH45" s="440"/>
      <c r="CI45" s="440"/>
      <c r="CJ45" s="440"/>
      <c r="CK45" s="440"/>
      <c r="CL45" s="440"/>
      <c r="CM45" s="440"/>
      <c r="CN45" s="440"/>
      <c r="CO45" s="440"/>
      <c r="CP45" s="441">
        <v>6</v>
      </c>
      <c r="CQ45" s="441"/>
      <c r="CR45" s="441"/>
      <c r="CS45" s="441"/>
      <c r="CT45" s="441"/>
      <c r="CU45" s="441">
        <v>1</v>
      </c>
      <c r="CV45" s="440"/>
      <c r="CW45" s="440"/>
      <c r="CX45" s="441"/>
      <c r="CY45" s="440"/>
      <c r="CZ45" s="440"/>
      <c r="DA45" s="440"/>
      <c r="DB45" s="440"/>
      <c r="DC45" s="440"/>
      <c r="DD45" s="444"/>
      <c r="DE45" s="440"/>
      <c r="DF45" s="440"/>
      <c r="DG45" s="440"/>
      <c r="DH45" s="440"/>
      <c r="DI45" s="440"/>
      <c r="DJ45" s="440"/>
      <c r="DK45" s="440"/>
      <c r="DL45" s="440"/>
      <c r="DM45" s="440"/>
      <c r="DN45" s="440"/>
      <c r="DO45" s="440"/>
      <c r="DP45" s="440"/>
      <c r="DQ45" s="440"/>
      <c r="DR45" s="440"/>
      <c r="DS45" s="440"/>
      <c r="DT45" s="440"/>
      <c r="DU45" s="440"/>
      <c r="DV45" s="440"/>
      <c r="DW45" s="440"/>
      <c r="DX45" s="440"/>
      <c r="DY45" s="440"/>
      <c r="DZ45" s="440"/>
      <c r="EA45" s="440"/>
      <c r="EB45" s="440"/>
      <c r="EC45" s="445"/>
      <c r="ED45" s="454"/>
      <c r="EE45" s="449"/>
      <c r="EF45" s="448"/>
      <c r="EG45" s="448"/>
      <c r="EH45" s="448"/>
      <c r="EI45" s="448"/>
      <c r="EJ45" s="448"/>
      <c r="EK45" s="448"/>
      <c r="EL45" s="448"/>
      <c r="EM45" s="448"/>
      <c r="EN45" s="448"/>
      <c r="EO45" s="448"/>
      <c r="EP45" s="448"/>
      <c r="EQ45" s="448"/>
      <c r="ER45" s="448"/>
      <c r="ES45" s="448"/>
      <c r="ET45" s="447"/>
      <c r="EU45" s="450"/>
      <c r="EV45" s="451"/>
      <c r="EW45" s="452"/>
    </row>
    <row r="46" spans="1:153" ht="18.899999999999999" customHeight="1">
      <c r="A46" s="453" t="s">
        <v>2087</v>
      </c>
      <c r="B46" s="437">
        <v>50</v>
      </c>
      <c r="C46" s="438">
        <f t="shared" si="1"/>
        <v>1780</v>
      </c>
      <c r="D46" s="438"/>
      <c r="E46" s="438"/>
      <c r="F46" s="439"/>
      <c r="G46" s="440"/>
      <c r="H46" s="440" t="s">
        <v>2019</v>
      </c>
      <c r="I46" s="440"/>
      <c r="J46" s="437">
        <v>1</v>
      </c>
      <c r="K46" s="440"/>
      <c r="L46" s="440"/>
      <c r="M46" s="440"/>
      <c r="N46" s="440"/>
      <c r="O46" s="440"/>
      <c r="P46" s="440"/>
      <c r="Q46" s="440"/>
      <c r="R46" s="440"/>
      <c r="S46" s="440"/>
      <c r="T46" s="440"/>
      <c r="U46" s="444">
        <v>1</v>
      </c>
      <c r="V46" s="440"/>
      <c r="W46" s="440"/>
      <c r="X46" s="440"/>
      <c r="Y46" s="440"/>
      <c r="Z46" s="440"/>
      <c r="AA46" s="440"/>
      <c r="AB46" s="440"/>
      <c r="AC46" s="440"/>
      <c r="AD46" s="440"/>
      <c r="AE46" s="440"/>
      <c r="AF46" s="440"/>
      <c r="AG46" s="440"/>
      <c r="AH46" s="440"/>
      <c r="AI46" s="440"/>
      <c r="AJ46" s="440"/>
      <c r="AK46" s="440"/>
      <c r="AL46" s="440"/>
      <c r="AM46" s="440"/>
      <c r="AN46" s="440"/>
      <c r="AO46" s="440"/>
      <c r="AP46" s="440"/>
      <c r="AQ46" s="440"/>
      <c r="AR46" s="440"/>
      <c r="AS46" s="440"/>
      <c r="AT46" s="441"/>
      <c r="AU46" s="440"/>
      <c r="AV46" s="440"/>
      <c r="AW46" s="440"/>
      <c r="AX46" s="440"/>
      <c r="AY46" s="440"/>
      <c r="AZ46" s="440"/>
      <c r="BA46" s="440"/>
      <c r="BB46" s="440"/>
      <c r="BC46" s="442"/>
      <c r="BD46" s="440"/>
      <c r="BE46" s="440"/>
      <c r="BF46" s="440"/>
      <c r="BG46" s="440"/>
      <c r="BH46" s="440"/>
      <c r="BI46" s="440"/>
      <c r="BJ46" s="440"/>
      <c r="BK46" s="440"/>
      <c r="BL46" s="440"/>
      <c r="BM46" s="440"/>
      <c r="BN46" s="440"/>
      <c r="BO46" s="440"/>
      <c r="BP46" s="440"/>
      <c r="BQ46" s="440"/>
      <c r="BR46" s="440"/>
      <c r="BS46" s="443">
        <v>2</v>
      </c>
      <c r="BT46" s="443"/>
      <c r="BU46" s="440"/>
      <c r="BV46" s="443"/>
      <c r="BW46" s="440"/>
      <c r="BX46" s="440"/>
      <c r="BY46" s="440"/>
      <c r="BZ46" s="440"/>
      <c r="CA46" s="440"/>
      <c r="CB46" s="440"/>
      <c r="CC46" s="440"/>
      <c r="CD46" s="440"/>
      <c r="CE46" s="440"/>
      <c r="CF46" s="440"/>
      <c r="CG46" s="440"/>
      <c r="CH46" s="440"/>
      <c r="CI46" s="440"/>
      <c r="CJ46" s="440"/>
      <c r="CK46" s="440"/>
      <c r="CL46" s="440"/>
      <c r="CM46" s="440"/>
      <c r="CN46" s="440"/>
      <c r="CO46" s="440"/>
      <c r="CP46" s="441">
        <v>6</v>
      </c>
      <c r="CQ46" s="441"/>
      <c r="CR46" s="441"/>
      <c r="CS46" s="441"/>
      <c r="CT46" s="441"/>
      <c r="CU46" s="441">
        <v>1</v>
      </c>
      <c r="CV46" s="440"/>
      <c r="CW46" s="440"/>
      <c r="CX46" s="441"/>
      <c r="CY46" s="440"/>
      <c r="CZ46" s="440"/>
      <c r="DA46" s="440"/>
      <c r="DB46" s="440"/>
      <c r="DC46" s="440"/>
      <c r="DD46" s="444"/>
      <c r="DE46" s="440"/>
      <c r="DF46" s="440"/>
      <c r="DG46" s="440"/>
      <c r="DH46" s="440"/>
      <c r="DI46" s="440"/>
      <c r="DJ46" s="440"/>
      <c r="DK46" s="440"/>
      <c r="DL46" s="440"/>
      <c r="DM46" s="440"/>
      <c r="DN46" s="440"/>
      <c r="DO46" s="440"/>
      <c r="DP46" s="440"/>
      <c r="DQ46" s="440"/>
      <c r="DR46" s="440"/>
      <c r="DS46" s="440"/>
      <c r="DT46" s="440"/>
      <c r="DU46" s="440"/>
      <c r="DV46" s="440"/>
      <c r="DW46" s="440"/>
      <c r="DX46" s="440"/>
      <c r="DY46" s="440"/>
      <c r="DZ46" s="440"/>
      <c r="EA46" s="440"/>
      <c r="EB46" s="440"/>
      <c r="EC46" s="445"/>
      <c r="ED46" s="454"/>
      <c r="EE46" s="449"/>
      <c r="EF46" s="448"/>
      <c r="EG46" s="448"/>
      <c r="EH46" s="448"/>
      <c r="EI46" s="448"/>
      <c r="EJ46" s="448"/>
      <c r="EK46" s="448"/>
      <c r="EL46" s="448"/>
      <c r="EM46" s="448"/>
      <c r="EN46" s="448"/>
      <c r="EO46" s="448"/>
      <c r="EP46" s="448"/>
      <c r="EQ46" s="448"/>
      <c r="ER46" s="448"/>
      <c r="ES46" s="448"/>
      <c r="ET46" s="447"/>
      <c r="EU46" s="450"/>
      <c r="EV46" s="451"/>
      <c r="EW46" s="452"/>
    </row>
    <row r="47" spans="1:153" ht="18.899999999999999" customHeight="1">
      <c r="A47" s="453" t="s">
        <v>2088</v>
      </c>
      <c r="B47" s="437">
        <v>50</v>
      </c>
      <c r="C47" s="438">
        <f t="shared" si="1"/>
        <v>1830</v>
      </c>
      <c r="D47" s="438"/>
      <c r="E47" s="438"/>
      <c r="F47" s="439"/>
      <c r="G47" s="440"/>
      <c r="H47" s="440" t="s">
        <v>2019</v>
      </c>
      <c r="I47" s="440"/>
      <c r="J47" s="437">
        <v>1</v>
      </c>
      <c r="K47" s="440"/>
      <c r="L47" s="440"/>
      <c r="M47" s="440"/>
      <c r="N47" s="440"/>
      <c r="O47" s="440"/>
      <c r="P47" s="440"/>
      <c r="Q47" s="440"/>
      <c r="R47" s="440"/>
      <c r="S47" s="440"/>
      <c r="T47" s="440"/>
      <c r="U47" s="444">
        <v>1</v>
      </c>
      <c r="V47" s="440"/>
      <c r="W47" s="440"/>
      <c r="X47" s="440"/>
      <c r="Y47" s="440"/>
      <c r="Z47" s="440"/>
      <c r="AA47" s="440"/>
      <c r="AB47" s="440"/>
      <c r="AC47" s="440"/>
      <c r="AD47" s="440"/>
      <c r="AE47" s="440"/>
      <c r="AF47" s="440"/>
      <c r="AG47" s="440"/>
      <c r="AH47" s="440"/>
      <c r="AI47" s="440"/>
      <c r="AJ47" s="440"/>
      <c r="AK47" s="440"/>
      <c r="AL47" s="440"/>
      <c r="AM47" s="440"/>
      <c r="AN47" s="440"/>
      <c r="AO47" s="440"/>
      <c r="AP47" s="440"/>
      <c r="AQ47" s="440"/>
      <c r="AR47" s="440"/>
      <c r="AS47" s="440"/>
      <c r="AT47" s="441"/>
      <c r="AU47" s="440"/>
      <c r="AV47" s="440"/>
      <c r="AW47" s="440"/>
      <c r="AX47" s="440"/>
      <c r="AY47" s="440"/>
      <c r="AZ47" s="440"/>
      <c r="BA47" s="440"/>
      <c r="BB47" s="440"/>
      <c r="BC47" s="442"/>
      <c r="BD47" s="440"/>
      <c r="BE47" s="440"/>
      <c r="BF47" s="440"/>
      <c r="BG47" s="440"/>
      <c r="BH47" s="440"/>
      <c r="BI47" s="440"/>
      <c r="BJ47" s="440"/>
      <c r="BK47" s="440"/>
      <c r="BL47" s="440"/>
      <c r="BM47" s="440"/>
      <c r="BN47" s="440"/>
      <c r="BO47" s="440">
        <v>1</v>
      </c>
      <c r="BP47" s="440"/>
      <c r="BQ47" s="440"/>
      <c r="BR47" s="440"/>
      <c r="BS47" s="443">
        <v>2</v>
      </c>
      <c r="BT47" s="443"/>
      <c r="BU47" s="440"/>
      <c r="BV47" s="443"/>
      <c r="BW47" s="440"/>
      <c r="BX47" s="440"/>
      <c r="BY47" s="440"/>
      <c r="BZ47" s="440"/>
      <c r="CA47" s="440"/>
      <c r="CB47" s="440"/>
      <c r="CC47" s="440"/>
      <c r="CD47" s="440"/>
      <c r="CE47" s="440"/>
      <c r="CF47" s="440"/>
      <c r="CG47" s="440"/>
      <c r="CH47" s="440"/>
      <c r="CI47" s="440"/>
      <c r="CJ47" s="440"/>
      <c r="CK47" s="440"/>
      <c r="CL47" s="440"/>
      <c r="CM47" s="440"/>
      <c r="CN47" s="440"/>
      <c r="CO47" s="440"/>
      <c r="CP47" s="441">
        <v>6</v>
      </c>
      <c r="CQ47" s="441"/>
      <c r="CR47" s="441"/>
      <c r="CS47" s="441"/>
      <c r="CT47" s="441"/>
      <c r="CU47" s="441">
        <v>1</v>
      </c>
      <c r="CV47" s="440"/>
      <c r="CW47" s="440"/>
      <c r="CX47" s="441"/>
      <c r="CY47" s="440"/>
      <c r="CZ47" s="440"/>
      <c r="DA47" s="440"/>
      <c r="DB47" s="440"/>
      <c r="DC47" s="440"/>
      <c r="DD47" s="444"/>
      <c r="DE47" s="440"/>
      <c r="DF47" s="440"/>
      <c r="DG47" s="440"/>
      <c r="DH47" s="440"/>
      <c r="DI47" s="440"/>
      <c r="DJ47" s="440"/>
      <c r="DK47" s="440"/>
      <c r="DL47" s="440"/>
      <c r="DM47" s="440"/>
      <c r="DN47" s="440"/>
      <c r="DO47" s="440"/>
      <c r="DP47" s="440"/>
      <c r="DQ47" s="440"/>
      <c r="DR47" s="440"/>
      <c r="DS47" s="440"/>
      <c r="DT47" s="440"/>
      <c r="DU47" s="440"/>
      <c r="DV47" s="440"/>
      <c r="DW47" s="440"/>
      <c r="DX47" s="440"/>
      <c r="DY47" s="440"/>
      <c r="DZ47" s="440"/>
      <c r="EA47" s="440"/>
      <c r="EB47" s="440"/>
      <c r="EC47" s="445"/>
      <c r="ED47" s="454"/>
      <c r="EE47" s="449"/>
      <c r="EF47" s="448"/>
      <c r="EG47" s="448"/>
      <c r="EH47" s="448"/>
      <c r="EI47" s="448"/>
      <c r="EJ47" s="448"/>
      <c r="EK47" s="448"/>
      <c r="EL47" s="448"/>
      <c r="EM47" s="448"/>
      <c r="EN47" s="448"/>
      <c r="EO47" s="448"/>
      <c r="EP47" s="448"/>
      <c r="EQ47" s="448"/>
      <c r="ER47" s="448"/>
      <c r="ES47" s="448"/>
      <c r="ET47" s="447"/>
      <c r="EU47" s="450"/>
      <c r="EV47" s="451"/>
      <c r="EW47" s="452"/>
    </row>
    <row r="48" spans="1:153" ht="18.899999999999999" customHeight="1">
      <c r="A48" s="453" t="s">
        <v>2089</v>
      </c>
      <c r="B48" s="437">
        <v>50</v>
      </c>
      <c r="C48" s="438">
        <f t="shared" si="1"/>
        <v>1880</v>
      </c>
      <c r="D48" s="438"/>
      <c r="E48" s="438"/>
      <c r="F48" s="439"/>
      <c r="G48" s="440"/>
      <c r="H48" s="440" t="s">
        <v>2019</v>
      </c>
      <c r="I48" s="440"/>
      <c r="J48" s="437">
        <v>1</v>
      </c>
      <c r="K48" s="440"/>
      <c r="L48" s="440"/>
      <c r="M48" s="440"/>
      <c r="N48" s="440"/>
      <c r="O48" s="440"/>
      <c r="P48" s="440"/>
      <c r="Q48" s="440"/>
      <c r="R48" s="440"/>
      <c r="S48" s="440"/>
      <c r="T48" s="440"/>
      <c r="U48" s="444">
        <v>1</v>
      </c>
      <c r="V48" s="440"/>
      <c r="W48" s="440"/>
      <c r="X48" s="440"/>
      <c r="Y48" s="440"/>
      <c r="Z48" s="440"/>
      <c r="AA48" s="440"/>
      <c r="AB48" s="440"/>
      <c r="AC48" s="440"/>
      <c r="AD48" s="440"/>
      <c r="AE48" s="440"/>
      <c r="AF48" s="440"/>
      <c r="AG48" s="440"/>
      <c r="AH48" s="440"/>
      <c r="AI48" s="440"/>
      <c r="AJ48" s="440"/>
      <c r="AK48" s="440"/>
      <c r="AL48" s="440"/>
      <c r="AM48" s="440"/>
      <c r="AN48" s="440"/>
      <c r="AO48" s="440"/>
      <c r="AP48" s="440"/>
      <c r="AQ48" s="440"/>
      <c r="AR48" s="440"/>
      <c r="AS48" s="440"/>
      <c r="AT48" s="441"/>
      <c r="AU48" s="440"/>
      <c r="AV48" s="440"/>
      <c r="AW48" s="440"/>
      <c r="AX48" s="440"/>
      <c r="AY48" s="440"/>
      <c r="AZ48" s="440"/>
      <c r="BA48" s="440"/>
      <c r="BB48" s="440"/>
      <c r="BC48" s="442"/>
      <c r="BD48" s="440"/>
      <c r="BE48" s="440"/>
      <c r="BF48" s="440"/>
      <c r="BG48" s="440"/>
      <c r="BH48" s="440"/>
      <c r="BI48" s="440"/>
      <c r="BJ48" s="440"/>
      <c r="BK48" s="440"/>
      <c r="BL48" s="440"/>
      <c r="BM48" s="440"/>
      <c r="BN48" s="440"/>
      <c r="BO48" s="440"/>
      <c r="BP48" s="440"/>
      <c r="BQ48" s="440"/>
      <c r="BR48" s="440"/>
      <c r="BS48" s="443">
        <v>2</v>
      </c>
      <c r="BT48" s="443"/>
      <c r="BU48" s="440"/>
      <c r="BV48" s="443"/>
      <c r="BW48" s="440"/>
      <c r="BX48" s="440"/>
      <c r="BY48" s="440"/>
      <c r="BZ48" s="440"/>
      <c r="CA48" s="440"/>
      <c r="CB48" s="440"/>
      <c r="CC48" s="440"/>
      <c r="CD48" s="440"/>
      <c r="CE48" s="440"/>
      <c r="CF48" s="440"/>
      <c r="CG48" s="440"/>
      <c r="CH48" s="440"/>
      <c r="CI48" s="440"/>
      <c r="CJ48" s="440"/>
      <c r="CK48" s="440"/>
      <c r="CL48" s="440"/>
      <c r="CM48" s="440"/>
      <c r="CN48" s="440"/>
      <c r="CO48" s="440"/>
      <c r="CP48" s="441">
        <v>6</v>
      </c>
      <c r="CQ48" s="441"/>
      <c r="CR48" s="441"/>
      <c r="CS48" s="441"/>
      <c r="CT48" s="441"/>
      <c r="CU48" s="441">
        <v>1</v>
      </c>
      <c r="CV48" s="440"/>
      <c r="CW48" s="440"/>
      <c r="CX48" s="441"/>
      <c r="CY48" s="440"/>
      <c r="CZ48" s="440"/>
      <c r="DA48" s="440"/>
      <c r="DB48" s="440"/>
      <c r="DC48" s="440"/>
      <c r="DD48" s="444"/>
      <c r="DE48" s="440"/>
      <c r="DF48" s="440"/>
      <c r="DG48" s="440"/>
      <c r="DH48" s="440"/>
      <c r="DI48" s="440"/>
      <c r="DJ48" s="440"/>
      <c r="DK48" s="440"/>
      <c r="DL48" s="440"/>
      <c r="DM48" s="440"/>
      <c r="DN48" s="440"/>
      <c r="DO48" s="440"/>
      <c r="DP48" s="440"/>
      <c r="DQ48" s="440"/>
      <c r="DR48" s="440"/>
      <c r="DS48" s="440"/>
      <c r="DT48" s="440"/>
      <c r="DU48" s="440"/>
      <c r="DV48" s="440"/>
      <c r="DW48" s="440"/>
      <c r="DX48" s="440"/>
      <c r="DY48" s="440"/>
      <c r="DZ48" s="440"/>
      <c r="EA48" s="440"/>
      <c r="EB48" s="440"/>
      <c r="EC48" s="445"/>
      <c r="ED48" s="454"/>
      <c r="EE48" s="449"/>
      <c r="EF48" s="448"/>
      <c r="EG48" s="448"/>
      <c r="EH48" s="448"/>
      <c r="EI48" s="448"/>
      <c r="EJ48" s="448"/>
      <c r="EK48" s="448"/>
      <c r="EL48" s="448"/>
      <c r="EM48" s="448"/>
      <c r="EN48" s="448"/>
      <c r="EO48" s="448"/>
      <c r="EP48" s="448"/>
      <c r="EQ48" s="448"/>
      <c r="ER48" s="448"/>
      <c r="ES48" s="448"/>
      <c r="ET48" s="447"/>
      <c r="EU48" s="450"/>
      <c r="EV48" s="451"/>
      <c r="EW48" s="452"/>
    </row>
    <row r="49" spans="1:153" ht="18.899999999999999" customHeight="1">
      <c r="A49" s="453" t="s">
        <v>2090</v>
      </c>
      <c r="B49" s="437">
        <v>50</v>
      </c>
      <c r="C49" s="438">
        <f t="shared" si="1"/>
        <v>1930</v>
      </c>
      <c r="D49" s="438"/>
      <c r="E49" s="438"/>
      <c r="F49" s="439"/>
      <c r="G49" s="440"/>
      <c r="H49" s="440" t="s">
        <v>2019</v>
      </c>
      <c r="I49" s="440"/>
      <c r="J49" s="437">
        <v>1</v>
      </c>
      <c r="K49" s="440"/>
      <c r="L49" s="440"/>
      <c r="M49" s="440"/>
      <c r="N49" s="440"/>
      <c r="O49" s="440"/>
      <c r="P49" s="440"/>
      <c r="Q49" s="440"/>
      <c r="R49" s="440"/>
      <c r="S49" s="440"/>
      <c r="T49" s="440"/>
      <c r="U49" s="444">
        <v>1</v>
      </c>
      <c r="V49" s="440"/>
      <c r="W49" s="440"/>
      <c r="X49" s="440"/>
      <c r="Y49" s="440"/>
      <c r="Z49" s="440"/>
      <c r="AA49" s="440"/>
      <c r="AB49" s="440"/>
      <c r="AC49" s="440"/>
      <c r="AD49" s="440"/>
      <c r="AE49" s="440"/>
      <c r="AF49" s="440"/>
      <c r="AG49" s="440"/>
      <c r="AH49" s="440"/>
      <c r="AI49" s="440"/>
      <c r="AJ49" s="440"/>
      <c r="AK49" s="440"/>
      <c r="AL49" s="440"/>
      <c r="AM49" s="440"/>
      <c r="AN49" s="440"/>
      <c r="AO49" s="440"/>
      <c r="AP49" s="440"/>
      <c r="AQ49" s="440"/>
      <c r="AR49" s="440"/>
      <c r="AS49" s="440"/>
      <c r="AT49" s="441"/>
      <c r="AU49" s="440"/>
      <c r="AV49" s="440"/>
      <c r="AW49" s="440"/>
      <c r="AX49" s="440"/>
      <c r="AY49" s="440"/>
      <c r="AZ49" s="440"/>
      <c r="BA49" s="440"/>
      <c r="BB49" s="440"/>
      <c r="BC49" s="442"/>
      <c r="BD49" s="440"/>
      <c r="BE49" s="440"/>
      <c r="BF49" s="440"/>
      <c r="BG49" s="440"/>
      <c r="BH49" s="440"/>
      <c r="BI49" s="440"/>
      <c r="BJ49" s="440"/>
      <c r="BK49" s="440"/>
      <c r="BL49" s="440"/>
      <c r="BM49" s="440"/>
      <c r="BN49" s="440"/>
      <c r="BO49" s="440"/>
      <c r="BP49" s="440"/>
      <c r="BQ49" s="440"/>
      <c r="BR49" s="440"/>
      <c r="BS49" s="443">
        <v>2</v>
      </c>
      <c r="BT49" s="443"/>
      <c r="BU49" s="440"/>
      <c r="BV49" s="443"/>
      <c r="BW49" s="440"/>
      <c r="BX49" s="440"/>
      <c r="BY49" s="440"/>
      <c r="BZ49" s="440"/>
      <c r="CA49" s="440"/>
      <c r="CB49" s="440"/>
      <c r="CC49" s="440"/>
      <c r="CD49" s="440"/>
      <c r="CE49" s="440"/>
      <c r="CF49" s="440"/>
      <c r="CG49" s="440"/>
      <c r="CH49" s="440"/>
      <c r="CI49" s="440"/>
      <c r="CJ49" s="440"/>
      <c r="CK49" s="440"/>
      <c r="CL49" s="440"/>
      <c r="CM49" s="440"/>
      <c r="CN49" s="440"/>
      <c r="CO49" s="440"/>
      <c r="CP49" s="441">
        <v>6</v>
      </c>
      <c r="CQ49" s="441"/>
      <c r="CR49" s="441"/>
      <c r="CS49" s="441"/>
      <c r="CT49" s="441"/>
      <c r="CU49" s="441">
        <v>1</v>
      </c>
      <c r="CV49" s="440"/>
      <c r="CW49" s="440"/>
      <c r="CX49" s="441"/>
      <c r="CY49" s="440"/>
      <c r="CZ49" s="440"/>
      <c r="DA49" s="440"/>
      <c r="DB49" s="440"/>
      <c r="DC49" s="440"/>
      <c r="DD49" s="444"/>
      <c r="DE49" s="440"/>
      <c r="DF49" s="440"/>
      <c r="DG49" s="440"/>
      <c r="DH49" s="440"/>
      <c r="DI49" s="440"/>
      <c r="DJ49" s="440"/>
      <c r="DK49" s="440"/>
      <c r="DL49" s="440"/>
      <c r="DM49" s="440"/>
      <c r="DN49" s="440"/>
      <c r="DO49" s="440"/>
      <c r="DP49" s="440"/>
      <c r="DQ49" s="440"/>
      <c r="DR49" s="440"/>
      <c r="DS49" s="440"/>
      <c r="DT49" s="440"/>
      <c r="DU49" s="440"/>
      <c r="DV49" s="440"/>
      <c r="DW49" s="440"/>
      <c r="DX49" s="440"/>
      <c r="DY49" s="440"/>
      <c r="DZ49" s="440"/>
      <c r="EA49" s="440"/>
      <c r="EB49" s="440"/>
      <c r="EC49" s="445"/>
      <c r="ED49" s="454"/>
      <c r="EE49" s="449"/>
      <c r="EF49" s="448"/>
      <c r="EG49" s="448"/>
      <c r="EH49" s="448"/>
      <c r="EI49" s="448"/>
      <c r="EJ49" s="448"/>
      <c r="EK49" s="448"/>
      <c r="EL49" s="448"/>
      <c r="EM49" s="448"/>
      <c r="EN49" s="448"/>
      <c r="EO49" s="448"/>
      <c r="EP49" s="448"/>
      <c r="EQ49" s="448"/>
      <c r="ER49" s="448"/>
      <c r="ES49" s="448"/>
      <c r="ET49" s="447"/>
      <c r="EU49" s="450"/>
      <c r="EV49" s="451"/>
      <c r="EW49" s="452"/>
    </row>
    <row r="50" spans="1:153" ht="18.899999999999999" customHeight="1">
      <c r="A50" s="453" t="s">
        <v>2091</v>
      </c>
      <c r="B50" s="437">
        <v>50</v>
      </c>
      <c r="C50" s="438">
        <f t="shared" si="1"/>
        <v>1980</v>
      </c>
      <c r="D50" s="438"/>
      <c r="E50" s="438"/>
      <c r="F50" s="439"/>
      <c r="G50" s="440"/>
      <c r="H50" s="440" t="s">
        <v>281</v>
      </c>
      <c r="I50" s="440"/>
      <c r="J50" s="437"/>
      <c r="K50" s="440">
        <v>2</v>
      </c>
      <c r="L50" s="440"/>
      <c r="M50" s="440"/>
      <c r="N50" s="440"/>
      <c r="O50" s="440"/>
      <c r="P50" s="440"/>
      <c r="Q50" s="440"/>
      <c r="R50" s="440"/>
      <c r="S50" s="440"/>
      <c r="T50" s="440"/>
      <c r="U50" s="444"/>
      <c r="V50" s="440"/>
      <c r="W50" s="440"/>
      <c r="X50" s="440"/>
      <c r="Y50" s="440"/>
      <c r="Z50" s="440"/>
      <c r="AA50" s="440"/>
      <c r="AB50" s="440"/>
      <c r="AC50" s="440"/>
      <c r="AD50" s="440">
        <v>2</v>
      </c>
      <c r="AE50" s="440"/>
      <c r="AF50" s="440"/>
      <c r="AG50" s="440"/>
      <c r="AH50" s="440"/>
      <c r="AI50" s="440"/>
      <c r="AJ50" s="440"/>
      <c r="AK50" s="440"/>
      <c r="AL50" s="440"/>
      <c r="AM50" s="440"/>
      <c r="AN50" s="440"/>
      <c r="AO50" s="440"/>
      <c r="AP50" s="440"/>
      <c r="AQ50" s="440"/>
      <c r="AR50" s="440"/>
      <c r="AS50" s="440"/>
      <c r="AT50" s="441"/>
      <c r="AU50" s="440"/>
      <c r="AV50" s="440"/>
      <c r="AW50" s="440">
        <v>4</v>
      </c>
      <c r="AX50" s="440"/>
      <c r="AY50" s="440"/>
      <c r="AZ50" s="440"/>
      <c r="BA50" s="440"/>
      <c r="BB50" s="440"/>
      <c r="BC50" s="442">
        <v>4</v>
      </c>
      <c r="BD50" s="440"/>
      <c r="BE50" s="440"/>
      <c r="BF50" s="440"/>
      <c r="BG50" s="440"/>
      <c r="BH50" s="440"/>
      <c r="BI50" s="440"/>
      <c r="BJ50" s="440"/>
      <c r="BK50" s="440"/>
      <c r="BL50" s="440"/>
      <c r="BM50" s="440"/>
      <c r="BN50" s="440"/>
      <c r="BO50" s="440"/>
      <c r="BP50" s="440">
        <v>1</v>
      </c>
      <c r="BQ50" s="440"/>
      <c r="BR50" s="440"/>
      <c r="BS50" s="443"/>
      <c r="BT50" s="443"/>
      <c r="BU50" s="440"/>
      <c r="BV50" s="443"/>
      <c r="BW50" s="440"/>
      <c r="BX50" s="440"/>
      <c r="BY50" s="440"/>
      <c r="BZ50" s="440"/>
      <c r="CA50" s="440"/>
      <c r="CB50" s="440"/>
      <c r="CC50" s="440"/>
      <c r="CD50" s="440"/>
      <c r="CE50" s="440">
        <v>2</v>
      </c>
      <c r="CF50" s="440"/>
      <c r="CG50" s="440"/>
      <c r="CH50" s="440"/>
      <c r="CI50" s="440"/>
      <c r="CJ50" s="440"/>
      <c r="CK50" s="440">
        <v>1</v>
      </c>
      <c r="CL50" s="440"/>
      <c r="CM50" s="440"/>
      <c r="CN50" s="440"/>
      <c r="CO50" s="440"/>
      <c r="CP50" s="441">
        <v>12</v>
      </c>
      <c r="CQ50" s="441">
        <v>12</v>
      </c>
      <c r="CR50" s="441"/>
      <c r="CS50" s="441">
        <v>2</v>
      </c>
      <c r="CT50" s="441">
        <v>12</v>
      </c>
      <c r="CU50" s="441"/>
      <c r="CV50" s="440"/>
      <c r="CW50" s="440"/>
      <c r="CX50" s="441">
        <v>2</v>
      </c>
      <c r="CY50" s="440"/>
      <c r="CZ50" s="440"/>
      <c r="DA50" s="440"/>
      <c r="DB50" s="440">
        <v>2</v>
      </c>
      <c r="DC50" s="440"/>
      <c r="DD50" s="444">
        <v>12</v>
      </c>
      <c r="DE50" s="440"/>
      <c r="DF50" s="440"/>
      <c r="DG50" s="440"/>
      <c r="DH50" s="440"/>
      <c r="DI50" s="440"/>
      <c r="DJ50" s="440"/>
      <c r="DK50" s="440"/>
      <c r="DL50" s="440"/>
      <c r="DM50" s="440"/>
      <c r="DN50" s="440"/>
      <c r="DO50" s="440"/>
      <c r="DP50" s="440"/>
      <c r="DQ50" s="440"/>
      <c r="DR50" s="440"/>
      <c r="DS50" s="440"/>
      <c r="DT50" s="440"/>
      <c r="DU50" s="440"/>
      <c r="DV50" s="440"/>
      <c r="DW50" s="440"/>
      <c r="DX50" s="440"/>
      <c r="DY50" s="440"/>
      <c r="DZ50" s="440"/>
      <c r="EA50" s="440"/>
      <c r="EB50" s="440"/>
      <c r="EC50" s="445"/>
      <c r="ED50" s="454"/>
      <c r="EE50" s="449"/>
      <c r="EF50" s="448"/>
      <c r="EG50" s="448"/>
      <c r="EH50" s="448"/>
      <c r="EI50" s="448"/>
      <c r="EJ50" s="448"/>
      <c r="EK50" s="448"/>
      <c r="EL50" s="448"/>
      <c r="EM50" s="448"/>
      <c r="EN50" s="448"/>
      <c r="EO50" s="448"/>
      <c r="EP50" s="448"/>
      <c r="EQ50" s="448"/>
      <c r="ER50" s="448"/>
      <c r="ES50" s="448"/>
      <c r="ET50" s="447"/>
      <c r="EU50" s="450"/>
      <c r="EV50" s="451"/>
      <c r="EW50" s="452"/>
    </row>
    <row r="51" spans="1:153" ht="18.899999999999999" customHeight="1">
      <c r="A51" s="453" t="s">
        <v>2092</v>
      </c>
      <c r="B51" s="437">
        <v>50</v>
      </c>
      <c r="C51" s="438">
        <f t="shared" si="1"/>
        <v>2030</v>
      </c>
      <c r="D51" s="438"/>
      <c r="E51" s="438"/>
      <c r="F51" s="439"/>
      <c r="G51" s="440"/>
      <c r="H51" s="440" t="s">
        <v>2019</v>
      </c>
      <c r="I51" s="440"/>
      <c r="J51" s="437"/>
      <c r="K51" s="440">
        <v>1</v>
      </c>
      <c r="L51" s="440"/>
      <c r="M51" s="440"/>
      <c r="N51" s="440"/>
      <c r="O51" s="440"/>
      <c r="P51" s="440"/>
      <c r="Q51" s="440"/>
      <c r="R51" s="440"/>
      <c r="S51" s="440"/>
      <c r="T51" s="440"/>
      <c r="U51" s="444"/>
      <c r="V51" s="440"/>
      <c r="W51" s="440"/>
      <c r="X51" s="440"/>
      <c r="Y51" s="440"/>
      <c r="Z51" s="440"/>
      <c r="AA51" s="440"/>
      <c r="AB51" s="440"/>
      <c r="AC51" s="440"/>
      <c r="AD51" s="440">
        <v>1</v>
      </c>
      <c r="AE51" s="440"/>
      <c r="AF51" s="440"/>
      <c r="AG51" s="440"/>
      <c r="AH51" s="440"/>
      <c r="AI51" s="440"/>
      <c r="AJ51" s="440"/>
      <c r="AK51" s="440"/>
      <c r="AL51" s="440"/>
      <c r="AM51" s="440"/>
      <c r="AN51" s="440"/>
      <c r="AO51" s="440"/>
      <c r="AP51" s="440"/>
      <c r="AQ51" s="440"/>
      <c r="AR51" s="440"/>
      <c r="AS51" s="440"/>
      <c r="AT51" s="441"/>
      <c r="AU51" s="440"/>
      <c r="AV51" s="440"/>
      <c r="AW51" s="440"/>
      <c r="AX51" s="440"/>
      <c r="AY51" s="440"/>
      <c r="AZ51" s="440"/>
      <c r="BA51" s="440"/>
      <c r="BB51" s="440"/>
      <c r="BC51" s="442"/>
      <c r="BD51" s="440"/>
      <c r="BE51" s="440"/>
      <c r="BF51" s="440"/>
      <c r="BG51" s="440"/>
      <c r="BH51" s="440"/>
      <c r="BI51" s="440"/>
      <c r="BJ51" s="440"/>
      <c r="BK51" s="440"/>
      <c r="BL51" s="440"/>
      <c r="BM51" s="440"/>
      <c r="BN51" s="440"/>
      <c r="BO51" s="440"/>
      <c r="BP51" s="440"/>
      <c r="BQ51" s="440"/>
      <c r="BR51" s="440"/>
      <c r="BS51" s="443">
        <v>2</v>
      </c>
      <c r="BT51" s="443"/>
      <c r="BU51" s="440"/>
      <c r="BV51" s="443"/>
      <c r="BW51" s="440"/>
      <c r="BX51" s="440"/>
      <c r="BY51" s="440"/>
      <c r="BZ51" s="440"/>
      <c r="CA51" s="440"/>
      <c r="CB51" s="440"/>
      <c r="CC51" s="440"/>
      <c r="CD51" s="440"/>
      <c r="CE51" s="440"/>
      <c r="CF51" s="440"/>
      <c r="CG51" s="440"/>
      <c r="CH51" s="440"/>
      <c r="CI51" s="440"/>
      <c r="CJ51" s="440"/>
      <c r="CK51" s="440"/>
      <c r="CL51" s="440"/>
      <c r="CM51" s="440"/>
      <c r="CN51" s="440"/>
      <c r="CO51" s="440"/>
      <c r="CP51" s="441">
        <v>6</v>
      </c>
      <c r="CQ51" s="441"/>
      <c r="CR51" s="441"/>
      <c r="CS51" s="441"/>
      <c r="CT51" s="441"/>
      <c r="CU51" s="441">
        <v>1</v>
      </c>
      <c r="CV51" s="440"/>
      <c r="CW51" s="440"/>
      <c r="CX51" s="441"/>
      <c r="CY51" s="440"/>
      <c r="CZ51" s="440"/>
      <c r="DA51" s="440"/>
      <c r="DB51" s="440"/>
      <c r="DC51" s="440"/>
      <c r="DD51" s="444"/>
      <c r="DE51" s="440"/>
      <c r="DF51" s="440"/>
      <c r="DG51" s="440"/>
      <c r="DH51" s="440"/>
      <c r="DI51" s="440"/>
      <c r="DJ51" s="440"/>
      <c r="DK51" s="440"/>
      <c r="DL51" s="440"/>
      <c r="DM51" s="440"/>
      <c r="DN51" s="440"/>
      <c r="DO51" s="440"/>
      <c r="DP51" s="440"/>
      <c r="DQ51" s="440"/>
      <c r="DR51" s="440"/>
      <c r="DS51" s="440"/>
      <c r="DT51" s="440"/>
      <c r="DU51" s="440"/>
      <c r="DV51" s="440"/>
      <c r="DW51" s="440"/>
      <c r="DX51" s="440"/>
      <c r="DY51" s="440"/>
      <c r="DZ51" s="440"/>
      <c r="EA51" s="440"/>
      <c r="EB51" s="440"/>
      <c r="EC51" s="445"/>
      <c r="ED51" s="454"/>
      <c r="EE51" s="449"/>
      <c r="EF51" s="448"/>
      <c r="EG51" s="448"/>
      <c r="EH51" s="448"/>
      <c r="EI51" s="448"/>
      <c r="EJ51" s="448"/>
      <c r="EK51" s="448"/>
      <c r="EL51" s="448"/>
      <c r="EM51" s="448"/>
      <c r="EN51" s="448"/>
      <c r="EO51" s="448"/>
      <c r="EP51" s="448"/>
      <c r="EQ51" s="448"/>
      <c r="ER51" s="448"/>
      <c r="ES51" s="448"/>
      <c r="ET51" s="447"/>
      <c r="EU51" s="450"/>
      <c r="EV51" s="451"/>
      <c r="EW51" s="452"/>
    </row>
    <row r="52" spans="1:153" ht="18.899999999999999" customHeight="1">
      <c r="A52" s="453" t="s">
        <v>2093</v>
      </c>
      <c r="B52" s="437">
        <v>50</v>
      </c>
      <c r="C52" s="438">
        <f t="shared" si="1"/>
        <v>2080</v>
      </c>
      <c r="D52" s="438"/>
      <c r="E52" s="438"/>
      <c r="F52" s="439"/>
      <c r="G52" s="440"/>
      <c r="H52" s="440" t="s">
        <v>2019</v>
      </c>
      <c r="I52" s="440"/>
      <c r="J52" s="437"/>
      <c r="K52" s="440">
        <v>1</v>
      </c>
      <c r="L52" s="440"/>
      <c r="M52" s="440"/>
      <c r="N52" s="440"/>
      <c r="O52" s="440"/>
      <c r="P52" s="440"/>
      <c r="Q52" s="440"/>
      <c r="R52" s="440"/>
      <c r="S52" s="440"/>
      <c r="T52" s="440"/>
      <c r="U52" s="444"/>
      <c r="V52" s="440"/>
      <c r="W52" s="440"/>
      <c r="X52" s="440"/>
      <c r="Y52" s="440"/>
      <c r="Z52" s="440"/>
      <c r="AA52" s="440"/>
      <c r="AB52" s="440"/>
      <c r="AC52" s="440"/>
      <c r="AD52" s="440">
        <v>1</v>
      </c>
      <c r="AE52" s="440"/>
      <c r="AF52" s="440"/>
      <c r="AG52" s="440"/>
      <c r="AH52" s="440"/>
      <c r="AI52" s="440"/>
      <c r="AJ52" s="440"/>
      <c r="AK52" s="440"/>
      <c r="AL52" s="440"/>
      <c r="AM52" s="440"/>
      <c r="AN52" s="440"/>
      <c r="AO52" s="440"/>
      <c r="AP52" s="440"/>
      <c r="AQ52" s="440"/>
      <c r="AR52" s="440"/>
      <c r="AS52" s="440"/>
      <c r="AT52" s="441"/>
      <c r="AU52" s="440"/>
      <c r="AV52" s="440"/>
      <c r="AW52" s="440"/>
      <c r="AX52" s="440"/>
      <c r="AY52" s="440"/>
      <c r="AZ52" s="440"/>
      <c r="BA52" s="440"/>
      <c r="BB52" s="440"/>
      <c r="BC52" s="442"/>
      <c r="BD52" s="440"/>
      <c r="BE52" s="440"/>
      <c r="BF52" s="440"/>
      <c r="BG52" s="440"/>
      <c r="BH52" s="440"/>
      <c r="BI52" s="440"/>
      <c r="BJ52" s="440"/>
      <c r="BK52" s="440"/>
      <c r="BL52" s="440"/>
      <c r="BM52" s="440"/>
      <c r="BN52" s="440"/>
      <c r="BO52" s="440"/>
      <c r="BP52" s="440"/>
      <c r="BQ52" s="440"/>
      <c r="BR52" s="440"/>
      <c r="BS52" s="443">
        <v>2</v>
      </c>
      <c r="BT52" s="443"/>
      <c r="BU52" s="440"/>
      <c r="BV52" s="443"/>
      <c r="BW52" s="440"/>
      <c r="BX52" s="440"/>
      <c r="BY52" s="440"/>
      <c r="BZ52" s="440"/>
      <c r="CA52" s="440"/>
      <c r="CB52" s="440"/>
      <c r="CC52" s="440"/>
      <c r="CD52" s="440"/>
      <c r="CE52" s="440"/>
      <c r="CF52" s="440"/>
      <c r="CG52" s="440"/>
      <c r="CH52" s="440"/>
      <c r="CI52" s="440"/>
      <c r="CJ52" s="440"/>
      <c r="CK52" s="440"/>
      <c r="CL52" s="440"/>
      <c r="CM52" s="440"/>
      <c r="CN52" s="440"/>
      <c r="CO52" s="440"/>
      <c r="CP52" s="441">
        <v>6</v>
      </c>
      <c r="CQ52" s="441"/>
      <c r="CR52" s="441"/>
      <c r="CS52" s="441"/>
      <c r="CT52" s="441"/>
      <c r="CU52" s="441">
        <v>1</v>
      </c>
      <c r="CV52" s="440"/>
      <c r="CW52" s="440"/>
      <c r="CX52" s="441"/>
      <c r="CY52" s="440"/>
      <c r="CZ52" s="440"/>
      <c r="DA52" s="440"/>
      <c r="DB52" s="440"/>
      <c r="DC52" s="440"/>
      <c r="DD52" s="444"/>
      <c r="DE52" s="440"/>
      <c r="DF52" s="440"/>
      <c r="DG52" s="440"/>
      <c r="DH52" s="440"/>
      <c r="DI52" s="440"/>
      <c r="DJ52" s="440"/>
      <c r="DK52" s="440"/>
      <c r="DL52" s="440"/>
      <c r="DM52" s="440"/>
      <c r="DN52" s="440"/>
      <c r="DO52" s="440"/>
      <c r="DP52" s="440"/>
      <c r="DQ52" s="440"/>
      <c r="DR52" s="440"/>
      <c r="DS52" s="440"/>
      <c r="DT52" s="440"/>
      <c r="DU52" s="440"/>
      <c r="DV52" s="440"/>
      <c r="DW52" s="440"/>
      <c r="DX52" s="440"/>
      <c r="DY52" s="440"/>
      <c r="DZ52" s="440"/>
      <c r="EA52" s="440"/>
      <c r="EB52" s="440"/>
      <c r="EC52" s="445"/>
      <c r="ED52" s="454"/>
      <c r="EE52" s="449"/>
      <c r="EF52" s="448"/>
      <c r="EG52" s="448"/>
      <c r="EH52" s="448"/>
      <c r="EI52" s="448"/>
      <c r="EJ52" s="448"/>
      <c r="EK52" s="448"/>
      <c r="EL52" s="448"/>
      <c r="EM52" s="448"/>
      <c r="EN52" s="448"/>
      <c r="EO52" s="448"/>
      <c r="EP52" s="448"/>
      <c r="EQ52" s="448"/>
      <c r="ER52" s="448"/>
      <c r="ES52" s="448"/>
      <c r="ET52" s="447"/>
      <c r="EU52" s="450"/>
      <c r="EV52" s="451"/>
      <c r="EW52" s="452"/>
    </row>
    <row r="53" spans="1:153" ht="18.899999999999999" customHeight="1">
      <c r="A53" s="453" t="s">
        <v>2094</v>
      </c>
      <c r="B53" s="437">
        <v>40</v>
      </c>
      <c r="C53" s="438">
        <f t="shared" si="1"/>
        <v>2120</v>
      </c>
      <c r="D53" s="438"/>
      <c r="E53" s="438"/>
      <c r="F53" s="439"/>
      <c r="G53" s="440"/>
      <c r="H53" s="440" t="s">
        <v>546</v>
      </c>
      <c r="I53" s="440"/>
      <c r="J53" s="437"/>
      <c r="K53" s="440">
        <v>2</v>
      </c>
      <c r="L53" s="440"/>
      <c r="M53" s="440"/>
      <c r="N53" s="440"/>
      <c r="O53" s="440"/>
      <c r="P53" s="440"/>
      <c r="Q53" s="440"/>
      <c r="R53" s="440"/>
      <c r="S53" s="440"/>
      <c r="T53" s="440"/>
      <c r="U53" s="444"/>
      <c r="V53" s="440"/>
      <c r="W53" s="440"/>
      <c r="X53" s="440"/>
      <c r="Y53" s="440"/>
      <c r="Z53" s="440"/>
      <c r="AA53" s="440"/>
      <c r="AB53" s="440"/>
      <c r="AC53" s="440"/>
      <c r="AD53" s="440">
        <v>2</v>
      </c>
      <c r="AE53" s="440"/>
      <c r="AF53" s="440"/>
      <c r="AG53" s="440"/>
      <c r="AH53" s="440"/>
      <c r="AI53" s="440"/>
      <c r="AJ53" s="440"/>
      <c r="AK53" s="440"/>
      <c r="AL53" s="440"/>
      <c r="AM53" s="440"/>
      <c r="AN53" s="440"/>
      <c r="AO53" s="440"/>
      <c r="AP53" s="440"/>
      <c r="AQ53" s="440"/>
      <c r="AR53" s="440"/>
      <c r="AS53" s="440"/>
      <c r="AT53" s="441"/>
      <c r="AU53" s="440"/>
      <c r="AV53" s="440"/>
      <c r="AW53" s="440">
        <v>2</v>
      </c>
      <c r="AX53" s="440"/>
      <c r="AY53" s="440"/>
      <c r="AZ53" s="440"/>
      <c r="BA53" s="440"/>
      <c r="BB53" s="440"/>
      <c r="BC53" s="442">
        <v>2</v>
      </c>
      <c r="BD53" s="440"/>
      <c r="BE53" s="440"/>
      <c r="BF53" s="440"/>
      <c r="BG53" s="440"/>
      <c r="BH53" s="440"/>
      <c r="BI53" s="440"/>
      <c r="BJ53" s="440"/>
      <c r="BK53" s="440"/>
      <c r="BL53" s="440"/>
      <c r="BM53" s="440"/>
      <c r="BN53" s="440"/>
      <c r="BO53" s="440"/>
      <c r="BP53" s="440">
        <v>1</v>
      </c>
      <c r="BQ53" s="440"/>
      <c r="BR53" s="440"/>
      <c r="BS53" s="443"/>
      <c r="BT53" s="443"/>
      <c r="BU53" s="440"/>
      <c r="BV53" s="443"/>
      <c r="BW53" s="440"/>
      <c r="BX53" s="440"/>
      <c r="BY53" s="440"/>
      <c r="BZ53" s="440"/>
      <c r="CA53" s="440"/>
      <c r="CB53" s="440"/>
      <c r="CC53" s="440"/>
      <c r="CD53" s="440"/>
      <c r="CE53" s="440">
        <v>2</v>
      </c>
      <c r="CF53" s="440"/>
      <c r="CG53" s="440"/>
      <c r="CH53" s="440"/>
      <c r="CI53" s="440"/>
      <c r="CJ53" s="440"/>
      <c r="CK53" s="440">
        <v>1</v>
      </c>
      <c r="CL53" s="440"/>
      <c r="CM53" s="440"/>
      <c r="CN53" s="440"/>
      <c r="CO53" s="440"/>
      <c r="CP53" s="441">
        <v>6</v>
      </c>
      <c r="CQ53" s="441">
        <v>6</v>
      </c>
      <c r="CR53" s="441"/>
      <c r="CS53" s="441">
        <v>1</v>
      </c>
      <c r="CT53" s="441">
        <v>6</v>
      </c>
      <c r="CU53" s="441"/>
      <c r="CV53" s="440"/>
      <c r="CW53" s="440"/>
      <c r="CX53" s="441">
        <v>1</v>
      </c>
      <c r="CY53" s="440"/>
      <c r="CZ53" s="440"/>
      <c r="DA53" s="440"/>
      <c r="DB53" s="440"/>
      <c r="DC53" s="440"/>
      <c r="DD53" s="444"/>
      <c r="DE53" s="440"/>
      <c r="DF53" s="440"/>
      <c r="DG53" s="440"/>
      <c r="DH53" s="440"/>
      <c r="DI53" s="440"/>
      <c r="DJ53" s="440"/>
      <c r="DK53" s="440"/>
      <c r="DL53" s="440"/>
      <c r="DM53" s="440"/>
      <c r="DN53" s="440"/>
      <c r="DO53" s="440"/>
      <c r="DP53" s="440"/>
      <c r="DQ53" s="440"/>
      <c r="DR53" s="440"/>
      <c r="DS53" s="440"/>
      <c r="DT53" s="440"/>
      <c r="DU53" s="440"/>
      <c r="DV53" s="440"/>
      <c r="DW53" s="440"/>
      <c r="DX53" s="440"/>
      <c r="DY53" s="440"/>
      <c r="DZ53" s="440"/>
      <c r="EA53" s="440"/>
      <c r="EB53" s="440"/>
      <c r="EC53" s="445"/>
      <c r="ED53" s="454"/>
      <c r="EE53" s="449"/>
      <c r="EF53" s="448"/>
      <c r="EG53" s="448"/>
      <c r="EH53" s="448"/>
      <c r="EI53" s="448"/>
      <c r="EJ53" s="448"/>
      <c r="EK53" s="448"/>
      <c r="EL53" s="448"/>
      <c r="EM53" s="448"/>
      <c r="EN53" s="448"/>
      <c r="EO53" s="448"/>
      <c r="EP53" s="448"/>
      <c r="EQ53" s="448"/>
      <c r="ER53" s="448"/>
      <c r="ES53" s="448"/>
      <c r="ET53" s="447"/>
      <c r="EU53" s="450"/>
      <c r="EV53" s="451"/>
      <c r="EW53" s="452"/>
    </row>
    <row r="54" spans="1:153" ht="18.899999999999999" customHeight="1">
      <c r="A54" s="453"/>
      <c r="B54" s="437"/>
      <c r="C54" s="438"/>
      <c r="D54" s="438"/>
      <c r="E54" s="438"/>
      <c r="F54" s="439"/>
      <c r="G54" s="440"/>
      <c r="H54" s="440"/>
      <c r="I54" s="440"/>
      <c r="J54" s="437"/>
      <c r="K54" s="440"/>
      <c r="L54" s="440"/>
      <c r="M54" s="440"/>
      <c r="N54" s="440"/>
      <c r="O54" s="440"/>
      <c r="P54" s="440"/>
      <c r="Q54" s="440"/>
      <c r="R54" s="440"/>
      <c r="S54" s="440"/>
      <c r="T54" s="440"/>
      <c r="U54" s="444"/>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1"/>
      <c r="AU54" s="440"/>
      <c r="AV54" s="440"/>
      <c r="AW54" s="440"/>
      <c r="AX54" s="440"/>
      <c r="AY54" s="440"/>
      <c r="AZ54" s="440"/>
      <c r="BA54" s="440"/>
      <c r="BB54" s="440"/>
      <c r="BC54" s="442"/>
      <c r="BD54" s="440"/>
      <c r="BE54" s="440"/>
      <c r="BF54" s="440"/>
      <c r="BG54" s="440"/>
      <c r="BH54" s="440"/>
      <c r="BI54" s="440"/>
      <c r="BJ54" s="440"/>
      <c r="BK54" s="440"/>
      <c r="BL54" s="440"/>
      <c r="BM54" s="440"/>
      <c r="BN54" s="440"/>
      <c r="BO54" s="440"/>
      <c r="BP54" s="440"/>
      <c r="BQ54" s="440"/>
      <c r="BR54" s="440"/>
      <c r="BS54" s="443"/>
      <c r="BT54" s="443"/>
      <c r="BU54" s="440"/>
      <c r="BV54" s="443"/>
      <c r="BW54" s="440"/>
      <c r="BX54" s="440"/>
      <c r="BY54" s="440"/>
      <c r="BZ54" s="440"/>
      <c r="CA54" s="440"/>
      <c r="CB54" s="440"/>
      <c r="CC54" s="440"/>
      <c r="CD54" s="440"/>
      <c r="CE54" s="440"/>
      <c r="CF54" s="440"/>
      <c r="CG54" s="440"/>
      <c r="CH54" s="440"/>
      <c r="CI54" s="440"/>
      <c r="CJ54" s="440"/>
      <c r="CK54" s="440"/>
      <c r="CL54" s="440"/>
      <c r="CM54" s="440"/>
      <c r="CN54" s="440"/>
      <c r="CO54" s="440"/>
      <c r="CP54" s="441"/>
      <c r="CQ54" s="441"/>
      <c r="CR54" s="441"/>
      <c r="CS54" s="441"/>
      <c r="CT54" s="441"/>
      <c r="CU54" s="441"/>
      <c r="CV54" s="440"/>
      <c r="CW54" s="440"/>
      <c r="CX54" s="441"/>
      <c r="CY54" s="440"/>
      <c r="CZ54" s="440"/>
      <c r="DA54" s="440"/>
      <c r="DB54" s="440"/>
      <c r="DC54" s="440"/>
      <c r="DD54" s="444"/>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5"/>
      <c r="ED54" s="454"/>
      <c r="EE54" s="449"/>
      <c r="EF54" s="448"/>
      <c r="EG54" s="448"/>
      <c r="EH54" s="448"/>
      <c r="EI54" s="448"/>
      <c r="EJ54" s="448"/>
      <c r="EK54" s="448"/>
      <c r="EL54" s="448"/>
      <c r="EM54" s="448"/>
      <c r="EN54" s="448"/>
      <c r="EO54" s="448"/>
      <c r="EP54" s="448"/>
      <c r="EQ54" s="448"/>
      <c r="ER54" s="448"/>
      <c r="ES54" s="448"/>
      <c r="ET54" s="447"/>
      <c r="EU54" s="450"/>
      <c r="EV54" s="451"/>
      <c r="EW54" s="452"/>
    </row>
    <row r="55" spans="1:153" ht="18.899999999999999" customHeight="1">
      <c r="A55" s="436" t="s">
        <v>458</v>
      </c>
      <c r="B55" s="437"/>
      <c r="C55" s="438"/>
      <c r="D55" s="438"/>
      <c r="E55" s="438"/>
      <c r="F55" s="439"/>
      <c r="G55" s="440"/>
      <c r="H55" s="440" t="s">
        <v>546</v>
      </c>
      <c r="I55" s="440"/>
      <c r="J55" s="437">
        <v>2</v>
      </c>
      <c r="K55" s="440"/>
      <c r="L55" s="440"/>
      <c r="M55" s="440"/>
      <c r="N55" s="440"/>
      <c r="O55" s="440"/>
      <c r="P55" s="440"/>
      <c r="Q55" s="440"/>
      <c r="R55" s="440"/>
      <c r="S55" s="440"/>
      <c r="T55" s="440"/>
      <c r="U55" s="444">
        <v>2</v>
      </c>
      <c r="V55" s="440"/>
      <c r="W55" s="440"/>
      <c r="X55" s="440"/>
      <c r="Y55" s="440"/>
      <c r="Z55" s="440"/>
      <c r="AA55" s="440"/>
      <c r="AB55" s="440"/>
      <c r="AC55" s="440"/>
      <c r="AD55" s="440"/>
      <c r="AE55" s="440"/>
      <c r="AF55" s="440"/>
      <c r="AG55" s="440"/>
      <c r="AH55" s="440"/>
      <c r="AI55" s="440"/>
      <c r="AJ55" s="440"/>
      <c r="AK55" s="440"/>
      <c r="AL55" s="440"/>
      <c r="AM55" s="440"/>
      <c r="AN55" s="440"/>
      <c r="AO55" s="440"/>
      <c r="AP55" s="440"/>
      <c r="AQ55" s="440"/>
      <c r="AR55" s="440"/>
      <c r="AS55" s="440"/>
      <c r="AT55" s="441">
        <v>2</v>
      </c>
      <c r="AU55" s="440"/>
      <c r="AV55" s="440"/>
      <c r="AW55" s="440"/>
      <c r="AX55" s="440"/>
      <c r="AY55" s="440"/>
      <c r="AZ55" s="440"/>
      <c r="BA55" s="440"/>
      <c r="BB55" s="440"/>
      <c r="BC55" s="442">
        <v>2</v>
      </c>
      <c r="BD55" s="440"/>
      <c r="BE55" s="440"/>
      <c r="BF55" s="440"/>
      <c r="BG55" s="440"/>
      <c r="BH55" s="440"/>
      <c r="BI55" s="440"/>
      <c r="BJ55" s="440"/>
      <c r="BK55" s="440"/>
      <c r="BL55" s="440"/>
      <c r="BM55" s="440"/>
      <c r="BN55" s="440"/>
      <c r="BO55" s="440">
        <v>1</v>
      </c>
      <c r="BP55" s="440"/>
      <c r="BQ55" s="440"/>
      <c r="BR55" s="440"/>
      <c r="BS55" s="443"/>
      <c r="BT55" s="443"/>
      <c r="BU55" s="440"/>
      <c r="BV55" s="443"/>
      <c r="BW55" s="440"/>
      <c r="BX55" s="440"/>
      <c r="BY55" s="440"/>
      <c r="BZ55" s="440"/>
      <c r="CA55" s="440"/>
      <c r="CB55" s="440"/>
      <c r="CC55" s="440"/>
      <c r="CD55" s="440"/>
      <c r="CE55" s="440">
        <v>2</v>
      </c>
      <c r="CF55" s="440"/>
      <c r="CG55" s="440"/>
      <c r="CH55" s="440"/>
      <c r="CI55" s="440"/>
      <c r="CJ55" s="440"/>
      <c r="CK55" s="440">
        <v>1</v>
      </c>
      <c r="CL55" s="440"/>
      <c r="CM55" s="440"/>
      <c r="CN55" s="440"/>
      <c r="CO55" s="440"/>
      <c r="CP55" s="441"/>
      <c r="CQ55" s="441">
        <v>6</v>
      </c>
      <c r="CR55" s="441"/>
      <c r="CS55" s="441">
        <v>1</v>
      </c>
      <c r="CT55" s="441">
        <v>6</v>
      </c>
      <c r="CU55" s="441"/>
      <c r="CV55" s="440"/>
      <c r="CW55" s="440"/>
      <c r="CX55" s="441">
        <v>1</v>
      </c>
      <c r="CY55" s="440"/>
      <c r="CZ55" s="440"/>
      <c r="DA55" s="440"/>
      <c r="DB55" s="440"/>
      <c r="DC55" s="440"/>
      <c r="DD55" s="444">
        <v>12</v>
      </c>
      <c r="DE55" s="440"/>
      <c r="DF55" s="440"/>
      <c r="DG55" s="440"/>
      <c r="DH55" s="440"/>
      <c r="DI55" s="440"/>
      <c r="DJ55" s="440"/>
      <c r="DK55" s="440">
        <v>6</v>
      </c>
      <c r="DL55" s="440"/>
      <c r="DM55" s="440">
        <v>3</v>
      </c>
      <c r="DN55" s="440"/>
      <c r="DO55" s="440"/>
      <c r="DP55" s="440"/>
      <c r="DQ55" s="440">
        <v>1</v>
      </c>
      <c r="DR55" s="440"/>
      <c r="DS55" s="440"/>
      <c r="DT55" s="440"/>
      <c r="DU55" s="440"/>
      <c r="DV55" s="440"/>
      <c r="DW55" s="440"/>
      <c r="DX55" s="440"/>
      <c r="DY55" s="440"/>
      <c r="DZ55" s="440"/>
      <c r="EA55" s="440"/>
      <c r="EB55" s="440"/>
      <c r="EC55" s="445"/>
      <c r="ED55" s="454"/>
      <c r="EE55" s="449"/>
      <c r="EF55" s="448"/>
      <c r="EG55" s="448"/>
      <c r="EH55" s="448"/>
      <c r="EI55" s="448"/>
      <c r="EJ55" s="448"/>
      <c r="EK55" s="448"/>
      <c r="EL55" s="448"/>
      <c r="EM55" s="448"/>
      <c r="EN55" s="448"/>
      <c r="EO55" s="448"/>
      <c r="EP55" s="448"/>
      <c r="EQ55" s="448"/>
      <c r="ER55" s="448"/>
      <c r="ES55" s="448"/>
      <c r="ET55" s="447"/>
      <c r="EU55" s="450"/>
      <c r="EV55" s="451"/>
      <c r="EW55" s="452"/>
    </row>
    <row r="56" spans="1:153" ht="18.899999999999999" customHeight="1">
      <c r="A56" s="436" t="s">
        <v>459</v>
      </c>
      <c r="B56" s="437">
        <v>50</v>
      </c>
      <c r="C56" s="438">
        <f>C53+B56</f>
        <v>2170</v>
      </c>
      <c r="D56" s="438"/>
      <c r="E56" s="438"/>
      <c r="F56" s="439"/>
      <c r="G56" s="440"/>
      <c r="H56" s="440" t="s">
        <v>2019</v>
      </c>
      <c r="I56" s="440"/>
      <c r="J56" s="437">
        <v>1</v>
      </c>
      <c r="K56" s="440"/>
      <c r="L56" s="440"/>
      <c r="M56" s="440"/>
      <c r="N56" s="440"/>
      <c r="O56" s="440"/>
      <c r="P56" s="440"/>
      <c r="Q56" s="440"/>
      <c r="R56" s="440"/>
      <c r="S56" s="440"/>
      <c r="T56" s="440"/>
      <c r="U56" s="444">
        <v>1</v>
      </c>
      <c r="V56" s="440"/>
      <c r="W56" s="440"/>
      <c r="X56" s="440"/>
      <c r="Y56" s="440"/>
      <c r="Z56" s="440"/>
      <c r="AA56" s="440"/>
      <c r="AB56" s="440"/>
      <c r="AC56" s="440"/>
      <c r="AD56" s="440"/>
      <c r="AE56" s="440"/>
      <c r="AF56" s="440"/>
      <c r="AG56" s="440"/>
      <c r="AH56" s="440"/>
      <c r="AI56" s="440"/>
      <c r="AJ56" s="440"/>
      <c r="AK56" s="440"/>
      <c r="AL56" s="440"/>
      <c r="AM56" s="440"/>
      <c r="AN56" s="440"/>
      <c r="AO56" s="440"/>
      <c r="AP56" s="440"/>
      <c r="AQ56" s="440"/>
      <c r="AR56" s="440"/>
      <c r="AS56" s="440"/>
      <c r="AT56" s="441"/>
      <c r="AU56" s="440"/>
      <c r="AV56" s="440"/>
      <c r="AW56" s="440"/>
      <c r="AX56" s="440"/>
      <c r="AY56" s="440"/>
      <c r="AZ56" s="440"/>
      <c r="BA56" s="440"/>
      <c r="BB56" s="440"/>
      <c r="BC56" s="442"/>
      <c r="BD56" s="440"/>
      <c r="BE56" s="440"/>
      <c r="BF56" s="440"/>
      <c r="BG56" s="440"/>
      <c r="BH56" s="440"/>
      <c r="BI56" s="440"/>
      <c r="BJ56" s="440"/>
      <c r="BK56" s="440"/>
      <c r="BL56" s="440"/>
      <c r="BM56" s="440"/>
      <c r="BN56" s="440"/>
      <c r="BO56" s="440"/>
      <c r="BP56" s="440"/>
      <c r="BQ56" s="440"/>
      <c r="BR56" s="440"/>
      <c r="BS56" s="443">
        <v>2</v>
      </c>
      <c r="BT56" s="443"/>
      <c r="BU56" s="440"/>
      <c r="BV56" s="443"/>
      <c r="BW56" s="440"/>
      <c r="BX56" s="440"/>
      <c r="BY56" s="440"/>
      <c r="BZ56" s="440"/>
      <c r="CA56" s="440"/>
      <c r="CB56" s="440"/>
      <c r="CC56" s="440"/>
      <c r="CD56" s="440"/>
      <c r="CE56" s="440"/>
      <c r="CF56" s="440"/>
      <c r="CG56" s="440"/>
      <c r="CH56" s="440"/>
      <c r="CI56" s="440"/>
      <c r="CJ56" s="440"/>
      <c r="CK56" s="440"/>
      <c r="CL56" s="440"/>
      <c r="CM56" s="440"/>
      <c r="CN56" s="440"/>
      <c r="CO56" s="440"/>
      <c r="CP56" s="441">
        <v>6</v>
      </c>
      <c r="CQ56" s="441"/>
      <c r="CR56" s="441"/>
      <c r="CS56" s="441"/>
      <c r="CT56" s="441"/>
      <c r="CU56" s="441">
        <v>1</v>
      </c>
      <c r="CV56" s="440"/>
      <c r="CW56" s="440"/>
      <c r="CX56" s="441"/>
      <c r="CY56" s="440"/>
      <c r="CZ56" s="440"/>
      <c r="DA56" s="440"/>
      <c r="DB56" s="440"/>
      <c r="DC56" s="440"/>
      <c r="DD56" s="444"/>
      <c r="DE56" s="440"/>
      <c r="DF56" s="440"/>
      <c r="DG56" s="440"/>
      <c r="DH56" s="440"/>
      <c r="DI56" s="440"/>
      <c r="DJ56" s="440"/>
      <c r="DK56" s="440"/>
      <c r="DL56" s="440"/>
      <c r="DM56" s="440"/>
      <c r="DN56" s="440"/>
      <c r="DO56" s="440"/>
      <c r="DP56" s="440"/>
      <c r="DQ56" s="440"/>
      <c r="DR56" s="440"/>
      <c r="DS56" s="440"/>
      <c r="DT56" s="440"/>
      <c r="DU56" s="440"/>
      <c r="DV56" s="440"/>
      <c r="DW56" s="440"/>
      <c r="DX56" s="440"/>
      <c r="DY56" s="440"/>
      <c r="DZ56" s="440"/>
      <c r="EA56" s="440"/>
      <c r="EB56" s="440"/>
      <c r="EC56" s="445"/>
      <c r="ED56" s="454"/>
      <c r="EE56" s="449"/>
      <c r="EF56" s="448"/>
      <c r="EG56" s="448"/>
      <c r="EH56" s="448"/>
      <c r="EI56" s="448"/>
      <c r="EJ56" s="448"/>
      <c r="EK56" s="448"/>
      <c r="EL56" s="448"/>
      <c r="EM56" s="448"/>
      <c r="EN56" s="448"/>
      <c r="EO56" s="448"/>
      <c r="EP56" s="448"/>
      <c r="EQ56" s="448"/>
      <c r="ER56" s="448"/>
      <c r="ES56" s="448"/>
      <c r="ET56" s="447"/>
      <c r="EU56" s="450"/>
      <c r="EV56" s="451"/>
      <c r="EW56" s="452"/>
    </row>
    <row r="57" spans="1:153" ht="18.899999999999999" customHeight="1">
      <c r="A57" s="436" t="s">
        <v>460</v>
      </c>
      <c r="B57" s="437">
        <v>50</v>
      </c>
      <c r="C57" s="438">
        <f>C56+B57</f>
        <v>2220</v>
      </c>
      <c r="D57" s="438"/>
      <c r="E57" s="438"/>
      <c r="F57" s="439"/>
      <c r="G57" s="440"/>
      <c r="H57" s="440" t="s">
        <v>2019</v>
      </c>
      <c r="I57" s="440"/>
      <c r="J57" s="437">
        <v>1</v>
      </c>
      <c r="K57" s="440"/>
      <c r="L57" s="440"/>
      <c r="M57" s="440"/>
      <c r="N57" s="440"/>
      <c r="O57" s="440"/>
      <c r="P57" s="440"/>
      <c r="Q57" s="440"/>
      <c r="R57" s="440"/>
      <c r="S57" s="440"/>
      <c r="T57" s="440"/>
      <c r="U57" s="444">
        <v>1</v>
      </c>
      <c r="V57" s="440"/>
      <c r="W57" s="440"/>
      <c r="X57" s="440"/>
      <c r="Y57" s="440"/>
      <c r="Z57" s="440"/>
      <c r="AA57" s="440"/>
      <c r="AB57" s="440"/>
      <c r="AC57" s="440"/>
      <c r="AD57" s="440"/>
      <c r="AE57" s="440"/>
      <c r="AF57" s="440"/>
      <c r="AG57" s="440"/>
      <c r="AH57" s="440"/>
      <c r="AI57" s="440"/>
      <c r="AJ57" s="440"/>
      <c r="AK57" s="440"/>
      <c r="AL57" s="440"/>
      <c r="AM57" s="440"/>
      <c r="AN57" s="440"/>
      <c r="AO57" s="440"/>
      <c r="AP57" s="440"/>
      <c r="AQ57" s="440"/>
      <c r="AR57" s="440"/>
      <c r="AS57" s="440"/>
      <c r="AT57" s="441"/>
      <c r="AU57" s="440"/>
      <c r="AV57" s="440"/>
      <c r="AW57" s="440"/>
      <c r="AX57" s="440"/>
      <c r="AY57" s="440"/>
      <c r="AZ57" s="440"/>
      <c r="BA57" s="440"/>
      <c r="BB57" s="440"/>
      <c r="BC57" s="442"/>
      <c r="BD57" s="440"/>
      <c r="BE57" s="440"/>
      <c r="BF57" s="440"/>
      <c r="BG57" s="440"/>
      <c r="BH57" s="440"/>
      <c r="BI57" s="440"/>
      <c r="BJ57" s="440"/>
      <c r="BK57" s="440"/>
      <c r="BL57" s="440"/>
      <c r="BM57" s="440"/>
      <c r="BN57" s="440"/>
      <c r="BO57" s="440"/>
      <c r="BP57" s="440"/>
      <c r="BQ57" s="440"/>
      <c r="BR57" s="440"/>
      <c r="BS57" s="443">
        <v>2</v>
      </c>
      <c r="BT57" s="443"/>
      <c r="BU57" s="440"/>
      <c r="BV57" s="443"/>
      <c r="BW57" s="440"/>
      <c r="BX57" s="440"/>
      <c r="BY57" s="440"/>
      <c r="BZ57" s="440"/>
      <c r="CA57" s="440"/>
      <c r="CB57" s="440"/>
      <c r="CC57" s="440"/>
      <c r="CD57" s="440"/>
      <c r="CE57" s="440"/>
      <c r="CF57" s="440"/>
      <c r="CG57" s="440"/>
      <c r="CH57" s="440"/>
      <c r="CI57" s="440"/>
      <c r="CJ57" s="440"/>
      <c r="CK57" s="440"/>
      <c r="CL57" s="440"/>
      <c r="CM57" s="440"/>
      <c r="CN57" s="440"/>
      <c r="CO57" s="440"/>
      <c r="CP57" s="441">
        <v>6</v>
      </c>
      <c r="CQ57" s="441"/>
      <c r="CR57" s="441"/>
      <c r="CS57" s="441"/>
      <c r="CT57" s="441"/>
      <c r="CU57" s="441">
        <v>1</v>
      </c>
      <c r="CV57" s="440"/>
      <c r="CW57" s="440"/>
      <c r="CX57" s="441"/>
      <c r="CY57" s="440"/>
      <c r="CZ57" s="440"/>
      <c r="DA57" s="440"/>
      <c r="DB57" s="440"/>
      <c r="DC57" s="440"/>
      <c r="DD57" s="444"/>
      <c r="DE57" s="440"/>
      <c r="DF57" s="440"/>
      <c r="DG57" s="440"/>
      <c r="DH57" s="440"/>
      <c r="DI57" s="440"/>
      <c r="DJ57" s="440"/>
      <c r="DK57" s="440"/>
      <c r="DL57" s="440"/>
      <c r="DM57" s="440"/>
      <c r="DN57" s="440"/>
      <c r="DO57" s="440"/>
      <c r="DP57" s="440"/>
      <c r="DQ57" s="440"/>
      <c r="DR57" s="440"/>
      <c r="DS57" s="440"/>
      <c r="DT57" s="440"/>
      <c r="DU57" s="440"/>
      <c r="DV57" s="440"/>
      <c r="DW57" s="440"/>
      <c r="DX57" s="440"/>
      <c r="DY57" s="440"/>
      <c r="DZ57" s="440"/>
      <c r="EA57" s="440"/>
      <c r="EB57" s="440"/>
      <c r="EC57" s="445"/>
      <c r="ED57" s="454"/>
      <c r="EE57" s="449"/>
      <c r="EF57" s="448"/>
      <c r="EG57" s="448"/>
      <c r="EH57" s="448"/>
      <c r="EI57" s="448"/>
      <c r="EJ57" s="448"/>
      <c r="EK57" s="448"/>
      <c r="EL57" s="448"/>
      <c r="EM57" s="448"/>
      <c r="EN57" s="448"/>
      <c r="EO57" s="448"/>
      <c r="EP57" s="448"/>
      <c r="EQ57" s="448"/>
      <c r="ER57" s="448"/>
      <c r="ES57" s="448"/>
      <c r="ET57" s="447"/>
      <c r="EU57" s="450"/>
      <c r="EV57" s="451"/>
      <c r="EW57" s="452"/>
    </row>
    <row r="58" spans="1:153" ht="18.899999999999999" customHeight="1">
      <c r="A58" s="436" t="s">
        <v>461</v>
      </c>
      <c r="B58" s="437">
        <v>50</v>
      </c>
      <c r="C58" s="438">
        <f t="shared" ref="C58:C80" si="2">C57+B58</f>
        <v>2270</v>
      </c>
      <c r="D58" s="438"/>
      <c r="E58" s="438"/>
      <c r="F58" s="439"/>
      <c r="G58" s="440"/>
      <c r="H58" s="440" t="s">
        <v>2019</v>
      </c>
      <c r="I58" s="440"/>
      <c r="J58" s="437">
        <v>1</v>
      </c>
      <c r="K58" s="440"/>
      <c r="L58" s="440"/>
      <c r="M58" s="440"/>
      <c r="N58" s="440"/>
      <c r="O58" s="440"/>
      <c r="P58" s="440"/>
      <c r="Q58" s="440"/>
      <c r="R58" s="440"/>
      <c r="S58" s="440"/>
      <c r="T58" s="440"/>
      <c r="U58" s="444">
        <v>1</v>
      </c>
      <c r="V58" s="440"/>
      <c r="W58" s="440"/>
      <c r="X58" s="440"/>
      <c r="Y58" s="440"/>
      <c r="Z58" s="440"/>
      <c r="AA58" s="440"/>
      <c r="AB58" s="440"/>
      <c r="AC58" s="440"/>
      <c r="AD58" s="440"/>
      <c r="AE58" s="440"/>
      <c r="AF58" s="440"/>
      <c r="AG58" s="440"/>
      <c r="AH58" s="440"/>
      <c r="AI58" s="440"/>
      <c r="AJ58" s="440"/>
      <c r="AK58" s="440"/>
      <c r="AL58" s="440"/>
      <c r="AM58" s="440"/>
      <c r="AN58" s="440"/>
      <c r="AO58" s="440"/>
      <c r="AP58" s="440"/>
      <c r="AQ58" s="440"/>
      <c r="AR58" s="440"/>
      <c r="AS58" s="440"/>
      <c r="AT58" s="441"/>
      <c r="AU58" s="440"/>
      <c r="AV58" s="440"/>
      <c r="AW58" s="440"/>
      <c r="AX58" s="440"/>
      <c r="AY58" s="440"/>
      <c r="AZ58" s="440"/>
      <c r="BA58" s="440"/>
      <c r="BB58" s="440"/>
      <c r="BC58" s="442"/>
      <c r="BD58" s="440"/>
      <c r="BE58" s="440"/>
      <c r="BF58" s="440"/>
      <c r="BG58" s="440"/>
      <c r="BH58" s="440"/>
      <c r="BI58" s="440"/>
      <c r="BJ58" s="440"/>
      <c r="BK58" s="440"/>
      <c r="BL58" s="440"/>
      <c r="BM58" s="440"/>
      <c r="BN58" s="440"/>
      <c r="BO58" s="440"/>
      <c r="BP58" s="440"/>
      <c r="BQ58" s="440"/>
      <c r="BR58" s="440"/>
      <c r="BS58" s="443">
        <v>2</v>
      </c>
      <c r="BT58" s="443"/>
      <c r="BU58" s="440"/>
      <c r="BV58" s="443"/>
      <c r="BW58" s="440"/>
      <c r="BX58" s="440"/>
      <c r="BY58" s="440"/>
      <c r="BZ58" s="440"/>
      <c r="CA58" s="440"/>
      <c r="CB58" s="440"/>
      <c r="CC58" s="440"/>
      <c r="CD58" s="440"/>
      <c r="CE58" s="440"/>
      <c r="CF58" s="440"/>
      <c r="CG58" s="440"/>
      <c r="CH58" s="440"/>
      <c r="CI58" s="440"/>
      <c r="CJ58" s="440"/>
      <c r="CK58" s="440"/>
      <c r="CL58" s="440"/>
      <c r="CM58" s="440"/>
      <c r="CN58" s="440"/>
      <c r="CO58" s="440"/>
      <c r="CP58" s="441">
        <v>6</v>
      </c>
      <c r="CQ58" s="441"/>
      <c r="CR58" s="441"/>
      <c r="CS58" s="441"/>
      <c r="CT58" s="441"/>
      <c r="CU58" s="441">
        <v>1</v>
      </c>
      <c r="CV58" s="440"/>
      <c r="CW58" s="440"/>
      <c r="CX58" s="441"/>
      <c r="CY58" s="440"/>
      <c r="CZ58" s="440"/>
      <c r="DA58" s="440"/>
      <c r="DB58" s="440"/>
      <c r="DC58" s="440"/>
      <c r="DD58" s="444"/>
      <c r="DE58" s="440"/>
      <c r="DF58" s="440"/>
      <c r="DG58" s="440"/>
      <c r="DH58" s="440"/>
      <c r="DI58" s="440"/>
      <c r="DJ58" s="440"/>
      <c r="DK58" s="440"/>
      <c r="DL58" s="440"/>
      <c r="DM58" s="440"/>
      <c r="DN58" s="440"/>
      <c r="DO58" s="440"/>
      <c r="DP58" s="440"/>
      <c r="DQ58" s="440"/>
      <c r="DR58" s="440"/>
      <c r="DS58" s="440"/>
      <c r="DT58" s="440"/>
      <c r="DU58" s="440"/>
      <c r="DV58" s="440"/>
      <c r="DW58" s="440"/>
      <c r="DX58" s="440"/>
      <c r="DY58" s="440"/>
      <c r="DZ58" s="440"/>
      <c r="EA58" s="440"/>
      <c r="EB58" s="440"/>
      <c r="EC58" s="445"/>
      <c r="ED58" s="454"/>
      <c r="EE58" s="449"/>
      <c r="EF58" s="448"/>
      <c r="EG58" s="448"/>
      <c r="EH58" s="448"/>
      <c r="EI58" s="448"/>
      <c r="EJ58" s="448"/>
      <c r="EK58" s="448"/>
      <c r="EL58" s="448"/>
      <c r="EM58" s="448"/>
      <c r="EN58" s="448"/>
      <c r="EO58" s="448"/>
      <c r="EP58" s="448"/>
      <c r="EQ58" s="448"/>
      <c r="ER58" s="448"/>
      <c r="ES58" s="448"/>
      <c r="ET58" s="447"/>
      <c r="EU58" s="450"/>
      <c r="EV58" s="451"/>
      <c r="EW58" s="452"/>
    </row>
    <row r="59" spans="1:153" ht="18.899999999999999" customHeight="1">
      <c r="A59" s="436" t="s">
        <v>462</v>
      </c>
      <c r="B59" s="437">
        <v>50</v>
      </c>
      <c r="C59" s="438">
        <f t="shared" si="2"/>
        <v>2320</v>
      </c>
      <c r="D59" s="438"/>
      <c r="E59" s="438"/>
      <c r="F59" s="439"/>
      <c r="G59" s="440"/>
      <c r="H59" s="440" t="s">
        <v>2019</v>
      </c>
      <c r="I59" s="440"/>
      <c r="J59" s="437">
        <v>1</v>
      </c>
      <c r="K59" s="440"/>
      <c r="L59" s="440"/>
      <c r="M59" s="440"/>
      <c r="N59" s="440"/>
      <c r="O59" s="440"/>
      <c r="P59" s="440"/>
      <c r="Q59" s="440"/>
      <c r="R59" s="440"/>
      <c r="S59" s="440"/>
      <c r="T59" s="440"/>
      <c r="U59" s="444">
        <v>1</v>
      </c>
      <c r="V59" s="440"/>
      <c r="W59" s="440"/>
      <c r="X59" s="440"/>
      <c r="Y59" s="440"/>
      <c r="Z59" s="440"/>
      <c r="AA59" s="440"/>
      <c r="AB59" s="440"/>
      <c r="AC59" s="440"/>
      <c r="AD59" s="440"/>
      <c r="AE59" s="440"/>
      <c r="AF59" s="440"/>
      <c r="AG59" s="440"/>
      <c r="AH59" s="440"/>
      <c r="AI59" s="440"/>
      <c r="AJ59" s="440"/>
      <c r="AK59" s="440"/>
      <c r="AL59" s="440"/>
      <c r="AM59" s="440"/>
      <c r="AN59" s="440"/>
      <c r="AO59" s="440"/>
      <c r="AP59" s="440"/>
      <c r="AQ59" s="440"/>
      <c r="AR59" s="440"/>
      <c r="AS59" s="440"/>
      <c r="AT59" s="441"/>
      <c r="AU59" s="440"/>
      <c r="AV59" s="440"/>
      <c r="AW59" s="440"/>
      <c r="AX59" s="440"/>
      <c r="AY59" s="440"/>
      <c r="AZ59" s="440"/>
      <c r="BA59" s="440"/>
      <c r="BB59" s="440"/>
      <c r="BC59" s="442"/>
      <c r="BD59" s="440"/>
      <c r="BE59" s="440"/>
      <c r="BF59" s="440"/>
      <c r="BG59" s="440"/>
      <c r="BH59" s="440"/>
      <c r="BI59" s="440"/>
      <c r="BJ59" s="440"/>
      <c r="BK59" s="440"/>
      <c r="BL59" s="440"/>
      <c r="BM59" s="440"/>
      <c r="BN59" s="440"/>
      <c r="BO59" s="440">
        <v>1</v>
      </c>
      <c r="BP59" s="440"/>
      <c r="BQ59" s="440"/>
      <c r="BR59" s="440"/>
      <c r="BS59" s="443">
        <v>2</v>
      </c>
      <c r="BT59" s="443"/>
      <c r="BU59" s="440"/>
      <c r="BV59" s="443"/>
      <c r="BW59" s="440"/>
      <c r="BX59" s="440"/>
      <c r="BY59" s="440"/>
      <c r="BZ59" s="440"/>
      <c r="CA59" s="440"/>
      <c r="CB59" s="440"/>
      <c r="CC59" s="440"/>
      <c r="CD59" s="440"/>
      <c r="CE59" s="440"/>
      <c r="CF59" s="440"/>
      <c r="CG59" s="440"/>
      <c r="CH59" s="440"/>
      <c r="CI59" s="440"/>
      <c r="CJ59" s="440"/>
      <c r="CK59" s="440"/>
      <c r="CL59" s="440"/>
      <c r="CM59" s="440"/>
      <c r="CN59" s="440"/>
      <c r="CO59" s="440"/>
      <c r="CP59" s="441">
        <v>6</v>
      </c>
      <c r="CQ59" s="441"/>
      <c r="CR59" s="441"/>
      <c r="CS59" s="441"/>
      <c r="CT59" s="441"/>
      <c r="CU59" s="441">
        <v>1</v>
      </c>
      <c r="CV59" s="440"/>
      <c r="CW59" s="440"/>
      <c r="CX59" s="441"/>
      <c r="CY59" s="440"/>
      <c r="CZ59" s="440"/>
      <c r="DA59" s="440"/>
      <c r="DB59" s="440"/>
      <c r="DC59" s="440"/>
      <c r="DD59" s="444"/>
      <c r="DE59" s="440"/>
      <c r="DF59" s="440"/>
      <c r="DG59" s="440"/>
      <c r="DH59" s="440"/>
      <c r="DI59" s="440"/>
      <c r="DJ59" s="440"/>
      <c r="DK59" s="440"/>
      <c r="DL59" s="440"/>
      <c r="DM59" s="440"/>
      <c r="DN59" s="440"/>
      <c r="DO59" s="440"/>
      <c r="DP59" s="440"/>
      <c r="DQ59" s="440"/>
      <c r="DR59" s="440"/>
      <c r="DS59" s="440"/>
      <c r="DT59" s="440"/>
      <c r="DU59" s="440"/>
      <c r="DV59" s="440"/>
      <c r="DW59" s="440"/>
      <c r="DX59" s="440"/>
      <c r="DY59" s="440"/>
      <c r="DZ59" s="440"/>
      <c r="EA59" s="440"/>
      <c r="EB59" s="440"/>
      <c r="EC59" s="445"/>
      <c r="ED59" s="454"/>
      <c r="EE59" s="449"/>
      <c r="EF59" s="448"/>
      <c r="EG59" s="448"/>
      <c r="EH59" s="448"/>
      <c r="EI59" s="448"/>
      <c r="EJ59" s="448"/>
      <c r="EK59" s="448"/>
      <c r="EL59" s="448"/>
      <c r="EM59" s="448"/>
      <c r="EN59" s="448"/>
      <c r="EO59" s="448"/>
      <c r="EP59" s="448"/>
      <c r="EQ59" s="448"/>
      <c r="ER59" s="448"/>
      <c r="ES59" s="448"/>
      <c r="ET59" s="447"/>
      <c r="EU59" s="450"/>
      <c r="EV59" s="451"/>
      <c r="EW59" s="452"/>
    </row>
    <row r="60" spans="1:153" ht="18.899999999999999" customHeight="1">
      <c r="A60" s="436" t="s">
        <v>463</v>
      </c>
      <c r="B60" s="437">
        <v>50</v>
      </c>
      <c r="C60" s="438">
        <f t="shared" si="2"/>
        <v>2370</v>
      </c>
      <c r="D60" s="438"/>
      <c r="E60" s="438"/>
      <c r="F60" s="439"/>
      <c r="G60" s="440"/>
      <c r="H60" s="440" t="s">
        <v>2019</v>
      </c>
      <c r="I60" s="440"/>
      <c r="J60" s="437">
        <v>1</v>
      </c>
      <c r="K60" s="440"/>
      <c r="L60" s="440"/>
      <c r="M60" s="440"/>
      <c r="N60" s="440"/>
      <c r="O60" s="440"/>
      <c r="P60" s="440"/>
      <c r="Q60" s="440"/>
      <c r="R60" s="440"/>
      <c r="S60" s="440"/>
      <c r="T60" s="440"/>
      <c r="U60" s="444">
        <v>1</v>
      </c>
      <c r="V60" s="440"/>
      <c r="W60" s="440"/>
      <c r="X60" s="440"/>
      <c r="Y60" s="440"/>
      <c r="Z60" s="440"/>
      <c r="AA60" s="440"/>
      <c r="AB60" s="440"/>
      <c r="AC60" s="440"/>
      <c r="AD60" s="440"/>
      <c r="AE60" s="440"/>
      <c r="AF60" s="440"/>
      <c r="AG60" s="440"/>
      <c r="AH60" s="440"/>
      <c r="AI60" s="440"/>
      <c r="AJ60" s="440"/>
      <c r="AK60" s="440"/>
      <c r="AL60" s="440"/>
      <c r="AM60" s="440"/>
      <c r="AN60" s="440"/>
      <c r="AO60" s="440"/>
      <c r="AP60" s="440"/>
      <c r="AQ60" s="440"/>
      <c r="AR60" s="440"/>
      <c r="AS60" s="440"/>
      <c r="AT60" s="441"/>
      <c r="AU60" s="440"/>
      <c r="AV60" s="440"/>
      <c r="AW60" s="440"/>
      <c r="AX60" s="440"/>
      <c r="AY60" s="440"/>
      <c r="AZ60" s="440"/>
      <c r="BA60" s="440"/>
      <c r="BB60" s="440"/>
      <c r="BC60" s="442"/>
      <c r="BD60" s="440"/>
      <c r="BE60" s="440"/>
      <c r="BF60" s="440"/>
      <c r="BG60" s="440"/>
      <c r="BH60" s="440"/>
      <c r="BI60" s="440"/>
      <c r="BJ60" s="440"/>
      <c r="BK60" s="440"/>
      <c r="BL60" s="440"/>
      <c r="BM60" s="440"/>
      <c r="BN60" s="440"/>
      <c r="BO60" s="440"/>
      <c r="BP60" s="440"/>
      <c r="BQ60" s="440"/>
      <c r="BR60" s="440"/>
      <c r="BS60" s="443">
        <v>2</v>
      </c>
      <c r="BT60" s="443"/>
      <c r="BU60" s="440"/>
      <c r="BV60" s="443"/>
      <c r="BW60" s="440"/>
      <c r="BX60" s="440"/>
      <c r="BY60" s="440"/>
      <c r="BZ60" s="440"/>
      <c r="CA60" s="440"/>
      <c r="CB60" s="440"/>
      <c r="CC60" s="440"/>
      <c r="CD60" s="440"/>
      <c r="CE60" s="440"/>
      <c r="CF60" s="440"/>
      <c r="CG60" s="440"/>
      <c r="CH60" s="440"/>
      <c r="CI60" s="440"/>
      <c r="CJ60" s="440"/>
      <c r="CK60" s="440"/>
      <c r="CL60" s="440"/>
      <c r="CM60" s="440"/>
      <c r="CN60" s="440"/>
      <c r="CO60" s="440"/>
      <c r="CP60" s="441">
        <v>6</v>
      </c>
      <c r="CQ60" s="441"/>
      <c r="CR60" s="441"/>
      <c r="CS60" s="441"/>
      <c r="CT60" s="441"/>
      <c r="CU60" s="441">
        <v>1</v>
      </c>
      <c r="CV60" s="440"/>
      <c r="CW60" s="440"/>
      <c r="CX60" s="441"/>
      <c r="CY60" s="440"/>
      <c r="CZ60" s="440"/>
      <c r="DA60" s="440"/>
      <c r="DB60" s="440"/>
      <c r="DC60" s="440"/>
      <c r="DD60" s="444"/>
      <c r="DE60" s="440"/>
      <c r="DF60" s="440"/>
      <c r="DG60" s="440"/>
      <c r="DH60" s="440"/>
      <c r="DI60" s="440"/>
      <c r="DJ60" s="440"/>
      <c r="DK60" s="440"/>
      <c r="DL60" s="440"/>
      <c r="DM60" s="440"/>
      <c r="DN60" s="440"/>
      <c r="DO60" s="440"/>
      <c r="DP60" s="440"/>
      <c r="DQ60" s="440"/>
      <c r="DR60" s="440"/>
      <c r="DS60" s="440"/>
      <c r="DT60" s="440"/>
      <c r="DU60" s="440"/>
      <c r="DV60" s="440"/>
      <c r="DW60" s="440"/>
      <c r="DX60" s="440"/>
      <c r="DY60" s="440"/>
      <c r="DZ60" s="440"/>
      <c r="EA60" s="440"/>
      <c r="EB60" s="440"/>
      <c r="EC60" s="445"/>
      <c r="ED60" s="454"/>
      <c r="EE60" s="449"/>
      <c r="EF60" s="448"/>
      <c r="EG60" s="448"/>
      <c r="EH60" s="448"/>
      <c r="EI60" s="448"/>
      <c r="EJ60" s="448"/>
      <c r="EK60" s="448"/>
      <c r="EL60" s="448"/>
      <c r="EM60" s="448"/>
      <c r="EN60" s="448"/>
      <c r="EO60" s="448"/>
      <c r="EP60" s="448"/>
      <c r="EQ60" s="448"/>
      <c r="ER60" s="448"/>
      <c r="ES60" s="448"/>
      <c r="ET60" s="447"/>
      <c r="EU60" s="450"/>
      <c r="EV60" s="451"/>
      <c r="EW60" s="452"/>
    </row>
    <row r="61" spans="1:153" ht="18.899999999999999" customHeight="1">
      <c r="A61" s="436" t="s">
        <v>464</v>
      </c>
      <c r="B61" s="437">
        <v>55</v>
      </c>
      <c r="C61" s="438">
        <f t="shared" si="2"/>
        <v>2425</v>
      </c>
      <c r="D61" s="438"/>
      <c r="E61" s="438"/>
      <c r="F61" s="439"/>
      <c r="G61" s="440"/>
      <c r="H61" s="440" t="s">
        <v>281</v>
      </c>
      <c r="I61" s="440"/>
      <c r="J61" s="437">
        <v>2</v>
      </c>
      <c r="K61" s="440"/>
      <c r="L61" s="440"/>
      <c r="M61" s="440"/>
      <c r="N61" s="440"/>
      <c r="O61" s="440"/>
      <c r="P61" s="440"/>
      <c r="Q61" s="440"/>
      <c r="R61" s="440"/>
      <c r="S61" s="440"/>
      <c r="T61" s="440"/>
      <c r="U61" s="444">
        <v>2</v>
      </c>
      <c r="V61" s="440"/>
      <c r="W61" s="440"/>
      <c r="X61" s="440"/>
      <c r="Y61" s="440"/>
      <c r="Z61" s="440"/>
      <c r="AA61" s="440"/>
      <c r="AB61" s="440"/>
      <c r="AC61" s="440"/>
      <c r="AD61" s="440"/>
      <c r="AE61" s="440"/>
      <c r="AF61" s="440"/>
      <c r="AG61" s="440"/>
      <c r="AH61" s="440"/>
      <c r="AI61" s="440"/>
      <c r="AJ61" s="440"/>
      <c r="AK61" s="440"/>
      <c r="AL61" s="440"/>
      <c r="AM61" s="440"/>
      <c r="AN61" s="440"/>
      <c r="AO61" s="440"/>
      <c r="AP61" s="440"/>
      <c r="AQ61" s="440"/>
      <c r="AR61" s="440"/>
      <c r="AS61" s="440"/>
      <c r="AT61" s="441">
        <v>3</v>
      </c>
      <c r="AU61" s="440"/>
      <c r="AV61" s="440"/>
      <c r="AW61" s="440"/>
      <c r="AX61" s="440"/>
      <c r="AY61" s="440"/>
      <c r="AZ61" s="440"/>
      <c r="BA61" s="440"/>
      <c r="BB61" s="440"/>
      <c r="BC61" s="442">
        <v>3</v>
      </c>
      <c r="BD61" s="440"/>
      <c r="BE61" s="440"/>
      <c r="BF61" s="440"/>
      <c r="BG61" s="440"/>
      <c r="BH61" s="440"/>
      <c r="BI61" s="440"/>
      <c r="BJ61" s="440"/>
      <c r="BK61" s="440"/>
      <c r="BL61" s="440"/>
      <c r="BM61" s="440"/>
      <c r="BN61" s="440"/>
      <c r="BO61" s="440"/>
      <c r="BP61" s="440"/>
      <c r="BQ61" s="440"/>
      <c r="BR61" s="440"/>
      <c r="BS61" s="443"/>
      <c r="BT61" s="443"/>
      <c r="BU61" s="440"/>
      <c r="BV61" s="443"/>
      <c r="BW61" s="440"/>
      <c r="BX61" s="440"/>
      <c r="BY61" s="440"/>
      <c r="BZ61" s="440"/>
      <c r="CA61" s="440"/>
      <c r="CB61" s="440"/>
      <c r="CC61" s="440"/>
      <c r="CD61" s="440"/>
      <c r="CE61" s="440">
        <v>2</v>
      </c>
      <c r="CF61" s="440"/>
      <c r="CG61" s="440"/>
      <c r="CH61" s="440"/>
      <c r="CI61" s="440"/>
      <c r="CJ61" s="440"/>
      <c r="CK61" s="440">
        <v>1</v>
      </c>
      <c r="CL61" s="440"/>
      <c r="CM61" s="440"/>
      <c r="CN61" s="440"/>
      <c r="CO61" s="440"/>
      <c r="CP61" s="441">
        <v>12</v>
      </c>
      <c r="CQ61" s="441">
        <v>12</v>
      </c>
      <c r="CR61" s="441"/>
      <c r="CS61" s="441">
        <v>2</v>
      </c>
      <c r="CT61" s="441">
        <v>12</v>
      </c>
      <c r="CU61" s="441"/>
      <c r="CV61" s="440"/>
      <c r="CW61" s="440"/>
      <c r="CX61" s="441">
        <v>2</v>
      </c>
      <c r="CY61" s="440"/>
      <c r="CZ61" s="440"/>
      <c r="DA61" s="440"/>
      <c r="DB61" s="440">
        <v>2</v>
      </c>
      <c r="DC61" s="440"/>
      <c r="DD61" s="444">
        <v>12</v>
      </c>
      <c r="DE61" s="440"/>
      <c r="DF61" s="440"/>
      <c r="DG61" s="440"/>
      <c r="DH61" s="440"/>
      <c r="DI61" s="440"/>
      <c r="DJ61" s="440"/>
      <c r="DK61" s="440"/>
      <c r="DL61" s="440"/>
      <c r="DM61" s="440"/>
      <c r="DN61" s="440"/>
      <c r="DO61" s="440"/>
      <c r="DP61" s="440"/>
      <c r="DQ61" s="440"/>
      <c r="DR61" s="440"/>
      <c r="DS61" s="440"/>
      <c r="DT61" s="440"/>
      <c r="DU61" s="440"/>
      <c r="DV61" s="440"/>
      <c r="DW61" s="440"/>
      <c r="DX61" s="440"/>
      <c r="DY61" s="440"/>
      <c r="DZ61" s="440"/>
      <c r="EA61" s="440"/>
      <c r="EB61" s="440"/>
      <c r="EC61" s="445"/>
      <c r="ED61" s="454"/>
      <c r="EE61" s="449"/>
      <c r="EF61" s="448"/>
      <c r="EG61" s="448"/>
      <c r="EH61" s="448"/>
      <c r="EI61" s="448"/>
      <c r="EJ61" s="448"/>
      <c r="EK61" s="448"/>
      <c r="EL61" s="448"/>
      <c r="EM61" s="448"/>
      <c r="EN61" s="448"/>
      <c r="EO61" s="448"/>
      <c r="EP61" s="448"/>
      <c r="EQ61" s="448"/>
      <c r="ER61" s="448"/>
      <c r="ES61" s="448"/>
      <c r="ET61" s="447"/>
      <c r="EU61" s="450"/>
      <c r="EV61" s="451"/>
      <c r="EW61" s="452"/>
    </row>
    <row r="62" spans="1:153" ht="18.899999999999999" customHeight="1">
      <c r="A62" s="436" t="s">
        <v>465</v>
      </c>
      <c r="B62" s="437">
        <v>45</v>
      </c>
      <c r="C62" s="438">
        <f t="shared" si="2"/>
        <v>2470</v>
      </c>
      <c r="D62" s="438"/>
      <c r="E62" s="438"/>
      <c r="F62" s="439"/>
      <c r="G62" s="440"/>
      <c r="H62" s="440" t="s">
        <v>2019</v>
      </c>
      <c r="I62" s="440"/>
      <c r="J62" s="437">
        <v>1</v>
      </c>
      <c r="K62" s="440"/>
      <c r="L62" s="440"/>
      <c r="M62" s="440"/>
      <c r="N62" s="440"/>
      <c r="O62" s="440"/>
      <c r="P62" s="440"/>
      <c r="Q62" s="440"/>
      <c r="R62" s="440"/>
      <c r="S62" s="440"/>
      <c r="T62" s="440"/>
      <c r="U62" s="444">
        <v>1</v>
      </c>
      <c r="V62" s="440"/>
      <c r="W62" s="440"/>
      <c r="X62" s="440"/>
      <c r="Y62" s="440"/>
      <c r="Z62" s="440"/>
      <c r="AA62" s="440"/>
      <c r="AB62" s="440"/>
      <c r="AC62" s="440"/>
      <c r="AD62" s="440"/>
      <c r="AE62" s="440"/>
      <c r="AF62" s="440"/>
      <c r="AG62" s="440"/>
      <c r="AH62" s="440"/>
      <c r="AI62" s="440"/>
      <c r="AJ62" s="440"/>
      <c r="AK62" s="440"/>
      <c r="AL62" s="440"/>
      <c r="AM62" s="440"/>
      <c r="AN62" s="440"/>
      <c r="AO62" s="440"/>
      <c r="AP62" s="440"/>
      <c r="AQ62" s="440"/>
      <c r="AR62" s="440"/>
      <c r="AS62" s="440"/>
      <c r="AT62" s="441"/>
      <c r="AU62" s="440"/>
      <c r="AV62" s="440"/>
      <c r="AW62" s="440"/>
      <c r="AX62" s="440"/>
      <c r="AY62" s="440"/>
      <c r="AZ62" s="440"/>
      <c r="BA62" s="440"/>
      <c r="BB62" s="440"/>
      <c r="BC62" s="442"/>
      <c r="BD62" s="440"/>
      <c r="BE62" s="440"/>
      <c r="BF62" s="440"/>
      <c r="BG62" s="440"/>
      <c r="BH62" s="440"/>
      <c r="BI62" s="440"/>
      <c r="BJ62" s="440"/>
      <c r="BK62" s="440"/>
      <c r="BL62" s="440"/>
      <c r="BM62" s="440"/>
      <c r="BN62" s="440"/>
      <c r="BO62" s="440"/>
      <c r="BP62" s="440"/>
      <c r="BQ62" s="440"/>
      <c r="BR62" s="440"/>
      <c r="BS62" s="443">
        <v>2</v>
      </c>
      <c r="BT62" s="443"/>
      <c r="BU62" s="440"/>
      <c r="BV62" s="443"/>
      <c r="BW62" s="440"/>
      <c r="BX62" s="440"/>
      <c r="BY62" s="440"/>
      <c r="BZ62" s="440"/>
      <c r="CA62" s="440"/>
      <c r="CB62" s="440"/>
      <c r="CC62" s="440"/>
      <c r="CD62" s="440"/>
      <c r="CE62" s="440"/>
      <c r="CF62" s="440"/>
      <c r="CG62" s="440"/>
      <c r="CH62" s="440"/>
      <c r="CI62" s="440"/>
      <c r="CJ62" s="440"/>
      <c r="CK62" s="440"/>
      <c r="CL62" s="440"/>
      <c r="CM62" s="440"/>
      <c r="CN62" s="440"/>
      <c r="CO62" s="440"/>
      <c r="CP62" s="441">
        <v>6</v>
      </c>
      <c r="CQ62" s="441"/>
      <c r="CR62" s="441"/>
      <c r="CS62" s="441"/>
      <c r="CT62" s="441"/>
      <c r="CU62" s="441">
        <v>1</v>
      </c>
      <c r="CV62" s="440"/>
      <c r="CW62" s="440"/>
      <c r="CX62" s="441"/>
      <c r="CY62" s="440"/>
      <c r="CZ62" s="440"/>
      <c r="DA62" s="440"/>
      <c r="DB62" s="440"/>
      <c r="DC62" s="440"/>
      <c r="DD62" s="444"/>
      <c r="DE62" s="440"/>
      <c r="DF62" s="440"/>
      <c r="DG62" s="440"/>
      <c r="DH62" s="440"/>
      <c r="DI62" s="440"/>
      <c r="DJ62" s="440"/>
      <c r="DK62" s="440"/>
      <c r="DL62" s="440"/>
      <c r="DM62" s="440"/>
      <c r="DN62" s="440"/>
      <c r="DO62" s="440"/>
      <c r="DP62" s="440"/>
      <c r="DQ62" s="440"/>
      <c r="DR62" s="440"/>
      <c r="DS62" s="440"/>
      <c r="DT62" s="440"/>
      <c r="DU62" s="440"/>
      <c r="DV62" s="440"/>
      <c r="DW62" s="440"/>
      <c r="DX62" s="440"/>
      <c r="DY62" s="440"/>
      <c r="DZ62" s="440"/>
      <c r="EA62" s="440"/>
      <c r="EB62" s="440"/>
      <c r="EC62" s="445"/>
      <c r="ED62" s="454"/>
      <c r="EE62" s="449"/>
      <c r="EF62" s="448"/>
      <c r="EG62" s="448"/>
      <c r="EH62" s="448"/>
      <c r="EI62" s="448"/>
      <c r="EJ62" s="448"/>
      <c r="EK62" s="448"/>
      <c r="EL62" s="448"/>
      <c r="EM62" s="448"/>
      <c r="EN62" s="448"/>
      <c r="EO62" s="448"/>
      <c r="EP62" s="448"/>
      <c r="EQ62" s="448"/>
      <c r="ER62" s="448"/>
      <c r="ES62" s="448"/>
      <c r="ET62" s="447"/>
      <c r="EU62" s="450"/>
      <c r="EV62" s="451"/>
      <c r="EW62" s="452"/>
    </row>
    <row r="63" spans="1:153" ht="18.899999999999999" customHeight="1">
      <c r="A63" s="436" t="s">
        <v>466</v>
      </c>
      <c r="B63" s="437">
        <v>40</v>
      </c>
      <c r="C63" s="438">
        <f t="shared" si="2"/>
        <v>2510</v>
      </c>
      <c r="D63" s="438"/>
      <c r="E63" s="438"/>
      <c r="F63" s="439"/>
      <c r="G63" s="440"/>
      <c r="H63" s="440" t="s">
        <v>621</v>
      </c>
      <c r="I63" s="440"/>
      <c r="J63" s="437">
        <v>1</v>
      </c>
      <c r="K63" s="440"/>
      <c r="L63" s="440"/>
      <c r="M63" s="440"/>
      <c r="N63" s="440"/>
      <c r="O63" s="440"/>
      <c r="P63" s="440"/>
      <c r="Q63" s="440"/>
      <c r="R63" s="440"/>
      <c r="S63" s="440"/>
      <c r="T63" s="440"/>
      <c r="U63" s="444">
        <v>1</v>
      </c>
      <c r="V63" s="440"/>
      <c r="W63" s="440"/>
      <c r="X63" s="440"/>
      <c r="Y63" s="440"/>
      <c r="Z63" s="440"/>
      <c r="AA63" s="440"/>
      <c r="AB63" s="440"/>
      <c r="AC63" s="440"/>
      <c r="AD63" s="440"/>
      <c r="AE63" s="440"/>
      <c r="AF63" s="440"/>
      <c r="AG63" s="440"/>
      <c r="AH63" s="440"/>
      <c r="AI63" s="440"/>
      <c r="AJ63" s="440"/>
      <c r="AK63" s="440"/>
      <c r="AL63" s="440"/>
      <c r="AM63" s="440"/>
      <c r="AN63" s="440"/>
      <c r="AO63" s="440"/>
      <c r="AP63" s="440"/>
      <c r="AQ63" s="440"/>
      <c r="AR63" s="440"/>
      <c r="AS63" s="440"/>
      <c r="AT63" s="441">
        <v>1</v>
      </c>
      <c r="AU63" s="440"/>
      <c r="AV63" s="440"/>
      <c r="AW63" s="440"/>
      <c r="AX63" s="440"/>
      <c r="AY63" s="440"/>
      <c r="AZ63" s="440"/>
      <c r="BA63" s="440"/>
      <c r="BB63" s="440"/>
      <c r="BC63" s="442">
        <v>1</v>
      </c>
      <c r="BD63" s="440"/>
      <c r="BE63" s="440"/>
      <c r="BF63" s="440"/>
      <c r="BG63" s="440"/>
      <c r="BH63" s="440"/>
      <c r="BI63" s="440"/>
      <c r="BJ63" s="440"/>
      <c r="BK63" s="440"/>
      <c r="BL63" s="440"/>
      <c r="BM63" s="440"/>
      <c r="BN63" s="440"/>
      <c r="BO63" s="440">
        <v>1</v>
      </c>
      <c r="BP63" s="440"/>
      <c r="BQ63" s="440"/>
      <c r="BR63" s="440"/>
      <c r="BS63" s="443"/>
      <c r="BT63" s="443">
        <v>1</v>
      </c>
      <c r="BU63" s="440"/>
      <c r="BV63" s="443"/>
      <c r="BW63" s="440"/>
      <c r="BX63" s="440"/>
      <c r="BY63" s="440"/>
      <c r="BZ63" s="440"/>
      <c r="CA63" s="440"/>
      <c r="CB63" s="440"/>
      <c r="CC63" s="440"/>
      <c r="CD63" s="440"/>
      <c r="CE63" s="440"/>
      <c r="CF63" s="440"/>
      <c r="CG63" s="440"/>
      <c r="CH63" s="440"/>
      <c r="CI63" s="440"/>
      <c r="CJ63" s="440"/>
      <c r="CK63" s="440"/>
      <c r="CL63" s="440"/>
      <c r="CM63" s="440"/>
      <c r="CN63" s="440"/>
      <c r="CO63" s="440"/>
      <c r="CP63" s="441">
        <v>12</v>
      </c>
      <c r="CQ63" s="441"/>
      <c r="CR63" s="441"/>
      <c r="CS63" s="441"/>
      <c r="CT63" s="441"/>
      <c r="CU63" s="441">
        <v>1</v>
      </c>
      <c r="CV63" s="440"/>
      <c r="CW63" s="440"/>
      <c r="CX63" s="441"/>
      <c r="CY63" s="440"/>
      <c r="CZ63" s="440"/>
      <c r="DA63" s="440"/>
      <c r="DB63" s="440"/>
      <c r="DC63" s="440"/>
      <c r="DD63" s="444"/>
      <c r="DE63" s="440"/>
      <c r="DF63" s="440"/>
      <c r="DG63" s="440"/>
      <c r="DH63" s="440"/>
      <c r="DI63" s="440"/>
      <c r="DJ63" s="440"/>
      <c r="DK63" s="440"/>
      <c r="DL63" s="440"/>
      <c r="DM63" s="440"/>
      <c r="DN63" s="440"/>
      <c r="DO63" s="440"/>
      <c r="DP63" s="440"/>
      <c r="DQ63" s="440"/>
      <c r="DR63" s="440"/>
      <c r="DS63" s="440"/>
      <c r="DT63" s="440"/>
      <c r="DU63" s="440"/>
      <c r="DV63" s="440"/>
      <c r="DW63" s="440"/>
      <c r="DX63" s="440"/>
      <c r="DY63" s="440"/>
      <c r="DZ63" s="440"/>
      <c r="EA63" s="440"/>
      <c r="EB63" s="440"/>
      <c r="EC63" s="445"/>
      <c r="ED63" s="454"/>
      <c r="EE63" s="449"/>
      <c r="EF63" s="448"/>
      <c r="EG63" s="448"/>
      <c r="EH63" s="448"/>
      <c r="EI63" s="448"/>
      <c r="EJ63" s="448"/>
      <c r="EK63" s="448"/>
      <c r="EL63" s="448"/>
      <c r="EM63" s="448"/>
      <c r="EN63" s="448"/>
      <c r="EO63" s="448"/>
      <c r="EP63" s="448"/>
      <c r="EQ63" s="448"/>
      <c r="ER63" s="448"/>
      <c r="ES63" s="448"/>
      <c r="ET63" s="447"/>
      <c r="EU63" s="450"/>
      <c r="EV63" s="451"/>
      <c r="EW63" s="452"/>
    </row>
    <row r="64" spans="1:153" ht="18.899999999999999" customHeight="1">
      <c r="A64" s="436" t="s">
        <v>1238</v>
      </c>
      <c r="B64" s="437">
        <v>60</v>
      </c>
      <c r="C64" s="438">
        <f t="shared" si="2"/>
        <v>2570</v>
      </c>
      <c r="D64" s="438"/>
      <c r="E64" s="438"/>
      <c r="F64" s="439"/>
      <c r="G64" s="440"/>
      <c r="H64" s="440" t="s">
        <v>1228</v>
      </c>
      <c r="I64" s="440"/>
      <c r="J64" s="437">
        <v>1</v>
      </c>
      <c r="K64" s="440"/>
      <c r="L64" s="440"/>
      <c r="M64" s="440"/>
      <c r="N64" s="440"/>
      <c r="O64" s="440"/>
      <c r="P64" s="440"/>
      <c r="Q64" s="440"/>
      <c r="R64" s="440"/>
      <c r="S64" s="440"/>
      <c r="T64" s="440"/>
      <c r="U64" s="444">
        <v>1</v>
      </c>
      <c r="V64" s="440"/>
      <c r="W64" s="440"/>
      <c r="X64" s="440"/>
      <c r="Y64" s="440"/>
      <c r="Z64" s="440"/>
      <c r="AA64" s="440"/>
      <c r="AB64" s="440"/>
      <c r="AC64" s="440"/>
      <c r="AD64" s="440"/>
      <c r="AE64" s="440"/>
      <c r="AF64" s="440"/>
      <c r="AG64" s="440"/>
      <c r="AH64" s="440"/>
      <c r="AI64" s="440"/>
      <c r="AJ64" s="440"/>
      <c r="AK64" s="440"/>
      <c r="AL64" s="440"/>
      <c r="AM64" s="440"/>
      <c r="AN64" s="440"/>
      <c r="AO64" s="440"/>
      <c r="AP64" s="440"/>
      <c r="AQ64" s="440"/>
      <c r="AR64" s="440"/>
      <c r="AS64" s="440"/>
      <c r="AT64" s="441">
        <v>2</v>
      </c>
      <c r="AU64" s="440"/>
      <c r="AV64" s="440"/>
      <c r="AW64" s="440"/>
      <c r="AX64" s="440"/>
      <c r="AY64" s="440"/>
      <c r="AZ64" s="440"/>
      <c r="BA64" s="440"/>
      <c r="BB64" s="440"/>
      <c r="BC64" s="442">
        <v>2</v>
      </c>
      <c r="BD64" s="440"/>
      <c r="BE64" s="440"/>
      <c r="BF64" s="440"/>
      <c r="BG64" s="440"/>
      <c r="BH64" s="440"/>
      <c r="BI64" s="440"/>
      <c r="BJ64" s="440"/>
      <c r="BK64" s="440"/>
      <c r="BL64" s="440"/>
      <c r="BM64" s="440"/>
      <c r="BN64" s="440"/>
      <c r="BO64" s="440"/>
      <c r="BP64" s="440"/>
      <c r="BQ64" s="440"/>
      <c r="BR64" s="440"/>
      <c r="BS64" s="443"/>
      <c r="BT64" s="443"/>
      <c r="BU64" s="440"/>
      <c r="BV64" s="443">
        <v>4</v>
      </c>
      <c r="BW64" s="440"/>
      <c r="BX64" s="440"/>
      <c r="BY64" s="440"/>
      <c r="BZ64" s="440"/>
      <c r="CA64" s="440"/>
      <c r="CB64" s="440"/>
      <c r="CC64" s="440"/>
      <c r="CD64" s="440"/>
      <c r="CE64" s="440"/>
      <c r="CF64" s="440"/>
      <c r="CG64" s="440"/>
      <c r="CH64" s="440"/>
      <c r="CI64" s="440"/>
      <c r="CJ64" s="440"/>
      <c r="CK64" s="440"/>
      <c r="CL64" s="440"/>
      <c r="CM64" s="440"/>
      <c r="CN64" s="440"/>
      <c r="CO64" s="440"/>
      <c r="CP64" s="441">
        <v>10</v>
      </c>
      <c r="CQ64" s="441">
        <v>12</v>
      </c>
      <c r="CR64" s="441"/>
      <c r="CS64" s="441">
        <v>2</v>
      </c>
      <c r="CT64" s="441">
        <v>12</v>
      </c>
      <c r="CU64" s="441"/>
      <c r="CV64" s="440"/>
      <c r="CW64" s="440"/>
      <c r="CX64" s="441">
        <v>2</v>
      </c>
      <c r="CY64" s="440"/>
      <c r="CZ64" s="440"/>
      <c r="DA64" s="440"/>
      <c r="DB64" s="440">
        <v>2</v>
      </c>
      <c r="DC64" s="440"/>
      <c r="DD64" s="444">
        <v>12</v>
      </c>
      <c r="DE64" s="440"/>
      <c r="DF64" s="440"/>
      <c r="DG64" s="440"/>
      <c r="DH64" s="440"/>
      <c r="DI64" s="440"/>
      <c r="DJ64" s="440"/>
      <c r="DK64" s="440"/>
      <c r="DL64" s="440"/>
      <c r="DM64" s="440"/>
      <c r="DN64" s="440"/>
      <c r="DO64" s="440"/>
      <c r="DP64" s="440"/>
      <c r="DQ64" s="440"/>
      <c r="DR64" s="440"/>
      <c r="DS64" s="440"/>
      <c r="DT64" s="440"/>
      <c r="DU64" s="440"/>
      <c r="DV64" s="440"/>
      <c r="DW64" s="440"/>
      <c r="DX64" s="440"/>
      <c r="DY64" s="440"/>
      <c r="DZ64" s="440"/>
      <c r="EA64" s="440"/>
      <c r="EB64" s="440"/>
      <c r="EC64" s="445"/>
      <c r="ED64" s="454"/>
      <c r="EE64" s="449"/>
      <c r="EF64" s="448"/>
      <c r="EG64" s="448"/>
      <c r="EH64" s="448"/>
      <c r="EI64" s="448"/>
      <c r="EJ64" s="448"/>
      <c r="EK64" s="448"/>
      <c r="EL64" s="448"/>
      <c r="EM64" s="448"/>
      <c r="EN64" s="448"/>
      <c r="EO64" s="448"/>
      <c r="EP64" s="448"/>
      <c r="EQ64" s="448"/>
      <c r="ER64" s="448"/>
      <c r="ES64" s="448"/>
      <c r="ET64" s="447"/>
      <c r="EU64" s="450"/>
      <c r="EV64" s="451"/>
      <c r="EW64" s="452"/>
    </row>
    <row r="65" spans="1:153" ht="18.899999999999999" customHeight="1">
      <c r="A65" s="436" t="s">
        <v>1239</v>
      </c>
      <c r="B65" s="437">
        <v>55</v>
      </c>
      <c r="C65" s="438">
        <f t="shared" si="2"/>
        <v>2625</v>
      </c>
      <c r="D65" s="438"/>
      <c r="E65" s="438"/>
      <c r="F65" s="439"/>
      <c r="G65" s="440"/>
      <c r="H65" s="440" t="s">
        <v>2019</v>
      </c>
      <c r="I65" s="440"/>
      <c r="J65" s="437">
        <v>1</v>
      </c>
      <c r="K65" s="440"/>
      <c r="L65" s="440"/>
      <c r="M65" s="440"/>
      <c r="N65" s="440"/>
      <c r="O65" s="440"/>
      <c r="P65" s="440"/>
      <c r="Q65" s="440"/>
      <c r="R65" s="440"/>
      <c r="S65" s="440"/>
      <c r="T65" s="440"/>
      <c r="U65" s="444">
        <v>1</v>
      </c>
      <c r="V65" s="440"/>
      <c r="W65" s="440"/>
      <c r="X65" s="440"/>
      <c r="Y65" s="440"/>
      <c r="Z65" s="440"/>
      <c r="AA65" s="440"/>
      <c r="AB65" s="440"/>
      <c r="AC65" s="440"/>
      <c r="AD65" s="440"/>
      <c r="AE65" s="440"/>
      <c r="AF65" s="440"/>
      <c r="AG65" s="440"/>
      <c r="AH65" s="440"/>
      <c r="AI65" s="440"/>
      <c r="AJ65" s="440"/>
      <c r="AK65" s="440"/>
      <c r="AL65" s="440"/>
      <c r="AM65" s="440"/>
      <c r="AN65" s="440"/>
      <c r="AO65" s="440"/>
      <c r="AP65" s="440"/>
      <c r="AQ65" s="440"/>
      <c r="AR65" s="440"/>
      <c r="AS65" s="440"/>
      <c r="AT65" s="441"/>
      <c r="AU65" s="440"/>
      <c r="AV65" s="440"/>
      <c r="AW65" s="440"/>
      <c r="AX65" s="440"/>
      <c r="AY65" s="440"/>
      <c r="AZ65" s="440"/>
      <c r="BA65" s="440"/>
      <c r="BB65" s="440"/>
      <c r="BC65" s="442"/>
      <c r="BD65" s="440"/>
      <c r="BE65" s="440"/>
      <c r="BF65" s="440"/>
      <c r="BG65" s="440"/>
      <c r="BH65" s="440"/>
      <c r="BI65" s="440"/>
      <c r="BJ65" s="440"/>
      <c r="BK65" s="440"/>
      <c r="BL65" s="440"/>
      <c r="BM65" s="440"/>
      <c r="BN65" s="440"/>
      <c r="BO65" s="440"/>
      <c r="BP65" s="440"/>
      <c r="BQ65" s="440"/>
      <c r="BR65" s="440"/>
      <c r="BS65" s="443">
        <v>2</v>
      </c>
      <c r="BT65" s="443"/>
      <c r="BU65" s="440"/>
      <c r="BV65" s="443"/>
      <c r="BW65" s="440"/>
      <c r="BX65" s="440"/>
      <c r="BY65" s="440"/>
      <c r="BZ65" s="440"/>
      <c r="CA65" s="440"/>
      <c r="CB65" s="440"/>
      <c r="CC65" s="440"/>
      <c r="CD65" s="440"/>
      <c r="CE65" s="440"/>
      <c r="CF65" s="440"/>
      <c r="CG65" s="440"/>
      <c r="CH65" s="440"/>
      <c r="CI65" s="440"/>
      <c r="CJ65" s="440"/>
      <c r="CK65" s="440"/>
      <c r="CL65" s="440"/>
      <c r="CM65" s="440"/>
      <c r="CN65" s="440"/>
      <c r="CO65" s="440"/>
      <c r="CP65" s="441">
        <v>6</v>
      </c>
      <c r="CQ65" s="441"/>
      <c r="CR65" s="441"/>
      <c r="CS65" s="441"/>
      <c r="CT65" s="441"/>
      <c r="CU65" s="441">
        <v>1</v>
      </c>
      <c r="CV65" s="440"/>
      <c r="CW65" s="440"/>
      <c r="CX65" s="441"/>
      <c r="CY65" s="440"/>
      <c r="CZ65" s="440"/>
      <c r="DA65" s="440"/>
      <c r="DB65" s="440"/>
      <c r="DC65" s="440"/>
      <c r="DD65" s="444"/>
      <c r="DE65" s="440"/>
      <c r="DF65" s="440"/>
      <c r="DG65" s="440"/>
      <c r="DH65" s="440"/>
      <c r="DI65" s="440"/>
      <c r="DJ65" s="440"/>
      <c r="DK65" s="440"/>
      <c r="DL65" s="440"/>
      <c r="DM65" s="440"/>
      <c r="DN65" s="440"/>
      <c r="DO65" s="440"/>
      <c r="DP65" s="440"/>
      <c r="DQ65" s="440"/>
      <c r="DR65" s="440"/>
      <c r="DS65" s="440"/>
      <c r="DT65" s="440"/>
      <c r="DU65" s="440"/>
      <c r="DV65" s="440"/>
      <c r="DW65" s="440"/>
      <c r="DX65" s="440"/>
      <c r="DY65" s="440"/>
      <c r="DZ65" s="440"/>
      <c r="EA65" s="440"/>
      <c r="EB65" s="440"/>
      <c r="EC65" s="445"/>
      <c r="ED65" s="454"/>
      <c r="EE65" s="449"/>
      <c r="EF65" s="448"/>
      <c r="EG65" s="448"/>
      <c r="EH65" s="448"/>
      <c r="EI65" s="448"/>
      <c r="EJ65" s="448"/>
      <c r="EK65" s="448"/>
      <c r="EL65" s="448"/>
      <c r="EM65" s="448"/>
      <c r="EN65" s="448"/>
      <c r="EO65" s="448"/>
      <c r="EP65" s="448"/>
      <c r="EQ65" s="448"/>
      <c r="ER65" s="448"/>
      <c r="ES65" s="448"/>
      <c r="ET65" s="447"/>
      <c r="EU65" s="450"/>
      <c r="EV65" s="451"/>
      <c r="EW65" s="452"/>
    </row>
    <row r="66" spans="1:153" ht="18.899999999999999" customHeight="1">
      <c r="A66" s="436" t="s">
        <v>1240</v>
      </c>
      <c r="B66" s="437">
        <v>55</v>
      </c>
      <c r="C66" s="438">
        <f t="shared" si="2"/>
        <v>2680</v>
      </c>
      <c r="D66" s="438"/>
      <c r="E66" s="438"/>
      <c r="F66" s="439"/>
      <c r="G66" s="440"/>
      <c r="H66" s="440" t="s">
        <v>1228</v>
      </c>
      <c r="I66" s="440"/>
      <c r="J66" s="437">
        <v>1</v>
      </c>
      <c r="K66" s="440"/>
      <c r="L66" s="440"/>
      <c r="M66" s="440"/>
      <c r="N66" s="440"/>
      <c r="O66" s="440"/>
      <c r="P66" s="440"/>
      <c r="Q66" s="440"/>
      <c r="R66" s="440"/>
      <c r="S66" s="440"/>
      <c r="T66" s="440"/>
      <c r="U66" s="444">
        <v>1</v>
      </c>
      <c r="V66" s="440"/>
      <c r="W66" s="440"/>
      <c r="X66" s="440"/>
      <c r="Y66" s="440"/>
      <c r="Z66" s="440"/>
      <c r="AA66" s="440"/>
      <c r="AB66" s="440"/>
      <c r="AC66" s="440"/>
      <c r="AD66" s="440"/>
      <c r="AE66" s="440"/>
      <c r="AF66" s="440"/>
      <c r="AG66" s="440"/>
      <c r="AH66" s="440"/>
      <c r="AI66" s="440"/>
      <c r="AJ66" s="440"/>
      <c r="AK66" s="440"/>
      <c r="AL66" s="440"/>
      <c r="AM66" s="440"/>
      <c r="AN66" s="440"/>
      <c r="AO66" s="440"/>
      <c r="AP66" s="440"/>
      <c r="AQ66" s="440"/>
      <c r="AR66" s="440"/>
      <c r="AS66" s="440"/>
      <c r="AT66" s="441">
        <v>1</v>
      </c>
      <c r="AU66" s="440"/>
      <c r="AV66" s="440"/>
      <c r="AW66" s="440"/>
      <c r="AX66" s="440"/>
      <c r="AY66" s="440"/>
      <c r="AZ66" s="440">
        <v>1</v>
      </c>
      <c r="BA66" s="440">
        <v>40</v>
      </c>
      <c r="BB66" s="440">
        <v>1</v>
      </c>
      <c r="BC66" s="442">
        <v>2</v>
      </c>
      <c r="BD66" s="440"/>
      <c r="BE66" s="440"/>
      <c r="BF66" s="440"/>
      <c r="BG66" s="440"/>
      <c r="BH66" s="440"/>
      <c r="BI66" s="440"/>
      <c r="BJ66" s="440"/>
      <c r="BK66" s="440"/>
      <c r="BL66" s="440"/>
      <c r="BM66" s="440"/>
      <c r="BN66" s="440"/>
      <c r="BO66" s="440"/>
      <c r="BP66" s="440"/>
      <c r="BQ66" s="440"/>
      <c r="BR66" s="440"/>
      <c r="BS66" s="443"/>
      <c r="BT66" s="443"/>
      <c r="BU66" s="440"/>
      <c r="BV66" s="443">
        <v>4</v>
      </c>
      <c r="BW66" s="440"/>
      <c r="BX66" s="440"/>
      <c r="BY66" s="440"/>
      <c r="BZ66" s="440"/>
      <c r="CA66" s="440"/>
      <c r="CB66" s="440"/>
      <c r="CC66" s="440"/>
      <c r="CD66" s="440"/>
      <c r="CE66" s="440"/>
      <c r="CF66" s="440"/>
      <c r="CG66" s="440"/>
      <c r="CH66" s="440"/>
      <c r="CI66" s="440"/>
      <c r="CJ66" s="440"/>
      <c r="CK66" s="440"/>
      <c r="CL66" s="440"/>
      <c r="CM66" s="440"/>
      <c r="CN66" s="440"/>
      <c r="CO66" s="440"/>
      <c r="CP66" s="441">
        <v>10</v>
      </c>
      <c r="CQ66" s="441">
        <v>12</v>
      </c>
      <c r="CR66" s="441"/>
      <c r="CS66" s="441">
        <v>2</v>
      </c>
      <c r="CT66" s="441">
        <v>12</v>
      </c>
      <c r="CU66" s="441"/>
      <c r="CV66" s="440"/>
      <c r="CW66" s="440"/>
      <c r="CX66" s="441">
        <v>2</v>
      </c>
      <c r="CY66" s="440"/>
      <c r="CZ66" s="440"/>
      <c r="DA66" s="440"/>
      <c r="DB66" s="440">
        <v>2</v>
      </c>
      <c r="DC66" s="440"/>
      <c r="DD66" s="444">
        <v>12</v>
      </c>
      <c r="DE66" s="440"/>
      <c r="DF66" s="440"/>
      <c r="DG66" s="440"/>
      <c r="DH66" s="440"/>
      <c r="DI66" s="440"/>
      <c r="DJ66" s="440"/>
      <c r="DK66" s="440"/>
      <c r="DL66" s="440"/>
      <c r="DM66" s="440"/>
      <c r="DN66" s="440"/>
      <c r="DO66" s="440"/>
      <c r="DP66" s="440"/>
      <c r="DQ66" s="440"/>
      <c r="DR66" s="440"/>
      <c r="DS66" s="440"/>
      <c r="DT66" s="440"/>
      <c r="DU66" s="440"/>
      <c r="DV66" s="440"/>
      <c r="DW66" s="440"/>
      <c r="DX66" s="440"/>
      <c r="DY66" s="440"/>
      <c r="DZ66" s="440"/>
      <c r="EA66" s="440"/>
      <c r="EB66" s="440"/>
      <c r="EC66" s="445"/>
      <c r="ED66" s="454"/>
      <c r="EE66" s="449"/>
      <c r="EF66" s="448"/>
      <c r="EG66" s="448"/>
      <c r="EH66" s="448"/>
      <c r="EI66" s="448"/>
      <c r="EJ66" s="448"/>
      <c r="EK66" s="448"/>
      <c r="EL66" s="448"/>
      <c r="EM66" s="448"/>
      <c r="EN66" s="448"/>
      <c r="EO66" s="448"/>
      <c r="EP66" s="448"/>
      <c r="EQ66" s="448"/>
      <c r="ER66" s="448"/>
      <c r="ES66" s="448"/>
      <c r="ET66" s="447"/>
      <c r="EU66" s="450"/>
      <c r="EV66" s="451"/>
      <c r="EW66" s="452"/>
    </row>
    <row r="67" spans="1:153" ht="18.899999999999999" customHeight="1">
      <c r="A67" s="436" t="s">
        <v>1714</v>
      </c>
      <c r="B67" s="437">
        <v>50</v>
      </c>
      <c r="C67" s="438">
        <f t="shared" si="2"/>
        <v>2730</v>
      </c>
      <c r="D67" s="438"/>
      <c r="E67" s="438"/>
      <c r="F67" s="439"/>
      <c r="G67" s="440"/>
      <c r="H67" s="440" t="s">
        <v>2019</v>
      </c>
      <c r="I67" s="440"/>
      <c r="J67" s="437">
        <v>1</v>
      </c>
      <c r="K67" s="440"/>
      <c r="L67" s="440"/>
      <c r="M67" s="440"/>
      <c r="N67" s="440"/>
      <c r="O67" s="440"/>
      <c r="P67" s="440"/>
      <c r="Q67" s="440"/>
      <c r="R67" s="440"/>
      <c r="S67" s="440"/>
      <c r="T67" s="440"/>
      <c r="U67" s="444">
        <v>1</v>
      </c>
      <c r="V67" s="440"/>
      <c r="W67" s="440"/>
      <c r="X67" s="440"/>
      <c r="Y67" s="440"/>
      <c r="Z67" s="440"/>
      <c r="AA67" s="440"/>
      <c r="AB67" s="440"/>
      <c r="AC67" s="440"/>
      <c r="AD67" s="440"/>
      <c r="AE67" s="440"/>
      <c r="AF67" s="440"/>
      <c r="AG67" s="440"/>
      <c r="AH67" s="440"/>
      <c r="AI67" s="440"/>
      <c r="AJ67" s="440"/>
      <c r="AK67" s="440"/>
      <c r="AL67" s="440"/>
      <c r="AM67" s="440"/>
      <c r="AN67" s="440"/>
      <c r="AO67" s="440"/>
      <c r="AP67" s="440"/>
      <c r="AQ67" s="440"/>
      <c r="AR67" s="440"/>
      <c r="AS67" s="440"/>
      <c r="AT67" s="441"/>
      <c r="AU67" s="440"/>
      <c r="AV67" s="440"/>
      <c r="AW67" s="440"/>
      <c r="AX67" s="440"/>
      <c r="AY67" s="440"/>
      <c r="AZ67" s="440"/>
      <c r="BA67" s="440"/>
      <c r="BB67" s="440"/>
      <c r="BC67" s="442"/>
      <c r="BD67" s="440"/>
      <c r="BE67" s="440"/>
      <c r="BF67" s="440"/>
      <c r="BG67" s="440"/>
      <c r="BH67" s="440"/>
      <c r="BI67" s="440"/>
      <c r="BJ67" s="440"/>
      <c r="BK67" s="440"/>
      <c r="BL67" s="440"/>
      <c r="BM67" s="440"/>
      <c r="BN67" s="440"/>
      <c r="BO67" s="440">
        <v>1</v>
      </c>
      <c r="BP67" s="440"/>
      <c r="BQ67" s="440"/>
      <c r="BR67" s="440"/>
      <c r="BS67" s="443">
        <v>2</v>
      </c>
      <c r="BT67" s="443"/>
      <c r="BU67" s="440"/>
      <c r="BV67" s="443"/>
      <c r="BW67" s="440"/>
      <c r="BX67" s="440"/>
      <c r="BY67" s="440"/>
      <c r="BZ67" s="440"/>
      <c r="CA67" s="440"/>
      <c r="CB67" s="440"/>
      <c r="CC67" s="440"/>
      <c r="CD67" s="440"/>
      <c r="CE67" s="440"/>
      <c r="CF67" s="440"/>
      <c r="CG67" s="440"/>
      <c r="CH67" s="440"/>
      <c r="CI67" s="440"/>
      <c r="CJ67" s="440"/>
      <c r="CK67" s="440"/>
      <c r="CL67" s="440"/>
      <c r="CM67" s="440"/>
      <c r="CN67" s="440"/>
      <c r="CO67" s="440"/>
      <c r="CP67" s="441">
        <v>6</v>
      </c>
      <c r="CQ67" s="441"/>
      <c r="CR67" s="441"/>
      <c r="CS67" s="441"/>
      <c r="CT67" s="441"/>
      <c r="CU67" s="441">
        <v>1</v>
      </c>
      <c r="CV67" s="440"/>
      <c r="CW67" s="440"/>
      <c r="CX67" s="441"/>
      <c r="CY67" s="440"/>
      <c r="CZ67" s="440"/>
      <c r="DA67" s="440"/>
      <c r="DB67" s="440"/>
      <c r="DC67" s="440"/>
      <c r="DD67" s="444"/>
      <c r="DE67" s="440"/>
      <c r="DF67" s="440"/>
      <c r="DG67" s="440"/>
      <c r="DH67" s="440"/>
      <c r="DI67" s="440"/>
      <c r="DJ67" s="440"/>
      <c r="DK67" s="440"/>
      <c r="DL67" s="440"/>
      <c r="DM67" s="440"/>
      <c r="DN67" s="440"/>
      <c r="DO67" s="440"/>
      <c r="DP67" s="440"/>
      <c r="DQ67" s="440"/>
      <c r="DR67" s="440"/>
      <c r="DS67" s="440"/>
      <c r="DT67" s="440"/>
      <c r="DU67" s="440"/>
      <c r="DV67" s="440"/>
      <c r="DW67" s="440"/>
      <c r="DX67" s="440"/>
      <c r="DY67" s="440"/>
      <c r="DZ67" s="440"/>
      <c r="EA67" s="440"/>
      <c r="EB67" s="440"/>
      <c r="EC67" s="445"/>
      <c r="ED67" s="454"/>
      <c r="EE67" s="449"/>
      <c r="EF67" s="448"/>
      <c r="EG67" s="448"/>
      <c r="EH67" s="448"/>
      <c r="EI67" s="448"/>
      <c r="EJ67" s="448"/>
      <c r="EK67" s="448"/>
      <c r="EL67" s="448"/>
      <c r="EM67" s="448"/>
      <c r="EN67" s="448"/>
      <c r="EO67" s="448"/>
      <c r="EP67" s="448"/>
      <c r="EQ67" s="448"/>
      <c r="ER67" s="448"/>
      <c r="ES67" s="448"/>
      <c r="ET67" s="447"/>
      <c r="EU67" s="450"/>
      <c r="EV67" s="451"/>
      <c r="EW67" s="452"/>
    </row>
    <row r="68" spans="1:153" ht="18.899999999999999" customHeight="1">
      <c r="A68" s="436" t="s">
        <v>1715</v>
      </c>
      <c r="B68" s="437">
        <v>50</v>
      </c>
      <c r="C68" s="438">
        <f t="shared" si="2"/>
        <v>2780</v>
      </c>
      <c r="D68" s="438"/>
      <c r="E68" s="438"/>
      <c r="F68" s="439"/>
      <c r="G68" s="440"/>
      <c r="H68" s="440" t="s">
        <v>621</v>
      </c>
      <c r="I68" s="440"/>
      <c r="J68" s="437">
        <v>1</v>
      </c>
      <c r="K68" s="440"/>
      <c r="L68" s="440"/>
      <c r="M68" s="440"/>
      <c r="N68" s="440"/>
      <c r="O68" s="440"/>
      <c r="P68" s="440"/>
      <c r="Q68" s="440"/>
      <c r="R68" s="440"/>
      <c r="S68" s="440"/>
      <c r="T68" s="440"/>
      <c r="U68" s="444">
        <v>1</v>
      </c>
      <c r="V68" s="440"/>
      <c r="W68" s="440"/>
      <c r="X68" s="440"/>
      <c r="Y68" s="440"/>
      <c r="Z68" s="440"/>
      <c r="AA68" s="440"/>
      <c r="AB68" s="440"/>
      <c r="AC68" s="440"/>
      <c r="AD68" s="440"/>
      <c r="AE68" s="440"/>
      <c r="AF68" s="440"/>
      <c r="AG68" s="440"/>
      <c r="AH68" s="440"/>
      <c r="AI68" s="440"/>
      <c r="AJ68" s="440"/>
      <c r="AK68" s="440"/>
      <c r="AL68" s="440"/>
      <c r="AM68" s="440"/>
      <c r="AN68" s="440"/>
      <c r="AO68" s="440"/>
      <c r="AP68" s="440"/>
      <c r="AQ68" s="440"/>
      <c r="AR68" s="440"/>
      <c r="AS68" s="440"/>
      <c r="AT68" s="441">
        <v>1</v>
      </c>
      <c r="AU68" s="440"/>
      <c r="AV68" s="440"/>
      <c r="AW68" s="440"/>
      <c r="AX68" s="440"/>
      <c r="AY68" s="440"/>
      <c r="AZ68" s="440"/>
      <c r="BA68" s="440"/>
      <c r="BB68" s="440"/>
      <c r="BC68" s="442">
        <v>1</v>
      </c>
      <c r="BD68" s="440"/>
      <c r="BE68" s="440"/>
      <c r="BF68" s="440"/>
      <c r="BG68" s="440"/>
      <c r="BH68" s="440"/>
      <c r="BI68" s="440"/>
      <c r="BJ68" s="440"/>
      <c r="BK68" s="440"/>
      <c r="BL68" s="440"/>
      <c r="BM68" s="440"/>
      <c r="BN68" s="440"/>
      <c r="BO68" s="440"/>
      <c r="BP68" s="440"/>
      <c r="BQ68" s="440"/>
      <c r="BR68" s="440"/>
      <c r="BS68" s="443"/>
      <c r="BT68" s="443">
        <v>1</v>
      </c>
      <c r="BU68" s="440"/>
      <c r="BV68" s="443"/>
      <c r="BW68" s="440"/>
      <c r="BX68" s="440"/>
      <c r="BY68" s="440"/>
      <c r="BZ68" s="440"/>
      <c r="CA68" s="440"/>
      <c r="CB68" s="440"/>
      <c r="CC68" s="440"/>
      <c r="CD68" s="440"/>
      <c r="CE68" s="440"/>
      <c r="CF68" s="440"/>
      <c r="CG68" s="440"/>
      <c r="CH68" s="440"/>
      <c r="CI68" s="440"/>
      <c r="CJ68" s="440"/>
      <c r="CK68" s="440"/>
      <c r="CL68" s="440"/>
      <c r="CM68" s="440"/>
      <c r="CN68" s="440"/>
      <c r="CO68" s="440"/>
      <c r="CP68" s="441">
        <v>12</v>
      </c>
      <c r="CQ68" s="441"/>
      <c r="CR68" s="441"/>
      <c r="CS68" s="441"/>
      <c r="CT68" s="441"/>
      <c r="CU68" s="441">
        <v>1</v>
      </c>
      <c r="CV68" s="440"/>
      <c r="CW68" s="440"/>
      <c r="CX68" s="441"/>
      <c r="CY68" s="440"/>
      <c r="CZ68" s="440"/>
      <c r="DA68" s="440"/>
      <c r="DB68" s="440"/>
      <c r="DC68" s="440"/>
      <c r="DD68" s="444"/>
      <c r="DE68" s="440"/>
      <c r="DF68" s="440"/>
      <c r="DG68" s="440"/>
      <c r="DH68" s="440"/>
      <c r="DI68" s="440"/>
      <c r="DJ68" s="440"/>
      <c r="DK68" s="440"/>
      <c r="DL68" s="440"/>
      <c r="DM68" s="440"/>
      <c r="DN68" s="440"/>
      <c r="DO68" s="440"/>
      <c r="DP68" s="440"/>
      <c r="DQ68" s="440"/>
      <c r="DR68" s="440"/>
      <c r="DS68" s="440"/>
      <c r="DT68" s="440"/>
      <c r="DU68" s="440"/>
      <c r="DV68" s="440"/>
      <c r="DW68" s="440"/>
      <c r="DX68" s="440"/>
      <c r="DY68" s="440"/>
      <c r="DZ68" s="440"/>
      <c r="EA68" s="440"/>
      <c r="EB68" s="440"/>
      <c r="EC68" s="445"/>
      <c r="ED68" s="454"/>
      <c r="EE68" s="449"/>
      <c r="EF68" s="448"/>
      <c r="EG68" s="448"/>
      <c r="EH68" s="448"/>
      <c r="EI68" s="448"/>
      <c r="EJ68" s="448"/>
      <c r="EK68" s="448"/>
      <c r="EL68" s="448"/>
      <c r="EM68" s="448"/>
      <c r="EN68" s="448"/>
      <c r="EO68" s="448"/>
      <c r="EP68" s="448"/>
      <c r="EQ68" s="448"/>
      <c r="ER68" s="448"/>
      <c r="ES68" s="448"/>
      <c r="ET68" s="447"/>
      <c r="EU68" s="450"/>
      <c r="EV68" s="451"/>
      <c r="EW68" s="452"/>
    </row>
    <row r="69" spans="1:153" ht="18.899999999999999" customHeight="1">
      <c r="A69" s="436" t="s">
        <v>1716</v>
      </c>
      <c r="B69" s="437">
        <v>45</v>
      </c>
      <c r="C69" s="438">
        <f t="shared" si="2"/>
        <v>2825</v>
      </c>
      <c r="D69" s="438"/>
      <c r="E69" s="438"/>
      <c r="F69" s="439"/>
      <c r="G69" s="440"/>
      <c r="H69" s="440" t="s">
        <v>621</v>
      </c>
      <c r="I69" s="440"/>
      <c r="J69" s="437">
        <v>1</v>
      </c>
      <c r="K69" s="440"/>
      <c r="L69" s="440"/>
      <c r="M69" s="440"/>
      <c r="N69" s="440"/>
      <c r="O69" s="440"/>
      <c r="P69" s="440"/>
      <c r="Q69" s="440"/>
      <c r="R69" s="440"/>
      <c r="S69" s="440"/>
      <c r="T69" s="440"/>
      <c r="U69" s="444">
        <v>1</v>
      </c>
      <c r="V69" s="440"/>
      <c r="W69" s="440"/>
      <c r="X69" s="440"/>
      <c r="Y69" s="440"/>
      <c r="Z69" s="440"/>
      <c r="AA69" s="440"/>
      <c r="AB69" s="440"/>
      <c r="AC69" s="440"/>
      <c r="AD69" s="440"/>
      <c r="AE69" s="440"/>
      <c r="AF69" s="440"/>
      <c r="AG69" s="440"/>
      <c r="AH69" s="440"/>
      <c r="AI69" s="440"/>
      <c r="AJ69" s="440"/>
      <c r="AK69" s="440"/>
      <c r="AL69" s="440"/>
      <c r="AM69" s="440"/>
      <c r="AN69" s="440"/>
      <c r="AO69" s="440"/>
      <c r="AP69" s="440"/>
      <c r="AQ69" s="440"/>
      <c r="AR69" s="440"/>
      <c r="AS69" s="440"/>
      <c r="AT69" s="441">
        <v>1</v>
      </c>
      <c r="AU69" s="440"/>
      <c r="AV69" s="440"/>
      <c r="AW69" s="440"/>
      <c r="AX69" s="440"/>
      <c r="AY69" s="440"/>
      <c r="AZ69" s="440"/>
      <c r="BA69" s="440"/>
      <c r="BB69" s="440"/>
      <c r="BC69" s="442">
        <v>1</v>
      </c>
      <c r="BD69" s="440"/>
      <c r="BE69" s="440"/>
      <c r="BF69" s="440"/>
      <c r="BG69" s="440"/>
      <c r="BH69" s="440"/>
      <c r="BI69" s="440"/>
      <c r="BJ69" s="440"/>
      <c r="BK69" s="440"/>
      <c r="BL69" s="440"/>
      <c r="BM69" s="440"/>
      <c r="BN69" s="440"/>
      <c r="BO69" s="440"/>
      <c r="BP69" s="440"/>
      <c r="BQ69" s="440"/>
      <c r="BR69" s="440"/>
      <c r="BS69" s="443"/>
      <c r="BT69" s="443">
        <v>1</v>
      </c>
      <c r="BU69" s="440"/>
      <c r="BV69" s="443"/>
      <c r="BW69" s="440"/>
      <c r="BX69" s="440"/>
      <c r="BY69" s="440"/>
      <c r="BZ69" s="440"/>
      <c r="CA69" s="440"/>
      <c r="CB69" s="440"/>
      <c r="CC69" s="440"/>
      <c r="CD69" s="440"/>
      <c r="CE69" s="440"/>
      <c r="CF69" s="440"/>
      <c r="CG69" s="440"/>
      <c r="CH69" s="440"/>
      <c r="CI69" s="440"/>
      <c r="CJ69" s="440"/>
      <c r="CK69" s="440"/>
      <c r="CL69" s="440"/>
      <c r="CM69" s="440"/>
      <c r="CN69" s="440"/>
      <c r="CO69" s="440"/>
      <c r="CP69" s="441">
        <v>12</v>
      </c>
      <c r="CQ69" s="441"/>
      <c r="CR69" s="441"/>
      <c r="CS69" s="441"/>
      <c r="CT69" s="441"/>
      <c r="CU69" s="441">
        <v>1</v>
      </c>
      <c r="CV69" s="440"/>
      <c r="CW69" s="440"/>
      <c r="CX69" s="441"/>
      <c r="CY69" s="440"/>
      <c r="CZ69" s="440"/>
      <c r="DA69" s="440"/>
      <c r="DB69" s="440"/>
      <c r="DC69" s="440"/>
      <c r="DD69" s="444"/>
      <c r="DE69" s="440"/>
      <c r="DF69" s="440"/>
      <c r="DG69" s="440"/>
      <c r="DH69" s="440"/>
      <c r="DI69" s="440"/>
      <c r="DJ69" s="440"/>
      <c r="DK69" s="440"/>
      <c r="DL69" s="440"/>
      <c r="DM69" s="440"/>
      <c r="DN69" s="440"/>
      <c r="DO69" s="440"/>
      <c r="DP69" s="440"/>
      <c r="DQ69" s="440"/>
      <c r="DR69" s="440"/>
      <c r="DS69" s="440"/>
      <c r="DT69" s="440"/>
      <c r="DU69" s="440"/>
      <c r="DV69" s="440"/>
      <c r="DW69" s="440"/>
      <c r="DX69" s="440"/>
      <c r="DY69" s="440"/>
      <c r="DZ69" s="440"/>
      <c r="EA69" s="440"/>
      <c r="EB69" s="440"/>
      <c r="EC69" s="445"/>
      <c r="ED69" s="454"/>
      <c r="EE69" s="449"/>
      <c r="EF69" s="448"/>
      <c r="EG69" s="448"/>
      <c r="EH69" s="448"/>
      <c r="EI69" s="448"/>
      <c r="EJ69" s="448"/>
      <c r="EK69" s="448"/>
      <c r="EL69" s="448"/>
      <c r="EM69" s="448"/>
      <c r="EN69" s="448"/>
      <c r="EO69" s="448"/>
      <c r="EP69" s="448"/>
      <c r="EQ69" s="448"/>
      <c r="ER69" s="448"/>
      <c r="ES69" s="448"/>
      <c r="ET69" s="447"/>
      <c r="EU69" s="450"/>
      <c r="EV69" s="451"/>
      <c r="EW69" s="452"/>
    </row>
    <row r="70" spans="1:153" ht="18.899999999999999" customHeight="1">
      <c r="A70" s="436" t="s">
        <v>1717</v>
      </c>
      <c r="B70" s="437">
        <v>45</v>
      </c>
      <c r="C70" s="438">
        <f t="shared" si="2"/>
        <v>2870</v>
      </c>
      <c r="D70" s="438"/>
      <c r="E70" s="438"/>
      <c r="F70" s="439"/>
      <c r="G70" s="440"/>
      <c r="H70" s="440" t="s">
        <v>2019</v>
      </c>
      <c r="I70" s="440"/>
      <c r="J70" s="437">
        <v>1</v>
      </c>
      <c r="K70" s="440"/>
      <c r="L70" s="440"/>
      <c r="M70" s="440"/>
      <c r="N70" s="440"/>
      <c r="O70" s="440"/>
      <c r="P70" s="440"/>
      <c r="Q70" s="440"/>
      <c r="R70" s="440"/>
      <c r="S70" s="440"/>
      <c r="T70" s="440"/>
      <c r="U70" s="444">
        <v>1</v>
      </c>
      <c r="V70" s="440"/>
      <c r="W70" s="440"/>
      <c r="X70" s="440"/>
      <c r="Y70" s="440"/>
      <c r="Z70" s="440"/>
      <c r="AA70" s="440"/>
      <c r="AB70" s="440"/>
      <c r="AC70" s="440"/>
      <c r="AD70" s="440"/>
      <c r="AE70" s="440"/>
      <c r="AF70" s="440"/>
      <c r="AG70" s="440"/>
      <c r="AH70" s="440"/>
      <c r="AI70" s="440"/>
      <c r="AJ70" s="440"/>
      <c r="AK70" s="440"/>
      <c r="AL70" s="440"/>
      <c r="AM70" s="440"/>
      <c r="AN70" s="440"/>
      <c r="AO70" s="440"/>
      <c r="AP70" s="440"/>
      <c r="AQ70" s="440"/>
      <c r="AR70" s="440"/>
      <c r="AS70" s="440"/>
      <c r="AT70" s="441"/>
      <c r="AU70" s="440"/>
      <c r="AV70" s="440"/>
      <c r="AW70" s="440"/>
      <c r="AX70" s="440"/>
      <c r="AY70" s="440"/>
      <c r="AZ70" s="440"/>
      <c r="BA70" s="440"/>
      <c r="BB70" s="440"/>
      <c r="BC70" s="442"/>
      <c r="BD70" s="440"/>
      <c r="BE70" s="440"/>
      <c r="BF70" s="440"/>
      <c r="BG70" s="440"/>
      <c r="BH70" s="440"/>
      <c r="BI70" s="440"/>
      <c r="BJ70" s="440"/>
      <c r="BK70" s="440"/>
      <c r="BL70" s="440"/>
      <c r="BM70" s="440"/>
      <c r="BN70" s="440"/>
      <c r="BO70" s="440"/>
      <c r="BP70" s="440"/>
      <c r="BQ70" s="440"/>
      <c r="BR70" s="440"/>
      <c r="BS70" s="443">
        <v>2</v>
      </c>
      <c r="BT70" s="443"/>
      <c r="BU70" s="440"/>
      <c r="BV70" s="443"/>
      <c r="BW70" s="440"/>
      <c r="BX70" s="440"/>
      <c r="BY70" s="440"/>
      <c r="BZ70" s="440"/>
      <c r="CA70" s="440"/>
      <c r="CB70" s="440"/>
      <c r="CC70" s="440"/>
      <c r="CD70" s="440"/>
      <c r="CE70" s="440"/>
      <c r="CF70" s="440"/>
      <c r="CG70" s="440"/>
      <c r="CH70" s="440"/>
      <c r="CI70" s="440"/>
      <c r="CJ70" s="440"/>
      <c r="CK70" s="440"/>
      <c r="CL70" s="440"/>
      <c r="CM70" s="440"/>
      <c r="CN70" s="440"/>
      <c r="CO70" s="440"/>
      <c r="CP70" s="441">
        <v>6</v>
      </c>
      <c r="CQ70" s="441"/>
      <c r="CR70" s="441"/>
      <c r="CS70" s="441"/>
      <c r="CT70" s="441"/>
      <c r="CU70" s="441">
        <v>1</v>
      </c>
      <c r="CV70" s="440"/>
      <c r="CW70" s="440"/>
      <c r="CX70" s="441"/>
      <c r="CY70" s="440"/>
      <c r="CZ70" s="440"/>
      <c r="DA70" s="440"/>
      <c r="DB70" s="440"/>
      <c r="DC70" s="440"/>
      <c r="DD70" s="444"/>
      <c r="DE70" s="440"/>
      <c r="DF70" s="440"/>
      <c r="DG70" s="440"/>
      <c r="DH70" s="440"/>
      <c r="DI70" s="440"/>
      <c r="DJ70" s="440"/>
      <c r="DK70" s="440"/>
      <c r="DL70" s="440"/>
      <c r="DM70" s="440"/>
      <c r="DN70" s="440"/>
      <c r="DO70" s="440"/>
      <c r="DP70" s="440"/>
      <c r="DQ70" s="440"/>
      <c r="DR70" s="440"/>
      <c r="DS70" s="440"/>
      <c r="DT70" s="440"/>
      <c r="DU70" s="440"/>
      <c r="DV70" s="440"/>
      <c r="DW70" s="440"/>
      <c r="DX70" s="440"/>
      <c r="DY70" s="440"/>
      <c r="DZ70" s="440"/>
      <c r="EA70" s="440"/>
      <c r="EB70" s="440"/>
      <c r="EC70" s="445"/>
      <c r="ED70" s="454"/>
      <c r="EE70" s="449"/>
      <c r="EF70" s="448"/>
      <c r="EG70" s="448"/>
      <c r="EH70" s="448"/>
      <c r="EI70" s="448"/>
      <c r="EJ70" s="448"/>
      <c r="EK70" s="448"/>
      <c r="EL70" s="448"/>
      <c r="EM70" s="448"/>
      <c r="EN70" s="448"/>
      <c r="EO70" s="448"/>
      <c r="EP70" s="448"/>
      <c r="EQ70" s="448"/>
      <c r="ER70" s="448"/>
      <c r="ES70" s="448"/>
      <c r="ET70" s="447"/>
      <c r="EU70" s="450"/>
      <c r="EV70" s="451"/>
      <c r="EW70" s="452"/>
    </row>
    <row r="71" spans="1:153" ht="18.899999999999999" customHeight="1">
      <c r="A71" s="436" t="s">
        <v>1718</v>
      </c>
      <c r="B71" s="437">
        <v>35</v>
      </c>
      <c r="C71" s="438">
        <f t="shared" si="2"/>
        <v>2905</v>
      </c>
      <c r="D71" s="438"/>
      <c r="E71" s="438"/>
      <c r="F71" s="439"/>
      <c r="G71" s="440"/>
      <c r="H71" s="440" t="s">
        <v>621</v>
      </c>
      <c r="I71" s="440"/>
      <c r="J71" s="437">
        <v>1</v>
      </c>
      <c r="K71" s="440"/>
      <c r="L71" s="440"/>
      <c r="M71" s="440"/>
      <c r="N71" s="440"/>
      <c r="O71" s="440"/>
      <c r="P71" s="440"/>
      <c r="Q71" s="440"/>
      <c r="R71" s="440"/>
      <c r="S71" s="440"/>
      <c r="T71" s="440"/>
      <c r="U71" s="444">
        <v>1</v>
      </c>
      <c r="V71" s="440"/>
      <c r="W71" s="440"/>
      <c r="X71" s="440"/>
      <c r="Y71" s="440"/>
      <c r="Z71" s="440"/>
      <c r="AA71" s="440"/>
      <c r="AB71" s="440"/>
      <c r="AC71" s="440"/>
      <c r="AD71" s="440"/>
      <c r="AE71" s="440"/>
      <c r="AF71" s="440"/>
      <c r="AG71" s="440"/>
      <c r="AH71" s="440"/>
      <c r="AI71" s="440"/>
      <c r="AJ71" s="440"/>
      <c r="AK71" s="440"/>
      <c r="AL71" s="440"/>
      <c r="AM71" s="440"/>
      <c r="AN71" s="440"/>
      <c r="AO71" s="440"/>
      <c r="AP71" s="440"/>
      <c r="AQ71" s="440"/>
      <c r="AR71" s="440"/>
      <c r="AS71" s="440"/>
      <c r="AT71" s="441">
        <v>1</v>
      </c>
      <c r="AU71" s="440"/>
      <c r="AV71" s="440"/>
      <c r="AW71" s="440"/>
      <c r="AX71" s="440"/>
      <c r="AY71" s="440"/>
      <c r="AZ71" s="440"/>
      <c r="BA71" s="440"/>
      <c r="BB71" s="440"/>
      <c r="BC71" s="442">
        <v>1</v>
      </c>
      <c r="BD71" s="440"/>
      <c r="BE71" s="440"/>
      <c r="BF71" s="440"/>
      <c r="BG71" s="440"/>
      <c r="BH71" s="440"/>
      <c r="BI71" s="440"/>
      <c r="BJ71" s="440"/>
      <c r="BK71" s="440"/>
      <c r="BL71" s="440"/>
      <c r="BM71" s="440"/>
      <c r="BN71" s="440"/>
      <c r="BO71" s="440">
        <v>1</v>
      </c>
      <c r="BP71" s="440"/>
      <c r="BQ71" s="440"/>
      <c r="BR71" s="440"/>
      <c r="BS71" s="443"/>
      <c r="BT71" s="443">
        <v>1</v>
      </c>
      <c r="BU71" s="440"/>
      <c r="BV71" s="443"/>
      <c r="BW71" s="440"/>
      <c r="BX71" s="440"/>
      <c r="BY71" s="440"/>
      <c r="BZ71" s="440"/>
      <c r="CA71" s="440"/>
      <c r="CB71" s="440"/>
      <c r="CC71" s="440"/>
      <c r="CD71" s="440"/>
      <c r="CE71" s="440"/>
      <c r="CF71" s="440"/>
      <c r="CG71" s="440"/>
      <c r="CH71" s="440"/>
      <c r="CI71" s="440"/>
      <c r="CJ71" s="440"/>
      <c r="CK71" s="440"/>
      <c r="CL71" s="440"/>
      <c r="CM71" s="440"/>
      <c r="CN71" s="440"/>
      <c r="CO71" s="440"/>
      <c r="CP71" s="441">
        <v>12</v>
      </c>
      <c r="CQ71" s="441"/>
      <c r="CR71" s="441"/>
      <c r="CS71" s="441"/>
      <c r="CT71" s="441"/>
      <c r="CU71" s="441">
        <v>1</v>
      </c>
      <c r="CV71" s="440"/>
      <c r="CW71" s="440"/>
      <c r="CX71" s="441"/>
      <c r="CY71" s="440"/>
      <c r="CZ71" s="440"/>
      <c r="DA71" s="440"/>
      <c r="DB71" s="440"/>
      <c r="DC71" s="440"/>
      <c r="DD71" s="444"/>
      <c r="DE71" s="440"/>
      <c r="DF71" s="440"/>
      <c r="DG71" s="440"/>
      <c r="DH71" s="440"/>
      <c r="DI71" s="440"/>
      <c r="DJ71" s="440"/>
      <c r="DK71" s="440"/>
      <c r="DL71" s="440"/>
      <c r="DM71" s="440"/>
      <c r="DN71" s="440"/>
      <c r="DO71" s="440"/>
      <c r="DP71" s="440"/>
      <c r="DQ71" s="440"/>
      <c r="DR71" s="440"/>
      <c r="DS71" s="440"/>
      <c r="DT71" s="440"/>
      <c r="DU71" s="440"/>
      <c r="DV71" s="440"/>
      <c r="DW71" s="440"/>
      <c r="DX71" s="440"/>
      <c r="DY71" s="440"/>
      <c r="DZ71" s="440"/>
      <c r="EA71" s="440"/>
      <c r="EB71" s="440"/>
      <c r="EC71" s="445"/>
      <c r="ED71" s="454"/>
      <c r="EE71" s="449"/>
      <c r="EF71" s="448"/>
      <c r="EG71" s="448"/>
      <c r="EH71" s="448"/>
      <c r="EI71" s="448"/>
      <c r="EJ71" s="448"/>
      <c r="EK71" s="448"/>
      <c r="EL71" s="448"/>
      <c r="EM71" s="448"/>
      <c r="EN71" s="448"/>
      <c r="EO71" s="448"/>
      <c r="EP71" s="448"/>
      <c r="EQ71" s="448"/>
      <c r="ER71" s="448"/>
      <c r="ES71" s="448"/>
      <c r="ET71" s="447"/>
      <c r="EU71" s="450"/>
      <c r="EV71" s="451"/>
      <c r="EW71" s="452"/>
    </row>
    <row r="72" spans="1:153" ht="18.899999999999999" customHeight="1">
      <c r="A72" s="436" t="s">
        <v>1719</v>
      </c>
      <c r="B72" s="437">
        <v>46</v>
      </c>
      <c r="C72" s="438">
        <f t="shared" si="2"/>
        <v>2951</v>
      </c>
      <c r="D72" s="438"/>
      <c r="E72" s="438"/>
      <c r="F72" s="439"/>
      <c r="G72" s="440"/>
      <c r="H72" s="440" t="s">
        <v>621</v>
      </c>
      <c r="I72" s="440"/>
      <c r="J72" s="437">
        <v>1</v>
      </c>
      <c r="K72" s="440"/>
      <c r="L72" s="440"/>
      <c r="M72" s="440"/>
      <c r="N72" s="440"/>
      <c r="O72" s="440"/>
      <c r="P72" s="440"/>
      <c r="Q72" s="440"/>
      <c r="R72" s="440"/>
      <c r="S72" s="440"/>
      <c r="T72" s="440"/>
      <c r="U72" s="444">
        <v>1</v>
      </c>
      <c r="V72" s="440"/>
      <c r="W72" s="440"/>
      <c r="X72" s="440"/>
      <c r="Y72" s="440"/>
      <c r="Z72" s="440"/>
      <c r="AA72" s="440"/>
      <c r="AB72" s="440"/>
      <c r="AC72" s="440"/>
      <c r="AD72" s="440"/>
      <c r="AE72" s="440"/>
      <c r="AF72" s="440"/>
      <c r="AG72" s="440"/>
      <c r="AH72" s="440"/>
      <c r="AI72" s="440"/>
      <c r="AJ72" s="440"/>
      <c r="AK72" s="440"/>
      <c r="AL72" s="440"/>
      <c r="AM72" s="440"/>
      <c r="AN72" s="440"/>
      <c r="AO72" s="440"/>
      <c r="AP72" s="440"/>
      <c r="AQ72" s="440"/>
      <c r="AR72" s="440"/>
      <c r="AS72" s="440"/>
      <c r="AT72" s="441">
        <v>1</v>
      </c>
      <c r="AU72" s="440"/>
      <c r="AV72" s="440"/>
      <c r="AW72" s="440"/>
      <c r="AX72" s="440"/>
      <c r="AY72" s="440"/>
      <c r="AZ72" s="440"/>
      <c r="BA72" s="440"/>
      <c r="BB72" s="440"/>
      <c r="BC72" s="442">
        <v>1</v>
      </c>
      <c r="BD72" s="440"/>
      <c r="BE72" s="440"/>
      <c r="BF72" s="440"/>
      <c r="BG72" s="440"/>
      <c r="BH72" s="440"/>
      <c r="BI72" s="440"/>
      <c r="BJ72" s="440"/>
      <c r="BK72" s="440"/>
      <c r="BL72" s="440"/>
      <c r="BM72" s="440"/>
      <c r="BN72" s="440"/>
      <c r="BO72" s="440"/>
      <c r="BP72" s="440"/>
      <c r="BQ72" s="440"/>
      <c r="BR72" s="440"/>
      <c r="BS72" s="443"/>
      <c r="BT72" s="443">
        <v>1</v>
      </c>
      <c r="BU72" s="440"/>
      <c r="BV72" s="443"/>
      <c r="BW72" s="440"/>
      <c r="BX72" s="440"/>
      <c r="BY72" s="440"/>
      <c r="BZ72" s="440"/>
      <c r="CA72" s="440"/>
      <c r="CB72" s="440"/>
      <c r="CC72" s="440"/>
      <c r="CD72" s="440"/>
      <c r="CE72" s="440"/>
      <c r="CF72" s="440"/>
      <c r="CG72" s="440"/>
      <c r="CH72" s="440"/>
      <c r="CI72" s="440"/>
      <c r="CJ72" s="440"/>
      <c r="CK72" s="440"/>
      <c r="CL72" s="440"/>
      <c r="CM72" s="440"/>
      <c r="CN72" s="440"/>
      <c r="CO72" s="440"/>
      <c r="CP72" s="441">
        <v>12</v>
      </c>
      <c r="CQ72" s="441"/>
      <c r="CR72" s="441"/>
      <c r="CS72" s="441"/>
      <c r="CT72" s="441"/>
      <c r="CU72" s="441">
        <v>1</v>
      </c>
      <c r="CV72" s="440"/>
      <c r="CW72" s="440"/>
      <c r="CX72" s="441"/>
      <c r="CY72" s="440"/>
      <c r="CZ72" s="440"/>
      <c r="DA72" s="440"/>
      <c r="DB72" s="440"/>
      <c r="DC72" s="440"/>
      <c r="DD72" s="444"/>
      <c r="DE72" s="440"/>
      <c r="DF72" s="440"/>
      <c r="DG72" s="440"/>
      <c r="DH72" s="440"/>
      <c r="DI72" s="440"/>
      <c r="DJ72" s="440"/>
      <c r="DK72" s="440"/>
      <c r="DL72" s="440"/>
      <c r="DM72" s="440"/>
      <c r="DN72" s="440"/>
      <c r="DO72" s="440"/>
      <c r="DP72" s="440"/>
      <c r="DQ72" s="440"/>
      <c r="DR72" s="440"/>
      <c r="DS72" s="440"/>
      <c r="DT72" s="440"/>
      <c r="DU72" s="440"/>
      <c r="DV72" s="440"/>
      <c r="DW72" s="440"/>
      <c r="DX72" s="440"/>
      <c r="DY72" s="440"/>
      <c r="DZ72" s="440"/>
      <c r="EA72" s="440"/>
      <c r="EB72" s="440"/>
      <c r="EC72" s="445"/>
      <c r="ED72" s="454"/>
      <c r="EE72" s="449"/>
      <c r="EF72" s="448"/>
      <c r="EG72" s="448"/>
      <c r="EH72" s="448"/>
      <c r="EI72" s="448"/>
      <c r="EJ72" s="448"/>
      <c r="EK72" s="448"/>
      <c r="EL72" s="448"/>
      <c r="EM72" s="448"/>
      <c r="EN72" s="448"/>
      <c r="EO72" s="448"/>
      <c r="EP72" s="448"/>
      <c r="EQ72" s="448"/>
      <c r="ER72" s="448"/>
      <c r="ES72" s="448"/>
      <c r="ET72" s="447"/>
      <c r="EU72" s="450"/>
      <c r="EV72" s="451"/>
      <c r="EW72" s="452"/>
    </row>
    <row r="73" spans="1:153" ht="18.899999999999999" customHeight="1">
      <c r="A73" s="436" t="s">
        <v>1720</v>
      </c>
      <c r="B73" s="437">
        <v>56</v>
      </c>
      <c r="C73" s="438">
        <f t="shared" si="2"/>
        <v>3007</v>
      </c>
      <c r="D73" s="438"/>
      <c r="E73" s="438"/>
      <c r="F73" s="439"/>
      <c r="G73" s="440"/>
      <c r="H73" s="440" t="s">
        <v>2019</v>
      </c>
      <c r="I73" s="440"/>
      <c r="J73" s="437">
        <v>1</v>
      </c>
      <c r="K73" s="440"/>
      <c r="L73" s="440"/>
      <c r="M73" s="440"/>
      <c r="N73" s="440"/>
      <c r="O73" s="440"/>
      <c r="P73" s="440"/>
      <c r="Q73" s="440"/>
      <c r="R73" s="440"/>
      <c r="S73" s="440"/>
      <c r="T73" s="440"/>
      <c r="U73" s="444">
        <v>1</v>
      </c>
      <c r="V73" s="440"/>
      <c r="W73" s="440"/>
      <c r="X73" s="440"/>
      <c r="Y73" s="440"/>
      <c r="Z73" s="440"/>
      <c r="AA73" s="440"/>
      <c r="AB73" s="440"/>
      <c r="AC73" s="440"/>
      <c r="AD73" s="440"/>
      <c r="AE73" s="440"/>
      <c r="AF73" s="440"/>
      <c r="AG73" s="440"/>
      <c r="AH73" s="440"/>
      <c r="AI73" s="440"/>
      <c r="AJ73" s="440"/>
      <c r="AK73" s="440"/>
      <c r="AL73" s="440"/>
      <c r="AM73" s="440"/>
      <c r="AN73" s="440"/>
      <c r="AO73" s="440"/>
      <c r="AP73" s="440"/>
      <c r="AQ73" s="440"/>
      <c r="AR73" s="440"/>
      <c r="AS73" s="440"/>
      <c r="AT73" s="441"/>
      <c r="AU73" s="440"/>
      <c r="AV73" s="440"/>
      <c r="AW73" s="440"/>
      <c r="AX73" s="440"/>
      <c r="AY73" s="440"/>
      <c r="AZ73" s="440"/>
      <c r="BA73" s="440"/>
      <c r="BB73" s="440"/>
      <c r="BC73" s="442"/>
      <c r="BD73" s="440"/>
      <c r="BE73" s="440"/>
      <c r="BF73" s="440"/>
      <c r="BG73" s="440"/>
      <c r="BH73" s="440"/>
      <c r="BI73" s="440"/>
      <c r="BJ73" s="440"/>
      <c r="BK73" s="440"/>
      <c r="BL73" s="440"/>
      <c r="BM73" s="440"/>
      <c r="BN73" s="440"/>
      <c r="BO73" s="440"/>
      <c r="BP73" s="440"/>
      <c r="BQ73" s="440"/>
      <c r="BR73" s="440"/>
      <c r="BS73" s="443">
        <v>2</v>
      </c>
      <c r="BT73" s="443"/>
      <c r="BU73" s="440"/>
      <c r="BV73" s="443"/>
      <c r="BW73" s="440"/>
      <c r="BX73" s="440"/>
      <c r="BY73" s="440"/>
      <c r="BZ73" s="440"/>
      <c r="CA73" s="440"/>
      <c r="CB73" s="440"/>
      <c r="CC73" s="440"/>
      <c r="CD73" s="440"/>
      <c r="CE73" s="440"/>
      <c r="CF73" s="440"/>
      <c r="CG73" s="440"/>
      <c r="CH73" s="440"/>
      <c r="CI73" s="440"/>
      <c r="CJ73" s="440"/>
      <c r="CK73" s="440"/>
      <c r="CL73" s="440"/>
      <c r="CM73" s="440"/>
      <c r="CN73" s="440"/>
      <c r="CO73" s="440"/>
      <c r="CP73" s="441">
        <v>6</v>
      </c>
      <c r="CQ73" s="441"/>
      <c r="CR73" s="441"/>
      <c r="CS73" s="441"/>
      <c r="CT73" s="441"/>
      <c r="CU73" s="441">
        <v>1</v>
      </c>
      <c r="CV73" s="440"/>
      <c r="CW73" s="440"/>
      <c r="CX73" s="441"/>
      <c r="CY73" s="440"/>
      <c r="CZ73" s="440"/>
      <c r="DA73" s="440"/>
      <c r="DB73" s="440"/>
      <c r="DC73" s="440"/>
      <c r="DD73" s="444"/>
      <c r="DE73" s="440"/>
      <c r="DF73" s="440"/>
      <c r="DG73" s="440"/>
      <c r="DH73" s="440"/>
      <c r="DI73" s="440"/>
      <c r="DJ73" s="440"/>
      <c r="DK73" s="440"/>
      <c r="DL73" s="440"/>
      <c r="DM73" s="440"/>
      <c r="DN73" s="440"/>
      <c r="DO73" s="440"/>
      <c r="DP73" s="440"/>
      <c r="DQ73" s="440"/>
      <c r="DR73" s="440"/>
      <c r="DS73" s="440"/>
      <c r="DT73" s="440"/>
      <c r="DU73" s="440"/>
      <c r="DV73" s="440"/>
      <c r="DW73" s="440"/>
      <c r="DX73" s="440"/>
      <c r="DY73" s="440"/>
      <c r="DZ73" s="440"/>
      <c r="EA73" s="440"/>
      <c r="EB73" s="440"/>
      <c r="EC73" s="445"/>
      <c r="ED73" s="454"/>
      <c r="EE73" s="449"/>
      <c r="EF73" s="448"/>
      <c r="EG73" s="448"/>
      <c r="EH73" s="448"/>
      <c r="EI73" s="448"/>
      <c r="EJ73" s="448"/>
      <c r="EK73" s="448"/>
      <c r="EL73" s="448"/>
      <c r="EM73" s="448"/>
      <c r="EN73" s="448"/>
      <c r="EO73" s="448"/>
      <c r="EP73" s="448"/>
      <c r="EQ73" s="448"/>
      <c r="ER73" s="448"/>
      <c r="ES73" s="448"/>
      <c r="ET73" s="447"/>
      <c r="EU73" s="450"/>
      <c r="EV73" s="451"/>
      <c r="EW73" s="452"/>
    </row>
    <row r="74" spans="1:153" ht="18.899999999999999" customHeight="1">
      <c r="A74" s="436" t="s">
        <v>1721</v>
      </c>
      <c r="B74" s="437">
        <v>56</v>
      </c>
      <c r="C74" s="438">
        <f t="shared" si="2"/>
        <v>3063</v>
      </c>
      <c r="D74" s="438"/>
      <c r="E74" s="438"/>
      <c r="F74" s="439"/>
      <c r="G74" s="440"/>
      <c r="H74" s="440" t="s">
        <v>2019</v>
      </c>
      <c r="I74" s="440"/>
      <c r="J74" s="437">
        <v>1</v>
      </c>
      <c r="K74" s="440"/>
      <c r="L74" s="440"/>
      <c r="M74" s="440"/>
      <c r="N74" s="440"/>
      <c r="O74" s="440"/>
      <c r="P74" s="440"/>
      <c r="Q74" s="440"/>
      <c r="R74" s="440"/>
      <c r="S74" s="440"/>
      <c r="T74" s="440"/>
      <c r="U74" s="444">
        <v>1</v>
      </c>
      <c r="V74" s="440"/>
      <c r="W74" s="440"/>
      <c r="X74" s="440"/>
      <c r="Y74" s="440"/>
      <c r="Z74" s="440"/>
      <c r="AA74" s="440"/>
      <c r="AB74" s="440"/>
      <c r="AC74" s="440"/>
      <c r="AD74" s="440"/>
      <c r="AE74" s="440"/>
      <c r="AF74" s="440"/>
      <c r="AG74" s="440"/>
      <c r="AH74" s="440"/>
      <c r="AI74" s="440"/>
      <c r="AJ74" s="440"/>
      <c r="AK74" s="440"/>
      <c r="AL74" s="440"/>
      <c r="AM74" s="440"/>
      <c r="AN74" s="440"/>
      <c r="AO74" s="440"/>
      <c r="AP74" s="440"/>
      <c r="AQ74" s="440"/>
      <c r="AR74" s="440"/>
      <c r="AS74" s="440"/>
      <c r="AT74" s="441"/>
      <c r="AU74" s="440"/>
      <c r="AV74" s="440"/>
      <c r="AW74" s="440"/>
      <c r="AX74" s="440"/>
      <c r="AY74" s="440"/>
      <c r="AZ74" s="440"/>
      <c r="BA74" s="440"/>
      <c r="BB74" s="440"/>
      <c r="BC74" s="442"/>
      <c r="BD74" s="440"/>
      <c r="BE74" s="440"/>
      <c r="BF74" s="440"/>
      <c r="BG74" s="440"/>
      <c r="BH74" s="440"/>
      <c r="BI74" s="440"/>
      <c r="BJ74" s="440"/>
      <c r="BK74" s="440"/>
      <c r="BL74" s="440"/>
      <c r="BM74" s="440"/>
      <c r="BN74" s="440"/>
      <c r="BO74" s="440"/>
      <c r="BP74" s="440"/>
      <c r="BQ74" s="440"/>
      <c r="BR74" s="440"/>
      <c r="BS74" s="443">
        <v>2</v>
      </c>
      <c r="BT74" s="443"/>
      <c r="BU74" s="440"/>
      <c r="BV74" s="443"/>
      <c r="BW74" s="440"/>
      <c r="BX74" s="440"/>
      <c r="BY74" s="440"/>
      <c r="BZ74" s="440"/>
      <c r="CA74" s="440"/>
      <c r="CB74" s="440"/>
      <c r="CC74" s="440"/>
      <c r="CD74" s="440"/>
      <c r="CE74" s="440"/>
      <c r="CF74" s="440"/>
      <c r="CG74" s="440"/>
      <c r="CH74" s="440"/>
      <c r="CI74" s="440"/>
      <c r="CJ74" s="440"/>
      <c r="CK74" s="440"/>
      <c r="CL74" s="440"/>
      <c r="CM74" s="440"/>
      <c r="CN74" s="440"/>
      <c r="CO74" s="440"/>
      <c r="CP74" s="441">
        <v>6</v>
      </c>
      <c r="CQ74" s="441"/>
      <c r="CR74" s="441"/>
      <c r="CS74" s="441"/>
      <c r="CT74" s="441"/>
      <c r="CU74" s="441">
        <v>1</v>
      </c>
      <c r="CV74" s="440"/>
      <c r="CW74" s="440"/>
      <c r="CX74" s="441"/>
      <c r="CY74" s="440"/>
      <c r="CZ74" s="440"/>
      <c r="DA74" s="440"/>
      <c r="DB74" s="440"/>
      <c r="DC74" s="440"/>
      <c r="DD74" s="444"/>
      <c r="DE74" s="440"/>
      <c r="DF74" s="440"/>
      <c r="DG74" s="440"/>
      <c r="DH74" s="440"/>
      <c r="DI74" s="440"/>
      <c r="DJ74" s="440"/>
      <c r="DK74" s="440"/>
      <c r="DL74" s="440"/>
      <c r="DM74" s="440"/>
      <c r="DN74" s="440"/>
      <c r="DO74" s="440"/>
      <c r="DP74" s="440"/>
      <c r="DQ74" s="440"/>
      <c r="DR74" s="440"/>
      <c r="DS74" s="440"/>
      <c r="DT74" s="440"/>
      <c r="DU74" s="440"/>
      <c r="DV74" s="440"/>
      <c r="DW74" s="440"/>
      <c r="DX74" s="440"/>
      <c r="DY74" s="440"/>
      <c r="DZ74" s="440"/>
      <c r="EA74" s="440"/>
      <c r="EB74" s="440"/>
      <c r="EC74" s="445"/>
      <c r="ED74" s="454"/>
      <c r="EE74" s="449"/>
      <c r="EF74" s="448"/>
      <c r="EG74" s="448"/>
      <c r="EH74" s="448"/>
      <c r="EI74" s="448"/>
      <c r="EJ74" s="448"/>
      <c r="EK74" s="448"/>
      <c r="EL74" s="448"/>
      <c r="EM74" s="448"/>
      <c r="EN74" s="448"/>
      <c r="EO74" s="448"/>
      <c r="EP74" s="448"/>
      <c r="EQ74" s="448"/>
      <c r="ER74" s="448"/>
      <c r="ES74" s="448"/>
      <c r="ET74" s="447"/>
      <c r="EU74" s="450"/>
      <c r="EV74" s="451"/>
      <c r="EW74" s="452"/>
    </row>
    <row r="75" spans="1:153" ht="18.899999999999999" customHeight="1">
      <c r="A75" s="436" t="s">
        <v>1722</v>
      </c>
      <c r="B75" s="437">
        <v>43</v>
      </c>
      <c r="C75" s="438">
        <f t="shared" si="2"/>
        <v>3106</v>
      </c>
      <c r="D75" s="438"/>
      <c r="E75" s="438"/>
      <c r="F75" s="439"/>
      <c r="G75" s="440"/>
      <c r="H75" s="440" t="s">
        <v>2019</v>
      </c>
      <c r="I75" s="440"/>
      <c r="J75" s="437">
        <v>1</v>
      </c>
      <c r="K75" s="440"/>
      <c r="L75" s="440"/>
      <c r="M75" s="440"/>
      <c r="N75" s="440"/>
      <c r="O75" s="440"/>
      <c r="P75" s="440"/>
      <c r="Q75" s="440"/>
      <c r="R75" s="440"/>
      <c r="S75" s="440"/>
      <c r="T75" s="440"/>
      <c r="U75" s="444">
        <v>1</v>
      </c>
      <c r="V75" s="440"/>
      <c r="W75" s="440"/>
      <c r="X75" s="440"/>
      <c r="Y75" s="440"/>
      <c r="Z75" s="440"/>
      <c r="AA75" s="440"/>
      <c r="AB75" s="440"/>
      <c r="AC75" s="440"/>
      <c r="AD75" s="440"/>
      <c r="AE75" s="440"/>
      <c r="AF75" s="440"/>
      <c r="AG75" s="440"/>
      <c r="AH75" s="440"/>
      <c r="AI75" s="440"/>
      <c r="AJ75" s="440"/>
      <c r="AK75" s="440"/>
      <c r="AL75" s="440"/>
      <c r="AM75" s="440"/>
      <c r="AN75" s="440"/>
      <c r="AO75" s="440"/>
      <c r="AP75" s="440"/>
      <c r="AQ75" s="440"/>
      <c r="AR75" s="440"/>
      <c r="AS75" s="440"/>
      <c r="AT75" s="441"/>
      <c r="AU75" s="440"/>
      <c r="AV75" s="440"/>
      <c r="AW75" s="440"/>
      <c r="AX75" s="440"/>
      <c r="AY75" s="440"/>
      <c r="AZ75" s="440"/>
      <c r="BA75" s="440"/>
      <c r="BB75" s="440"/>
      <c r="BC75" s="442"/>
      <c r="BD75" s="440"/>
      <c r="BE75" s="440"/>
      <c r="BF75" s="440"/>
      <c r="BG75" s="440"/>
      <c r="BH75" s="440"/>
      <c r="BI75" s="440"/>
      <c r="BJ75" s="440"/>
      <c r="BK75" s="440"/>
      <c r="BL75" s="440"/>
      <c r="BM75" s="440"/>
      <c r="BN75" s="440"/>
      <c r="BO75" s="440">
        <v>1</v>
      </c>
      <c r="BP75" s="440"/>
      <c r="BQ75" s="440"/>
      <c r="BR75" s="440"/>
      <c r="BS75" s="443">
        <v>2</v>
      </c>
      <c r="BT75" s="443"/>
      <c r="BU75" s="440"/>
      <c r="BV75" s="443"/>
      <c r="BW75" s="440"/>
      <c r="BX75" s="440"/>
      <c r="BY75" s="440"/>
      <c r="BZ75" s="440"/>
      <c r="CA75" s="440"/>
      <c r="CB75" s="440"/>
      <c r="CC75" s="440"/>
      <c r="CD75" s="440"/>
      <c r="CE75" s="440"/>
      <c r="CF75" s="440"/>
      <c r="CG75" s="440"/>
      <c r="CH75" s="440"/>
      <c r="CI75" s="440"/>
      <c r="CJ75" s="440"/>
      <c r="CK75" s="440"/>
      <c r="CL75" s="440"/>
      <c r="CM75" s="440"/>
      <c r="CN75" s="440"/>
      <c r="CO75" s="440"/>
      <c r="CP75" s="441">
        <v>6</v>
      </c>
      <c r="CQ75" s="441"/>
      <c r="CR75" s="441"/>
      <c r="CS75" s="441"/>
      <c r="CT75" s="441"/>
      <c r="CU75" s="441">
        <v>1</v>
      </c>
      <c r="CV75" s="440"/>
      <c r="CW75" s="440"/>
      <c r="CX75" s="441"/>
      <c r="CY75" s="440"/>
      <c r="CZ75" s="440"/>
      <c r="DA75" s="440"/>
      <c r="DB75" s="440"/>
      <c r="DC75" s="440"/>
      <c r="DD75" s="444"/>
      <c r="DE75" s="440"/>
      <c r="DF75" s="440"/>
      <c r="DG75" s="440"/>
      <c r="DH75" s="440"/>
      <c r="DI75" s="440"/>
      <c r="DJ75" s="440"/>
      <c r="DK75" s="440"/>
      <c r="DL75" s="440"/>
      <c r="DM75" s="440"/>
      <c r="DN75" s="440"/>
      <c r="DO75" s="440"/>
      <c r="DP75" s="440"/>
      <c r="DQ75" s="440"/>
      <c r="DR75" s="440"/>
      <c r="DS75" s="440"/>
      <c r="DT75" s="440"/>
      <c r="DU75" s="440"/>
      <c r="DV75" s="440"/>
      <c r="DW75" s="440"/>
      <c r="DX75" s="440"/>
      <c r="DY75" s="440"/>
      <c r="DZ75" s="440"/>
      <c r="EA75" s="440"/>
      <c r="EB75" s="440"/>
      <c r="EC75" s="445"/>
      <c r="ED75" s="454"/>
      <c r="EE75" s="449"/>
      <c r="EF75" s="448"/>
      <c r="EG75" s="448"/>
      <c r="EH75" s="448"/>
      <c r="EI75" s="448"/>
      <c r="EJ75" s="448"/>
      <c r="EK75" s="448"/>
      <c r="EL75" s="448"/>
      <c r="EM75" s="448"/>
      <c r="EN75" s="448"/>
      <c r="EO75" s="448"/>
      <c r="EP75" s="448"/>
      <c r="EQ75" s="448"/>
      <c r="ER75" s="448"/>
      <c r="ES75" s="448"/>
      <c r="ET75" s="447"/>
      <c r="EU75" s="450"/>
      <c r="EV75" s="451"/>
      <c r="EW75" s="452"/>
    </row>
    <row r="76" spans="1:153" ht="18.899999999999999" customHeight="1">
      <c r="A76" s="436" t="s">
        <v>1723</v>
      </c>
      <c r="B76" s="437">
        <v>44</v>
      </c>
      <c r="C76" s="438">
        <f t="shared" si="2"/>
        <v>3150</v>
      </c>
      <c r="D76" s="438"/>
      <c r="E76" s="438"/>
      <c r="F76" s="439"/>
      <c r="G76" s="440"/>
      <c r="H76" s="440" t="s">
        <v>621</v>
      </c>
      <c r="I76" s="440"/>
      <c r="J76" s="437">
        <v>1</v>
      </c>
      <c r="K76" s="440"/>
      <c r="L76" s="440"/>
      <c r="M76" s="440"/>
      <c r="N76" s="440"/>
      <c r="O76" s="440"/>
      <c r="P76" s="440"/>
      <c r="Q76" s="440"/>
      <c r="R76" s="440"/>
      <c r="S76" s="440"/>
      <c r="T76" s="440"/>
      <c r="U76" s="444">
        <v>1</v>
      </c>
      <c r="V76" s="440"/>
      <c r="W76" s="440"/>
      <c r="X76" s="440"/>
      <c r="Y76" s="440"/>
      <c r="Z76" s="440"/>
      <c r="AA76" s="440"/>
      <c r="AB76" s="440"/>
      <c r="AC76" s="440"/>
      <c r="AD76" s="440"/>
      <c r="AE76" s="440"/>
      <c r="AF76" s="440"/>
      <c r="AG76" s="440"/>
      <c r="AH76" s="440"/>
      <c r="AI76" s="440"/>
      <c r="AJ76" s="440"/>
      <c r="AK76" s="440"/>
      <c r="AL76" s="440"/>
      <c r="AM76" s="440"/>
      <c r="AN76" s="440"/>
      <c r="AO76" s="440"/>
      <c r="AP76" s="440"/>
      <c r="AQ76" s="440"/>
      <c r="AR76" s="440"/>
      <c r="AS76" s="440"/>
      <c r="AT76" s="441">
        <v>1</v>
      </c>
      <c r="AU76" s="440"/>
      <c r="AV76" s="440"/>
      <c r="AW76" s="440"/>
      <c r="AX76" s="440"/>
      <c r="AY76" s="440"/>
      <c r="AZ76" s="440"/>
      <c r="BA76" s="440"/>
      <c r="BB76" s="440"/>
      <c r="BC76" s="442">
        <v>1</v>
      </c>
      <c r="BD76" s="440"/>
      <c r="BE76" s="440"/>
      <c r="BF76" s="440"/>
      <c r="BG76" s="440"/>
      <c r="BH76" s="440"/>
      <c r="BI76" s="440"/>
      <c r="BJ76" s="440"/>
      <c r="BK76" s="440"/>
      <c r="BL76" s="440"/>
      <c r="BM76" s="440"/>
      <c r="BN76" s="440"/>
      <c r="BO76" s="440"/>
      <c r="BP76" s="440"/>
      <c r="BQ76" s="440"/>
      <c r="BR76" s="440"/>
      <c r="BS76" s="443"/>
      <c r="BT76" s="443">
        <v>1</v>
      </c>
      <c r="BU76" s="440"/>
      <c r="BV76" s="443"/>
      <c r="BW76" s="440"/>
      <c r="BX76" s="440"/>
      <c r="BY76" s="440"/>
      <c r="BZ76" s="440"/>
      <c r="CA76" s="440"/>
      <c r="CB76" s="440"/>
      <c r="CC76" s="440"/>
      <c r="CD76" s="440"/>
      <c r="CE76" s="440"/>
      <c r="CF76" s="440"/>
      <c r="CG76" s="440"/>
      <c r="CH76" s="440"/>
      <c r="CI76" s="440"/>
      <c r="CJ76" s="440"/>
      <c r="CK76" s="440"/>
      <c r="CL76" s="440"/>
      <c r="CM76" s="440"/>
      <c r="CN76" s="440"/>
      <c r="CO76" s="440"/>
      <c r="CP76" s="441">
        <v>12</v>
      </c>
      <c r="CQ76" s="441"/>
      <c r="CR76" s="441"/>
      <c r="CS76" s="441"/>
      <c r="CT76" s="441"/>
      <c r="CU76" s="441">
        <v>1</v>
      </c>
      <c r="CV76" s="440"/>
      <c r="CW76" s="440"/>
      <c r="CX76" s="441"/>
      <c r="CY76" s="440"/>
      <c r="CZ76" s="440"/>
      <c r="DA76" s="440"/>
      <c r="DB76" s="440"/>
      <c r="DC76" s="440"/>
      <c r="DD76" s="444"/>
      <c r="DE76" s="440"/>
      <c r="DF76" s="440"/>
      <c r="DG76" s="440"/>
      <c r="DH76" s="440"/>
      <c r="DI76" s="440"/>
      <c r="DJ76" s="440"/>
      <c r="DK76" s="440"/>
      <c r="DL76" s="440"/>
      <c r="DM76" s="440"/>
      <c r="DN76" s="440"/>
      <c r="DO76" s="440"/>
      <c r="DP76" s="440"/>
      <c r="DQ76" s="440"/>
      <c r="DR76" s="440"/>
      <c r="DS76" s="440"/>
      <c r="DT76" s="440"/>
      <c r="DU76" s="440"/>
      <c r="DV76" s="440"/>
      <c r="DW76" s="440"/>
      <c r="DX76" s="440"/>
      <c r="DY76" s="440"/>
      <c r="DZ76" s="440"/>
      <c r="EA76" s="440"/>
      <c r="EB76" s="440"/>
      <c r="EC76" s="445"/>
      <c r="ED76" s="454"/>
      <c r="EE76" s="449"/>
      <c r="EF76" s="448"/>
      <c r="EG76" s="448"/>
      <c r="EH76" s="448"/>
      <c r="EI76" s="448"/>
      <c r="EJ76" s="448"/>
      <c r="EK76" s="448"/>
      <c r="EL76" s="448"/>
      <c r="EM76" s="448"/>
      <c r="EN76" s="448"/>
      <c r="EO76" s="448"/>
      <c r="EP76" s="448"/>
      <c r="EQ76" s="448"/>
      <c r="ER76" s="448"/>
      <c r="ES76" s="448"/>
      <c r="ET76" s="447"/>
      <c r="EU76" s="450"/>
      <c r="EV76" s="451"/>
      <c r="EW76" s="452"/>
    </row>
    <row r="77" spans="1:153" ht="18.899999999999999" customHeight="1">
      <c r="A77" s="436" t="s">
        <v>1724</v>
      </c>
      <c r="B77" s="437">
        <v>45</v>
      </c>
      <c r="C77" s="438">
        <f t="shared" si="2"/>
        <v>3195</v>
      </c>
      <c r="D77" s="438"/>
      <c r="E77" s="438"/>
      <c r="F77" s="439"/>
      <c r="G77" s="440"/>
      <c r="H77" s="440" t="s">
        <v>621</v>
      </c>
      <c r="I77" s="440"/>
      <c r="J77" s="437">
        <v>1</v>
      </c>
      <c r="K77" s="440"/>
      <c r="L77" s="440"/>
      <c r="M77" s="440"/>
      <c r="N77" s="440"/>
      <c r="O77" s="440"/>
      <c r="P77" s="440"/>
      <c r="Q77" s="440"/>
      <c r="R77" s="440"/>
      <c r="S77" s="440"/>
      <c r="T77" s="440"/>
      <c r="U77" s="444">
        <v>1</v>
      </c>
      <c r="V77" s="440"/>
      <c r="W77" s="440"/>
      <c r="X77" s="440"/>
      <c r="Y77" s="440"/>
      <c r="Z77" s="440"/>
      <c r="AA77" s="440"/>
      <c r="AB77" s="440"/>
      <c r="AC77" s="440"/>
      <c r="AD77" s="440"/>
      <c r="AE77" s="440"/>
      <c r="AF77" s="440"/>
      <c r="AG77" s="440"/>
      <c r="AH77" s="440"/>
      <c r="AI77" s="440"/>
      <c r="AJ77" s="440"/>
      <c r="AK77" s="440"/>
      <c r="AL77" s="440"/>
      <c r="AM77" s="440"/>
      <c r="AN77" s="440"/>
      <c r="AO77" s="440"/>
      <c r="AP77" s="440"/>
      <c r="AQ77" s="440"/>
      <c r="AR77" s="440"/>
      <c r="AS77" s="440"/>
      <c r="AT77" s="441">
        <v>1</v>
      </c>
      <c r="AU77" s="440"/>
      <c r="AV77" s="440"/>
      <c r="AW77" s="440"/>
      <c r="AX77" s="440"/>
      <c r="AY77" s="440"/>
      <c r="AZ77" s="440"/>
      <c r="BA77" s="440"/>
      <c r="BB77" s="440"/>
      <c r="BC77" s="442">
        <v>1</v>
      </c>
      <c r="BD77" s="440"/>
      <c r="BE77" s="440"/>
      <c r="BF77" s="440"/>
      <c r="BG77" s="440"/>
      <c r="BH77" s="440"/>
      <c r="BI77" s="440"/>
      <c r="BJ77" s="440"/>
      <c r="BK77" s="440"/>
      <c r="BL77" s="440"/>
      <c r="BM77" s="440"/>
      <c r="BN77" s="440"/>
      <c r="BO77" s="440"/>
      <c r="BP77" s="440"/>
      <c r="BQ77" s="440"/>
      <c r="BR77" s="440"/>
      <c r="BS77" s="443"/>
      <c r="BT77" s="443">
        <v>1</v>
      </c>
      <c r="BU77" s="440"/>
      <c r="BV77" s="443"/>
      <c r="BW77" s="440"/>
      <c r="BX77" s="440"/>
      <c r="BY77" s="440"/>
      <c r="BZ77" s="440"/>
      <c r="CA77" s="440"/>
      <c r="CB77" s="440"/>
      <c r="CC77" s="440"/>
      <c r="CD77" s="440"/>
      <c r="CE77" s="440"/>
      <c r="CF77" s="440"/>
      <c r="CG77" s="440"/>
      <c r="CH77" s="440"/>
      <c r="CI77" s="440"/>
      <c r="CJ77" s="440"/>
      <c r="CK77" s="440"/>
      <c r="CL77" s="440"/>
      <c r="CM77" s="440"/>
      <c r="CN77" s="440"/>
      <c r="CO77" s="440"/>
      <c r="CP77" s="441">
        <v>12</v>
      </c>
      <c r="CQ77" s="441"/>
      <c r="CR77" s="441"/>
      <c r="CS77" s="441"/>
      <c r="CT77" s="441"/>
      <c r="CU77" s="441">
        <v>1</v>
      </c>
      <c r="CV77" s="440"/>
      <c r="CW77" s="440"/>
      <c r="CX77" s="441"/>
      <c r="CY77" s="440"/>
      <c r="CZ77" s="440"/>
      <c r="DA77" s="440"/>
      <c r="DB77" s="440"/>
      <c r="DC77" s="440"/>
      <c r="DD77" s="444"/>
      <c r="DE77" s="440"/>
      <c r="DF77" s="440"/>
      <c r="DG77" s="440"/>
      <c r="DH77" s="440"/>
      <c r="DI77" s="440"/>
      <c r="DJ77" s="440"/>
      <c r="DK77" s="440"/>
      <c r="DL77" s="440"/>
      <c r="DM77" s="440"/>
      <c r="DN77" s="440"/>
      <c r="DO77" s="440"/>
      <c r="DP77" s="440"/>
      <c r="DQ77" s="440"/>
      <c r="DR77" s="440"/>
      <c r="DS77" s="440"/>
      <c r="DT77" s="440"/>
      <c r="DU77" s="440"/>
      <c r="DV77" s="440"/>
      <c r="DW77" s="440"/>
      <c r="DX77" s="440"/>
      <c r="DY77" s="440"/>
      <c r="DZ77" s="440"/>
      <c r="EA77" s="440"/>
      <c r="EB77" s="440"/>
      <c r="EC77" s="445"/>
      <c r="ED77" s="454"/>
      <c r="EE77" s="449"/>
      <c r="EF77" s="448"/>
      <c r="EG77" s="448"/>
      <c r="EH77" s="448"/>
      <c r="EI77" s="448"/>
      <c r="EJ77" s="448"/>
      <c r="EK77" s="448"/>
      <c r="EL77" s="448"/>
      <c r="EM77" s="448"/>
      <c r="EN77" s="448"/>
      <c r="EO77" s="448"/>
      <c r="EP77" s="448"/>
      <c r="EQ77" s="448"/>
      <c r="ER77" s="448"/>
      <c r="ES77" s="448"/>
      <c r="ET77" s="447"/>
      <c r="EU77" s="450"/>
      <c r="EV77" s="451"/>
      <c r="EW77" s="452"/>
    </row>
    <row r="78" spans="1:153" ht="18.899999999999999" customHeight="1">
      <c r="A78" s="436" t="s">
        <v>1725</v>
      </c>
      <c r="B78" s="437">
        <v>35</v>
      </c>
      <c r="C78" s="438">
        <f t="shared" si="2"/>
        <v>3230</v>
      </c>
      <c r="D78" s="438"/>
      <c r="E78" s="438"/>
      <c r="F78" s="439"/>
      <c r="G78" s="440"/>
      <c r="H78" s="440" t="s">
        <v>621</v>
      </c>
      <c r="I78" s="440"/>
      <c r="J78" s="437">
        <v>1</v>
      </c>
      <c r="K78" s="440"/>
      <c r="L78" s="440"/>
      <c r="M78" s="440"/>
      <c r="N78" s="440"/>
      <c r="O78" s="440"/>
      <c r="P78" s="440"/>
      <c r="Q78" s="440"/>
      <c r="R78" s="440"/>
      <c r="S78" s="440"/>
      <c r="T78" s="440"/>
      <c r="U78" s="444">
        <v>1</v>
      </c>
      <c r="V78" s="440"/>
      <c r="W78" s="440"/>
      <c r="X78" s="440"/>
      <c r="Y78" s="440"/>
      <c r="Z78" s="440"/>
      <c r="AA78" s="440"/>
      <c r="AB78" s="440"/>
      <c r="AC78" s="440"/>
      <c r="AD78" s="440"/>
      <c r="AE78" s="440"/>
      <c r="AF78" s="440"/>
      <c r="AG78" s="440"/>
      <c r="AH78" s="440"/>
      <c r="AI78" s="440"/>
      <c r="AJ78" s="440"/>
      <c r="AK78" s="440"/>
      <c r="AL78" s="440"/>
      <c r="AM78" s="440"/>
      <c r="AN78" s="440"/>
      <c r="AO78" s="440"/>
      <c r="AP78" s="440"/>
      <c r="AQ78" s="440"/>
      <c r="AR78" s="440"/>
      <c r="AS78" s="440"/>
      <c r="AT78" s="441">
        <v>1</v>
      </c>
      <c r="AU78" s="440"/>
      <c r="AV78" s="440"/>
      <c r="AW78" s="440"/>
      <c r="AX78" s="440"/>
      <c r="AY78" s="440"/>
      <c r="AZ78" s="440"/>
      <c r="BA78" s="440"/>
      <c r="BB78" s="440"/>
      <c r="BC78" s="442">
        <v>1</v>
      </c>
      <c r="BD78" s="440"/>
      <c r="BE78" s="440"/>
      <c r="BF78" s="440"/>
      <c r="BG78" s="440"/>
      <c r="BH78" s="440"/>
      <c r="BI78" s="440"/>
      <c r="BJ78" s="440"/>
      <c r="BK78" s="440"/>
      <c r="BL78" s="440"/>
      <c r="BM78" s="440"/>
      <c r="BN78" s="440"/>
      <c r="BO78" s="440"/>
      <c r="BP78" s="440"/>
      <c r="BQ78" s="440"/>
      <c r="BR78" s="440"/>
      <c r="BS78" s="443"/>
      <c r="BT78" s="443">
        <v>1</v>
      </c>
      <c r="BU78" s="440"/>
      <c r="BV78" s="443"/>
      <c r="BW78" s="440"/>
      <c r="BX78" s="440"/>
      <c r="BY78" s="440"/>
      <c r="BZ78" s="440"/>
      <c r="CA78" s="440"/>
      <c r="CB78" s="440"/>
      <c r="CC78" s="440"/>
      <c r="CD78" s="440"/>
      <c r="CE78" s="440"/>
      <c r="CF78" s="440"/>
      <c r="CG78" s="440"/>
      <c r="CH78" s="440"/>
      <c r="CI78" s="440"/>
      <c r="CJ78" s="440"/>
      <c r="CK78" s="440"/>
      <c r="CL78" s="440"/>
      <c r="CM78" s="440"/>
      <c r="CN78" s="440"/>
      <c r="CO78" s="440"/>
      <c r="CP78" s="441">
        <v>12</v>
      </c>
      <c r="CQ78" s="441"/>
      <c r="CR78" s="441"/>
      <c r="CS78" s="441"/>
      <c r="CT78" s="441"/>
      <c r="CU78" s="441">
        <v>1</v>
      </c>
      <c r="CV78" s="440"/>
      <c r="CW78" s="440"/>
      <c r="CX78" s="441"/>
      <c r="CY78" s="440"/>
      <c r="CZ78" s="440"/>
      <c r="DA78" s="440"/>
      <c r="DB78" s="440"/>
      <c r="DC78" s="440"/>
      <c r="DD78" s="444"/>
      <c r="DE78" s="440"/>
      <c r="DF78" s="440"/>
      <c r="DG78" s="440"/>
      <c r="DH78" s="440"/>
      <c r="DI78" s="440"/>
      <c r="DJ78" s="440"/>
      <c r="DK78" s="440"/>
      <c r="DL78" s="440"/>
      <c r="DM78" s="440"/>
      <c r="DN78" s="440"/>
      <c r="DO78" s="440"/>
      <c r="DP78" s="440"/>
      <c r="DQ78" s="440"/>
      <c r="DR78" s="440"/>
      <c r="DS78" s="440"/>
      <c r="DT78" s="440"/>
      <c r="DU78" s="440"/>
      <c r="DV78" s="440"/>
      <c r="DW78" s="440"/>
      <c r="DX78" s="440"/>
      <c r="DY78" s="440"/>
      <c r="DZ78" s="440"/>
      <c r="EA78" s="440"/>
      <c r="EB78" s="440"/>
      <c r="EC78" s="445"/>
      <c r="ED78" s="454"/>
      <c r="EE78" s="449"/>
      <c r="EF78" s="448"/>
      <c r="EG78" s="448"/>
      <c r="EH78" s="448"/>
      <c r="EI78" s="448"/>
      <c r="EJ78" s="448"/>
      <c r="EK78" s="448"/>
      <c r="EL78" s="448"/>
      <c r="EM78" s="448"/>
      <c r="EN78" s="448"/>
      <c r="EO78" s="448"/>
      <c r="EP78" s="448"/>
      <c r="EQ78" s="448"/>
      <c r="ER78" s="448"/>
      <c r="ES78" s="448"/>
      <c r="ET78" s="447"/>
      <c r="EU78" s="450"/>
      <c r="EV78" s="451"/>
      <c r="EW78" s="452"/>
    </row>
    <row r="79" spans="1:153" ht="18.899999999999999" customHeight="1">
      <c r="A79" s="436" t="s">
        <v>1726</v>
      </c>
      <c r="B79" s="437">
        <v>65</v>
      </c>
      <c r="C79" s="438">
        <f t="shared" si="2"/>
        <v>3295</v>
      </c>
      <c r="D79" s="438"/>
      <c r="E79" s="438"/>
      <c r="F79" s="439"/>
      <c r="G79" s="440"/>
      <c r="H79" s="440" t="s">
        <v>621</v>
      </c>
      <c r="I79" s="440"/>
      <c r="J79" s="437">
        <v>1</v>
      </c>
      <c r="K79" s="440"/>
      <c r="L79" s="440"/>
      <c r="M79" s="440"/>
      <c r="N79" s="440"/>
      <c r="O79" s="440"/>
      <c r="P79" s="440"/>
      <c r="Q79" s="440"/>
      <c r="R79" s="440"/>
      <c r="S79" s="440"/>
      <c r="T79" s="440"/>
      <c r="U79" s="444">
        <v>1</v>
      </c>
      <c r="V79" s="440"/>
      <c r="W79" s="440"/>
      <c r="X79" s="440"/>
      <c r="Y79" s="440"/>
      <c r="Z79" s="440"/>
      <c r="AA79" s="440"/>
      <c r="AB79" s="440"/>
      <c r="AC79" s="440"/>
      <c r="AD79" s="440"/>
      <c r="AE79" s="440"/>
      <c r="AF79" s="440"/>
      <c r="AG79" s="440"/>
      <c r="AH79" s="440"/>
      <c r="AI79" s="440"/>
      <c r="AJ79" s="440"/>
      <c r="AK79" s="440"/>
      <c r="AL79" s="440"/>
      <c r="AM79" s="440"/>
      <c r="AN79" s="440"/>
      <c r="AO79" s="440"/>
      <c r="AP79" s="440"/>
      <c r="AQ79" s="440"/>
      <c r="AR79" s="440"/>
      <c r="AS79" s="440"/>
      <c r="AT79" s="441">
        <v>1</v>
      </c>
      <c r="AU79" s="440"/>
      <c r="AV79" s="440"/>
      <c r="AW79" s="440"/>
      <c r="AX79" s="440"/>
      <c r="AY79" s="440"/>
      <c r="AZ79" s="440"/>
      <c r="BA79" s="440"/>
      <c r="BB79" s="440"/>
      <c r="BC79" s="442">
        <v>1</v>
      </c>
      <c r="BD79" s="440"/>
      <c r="BE79" s="440"/>
      <c r="BF79" s="440"/>
      <c r="BG79" s="440"/>
      <c r="BH79" s="440"/>
      <c r="BI79" s="440"/>
      <c r="BJ79" s="440"/>
      <c r="BK79" s="440"/>
      <c r="BL79" s="440"/>
      <c r="BM79" s="440"/>
      <c r="BN79" s="440"/>
      <c r="BO79" s="440"/>
      <c r="BP79" s="440"/>
      <c r="BQ79" s="440"/>
      <c r="BR79" s="440"/>
      <c r="BS79" s="443"/>
      <c r="BT79" s="443">
        <v>1</v>
      </c>
      <c r="BU79" s="440"/>
      <c r="BV79" s="443"/>
      <c r="BW79" s="440"/>
      <c r="BX79" s="440"/>
      <c r="BY79" s="440"/>
      <c r="BZ79" s="440"/>
      <c r="CA79" s="440"/>
      <c r="CB79" s="440"/>
      <c r="CC79" s="440"/>
      <c r="CD79" s="440"/>
      <c r="CE79" s="440"/>
      <c r="CF79" s="440"/>
      <c r="CG79" s="440"/>
      <c r="CH79" s="440"/>
      <c r="CI79" s="440"/>
      <c r="CJ79" s="440"/>
      <c r="CK79" s="440"/>
      <c r="CL79" s="440"/>
      <c r="CM79" s="440"/>
      <c r="CN79" s="440"/>
      <c r="CO79" s="440"/>
      <c r="CP79" s="441">
        <v>12</v>
      </c>
      <c r="CQ79" s="441"/>
      <c r="CR79" s="441"/>
      <c r="CS79" s="441"/>
      <c r="CT79" s="441"/>
      <c r="CU79" s="441">
        <v>1</v>
      </c>
      <c r="CV79" s="440"/>
      <c r="CW79" s="440"/>
      <c r="CX79" s="441"/>
      <c r="CY79" s="440"/>
      <c r="CZ79" s="440"/>
      <c r="DA79" s="440"/>
      <c r="DB79" s="440"/>
      <c r="DC79" s="440"/>
      <c r="DD79" s="444"/>
      <c r="DE79" s="440"/>
      <c r="DF79" s="440"/>
      <c r="DG79" s="440"/>
      <c r="DH79" s="440"/>
      <c r="DI79" s="440"/>
      <c r="DJ79" s="440"/>
      <c r="DK79" s="440"/>
      <c r="DL79" s="440"/>
      <c r="DM79" s="440"/>
      <c r="DN79" s="440"/>
      <c r="DO79" s="440"/>
      <c r="DP79" s="440"/>
      <c r="DQ79" s="440"/>
      <c r="DR79" s="440"/>
      <c r="DS79" s="440"/>
      <c r="DT79" s="440"/>
      <c r="DU79" s="440"/>
      <c r="DV79" s="440"/>
      <c r="DW79" s="440"/>
      <c r="DX79" s="440"/>
      <c r="DY79" s="440"/>
      <c r="DZ79" s="440"/>
      <c r="EA79" s="440"/>
      <c r="EB79" s="440"/>
      <c r="EC79" s="445"/>
      <c r="ED79" s="454"/>
      <c r="EE79" s="449"/>
      <c r="EF79" s="448"/>
      <c r="EG79" s="448"/>
      <c r="EH79" s="448"/>
      <c r="EI79" s="448"/>
      <c r="EJ79" s="448"/>
      <c r="EK79" s="448"/>
      <c r="EL79" s="448"/>
      <c r="EM79" s="448"/>
      <c r="EN79" s="448"/>
      <c r="EO79" s="448"/>
      <c r="EP79" s="448"/>
      <c r="EQ79" s="448"/>
      <c r="ER79" s="448"/>
      <c r="ES79" s="448"/>
      <c r="ET79" s="447"/>
      <c r="EU79" s="450"/>
      <c r="EV79" s="451"/>
      <c r="EW79" s="452"/>
    </row>
    <row r="80" spans="1:153" ht="18.899999999999999" customHeight="1">
      <c r="A80" s="436" t="s">
        <v>1727</v>
      </c>
      <c r="B80" s="437">
        <v>60</v>
      </c>
      <c r="C80" s="438">
        <f t="shared" si="2"/>
        <v>3355</v>
      </c>
      <c r="D80" s="438"/>
      <c r="E80" s="438"/>
      <c r="F80" s="439"/>
      <c r="G80" s="440"/>
      <c r="H80" s="440" t="s">
        <v>546</v>
      </c>
      <c r="I80" s="440"/>
      <c r="J80" s="437">
        <v>2</v>
      </c>
      <c r="K80" s="440"/>
      <c r="L80" s="440"/>
      <c r="M80" s="440"/>
      <c r="N80" s="440"/>
      <c r="O80" s="440"/>
      <c r="P80" s="440"/>
      <c r="Q80" s="440"/>
      <c r="R80" s="440"/>
      <c r="S80" s="440"/>
      <c r="T80" s="440"/>
      <c r="U80" s="444">
        <v>2</v>
      </c>
      <c r="V80" s="440"/>
      <c r="W80" s="440"/>
      <c r="X80" s="440"/>
      <c r="Y80" s="440"/>
      <c r="Z80" s="440"/>
      <c r="AA80" s="440"/>
      <c r="AB80" s="440"/>
      <c r="AC80" s="440"/>
      <c r="AD80" s="440"/>
      <c r="AE80" s="440"/>
      <c r="AF80" s="440"/>
      <c r="AG80" s="440"/>
      <c r="AH80" s="440"/>
      <c r="AI80" s="440"/>
      <c r="AJ80" s="440"/>
      <c r="AK80" s="440"/>
      <c r="AL80" s="440"/>
      <c r="AM80" s="440"/>
      <c r="AN80" s="440"/>
      <c r="AO80" s="440"/>
      <c r="AP80" s="440"/>
      <c r="AQ80" s="440"/>
      <c r="AR80" s="440"/>
      <c r="AS80" s="440"/>
      <c r="AT80" s="441">
        <v>2</v>
      </c>
      <c r="AU80" s="440"/>
      <c r="AV80" s="440"/>
      <c r="AW80" s="440"/>
      <c r="AX80" s="440"/>
      <c r="AY80" s="440"/>
      <c r="AZ80" s="440"/>
      <c r="BA80" s="440"/>
      <c r="BB80" s="440"/>
      <c r="BC80" s="442">
        <v>2</v>
      </c>
      <c r="BD80" s="440"/>
      <c r="BE80" s="440"/>
      <c r="BF80" s="440"/>
      <c r="BG80" s="440"/>
      <c r="BH80" s="440"/>
      <c r="BI80" s="440"/>
      <c r="BJ80" s="440"/>
      <c r="BK80" s="440"/>
      <c r="BL80" s="440"/>
      <c r="BM80" s="440"/>
      <c r="BN80" s="440"/>
      <c r="BO80" s="440">
        <v>1</v>
      </c>
      <c r="BP80" s="440"/>
      <c r="BQ80" s="440"/>
      <c r="BR80" s="440"/>
      <c r="BS80" s="443">
        <v>2</v>
      </c>
      <c r="BT80" s="443"/>
      <c r="BU80" s="440"/>
      <c r="BV80" s="443"/>
      <c r="BW80" s="440"/>
      <c r="BX80" s="440"/>
      <c r="BY80" s="440"/>
      <c r="BZ80" s="440"/>
      <c r="CA80" s="440"/>
      <c r="CB80" s="440"/>
      <c r="CC80" s="440"/>
      <c r="CD80" s="440"/>
      <c r="CE80" s="440">
        <v>2</v>
      </c>
      <c r="CF80" s="440"/>
      <c r="CG80" s="440"/>
      <c r="CH80" s="440"/>
      <c r="CI80" s="440"/>
      <c r="CJ80" s="440"/>
      <c r="CK80" s="440">
        <v>1</v>
      </c>
      <c r="CL80" s="440"/>
      <c r="CM80" s="440"/>
      <c r="CN80" s="440"/>
      <c r="CO80" s="440"/>
      <c r="CP80" s="441">
        <v>6</v>
      </c>
      <c r="CQ80" s="441">
        <v>6</v>
      </c>
      <c r="CR80" s="441"/>
      <c r="CS80" s="441">
        <v>1</v>
      </c>
      <c r="CT80" s="441">
        <v>6</v>
      </c>
      <c r="CU80" s="441">
        <v>1</v>
      </c>
      <c r="CV80" s="440"/>
      <c r="CW80" s="440"/>
      <c r="CX80" s="441">
        <v>1</v>
      </c>
      <c r="CY80" s="440"/>
      <c r="CZ80" s="440"/>
      <c r="DA80" s="440"/>
      <c r="DB80" s="440">
        <v>2</v>
      </c>
      <c r="DC80" s="440"/>
      <c r="DD80" s="444">
        <v>6</v>
      </c>
      <c r="DE80" s="440"/>
      <c r="DF80" s="440"/>
      <c r="DG80" s="440"/>
      <c r="DH80" s="440"/>
      <c r="DI80" s="440"/>
      <c r="DJ80" s="440"/>
      <c r="DK80" s="440"/>
      <c r="DL80" s="440"/>
      <c r="DM80" s="440"/>
      <c r="DN80" s="440"/>
      <c r="DO80" s="440"/>
      <c r="DP80" s="440"/>
      <c r="DQ80" s="440"/>
      <c r="DR80" s="440"/>
      <c r="DS80" s="440"/>
      <c r="DT80" s="440"/>
      <c r="DU80" s="440"/>
      <c r="DV80" s="440"/>
      <c r="DW80" s="440"/>
      <c r="DX80" s="440"/>
      <c r="DY80" s="440"/>
      <c r="DZ80" s="440"/>
      <c r="EA80" s="440"/>
      <c r="EB80" s="440"/>
      <c r="EC80" s="445"/>
      <c r="ED80" s="454"/>
      <c r="EE80" s="449"/>
      <c r="EF80" s="448"/>
      <c r="EG80" s="448"/>
      <c r="EH80" s="448"/>
      <c r="EI80" s="448"/>
      <c r="EJ80" s="448"/>
      <c r="EK80" s="448"/>
      <c r="EL80" s="448"/>
      <c r="EM80" s="448"/>
      <c r="EN80" s="448"/>
      <c r="EO80" s="448"/>
      <c r="EP80" s="448"/>
      <c r="EQ80" s="448"/>
      <c r="ER80" s="448"/>
      <c r="ES80" s="448"/>
      <c r="ET80" s="447"/>
      <c r="EU80" s="450"/>
      <c r="EV80" s="451"/>
      <c r="EW80" s="452"/>
    </row>
    <row r="81" spans="1:142" s="433" customFormat="1" ht="13.8">
      <c r="A81" s="458"/>
      <c r="B81" s="459"/>
      <c r="C81" s="460"/>
      <c r="D81" s="460"/>
      <c r="E81" s="460"/>
      <c r="F81" s="459"/>
      <c r="G81" s="459"/>
      <c r="H81" s="459"/>
      <c r="I81" s="459"/>
      <c r="J81" s="459"/>
      <c r="K81" s="459"/>
      <c r="L81" s="459"/>
      <c r="M81" s="459"/>
      <c r="N81" s="459"/>
      <c r="O81" s="459"/>
      <c r="P81" s="459"/>
      <c r="Q81" s="459"/>
      <c r="R81" s="459"/>
      <c r="S81" s="459"/>
      <c r="T81" s="459"/>
      <c r="U81" s="459"/>
      <c r="V81" s="459"/>
      <c r="W81" s="459"/>
      <c r="X81" s="459"/>
      <c r="Y81" s="459"/>
      <c r="Z81" s="459"/>
      <c r="AA81" s="459"/>
      <c r="AB81" s="459"/>
      <c r="AC81" s="459"/>
      <c r="AD81" s="459"/>
      <c r="AE81" s="459"/>
      <c r="AF81" s="459"/>
      <c r="AG81" s="459"/>
      <c r="AH81" s="459"/>
      <c r="AI81" s="459"/>
      <c r="AJ81" s="459"/>
      <c r="AK81" s="459"/>
      <c r="AL81" s="459"/>
      <c r="AM81" s="459"/>
      <c r="AN81" s="459"/>
      <c r="AO81" s="459"/>
      <c r="AP81" s="459"/>
      <c r="AQ81" s="459"/>
      <c r="AR81" s="459"/>
      <c r="AS81" s="459"/>
      <c r="AT81" s="459"/>
      <c r="AU81" s="459"/>
      <c r="AV81" s="459"/>
      <c r="AW81" s="459"/>
      <c r="AX81" s="459"/>
      <c r="AY81" s="459"/>
      <c r="AZ81" s="461"/>
      <c r="BA81" s="461"/>
      <c r="BB81" s="461"/>
      <c r="BC81" s="461"/>
      <c r="BD81" s="461"/>
      <c r="BE81" s="461"/>
      <c r="BF81" s="461"/>
      <c r="BG81" s="461"/>
      <c r="BH81" s="461"/>
      <c r="BI81" s="461"/>
      <c r="BJ81" s="461"/>
      <c r="BK81" s="461"/>
      <c r="BL81" s="461"/>
      <c r="BM81" s="461"/>
      <c r="BN81" s="461"/>
      <c r="BO81" s="461"/>
      <c r="BP81" s="461"/>
      <c r="BQ81" s="461"/>
      <c r="BR81" s="461"/>
      <c r="BS81" s="461"/>
      <c r="BT81" s="461"/>
      <c r="BU81" s="461"/>
      <c r="BV81" s="461"/>
      <c r="BW81" s="461"/>
      <c r="BX81" s="461"/>
      <c r="BY81" s="461"/>
      <c r="BZ81" s="461"/>
      <c r="CA81" s="461"/>
      <c r="CB81" s="461"/>
      <c r="CC81" s="461"/>
      <c r="CD81" s="461"/>
      <c r="CE81" s="461"/>
      <c r="CF81" s="461"/>
      <c r="CG81" s="461"/>
      <c r="CH81" s="461"/>
      <c r="CI81" s="461"/>
      <c r="CJ81" s="461"/>
      <c r="CK81" s="461"/>
      <c r="CL81" s="461"/>
      <c r="CM81" s="461"/>
      <c r="CN81" s="459"/>
      <c r="CO81" s="459"/>
      <c r="CP81" s="459"/>
      <c r="CQ81" s="459"/>
      <c r="CR81" s="459"/>
      <c r="CS81" s="459"/>
      <c r="CT81" s="459"/>
      <c r="CU81" s="459"/>
      <c r="CV81" s="459"/>
      <c r="CW81" s="459"/>
      <c r="CX81" s="459"/>
      <c r="CY81" s="459"/>
      <c r="CZ81" s="459"/>
      <c r="DA81" s="459"/>
      <c r="DB81" s="459"/>
      <c r="DC81" s="459"/>
      <c r="DD81" s="459"/>
      <c r="DE81" s="459"/>
      <c r="DF81" s="459"/>
      <c r="DG81" s="459"/>
      <c r="DH81" s="459"/>
      <c r="DI81" s="459"/>
      <c r="DJ81" s="459"/>
      <c r="DK81" s="459"/>
      <c r="DL81" s="459"/>
      <c r="DM81" s="462"/>
      <c r="DN81" s="462"/>
      <c r="DO81" s="462"/>
      <c r="DP81" s="462"/>
      <c r="DQ81" s="462"/>
      <c r="DR81" s="462"/>
      <c r="DS81" s="462"/>
      <c r="DT81" s="459"/>
      <c r="DU81" s="459"/>
      <c r="DV81" s="459"/>
      <c r="DW81" s="459"/>
      <c r="DX81" s="459"/>
      <c r="DY81" s="459"/>
      <c r="DZ81" s="459"/>
      <c r="EA81" s="459"/>
      <c r="EB81" s="459"/>
      <c r="EC81" s="463"/>
      <c r="EE81" s="464" t="s">
        <v>1175</v>
      </c>
      <c r="EF81" s="464" t="s">
        <v>1484</v>
      </c>
      <c r="EG81" s="464" t="s">
        <v>101</v>
      </c>
      <c r="EH81" s="464" t="s">
        <v>1141</v>
      </c>
      <c r="EI81" s="464" t="s">
        <v>1142</v>
      </c>
      <c r="EJ81" s="464" t="s">
        <v>1143</v>
      </c>
      <c r="EK81" s="464" t="s">
        <v>1144</v>
      </c>
    </row>
    <row r="82" spans="1:142" s="469" customFormat="1" ht="18.899999999999999" customHeight="1" thickBot="1">
      <c r="A82" s="412" t="s">
        <v>2600</v>
      </c>
      <c r="B82" s="465"/>
      <c r="C82" s="466"/>
      <c r="D82" s="466"/>
      <c r="E82" s="466"/>
      <c r="F82" s="466"/>
      <c r="G82" s="466"/>
      <c r="H82" s="466"/>
      <c r="I82" s="466"/>
      <c r="J82" s="466"/>
      <c r="K82" s="466"/>
      <c r="L82" s="466"/>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466"/>
      <c r="AN82" s="466"/>
      <c r="AO82" s="466"/>
      <c r="AP82" s="466"/>
      <c r="AQ82" s="466"/>
      <c r="AR82" s="466"/>
      <c r="AS82" s="466"/>
      <c r="AT82" s="466"/>
      <c r="AU82" s="466"/>
      <c r="AV82" s="466"/>
      <c r="AW82" s="466"/>
      <c r="AX82" s="466"/>
      <c r="AY82" s="466"/>
      <c r="AZ82" s="466"/>
      <c r="BA82" s="466"/>
      <c r="BB82" s="466"/>
      <c r="BC82" s="466"/>
      <c r="BD82" s="466"/>
      <c r="BE82" s="466"/>
      <c r="BF82" s="466"/>
      <c r="BG82" s="466"/>
      <c r="BH82" s="466"/>
      <c r="BI82" s="466"/>
      <c r="BJ82" s="466"/>
      <c r="BK82" s="466"/>
      <c r="BL82" s="466"/>
      <c r="BM82" s="466"/>
      <c r="BN82" s="466"/>
      <c r="BO82" s="466"/>
      <c r="BP82" s="466"/>
      <c r="BQ82" s="466"/>
      <c r="BR82" s="466"/>
      <c r="BS82" s="466"/>
      <c r="BT82" s="466"/>
      <c r="BU82" s="466"/>
      <c r="BV82" s="466"/>
      <c r="BW82" s="466"/>
      <c r="BX82" s="466"/>
      <c r="BY82" s="466"/>
      <c r="BZ82" s="466"/>
      <c r="CA82" s="466"/>
      <c r="CB82" s="466"/>
      <c r="CC82" s="466"/>
      <c r="CD82" s="466"/>
      <c r="CE82" s="466"/>
      <c r="CF82" s="466"/>
      <c r="CG82" s="466"/>
      <c r="CH82" s="466"/>
      <c r="CI82" s="466"/>
      <c r="CJ82" s="466"/>
      <c r="CK82" s="466"/>
      <c r="CL82" s="466"/>
      <c r="CM82" s="466"/>
      <c r="CN82" s="466"/>
      <c r="CO82" s="466"/>
      <c r="CP82" s="466"/>
      <c r="CQ82" s="466"/>
      <c r="CR82" s="466"/>
      <c r="CS82" s="466"/>
      <c r="CT82" s="466"/>
      <c r="CU82" s="466"/>
      <c r="CV82" s="466"/>
      <c r="CW82" s="466"/>
      <c r="CX82" s="466"/>
      <c r="CY82" s="466"/>
      <c r="CZ82" s="466"/>
      <c r="DA82" s="466"/>
      <c r="DB82" s="466"/>
      <c r="DC82" s="466"/>
      <c r="DD82" s="466"/>
      <c r="DE82" s="466"/>
      <c r="DF82" s="466"/>
      <c r="DG82" s="466"/>
      <c r="DH82" s="466"/>
      <c r="DI82" s="466"/>
      <c r="DJ82" s="466"/>
      <c r="DK82" s="466"/>
      <c r="DL82" s="466"/>
      <c r="DM82" s="466"/>
      <c r="DN82" s="466"/>
      <c r="DO82" s="466"/>
      <c r="DP82" s="466"/>
      <c r="DQ82" s="466"/>
      <c r="DR82" s="466"/>
      <c r="DS82" s="466"/>
      <c r="DT82" s="466"/>
      <c r="DU82" s="466"/>
      <c r="DV82" s="466"/>
      <c r="DW82" s="466"/>
      <c r="DX82" s="466"/>
      <c r="DY82" s="466"/>
      <c r="DZ82" s="466"/>
      <c r="EA82" s="466"/>
      <c r="EB82" s="466"/>
      <c r="EC82" s="467"/>
      <c r="ED82" s="468"/>
      <c r="EF82" s="470"/>
      <c r="EG82" s="471"/>
      <c r="EH82" s="471"/>
      <c r="EI82" s="471"/>
      <c r="EJ82" s="471"/>
      <c r="EK82" s="472"/>
      <c r="EL82" s="468"/>
    </row>
    <row r="83" spans="1:142" ht="18.899999999999999" customHeight="1">
      <c r="A83" s="473"/>
      <c r="B83" s="473"/>
      <c r="C83" s="474"/>
      <c r="D83" s="474"/>
      <c r="E83" s="474"/>
      <c r="F83" s="473"/>
      <c r="G83" s="473"/>
      <c r="H83" s="475"/>
      <c r="I83" s="413" t="s">
        <v>3893</v>
      </c>
      <c r="J83" s="476"/>
      <c r="K83" s="476"/>
      <c r="L83" s="476"/>
      <c r="M83" s="475"/>
      <c r="N83" s="475"/>
      <c r="O83" s="475"/>
      <c r="P83" s="475"/>
      <c r="Q83" s="475"/>
      <c r="R83" s="475"/>
      <c r="S83" s="475"/>
      <c r="T83" s="475"/>
      <c r="U83" s="475"/>
      <c r="V83" s="475"/>
      <c r="W83" s="475"/>
      <c r="X83" s="475"/>
      <c r="Y83" s="475"/>
      <c r="Z83" s="475"/>
      <c r="AA83" s="475"/>
      <c r="AB83" s="475"/>
      <c r="AC83" s="475"/>
      <c r="AD83" s="475"/>
      <c r="AE83" s="475"/>
      <c r="AF83" s="475"/>
      <c r="AG83" s="475"/>
      <c r="AH83" s="475"/>
      <c r="AI83" s="475"/>
      <c r="AJ83" s="475"/>
      <c r="AK83" s="475"/>
      <c r="AL83" s="475"/>
      <c r="AM83" s="475"/>
      <c r="AN83" s="475"/>
      <c r="AO83" s="473"/>
      <c r="AP83" s="473"/>
      <c r="AQ83" s="473"/>
      <c r="AR83" s="473"/>
      <c r="AS83" s="473"/>
      <c r="AT83" s="473"/>
      <c r="AU83" s="473"/>
      <c r="AV83" s="473"/>
      <c r="AW83" s="473"/>
      <c r="AX83" s="473"/>
      <c r="AY83" s="473"/>
      <c r="AZ83" s="473"/>
      <c r="BA83" s="473"/>
      <c r="BB83" s="475"/>
      <c r="BC83" s="475"/>
      <c r="BD83" s="475"/>
      <c r="BE83" s="475"/>
      <c r="BF83" s="475"/>
      <c r="BG83" s="475"/>
      <c r="BH83" s="475"/>
      <c r="BI83" s="475"/>
      <c r="BJ83" s="475"/>
      <c r="BK83" s="475"/>
      <c r="BL83" s="475"/>
      <c r="BM83" s="475"/>
      <c r="BN83" s="475"/>
      <c r="BO83" s="473"/>
      <c r="BP83" s="473"/>
      <c r="BQ83" s="473"/>
      <c r="BR83" s="473"/>
      <c r="BS83" s="475"/>
      <c r="BT83" s="475"/>
      <c r="BU83" s="475"/>
      <c r="BV83" s="475"/>
      <c r="BW83" s="475"/>
      <c r="BY83" s="475"/>
      <c r="BZ83" s="475"/>
      <c r="CA83" s="475"/>
      <c r="CB83" s="475"/>
      <c r="CC83" s="475"/>
      <c r="CD83" s="475"/>
      <c r="CE83" s="475"/>
      <c r="CF83" s="475"/>
      <c r="CH83" s="475"/>
      <c r="CI83" s="475"/>
      <c r="CJ83" s="475"/>
      <c r="CK83" s="475"/>
      <c r="CL83" s="475"/>
      <c r="CM83" s="475"/>
      <c r="CN83" s="477"/>
      <c r="CO83" s="477"/>
      <c r="CP83" s="477"/>
      <c r="CQ83" s="477"/>
      <c r="CR83" s="477"/>
      <c r="CS83" s="477"/>
      <c r="CT83" s="477"/>
      <c r="CU83" s="477"/>
      <c r="CV83" s="477"/>
      <c r="CW83" s="477"/>
      <c r="CX83" s="477"/>
      <c r="CY83" s="478"/>
      <c r="CZ83" s="478"/>
      <c r="DA83" s="478"/>
      <c r="DB83" s="478"/>
      <c r="DC83" s="478"/>
      <c r="DD83" s="478"/>
      <c r="DE83" s="478"/>
      <c r="DF83" s="478"/>
      <c r="DG83" s="478"/>
      <c r="DH83" s="478"/>
      <c r="DI83" s="478"/>
      <c r="DJ83" s="478"/>
      <c r="DK83" s="478"/>
      <c r="DL83" s="478"/>
      <c r="DM83" s="478"/>
      <c r="DN83" s="478"/>
      <c r="DO83" s="478"/>
      <c r="DP83" s="478"/>
      <c r="DQ83" s="478"/>
      <c r="DR83" s="478"/>
      <c r="DS83" s="478"/>
      <c r="DT83" s="478"/>
      <c r="DU83" s="478"/>
      <c r="DV83" s="478"/>
      <c r="DW83" s="478"/>
      <c r="DX83" s="478"/>
      <c r="DY83" s="478"/>
      <c r="DZ83" s="478"/>
      <c r="EA83" s="477"/>
      <c r="EB83" s="477"/>
      <c r="EE83" s="480">
        <v>50</v>
      </c>
      <c r="EF83" s="480">
        <v>70</v>
      </c>
      <c r="EG83" s="480">
        <v>95</v>
      </c>
      <c r="EH83" s="480">
        <v>120</v>
      </c>
      <c r="EI83" s="480">
        <v>150</v>
      </c>
      <c r="EJ83" s="480">
        <v>185</v>
      </c>
      <c r="EK83" s="480">
        <v>240</v>
      </c>
    </row>
    <row r="84" spans="1:142" ht="18.899999999999999" customHeight="1">
      <c r="A84" s="481" t="s">
        <v>728</v>
      </c>
      <c r="B84" s="473" t="s">
        <v>2178</v>
      </c>
      <c r="C84" s="482">
        <f>2*3*C82</f>
        <v>0</v>
      </c>
      <c r="D84" s="482"/>
      <c r="E84" s="483" t="s">
        <v>1827</v>
      </c>
      <c r="F84" s="473"/>
      <c r="G84" s="484"/>
      <c r="H84" s="475"/>
      <c r="I84" s="481" t="s">
        <v>728</v>
      </c>
      <c r="J84" s="473" t="s">
        <v>2178</v>
      </c>
      <c r="K84" s="473"/>
      <c r="L84" s="485">
        <f t="shared" ref="L84:L100" si="3">C84*1.03</f>
        <v>0</v>
      </c>
      <c r="M84" s="486"/>
      <c r="N84" s="475" t="s">
        <v>1827</v>
      </c>
      <c r="O84" s="475"/>
      <c r="P84" s="475"/>
      <c r="Q84" s="475"/>
      <c r="R84" s="475"/>
      <c r="S84" s="475"/>
      <c r="T84" s="475"/>
      <c r="U84" s="475"/>
      <c r="V84" s="475"/>
      <c r="W84" s="475"/>
      <c r="X84" s="475"/>
      <c r="Y84" s="475"/>
      <c r="Z84" s="475"/>
      <c r="AA84" s="475"/>
      <c r="AB84" s="475"/>
      <c r="AC84" s="475"/>
      <c r="AD84" s="475"/>
      <c r="AE84" s="475"/>
      <c r="AF84" s="475"/>
      <c r="AG84" s="475"/>
      <c r="AH84" s="475"/>
      <c r="AI84" s="475"/>
      <c r="AJ84" s="475"/>
      <c r="AK84" s="475"/>
      <c r="AL84" s="475"/>
      <c r="AM84" s="475"/>
      <c r="AN84" s="475"/>
      <c r="AO84" s="473"/>
      <c r="AP84" s="473"/>
      <c r="AQ84" s="473"/>
      <c r="AR84" s="473"/>
      <c r="AS84" s="473"/>
      <c r="AT84" s="473"/>
      <c r="AU84" s="473"/>
      <c r="AV84" s="473"/>
      <c r="AW84" s="473"/>
      <c r="AX84" s="473"/>
      <c r="AY84" s="473"/>
      <c r="AZ84" s="473"/>
      <c r="BA84" s="473"/>
      <c r="BB84" s="475"/>
      <c r="BC84" s="475"/>
      <c r="BD84" s="475"/>
      <c r="BE84" s="475"/>
      <c r="BF84" s="475"/>
      <c r="BG84" s="475"/>
      <c r="BH84" s="475"/>
      <c r="BI84" s="475"/>
      <c r="BJ84" s="475"/>
      <c r="BK84" s="475"/>
      <c r="BL84" s="475"/>
      <c r="BM84" s="475"/>
      <c r="BN84" s="475"/>
      <c r="BO84" s="473"/>
      <c r="BP84" s="473"/>
      <c r="BQ84" s="473"/>
      <c r="BR84" s="473"/>
      <c r="BS84" s="475"/>
      <c r="BT84" s="475"/>
      <c r="BU84" s="475"/>
      <c r="BV84" s="475"/>
      <c r="BW84" s="475"/>
      <c r="BX84" s="475"/>
      <c r="BY84" s="475"/>
      <c r="BZ84" s="475"/>
      <c r="CA84" s="475"/>
      <c r="CB84" s="475"/>
      <c r="CC84" s="475"/>
      <c r="CD84" s="475"/>
      <c r="CE84" s="475"/>
      <c r="CF84" s="475"/>
      <c r="CG84" s="475"/>
      <c r="CH84" s="475"/>
      <c r="CI84" s="475"/>
      <c r="CJ84" s="475"/>
      <c r="CK84" s="475"/>
      <c r="CL84" s="475"/>
      <c r="CM84" s="475"/>
      <c r="CN84" s="477"/>
      <c r="CO84" s="477"/>
      <c r="CP84" s="477"/>
      <c r="CQ84" s="477"/>
      <c r="CR84" s="477"/>
      <c r="CS84" s="477"/>
      <c r="CT84" s="477"/>
      <c r="CU84" s="477"/>
      <c r="CV84" s="477"/>
      <c r="CW84" s="477"/>
      <c r="CX84" s="477"/>
      <c r="CY84" s="478"/>
      <c r="CZ84" s="478"/>
      <c r="DA84" s="478"/>
      <c r="DB84" s="478"/>
      <c r="DC84" s="478"/>
      <c r="DD84" s="478"/>
      <c r="DE84" s="478"/>
      <c r="DF84" s="478"/>
      <c r="DG84" s="478"/>
      <c r="DH84" s="478"/>
      <c r="DI84" s="478"/>
      <c r="DJ84" s="478"/>
      <c r="DK84" s="478"/>
      <c r="DL84" s="478"/>
      <c r="DM84" s="478"/>
      <c r="DN84" s="478"/>
      <c r="DO84" s="478"/>
      <c r="DP84" s="478"/>
      <c r="DQ84" s="478"/>
      <c r="DR84" s="478"/>
      <c r="DS84" s="478"/>
      <c r="DT84" s="478"/>
      <c r="DU84" s="478"/>
      <c r="DV84" s="478"/>
      <c r="DW84" s="478"/>
      <c r="DX84" s="478"/>
      <c r="DY84" s="478"/>
      <c r="DZ84" s="478"/>
      <c r="EA84" s="477"/>
      <c r="EB84" s="477"/>
    </row>
    <row r="85" spans="1:142" ht="18.899999999999999" customHeight="1">
      <c r="A85" s="481" t="s">
        <v>729</v>
      </c>
      <c r="B85" s="473" t="s">
        <v>2178</v>
      </c>
      <c r="C85" s="482"/>
      <c r="D85" s="482"/>
      <c r="E85" s="483" t="s">
        <v>1827</v>
      </c>
      <c r="F85" s="473"/>
      <c r="G85" s="484"/>
      <c r="H85" s="475"/>
      <c r="I85" s="481" t="s">
        <v>729</v>
      </c>
      <c r="J85" s="473" t="s">
        <v>2178</v>
      </c>
      <c r="K85" s="473"/>
      <c r="L85" s="485">
        <f>C85*1.02</f>
        <v>0</v>
      </c>
      <c r="M85" s="486"/>
      <c r="N85" s="475" t="s">
        <v>1827</v>
      </c>
      <c r="O85" s="475"/>
      <c r="P85" s="475"/>
      <c r="Q85" s="475"/>
      <c r="R85" s="475"/>
      <c r="S85" s="475"/>
      <c r="T85" s="475"/>
      <c r="U85" s="475"/>
      <c r="V85" s="475"/>
      <c r="W85" s="475"/>
      <c r="X85" s="475"/>
      <c r="Y85" s="475"/>
      <c r="Z85" s="475"/>
      <c r="AA85" s="475"/>
      <c r="AB85" s="475"/>
      <c r="AC85" s="475"/>
      <c r="AD85" s="475"/>
      <c r="AE85" s="475"/>
      <c r="AF85" s="475"/>
      <c r="AG85" s="475"/>
      <c r="AH85" s="475"/>
      <c r="AI85" s="475"/>
      <c r="AJ85" s="475"/>
      <c r="AK85" s="475"/>
      <c r="AL85" s="475"/>
      <c r="AM85" s="475"/>
      <c r="AN85" s="475"/>
      <c r="AO85" s="473"/>
      <c r="AP85" s="473"/>
      <c r="AQ85" s="473"/>
      <c r="AR85" s="473"/>
      <c r="AS85" s="473"/>
      <c r="AT85" s="473"/>
      <c r="AU85" s="473"/>
      <c r="AV85" s="473"/>
      <c r="AW85" s="473"/>
      <c r="AX85" s="473"/>
      <c r="AY85" s="473"/>
      <c r="AZ85" s="473"/>
      <c r="BA85" s="473"/>
      <c r="BB85" s="475"/>
      <c r="BC85" s="475"/>
      <c r="BD85" s="475"/>
      <c r="BE85" s="475"/>
      <c r="BF85" s="475"/>
      <c r="BG85" s="475"/>
      <c r="BH85" s="475"/>
      <c r="BI85" s="475"/>
      <c r="BJ85" s="475"/>
      <c r="BK85" s="475"/>
      <c r="BL85" s="475"/>
      <c r="BM85" s="475"/>
      <c r="BN85" s="475"/>
      <c r="BO85" s="473"/>
      <c r="BP85" s="473"/>
      <c r="BQ85" s="473"/>
      <c r="BR85" s="473"/>
      <c r="BS85" s="475"/>
      <c r="BT85" s="475"/>
      <c r="BU85" s="475"/>
      <c r="BV85" s="475"/>
      <c r="BW85" s="475"/>
      <c r="BX85" s="475"/>
      <c r="BY85" s="475"/>
      <c r="BZ85" s="475"/>
      <c r="CA85" s="475"/>
      <c r="CB85" s="475"/>
      <c r="CC85" s="475"/>
      <c r="CD85" s="475"/>
      <c r="CE85" s="475"/>
      <c r="CF85" s="475"/>
      <c r="CG85" s="475"/>
      <c r="CH85" s="475"/>
      <c r="CI85" s="475"/>
      <c r="CJ85" s="475"/>
      <c r="CK85" s="475"/>
      <c r="CL85" s="475"/>
      <c r="CM85" s="475"/>
      <c r="CN85" s="477"/>
      <c r="CO85" s="477"/>
      <c r="CP85" s="477"/>
      <c r="CQ85" s="477"/>
      <c r="CR85" s="477"/>
      <c r="CS85" s="477"/>
      <c r="CT85" s="477"/>
      <c r="CU85" s="477"/>
      <c r="CV85" s="477"/>
      <c r="CW85" s="477"/>
      <c r="CX85" s="477"/>
      <c r="CY85" s="478"/>
      <c r="CZ85" s="478"/>
      <c r="DA85" s="478"/>
      <c r="DB85" s="478"/>
      <c r="DC85" s="478"/>
      <c r="DD85" s="478"/>
      <c r="DE85" s="478"/>
      <c r="DF85" s="478"/>
      <c r="DG85" s="478"/>
      <c r="DH85" s="478"/>
      <c r="DI85" s="478"/>
      <c r="DJ85" s="478"/>
      <c r="DK85" s="478"/>
      <c r="DL85" s="478"/>
      <c r="DM85" s="478"/>
      <c r="DN85" s="478"/>
      <c r="DO85" s="478"/>
      <c r="DP85" s="478"/>
      <c r="DQ85" s="478"/>
      <c r="DR85" s="478"/>
      <c r="DS85" s="478"/>
      <c r="DT85" s="478"/>
      <c r="DU85" s="478"/>
      <c r="DV85" s="478"/>
      <c r="DW85" s="478"/>
      <c r="DX85" s="478"/>
      <c r="DY85" s="478"/>
      <c r="DZ85" s="478"/>
      <c r="EA85" s="477"/>
      <c r="EB85" s="477"/>
    </row>
    <row r="86" spans="1:142" ht="18.899999999999999" customHeight="1">
      <c r="A86" s="481" t="s">
        <v>841</v>
      </c>
      <c r="B86" s="473" t="s">
        <v>2178</v>
      </c>
      <c r="C86" s="482">
        <f>C82</f>
        <v>0</v>
      </c>
      <c r="D86" s="482"/>
      <c r="E86" s="483" t="s">
        <v>1827</v>
      </c>
      <c r="F86" s="473"/>
      <c r="G86" s="484"/>
      <c r="H86" s="475"/>
      <c r="I86" s="481" t="s">
        <v>841</v>
      </c>
      <c r="J86" s="473" t="s">
        <v>2178</v>
      </c>
      <c r="K86" s="473"/>
      <c r="L86" s="485">
        <f t="shared" si="3"/>
        <v>0</v>
      </c>
      <c r="M86" s="486"/>
      <c r="N86" s="475" t="s">
        <v>1827</v>
      </c>
      <c r="O86" s="475"/>
      <c r="P86" s="475"/>
      <c r="Q86" s="475"/>
      <c r="R86" s="475"/>
      <c r="S86" s="475"/>
      <c r="T86" s="475"/>
      <c r="U86" s="475"/>
      <c r="V86" s="475"/>
      <c r="W86" s="475"/>
      <c r="X86" s="475"/>
      <c r="Y86" s="475"/>
      <c r="Z86" s="475"/>
      <c r="AA86" s="475"/>
      <c r="AB86" s="475"/>
      <c r="AC86" s="475"/>
      <c r="AD86" s="475"/>
      <c r="AE86" s="475"/>
      <c r="AF86" s="475"/>
      <c r="AG86" s="475"/>
      <c r="AH86" s="475"/>
      <c r="AI86" s="475"/>
      <c r="AJ86" s="475"/>
      <c r="AK86" s="475"/>
      <c r="AL86" s="475"/>
      <c r="AM86" s="475"/>
      <c r="AN86" s="475"/>
      <c r="AO86" s="473"/>
      <c r="AP86" s="473"/>
      <c r="AQ86" s="473"/>
      <c r="AR86" s="473"/>
      <c r="AS86" s="473"/>
      <c r="AT86" s="473"/>
      <c r="AU86" s="473"/>
      <c r="AV86" s="473"/>
      <c r="AW86" s="473"/>
      <c r="AX86" s="473"/>
      <c r="AY86" s="473"/>
      <c r="AZ86" s="473"/>
      <c r="BA86" s="473"/>
      <c r="BB86" s="475"/>
      <c r="BC86" s="475"/>
      <c r="BD86" s="475"/>
      <c r="BE86" s="475"/>
      <c r="BF86" s="475"/>
      <c r="BG86" s="475"/>
      <c r="BH86" s="475"/>
      <c r="BI86" s="475"/>
      <c r="BJ86" s="475"/>
      <c r="BK86" s="475"/>
      <c r="BL86" s="475"/>
      <c r="BM86" s="475"/>
      <c r="BN86" s="475"/>
      <c r="BO86" s="473"/>
      <c r="BP86" s="473"/>
      <c r="BQ86" s="473"/>
      <c r="BR86" s="473"/>
      <c r="BS86" s="475"/>
      <c r="BT86" s="475"/>
      <c r="BU86" s="475"/>
      <c r="BV86" s="475"/>
      <c r="BW86" s="475"/>
      <c r="BX86" s="475"/>
      <c r="BY86" s="475"/>
      <c r="BZ86" s="475"/>
      <c r="CA86" s="475"/>
      <c r="CB86" s="475"/>
      <c r="CC86" s="475"/>
      <c r="CD86" s="475"/>
      <c r="CE86" s="475"/>
      <c r="CF86" s="475"/>
      <c r="CG86" s="475"/>
      <c r="CH86" s="475"/>
      <c r="CI86" s="475"/>
      <c r="CJ86" s="475"/>
      <c r="CK86" s="475"/>
      <c r="CL86" s="475"/>
      <c r="CM86" s="475"/>
      <c r="CN86" s="477"/>
      <c r="CO86" s="477"/>
      <c r="CP86" s="477"/>
      <c r="CQ86" s="477"/>
      <c r="CR86" s="477"/>
      <c r="CS86" s="477"/>
      <c r="CT86" s="477"/>
      <c r="CU86" s="477"/>
      <c r="CV86" s="477"/>
      <c r="CW86" s="477"/>
      <c r="CX86" s="477"/>
      <c r="CY86" s="478"/>
      <c r="CZ86" s="478"/>
      <c r="DA86" s="478"/>
      <c r="DB86" s="478"/>
      <c r="DC86" s="478"/>
      <c r="DD86" s="478"/>
      <c r="DE86" s="478"/>
      <c r="DF86" s="478"/>
      <c r="DG86" s="478"/>
      <c r="DH86" s="478"/>
      <c r="DI86" s="478"/>
      <c r="DJ86" s="478"/>
      <c r="DK86" s="478"/>
      <c r="DL86" s="478"/>
      <c r="DM86" s="478"/>
      <c r="DN86" s="478"/>
      <c r="DO86" s="478"/>
      <c r="DP86" s="478"/>
      <c r="DQ86" s="478"/>
      <c r="DR86" s="478"/>
      <c r="DS86" s="478"/>
      <c r="DT86" s="478"/>
      <c r="DU86" s="478"/>
      <c r="DV86" s="478"/>
      <c r="DW86" s="478"/>
      <c r="DX86" s="478"/>
      <c r="DY86" s="478"/>
      <c r="DZ86" s="478"/>
      <c r="EA86" s="477"/>
      <c r="EB86" s="477"/>
    </row>
    <row r="87" spans="1:142" ht="18.899999999999999" customHeight="1">
      <c r="A87" s="481" t="s">
        <v>539</v>
      </c>
      <c r="B87" s="473" t="s">
        <v>2178</v>
      </c>
      <c r="C87" s="482"/>
      <c r="D87" s="482"/>
      <c r="E87" s="483" t="s">
        <v>1827</v>
      </c>
      <c r="F87" s="473"/>
      <c r="G87" s="484"/>
      <c r="H87" s="475"/>
      <c r="I87" s="481" t="s">
        <v>539</v>
      </c>
      <c r="J87" s="473" t="s">
        <v>2178</v>
      </c>
      <c r="K87" s="473"/>
      <c r="L87" s="485">
        <f>C87*1.02</f>
        <v>0</v>
      </c>
      <c r="M87" s="486"/>
      <c r="N87" s="475" t="s">
        <v>1827</v>
      </c>
      <c r="O87" s="475"/>
      <c r="P87" s="475"/>
      <c r="Q87" s="475"/>
      <c r="R87" s="475"/>
      <c r="S87" s="475"/>
      <c r="T87" s="475"/>
      <c r="U87" s="475"/>
      <c r="V87" s="475"/>
      <c r="W87" s="475"/>
      <c r="X87" s="475"/>
      <c r="Y87" s="475"/>
      <c r="Z87" s="475"/>
      <c r="AA87" s="475"/>
      <c r="AB87" s="475"/>
      <c r="AC87" s="475"/>
      <c r="AD87" s="475"/>
      <c r="AE87" s="475"/>
      <c r="AF87" s="475"/>
      <c r="AG87" s="475"/>
      <c r="AH87" s="475"/>
      <c r="AI87" s="475"/>
      <c r="AJ87" s="475"/>
      <c r="AK87" s="475"/>
      <c r="AL87" s="475"/>
      <c r="AM87" s="475"/>
      <c r="AN87" s="475"/>
      <c r="AO87" s="473"/>
      <c r="AP87" s="473"/>
      <c r="AQ87" s="473"/>
      <c r="AR87" s="473"/>
      <c r="AS87" s="473"/>
      <c r="AT87" s="473"/>
      <c r="AU87" s="473"/>
      <c r="AV87" s="473"/>
      <c r="AW87" s="473"/>
      <c r="AX87" s="473"/>
      <c r="AY87" s="473"/>
      <c r="AZ87" s="473"/>
      <c r="BA87" s="473"/>
      <c r="BB87" s="475"/>
      <c r="BC87" s="475"/>
      <c r="BD87" s="475"/>
      <c r="BE87" s="475"/>
      <c r="BF87" s="475"/>
      <c r="BG87" s="475"/>
      <c r="BH87" s="475"/>
      <c r="BI87" s="475"/>
      <c r="BJ87" s="475"/>
      <c r="BK87" s="475"/>
      <c r="BL87" s="475"/>
      <c r="BM87" s="475"/>
      <c r="BN87" s="475"/>
      <c r="BO87" s="473"/>
      <c r="BP87" s="473"/>
      <c r="BQ87" s="473"/>
      <c r="BR87" s="473"/>
      <c r="BS87" s="475"/>
      <c r="BT87" s="475"/>
      <c r="BU87" s="475"/>
      <c r="BV87" s="475"/>
      <c r="BW87" s="475"/>
      <c r="BX87" s="475"/>
      <c r="BY87" s="475"/>
      <c r="BZ87" s="475"/>
      <c r="CA87" s="475"/>
      <c r="CB87" s="475"/>
      <c r="CC87" s="475"/>
      <c r="CD87" s="475"/>
      <c r="CE87" s="475"/>
      <c r="CF87" s="475"/>
      <c r="CG87" s="475"/>
      <c r="CH87" s="475"/>
      <c r="CI87" s="475"/>
      <c r="CJ87" s="475"/>
      <c r="CK87" s="475"/>
      <c r="CL87" s="475"/>
      <c r="CM87" s="475"/>
      <c r="CN87" s="477"/>
      <c r="CO87" s="477"/>
      <c r="CP87" s="477"/>
      <c r="CQ87" s="477"/>
      <c r="CR87" s="477"/>
      <c r="CS87" s="477"/>
      <c r="CT87" s="477"/>
      <c r="CU87" s="477"/>
      <c r="CV87" s="477"/>
      <c r="CW87" s="477"/>
      <c r="CX87" s="477"/>
      <c r="CY87" s="478"/>
      <c r="CZ87" s="478"/>
      <c r="DA87" s="478"/>
      <c r="DB87" s="478"/>
      <c r="DC87" s="478"/>
      <c r="DD87" s="478"/>
      <c r="DE87" s="478"/>
      <c r="DF87" s="478"/>
      <c r="DG87" s="478"/>
      <c r="DH87" s="478"/>
      <c r="DI87" s="478"/>
      <c r="DJ87" s="478"/>
      <c r="DK87" s="478"/>
      <c r="DL87" s="478"/>
      <c r="DM87" s="478"/>
      <c r="DN87" s="478"/>
      <c r="DO87" s="478"/>
      <c r="DP87" s="478"/>
      <c r="DQ87" s="478"/>
      <c r="DR87" s="478"/>
      <c r="DS87" s="478"/>
      <c r="DT87" s="478"/>
      <c r="DU87" s="478"/>
      <c r="DV87" s="478"/>
      <c r="DW87" s="478"/>
      <c r="DX87" s="478"/>
      <c r="DY87" s="478"/>
      <c r="DZ87" s="478"/>
      <c r="EA87" s="477"/>
      <c r="EB87" s="477"/>
    </row>
    <row r="88" spans="1:142" ht="18.899999999999999" customHeight="1">
      <c r="A88" s="481" t="s">
        <v>269</v>
      </c>
      <c r="B88" s="473" t="s">
        <v>2178</v>
      </c>
      <c r="C88" s="482"/>
      <c r="D88" s="482"/>
      <c r="E88" s="483" t="s">
        <v>1827</v>
      </c>
      <c r="F88" s="473"/>
      <c r="G88" s="484"/>
      <c r="H88" s="475"/>
      <c r="I88" s="481" t="s">
        <v>269</v>
      </c>
      <c r="J88" s="473" t="s">
        <v>2178</v>
      </c>
      <c r="K88" s="473"/>
      <c r="L88" s="485">
        <f t="shared" si="3"/>
        <v>0</v>
      </c>
      <c r="M88" s="486"/>
      <c r="N88" s="475" t="s">
        <v>1827</v>
      </c>
      <c r="O88" s="475"/>
      <c r="P88" s="475"/>
      <c r="Q88" s="475"/>
      <c r="R88" s="475"/>
      <c r="S88" s="475"/>
      <c r="T88" s="475"/>
      <c r="U88" s="475"/>
      <c r="V88" s="475"/>
      <c r="W88" s="475"/>
      <c r="X88" s="475"/>
      <c r="Y88" s="475"/>
      <c r="Z88" s="475"/>
      <c r="AA88" s="475"/>
      <c r="AB88" s="475"/>
      <c r="AC88" s="475"/>
      <c r="AD88" s="475"/>
      <c r="AE88" s="475"/>
      <c r="AF88" s="475"/>
      <c r="AG88" s="475"/>
      <c r="AH88" s="475"/>
      <c r="AI88" s="475"/>
      <c r="AJ88" s="475"/>
      <c r="AK88" s="475"/>
      <c r="AL88" s="475"/>
      <c r="AM88" s="475"/>
      <c r="AN88" s="475"/>
      <c r="AO88" s="473"/>
      <c r="AP88" s="473"/>
      <c r="AQ88" s="473"/>
      <c r="AR88" s="473"/>
      <c r="AS88" s="473"/>
      <c r="AT88" s="473"/>
      <c r="AU88" s="473"/>
      <c r="AV88" s="473"/>
      <c r="AW88" s="473"/>
      <c r="AX88" s="473"/>
      <c r="AY88" s="473"/>
      <c r="AZ88" s="473"/>
      <c r="BA88" s="473"/>
      <c r="BB88" s="475"/>
      <c r="BC88" s="475"/>
      <c r="BD88" s="475"/>
      <c r="BE88" s="475"/>
      <c r="BF88" s="475"/>
      <c r="BG88" s="475"/>
      <c r="BH88" s="475"/>
      <c r="BI88" s="475"/>
      <c r="BJ88" s="475"/>
      <c r="BK88" s="475"/>
      <c r="BL88" s="475"/>
      <c r="BM88" s="475"/>
      <c r="BN88" s="475"/>
      <c r="BO88" s="473"/>
      <c r="BP88" s="473"/>
      <c r="BQ88" s="473"/>
      <c r="BR88" s="473"/>
      <c r="BS88" s="475"/>
      <c r="BT88" s="475"/>
      <c r="BU88" s="475"/>
      <c r="BV88" s="475"/>
      <c r="BW88" s="475"/>
      <c r="BX88" s="475"/>
      <c r="BY88" s="475"/>
      <c r="BZ88" s="475"/>
      <c r="CA88" s="475"/>
      <c r="CB88" s="475"/>
      <c r="CC88" s="475"/>
      <c r="CD88" s="475"/>
      <c r="CE88" s="475"/>
      <c r="CF88" s="475"/>
      <c r="CG88" s="475"/>
      <c r="CH88" s="475"/>
      <c r="CI88" s="475"/>
      <c r="CJ88" s="475"/>
      <c r="CK88" s="475"/>
      <c r="CL88" s="475"/>
      <c r="CM88" s="475"/>
      <c r="CN88" s="477"/>
      <c r="CO88" s="477"/>
      <c r="CP88" s="477"/>
      <c r="CQ88" s="477"/>
      <c r="CR88" s="477"/>
      <c r="CS88" s="477"/>
      <c r="CT88" s="477"/>
      <c r="CU88" s="477"/>
      <c r="CV88" s="477"/>
      <c r="CW88" s="477"/>
      <c r="CX88" s="477"/>
      <c r="CY88" s="478"/>
      <c r="CZ88" s="478"/>
      <c r="DA88" s="478"/>
      <c r="DB88" s="478"/>
      <c r="DC88" s="478"/>
      <c r="DD88" s="478"/>
      <c r="DE88" s="478"/>
      <c r="DF88" s="478"/>
      <c r="DG88" s="478"/>
      <c r="DH88" s="478"/>
      <c r="DI88" s="478"/>
      <c r="DJ88" s="478"/>
      <c r="DK88" s="478"/>
      <c r="DL88" s="478"/>
      <c r="DM88" s="478"/>
      <c r="DN88" s="478"/>
      <c r="DO88" s="478"/>
      <c r="DP88" s="478"/>
      <c r="DQ88" s="478"/>
      <c r="DR88" s="478"/>
      <c r="DS88" s="478"/>
      <c r="DT88" s="478"/>
      <c r="DU88" s="478"/>
      <c r="DV88" s="478"/>
      <c r="DW88" s="478"/>
      <c r="DX88" s="478"/>
      <c r="DY88" s="478"/>
      <c r="DZ88" s="478"/>
      <c r="EA88" s="477"/>
      <c r="EB88" s="477"/>
    </row>
    <row r="89" spans="1:142" ht="18.899999999999999" customHeight="1">
      <c r="A89" s="481" t="s">
        <v>1242</v>
      </c>
      <c r="B89" s="473" t="s">
        <v>2178</v>
      </c>
      <c r="C89" s="482"/>
      <c r="D89" s="482"/>
      <c r="E89" s="483" t="s">
        <v>1827</v>
      </c>
      <c r="F89" s="473"/>
      <c r="G89" s="484"/>
      <c r="H89" s="475"/>
      <c r="I89" s="481" t="s">
        <v>1242</v>
      </c>
      <c r="J89" s="473" t="s">
        <v>2178</v>
      </c>
      <c r="K89" s="473"/>
      <c r="L89" s="487">
        <f t="shared" si="3"/>
        <v>0</v>
      </c>
      <c r="M89" s="488"/>
      <c r="N89" s="475" t="s">
        <v>1827</v>
      </c>
      <c r="O89" s="475"/>
      <c r="P89" s="475"/>
      <c r="Q89" s="475"/>
      <c r="R89" s="475"/>
      <c r="S89" s="475"/>
      <c r="T89" s="475"/>
      <c r="U89" s="475"/>
      <c r="V89" s="475"/>
      <c r="W89" s="475"/>
      <c r="X89" s="475"/>
      <c r="Y89" s="475"/>
      <c r="Z89" s="475"/>
      <c r="AA89" s="475"/>
      <c r="AB89" s="475"/>
      <c r="AC89" s="475"/>
      <c r="AD89" s="475"/>
      <c r="AE89" s="475"/>
      <c r="AF89" s="475"/>
      <c r="AG89" s="475"/>
      <c r="AH89" s="475"/>
      <c r="AI89" s="475"/>
      <c r="AJ89" s="475"/>
      <c r="AK89" s="475"/>
      <c r="AL89" s="475"/>
      <c r="AM89" s="475"/>
      <c r="AN89" s="475"/>
      <c r="AO89" s="473"/>
      <c r="AP89" s="473"/>
      <c r="AQ89" s="473"/>
      <c r="AR89" s="473"/>
      <c r="AS89" s="473"/>
      <c r="AT89" s="473"/>
      <c r="AU89" s="473"/>
      <c r="AV89" s="473"/>
      <c r="AW89" s="473"/>
      <c r="AX89" s="473"/>
      <c r="AY89" s="473"/>
      <c r="AZ89" s="473"/>
      <c r="BA89" s="473"/>
      <c r="BB89" s="475"/>
      <c r="BC89" s="475"/>
      <c r="BD89" s="475"/>
      <c r="BE89" s="475"/>
      <c r="BF89" s="475"/>
      <c r="BG89" s="475"/>
      <c r="BH89" s="475"/>
      <c r="BI89" s="475"/>
      <c r="BJ89" s="475"/>
      <c r="BK89" s="475"/>
      <c r="BL89" s="475"/>
      <c r="BM89" s="475"/>
      <c r="BN89" s="475"/>
      <c r="BO89" s="473"/>
      <c r="BP89" s="473"/>
      <c r="BQ89" s="473"/>
      <c r="BR89" s="473"/>
      <c r="BS89" s="475"/>
      <c r="BT89" s="475"/>
      <c r="BU89" s="475"/>
      <c r="BV89" s="475"/>
      <c r="BW89" s="475"/>
      <c r="BX89" s="475"/>
      <c r="BY89" s="475"/>
      <c r="BZ89" s="475"/>
      <c r="CA89" s="475"/>
      <c r="CB89" s="475"/>
      <c r="CC89" s="475"/>
      <c r="CD89" s="475"/>
      <c r="CE89" s="475"/>
      <c r="CF89" s="475"/>
      <c r="CG89" s="475"/>
      <c r="CH89" s="475"/>
      <c r="CI89" s="475"/>
      <c r="CJ89" s="475"/>
      <c r="CK89" s="475"/>
      <c r="CL89" s="475"/>
      <c r="CM89" s="475"/>
      <c r="CN89" s="477"/>
      <c r="CO89" s="477"/>
      <c r="CP89" s="477"/>
      <c r="CQ89" s="477"/>
      <c r="CR89" s="477"/>
      <c r="CS89" s="477"/>
      <c r="CT89" s="477"/>
      <c r="CU89" s="477"/>
      <c r="CV89" s="477"/>
      <c r="CW89" s="477"/>
      <c r="CX89" s="477"/>
      <c r="CY89" s="478"/>
      <c r="CZ89" s="478"/>
      <c r="DA89" s="478"/>
      <c r="DB89" s="478"/>
      <c r="DC89" s="478"/>
      <c r="DD89" s="478"/>
      <c r="DE89" s="478"/>
      <c r="DF89" s="478"/>
      <c r="DG89" s="478"/>
      <c r="DH89" s="478"/>
      <c r="DI89" s="478"/>
      <c r="DJ89" s="478"/>
      <c r="DK89" s="478"/>
      <c r="DL89" s="478"/>
      <c r="DM89" s="478"/>
      <c r="DN89" s="478"/>
      <c r="DO89" s="478"/>
      <c r="DP89" s="478"/>
      <c r="DQ89" s="478"/>
      <c r="DR89" s="478"/>
      <c r="DS89" s="478"/>
      <c r="DT89" s="478"/>
      <c r="DU89" s="478"/>
      <c r="DV89" s="478"/>
      <c r="DW89" s="478"/>
      <c r="DX89" s="478"/>
      <c r="DY89" s="478"/>
      <c r="DZ89" s="478"/>
      <c r="EA89" s="477"/>
      <c r="EB89" s="477"/>
    </row>
    <row r="90" spans="1:142" ht="18.899999999999999" customHeight="1">
      <c r="A90" s="481" t="s">
        <v>88</v>
      </c>
      <c r="B90" s="473" t="s">
        <v>2178</v>
      </c>
      <c r="C90" s="482"/>
      <c r="D90" s="482"/>
      <c r="E90" s="483" t="s">
        <v>1827</v>
      </c>
      <c r="F90" s="473"/>
      <c r="G90" s="484"/>
      <c r="H90" s="475"/>
      <c r="I90" s="481" t="s">
        <v>88</v>
      </c>
      <c r="J90" s="473" t="s">
        <v>2178</v>
      </c>
      <c r="K90" s="473"/>
      <c r="L90" s="487">
        <f t="shared" si="3"/>
        <v>0</v>
      </c>
      <c r="M90" s="488"/>
      <c r="N90" s="475" t="s">
        <v>1827</v>
      </c>
      <c r="O90" s="475"/>
      <c r="P90" s="475"/>
      <c r="Q90" s="475"/>
      <c r="R90" s="475"/>
      <c r="S90" s="475"/>
      <c r="T90" s="475"/>
      <c r="U90" s="475"/>
      <c r="V90" s="475"/>
      <c r="W90" s="475"/>
      <c r="X90" s="475"/>
      <c r="Y90" s="475"/>
      <c r="Z90" s="475"/>
      <c r="AA90" s="475"/>
      <c r="AB90" s="475"/>
      <c r="AC90" s="475"/>
      <c r="AD90" s="475"/>
      <c r="AE90" s="475"/>
      <c r="AF90" s="475"/>
      <c r="AG90" s="475"/>
      <c r="AH90" s="475"/>
      <c r="AI90" s="475"/>
      <c r="AJ90" s="475"/>
      <c r="AK90" s="475"/>
      <c r="AL90" s="475"/>
      <c r="AM90" s="475"/>
      <c r="AN90" s="475"/>
      <c r="AO90" s="473"/>
      <c r="AP90" s="473"/>
      <c r="AQ90" s="473"/>
      <c r="AR90" s="473"/>
      <c r="AS90" s="473"/>
      <c r="AT90" s="473"/>
      <c r="AU90" s="473"/>
      <c r="AV90" s="473"/>
      <c r="AW90" s="473"/>
      <c r="AX90" s="473"/>
      <c r="AY90" s="473"/>
      <c r="AZ90" s="473"/>
      <c r="BA90" s="473"/>
      <c r="BB90" s="475"/>
      <c r="BC90" s="475"/>
      <c r="BD90" s="475"/>
      <c r="BE90" s="475"/>
      <c r="BF90" s="475"/>
      <c r="BG90" s="475"/>
      <c r="BH90" s="475"/>
      <c r="BI90" s="475"/>
      <c r="BJ90" s="475"/>
      <c r="BK90" s="475"/>
      <c r="BL90" s="475"/>
      <c r="BM90" s="475"/>
      <c r="BN90" s="475"/>
      <c r="BO90" s="473"/>
      <c r="BP90" s="473"/>
      <c r="BQ90" s="473"/>
      <c r="BR90" s="473"/>
      <c r="BS90" s="489"/>
      <c r="BT90" s="475"/>
      <c r="BU90" s="475"/>
      <c r="BV90" s="475"/>
      <c r="BW90" s="475"/>
      <c r="BX90" s="475"/>
      <c r="BY90" s="475"/>
      <c r="BZ90" s="475"/>
      <c r="CA90" s="475"/>
      <c r="CB90" s="475"/>
      <c r="CC90" s="475"/>
      <c r="CD90" s="475"/>
      <c r="CE90" s="475"/>
      <c r="CF90" s="475"/>
      <c r="CG90" s="475"/>
      <c r="CH90" s="475"/>
      <c r="CI90" s="475"/>
      <c r="CJ90" s="475"/>
      <c r="CK90" s="475"/>
      <c r="CL90" s="475"/>
      <c r="CM90" s="475"/>
      <c r="CN90" s="477"/>
      <c r="CO90" s="477"/>
      <c r="CP90" s="477"/>
      <c r="CQ90" s="477"/>
      <c r="CR90" s="477"/>
      <c r="CS90" s="477"/>
      <c r="CT90" s="477"/>
      <c r="CU90" s="477"/>
      <c r="CV90" s="477"/>
      <c r="CW90" s="477"/>
      <c r="CX90" s="477"/>
      <c r="CY90" s="478"/>
      <c r="CZ90" s="478"/>
      <c r="DA90" s="478"/>
      <c r="DB90" s="478"/>
      <c r="DC90" s="478"/>
      <c r="DD90" s="478"/>
      <c r="DE90" s="478"/>
      <c r="DF90" s="478"/>
      <c r="DG90" s="478"/>
      <c r="DH90" s="478"/>
      <c r="DI90" s="478"/>
      <c r="DJ90" s="478"/>
      <c r="DK90" s="478"/>
      <c r="DL90" s="478"/>
      <c r="DM90" s="478"/>
      <c r="DN90" s="478"/>
      <c r="DO90" s="478"/>
      <c r="DP90" s="478"/>
      <c r="DQ90" s="478"/>
      <c r="DR90" s="478"/>
      <c r="DS90" s="478"/>
      <c r="DT90" s="478"/>
      <c r="DU90" s="478"/>
      <c r="DV90" s="478"/>
      <c r="DW90" s="478"/>
      <c r="DX90" s="478"/>
      <c r="DY90" s="478"/>
      <c r="DZ90" s="478"/>
      <c r="EA90" s="477"/>
      <c r="EB90" s="477"/>
    </row>
    <row r="91" spans="1:142" ht="18.899999999999999" customHeight="1">
      <c r="A91" s="490" t="s">
        <v>1372</v>
      </c>
      <c r="B91" s="473" t="s">
        <v>2178</v>
      </c>
      <c r="C91" s="482"/>
      <c r="D91" s="482"/>
      <c r="E91" s="483" t="s">
        <v>1827</v>
      </c>
      <c r="F91" s="473"/>
      <c r="G91" s="484"/>
      <c r="H91" s="475"/>
      <c r="I91" s="490" t="s">
        <v>1372</v>
      </c>
      <c r="J91" s="473" t="s">
        <v>2178</v>
      </c>
      <c r="K91" s="473"/>
      <c r="L91" s="485">
        <f t="shared" si="3"/>
        <v>0</v>
      </c>
      <c r="M91" s="486"/>
      <c r="N91" s="475" t="s">
        <v>1827</v>
      </c>
      <c r="O91" s="475"/>
      <c r="P91" s="475"/>
      <c r="Q91" s="475"/>
      <c r="R91" s="475"/>
      <c r="S91" s="475"/>
      <c r="T91" s="475"/>
      <c r="U91" s="475"/>
      <c r="V91" s="475"/>
      <c r="W91" s="475"/>
      <c r="X91" s="475"/>
      <c r="Y91" s="475"/>
      <c r="Z91" s="475"/>
      <c r="AA91" s="475"/>
      <c r="AB91" s="475"/>
      <c r="AC91" s="475"/>
      <c r="AD91" s="475"/>
      <c r="AE91" s="475"/>
      <c r="AF91" s="475"/>
      <c r="AG91" s="475"/>
      <c r="AH91" s="475"/>
      <c r="AI91" s="475"/>
      <c r="AJ91" s="475"/>
      <c r="AK91" s="475"/>
      <c r="AL91" s="475"/>
      <c r="AM91" s="475"/>
      <c r="AN91" s="475"/>
      <c r="AO91" s="473"/>
      <c r="AP91" s="473"/>
      <c r="AQ91" s="473"/>
      <c r="AR91" s="473"/>
      <c r="AS91" s="473"/>
      <c r="AT91" s="473"/>
      <c r="AU91" s="473"/>
      <c r="AV91" s="473"/>
      <c r="AW91" s="473"/>
      <c r="AX91" s="473"/>
      <c r="AY91" s="473"/>
      <c r="AZ91" s="473"/>
      <c r="BA91" s="473"/>
      <c r="BB91" s="475"/>
      <c r="BC91" s="475"/>
      <c r="BD91" s="475"/>
      <c r="BE91" s="475"/>
      <c r="BF91" s="475"/>
      <c r="BG91" s="475"/>
      <c r="BH91" s="475"/>
      <c r="BI91" s="475"/>
      <c r="BJ91" s="475"/>
      <c r="BK91" s="475"/>
      <c r="BL91" s="475"/>
      <c r="BM91" s="475"/>
      <c r="BN91" s="475"/>
      <c r="BO91" s="473"/>
      <c r="BP91" s="473"/>
      <c r="BQ91" s="473"/>
      <c r="BR91" s="473"/>
      <c r="BS91" s="475"/>
      <c r="BT91" s="475"/>
      <c r="BU91" s="475"/>
      <c r="BV91" s="475"/>
      <c r="BW91" s="475"/>
      <c r="BX91" s="475"/>
      <c r="BY91" s="475"/>
      <c r="BZ91" s="475"/>
      <c r="CA91" s="475"/>
      <c r="CB91" s="475"/>
      <c r="CC91" s="475"/>
      <c r="CD91" s="475"/>
      <c r="CE91" s="475"/>
      <c r="CF91" s="475"/>
      <c r="CG91" s="475"/>
      <c r="CH91" s="475"/>
      <c r="CI91" s="475"/>
      <c r="CJ91" s="475"/>
      <c r="CK91" s="475"/>
      <c r="CL91" s="475"/>
      <c r="CM91" s="475"/>
      <c r="CN91" s="477"/>
      <c r="CO91" s="477"/>
      <c r="CP91" s="477"/>
      <c r="CQ91" s="477"/>
      <c r="CR91" s="477"/>
      <c r="CS91" s="477"/>
      <c r="CT91" s="477"/>
      <c r="CU91" s="477"/>
      <c r="CV91" s="477"/>
      <c r="CW91" s="477"/>
      <c r="CX91" s="477"/>
      <c r="CY91" s="478"/>
      <c r="CZ91" s="478"/>
      <c r="DA91" s="478"/>
      <c r="DB91" s="478"/>
      <c r="DC91" s="478"/>
      <c r="DD91" s="478"/>
      <c r="DE91" s="478"/>
      <c r="DF91" s="478"/>
      <c r="DG91" s="478"/>
      <c r="DH91" s="478"/>
      <c r="DI91" s="478"/>
      <c r="DJ91" s="478"/>
      <c r="DK91" s="478"/>
      <c r="DL91" s="478"/>
      <c r="DM91" s="478"/>
      <c r="DN91" s="478"/>
      <c r="DO91" s="478"/>
      <c r="DP91" s="478"/>
      <c r="DQ91" s="478"/>
      <c r="DR91" s="478"/>
      <c r="DS91" s="478"/>
      <c r="DT91" s="478"/>
      <c r="DU91" s="478"/>
      <c r="DV91" s="478"/>
      <c r="DW91" s="478"/>
      <c r="DX91" s="478"/>
      <c r="DY91" s="478"/>
      <c r="DZ91" s="478"/>
      <c r="EA91" s="477"/>
      <c r="EB91" s="477"/>
    </row>
    <row r="92" spans="1:142" ht="18.899999999999999" customHeight="1">
      <c r="A92" s="490" t="s">
        <v>1373</v>
      </c>
      <c r="B92" s="473" t="s">
        <v>2178</v>
      </c>
      <c r="C92" s="482"/>
      <c r="D92" s="482"/>
      <c r="E92" s="483" t="s">
        <v>1827</v>
      </c>
      <c r="F92" s="473"/>
      <c r="G92" s="484"/>
      <c r="H92" s="475"/>
      <c r="I92" s="490" t="s">
        <v>1373</v>
      </c>
      <c r="J92" s="473" t="s">
        <v>2178</v>
      </c>
      <c r="K92" s="473"/>
      <c r="L92" s="485">
        <f t="shared" si="3"/>
        <v>0</v>
      </c>
      <c r="M92" s="486"/>
      <c r="N92" s="475" t="s">
        <v>1827</v>
      </c>
      <c r="O92" s="475"/>
      <c r="P92" s="475"/>
      <c r="Q92" s="475"/>
      <c r="R92" s="475"/>
      <c r="S92" s="475"/>
      <c r="T92" s="475"/>
      <c r="U92" s="475"/>
      <c r="V92" s="475"/>
      <c r="W92" s="475"/>
      <c r="X92" s="475"/>
      <c r="Y92" s="475"/>
      <c r="Z92" s="475"/>
      <c r="AA92" s="475"/>
      <c r="AB92" s="475"/>
      <c r="AC92" s="475"/>
      <c r="AD92" s="475"/>
      <c r="AE92" s="475"/>
      <c r="AF92" s="475"/>
      <c r="AG92" s="475"/>
      <c r="AH92" s="475"/>
      <c r="AI92" s="475"/>
      <c r="AJ92" s="475"/>
      <c r="AK92" s="475"/>
      <c r="AL92" s="475"/>
      <c r="AM92" s="475"/>
      <c r="AN92" s="475"/>
      <c r="AO92" s="473"/>
      <c r="AP92" s="473"/>
      <c r="AQ92" s="473"/>
      <c r="AR92" s="473"/>
      <c r="AS92" s="473"/>
      <c r="AT92" s="473"/>
      <c r="AU92" s="473"/>
      <c r="AV92" s="473"/>
      <c r="AW92" s="473"/>
      <c r="AX92" s="473"/>
      <c r="AY92" s="473"/>
      <c r="AZ92" s="473"/>
      <c r="BA92" s="473"/>
      <c r="BB92" s="475"/>
      <c r="BC92" s="475"/>
      <c r="BD92" s="475"/>
      <c r="BE92" s="475"/>
      <c r="BF92" s="475"/>
      <c r="BG92" s="475"/>
      <c r="BH92" s="475"/>
      <c r="BI92" s="475"/>
      <c r="BJ92" s="475"/>
      <c r="BK92" s="475"/>
      <c r="BL92" s="475"/>
      <c r="BM92" s="475"/>
      <c r="BN92" s="475"/>
      <c r="BO92" s="473"/>
      <c r="BP92" s="473"/>
      <c r="BQ92" s="473"/>
      <c r="BR92" s="473"/>
      <c r="BS92" s="489"/>
      <c r="BT92" s="475"/>
      <c r="BU92" s="475"/>
      <c r="BV92" s="475"/>
      <c r="BW92" s="475"/>
      <c r="BX92" s="475"/>
      <c r="BY92" s="475"/>
      <c r="BZ92" s="475"/>
      <c r="CA92" s="475"/>
      <c r="CB92" s="475"/>
      <c r="CC92" s="475"/>
      <c r="CD92" s="475"/>
      <c r="CE92" s="475"/>
      <c r="CF92" s="475"/>
      <c r="CG92" s="475"/>
      <c r="CH92" s="475"/>
      <c r="CI92" s="475"/>
      <c r="CJ92" s="475"/>
      <c r="CK92" s="475"/>
      <c r="CL92" s="475"/>
      <c r="CM92" s="475"/>
      <c r="CN92" s="477"/>
      <c r="CO92" s="477"/>
      <c r="CP92" s="477"/>
      <c r="CQ92" s="477"/>
      <c r="CR92" s="477"/>
      <c r="CS92" s="477"/>
      <c r="CT92" s="477"/>
      <c r="CU92" s="477"/>
      <c r="CV92" s="477"/>
      <c r="CW92" s="477"/>
      <c r="CX92" s="477"/>
      <c r="CY92" s="478"/>
      <c r="CZ92" s="478"/>
      <c r="DA92" s="478"/>
      <c r="DB92" s="478"/>
      <c r="DC92" s="478"/>
      <c r="DD92" s="478"/>
      <c r="DE92" s="478"/>
      <c r="DF92" s="478"/>
      <c r="DG92" s="478"/>
      <c r="DH92" s="478"/>
      <c r="DI92" s="478"/>
      <c r="DJ92" s="478"/>
      <c r="DK92" s="478"/>
      <c r="DL92" s="478"/>
      <c r="DM92" s="478"/>
      <c r="DN92" s="478"/>
      <c r="DO92" s="478"/>
      <c r="DP92" s="478"/>
      <c r="DQ92" s="478"/>
      <c r="DR92" s="478"/>
      <c r="DS92" s="478"/>
      <c r="DT92" s="478"/>
      <c r="DU92" s="478"/>
      <c r="DV92" s="478"/>
      <c r="DW92" s="478"/>
      <c r="DX92" s="478"/>
      <c r="DY92" s="478"/>
      <c r="DZ92" s="478"/>
      <c r="EA92" s="477"/>
      <c r="EB92" s="477"/>
    </row>
    <row r="93" spans="1:142" ht="18.899999999999999" customHeight="1">
      <c r="A93" s="490" t="s">
        <v>853</v>
      </c>
      <c r="B93" s="473" t="s">
        <v>2178</v>
      </c>
      <c r="C93" s="482"/>
      <c r="D93" s="482"/>
      <c r="E93" s="483" t="s">
        <v>1827</v>
      </c>
      <c r="F93" s="473"/>
      <c r="G93" s="484"/>
      <c r="H93" s="475"/>
      <c r="I93" s="490" t="s">
        <v>853</v>
      </c>
      <c r="J93" s="473" t="s">
        <v>2178</v>
      </c>
      <c r="K93" s="473"/>
      <c r="L93" s="485">
        <f t="shared" si="3"/>
        <v>0</v>
      </c>
      <c r="M93" s="486"/>
      <c r="N93" s="475" t="s">
        <v>1827</v>
      </c>
      <c r="O93" s="475"/>
      <c r="P93" s="475"/>
      <c r="Q93" s="475"/>
      <c r="R93" s="475"/>
      <c r="S93" s="475"/>
      <c r="T93" s="475"/>
      <c r="U93" s="475"/>
      <c r="V93" s="475"/>
      <c r="W93" s="475"/>
      <c r="X93" s="475"/>
      <c r="Y93" s="475"/>
      <c r="Z93" s="475"/>
      <c r="AA93" s="475"/>
      <c r="AB93" s="475"/>
      <c r="AC93" s="475"/>
      <c r="AD93" s="475"/>
      <c r="AE93" s="475"/>
      <c r="AF93" s="475"/>
      <c r="AG93" s="475"/>
      <c r="AH93" s="475"/>
      <c r="AI93" s="475"/>
      <c r="AJ93" s="475"/>
      <c r="AK93" s="475"/>
      <c r="AL93" s="475"/>
      <c r="AM93" s="475"/>
      <c r="AN93" s="475"/>
      <c r="AO93" s="473"/>
      <c r="AP93" s="473"/>
      <c r="AQ93" s="473"/>
      <c r="AR93" s="473"/>
      <c r="AS93" s="473"/>
      <c r="AT93" s="473"/>
      <c r="AU93" s="473"/>
      <c r="AV93" s="473"/>
      <c r="AW93" s="473"/>
      <c r="AX93" s="473"/>
      <c r="AY93" s="473"/>
      <c r="AZ93" s="473"/>
      <c r="BA93" s="473"/>
      <c r="BB93" s="475"/>
      <c r="BC93" s="475"/>
      <c r="BD93" s="475"/>
      <c r="BE93" s="475"/>
      <c r="BF93" s="475"/>
      <c r="BG93" s="475"/>
      <c r="BH93" s="475"/>
      <c r="BI93" s="475"/>
      <c r="BJ93" s="475"/>
      <c r="BK93" s="475"/>
      <c r="BL93" s="475"/>
      <c r="BM93" s="475"/>
      <c r="BN93" s="475"/>
      <c r="BO93" s="473"/>
      <c r="BP93" s="473"/>
      <c r="BQ93" s="473"/>
      <c r="BR93" s="473"/>
      <c r="BS93" s="475"/>
      <c r="BT93" s="475"/>
      <c r="BU93" s="475"/>
      <c r="BV93" s="475"/>
      <c r="BW93" s="475"/>
      <c r="BX93" s="475"/>
      <c r="BY93" s="475"/>
      <c r="BZ93" s="475"/>
      <c r="CA93" s="475"/>
      <c r="CB93" s="475"/>
      <c r="CC93" s="475"/>
      <c r="CD93" s="475"/>
      <c r="CE93" s="475"/>
      <c r="CF93" s="475"/>
      <c r="CG93" s="475"/>
      <c r="CH93" s="475"/>
      <c r="CI93" s="475"/>
      <c r="CJ93" s="475"/>
      <c r="CK93" s="475"/>
      <c r="CL93" s="475"/>
      <c r="CM93" s="475"/>
      <c r="CN93" s="477"/>
      <c r="CO93" s="477"/>
      <c r="CP93" s="477"/>
      <c r="CQ93" s="477"/>
      <c r="CR93" s="477"/>
      <c r="CS93" s="477"/>
      <c r="CT93" s="477"/>
      <c r="CU93" s="477"/>
      <c r="CV93" s="477"/>
      <c r="CW93" s="477"/>
      <c r="CX93" s="477"/>
      <c r="CY93" s="478"/>
      <c r="CZ93" s="478"/>
      <c r="DA93" s="478"/>
      <c r="DB93" s="478"/>
      <c r="DC93" s="478"/>
      <c r="DD93" s="478"/>
      <c r="DE93" s="478"/>
      <c r="DF93" s="478"/>
      <c r="DG93" s="478"/>
      <c r="DH93" s="478"/>
      <c r="DI93" s="478"/>
      <c r="DJ93" s="478"/>
      <c r="DK93" s="478"/>
      <c r="DL93" s="478"/>
      <c r="DM93" s="478"/>
      <c r="DN93" s="478"/>
      <c r="DO93" s="478"/>
      <c r="DP93" s="478"/>
      <c r="DQ93" s="478"/>
      <c r="DR93" s="478"/>
      <c r="DS93" s="478"/>
      <c r="DT93" s="478"/>
      <c r="DU93" s="478"/>
      <c r="DV93" s="478"/>
      <c r="DW93" s="478"/>
      <c r="DX93" s="478"/>
      <c r="DY93" s="478"/>
      <c r="DZ93" s="478"/>
      <c r="EA93" s="477"/>
      <c r="EB93" s="477"/>
    </row>
    <row r="94" spans="1:142" ht="18.899999999999999" customHeight="1">
      <c r="A94" s="490" t="s">
        <v>1420</v>
      </c>
      <c r="B94" s="473" t="s">
        <v>2178</v>
      </c>
      <c r="C94" s="482"/>
      <c r="D94" s="482"/>
      <c r="E94" s="483" t="s">
        <v>1827</v>
      </c>
      <c r="F94" s="473"/>
      <c r="G94" s="484"/>
      <c r="H94" s="475"/>
      <c r="I94" s="490" t="s">
        <v>1420</v>
      </c>
      <c r="J94" s="473" t="s">
        <v>2178</v>
      </c>
      <c r="K94" s="473"/>
      <c r="L94" s="485">
        <f t="shared" si="3"/>
        <v>0</v>
      </c>
      <c r="M94" s="486"/>
      <c r="N94" s="475" t="s">
        <v>1827</v>
      </c>
      <c r="O94" s="475"/>
      <c r="P94" s="475"/>
      <c r="Q94" s="475"/>
      <c r="R94" s="475"/>
      <c r="S94" s="475"/>
      <c r="T94" s="475"/>
      <c r="U94" s="475"/>
      <c r="V94" s="475"/>
      <c r="W94" s="475"/>
      <c r="X94" s="475"/>
      <c r="Y94" s="475"/>
      <c r="Z94" s="475"/>
      <c r="AA94" s="475"/>
      <c r="AB94" s="475"/>
      <c r="AC94" s="475"/>
      <c r="AD94" s="475"/>
      <c r="AE94" s="475"/>
      <c r="AF94" s="475"/>
      <c r="AG94" s="475"/>
      <c r="AH94" s="475"/>
      <c r="AI94" s="475"/>
      <c r="AJ94" s="475"/>
      <c r="AK94" s="475"/>
      <c r="AL94" s="475"/>
      <c r="AM94" s="475"/>
      <c r="AN94" s="475"/>
      <c r="AO94" s="473"/>
      <c r="AP94" s="473"/>
      <c r="AQ94" s="473"/>
      <c r="AR94" s="473"/>
      <c r="AS94" s="473"/>
      <c r="AT94" s="473"/>
      <c r="AU94" s="473"/>
      <c r="AV94" s="473"/>
      <c r="AW94" s="473"/>
      <c r="AX94" s="473"/>
      <c r="AY94" s="473"/>
      <c r="AZ94" s="473"/>
      <c r="BA94" s="473"/>
      <c r="BB94" s="475"/>
      <c r="BC94" s="475"/>
      <c r="BD94" s="475"/>
      <c r="BE94" s="475"/>
      <c r="BF94" s="475"/>
      <c r="BG94" s="475"/>
      <c r="BH94" s="475"/>
      <c r="BI94" s="475"/>
      <c r="BJ94" s="475"/>
      <c r="BK94" s="475"/>
      <c r="BL94" s="475"/>
      <c r="BM94" s="475"/>
      <c r="BN94" s="475"/>
      <c r="BO94" s="473"/>
      <c r="BP94" s="473"/>
      <c r="BQ94" s="473"/>
      <c r="BR94" s="473"/>
      <c r="BS94" s="489"/>
      <c r="BT94" s="475"/>
      <c r="BU94" s="475"/>
      <c r="BV94" s="475"/>
      <c r="BW94" s="475"/>
      <c r="BX94" s="475"/>
      <c r="BY94" s="475"/>
      <c r="BZ94" s="475"/>
      <c r="CA94" s="475"/>
      <c r="CB94" s="475"/>
      <c r="CC94" s="475"/>
      <c r="CD94" s="475"/>
      <c r="CE94" s="475"/>
      <c r="CF94" s="475"/>
      <c r="CG94" s="475"/>
      <c r="CH94" s="475"/>
      <c r="CI94" s="475"/>
      <c r="CJ94" s="475"/>
      <c r="CK94" s="475"/>
      <c r="CL94" s="475"/>
      <c r="CM94" s="475"/>
      <c r="CN94" s="477"/>
      <c r="CO94" s="477"/>
      <c r="CP94" s="477"/>
      <c r="CQ94" s="477"/>
      <c r="CR94" s="477"/>
      <c r="CS94" s="477"/>
      <c r="CT94" s="477"/>
      <c r="CU94" s="477"/>
      <c r="CV94" s="477"/>
      <c r="CW94" s="477"/>
      <c r="CX94" s="477"/>
      <c r="CY94" s="478"/>
      <c r="CZ94" s="478"/>
      <c r="DA94" s="478"/>
      <c r="DB94" s="478"/>
      <c r="DC94" s="478"/>
      <c r="DD94" s="478"/>
      <c r="DE94" s="478"/>
      <c r="DF94" s="478"/>
      <c r="DG94" s="478"/>
      <c r="DH94" s="478"/>
      <c r="DI94" s="478"/>
      <c r="DJ94" s="478"/>
      <c r="DK94" s="478"/>
      <c r="DL94" s="478"/>
      <c r="DM94" s="478"/>
      <c r="DN94" s="478"/>
      <c r="DO94" s="478"/>
      <c r="DP94" s="478"/>
      <c r="DQ94" s="478"/>
      <c r="DR94" s="478"/>
      <c r="DS94" s="478"/>
      <c r="DT94" s="478"/>
      <c r="DU94" s="478"/>
      <c r="DV94" s="478"/>
      <c r="DW94" s="478"/>
      <c r="DX94" s="478"/>
      <c r="DY94" s="478"/>
      <c r="DZ94" s="478"/>
      <c r="EA94" s="477"/>
      <c r="EB94" s="477"/>
    </row>
    <row r="95" spans="1:142" ht="18.899999999999999" customHeight="1">
      <c r="A95" s="490" t="s">
        <v>196</v>
      </c>
      <c r="B95" s="473" t="s">
        <v>2178</v>
      </c>
      <c r="C95" s="482"/>
      <c r="D95" s="482"/>
      <c r="E95" s="483" t="s">
        <v>1827</v>
      </c>
      <c r="F95" s="473"/>
      <c r="G95" s="484"/>
      <c r="H95" s="475"/>
      <c r="I95" s="490" t="s">
        <v>196</v>
      </c>
      <c r="J95" s="473" t="s">
        <v>2178</v>
      </c>
      <c r="K95" s="473"/>
      <c r="L95" s="485">
        <f t="shared" si="3"/>
        <v>0</v>
      </c>
      <c r="M95" s="486"/>
      <c r="N95" s="475" t="s">
        <v>1827</v>
      </c>
      <c r="O95" s="475"/>
      <c r="P95" s="475"/>
      <c r="Q95" s="475"/>
      <c r="R95" s="475"/>
      <c r="S95" s="475"/>
      <c r="T95" s="475"/>
      <c r="U95" s="475"/>
      <c r="V95" s="475"/>
      <c r="W95" s="475"/>
      <c r="X95" s="475"/>
      <c r="Y95" s="475"/>
      <c r="Z95" s="475"/>
      <c r="AA95" s="475"/>
      <c r="AB95" s="475"/>
      <c r="AC95" s="475"/>
      <c r="AD95" s="475"/>
      <c r="AE95" s="475"/>
      <c r="AF95" s="475"/>
      <c r="AG95" s="475"/>
      <c r="AH95" s="475"/>
      <c r="AI95" s="475"/>
      <c r="AJ95" s="475"/>
      <c r="AK95" s="475"/>
      <c r="AL95" s="475"/>
      <c r="AM95" s="475"/>
      <c r="AN95" s="475"/>
      <c r="AO95" s="473"/>
      <c r="AP95" s="473"/>
      <c r="AQ95" s="473"/>
      <c r="AR95" s="473"/>
      <c r="AS95" s="473"/>
      <c r="AT95" s="473"/>
      <c r="AU95" s="473"/>
      <c r="AV95" s="473"/>
      <c r="AW95" s="473"/>
      <c r="AX95" s="473"/>
      <c r="AY95" s="473"/>
      <c r="AZ95" s="473"/>
      <c r="BA95" s="473"/>
      <c r="BB95" s="475"/>
      <c r="BC95" s="475"/>
      <c r="BD95" s="475"/>
      <c r="BE95" s="475"/>
      <c r="BF95" s="475"/>
      <c r="BG95" s="475"/>
      <c r="BH95" s="475"/>
      <c r="BI95" s="475"/>
      <c r="BJ95" s="475"/>
      <c r="BK95" s="475"/>
      <c r="BL95" s="475"/>
      <c r="BM95" s="475"/>
      <c r="BN95" s="475"/>
      <c r="BO95" s="473"/>
      <c r="BP95" s="473"/>
      <c r="BQ95" s="473"/>
      <c r="BR95" s="473"/>
      <c r="BS95" s="475"/>
      <c r="BT95" s="475"/>
      <c r="BU95" s="475"/>
      <c r="BV95" s="475"/>
      <c r="BW95" s="475"/>
      <c r="BX95" s="475"/>
      <c r="BY95" s="475"/>
      <c r="BZ95" s="475"/>
      <c r="CA95" s="475"/>
      <c r="CB95" s="475"/>
      <c r="CC95" s="475"/>
      <c r="CD95" s="475"/>
      <c r="CE95" s="475"/>
      <c r="CF95" s="475"/>
      <c r="CG95" s="475"/>
      <c r="CH95" s="475"/>
      <c r="CI95" s="475"/>
      <c r="CJ95" s="475"/>
      <c r="CK95" s="475"/>
      <c r="CL95" s="475"/>
      <c r="CM95" s="475"/>
      <c r="CN95" s="477"/>
      <c r="CO95" s="477"/>
      <c r="CP95" s="477"/>
      <c r="CQ95" s="477"/>
      <c r="CR95" s="477"/>
      <c r="CS95" s="477"/>
      <c r="CT95" s="477"/>
      <c r="CU95" s="477"/>
      <c r="CV95" s="477"/>
      <c r="CW95" s="477"/>
      <c r="CX95" s="477"/>
      <c r="CY95" s="478"/>
      <c r="CZ95" s="478"/>
      <c r="DA95" s="478"/>
      <c r="DB95" s="478"/>
      <c r="DC95" s="478"/>
      <c r="DD95" s="478"/>
      <c r="DE95" s="478"/>
      <c r="DF95" s="478"/>
      <c r="DG95" s="478"/>
      <c r="DH95" s="478"/>
      <c r="DI95" s="478"/>
      <c r="DJ95" s="478"/>
      <c r="DK95" s="478"/>
      <c r="DL95" s="478"/>
      <c r="DM95" s="478"/>
      <c r="DN95" s="478"/>
      <c r="DO95" s="478"/>
      <c r="DP95" s="478"/>
      <c r="DQ95" s="478"/>
      <c r="DR95" s="478"/>
      <c r="DS95" s="478"/>
      <c r="DT95" s="478"/>
      <c r="DU95" s="478"/>
      <c r="DV95" s="478"/>
      <c r="DW95" s="478"/>
      <c r="DX95" s="478"/>
      <c r="DY95" s="478"/>
      <c r="DZ95" s="478"/>
      <c r="EA95" s="477"/>
      <c r="EB95" s="477"/>
    </row>
    <row r="96" spans="1:142" ht="18.899999999999999" customHeight="1">
      <c r="A96" s="490" t="s">
        <v>268</v>
      </c>
      <c r="B96" s="473" t="s">
        <v>2178</v>
      </c>
      <c r="C96" s="482"/>
      <c r="D96" s="482"/>
      <c r="E96" s="483" t="s">
        <v>1827</v>
      </c>
      <c r="F96" s="473"/>
      <c r="G96" s="484"/>
      <c r="H96" s="475"/>
      <c r="I96" s="490" t="s">
        <v>268</v>
      </c>
      <c r="J96" s="473" t="s">
        <v>2178</v>
      </c>
      <c r="K96" s="473"/>
      <c r="L96" s="485">
        <f t="shared" si="3"/>
        <v>0</v>
      </c>
      <c r="M96" s="486"/>
      <c r="N96" s="475" t="s">
        <v>1827</v>
      </c>
      <c r="O96" s="475"/>
      <c r="P96" s="475"/>
      <c r="Q96" s="475"/>
      <c r="R96" s="475"/>
      <c r="S96" s="475"/>
      <c r="T96" s="475"/>
      <c r="U96" s="475"/>
      <c r="V96" s="475"/>
      <c r="W96" s="475"/>
      <c r="X96" s="475"/>
      <c r="Y96" s="475"/>
      <c r="Z96" s="475"/>
      <c r="AA96" s="475"/>
      <c r="AB96" s="475"/>
      <c r="AC96" s="475"/>
      <c r="AD96" s="475"/>
      <c r="AE96" s="475"/>
      <c r="AF96" s="475"/>
      <c r="AG96" s="475"/>
      <c r="AH96" s="475"/>
      <c r="AI96" s="475"/>
      <c r="AJ96" s="475"/>
      <c r="AK96" s="475"/>
      <c r="AL96" s="475"/>
      <c r="AM96" s="475"/>
      <c r="AN96" s="475"/>
      <c r="AO96" s="473"/>
      <c r="AP96" s="473"/>
      <c r="AQ96" s="473"/>
      <c r="AR96" s="473"/>
      <c r="AS96" s="473"/>
      <c r="AT96" s="473"/>
      <c r="AU96" s="473"/>
      <c r="AV96" s="473"/>
      <c r="AW96" s="473"/>
      <c r="AX96" s="473"/>
      <c r="AY96" s="473"/>
      <c r="AZ96" s="473"/>
      <c r="BA96" s="473"/>
      <c r="BB96" s="475"/>
      <c r="BC96" s="475"/>
      <c r="BD96" s="475"/>
      <c r="BE96" s="475"/>
      <c r="BF96" s="475"/>
      <c r="BG96" s="475"/>
      <c r="BH96" s="475"/>
      <c r="BI96" s="475"/>
      <c r="BJ96" s="475"/>
      <c r="BK96" s="475"/>
      <c r="BL96" s="475"/>
      <c r="BM96" s="475"/>
      <c r="BN96" s="475"/>
      <c r="BO96" s="473"/>
      <c r="BP96" s="473"/>
      <c r="BQ96" s="473"/>
      <c r="BR96" s="473"/>
      <c r="BS96" s="475"/>
      <c r="BT96" s="475"/>
      <c r="BU96" s="475"/>
      <c r="BV96" s="475"/>
      <c r="BW96" s="475"/>
      <c r="BX96" s="475"/>
      <c r="BY96" s="475"/>
      <c r="BZ96" s="475"/>
      <c r="CA96" s="475"/>
      <c r="CB96" s="475"/>
      <c r="CC96" s="475"/>
      <c r="CD96" s="475"/>
      <c r="CE96" s="475"/>
      <c r="CF96" s="475"/>
      <c r="CG96" s="475"/>
      <c r="CH96" s="475"/>
      <c r="CI96" s="475"/>
      <c r="CJ96" s="475"/>
      <c r="CK96" s="475"/>
      <c r="CL96" s="475"/>
      <c r="CM96" s="475"/>
      <c r="CN96" s="477"/>
      <c r="CO96" s="477"/>
      <c r="CP96" s="477"/>
      <c r="CQ96" s="477"/>
      <c r="CR96" s="477"/>
      <c r="CS96" s="477"/>
      <c r="CT96" s="477"/>
      <c r="CU96" s="477"/>
      <c r="CV96" s="477"/>
      <c r="CW96" s="477"/>
      <c r="CX96" s="477"/>
      <c r="CY96" s="478"/>
      <c r="CZ96" s="478"/>
      <c r="DA96" s="478"/>
      <c r="DB96" s="478"/>
      <c r="DC96" s="478"/>
      <c r="DD96" s="478"/>
      <c r="DE96" s="478"/>
      <c r="DF96" s="478"/>
      <c r="DG96" s="478"/>
      <c r="DH96" s="478"/>
      <c r="DI96" s="478"/>
      <c r="DJ96" s="478"/>
      <c r="DK96" s="478"/>
      <c r="DL96" s="478"/>
      <c r="DM96" s="478"/>
      <c r="DN96" s="478"/>
      <c r="DO96" s="478"/>
      <c r="DP96" s="478"/>
      <c r="DQ96" s="478"/>
      <c r="DR96" s="478"/>
      <c r="DS96" s="478"/>
      <c r="DT96" s="478"/>
      <c r="DU96" s="478"/>
      <c r="DV96" s="478"/>
      <c r="DW96" s="478"/>
      <c r="DX96" s="478"/>
      <c r="DY96" s="478"/>
      <c r="DZ96" s="478"/>
      <c r="EA96" s="477"/>
      <c r="EB96" s="477"/>
    </row>
    <row r="97" spans="1:132" ht="18.899999999999999" customHeight="1">
      <c r="A97" s="490" t="s">
        <v>267</v>
      </c>
      <c r="B97" s="473" t="s">
        <v>2178</v>
      </c>
      <c r="C97" s="482"/>
      <c r="D97" s="482"/>
      <c r="E97" s="483" t="s">
        <v>1827</v>
      </c>
      <c r="F97" s="473"/>
      <c r="G97" s="484"/>
      <c r="H97" s="475"/>
      <c r="I97" s="490" t="s">
        <v>267</v>
      </c>
      <c r="J97" s="473" t="s">
        <v>2178</v>
      </c>
      <c r="K97" s="473"/>
      <c r="L97" s="485">
        <f t="shared" si="3"/>
        <v>0</v>
      </c>
      <c r="M97" s="486"/>
      <c r="N97" s="475" t="s">
        <v>1827</v>
      </c>
      <c r="O97" s="475"/>
      <c r="P97" s="475"/>
      <c r="Q97" s="475"/>
      <c r="R97" s="475"/>
      <c r="S97" s="475"/>
      <c r="T97" s="475"/>
      <c r="U97" s="475"/>
      <c r="V97" s="475"/>
      <c r="W97" s="475"/>
      <c r="X97" s="475"/>
      <c r="Y97" s="475"/>
      <c r="Z97" s="475"/>
      <c r="AA97" s="475"/>
      <c r="AB97" s="475"/>
      <c r="AC97" s="475"/>
      <c r="AD97" s="475"/>
      <c r="AE97" s="475"/>
      <c r="AF97" s="475"/>
      <c r="AG97" s="475"/>
      <c r="AH97" s="475"/>
      <c r="AI97" s="475"/>
      <c r="AJ97" s="475"/>
      <c r="AK97" s="475"/>
      <c r="AL97" s="475"/>
      <c r="AM97" s="475"/>
      <c r="AN97" s="475"/>
      <c r="AO97" s="473"/>
      <c r="AP97" s="473"/>
      <c r="AQ97" s="473"/>
      <c r="AR97" s="473"/>
      <c r="AS97" s="473"/>
      <c r="AT97" s="473"/>
      <c r="AU97" s="473"/>
      <c r="AV97" s="473"/>
      <c r="AW97" s="473"/>
      <c r="AX97" s="473"/>
      <c r="AY97" s="473"/>
      <c r="AZ97" s="473"/>
      <c r="BA97" s="473"/>
      <c r="BB97" s="475"/>
      <c r="BC97" s="475"/>
      <c r="BD97" s="475"/>
      <c r="BE97" s="475"/>
      <c r="BF97" s="475"/>
      <c r="BG97" s="475"/>
      <c r="BH97" s="475"/>
      <c r="BI97" s="475"/>
      <c r="BJ97" s="475"/>
      <c r="BK97" s="475"/>
      <c r="BL97" s="475"/>
      <c r="BM97" s="475"/>
      <c r="BN97" s="475"/>
      <c r="BO97" s="473"/>
      <c r="BP97" s="473"/>
      <c r="BQ97" s="473"/>
      <c r="BR97" s="473"/>
      <c r="BS97" s="475"/>
      <c r="BT97" s="475"/>
      <c r="BU97" s="475"/>
      <c r="BV97" s="475"/>
      <c r="BW97" s="475"/>
      <c r="BX97" s="475"/>
      <c r="BY97" s="475"/>
      <c r="BZ97" s="475"/>
      <c r="CA97" s="475"/>
      <c r="CB97" s="475"/>
      <c r="CC97" s="475"/>
      <c r="CD97" s="475"/>
      <c r="CE97" s="475"/>
      <c r="CF97" s="475"/>
      <c r="CG97" s="475"/>
      <c r="CH97" s="475"/>
      <c r="CI97" s="475"/>
      <c r="CJ97" s="475"/>
      <c r="CK97" s="475"/>
      <c r="CL97" s="475"/>
      <c r="CM97" s="475"/>
      <c r="CN97" s="477"/>
      <c r="CO97" s="477"/>
      <c r="CP97" s="477"/>
      <c r="CQ97" s="477"/>
      <c r="CR97" s="477"/>
      <c r="CS97" s="477"/>
      <c r="CT97" s="477"/>
      <c r="CU97" s="477"/>
      <c r="CV97" s="477"/>
      <c r="CW97" s="477"/>
      <c r="CX97" s="477"/>
      <c r="CY97" s="478"/>
      <c r="CZ97" s="478"/>
      <c r="DA97" s="478"/>
      <c r="DB97" s="478"/>
      <c r="DC97" s="478"/>
      <c r="DD97" s="478"/>
      <c r="DE97" s="478"/>
      <c r="DF97" s="478"/>
      <c r="DG97" s="478"/>
      <c r="DH97" s="478"/>
      <c r="DI97" s="478"/>
      <c r="DJ97" s="478"/>
      <c r="DK97" s="478"/>
      <c r="DL97" s="478"/>
      <c r="DM97" s="478"/>
      <c r="DN97" s="478"/>
      <c r="DO97" s="478"/>
      <c r="DP97" s="478"/>
      <c r="DQ97" s="478"/>
      <c r="DR97" s="478"/>
      <c r="DS97" s="478"/>
      <c r="DT97" s="478"/>
      <c r="DU97" s="478"/>
      <c r="DV97" s="478"/>
      <c r="DW97" s="478"/>
      <c r="DX97" s="478"/>
      <c r="DY97" s="478"/>
      <c r="DZ97" s="478"/>
      <c r="EA97" s="477"/>
      <c r="EB97" s="477"/>
    </row>
    <row r="98" spans="1:132" ht="18.899999999999999" customHeight="1">
      <c r="A98" s="491" t="s">
        <v>1058</v>
      </c>
      <c r="B98" s="473" t="s">
        <v>2178</v>
      </c>
      <c r="C98" s="492"/>
      <c r="D98" s="492"/>
      <c r="E98" s="483" t="s">
        <v>1827</v>
      </c>
      <c r="F98" s="473"/>
      <c r="H98" s="475"/>
      <c r="I98" s="491" t="s">
        <v>1058</v>
      </c>
      <c r="J98" s="473" t="s">
        <v>2178</v>
      </c>
      <c r="K98" s="473"/>
      <c r="L98" s="485">
        <f t="shared" si="3"/>
        <v>0</v>
      </c>
      <c r="M98" s="486"/>
      <c r="N98" s="475" t="s">
        <v>1827</v>
      </c>
      <c r="O98" s="475"/>
      <c r="P98" s="475"/>
      <c r="Q98" s="475"/>
      <c r="R98" s="475"/>
      <c r="S98" s="475"/>
      <c r="T98" s="475"/>
      <c r="U98" s="475"/>
      <c r="V98" s="475"/>
      <c r="W98" s="475"/>
      <c r="X98" s="475"/>
      <c r="Y98" s="475"/>
      <c r="Z98" s="475"/>
      <c r="AA98" s="475"/>
      <c r="AB98" s="475"/>
      <c r="AC98" s="475"/>
      <c r="AD98" s="475"/>
      <c r="AE98" s="475"/>
      <c r="AF98" s="475"/>
      <c r="AG98" s="475"/>
      <c r="AH98" s="475"/>
      <c r="AI98" s="475"/>
      <c r="AJ98" s="475"/>
      <c r="AK98" s="475"/>
      <c r="AL98" s="475"/>
      <c r="AM98" s="475"/>
      <c r="AN98" s="475"/>
      <c r="AO98" s="473"/>
      <c r="AP98" s="473"/>
      <c r="AQ98" s="473"/>
      <c r="AR98" s="473"/>
      <c r="AS98" s="473"/>
      <c r="AT98" s="473"/>
      <c r="AU98" s="473"/>
      <c r="AV98" s="473"/>
      <c r="AW98" s="473"/>
      <c r="AX98" s="473"/>
      <c r="AY98" s="473"/>
      <c r="AZ98" s="473"/>
      <c r="BA98" s="473"/>
      <c r="BB98" s="475"/>
      <c r="BC98" s="475"/>
      <c r="BD98" s="475"/>
      <c r="BE98" s="475"/>
      <c r="BF98" s="475"/>
      <c r="BG98" s="475"/>
      <c r="BH98" s="475"/>
      <c r="BI98" s="475"/>
      <c r="BJ98" s="475"/>
      <c r="BK98" s="475"/>
      <c r="BL98" s="475"/>
      <c r="BM98" s="475"/>
      <c r="BN98" s="475"/>
      <c r="BO98" s="473"/>
      <c r="BP98" s="473"/>
      <c r="BQ98" s="473"/>
      <c r="BR98" s="473"/>
      <c r="BS98" s="475"/>
      <c r="BT98" s="475"/>
      <c r="BU98" s="475"/>
      <c r="BV98" s="475"/>
      <c r="BW98" s="475"/>
      <c r="BX98" s="475"/>
      <c r="BY98" s="475"/>
      <c r="BZ98" s="475"/>
      <c r="CA98" s="475"/>
      <c r="CB98" s="475"/>
      <c r="CC98" s="475"/>
      <c r="CD98" s="475"/>
      <c r="CE98" s="475"/>
      <c r="CF98" s="475"/>
      <c r="CG98" s="475"/>
      <c r="CH98" s="475"/>
      <c r="CI98" s="475"/>
      <c r="CJ98" s="475"/>
      <c r="CK98" s="475"/>
      <c r="CL98" s="475"/>
      <c r="CM98" s="475"/>
      <c r="CN98" s="477"/>
      <c r="CO98" s="477"/>
      <c r="CP98" s="477"/>
      <c r="CQ98" s="477"/>
      <c r="CR98" s="477"/>
      <c r="CS98" s="477"/>
      <c r="CT98" s="477"/>
      <c r="CU98" s="477"/>
      <c r="CV98" s="477"/>
      <c r="CW98" s="477"/>
      <c r="CX98" s="477"/>
      <c r="CY98" s="478"/>
      <c r="CZ98" s="478"/>
      <c r="DA98" s="478"/>
      <c r="DB98" s="478"/>
      <c r="DC98" s="478"/>
      <c r="DD98" s="478"/>
      <c r="DE98" s="478"/>
      <c r="DF98" s="478"/>
      <c r="DG98" s="478"/>
      <c r="DH98" s="478"/>
      <c r="DI98" s="478"/>
      <c r="DJ98" s="478"/>
      <c r="DK98" s="478"/>
      <c r="DL98" s="478"/>
      <c r="DM98" s="478"/>
      <c r="DN98" s="478"/>
      <c r="DO98" s="478"/>
      <c r="DP98" s="478"/>
      <c r="DQ98" s="478"/>
      <c r="DR98" s="478"/>
      <c r="DS98" s="478"/>
      <c r="DT98" s="478"/>
      <c r="DU98" s="478"/>
      <c r="DV98" s="478"/>
      <c r="DW98" s="478"/>
      <c r="DX98" s="478"/>
      <c r="DY98" s="478"/>
      <c r="DZ98" s="478"/>
      <c r="EA98" s="477"/>
      <c r="EB98" s="477"/>
    </row>
    <row r="99" spans="1:132" ht="18.899999999999999" customHeight="1">
      <c r="A99" s="3021" t="s">
        <v>1639</v>
      </c>
      <c r="B99" s="3021"/>
      <c r="C99" s="3021"/>
      <c r="D99" s="482">
        <f>2*3*D82</f>
        <v>0</v>
      </c>
      <c r="E99" s="483" t="s">
        <v>1827</v>
      </c>
      <c r="F99" s="473"/>
      <c r="G99" s="484"/>
      <c r="H99" s="475"/>
      <c r="I99" s="491" t="s">
        <v>1639</v>
      </c>
      <c r="J99" s="473" t="s">
        <v>2178</v>
      </c>
      <c r="K99" s="473"/>
      <c r="L99" s="485">
        <f>D99*1.02</f>
        <v>0</v>
      </c>
      <c r="M99" s="486"/>
      <c r="N99" s="475" t="s">
        <v>1827</v>
      </c>
      <c r="O99" s="475"/>
      <c r="P99" s="475"/>
      <c r="Q99" s="475"/>
      <c r="R99" s="475"/>
      <c r="S99" s="475"/>
      <c r="T99" s="475"/>
      <c r="U99" s="475"/>
      <c r="V99" s="475"/>
      <c r="W99" s="475"/>
      <c r="X99" s="475"/>
      <c r="Y99" s="475"/>
      <c r="Z99" s="475"/>
      <c r="AA99" s="475"/>
      <c r="AB99" s="475"/>
      <c r="AC99" s="475"/>
      <c r="AD99" s="475"/>
      <c r="AE99" s="475"/>
      <c r="AF99" s="475"/>
      <c r="AG99" s="475"/>
      <c r="AH99" s="475"/>
      <c r="AI99" s="475"/>
      <c r="AJ99" s="475"/>
      <c r="AK99" s="475"/>
      <c r="AL99" s="475"/>
      <c r="AM99" s="475"/>
      <c r="AN99" s="475"/>
      <c r="AO99" s="473"/>
      <c r="AP99" s="473"/>
      <c r="AQ99" s="473"/>
      <c r="AR99" s="473"/>
      <c r="AS99" s="473"/>
      <c r="AT99" s="473"/>
      <c r="AU99" s="473"/>
      <c r="AV99" s="473"/>
      <c r="AW99" s="473"/>
      <c r="AX99" s="473"/>
      <c r="AY99" s="473"/>
      <c r="AZ99" s="473"/>
      <c r="BA99" s="473"/>
      <c r="BB99" s="475"/>
      <c r="BC99" s="475"/>
      <c r="BD99" s="475"/>
      <c r="BE99" s="475"/>
      <c r="BF99" s="475"/>
      <c r="BG99" s="475"/>
      <c r="BH99" s="475"/>
      <c r="BI99" s="475"/>
      <c r="BJ99" s="475"/>
      <c r="BK99" s="475"/>
      <c r="BL99" s="475"/>
      <c r="BM99" s="475"/>
      <c r="BN99" s="475"/>
      <c r="BO99" s="473"/>
      <c r="BP99" s="473"/>
      <c r="BQ99" s="473"/>
      <c r="BR99" s="473"/>
      <c r="BS99" s="475"/>
      <c r="BT99" s="475"/>
      <c r="BU99" s="475"/>
      <c r="BV99" s="475"/>
      <c r="BW99" s="475"/>
      <c r="BX99" s="475"/>
      <c r="BY99" s="475"/>
      <c r="BZ99" s="475"/>
      <c r="CA99" s="475"/>
      <c r="CB99" s="475"/>
      <c r="CC99" s="475"/>
      <c r="CD99" s="475"/>
      <c r="CE99" s="475"/>
      <c r="CF99" s="475"/>
      <c r="CG99" s="475"/>
      <c r="CH99" s="475"/>
      <c r="CI99" s="475"/>
      <c r="CJ99" s="475"/>
      <c r="CK99" s="475"/>
      <c r="CL99" s="475"/>
      <c r="CM99" s="475"/>
      <c r="CN99" s="477"/>
      <c r="CO99" s="477"/>
      <c r="CP99" s="477"/>
      <c r="CQ99" s="477"/>
      <c r="CR99" s="477"/>
      <c r="CS99" s="477"/>
      <c r="CT99" s="477"/>
      <c r="CU99" s="477"/>
      <c r="CV99" s="477"/>
      <c r="CW99" s="477"/>
      <c r="CX99" s="477"/>
      <c r="CY99" s="478"/>
      <c r="CZ99" s="478"/>
      <c r="DA99" s="478"/>
      <c r="DB99" s="478"/>
      <c r="DC99" s="478"/>
      <c r="DD99" s="478"/>
      <c r="DE99" s="478"/>
      <c r="DF99" s="478"/>
      <c r="DG99" s="478"/>
      <c r="DH99" s="478"/>
      <c r="DI99" s="478"/>
      <c r="DJ99" s="478"/>
      <c r="DK99" s="478"/>
      <c r="DL99" s="478"/>
      <c r="DM99" s="478"/>
      <c r="DN99" s="478"/>
      <c r="DO99" s="478"/>
      <c r="DP99" s="478"/>
      <c r="DQ99" s="478"/>
      <c r="DR99" s="478"/>
      <c r="DS99" s="478"/>
      <c r="DT99" s="478"/>
      <c r="DU99" s="478"/>
      <c r="DV99" s="478"/>
      <c r="DW99" s="478"/>
      <c r="DX99" s="478"/>
      <c r="DY99" s="478"/>
      <c r="DZ99" s="478"/>
      <c r="EA99" s="477"/>
      <c r="EB99" s="477"/>
    </row>
    <row r="100" spans="1:132" ht="18.899999999999999" customHeight="1">
      <c r="A100" s="491" t="s">
        <v>1638</v>
      </c>
      <c r="B100" s="473" t="s">
        <v>2178</v>
      </c>
      <c r="C100" s="482"/>
      <c r="D100" s="482"/>
      <c r="E100" s="483" t="s">
        <v>1827</v>
      </c>
      <c r="F100" s="473"/>
      <c r="G100" s="484"/>
      <c r="H100" s="475"/>
      <c r="I100" s="491" t="s">
        <v>1638</v>
      </c>
      <c r="J100" s="473" t="s">
        <v>2178</v>
      </c>
      <c r="K100" s="473"/>
      <c r="L100" s="485">
        <f t="shared" si="3"/>
        <v>0</v>
      </c>
      <c r="M100" s="486"/>
      <c r="N100" s="475" t="s">
        <v>1827</v>
      </c>
      <c r="O100" s="475"/>
      <c r="P100" s="475"/>
      <c r="Q100" s="475"/>
      <c r="R100" s="475"/>
      <c r="S100" s="475"/>
      <c r="T100" s="475"/>
      <c r="U100" s="475"/>
      <c r="V100" s="475"/>
      <c r="W100" s="475"/>
      <c r="X100" s="475"/>
      <c r="Y100" s="475"/>
      <c r="Z100" s="475"/>
      <c r="AA100" s="475"/>
      <c r="AB100" s="475"/>
      <c r="AC100" s="475"/>
      <c r="AD100" s="475"/>
      <c r="AE100" s="475"/>
      <c r="AF100" s="475"/>
      <c r="AG100" s="475"/>
      <c r="AH100" s="475"/>
      <c r="AI100" s="475"/>
      <c r="AJ100" s="475"/>
      <c r="AK100" s="475"/>
      <c r="AL100" s="475"/>
      <c r="AM100" s="475"/>
      <c r="AN100" s="475"/>
      <c r="AO100" s="473"/>
      <c r="AP100" s="473"/>
      <c r="AQ100" s="473"/>
      <c r="AR100" s="473"/>
      <c r="AS100" s="473"/>
      <c r="AT100" s="473"/>
      <c r="AU100" s="473"/>
      <c r="AV100" s="473"/>
      <c r="AW100" s="473"/>
      <c r="AX100" s="473"/>
      <c r="AY100" s="473"/>
      <c r="AZ100" s="473"/>
      <c r="BA100" s="473"/>
      <c r="BB100" s="475"/>
      <c r="BC100" s="475"/>
      <c r="BD100" s="475"/>
      <c r="BE100" s="475"/>
      <c r="BF100" s="475"/>
      <c r="BG100" s="475"/>
      <c r="BH100" s="475"/>
      <c r="BI100" s="475"/>
      <c r="BJ100" s="475"/>
      <c r="BK100" s="475"/>
      <c r="BL100" s="475"/>
      <c r="BM100" s="475"/>
      <c r="BN100" s="475"/>
      <c r="BO100" s="473"/>
      <c r="BP100" s="473"/>
      <c r="BQ100" s="473"/>
      <c r="BR100" s="473"/>
      <c r="BS100" s="475"/>
      <c r="BT100" s="475"/>
      <c r="BU100" s="475"/>
      <c r="BV100" s="475"/>
      <c r="BW100" s="475"/>
      <c r="BX100" s="475"/>
      <c r="BY100" s="475"/>
      <c r="BZ100" s="475"/>
      <c r="CA100" s="475"/>
      <c r="CB100" s="475"/>
      <c r="CC100" s="475"/>
      <c r="CD100" s="475"/>
      <c r="CE100" s="475"/>
      <c r="CF100" s="475"/>
      <c r="CG100" s="475"/>
      <c r="CH100" s="475"/>
      <c r="CI100" s="475"/>
      <c r="CJ100" s="475"/>
      <c r="CK100" s="475"/>
      <c r="CL100" s="475"/>
      <c r="CM100" s="475"/>
      <c r="CN100" s="477"/>
      <c r="CO100" s="477"/>
      <c r="CP100" s="477"/>
      <c r="CQ100" s="477"/>
      <c r="CR100" s="477"/>
      <c r="CS100" s="477"/>
      <c r="CT100" s="477"/>
      <c r="CU100" s="477"/>
      <c r="CV100" s="477"/>
      <c r="CW100" s="477"/>
      <c r="CX100" s="477"/>
      <c r="CY100" s="478"/>
      <c r="CZ100" s="478"/>
      <c r="DA100" s="478"/>
      <c r="DB100" s="478"/>
      <c r="DC100" s="478"/>
      <c r="DD100" s="478"/>
      <c r="DE100" s="478"/>
      <c r="DF100" s="478"/>
      <c r="DG100" s="478"/>
      <c r="DH100" s="478"/>
      <c r="DI100" s="478"/>
      <c r="DJ100" s="478"/>
      <c r="DK100" s="478"/>
      <c r="DL100" s="478"/>
      <c r="DM100" s="478"/>
      <c r="DN100" s="478"/>
      <c r="DO100" s="478"/>
      <c r="DP100" s="478"/>
      <c r="DQ100" s="478"/>
      <c r="DR100" s="478"/>
      <c r="DS100" s="478"/>
      <c r="DT100" s="478"/>
      <c r="DU100" s="478"/>
      <c r="DV100" s="478"/>
      <c r="DW100" s="478"/>
      <c r="DX100" s="478"/>
      <c r="DY100" s="478"/>
      <c r="DZ100" s="478"/>
      <c r="EA100" s="477"/>
      <c r="EB100" s="477"/>
    </row>
    <row r="101" spans="1:132" ht="18.899999999999999" customHeight="1">
      <c r="A101" s="491" t="s">
        <v>1637</v>
      </c>
      <c r="B101" s="473" t="s">
        <v>2178</v>
      </c>
      <c r="C101" s="492"/>
      <c r="D101" s="492"/>
      <c r="E101" s="483" t="s">
        <v>1827</v>
      </c>
      <c r="F101" s="473"/>
      <c r="H101" s="475"/>
      <c r="I101" s="491" t="s">
        <v>1637</v>
      </c>
      <c r="J101" s="473" t="s">
        <v>2178</v>
      </c>
      <c r="K101" s="473"/>
      <c r="L101" s="485">
        <f>C101*1.03</f>
        <v>0</v>
      </c>
      <c r="M101" s="486"/>
      <c r="N101" s="475" t="s">
        <v>1827</v>
      </c>
      <c r="O101" s="475"/>
      <c r="P101" s="475"/>
      <c r="Q101" s="475"/>
      <c r="R101" s="475"/>
      <c r="S101" s="475"/>
      <c r="T101" s="475"/>
      <c r="U101" s="475"/>
      <c r="V101" s="475"/>
      <c r="W101" s="475"/>
      <c r="X101" s="475"/>
      <c r="Y101" s="475"/>
      <c r="Z101" s="475"/>
      <c r="AA101" s="475"/>
      <c r="AB101" s="475"/>
      <c r="AC101" s="475"/>
      <c r="AD101" s="475"/>
      <c r="AE101" s="475"/>
      <c r="AF101" s="475"/>
      <c r="AG101" s="475"/>
      <c r="AH101" s="475"/>
      <c r="AI101" s="475"/>
      <c r="AJ101" s="475"/>
      <c r="AK101" s="475"/>
      <c r="AL101" s="475"/>
      <c r="AM101" s="475"/>
      <c r="AN101" s="475"/>
      <c r="AO101" s="473"/>
      <c r="AP101" s="473"/>
      <c r="AQ101" s="473"/>
      <c r="AR101" s="473"/>
      <c r="AS101" s="473"/>
      <c r="AT101" s="473"/>
      <c r="AU101" s="473"/>
      <c r="AV101" s="473"/>
      <c r="AW101" s="473"/>
      <c r="AX101" s="473"/>
      <c r="AY101" s="473"/>
      <c r="AZ101" s="473"/>
      <c r="BA101" s="473"/>
      <c r="BB101" s="475"/>
      <c r="BC101" s="475"/>
      <c r="BD101" s="475"/>
      <c r="BE101" s="475"/>
      <c r="BF101" s="475"/>
      <c r="BG101" s="475"/>
      <c r="BH101" s="475"/>
      <c r="BI101" s="475"/>
      <c r="BJ101" s="475"/>
      <c r="BK101" s="475"/>
      <c r="BL101" s="475"/>
      <c r="BM101" s="475"/>
      <c r="BN101" s="475"/>
      <c r="BO101" s="473"/>
      <c r="BP101" s="473"/>
      <c r="BQ101" s="473"/>
      <c r="BR101" s="473"/>
      <c r="BS101" s="475"/>
      <c r="BT101" s="475"/>
      <c r="BU101" s="475"/>
      <c r="BV101" s="475"/>
      <c r="BW101" s="475"/>
      <c r="BX101" s="475"/>
      <c r="BY101" s="475"/>
      <c r="BZ101" s="475"/>
      <c r="CA101" s="475"/>
      <c r="CB101" s="475"/>
      <c r="CC101" s="475"/>
      <c r="CD101" s="475"/>
      <c r="CE101" s="475"/>
      <c r="CF101" s="475"/>
      <c r="CG101" s="475"/>
      <c r="CH101" s="475"/>
      <c r="CI101" s="475"/>
      <c r="CJ101" s="475"/>
      <c r="CK101" s="475"/>
      <c r="CL101" s="475"/>
      <c r="CM101" s="475"/>
      <c r="CN101" s="477"/>
      <c r="CO101" s="477"/>
      <c r="CP101" s="477"/>
      <c r="CQ101" s="477"/>
      <c r="CR101" s="477"/>
      <c r="CS101" s="477"/>
      <c r="CT101" s="477"/>
      <c r="CU101" s="477"/>
      <c r="CV101" s="477"/>
      <c r="CW101" s="477"/>
      <c r="CX101" s="477"/>
      <c r="CY101" s="478"/>
      <c r="CZ101" s="478"/>
      <c r="DA101" s="478"/>
      <c r="DB101" s="478"/>
      <c r="DC101" s="478"/>
      <c r="DD101" s="478"/>
      <c r="DE101" s="478"/>
      <c r="DF101" s="478"/>
      <c r="DG101" s="478"/>
      <c r="DH101" s="478"/>
      <c r="DI101" s="478"/>
      <c r="DJ101" s="478"/>
      <c r="DK101" s="478"/>
      <c r="DL101" s="478"/>
      <c r="DM101" s="478"/>
      <c r="DN101" s="478"/>
      <c r="DO101" s="478"/>
      <c r="DP101" s="478"/>
      <c r="DQ101" s="478"/>
      <c r="DR101" s="478"/>
      <c r="DS101" s="478"/>
      <c r="DT101" s="478"/>
      <c r="DU101" s="478"/>
      <c r="DV101" s="478"/>
      <c r="DW101" s="478"/>
      <c r="DX101" s="478"/>
      <c r="DY101" s="478"/>
      <c r="DZ101" s="478"/>
      <c r="EA101" s="477"/>
      <c r="EB101" s="477"/>
    </row>
    <row r="102" spans="1:132" ht="18.899999999999999" customHeight="1">
      <c r="A102" s="491" t="s">
        <v>1636</v>
      </c>
      <c r="B102" s="473" t="s">
        <v>2178</v>
      </c>
      <c r="C102" s="482"/>
      <c r="D102" s="482"/>
      <c r="E102" s="483" t="s">
        <v>1827</v>
      </c>
      <c r="F102" s="473"/>
      <c r="G102" s="484"/>
      <c r="H102" s="475"/>
      <c r="I102" s="491" t="s">
        <v>1636</v>
      </c>
      <c r="J102" s="473" t="s">
        <v>2178</v>
      </c>
      <c r="K102" s="473"/>
      <c r="L102" s="485">
        <f>C102*1.03</f>
        <v>0</v>
      </c>
      <c r="M102" s="486"/>
      <c r="N102" s="475" t="s">
        <v>1827</v>
      </c>
      <c r="O102" s="475"/>
      <c r="P102" s="475"/>
      <c r="Q102" s="475"/>
      <c r="R102" s="475"/>
      <c r="S102" s="475"/>
      <c r="T102" s="475"/>
      <c r="U102" s="475"/>
      <c r="V102" s="475"/>
      <c r="W102" s="475"/>
      <c r="X102" s="475"/>
      <c r="Y102" s="475"/>
      <c r="Z102" s="475"/>
      <c r="AA102" s="475"/>
      <c r="AB102" s="475"/>
      <c r="AC102" s="475"/>
      <c r="AD102" s="475"/>
      <c r="AE102" s="475"/>
      <c r="AF102" s="475"/>
      <c r="AG102" s="475"/>
      <c r="AH102" s="475"/>
      <c r="AI102" s="475"/>
      <c r="AJ102" s="475"/>
      <c r="AK102" s="475"/>
      <c r="AL102" s="475"/>
      <c r="AM102" s="475"/>
      <c r="AN102" s="475"/>
      <c r="AO102" s="473"/>
      <c r="AP102" s="473"/>
      <c r="AQ102" s="473"/>
      <c r="AR102" s="473"/>
      <c r="AS102" s="473"/>
      <c r="AT102" s="473"/>
      <c r="AU102" s="473"/>
      <c r="AV102" s="473"/>
      <c r="AW102" s="473"/>
      <c r="AX102" s="473"/>
      <c r="AY102" s="473"/>
      <c r="AZ102" s="473"/>
      <c r="BA102" s="473"/>
      <c r="BB102" s="475"/>
      <c r="BC102" s="475"/>
      <c r="BD102" s="475"/>
      <c r="BE102" s="475"/>
      <c r="BF102" s="475"/>
      <c r="BG102" s="475"/>
      <c r="BH102" s="475"/>
      <c r="BI102" s="475"/>
      <c r="BJ102" s="475"/>
      <c r="BK102" s="475"/>
      <c r="BL102" s="475"/>
      <c r="BM102" s="475"/>
      <c r="BN102" s="475"/>
      <c r="BO102" s="473"/>
      <c r="BP102" s="473"/>
      <c r="BQ102" s="473"/>
      <c r="BR102" s="473"/>
      <c r="BS102" s="475"/>
      <c r="BT102" s="475"/>
      <c r="BU102" s="475"/>
      <c r="BV102" s="475"/>
      <c r="BW102" s="475"/>
      <c r="BX102" s="475"/>
      <c r="BY102" s="475"/>
      <c r="BZ102" s="475"/>
      <c r="CA102" s="475"/>
      <c r="CB102" s="475"/>
      <c r="CC102" s="475"/>
      <c r="CD102" s="475"/>
      <c r="CE102" s="475"/>
      <c r="CF102" s="475"/>
      <c r="CG102" s="475"/>
      <c r="CH102" s="475"/>
      <c r="CI102" s="475"/>
      <c r="CJ102" s="475"/>
      <c r="CK102" s="475"/>
      <c r="CL102" s="475"/>
      <c r="CM102" s="475"/>
      <c r="CN102" s="477"/>
      <c r="CO102" s="477"/>
      <c r="CP102" s="477"/>
      <c r="CQ102" s="477"/>
      <c r="CR102" s="477"/>
      <c r="CS102" s="477"/>
      <c r="CT102" s="477"/>
      <c r="CU102" s="477"/>
      <c r="CV102" s="477"/>
      <c r="CW102" s="477"/>
      <c r="CX102" s="477"/>
      <c r="CY102" s="478"/>
      <c r="CZ102" s="478"/>
      <c r="DA102" s="478"/>
      <c r="DB102" s="478"/>
      <c r="DC102" s="478"/>
      <c r="DD102" s="478"/>
      <c r="DE102" s="478"/>
      <c r="DF102" s="478"/>
      <c r="DG102" s="478"/>
      <c r="DH102" s="478"/>
      <c r="DI102" s="478"/>
      <c r="DJ102" s="478"/>
      <c r="DK102" s="478"/>
      <c r="DL102" s="478"/>
      <c r="DM102" s="478"/>
      <c r="DN102" s="478"/>
      <c r="DO102" s="478"/>
      <c r="DP102" s="478"/>
      <c r="DQ102" s="478"/>
      <c r="DR102" s="478"/>
      <c r="DS102" s="478"/>
      <c r="DT102" s="478"/>
      <c r="DU102" s="478"/>
      <c r="DV102" s="478"/>
      <c r="DW102" s="478"/>
      <c r="DX102" s="478"/>
      <c r="DY102" s="478"/>
      <c r="DZ102" s="478"/>
      <c r="EA102" s="477"/>
      <c r="EB102" s="477"/>
    </row>
    <row r="103" spans="1:132" ht="18.899999999999999" customHeight="1">
      <c r="A103" s="491" t="s">
        <v>854</v>
      </c>
      <c r="B103" s="473" t="s">
        <v>2178</v>
      </c>
      <c r="C103" s="492"/>
      <c r="D103" s="492"/>
      <c r="E103" s="483" t="s">
        <v>1827</v>
      </c>
      <c r="F103" s="473"/>
      <c r="H103" s="475"/>
      <c r="I103" s="491" t="s">
        <v>854</v>
      </c>
      <c r="J103" s="473" t="s">
        <v>2178</v>
      </c>
      <c r="K103" s="473"/>
      <c r="L103" s="485">
        <f>C103*1.03</f>
        <v>0</v>
      </c>
      <c r="M103" s="486"/>
      <c r="N103" s="475" t="s">
        <v>1827</v>
      </c>
      <c r="O103" s="475"/>
      <c r="P103" s="475"/>
      <c r="Q103" s="475"/>
      <c r="R103" s="475"/>
      <c r="S103" s="475"/>
      <c r="T103" s="475"/>
      <c r="U103" s="475"/>
      <c r="V103" s="475"/>
      <c r="W103" s="475"/>
      <c r="X103" s="475"/>
      <c r="Y103" s="475"/>
      <c r="Z103" s="475"/>
      <c r="AA103" s="475"/>
      <c r="AB103" s="475"/>
      <c r="AC103" s="475"/>
      <c r="AD103" s="475"/>
      <c r="AE103" s="475"/>
      <c r="AF103" s="475"/>
      <c r="AG103" s="475"/>
      <c r="AH103" s="475"/>
      <c r="AI103" s="475"/>
      <c r="AJ103" s="475"/>
      <c r="AK103" s="475"/>
      <c r="AL103" s="475"/>
      <c r="AM103" s="475"/>
      <c r="AN103" s="475"/>
      <c r="AO103" s="473"/>
      <c r="AP103" s="473"/>
      <c r="AQ103" s="473"/>
      <c r="AR103" s="473"/>
      <c r="AS103" s="473"/>
      <c r="AT103" s="473"/>
      <c r="AU103" s="473"/>
      <c r="AV103" s="473"/>
      <c r="AW103" s="473"/>
      <c r="AX103" s="473"/>
      <c r="AY103" s="473"/>
      <c r="AZ103" s="473"/>
      <c r="BA103" s="473"/>
      <c r="BB103" s="475"/>
      <c r="BC103" s="475"/>
      <c r="BD103" s="475"/>
      <c r="BE103" s="475"/>
      <c r="BF103" s="475"/>
      <c r="BG103" s="475"/>
      <c r="BH103" s="475"/>
      <c r="BI103" s="475"/>
      <c r="BJ103" s="475"/>
      <c r="BK103" s="475"/>
      <c r="BL103" s="475"/>
      <c r="BM103" s="475"/>
      <c r="BN103" s="475"/>
      <c r="BO103" s="473"/>
      <c r="BP103" s="473"/>
      <c r="BQ103" s="473"/>
      <c r="BR103" s="473"/>
      <c r="BS103" s="475"/>
      <c r="BT103" s="475"/>
      <c r="BU103" s="475"/>
      <c r="BV103" s="475"/>
      <c r="BW103" s="475"/>
      <c r="BX103" s="475"/>
      <c r="BY103" s="475"/>
      <c r="BZ103" s="475"/>
      <c r="CA103" s="475"/>
      <c r="CB103" s="475"/>
      <c r="CC103" s="475"/>
      <c r="CD103" s="475"/>
      <c r="CE103" s="475"/>
      <c r="CF103" s="475"/>
      <c r="CG103" s="475"/>
      <c r="CH103" s="475"/>
      <c r="CI103" s="475"/>
      <c r="CJ103" s="475"/>
      <c r="CK103" s="475"/>
      <c r="CL103" s="475"/>
      <c r="CM103" s="475"/>
      <c r="CN103" s="477"/>
      <c r="CO103" s="477"/>
      <c r="CP103" s="477"/>
      <c r="CQ103" s="477"/>
      <c r="CR103" s="477"/>
      <c r="CS103" s="477"/>
      <c r="CT103" s="477"/>
      <c r="CU103" s="477"/>
      <c r="CV103" s="477"/>
      <c r="CW103" s="477"/>
      <c r="CX103" s="477"/>
      <c r="CY103" s="478"/>
      <c r="CZ103" s="478"/>
      <c r="DA103" s="478"/>
      <c r="DB103" s="478"/>
      <c r="DC103" s="478"/>
      <c r="DD103" s="478"/>
      <c r="DE103" s="478"/>
      <c r="DF103" s="478"/>
      <c r="DG103" s="478"/>
      <c r="DH103" s="478"/>
      <c r="DI103" s="478"/>
      <c r="DJ103" s="478"/>
      <c r="DK103" s="478"/>
      <c r="DL103" s="478"/>
      <c r="DM103" s="478"/>
      <c r="DN103" s="478"/>
      <c r="DO103" s="478"/>
      <c r="DP103" s="478"/>
      <c r="DQ103" s="478"/>
      <c r="DR103" s="478"/>
      <c r="DS103" s="478"/>
      <c r="DT103" s="478"/>
      <c r="DU103" s="478"/>
      <c r="DV103" s="478"/>
      <c r="DW103" s="478"/>
      <c r="DX103" s="478"/>
      <c r="DY103" s="478"/>
      <c r="DZ103" s="478"/>
      <c r="EA103" s="477"/>
      <c r="EB103" s="477"/>
    </row>
    <row r="104" spans="1:132" ht="18.899999999999999" customHeight="1">
      <c r="B104" s="484"/>
      <c r="C104" s="493"/>
      <c r="D104" s="493"/>
      <c r="E104" s="493"/>
      <c r="F104" s="473"/>
      <c r="H104" s="475"/>
      <c r="I104" s="473"/>
      <c r="J104" s="476"/>
      <c r="K104" s="476"/>
      <c r="L104" s="476"/>
      <c r="M104" s="475"/>
      <c r="N104" s="475"/>
      <c r="O104" s="475"/>
      <c r="P104" s="475"/>
      <c r="Q104" s="475"/>
      <c r="R104" s="475"/>
      <c r="S104" s="475"/>
      <c r="T104" s="475"/>
      <c r="U104" s="475"/>
      <c r="V104" s="475"/>
      <c r="W104" s="475"/>
      <c r="X104" s="475"/>
      <c r="Y104" s="475"/>
      <c r="Z104" s="475"/>
      <c r="AA104" s="475"/>
      <c r="AB104" s="475"/>
      <c r="AC104" s="475"/>
      <c r="AD104" s="475"/>
      <c r="AE104" s="475"/>
      <c r="AF104" s="475"/>
      <c r="AG104" s="475"/>
      <c r="AH104" s="475"/>
      <c r="AI104" s="475"/>
      <c r="AJ104" s="475"/>
      <c r="AK104" s="475"/>
      <c r="AL104" s="475"/>
      <c r="AM104" s="475"/>
      <c r="AN104" s="475"/>
      <c r="AO104" s="473"/>
      <c r="AP104" s="473"/>
      <c r="AQ104" s="473"/>
      <c r="AR104" s="473"/>
      <c r="AS104" s="473"/>
      <c r="AT104" s="473"/>
      <c r="AU104" s="473"/>
      <c r="AV104" s="473"/>
      <c r="AW104" s="473"/>
      <c r="AX104" s="473"/>
      <c r="AY104" s="473"/>
      <c r="AZ104" s="473"/>
      <c r="BA104" s="473"/>
      <c r="BB104" s="475"/>
      <c r="BC104" s="475"/>
      <c r="BD104" s="475"/>
      <c r="BE104" s="475"/>
      <c r="BF104" s="475"/>
      <c r="BG104" s="475"/>
      <c r="BH104" s="475"/>
      <c r="BI104" s="475"/>
      <c r="BJ104" s="475"/>
      <c r="BK104" s="475"/>
      <c r="BL104" s="475"/>
      <c r="BM104" s="475"/>
      <c r="BN104" s="475"/>
      <c r="BO104" s="473"/>
      <c r="BP104" s="473"/>
      <c r="BQ104" s="473"/>
      <c r="BR104" s="473"/>
      <c r="BS104" s="475"/>
      <c r="BT104" s="475"/>
      <c r="BU104" s="475"/>
      <c r="BV104" s="475"/>
      <c r="BW104" s="475"/>
      <c r="BX104" s="475"/>
      <c r="BY104" s="475"/>
      <c r="BZ104" s="475"/>
      <c r="CA104" s="475"/>
      <c r="CB104" s="475"/>
      <c r="CC104" s="475"/>
      <c r="CD104" s="475"/>
      <c r="CE104" s="475"/>
      <c r="CF104" s="475"/>
      <c r="CG104" s="475"/>
      <c r="CH104" s="475"/>
      <c r="CI104" s="475"/>
      <c r="CJ104" s="475"/>
      <c r="CK104" s="475"/>
      <c r="CL104" s="475"/>
      <c r="CM104" s="475"/>
      <c r="CN104" s="477"/>
      <c r="CO104" s="477"/>
      <c r="CP104" s="477"/>
      <c r="CQ104" s="477"/>
      <c r="CR104" s="477"/>
      <c r="CS104" s="477"/>
      <c r="CT104" s="477"/>
      <c r="CU104" s="477"/>
      <c r="CV104" s="477"/>
      <c r="CW104" s="477"/>
      <c r="CX104" s="477"/>
      <c r="CY104" s="478"/>
      <c r="CZ104" s="478"/>
      <c r="DA104" s="478"/>
      <c r="DB104" s="478"/>
      <c r="DC104" s="478"/>
      <c r="DD104" s="478"/>
      <c r="DE104" s="478"/>
      <c r="DF104" s="478"/>
      <c r="DG104" s="478"/>
      <c r="DH104" s="478"/>
      <c r="DI104" s="478"/>
      <c r="DJ104" s="478"/>
      <c r="DK104" s="478"/>
      <c r="DL104" s="478"/>
      <c r="DM104" s="478"/>
      <c r="DN104" s="478"/>
      <c r="DO104" s="478"/>
      <c r="DP104" s="478"/>
      <c r="DQ104" s="478"/>
      <c r="DR104" s="478"/>
      <c r="DS104" s="478"/>
      <c r="DT104" s="478"/>
      <c r="DU104" s="478"/>
      <c r="DV104" s="478"/>
      <c r="DW104" s="478"/>
      <c r="DX104" s="478"/>
      <c r="DY104" s="478"/>
      <c r="DZ104" s="478"/>
      <c r="EA104" s="477"/>
      <c r="EB104" s="477"/>
    </row>
    <row r="105" spans="1:132" ht="18.899999999999999" customHeight="1" thickBot="1">
      <c r="A105" s="494"/>
      <c r="B105" s="473"/>
      <c r="C105" s="474"/>
      <c r="D105" s="474"/>
      <c r="E105" s="474"/>
      <c r="F105" s="473"/>
      <c r="G105" s="473"/>
      <c r="H105" s="475"/>
      <c r="I105" s="473"/>
      <c r="J105" s="476"/>
      <c r="K105" s="476"/>
      <c r="L105" s="495"/>
      <c r="M105" s="475"/>
      <c r="N105" s="475"/>
      <c r="O105" s="475"/>
      <c r="P105" s="475"/>
      <c r="Q105" s="475"/>
      <c r="R105" s="475"/>
      <c r="S105" s="475"/>
      <c r="T105" s="475"/>
      <c r="U105" s="475"/>
      <c r="V105" s="475"/>
      <c r="W105" s="475"/>
      <c r="X105" s="475"/>
      <c r="Y105" s="475"/>
      <c r="Z105" s="475"/>
      <c r="AA105" s="475"/>
      <c r="AB105" s="475"/>
      <c r="AC105" s="475"/>
      <c r="AD105" s="475"/>
      <c r="AE105" s="475"/>
      <c r="AF105" s="475"/>
      <c r="AG105" s="475"/>
      <c r="AH105" s="475"/>
      <c r="AI105" s="475"/>
      <c r="AJ105" s="475"/>
      <c r="AK105" s="475"/>
      <c r="AL105" s="475"/>
      <c r="AM105" s="475"/>
      <c r="AN105" s="475"/>
      <c r="AO105" s="473"/>
      <c r="AP105" s="473"/>
      <c r="AQ105" s="473"/>
      <c r="AR105" s="473"/>
      <c r="AS105" s="473"/>
      <c r="AT105" s="473"/>
      <c r="AU105" s="473"/>
      <c r="AV105" s="473"/>
      <c r="AW105" s="473"/>
      <c r="AX105" s="473"/>
      <c r="AY105" s="473"/>
      <c r="AZ105" s="473"/>
      <c r="BA105" s="473"/>
      <c r="BB105" s="475"/>
      <c r="BC105" s="475"/>
      <c r="BD105" s="475"/>
      <c r="BE105" s="475"/>
      <c r="BF105" s="475"/>
      <c r="BG105" s="475"/>
      <c r="BH105" s="475"/>
      <c r="BI105" s="475"/>
      <c r="BJ105" s="475"/>
      <c r="BK105" s="475"/>
      <c r="BL105" s="475"/>
      <c r="BM105" s="475"/>
      <c r="BN105" s="475"/>
      <c r="BO105" s="473"/>
      <c r="BP105" s="473"/>
      <c r="BQ105" s="473"/>
      <c r="BR105" s="473"/>
      <c r="BS105" s="475"/>
      <c r="BT105" s="475"/>
      <c r="BU105" s="475"/>
      <c r="BV105" s="475"/>
      <c r="BW105" s="475"/>
      <c r="BX105" s="475"/>
      <c r="BY105" s="475"/>
      <c r="BZ105" s="475"/>
      <c r="CA105" s="475"/>
      <c r="CB105" s="475"/>
      <c r="CC105" s="475"/>
      <c r="CD105" s="475"/>
      <c r="CE105" s="475"/>
      <c r="CF105" s="475"/>
      <c r="CG105" s="475"/>
      <c r="CH105" s="475"/>
      <c r="CI105" s="475"/>
      <c r="CJ105" s="475"/>
      <c r="CK105" s="475"/>
      <c r="CL105" s="475"/>
      <c r="CM105" s="475"/>
      <c r="CN105" s="477"/>
      <c r="CO105" s="477"/>
      <c r="CP105" s="477"/>
      <c r="CQ105" s="477"/>
      <c r="CR105" s="477"/>
      <c r="CS105" s="477"/>
      <c r="CT105" s="477"/>
      <c r="CU105" s="477"/>
      <c r="CV105" s="477"/>
      <c r="CW105" s="477"/>
      <c r="CX105" s="477"/>
      <c r="CY105" s="478"/>
      <c r="CZ105" s="478"/>
      <c r="DA105" s="478"/>
      <c r="DB105" s="478"/>
      <c r="DC105" s="478"/>
      <c r="DD105" s="478"/>
      <c r="DE105" s="478"/>
      <c r="DF105" s="478"/>
      <c r="DG105" s="478"/>
      <c r="DH105" s="478"/>
      <c r="DI105" s="478"/>
      <c r="DJ105" s="478"/>
      <c r="DK105" s="478"/>
      <c r="DL105" s="478"/>
      <c r="DM105" s="478"/>
      <c r="DN105" s="478"/>
      <c r="DO105" s="478"/>
      <c r="DP105" s="478"/>
      <c r="DQ105" s="478"/>
      <c r="DR105" s="478"/>
      <c r="DS105" s="478"/>
      <c r="DT105" s="478"/>
      <c r="DU105" s="478"/>
      <c r="DV105" s="478"/>
      <c r="DW105" s="478"/>
      <c r="DX105" s="478"/>
      <c r="DY105" s="478"/>
      <c r="DZ105" s="478"/>
      <c r="EA105" s="477"/>
      <c r="EB105" s="477"/>
    </row>
    <row r="106" spans="1:132" ht="18.899999999999999" customHeight="1">
      <c r="A106" s="473"/>
      <c r="B106" s="473"/>
      <c r="C106" s="474"/>
      <c r="D106" s="474"/>
      <c r="E106" s="474"/>
      <c r="F106" s="473"/>
      <c r="G106" s="473"/>
      <c r="H106" s="496" t="s">
        <v>2019</v>
      </c>
      <c r="I106" s="441"/>
      <c r="J106" s="441"/>
      <c r="K106" s="441"/>
      <c r="L106" s="441">
        <v>1</v>
      </c>
      <c r="M106" s="441">
        <f>VLOOKUP($H106,pp_3XDM,M$126,0)</f>
        <v>0</v>
      </c>
      <c r="N106" s="441">
        <f t="shared" ref="N106:DE106" si="4">VLOOKUP($H106,pp_3XDM,N$126,0)</f>
        <v>0</v>
      </c>
      <c r="O106" s="441">
        <f t="shared" si="4"/>
        <v>0</v>
      </c>
      <c r="P106" s="441">
        <f t="shared" si="4"/>
        <v>0</v>
      </c>
      <c r="Q106" s="441">
        <f t="shared" si="4"/>
        <v>0</v>
      </c>
      <c r="R106" s="441">
        <f t="shared" si="4"/>
        <v>0</v>
      </c>
      <c r="S106" s="441">
        <f t="shared" si="4"/>
        <v>0</v>
      </c>
      <c r="T106" s="441">
        <f t="shared" si="4"/>
        <v>0</v>
      </c>
      <c r="U106" s="441">
        <f t="shared" si="4"/>
        <v>0</v>
      </c>
      <c r="V106" s="441">
        <f t="shared" si="4"/>
        <v>0</v>
      </c>
      <c r="W106" s="441">
        <f t="shared" si="4"/>
        <v>0</v>
      </c>
      <c r="X106" s="441">
        <f t="shared" si="4"/>
        <v>0</v>
      </c>
      <c r="Y106" s="441">
        <f t="shared" si="4"/>
        <v>0</v>
      </c>
      <c r="Z106" s="441">
        <f t="shared" si="4"/>
        <v>0</v>
      </c>
      <c r="AA106" s="441">
        <f t="shared" si="4"/>
        <v>0</v>
      </c>
      <c r="AB106" s="441">
        <f t="shared" si="4"/>
        <v>0</v>
      </c>
      <c r="AC106" s="441">
        <f t="shared" si="4"/>
        <v>0</v>
      </c>
      <c r="AD106" s="441">
        <f t="shared" si="4"/>
        <v>0</v>
      </c>
      <c r="AE106" s="441">
        <f t="shared" si="4"/>
        <v>0</v>
      </c>
      <c r="AF106" s="441">
        <f t="shared" si="4"/>
        <v>0</v>
      </c>
      <c r="AG106" s="441">
        <f t="shared" si="4"/>
        <v>0</v>
      </c>
      <c r="AH106" s="441">
        <f t="shared" si="4"/>
        <v>0</v>
      </c>
      <c r="AI106" s="441">
        <f t="shared" si="4"/>
        <v>0</v>
      </c>
      <c r="AJ106" s="441">
        <f t="shared" si="4"/>
        <v>0</v>
      </c>
      <c r="AK106" s="441">
        <f t="shared" si="4"/>
        <v>0</v>
      </c>
      <c r="AL106" s="441">
        <f t="shared" si="4"/>
        <v>0</v>
      </c>
      <c r="AM106" s="441">
        <f t="shared" si="4"/>
        <v>0</v>
      </c>
      <c r="AN106" s="441">
        <f t="shared" si="4"/>
        <v>0</v>
      </c>
      <c r="AO106" s="441">
        <f t="shared" si="4"/>
        <v>0</v>
      </c>
      <c r="AP106" s="441">
        <f t="shared" si="4"/>
        <v>0</v>
      </c>
      <c r="AQ106" s="441">
        <f t="shared" si="4"/>
        <v>0</v>
      </c>
      <c r="AR106" s="441">
        <f t="shared" si="4"/>
        <v>0</v>
      </c>
      <c r="AS106" s="441">
        <f t="shared" si="4"/>
        <v>0</v>
      </c>
      <c r="AT106" s="441">
        <f t="shared" si="4"/>
        <v>0</v>
      </c>
      <c r="AU106" s="441">
        <f t="shared" si="4"/>
        <v>0</v>
      </c>
      <c r="AV106" s="441">
        <f t="shared" si="4"/>
        <v>0</v>
      </c>
      <c r="AW106" s="441">
        <f t="shared" si="4"/>
        <v>0</v>
      </c>
      <c r="AX106" s="441">
        <f t="shared" si="4"/>
        <v>0</v>
      </c>
      <c r="AY106" s="441">
        <f t="shared" si="4"/>
        <v>0</v>
      </c>
      <c r="AZ106" s="441">
        <f t="shared" si="4"/>
        <v>0</v>
      </c>
      <c r="BA106" s="441">
        <f t="shared" si="4"/>
        <v>0</v>
      </c>
      <c r="BB106" s="441"/>
      <c r="BC106" s="441"/>
      <c r="BD106" s="441">
        <f t="shared" si="4"/>
        <v>0</v>
      </c>
      <c r="BE106" s="441">
        <f t="shared" si="4"/>
        <v>0</v>
      </c>
      <c r="BF106" s="441">
        <f t="shared" si="4"/>
        <v>0</v>
      </c>
      <c r="BG106" s="441">
        <f t="shared" si="4"/>
        <v>0</v>
      </c>
      <c r="BH106" s="441">
        <f t="shared" si="4"/>
        <v>0</v>
      </c>
      <c r="BI106" s="441">
        <f t="shared" si="4"/>
        <v>0</v>
      </c>
      <c r="BJ106" s="441">
        <f t="shared" si="4"/>
        <v>0</v>
      </c>
      <c r="BK106" s="441">
        <f t="shared" si="4"/>
        <v>0</v>
      </c>
      <c r="BL106" s="441">
        <f t="shared" si="4"/>
        <v>0</v>
      </c>
      <c r="BM106" s="441">
        <f t="shared" si="4"/>
        <v>0</v>
      </c>
      <c r="BN106" s="441">
        <f t="shared" si="4"/>
        <v>0</v>
      </c>
      <c r="BO106" s="441">
        <f t="shared" si="4"/>
        <v>0</v>
      </c>
      <c r="BP106" s="441">
        <f t="shared" si="4"/>
        <v>0</v>
      </c>
      <c r="BQ106" s="441">
        <f t="shared" si="4"/>
        <v>0</v>
      </c>
      <c r="BR106" s="441">
        <f t="shared" si="4"/>
        <v>0</v>
      </c>
      <c r="BS106" s="441">
        <f t="shared" si="4"/>
        <v>0</v>
      </c>
      <c r="BT106" s="441">
        <f t="shared" si="4"/>
        <v>0</v>
      </c>
      <c r="BU106" s="441">
        <f t="shared" si="4"/>
        <v>0</v>
      </c>
      <c r="BV106" s="441">
        <f t="shared" si="4"/>
        <v>0</v>
      </c>
      <c r="BW106" s="441">
        <f t="shared" si="4"/>
        <v>0</v>
      </c>
      <c r="BX106" s="441">
        <f t="shared" si="4"/>
        <v>0</v>
      </c>
      <c r="BY106" s="441">
        <f t="shared" si="4"/>
        <v>0</v>
      </c>
      <c r="BZ106" s="441">
        <f t="shared" si="4"/>
        <v>0</v>
      </c>
      <c r="CA106" s="441">
        <f t="shared" si="4"/>
        <v>0</v>
      </c>
      <c r="CB106" s="441">
        <f t="shared" si="4"/>
        <v>0</v>
      </c>
      <c r="CC106" s="441">
        <f t="shared" si="4"/>
        <v>0</v>
      </c>
      <c r="CD106" s="441">
        <f t="shared" si="4"/>
        <v>0</v>
      </c>
      <c r="CE106" s="441">
        <f>VLOOKUP($H106,pp_3XDM,CE$126,0)</f>
        <v>0</v>
      </c>
      <c r="CF106" s="441">
        <f>VLOOKUP($H106,pp_3XDM,CF$126,0)</f>
        <v>0</v>
      </c>
      <c r="CG106" s="441">
        <f t="shared" si="4"/>
        <v>0</v>
      </c>
      <c r="CH106" s="441">
        <f t="shared" si="4"/>
        <v>0</v>
      </c>
      <c r="CI106" s="441">
        <f t="shared" si="4"/>
        <v>0</v>
      </c>
      <c r="CJ106" s="441">
        <f t="shared" si="4"/>
        <v>0</v>
      </c>
      <c r="CK106" s="441">
        <f t="shared" si="4"/>
        <v>0</v>
      </c>
      <c r="CL106" s="441">
        <f t="shared" si="4"/>
        <v>0</v>
      </c>
      <c r="CM106" s="441">
        <f t="shared" si="4"/>
        <v>0</v>
      </c>
      <c r="CN106" s="441">
        <f t="shared" si="4"/>
        <v>1</v>
      </c>
      <c r="CO106" s="441">
        <f t="shared" si="4"/>
        <v>0</v>
      </c>
      <c r="CP106" s="441">
        <f t="shared" si="4"/>
        <v>0</v>
      </c>
      <c r="CQ106" s="441">
        <f t="shared" si="4"/>
        <v>0</v>
      </c>
      <c r="CR106" s="441">
        <f t="shared" si="4"/>
        <v>0</v>
      </c>
      <c r="CS106" s="441"/>
      <c r="CT106" s="441"/>
      <c r="CU106" s="441">
        <f t="shared" si="4"/>
        <v>0</v>
      </c>
      <c r="CV106" s="441">
        <f t="shared" si="4"/>
        <v>0</v>
      </c>
      <c r="CW106" s="441">
        <f t="shared" si="4"/>
        <v>0</v>
      </c>
      <c r="CX106" s="441">
        <f t="shared" si="4"/>
        <v>0</v>
      </c>
      <c r="CY106" s="441">
        <f t="shared" si="4"/>
        <v>0</v>
      </c>
      <c r="CZ106" s="441">
        <f t="shared" si="4"/>
        <v>0</v>
      </c>
      <c r="DA106" s="441">
        <f t="shared" si="4"/>
        <v>0</v>
      </c>
      <c r="DB106" s="441">
        <f t="shared" si="4"/>
        <v>0</v>
      </c>
      <c r="DC106" s="441">
        <f t="shared" si="4"/>
        <v>0</v>
      </c>
      <c r="DD106" s="441">
        <f t="shared" si="4"/>
        <v>0</v>
      </c>
      <c r="DE106" s="441">
        <f t="shared" si="4"/>
        <v>0</v>
      </c>
      <c r="DF106" s="441">
        <f t="shared" ref="DF106:DS106" si="5">VLOOKUP($H106,pp_3XDM,DF$126,0)</f>
        <v>0</v>
      </c>
      <c r="DG106" s="441">
        <f t="shared" si="5"/>
        <v>0</v>
      </c>
      <c r="DH106" s="441">
        <f t="shared" si="5"/>
        <v>0</v>
      </c>
      <c r="DI106" s="441">
        <f t="shared" si="5"/>
        <v>0</v>
      </c>
      <c r="DJ106" s="441">
        <f t="shared" si="5"/>
        <v>0</v>
      </c>
      <c r="DK106" s="441">
        <f t="shared" si="5"/>
        <v>0</v>
      </c>
      <c r="DL106" s="441">
        <f t="shared" si="5"/>
        <v>0</v>
      </c>
      <c r="DM106" s="441">
        <f t="shared" si="5"/>
        <v>0</v>
      </c>
      <c r="DN106" s="441">
        <f t="shared" si="5"/>
        <v>0</v>
      </c>
      <c r="DO106" s="441">
        <f t="shared" si="5"/>
        <v>0</v>
      </c>
      <c r="DP106" s="441">
        <f t="shared" si="5"/>
        <v>0</v>
      </c>
      <c r="DQ106" s="441">
        <f t="shared" si="5"/>
        <v>0</v>
      </c>
      <c r="DR106" s="441">
        <f t="shared" si="5"/>
        <v>0</v>
      </c>
      <c r="DS106" s="441">
        <f t="shared" si="5"/>
        <v>0</v>
      </c>
      <c r="DT106" s="441"/>
      <c r="DU106" s="441"/>
      <c r="DV106" s="497"/>
      <c r="DW106" s="497"/>
      <c r="DX106" s="497"/>
      <c r="DY106" s="497"/>
      <c r="DZ106" s="497"/>
      <c r="EA106" s="498"/>
      <c r="EB106" s="499"/>
    </row>
    <row r="107" spans="1:132" ht="18.899999999999999" customHeight="1">
      <c r="A107" s="473"/>
      <c r="B107" s="473"/>
      <c r="C107" s="474"/>
      <c r="D107" s="474"/>
      <c r="E107" s="474"/>
      <c r="F107" s="473"/>
      <c r="G107" s="473"/>
      <c r="H107" s="500" t="s">
        <v>557</v>
      </c>
      <c r="I107" s="501"/>
      <c r="J107" s="501"/>
      <c r="K107" s="501"/>
      <c r="L107" s="501"/>
      <c r="M107" s="502"/>
      <c r="N107" s="502"/>
      <c r="O107" s="502"/>
      <c r="P107" s="502"/>
      <c r="Q107" s="502"/>
      <c r="R107" s="502"/>
      <c r="S107" s="502"/>
      <c r="T107" s="502"/>
      <c r="U107" s="502"/>
      <c r="V107" s="502"/>
      <c r="W107" s="502"/>
      <c r="X107" s="502"/>
      <c r="Y107" s="502"/>
      <c r="Z107" s="502"/>
      <c r="AA107" s="502"/>
      <c r="AB107" s="502"/>
      <c r="AC107" s="502"/>
      <c r="AD107" s="502"/>
      <c r="AE107" s="502"/>
      <c r="AF107" s="502"/>
      <c r="AG107" s="502"/>
      <c r="AH107" s="502"/>
      <c r="AI107" s="502"/>
      <c r="AJ107" s="502"/>
      <c r="AK107" s="502"/>
      <c r="AL107" s="502"/>
      <c r="AM107" s="502"/>
      <c r="AN107" s="502"/>
      <c r="AO107" s="501"/>
      <c r="AP107" s="501"/>
      <c r="AQ107" s="501"/>
      <c r="AR107" s="501"/>
      <c r="AS107" s="501"/>
      <c r="AT107" s="501"/>
      <c r="AU107" s="501"/>
      <c r="AV107" s="501"/>
      <c r="AW107" s="501"/>
      <c r="AX107" s="501"/>
      <c r="AY107" s="501"/>
      <c r="AZ107" s="501"/>
      <c r="BA107" s="501"/>
      <c r="BB107" s="502"/>
      <c r="BC107" s="502"/>
      <c r="BD107" s="502"/>
      <c r="BE107" s="502"/>
      <c r="BF107" s="502"/>
      <c r="BG107" s="502"/>
      <c r="BH107" s="502"/>
      <c r="BI107" s="502"/>
      <c r="BJ107" s="502"/>
      <c r="BK107" s="502"/>
      <c r="BL107" s="502"/>
      <c r="BM107" s="502"/>
      <c r="BN107" s="502"/>
      <c r="BO107" s="501"/>
      <c r="BP107" s="501"/>
      <c r="BQ107" s="501"/>
      <c r="BR107" s="501"/>
      <c r="BS107" s="502">
        <v>1</v>
      </c>
      <c r="BT107" s="502"/>
      <c r="BU107" s="502"/>
      <c r="BV107" s="502"/>
      <c r="BW107" s="502"/>
      <c r="BX107" s="502"/>
      <c r="BY107" s="502"/>
      <c r="BZ107" s="502"/>
      <c r="CA107" s="502"/>
      <c r="CB107" s="502"/>
      <c r="CC107" s="502"/>
      <c r="CD107" s="502"/>
      <c r="CE107" s="502"/>
      <c r="CF107" s="502"/>
      <c r="CG107" s="502"/>
      <c r="CH107" s="502"/>
      <c r="CI107" s="502"/>
      <c r="CJ107" s="502"/>
      <c r="CK107" s="502"/>
      <c r="CL107" s="502"/>
      <c r="CM107" s="502"/>
      <c r="CN107" s="501">
        <v>1</v>
      </c>
      <c r="CO107" s="501"/>
      <c r="CP107" s="501">
        <v>2</v>
      </c>
      <c r="CQ107" s="501"/>
      <c r="CR107" s="501"/>
      <c r="CS107" s="501"/>
      <c r="CT107" s="501"/>
      <c r="CU107" s="501">
        <v>1</v>
      </c>
      <c r="CV107" s="501"/>
      <c r="CW107" s="501"/>
      <c r="CX107" s="503"/>
      <c r="CY107" s="504"/>
      <c r="CZ107" s="504"/>
      <c r="DA107" s="504"/>
      <c r="DB107" s="504"/>
      <c r="DC107" s="504"/>
      <c r="DD107" s="504"/>
      <c r="DE107" s="504"/>
      <c r="DF107" s="504"/>
      <c r="DG107" s="504"/>
      <c r="DH107" s="504"/>
      <c r="DI107" s="504"/>
      <c r="DJ107" s="504"/>
      <c r="DK107" s="504"/>
      <c r="DL107" s="504"/>
      <c r="DM107" s="504"/>
      <c r="DN107" s="504"/>
      <c r="DO107" s="504"/>
      <c r="DP107" s="504"/>
      <c r="DQ107" s="504"/>
      <c r="DR107" s="504"/>
      <c r="DS107" s="504"/>
      <c r="DT107" s="504"/>
      <c r="DU107" s="504"/>
      <c r="DV107" s="504"/>
      <c r="DW107" s="504"/>
      <c r="DX107" s="504"/>
      <c r="DY107" s="504"/>
      <c r="DZ107" s="504"/>
      <c r="EA107" s="505"/>
      <c r="EB107" s="506"/>
    </row>
    <row r="108" spans="1:132" ht="18.899999999999999" customHeight="1">
      <c r="A108" s="473"/>
      <c r="B108" s="473"/>
      <c r="C108" s="474"/>
      <c r="D108" s="474"/>
      <c r="E108" s="474"/>
      <c r="F108" s="473"/>
      <c r="G108" s="473"/>
      <c r="H108" s="507" t="s">
        <v>1870</v>
      </c>
      <c r="I108" s="501"/>
      <c r="J108" s="501"/>
      <c r="K108" s="501"/>
      <c r="L108" s="501"/>
      <c r="M108" s="502"/>
      <c r="N108" s="502"/>
      <c r="O108" s="502"/>
      <c r="P108" s="502"/>
      <c r="Q108" s="502"/>
      <c r="R108" s="502"/>
      <c r="S108" s="502"/>
      <c r="T108" s="502"/>
      <c r="U108" s="502"/>
      <c r="V108" s="502"/>
      <c r="W108" s="502"/>
      <c r="X108" s="502"/>
      <c r="Y108" s="502"/>
      <c r="Z108" s="502"/>
      <c r="AA108" s="502"/>
      <c r="AB108" s="502"/>
      <c r="AC108" s="502"/>
      <c r="AD108" s="502"/>
      <c r="AE108" s="502"/>
      <c r="AF108" s="502"/>
      <c r="AG108" s="502"/>
      <c r="AH108" s="502"/>
      <c r="AI108" s="502"/>
      <c r="AJ108" s="502"/>
      <c r="AK108" s="502"/>
      <c r="AL108" s="502"/>
      <c r="AM108" s="502"/>
      <c r="AN108" s="502"/>
      <c r="AO108" s="501"/>
      <c r="AP108" s="501"/>
      <c r="AQ108" s="501"/>
      <c r="AR108" s="501"/>
      <c r="AS108" s="501"/>
      <c r="AT108" s="501"/>
      <c r="AU108" s="501"/>
      <c r="AV108" s="501"/>
      <c r="AW108" s="501"/>
      <c r="AX108" s="501"/>
      <c r="AY108" s="501"/>
      <c r="AZ108" s="501"/>
      <c r="BA108" s="501"/>
      <c r="BB108" s="502"/>
      <c r="BC108" s="502"/>
      <c r="BD108" s="502"/>
      <c r="BE108" s="502"/>
      <c r="BF108" s="502"/>
      <c r="BG108" s="502"/>
      <c r="BH108" s="502"/>
      <c r="BI108" s="502"/>
      <c r="BJ108" s="502"/>
      <c r="BK108" s="502"/>
      <c r="BL108" s="502"/>
      <c r="BM108" s="502"/>
      <c r="BN108" s="502"/>
      <c r="BO108" s="501"/>
      <c r="BP108" s="501"/>
      <c r="BQ108" s="501"/>
      <c r="BR108" s="501"/>
      <c r="BS108" s="502">
        <v>1</v>
      </c>
      <c r="BT108" s="502"/>
      <c r="BU108" s="502"/>
      <c r="BV108" s="502"/>
      <c r="BW108" s="502">
        <v>1</v>
      </c>
      <c r="BX108" s="502"/>
      <c r="BY108" s="502"/>
      <c r="BZ108" s="502"/>
      <c r="CA108" s="502"/>
      <c r="CB108" s="502"/>
      <c r="CC108" s="502"/>
      <c r="CD108" s="502"/>
      <c r="CE108" s="502"/>
      <c r="CF108" s="502"/>
      <c r="CG108" s="502"/>
      <c r="CH108" s="502"/>
      <c r="CI108" s="502"/>
      <c r="CJ108" s="502"/>
      <c r="CK108" s="502"/>
      <c r="CL108" s="502"/>
      <c r="CM108" s="502"/>
      <c r="CN108" s="501">
        <v>1</v>
      </c>
      <c r="CO108" s="501"/>
      <c r="CP108" s="501">
        <v>3</v>
      </c>
      <c r="CQ108" s="501"/>
      <c r="CR108" s="501"/>
      <c r="CS108" s="501"/>
      <c r="CT108" s="501"/>
      <c r="CU108" s="501">
        <v>1</v>
      </c>
      <c r="CV108" s="501"/>
      <c r="CW108" s="501"/>
      <c r="CX108" s="503"/>
      <c r="CY108" s="504"/>
      <c r="CZ108" s="504"/>
      <c r="DA108" s="504"/>
      <c r="DB108" s="504"/>
      <c r="DC108" s="504"/>
      <c r="DD108" s="504"/>
      <c r="DE108" s="504"/>
      <c r="DF108" s="504"/>
      <c r="DG108" s="504"/>
      <c r="DH108" s="504"/>
      <c r="DI108" s="504"/>
      <c r="DJ108" s="504"/>
      <c r="DK108" s="504"/>
      <c r="DL108" s="504"/>
      <c r="DM108" s="504"/>
      <c r="DN108" s="504"/>
      <c r="DO108" s="504"/>
      <c r="DP108" s="504"/>
      <c r="DQ108" s="504"/>
      <c r="DR108" s="504"/>
      <c r="DS108" s="504"/>
      <c r="DT108" s="504"/>
      <c r="DU108" s="504"/>
      <c r="DV108" s="504"/>
      <c r="DW108" s="504"/>
      <c r="DX108" s="504"/>
      <c r="DY108" s="504"/>
      <c r="DZ108" s="504"/>
      <c r="EA108" s="505"/>
      <c r="EB108" s="506"/>
    </row>
    <row r="109" spans="1:132" ht="18.899999999999999" customHeight="1">
      <c r="A109" s="473"/>
      <c r="B109" s="473"/>
      <c r="C109" s="474"/>
      <c r="D109" s="474"/>
      <c r="E109" s="474"/>
      <c r="F109" s="473"/>
      <c r="G109" s="473"/>
      <c r="H109" s="508" t="s">
        <v>1818</v>
      </c>
      <c r="I109" s="509"/>
      <c r="J109" s="509"/>
      <c r="K109" s="509"/>
      <c r="L109" s="509"/>
      <c r="M109" s="504"/>
      <c r="N109" s="504"/>
      <c r="O109" s="504"/>
      <c r="P109" s="504"/>
      <c r="Q109" s="504"/>
      <c r="R109" s="504"/>
      <c r="S109" s="504"/>
      <c r="T109" s="504"/>
      <c r="U109" s="504"/>
      <c r="V109" s="504"/>
      <c r="W109" s="504"/>
      <c r="X109" s="504"/>
      <c r="Y109" s="504"/>
      <c r="Z109" s="504"/>
      <c r="AA109" s="504"/>
      <c r="AB109" s="504"/>
      <c r="AC109" s="504"/>
      <c r="AD109" s="504"/>
      <c r="AE109" s="504"/>
      <c r="AF109" s="504"/>
      <c r="AG109" s="504"/>
      <c r="AH109" s="504"/>
      <c r="AI109" s="504"/>
      <c r="AJ109" s="504"/>
      <c r="AK109" s="504"/>
      <c r="AL109" s="504"/>
      <c r="AM109" s="504"/>
      <c r="AN109" s="504"/>
      <c r="AO109" s="509"/>
      <c r="AP109" s="509"/>
      <c r="AQ109" s="509"/>
      <c r="AR109" s="509"/>
      <c r="AS109" s="509"/>
      <c r="AT109" s="509"/>
      <c r="AU109" s="509"/>
      <c r="AV109" s="509"/>
      <c r="AW109" s="509"/>
      <c r="AX109" s="509"/>
      <c r="AY109" s="509"/>
      <c r="AZ109" s="509"/>
      <c r="BA109" s="509"/>
      <c r="BB109" s="504"/>
      <c r="BC109" s="504"/>
      <c r="BD109" s="504"/>
      <c r="BE109" s="504"/>
      <c r="BF109" s="504"/>
      <c r="BG109" s="504"/>
      <c r="BH109" s="504"/>
      <c r="BI109" s="504"/>
      <c r="BJ109" s="504"/>
      <c r="BK109" s="504"/>
      <c r="BL109" s="504"/>
      <c r="BM109" s="504">
        <v>1</v>
      </c>
      <c r="BN109" s="504"/>
      <c r="BO109" s="509"/>
      <c r="BP109" s="509"/>
      <c r="BQ109" s="509"/>
      <c r="BR109" s="509"/>
      <c r="BS109" s="504"/>
      <c r="BT109" s="504">
        <v>1</v>
      </c>
      <c r="BU109" s="504"/>
      <c r="BV109" s="504"/>
      <c r="BW109" s="504"/>
      <c r="BX109" s="504"/>
      <c r="BY109" s="504"/>
      <c r="BZ109" s="504"/>
      <c r="CA109" s="504"/>
      <c r="CB109" s="504"/>
      <c r="CC109" s="504"/>
      <c r="CD109" s="504"/>
      <c r="CE109" s="504"/>
      <c r="CF109" s="504"/>
      <c r="CG109" s="504"/>
      <c r="CH109" s="504"/>
      <c r="CI109" s="504"/>
      <c r="CJ109" s="504"/>
      <c r="CK109" s="504"/>
      <c r="CL109" s="504"/>
      <c r="CM109" s="504"/>
      <c r="CN109" s="509"/>
      <c r="CO109" s="509">
        <v>1</v>
      </c>
      <c r="CP109" s="509">
        <v>4</v>
      </c>
      <c r="CQ109" s="509"/>
      <c r="CR109" s="509"/>
      <c r="CS109" s="509"/>
      <c r="CT109" s="509"/>
      <c r="CU109" s="509">
        <v>1</v>
      </c>
      <c r="CV109" s="509"/>
      <c r="CW109" s="509"/>
      <c r="CX109" s="510"/>
      <c r="CY109" s="504"/>
      <c r="CZ109" s="504"/>
      <c r="DA109" s="504"/>
      <c r="DB109" s="504"/>
      <c r="DC109" s="504"/>
      <c r="DD109" s="504"/>
      <c r="DE109" s="504"/>
      <c r="DF109" s="504"/>
      <c r="DG109" s="504"/>
      <c r="DH109" s="504"/>
      <c r="DI109" s="504"/>
      <c r="DJ109" s="504"/>
      <c r="DK109" s="504"/>
      <c r="DL109" s="504"/>
      <c r="DM109" s="504"/>
      <c r="DN109" s="504"/>
      <c r="DO109" s="504"/>
      <c r="DP109" s="504"/>
      <c r="DQ109" s="504"/>
      <c r="DR109" s="504"/>
      <c r="DS109" s="504"/>
      <c r="DT109" s="504"/>
      <c r="DU109" s="504"/>
      <c r="DV109" s="504"/>
      <c r="DW109" s="504"/>
      <c r="DX109" s="504"/>
      <c r="DY109" s="504"/>
      <c r="DZ109" s="504"/>
      <c r="EA109" s="505"/>
      <c r="EB109" s="506"/>
    </row>
    <row r="110" spans="1:132" ht="18.899999999999999" customHeight="1">
      <c r="A110" s="473"/>
      <c r="B110" s="473"/>
      <c r="C110" s="474"/>
      <c r="D110" s="474"/>
      <c r="E110" s="474"/>
      <c r="F110" s="473"/>
      <c r="G110" s="473"/>
      <c r="H110" s="508" t="s">
        <v>1871</v>
      </c>
      <c r="I110" s="509"/>
      <c r="J110" s="509"/>
      <c r="K110" s="509"/>
      <c r="L110" s="509"/>
      <c r="M110" s="504"/>
      <c r="N110" s="504"/>
      <c r="O110" s="504"/>
      <c r="P110" s="504"/>
      <c r="Q110" s="504"/>
      <c r="R110" s="504"/>
      <c r="S110" s="504"/>
      <c r="T110" s="504"/>
      <c r="U110" s="504"/>
      <c r="V110" s="504"/>
      <c r="W110" s="504"/>
      <c r="X110" s="504"/>
      <c r="Y110" s="504"/>
      <c r="Z110" s="504"/>
      <c r="AA110" s="504"/>
      <c r="AB110" s="504"/>
      <c r="AC110" s="504"/>
      <c r="AD110" s="504"/>
      <c r="AE110" s="504"/>
      <c r="AF110" s="504"/>
      <c r="AG110" s="504"/>
      <c r="AH110" s="504"/>
      <c r="AI110" s="504"/>
      <c r="AJ110" s="504"/>
      <c r="AK110" s="504"/>
      <c r="AL110" s="504"/>
      <c r="AM110" s="504"/>
      <c r="AN110" s="504"/>
      <c r="AO110" s="509"/>
      <c r="AP110" s="509"/>
      <c r="AQ110" s="509"/>
      <c r="AR110" s="509"/>
      <c r="AS110" s="509"/>
      <c r="AT110" s="509"/>
      <c r="AU110" s="509"/>
      <c r="AV110" s="509"/>
      <c r="AW110" s="509"/>
      <c r="AX110" s="509"/>
      <c r="AY110" s="509"/>
      <c r="AZ110" s="509"/>
      <c r="BA110" s="509"/>
      <c r="BB110" s="504"/>
      <c r="BC110" s="504"/>
      <c r="BD110" s="504"/>
      <c r="BE110" s="504"/>
      <c r="BF110" s="504"/>
      <c r="BG110" s="504"/>
      <c r="BH110" s="504"/>
      <c r="BI110" s="504"/>
      <c r="BJ110" s="504"/>
      <c r="BK110" s="504"/>
      <c r="BL110" s="504"/>
      <c r="BM110" s="504">
        <v>1</v>
      </c>
      <c r="BN110" s="504"/>
      <c r="BO110" s="509"/>
      <c r="BP110" s="509"/>
      <c r="BQ110" s="509"/>
      <c r="BR110" s="509"/>
      <c r="BS110" s="504"/>
      <c r="BT110" s="504">
        <v>1</v>
      </c>
      <c r="BU110" s="504"/>
      <c r="BV110" s="504"/>
      <c r="BW110" s="504"/>
      <c r="BX110" s="504">
        <v>1</v>
      </c>
      <c r="BY110" s="504"/>
      <c r="BZ110" s="504"/>
      <c r="CA110" s="504"/>
      <c r="CB110" s="504"/>
      <c r="CC110" s="504"/>
      <c r="CD110" s="504"/>
      <c r="CE110" s="504"/>
      <c r="CF110" s="504"/>
      <c r="CG110" s="504"/>
      <c r="CH110" s="504"/>
      <c r="CI110" s="504"/>
      <c r="CJ110" s="504"/>
      <c r="CK110" s="504"/>
      <c r="CL110" s="504"/>
      <c r="CM110" s="504"/>
      <c r="CN110" s="509"/>
      <c r="CO110" s="509">
        <v>1</v>
      </c>
      <c r="CP110" s="509">
        <v>6</v>
      </c>
      <c r="CQ110" s="509"/>
      <c r="CR110" s="509"/>
      <c r="CS110" s="509"/>
      <c r="CT110" s="509"/>
      <c r="CU110" s="509">
        <v>1</v>
      </c>
      <c r="CV110" s="509"/>
      <c r="CW110" s="509"/>
      <c r="CX110" s="510"/>
      <c r="CY110" s="504"/>
      <c r="CZ110" s="504"/>
      <c r="DA110" s="504"/>
      <c r="DB110" s="504"/>
      <c r="DC110" s="504"/>
      <c r="DD110" s="504"/>
      <c r="DE110" s="504"/>
      <c r="DF110" s="504"/>
      <c r="DG110" s="504"/>
      <c r="DH110" s="504"/>
      <c r="DI110" s="504"/>
      <c r="DJ110" s="504"/>
      <c r="DK110" s="504"/>
      <c r="DL110" s="504"/>
      <c r="DM110" s="504"/>
      <c r="DN110" s="504"/>
      <c r="DO110" s="504"/>
      <c r="DP110" s="504"/>
      <c r="DQ110" s="504"/>
      <c r="DR110" s="504"/>
      <c r="DS110" s="504"/>
      <c r="DT110" s="504"/>
      <c r="DU110" s="504"/>
      <c r="DV110" s="504"/>
      <c r="DW110" s="504"/>
      <c r="DX110" s="504"/>
      <c r="DY110" s="504"/>
      <c r="DZ110" s="504"/>
      <c r="EA110" s="505"/>
      <c r="EB110" s="506"/>
    </row>
    <row r="111" spans="1:132" ht="18.899999999999999" customHeight="1">
      <c r="A111" s="473"/>
      <c r="B111" s="473"/>
      <c r="C111" s="474"/>
      <c r="D111" s="474"/>
      <c r="E111" s="474"/>
      <c r="F111" s="473"/>
      <c r="G111" s="473"/>
      <c r="H111" s="508" t="s">
        <v>2015</v>
      </c>
      <c r="I111" s="509"/>
      <c r="J111" s="509"/>
      <c r="K111" s="509"/>
      <c r="L111" s="509"/>
      <c r="M111" s="504"/>
      <c r="N111" s="504"/>
      <c r="O111" s="504"/>
      <c r="P111" s="504"/>
      <c r="Q111" s="504"/>
      <c r="R111" s="504"/>
      <c r="S111" s="504"/>
      <c r="T111" s="504"/>
      <c r="U111" s="504"/>
      <c r="V111" s="504"/>
      <c r="W111" s="504"/>
      <c r="X111" s="504"/>
      <c r="Y111" s="504"/>
      <c r="Z111" s="504"/>
      <c r="AA111" s="504"/>
      <c r="AB111" s="504"/>
      <c r="AC111" s="504"/>
      <c r="AD111" s="504"/>
      <c r="AE111" s="504"/>
      <c r="AF111" s="504"/>
      <c r="AG111" s="504"/>
      <c r="AH111" s="504"/>
      <c r="AI111" s="504"/>
      <c r="AJ111" s="504"/>
      <c r="AK111" s="504"/>
      <c r="AL111" s="504"/>
      <c r="AM111" s="504"/>
      <c r="AN111" s="504"/>
      <c r="AO111" s="509"/>
      <c r="AP111" s="509"/>
      <c r="AQ111" s="509"/>
      <c r="AR111" s="509"/>
      <c r="AS111" s="509"/>
      <c r="AT111" s="509"/>
      <c r="AU111" s="509"/>
      <c r="AV111" s="509"/>
      <c r="AW111" s="509"/>
      <c r="AX111" s="509"/>
      <c r="AY111" s="509"/>
      <c r="AZ111" s="509"/>
      <c r="BA111" s="509"/>
      <c r="BB111" s="504"/>
      <c r="BC111" s="504"/>
      <c r="BD111" s="504"/>
      <c r="BE111" s="504"/>
      <c r="BF111" s="504"/>
      <c r="BG111" s="504"/>
      <c r="BH111" s="504"/>
      <c r="BI111" s="504"/>
      <c r="BJ111" s="504"/>
      <c r="BK111" s="504"/>
      <c r="BL111" s="504"/>
      <c r="BM111" s="504">
        <v>4</v>
      </c>
      <c r="BN111" s="504"/>
      <c r="BO111" s="509"/>
      <c r="BP111" s="509"/>
      <c r="BQ111" s="509"/>
      <c r="BR111" s="509"/>
      <c r="BS111" s="504"/>
      <c r="BT111" s="504"/>
      <c r="BU111" s="504"/>
      <c r="BV111" s="504"/>
      <c r="BW111" s="504"/>
      <c r="BX111" s="504"/>
      <c r="BY111" s="504"/>
      <c r="BZ111" s="504"/>
      <c r="CA111" s="504"/>
      <c r="CB111" s="504"/>
      <c r="CC111" s="504"/>
      <c r="CD111" s="504"/>
      <c r="CE111" s="504">
        <v>1</v>
      </c>
      <c r="CF111" s="504"/>
      <c r="CG111" s="504"/>
      <c r="CH111" s="504">
        <v>1</v>
      </c>
      <c r="CI111" s="504"/>
      <c r="CJ111" s="504"/>
      <c r="CK111" s="504">
        <v>1</v>
      </c>
      <c r="CL111" s="504"/>
      <c r="CM111" s="504"/>
      <c r="CN111" s="509"/>
      <c r="CO111" s="509"/>
      <c r="CP111" s="509">
        <v>6</v>
      </c>
      <c r="CQ111" s="509"/>
      <c r="CR111" s="509"/>
      <c r="CS111" s="509"/>
      <c r="CT111" s="509"/>
      <c r="CU111" s="509"/>
      <c r="CV111" s="509"/>
      <c r="CW111" s="509"/>
      <c r="CX111" s="510">
        <v>2</v>
      </c>
      <c r="CY111" s="504"/>
      <c r="CZ111" s="504"/>
      <c r="DA111" s="504"/>
      <c r="DB111" s="504"/>
      <c r="DC111" s="504"/>
      <c r="DD111" s="504"/>
      <c r="DE111" s="504">
        <v>6</v>
      </c>
      <c r="DF111" s="504"/>
      <c r="DG111" s="504"/>
      <c r="DH111" s="504"/>
      <c r="DI111" s="504"/>
      <c r="DJ111" s="504"/>
      <c r="DK111" s="504"/>
      <c r="DL111" s="504">
        <v>6</v>
      </c>
      <c r="DM111" s="504"/>
      <c r="DN111" s="504"/>
      <c r="DO111" s="504"/>
      <c r="DP111" s="504"/>
      <c r="DQ111" s="504"/>
      <c r="DR111" s="504"/>
      <c r="DS111" s="504"/>
      <c r="DT111" s="504"/>
      <c r="DU111" s="504"/>
      <c r="DV111" s="504"/>
      <c r="DW111" s="504"/>
      <c r="DX111" s="504"/>
      <c r="DY111" s="504"/>
      <c r="DZ111" s="504"/>
      <c r="EA111" s="505"/>
      <c r="EB111" s="506"/>
    </row>
    <row r="112" spans="1:132" ht="18.899999999999999" customHeight="1">
      <c r="A112" s="473"/>
      <c r="B112" s="473"/>
      <c r="C112" s="474"/>
      <c r="D112" s="474"/>
      <c r="E112" s="474"/>
      <c r="F112" s="473"/>
      <c r="G112" s="473"/>
      <c r="H112" s="508" t="s">
        <v>2016</v>
      </c>
      <c r="I112" s="509"/>
      <c r="J112" s="509"/>
      <c r="K112" s="509"/>
      <c r="L112" s="509"/>
      <c r="M112" s="504"/>
      <c r="N112" s="504"/>
      <c r="O112" s="504"/>
      <c r="P112" s="504"/>
      <c r="Q112" s="504"/>
      <c r="R112" s="504"/>
      <c r="S112" s="504"/>
      <c r="T112" s="504"/>
      <c r="U112" s="504"/>
      <c r="V112" s="504"/>
      <c r="W112" s="504"/>
      <c r="X112" s="504"/>
      <c r="Y112" s="504"/>
      <c r="Z112" s="504"/>
      <c r="AA112" s="504"/>
      <c r="AB112" s="504"/>
      <c r="AC112" s="504"/>
      <c r="AD112" s="504"/>
      <c r="AE112" s="504"/>
      <c r="AF112" s="504"/>
      <c r="AG112" s="504"/>
      <c r="AH112" s="504"/>
      <c r="AI112" s="504"/>
      <c r="AJ112" s="504"/>
      <c r="AK112" s="504"/>
      <c r="AL112" s="504"/>
      <c r="AM112" s="504"/>
      <c r="AN112" s="504"/>
      <c r="AO112" s="509"/>
      <c r="AP112" s="509"/>
      <c r="AQ112" s="509"/>
      <c r="AR112" s="509"/>
      <c r="AS112" s="509"/>
      <c r="AT112" s="509"/>
      <c r="AU112" s="509"/>
      <c r="AV112" s="509"/>
      <c r="AW112" s="509"/>
      <c r="AX112" s="509"/>
      <c r="AY112" s="509"/>
      <c r="AZ112" s="509"/>
      <c r="BA112" s="509"/>
      <c r="BB112" s="504"/>
      <c r="BC112" s="504"/>
      <c r="BD112" s="504"/>
      <c r="BE112" s="504"/>
      <c r="BF112" s="504"/>
      <c r="BG112" s="504"/>
      <c r="BH112" s="504"/>
      <c r="BI112" s="504"/>
      <c r="BJ112" s="504"/>
      <c r="BK112" s="504"/>
      <c r="BL112" s="504"/>
      <c r="BM112" s="504">
        <v>3</v>
      </c>
      <c r="BN112" s="504"/>
      <c r="BO112" s="509"/>
      <c r="BP112" s="509"/>
      <c r="BQ112" s="509"/>
      <c r="BR112" s="509"/>
      <c r="BS112" s="504"/>
      <c r="BT112" s="504">
        <v>1</v>
      </c>
      <c r="BU112" s="504"/>
      <c r="BV112" s="504"/>
      <c r="BW112" s="504"/>
      <c r="BX112" s="504"/>
      <c r="BY112" s="504"/>
      <c r="BZ112" s="504"/>
      <c r="CA112" s="504"/>
      <c r="CB112" s="504"/>
      <c r="CC112" s="504"/>
      <c r="CD112" s="504"/>
      <c r="CE112" s="504">
        <v>1</v>
      </c>
      <c r="CF112" s="504"/>
      <c r="CG112" s="504"/>
      <c r="CH112" s="504">
        <v>1</v>
      </c>
      <c r="CI112" s="504"/>
      <c r="CJ112" s="504"/>
      <c r="CK112" s="504">
        <v>1</v>
      </c>
      <c r="CL112" s="504"/>
      <c r="CM112" s="504"/>
      <c r="CN112" s="509"/>
      <c r="CO112" s="509"/>
      <c r="CP112" s="509">
        <v>4</v>
      </c>
      <c r="CQ112" s="509"/>
      <c r="CR112" s="509"/>
      <c r="CS112" s="509"/>
      <c r="CT112" s="509"/>
      <c r="CU112" s="509"/>
      <c r="CV112" s="509"/>
      <c r="CW112" s="509"/>
      <c r="CX112" s="510">
        <v>2</v>
      </c>
      <c r="CY112" s="504"/>
      <c r="CZ112" s="504"/>
      <c r="DA112" s="504"/>
      <c r="DB112" s="504"/>
      <c r="DC112" s="504"/>
      <c r="DD112" s="504"/>
      <c r="DE112" s="504">
        <v>6</v>
      </c>
      <c r="DF112" s="504"/>
      <c r="DG112" s="504"/>
      <c r="DH112" s="504"/>
      <c r="DI112" s="504"/>
      <c r="DJ112" s="504"/>
      <c r="DK112" s="504"/>
      <c r="DL112" s="504">
        <v>6</v>
      </c>
      <c r="DM112" s="504"/>
      <c r="DN112" s="504"/>
      <c r="DO112" s="504"/>
      <c r="DP112" s="504"/>
      <c r="DQ112" s="504"/>
      <c r="DR112" s="504"/>
      <c r="DS112" s="504"/>
      <c r="DT112" s="504"/>
      <c r="DU112" s="504"/>
      <c r="DV112" s="504"/>
      <c r="DW112" s="504"/>
      <c r="DX112" s="504"/>
      <c r="DY112" s="504"/>
      <c r="DZ112" s="504"/>
      <c r="EA112" s="505"/>
      <c r="EB112" s="506"/>
    </row>
    <row r="113" spans="1:132" ht="18.899999999999999" customHeight="1">
      <c r="A113" s="473"/>
      <c r="B113" s="473"/>
      <c r="C113" s="474"/>
      <c r="D113" s="474"/>
      <c r="E113" s="474"/>
      <c r="F113" s="473"/>
      <c r="G113" s="473"/>
      <c r="H113" s="508" t="s">
        <v>2017</v>
      </c>
      <c r="I113" s="509"/>
      <c r="J113" s="509"/>
      <c r="K113" s="509"/>
      <c r="L113" s="509"/>
      <c r="M113" s="504"/>
      <c r="N113" s="504"/>
      <c r="O113" s="504"/>
      <c r="P113" s="504"/>
      <c r="Q113" s="504"/>
      <c r="R113" s="504"/>
      <c r="S113" s="504"/>
      <c r="T113" s="504"/>
      <c r="U113" s="504"/>
      <c r="V113" s="504"/>
      <c r="W113" s="504"/>
      <c r="X113" s="504"/>
      <c r="Y113" s="504"/>
      <c r="Z113" s="504"/>
      <c r="AA113" s="504"/>
      <c r="AB113" s="504"/>
      <c r="AC113" s="504"/>
      <c r="AD113" s="504"/>
      <c r="AE113" s="504"/>
      <c r="AF113" s="504"/>
      <c r="AG113" s="504"/>
      <c r="AH113" s="504"/>
      <c r="AI113" s="504"/>
      <c r="AJ113" s="504"/>
      <c r="AK113" s="504"/>
      <c r="AL113" s="504"/>
      <c r="AM113" s="504"/>
      <c r="AN113" s="504"/>
      <c r="AO113" s="509"/>
      <c r="AP113" s="509"/>
      <c r="AQ113" s="509"/>
      <c r="AR113" s="509"/>
      <c r="AS113" s="509"/>
      <c r="AT113" s="509"/>
      <c r="AU113" s="509"/>
      <c r="AV113" s="509"/>
      <c r="AW113" s="509"/>
      <c r="AX113" s="509"/>
      <c r="AY113" s="509"/>
      <c r="AZ113" s="509"/>
      <c r="BA113" s="509"/>
      <c r="BB113" s="504"/>
      <c r="BC113" s="504"/>
      <c r="BD113" s="504"/>
      <c r="BE113" s="504"/>
      <c r="BF113" s="504"/>
      <c r="BG113" s="504"/>
      <c r="BH113" s="504"/>
      <c r="BI113" s="504"/>
      <c r="BJ113" s="504"/>
      <c r="BK113" s="504"/>
      <c r="BL113" s="504"/>
      <c r="BM113" s="504">
        <v>4</v>
      </c>
      <c r="BN113" s="504"/>
      <c r="BO113" s="509"/>
      <c r="BP113" s="509"/>
      <c r="BQ113" s="509"/>
      <c r="BR113" s="509"/>
      <c r="BS113" s="504"/>
      <c r="BT113" s="504"/>
      <c r="BU113" s="504"/>
      <c r="BV113" s="504"/>
      <c r="BW113" s="504"/>
      <c r="BX113" s="504"/>
      <c r="BY113" s="504"/>
      <c r="BZ113" s="504"/>
      <c r="CA113" s="504"/>
      <c r="CB113" s="504"/>
      <c r="CC113" s="504"/>
      <c r="CD113" s="504"/>
      <c r="CE113" s="504">
        <v>1</v>
      </c>
      <c r="CF113" s="504"/>
      <c r="CG113" s="504"/>
      <c r="CH113" s="504">
        <v>1</v>
      </c>
      <c r="CI113" s="504"/>
      <c r="CJ113" s="504"/>
      <c r="CK113" s="504">
        <v>1</v>
      </c>
      <c r="CL113" s="504"/>
      <c r="CM113" s="504"/>
      <c r="CN113" s="509"/>
      <c r="CO113" s="509"/>
      <c r="CP113" s="509">
        <v>6</v>
      </c>
      <c r="CQ113" s="509"/>
      <c r="CR113" s="509">
        <v>6</v>
      </c>
      <c r="CS113" s="509"/>
      <c r="CT113" s="509"/>
      <c r="CU113" s="509"/>
      <c r="CV113" s="509"/>
      <c r="CW113" s="509"/>
      <c r="CX113" s="510">
        <v>2</v>
      </c>
      <c r="CY113" s="504"/>
      <c r="CZ113" s="504"/>
      <c r="DA113" s="504"/>
      <c r="DB113" s="504"/>
      <c r="DC113" s="504"/>
      <c r="DD113" s="504"/>
      <c r="DE113" s="504">
        <v>6</v>
      </c>
      <c r="DF113" s="504"/>
      <c r="DG113" s="504"/>
      <c r="DH113" s="504"/>
      <c r="DI113" s="504"/>
      <c r="DJ113" s="504"/>
      <c r="DK113" s="504"/>
      <c r="DL113" s="504">
        <v>6</v>
      </c>
      <c r="DM113" s="504"/>
      <c r="DN113" s="504"/>
      <c r="DO113" s="504"/>
      <c r="DP113" s="504"/>
      <c r="DQ113" s="504"/>
      <c r="DR113" s="504"/>
      <c r="DS113" s="504"/>
      <c r="DT113" s="504"/>
      <c r="DU113" s="504"/>
      <c r="DV113" s="504"/>
      <c r="DW113" s="504"/>
      <c r="DX113" s="504"/>
      <c r="DY113" s="504"/>
      <c r="DZ113" s="504"/>
      <c r="EA113" s="505"/>
      <c r="EB113" s="506"/>
    </row>
    <row r="114" spans="1:132" ht="18.899999999999999" customHeight="1">
      <c r="A114" s="473"/>
      <c r="B114" s="473"/>
      <c r="C114" s="474"/>
      <c r="D114" s="474"/>
      <c r="E114" s="474"/>
      <c r="F114" s="473"/>
      <c r="G114" s="473"/>
      <c r="H114" s="508" t="s">
        <v>2018</v>
      </c>
      <c r="I114" s="509"/>
      <c r="J114" s="509"/>
      <c r="K114" s="509"/>
      <c r="L114" s="509"/>
      <c r="M114" s="504"/>
      <c r="N114" s="504"/>
      <c r="O114" s="504"/>
      <c r="P114" s="504"/>
      <c r="Q114" s="504"/>
      <c r="R114" s="504"/>
      <c r="S114" s="504"/>
      <c r="T114" s="504"/>
      <c r="U114" s="504"/>
      <c r="V114" s="504"/>
      <c r="W114" s="504"/>
      <c r="X114" s="504"/>
      <c r="Y114" s="504"/>
      <c r="Z114" s="504"/>
      <c r="AA114" s="504"/>
      <c r="AB114" s="504"/>
      <c r="AC114" s="504"/>
      <c r="AD114" s="504"/>
      <c r="AE114" s="504"/>
      <c r="AF114" s="504"/>
      <c r="AG114" s="504"/>
      <c r="AH114" s="504"/>
      <c r="AI114" s="504"/>
      <c r="AJ114" s="504"/>
      <c r="AK114" s="504"/>
      <c r="AL114" s="504"/>
      <c r="AM114" s="504"/>
      <c r="AN114" s="504"/>
      <c r="AO114" s="509"/>
      <c r="AP114" s="509"/>
      <c r="AQ114" s="509"/>
      <c r="AR114" s="509"/>
      <c r="AS114" s="509"/>
      <c r="AT114" s="509"/>
      <c r="AU114" s="509"/>
      <c r="AV114" s="509"/>
      <c r="AW114" s="509"/>
      <c r="AX114" s="509"/>
      <c r="AY114" s="509"/>
      <c r="AZ114" s="509"/>
      <c r="BA114" s="509"/>
      <c r="BB114" s="504"/>
      <c r="BC114" s="504"/>
      <c r="BD114" s="504"/>
      <c r="BE114" s="504"/>
      <c r="BF114" s="504"/>
      <c r="BG114" s="504"/>
      <c r="BH114" s="504"/>
      <c r="BI114" s="504"/>
      <c r="BJ114" s="504"/>
      <c r="BK114" s="504"/>
      <c r="BL114" s="504"/>
      <c r="BM114" s="504">
        <v>2</v>
      </c>
      <c r="BN114" s="504"/>
      <c r="BO114" s="509"/>
      <c r="BP114" s="509"/>
      <c r="BQ114" s="509"/>
      <c r="BR114" s="509"/>
      <c r="BS114" s="504"/>
      <c r="BT114" s="504"/>
      <c r="BU114" s="504"/>
      <c r="BV114" s="504"/>
      <c r="BW114" s="504"/>
      <c r="BX114" s="504"/>
      <c r="BY114" s="504"/>
      <c r="BZ114" s="504"/>
      <c r="CA114" s="504"/>
      <c r="CB114" s="504"/>
      <c r="CC114" s="504"/>
      <c r="CD114" s="504"/>
      <c r="CE114" s="504">
        <v>1</v>
      </c>
      <c r="CF114" s="504"/>
      <c r="CG114" s="504"/>
      <c r="CH114" s="504">
        <v>1</v>
      </c>
      <c r="CI114" s="504"/>
      <c r="CJ114" s="504"/>
      <c r="CK114" s="504">
        <v>1</v>
      </c>
      <c r="CL114" s="504"/>
      <c r="CM114" s="504"/>
      <c r="CN114" s="509"/>
      <c r="CO114" s="509"/>
      <c r="CP114" s="509"/>
      <c r="CQ114" s="509"/>
      <c r="CR114" s="509">
        <v>3</v>
      </c>
      <c r="CS114" s="509"/>
      <c r="CT114" s="509"/>
      <c r="CU114" s="509"/>
      <c r="CV114" s="509"/>
      <c r="CW114" s="509"/>
      <c r="CX114" s="510">
        <v>1</v>
      </c>
      <c r="CY114" s="504"/>
      <c r="CZ114" s="504"/>
      <c r="DA114" s="504"/>
      <c r="DB114" s="504"/>
      <c r="DC114" s="504"/>
      <c r="DD114" s="504"/>
      <c r="DE114" s="504"/>
      <c r="DF114" s="504"/>
      <c r="DG114" s="504"/>
      <c r="DH114" s="504"/>
      <c r="DI114" s="504"/>
      <c r="DJ114" s="504"/>
      <c r="DK114" s="504"/>
      <c r="DL114" s="504"/>
      <c r="DM114" s="504"/>
      <c r="DN114" s="504"/>
      <c r="DO114" s="504"/>
      <c r="DP114" s="504"/>
      <c r="DQ114" s="504"/>
      <c r="DR114" s="504"/>
      <c r="DS114" s="504"/>
      <c r="DT114" s="504"/>
      <c r="DU114" s="504"/>
      <c r="DV114" s="504"/>
      <c r="DW114" s="504"/>
      <c r="DX114" s="504"/>
      <c r="DY114" s="504"/>
      <c r="DZ114" s="504"/>
      <c r="EA114" s="505"/>
      <c r="EB114" s="506"/>
    </row>
    <row r="115" spans="1:132" ht="18.899999999999999" customHeight="1">
      <c r="A115" s="473"/>
      <c r="B115" s="473"/>
      <c r="C115" s="474"/>
      <c r="D115" s="474"/>
      <c r="E115" s="474"/>
      <c r="F115" s="473"/>
      <c r="G115" s="473"/>
      <c r="H115" s="508" t="s">
        <v>2019</v>
      </c>
      <c r="I115" s="509"/>
      <c r="J115" s="509"/>
      <c r="K115" s="509"/>
      <c r="L115" s="509"/>
      <c r="M115" s="504"/>
      <c r="N115" s="504"/>
      <c r="O115" s="504"/>
      <c r="P115" s="504"/>
      <c r="Q115" s="504"/>
      <c r="R115" s="504"/>
      <c r="S115" s="504"/>
      <c r="T115" s="504"/>
      <c r="U115" s="504"/>
      <c r="V115" s="504"/>
      <c r="W115" s="504"/>
      <c r="X115" s="504"/>
      <c r="Y115" s="504"/>
      <c r="Z115" s="504"/>
      <c r="AA115" s="504"/>
      <c r="AB115" s="504"/>
      <c r="AC115" s="504"/>
      <c r="AD115" s="504"/>
      <c r="AE115" s="504"/>
      <c r="AF115" s="504"/>
      <c r="AG115" s="504"/>
      <c r="AH115" s="504"/>
      <c r="AI115" s="504"/>
      <c r="AJ115" s="504"/>
      <c r="AK115" s="504"/>
      <c r="AL115" s="504"/>
      <c r="AM115" s="504"/>
      <c r="AN115" s="504"/>
      <c r="AO115" s="509"/>
      <c r="AP115" s="509"/>
      <c r="AQ115" s="509"/>
      <c r="AR115" s="509"/>
      <c r="AS115" s="509"/>
      <c r="AT115" s="509"/>
      <c r="AU115" s="509"/>
      <c r="AV115" s="509"/>
      <c r="AW115" s="509"/>
      <c r="AX115" s="509"/>
      <c r="AY115" s="509"/>
      <c r="AZ115" s="509"/>
      <c r="BA115" s="509"/>
      <c r="BB115" s="504"/>
      <c r="BC115" s="504"/>
      <c r="BD115" s="504"/>
      <c r="BE115" s="504"/>
      <c r="BF115" s="504"/>
      <c r="BG115" s="504"/>
      <c r="BH115" s="504"/>
      <c r="BI115" s="504"/>
      <c r="BJ115" s="504"/>
      <c r="BK115" s="504"/>
      <c r="BL115" s="504"/>
      <c r="BM115" s="504"/>
      <c r="BN115" s="504"/>
      <c r="BO115" s="509"/>
      <c r="BP115" s="509"/>
      <c r="BQ115" s="509"/>
      <c r="BR115" s="509"/>
      <c r="BS115" s="504"/>
      <c r="BT115" s="504"/>
      <c r="BU115" s="504"/>
      <c r="BV115" s="504"/>
      <c r="BW115" s="504"/>
      <c r="BX115" s="504"/>
      <c r="BY115" s="504"/>
      <c r="BZ115" s="504"/>
      <c r="CA115" s="504">
        <v>1</v>
      </c>
      <c r="CB115" s="504"/>
      <c r="CC115" s="504"/>
      <c r="CD115" s="504"/>
      <c r="CE115" s="504"/>
      <c r="CF115" s="504"/>
      <c r="CG115" s="504"/>
      <c r="CH115" s="504"/>
      <c r="CI115" s="504"/>
      <c r="CJ115" s="504"/>
      <c r="CK115" s="504"/>
      <c r="CL115" s="504"/>
      <c r="CM115" s="504"/>
      <c r="CN115" s="509"/>
      <c r="CO115" s="509"/>
      <c r="CP115" s="509">
        <v>3</v>
      </c>
      <c r="CQ115" s="509"/>
      <c r="CR115" s="509"/>
      <c r="CS115" s="509"/>
      <c r="CT115" s="509"/>
      <c r="CU115" s="509"/>
      <c r="CV115" s="509"/>
      <c r="CW115" s="509"/>
      <c r="CX115" s="510"/>
      <c r="CY115" s="504"/>
      <c r="CZ115" s="504"/>
      <c r="DA115" s="504"/>
      <c r="DB115" s="504"/>
      <c r="DC115" s="504"/>
      <c r="DD115" s="504"/>
      <c r="DE115" s="504"/>
      <c r="DF115" s="504"/>
      <c r="DG115" s="504"/>
      <c r="DH115" s="504"/>
      <c r="DI115" s="504"/>
      <c r="DJ115" s="504"/>
      <c r="DK115" s="504"/>
      <c r="DL115" s="504"/>
      <c r="DM115" s="504"/>
      <c r="DN115" s="504"/>
      <c r="DO115" s="504"/>
      <c r="DP115" s="504"/>
      <c r="DQ115" s="504"/>
      <c r="DR115" s="504"/>
      <c r="DS115" s="504"/>
      <c r="DT115" s="504"/>
      <c r="DU115" s="504"/>
      <c r="DV115" s="504"/>
      <c r="DW115" s="504"/>
      <c r="DX115" s="504"/>
      <c r="DY115" s="504"/>
      <c r="DZ115" s="504"/>
      <c r="EA115" s="505"/>
      <c r="EB115" s="506"/>
    </row>
    <row r="116" spans="1:132" ht="18.899999999999999" customHeight="1">
      <c r="A116" s="473"/>
      <c r="B116" s="473"/>
      <c r="C116" s="474"/>
      <c r="D116" s="474"/>
      <c r="E116" s="474"/>
      <c r="F116" s="473"/>
      <c r="G116" s="473"/>
      <c r="H116" s="508" t="s">
        <v>2020</v>
      </c>
      <c r="I116" s="509"/>
      <c r="J116" s="509"/>
      <c r="K116" s="509"/>
      <c r="L116" s="509"/>
      <c r="M116" s="504"/>
      <c r="N116" s="504"/>
      <c r="O116" s="504"/>
      <c r="P116" s="504"/>
      <c r="Q116" s="504"/>
      <c r="R116" s="504"/>
      <c r="S116" s="504"/>
      <c r="T116" s="504"/>
      <c r="U116" s="504"/>
      <c r="V116" s="504"/>
      <c r="W116" s="504"/>
      <c r="X116" s="504"/>
      <c r="Y116" s="504"/>
      <c r="Z116" s="504"/>
      <c r="AA116" s="504"/>
      <c r="AB116" s="504"/>
      <c r="AC116" s="504"/>
      <c r="AD116" s="504"/>
      <c r="AE116" s="504"/>
      <c r="AF116" s="504"/>
      <c r="AG116" s="504"/>
      <c r="AH116" s="504"/>
      <c r="AI116" s="504"/>
      <c r="AJ116" s="504"/>
      <c r="AK116" s="504"/>
      <c r="AL116" s="504"/>
      <c r="AM116" s="504"/>
      <c r="AN116" s="504"/>
      <c r="AO116" s="509"/>
      <c r="AP116" s="509"/>
      <c r="AQ116" s="509"/>
      <c r="AR116" s="509"/>
      <c r="AS116" s="509"/>
      <c r="AT116" s="509"/>
      <c r="AU116" s="509"/>
      <c r="AV116" s="509"/>
      <c r="AW116" s="509"/>
      <c r="AX116" s="509"/>
      <c r="AY116" s="509"/>
      <c r="AZ116" s="509"/>
      <c r="BA116" s="509"/>
      <c r="BB116" s="504"/>
      <c r="BC116" s="504"/>
      <c r="BD116" s="504"/>
      <c r="BE116" s="504"/>
      <c r="BF116" s="504"/>
      <c r="BG116" s="504"/>
      <c r="BH116" s="504"/>
      <c r="BI116" s="504"/>
      <c r="BJ116" s="504"/>
      <c r="BK116" s="504"/>
      <c r="BL116" s="504"/>
      <c r="BM116" s="504"/>
      <c r="BN116" s="504"/>
      <c r="BO116" s="509"/>
      <c r="BP116" s="509"/>
      <c r="BQ116" s="509"/>
      <c r="BR116" s="509"/>
      <c r="BS116" s="504"/>
      <c r="BT116" s="504"/>
      <c r="BU116" s="504"/>
      <c r="BV116" s="504"/>
      <c r="BW116" s="504"/>
      <c r="BX116" s="504"/>
      <c r="BY116" s="504"/>
      <c r="BZ116" s="504"/>
      <c r="CA116" s="504"/>
      <c r="CB116" s="504"/>
      <c r="CC116" s="504"/>
      <c r="CD116" s="504"/>
      <c r="CE116" s="504"/>
      <c r="CF116" s="504"/>
      <c r="CG116" s="504"/>
      <c r="CH116" s="504"/>
      <c r="CI116" s="504"/>
      <c r="CJ116" s="504"/>
      <c r="CK116" s="504"/>
      <c r="CL116" s="504"/>
      <c r="CM116" s="504"/>
      <c r="CN116" s="509"/>
      <c r="CO116" s="509"/>
      <c r="CP116" s="509"/>
      <c r="CQ116" s="509"/>
      <c r="CR116" s="509"/>
      <c r="CS116" s="509"/>
      <c r="CT116" s="509"/>
      <c r="CU116" s="509"/>
      <c r="CV116" s="509"/>
      <c r="CW116" s="509"/>
      <c r="CX116" s="510"/>
      <c r="CY116" s="504"/>
      <c r="CZ116" s="504"/>
      <c r="DA116" s="504"/>
      <c r="DB116" s="504"/>
      <c r="DC116" s="504"/>
      <c r="DD116" s="504"/>
      <c r="DE116" s="504"/>
      <c r="DF116" s="504"/>
      <c r="DG116" s="504"/>
      <c r="DH116" s="504"/>
      <c r="DI116" s="504"/>
      <c r="DJ116" s="504"/>
      <c r="DK116" s="504"/>
      <c r="DL116" s="504"/>
      <c r="DM116" s="504"/>
      <c r="DN116" s="504"/>
      <c r="DO116" s="504"/>
      <c r="DP116" s="504"/>
      <c r="DQ116" s="504"/>
      <c r="DR116" s="504"/>
      <c r="DS116" s="504"/>
      <c r="DT116" s="504"/>
      <c r="DU116" s="504"/>
      <c r="DV116" s="504"/>
      <c r="DW116" s="504"/>
      <c r="DX116" s="504"/>
      <c r="DY116" s="504"/>
      <c r="DZ116" s="504"/>
      <c r="EA116" s="505"/>
      <c r="EB116" s="506"/>
    </row>
    <row r="117" spans="1:132" ht="18.899999999999999" customHeight="1">
      <c r="A117" s="473"/>
      <c r="B117" s="473"/>
      <c r="C117" s="474"/>
      <c r="D117" s="474"/>
      <c r="E117" s="474"/>
      <c r="F117" s="473"/>
      <c r="G117" s="473"/>
      <c r="H117" s="508" t="s">
        <v>621</v>
      </c>
      <c r="I117" s="509"/>
      <c r="J117" s="509"/>
      <c r="K117" s="509"/>
      <c r="L117" s="509"/>
      <c r="M117" s="504"/>
      <c r="N117" s="504"/>
      <c r="O117" s="504"/>
      <c r="P117" s="504"/>
      <c r="Q117" s="504"/>
      <c r="R117" s="504"/>
      <c r="S117" s="504"/>
      <c r="T117" s="504"/>
      <c r="U117" s="504"/>
      <c r="V117" s="504"/>
      <c r="W117" s="504"/>
      <c r="X117" s="504"/>
      <c r="Y117" s="504"/>
      <c r="Z117" s="504"/>
      <c r="AA117" s="504"/>
      <c r="AB117" s="504"/>
      <c r="AC117" s="504"/>
      <c r="AD117" s="504"/>
      <c r="AE117" s="504"/>
      <c r="AF117" s="504"/>
      <c r="AG117" s="504"/>
      <c r="AH117" s="504"/>
      <c r="AI117" s="504"/>
      <c r="AJ117" s="504"/>
      <c r="AK117" s="504"/>
      <c r="AL117" s="504"/>
      <c r="AM117" s="504"/>
      <c r="AN117" s="504"/>
      <c r="AO117" s="509"/>
      <c r="AP117" s="509"/>
      <c r="AQ117" s="509"/>
      <c r="AR117" s="509"/>
      <c r="AS117" s="509"/>
      <c r="AT117" s="509"/>
      <c r="AU117" s="509"/>
      <c r="AV117" s="509"/>
      <c r="AW117" s="509"/>
      <c r="AX117" s="509"/>
      <c r="AY117" s="509"/>
      <c r="AZ117" s="509"/>
      <c r="BA117" s="509"/>
      <c r="BB117" s="504"/>
      <c r="BC117" s="504"/>
      <c r="BD117" s="504"/>
      <c r="BE117" s="504"/>
      <c r="BF117" s="504"/>
      <c r="BG117" s="504"/>
      <c r="BH117" s="504"/>
      <c r="BI117" s="504"/>
      <c r="BJ117" s="504"/>
      <c r="BK117" s="504"/>
      <c r="BL117" s="504"/>
      <c r="BM117" s="504">
        <v>1</v>
      </c>
      <c r="BN117" s="504"/>
      <c r="BO117" s="509"/>
      <c r="BP117" s="509"/>
      <c r="BQ117" s="509"/>
      <c r="BR117" s="509"/>
      <c r="BS117" s="504"/>
      <c r="BT117" s="504"/>
      <c r="BU117" s="504"/>
      <c r="BV117" s="504"/>
      <c r="BW117" s="504"/>
      <c r="BX117" s="504"/>
      <c r="BY117" s="504"/>
      <c r="BZ117" s="504"/>
      <c r="CA117" s="504"/>
      <c r="CB117" s="504">
        <v>1</v>
      </c>
      <c r="CC117" s="504"/>
      <c r="CD117" s="504"/>
      <c r="CE117" s="504"/>
      <c r="CF117" s="504"/>
      <c r="CG117" s="504"/>
      <c r="CH117" s="504"/>
      <c r="CI117" s="504"/>
      <c r="CJ117" s="504"/>
      <c r="CK117" s="504"/>
      <c r="CL117" s="504"/>
      <c r="CM117" s="504"/>
      <c r="CN117" s="509"/>
      <c r="CO117" s="509"/>
      <c r="CP117" s="509">
        <v>6</v>
      </c>
      <c r="CQ117" s="509"/>
      <c r="CR117" s="509"/>
      <c r="CS117" s="509"/>
      <c r="CT117" s="509"/>
      <c r="CU117" s="509"/>
      <c r="CV117" s="509"/>
      <c r="CW117" s="509"/>
      <c r="CX117" s="510"/>
      <c r="CY117" s="504"/>
      <c r="CZ117" s="504"/>
      <c r="DA117" s="504"/>
      <c r="DB117" s="504"/>
      <c r="DC117" s="504"/>
      <c r="DD117" s="504"/>
      <c r="DE117" s="504"/>
      <c r="DF117" s="504"/>
      <c r="DG117" s="504"/>
      <c r="DH117" s="504"/>
      <c r="DI117" s="504"/>
      <c r="DJ117" s="504"/>
      <c r="DK117" s="504"/>
      <c r="DL117" s="504"/>
      <c r="DM117" s="504"/>
      <c r="DN117" s="504"/>
      <c r="DO117" s="504"/>
      <c r="DP117" s="504"/>
      <c r="DQ117" s="504"/>
      <c r="DR117" s="504"/>
      <c r="DS117" s="504"/>
      <c r="DT117" s="504"/>
      <c r="DU117" s="504"/>
      <c r="DV117" s="504"/>
      <c r="DW117" s="504"/>
      <c r="DX117" s="504"/>
      <c r="DY117" s="504"/>
      <c r="DZ117" s="504"/>
      <c r="EA117" s="505"/>
      <c r="EB117" s="506"/>
    </row>
    <row r="118" spans="1:132" ht="18.899999999999999" customHeight="1">
      <c r="A118" s="473"/>
      <c r="B118" s="473"/>
      <c r="C118" s="474"/>
      <c r="D118" s="474"/>
      <c r="E118" s="474"/>
      <c r="F118" s="473"/>
      <c r="G118" s="473"/>
      <c r="H118" s="508" t="s">
        <v>2273</v>
      </c>
      <c r="I118" s="509"/>
      <c r="J118" s="509"/>
      <c r="K118" s="509"/>
      <c r="L118" s="509"/>
      <c r="M118" s="504"/>
      <c r="N118" s="504"/>
      <c r="O118" s="504"/>
      <c r="P118" s="504"/>
      <c r="Q118" s="504"/>
      <c r="R118" s="504"/>
      <c r="S118" s="504"/>
      <c r="T118" s="504"/>
      <c r="U118" s="504"/>
      <c r="V118" s="504"/>
      <c r="W118" s="504"/>
      <c r="X118" s="504"/>
      <c r="Y118" s="504"/>
      <c r="Z118" s="504"/>
      <c r="AA118" s="504"/>
      <c r="AB118" s="504"/>
      <c r="AC118" s="504"/>
      <c r="AD118" s="504"/>
      <c r="AE118" s="504"/>
      <c r="AF118" s="504"/>
      <c r="AG118" s="504"/>
      <c r="AH118" s="504"/>
      <c r="AI118" s="504"/>
      <c r="AJ118" s="504"/>
      <c r="AK118" s="504"/>
      <c r="AL118" s="504"/>
      <c r="AM118" s="504"/>
      <c r="AN118" s="504"/>
      <c r="AO118" s="509"/>
      <c r="AP118" s="509"/>
      <c r="AQ118" s="509"/>
      <c r="AR118" s="509"/>
      <c r="AS118" s="509"/>
      <c r="AT118" s="509"/>
      <c r="AU118" s="509"/>
      <c r="AV118" s="509"/>
      <c r="AW118" s="509"/>
      <c r="AX118" s="509"/>
      <c r="AY118" s="509"/>
      <c r="AZ118" s="509"/>
      <c r="BA118" s="509"/>
      <c r="BB118" s="504"/>
      <c r="BC118" s="504"/>
      <c r="BD118" s="504"/>
      <c r="BE118" s="504"/>
      <c r="BF118" s="504"/>
      <c r="BG118" s="504"/>
      <c r="BH118" s="504"/>
      <c r="BI118" s="504"/>
      <c r="BJ118" s="504"/>
      <c r="BK118" s="504"/>
      <c r="BL118" s="504"/>
      <c r="BM118" s="504">
        <v>2</v>
      </c>
      <c r="BN118" s="504"/>
      <c r="BO118" s="509"/>
      <c r="BP118" s="509"/>
      <c r="BQ118" s="509"/>
      <c r="BR118" s="509"/>
      <c r="BS118" s="504"/>
      <c r="BT118" s="504"/>
      <c r="BU118" s="504"/>
      <c r="BV118" s="504">
        <v>1</v>
      </c>
      <c r="BW118" s="504"/>
      <c r="BX118" s="504"/>
      <c r="BY118" s="504"/>
      <c r="BZ118" s="504"/>
      <c r="CA118" s="504"/>
      <c r="CB118" s="504"/>
      <c r="CC118" s="504"/>
      <c r="CD118" s="504"/>
      <c r="CE118" s="504"/>
      <c r="CF118" s="504"/>
      <c r="CG118" s="504"/>
      <c r="CH118" s="504"/>
      <c r="CI118" s="504"/>
      <c r="CJ118" s="504"/>
      <c r="CK118" s="504"/>
      <c r="CL118" s="504"/>
      <c r="CM118" s="504"/>
      <c r="CN118" s="509"/>
      <c r="CO118" s="509"/>
      <c r="CP118" s="509"/>
      <c r="CQ118" s="509"/>
      <c r="CR118" s="509">
        <v>3</v>
      </c>
      <c r="CS118" s="509"/>
      <c r="CT118" s="509"/>
      <c r="CU118" s="509"/>
      <c r="CV118" s="509"/>
      <c r="CW118" s="509"/>
      <c r="CX118" s="510">
        <v>1</v>
      </c>
      <c r="CY118" s="504"/>
      <c r="CZ118" s="504"/>
      <c r="DA118" s="504"/>
      <c r="DB118" s="504"/>
      <c r="DC118" s="504"/>
      <c r="DD118" s="504"/>
      <c r="DE118" s="504"/>
      <c r="DF118" s="504"/>
      <c r="DG118" s="504"/>
      <c r="DH118" s="504"/>
      <c r="DI118" s="504"/>
      <c r="DJ118" s="504"/>
      <c r="DK118" s="504"/>
      <c r="DL118" s="504"/>
      <c r="DM118" s="504"/>
      <c r="DN118" s="504"/>
      <c r="DO118" s="504"/>
      <c r="DP118" s="504"/>
      <c r="DQ118" s="504"/>
      <c r="DR118" s="504"/>
      <c r="DS118" s="504"/>
      <c r="DT118" s="504"/>
      <c r="DU118" s="504"/>
      <c r="DV118" s="504"/>
      <c r="DW118" s="504"/>
      <c r="DX118" s="504"/>
      <c r="DY118" s="504"/>
      <c r="DZ118" s="504"/>
      <c r="EA118" s="505"/>
      <c r="EB118" s="506"/>
    </row>
    <row r="119" spans="1:132" ht="18.899999999999999" customHeight="1">
      <c r="A119" s="473"/>
      <c r="B119" s="473"/>
      <c r="C119" s="474"/>
      <c r="D119" s="474"/>
      <c r="E119" s="474"/>
      <c r="F119" s="473"/>
      <c r="G119" s="473"/>
      <c r="H119" s="511" t="s">
        <v>2021</v>
      </c>
      <c r="I119" s="509"/>
      <c r="J119" s="509"/>
      <c r="K119" s="509"/>
      <c r="L119" s="509"/>
      <c r="M119" s="504"/>
      <c r="N119" s="504"/>
      <c r="O119" s="504"/>
      <c r="P119" s="504"/>
      <c r="Q119" s="504"/>
      <c r="R119" s="504"/>
      <c r="S119" s="504"/>
      <c r="T119" s="504"/>
      <c r="U119" s="504"/>
      <c r="V119" s="504"/>
      <c r="W119" s="504"/>
      <c r="X119" s="504"/>
      <c r="Y119" s="504"/>
      <c r="Z119" s="504"/>
      <c r="AA119" s="504"/>
      <c r="AB119" s="504"/>
      <c r="AC119" s="504"/>
      <c r="AD119" s="504"/>
      <c r="AE119" s="504"/>
      <c r="AF119" s="504"/>
      <c r="AG119" s="504"/>
      <c r="AH119" s="504"/>
      <c r="AI119" s="504"/>
      <c r="AJ119" s="504"/>
      <c r="AK119" s="504"/>
      <c r="AL119" s="504"/>
      <c r="AM119" s="504"/>
      <c r="AN119" s="504"/>
      <c r="AO119" s="509"/>
      <c r="AP119" s="509"/>
      <c r="AQ119" s="509"/>
      <c r="AR119" s="509"/>
      <c r="AS119" s="509"/>
      <c r="AT119" s="509"/>
      <c r="AU119" s="509"/>
      <c r="AV119" s="509"/>
      <c r="AW119" s="509"/>
      <c r="AX119" s="509"/>
      <c r="AY119" s="509"/>
      <c r="AZ119" s="509"/>
      <c r="BA119" s="509"/>
      <c r="BB119" s="504"/>
      <c r="BC119" s="504"/>
      <c r="BD119" s="504"/>
      <c r="BE119" s="504"/>
      <c r="BF119" s="504"/>
      <c r="BG119" s="504"/>
      <c r="BH119" s="504"/>
      <c r="BI119" s="504"/>
      <c r="BJ119" s="504"/>
      <c r="BK119" s="504"/>
      <c r="BL119" s="504"/>
      <c r="BM119" s="504">
        <v>4</v>
      </c>
      <c r="BN119" s="504"/>
      <c r="BO119" s="509"/>
      <c r="BP119" s="509"/>
      <c r="BQ119" s="509"/>
      <c r="BR119" s="509"/>
      <c r="BS119" s="504"/>
      <c r="BT119" s="504"/>
      <c r="BU119" s="504"/>
      <c r="BV119" s="504"/>
      <c r="BW119" s="504"/>
      <c r="BX119" s="504"/>
      <c r="BY119" s="504"/>
      <c r="BZ119" s="504"/>
      <c r="CA119" s="504"/>
      <c r="CB119" s="504"/>
      <c r="CC119" s="504"/>
      <c r="CD119" s="504"/>
      <c r="CE119" s="504"/>
      <c r="CF119" s="504"/>
      <c r="CG119" s="504"/>
      <c r="CH119" s="504"/>
      <c r="CI119" s="504"/>
      <c r="CJ119" s="504"/>
      <c r="CK119" s="504"/>
      <c r="CL119" s="504"/>
      <c r="CM119" s="504"/>
      <c r="CN119" s="509"/>
      <c r="CO119" s="509"/>
      <c r="CP119" s="509">
        <v>18</v>
      </c>
      <c r="CQ119" s="509"/>
      <c r="CR119" s="509">
        <v>18</v>
      </c>
      <c r="CS119" s="509"/>
      <c r="CT119" s="509"/>
      <c r="CU119" s="509"/>
      <c r="CV119" s="509"/>
      <c r="CW119" s="509"/>
      <c r="CX119" s="510">
        <v>4</v>
      </c>
      <c r="CY119" s="504"/>
      <c r="CZ119" s="504"/>
      <c r="DA119" s="504"/>
      <c r="DB119" s="504"/>
      <c r="DC119" s="504"/>
      <c r="DD119" s="504"/>
      <c r="DE119" s="504">
        <v>18</v>
      </c>
      <c r="DF119" s="504"/>
      <c r="DG119" s="504"/>
      <c r="DH119" s="504"/>
      <c r="DI119" s="504"/>
      <c r="DJ119" s="504"/>
      <c r="DK119" s="504"/>
      <c r="DL119" s="504">
        <v>18</v>
      </c>
      <c r="DM119" s="504"/>
      <c r="DN119" s="504"/>
      <c r="DO119" s="504"/>
      <c r="DP119" s="504"/>
      <c r="DQ119" s="504"/>
      <c r="DR119" s="504"/>
      <c r="DS119" s="504"/>
      <c r="DT119" s="504"/>
      <c r="DU119" s="504"/>
      <c r="DV119" s="504"/>
      <c r="DW119" s="504"/>
      <c r="DX119" s="504"/>
      <c r="DY119" s="504"/>
      <c r="DZ119" s="504"/>
      <c r="EA119" s="505"/>
      <c r="EB119" s="506"/>
    </row>
    <row r="120" spans="1:132" ht="18.899999999999999" customHeight="1">
      <c r="A120" s="473"/>
      <c r="B120" s="473"/>
      <c r="C120" s="474"/>
      <c r="D120" s="474"/>
      <c r="E120" s="474"/>
      <c r="F120" s="473"/>
      <c r="G120" s="473"/>
      <c r="H120" s="508" t="s">
        <v>2022</v>
      </c>
      <c r="I120" s="509"/>
      <c r="J120" s="509"/>
      <c r="K120" s="509"/>
      <c r="L120" s="509"/>
      <c r="M120" s="504"/>
      <c r="N120" s="504"/>
      <c r="O120" s="504"/>
      <c r="P120" s="504"/>
      <c r="Q120" s="504"/>
      <c r="R120" s="504"/>
      <c r="S120" s="504"/>
      <c r="T120" s="504"/>
      <c r="U120" s="504"/>
      <c r="V120" s="504"/>
      <c r="W120" s="504"/>
      <c r="X120" s="504"/>
      <c r="Y120" s="504"/>
      <c r="Z120" s="504"/>
      <c r="AA120" s="504"/>
      <c r="AB120" s="504"/>
      <c r="AC120" s="504"/>
      <c r="AD120" s="504"/>
      <c r="AE120" s="504"/>
      <c r="AF120" s="504"/>
      <c r="AG120" s="504"/>
      <c r="AH120" s="504"/>
      <c r="AI120" s="504"/>
      <c r="AJ120" s="504"/>
      <c r="AK120" s="504"/>
      <c r="AL120" s="504"/>
      <c r="AM120" s="504"/>
      <c r="AN120" s="504"/>
      <c r="AO120" s="509"/>
      <c r="AP120" s="509"/>
      <c r="AQ120" s="509"/>
      <c r="AR120" s="509"/>
      <c r="AS120" s="509"/>
      <c r="AT120" s="509"/>
      <c r="AU120" s="509"/>
      <c r="AV120" s="509"/>
      <c r="AW120" s="509"/>
      <c r="AX120" s="509"/>
      <c r="AY120" s="509"/>
      <c r="AZ120" s="509"/>
      <c r="BA120" s="509"/>
      <c r="BB120" s="504"/>
      <c r="BC120" s="504"/>
      <c r="BD120" s="504"/>
      <c r="BE120" s="504"/>
      <c r="BF120" s="504"/>
      <c r="BG120" s="504"/>
      <c r="BH120" s="504"/>
      <c r="BI120" s="504"/>
      <c r="BJ120" s="504"/>
      <c r="BK120" s="504"/>
      <c r="BL120" s="504"/>
      <c r="BM120" s="504"/>
      <c r="BN120" s="504"/>
      <c r="BO120" s="509"/>
      <c r="BP120" s="509"/>
      <c r="BQ120" s="509"/>
      <c r="BR120" s="509"/>
      <c r="BS120" s="504"/>
      <c r="BT120" s="504"/>
      <c r="BU120" s="504"/>
      <c r="BV120" s="504"/>
      <c r="BW120" s="504"/>
      <c r="BX120" s="504"/>
      <c r="BY120" s="504">
        <v>1</v>
      </c>
      <c r="BZ120" s="504"/>
      <c r="CA120" s="504"/>
      <c r="CB120" s="504"/>
      <c r="CC120" s="504"/>
      <c r="CD120" s="504"/>
      <c r="CE120" s="504"/>
      <c r="CF120" s="504"/>
      <c r="CG120" s="504">
        <v>1</v>
      </c>
      <c r="CH120" s="504"/>
      <c r="CI120" s="504"/>
      <c r="CJ120" s="504"/>
      <c r="CK120" s="504"/>
      <c r="CL120" s="504"/>
      <c r="CM120" s="504"/>
      <c r="CN120" s="509"/>
      <c r="CO120" s="509"/>
      <c r="CP120" s="509">
        <v>9</v>
      </c>
      <c r="CQ120" s="509"/>
      <c r="CR120" s="509"/>
      <c r="CS120" s="509"/>
      <c r="CT120" s="509"/>
      <c r="CU120" s="509">
        <v>2</v>
      </c>
      <c r="CV120" s="509"/>
      <c r="CW120" s="509"/>
      <c r="CX120" s="510"/>
      <c r="CY120" s="504"/>
      <c r="CZ120" s="504"/>
      <c r="DA120" s="504"/>
      <c r="DB120" s="504"/>
      <c r="DC120" s="504"/>
      <c r="DD120" s="504"/>
      <c r="DE120" s="504"/>
      <c r="DF120" s="504"/>
      <c r="DG120" s="504"/>
      <c r="DH120" s="504"/>
      <c r="DI120" s="504"/>
      <c r="DJ120" s="504"/>
      <c r="DK120" s="504"/>
      <c r="DL120" s="504"/>
      <c r="DM120" s="504"/>
      <c r="DN120" s="504"/>
      <c r="DO120" s="504"/>
      <c r="DP120" s="504"/>
      <c r="DQ120" s="504"/>
      <c r="DR120" s="504"/>
      <c r="DS120" s="504"/>
      <c r="DT120" s="504"/>
      <c r="DU120" s="504"/>
      <c r="DV120" s="504"/>
      <c r="DW120" s="504"/>
      <c r="DX120" s="504"/>
      <c r="DY120" s="504"/>
      <c r="DZ120" s="504"/>
      <c r="EA120" s="505"/>
      <c r="EB120" s="506"/>
    </row>
    <row r="121" spans="1:132" ht="18.899999999999999" customHeight="1">
      <c r="A121" s="473"/>
      <c r="B121" s="473"/>
      <c r="C121" s="474"/>
      <c r="D121" s="474"/>
      <c r="E121" s="474"/>
      <c r="F121" s="473"/>
      <c r="G121" s="473"/>
      <c r="H121" s="508" t="s">
        <v>2272</v>
      </c>
      <c r="I121" s="509"/>
      <c r="J121" s="509"/>
      <c r="K121" s="509"/>
      <c r="L121" s="509"/>
      <c r="M121" s="504"/>
      <c r="N121" s="504"/>
      <c r="O121" s="504"/>
      <c r="P121" s="504"/>
      <c r="Q121" s="504"/>
      <c r="R121" s="504"/>
      <c r="S121" s="504"/>
      <c r="T121" s="504"/>
      <c r="U121" s="504"/>
      <c r="V121" s="504"/>
      <c r="W121" s="504"/>
      <c r="X121" s="504"/>
      <c r="Y121" s="504"/>
      <c r="Z121" s="504"/>
      <c r="AA121" s="504"/>
      <c r="AB121" s="504"/>
      <c r="AC121" s="504"/>
      <c r="AD121" s="504"/>
      <c r="AE121" s="504"/>
      <c r="AF121" s="504"/>
      <c r="AG121" s="504"/>
      <c r="AH121" s="504"/>
      <c r="AI121" s="504"/>
      <c r="AJ121" s="504"/>
      <c r="AK121" s="504"/>
      <c r="AL121" s="504"/>
      <c r="AM121" s="504"/>
      <c r="AN121" s="504"/>
      <c r="AO121" s="509"/>
      <c r="AP121" s="509"/>
      <c r="AQ121" s="509"/>
      <c r="AR121" s="509"/>
      <c r="AS121" s="509"/>
      <c r="AT121" s="509"/>
      <c r="AU121" s="509"/>
      <c r="AV121" s="509"/>
      <c r="AW121" s="509"/>
      <c r="AX121" s="509"/>
      <c r="AY121" s="509"/>
      <c r="AZ121" s="509"/>
      <c r="BA121" s="509"/>
      <c r="BB121" s="504"/>
      <c r="BC121" s="504"/>
      <c r="BD121" s="504"/>
      <c r="BE121" s="504"/>
      <c r="BF121" s="504"/>
      <c r="BG121" s="504"/>
      <c r="BH121" s="504"/>
      <c r="BI121" s="504"/>
      <c r="BJ121" s="504"/>
      <c r="BK121" s="504"/>
      <c r="BL121" s="504"/>
      <c r="BM121" s="504">
        <v>2</v>
      </c>
      <c r="BN121" s="504"/>
      <c r="BO121" s="509"/>
      <c r="BP121" s="509"/>
      <c r="BQ121" s="509"/>
      <c r="BR121" s="509"/>
      <c r="BS121" s="504"/>
      <c r="BT121" s="504">
        <v>1</v>
      </c>
      <c r="BU121" s="504"/>
      <c r="BV121" s="504">
        <v>1</v>
      </c>
      <c r="BW121" s="504"/>
      <c r="BX121" s="504"/>
      <c r="BY121" s="504"/>
      <c r="BZ121" s="504"/>
      <c r="CA121" s="504"/>
      <c r="CB121" s="504"/>
      <c r="CC121" s="504"/>
      <c r="CD121" s="504"/>
      <c r="CE121" s="504"/>
      <c r="CF121" s="504"/>
      <c r="CG121" s="504"/>
      <c r="CH121" s="504"/>
      <c r="CI121" s="504">
        <v>1</v>
      </c>
      <c r="CJ121" s="504"/>
      <c r="CK121" s="504"/>
      <c r="CL121" s="504">
        <v>1</v>
      </c>
      <c r="CM121" s="504"/>
      <c r="CN121" s="509"/>
      <c r="CO121" s="509"/>
      <c r="CP121" s="509">
        <v>6</v>
      </c>
      <c r="CQ121" s="509"/>
      <c r="CR121" s="509">
        <v>12</v>
      </c>
      <c r="CS121" s="509"/>
      <c r="CT121" s="509"/>
      <c r="CU121" s="509"/>
      <c r="CV121" s="509"/>
      <c r="CW121" s="509"/>
      <c r="CX121" s="510">
        <v>3</v>
      </c>
      <c r="CY121" s="504"/>
      <c r="CZ121" s="504"/>
      <c r="DA121" s="504"/>
      <c r="DB121" s="504"/>
      <c r="DC121" s="504"/>
      <c r="DD121" s="504"/>
      <c r="DE121" s="504">
        <v>6</v>
      </c>
      <c r="DF121" s="504"/>
      <c r="DG121" s="504"/>
      <c r="DH121" s="504"/>
      <c r="DI121" s="504"/>
      <c r="DJ121" s="504"/>
      <c r="DK121" s="504"/>
      <c r="DL121" s="504">
        <v>6</v>
      </c>
      <c r="DM121" s="504"/>
      <c r="DN121" s="504"/>
      <c r="DO121" s="504"/>
      <c r="DP121" s="504"/>
      <c r="DQ121" s="504"/>
      <c r="DR121" s="504"/>
      <c r="DS121" s="504"/>
      <c r="DT121" s="504"/>
      <c r="DU121" s="504"/>
      <c r="DV121" s="504"/>
      <c r="DW121" s="504"/>
      <c r="DX121" s="504"/>
      <c r="DY121" s="504"/>
      <c r="DZ121" s="504"/>
      <c r="EA121" s="505"/>
      <c r="EB121" s="506"/>
    </row>
    <row r="122" spans="1:132" ht="18.899999999999999" customHeight="1">
      <c r="A122" s="473"/>
      <c r="B122" s="473"/>
      <c r="C122" s="474"/>
      <c r="D122" s="474"/>
      <c r="E122" s="474"/>
      <c r="F122" s="473"/>
      <c r="G122" s="473"/>
      <c r="H122" s="508" t="s">
        <v>2274</v>
      </c>
      <c r="I122" s="509"/>
      <c r="J122" s="509"/>
      <c r="K122" s="509"/>
      <c r="L122" s="509"/>
      <c r="M122" s="504"/>
      <c r="N122" s="504"/>
      <c r="O122" s="504"/>
      <c r="P122" s="504"/>
      <c r="Q122" s="504"/>
      <c r="R122" s="504"/>
      <c r="S122" s="504"/>
      <c r="T122" s="504"/>
      <c r="U122" s="504"/>
      <c r="V122" s="504"/>
      <c r="W122" s="504"/>
      <c r="X122" s="504"/>
      <c r="Y122" s="504"/>
      <c r="Z122" s="504"/>
      <c r="AA122" s="504"/>
      <c r="AB122" s="504"/>
      <c r="AC122" s="504"/>
      <c r="AD122" s="504"/>
      <c r="AE122" s="504"/>
      <c r="AF122" s="504"/>
      <c r="AG122" s="504"/>
      <c r="AH122" s="504"/>
      <c r="AI122" s="504"/>
      <c r="AJ122" s="504"/>
      <c r="AK122" s="504"/>
      <c r="AL122" s="504"/>
      <c r="AM122" s="504"/>
      <c r="AN122" s="504"/>
      <c r="AO122" s="509"/>
      <c r="AP122" s="509"/>
      <c r="AQ122" s="509"/>
      <c r="AR122" s="509"/>
      <c r="AS122" s="509"/>
      <c r="AT122" s="509"/>
      <c r="AU122" s="509"/>
      <c r="AV122" s="509"/>
      <c r="AW122" s="509"/>
      <c r="AX122" s="509"/>
      <c r="AY122" s="509"/>
      <c r="AZ122" s="509"/>
      <c r="BA122" s="509"/>
      <c r="BB122" s="504"/>
      <c r="BC122" s="504"/>
      <c r="BD122" s="504"/>
      <c r="BE122" s="504"/>
      <c r="BF122" s="504"/>
      <c r="BG122" s="504"/>
      <c r="BH122" s="504"/>
      <c r="BI122" s="504"/>
      <c r="BJ122" s="504"/>
      <c r="BK122" s="504"/>
      <c r="BL122" s="504"/>
      <c r="BM122" s="504"/>
      <c r="BN122" s="504"/>
      <c r="BO122" s="509"/>
      <c r="BP122" s="509"/>
      <c r="BQ122" s="509"/>
      <c r="BR122" s="509"/>
      <c r="BS122" s="504"/>
      <c r="BT122" s="504">
        <v>1</v>
      </c>
      <c r="BU122" s="504">
        <v>1</v>
      </c>
      <c r="BV122" s="504">
        <v>1</v>
      </c>
      <c r="BW122" s="504"/>
      <c r="BX122" s="504"/>
      <c r="BY122" s="504"/>
      <c r="BZ122" s="504"/>
      <c r="CA122" s="504"/>
      <c r="CB122" s="504"/>
      <c r="CC122" s="504"/>
      <c r="CD122" s="504"/>
      <c r="CE122" s="504"/>
      <c r="CF122" s="504"/>
      <c r="CG122" s="504"/>
      <c r="CH122" s="504"/>
      <c r="CI122" s="504">
        <v>1</v>
      </c>
      <c r="CJ122" s="504"/>
      <c r="CK122" s="504"/>
      <c r="CL122" s="504">
        <v>1</v>
      </c>
      <c r="CM122" s="504">
        <v>1</v>
      </c>
      <c r="CN122" s="509"/>
      <c r="CO122" s="509"/>
      <c r="CP122" s="509">
        <f>6+3+3+4</f>
        <v>16</v>
      </c>
      <c r="CQ122" s="509"/>
      <c r="CR122" s="509">
        <v>12</v>
      </c>
      <c r="CS122" s="509"/>
      <c r="CT122" s="509"/>
      <c r="CU122" s="509"/>
      <c r="CV122" s="509">
        <v>1</v>
      </c>
      <c r="CW122" s="509"/>
      <c r="CX122" s="510">
        <v>4</v>
      </c>
      <c r="CY122" s="504"/>
      <c r="CZ122" s="504"/>
      <c r="DA122" s="504"/>
      <c r="DB122" s="504"/>
      <c r="DC122" s="504"/>
      <c r="DD122" s="504"/>
      <c r="DE122" s="504">
        <v>12</v>
      </c>
      <c r="DF122" s="504"/>
      <c r="DG122" s="504"/>
      <c r="DH122" s="504"/>
      <c r="DI122" s="504"/>
      <c r="DJ122" s="504"/>
      <c r="DK122" s="504"/>
      <c r="DL122" s="504">
        <v>12</v>
      </c>
      <c r="DM122" s="504"/>
      <c r="DN122" s="504"/>
      <c r="DO122" s="504"/>
      <c r="DP122" s="504"/>
      <c r="DQ122" s="504"/>
      <c r="DR122" s="504"/>
      <c r="DS122" s="504"/>
      <c r="DT122" s="504"/>
      <c r="DU122" s="504"/>
      <c r="DV122" s="504"/>
      <c r="DW122" s="504"/>
      <c r="DX122" s="504"/>
      <c r="DY122" s="504"/>
      <c r="DZ122" s="504"/>
      <c r="EA122" s="505"/>
      <c r="EB122" s="506"/>
    </row>
    <row r="123" spans="1:132" ht="18.899999999999999" customHeight="1">
      <c r="A123" s="473"/>
      <c r="B123" s="473"/>
      <c r="C123" s="474"/>
      <c r="D123" s="474"/>
      <c r="E123" s="474"/>
      <c r="F123" s="473"/>
      <c r="G123" s="473"/>
      <c r="H123" s="511" t="s">
        <v>2275</v>
      </c>
      <c r="I123" s="509"/>
      <c r="J123" s="509"/>
      <c r="K123" s="509"/>
      <c r="L123" s="509"/>
      <c r="M123" s="504"/>
      <c r="N123" s="504"/>
      <c r="O123" s="504"/>
      <c r="P123" s="504"/>
      <c r="Q123" s="504"/>
      <c r="R123" s="504"/>
      <c r="S123" s="504"/>
      <c r="T123" s="504"/>
      <c r="U123" s="504"/>
      <c r="V123" s="504"/>
      <c r="W123" s="504"/>
      <c r="X123" s="504"/>
      <c r="Y123" s="504"/>
      <c r="Z123" s="504"/>
      <c r="AA123" s="504"/>
      <c r="AB123" s="504"/>
      <c r="AC123" s="504"/>
      <c r="AD123" s="504"/>
      <c r="AE123" s="504"/>
      <c r="AF123" s="504"/>
      <c r="AG123" s="504"/>
      <c r="AH123" s="504"/>
      <c r="AI123" s="504"/>
      <c r="AJ123" s="504"/>
      <c r="AK123" s="504"/>
      <c r="AL123" s="504"/>
      <c r="AM123" s="504"/>
      <c r="AN123" s="504"/>
      <c r="AO123" s="509"/>
      <c r="AP123" s="509"/>
      <c r="AQ123" s="509"/>
      <c r="AR123" s="509"/>
      <c r="AS123" s="509"/>
      <c r="AT123" s="509"/>
      <c r="AU123" s="509"/>
      <c r="AV123" s="509"/>
      <c r="AW123" s="509"/>
      <c r="AX123" s="509"/>
      <c r="AY123" s="509"/>
      <c r="AZ123" s="509"/>
      <c r="BA123" s="509"/>
      <c r="BB123" s="504"/>
      <c r="BC123" s="504"/>
      <c r="BD123" s="504"/>
      <c r="BE123" s="504"/>
      <c r="BF123" s="504"/>
      <c r="BG123" s="504"/>
      <c r="BH123" s="504"/>
      <c r="BI123" s="504"/>
      <c r="BJ123" s="504"/>
      <c r="BK123" s="504"/>
      <c r="BL123" s="504"/>
      <c r="BM123" s="504">
        <v>1</v>
      </c>
      <c r="BN123" s="504"/>
      <c r="BO123" s="509"/>
      <c r="BP123" s="509"/>
      <c r="BQ123" s="509"/>
      <c r="BR123" s="509"/>
      <c r="BS123" s="504"/>
      <c r="BT123" s="504"/>
      <c r="BU123" s="504"/>
      <c r="BV123" s="504">
        <v>1</v>
      </c>
      <c r="BW123" s="504">
        <v>1</v>
      </c>
      <c r="BX123" s="504"/>
      <c r="BY123" s="504"/>
      <c r="BZ123" s="504"/>
      <c r="CA123" s="504"/>
      <c r="CB123" s="504"/>
      <c r="CC123" s="504"/>
      <c r="CD123" s="504"/>
      <c r="CE123" s="504"/>
      <c r="CF123" s="504"/>
      <c r="CG123" s="504"/>
      <c r="CH123" s="504"/>
      <c r="CI123" s="504"/>
      <c r="CJ123" s="504"/>
      <c r="CK123" s="504"/>
      <c r="CL123" s="504"/>
      <c r="CM123" s="504"/>
      <c r="CN123" s="509"/>
      <c r="CO123" s="509"/>
      <c r="CP123" s="509">
        <f>1+5</f>
        <v>6</v>
      </c>
      <c r="CQ123" s="509"/>
      <c r="CR123" s="509">
        <v>6</v>
      </c>
      <c r="CS123" s="509"/>
      <c r="CT123" s="509"/>
      <c r="CU123" s="509"/>
      <c r="CV123" s="509"/>
      <c r="CW123" s="509"/>
      <c r="CX123" s="510"/>
      <c r="CY123" s="504"/>
      <c r="CZ123" s="504"/>
      <c r="DA123" s="504"/>
      <c r="DB123" s="504"/>
      <c r="DC123" s="504"/>
      <c r="DD123" s="504"/>
      <c r="DE123" s="504">
        <v>6</v>
      </c>
      <c r="DF123" s="504"/>
      <c r="DG123" s="504"/>
      <c r="DH123" s="504"/>
      <c r="DI123" s="504"/>
      <c r="DJ123" s="504"/>
      <c r="DK123" s="504"/>
      <c r="DL123" s="504">
        <v>6</v>
      </c>
      <c r="DM123" s="504"/>
      <c r="DN123" s="504"/>
      <c r="DO123" s="504"/>
      <c r="DP123" s="504"/>
      <c r="DQ123" s="504"/>
      <c r="DR123" s="504"/>
      <c r="DS123" s="504"/>
      <c r="DT123" s="504"/>
      <c r="DU123" s="504"/>
      <c r="DV123" s="504"/>
      <c r="DW123" s="504"/>
      <c r="DX123" s="504"/>
      <c r="DY123" s="504"/>
      <c r="DZ123" s="504"/>
      <c r="EA123" s="505"/>
      <c r="EB123" s="506"/>
    </row>
    <row r="124" spans="1:132" ht="18.899999999999999" customHeight="1">
      <c r="A124" s="473"/>
      <c r="B124" s="473"/>
      <c r="C124" s="474"/>
      <c r="D124" s="474"/>
      <c r="E124" s="474"/>
      <c r="F124" s="473"/>
      <c r="G124" s="473"/>
      <c r="H124" s="508" t="s">
        <v>118</v>
      </c>
      <c r="I124" s="509"/>
      <c r="J124" s="509"/>
      <c r="K124" s="509"/>
      <c r="L124" s="509"/>
      <c r="M124" s="504"/>
      <c r="N124" s="504"/>
      <c r="O124" s="504"/>
      <c r="P124" s="504"/>
      <c r="Q124" s="504"/>
      <c r="R124" s="504"/>
      <c r="S124" s="504"/>
      <c r="T124" s="504"/>
      <c r="U124" s="504"/>
      <c r="V124" s="504"/>
      <c r="W124" s="504"/>
      <c r="X124" s="504"/>
      <c r="Y124" s="504"/>
      <c r="Z124" s="504"/>
      <c r="AA124" s="504"/>
      <c r="AB124" s="504"/>
      <c r="AC124" s="504"/>
      <c r="AD124" s="504"/>
      <c r="AE124" s="504"/>
      <c r="AF124" s="504"/>
      <c r="AG124" s="504"/>
      <c r="AH124" s="504"/>
      <c r="AI124" s="504"/>
      <c r="AJ124" s="504"/>
      <c r="AK124" s="504"/>
      <c r="AL124" s="504"/>
      <c r="AM124" s="504"/>
      <c r="AN124" s="504"/>
      <c r="AO124" s="509"/>
      <c r="AP124" s="509"/>
      <c r="AQ124" s="509"/>
      <c r="AR124" s="509"/>
      <c r="AS124" s="509"/>
      <c r="AT124" s="509"/>
      <c r="AU124" s="509"/>
      <c r="AV124" s="509"/>
      <c r="AW124" s="509"/>
      <c r="AX124" s="509"/>
      <c r="AY124" s="509"/>
      <c r="AZ124" s="509"/>
      <c r="BA124" s="509"/>
      <c r="BB124" s="504"/>
      <c r="BC124" s="504"/>
      <c r="BD124" s="504"/>
      <c r="BE124" s="504"/>
      <c r="BF124" s="504"/>
      <c r="BG124" s="504"/>
      <c r="BH124" s="504"/>
      <c r="BI124" s="504"/>
      <c r="BJ124" s="504"/>
      <c r="BK124" s="504"/>
      <c r="BL124" s="504"/>
      <c r="BM124" s="504"/>
      <c r="BN124" s="504"/>
      <c r="BO124" s="509"/>
      <c r="BP124" s="509"/>
      <c r="BQ124" s="509"/>
      <c r="BR124" s="509"/>
      <c r="BS124" s="504"/>
      <c r="BT124" s="504"/>
      <c r="BU124" s="504"/>
      <c r="BV124" s="504"/>
      <c r="BW124" s="504"/>
      <c r="BX124" s="504"/>
      <c r="BY124" s="504"/>
      <c r="BZ124" s="504">
        <v>1</v>
      </c>
      <c r="CA124" s="504"/>
      <c r="CB124" s="504"/>
      <c r="CC124" s="504"/>
      <c r="CD124" s="504"/>
      <c r="CE124" s="504"/>
      <c r="CF124" s="504"/>
      <c r="CG124" s="504"/>
      <c r="CH124" s="504"/>
      <c r="CI124" s="504"/>
      <c r="CJ124" s="504"/>
      <c r="CK124" s="504"/>
      <c r="CL124" s="504"/>
      <c r="CM124" s="504"/>
      <c r="CN124" s="509"/>
      <c r="CO124" s="509"/>
      <c r="CP124" s="509">
        <v>6</v>
      </c>
      <c r="CQ124" s="509"/>
      <c r="CR124" s="509"/>
      <c r="CS124" s="509"/>
      <c r="CT124" s="509"/>
      <c r="CU124" s="509"/>
      <c r="CV124" s="509"/>
      <c r="CW124" s="509"/>
      <c r="CX124" s="510"/>
      <c r="CY124" s="504"/>
      <c r="CZ124" s="504"/>
      <c r="DA124" s="504"/>
      <c r="DB124" s="504"/>
      <c r="DC124" s="504"/>
      <c r="DD124" s="504"/>
      <c r="DE124" s="504"/>
      <c r="DF124" s="504"/>
      <c r="DG124" s="504"/>
      <c r="DH124" s="504"/>
      <c r="DI124" s="504"/>
      <c r="DJ124" s="504"/>
      <c r="DK124" s="504"/>
      <c r="DL124" s="504"/>
      <c r="DM124" s="504"/>
      <c r="DN124" s="504"/>
      <c r="DO124" s="504"/>
      <c r="DP124" s="504"/>
      <c r="DQ124" s="504"/>
      <c r="DR124" s="504"/>
      <c r="DS124" s="504"/>
      <c r="DT124" s="504"/>
      <c r="DU124" s="504"/>
      <c r="DV124" s="504"/>
      <c r="DW124" s="504"/>
      <c r="DX124" s="504"/>
      <c r="DY124" s="504"/>
      <c r="DZ124" s="504"/>
      <c r="EA124" s="505"/>
      <c r="EB124" s="506"/>
    </row>
    <row r="125" spans="1:132" ht="18.899999999999999" customHeight="1">
      <c r="A125" s="473"/>
      <c r="B125" s="473"/>
      <c r="C125" s="474"/>
      <c r="D125" s="474"/>
      <c r="E125" s="474"/>
      <c r="F125" s="473"/>
      <c r="G125" s="473"/>
      <c r="H125" s="512" t="s">
        <v>119</v>
      </c>
      <c r="I125" s="513"/>
      <c r="J125" s="513"/>
      <c r="K125" s="513"/>
      <c r="L125" s="513"/>
      <c r="M125" s="514"/>
      <c r="N125" s="514"/>
      <c r="O125" s="514"/>
      <c r="P125" s="514"/>
      <c r="Q125" s="514"/>
      <c r="R125" s="514"/>
      <c r="S125" s="514"/>
      <c r="T125" s="514"/>
      <c r="U125" s="514"/>
      <c r="V125" s="514"/>
      <c r="W125" s="514"/>
      <c r="X125" s="514"/>
      <c r="Y125" s="514"/>
      <c r="Z125" s="514"/>
      <c r="AA125" s="514"/>
      <c r="AB125" s="514"/>
      <c r="AC125" s="514"/>
      <c r="AD125" s="514"/>
      <c r="AE125" s="514"/>
      <c r="AF125" s="514"/>
      <c r="AG125" s="514"/>
      <c r="AH125" s="514"/>
      <c r="AI125" s="514"/>
      <c r="AJ125" s="514"/>
      <c r="AK125" s="514"/>
      <c r="AL125" s="514"/>
      <c r="AM125" s="514"/>
      <c r="AN125" s="514"/>
      <c r="AO125" s="513"/>
      <c r="AP125" s="513"/>
      <c r="AQ125" s="513"/>
      <c r="AR125" s="513"/>
      <c r="AS125" s="513"/>
      <c r="AT125" s="513"/>
      <c r="AU125" s="513"/>
      <c r="AV125" s="513"/>
      <c r="AW125" s="513"/>
      <c r="AX125" s="513"/>
      <c r="AY125" s="513"/>
      <c r="AZ125" s="513"/>
      <c r="BA125" s="513"/>
      <c r="BB125" s="514"/>
      <c r="BC125" s="514"/>
      <c r="BD125" s="514"/>
      <c r="BE125" s="514"/>
      <c r="BF125" s="514"/>
      <c r="BG125" s="514"/>
      <c r="BH125" s="514"/>
      <c r="BI125" s="514"/>
      <c r="BJ125" s="514"/>
      <c r="BK125" s="514"/>
      <c r="BL125" s="514"/>
      <c r="BM125" s="514"/>
      <c r="BN125" s="514"/>
      <c r="BO125" s="513"/>
      <c r="BP125" s="513"/>
      <c r="BQ125" s="513"/>
      <c r="BR125" s="513"/>
      <c r="BS125" s="514"/>
      <c r="BT125" s="514"/>
      <c r="BU125" s="514"/>
      <c r="BV125" s="514"/>
      <c r="BW125" s="514"/>
      <c r="BX125" s="514"/>
      <c r="BY125" s="514">
        <v>1</v>
      </c>
      <c r="BZ125" s="514"/>
      <c r="CA125" s="514"/>
      <c r="CB125" s="514"/>
      <c r="CC125" s="514"/>
      <c r="CD125" s="514"/>
      <c r="CE125" s="514"/>
      <c r="CF125" s="514"/>
      <c r="CG125" s="514"/>
      <c r="CH125" s="514"/>
      <c r="CI125" s="514"/>
      <c r="CJ125" s="514"/>
      <c r="CK125" s="514"/>
      <c r="CL125" s="514"/>
      <c r="CM125" s="514"/>
      <c r="CN125" s="513"/>
      <c r="CO125" s="513"/>
      <c r="CP125" s="513">
        <v>3</v>
      </c>
      <c r="CQ125" s="513"/>
      <c r="CR125" s="513"/>
      <c r="CS125" s="513"/>
      <c r="CT125" s="513"/>
      <c r="CU125" s="513"/>
      <c r="CV125" s="513"/>
      <c r="CW125" s="513"/>
      <c r="CX125" s="515"/>
      <c r="CY125" s="504"/>
      <c r="CZ125" s="504"/>
      <c r="DA125" s="504"/>
      <c r="DB125" s="504"/>
      <c r="DC125" s="504"/>
      <c r="DD125" s="504"/>
      <c r="DE125" s="504"/>
      <c r="DF125" s="504"/>
      <c r="DG125" s="504"/>
      <c r="DH125" s="504"/>
      <c r="DI125" s="504"/>
      <c r="DJ125" s="504"/>
      <c r="DK125" s="504"/>
      <c r="DL125" s="504"/>
      <c r="DM125" s="504"/>
      <c r="DN125" s="504"/>
      <c r="DO125" s="504"/>
      <c r="DP125" s="504"/>
      <c r="DQ125" s="504"/>
      <c r="DR125" s="504"/>
      <c r="DS125" s="504"/>
      <c r="DT125" s="504"/>
      <c r="DU125" s="504"/>
      <c r="DV125" s="504"/>
      <c r="DW125" s="504"/>
      <c r="DX125" s="504"/>
      <c r="DY125" s="504"/>
      <c r="DZ125" s="504"/>
      <c r="EA125" s="505"/>
      <c r="EB125" s="506"/>
    </row>
    <row r="126" spans="1:132" ht="18.899999999999999" customHeight="1" thickBot="1">
      <c r="A126" s="473"/>
      <c r="B126" s="473"/>
      <c r="C126" s="474"/>
      <c r="D126" s="474"/>
      <c r="E126" s="474"/>
      <c r="F126" s="473"/>
      <c r="G126" s="473"/>
      <c r="H126" s="516">
        <v>1</v>
      </c>
      <c r="I126" s="517">
        <v>2</v>
      </c>
      <c r="J126" s="517">
        <v>3</v>
      </c>
      <c r="K126" s="517">
        <v>3</v>
      </c>
      <c r="L126" s="517">
        <v>4</v>
      </c>
      <c r="M126" s="518">
        <v>5</v>
      </c>
      <c r="N126" s="518">
        <v>6</v>
      </c>
      <c r="O126" s="518">
        <v>7</v>
      </c>
      <c r="P126" s="518">
        <v>8</v>
      </c>
      <c r="Q126" s="518">
        <v>9</v>
      </c>
      <c r="R126" s="518">
        <v>10</v>
      </c>
      <c r="S126" s="518">
        <v>11</v>
      </c>
      <c r="T126" s="518">
        <v>12</v>
      </c>
      <c r="U126" s="518">
        <v>13</v>
      </c>
      <c r="V126" s="518">
        <v>14</v>
      </c>
      <c r="W126" s="518">
        <v>15</v>
      </c>
      <c r="X126" s="518">
        <v>16</v>
      </c>
      <c r="Y126" s="518">
        <v>17</v>
      </c>
      <c r="Z126" s="518">
        <v>18</v>
      </c>
      <c r="AA126" s="518">
        <v>19</v>
      </c>
      <c r="AB126" s="518">
        <v>20</v>
      </c>
      <c r="AC126" s="518">
        <v>21</v>
      </c>
      <c r="AD126" s="518">
        <v>22</v>
      </c>
      <c r="AE126" s="518">
        <v>10</v>
      </c>
      <c r="AF126" s="518">
        <v>11</v>
      </c>
      <c r="AG126" s="518">
        <v>12</v>
      </c>
      <c r="AH126" s="518">
        <v>13</v>
      </c>
      <c r="AI126" s="518">
        <v>14</v>
      </c>
      <c r="AJ126" s="518">
        <v>15</v>
      </c>
      <c r="AK126" s="518">
        <v>16</v>
      </c>
      <c r="AL126" s="518">
        <v>17</v>
      </c>
      <c r="AM126" s="518">
        <v>18</v>
      </c>
      <c r="AN126" s="518">
        <v>26</v>
      </c>
      <c r="AO126" s="517">
        <v>27</v>
      </c>
      <c r="AP126" s="517">
        <v>28</v>
      </c>
      <c r="AQ126" s="517">
        <v>29</v>
      </c>
      <c r="AR126" s="517">
        <v>30</v>
      </c>
      <c r="AS126" s="517">
        <v>31</v>
      </c>
      <c r="AT126" s="517">
        <v>32</v>
      </c>
      <c r="AU126" s="517">
        <v>33</v>
      </c>
      <c r="AV126" s="517">
        <v>34</v>
      </c>
      <c r="AW126" s="517">
        <v>35</v>
      </c>
      <c r="AX126" s="517">
        <v>35</v>
      </c>
      <c r="AY126" s="517">
        <v>36</v>
      </c>
      <c r="AZ126" s="517">
        <v>37</v>
      </c>
      <c r="BA126" s="517">
        <v>38</v>
      </c>
      <c r="BB126" s="518"/>
      <c r="BC126" s="518"/>
      <c r="BD126" s="518">
        <v>39</v>
      </c>
      <c r="BE126" s="518">
        <v>39</v>
      </c>
      <c r="BF126" s="518">
        <v>40</v>
      </c>
      <c r="BG126" s="518">
        <v>41</v>
      </c>
      <c r="BH126" s="518">
        <v>42</v>
      </c>
      <c r="BI126" s="518">
        <v>43</v>
      </c>
      <c r="BJ126" s="518">
        <v>44</v>
      </c>
      <c r="BK126" s="518">
        <v>43</v>
      </c>
      <c r="BL126" s="518">
        <v>44</v>
      </c>
      <c r="BM126" s="518">
        <v>45</v>
      </c>
      <c r="BN126" s="518">
        <v>46</v>
      </c>
      <c r="BO126" s="517">
        <v>47</v>
      </c>
      <c r="BP126" s="517">
        <v>48</v>
      </c>
      <c r="BQ126" s="517">
        <v>49</v>
      </c>
      <c r="BR126" s="517">
        <v>49</v>
      </c>
      <c r="BS126" s="518">
        <v>50</v>
      </c>
      <c r="BT126" s="518">
        <v>51</v>
      </c>
      <c r="BU126" s="518">
        <v>52</v>
      </c>
      <c r="BV126" s="518">
        <v>53</v>
      </c>
      <c r="BW126" s="518">
        <v>54</v>
      </c>
      <c r="BX126" s="518">
        <v>55</v>
      </c>
      <c r="BY126" s="518">
        <v>56</v>
      </c>
      <c r="BZ126" s="518">
        <v>57</v>
      </c>
      <c r="CA126" s="518">
        <v>58</v>
      </c>
      <c r="CB126" s="518">
        <v>59</v>
      </c>
      <c r="CC126" s="518">
        <v>60</v>
      </c>
      <c r="CD126" s="518">
        <v>63</v>
      </c>
      <c r="CE126" s="518">
        <v>66</v>
      </c>
      <c r="CF126" s="518">
        <v>64</v>
      </c>
      <c r="CG126" s="518">
        <v>65</v>
      </c>
      <c r="CH126" s="518">
        <v>66</v>
      </c>
      <c r="CI126" s="518">
        <v>67</v>
      </c>
      <c r="CJ126" s="518">
        <v>68</v>
      </c>
      <c r="CK126" s="518">
        <v>69</v>
      </c>
      <c r="CL126" s="518">
        <v>70</v>
      </c>
      <c r="CM126" s="518">
        <v>71</v>
      </c>
      <c r="CN126" s="517">
        <v>72</v>
      </c>
      <c r="CO126" s="517">
        <v>73</v>
      </c>
      <c r="CP126" s="517">
        <v>74</v>
      </c>
      <c r="CQ126" s="517">
        <v>75</v>
      </c>
      <c r="CR126" s="517">
        <v>76</v>
      </c>
      <c r="CS126" s="517"/>
      <c r="CT126" s="517"/>
      <c r="CU126" s="517">
        <v>77</v>
      </c>
      <c r="CV126" s="517">
        <v>78</v>
      </c>
      <c r="CW126" s="517">
        <v>79</v>
      </c>
      <c r="CX126" s="517">
        <v>80</v>
      </c>
      <c r="CY126" s="518">
        <v>81</v>
      </c>
      <c r="CZ126" s="518">
        <v>81</v>
      </c>
      <c r="DA126" s="518">
        <v>82</v>
      </c>
      <c r="DB126" s="518">
        <v>82</v>
      </c>
      <c r="DC126" s="518">
        <v>82</v>
      </c>
      <c r="DD126" s="518">
        <v>82</v>
      </c>
      <c r="DE126" s="518">
        <v>83</v>
      </c>
      <c r="DF126" s="518">
        <v>82</v>
      </c>
      <c r="DG126" s="518">
        <v>82</v>
      </c>
      <c r="DH126" s="518">
        <v>82</v>
      </c>
      <c r="DI126" s="518">
        <v>82</v>
      </c>
      <c r="DJ126" s="518">
        <v>82</v>
      </c>
      <c r="DK126" s="518">
        <v>82</v>
      </c>
      <c r="DL126" s="518">
        <v>83</v>
      </c>
      <c r="DM126" s="518">
        <v>81</v>
      </c>
      <c r="DN126" s="518">
        <v>81</v>
      </c>
      <c r="DO126" s="518">
        <v>81</v>
      </c>
      <c r="DP126" s="518">
        <v>81</v>
      </c>
      <c r="DQ126" s="518">
        <v>81</v>
      </c>
      <c r="DR126" s="518">
        <v>81</v>
      </c>
      <c r="DS126" s="518">
        <v>81</v>
      </c>
      <c r="DT126" s="518"/>
      <c r="DU126" s="518"/>
      <c r="DV126" s="518">
        <v>88</v>
      </c>
      <c r="DW126" s="518">
        <v>89</v>
      </c>
      <c r="DX126" s="518">
        <v>87</v>
      </c>
      <c r="DY126" s="518">
        <v>87</v>
      </c>
      <c r="DZ126" s="518">
        <v>88</v>
      </c>
      <c r="EA126" s="517">
        <v>90</v>
      </c>
      <c r="EB126" s="519"/>
    </row>
    <row r="127" spans="1:132" ht="18.899999999999999" customHeight="1">
      <c r="A127" s="473"/>
      <c r="B127" s="473"/>
      <c r="C127" s="474"/>
      <c r="D127" s="474"/>
      <c r="E127" s="474"/>
      <c r="F127" s="473"/>
      <c r="G127" s="473"/>
      <c r="H127" s="475"/>
      <c r="I127" s="473"/>
      <c r="J127" s="476"/>
      <c r="K127" s="476"/>
      <c r="L127" s="476"/>
      <c r="M127" s="475"/>
      <c r="N127" s="475"/>
      <c r="O127" s="475"/>
      <c r="P127" s="475"/>
      <c r="Q127" s="475"/>
      <c r="R127" s="475"/>
      <c r="S127" s="475"/>
      <c r="T127" s="475"/>
      <c r="U127" s="475"/>
      <c r="V127" s="475"/>
      <c r="W127" s="475"/>
      <c r="X127" s="475"/>
      <c r="Y127" s="475"/>
      <c r="Z127" s="475"/>
      <c r="AA127" s="475"/>
      <c r="AB127" s="475"/>
      <c r="AC127" s="475"/>
      <c r="AD127" s="475"/>
      <c r="AE127" s="475"/>
      <c r="AF127" s="475"/>
      <c r="AG127" s="475"/>
      <c r="AH127" s="475"/>
      <c r="AI127" s="475"/>
      <c r="AJ127" s="475"/>
      <c r="AK127" s="475"/>
      <c r="AL127" s="475"/>
      <c r="AM127" s="475"/>
      <c r="AN127" s="475"/>
      <c r="AO127" s="473"/>
      <c r="AP127" s="473"/>
      <c r="AQ127" s="473"/>
      <c r="AR127" s="473"/>
      <c r="AS127" s="473"/>
      <c r="AT127" s="473"/>
      <c r="AU127" s="473"/>
      <c r="AV127" s="473"/>
      <c r="AW127" s="473"/>
      <c r="AX127" s="473"/>
      <c r="AY127" s="473"/>
      <c r="AZ127" s="473"/>
      <c r="BA127" s="473"/>
      <c r="BB127" s="475"/>
      <c r="BC127" s="475"/>
      <c r="BD127" s="475"/>
      <c r="BE127" s="475"/>
      <c r="BF127" s="475"/>
      <c r="BG127" s="475"/>
      <c r="BH127" s="475"/>
      <c r="BI127" s="475"/>
      <c r="BJ127" s="475"/>
      <c r="BK127" s="475"/>
      <c r="BL127" s="475"/>
      <c r="BM127" s="475"/>
      <c r="BN127" s="475"/>
      <c r="BO127" s="473"/>
      <c r="BP127" s="473"/>
      <c r="BQ127" s="473"/>
      <c r="BR127" s="473"/>
      <c r="BS127" s="475"/>
      <c r="BT127" s="475"/>
      <c r="BU127" s="475"/>
      <c r="BV127" s="475"/>
      <c r="BW127" s="475"/>
      <c r="BX127" s="475"/>
      <c r="BY127" s="475"/>
      <c r="BZ127" s="475"/>
      <c r="CA127" s="475"/>
      <c r="CB127" s="475"/>
      <c r="CC127" s="475"/>
      <c r="CD127" s="475"/>
      <c r="CE127" s="475"/>
      <c r="CF127" s="475"/>
      <c r="CG127" s="475"/>
      <c r="CH127" s="475"/>
      <c r="CI127" s="475"/>
      <c r="CJ127" s="475"/>
      <c r="CK127" s="475"/>
      <c r="CL127" s="475"/>
      <c r="CM127" s="475"/>
      <c r="CN127" s="477"/>
      <c r="CO127" s="477"/>
      <c r="CP127" s="477"/>
      <c r="CQ127" s="477"/>
      <c r="CR127" s="477"/>
      <c r="CS127" s="477"/>
      <c r="CT127" s="477"/>
      <c r="CU127" s="477"/>
      <c r="CV127" s="477"/>
      <c r="CW127" s="477"/>
      <c r="CX127" s="477"/>
      <c r="CY127" s="478"/>
      <c r="CZ127" s="478"/>
      <c r="DA127" s="478"/>
      <c r="DB127" s="478"/>
      <c r="DC127" s="478"/>
      <c r="DD127" s="478"/>
      <c r="DE127" s="478"/>
      <c r="DF127" s="478"/>
      <c r="DG127" s="478"/>
      <c r="DH127" s="478"/>
      <c r="DI127" s="478"/>
      <c r="DJ127" s="478"/>
      <c r="DK127" s="478"/>
      <c r="DL127" s="478"/>
      <c r="DM127" s="478"/>
      <c r="DN127" s="478"/>
      <c r="DO127" s="478"/>
      <c r="DP127" s="478"/>
      <c r="DQ127" s="478"/>
      <c r="DR127" s="478"/>
      <c r="DS127" s="478"/>
      <c r="DT127" s="478"/>
      <c r="DU127" s="478"/>
      <c r="DV127" s="478"/>
      <c r="DW127" s="478"/>
      <c r="DX127" s="478"/>
      <c r="DY127" s="478"/>
      <c r="DZ127" s="478"/>
      <c r="EA127" s="477"/>
      <c r="EB127" s="477"/>
    </row>
    <row r="128" spans="1:132" ht="18.899999999999999" customHeight="1">
      <c r="A128" s="473"/>
      <c r="B128" s="473"/>
      <c r="C128" s="474"/>
      <c r="D128" s="474"/>
      <c r="E128" s="474"/>
      <c r="F128" s="473"/>
      <c r="G128" s="473"/>
      <c r="H128" s="475"/>
      <c r="I128" s="473"/>
      <c r="J128" s="476"/>
      <c r="K128" s="476"/>
      <c r="L128" s="476"/>
      <c r="M128" s="475"/>
      <c r="N128" s="475"/>
      <c r="O128" s="475"/>
      <c r="P128" s="475"/>
      <c r="Q128" s="475"/>
      <c r="R128" s="475"/>
      <c r="S128" s="475"/>
      <c r="T128" s="475"/>
      <c r="U128" s="475"/>
      <c r="V128" s="475"/>
      <c r="W128" s="475"/>
      <c r="X128" s="475"/>
      <c r="Y128" s="475"/>
      <c r="Z128" s="475"/>
      <c r="AA128" s="475"/>
      <c r="AB128" s="475"/>
      <c r="AC128" s="475"/>
      <c r="AD128" s="475"/>
      <c r="AE128" s="475"/>
      <c r="AF128" s="475"/>
      <c r="AG128" s="475"/>
      <c r="AH128" s="475"/>
      <c r="AI128" s="475"/>
      <c r="AJ128" s="475"/>
      <c r="AK128" s="475"/>
      <c r="AL128" s="475"/>
      <c r="AM128" s="475"/>
      <c r="AN128" s="475"/>
      <c r="AO128" s="473"/>
      <c r="AP128" s="473"/>
      <c r="AQ128" s="473"/>
      <c r="AR128" s="473"/>
      <c r="AS128" s="473"/>
      <c r="AT128" s="473"/>
      <c r="AU128" s="473"/>
      <c r="AV128" s="473"/>
      <c r="AW128" s="473"/>
      <c r="AX128" s="473"/>
      <c r="AY128" s="473"/>
      <c r="AZ128" s="473"/>
      <c r="BA128" s="473"/>
      <c r="BB128" s="475"/>
      <c r="BC128" s="475"/>
      <c r="BD128" s="475"/>
      <c r="BE128" s="475"/>
      <c r="BF128" s="475"/>
      <c r="BG128" s="475"/>
      <c r="BH128" s="475"/>
      <c r="BI128" s="475"/>
      <c r="BJ128" s="475"/>
      <c r="BK128" s="475"/>
      <c r="BL128" s="475"/>
      <c r="BM128" s="475"/>
      <c r="BN128" s="475"/>
      <c r="BO128" s="473"/>
      <c r="BP128" s="473"/>
      <c r="BQ128" s="473"/>
      <c r="BR128" s="473"/>
      <c r="BS128" s="475"/>
      <c r="BT128" s="475"/>
      <c r="BU128" s="475"/>
      <c r="BV128" s="475"/>
      <c r="BW128" s="475"/>
      <c r="BX128" s="475"/>
      <c r="BY128" s="475"/>
      <c r="BZ128" s="475"/>
      <c r="CA128" s="475"/>
      <c r="CB128" s="475"/>
      <c r="CC128" s="475"/>
      <c r="CD128" s="475"/>
      <c r="CE128" s="475"/>
      <c r="CF128" s="475"/>
      <c r="CG128" s="475"/>
      <c r="CH128" s="475"/>
      <c r="CI128" s="475"/>
      <c r="CJ128" s="475"/>
      <c r="CK128" s="475"/>
      <c r="CL128" s="475"/>
      <c r="CM128" s="475"/>
      <c r="CN128" s="477"/>
      <c r="CO128" s="477"/>
      <c r="CP128" s="477"/>
      <c r="CQ128" s="477"/>
      <c r="CR128" s="477"/>
      <c r="CS128" s="477"/>
      <c r="CT128" s="477"/>
      <c r="CU128" s="477"/>
      <c r="CV128" s="477"/>
      <c r="CW128" s="477"/>
      <c r="CX128" s="477"/>
      <c r="CY128" s="478"/>
      <c r="CZ128" s="478"/>
      <c r="DA128" s="478"/>
      <c r="DB128" s="478"/>
      <c r="DC128" s="478"/>
      <c r="DD128" s="478"/>
      <c r="DE128" s="478"/>
      <c r="DF128" s="478"/>
      <c r="DG128" s="478"/>
      <c r="DH128" s="478"/>
      <c r="DI128" s="478"/>
      <c r="DJ128" s="478"/>
      <c r="DK128" s="478"/>
      <c r="DL128" s="478"/>
      <c r="DM128" s="478"/>
      <c r="DN128" s="478"/>
      <c r="DO128" s="478"/>
      <c r="DP128" s="478"/>
      <c r="DQ128" s="478"/>
      <c r="DR128" s="478"/>
      <c r="DS128" s="478"/>
      <c r="DT128" s="478"/>
      <c r="DU128" s="478"/>
      <c r="DV128" s="478"/>
      <c r="DW128" s="478"/>
      <c r="DX128" s="478"/>
      <c r="DY128" s="478"/>
      <c r="DZ128" s="478"/>
      <c r="EA128" s="477"/>
      <c r="EB128" s="477"/>
    </row>
    <row r="129" spans="1:132" ht="18.899999999999999" customHeight="1">
      <c r="A129" s="473"/>
      <c r="B129" s="473"/>
      <c r="C129" s="474"/>
      <c r="D129" s="474"/>
      <c r="E129" s="474"/>
      <c r="F129" s="473"/>
      <c r="G129" s="473"/>
      <c r="H129" s="475"/>
      <c r="I129" s="473"/>
      <c r="J129" s="476"/>
      <c r="K129" s="476"/>
      <c r="L129" s="476"/>
      <c r="M129" s="475"/>
      <c r="N129" s="475"/>
      <c r="O129" s="475"/>
      <c r="P129" s="475"/>
      <c r="Q129" s="475"/>
      <c r="R129" s="475"/>
      <c r="S129" s="475"/>
      <c r="T129" s="475"/>
      <c r="U129" s="475"/>
      <c r="V129" s="475"/>
      <c r="W129" s="475"/>
      <c r="X129" s="475"/>
      <c r="Y129" s="475"/>
      <c r="Z129" s="475"/>
      <c r="AA129" s="475"/>
      <c r="AB129" s="475"/>
      <c r="AC129" s="475"/>
      <c r="AD129" s="475"/>
      <c r="AE129" s="475"/>
      <c r="AF129" s="475"/>
      <c r="AG129" s="475"/>
      <c r="AH129" s="475"/>
      <c r="AI129" s="475"/>
      <c r="AJ129" s="475"/>
      <c r="AK129" s="475"/>
      <c r="AL129" s="475"/>
      <c r="AM129" s="475"/>
      <c r="AN129" s="475"/>
      <c r="AO129" s="473"/>
      <c r="AP129" s="473"/>
      <c r="AQ129" s="473"/>
      <c r="AR129" s="473"/>
      <c r="AS129" s="473"/>
      <c r="AT129" s="473"/>
      <c r="AU129" s="473"/>
      <c r="AV129" s="473"/>
      <c r="AW129" s="473"/>
      <c r="AX129" s="473"/>
      <c r="AY129" s="473"/>
      <c r="AZ129" s="473"/>
      <c r="BA129" s="473"/>
      <c r="BB129" s="475"/>
      <c r="BC129" s="475"/>
      <c r="BD129" s="475"/>
      <c r="BE129" s="475"/>
      <c r="BF129" s="475"/>
      <c r="BG129" s="475"/>
      <c r="BH129" s="475"/>
      <c r="BI129" s="475"/>
      <c r="BJ129" s="475"/>
      <c r="BK129" s="475"/>
      <c r="BL129" s="475"/>
      <c r="BM129" s="475"/>
      <c r="BN129" s="475"/>
      <c r="BO129" s="473"/>
      <c r="BP129" s="473"/>
      <c r="BQ129" s="473"/>
      <c r="BR129" s="473"/>
      <c r="BS129" s="475"/>
      <c r="BT129" s="475"/>
      <c r="BU129" s="475"/>
      <c r="BV129" s="475"/>
      <c r="BW129" s="475"/>
      <c r="BX129" s="475"/>
      <c r="BY129" s="475"/>
      <c r="BZ129" s="475"/>
      <c r="CA129" s="475"/>
      <c r="CB129" s="475"/>
      <c r="CC129" s="475"/>
      <c r="CD129" s="475"/>
      <c r="CE129" s="475"/>
      <c r="CF129" s="475"/>
      <c r="CG129" s="475"/>
      <c r="CH129" s="475"/>
      <c r="CI129" s="475"/>
      <c r="CJ129" s="475"/>
      <c r="CK129" s="475"/>
      <c r="CL129" s="475"/>
      <c r="CM129" s="475"/>
      <c r="CN129" s="477"/>
      <c r="CO129" s="477"/>
      <c r="CP129" s="477"/>
      <c r="CQ129" s="477"/>
      <c r="CR129" s="477"/>
      <c r="CS129" s="477"/>
      <c r="CT129" s="477"/>
      <c r="CU129" s="477"/>
      <c r="CV129" s="477"/>
      <c r="CW129" s="477"/>
      <c r="CX129" s="477"/>
      <c r="CY129" s="478"/>
      <c r="CZ129" s="478"/>
      <c r="DA129" s="478"/>
      <c r="DB129" s="478"/>
      <c r="DC129" s="478"/>
      <c r="DD129" s="478"/>
      <c r="DE129" s="478"/>
      <c r="DF129" s="478"/>
      <c r="DG129" s="478"/>
      <c r="DH129" s="478"/>
      <c r="DI129" s="478"/>
      <c r="DJ129" s="478"/>
      <c r="DK129" s="478"/>
      <c r="DL129" s="478"/>
      <c r="DM129" s="478"/>
      <c r="DN129" s="478"/>
      <c r="DO129" s="478"/>
      <c r="DP129" s="478"/>
      <c r="DQ129" s="478"/>
      <c r="DR129" s="478"/>
      <c r="DS129" s="478"/>
      <c r="DT129" s="478"/>
      <c r="DU129" s="478"/>
      <c r="DV129" s="478"/>
      <c r="DW129" s="478"/>
      <c r="DX129" s="478"/>
      <c r="DY129" s="478"/>
      <c r="DZ129" s="478"/>
      <c r="EA129" s="477"/>
      <c r="EB129" s="477"/>
    </row>
    <row r="130" spans="1:132" ht="18.899999999999999" customHeight="1">
      <c r="A130" s="473"/>
      <c r="B130" s="473"/>
      <c r="C130" s="474"/>
      <c r="D130" s="474"/>
      <c r="E130" s="474"/>
      <c r="F130" s="473"/>
      <c r="G130" s="473"/>
      <c r="H130" s="475"/>
      <c r="I130" s="473"/>
      <c r="J130" s="476"/>
      <c r="K130" s="476"/>
      <c r="L130" s="476"/>
      <c r="M130" s="475"/>
      <c r="N130" s="475"/>
      <c r="O130" s="475"/>
      <c r="P130" s="475"/>
      <c r="Q130" s="475"/>
      <c r="R130" s="475"/>
      <c r="S130" s="475"/>
      <c r="T130" s="475"/>
      <c r="U130" s="475"/>
      <c r="V130" s="475"/>
      <c r="W130" s="475"/>
      <c r="X130" s="475"/>
      <c r="Y130" s="475"/>
      <c r="Z130" s="475"/>
      <c r="AA130" s="475"/>
      <c r="AB130" s="475"/>
      <c r="AC130" s="475"/>
      <c r="AD130" s="475"/>
      <c r="AE130" s="475"/>
      <c r="AF130" s="475"/>
      <c r="AG130" s="475"/>
      <c r="AH130" s="475"/>
      <c r="AI130" s="475"/>
      <c r="AJ130" s="475"/>
      <c r="AK130" s="475"/>
      <c r="AL130" s="475"/>
      <c r="AM130" s="475"/>
      <c r="AN130" s="475"/>
      <c r="AO130" s="473"/>
      <c r="AP130" s="473"/>
      <c r="AQ130" s="473"/>
      <c r="AR130" s="473"/>
      <c r="AS130" s="473"/>
      <c r="AT130" s="473"/>
      <c r="AU130" s="473"/>
      <c r="AV130" s="473"/>
      <c r="AW130" s="473"/>
      <c r="AX130" s="473"/>
      <c r="AY130" s="473"/>
      <c r="AZ130" s="473"/>
      <c r="BA130" s="473"/>
      <c r="BB130" s="475"/>
      <c r="BC130" s="475"/>
      <c r="BD130" s="475"/>
      <c r="BE130" s="475"/>
      <c r="BF130" s="475"/>
      <c r="BG130" s="475"/>
      <c r="BH130" s="475"/>
      <c r="BI130" s="475"/>
      <c r="BJ130" s="475"/>
      <c r="BK130" s="475"/>
      <c r="BL130" s="475"/>
      <c r="BM130" s="475"/>
      <c r="BN130" s="475"/>
      <c r="BO130" s="473"/>
      <c r="BP130" s="473"/>
      <c r="BQ130" s="473"/>
      <c r="BR130" s="473"/>
      <c r="BS130" s="475"/>
      <c r="BT130" s="475"/>
      <c r="BU130" s="475"/>
      <c r="BV130" s="475"/>
      <c r="BW130" s="475"/>
      <c r="BX130" s="475"/>
      <c r="BY130" s="475"/>
      <c r="BZ130" s="475"/>
      <c r="CA130" s="475"/>
      <c r="CB130" s="475"/>
      <c r="CC130" s="475"/>
      <c r="CD130" s="475"/>
      <c r="CE130" s="475"/>
      <c r="CF130" s="475"/>
      <c r="CG130" s="475"/>
      <c r="CH130" s="475"/>
      <c r="CI130" s="475"/>
      <c r="CJ130" s="475"/>
      <c r="CK130" s="475"/>
      <c r="CL130" s="475"/>
      <c r="CM130" s="475"/>
      <c r="CN130" s="477"/>
      <c r="CO130" s="477"/>
      <c r="CP130" s="477"/>
      <c r="CQ130" s="477"/>
      <c r="CR130" s="477"/>
      <c r="CS130" s="477"/>
      <c r="CT130" s="477"/>
      <c r="CU130" s="477"/>
      <c r="CV130" s="477"/>
      <c r="CW130" s="477"/>
      <c r="CX130" s="477"/>
      <c r="CY130" s="478"/>
      <c r="CZ130" s="478"/>
      <c r="DA130" s="478"/>
      <c r="DB130" s="478"/>
      <c r="DC130" s="478"/>
      <c r="DD130" s="478"/>
      <c r="DE130" s="478"/>
      <c r="DF130" s="478"/>
      <c r="DG130" s="478"/>
      <c r="DH130" s="478"/>
      <c r="DI130" s="478"/>
      <c r="DJ130" s="478"/>
      <c r="DK130" s="478"/>
      <c r="DL130" s="478"/>
      <c r="DM130" s="478"/>
      <c r="DN130" s="478"/>
      <c r="DO130" s="478"/>
      <c r="DP130" s="478"/>
      <c r="DQ130" s="478"/>
      <c r="DR130" s="478"/>
      <c r="DS130" s="478"/>
      <c r="DT130" s="478"/>
      <c r="DU130" s="478"/>
      <c r="DV130" s="478"/>
      <c r="DW130" s="478"/>
      <c r="DX130" s="478"/>
      <c r="DY130" s="478"/>
      <c r="DZ130" s="478"/>
      <c r="EA130" s="477"/>
      <c r="EB130" s="477"/>
    </row>
    <row r="131" spans="1:132" ht="18.899999999999999" customHeight="1">
      <c r="A131" s="473"/>
      <c r="B131" s="473"/>
      <c r="C131" s="474"/>
      <c r="D131" s="474"/>
      <c r="E131" s="474"/>
      <c r="F131" s="473"/>
      <c r="G131" s="473"/>
      <c r="H131" s="475"/>
      <c r="I131" s="473"/>
      <c r="J131" s="476"/>
      <c r="K131" s="476"/>
      <c r="L131" s="476"/>
      <c r="M131" s="475"/>
      <c r="N131" s="475"/>
      <c r="O131" s="475"/>
      <c r="P131" s="475"/>
      <c r="Q131" s="475"/>
      <c r="R131" s="475"/>
      <c r="S131" s="475"/>
      <c r="T131" s="475"/>
      <c r="U131" s="475"/>
      <c r="V131" s="475"/>
      <c r="W131" s="475"/>
      <c r="X131" s="475"/>
      <c r="Y131" s="475"/>
      <c r="Z131" s="475"/>
      <c r="AA131" s="475"/>
      <c r="AB131" s="475"/>
      <c r="AC131" s="475"/>
      <c r="AD131" s="475"/>
      <c r="AE131" s="475"/>
      <c r="AF131" s="475"/>
      <c r="AG131" s="475"/>
      <c r="AH131" s="475"/>
      <c r="AI131" s="475"/>
      <c r="AJ131" s="475"/>
      <c r="AK131" s="475"/>
      <c r="AL131" s="475"/>
      <c r="AM131" s="475"/>
      <c r="AN131" s="475"/>
      <c r="AO131" s="473"/>
      <c r="AP131" s="473"/>
      <c r="AQ131" s="473"/>
      <c r="AR131" s="473"/>
      <c r="AS131" s="473"/>
      <c r="AT131" s="473"/>
      <c r="AU131" s="473"/>
      <c r="AV131" s="473"/>
      <c r="AW131" s="473"/>
      <c r="AX131" s="473"/>
      <c r="AY131" s="473"/>
      <c r="AZ131" s="473"/>
      <c r="BA131" s="473"/>
      <c r="BB131" s="475"/>
      <c r="BC131" s="475"/>
      <c r="BD131" s="475"/>
      <c r="BE131" s="475"/>
      <c r="BF131" s="475"/>
      <c r="BG131" s="475"/>
      <c r="BH131" s="475"/>
      <c r="BI131" s="475"/>
      <c r="BJ131" s="475"/>
      <c r="BK131" s="475"/>
      <c r="BL131" s="475"/>
      <c r="BM131" s="475"/>
      <c r="BN131" s="475"/>
      <c r="BO131" s="473"/>
      <c r="BP131" s="473"/>
      <c r="BQ131" s="473"/>
      <c r="BR131" s="473"/>
      <c r="BS131" s="475"/>
      <c r="BT131" s="475"/>
      <c r="BU131" s="475"/>
      <c r="BV131" s="475"/>
      <c r="BW131" s="475"/>
      <c r="BX131" s="475"/>
      <c r="BY131" s="475"/>
      <c r="BZ131" s="475"/>
      <c r="CA131" s="475"/>
      <c r="CB131" s="475"/>
      <c r="CC131" s="475"/>
      <c r="CD131" s="475"/>
      <c r="CE131" s="475"/>
      <c r="CF131" s="475"/>
      <c r="CG131" s="475"/>
      <c r="CH131" s="475"/>
      <c r="CI131" s="475"/>
      <c r="CJ131" s="475"/>
      <c r="CK131" s="475"/>
      <c r="CL131" s="475"/>
      <c r="CM131" s="475"/>
      <c r="CN131" s="477"/>
      <c r="CO131" s="477"/>
      <c r="CP131" s="477"/>
      <c r="CQ131" s="477"/>
      <c r="CR131" s="477"/>
      <c r="CS131" s="477"/>
      <c r="CT131" s="477"/>
      <c r="CU131" s="477"/>
      <c r="CV131" s="477"/>
      <c r="CW131" s="477"/>
      <c r="CX131" s="477"/>
      <c r="CY131" s="478"/>
      <c r="CZ131" s="478"/>
      <c r="DA131" s="478"/>
      <c r="DB131" s="478"/>
      <c r="DC131" s="478"/>
      <c r="DD131" s="478"/>
      <c r="DE131" s="478"/>
      <c r="DF131" s="478"/>
      <c r="DG131" s="478"/>
      <c r="DH131" s="478"/>
      <c r="DI131" s="478"/>
      <c r="DJ131" s="478"/>
      <c r="DK131" s="478"/>
      <c r="DL131" s="478"/>
      <c r="DM131" s="478"/>
      <c r="DN131" s="478"/>
      <c r="DO131" s="478"/>
      <c r="DP131" s="478"/>
      <c r="DQ131" s="478"/>
      <c r="DR131" s="478"/>
      <c r="DS131" s="478"/>
      <c r="DT131" s="478"/>
      <c r="DU131" s="478"/>
      <c r="DV131" s="478"/>
      <c r="DW131" s="478"/>
      <c r="DX131" s="478"/>
      <c r="DY131" s="478"/>
      <c r="DZ131" s="478"/>
      <c r="EA131" s="477"/>
      <c r="EB131" s="477"/>
    </row>
    <row r="132" spans="1:132" ht="18.899999999999999" customHeight="1">
      <c r="A132" s="473"/>
      <c r="B132" s="473"/>
      <c r="C132" s="474"/>
      <c r="D132" s="474"/>
      <c r="E132" s="474"/>
      <c r="F132" s="473"/>
      <c r="G132" s="473"/>
      <c r="H132" s="475"/>
      <c r="I132" s="473"/>
      <c r="J132" s="476"/>
      <c r="K132" s="476"/>
      <c r="L132" s="476"/>
      <c r="M132" s="475"/>
      <c r="N132" s="475"/>
      <c r="O132" s="475"/>
      <c r="P132" s="475"/>
      <c r="Q132" s="475"/>
      <c r="R132" s="475"/>
      <c r="S132" s="475"/>
      <c r="T132" s="475"/>
      <c r="U132" s="475"/>
      <c r="V132" s="475"/>
      <c r="W132" s="475"/>
      <c r="X132" s="475"/>
      <c r="Y132" s="475"/>
      <c r="Z132" s="475"/>
      <c r="AA132" s="475"/>
      <c r="AB132" s="475"/>
      <c r="AC132" s="475"/>
      <c r="AD132" s="475"/>
      <c r="AE132" s="475"/>
      <c r="AF132" s="475"/>
      <c r="AG132" s="475"/>
      <c r="AH132" s="475"/>
      <c r="AI132" s="475"/>
      <c r="AJ132" s="475"/>
      <c r="AK132" s="475"/>
      <c r="AL132" s="475"/>
      <c r="AM132" s="475"/>
      <c r="AN132" s="475"/>
      <c r="AO132" s="473"/>
      <c r="AP132" s="473"/>
      <c r="AQ132" s="473"/>
      <c r="AR132" s="473"/>
      <c r="AS132" s="473"/>
      <c r="AT132" s="473"/>
      <c r="AU132" s="473"/>
      <c r="AV132" s="473"/>
      <c r="AW132" s="473"/>
      <c r="AX132" s="473"/>
      <c r="AY132" s="473"/>
      <c r="AZ132" s="473"/>
      <c r="BA132" s="473"/>
      <c r="BB132" s="475"/>
      <c r="BC132" s="475"/>
      <c r="BD132" s="475"/>
      <c r="BE132" s="475"/>
      <c r="BF132" s="475"/>
      <c r="BG132" s="475"/>
      <c r="BH132" s="475"/>
      <c r="BI132" s="475"/>
      <c r="BJ132" s="475"/>
      <c r="BK132" s="475"/>
      <c r="BL132" s="475"/>
      <c r="BM132" s="475"/>
      <c r="BN132" s="475"/>
      <c r="BO132" s="473"/>
      <c r="BP132" s="473"/>
      <c r="BQ132" s="473"/>
      <c r="BR132" s="473"/>
      <c r="BS132" s="475"/>
      <c r="BT132" s="475"/>
      <c r="BU132" s="475"/>
      <c r="BV132" s="475"/>
      <c r="BW132" s="475"/>
      <c r="BX132" s="475"/>
      <c r="BY132" s="475"/>
      <c r="BZ132" s="475"/>
      <c r="CA132" s="475"/>
      <c r="CB132" s="475"/>
      <c r="CC132" s="475"/>
      <c r="CD132" s="475"/>
      <c r="CE132" s="475"/>
      <c r="CF132" s="475"/>
      <c r="CG132" s="475"/>
      <c r="CH132" s="475"/>
      <c r="CI132" s="475"/>
      <c r="CJ132" s="475"/>
      <c r="CK132" s="475"/>
      <c r="CL132" s="475"/>
      <c r="CM132" s="475"/>
      <c r="CN132" s="477"/>
      <c r="CO132" s="477"/>
      <c r="CP132" s="477"/>
      <c r="CQ132" s="477"/>
      <c r="CR132" s="477"/>
      <c r="CS132" s="477"/>
      <c r="CT132" s="477"/>
      <c r="CU132" s="477"/>
      <c r="CV132" s="477"/>
      <c r="CW132" s="477"/>
      <c r="CX132" s="477"/>
      <c r="CY132" s="478"/>
      <c r="CZ132" s="478"/>
      <c r="DA132" s="478"/>
      <c r="DB132" s="478"/>
      <c r="DC132" s="478"/>
      <c r="DD132" s="478"/>
      <c r="DE132" s="478"/>
      <c r="DF132" s="478"/>
      <c r="DG132" s="478"/>
      <c r="DH132" s="478"/>
      <c r="DI132" s="478"/>
      <c r="DJ132" s="478"/>
      <c r="DK132" s="478"/>
      <c r="DL132" s="478"/>
      <c r="DM132" s="478"/>
      <c r="DN132" s="478"/>
      <c r="DO132" s="478"/>
      <c r="DP132" s="478"/>
      <c r="DQ132" s="478"/>
      <c r="DR132" s="478"/>
      <c r="DS132" s="478"/>
      <c r="DT132" s="478"/>
      <c r="DU132" s="478"/>
      <c r="DV132" s="478"/>
      <c r="DW132" s="478"/>
      <c r="DX132" s="478"/>
      <c r="DY132" s="478"/>
      <c r="DZ132" s="478"/>
      <c r="EA132" s="477"/>
      <c r="EB132" s="477"/>
    </row>
    <row r="133" spans="1:132" ht="18.899999999999999" customHeight="1">
      <c r="A133" s="473"/>
      <c r="B133" s="473"/>
      <c r="C133" s="474"/>
      <c r="D133" s="474"/>
      <c r="E133" s="474"/>
      <c r="F133" s="473"/>
      <c r="G133" s="473"/>
      <c r="H133" s="475"/>
      <c r="I133" s="473"/>
      <c r="J133" s="476"/>
      <c r="K133" s="476"/>
      <c r="L133" s="476"/>
      <c r="M133" s="475"/>
      <c r="N133" s="475"/>
      <c r="O133" s="475"/>
      <c r="P133" s="475"/>
      <c r="Q133" s="475"/>
      <c r="R133" s="475"/>
      <c r="S133" s="475"/>
      <c r="T133" s="475"/>
      <c r="U133" s="475"/>
      <c r="V133" s="475"/>
      <c r="W133" s="475"/>
      <c r="X133" s="475"/>
      <c r="Y133" s="475"/>
      <c r="Z133" s="475"/>
      <c r="AA133" s="475"/>
      <c r="AB133" s="475"/>
      <c r="AC133" s="475"/>
      <c r="AD133" s="475"/>
      <c r="AE133" s="475"/>
      <c r="AF133" s="475"/>
      <c r="AG133" s="475"/>
      <c r="AH133" s="475"/>
      <c r="AI133" s="475"/>
      <c r="AJ133" s="475"/>
      <c r="AK133" s="475"/>
      <c r="AL133" s="475"/>
      <c r="AM133" s="475"/>
      <c r="AN133" s="475"/>
      <c r="AO133" s="473"/>
      <c r="AP133" s="473"/>
      <c r="AQ133" s="473"/>
      <c r="AR133" s="473"/>
      <c r="AS133" s="473"/>
      <c r="AT133" s="473"/>
      <c r="AU133" s="473"/>
      <c r="AV133" s="473"/>
      <c r="AW133" s="473"/>
      <c r="AX133" s="473"/>
      <c r="AY133" s="473"/>
      <c r="AZ133" s="473"/>
      <c r="BA133" s="473"/>
      <c r="BB133" s="475"/>
      <c r="BC133" s="475"/>
      <c r="BD133" s="475"/>
      <c r="BE133" s="475"/>
      <c r="BF133" s="475"/>
      <c r="BG133" s="475"/>
      <c r="BH133" s="475"/>
      <c r="BI133" s="475"/>
      <c r="BJ133" s="475"/>
      <c r="BK133" s="475"/>
      <c r="BL133" s="475"/>
      <c r="BM133" s="475"/>
      <c r="BN133" s="475"/>
      <c r="BO133" s="473"/>
      <c r="BP133" s="473"/>
      <c r="BQ133" s="473"/>
      <c r="BR133" s="473"/>
      <c r="BS133" s="475"/>
      <c r="BT133" s="475"/>
      <c r="BU133" s="475"/>
      <c r="BV133" s="475"/>
      <c r="BW133" s="475"/>
      <c r="BX133" s="475"/>
      <c r="BY133" s="475"/>
      <c r="BZ133" s="475"/>
      <c r="CA133" s="475"/>
      <c r="CB133" s="475"/>
      <c r="CC133" s="475"/>
      <c r="CD133" s="475"/>
      <c r="CE133" s="475"/>
      <c r="CF133" s="475"/>
      <c r="CG133" s="475"/>
      <c r="CH133" s="475"/>
      <c r="CI133" s="475"/>
      <c r="CJ133" s="475"/>
      <c r="CK133" s="475"/>
      <c r="CL133" s="475"/>
      <c r="CM133" s="475"/>
      <c r="CN133" s="477"/>
      <c r="CO133" s="477"/>
      <c r="CP133" s="477"/>
      <c r="CQ133" s="477"/>
      <c r="CR133" s="477"/>
      <c r="CS133" s="477"/>
      <c r="CT133" s="477"/>
      <c r="CU133" s="477"/>
      <c r="CV133" s="477"/>
      <c r="CW133" s="477"/>
      <c r="CX133" s="477"/>
      <c r="CY133" s="478"/>
      <c r="CZ133" s="478"/>
      <c r="DA133" s="478"/>
      <c r="DB133" s="478"/>
      <c r="DC133" s="478"/>
      <c r="DD133" s="478"/>
      <c r="DE133" s="478"/>
      <c r="DF133" s="478"/>
      <c r="DG133" s="478"/>
      <c r="DH133" s="478"/>
      <c r="DI133" s="478"/>
      <c r="DJ133" s="478"/>
      <c r="DK133" s="478"/>
      <c r="DL133" s="478"/>
      <c r="DM133" s="478"/>
      <c r="DN133" s="478"/>
      <c r="DO133" s="478"/>
      <c r="DP133" s="478"/>
      <c r="DQ133" s="478"/>
      <c r="DR133" s="478"/>
      <c r="DS133" s="478"/>
      <c r="DT133" s="478"/>
      <c r="DU133" s="478"/>
      <c r="DV133" s="478"/>
      <c r="DW133" s="478"/>
      <c r="DX133" s="478"/>
      <c r="DY133" s="478"/>
      <c r="DZ133" s="478"/>
      <c r="EA133" s="477"/>
      <c r="EB133" s="477"/>
    </row>
    <row r="134" spans="1:132" ht="18.899999999999999" customHeight="1">
      <c r="A134" s="473"/>
      <c r="B134" s="473"/>
      <c r="C134" s="474"/>
      <c r="D134" s="474"/>
      <c r="E134" s="474"/>
      <c r="F134" s="473"/>
      <c r="G134" s="473"/>
      <c r="H134" s="475"/>
      <c r="I134" s="473"/>
      <c r="J134" s="476"/>
      <c r="K134" s="476"/>
      <c r="L134" s="476"/>
      <c r="M134" s="475"/>
      <c r="N134" s="475"/>
      <c r="O134" s="475"/>
      <c r="P134" s="475"/>
      <c r="Q134" s="475"/>
      <c r="R134" s="475"/>
      <c r="S134" s="475"/>
      <c r="T134" s="475"/>
      <c r="U134" s="475"/>
      <c r="V134" s="475"/>
      <c r="W134" s="475"/>
      <c r="X134" s="475"/>
      <c r="Y134" s="475"/>
      <c r="Z134" s="475"/>
      <c r="AA134" s="475"/>
      <c r="AB134" s="475"/>
      <c r="AC134" s="475"/>
      <c r="AD134" s="475"/>
      <c r="AE134" s="475"/>
      <c r="AF134" s="475"/>
      <c r="AG134" s="475"/>
      <c r="AH134" s="475"/>
      <c r="AI134" s="475"/>
      <c r="AJ134" s="475"/>
      <c r="AK134" s="475"/>
      <c r="AL134" s="475"/>
      <c r="AM134" s="475"/>
      <c r="AN134" s="475"/>
      <c r="AO134" s="473"/>
      <c r="AP134" s="473"/>
      <c r="AQ134" s="473"/>
      <c r="AR134" s="473"/>
      <c r="AS134" s="473"/>
      <c r="AT134" s="473"/>
      <c r="AU134" s="473"/>
      <c r="AV134" s="473"/>
      <c r="AW134" s="473"/>
      <c r="AX134" s="473"/>
      <c r="AY134" s="473"/>
      <c r="AZ134" s="473"/>
      <c r="BA134" s="473"/>
      <c r="BB134" s="475"/>
      <c r="BC134" s="475"/>
      <c r="BD134" s="475"/>
      <c r="BE134" s="475"/>
      <c r="BF134" s="475"/>
      <c r="BG134" s="475"/>
      <c r="BH134" s="475"/>
      <c r="BI134" s="475"/>
      <c r="BJ134" s="475"/>
      <c r="BK134" s="475"/>
      <c r="BL134" s="475"/>
      <c r="BM134" s="475"/>
      <c r="BN134" s="475"/>
      <c r="BO134" s="473"/>
      <c r="BP134" s="473"/>
      <c r="BQ134" s="473"/>
      <c r="BR134" s="473"/>
      <c r="BS134" s="475"/>
      <c r="BT134" s="475"/>
      <c r="BU134" s="475"/>
      <c r="BV134" s="475"/>
      <c r="BW134" s="475"/>
      <c r="BX134" s="475"/>
      <c r="BY134" s="475"/>
      <c r="BZ134" s="475"/>
      <c r="CA134" s="475"/>
      <c r="CB134" s="475"/>
      <c r="CC134" s="475"/>
      <c r="CD134" s="475"/>
      <c r="CE134" s="475"/>
      <c r="CF134" s="475"/>
      <c r="CG134" s="475"/>
      <c r="CH134" s="475"/>
      <c r="CI134" s="475"/>
      <c r="CJ134" s="475"/>
      <c r="CK134" s="475"/>
      <c r="CL134" s="475"/>
      <c r="CM134" s="475"/>
      <c r="CN134" s="477"/>
      <c r="CO134" s="477"/>
      <c r="CP134" s="477"/>
      <c r="CQ134" s="477"/>
      <c r="CR134" s="477"/>
      <c r="CS134" s="477"/>
      <c r="CT134" s="477"/>
      <c r="CU134" s="477"/>
      <c r="CV134" s="477"/>
      <c r="CW134" s="477"/>
      <c r="CX134" s="477"/>
      <c r="CY134" s="478"/>
      <c r="CZ134" s="478"/>
      <c r="DA134" s="478"/>
      <c r="DB134" s="478"/>
      <c r="DC134" s="478"/>
      <c r="DD134" s="478"/>
      <c r="DE134" s="478"/>
      <c r="DF134" s="478"/>
      <c r="DG134" s="478"/>
      <c r="DH134" s="478"/>
      <c r="DI134" s="478"/>
      <c r="DJ134" s="478"/>
      <c r="DK134" s="478"/>
      <c r="DL134" s="478"/>
      <c r="DM134" s="478"/>
      <c r="DN134" s="478"/>
      <c r="DO134" s="478"/>
      <c r="DP134" s="478"/>
      <c r="DQ134" s="478"/>
      <c r="DR134" s="478"/>
      <c r="DS134" s="478"/>
      <c r="DT134" s="478"/>
      <c r="DU134" s="478"/>
      <c r="DV134" s="478"/>
      <c r="DW134" s="478"/>
      <c r="DX134" s="478"/>
      <c r="DY134" s="478"/>
      <c r="DZ134" s="478"/>
      <c r="EA134" s="477"/>
      <c r="EB134" s="477"/>
    </row>
    <row r="135" spans="1:132" ht="18.899999999999999" customHeight="1">
      <c r="A135" s="473"/>
      <c r="B135" s="473"/>
      <c r="C135" s="474"/>
      <c r="D135" s="474"/>
      <c r="E135" s="474"/>
      <c r="F135" s="473"/>
      <c r="G135" s="473"/>
      <c r="H135" s="475"/>
      <c r="I135" s="473"/>
      <c r="J135" s="476"/>
      <c r="K135" s="476"/>
      <c r="L135" s="476"/>
      <c r="M135" s="475"/>
      <c r="N135" s="475"/>
      <c r="O135" s="475"/>
      <c r="P135" s="475"/>
      <c r="Q135" s="475"/>
      <c r="R135" s="475"/>
      <c r="S135" s="475"/>
      <c r="T135" s="475"/>
      <c r="U135" s="475"/>
      <c r="V135" s="475"/>
      <c r="W135" s="475"/>
      <c r="X135" s="475"/>
      <c r="Y135" s="475"/>
      <c r="Z135" s="475"/>
      <c r="AA135" s="475"/>
      <c r="AB135" s="475"/>
      <c r="AC135" s="475"/>
      <c r="AD135" s="475"/>
      <c r="AE135" s="475"/>
      <c r="AF135" s="475"/>
      <c r="AG135" s="475"/>
      <c r="AH135" s="475"/>
      <c r="AI135" s="475"/>
      <c r="AJ135" s="475"/>
      <c r="AK135" s="475"/>
      <c r="AL135" s="475"/>
      <c r="AM135" s="475"/>
      <c r="AN135" s="475"/>
      <c r="AO135" s="473"/>
      <c r="AP135" s="473"/>
      <c r="AQ135" s="473"/>
      <c r="AR135" s="473"/>
      <c r="AS135" s="473"/>
      <c r="AT135" s="473"/>
      <c r="AU135" s="473"/>
      <c r="AV135" s="473"/>
      <c r="AW135" s="473"/>
      <c r="AX135" s="473"/>
      <c r="AY135" s="473"/>
      <c r="AZ135" s="473"/>
      <c r="BA135" s="473"/>
      <c r="BB135" s="475"/>
      <c r="BC135" s="475"/>
      <c r="BD135" s="475"/>
      <c r="BE135" s="475"/>
      <c r="BF135" s="475"/>
      <c r="BG135" s="475"/>
      <c r="BH135" s="475"/>
      <c r="BI135" s="475"/>
      <c r="BJ135" s="475"/>
      <c r="BK135" s="475"/>
      <c r="BL135" s="475"/>
      <c r="BM135" s="475"/>
      <c r="BN135" s="475"/>
      <c r="BO135" s="473"/>
      <c r="BP135" s="473"/>
      <c r="BQ135" s="473"/>
      <c r="BR135" s="473"/>
      <c r="BS135" s="475"/>
      <c r="BT135" s="475"/>
      <c r="BU135" s="475"/>
      <c r="BV135" s="475"/>
      <c r="BW135" s="475"/>
      <c r="BX135" s="475"/>
      <c r="BY135" s="475"/>
      <c r="BZ135" s="475"/>
      <c r="CA135" s="475"/>
      <c r="CB135" s="475"/>
      <c r="CC135" s="475"/>
      <c r="CD135" s="475"/>
      <c r="CE135" s="475"/>
      <c r="CF135" s="475"/>
      <c r="CG135" s="475"/>
      <c r="CH135" s="475"/>
      <c r="CI135" s="475"/>
      <c r="CJ135" s="475"/>
      <c r="CK135" s="475"/>
      <c r="CL135" s="475"/>
      <c r="CM135" s="475"/>
      <c r="CN135" s="477"/>
      <c r="CO135" s="477"/>
      <c r="CP135" s="477"/>
      <c r="CQ135" s="477"/>
      <c r="CR135" s="477"/>
      <c r="CS135" s="477"/>
      <c r="CT135" s="477"/>
      <c r="CU135" s="477"/>
      <c r="CV135" s="477"/>
      <c r="CW135" s="477"/>
      <c r="CX135" s="477"/>
      <c r="CY135" s="478"/>
      <c r="CZ135" s="478"/>
      <c r="DA135" s="478"/>
      <c r="DB135" s="478"/>
      <c r="DC135" s="478"/>
      <c r="DD135" s="478"/>
      <c r="DE135" s="478"/>
      <c r="DF135" s="478"/>
      <c r="DG135" s="478"/>
      <c r="DH135" s="478"/>
      <c r="DI135" s="478"/>
      <c r="DJ135" s="478"/>
      <c r="DK135" s="478"/>
      <c r="DL135" s="478"/>
      <c r="DM135" s="478"/>
      <c r="DN135" s="478"/>
      <c r="DO135" s="478"/>
      <c r="DP135" s="478"/>
      <c r="DQ135" s="478"/>
      <c r="DR135" s="478"/>
      <c r="DS135" s="478"/>
      <c r="DT135" s="478"/>
      <c r="DU135" s="478"/>
      <c r="DV135" s="478"/>
      <c r="DW135" s="478"/>
      <c r="DX135" s="478"/>
      <c r="DY135" s="478"/>
      <c r="DZ135" s="478"/>
      <c r="EA135" s="477"/>
      <c r="EB135" s="477"/>
    </row>
    <row r="136" spans="1:132" ht="18.899999999999999" customHeight="1">
      <c r="A136" s="473"/>
      <c r="B136" s="473"/>
      <c r="C136" s="474"/>
      <c r="D136" s="474"/>
      <c r="E136" s="474"/>
      <c r="F136" s="473"/>
      <c r="G136" s="473"/>
      <c r="H136" s="475"/>
      <c r="I136" s="473"/>
      <c r="J136" s="476"/>
      <c r="K136" s="476"/>
      <c r="L136" s="476"/>
      <c r="M136" s="475"/>
      <c r="N136" s="475"/>
      <c r="O136" s="475"/>
      <c r="P136" s="475"/>
      <c r="Q136" s="475"/>
      <c r="R136" s="475"/>
      <c r="S136" s="475"/>
      <c r="T136" s="475"/>
      <c r="U136" s="475"/>
      <c r="V136" s="475"/>
      <c r="W136" s="475"/>
      <c r="X136" s="475"/>
      <c r="Y136" s="475"/>
      <c r="Z136" s="475"/>
      <c r="AA136" s="475"/>
      <c r="AB136" s="475"/>
      <c r="AC136" s="475"/>
      <c r="AD136" s="475"/>
      <c r="AE136" s="475"/>
      <c r="AF136" s="475"/>
      <c r="AG136" s="475"/>
      <c r="AH136" s="475"/>
      <c r="AI136" s="475"/>
      <c r="AJ136" s="475"/>
      <c r="AK136" s="475"/>
      <c r="AL136" s="475"/>
      <c r="AM136" s="475"/>
      <c r="AN136" s="475"/>
      <c r="AO136" s="473"/>
      <c r="AP136" s="473"/>
      <c r="AQ136" s="473"/>
      <c r="AR136" s="473"/>
      <c r="AS136" s="473"/>
      <c r="AT136" s="473"/>
      <c r="AU136" s="473"/>
      <c r="AV136" s="473"/>
      <c r="AW136" s="473"/>
      <c r="AX136" s="473"/>
      <c r="AY136" s="473"/>
      <c r="AZ136" s="473"/>
      <c r="BA136" s="473"/>
      <c r="BB136" s="475"/>
      <c r="BC136" s="475"/>
      <c r="BD136" s="475"/>
      <c r="BE136" s="475"/>
      <c r="BF136" s="475"/>
      <c r="BG136" s="475"/>
      <c r="BH136" s="475"/>
      <c r="BI136" s="475"/>
      <c r="BJ136" s="475"/>
      <c r="BK136" s="475"/>
      <c r="BL136" s="475"/>
      <c r="BM136" s="475"/>
      <c r="BN136" s="475"/>
      <c r="BO136" s="473"/>
      <c r="BP136" s="473"/>
      <c r="BQ136" s="473"/>
      <c r="BR136" s="473"/>
      <c r="BS136" s="475"/>
      <c r="BT136" s="475"/>
      <c r="BU136" s="475"/>
      <c r="BV136" s="475"/>
      <c r="BW136" s="475"/>
      <c r="BX136" s="475"/>
      <c r="BY136" s="475"/>
      <c r="BZ136" s="475"/>
      <c r="CA136" s="475"/>
      <c r="CB136" s="475"/>
      <c r="CC136" s="475"/>
      <c r="CD136" s="475"/>
      <c r="CE136" s="475"/>
      <c r="CF136" s="475"/>
      <c r="CG136" s="475"/>
      <c r="CH136" s="475"/>
      <c r="CI136" s="475"/>
      <c r="CJ136" s="475"/>
      <c r="CK136" s="475"/>
      <c r="CL136" s="475"/>
      <c r="CM136" s="475"/>
      <c r="CN136" s="477"/>
      <c r="CO136" s="477"/>
      <c r="CP136" s="477"/>
      <c r="CQ136" s="477"/>
      <c r="CR136" s="477"/>
      <c r="CS136" s="477"/>
      <c r="CT136" s="477"/>
      <c r="CU136" s="477"/>
      <c r="CV136" s="477"/>
      <c r="CW136" s="477"/>
      <c r="CX136" s="477"/>
      <c r="CY136" s="478"/>
      <c r="CZ136" s="478"/>
      <c r="DA136" s="478"/>
      <c r="DB136" s="478"/>
      <c r="DC136" s="478"/>
      <c r="DD136" s="478"/>
      <c r="DE136" s="478"/>
      <c r="DF136" s="478"/>
      <c r="DG136" s="478"/>
      <c r="DH136" s="478"/>
      <c r="DI136" s="478"/>
      <c r="DJ136" s="478"/>
      <c r="DK136" s="478"/>
      <c r="DL136" s="478"/>
      <c r="DM136" s="478"/>
      <c r="DN136" s="478"/>
      <c r="DO136" s="478"/>
      <c r="DP136" s="478"/>
      <c r="DQ136" s="478"/>
      <c r="DR136" s="478"/>
      <c r="DS136" s="478"/>
      <c r="DT136" s="478"/>
      <c r="DU136" s="478"/>
      <c r="DV136" s="478"/>
      <c r="DW136" s="478"/>
      <c r="DX136" s="478"/>
      <c r="DY136" s="478"/>
      <c r="DZ136" s="478"/>
      <c r="EA136" s="477"/>
      <c r="EB136" s="477"/>
    </row>
    <row r="137" spans="1:132" ht="18.899999999999999" customHeight="1">
      <c r="A137" s="473"/>
      <c r="B137" s="473"/>
      <c r="C137" s="474"/>
      <c r="D137" s="474"/>
      <c r="E137" s="474"/>
      <c r="F137" s="473"/>
      <c r="G137" s="473"/>
      <c r="H137" s="475"/>
      <c r="I137" s="473"/>
      <c r="J137" s="476"/>
      <c r="K137" s="476"/>
      <c r="L137" s="476"/>
      <c r="M137" s="475"/>
      <c r="N137" s="475"/>
      <c r="O137" s="475"/>
      <c r="P137" s="475"/>
      <c r="Q137" s="475"/>
      <c r="R137" s="475"/>
      <c r="S137" s="475"/>
      <c r="T137" s="475"/>
      <c r="U137" s="475"/>
      <c r="V137" s="475"/>
      <c r="W137" s="475"/>
      <c r="X137" s="475"/>
      <c r="Y137" s="475"/>
      <c r="Z137" s="475"/>
      <c r="AA137" s="475"/>
      <c r="AB137" s="475"/>
      <c r="AC137" s="475"/>
      <c r="AD137" s="475"/>
      <c r="AE137" s="475"/>
      <c r="AF137" s="475"/>
      <c r="AG137" s="475"/>
      <c r="AH137" s="475"/>
      <c r="AI137" s="475"/>
      <c r="AJ137" s="475"/>
      <c r="AK137" s="475"/>
      <c r="AL137" s="475"/>
      <c r="AM137" s="475"/>
      <c r="AN137" s="475"/>
      <c r="AO137" s="473"/>
      <c r="AP137" s="473"/>
      <c r="AQ137" s="473"/>
      <c r="AR137" s="473"/>
      <c r="AS137" s="473"/>
      <c r="AT137" s="473"/>
      <c r="AU137" s="473"/>
      <c r="AV137" s="473"/>
      <c r="AW137" s="473"/>
      <c r="AX137" s="473"/>
      <c r="AY137" s="473"/>
      <c r="AZ137" s="473"/>
      <c r="BA137" s="473"/>
      <c r="BB137" s="475"/>
      <c r="BC137" s="475"/>
      <c r="BD137" s="475"/>
      <c r="BE137" s="475"/>
      <c r="BF137" s="475"/>
      <c r="BG137" s="475"/>
      <c r="BH137" s="475"/>
      <c r="BI137" s="475"/>
      <c r="BJ137" s="475"/>
      <c r="BK137" s="475"/>
      <c r="BL137" s="475"/>
      <c r="BM137" s="475"/>
      <c r="BN137" s="475"/>
      <c r="BO137" s="473"/>
      <c r="BP137" s="473"/>
      <c r="BQ137" s="473"/>
      <c r="BR137" s="473"/>
      <c r="BS137" s="475"/>
      <c r="BT137" s="475"/>
      <c r="BU137" s="475"/>
      <c r="BV137" s="475"/>
      <c r="BW137" s="475"/>
      <c r="BX137" s="475"/>
      <c r="BY137" s="475"/>
      <c r="BZ137" s="475"/>
      <c r="CA137" s="475"/>
      <c r="CB137" s="475"/>
      <c r="CC137" s="475"/>
      <c r="CD137" s="475"/>
      <c r="CE137" s="475"/>
      <c r="CF137" s="475"/>
      <c r="CG137" s="475"/>
      <c r="CH137" s="475"/>
      <c r="CI137" s="475"/>
      <c r="CJ137" s="475"/>
      <c r="CK137" s="475"/>
      <c r="CL137" s="475"/>
      <c r="CM137" s="475"/>
      <c r="CN137" s="477"/>
      <c r="CO137" s="477"/>
      <c r="CP137" s="477"/>
      <c r="CQ137" s="477"/>
      <c r="CR137" s="477"/>
      <c r="CS137" s="477"/>
      <c r="CT137" s="477"/>
      <c r="CU137" s="477"/>
      <c r="CV137" s="477"/>
      <c r="CW137" s="477"/>
      <c r="CX137" s="477"/>
      <c r="CY137" s="478"/>
      <c r="CZ137" s="478"/>
      <c r="DA137" s="478"/>
      <c r="DB137" s="478"/>
      <c r="DC137" s="478"/>
      <c r="DD137" s="478"/>
      <c r="DE137" s="478"/>
      <c r="DF137" s="478"/>
      <c r="DG137" s="478"/>
      <c r="DH137" s="478"/>
      <c r="DI137" s="478"/>
      <c r="DJ137" s="478"/>
      <c r="DK137" s="478"/>
      <c r="DL137" s="478"/>
      <c r="DM137" s="478"/>
      <c r="DN137" s="478"/>
      <c r="DO137" s="478"/>
      <c r="DP137" s="478"/>
      <c r="DQ137" s="478"/>
      <c r="DR137" s="478"/>
      <c r="DS137" s="478"/>
      <c r="DT137" s="478"/>
      <c r="DU137" s="478"/>
      <c r="DV137" s="478"/>
      <c r="DW137" s="478"/>
      <c r="DX137" s="478"/>
      <c r="DY137" s="478"/>
      <c r="DZ137" s="478"/>
      <c r="EA137" s="477"/>
      <c r="EB137" s="477"/>
    </row>
    <row r="138" spans="1:132" ht="18.899999999999999" customHeight="1">
      <c r="A138" s="473"/>
      <c r="B138" s="473"/>
      <c r="C138" s="474"/>
      <c r="D138" s="474"/>
      <c r="E138" s="474"/>
      <c r="F138" s="473"/>
      <c r="G138" s="473"/>
      <c r="H138" s="475"/>
      <c r="I138" s="473"/>
      <c r="J138" s="476"/>
      <c r="K138" s="476"/>
      <c r="L138" s="476"/>
      <c r="M138" s="475"/>
      <c r="N138" s="475"/>
      <c r="O138" s="475"/>
      <c r="P138" s="475"/>
      <c r="Q138" s="475"/>
      <c r="R138" s="475"/>
      <c r="S138" s="475"/>
      <c r="T138" s="475"/>
      <c r="U138" s="475"/>
      <c r="V138" s="475"/>
      <c r="W138" s="475"/>
      <c r="X138" s="475"/>
      <c r="Y138" s="475"/>
      <c r="Z138" s="475"/>
      <c r="AA138" s="475"/>
      <c r="AB138" s="475"/>
      <c r="AC138" s="475"/>
      <c r="AD138" s="475"/>
      <c r="AE138" s="475"/>
      <c r="AF138" s="475"/>
      <c r="AG138" s="475"/>
      <c r="AH138" s="475"/>
      <c r="AI138" s="475"/>
      <c r="AJ138" s="475"/>
      <c r="AK138" s="475"/>
      <c r="AL138" s="475"/>
      <c r="AM138" s="475"/>
      <c r="AN138" s="475"/>
      <c r="AO138" s="473"/>
      <c r="AP138" s="473"/>
      <c r="AQ138" s="473"/>
      <c r="AR138" s="473"/>
      <c r="AS138" s="473"/>
      <c r="AT138" s="473"/>
      <c r="AU138" s="473"/>
      <c r="AV138" s="473"/>
      <c r="AW138" s="473"/>
      <c r="AX138" s="473"/>
      <c r="AY138" s="473"/>
      <c r="AZ138" s="473"/>
      <c r="BA138" s="473"/>
      <c r="BB138" s="475"/>
      <c r="BC138" s="475"/>
      <c r="BD138" s="475"/>
      <c r="BE138" s="475"/>
      <c r="BF138" s="475"/>
      <c r="BG138" s="475"/>
      <c r="BH138" s="475"/>
      <c r="BI138" s="475"/>
      <c r="BJ138" s="475"/>
      <c r="BK138" s="475"/>
      <c r="BL138" s="475"/>
      <c r="BM138" s="475"/>
      <c r="BN138" s="475"/>
      <c r="BO138" s="473"/>
      <c r="BP138" s="473"/>
      <c r="BQ138" s="473"/>
      <c r="BR138" s="473"/>
      <c r="BS138" s="475"/>
      <c r="BT138" s="475"/>
      <c r="BU138" s="475"/>
      <c r="BV138" s="475"/>
      <c r="BW138" s="475"/>
      <c r="BX138" s="475"/>
      <c r="BY138" s="475"/>
      <c r="BZ138" s="475"/>
      <c r="CA138" s="475"/>
      <c r="CB138" s="475"/>
      <c r="CC138" s="475"/>
      <c r="CD138" s="475"/>
      <c r="CE138" s="475"/>
      <c r="CF138" s="475"/>
      <c r="CG138" s="475"/>
      <c r="CH138" s="475"/>
      <c r="CI138" s="475"/>
      <c r="CJ138" s="475"/>
      <c r="CK138" s="475"/>
      <c r="CL138" s="475"/>
      <c r="CM138" s="475"/>
      <c r="CN138" s="477"/>
      <c r="CO138" s="477"/>
      <c r="CP138" s="477"/>
      <c r="CQ138" s="477"/>
      <c r="CR138" s="477"/>
      <c r="CS138" s="477"/>
      <c r="CT138" s="477"/>
      <c r="CU138" s="477"/>
      <c r="CV138" s="477"/>
      <c r="CW138" s="477"/>
      <c r="CX138" s="477"/>
      <c r="CY138" s="478"/>
      <c r="CZ138" s="478"/>
      <c r="DA138" s="478"/>
      <c r="DB138" s="478"/>
      <c r="DC138" s="478"/>
      <c r="DD138" s="478"/>
      <c r="DE138" s="478"/>
      <c r="DF138" s="478"/>
      <c r="DG138" s="478"/>
      <c r="DH138" s="478"/>
      <c r="DI138" s="478"/>
      <c r="DJ138" s="478"/>
      <c r="DK138" s="478"/>
      <c r="DL138" s="478"/>
      <c r="DM138" s="478"/>
      <c r="DN138" s="478"/>
      <c r="DO138" s="478"/>
      <c r="DP138" s="478"/>
      <c r="DQ138" s="478"/>
      <c r="DR138" s="478"/>
      <c r="DS138" s="478"/>
      <c r="DT138" s="478"/>
      <c r="DU138" s="478"/>
      <c r="DV138" s="478"/>
      <c r="DW138" s="478"/>
      <c r="DX138" s="478"/>
      <c r="DY138" s="478"/>
      <c r="DZ138" s="478"/>
      <c r="EA138" s="477"/>
      <c r="EB138" s="477"/>
    </row>
    <row r="139" spans="1:132" ht="18.899999999999999" customHeight="1">
      <c r="A139" s="473"/>
      <c r="B139" s="473"/>
      <c r="C139" s="474"/>
      <c r="D139" s="474"/>
      <c r="E139" s="474"/>
      <c r="F139" s="473"/>
      <c r="G139" s="473"/>
      <c r="H139" s="475"/>
      <c r="I139" s="473"/>
      <c r="J139" s="476"/>
      <c r="K139" s="476"/>
      <c r="L139" s="476"/>
      <c r="M139" s="475"/>
      <c r="N139" s="475"/>
      <c r="O139" s="475"/>
      <c r="P139" s="475"/>
      <c r="Q139" s="475"/>
      <c r="R139" s="475"/>
      <c r="S139" s="475"/>
      <c r="T139" s="475"/>
      <c r="U139" s="475"/>
      <c r="V139" s="475"/>
      <c r="W139" s="475"/>
      <c r="X139" s="475"/>
      <c r="Y139" s="475"/>
      <c r="Z139" s="475"/>
      <c r="AA139" s="475"/>
      <c r="AB139" s="475"/>
      <c r="AC139" s="475"/>
      <c r="AD139" s="475"/>
      <c r="AE139" s="475"/>
      <c r="AF139" s="475"/>
      <c r="AG139" s="475"/>
      <c r="AH139" s="475"/>
      <c r="AI139" s="475"/>
      <c r="AJ139" s="475"/>
      <c r="AK139" s="475"/>
      <c r="AL139" s="475"/>
      <c r="AM139" s="475"/>
      <c r="AN139" s="475"/>
      <c r="AO139" s="473"/>
      <c r="AP139" s="473"/>
      <c r="AQ139" s="473"/>
      <c r="AR139" s="473"/>
      <c r="AS139" s="473"/>
      <c r="AT139" s="473"/>
      <c r="AU139" s="473"/>
      <c r="AV139" s="473"/>
      <c r="AW139" s="473"/>
      <c r="AX139" s="473"/>
      <c r="AY139" s="473"/>
      <c r="AZ139" s="473"/>
      <c r="BA139" s="473"/>
      <c r="BB139" s="475"/>
      <c r="BC139" s="475"/>
      <c r="BD139" s="475"/>
      <c r="BE139" s="475"/>
      <c r="BF139" s="475"/>
      <c r="BG139" s="475"/>
      <c r="BH139" s="475"/>
      <c r="BI139" s="475"/>
      <c r="BJ139" s="475"/>
      <c r="BK139" s="475"/>
      <c r="BL139" s="475"/>
      <c r="BM139" s="475"/>
      <c r="BN139" s="475"/>
      <c r="BO139" s="473"/>
      <c r="BP139" s="473"/>
      <c r="BQ139" s="473"/>
      <c r="BR139" s="473"/>
      <c r="BS139" s="475"/>
      <c r="BT139" s="475"/>
      <c r="BU139" s="475"/>
      <c r="BV139" s="475"/>
      <c r="BW139" s="475"/>
      <c r="BX139" s="475"/>
      <c r="BY139" s="475"/>
      <c r="BZ139" s="475"/>
      <c r="CA139" s="475"/>
      <c r="CB139" s="475"/>
      <c r="CC139" s="475"/>
      <c r="CD139" s="475"/>
      <c r="CE139" s="475"/>
      <c r="CF139" s="475"/>
      <c r="CG139" s="475"/>
      <c r="CH139" s="475"/>
      <c r="CI139" s="475"/>
      <c r="CJ139" s="475"/>
      <c r="CK139" s="475"/>
      <c r="CL139" s="475"/>
      <c r="CM139" s="475"/>
      <c r="CN139" s="477"/>
      <c r="CO139" s="477"/>
      <c r="CP139" s="477"/>
      <c r="CQ139" s="477"/>
      <c r="CR139" s="477"/>
      <c r="CS139" s="477"/>
      <c r="CT139" s="477"/>
      <c r="CU139" s="477"/>
      <c r="CV139" s="477"/>
      <c r="CW139" s="477"/>
      <c r="CX139" s="477"/>
      <c r="CY139" s="478"/>
      <c r="CZ139" s="478"/>
      <c r="DA139" s="478"/>
      <c r="DB139" s="478"/>
      <c r="DC139" s="478"/>
      <c r="DD139" s="478"/>
      <c r="DE139" s="478"/>
      <c r="DF139" s="478"/>
      <c r="DG139" s="478"/>
      <c r="DH139" s="478"/>
      <c r="DI139" s="478"/>
      <c r="DJ139" s="478"/>
      <c r="DK139" s="478"/>
      <c r="DL139" s="478"/>
      <c r="DM139" s="478"/>
      <c r="DN139" s="478"/>
      <c r="DO139" s="478"/>
      <c r="DP139" s="478"/>
      <c r="DQ139" s="478"/>
      <c r="DR139" s="478"/>
      <c r="DS139" s="478"/>
      <c r="DT139" s="478"/>
      <c r="DU139" s="478"/>
      <c r="DV139" s="478"/>
      <c r="DW139" s="478"/>
      <c r="DX139" s="478"/>
      <c r="DY139" s="478"/>
      <c r="DZ139" s="478"/>
      <c r="EA139" s="477"/>
      <c r="EB139" s="477"/>
    </row>
    <row r="140" spans="1:132" ht="18.899999999999999" customHeight="1">
      <c r="A140" s="473"/>
      <c r="B140" s="473"/>
      <c r="C140" s="474"/>
      <c r="D140" s="474"/>
      <c r="E140" s="474"/>
      <c r="F140" s="473"/>
      <c r="G140" s="473"/>
      <c r="H140" s="475"/>
      <c r="I140" s="473"/>
      <c r="J140" s="476"/>
      <c r="K140" s="476"/>
      <c r="L140" s="476"/>
      <c r="M140" s="475"/>
      <c r="N140" s="475"/>
      <c r="O140" s="475"/>
      <c r="P140" s="475"/>
      <c r="Q140" s="475"/>
      <c r="R140" s="475"/>
      <c r="S140" s="475"/>
      <c r="T140" s="475"/>
      <c r="U140" s="475"/>
      <c r="V140" s="475"/>
      <c r="W140" s="475"/>
      <c r="X140" s="475"/>
      <c r="Y140" s="475"/>
      <c r="Z140" s="475"/>
      <c r="AA140" s="475"/>
      <c r="AB140" s="475"/>
      <c r="AC140" s="475"/>
      <c r="AD140" s="475"/>
      <c r="AE140" s="475"/>
      <c r="AF140" s="475"/>
      <c r="AG140" s="475"/>
      <c r="AH140" s="475"/>
      <c r="AI140" s="475"/>
      <c r="AJ140" s="475"/>
      <c r="AK140" s="475"/>
      <c r="AL140" s="475"/>
      <c r="AM140" s="475"/>
      <c r="AN140" s="475"/>
      <c r="AO140" s="473"/>
      <c r="AP140" s="473"/>
      <c r="AQ140" s="473"/>
      <c r="AR140" s="473"/>
      <c r="AS140" s="473"/>
      <c r="AT140" s="473"/>
      <c r="AU140" s="473"/>
      <c r="AV140" s="473"/>
      <c r="AW140" s="473"/>
      <c r="AX140" s="473"/>
      <c r="AY140" s="473"/>
      <c r="AZ140" s="473"/>
      <c r="BA140" s="473"/>
      <c r="BB140" s="475"/>
      <c r="BC140" s="475"/>
      <c r="BD140" s="475"/>
      <c r="BE140" s="475"/>
      <c r="BF140" s="475"/>
      <c r="BG140" s="475"/>
      <c r="BH140" s="475"/>
      <c r="BI140" s="475"/>
      <c r="BJ140" s="475"/>
      <c r="BK140" s="475"/>
      <c r="BL140" s="475"/>
      <c r="BM140" s="475"/>
      <c r="BN140" s="475"/>
      <c r="BO140" s="473"/>
      <c r="BP140" s="473"/>
      <c r="BQ140" s="473"/>
      <c r="BR140" s="473"/>
      <c r="BS140" s="475"/>
      <c r="BT140" s="475"/>
      <c r="BU140" s="475"/>
      <c r="BV140" s="475"/>
      <c r="BW140" s="475"/>
      <c r="BX140" s="475"/>
      <c r="BY140" s="475"/>
      <c r="BZ140" s="475"/>
      <c r="CA140" s="475"/>
      <c r="CB140" s="475"/>
      <c r="CC140" s="475"/>
      <c r="CD140" s="475"/>
      <c r="CE140" s="475"/>
      <c r="CF140" s="475"/>
      <c r="CG140" s="475"/>
      <c r="CH140" s="475"/>
      <c r="CI140" s="475"/>
      <c r="CJ140" s="475"/>
      <c r="CK140" s="475"/>
      <c r="CL140" s="475"/>
      <c r="CM140" s="475"/>
      <c r="CN140" s="477"/>
      <c r="CO140" s="477"/>
      <c r="CP140" s="477"/>
      <c r="CQ140" s="477"/>
      <c r="CR140" s="477"/>
      <c r="CS140" s="477"/>
      <c r="CT140" s="477"/>
      <c r="CU140" s="477"/>
      <c r="CV140" s="477"/>
      <c r="CW140" s="477"/>
      <c r="CX140" s="477"/>
      <c r="CY140" s="478"/>
      <c r="CZ140" s="478"/>
      <c r="DA140" s="478"/>
      <c r="DB140" s="478"/>
      <c r="DC140" s="478"/>
      <c r="DD140" s="478"/>
      <c r="DE140" s="478"/>
      <c r="DF140" s="478"/>
      <c r="DG140" s="478"/>
      <c r="DH140" s="478"/>
      <c r="DI140" s="478"/>
      <c r="DJ140" s="478"/>
      <c r="DK140" s="478"/>
      <c r="DL140" s="478"/>
      <c r="DM140" s="478"/>
      <c r="DN140" s="478"/>
      <c r="DO140" s="478"/>
      <c r="DP140" s="478"/>
      <c r="DQ140" s="478"/>
      <c r="DR140" s="478"/>
      <c r="DS140" s="478"/>
      <c r="DT140" s="478"/>
      <c r="DU140" s="478"/>
      <c r="DV140" s="478"/>
      <c r="DW140" s="478"/>
      <c r="DX140" s="478"/>
      <c r="DY140" s="478"/>
      <c r="DZ140" s="478"/>
      <c r="EA140" s="477"/>
      <c r="EB140" s="477"/>
    </row>
    <row r="141" spans="1:132" ht="18.899999999999999" customHeight="1">
      <c r="A141" s="473"/>
      <c r="B141" s="473"/>
      <c r="C141" s="474"/>
      <c r="D141" s="474"/>
      <c r="E141" s="474"/>
      <c r="F141" s="473"/>
      <c r="G141" s="473"/>
      <c r="H141" s="475"/>
      <c r="I141" s="473"/>
      <c r="J141" s="476"/>
      <c r="K141" s="476"/>
      <c r="L141" s="476"/>
      <c r="M141" s="475"/>
      <c r="N141" s="475"/>
      <c r="O141" s="475"/>
      <c r="P141" s="475"/>
      <c r="Q141" s="475"/>
      <c r="R141" s="475"/>
      <c r="S141" s="475"/>
      <c r="T141" s="475"/>
      <c r="U141" s="475"/>
      <c r="V141" s="475"/>
      <c r="W141" s="475"/>
      <c r="X141" s="475"/>
      <c r="Y141" s="475"/>
      <c r="Z141" s="475"/>
      <c r="AA141" s="475"/>
      <c r="AB141" s="475"/>
      <c r="AC141" s="475"/>
      <c r="AD141" s="475"/>
      <c r="AE141" s="475"/>
      <c r="AF141" s="475"/>
      <c r="AG141" s="475"/>
      <c r="AH141" s="475"/>
      <c r="AI141" s="475"/>
      <c r="AJ141" s="475"/>
      <c r="AK141" s="475"/>
      <c r="AL141" s="475"/>
      <c r="AM141" s="475"/>
      <c r="AN141" s="475"/>
      <c r="AO141" s="473"/>
      <c r="AP141" s="473"/>
      <c r="AQ141" s="473"/>
      <c r="AR141" s="473"/>
      <c r="AS141" s="473"/>
      <c r="AT141" s="473"/>
      <c r="AU141" s="473"/>
      <c r="AV141" s="473"/>
      <c r="AW141" s="473"/>
      <c r="AX141" s="473"/>
      <c r="AY141" s="473"/>
      <c r="AZ141" s="473"/>
      <c r="BA141" s="473"/>
      <c r="BB141" s="475"/>
      <c r="BC141" s="475"/>
      <c r="BD141" s="475"/>
      <c r="BE141" s="475"/>
      <c r="BF141" s="475"/>
      <c r="BG141" s="475"/>
      <c r="BH141" s="475"/>
      <c r="BI141" s="475"/>
      <c r="BJ141" s="475"/>
      <c r="BK141" s="475"/>
      <c r="BL141" s="475"/>
      <c r="BM141" s="475"/>
      <c r="BN141" s="475"/>
      <c r="BO141" s="473"/>
      <c r="BP141" s="473"/>
      <c r="BQ141" s="473"/>
      <c r="BR141" s="473"/>
      <c r="BS141" s="475"/>
      <c r="BT141" s="475"/>
      <c r="BU141" s="475"/>
      <c r="BV141" s="475"/>
      <c r="BW141" s="475"/>
      <c r="BX141" s="475"/>
      <c r="BY141" s="475"/>
      <c r="BZ141" s="475"/>
      <c r="CA141" s="475"/>
      <c r="CB141" s="475"/>
      <c r="CC141" s="475"/>
      <c r="CD141" s="475"/>
      <c r="CE141" s="475"/>
      <c r="CF141" s="475"/>
      <c r="CG141" s="475"/>
      <c r="CH141" s="475"/>
      <c r="CI141" s="475"/>
      <c r="CJ141" s="475"/>
      <c r="CK141" s="475"/>
      <c r="CL141" s="475"/>
      <c r="CM141" s="475"/>
      <c r="CN141" s="477"/>
      <c r="CO141" s="477"/>
      <c r="CP141" s="477"/>
      <c r="CQ141" s="477"/>
      <c r="CR141" s="477"/>
      <c r="CS141" s="477"/>
      <c r="CT141" s="477"/>
      <c r="CU141" s="477"/>
      <c r="CV141" s="477"/>
      <c r="CW141" s="477"/>
      <c r="CX141" s="477"/>
      <c r="CY141" s="478"/>
      <c r="CZ141" s="478"/>
      <c r="DA141" s="478"/>
      <c r="DB141" s="478"/>
      <c r="DC141" s="478"/>
      <c r="DD141" s="478"/>
      <c r="DE141" s="478"/>
      <c r="DF141" s="478"/>
      <c r="DG141" s="478"/>
      <c r="DH141" s="478"/>
      <c r="DI141" s="478"/>
      <c r="DJ141" s="478"/>
      <c r="DK141" s="478"/>
      <c r="DL141" s="478"/>
      <c r="DM141" s="478"/>
      <c r="DN141" s="478"/>
      <c r="DO141" s="478"/>
      <c r="DP141" s="478"/>
      <c r="DQ141" s="478"/>
      <c r="DR141" s="478"/>
      <c r="DS141" s="478"/>
      <c r="DT141" s="478"/>
      <c r="DU141" s="478"/>
      <c r="DV141" s="478"/>
      <c r="DW141" s="478"/>
      <c r="DX141" s="478"/>
      <c r="DY141" s="478"/>
      <c r="DZ141" s="478"/>
      <c r="EA141" s="477"/>
      <c r="EB141" s="477"/>
    </row>
    <row r="142" spans="1:132" ht="18.899999999999999" customHeight="1">
      <c r="A142" s="473"/>
      <c r="B142" s="473"/>
      <c r="C142" s="474"/>
      <c r="D142" s="474"/>
      <c r="E142" s="474"/>
      <c r="F142" s="473"/>
      <c r="G142" s="473"/>
      <c r="H142" s="475"/>
      <c r="I142" s="473"/>
      <c r="J142" s="476"/>
      <c r="K142" s="476"/>
      <c r="L142" s="476"/>
      <c r="M142" s="475"/>
      <c r="N142" s="475"/>
      <c r="O142" s="475"/>
      <c r="P142" s="475"/>
      <c r="Q142" s="475"/>
      <c r="R142" s="475"/>
      <c r="S142" s="475"/>
      <c r="T142" s="475"/>
      <c r="U142" s="475"/>
      <c r="V142" s="475"/>
      <c r="W142" s="475"/>
      <c r="X142" s="475"/>
      <c r="Y142" s="475"/>
      <c r="Z142" s="475"/>
      <c r="AA142" s="475"/>
      <c r="AB142" s="475"/>
      <c r="AC142" s="475"/>
      <c r="AD142" s="475"/>
      <c r="AE142" s="475"/>
      <c r="AF142" s="475"/>
      <c r="AG142" s="475"/>
      <c r="AH142" s="475"/>
      <c r="AI142" s="475"/>
      <c r="AJ142" s="475"/>
      <c r="AK142" s="475"/>
      <c r="AL142" s="475"/>
      <c r="AM142" s="475"/>
      <c r="AN142" s="475"/>
      <c r="AO142" s="473"/>
      <c r="AP142" s="473"/>
      <c r="AQ142" s="473"/>
      <c r="AR142" s="473"/>
      <c r="AS142" s="473"/>
      <c r="AT142" s="473"/>
      <c r="AU142" s="473"/>
      <c r="AV142" s="473"/>
      <c r="AW142" s="473"/>
      <c r="AX142" s="473"/>
      <c r="AY142" s="473"/>
      <c r="AZ142" s="473"/>
      <c r="BA142" s="473"/>
      <c r="BB142" s="475"/>
      <c r="BC142" s="475"/>
      <c r="BD142" s="475"/>
      <c r="BE142" s="475"/>
      <c r="BF142" s="475"/>
      <c r="BG142" s="475"/>
      <c r="BH142" s="475"/>
      <c r="BI142" s="475"/>
      <c r="BJ142" s="475"/>
      <c r="BK142" s="475"/>
      <c r="BL142" s="475"/>
      <c r="BM142" s="475"/>
      <c r="BN142" s="475"/>
      <c r="BO142" s="473"/>
      <c r="BP142" s="473"/>
      <c r="BQ142" s="473"/>
      <c r="BR142" s="473"/>
      <c r="BS142" s="475"/>
      <c r="BT142" s="475"/>
      <c r="BU142" s="475"/>
      <c r="BV142" s="475"/>
      <c r="BW142" s="475"/>
      <c r="BX142" s="475"/>
      <c r="BY142" s="475"/>
      <c r="BZ142" s="475"/>
      <c r="CA142" s="475"/>
      <c r="CB142" s="475"/>
      <c r="CC142" s="475"/>
      <c r="CD142" s="475"/>
      <c r="CE142" s="475"/>
      <c r="CF142" s="475"/>
      <c r="CG142" s="475"/>
      <c r="CH142" s="475"/>
      <c r="CI142" s="475"/>
      <c r="CJ142" s="475"/>
      <c r="CK142" s="475"/>
      <c r="CL142" s="475"/>
      <c r="CM142" s="475"/>
      <c r="CN142" s="477"/>
      <c r="CO142" s="477"/>
      <c r="CP142" s="477"/>
      <c r="CQ142" s="477"/>
      <c r="CR142" s="477"/>
      <c r="CS142" s="477"/>
      <c r="CT142" s="477"/>
      <c r="CU142" s="477"/>
      <c r="CV142" s="477"/>
      <c r="CW142" s="477"/>
      <c r="CX142" s="477"/>
      <c r="CY142" s="478"/>
      <c r="CZ142" s="478"/>
      <c r="DA142" s="478"/>
      <c r="DB142" s="478"/>
      <c r="DC142" s="478"/>
      <c r="DD142" s="478"/>
      <c r="DE142" s="478"/>
      <c r="DF142" s="478"/>
      <c r="DG142" s="478"/>
      <c r="DH142" s="478"/>
      <c r="DI142" s="478"/>
      <c r="DJ142" s="478"/>
      <c r="DK142" s="478"/>
      <c r="DL142" s="478"/>
      <c r="DM142" s="478"/>
      <c r="DN142" s="478"/>
      <c r="DO142" s="478"/>
      <c r="DP142" s="478"/>
      <c r="DQ142" s="478"/>
      <c r="DR142" s="478"/>
      <c r="DS142" s="478"/>
      <c r="DT142" s="478"/>
      <c r="DU142" s="478"/>
      <c r="DV142" s="478"/>
      <c r="DW142" s="478"/>
      <c r="DX142" s="478"/>
      <c r="DY142" s="478"/>
      <c r="DZ142" s="478"/>
      <c r="EA142" s="477"/>
      <c r="EB142" s="477"/>
    </row>
    <row r="143" spans="1:132" ht="18.899999999999999" customHeight="1">
      <c r="A143" s="473"/>
      <c r="B143" s="473"/>
      <c r="C143" s="474"/>
      <c r="D143" s="474"/>
      <c r="E143" s="474"/>
      <c r="F143" s="473"/>
      <c r="G143" s="473"/>
      <c r="H143" s="475"/>
      <c r="I143" s="473"/>
      <c r="J143" s="476"/>
      <c r="K143" s="476"/>
      <c r="L143" s="476"/>
      <c r="M143" s="475"/>
      <c r="N143" s="475"/>
      <c r="O143" s="475"/>
      <c r="P143" s="475"/>
      <c r="Q143" s="475"/>
      <c r="R143" s="475"/>
      <c r="S143" s="475"/>
      <c r="T143" s="475"/>
      <c r="U143" s="475"/>
      <c r="V143" s="475"/>
      <c r="W143" s="475"/>
      <c r="X143" s="475"/>
      <c r="Y143" s="475"/>
      <c r="Z143" s="475"/>
      <c r="AA143" s="475"/>
      <c r="AB143" s="475"/>
      <c r="AC143" s="475"/>
      <c r="AD143" s="475"/>
      <c r="AE143" s="475"/>
      <c r="AF143" s="475"/>
      <c r="AG143" s="475"/>
      <c r="AH143" s="475"/>
      <c r="AI143" s="475"/>
      <c r="AJ143" s="475"/>
      <c r="AK143" s="475"/>
      <c r="AL143" s="475"/>
      <c r="AM143" s="475"/>
      <c r="AN143" s="475"/>
      <c r="AO143" s="473"/>
      <c r="AP143" s="473"/>
      <c r="AQ143" s="473"/>
      <c r="AR143" s="473"/>
      <c r="AS143" s="473"/>
      <c r="AT143" s="473"/>
      <c r="AU143" s="473"/>
      <c r="AV143" s="473"/>
      <c r="AW143" s="473"/>
      <c r="AX143" s="473"/>
      <c r="AY143" s="473"/>
      <c r="AZ143" s="473"/>
      <c r="BA143" s="473"/>
      <c r="BB143" s="475"/>
      <c r="BC143" s="475"/>
      <c r="BD143" s="475"/>
      <c r="BE143" s="475"/>
      <c r="BF143" s="475"/>
      <c r="BG143" s="475"/>
      <c r="BH143" s="475"/>
      <c r="BI143" s="475"/>
      <c r="BJ143" s="475"/>
      <c r="BK143" s="475"/>
      <c r="BL143" s="475"/>
      <c r="BM143" s="475"/>
      <c r="BN143" s="475"/>
      <c r="BO143" s="473"/>
      <c r="BP143" s="473"/>
      <c r="BQ143" s="473"/>
      <c r="BR143" s="473"/>
      <c r="BS143" s="475"/>
      <c r="BT143" s="475"/>
      <c r="BU143" s="475"/>
      <c r="BV143" s="475"/>
      <c r="BW143" s="475"/>
      <c r="BX143" s="475"/>
      <c r="BY143" s="475"/>
      <c r="BZ143" s="475"/>
      <c r="CA143" s="475"/>
      <c r="CB143" s="475"/>
      <c r="CC143" s="475"/>
      <c r="CD143" s="475"/>
      <c r="CE143" s="475"/>
      <c r="CF143" s="475"/>
      <c r="CG143" s="475"/>
      <c r="CH143" s="475"/>
      <c r="CI143" s="475"/>
      <c r="CJ143" s="475"/>
      <c r="CK143" s="475"/>
      <c r="CL143" s="475"/>
      <c r="CM143" s="475"/>
      <c r="CN143" s="477"/>
      <c r="CO143" s="477"/>
      <c r="CP143" s="477"/>
      <c r="CQ143" s="477"/>
      <c r="CR143" s="477"/>
      <c r="CS143" s="477"/>
      <c r="CT143" s="477"/>
      <c r="CU143" s="477"/>
      <c r="CV143" s="477"/>
      <c r="CW143" s="477"/>
      <c r="CX143" s="477"/>
      <c r="CY143" s="478"/>
      <c r="CZ143" s="478"/>
      <c r="DA143" s="478"/>
      <c r="DB143" s="478"/>
      <c r="DC143" s="478"/>
      <c r="DD143" s="478"/>
      <c r="DE143" s="478"/>
      <c r="DF143" s="478"/>
      <c r="DG143" s="478"/>
      <c r="DH143" s="478"/>
      <c r="DI143" s="478"/>
      <c r="DJ143" s="478"/>
      <c r="DK143" s="478"/>
      <c r="DL143" s="478"/>
      <c r="DM143" s="478"/>
      <c r="DN143" s="478"/>
      <c r="DO143" s="478"/>
      <c r="DP143" s="478"/>
      <c r="DQ143" s="478"/>
      <c r="DR143" s="478"/>
      <c r="DS143" s="478"/>
      <c r="DT143" s="478"/>
      <c r="DU143" s="478"/>
      <c r="DV143" s="478"/>
      <c r="DW143" s="478"/>
      <c r="DX143" s="478"/>
      <c r="DY143" s="478"/>
      <c r="DZ143" s="478"/>
      <c r="EA143" s="477"/>
      <c r="EB143" s="477"/>
    </row>
    <row r="144" spans="1:132" ht="18.899999999999999" customHeight="1">
      <c r="A144" s="473"/>
      <c r="B144" s="473"/>
      <c r="C144" s="474"/>
      <c r="D144" s="474"/>
      <c r="E144" s="474"/>
      <c r="F144" s="473"/>
      <c r="G144" s="473"/>
      <c r="H144" s="475"/>
      <c r="I144" s="473"/>
      <c r="J144" s="476"/>
      <c r="K144" s="476"/>
      <c r="L144" s="476"/>
      <c r="M144" s="475"/>
      <c r="N144" s="475"/>
      <c r="O144" s="475"/>
      <c r="P144" s="475"/>
      <c r="Q144" s="475"/>
      <c r="R144" s="475"/>
      <c r="S144" s="475"/>
      <c r="T144" s="475"/>
      <c r="U144" s="475"/>
      <c r="V144" s="475"/>
      <c r="W144" s="475"/>
      <c r="X144" s="475"/>
      <c r="Y144" s="475"/>
      <c r="Z144" s="475"/>
      <c r="AA144" s="475"/>
      <c r="AB144" s="475"/>
      <c r="AC144" s="475"/>
      <c r="AD144" s="475"/>
      <c r="AE144" s="475"/>
      <c r="AF144" s="475"/>
      <c r="AG144" s="475"/>
      <c r="AH144" s="475"/>
      <c r="AI144" s="475"/>
      <c r="AJ144" s="475"/>
      <c r="AK144" s="475"/>
      <c r="AL144" s="475"/>
      <c r="AM144" s="475"/>
      <c r="AN144" s="475"/>
      <c r="AO144" s="473"/>
      <c r="AP144" s="473"/>
      <c r="AQ144" s="473"/>
      <c r="AR144" s="473"/>
      <c r="AS144" s="473"/>
      <c r="AT144" s="473"/>
      <c r="AU144" s="473"/>
      <c r="AV144" s="473"/>
      <c r="AW144" s="473"/>
      <c r="AX144" s="473"/>
      <c r="AY144" s="473"/>
      <c r="AZ144" s="473"/>
      <c r="BA144" s="473"/>
      <c r="BB144" s="475"/>
      <c r="BC144" s="475"/>
      <c r="BD144" s="475"/>
      <c r="BE144" s="475"/>
      <c r="BF144" s="475"/>
      <c r="BG144" s="475"/>
      <c r="BH144" s="475"/>
      <c r="BI144" s="475"/>
      <c r="BJ144" s="475"/>
      <c r="BK144" s="475"/>
      <c r="BL144" s="475"/>
      <c r="BM144" s="475"/>
      <c r="BN144" s="475"/>
      <c r="BO144" s="473"/>
      <c r="BP144" s="473"/>
      <c r="BQ144" s="473"/>
      <c r="BR144" s="473"/>
      <c r="BS144" s="475"/>
      <c r="BT144" s="475"/>
      <c r="BU144" s="475"/>
      <c r="BV144" s="475"/>
      <c r="BW144" s="475"/>
      <c r="BX144" s="475"/>
      <c r="BY144" s="475"/>
      <c r="BZ144" s="475"/>
      <c r="CA144" s="475"/>
      <c r="CB144" s="475"/>
      <c r="CC144" s="475"/>
      <c r="CD144" s="475"/>
      <c r="CE144" s="475"/>
      <c r="CF144" s="475"/>
      <c r="CG144" s="475"/>
      <c r="CH144" s="475"/>
      <c r="CI144" s="475"/>
      <c r="CJ144" s="475"/>
      <c r="CK144" s="475"/>
      <c r="CL144" s="475"/>
      <c r="CM144" s="475"/>
      <c r="CN144" s="477"/>
      <c r="CO144" s="477"/>
      <c r="CP144" s="477"/>
      <c r="CQ144" s="477"/>
      <c r="CR144" s="477"/>
      <c r="CS144" s="477"/>
      <c r="CT144" s="477"/>
      <c r="CU144" s="477"/>
      <c r="CV144" s="477"/>
      <c r="CW144" s="477"/>
      <c r="CX144" s="477"/>
      <c r="CY144" s="478"/>
      <c r="CZ144" s="478"/>
      <c r="DA144" s="478"/>
      <c r="DB144" s="478"/>
      <c r="DC144" s="478"/>
      <c r="DD144" s="478"/>
      <c r="DE144" s="478"/>
      <c r="DF144" s="478"/>
      <c r="DG144" s="478"/>
      <c r="DH144" s="478"/>
      <c r="DI144" s="478"/>
      <c r="DJ144" s="478"/>
      <c r="DK144" s="478"/>
      <c r="DL144" s="478"/>
      <c r="DM144" s="478"/>
      <c r="DN144" s="478"/>
      <c r="DO144" s="478"/>
      <c r="DP144" s="478"/>
      <c r="DQ144" s="478"/>
      <c r="DR144" s="478"/>
      <c r="DS144" s="478"/>
      <c r="DT144" s="478"/>
      <c r="DU144" s="478"/>
      <c r="DV144" s="478"/>
      <c r="DW144" s="478"/>
      <c r="DX144" s="478"/>
      <c r="DY144" s="478"/>
      <c r="DZ144" s="478"/>
      <c r="EA144" s="477"/>
      <c r="EB144" s="477"/>
    </row>
    <row r="145" spans="1:132" ht="18.899999999999999" customHeight="1">
      <c r="A145" s="473"/>
      <c r="B145" s="473"/>
      <c r="C145" s="474"/>
      <c r="D145" s="474"/>
      <c r="E145" s="474"/>
      <c r="F145" s="473"/>
      <c r="G145" s="473"/>
      <c r="H145" s="475"/>
      <c r="I145" s="473"/>
      <c r="J145" s="476"/>
      <c r="K145" s="476"/>
      <c r="L145" s="476"/>
      <c r="M145" s="475"/>
      <c r="N145" s="475"/>
      <c r="O145" s="475"/>
      <c r="P145" s="475"/>
      <c r="Q145" s="475"/>
      <c r="R145" s="475"/>
      <c r="S145" s="475"/>
      <c r="T145" s="475"/>
      <c r="U145" s="475"/>
      <c r="V145" s="475"/>
      <c r="W145" s="475"/>
      <c r="X145" s="475"/>
      <c r="Y145" s="475"/>
      <c r="Z145" s="475"/>
      <c r="AA145" s="475"/>
      <c r="AB145" s="475"/>
      <c r="AC145" s="475"/>
      <c r="AD145" s="475"/>
      <c r="AE145" s="475"/>
      <c r="AF145" s="475"/>
      <c r="AG145" s="475"/>
      <c r="AH145" s="475"/>
      <c r="AI145" s="475"/>
      <c r="AJ145" s="475"/>
      <c r="AK145" s="475"/>
      <c r="AL145" s="475"/>
      <c r="AM145" s="475"/>
      <c r="AN145" s="475"/>
      <c r="AO145" s="473"/>
      <c r="AP145" s="473"/>
      <c r="AQ145" s="473"/>
      <c r="AR145" s="473"/>
      <c r="AS145" s="473"/>
      <c r="AT145" s="473"/>
      <c r="AU145" s="473"/>
      <c r="AV145" s="473"/>
      <c r="AW145" s="473"/>
      <c r="AX145" s="473"/>
      <c r="AY145" s="473"/>
      <c r="AZ145" s="473"/>
      <c r="BA145" s="473"/>
      <c r="BB145" s="475"/>
      <c r="BC145" s="475"/>
      <c r="BD145" s="475"/>
      <c r="BE145" s="475"/>
      <c r="BF145" s="475"/>
      <c r="BG145" s="475"/>
      <c r="BH145" s="475"/>
      <c r="BI145" s="475"/>
      <c r="BJ145" s="475"/>
      <c r="BK145" s="475"/>
      <c r="BL145" s="475"/>
      <c r="BM145" s="475"/>
      <c r="BN145" s="475"/>
      <c r="BO145" s="473"/>
      <c r="BP145" s="473"/>
      <c r="BQ145" s="473"/>
      <c r="BR145" s="473"/>
      <c r="BS145" s="475"/>
      <c r="BT145" s="475"/>
      <c r="BU145" s="475"/>
      <c r="BV145" s="475"/>
      <c r="BW145" s="475"/>
      <c r="BX145" s="475"/>
      <c r="BY145" s="475"/>
      <c r="BZ145" s="475"/>
      <c r="CA145" s="475"/>
      <c r="CB145" s="475"/>
      <c r="CC145" s="475"/>
      <c r="CD145" s="475"/>
      <c r="CE145" s="475"/>
      <c r="CF145" s="475"/>
      <c r="CG145" s="475"/>
      <c r="CH145" s="475"/>
      <c r="CI145" s="475"/>
      <c r="CJ145" s="475"/>
      <c r="CK145" s="475"/>
      <c r="CL145" s="475"/>
      <c r="CM145" s="475"/>
      <c r="CN145" s="477"/>
      <c r="CO145" s="477"/>
      <c r="CP145" s="477"/>
      <c r="CQ145" s="477"/>
      <c r="CR145" s="477"/>
      <c r="CS145" s="477"/>
      <c r="CT145" s="477"/>
      <c r="CU145" s="477"/>
      <c r="CV145" s="477"/>
      <c r="CW145" s="477"/>
      <c r="CX145" s="477"/>
      <c r="CY145" s="478"/>
      <c r="CZ145" s="478"/>
      <c r="DA145" s="478"/>
      <c r="DB145" s="478"/>
      <c r="DC145" s="478"/>
      <c r="DD145" s="478"/>
      <c r="DE145" s="478"/>
      <c r="DF145" s="478"/>
      <c r="DG145" s="478"/>
      <c r="DH145" s="478"/>
      <c r="DI145" s="478"/>
      <c r="DJ145" s="478"/>
      <c r="DK145" s="478"/>
      <c r="DL145" s="478"/>
      <c r="DM145" s="478"/>
      <c r="DN145" s="478"/>
      <c r="DO145" s="478"/>
      <c r="DP145" s="478"/>
      <c r="DQ145" s="478"/>
      <c r="DR145" s="478"/>
      <c r="DS145" s="478"/>
      <c r="DT145" s="478"/>
      <c r="DU145" s="478"/>
      <c r="DV145" s="478"/>
      <c r="DW145" s="478"/>
      <c r="DX145" s="478"/>
      <c r="DY145" s="478"/>
      <c r="DZ145" s="478"/>
      <c r="EA145" s="477"/>
      <c r="EB145" s="477"/>
    </row>
    <row r="146" spans="1:132" ht="18.899999999999999" customHeight="1">
      <c r="A146" s="473"/>
      <c r="B146" s="473"/>
      <c r="C146" s="474"/>
      <c r="D146" s="474"/>
      <c r="E146" s="474"/>
      <c r="F146" s="473"/>
      <c r="G146" s="473"/>
      <c r="H146" s="475"/>
      <c r="I146" s="473"/>
      <c r="J146" s="476"/>
      <c r="K146" s="476"/>
      <c r="L146" s="476"/>
      <c r="M146" s="475"/>
      <c r="N146" s="475"/>
      <c r="O146" s="475"/>
      <c r="P146" s="475"/>
      <c r="Q146" s="475"/>
      <c r="R146" s="475"/>
      <c r="S146" s="475"/>
      <c r="T146" s="475"/>
      <c r="U146" s="475"/>
      <c r="V146" s="475"/>
      <c r="W146" s="475"/>
      <c r="X146" s="475"/>
      <c r="Y146" s="475"/>
      <c r="Z146" s="475"/>
      <c r="AA146" s="475"/>
      <c r="AB146" s="475"/>
      <c r="AC146" s="475"/>
      <c r="AD146" s="475"/>
      <c r="AE146" s="475"/>
      <c r="AF146" s="475"/>
      <c r="AG146" s="475"/>
      <c r="AH146" s="475"/>
      <c r="AI146" s="475"/>
      <c r="AJ146" s="475"/>
      <c r="AK146" s="475"/>
      <c r="AL146" s="475"/>
      <c r="AM146" s="475"/>
      <c r="AN146" s="475"/>
      <c r="AO146" s="473"/>
      <c r="AP146" s="473"/>
      <c r="AQ146" s="473"/>
      <c r="AR146" s="473"/>
      <c r="AS146" s="473"/>
      <c r="AT146" s="473"/>
      <c r="AU146" s="473"/>
      <c r="AV146" s="473"/>
      <c r="AW146" s="473"/>
      <c r="AX146" s="473"/>
      <c r="AY146" s="473"/>
      <c r="AZ146" s="473"/>
      <c r="BA146" s="473"/>
      <c r="BB146" s="475"/>
      <c r="BC146" s="475"/>
      <c r="BD146" s="475"/>
      <c r="BE146" s="475"/>
      <c r="BF146" s="475"/>
      <c r="BG146" s="475"/>
      <c r="BH146" s="475"/>
      <c r="BI146" s="475"/>
      <c r="BJ146" s="475"/>
      <c r="BK146" s="475"/>
      <c r="BL146" s="475"/>
      <c r="BM146" s="475"/>
      <c r="BN146" s="475"/>
      <c r="BO146" s="473"/>
      <c r="BP146" s="473"/>
      <c r="BQ146" s="473"/>
      <c r="BR146" s="473"/>
      <c r="BS146" s="475"/>
      <c r="BT146" s="475"/>
      <c r="BU146" s="475"/>
      <c r="BV146" s="475"/>
      <c r="BW146" s="475"/>
      <c r="BX146" s="475"/>
      <c r="BY146" s="475"/>
      <c r="BZ146" s="475"/>
      <c r="CA146" s="475"/>
      <c r="CB146" s="475"/>
      <c r="CC146" s="475"/>
      <c r="CD146" s="475"/>
      <c r="CE146" s="475"/>
      <c r="CF146" s="475"/>
      <c r="CG146" s="475"/>
      <c r="CH146" s="475"/>
      <c r="CI146" s="475"/>
      <c r="CJ146" s="475"/>
      <c r="CK146" s="475"/>
      <c r="CL146" s="475"/>
      <c r="CM146" s="475"/>
      <c r="CN146" s="477"/>
      <c r="CO146" s="477"/>
      <c r="CP146" s="477"/>
      <c r="CQ146" s="477"/>
      <c r="CR146" s="477"/>
      <c r="CS146" s="477"/>
      <c r="CT146" s="477"/>
      <c r="CU146" s="477"/>
      <c r="CV146" s="477"/>
      <c r="CW146" s="477"/>
      <c r="CX146" s="477"/>
      <c r="CY146" s="478"/>
      <c r="CZ146" s="478"/>
      <c r="DA146" s="478"/>
      <c r="DB146" s="478"/>
      <c r="DC146" s="478"/>
      <c r="DD146" s="478"/>
      <c r="DE146" s="478"/>
      <c r="DF146" s="478"/>
      <c r="DG146" s="478"/>
      <c r="DH146" s="478"/>
      <c r="DI146" s="478"/>
      <c r="DJ146" s="478"/>
      <c r="DK146" s="478"/>
      <c r="DL146" s="478"/>
      <c r="DM146" s="478"/>
      <c r="DN146" s="478"/>
      <c r="DO146" s="478"/>
      <c r="DP146" s="478"/>
      <c r="DQ146" s="478"/>
      <c r="DR146" s="478"/>
      <c r="DS146" s="478"/>
      <c r="DT146" s="478"/>
      <c r="DU146" s="478"/>
      <c r="DV146" s="478"/>
      <c r="DW146" s="478"/>
      <c r="DX146" s="478"/>
      <c r="DY146" s="478"/>
      <c r="DZ146" s="478"/>
      <c r="EA146" s="477"/>
      <c r="EB146" s="477"/>
    </row>
    <row r="147" spans="1:132" ht="18.899999999999999" customHeight="1">
      <c r="A147" s="473"/>
      <c r="B147" s="473"/>
      <c r="C147" s="474"/>
      <c r="D147" s="474"/>
      <c r="E147" s="474"/>
      <c r="F147" s="473"/>
      <c r="G147" s="473"/>
      <c r="H147" s="475"/>
      <c r="I147" s="473"/>
      <c r="J147" s="476"/>
      <c r="K147" s="476"/>
      <c r="L147" s="476"/>
      <c r="M147" s="475"/>
      <c r="N147" s="475"/>
      <c r="O147" s="475"/>
      <c r="P147" s="475"/>
      <c r="Q147" s="475"/>
      <c r="R147" s="475"/>
      <c r="S147" s="475"/>
      <c r="T147" s="475"/>
      <c r="U147" s="475"/>
      <c r="V147" s="475"/>
      <c r="W147" s="475"/>
      <c r="X147" s="475"/>
      <c r="Y147" s="475"/>
      <c r="Z147" s="475"/>
      <c r="AA147" s="475"/>
      <c r="AB147" s="475"/>
      <c r="AC147" s="475"/>
      <c r="AD147" s="475"/>
      <c r="AE147" s="475"/>
      <c r="AF147" s="475"/>
      <c r="AG147" s="475"/>
      <c r="AH147" s="475"/>
      <c r="AI147" s="475"/>
      <c r="AJ147" s="475"/>
      <c r="AK147" s="475"/>
      <c r="AL147" s="475"/>
      <c r="AM147" s="475"/>
      <c r="AN147" s="475"/>
      <c r="AO147" s="473"/>
      <c r="AP147" s="473"/>
      <c r="AQ147" s="473"/>
      <c r="AR147" s="473"/>
      <c r="AS147" s="473"/>
      <c r="AT147" s="473"/>
      <c r="AU147" s="473"/>
      <c r="AV147" s="473"/>
      <c r="AW147" s="473"/>
      <c r="AX147" s="473"/>
      <c r="AY147" s="473"/>
      <c r="AZ147" s="473"/>
      <c r="BA147" s="473"/>
      <c r="BB147" s="475"/>
      <c r="BC147" s="475"/>
      <c r="BD147" s="475"/>
      <c r="BE147" s="475"/>
      <c r="BF147" s="475"/>
      <c r="BG147" s="475"/>
      <c r="BH147" s="475"/>
      <c r="BI147" s="475"/>
      <c r="BJ147" s="475"/>
      <c r="BK147" s="475"/>
      <c r="BL147" s="475"/>
      <c r="BM147" s="475"/>
      <c r="BN147" s="475"/>
      <c r="BO147" s="473"/>
      <c r="BP147" s="473"/>
      <c r="BQ147" s="473"/>
      <c r="BR147" s="473"/>
      <c r="BS147" s="475"/>
      <c r="BT147" s="475"/>
      <c r="BU147" s="475"/>
      <c r="BV147" s="475"/>
      <c r="BW147" s="475"/>
      <c r="BX147" s="475"/>
      <c r="BY147" s="475"/>
      <c r="BZ147" s="475"/>
      <c r="CA147" s="475"/>
      <c r="CB147" s="475"/>
      <c r="CC147" s="475"/>
      <c r="CD147" s="475"/>
      <c r="CE147" s="475"/>
      <c r="CF147" s="475"/>
      <c r="CG147" s="475"/>
      <c r="CH147" s="475"/>
      <c r="CI147" s="475"/>
      <c r="CJ147" s="475"/>
      <c r="CK147" s="475"/>
      <c r="CL147" s="475"/>
      <c r="CM147" s="475"/>
      <c r="CN147" s="477"/>
      <c r="CO147" s="477"/>
      <c r="CP147" s="477"/>
      <c r="CQ147" s="477"/>
      <c r="CR147" s="477"/>
      <c r="CS147" s="477"/>
      <c r="CT147" s="477"/>
      <c r="CU147" s="477"/>
      <c r="CV147" s="477"/>
      <c r="CW147" s="477"/>
      <c r="CX147" s="477"/>
      <c r="CY147" s="478"/>
      <c r="CZ147" s="478"/>
      <c r="DA147" s="478"/>
      <c r="DB147" s="478"/>
      <c r="DC147" s="478"/>
      <c r="DD147" s="478"/>
      <c r="DE147" s="478"/>
      <c r="DF147" s="478"/>
      <c r="DG147" s="478"/>
      <c r="DH147" s="478"/>
      <c r="DI147" s="478"/>
      <c r="DJ147" s="478"/>
      <c r="DK147" s="478"/>
      <c r="DL147" s="478"/>
      <c r="DM147" s="478"/>
      <c r="DN147" s="478"/>
      <c r="DO147" s="478"/>
      <c r="DP147" s="478"/>
      <c r="DQ147" s="478"/>
      <c r="DR147" s="478"/>
      <c r="DS147" s="478"/>
      <c r="DT147" s="478"/>
      <c r="DU147" s="478"/>
      <c r="DV147" s="478"/>
      <c r="DW147" s="478"/>
      <c r="DX147" s="478"/>
      <c r="DY147" s="478"/>
      <c r="DZ147" s="478"/>
      <c r="EA147" s="477"/>
      <c r="EB147" s="477"/>
    </row>
    <row r="148" spans="1:132" ht="18.899999999999999" customHeight="1">
      <c r="A148" s="473"/>
      <c r="B148" s="473"/>
      <c r="C148" s="474"/>
      <c r="D148" s="474"/>
      <c r="E148" s="474"/>
      <c r="F148" s="473"/>
      <c r="G148" s="473"/>
      <c r="H148" s="475"/>
      <c r="I148" s="473"/>
      <c r="J148" s="473"/>
      <c r="K148" s="473"/>
      <c r="L148" s="473"/>
      <c r="M148" s="475"/>
      <c r="N148" s="475"/>
      <c r="O148" s="475"/>
      <c r="P148" s="475"/>
      <c r="Q148" s="475"/>
      <c r="R148" s="475"/>
      <c r="S148" s="475"/>
      <c r="T148" s="475"/>
      <c r="U148" s="475"/>
      <c r="V148" s="475"/>
      <c r="W148" s="475"/>
      <c r="X148" s="475"/>
      <c r="Y148" s="475"/>
      <c r="Z148" s="475"/>
      <c r="AA148" s="475"/>
      <c r="AB148" s="475"/>
      <c r="AC148" s="475"/>
      <c r="AD148" s="475"/>
      <c r="AE148" s="475"/>
      <c r="AF148" s="475"/>
      <c r="AG148" s="475"/>
      <c r="AH148" s="475"/>
      <c r="AI148" s="475"/>
      <c r="AJ148" s="475"/>
      <c r="AK148" s="475"/>
      <c r="AL148" s="475"/>
      <c r="AM148" s="475"/>
      <c r="AN148" s="475"/>
      <c r="AO148" s="473"/>
      <c r="AP148" s="473"/>
      <c r="AQ148" s="473"/>
      <c r="AR148" s="473"/>
      <c r="AS148" s="473"/>
      <c r="AT148" s="473"/>
      <c r="AU148" s="473"/>
      <c r="AV148" s="473"/>
      <c r="AW148" s="473"/>
      <c r="AX148" s="473"/>
      <c r="AY148" s="473"/>
      <c r="AZ148" s="473"/>
      <c r="BA148" s="473"/>
      <c r="BB148" s="475"/>
      <c r="BC148" s="475"/>
      <c r="BD148" s="475"/>
      <c r="BE148" s="475"/>
      <c r="BF148" s="475"/>
      <c r="BG148" s="475"/>
      <c r="BH148" s="475"/>
      <c r="BI148" s="475"/>
      <c r="BJ148" s="475"/>
      <c r="BK148" s="475"/>
      <c r="BL148" s="475"/>
      <c r="BM148" s="475"/>
      <c r="BN148" s="475"/>
      <c r="BO148" s="473"/>
      <c r="BP148" s="473"/>
      <c r="BQ148" s="473"/>
      <c r="BR148" s="473"/>
      <c r="BS148" s="475"/>
      <c r="BT148" s="475"/>
      <c r="BU148" s="475"/>
      <c r="BV148" s="475"/>
      <c r="BW148" s="475"/>
      <c r="BX148" s="475"/>
      <c r="BY148" s="475"/>
      <c r="BZ148" s="475"/>
      <c r="CA148" s="475"/>
      <c r="CB148" s="475"/>
      <c r="CC148" s="475"/>
      <c r="CD148" s="475"/>
      <c r="CE148" s="475"/>
      <c r="CF148" s="475"/>
      <c r="CG148" s="475"/>
      <c r="CH148" s="475"/>
      <c r="CI148" s="475"/>
      <c r="CJ148" s="475"/>
      <c r="CK148" s="475"/>
      <c r="CL148" s="475"/>
      <c r="CM148" s="475"/>
      <c r="CN148" s="477"/>
      <c r="CO148" s="477"/>
      <c r="CP148" s="477"/>
      <c r="CQ148" s="477"/>
      <c r="CR148" s="477"/>
      <c r="CS148" s="477"/>
      <c r="CT148" s="477"/>
      <c r="CU148" s="477"/>
      <c r="CV148" s="477"/>
      <c r="CW148" s="477"/>
      <c r="CX148" s="477"/>
      <c r="CY148" s="478"/>
      <c r="CZ148" s="478"/>
      <c r="DA148" s="478"/>
      <c r="DB148" s="478"/>
      <c r="DC148" s="478"/>
      <c r="DD148" s="478"/>
      <c r="DE148" s="478"/>
      <c r="DF148" s="478"/>
      <c r="DG148" s="478"/>
      <c r="DH148" s="478"/>
      <c r="DI148" s="478"/>
      <c r="DJ148" s="478"/>
      <c r="DK148" s="478"/>
      <c r="DL148" s="478"/>
      <c r="DM148" s="478"/>
      <c r="DN148" s="478"/>
      <c r="DO148" s="478"/>
      <c r="DP148" s="478"/>
      <c r="DQ148" s="478"/>
      <c r="DR148" s="478"/>
      <c r="DS148" s="478"/>
      <c r="DT148" s="478"/>
      <c r="DU148" s="478"/>
      <c r="DV148" s="478"/>
      <c r="DW148" s="478"/>
      <c r="DX148" s="478"/>
      <c r="DY148" s="478"/>
      <c r="DZ148" s="478"/>
      <c r="EA148" s="477"/>
      <c r="EB148" s="477"/>
    </row>
    <row r="149" spans="1:132" ht="18.899999999999999" customHeight="1">
      <c r="A149" s="473"/>
      <c r="B149" s="473"/>
      <c r="C149" s="474"/>
      <c r="D149" s="474"/>
      <c r="E149" s="474"/>
      <c r="F149" s="473"/>
      <c r="G149" s="473"/>
      <c r="H149" s="475"/>
      <c r="I149" s="473"/>
      <c r="J149" s="473"/>
      <c r="K149" s="473"/>
      <c r="L149" s="473"/>
      <c r="M149" s="475"/>
      <c r="N149" s="475"/>
      <c r="O149" s="475"/>
      <c r="P149" s="475"/>
      <c r="Q149" s="475"/>
      <c r="R149" s="475"/>
      <c r="S149" s="475"/>
      <c r="T149" s="475"/>
      <c r="U149" s="475"/>
      <c r="V149" s="475"/>
      <c r="W149" s="475"/>
      <c r="X149" s="475"/>
      <c r="Y149" s="475"/>
      <c r="Z149" s="475"/>
      <c r="AA149" s="475"/>
      <c r="AB149" s="475"/>
      <c r="AC149" s="475"/>
      <c r="AD149" s="475"/>
      <c r="AE149" s="475"/>
      <c r="AF149" s="475"/>
      <c r="AG149" s="475"/>
      <c r="AH149" s="475"/>
      <c r="AI149" s="475"/>
      <c r="AJ149" s="475"/>
      <c r="AK149" s="475"/>
      <c r="AL149" s="475"/>
      <c r="AM149" s="475"/>
      <c r="AN149" s="475"/>
      <c r="AO149" s="473"/>
      <c r="AP149" s="473"/>
      <c r="AQ149" s="473"/>
      <c r="AR149" s="473"/>
      <c r="AS149" s="473"/>
      <c r="AT149" s="473"/>
      <c r="AU149" s="473"/>
      <c r="AV149" s="473"/>
      <c r="AW149" s="473"/>
      <c r="AX149" s="473"/>
      <c r="AY149" s="473"/>
      <c r="AZ149" s="473"/>
      <c r="BA149" s="473"/>
      <c r="BB149" s="475"/>
      <c r="BC149" s="475"/>
      <c r="BD149" s="475"/>
      <c r="BE149" s="475"/>
      <c r="BF149" s="475"/>
      <c r="BG149" s="475"/>
      <c r="BH149" s="475"/>
      <c r="BI149" s="475"/>
      <c r="BJ149" s="475"/>
      <c r="BK149" s="475"/>
      <c r="BL149" s="475"/>
      <c r="BM149" s="475"/>
      <c r="BN149" s="475"/>
      <c r="BO149" s="473"/>
      <c r="BP149" s="473"/>
      <c r="BQ149" s="473"/>
      <c r="BR149" s="473"/>
      <c r="BS149" s="475"/>
      <c r="BT149" s="475"/>
      <c r="BU149" s="475"/>
      <c r="BV149" s="475"/>
      <c r="BW149" s="475"/>
      <c r="BX149" s="475"/>
      <c r="BY149" s="475"/>
      <c r="BZ149" s="475"/>
      <c r="CA149" s="475"/>
      <c r="CB149" s="475"/>
      <c r="CC149" s="475"/>
      <c r="CD149" s="475"/>
      <c r="CE149" s="475"/>
      <c r="CF149" s="475"/>
      <c r="CG149" s="475"/>
      <c r="CH149" s="475"/>
      <c r="CI149" s="475"/>
      <c r="CJ149" s="475"/>
      <c r="CK149" s="475"/>
      <c r="CL149" s="475"/>
      <c r="CM149" s="475"/>
      <c r="CN149" s="477"/>
      <c r="CO149" s="477"/>
      <c r="CP149" s="477"/>
      <c r="CQ149" s="477"/>
      <c r="CR149" s="477"/>
      <c r="CS149" s="477"/>
      <c r="CT149" s="477"/>
      <c r="CU149" s="477"/>
      <c r="CV149" s="477"/>
      <c r="CW149" s="477"/>
      <c r="CX149" s="477"/>
      <c r="CY149" s="478"/>
      <c r="CZ149" s="478"/>
      <c r="DA149" s="478"/>
      <c r="DB149" s="478"/>
      <c r="DC149" s="478"/>
      <c r="DD149" s="478"/>
      <c r="DE149" s="478"/>
      <c r="DF149" s="478"/>
      <c r="DG149" s="478"/>
      <c r="DH149" s="478"/>
      <c r="DI149" s="478"/>
      <c r="DJ149" s="478"/>
      <c r="DK149" s="478"/>
      <c r="DL149" s="478"/>
      <c r="DM149" s="478"/>
      <c r="DN149" s="478"/>
      <c r="DO149" s="478"/>
      <c r="DP149" s="478"/>
      <c r="DQ149" s="478"/>
      <c r="DR149" s="478"/>
      <c r="DS149" s="478"/>
      <c r="DT149" s="478"/>
      <c r="DU149" s="478"/>
      <c r="DV149" s="478"/>
      <c r="DW149" s="478"/>
      <c r="DX149" s="478"/>
      <c r="DY149" s="478"/>
      <c r="DZ149" s="478"/>
      <c r="EA149" s="477"/>
      <c r="EB149" s="477"/>
    </row>
    <row r="150" spans="1:132" ht="18.899999999999999" customHeight="1">
      <c r="A150" s="473"/>
      <c r="B150" s="473"/>
      <c r="C150" s="474"/>
      <c r="D150" s="474"/>
      <c r="E150" s="474"/>
      <c r="F150" s="473"/>
      <c r="G150" s="473"/>
      <c r="H150" s="475"/>
      <c r="I150" s="473"/>
      <c r="J150" s="473"/>
      <c r="K150" s="473"/>
      <c r="L150" s="473"/>
      <c r="M150" s="475"/>
      <c r="N150" s="475"/>
      <c r="O150" s="475"/>
      <c r="P150" s="475"/>
      <c r="Q150" s="475"/>
      <c r="R150" s="475"/>
      <c r="S150" s="475"/>
      <c r="T150" s="475"/>
      <c r="U150" s="475"/>
      <c r="V150" s="475"/>
      <c r="W150" s="475"/>
      <c r="X150" s="475"/>
      <c r="Y150" s="475"/>
      <c r="Z150" s="475"/>
      <c r="AA150" s="475"/>
      <c r="AB150" s="475"/>
      <c r="AC150" s="475"/>
      <c r="AD150" s="475"/>
      <c r="AE150" s="475"/>
      <c r="AF150" s="475"/>
      <c r="AG150" s="475"/>
      <c r="AH150" s="475"/>
      <c r="AI150" s="475"/>
      <c r="AJ150" s="475"/>
      <c r="AK150" s="475"/>
      <c r="AL150" s="475"/>
      <c r="AM150" s="475"/>
      <c r="AN150" s="475"/>
      <c r="AO150" s="473"/>
      <c r="AP150" s="473"/>
      <c r="AQ150" s="473"/>
      <c r="AR150" s="473"/>
      <c r="AS150" s="473"/>
      <c r="AT150" s="473"/>
      <c r="AU150" s="473"/>
      <c r="AV150" s="473"/>
      <c r="AW150" s="473"/>
      <c r="AX150" s="473"/>
      <c r="AY150" s="473"/>
      <c r="AZ150" s="473"/>
      <c r="BA150" s="473"/>
      <c r="BB150" s="475"/>
      <c r="BC150" s="475"/>
      <c r="BD150" s="475"/>
      <c r="BE150" s="475"/>
      <c r="BF150" s="475"/>
      <c r="BG150" s="475"/>
      <c r="BH150" s="475"/>
      <c r="BI150" s="475"/>
      <c r="BJ150" s="475"/>
      <c r="BK150" s="475"/>
      <c r="BL150" s="475"/>
      <c r="BM150" s="475"/>
      <c r="BN150" s="475"/>
      <c r="BO150" s="473"/>
      <c r="BP150" s="473"/>
      <c r="BQ150" s="473"/>
      <c r="BR150" s="473"/>
      <c r="BS150" s="475"/>
      <c r="BT150" s="475"/>
      <c r="BU150" s="475"/>
      <c r="BV150" s="475"/>
      <c r="BW150" s="475"/>
      <c r="BX150" s="475"/>
      <c r="BY150" s="475"/>
      <c r="BZ150" s="475"/>
      <c r="CA150" s="475"/>
      <c r="CB150" s="475"/>
      <c r="CC150" s="475"/>
      <c r="CD150" s="475"/>
      <c r="CE150" s="475"/>
      <c r="CF150" s="475"/>
      <c r="CG150" s="475"/>
      <c r="CH150" s="475"/>
      <c r="CI150" s="475"/>
      <c r="CJ150" s="475"/>
      <c r="CK150" s="475"/>
      <c r="CL150" s="475"/>
      <c r="CM150" s="475"/>
      <c r="CN150" s="477"/>
      <c r="CO150" s="477"/>
      <c r="CP150" s="477"/>
      <c r="CQ150" s="477"/>
      <c r="CR150" s="477"/>
      <c r="CS150" s="477"/>
      <c r="CT150" s="477"/>
      <c r="CU150" s="477"/>
      <c r="CV150" s="477"/>
      <c r="CW150" s="477"/>
      <c r="CX150" s="477"/>
      <c r="CY150" s="478"/>
      <c r="CZ150" s="478"/>
      <c r="DA150" s="478"/>
      <c r="DB150" s="478"/>
      <c r="DC150" s="478"/>
      <c r="DD150" s="478"/>
      <c r="DE150" s="478"/>
      <c r="DF150" s="478"/>
      <c r="DG150" s="478"/>
      <c r="DH150" s="478"/>
      <c r="DI150" s="478"/>
      <c r="DJ150" s="478"/>
      <c r="DK150" s="478"/>
      <c r="DL150" s="478"/>
      <c r="DM150" s="478"/>
      <c r="DN150" s="478"/>
      <c r="DO150" s="478"/>
      <c r="DP150" s="478"/>
      <c r="DQ150" s="478"/>
      <c r="DR150" s="478"/>
      <c r="DS150" s="478"/>
      <c r="DT150" s="478"/>
      <c r="DU150" s="478"/>
      <c r="DV150" s="478"/>
      <c r="DW150" s="478"/>
      <c r="DX150" s="478"/>
      <c r="DY150" s="478"/>
      <c r="DZ150" s="478"/>
      <c r="EA150" s="477"/>
      <c r="EB150" s="477"/>
    </row>
    <row r="151" spans="1:132" ht="18.899999999999999" customHeight="1">
      <c r="A151" s="473"/>
      <c r="B151" s="473"/>
      <c r="C151" s="474"/>
      <c r="D151" s="474"/>
      <c r="E151" s="474"/>
      <c r="F151" s="473"/>
      <c r="G151" s="473"/>
      <c r="H151" s="475"/>
      <c r="I151" s="473"/>
      <c r="J151" s="473"/>
      <c r="K151" s="473"/>
      <c r="L151" s="473"/>
      <c r="M151" s="475"/>
      <c r="N151" s="475"/>
      <c r="O151" s="475"/>
      <c r="P151" s="475"/>
      <c r="Q151" s="475"/>
      <c r="R151" s="475"/>
      <c r="S151" s="475"/>
      <c r="T151" s="475"/>
      <c r="U151" s="475"/>
      <c r="V151" s="475"/>
      <c r="W151" s="475"/>
      <c r="X151" s="475"/>
      <c r="Y151" s="475"/>
      <c r="Z151" s="475"/>
      <c r="AA151" s="475"/>
      <c r="AB151" s="475"/>
      <c r="AC151" s="475"/>
      <c r="AD151" s="475"/>
      <c r="AE151" s="475"/>
      <c r="AF151" s="475"/>
      <c r="AG151" s="475"/>
      <c r="AH151" s="475"/>
      <c r="AI151" s="475"/>
      <c r="AJ151" s="475"/>
      <c r="AK151" s="475"/>
      <c r="AL151" s="475"/>
      <c r="AM151" s="475"/>
      <c r="AN151" s="475"/>
      <c r="AO151" s="473"/>
      <c r="AP151" s="473"/>
      <c r="AQ151" s="473"/>
      <c r="AR151" s="473"/>
      <c r="AS151" s="473"/>
      <c r="AT151" s="473"/>
      <c r="AU151" s="473"/>
      <c r="AV151" s="473"/>
      <c r="AW151" s="473"/>
      <c r="AX151" s="473"/>
      <c r="AY151" s="473"/>
      <c r="AZ151" s="473"/>
      <c r="BA151" s="473"/>
      <c r="BB151" s="475"/>
      <c r="BC151" s="475"/>
      <c r="BD151" s="475"/>
      <c r="BE151" s="475"/>
      <c r="BF151" s="475"/>
      <c r="BG151" s="475"/>
      <c r="BH151" s="475"/>
      <c r="BI151" s="475"/>
      <c r="BJ151" s="475"/>
      <c r="BK151" s="475"/>
      <c r="BL151" s="475"/>
      <c r="BM151" s="475"/>
      <c r="BN151" s="475"/>
      <c r="BO151" s="473"/>
      <c r="BP151" s="473"/>
      <c r="BQ151" s="473"/>
      <c r="BR151" s="473"/>
      <c r="BS151" s="475"/>
      <c r="BT151" s="475"/>
      <c r="BU151" s="475"/>
      <c r="BV151" s="475"/>
      <c r="BW151" s="475"/>
      <c r="BX151" s="475"/>
      <c r="BY151" s="475"/>
      <c r="BZ151" s="475"/>
      <c r="CA151" s="475"/>
      <c r="CB151" s="475"/>
      <c r="CC151" s="475"/>
      <c r="CD151" s="475"/>
      <c r="CE151" s="475"/>
      <c r="CF151" s="475"/>
      <c r="CG151" s="475"/>
      <c r="CH151" s="475"/>
      <c r="CI151" s="475"/>
      <c r="CJ151" s="475"/>
      <c r="CK151" s="475"/>
      <c r="CL151" s="475"/>
      <c r="CM151" s="475"/>
      <c r="CN151" s="477"/>
      <c r="CO151" s="477"/>
      <c r="CP151" s="477"/>
      <c r="CQ151" s="477"/>
      <c r="CR151" s="477"/>
      <c r="CS151" s="477"/>
      <c r="CT151" s="477"/>
      <c r="CU151" s="477"/>
      <c r="CV151" s="477"/>
      <c r="CW151" s="477"/>
      <c r="CX151" s="477"/>
      <c r="CY151" s="478"/>
      <c r="CZ151" s="478"/>
      <c r="DA151" s="478"/>
      <c r="DB151" s="478"/>
      <c r="DC151" s="478"/>
      <c r="DD151" s="478"/>
      <c r="DE151" s="478"/>
      <c r="DF151" s="478"/>
      <c r="DG151" s="478"/>
      <c r="DH151" s="478"/>
      <c r="DI151" s="478"/>
      <c r="DJ151" s="478"/>
      <c r="DK151" s="478"/>
      <c r="DL151" s="478"/>
      <c r="DM151" s="478"/>
      <c r="DN151" s="478"/>
      <c r="DO151" s="478"/>
      <c r="DP151" s="478"/>
      <c r="DQ151" s="478"/>
      <c r="DR151" s="478"/>
      <c r="DS151" s="478"/>
      <c r="DT151" s="478"/>
      <c r="DU151" s="478"/>
      <c r="DV151" s="478"/>
      <c r="DW151" s="478"/>
      <c r="DX151" s="478"/>
      <c r="DY151" s="478"/>
      <c r="DZ151" s="478"/>
      <c r="EA151" s="477"/>
      <c r="EB151" s="477"/>
    </row>
    <row r="152" spans="1:132" ht="18.899999999999999" customHeight="1">
      <c r="A152" s="473"/>
      <c r="B152" s="473"/>
      <c r="C152" s="474"/>
      <c r="D152" s="474"/>
      <c r="E152" s="474"/>
      <c r="F152" s="473"/>
      <c r="G152" s="473"/>
      <c r="H152" s="475"/>
      <c r="I152" s="473"/>
      <c r="J152" s="473"/>
      <c r="K152" s="473"/>
      <c r="L152" s="473"/>
      <c r="M152" s="475"/>
      <c r="N152" s="475"/>
      <c r="O152" s="475"/>
      <c r="P152" s="475"/>
      <c r="Q152" s="475"/>
      <c r="R152" s="475"/>
      <c r="S152" s="475"/>
      <c r="T152" s="475"/>
      <c r="U152" s="475"/>
      <c r="V152" s="475"/>
      <c r="W152" s="475"/>
      <c r="X152" s="475"/>
      <c r="Y152" s="475"/>
      <c r="Z152" s="475"/>
      <c r="AA152" s="475"/>
      <c r="AB152" s="475"/>
      <c r="AC152" s="475"/>
      <c r="AD152" s="475"/>
      <c r="AE152" s="475"/>
      <c r="AF152" s="475"/>
      <c r="AG152" s="475"/>
      <c r="AH152" s="475"/>
      <c r="AI152" s="475"/>
      <c r="AJ152" s="475"/>
      <c r="AK152" s="475"/>
      <c r="AL152" s="475"/>
      <c r="AM152" s="475"/>
      <c r="AN152" s="475"/>
      <c r="AO152" s="473"/>
      <c r="AP152" s="473"/>
      <c r="AQ152" s="473"/>
      <c r="AR152" s="473"/>
      <c r="AS152" s="473"/>
      <c r="AT152" s="473"/>
      <c r="AU152" s="473"/>
      <c r="AV152" s="473"/>
      <c r="AW152" s="473"/>
      <c r="AX152" s="473"/>
      <c r="AY152" s="473"/>
      <c r="AZ152" s="473"/>
      <c r="BA152" s="473"/>
      <c r="BB152" s="475"/>
      <c r="BC152" s="475"/>
      <c r="BD152" s="475"/>
      <c r="BE152" s="475"/>
      <c r="BF152" s="475"/>
      <c r="BG152" s="475"/>
      <c r="BH152" s="475"/>
      <c r="BI152" s="475"/>
      <c r="BJ152" s="475"/>
      <c r="BK152" s="475"/>
      <c r="BL152" s="475"/>
      <c r="BM152" s="475"/>
      <c r="BN152" s="475"/>
      <c r="BO152" s="473"/>
      <c r="BP152" s="473"/>
      <c r="BQ152" s="473"/>
      <c r="BR152" s="473"/>
      <c r="BS152" s="475"/>
      <c r="BT152" s="475"/>
      <c r="BU152" s="475"/>
      <c r="BV152" s="475"/>
      <c r="BW152" s="475"/>
      <c r="BX152" s="475"/>
      <c r="BY152" s="475"/>
      <c r="BZ152" s="475"/>
      <c r="CA152" s="475"/>
      <c r="CB152" s="475"/>
      <c r="CC152" s="475"/>
      <c r="CD152" s="475"/>
      <c r="CE152" s="475"/>
      <c r="CF152" s="475"/>
      <c r="CG152" s="475"/>
      <c r="CH152" s="475"/>
      <c r="CI152" s="475"/>
      <c r="CJ152" s="475"/>
      <c r="CK152" s="475"/>
      <c r="CL152" s="475"/>
      <c r="CM152" s="475"/>
      <c r="CN152" s="477"/>
      <c r="CO152" s="477"/>
      <c r="CP152" s="477"/>
      <c r="CQ152" s="477"/>
      <c r="CR152" s="477"/>
      <c r="CS152" s="477"/>
      <c r="CT152" s="477"/>
      <c r="CU152" s="477"/>
      <c r="CV152" s="477"/>
      <c r="CW152" s="477"/>
      <c r="CX152" s="477"/>
      <c r="CY152" s="478"/>
      <c r="CZ152" s="478"/>
      <c r="DA152" s="478"/>
      <c r="DB152" s="478"/>
      <c r="DC152" s="478"/>
      <c r="DD152" s="478"/>
      <c r="DE152" s="478"/>
      <c r="DF152" s="478"/>
      <c r="DG152" s="478"/>
      <c r="DH152" s="478"/>
      <c r="DI152" s="478"/>
      <c r="DJ152" s="478"/>
      <c r="DK152" s="478"/>
      <c r="DL152" s="478"/>
      <c r="DM152" s="478"/>
      <c r="DN152" s="478"/>
      <c r="DO152" s="478"/>
      <c r="DP152" s="478"/>
      <c r="DQ152" s="478"/>
      <c r="DR152" s="478"/>
      <c r="DS152" s="478"/>
      <c r="DT152" s="478"/>
      <c r="DU152" s="478"/>
      <c r="DV152" s="478"/>
      <c r="DW152" s="478"/>
      <c r="DX152" s="478"/>
      <c r="DY152" s="478"/>
      <c r="DZ152" s="478"/>
      <c r="EA152" s="477"/>
      <c r="EB152" s="477"/>
    </row>
    <row r="153" spans="1:132" ht="18.899999999999999" customHeight="1">
      <c r="A153" s="473"/>
      <c r="B153" s="473"/>
      <c r="C153" s="474"/>
      <c r="D153" s="474"/>
      <c r="E153" s="474"/>
      <c r="F153" s="473"/>
      <c r="G153" s="473"/>
      <c r="H153" s="475"/>
      <c r="I153" s="473"/>
      <c r="J153" s="473"/>
      <c r="K153" s="473"/>
      <c r="L153" s="473"/>
      <c r="M153" s="475"/>
      <c r="N153" s="475"/>
      <c r="O153" s="475"/>
      <c r="P153" s="475"/>
      <c r="Q153" s="475"/>
      <c r="R153" s="475"/>
      <c r="S153" s="475"/>
      <c r="T153" s="475"/>
      <c r="U153" s="475"/>
      <c r="V153" s="475"/>
      <c r="W153" s="475"/>
      <c r="X153" s="475"/>
      <c r="Y153" s="475"/>
      <c r="Z153" s="475"/>
      <c r="AA153" s="475"/>
      <c r="AB153" s="475"/>
      <c r="AC153" s="475"/>
      <c r="AD153" s="475"/>
      <c r="AE153" s="475"/>
      <c r="AF153" s="475"/>
      <c r="AG153" s="475"/>
      <c r="AH153" s="475"/>
      <c r="AI153" s="475"/>
      <c r="AJ153" s="475"/>
      <c r="AK153" s="475"/>
      <c r="AL153" s="475"/>
      <c r="AM153" s="475"/>
      <c r="AN153" s="475"/>
      <c r="AO153" s="473"/>
      <c r="AP153" s="473"/>
      <c r="AQ153" s="473"/>
      <c r="AR153" s="473"/>
      <c r="AS153" s="473"/>
      <c r="AT153" s="473"/>
      <c r="AU153" s="473"/>
      <c r="AV153" s="473"/>
      <c r="AW153" s="473"/>
      <c r="AX153" s="473"/>
      <c r="AY153" s="473"/>
      <c r="AZ153" s="473"/>
      <c r="BA153" s="473"/>
      <c r="BB153" s="475"/>
      <c r="BC153" s="475"/>
      <c r="BD153" s="475"/>
      <c r="BE153" s="475"/>
      <c r="BF153" s="475"/>
      <c r="BG153" s="475"/>
      <c r="BH153" s="475"/>
      <c r="BI153" s="475"/>
      <c r="BJ153" s="475"/>
      <c r="BK153" s="475"/>
      <c r="BL153" s="475"/>
      <c r="BM153" s="475"/>
      <c r="BN153" s="475"/>
      <c r="BO153" s="473"/>
      <c r="BP153" s="473"/>
      <c r="BQ153" s="473"/>
      <c r="BR153" s="473"/>
      <c r="BS153" s="475"/>
      <c r="BT153" s="475"/>
      <c r="BU153" s="475"/>
      <c r="BV153" s="475"/>
      <c r="BW153" s="475"/>
      <c r="BX153" s="475"/>
      <c r="BY153" s="475"/>
      <c r="BZ153" s="475"/>
      <c r="CA153" s="475"/>
      <c r="CB153" s="475"/>
      <c r="CC153" s="475"/>
      <c r="CD153" s="475"/>
      <c r="CE153" s="475"/>
      <c r="CF153" s="475"/>
      <c r="CG153" s="475"/>
      <c r="CH153" s="475"/>
      <c r="CI153" s="475"/>
      <c r="CJ153" s="475"/>
      <c r="CK153" s="475"/>
      <c r="CL153" s="475"/>
      <c r="CM153" s="475"/>
      <c r="CN153" s="477"/>
      <c r="CO153" s="477"/>
      <c r="CP153" s="477"/>
      <c r="CQ153" s="477"/>
      <c r="CR153" s="477"/>
      <c r="CS153" s="477"/>
      <c r="CT153" s="477"/>
      <c r="CU153" s="477"/>
      <c r="CV153" s="477"/>
      <c r="CW153" s="477"/>
      <c r="CX153" s="477"/>
      <c r="CY153" s="478"/>
      <c r="CZ153" s="478"/>
      <c r="DA153" s="478"/>
      <c r="DB153" s="478"/>
      <c r="DC153" s="478"/>
      <c r="DD153" s="478"/>
      <c r="DE153" s="478"/>
      <c r="DF153" s="478"/>
      <c r="DG153" s="478"/>
      <c r="DH153" s="478"/>
      <c r="DI153" s="478"/>
      <c r="DJ153" s="478"/>
      <c r="DK153" s="478"/>
      <c r="DL153" s="478"/>
      <c r="DM153" s="478"/>
      <c r="DN153" s="478"/>
      <c r="DO153" s="478"/>
      <c r="DP153" s="478"/>
      <c r="DQ153" s="478"/>
      <c r="DR153" s="478"/>
      <c r="DS153" s="478"/>
      <c r="DT153" s="478"/>
      <c r="DU153" s="478"/>
      <c r="DV153" s="478"/>
      <c r="DW153" s="478"/>
      <c r="DX153" s="478"/>
      <c r="DY153" s="478"/>
      <c r="DZ153" s="478"/>
      <c r="EA153" s="477"/>
      <c r="EB153" s="477"/>
    </row>
    <row r="154" spans="1:132" ht="18.899999999999999" customHeight="1">
      <c r="A154" s="473"/>
      <c r="B154" s="473"/>
      <c r="C154" s="474"/>
      <c r="D154" s="474"/>
      <c r="E154" s="474"/>
      <c r="F154" s="473"/>
      <c r="G154" s="473"/>
      <c r="H154" s="475"/>
      <c r="I154" s="473"/>
      <c r="J154" s="473"/>
      <c r="K154" s="473"/>
      <c r="L154" s="473"/>
      <c r="M154" s="475"/>
      <c r="N154" s="475"/>
      <c r="O154" s="475"/>
      <c r="P154" s="475"/>
      <c r="Q154" s="475"/>
      <c r="R154" s="475"/>
      <c r="S154" s="475"/>
      <c r="T154" s="475"/>
      <c r="U154" s="475"/>
      <c r="V154" s="475"/>
      <c r="W154" s="475"/>
      <c r="X154" s="475"/>
      <c r="Y154" s="475"/>
      <c r="Z154" s="475"/>
      <c r="AA154" s="475"/>
      <c r="AB154" s="475"/>
      <c r="AC154" s="475"/>
      <c r="AD154" s="475"/>
      <c r="AE154" s="475"/>
      <c r="AF154" s="475"/>
      <c r="AG154" s="475"/>
      <c r="AH154" s="475"/>
      <c r="AI154" s="475"/>
      <c r="AJ154" s="475"/>
      <c r="AK154" s="475"/>
      <c r="AL154" s="475"/>
      <c r="AM154" s="475"/>
      <c r="AN154" s="475"/>
      <c r="AO154" s="473"/>
      <c r="AP154" s="473"/>
      <c r="AQ154" s="473"/>
      <c r="AR154" s="473"/>
      <c r="AS154" s="473"/>
      <c r="AT154" s="473"/>
      <c r="AU154" s="473"/>
      <c r="AV154" s="473"/>
      <c r="AW154" s="473"/>
      <c r="AX154" s="473"/>
      <c r="AY154" s="473"/>
      <c r="AZ154" s="473"/>
      <c r="BA154" s="473"/>
      <c r="BB154" s="475"/>
      <c r="BC154" s="475"/>
      <c r="BD154" s="475"/>
      <c r="BE154" s="475"/>
      <c r="BF154" s="475"/>
      <c r="BG154" s="475"/>
      <c r="BH154" s="475"/>
      <c r="BI154" s="475"/>
      <c r="BJ154" s="475"/>
      <c r="BK154" s="475"/>
      <c r="BL154" s="475"/>
      <c r="BM154" s="475"/>
      <c r="BN154" s="475"/>
      <c r="BO154" s="473"/>
      <c r="BP154" s="473"/>
      <c r="BQ154" s="473"/>
      <c r="BR154" s="473"/>
      <c r="BS154" s="475"/>
      <c r="BT154" s="475"/>
      <c r="BU154" s="475"/>
      <c r="BV154" s="475"/>
      <c r="BW154" s="475"/>
      <c r="BX154" s="475"/>
      <c r="BY154" s="475"/>
      <c r="BZ154" s="475"/>
      <c r="CA154" s="475"/>
      <c r="CB154" s="475"/>
      <c r="CC154" s="475"/>
      <c r="CD154" s="475"/>
      <c r="CE154" s="475"/>
      <c r="CF154" s="475"/>
      <c r="CG154" s="475"/>
      <c r="CH154" s="475"/>
      <c r="CI154" s="475"/>
      <c r="CJ154" s="475"/>
      <c r="CK154" s="475"/>
      <c r="CL154" s="475"/>
      <c r="CM154" s="475"/>
      <c r="CN154" s="477"/>
      <c r="CO154" s="477"/>
      <c r="CP154" s="477"/>
      <c r="CQ154" s="477"/>
      <c r="CR154" s="477"/>
      <c r="CS154" s="477"/>
      <c r="CT154" s="477"/>
      <c r="CU154" s="477"/>
      <c r="CV154" s="477"/>
      <c r="CW154" s="477"/>
      <c r="CX154" s="477"/>
      <c r="CY154" s="478"/>
      <c r="CZ154" s="478"/>
      <c r="DA154" s="478"/>
      <c r="DB154" s="478"/>
      <c r="DC154" s="478"/>
      <c r="DD154" s="478"/>
      <c r="DE154" s="478"/>
      <c r="DF154" s="478"/>
      <c r="DG154" s="478"/>
      <c r="DH154" s="478"/>
      <c r="DI154" s="478"/>
      <c r="DJ154" s="478"/>
      <c r="DK154" s="478"/>
      <c r="DL154" s="478"/>
      <c r="DM154" s="478"/>
      <c r="DN154" s="478"/>
      <c r="DO154" s="478"/>
      <c r="DP154" s="478"/>
      <c r="DQ154" s="478"/>
      <c r="DR154" s="478"/>
      <c r="DS154" s="478"/>
      <c r="DT154" s="478"/>
      <c r="DU154" s="478"/>
      <c r="DV154" s="478"/>
      <c r="DW154" s="478"/>
      <c r="DX154" s="478"/>
      <c r="DY154" s="478"/>
      <c r="DZ154" s="478"/>
      <c r="EA154" s="477"/>
      <c r="EB154" s="477"/>
    </row>
    <row r="155" spans="1:132" ht="18.899999999999999" customHeight="1">
      <c r="A155" s="473"/>
      <c r="B155" s="473"/>
      <c r="C155" s="474"/>
      <c r="D155" s="474"/>
      <c r="E155" s="474"/>
      <c r="F155" s="473"/>
      <c r="G155" s="473"/>
      <c r="H155" s="475"/>
      <c r="I155" s="473"/>
      <c r="J155" s="473"/>
      <c r="K155" s="473"/>
      <c r="L155" s="473"/>
      <c r="M155" s="475"/>
      <c r="N155" s="475"/>
      <c r="O155" s="475"/>
      <c r="P155" s="475"/>
      <c r="Q155" s="475"/>
      <c r="R155" s="475"/>
      <c r="S155" s="475"/>
      <c r="T155" s="475"/>
      <c r="U155" s="475"/>
      <c r="V155" s="475"/>
      <c r="W155" s="475"/>
      <c r="X155" s="475"/>
      <c r="Y155" s="475"/>
      <c r="Z155" s="475"/>
      <c r="AA155" s="475"/>
      <c r="AB155" s="475"/>
      <c r="AC155" s="475"/>
      <c r="AD155" s="475"/>
      <c r="AE155" s="475"/>
      <c r="AF155" s="475"/>
      <c r="AG155" s="475"/>
      <c r="AH155" s="475"/>
      <c r="AI155" s="475"/>
      <c r="AJ155" s="475"/>
      <c r="AK155" s="475"/>
      <c r="AL155" s="475"/>
      <c r="AM155" s="475"/>
      <c r="AN155" s="475"/>
      <c r="AO155" s="473"/>
      <c r="AP155" s="473"/>
      <c r="AQ155" s="473"/>
      <c r="AR155" s="473"/>
      <c r="AS155" s="473"/>
      <c r="AT155" s="473"/>
      <c r="AU155" s="473"/>
      <c r="AV155" s="473"/>
      <c r="AW155" s="473"/>
      <c r="AX155" s="473"/>
      <c r="AY155" s="473"/>
      <c r="AZ155" s="473"/>
      <c r="BA155" s="473"/>
      <c r="BB155" s="475"/>
      <c r="BC155" s="475"/>
      <c r="BD155" s="475"/>
      <c r="BE155" s="475"/>
      <c r="BF155" s="475"/>
      <c r="BG155" s="475"/>
      <c r="BH155" s="475"/>
      <c r="BI155" s="475"/>
      <c r="BJ155" s="475"/>
      <c r="BK155" s="475"/>
      <c r="BL155" s="475"/>
      <c r="BM155" s="475"/>
      <c r="BN155" s="475"/>
      <c r="BO155" s="473"/>
      <c r="BP155" s="473"/>
      <c r="BQ155" s="473"/>
      <c r="BR155" s="473"/>
      <c r="BS155" s="475"/>
      <c r="BT155" s="475"/>
      <c r="BU155" s="475"/>
      <c r="BV155" s="475"/>
      <c r="BW155" s="475"/>
      <c r="BX155" s="475"/>
      <c r="BY155" s="475"/>
      <c r="BZ155" s="475"/>
      <c r="CA155" s="475"/>
      <c r="CB155" s="475"/>
      <c r="CC155" s="475"/>
      <c r="CD155" s="475"/>
      <c r="CE155" s="475"/>
      <c r="CF155" s="475"/>
      <c r="CG155" s="475"/>
      <c r="CH155" s="475"/>
      <c r="CI155" s="475"/>
      <c r="CJ155" s="475"/>
      <c r="CK155" s="475"/>
      <c r="CL155" s="475"/>
      <c r="CM155" s="475"/>
      <c r="CN155" s="477"/>
      <c r="CO155" s="477"/>
      <c r="CP155" s="477"/>
      <c r="CQ155" s="477"/>
      <c r="CR155" s="477"/>
      <c r="CS155" s="477"/>
      <c r="CT155" s="477"/>
      <c r="CU155" s="477"/>
      <c r="CV155" s="477"/>
      <c r="CW155" s="477"/>
      <c r="CX155" s="477"/>
      <c r="CY155" s="478"/>
      <c r="CZ155" s="478"/>
      <c r="DA155" s="478"/>
      <c r="DB155" s="478"/>
      <c r="DC155" s="478"/>
      <c r="DD155" s="478"/>
      <c r="DE155" s="478"/>
      <c r="DF155" s="478"/>
      <c r="DG155" s="478"/>
      <c r="DH155" s="478"/>
      <c r="DI155" s="478"/>
      <c r="DJ155" s="478"/>
      <c r="DK155" s="478"/>
      <c r="DL155" s="478"/>
      <c r="DM155" s="478"/>
      <c r="DN155" s="478"/>
      <c r="DO155" s="478"/>
      <c r="DP155" s="478"/>
      <c r="DQ155" s="478"/>
      <c r="DR155" s="478"/>
      <c r="DS155" s="478"/>
      <c r="DT155" s="478"/>
      <c r="DU155" s="478"/>
      <c r="DV155" s="478"/>
      <c r="DW155" s="478"/>
      <c r="DX155" s="478"/>
      <c r="DY155" s="478"/>
      <c r="DZ155" s="478"/>
      <c r="EA155" s="477"/>
      <c r="EB155" s="477"/>
    </row>
    <row r="156" spans="1:132" ht="18.899999999999999" customHeight="1">
      <c r="A156" s="473"/>
      <c r="B156" s="473"/>
      <c r="C156" s="474"/>
      <c r="D156" s="474"/>
      <c r="E156" s="474"/>
      <c r="F156" s="473"/>
      <c r="G156" s="473"/>
      <c r="H156" s="475"/>
      <c r="I156" s="473"/>
      <c r="J156" s="473"/>
      <c r="K156" s="473"/>
      <c r="L156" s="473"/>
      <c r="M156" s="475"/>
      <c r="N156" s="475"/>
      <c r="O156" s="475"/>
      <c r="P156" s="475"/>
      <c r="Q156" s="475"/>
      <c r="R156" s="475"/>
      <c r="S156" s="475"/>
      <c r="T156" s="475"/>
      <c r="U156" s="475"/>
      <c r="V156" s="475"/>
      <c r="W156" s="475"/>
      <c r="X156" s="475"/>
      <c r="Y156" s="475"/>
      <c r="Z156" s="475"/>
      <c r="AA156" s="475"/>
      <c r="AB156" s="475"/>
      <c r="AC156" s="475"/>
      <c r="AD156" s="475"/>
      <c r="AE156" s="475"/>
      <c r="AF156" s="475"/>
      <c r="AG156" s="475"/>
      <c r="AH156" s="475"/>
      <c r="AI156" s="475"/>
      <c r="AJ156" s="475"/>
      <c r="AK156" s="475"/>
      <c r="AL156" s="475"/>
      <c r="AM156" s="475"/>
      <c r="AN156" s="475"/>
      <c r="AO156" s="473"/>
      <c r="AP156" s="473"/>
      <c r="AQ156" s="473"/>
      <c r="AR156" s="473"/>
      <c r="AS156" s="473"/>
      <c r="AT156" s="473"/>
      <c r="AU156" s="473"/>
      <c r="AV156" s="473"/>
      <c r="AW156" s="473"/>
      <c r="AX156" s="473"/>
      <c r="AY156" s="473"/>
      <c r="AZ156" s="473"/>
      <c r="BA156" s="473"/>
      <c r="BB156" s="475"/>
      <c r="BC156" s="475"/>
      <c r="BD156" s="475"/>
      <c r="BE156" s="475"/>
      <c r="BF156" s="475"/>
      <c r="BG156" s="475"/>
      <c r="BH156" s="475"/>
      <c r="BI156" s="475"/>
      <c r="BJ156" s="475"/>
      <c r="BK156" s="475"/>
      <c r="BL156" s="475"/>
      <c r="BM156" s="475"/>
      <c r="BN156" s="475"/>
      <c r="BO156" s="473"/>
      <c r="BP156" s="473"/>
      <c r="BQ156" s="473"/>
      <c r="BR156" s="473"/>
      <c r="BS156" s="475"/>
      <c r="BT156" s="475"/>
      <c r="BU156" s="475"/>
      <c r="BV156" s="475"/>
      <c r="BW156" s="475"/>
      <c r="BX156" s="475"/>
      <c r="BY156" s="475"/>
      <c r="BZ156" s="475"/>
      <c r="CA156" s="475"/>
      <c r="CB156" s="475"/>
      <c r="CC156" s="475"/>
      <c r="CD156" s="475"/>
      <c r="CE156" s="475"/>
      <c r="CF156" s="475"/>
      <c r="CG156" s="475"/>
      <c r="CH156" s="475"/>
      <c r="CI156" s="475"/>
      <c r="CJ156" s="475"/>
      <c r="CK156" s="475"/>
      <c r="CL156" s="475"/>
      <c r="CM156" s="475"/>
      <c r="CN156" s="477"/>
      <c r="CO156" s="477"/>
      <c r="CP156" s="477"/>
      <c r="CQ156" s="477"/>
      <c r="CR156" s="477"/>
      <c r="CS156" s="477"/>
      <c r="CT156" s="477"/>
      <c r="CU156" s="477"/>
      <c r="CV156" s="477"/>
      <c r="CW156" s="477"/>
      <c r="CX156" s="477"/>
      <c r="CY156" s="478"/>
      <c r="CZ156" s="478"/>
      <c r="DA156" s="478"/>
      <c r="DB156" s="478"/>
      <c r="DC156" s="478"/>
      <c r="DD156" s="478"/>
      <c r="DE156" s="478"/>
      <c r="DF156" s="478"/>
      <c r="DG156" s="478"/>
      <c r="DH156" s="478"/>
      <c r="DI156" s="478"/>
      <c r="DJ156" s="478"/>
      <c r="DK156" s="478"/>
      <c r="DL156" s="478"/>
      <c r="DM156" s="478"/>
      <c r="DN156" s="478"/>
      <c r="DO156" s="478"/>
      <c r="DP156" s="478"/>
      <c r="DQ156" s="478"/>
      <c r="DR156" s="478"/>
      <c r="DS156" s="478"/>
      <c r="DT156" s="478"/>
      <c r="DU156" s="478"/>
      <c r="DV156" s="478"/>
      <c r="DW156" s="478"/>
      <c r="DX156" s="478"/>
      <c r="DY156" s="478"/>
      <c r="DZ156" s="478"/>
      <c r="EA156" s="477"/>
      <c r="EB156" s="477"/>
    </row>
    <row r="157" spans="1:132" ht="18.899999999999999" customHeight="1">
      <c r="A157" s="473"/>
      <c r="B157" s="473"/>
      <c r="C157" s="474"/>
      <c r="D157" s="474"/>
      <c r="E157" s="474"/>
      <c r="F157" s="473"/>
      <c r="G157" s="473"/>
      <c r="H157" s="475"/>
      <c r="I157" s="473"/>
      <c r="J157" s="473"/>
      <c r="K157" s="473"/>
      <c r="L157" s="473"/>
      <c r="M157" s="475"/>
      <c r="N157" s="475"/>
      <c r="O157" s="475"/>
      <c r="P157" s="475"/>
      <c r="Q157" s="475"/>
      <c r="R157" s="475"/>
      <c r="S157" s="475"/>
      <c r="T157" s="475"/>
      <c r="U157" s="475"/>
      <c r="V157" s="475"/>
      <c r="W157" s="475"/>
      <c r="X157" s="475"/>
      <c r="Y157" s="475"/>
      <c r="Z157" s="475"/>
      <c r="AA157" s="475"/>
      <c r="AB157" s="475"/>
      <c r="AC157" s="475"/>
      <c r="AD157" s="475"/>
      <c r="AE157" s="475"/>
      <c r="AF157" s="475"/>
      <c r="AG157" s="475"/>
      <c r="AH157" s="475"/>
      <c r="AI157" s="475"/>
      <c r="AJ157" s="475"/>
      <c r="AK157" s="475"/>
      <c r="AL157" s="475"/>
      <c r="AM157" s="475"/>
      <c r="AN157" s="475"/>
      <c r="AO157" s="473"/>
      <c r="AP157" s="473"/>
      <c r="AQ157" s="473"/>
      <c r="AR157" s="473"/>
      <c r="AS157" s="473"/>
      <c r="AT157" s="473"/>
      <c r="AU157" s="473"/>
      <c r="AV157" s="473"/>
      <c r="AW157" s="473"/>
      <c r="AX157" s="473"/>
      <c r="AY157" s="473"/>
      <c r="AZ157" s="473"/>
      <c r="BA157" s="473"/>
      <c r="BB157" s="475"/>
      <c r="BC157" s="475"/>
      <c r="BD157" s="475"/>
      <c r="BE157" s="475"/>
      <c r="BF157" s="475"/>
      <c r="BG157" s="475"/>
      <c r="BH157" s="475"/>
      <c r="BI157" s="475"/>
      <c r="BJ157" s="475"/>
      <c r="BK157" s="475"/>
      <c r="BL157" s="475"/>
      <c r="BM157" s="475"/>
      <c r="BN157" s="475"/>
      <c r="BO157" s="473"/>
      <c r="BP157" s="473"/>
      <c r="BQ157" s="473"/>
      <c r="BR157" s="473"/>
      <c r="BS157" s="475"/>
      <c r="BT157" s="475"/>
      <c r="BU157" s="475"/>
      <c r="BV157" s="475"/>
      <c r="BW157" s="475"/>
      <c r="BX157" s="475"/>
      <c r="BY157" s="475"/>
      <c r="BZ157" s="475"/>
      <c r="CA157" s="475"/>
      <c r="CB157" s="475"/>
      <c r="CC157" s="475"/>
      <c r="CD157" s="475"/>
      <c r="CE157" s="475"/>
      <c r="CF157" s="475"/>
      <c r="CG157" s="475"/>
      <c r="CH157" s="475"/>
      <c r="CI157" s="475"/>
      <c r="CJ157" s="475"/>
      <c r="CK157" s="475"/>
      <c r="CL157" s="475"/>
      <c r="CM157" s="475"/>
      <c r="CN157" s="477"/>
      <c r="CO157" s="477"/>
      <c r="CP157" s="477"/>
      <c r="CQ157" s="477"/>
      <c r="CR157" s="477"/>
      <c r="CS157" s="477"/>
      <c r="CT157" s="477"/>
      <c r="CU157" s="477"/>
      <c r="CV157" s="477"/>
      <c r="CW157" s="477"/>
      <c r="CX157" s="477"/>
      <c r="CY157" s="478"/>
      <c r="CZ157" s="478"/>
      <c r="DA157" s="478"/>
      <c r="DB157" s="478"/>
      <c r="DC157" s="478"/>
      <c r="DD157" s="478"/>
      <c r="DE157" s="478"/>
      <c r="DF157" s="478"/>
      <c r="DG157" s="478"/>
      <c r="DH157" s="478"/>
      <c r="DI157" s="478"/>
      <c r="DJ157" s="478"/>
      <c r="DK157" s="478"/>
      <c r="DL157" s="478"/>
      <c r="DM157" s="478"/>
      <c r="DN157" s="478"/>
      <c r="DO157" s="478"/>
      <c r="DP157" s="478"/>
      <c r="DQ157" s="478"/>
      <c r="DR157" s="478"/>
      <c r="DS157" s="478"/>
      <c r="DT157" s="478"/>
      <c r="DU157" s="478"/>
      <c r="DV157" s="478"/>
      <c r="DW157" s="478"/>
      <c r="DX157" s="478"/>
      <c r="DY157" s="478"/>
      <c r="DZ157" s="478"/>
      <c r="EA157" s="477"/>
      <c r="EB157" s="477"/>
    </row>
    <row r="158" spans="1:132" ht="18.899999999999999" customHeight="1">
      <c r="A158" s="473"/>
      <c r="B158" s="473"/>
      <c r="C158" s="474"/>
      <c r="D158" s="474"/>
      <c r="E158" s="474"/>
      <c r="F158" s="473"/>
      <c r="G158" s="473"/>
      <c r="H158" s="475"/>
      <c r="I158" s="473"/>
      <c r="J158" s="473"/>
      <c r="K158" s="473"/>
      <c r="L158" s="473"/>
      <c r="M158" s="475"/>
      <c r="N158" s="475"/>
      <c r="O158" s="475"/>
      <c r="P158" s="475"/>
      <c r="Q158" s="475"/>
      <c r="R158" s="475"/>
      <c r="S158" s="475"/>
      <c r="T158" s="475"/>
      <c r="U158" s="475"/>
      <c r="V158" s="475"/>
      <c r="W158" s="475"/>
      <c r="X158" s="475"/>
      <c r="Y158" s="475"/>
      <c r="Z158" s="475"/>
      <c r="AA158" s="475"/>
      <c r="AB158" s="475"/>
      <c r="AC158" s="475"/>
      <c r="AD158" s="475"/>
      <c r="AE158" s="475"/>
      <c r="AF158" s="475"/>
      <c r="AG158" s="475"/>
      <c r="AH158" s="475"/>
      <c r="AI158" s="475"/>
      <c r="AJ158" s="475"/>
      <c r="AK158" s="475"/>
      <c r="AL158" s="475"/>
      <c r="AM158" s="475"/>
      <c r="AN158" s="475"/>
      <c r="AO158" s="473"/>
      <c r="AP158" s="473"/>
      <c r="AQ158" s="473"/>
      <c r="AR158" s="473"/>
      <c r="AS158" s="473"/>
      <c r="AT158" s="473"/>
      <c r="AU158" s="473"/>
      <c r="AV158" s="473"/>
      <c r="AW158" s="473"/>
      <c r="AX158" s="473"/>
      <c r="AY158" s="473"/>
      <c r="AZ158" s="473"/>
      <c r="BA158" s="473"/>
      <c r="BB158" s="475"/>
      <c r="BC158" s="475"/>
      <c r="BD158" s="475"/>
      <c r="BE158" s="475"/>
      <c r="BF158" s="475"/>
      <c r="BG158" s="475"/>
      <c r="BH158" s="475"/>
      <c r="BI158" s="475"/>
      <c r="BJ158" s="475"/>
      <c r="BK158" s="475"/>
      <c r="BL158" s="475"/>
      <c r="BM158" s="475"/>
      <c r="BN158" s="475"/>
      <c r="BO158" s="473"/>
      <c r="BP158" s="473"/>
      <c r="BQ158" s="473"/>
      <c r="BR158" s="473"/>
      <c r="BS158" s="475"/>
      <c r="BT158" s="475"/>
      <c r="BU158" s="475"/>
      <c r="BV158" s="475"/>
      <c r="BW158" s="475"/>
      <c r="BX158" s="475"/>
      <c r="BY158" s="475"/>
      <c r="BZ158" s="475"/>
      <c r="CA158" s="475"/>
      <c r="CB158" s="475"/>
      <c r="CC158" s="475"/>
      <c r="CD158" s="475"/>
      <c r="CE158" s="475"/>
      <c r="CF158" s="475"/>
      <c r="CG158" s="475"/>
      <c r="CH158" s="475"/>
      <c r="CI158" s="475"/>
      <c r="CJ158" s="475"/>
      <c r="CK158" s="475"/>
      <c r="CL158" s="475"/>
      <c r="CM158" s="475"/>
      <c r="CN158" s="477"/>
      <c r="CO158" s="477"/>
      <c r="CP158" s="477"/>
      <c r="CQ158" s="477"/>
      <c r="CR158" s="477"/>
      <c r="CS158" s="477"/>
      <c r="CT158" s="477"/>
      <c r="CU158" s="477"/>
      <c r="CV158" s="477"/>
      <c r="CW158" s="477"/>
      <c r="CX158" s="477"/>
      <c r="CY158" s="478"/>
      <c r="CZ158" s="478"/>
      <c r="DA158" s="478"/>
      <c r="DB158" s="478"/>
      <c r="DC158" s="478"/>
      <c r="DD158" s="478"/>
      <c r="DE158" s="478"/>
      <c r="DF158" s="478"/>
      <c r="DG158" s="478"/>
      <c r="DH158" s="478"/>
      <c r="DI158" s="478"/>
      <c r="DJ158" s="478"/>
      <c r="DK158" s="478"/>
      <c r="DL158" s="478"/>
      <c r="DM158" s="478"/>
      <c r="DN158" s="478"/>
      <c r="DO158" s="478"/>
      <c r="DP158" s="478"/>
      <c r="DQ158" s="478"/>
      <c r="DR158" s="478"/>
      <c r="DS158" s="478"/>
      <c r="DT158" s="478"/>
      <c r="DU158" s="478"/>
      <c r="DV158" s="478"/>
      <c r="DW158" s="478"/>
      <c r="DX158" s="478"/>
      <c r="DY158" s="478"/>
      <c r="DZ158" s="478"/>
      <c r="EA158" s="477"/>
      <c r="EB158" s="477"/>
    </row>
    <row r="159" spans="1:132" ht="18.899999999999999" customHeight="1">
      <c r="A159" s="473"/>
      <c r="B159" s="473"/>
      <c r="C159" s="474"/>
      <c r="D159" s="474"/>
      <c r="E159" s="474"/>
      <c r="F159" s="473"/>
      <c r="G159" s="473"/>
      <c r="H159" s="475"/>
      <c r="I159" s="473"/>
      <c r="J159" s="473"/>
      <c r="K159" s="473"/>
      <c r="L159" s="473"/>
      <c r="M159" s="475"/>
      <c r="N159" s="475"/>
      <c r="O159" s="475"/>
      <c r="P159" s="475"/>
      <c r="Q159" s="475"/>
      <c r="R159" s="475"/>
      <c r="S159" s="475"/>
      <c r="T159" s="475"/>
      <c r="U159" s="475"/>
      <c r="V159" s="475"/>
      <c r="W159" s="475"/>
      <c r="X159" s="475"/>
      <c r="Y159" s="475"/>
      <c r="Z159" s="475"/>
      <c r="AA159" s="475"/>
      <c r="AB159" s="475"/>
      <c r="AC159" s="475"/>
      <c r="AD159" s="475"/>
      <c r="AE159" s="475"/>
      <c r="AF159" s="475"/>
      <c r="AG159" s="475"/>
      <c r="AH159" s="475"/>
      <c r="AI159" s="475"/>
      <c r="AJ159" s="475"/>
      <c r="AK159" s="475"/>
      <c r="AL159" s="475"/>
      <c r="AM159" s="475"/>
      <c r="AN159" s="475"/>
      <c r="AO159" s="473"/>
      <c r="AP159" s="473"/>
      <c r="AQ159" s="473"/>
      <c r="AR159" s="473"/>
      <c r="AS159" s="473"/>
      <c r="AT159" s="473"/>
      <c r="AU159" s="473"/>
      <c r="AV159" s="473"/>
      <c r="AW159" s="473"/>
      <c r="AX159" s="473"/>
      <c r="AY159" s="473"/>
      <c r="AZ159" s="473"/>
      <c r="BA159" s="473"/>
      <c r="BB159" s="475"/>
      <c r="BC159" s="475"/>
      <c r="BD159" s="475"/>
      <c r="BE159" s="475"/>
      <c r="BF159" s="475"/>
      <c r="BG159" s="475"/>
      <c r="BH159" s="475"/>
      <c r="BI159" s="475"/>
      <c r="BJ159" s="475"/>
      <c r="BK159" s="475"/>
      <c r="BL159" s="475"/>
      <c r="BM159" s="475"/>
      <c r="BN159" s="475"/>
      <c r="BO159" s="473"/>
      <c r="BP159" s="473"/>
      <c r="BQ159" s="473"/>
      <c r="BR159" s="473"/>
      <c r="BS159" s="475"/>
      <c r="BT159" s="475"/>
      <c r="BU159" s="475"/>
      <c r="BV159" s="475"/>
      <c r="BW159" s="475"/>
      <c r="BX159" s="475"/>
      <c r="BY159" s="475"/>
      <c r="BZ159" s="475"/>
      <c r="CA159" s="475"/>
      <c r="CB159" s="475"/>
      <c r="CC159" s="475"/>
      <c r="CD159" s="475"/>
      <c r="CE159" s="475"/>
      <c r="CF159" s="475"/>
      <c r="CG159" s="475"/>
      <c r="CH159" s="475"/>
      <c r="CI159" s="475"/>
      <c r="CJ159" s="475"/>
      <c r="CK159" s="475"/>
      <c r="CL159" s="475"/>
      <c r="CM159" s="475"/>
      <c r="CN159" s="477"/>
      <c r="CO159" s="477"/>
      <c r="CP159" s="477"/>
      <c r="CQ159" s="477"/>
      <c r="CR159" s="477"/>
      <c r="CS159" s="477"/>
      <c r="CT159" s="477"/>
      <c r="CU159" s="477"/>
      <c r="CV159" s="477"/>
      <c r="CW159" s="477"/>
      <c r="CX159" s="477"/>
      <c r="CY159" s="478"/>
      <c r="CZ159" s="478"/>
      <c r="DA159" s="478"/>
      <c r="DB159" s="478"/>
      <c r="DC159" s="478"/>
      <c r="DD159" s="478"/>
      <c r="DE159" s="478"/>
      <c r="DF159" s="478"/>
      <c r="DG159" s="478"/>
      <c r="DH159" s="478"/>
      <c r="DI159" s="478"/>
      <c r="DJ159" s="478"/>
      <c r="DK159" s="478"/>
      <c r="DL159" s="478"/>
      <c r="DM159" s="478"/>
      <c r="DN159" s="478"/>
      <c r="DO159" s="478"/>
      <c r="DP159" s="478"/>
      <c r="DQ159" s="478"/>
      <c r="DR159" s="478"/>
      <c r="DS159" s="478"/>
      <c r="DT159" s="478"/>
      <c r="DU159" s="478"/>
      <c r="DV159" s="478"/>
      <c r="DW159" s="478"/>
      <c r="DX159" s="478"/>
      <c r="DY159" s="478"/>
      <c r="DZ159" s="478"/>
      <c r="EA159" s="477"/>
      <c r="EB159" s="477"/>
    </row>
    <row r="160" spans="1:132" ht="18.899999999999999" customHeight="1">
      <c r="A160" s="473"/>
      <c r="B160" s="473"/>
      <c r="C160" s="474"/>
      <c r="D160" s="474"/>
      <c r="E160" s="474"/>
      <c r="F160" s="473"/>
      <c r="G160" s="473"/>
      <c r="H160" s="475"/>
      <c r="I160" s="473"/>
      <c r="J160" s="473"/>
      <c r="K160" s="473"/>
      <c r="L160" s="473"/>
      <c r="M160" s="475"/>
      <c r="N160" s="475"/>
      <c r="O160" s="475"/>
      <c r="P160" s="475"/>
      <c r="Q160" s="475"/>
      <c r="R160" s="475"/>
      <c r="S160" s="475"/>
      <c r="T160" s="475"/>
      <c r="U160" s="475"/>
      <c r="V160" s="475"/>
      <c r="W160" s="475"/>
      <c r="X160" s="475"/>
      <c r="Y160" s="475"/>
      <c r="Z160" s="475"/>
      <c r="AA160" s="475"/>
      <c r="AB160" s="475"/>
      <c r="AC160" s="475"/>
      <c r="AD160" s="475"/>
      <c r="AE160" s="475"/>
      <c r="AF160" s="475"/>
      <c r="AG160" s="475"/>
      <c r="AH160" s="475"/>
      <c r="AI160" s="475"/>
      <c r="AJ160" s="475"/>
      <c r="AK160" s="475"/>
      <c r="AL160" s="475"/>
      <c r="AM160" s="475"/>
      <c r="AN160" s="475"/>
      <c r="AO160" s="473"/>
      <c r="AP160" s="473"/>
      <c r="AQ160" s="473"/>
      <c r="AR160" s="473"/>
      <c r="AS160" s="473"/>
      <c r="AT160" s="473"/>
      <c r="AU160" s="473"/>
      <c r="AV160" s="473"/>
      <c r="AW160" s="473"/>
      <c r="AX160" s="473"/>
      <c r="AY160" s="473"/>
      <c r="AZ160" s="473"/>
      <c r="BA160" s="473"/>
      <c r="BB160" s="475"/>
      <c r="BC160" s="475"/>
      <c r="BD160" s="475"/>
      <c r="BE160" s="475"/>
      <c r="BF160" s="475"/>
      <c r="BG160" s="475"/>
      <c r="BH160" s="475"/>
      <c r="BI160" s="475"/>
      <c r="BJ160" s="475"/>
      <c r="BK160" s="475"/>
      <c r="BL160" s="475"/>
      <c r="BM160" s="475"/>
      <c r="BN160" s="475"/>
      <c r="BO160" s="473"/>
      <c r="BP160" s="473"/>
      <c r="BQ160" s="473"/>
      <c r="BR160" s="473"/>
      <c r="BS160" s="475"/>
      <c r="BT160" s="475"/>
      <c r="BU160" s="475"/>
      <c r="BV160" s="475"/>
      <c r="BW160" s="475"/>
      <c r="BX160" s="475"/>
      <c r="BY160" s="475"/>
      <c r="BZ160" s="475"/>
      <c r="CA160" s="475"/>
      <c r="CB160" s="475"/>
      <c r="CC160" s="475"/>
      <c r="CD160" s="475"/>
      <c r="CE160" s="475"/>
      <c r="CF160" s="475"/>
      <c r="CG160" s="475"/>
      <c r="CH160" s="475"/>
      <c r="CI160" s="475"/>
      <c r="CJ160" s="475"/>
      <c r="CK160" s="475"/>
      <c r="CL160" s="475"/>
      <c r="CM160" s="475"/>
      <c r="CN160" s="477"/>
      <c r="CO160" s="477"/>
      <c r="CP160" s="477"/>
      <c r="CQ160" s="477"/>
      <c r="CR160" s="477"/>
      <c r="CS160" s="477"/>
      <c r="CT160" s="477"/>
      <c r="CU160" s="477"/>
      <c r="CV160" s="477"/>
      <c r="CW160" s="477"/>
      <c r="CX160" s="477"/>
      <c r="CY160" s="478"/>
      <c r="CZ160" s="478"/>
      <c r="DA160" s="478"/>
      <c r="DB160" s="478"/>
      <c r="DC160" s="478"/>
      <c r="DD160" s="478"/>
      <c r="DE160" s="478"/>
      <c r="DF160" s="478"/>
      <c r="DG160" s="478"/>
      <c r="DH160" s="478"/>
      <c r="DI160" s="478"/>
      <c r="DJ160" s="478"/>
      <c r="DK160" s="478"/>
      <c r="DL160" s="478"/>
      <c r="DM160" s="478"/>
      <c r="DN160" s="478"/>
      <c r="DO160" s="478"/>
      <c r="DP160" s="478"/>
      <c r="DQ160" s="478"/>
      <c r="DR160" s="478"/>
      <c r="DS160" s="478"/>
      <c r="DT160" s="478"/>
      <c r="DU160" s="478"/>
      <c r="DV160" s="478"/>
      <c r="DW160" s="478"/>
      <c r="DX160" s="478"/>
      <c r="DY160" s="478"/>
      <c r="DZ160" s="478"/>
      <c r="EA160" s="477"/>
      <c r="EB160" s="477"/>
    </row>
    <row r="161" spans="1:132" ht="18.899999999999999" customHeight="1">
      <c r="A161" s="473"/>
      <c r="B161" s="473"/>
      <c r="C161" s="474"/>
      <c r="D161" s="474"/>
      <c r="E161" s="474"/>
      <c r="F161" s="473"/>
      <c r="G161" s="473"/>
      <c r="H161" s="475"/>
      <c r="I161" s="473"/>
      <c r="J161" s="473"/>
      <c r="K161" s="473"/>
      <c r="L161" s="473"/>
      <c r="M161" s="475"/>
      <c r="N161" s="475"/>
      <c r="O161" s="475"/>
      <c r="P161" s="475"/>
      <c r="Q161" s="475"/>
      <c r="R161" s="475"/>
      <c r="S161" s="475"/>
      <c r="T161" s="475"/>
      <c r="U161" s="475"/>
      <c r="V161" s="475"/>
      <c r="W161" s="475"/>
      <c r="X161" s="475"/>
      <c r="Y161" s="475"/>
      <c r="Z161" s="475"/>
      <c r="AA161" s="475"/>
      <c r="AB161" s="475"/>
      <c r="AC161" s="475"/>
      <c r="AD161" s="475"/>
      <c r="AE161" s="475"/>
      <c r="AF161" s="475"/>
      <c r="AG161" s="475"/>
      <c r="AH161" s="475"/>
      <c r="AI161" s="475"/>
      <c r="AJ161" s="475"/>
      <c r="AK161" s="475"/>
      <c r="AL161" s="475"/>
      <c r="AM161" s="475"/>
      <c r="AN161" s="475"/>
      <c r="AO161" s="473"/>
      <c r="AP161" s="473"/>
      <c r="AQ161" s="473"/>
      <c r="AR161" s="473"/>
      <c r="AS161" s="473"/>
      <c r="AT161" s="473"/>
      <c r="AU161" s="473"/>
      <c r="AV161" s="473"/>
      <c r="AW161" s="473"/>
      <c r="AX161" s="473"/>
      <c r="AY161" s="473"/>
      <c r="AZ161" s="473"/>
      <c r="BA161" s="473"/>
      <c r="BB161" s="475"/>
      <c r="BC161" s="475"/>
      <c r="BD161" s="475"/>
      <c r="BE161" s="475"/>
      <c r="BF161" s="475"/>
      <c r="BG161" s="475"/>
      <c r="BH161" s="475"/>
      <c r="BI161" s="475"/>
      <c r="BJ161" s="475"/>
      <c r="BK161" s="475"/>
      <c r="BL161" s="475"/>
      <c r="BM161" s="475"/>
      <c r="BN161" s="475"/>
      <c r="BO161" s="473"/>
      <c r="BP161" s="473"/>
      <c r="BQ161" s="473"/>
      <c r="BR161" s="473"/>
      <c r="BS161" s="475"/>
      <c r="BT161" s="475"/>
      <c r="BU161" s="475"/>
      <c r="BV161" s="475"/>
      <c r="BW161" s="475"/>
      <c r="BX161" s="475"/>
      <c r="BY161" s="475"/>
      <c r="BZ161" s="475"/>
      <c r="CA161" s="475"/>
      <c r="CB161" s="475"/>
      <c r="CC161" s="475"/>
      <c r="CD161" s="475"/>
      <c r="CE161" s="475"/>
      <c r="CF161" s="475"/>
      <c r="CG161" s="475"/>
      <c r="CH161" s="475"/>
      <c r="CI161" s="475"/>
      <c r="CJ161" s="475"/>
      <c r="CK161" s="475"/>
      <c r="CL161" s="475"/>
      <c r="CM161" s="475"/>
      <c r="CN161" s="477"/>
      <c r="CO161" s="477"/>
      <c r="CP161" s="477"/>
      <c r="CQ161" s="477"/>
      <c r="CR161" s="477"/>
      <c r="CS161" s="477"/>
      <c r="CT161" s="477"/>
      <c r="CU161" s="477"/>
      <c r="CV161" s="477"/>
      <c r="CW161" s="477"/>
      <c r="CX161" s="477"/>
      <c r="CY161" s="478"/>
      <c r="CZ161" s="478"/>
      <c r="DA161" s="478"/>
      <c r="DB161" s="478"/>
      <c r="DC161" s="478"/>
      <c r="DD161" s="478"/>
      <c r="DE161" s="478"/>
      <c r="DF161" s="478"/>
      <c r="DG161" s="478"/>
      <c r="DH161" s="478"/>
      <c r="DI161" s="478"/>
      <c r="DJ161" s="478"/>
      <c r="DK161" s="478"/>
      <c r="DL161" s="478"/>
      <c r="DM161" s="478"/>
      <c r="DN161" s="478"/>
      <c r="DO161" s="478"/>
      <c r="DP161" s="478"/>
      <c r="DQ161" s="478"/>
      <c r="DR161" s="478"/>
      <c r="DS161" s="478"/>
      <c r="DT161" s="478"/>
      <c r="DU161" s="478"/>
      <c r="DV161" s="478"/>
      <c r="DW161" s="478"/>
      <c r="DX161" s="478"/>
      <c r="DY161" s="478"/>
      <c r="DZ161" s="478"/>
      <c r="EA161" s="477"/>
      <c r="EB161" s="477"/>
    </row>
    <row r="162" spans="1:132" ht="18.899999999999999" customHeight="1">
      <c r="A162" s="473"/>
      <c r="B162" s="473"/>
      <c r="C162" s="474"/>
      <c r="D162" s="474"/>
      <c r="E162" s="474"/>
      <c r="F162" s="473"/>
      <c r="G162" s="473"/>
      <c r="H162" s="475"/>
      <c r="I162" s="473"/>
      <c r="J162" s="473"/>
      <c r="K162" s="473"/>
      <c r="L162" s="473"/>
      <c r="M162" s="475"/>
      <c r="N162" s="475"/>
      <c r="O162" s="475"/>
      <c r="P162" s="475"/>
      <c r="Q162" s="475"/>
      <c r="R162" s="475"/>
      <c r="S162" s="475"/>
      <c r="T162" s="475"/>
      <c r="U162" s="475"/>
      <c r="V162" s="475"/>
      <c r="W162" s="475"/>
      <c r="X162" s="475"/>
      <c r="Y162" s="475"/>
      <c r="Z162" s="475"/>
      <c r="AA162" s="475"/>
      <c r="AB162" s="475"/>
      <c r="AC162" s="475"/>
      <c r="AD162" s="475"/>
      <c r="AE162" s="475"/>
      <c r="AF162" s="475"/>
      <c r="AG162" s="475"/>
      <c r="AH162" s="475"/>
      <c r="AI162" s="475"/>
      <c r="AJ162" s="475"/>
      <c r="AK162" s="475"/>
      <c r="AL162" s="475"/>
      <c r="AM162" s="475"/>
      <c r="AN162" s="475"/>
      <c r="AO162" s="473"/>
      <c r="AP162" s="473"/>
      <c r="AQ162" s="473"/>
      <c r="AR162" s="473"/>
      <c r="AS162" s="473"/>
      <c r="AT162" s="473"/>
      <c r="AU162" s="473"/>
      <c r="AV162" s="473"/>
      <c r="AW162" s="473"/>
      <c r="AX162" s="473"/>
      <c r="AY162" s="473"/>
      <c r="AZ162" s="473"/>
      <c r="BA162" s="473"/>
      <c r="BB162" s="475"/>
      <c r="BC162" s="475"/>
      <c r="BD162" s="475"/>
      <c r="BE162" s="475"/>
      <c r="BF162" s="475"/>
      <c r="BG162" s="475"/>
      <c r="BH162" s="475"/>
      <c r="BI162" s="475"/>
      <c r="BJ162" s="475"/>
      <c r="BK162" s="475"/>
      <c r="BL162" s="475"/>
      <c r="BM162" s="475"/>
      <c r="BN162" s="475"/>
      <c r="BO162" s="473"/>
      <c r="BP162" s="473"/>
      <c r="BQ162" s="473"/>
      <c r="BR162" s="473"/>
      <c r="BS162" s="475"/>
      <c r="BT162" s="475"/>
      <c r="BU162" s="475"/>
      <c r="BV162" s="475"/>
      <c r="BW162" s="475"/>
      <c r="BX162" s="475"/>
      <c r="BY162" s="475"/>
      <c r="BZ162" s="475"/>
      <c r="CA162" s="475"/>
      <c r="CB162" s="475"/>
      <c r="CC162" s="475"/>
      <c r="CD162" s="475"/>
      <c r="CE162" s="475"/>
      <c r="CF162" s="475"/>
      <c r="CG162" s="475"/>
      <c r="CH162" s="475"/>
      <c r="CI162" s="475"/>
      <c r="CJ162" s="475"/>
      <c r="CK162" s="475"/>
      <c r="CL162" s="475"/>
      <c r="CM162" s="475"/>
      <c r="CN162" s="477"/>
      <c r="CO162" s="477"/>
      <c r="CP162" s="477"/>
      <c r="CQ162" s="477"/>
      <c r="CR162" s="477"/>
      <c r="CS162" s="477"/>
      <c r="CT162" s="477"/>
      <c r="CU162" s="477"/>
      <c r="CV162" s="477"/>
      <c r="CW162" s="477"/>
      <c r="CX162" s="477"/>
      <c r="CY162" s="478"/>
      <c r="CZ162" s="478"/>
      <c r="DA162" s="478"/>
      <c r="DB162" s="478"/>
      <c r="DC162" s="478"/>
      <c r="DD162" s="478"/>
      <c r="DE162" s="478"/>
      <c r="DF162" s="478"/>
      <c r="DG162" s="478"/>
      <c r="DH162" s="478"/>
      <c r="DI162" s="478"/>
      <c r="DJ162" s="478"/>
      <c r="DK162" s="478"/>
      <c r="DL162" s="478"/>
      <c r="DM162" s="478"/>
      <c r="DN162" s="478"/>
      <c r="DO162" s="478"/>
      <c r="DP162" s="478"/>
      <c r="DQ162" s="478"/>
      <c r="DR162" s="478"/>
      <c r="DS162" s="478"/>
      <c r="DT162" s="478"/>
      <c r="DU162" s="478"/>
      <c r="DV162" s="478"/>
      <c r="DW162" s="478"/>
      <c r="DX162" s="478"/>
      <c r="DY162" s="478"/>
      <c r="DZ162" s="478"/>
      <c r="EA162" s="477"/>
      <c r="EB162" s="477"/>
    </row>
    <row r="163" spans="1:132" ht="18.899999999999999" customHeight="1">
      <c r="A163" s="473"/>
      <c r="B163" s="473"/>
      <c r="C163" s="474"/>
      <c r="D163" s="474"/>
      <c r="E163" s="474"/>
      <c r="F163" s="473"/>
      <c r="G163" s="473"/>
      <c r="H163" s="475"/>
      <c r="I163" s="473"/>
      <c r="J163" s="473"/>
      <c r="K163" s="473"/>
      <c r="L163" s="473"/>
      <c r="M163" s="475"/>
      <c r="N163" s="475"/>
      <c r="O163" s="475"/>
      <c r="P163" s="475"/>
      <c r="Q163" s="475"/>
      <c r="R163" s="475"/>
      <c r="S163" s="475"/>
      <c r="T163" s="475"/>
      <c r="U163" s="475"/>
      <c r="V163" s="475"/>
      <c r="W163" s="475"/>
      <c r="X163" s="475"/>
      <c r="Y163" s="475"/>
      <c r="Z163" s="475"/>
      <c r="AA163" s="475"/>
      <c r="AB163" s="475"/>
      <c r="AC163" s="475"/>
      <c r="AD163" s="475"/>
      <c r="AE163" s="475"/>
      <c r="AF163" s="475"/>
      <c r="AG163" s="475"/>
      <c r="AH163" s="475"/>
      <c r="AI163" s="475"/>
      <c r="AJ163" s="475"/>
      <c r="AK163" s="475"/>
      <c r="AL163" s="475"/>
      <c r="AM163" s="475"/>
      <c r="AN163" s="475"/>
      <c r="AO163" s="473"/>
      <c r="AP163" s="473"/>
      <c r="AQ163" s="473"/>
      <c r="AR163" s="473"/>
      <c r="AS163" s="473"/>
      <c r="AT163" s="473"/>
      <c r="AU163" s="473"/>
      <c r="AV163" s="473"/>
      <c r="AW163" s="473"/>
      <c r="AX163" s="473"/>
      <c r="AY163" s="473"/>
      <c r="AZ163" s="473"/>
      <c r="BA163" s="473"/>
      <c r="BB163" s="475"/>
      <c r="BC163" s="475"/>
      <c r="BD163" s="475"/>
      <c r="BE163" s="475"/>
      <c r="BF163" s="475"/>
      <c r="BG163" s="475"/>
      <c r="BH163" s="475"/>
      <c r="BI163" s="475"/>
      <c r="BJ163" s="475"/>
      <c r="BK163" s="475"/>
      <c r="BL163" s="475"/>
      <c r="BM163" s="475"/>
      <c r="BN163" s="475"/>
      <c r="BO163" s="473"/>
      <c r="BP163" s="473"/>
      <c r="BQ163" s="473"/>
      <c r="BR163" s="473"/>
      <c r="BS163" s="475"/>
      <c r="BT163" s="475"/>
      <c r="BU163" s="475"/>
      <c r="BV163" s="475"/>
      <c r="BW163" s="475"/>
      <c r="BX163" s="475"/>
      <c r="BY163" s="475"/>
      <c r="BZ163" s="475"/>
      <c r="CA163" s="475"/>
      <c r="CB163" s="475"/>
      <c r="CC163" s="475"/>
      <c r="CD163" s="475"/>
      <c r="CE163" s="475"/>
      <c r="CF163" s="475"/>
      <c r="CG163" s="475"/>
      <c r="CH163" s="475"/>
      <c r="CI163" s="475"/>
      <c r="CJ163" s="475"/>
      <c r="CK163" s="475"/>
      <c r="CL163" s="475"/>
      <c r="CM163" s="475"/>
      <c r="CN163" s="477"/>
      <c r="CO163" s="477"/>
      <c r="CP163" s="477"/>
      <c r="CQ163" s="477"/>
      <c r="CR163" s="477"/>
      <c r="CS163" s="477"/>
      <c r="CT163" s="477"/>
      <c r="CU163" s="477"/>
      <c r="CV163" s="477"/>
      <c r="CW163" s="477"/>
      <c r="CX163" s="477"/>
      <c r="CY163" s="478"/>
      <c r="CZ163" s="478"/>
      <c r="DA163" s="478"/>
      <c r="DB163" s="478"/>
      <c r="DC163" s="478"/>
      <c r="DD163" s="478"/>
      <c r="DE163" s="478"/>
      <c r="DF163" s="478"/>
      <c r="DG163" s="478"/>
      <c r="DH163" s="478"/>
      <c r="DI163" s="478"/>
      <c r="DJ163" s="478"/>
      <c r="DK163" s="478"/>
      <c r="DL163" s="478"/>
      <c r="DM163" s="478"/>
      <c r="DN163" s="478"/>
      <c r="DO163" s="478"/>
      <c r="DP163" s="478"/>
      <c r="DQ163" s="478"/>
      <c r="DR163" s="478"/>
      <c r="DS163" s="478"/>
      <c r="DT163" s="478"/>
      <c r="DU163" s="478"/>
      <c r="DV163" s="478"/>
      <c r="DW163" s="478"/>
      <c r="DX163" s="478"/>
      <c r="DY163" s="478"/>
      <c r="DZ163" s="478"/>
      <c r="EA163" s="477"/>
      <c r="EB163" s="477"/>
    </row>
    <row r="164" spans="1:132" ht="18.899999999999999" customHeight="1">
      <c r="A164" s="473"/>
      <c r="B164" s="473"/>
      <c r="C164" s="474"/>
      <c r="D164" s="474"/>
      <c r="E164" s="474"/>
      <c r="F164" s="473"/>
      <c r="G164" s="473"/>
      <c r="H164" s="475"/>
      <c r="I164" s="473"/>
      <c r="J164" s="473"/>
      <c r="K164" s="473"/>
      <c r="L164" s="473"/>
      <c r="M164" s="475"/>
      <c r="N164" s="475"/>
      <c r="O164" s="475"/>
      <c r="P164" s="475"/>
      <c r="Q164" s="475"/>
      <c r="R164" s="475"/>
      <c r="S164" s="475"/>
      <c r="T164" s="475"/>
      <c r="U164" s="475"/>
      <c r="V164" s="475"/>
      <c r="W164" s="475"/>
      <c r="X164" s="475"/>
      <c r="Y164" s="475"/>
      <c r="Z164" s="475"/>
      <c r="AA164" s="475"/>
      <c r="AB164" s="475"/>
      <c r="AC164" s="475"/>
      <c r="AD164" s="475"/>
      <c r="AE164" s="475"/>
      <c r="AF164" s="475"/>
      <c r="AG164" s="475"/>
      <c r="AH164" s="475"/>
      <c r="AI164" s="475"/>
      <c r="AJ164" s="475"/>
      <c r="AK164" s="475"/>
      <c r="AL164" s="475"/>
      <c r="AM164" s="475"/>
      <c r="AN164" s="475"/>
      <c r="AO164" s="473"/>
      <c r="AP164" s="473"/>
      <c r="AQ164" s="473"/>
      <c r="AR164" s="473"/>
      <c r="AS164" s="473"/>
      <c r="AT164" s="473"/>
      <c r="AU164" s="473"/>
      <c r="AV164" s="473"/>
      <c r="AW164" s="473"/>
      <c r="AX164" s="473"/>
      <c r="AY164" s="473"/>
      <c r="AZ164" s="473"/>
      <c r="BA164" s="473"/>
      <c r="BB164" s="475"/>
      <c r="BC164" s="475"/>
      <c r="BD164" s="475"/>
      <c r="BE164" s="475"/>
      <c r="BF164" s="475"/>
      <c r="BG164" s="475"/>
      <c r="BH164" s="475"/>
      <c r="BI164" s="475"/>
      <c r="BJ164" s="475"/>
      <c r="BK164" s="475"/>
      <c r="BL164" s="475"/>
      <c r="BM164" s="475"/>
      <c r="BN164" s="475"/>
      <c r="BO164" s="473"/>
      <c r="BP164" s="473"/>
      <c r="BQ164" s="473"/>
      <c r="BR164" s="473"/>
      <c r="BS164" s="475"/>
      <c r="BT164" s="475"/>
      <c r="BU164" s="475"/>
      <c r="BV164" s="475"/>
      <c r="BW164" s="475"/>
      <c r="BX164" s="475"/>
      <c r="BY164" s="475"/>
      <c r="BZ164" s="475"/>
      <c r="CA164" s="475"/>
      <c r="CB164" s="475"/>
      <c r="CC164" s="475"/>
      <c r="CD164" s="475"/>
      <c r="CE164" s="475"/>
      <c r="CF164" s="475"/>
      <c r="CG164" s="475"/>
      <c r="CH164" s="475"/>
      <c r="CI164" s="475"/>
      <c r="CJ164" s="475"/>
      <c r="CK164" s="475"/>
      <c r="CL164" s="475"/>
      <c r="CM164" s="475"/>
      <c r="CN164" s="477"/>
      <c r="CO164" s="477"/>
      <c r="CP164" s="477"/>
      <c r="CQ164" s="477"/>
      <c r="CR164" s="477"/>
      <c r="CS164" s="477"/>
      <c r="CT164" s="477"/>
      <c r="CU164" s="477"/>
      <c r="CV164" s="477"/>
      <c r="CW164" s="477"/>
      <c r="CX164" s="477"/>
      <c r="CY164" s="478"/>
      <c r="CZ164" s="478"/>
      <c r="DA164" s="478"/>
      <c r="DB164" s="478"/>
      <c r="DC164" s="478"/>
      <c r="DD164" s="478"/>
      <c r="DE164" s="478"/>
      <c r="DF164" s="478"/>
      <c r="DG164" s="478"/>
      <c r="DH164" s="478"/>
      <c r="DI164" s="478"/>
      <c r="DJ164" s="478"/>
      <c r="DK164" s="478"/>
      <c r="DL164" s="478"/>
      <c r="DM164" s="478"/>
      <c r="DN164" s="478"/>
      <c r="DO164" s="478"/>
      <c r="DP164" s="478"/>
      <c r="DQ164" s="478"/>
      <c r="DR164" s="478"/>
      <c r="DS164" s="478"/>
      <c r="DT164" s="478"/>
      <c r="DU164" s="478"/>
      <c r="DV164" s="478"/>
      <c r="DW164" s="478"/>
      <c r="DX164" s="478"/>
      <c r="DY164" s="478"/>
      <c r="DZ164" s="478"/>
      <c r="EA164" s="477"/>
      <c r="EB164" s="477"/>
    </row>
    <row r="165" spans="1:132" ht="18.899999999999999" customHeight="1">
      <c r="A165" s="473"/>
      <c r="B165" s="473"/>
      <c r="C165" s="474"/>
      <c r="D165" s="474"/>
      <c r="E165" s="474"/>
      <c r="F165" s="473"/>
      <c r="G165" s="473"/>
      <c r="H165" s="475"/>
      <c r="I165" s="473"/>
      <c r="J165" s="473"/>
      <c r="K165" s="473"/>
      <c r="L165" s="473"/>
      <c r="M165" s="475"/>
      <c r="N165" s="475"/>
      <c r="O165" s="475"/>
      <c r="P165" s="475"/>
      <c r="Q165" s="475"/>
      <c r="R165" s="475"/>
      <c r="S165" s="475"/>
      <c r="T165" s="475"/>
      <c r="U165" s="475"/>
      <c r="V165" s="475"/>
      <c r="W165" s="475"/>
      <c r="X165" s="475"/>
      <c r="Y165" s="475"/>
      <c r="Z165" s="475"/>
      <c r="AA165" s="475"/>
      <c r="AB165" s="475"/>
      <c r="AC165" s="475"/>
      <c r="AD165" s="475"/>
      <c r="AE165" s="475"/>
      <c r="AF165" s="475"/>
      <c r="AG165" s="475"/>
      <c r="AH165" s="475"/>
      <c r="AI165" s="475"/>
      <c r="AJ165" s="475"/>
      <c r="AK165" s="475"/>
      <c r="AL165" s="475"/>
      <c r="AM165" s="475"/>
      <c r="AN165" s="475"/>
      <c r="AO165" s="473"/>
      <c r="AP165" s="473"/>
      <c r="AQ165" s="473"/>
      <c r="AR165" s="473"/>
      <c r="AS165" s="473"/>
      <c r="AT165" s="473"/>
      <c r="AU165" s="473"/>
      <c r="AV165" s="473"/>
      <c r="AW165" s="473"/>
      <c r="AX165" s="473"/>
      <c r="AY165" s="473"/>
      <c r="AZ165" s="473"/>
      <c r="BA165" s="473"/>
      <c r="BB165" s="475"/>
      <c r="BC165" s="475"/>
      <c r="BD165" s="475"/>
      <c r="BE165" s="475"/>
      <c r="BF165" s="475"/>
      <c r="BG165" s="475"/>
      <c r="BH165" s="475"/>
      <c r="BI165" s="475"/>
      <c r="BJ165" s="475"/>
      <c r="BK165" s="475"/>
      <c r="BL165" s="475"/>
      <c r="BM165" s="475"/>
      <c r="BN165" s="475"/>
      <c r="BO165" s="473"/>
      <c r="BP165" s="473"/>
      <c r="BQ165" s="473"/>
      <c r="BR165" s="473"/>
      <c r="BS165" s="475"/>
      <c r="BT165" s="475"/>
      <c r="BU165" s="475"/>
      <c r="BV165" s="475"/>
      <c r="BW165" s="475"/>
      <c r="BX165" s="475"/>
      <c r="BY165" s="475"/>
      <c r="BZ165" s="475"/>
      <c r="CA165" s="475"/>
      <c r="CB165" s="475"/>
      <c r="CC165" s="475"/>
      <c r="CD165" s="475"/>
      <c r="CE165" s="475"/>
      <c r="CF165" s="475"/>
      <c r="CG165" s="475"/>
      <c r="CH165" s="475"/>
      <c r="CI165" s="475"/>
      <c r="CJ165" s="475"/>
      <c r="CK165" s="475"/>
      <c r="CL165" s="475"/>
      <c r="CM165" s="475"/>
      <c r="CN165" s="477"/>
      <c r="CO165" s="477"/>
      <c r="CP165" s="477"/>
      <c r="CQ165" s="477"/>
      <c r="CR165" s="477"/>
      <c r="CS165" s="477"/>
      <c r="CT165" s="477"/>
      <c r="CU165" s="477"/>
      <c r="CV165" s="477"/>
      <c r="CW165" s="477"/>
      <c r="CX165" s="477"/>
      <c r="CY165" s="478"/>
      <c r="CZ165" s="478"/>
      <c r="DA165" s="478"/>
      <c r="DB165" s="478"/>
      <c r="DC165" s="478"/>
      <c r="DD165" s="478"/>
      <c r="DE165" s="478"/>
      <c r="DF165" s="478"/>
      <c r="DG165" s="478"/>
      <c r="DH165" s="478"/>
      <c r="DI165" s="478"/>
      <c r="DJ165" s="478"/>
      <c r="DK165" s="478"/>
      <c r="DL165" s="478"/>
      <c r="DM165" s="478"/>
      <c r="DN165" s="478"/>
      <c r="DO165" s="478"/>
      <c r="DP165" s="478"/>
      <c r="DQ165" s="478"/>
      <c r="DR165" s="478"/>
      <c r="DS165" s="478"/>
      <c r="DT165" s="478"/>
      <c r="DU165" s="478"/>
      <c r="DV165" s="478"/>
      <c r="DW165" s="478"/>
      <c r="DX165" s="478"/>
      <c r="DY165" s="478"/>
      <c r="DZ165" s="478"/>
      <c r="EA165" s="477"/>
      <c r="EB165" s="477"/>
    </row>
    <row r="166" spans="1:132" ht="18.899999999999999" customHeight="1">
      <c r="A166" s="473"/>
      <c r="B166" s="473"/>
      <c r="C166" s="474"/>
      <c r="D166" s="474"/>
      <c r="E166" s="474"/>
      <c r="F166" s="473"/>
      <c r="G166" s="473"/>
      <c r="H166" s="475"/>
      <c r="I166" s="473"/>
      <c r="J166" s="473"/>
      <c r="K166" s="473"/>
      <c r="L166" s="473"/>
      <c r="M166" s="475"/>
      <c r="N166" s="475"/>
      <c r="O166" s="475"/>
      <c r="P166" s="475"/>
      <c r="Q166" s="475"/>
      <c r="R166" s="475"/>
      <c r="S166" s="475"/>
      <c r="T166" s="475"/>
      <c r="U166" s="475"/>
      <c r="V166" s="475"/>
      <c r="W166" s="475"/>
      <c r="X166" s="475"/>
      <c r="Y166" s="475"/>
      <c r="Z166" s="475"/>
      <c r="AA166" s="475"/>
      <c r="AB166" s="475"/>
      <c r="AC166" s="475"/>
      <c r="AD166" s="475"/>
      <c r="AE166" s="475"/>
      <c r="AF166" s="475"/>
      <c r="AG166" s="475"/>
      <c r="AH166" s="475"/>
      <c r="AI166" s="475"/>
      <c r="AJ166" s="475"/>
      <c r="AK166" s="475"/>
      <c r="AL166" s="475"/>
      <c r="AM166" s="475"/>
      <c r="AN166" s="475"/>
      <c r="AO166" s="473"/>
      <c r="AP166" s="473"/>
      <c r="AQ166" s="473"/>
      <c r="AR166" s="473"/>
      <c r="AS166" s="473"/>
      <c r="AT166" s="473"/>
      <c r="AU166" s="473"/>
      <c r="AV166" s="473"/>
      <c r="AW166" s="473"/>
      <c r="AX166" s="473"/>
      <c r="AY166" s="473"/>
      <c r="AZ166" s="473"/>
      <c r="BA166" s="473"/>
      <c r="BB166" s="475"/>
      <c r="BC166" s="475"/>
      <c r="BD166" s="475"/>
      <c r="BE166" s="475"/>
      <c r="BF166" s="475"/>
      <c r="BG166" s="475"/>
      <c r="BH166" s="475"/>
      <c r="BI166" s="475"/>
      <c r="BJ166" s="475"/>
      <c r="BK166" s="475"/>
      <c r="BL166" s="475"/>
      <c r="BM166" s="475"/>
      <c r="BN166" s="475"/>
      <c r="BO166" s="473"/>
      <c r="BP166" s="473"/>
      <c r="BQ166" s="473"/>
      <c r="BR166" s="473"/>
      <c r="BS166" s="475"/>
      <c r="BT166" s="475"/>
      <c r="BU166" s="475"/>
      <c r="BV166" s="475"/>
      <c r="BW166" s="475"/>
      <c r="BX166" s="475"/>
      <c r="BY166" s="475"/>
      <c r="BZ166" s="475"/>
      <c r="CA166" s="475"/>
      <c r="CB166" s="475"/>
      <c r="CC166" s="475"/>
      <c r="CD166" s="475"/>
      <c r="CE166" s="475"/>
      <c r="CF166" s="475"/>
      <c r="CG166" s="475"/>
      <c r="CH166" s="475"/>
      <c r="CI166" s="475"/>
      <c r="CJ166" s="475"/>
      <c r="CK166" s="475"/>
      <c r="CL166" s="475"/>
      <c r="CM166" s="475"/>
      <c r="CN166" s="477"/>
      <c r="CO166" s="477"/>
      <c r="CP166" s="477"/>
      <c r="CQ166" s="477"/>
      <c r="CR166" s="477"/>
      <c r="CS166" s="477"/>
      <c r="CT166" s="477"/>
      <c r="CU166" s="477"/>
      <c r="CV166" s="477"/>
      <c r="CW166" s="477"/>
      <c r="CX166" s="477"/>
      <c r="CY166" s="478"/>
      <c r="CZ166" s="478"/>
      <c r="DA166" s="478"/>
      <c r="DB166" s="478"/>
      <c r="DC166" s="478"/>
      <c r="DD166" s="478"/>
      <c r="DE166" s="478"/>
      <c r="DF166" s="478"/>
      <c r="DG166" s="478"/>
      <c r="DH166" s="478"/>
      <c r="DI166" s="478"/>
      <c r="DJ166" s="478"/>
      <c r="DK166" s="478"/>
      <c r="DL166" s="478"/>
      <c r="DM166" s="478"/>
      <c r="DN166" s="478"/>
      <c r="DO166" s="478"/>
      <c r="DP166" s="478"/>
      <c r="DQ166" s="478"/>
      <c r="DR166" s="478"/>
      <c r="DS166" s="478"/>
      <c r="DT166" s="478"/>
      <c r="DU166" s="478"/>
      <c r="DV166" s="478"/>
      <c r="DW166" s="478"/>
      <c r="DX166" s="478"/>
      <c r="DY166" s="478"/>
      <c r="DZ166" s="478"/>
      <c r="EA166" s="477"/>
      <c r="EB166" s="477"/>
    </row>
    <row r="167" spans="1:132" ht="18.899999999999999" customHeight="1">
      <c r="A167" s="473"/>
      <c r="B167" s="473"/>
      <c r="C167" s="474"/>
      <c r="D167" s="474"/>
      <c r="E167" s="474"/>
      <c r="F167" s="473"/>
      <c r="G167" s="473"/>
      <c r="H167" s="475"/>
      <c r="I167" s="473"/>
      <c r="J167" s="473"/>
      <c r="K167" s="473"/>
      <c r="L167" s="473"/>
      <c r="M167" s="475"/>
      <c r="N167" s="475"/>
      <c r="O167" s="475"/>
      <c r="P167" s="475"/>
      <c r="Q167" s="475"/>
      <c r="R167" s="475"/>
      <c r="S167" s="475"/>
      <c r="T167" s="475"/>
      <c r="U167" s="475"/>
      <c r="V167" s="475"/>
      <c r="W167" s="475"/>
      <c r="X167" s="475"/>
      <c r="Y167" s="475"/>
      <c r="Z167" s="475"/>
      <c r="AA167" s="475"/>
      <c r="AB167" s="475"/>
      <c r="AC167" s="475"/>
      <c r="AD167" s="475"/>
      <c r="AE167" s="475"/>
      <c r="AF167" s="475"/>
      <c r="AG167" s="475"/>
      <c r="AH167" s="475"/>
      <c r="AI167" s="475"/>
      <c r="AJ167" s="475"/>
      <c r="AK167" s="475"/>
      <c r="AL167" s="475"/>
      <c r="AM167" s="475"/>
      <c r="AN167" s="475"/>
      <c r="AO167" s="473"/>
      <c r="AP167" s="473"/>
      <c r="AQ167" s="473"/>
      <c r="AR167" s="473"/>
      <c r="AS167" s="473"/>
      <c r="AT167" s="473"/>
      <c r="AU167" s="473"/>
      <c r="AV167" s="473"/>
      <c r="AW167" s="473"/>
      <c r="AX167" s="473"/>
      <c r="AY167" s="473"/>
      <c r="AZ167" s="473"/>
      <c r="BA167" s="473"/>
      <c r="BB167" s="475"/>
      <c r="BC167" s="475"/>
      <c r="BD167" s="475"/>
      <c r="BE167" s="475"/>
      <c r="BF167" s="475"/>
      <c r="BG167" s="475"/>
      <c r="BH167" s="475"/>
      <c r="BI167" s="475"/>
      <c r="BJ167" s="475"/>
      <c r="BK167" s="475"/>
      <c r="BL167" s="475"/>
      <c r="BM167" s="475"/>
      <c r="BN167" s="475"/>
      <c r="BO167" s="473"/>
      <c r="BP167" s="473"/>
      <c r="BQ167" s="473"/>
      <c r="BR167" s="473"/>
      <c r="BS167" s="475"/>
      <c r="BT167" s="475"/>
      <c r="BU167" s="475"/>
      <c r="BV167" s="475"/>
      <c r="BW167" s="475"/>
      <c r="BX167" s="475"/>
      <c r="BY167" s="475"/>
      <c r="BZ167" s="475"/>
      <c r="CA167" s="475"/>
      <c r="CB167" s="475"/>
      <c r="CC167" s="475"/>
      <c r="CD167" s="475"/>
      <c r="CE167" s="475"/>
      <c r="CF167" s="475"/>
      <c r="CG167" s="475"/>
      <c r="CH167" s="475"/>
      <c r="CI167" s="475"/>
      <c r="CJ167" s="475"/>
      <c r="CK167" s="475"/>
      <c r="CL167" s="475"/>
      <c r="CM167" s="475"/>
      <c r="CN167" s="477"/>
      <c r="CO167" s="477"/>
      <c r="CP167" s="477"/>
      <c r="CQ167" s="477"/>
      <c r="CR167" s="477"/>
      <c r="CS167" s="477"/>
      <c r="CT167" s="477"/>
      <c r="CU167" s="477"/>
      <c r="CV167" s="477"/>
      <c r="CW167" s="477"/>
      <c r="CX167" s="477"/>
      <c r="CY167" s="478"/>
      <c r="CZ167" s="478"/>
      <c r="DA167" s="478"/>
      <c r="DB167" s="478"/>
      <c r="DC167" s="478"/>
      <c r="DD167" s="478"/>
      <c r="DE167" s="478"/>
      <c r="DF167" s="478"/>
      <c r="DG167" s="478"/>
      <c r="DH167" s="478"/>
      <c r="DI167" s="478"/>
      <c r="DJ167" s="478"/>
      <c r="DK167" s="478"/>
      <c r="DL167" s="478"/>
      <c r="DM167" s="478"/>
      <c r="DN167" s="478"/>
      <c r="DO167" s="478"/>
      <c r="DP167" s="478"/>
      <c r="DQ167" s="478"/>
      <c r="DR167" s="478"/>
      <c r="DS167" s="478"/>
      <c r="DT167" s="478"/>
      <c r="DU167" s="478"/>
      <c r="DV167" s="478"/>
      <c r="DW167" s="478"/>
      <c r="DX167" s="478"/>
      <c r="DY167" s="478"/>
      <c r="DZ167" s="478"/>
      <c r="EA167" s="477"/>
      <c r="EB167" s="477"/>
    </row>
    <row r="168" spans="1:132" ht="18.899999999999999" customHeight="1">
      <c r="A168" s="473"/>
      <c r="B168" s="473"/>
      <c r="C168" s="474"/>
      <c r="D168" s="474"/>
      <c r="E168" s="474"/>
      <c r="F168" s="473"/>
      <c r="G168" s="473"/>
      <c r="H168" s="475"/>
      <c r="I168" s="473"/>
      <c r="J168" s="473"/>
      <c r="K168" s="473"/>
      <c r="L168" s="473"/>
      <c r="M168" s="475"/>
      <c r="N168" s="475"/>
      <c r="O168" s="475"/>
      <c r="P168" s="475"/>
      <c r="Q168" s="475"/>
      <c r="R168" s="475"/>
      <c r="S168" s="475"/>
      <c r="T168" s="475"/>
      <c r="U168" s="475"/>
      <c r="V168" s="475"/>
      <c r="W168" s="475"/>
      <c r="X168" s="475"/>
      <c r="Y168" s="475"/>
      <c r="Z168" s="475"/>
      <c r="AA168" s="475"/>
      <c r="AB168" s="475"/>
      <c r="AC168" s="475"/>
      <c r="AD168" s="475"/>
      <c r="AE168" s="475"/>
      <c r="AF168" s="475"/>
      <c r="AG168" s="475"/>
      <c r="AH168" s="475"/>
      <c r="AI168" s="475"/>
      <c r="AJ168" s="475"/>
      <c r="AK168" s="475"/>
      <c r="AL168" s="475"/>
      <c r="AM168" s="475"/>
      <c r="AN168" s="475"/>
      <c r="AO168" s="473"/>
      <c r="AP168" s="473"/>
      <c r="AQ168" s="473"/>
      <c r="AR168" s="473"/>
      <c r="AS168" s="473"/>
      <c r="AT168" s="473"/>
      <c r="AU168" s="473"/>
      <c r="AV168" s="473"/>
      <c r="AW168" s="473"/>
      <c r="AX168" s="473"/>
      <c r="AY168" s="473"/>
      <c r="AZ168" s="473"/>
      <c r="BA168" s="473"/>
      <c r="BB168" s="475"/>
      <c r="BC168" s="475"/>
      <c r="BD168" s="475"/>
      <c r="BE168" s="475"/>
      <c r="BF168" s="475"/>
      <c r="BG168" s="475"/>
      <c r="BH168" s="475"/>
      <c r="BI168" s="475"/>
      <c r="BJ168" s="475"/>
      <c r="BK168" s="475"/>
      <c r="BL168" s="475"/>
      <c r="BM168" s="475"/>
      <c r="BN168" s="475"/>
      <c r="BO168" s="473"/>
      <c r="BP168" s="473"/>
      <c r="BQ168" s="473"/>
      <c r="BR168" s="473"/>
      <c r="BS168" s="475"/>
      <c r="BT168" s="475"/>
      <c r="BU168" s="475"/>
      <c r="BV168" s="475"/>
      <c r="BW168" s="475"/>
      <c r="BX168" s="475"/>
      <c r="BY168" s="475"/>
      <c r="BZ168" s="475"/>
      <c r="CA168" s="475"/>
      <c r="CB168" s="475"/>
      <c r="CC168" s="475"/>
      <c r="CD168" s="475"/>
      <c r="CE168" s="475"/>
      <c r="CF168" s="475"/>
      <c r="CG168" s="475"/>
      <c r="CH168" s="475"/>
      <c r="CI168" s="475"/>
      <c r="CJ168" s="475"/>
      <c r="CK168" s="475"/>
      <c r="CL168" s="475"/>
      <c r="CM168" s="475"/>
      <c r="CN168" s="477"/>
      <c r="CO168" s="477"/>
      <c r="CP168" s="477"/>
      <c r="CQ168" s="477"/>
      <c r="CR168" s="477"/>
      <c r="CS168" s="477"/>
      <c r="CT168" s="477"/>
      <c r="CU168" s="477"/>
      <c r="CV168" s="477"/>
      <c r="CW168" s="477"/>
      <c r="CX168" s="477"/>
      <c r="CY168" s="478"/>
      <c r="CZ168" s="478"/>
      <c r="DA168" s="478"/>
      <c r="DB168" s="478"/>
      <c r="DC168" s="478"/>
      <c r="DD168" s="478"/>
      <c r="DE168" s="478"/>
      <c r="DF168" s="478"/>
      <c r="DG168" s="478"/>
      <c r="DH168" s="478"/>
      <c r="DI168" s="478"/>
      <c r="DJ168" s="478"/>
      <c r="DK168" s="478"/>
      <c r="DL168" s="478"/>
      <c r="DM168" s="478"/>
      <c r="DN168" s="478"/>
      <c r="DO168" s="478"/>
      <c r="DP168" s="478"/>
      <c r="DQ168" s="478"/>
      <c r="DR168" s="478"/>
      <c r="DS168" s="478"/>
      <c r="DT168" s="478"/>
      <c r="DU168" s="478"/>
      <c r="DV168" s="478"/>
      <c r="DW168" s="478"/>
      <c r="DX168" s="478"/>
      <c r="DY168" s="478"/>
      <c r="DZ168" s="478"/>
      <c r="EA168" s="477"/>
      <c r="EB168" s="477"/>
    </row>
    <row r="169" spans="1:132" ht="18.899999999999999" customHeight="1">
      <c r="A169" s="473"/>
      <c r="B169" s="473"/>
      <c r="C169" s="474"/>
      <c r="D169" s="474"/>
      <c r="E169" s="474"/>
      <c r="F169" s="473"/>
      <c r="G169" s="473"/>
      <c r="H169" s="475"/>
      <c r="I169" s="473"/>
      <c r="J169" s="473"/>
      <c r="K169" s="473"/>
      <c r="L169" s="473"/>
      <c r="M169" s="475"/>
      <c r="N169" s="475"/>
      <c r="O169" s="475"/>
      <c r="P169" s="475"/>
      <c r="Q169" s="475"/>
      <c r="R169" s="475"/>
      <c r="S169" s="475"/>
      <c r="T169" s="475"/>
      <c r="U169" s="475"/>
      <c r="V169" s="475"/>
      <c r="W169" s="475"/>
      <c r="X169" s="475"/>
      <c r="Y169" s="475"/>
      <c r="Z169" s="475"/>
      <c r="AA169" s="475"/>
      <c r="AB169" s="475"/>
      <c r="AC169" s="475"/>
      <c r="AD169" s="475"/>
      <c r="AE169" s="475"/>
      <c r="AF169" s="475"/>
      <c r="AG169" s="475"/>
      <c r="AH169" s="475"/>
      <c r="AI169" s="475"/>
      <c r="AJ169" s="475"/>
      <c r="AK169" s="475"/>
      <c r="AL169" s="475"/>
      <c r="AM169" s="475"/>
      <c r="AN169" s="475"/>
      <c r="AO169" s="473"/>
      <c r="AP169" s="473"/>
      <c r="AQ169" s="473"/>
      <c r="AR169" s="473"/>
      <c r="AS169" s="473"/>
      <c r="AT169" s="473"/>
      <c r="AU169" s="473"/>
      <c r="AV169" s="473"/>
      <c r="AW169" s="473"/>
      <c r="AX169" s="473"/>
      <c r="AY169" s="473"/>
      <c r="AZ169" s="473"/>
      <c r="BA169" s="473"/>
      <c r="BB169" s="475"/>
      <c r="BC169" s="475"/>
      <c r="BD169" s="475"/>
      <c r="BE169" s="475"/>
      <c r="BF169" s="475"/>
      <c r="BG169" s="475"/>
      <c r="BH169" s="475"/>
      <c r="BI169" s="475"/>
      <c r="BJ169" s="475"/>
      <c r="BK169" s="475"/>
      <c r="BL169" s="475"/>
      <c r="BM169" s="475"/>
      <c r="BN169" s="475"/>
      <c r="BO169" s="473"/>
      <c r="BP169" s="473"/>
      <c r="BQ169" s="473"/>
      <c r="BR169" s="473"/>
      <c r="BS169" s="475"/>
      <c r="BT169" s="475"/>
      <c r="BU169" s="475"/>
      <c r="BV169" s="475"/>
      <c r="BW169" s="475"/>
      <c r="BX169" s="475"/>
      <c r="BY169" s="475"/>
      <c r="BZ169" s="475"/>
      <c r="CA169" s="475"/>
      <c r="CB169" s="475"/>
      <c r="CC169" s="475"/>
      <c r="CD169" s="475"/>
      <c r="CE169" s="475"/>
      <c r="CF169" s="475"/>
      <c r="CG169" s="475"/>
      <c r="CH169" s="475"/>
      <c r="CI169" s="475"/>
      <c r="CJ169" s="475"/>
      <c r="CK169" s="475"/>
      <c r="CL169" s="475"/>
      <c r="CM169" s="475"/>
      <c r="CN169" s="477"/>
      <c r="CO169" s="477"/>
      <c r="CP169" s="477"/>
      <c r="CQ169" s="477"/>
      <c r="CR169" s="477"/>
      <c r="CS169" s="477"/>
      <c r="CT169" s="477"/>
      <c r="CU169" s="477"/>
      <c r="CV169" s="477"/>
      <c r="CW169" s="477"/>
      <c r="CX169" s="477"/>
      <c r="CY169" s="478"/>
      <c r="CZ169" s="478"/>
      <c r="DA169" s="478"/>
      <c r="DB169" s="478"/>
      <c r="DC169" s="478"/>
      <c r="DD169" s="478"/>
      <c r="DE169" s="478"/>
      <c r="DF169" s="478"/>
      <c r="DG169" s="478"/>
      <c r="DH169" s="478"/>
      <c r="DI169" s="478"/>
      <c r="DJ169" s="478"/>
      <c r="DK169" s="478"/>
      <c r="DL169" s="478"/>
      <c r="DM169" s="478"/>
      <c r="DN169" s="478"/>
      <c r="DO169" s="478"/>
      <c r="DP169" s="478"/>
      <c r="DQ169" s="478"/>
      <c r="DR169" s="478"/>
      <c r="DS169" s="478"/>
      <c r="DT169" s="478"/>
      <c r="DU169" s="478"/>
      <c r="DV169" s="478"/>
      <c r="DW169" s="478"/>
      <c r="DX169" s="478"/>
      <c r="DY169" s="478"/>
      <c r="DZ169" s="478"/>
      <c r="EA169" s="477"/>
      <c r="EB169" s="477"/>
    </row>
    <row r="170" spans="1:132" ht="18.899999999999999" customHeight="1">
      <c r="A170" s="473"/>
      <c r="B170" s="473"/>
      <c r="C170" s="474"/>
      <c r="D170" s="474"/>
      <c r="E170" s="474"/>
      <c r="F170" s="473"/>
      <c r="G170" s="473"/>
      <c r="H170" s="475"/>
      <c r="I170" s="473"/>
      <c r="J170" s="473"/>
      <c r="K170" s="473"/>
      <c r="L170" s="473"/>
      <c r="M170" s="475"/>
      <c r="N170" s="475"/>
      <c r="O170" s="475"/>
      <c r="P170" s="475"/>
      <c r="Q170" s="475"/>
      <c r="R170" s="475"/>
      <c r="S170" s="475"/>
      <c r="T170" s="475"/>
      <c r="U170" s="475"/>
      <c r="V170" s="475"/>
      <c r="W170" s="475"/>
      <c r="X170" s="475"/>
      <c r="Y170" s="475"/>
      <c r="Z170" s="475"/>
      <c r="AA170" s="475"/>
      <c r="AB170" s="475"/>
      <c r="AC170" s="475"/>
      <c r="AD170" s="475"/>
      <c r="AE170" s="475"/>
      <c r="AF170" s="475"/>
      <c r="AG170" s="475"/>
      <c r="AH170" s="475"/>
      <c r="AI170" s="475"/>
      <c r="AJ170" s="475"/>
      <c r="AK170" s="475"/>
      <c r="AL170" s="475"/>
      <c r="AM170" s="475"/>
      <c r="AN170" s="475"/>
      <c r="AO170" s="473"/>
      <c r="AP170" s="473"/>
      <c r="AQ170" s="473"/>
      <c r="AR170" s="473"/>
      <c r="AS170" s="473"/>
      <c r="AT170" s="473"/>
      <c r="AU170" s="473"/>
      <c r="AV170" s="473"/>
      <c r="AW170" s="473"/>
      <c r="AX170" s="473"/>
      <c r="AY170" s="473"/>
      <c r="AZ170" s="473"/>
      <c r="BA170" s="473"/>
      <c r="BB170" s="475"/>
      <c r="BC170" s="475"/>
      <c r="BD170" s="475"/>
      <c r="BE170" s="475"/>
      <c r="BF170" s="475"/>
      <c r="BG170" s="475"/>
      <c r="BH170" s="475"/>
      <c r="BI170" s="475"/>
      <c r="BJ170" s="475"/>
      <c r="BK170" s="475"/>
      <c r="BL170" s="475"/>
      <c r="BM170" s="475"/>
      <c r="BN170" s="475"/>
      <c r="BO170" s="473"/>
      <c r="BP170" s="473"/>
      <c r="BQ170" s="473"/>
      <c r="BR170" s="473"/>
      <c r="BS170" s="475"/>
      <c r="BT170" s="475"/>
      <c r="BU170" s="475"/>
      <c r="BV170" s="475"/>
      <c r="BW170" s="475"/>
      <c r="BX170" s="475"/>
      <c r="BY170" s="475"/>
      <c r="BZ170" s="475"/>
      <c r="CA170" s="475"/>
      <c r="CB170" s="475"/>
      <c r="CC170" s="475"/>
      <c r="CD170" s="475"/>
      <c r="CE170" s="475"/>
      <c r="CF170" s="475"/>
      <c r="CG170" s="475"/>
      <c r="CH170" s="475"/>
      <c r="CI170" s="475"/>
      <c r="CJ170" s="475"/>
      <c r="CK170" s="475"/>
      <c r="CL170" s="475"/>
      <c r="CM170" s="475"/>
      <c r="CN170" s="477"/>
      <c r="CO170" s="477"/>
      <c r="CP170" s="477"/>
      <c r="CQ170" s="477"/>
      <c r="CR170" s="477"/>
      <c r="CS170" s="477"/>
      <c r="CT170" s="477"/>
      <c r="CU170" s="477"/>
      <c r="CV170" s="477"/>
      <c r="CW170" s="477"/>
      <c r="CX170" s="477"/>
      <c r="CY170" s="478"/>
      <c r="CZ170" s="478"/>
      <c r="DA170" s="478"/>
      <c r="DB170" s="478"/>
      <c r="DC170" s="478"/>
      <c r="DD170" s="478"/>
      <c r="DE170" s="478"/>
      <c r="DF170" s="478"/>
      <c r="DG170" s="478"/>
      <c r="DH170" s="478"/>
      <c r="DI170" s="478"/>
      <c r="DJ170" s="478"/>
      <c r="DK170" s="478"/>
      <c r="DL170" s="478"/>
      <c r="DM170" s="478"/>
      <c r="DN170" s="478"/>
      <c r="DO170" s="478"/>
      <c r="DP170" s="478"/>
      <c r="DQ170" s="478"/>
      <c r="DR170" s="478"/>
      <c r="DS170" s="478"/>
      <c r="DT170" s="478"/>
      <c r="DU170" s="478"/>
      <c r="DV170" s="478"/>
      <c r="DW170" s="478"/>
      <c r="DX170" s="478"/>
      <c r="DY170" s="478"/>
      <c r="DZ170" s="478"/>
      <c r="EA170" s="477"/>
      <c r="EB170" s="477"/>
    </row>
    <row r="171" spans="1:132" ht="18.899999999999999" customHeight="1">
      <c r="A171" s="473"/>
      <c r="B171" s="473"/>
      <c r="C171" s="474"/>
      <c r="D171" s="474"/>
      <c r="E171" s="474"/>
      <c r="F171" s="473"/>
      <c r="G171" s="473"/>
      <c r="H171" s="475"/>
      <c r="I171" s="473"/>
      <c r="J171" s="473"/>
      <c r="K171" s="473"/>
      <c r="L171" s="473"/>
      <c r="M171" s="475"/>
      <c r="N171" s="475"/>
      <c r="O171" s="475"/>
      <c r="P171" s="475"/>
      <c r="Q171" s="475"/>
      <c r="R171" s="475"/>
      <c r="S171" s="475"/>
      <c r="T171" s="475"/>
      <c r="U171" s="475"/>
      <c r="V171" s="475"/>
      <c r="W171" s="475"/>
      <c r="X171" s="475"/>
      <c r="Y171" s="475"/>
      <c r="Z171" s="475"/>
      <c r="AA171" s="475"/>
      <c r="AB171" s="475"/>
      <c r="AC171" s="475"/>
      <c r="AD171" s="475"/>
      <c r="AE171" s="475"/>
      <c r="AF171" s="475"/>
      <c r="AG171" s="475"/>
      <c r="AH171" s="475"/>
      <c r="AI171" s="475"/>
      <c r="AJ171" s="475"/>
      <c r="AK171" s="475"/>
      <c r="AL171" s="475"/>
      <c r="AM171" s="475"/>
      <c r="AN171" s="475"/>
      <c r="AO171" s="473"/>
      <c r="AP171" s="473"/>
      <c r="AQ171" s="473"/>
      <c r="AR171" s="473"/>
      <c r="AS171" s="473"/>
      <c r="AT171" s="473"/>
      <c r="AU171" s="473"/>
      <c r="AV171" s="473"/>
      <c r="AW171" s="473"/>
      <c r="AX171" s="473"/>
      <c r="AY171" s="473"/>
      <c r="AZ171" s="473"/>
      <c r="BA171" s="473"/>
      <c r="BB171" s="475"/>
      <c r="BC171" s="475"/>
      <c r="BD171" s="475"/>
      <c r="BE171" s="475"/>
      <c r="BF171" s="475"/>
      <c r="BG171" s="475"/>
      <c r="BH171" s="475"/>
      <c r="BI171" s="475"/>
      <c r="BJ171" s="475"/>
      <c r="BK171" s="475"/>
      <c r="BL171" s="475"/>
      <c r="BM171" s="475"/>
      <c r="BN171" s="475"/>
      <c r="BO171" s="473"/>
      <c r="BP171" s="473"/>
      <c r="BQ171" s="473"/>
      <c r="BR171" s="473"/>
      <c r="BS171" s="475"/>
      <c r="BT171" s="475"/>
      <c r="BU171" s="475"/>
      <c r="BV171" s="475"/>
      <c r="BW171" s="475"/>
      <c r="BX171" s="475"/>
      <c r="BY171" s="475"/>
      <c r="BZ171" s="475"/>
      <c r="CA171" s="475"/>
      <c r="CB171" s="475"/>
      <c r="CC171" s="475"/>
      <c r="CD171" s="475"/>
      <c r="CE171" s="475"/>
      <c r="CF171" s="475"/>
      <c r="CG171" s="475"/>
      <c r="CH171" s="475"/>
      <c r="CI171" s="475"/>
      <c r="CJ171" s="475"/>
      <c r="CK171" s="475"/>
      <c r="CL171" s="475"/>
      <c r="CM171" s="475"/>
      <c r="CN171" s="477"/>
      <c r="CO171" s="477"/>
      <c r="CP171" s="477"/>
      <c r="CQ171" s="477"/>
      <c r="CR171" s="477"/>
      <c r="CS171" s="477"/>
      <c r="CT171" s="477"/>
      <c r="CU171" s="477"/>
      <c r="CV171" s="477"/>
      <c r="CW171" s="477"/>
      <c r="CX171" s="477"/>
      <c r="CY171" s="478"/>
      <c r="CZ171" s="478"/>
      <c r="DA171" s="478"/>
      <c r="DB171" s="478"/>
      <c r="DC171" s="478"/>
      <c r="DD171" s="478"/>
      <c r="DE171" s="478"/>
      <c r="DF171" s="478"/>
      <c r="DG171" s="478"/>
      <c r="DH171" s="478"/>
      <c r="DI171" s="478"/>
      <c r="DJ171" s="478"/>
      <c r="DK171" s="478"/>
      <c r="DL171" s="478"/>
      <c r="DM171" s="478"/>
      <c r="DN171" s="478"/>
      <c r="DO171" s="478"/>
      <c r="DP171" s="478"/>
      <c r="DQ171" s="478"/>
      <c r="DR171" s="478"/>
      <c r="DS171" s="478"/>
      <c r="DT171" s="478"/>
      <c r="DU171" s="478"/>
      <c r="DV171" s="478"/>
      <c r="DW171" s="478"/>
      <c r="DX171" s="478"/>
      <c r="DY171" s="478"/>
      <c r="DZ171" s="478"/>
      <c r="EA171" s="477"/>
      <c r="EB171" s="477"/>
    </row>
    <row r="172" spans="1:132" ht="18.899999999999999" customHeight="1">
      <c r="A172" s="473"/>
      <c r="B172" s="473"/>
      <c r="C172" s="474"/>
      <c r="D172" s="474"/>
      <c r="E172" s="474"/>
      <c r="F172" s="473"/>
      <c r="G172" s="473"/>
      <c r="H172" s="475"/>
      <c r="I172" s="473"/>
      <c r="J172" s="473"/>
      <c r="K172" s="473"/>
      <c r="L172" s="473"/>
      <c r="M172" s="475"/>
      <c r="N172" s="475"/>
      <c r="O172" s="475"/>
      <c r="P172" s="475"/>
      <c r="Q172" s="475"/>
      <c r="R172" s="475"/>
      <c r="S172" s="475"/>
      <c r="T172" s="475"/>
      <c r="U172" s="475"/>
      <c r="V172" s="475"/>
      <c r="W172" s="475"/>
      <c r="X172" s="475"/>
      <c r="Y172" s="475"/>
      <c r="Z172" s="475"/>
      <c r="AA172" s="475"/>
      <c r="AB172" s="475"/>
      <c r="AC172" s="475"/>
      <c r="AD172" s="475"/>
      <c r="AE172" s="475"/>
      <c r="AF172" s="475"/>
      <c r="AG172" s="475"/>
      <c r="AH172" s="475"/>
      <c r="AI172" s="475"/>
      <c r="AJ172" s="475"/>
      <c r="AK172" s="475"/>
      <c r="AL172" s="475"/>
      <c r="AM172" s="475"/>
      <c r="AN172" s="475"/>
      <c r="AO172" s="473"/>
      <c r="AP172" s="473"/>
      <c r="AQ172" s="473"/>
      <c r="AR172" s="473"/>
      <c r="AS172" s="473"/>
      <c r="AT172" s="473"/>
      <c r="AU172" s="473"/>
      <c r="AV172" s="473"/>
      <c r="AW172" s="473"/>
      <c r="AX172" s="473"/>
      <c r="AY172" s="473"/>
      <c r="AZ172" s="473"/>
      <c r="BA172" s="473"/>
      <c r="BB172" s="475"/>
      <c r="BC172" s="475"/>
      <c r="BD172" s="475"/>
      <c r="BE172" s="475"/>
      <c r="BF172" s="475"/>
      <c r="BG172" s="475"/>
      <c r="BH172" s="475"/>
      <c r="BI172" s="475"/>
      <c r="BJ172" s="475"/>
      <c r="BK172" s="475"/>
      <c r="BL172" s="475"/>
      <c r="BM172" s="475"/>
      <c r="BN172" s="475"/>
      <c r="BO172" s="473"/>
      <c r="BP172" s="473"/>
      <c r="BQ172" s="473"/>
      <c r="BR172" s="473"/>
      <c r="BS172" s="475"/>
      <c r="BT172" s="475"/>
      <c r="BU172" s="475"/>
      <c r="BV172" s="475"/>
      <c r="BW172" s="475"/>
      <c r="BX172" s="475"/>
      <c r="BY172" s="475"/>
      <c r="BZ172" s="475"/>
      <c r="CA172" s="475"/>
      <c r="CB172" s="475"/>
      <c r="CC172" s="475"/>
      <c r="CD172" s="475"/>
      <c r="CE172" s="475"/>
      <c r="CF172" s="475"/>
      <c r="CG172" s="475"/>
      <c r="CH172" s="475"/>
      <c r="CI172" s="475"/>
      <c r="CJ172" s="475"/>
      <c r="CK172" s="475"/>
      <c r="CL172" s="475"/>
      <c r="CM172" s="475"/>
      <c r="CN172" s="477"/>
      <c r="CO172" s="477"/>
      <c r="CP172" s="477"/>
      <c r="CQ172" s="477"/>
      <c r="CR172" s="477"/>
      <c r="CS172" s="477"/>
      <c r="CT172" s="477"/>
      <c r="CU172" s="477"/>
      <c r="CV172" s="477"/>
      <c r="CW172" s="477"/>
      <c r="CX172" s="477"/>
      <c r="CY172" s="478"/>
      <c r="CZ172" s="478"/>
      <c r="DA172" s="478"/>
      <c r="DB172" s="478"/>
      <c r="DC172" s="478"/>
      <c r="DD172" s="478"/>
      <c r="DE172" s="478"/>
      <c r="DF172" s="478"/>
      <c r="DG172" s="478"/>
      <c r="DH172" s="478"/>
      <c r="DI172" s="478"/>
      <c r="DJ172" s="478"/>
      <c r="DK172" s="478"/>
      <c r="DL172" s="478"/>
      <c r="DM172" s="478"/>
      <c r="DN172" s="478"/>
      <c r="DO172" s="478"/>
      <c r="DP172" s="478"/>
      <c r="DQ172" s="478"/>
      <c r="DR172" s="478"/>
      <c r="DS172" s="478"/>
      <c r="DT172" s="478"/>
      <c r="DU172" s="478"/>
      <c r="DV172" s="478"/>
      <c r="DW172" s="478"/>
      <c r="DX172" s="478"/>
      <c r="DY172" s="478"/>
      <c r="DZ172" s="478"/>
      <c r="EA172" s="477"/>
      <c r="EB172" s="477"/>
    </row>
    <row r="173" spans="1:132" ht="18.899999999999999" customHeight="1">
      <c r="A173" s="473"/>
      <c r="B173" s="473"/>
      <c r="C173" s="474"/>
      <c r="D173" s="474"/>
      <c r="E173" s="474"/>
      <c r="F173" s="473"/>
      <c r="G173" s="473"/>
      <c r="H173" s="475"/>
      <c r="I173" s="473"/>
      <c r="J173" s="473"/>
      <c r="K173" s="473"/>
      <c r="L173" s="473"/>
      <c r="M173" s="475"/>
      <c r="N173" s="475"/>
      <c r="O173" s="475"/>
      <c r="P173" s="475"/>
      <c r="Q173" s="475"/>
      <c r="R173" s="475"/>
      <c r="S173" s="475"/>
      <c r="T173" s="475"/>
      <c r="U173" s="475"/>
      <c r="V173" s="475"/>
      <c r="W173" s="475"/>
      <c r="X173" s="475"/>
      <c r="Y173" s="475"/>
      <c r="Z173" s="475"/>
      <c r="AA173" s="475"/>
      <c r="AB173" s="475"/>
      <c r="AC173" s="475"/>
      <c r="AD173" s="475"/>
      <c r="AE173" s="475"/>
      <c r="AF173" s="475"/>
      <c r="AG173" s="475"/>
      <c r="AH173" s="475"/>
      <c r="AI173" s="475"/>
      <c r="AJ173" s="475"/>
      <c r="AK173" s="475"/>
      <c r="AL173" s="475"/>
      <c r="AM173" s="475"/>
      <c r="AN173" s="475"/>
      <c r="AO173" s="473"/>
      <c r="AP173" s="473"/>
      <c r="AQ173" s="473"/>
      <c r="AR173" s="473"/>
      <c r="AS173" s="473"/>
      <c r="AT173" s="473"/>
      <c r="AU173" s="473"/>
      <c r="AV173" s="473"/>
      <c r="AW173" s="473"/>
      <c r="AX173" s="473"/>
      <c r="AY173" s="473"/>
      <c r="AZ173" s="473"/>
      <c r="BA173" s="473"/>
      <c r="BB173" s="475"/>
      <c r="BC173" s="475"/>
      <c r="BD173" s="475"/>
      <c r="BE173" s="475"/>
      <c r="BF173" s="475"/>
      <c r="BG173" s="475"/>
      <c r="BH173" s="475"/>
      <c r="BI173" s="475"/>
      <c r="BJ173" s="475"/>
      <c r="BK173" s="475"/>
      <c r="BL173" s="475"/>
      <c r="BM173" s="475"/>
      <c r="BN173" s="475"/>
      <c r="BO173" s="473"/>
      <c r="BP173" s="473"/>
      <c r="BQ173" s="473"/>
      <c r="BR173" s="473"/>
      <c r="BS173" s="475"/>
      <c r="BT173" s="475"/>
      <c r="BU173" s="475"/>
      <c r="BV173" s="475"/>
      <c r="BW173" s="475"/>
      <c r="BX173" s="475"/>
      <c r="BY173" s="475"/>
      <c r="BZ173" s="475"/>
      <c r="CA173" s="475"/>
      <c r="CB173" s="475"/>
      <c r="CC173" s="475"/>
      <c r="CD173" s="475"/>
      <c r="CE173" s="475"/>
      <c r="CF173" s="475"/>
      <c r="CG173" s="475"/>
      <c r="CH173" s="475"/>
      <c r="CI173" s="475"/>
      <c r="CJ173" s="475"/>
      <c r="CK173" s="475"/>
      <c r="CL173" s="475"/>
      <c r="CM173" s="475"/>
      <c r="CN173" s="477"/>
      <c r="CO173" s="477"/>
      <c r="CP173" s="477"/>
      <c r="CQ173" s="477"/>
      <c r="CR173" s="477"/>
      <c r="CS173" s="477"/>
      <c r="CT173" s="477"/>
      <c r="CU173" s="477"/>
      <c r="CV173" s="477"/>
      <c r="CW173" s="477"/>
      <c r="CX173" s="477"/>
      <c r="CY173" s="478"/>
      <c r="CZ173" s="478"/>
      <c r="DA173" s="478"/>
      <c r="DB173" s="478"/>
      <c r="DC173" s="478"/>
      <c r="DD173" s="478"/>
      <c r="DE173" s="478"/>
      <c r="DF173" s="478"/>
      <c r="DG173" s="478"/>
      <c r="DH173" s="478"/>
      <c r="DI173" s="478"/>
      <c r="DJ173" s="478"/>
      <c r="DK173" s="478"/>
      <c r="DL173" s="478"/>
      <c r="DM173" s="478"/>
      <c r="DN173" s="478"/>
      <c r="DO173" s="478"/>
      <c r="DP173" s="478"/>
      <c r="DQ173" s="478"/>
      <c r="DR173" s="478"/>
      <c r="DS173" s="478"/>
      <c r="DT173" s="478"/>
      <c r="DU173" s="478"/>
      <c r="DV173" s="478"/>
      <c r="DW173" s="478"/>
      <c r="DX173" s="478"/>
      <c r="DY173" s="478"/>
      <c r="DZ173" s="478"/>
      <c r="EA173" s="477"/>
      <c r="EB173" s="477"/>
    </row>
    <row r="174" spans="1:132" ht="18.899999999999999" customHeight="1">
      <c r="A174" s="473"/>
      <c r="B174" s="473"/>
      <c r="C174" s="474"/>
      <c r="D174" s="474"/>
      <c r="E174" s="474"/>
      <c r="F174" s="473"/>
      <c r="G174" s="473"/>
      <c r="H174" s="475"/>
      <c r="I174" s="473"/>
      <c r="J174" s="473"/>
      <c r="K174" s="473"/>
      <c r="L174" s="473"/>
      <c r="M174" s="475"/>
      <c r="N174" s="475"/>
      <c r="O174" s="475"/>
      <c r="P174" s="475"/>
      <c r="Q174" s="475"/>
      <c r="R174" s="475"/>
      <c r="S174" s="475"/>
      <c r="T174" s="475"/>
      <c r="U174" s="475"/>
      <c r="V174" s="475"/>
      <c r="W174" s="475"/>
      <c r="X174" s="475"/>
      <c r="Y174" s="475"/>
      <c r="Z174" s="475"/>
      <c r="AA174" s="475"/>
      <c r="AB174" s="475"/>
      <c r="AC174" s="475"/>
      <c r="AD174" s="475"/>
      <c r="AE174" s="475"/>
      <c r="AF174" s="475"/>
      <c r="AG174" s="475"/>
      <c r="AH174" s="475"/>
      <c r="AI174" s="475"/>
      <c r="AJ174" s="475"/>
      <c r="AK174" s="475"/>
      <c r="AL174" s="475"/>
      <c r="AM174" s="475"/>
      <c r="AN174" s="475"/>
      <c r="AO174" s="473"/>
      <c r="AP174" s="473"/>
      <c r="AQ174" s="473"/>
      <c r="AR174" s="473"/>
      <c r="AS174" s="473"/>
      <c r="AT174" s="473"/>
      <c r="AU174" s="473"/>
      <c r="AV174" s="473"/>
      <c r="AW174" s="473"/>
      <c r="AX174" s="473"/>
      <c r="AY174" s="473"/>
      <c r="AZ174" s="473"/>
      <c r="BA174" s="473"/>
      <c r="BB174" s="475"/>
      <c r="BC174" s="475"/>
      <c r="BD174" s="475"/>
      <c r="BE174" s="475"/>
      <c r="BF174" s="475"/>
      <c r="BG174" s="475"/>
      <c r="BH174" s="475"/>
      <c r="BI174" s="475"/>
      <c r="BJ174" s="475"/>
      <c r="BK174" s="475"/>
      <c r="BL174" s="475"/>
      <c r="BM174" s="475"/>
      <c r="BN174" s="475"/>
      <c r="BO174" s="473"/>
      <c r="BP174" s="473"/>
      <c r="BQ174" s="473"/>
      <c r="BR174" s="473"/>
      <c r="BS174" s="475"/>
      <c r="BT174" s="475"/>
      <c r="BU174" s="475"/>
      <c r="BV174" s="475"/>
      <c r="BW174" s="475"/>
      <c r="BX174" s="475"/>
      <c r="BY174" s="475"/>
      <c r="BZ174" s="475"/>
      <c r="CA174" s="475"/>
      <c r="CB174" s="475"/>
      <c r="CC174" s="475"/>
      <c r="CD174" s="475"/>
      <c r="CE174" s="475"/>
      <c r="CF174" s="475"/>
      <c r="CG174" s="475"/>
      <c r="CH174" s="475"/>
      <c r="CI174" s="475"/>
      <c r="CJ174" s="475"/>
      <c r="CK174" s="475"/>
      <c r="CL174" s="475"/>
      <c r="CM174" s="475"/>
      <c r="CN174" s="477"/>
      <c r="CO174" s="477"/>
      <c r="CP174" s="477"/>
      <c r="CQ174" s="477"/>
      <c r="CR174" s="477"/>
      <c r="CS174" s="477"/>
      <c r="CT174" s="477"/>
      <c r="CU174" s="477"/>
      <c r="CV174" s="477"/>
      <c r="CW174" s="477"/>
      <c r="CX174" s="477"/>
      <c r="CY174" s="478"/>
      <c r="CZ174" s="478"/>
      <c r="DA174" s="478"/>
      <c r="DB174" s="478"/>
      <c r="DC174" s="478"/>
      <c r="DD174" s="478"/>
      <c r="DE174" s="478"/>
      <c r="DF174" s="478"/>
      <c r="DG174" s="478"/>
      <c r="DH174" s="478"/>
      <c r="DI174" s="478"/>
      <c r="DJ174" s="478"/>
      <c r="DK174" s="478"/>
      <c r="DL174" s="478"/>
      <c r="DM174" s="478"/>
      <c r="DN174" s="478"/>
      <c r="DO174" s="478"/>
      <c r="DP174" s="478"/>
      <c r="DQ174" s="478"/>
      <c r="DR174" s="478"/>
      <c r="DS174" s="478"/>
      <c r="DT174" s="478"/>
      <c r="DU174" s="478"/>
      <c r="DV174" s="478"/>
      <c r="DW174" s="478"/>
      <c r="DX174" s="478"/>
      <c r="DY174" s="478"/>
      <c r="DZ174" s="478"/>
      <c r="EA174" s="477"/>
      <c r="EB174" s="477"/>
    </row>
    <row r="175" spans="1:132" ht="18.899999999999999" customHeight="1">
      <c r="A175" s="473"/>
      <c r="B175" s="473"/>
      <c r="C175" s="474"/>
      <c r="D175" s="474"/>
      <c r="E175" s="474"/>
      <c r="F175" s="473"/>
      <c r="G175" s="473"/>
      <c r="H175" s="475"/>
      <c r="I175" s="473"/>
      <c r="J175" s="473"/>
      <c r="K175" s="473"/>
      <c r="L175" s="473"/>
      <c r="M175" s="475"/>
      <c r="N175" s="475"/>
      <c r="O175" s="475"/>
      <c r="P175" s="475"/>
      <c r="Q175" s="475"/>
      <c r="R175" s="475"/>
      <c r="S175" s="475"/>
      <c r="T175" s="475"/>
      <c r="U175" s="475"/>
      <c r="V175" s="475"/>
      <c r="W175" s="475"/>
      <c r="X175" s="475"/>
      <c r="Y175" s="475"/>
      <c r="Z175" s="475"/>
      <c r="AA175" s="475"/>
      <c r="AB175" s="475"/>
      <c r="AC175" s="475"/>
      <c r="AD175" s="475"/>
      <c r="AE175" s="475"/>
      <c r="AF175" s="475"/>
      <c r="AG175" s="475"/>
      <c r="AH175" s="475"/>
      <c r="AI175" s="475"/>
      <c r="AJ175" s="475"/>
      <c r="AK175" s="475"/>
      <c r="AL175" s="475"/>
      <c r="AM175" s="475"/>
      <c r="AN175" s="475"/>
      <c r="AO175" s="473"/>
      <c r="AP175" s="473"/>
      <c r="AQ175" s="473"/>
      <c r="AR175" s="473"/>
      <c r="AS175" s="473"/>
      <c r="AT175" s="473"/>
      <c r="AU175" s="473"/>
      <c r="AV175" s="473"/>
      <c r="AW175" s="473"/>
      <c r="AX175" s="473"/>
      <c r="AY175" s="473"/>
      <c r="AZ175" s="473"/>
      <c r="BA175" s="473"/>
      <c r="BB175" s="475"/>
      <c r="BC175" s="475"/>
      <c r="BD175" s="475"/>
      <c r="BE175" s="475"/>
      <c r="BF175" s="475"/>
      <c r="BG175" s="475"/>
      <c r="BH175" s="475"/>
      <c r="BI175" s="475"/>
      <c r="BJ175" s="475"/>
      <c r="BK175" s="475"/>
      <c r="BL175" s="475"/>
      <c r="BM175" s="475"/>
      <c r="BN175" s="475"/>
      <c r="BO175" s="473"/>
      <c r="BP175" s="473"/>
      <c r="BQ175" s="473"/>
      <c r="BR175" s="473"/>
      <c r="BS175" s="475"/>
      <c r="BT175" s="475"/>
      <c r="BU175" s="475"/>
      <c r="BV175" s="475"/>
      <c r="BW175" s="475"/>
      <c r="BX175" s="475"/>
      <c r="BY175" s="475"/>
      <c r="BZ175" s="475"/>
      <c r="CA175" s="475"/>
      <c r="CB175" s="475"/>
      <c r="CC175" s="475"/>
      <c r="CD175" s="475"/>
      <c r="CE175" s="475"/>
      <c r="CF175" s="475"/>
      <c r="CG175" s="475"/>
      <c r="CH175" s="475"/>
      <c r="CI175" s="475"/>
      <c r="CJ175" s="475"/>
      <c r="CK175" s="475"/>
      <c r="CL175" s="475"/>
      <c r="CM175" s="475"/>
      <c r="CN175" s="477"/>
      <c r="CO175" s="477"/>
      <c r="CP175" s="477"/>
      <c r="CQ175" s="477"/>
      <c r="CR175" s="477"/>
      <c r="CS175" s="477"/>
      <c r="CT175" s="477"/>
      <c r="CU175" s="477"/>
      <c r="CV175" s="477"/>
      <c r="CW175" s="477"/>
      <c r="CX175" s="477"/>
      <c r="CY175" s="478"/>
      <c r="CZ175" s="478"/>
      <c r="DA175" s="478"/>
      <c r="DB175" s="478"/>
      <c r="DC175" s="478"/>
      <c r="DD175" s="478"/>
      <c r="DE175" s="478"/>
      <c r="DF175" s="478"/>
      <c r="DG175" s="478"/>
      <c r="DH175" s="478"/>
      <c r="DI175" s="478"/>
      <c r="DJ175" s="478"/>
      <c r="DK175" s="478"/>
      <c r="DL175" s="478"/>
      <c r="DM175" s="478"/>
      <c r="DN175" s="478"/>
      <c r="DO175" s="478"/>
      <c r="DP175" s="478"/>
      <c r="DQ175" s="478"/>
      <c r="DR175" s="478"/>
      <c r="DS175" s="478"/>
      <c r="DT175" s="478"/>
      <c r="DU175" s="478"/>
      <c r="DV175" s="478"/>
      <c r="DW175" s="478"/>
      <c r="DX175" s="478"/>
      <c r="DY175" s="478"/>
      <c r="DZ175" s="478"/>
      <c r="EA175" s="477"/>
      <c r="EB175" s="477"/>
    </row>
    <row r="176" spans="1:132" ht="18.899999999999999" customHeight="1">
      <c r="A176" s="473"/>
      <c r="B176" s="473"/>
      <c r="C176" s="474"/>
      <c r="D176" s="474"/>
      <c r="E176" s="474"/>
      <c r="F176" s="473"/>
      <c r="G176" s="473"/>
      <c r="H176" s="475"/>
      <c r="I176" s="473"/>
      <c r="J176" s="473"/>
      <c r="K176" s="473"/>
      <c r="L176" s="473"/>
      <c r="M176" s="475"/>
      <c r="N176" s="475"/>
      <c r="O176" s="475"/>
      <c r="P176" s="475"/>
      <c r="Q176" s="475"/>
      <c r="R176" s="475"/>
      <c r="S176" s="475"/>
      <c r="T176" s="475"/>
      <c r="U176" s="475"/>
      <c r="V176" s="475"/>
      <c r="W176" s="475"/>
      <c r="X176" s="475"/>
      <c r="Y176" s="475"/>
      <c r="Z176" s="475"/>
      <c r="AA176" s="475"/>
      <c r="AB176" s="475"/>
      <c r="AC176" s="475"/>
      <c r="AD176" s="475"/>
      <c r="AE176" s="475"/>
      <c r="AF176" s="475"/>
      <c r="AG176" s="475"/>
      <c r="AH176" s="475"/>
      <c r="AI176" s="475"/>
      <c r="AJ176" s="475"/>
      <c r="AK176" s="475"/>
      <c r="AL176" s="475"/>
      <c r="AM176" s="475"/>
      <c r="AN176" s="475"/>
      <c r="AO176" s="473"/>
      <c r="AP176" s="473"/>
      <c r="AQ176" s="473"/>
      <c r="AR176" s="473"/>
      <c r="AS176" s="473"/>
      <c r="AT176" s="473"/>
      <c r="AU176" s="473"/>
      <c r="AV176" s="473"/>
      <c r="AW176" s="473"/>
      <c r="AX176" s="473"/>
      <c r="AY176" s="473"/>
      <c r="AZ176" s="473"/>
      <c r="BA176" s="473"/>
      <c r="BB176" s="475"/>
      <c r="BC176" s="475"/>
      <c r="BD176" s="475"/>
      <c r="BE176" s="475"/>
      <c r="BF176" s="475"/>
      <c r="BG176" s="475"/>
      <c r="BH176" s="475"/>
      <c r="BI176" s="475"/>
      <c r="BJ176" s="475"/>
      <c r="BK176" s="475"/>
      <c r="BL176" s="475"/>
      <c r="BM176" s="475"/>
      <c r="BN176" s="475"/>
      <c r="BO176" s="473"/>
      <c r="BP176" s="473"/>
      <c r="BQ176" s="473"/>
      <c r="BR176" s="473"/>
      <c r="BS176" s="475"/>
      <c r="BT176" s="475"/>
      <c r="BU176" s="475"/>
      <c r="BV176" s="475"/>
      <c r="BW176" s="475"/>
      <c r="BX176" s="475"/>
      <c r="BY176" s="475"/>
      <c r="BZ176" s="475"/>
      <c r="CA176" s="475"/>
      <c r="CB176" s="475"/>
      <c r="CC176" s="475"/>
      <c r="CD176" s="475"/>
      <c r="CE176" s="475"/>
      <c r="CF176" s="475"/>
      <c r="CG176" s="475"/>
      <c r="CH176" s="475"/>
      <c r="CI176" s="475"/>
      <c r="CJ176" s="475"/>
      <c r="CK176" s="475"/>
      <c r="CL176" s="475"/>
      <c r="CM176" s="475"/>
      <c r="CN176" s="477"/>
      <c r="CO176" s="477"/>
      <c r="CP176" s="477"/>
      <c r="CQ176" s="477"/>
      <c r="CR176" s="477"/>
      <c r="CS176" s="477"/>
      <c r="CT176" s="477"/>
      <c r="CU176" s="477"/>
      <c r="CV176" s="477"/>
      <c r="CW176" s="477"/>
      <c r="CX176" s="477"/>
      <c r="CY176" s="478"/>
      <c r="CZ176" s="478"/>
      <c r="DA176" s="478"/>
      <c r="DB176" s="478"/>
      <c r="DC176" s="478"/>
      <c r="DD176" s="478"/>
      <c r="DE176" s="478"/>
      <c r="DF176" s="478"/>
      <c r="DG176" s="478"/>
      <c r="DH176" s="478"/>
      <c r="DI176" s="478"/>
      <c r="DJ176" s="478"/>
      <c r="DK176" s="478"/>
      <c r="DL176" s="478"/>
      <c r="DM176" s="478"/>
      <c r="DN176" s="478"/>
      <c r="DO176" s="478"/>
      <c r="DP176" s="478"/>
      <c r="DQ176" s="478"/>
      <c r="DR176" s="478"/>
      <c r="DS176" s="478"/>
      <c r="DT176" s="478"/>
      <c r="DU176" s="478"/>
      <c r="DV176" s="478"/>
      <c r="DW176" s="478"/>
      <c r="DX176" s="478"/>
      <c r="DY176" s="478"/>
      <c r="DZ176" s="478"/>
      <c r="EA176" s="477"/>
      <c r="EB176" s="477"/>
    </row>
    <row r="177" spans="1:132" ht="18.899999999999999" customHeight="1">
      <c r="A177" s="473"/>
      <c r="B177" s="473"/>
      <c r="C177" s="474"/>
      <c r="D177" s="474"/>
      <c r="E177" s="474"/>
      <c r="F177" s="473"/>
      <c r="G177" s="473"/>
      <c r="H177" s="475"/>
      <c r="I177" s="473"/>
      <c r="J177" s="473"/>
      <c r="K177" s="473"/>
      <c r="L177" s="473"/>
      <c r="M177" s="475"/>
      <c r="N177" s="475"/>
      <c r="O177" s="475"/>
      <c r="P177" s="475"/>
      <c r="Q177" s="475"/>
      <c r="R177" s="475"/>
      <c r="S177" s="475"/>
      <c r="T177" s="475"/>
      <c r="U177" s="475"/>
      <c r="V177" s="475"/>
      <c r="W177" s="475"/>
      <c r="X177" s="475"/>
      <c r="Y177" s="475"/>
      <c r="Z177" s="475"/>
      <c r="AA177" s="475"/>
      <c r="AB177" s="475"/>
      <c r="AC177" s="475"/>
      <c r="AD177" s="475"/>
      <c r="AE177" s="475"/>
      <c r="AF177" s="475"/>
      <c r="AG177" s="475"/>
      <c r="AH177" s="475"/>
      <c r="AI177" s="475"/>
      <c r="AJ177" s="475"/>
      <c r="AK177" s="475"/>
      <c r="AL177" s="475"/>
      <c r="AM177" s="475"/>
      <c r="AN177" s="475"/>
      <c r="AO177" s="473"/>
      <c r="AP177" s="473"/>
      <c r="AQ177" s="473"/>
      <c r="AR177" s="473"/>
      <c r="AS177" s="473"/>
      <c r="AT177" s="473"/>
      <c r="AU177" s="473"/>
      <c r="AV177" s="473"/>
      <c r="AW177" s="473"/>
      <c r="AX177" s="473"/>
      <c r="AY177" s="473"/>
      <c r="AZ177" s="473"/>
      <c r="BA177" s="473"/>
      <c r="BB177" s="475"/>
      <c r="BC177" s="475"/>
      <c r="BD177" s="475"/>
      <c r="BE177" s="475"/>
      <c r="BF177" s="475"/>
      <c r="BG177" s="475"/>
      <c r="BH177" s="475"/>
      <c r="BI177" s="475"/>
      <c r="BJ177" s="475"/>
      <c r="BK177" s="475"/>
      <c r="BL177" s="475"/>
      <c r="BM177" s="475"/>
      <c r="BN177" s="475"/>
      <c r="BO177" s="473"/>
      <c r="BP177" s="473"/>
      <c r="BQ177" s="473"/>
      <c r="BR177" s="473"/>
      <c r="BS177" s="475"/>
      <c r="BT177" s="475"/>
      <c r="BU177" s="475"/>
      <c r="BV177" s="475"/>
      <c r="BW177" s="475"/>
      <c r="BX177" s="475"/>
      <c r="BY177" s="475"/>
      <c r="BZ177" s="475"/>
      <c r="CA177" s="475"/>
      <c r="CB177" s="475"/>
      <c r="CC177" s="475"/>
      <c r="CD177" s="475"/>
      <c r="CE177" s="475"/>
      <c r="CF177" s="475"/>
      <c r="CG177" s="475"/>
      <c r="CH177" s="475"/>
      <c r="CI177" s="475"/>
      <c r="CJ177" s="475"/>
      <c r="CK177" s="475"/>
      <c r="CL177" s="475"/>
      <c r="CM177" s="475"/>
      <c r="CN177" s="477"/>
      <c r="CO177" s="477"/>
      <c r="CP177" s="477"/>
      <c r="CQ177" s="477"/>
      <c r="CR177" s="477"/>
      <c r="CS177" s="477"/>
      <c r="CT177" s="477"/>
      <c r="CU177" s="477"/>
      <c r="CV177" s="477"/>
      <c r="CW177" s="477"/>
      <c r="CX177" s="477"/>
      <c r="CY177" s="478"/>
      <c r="CZ177" s="478"/>
      <c r="DA177" s="478"/>
      <c r="DB177" s="478"/>
      <c r="DC177" s="478"/>
      <c r="DD177" s="478"/>
      <c r="DE177" s="478"/>
      <c r="DF177" s="478"/>
      <c r="DG177" s="478"/>
      <c r="DH177" s="478"/>
      <c r="DI177" s="478"/>
      <c r="DJ177" s="478"/>
      <c r="DK177" s="478"/>
      <c r="DL177" s="478"/>
      <c r="DM177" s="478"/>
      <c r="DN177" s="478"/>
      <c r="DO177" s="478"/>
      <c r="DP177" s="478"/>
      <c r="DQ177" s="478"/>
      <c r="DR177" s="478"/>
      <c r="DS177" s="478"/>
      <c r="DT177" s="478"/>
      <c r="DU177" s="478"/>
      <c r="DV177" s="478"/>
      <c r="DW177" s="478"/>
      <c r="DX177" s="478"/>
      <c r="DY177" s="478"/>
      <c r="DZ177" s="478"/>
      <c r="EA177" s="477"/>
      <c r="EB177" s="477"/>
    </row>
    <row r="178" spans="1:132" ht="18.899999999999999" customHeight="1">
      <c r="A178" s="473"/>
      <c r="B178" s="473"/>
      <c r="C178" s="474"/>
      <c r="D178" s="474"/>
      <c r="E178" s="474"/>
      <c r="F178" s="473"/>
      <c r="G178" s="473"/>
      <c r="H178" s="475"/>
      <c r="I178" s="473"/>
      <c r="J178" s="473"/>
      <c r="K178" s="473"/>
      <c r="L178" s="473"/>
      <c r="M178" s="475"/>
      <c r="N178" s="475"/>
      <c r="O178" s="475"/>
      <c r="P178" s="475"/>
      <c r="Q178" s="475"/>
      <c r="R178" s="475"/>
      <c r="S178" s="475"/>
      <c r="T178" s="475"/>
      <c r="U178" s="475"/>
      <c r="V178" s="475"/>
      <c r="W178" s="475"/>
      <c r="X178" s="475"/>
      <c r="Y178" s="475"/>
      <c r="Z178" s="475"/>
      <c r="AA178" s="475"/>
      <c r="AB178" s="475"/>
      <c r="AC178" s="475"/>
      <c r="AD178" s="475"/>
      <c r="AE178" s="475"/>
      <c r="AF178" s="475"/>
      <c r="AG178" s="475"/>
      <c r="AH178" s="475"/>
      <c r="AI178" s="475"/>
      <c r="AJ178" s="475"/>
      <c r="AK178" s="475"/>
      <c r="AL178" s="475"/>
      <c r="AM178" s="475"/>
      <c r="AN178" s="475"/>
      <c r="AO178" s="473"/>
      <c r="AP178" s="473"/>
      <c r="AQ178" s="473"/>
      <c r="AR178" s="473"/>
      <c r="AS178" s="473"/>
      <c r="AT178" s="473"/>
      <c r="AU178" s="473"/>
      <c r="AV178" s="473"/>
      <c r="AW178" s="473"/>
      <c r="AX178" s="473"/>
      <c r="AY178" s="473"/>
      <c r="AZ178" s="473"/>
      <c r="BA178" s="473"/>
      <c r="BB178" s="475"/>
      <c r="BC178" s="475"/>
      <c r="BD178" s="475"/>
      <c r="BE178" s="475"/>
      <c r="BF178" s="475"/>
      <c r="BG178" s="475"/>
      <c r="BH178" s="475"/>
      <c r="BI178" s="475"/>
      <c r="BJ178" s="475"/>
      <c r="BK178" s="475"/>
      <c r="BL178" s="475"/>
      <c r="BM178" s="475"/>
      <c r="BN178" s="475"/>
      <c r="BO178" s="473"/>
      <c r="BP178" s="473"/>
      <c r="BQ178" s="473"/>
      <c r="BR178" s="473"/>
      <c r="BS178" s="475"/>
      <c r="BT178" s="475"/>
      <c r="BU178" s="475"/>
      <c r="BV178" s="475"/>
      <c r="BW178" s="475"/>
      <c r="BX178" s="475"/>
      <c r="BY178" s="475"/>
      <c r="BZ178" s="475"/>
      <c r="CA178" s="475"/>
      <c r="CB178" s="475"/>
      <c r="CC178" s="475"/>
      <c r="CD178" s="475"/>
      <c r="CE178" s="475"/>
      <c r="CF178" s="475"/>
      <c r="CG178" s="475"/>
      <c r="CH178" s="475"/>
      <c r="CI178" s="475"/>
      <c r="CJ178" s="475"/>
      <c r="CK178" s="475"/>
      <c r="CL178" s="475"/>
      <c r="CM178" s="475"/>
      <c r="CN178" s="477"/>
      <c r="CO178" s="477"/>
      <c r="CP178" s="477"/>
      <c r="CQ178" s="477"/>
      <c r="CR178" s="477"/>
      <c r="CS178" s="477"/>
      <c r="CT178" s="477"/>
      <c r="CU178" s="477"/>
      <c r="CV178" s="477"/>
      <c r="CW178" s="477"/>
      <c r="CX178" s="477"/>
      <c r="CY178" s="478"/>
      <c r="CZ178" s="478"/>
      <c r="DA178" s="478"/>
      <c r="DB178" s="478"/>
      <c r="DC178" s="478"/>
      <c r="DD178" s="478"/>
      <c r="DE178" s="478"/>
      <c r="DF178" s="478"/>
      <c r="DG178" s="478"/>
      <c r="DH178" s="478"/>
      <c r="DI178" s="478"/>
      <c r="DJ178" s="478"/>
      <c r="DK178" s="478"/>
      <c r="DL178" s="478"/>
      <c r="DM178" s="478"/>
      <c r="DN178" s="478"/>
      <c r="DO178" s="478"/>
      <c r="DP178" s="478"/>
      <c r="DQ178" s="478"/>
      <c r="DR178" s="478"/>
      <c r="DS178" s="478"/>
      <c r="DT178" s="478"/>
      <c r="DU178" s="478"/>
      <c r="DV178" s="478"/>
      <c r="DW178" s="478"/>
      <c r="DX178" s="478"/>
      <c r="DY178" s="478"/>
      <c r="DZ178" s="478"/>
      <c r="EA178" s="477"/>
      <c r="EB178" s="477"/>
    </row>
    <row r="179" spans="1:132" ht="18.899999999999999" customHeight="1">
      <c r="A179" s="473"/>
      <c r="B179" s="473"/>
      <c r="C179" s="474"/>
      <c r="D179" s="474"/>
      <c r="E179" s="474"/>
      <c r="F179" s="473"/>
      <c r="G179" s="473"/>
      <c r="H179" s="475"/>
      <c r="I179" s="473"/>
      <c r="J179" s="473"/>
      <c r="K179" s="473"/>
      <c r="L179" s="473"/>
      <c r="M179" s="475"/>
      <c r="N179" s="475"/>
      <c r="O179" s="475"/>
      <c r="P179" s="475"/>
      <c r="Q179" s="475"/>
      <c r="R179" s="475"/>
      <c r="S179" s="475"/>
      <c r="T179" s="475"/>
      <c r="U179" s="475"/>
      <c r="V179" s="475"/>
      <c r="W179" s="475"/>
      <c r="X179" s="475"/>
      <c r="Y179" s="475"/>
      <c r="Z179" s="475"/>
      <c r="AA179" s="475"/>
      <c r="AB179" s="475"/>
      <c r="AC179" s="475"/>
      <c r="AD179" s="475"/>
      <c r="AE179" s="475"/>
      <c r="AF179" s="475"/>
      <c r="AG179" s="475"/>
      <c r="AH179" s="475"/>
      <c r="AI179" s="475"/>
      <c r="AJ179" s="475"/>
      <c r="AK179" s="475"/>
      <c r="AL179" s="475"/>
      <c r="AM179" s="475"/>
      <c r="AN179" s="475"/>
      <c r="AO179" s="473"/>
      <c r="AP179" s="473"/>
      <c r="AQ179" s="473"/>
      <c r="AR179" s="473"/>
      <c r="AS179" s="473"/>
      <c r="AT179" s="473"/>
      <c r="AU179" s="473"/>
      <c r="AV179" s="473"/>
      <c r="AW179" s="473"/>
      <c r="AX179" s="473"/>
      <c r="AY179" s="473"/>
      <c r="AZ179" s="473"/>
      <c r="BA179" s="473"/>
      <c r="BB179" s="475"/>
      <c r="BC179" s="475"/>
      <c r="BD179" s="475"/>
      <c r="BE179" s="475"/>
      <c r="BF179" s="475"/>
      <c r="BG179" s="475"/>
      <c r="BH179" s="475"/>
      <c r="BI179" s="475"/>
      <c r="BJ179" s="475"/>
      <c r="BK179" s="475"/>
      <c r="BL179" s="475"/>
      <c r="BM179" s="475"/>
      <c r="BN179" s="475"/>
      <c r="BO179" s="473"/>
      <c r="BP179" s="473"/>
      <c r="BQ179" s="473"/>
      <c r="BR179" s="473"/>
      <c r="BS179" s="475"/>
      <c r="BT179" s="475"/>
      <c r="BU179" s="475"/>
      <c r="BV179" s="475"/>
      <c r="BW179" s="475"/>
      <c r="BX179" s="475"/>
      <c r="BY179" s="475"/>
      <c r="BZ179" s="475"/>
      <c r="CA179" s="475"/>
      <c r="CB179" s="475"/>
      <c r="CC179" s="475"/>
      <c r="CD179" s="475"/>
      <c r="CE179" s="475"/>
      <c r="CF179" s="475"/>
      <c r="CG179" s="475"/>
      <c r="CH179" s="475"/>
      <c r="CI179" s="475"/>
      <c r="CJ179" s="475"/>
      <c r="CK179" s="475"/>
      <c r="CL179" s="475"/>
      <c r="CM179" s="475"/>
      <c r="CN179" s="477"/>
      <c r="CO179" s="477"/>
      <c r="CP179" s="477"/>
      <c r="CQ179" s="477"/>
      <c r="CR179" s="477"/>
      <c r="CS179" s="477"/>
      <c r="CT179" s="477"/>
      <c r="CU179" s="477"/>
      <c r="CV179" s="477"/>
      <c r="CW179" s="477"/>
      <c r="CX179" s="477"/>
      <c r="CY179" s="478"/>
      <c r="CZ179" s="478"/>
      <c r="DA179" s="478"/>
      <c r="DB179" s="478"/>
      <c r="DC179" s="478"/>
      <c r="DD179" s="478"/>
      <c r="DE179" s="478"/>
      <c r="DF179" s="478"/>
      <c r="DG179" s="478"/>
      <c r="DH179" s="478"/>
      <c r="DI179" s="478"/>
      <c r="DJ179" s="478"/>
      <c r="DK179" s="478"/>
      <c r="DL179" s="478"/>
      <c r="DM179" s="478"/>
      <c r="DN179" s="478"/>
      <c r="DO179" s="478"/>
      <c r="DP179" s="478"/>
      <c r="DQ179" s="478"/>
      <c r="DR179" s="478"/>
      <c r="DS179" s="478"/>
      <c r="DT179" s="478"/>
      <c r="DU179" s="478"/>
      <c r="DV179" s="478"/>
      <c r="DW179" s="478"/>
      <c r="DX179" s="478"/>
      <c r="DY179" s="478"/>
      <c r="DZ179" s="478"/>
      <c r="EA179" s="477"/>
      <c r="EB179" s="477"/>
    </row>
    <row r="180" spans="1:132" ht="18.899999999999999" customHeight="1">
      <c r="A180" s="473"/>
      <c r="B180" s="473"/>
      <c r="C180" s="474"/>
      <c r="D180" s="474"/>
      <c r="E180" s="474"/>
      <c r="F180" s="473"/>
      <c r="G180" s="473"/>
      <c r="H180" s="475"/>
      <c r="I180" s="473"/>
      <c r="J180" s="473"/>
      <c r="K180" s="473"/>
      <c r="L180" s="473"/>
      <c r="M180" s="475"/>
      <c r="N180" s="475"/>
      <c r="O180" s="475"/>
      <c r="P180" s="475"/>
      <c r="Q180" s="475"/>
      <c r="R180" s="475"/>
      <c r="S180" s="475"/>
      <c r="T180" s="475"/>
      <c r="U180" s="475"/>
      <c r="V180" s="475"/>
      <c r="W180" s="475"/>
      <c r="X180" s="475"/>
      <c r="Y180" s="475"/>
      <c r="Z180" s="475"/>
      <c r="AA180" s="475"/>
      <c r="AB180" s="475"/>
      <c r="AC180" s="475"/>
      <c r="AD180" s="475"/>
      <c r="AE180" s="475"/>
      <c r="AF180" s="475"/>
      <c r="AG180" s="475"/>
      <c r="AH180" s="475"/>
      <c r="AI180" s="475"/>
      <c r="AJ180" s="475"/>
      <c r="AK180" s="475"/>
      <c r="AL180" s="475"/>
      <c r="AM180" s="475"/>
      <c r="AN180" s="475"/>
      <c r="AO180" s="473"/>
      <c r="AP180" s="473"/>
      <c r="AQ180" s="473"/>
      <c r="AR180" s="473"/>
      <c r="AS180" s="473"/>
      <c r="AT180" s="473"/>
      <c r="AU180" s="473"/>
      <c r="AV180" s="473"/>
      <c r="AW180" s="473"/>
      <c r="AX180" s="473"/>
      <c r="AY180" s="473"/>
      <c r="AZ180" s="473"/>
      <c r="BA180" s="473"/>
      <c r="BB180" s="475"/>
      <c r="BC180" s="475"/>
      <c r="BD180" s="475"/>
      <c r="BE180" s="475"/>
      <c r="BF180" s="475"/>
      <c r="BG180" s="475"/>
      <c r="BH180" s="475"/>
      <c r="BI180" s="475"/>
      <c r="BJ180" s="475"/>
      <c r="BK180" s="475"/>
      <c r="BL180" s="475"/>
      <c r="BM180" s="475"/>
      <c r="BN180" s="475"/>
      <c r="BO180" s="473"/>
      <c r="BP180" s="473"/>
      <c r="BQ180" s="473"/>
      <c r="BR180" s="473"/>
      <c r="BS180" s="475"/>
      <c r="BT180" s="475"/>
      <c r="BU180" s="475"/>
      <c r="BV180" s="475"/>
      <c r="BW180" s="475"/>
      <c r="BX180" s="475"/>
      <c r="BY180" s="475"/>
      <c r="BZ180" s="475"/>
      <c r="CA180" s="475"/>
      <c r="CB180" s="475"/>
      <c r="CC180" s="475"/>
      <c r="CD180" s="475"/>
      <c r="CE180" s="475"/>
      <c r="CF180" s="475"/>
      <c r="CG180" s="475"/>
      <c r="CH180" s="475"/>
      <c r="CI180" s="475"/>
      <c r="CJ180" s="475"/>
      <c r="CK180" s="475"/>
      <c r="CL180" s="475"/>
      <c r="CM180" s="475"/>
      <c r="CN180" s="477"/>
      <c r="CO180" s="477"/>
      <c r="CP180" s="477"/>
      <c r="CQ180" s="477"/>
      <c r="CR180" s="477"/>
      <c r="CS180" s="477"/>
      <c r="CT180" s="477"/>
      <c r="CU180" s="477"/>
      <c r="CV180" s="477"/>
      <c r="CW180" s="477"/>
      <c r="CX180" s="477"/>
      <c r="CY180" s="478"/>
      <c r="CZ180" s="478"/>
      <c r="DA180" s="478"/>
      <c r="DB180" s="478"/>
      <c r="DC180" s="478"/>
      <c r="DD180" s="478"/>
      <c r="DE180" s="478"/>
      <c r="DF180" s="478"/>
      <c r="DG180" s="478"/>
      <c r="DH180" s="478"/>
      <c r="DI180" s="478"/>
      <c r="DJ180" s="478"/>
      <c r="DK180" s="478"/>
      <c r="DL180" s="478"/>
      <c r="DM180" s="478"/>
      <c r="DN180" s="478"/>
      <c r="DO180" s="478"/>
      <c r="DP180" s="478"/>
      <c r="DQ180" s="478"/>
      <c r="DR180" s="478"/>
      <c r="DS180" s="478"/>
      <c r="DT180" s="478"/>
      <c r="DU180" s="478"/>
      <c r="DV180" s="478"/>
      <c r="DW180" s="478"/>
      <c r="DX180" s="478"/>
      <c r="DY180" s="478"/>
      <c r="DZ180" s="478"/>
      <c r="EA180" s="477"/>
      <c r="EB180" s="477"/>
    </row>
    <row r="181" spans="1:132" ht="18.899999999999999" customHeight="1">
      <c r="A181" s="473"/>
      <c r="B181" s="473"/>
      <c r="C181" s="474"/>
      <c r="D181" s="474"/>
      <c r="E181" s="474"/>
      <c r="F181" s="473"/>
      <c r="G181" s="473"/>
      <c r="H181" s="475"/>
      <c r="I181" s="473"/>
      <c r="J181" s="473"/>
      <c r="K181" s="473"/>
      <c r="L181" s="473"/>
      <c r="M181" s="475"/>
      <c r="N181" s="475"/>
      <c r="O181" s="475"/>
      <c r="P181" s="475"/>
      <c r="Q181" s="475"/>
      <c r="R181" s="475"/>
      <c r="S181" s="475"/>
      <c r="T181" s="475"/>
      <c r="U181" s="475"/>
      <c r="V181" s="475"/>
      <c r="W181" s="475"/>
      <c r="X181" s="475"/>
      <c r="Y181" s="475"/>
      <c r="Z181" s="475"/>
      <c r="AA181" s="475"/>
      <c r="AB181" s="475"/>
      <c r="AC181" s="475"/>
      <c r="AD181" s="475"/>
      <c r="AE181" s="475"/>
      <c r="AF181" s="475"/>
      <c r="AG181" s="475"/>
      <c r="AH181" s="475"/>
      <c r="AI181" s="475"/>
      <c r="AJ181" s="475"/>
      <c r="AK181" s="475"/>
      <c r="AL181" s="475"/>
      <c r="AM181" s="475"/>
      <c r="AN181" s="475"/>
      <c r="AO181" s="473"/>
      <c r="AP181" s="473"/>
      <c r="AQ181" s="473"/>
      <c r="AR181" s="473"/>
      <c r="AS181" s="473"/>
      <c r="AT181" s="473"/>
      <c r="AU181" s="473"/>
      <c r="AV181" s="473"/>
      <c r="AW181" s="473"/>
      <c r="AX181" s="473"/>
      <c r="AY181" s="473"/>
      <c r="AZ181" s="473"/>
      <c r="BA181" s="473"/>
      <c r="BB181" s="475"/>
      <c r="BC181" s="475"/>
      <c r="BD181" s="475"/>
      <c r="BE181" s="475"/>
      <c r="BF181" s="475"/>
      <c r="BG181" s="475"/>
      <c r="BH181" s="475"/>
      <c r="BI181" s="475"/>
      <c r="BJ181" s="475"/>
      <c r="BK181" s="475"/>
      <c r="BL181" s="475"/>
      <c r="BM181" s="475"/>
      <c r="BN181" s="475"/>
      <c r="BO181" s="473"/>
      <c r="BP181" s="473"/>
      <c r="BQ181" s="473"/>
      <c r="BR181" s="473"/>
      <c r="BS181" s="475"/>
      <c r="BT181" s="475"/>
      <c r="BU181" s="475"/>
      <c r="BV181" s="475"/>
      <c r="BW181" s="475"/>
      <c r="BX181" s="475"/>
      <c r="BY181" s="475"/>
      <c r="BZ181" s="475"/>
      <c r="CA181" s="475"/>
      <c r="CB181" s="475"/>
      <c r="CC181" s="475"/>
      <c r="CD181" s="475"/>
      <c r="CE181" s="475"/>
      <c r="CF181" s="475"/>
      <c r="CG181" s="475"/>
      <c r="CH181" s="475"/>
      <c r="CI181" s="475"/>
      <c r="CJ181" s="475"/>
      <c r="CK181" s="475"/>
      <c r="CL181" s="475"/>
      <c r="CM181" s="475"/>
      <c r="CN181" s="477"/>
      <c r="CO181" s="477"/>
      <c r="CP181" s="477"/>
      <c r="CQ181" s="477"/>
      <c r="CR181" s="477"/>
      <c r="CS181" s="477"/>
      <c r="CT181" s="477"/>
      <c r="CU181" s="477"/>
      <c r="CV181" s="477"/>
      <c r="CW181" s="477"/>
      <c r="CX181" s="477"/>
      <c r="CY181" s="478"/>
      <c r="CZ181" s="478"/>
      <c r="DA181" s="478"/>
      <c r="DB181" s="478"/>
      <c r="DC181" s="478"/>
      <c r="DD181" s="478"/>
      <c r="DE181" s="478"/>
      <c r="DF181" s="478"/>
      <c r="DG181" s="478"/>
      <c r="DH181" s="478"/>
      <c r="DI181" s="478"/>
      <c r="DJ181" s="478"/>
      <c r="DK181" s="478"/>
      <c r="DL181" s="478"/>
      <c r="DM181" s="478"/>
      <c r="DN181" s="478"/>
      <c r="DO181" s="478"/>
      <c r="DP181" s="478"/>
      <c r="DQ181" s="478"/>
      <c r="DR181" s="478"/>
      <c r="DS181" s="478"/>
      <c r="DT181" s="478"/>
      <c r="DU181" s="478"/>
      <c r="DV181" s="478"/>
      <c r="DW181" s="478"/>
      <c r="DX181" s="478"/>
      <c r="DY181" s="478"/>
      <c r="DZ181" s="478"/>
      <c r="EA181" s="477"/>
      <c r="EB181" s="477"/>
    </row>
    <row r="182" spans="1:132" ht="18.899999999999999" customHeight="1">
      <c r="A182" s="473"/>
      <c r="B182" s="473"/>
      <c r="C182" s="474"/>
      <c r="D182" s="474"/>
      <c r="E182" s="474"/>
      <c r="F182" s="473"/>
      <c r="G182" s="473"/>
      <c r="H182" s="475"/>
      <c r="I182" s="473"/>
      <c r="J182" s="473"/>
      <c r="K182" s="473"/>
      <c r="L182" s="473"/>
      <c r="M182" s="475"/>
      <c r="N182" s="475"/>
      <c r="O182" s="475"/>
      <c r="P182" s="475"/>
      <c r="Q182" s="475"/>
      <c r="R182" s="475"/>
      <c r="S182" s="475"/>
      <c r="T182" s="475"/>
      <c r="U182" s="475"/>
      <c r="V182" s="475"/>
      <c r="W182" s="475"/>
      <c r="X182" s="475"/>
      <c r="Y182" s="475"/>
      <c r="Z182" s="475"/>
      <c r="AA182" s="475"/>
      <c r="AB182" s="475"/>
      <c r="AC182" s="475"/>
      <c r="AD182" s="475"/>
      <c r="AE182" s="475"/>
      <c r="AF182" s="475"/>
      <c r="AG182" s="475"/>
      <c r="AH182" s="475"/>
      <c r="AI182" s="475"/>
      <c r="AJ182" s="475"/>
      <c r="AK182" s="475"/>
      <c r="AL182" s="475"/>
      <c r="AM182" s="475"/>
      <c r="AN182" s="475"/>
      <c r="AO182" s="473"/>
      <c r="AP182" s="473"/>
      <c r="AQ182" s="473"/>
      <c r="AR182" s="473"/>
      <c r="AS182" s="473"/>
      <c r="AT182" s="473"/>
      <c r="AU182" s="473"/>
      <c r="AV182" s="473"/>
      <c r="AW182" s="473"/>
      <c r="AX182" s="473"/>
      <c r="AY182" s="473"/>
      <c r="AZ182" s="473"/>
      <c r="BA182" s="473"/>
      <c r="BB182" s="475"/>
      <c r="BC182" s="475"/>
      <c r="BD182" s="475"/>
      <c r="BE182" s="475"/>
      <c r="BF182" s="475"/>
      <c r="BG182" s="475"/>
      <c r="BH182" s="475"/>
      <c r="BI182" s="475"/>
      <c r="BJ182" s="475"/>
      <c r="BK182" s="475"/>
      <c r="BL182" s="475"/>
      <c r="BM182" s="475"/>
      <c r="BN182" s="475"/>
      <c r="BO182" s="473"/>
      <c r="BP182" s="473"/>
      <c r="BQ182" s="473"/>
      <c r="BR182" s="473"/>
      <c r="BS182" s="475"/>
      <c r="BT182" s="475"/>
      <c r="BU182" s="475"/>
      <c r="BV182" s="475"/>
      <c r="BW182" s="475"/>
      <c r="BX182" s="475"/>
      <c r="BY182" s="475"/>
      <c r="BZ182" s="475"/>
      <c r="CA182" s="475"/>
      <c r="CB182" s="475"/>
      <c r="CC182" s="475"/>
      <c r="CD182" s="475"/>
      <c r="CE182" s="475"/>
      <c r="CF182" s="475"/>
      <c r="CG182" s="475"/>
      <c r="CH182" s="475"/>
      <c r="CI182" s="475"/>
      <c r="CJ182" s="475"/>
      <c r="CK182" s="475"/>
      <c r="CL182" s="475"/>
      <c r="CM182" s="475"/>
      <c r="CN182" s="477"/>
      <c r="CO182" s="477"/>
      <c r="CP182" s="477"/>
      <c r="CQ182" s="477"/>
      <c r="CR182" s="477"/>
      <c r="CS182" s="477"/>
      <c r="CT182" s="477"/>
      <c r="CU182" s="477"/>
      <c r="CV182" s="477"/>
      <c r="CW182" s="477"/>
      <c r="CX182" s="477"/>
      <c r="CY182" s="478"/>
      <c r="CZ182" s="478"/>
      <c r="DA182" s="478"/>
      <c r="DB182" s="478"/>
      <c r="DC182" s="478"/>
      <c r="DD182" s="478"/>
      <c r="DE182" s="478"/>
      <c r="DF182" s="478"/>
      <c r="DG182" s="478"/>
      <c r="DH182" s="478"/>
      <c r="DI182" s="478"/>
      <c r="DJ182" s="478"/>
      <c r="DK182" s="478"/>
      <c r="DL182" s="478"/>
      <c r="DM182" s="478"/>
      <c r="DN182" s="478"/>
      <c r="DO182" s="478"/>
      <c r="DP182" s="478"/>
      <c r="DQ182" s="478"/>
      <c r="DR182" s="478"/>
      <c r="DS182" s="478"/>
      <c r="DT182" s="478"/>
      <c r="DU182" s="478"/>
      <c r="DV182" s="478"/>
      <c r="DW182" s="478"/>
      <c r="DX182" s="478"/>
      <c r="DY182" s="478"/>
      <c r="DZ182" s="478"/>
      <c r="EA182" s="477"/>
      <c r="EB182" s="477"/>
    </row>
    <row r="183" spans="1:132" ht="18.899999999999999" customHeight="1">
      <c r="A183" s="473"/>
      <c r="B183" s="473"/>
      <c r="C183" s="474"/>
      <c r="D183" s="474"/>
      <c r="E183" s="474"/>
      <c r="F183" s="473"/>
      <c r="G183" s="473"/>
      <c r="H183" s="475"/>
      <c r="I183" s="473"/>
      <c r="J183" s="473"/>
      <c r="K183" s="473"/>
      <c r="L183" s="473"/>
      <c r="M183" s="475"/>
      <c r="N183" s="475"/>
      <c r="O183" s="475"/>
      <c r="P183" s="475"/>
      <c r="Q183" s="475"/>
      <c r="R183" s="475"/>
      <c r="S183" s="475"/>
      <c r="T183" s="475"/>
      <c r="U183" s="475"/>
      <c r="V183" s="475"/>
      <c r="W183" s="475"/>
      <c r="X183" s="475"/>
      <c r="Y183" s="475"/>
      <c r="Z183" s="475"/>
      <c r="AA183" s="475"/>
      <c r="AB183" s="475"/>
      <c r="AC183" s="475"/>
      <c r="AD183" s="475"/>
      <c r="AE183" s="475"/>
      <c r="AF183" s="475"/>
      <c r="AG183" s="475"/>
      <c r="AH183" s="475"/>
      <c r="AI183" s="475"/>
      <c r="AJ183" s="475"/>
      <c r="AK183" s="475"/>
      <c r="AL183" s="475"/>
      <c r="AM183" s="475"/>
      <c r="AN183" s="475"/>
      <c r="AO183" s="473"/>
      <c r="AP183" s="473"/>
      <c r="AQ183" s="473"/>
      <c r="AR183" s="473"/>
      <c r="AS183" s="473"/>
      <c r="AT183" s="473"/>
      <c r="AU183" s="473"/>
      <c r="AV183" s="473"/>
      <c r="AW183" s="473"/>
      <c r="AX183" s="473"/>
      <c r="AY183" s="473"/>
      <c r="AZ183" s="473"/>
      <c r="BA183" s="473"/>
      <c r="BB183" s="475"/>
      <c r="BC183" s="475"/>
      <c r="BD183" s="475"/>
      <c r="BE183" s="475"/>
      <c r="BF183" s="475"/>
      <c r="BG183" s="475"/>
      <c r="BH183" s="475"/>
      <c r="BI183" s="475"/>
      <c r="BJ183" s="475"/>
      <c r="BK183" s="475"/>
      <c r="BL183" s="475"/>
      <c r="BM183" s="475"/>
      <c r="BN183" s="475"/>
      <c r="BO183" s="473"/>
      <c r="BP183" s="473"/>
      <c r="BQ183" s="473"/>
      <c r="BR183" s="473"/>
      <c r="BS183" s="475"/>
      <c r="BT183" s="475"/>
      <c r="BU183" s="475"/>
      <c r="BV183" s="475"/>
      <c r="BW183" s="475"/>
      <c r="BX183" s="475"/>
      <c r="BY183" s="475"/>
      <c r="BZ183" s="475"/>
      <c r="CA183" s="475"/>
      <c r="CB183" s="475"/>
      <c r="CC183" s="475"/>
      <c r="CD183" s="475"/>
      <c r="CE183" s="475"/>
      <c r="CF183" s="475"/>
      <c r="CG183" s="475"/>
      <c r="CH183" s="475"/>
      <c r="CI183" s="475"/>
      <c r="CJ183" s="475"/>
      <c r="CK183" s="475"/>
      <c r="CL183" s="475"/>
      <c r="CM183" s="475"/>
      <c r="CN183" s="477"/>
      <c r="CO183" s="477"/>
      <c r="CP183" s="477"/>
      <c r="CQ183" s="477"/>
      <c r="CR183" s="477"/>
      <c r="CS183" s="477"/>
      <c r="CT183" s="477"/>
      <c r="CU183" s="477"/>
      <c r="CV183" s="477"/>
      <c r="CW183" s="477"/>
      <c r="CX183" s="477"/>
      <c r="CY183" s="478"/>
      <c r="CZ183" s="478"/>
      <c r="DA183" s="478"/>
      <c r="DB183" s="478"/>
      <c r="DC183" s="478"/>
      <c r="DD183" s="478"/>
      <c r="DE183" s="478"/>
      <c r="DF183" s="478"/>
      <c r="DG183" s="478"/>
      <c r="DH183" s="478"/>
      <c r="DI183" s="478"/>
      <c r="DJ183" s="478"/>
      <c r="DK183" s="478"/>
      <c r="DL183" s="478"/>
      <c r="DM183" s="478"/>
      <c r="DN183" s="478"/>
      <c r="DO183" s="478"/>
      <c r="DP183" s="478"/>
      <c r="DQ183" s="478"/>
      <c r="DR183" s="478"/>
      <c r="DS183" s="478"/>
      <c r="DT183" s="478"/>
      <c r="DU183" s="478"/>
      <c r="DV183" s="478"/>
      <c r="DW183" s="478"/>
      <c r="DX183" s="478"/>
      <c r="DY183" s="478"/>
      <c r="DZ183" s="478"/>
      <c r="EA183" s="477"/>
      <c r="EB183" s="477"/>
    </row>
    <row r="184" spans="1:132" ht="18.899999999999999" customHeight="1">
      <c r="A184" s="473"/>
      <c r="B184" s="473"/>
      <c r="C184" s="474"/>
      <c r="D184" s="474"/>
      <c r="E184" s="474"/>
      <c r="F184" s="473"/>
      <c r="G184" s="473"/>
      <c r="H184" s="475"/>
      <c r="I184" s="473"/>
      <c r="J184" s="473"/>
      <c r="K184" s="473"/>
      <c r="L184" s="473"/>
      <c r="M184" s="475"/>
      <c r="N184" s="475"/>
      <c r="O184" s="475"/>
      <c r="P184" s="475"/>
      <c r="Q184" s="475"/>
      <c r="R184" s="475"/>
      <c r="S184" s="475"/>
      <c r="T184" s="475"/>
      <c r="U184" s="475"/>
      <c r="V184" s="475"/>
      <c r="W184" s="475"/>
      <c r="X184" s="475"/>
      <c r="Y184" s="475"/>
      <c r="Z184" s="475"/>
      <c r="AA184" s="475"/>
      <c r="AB184" s="475"/>
      <c r="AC184" s="475"/>
      <c r="AD184" s="475"/>
      <c r="AE184" s="475"/>
      <c r="AF184" s="475"/>
      <c r="AG184" s="475"/>
      <c r="AH184" s="475"/>
      <c r="AI184" s="475"/>
      <c r="AJ184" s="475"/>
      <c r="AK184" s="475"/>
      <c r="AL184" s="475"/>
      <c r="AM184" s="475"/>
      <c r="AN184" s="475"/>
      <c r="AO184" s="473"/>
      <c r="AP184" s="473"/>
      <c r="AQ184" s="473"/>
      <c r="AR184" s="473"/>
      <c r="AS184" s="473"/>
      <c r="AT184" s="473"/>
      <c r="AU184" s="473"/>
      <c r="AV184" s="473"/>
      <c r="AW184" s="473"/>
      <c r="AX184" s="473"/>
      <c r="AY184" s="473"/>
      <c r="AZ184" s="473"/>
      <c r="BA184" s="473"/>
      <c r="BB184" s="475"/>
      <c r="BC184" s="475"/>
      <c r="BD184" s="475"/>
      <c r="BE184" s="475"/>
      <c r="BF184" s="475"/>
      <c r="BG184" s="475"/>
      <c r="BH184" s="475"/>
      <c r="BI184" s="475"/>
      <c r="BJ184" s="475"/>
      <c r="BK184" s="475"/>
      <c r="BL184" s="475"/>
      <c r="BM184" s="475"/>
      <c r="BN184" s="475"/>
      <c r="BO184" s="473"/>
      <c r="BP184" s="473"/>
      <c r="BQ184" s="473"/>
      <c r="BR184" s="473"/>
      <c r="BS184" s="475"/>
      <c r="BT184" s="475"/>
      <c r="BU184" s="475"/>
      <c r="BV184" s="475"/>
      <c r="BW184" s="475"/>
      <c r="BX184" s="475"/>
      <c r="BY184" s="475"/>
      <c r="BZ184" s="475"/>
      <c r="CA184" s="475"/>
      <c r="CB184" s="475"/>
      <c r="CC184" s="475"/>
      <c r="CD184" s="475"/>
      <c r="CE184" s="475"/>
      <c r="CF184" s="475"/>
      <c r="CG184" s="475"/>
      <c r="CH184" s="475"/>
      <c r="CI184" s="475"/>
      <c r="CJ184" s="475"/>
      <c r="CK184" s="475"/>
      <c r="CL184" s="475"/>
      <c r="CM184" s="475"/>
      <c r="CN184" s="477"/>
      <c r="CO184" s="477"/>
      <c r="CP184" s="477"/>
      <c r="CQ184" s="477"/>
      <c r="CR184" s="477"/>
      <c r="CS184" s="477"/>
      <c r="CT184" s="477"/>
      <c r="CU184" s="477"/>
      <c r="CV184" s="477"/>
      <c r="CW184" s="477"/>
      <c r="CX184" s="477"/>
      <c r="CY184" s="478"/>
      <c r="CZ184" s="478"/>
      <c r="DA184" s="478"/>
      <c r="DB184" s="478"/>
      <c r="DC184" s="478"/>
      <c r="DD184" s="478"/>
      <c r="DE184" s="478"/>
      <c r="DF184" s="478"/>
      <c r="DG184" s="478"/>
      <c r="DH184" s="478"/>
      <c r="DI184" s="478"/>
      <c r="DJ184" s="478"/>
      <c r="DK184" s="478"/>
      <c r="DL184" s="478"/>
      <c r="DM184" s="478"/>
      <c r="DN184" s="478"/>
      <c r="DO184" s="478"/>
      <c r="DP184" s="478"/>
      <c r="DQ184" s="478"/>
      <c r="DR184" s="478"/>
      <c r="DS184" s="478"/>
      <c r="DT184" s="478"/>
      <c r="DU184" s="478"/>
      <c r="DV184" s="478"/>
      <c r="DW184" s="478"/>
      <c r="DX184" s="478"/>
      <c r="DY184" s="478"/>
      <c r="DZ184" s="478"/>
      <c r="EA184" s="477"/>
      <c r="EB184" s="477"/>
    </row>
    <row r="185" spans="1:132" ht="18.899999999999999" customHeight="1">
      <c r="A185" s="473"/>
      <c r="B185" s="473"/>
      <c r="C185" s="474"/>
      <c r="D185" s="474"/>
      <c r="E185" s="474"/>
      <c r="F185" s="473"/>
      <c r="G185" s="473"/>
      <c r="H185" s="475"/>
      <c r="I185" s="473"/>
      <c r="J185" s="473"/>
      <c r="K185" s="473"/>
      <c r="L185" s="473"/>
      <c r="M185" s="475"/>
      <c r="N185" s="475"/>
      <c r="O185" s="475"/>
      <c r="P185" s="475"/>
      <c r="Q185" s="475"/>
      <c r="R185" s="475"/>
      <c r="S185" s="475"/>
      <c r="T185" s="475"/>
      <c r="U185" s="475"/>
      <c r="V185" s="475"/>
      <c r="W185" s="475"/>
      <c r="X185" s="475"/>
      <c r="Y185" s="475"/>
      <c r="Z185" s="475"/>
      <c r="AA185" s="475"/>
      <c r="AB185" s="475"/>
      <c r="AC185" s="475"/>
      <c r="AD185" s="475"/>
      <c r="AE185" s="475"/>
      <c r="AF185" s="475"/>
      <c r="AG185" s="475"/>
      <c r="AH185" s="475"/>
      <c r="AI185" s="475"/>
      <c r="AJ185" s="475"/>
      <c r="AK185" s="475"/>
      <c r="AL185" s="475"/>
      <c r="AM185" s="475"/>
      <c r="AN185" s="475"/>
      <c r="AO185" s="473"/>
      <c r="AP185" s="473"/>
      <c r="AQ185" s="473"/>
      <c r="AR185" s="473"/>
      <c r="AS185" s="473"/>
      <c r="AT185" s="473"/>
      <c r="AU185" s="473"/>
      <c r="AV185" s="473"/>
      <c r="AW185" s="473"/>
      <c r="AX185" s="473"/>
      <c r="AY185" s="473"/>
      <c r="AZ185" s="473"/>
      <c r="BA185" s="473"/>
      <c r="BB185" s="475"/>
      <c r="BC185" s="475"/>
      <c r="BD185" s="475"/>
      <c r="BE185" s="475"/>
      <c r="BF185" s="475"/>
      <c r="BG185" s="475"/>
      <c r="BH185" s="475"/>
      <c r="BI185" s="475"/>
      <c r="BJ185" s="475"/>
      <c r="BK185" s="475"/>
      <c r="BL185" s="475"/>
      <c r="BM185" s="475"/>
      <c r="BN185" s="475"/>
      <c r="BO185" s="473"/>
      <c r="BP185" s="473"/>
      <c r="BQ185" s="473"/>
      <c r="BR185" s="473"/>
      <c r="BS185" s="475"/>
      <c r="BT185" s="475"/>
      <c r="BU185" s="475"/>
      <c r="BV185" s="475"/>
      <c r="BW185" s="475"/>
      <c r="BX185" s="475"/>
      <c r="BY185" s="475"/>
      <c r="BZ185" s="475"/>
      <c r="CA185" s="475"/>
      <c r="CB185" s="475"/>
      <c r="CC185" s="475"/>
      <c r="CD185" s="475"/>
      <c r="CE185" s="475"/>
      <c r="CF185" s="475"/>
      <c r="CG185" s="475"/>
      <c r="CH185" s="475"/>
      <c r="CI185" s="475"/>
      <c r="CJ185" s="475"/>
      <c r="CK185" s="475"/>
      <c r="CL185" s="475"/>
      <c r="CM185" s="475"/>
      <c r="CN185" s="477"/>
      <c r="CO185" s="477"/>
      <c r="CP185" s="477"/>
      <c r="CQ185" s="477"/>
      <c r="CR185" s="477"/>
      <c r="CS185" s="477"/>
      <c r="CT185" s="477"/>
      <c r="CU185" s="477"/>
      <c r="CV185" s="477"/>
      <c r="CW185" s="477"/>
      <c r="CX185" s="477"/>
      <c r="CY185" s="478"/>
      <c r="CZ185" s="478"/>
      <c r="DA185" s="478"/>
      <c r="DB185" s="478"/>
      <c r="DC185" s="478"/>
      <c r="DD185" s="478"/>
      <c r="DE185" s="478"/>
      <c r="DF185" s="478"/>
      <c r="DG185" s="478"/>
      <c r="DH185" s="478"/>
      <c r="DI185" s="478"/>
      <c r="DJ185" s="478"/>
      <c r="DK185" s="478"/>
      <c r="DL185" s="478"/>
      <c r="DM185" s="478"/>
      <c r="DN185" s="478"/>
      <c r="DO185" s="478"/>
      <c r="DP185" s="478"/>
      <c r="DQ185" s="478"/>
      <c r="DR185" s="478"/>
      <c r="DS185" s="478"/>
      <c r="DT185" s="478"/>
      <c r="DU185" s="478"/>
      <c r="DV185" s="478"/>
      <c r="DW185" s="478"/>
      <c r="DX185" s="478"/>
      <c r="DY185" s="478"/>
      <c r="DZ185" s="478"/>
      <c r="EA185" s="477"/>
      <c r="EB185" s="477"/>
    </row>
    <row r="186" spans="1:132" ht="18.899999999999999" customHeight="1">
      <c r="A186" s="473"/>
      <c r="B186" s="473"/>
      <c r="C186" s="474"/>
      <c r="D186" s="474"/>
      <c r="E186" s="474"/>
      <c r="F186" s="473"/>
      <c r="G186" s="473"/>
      <c r="H186" s="475"/>
      <c r="I186" s="473"/>
      <c r="J186" s="473"/>
      <c r="K186" s="473"/>
      <c r="L186" s="473"/>
      <c r="M186" s="475"/>
      <c r="N186" s="475"/>
      <c r="O186" s="475"/>
      <c r="P186" s="475"/>
      <c r="Q186" s="475"/>
      <c r="R186" s="475"/>
      <c r="S186" s="475"/>
      <c r="T186" s="475"/>
      <c r="U186" s="475"/>
      <c r="V186" s="475"/>
      <c r="W186" s="475"/>
      <c r="X186" s="475"/>
      <c r="Y186" s="475"/>
      <c r="Z186" s="475"/>
      <c r="AA186" s="475"/>
      <c r="AB186" s="475"/>
      <c r="AC186" s="475"/>
      <c r="AD186" s="475"/>
      <c r="AE186" s="475"/>
      <c r="AF186" s="475"/>
      <c r="AG186" s="475"/>
      <c r="AH186" s="475"/>
      <c r="AI186" s="475"/>
      <c r="AJ186" s="475"/>
      <c r="AK186" s="475"/>
      <c r="AL186" s="475"/>
      <c r="AM186" s="475"/>
      <c r="AN186" s="475"/>
      <c r="AO186" s="473"/>
      <c r="AP186" s="473"/>
      <c r="AQ186" s="473"/>
      <c r="AR186" s="473"/>
      <c r="AS186" s="473"/>
      <c r="AT186" s="473"/>
      <c r="AU186" s="473"/>
      <c r="AV186" s="473"/>
      <c r="AW186" s="473"/>
      <c r="AX186" s="473"/>
      <c r="AY186" s="473"/>
      <c r="AZ186" s="473"/>
      <c r="BA186" s="473"/>
      <c r="BB186" s="475"/>
      <c r="BC186" s="475"/>
      <c r="BD186" s="475"/>
      <c r="BE186" s="475"/>
      <c r="BF186" s="475"/>
      <c r="BG186" s="475"/>
      <c r="BH186" s="475"/>
      <c r="BI186" s="475"/>
      <c r="BJ186" s="475"/>
      <c r="BK186" s="475"/>
      <c r="BL186" s="475"/>
      <c r="BM186" s="475"/>
      <c r="BN186" s="475"/>
      <c r="BO186" s="473"/>
      <c r="BP186" s="473"/>
      <c r="BQ186" s="473"/>
      <c r="BR186" s="473"/>
      <c r="BS186" s="475"/>
      <c r="BT186" s="475"/>
      <c r="BU186" s="475"/>
      <c r="BV186" s="475"/>
      <c r="BW186" s="475"/>
      <c r="BX186" s="475"/>
      <c r="BY186" s="475"/>
      <c r="BZ186" s="475"/>
      <c r="CA186" s="475"/>
      <c r="CB186" s="475"/>
      <c r="CC186" s="475"/>
      <c r="CD186" s="475"/>
      <c r="CE186" s="475"/>
      <c r="CF186" s="475"/>
      <c r="CG186" s="475"/>
      <c r="CH186" s="475"/>
      <c r="CI186" s="475"/>
      <c r="CJ186" s="475"/>
      <c r="CK186" s="475"/>
      <c r="CL186" s="475"/>
      <c r="CM186" s="475"/>
      <c r="CN186" s="477"/>
      <c r="CO186" s="477"/>
      <c r="CP186" s="477"/>
      <c r="CQ186" s="477"/>
      <c r="CR186" s="477"/>
      <c r="CS186" s="477"/>
      <c r="CT186" s="477"/>
      <c r="CU186" s="477"/>
      <c r="CV186" s="477"/>
      <c r="CW186" s="477"/>
      <c r="CX186" s="477"/>
      <c r="CY186" s="478"/>
      <c r="CZ186" s="478"/>
      <c r="DA186" s="478"/>
      <c r="DB186" s="478"/>
      <c r="DC186" s="478"/>
      <c r="DD186" s="478"/>
      <c r="DE186" s="478"/>
      <c r="DF186" s="478"/>
      <c r="DG186" s="478"/>
      <c r="DH186" s="478"/>
      <c r="DI186" s="478"/>
      <c r="DJ186" s="478"/>
      <c r="DK186" s="478"/>
      <c r="DL186" s="478"/>
      <c r="DM186" s="478"/>
      <c r="DN186" s="478"/>
      <c r="DO186" s="478"/>
      <c r="DP186" s="478"/>
      <c r="DQ186" s="478"/>
      <c r="DR186" s="478"/>
      <c r="DS186" s="478"/>
      <c r="DT186" s="478"/>
      <c r="DU186" s="478"/>
      <c r="DV186" s="478"/>
      <c r="DW186" s="478"/>
      <c r="DX186" s="478"/>
      <c r="DY186" s="478"/>
      <c r="DZ186" s="478"/>
      <c r="EA186" s="477"/>
      <c r="EB186" s="477"/>
    </row>
    <row r="187" spans="1:132" ht="18.899999999999999" customHeight="1">
      <c r="A187" s="473"/>
      <c r="B187" s="473"/>
      <c r="C187" s="474"/>
      <c r="D187" s="474"/>
      <c r="E187" s="474"/>
      <c r="F187" s="473"/>
      <c r="G187" s="473"/>
      <c r="H187" s="475"/>
      <c r="I187" s="473"/>
      <c r="J187" s="473"/>
      <c r="K187" s="473"/>
      <c r="L187" s="473"/>
      <c r="M187" s="475"/>
      <c r="N187" s="475"/>
      <c r="O187" s="475"/>
      <c r="P187" s="475"/>
      <c r="Q187" s="475"/>
      <c r="R187" s="475"/>
      <c r="S187" s="475"/>
      <c r="T187" s="475"/>
      <c r="U187" s="475"/>
      <c r="V187" s="475"/>
      <c r="W187" s="475"/>
      <c r="X187" s="475"/>
      <c r="Y187" s="475"/>
      <c r="Z187" s="475"/>
      <c r="AA187" s="475"/>
      <c r="AB187" s="475"/>
      <c r="AC187" s="475"/>
      <c r="AD187" s="475"/>
      <c r="AE187" s="475"/>
      <c r="AF187" s="475"/>
      <c r="AG187" s="475"/>
      <c r="AH187" s="475"/>
      <c r="AI187" s="475"/>
      <c r="AJ187" s="475"/>
      <c r="AK187" s="475"/>
      <c r="AL187" s="475"/>
      <c r="AM187" s="475"/>
      <c r="AN187" s="475"/>
      <c r="AO187" s="473"/>
      <c r="AP187" s="473"/>
      <c r="AQ187" s="473"/>
      <c r="AR187" s="473"/>
      <c r="AS187" s="473"/>
      <c r="AT187" s="473"/>
      <c r="AU187" s="473"/>
      <c r="AV187" s="473"/>
      <c r="AW187" s="473"/>
      <c r="AX187" s="473"/>
      <c r="AY187" s="473"/>
      <c r="AZ187" s="473"/>
      <c r="BA187" s="473"/>
      <c r="BB187" s="475"/>
      <c r="BC187" s="475"/>
      <c r="BD187" s="475"/>
      <c r="BE187" s="475"/>
      <c r="BF187" s="475"/>
      <c r="BG187" s="475"/>
      <c r="BH187" s="475"/>
      <c r="BI187" s="475"/>
      <c r="BJ187" s="475"/>
      <c r="BK187" s="475"/>
      <c r="BL187" s="475"/>
      <c r="BM187" s="475"/>
      <c r="BN187" s="475"/>
      <c r="BO187" s="473"/>
      <c r="BP187" s="473"/>
      <c r="BQ187" s="473"/>
      <c r="BR187" s="473"/>
      <c r="BS187" s="475"/>
      <c r="BT187" s="475"/>
      <c r="BU187" s="475"/>
      <c r="BV187" s="475"/>
      <c r="BW187" s="475"/>
      <c r="BX187" s="475"/>
      <c r="BY187" s="475"/>
      <c r="BZ187" s="475"/>
      <c r="CA187" s="475"/>
      <c r="CB187" s="475"/>
      <c r="CC187" s="475"/>
      <c r="CD187" s="475"/>
      <c r="CE187" s="475"/>
      <c r="CF187" s="475"/>
      <c r="CG187" s="475"/>
      <c r="CH187" s="475"/>
      <c r="CI187" s="475"/>
      <c r="CJ187" s="475"/>
      <c r="CK187" s="475"/>
      <c r="CL187" s="475"/>
      <c r="CM187" s="475"/>
      <c r="CN187" s="477"/>
      <c r="CO187" s="477"/>
      <c r="CP187" s="477"/>
      <c r="CQ187" s="477"/>
      <c r="CR187" s="477"/>
      <c r="CS187" s="477"/>
      <c r="CT187" s="477"/>
      <c r="CU187" s="477"/>
      <c r="CV187" s="477"/>
      <c r="CW187" s="477"/>
      <c r="CX187" s="477"/>
      <c r="CY187" s="478"/>
      <c r="CZ187" s="478"/>
      <c r="DA187" s="478"/>
      <c r="DB187" s="478"/>
      <c r="DC187" s="478"/>
      <c r="DD187" s="478"/>
      <c r="DE187" s="478"/>
      <c r="DF187" s="478"/>
      <c r="DG187" s="478"/>
      <c r="DH187" s="478"/>
      <c r="DI187" s="478"/>
      <c r="DJ187" s="478"/>
      <c r="DK187" s="478"/>
      <c r="DL187" s="478"/>
      <c r="DM187" s="478"/>
      <c r="DN187" s="478"/>
      <c r="DO187" s="478"/>
      <c r="DP187" s="478"/>
      <c r="DQ187" s="478"/>
      <c r="DR187" s="478"/>
      <c r="DS187" s="478"/>
      <c r="DT187" s="478"/>
      <c r="DU187" s="478"/>
      <c r="DV187" s="478"/>
      <c r="DW187" s="478"/>
      <c r="DX187" s="478"/>
      <c r="DY187" s="478"/>
      <c r="DZ187" s="478"/>
      <c r="EA187" s="477"/>
      <c r="EB187" s="477"/>
    </row>
    <row r="188" spans="1:132" ht="18.899999999999999" customHeight="1">
      <c r="A188" s="473"/>
      <c r="B188" s="473"/>
      <c r="C188" s="474"/>
      <c r="D188" s="474"/>
      <c r="E188" s="474"/>
      <c r="F188" s="473"/>
      <c r="G188" s="473"/>
      <c r="H188" s="475"/>
      <c r="I188" s="473"/>
      <c r="J188" s="473"/>
      <c r="K188" s="473"/>
      <c r="L188" s="473"/>
      <c r="M188" s="475"/>
      <c r="N188" s="475"/>
      <c r="O188" s="475"/>
      <c r="P188" s="475"/>
      <c r="Q188" s="475"/>
      <c r="R188" s="475"/>
      <c r="S188" s="475"/>
      <c r="T188" s="475"/>
      <c r="U188" s="475"/>
      <c r="V188" s="475"/>
      <c r="W188" s="475"/>
      <c r="X188" s="475"/>
      <c r="Y188" s="475"/>
      <c r="Z188" s="475"/>
      <c r="AA188" s="475"/>
      <c r="AB188" s="475"/>
      <c r="AC188" s="475"/>
      <c r="AD188" s="475"/>
      <c r="AE188" s="475"/>
      <c r="AF188" s="475"/>
      <c r="AG188" s="475"/>
      <c r="AH188" s="475"/>
      <c r="AI188" s="475"/>
      <c r="AJ188" s="475"/>
      <c r="AK188" s="475"/>
      <c r="AL188" s="475"/>
      <c r="AM188" s="475"/>
      <c r="AN188" s="475"/>
      <c r="AO188" s="473"/>
      <c r="AP188" s="473"/>
      <c r="AQ188" s="473"/>
      <c r="AR188" s="473"/>
      <c r="AS188" s="473"/>
      <c r="AT188" s="473"/>
      <c r="AU188" s="473"/>
      <c r="AV188" s="473"/>
      <c r="AW188" s="473"/>
      <c r="AX188" s="473"/>
      <c r="AY188" s="473"/>
      <c r="AZ188" s="473"/>
      <c r="BA188" s="473"/>
      <c r="BB188" s="475"/>
      <c r="BC188" s="475"/>
      <c r="BD188" s="475"/>
      <c r="BE188" s="475"/>
      <c r="BF188" s="475"/>
      <c r="BG188" s="475"/>
      <c r="BH188" s="475"/>
      <c r="BI188" s="475"/>
      <c r="BJ188" s="475"/>
      <c r="BK188" s="475"/>
      <c r="BL188" s="475"/>
      <c r="BM188" s="475"/>
      <c r="BN188" s="475"/>
      <c r="BO188" s="473"/>
      <c r="BP188" s="473"/>
      <c r="BQ188" s="473"/>
      <c r="BR188" s="473"/>
      <c r="BS188" s="475"/>
      <c r="BT188" s="475"/>
      <c r="BU188" s="475"/>
      <c r="BV188" s="475"/>
      <c r="BW188" s="475"/>
      <c r="BX188" s="475"/>
      <c r="BY188" s="475"/>
      <c r="BZ188" s="475"/>
      <c r="CA188" s="475"/>
      <c r="CB188" s="475"/>
      <c r="CC188" s="475"/>
      <c r="CD188" s="475"/>
      <c r="CE188" s="475"/>
      <c r="CF188" s="475"/>
      <c r="CG188" s="475"/>
      <c r="CH188" s="475"/>
      <c r="CI188" s="475"/>
      <c r="CJ188" s="475"/>
      <c r="CK188" s="475"/>
      <c r="CL188" s="475"/>
      <c r="CM188" s="475"/>
      <c r="CN188" s="477"/>
      <c r="CO188" s="477"/>
      <c r="CP188" s="477"/>
      <c r="CQ188" s="477"/>
      <c r="CR188" s="477"/>
      <c r="CS188" s="477"/>
      <c r="CT188" s="477"/>
      <c r="CU188" s="477"/>
      <c r="CV188" s="477"/>
      <c r="CW188" s="477"/>
      <c r="CX188" s="477"/>
      <c r="CY188" s="478"/>
      <c r="CZ188" s="478"/>
      <c r="DA188" s="478"/>
      <c r="DB188" s="478"/>
      <c r="DC188" s="478"/>
      <c r="DD188" s="478"/>
      <c r="DE188" s="478"/>
      <c r="DF188" s="478"/>
      <c r="DG188" s="478"/>
      <c r="DH188" s="478"/>
      <c r="DI188" s="478"/>
      <c r="DJ188" s="478"/>
      <c r="DK188" s="478"/>
      <c r="DL188" s="478"/>
      <c r="DM188" s="478"/>
      <c r="DN188" s="478"/>
      <c r="DO188" s="478"/>
      <c r="DP188" s="478"/>
      <c r="DQ188" s="478"/>
      <c r="DR188" s="478"/>
      <c r="DS188" s="478"/>
      <c r="DT188" s="478"/>
      <c r="DU188" s="478"/>
      <c r="DV188" s="478"/>
      <c r="DW188" s="478"/>
      <c r="DX188" s="478"/>
      <c r="DY188" s="478"/>
      <c r="DZ188" s="478"/>
      <c r="EA188" s="477"/>
      <c r="EB188" s="477"/>
    </row>
    <row r="189" spans="1:132" ht="18.899999999999999" customHeight="1">
      <c r="A189" s="473"/>
      <c r="B189" s="473"/>
      <c r="C189" s="474"/>
      <c r="D189" s="474"/>
      <c r="E189" s="474"/>
      <c r="F189" s="473"/>
      <c r="G189" s="473"/>
      <c r="H189" s="475"/>
      <c r="I189" s="473"/>
      <c r="J189" s="473"/>
      <c r="K189" s="473"/>
      <c r="L189" s="473"/>
      <c r="M189" s="475"/>
      <c r="N189" s="475"/>
      <c r="O189" s="475"/>
      <c r="P189" s="475"/>
      <c r="Q189" s="475"/>
      <c r="R189" s="475"/>
      <c r="S189" s="475"/>
      <c r="T189" s="475"/>
      <c r="U189" s="475"/>
      <c r="V189" s="475"/>
      <c r="W189" s="475"/>
      <c r="X189" s="475"/>
      <c r="Y189" s="475"/>
      <c r="Z189" s="475"/>
      <c r="AA189" s="475"/>
      <c r="AB189" s="475"/>
      <c r="AC189" s="475"/>
      <c r="AD189" s="475"/>
      <c r="AE189" s="475"/>
      <c r="AF189" s="475"/>
      <c r="AG189" s="475"/>
      <c r="AH189" s="475"/>
      <c r="AI189" s="475"/>
      <c r="AJ189" s="475"/>
      <c r="AK189" s="475"/>
      <c r="AL189" s="475"/>
      <c r="AM189" s="475"/>
      <c r="AN189" s="475"/>
      <c r="AO189" s="473"/>
      <c r="AP189" s="473"/>
      <c r="AQ189" s="473"/>
      <c r="AR189" s="473"/>
      <c r="AS189" s="473"/>
      <c r="AT189" s="473"/>
      <c r="AU189" s="473"/>
      <c r="AV189" s="473"/>
      <c r="AW189" s="473"/>
      <c r="AX189" s="473"/>
      <c r="AY189" s="473"/>
      <c r="AZ189" s="473"/>
      <c r="BA189" s="473"/>
      <c r="BB189" s="475"/>
      <c r="BC189" s="475"/>
      <c r="BD189" s="475"/>
      <c r="BE189" s="475"/>
      <c r="BF189" s="475"/>
      <c r="BG189" s="475"/>
      <c r="BH189" s="475"/>
      <c r="BI189" s="475"/>
      <c r="BJ189" s="475"/>
      <c r="BK189" s="475"/>
      <c r="BL189" s="475"/>
      <c r="BM189" s="475"/>
      <c r="BN189" s="475"/>
      <c r="BO189" s="473"/>
      <c r="BP189" s="473"/>
      <c r="BQ189" s="473"/>
      <c r="BR189" s="473"/>
      <c r="BS189" s="475"/>
      <c r="BT189" s="475"/>
      <c r="BU189" s="475"/>
      <c r="BV189" s="475"/>
      <c r="BW189" s="475"/>
      <c r="BX189" s="475"/>
      <c r="BY189" s="475"/>
      <c r="BZ189" s="475"/>
      <c r="CA189" s="475"/>
      <c r="CB189" s="475"/>
      <c r="CC189" s="475"/>
      <c r="CD189" s="475"/>
      <c r="CE189" s="475"/>
      <c r="CF189" s="475"/>
      <c r="CG189" s="475"/>
      <c r="CH189" s="475"/>
      <c r="CI189" s="475"/>
      <c r="CJ189" s="475"/>
      <c r="CK189" s="475"/>
      <c r="CL189" s="475"/>
      <c r="CM189" s="475"/>
      <c r="CN189" s="477"/>
      <c r="CO189" s="477"/>
      <c r="CP189" s="477"/>
      <c r="CQ189" s="477"/>
      <c r="CR189" s="477"/>
      <c r="CS189" s="477"/>
      <c r="CT189" s="477"/>
      <c r="CU189" s="477"/>
      <c r="CV189" s="477"/>
      <c r="CW189" s="477"/>
      <c r="CX189" s="477"/>
      <c r="CY189" s="478"/>
      <c r="CZ189" s="478"/>
      <c r="DA189" s="478"/>
      <c r="DB189" s="478"/>
      <c r="DC189" s="478"/>
      <c r="DD189" s="478"/>
      <c r="DE189" s="478"/>
      <c r="DF189" s="478"/>
      <c r="DG189" s="478"/>
      <c r="DH189" s="478"/>
      <c r="DI189" s="478"/>
      <c r="DJ189" s="478"/>
      <c r="DK189" s="478"/>
      <c r="DL189" s="478"/>
      <c r="DM189" s="478"/>
      <c r="DN189" s="478"/>
      <c r="DO189" s="478"/>
      <c r="DP189" s="478"/>
      <c r="DQ189" s="478"/>
      <c r="DR189" s="478"/>
      <c r="DS189" s="478"/>
      <c r="DT189" s="478"/>
      <c r="DU189" s="478"/>
      <c r="DV189" s="478"/>
      <c r="DW189" s="478"/>
      <c r="DX189" s="478"/>
      <c r="DY189" s="478"/>
      <c r="DZ189" s="478"/>
      <c r="EA189" s="477"/>
      <c r="EB189" s="477"/>
    </row>
    <row r="190" spans="1:132" ht="18.899999999999999" customHeight="1">
      <c r="A190" s="473"/>
      <c r="B190" s="473"/>
      <c r="C190" s="474"/>
      <c r="D190" s="474"/>
      <c r="E190" s="474"/>
      <c r="F190" s="473"/>
      <c r="G190" s="473"/>
      <c r="H190" s="475"/>
      <c r="I190" s="473"/>
      <c r="J190" s="473"/>
      <c r="K190" s="473"/>
      <c r="L190" s="473"/>
      <c r="M190" s="475"/>
      <c r="N190" s="475"/>
      <c r="O190" s="475"/>
      <c r="P190" s="475"/>
      <c r="Q190" s="475"/>
      <c r="R190" s="475"/>
      <c r="S190" s="475"/>
      <c r="T190" s="475"/>
      <c r="U190" s="475"/>
      <c r="V190" s="475"/>
      <c r="W190" s="475"/>
      <c r="X190" s="475"/>
      <c r="Y190" s="475"/>
      <c r="Z190" s="475"/>
      <c r="AA190" s="475"/>
      <c r="AB190" s="475"/>
      <c r="AC190" s="475"/>
      <c r="AD190" s="475"/>
      <c r="AE190" s="475"/>
      <c r="AF190" s="475"/>
      <c r="AG190" s="475"/>
      <c r="AH190" s="475"/>
      <c r="AI190" s="475"/>
      <c r="AJ190" s="475"/>
      <c r="AK190" s="475"/>
      <c r="AL190" s="475"/>
      <c r="AM190" s="475"/>
      <c r="AN190" s="475"/>
      <c r="AO190" s="473"/>
      <c r="AP190" s="473"/>
      <c r="AQ190" s="473"/>
      <c r="AR190" s="473"/>
      <c r="AS190" s="473"/>
      <c r="AT190" s="473"/>
      <c r="AU190" s="473"/>
      <c r="AV190" s="473"/>
      <c r="AW190" s="473"/>
      <c r="AX190" s="473"/>
      <c r="AY190" s="473"/>
      <c r="AZ190" s="473"/>
      <c r="BA190" s="473"/>
      <c r="BB190" s="475"/>
      <c r="BC190" s="475"/>
      <c r="BD190" s="475"/>
      <c r="BE190" s="475"/>
      <c r="BF190" s="475"/>
      <c r="BG190" s="475"/>
      <c r="BH190" s="475"/>
      <c r="BI190" s="475"/>
      <c r="BJ190" s="475"/>
      <c r="BK190" s="475"/>
      <c r="BL190" s="475"/>
      <c r="BM190" s="475"/>
      <c r="BN190" s="475"/>
      <c r="BO190" s="473"/>
      <c r="BP190" s="473"/>
      <c r="BQ190" s="473"/>
      <c r="BR190" s="473"/>
      <c r="BS190" s="475"/>
      <c r="BT190" s="475"/>
      <c r="BU190" s="475"/>
      <c r="BV190" s="475"/>
      <c r="BW190" s="475"/>
      <c r="BX190" s="475"/>
      <c r="BY190" s="475"/>
      <c r="BZ190" s="475"/>
      <c r="CA190" s="475"/>
      <c r="CB190" s="475"/>
      <c r="CC190" s="475"/>
      <c r="CD190" s="475"/>
      <c r="CE190" s="475"/>
      <c r="CF190" s="475"/>
      <c r="CG190" s="475"/>
      <c r="CH190" s="475"/>
      <c r="CI190" s="475"/>
      <c r="CJ190" s="475"/>
      <c r="CK190" s="475"/>
      <c r="CL190" s="475"/>
      <c r="CM190" s="475"/>
      <c r="CN190" s="477"/>
      <c r="CO190" s="477"/>
      <c r="CP190" s="477"/>
      <c r="CQ190" s="477"/>
      <c r="CR190" s="477"/>
      <c r="CS190" s="477"/>
      <c r="CT190" s="477"/>
      <c r="CU190" s="477"/>
      <c r="CV190" s="477"/>
      <c r="CW190" s="477"/>
      <c r="CX190" s="477"/>
      <c r="CY190" s="478"/>
      <c r="CZ190" s="478"/>
      <c r="DA190" s="478"/>
      <c r="DB190" s="478"/>
      <c r="DC190" s="478"/>
      <c r="DD190" s="478"/>
      <c r="DE190" s="478"/>
      <c r="DF190" s="478"/>
      <c r="DG190" s="478"/>
      <c r="DH190" s="478"/>
      <c r="DI190" s="478"/>
      <c r="DJ190" s="478"/>
      <c r="DK190" s="478"/>
      <c r="DL190" s="478"/>
      <c r="DM190" s="478"/>
      <c r="DN190" s="478"/>
      <c r="DO190" s="478"/>
      <c r="DP190" s="478"/>
      <c r="DQ190" s="478"/>
      <c r="DR190" s="478"/>
      <c r="DS190" s="478"/>
      <c r="DT190" s="478"/>
      <c r="DU190" s="478"/>
      <c r="DV190" s="478"/>
      <c r="DW190" s="478"/>
      <c r="DX190" s="478"/>
      <c r="DY190" s="478"/>
      <c r="DZ190" s="478"/>
      <c r="EA190" s="477"/>
      <c r="EB190" s="477"/>
    </row>
    <row r="191" spans="1:132" ht="18.899999999999999" customHeight="1">
      <c r="A191" s="473"/>
      <c r="B191" s="473"/>
      <c r="C191" s="474"/>
      <c r="D191" s="474"/>
      <c r="E191" s="474"/>
      <c r="F191" s="473"/>
      <c r="G191" s="473"/>
      <c r="H191" s="475"/>
      <c r="I191" s="473"/>
      <c r="J191" s="473"/>
      <c r="K191" s="473"/>
      <c r="L191" s="473"/>
      <c r="M191" s="475"/>
      <c r="N191" s="475"/>
      <c r="O191" s="475"/>
      <c r="P191" s="475"/>
      <c r="Q191" s="475"/>
      <c r="R191" s="475"/>
      <c r="S191" s="475"/>
      <c r="T191" s="475"/>
      <c r="U191" s="475"/>
      <c r="V191" s="475"/>
      <c r="W191" s="475"/>
      <c r="X191" s="475"/>
      <c r="Y191" s="475"/>
      <c r="Z191" s="475"/>
      <c r="AA191" s="475"/>
      <c r="AB191" s="475"/>
      <c r="AC191" s="475"/>
      <c r="AD191" s="475"/>
      <c r="AE191" s="475"/>
      <c r="AF191" s="475"/>
      <c r="AG191" s="475"/>
      <c r="AH191" s="475"/>
      <c r="AI191" s="475"/>
      <c r="AJ191" s="475"/>
      <c r="AK191" s="475"/>
      <c r="AL191" s="475"/>
      <c r="AM191" s="475"/>
      <c r="AN191" s="475"/>
      <c r="AO191" s="473"/>
      <c r="AP191" s="473"/>
      <c r="AQ191" s="473"/>
      <c r="AR191" s="473"/>
      <c r="AS191" s="473"/>
      <c r="AT191" s="473"/>
      <c r="AU191" s="473"/>
      <c r="AV191" s="473"/>
      <c r="AW191" s="473"/>
      <c r="AX191" s="473"/>
      <c r="AY191" s="473"/>
      <c r="AZ191" s="473"/>
      <c r="BA191" s="473"/>
      <c r="BB191" s="475"/>
      <c r="BC191" s="475"/>
      <c r="BD191" s="475"/>
      <c r="BE191" s="475"/>
      <c r="BF191" s="475"/>
      <c r="BG191" s="475"/>
      <c r="BH191" s="475"/>
      <c r="BI191" s="475"/>
      <c r="BJ191" s="475"/>
      <c r="BK191" s="475"/>
      <c r="BL191" s="475"/>
      <c r="BM191" s="475"/>
      <c r="BN191" s="475"/>
      <c r="BO191" s="473"/>
      <c r="BP191" s="473"/>
      <c r="BQ191" s="473"/>
      <c r="BR191" s="473"/>
      <c r="BS191" s="475"/>
      <c r="BT191" s="475"/>
      <c r="BU191" s="475"/>
      <c r="BV191" s="475"/>
      <c r="BW191" s="475"/>
      <c r="BX191" s="475"/>
      <c r="BY191" s="475"/>
      <c r="BZ191" s="475"/>
      <c r="CA191" s="475"/>
      <c r="CB191" s="475"/>
      <c r="CC191" s="475"/>
      <c r="CD191" s="475"/>
      <c r="CE191" s="475"/>
      <c r="CF191" s="475"/>
      <c r="CG191" s="475"/>
      <c r="CH191" s="475"/>
      <c r="CI191" s="475"/>
      <c r="CJ191" s="475"/>
      <c r="CK191" s="475"/>
      <c r="CL191" s="475"/>
      <c r="CM191" s="475"/>
      <c r="CN191" s="477"/>
      <c r="CO191" s="477"/>
      <c r="CP191" s="477"/>
      <c r="CQ191" s="477"/>
      <c r="CR191" s="477"/>
      <c r="CS191" s="477"/>
      <c r="CT191" s="477"/>
      <c r="CU191" s="477"/>
      <c r="CV191" s="477"/>
      <c r="CW191" s="477"/>
      <c r="CX191" s="477"/>
      <c r="CY191" s="478"/>
      <c r="CZ191" s="478"/>
      <c r="DA191" s="478"/>
      <c r="DB191" s="478"/>
      <c r="DC191" s="478"/>
      <c r="DD191" s="478"/>
      <c r="DE191" s="478"/>
      <c r="DF191" s="478"/>
      <c r="DG191" s="478"/>
      <c r="DH191" s="478"/>
      <c r="DI191" s="478"/>
      <c r="DJ191" s="478"/>
      <c r="DK191" s="478"/>
      <c r="DL191" s="478"/>
      <c r="DM191" s="478"/>
      <c r="DN191" s="478"/>
      <c r="DO191" s="478"/>
      <c r="DP191" s="478"/>
      <c r="DQ191" s="478"/>
      <c r="DR191" s="478"/>
      <c r="DS191" s="478"/>
      <c r="DT191" s="478"/>
      <c r="DU191" s="478"/>
      <c r="DV191" s="478"/>
      <c r="DW191" s="478"/>
      <c r="DX191" s="478"/>
      <c r="DY191" s="478"/>
      <c r="DZ191" s="478"/>
      <c r="EA191" s="477"/>
      <c r="EB191" s="477"/>
    </row>
    <row r="192" spans="1:132" ht="18.899999999999999" customHeight="1">
      <c r="A192" s="473"/>
      <c r="B192" s="473"/>
      <c r="C192" s="474"/>
      <c r="D192" s="474"/>
      <c r="E192" s="474"/>
      <c r="F192" s="473"/>
      <c r="G192" s="473"/>
      <c r="H192" s="475"/>
      <c r="I192" s="473"/>
      <c r="J192" s="473"/>
      <c r="K192" s="473"/>
      <c r="L192" s="473"/>
      <c r="M192" s="475"/>
      <c r="N192" s="475"/>
      <c r="O192" s="475"/>
      <c r="P192" s="475"/>
      <c r="Q192" s="475"/>
      <c r="R192" s="475"/>
      <c r="S192" s="475"/>
      <c r="T192" s="475"/>
      <c r="U192" s="475"/>
      <c r="V192" s="475"/>
      <c r="W192" s="475"/>
      <c r="X192" s="475"/>
      <c r="Y192" s="475"/>
      <c r="Z192" s="475"/>
      <c r="AA192" s="475"/>
      <c r="AB192" s="475"/>
      <c r="AC192" s="475"/>
      <c r="AD192" s="475"/>
      <c r="AE192" s="475"/>
      <c r="AF192" s="475"/>
      <c r="AG192" s="475"/>
      <c r="AH192" s="475"/>
      <c r="AI192" s="475"/>
      <c r="AJ192" s="475"/>
      <c r="AK192" s="475"/>
      <c r="AL192" s="475"/>
      <c r="AM192" s="475"/>
      <c r="AN192" s="475"/>
      <c r="AO192" s="473"/>
      <c r="AP192" s="473"/>
      <c r="AQ192" s="473"/>
      <c r="AR192" s="473"/>
      <c r="AS192" s="473"/>
      <c r="AT192" s="473"/>
      <c r="AU192" s="473"/>
      <c r="AV192" s="473"/>
      <c r="AW192" s="473"/>
      <c r="AX192" s="473"/>
      <c r="AY192" s="473"/>
      <c r="AZ192" s="473"/>
      <c r="BA192" s="473"/>
      <c r="BB192" s="475"/>
      <c r="BC192" s="475"/>
      <c r="BD192" s="475"/>
      <c r="BE192" s="475"/>
      <c r="BF192" s="475"/>
      <c r="BG192" s="475"/>
      <c r="BH192" s="475"/>
      <c r="BI192" s="475"/>
      <c r="BJ192" s="475"/>
      <c r="BK192" s="475"/>
      <c r="BL192" s="475"/>
      <c r="BM192" s="475"/>
      <c r="BN192" s="475"/>
      <c r="BO192" s="473"/>
      <c r="BP192" s="473"/>
      <c r="BQ192" s="473"/>
      <c r="BR192" s="473"/>
      <c r="BS192" s="475"/>
      <c r="BT192" s="475"/>
      <c r="BU192" s="475"/>
      <c r="BV192" s="475"/>
      <c r="BW192" s="475"/>
      <c r="BX192" s="475"/>
      <c r="BY192" s="475"/>
      <c r="BZ192" s="475"/>
      <c r="CA192" s="475"/>
      <c r="CB192" s="475"/>
      <c r="CC192" s="475"/>
      <c r="CD192" s="475"/>
      <c r="CE192" s="475"/>
      <c r="CF192" s="475"/>
      <c r="CG192" s="475"/>
      <c r="CH192" s="475"/>
      <c r="CI192" s="475"/>
      <c r="CJ192" s="475"/>
      <c r="CK192" s="475"/>
      <c r="CL192" s="475"/>
      <c r="CM192" s="475"/>
      <c r="CN192" s="477"/>
      <c r="CO192" s="477"/>
      <c r="CP192" s="477"/>
      <c r="CQ192" s="477"/>
      <c r="CR192" s="477"/>
      <c r="CS192" s="477"/>
      <c r="CT192" s="477"/>
      <c r="CU192" s="477"/>
      <c r="CV192" s="477"/>
      <c r="CW192" s="477"/>
      <c r="CX192" s="477"/>
      <c r="CY192" s="478"/>
      <c r="CZ192" s="478"/>
      <c r="DA192" s="478"/>
      <c r="DB192" s="478"/>
      <c r="DC192" s="478"/>
      <c r="DD192" s="478"/>
      <c r="DE192" s="478"/>
      <c r="DF192" s="478"/>
      <c r="DG192" s="478"/>
      <c r="DH192" s="478"/>
      <c r="DI192" s="478"/>
      <c r="DJ192" s="478"/>
      <c r="DK192" s="478"/>
      <c r="DL192" s="478"/>
      <c r="DM192" s="478"/>
      <c r="DN192" s="478"/>
      <c r="DO192" s="478"/>
      <c r="DP192" s="478"/>
      <c r="DQ192" s="478"/>
      <c r="DR192" s="478"/>
      <c r="DS192" s="478"/>
      <c r="DT192" s="478"/>
      <c r="DU192" s="478"/>
      <c r="DV192" s="478"/>
      <c r="DW192" s="478"/>
      <c r="DX192" s="478"/>
      <c r="DY192" s="478"/>
      <c r="DZ192" s="478"/>
      <c r="EA192" s="477"/>
      <c r="EB192" s="477"/>
    </row>
    <row r="193" spans="1:132" ht="18.899999999999999" customHeight="1">
      <c r="A193" s="473"/>
      <c r="B193" s="473"/>
      <c r="C193" s="474"/>
      <c r="D193" s="474"/>
      <c r="E193" s="474"/>
      <c r="F193" s="473"/>
      <c r="G193" s="473"/>
      <c r="H193" s="475"/>
      <c r="I193" s="473"/>
      <c r="J193" s="473"/>
      <c r="K193" s="473"/>
      <c r="L193" s="473"/>
      <c r="M193" s="475"/>
      <c r="N193" s="475"/>
      <c r="O193" s="475"/>
      <c r="P193" s="475"/>
      <c r="Q193" s="475"/>
      <c r="R193" s="475"/>
      <c r="S193" s="475"/>
      <c r="T193" s="475"/>
      <c r="U193" s="475"/>
      <c r="V193" s="475"/>
      <c r="W193" s="475"/>
      <c r="X193" s="475"/>
      <c r="Y193" s="475"/>
      <c r="Z193" s="475"/>
      <c r="AA193" s="475"/>
      <c r="AB193" s="475"/>
      <c r="AC193" s="475"/>
      <c r="AD193" s="475"/>
      <c r="AE193" s="475"/>
      <c r="AF193" s="475"/>
      <c r="AG193" s="475"/>
      <c r="AH193" s="475"/>
      <c r="AI193" s="475"/>
      <c r="AJ193" s="475"/>
      <c r="AK193" s="475"/>
      <c r="AL193" s="475"/>
      <c r="AM193" s="475"/>
      <c r="AN193" s="475"/>
      <c r="AO193" s="473"/>
      <c r="AP193" s="473"/>
      <c r="AQ193" s="473"/>
      <c r="AR193" s="473"/>
      <c r="AS193" s="473"/>
      <c r="AT193" s="473"/>
      <c r="AU193" s="473"/>
      <c r="AV193" s="473"/>
      <c r="AW193" s="473"/>
      <c r="AX193" s="473"/>
      <c r="AY193" s="473"/>
      <c r="AZ193" s="473"/>
      <c r="BA193" s="473"/>
      <c r="BB193" s="475"/>
      <c r="BC193" s="475"/>
      <c r="BD193" s="475"/>
      <c r="BE193" s="475"/>
      <c r="BF193" s="475"/>
      <c r="BG193" s="475"/>
      <c r="BH193" s="475"/>
      <c r="BI193" s="475"/>
      <c r="BJ193" s="475"/>
      <c r="BK193" s="475"/>
      <c r="BL193" s="475"/>
      <c r="BM193" s="475"/>
      <c r="BN193" s="475"/>
      <c r="BO193" s="473"/>
      <c r="BP193" s="473"/>
      <c r="BQ193" s="473"/>
      <c r="BR193" s="473"/>
      <c r="BS193" s="475"/>
      <c r="BT193" s="475"/>
      <c r="BU193" s="475"/>
      <c r="BV193" s="475"/>
      <c r="BW193" s="475"/>
      <c r="BX193" s="475"/>
      <c r="BY193" s="475"/>
      <c r="BZ193" s="475"/>
      <c r="CA193" s="475"/>
      <c r="CB193" s="475"/>
      <c r="CC193" s="475"/>
      <c r="CD193" s="475"/>
      <c r="CE193" s="475"/>
      <c r="CF193" s="475"/>
      <c r="CG193" s="475"/>
      <c r="CH193" s="475"/>
      <c r="CI193" s="475"/>
      <c r="CJ193" s="475"/>
      <c r="CK193" s="475"/>
      <c r="CL193" s="475"/>
      <c r="CM193" s="475"/>
      <c r="CN193" s="477"/>
      <c r="CO193" s="477"/>
      <c r="CP193" s="477"/>
      <c r="CQ193" s="477"/>
      <c r="CR193" s="477"/>
      <c r="CS193" s="477"/>
      <c r="CT193" s="477"/>
      <c r="CU193" s="477"/>
      <c r="CV193" s="477"/>
      <c r="CW193" s="477"/>
      <c r="CX193" s="477"/>
      <c r="CY193" s="478"/>
      <c r="CZ193" s="478"/>
      <c r="DA193" s="478"/>
      <c r="DB193" s="478"/>
      <c r="DC193" s="478"/>
      <c r="DD193" s="478"/>
      <c r="DE193" s="478"/>
      <c r="DF193" s="478"/>
      <c r="DG193" s="478"/>
      <c r="DH193" s="478"/>
      <c r="DI193" s="478"/>
      <c r="DJ193" s="478"/>
      <c r="DK193" s="478"/>
      <c r="DL193" s="478"/>
      <c r="DM193" s="478"/>
      <c r="DN193" s="478"/>
      <c r="DO193" s="478"/>
      <c r="DP193" s="478"/>
      <c r="DQ193" s="478"/>
      <c r="DR193" s="478"/>
      <c r="DS193" s="478"/>
      <c r="DT193" s="478"/>
      <c r="DU193" s="478"/>
      <c r="DV193" s="478"/>
      <c r="DW193" s="478"/>
      <c r="DX193" s="478"/>
      <c r="DY193" s="478"/>
      <c r="DZ193" s="478"/>
      <c r="EA193" s="477"/>
      <c r="EB193" s="477"/>
    </row>
    <row r="194" spans="1:132" ht="18.899999999999999" customHeight="1">
      <c r="A194" s="473"/>
      <c r="B194" s="473"/>
      <c r="C194" s="474"/>
      <c r="D194" s="474"/>
      <c r="E194" s="474"/>
      <c r="F194" s="473"/>
      <c r="G194" s="473"/>
      <c r="H194" s="475"/>
      <c r="I194" s="473"/>
      <c r="J194" s="473"/>
      <c r="K194" s="473"/>
      <c r="L194" s="473"/>
      <c r="M194" s="475"/>
      <c r="N194" s="475"/>
      <c r="O194" s="475"/>
      <c r="P194" s="475"/>
      <c r="Q194" s="475"/>
      <c r="R194" s="475"/>
      <c r="S194" s="475"/>
      <c r="T194" s="475"/>
      <c r="U194" s="475"/>
      <c r="V194" s="475"/>
      <c r="W194" s="475"/>
      <c r="X194" s="475"/>
      <c r="Y194" s="475"/>
      <c r="Z194" s="475"/>
      <c r="AA194" s="475"/>
      <c r="AB194" s="475"/>
      <c r="AC194" s="475"/>
      <c r="AD194" s="475"/>
      <c r="AE194" s="475"/>
      <c r="AF194" s="475"/>
      <c r="AG194" s="475"/>
      <c r="AH194" s="475"/>
      <c r="AI194" s="475"/>
      <c r="AJ194" s="475"/>
      <c r="AK194" s="475"/>
      <c r="AL194" s="475"/>
      <c r="AM194" s="475"/>
      <c r="AN194" s="475"/>
      <c r="AO194" s="473"/>
      <c r="AP194" s="473"/>
      <c r="AQ194" s="473"/>
      <c r="AR194" s="473"/>
      <c r="AS194" s="473"/>
      <c r="AT194" s="473"/>
      <c r="AU194" s="473"/>
      <c r="AV194" s="473"/>
      <c r="AW194" s="473"/>
      <c r="AX194" s="473"/>
      <c r="AY194" s="473"/>
      <c r="AZ194" s="473"/>
      <c r="BA194" s="473"/>
      <c r="BB194" s="475"/>
      <c r="BC194" s="475"/>
      <c r="BD194" s="475"/>
      <c r="BE194" s="475"/>
      <c r="BF194" s="475"/>
      <c r="BG194" s="475"/>
      <c r="BH194" s="475"/>
      <c r="BI194" s="475"/>
      <c r="BJ194" s="475"/>
      <c r="BK194" s="475"/>
      <c r="BL194" s="475"/>
      <c r="BM194" s="475"/>
      <c r="BN194" s="475"/>
      <c r="BO194" s="473"/>
      <c r="BP194" s="473"/>
      <c r="BQ194" s="473"/>
      <c r="BR194" s="473"/>
      <c r="BS194" s="475"/>
      <c r="BT194" s="475"/>
      <c r="BU194" s="475"/>
      <c r="BV194" s="475"/>
      <c r="BW194" s="475"/>
      <c r="BX194" s="475"/>
      <c r="BY194" s="475"/>
      <c r="BZ194" s="475"/>
      <c r="CA194" s="475"/>
      <c r="CB194" s="475"/>
      <c r="CC194" s="475"/>
      <c r="CD194" s="475"/>
      <c r="CE194" s="475"/>
      <c r="CF194" s="475"/>
      <c r="CG194" s="475"/>
      <c r="CH194" s="475"/>
      <c r="CI194" s="475"/>
      <c r="CJ194" s="475"/>
      <c r="CK194" s="475"/>
      <c r="CL194" s="475"/>
      <c r="CM194" s="475"/>
      <c r="CN194" s="477"/>
      <c r="CO194" s="477"/>
      <c r="CP194" s="477"/>
      <c r="CQ194" s="477"/>
      <c r="CR194" s="477"/>
      <c r="CS194" s="477"/>
      <c r="CT194" s="477"/>
      <c r="CU194" s="477"/>
      <c r="CV194" s="477"/>
      <c r="CW194" s="477"/>
      <c r="CX194" s="477"/>
      <c r="CY194" s="478"/>
      <c r="CZ194" s="478"/>
      <c r="DA194" s="478"/>
      <c r="DB194" s="478"/>
      <c r="DC194" s="478"/>
      <c r="DD194" s="478"/>
      <c r="DE194" s="478"/>
      <c r="DF194" s="478"/>
      <c r="DG194" s="478"/>
      <c r="DH194" s="478"/>
      <c r="DI194" s="478"/>
      <c r="DJ194" s="478"/>
      <c r="DK194" s="478"/>
      <c r="DL194" s="478"/>
      <c r="DM194" s="478"/>
      <c r="DN194" s="478"/>
      <c r="DO194" s="478"/>
      <c r="DP194" s="478"/>
      <c r="DQ194" s="478"/>
      <c r="DR194" s="478"/>
      <c r="DS194" s="478"/>
      <c r="DT194" s="478"/>
      <c r="DU194" s="478"/>
      <c r="DV194" s="478"/>
      <c r="DW194" s="478"/>
      <c r="DX194" s="478"/>
      <c r="DY194" s="478"/>
      <c r="DZ194" s="478"/>
      <c r="EA194" s="477"/>
      <c r="EB194" s="477"/>
    </row>
    <row r="195" spans="1:132" ht="18.899999999999999" customHeight="1">
      <c r="A195" s="473"/>
      <c r="B195" s="473"/>
      <c r="C195" s="474"/>
      <c r="D195" s="474"/>
      <c r="E195" s="474"/>
      <c r="F195" s="473"/>
      <c r="G195" s="473"/>
      <c r="H195" s="475"/>
      <c r="I195" s="473"/>
      <c r="J195" s="473"/>
      <c r="K195" s="473"/>
      <c r="L195" s="473"/>
      <c r="M195" s="475"/>
      <c r="N195" s="475"/>
      <c r="O195" s="475"/>
      <c r="P195" s="475"/>
      <c r="Q195" s="475"/>
      <c r="R195" s="475"/>
      <c r="S195" s="475"/>
      <c r="T195" s="475"/>
      <c r="U195" s="475"/>
      <c r="V195" s="475"/>
      <c r="W195" s="475"/>
      <c r="X195" s="475"/>
      <c r="Y195" s="475"/>
      <c r="Z195" s="475"/>
      <c r="AA195" s="475"/>
      <c r="AB195" s="475"/>
      <c r="AC195" s="475"/>
      <c r="AD195" s="475"/>
      <c r="AE195" s="475"/>
      <c r="AF195" s="475"/>
      <c r="AG195" s="475"/>
      <c r="AH195" s="475"/>
      <c r="AI195" s="475"/>
      <c r="AJ195" s="475"/>
      <c r="AK195" s="475"/>
      <c r="AL195" s="475"/>
      <c r="AM195" s="475"/>
      <c r="AN195" s="475"/>
      <c r="AO195" s="473"/>
      <c r="AP195" s="473"/>
      <c r="AQ195" s="473"/>
      <c r="AR195" s="473"/>
      <c r="AS195" s="473"/>
      <c r="AT195" s="473"/>
      <c r="AU195" s="473"/>
      <c r="AV195" s="473"/>
      <c r="AW195" s="473"/>
      <c r="AX195" s="473"/>
      <c r="AY195" s="473"/>
      <c r="AZ195" s="473"/>
      <c r="BA195" s="473"/>
      <c r="BB195" s="475"/>
      <c r="BC195" s="475"/>
      <c r="BD195" s="475"/>
      <c r="BE195" s="475"/>
      <c r="BF195" s="475"/>
      <c r="BG195" s="475"/>
      <c r="BH195" s="475"/>
      <c r="BI195" s="475"/>
      <c r="BJ195" s="475"/>
      <c r="BK195" s="475"/>
      <c r="BL195" s="475"/>
      <c r="BM195" s="475"/>
      <c r="BN195" s="475"/>
      <c r="BO195" s="473"/>
      <c r="BP195" s="473"/>
      <c r="BQ195" s="473"/>
      <c r="BR195" s="473"/>
      <c r="BS195" s="475"/>
      <c r="BT195" s="475"/>
      <c r="BU195" s="475"/>
      <c r="BV195" s="475"/>
      <c r="BW195" s="475"/>
      <c r="BX195" s="475"/>
      <c r="BY195" s="475"/>
      <c r="BZ195" s="475"/>
      <c r="CA195" s="475"/>
      <c r="CB195" s="475"/>
      <c r="CC195" s="475"/>
      <c r="CD195" s="475"/>
      <c r="CE195" s="475"/>
      <c r="CF195" s="475"/>
      <c r="CG195" s="475"/>
      <c r="CH195" s="475"/>
      <c r="CI195" s="475"/>
      <c r="CJ195" s="475"/>
      <c r="CK195" s="475"/>
      <c r="CL195" s="475"/>
      <c r="CM195" s="475"/>
      <c r="CN195" s="477"/>
      <c r="CO195" s="477"/>
      <c r="CP195" s="477"/>
      <c r="CQ195" s="477"/>
      <c r="CR195" s="477"/>
      <c r="CS195" s="477"/>
      <c r="CT195" s="477"/>
      <c r="CU195" s="477"/>
      <c r="CV195" s="477"/>
      <c r="CW195" s="477"/>
      <c r="CX195" s="477"/>
      <c r="CY195" s="478"/>
      <c r="CZ195" s="478"/>
      <c r="DA195" s="478"/>
      <c r="DB195" s="478"/>
      <c r="DC195" s="478"/>
      <c r="DD195" s="478"/>
      <c r="DE195" s="478"/>
      <c r="DF195" s="478"/>
      <c r="DG195" s="478"/>
      <c r="DH195" s="478"/>
      <c r="DI195" s="478"/>
      <c r="DJ195" s="478"/>
      <c r="DK195" s="478"/>
      <c r="DL195" s="478"/>
      <c r="DM195" s="478"/>
      <c r="DN195" s="478"/>
      <c r="DO195" s="478"/>
      <c r="DP195" s="478"/>
      <c r="DQ195" s="478"/>
      <c r="DR195" s="478"/>
      <c r="DS195" s="478"/>
      <c r="DT195" s="478"/>
      <c r="DU195" s="478"/>
      <c r="DV195" s="478"/>
      <c r="DW195" s="478"/>
      <c r="DX195" s="478"/>
      <c r="DY195" s="478"/>
      <c r="DZ195" s="478"/>
      <c r="EA195" s="477"/>
      <c r="EB195" s="477"/>
    </row>
    <row r="196" spans="1:132" ht="18.899999999999999" customHeight="1">
      <c r="A196" s="473"/>
      <c r="B196" s="473"/>
      <c r="C196" s="474"/>
      <c r="D196" s="474"/>
      <c r="E196" s="474"/>
      <c r="F196" s="473"/>
      <c r="G196" s="473"/>
      <c r="H196" s="475"/>
      <c r="I196" s="473"/>
      <c r="J196" s="473"/>
      <c r="K196" s="473"/>
      <c r="L196" s="473"/>
      <c r="M196" s="475"/>
      <c r="N196" s="475"/>
      <c r="O196" s="475"/>
      <c r="P196" s="475"/>
      <c r="Q196" s="475"/>
      <c r="R196" s="475"/>
      <c r="S196" s="475"/>
      <c r="T196" s="475"/>
      <c r="U196" s="475"/>
      <c r="V196" s="475"/>
      <c r="W196" s="475"/>
      <c r="X196" s="475"/>
      <c r="Y196" s="475"/>
      <c r="Z196" s="475"/>
      <c r="AA196" s="475"/>
      <c r="AB196" s="475"/>
      <c r="AC196" s="475"/>
      <c r="AD196" s="475"/>
      <c r="AE196" s="475"/>
      <c r="AF196" s="475"/>
      <c r="AG196" s="475"/>
      <c r="AH196" s="475"/>
      <c r="AI196" s="475"/>
      <c r="AJ196" s="475"/>
      <c r="AK196" s="475"/>
      <c r="AL196" s="475"/>
      <c r="AM196" s="475"/>
      <c r="AN196" s="475"/>
      <c r="AO196" s="473"/>
      <c r="AP196" s="473"/>
      <c r="AQ196" s="473"/>
      <c r="AR196" s="473"/>
      <c r="AS196" s="473"/>
      <c r="AT196" s="473"/>
      <c r="AU196" s="473"/>
      <c r="AV196" s="473"/>
      <c r="AW196" s="473"/>
      <c r="AX196" s="473"/>
      <c r="AY196" s="473"/>
      <c r="AZ196" s="473"/>
      <c r="BA196" s="473"/>
      <c r="BB196" s="475"/>
      <c r="BC196" s="475"/>
      <c r="BD196" s="475"/>
      <c r="BE196" s="475"/>
      <c r="BF196" s="475"/>
      <c r="BG196" s="475"/>
      <c r="BH196" s="475"/>
      <c r="BI196" s="475"/>
      <c r="BJ196" s="475"/>
      <c r="BK196" s="475"/>
      <c r="BL196" s="475"/>
      <c r="BM196" s="475"/>
      <c r="BN196" s="475"/>
      <c r="BO196" s="473"/>
      <c r="BP196" s="473"/>
      <c r="BQ196" s="473"/>
      <c r="BR196" s="473"/>
      <c r="BS196" s="475"/>
      <c r="BT196" s="475"/>
      <c r="BU196" s="475"/>
      <c r="BV196" s="475"/>
      <c r="BW196" s="475"/>
      <c r="BX196" s="475"/>
      <c r="BY196" s="475"/>
      <c r="BZ196" s="475"/>
      <c r="CA196" s="475"/>
      <c r="CB196" s="475"/>
      <c r="CC196" s="475"/>
      <c r="CD196" s="475"/>
      <c r="CE196" s="475"/>
      <c r="CF196" s="475"/>
      <c r="CG196" s="475"/>
      <c r="CH196" s="475"/>
      <c r="CI196" s="475"/>
      <c r="CJ196" s="475"/>
      <c r="CK196" s="475"/>
      <c r="CL196" s="475"/>
      <c r="CM196" s="475"/>
      <c r="CN196" s="477"/>
      <c r="CO196" s="477"/>
      <c r="CP196" s="477"/>
      <c r="CQ196" s="477"/>
      <c r="CR196" s="477"/>
      <c r="CS196" s="477"/>
      <c r="CT196" s="477"/>
      <c r="CU196" s="477"/>
      <c r="CV196" s="477"/>
      <c r="CW196" s="477"/>
      <c r="CX196" s="477"/>
      <c r="CY196" s="478"/>
      <c r="CZ196" s="478"/>
      <c r="DA196" s="478"/>
      <c r="DB196" s="478"/>
      <c r="DC196" s="478"/>
      <c r="DD196" s="478"/>
      <c r="DE196" s="478"/>
      <c r="DF196" s="478"/>
      <c r="DG196" s="478"/>
      <c r="DH196" s="478"/>
      <c r="DI196" s="478"/>
      <c r="DJ196" s="478"/>
      <c r="DK196" s="478"/>
      <c r="DL196" s="478"/>
      <c r="DM196" s="478"/>
      <c r="DN196" s="478"/>
      <c r="DO196" s="478"/>
      <c r="DP196" s="478"/>
      <c r="DQ196" s="478"/>
      <c r="DR196" s="478"/>
      <c r="DS196" s="478"/>
      <c r="DT196" s="478"/>
      <c r="DU196" s="478"/>
      <c r="DV196" s="478"/>
      <c r="DW196" s="478"/>
      <c r="DX196" s="478"/>
      <c r="DY196" s="478"/>
      <c r="DZ196" s="478"/>
      <c r="EA196" s="477"/>
      <c r="EB196" s="477"/>
    </row>
    <row r="197" spans="1:132" ht="18.899999999999999" customHeight="1">
      <c r="A197" s="473"/>
      <c r="B197" s="473"/>
      <c r="C197" s="474"/>
      <c r="D197" s="474"/>
      <c r="E197" s="474"/>
      <c r="F197" s="473"/>
      <c r="G197" s="473"/>
      <c r="H197" s="475"/>
      <c r="I197" s="473"/>
      <c r="J197" s="473"/>
      <c r="K197" s="473"/>
      <c r="L197" s="473"/>
      <c r="M197" s="475"/>
      <c r="N197" s="475"/>
      <c r="O197" s="475"/>
      <c r="P197" s="475"/>
      <c r="Q197" s="475"/>
      <c r="R197" s="475"/>
      <c r="S197" s="475"/>
      <c r="T197" s="475"/>
      <c r="U197" s="475"/>
      <c r="V197" s="475"/>
      <c r="W197" s="475"/>
      <c r="X197" s="475"/>
      <c r="Y197" s="475"/>
      <c r="Z197" s="475"/>
      <c r="AA197" s="475"/>
      <c r="AB197" s="475"/>
      <c r="AC197" s="475"/>
      <c r="AD197" s="475"/>
      <c r="AE197" s="475"/>
      <c r="AF197" s="475"/>
      <c r="AG197" s="475"/>
      <c r="AH197" s="475"/>
      <c r="AI197" s="475"/>
      <c r="AJ197" s="475"/>
      <c r="AK197" s="475"/>
      <c r="AL197" s="475"/>
      <c r="AM197" s="475"/>
      <c r="AN197" s="475"/>
      <c r="AO197" s="473"/>
      <c r="AP197" s="473"/>
      <c r="AQ197" s="473"/>
      <c r="AR197" s="473"/>
      <c r="AS197" s="473"/>
      <c r="AT197" s="473"/>
      <c r="AU197" s="473"/>
      <c r="AV197" s="473"/>
      <c r="AW197" s="473"/>
      <c r="AX197" s="473"/>
      <c r="AY197" s="473"/>
      <c r="AZ197" s="473"/>
      <c r="BA197" s="473"/>
      <c r="BB197" s="475"/>
      <c r="BC197" s="475"/>
      <c r="BD197" s="475"/>
      <c r="BE197" s="475"/>
      <c r="BF197" s="475"/>
      <c r="BG197" s="475"/>
      <c r="BH197" s="475"/>
      <c r="BI197" s="475"/>
      <c r="BJ197" s="475"/>
      <c r="BK197" s="475"/>
      <c r="BL197" s="475"/>
      <c r="BM197" s="475"/>
      <c r="BN197" s="475"/>
      <c r="BO197" s="473"/>
      <c r="BP197" s="473"/>
      <c r="BQ197" s="473"/>
      <c r="BR197" s="473"/>
      <c r="BS197" s="475"/>
      <c r="BT197" s="475"/>
      <c r="BU197" s="475"/>
      <c r="BV197" s="475"/>
      <c r="BW197" s="475"/>
      <c r="BX197" s="475"/>
      <c r="BY197" s="475"/>
      <c r="BZ197" s="475"/>
      <c r="CA197" s="475"/>
      <c r="CB197" s="475"/>
      <c r="CC197" s="475"/>
      <c r="CD197" s="475"/>
      <c r="CE197" s="475"/>
      <c r="CF197" s="475"/>
      <c r="CG197" s="475"/>
      <c r="CH197" s="475"/>
      <c r="CI197" s="475"/>
      <c r="CJ197" s="475"/>
      <c r="CK197" s="475"/>
      <c r="CL197" s="475"/>
      <c r="CM197" s="475"/>
      <c r="CN197" s="477"/>
      <c r="CO197" s="477"/>
      <c r="CP197" s="477"/>
      <c r="CQ197" s="477"/>
      <c r="CR197" s="477"/>
      <c r="CS197" s="477"/>
      <c r="CT197" s="477"/>
      <c r="CU197" s="477"/>
      <c r="CV197" s="477"/>
      <c r="CW197" s="477"/>
      <c r="CX197" s="477"/>
      <c r="CY197" s="478"/>
      <c r="CZ197" s="478"/>
      <c r="DA197" s="478"/>
      <c r="DB197" s="478"/>
      <c r="DC197" s="478"/>
      <c r="DD197" s="478"/>
      <c r="DE197" s="478"/>
      <c r="DF197" s="478"/>
      <c r="DG197" s="478"/>
      <c r="DH197" s="478"/>
      <c r="DI197" s="478"/>
      <c r="DJ197" s="478"/>
      <c r="DK197" s="478"/>
      <c r="DL197" s="478"/>
      <c r="DM197" s="478"/>
      <c r="DN197" s="478"/>
      <c r="DO197" s="478"/>
      <c r="DP197" s="478"/>
      <c r="DQ197" s="478"/>
      <c r="DR197" s="478"/>
      <c r="DS197" s="478"/>
      <c r="DT197" s="478"/>
      <c r="DU197" s="478"/>
      <c r="DV197" s="478"/>
      <c r="DW197" s="478"/>
      <c r="DX197" s="478"/>
      <c r="DY197" s="478"/>
      <c r="DZ197" s="478"/>
      <c r="EA197" s="477"/>
      <c r="EB197" s="477"/>
    </row>
    <row r="198" spans="1:132" ht="18.899999999999999" customHeight="1">
      <c r="A198" s="473"/>
      <c r="B198" s="473"/>
      <c r="C198" s="474"/>
      <c r="D198" s="474"/>
      <c r="E198" s="474"/>
      <c r="F198" s="473"/>
      <c r="G198" s="473"/>
      <c r="H198" s="475"/>
      <c r="I198" s="473"/>
      <c r="J198" s="473"/>
      <c r="K198" s="473"/>
      <c r="L198" s="473"/>
      <c r="M198" s="475"/>
      <c r="N198" s="475"/>
      <c r="O198" s="475"/>
      <c r="P198" s="475"/>
      <c r="Q198" s="475"/>
      <c r="R198" s="475"/>
      <c r="S198" s="475"/>
      <c r="T198" s="475"/>
      <c r="U198" s="475"/>
      <c r="V198" s="475"/>
      <c r="W198" s="475"/>
      <c r="X198" s="475"/>
      <c r="Y198" s="475"/>
      <c r="Z198" s="475"/>
      <c r="AA198" s="475"/>
      <c r="AB198" s="475"/>
      <c r="AC198" s="475"/>
      <c r="AD198" s="475"/>
      <c r="AE198" s="475"/>
      <c r="AF198" s="475"/>
      <c r="AG198" s="475"/>
      <c r="AH198" s="475"/>
      <c r="AI198" s="475"/>
      <c r="AJ198" s="475"/>
      <c r="AK198" s="475"/>
      <c r="AL198" s="475"/>
      <c r="AM198" s="475"/>
      <c r="AN198" s="475"/>
      <c r="AO198" s="473"/>
      <c r="AP198" s="473"/>
      <c r="AQ198" s="473"/>
      <c r="AR198" s="473"/>
      <c r="AS198" s="473"/>
      <c r="AT198" s="473"/>
      <c r="AU198" s="473"/>
      <c r="AV198" s="473"/>
      <c r="AW198" s="473"/>
      <c r="AX198" s="473"/>
      <c r="AY198" s="473"/>
      <c r="AZ198" s="473"/>
      <c r="BA198" s="473"/>
      <c r="BB198" s="475"/>
      <c r="BC198" s="475"/>
      <c r="BD198" s="475"/>
      <c r="BE198" s="475"/>
      <c r="BF198" s="475"/>
      <c r="BG198" s="475"/>
      <c r="BH198" s="475"/>
      <c r="BI198" s="475"/>
      <c r="BJ198" s="475"/>
      <c r="BK198" s="475"/>
      <c r="BL198" s="475"/>
      <c r="BM198" s="475"/>
      <c r="BN198" s="475"/>
      <c r="BO198" s="473"/>
      <c r="BP198" s="473"/>
      <c r="BQ198" s="473"/>
      <c r="BR198" s="473"/>
      <c r="BS198" s="475"/>
      <c r="BT198" s="475"/>
      <c r="BU198" s="475"/>
      <c r="BV198" s="475"/>
      <c r="BW198" s="475"/>
      <c r="BX198" s="475"/>
      <c r="BY198" s="475"/>
      <c r="BZ198" s="475"/>
      <c r="CA198" s="475"/>
      <c r="CB198" s="475"/>
      <c r="CC198" s="475"/>
      <c r="CD198" s="475"/>
      <c r="CE198" s="475"/>
      <c r="CF198" s="475"/>
      <c r="CG198" s="475"/>
      <c r="CH198" s="475"/>
      <c r="CI198" s="475"/>
      <c r="CJ198" s="475"/>
      <c r="CK198" s="475"/>
      <c r="CL198" s="475"/>
      <c r="CM198" s="475"/>
      <c r="CN198" s="477"/>
      <c r="CO198" s="477"/>
      <c r="CP198" s="477"/>
      <c r="CQ198" s="477"/>
      <c r="CR198" s="477"/>
      <c r="CS198" s="477"/>
      <c r="CT198" s="477"/>
      <c r="CU198" s="477"/>
      <c r="CV198" s="477"/>
      <c r="CW198" s="477"/>
      <c r="CX198" s="477"/>
      <c r="CY198" s="478"/>
      <c r="CZ198" s="478"/>
      <c r="DA198" s="478"/>
      <c r="DB198" s="478"/>
      <c r="DC198" s="478"/>
      <c r="DD198" s="478"/>
      <c r="DE198" s="478"/>
      <c r="DF198" s="478"/>
      <c r="DG198" s="478"/>
      <c r="DH198" s="478"/>
      <c r="DI198" s="478"/>
      <c r="DJ198" s="478"/>
      <c r="DK198" s="478"/>
      <c r="DL198" s="478"/>
      <c r="DM198" s="478"/>
      <c r="DN198" s="478"/>
      <c r="DO198" s="478"/>
      <c r="DP198" s="478"/>
      <c r="DQ198" s="478"/>
      <c r="DR198" s="478"/>
      <c r="DS198" s="478"/>
      <c r="DT198" s="478"/>
      <c r="DU198" s="478"/>
      <c r="DV198" s="478"/>
      <c r="DW198" s="478"/>
      <c r="DX198" s="478"/>
      <c r="DY198" s="478"/>
      <c r="DZ198" s="478"/>
      <c r="EA198" s="477"/>
      <c r="EB198" s="477"/>
    </row>
    <row r="199" spans="1:132" ht="18.899999999999999" customHeight="1">
      <c r="A199" s="473"/>
      <c r="B199" s="473"/>
      <c r="C199" s="474"/>
      <c r="D199" s="474"/>
      <c r="E199" s="474"/>
      <c r="F199" s="473"/>
      <c r="G199" s="473"/>
      <c r="H199" s="475"/>
      <c r="I199" s="473"/>
      <c r="J199" s="473"/>
      <c r="K199" s="473"/>
      <c r="L199" s="473"/>
      <c r="M199" s="475"/>
      <c r="N199" s="475"/>
      <c r="O199" s="475"/>
      <c r="P199" s="475"/>
      <c r="Q199" s="475"/>
      <c r="R199" s="475"/>
      <c r="S199" s="475"/>
      <c r="T199" s="475"/>
      <c r="U199" s="475"/>
      <c r="V199" s="475"/>
      <c r="W199" s="475"/>
      <c r="X199" s="475"/>
      <c r="Y199" s="475"/>
      <c r="Z199" s="475"/>
      <c r="AA199" s="475"/>
      <c r="AB199" s="475"/>
      <c r="AC199" s="475"/>
      <c r="AD199" s="475"/>
      <c r="AE199" s="475"/>
      <c r="AF199" s="475"/>
      <c r="AG199" s="475"/>
      <c r="AH199" s="475"/>
      <c r="AI199" s="475"/>
      <c r="AJ199" s="475"/>
      <c r="AK199" s="475"/>
      <c r="AL199" s="475"/>
      <c r="AM199" s="475"/>
      <c r="AN199" s="475"/>
      <c r="AO199" s="473"/>
      <c r="AP199" s="473"/>
      <c r="AQ199" s="473"/>
      <c r="AR199" s="473"/>
      <c r="AS199" s="473"/>
      <c r="AT199" s="473"/>
      <c r="AU199" s="473"/>
      <c r="AV199" s="473"/>
      <c r="AW199" s="473"/>
      <c r="AX199" s="473"/>
      <c r="AY199" s="473"/>
      <c r="AZ199" s="473"/>
      <c r="BA199" s="473"/>
      <c r="BB199" s="475"/>
      <c r="BC199" s="475"/>
      <c r="BD199" s="475"/>
      <c r="BE199" s="475"/>
      <c r="BF199" s="475"/>
      <c r="BG199" s="475"/>
      <c r="BH199" s="475"/>
      <c r="BI199" s="475"/>
      <c r="BJ199" s="475"/>
      <c r="BK199" s="475"/>
      <c r="BL199" s="475"/>
      <c r="BM199" s="475"/>
      <c r="BN199" s="475"/>
      <c r="BO199" s="473"/>
      <c r="BP199" s="473"/>
      <c r="BQ199" s="473"/>
      <c r="BR199" s="473"/>
      <c r="BS199" s="475"/>
      <c r="BT199" s="475"/>
      <c r="BU199" s="475"/>
      <c r="BV199" s="475"/>
      <c r="BW199" s="475"/>
      <c r="BX199" s="475"/>
      <c r="BY199" s="475"/>
      <c r="BZ199" s="475"/>
      <c r="CA199" s="475"/>
      <c r="CB199" s="475"/>
      <c r="CC199" s="475"/>
      <c r="CD199" s="475"/>
      <c r="CE199" s="475"/>
      <c r="CF199" s="475"/>
      <c r="CG199" s="475"/>
      <c r="CH199" s="475"/>
      <c r="CI199" s="475"/>
      <c r="CJ199" s="475"/>
      <c r="CK199" s="475"/>
      <c r="CL199" s="475"/>
      <c r="CM199" s="475"/>
      <c r="CN199" s="477"/>
      <c r="CO199" s="477"/>
      <c r="CP199" s="477"/>
      <c r="CQ199" s="477"/>
      <c r="CR199" s="477"/>
      <c r="CS199" s="477"/>
      <c r="CT199" s="477"/>
      <c r="CU199" s="477"/>
      <c r="CV199" s="477"/>
      <c r="CW199" s="477"/>
      <c r="CX199" s="477"/>
      <c r="CY199" s="478"/>
      <c r="CZ199" s="478"/>
      <c r="DA199" s="478"/>
      <c r="DB199" s="478"/>
      <c r="DC199" s="478"/>
      <c r="DD199" s="478"/>
      <c r="DE199" s="478"/>
      <c r="DF199" s="478"/>
      <c r="DG199" s="478"/>
      <c r="DH199" s="478"/>
      <c r="DI199" s="478"/>
      <c r="DJ199" s="478"/>
      <c r="DK199" s="478"/>
      <c r="DL199" s="478"/>
      <c r="DM199" s="478"/>
      <c r="DN199" s="478"/>
      <c r="DO199" s="478"/>
      <c r="DP199" s="478"/>
      <c r="DQ199" s="478"/>
      <c r="DR199" s="478"/>
      <c r="DS199" s="478"/>
      <c r="DT199" s="478"/>
      <c r="DU199" s="478"/>
      <c r="DV199" s="478"/>
      <c r="DW199" s="478"/>
      <c r="DX199" s="478"/>
      <c r="DY199" s="478"/>
      <c r="DZ199" s="478"/>
      <c r="EA199" s="477"/>
      <c r="EB199" s="477"/>
    </row>
    <row r="200" spans="1:132" ht="18.899999999999999" customHeight="1">
      <c r="A200" s="473"/>
      <c r="B200" s="473"/>
      <c r="C200" s="474"/>
      <c r="D200" s="474"/>
      <c r="E200" s="474"/>
      <c r="F200" s="473"/>
      <c r="G200" s="473"/>
      <c r="H200" s="475"/>
      <c r="I200" s="473"/>
      <c r="J200" s="473"/>
      <c r="K200" s="473"/>
      <c r="L200" s="473"/>
      <c r="M200" s="475"/>
      <c r="N200" s="475"/>
      <c r="O200" s="475"/>
      <c r="P200" s="475"/>
      <c r="Q200" s="475"/>
      <c r="R200" s="475"/>
      <c r="S200" s="475"/>
      <c r="T200" s="475"/>
      <c r="U200" s="475"/>
      <c r="V200" s="475"/>
      <c r="W200" s="475"/>
      <c r="X200" s="475"/>
      <c r="Y200" s="475"/>
      <c r="Z200" s="475"/>
      <c r="AA200" s="475"/>
      <c r="AB200" s="475"/>
      <c r="AC200" s="475"/>
      <c r="AD200" s="475"/>
      <c r="AE200" s="475"/>
      <c r="AF200" s="475"/>
      <c r="AG200" s="475"/>
      <c r="AH200" s="475"/>
      <c r="AI200" s="475"/>
      <c r="AJ200" s="475"/>
      <c r="AK200" s="475"/>
      <c r="AL200" s="475"/>
      <c r="AM200" s="475"/>
      <c r="AN200" s="475"/>
      <c r="AO200" s="473"/>
      <c r="AP200" s="473"/>
      <c r="AQ200" s="473"/>
      <c r="AR200" s="473"/>
      <c r="AS200" s="473"/>
      <c r="AT200" s="473"/>
      <c r="AU200" s="473"/>
      <c r="AV200" s="473"/>
      <c r="AW200" s="473"/>
      <c r="AX200" s="473"/>
      <c r="AY200" s="473"/>
      <c r="AZ200" s="473"/>
      <c r="BA200" s="473"/>
      <c r="BB200" s="475"/>
      <c r="BC200" s="475"/>
      <c r="BD200" s="475"/>
      <c r="BE200" s="475"/>
      <c r="BF200" s="475"/>
      <c r="BG200" s="475"/>
      <c r="BH200" s="475"/>
      <c r="BI200" s="475"/>
      <c r="BJ200" s="475"/>
      <c r="BK200" s="475"/>
      <c r="BL200" s="475"/>
      <c r="BM200" s="475"/>
      <c r="BN200" s="475"/>
      <c r="BO200" s="473"/>
      <c r="BP200" s="473"/>
      <c r="BQ200" s="473"/>
      <c r="BR200" s="473"/>
      <c r="BS200" s="475"/>
      <c r="BT200" s="475"/>
      <c r="BU200" s="475"/>
      <c r="BV200" s="475"/>
      <c r="BW200" s="475"/>
      <c r="BX200" s="475"/>
      <c r="BY200" s="475"/>
      <c r="BZ200" s="475"/>
      <c r="CA200" s="475"/>
      <c r="CB200" s="475"/>
      <c r="CC200" s="475"/>
      <c r="CD200" s="475"/>
      <c r="CE200" s="475"/>
      <c r="CF200" s="475"/>
      <c r="CG200" s="475"/>
      <c r="CH200" s="475"/>
      <c r="CI200" s="475"/>
      <c r="CJ200" s="475"/>
      <c r="CK200" s="475"/>
      <c r="CL200" s="475"/>
      <c r="CM200" s="475"/>
      <c r="CN200" s="477"/>
      <c r="CO200" s="477"/>
      <c r="CP200" s="477"/>
      <c r="CQ200" s="477"/>
      <c r="CR200" s="477"/>
      <c r="CS200" s="477"/>
      <c r="CT200" s="477"/>
      <c r="CU200" s="477"/>
      <c r="CV200" s="477"/>
      <c r="CW200" s="477"/>
      <c r="CX200" s="477"/>
      <c r="CY200" s="478"/>
      <c r="CZ200" s="478"/>
      <c r="DA200" s="478"/>
      <c r="DB200" s="478"/>
      <c r="DC200" s="478"/>
      <c r="DD200" s="478"/>
      <c r="DE200" s="478"/>
      <c r="DF200" s="478"/>
      <c r="DG200" s="478"/>
      <c r="DH200" s="478"/>
      <c r="DI200" s="478"/>
      <c r="DJ200" s="478"/>
      <c r="DK200" s="478"/>
      <c r="DL200" s="478"/>
      <c r="DM200" s="478"/>
      <c r="DN200" s="478"/>
      <c r="DO200" s="478"/>
      <c r="DP200" s="478"/>
      <c r="DQ200" s="478"/>
      <c r="DR200" s="478"/>
      <c r="DS200" s="478"/>
      <c r="DT200" s="478"/>
      <c r="DU200" s="478"/>
      <c r="DV200" s="478"/>
      <c r="DW200" s="478"/>
      <c r="DX200" s="478"/>
      <c r="DY200" s="478"/>
      <c r="DZ200" s="478"/>
      <c r="EA200" s="477"/>
      <c r="EB200" s="477"/>
    </row>
    <row r="201" spans="1:132" ht="18.899999999999999" customHeight="1">
      <c r="A201" s="473"/>
      <c r="B201" s="473"/>
      <c r="C201" s="474"/>
      <c r="D201" s="474"/>
      <c r="E201" s="474"/>
      <c r="F201" s="473"/>
      <c r="G201" s="473"/>
      <c r="H201" s="475"/>
      <c r="I201" s="473"/>
      <c r="J201" s="473"/>
      <c r="K201" s="473"/>
      <c r="L201" s="473"/>
      <c r="M201" s="475"/>
      <c r="N201" s="475"/>
      <c r="O201" s="475"/>
      <c r="P201" s="475"/>
      <c r="Q201" s="475"/>
      <c r="R201" s="475"/>
      <c r="S201" s="475"/>
      <c r="T201" s="475"/>
      <c r="U201" s="475"/>
      <c r="V201" s="475"/>
      <c r="W201" s="475"/>
      <c r="X201" s="475"/>
      <c r="Y201" s="475"/>
      <c r="Z201" s="475"/>
      <c r="AA201" s="475"/>
      <c r="AB201" s="475"/>
      <c r="AC201" s="475"/>
      <c r="AD201" s="475"/>
      <c r="AE201" s="475"/>
      <c r="AF201" s="475"/>
      <c r="AG201" s="475"/>
      <c r="AH201" s="475"/>
      <c r="AI201" s="475"/>
      <c r="AJ201" s="475"/>
      <c r="AK201" s="475"/>
      <c r="AL201" s="475"/>
      <c r="AM201" s="475"/>
      <c r="AN201" s="475"/>
      <c r="AO201" s="473"/>
      <c r="AP201" s="473"/>
      <c r="AQ201" s="473"/>
      <c r="AR201" s="473"/>
      <c r="AS201" s="473"/>
      <c r="AT201" s="473"/>
      <c r="AU201" s="473"/>
      <c r="AV201" s="473"/>
      <c r="AW201" s="473"/>
      <c r="AX201" s="473"/>
      <c r="AY201" s="473"/>
      <c r="AZ201" s="473"/>
      <c r="BA201" s="473"/>
      <c r="BB201" s="475"/>
      <c r="BC201" s="475"/>
      <c r="BD201" s="475"/>
      <c r="BE201" s="475"/>
      <c r="BF201" s="475"/>
      <c r="BG201" s="475"/>
      <c r="BH201" s="475"/>
      <c r="BI201" s="475"/>
      <c r="BJ201" s="475"/>
      <c r="BK201" s="475"/>
      <c r="BL201" s="475"/>
      <c r="BM201" s="475"/>
      <c r="BN201" s="475"/>
      <c r="BO201" s="473"/>
      <c r="BP201" s="473"/>
      <c r="BQ201" s="473"/>
      <c r="BR201" s="473"/>
      <c r="BS201" s="475"/>
      <c r="BT201" s="475"/>
      <c r="BU201" s="475"/>
      <c r="BV201" s="475"/>
      <c r="BW201" s="475"/>
      <c r="BX201" s="475"/>
      <c r="BY201" s="475"/>
      <c r="BZ201" s="475"/>
      <c r="CA201" s="475"/>
      <c r="CB201" s="475"/>
      <c r="CC201" s="475"/>
      <c r="CD201" s="475"/>
      <c r="CE201" s="475"/>
      <c r="CF201" s="475"/>
      <c r="CG201" s="475"/>
      <c r="CH201" s="475"/>
      <c r="CI201" s="475"/>
      <c r="CJ201" s="475"/>
      <c r="CK201" s="475"/>
      <c r="CL201" s="475"/>
      <c r="CM201" s="475"/>
      <c r="CN201" s="477"/>
      <c r="CO201" s="477"/>
      <c r="CP201" s="477"/>
      <c r="CQ201" s="477"/>
      <c r="CR201" s="477"/>
      <c r="CS201" s="477"/>
      <c r="CT201" s="477"/>
      <c r="CU201" s="477"/>
      <c r="CV201" s="477"/>
      <c r="CW201" s="477"/>
      <c r="CX201" s="477"/>
      <c r="CY201" s="478"/>
      <c r="CZ201" s="478"/>
      <c r="DA201" s="478"/>
      <c r="DB201" s="478"/>
      <c r="DC201" s="478"/>
      <c r="DD201" s="478"/>
      <c r="DE201" s="478"/>
      <c r="DF201" s="478"/>
      <c r="DG201" s="478"/>
      <c r="DH201" s="478"/>
      <c r="DI201" s="478"/>
      <c r="DJ201" s="478"/>
      <c r="DK201" s="478"/>
      <c r="DL201" s="478"/>
      <c r="DM201" s="478"/>
      <c r="DN201" s="478"/>
      <c r="DO201" s="478"/>
      <c r="DP201" s="478"/>
      <c r="DQ201" s="478"/>
      <c r="DR201" s="478"/>
      <c r="DS201" s="478"/>
      <c r="DT201" s="478"/>
      <c r="DU201" s="478"/>
      <c r="DV201" s="478"/>
      <c r="DW201" s="478"/>
      <c r="DX201" s="478"/>
      <c r="DY201" s="478"/>
      <c r="DZ201" s="478"/>
      <c r="EA201" s="477"/>
      <c r="EB201" s="477"/>
    </row>
    <row r="202" spans="1:132" ht="18.899999999999999" customHeight="1">
      <c r="A202" s="473"/>
      <c r="B202" s="473"/>
      <c r="C202" s="474"/>
      <c r="D202" s="474"/>
      <c r="E202" s="474"/>
      <c r="F202" s="473"/>
      <c r="G202" s="473"/>
      <c r="H202" s="475"/>
      <c r="I202" s="473"/>
      <c r="J202" s="473"/>
      <c r="K202" s="473"/>
      <c r="L202" s="473"/>
      <c r="M202" s="475"/>
      <c r="N202" s="475"/>
      <c r="O202" s="475"/>
      <c r="P202" s="475"/>
      <c r="Q202" s="475"/>
      <c r="R202" s="475"/>
      <c r="S202" s="475"/>
      <c r="T202" s="475"/>
      <c r="U202" s="475"/>
      <c r="V202" s="475"/>
      <c r="W202" s="475"/>
      <c r="X202" s="475"/>
      <c r="Y202" s="475"/>
      <c r="Z202" s="475"/>
      <c r="AA202" s="475"/>
      <c r="AB202" s="475"/>
      <c r="AC202" s="475"/>
      <c r="AD202" s="475"/>
      <c r="AE202" s="475"/>
      <c r="AF202" s="475"/>
      <c r="AG202" s="475"/>
      <c r="AH202" s="475"/>
      <c r="AI202" s="475"/>
      <c r="AJ202" s="475"/>
      <c r="AK202" s="475"/>
      <c r="AL202" s="475"/>
      <c r="AM202" s="475"/>
      <c r="AN202" s="475"/>
      <c r="AO202" s="473"/>
      <c r="AP202" s="473"/>
      <c r="AQ202" s="473"/>
      <c r="AR202" s="473"/>
      <c r="AS202" s="473"/>
      <c r="AT202" s="473"/>
      <c r="AU202" s="473"/>
      <c r="AV202" s="473"/>
      <c r="AW202" s="473"/>
      <c r="AX202" s="473"/>
      <c r="AY202" s="473"/>
      <c r="AZ202" s="473"/>
      <c r="BA202" s="473"/>
      <c r="BB202" s="475"/>
      <c r="BC202" s="475"/>
      <c r="BD202" s="475"/>
      <c r="BE202" s="475"/>
      <c r="BF202" s="475"/>
      <c r="BG202" s="475"/>
      <c r="BH202" s="475"/>
      <c r="BI202" s="475"/>
      <c r="BJ202" s="475"/>
      <c r="BK202" s="475"/>
      <c r="BL202" s="475"/>
      <c r="BM202" s="475"/>
      <c r="BN202" s="475"/>
      <c r="BO202" s="473"/>
      <c r="BP202" s="473"/>
      <c r="BQ202" s="473"/>
      <c r="BR202" s="473"/>
      <c r="BS202" s="475"/>
      <c r="BT202" s="475"/>
      <c r="BU202" s="475"/>
      <c r="BV202" s="475"/>
      <c r="BW202" s="475"/>
      <c r="BX202" s="475"/>
      <c r="BY202" s="475"/>
      <c r="BZ202" s="475"/>
      <c r="CA202" s="475"/>
      <c r="CB202" s="475"/>
      <c r="CC202" s="475"/>
      <c r="CD202" s="475"/>
      <c r="CE202" s="475"/>
      <c r="CF202" s="475"/>
      <c r="CG202" s="475"/>
      <c r="CH202" s="475"/>
      <c r="CI202" s="475"/>
      <c r="CJ202" s="475"/>
      <c r="CK202" s="475"/>
      <c r="CL202" s="475"/>
      <c r="CM202" s="475"/>
      <c r="CN202" s="477"/>
      <c r="CO202" s="477"/>
      <c r="CP202" s="477"/>
      <c r="CQ202" s="477"/>
      <c r="CR202" s="477"/>
      <c r="CS202" s="477"/>
      <c r="CT202" s="477"/>
      <c r="CU202" s="477"/>
      <c r="CV202" s="477"/>
      <c r="CW202" s="477"/>
      <c r="CX202" s="477"/>
      <c r="CY202" s="478"/>
      <c r="CZ202" s="478"/>
      <c r="DA202" s="478"/>
      <c r="DB202" s="478"/>
      <c r="DC202" s="478"/>
      <c r="DD202" s="478"/>
      <c r="DE202" s="478"/>
      <c r="DF202" s="478"/>
      <c r="DG202" s="478"/>
      <c r="DH202" s="478"/>
      <c r="DI202" s="478"/>
      <c r="DJ202" s="478"/>
      <c r="DK202" s="478"/>
      <c r="DL202" s="478"/>
      <c r="DM202" s="478"/>
      <c r="DN202" s="478"/>
      <c r="DO202" s="478"/>
      <c r="DP202" s="478"/>
      <c r="DQ202" s="478"/>
      <c r="DR202" s="478"/>
      <c r="DS202" s="478"/>
      <c r="DT202" s="478"/>
      <c r="DU202" s="478"/>
      <c r="DV202" s="478"/>
      <c r="DW202" s="478"/>
      <c r="DX202" s="478"/>
      <c r="DY202" s="478"/>
      <c r="DZ202" s="478"/>
      <c r="EA202" s="477"/>
      <c r="EB202" s="477"/>
    </row>
    <row r="203" spans="1:132" ht="18.899999999999999" customHeight="1">
      <c r="A203" s="473"/>
      <c r="B203" s="473"/>
      <c r="C203" s="474"/>
      <c r="D203" s="474"/>
      <c r="E203" s="474"/>
      <c r="F203" s="473"/>
      <c r="G203" s="473"/>
      <c r="H203" s="475"/>
      <c r="I203" s="473"/>
      <c r="J203" s="473"/>
      <c r="K203" s="473"/>
      <c r="L203" s="473"/>
      <c r="M203" s="475"/>
      <c r="N203" s="475"/>
      <c r="O203" s="475"/>
      <c r="P203" s="475"/>
      <c r="Q203" s="475"/>
      <c r="R203" s="475"/>
      <c r="S203" s="475"/>
      <c r="T203" s="475"/>
      <c r="U203" s="475"/>
      <c r="V203" s="475"/>
      <c r="W203" s="475"/>
      <c r="X203" s="475"/>
      <c r="Y203" s="475"/>
      <c r="Z203" s="475"/>
      <c r="AA203" s="475"/>
      <c r="AB203" s="475"/>
      <c r="AC203" s="475"/>
      <c r="AD203" s="475"/>
      <c r="AE203" s="475"/>
      <c r="AF203" s="475"/>
      <c r="AG203" s="475"/>
      <c r="AH203" s="475"/>
      <c r="AI203" s="475"/>
      <c r="AJ203" s="475"/>
      <c r="AK203" s="475"/>
      <c r="AL203" s="475"/>
      <c r="AM203" s="475"/>
      <c r="AN203" s="475"/>
      <c r="AO203" s="473"/>
      <c r="AP203" s="473"/>
      <c r="AQ203" s="473"/>
      <c r="AR203" s="473"/>
      <c r="AS203" s="473"/>
      <c r="AT203" s="473"/>
      <c r="AU203" s="473"/>
      <c r="AV203" s="473"/>
      <c r="AW203" s="473"/>
      <c r="AX203" s="473"/>
      <c r="AY203" s="473"/>
      <c r="AZ203" s="473"/>
      <c r="BA203" s="473"/>
      <c r="BB203" s="475"/>
      <c r="BC203" s="475"/>
      <c r="BD203" s="475"/>
      <c r="BE203" s="475"/>
      <c r="BF203" s="475"/>
      <c r="BG203" s="475"/>
      <c r="BH203" s="475"/>
      <c r="BI203" s="475"/>
      <c r="BJ203" s="475"/>
      <c r="BK203" s="475"/>
      <c r="BL203" s="475"/>
      <c r="BM203" s="475"/>
      <c r="BN203" s="475"/>
      <c r="BO203" s="473"/>
      <c r="BP203" s="473"/>
      <c r="BQ203" s="473"/>
      <c r="BR203" s="473"/>
      <c r="BS203" s="475"/>
      <c r="BT203" s="475"/>
      <c r="BU203" s="475"/>
      <c r="BV203" s="475"/>
      <c r="BW203" s="475"/>
      <c r="BX203" s="475"/>
      <c r="BY203" s="475"/>
      <c r="BZ203" s="475"/>
      <c r="CA203" s="475"/>
      <c r="CB203" s="475"/>
      <c r="CC203" s="475"/>
      <c r="CD203" s="475"/>
      <c r="CE203" s="475"/>
      <c r="CF203" s="475"/>
      <c r="CG203" s="475"/>
      <c r="CH203" s="475"/>
      <c r="CI203" s="475"/>
      <c r="CJ203" s="475"/>
      <c r="CK203" s="475"/>
      <c r="CL203" s="475"/>
      <c r="CM203" s="475"/>
      <c r="CN203" s="477"/>
      <c r="CO203" s="477"/>
      <c r="CP203" s="477"/>
      <c r="CQ203" s="477"/>
      <c r="CR203" s="477"/>
      <c r="CS203" s="477"/>
      <c r="CT203" s="477"/>
      <c r="CU203" s="477"/>
      <c r="CV203" s="477"/>
      <c r="CW203" s="477"/>
      <c r="CX203" s="477"/>
      <c r="CY203" s="478"/>
      <c r="CZ203" s="478"/>
      <c r="DA203" s="478"/>
      <c r="DB203" s="478"/>
      <c r="DC203" s="478"/>
      <c r="DD203" s="478"/>
      <c r="DE203" s="478"/>
      <c r="DF203" s="478"/>
      <c r="DG203" s="478"/>
      <c r="DH203" s="478"/>
      <c r="DI203" s="478"/>
      <c r="DJ203" s="478"/>
      <c r="DK203" s="478"/>
      <c r="DL203" s="478"/>
      <c r="DM203" s="478"/>
      <c r="DN203" s="478"/>
      <c r="DO203" s="478"/>
      <c r="DP203" s="478"/>
      <c r="DQ203" s="478"/>
      <c r="DR203" s="478"/>
      <c r="DS203" s="478"/>
      <c r="DT203" s="478"/>
      <c r="DU203" s="478"/>
      <c r="DV203" s="478"/>
      <c r="DW203" s="478"/>
      <c r="DX203" s="478"/>
      <c r="DY203" s="478"/>
      <c r="DZ203" s="478"/>
      <c r="EA203" s="477"/>
      <c r="EB203" s="477"/>
    </row>
    <row r="204" spans="1:132" ht="18.899999999999999" customHeight="1">
      <c r="A204" s="473"/>
      <c r="B204" s="473"/>
      <c r="C204" s="474"/>
      <c r="D204" s="474"/>
      <c r="E204" s="474"/>
      <c r="F204" s="473"/>
      <c r="G204" s="473"/>
      <c r="H204" s="475"/>
      <c r="I204" s="473"/>
      <c r="J204" s="473"/>
      <c r="K204" s="473"/>
      <c r="L204" s="473"/>
      <c r="M204" s="475"/>
      <c r="N204" s="475"/>
      <c r="O204" s="475"/>
      <c r="P204" s="475"/>
      <c r="Q204" s="475"/>
      <c r="R204" s="475"/>
      <c r="S204" s="475"/>
      <c r="T204" s="475"/>
      <c r="U204" s="475"/>
      <c r="V204" s="475"/>
      <c r="W204" s="475"/>
      <c r="X204" s="475"/>
      <c r="Y204" s="475"/>
      <c r="Z204" s="475"/>
      <c r="AA204" s="475"/>
      <c r="AB204" s="475"/>
      <c r="AC204" s="475"/>
      <c r="AD204" s="475"/>
      <c r="AE204" s="475"/>
      <c r="AF204" s="475"/>
      <c r="AG204" s="475"/>
      <c r="AH204" s="475"/>
      <c r="AI204" s="475"/>
      <c r="AJ204" s="475"/>
      <c r="AK204" s="475"/>
      <c r="AL204" s="475"/>
      <c r="AM204" s="475"/>
      <c r="AN204" s="475"/>
      <c r="AO204" s="473"/>
      <c r="AP204" s="473"/>
      <c r="AQ204" s="473"/>
      <c r="AR204" s="473"/>
      <c r="AS204" s="473"/>
      <c r="AT204" s="473"/>
      <c r="AU204" s="473"/>
      <c r="AV204" s="473"/>
      <c r="AW204" s="473"/>
      <c r="AX204" s="473"/>
      <c r="AY204" s="473"/>
      <c r="AZ204" s="473"/>
      <c r="BA204" s="473"/>
      <c r="BB204" s="475"/>
      <c r="BC204" s="475"/>
      <c r="BD204" s="475"/>
      <c r="BE204" s="475"/>
      <c r="BF204" s="475"/>
      <c r="BG204" s="475"/>
      <c r="BH204" s="475"/>
      <c r="BI204" s="475"/>
      <c r="BJ204" s="475"/>
      <c r="BK204" s="475"/>
      <c r="BL204" s="475"/>
      <c r="BM204" s="475"/>
      <c r="BN204" s="475"/>
      <c r="BO204" s="473"/>
      <c r="BP204" s="473"/>
      <c r="BQ204" s="473"/>
      <c r="BR204" s="473"/>
      <c r="BS204" s="475"/>
      <c r="BT204" s="475"/>
      <c r="BU204" s="475"/>
      <c r="BV204" s="475"/>
      <c r="BW204" s="475"/>
      <c r="BX204" s="475"/>
      <c r="BY204" s="475"/>
      <c r="BZ204" s="475"/>
      <c r="CA204" s="475"/>
      <c r="CB204" s="475"/>
      <c r="CC204" s="475"/>
      <c r="CD204" s="475"/>
      <c r="CE204" s="475"/>
      <c r="CF204" s="475"/>
      <c r="CG204" s="475"/>
      <c r="CH204" s="475"/>
      <c r="CI204" s="475"/>
      <c r="CJ204" s="475"/>
      <c r="CK204" s="475"/>
      <c r="CL204" s="475"/>
      <c r="CM204" s="475"/>
      <c r="CN204" s="477"/>
      <c r="CO204" s="477"/>
      <c r="CP204" s="477"/>
      <c r="CQ204" s="477"/>
      <c r="CR204" s="477"/>
      <c r="CS204" s="477"/>
      <c r="CT204" s="477"/>
      <c r="CU204" s="477"/>
      <c r="CV204" s="477"/>
      <c r="CW204" s="477"/>
      <c r="CX204" s="477"/>
      <c r="CY204" s="478"/>
      <c r="CZ204" s="478"/>
      <c r="DA204" s="478"/>
      <c r="DB204" s="478"/>
      <c r="DC204" s="478"/>
      <c r="DD204" s="478"/>
      <c r="DE204" s="478"/>
      <c r="DF204" s="478"/>
      <c r="DG204" s="478"/>
      <c r="DH204" s="478"/>
      <c r="DI204" s="478"/>
      <c r="DJ204" s="478"/>
      <c r="DK204" s="478"/>
      <c r="DL204" s="478"/>
      <c r="DM204" s="478"/>
      <c r="DN204" s="478"/>
      <c r="DO204" s="478"/>
      <c r="DP204" s="478"/>
      <c r="DQ204" s="478"/>
      <c r="DR204" s="478"/>
      <c r="DS204" s="478"/>
      <c r="DT204" s="478"/>
      <c r="DU204" s="478"/>
      <c r="DV204" s="478"/>
      <c r="DW204" s="478"/>
      <c r="DX204" s="478"/>
      <c r="DY204" s="478"/>
      <c r="DZ204" s="478"/>
      <c r="EA204" s="477"/>
      <c r="EB204" s="477"/>
    </row>
    <row r="205" spans="1:132" ht="18.899999999999999" customHeight="1">
      <c r="A205" s="473"/>
      <c r="B205" s="473"/>
      <c r="C205" s="474"/>
      <c r="D205" s="474"/>
      <c r="E205" s="474"/>
      <c r="F205" s="473"/>
      <c r="G205" s="473"/>
      <c r="H205" s="475"/>
      <c r="I205" s="473"/>
      <c r="J205" s="473"/>
      <c r="K205" s="473"/>
      <c r="L205" s="473"/>
      <c r="M205" s="475"/>
      <c r="N205" s="475"/>
      <c r="O205" s="475"/>
      <c r="P205" s="475"/>
      <c r="Q205" s="475"/>
      <c r="R205" s="475"/>
      <c r="S205" s="475"/>
      <c r="T205" s="475"/>
      <c r="U205" s="475"/>
      <c r="V205" s="475"/>
      <c r="W205" s="475"/>
      <c r="X205" s="475"/>
      <c r="Y205" s="475"/>
      <c r="Z205" s="475"/>
      <c r="AA205" s="475"/>
      <c r="AB205" s="475"/>
      <c r="AC205" s="475"/>
      <c r="AD205" s="475"/>
      <c r="AE205" s="475"/>
      <c r="AF205" s="475"/>
      <c r="AG205" s="475"/>
      <c r="AH205" s="475"/>
      <c r="AI205" s="475"/>
      <c r="AJ205" s="475"/>
      <c r="AK205" s="475"/>
      <c r="AL205" s="475"/>
      <c r="AM205" s="475"/>
      <c r="AN205" s="475"/>
      <c r="AO205" s="473"/>
      <c r="AP205" s="473"/>
      <c r="AQ205" s="473"/>
      <c r="AR205" s="473"/>
      <c r="AS205" s="473"/>
      <c r="AT205" s="473"/>
      <c r="AU205" s="473"/>
      <c r="AV205" s="473"/>
      <c r="AW205" s="473"/>
      <c r="AX205" s="473"/>
      <c r="AY205" s="473"/>
      <c r="AZ205" s="473"/>
      <c r="BA205" s="473"/>
      <c r="BB205" s="475"/>
      <c r="BC205" s="475"/>
      <c r="BD205" s="475"/>
      <c r="BE205" s="475"/>
      <c r="BF205" s="475"/>
      <c r="BG205" s="475"/>
      <c r="BH205" s="475"/>
      <c r="BI205" s="475"/>
      <c r="BJ205" s="475"/>
      <c r="BK205" s="475"/>
      <c r="BL205" s="475"/>
      <c r="BM205" s="475"/>
      <c r="BN205" s="475"/>
      <c r="BO205" s="473"/>
      <c r="BP205" s="473"/>
      <c r="BQ205" s="473"/>
      <c r="BR205" s="473"/>
      <c r="BS205" s="475"/>
      <c r="BT205" s="475"/>
      <c r="BU205" s="475"/>
      <c r="BV205" s="475"/>
      <c r="BW205" s="475"/>
      <c r="BX205" s="475"/>
      <c r="BY205" s="475"/>
      <c r="BZ205" s="475"/>
      <c r="CA205" s="475"/>
      <c r="CB205" s="475"/>
      <c r="CC205" s="475"/>
      <c r="CD205" s="475"/>
      <c r="CE205" s="475"/>
      <c r="CF205" s="475"/>
      <c r="CG205" s="475"/>
      <c r="CH205" s="475"/>
      <c r="CI205" s="475"/>
      <c r="CJ205" s="475"/>
      <c r="CK205" s="475"/>
      <c r="CL205" s="475"/>
      <c r="CM205" s="475"/>
      <c r="CN205" s="477"/>
      <c r="CO205" s="477"/>
      <c r="CP205" s="477"/>
      <c r="CQ205" s="477"/>
      <c r="CR205" s="477"/>
      <c r="CS205" s="477"/>
      <c r="CT205" s="477"/>
      <c r="CU205" s="477"/>
      <c r="CV205" s="477"/>
      <c r="CW205" s="477"/>
      <c r="CX205" s="477"/>
      <c r="CY205" s="478"/>
      <c r="CZ205" s="478"/>
      <c r="DA205" s="478"/>
      <c r="DB205" s="478"/>
      <c r="DC205" s="478"/>
      <c r="DD205" s="478"/>
      <c r="DE205" s="478"/>
      <c r="DF205" s="478"/>
      <c r="DG205" s="478"/>
      <c r="DH205" s="478"/>
      <c r="DI205" s="478"/>
      <c r="DJ205" s="478"/>
      <c r="DK205" s="478"/>
      <c r="DL205" s="478"/>
      <c r="DM205" s="478"/>
      <c r="DN205" s="478"/>
      <c r="DO205" s="478"/>
      <c r="DP205" s="478"/>
      <c r="DQ205" s="478"/>
      <c r="DR205" s="478"/>
      <c r="DS205" s="478"/>
      <c r="DT205" s="478"/>
      <c r="DU205" s="478"/>
      <c r="DV205" s="478"/>
      <c r="DW205" s="478"/>
      <c r="DX205" s="478"/>
      <c r="DY205" s="478"/>
      <c r="DZ205" s="478"/>
      <c r="EA205" s="477"/>
      <c r="EB205" s="477"/>
    </row>
    <row r="206" spans="1:132" ht="18.899999999999999" customHeight="1">
      <c r="A206" s="473"/>
      <c r="B206" s="473"/>
      <c r="C206" s="474"/>
      <c r="D206" s="474"/>
      <c r="E206" s="474"/>
      <c r="F206" s="473"/>
      <c r="G206" s="473"/>
      <c r="H206" s="475"/>
      <c r="I206" s="473"/>
      <c r="J206" s="473"/>
      <c r="K206" s="473"/>
      <c r="L206" s="473"/>
      <c r="M206" s="475"/>
      <c r="N206" s="475"/>
      <c r="O206" s="475"/>
      <c r="P206" s="475"/>
      <c r="Q206" s="475"/>
      <c r="R206" s="475"/>
      <c r="S206" s="475"/>
      <c r="T206" s="475"/>
      <c r="U206" s="475"/>
      <c r="V206" s="475"/>
      <c r="W206" s="475"/>
      <c r="X206" s="475"/>
      <c r="Y206" s="475"/>
      <c r="Z206" s="475"/>
      <c r="AA206" s="475"/>
      <c r="AB206" s="475"/>
      <c r="AC206" s="475"/>
      <c r="AD206" s="475"/>
      <c r="AE206" s="475"/>
      <c r="AF206" s="475"/>
      <c r="AG206" s="475"/>
      <c r="AH206" s="475"/>
      <c r="AI206" s="475"/>
      <c r="AJ206" s="475"/>
      <c r="AK206" s="475"/>
      <c r="AL206" s="475"/>
      <c r="AM206" s="475"/>
      <c r="AN206" s="475"/>
      <c r="AO206" s="473"/>
      <c r="AP206" s="473"/>
      <c r="AQ206" s="473"/>
      <c r="AR206" s="473"/>
      <c r="AS206" s="473"/>
      <c r="AT206" s="473"/>
      <c r="AU206" s="473"/>
      <c r="AV206" s="473"/>
      <c r="AW206" s="473"/>
      <c r="AX206" s="473"/>
      <c r="AY206" s="473"/>
      <c r="AZ206" s="473"/>
      <c r="BA206" s="473"/>
      <c r="BB206" s="475"/>
      <c r="BC206" s="475"/>
      <c r="BD206" s="475"/>
      <c r="BE206" s="475"/>
      <c r="BF206" s="475"/>
      <c r="BG206" s="475"/>
      <c r="BH206" s="475"/>
      <c r="BI206" s="475"/>
      <c r="BJ206" s="475"/>
      <c r="BK206" s="475"/>
      <c r="BL206" s="475"/>
      <c r="BM206" s="475"/>
      <c r="BN206" s="475"/>
      <c r="BO206" s="473"/>
      <c r="BP206" s="473"/>
      <c r="BQ206" s="473"/>
      <c r="BR206" s="473"/>
      <c r="BS206" s="475"/>
      <c r="BT206" s="475"/>
      <c r="BU206" s="475"/>
      <c r="BV206" s="475"/>
      <c r="BW206" s="475"/>
      <c r="BX206" s="475"/>
      <c r="BY206" s="475"/>
      <c r="BZ206" s="475"/>
      <c r="CA206" s="475"/>
      <c r="CB206" s="475"/>
      <c r="CC206" s="475"/>
      <c r="CD206" s="475"/>
      <c r="CE206" s="475"/>
      <c r="CF206" s="475"/>
      <c r="CG206" s="475"/>
      <c r="CH206" s="475"/>
      <c r="CI206" s="475"/>
      <c r="CJ206" s="475"/>
      <c r="CK206" s="475"/>
      <c r="CL206" s="475"/>
      <c r="CM206" s="475"/>
      <c r="CN206" s="477"/>
      <c r="CO206" s="477"/>
      <c r="CP206" s="477"/>
      <c r="CQ206" s="477"/>
      <c r="CR206" s="477"/>
      <c r="CS206" s="477"/>
      <c r="CT206" s="477"/>
      <c r="CU206" s="477"/>
      <c r="CV206" s="477"/>
      <c r="CW206" s="477"/>
      <c r="CX206" s="477"/>
      <c r="CY206" s="478"/>
      <c r="CZ206" s="478"/>
      <c r="DA206" s="478"/>
      <c r="DB206" s="478"/>
      <c r="DC206" s="478"/>
      <c r="DD206" s="478"/>
      <c r="DE206" s="478"/>
      <c r="DF206" s="478"/>
      <c r="DG206" s="478"/>
      <c r="DH206" s="478"/>
      <c r="DI206" s="478"/>
      <c r="DJ206" s="478"/>
      <c r="DK206" s="478"/>
      <c r="DL206" s="478"/>
      <c r="DM206" s="478"/>
      <c r="DN206" s="478"/>
      <c r="DO206" s="478"/>
      <c r="DP206" s="478"/>
      <c r="DQ206" s="478"/>
      <c r="DR206" s="478"/>
      <c r="DS206" s="478"/>
      <c r="DT206" s="478"/>
      <c r="DU206" s="478"/>
      <c r="DV206" s="478"/>
      <c r="DW206" s="478"/>
      <c r="DX206" s="478"/>
      <c r="DY206" s="478"/>
      <c r="DZ206" s="478"/>
      <c r="EA206" s="477"/>
      <c r="EB206" s="477"/>
    </row>
    <row r="207" spans="1:132" ht="18.899999999999999" customHeight="1">
      <c r="A207" s="473"/>
      <c r="B207" s="473"/>
      <c r="C207" s="474"/>
      <c r="D207" s="474"/>
      <c r="E207" s="474"/>
      <c r="F207" s="473"/>
      <c r="G207" s="473"/>
      <c r="H207" s="475"/>
      <c r="I207" s="473"/>
      <c r="J207" s="473"/>
      <c r="K207" s="473"/>
      <c r="L207" s="473"/>
      <c r="M207" s="475"/>
      <c r="N207" s="475"/>
      <c r="O207" s="475"/>
      <c r="P207" s="475"/>
      <c r="Q207" s="475"/>
      <c r="R207" s="475"/>
      <c r="S207" s="475"/>
      <c r="T207" s="475"/>
      <c r="U207" s="475"/>
      <c r="V207" s="475"/>
      <c r="W207" s="475"/>
      <c r="X207" s="475"/>
      <c r="Y207" s="475"/>
      <c r="Z207" s="475"/>
      <c r="AA207" s="475"/>
      <c r="AB207" s="475"/>
      <c r="AC207" s="475"/>
      <c r="AD207" s="475"/>
      <c r="AE207" s="475"/>
      <c r="AF207" s="475"/>
      <c r="AG207" s="475"/>
      <c r="AH207" s="475"/>
      <c r="AI207" s="475"/>
      <c r="AJ207" s="475"/>
      <c r="AK207" s="475"/>
      <c r="AL207" s="475"/>
      <c r="AM207" s="475"/>
      <c r="AN207" s="475"/>
      <c r="AO207" s="473"/>
      <c r="AP207" s="473"/>
      <c r="AQ207" s="473"/>
      <c r="AR207" s="473"/>
      <c r="AS207" s="473"/>
      <c r="AT207" s="473"/>
      <c r="AU207" s="473"/>
      <c r="AV207" s="473"/>
      <c r="AW207" s="473"/>
      <c r="AX207" s="473"/>
      <c r="AY207" s="473"/>
      <c r="AZ207" s="473"/>
      <c r="BA207" s="473"/>
      <c r="BB207" s="475"/>
      <c r="BC207" s="475"/>
      <c r="BD207" s="475"/>
      <c r="BE207" s="475"/>
      <c r="BF207" s="475"/>
      <c r="BG207" s="475"/>
      <c r="BH207" s="475"/>
      <c r="BI207" s="475"/>
      <c r="BJ207" s="475"/>
      <c r="BK207" s="475"/>
      <c r="BL207" s="475"/>
      <c r="BM207" s="475"/>
      <c r="BN207" s="475"/>
      <c r="BO207" s="473"/>
      <c r="BP207" s="473"/>
      <c r="BQ207" s="473"/>
      <c r="BR207" s="473"/>
      <c r="BS207" s="475"/>
      <c r="BT207" s="475"/>
      <c r="BU207" s="475"/>
      <c r="BV207" s="475"/>
      <c r="BW207" s="475"/>
      <c r="BX207" s="475"/>
      <c r="BY207" s="475"/>
      <c r="BZ207" s="475"/>
      <c r="CA207" s="475"/>
      <c r="CB207" s="475"/>
      <c r="CC207" s="475"/>
      <c r="CD207" s="475"/>
      <c r="CE207" s="475"/>
      <c r="CF207" s="475"/>
      <c r="CG207" s="475"/>
      <c r="CH207" s="475"/>
      <c r="CI207" s="475"/>
      <c r="CJ207" s="475"/>
      <c r="CK207" s="475"/>
      <c r="CL207" s="475"/>
      <c r="CM207" s="475"/>
      <c r="CN207" s="477"/>
      <c r="CO207" s="477"/>
      <c r="CP207" s="477"/>
      <c r="CQ207" s="477"/>
      <c r="CR207" s="477"/>
      <c r="CS207" s="477"/>
      <c r="CT207" s="477"/>
      <c r="CU207" s="477"/>
      <c r="CV207" s="477"/>
      <c r="CW207" s="477"/>
      <c r="CX207" s="477"/>
      <c r="CY207" s="478"/>
      <c r="CZ207" s="478"/>
      <c r="DA207" s="478"/>
      <c r="DB207" s="478"/>
      <c r="DC207" s="478"/>
      <c r="DD207" s="478"/>
      <c r="DE207" s="478"/>
      <c r="DF207" s="478"/>
      <c r="DG207" s="478"/>
      <c r="DH207" s="478"/>
      <c r="DI207" s="478"/>
      <c r="DJ207" s="478"/>
      <c r="DK207" s="478"/>
      <c r="DL207" s="478"/>
      <c r="DM207" s="478"/>
      <c r="DN207" s="478"/>
      <c r="DO207" s="478"/>
      <c r="DP207" s="478"/>
      <c r="DQ207" s="478"/>
      <c r="DR207" s="478"/>
      <c r="DS207" s="478"/>
      <c r="DT207" s="478"/>
      <c r="DU207" s="478"/>
      <c r="DV207" s="478"/>
      <c r="DW207" s="478"/>
      <c r="DX207" s="478"/>
      <c r="DY207" s="478"/>
      <c r="DZ207" s="478"/>
      <c r="EA207" s="477"/>
      <c r="EB207" s="477"/>
    </row>
    <row r="208" spans="1:132" ht="18.899999999999999" customHeight="1">
      <c r="A208" s="473"/>
      <c r="B208" s="473"/>
      <c r="C208" s="474"/>
      <c r="D208" s="474"/>
      <c r="E208" s="474"/>
      <c r="F208" s="473"/>
      <c r="G208" s="473"/>
      <c r="H208" s="475"/>
      <c r="I208" s="473"/>
      <c r="J208" s="473"/>
      <c r="K208" s="473"/>
      <c r="L208" s="473"/>
      <c r="M208" s="475"/>
      <c r="N208" s="475"/>
      <c r="O208" s="475"/>
      <c r="P208" s="475"/>
      <c r="Q208" s="475"/>
      <c r="R208" s="475"/>
      <c r="S208" s="475"/>
      <c r="T208" s="475"/>
      <c r="U208" s="475"/>
      <c r="V208" s="475"/>
      <c r="W208" s="475"/>
      <c r="X208" s="475"/>
      <c r="Y208" s="475"/>
      <c r="Z208" s="475"/>
      <c r="AA208" s="475"/>
      <c r="AB208" s="475"/>
      <c r="AC208" s="475"/>
      <c r="AD208" s="475"/>
      <c r="AE208" s="475"/>
      <c r="AF208" s="475"/>
      <c r="AG208" s="475"/>
      <c r="AH208" s="475"/>
      <c r="AI208" s="475"/>
      <c r="AJ208" s="475"/>
      <c r="AK208" s="475"/>
      <c r="AL208" s="475"/>
      <c r="AM208" s="475"/>
      <c r="AN208" s="475"/>
      <c r="AO208" s="473"/>
      <c r="AP208" s="473"/>
      <c r="AQ208" s="473"/>
      <c r="AR208" s="473"/>
      <c r="AS208" s="473"/>
      <c r="AT208" s="473"/>
      <c r="AU208" s="473"/>
      <c r="AV208" s="473"/>
      <c r="AW208" s="473"/>
      <c r="AX208" s="473"/>
      <c r="AY208" s="473"/>
      <c r="AZ208" s="473"/>
      <c r="BA208" s="473"/>
      <c r="BB208" s="475"/>
      <c r="BC208" s="475"/>
      <c r="BD208" s="475"/>
      <c r="BE208" s="475"/>
      <c r="BF208" s="475"/>
      <c r="BG208" s="475"/>
      <c r="BH208" s="475"/>
      <c r="BI208" s="475"/>
      <c r="BJ208" s="475"/>
      <c r="BK208" s="475"/>
      <c r="BL208" s="475"/>
      <c r="BM208" s="475"/>
      <c r="BN208" s="475"/>
      <c r="BO208" s="473"/>
      <c r="BP208" s="473"/>
      <c r="BQ208" s="473"/>
      <c r="BR208" s="473"/>
      <c r="BS208" s="475"/>
      <c r="BT208" s="475"/>
      <c r="BU208" s="475"/>
      <c r="BV208" s="475"/>
      <c r="BW208" s="475"/>
      <c r="BX208" s="475"/>
      <c r="BY208" s="475"/>
      <c r="BZ208" s="475"/>
      <c r="CA208" s="475"/>
      <c r="CB208" s="475"/>
      <c r="CC208" s="475"/>
      <c r="CD208" s="475"/>
      <c r="CE208" s="475"/>
      <c r="CF208" s="475"/>
      <c r="CG208" s="475"/>
      <c r="CH208" s="475"/>
      <c r="CI208" s="475"/>
      <c r="CJ208" s="475"/>
      <c r="CK208" s="475"/>
      <c r="CL208" s="475"/>
      <c r="CM208" s="475"/>
      <c r="CN208" s="477"/>
      <c r="CO208" s="477"/>
      <c r="CP208" s="477"/>
      <c r="CQ208" s="477"/>
      <c r="CR208" s="477"/>
      <c r="CS208" s="477"/>
      <c r="CT208" s="477"/>
      <c r="CU208" s="477"/>
      <c r="CV208" s="477"/>
      <c r="CW208" s="477"/>
      <c r="CX208" s="477"/>
      <c r="CY208" s="478"/>
      <c r="CZ208" s="478"/>
      <c r="DA208" s="478"/>
      <c r="DB208" s="478"/>
      <c r="DC208" s="478"/>
      <c r="DD208" s="478"/>
      <c r="DE208" s="478"/>
      <c r="DF208" s="478"/>
      <c r="DG208" s="478"/>
      <c r="DH208" s="478"/>
      <c r="DI208" s="478"/>
      <c r="DJ208" s="478"/>
      <c r="DK208" s="478"/>
      <c r="DL208" s="478"/>
      <c r="DM208" s="478"/>
      <c r="DN208" s="478"/>
      <c r="DO208" s="478"/>
      <c r="DP208" s="478"/>
      <c r="DQ208" s="478"/>
      <c r="DR208" s="478"/>
      <c r="DS208" s="478"/>
      <c r="DT208" s="478"/>
      <c r="DU208" s="478"/>
      <c r="DV208" s="478"/>
      <c r="DW208" s="478"/>
      <c r="DX208" s="478"/>
      <c r="DY208" s="478"/>
      <c r="DZ208" s="478"/>
      <c r="EA208" s="477"/>
      <c r="EB208" s="477"/>
    </row>
    <row r="209" spans="1:132" ht="18.899999999999999" customHeight="1">
      <c r="A209" s="473"/>
      <c r="B209" s="473"/>
      <c r="C209" s="474"/>
      <c r="D209" s="474"/>
      <c r="E209" s="474"/>
      <c r="F209" s="473"/>
      <c r="G209" s="473"/>
      <c r="H209" s="475"/>
      <c r="I209" s="473"/>
      <c r="J209" s="473"/>
      <c r="K209" s="473"/>
      <c r="L209" s="473"/>
      <c r="M209" s="475"/>
      <c r="N209" s="475"/>
      <c r="O209" s="475"/>
      <c r="P209" s="475"/>
      <c r="Q209" s="475"/>
      <c r="R209" s="475"/>
      <c r="S209" s="475"/>
      <c r="T209" s="475"/>
      <c r="U209" s="475"/>
      <c r="V209" s="475"/>
      <c r="W209" s="475"/>
      <c r="X209" s="475"/>
      <c r="Y209" s="475"/>
      <c r="Z209" s="475"/>
      <c r="AA209" s="475"/>
      <c r="AB209" s="475"/>
      <c r="AC209" s="475"/>
      <c r="AD209" s="475"/>
      <c r="AE209" s="475"/>
      <c r="AF209" s="475"/>
      <c r="AG209" s="475"/>
      <c r="AH209" s="475"/>
      <c r="AI209" s="475"/>
      <c r="AJ209" s="475"/>
      <c r="AK209" s="475"/>
      <c r="AL209" s="475"/>
      <c r="AM209" s="475"/>
      <c r="AN209" s="475"/>
      <c r="AO209" s="473"/>
      <c r="AP209" s="473"/>
      <c r="AQ209" s="473"/>
      <c r="AR209" s="473"/>
      <c r="AS209" s="473"/>
      <c r="AT209" s="473"/>
      <c r="AU209" s="473"/>
      <c r="AV209" s="473"/>
      <c r="AW209" s="473"/>
      <c r="AX209" s="473"/>
      <c r="AY209" s="473"/>
      <c r="AZ209" s="473"/>
      <c r="BA209" s="473"/>
      <c r="BB209" s="475"/>
      <c r="BC209" s="475"/>
      <c r="BD209" s="475"/>
      <c r="BE209" s="475"/>
      <c r="BF209" s="475"/>
      <c r="BG209" s="475"/>
      <c r="BH209" s="475"/>
      <c r="BI209" s="475"/>
      <c r="BJ209" s="475"/>
      <c r="BK209" s="475"/>
      <c r="BL209" s="475"/>
      <c r="BM209" s="475"/>
      <c r="BN209" s="475"/>
      <c r="BO209" s="473"/>
      <c r="BP209" s="473"/>
      <c r="BQ209" s="473"/>
      <c r="BR209" s="473"/>
      <c r="BS209" s="475"/>
      <c r="BT209" s="475"/>
      <c r="BU209" s="475"/>
      <c r="BV209" s="475"/>
      <c r="BW209" s="475"/>
      <c r="BX209" s="475"/>
      <c r="BY209" s="475"/>
      <c r="BZ209" s="475"/>
      <c r="CA209" s="475"/>
      <c r="CB209" s="475"/>
      <c r="CC209" s="475"/>
      <c r="CD209" s="475"/>
      <c r="CE209" s="475"/>
      <c r="CF209" s="475"/>
      <c r="CG209" s="475"/>
      <c r="CH209" s="475"/>
      <c r="CI209" s="475"/>
      <c r="CJ209" s="475"/>
      <c r="CK209" s="475"/>
      <c r="CL209" s="475"/>
      <c r="CM209" s="475"/>
      <c r="CN209" s="477"/>
      <c r="CO209" s="477"/>
      <c r="CP209" s="477"/>
      <c r="CQ209" s="477"/>
      <c r="CR209" s="477"/>
      <c r="CS209" s="477"/>
      <c r="CT209" s="477"/>
      <c r="CU209" s="477"/>
      <c r="CV209" s="477"/>
      <c r="CW209" s="477"/>
      <c r="CX209" s="477"/>
      <c r="CY209" s="478"/>
      <c r="CZ209" s="478"/>
      <c r="DA209" s="478"/>
      <c r="DB209" s="478"/>
      <c r="DC209" s="478"/>
      <c r="DD209" s="478"/>
      <c r="DE209" s="478"/>
      <c r="DF209" s="478"/>
      <c r="DG209" s="478"/>
      <c r="DH209" s="478"/>
      <c r="DI209" s="478"/>
      <c r="DJ209" s="478"/>
      <c r="DK209" s="478"/>
      <c r="DL209" s="478"/>
      <c r="DM209" s="478"/>
      <c r="DN209" s="478"/>
      <c r="DO209" s="478"/>
      <c r="DP209" s="478"/>
      <c r="DQ209" s="478"/>
      <c r="DR209" s="478"/>
      <c r="DS209" s="478"/>
      <c r="DT209" s="478"/>
      <c r="DU209" s="478"/>
      <c r="DV209" s="478"/>
      <c r="DW209" s="478"/>
      <c r="DX209" s="478"/>
      <c r="DY209" s="478"/>
      <c r="DZ209" s="478"/>
      <c r="EA209" s="477"/>
      <c r="EB209" s="477"/>
    </row>
    <row r="210" spans="1:132" ht="18.899999999999999" customHeight="1">
      <c r="A210" s="473"/>
      <c r="B210" s="473"/>
      <c r="C210" s="474"/>
      <c r="D210" s="474"/>
      <c r="E210" s="474"/>
      <c r="F210" s="473"/>
      <c r="G210" s="473"/>
      <c r="H210" s="475"/>
      <c r="I210" s="473"/>
      <c r="J210" s="473"/>
      <c r="K210" s="473"/>
      <c r="L210" s="473"/>
      <c r="M210" s="475"/>
      <c r="N210" s="475"/>
      <c r="O210" s="475"/>
      <c r="P210" s="475"/>
      <c r="Q210" s="475"/>
      <c r="R210" s="475"/>
      <c r="S210" s="475"/>
      <c r="T210" s="475"/>
      <c r="U210" s="475"/>
      <c r="V210" s="475"/>
      <c r="W210" s="475"/>
      <c r="X210" s="475"/>
      <c r="Y210" s="475"/>
      <c r="Z210" s="475"/>
      <c r="AA210" s="475"/>
      <c r="AB210" s="475"/>
      <c r="AC210" s="475"/>
      <c r="AD210" s="475"/>
      <c r="AE210" s="475"/>
      <c r="AF210" s="475"/>
      <c r="AG210" s="475"/>
      <c r="AH210" s="475"/>
      <c r="AI210" s="475"/>
      <c r="AJ210" s="475"/>
      <c r="AK210" s="475"/>
      <c r="AL210" s="475"/>
      <c r="AM210" s="475"/>
      <c r="AN210" s="475"/>
      <c r="AO210" s="473"/>
      <c r="AP210" s="473"/>
      <c r="AQ210" s="473"/>
      <c r="AR210" s="473"/>
      <c r="AS210" s="473"/>
      <c r="AT210" s="473"/>
      <c r="AU210" s="473"/>
      <c r="AV210" s="473"/>
      <c r="AW210" s="473"/>
      <c r="AX210" s="473"/>
      <c r="AY210" s="473"/>
      <c r="AZ210" s="473"/>
      <c r="BA210" s="473"/>
      <c r="BB210" s="475"/>
      <c r="BC210" s="475"/>
      <c r="BD210" s="475"/>
      <c r="BE210" s="475"/>
      <c r="BF210" s="475"/>
      <c r="BG210" s="475"/>
      <c r="BH210" s="475"/>
      <c r="BI210" s="475"/>
      <c r="BJ210" s="475"/>
      <c r="BK210" s="475"/>
      <c r="BL210" s="475"/>
      <c r="BM210" s="475"/>
      <c r="BN210" s="475"/>
      <c r="BO210" s="473"/>
      <c r="BP210" s="473"/>
      <c r="BQ210" s="473"/>
      <c r="BR210" s="473"/>
      <c r="BS210" s="475"/>
      <c r="BT210" s="475"/>
      <c r="BU210" s="475"/>
      <c r="BV210" s="475"/>
      <c r="BW210" s="475"/>
      <c r="BX210" s="475"/>
      <c r="BY210" s="475"/>
      <c r="BZ210" s="475"/>
      <c r="CA210" s="475"/>
      <c r="CB210" s="475"/>
      <c r="CC210" s="475"/>
      <c r="CD210" s="475"/>
      <c r="CE210" s="475"/>
      <c r="CF210" s="475"/>
      <c r="CG210" s="475"/>
      <c r="CH210" s="475"/>
      <c r="CI210" s="475"/>
      <c r="CJ210" s="475"/>
      <c r="CK210" s="475"/>
      <c r="CL210" s="475"/>
      <c r="CM210" s="475"/>
      <c r="CN210" s="477"/>
      <c r="CO210" s="477"/>
      <c r="CP210" s="477"/>
      <c r="CQ210" s="477"/>
      <c r="CR210" s="477"/>
      <c r="CS210" s="477"/>
      <c r="CT210" s="477"/>
      <c r="CU210" s="477"/>
      <c r="CV210" s="477"/>
      <c r="CW210" s="477"/>
      <c r="CX210" s="477"/>
      <c r="CY210" s="478"/>
      <c r="CZ210" s="478"/>
      <c r="DA210" s="478"/>
      <c r="DB210" s="478"/>
      <c r="DC210" s="478"/>
      <c r="DD210" s="478"/>
      <c r="DE210" s="478"/>
      <c r="DF210" s="478"/>
      <c r="DG210" s="478"/>
      <c r="DH210" s="478"/>
      <c r="DI210" s="478"/>
      <c r="DJ210" s="478"/>
      <c r="DK210" s="478"/>
      <c r="DL210" s="478"/>
      <c r="DM210" s="478"/>
      <c r="DN210" s="478"/>
      <c r="DO210" s="478"/>
      <c r="DP210" s="478"/>
      <c r="DQ210" s="478"/>
      <c r="DR210" s="478"/>
      <c r="DS210" s="478"/>
      <c r="DT210" s="478"/>
      <c r="DU210" s="478"/>
      <c r="DV210" s="478"/>
      <c r="DW210" s="478"/>
      <c r="DX210" s="478"/>
      <c r="DY210" s="478"/>
      <c r="DZ210" s="478"/>
      <c r="EA210" s="477"/>
      <c r="EB210" s="477"/>
    </row>
    <row r="211" spans="1:132" ht="18.899999999999999" customHeight="1">
      <c r="A211" s="473"/>
      <c r="B211" s="473"/>
      <c r="C211" s="474"/>
      <c r="D211" s="474"/>
      <c r="E211" s="474"/>
      <c r="F211" s="473"/>
      <c r="G211" s="473"/>
      <c r="H211" s="475"/>
      <c r="I211" s="473"/>
      <c r="J211" s="473"/>
      <c r="K211" s="473"/>
      <c r="L211" s="473"/>
      <c r="M211" s="475"/>
      <c r="N211" s="475"/>
      <c r="O211" s="475"/>
      <c r="P211" s="475"/>
      <c r="Q211" s="475"/>
      <c r="R211" s="475"/>
      <c r="S211" s="475"/>
      <c r="T211" s="475"/>
      <c r="U211" s="475"/>
      <c r="V211" s="475"/>
      <c r="W211" s="475"/>
      <c r="X211" s="475"/>
      <c r="Y211" s="475"/>
      <c r="Z211" s="475"/>
      <c r="AA211" s="475"/>
      <c r="AB211" s="475"/>
      <c r="AC211" s="475"/>
      <c r="AD211" s="475"/>
      <c r="AE211" s="475"/>
      <c r="AF211" s="475"/>
      <c r="AG211" s="475"/>
      <c r="AH211" s="475"/>
      <c r="AI211" s="475"/>
      <c r="AJ211" s="475"/>
      <c r="AK211" s="475"/>
      <c r="AL211" s="475"/>
      <c r="AM211" s="475"/>
      <c r="AN211" s="475"/>
      <c r="AO211" s="473"/>
      <c r="AP211" s="473"/>
      <c r="AQ211" s="473"/>
      <c r="AR211" s="473"/>
      <c r="AS211" s="473"/>
      <c r="AT211" s="473"/>
      <c r="AU211" s="473"/>
      <c r="AV211" s="473"/>
      <c r="AW211" s="473"/>
      <c r="AX211" s="473"/>
      <c r="AY211" s="473"/>
      <c r="AZ211" s="473"/>
      <c r="BA211" s="473"/>
      <c r="BB211" s="475"/>
      <c r="BC211" s="475"/>
      <c r="BD211" s="475"/>
      <c r="BE211" s="475"/>
      <c r="BF211" s="475"/>
      <c r="BG211" s="475"/>
      <c r="BH211" s="475"/>
      <c r="BI211" s="475"/>
      <c r="BJ211" s="475"/>
      <c r="BK211" s="475"/>
      <c r="BL211" s="475"/>
      <c r="BM211" s="475"/>
      <c r="BN211" s="475"/>
      <c r="BO211" s="473"/>
      <c r="BP211" s="473"/>
      <c r="BQ211" s="473"/>
      <c r="BR211" s="473"/>
      <c r="BS211" s="475"/>
      <c r="BT211" s="475"/>
      <c r="BU211" s="475"/>
      <c r="BV211" s="475"/>
      <c r="BW211" s="475"/>
      <c r="BX211" s="475"/>
      <c r="BY211" s="475"/>
      <c r="BZ211" s="475"/>
      <c r="CA211" s="475"/>
      <c r="CB211" s="475"/>
      <c r="CC211" s="475"/>
      <c r="CD211" s="475"/>
      <c r="CE211" s="475"/>
      <c r="CF211" s="475"/>
      <c r="CG211" s="475"/>
      <c r="CH211" s="475"/>
      <c r="CI211" s="475"/>
      <c r="CJ211" s="475"/>
      <c r="CK211" s="475"/>
      <c r="CL211" s="475"/>
      <c r="CM211" s="475"/>
      <c r="CN211" s="477"/>
      <c r="CO211" s="477"/>
      <c r="CP211" s="477"/>
      <c r="CQ211" s="477"/>
      <c r="CR211" s="477"/>
      <c r="CS211" s="477"/>
      <c r="CT211" s="477"/>
      <c r="CU211" s="477"/>
      <c r="CV211" s="477"/>
      <c r="CW211" s="477"/>
      <c r="CX211" s="477"/>
      <c r="CY211" s="478"/>
      <c r="CZ211" s="478"/>
      <c r="DA211" s="478"/>
      <c r="DB211" s="478"/>
      <c r="DC211" s="478"/>
      <c r="DD211" s="478"/>
      <c r="DE211" s="478"/>
      <c r="DF211" s="478"/>
      <c r="DG211" s="478"/>
      <c r="DH211" s="478"/>
      <c r="DI211" s="478"/>
      <c r="DJ211" s="478"/>
      <c r="DK211" s="478"/>
      <c r="DL211" s="478"/>
      <c r="DM211" s="478"/>
      <c r="DN211" s="478"/>
      <c r="DO211" s="478"/>
      <c r="DP211" s="478"/>
      <c r="DQ211" s="478"/>
      <c r="DR211" s="478"/>
      <c r="DS211" s="478"/>
      <c r="DT211" s="478"/>
      <c r="DU211" s="478"/>
      <c r="DV211" s="478"/>
      <c r="DW211" s="478"/>
      <c r="DX211" s="478"/>
      <c r="DY211" s="478"/>
      <c r="DZ211" s="478"/>
      <c r="EA211" s="477"/>
      <c r="EB211" s="477"/>
    </row>
    <row r="212" spans="1:132" ht="18.899999999999999" customHeight="1">
      <c r="A212" s="473"/>
      <c r="B212" s="473"/>
      <c r="C212" s="474"/>
      <c r="D212" s="474"/>
      <c r="E212" s="474"/>
      <c r="F212" s="473"/>
      <c r="G212" s="473"/>
      <c r="H212" s="475"/>
      <c r="I212" s="473"/>
      <c r="J212" s="473"/>
      <c r="K212" s="473"/>
      <c r="L212" s="473"/>
      <c r="M212" s="475"/>
      <c r="N212" s="475"/>
      <c r="O212" s="475"/>
      <c r="P212" s="475"/>
      <c r="Q212" s="475"/>
      <c r="R212" s="475"/>
      <c r="S212" s="475"/>
      <c r="T212" s="475"/>
      <c r="U212" s="475"/>
      <c r="V212" s="475"/>
      <c r="W212" s="475"/>
      <c r="X212" s="475"/>
      <c r="Y212" s="475"/>
      <c r="Z212" s="475"/>
      <c r="AA212" s="475"/>
      <c r="AB212" s="475"/>
      <c r="AC212" s="475"/>
      <c r="AD212" s="475"/>
      <c r="AE212" s="475"/>
      <c r="AF212" s="475"/>
      <c r="AG212" s="475"/>
      <c r="AH212" s="475"/>
      <c r="AI212" s="475"/>
      <c r="AJ212" s="475"/>
      <c r="AK212" s="475"/>
      <c r="AL212" s="475"/>
      <c r="AM212" s="475"/>
      <c r="AN212" s="475"/>
      <c r="AO212" s="473"/>
      <c r="AP212" s="473"/>
      <c r="AQ212" s="473"/>
      <c r="AR212" s="473"/>
      <c r="AS212" s="473"/>
      <c r="AT212" s="473"/>
      <c r="AU212" s="473"/>
      <c r="AV212" s="473"/>
      <c r="AW212" s="473"/>
      <c r="AX212" s="473"/>
      <c r="AY212" s="473"/>
      <c r="AZ212" s="473"/>
      <c r="BA212" s="473"/>
      <c r="BB212" s="475"/>
      <c r="BC212" s="475"/>
      <c r="BD212" s="475"/>
      <c r="BE212" s="475"/>
      <c r="BF212" s="475"/>
      <c r="BG212" s="475"/>
      <c r="BH212" s="475"/>
      <c r="BI212" s="475"/>
      <c r="BJ212" s="475"/>
      <c r="BK212" s="475"/>
      <c r="BL212" s="475"/>
      <c r="BM212" s="475"/>
      <c r="BN212" s="475"/>
      <c r="BO212" s="473"/>
      <c r="BP212" s="473"/>
      <c r="BQ212" s="473"/>
      <c r="BR212" s="473"/>
      <c r="BS212" s="475"/>
      <c r="BT212" s="475"/>
      <c r="BU212" s="475"/>
      <c r="BV212" s="475"/>
      <c r="BW212" s="475"/>
      <c r="BX212" s="475"/>
      <c r="BY212" s="475"/>
      <c r="BZ212" s="475"/>
      <c r="CA212" s="475"/>
      <c r="CB212" s="475"/>
      <c r="CC212" s="475"/>
      <c r="CD212" s="475"/>
      <c r="CE212" s="475"/>
      <c r="CF212" s="475"/>
      <c r="CG212" s="475"/>
      <c r="CH212" s="475"/>
      <c r="CI212" s="475"/>
      <c r="CJ212" s="475"/>
      <c r="CK212" s="475"/>
      <c r="CL212" s="475"/>
      <c r="CM212" s="475"/>
      <c r="CN212" s="477"/>
      <c r="CO212" s="477"/>
      <c r="CP212" s="477"/>
      <c r="CQ212" s="477"/>
      <c r="CR212" s="477"/>
      <c r="CS212" s="477"/>
      <c r="CT212" s="477"/>
      <c r="CU212" s="477"/>
      <c r="CV212" s="477"/>
      <c r="CW212" s="477"/>
      <c r="CX212" s="477"/>
      <c r="CY212" s="478"/>
      <c r="CZ212" s="478"/>
      <c r="DA212" s="478"/>
      <c r="DB212" s="478"/>
      <c r="DC212" s="478"/>
      <c r="DD212" s="478"/>
      <c r="DE212" s="478"/>
      <c r="DF212" s="478"/>
      <c r="DG212" s="478"/>
      <c r="DH212" s="478"/>
      <c r="DI212" s="478"/>
      <c r="DJ212" s="478"/>
      <c r="DK212" s="478"/>
      <c r="DL212" s="478"/>
      <c r="DM212" s="478"/>
      <c r="DN212" s="478"/>
      <c r="DO212" s="478"/>
      <c r="DP212" s="478"/>
      <c r="DQ212" s="478"/>
      <c r="DR212" s="478"/>
      <c r="DS212" s="478"/>
      <c r="DT212" s="478"/>
      <c r="DU212" s="478"/>
      <c r="DV212" s="478"/>
      <c r="DW212" s="478"/>
      <c r="DX212" s="478"/>
      <c r="DY212" s="478"/>
      <c r="DZ212" s="478"/>
      <c r="EA212" s="477"/>
      <c r="EB212" s="477"/>
    </row>
    <row r="213" spans="1:132" ht="18.899999999999999" customHeight="1">
      <c r="A213" s="473"/>
      <c r="B213" s="473"/>
      <c r="C213" s="474"/>
      <c r="D213" s="474"/>
      <c r="E213" s="474"/>
      <c r="F213" s="473"/>
      <c r="G213" s="473"/>
      <c r="H213" s="475"/>
      <c r="I213" s="473"/>
      <c r="J213" s="473"/>
      <c r="K213" s="473"/>
      <c r="L213" s="473"/>
      <c r="M213" s="475"/>
      <c r="N213" s="475"/>
      <c r="O213" s="475"/>
      <c r="P213" s="475"/>
      <c r="Q213" s="475"/>
      <c r="R213" s="475"/>
      <c r="S213" s="475"/>
      <c r="T213" s="475"/>
      <c r="U213" s="475"/>
      <c r="V213" s="475"/>
      <c r="W213" s="475"/>
      <c r="X213" s="475"/>
      <c r="Y213" s="475"/>
      <c r="Z213" s="475"/>
      <c r="AA213" s="475"/>
      <c r="AB213" s="475"/>
      <c r="AC213" s="475"/>
      <c r="AD213" s="475"/>
      <c r="AE213" s="475"/>
      <c r="AF213" s="475"/>
      <c r="AG213" s="475"/>
      <c r="AH213" s="475"/>
      <c r="AI213" s="475"/>
      <c r="AJ213" s="475"/>
      <c r="AK213" s="475"/>
      <c r="AL213" s="475"/>
      <c r="AM213" s="475"/>
      <c r="AN213" s="475"/>
      <c r="AO213" s="473"/>
      <c r="AP213" s="473"/>
      <c r="AQ213" s="473"/>
      <c r="AR213" s="473"/>
      <c r="AS213" s="473"/>
      <c r="AT213" s="473"/>
      <c r="AU213" s="473"/>
      <c r="AV213" s="473"/>
      <c r="AW213" s="473"/>
      <c r="AX213" s="473"/>
      <c r="AY213" s="473"/>
      <c r="AZ213" s="473"/>
      <c r="BA213" s="473"/>
      <c r="BB213" s="475"/>
      <c r="BC213" s="475"/>
      <c r="BD213" s="475"/>
      <c r="BE213" s="475"/>
      <c r="BF213" s="475"/>
      <c r="BG213" s="475"/>
      <c r="BH213" s="475"/>
      <c r="BI213" s="475"/>
      <c r="BJ213" s="475"/>
      <c r="BK213" s="475"/>
      <c r="BL213" s="475"/>
      <c r="BM213" s="475"/>
      <c r="BN213" s="475"/>
      <c r="BO213" s="473"/>
      <c r="BP213" s="473"/>
      <c r="BQ213" s="473"/>
      <c r="BR213" s="473"/>
      <c r="BS213" s="475"/>
      <c r="BT213" s="475"/>
      <c r="BU213" s="475"/>
      <c r="BV213" s="475"/>
      <c r="BW213" s="475"/>
      <c r="BX213" s="475"/>
      <c r="BY213" s="475"/>
      <c r="BZ213" s="475"/>
      <c r="CA213" s="475"/>
      <c r="CB213" s="475"/>
      <c r="CC213" s="475"/>
      <c r="CD213" s="475"/>
      <c r="CE213" s="475"/>
      <c r="CF213" s="475"/>
      <c r="CG213" s="475"/>
      <c r="CH213" s="475"/>
      <c r="CI213" s="475"/>
      <c r="CJ213" s="475"/>
      <c r="CK213" s="475"/>
      <c r="CL213" s="475"/>
      <c r="CM213" s="475"/>
      <c r="CN213" s="477"/>
      <c r="CO213" s="477"/>
      <c r="CP213" s="477"/>
      <c r="CQ213" s="477"/>
      <c r="CR213" s="477"/>
      <c r="CS213" s="477"/>
      <c r="CT213" s="477"/>
      <c r="CU213" s="477"/>
      <c r="CV213" s="477"/>
      <c r="CW213" s="477"/>
      <c r="CX213" s="477"/>
      <c r="CY213" s="478"/>
      <c r="CZ213" s="478"/>
      <c r="DA213" s="478"/>
      <c r="DB213" s="478"/>
      <c r="DC213" s="478"/>
      <c r="DD213" s="478"/>
      <c r="DE213" s="478"/>
      <c r="DF213" s="478"/>
      <c r="DG213" s="478"/>
      <c r="DH213" s="478"/>
      <c r="DI213" s="478"/>
      <c r="DJ213" s="478"/>
      <c r="DK213" s="478"/>
      <c r="DL213" s="478"/>
      <c r="DM213" s="478"/>
      <c r="DN213" s="478"/>
      <c r="DO213" s="478"/>
      <c r="DP213" s="478"/>
      <c r="DQ213" s="478"/>
      <c r="DR213" s="478"/>
      <c r="DS213" s="478"/>
      <c r="DT213" s="478"/>
      <c r="DU213" s="478"/>
      <c r="DV213" s="478"/>
      <c r="DW213" s="478"/>
      <c r="DX213" s="478"/>
      <c r="DY213" s="478"/>
      <c r="DZ213" s="478"/>
      <c r="EA213" s="477"/>
      <c r="EB213" s="477"/>
    </row>
    <row r="214" spans="1:132" ht="18.899999999999999" customHeight="1">
      <c r="A214" s="473"/>
      <c r="B214" s="473"/>
      <c r="C214" s="474"/>
      <c r="D214" s="474"/>
      <c r="E214" s="474"/>
      <c r="F214" s="473"/>
      <c r="G214" s="473"/>
      <c r="H214" s="475"/>
      <c r="I214" s="473"/>
      <c r="J214" s="473"/>
      <c r="K214" s="473"/>
      <c r="L214" s="473"/>
      <c r="M214" s="475"/>
      <c r="N214" s="475"/>
      <c r="O214" s="475"/>
      <c r="P214" s="475"/>
      <c r="Q214" s="475"/>
      <c r="R214" s="475"/>
      <c r="S214" s="475"/>
      <c r="T214" s="475"/>
      <c r="U214" s="475"/>
      <c r="V214" s="475"/>
      <c r="W214" s="475"/>
      <c r="X214" s="475"/>
      <c r="Y214" s="475"/>
      <c r="Z214" s="475"/>
      <c r="AA214" s="475"/>
      <c r="AB214" s="475"/>
      <c r="AC214" s="475"/>
      <c r="AD214" s="475"/>
      <c r="AE214" s="475"/>
      <c r="AF214" s="475"/>
      <c r="AG214" s="475"/>
      <c r="AH214" s="475"/>
      <c r="AI214" s="475"/>
      <c r="AJ214" s="475"/>
      <c r="AK214" s="475"/>
      <c r="AL214" s="475"/>
      <c r="AM214" s="475"/>
      <c r="AN214" s="475"/>
      <c r="AO214" s="473"/>
      <c r="AP214" s="473"/>
      <c r="AQ214" s="473"/>
      <c r="AR214" s="473"/>
      <c r="AS214" s="473"/>
      <c r="AT214" s="473"/>
      <c r="AU214" s="473"/>
      <c r="AV214" s="473"/>
      <c r="AW214" s="473"/>
      <c r="AX214" s="473"/>
      <c r="AY214" s="473"/>
      <c r="AZ214" s="473"/>
      <c r="BA214" s="473"/>
      <c r="BB214" s="475"/>
      <c r="BC214" s="475"/>
      <c r="BD214" s="475"/>
      <c r="BE214" s="475"/>
      <c r="BF214" s="475"/>
      <c r="BG214" s="475"/>
      <c r="BH214" s="475"/>
      <c r="BI214" s="475"/>
      <c r="BJ214" s="475"/>
      <c r="BK214" s="475"/>
      <c r="BL214" s="475"/>
      <c r="BM214" s="475"/>
      <c r="BN214" s="475"/>
      <c r="BO214" s="473"/>
      <c r="BP214" s="473"/>
      <c r="BQ214" s="473"/>
      <c r="BR214" s="473"/>
      <c r="BS214" s="475"/>
      <c r="BT214" s="475"/>
      <c r="BU214" s="475"/>
      <c r="BV214" s="475"/>
      <c r="BW214" s="475"/>
      <c r="BX214" s="475"/>
      <c r="BY214" s="475"/>
      <c r="BZ214" s="475"/>
      <c r="CA214" s="475"/>
      <c r="CB214" s="475"/>
      <c r="CC214" s="475"/>
      <c r="CD214" s="475"/>
      <c r="CE214" s="475"/>
      <c r="CF214" s="475"/>
      <c r="CG214" s="475"/>
      <c r="CH214" s="475"/>
      <c r="CI214" s="475"/>
      <c r="CJ214" s="475"/>
      <c r="CK214" s="475"/>
      <c r="CL214" s="475"/>
      <c r="CM214" s="475"/>
      <c r="CN214" s="477"/>
      <c r="CO214" s="477"/>
      <c r="CP214" s="477"/>
      <c r="CQ214" s="477"/>
      <c r="CR214" s="477"/>
      <c r="CS214" s="477"/>
      <c r="CT214" s="477"/>
      <c r="CU214" s="477"/>
      <c r="CV214" s="477"/>
      <c r="CW214" s="477"/>
      <c r="CX214" s="477"/>
      <c r="CY214" s="478"/>
      <c r="CZ214" s="478"/>
      <c r="DA214" s="478"/>
      <c r="DB214" s="478"/>
      <c r="DC214" s="478"/>
      <c r="DD214" s="478"/>
      <c r="DE214" s="478"/>
      <c r="DF214" s="478"/>
      <c r="DG214" s="478"/>
      <c r="DH214" s="478"/>
      <c r="DI214" s="478"/>
      <c r="DJ214" s="478"/>
      <c r="DK214" s="478"/>
      <c r="DL214" s="478"/>
      <c r="DM214" s="478"/>
      <c r="DN214" s="478"/>
      <c r="DO214" s="478"/>
      <c r="DP214" s="478"/>
      <c r="DQ214" s="478"/>
      <c r="DR214" s="478"/>
      <c r="DS214" s="478"/>
      <c r="DT214" s="478"/>
      <c r="DU214" s="478"/>
      <c r="DV214" s="478"/>
      <c r="DW214" s="478"/>
      <c r="DX214" s="478"/>
      <c r="DY214" s="478"/>
      <c r="DZ214" s="478"/>
      <c r="EA214" s="477"/>
      <c r="EB214" s="477"/>
    </row>
    <row r="215" spans="1:132" ht="18.899999999999999" customHeight="1">
      <c r="A215" s="473"/>
      <c r="B215" s="473"/>
      <c r="C215" s="474"/>
      <c r="D215" s="474"/>
      <c r="E215" s="474"/>
      <c r="F215" s="473"/>
      <c r="G215" s="473"/>
      <c r="H215" s="475"/>
      <c r="I215" s="473"/>
      <c r="J215" s="473"/>
      <c r="K215" s="473"/>
      <c r="L215" s="473"/>
      <c r="M215" s="475"/>
      <c r="N215" s="475"/>
      <c r="O215" s="475"/>
      <c r="P215" s="475"/>
      <c r="Q215" s="475"/>
      <c r="R215" s="475"/>
      <c r="S215" s="475"/>
      <c r="T215" s="475"/>
      <c r="U215" s="475"/>
      <c r="V215" s="475"/>
      <c r="W215" s="475"/>
      <c r="X215" s="475"/>
      <c r="Y215" s="475"/>
      <c r="Z215" s="475"/>
      <c r="AA215" s="475"/>
      <c r="AB215" s="475"/>
      <c r="AC215" s="475"/>
      <c r="AD215" s="475"/>
      <c r="AE215" s="475"/>
      <c r="AF215" s="475"/>
      <c r="AG215" s="475"/>
      <c r="AH215" s="475"/>
      <c r="AI215" s="475"/>
      <c r="AJ215" s="475"/>
      <c r="AK215" s="475"/>
      <c r="AL215" s="475"/>
      <c r="AM215" s="475"/>
      <c r="AN215" s="475"/>
      <c r="AO215" s="473"/>
      <c r="AP215" s="473"/>
      <c r="AQ215" s="473"/>
      <c r="AR215" s="473"/>
      <c r="AS215" s="473"/>
      <c r="AT215" s="473"/>
      <c r="AU215" s="473"/>
      <c r="AV215" s="473"/>
      <c r="AW215" s="473"/>
      <c r="AX215" s="473"/>
      <c r="AY215" s="473"/>
      <c r="AZ215" s="473"/>
      <c r="BA215" s="473"/>
      <c r="BB215" s="475"/>
      <c r="BC215" s="475"/>
      <c r="BD215" s="475"/>
      <c r="BE215" s="475"/>
      <c r="BF215" s="475"/>
      <c r="BG215" s="475"/>
      <c r="BH215" s="475"/>
      <c r="BI215" s="475"/>
      <c r="BJ215" s="475"/>
      <c r="BK215" s="475"/>
      <c r="BL215" s="475"/>
      <c r="BM215" s="475"/>
      <c r="BN215" s="475"/>
      <c r="BO215" s="473"/>
      <c r="BP215" s="473"/>
      <c r="BQ215" s="473"/>
      <c r="BR215" s="473"/>
      <c r="BS215" s="475"/>
      <c r="BT215" s="475"/>
      <c r="BU215" s="475"/>
      <c r="BV215" s="475"/>
      <c r="BW215" s="475"/>
      <c r="BX215" s="475"/>
      <c r="BY215" s="475"/>
      <c r="BZ215" s="475"/>
      <c r="CA215" s="475"/>
      <c r="CB215" s="475"/>
      <c r="CC215" s="475"/>
      <c r="CD215" s="475"/>
      <c r="CE215" s="475"/>
      <c r="CF215" s="475"/>
      <c r="CG215" s="475"/>
      <c r="CH215" s="475"/>
      <c r="CI215" s="475"/>
      <c r="CJ215" s="475"/>
      <c r="CK215" s="475"/>
      <c r="CL215" s="475"/>
      <c r="CM215" s="475"/>
      <c r="CN215" s="477"/>
      <c r="CO215" s="477"/>
      <c r="CP215" s="477"/>
      <c r="CQ215" s="477"/>
      <c r="CR215" s="477"/>
      <c r="CS215" s="477"/>
      <c r="CT215" s="477"/>
      <c r="CU215" s="477"/>
      <c r="CV215" s="477"/>
      <c r="CW215" s="477"/>
      <c r="CX215" s="477"/>
      <c r="CY215" s="478"/>
      <c r="CZ215" s="478"/>
      <c r="DA215" s="478"/>
      <c r="DB215" s="478"/>
      <c r="DC215" s="478"/>
      <c r="DD215" s="478"/>
      <c r="DE215" s="478"/>
      <c r="DF215" s="478"/>
      <c r="DG215" s="478"/>
      <c r="DH215" s="478"/>
      <c r="DI215" s="478"/>
      <c r="DJ215" s="478"/>
      <c r="DK215" s="478"/>
      <c r="DL215" s="478"/>
      <c r="DM215" s="478"/>
      <c r="DN215" s="478"/>
      <c r="DO215" s="478"/>
      <c r="DP215" s="478"/>
      <c r="DQ215" s="478"/>
      <c r="DR215" s="478"/>
      <c r="DS215" s="478"/>
      <c r="DT215" s="478"/>
      <c r="DU215" s="478"/>
      <c r="DV215" s="478"/>
      <c r="DW215" s="478"/>
      <c r="DX215" s="478"/>
      <c r="DY215" s="478"/>
      <c r="DZ215" s="478"/>
      <c r="EA215" s="477"/>
      <c r="EB215" s="477"/>
    </row>
    <row r="216" spans="1:132" ht="18.899999999999999" customHeight="1">
      <c r="A216" s="473"/>
      <c r="B216" s="473"/>
      <c r="C216" s="474"/>
      <c r="D216" s="474"/>
      <c r="E216" s="474"/>
      <c r="F216" s="473"/>
      <c r="G216" s="473"/>
      <c r="H216" s="475"/>
      <c r="I216" s="473"/>
      <c r="J216" s="473"/>
      <c r="K216" s="473"/>
      <c r="L216" s="473"/>
      <c r="M216" s="475"/>
      <c r="N216" s="475"/>
      <c r="O216" s="475"/>
      <c r="P216" s="475"/>
      <c r="Q216" s="475"/>
      <c r="R216" s="475"/>
      <c r="S216" s="475"/>
      <c r="T216" s="475"/>
      <c r="U216" s="475"/>
      <c r="V216" s="475"/>
      <c r="W216" s="475"/>
      <c r="X216" s="475"/>
      <c r="Y216" s="475"/>
      <c r="Z216" s="475"/>
      <c r="AA216" s="475"/>
      <c r="AB216" s="475"/>
      <c r="AC216" s="475"/>
      <c r="AD216" s="475"/>
      <c r="AE216" s="475"/>
      <c r="AF216" s="475"/>
      <c r="AG216" s="475"/>
      <c r="AH216" s="475"/>
      <c r="AI216" s="475"/>
      <c r="AJ216" s="475"/>
      <c r="AK216" s="475"/>
      <c r="AL216" s="475"/>
      <c r="AM216" s="475"/>
      <c r="AN216" s="475"/>
      <c r="AO216" s="473"/>
      <c r="AP216" s="473"/>
      <c r="AQ216" s="473"/>
      <c r="AR216" s="473"/>
      <c r="AS216" s="473"/>
      <c r="AT216" s="473"/>
      <c r="AU216" s="473"/>
      <c r="AV216" s="473"/>
      <c r="AW216" s="473"/>
      <c r="AX216" s="473"/>
      <c r="AY216" s="473"/>
      <c r="AZ216" s="473"/>
      <c r="BA216" s="473"/>
      <c r="BB216" s="475"/>
      <c r="BC216" s="475"/>
      <c r="BD216" s="475"/>
      <c r="BE216" s="475"/>
      <c r="BF216" s="475"/>
      <c r="BG216" s="475"/>
      <c r="BH216" s="475"/>
      <c r="BI216" s="475"/>
      <c r="BJ216" s="475"/>
      <c r="BK216" s="475"/>
      <c r="BL216" s="475"/>
      <c r="BM216" s="475"/>
      <c r="BN216" s="475"/>
      <c r="BO216" s="473"/>
      <c r="BP216" s="473"/>
      <c r="BQ216" s="473"/>
      <c r="BR216" s="473"/>
      <c r="BS216" s="475"/>
      <c r="BT216" s="475"/>
      <c r="BU216" s="475"/>
      <c r="BV216" s="475"/>
      <c r="BW216" s="475"/>
      <c r="BX216" s="475"/>
      <c r="BY216" s="475"/>
      <c r="BZ216" s="475"/>
      <c r="CA216" s="475"/>
      <c r="CB216" s="475"/>
      <c r="CC216" s="475"/>
      <c r="CD216" s="475"/>
      <c r="CE216" s="475"/>
      <c r="CF216" s="475"/>
      <c r="CG216" s="475"/>
      <c r="CH216" s="475"/>
      <c r="CI216" s="475"/>
      <c r="CJ216" s="475"/>
      <c r="CK216" s="475"/>
      <c r="CL216" s="475"/>
      <c r="CM216" s="475"/>
      <c r="CN216" s="477"/>
      <c r="CO216" s="477"/>
      <c r="CP216" s="477"/>
      <c r="CQ216" s="477"/>
      <c r="CR216" s="477"/>
      <c r="CS216" s="477"/>
      <c r="CT216" s="477"/>
      <c r="CU216" s="477"/>
      <c r="CV216" s="477"/>
      <c r="CW216" s="477"/>
      <c r="CX216" s="477"/>
      <c r="CY216" s="478"/>
      <c r="CZ216" s="478"/>
      <c r="DA216" s="478"/>
      <c r="DB216" s="478"/>
      <c r="DC216" s="478"/>
      <c r="DD216" s="478"/>
      <c r="DE216" s="478"/>
      <c r="DF216" s="478"/>
      <c r="DG216" s="478"/>
      <c r="DH216" s="478"/>
      <c r="DI216" s="478"/>
      <c r="DJ216" s="478"/>
      <c r="DK216" s="478"/>
      <c r="DL216" s="478"/>
      <c r="DM216" s="478"/>
      <c r="DN216" s="478"/>
      <c r="DO216" s="478"/>
      <c r="DP216" s="478"/>
      <c r="DQ216" s="478"/>
      <c r="DR216" s="478"/>
      <c r="DS216" s="478"/>
      <c r="DT216" s="478"/>
      <c r="DU216" s="478"/>
      <c r="DV216" s="478"/>
      <c r="DW216" s="478"/>
      <c r="DX216" s="478"/>
      <c r="DY216" s="478"/>
      <c r="DZ216" s="478"/>
      <c r="EA216" s="477"/>
      <c r="EB216" s="477"/>
    </row>
    <row r="217" spans="1:132" ht="18.899999999999999" customHeight="1">
      <c r="A217" s="473"/>
      <c r="B217" s="473"/>
      <c r="C217" s="474"/>
      <c r="D217" s="474"/>
      <c r="E217" s="474"/>
      <c r="F217" s="473"/>
      <c r="G217" s="473"/>
      <c r="H217" s="475"/>
      <c r="I217" s="473"/>
      <c r="J217" s="473"/>
      <c r="K217" s="473"/>
      <c r="L217" s="473"/>
      <c r="M217" s="475"/>
      <c r="N217" s="475"/>
      <c r="O217" s="475"/>
      <c r="P217" s="475"/>
      <c r="Q217" s="475"/>
      <c r="R217" s="475"/>
      <c r="S217" s="475"/>
      <c r="T217" s="475"/>
      <c r="U217" s="475"/>
      <c r="V217" s="475"/>
      <c r="W217" s="475"/>
      <c r="X217" s="475"/>
      <c r="Y217" s="475"/>
      <c r="Z217" s="475"/>
      <c r="AA217" s="475"/>
      <c r="AB217" s="475"/>
      <c r="AC217" s="475"/>
      <c r="AD217" s="475"/>
      <c r="AE217" s="475"/>
      <c r="AF217" s="475"/>
      <c r="AG217" s="475"/>
      <c r="AH217" s="475"/>
      <c r="AI217" s="475"/>
      <c r="AJ217" s="475"/>
      <c r="AK217" s="475"/>
      <c r="AL217" s="475"/>
      <c r="AM217" s="475"/>
      <c r="AN217" s="475"/>
      <c r="AO217" s="473"/>
      <c r="AP217" s="473"/>
      <c r="AQ217" s="473"/>
      <c r="AR217" s="473"/>
      <c r="AS217" s="473"/>
      <c r="AT217" s="473"/>
      <c r="AU217" s="473"/>
      <c r="AV217" s="473"/>
      <c r="AW217" s="473"/>
      <c r="AX217" s="473"/>
      <c r="AY217" s="473"/>
      <c r="AZ217" s="473"/>
      <c r="BA217" s="473"/>
      <c r="BB217" s="475"/>
      <c r="BC217" s="475"/>
      <c r="BD217" s="475"/>
      <c r="BE217" s="475"/>
      <c r="BF217" s="475"/>
      <c r="BG217" s="475"/>
      <c r="BH217" s="475"/>
      <c r="BI217" s="475"/>
      <c r="BJ217" s="475"/>
      <c r="BK217" s="475"/>
      <c r="BL217" s="475"/>
      <c r="BM217" s="475"/>
      <c r="BN217" s="475"/>
      <c r="BO217" s="473"/>
      <c r="BP217" s="473"/>
      <c r="BQ217" s="473"/>
      <c r="BR217" s="473"/>
      <c r="BS217" s="475"/>
      <c r="BT217" s="475"/>
      <c r="BU217" s="475"/>
      <c r="BV217" s="475"/>
      <c r="BW217" s="475"/>
      <c r="BX217" s="475"/>
      <c r="BY217" s="475"/>
      <c r="BZ217" s="475"/>
      <c r="CA217" s="475"/>
      <c r="CB217" s="475"/>
      <c r="CC217" s="475"/>
      <c r="CD217" s="475"/>
      <c r="CE217" s="475"/>
      <c r="CF217" s="475"/>
      <c r="CG217" s="475"/>
      <c r="CH217" s="475"/>
      <c r="CI217" s="475"/>
      <c r="CJ217" s="475"/>
      <c r="CK217" s="475"/>
      <c r="CL217" s="475"/>
      <c r="CM217" s="475"/>
      <c r="CN217" s="477"/>
      <c r="CO217" s="477"/>
      <c r="CP217" s="477"/>
      <c r="CQ217" s="477"/>
      <c r="CR217" s="477"/>
      <c r="CS217" s="477"/>
      <c r="CT217" s="477"/>
      <c r="CU217" s="477"/>
      <c r="CV217" s="477"/>
      <c r="CW217" s="477"/>
      <c r="CX217" s="477"/>
      <c r="CY217" s="478"/>
      <c r="CZ217" s="478"/>
      <c r="DA217" s="478"/>
      <c r="DB217" s="478"/>
      <c r="DC217" s="478"/>
      <c r="DD217" s="478"/>
      <c r="DE217" s="478"/>
      <c r="DF217" s="478"/>
      <c r="DG217" s="478"/>
      <c r="DH217" s="478"/>
      <c r="DI217" s="478"/>
      <c r="DJ217" s="478"/>
      <c r="DK217" s="478"/>
      <c r="DL217" s="478"/>
      <c r="DM217" s="478"/>
      <c r="DN217" s="478"/>
      <c r="DO217" s="478"/>
      <c r="DP217" s="478"/>
      <c r="DQ217" s="478"/>
      <c r="DR217" s="478"/>
      <c r="DS217" s="478"/>
      <c r="DT217" s="478"/>
      <c r="DU217" s="478"/>
      <c r="DV217" s="478"/>
      <c r="DW217" s="478"/>
      <c r="DX217" s="478"/>
      <c r="DY217" s="478"/>
      <c r="DZ217" s="478"/>
      <c r="EA217" s="477"/>
      <c r="EB217" s="477"/>
    </row>
    <row r="218" spans="1:132" ht="18.899999999999999" customHeight="1">
      <c r="A218" s="473"/>
      <c r="B218" s="473"/>
      <c r="C218" s="474"/>
      <c r="D218" s="474"/>
      <c r="E218" s="474"/>
      <c r="F218" s="473"/>
      <c r="G218" s="473"/>
      <c r="H218" s="475"/>
      <c r="I218" s="473"/>
      <c r="J218" s="473"/>
      <c r="K218" s="473"/>
      <c r="L218" s="473"/>
      <c r="M218" s="475"/>
      <c r="N218" s="475"/>
      <c r="O218" s="475"/>
      <c r="P218" s="475"/>
      <c r="Q218" s="475"/>
      <c r="R218" s="475"/>
      <c r="S218" s="475"/>
      <c r="T218" s="475"/>
      <c r="U218" s="475"/>
      <c r="V218" s="475"/>
      <c r="W218" s="475"/>
      <c r="X218" s="475"/>
      <c r="Y218" s="475"/>
      <c r="Z218" s="475"/>
      <c r="AA218" s="475"/>
      <c r="AB218" s="475"/>
      <c r="AC218" s="475"/>
      <c r="AD218" s="475"/>
      <c r="AE218" s="475"/>
      <c r="AF218" s="475"/>
      <c r="AG218" s="475"/>
      <c r="AH218" s="475"/>
      <c r="AI218" s="475"/>
      <c r="AJ218" s="475"/>
      <c r="AK218" s="475"/>
      <c r="AL218" s="475"/>
      <c r="AM218" s="475"/>
      <c r="AN218" s="475"/>
      <c r="AO218" s="473"/>
      <c r="AP218" s="473"/>
      <c r="AQ218" s="473"/>
      <c r="AR218" s="473"/>
      <c r="AS218" s="473"/>
      <c r="AT218" s="473"/>
      <c r="AU218" s="473"/>
      <c r="AV218" s="473"/>
      <c r="AW218" s="473"/>
      <c r="AX218" s="473"/>
      <c r="AY218" s="473"/>
      <c r="AZ218" s="473"/>
      <c r="BA218" s="473"/>
      <c r="BB218" s="475"/>
      <c r="BC218" s="475"/>
      <c r="BD218" s="475"/>
      <c r="BE218" s="475"/>
      <c r="BF218" s="475"/>
      <c r="BG218" s="475"/>
      <c r="BH218" s="475"/>
      <c r="BI218" s="475"/>
      <c r="BJ218" s="475"/>
      <c r="BK218" s="475"/>
      <c r="BL218" s="475"/>
      <c r="BM218" s="475"/>
      <c r="BN218" s="475"/>
      <c r="BO218" s="473"/>
      <c r="BP218" s="473"/>
      <c r="BQ218" s="473"/>
      <c r="BR218" s="473"/>
      <c r="BS218" s="475"/>
      <c r="BT218" s="475"/>
      <c r="BU218" s="475"/>
      <c r="BV218" s="475"/>
      <c r="BW218" s="475"/>
      <c r="BX218" s="475"/>
      <c r="BY218" s="475"/>
      <c r="BZ218" s="475"/>
      <c r="CA218" s="475"/>
      <c r="CB218" s="475"/>
      <c r="CC218" s="475"/>
      <c r="CD218" s="475"/>
      <c r="CE218" s="475"/>
      <c r="CF218" s="475"/>
      <c r="CG218" s="475"/>
      <c r="CH218" s="475"/>
      <c r="CI218" s="475"/>
      <c r="CJ218" s="475"/>
      <c r="CK218" s="475"/>
      <c r="CL218" s="475"/>
      <c r="CM218" s="475"/>
      <c r="CN218" s="477"/>
      <c r="CO218" s="477"/>
      <c r="CP218" s="477"/>
      <c r="CQ218" s="477"/>
      <c r="CR218" s="477"/>
      <c r="CS218" s="477"/>
      <c r="CT218" s="477"/>
      <c r="CU218" s="477"/>
      <c r="CV218" s="477"/>
      <c r="CW218" s="477"/>
      <c r="CX218" s="477"/>
      <c r="CY218" s="478"/>
      <c r="CZ218" s="478"/>
      <c r="DA218" s="478"/>
      <c r="DB218" s="478"/>
      <c r="DC218" s="478"/>
      <c r="DD218" s="478"/>
      <c r="DE218" s="478"/>
      <c r="DF218" s="478"/>
      <c r="DG218" s="478"/>
      <c r="DH218" s="478"/>
      <c r="DI218" s="478"/>
      <c r="DJ218" s="478"/>
      <c r="DK218" s="478"/>
      <c r="DL218" s="478"/>
      <c r="DM218" s="478"/>
      <c r="DN218" s="478"/>
      <c r="DO218" s="478"/>
      <c r="DP218" s="478"/>
      <c r="DQ218" s="478"/>
      <c r="DR218" s="478"/>
      <c r="DS218" s="478"/>
      <c r="DT218" s="478"/>
      <c r="DU218" s="478"/>
      <c r="DV218" s="478"/>
      <c r="DW218" s="478"/>
      <c r="DX218" s="478"/>
      <c r="DY218" s="478"/>
      <c r="DZ218" s="478"/>
      <c r="EA218" s="477"/>
      <c r="EB218" s="477"/>
    </row>
    <row r="219" spans="1:132" ht="18.899999999999999" customHeight="1">
      <c r="A219" s="473"/>
      <c r="B219" s="473"/>
      <c r="C219" s="474"/>
      <c r="D219" s="474"/>
      <c r="E219" s="474"/>
      <c r="F219" s="473"/>
      <c r="G219" s="473"/>
      <c r="H219" s="475"/>
      <c r="I219" s="473"/>
      <c r="J219" s="473"/>
      <c r="K219" s="473"/>
      <c r="L219" s="473"/>
      <c r="M219" s="475"/>
      <c r="N219" s="475"/>
      <c r="O219" s="475"/>
      <c r="P219" s="475"/>
      <c r="Q219" s="475"/>
      <c r="R219" s="475"/>
      <c r="S219" s="475"/>
      <c r="T219" s="475"/>
      <c r="U219" s="475"/>
      <c r="V219" s="475"/>
      <c r="W219" s="475"/>
      <c r="X219" s="475"/>
      <c r="Y219" s="475"/>
      <c r="Z219" s="475"/>
      <c r="AA219" s="475"/>
      <c r="AB219" s="475"/>
      <c r="AC219" s="475"/>
      <c r="AD219" s="475"/>
      <c r="AE219" s="475"/>
      <c r="AF219" s="475"/>
      <c r="AG219" s="475"/>
      <c r="AH219" s="475"/>
      <c r="AI219" s="475"/>
      <c r="AJ219" s="475"/>
      <c r="AK219" s="475"/>
      <c r="AL219" s="475"/>
      <c r="AM219" s="475"/>
      <c r="AN219" s="475"/>
      <c r="AO219" s="473"/>
      <c r="AP219" s="473"/>
      <c r="AQ219" s="473"/>
      <c r="AR219" s="473"/>
      <c r="AS219" s="473"/>
      <c r="AT219" s="473"/>
      <c r="AU219" s="473"/>
      <c r="AV219" s="473"/>
      <c r="AW219" s="473"/>
      <c r="AX219" s="473"/>
      <c r="AY219" s="473"/>
      <c r="AZ219" s="473"/>
      <c r="BA219" s="473"/>
      <c r="BB219" s="475"/>
      <c r="BC219" s="475"/>
      <c r="BD219" s="475"/>
      <c r="BE219" s="475"/>
      <c r="BF219" s="475"/>
      <c r="BG219" s="475"/>
      <c r="BH219" s="475"/>
      <c r="BI219" s="475"/>
      <c r="BJ219" s="475"/>
      <c r="BK219" s="475"/>
      <c r="BL219" s="475"/>
      <c r="BM219" s="475"/>
      <c r="BN219" s="475"/>
      <c r="BO219" s="473"/>
      <c r="BP219" s="473"/>
      <c r="BQ219" s="473"/>
      <c r="BR219" s="473"/>
      <c r="BS219" s="475"/>
      <c r="BT219" s="475"/>
      <c r="BU219" s="475"/>
      <c r="BV219" s="475"/>
      <c r="BW219" s="475"/>
      <c r="BX219" s="475"/>
      <c r="BY219" s="475"/>
      <c r="BZ219" s="475"/>
      <c r="CA219" s="475"/>
      <c r="CB219" s="475"/>
      <c r="CC219" s="475"/>
      <c r="CD219" s="475"/>
      <c r="CE219" s="475"/>
      <c r="CF219" s="475"/>
      <c r="CG219" s="475"/>
      <c r="CH219" s="475"/>
      <c r="CI219" s="475"/>
      <c r="CJ219" s="475"/>
      <c r="CK219" s="475"/>
      <c r="CL219" s="475"/>
      <c r="CM219" s="475"/>
      <c r="CN219" s="477"/>
      <c r="CO219" s="477"/>
      <c r="CP219" s="477"/>
      <c r="CQ219" s="477"/>
      <c r="CR219" s="477"/>
      <c r="CS219" s="477"/>
      <c r="CT219" s="477"/>
      <c r="CU219" s="477"/>
      <c r="CV219" s="477"/>
      <c r="CW219" s="477"/>
      <c r="CX219" s="477"/>
      <c r="CY219" s="478"/>
      <c r="CZ219" s="478"/>
      <c r="DA219" s="478"/>
      <c r="DB219" s="478"/>
      <c r="DC219" s="478"/>
      <c r="DD219" s="478"/>
      <c r="DE219" s="478"/>
      <c r="DF219" s="478"/>
      <c r="DG219" s="478"/>
      <c r="DH219" s="478"/>
      <c r="DI219" s="478"/>
      <c r="DJ219" s="478"/>
      <c r="DK219" s="478"/>
      <c r="DL219" s="478"/>
      <c r="DM219" s="478"/>
      <c r="DN219" s="478"/>
      <c r="DO219" s="478"/>
      <c r="DP219" s="478"/>
      <c r="DQ219" s="478"/>
      <c r="DR219" s="478"/>
      <c r="DS219" s="478"/>
      <c r="DT219" s="478"/>
      <c r="DU219" s="478"/>
      <c r="DV219" s="478"/>
      <c r="DW219" s="478"/>
      <c r="DX219" s="478"/>
      <c r="DY219" s="478"/>
      <c r="DZ219" s="478"/>
      <c r="EA219" s="477"/>
      <c r="EB219" s="477"/>
    </row>
    <row r="220" spans="1:132" ht="18.899999999999999" customHeight="1">
      <c r="A220" s="473"/>
      <c r="B220" s="473"/>
      <c r="C220" s="474"/>
      <c r="D220" s="474"/>
      <c r="E220" s="474"/>
      <c r="F220" s="473"/>
      <c r="G220" s="473"/>
      <c r="H220" s="475"/>
      <c r="I220" s="473"/>
      <c r="J220" s="473"/>
      <c r="K220" s="473"/>
      <c r="L220" s="473"/>
      <c r="M220" s="475"/>
      <c r="N220" s="475"/>
      <c r="O220" s="475"/>
      <c r="P220" s="475"/>
      <c r="Q220" s="475"/>
      <c r="R220" s="475"/>
      <c r="S220" s="475"/>
      <c r="T220" s="475"/>
      <c r="U220" s="475"/>
      <c r="V220" s="475"/>
      <c r="W220" s="475"/>
      <c r="X220" s="475"/>
      <c r="Y220" s="475"/>
      <c r="Z220" s="475"/>
      <c r="AA220" s="475"/>
      <c r="AB220" s="475"/>
      <c r="AC220" s="475"/>
      <c r="AD220" s="475"/>
      <c r="AE220" s="475"/>
      <c r="AF220" s="475"/>
      <c r="AG220" s="475"/>
      <c r="AH220" s="475"/>
      <c r="AI220" s="475"/>
      <c r="AJ220" s="475"/>
      <c r="AK220" s="475"/>
      <c r="AL220" s="475"/>
      <c r="AM220" s="475"/>
      <c r="AN220" s="475"/>
      <c r="AO220" s="473"/>
      <c r="AP220" s="473"/>
      <c r="AQ220" s="473"/>
      <c r="AR220" s="473"/>
      <c r="AS220" s="473"/>
      <c r="AT220" s="473"/>
      <c r="AU220" s="473"/>
      <c r="AV220" s="473"/>
      <c r="AW220" s="473"/>
      <c r="AX220" s="473"/>
      <c r="AY220" s="473"/>
      <c r="AZ220" s="473"/>
      <c r="BA220" s="473"/>
      <c r="BB220" s="475"/>
      <c r="BC220" s="475"/>
      <c r="BD220" s="475"/>
      <c r="BE220" s="475"/>
      <c r="BF220" s="475"/>
      <c r="BG220" s="475"/>
      <c r="BH220" s="475"/>
      <c r="BI220" s="475"/>
      <c r="BJ220" s="475"/>
      <c r="BK220" s="475"/>
      <c r="BL220" s="475"/>
      <c r="BM220" s="475"/>
      <c r="BN220" s="475"/>
      <c r="BO220" s="473"/>
      <c r="BP220" s="473"/>
      <c r="BQ220" s="473"/>
      <c r="BR220" s="473"/>
      <c r="BS220" s="475"/>
      <c r="BT220" s="475"/>
      <c r="BU220" s="475"/>
      <c r="BV220" s="475"/>
      <c r="BW220" s="475"/>
      <c r="BX220" s="475"/>
      <c r="BY220" s="475"/>
      <c r="BZ220" s="475"/>
      <c r="CA220" s="475"/>
      <c r="CB220" s="475"/>
      <c r="CC220" s="475"/>
      <c r="CD220" s="475"/>
      <c r="CE220" s="475"/>
      <c r="CF220" s="475"/>
      <c r="CG220" s="475"/>
      <c r="CH220" s="475"/>
      <c r="CI220" s="475"/>
      <c r="CJ220" s="475"/>
      <c r="CK220" s="475"/>
      <c r="CL220" s="475"/>
      <c r="CM220" s="475"/>
      <c r="CN220" s="477"/>
      <c r="CO220" s="477"/>
      <c r="CP220" s="477"/>
      <c r="CQ220" s="477"/>
      <c r="CR220" s="477"/>
      <c r="CS220" s="477"/>
      <c r="CT220" s="477"/>
      <c r="CU220" s="477"/>
      <c r="CV220" s="477"/>
      <c r="CW220" s="477"/>
      <c r="CX220" s="477"/>
      <c r="CY220" s="478"/>
      <c r="CZ220" s="478"/>
      <c r="DA220" s="478"/>
      <c r="DB220" s="478"/>
      <c r="DC220" s="478"/>
      <c r="DD220" s="478"/>
      <c r="DE220" s="478"/>
      <c r="DF220" s="478"/>
      <c r="DG220" s="478"/>
      <c r="DH220" s="478"/>
      <c r="DI220" s="478"/>
      <c r="DJ220" s="478"/>
      <c r="DK220" s="478"/>
      <c r="DL220" s="478"/>
      <c r="DM220" s="478"/>
      <c r="DN220" s="478"/>
      <c r="DO220" s="478"/>
      <c r="DP220" s="478"/>
      <c r="DQ220" s="478"/>
      <c r="DR220" s="478"/>
      <c r="DS220" s="478"/>
      <c r="DT220" s="478"/>
      <c r="DU220" s="478"/>
      <c r="DV220" s="478"/>
      <c r="DW220" s="478"/>
      <c r="DX220" s="478"/>
      <c r="DY220" s="478"/>
      <c r="DZ220" s="478"/>
      <c r="EA220" s="477"/>
      <c r="EB220" s="477"/>
    </row>
    <row r="221" spans="1:132" ht="18.899999999999999" customHeight="1">
      <c r="A221" s="473"/>
      <c r="B221" s="473"/>
      <c r="C221" s="474"/>
      <c r="D221" s="474"/>
      <c r="E221" s="474"/>
      <c r="F221" s="473"/>
      <c r="G221" s="473"/>
      <c r="H221" s="475"/>
      <c r="I221" s="473"/>
      <c r="J221" s="473"/>
      <c r="K221" s="473"/>
      <c r="L221" s="473"/>
      <c r="M221" s="475"/>
      <c r="N221" s="475"/>
      <c r="O221" s="475"/>
      <c r="P221" s="475"/>
      <c r="Q221" s="475"/>
      <c r="R221" s="475"/>
      <c r="S221" s="475"/>
      <c r="T221" s="475"/>
      <c r="U221" s="475"/>
      <c r="V221" s="475"/>
      <c r="W221" s="475"/>
      <c r="X221" s="475"/>
      <c r="Y221" s="475"/>
      <c r="Z221" s="475"/>
      <c r="AA221" s="475"/>
      <c r="AB221" s="475"/>
      <c r="AC221" s="475"/>
      <c r="AD221" s="475"/>
      <c r="AE221" s="475"/>
      <c r="AF221" s="475"/>
      <c r="AG221" s="475"/>
      <c r="AH221" s="475"/>
      <c r="AI221" s="475"/>
      <c r="AJ221" s="475"/>
      <c r="AK221" s="475"/>
      <c r="AL221" s="475"/>
      <c r="AM221" s="475"/>
      <c r="AN221" s="475"/>
      <c r="AO221" s="473"/>
      <c r="AP221" s="473"/>
      <c r="AQ221" s="473"/>
      <c r="AR221" s="473"/>
      <c r="AS221" s="473"/>
      <c r="AT221" s="473"/>
      <c r="AU221" s="473"/>
      <c r="AV221" s="473"/>
      <c r="AW221" s="473"/>
      <c r="AX221" s="473"/>
      <c r="AY221" s="473"/>
      <c r="AZ221" s="473"/>
      <c r="BA221" s="473"/>
      <c r="BB221" s="475"/>
      <c r="BC221" s="475"/>
      <c r="BD221" s="475"/>
      <c r="BE221" s="475"/>
      <c r="BF221" s="475"/>
      <c r="BG221" s="475"/>
      <c r="BH221" s="475"/>
      <c r="BI221" s="475"/>
      <c r="BJ221" s="475"/>
      <c r="BK221" s="475"/>
      <c r="BL221" s="475"/>
      <c r="BM221" s="475"/>
      <c r="BN221" s="475"/>
      <c r="BO221" s="473"/>
      <c r="BP221" s="473"/>
      <c r="BQ221" s="473"/>
      <c r="BR221" s="473"/>
      <c r="BS221" s="475"/>
      <c r="BT221" s="475"/>
      <c r="BU221" s="475"/>
      <c r="BV221" s="475"/>
      <c r="BW221" s="475"/>
      <c r="BX221" s="475"/>
      <c r="BY221" s="475"/>
      <c r="BZ221" s="475"/>
      <c r="CA221" s="475"/>
      <c r="CB221" s="475"/>
      <c r="CC221" s="475"/>
      <c r="CD221" s="475"/>
      <c r="CE221" s="475"/>
      <c r="CF221" s="475"/>
      <c r="CG221" s="475"/>
      <c r="CH221" s="475"/>
      <c r="CI221" s="475"/>
      <c r="CJ221" s="475"/>
      <c r="CK221" s="475"/>
      <c r="CL221" s="475"/>
      <c r="CM221" s="475"/>
      <c r="CN221" s="477"/>
      <c r="CO221" s="477"/>
      <c r="CP221" s="477"/>
      <c r="CQ221" s="477"/>
      <c r="CR221" s="477"/>
      <c r="CS221" s="477"/>
      <c r="CT221" s="477"/>
      <c r="CU221" s="477"/>
      <c r="CV221" s="477"/>
      <c r="CW221" s="477"/>
      <c r="CX221" s="477"/>
      <c r="CY221" s="478"/>
      <c r="CZ221" s="478"/>
      <c r="DA221" s="478"/>
      <c r="DB221" s="478"/>
      <c r="DC221" s="478"/>
      <c r="DD221" s="478"/>
      <c r="DE221" s="478"/>
      <c r="DF221" s="478"/>
      <c r="DG221" s="478"/>
      <c r="DH221" s="478"/>
      <c r="DI221" s="478"/>
      <c r="DJ221" s="478"/>
      <c r="DK221" s="478"/>
      <c r="DL221" s="478"/>
      <c r="DM221" s="478"/>
      <c r="DN221" s="478"/>
      <c r="DO221" s="478"/>
      <c r="DP221" s="478"/>
      <c r="DQ221" s="478"/>
      <c r="DR221" s="478"/>
      <c r="DS221" s="478"/>
      <c r="DT221" s="478"/>
      <c r="DU221" s="478"/>
      <c r="DV221" s="478"/>
      <c r="DW221" s="478"/>
      <c r="DX221" s="478"/>
      <c r="DY221" s="478"/>
      <c r="DZ221" s="478"/>
      <c r="EA221" s="477"/>
      <c r="EB221" s="477"/>
    </row>
    <row r="222" spans="1:132" ht="18.899999999999999" customHeight="1">
      <c r="A222" s="473"/>
      <c r="B222" s="473"/>
      <c r="C222" s="474"/>
      <c r="D222" s="474"/>
      <c r="E222" s="474"/>
      <c r="F222" s="473"/>
      <c r="G222" s="473"/>
      <c r="H222" s="475"/>
      <c r="I222" s="473"/>
      <c r="J222" s="473"/>
      <c r="K222" s="473"/>
      <c r="L222" s="473"/>
      <c r="M222" s="475"/>
      <c r="N222" s="475"/>
      <c r="O222" s="475"/>
      <c r="P222" s="475"/>
      <c r="Q222" s="475"/>
      <c r="R222" s="475"/>
      <c r="S222" s="475"/>
      <c r="T222" s="475"/>
      <c r="U222" s="475"/>
      <c r="V222" s="475"/>
      <c r="W222" s="475"/>
      <c r="X222" s="475"/>
      <c r="Y222" s="475"/>
      <c r="Z222" s="475"/>
      <c r="AA222" s="475"/>
      <c r="AB222" s="475"/>
      <c r="AC222" s="475"/>
      <c r="AD222" s="475"/>
      <c r="AE222" s="475"/>
      <c r="AF222" s="475"/>
      <c r="AG222" s="475"/>
      <c r="AH222" s="475"/>
      <c r="AI222" s="475"/>
      <c r="AJ222" s="475"/>
      <c r="AK222" s="475"/>
      <c r="AL222" s="475"/>
      <c r="AM222" s="475"/>
      <c r="AN222" s="475"/>
      <c r="AO222" s="473"/>
      <c r="AP222" s="473"/>
      <c r="AQ222" s="473"/>
      <c r="AR222" s="473"/>
      <c r="AS222" s="473"/>
      <c r="AT222" s="473"/>
      <c r="AU222" s="473"/>
      <c r="AV222" s="473"/>
      <c r="AW222" s="473"/>
      <c r="AX222" s="473"/>
      <c r="AY222" s="473"/>
      <c r="AZ222" s="473"/>
      <c r="BA222" s="473"/>
      <c r="BB222" s="475"/>
      <c r="BC222" s="475"/>
      <c r="BD222" s="475"/>
      <c r="BE222" s="475"/>
      <c r="BF222" s="475"/>
      <c r="BG222" s="475"/>
      <c r="BH222" s="475"/>
      <c r="BI222" s="475"/>
      <c r="BJ222" s="475"/>
      <c r="BK222" s="475"/>
      <c r="BL222" s="475"/>
      <c r="BM222" s="475"/>
      <c r="BN222" s="475"/>
      <c r="BO222" s="473"/>
      <c r="BP222" s="473"/>
      <c r="BQ222" s="473"/>
      <c r="BR222" s="473"/>
      <c r="BS222" s="475"/>
      <c r="BT222" s="475"/>
      <c r="BU222" s="475"/>
      <c r="BV222" s="475"/>
      <c r="BW222" s="475"/>
      <c r="BX222" s="475"/>
      <c r="BY222" s="475"/>
      <c r="BZ222" s="475"/>
      <c r="CA222" s="475"/>
      <c r="CB222" s="475"/>
      <c r="CC222" s="475"/>
      <c r="CD222" s="475"/>
      <c r="CE222" s="475"/>
      <c r="CF222" s="475"/>
      <c r="CG222" s="475"/>
      <c r="CH222" s="475"/>
      <c r="CI222" s="475"/>
      <c r="CJ222" s="475"/>
      <c r="CK222" s="475"/>
      <c r="CL222" s="475"/>
      <c r="CM222" s="475"/>
      <c r="CN222" s="477"/>
      <c r="CO222" s="477"/>
      <c r="CP222" s="477"/>
      <c r="CQ222" s="477"/>
      <c r="CR222" s="477"/>
      <c r="CS222" s="477"/>
      <c r="CT222" s="477"/>
      <c r="CU222" s="477"/>
      <c r="CV222" s="477"/>
      <c r="CW222" s="477"/>
      <c r="CX222" s="477"/>
      <c r="CY222" s="478"/>
      <c r="CZ222" s="478"/>
      <c r="DA222" s="478"/>
      <c r="DB222" s="478"/>
      <c r="DC222" s="478"/>
      <c r="DD222" s="478"/>
      <c r="DE222" s="478"/>
      <c r="DF222" s="478"/>
      <c r="DG222" s="478"/>
      <c r="DH222" s="478"/>
      <c r="DI222" s="478"/>
      <c r="DJ222" s="478"/>
      <c r="DK222" s="478"/>
      <c r="DL222" s="478"/>
      <c r="DM222" s="478"/>
      <c r="DN222" s="478"/>
      <c r="DO222" s="478"/>
      <c r="DP222" s="478"/>
      <c r="DQ222" s="478"/>
      <c r="DR222" s="478"/>
      <c r="DS222" s="478"/>
      <c r="DT222" s="478"/>
      <c r="DU222" s="478"/>
      <c r="DV222" s="478"/>
      <c r="DW222" s="478"/>
      <c r="DX222" s="478"/>
      <c r="DY222" s="478"/>
      <c r="DZ222" s="478"/>
      <c r="EA222" s="477"/>
      <c r="EB222" s="477"/>
    </row>
    <row r="223" spans="1:132" ht="18.899999999999999" customHeight="1">
      <c r="A223" s="473"/>
      <c r="B223" s="473"/>
      <c r="C223" s="474"/>
      <c r="D223" s="474"/>
      <c r="E223" s="474"/>
      <c r="F223" s="473"/>
      <c r="G223" s="473"/>
      <c r="H223" s="475"/>
      <c r="I223" s="473"/>
      <c r="J223" s="473"/>
      <c r="K223" s="473"/>
      <c r="L223" s="473"/>
      <c r="M223" s="475"/>
      <c r="N223" s="475"/>
      <c r="O223" s="475"/>
      <c r="P223" s="475"/>
      <c r="Q223" s="475"/>
      <c r="R223" s="475"/>
      <c r="S223" s="475"/>
      <c r="T223" s="475"/>
      <c r="U223" s="475"/>
      <c r="V223" s="475"/>
      <c r="W223" s="475"/>
      <c r="X223" s="475"/>
      <c r="Y223" s="475"/>
      <c r="Z223" s="475"/>
      <c r="AA223" s="475"/>
      <c r="AB223" s="475"/>
      <c r="AC223" s="475"/>
      <c r="AD223" s="475"/>
      <c r="AE223" s="475"/>
      <c r="AF223" s="475"/>
      <c r="AG223" s="475"/>
      <c r="AH223" s="475"/>
      <c r="AI223" s="475"/>
      <c r="AJ223" s="475"/>
      <c r="AK223" s="475"/>
      <c r="AL223" s="475"/>
      <c r="AM223" s="475"/>
      <c r="AN223" s="475"/>
      <c r="AO223" s="473"/>
      <c r="AP223" s="473"/>
      <c r="AQ223" s="473"/>
      <c r="AR223" s="473"/>
      <c r="AS223" s="473"/>
      <c r="AT223" s="473"/>
      <c r="AU223" s="473"/>
      <c r="AV223" s="473"/>
      <c r="AW223" s="473"/>
      <c r="AX223" s="473"/>
      <c r="AY223" s="473"/>
      <c r="AZ223" s="473"/>
      <c r="BA223" s="473"/>
      <c r="BB223" s="475"/>
      <c r="BC223" s="475"/>
      <c r="BD223" s="475"/>
      <c r="BE223" s="475"/>
      <c r="BF223" s="475"/>
      <c r="BG223" s="475"/>
      <c r="BH223" s="475"/>
      <c r="BI223" s="475"/>
      <c r="BJ223" s="475"/>
      <c r="BK223" s="475"/>
      <c r="BL223" s="475"/>
      <c r="BM223" s="475"/>
      <c r="BN223" s="475"/>
      <c r="BO223" s="473"/>
      <c r="BP223" s="473"/>
      <c r="BQ223" s="473"/>
      <c r="BR223" s="473"/>
      <c r="BS223" s="475"/>
      <c r="BT223" s="475"/>
      <c r="BU223" s="475"/>
      <c r="BV223" s="475"/>
      <c r="BW223" s="475"/>
      <c r="BX223" s="475"/>
      <c r="BY223" s="475"/>
      <c r="BZ223" s="475"/>
      <c r="CA223" s="475"/>
      <c r="CB223" s="475"/>
      <c r="CC223" s="475"/>
      <c r="CD223" s="475"/>
      <c r="CE223" s="475"/>
      <c r="CF223" s="475"/>
      <c r="CG223" s="475"/>
      <c r="CH223" s="475"/>
      <c r="CI223" s="475"/>
      <c r="CJ223" s="475"/>
      <c r="CK223" s="475"/>
      <c r="CL223" s="475"/>
      <c r="CM223" s="475"/>
      <c r="CN223" s="477"/>
      <c r="CO223" s="477"/>
      <c r="CP223" s="477"/>
      <c r="CQ223" s="477"/>
      <c r="CR223" s="477"/>
      <c r="CS223" s="477"/>
      <c r="CT223" s="477"/>
      <c r="CU223" s="477"/>
      <c r="CV223" s="477"/>
      <c r="CW223" s="477"/>
      <c r="CX223" s="477"/>
      <c r="CY223" s="478"/>
      <c r="CZ223" s="478"/>
      <c r="DA223" s="478"/>
      <c r="DB223" s="478"/>
      <c r="DC223" s="478"/>
      <c r="DD223" s="478"/>
      <c r="DE223" s="478"/>
      <c r="DF223" s="478"/>
      <c r="DG223" s="478"/>
      <c r="DH223" s="478"/>
      <c r="DI223" s="478"/>
      <c r="DJ223" s="478"/>
      <c r="DK223" s="478"/>
      <c r="DL223" s="478"/>
      <c r="DM223" s="478"/>
      <c r="DN223" s="478"/>
      <c r="DO223" s="478"/>
      <c r="DP223" s="478"/>
      <c r="DQ223" s="478"/>
      <c r="DR223" s="478"/>
      <c r="DS223" s="478"/>
      <c r="DT223" s="478"/>
      <c r="DU223" s="478"/>
      <c r="DV223" s="478"/>
      <c r="DW223" s="478"/>
      <c r="DX223" s="478"/>
      <c r="DY223" s="478"/>
      <c r="DZ223" s="478"/>
      <c r="EA223" s="477"/>
      <c r="EB223" s="477"/>
    </row>
    <row r="224" spans="1:132" ht="18.899999999999999" customHeight="1">
      <c r="A224" s="473"/>
      <c r="B224" s="473"/>
      <c r="C224" s="474"/>
      <c r="D224" s="474"/>
      <c r="E224" s="474"/>
      <c r="F224" s="473"/>
      <c r="G224" s="473"/>
      <c r="H224" s="475"/>
      <c r="I224" s="473"/>
      <c r="J224" s="473"/>
      <c r="K224" s="473"/>
      <c r="L224" s="473"/>
      <c r="M224" s="475"/>
      <c r="N224" s="475"/>
      <c r="O224" s="475"/>
      <c r="P224" s="475"/>
      <c r="Q224" s="475"/>
      <c r="R224" s="475"/>
      <c r="S224" s="475"/>
      <c r="T224" s="475"/>
      <c r="U224" s="475"/>
      <c r="V224" s="475"/>
      <c r="W224" s="475"/>
      <c r="X224" s="475"/>
      <c r="Y224" s="475"/>
      <c r="Z224" s="475"/>
      <c r="AA224" s="475"/>
      <c r="AB224" s="475"/>
      <c r="AC224" s="475"/>
      <c r="AD224" s="475"/>
      <c r="AE224" s="475"/>
      <c r="AF224" s="475"/>
      <c r="AG224" s="475"/>
      <c r="AH224" s="475"/>
      <c r="AI224" s="475"/>
      <c r="AJ224" s="475"/>
      <c r="AK224" s="475"/>
      <c r="AL224" s="475"/>
      <c r="AM224" s="475"/>
      <c r="AN224" s="475"/>
      <c r="AO224" s="473"/>
      <c r="AP224" s="473"/>
      <c r="AQ224" s="473"/>
      <c r="AR224" s="473"/>
      <c r="AS224" s="473"/>
      <c r="AT224" s="473"/>
      <c r="AU224" s="473"/>
      <c r="AV224" s="473"/>
      <c r="AW224" s="473"/>
      <c r="AX224" s="473"/>
      <c r="AY224" s="473"/>
      <c r="AZ224" s="473"/>
      <c r="BA224" s="473"/>
      <c r="BB224" s="475"/>
      <c r="BC224" s="475"/>
      <c r="BD224" s="475"/>
      <c r="BE224" s="475"/>
      <c r="BF224" s="475"/>
      <c r="BG224" s="475"/>
      <c r="BH224" s="475"/>
      <c r="BI224" s="475"/>
      <c r="BJ224" s="475"/>
      <c r="BK224" s="475"/>
      <c r="BL224" s="475"/>
      <c r="BM224" s="475"/>
      <c r="BN224" s="475"/>
      <c r="BO224" s="473"/>
      <c r="BP224" s="473"/>
      <c r="BQ224" s="473"/>
      <c r="BR224" s="473"/>
      <c r="BS224" s="475"/>
      <c r="BT224" s="475"/>
      <c r="BU224" s="475"/>
      <c r="BV224" s="475"/>
      <c r="BW224" s="475"/>
      <c r="BX224" s="475"/>
      <c r="BY224" s="475"/>
      <c r="BZ224" s="475"/>
      <c r="CA224" s="475"/>
      <c r="CB224" s="475"/>
      <c r="CC224" s="475"/>
      <c r="CD224" s="475"/>
      <c r="CE224" s="475"/>
      <c r="CF224" s="475"/>
      <c r="CG224" s="475"/>
      <c r="CH224" s="475"/>
      <c r="CI224" s="475"/>
      <c r="CJ224" s="475"/>
      <c r="CK224" s="475"/>
      <c r="CL224" s="475"/>
      <c r="CM224" s="475"/>
      <c r="CN224" s="477"/>
      <c r="CO224" s="477"/>
      <c r="CP224" s="477"/>
      <c r="CQ224" s="477"/>
      <c r="CR224" s="477"/>
      <c r="CS224" s="477"/>
      <c r="CT224" s="477"/>
      <c r="CU224" s="477"/>
      <c r="CV224" s="477"/>
      <c r="CW224" s="477"/>
      <c r="CX224" s="477"/>
      <c r="CY224" s="478"/>
      <c r="CZ224" s="478"/>
      <c r="DA224" s="478"/>
      <c r="DB224" s="478"/>
      <c r="DC224" s="478"/>
      <c r="DD224" s="478"/>
      <c r="DE224" s="478"/>
      <c r="DF224" s="478"/>
      <c r="DG224" s="478"/>
      <c r="DH224" s="478"/>
      <c r="DI224" s="478"/>
      <c r="DJ224" s="478"/>
      <c r="DK224" s="478"/>
      <c r="DL224" s="478"/>
      <c r="DM224" s="478"/>
      <c r="DN224" s="478"/>
      <c r="DO224" s="478"/>
      <c r="DP224" s="478"/>
      <c r="DQ224" s="478"/>
      <c r="DR224" s="478"/>
      <c r="DS224" s="478"/>
      <c r="DT224" s="478"/>
      <c r="DU224" s="478"/>
      <c r="DV224" s="478"/>
      <c r="DW224" s="478"/>
      <c r="DX224" s="478"/>
      <c r="DY224" s="478"/>
      <c r="DZ224" s="478"/>
      <c r="EA224" s="477"/>
      <c r="EB224" s="477"/>
    </row>
    <row r="225" spans="1:132" ht="18.899999999999999" customHeight="1">
      <c r="A225" s="473"/>
      <c r="B225" s="473"/>
      <c r="C225" s="474"/>
      <c r="D225" s="474"/>
      <c r="E225" s="474"/>
      <c r="F225" s="473"/>
      <c r="G225" s="473"/>
      <c r="H225" s="475"/>
      <c r="I225" s="473"/>
      <c r="J225" s="473"/>
      <c r="K225" s="473"/>
      <c r="L225" s="473"/>
      <c r="M225" s="475"/>
      <c r="N225" s="475"/>
      <c r="O225" s="475"/>
      <c r="P225" s="475"/>
      <c r="Q225" s="475"/>
      <c r="R225" s="475"/>
      <c r="S225" s="475"/>
      <c r="T225" s="475"/>
      <c r="U225" s="475"/>
      <c r="V225" s="475"/>
      <c r="W225" s="475"/>
      <c r="X225" s="475"/>
      <c r="Y225" s="475"/>
      <c r="Z225" s="475"/>
      <c r="AA225" s="475"/>
      <c r="AB225" s="475"/>
      <c r="AC225" s="475"/>
      <c r="AD225" s="475"/>
      <c r="AE225" s="475"/>
      <c r="AF225" s="475"/>
      <c r="AG225" s="475"/>
      <c r="AH225" s="475"/>
      <c r="AI225" s="475"/>
      <c r="AJ225" s="475"/>
      <c r="AK225" s="475"/>
      <c r="AL225" s="475"/>
      <c r="AM225" s="475"/>
      <c r="AN225" s="475"/>
      <c r="AO225" s="473"/>
      <c r="AP225" s="473"/>
      <c r="AQ225" s="473"/>
      <c r="AR225" s="473"/>
      <c r="AS225" s="473"/>
      <c r="AT225" s="473"/>
      <c r="AU225" s="473"/>
      <c r="AV225" s="473"/>
      <c r="AW225" s="473"/>
      <c r="AX225" s="473"/>
      <c r="AY225" s="473"/>
      <c r="AZ225" s="473"/>
      <c r="BA225" s="473"/>
      <c r="BB225" s="475"/>
      <c r="BC225" s="475"/>
      <c r="BD225" s="475"/>
      <c r="BE225" s="475"/>
      <c r="BF225" s="475"/>
      <c r="BG225" s="475"/>
      <c r="BH225" s="475"/>
      <c r="BI225" s="475"/>
      <c r="BJ225" s="475"/>
      <c r="BK225" s="475"/>
      <c r="BL225" s="475"/>
      <c r="BM225" s="475"/>
      <c r="BN225" s="475"/>
      <c r="BO225" s="473"/>
      <c r="BP225" s="473"/>
      <c r="BQ225" s="473"/>
      <c r="BR225" s="473"/>
      <c r="BS225" s="475"/>
      <c r="BT225" s="475"/>
      <c r="BU225" s="475"/>
      <c r="BV225" s="475"/>
      <c r="BW225" s="475"/>
      <c r="BX225" s="475"/>
      <c r="BY225" s="475"/>
      <c r="BZ225" s="475"/>
      <c r="CA225" s="475"/>
      <c r="CB225" s="475"/>
      <c r="CC225" s="475"/>
      <c r="CD225" s="475"/>
      <c r="CE225" s="475"/>
      <c r="CF225" s="475"/>
      <c r="CG225" s="475"/>
      <c r="CH225" s="475"/>
      <c r="CI225" s="475"/>
      <c r="CJ225" s="475"/>
      <c r="CK225" s="475"/>
      <c r="CL225" s="475"/>
      <c r="CM225" s="475"/>
      <c r="CN225" s="477"/>
      <c r="CO225" s="477"/>
      <c r="CP225" s="477"/>
      <c r="CQ225" s="477"/>
      <c r="CR225" s="477"/>
      <c r="CS225" s="477"/>
      <c r="CT225" s="477"/>
      <c r="CU225" s="477"/>
      <c r="CV225" s="477"/>
      <c r="CW225" s="477"/>
      <c r="CX225" s="477"/>
      <c r="CY225" s="478"/>
      <c r="CZ225" s="478"/>
      <c r="DA225" s="478"/>
      <c r="DB225" s="478"/>
      <c r="DC225" s="478"/>
      <c r="DD225" s="478"/>
      <c r="DE225" s="478"/>
      <c r="DF225" s="478"/>
      <c r="DG225" s="478"/>
      <c r="DH225" s="478"/>
      <c r="DI225" s="478"/>
      <c r="DJ225" s="478"/>
      <c r="DK225" s="478"/>
      <c r="DL225" s="478"/>
      <c r="DM225" s="478"/>
      <c r="DN225" s="478"/>
      <c r="DO225" s="478"/>
      <c r="DP225" s="478"/>
      <c r="DQ225" s="478"/>
      <c r="DR225" s="478"/>
      <c r="DS225" s="478"/>
      <c r="DT225" s="478"/>
      <c r="DU225" s="478"/>
      <c r="DV225" s="478"/>
      <c r="DW225" s="478"/>
      <c r="DX225" s="478"/>
      <c r="DY225" s="478"/>
      <c r="DZ225" s="478"/>
      <c r="EA225" s="477"/>
      <c r="EB225" s="477"/>
    </row>
    <row r="226" spans="1:132" ht="18.899999999999999" customHeight="1">
      <c r="A226" s="473"/>
      <c r="B226" s="473"/>
      <c r="C226" s="474"/>
      <c r="D226" s="474"/>
      <c r="E226" s="474"/>
      <c r="F226" s="473"/>
      <c r="G226" s="473"/>
      <c r="H226" s="475"/>
      <c r="I226" s="473"/>
      <c r="J226" s="473"/>
      <c r="K226" s="473"/>
      <c r="L226" s="473"/>
      <c r="M226" s="475"/>
      <c r="N226" s="475"/>
      <c r="O226" s="475"/>
      <c r="P226" s="475"/>
      <c r="Q226" s="475"/>
      <c r="R226" s="475"/>
      <c r="S226" s="475"/>
      <c r="T226" s="475"/>
      <c r="U226" s="475"/>
      <c r="V226" s="475"/>
      <c r="W226" s="475"/>
      <c r="X226" s="475"/>
      <c r="Y226" s="475"/>
      <c r="Z226" s="475"/>
      <c r="AA226" s="475"/>
      <c r="AB226" s="475"/>
      <c r="AC226" s="475"/>
      <c r="AD226" s="475"/>
      <c r="AE226" s="475"/>
      <c r="AF226" s="475"/>
      <c r="AG226" s="475"/>
      <c r="AH226" s="475"/>
      <c r="AI226" s="475"/>
      <c r="AJ226" s="475"/>
      <c r="AK226" s="475"/>
      <c r="AL226" s="475"/>
      <c r="AM226" s="475"/>
      <c r="AN226" s="475"/>
      <c r="AO226" s="473"/>
      <c r="AP226" s="473"/>
      <c r="AQ226" s="473"/>
      <c r="AR226" s="473"/>
      <c r="AS226" s="473"/>
      <c r="AT226" s="473"/>
      <c r="AU226" s="473"/>
      <c r="AV226" s="473"/>
      <c r="AW226" s="473"/>
      <c r="AX226" s="473"/>
      <c r="AY226" s="473"/>
      <c r="AZ226" s="473"/>
      <c r="BA226" s="473"/>
      <c r="BB226" s="475"/>
      <c r="BC226" s="475"/>
      <c r="BD226" s="475"/>
      <c r="BE226" s="475"/>
      <c r="BF226" s="475"/>
      <c r="BG226" s="475"/>
      <c r="BH226" s="475"/>
      <c r="BI226" s="475"/>
      <c r="BJ226" s="475"/>
      <c r="BK226" s="475"/>
      <c r="BL226" s="475"/>
      <c r="BM226" s="475"/>
      <c r="BN226" s="475"/>
      <c r="BO226" s="473"/>
      <c r="BP226" s="473"/>
      <c r="BQ226" s="473"/>
      <c r="BR226" s="473"/>
      <c r="BS226" s="475"/>
      <c r="BT226" s="475"/>
      <c r="BU226" s="475"/>
      <c r="BV226" s="475"/>
      <c r="BW226" s="475"/>
      <c r="BX226" s="475"/>
      <c r="BY226" s="475"/>
      <c r="BZ226" s="475"/>
      <c r="CA226" s="475"/>
      <c r="CB226" s="475"/>
      <c r="CC226" s="475"/>
      <c r="CD226" s="475"/>
      <c r="CE226" s="475"/>
      <c r="CF226" s="475"/>
      <c r="CG226" s="475"/>
      <c r="CH226" s="475"/>
      <c r="CI226" s="475"/>
      <c r="CJ226" s="475"/>
      <c r="CK226" s="475"/>
      <c r="CL226" s="475"/>
      <c r="CM226" s="475"/>
      <c r="CN226" s="477"/>
      <c r="CO226" s="477"/>
      <c r="CP226" s="477"/>
      <c r="CQ226" s="477"/>
      <c r="CR226" s="477"/>
      <c r="CS226" s="477"/>
      <c r="CT226" s="477"/>
      <c r="CU226" s="477"/>
      <c r="CV226" s="477"/>
      <c r="CW226" s="477"/>
      <c r="CX226" s="477"/>
      <c r="CY226" s="478"/>
      <c r="CZ226" s="478"/>
      <c r="DA226" s="478"/>
      <c r="DB226" s="478"/>
      <c r="DC226" s="478"/>
      <c r="DD226" s="478"/>
      <c r="DE226" s="478"/>
      <c r="DF226" s="478"/>
      <c r="DG226" s="478"/>
      <c r="DH226" s="478"/>
      <c r="DI226" s="478"/>
      <c r="DJ226" s="478"/>
      <c r="DK226" s="478"/>
      <c r="DL226" s="478"/>
      <c r="DM226" s="478"/>
      <c r="DN226" s="478"/>
      <c r="DO226" s="478"/>
      <c r="DP226" s="478"/>
      <c r="DQ226" s="478"/>
      <c r="DR226" s="478"/>
      <c r="DS226" s="478"/>
      <c r="DT226" s="478"/>
      <c r="DU226" s="478"/>
      <c r="DV226" s="478"/>
      <c r="DW226" s="478"/>
      <c r="DX226" s="478"/>
      <c r="DY226" s="478"/>
      <c r="DZ226" s="478"/>
      <c r="EA226" s="477"/>
      <c r="EB226" s="477"/>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14" customWidth="1"/>
    <col min="2" max="2" width="5.08984375" style="1614" customWidth="1"/>
    <col min="3" max="3" width="6.90625" style="1614" hidden="1" customWidth="1"/>
    <col min="4" max="4" width="6" style="1614" customWidth="1"/>
    <col min="5" max="6" width="3.90625" style="1614" hidden="1" customWidth="1"/>
    <col min="7" max="7" width="4.6328125" style="1615" hidden="1" customWidth="1"/>
    <col min="8" max="8" width="5.6328125" style="1614" customWidth="1"/>
    <col min="9" max="9" width="4.81640625" style="1614" hidden="1" customWidth="1"/>
    <col min="10" max="10" width="4.81640625" style="1614" customWidth="1"/>
    <col min="11" max="11" width="4.81640625" style="1614" hidden="1" customWidth="1"/>
    <col min="12" max="12" width="4.81640625" style="1614" customWidth="1"/>
    <col min="13" max="18" width="4.81640625" style="1614" hidden="1" customWidth="1"/>
    <col min="19" max="19" width="5.54296875" style="1614" customWidth="1"/>
    <col min="20" max="20" width="5.1796875" style="1614" hidden="1" customWidth="1"/>
    <col min="21" max="21" width="4.81640625" style="1614" hidden="1" customWidth="1"/>
    <col min="22" max="22" width="6.6328125" style="1614" hidden="1" customWidth="1"/>
    <col min="23" max="23" width="4.81640625" style="1614" customWidth="1"/>
    <col min="24" max="39" width="4.81640625" style="1614" hidden="1" customWidth="1"/>
    <col min="40" max="41" width="4.81640625" style="1614" customWidth="1"/>
    <col min="42" max="42" width="5.453125" style="1614" hidden="1" customWidth="1"/>
    <col min="43" max="43" width="8.81640625" style="1614" hidden="1" customWidth="1"/>
    <col min="44" max="44" width="5.1796875" style="1614" hidden="1" customWidth="1"/>
    <col min="45" max="47" width="8.81640625" style="1614" hidden="1" customWidth="1"/>
    <col min="48" max="48" width="4.81640625" style="1614" hidden="1" customWidth="1"/>
    <col min="49" max="50" width="4.81640625" style="1614" customWidth="1"/>
    <col min="51" max="54" width="4.81640625" style="1614" hidden="1" customWidth="1"/>
    <col min="55" max="57" width="4.81640625" style="1616" hidden="1" customWidth="1"/>
    <col min="58" max="65" width="4.81640625" style="1614" hidden="1" customWidth="1"/>
    <col min="66" max="66" width="6.81640625" style="1614" hidden="1" customWidth="1"/>
    <col min="67" max="71" width="4.81640625" style="1614" hidden="1" customWidth="1"/>
    <col min="72" max="72" width="3.90625" style="1614" hidden="1" customWidth="1"/>
    <col min="73" max="81" width="4.81640625" style="1614" customWidth="1"/>
    <col min="82" max="101" width="4.36328125" style="1614" hidden="1" customWidth="1"/>
    <col min="102" max="102" width="7.81640625" style="1617" customWidth="1"/>
    <col min="103" max="16384" width="8.90625" style="1614"/>
  </cols>
  <sheetData>
    <row r="1" spans="1:262" s="2145" customFormat="1" ht="81" customHeight="1" outlineLevel="1">
      <c r="B1" s="2145" t="s">
        <v>4755</v>
      </c>
      <c r="C1" s="1614"/>
      <c r="D1" s="2145" t="str">
        <f>IF(D9&lt;&gt;0,D9,D8)</f>
        <v>Cộng dồn ACXV50+AC50</v>
      </c>
      <c r="E1" s="1614" t="str">
        <f t="shared" ref="E1:BQ1" si="0">IF(E9&lt;&gt;0,E9,E8)</f>
        <v>Khoảng néo</v>
      </c>
      <c r="F1" s="1614" t="str">
        <f t="shared" si="0"/>
        <v>Hướng</v>
      </c>
      <c r="G1" s="1614" t="str">
        <f t="shared" si="0"/>
        <v>Góc</v>
      </c>
      <c r="H1" s="2145" t="str">
        <f t="shared" si="0"/>
        <v>Hình thức trụ</v>
      </c>
      <c r="I1" s="1614" t="str">
        <f t="shared" si="0"/>
        <v>BTLT 10.5</v>
      </c>
      <c r="J1" s="2145" t="str">
        <f t="shared" si="0"/>
        <v>BTLT 12 HH</v>
      </c>
      <c r="K1" s="1614" t="str">
        <f t="shared" si="0"/>
        <v>BTLT 12 TĐ</v>
      </c>
      <c r="L1" s="2145" t="str">
        <f t="shared" si="0"/>
        <v>BTLT 12</v>
      </c>
      <c r="M1" s="1614" t="str">
        <f t="shared" si="0"/>
        <v>BTLT 14</v>
      </c>
      <c r="N1" s="1614" t="str">
        <f t="shared" si="0"/>
        <v>M10a</v>
      </c>
      <c r="O1" s="1614" t="str">
        <f t="shared" si="0"/>
        <v>M10b</v>
      </c>
      <c r="P1" s="1614" t="str">
        <f t="shared" si="0"/>
        <v>M10aa</v>
      </c>
      <c r="Q1" s="1614" t="str">
        <f t="shared" si="0"/>
        <v>M10ba</v>
      </c>
      <c r="R1" s="1614" t="str">
        <f t="shared" si="0"/>
        <v>M10bb</v>
      </c>
      <c r="S1" s="2145" t="str">
        <f t="shared" si="0"/>
        <v>M12</v>
      </c>
      <c r="T1" s="1614" t="str">
        <f t="shared" si="0"/>
        <v>M10-2b</v>
      </c>
      <c r="U1" s="1614" t="str">
        <f t="shared" si="0"/>
        <v>M12a</v>
      </c>
      <c r="V1" s="1614" t="str">
        <f t="shared" si="0"/>
        <v>M12BT ĐƠN</v>
      </c>
      <c r="W1" s="2145" t="str">
        <f t="shared" si="0"/>
        <v>M12BT ĐÔI</v>
      </c>
      <c r="X1" s="1614" t="str">
        <f t="shared" si="0"/>
        <v>M12b</v>
      </c>
      <c r="Y1" s="1614" t="str">
        <f t="shared" si="0"/>
        <v>M12aa</v>
      </c>
      <c r="Z1" s="1614" t="str">
        <f t="shared" si="0"/>
        <v>M12ba</v>
      </c>
      <c r="AA1" s="1614" t="str">
        <f t="shared" si="0"/>
        <v>M12bb</v>
      </c>
      <c r="AB1" s="1614" t="str">
        <f t="shared" si="0"/>
        <v>M12-2a</v>
      </c>
      <c r="AC1" s="1614" t="str">
        <f t="shared" si="0"/>
        <v>M12-2b</v>
      </c>
      <c r="AD1" s="1614" t="str">
        <f t="shared" si="0"/>
        <v>M14a</v>
      </c>
      <c r="AE1" s="1614" t="str">
        <f t="shared" si="0"/>
        <v>M14b</v>
      </c>
      <c r="AF1" s="1614" t="str">
        <f t="shared" si="0"/>
        <v>M14aa</v>
      </c>
      <c r="AG1" s="1614" t="str">
        <f t="shared" si="0"/>
        <v>M14ba</v>
      </c>
      <c r="AH1" s="1614" t="str">
        <f t="shared" si="0"/>
        <v>M14bb</v>
      </c>
      <c r="AI1" s="1614" t="str">
        <f t="shared" si="0"/>
        <v>M14-2a</v>
      </c>
      <c r="AJ1" s="1614" t="str">
        <f t="shared" si="0"/>
        <v>M14-2b</v>
      </c>
      <c r="AK1" s="1614" t="str">
        <f t="shared" si="0"/>
        <v>CX10-B</v>
      </c>
      <c r="AL1" s="1614" t="str">
        <f t="shared" si="0"/>
        <v>CL10-B</v>
      </c>
      <c r="AM1" s="1614" t="str">
        <f t="shared" si="0"/>
        <v>CXX10-B</v>
      </c>
      <c r="AN1" s="2145" t="str">
        <f t="shared" si="0"/>
        <v>CX12-B</v>
      </c>
      <c r="AO1" s="2145" t="str">
        <f t="shared" si="0"/>
        <v>CL12-B</v>
      </c>
      <c r="AP1" s="1614" t="str">
        <f t="shared" si="0"/>
        <v>CXX12-B</v>
      </c>
      <c r="AQ1" s="1614" t="str">
        <f t="shared" si="0"/>
        <v>CX14-B</v>
      </c>
      <c r="AR1" s="1614" t="str">
        <f t="shared" si="0"/>
        <v>CL14-B</v>
      </c>
      <c r="AS1" s="1614" t="str">
        <f t="shared" si="0"/>
        <v>CXX14-B</v>
      </c>
      <c r="AT1" s="1614" t="str">
        <f t="shared" si="0"/>
        <v>CK-B</v>
      </c>
      <c r="AU1" s="1614" t="str">
        <f t="shared" si="0"/>
        <v>CKK-B</v>
      </c>
      <c r="AV1" s="1614" t="str">
        <f t="shared" si="0"/>
        <v>Khoảng cách</v>
      </c>
      <c r="AW1" s="2145" t="str">
        <f t="shared" si="0"/>
        <v>NXX</v>
      </c>
      <c r="AX1" s="2145" t="str">
        <f t="shared" si="0"/>
        <v>NXL</v>
      </c>
      <c r="AY1" s="1614" t="str">
        <f t="shared" si="0"/>
        <v xml:space="preserve">MNX12-2 </v>
      </c>
      <c r="AZ1" s="1614" t="str">
        <f t="shared" si="0"/>
        <v>MNL12-2</v>
      </c>
      <c r="BA1" s="1614" t="str">
        <f t="shared" si="0"/>
        <v xml:space="preserve">MNX12-4 </v>
      </c>
      <c r="BB1" s="1614" t="str">
        <f t="shared" si="0"/>
        <v xml:space="preserve">MNL12-4 </v>
      </c>
      <c r="BC1" s="1614" t="str">
        <f t="shared" si="0"/>
        <v>Tiếp địa lặp lại (trụ 10.5m)</v>
      </c>
      <c r="BD1" s="2145" t="s">
        <v>1640</v>
      </c>
      <c r="BE1" s="1614" t="str">
        <f t="shared" si="0"/>
        <v>Tiếp địa lặp lại (trụ 14m)</v>
      </c>
      <c r="BF1" s="1614" t="str">
        <f t="shared" si="0"/>
        <v>X-20Đ</v>
      </c>
      <c r="BG1" s="1614" t="str">
        <f t="shared" si="0"/>
        <v>X-20K</v>
      </c>
      <c r="BH1" s="1614" t="str">
        <f t="shared" si="0"/>
        <v>X-24Đ</v>
      </c>
      <c r="BI1" s="1614" t="str">
        <f t="shared" si="0"/>
        <v>X-24K</v>
      </c>
      <c r="BJ1" s="1614" t="str">
        <f t="shared" si="0"/>
        <v>X-20ĐL2/3</v>
      </c>
      <c r="BK1" s="1614" t="str">
        <f t="shared" si="0"/>
        <v>X-20KL2/3</v>
      </c>
      <c r="BL1" s="1614" t="str">
        <f t="shared" si="0"/>
        <v>X-8ĐL</v>
      </c>
      <c r="BM1" s="2037" t="s">
        <v>4741</v>
      </c>
      <c r="BN1" s="1614" t="str">
        <f t="shared" si="0"/>
        <v>X-8KL</v>
      </c>
      <c r="BO1" s="2145" t="str">
        <f t="shared" si="0"/>
        <v>Bộ sứ đỉnh đỡ thẳng SĐI</v>
      </c>
      <c r="BP1" s="2145" t="str">
        <f t="shared" si="0"/>
        <v>Bộ sứ đỉnh đỡ góc SĐG</v>
      </c>
      <c r="BQ1" s="1614" t="str">
        <f t="shared" si="0"/>
        <v>Bộ sứ đỉnh đỡ thẳng SĐI sử dụng lại</v>
      </c>
      <c r="BR1" s="1614" t="str">
        <f t="shared" ref="BR1:CX1" si="1">IF(BR9&lt;&gt;0,BR9,BR8)</f>
        <v>Bộ sứ đỉnh đỡ góc SĐG sử dụng lại</v>
      </c>
      <c r="BS1" s="1614" t="str">
        <f t="shared" si="1"/>
        <v>Bộ sứ đứng SĐU</v>
      </c>
      <c r="BT1" s="1614" t="str">
        <f t="shared" si="1"/>
        <v>Chuỗi sứ treo polyme bắt vào xà</v>
      </c>
      <c r="BU1" s="2145" t="str">
        <f t="shared" si="1"/>
        <v>Chuỗi sứ treo polyme bắt vào trụ</v>
      </c>
      <c r="BV1" s="2145" t="str">
        <f t="shared" si="1"/>
        <v xml:space="preserve"> Chuỗi treo 2 bát lắp vào trụ</v>
      </c>
      <c r="BW1" s="2145" t="str">
        <f t="shared" si="1"/>
        <v xml:space="preserve"> Chuỗi đỡ 2 bát lắp vào trụ - CĐT</v>
      </c>
      <c r="BX1" s="2145" t="str">
        <f t="shared" si="1"/>
        <v>Bộ đỡ dây T.H : Đth-U</v>
      </c>
      <c r="BY1" s="2145" t="str">
        <f t="shared" si="1"/>
        <v>Bộ néo dây T.H : Nth-U</v>
      </c>
      <c r="BZ1" s="2145" t="str">
        <f t="shared" si="1"/>
        <v>Bộ khóa néo TH : Nth-T</v>
      </c>
      <c r="CA1" s="2145" t="s">
        <v>1482</v>
      </c>
      <c r="CB1" s="2145" t="s">
        <v>1480</v>
      </c>
      <c r="CC1" s="2145" t="str">
        <f t="shared" si="1"/>
        <v>Kẹp ép WR cỡ dây 50mm2</v>
      </c>
      <c r="CD1" s="2145" t="str">
        <f t="shared" si="1"/>
        <v>Kẹp ép WR cỡ dây 70mm2</v>
      </c>
      <c r="CE1" s="2145" t="str">
        <f t="shared" si="1"/>
        <v>Kẹp ép WR cỡ dây 95mm2</v>
      </c>
      <c r="CF1" s="2145" t="str">
        <f t="shared" si="1"/>
        <v>Kẹp ép WR cỡ dây 120mm2</v>
      </c>
      <c r="CG1" s="2145" t="str">
        <f t="shared" si="1"/>
        <v>Kẹp ép WR cỡ dây 150mm2</v>
      </c>
      <c r="CH1" s="2145" t="str">
        <f t="shared" si="1"/>
        <v>Kẹp ép WR cỡ dây 185mm2</v>
      </c>
      <c r="CI1" s="2145" t="str">
        <f t="shared" si="1"/>
        <v>Kẹp ép WR cỡ dây 240mm2</v>
      </c>
      <c r="CJ1" s="2145" t="str">
        <f t="shared" si="1"/>
        <v>Đầu cốt ép cỡ dây 70mm2</v>
      </c>
      <c r="CK1" s="2145" t="str">
        <f t="shared" si="1"/>
        <v>Đầu cốt ép cỡ dây 95mm2</v>
      </c>
      <c r="CL1" s="2145" t="str">
        <f t="shared" si="1"/>
        <v>Đầu cốt ép cỡ dây 120mm2</v>
      </c>
      <c r="CM1" s="2145" t="str">
        <f t="shared" si="1"/>
        <v>Đầu cốt ép cỡ dây 150mm2</v>
      </c>
      <c r="CN1" s="2145" t="str">
        <f t="shared" si="1"/>
        <v>Đầu cốt ép cỡ dây 185mm2</v>
      </c>
      <c r="CO1" s="2145" t="str">
        <f t="shared" si="1"/>
        <v>Đầu cốt ép cỡ dây 240mm2</v>
      </c>
      <c r="CP1" s="2145" t="str">
        <f t="shared" si="1"/>
        <v>Dây buộc đầu sứ</v>
      </c>
      <c r="CQ1" s="2145" t="str">
        <f t="shared" si="1"/>
        <v>Giá T lắp FCO sử dụng lại</v>
      </c>
      <c r="CR1" s="2145" t="s">
        <v>1655</v>
      </c>
      <c r="CS1" s="2145" t="s">
        <v>382</v>
      </c>
      <c r="CT1" s="2145" t="str">
        <f t="shared" si="1"/>
        <v>chi8K</v>
      </c>
      <c r="CU1" s="2145" t="str">
        <f t="shared" si="1"/>
        <v>chi10K</v>
      </c>
      <c r="CV1" s="2145" t="str">
        <f t="shared" si="1"/>
        <v>chi12K</v>
      </c>
      <c r="CW1" s="2145" t="str">
        <f t="shared" si="1"/>
        <v>Vị trí vượt đường</v>
      </c>
      <c r="CX1" s="2145" t="str">
        <f t="shared" si="1"/>
        <v>GHI CHÚ</v>
      </c>
      <c r="CY1" s="2146" t="s">
        <v>382</v>
      </c>
    </row>
    <row r="2" spans="1:262" ht="18.899999999999999" customHeight="1" outlineLevel="1">
      <c r="A2" s="1614" t="s">
        <v>4404</v>
      </c>
      <c r="C2" s="1976">
        <f>SUM(C11:C93)</f>
        <v>0</v>
      </c>
      <c r="D2" s="1976">
        <f t="shared" ref="D2:BP2" si="2">SUM(D11:D93)</f>
        <v>0</v>
      </c>
      <c r="E2" s="1976">
        <f t="shared" si="2"/>
        <v>0</v>
      </c>
      <c r="F2" s="1976">
        <f t="shared" si="2"/>
        <v>0</v>
      </c>
      <c r="G2" s="1976">
        <f t="shared" si="2"/>
        <v>0</v>
      </c>
      <c r="H2" s="1976">
        <f t="shared" si="2"/>
        <v>0</v>
      </c>
      <c r="I2" s="1976">
        <f t="shared" si="2"/>
        <v>0</v>
      </c>
      <c r="J2" s="1976">
        <f t="shared" si="2"/>
        <v>0</v>
      </c>
      <c r="K2" s="1976">
        <f t="shared" si="2"/>
        <v>0</v>
      </c>
      <c r="L2" s="1976">
        <f t="shared" si="2"/>
        <v>0</v>
      </c>
      <c r="M2" s="1976">
        <f t="shared" si="2"/>
        <v>0</v>
      </c>
      <c r="N2" s="1976">
        <f t="shared" si="2"/>
        <v>0</v>
      </c>
      <c r="O2" s="1976">
        <f t="shared" si="2"/>
        <v>0</v>
      </c>
      <c r="P2" s="1976">
        <f t="shared" si="2"/>
        <v>0</v>
      </c>
      <c r="Q2" s="1976">
        <f t="shared" si="2"/>
        <v>0</v>
      </c>
      <c r="R2" s="1976">
        <f t="shared" si="2"/>
        <v>0</v>
      </c>
      <c r="S2" s="1976">
        <f t="shared" si="2"/>
        <v>0</v>
      </c>
      <c r="T2" s="1976">
        <f t="shared" si="2"/>
        <v>0</v>
      </c>
      <c r="U2" s="1976">
        <f t="shared" si="2"/>
        <v>0</v>
      </c>
      <c r="V2" s="1976">
        <f t="shared" si="2"/>
        <v>0</v>
      </c>
      <c r="W2" s="1976">
        <f t="shared" si="2"/>
        <v>0</v>
      </c>
      <c r="X2" s="1976">
        <f t="shared" si="2"/>
        <v>0</v>
      </c>
      <c r="Y2" s="1976">
        <f t="shared" si="2"/>
        <v>0</v>
      </c>
      <c r="Z2" s="1976">
        <f t="shared" si="2"/>
        <v>0</v>
      </c>
      <c r="AA2" s="1976">
        <f t="shared" si="2"/>
        <v>0</v>
      </c>
      <c r="AB2" s="1976">
        <f t="shared" si="2"/>
        <v>0</v>
      </c>
      <c r="AC2" s="1976">
        <f t="shared" si="2"/>
        <v>0</v>
      </c>
      <c r="AD2" s="1976">
        <f t="shared" si="2"/>
        <v>0</v>
      </c>
      <c r="AE2" s="1976">
        <f t="shared" si="2"/>
        <v>0</v>
      </c>
      <c r="AF2" s="1976">
        <f t="shared" si="2"/>
        <v>0</v>
      </c>
      <c r="AG2" s="1976">
        <f t="shared" si="2"/>
        <v>0</v>
      </c>
      <c r="AH2" s="1976">
        <f t="shared" si="2"/>
        <v>0</v>
      </c>
      <c r="AI2" s="1976">
        <f t="shared" si="2"/>
        <v>0</v>
      </c>
      <c r="AJ2" s="1976">
        <f t="shared" si="2"/>
        <v>0</v>
      </c>
      <c r="AK2" s="1976">
        <f t="shared" si="2"/>
        <v>0</v>
      </c>
      <c r="AL2" s="1976">
        <f t="shared" si="2"/>
        <v>0</v>
      </c>
      <c r="AM2" s="1976">
        <f t="shared" si="2"/>
        <v>0</v>
      </c>
      <c r="AN2" s="1976">
        <f t="shared" si="2"/>
        <v>0</v>
      </c>
      <c r="AO2" s="1976">
        <f t="shared" si="2"/>
        <v>0</v>
      </c>
      <c r="AP2" s="1976">
        <f t="shared" si="2"/>
        <v>0</v>
      </c>
      <c r="AQ2" s="1976">
        <f t="shared" si="2"/>
        <v>0</v>
      </c>
      <c r="AR2" s="1976">
        <f t="shared" si="2"/>
        <v>0</v>
      </c>
      <c r="AS2" s="1976">
        <f t="shared" si="2"/>
        <v>0</v>
      </c>
      <c r="AT2" s="1976">
        <f t="shared" si="2"/>
        <v>0</v>
      </c>
      <c r="AU2" s="1976">
        <f t="shared" si="2"/>
        <v>0</v>
      </c>
      <c r="AV2" s="1976">
        <f t="shared" si="2"/>
        <v>0</v>
      </c>
      <c r="AW2" s="1976">
        <f t="shared" si="2"/>
        <v>0</v>
      </c>
      <c r="AX2" s="1976">
        <f t="shared" si="2"/>
        <v>0</v>
      </c>
      <c r="AY2" s="1976">
        <f t="shared" si="2"/>
        <v>0</v>
      </c>
      <c r="AZ2" s="1976">
        <f t="shared" si="2"/>
        <v>0</v>
      </c>
      <c r="BA2" s="1976">
        <f t="shared" si="2"/>
        <v>0</v>
      </c>
      <c r="BB2" s="1976">
        <f t="shared" si="2"/>
        <v>0</v>
      </c>
      <c r="BC2" s="1976">
        <f t="shared" si="2"/>
        <v>0</v>
      </c>
      <c r="BD2" s="1976">
        <f t="shared" si="2"/>
        <v>0</v>
      </c>
      <c r="BE2" s="1976">
        <f t="shared" si="2"/>
        <v>0</v>
      </c>
      <c r="BF2" s="1976">
        <f t="shared" si="2"/>
        <v>0</v>
      </c>
      <c r="BG2" s="1976">
        <f t="shared" si="2"/>
        <v>0</v>
      </c>
      <c r="BH2" s="1976">
        <f t="shared" si="2"/>
        <v>0</v>
      </c>
      <c r="BI2" s="1976">
        <f t="shared" si="2"/>
        <v>0</v>
      </c>
      <c r="BJ2" s="1976">
        <f t="shared" si="2"/>
        <v>0</v>
      </c>
      <c r="BK2" s="1976">
        <f t="shared" si="2"/>
        <v>0</v>
      </c>
      <c r="BL2" s="1976">
        <f t="shared" si="2"/>
        <v>0</v>
      </c>
      <c r="BM2" s="1976">
        <f t="shared" si="2"/>
        <v>0</v>
      </c>
      <c r="BN2" s="1976">
        <f t="shared" si="2"/>
        <v>0</v>
      </c>
      <c r="BO2" s="1976">
        <f t="shared" si="2"/>
        <v>0</v>
      </c>
      <c r="BP2" s="1976">
        <f t="shared" si="2"/>
        <v>0</v>
      </c>
      <c r="BQ2" s="1976">
        <f t="shared" ref="BQ2:CX2" si="3">SUM(BQ11:BQ93)</f>
        <v>0</v>
      </c>
      <c r="BR2" s="1976">
        <f t="shared" si="3"/>
        <v>0</v>
      </c>
      <c r="BS2" s="1976">
        <f t="shared" si="3"/>
        <v>0</v>
      </c>
      <c r="BT2" s="1976">
        <f t="shared" si="3"/>
        <v>0</v>
      </c>
      <c r="BU2" s="1976">
        <f t="shared" si="3"/>
        <v>0</v>
      </c>
      <c r="BV2" s="1976">
        <f t="shared" si="3"/>
        <v>0</v>
      </c>
      <c r="BW2" s="1976">
        <f t="shared" si="3"/>
        <v>0</v>
      </c>
      <c r="BX2" s="1976">
        <f t="shared" si="3"/>
        <v>0</v>
      </c>
      <c r="BY2" s="1976">
        <f t="shared" si="3"/>
        <v>0</v>
      </c>
      <c r="BZ2" s="1976">
        <f t="shared" si="3"/>
        <v>0</v>
      </c>
      <c r="CA2" s="1976">
        <f t="shared" si="3"/>
        <v>0</v>
      </c>
      <c r="CB2" s="1976">
        <f t="shared" ref="CB2:CF2" si="4">SUM(CB11:CB93)</f>
        <v>0</v>
      </c>
      <c r="CC2" s="1976">
        <f t="shared" si="4"/>
        <v>0</v>
      </c>
      <c r="CD2" s="1976">
        <f t="shared" si="4"/>
        <v>0</v>
      </c>
      <c r="CE2" s="1976">
        <f t="shared" si="4"/>
        <v>0</v>
      </c>
      <c r="CF2" s="1976">
        <f t="shared" si="4"/>
        <v>0</v>
      </c>
      <c r="CG2" s="1976">
        <f t="shared" si="3"/>
        <v>0</v>
      </c>
      <c r="CH2" s="1976">
        <f t="shared" si="3"/>
        <v>0</v>
      </c>
      <c r="CI2" s="1976">
        <f t="shared" si="3"/>
        <v>0</v>
      </c>
      <c r="CJ2" s="1976">
        <f t="shared" si="3"/>
        <v>0</v>
      </c>
      <c r="CK2" s="1976">
        <f t="shared" si="3"/>
        <v>0</v>
      </c>
      <c r="CL2" s="1976">
        <f t="shared" si="3"/>
        <v>0</v>
      </c>
      <c r="CM2" s="1976">
        <f t="shared" si="3"/>
        <v>0</v>
      </c>
      <c r="CN2" s="1976">
        <f t="shared" si="3"/>
        <v>0</v>
      </c>
      <c r="CO2" s="1976">
        <f t="shared" si="3"/>
        <v>0</v>
      </c>
      <c r="CP2" s="1976">
        <f t="shared" si="3"/>
        <v>0</v>
      </c>
      <c r="CQ2" s="1976">
        <f t="shared" si="3"/>
        <v>0</v>
      </c>
      <c r="CR2" s="1976">
        <f t="shared" si="3"/>
        <v>0</v>
      </c>
      <c r="CS2" s="1976">
        <f t="shared" si="3"/>
        <v>0</v>
      </c>
      <c r="CT2" s="1976">
        <f t="shared" si="3"/>
        <v>0</v>
      </c>
      <c r="CU2" s="1976">
        <f t="shared" si="3"/>
        <v>0</v>
      </c>
      <c r="CV2" s="1976">
        <f t="shared" si="3"/>
        <v>0</v>
      </c>
      <c r="CW2" s="1976">
        <f t="shared" si="3"/>
        <v>0</v>
      </c>
      <c r="CX2" s="1976">
        <f t="shared" si="3"/>
        <v>0</v>
      </c>
    </row>
    <row r="3" spans="1:262" ht="18.899999999999999" customHeight="1" outlineLevel="1">
      <c r="A3" s="1614" t="s">
        <v>4197</v>
      </c>
      <c r="B3" s="1976">
        <f>SUM(B11:B93)</f>
        <v>0</v>
      </c>
      <c r="C3" s="1614">
        <v>0</v>
      </c>
      <c r="D3" s="1976">
        <f>SUM(D11:D93)</f>
        <v>0</v>
      </c>
      <c r="E3" s="1976">
        <f t="shared" ref="E3:BP3" si="5">SUM(E11:E93)</f>
        <v>0</v>
      </c>
      <c r="F3" s="1976">
        <f t="shared" si="5"/>
        <v>0</v>
      </c>
      <c r="G3" s="1976">
        <f t="shared" si="5"/>
        <v>0</v>
      </c>
      <c r="H3" s="1976">
        <f t="shared" si="5"/>
        <v>0</v>
      </c>
      <c r="I3" s="1976">
        <f t="shared" si="5"/>
        <v>0</v>
      </c>
      <c r="J3" s="1976">
        <f t="shared" si="5"/>
        <v>0</v>
      </c>
      <c r="K3" s="1976">
        <f t="shared" si="5"/>
        <v>0</v>
      </c>
      <c r="L3" s="1976">
        <f t="shared" si="5"/>
        <v>0</v>
      </c>
      <c r="M3" s="1976">
        <f t="shared" si="5"/>
        <v>0</v>
      </c>
      <c r="N3" s="1976">
        <f t="shared" si="5"/>
        <v>0</v>
      </c>
      <c r="O3" s="1976">
        <f t="shared" si="5"/>
        <v>0</v>
      </c>
      <c r="P3" s="1976">
        <f t="shared" si="5"/>
        <v>0</v>
      </c>
      <c r="Q3" s="1976">
        <f t="shared" si="5"/>
        <v>0</v>
      </c>
      <c r="R3" s="1976">
        <f t="shared" si="5"/>
        <v>0</v>
      </c>
      <c r="S3" s="1976">
        <f t="shared" si="5"/>
        <v>0</v>
      </c>
      <c r="T3" s="1976">
        <f t="shared" si="5"/>
        <v>0</v>
      </c>
      <c r="U3" s="1976">
        <f t="shared" si="5"/>
        <v>0</v>
      </c>
      <c r="V3" s="1976">
        <f t="shared" si="5"/>
        <v>0</v>
      </c>
      <c r="W3" s="1976">
        <f t="shared" si="5"/>
        <v>0</v>
      </c>
      <c r="X3" s="1976">
        <f t="shared" si="5"/>
        <v>0</v>
      </c>
      <c r="Y3" s="1976">
        <f t="shared" si="5"/>
        <v>0</v>
      </c>
      <c r="Z3" s="1976">
        <f t="shared" si="5"/>
        <v>0</v>
      </c>
      <c r="AA3" s="1976">
        <f t="shared" si="5"/>
        <v>0</v>
      </c>
      <c r="AB3" s="1976">
        <f t="shared" si="5"/>
        <v>0</v>
      </c>
      <c r="AC3" s="1976">
        <f t="shared" si="5"/>
        <v>0</v>
      </c>
      <c r="AD3" s="1976">
        <f t="shared" si="5"/>
        <v>0</v>
      </c>
      <c r="AE3" s="1976">
        <f t="shared" si="5"/>
        <v>0</v>
      </c>
      <c r="AF3" s="1976">
        <f t="shared" si="5"/>
        <v>0</v>
      </c>
      <c r="AG3" s="1976">
        <f t="shared" si="5"/>
        <v>0</v>
      </c>
      <c r="AH3" s="1976">
        <f t="shared" si="5"/>
        <v>0</v>
      </c>
      <c r="AI3" s="1976">
        <f t="shared" si="5"/>
        <v>0</v>
      </c>
      <c r="AJ3" s="1976">
        <f t="shared" si="5"/>
        <v>0</v>
      </c>
      <c r="AK3" s="1976">
        <f t="shared" si="5"/>
        <v>0</v>
      </c>
      <c r="AL3" s="1976">
        <f t="shared" si="5"/>
        <v>0</v>
      </c>
      <c r="AM3" s="1976">
        <f t="shared" si="5"/>
        <v>0</v>
      </c>
      <c r="AN3" s="1976">
        <f t="shared" si="5"/>
        <v>0</v>
      </c>
      <c r="AO3" s="1976">
        <f t="shared" si="5"/>
        <v>0</v>
      </c>
      <c r="AP3" s="1976">
        <f t="shared" si="5"/>
        <v>0</v>
      </c>
      <c r="AQ3" s="1976">
        <f t="shared" si="5"/>
        <v>0</v>
      </c>
      <c r="AR3" s="1976">
        <f t="shared" si="5"/>
        <v>0</v>
      </c>
      <c r="AS3" s="1976">
        <f t="shared" si="5"/>
        <v>0</v>
      </c>
      <c r="AT3" s="1976">
        <f t="shared" si="5"/>
        <v>0</v>
      </c>
      <c r="AU3" s="1976">
        <f t="shared" si="5"/>
        <v>0</v>
      </c>
      <c r="AV3" s="1976">
        <f t="shared" si="5"/>
        <v>0</v>
      </c>
      <c r="AW3" s="1976">
        <f t="shared" si="5"/>
        <v>0</v>
      </c>
      <c r="AX3" s="1976">
        <f t="shared" si="5"/>
        <v>0</v>
      </c>
      <c r="AY3" s="1976">
        <f t="shared" si="5"/>
        <v>0</v>
      </c>
      <c r="AZ3" s="1976">
        <f t="shared" si="5"/>
        <v>0</v>
      </c>
      <c r="BA3" s="1976">
        <f t="shared" si="5"/>
        <v>0</v>
      </c>
      <c r="BB3" s="1976">
        <f t="shared" si="5"/>
        <v>0</v>
      </c>
      <c r="BC3" s="1976">
        <f t="shared" si="5"/>
        <v>0</v>
      </c>
      <c r="BD3" s="1976">
        <f t="shared" si="5"/>
        <v>0</v>
      </c>
      <c r="BE3" s="1976">
        <f t="shared" si="5"/>
        <v>0</v>
      </c>
      <c r="BF3" s="1976">
        <f t="shared" si="5"/>
        <v>0</v>
      </c>
      <c r="BG3" s="1976">
        <f t="shared" si="5"/>
        <v>0</v>
      </c>
      <c r="BH3" s="1976">
        <f t="shared" si="5"/>
        <v>0</v>
      </c>
      <c r="BI3" s="1976">
        <f t="shared" si="5"/>
        <v>0</v>
      </c>
      <c r="BJ3" s="1976">
        <f t="shared" si="5"/>
        <v>0</v>
      </c>
      <c r="BK3" s="1976">
        <f t="shared" si="5"/>
        <v>0</v>
      </c>
      <c r="BL3" s="1976">
        <f t="shared" si="5"/>
        <v>0</v>
      </c>
      <c r="BM3" s="1976">
        <f t="shared" si="5"/>
        <v>0</v>
      </c>
      <c r="BN3" s="1976">
        <f t="shared" si="5"/>
        <v>0</v>
      </c>
      <c r="BO3" s="1976">
        <f t="shared" si="5"/>
        <v>0</v>
      </c>
      <c r="BP3" s="1976">
        <f t="shared" si="5"/>
        <v>0</v>
      </c>
      <c r="BQ3" s="1976">
        <f t="shared" ref="BQ3:CX3" si="6">SUM(BQ11:BQ93)</f>
        <v>0</v>
      </c>
      <c r="BR3" s="1976">
        <f t="shared" si="6"/>
        <v>0</v>
      </c>
      <c r="BS3" s="1976">
        <f t="shared" si="6"/>
        <v>0</v>
      </c>
      <c r="BT3" s="1976">
        <f t="shared" si="6"/>
        <v>0</v>
      </c>
      <c r="BU3" s="1976">
        <f t="shared" si="6"/>
        <v>0</v>
      </c>
      <c r="BV3" s="1976">
        <f t="shared" si="6"/>
        <v>0</v>
      </c>
      <c r="BW3" s="1976">
        <f t="shared" si="6"/>
        <v>0</v>
      </c>
      <c r="BX3" s="1976">
        <f t="shared" si="6"/>
        <v>0</v>
      </c>
      <c r="BY3" s="1976">
        <f t="shared" si="6"/>
        <v>0</v>
      </c>
      <c r="BZ3" s="1976">
        <f t="shared" si="6"/>
        <v>0</v>
      </c>
      <c r="CA3" s="1976">
        <f t="shared" si="6"/>
        <v>0</v>
      </c>
      <c r="CB3" s="1976">
        <f t="shared" ref="CB3:CF3" si="7">SUM(CB11:CB93)</f>
        <v>0</v>
      </c>
      <c r="CC3" s="1976">
        <f t="shared" si="7"/>
        <v>0</v>
      </c>
      <c r="CD3" s="1976">
        <f t="shared" si="7"/>
        <v>0</v>
      </c>
      <c r="CE3" s="1976">
        <f t="shared" si="7"/>
        <v>0</v>
      </c>
      <c r="CF3" s="1976">
        <f t="shared" si="7"/>
        <v>0</v>
      </c>
      <c r="CG3" s="1976">
        <f t="shared" si="6"/>
        <v>0</v>
      </c>
      <c r="CH3" s="1976">
        <f t="shared" si="6"/>
        <v>0</v>
      </c>
      <c r="CI3" s="1976">
        <f t="shared" si="6"/>
        <v>0</v>
      </c>
      <c r="CJ3" s="1976">
        <f t="shared" si="6"/>
        <v>0</v>
      </c>
      <c r="CK3" s="1976">
        <f t="shared" si="6"/>
        <v>0</v>
      </c>
      <c r="CL3" s="1976">
        <f t="shared" si="6"/>
        <v>0</v>
      </c>
      <c r="CM3" s="1976">
        <f t="shared" si="6"/>
        <v>0</v>
      </c>
      <c r="CN3" s="1976">
        <f t="shared" si="6"/>
        <v>0</v>
      </c>
      <c r="CO3" s="1976">
        <f t="shared" si="6"/>
        <v>0</v>
      </c>
      <c r="CP3" s="1976">
        <f t="shared" si="6"/>
        <v>0</v>
      </c>
      <c r="CQ3" s="1976">
        <f t="shared" si="6"/>
        <v>0</v>
      </c>
      <c r="CR3" s="1976">
        <f t="shared" si="6"/>
        <v>0</v>
      </c>
      <c r="CS3" s="1976">
        <f t="shared" si="6"/>
        <v>0</v>
      </c>
      <c r="CT3" s="1976">
        <f t="shared" si="6"/>
        <v>0</v>
      </c>
      <c r="CU3" s="1976">
        <f t="shared" si="6"/>
        <v>0</v>
      </c>
      <c r="CV3" s="1976">
        <f t="shared" si="6"/>
        <v>0</v>
      </c>
      <c r="CW3" s="1976">
        <f t="shared" si="6"/>
        <v>0</v>
      </c>
      <c r="CX3" s="1976">
        <f t="shared" si="6"/>
        <v>0</v>
      </c>
    </row>
    <row r="4" spans="1:262" s="1654" customFormat="1" ht="13.8" outlineLevel="1">
      <c r="E4" s="1614"/>
      <c r="F4" s="1614"/>
      <c r="G4" s="1614"/>
      <c r="I4" s="1614"/>
      <c r="J4" s="1614"/>
      <c r="K4" s="1614"/>
      <c r="M4" s="1614"/>
      <c r="N4" s="1614"/>
      <c r="O4" s="1614"/>
      <c r="P4" s="1614"/>
      <c r="Q4" s="1614"/>
      <c r="R4" s="1614"/>
      <c r="S4" s="1614"/>
      <c r="T4" s="1614"/>
      <c r="U4" s="1614"/>
      <c r="W4" s="1614"/>
      <c r="X4" s="1614"/>
      <c r="Y4" s="1614"/>
      <c r="Z4" s="1614"/>
      <c r="AA4" s="1614"/>
      <c r="AB4" s="1614"/>
      <c r="AC4" s="1614"/>
      <c r="AD4" s="1614"/>
      <c r="AE4" s="1614"/>
      <c r="AF4" s="1614"/>
      <c r="AG4" s="1614"/>
      <c r="AH4" s="1614"/>
      <c r="AI4" s="1614"/>
      <c r="AJ4" s="1614"/>
      <c r="AK4" s="1614"/>
      <c r="AL4" s="1614"/>
      <c r="AM4" s="1614"/>
      <c r="AP4" s="1614"/>
      <c r="AQ4" s="1614"/>
      <c r="AR4" s="1614"/>
      <c r="AS4" s="1614"/>
      <c r="AT4" s="1614"/>
      <c r="AU4" s="1614"/>
      <c r="AV4" s="1614"/>
      <c r="AY4" s="1614"/>
      <c r="AZ4" s="1614"/>
      <c r="BA4" s="1614"/>
      <c r="BB4" s="1614"/>
      <c r="BC4" s="1614"/>
      <c r="BD4" s="1614"/>
      <c r="BE4" s="1614"/>
      <c r="BF4" s="1614"/>
      <c r="BG4" s="1614"/>
      <c r="BH4" s="1614"/>
      <c r="BI4" s="1614"/>
      <c r="BJ4" s="1614"/>
      <c r="BK4" s="1614"/>
      <c r="BL4" s="1614"/>
      <c r="BM4" s="1614"/>
      <c r="BN4" s="1614"/>
      <c r="BO4" s="1614"/>
      <c r="BP4" s="1614"/>
      <c r="BQ4" s="1614"/>
      <c r="BR4" s="1614"/>
      <c r="BS4" s="1614"/>
      <c r="BT4" s="1614"/>
      <c r="BV4" s="1614"/>
      <c r="BW4" s="1614"/>
      <c r="BX4" s="1614"/>
      <c r="BY4" s="1614"/>
      <c r="CG4" s="1614"/>
      <c r="CH4" s="1614"/>
      <c r="CI4" s="1614"/>
      <c r="CJ4" s="1614"/>
      <c r="CK4" s="1614"/>
      <c r="CL4" s="1614"/>
      <c r="CM4" s="1614"/>
      <c r="CN4" s="1614"/>
      <c r="CO4" s="1614"/>
      <c r="CQ4" s="1614"/>
      <c r="CW4" s="1614"/>
    </row>
    <row r="5" spans="1:262" s="1619" customFormat="1" ht="27" customHeight="1">
      <c r="A5" s="523" t="s">
        <v>3923</v>
      </c>
      <c r="B5" s="533"/>
      <c r="C5" s="533"/>
      <c r="D5" s="533"/>
      <c r="E5" s="533"/>
      <c r="F5" s="533"/>
      <c r="G5" s="534"/>
      <c r="H5" s="535"/>
      <c r="I5" s="533"/>
      <c r="J5" s="533"/>
      <c r="K5" s="533"/>
      <c r="L5" s="533"/>
      <c r="M5" s="533"/>
      <c r="N5" s="533"/>
      <c r="O5" s="533"/>
      <c r="P5" s="533"/>
      <c r="Q5" s="533"/>
      <c r="R5" s="533"/>
      <c r="S5" s="533"/>
      <c r="T5" s="533"/>
      <c r="U5" s="533"/>
      <c r="V5" s="533"/>
      <c r="W5" s="533"/>
      <c r="X5" s="533"/>
      <c r="Y5" s="533"/>
      <c r="Z5" s="533"/>
      <c r="AA5" s="533"/>
      <c r="AB5" s="533"/>
      <c r="AC5" s="533"/>
      <c r="AD5" s="533"/>
      <c r="AE5" s="533"/>
      <c r="AF5" s="533"/>
      <c r="AG5" s="533"/>
      <c r="AH5" s="533"/>
      <c r="AI5" s="533"/>
      <c r="AJ5" s="533"/>
      <c r="AK5" s="533"/>
      <c r="AL5" s="533"/>
      <c r="AM5" s="533"/>
      <c r="AN5" s="533"/>
      <c r="AO5" s="533"/>
      <c r="AP5" s="533"/>
      <c r="AQ5" s="533"/>
      <c r="AR5" s="533"/>
      <c r="AS5" s="533"/>
      <c r="AT5" s="533"/>
      <c r="AU5" s="533"/>
      <c r="AV5" s="533"/>
      <c r="AW5" s="533"/>
      <c r="AX5" s="533"/>
      <c r="AY5" s="533"/>
      <c r="AZ5" s="533"/>
      <c r="BA5" s="533"/>
      <c r="BB5" s="533"/>
      <c r="BC5" s="533"/>
      <c r="BD5" s="533"/>
      <c r="BE5" s="533"/>
      <c r="BF5" s="533"/>
      <c r="BG5" s="533"/>
      <c r="BH5" s="533"/>
      <c r="BI5" s="533"/>
      <c r="BJ5" s="533"/>
      <c r="BK5" s="533"/>
      <c r="BL5" s="533"/>
      <c r="BM5" s="533"/>
      <c r="BN5" s="533"/>
      <c r="BO5" s="533"/>
      <c r="BP5" s="533"/>
      <c r="BQ5" s="533"/>
      <c r="BR5" s="533"/>
      <c r="BS5" s="533"/>
      <c r="BT5" s="533"/>
      <c r="BU5" s="533"/>
      <c r="BV5" s="533"/>
      <c r="BW5" s="533"/>
      <c r="BX5" s="533"/>
      <c r="BY5" s="533"/>
      <c r="BZ5" s="533"/>
      <c r="CA5" s="533"/>
      <c r="CB5" s="533"/>
      <c r="CC5" s="533"/>
      <c r="CD5" s="533"/>
      <c r="CE5" s="533"/>
      <c r="CF5" s="533"/>
      <c r="CG5" s="533"/>
      <c r="CH5" s="533"/>
      <c r="CI5" s="533"/>
      <c r="CJ5" s="533"/>
      <c r="CK5" s="533"/>
      <c r="CL5" s="533"/>
      <c r="CM5" s="533"/>
      <c r="CN5" s="533"/>
      <c r="CO5" s="533"/>
      <c r="CP5" s="533"/>
      <c r="CQ5" s="533"/>
      <c r="CR5" s="533"/>
      <c r="CS5" s="533"/>
      <c r="CT5" s="533"/>
      <c r="CU5" s="533"/>
      <c r="CV5" s="533"/>
      <c r="CW5" s="533"/>
      <c r="CX5" s="1618"/>
    </row>
    <row r="6" spans="1:262" s="1619" customFormat="1" ht="31.2" customHeight="1">
      <c r="A6" s="3068" t="str">
        <f>chitiet!E7</f>
        <v>Công trình: Đường dây trung thế và TBA 3P-1250kVA Trang trại tổng hợp Nguyễn Đăng Nam</v>
      </c>
      <c r="B6" s="3068"/>
      <c r="C6" s="3068"/>
      <c r="D6" s="3068"/>
      <c r="E6" s="3068"/>
      <c r="F6" s="3068"/>
      <c r="G6" s="3068"/>
      <c r="H6" s="3068"/>
      <c r="I6" s="3068"/>
      <c r="J6" s="3068"/>
      <c r="K6" s="3068"/>
      <c r="L6" s="3068"/>
      <c r="M6" s="3068"/>
      <c r="N6" s="3068"/>
      <c r="O6" s="3068"/>
      <c r="P6" s="3068"/>
      <c r="Q6" s="3068"/>
      <c r="R6" s="3068"/>
      <c r="S6" s="3068"/>
      <c r="T6" s="3068"/>
      <c r="U6" s="3068"/>
      <c r="V6" s="3068"/>
      <c r="W6" s="3068"/>
      <c r="X6" s="3068"/>
      <c r="Y6" s="3068"/>
      <c r="Z6" s="3068"/>
      <c r="AA6" s="3068"/>
      <c r="AB6" s="3068"/>
      <c r="AC6" s="3068"/>
      <c r="AD6" s="3068"/>
      <c r="AE6" s="3068"/>
      <c r="AF6" s="3068"/>
      <c r="AG6" s="3068"/>
      <c r="AH6" s="3068"/>
      <c r="AI6" s="3068"/>
      <c r="AJ6" s="3068"/>
      <c r="AK6" s="3068"/>
      <c r="AL6" s="3068"/>
      <c r="AM6" s="3068"/>
      <c r="AN6" s="3068"/>
      <c r="AO6" s="3068"/>
      <c r="AP6" s="3068"/>
      <c r="AQ6" s="3068"/>
      <c r="AR6" s="3068"/>
      <c r="AS6" s="3068"/>
      <c r="AT6" s="3068"/>
      <c r="AU6" s="3068"/>
      <c r="AV6" s="3068"/>
      <c r="AW6" s="3068"/>
      <c r="AX6" s="3068"/>
      <c r="AY6" s="3068"/>
      <c r="AZ6" s="3068"/>
      <c r="BA6" s="3068"/>
      <c r="BB6" s="3068"/>
      <c r="BC6" s="3068"/>
      <c r="BD6" s="3068"/>
      <c r="BE6" s="3068"/>
      <c r="BF6" s="3068"/>
      <c r="BG6" s="3068"/>
      <c r="BH6" s="3068"/>
      <c r="BI6" s="3068"/>
      <c r="BJ6" s="3068"/>
      <c r="BK6" s="3068"/>
      <c r="BL6" s="3068"/>
      <c r="BM6" s="3068"/>
      <c r="BN6" s="3068"/>
      <c r="BO6" s="3068"/>
      <c r="BP6" s="3068"/>
      <c r="BQ6" s="3068"/>
      <c r="BR6" s="3068"/>
      <c r="BS6" s="3068"/>
      <c r="BT6" s="3068"/>
      <c r="BU6" s="3068"/>
      <c r="BV6" s="3068"/>
      <c r="BW6" s="3068"/>
      <c r="BX6" s="3068"/>
      <c r="BY6" s="3068"/>
      <c r="BZ6" s="3068"/>
      <c r="CA6" s="3068"/>
      <c r="CB6" s="3068"/>
      <c r="CC6" s="3068"/>
      <c r="CD6" s="3068"/>
      <c r="CE6" s="3068"/>
      <c r="CF6" s="3068"/>
      <c r="CG6" s="3068"/>
      <c r="CH6" s="3068"/>
      <c r="CI6" s="3068"/>
      <c r="CJ6" s="3068"/>
      <c r="CK6" s="3068"/>
      <c r="CL6" s="3068"/>
      <c r="CM6" s="3068"/>
      <c r="CN6" s="3068"/>
      <c r="CO6" s="3068"/>
      <c r="CP6" s="3068"/>
      <c r="CQ6" s="3068"/>
      <c r="CR6" s="3068"/>
      <c r="CS6" s="3068"/>
      <c r="CT6" s="3068"/>
      <c r="CU6" s="3068"/>
      <c r="CV6" s="3068"/>
      <c r="CW6" s="3068"/>
      <c r="CX6" s="3068"/>
    </row>
    <row r="7" spans="1:262" s="1619" customFormat="1" ht="31.2" customHeight="1" thickBot="1">
      <c r="A7" s="3068" t="str">
        <f>chitiet!E8</f>
        <v>Địa điểm: Xã Suối Cao - Huyện Xuân Lộc - Tỉnh Đồng Nai</v>
      </c>
      <c r="B7" s="3068"/>
      <c r="C7" s="3020"/>
      <c r="D7" s="3068"/>
      <c r="E7" s="3020"/>
      <c r="F7" s="3020"/>
      <c r="G7" s="3020"/>
      <c r="H7" s="3068"/>
      <c r="I7" s="3020"/>
      <c r="J7" s="3068"/>
      <c r="K7" s="3020"/>
      <c r="L7" s="3068"/>
      <c r="M7" s="3068"/>
      <c r="N7" s="3020"/>
      <c r="O7" s="3020"/>
      <c r="P7" s="3020"/>
      <c r="Q7" s="3020"/>
      <c r="R7" s="3020"/>
      <c r="S7" s="3068"/>
      <c r="T7" s="3020"/>
      <c r="U7" s="3020"/>
      <c r="V7" s="3020"/>
      <c r="W7" s="3068"/>
      <c r="X7" s="3020"/>
      <c r="Y7" s="3020"/>
      <c r="Z7" s="3020"/>
      <c r="AA7" s="3020"/>
      <c r="AB7" s="3020"/>
      <c r="AC7" s="3020"/>
      <c r="AD7" s="3020"/>
      <c r="AE7" s="3020"/>
      <c r="AF7" s="3020"/>
      <c r="AG7" s="3020"/>
      <c r="AH7" s="3020"/>
      <c r="AI7" s="3020"/>
      <c r="AJ7" s="3020"/>
      <c r="AK7" s="3020"/>
      <c r="AL7" s="3020"/>
      <c r="AM7" s="3020"/>
      <c r="AN7" s="3068"/>
      <c r="AO7" s="3068"/>
      <c r="AP7" s="3020"/>
      <c r="AQ7" s="3020"/>
      <c r="AR7" s="3020"/>
      <c r="AS7" s="3020"/>
      <c r="AT7" s="3020"/>
      <c r="AU7" s="3020"/>
      <c r="AV7" s="3020"/>
      <c r="AW7" s="3068"/>
      <c r="AX7" s="3068"/>
      <c r="AY7" s="3020"/>
      <c r="AZ7" s="3020"/>
      <c r="BA7" s="3020"/>
      <c r="BB7" s="3020"/>
      <c r="BC7" s="3020"/>
      <c r="BD7" s="3068"/>
      <c r="BE7" s="3020"/>
      <c r="BF7" s="3020"/>
      <c r="BG7" s="3020"/>
      <c r="BH7" s="3020"/>
      <c r="BI7" s="3020"/>
      <c r="BJ7" s="3020"/>
      <c r="BK7" s="3020"/>
      <c r="BL7" s="3020"/>
      <c r="BM7" s="3068"/>
      <c r="BN7" s="3020"/>
      <c r="BO7" s="3068"/>
      <c r="BP7" s="3068"/>
      <c r="BQ7" s="3020"/>
      <c r="BR7" s="3020"/>
      <c r="BS7" s="3020"/>
      <c r="BT7" s="3068"/>
      <c r="BU7" s="3068"/>
      <c r="BV7" s="3068"/>
      <c r="BW7" s="3068"/>
      <c r="BX7" s="3068"/>
      <c r="BY7" s="3020"/>
      <c r="BZ7" s="3068"/>
      <c r="CA7" s="3068"/>
      <c r="CB7" s="3068"/>
      <c r="CC7" s="3068"/>
      <c r="CD7" s="3020"/>
      <c r="CE7" s="3020"/>
      <c r="CF7" s="3020"/>
      <c r="CG7" s="3020"/>
      <c r="CH7" s="3020"/>
      <c r="CI7" s="3020"/>
      <c r="CJ7" s="3020"/>
      <c r="CK7" s="3020"/>
      <c r="CL7" s="3020"/>
      <c r="CM7" s="3020"/>
      <c r="CN7" s="3020"/>
      <c r="CO7" s="3020"/>
      <c r="CP7" s="3020"/>
      <c r="CQ7" s="3020"/>
      <c r="CR7" s="3068"/>
      <c r="CS7" s="3068"/>
      <c r="CT7" s="3068"/>
      <c r="CU7" s="3068"/>
      <c r="CV7" s="3068"/>
      <c r="CW7" s="3068"/>
      <c r="CX7" s="3068"/>
    </row>
    <row r="8" spans="1:262" s="542" customFormat="1" ht="29.4" customHeight="1" thickTop="1">
      <c r="A8" s="3034" t="s">
        <v>3784</v>
      </c>
      <c r="B8" s="3034" t="s">
        <v>3785</v>
      </c>
      <c r="C8" s="3039" t="s">
        <v>3924</v>
      </c>
      <c r="D8" s="3034" t="s">
        <v>3925</v>
      </c>
      <c r="E8" s="3041" t="s">
        <v>3792</v>
      </c>
      <c r="F8" s="3037" t="s">
        <v>3793</v>
      </c>
      <c r="G8" s="3043" t="s">
        <v>3926</v>
      </c>
      <c r="H8" s="3034" t="s">
        <v>3795</v>
      </c>
      <c r="I8" s="3047" t="s">
        <v>2283</v>
      </c>
      <c r="J8" s="3048"/>
      <c r="K8" s="3047"/>
      <c r="L8" s="3048"/>
      <c r="M8" s="3049"/>
      <c r="N8" s="1992"/>
      <c r="O8" s="541"/>
      <c r="P8" s="541"/>
      <c r="Q8" s="541"/>
      <c r="R8" s="578"/>
      <c r="S8" s="2020"/>
      <c r="T8" s="1994"/>
      <c r="U8" s="524" t="s">
        <v>2333</v>
      </c>
      <c r="V8" s="578"/>
      <c r="W8" s="2020"/>
      <c r="X8" s="1994"/>
      <c r="Y8" s="541"/>
      <c r="Z8" s="541"/>
      <c r="AA8" s="541"/>
      <c r="AB8" s="541"/>
      <c r="AC8" s="541"/>
      <c r="AD8" s="541"/>
      <c r="AE8" s="541"/>
      <c r="AF8" s="541"/>
      <c r="AG8" s="541"/>
      <c r="AH8" s="541"/>
      <c r="AI8" s="541"/>
      <c r="AJ8" s="541"/>
      <c r="AK8" s="524"/>
      <c r="AL8" s="524"/>
      <c r="AM8" s="1979"/>
      <c r="AN8" s="2021" t="s">
        <v>3927</v>
      </c>
      <c r="AO8" s="2021"/>
      <c r="AP8" s="1994"/>
      <c r="AQ8" s="541"/>
      <c r="AR8" s="541"/>
      <c r="AS8" s="541"/>
      <c r="AT8" s="541"/>
      <c r="AU8" s="541"/>
      <c r="AV8" s="578"/>
      <c r="AW8" s="2021" t="s">
        <v>3900</v>
      </c>
      <c r="AX8" s="2020"/>
      <c r="AY8" s="1994"/>
      <c r="AZ8" s="541"/>
      <c r="BA8" s="541"/>
      <c r="BB8" s="541"/>
      <c r="BC8" s="3035" t="s">
        <v>2396</v>
      </c>
      <c r="BD8" s="3034" t="s">
        <v>2398</v>
      </c>
      <c r="BE8" s="3062" t="s">
        <v>2400</v>
      </c>
      <c r="BF8" s="524"/>
      <c r="BG8" s="541"/>
      <c r="BH8" s="541"/>
      <c r="BI8" s="541"/>
      <c r="BJ8" s="524" t="s">
        <v>3799</v>
      </c>
      <c r="BK8" s="541"/>
      <c r="BL8" s="578"/>
      <c r="BM8" s="3057" t="s">
        <v>4563</v>
      </c>
      <c r="BN8" s="2123"/>
      <c r="BO8" s="3045" t="s">
        <v>3800</v>
      </c>
      <c r="BP8" s="3045" t="s">
        <v>3801</v>
      </c>
      <c r="BQ8" s="3052" t="s">
        <v>3928</v>
      </c>
      <c r="BR8" s="3066" t="s">
        <v>3929</v>
      </c>
      <c r="BS8" s="3050" t="s">
        <v>3904</v>
      </c>
      <c r="BT8" s="3054" t="s">
        <v>3930</v>
      </c>
      <c r="BU8" s="3034" t="s">
        <v>3931</v>
      </c>
      <c r="BV8" s="3042" t="s">
        <v>3932</v>
      </c>
      <c r="BW8" s="3054" t="s">
        <v>3933</v>
      </c>
      <c r="BX8" s="3034" t="s">
        <v>3805</v>
      </c>
      <c r="BY8" s="3060" t="s">
        <v>3807</v>
      </c>
      <c r="BZ8" s="3034" t="s">
        <v>3934</v>
      </c>
      <c r="CA8" s="3034" t="s">
        <v>4814</v>
      </c>
      <c r="CB8" s="3034" t="s">
        <v>3810</v>
      </c>
      <c r="CC8" s="3034" t="s">
        <v>2889</v>
      </c>
      <c r="CD8" s="3062" t="s">
        <v>2890</v>
      </c>
      <c r="CE8" s="3037" t="s">
        <v>2891</v>
      </c>
      <c r="CF8" s="3037" t="s">
        <v>2892</v>
      </c>
      <c r="CG8" s="3037" t="s">
        <v>2893</v>
      </c>
      <c r="CH8" s="3037" t="s">
        <v>2894</v>
      </c>
      <c r="CI8" s="3037" t="s">
        <v>2895</v>
      </c>
      <c r="CJ8" s="3037" t="s">
        <v>3817</v>
      </c>
      <c r="CK8" s="3037" t="s">
        <v>3818</v>
      </c>
      <c r="CL8" s="3037" t="s">
        <v>3819</v>
      </c>
      <c r="CM8" s="3037" t="s">
        <v>3820</v>
      </c>
      <c r="CN8" s="3037" t="s">
        <v>3821</v>
      </c>
      <c r="CO8" s="3037" t="s">
        <v>3822</v>
      </c>
      <c r="CP8" s="3037" t="s">
        <v>4763</v>
      </c>
      <c r="CQ8" s="3035" t="s">
        <v>3935</v>
      </c>
      <c r="CR8" s="3034" t="s">
        <v>421</v>
      </c>
      <c r="CS8" s="3042" t="s">
        <v>4768</v>
      </c>
      <c r="CT8" s="3034" t="s">
        <v>368</v>
      </c>
      <c r="CU8" s="3034" t="s">
        <v>369</v>
      </c>
      <c r="CV8" s="3054" t="s">
        <v>4766</v>
      </c>
      <c r="CW8" s="3054" t="s">
        <v>3936</v>
      </c>
      <c r="CX8" s="3069" t="s">
        <v>2607</v>
      </c>
    </row>
    <row r="9" spans="1:262" s="542" customFormat="1" ht="117" customHeight="1">
      <c r="A9" s="3034"/>
      <c r="B9" s="3034"/>
      <c r="C9" s="3040"/>
      <c r="D9" s="3034"/>
      <c r="E9" s="3042"/>
      <c r="F9" s="3038"/>
      <c r="G9" s="3044"/>
      <c r="H9" s="3034"/>
      <c r="I9" s="1991" t="s">
        <v>300</v>
      </c>
      <c r="J9" s="2112" t="s">
        <v>318</v>
      </c>
      <c r="K9" s="525" t="s">
        <v>2314</v>
      </c>
      <c r="L9" s="2112" t="s">
        <v>301</v>
      </c>
      <c r="M9" s="2114" t="s">
        <v>302</v>
      </c>
      <c r="N9" s="1993" t="s">
        <v>695</v>
      </c>
      <c r="O9" s="526" t="s">
        <v>994</v>
      </c>
      <c r="P9" s="526" t="s">
        <v>100</v>
      </c>
      <c r="Q9" s="526" t="s">
        <v>833</v>
      </c>
      <c r="R9" s="1978" t="s">
        <v>834</v>
      </c>
      <c r="S9" s="2112" t="s">
        <v>219</v>
      </c>
      <c r="T9" s="1995" t="s">
        <v>760</v>
      </c>
      <c r="U9" s="543" t="s">
        <v>303</v>
      </c>
      <c r="V9" s="2113" t="s">
        <v>2311</v>
      </c>
      <c r="W9" s="2112" t="s">
        <v>2312</v>
      </c>
      <c r="X9" s="1995" t="s">
        <v>2269</v>
      </c>
      <c r="Y9" s="1612" t="s">
        <v>304</v>
      </c>
      <c r="Z9" s="526" t="s">
        <v>638</v>
      </c>
      <c r="AA9" s="526" t="s">
        <v>647</v>
      </c>
      <c r="AB9" s="1612" t="s">
        <v>646</v>
      </c>
      <c r="AC9" s="526" t="s">
        <v>1905</v>
      </c>
      <c r="AD9" s="526" t="s">
        <v>648</v>
      </c>
      <c r="AE9" s="526" t="s">
        <v>750</v>
      </c>
      <c r="AF9" s="526" t="s">
        <v>649</v>
      </c>
      <c r="AG9" s="526" t="s">
        <v>483</v>
      </c>
      <c r="AH9" s="526" t="s">
        <v>484</v>
      </c>
      <c r="AI9" s="526" t="s">
        <v>650</v>
      </c>
      <c r="AJ9" s="526" t="s">
        <v>1645</v>
      </c>
      <c r="AK9" s="543" t="s">
        <v>835</v>
      </c>
      <c r="AL9" s="543" t="s">
        <v>836</v>
      </c>
      <c r="AM9" s="1980" t="s">
        <v>837</v>
      </c>
      <c r="AN9" s="2116" t="s">
        <v>663</v>
      </c>
      <c r="AO9" s="2116" t="s">
        <v>664</v>
      </c>
      <c r="AP9" s="1993" t="s">
        <v>665</v>
      </c>
      <c r="AQ9" s="543" t="s">
        <v>666</v>
      </c>
      <c r="AR9" s="543" t="s">
        <v>912</v>
      </c>
      <c r="AS9" s="543" t="s">
        <v>913</v>
      </c>
      <c r="AT9" s="527" t="s">
        <v>749</v>
      </c>
      <c r="AU9" s="527" t="s">
        <v>748</v>
      </c>
      <c r="AV9" s="1981" t="s">
        <v>3879</v>
      </c>
      <c r="AW9" s="2112" t="s">
        <v>1495</v>
      </c>
      <c r="AX9" s="2112" t="s">
        <v>1496</v>
      </c>
      <c r="AY9" s="1996" t="s">
        <v>1575</v>
      </c>
      <c r="AZ9" s="1612" t="s">
        <v>1091</v>
      </c>
      <c r="BA9" s="1612" t="s">
        <v>2152</v>
      </c>
      <c r="BB9" s="1612" t="s">
        <v>1092</v>
      </c>
      <c r="BC9" s="3036"/>
      <c r="BD9" s="3034"/>
      <c r="BE9" s="3063"/>
      <c r="BF9" s="1612" t="s">
        <v>2297</v>
      </c>
      <c r="BG9" s="1612" t="s">
        <v>909</v>
      </c>
      <c r="BH9" s="1612" t="s">
        <v>2302</v>
      </c>
      <c r="BI9" s="1612" t="s">
        <v>910</v>
      </c>
      <c r="BJ9" s="1612" t="s">
        <v>2299</v>
      </c>
      <c r="BK9" s="1612" t="s">
        <v>2125</v>
      </c>
      <c r="BL9" s="1977" t="s">
        <v>2303</v>
      </c>
      <c r="BM9" s="3058"/>
      <c r="BN9" s="2115" t="s">
        <v>344</v>
      </c>
      <c r="BO9" s="3046"/>
      <c r="BP9" s="3046"/>
      <c r="BQ9" s="3053"/>
      <c r="BR9" s="3067"/>
      <c r="BS9" s="3051"/>
      <c r="BT9" s="3055"/>
      <c r="BU9" s="3046"/>
      <c r="BV9" s="3065"/>
      <c r="BW9" s="3055"/>
      <c r="BX9" s="3046"/>
      <c r="BY9" s="3061"/>
      <c r="BZ9" s="3046"/>
      <c r="CA9" s="3046"/>
      <c r="CB9" s="3046"/>
      <c r="CC9" s="3046"/>
      <c r="CD9" s="3064"/>
      <c r="CE9" s="3056"/>
      <c r="CF9" s="3056"/>
      <c r="CG9" s="3056"/>
      <c r="CH9" s="3056"/>
      <c r="CI9" s="3056"/>
      <c r="CJ9" s="3056"/>
      <c r="CK9" s="3056"/>
      <c r="CL9" s="3056"/>
      <c r="CM9" s="3056"/>
      <c r="CN9" s="3056"/>
      <c r="CO9" s="3056"/>
      <c r="CP9" s="3056"/>
      <c r="CQ9" s="3051"/>
      <c r="CR9" s="3046"/>
      <c r="CS9" s="3065"/>
      <c r="CT9" s="3046"/>
      <c r="CU9" s="3046"/>
      <c r="CV9" s="3055"/>
      <c r="CW9" s="3055"/>
      <c r="CX9" s="3070"/>
    </row>
    <row r="10" spans="1:262" s="2143" customFormat="1" ht="27" hidden="1" customHeight="1">
      <c r="A10" s="2139" t="str">
        <f>IF(A9=0,A8,A9)</f>
        <v>Số trụ</v>
      </c>
      <c r="B10" s="2139" t="str">
        <f t="shared" ref="B10:BN10" si="8">IF(B9=0,B8,B9)</f>
        <v>Kh.cách</v>
      </c>
      <c r="C10" s="2070" t="str">
        <f t="shared" si="8"/>
        <v>Cộng dồn AC50+AC50</v>
      </c>
      <c r="D10" s="2139" t="str">
        <f t="shared" si="8"/>
        <v>Cộng dồn ACXV50+AC50</v>
      </c>
      <c r="E10" s="2071" t="str">
        <f t="shared" si="8"/>
        <v>Khoảng néo</v>
      </c>
      <c r="F10" s="529" t="str">
        <f t="shared" si="8"/>
        <v>Hướng</v>
      </c>
      <c r="G10" s="529" t="str">
        <f t="shared" si="8"/>
        <v>Góc</v>
      </c>
      <c r="H10" s="2139" t="str">
        <f t="shared" si="8"/>
        <v>Hình thức trụ</v>
      </c>
      <c r="I10" s="2071" t="str">
        <f t="shared" si="8"/>
        <v>BTLT 10.5</v>
      </c>
      <c r="J10" s="2140" t="str">
        <f t="shared" si="8"/>
        <v>BTLT 12 HH</v>
      </c>
      <c r="K10" s="2071" t="str">
        <f t="shared" si="8"/>
        <v>BTLT 12 TĐ</v>
      </c>
      <c r="L10" s="2139" t="str">
        <f>IF(L9=0,L8,L9)</f>
        <v>BTLT 12</v>
      </c>
      <c r="M10" s="2102" t="str">
        <f t="shared" si="8"/>
        <v>BTLT 14</v>
      </c>
      <c r="N10" s="2071" t="str">
        <f t="shared" si="8"/>
        <v>M10a</v>
      </c>
      <c r="O10" s="529" t="str">
        <f t="shared" si="8"/>
        <v>M10b</v>
      </c>
      <c r="P10" s="529" t="str">
        <f t="shared" si="8"/>
        <v>M10aa</v>
      </c>
      <c r="Q10" s="529" t="str">
        <f t="shared" si="8"/>
        <v>M10ba</v>
      </c>
      <c r="R10" s="529" t="str">
        <f t="shared" si="8"/>
        <v>M10bb</v>
      </c>
      <c r="S10" s="2140" t="str">
        <f t="shared" si="8"/>
        <v>M12</v>
      </c>
      <c r="T10" s="2071" t="str">
        <f t="shared" si="8"/>
        <v>M10-2b</v>
      </c>
      <c r="U10" s="529" t="str">
        <f t="shared" si="8"/>
        <v>M12a</v>
      </c>
      <c r="V10" s="1656" t="str">
        <f t="shared" si="8"/>
        <v>M12BT ĐƠN</v>
      </c>
      <c r="W10" s="2141" t="str">
        <f t="shared" si="8"/>
        <v>M12BT ĐÔI</v>
      </c>
      <c r="X10" s="529" t="str">
        <f t="shared" si="8"/>
        <v>M12b</v>
      </c>
      <c r="Y10" s="529" t="str">
        <f t="shared" si="8"/>
        <v>M12aa</v>
      </c>
      <c r="Z10" s="529" t="str">
        <f t="shared" si="8"/>
        <v>M12ba</v>
      </c>
      <c r="AA10" s="529" t="str">
        <f t="shared" si="8"/>
        <v>M12bb</v>
      </c>
      <c r="AB10" s="529" t="str">
        <f t="shared" si="8"/>
        <v>M12-2a</v>
      </c>
      <c r="AC10" s="529" t="str">
        <f t="shared" si="8"/>
        <v>M12-2b</v>
      </c>
      <c r="AD10" s="529" t="str">
        <f t="shared" si="8"/>
        <v>M14a</v>
      </c>
      <c r="AE10" s="529" t="str">
        <f t="shared" si="8"/>
        <v>M14b</v>
      </c>
      <c r="AF10" s="529" t="str">
        <f t="shared" si="8"/>
        <v>M14aa</v>
      </c>
      <c r="AG10" s="529" t="str">
        <f t="shared" si="8"/>
        <v>M14ba</v>
      </c>
      <c r="AH10" s="529" t="str">
        <f t="shared" si="8"/>
        <v>M14bb</v>
      </c>
      <c r="AI10" s="529" t="str">
        <f t="shared" si="8"/>
        <v>M14-2a</v>
      </c>
      <c r="AJ10" s="529" t="str">
        <f t="shared" si="8"/>
        <v>M14-2b</v>
      </c>
      <c r="AK10" s="529" t="str">
        <f t="shared" si="8"/>
        <v>CX10-B</v>
      </c>
      <c r="AL10" s="529" t="str">
        <f t="shared" si="8"/>
        <v>CL10-B</v>
      </c>
      <c r="AM10" s="529" t="str">
        <f t="shared" si="8"/>
        <v>CXX10-B</v>
      </c>
      <c r="AN10" s="2139" t="str">
        <f t="shared" si="8"/>
        <v>CX12-B</v>
      </c>
      <c r="AO10" s="2139" t="str">
        <f t="shared" si="8"/>
        <v>CL12-B</v>
      </c>
      <c r="AP10" s="2071" t="str">
        <f t="shared" si="8"/>
        <v>CXX12-B</v>
      </c>
      <c r="AQ10" s="529" t="str">
        <f t="shared" si="8"/>
        <v>CX14-B</v>
      </c>
      <c r="AR10" s="529" t="str">
        <f t="shared" si="8"/>
        <v>CL14-B</v>
      </c>
      <c r="AS10" s="529" t="str">
        <f t="shared" si="8"/>
        <v>CXX14-B</v>
      </c>
      <c r="AT10" s="529" t="str">
        <f t="shared" si="8"/>
        <v>CK-B</v>
      </c>
      <c r="AU10" s="529" t="str">
        <f t="shared" si="8"/>
        <v>CKK-B</v>
      </c>
      <c r="AV10" s="529" t="str">
        <f t="shared" si="8"/>
        <v>Khoảng cách</v>
      </c>
      <c r="AW10" s="2139" t="str">
        <f t="shared" si="8"/>
        <v>NXX</v>
      </c>
      <c r="AX10" s="2139" t="str">
        <f t="shared" si="8"/>
        <v>NXL</v>
      </c>
      <c r="AY10" s="2071" t="str">
        <f t="shared" si="8"/>
        <v xml:space="preserve">MNX12-2 </v>
      </c>
      <c r="AZ10" s="529" t="str">
        <f t="shared" si="8"/>
        <v>MNL12-2</v>
      </c>
      <c r="BA10" s="529" t="str">
        <f t="shared" si="8"/>
        <v xml:space="preserve">MNX12-4 </v>
      </c>
      <c r="BB10" s="529" t="str">
        <f t="shared" si="8"/>
        <v xml:space="preserve">MNL12-4 </v>
      </c>
      <c r="BC10" s="529" t="str">
        <f t="shared" si="8"/>
        <v>Tiếp địa lặp lại (trụ 10.5m)</v>
      </c>
      <c r="BD10" s="2140" t="str">
        <f t="shared" si="8"/>
        <v>Tiếp địa lặp lại trụ 12m</v>
      </c>
      <c r="BE10" s="2071" t="str">
        <f t="shared" si="8"/>
        <v>Tiếp địa lặp lại (trụ 14m)</v>
      </c>
      <c r="BF10" s="529" t="str">
        <f t="shared" si="8"/>
        <v>X-20Đ</v>
      </c>
      <c r="BG10" s="529" t="str">
        <f t="shared" si="8"/>
        <v>X-20K</v>
      </c>
      <c r="BH10" s="529" t="str">
        <f t="shared" si="8"/>
        <v>X-24Đ</v>
      </c>
      <c r="BI10" s="529" t="str">
        <f t="shared" si="8"/>
        <v>X-24K</v>
      </c>
      <c r="BJ10" s="529" t="str">
        <f t="shared" si="8"/>
        <v>X-20ĐL2/3</v>
      </c>
      <c r="BK10" s="529" t="str">
        <f t="shared" si="8"/>
        <v>X-20KL2/3</v>
      </c>
      <c r="BL10" s="529" t="str">
        <f t="shared" si="8"/>
        <v>X-8ĐL</v>
      </c>
      <c r="BM10" s="2107"/>
      <c r="BN10" s="2071" t="str">
        <f t="shared" si="8"/>
        <v>X-8KL</v>
      </c>
      <c r="BO10" s="2141" t="str">
        <f t="shared" ref="BO10:CX10" si="9">IF(BO9=0,BO8,BO9)</f>
        <v>Bộ sứ đỉnh đỡ thẳng SĐI</v>
      </c>
      <c r="BP10" s="2141" t="str">
        <f t="shared" si="9"/>
        <v>Bộ sứ đỉnh đỡ góc SĐG</v>
      </c>
      <c r="BQ10" s="529" t="str">
        <f t="shared" si="9"/>
        <v>Bộ sứ đỉnh đỡ thẳng SĐI sử dụng lại</v>
      </c>
      <c r="BR10" s="529" t="str">
        <f t="shared" si="9"/>
        <v>Bộ sứ đỉnh đỡ góc SĐG sử dụng lại</v>
      </c>
      <c r="BS10" s="529" t="str">
        <f t="shared" si="9"/>
        <v>Bộ sứ đứng SĐU</v>
      </c>
      <c r="BT10" s="2102" t="str">
        <f t="shared" si="9"/>
        <v>Chuỗi sứ treo polyme bắt vào xà</v>
      </c>
      <c r="BU10" s="2139" t="str">
        <f t="shared" si="9"/>
        <v>Chuỗi sứ treo polyme bắt vào trụ</v>
      </c>
      <c r="BV10" s="2076" t="str">
        <f t="shared" si="9"/>
        <v xml:space="preserve"> Chuỗi treo 2 bát lắp vào trụ</v>
      </c>
      <c r="BW10" s="2017" t="str">
        <f t="shared" si="9"/>
        <v xml:space="preserve"> Chuỗi đỡ 2 bát lắp vào trụ - CĐT</v>
      </c>
      <c r="BX10" s="2140" t="str">
        <f t="shared" si="9"/>
        <v>Bộ đỡ dây T.H : Đth-U</v>
      </c>
      <c r="BY10" s="2071" t="str">
        <f t="shared" si="9"/>
        <v>Bộ néo dây T.H : Nth-U</v>
      </c>
      <c r="BZ10" s="2139" t="str">
        <f t="shared" si="9"/>
        <v>Bộ khóa néo TH : Nth-T</v>
      </c>
      <c r="CA10" s="2139" t="str">
        <f t="shared" si="9"/>
        <v>hotline 2/0</v>
      </c>
      <c r="CB10" s="2139"/>
      <c r="CC10" s="2139" t="str">
        <f t="shared" si="9"/>
        <v>Kẹp ép WR cỡ dây 50mm2</v>
      </c>
      <c r="CD10" s="2071" t="str">
        <f t="shared" si="9"/>
        <v>Kẹp ép WR cỡ dây 70mm2</v>
      </c>
      <c r="CE10" s="529" t="str">
        <f t="shared" si="9"/>
        <v>Kẹp ép WR cỡ dây 95mm2</v>
      </c>
      <c r="CF10" s="529" t="str">
        <f t="shared" si="9"/>
        <v>Kẹp ép WR cỡ dây 120mm2</v>
      </c>
      <c r="CG10" s="529" t="str">
        <f t="shared" si="9"/>
        <v>Kẹp ép WR cỡ dây 150mm2</v>
      </c>
      <c r="CH10" s="529" t="str">
        <f t="shared" si="9"/>
        <v>Kẹp ép WR cỡ dây 185mm2</v>
      </c>
      <c r="CI10" s="529" t="str">
        <f t="shared" si="9"/>
        <v>Kẹp ép WR cỡ dây 240mm2</v>
      </c>
      <c r="CJ10" s="529" t="str">
        <f t="shared" si="9"/>
        <v>Đầu cốt ép cỡ dây 70mm2</v>
      </c>
      <c r="CK10" s="529" t="str">
        <f t="shared" si="9"/>
        <v>Đầu cốt ép cỡ dây 95mm2</v>
      </c>
      <c r="CL10" s="529" t="str">
        <f t="shared" si="9"/>
        <v>Đầu cốt ép cỡ dây 120mm2</v>
      </c>
      <c r="CM10" s="529" t="str">
        <f t="shared" si="9"/>
        <v>Đầu cốt ép cỡ dây 150mm2</v>
      </c>
      <c r="CN10" s="529" t="str">
        <f t="shared" si="9"/>
        <v>Đầu cốt ép cỡ dây 185mm2</v>
      </c>
      <c r="CO10" s="529" t="str">
        <f t="shared" si="9"/>
        <v>Đầu cốt ép cỡ dây 240mm2</v>
      </c>
      <c r="CP10" s="1656" t="str">
        <f t="shared" si="9"/>
        <v>Dây buộc đầu sứ</v>
      </c>
      <c r="CQ10" s="529" t="str">
        <f t="shared" si="9"/>
        <v>Giá T lắp FCO sử dụng lại</v>
      </c>
      <c r="CR10" s="2100" t="str">
        <f t="shared" si="9"/>
        <v>FCO 24kV 100A</v>
      </c>
      <c r="CS10" s="2080"/>
      <c r="CT10" s="2016"/>
      <c r="CU10" s="2016"/>
      <c r="CV10" s="2016"/>
      <c r="CW10" s="2102" t="str">
        <f t="shared" si="9"/>
        <v>Vị trí vượt đường</v>
      </c>
      <c r="CX10" s="2139" t="str">
        <f t="shared" si="9"/>
        <v>GHI CHÚ</v>
      </c>
      <c r="CY10" s="2142"/>
      <c r="CZ10" s="2142"/>
      <c r="DA10" s="2142"/>
      <c r="DB10" s="2142"/>
      <c r="DC10" s="2142"/>
      <c r="DD10" s="2142"/>
      <c r="DE10" s="2142"/>
      <c r="DF10" s="2142"/>
      <c r="DG10" s="2142"/>
      <c r="DH10" s="2142"/>
      <c r="DI10" s="2142"/>
      <c r="DJ10" s="2142"/>
      <c r="DK10" s="2142"/>
      <c r="DL10" s="2142"/>
      <c r="DM10" s="2142"/>
      <c r="DN10" s="2142"/>
      <c r="DO10" s="2142"/>
      <c r="DP10" s="2142"/>
      <c r="DQ10" s="2142"/>
      <c r="DR10" s="2142"/>
      <c r="DS10" s="2142"/>
      <c r="DT10" s="2142"/>
      <c r="DU10" s="2142"/>
      <c r="DV10" s="2142"/>
      <c r="DW10" s="2142"/>
      <c r="DX10" s="2142"/>
      <c r="DY10" s="2142"/>
      <c r="DZ10" s="2142"/>
      <c r="EA10" s="2142"/>
      <c r="EB10" s="2142"/>
      <c r="EC10" s="2142"/>
      <c r="ED10" s="2142"/>
      <c r="EE10" s="2142"/>
      <c r="EF10" s="2142"/>
      <c r="EG10" s="2142"/>
      <c r="EH10" s="2142"/>
      <c r="EI10" s="2142"/>
      <c r="EJ10" s="2142"/>
      <c r="EK10" s="2142"/>
      <c r="EL10" s="2142"/>
      <c r="EM10" s="2142"/>
      <c r="EN10" s="2142"/>
      <c r="EO10" s="2142"/>
      <c r="EP10" s="2142"/>
      <c r="EQ10" s="2142"/>
      <c r="ER10" s="2142"/>
      <c r="ES10" s="2142"/>
      <c r="ET10" s="2142"/>
      <c r="EU10" s="2142"/>
      <c r="EV10" s="2142"/>
      <c r="EW10" s="2142"/>
      <c r="EX10" s="2142"/>
      <c r="EY10" s="2142"/>
      <c r="EZ10" s="2142"/>
      <c r="FA10" s="2142"/>
      <c r="FB10" s="2142"/>
      <c r="FC10" s="2142"/>
      <c r="FD10" s="2142"/>
      <c r="FE10" s="2142"/>
      <c r="FF10" s="2142"/>
      <c r="FG10" s="2142"/>
      <c r="FH10" s="2142"/>
      <c r="FI10" s="2142"/>
      <c r="FJ10" s="2142"/>
      <c r="FK10" s="2142"/>
      <c r="FL10" s="2142"/>
      <c r="FM10" s="2142"/>
      <c r="FN10" s="2142"/>
      <c r="FO10" s="2142"/>
      <c r="FP10" s="2142"/>
      <c r="FQ10" s="2142"/>
      <c r="FR10" s="2142"/>
      <c r="FS10" s="2142"/>
      <c r="FT10" s="2142"/>
      <c r="FU10" s="2142"/>
      <c r="FV10" s="2142"/>
      <c r="FW10" s="2142"/>
      <c r="FX10" s="2142"/>
      <c r="FY10" s="2142"/>
      <c r="FZ10" s="2142"/>
      <c r="GA10" s="2142"/>
      <c r="GB10" s="2142"/>
      <c r="GC10" s="2142"/>
      <c r="GD10" s="2142"/>
      <c r="GE10" s="2142"/>
      <c r="GF10" s="2142"/>
      <c r="GG10" s="2142"/>
      <c r="GH10" s="2142"/>
      <c r="GI10" s="2142"/>
      <c r="GJ10" s="2142"/>
      <c r="GK10" s="2142"/>
      <c r="GL10" s="2142"/>
      <c r="GM10" s="2142"/>
      <c r="GN10" s="2142"/>
      <c r="GO10" s="2142"/>
      <c r="GP10" s="2142"/>
      <c r="GQ10" s="2142"/>
      <c r="GR10" s="2142"/>
      <c r="GS10" s="2142"/>
      <c r="GT10" s="2142"/>
      <c r="GU10" s="2142"/>
      <c r="GV10" s="2142"/>
      <c r="GW10" s="2142"/>
      <c r="GX10" s="2142"/>
      <c r="GY10" s="2142"/>
      <c r="GZ10" s="2142"/>
      <c r="HA10" s="2142"/>
      <c r="HB10" s="2142"/>
      <c r="HC10" s="2142"/>
      <c r="HD10" s="2142"/>
      <c r="HE10" s="2142"/>
      <c r="HF10" s="2142"/>
      <c r="HG10" s="2142"/>
      <c r="HH10" s="2142"/>
      <c r="HI10" s="2142"/>
      <c r="HJ10" s="2142"/>
      <c r="HK10" s="2142"/>
      <c r="HL10" s="2142"/>
      <c r="HM10" s="2142"/>
      <c r="HN10" s="2142"/>
      <c r="HO10" s="2142"/>
      <c r="HP10" s="2142"/>
      <c r="HQ10" s="2142"/>
      <c r="HR10" s="2142"/>
      <c r="HS10" s="2142"/>
      <c r="HT10" s="2142"/>
      <c r="HU10" s="2142"/>
      <c r="HV10" s="2142"/>
      <c r="HW10" s="2142"/>
      <c r="HX10" s="2142"/>
      <c r="HY10" s="2142"/>
      <c r="HZ10" s="2142"/>
      <c r="IA10" s="2142"/>
      <c r="IB10" s="2142"/>
      <c r="IC10" s="2142"/>
      <c r="ID10" s="2142"/>
      <c r="IE10" s="2142"/>
      <c r="IF10" s="2142"/>
      <c r="IG10" s="2142"/>
      <c r="IH10" s="2142"/>
      <c r="II10" s="2142"/>
      <c r="IJ10" s="2142"/>
      <c r="IK10" s="2142"/>
      <c r="IL10" s="2142"/>
      <c r="IM10" s="2142"/>
      <c r="IN10" s="2142"/>
      <c r="IO10" s="2142"/>
      <c r="IP10" s="2142"/>
      <c r="IQ10" s="2142"/>
      <c r="IR10" s="2142"/>
      <c r="IS10" s="2142"/>
      <c r="IT10" s="2142"/>
      <c r="IU10" s="2142"/>
      <c r="IV10" s="2142"/>
      <c r="IW10" s="2142"/>
      <c r="IX10" s="2142"/>
      <c r="IY10" s="2142"/>
      <c r="IZ10" s="2142"/>
      <c r="JA10" s="2142"/>
      <c r="JB10" s="2142"/>
    </row>
    <row r="11" spans="1:262" ht="25.2" customHeight="1">
      <c r="A11" s="2022" t="s">
        <v>4813</v>
      </c>
      <c r="B11" s="2023"/>
      <c r="C11" s="1997"/>
      <c r="D11" s="2024"/>
      <c r="E11" s="1999"/>
      <c r="F11" s="547"/>
      <c r="G11" s="1982"/>
      <c r="H11" s="2026" t="s">
        <v>658</v>
      </c>
      <c r="I11" s="2000"/>
      <c r="J11" s="2023"/>
      <c r="K11" s="2000"/>
      <c r="L11" s="2023"/>
      <c r="M11" s="2077"/>
      <c r="N11" s="2003"/>
      <c r="O11" s="547"/>
      <c r="P11" s="547"/>
      <c r="Q11" s="547"/>
      <c r="R11" s="1986"/>
      <c r="S11" s="2026"/>
      <c r="T11" s="2003"/>
      <c r="U11" s="547"/>
      <c r="V11" s="1986"/>
      <c r="W11" s="2026"/>
      <c r="X11" s="2003"/>
      <c r="Y11" s="547"/>
      <c r="Z11" s="547"/>
      <c r="AA11" s="547"/>
      <c r="AB11" s="547"/>
      <c r="AC11" s="547"/>
      <c r="AD11" s="547"/>
      <c r="AE11" s="547"/>
      <c r="AF11" s="547"/>
      <c r="AG11" s="547"/>
      <c r="AH11" s="547"/>
      <c r="AI11" s="547"/>
      <c r="AJ11" s="547"/>
      <c r="AK11" s="547"/>
      <c r="AL11" s="547"/>
      <c r="AM11" s="1986"/>
      <c r="AN11" s="2026"/>
      <c r="AO11" s="2026"/>
      <c r="AP11" s="2003"/>
      <c r="AQ11" s="547"/>
      <c r="AR11" s="547"/>
      <c r="AS11" s="547"/>
      <c r="AT11" s="547"/>
      <c r="AU11" s="547"/>
      <c r="AV11" s="1986"/>
      <c r="AW11" s="2026"/>
      <c r="AX11" s="2026"/>
      <c r="AY11" s="2003"/>
      <c r="AZ11" s="547"/>
      <c r="BA11" s="547"/>
      <c r="BB11" s="547"/>
      <c r="BC11" s="1986"/>
      <c r="BD11" s="2026"/>
      <c r="BE11" s="2003"/>
      <c r="BF11" s="547"/>
      <c r="BG11" s="547"/>
      <c r="BH11" s="547"/>
      <c r="BI11" s="547"/>
      <c r="BJ11" s="547"/>
      <c r="BK11" s="547"/>
      <c r="BL11" s="1986"/>
      <c r="BM11" s="2026"/>
      <c r="BN11" s="2124"/>
      <c r="BO11" s="2023"/>
      <c r="BP11" s="2023"/>
      <c r="BQ11" s="1999"/>
      <c r="BR11" s="546"/>
      <c r="BS11" s="1984"/>
      <c r="BT11" s="2096"/>
      <c r="BU11" s="2023"/>
      <c r="BV11" s="2077"/>
      <c r="BW11" s="2096"/>
      <c r="BX11" s="2023"/>
      <c r="BY11" s="2023"/>
      <c r="BZ11" s="2023"/>
      <c r="CA11" s="2023"/>
      <c r="CB11" s="2023"/>
      <c r="CC11" s="2023"/>
      <c r="CD11" s="1999"/>
      <c r="CE11" s="546"/>
      <c r="CF11" s="546"/>
      <c r="CG11" s="546"/>
      <c r="CH11" s="546"/>
      <c r="CI11" s="546"/>
      <c r="CJ11" s="546"/>
      <c r="CK11" s="546"/>
      <c r="CL11" s="546"/>
      <c r="CM11" s="546"/>
      <c r="CN11" s="546"/>
      <c r="CO11" s="546"/>
      <c r="CP11" s="546"/>
      <c r="CQ11" s="1984"/>
      <c r="CR11" s="2023"/>
      <c r="CS11" s="2077"/>
      <c r="CT11" s="2023"/>
      <c r="CU11" s="2023"/>
      <c r="CV11" s="2096"/>
      <c r="CW11" s="2096"/>
      <c r="CX11" s="2026"/>
      <c r="CY11" s="542"/>
      <c r="CZ11" s="542"/>
      <c r="DA11" s="542"/>
      <c r="DB11" s="542"/>
      <c r="DC11" s="542"/>
      <c r="DD11" s="542"/>
      <c r="DE11" s="542"/>
      <c r="DF11" s="542"/>
      <c r="DG11" s="542"/>
      <c r="DH11" s="542"/>
      <c r="DI11" s="542"/>
      <c r="DJ11" s="542"/>
      <c r="DK11" s="542"/>
      <c r="DL11" s="542"/>
      <c r="DM11" s="542"/>
      <c r="DN11" s="542"/>
      <c r="DO11" s="542"/>
      <c r="DP11" s="542"/>
      <c r="DQ11" s="542"/>
      <c r="DR11" s="542"/>
      <c r="DS11" s="542"/>
      <c r="DT11" s="542"/>
      <c r="DU11" s="542"/>
      <c r="DV11" s="542"/>
      <c r="DW11" s="542"/>
      <c r="DX11" s="542"/>
      <c r="DY11" s="542"/>
      <c r="DZ11" s="542"/>
      <c r="EA11" s="542"/>
      <c r="EB11" s="542"/>
      <c r="EC11" s="542"/>
      <c r="ED11" s="542"/>
      <c r="EE11" s="542"/>
      <c r="EF11" s="542"/>
      <c r="EG11" s="542"/>
      <c r="EH11" s="542"/>
      <c r="EI11" s="542"/>
      <c r="EJ11" s="542"/>
      <c r="EK11" s="542"/>
      <c r="EL11" s="542"/>
      <c r="EM11" s="542"/>
      <c r="EN11" s="542"/>
      <c r="EO11" s="542"/>
      <c r="EP11" s="542"/>
      <c r="EQ11" s="542"/>
      <c r="ER11" s="542"/>
      <c r="ES11" s="542"/>
      <c r="ET11" s="542"/>
      <c r="EU11" s="542"/>
      <c r="EV11" s="542"/>
      <c r="EW11" s="542"/>
      <c r="EX11" s="542"/>
      <c r="EY11" s="542"/>
      <c r="EZ11" s="542"/>
      <c r="FA11" s="542"/>
      <c r="FB11" s="542"/>
      <c r="FC11" s="542"/>
      <c r="FD11" s="542"/>
      <c r="FE11" s="542"/>
      <c r="FF11" s="542"/>
      <c r="FG11" s="542"/>
      <c r="FH11" s="542"/>
      <c r="FI11" s="542"/>
      <c r="FJ11" s="542"/>
      <c r="FK11" s="542"/>
      <c r="FL11" s="542"/>
      <c r="FM11" s="542"/>
      <c r="FN11" s="542"/>
      <c r="FO11" s="542"/>
      <c r="FP11" s="542"/>
      <c r="FQ11" s="542"/>
      <c r="FR11" s="542"/>
      <c r="FS11" s="542"/>
      <c r="FT11" s="542"/>
      <c r="FU11" s="542"/>
      <c r="FV11" s="542"/>
      <c r="FW11" s="542"/>
      <c r="FX11" s="542"/>
      <c r="FY11" s="542"/>
      <c r="FZ11" s="542"/>
      <c r="GA11" s="542"/>
      <c r="GB11" s="542"/>
      <c r="GC11" s="542"/>
      <c r="GD11" s="542"/>
      <c r="GE11" s="542"/>
      <c r="GF11" s="542"/>
      <c r="GG11" s="542"/>
      <c r="GH11" s="542"/>
      <c r="GI11" s="542"/>
      <c r="GJ11" s="542"/>
      <c r="GK11" s="542"/>
      <c r="GL11" s="542"/>
      <c r="GM11" s="542"/>
      <c r="GN11" s="542"/>
      <c r="GO11" s="542"/>
      <c r="GP11" s="542"/>
      <c r="GQ11" s="542"/>
      <c r="GR11" s="542"/>
      <c r="GS11" s="542"/>
      <c r="GT11" s="542"/>
      <c r="GU11" s="542"/>
      <c r="GV11" s="542"/>
      <c r="GW11" s="542"/>
      <c r="GX11" s="542"/>
      <c r="GY11" s="542"/>
      <c r="GZ11" s="542"/>
      <c r="HA11" s="542"/>
      <c r="HB11" s="542"/>
      <c r="HC11" s="542"/>
      <c r="HD11" s="542"/>
      <c r="HE11" s="542"/>
      <c r="HF11" s="542"/>
      <c r="HG11" s="542"/>
      <c r="HH11" s="542"/>
      <c r="HI11" s="542"/>
      <c r="HJ11" s="542"/>
      <c r="HK11" s="542"/>
      <c r="HL11" s="542"/>
      <c r="HM11" s="542"/>
      <c r="HN11" s="542"/>
      <c r="HO11" s="542"/>
      <c r="HP11" s="542"/>
      <c r="HQ11" s="542"/>
      <c r="HR11" s="542"/>
      <c r="HS11" s="542"/>
      <c r="HT11" s="542"/>
      <c r="HU11" s="542"/>
      <c r="HV11" s="542"/>
      <c r="HW11" s="542"/>
      <c r="HX11" s="542"/>
      <c r="HY11" s="542"/>
      <c r="HZ11" s="542"/>
      <c r="IA11" s="542"/>
      <c r="IB11" s="542"/>
      <c r="IC11" s="542"/>
      <c r="ID11" s="542"/>
      <c r="IE11" s="542"/>
      <c r="IF11" s="542"/>
      <c r="IG11" s="542"/>
      <c r="IH11" s="542"/>
      <c r="II11" s="542"/>
      <c r="IJ11" s="542"/>
      <c r="IK11" s="542"/>
      <c r="IL11" s="542"/>
      <c r="IM11" s="542"/>
      <c r="IN11" s="542"/>
      <c r="IO11" s="542"/>
      <c r="IP11" s="542"/>
      <c r="IQ11" s="542"/>
      <c r="IR11" s="542"/>
      <c r="IS11" s="542"/>
      <c r="IT11" s="542"/>
      <c r="IU11" s="542"/>
      <c r="IV11" s="542"/>
      <c r="IW11" s="542"/>
      <c r="IX11" s="542"/>
      <c r="IY11" s="542"/>
      <c r="IZ11" s="542"/>
      <c r="JA11" s="542"/>
      <c r="JB11" s="542"/>
    </row>
    <row r="12" spans="1:262" ht="25.2" customHeight="1">
      <c r="A12" s="2022" t="s">
        <v>166</v>
      </c>
      <c r="B12" s="2069"/>
      <c r="C12" s="1998"/>
      <c r="D12" s="2028"/>
      <c r="E12" s="670"/>
      <c r="F12" s="439"/>
      <c r="G12" s="1983"/>
      <c r="H12" s="2025" t="s">
        <v>1107</v>
      </c>
      <c r="I12" s="2001"/>
      <c r="J12" s="2027"/>
      <c r="K12" s="2002"/>
      <c r="L12" s="2028"/>
      <c r="M12" s="2078"/>
      <c r="N12" s="2004"/>
      <c r="O12" s="781"/>
      <c r="P12" s="781"/>
      <c r="Q12" s="781"/>
      <c r="R12" s="1985"/>
      <c r="S12" s="2027"/>
      <c r="T12" s="2004"/>
      <c r="U12" s="781"/>
      <c r="V12" s="1985"/>
      <c r="W12" s="2027"/>
      <c r="X12" s="2004"/>
      <c r="Y12" s="781"/>
      <c r="Z12" s="781"/>
      <c r="AA12" s="781"/>
      <c r="AB12" s="781"/>
      <c r="AC12" s="781"/>
      <c r="AD12" s="781"/>
      <c r="AE12" s="781"/>
      <c r="AF12" s="781"/>
      <c r="AG12" s="781"/>
      <c r="AH12" s="781"/>
      <c r="AI12" s="781"/>
      <c r="AJ12" s="781"/>
      <c r="AK12" s="781"/>
      <c r="AL12" s="781"/>
      <c r="AM12" s="1985"/>
      <c r="AN12" s="2027"/>
      <c r="AO12" s="2027"/>
      <c r="AP12" s="2004"/>
      <c r="AQ12" s="781"/>
      <c r="AR12" s="781"/>
      <c r="AS12" s="781"/>
      <c r="AT12" s="781"/>
      <c r="AU12" s="781"/>
      <c r="AV12" s="1985"/>
      <c r="AW12" s="2027"/>
      <c r="AX12" s="2027"/>
      <c r="AY12" s="2004"/>
      <c r="AZ12" s="781"/>
      <c r="BA12" s="781"/>
      <c r="BB12" s="781"/>
      <c r="BC12" s="1985"/>
      <c r="BD12" s="2027"/>
      <c r="BE12" s="2004"/>
      <c r="BF12" s="781"/>
      <c r="BG12" s="781"/>
      <c r="BH12" s="781"/>
      <c r="BI12" s="781"/>
      <c r="BJ12" s="781"/>
      <c r="BK12" s="781"/>
      <c r="BL12" s="1985"/>
      <c r="BM12" s="2027"/>
      <c r="BN12" s="2001"/>
      <c r="BO12" s="2027"/>
      <c r="BP12" s="2027"/>
      <c r="BQ12" s="2004"/>
      <c r="BR12" s="781"/>
      <c r="BS12" s="1985"/>
      <c r="BT12" s="2097"/>
      <c r="BU12" s="2027"/>
      <c r="BV12" s="2078"/>
      <c r="BW12" s="2097"/>
      <c r="BX12" s="2027"/>
      <c r="BY12" s="2027"/>
      <c r="BZ12" s="2027"/>
      <c r="CA12" s="2027"/>
      <c r="CB12" s="2027"/>
      <c r="CC12" s="2027"/>
      <c r="CD12" s="2004"/>
      <c r="CE12" s="781"/>
      <c r="CF12" s="781"/>
      <c r="CG12" s="781"/>
      <c r="CH12" s="781"/>
      <c r="CI12" s="781"/>
      <c r="CJ12" s="781"/>
      <c r="CK12" s="781"/>
      <c r="CL12" s="781"/>
      <c r="CM12" s="781"/>
      <c r="CN12" s="781"/>
      <c r="CO12" s="781"/>
      <c r="CP12" s="781"/>
      <c r="CQ12" s="1985"/>
      <c r="CR12" s="2027"/>
      <c r="CS12" s="2078"/>
      <c r="CT12" s="2027"/>
      <c r="CU12" s="2027"/>
      <c r="CV12" s="2097"/>
      <c r="CW12" s="2097"/>
      <c r="CX12" s="2023"/>
      <c r="CY12" s="542"/>
      <c r="CZ12" s="542"/>
      <c r="DA12" s="542"/>
      <c r="DB12" s="542"/>
      <c r="DC12" s="542"/>
      <c r="DD12" s="542"/>
      <c r="DE12" s="542"/>
      <c r="DF12" s="542"/>
      <c r="DG12" s="542"/>
      <c r="DH12" s="542"/>
      <c r="DI12" s="542"/>
      <c r="DJ12" s="542"/>
      <c r="DK12" s="542"/>
      <c r="DL12" s="542"/>
      <c r="DM12" s="542"/>
      <c r="DN12" s="542"/>
      <c r="DO12" s="542"/>
      <c r="DP12" s="542"/>
      <c r="DQ12" s="542"/>
      <c r="DR12" s="542"/>
      <c r="DS12" s="542"/>
      <c r="DT12" s="542"/>
      <c r="DU12" s="542"/>
      <c r="DV12" s="542"/>
      <c r="DW12" s="542"/>
      <c r="DX12" s="542"/>
      <c r="DY12" s="542"/>
      <c r="DZ12" s="542"/>
      <c r="EA12" s="542"/>
      <c r="EB12" s="542"/>
      <c r="EC12" s="542"/>
      <c r="ED12" s="542"/>
      <c r="EE12" s="542"/>
      <c r="EF12" s="542"/>
      <c r="EG12" s="542"/>
      <c r="EH12" s="542"/>
      <c r="EI12" s="542"/>
      <c r="EJ12" s="542"/>
      <c r="EK12" s="542"/>
      <c r="EL12" s="542"/>
      <c r="EM12" s="542"/>
      <c r="EN12" s="542"/>
      <c r="EO12" s="542"/>
      <c r="EP12" s="542"/>
      <c r="EQ12" s="542"/>
      <c r="ER12" s="542"/>
      <c r="ES12" s="542"/>
      <c r="ET12" s="542"/>
      <c r="EU12" s="542"/>
      <c r="EV12" s="542"/>
      <c r="EW12" s="542"/>
      <c r="EX12" s="542"/>
      <c r="EY12" s="542"/>
      <c r="EZ12" s="542"/>
      <c r="FA12" s="542"/>
      <c r="FB12" s="542"/>
      <c r="FC12" s="542"/>
      <c r="FD12" s="542"/>
      <c r="FE12" s="542"/>
      <c r="FF12" s="542"/>
      <c r="FG12" s="542"/>
      <c r="FH12" s="542"/>
      <c r="FI12" s="542"/>
      <c r="FJ12" s="542"/>
      <c r="FK12" s="542"/>
      <c r="FL12" s="542"/>
      <c r="FM12" s="542"/>
      <c r="FN12" s="542"/>
      <c r="FO12" s="542"/>
      <c r="FP12" s="542"/>
      <c r="FQ12" s="542"/>
      <c r="FR12" s="542"/>
      <c r="FS12" s="542"/>
      <c r="FT12" s="542"/>
      <c r="FU12" s="542"/>
      <c r="FV12" s="542"/>
      <c r="FW12" s="542"/>
      <c r="FX12" s="542"/>
      <c r="FY12" s="542"/>
      <c r="FZ12" s="542"/>
      <c r="GA12" s="542"/>
      <c r="GB12" s="542"/>
      <c r="GC12" s="542"/>
      <c r="GD12" s="542"/>
      <c r="GE12" s="542"/>
      <c r="GF12" s="542"/>
      <c r="GG12" s="542"/>
      <c r="GH12" s="542"/>
      <c r="GI12" s="542"/>
      <c r="GJ12" s="542"/>
      <c r="GK12" s="542"/>
      <c r="GL12" s="542"/>
      <c r="GM12" s="542"/>
      <c r="GN12" s="542"/>
      <c r="GO12" s="542"/>
      <c r="GP12" s="542"/>
      <c r="GQ12" s="542"/>
      <c r="GR12" s="542"/>
      <c r="GS12" s="542"/>
      <c r="GT12" s="542"/>
      <c r="GU12" s="542"/>
      <c r="GV12" s="542"/>
      <c r="GW12" s="542"/>
      <c r="GX12" s="542"/>
      <c r="GY12" s="542"/>
      <c r="GZ12" s="542"/>
      <c r="HA12" s="542"/>
      <c r="HB12" s="542"/>
      <c r="HC12" s="542"/>
      <c r="HD12" s="542"/>
      <c r="HE12" s="542"/>
      <c r="HF12" s="542"/>
      <c r="HG12" s="542"/>
      <c r="HH12" s="542"/>
      <c r="HI12" s="542"/>
      <c r="HJ12" s="542"/>
      <c r="HK12" s="542"/>
      <c r="HL12" s="542"/>
      <c r="HM12" s="542"/>
      <c r="HN12" s="542"/>
      <c r="HO12" s="542"/>
      <c r="HP12" s="542"/>
      <c r="HQ12" s="542"/>
      <c r="HR12" s="542"/>
      <c r="HS12" s="542"/>
      <c r="HT12" s="542"/>
      <c r="HU12" s="542"/>
      <c r="HV12" s="542"/>
      <c r="HW12" s="542"/>
      <c r="HX12" s="542"/>
      <c r="HY12" s="542"/>
      <c r="HZ12" s="542"/>
      <c r="IA12" s="542"/>
      <c r="IB12" s="542"/>
      <c r="IC12" s="542"/>
      <c r="ID12" s="542"/>
      <c r="IE12" s="542"/>
      <c r="IF12" s="542"/>
      <c r="IG12" s="542"/>
      <c r="IH12" s="542"/>
      <c r="II12" s="542"/>
      <c r="IJ12" s="542"/>
      <c r="IK12" s="542"/>
      <c r="IL12" s="542"/>
      <c r="IM12" s="542"/>
      <c r="IN12" s="542"/>
      <c r="IO12" s="542"/>
      <c r="IP12" s="542"/>
      <c r="IQ12" s="542"/>
      <c r="IR12" s="542"/>
      <c r="IS12" s="542"/>
      <c r="IT12" s="542"/>
      <c r="IU12" s="542"/>
      <c r="IV12" s="542"/>
      <c r="IW12" s="542"/>
      <c r="IX12" s="542"/>
      <c r="IY12" s="542"/>
      <c r="IZ12" s="542"/>
      <c r="JA12" s="542"/>
      <c r="JB12" s="542"/>
    </row>
    <row r="13" spans="1:262" ht="25.2" hidden="1" customHeight="1">
      <c r="A13" s="2022" t="s">
        <v>167</v>
      </c>
      <c r="B13" s="2069"/>
      <c r="C13" s="2084"/>
      <c r="D13" s="2028"/>
      <c r="E13" s="670"/>
      <c r="F13" s="439"/>
      <c r="G13" s="1983"/>
      <c r="H13" s="2025"/>
      <c r="I13" s="2001"/>
      <c r="J13" s="2027"/>
      <c r="K13" s="2087"/>
      <c r="L13" s="2023"/>
      <c r="M13" s="2078"/>
      <c r="N13" s="2004"/>
      <c r="O13" s="781"/>
      <c r="P13" s="781"/>
      <c r="Q13" s="781"/>
      <c r="R13" s="1985"/>
      <c r="S13" s="2027"/>
      <c r="T13" s="2004"/>
      <c r="U13" s="781"/>
      <c r="V13" s="1985"/>
      <c r="W13" s="2027"/>
      <c r="X13" s="2004"/>
      <c r="Y13" s="781"/>
      <c r="Z13" s="781"/>
      <c r="AA13" s="781"/>
      <c r="AB13" s="781"/>
      <c r="AC13" s="781"/>
      <c r="AD13" s="781"/>
      <c r="AE13" s="781"/>
      <c r="AF13" s="781"/>
      <c r="AG13" s="781"/>
      <c r="AH13" s="781"/>
      <c r="AI13" s="781"/>
      <c r="AJ13" s="781"/>
      <c r="AK13" s="781"/>
      <c r="AL13" s="781"/>
      <c r="AM13" s="1985"/>
      <c r="AN13" s="2027"/>
      <c r="AO13" s="2027"/>
      <c r="AP13" s="2004"/>
      <c r="AQ13" s="781"/>
      <c r="AR13" s="781"/>
      <c r="AS13" s="781"/>
      <c r="AT13" s="781"/>
      <c r="AU13" s="781"/>
      <c r="AV13" s="1985"/>
      <c r="AW13" s="2027"/>
      <c r="AX13" s="2027"/>
      <c r="AY13" s="2004"/>
      <c r="AZ13" s="781"/>
      <c r="BA13" s="781"/>
      <c r="BB13" s="781"/>
      <c r="BC13" s="1985"/>
      <c r="BD13" s="2027"/>
      <c r="BE13" s="2004"/>
      <c r="BF13" s="781"/>
      <c r="BG13" s="781"/>
      <c r="BH13" s="781"/>
      <c r="BI13" s="781"/>
      <c r="BJ13" s="781"/>
      <c r="BK13" s="781"/>
      <c r="BL13" s="1985"/>
      <c r="BM13" s="2027"/>
      <c r="BN13" s="2001"/>
      <c r="BO13" s="2027"/>
      <c r="BP13" s="2027"/>
      <c r="BQ13" s="2004"/>
      <c r="BR13" s="781"/>
      <c r="BS13" s="1985"/>
      <c r="BT13" s="2097"/>
      <c r="BU13" s="2027"/>
      <c r="BV13" s="2079"/>
      <c r="BW13" s="2098"/>
      <c r="BX13" s="2027"/>
      <c r="BY13" s="2001"/>
      <c r="BZ13" s="2027"/>
      <c r="CA13" s="2027"/>
      <c r="CB13" s="2027"/>
      <c r="CC13" s="2027"/>
      <c r="CD13" s="2004"/>
      <c r="CE13" s="781"/>
      <c r="CF13" s="781"/>
      <c r="CG13" s="781"/>
      <c r="CH13" s="781"/>
      <c r="CI13" s="781"/>
      <c r="CJ13" s="781"/>
      <c r="CK13" s="781"/>
      <c r="CL13" s="781"/>
      <c r="CM13" s="781"/>
      <c r="CN13" s="781"/>
      <c r="CO13" s="781"/>
      <c r="CP13" s="781"/>
      <c r="CQ13" s="1985"/>
      <c r="CR13" s="2027"/>
      <c r="CS13" s="2079"/>
      <c r="CT13" s="2019"/>
      <c r="CU13" s="2019"/>
      <c r="CV13" s="2098"/>
      <c r="CW13" s="2097"/>
      <c r="CX13" s="2023"/>
      <c r="CZ13" s="542"/>
      <c r="DA13" s="542"/>
      <c r="DB13" s="542"/>
      <c r="DC13" s="542"/>
      <c r="DD13" s="542"/>
      <c r="DE13" s="542"/>
      <c r="DF13" s="542"/>
      <c r="DG13" s="542"/>
      <c r="DH13" s="542"/>
      <c r="DI13" s="542"/>
      <c r="DJ13" s="542"/>
      <c r="DK13" s="542"/>
      <c r="DL13" s="542"/>
      <c r="DM13" s="542"/>
      <c r="DN13" s="542"/>
      <c r="DO13" s="542"/>
      <c r="DP13" s="542"/>
      <c r="DQ13" s="542"/>
      <c r="DR13" s="542"/>
      <c r="DS13" s="542"/>
      <c r="DT13" s="542"/>
      <c r="DU13" s="542"/>
      <c r="DV13" s="542"/>
      <c r="DW13" s="542"/>
      <c r="DX13" s="542"/>
      <c r="DY13" s="542"/>
      <c r="DZ13" s="542"/>
      <c r="EA13" s="542"/>
      <c r="EB13" s="542"/>
      <c r="EC13" s="542"/>
      <c r="ED13" s="542"/>
      <c r="EE13" s="542"/>
      <c r="EF13" s="542"/>
      <c r="EG13" s="542"/>
      <c r="EH13" s="542"/>
      <c r="EI13" s="542"/>
      <c r="EJ13" s="542"/>
      <c r="EK13" s="542"/>
      <c r="EL13" s="542"/>
      <c r="EM13" s="542"/>
      <c r="EN13" s="542"/>
      <c r="EO13" s="542"/>
      <c r="EP13" s="542"/>
      <c r="EQ13" s="542"/>
      <c r="ER13" s="542"/>
      <c r="ES13" s="542"/>
      <c r="ET13" s="542"/>
      <c r="EU13" s="542"/>
      <c r="EV13" s="542"/>
      <c r="EW13" s="542"/>
      <c r="EX13" s="542"/>
      <c r="EY13" s="542"/>
      <c r="EZ13" s="542"/>
      <c r="FA13" s="542"/>
      <c r="FB13" s="542"/>
      <c r="FC13" s="542"/>
      <c r="FD13" s="542"/>
      <c r="FE13" s="542"/>
      <c r="FF13" s="542"/>
      <c r="FG13" s="542"/>
      <c r="FH13" s="542"/>
      <c r="FI13" s="542"/>
      <c r="FJ13" s="542"/>
      <c r="FK13" s="542"/>
      <c r="FL13" s="542"/>
      <c r="FM13" s="542"/>
      <c r="FN13" s="542"/>
      <c r="FO13" s="542"/>
      <c r="FP13" s="542"/>
      <c r="FQ13" s="542"/>
      <c r="FR13" s="542"/>
      <c r="FS13" s="542"/>
      <c r="FT13" s="542"/>
      <c r="FU13" s="542"/>
      <c r="FV13" s="542"/>
      <c r="FW13" s="542"/>
      <c r="FX13" s="542"/>
      <c r="FY13" s="542"/>
      <c r="FZ13" s="542"/>
      <c r="GA13" s="542"/>
      <c r="GB13" s="542"/>
      <c r="GC13" s="542"/>
      <c r="GD13" s="542"/>
      <c r="GE13" s="542"/>
      <c r="GF13" s="542"/>
      <c r="GG13" s="542"/>
      <c r="GH13" s="542"/>
      <c r="GI13" s="542"/>
      <c r="GJ13" s="542"/>
      <c r="GK13" s="542"/>
      <c r="GL13" s="542"/>
      <c r="GM13" s="542"/>
      <c r="GN13" s="542"/>
      <c r="GO13" s="542"/>
      <c r="GP13" s="542"/>
      <c r="GQ13" s="542"/>
      <c r="GR13" s="542"/>
      <c r="GS13" s="542"/>
      <c r="GT13" s="542"/>
      <c r="GU13" s="542"/>
      <c r="GV13" s="542"/>
      <c r="GW13" s="542"/>
      <c r="GX13" s="542"/>
      <c r="GY13" s="542"/>
      <c r="GZ13" s="542"/>
      <c r="HA13" s="542"/>
      <c r="HB13" s="542"/>
      <c r="HC13" s="542"/>
      <c r="HD13" s="542"/>
      <c r="HE13" s="542"/>
      <c r="HF13" s="542"/>
      <c r="HG13" s="542"/>
      <c r="HH13" s="542"/>
      <c r="HI13" s="542"/>
      <c r="HJ13" s="542"/>
      <c r="HK13" s="542"/>
      <c r="HL13" s="542"/>
      <c r="HM13" s="542"/>
      <c r="HN13" s="542"/>
      <c r="HO13" s="542"/>
      <c r="HP13" s="542"/>
      <c r="HQ13" s="542"/>
      <c r="HR13" s="542"/>
      <c r="HS13" s="542"/>
      <c r="HT13" s="542"/>
      <c r="HU13" s="542"/>
      <c r="HV13" s="542"/>
      <c r="HW13" s="542"/>
      <c r="HX13" s="542"/>
      <c r="HY13" s="542"/>
      <c r="HZ13" s="542"/>
      <c r="IA13" s="542"/>
      <c r="IB13" s="542"/>
      <c r="IC13" s="542"/>
      <c r="ID13" s="542"/>
      <c r="IE13" s="542"/>
      <c r="IF13" s="542"/>
      <c r="IG13" s="542"/>
      <c r="IH13" s="542"/>
      <c r="II13" s="542"/>
      <c r="IJ13" s="542"/>
      <c r="IK13" s="542"/>
      <c r="IL13" s="542"/>
      <c r="IM13" s="542"/>
      <c r="IN13" s="542"/>
      <c r="IO13" s="542"/>
      <c r="IP13" s="542"/>
      <c r="IQ13" s="542"/>
      <c r="IR13" s="542"/>
      <c r="IS13" s="542"/>
      <c r="IT13" s="542"/>
      <c r="IU13" s="542"/>
      <c r="IV13" s="542"/>
      <c r="IW13" s="542"/>
      <c r="IX13" s="542"/>
      <c r="IY13" s="542"/>
      <c r="IZ13" s="542"/>
      <c r="JA13" s="542"/>
      <c r="JB13" s="542"/>
    </row>
    <row r="14" spans="1:262" ht="25.2" hidden="1" customHeight="1">
      <c r="A14" s="2022" t="s">
        <v>168</v>
      </c>
      <c r="B14" s="2069"/>
      <c r="C14" s="2084"/>
      <c r="D14" s="2028"/>
      <c r="E14" s="670"/>
      <c r="F14" s="439"/>
      <c r="G14" s="1983"/>
      <c r="H14" s="2025"/>
      <c r="I14" s="2001"/>
      <c r="J14" s="2027"/>
      <c r="K14" s="2087"/>
      <c r="L14" s="2023"/>
      <c r="M14" s="2078"/>
      <c r="N14" s="2004"/>
      <c r="O14" s="781"/>
      <c r="P14" s="781"/>
      <c r="Q14" s="781"/>
      <c r="R14" s="1985"/>
      <c r="S14" s="2027"/>
      <c r="T14" s="2004"/>
      <c r="U14" s="781"/>
      <c r="V14" s="1985"/>
      <c r="W14" s="2027"/>
      <c r="X14" s="2004"/>
      <c r="Y14" s="781"/>
      <c r="Z14" s="781"/>
      <c r="AA14" s="781"/>
      <c r="AB14" s="781"/>
      <c r="AC14" s="781"/>
      <c r="AD14" s="781"/>
      <c r="AE14" s="781"/>
      <c r="AF14" s="781"/>
      <c r="AG14" s="781"/>
      <c r="AH14" s="781"/>
      <c r="AI14" s="781"/>
      <c r="AJ14" s="781"/>
      <c r="AK14" s="781"/>
      <c r="AL14" s="781"/>
      <c r="AM14" s="1985"/>
      <c r="AN14" s="2027"/>
      <c r="AO14" s="2027"/>
      <c r="AP14" s="2004"/>
      <c r="AQ14" s="781"/>
      <c r="AR14" s="781"/>
      <c r="AS14" s="781"/>
      <c r="AT14" s="781"/>
      <c r="AU14" s="781"/>
      <c r="AV14" s="1985"/>
      <c r="AW14" s="2027"/>
      <c r="AX14" s="2027"/>
      <c r="AY14" s="2004"/>
      <c r="AZ14" s="781"/>
      <c r="BA14" s="781"/>
      <c r="BB14" s="781"/>
      <c r="BC14" s="1985"/>
      <c r="BD14" s="2027"/>
      <c r="BE14" s="2004"/>
      <c r="BF14" s="781"/>
      <c r="BG14" s="781"/>
      <c r="BH14" s="781"/>
      <c r="BI14" s="781"/>
      <c r="BJ14" s="781"/>
      <c r="BK14" s="781"/>
      <c r="BL14" s="1985"/>
      <c r="BM14" s="2027"/>
      <c r="BN14" s="2001"/>
      <c r="BO14" s="2027"/>
      <c r="BP14" s="2027"/>
      <c r="BQ14" s="2004"/>
      <c r="BR14" s="781"/>
      <c r="BS14" s="1985"/>
      <c r="BT14" s="2097"/>
      <c r="BU14" s="2027"/>
      <c r="BV14" s="2004"/>
      <c r="BW14" s="1985"/>
      <c r="BX14" s="2027"/>
      <c r="BY14" s="2001"/>
      <c r="BZ14" s="2027"/>
      <c r="CA14" s="2027"/>
      <c r="CB14" s="2027"/>
      <c r="CC14" s="2027"/>
      <c r="CD14" s="2004"/>
      <c r="CE14" s="781"/>
      <c r="CF14" s="781"/>
      <c r="CG14" s="781"/>
      <c r="CH14" s="781"/>
      <c r="CI14" s="781"/>
      <c r="CJ14" s="781"/>
      <c r="CK14" s="781"/>
      <c r="CL14" s="781"/>
      <c r="CM14" s="781"/>
      <c r="CN14" s="781"/>
      <c r="CO14" s="781"/>
      <c r="CP14" s="781"/>
      <c r="CQ14" s="1985"/>
      <c r="CR14" s="2027"/>
      <c r="CS14" s="2004"/>
      <c r="CT14" s="781"/>
      <c r="CU14" s="781"/>
      <c r="CV14" s="1985"/>
      <c r="CW14" s="2097"/>
      <c r="CX14" s="2023"/>
      <c r="CZ14" s="542"/>
      <c r="DA14" s="542"/>
      <c r="DB14" s="542"/>
      <c r="DC14" s="542"/>
      <c r="DD14" s="542"/>
      <c r="DE14" s="542"/>
      <c r="DF14" s="542"/>
      <c r="DG14" s="542"/>
      <c r="DH14" s="542"/>
      <c r="DI14" s="542"/>
      <c r="DJ14" s="542"/>
      <c r="DK14" s="542"/>
      <c r="DL14" s="542"/>
      <c r="DM14" s="542"/>
      <c r="DN14" s="542"/>
      <c r="DO14" s="542"/>
      <c r="DP14" s="542"/>
      <c r="DQ14" s="542"/>
      <c r="DR14" s="542"/>
      <c r="DS14" s="542"/>
      <c r="DT14" s="542"/>
      <c r="DU14" s="542"/>
      <c r="DV14" s="542"/>
      <c r="DW14" s="542"/>
      <c r="DX14" s="542"/>
      <c r="DY14" s="542"/>
      <c r="DZ14" s="542"/>
      <c r="EA14" s="542"/>
      <c r="EB14" s="542"/>
      <c r="EC14" s="542"/>
      <c r="ED14" s="542"/>
      <c r="EE14" s="542"/>
      <c r="EF14" s="542"/>
      <c r="EG14" s="542"/>
      <c r="EH14" s="542"/>
      <c r="EI14" s="542"/>
      <c r="EJ14" s="542"/>
      <c r="EK14" s="542"/>
      <c r="EL14" s="542"/>
      <c r="EM14" s="542"/>
      <c r="EN14" s="542"/>
      <c r="EO14" s="542"/>
      <c r="EP14" s="542"/>
      <c r="EQ14" s="542"/>
      <c r="ER14" s="542"/>
      <c r="ES14" s="542"/>
      <c r="ET14" s="542"/>
      <c r="EU14" s="542"/>
      <c r="EV14" s="542"/>
      <c r="EW14" s="542"/>
      <c r="EX14" s="542"/>
      <c r="EY14" s="542"/>
      <c r="EZ14" s="542"/>
      <c r="FA14" s="542"/>
      <c r="FB14" s="542"/>
      <c r="FC14" s="542"/>
      <c r="FD14" s="542"/>
      <c r="FE14" s="542"/>
      <c r="FF14" s="542"/>
      <c r="FG14" s="542"/>
      <c r="FH14" s="542"/>
      <c r="FI14" s="542"/>
      <c r="FJ14" s="542"/>
      <c r="FK14" s="542"/>
      <c r="FL14" s="542"/>
      <c r="FM14" s="542"/>
      <c r="FN14" s="542"/>
      <c r="FO14" s="542"/>
      <c r="FP14" s="542"/>
      <c r="FQ14" s="542"/>
      <c r="FR14" s="542"/>
      <c r="FS14" s="542"/>
      <c r="FT14" s="542"/>
      <c r="FU14" s="542"/>
      <c r="FV14" s="542"/>
      <c r="FW14" s="542"/>
      <c r="FX14" s="542"/>
      <c r="FY14" s="542"/>
      <c r="FZ14" s="542"/>
      <c r="GA14" s="542"/>
      <c r="GB14" s="542"/>
      <c r="GC14" s="542"/>
      <c r="GD14" s="542"/>
      <c r="GE14" s="542"/>
      <c r="GF14" s="542"/>
      <c r="GG14" s="542"/>
      <c r="GH14" s="542"/>
      <c r="GI14" s="542"/>
      <c r="GJ14" s="542"/>
      <c r="GK14" s="542"/>
      <c r="GL14" s="542"/>
      <c r="GM14" s="542"/>
      <c r="GN14" s="542"/>
      <c r="GO14" s="542"/>
      <c r="GP14" s="542"/>
      <c r="GQ14" s="542"/>
      <c r="GR14" s="542"/>
      <c r="GS14" s="542"/>
      <c r="GT14" s="542"/>
      <c r="GU14" s="542"/>
      <c r="GV14" s="542"/>
      <c r="GW14" s="542"/>
      <c r="GX14" s="542"/>
      <c r="GY14" s="542"/>
      <c r="GZ14" s="542"/>
      <c r="HA14" s="542"/>
      <c r="HB14" s="542"/>
      <c r="HC14" s="542"/>
      <c r="HD14" s="542"/>
      <c r="HE14" s="542"/>
      <c r="HF14" s="542"/>
      <c r="HG14" s="542"/>
      <c r="HH14" s="542"/>
      <c r="HI14" s="542"/>
      <c r="HJ14" s="542"/>
      <c r="HK14" s="542"/>
      <c r="HL14" s="542"/>
      <c r="HM14" s="542"/>
      <c r="HN14" s="542"/>
      <c r="HO14" s="542"/>
      <c r="HP14" s="542"/>
      <c r="HQ14" s="542"/>
      <c r="HR14" s="542"/>
      <c r="HS14" s="542"/>
      <c r="HT14" s="542"/>
      <c r="HU14" s="542"/>
      <c r="HV14" s="542"/>
      <c r="HW14" s="542"/>
      <c r="HX14" s="542"/>
      <c r="HY14" s="542"/>
      <c r="HZ14" s="542"/>
      <c r="IA14" s="542"/>
      <c r="IB14" s="542"/>
      <c r="IC14" s="542"/>
      <c r="ID14" s="542"/>
      <c r="IE14" s="542"/>
      <c r="IF14" s="542"/>
      <c r="IG14" s="542"/>
      <c r="IH14" s="542"/>
      <c r="II14" s="542"/>
      <c r="IJ14" s="542"/>
      <c r="IK14" s="542"/>
      <c r="IL14" s="542"/>
      <c r="IM14" s="542"/>
      <c r="IN14" s="542"/>
      <c r="IO14" s="542"/>
      <c r="IP14" s="542"/>
      <c r="IQ14" s="542"/>
      <c r="IR14" s="542"/>
      <c r="IS14" s="542"/>
      <c r="IT14" s="542"/>
      <c r="IU14" s="542"/>
      <c r="IV14" s="542"/>
      <c r="IW14" s="542"/>
      <c r="IX14" s="542"/>
      <c r="IY14" s="542"/>
      <c r="IZ14" s="542"/>
      <c r="JA14" s="542"/>
      <c r="JB14" s="542"/>
    </row>
    <row r="15" spans="1:262" ht="25.2" hidden="1" customHeight="1">
      <c r="A15" s="2022" t="s">
        <v>165</v>
      </c>
      <c r="B15" s="2069"/>
      <c r="C15" s="2084"/>
      <c r="D15" s="2028"/>
      <c r="E15" s="670"/>
      <c r="F15" s="439"/>
      <c r="G15" s="1983"/>
      <c r="H15" s="2025"/>
      <c r="I15" s="2001"/>
      <c r="J15" s="2027"/>
      <c r="K15" s="2087"/>
      <c r="L15" s="2023"/>
      <c r="M15" s="2078"/>
      <c r="N15" s="2004"/>
      <c r="O15" s="781"/>
      <c r="P15" s="781"/>
      <c r="Q15" s="781"/>
      <c r="R15" s="1985"/>
      <c r="S15" s="2027"/>
      <c r="T15" s="2004"/>
      <c r="U15" s="781"/>
      <c r="V15" s="1985"/>
      <c r="W15" s="2027"/>
      <c r="X15" s="2004"/>
      <c r="Y15" s="781"/>
      <c r="Z15" s="781"/>
      <c r="AA15" s="781"/>
      <c r="AB15" s="781"/>
      <c r="AC15" s="781"/>
      <c r="AD15" s="781"/>
      <c r="AE15" s="781"/>
      <c r="AF15" s="781"/>
      <c r="AG15" s="781"/>
      <c r="AH15" s="781"/>
      <c r="AI15" s="781"/>
      <c r="AJ15" s="781"/>
      <c r="AK15" s="781"/>
      <c r="AL15" s="781"/>
      <c r="AM15" s="1985"/>
      <c r="AN15" s="2027"/>
      <c r="AO15" s="2027"/>
      <c r="AP15" s="2004"/>
      <c r="AQ15" s="781"/>
      <c r="AR15" s="781"/>
      <c r="AS15" s="781"/>
      <c r="AT15" s="781"/>
      <c r="AU15" s="781"/>
      <c r="AV15" s="1985"/>
      <c r="AW15" s="2027"/>
      <c r="AX15" s="2027"/>
      <c r="AY15" s="2004"/>
      <c r="AZ15" s="781"/>
      <c r="BA15" s="781"/>
      <c r="BB15" s="781"/>
      <c r="BC15" s="1985"/>
      <c r="BD15" s="2027"/>
      <c r="BE15" s="2004"/>
      <c r="BF15" s="781"/>
      <c r="BG15" s="781"/>
      <c r="BH15" s="781"/>
      <c r="BI15" s="781"/>
      <c r="BJ15" s="781"/>
      <c r="BK15" s="781"/>
      <c r="BL15" s="1985"/>
      <c r="BM15" s="2027"/>
      <c r="BN15" s="2001"/>
      <c r="BO15" s="2027"/>
      <c r="BP15" s="2027"/>
      <c r="BQ15" s="2004"/>
      <c r="BR15" s="781"/>
      <c r="BS15" s="1985"/>
      <c r="BT15" s="2097"/>
      <c r="BU15" s="2027"/>
      <c r="BV15" s="2004"/>
      <c r="BW15" s="1985"/>
      <c r="BX15" s="2027"/>
      <c r="BY15" s="2001"/>
      <c r="BZ15" s="2027"/>
      <c r="CA15" s="2027"/>
      <c r="CB15" s="2027"/>
      <c r="CC15" s="2027"/>
      <c r="CD15" s="2004"/>
      <c r="CE15" s="781"/>
      <c r="CF15" s="781"/>
      <c r="CG15" s="781"/>
      <c r="CH15" s="781"/>
      <c r="CI15" s="781"/>
      <c r="CJ15" s="781"/>
      <c r="CK15" s="781"/>
      <c r="CL15" s="781"/>
      <c r="CM15" s="781"/>
      <c r="CN15" s="781"/>
      <c r="CO15" s="781"/>
      <c r="CP15" s="781"/>
      <c r="CQ15" s="1985"/>
      <c r="CR15" s="2027"/>
      <c r="CS15" s="2004"/>
      <c r="CT15" s="781"/>
      <c r="CU15" s="781"/>
      <c r="CV15" s="1985"/>
      <c r="CW15" s="2097"/>
      <c r="CX15" s="2023"/>
      <c r="CZ15" s="542"/>
      <c r="DA15" s="542"/>
      <c r="DB15" s="542"/>
      <c r="DC15" s="542"/>
      <c r="DD15" s="542"/>
      <c r="DE15" s="542"/>
      <c r="DF15" s="542"/>
      <c r="DG15" s="542"/>
      <c r="DH15" s="542"/>
      <c r="DI15" s="542"/>
      <c r="DJ15" s="542"/>
      <c r="DK15" s="542"/>
      <c r="DL15" s="542"/>
      <c r="DM15" s="542"/>
      <c r="DN15" s="542"/>
      <c r="DO15" s="542"/>
      <c r="DP15" s="542"/>
      <c r="DQ15" s="542"/>
      <c r="DR15" s="542"/>
      <c r="DS15" s="542"/>
      <c r="DT15" s="542"/>
      <c r="DU15" s="542"/>
      <c r="DV15" s="542"/>
      <c r="DW15" s="542"/>
      <c r="DX15" s="542"/>
      <c r="DY15" s="542"/>
      <c r="DZ15" s="542"/>
      <c r="EA15" s="542"/>
      <c r="EB15" s="542"/>
      <c r="EC15" s="542"/>
      <c r="ED15" s="542"/>
      <c r="EE15" s="542"/>
      <c r="EF15" s="542"/>
      <c r="EG15" s="542"/>
      <c r="EH15" s="542"/>
      <c r="EI15" s="542"/>
      <c r="EJ15" s="542"/>
      <c r="EK15" s="542"/>
      <c r="EL15" s="542"/>
      <c r="EM15" s="542"/>
      <c r="EN15" s="542"/>
      <c r="EO15" s="542"/>
      <c r="EP15" s="542"/>
      <c r="EQ15" s="542"/>
      <c r="ER15" s="542"/>
      <c r="ES15" s="542"/>
      <c r="ET15" s="542"/>
      <c r="EU15" s="542"/>
      <c r="EV15" s="542"/>
      <c r="EW15" s="542"/>
      <c r="EX15" s="542"/>
      <c r="EY15" s="542"/>
      <c r="EZ15" s="542"/>
      <c r="FA15" s="542"/>
      <c r="FB15" s="542"/>
      <c r="FC15" s="542"/>
      <c r="FD15" s="542"/>
      <c r="FE15" s="542"/>
      <c r="FF15" s="542"/>
      <c r="FG15" s="542"/>
      <c r="FH15" s="542"/>
      <c r="FI15" s="542"/>
      <c r="FJ15" s="542"/>
      <c r="FK15" s="542"/>
      <c r="FL15" s="542"/>
      <c r="FM15" s="542"/>
      <c r="FN15" s="542"/>
      <c r="FO15" s="542"/>
      <c r="FP15" s="542"/>
      <c r="FQ15" s="542"/>
      <c r="FR15" s="542"/>
      <c r="FS15" s="542"/>
      <c r="FT15" s="542"/>
      <c r="FU15" s="542"/>
      <c r="FV15" s="542"/>
      <c r="FW15" s="542"/>
      <c r="FX15" s="542"/>
      <c r="FY15" s="542"/>
      <c r="FZ15" s="542"/>
      <c r="GA15" s="542"/>
      <c r="GB15" s="542"/>
      <c r="GC15" s="542"/>
      <c r="GD15" s="542"/>
      <c r="GE15" s="542"/>
      <c r="GF15" s="542"/>
      <c r="GG15" s="542"/>
      <c r="GH15" s="542"/>
      <c r="GI15" s="542"/>
      <c r="GJ15" s="542"/>
      <c r="GK15" s="542"/>
      <c r="GL15" s="542"/>
      <c r="GM15" s="542"/>
      <c r="GN15" s="542"/>
      <c r="GO15" s="542"/>
      <c r="GP15" s="542"/>
      <c r="GQ15" s="542"/>
      <c r="GR15" s="542"/>
      <c r="GS15" s="542"/>
      <c r="GT15" s="542"/>
      <c r="GU15" s="542"/>
      <c r="GV15" s="542"/>
      <c r="GW15" s="542"/>
      <c r="GX15" s="542"/>
      <c r="GY15" s="542"/>
      <c r="GZ15" s="542"/>
      <c r="HA15" s="542"/>
      <c r="HB15" s="542"/>
      <c r="HC15" s="542"/>
      <c r="HD15" s="542"/>
      <c r="HE15" s="542"/>
      <c r="HF15" s="542"/>
      <c r="HG15" s="542"/>
      <c r="HH15" s="542"/>
      <c r="HI15" s="542"/>
      <c r="HJ15" s="542"/>
      <c r="HK15" s="542"/>
      <c r="HL15" s="542"/>
      <c r="HM15" s="542"/>
      <c r="HN15" s="542"/>
      <c r="HO15" s="542"/>
      <c r="HP15" s="542"/>
      <c r="HQ15" s="542"/>
      <c r="HR15" s="542"/>
      <c r="HS15" s="542"/>
      <c r="HT15" s="542"/>
      <c r="HU15" s="542"/>
      <c r="HV15" s="542"/>
      <c r="HW15" s="542"/>
      <c r="HX15" s="542"/>
      <c r="HY15" s="542"/>
      <c r="HZ15" s="542"/>
      <c r="IA15" s="542"/>
      <c r="IB15" s="542"/>
      <c r="IC15" s="542"/>
      <c r="ID15" s="542"/>
      <c r="IE15" s="542"/>
      <c r="IF15" s="542"/>
      <c r="IG15" s="542"/>
      <c r="IH15" s="542"/>
      <c r="II15" s="542"/>
      <c r="IJ15" s="542"/>
      <c r="IK15" s="542"/>
      <c r="IL15" s="542"/>
      <c r="IM15" s="542"/>
      <c r="IN15" s="542"/>
      <c r="IO15" s="542"/>
      <c r="IP15" s="542"/>
      <c r="IQ15" s="542"/>
      <c r="IR15" s="542"/>
      <c r="IS15" s="542"/>
      <c r="IT15" s="542"/>
      <c r="IU15" s="542"/>
      <c r="IV15" s="542"/>
      <c r="IW15" s="542"/>
      <c r="IX15" s="542"/>
      <c r="IY15" s="542"/>
      <c r="IZ15" s="542"/>
      <c r="JA15" s="542"/>
      <c r="JB15" s="542"/>
    </row>
    <row r="16" spans="1:262" ht="25.2" hidden="1" customHeight="1">
      <c r="A16" s="2022" t="s">
        <v>169</v>
      </c>
      <c r="B16" s="2069"/>
      <c r="C16" s="2084"/>
      <c r="D16" s="2028"/>
      <c r="E16" s="670"/>
      <c r="F16" s="439"/>
      <c r="G16" s="1983"/>
      <c r="H16" s="2025"/>
      <c r="I16" s="2001"/>
      <c r="J16" s="2027"/>
      <c r="K16" s="2087"/>
      <c r="L16" s="2023"/>
      <c r="M16" s="2078"/>
      <c r="N16" s="2004"/>
      <c r="O16" s="781"/>
      <c r="P16" s="781"/>
      <c r="Q16" s="781"/>
      <c r="R16" s="1985"/>
      <c r="S16" s="2027"/>
      <c r="T16" s="2004"/>
      <c r="U16" s="781"/>
      <c r="V16" s="1985"/>
      <c r="W16" s="2027"/>
      <c r="X16" s="2004"/>
      <c r="Y16" s="781"/>
      <c r="Z16" s="781"/>
      <c r="AA16" s="781"/>
      <c r="AB16" s="781"/>
      <c r="AC16" s="781"/>
      <c r="AD16" s="781"/>
      <c r="AE16" s="781"/>
      <c r="AF16" s="781"/>
      <c r="AG16" s="781"/>
      <c r="AH16" s="781"/>
      <c r="AI16" s="781"/>
      <c r="AJ16" s="781"/>
      <c r="AK16" s="781"/>
      <c r="AL16" s="781"/>
      <c r="AM16" s="1985"/>
      <c r="AN16" s="2027"/>
      <c r="AO16" s="2027"/>
      <c r="AP16" s="2004"/>
      <c r="AQ16" s="781"/>
      <c r="AR16" s="781"/>
      <c r="AS16" s="781"/>
      <c r="AT16" s="781"/>
      <c r="AU16" s="781"/>
      <c r="AV16" s="1985"/>
      <c r="AW16" s="2027"/>
      <c r="AX16" s="2027"/>
      <c r="AY16" s="2004"/>
      <c r="AZ16" s="781"/>
      <c r="BA16" s="781"/>
      <c r="BB16" s="781"/>
      <c r="BC16" s="1985"/>
      <c r="BD16" s="2027"/>
      <c r="BE16" s="2004"/>
      <c r="BF16" s="781"/>
      <c r="BG16" s="781"/>
      <c r="BH16" s="781"/>
      <c r="BI16" s="781"/>
      <c r="BJ16" s="781"/>
      <c r="BK16" s="781"/>
      <c r="BL16" s="1985"/>
      <c r="BM16" s="2027"/>
      <c r="BN16" s="2001"/>
      <c r="BO16" s="2027"/>
      <c r="BP16" s="2027"/>
      <c r="BQ16" s="2004"/>
      <c r="BR16" s="781"/>
      <c r="BS16" s="1985"/>
      <c r="BT16" s="2097"/>
      <c r="BU16" s="2027"/>
      <c r="BV16" s="2004"/>
      <c r="BW16" s="1985"/>
      <c r="BX16" s="2027"/>
      <c r="BY16" s="2001"/>
      <c r="BZ16" s="2027"/>
      <c r="CA16" s="2027"/>
      <c r="CB16" s="2027"/>
      <c r="CC16" s="2027"/>
      <c r="CD16" s="2004"/>
      <c r="CE16" s="781"/>
      <c r="CF16" s="781"/>
      <c r="CG16" s="781"/>
      <c r="CH16" s="781"/>
      <c r="CI16" s="781"/>
      <c r="CJ16" s="781"/>
      <c r="CK16" s="781"/>
      <c r="CL16" s="781"/>
      <c r="CM16" s="781"/>
      <c r="CN16" s="781"/>
      <c r="CO16" s="781"/>
      <c r="CP16" s="781"/>
      <c r="CQ16" s="1985"/>
      <c r="CR16" s="2027"/>
      <c r="CS16" s="2004"/>
      <c r="CT16" s="781"/>
      <c r="CU16" s="781"/>
      <c r="CV16" s="1985"/>
      <c r="CW16" s="2097"/>
      <c r="CX16" s="2023"/>
      <c r="CZ16" s="542"/>
      <c r="DA16" s="542"/>
      <c r="DB16" s="542"/>
      <c r="DC16" s="542"/>
      <c r="DD16" s="542"/>
      <c r="DE16" s="542"/>
      <c r="DF16" s="542"/>
      <c r="DG16" s="542"/>
      <c r="DH16" s="542"/>
      <c r="DI16" s="542"/>
      <c r="DJ16" s="542"/>
      <c r="DK16" s="542"/>
      <c r="DL16" s="542"/>
      <c r="DM16" s="542"/>
      <c r="DN16" s="542"/>
      <c r="DO16" s="542"/>
      <c r="DP16" s="542"/>
      <c r="DQ16" s="542"/>
      <c r="DR16" s="542"/>
      <c r="DS16" s="542"/>
      <c r="DT16" s="542"/>
      <c r="DU16" s="542"/>
      <c r="DV16" s="542"/>
      <c r="DW16" s="542"/>
      <c r="DX16" s="542"/>
      <c r="DY16" s="542"/>
      <c r="DZ16" s="542"/>
      <c r="EA16" s="542"/>
      <c r="EB16" s="542"/>
      <c r="EC16" s="542"/>
      <c r="ED16" s="542"/>
      <c r="EE16" s="542"/>
      <c r="EF16" s="542"/>
      <c r="EG16" s="542"/>
      <c r="EH16" s="542"/>
      <c r="EI16" s="542"/>
      <c r="EJ16" s="542"/>
      <c r="EK16" s="542"/>
      <c r="EL16" s="542"/>
      <c r="EM16" s="542"/>
      <c r="EN16" s="542"/>
      <c r="EO16" s="542"/>
      <c r="EP16" s="542"/>
      <c r="EQ16" s="542"/>
      <c r="ER16" s="542"/>
      <c r="ES16" s="542"/>
      <c r="ET16" s="542"/>
      <c r="EU16" s="542"/>
      <c r="EV16" s="542"/>
      <c r="EW16" s="542"/>
      <c r="EX16" s="542"/>
      <c r="EY16" s="542"/>
      <c r="EZ16" s="542"/>
      <c r="FA16" s="542"/>
      <c r="FB16" s="542"/>
      <c r="FC16" s="542"/>
      <c r="FD16" s="542"/>
      <c r="FE16" s="542"/>
      <c r="FF16" s="542"/>
      <c r="FG16" s="542"/>
      <c r="FH16" s="542"/>
      <c r="FI16" s="542"/>
      <c r="FJ16" s="542"/>
      <c r="FK16" s="542"/>
      <c r="FL16" s="542"/>
      <c r="FM16" s="542"/>
      <c r="FN16" s="542"/>
      <c r="FO16" s="542"/>
      <c r="FP16" s="542"/>
      <c r="FQ16" s="542"/>
      <c r="FR16" s="542"/>
      <c r="FS16" s="542"/>
      <c r="FT16" s="542"/>
      <c r="FU16" s="542"/>
      <c r="FV16" s="542"/>
      <c r="FW16" s="542"/>
      <c r="FX16" s="542"/>
      <c r="FY16" s="542"/>
      <c r="FZ16" s="542"/>
      <c r="GA16" s="542"/>
      <c r="GB16" s="542"/>
      <c r="GC16" s="542"/>
      <c r="GD16" s="542"/>
      <c r="GE16" s="542"/>
      <c r="GF16" s="542"/>
      <c r="GG16" s="542"/>
      <c r="GH16" s="542"/>
      <c r="GI16" s="542"/>
      <c r="GJ16" s="542"/>
      <c r="GK16" s="542"/>
      <c r="GL16" s="542"/>
      <c r="GM16" s="542"/>
      <c r="GN16" s="542"/>
      <c r="GO16" s="542"/>
      <c r="GP16" s="542"/>
      <c r="GQ16" s="542"/>
      <c r="GR16" s="542"/>
      <c r="GS16" s="542"/>
      <c r="GT16" s="542"/>
      <c r="GU16" s="542"/>
      <c r="GV16" s="542"/>
      <c r="GW16" s="542"/>
      <c r="GX16" s="542"/>
      <c r="GY16" s="542"/>
      <c r="GZ16" s="542"/>
      <c r="HA16" s="542"/>
      <c r="HB16" s="542"/>
      <c r="HC16" s="542"/>
      <c r="HD16" s="542"/>
      <c r="HE16" s="542"/>
      <c r="HF16" s="542"/>
      <c r="HG16" s="542"/>
      <c r="HH16" s="542"/>
      <c r="HI16" s="542"/>
      <c r="HJ16" s="542"/>
      <c r="HK16" s="542"/>
      <c r="HL16" s="542"/>
      <c r="HM16" s="542"/>
      <c r="HN16" s="542"/>
      <c r="HO16" s="542"/>
      <c r="HP16" s="542"/>
      <c r="HQ16" s="542"/>
      <c r="HR16" s="542"/>
      <c r="HS16" s="542"/>
      <c r="HT16" s="542"/>
      <c r="HU16" s="542"/>
      <c r="HV16" s="542"/>
      <c r="HW16" s="542"/>
      <c r="HX16" s="542"/>
      <c r="HY16" s="542"/>
      <c r="HZ16" s="542"/>
      <c r="IA16" s="542"/>
      <c r="IB16" s="542"/>
      <c r="IC16" s="542"/>
      <c r="ID16" s="542"/>
      <c r="IE16" s="542"/>
      <c r="IF16" s="542"/>
      <c r="IG16" s="542"/>
      <c r="IH16" s="542"/>
      <c r="II16" s="542"/>
      <c r="IJ16" s="542"/>
      <c r="IK16" s="542"/>
      <c r="IL16" s="542"/>
      <c r="IM16" s="542"/>
      <c r="IN16" s="542"/>
      <c r="IO16" s="542"/>
      <c r="IP16" s="542"/>
      <c r="IQ16" s="542"/>
      <c r="IR16" s="542"/>
      <c r="IS16" s="542"/>
      <c r="IT16" s="542"/>
      <c r="IU16" s="542"/>
      <c r="IV16" s="542"/>
      <c r="IW16" s="542"/>
      <c r="IX16" s="542"/>
      <c r="IY16" s="542"/>
      <c r="IZ16" s="542"/>
      <c r="JA16" s="542"/>
      <c r="JB16" s="542"/>
    </row>
    <row r="17" spans="1:262" ht="25.2" hidden="1" customHeight="1">
      <c r="A17" s="2022" t="s">
        <v>170</v>
      </c>
      <c r="B17" s="2069"/>
      <c r="C17" s="2084"/>
      <c r="D17" s="2028"/>
      <c r="E17" s="670"/>
      <c r="F17" s="439"/>
      <c r="G17" s="1983"/>
      <c r="H17" s="2025"/>
      <c r="I17" s="2001"/>
      <c r="J17" s="2027"/>
      <c r="K17" s="2087"/>
      <c r="L17" s="2023"/>
      <c r="M17" s="2078"/>
      <c r="N17" s="2004"/>
      <c r="O17" s="781"/>
      <c r="P17" s="781"/>
      <c r="Q17" s="781"/>
      <c r="R17" s="1985"/>
      <c r="S17" s="2027"/>
      <c r="T17" s="2004"/>
      <c r="U17" s="781"/>
      <c r="V17" s="1985"/>
      <c r="W17" s="2027"/>
      <c r="X17" s="2004"/>
      <c r="Y17" s="781"/>
      <c r="Z17" s="781"/>
      <c r="AA17" s="781"/>
      <c r="AB17" s="781"/>
      <c r="AC17" s="781"/>
      <c r="AD17" s="781"/>
      <c r="AE17" s="781"/>
      <c r="AF17" s="781"/>
      <c r="AG17" s="781"/>
      <c r="AH17" s="781"/>
      <c r="AI17" s="781"/>
      <c r="AJ17" s="781"/>
      <c r="AK17" s="781"/>
      <c r="AL17" s="781"/>
      <c r="AM17" s="1985"/>
      <c r="AN17" s="2027"/>
      <c r="AO17" s="2027"/>
      <c r="AP17" s="2004"/>
      <c r="AQ17" s="781"/>
      <c r="AR17" s="781"/>
      <c r="AS17" s="781"/>
      <c r="AT17" s="781"/>
      <c r="AU17" s="781"/>
      <c r="AV17" s="1985"/>
      <c r="AW17" s="2027"/>
      <c r="AX17" s="2027"/>
      <c r="AY17" s="2004"/>
      <c r="AZ17" s="781"/>
      <c r="BA17" s="781"/>
      <c r="BB17" s="781"/>
      <c r="BC17" s="1985"/>
      <c r="BD17" s="2027"/>
      <c r="BE17" s="2004"/>
      <c r="BF17" s="781"/>
      <c r="BG17" s="781"/>
      <c r="BH17" s="781"/>
      <c r="BI17" s="781"/>
      <c r="BJ17" s="781"/>
      <c r="BK17" s="781"/>
      <c r="BL17" s="1985"/>
      <c r="BM17" s="2027"/>
      <c r="BN17" s="2001"/>
      <c r="BO17" s="2027"/>
      <c r="BP17" s="2027"/>
      <c r="BQ17" s="2004"/>
      <c r="BR17" s="781"/>
      <c r="BS17" s="1985"/>
      <c r="BT17" s="2097"/>
      <c r="BU17" s="2027"/>
      <c r="BV17" s="2004"/>
      <c r="BW17" s="1985"/>
      <c r="BX17" s="2027"/>
      <c r="BY17" s="2001"/>
      <c r="BZ17" s="2027"/>
      <c r="CA17" s="2027"/>
      <c r="CB17" s="2027"/>
      <c r="CC17" s="2027"/>
      <c r="CD17" s="2004"/>
      <c r="CE17" s="781"/>
      <c r="CF17" s="781"/>
      <c r="CG17" s="781"/>
      <c r="CH17" s="781"/>
      <c r="CI17" s="781"/>
      <c r="CJ17" s="781"/>
      <c r="CK17" s="781"/>
      <c r="CL17" s="781"/>
      <c r="CM17" s="781"/>
      <c r="CN17" s="781"/>
      <c r="CO17" s="781"/>
      <c r="CP17" s="781"/>
      <c r="CQ17" s="1985"/>
      <c r="CR17" s="2027"/>
      <c r="CS17" s="2004"/>
      <c r="CT17" s="781"/>
      <c r="CU17" s="781"/>
      <c r="CV17" s="1985"/>
      <c r="CW17" s="2097"/>
      <c r="CX17" s="2023"/>
      <c r="CZ17" s="542"/>
      <c r="DA17" s="542"/>
      <c r="DB17" s="542"/>
      <c r="DC17" s="542"/>
      <c r="DD17" s="542"/>
      <c r="DE17" s="542"/>
      <c r="DF17" s="542"/>
      <c r="DG17" s="542"/>
      <c r="DH17" s="542"/>
      <c r="DI17" s="542"/>
      <c r="DJ17" s="542"/>
      <c r="DK17" s="542"/>
      <c r="DL17" s="542"/>
      <c r="DM17" s="542"/>
      <c r="DN17" s="542"/>
      <c r="DO17" s="542"/>
      <c r="DP17" s="542"/>
      <c r="DQ17" s="542"/>
      <c r="DR17" s="542"/>
      <c r="DS17" s="542"/>
      <c r="DT17" s="542"/>
      <c r="DU17" s="542"/>
      <c r="DV17" s="542"/>
      <c r="DW17" s="542"/>
      <c r="DX17" s="542"/>
      <c r="DY17" s="542"/>
      <c r="DZ17" s="542"/>
      <c r="EA17" s="542"/>
      <c r="EB17" s="542"/>
      <c r="EC17" s="542"/>
      <c r="ED17" s="542"/>
      <c r="EE17" s="542"/>
      <c r="EF17" s="542"/>
      <c r="EG17" s="542"/>
      <c r="EH17" s="542"/>
      <c r="EI17" s="542"/>
      <c r="EJ17" s="542"/>
      <c r="EK17" s="542"/>
      <c r="EL17" s="542"/>
      <c r="EM17" s="542"/>
      <c r="EN17" s="542"/>
      <c r="EO17" s="542"/>
      <c r="EP17" s="542"/>
      <c r="EQ17" s="542"/>
      <c r="ER17" s="542"/>
      <c r="ES17" s="542"/>
      <c r="ET17" s="542"/>
      <c r="EU17" s="542"/>
      <c r="EV17" s="542"/>
      <c r="EW17" s="542"/>
      <c r="EX17" s="542"/>
      <c r="EY17" s="542"/>
      <c r="EZ17" s="542"/>
      <c r="FA17" s="542"/>
      <c r="FB17" s="542"/>
      <c r="FC17" s="542"/>
      <c r="FD17" s="542"/>
      <c r="FE17" s="542"/>
      <c r="FF17" s="542"/>
      <c r="FG17" s="542"/>
      <c r="FH17" s="542"/>
      <c r="FI17" s="542"/>
      <c r="FJ17" s="542"/>
      <c r="FK17" s="542"/>
      <c r="FL17" s="542"/>
      <c r="FM17" s="542"/>
      <c r="FN17" s="542"/>
      <c r="FO17" s="542"/>
      <c r="FP17" s="542"/>
      <c r="FQ17" s="542"/>
      <c r="FR17" s="542"/>
      <c r="FS17" s="542"/>
      <c r="FT17" s="542"/>
      <c r="FU17" s="542"/>
      <c r="FV17" s="542"/>
      <c r="FW17" s="542"/>
      <c r="FX17" s="542"/>
      <c r="FY17" s="542"/>
      <c r="FZ17" s="542"/>
      <c r="GA17" s="542"/>
      <c r="GB17" s="542"/>
      <c r="GC17" s="542"/>
      <c r="GD17" s="542"/>
      <c r="GE17" s="542"/>
      <c r="GF17" s="542"/>
      <c r="GG17" s="542"/>
      <c r="GH17" s="542"/>
      <c r="GI17" s="542"/>
      <c r="GJ17" s="542"/>
      <c r="GK17" s="542"/>
      <c r="GL17" s="542"/>
      <c r="GM17" s="542"/>
      <c r="GN17" s="542"/>
      <c r="GO17" s="542"/>
      <c r="GP17" s="542"/>
      <c r="GQ17" s="542"/>
      <c r="GR17" s="542"/>
      <c r="GS17" s="542"/>
      <c r="GT17" s="542"/>
      <c r="GU17" s="542"/>
      <c r="GV17" s="542"/>
      <c r="GW17" s="542"/>
      <c r="GX17" s="542"/>
      <c r="GY17" s="542"/>
      <c r="GZ17" s="542"/>
      <c r="HA17" s="542"/>
      <c r="HB17" s="542"/>
      <c r="HC17" s="542"/>
      <c r="HD17" s="542"/>
      <c r="HE17" s="542"/>
      <c r="HF17" s="542"/>
      <c r="HG17" s="542"/>
      <c r="HH17" s="542"/>
      <c r="HI17" s="542"/>
      <c r="HJ17" s="542"/>
      <c r="HK17" s="542"/>
      <c r="HL17" s="542"/>
      <c r="HM17" s="542"/>
      <c r="HN17" s="542"/>
      <c r="HO17" s="542"/>
      <c r="HP17" s="542"/>
      <c r="HQ17" s="542"/>
      <c r="HR17" s="542"/>
      <c r="HS17" s="542"/>
      <c r="HT17" s="542"/>
      <c r="HU17" s="542"/>
      <c r="HV17" s="542"/>
      <c r="HW17" s="542"/>
      <c r="HX17" s="542"/>
      <c r="HY17" s="542"/>
      <c r="HZ17" s="542"/>
      <c r="IA17" s="542"/>
      <c r="IB17" s="542"/>
      <c r="IC17" s="542"/>
      <c r="ID17" s="542"/>
      <c r="IE17" s="542"/>
      <c r="IF17" s="542"/>
      <c r="IG17" s="542"/>
      <c r="IH17" s="542"/>
      <c r="II17" s="542"/>
      <c r="IJ17" s="542"/>
      <c r="IK17" s="542"/>
      <c r="IL17" s="542"/>
      <c r="IM17" s="542"/>
      <c r="IN17" s="542"/>
      <c r="IO17" s="542"/>
      <c r="IP17" s="542"/>
      <c r="IQ17" s="542"/>
      <c r="IR17" s="542"/>
      <c r="IS17" s="542"/>
      <c r="IT17" s="542"/>
      <c r="IU17" s="542"/>
      <c r="IV17" s="542"/>
      <c r="IW17" s="542"/>
      <c r="IX17" s="542"/>
      <c r="IY17" s="542"/>
      <c r="IZ17" s="542"/>
      <c r="JA17" s="542"/>
      <c r="JB17" s="542"/>
    </row>
    <row r="18" spans="1:262" ht="25.2" hidden="1" customHeight="1">
      <c r="A18" s="2022" t="s">
        <v>171</v>
      </c>
      <c r="B18" s="2069"/>
      <c r="C18" s="2084"/>
      <c r="D18" s="2028"/>
      <c r="E18" s="670"/>
      <c r="F18" s="439"/>
      <c r="G18" s="1983"/>
      <c r="H18" s="2025"/>
      <c r="I18" s="2001"/>
      <c r="J18" s="2027"/>
      <c r="K18" s="2087"/>
      <c r="L18" s="2023"/>
      <c r="M18" s="2078"/>
      <c r="N18" s="2004"/>
      <c r="O18" s="781"/>
      <c r="P18" s="781"/>
      <c r="Q18" s="781"/>
      <c r="R18" s="1985"/>
      <c r="S18" s="2027"/>
      <c r="T18" s="2004"/>
      <c r="U18" s="781"/>
      <c r="V18" s="1985"/>
      <c r="W18" s="2027"/>
      <c r="X18" s="2004"/>
      <c r="Y18" s="781"/>
      <c r="Z18" s="781"/>
      <c r="AA18" s="781"/>
      <c r="AB18" s="781"/>
      <c r="AC18" s="781"/>
      <c r="AD18" s="781"/>
      <c r="AE18" s="781"/>
      <c r="AF18" s="781"/>
      <c r="AG18" s="781"/>
      <c r="AH18" s="781"/>
      <c r="AI18" s="781"/>
      <c r="AJ18" s="781"/>
      <c r="AK18" s="781"/>
      <c r="AL18" s="781"/>
      <c r="AM18" s="1985"/>
      <c r="AN18" s="2027"/>
      <c r="AO18" s="2027"/>
      <c r="AP18" s="2004"/>
      <c r="AQ18" s="781"/>
      <c r="AR18" s="781"/>
      <c r="AS18" s="781"/>
      <c r="AT18" s="781"/>
      <c r="AU18" s="781"/>
      <c r="AV18" s="1985"/>
      <c r="AW18" s="2027"/>
      <c r="AX18" s="2027"/>
      <c r="AY18" s="2004"/>
      <c r="AZ18" s="781"/>
      <c r="BA18" s="781"/>
      <c r="BB18" s="781"/>
      <c r="BC18" s="1985"/>
      <c r="BD18" s="2027"/>
      <c r="BE18" s="2004"/>
      <c r="BF18" s="781"/>
      <c r="BG18" s="781"/>
      <c r="BH18" s="781"/>
      <c r="BI18" s="781"/>
      <c r="BJ18" s="781"/>
      <c r="BK18" s="781"/>
      <c r="BL18" s="1985"/>
      <c r="BM18" s="2027"/>
      <c r="BN18" s="2001"/>
      <c r="BO18" s="2027"/>
      <c r="BP18" s="2027"/>
      <c r="BQ18" s="2004"/>
      <c r="BR18" s="781"/>
      <c r="BS18" s="1985"/>
      <c r="BT18" s="2097"/>
      <c r="BU18" s="2027"/>
      <c r="BV18" s="2004"/>
      <c r="BW18" s="1985"/>
      <c r="BX18" s="2027"/>
      <c r="BY18" s="2001"/>
      <c r="BZ18" s="2027"/>
      <c r="CA18" s="2027"/>
      <c r="CB18" s="2027"/>
      <c r="CC18" s="2027"/>
      <c r="CD18" s="2004"/>
      <c r="CE18" s="781"/>
      <c r="CF18" s="781"/>
      <c r="CG18" s="781"/>
      <c r="CH18" s="781"/>
      <c r="CI18" s="781"/>
      <c r="CJ18" s="781"/>
      <c r="CK18" s="781"/>
      <c r="CL18" s="781"/>
      <c r="CM18" s="781"/>
      <c r="CN18" s="781"/>
      <c r="CO18" s="781"/>
      <c r="CP18" s="781"/>
      <c r="CQ18" s="1985"/>
      <c r="CR18" s="2027"/>
      <c r="CS18" s="2004"/>
      <c r="CT18" s="781"/>
      <c r="CU18" s="781"/>
      <c r="CV18" s="1985"/>
      <c r="CW18" s="2097"/>
      <c r="CX18" s="2023"/>
      <c r="CZ18" s="542"/>
      <c r="DA18" s="542"/>
      <c r="DB18" s="542"/>
      <c r="DC18" s="542"/>
      <c r="DD18" s="542"/>
      <c r="DE18" s="542"/>
      <c r="DF18" s="542"/>
      <c r="DG18" s="542"/>
      <c r="DH18" s="542"/>
      <c r="DI18" s="542"/>
      <c r="DJ18" s="542"/>
      <c r="DK18" s="542"/>
      <c r="DL18" s="542"/>
      <c r="DM18" s="542"/>
      <c r="DN18" s="542"/>
      <c r="DO18" s="542"/>
      <c r="DP18" s="542"/>
      <c r="DQ18" s="542"/>
      <c r="DR18" s="542"/>
      <c r="DS18" s="542"/>
      <c r="DT18" s="542"/>
      <c r="DU18" s="542"/>
      <c r="DV18" s="542"/>
      <c r="DW18" s="542"/>
      <c r="DX18" s="542"/>
      <c r="DY18" s="542"/>
      <c r="DZ18" s="542"/>
      <c r="EA18" s="542"/>
      <c r="EB18" s="542"/>
      <c r="EC18" s="542"/>
      <c r="ED18" s="542"/>
      <c r="EE18" s="542"/>
      <c r="EF18" s="542"/>
      <c r="EG18" s="542"/>
      <c r="EH18" s="542"/>
      <c r="EI18" s="542"/>
      <c r="EJ18" s="542"/>
      <c r="EK18" s="542"/>
      <c r="EL18" s="542"/>
      <c r="EM18" s="542"/>
      <c r="EN18" s="542"/>
      <c r="EO18" s="542"/>
      <c r="EP18" s="542"/>
      <c r="EQ18" s="542"/>
      <c r="ER18" s="542"/>
      <c r="ES18" s="542"/>
      <c r="ET18" s="542"/>
      <c r="EU18" s="542"/>
      <c r="EV18" s="542"/>
      <c r="EW18" s="542"/>
      <c r="EX18" s="542"/>
      <c r="EY18" s="542"/>
      <c r="EZ18" s="542"/>
      <c r="FA18" s="542"/>
      <c r="FB18" s="542"/>
      <c r="FC18" s="542"/>
      <c r="FD18" s="542"/>
      <c r="FE18" s="542"/>
      <c r="FF18" s="542"/>
      <c r="FG18" s="542"/>
      <c r="FH18" s="542"/>
      <c r="FI18" s="542"/>
      <c r="FJ18" s="542"/>
      <c r="FK18" s="542"/>
      <c r="FL18" s="542"/>
      <c r="FM18" s="542"/>
      <c r="FN18" s="542"/>
      <c r="FO18" s="542"/>
      <c r="FP18" s="542"/>
      <c r="FQ18" s="542"/>
      <c r="FR18" s="542"/>
      <c r="FS18" s="542"/>
      <c r="FT18" s="542"/>
      <c r="FU18" s="542"/>
      <c r="FV18" s="542"/>
      <c r="FW18" s="542"/>
      <c r="FX18" s="542"/>
      <c r="FY18" s="542"/>
      <c r="FZ18" s="542"/>
      <c r="GA18" s="542"/>
      <c r="GB18" s="542"/>
      <c r="GC18" s="542"/>
      <c r="GD18" s="542"/>
      <c r="GE18" s="542"/>
      <c r="GF18" s="542"/>
      <c r="GG18" s="542"/>
      <c r="GH18" s="542"/>
      <c r="GI18" s="542"/>
      <c r="GJ18" s="542"/>
      <c r="GK18" s="542"/>
      <c r="GL18" s="542"/>
      <c r="GM18" s="542"/>
      <c r="GN18" s="542"/>
      <c r="GO18" s="542"/>
      <c r="GP18" s="542"/>
      <c r="GQ18" s="542"/>
      <c r="GR18" s="542"/>
      <c r="GS18" s="542"/>
      <c r="GT18" s="542"/>
      <c r="GU18" s="542"/>
      <c r="GV18" s="542"/>
      <c r="GW18" s="542"/>
      <c r="GX18" s="542"/>
      <c r="GY18" s="542"/>
      <c r="GZ18" s="542"/>
      <c r="HA18" s="542"/>
      <c r="HB18" s="542"/>
      <c r="HC18" s="542"/>
      <c r="HD18" s="542"/>
      <c r="HE18" s="542"/>
      <c r="HF18" s="542"/>
      <c r="HG18" s="542"/>
      <c r="HH18" s="542"/>
      <c r="HI18" s="542"/>
      <c r="HJ18" s="542"/>
      <c r="HK18" s="542"/>
      <c r="HL18" s="542"/>
      <c r="HM18" s="542"/>
      <c r="HN18" s="542"/>
      <c r="HO18" s="542"/>
      <c r="HP18" s="542"/>
      <c r="HQ18" s="542"/>
      <c r="HR18" s="542"/>
      <c r="HS18" s="542"/>
      <c r="HT18" s="542"/>
      <c r="HU18" s="542"/>
      <c r="HV18" s="542"/>
      <c r="HW18" s="542"/>
      <c r="HX18" s="542"/>
      <c r="HY18" s="542"/>
      <c r="HZ18" s="542"/>
      <c r="IA18" s="542"/>
      <c r="IB18" s="542"/>
      <c r="IC18" s="542"/>
      <c r="ID18" s="542"/>
      <c r="IE18" s="542"/>
      <c r="IF18" s="542"/>
      <c r="IG18" s="542"/>
      <c r="IH18" s="542"/>
      <c r="II18" s="542"/>
      <c r="IJ18" s="542"/>
      <c r="IK18" s="542"/>
      <c r="IL18" s="542"/>
      <c r="IM18" s="542"/>
      <c r="IN18" s="542"/>
      <c r="IO18" s="542"/>
      <c r="IP18" s="542"/>
      <c r="IQ18" s="542"/>
      <c r="IR18" s="542"/>
      <c r="IS18" s="542"/>
      <c r="IT18" s="542"/>
      <c r="IU18" s="542"/>
      <c r="IV18" s="542"/>
      <c r="IW18" s="542"/>
      <c r="IX18" s="542"/>
      <c r="IY18" s="542"/>
      <c r="IZ18" s="542"/>
      <c r="JA18" s="542"/>
      <c r="JB18" s="542"/>
    </row>
    <row r="19" spans="1:262" ht="25.2" hidden="1" customHeight="1">
      <c r="A19" s="2022" t="s">
        <v>4784</v>
      </c>
      <c r="B19" s="2069"/>
      <c r="C19" s="2084"/>
      <c r="D19" s="2028"/>
      <c r="E19" s="670"/>
      <c r="F19" s="439"/>
      <c r="G19" s="1983"/>
      <c r="H19" s="2025"/>
      <c r="I19" s="2001"/>
      <c r="J19" s="2027"/>
      <c r="K19" s="2087"/>
      <c r="L19" s="2023"/>
      <c r="M19" s="2078"/>
      <c r="N19" s="2004"/>
      <c r="O19" s="781"/>
      <c r="P19" s="781"/>
      <c r="Q19" s="781"/>
      <c r="R19" s="1985"/>
      <c r="S19" s="2027"/>
      <c r="T19" s="2004"/>
      <c r="U19" s="781"/>
      <c r="V19" s="1985"/>
      <c r="W19" s="2027"/>
      <c r="X19" s="2004"/>
      <c r="Y19" s="781"/>
      <c r="Z19" s="781"/>
      <c r="AA19" s="781"/>
      <c r="AB19" s="781"/>
      <c r="AC19" s="781"/>
      <c r="AD19" s="781"/>
      <c r="AE19" s="781"/>
      <c r="AF19" s="781"/>
      <c r="AG19" s="781"/>
      <c r="AH19" s="781"/>
      <c r="AI19" s="781"/>
      <c r="AJ19" s="781"/>
      <c r="AK19" s="781"/>
      <c r="AL19" s="781"/>
      <c r="AM19" s="1985"/>
      <c r="AN19" s="2027"/>
      <c r="AO19" s="2027"/>
      <c r="AP19" s="2004"/>
      <c r="AQ19" s="781"/>
      <c r="AR19" s="781"/>
      <c r="AS19" s="781"/>
      <c r="AT19" s="781"/>
      <c r="AU19" s="781"/>
      <c r="AV19" s="1985"/>
      <c r="AW19" s="2027"/>
      <c r="AX19" s="2027"/>
      <c r="AY19" s="2004"/>
      <c r="AZ19" s="781"/>
      <c r="BA19" s="781"/>
      <c r="BB19" s="781"/>
      <c r="BC19" s="1985"/>
      <c r="BD19" s="2027"/>
      <c r="BE19" s="2004"/>
      <c r="BF19" s="781"/>
      <c r="BG19" s="781"/>
      <c r="BH19" s="781"/>
      <c r="BI19" s="781"/>
      <c r="BJ19" s="781"/>
      <c r="BK19" s="781"/>
      <c r="BL19" s="1985"/>
      <c r="BM19" s="2027"/>
      <c r="BN19" s="2001"/>
      <c r="BO19" s="2027"/>
      <c r="BP19" s="2027"/>
      <c r="BQ19" s="2004"/>
      <c r="BR19" s="781"/>
      <c r="BS19" s="1985"/>
      <c r="BT19" s="2097"/>
      <c r="BU19" s="2027"/>
      <c r="BV19" s="2004"/>
      <c r="BW19" s="1985"/>
      <c r="BX19" s="2027"/>
      <c r="BY19" s="2001"/>
      <c r="BZ19" s="2027"/>
      <c r="CA19" s="2027"/>
      <c r="CB19" s="2027"/>
      <c r="CC19" s="2027"/>
      <c r="CD19" s="2004"/>
      <c r="CE19" s="781"/>
      <c r="CF19" s="781"/>
      <c r="CG19" s="781"/>
      <c r="CH19" s="781"/>
      <c r="CI19" s="781"/>
      <c r="CJ19" s="781"/>
      <c r="CK19" s="781"/>
      <c r="CL19" s="781"/>
      <c r="CM19" s="781"/>
      <c r="CN19" s="781"/>
      <c r="CO19" s="781"/>
      <c r="CP19" s="781"/>
      <c r="CQ19" s="1985"/>
      <c r="CR19" s="2027"/>
      <c r="CS19" s="2004"/>
      <c r="CT19" s="781"/>
      <c r="CU19" s="781"/>
      <c r="CV19" s="1985"/>
      <c r="CW19" s="2097"/>
      <c r="CX19" s="2023"/>
      <c r="CZ19" s="542"/>
      <c r="DA19" s="542"/>
      <c r="DB19" s="542"/>
      <c r="DC19" s="542"/>
      <c r="DD19" s="542"/>
      <c r="DE19" s="542"/>
      <c r="DF19" s="542"/>
      <c r="DG19" s="542"/>
      <c r="DH19" s="542"/>
      <c r="DI19" s="542"/>
      <c r="DJ19" s="542"/>
      <c r="DK19" s="542"/>
      <c r="DL19" s="542"/>
      <c r="DM19" s="542"/>
      <c r="DN19" s="542"/>
      <c r="DO19" s="542"/>
      <c r="DP19" s="542"/>
      <c r="DQ19" s="542"/>
      <c r="DR19" s="542"/>
      <c r="DS19" s="542"/>
      <c r="DT19" s="542"/>
      <c r="DU19" s="542"/>
      <c r="DV19" s="542"/>
      <c r="DW19" s="542"/>
      <c r="DX19" s="542"/>
      <c r="DY19" s="542"/>
      <c r="DZ19" s="542"/>
      <c r="EA19" s="542"/>
      <c r="EB19" s="542"/>
      <c r="EC19" s="542"/>
      <c r="ED19" s="542"/>
      <c r="EE19" s="542"/>
      <c r="EF19" s="542"/>
      <c r="EG19" s="542"/>
      <c r="EH19" s="542"/>
      <c r="EI19" s="542"/>
      <c r="EJ19" s="542"/>
      <c r="EK19" s="542"/>
      <c r="EL19" s="542"/>
      <c r="EM19" s="542"/>
      <c r="EN19" s="542"/>
      <c r="EO19" s="542"/>
      <c r="EP19" s="542"/>
      <c r="EQ19" s="542"/>
      <c r="ER19" s="542"/>
      <c r="ES19" s="542"/>
      <c r="ET19" s="542"/>
      <c r="EU19" s="542"/>
      <c r="EV19" s="542"/>
      <c r="EW19" s="542"/>
      <c r="EX19" s="542"/>
      <c r="EY19" s="542"/>
      <c r="EZ19" s="542"/>
      <c r="FA19" s="542"/>
      <c r="FB19" s="542"/>
      <c r="FC19" s="542"/>
      <c r="FD19" s="542"/>
      <c r="FE19" s="542"/>
      <c r="FF19" s="542"/>
      <c r="FG19" s="542"/>
      <c r="FH19" s="542"/>
      <c r="FI19" s="542"/>
      <c r="FJ19" s="542"/>
      <c r="FK19" s="542"/>
      <c r="FL19" s="542"/>
      <c r="FM19" s="542"/>
      <c r="FN19" s="542"/>
      <c r="FO19" s="542"/>
      <c r="FP19" s="542"/>
      <c r="FQ19" s="542"/>
      <c r="FR19" s="542"/>
      <c r="FS19" s="542"/>
      <c r="FT19" s="542"/>
      <c r="FU19" s="542"/>
      <c r="FV19" s="542"/>
      <c r="FW19" s="542"/>
      <c r="FX19" s="542"/>
      <c r="FY19" s="542"/>
      <c r="FZ19" s="542"/>
      <c r="GA19" s="542"/>
      <c r="GB19" s="542"/>
      <c r="GC19" s="542"/>
      <c r="GD19" s="542"/>
      <c r="GE19" s="542"/>
      <c r="GF19" s="542"/>
      <c r="GG19" s="542"/>
      <c r="GH19" s="542"/>
      <c r="GI19" s="542"/>
      <c r="GJ19" s="542"/>
      <c r="GK19" s="542"/>
      <c r="GL19" s="542"/>
      <c r="GM19" s="542"/>
      <c r="GN19" s="542"/>
      <c r="GO19" s="542"/>
      <c r="GP19" s="542"/>
      <c r="GQ19" s="542"/>
      <c r="GR19" s="542"/>
      <c r="GS19" s="542"/>
      <c r="GT19" s="542"/>
      <c r="GU19" s="542"/>
      <c r="GV19" s="542"/>
      <c r="GW19" s="542"/>
      <c r="GX19" s="542"/>
      <c r="GY19" s="542"/>
      <c r="GZ19" s="542"/>
      <c r="HA19" s="542"/>
      <c r="HB19" s="542"/>
      <c r="HC19" s="542"/>
      <c r="HD19" s="542"/>
      <c r="HE19" s="542"/>
      <c r="HF19" s="542"/>
      <c r="HG19" s="542"/>
      <c r="HH19" s="542"/>
      <c r="HI19" s="542"/>
      <c r="HJ19" s="542"/>
      <c r="HK19" s="542"/>
      <c r="HL19" s="542"/>
      <c r="HM19" s="542"/>
      <c r="HN19" s="542"/>
      <c r="HO19" s="542"/>
      <c r="HP19" s="542"/>
      <c r="HQ19" s="542"/>
      <c r="HR19" s="542"/>
      <c r="HS19" s="542"/>
      <c r="HT19" s="542"/>
      <c r="HU19" s="542"/>
      <c r="HV19" s="542"/>
      <c r="HW19" s="542"/>
      <c r="HX19" s="542"/>
      <c r="HY19" s="542"/>
      <c r="HZ19" s="542"/>
      <c r="IA19" s="542"/>
      <c r="IB19" s="542"/>
      <c r="IC19" s="542"/>
      <c r="ID19" s="542"/>
      <c r="IE19" s="542"/>
      <c r="IF19" s="542"/>
      <c r="IG19" s="542"/>
      <c r="IH19" s="542"/>
      <c r="II19" s="542"/>
      <c r="IJ19" s="542"/>
      <c r="IK19" s="542"/>
      <c r="IL19" s="542"/>
      <c r="IM19" s="542"/>
      <c r="IN19" s="542"/>
      <c r="IO19" s="542"/>
      <c r="IP19" s="542"/>
      <c r="IQ19" s="542"/>
      <c r="IR19" s="542"/>
      <c r="IS19" s="542"/>
      <c r="IT19" s="542"/>
      <c r="IU19" s="542"/>
      <c r="IV19" s="542"/>
      <c r="IW19" s="542"/>
      <c r="IX19" s="542"/>
      <c r="IY19" s="542"/>
      <c r="IZ19" s="542"/>
      <c r="JA19" s="542"/>
      <c r="JB19" s="542"/>
    </row>
    <row r="20" spans="1:262" ht="25.2" hidden="1" customHeight="1">
      <c r="A20" s="2022" t="s">
        <v>4785</v>
      </c>
      <c r="B20" s="2069"/>
      <c r="C20" s="2084"/>
      <c r="D20" s="2028"/>
      <c r="E20" s="670"/>
      <c r="F20" s="439"/>
      <c r="G20" s="1983"/>
      <c r="H20" s="2025"/>
      <c r="I20" s="2001"/>
      <c r="J20" s="2027"/>
      <c r="K20" s="2087"/>
      <c r="L20" s="2023"/>
      <c r="M20" s="2078"/>
      <c r="N20" s="2004"/>
      <c r="O20" s="781"/>
      <c r="P20" s="781"/>
      <c r="Q20" s="781"/>
      <c r="R20" s="1985"/>
      <c r="S20" s="2027"/>
      <c r="T20" s="2004"/>
      <c r="U20" s="781"/>
      <c r="V20" s="1985"/>
      <c r="W20" s="2027"/>
      <c r="X20" s="2004"/>
      <c r="Y20" s="781"/>
      <c r="Z20" s="781"/>
      <c r="AA20" s="781"/>
      <c r="AB20" s="781"/>
      <c r="AC20" s="781"/>
      <c r="AD20" s="781"/>
      <c r="AE20" s="781"/>
      <c r="AF20" s="781"/>
      <c r="AG20" s="781"/>
      <c r="AH20" s="781"/>
      <c r="AI20" s="781"/>
      <c r="AJ20" s="781"/>
      <c r="AK20" s="781"/>
      <c r="AL20" s="781"/>
      <c r="AM20" s="1985"/>
      <c r="AN20" s="2027"/>
      <c r="AO20" s="2027"/>
      <c r="AP20" s="2004"/>
      <c r="AQ20" s="781"/>
      <c r="AR20" s="781"/>
      <c r="AS20" s="781"/>
      <c r="AT20" s="781"/>
      <c r="AU20" s="781"/>
      <c r="AV20" s="1985"/>
      <c r="AW20" s="2027"/>
      <c r="AX20" s="2027"/>
      <c r="AY20" s="2004"/>
      <c r="AZ20" s="781"/>
      <c r="BA20" s="781"/>
      <c r="BB20" s="781"/>
      <c r="BC20" s="1985"/>
      <c r="BD20" s="2027"/>
      <c r="BE20" s="2004"/>
      <c r="BF20" s="781"/>
      <c r="BG20" s="781"/>
      <c r="BH20" s="781"/>
      <c r="BI20" s="781"/>
      <c r="BJ20" s="781"/>
      <c r="BK20" s="781"/>
      <c r="BL20" s="1985"/>
      <c r="BM20" s="2027"/>
      <c r="BN20" s="2001"/>
      <c r="BO20" s="2027"/>
      <c r="BP20" s="2027"/>
      <c r="BQ20" s="2004"/>
      <c r="BR20" s="781"/>
      <c r="BS20" s="1985"/>
      <c r="BT20" s="2097"/>
      <c r="BU20" s="2027"/>
      <c r="BV20" s="2004"/>
      <c r="BW20" s="1985"/>
      <c r="BX20" s="2027"/>
      <c r="BY20" s="2001"/>
      <c r="BZ20" s="2027"/>
      <c r="CA20" s="2027"/>
      <c r="CB20" s="2027"/>
      <c r="CC20" s="2027"/>
      <c r="CD20" s="2004"/>
      <c r="CE20" s="781"/>
      <c r="CF20" s="781"/>
      <c r="CG20" s="781"/>
      <c r="CH20" s="781"/>
      <c r="CI20" s="781"/>
      <c r="CJ20" s="781"/>
      <c r="CK20" s="781"/>
      <c r="CL20" s="781"/>
      <c r="CM20" s="781"/>
      <c r="CN20" s="781"/>
      <c r="CO20" s="781"/>
      <c r="CP20" s="781"/>
      <c r="CQ20" s="1985"/>
      <c r="CR20" s="2027"/>
      <c r="CS20" s="2004"/>
      <c r="CT20" s="781"/>
      <c r="CU20" s="781"/>
      <c r="CV20" s="1985"/>
      <c r="CW20" s="2097"/>
      <c r="CX20" s="2023"/>
      <c r="CZ20" s="542"/>
      <c r="DA20" s="542"/>
      <c r="DB20" s="542"/>
      <c r="DC20" s="542"/>
      <c r="DD20" s="542"/>
      <c r="DE20" s="542"/>
      <c r="DF20" s="542"/>
      <c r="DG20" s="542"/>
      <c r="DH20" s="542"/>
      <c r="DI20" s="542"/>
      <c r="DJ20" s="542"/>
      <c r="DK20" s="542"/>
      <c r="DL20" s="542"/>
      <c r="DM20" s="542"/>
      <c r="DN20" s="542"/>
      <c r="DO20" s="542"/>
      <c r="DP20" s="542"/>
      <c r="DQ20" s="542"/>
      <c r="DR20" s="542"/>
      <c r="DS20" s="542"/>
      <c r="DT20" s="542"/>
      <c r="DU20" s="542"/>
      <c r="DV20" s="542"/>
      <c r="DW20" s="542"/>
      <c r="DX20" s="542"/>
      <c r="DY20" s="542"/>
      <c r="DZ20" s="542"/>
      <c r="EA20" s="542"/>
      <c r="EB20" s="542"/>
      <c r="EC20" s="542"/>
      <c r="ED20" s="542"/>
      <c r="EE20" s="542"/>
      <c r="EF20" s="542"/>
      <c r="EG20" s="542"/>
      <c r="EH20" s="542"/>
      <c r="EI20" s="542"/>
      <c r="EJ20" s="542"/>
      <c r="EK20" s="542"/>
      <c r="EL20" s="542"/>
      <c r="EM20" s="542"/>
      <c r="EN20" s="542"/>
      <c r="EO20" s="542"/>
      <c r="EP20" s="542"/>
      <c r="EQ20" s="542"/>
      <c r="ER20" s="542"/>
      <c r="ES20" s="542"/>
      <c r="ET20" s="542"/>
      <c r="EU20" s="542"/>
      <c r="EV20" s="542"/>
      <c r="EW20" s="542"/>
      <c r="EX20" s="542"/>
      <c r="EY20" s="542"/>
      <c r="EZ20" s="542"/>
      <c r="FA20" s="542"/>
      <c r="FB20" s="542"/>
      <c r="FC20" s="542"/>
      <c r="FD20" s="542"/>
      <c r="FE20" s="542"/>
      <c r="FF20" s="542"/>
      <c r="FG20" s="542"/>
      <c r="FH20" s="542"/>
      <c r="FI20" s="542"/>
      <c r="FJ20" s="542"/>
      <c r="FK20" s="542"/>
      <c r="FL20" s="542"/>
      <c r="FM20" s="542"/>
      <c r="FN20" s="542"/>
      <c r="FO20" s="542"/>
      <c r="FP20" s="542"/>
      <c r="FQ20" s="542"/>
      <c r="FR20" s="542"/>
      <c r="FS20" s="542"/>
      <c r="FT20" s="542"/>
      <c r="FU20" s="542"/>
      <c r="FV20" s="542"/>
      <c r="FW20" s="542"/>
      <c r="FX20" s="542"/>
      <c r="FY20" s="542"/>
      <c r="FZ20" s="542"/>
      <c r="GA20" s="542"/>
      <c r="GB20" s="542"/>
      <c r="GC20" s="542"/>
      <c r="GD20" s="542"/>
      <c r="GE20" s="542"/>
      <c r="GF20" s="542"/>
      <c r="GG20" s="542"/>
      <c r="GH20" s="542"/>
      <c r="GI20" s="542"/>
      <c r="GJ20" s="542"/>
      <c r="GK20" s="542"/>
      <c r="GL20" s="542"/>
      <c r="GM20" s="542"/>
      <c r="GN20" s="542"/>
      <c r="GO20" s="542"/>
      <c r="GP20" s="542"/>
      <c r="GQ20" s="542"/>
      <c r="GR20" s="542"/>
      <c r="GS20" s="542"/>
      <c r="GT20" s="542"/>
      <c r="GU20" s="542"/>
      <c r="GV20" s="542"/>
      <c r="GW20" s="542"/>
      <c r="GX20" s="542"/>
      <c r="GY20" s="542"/>
      <c r="GZ20" s="542"/>
      <c r="HA20" s="542"/>
      <c r="HB20" s="542"/>
      <c r="HC20" s="542"/>
      <c r="HD20" s="542"/>
      <c r="HE20" s="542"/>
      <c r="HF20" s="542"/>
      <c r="HG20" s="542"/>
      <c r="HH20" s="542"/>
      <c r="HI20" s="542"/>
      <c r="HJ20" s="542"/>
      <c r="HK20" s="542"/>
      <c r="HL20" s="542"/>
      <c r="HM20" s="542"/>
      <c r="HN20" s="542"/>
      <c r="HO20" s="542"/>
      <c r="HP20" s="542"/>
      <c r="HQ20" s="542"/>
      <c r="HR20" s="542"/>
      <c r="HS20" s="542"/>
      <c r="HT20" s="542"/>
      <c r="HU20" s="542"/>
      <c r="HV20" s="542"/>
      <c r="HW20" s="542"/>
      <c r="HX20" s="542"/>
      <c r="HY20" s="542"/>
      <c r="HZ20" s="542"/>
      <c r="IA20" s="542"/>
      <c r="IB20" s="542"/>
      <c r="IC20" s="542"/>
      <c r="ID20" s="542"/>
      <c r="IE20" s="542"/>
      <c r="IF20" s="542"/>
      <c r="IG20" s="542"/>
      <c r="IH20" s="542"/>
      <c r="II20" s="542"/>
      <c r="IJ20" s="542"/>
      <c r="IK20" s="542"/>
      <c r="IL20" s="542"/>
      <c r="IM20" s="542"/>
      <c r="IN20" s="542"/>
      <c r="IO20" s="542"/>
      <c r="IP20" s="542"/>
      <c r="IQ20" s="542"/>
      <c r="IR20" s="542"/>
      <c r="IS20" s="542"/>
      <c r="IT20" s="542"/>
      <c r="IU20" s="542"/>
      <c r="IV20" s="542"/>
      <c r="IW20" s="542"/>
      <c r="IX20" s="542"/>
      <c r="IY20" s="542"/>
      <c r="IZ20" s="542"/>
      <c r="JA20" s="542"/>
      <c r="JB20" s="542"/>
    </row>
    <row r="21" spans="1:262" ht="25.2" hidden="1" customHeight="1">
      <c r="A21" s="2022" t="s">
        <v>4786</v>
      </c>
      <c r="B21" s="2069"/>
      <c r="C21" s="2084"/>
      <c r="D21" s="2028"/>
      <c r="E21" s="670"/>
      <c r="F21" s="439"/>
      <c r="G21" s="1983"/>
      <c r="H21" s="2025"/>
      <c r="I21" s="2001"/>
      <c r="J21" s="2027"/>
      <c r="K21" s="2087"/>
      <c r="L21" s="2023"/>
      <c r="M21" s="2078"/>
      <c r="N21" s="2004"/>
      <c r="O21" s="781"/>
      <c r="P21" s="781"/>
      <c r="Q21" s="781"/>
      <c r="R21" s="1985"/>
      <c r="S21" s="2027"/>
      <c r="T21" s="2004"/>
      <c r="U21" s="781"/>
      <c r="V21" s="1985"/>
      <c r="W21" s="2027"/>
      <c r="X21" s="2004"/>
      <c r="Y21" s="781"/>
      <c r="Z21" s="781"/>
      <c r="AA21" s="781"/>
      <c r="AB21" s="781"/>
      <c r="AC21" s="781"/>
      <c r="AD21" s="781"/>
      <c r="AE21" s="781"/>
      <c r="AF21" s="781"/>
      <c r="AG21" s="781"/>
      <c r="AH21" s="781"/>
      <c r="AI21" s="781"/>
      <c r="AJ21" s="781"/>
      <c r="AK21" s="781"/>
      <c r="AL21" s="781"/>
      <c r="AM21" s="1985"/>
      <c r="AN21" s="2027"/>
      <c r="AO21" s="2027"/>
      <c r="AP21" s="2004"/>
      <c r="AQ21" s="781"/>
      <c r="AR21" s="781"/>
      <c r="AS21" s="781"/>
      <c r="AT21" s="781"/>
      <c r="AU21" s="781"/>
      <c r="AV21" s="1985"/>
      <c r="AW21" s="2027"/>
      <c r="AX21" s="2027"/>
      <c r="AY21" s="2004"/>
      <c r="AZ21" s="781"/>
      <c r="BA21" s="781"/>
      <c r="BB21" s="781"/>
      <c r="BC21" s="1985"/>
      <c r="BD21" s="2027"/>
      <c r="BE21" s="2004"/>
      <c r="BF21" s="781"/>
      <c r="BG21" s="781"/>
      <c r="BH21" s="781"/>
      <c r="BI21" s="781"/>
      <c r="BJ21" s="781"/>
      <c r="BK21" s="781"/>
      <c r="BL21" s="1985"/>
      <c r="BM21" s="2027"/>
      <c r="BN21" s="2001"/>
      <c r="BO21" s="2027"/>
      <c r="BP21" s="2027"/>
      <c r="BQ21" s="2004"/>
      <c r="BR21" s="781"/>
      <c r="BS21" s="1985"/>
      <c r="BT21" s="2097"/>
      <c r="BU21" s="2027"/>
      <c r="BV21" s="2004"/>
      <c r="BW21" s="1985"/>
      <c r="BX21" s="2027"/>
      <c r="BY21" s="2001"/>
      <c r="BZ21" s="2027"/>
      <c r="CA21" s="2027"/>
      <c r="CB21" s="2027"/>
      <c r="CC21" s="2027"/>
      <c r="CD21" s="2004"/>
      <c r="CE21" s="781"/>
      <c r="CF21" s="781"/>
      <c r="CG21" s="781"/>
      <c r="CH21" s="781"/>
      <c r="CI21" s="781"/>
      <c r="CJ21" s="781"/>
      <c r="CK21" s="781"/>
      <c r="CL21" s="781"/>
      <c r="CM21" s="781"/>
      <c r="CN21" s="781"/>
      <c r="CO21" s="781"/>
      <c r="CP21" s="781"/>
      <c r="CQ21" s="1985"/>
      <c r="CR21" s="2027"/>
      <c r="CS21" s="2004"/>
      <c r="CT21" s="781"/>
      <c r="CU21" s="781"/>
      <c r="CV21" s="1985"/>
      <c r="CW21" s="2097"/>
      <c r="CX21" s="2023"/>
      <c r="CZ21" s="542"/>
      <c r="DA21" s="542"/>
      <c r="DB21" s="542"/>
      <c r="DC21" s="542"/>
      <c r="DD21" s="542"/>
      <c r="DE21" s="542"/>
      <c r="DF21" s="542"/>
      <c r="DG21" s="542"/>
      <c r="DH21" s="542"/>
      <c r="DI21" s="542"/>
      <c r="DJ21" s="542"/>
      <c r="DK21" s="542"/>
      <c r="DL21" s="542"/>
      <c r="DM21" s="542"/>
      <c r="DN21" s="542"/>
      <c r="DO21" s="542"/>
      <c r="DP21" s="542"/>
      <c r="DQ21" s="542"/>
      <c r="DR21" s="542"/>
      <c r="DS21" s="542"/>
      <c r="DT21" s="542"/>
      <c r="DU21" s="542"/>
      <c r="DV21" s="542"/>
      <c r="DW21" s="542"/>
      <c r="DX21" s="542"/>
      <c r="DY21" s="542"/>
      <c r="DZ21" s="542"/>
      <c r="EA21" s="542"/>
      <c r="EB21" s="542"/>
      <c r="EC21" s="542"/>
      <c r="ED21" s="542"/>
      <c r="EE21" s="542"/>
      <c r="EF21" s="542"/>
      <c r="EG21" s="542"/>
      <c r="EH21" s="542"/>
      <c r="EI21" s="542"/>
      <c r="EJ21" s="542"/>
      <c r="EK21" s="542"/>
      <c r="EL21" s="542"/>
      <c r="EM21" s="542"/>
      <c r="EN21" s="542"/>
      <c r="EO21" s="542"/>
      <c r="EP21" s="542"/>
      <c r="EQ21" s="542"/>
      <c r="ER21" s="542"/>
      <c r="ES21" s="542"/>
      <c r="ET21" s="542"/>
      <c r="EU21" s="542"/>
      <c r="EV21" s="542"/>
      <c r="EW21" s="542"/>
      <c r="EX21" s="542"/>
      <c r="EY21" s="542"/>
      <c r="EZ21" s="542"/>
      <c r="FA21" s="542"/>
      <c r="FB21" s="542"/>
      <c r="FC21" s="542"/>
      <c r="FD21" s="542"/>
      <c r="FE21" s="542"/>
      <c r="FF21" s="542"/>
      <c r="FG21" s="542"/>
      <c r="FH21" s="542"/>
      <c r="FI21" s="542"/>
      <c r="FJ21" s="542"/>
      <c r="FK21" s="542"/>
      <c r="FL21" s="542"/>
      <c r="FM21" s="542"/>
      <c r="FN21" s="542"/>
      <c r="FO21" s="542"/>
      <c r="FP21" s="542"/>
      <c r="FQ21" s="542"/>
      <c r="FR21" s="542"/>
      <c r="FS21" s="542"/>
      <c r="FT21" s="542"/>
      <c r="FU21" s="542"/>
      <c r="FV21" s="542"/>
      <c r="FW21" s="542"/>
      <c r="FX21" s="542"/>
      <c r="FY21" s="542"/>
      <c r="FZ21" s="542"/>
      <c r="GA21" s="542"/>
      <c r="GB21" s="542"/>
      <c r="GC21" s="542"/>
      <c r="GD21" s="542"/>
      <c r="GE21" s="542"/>
      <c r="GF21" s="542"/>
      <c r="GG21" s="542"/>
      <c r="GH21" s="542"/>
      <c r="GI21" s="542"/>
      <c r="GJ21" s="542"/>
      <c r="GK21" s="542"/>
      <c r="GL21" s="542"/>
      <c r="GM21" s="542"/>
      <c r="GN21" s="542"/>
      <c r="GO21" s="542"/>
      <c r="GP21" s="542"/>
      <c r="GQ21" s="542"/>
      <c r="GR21" s="542"/>
      <c r="GS21" s="542"/>
      <c r="GT21" s="542"/>
      <c r="GU21" s="542"/>
      <c r="GV21" s="542"/>
      <c r="GW21" s="542"/>
      <c r="GX21" s="542"/>
      <c r="GY21" s="542"/>
      <c r="GZ21" s="542"/>
      <c r="HA21" s="542"/>
      <c r="HB21" s="542"/>
      <c r="HC21" s="542"/>
      <c r="HD21" s="542"/>
      <c r="HE21" s="542"/>
      <c r="HF21" s="542"/>
      <c r="HG21" s="542"/>
      <c r="HH21" s="542"/>
      <c r="HI21" s="542"/>
      <c r="HJ21" s="542"/>
      <c r="HK21" s="542"/>
      <c r="HL21" s="542"/>
      <c r="HM21" s="542"/>
      <c r="HN21" s="542"/>
      <c r="HO21" s="542"/>
      <c r="HP21" s="542"/>
      <c r="HQ21" s="542"/>
      <c r="HR21" s="542"/>
      <c r="HS21" s="542"/>
      <c r="HT21" s="542"/>
      <c r="HU21" s="542"/>
      <c r="HV21" s="542"/>
      <c r="HW21" s="542"/>
      <c r="HX21" s="542"/>
      <c r="HY21" s="542"/>
      <c r="HZ21" s="542"/>
      <c r="IA21" s="542"/>
      <c r="IB21" s="542"/>
      <c r="IC21" s="542"/>
      <c r="ID21" s="542"/>
      <c r="IE21" s="542"/>
      <c r="IF21" s="542"/>
      <c r="IG21" s="542"/>
      <c r="IH21" s="542"/>
      <c r="II21" s="542"/>
      <c r="IJ21" s="542"/>
      <c r="IK21" s="542"/>
      <c r="IL21" s="542"/>
      <c r="IM21" s="542"/>
      <c r="IN21" s="542"/>
      <c r="IO21" s="542"/>
      <c r="IP21" s="542"/>
      <c r="IQ21" s="542"/>
      <c r="IR21" s="542"/>
      <c r="IS21" s="542"/>
      <c r="IT21" s="542"/>
      <c r="IU21" s="542"/>
      <c r="IV21" s="542"/>
      <c r="IW21" s="542"/>
      <c r="IX21" s="542"/>
      <c r="IY21" s="542"/>
      <c r="IZ21" s="542"/>
      <c r="JA21" s="542"/>
      <c r="JB21" s="542"/>
    </row>
    <row r="22" spans="1:262" ht="25.2" hidden="1" customHeight="1">
      <c r="A22" s="2022" t="s">
        <v>4787</v>
      </c>
      <c r="B22" s="2069"/>
      <c r="C22" s="2084"/>
      <c r="D22" s="2028"/>
      <c r="E22" s="670"/>
      <c r="F22" s="439"/>
      <c r="G22" s="1983"/>
      <c r="H22" s="2025"/>
      <c r="I22" s="2001"/>
      <c r="J22" s="2027"/>
      <c r="K22" s="2087"/>
      <c r="L22" s="2023"/>
      <c r="M22" s="2078"/>
      <c r="N22" s="2004"/>
      <c r="O22" s="781"/>
      <c r="P22" s="781"/>
      <c r="Q22" s="781"/>
      <c r="R22" s="1985"/>
      <c r="S22" s="2027"/>
      <c r="T22" s="2004"/>
      <c r="U22" s="781"/>
      <c r="V22" s="1985"/>
      <c r="W22" s="2027"/>
      <c r="X22" s="2004"/>
      <c r="Y22" s="781"/>
      <c r="Z22" s="781"/>
      <c r="AA22" s="781"/>
      <c r="AB22" s="781"/>
      <c r="AC22" s="781"/>
      <c r="AD22" s="781"/>
      <c r="AE22" s="781"/>
      <c r="AF22" s="781"/>
      <c r="AG22" s="781"/>
      <c r="AH22" s="781"/>
      <c r="AI22" s="781"/>
      <c r="AJ22" s="781"/>
      <c r="AK22" s="781"/>
      <c r="AL22" s="781"/>
      <c r="AM22" s="1985"/>
      <c r="AN22" s="2027"/>
      <c r="AO22" s="2027"/>
      <c r="AP22" s="2004"/>
      <c r="AQ22" s="781"/>
      <c r="AR22" s="781"/>
      <c r="AS22" s="781"/>
      <c r="AT22" s="781"/>
      <c r="AU22" s="781"/>
      <c r="AV22" s="1985"/>
      <c r="AW22" s="2027"/>
      <c r="AX22" s="2027"/>
      <c r="AY22" s="2004"/>
      <c r="AZ22" s="781"/>
      <c r="BA22" s="781"/>
      <c r="BB22" s="781"/>
      <c r="BC22" s="1985"/>
      <c r="BD22" s="2027"/>
      <c r="BE22" s="2004"/>
      <c r="BF22" s="781"/>
      <c r="BG22" s="781"/>
      <c r="BH22" s="781"/>
      <c r="BI22" s="781"/>
      <c r="BJ22" s="781"/>
      <c r="BK22" s="781"/>
      <c r="BL22" s="1985"/>
      <c r="BM22" s="2027"/>
      <c r="BN22" s="2001"/>
      <c r="BO22" s="2027"/>
      <c r="BP22" s="2027"/>
      <c r="BQ22" s="2004"/>
      <c r="BR22" s="781"/>
      <c r="BS22" s="1985"/>
      <c r="BT22" s="2097"/>
      <c r="BU22" s="2027"/>
      <c r="BV22" s="2004"/>
      <c r="BW22" s="1985"/>
      <c r="BX22" s="2027"/>
      <c r="BY22" s="2001"/>
      <c r="BZ22" s="2027"/>
      <c r="CA22" s="2027"/>
      <c r="CB22" s="2027"/>
      <c r="CC22" s="2027"/>
      <c r="CD22" s="2004"/>
      <c r="CE22" s="781"/>
      <c r="CF22" s="781"/>
      <c r="CG22" s="781"/>
      <c r="CH22" s="781"/>
      <c r="CI22" s="781"/>
      <c r="CJ22" s="781"/>
      <c r="CK22" s="781"/>
      <c r="CL22" s="781"/>
      <c r="CM22" s="781"/>
      <c r="CN22" s="781"/>
      <c r="CO22" s="781"/>
      <c r="CP22" s="781"/>
      <c r="CQ22" s="1985"/>
      <c r="CR22" s="2027"/>
      <c r="CS22" s="2004"/>
      <c r="CT22" s="781"/>
      <c r="CU22" s="781"/>
      <c r="CV22" s="1985"/>
      <c r="CW22" s="2097"/>
      <c r="CX22" s="2023"/>
      <c r="CZ22" s="542"/>
      <c r="DA22" s="542"/>
      <c r="DB22" s="542"/>
      <c r="DC22" s="542"/>
      <c r="DD22" s="542"/>
      <c r="DE22" s="542"/>
      <c r="DF22" s="542"/>
      <c r="DG22" s="542"/>
      <c r="DH22" s="542"/>
      <c r="DI22" s="542"/>
      <c r="DJ22" s="542"/>
      <c r="DK22" s="542"/>
      <c r="DL22" s="542"/>
      <c r="DM22" s="542"/>
      <c r="DN22" s="542"/>
      <c r="DO22" s="542"/>
      <c r="DP22" s="542"/>
      <c r="DQ22" s="542"/>
      <c r="DR22" s="542"/>
      <c r="DS22" s="542"/>
      <c r="DT22" s="542"/>
      <c r="DU22" s="542"/>
      <c r="DV22" s="542"/>
      <c r="DW22" s="542"/>
      <c r="DX22" s="542"/>
      <c r="DY22" s="542"/>
      <c r="DZ22" s="542"/>
      <c r="EA22" s="542"/>
      <c r="EB22" s="542"/>
      <c r="EC22" s="542"/>
      <c r="ED22" s="542"/>
      <c r="EE22" s="542"/>
      <c r="EF22" s="542"/>
      <c r="EG22" s="542"/>
      <c r="EH22" s="542"/>
      <c r="EI22" s="542"/>
      <c r="EJ22" s="542"/>
      <c r="EK22" s="542"/>
      <c r="EL22" s="542"/>
      <c r="EM22" s="542"/>
      <c r="EN22" s="542"/>
      <c r="EO22" s="542"/>
      <c r="EP22" s="542"/>
      <c r="EQ22" s="542"/>
      <c r="ER22" s="542"/>
      <c r="ES22" s="542"/>
      <c r="ET22" s="542"/>
      <c r="EU22" s="542"/>
      <c r="EV22" s="542"/>
      <c r="EW22" s="542"/>
      <c r="EX22" s="542"/>
      <c r="EY22" s="542"/>
      <c r="EZ22" s="542"/>
      <c r="FA22" s="542"/>
      <c r="FB22" s="542"/>
      <c r="FC22" s="542"/>
      <c r="FD22" s="542"/>
      <c r="FE22" s="542"/>
      <c r="FF22" s="542"/>
      <c r="FG22" s="542"/>
      <c r="FH22" s="542"/>
      <c r="FI22" s="542"/>
      <c r="FJ22" s="542"/>
      <c r="FK22" s="542"/>
      <c r="FL22" s="542"/>
      <c r="FM22" s="542"/>
      <c r="FN22" s="542"/>
      <c r="FO22" s="542"/>
      <c r="FP22" s="542"/>
      <c r="FQ22" s="542"/>
      <c r="FR22" s="542"/>
      <c r="FS22" s="542"/>
      <c r="FT22" s="542"/>
      <c r="FU22" s="542"/>
      <c r="FV22" s="542"/>
      <c r="FW22" s="542"/>
      <c r="FX22" s="542"/>
      <c r="FY22" s="542"/>
      <c r="FZ22" s="542"/>
      <c r="GA22" s="542"/>
      <c r="GB22" s="542"/>
      <c r="GC22" s="542"/>
      <c r="GD22" s="542"/>
      <c r="GE22" s="542"/>
      <c r="GF22" s="542"/>
      <c r="GG22" s="542"/>
      <c r="GH22" s="542"/>
      <c r="GI22" s="542"/>
      <c r="GJ22" s="542"/>
      <c r="GK22" s="542"/>
      <c r="GL22" s="542"/>
      <c r="GM22" s="542"/>
      <c r="GN22" s="542"/>
      <c r="GO22" s="542"/>
      <c r="GP22" s="542"/>
      <c r="GQ22" s="542"/>
      <c r="GR22" s="542"/>
      <c r="GS22" s="542"/>
      <c r="GT22" s="542"/>
      <c r="GU22" s="542"/>
      <c r="GV22" s="542"/>
      <c r="GW22" s="542"/>
      <c r="GX22" s="542"/>
      <c r="GY22" s="542"/>
      <c r="GZ22" s="542"/>
      <c r="HA22" s="542"/>
      <c r="HB22" s="542"/>
      <c r="HC22" s="542"/>
      <c r="HD22" s="542"/>
      <c r="HE22" s="542"/>
      <c r="HF22" s="542"/>
      <c r="HG22" s="542"/>
      <c r="HH22" s="542"/>
      <c r="HI22" s="542"/>
      <c r="HJ22" s="542"/>
      <c r="HK22" s="542"/>
      <c r="HL22" s="542"/>
      <c r="HM22" s="542"/>
      <c r="HN22" s="542"/>
      <c r="HO22" s="542"/>
      <c r="HP22" s="542"/>
      <c r="HQ22" s="542"/>
      <c r="HR22" s="542"/>
      <c r="HS22" s="542"/>
      <c r="HT22" s="542"/>
      <c r="HU22" s="542"/>
      <c r="HV22" s="542"/>
      <c r="HW22" s="542"/>
      <c r="HX22" s="542"/>
      <c r="HY22" s="542"/>
      <c r="HZ22" s="542"/>
      <c r="IA22" s="542"/>
      <c r="IB22" s="542"/>
      <c r="IC22" s="542"/>
      <c r="ID22" s="542"/>
      <c r="IE22" s="542"/>
      <c r="IF22" s="542"/>
      <c r="IG22" s="542"/>
      <c r="IH22" s="542"/>
      <c r="II22" s="542"/>
      <c r="IJ22" s="542"/>
      <c r="IK22" s="542"/>
      <c r="IL22" s="542"/>
      <c r="IM22" s="542"/>
      <c r="IN22" s="542"/>
      <c r="IO22" s="542"/>
      <c r="IP22" s="542"/>
      <c r="IQ22" s="542"/>
      <c r="IR22" s="542"/>
      <c r="IS22" s="542"/>
      <c r="IT22" s="542"/>
      <c r="IU22" s="542"/>
      <c r="IV22" s="542"/>
      <c r="IW22" s="542"/>
      <c r="IX22" s="542"/>
      <c r="IY22" s="542"/>
      <c r="IZ22" s="542"/>
      <c r="JA22" s="542"/>
      <c r="JB22" s="542"/>
    </row>
    <row r="23" spans="1:262" s="1620" customFormat="1" ht="25.2" hidden="1" customHeight="1">
      <c r="A23" s="2022" t="s">
        <v>4788</v>
      </c>
      <c r="B23" s="2069"/>
      <c r="C23" s="2085"/>
      <c r="D23" s="2028"/>
      <c r="E23" s="2072"/>
      <c r="F23" s="1376"/>
      <c r="G23" s="2088"/>
      <c r="H23" s="2025"/>
      <c r="I23" s="2090"/>
      <c r="J23" s="2103"/>
      <c r="K23" s="2090"/>
      <c r="L23" s="2023"/>
      <c r="M23" s="2128"/>
      <c r="N23" s="2074"/>
      <c r="O23" s="625"/>
      <c r="P23" s="625"/>
      <c r="Q23" s="625"/>
      <c r="R23" s="2093"/>
      <c r="S23" s="2027"/>
      <c r="T23" s="2074"/>
      <c r="U23" s="625"/>
      <c r="V23" s="2093"/>
      <c r="W23" s="2103"/>
      <c r="X23" s="2074"/>
      <c r="Y23" s="625"/>
      <c r="Z23" s="625"/>
      <c r="AA23" s="625"/>
      <c r="AB23" s="625"/>
      <c r="AC23" s="625"/>
      <c r="AD23" s="625"/>
      <c r="AE23" s="625"/>
      <c r="AF23" s="625"/>
      <c r="AG23" s="625"/>
      <c r="AH23" s="625"/>
      <c r="AI23" s="625"/>
      <c r="AJ23" s="625"/>
      <c r="AK23" s="625"/>
      <c r="AL23" s="625"/>
      <c r="AM23" s="2093"/>
      <c r="AN23" s="2103"/>
      <c r="AO23" s="2103"/>
      <c r="AP23" s="2074"/>
      <c r="AQ23" s="625"/>
      <c r="AR23" s="625"/>
      <c r="AS23" s="625"/>
      <c r="AT23" s="625"/>
      <c r="AU23" s="625"/>
      <c r="AV23" s="2093"/>
      <c r="AW23" s="2103"/>
      <c r="AX23" s="2103"/>
      <c r="AY23" s="2074"/>
      <c r="AZ23" s="625"/>
      <c r="BA23" s="625"/>
      <c r="BB23" s="625"/>
      <c r="BC23" s="2093"/>
      <c r="BD23" s="2023"/>
      <c r="BE23" s="2074"/>
      <c r="BF23" s="625"/>
      <c r="BG23" s="625"/>
      <c r="BH23" s="625"/>
      <c r="BI23" s="625"/>
      <c r="BJ23" s="625"/>
      <c r="BK23" s="625"/>
      <c r="BL23" s="2093"/>
      <c r="BM23" s="2103"/>
      <c r="BN23" s="2090"/>
      <c r="BO23" s="2023"/>
      <c r="BP23" s="2023"/>
      <c r="BQ23" s="2074"/>
      <c r="BR23" s="625"/>
      <c r="BS23" s="2093"/>
      <c r="BT23" s="2125"/>
      <c r="BU23" s="2023"/>
      <c r="BV23" s="2074"/>
      <c r="BW23" s="2093"/>
      <c r="BX23" s="2023"/>
      <c r="BY23" s="2087"/>
      <c r="BZ23" s="2023"/>
      <c r="CA23" s="2023"/>
      <c r="CB23" s="2023"/>
      <c r="CC23" s="2023"/>
      <c r="CD23" s="670"/>
      <c r="CE23" s="550"/>
      <c r="CF23" s="550"/>
      <c r="CG23" s="550"/>
      <c r="CH23" s="550"/>
      <c r="CI23" s="550"/>
      <c r="CJ23" s="550"/>
      <c r="CK23" s="550"/>
      <c r="CL23" s="550"/>
      <c r="CM23" s="550"/>
      <c r="CN23" s="625"/>
      <c r="CO23" s="625"/>
      <c r="CP23" s="625"/>
      <c r="CQ23" s="2093"/>
      <c r="CR23" s="2103"/>
      <c r="CS23" s="2074"/>
      <c r="CT23" s="625"/>
      <c r="CU23" s="625"/>
      <c r="CV23" s="2093"/>
      <c r="CW23" s="2125"/>
      <c r="CX23" s="2105"/>
      <c r="CZ23" s="554"/>
      <c r="DA23" s="554"/>
      <c r="DB23" s="554"/>
      <c r="DC23" s="554"/>
      <c r="DD23" s="554"/>
      <c r="DE23" s="554"/>
      <c r="DF23" s="554"/>
      <c r="DG23" s="554"/>
      <c r="DH23" s="554"/>
      <c r="DI23" s="554"/>
      <c r="DJ23" s="554"/>
      <c r="DK23" s="554"/>
      <c r="DL23" s="554"/>
      <c r="DM23" s="554"/>
      <c r="DN23" s="554"/>
      <c r="DO23" s="554"/>
      <c r="DP23" s="554"/>
      <c r="DQ23" s="554"/>
      <c r="DR23" s="554"/>
      <c r="DS23" s="554"/>
      <c r="DT23" s="554"/>
      <c r="DU23" s="554"/>
      <c r="DV23" s="554"/>
      <c r="DW23" s="554"/>
      <c r="DX23" s="554"/>
      <c r="DY23" s="554"/>
      <c r="DZ23" s="554"/>
      <c r="EA23" s="554"/>
      <c r="EB23" s="554"/>
      <c r="EC23" s="554"/>
      <c r="ED23" s="554"/>
      <c r="EE23" s="554"/>
      <c r="EF23" s="554"/>
      <c r="EG23" s="554"/>
      <c r="EH23" s="554"/>
      <c r="EI23" s="554"/>
      <c r="EJ23" s="554"/>
      <c r="EK23" s="554"/>
      <c r="EL23" s="554"/>
      <c r="EM23" s="554"/>
      <c r="EN23" s="554"/>
      <c r="EO23" s="554"/>
      <c r="EP23" s="554"/>
      <c r="EQ23" s="554"/>
      <c r="ER23" s="554"/>
      <c r="ES23" s="554"/>
      <c r="ET23" s="554"/>
      <c r="EU23" s="554"/>
      <c r="EV23" s="554"/>
      <c r="EW23" s="554"/>
      <c r="EX23" s="554"/>
      <c r="EY23" s="554"/>
      <c r="EZ23" s="554"/>
      <c r="FA23" s="554"/>
      <c r="FB23" s="554"/>
      <c r="FC23" s="554"/>
      <c r="FD23" s="554"/>
      <c r="FE23" s="554"/>
      <c r="FF23" s="554"/>
      <c r="FG23" s="554"/>
      <c r="FH23" s="554"/>
      <c r="FI23" s="554"/>
      <c r="FJ23" s="554"/>
      <c r="FK23" s="554"/>
      <c r="FL23" s="554"/>
      <c r="FM23" s="554"/>
      <c r="FN23" s="554"/>
      <c r="FO23" s="554"/>
      <c r="FP23" s="554"/>
      <c r="FQ23" s="554"/>
      <c r="FR23" s="554"/>
      <c r="FS23" s="554"/>
      <c r="FT23" s="554"/>
      <c r="FU23" s="554"/>
      <c r="FV23" s="554"/>
      <c r="FW23" s="554"/>
      <c r="FX23" s="554"/>
      <c r="FY23" s="554"/>
      <c r="FZ23" s="554"/>
      <c r="GA23" s="554"/>
      <c r="GB23" s="554"/>
      <c r="GC23" s="554"/>
      <c r="GD23" s="554"/>
      <c r="GE23" s="554"/>
      <c r="GF23" s="554"/>
      <c r="GG23" s="554"/>
      <c r="GH23" s="554"/>
      <c r="GI23" s="554"/>
      <c r="GJ23" s="554"/>
      <c r="GK23" s="554"/>
      <c r="GL23" s="554"/>
      <c r="GM23" s="554"/>
      <c r="GN23" s="554"/>
      <c r="GO23" s="554"/>
      <c r="GP23" s="554"/>
      <c r="GQ23" s="554"/>
      <c r="GR23" s="554"/>
      <c r="GS23" s="554"/>
      <c r="GT23" s="554"/>
      <c r="GU23" s="554"/>
      <c r="GV23" s="554"/>
      <c r="GW23" s="554"/>
      <c r="GX23" s="554"/>
      <c r="GY23" s="554"/>
      <c r="GZ23" s="554"/>
      <c r="HA23" s="554"/>
      <c r="HB23" s="554"/>
      <c r="HC23" s="554"/>
      <c r="HD23" s="554"/>
      <c r="HE23" s="554"/>
      <c r="HF23" s="554"/>
      <c r="HG23" s="554"/>
      <c r="HH23" s="554"/>
      <c r="HI23" s="554"/>
      <c r="HJ23" s="554"/>
      <c r="HK23" s="554"/>
      <c r="HL23" s="554"/>
      <c r="HM23" s="554"/>
      <c r="HN23" s="554"/>
      <c r="HO23" s="554"/>
      <c r="HP23" s="554"/>
      <c r="HQ23" s="554"/>
      <c r="HR23" s="554"/>
      <c r="HS23" s="554"/>
      <c r="HT23" s="554"/>
      <c r="HU23" s="554"/>
      <c r="HV23" s="554"/>
      <c r="HW23" s="554"/>
      <c r="HX23" s="554"/>
      <c r="HY23" s="554"/>
      <c r="HZ23" s="554"/>
      <c r="IA23" s="554"/>
      <c r="IB23" s="554"/>
      <c r="IC23" s="554"/>
      <c r="ID23" s="554"/>
      <c r="IE23" s="554"/>
      <c r="IF23" s="554"/>
      <c r="IG23" s="554"/>
      <c r="IH23" s="554"/>
      <c r="II23" s="554"/>
      <c r="IJ23" s="554"/>
      <c r="IK23" s="554"/>
      <c r="IL23" s="554"/>
      <c r="IM23" s="554"/>
      <c r="IN23" s="554"/>
      <c r="IO23" s="554"/>
      <c r="IP23" s="554"/>
      <c r="IQ23" s="554"/>
      <c r="IR23" s="554"/>
      <c r="IS23" s="554"/>
      <c r="IT23" s="554"/>
      <c r="IU23" s="554"/>
      <c r="IV23" s="554"/>
      <c r="IW23" s="554"/>
      <c r="IX23" s="554"/>
      <c r="IY23" s="554"/>
      <c r="IZ23" s="554"/>
      <c r="JA23" s="554"/>
      <c r="JB23" s="554"/>
    </row>
    <row r="24" spans="1:262" ht="25.2" hidden="1" customHeight="1">
      <c r="A24" s="2022" t="s">
        <v>4789</v>
      </c>
      <c r="B24" s="2069"/>
      <c r="C24" s="2086"/>
      <c r="D24" s="2028"/>
      <c r="E24" s="2073"/>
      <c r="F24" s="1492"/>
      <c r="G24" s="2089"/>
      <c r="H24" s="2025"/>
      <c r="I24" s="2091"/>
      <c r="J24" s="2101"/>
      <c r="K24" s="2091"/>
      <c r="L24" s="2023"/>
      <c r="M24" s="2129"/>
      <c r="N24" s="2073"/>
      <c r="O24" s="1492"/>
      <c r="P24" s="1492"/>
      <c r="Q24" s="1492"/>
      <c r="R24" s="2094"/>
      <c r="S24" s="2027"/>
      <c r="T24" s="2073"/>
      <c r="U24" s="1492"/>
      <c r="V24" s="2094"/>
      <c r="W24" s="2101"/>
      <c r="X24" s="2073"/>
      <c r="Y24" s="1492"/>
      <c r="Z24" s="1492"/>
      <c r="AA24" s="1492"/>
      <c r="AB24" s="1492"/>
      <c r="AC24" s="1492"/>
      <c r="AD24" s="1492"/>
      <c r="AE24" s="1492"/>
      <c r="AF24" s="1492"/>
      <c r="AG24" s="1492"/>
      <c r="AH24" s="1492"/>
      <c r="AI24" s="1492"/>
      <c r="AJ24" s="1492"/>
      <c r="AK24" s="1492"/>
      <c r="AL24" s="1492"/>
      <c r="AM24" s="2094"/>
      <c r="AN24" s="2027"/>
      <c r="AO24" s="2101"/>
      <c r="AP24" s="2073"/>
      <c r="AQ24" s="1492"/>
      <c r="AR24" s="1492"/>
      <c r="AS24" s="1492"/>
      <c r="AT24" s="1492"/>
      <c r="AU24" s="1492"/>
      <c r="AV24" s="2094"/>
      <c r="AW24" s="2027"/>
      <c r="AX24" s="2101"/>
      <c r="AY24" s="2073"/>
      <c r="AZ24" s="1492"/>
      <c r="BA24" s="1492"/>
      <c r="BB24" s="1492"/>
      <c r="BC24" s="2094"/>
      <c r="BD24" s="2024"/>
      <c r="BE24" s="2073"/>
      <c r="BF24" s="1492"/>
      <c r="BG24" s="1492"/>
      <c r="BH24" s="1492"/>
      <c r="BI24" s="1492"/>
      <c r="BJ24" s="1492"/>
      <c r="BK24" s="1492"/>
      <c r="BL24" s="2094"/>
      <c r="BM24" s="2101"/>
      <c r="BN24" s="2091"/>
      <c r="BO24" s="2024"/>
      <c r="BP24" s="2024"/>
      <c r="BQ24" s="2073"/>
      <c r="BR24" s="1492"/>
      <c r="BS24" s="2094"/>
      <c r="BT24" s="2126"/>
      <c r="BU24" s="2024"/>
      <c r="BV24" s="2073"/>
      <c r="BW24" s="2094"/>
      <c r="BX24" s="2024"/>
      <c r="BY24" s="1998"/>
      <c r="BZ24" s="2024"/>
      <c r="CA24" s="2024"/>
      <c r="CB24" s="2024"/>
      <c r="CC24" s="2024"/>
      <c r="CD24" s="2108"/>
      <c r="CE24" s="1382"/>
      <c r="CF24" s="1382"/>
      <c r="CG24" s="1382"/>
      <c r="CH24" s="1382"/>
      <c r="CI24" s="1382"/>
      <c r="CJ24" s="1382"/>
      <c r="CK24" s="1382"/>
      <c r="CL24" s="1382"/>
      <c r="CM24" s="1382"/>
      <c r="CN24" s="1492"/>
      <c r="CO24" s="1492"/>
      <c r="CP24" s="1492"/>
      <c r="CQ24" s="2094"/>
      <c r="CR24" s="2101"/>
      <c r="CS24" s="2073"/>
      <c r="CT24" s="1492"/>
      <c r="CU24" s="1492"/>
      <c r="CV24" s="2094"/>
      <c r="CW24" s="2126"/>
      <c r="CX24" s="2106"/>
      <c r="CZ24" s="542"/>
      <c r="DA24" s="542"/>
      <c r="DB24" s="542"/>
      <c r="DC24" s="542"/>
      <c r="DD24" s="542"/>
      <c r="DE24" s="542"/>
      <c r="DF24" s="542"/>
      <c r="DG24" s="542"/>
      <c r="DH24" s="542"/>
      <c r="DI24" s="542"/>
      <c r="DJ24" s="542"/>
      <c r="DK24" s="542"/>
      <c r="DL24" s="542"/>
      <c r="DM24" s="542"/>
      <c r="DN24" s="542"/>
      <c r="DO24" s="542"/>
      <c r="DP24" s="542"/>
      <c r="DQ24" s="542"/>
      <c r="DR24" s="542"/>
      <c r="DS24" s="542"/>
      <c r="DT24" s="542"/>
      <c r="DU24" s="542"/>
      <c r="DV24" s="542"/>
      <c r="DW24" s="542"/>
      <c r="DX24" s="542"/>
      <c r="DY24" s="542"/>
      <c r="DZ24" s="542"/>
      <c r="EA24" s="542"/>
      <c r="EB24" s="542"/>
      <c r="EC24" s="542"/>
      <c r="ED24" s="542"/>
      <c r="EE24" s="542"/>
      <c r="EF24" s="542"/>
      <c r="EG24" s="542"/>
      <c r="EH24" s="542"/>
      <c r="EI24" s="542"/>
      <c r="EJ24" s="542"/>
      <c r="EK24" s="542"/>
      <c r="EL24" s="542"/>
      <c r="EM24" s="542"/>
      <c r="EN24" s="542"/>
      <c r="EO24" s="542"/>
      <c r="EP24" s="542"/>
      <c r="EQ24" s="542"/>
      <c r="ER24" s="542"/>
      <c r="ES24" s="542"/>
      <c r="ET24" s="542"/>
      <c r="EU24" s="542"/>
      <c r="EV24" s="542"/>
      <c r="EW24" s="542"/>
      <c r="EX24" s="542"/>
      <c r="EY24" s="542"/>
      <c r="EZ24" s="542"/>
      <c r="FA24" s="542"/>
      <c r="FB24" s="542"/>
      <c r="FC24" s="542"/>
      <c r="FD24" s="542"/>
      <c r="FE24" s="542"/>
      <c r="FF24" s="542"/>
      <c r="FG24" s="542"/>
      <c r="FH24" s="542"/>
      <c r="FI24" s="542"/>
      <c r="FJ24" s="542"/>
      <c r="FK24" s="542"/>
      <c r="FL24" s="542"/>
      <c r="FM24" s="542"/>
      <c r="FN24" s="542"/>
      <c r="FO24" s="542"/>
      <c r="FP24" s="542"/>
      <c r="FQ24" s="542"/>
      <c r="FR24" s="542"/>
      <c r="FS24" s="542"/>
      <c r="FT24" s="542"/>
      <c r="FU24" s="542"/>
      <c r="FV24" s="542"/>
      <c r="FW24" s="542"/>
      <c r="FX24" s="542"/>
      <c r="FY24" s="542"/>
      <c r="FZ24" s="542"/>
      <c r="GA24" s="542"/>
      <c r="GB24" s="542"/>
      <c r="GC24" s="542"/>
      <c r="GD24" s="542"/>
      <c r="GE24" s="542"/>
      <c r="GF24" s="542"/>
      <c r="GG24" s="542"/>
      <c r="GH24" s="542"/>
      <c r="GI24" s="542"/>
      <c r="GJ24" s="542"/>
      <c r="GK24" s="542"/>
      <c r="GL24" s="542"/>
      <c r="GM24" s="542"/>
      <c r="GN24" s="542"/>
      <c r="GO24" s="542"/>
      <c r="GP24" s="542"/>
      <c r="GQ24" s="542"/>
      <c r="GR24" s="542"/>
      <c r="GS24" s="542"/>
      <c r="GT24" s="542"/>
      <c r="GU24" s="542"/>
      <c r="GV24" s="542"/>
      <c r="GW24" s="542"/>
      <c r="GX24" s="542"/>
      <c r="GY24" s="542"/>
      <c r="GZ24" s="542"/>
      <c r="HA24" s="542"/>
      <c r="HB24" s="542"/>
      <c r="HC24" s="542"/>
      <c r="HD24" s="542"/>
      <c r="HE24" s="542"/>
      <c r="HF24" s="542"/>
      <c r="HG24" s="542"/>
      <c r="HH24" s="542"/>
      <c r="HI24" s="542"/>
      <c r="HJ24" s="542"/>
      <c r="HK24" s="542"/>
      <c r="HL24" s="542"/>
      <c r="HM24" s="542"/>
      <c r="HN24" s="542"/>
      <c r="HO24" s="542"/>
      <c r="HP24" s="542"/>
      <c r="HQ24" s="542"/>
      <c r="HR24" s="542"/>
      <c r="HS24" s="542"/>
      <c r="HT24" s="542"/>
      <c r="HU24" s="542"/>
      <c r="HV24" s="542"/>
      <c r="HW24" s="542"/>
      <c r="HX24" s="542"/>
      <c r="HY24" s="542"/>
      <c r="HZ24" s="542"/>
      <c r="IA24" s="542"/>
      <c r="IB24" s="542"/>
      <c r="IC24" s="542"/>
      <c r="ID24" s="542"/>
      <c r="IE24" s="542"/>
      <c r="IF24" s="542"/>
      <c r="IG24" s="542"/>
      <c r="IH24" s="542"/>
      <c r="II24" s="542"/>
      <c r="IJ24" s="542"/>
      <c r="IK24" s="542"/>
      <c r="IL24" s="542"/>
      <c r="IM24" s="542"/>
      <c r="IN24" s="542"/>
      <c r="IO24" s="542"/>
      <c r="IP24" s="542"/>
      <c r="IQ24" s="542"/>
      <c r="IR24" s="542"/>
      <c r="IS24" s="542"/>
      <c r="IT24" s="542"/>
      <c r="IU24" s="542"/>
      <c r="IV24" s="542"/>
      <c r="IW24" s="542"/>
      <c r="IX24" s="542"/>
      <c r="IY24" s="542"/>
      <c r="IZ24" s="542"/>
      <c r="JA24" s="542"/>
      <c r="JB24" s="542"/>
    </row>
    <row r="25" spans="1:262" ht="25.2" hidden="1" customHeight="1">
      <c r="A25" s="2022" t="s">
        <v>4790</v>
      </c>
      <c r="B25" s="2069"/>
      <c r="C25" s="2087"/>
      <c r="D25" s="2028"/>
      <c r="E25" s="670"/>
      <c r="F25" s="439"/>
      <c r="G25" s="1983"/>
      <c r="H25" s="2025"/>
      <c r="I25" s="2092"/>
      <c r="J25" s="2104"/>
      <c r="K25" s="2092"/>
      <c r="L25" s="2023"/>
      <c r="M25" s="2130"/>
      <c r="N25" s="2075"/>
      <c r="O25" s="1383"/>
      <c r="P25" s="1383"/>
      <c r="Q25" s="1383"/>
      <c r="R25" s="2095"/>
      <c r="S25" s="2027"/>
      <c r="T25" s="2075"/>
      <c r="U25" s="1383"/>
      <c r="V25" s="2095"/>
      <c r="W25" s="2104"/>
      <c r="X25" s="2075"/>
      <c r="Y25" s="1383"/>
      <c r="Z25" s="1383"/>
      <c r="AA25" s="1383"/>
      <c r="AB25" s="1383"/>
      <c r="AC25" s="1383"/>
      <c r="AD25" s="1383"/>
      <c r="AE25" s="1383"/>
      <c r="AF25" s="1383"/>
      <c r="AG25" s="1383"/>
      <c r="AH25" s="1383"/>
      <c r="AI25" s="1383"/>
      <c r="AJ25" s="1383"/>
      <c r="AK25" s="1383"/>
      <c r="AL25" s="1383"/>
      <c r="AM25" s="2095"/>
      <c r="AN25" s="2027"/>
      <c r="AO25" s="2104"/>
      <c r="AP25" s="2075"/>
      <c r="AQ25" s="1383"/>
      <c r="AR25" s="1383"/>
      <c r="AS25" s="1383"/>
      <c r="AT25" s="1383"/>
      <c r="AU25" s="1383"/>
      <c r="AV25" s="2095"/>
      <c r="AW25" s="2027"/>
      <c r="AX25" s="2104"/>
      <c r="AY25" s="2075"/>
      <c r="AZ25" s="1383"/>
      <c r="BA25" s="1383"/>
      <c r="BB25" s="1383"/>
      <c r="BC25" s="2095"/>
      <c r="BD25" s="2104"/>
      <c r="BE25" s="2075"/>
      <c r="BF25" s="1383"/>
      <c r="BG25" s="1383"/>
      <c r="BH25" s="1383"/>
      <c r="BI25" s="1383"/>
      <c r="BJ25" s="1383"/>
      <c r="BK25" s="1383"/>
      <c r="BL25" s="2095"/>
      <c r="BM25" s="2104"/>
      <c r="BN25" s="2092"/>
      <c r="BO25" s="2104"/>
      <c r="BP25" s="2104"/>
      <c r="BQ25" s="2075"/>
      <c r="BR25" s="1383"/>
      <c r="BS25" s="2095"/>
      <c r="BT25" s="2127"/>
      <c r="BU25" s="2104"/>
      <c r="BV25" s="2075"/>
      <c r="BW25" s="2095"/>
      <c r="BX25" s="2104"/>
      <c r="BY25" s="2092"/>
      <c r="BZ25" s="2104"/>
      <c r="CA25" s="2104"/>
      <c r="CB25" s="2104"/>
      <c r="CC25" s="2104"/>
      <c r="CD25" s="2075"/>
      <c r="CE25" s="1383"/>
      <c r="CF25" s="1383"/>
      <c r="CG25" s="1383"/>
      <c r="CH25" s="1383"/>
      <c r="CI25" s="1383"/>
      <c r="CJ25" s="1383"/>
      <c r="CK25" s="1383"/>
      <c r="CL25" s="1383"/>
      <c r="CM25" s="1383"/>
      <c r="CN25" s="1383"/>
      <c r="CO25" s="1383"/>
      <c r="CP25" s="1383"/>
      <c r="CQ25" s="2095"/>
      <c r="CR25" s="2104"/>
      <c r="CS25" s="2075"/>
      <c r="CT25" s="1383"/>
      <c r="CU25" s="1383"/>
      <c r="CV25" s="2095"/>
      <c r="CW25" s="2127"/>
      <c r="CX25" s="2023"/>
      <c r="CZ25" s="542"/>
      <c r="DA25" s="542"/>
      <c r="DB25" s="542"/>
      <c r="DC25" s="542"/>
      <c r="DD25" s="542"/>
      <c r="DE25" s="542"/>
      <c r="DF25" s="542"/>
      <c r="DG25" s="542"/>
      <c r="DH25" s="542"/>
      <c r="DI25" s="542"/>
      <c r="DJ25" s="542"/>
      <c r="DK25" s="542"/>
      <c r="DL25" s="542"/>
      <c r="DM25" s="542"/>
      <c r="DN25" s="542"/>
      <c r="DO25" s="542"/>
      <c r="DP25" s="542"/>
      <c r="DQ25" s="542"/>
      <c r="DR25" s="542"/>
      <c r="DS25" s="542"/>
      <c r="DT25" s="542"/>
      <c r="DU25" s="542"/>
      <c r="DV25" s="542"/>
      <c r="DW25" s="542"/>
      <c r="DX25" s="542"/>
      <c r="DY25" s="542"/>
      <c r="DZ25" s="542"/>
      <c r="EA25" s="542"/>
      <c r="EB25" s="542"/>
      <c r="EC25" s="542"/>
      <c r="ED25" s="542"/>
      <c r="EE25" s="542"/>
      <c r="EF25" s="542"/>
      <c r="EG25" s="542"/>
      <c r="EH25" s="542"/>
      <c r="EI25" s="542"/>
      <c r="EJ25" s="542"/>
      <c r="EK25" s="542"/>
      <c r="EL25" s="542"/>
      <c r="EM25" s="542"/>
      <c r="EN25" s="542"/>
      <c r="EO25" s="542"/>
      <c r="EP25" s="542"/>
      <c r="EQ25" s="542"/>
      <c r="ER25" s="542"/>
      <c r="ES25" s="542"/>
      <c r="ET25" s="542"/>
      <c r="EU25" s="542"/>
      <c r="EV25" s="542"/>
      <c r="EW25" s="542"/>
      <c r="EX25" s="542"/>
      <c r="EY25" s="542"/>
      <c r="EZ25" s="542"/>
      <c r="FA25" s="542"/>
      <c r="FB25" s="542"/>
      <c r="FC25" s="542"/>
      <c r="FD25" s="542"/>
      <c r="FE25" s="542"/>
      <c r="FF25" s="542"/>
      <c r="FG25" s="542"/>
      <c r="FH25" s="542"/>
      <c r="FI25" s="542"/>
      <c r="FJ25" s="542"/>
      <c r="FK25" s="542"/>
      <c r="FL25" s="542"/>
      <c r="FM25" s="542"/>
      <c r="FN25" s="542"/>
      <c r="FO25" s="542"/>
      <c r="FP25" s="542"/>
      <c r="FQ25" s="542"/>
      <c r="FR25" s="542"/>
      <c r="FS25" s="542"/>
      <c r="FT25" s="542"/>
      <c r="FU25" s="542"/>
      <c r="FV25" s="542"/>
      <c r="FW25" s="542"/>
      <c r="FX25" s="542"/>
      <c r="FY25" s="542"/>
      <c r="FZ25" s="542"/>
      <c r="GA25" s="542"/>
      <c r="GB25" s="542"/>
      <c r="GC25" s="542"/>
      <c r="GD25" s="542"/>
      <c r="GE25" s="542"/>
      <c r="GF25" s="542"/>
      <c r="GG25" s="542"/>
      <c r="GH25" s="542"/>
      <c r="GI25" s="542"/>
      <c r="GJ25" s="542"/>
      <c r="GK25" s="542"/>
      <c r="GL25" s="542"/>
      <c r="GM25" s="542"/>
      <c r="GN25" s="542"/>
      <c r="GO25" s="542"/>
      <c r="GP25" s="542"/>
      <c r="GQ25" s="542"/>
      <c r="GR25" s="542"/>
      <c r="GS25" s="542"/>
      <c r="GT25" s="542"/>
      <c r="GU25" s="542"/>
      <c r="GV25" s="542"/>
      <c r="GW25" s="542"/>
      <c r="GX25" s="542"/>
      <c r="GY25" s="542"/>
      <c r="GZ25" s="542"/>
      <c r="HA25" s="542"/>
      <c r="HB25" s="542"/>
      <c r="HC25" s="542"/>
      <c r="HD25" s="542"/>
      <c r="HE25" s="542"/>
      <c r="HF25" s="542"/>
      <c r="HG25" s="542"/>
      <c r="HH25" s="542"/>
      <c r="HI25" s="542"/>
      <c r="HJ25" s="542"/>
      <c r="HK25" s="542"/>
      <c r="HL25" s="542"/>
      <c r="HM25" s="542"/>
      <c r="HN25" s="542"/>
      <c r="HO25" s="542"/>
      <c r="HP25" s="542"/>
      <c r="HQ25" s="542"/>
      <c r="HR25" s="542"/>
      <c r="HS25" s="542"/>
      <c r="HT25" s="542"/>
      <c r="HU25" s="542"/>
      <c r="HV25" s="542"/>
      <c r="HW25" s="542"/>
      <c r="HX25" s="542"/>
      <c r="HY25" s="542"/>
      <c r="HZ25" s="542"/>
      <c r="IA25" s="542"/>
      <c r="IB25" s="542"/>
      <c r="IC25" s="542"/>
      <c r="ID25" s="542"/>
      <c r="IE25" s="542"/>
      <c r="IF25" s="542"/>
      <c r="IG25" s="542"/>
      <c r="IH25" s="542"/>
      <c r="II25" s="542"/>
      <c r="IJ25" s="542"/>
      <c r="IK25" s="542"/>
      <c r="IL25" s="542"/>
      <c r="IM25" s="542"/>
      <c r="IN25" s="542"/>
      <c r="IO25" s="542"/>
      <c r="IP25" s="542"/>
      <c r="IQ25" s="542"/>
      <c r="IR25" s="542"/>
      <c r="IS25" s="542"/>
      <c r="IT25" s="542"/>
      <c r="IU25" s="542"/>
      <c r="IV25" s="542"/>
      <c r="IW25" s="542"/>
      <c r="IX25" s="542"/>
      <c r="IY25" s="542"/>
      <c r="IZ25" s="542"/>
      <c r="JA25" s="542"/>
      <c r="JB25" s="542"/>
    </row>
    <row r="26" spans="1:262" ht="25.2" hidden="1" customHeight="1">
      <c r="A26" s="2022" t="s">
        <v>4583</v>
      </c>
      <c r="B26" s="2069"/>
      <c r="C26" s="2087"/>
      <c r="D26" s="2028"/>
      <c r="E26" s="670"/>
      <c r="F26" s="439"/>
      <c r="G26" s="1983"/>
      <c r="H26" s="2025"/>
      <c r="I26" s="2092"/>
      <c r="J26" s="2104"/>
      <c r="K26" s="2092"/>
      <c r="L26" s="2023"/>
      <c r="M26" s="2130"/>
      <c r="N26" s="2075"/>
      <c r="O26" s="1383"/>
      <c r="P26" s="1383"/>
      <c r="Q26" s="1383"/>
      <c r="R26" s="2095"/>
      <c r="S26" s="2027"/>
      <c r="T26" s="2075"/>
      <c r="U26" s="1383"/>
      <c r="V26" s="2095"/>
      <c r="W26" s="2104"/>
      <c r="X26" s="2075"/>
      <c r="Y26" s="1383"/>
      <c r="Z26" s="1383"/>
      <c r="AA26" s="1383"/>
      <c r="AB26" s="1383"/>
      <c r="AC26" s="1383"/>
      <c r="AD26" s="1383"/>
      <c r="AE26" s="1383"/>
      <c r="AF26" s="1383"/>
      <c r="AG26" s="1383"/>
      <c r="AH26" s="1383"/>
      <c r="AI26" s="1383"/>
      <c r="AJ26" s="1383"/>
      <c r="AK26" s="1383"/>
      <c r="AL26" s="1383"/>
      <c r="AM26" s="2095"/>
      <c r="AN26" s="2027"/>
      <c r="AO26" s="2104"/>
      <c r="AP26" s="2075"/>
      <c r="AQ26" s="1383"/>
      <c r="AR26" s="1383"/>
      <c r="AS26" s="1383"/>
      <c r="AT26" s="1383"/>
      <c r="AU26" s="1383"/>
      <c r="AV26" s="2095"/>
      <c r="AW26" s="2027"/>
      <c r="AX26" s="2104"/>
      <c r="AY26" s="2075"/>
      <c r="AZ26" s="1383"/>
      <c r="BA26" s="1383"/>
      <c r="BB26" s="1383"/>
      <c r="BC26" s="2095"/>
      <c r="BD26" s="2104"/>
      <c r="BE26" s="2075"/>
      <c r="BF26" s="1383"/>
      <c r="BG26" s="1383"/>
      <c r="BH26" s="1383"/>
      <c r="BI26" s="1383"/>
      <c r="BJ26" s="1383"/>
      <c r="BK26" s="1383"/>
      <c r="BL26" s="2095"/>
      <c r="BM26" s="2104"/>
      <c r="BN26" s="2092"/>
      <c r="BO26" s="2104"/>
      <c r="BP26" s="2104"/>
      <c r="BQ26" s="2075"/>
      <c r="BR26" s="1383"/>
      <c r="BS26" s="2095"/>
      <c r="BT26" s="2127"/>
      <c r="BU26" s="2104"/>
      <c r="BV26" s="2075"/>
      <c r="BW26" s="2095"/>
      <c r="BX26" s="2104"/>
      <c r="BY26" s="2092"/>
      <c r="BZ26" s="2104"/>
      <c r="CA26" s="2104"/>
      <c r="CB26" s="2104"/>
      <c r="CC26" s="2104"/>
      <c r="CD26" s="2075"/>
      <c r="CE26" s="1383"/>
      <c r="CF26" s="1383"/>
      <c r="CG26" s="1383"/>
      <c r="CH26" s="1383"/>
      <c r="CI26" s="1383"/>
      <c r="CJ26" s="1383"/>
      <c r="CK26" s="1383"/>
      <c r="CL26" s="1383"/>
      <c r="CM26" s="1383"/>
      <c r="CN26" s="1383"/>
      <c r="CO26" s="1383"/>
      <c r="CP26" s="1383"/>
      <c r="CQ26" s="2095"/>
      <c r="CR26" s="2104"/>
      <c r="CS26" s="2075"/>
      <c r="CT26" s="1383"/>
      <c r="CU26" s="1383"/>
      <c r="CV26" s="2095"/>
      <c r="CW26" s="2127"/>
      <c r="CX26" s="2032"/>
      <c r="CZ26" s="542"/>
      <c r="DA26" s="542"/>
      <c r="DB26" s="542"/>
      <c r="DC26" s="542"/>
      <c r="DD26" s="542"/>
      <c r="DE26" s="542"/>
      <c r="DF26" s="542"/>
      <c r="DG26" s="542"/>
      <c r="DH26" s="542"/>
      <c r="DI26" s="542"/>
      <c r="DJ26" s="542"/>
      <c r="DK26" s="542"/>
      <c r="DL26" s="542"/>
      <c r="DM26" s="542"/>
      <c r="DN26" s="542"/>
      <c r="DO26" s="542"/>
      <c r="DP26" s="542"/>
      <c r="DQ26" s="542"/>
      <c r="DR26" s="542"/>
      <c r="DS26" s="542"/>
      <c r="DT26" s="542"/>
      <c r="DU26" s="542"/>
      <c r="DV26" s="542"/>
      <c r="DW26" s="542"/>
      <c r="DX26" s="542"/>
      <c r="DY26" s="542"/>
      <c r="DZ26" s="542"/>
      <c r="EA26" s="542"/>
      <c r="EB26" s="542"/>
      <c r="EC26" s="542"/>
      <c r="ED26" s="542"/>
      <c r="EE26" s="542"/>
      <c r="EF26" s="542"/>
      <c r="EG26" s="542"/>
      <c r="EH26" s="542"/>
      <c r="EI26" s="542"/>
      <c r="EJ26" s="542"/>
      <c r="EK26" s="542"/>
      <c r="EL26" s="542"/>
      <c r="EM26" s="542"/>
      <c r="EN26" s="542"/>
      <c r="EO26" s="542"/>
      <c r="EP26" s="542"/>
      <c r="EQ26" s="542"/>
      <c r="ER26" s="542"/>
      <c r="ES26" s="542"/>
      <c r="ET26" s="542"/>
      <c r="EU26" s="542"/>
      <c r="EV26" s="542"/>
      <c r="EW26" s="542"/>
      <c r="EX26" s="542"/>
      <c r="EY26" s="542"/>
      <c r="EZ26" s="542"/>
      <c r="FA26" s="542"/>
      <c r="FB26" s="542"/>
      <c r="FC26" s="542"/>
      <c r="FD26" s="542"/>
      <c r="FE26" s="542"/>
      <c r="FF26" s="542"/>
      <c r="FG26" s="542"/>
      <c r="FH26" s="542"/>
      <c r="FI26" s="542"/>
      <c r="FJ26" s="542"/>
      <c r="FK26" s="542"/>
      <c r="FL26" s="542"/>
      <c r="FM26" s="542"/>
      <c r="FN26" s="542"/>
      <c r="FO26" s="542"/>
      <c r="FP26" s="542"/>
      <c r="FQ26" s="542"/>
      <c r="FR26" s="542"/>
      <c r="FS26" s="542"/>
      <c r="FT26" s="542"/>
      <c r="FU26" s="542"/>
      <c r="FV26" s="542"/>
      <c r="FW26" s="542"/>
      <c r="FX26" s="542"/>
      <c r="FY26" s="542"/>
      <c r="FZ26" s="542"/>
      <c r="GA26" s="542"/>
      <c r="GB26" s="542"/>
      <c r="GC26" s="542"/>
      <c r="GD26" s="542"/>
      <c r="GE26" s="542"/>
      <c r="GF26" s="542"/>
      <c r="GG26" s="542"/>
      <c r="GH26" s="542"/>
      <c r="GI26" s="542"/>
      <c r="GJ26" s="542"/>
      <c r="GK26" s="542"/>
      <c r="GL26" s="542"/>
      <c r="GM26" s="542"/>
      <c r="GN26" s="542"/>
      <c r="GO26" s="542"/>
      <c r="GP26" s="542"/>
      <c r="GQ26" s="542"/>
      <c r="GR26" s="542"/>
      <c r="GS26" s="542"/>
      <c r="GT26" s="542"/>
      <c r="GU26" s="542"/>
      <c r="GV26" s="542"/>
      <c r="GW26" s="542"/>
      <c r="GX26" s="542"/>
      <c r="GY26" s="542"/>
      <c r="GZ26" s="542"/>
      <c r="HA26" s="542"/>
      <c r="HB26" s="542"/>
      <c r="HC26" s="542"/>
      <c r="HD26" s="542"/>
      <c r="HE26" s="542"/>
      <c r="HF26" s="542"/>
      <c r="HG26" s="542"/>
      <c r="HH26" s="542"/>
      <c r="HI26" s="542"/>
      <c r="HJ26" s="542"/>
      <c r="HK26" s="542"/>
      <c r="HL26" s="542"/>
      <c r="HM26" s="542"/>
      <c r="HN26" s="542"/>
      <c r="HO26" s="542"/>
      <c r="HP26" s="542"/>
      <c r="HQ26" s="542"/>
      <c r="HR26" s="542"/>
      <c r="HS26" s="542"/>
      <c r="HT26" s="542"/>
      <c r="HU26" s="542"/>
      <c r="HV26" s="542"/>
      <c r="HW26" s="542"/>
      <c r="HX26" s="542"/>
      <c r="HY26" s="542"/>
      <c r="HZ26" s="542"/>
      <c r="IA26" s="542"/>
      <c r="IB26" s="542"/>
      <c r="IC26" s="542"/>
      <c r="ID26" s="542"/>
      <c r="IE26" s="542"/>
      <c r="IF26" s="542"/>
      <c r="IG26" s="542"/>
      <c r="IH26" s="542"/>
      <c r="II26" s="542"/>
      <c r="IJ26" s="542"/>
      <c r="IK26" s="542"/>
      <c r="IL26" s="542"/>
      <c r="IM26" s="542"/>
      <c r="IN26" s="542"/>
      <c r="IO26" s="542"/>
      <c r="IP26" s="542"/>
      <c r="IQ26" s="542"/>
      <c r="IR26" s="542"/>
      <c r="IS26" s="542"/>
      <c r="IT26" s="542"/>
      <c r="IU26" s="542"/>
      <c r="IV26" s="542"/>
      <c r="IW26" s="542"/>
      <c r="IX26" s="542"/>
      <c r="IY26" s="542"/>
      <c r="IZ26" s="542"/>
      <c r="JA26" s="542"/>
      <c r="JB26" s="542"/>
    </row>
    <row r="27" spans="1:262" ht="25.2" hidden="1" customHeight="1">
      <c r="A27" s="2022" t="s">
        <v>4791</v>
      </c>
      <c r="B27" s="2069"/>
      <c r="C27" s="2087"/>
      <c r="D27" s="2028"/>
      <c r="E27" s="670"/>
      <c r="F27" s="439"/>
      <c r="G27" s="1983"/>
      <c r="H27" s="2025"/>
      <c r="I27" s="2092"/>
      <c r="J27" s="2104"/>
      <c r="K27" s="2092"/>
      <c r="L27" s="2023"/>
      <c r="M27" s="2130"/>
      <c r="N27" s="2075"/>
      <c r="O27" s="1383"/>
      <c r="P27" s="1383"/>
      <c r="Q27" s="1383"/>
      <c r="R27" s="2095"/>
      <c r="S27" s="2027"/>
      <c r="T27" s="2075"/>
      <c r="U27" s="1383"/>
      <c r="V27" s="2095"/>
      <c r="W27" s="2104"/>
      <c r="X27" s="2075"/>
      <c r="Y27" s="1383"/>
      <c r="Z27" s="1383"/>
      <c r="AA27" s="1383"/>
      <c r="AB27" s="1383"/>
      <c r="AC27" s="1383"/>
      <c r="AD27" s="1383"/>
      <c r="AE27" s="1383"/>
      <c r="AF27" s="1383"/>
      <c r="AG27" s="1383"/>
      <c r="AH27" s="1383"/>
      <c r="AI27" s="1383"/>
      <c r="AJ27" s="1383"/>
      <c r="AK27" s="1383"/>
      <c r="AL27" s="1383"/>
      <c r="AM27" s="2095"/>
      <c r="AN27" s="2027"/>
      <c r="AO27" s="2104"/>
      <c r="AP27" s="2075"/>
      <c r="AQ27" s="1383"/>
      <c r="AR27" s="1383"/>
      <c r="AS27" s="1383"/>
      <c r="AT27" s="1383"/>
      <c r="AU27" s="1383"/>
      <c r="AV27" s="2095"/>
      <c r="AW27" s="2027"/>
      <c r="AX27" s="2104"/>
      <c r="AY27" s="2075"/>
      <c r="AZ27" s="1383"/>
      <c r="BA27" s="1383"/>
      <c r="BB27" s="1383"/>
      <c r="BC27" s="2095"/>
      <c r="BD27" s="2104"/>
      <c r="BE27" s="2075"/>
      <c r="BF27" s="1383"/>
      <c r="BG27" s="1383"/>
      <c r="BH27" s="1383"/>
      <c r="BI27" s="1383"/>
      <c r="BJ27" s="1383"/>
      <c r="BK27" s="1383"/>
      <c r="BL27" s="2095"/>
      <c r="BM27" s="2104"/>
      <c r="BN27" s="2092"/>
      <c r="BO27" s="2104"/>
      <c r="BP27" s="2104"/>
      <c r="BQ27" s="2075"/>
      <c r="BR27" s="1383"/>
      <c r="BS27" s="2095"/>
      <c r="BT27" s="2127"/>
      <c r="BU27" s="2104"/>
      <c r="BV27" s="2075"/>
      <c r="BW27" s="2095"/>
      <c r="BX27" s="2104"/>
      <c r="BY27" s="2092"/>
      <c r="BZ27" s="2104"/>
      <c r="CA27" s="2104"/>
      <c r="CB27" s="2104"/>
      <c r="CC27" s="2104"/>
      <c r="CD27" s="2075"/>
      <c r="CE27" s="1383"/>
      <c r="CF27" s="1383"/>
      <c r="CG27" s="1383"/>
      <c r="CH27" s="1383"/>
      <c r="CI27" s="1383"/>
      <c r="CJ27" s="1383"/>
      <c r="CK27" s="1383"/>
      <c r="CL27" s="1383"/>
      <c r="CM27" s="1383"/>
      <c r="CN27" s="1383"/>
      <c r="CO27" s="1383"/>
      <c r="CP27" s="1383"/>
      <c r="CQ27" s="2095"/>
      <c r="CR27" s="2104"/>
      <c r="CS27" s="2075"/>
      <c r="CT27" s="1383"/>
      <c r="CU27" s="1383"/>
      <c r="CV27" s="2095"/>
      <c r="CW27" s="2127"/>
      <c r="CX27" s="2032"/>
      <c r="CZ27" s="542"/>
      <c r="DA27" s="542"/>
      <c r="DB27" s="542"/>
      <c r="DC27" s="542"/>
      <c r="DD27" s="542"/>
      <c r="DE27" s="542"/>
      <c r="DF27" s="542"/>
      <c r="DG27" s="542"/>
      <c r="DH27" s="542"/>
      <c r="DI27" s="542"/>
      <c r="DJ27" s="542"/>
      <c r="DK27" s="542"/>
      <c r="DL27" s="542"/>
      <c r="DM27" s="542"/>
      <c r="DN27" s="542"/>
      <c r="DO27" s="542"/>
      <c r="DP27" s="542"/>
      <c r="DQ27" s="542"/>
      <c r="DR27" s="542"/>
      <c r="DS27" s="542"/>
      <c r="DT27" s="542"/>
      <c r="DU27" s="542"/>
      <c r="DV27" s="542"/>
      <c r="DW27" s="542"/>
      <c r="DX27" s="542"/>
      <c r="DY27" s="542"/>
      <c r="DZ27" s="542"/>
      <c r="EA27" s="542"/>
      <c r="EB27" s="542"/>
      <c r="EC27" s="542"/>
      <c r="ED27" s="542"/>
      <c r="EE27" s="542"/>
      <c r="EF27" s="542"/>
      <c r="EG27" s="542"/>
      <c r="EH27" s="542"/>
      <c r="EI27" s="542"/>
      <c r="EJ27" s="542"/>
      <c r="EK27" s="542"/>
      <c r="EL27" s="542"/>
      <c r="EM27" s="542"/>
      <c r="EN27" s="542"/>
      <c r="EO27" s="542"/>
      <c r="EP27" s="542"/>
      <c r="EQ27" s="542"/>
      <c r="ER27" s="542"/>
      <c r="ES27" s="542"/>
      <c r="ET27" s="542"/>
      <c r="EU27" s="542"/>
      <c r="EV27" s="542"/>
      <c r="EW27" s="542"/>
      <c r="EX27" s="542"/>
      <c r="EY27" s="542"/>
      <c r="EZ27" s="542"/>
      <c r="FA27" s="542"/>
      <c r="FB27" s="542"/>
      <c r="FC27" s="542"/>
      <c r="FD27" s="542"/>
      <c r="FE27" s="542"/>
      <c r="FF27" s="542"/>
      <c r="FG27" s="542"/>
      <c r="FH27" s="542"/>
      <c r="FI27" s="542"/>
      <c r="FJ27" s="542"/>
      <c r="FK27" s="542"/>
      <c r="FL27" s="542"/>
      <c r="FM27" s="542"/>
      <c r="FN27" s="542"/>
      <c r="FO27" s="542"/>
      <c r="FP27" s="542"/>
      <c r="FQ27" s="542"/>
      <c r="FR27" s="542"/>
      <c r="FS27" s="542"/>
      <c r="FT27" s="542"/>
      <c r="FU27" s="542"/>
      <c r="FV27" s="542"/>
      <c r="FW27" s="542"/>
      <c r="FX27" s="542"/>
      <c r="FY27" s="542"/>
      <c r="FZ27" s="542"/>
      <c r="GA27" s="542"/>
      <c r="GB27" s="542"/>
      <c r="GC27" s="542"/>
      <c r="GD27" s="542"/>
      <c r="GE27" s="542"/>
      <c r="GF27" s="542"/>
      <c r="GG27" s="542"/>
      <c r="GH27" s="542"/>
      <c r="GI27" s="542"/>
      <c r="GJ27" s="542"/>
      <c r="GK27" s="542"/>
      <c r="GL27" s="542"/>
      <c r="GM27" s="542"/>
      <c r="GN27" s="542"/>
      <c r="GO27" s="542"/>
      <c r="GP27" s="542"/>
      <c r="GQ27" s="542"/>
      <c r="GR27" s="542"/>
      <c r="GS27" s="542"/>
      <c r="GT27" s="542"/>
      <c r="GU27" s="542"/>
      <c r="GV27" s="542"/>
      <c r="GW27" s="542"/>
      <c r="GX27" s="542"/>
      <c r="GY27" s="542"/>
      <c r="GZ27" s="542"/>
      <c r="HA27" s="542"/>
      <c r="HB27" s="542"/>
      <c r="HC27" s="542"/>
      <c r="HD27" s="542"/>
      <c r="HE27" s="542"/>
      <c r="HF27" s="542"/>
      <c r="HG27" s="542"/>
      <c r="HH27" s="542"/>
      <c r="HI27" s="542"/>
      <c r="HJ27" s="542"/>
      <c r="HK27" s="542"/>
      <c r="HL27" s="542"/>
      <c r="HM27" s="542"/>
      <c r="HN27" s="542"/>
      <c r="HO27" s="542"/>
      <c r="HP27" s="542"/>
      <c r="HQ27" s="542"/>
      <c r="HR27" s="542"/>
      <c r="HS27" s="542"/>
      <c r="HT27" s="542"/>
      <c r="HU27" s="542"/>
      <c r="HV27" s="542"/>
      <c r="HW27" s="542"/>
      <c r="HX27" s="542"/>
      <c r="HY27" s="542"/>
      <c r="HZ27" s="542"/>
      <c r="IA27" s="542"/>
      <c r="IB27" s="542"/>
      <c r="IC27" s="542"/>
      <c r="ID27" s="542"/>
      <c r="IE27" s="542"/>
      <c r="IF27" s="542"/>
      <c r="IG27" s="542"/>
      <c r="IH27" s="542"/>
      <c r="II27" s="542"/>
      <c r="IJ27" s="542"/>
      <c r="IK27" s="542"/>
      <c r="IL27" s="542"/>
      <c r="IM27" s="542"/>
      <c r="IN27" s="542"/>
      <c r="IO27" s="542"/>
      <c r="IP27" s="542"/>
      <c r="IQ27" s="542"/>
      <c r="IR27" s="542"/>
      <c r="IS27" s="542"/>
      <c r="IT27" s="542"/>
      <c r="IU27" s="542"/>
      <c r="IV27" s="542"/>
      <c r="IW27" s="542"/>
      <c r="IX27" s="542"/>
      <c r="IY27" s="542"/>
      <c r="IZ27" s="542"/>
      <c r="JA27" s="542"/>
      <c r="JB27" s="542"/>
    </row>
    <row r="28" spans="1:262" ht="13.8" hidden="1">
      <c r="A28" s="2082"/>
      <c r="B28" s="555"/>
      <c r="C28" s="550"/>
      <c r="D28" s="2018"/>
      <c r="E28" s="550"/>
      <c r="F28" s="439"/>
      <c r="G28" s="440"/>
      <c r="H28" s="556"/>
      <c r="I28" s="1383"/>
      <c r="J28" s="2083"/>
      <c r="K28" s="1383"/>
      <c r="L28" s="2083"/>
      <c r="M28" s="2083"/>
      <c r="N28" s="1383"/>
      <c r="O28" s="1383"/>
      <c r="P28" s="1383"/>
      <c r="Q28" s="1383"/>
      <c r="R28" s="1383"/>
      <c r="S28" s="2083"/>
      <c r="T28" s="1383"/>
      <c r="U28" s="1383"/>
      <c r="V28" s="1383"/>
      <c r="W28" s="2083"/>
      <c r="X28" s="1383"/>
      <c r="Y28" s="1383"/>
      <c r="Z28" s="1383"/>
      <c r="AA28" s="1383"/>
      <c r="AB28" s="1383"/>
      <c r="AC28" s="1383"/>
      <c r="AD28" s="1383"/>
      <c r="AE28" s="1383"/>
      <c r="AF28" s="1383"/>
      <c r="AG28" s="1383"/>
      <c r="AH28" s="1383"/>
      <c r="AI28" s="1383"/>
      <c r="AJ28" s="1383"/>
      <c r="AK28" s="1383"/>
      <c r="AL28" s="1383"/>
      <c r="AM28" s="1383"/>
      <c r="AN28" s="2083"/>
      <c r="AO28" s="2083"/>
      <c r="AP28" s="1383"/>
      <c r="AQ28" s="1383"/>
      <c r="AR28" s="1383"/>
      <c r="AS28" s="1383"/>
      <c r="AT28" s="1383"/>
      <c r="AU28" s="1383"/>
      <c r="AV28" s="1383"/>
      <c r="AW28" s="2083"/>
      <c r="AX28" s="2083"/>
      <c r="AY28" s="1383"/>
      <c r="AZ28" s="1383"/>
      <c r="BA28" s="1383"/>
      <c r="BB28" s="1383"/>
      <c r="BC28" s="1383"/>
      <c r="BD28" s="2083"/>
      <c r="BE28" s="1383"/>
      <c r="BF28" s="1383"/>
      <c r="BG28" s="1383"/>
      <c r="BH28" s="1383"/>
      <c r="BI28" s="1383"/>
      <c r="BJ28" s="1383"/>
      <c r="BK28" s="1383"/>
      <c r="BL28" s="1383"/>
      <c r="BM28" s="2083"/>
      <c r="BN28" s="1383"/>
      <c r="BO28" s="2083"/>
      <c r="BP28" s="2083"/>
      <c r="BQ28" s="1383"/>
      <c r="BR28" s="1383"/>
      <c r="BS28" s="1383"/>
      <c r="BT28" s="2083"/>
      <c r="BU28" s="2083"/>
      <c r="BV28" s="1383"/>
      <c r="BW28" s="1383"/>
      <c r="BX28" s="2083"/>
      <c r="BY28" s="1383"/>
      <c r="BZ28" s="2083"/>
      <c r="CA28" s="2083"/>
      <c r="CB28" s="2083"/>
      <c r="CC28" s="2083"/>
      <c r="CD28" s="1383"/>
      <c r="CE28" s="1383"/>
      <c r="CF28" s="1383"/>
      <c r="CG28" s="1383"/>
      <c r="CH28" s="1383"/>
      <c r="CI28" s="1383"/>
      <c r="CJ28" s="1383"/>
      <c r="CK28" s="1383"/>
      <c r="CL28" s="1383"/>
      <c r="CM28" s="1383"/>
      <c r="CN28" s="1383"/>
      <c r="CO28" s="1383"/>
      <c r="CP28" s="1383"/>
      <c r="CQ28" s="1383"/>
      <c r="CR28" s="2083"/>
      <c r="CS28" s="1383"/>
      <c r="CT28" s="1383"/>
      <c r="CU28" s="1383"/>
      <c r="CV28" s="1383"/>
      <c r="CW28" s="2083"/>
      <c r="CX28" s="705"/>
      <c r="CZ28" s="542"/>
      <c r="DA28" s="542"/>
      <c r="DB28" s="542"/>
      <c r="DC28" s="542"/>
      <c r="DD28" s="542"/>
      <c r="DE28" s="542"/>
      <c r="DF28" s="542"/>
      <c r="DG28" s="542"/>
      <c r="DH28" s="542"/>
      <c r="DI28" s="542"/>
      <c r="DJ28" s="542"/>
      <c r="DK28" s="542"/>
      <c r="DL28" s="542"/>
      <c r="DM28" s="542"/>
      <c r="DN28" s="542"/>
      <c r="DO28" s="542"/>
      <c r="DP28" s="542"/>
      <c r="DQ28" s="542"/>
      <c r="DR28" s="542"/>
      <c r="DS28" s="542"/>
      <c r="DT28" s="542"/>
      <c r="DU28" s="542"/>
      <c r="DV28" s="542"/>
      <c r="DW28" s="542"/>
      <c r="DX28" s="542"/>
      <c r="DY28" s="542"/>
      <c r="DZ28" s="542"/>
      <c r="EA28" s="542"/>
      <c r="EB28" s="542"/>
      <c r="EC28" s="542"/>
      <c r="ED28" s="542"/>
      <c r="EE28" s="542"/>
      <c r="EF28" s="542"/>
      <c r="EG28" s="542"/>
      <c r="EH28" s="542"/>
      <c r="EI28" s="542"/>
      <c r="EJ28" s="542"/>
      <c r="EK28" s="542"/>
      <c r="EL28" s="542"/>
      <c r="EM28" s="542"/>
      <c r="EN28" s="542"/>
      <c r="EO28" s="542"/>
      <c r="EP28" s="542"/>
      <c r="EQ28" s="542"/>
      <c r="ER28" s="542"/>
      <c r="ES28" s="542"/>
      <c r="ET28" s="542"/>
      <c r="EU28" s="542"/>
      <c r="EV28" s="542"/>
      <c r="EW28" s="542"/>
      <c r="EX28" s="542"/>
      <c r="EY28" s="542"/>
      <c r="EZ28" s="542"/>
      <c r="FA28" s="542"/>
      <c r="FB28" s="542"/>
      <c r="FC28" s="542"/>
      <c r="FD28" s="542"/>
      <c r="FE28" s="542"/>
      <c r="FF28" s="542"/>
      <c r="FG28" s="542"/>
      <c r="FH28" s="542"/>
      <c r="FI28" s="542"/>
      <c r="FJ28" s="542"/>
      <c r="FK28" s="542"/>
      <c r="FL28" s="542"/>
      <c r="FM28" s="542"/>
      <c r="FN28" s="542"/>
      <c r="FO28" s="542"/>
      <c r="FP28" s="542"/>
      <c r="FQ28" s="542"/>
      <c r="FR28" s="542"/>
      <c r="FS28" s="542"/>
      <c r="FT28" s="542"/>
      <c r="FU28" s="542"/>
      <c r="FV28" s="542"/>
      <c r="FW28" s="542"/>
      <c r="FX28" s="542"/>
      <c r="FY28" s="542"/>
      <c r="FZ28" s="542"/>
      <c r="GA28" s="542"/>
      <c r="GB28" s="542"/>
      <c r="GC28" s="542"/>
      <c r="GD28" s="542"/>
      <c r="GE28" s="542"/>
      <c r="GF28" s="542"/>
      <c r="GG28" s="542"/>
      <c r="GH28" s="542"/>
      <c r="GI28" s="542"/>
      <c r="GJ28" s="542"/>
      <c r="GK28" s="542"/>
      <c r="GL28" s="542"/>
      <c r="GM28" s="542"/>
      <c r="GN28" s="542"/>
      <c r="GO28" s="542"/>
      <c r="GP28" s="542"/>
      <c r="GQ28" s="542"/>
      <c r="GR28" s="542"/>
      <c r="GS28" s="542"/>
      <c r="GT28" s="542"/>
      <c r="GU28" s="542"/>
      <c r="GV28" s="542"/>
      <c r="GW28" s="542"/>
      <c r="GX28" s="542"/>
      <c r="GY28" s="542"/>
      <c r="GZ28" s="542"/>
      <c r="HA28" s="542"/>
      <c r="HB28" s="542"/>
      <c r="HC28" s="542"/>
      <c r="HD28" s="542"/>
      <c r="HE28" s="542"/>
      <c r="HF28" s="542"/>
      <c r="HG28" s="542"/>
      <c r="HH28" s="542"/>
      <c r="HI28" s="542"/>
      <c r="HJ28" s="542"/>
      <c r="HK28" s="542"/>
      <c r="HL28" s="542"/>
      <c r="HM28" s="542"/>
      <c r="HN28" s="542"/>
      <c r="HO28" s="542"/>
      <c r="HP28" s="542"/>
      <c r="HQ28" s="542"/>
      <c r="HR28" s="542"/>
      <c r="HS28" s="542"/>
      <c r="HT28" s="542"/>
      <c r="HU28" s="542"/>
      <c r="HV28" s="542"/>
      <c r="HW28" s="542"/>
      <c r="HX28" s="542"/>
      <c r="HY28" s="542"/>
      <c r="HZ28" s="542"/>
      <c r="IA28" s="542"/>
      <c r="IB28" s="542"/>
      <c r="IC28" s="542"/>
      <c r="ID28" s="542"/>
      <c r="IE28" s="542"/>
      <c r="IF28" s="542"/>
      <c r="IG28" s="542"/>
      <c r="IH28" s="542"/>
      <c r="II28" s="542"/>
      <c r="IJ28" s="542"/>
      <c r="IK28" s="542"/>
      <c r="IL28" s="542"/>
      <c r="IM28" s="542"/>
      <c r="IN28" s="542"/>
      <c r="IO28" s="542"/>
      <c r="IP28" s="542"/>
      <c r="IQ28" s="542"/>
      <c r="IR28" s="542"/>
      <c r="IS28" s="542"/>
      <c r="IT28" s="542"/>
      <c r="IU28" s="542"/>
      <c r="IV28" s="542"/>
      <c r="IW28" s="542"/>
      <c r="IX28" s="542"/>
      <c r="IY28" s="542"/>
      <c r="IZ28" s="542"/>
      <c r="JA28" s="542"/>
      <c r="JB28" s="542"/>
    </row>
    <row r="29" spans="1:262" ht="13.8" hidden="1">
      <c r="A29" s="1495"/>
      <c r="B29" s="550"/>
      <c r="C29" s="550"/>
      <c r="D29" s="1333"/>
      <c r="E29" s="550"/>
      <c r="F29" s="439"/>
      <c r="G29" s="440"/>
      <c r="H29" s="439"/>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1383"/>
      <c r="CX29" s="557"/>
      <c r="CZ29" s="542"/>
      <c r="DA29" s="542"/>
      <c r="DB29" s="542"/>
      <c r="DC29" s="542"/>
      <c r="DD29" s="542"/>
      <c r="DE29" s="542"/>
      <c r="DF29" s="542"/>
      <c r="DG29" s="542"/>
      <c r="DH29" s="542"/>
      <c r="DI29" s="542"/>
      <c r="DJ29" s="542"/>
      <c r="DK29" s="542"/>
      <c r="DL29" s="542"/>
      <c r="DM29" s="542"/>
      <c r="DN29" s="542"/>
      <c r="DO29" s="542"/>
      <c r="DP29" s="542"/>
      <c r="DQ29" s="542"/>
      <c r="DR29" s="542"/>
      <c r="DS29" s="542"/>
      <c r="DT29" s="542"/>
      <c r="DU29" s="542"/>
      <c r="DV29" s="542"/>
      <c r="DW29" s="542"/>
      <c r="DX29" s="542"/>
      <c r="DY29" s="542"/>
      <c r="DZ29" s="542"/>
      <c r="EA29" s="542"/>
      <c r="EB29" s="542"/>
      <c r="EC29" s="542"/>
      <c r="ED29" s="542"/>
      <c r="EE29" s="542"/>
      <c r="EF29" s="542"/>
      <c r="EG29" s="542"/>
      <c r="EH29" s="542"/>
      <c r="EI29" s="542"/>
      <c r="EJ29" s="542"/>
      <c r="EK29" s="542"/>
      <c r="EL29" s="542"/>
      <c r="EM29" s="542"/>
      <c r="EN29" s="542"/>
      <c r="EO29" s="542"/>
      <c r="EP29" s="542"/>
      <c r="EQ29" s="542"/>
      <c r="ER29" s="542"/>
      <c r="ES29" s="542"/>
      <c r="ET29" s="542"/>
      <c r="EU29" s="542"/>
      <c r="EV29" s="542"/>
      <c r="EW29" s="542"/>
      <c r="EX29" s="542"/>
      <c r="EY29" s="542"/>
      <c r="EZ29" s="542"/>
      <c r="FA29" s="542"/>
      <c r="FB29" s="542"/>
      <c r="FC29" s="542"/>
      <c r="FD29" s="542"/>
      <c r="FE29" s="542"/>
      <c r="FF29" s="542"/>
      <c r="FG29" s="542"/>
      <c r="FH29" s="542"/>
      <c r="FI29" s="542"/>
      <c r="FJ29" s="542"/>
      <c r="FK29" s="542"/>
      <c r="FL29" s="542"/>
      <c r="FM29" s="542"/>
      <c r="FN29" s="542"/>
      <c r="FO29" s="542"/>
      <c r="FP29" s="542"/>
      <c r="FQ29" s="542"/>
      <c r="FR29" s="542"/>
      <c r="FS29" s="542"/>
      <c r="FT29" s="542"/>
      <c r="FU29" s="542"/>
      <c r="FV29" s="542"/>
      <c r="FW29" s="542"/>
      <c r="FX29" s="542"/>
      <c r="FY29" s="542"/>
      <c r="FZ29" s="542"/>
      <c r="GA29" s="542"/>
      <c r="GB29" s="542"/>
      <c r="GC29" s="542"/>
      <c r="GD29" s="542"/>
      <c r="GE29" s="542"/>
      <c r="GF29" s="542"/>
      <c r="GG29" s="542"/>
      <c r="GH29" s="542"/>
      <c r="GI29" s="542"/>
      <c r="GJ29" s="542"/>
      <c r="GK29" s="542"/>
      <c r="GL29" s="542"/>
      <c r="GM29" s="542"/>
      <c r="GN29" s="542"/>
      <c r="GO29" s="542"/>
      <c r="GP29" s="542"/>
      <c r="GQ29" s="542"/>
      <c r="GR29" s="542"/>
      <c r="GS29" s="542"/>
      <c r="GT29" s="542"/>
      <c r="GU29" s="542"/>
      <c r="GV29" s="542"/>
      <c r="GW29" s="542"/>
      <c r="GX29" s="542"/>
      <c r="GY29" s="542"/>
      <c r="GZ29" s="542"/>
      <c r="HA29" s="542"/>
      <c r="HB29" s="542"/>
      <c r="HC29" s="542"/>
      <c r="HD29" s="542"/>
      <c r="HE29" s="542"/>
      <c r="HF29" s="542"/>
      <c r="HG29" s="542"/>
      <c r="HH29" s="542"/>
      <c r="HI29" s="542"/>
      <c r="HJ29" s="542"/>
      <c r="HK29" s="542"/>
      <c r="HL29" s="542"/>
      <c r="HM29" s="542"/>
      <c r="HN29" s="542"/>
      <c r="HO29" s="542"/>
      <c r="HP29" s="542"/>
      <c r="HQ29" s="542"/>
      <c r="HR29" s="542"/>
      <c r="HS29" s="542"/>
      <c r="HT29" s="542"/>
      <c r="HU29" s="542"/>
      <c r="HV29" s="542"/>
      <c r="HW29" s="542"/>
      <c r="HX29" s="542"/>
      <c r="HY29" s="542"/>
      <c r="HZ29" s="542"/>
      <c r="IA29" s="542"/>
      <c r="IB29" s="542"/>
      <c r="IC29" s="542"/>
      <c r="ID29" s="542"/>
      <c r="IE29" s="542"/>
      <c r="IF29" s="542"/>
      <c r="IG29" s="542"/>
      <c r="IH29" s="542"/>
      <c r="II29" s="542"/>
      <c r="IJ29" s="542"/>
      <c r="IK29" s="542"/>
      <c r="IL29" s="542"/>
      <c r="IM29" s="542"/>
      <c r="IN29" s="542"/>
      <c r="IO29" s="542"/>
      <c r="IP29" s="542"/>
      <c r="IQ29" s="542"/>
      <c r="IR29" s="542"/>
      <c r="IS29" s="542"/>
      <c r="IT29" s="542"/>
      <c r="IU29" s="542"/>
      <c r="IV29" s="542"/>
      <c r="IW29" s="542"/>
      <c r="IX29" s="542"/>
      <c r="IY29" s="542"/>
      <c r="IZ29" s="542"/>
      <c r="JA29" s="542"/>
      <c r="JB29" s="542"/>
    </row>
    <row r="30" spans="1:262" ht="13.8" hidden="1">
      <c r="A30" s="1495"/>
      <c r="B30" s="550"/>
      <c r="C30" s="550"/>
      <c r="D30" s="1333"/>
      <c r="E30" s="550"/>
      <c r="F30" s="439"/>
      <c r="G30" s="440"/>
      <c r="H30" s="439"/>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1383"/>
      <c r="CX30" s="557"/>
      <c r="CZ30" s="542"/>
      <c r="DA30" s="542"/>
      <c r="DB30" s="542"/>
      <c r="DC30" s="542"/>
      <c r="DD30" s="542"/>
      <c r="DE30" s="542"/>
      <c r="DF30" s="542"/>
      <c r="DG30" s="542"/>
      <c r="DH30" s="542"/>
      <c r="DI30" s="542"/>
      <c r="DJ30" s="542"/>
      <c r="DK30" s="542"/>
      <c r="DL30" s="542"/>
      <c r="DM30" s="542"/>
      <c r="DN30" s="542"/>
      <c r="DO30" s="542"/>
      <c r="DP30" s="542"/>
      <c r="DQ30" s="542"/>
      <c r="DR30" s="542"/>
      <c r="DS30" s="542"/>
      <c r="DT30" s="542"/>
      <c r="DU30" s="542"/>
      <c r="DV30" s="542"/>
      <c r="DW30" s="542"/>
      <c r="DX30" s="542"/>
      <c r="DY30" s="542"/>
      <c r="DZ30" s="542"/>
      <c r="EA30" s="542"/>
      <c r="EB30" s="542"/>
      <c r="EC30" s="542"/>
      <c r="ED30" s="542"/>
      <c r="EE30" s="542"/>
      <c r="EF30" s="542"/>
      <c r="EG30" s="542"/>
      <c r="EH30" s="542"/>
      <c r="EI30" s="542"/>
      <c r="EJ30" s="542"/>
      <c r="EK30" s="542"/>
      <c r="EL30" s="542"/>
      <c r="EM30" s="542"/>
      <c r="EN30" s="542"/>
      <c r="EO30" s="542"/>
      <c r="EP30" s="542"/>
      <c r="EQ30" s="542"/>
      <c r="ER30" s="542"/>
      <c r="ES30" s="542"/>
      <c r="ET30" s="542"/>
      <c r="EU30" s="542"/>
      <c r="EV30" s="542"/>
      <c r="EW30" s="542"/>
      <c r="EX30" s="542"/>
      <c r="EY30" s="542"/>
      <c r="EZ30" s="542"/>
      <c r="FA30" s="542"/>
      <c r="FB30" s="542"/>
      <c r="FC30" s="542"/>
      <c r="FD30" s="542"/>
      <c r="FE30" s="542"/>
      <c r="FF30" s="542"/>
      <c r="FG30" s="542"/>
      <c r="FH30" s="542"/>
      <c r="FI30" s="542"/>
      <c r="FJ30" s="542"/>
      <c r="FK30" s="542"/>
      <c r="FL30" s="542"/>
      <c r="FM30" s="542"/>
      <c r="FN30" s="542"/>
      <c r="FO30" s="542"/>
      <c r="FP30" s="542"/>
      <c r="FQ30" s="542"/>
      <c r="FR30" s="542"/>
      <c r="FS30" s="542"/>
      <c r="FT30" s="542"/>
      <c r="FU30" s="542"/>
      <c r="FV30" s="542"/>
      <c r="FW30" s="542"/>
      <c r="FX30" s="542"/>
      <c r="FY30" s="542"/>
      <c r="FZ30" s="542"/>
      <c r="GA30" s="542"/>
      <c r="GB30" s="542"/>
      <c r="GC30" s="542"/>
      <c r="GD30" s="542"/>
      <c r="GE30" s="542"/>
      <c r="GF30" s="542"/>
      <c r="GG30" s="542"/>
      <c r="GH30" s="542"/>
      <c r="GI30" s="542"/>
      <c r="GJ30" s="542"/>
      <c r="GK30" s="542"/>
      <c r="GL30" s="542"/>
      <c r="GM30" s="542"/>
      <c r="GN30" s="542"/>
      <c r="GO30" s="542"/>
      <c r="GP30" s="542"/>
      <c r="GQ30" s="542"/>
      <c r="GR30" s="542"/>
      <c r="GS30" s="542"/>
      <c r="GT30" s="542"/>
      <c r="GU30" s="542"/>
      <c r="GV30" s="542"/>
      <c r="GW30" s="542"/>
      <c r="GX30" s="542"/>
      <c r="GY30" s="542"/>
      <c r="GZ30" s="542"/>
      <c r="HA30" s="542"/>
      <c r="HB30" s="542"/>
      <c r="HC30" s="542"/>
      <c r="HD30" s="542"/>
      <c r="HE30" s="542"/>
      <c r="HF30" s="542"/>
      <c r="HG30" s="542"/>
      <c r="HH30" s="542"/>
      <c r="HI30" s="542"/>
      <c r="HJ30" s="542"/>
      <c r="HK30" s="542"/>
      <c r="HL30" s="542"/>
      <c r="HM30" s="542"/>
      <c r="HN30" s="542"/>
      <c r="HO30" s="542"/>
      <c r="HP30" s="542"/>
      <c r="HQ30" s="542"/>
      <c r="HR30" s="542"/>
      <c r="HS30" s="542"/>
      <c r="HT30" s="542"/>
      <c r="HU30" s="542"/>
      <c r="HV30" s="542"/>
      <c r="HW30" s="542"/>
      <c r="HX30" s="542"/>
      <c r="HY30" s="542"/>
      <c r="HZ30" s="542"/>
      <c r="IA30" s="542"/>
      <c r="IB30" s="542"/>
      <c r="IC30" s="542"/>
      <c r="ID30" s="542"/>
      <c r="IE30" s="542"/>
      <c r="IF30" s="542"/>
      <c r="IG30" s="542"/>
      <c r="IH30" s="542"/>
      <c r="II30" s="542"/>
      <c r="IJ30" s="542"/>
      <c r="IK30" s="542"/>
      <c r="IL30" s="542"/>
      <c r="IM30" s="542"/>
      <c r="IN30" s="542"/>
      <c r="IO30" s="542"/>
      <c r="IP30" s="542"/>
      <c r="IQ30" s="542"/>
      <c r="IR30" s="542"/>
      <c r="IS30" s="542"/>
      <c r="IT30" s="542"/>
      <c r="IU30" s="542"/>
      <c r="IV30" s="542"/>
      <c r="IW30" s="542"/>
      <c r="IX30" s="542"/>
      <c r="IY30" s="542"/>
      <c r="IZ30" s="542"/>
      <c r="JA30" s="542"/>
      <c r="JB30" s="542"/>
    </row>
    <row r="31" spans="1:262" ht="13.8" hidden="1">
      <c r="A31" s="1495"/>
      <c r="B31" s="550"/>
      <c r="C31" s="550"/>
      <c r="D31" s="1333"/>
      <c r="E31" s="550"/>
      <c r="F31" s="439"/>
      <c r="G31" s="440"/>
      <c r="H31" s="439"/>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1383"/>
      <c r="CX31" s="557"/>
      <c r="CZ31" s="542"/>
      <c r="DA31" s="542"/>
      <c r="DB31" s="542"/>
      <c r="DC31" s="542"/>
      <c r="DD31" s="542"/>
      <c r="DE31" s="542"/>
      <c r="DF31" s="542"/>
      <c r="DG31" s="542"/>
      <c r="DH31" s="542"/>
      <c r="DI31" s="542"/>
      <c r="DJ31" s="542"/>
      <c r="DK31" s="542"/>
      <c r="DL31" s="542"/>
      <c r="DM31" s="542"/>
      <c r="DN31" s="542"/>
      <c r="DO31" s="542"/>
      <c r="DP31" s="542"/>
      <c r="DQ31" s="542"/>
      <c r="DR31" s="542"/>
      <c r="DS31" s="542"/>
      <c r="DT31" s="542"/>
      <c r="DU31" s="542"/>
      <c r="DV31" s="542"/>
      <c r="DW31" s="542"/>
      <c r="DX31" s="542"/>
      <c r="DY31" s="542"/>
      <c r="DZ31" s="542"/>
      <c r="EA31" s="542"/>
      <c r="EB31" s="542"/>
      <c r="EC31" s="542"/>
      <c r="ED31" s="542"/>
      <c r="EE31" s="542"/>
      <c r="EF31" s="542"/>
      <c r="EG31" s="542"/>
      <c r="EH31" s="542"/>
      <c r="EI31" s="542"/>
      <c r="EJ31" s="542"/>
      <c r="EK31" s="542"/>
      <c r="EL31" s="542"/>
      <c r="EM31" s="542"/>
      <c r="EN31" s="542"/>
      <c r="EO31" s="542"/>
      <c r="EP31" s="542"/>
      <c r="EQ31" s="542"/>
      <c r="ER31" s="542"/>
      <c r="ES31" s="542"/>
      <c r="ET31" s="542"/>
      <c r="EU31" s="542"/>
      <c r="EV31" s="542"/>
      <c r="EW31" s="542"/>
      <c r="EX31" s="542"/>
      <c r="EY31" s="542"/>
      <c r="EZ31" s="542"/>
      <c r="FA31" s="542"/>
      <c r="FB31" s="542"/>
      <c r="FC31" s="542"/>
      <c r="FD31" s="542"/>
      <c r="FE31" s="542"/>
      <c r="FF31" s="542"/>
      <c r="FG31" s="542"/>
      <c r="FH31" s="542"/>
      <c r="FI31" s="542"/>
      <c r="FJ31" s="542"/>
      <c r="FK31" s="542"/>
      <c r="FL31" s="542"/>
      <c r="FM31" s="542"/>
      <c r="FN31" s="542"/>
      <c r="FO31" s="542"/>
      <c r="FP31" s="542"/>
      <c r="FQ31" s="542"/>
      <c r="FR31" s="542"/>
      <c r="FS31" s="542"/>
      <c r="FT31" s="542"/>
      <c r="FU31" s="542"/>
      <c r="FV31" s="542"/>
      <c r="FW31" s="542"/>
      <c r="FX31" s="542"/>
      <c r="FY31" s="542"/>
      <c r="FZ31" s="542"/>
      <c r="GA31" s="542"/>
      <c r="GB31" s="542"/>
      <c r="GC31" s="542"/>
      <c r="GD31" s="542"/>
      <c r="GE31" s="542"/>
      <c r="GF31" s="542"/>
      <c r="GG31" s="542"/>
      <c r="GH31" s="542"/>
      <c r="GI31" s="542"/>
      <c r="GJ31" s="542"/>
      <c r="GK31" s="542"/>
      <c r="GL31" s="542"/>
      <c r="GM31" s="542"/>
      <c r="GN31" s="542"/>
      <c r="GO31" s="542"/>
      <c r="GP31" s="542"/>
      <c r="GQ31" s="542"/>
      <c r="GR31" s="542"/>
      <c r="GS31" s="542"/>
      <c r="GT31" s="542"/>
      <c r="GU31" s="542"/>
      <c r="GV31" s="542"/>
      <c r="GW31" s="542"/>
      <c r="GX31" s="542"/>
      <c r="GY31" s="542"/>
      <c r="GZ31" s="542"/>
      <c r="HA31" s="542"/>
      <c r="HB31" s="542"/>
      <c r="HC31" s="542"/>
      <c r="HD31" s="542"/>
      <c r="HE31" s="542"/>
      <c r="HF31" s="542"/>
      <c r="HG31" s="542"/>
      <c r="HH31" s="542"/>
      <c r="HI31" s="542"/>
      <c r="HJ31" s="542"/>
      <c r="HK31" s="542"/>
      <c r="HL31" s="542"/>
      <c r="HM31" s="542"/>
      <c r="HN31" s="542"/>
      <c r="HO31" s="542"/>
      <c r="HP31" s="542"/>
      <c r="HQ31" s="542"/>
      <c r="HR31" s="542"/>
      <c r="HS31" s="542"/>
      <c r="HT31" s="542"/>
      <c r="HU31" s="542"/>
      <c r="HV31" s="542"/>
      <c r="HW31" s="542"/>
      <c r="HX31" s="542"/>
      <c r="HY31" s="542"/>
      <c r="HZ31" s="542"/>
      <c r="IA31" s="542"/>
      <c r="IB31" s="542"/>
      <c r="IC31" s="542"/>
      <c r="ID31" s="542"/>
      <c r="IE31" s="542"/>
      <c r="IF31" s="542"/>
      <c r="IG31" s="542"/>
      <c r="IH31" s="542"/>
      <c r="II31" s="542"/>
      <c r="IJ31" s="542"/>
      <c r="IK31" s="542"/>
      <c r="IL31" s="542"/>
      <c r="IM31" s="542"/>
      <c r="IN31" s="542"/>
      <c r="IO31" s="542"/>
      <c r="IP31" s="542"/>
      <c r="IQ31" s="542"/>
      <c r="IR31" s="542"/>
      <c r="IS31" s="542"/>
      <c r="IT31" s="542"/>
      <c r="IU31" s="542"/>
      <c r="IV31" s="542"/>
      <c r="IW31" s="542"/>
      <c r="IX31" s="542"/>
      <c r="IY31" s="542"/>
      <c r="IZ31" s="542"/>
      <c r="JA31" s="542"/>
      <c r="JB31" s="542"/>
    </row>
    <row r="32" spans="1:262" ht="13.8" hidden="1">
      <c r="A32" s="1495"/>
      <c r="B32" s="550"/>
      <c r="C32" s="550"/>
      <c r="D32" s="1333"/>
      <c r="E32" s="550"/>
      <c r="F32" s="439"/>
      <c r="G32" s="440"/>
      <c r="H32" s="439"/>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1383"/>
      <c r="CX32" s="557"/>
      <c r="CZ32" s="542"/>
      <c r="DA32" s="542"/>
      <c r="DB32" s="542"/>
      <c r="DC32" s="542"/>
      <c r="DD32" s="542"/>
      <c r="DE32" s="542"/>
      <c r="DF32" s="542"/>
      <c r="DG32" s="542"/>
      <c r="DH32" s="542"/>
      <c r="DI32" s="542"/>
      <c r="DJ32" s="542"/>
      <c r="DK32" s="542"/>
      <c r="DL32" s="542"/>
      <c r="DM32" s="542"/>
      <c r="DN32" s="542"/>
      <c r="DO32" s="542"/>
      <c r="DP32" s="542"/>
      <c r="DQ32" s="542"/>
      <c r="DR32" s="542"/>
      <c r="DS32" s="542"/>
      <c r="DT32" s="542"/>
      <c r="DU32" s="542"/>
      <c r="DV32" s="542"/>
      <c r="DW32" s="542"/>
      <c r="DX32" s="542"/>
      <c r="DY32" s="542"/>
      <c r="DZ32" s="542"/>
      <c r="EA32" s="542"/>
      <c r="EB32" s="542"/>
      <c r="EC32" s="542"/>
      <c r="ED32" s="542"/>
      <c r="EE32" s="542"/>
      <c r="EF32" s="542"/>
      <c r="EG32" s="542"/>
      <c r="EH32" s="542"/>
      <c r="EI32" s="542"/>
      <c r="EJ32" s="542"/>
      <c r="EK32" s="542"/>
      <c r="EL32" s="542"/>
      <c r="EM32" s="542"/>
      <c r="EN32" s="542"/>
      <c r="EO32" s="542"/>
      <c r="EP32" s="542"/>
      <c r="EQ32" s="542"/>
      <c r="ER32" s="542"/>
      <c r="ES32" s="542"/>
      <c r="ET32" s="542"/>
      <c r="EU32" s="542"/>
      <c r="EV32" s="542"/>
      <c r="EW32" s="542"/>
      <c r="EX32" s="542"/>
      <c r="EY32" s="542"/>
      <c r="EZ32" s="542"/>
      <c r="FA32" s="542"/>
      <c r="FB32" s="542"/>
      <c r="FC32" s="542"/>
      <c r="FD32" s="542"/>
      <c r="FE32" s="542"/>
      <c r="FF32" s="542"/>
      <c r="FG32" s="542"/>
      <c r="FH32" s="542"/>
      <c r="FI32" s="542"/>
      <c r="FJ32" s="542"/>
      <c r="FK32" s="542"/>
      <c r="FL32" s="542"/>
      <c r="FM32" s="542"/>
      <c r="FN32" s="542"/>
      <c r="FO32" s="542"/>
      <c r="FP32" s="542"/>
      <c r="FQ32" s="542"/>
      <c r="FR32" s="542"/>
      <c r="FS32" s="542"/>
      <c r="FT32" s="542"/>
      <c r="FU32" s="542"/>
      <c r="FV32" s="542"/>
      <c r="FW32" s="542"/>
      <c r="FX32" s="542"/>
      <c r="FY32" s="542"/>
      <c r="FZ32" s="542"/>
      <c r="GA32" s="542"/>
      <c r="GB32" s="542"/>
      <c r="GC32" s="542"/>
      <c r="GD32" s="542"/>
      <c r="GE32" s="542"/>
      <c r="GF32" s="542"/>
      <c r="GG32" s="542"/>
      <c r="GH32" s="542"/>
      <c r="GI32" s="542"/>
      <c r="GJ32" s="542"/>
      <c r="GK32" s="542"/>
      <c r="GL32" s="542"/>
      <c r="GM32" s="542"/>
      <c r="GN32" s="542"/>
      <c r="GO32" s="542"/>
      <c r="GP32" s="542"/>
      <c r="GQ32" s="542"/>
      <c r="GR32" s="542"/>
      <c r="GS32" s="542"/>
      <c r="GT32" s="542"/>
      <c r="GU32" s="542"/>
      <c r="GV32" s="542"/>
      <c r="GW32" s="542"/>
      <c r="GX32" s="542"/>
      <c r="GY32" s="542"/>
      <c r="GZ32" s="542"/>
      <c r="HA32" s="542"/>
      <c r="HB32" s="542"/>
      <c r="HC32" s="542"/>
      <c r="HD32" s="542"/>
      <c r="HE32" s="542"/>
      <c r="HF32" s="542"/>
      <c r="HG32" s="542"/>
      <c r="HH32" s="542"/>
      <c r="HI32" s="542"/>
      <c r="HJ32" s="542"/>
      <c r="HK32" s="542"/>
      <c r="HL32" s="542"/>
      <c r="HM32" s="542"/>
      <c r="HN32" s="542"/>
      <c r="HO32" s="542"/>
      <c r="HP32" s="542"/>
      <c r="HQ32" s="542"/>
      <c r="HR32" s="542"/>
      <c r="HS32" s="542"/>
      <c r="HT32" s="542"/>
      <c r="HU32" s="542"/>
      <c r="HV32" s="542"/>
      <c r="HW32" s="542"/>
      <c r="HX32" s="542"/>
      <c r="HY32" s="542"/>
      <c r="HZ32" s="542"/>
      <c r="IA32" s="542"/>
      <c r="IB32" s="542"/>
      <c r="IC32" s="542"/>
      <c r="ID32" s="542"/>
      <c r="IE32" s="542"/>
      <c r="IF32" s="542"/>
      <c r="IG32" s="542"/>
      <c r="IH32" s="542"/>
      <c r="II32" s="542"/>
      <c r="IJ32" s="542"/>
      <c r="IK32" s="542"/>
      <c r="IL32" s="542"/>
      <c r="IM32" s="542"/>
      <c r="IN32" s="542"/>
      <c r="IO32" s="542"/>
      <c r="IP32" s="542"/>
      <c r="IQ32" s="542"/>
      <c r="IR32" s="542"/>
      <c r="IS32" s="542"/>
      <c r="IT32" s="542"/>
      <c r="IU32" s="542"/>
      <c r="IV32" s="542"/>
      <c r="IW32" s="542"/>
      <c r="IX32" s="542"/>
      <c r="IY32" s="542"/>
      <c r="IZ32" s="542"/>
      <c r="JA32" s="542"/>
      <c r="JB32" s="542"/>
    </row>
    <row r="33" spans="1:262" ht="13.8" hidden="1">
      <c r="A33" s="1495"/>
      <c r="B33" s="550"/>
      <c r="C33" s="550"/>
      <c r="D33" s="1333"/>
      <c r="E33" s="550"/>
      <c r="F33" s="439"/>
      <c r="G33" s="440"/>
      <c r="H33" s="439"/>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1383"/>
      <c r="CX33" s="557"/>
      <c r="CZ33" s="542"/>
      <c r="DA33" s="542"/>
      <c r="DB33" s="542"/>
      <c r="DC33" s="542"/>
      <c r="DD33" s="542"/>
      <c r="DE33" s="542"/>
      <c r="DF33" s="542"/>
      <c r="DG33" s="542"/>
      <c r="DH33" s="542"/>
      <c r="DI33" s="542"/>
      <c r="DJ33" s="542"/>
      <c r="DK33" s="542"/>
      <c r="DL33" s="542"/>
      <c r="DM33" s="542"/>
      <c r="DN33" s="542"/>
      <c r="DO33" s="542"/>
      <c r="DP33" s="542"/>
      <c r="DQ33" s="542"/>
      <c r="DR33" s="542"/>
      <c r="DS33" s="542"/>
      <c r="DT33" s="542"/>
      <c r="DU33" s="542"/>
      <c r="DV33" s="542"/>
      <c r="DW33" s="542"/>
      <c r="DX33" s="542"/>
      <c r="DY33" s="542"/>
      <c r="DZ33" s="542"/>
      <c r="EA33" s="542"/>
      <c r="EB33" s="542"/>
      <c r="EC33" s="542"/>
      <c r="ED33" s="542"/>
      <c r="EE33" s="542"/>
      <c r="EF33" s="542"/>
      <c r="EG33" s="542"/>
      <c r="EH33" s="542"/>
      <c r="EI33" s="542"/>
      <c r="EJ33" s="542"/>
      <c r="EK33" s="542"/>
      <c r="EL33" s="542"/>
      <c r="EM33" s="542"/>
      <c r="EN33" s="542"/>
      <c r="EO33" s="542"/>
      <c r="EP33" s="542"/>
      <c r="EQ33" s="542"/>
      <c r="ER33" s="542"/>
      <c r="ES33" s="542"/>
      <c r="ET33" s="542"/>
      <c r="EU33" s="542"/>
      <c r="EV33" s="542"/>
      <c r="EW33" s="542"/>
      <c r="EX33" s="542"/>
      <c r="EY33" s="542"/>
      <c r="EZ33" s="542"/>
      <c r="FA33" s="542"/>
      <c r="FB33" s="542"/>
      <c r="FC33" s="542"/>
      <c r="FD33" s="542"/>
      <c r="FE33" s="542"/>
      <c r="FF33" s="542"/>
      <c r="FG33" s="542"/>
      <c r="FH33" s="542"/>
      <c r="FI33" s="542"/>
      <c r="FJ33" s="542"/>
      <c r="FK33" s="542"/>
      <c r="FL33" s="542"/>
      <c r="FM33" s="542"/>
      <c r="FN33" s="542"/>
      <c r="FO33" s="542"/>
      <c r="FP33" s="542"/>
      <c r="FQ33" s="542"/>
      <c r="FR33" s="542"/>
      <c r="FS33" s="542"/>
      <c r="FT33" s="542"/>
      <c r="FU33" s="542"/>
      <c r="FV33" s="542"/>
      <c r="FW33" s="542"/>
      <c r="FX33" s="542"/>
      <c r="FY33" s="542"/>
      <c r="FZ33" s="542"/>
      <c r="GA33" s="542"/>
      <c r="GB33" s="542"/>
      <c r="GC33" s="542"/>
      <c r="GD33" s="542"/>
      <c r="GE33" s="542"/>
      <c r="GF33" s="542"/>
      <c r="GG33" s="542"/>
      <c r="GH33" s="542"/>
      <c r="GI33" s="542"/>
      <c r="GJ33" s="542"/>
      <c r="GK33" s="542"/>
      <c r="GL33" s="542"/>
      <c r="GM33" s="542"/>
      <c r="GN33" s="542"/>
      <c r="GO33" s="542"/>
      <c r="GP33" s="542"/>
      <c r="GQ33" s="542"/>
      <c r="GR33" s="542"/>
      <c r="GS33" s="542"/>
      <c r="GT33" s="542"/>
      <c r="GU33" s="542"/>
      <c r="GV33" s="542"/>
      <c r="GW33" s="542"/>
      <c r="GX33" s="542"/>
      <c r="GY33" s="542"/>
      <c r="GZ33" s="542"/>
      <c r="HA33" s="542"/>
      <c r="HB33" s="542"/>
      <c r="HC33" s="542"/>
      <c r="HD33" s="542"/>
      <c r="HE33" s="542"/>
      <c r="HF33" s="542"/>
      <c r="HG33" s="542"/>
      <c r="HH33" s="542"/>
      <c r="HI33" s="542"/>
      <c r="HJ33" s="542"/>
      <c r="HK33" s="542"/>
      <c r="HL33" s="542"/>
      <c r="HM33" s="542"/>
      <c r="HN33" s="542"/>
      <c r="HO33" s="542"/>
      <c r="HP33" s="542"/>
      <c r="HQ33" s="542"/>
      <c r="HR33" s="542"/>
      <c r="HS33" s="542"/>
      <c r="HT33" s="542"/>
      <c r="HU33" s="542"/>
      <c r="HV33" s="542"/>
      <c r="HW33" s="542"/>
      <c r="HX33" s="542"/>
      <c r="HY33" s="542"/>
      <c r="HZ33" s="542"/>
      <c r="IA33" s="542"/>
      <c r="IB33" s="542"/>
      <c r="IC33" s="542"/>
      <c r="ID33" s="542"/>
      <c r="IE33" s="542"/>
      <c r="IF33" s="542"/>
      <c r="IG33" s="542"/>
      <c r="IH33" s="542"/>
      <c r="II33" s="542"/>
      <c r="IJ33" s="542"/>
      <c r="IK33" s="542"/>
      <c r="IL33" s="542"/>
      <c r="IM33" s="542"/>
      <c r="IN33" s="542"/>
      <c r="IO33" s="542"/>
      <c r="IP33" s="542"/>
      <c r="IQ33" s="542"/>
      <c r="IR33" s="542"/>
      <c r="IS33" s="542"/>
      <c r="IT33" s="542"/>
      <c r="IU33" s="542"/>
      <c r="IV33" s="542"/>
      <c r="IW33" s="542"/>
      <c r="IX33" s="542"/>
      <c r="IY33" s="542"/>
      <c r="IZ33" s="542"/>
      <c r="JA33" s="542"/>
      <c r="JB33" s="542"/>
    </row>
    <row r="34" spans="1:262" ht="13.8" hidden="1">
      <c r="A34" s="1495"/>
      <c r="B34" s="550"/>
      <c r="C34" s="550"/>
      <c r="D34" s="1333"/>
      <c r="E34" s="550"/>
      <c r="F34" s="439"/>
      <c r="G34" s="440"/>
      <c r="H34" s="439"/>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1383"/>
      <c r="CX34" s="557"/>
      <c r="CZ34" s="542"/>
      <c r="DA34" s="542"/>
      <c r="DB34" s="542"/>
      <c r="DC34" s="542"/>
      <c r="DD34" s="542"/>
      <c r="DE34" s="542"/>
      <c r="DF34" s="542"/>
      <c r="DG34" s="542"/>
      <c r="DH34" s="542"/>
      <c r="DI34" s="542"/>
      <c r="DJ34" s="542"/>
      <c r="DK34" s="542"/>
      <c r="DL34" s="542"/>
      <c r="DM34" s="542"/>
      <c r="DN34" s="542"/>
      <c r="DO34" s="542"/>
      <c r="DP34" s="542"/>
      <c r="DQ34" s="542"/>
      <c r="DR34" s="542"/>
      <c r="DS34" s="542"/>
      <c r="DT34" s="542"/>
      <c r="DU34" s="542"/>
      <c r="DV34" s="542"/>
      <c r="DW34" s="542"/>
      <c r="DX34" s="542"/>
      <c r="DY34" s="542"/>
      <c r="DZ34" s="542"/>
      <c r="EA34" s="542"/>
      <c r="EB34" s="542"/>
      <c r="EC34" s="542"/>
      <c r="ED34" s="542"/>
      <c r="EE34" s="542"/>
      <c r="EF34" s="542"/>
      <c r="EG34" s="542"/>
      <c r="EH34" s="542"/>
      <c r="EI34" s="542"/>
      <c r="EJ34" s="542"/>
      <c r="EK34" s="542"/>
      <c r="EL34" s="542"/>
      <c r="EM34" s="542"/>
      <c r="EN34" s="542"/>
      <c r="EO34" s="542"/>
      <c r="EP34" s="542"/>
      <c r="EQ34" s="542"/>
      <c r="ER34" s="542"/>
      <c r="ES34" s="542"/>
      <c r="ET34" s="542"/>
      <c r="EU34" s="542"/>
      <c r="EV34" s="542"/>
      <c r="EW34" s="542"/>
      <c r="EX34" s="542"/>
      <c r="EY34" s="542"/>
      <c r="EZ34" s="542"/>
      <c r="FA34" s="542"/>
      <c r="FB34" s="542"/>
      <c r="FC34" s="542"/>
      <c r="FD34" s="542"/>
      <c r="FE34" s="542"/>
      <c r="FF34" s="542"/>
      <c r="FG34" s="542"/>
      <c r="FH34" s="542"/>
      <c r="FI34" s="542"/>
      <c r="FJ34" s="542"/>
      <c r="FK34" s="542"/>
      <c r="FL34" s="542"/>
      <c r="FM34" s="542"/>
      <c r="FN34" s="542"/>
      <c r="FO34" s="542"/>
      <c r="FP34" s="542"/>
      <c r="FQ34" s="542"/>
      <c r="FR34" s="542"/>
      <c r="FS34" s="542"/>
      <c r="FT34" s="542"/>
      <c r="FU34" s="542"/>
      <c r="FV34" s="542"/>
      <c r="FW34" s="542"/>
      <c r="FX34" s="542"/>
      <c r="FY34" s="542"/>
      <c r="FZ34" s="542"/>
      <c r="GA34" s="542"/>
      <c r="GB34" s="542"/>
      <c r="GC34" s="542"/>
      <c r="GD34" s="542"/>
      <c r="GE34" s="542"/>
      <c r="GF34" s="542"/>
      <c r="GG34" s="542"/>
      <c r="GH34" s="542"/>
      <c r="GI34" s="542"/>
      <c r="GJ34" s="542"/>
      <c r="GK34" s="542"/>
      <c r="GL34" s="542"/>
      <c r="GM34" s="542"/>
      <c r="GN34" s="542"/>
      <c r="GO34" s="542"/>
      <c r="GP34" s="542"/>
      <c r="GQ34" s="542"/>
      <c r="GR34" s="542"/>
      <c r="GS34" s="542"/>
      <c r="GT34" s="542"/>
      <c r="GU34" s="542"/>
      <c r="GV34" s="542"/>
      <c r="GW34" s="542"/>
      <c r="GX34" s="542"/>
      <c r="GY34" s="542"/>
      <c r="GZ34" s="542"/>
      <c r="HA34" s="542"/>
      <c r="HB34" s="542"/>
      <c r="HC34" s="542"/>
      <c r="HD34" s="542"/>
      <c r="HE34" s="542"/>
      <c r="HF34" s="542"/>
      <c r="HG34" s="542"/>
      <c r="HH34" s="542"/>
      <c r="HI34" s="542"/>
      <c r="HJ34" s="542"/>
      <c r="HK34" s="542"/>
      <c r="HL34" s="542"/>
      <c r="HM34" s="542"/>
      <c r="HN34" s="542"/>
      <c r="HO34" s="542"/>
      <c r="HP34" s="542"/>
      <c r="HQ34" s="542"/>
      <c r="HR34" s="542"/>
      <c r="HS34" s="542"/>
      <c r="HT34" s="542"/>
      <c r="HU34" s="542"/>
      <c r="HV34" s="542"/>
      <c r="HW34" s="542"/>
      <c r="HX34" s="542"/>
      <c r="HY34" s="542"/>
      <c r="HZ34" s="542"/>
      <c r="IA34" s="542"/>
      <c r="IB34" s="542"/>
      <c r="IC34" s="542"/>
      <c r="ID34" s="542"/>
      <c r="IE34" s="542"/>
      <c r="IF34" s="542"/>
      <c r="IG34" s="542"/>
      <c r="IH34" s="542"/>
      <c r="II34" s="542"/>
      <c r="IJ34" s="542"/>
      <c r="IK34" s="542"/>
      <c r="IL34" s="542"/>
      <c r="IM34" s="542"/>
      <c r="IN34" s="542"/>
      <c r="IO34" s="542"/>
      <c r="IP34" s="542"/>
      <c r="IQ34" s="542"/>
      <c r="IR34" s="542"/>
      <c r="IS34" s="542"/>
      <c r="IT34" s="542"/>
      <c r="IU34" s="542"/>
      <c r="IV34" s="542"/>
      <c r="IW34" s="542"/>
      <c r="IX34" s="542"/>
      <c r="IY34" s="542"/>
      <c r="IZ34" s="542"/>
      <c r="JA34" s="542"/>
      <c r="JB34" s="542"/>
    </row>
    <row r="35" spans="1:262" ht="13.8" hidden="1">
      <c r="A35" s="1495"/>
      <c r="B35" s="550"/>
      <c r="C35" s="550"/>
      <c r="D35" s="1333"/>
      <c r="E35" s="550"/>
      <c r="F35" s="439"/>
      <c r="G35" s="440"/>
      <c r="H35" s="439"/>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1383"/>
      <c r="CX35" s="557"/>
      <c r="CZ35" s="542"/>
      <c r="DA35" s="542"/>
      <c r="DB35" s="542"/>
      <c r="DC35" s="542"/>
      <c r="DD35" s="542"/>
      <c r="DE35" s="542"/>
      <c r="DF35" s="542"/>
      <c r="DG35" s="542"/>
      <c r="DH35" s="542"/>
      <c r="DI35" s="542"/>
      <c r="DJ35" s="542"/>
      <c r="DK35" s="542"/>
      <c r="DL35" s="542"/>
      <c r="DM35" s="542"/>
      <c r="DN35" s="542"/>
      <c r="DO35" s="542"/>
      <c r="DP35" s="542"/>
      <c r="DQ35" s="542"/>
      <c r="DR35" s="542"/>
      <c r="DS35" s="542"/>
      <c r="DT35" s="542"/>
      <c r="DU35" s="542"/>
      <c r="DV35" s="542"/>
      <c r="DW35" s="542"/>
      <c r="DX35" s="542"/>
      <c r="DY35" s="542"/>
      <c r="DZ35" s="542"/>
      <c r="EA35" s="542"/>
      <c r="EB35" s="542"/>
      <c r="EC35" s="542"/>
      <c r="ED35" s="542"/>
      <c r="EE35" s="542"/>
      <c r="EF35" s="542"/>
      <c r="EG35" s="542"/>
      <c r="EH35" s="542"/>
      <c r="EI35" s="542"/>
      <c r="EJ35" s="542"/>
      <c r="EK35" s="542"/>
      <c r="EL35" s="542"/>
      <c r="EM35" s="542"/>
      <c r="EN35" s="542"/>
      <c r="EO35" s="542"/>
      <c r="EP35" s="542"/>
      <c r="EQ35" s="542"/>
      <c r="ER35" s="542"/>
      <c r="ES35" s="542"/>
      <c r="ET35" s="542"/>
      <c r="EU35" s="542"/>
      <c r="EV35" s="542"/>
      <c r="EW35" s="542"/>
      <c r="EX35" s="542"/>
      <c r="EY35" s="542"/>
      <c r="EZ35" s="542"/>
      <c r="FA35" s="542"/>
      <c r="FB35" s="542"/>
      <c r="FC35" s="542"/>
      <c r="FD35" s="542"/>
      <c r="FE35" s="542"/>
      <c r="FF35" s="542"/>
      <c r="FG35" s="542"/>
      <c r="FH35" s="542"/>
      <c r="FI35" s="542"/>
      <c r="FJ35" s="542"/>
      <c r="FK35" s="542"/>
      <c r="FL35" s="542"/>
      <c r="FM35" s="542"/>
      <c r="FN35" s="542"/>
      <c r="FO35" s="542"/>
      <c r="FP35" s="542"/>
      <c r="FQ35" s="542"/>
      <c r="FR35" s="542"/>
      <c r="FS35" s="542"/>
      <c r="FT35" s="542"/>
      <c r="FU35" s="542"/>
      <c r="FV35" s="542"/>
      <c r="FW35" s="542"/>
      <c r="FX35" s="542"/>
      <c r="FY35" s="542"/>
      <c r="FZ35" s="542"/>
      <c r="GA35" s="542"/>
      <c r="GB35" s="542"/>
      <c r="GC35" s="542"/>
      <c r="GD35" s="542"/>
      <c r="GE35" s="542"/>
      <c r="GF35" s="542"/>
      <c r="GG35" s="542"/>
      <c r="GH35" s="542"/>
      <c r="GI35" s="542"/>
      <c r="GJ35" s="542"/>
      <c r="GK35" s="542"/>
      <c r="GL35" s="542"/>
      <c r="GM35" s="542"/>
      <c r="GN35" s="542"/>
      <c r="GO35" s="542"/>
      <c r="GP35" s="542"/>
      <c r="GQ35" s="542"/>
      <c r="GR35" s="542"/>
      <c r="GS35" s="542"/>
      <c r="GT35" s="542"/>
      <c r="GU35" s="542"/>
      <c r="GV35" s="542"/>
      <c r="GW35" s="542"/>
      <c r="GX35" s="542"/>
      <c r="GY35" s="542"/>
      <c r="GZ35" s="542"/>
      <c r="HA35" s="542"/>
      <c r="HB35" s="542"/>
      <c r="HC35" s="542"/>
      <c r="HD35" s="542"/>
      <c r="HE35" s="542"/>
      <c r="HF35" s="542"/>
      <c r="HG35" s="542"/>
      <c r="HH35" s="542"/>
      <c r="HI35" s="542"/>
      <c r="HJ35" s="542"/>
      <c r="HK35" s="542"/>
      <c r="HL35" s="542"/>
      <c r="HM35" s="542"/>
      <c r="HN35" s="542"/>
      <c r="HO35" s="542"/>
      <c r="HP35" s="542"/>
      <c r="HQ35" s="542"/>
      <c r="HR35" s="542"/>
      <c r="HS35" s="542"/>
      <c r="HT35" s="542"/>
      <c r="HU35" s="542"/>
      <c r="HV35" s="542"/>
      <c r="HW35" s="542"/>
      <c r="HX35" s="542"/>
      <c r="HY35" s="542"/>
      <c r="HZ35" s="542"/>
      <c r="IA35" s="542"/>
      <c r="IB35" s="542"/>
      <c r="IC35" s="542"/>
      <c r="ID35" s="542"/>
      <c r="IE35" s="542"/>
      <c r="IF35" s="542"/>
      <c r="IG35" s="542"/>
      <c r="IH35" s="542"/>
      <c r="II35" s="542"/>
      <c r="IJ35" s="542"/>
      <c r="IK35" s="542"/>
      <c r="IL35" s="542"/>
      <c r="IM35" s="542"/>
      <c r="IN35" s="542"/>
      <c r="IO35" s="542"/>
      <c r="IP35" s="542"/>
      <c r="IQ35" s="542"/>
      <c r="IR35" s="542"/>
      <c r="IS35" s="542"/>
      <c r="IT35" s="542"/>
      <c r="IU35" s="542"/>
      <c r="IV35" s="542"/>
      <c r="IW35" s="542"/>
      <c r="IX35" s="542"/>
      <c r="IY35" s="542"/>
      <c r="IZ35" s="542"/>
      <c r="JA35" s="542"/>
      <c r="JB35" s="542"/>
    </row>
    <row r="36" spans="1:262" ht="13.8" hidden="1">
      <c r="A36" s="1495"/>
      <c r="B36" s="550"/>
      <c r="C36" s="550"/>
      <c r="D36" s="1333"/>
      <c r="E36" s="550"/>
      <c r="F36" s="439"/>
      <c r="G36" s="440"/>
      <c r="H36" s="439"/>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1383"/>
      <c r="CX36" s="557"/>
      <c r="CZ36" s="542"/>
      <c r="DA36" s="542"/>
      <c r="DB36" s="542"/>
      <c r="DC36" s="542"/>
      <c r="DD36" s="542"/>
      <c r="DE36" s="542"/>
      <c r="DF36" s="542"/>
      <c r="DG36" s="542"/>
      <c r="DH36" s="542"/>
      <c r="DI36" s="542"/>
      <c r="DJ36" s="542"/>
      <c r="DK36" s="542"/>
      <c r="DL36" s="542"/>
      <c r="DM36" s="542"/>
      <c r="DN36" s="542"/>
      <c r="DO36" s="542"/>
      <c r="DP36" s="542"/>
      <c r="DQ36" s="542"/>
      <c r="DR36" s="542"/>
      <c r="DS36" s="542"/>
      <c r="DT36" s="542"/>
      <c r="DU36" s="542"/>
      <c r="DV36" s="542"/>
      <c r="DW36" s="542"/>
      <c r="DX36" s="542"/>
      <c r="DY36" s="542"/>
      <c r="DZ36" s="542"/>
      <c r="EA36" s="542"/>
      <c r="EB36" s="542"/>
      <c r="EC36" s="542"/>
      <c r="ED36" s="542"/>
      <c r="EE36" s="542"/>
      <c r="EF36" s="542"/>
      <c r="EG36" s="542"/>
      <c r="EH36" s="542"/>
      <c r="EI36" s="542"/>
      <c r="EJ36" s="542"/>
      <c r="EK36" s="542"/>
      <c r="EL36" s="542"/>
      <c r="EM36" s="542"/>
      <c r="EN36" s="542"/>
      <c r="EO36" s="542"/>
      <c r="EP36" s="542"/>
      <c r="EQ36" s="542"/>
      <c r="ER36" s="542"/>
      <c r="ES36" s="542"/>
      <c r="ET36" s="542"/>
      <c r="EU36" s="542"/>
      <c r="EV36" s="542"/>
      <c r="EW36" s="542"/>
      <c r="EX36" s="542"/>
      <c r="EY36" s="542"/>
      <c r="EZ36" s="542"/>
      <c r="FA36" s="542"/>
      <c r="FB36" s="542"/>
      <c r="FC36" s="542"/>
      <c r="FD36" s="542"/>
      <c r="FE36" s="542"/>
      <c r="FF36" s="542"/>
      <c r="FG36" s="542"/>
      <c r="FH36" s="542"/>
      <c r="FI36" s="542"/>
      <c r="FJ36" s="542"/>
      <c r="FK36" s="542"/>
      <c r="FL36" s="542"/>
      <c r="FM36" s="542"/>
      <c r="FN36" s="542"/>
      <c r="FO36" s="542"/>
      <c r="FP36" s="542"/>
      <c r="FQ36" s="542"/>
      <c r="FR36" s="542"/>
      <c r="FS36" s="542"/>
      <c r="FT36" s="542"/>
      <c r="FU36" s="542"/>
      <c r="FV36" s="542"/>
      <c r="FW36" s="542"/>
      <c r="FX36" s="542"/>
      <c r="FY36" s="542"/>
      <c r="FZ36" s="542"/>
      <c r="GA36" s="542"/>
      <c r="GB36" s="542"/>
      <c r="GC36" s="542"/>
      <c r="GD36" s="542"/>
      <c r="GE36" s="542"/>
      <c r="GF36" s="542"/>
      <c r="GG36" s="542"/>
      <c r="GH36" s="542"/>
      <c r="GI36" s="542"/>
      <c r="GJ36" s="542"/>
      <c r="GK36" s="542"/>
      <c r="GL36" s="542"/>
      <c r="GM36" s="542"/>
      <c r="GN36" s="542"/>
      <c r="GO36" s="542"/>
      <c r="GP36" s="542"/>
      <c r="GQ36" s="542"/>
      <c r="GR36" s="542"/>
      <c r="GS36" s="542"/>
      <c r="GT36" s="542"/>
      <c r="GU36" s="542"/>
      <c r="GV36" s="542"/>
      <c r="GW36" s="542"/>
      <c r="GX36" s="542"/>
      <c r="GY36" s="542"/>
      <c r="GZ36" s="542"/>
      <c r="HA36" s="542"/>
      <c r="HB36" s="542"/>
      <c r="HC36" s="542"/>
      <c r="HD36" s="542"/>
      <c r="HE36" s="542"/>
      <c r="HF36" s="542"/>
      <c r="HG36" s="542"/>
      <c r="HH36" s="542"/>
      <c r="HI36" s="542"/>
      <c r="HJ36" s="542"/>
      <c r="HK36" s="542"/>
      <c r="HL36" s="542"/>
      <c r="HM36" s="542"/>
      <c r="HN36" s="542"/>
      <c r="HO36" s="542"/>
      <c r="HP36" s="542"/>
      <c r="HQ36" s="542"/>
      <c r="HR36" s="542"/>
      <c r="HS36" s="542"/>
      <c r="HT36" s="542"/>
      <c r="HU36" s="542"/>
      <c r="HV36" s="542"/>
      <c r="HW36" s="542"/>
      <c r="HX36" s="542"/>
      <c r="HY36" s="542"/>
      <c r="HZ36" s="542"/>
      <c r="IA36" s="542"/>
      <c r="IB36" s="542"/>
      <c r="IC36" s="542"/>
      <c r="ID36" s="542"/>
      <c r="IE36" s="542"/>
      <c r="IF36" s="542"/>
      <c r="IG36" s="542"/>
      <c r="IH36" s="542"/>
      <c r="II36" s="542"/>
      <c r="IJ36" s="542"/>
      <c r="IK36" s="542"/>
      <c r="IL36" s="542"/>
      <c r="IM36" s="542"/>
      <c r="IN36" s="542"/>
      <c r="IO36" s="542"/>
      <c r="IP36" s="542"/>
      <c r="IQ36" s="542"/>
      <c r="IR36" s="542"/>
      <c r="IS36" s="542"/>
      <c r="IT36" s="542"/>
      <c r="IU36" s="542"/>
      <c r="IV36" s="542"/>
      <c r="IW36" s="542"/>
      <c r="IX36" s="542"/>
      <c r="IY36" s="542"/>
      <c r="IZ36" s="542"/>
      <c r="JA36" s="542"/>
      <c r="JB36" s="542"/>
    </row>
    <row r="37" spans="1:262" ht="13.8" hidden="1">
      <c r="A37" s="1495"/>
      <c r="B37" s="550"/>
      <c r="C37" s="550"/>
      <c r="D37" s="1333"/>
      <c r="E37" s="550"/>
      <c r="F37" s="439"/>
      <c r="G37" s="440"/>
      <c r="H37" s="439"/>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1383"/>
      <c r="CX37" s="557"/>
      <c r="CZ37" s="542"/>
      <c r="DA37" s="542"/>
      <c r="DB37" s="542"/>
      <c r="DC37" s="542"/>
      <c r="DD37" s="542"/>
      <c r="DE37" s="542"/>
      <c r="DF37" s="542"/>
      <c r="DG37" s="542"/>
      <c r="DH37" s="542"/>
      <c r="DI37" s="542"/>
      <c r="DJ37" s="542"/>
      <c r="DK37" s="542"/>
      <c r="DL37" s="542"/>
      <c r="DM37" s="542"/>
      <c r="DN37" s="542"/>
      <c r="DO37" s="542"/>
      <c r="DP37" s="542"/>
      <c r="DQ37" s="542"/>
      <c r="DR37" s="542"/>
      <c r="DS37" s="542"/>
      <c r="DT37" s="542"/>
      <c r="DU37" s="542"/>
      <c r="DV37" s="542"/>
      <c r="DW37" s="542"/>
      <c r="DX37" s="542"/>
      <c r="DY37" s="542"/>
      <c r="DZ37" s="542"/>
      <c r="EA37" s="542"/>
      <c r="EB37" s="542"/>
      <c r="EC37" s="542"/>
      <c r="ED37" s="542"/>
      <c r="EE37" s="542"/>
      <c r="EF37" s="542"/>
      <c r="EG37" s="542"/>
      <c r="EH37" s="542"/>
      <c r="EI37" s="542"/>
      <c r="EJ37" s="542"/>
      <c r="EK37" s="542"/>
      <c r="EL37" s="542"/>
      <c r="EM37" s="542"/>
      <c r="EN37" s="542"/>
      <c r="EO37" s="542"/>
      <c r="EP37" s="542"/>
      <c r="EQ37" s="542"/>
      <c r="ER37" s="542"/>
      <c r="ES37" s="542"/>
      <c r="ET37" s="542"/>
      <c r="EU37" s="542"/>
      <c r="EV37" s="542"/>
      <c r="EW37" s="542"/>
      <c r="EX37" s="542"/>
      <c r="EY37" s="542"/>
      <c r="EZ37" s="542"/>
      <c r="FA37" s="542"/>
      <c r="FB37" s="542"/>
      <c r="FC37" s="542"/>
      <c r="FD37" s="542"/>
      <c r="FE37" s="542"/>
      <c r="FF37" s="542"/>
      <c r="FG37" s="542"/>
      <c r="FH37" s="542"/>
      <c r="FI37" s="542"/>
      <c r="FJ37" s="542"/>
      <c r="FK37" s="542"/>
      <c r="FL37" s="542"/>
      <c r="FM37" s="542"/>
      <c r="FN37" s="542"/>
      <c r="FO37" s="542"/>
      <c r="FP37" s="542"/>
      <c r="FQ37" s="542"/>
      <c r="FR37" s="542"/>
      <c r="FS37" s="542"/>
      <c r="FT37" s="542"/>
      <c r="FU37" s="542"/>
      <c r="FV37" s="542"/>
      <c r="FW37" s="542"/>
      <c r="FX37" s="542"/>
      <c r="FY37" s="542"/>
      <c r="FZ37" s="542"/>
      <c r="GA37" s="542"/>
      <c r="GB37" s="542"/>
      <c r="GC37" s="542"/>
      <c r="GD37" s="542"/>
      <c r="GE37" s="542"/>
      <c r="GF37" s="542"/>
      <c r="GG37" s="542"/>
      <c r="GH37" s="542"/>
      <c r="GI37" s="542"/>
      <c r="GJ37" s="542"/>
      <c r="GK37" s="542"/>
      <c r="GL37" s="542"/>
      <c r="GM37" s="542"/>
      <c r="GN37" s="542"/>
      <c r="GO37" s="542"/>
      <c r="GP37" s="542"/>
      <c r="GQ37" s="542"/>
      <c r="GR37" s="542"/>
      <c r="GS37" s="542"/>
      <c r="GT37" s="542"/>
      <c r="GU37" s="542"/>
      <c r="GV37" s="542"/>
      <c r="GW37" s="542"/>
      <c r="GX37" s="542"/>
      <c r="GY37" s="542"/>
      <c r="GZ37" s="542"/>
      <c r="HA37" s="542"/>
      <c r="HB37" s="542"/>
      <c r="HC37" s="542"/>
      <c r="HD37" s="542"/>
      <c r="HE37" s="542"/>
      <c r="HF37" s="542"/>
      <c r="HG37" s="542"/>
      <c r="HH37" s="542"/>
      <c r="HI37" s="542"/>
      <c r="HJ37" s="542"/>
      <c r="HK37" s="542"/>
      <c r="HL37" s="542"/>
      <c r="HM37" s="542"/>
      <c r="HN37" s="542"/>
      <c r="HO37" s="542"/>
      <c r="HP37" s="542"/>
      <c r="HQ37" s="542"/>
      <c r="HR37" s="542"/>
      <c r="HS37" s="542"/>
      <c r="HT37" s="542"/>
      <c r="HU37" s="542"/>
      <c r="HV37" s="542"/>
      <c r="HW37" s="542"/>
      <c r="HX37" s="542"/>
      <c r="HY37" s="542"/>
      <c r="HZ37" s="542"/>
      <c r="IA37" s="542"/>
      <c r="IB37" s="542"/>
      <c r="IC37" s="542"/>
      <c r="ID37" s="542"/>
      <c r="IE37" s="542"/>
      <c r="IF37" s="542"/>
      <c r="IG37" s="542"/>
      <c r="IH37" s="542"/>
      <c r="II37" s="542"/>
      <c r="IJ37" s="542"/>
      <c r="IK37" s="542"/>
      <c r="IL37" s="542"/>
      <c r="IM37" s="542"/>
      <c r="IN37" s="542"/>
      <c r="IO37" s="542"/>
      <c r="IP37" s="542"/>
      <c r="IQ37" s="542"/>
      <c r="IR37" s="542"/>
      <c r="IS37" s="542"/>
      <c r="IT37" s="542"/>
      <c r="IU37" s="542"/>
      <c r="IV37" s="542"/>
      <c r="IW37" s="542"/>
      <c r="IX37" s="542"/>
      <c r="IY37" s="542"/>
      <c r="IZ37" s="542"/>
      <c r="JA37" s="542"/>
      <c r="JB37" s="542"/>
    </row>
    <row r="38" spans="1:262" ht="13.8" hidden="1">
      <c r="A38" s="1495"/>
      <c r="B38" s="550"/>
      <c r="C38" s="550"/>
      <c r="D38" s="1333"/>
      <c r="E38" s="550"/>
      <c r="F38" s="439"/>
      <c r="G38" s="440"/>
      <c r="H38" s="439"/>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1383"/>
      <c r="CX38" s="557"/>
      <c r="CZ38" s="542"/>
      <c r="DA38" s="542"/>
      <c r="DB38" s="542"/>
      <c r="DC38" s="542"/>
      <c r="DD38" s="542"/>
      <c r="DE38" s="542"/>
      <c r="DF38" s="542"/>
      <c r="DG38" s="542"/>
      <c r="DH38" s="542"/>
      <c r="DI38" s="542"/>
      <c r="DJ38" s="542"/>
      <c r="DK38" s="542"/>
      <c r="DL38" s="542"/>
      <c r="DM38" s="542"/>
      <c r="DN38" s="542"/>
      <c r="DO38" s="542"/>
      <c r="DP38" s="542"/>
      <c r="DQ38" s="542"/>
      <c r="DR38" s="542"/>
      <c r="DS38" s="542"/>
      <c r="DT38" s="542"/>
      <c r="DU38" s="542"/>
      <c r="DV38" s="542"/>
      <c r="DW38" s="542"/>
      <c r="DX38" s="542"/>
      <c r="DY38" s="542"/>
      <c r="DZ38" s="542"/>
      <c r="EA38" s="542"/>
      <c r="EB38" s="542"/>
      <c r="EC38" s="542"/>
      <c r="ED38" s="542"/>
      <c r="EE38" s="542"/>
      <c r="EF38" s="542"/>
      <c r="EG38" s="542"/>
      <c r="EH38" s="542"/>
      <c r="EI38" s="542"/>
      <c r="EJ38" s="542"/>
      <c r="EK38" s="542"/>
      <c r="EL38" s="542"/>
      <c r="EM38" s="542"/>
      <c r="EN38" s="542"/>
      <c r="EO38" s="542"/>
      <c r="EP38" s="542"/>
      <c r="EQ38" s="542"/>
      <c r="ER38" s="542"/>
      <c r="ES38" s="542"/>
      <c r="ET38" s="542"/>
      <c r="EU38" s="542"/>
      <c r="EV38" s="542"/>
      <c r="EW38" s="542"/>
      <c r="EX38" s="542"/>
      <c r="EY38" s="542"/>
      <c r="EZ38" s="542"/>
      <c r="FA38" s="542"/>
      <c r="FB38" s="542"/>
      <c r="FC38" s="542"/>
      <c r="FD38" s="542"/>
      <c r="FE38" s="542"/>
      <c r="FF38" s="542"/>
      <c r="FG38" s="542"/>
      <c r="FH38" s="542"/>
      <c r="FI38" s="542"/>
      <c r="FJ38" s="542"/>
      <c r="FK38" s="542"/>
      <c r="FL38" s="542"/>
      <c r="FM38" s="542"/>
      <c r="FN38" s="542"/>
      <c r="FO38" s="542"/>
      <c r="FP38" s="542"/>
      <c r="FQ38" s="542"/>
      <c r="FR38" s="542"/>
      <c r="FS38" s="542"/>
      <c r="FT38" s="542"/>
      <c r="FU38" s="542"/>
      <c r="FV38" s="542"/>
      <c r="FW38" s="542"/>
      <c r="FX38" s="542"/>
      <c r="FY38" s="542"/>
      <c r="FZ38" s="542"/>
      <c r="GA38" s="542"/>
      <c r="GB38" s="542"/>
      <c r="GC38" s="542"/>
      <c r="GD38" s="542"/>
      <c r="GE38" s="542"/>
      <c r="GF38" s="542"/>
      <c r="GG38" s="542"/>
      <c r="GH38" s="542"/>
      <c r="GI38" s="542"/>
      <c r="GJ38" s="542"/>
      <c r="GK38" s="542"/>
      <c r="GL38" s="542"/>
      <c r="GM38" s="542"/>
      <c r="GN38" s="542"/>
      <c r="GO38" s="542"/>
      <c r="GP38" s="542"/>
      <c r="GQ38" s="542"/>
      <c r="GR38" s="542"/>
      <c r="GS38" s="542"/>
      <c r="GT38" s="542"/>
      <c r="GU38" s="542"/>
      <c r="GV38" s="542"/>
      <c r="GW38" s="542"/>
      <c r="GX38" s="542"/>
      <c r="GY38" s="542"/>
      <c r="GZ38" s="542"/>
      <c r="HA38" s="542"/>
      <c r="HB38" s="542"/>
      <c r="HC38" s="542"/>
      <c r="HD38" s="542"/>
      <c r="HE38" s="542"/>
      <c r="HF38" s="542"/>
      <c r="HG38" s="542"/>
      <c r="HH38" s="542"/>
      <c r="HI38" s="542"/>
      <c r="HJ38" s="542"/>
      <c r="HK38" s="542"/>
      <c r="HL38" s="542"/>
      <c r="HM38" s="542"/>
      <c r="HN38" s="542"/>
      <c r="HO38" s="542"/>
      <c r="HP38" s="542"/>
      <c r="HQ38" s="542"/>
      <c r="HR38" s="542"/>
      <c r="HS38" s="542"/>
      <c r="HT38" s="542"/>
      <c r="HU38" s="542"/>
      <c r="HV38" s="542"/>
      <c r="HW38" s="542"/>
      <c r="HX38" s="542"/>
      <c r="HY38" s="542"/>
      <c r="HZ38" s="542"/>
      <c r="IA38" s="542"/>
      <c r="IB38" s="542"/>
      <c r="IC38" s="542"/>
      <c r="ID38" s="542"/>
      <c r="IE38" s="542"/>
      <c r="IF38" s="542"/>
      <c r="IG38" s="542"/>
      <c r="IH38" s="542"/>
      <c r="II38" s="542"/>
      <c r="IJ38" s="542"/>
      <c r="IK38" s="542"/>
      <c r="IL38" s="542"/>
      <c r="IM38" s="542"/>
      <c r="IN38" s="542"/>
      <c r="IO38" s="542"/>
      <c r="IP38" s="542"/>
      <c r="IQ38" s="542"/>
      <c r="IR38" s="542"/>
      <c r="IS38" s="542"/>
      <c r="IT38" s="542"/>
      <c r="IU38" s="542"/>
      <c r="IV38" s="542"/>
      <c r="IW38" s="542"/>
      <c r="IX38" s="542"/>
      <c r="IY38" s="542"/>
      <c r="IZ38" s="542"/>
      <c r="JA38" s="542"/>
      <c r="JB38" s="542"/>
    </row>
    <row r="39" spans="1:262" ht="13.8" hidden="1">
      <c r="A39" s="1495"/>
      <c r="B39" s="550"/>
      <c r="C39" s="550"/>
      <c r="D39" s="1333"/>
      <c r="E39" s="550"/>
      <c r="F39" s="439"/>
      <c r="G39" s="440"/>
      <c r="H39" s="439"/>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1383"/>
      <c r="CX39" s="557"/>
      <c r="CZ39" s="542"/>
      <c r="DA39" s="542"/>
      <c r="DB39" s="542"/>
      <c r="DC39" s="542"/>
      <c r="DD39" s="542"/>
      <c r="DE39" s="542"/>
      <c r="DF39" s="542"/>
      <c r="DG39" s="542"/>
      <c r="DH39" s="542"/>
      <c r="DI39" s="542"/>
      <c r="DJ39" s="542"/>
      <c r="DK39" s="542"/>
      <c r="DL39" s="542"/>
      <c r="DM39" s="542"/>
      <c r="DN39" s="542"/>
      <c r="DO39" s="542"/>
      <c r="DP39" s="542"/>
      <c r="DQ39" s="542"/>
      <c r="DR39" s="542"/>
      <c r="DS39" s="542"/>
      <c r="DT39" s="542"/>
      <c r="DU39" s="542"/>
      <c r="DV39" s="542"/>
      <c r="DW39" s="542"/>
      <c r="DX39" s="542"/>
      <c r="DY39" s="542"/>
      <c r="DZ39" s="542"/>
      <c r="EA39" s="542"/>
      <c r="EB39" s="542"/>
      <c r="EC39" s="542"/>
      <c r="ED39" s="542"/>
      <c r="EE39" s="542"/>
      <c r="EF39" s="542"/>
      <c r="EG39" s="542"/>
      <c r="EH39" s="542"/>
      <c r="EI39" s="542"/>
      <c r="EJ39" s="542"/>
      <c r="EK39" s="542"/>
      <c r="EL39" s="542"/>
      <c r="EM39" s="542"/>
      <c r="EN39" s="542"/>
      <c r="EO39" s="542"/>
      <c r="EP39" s="542"/>
      <c r="EQ39" s="542"/>
      <c r="ER39" s="542"/>
      <c r="ES39" s="542"/>
      <c r="ET39" s="542"/>
      <c r="EU39" s="542"/>
      <c r="EV39" s="542"/>
      <c r="EW39" s="542"/>
      <c r="EX39" s="542"/>
      <c r="EY39" s="542"/>
      <c r="EZ39" s="542"/>
      <c r="FA39" s="542"/>
      <c r="FB39" s="542"/>
      <c r="FC39" s="542"/>
      <c r="FD39" s="542"/>
      <c r="FE39" s="542"/>
      <c r="FF39" s="542"/>
      <c r="FG39" s="542"/>
      <c r="FH39" s="542"/>
      <c r="FI39" s="542"/>
      <c r="FJ39" s="542"/>
      <c r="FK39" s="542"/>
      <c r="FL39" s="542"/>
      <c r="FM39" s="542"/>
      <c r="FN39" s="542"/>
      <c r="FO39" s="542"/>
      <c r="FP39" s="542"/>
      <c r="FQ39" s="542"/>
      <c r="FR39" s="542"/>
      <c r="FS39" s="542"/>
      <c r="FT39" s="542"/>
      <c r="FU39" s="542"/>
      <c r="FV39" s="542"/>
      <c r="FW39" s="542"/>
      <c r="FX39" s="542"/>
      <c r="FY39" s="542"/>
      <c r="FZ39" s="542"/>
      <c r="GA39" s="542"/>
      <c r="GB39" s="542"/>
      <c r="GC39" s="542"/>
      <c r="GD39" s="542"/>
      <c r="GE39" s="542"/>
      <c r="GF39" s="542"/>
      <c r="GG39" s="542"/>
      <c r="GH39" s="542"/>
      <c r="GI39" s="542"/>
      <c r="GJ39" s="542"/>
      <c r="GK39" s="542"/>
      <c r="GL39" s="542"/>
      <c r="GM39" s="542"/>
      <c r="GN39" s="542"/>
      <c r="GO39" s="542"/>
      <c r="GP39" s="542"/>
      <c r="GQ39" s="542"/>
      <c r="GR39" s="542"/>
      <c r="GS39" s="542"/>
      <c r="GT39" s="542"/>
      <c r="GU39" s="542"/>
      <c r="GV39" s="542"/>
      <c r="GW39" s="542"/>
      <c r="GX39" s="542"/>
      <c r="GY39" s="542"/>
      <c r="GZ39" s="542"/>
      <c r="HA39" s="542"/>
      <c r="HB39" s="542"/>
      <c r="HC39" s="542"/>
      <c r="HD39" s="542"/>
      <c r="HE39" s="542"/>
      <c r="HF39" s="542"/>
      <c r="HG39" s="542"/>
      <c r="HH39" s="542"/>
      <c r="HI39" s="542"/>
      <c r="HJ39" s="542"/>
      <c r="HK39" s="542"/>
      <c r="HL39" s="542"/>
      <c r="HM39" s="542"/>
      <c r="HN39" s="542"/>
      <c r="HO39" s="542"/>
      <c r="HP39" s="542"/>
      <c r="HQ39" s="542"/>
      <c r="HR39" s="542"/>
      <c r="HS39" s="542"/>
      <c r="HT39" s="542"/>
      <c r="HU39" s="542"/>
      <c r="HV39" s="542"/>
      <c r="HW39" s="542"/>
      <c r="HX39" s="542"/>
      <c r="HY39" s="542"/>
      <c r="HZ39" s="542"/>
      <c r="IA39" s="542"/>
      <c r="IB39" s="542"/>
      <c r="IC39" s="542"/>
      <c r="ID39" s="542"/>
      <c r="IE39" s="542"/>
      <c r="IF39" s="542"/>
      <c r="IG39" s="542"/>
      <c r="IH39" s="542"/>
      <c r="II39" s="542"/>
      <c r="IJ39" s="542"/>
      <c r="IK39" s="542"/>
      <c r="IL39" s="542"/>
      <c r="IM39" s="542"/>
      <c r="IN39" s="542"/>
      <c r="IO39" s="542"/>
      <c r="IP39" s="542"/>
      <c r="IQ39" s="542"/>
      <c r="IR39" s="542"/>
      <c r="IS39" s="542"/>
      <c r="IT39" s="542"/>
      <c r="IU39" s="542"/>
      <c r="IV39" s="542"/>
      <c r="IW39" s="542"/>
      <c r="IX39" s="542"/>
      <c r="IY39" s="542"/>
      <c r="IZ39" s="542"/>
      <c r="JA39" s="542"/>
      <c r="JB39" s="542"/>
    </row>
    <row r="40" spans="1:262" ht="13.8" hidden="1">
      <c r="A40" s="1495"/>
      <c r="B40" s="550"/>
      <c r="C40" s="550"/>
      <c r="D40" s="1333"/>
      <c r="E40" s="550"/>
      <c r="F40" s="439"/>
      <c r="G40" s="440"/>
      <c r="H40" s="439"/>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1383"/>
      <c r="CX40" s="557"/>
      <c r="CZ40" s="542"/>
      <c r="DA40" s="542"/>
      <c r="DB40" s="542"/>
      <c r="DC40" s="542"/>
      <c r="DD40" s="542"/>
      <c r="DE40" s="542"/>
      <c r="DF40" s="542"/>
      <c r="DG40" s="542"/>
      <c r="DH40" s="542"/>
      <c r="DI40" s="542"/>
      <c r="DJ40" s="542"/>
      <c r="DK40" s="542"/>
      <c r="DL40" s="542"/>
      <c r="DM40" s="542"/>
      <c r="DN40" s="542"/>
      <c r="DO40" s="542"/>
      <c r="DP40" s="542"/>
      <c r="DQ40" s="542"/>
      <c r="DR40" s="542"/>
      <c r="DS40" s="542"/>
      <c r="DT40" s="542"/>
      <c r="DU40" s="542"/>
      <c r="DV40" s="542"/>
      <c r="DW40" s="542"/>
      <c r="DX40" s="542"/>
      <c r="DY40" s="542"/>
      <c r="DZ40" s="542"/>
      <c r="EA40" s="542"/>
      <c r="EB40" s="542"/>
      <c r="EC40" s="542"/>
      <c r="ED40" s="542"/>
      <c r="EE40" s="542"/>
      <c r="EF40" s="542"/>
      <c r="EG40" s="542"/>
      <c r="EH40" s="542"/>
      <c r="EI40" s="542"/>
      <c r="EJ40" s="542"/>
      <c r="EK40" s="542"/>
      <c r="EL40" s="542"/>
      <c r="EM40" s="542"/>
      <c r="EN40" s="542"/>
      <c r="EO40" s="542"/>
      <c r="EP40" s="542"/>
      <c r="EQ40" s="542"/>
      <c r="ER40" s="542"/>
      <c r="ES40" s="542"/>
      <c r="ET40" s="542"/>
      <c r="EU40" s="542"/>
      <c r="EV40" s="542"/>
      <c r="EW40" s="542"/>
      <c r="EX40" s="542"/>
      <c r="EY40" s="542"/>
      <c r="EZ40" s="542"/>
      <c r="FA40" s="542"/>
      <c r="FB40" s="542"/>
      <c r="FC40" s="542"/>
      <c r="FD40" s="542"/>
      <c r="FE40" s="542"/>
      <c r="FF40" s="542"/>
      <c r="FG40" s="542"/>
      <c r="FH40" s="542"/>
      <c r="FI40" s="542"/>
      <c r="FJ40" s="542"/>
      <c r="FK40" s="542"/>
      <c r="FL40" s="542"/>
      <c r="FM40" s="542"/>
      <c r="FN40" s="542"/>
      <c r="FO40" s="542"/>
      <c r="FP40" s="542"/>
      <c r="FQ40" s="542"/>
      <c r="FR40" s="542"/>
      <c r="FS40" s="542"/>
      <c r="FT40" s="542"/>
      <c r="FU40" s="542"/>
      <c r="FV40" s="542"/>
      <c r="FW40" s="542"/>
      <c r="FX40" s="542"/>
      <c r="FY40" s="542"/>
      <c r="FZ40" s="542"/>
      <c r="GA40" s="542"/>
      <c r="GB40" s="542"/>
      <c r="GC40" s="542"/>
      <c r="GD40" s="542"/>
      <c r="GE40" s="542"/>
      <c r="GF40" s="542"/>
      <c r="GG40" s="542"/>
      <c r="GH40" s="542"/>
      <c r="GI40" s="542"/>
      <c r="GJ40" s="542"/>
      <c r="GK40" s="542"/>
      <c r="GL40" s="542"/>
      <c r="GM40" s="542"/>
      <c r="GN40" s="542"/>
      <c r="GO40" s="542"/>
      <c r="GP40" s="542"/>
      <c r="GQ40" s="542"/>
      <c r="GR40" s="542"/>
      <c r="GS40" s="542"/>
      <c r="GT40" s="542"/>
      <c r="GU40" s="542"/>
      <c r="GV40" s="542"/>
      <c r="GW40" s="542"/>
      <c r="GX40" s="542"/>
      <c r="GY40" s="542"/>
      <c r="GZ40" s="542"/>
      <c r="HA40" s="542"/>
      <c r="HB40" s="542"/>
      <c r="HC40" s="542"/>
      <c r="HD40" s="542"/>
      <c r="HE40" s="542"/>
      <c r="HF40" s="542"/>
      <c r="HG40" s="542"/>
      <c r="HH40" s="542"/>
      <c r="HI40" s="542"/>
      <c r="HJ40" s="542"/>
      <c r="HK40" s="542"/>
      <c r="HL40" s="542"/>
      <c r="HM40" s="542"/>
      <c r="HN40" s="542"/>
      <c r="HO40" s="542"/>
      <c r="HP40" s="542"/>
      <c r="HQ40" s="542"/>
      <c r="HR40" s="542"/>
      <c r="HS40" s="542"/>
      <c r="HT40" s="542"/>
      <c r="HU40" s="542"/>
      <c r="HV40" s="542"/>
      <c r="HW40" s="542"/>
      <c r="HX40" s="542"/>
      <c r="HY40" s="542"/>
      <c r="HZ40" s="542"/>
      <c r="IA40" s="542"/>
      <c r="IB40" s="542"/>
      <c r="IC40" s="542"/>
      <c r="ID40" s="542"/>
      <c r="IE40" s="542"/>
      <c r="IF40" s="542"/>
      <c r="IG40" s="542"/>
      <c r="IH40" s="542"/>
      <c r="II40" s="542"/>
      <c r="IJ40" s="542"/>
      <c r="IK40" s="542"/>
      <c r="IL40" s="542"/>
      <c r="IM40" s="542"/>
      <c r="IN40" s="542"/>
      <c r="IO40" s="542"/>
      <c r="IP40" s="542"/>
      <c r="IQ40" s="542"/>
      <c r="IR40" s="542"/>
      <c r="IS40" s="542"/>
      <c r="IT40" s="542"/>
      <c r="IU40" s="542"/>
      <c r="IV40" s="542"/>
      <c r="IW40" s="542"/>
      <c r="IX40" s="542"/>
      <c r="IY40" s="542"/>
      <c r="IZ40" s="542"/>
      <c r="JA40" s="542"/>
      <c r="JB40" s="542"/>
    </row>
    <row r="41" spans="1:262" ht="13.8" hidden="1">
      <c r="A41" s="1495"/>
      <c r="B41" s="550"/>
      <c r="C41" s="550"/>
      <c r="D41" s="1333"/>
      <c r="E41" s="550"/>
      <c r="F41" s="439"/>
      <c r="G41" s="440"/>
      <c r="H41" s="439"/>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1383"/>
      <c r="CX41" s="557"/>
      <c r="CZ41" s="542"/>
      <c r="DA41" s="542"/>
      <c r="DB41" s="542"/>
      <c r="DC41" s="542"/>
      <c r="DD41" s="542"/>
      <c r="DE41" s="542"/>
      <c r="DF41" s="542"/>
      <c r="DG41" s="542"/>
      <c r="DH41" s="542"/>
      <c r="DI41" s="542"/>
      <c r="DJ41" s="542"/>
      <c r="DK41" s="542"/>
      <c r="DL41" s="542"/>
      <c r="DM41" s="542"/>
      <c r="DN41" s="542"/>
      <c r="DO41" s="542"/>
      <c r="DP41" s="542"/>
      <c r="DQ41" s="542"/>
      <c r="DR41" s="542"/>
      <c r="DS41" s="542"/>
      <c r="DT41" s="542"/>
      <c r="DU41" s="542"/>
      <c r="DV41" s="542"/>
      <c r="DW41" s="542"/>
      <c r="DX41" s="542"/>
      <c r="DY41" s="542"/>
      <c r="DZ41" s="542"/>
      <c r="EA41" s="542"/>
      <c r="EB41" s="542"/>
      <c r="EC41" s="542"/>
      <c r="ED41" s="542"/>
      <c r="EE41" s="542"/>
      <c r="EF41" s="542"/>
      <c r="EG41" s="542"/>
      <c r="EH41" s="542"/>
      <c r="EI41" s="542"/>
      <c r="EJ41" s="542"/>
      <c r="EK41" s="542"/>
      <c r="EL41" s="542"/>
      <c r="EM41" s="542"/>
      <c r="EN41" s="542"/>
      <c r="EO41" s="542"/>
      <c r="EP41" s="542"/>
      <c r="EQ41" s="542"/>
      <c r="ER41" s="542"/>
      <c r="ES41" s="542"/>
      <c r="ET41" s="542"/>
      <c r="EU41" s="542"/>
      <c r="EV41" s="542"/>
      <c r="EW41" s="542"/>
      <c r="EX41" s="542"/>
      <c r="EY41" s="542"/>
      <c r="EZ41" s="542"/>
      <c r="FA41" s="542"/>
      <c r="FB41" s="542"/>
      <c r="FC41" s="542"/>
      <c r="FD41" s="542"/>
      <c r="FE41" s="542"/>
      <c r="FF41" s="542"/>
      <c r="FG41" s="542"/>
      <c r="FH41" s="542"/>
      <c r="FI41" s="542"/>
      <c r="FJ41" s="542"/>
      <c r="FK41" s="542"/>
      <c r="FL41" s="542"/>
      <c r="FM41" s="542"/>
      <c r="FN41" s="542"/>
      <c r="FO41" s="542"/>
      <c r="FP41" s="542"/>
      <c r="FQ41" s="542"/>
      <c r="FR41" s="542"/>
      <c r="FS41" s="542"/>
      <c r="FT41" s="542"/>
      <c r="FU41" s="542"/>
      <c r="FV41" s="542"/>
      <c r="FW41" s="542"/>
      <c r="FX41" s="542"/>
      <c r="FY41" s="542"/>
      <c r="FZ41" s="542"/>
      <c r="GA41" s="542"/>
      <c r="GB41" s="542"/>
      <c r="GC41" s="542"/>
      <c r="GD41" s="542"/>
      <c r="GE41" s="542"/>
      <c r="GF41" s="542"/>
      <c r="GG41" s="542"/>
      <c r="GH41" s="542"/>
      <c r="GI41" s="542"/>
      <c r="GJ41" s="542"/>
      <c r="GK41" s="542"/>
      <c r="GL41" s="542"/>
      <c r="GM41" s="542"/>
      <c r="GN41" s="542"/>
      <c r="GO41" s="542"/>
      <c r="GP41" s="542"/>
      <c r="GQ41" s="542"/>
      <c r="GR41" s="542"/>
      <c r="GS41" s="542"/>
      <c r="GT41" s="542"/>
      <c r="GU41" s="542"/>
      <c r="GV41" s="542"/>
      <c r="GW41" s="542"/>
      <c r="GX41" s="542"/>
      <c r="GY41" s="542"/>
      <c r="GZ41" s="542"/>
      <c r="HA41" s="542"/>
      <c r="HB41" s="542"/>
      <c r="HC41" s="542"/>
      <c r="HD41" s="542"/>
      <c r="HE41" s="542"/>
      <c r="HF41" s="542"/>
      <c r="HG41" s="542"/>
      <c r="HH41" s="542"/>
      <c r="HI41" s="542"/>
      <c r="HJ41" s="542"/>
      <c r="HK41" s="542"/>
      <c r="HL41" s="542"/>
      <c r="HM41" s="542"/>
      <c r="HN41" s="542"/>
      <c r="HO41" s="542"/>
      <c r="HP41" s="542"/>
      <c r="HQ41" s="542"/>
      <c r="HR41" s="542"/>
      <c r="HS41" s="542"/>
      <c r="HT41" s="542"/>
      <c r="HU41" s="542"/>
      <c r="HV41" s="542"/>
      <c r="HW41" s="542"/>
      <c r="HX41" s="542"/>
      <c r="HY41" s="542"/>
      <c r="HZ41" s="542"/>
      <c r="IA41" s="542"/>
      <c r="IB41" s="542"/>
      <c r="IC41" s="542"/>
      <c r="ID41" s="542"/>
      <c r="IE41" s="542"/>
      <c r="IF41" s="542"/>
      <c r="IG41" s="542"/>
      <c r="IH41" s="542"/>
      <c r="II41" s="542"/>
      <c r="IJ41" s="542"/>
      <c r="IK41" s="542"/>
      <c r="IL41" s="542"/>
      <c r="IM41" s="542"/>
      <c r="IN41" s="542"/>
      <c r="IO41" s="542"/>
      <c r="IP41" s="542"/>
      <c r="IQ41" s="542"/>
      <c r="IR41" s="542"/>
      <c r="IS41" s="542"/>
      <c r="IT41" s="542"/>
      <c r="IU41" s="542"/>
      <c r="IV41" s="542"/>
      <c r="IW41" s="542"/>
      <c r="IX41" s="542"/>
      <c r="IY41" s="542"/>
      <c r="IZ41" s="542"/>
      <c r="JA41" s="542"/>
      <c r="JB41" s="542"/>
    </row>
    <row r="42" spans="1:262" ht="13.8" hidden="1">
      <c r="A42" s="1495"/>
      <c r="B42" s="550"/>
      <c r="C42" s="550"/>
      <c r="D42" s="1333"/>
      <c r="E42" s="550"/>
      <c r="F42" s="439"/>
      <c r="G42" s="440"/>
      <c r="H42" s="439"/>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1383"/>
      <c r="CX42" s="557"/>
      <c r="CZ42" s="542"/>
      <c r="DA42" s="542"/>
      <c r="DB42" s="542"/>
      <c r="DC42" s="542"/>
      <c r="DD42" s="542"/>
      <c r="DE42" s="542"/>
      <c r="DF42" s="542"/>
      <c r="DG42" s="542"/>
      <c r="DH42" s="542"/>
      <c r="DI42" s="542"/>
      <c r="DJ42" s="542"/>
      <c r="DK42" s="542"/>
      <c r="DL42" s="542"/>
      <c r="DM42" s="542"/>
      <c r="DN42" s="542"/>
      <c r="DO42" s="542"/>
      <c r="DP42" s="542"/>
      <c r="DQ42" s="542"/>
      <c r="DR42" s="542"/>
      <c r="DS42" s="542"/>
      <c r="DT42" s="542"/>
      <c r="DU42" s="542"/>
      <c r="DV42" s="542"/>
      <c r="DW42" s="542"/>
      <c r="DX42" s="542"/>
      <c r="DY42" s="542"/>
      <c r="DZ42" s="542"/>
      <c r="EA42" s="542"/>
      <c r="EB42" s="542"/>
      <c r="EC42" s="542"/>
      <c r="ED42" s="542"/>
      <c r="EE42" s="542"/>
      <c r="EF42" s="542"/>
      <c r="EG42" s="542"/>
      <c r="EH42" s="542"/>
      <c r="EI42" s="542"/>
      <c r="EJ42" s="542"/>
      <c r="EK42" s="542"/>
      <c r="EL42" s="542"/>
      <c r="EM42" s="542"/>
      <c r="EN42" s="542"/>
      <c r="EO42" s="542"/>
      <c r="EP42" s="542"/>
      <c r="EQ42" s="542"/>
      <c r="ER42" s="542"/>
      <c r="ES42" s="542"/>
      <c r="ET42" s="542"/>
      <c r="EU42" s="542"/>
      <c r="EV42" s="542"/>
      <c r="EW42" s="542"/>
      <c r="EX42" s="542"/>
      <c r="EY42" s="542"/>
      <c r="EZ42" s="542"/>
      <c r="FA42" s="542"/>
      <c r="FB42" s="542"/>
      <c r="FC42" s="542"/>
      <c r="FD42" s="542"/>
      <c r="FE42" s="542"/>
      <c r="FF42" s="542"/>
      <c r="FG42" s="542"/>
      <c r="FH42" s="542"/>
      <c r="FI42" s="542"/>
      <c r="FJ42" s="542"/>
      <c r="FK42" s="542"/>
      <c r="FL42" s="542"/>
      <c r="FM42" s="542"/>
      <c r="FN42" s="542"/>
      <c r="FO42" s="542"/>
      <c r="FP42" s="542"/>
      <c r="FQ42" s="542"/>
      <c r="FR42" s="542"/>
      <c r="FS42" s="542"/>
      <c r="FT42" s="542"/>
      <c r="FU42" s="542"/>
      <c r="FV42" s="542"/>
      <c r="FW42" s="542"/>
      <c r="FX42" s="542"/>
      <c r="FY42" s="542"/>
      <c r="FZ42" s="542"/>
      <c r="GA42" s="542"/>
      <c r="GB42" s="542"/>
      <c r="GC42" s="542"/>
      <c r="GD42" s="542"/>
      <c r="GE42" s="542"/>
      <c r="GF42" s="542"/>
      <c r="GG42" s="542"/>
      <c r="GH42" s="542"/>
      <c r="GI42" s="542"/>
      <c r="GJ42" s="542"/>
      <c r="GK42" s="542"/>
      <c r="GL42" s="542"/>
      <c r="GM42" s="542"/>
      <c r="GN42" s="542"/>
      <c r="GO42" s="542"/>
      <c r="GP42" s="542"/>
      <c r="GQ42" s="542"/>
      <c r="GR42" s="542"/>
      <c r="GS42" s="542"/>
      <c r="GT42" s="542"/>
      <c r="GU42" s="542"/>
      <c r="GV42" s="542"/>
      <c r="GW42" s="542"/>
      <c r="GX42" s="542"/>
      <c r="GY42" s="542"/>
      <c r="GZ42" s="542"/>
      <c r="HA42" s="542"/>
      <c r="HB42" s="542"/>
      <c r="HC42" s="542"/>
      <c r="HD42" s="542"/>
      <c r="HE42" s="542"/>
      <c r="HF42" s="542"/>
      <c r="HG42" s="542"/>
      <c r="HH42" s="542"/>
      <c r="HI42" s="542"/>
      <c r="HJ42" s="542"/>
      <c r="HK42" s="542"/>
      <c r="HL42" s="542"/>
      <c r="HM42" s="542"/>
      <c r="HN42" s="542"/>
      <c r="HO42" s="542"/>
      <c r="HP42" s="542"/>
      <c r="HQ42" s="542"/>
      <c r="HR42" s="542"/>
      <c r="HS42" s="542"/>
      <c r="HT42" s="542"/>
      <c r="HU42" s="542"/>
      <c r="HV42" s="542"/>
      <c r="HW42" s="542"/>
      <c r="HX42" s="542"/>
      <c r="HY42" s="542"/>
      <c r="HZ42" s="542"/>
      <c r="IA42" s="542"/>
      <c r="IB42" s="542"/>
      <c r="IC42" s="542"/>
      <c r="ID42" s="542"/>
      <c r="IE42" s="542"/>
      <c r="IF42" s="542"/>
      <c r="IG42" s="542"/>
      <c r="IH42" s="542"/>
      <c r="II42" s="542"/>
      <c r="IJ42" s="542"/>
      <c r="IK42" s="542"/>
      <c r="IL42" s="542"/>
      <c r="IM42" s="542"/>
      <c r="IN42" s="542"/>
      <c r="IO42" s="542"/>
      <c r="IP42" s="542"/>
      <c r="IQ42" s="542"/>
      <c r="IR42" s="542"/>
      <c r="IS42" s="542"/>
      <c r="IT42" s="542"/>
      <c r="IU42" s="542"/>
      <c r="IV42" s="542"/>
      <c r="IW42" s="542"/>
      <c r="IX42" s="542"/>
      <c r="IY42" s="542"/>
      <c r="IZ42" s="542"/>
      <c r="JA42" s="542"/>
      <c r="JB42" s="542"/>
    </row>
    <row r="43" spans="1:262" ht="13.8" hidden="1">
      <c r="A43" s="1495"/>
      <c r="B43" s="550"/>
      <c r="C43" s="550"/>
      <c r="D43" s="1333"/>
      <c r="E43" s="550"/>
      <c r="F43" s="439"/>
      <c r="G43" s="440"/>
      <c r="H43" s="439"/>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1383"/>
      <c r="CX43" s="557"/>
      <c r="CZ43" s="542"/>
      <c r="DA43" s="542"/>
      <c r="DB43" s="542"/>
      <c r="DC43" s="542"/>
      <c r="DD43" s="542"/>
      <c r="DE43" s="542"/>
      <c r="DF43" s="542"/>
      <c r="DG43" s="542"/>
      <c r="DH43" s="542"/>
      <c r="DI43" s="542"/>
      <c r="DJ43" s="542"/>
      <c r="DK43" s="542"/>
      <c r="DL43" s="542"/>
      <c r="DM43" s="542"/>
      <c r="DN43" s="542"/>
      <c r="DO43" s="542"/>
      <c r="DP43" s="542"/>
      <c r="DQ43" s="542"/>
      <c r="DR43" s="542"/>
      <c r="DS43" s="542"/>
      <c r="DT43" s="542"/>
      <c r="DU43" s="542"/>
      <c r="DV43" s="542"/>
      <c r="DW43" s="542"/>
      <c r="DX43" s="542"/>
      <c r="DY43" s="542"/>
      <c r="DZ43" s="542"/>
      <c r="EA43" s="542"/>
      <c r="EB43" s="542"/>
      <c r="EC43" s="542"/>
      <c r="ED43" s="542"/>
      <c r="EE43" s="542"/>
      <c r="EF43" s="542"/>
      <c r="EG43" s="542"/>
      <c r="EH43" s="542"/>
      <c r="EI43" s="542"/>
      <c r="EJ43" s="542"/>
      <c r="EK43" s="542"/>
      <c r="EL43" s="542"/>
      <c r="EM43" s="542"/>
      <c r="EN43" s="542"/>
      <c r="EO43" s="542"/>
      <c r="EP43" s="542"/>
      <c r="EQ43" s="542"/>
      <c r="ER43" s="542"/>
      <c r="ES43" s="542"/>
      <c r="ET43" s="542"/>
      <c r="EU43" s="542"/>
      <c r="EV43" s="542"/>
      <c r="EW43" s="542"/>
      <c r="EX43" s="542"/>
      <c r="EY43" s="542"/>
      <c r="EZ43" s="542"/>
      <c r="FA43" s="542"/>
      <c r="FB43" s="542"/>
      <c r="FC43" s="542"/>
      <c r="FD43" s="542"/>
      <c r="FE43" s="542"/>
      <c r="FF43" s="542"/>
      <c r="FG43" s="542"/>
      <c r="FH43" s="542"/>
      <c r="FI43" s="542"/>
      <c r="FJ43" s="542"/>
      <c r="FK43" s="542"/>
      <c r="FL43" s="542"/>
      <c r="FM43" s="542"/>
      <c r="FN43" s="542"/>
      <c r="FO43" s="542"/>
      <c r="FP43" s="542"/>
      <c r="FQ43" s="542"/>
      <c r="FR43" s="542"/>
      <c r="FS43" s="542"/>
      <c r="FT43" s="542"/>
      <c r="FU43" s="542"/>
      <c r="FV43" s="542"/>
      <c r="FW43" s="542"/>
      <c r="FX43" s="542"/>
      <c r="FY43" s="542"/>
      <c r="FZ43" s="542"/>
      <c r="GA43" s="542"/>
      <c r="GB43" s="542"/>
      <c r="GC43" s="542"/>
      <c r="GD43" s="542"/>
      <c r="GE43" s="542"/>
      <c r="GF43" s="542"/>
      <c r="GG43" s="542"/>
      <c r="GH43" s="542"/>
      <c r="GI43" s="542"/>
      <c r="GJ43" s="542"/>
      <c r="GK43" s="542"/>
      <c r="GL43" s="542"/>
      <c r="GM43" s="542"/>
      <c r="GN43" s="542"/>
      <c r="GO43" s="542"/>
      <c r="GP43" s="542"/>
      <c r="GQ43" s="542"/>
      <c r="GR43" s="542"/>
      <c r="GS43" s="542"/>
      <c r="GT43" s="542"/>
      <c r="GU43" s="542"/>
      <c r="GV43" s="542"/>
      <c r="GW43" s="542"/>
      <c r="GX43" s="542"/>
      <c r="GY43" s="542"/>
      <c r="GZ43" s="542"/>
      <c r="HA43" s="542"/>
      <c r="HB43" s="542"/>
      <c r="HC43" s="542"/>
      <c r="HD43" s="542"/>
      <c r="HE43" s="542"/>
      <c r="HF43" s="542"/>
      <c r="HG43" s="542"/>
      <c r="HH43" s="542"/>
      <c r="HI43" s="542"/>
      <c r="HJ43" s="542"/>
      <c r="HK43" s="542"/>
      <c r="HL43" s="542"/>
      <c r="HM43" s="542"/>
      <c r="HN43" s="542"/>
      <c r="HO43" s="542"/>
      <c r="HP43" s="542"/>
      <c r="HQ43" s="542"/>
      <c r="HR43" s="542"/>
      <c r="HS43" s="542"/>
      <c r="HT43" s="542"/>
      <c r="HU43" s="542"/>
      <c r="HV43" s="542"/>
      <c r="HW43" s="542"/>
      <c r="HX43" s="542"/>
      <c r="HY43" s="542"/>
      <c r="HZ43" s="542"/>
      <c r="IA43" s="542"/>
      <c r="IB43" s="542"/>
      <c r="IC43" s="542"/>
      <c r="ID43" s="542"/>
      <c r="IE43" s="542"/>
      <c r="IF43" s="542"/>
      <c r="IG43" s="542"/>
      <c r="IH43" s="542"/>
      <c r="II43" s="542"/>
      <c r="IJ43" s="542"/>
      <c r="IK43" s="542"/>
      <c r="IL43" s="542"/>
      <c r="IM43" s="542"/>
      <c r="IN43" s="542"/>
      <c r="IO43" s="542"/>
      <c r="IP43" s="542"/>
      <c r="IQ43" s="542"/>
      <c r="IR43" s="542"/>
      <c r="IS43" s="542"/>
      <c r="IT43" s="542"/>
      <c r="IU43" s="542"/>
      <c r="IV43" s="542"/>
      <c r="IW43" s="542"/>
      <c r="IX43" s="542"/>
      <c r="IY43" s="542"/>
      <c r="IZ43" s="542"/>
      <c r="JA43" s="542"/>
      <c r="JB43" s="542"/>
    </row>
    <row r="44" spans="1:262" ht="13.8" hidden="1">
      <c r="A44" s="1495"/>
      <c r="B44" s="550"/>
      <c r="C44" s="550"/>
      <c r="D44" s="1333"/>
      <c r="E44" s="550"/>
      <c r="F44" s="439"/>
      <c r="G44" s="440"/>
      <c r="H44" s="439"/>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1383"/>
      <c r="CX44" s="552"/>
      <c r="CZ44" s="542"/>
      <c r="DA44" s="542"/>
      <c r="DB44" s="542"/>
      <c r="DC44" s="542"/>
      <c r="DD44" s="542"/>
      <c r="DE44" s="542"/>
      <c r="DF44" s="542"/>
      <c r="DG44" s="542"/>
      <c r="DH44" s="542"/>
      <c r="DI44" s="542"/>
      <c r="DJ44" s="542"/>
      <c r="DK44" s="542"/>
      <c r="DL44" s="542"/>
      <c r="DM44" s="542"/>
      <c r="DN44" s="542"/>
      <c r="DO44" s="542"/>
      <c r="DP44" s="542"/>
      <c r="DQ44" s="542"/>
      <c r="DR44" s="542"/>
      <c r="DS44" s="542"/>
      <c r="DT44" s="542"/>
      <c r="DU44" s="542"/>
      <c r="DV44" s="542"/>
      <c r="DW44" s="542"/>
      <c r="DX44" s="542"/>
      <c r="DY44" s="542"/>
      <c r="DZ44" s="542"/>
      <c r="EA44" s="542"/>
      <c r="EB44" s="542"/>
      <c r="EC44" s="542"/>
      <c r="ED44" s="542"/>
      <c r="EE44" s="542"/>
      <c r="EF44" s="542"/>
      <c r="EG44" s="542"/>
      <c r="EH44" s="542"/>
      <c r="EI44" s="542"/>
      <c r="EJ44" s="542"/>
      <c r="EK44" s="542"/>
      <c r="EL44" s="542"/>
      <c r="EM44" s="542"/>
      <c r="EN44" s="542"/>
      <c r="EO44" s="542"/>
      <c r="EP44" s="542"/>
      <c r="EQ44" s="542"/>
      <c r="ER44" s="542"/>
      <c r="ES44" s="542"/>
      <c r="ET44" s="542"/>
      <c r="EU44" s="542"/>
      <c r="EV44" s="542"/>
      <c r="EW44" s="542"/>
      <c r="EX44" s="542"/>
      <c r="EY44" s="542"/>
      <c r="EZ44" s="542"/>
      <c r="FA44" s="542"/>
      <c r="FB44" s="542"/>
      <c r="FC44" s="542"/>
      <c r="FD44" s="542"/>
      <c r="FE44" s="542"/>
      <c r="FF44" s="542"/>
      <c r="FG44" s="542"/>
      <c r="FH44" s="542"/>
      <c r="FI44" s="542"/>
      <c r="FJ44" s="542"/>
      <c r="FK44" s="542"/>
      <c r="FL44" s="542"/>
      <c r="FM44" s="542"/>
      <c r="FN44" s="542"/>
      <c r="FO44" s="542"/>
      <c r="FP44" s="542"/>
      <c r="FQ44" s="542"/>
      <c r="FR44" s="542"/>
      <c r="FS44" s="542"/>
      <c r="FT44" s="542"/>
      <c r="FU44" s="542"/>
      <c r="FV44" s="542"/>
      <c r="FW44" s="542"/>
      <c r="FX44" s="542"/>
      <c r="FY44" s="542"/>
      <c r="FZ44" s="542"/>
      <c r="GA44" s="542"/>
      <c r="GB44" s="542"/>
      <c r="GC44" s="542"/>
      <c r="GD44" s="542"/>
      <c r="GE44" s="542"/>
      <c r="GF44" s="542"/>
      <c r="GG44" s="542"/>
      <c r="GH44" s="542"/>
      <c r="GI44" s="542"/>
      <c r="GJ44" s="542"/>
      <c r="GK44" s="542"/>
      <c r="GL44" s="542"/>
      <c r="GM44" s="542"/>
      <c r="GN44" s="542"/>
      <c r="GO44" s="542"/>
      <c r="GP44" s="542"/>
      <c r="GQ44" s="542"/>
      <c r="GR44" s="542"/>
      <c r="GS44" s="542"/>
      <c r="GT44" s="542"/>
      <c r="GU44" s="542"/>
      <c r="GV44" s="542"/>
      <c r="GW44" s="542"/>
      <c r="GX44" s="542"/>
      <c r="GY44" s="542"/>
      <c r="GZ44" s="542"/>
      <c r="HA44" s="542"/>
      <c r="HB44" s="542"/>
      <c r="HC44" s="542"/>
      <c r="HD44" s="542"/>
      <c r="HE44" s="542"/>
      <c r="HF44" s="542"/>
      <c r="HG44" s="542"/>
      <c r="HH44" s="542"/>
      <c r="HI44" s="542"/>
      <c r="HJ44" s="542"/>
      <c r="HK44" s="542"/>
      <c r="HL44" s="542"/>
      <c r="HM44" s="542"/>
      <c r="HN44" s="542"/>
      <c r="HO44" s="542"/>
      <c r="HP44" s="542"/>
      <c r="HQ44" s="542"/>
      <c r="HR44" s="542"/>
      <c r="HS44" s="542"/>
      <c r="HT44" s="542"/>
      <c r="HU44" s="542"/>
      <c r="HV44" s="542"/>
      <c r="HW44" s="542"/>
      <c r="HX44" s="542"/>
      <c r="HY44" s="542"/>
      <c r="HZ44" s="542"/>
      <c r="IA44" s="542"/>
      <c r="IB44" s="542"/>
      <c r="IC44" s="542"/>
      <c r="ID44" s="542"/>
      <c r="IE44" s="542"/>
      <c r="IF44" s="542"/>
      <c r="IG44" s="542"/>
      <c r="IH44" s="542"/>
      <c r="II44" s="542"/>
      <c r="IJ44" s="542"/>
      <c r="IK44" s="542"/>
      <c r="IL44" s="542"/>
      <c r="IM44" s="542"/>
      <c r="IN44" s="542"/>
      <c r="IO44" s="542"/>
      <c r="IP44" s="542"/>
      <c r="IQ44" s="542"/>
      <c r="IR44" s="542"/>
      <c r="IS44" s="542"/>
      <c r="IT44" s="542"/>
      <c r="IU44" s="542"/>
      <c r="IV44" s="542"/>
      <c r="IW44" s="542"/>
      <c r="IX44" s="542"/>
      <c r="IY44" s="542"/>
      <c r="IZ44" s="542"/>
      <c r="JA44" s="542"/>
      <c r="JB44" s="542"/>
    </row>
    <row r="45" spans="1:262" ht="13.8" hidden="1">
      <c r="A45" s="1495"/>
      <c r="B45" s="550"/>
      <c r="C45" s="550"/>
      <c r="D45" s="1333"/>
      <c r="E45" s="550"/>
      <c r="F45" s="439"/>
      <c r="G45" s="440"/>
      <c r="H45" s="439"/>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1383"/>
      <c r="CX45" s="557"/>
      <c r="CZ45" s="542"/>
      <c r="DA45" s="542"/>
      <c r="DB45" s="542"/>
      <c r="DC45" s="542"/>
      <c r="DD45" s="542"/>
      <c r="DE45" s="542"/>
      <c r="DF45" s="542"/>
      <c r="DG45" s="542"/>
      <c r="DH45" s="542"/>
      <c r="DI45" s="542"/>
      <c r="DJ45" s="542"/>
      <c r="DK45" s="542"/>
      <c r="DL45" s="542"/>
      <c r="DM45" s="542"/>
      <c r="DN45" s="542"/>
      <c r="DO45" s="542"/>
      <c r="DP45" s="542"/>
      <c r="DQ45" s="542"/>
      <c r="DR45" s="542"/>
      <c r="DS45" s="542"/>
      <c r="DT45" s="542"/>
      <c r="DU45" s="542"/>
      <c r="DV45" s="542"/>
      <c r="DW45" s="542"/>
      <c r="DX45" s="542"/>
      <c r="DY45" s="542"/>
      <c r="DZ45" s="542"/>
      <c r="EA45" s="542"/>
      <c r="EB45" s="542"/>
      <c r="EC45" s="542"/>
      <c r="ED45" s="542"/>
      <c r="EE45" s="542"/>
      <c r="EF45" s="542"/>
      <c r="EG45" s="542"/>
      <c r="EH45" s="542"/>
      <c r="EI45" s="542"/>
      <c r="EJ45" s="542"/>
      <c r="EK45" s="542"/>
      <c r="EL45" s="542"/>
      <c r="EM45" s="542"/>
      <c r="EN45" s="542"/>
      <c r="EO45" s="542"/>
      <c r="EP45" s="542"/>
      <c r="EQ45" s="542"/>
      <c r="ER45" s="542"/>
      <c r="ES45" s="542"/>
      <c r="ET45" s="542"/>
      <c r="EU45" s="542"/>
      <c r="EV45" s="542"/>
      <c r="EW45" s="542"/>
      <c r="EX45" s="542"/>
      <c r="EY45" s="542"/>
      <c r="EZ45" s="542"/>
      <c r="FA45" s="542"/>
      <c r="FB45" s="542"/>
      <c r="FC45" s="542"/>
      <c r="FD45" s="542"/>
      <c r="FE45" s="542"/>
      <c r="FF45" s="542"/>
      <c r="FG45" s="542"/>
      <c r="FH45" s="542"/>
      <c r="FI45" s="542"/>
      <c r="FJ45" s="542"/>
      <c r="FK45" s="542"/>
      <c r="FL45" s="542"/>
      <c r="FM45" s="542"/>
      <c r="FN45" s="542"/>
      <c r="FO45" s="542"/>
      <c r="FP45" s="542"/>
      <c r="FQ45" s="542"/>
      <c r="FR45" s="542"/>
      <c r="FS45" s="542"/>
      <c r="FT45" s="542"/>
      <c r="FU45" s="542"/>
      <c r="FV45" s="542"/>
      <c r="FW45" s="542"/>
      <c r="FX45" s="542"/>
      <c r="FY45" s="542"/>
      <c r="FZ45" s="542"/>
      <c r="GA45" s="542"/>
      <c r="GB45" s="542"/>
      <c r="GC45" s="542"/>
      <c r="GD45" s="542"/>
      <c r="GE45" s="542"/>
      <c r="GF45" s="542"/>
      <c r="GG45" s="542"/>
      <c r="GH45" s="542"/>
      <c r="GI45" s="542"/>
      <c r="GJ45" s="542"/>
      <c r="GK45" s="542"/>
      <c r="GL45" s="542"/>
      <c r="GM45" s="542"/>
      <c r="GN45" s="542"/>
      <c r="GO45" s="542"/>
      <c r="GP45" s="542"/>
      <c r="GQ45" s="542"/>
      <c r="GR45" s="542"/>
      <c r="GS45" s="542"/>
      <c r="GT45" s="542"/>
      <c r="GU45" s="542"/>
      <c r="GV45" s="542"/>
      <c r="GW45" s="542"/>
      <c r="GX45" s="542"/>
      <c r="GY45" s="542"/>
      <c r="GZ45" s="542"/>
      <c r="HA45" s="542"/>
      <c r="HB45" s="542"/>
      <c r="HC45" s="542"/>
      <c r="HD45" s="542"/>
      <c r="HE45" s="542"/>
      <c r="HF45" s="542"/>
      <c r="HG45" s="542"/>
      <c r="HH45" s="542"/>
      <c r="HI45" s="542"/>
      <c r="HJ45" s="542"/>
      <c r="HK45" s="542"/>
      <c r="HL45" s="542"/>
      <c r="HM45" s="542"/>
      <c r="HN45" s="542"/>
      <c r="HO45" s="542"/>
      <c r="HP45" s="542"/>
      <c r="HQ45" s="542"/>
      <c r="HR45" s="542"/>
      <c r="HS45" s="542"/>
      <c r="HT45" s="542"/>
      <c r="HU45" s="542"/>
      <c r="HV45" s="542"/>
      <c r="HW45" s="542"/>
      <c r="HX45" s="542"/>
      <c r="HY45" s="542"/>
      <c r="HZ45" s="542"/>
      <c r="IA45" s="542"/>
      <c r="IB45" s="542"/>
      <c r="IC45" s="542"/>
      <c r="ID45" s="542"/>
      <c r="IE45" s="542"/>
      <c r="IF45" s="542"/>
      <c r="IG45" s="542"/>
      <c r="IH45" s="542"/>
      <c r="II45" s="542"/>
      <c r="IJ45" s="542"/>
      <c r="IK45" s="542"/>
      <c r="IL45" s="542"/>
      <c r="IM45" s="542"/>
      <c r="IN45" s="542"/>
      <c r="IO45" s="542"/>
      <c r="IP45" s="542"/>
      <c r="IQ45" s="542"/>
      <c r="IR45" s="542"/>
      <c r="IS45" s="542"/>
      <c r="IT45" s="542"/>
      <c r="IU45" s="542"/>
      <c r="IV45" s="542"/>
      <c r="IW45" s="542"/>
      <c r="IX45" s="542"/>
      <c r="IY45" s="542"/>
      <c r="IZ45" s="542"/>
      <c r="JA45" s="542"/>
      <c r="JB45" s="542"/>
    </row>
    <row r="46" spans="1:262" ht="13.8" hidden="1">
      <c r="A46" s="1495"/>
      <c r="B46" s="550"/>
      <c r="C46" s="550"/>
      <c r="D46" s="1333"/>
      <c r="E46" s="550"/>
      <c r="F46" s="439"/>
      <c r="G46" s="440"/>
      <c r="H46" s="439"/>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1383"/>
      <c r="CX46" s="557"/>
      <c r="CZ46" s="542"/>
      <c r="DA46" s="542"/>
      <c r="DB46" s="542"/>
      <c r="DC46" s="542"/>
      <c r="DD46" s="542"/>
      <c r="DE46" s="542"/>
      <c r="DF46" s="542"/>
      <c r="DG46" s="542"/>
      <c r="DH46" s="542"/>
      <c r="DI46" s="542"/>
      <c r="DJ46" s="542"/>
      <c r="DK46" s="542"/>
      <c r="DL46" s="542"/>
      <c r="DM46" s="542"/>
      <c r="DN46" s="542"/>
      <c r="DO46" s="542"/>
      <c r="DP46" s="542"/>
      <c r="DQ46" s="542"/>
      <c r="DR46" s="542"/>
      <c r="DS46" s="542"/>
      <c r="DT46" s="542"/>
      <c r="DU46" s="542"/>
      <c r="DV46" s="542"/>
      <c r="DW46" s="542"/>
      <c r="DX46" s="542"/>
      <c r="DY46" s="542"/>
      <c r="DZ46" s="542"/>
      <c r="EA46" s="542"/>
      <c r="EB46" s="542"/>
      <c r="EC46" s="542"/>
      <c r="ED46" s="542"/>
      <c r="EE46" s="542"/>
      <c r="EF46" s="542"/>
      <c r="EG46" s="542"/>
      <c r="EH46" s="542"/>
      <c r="EI46" s="542"/>
      <c r="EJ46" s="542"/>
      <c r="EK46" s="542"/>
      <c r="EL46" s="542"/>
      <c r="EM46" s="542"/>
      <c r="EN46" s="542"/>
      <c r="EO46" s="542"/>
      <c r="EP46" s="542"/>
      <c r="EQ46" s="542"/>
      <c r="ER46" s="542"/>
      <c r="ES46" s="542"/>
      <c r="ET46" s="542"/>
      <c r="EU46" s="542"/>
      <c r="EV46" s="542"/>
      <c r="EW46" s="542"/>
      <c r="EX46" s="542"/>
      <c r="EY46" s="542"/>
      <c r="EZ46" s="542"/>
      <c r="FA46" s="542"/>
      <c r="FB46" s="542"/>
      <c r="FC46" s="542"/>
      <c r="FD46" s="542"/>
      <c r="FE46" s="542"/>
      <c r="FF46" s="542"/>
      <c r="FG46" s="542"/>
      <c r="FH46" s="542"/>
      <c r="FI46" s="542"/>
      <c r="FJ46" s="542"/>
      <c r="FK46" s="542"/>
      <c r="FL46" s="542"/>
      <c r="FM46" s="542"/>
      <c r="FN46" s="542"/>
      <c r="FO46" s="542"/>
      <c r="FP46" s="542"/>
      <c r="FQ46" s="542"/>
      <c r="FR46" s="542"/>
      <c r="FS46" s="542"/>
      <c r="FT46" s="542"/>
      <c r="FU46" s="542"/>
      <c r="FV46" s="542"/>
      <c r="FW46" s="542"/>
      <c r="FX46" s="542"/>
      <c r="FY46" s="542"/>
      <c r="FZ46" s="542"/>
      <c r="GA46" s="542"/>
      <c r="GB46" s="542"/>
      <c r="GC46" s="542"/>
      <c r="GD46" s="542"/>
      <c r="GE46" s="542"/>
      <c r="GF46" s="542"/>
      <c r="GG46" s="542"/>
      <c r="GH46" s="542"/>
      <c r="GI46" s="542"/>
      <c r="GJ46" s="542"/>
      <c r="GK46" s="542"/>
      <c r="GL46" s="542"/>
      <c r="GM46" s="542"/>
      <c r="GN46" s="542"/>
      <c r="GO46" s="542"/>
      <c r="GP46" s="542"/>
      <c r="GQ46" s="542"/>
      <c r="GR46" s="542"/>
      <c r="GS46" s="542"/>
      <c r="GT46" s="542"/>
      <c r="GU46" s="542"/>
      <c r="GV46" s="542"/>
      <c r="GW46" s="542"/>
      <c r="GX46" s="542"/>
      <c r="GY46" s="542"/>
      <c r="GZ46" s="542"/>
      <c r="HA46" s="542"/>
      <c r="HB46" s="542"/>
      <c r="HC46" s="542"/>
      <c r="HD46" s="542"/>
      <c r="HE46" s="542"/>
      <c r="HF46" s="542"/>
      <c r="HG46" s="542"/>
      <c r="HH46" s="542"/>
      <c r="HI46" s="542"/>
      <c r="HJ46" s="542"/>
      <c r="HK46" s="542"/>
      <c r="HL46" s="542"/>
      <c r="HM46" s="542"/>
      <c r="HN46" s="542"/>
      <c r="HO46" s="542"/>
      <c r="HP46" s="542"/>
      <c r="HQ46" s="542"/>
      <c r="HR46" s="542"/>
      <c r="HS46" s="542"/>
      <c r="HT46" s="542"/>
      <c r="HU46" s="542"/>
      <c r="HV46" s="542"/>
      <c r="HW46" s="542"/>
      <c r="HX46" s="542"/>
      <c r="HY46" s="542"/>
      <c r="HZ46" s="542"/>
      <c r="IA46" s="542"/>
      <c r="IB46" s="542"/>
      <c r="IC46" s="542"/>
      <c r="ID46" s="542"/>
      <c r="IE46" s="542"/>
      <c r="IF46" s="542"/>
      <c r="IG46" s="542"/>
      <c r="IH46" s="542"/>
      <c r="II46" s="542"/>
      <c r="IJ46" s="542"/>
      <c r="IK46" s="542"/>
      <c r="IL46" s="542"/>
      <c r="IM46" s="542"/>
      <c r="IN46" s="542"/>
      <c r="IO46" s="542"/>
      <c r="IP46" s="542"/>
      <c r="IQ46" s="542"/>
      <c r="IR46" s="542"/>
      <c r="IS46" s="542"/>
      <c r="IT46" s="542"/>
      <c r="IU46" s="542"/>
      <c r="IV46" s="542"/>
      <c r="IW46" s="542"/>
      <c r="IX46" s="542"/>
      <c r="IY46" s="542"/>
      <c r="IZ46" s="542"/>
      <c r="JA46" s="542"/>
      <c r="JB46" s="542"/>
    </row>
    <row r="47" spans="1:262" ht="13.8" hidden="1">
      <c r="A47" s="1495"/>
      <c r="B47" s="550"/>
      <c r="C47" s="550"/>
      <c r="D47" s="1333"/>
      <c r="E47" s="550"/>
      <c r="F47" s="439"/>
      <c r="G47" s="440"/>
      <c r="H47" s="439"/>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1383"/>
      <c r="CX47" s="557"/>
      <c r="CZ47" s="542"/>
      <c r="DA47" s="542"/>
      <c r="DB47" s="542"/>
      <c r="DC47" s="542"/>
      <c r="DD47" s="542"/>
      <c r="DE47" s="542"/>
      <c r="DF47" s="542"/>
      <c r="DG47" s="542"/>
      <c r="DH47" s="542"/>
      <c r="DI47" s="542"/>
      <c r="DJ47" s="542"/>
      <c r="DK47" s="542"/>
      <c r="DL47" s="542"/>
      <c r="DM47" s="542"/>
      <c r="DN47" s="542"/>
      <c r="DO47" s="542"/>
      <c r="DP47" s="542"/>
      <c r="DQ47" s="542"/>
      <c r="DR47" s="542"/>
      <c r="DS47" s="542"/>
      <c r="DT47" s="542"/>
      <c r="DU47" s="542"/>
      <c r="DV47" s="542"/>
      <c r="DW47" s="542"/>
      <c r="DX47" s="542"/>
      <c r="DY47" s="542"/>
      <c r="DZ47" s="542"/>
      <c r="EA47" s="542"/>
      <c r="EB47" s="542"/>
      <c r="EC47" s="542"/>
      <c r="ED47" s="542"/>
      <c r="EE47" s="542"/>
      <c r="EF47" s="542"/>
      <c r="EG47" s="542"/>
      <c r="EH47" s="542"/>
      <c r="EI47" s="542"/>
      <c r="EJ47" s="542"/>
      <c r="EK47" s="542"/>
      <c r="EL47" s="542"/>
      <c r="EM47" s="542"/>
      <c r="EN47" s="542"/>
      <c r="EO47" s="542"/>
      <c r="EP47" s="542"/>
      <c r="EQ47" s="542"/>
      <c r="ER47" s="542"/>
      <c r="ES47" s="542"/>
      <c r="ET47" s="542"/>
      <c r="EU47" s="542"/>
      <c r="EV47" s="542"/>
      <c r="EW47" s="542"/>
      <c r="EX47" s="542"/>
      <c r="EY47" s="542"/>
      <c r="EZ47" s="542"/>
      <c r="FA47" s="542"/>
      <c r="FB47" s="542"/>
      <c r="FC47" s="542"/>
      <c r="FD47" s="542"/>
      <c r="FE47" s="542"/>
      <c r="FF47" s="542"/>
      <c r="FG47" s="542"/>
      <c r="FH47" s="542"/>
      <c r="FI47" s="542"/>
      <c r="FJ47" s="542"/>
      <c r="FK47" s="542"/>
      <c r="FL47" s="542"/>
      <c r="FM47" s="542"/>
      <c r="FN47" s="542"/>
      <c r="FO47" s="542"/>
      <c r="FP47" s="542"/>
      <c r="FQ47" s="542"/>
      <c r="FR47" s="542"/>
      <c r="FS47" s="542"/>
      <c r="FT47" s="542"/>
      <c r="FU47" s="542"/>
      <c r="FV47" s="542"/>
      <c r="FW47" s="542"/>
      <c r="FX47" s="542"/>
      <c r="FY47" s="542"/>
      <c r="FZ47" s="542"/>
      <c r="GA47" s="542"/>
      <c r="GB47" s="542"/>
      <c r="GC47" s="542"/>
      <c r="GD47" s="542"/>
      <c r="GE47" s="542"/>
      <c r="GF47" s="542"/>
      <c r="GG47" s="542"/>
      <c r="GH47" s="542"/>
      <c r="GI47" s="542"/>
      <c r="GJ47" s="542"/>
      <c r="GK47" s="542"/>
      <c r="GL47" s="542"/>
      <c r="GM47" s="542"/>
      <c r="GN47" s="542"/>
      <c r="GO47" s="542"/>
      <c r="GP47" s="542"/>
      <c r="GQ47" s="542"/>
      <c r="GR47" s="542"/>
      <c r="GS47" s="542"/>
      <c r="GT47" s="542"/>
      <c r="GU47" s="542"/>
      <c r="GV47" s="542"/>
      <c r="GW47" s="542"/>
      <c r="GX47" s="542"/>
      <c r="GY47" s="542"/>
      <c r="GZ47" s="542"/>
      <c r="HA47" s="542"/>
      <c r="HB47" s="542"/>
      <c r="HC47" s="542"/>
      <c r="HD47" s="542"/>
      <c r="HE47" s="542"/>
      <c r="HF47" s="542"/>
      <c r="HG47" s="542"/>
      <c r="HH47" s="542"/>
      <c r="HI47" s="542"/>
      <c r="HJ47" s="542"/>
      <c r="HK47" s="542"/>
      <c r="HL47" s="542"/>
      <c r="HM47" s="542"/>
      <c r="HN47" s="542"/>
      <c r="HO47" s="542"/>
      <c r="HP47" s="542"/>
      <c r="HQ47" s="542"/>
      <c r="HR47" s="542"/>
      <c r="HS47" s="542"/>
      <c r="HT47" s="542"/>
      <c r="HU47" s="542"/>
      <c r="HV47" s="542"/>
      <c r="HW47" s="542"/>
      <c r="HX47" s="542"/>
      <c r="HY47" s="542"/>
      <c r="HZ47" s="542"/>
      <c r="IA47" s="542"/>
      <c r="IB47" s="542"/>
      <c r="IC47" s="542"/>
      <c r="ID47" s="542"/>
      <c r="IE47" s="542"/>
      <c r="IF47" s="542"/>
      <c r="IG47" s="542"/>
      <c r="IH47" s="542"/>
      <c r="II47" s="542"/>
      <c r="IJ47" s="542"/>
      <c r="IK47" s="542"/>
      <c r="IL47" s="542"/>
      <c r="IM47" s="542"/>
      <c r="IN47" s="542"/>
      <c r="IO47" s="542"/>
      <c r="IP47" s="542"/>
      <c r="IQ47" s="542"/>
      <c r="IR47" s="542"/>
      <c r="IS47" s="542"/>
      <c r="IT47" s="542"/>
      <c r="IU47" s="542"/>
      <c r="IV47" s="542"/>
      <c r="IW47" s="542"/>
      <c r="IX47" s="542"/>
      <c r="IY47" s="542"/>
      <c r="IZ47" s="542"/>
      <c r="JA47" s="542"/>
      <c r="JB47" s="542"/>
    </row>
    <row r="48" spans="1:262" ht="13.8" hidden="1">
      <c r="A48" s="1495"/>
      <c r="B48" s="550"/>
      <c r="C48" s="550"/>
      <c r="D48" s="1333"/>
      <c r="E48" s="550"/>
      <c r="F48" s="439"/>
      <c r="G48" s="440"/>
      <c r="H48" s="439"/>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1383"/>
      <c r="CX48" s="557"/>
      <c r="CZ48" s="542"/>
      <c r="DA48" s="542"/>
      <c r="DB48" s="542"/>
      <c r="DC48" s="542"/>
      <c r="DD48" s="542"/>
      <c r="DE48" s="542"/>
      <c r="DF48" s="542"/>
      <c r="DG48" s="542"/>
      <c r="DH48" s="542"/>
      <c r="DI48" s="542"/>
      <c r="DJ48" s="542"/>
      <c r="DK48" s="542"/>
      <c r="DL48" s="542"/>
      <c r="DM48" s="542"/>
      <c r="DN48" s="542"/>
      <c r="DO48" s="542"/>
      <c r="DP48" s="542"/>
      <c r="DQ48" s="542"/>
      <c r="DR48" s="542"/>
      <c r="DS48" s="542"/>
      <c r="DT48" s="542"/>
      <c r="DU48" s="542"/>
      <c r="DV48" s="542"/>
      <c r="DW48" s="542"/>
      <c r="DX48" s="542"/>
      <c r="DY48" s="542"/>
      <c r="DZ48" s="542"/>
      <c r="EA48" s="542"/>
      <c r="EB48" s="542"/>
      <c r="EC48" s="542"/>
      <c r="ED48" s="542"/>
      <c r="EE48" s="542"/>
      <c r="EF48" s="542"/>
      <c r="EG48" s="542"/>
      <c r="EH48" s="542"/>
      <c r="EI48" s="542"/>
      <c r="EJ48" s="542"/>
      <c r="EK48" s="542"/>
      <c r="EL48" s="542"/>
      <c r="EM48" s="542"/>
      <c r="EN48" s="542"/>
      <c r="EO48" s="542"/>
      <c r="EP48" s="542"/>
      <c r="EQ48" s="542"/>
      <c r="ER48" s="542"/>
      <c r="ES48" s="542"/>
      <c r="ET48" s="542"/>
      <c r="EU48" s="542"/>
      <c r="EV48" s="542"/>
      <c r="EW48" s="542"/>
      <c r="EX48" s="542"/>
      <c r="EY48" s="542"/>
      <c r="EZ48" s="542"/>
      <c r="FA48" s="542"/>
      <c r="FB48" s="542"/>
      <c r="FC48" s="542"/>
      <c r="FD48" s="542"/>
      <c r="FE48" s="542"/>
      <c r="FF48" s="542"/>
      <c r="FG48" s="542"/>
      <c r="FH48" s="542"/>
      <c r="FI48" s="542"/>
      <c r="FJ48" s="542"/>
      <c r="FK48" s="542"/>
      <c r="FL48" s="542"/>
      <c r="FM48" s="542"/>
      <c r="FN48" s="542"/>
      <c r="FO48" s="542"/>
      <c r="FP48" s="542"/>
      <c r="FQ48" s="542"/>
      <c r="FR48" s="542"/>
      <c r="FS48" s="542"/>
      <c r="FT48" s="542"/>
      <c r="FU48" s="542"/>
      <c r="FV48" s="542"/>
      <c r="FW48" s="542"/>
      <c r="FX48" s="542"/>
      <c r="FY48" s="542"/>
      <c r="FZ48" s="542"/>
      <c r="GA48" s="542"/>
      <c r="GB48" s="542"/>
      <c r="GC48" s="542"/>
      <c r="GD48" s="542"/>
      <c r="GE48" s="542"/>
      <c r="GF48" s="542"/>
      <c r="GG48" s="542"/>
      <c r="GH48" s="542"/>
      <c r="GI48" s="542"/>
      <c r="GJ48" s="542"/>
      <c r="GK48" s="542"/>
      <c r="GL48" s="542"/>
      <c r="GM48" s="542"/>
      <c r="GN48" s="542"/>
      <c r="GO48" s="542"/>
      <c r="GP48" s="542"/>
      <c r="GQ48" s="542"/>
      <c r="GR48" s="542"/>
      <c r="GS48" s="542"/>
      <c r="GT48" s="542"/>
      <c r="GU48" s="542"/>
      <c r="GV48" s="542"/>
      <c r="GW48" s="542"/>
      <c r="GX48" s="542"/>
      <c r="GY48" s="542"/>
      <c r="GZ48" s="542"/>
      <c r="HA48" s="542"/>
      <c r="HB48" s="542"/>
      <c r="HC48" s="542"/>
      <c r="HD48" s="542"/>
      <c r="HE48" s="542"/>
      <c r="HF48" s="542"/>
      <c r="HG48" s="542"/>
      <c r="HH48" s="542"/>
      <c r="HI48" s="542"/>
      <c r="HJ48" s="542"/>
      <c r="HK48" s="542"/>
      <c r="HL48" s="542"/>
      <c r="HM48" s="542"/>
      <c r="HN48" s="542"/>
      <c r="HO48" s="542"/>
      <c r="HP48" s="542"/>
      <c r="HQ48" s="542"/>
      <c r="HR48" s="542"/>
      <c r="HS48" s="542"/>
      <c r="HT48" s="542"/>
      <c r="HU48" s="542"/>
      <c r="HV48" s="542"/>
      <c r="HW48" s="542"/>
      <c r="HX48" s="542"/>
      <c r="HY48" s="542"/>
      <c r="HZ48" s="542"/>
      <c r="IA48" s="542"/>
      <c r="IB48" s="542"/>
      <c r="IC48" s="542"/>
      <c r="ID48" s="542"/>
      <c r="IE48" s="542"/>
      <c r="IF48" s="542"/>
      <c r="IG48" s="542"/>
      <c r="IH48" s="542"/>
      <c r="II48" s="542"/>
      <c r="IJ48" s="542"/>
      <c r="IK48" s="542"/>
      <c r="IL48" s="542"/>
      <c r="IM48" s="542"/>
      <c r="IN48" s="542"/>
      <c r="IO48" s="542"/>
      <c r="IP48" s="542"/>
      <c r="IQ48" s="542"/>
      <c r="IR48" s="542"/>
      <c r="IS48" s="542"/>
      <c r="IT48" s="542"/>
      <c r="IU48" s="542"/>
      <c r="IV48" s="542"/>
      <c r="IW48" s="542"/>
      <c r="IX48" s="542"/>
      <c r="IY48" s="542"/>
      <c r="IZ48" s="542"/>
      <c r="JA48" s="542"/>
      <c r="JB48" s="542"/>
    </row>
    <row r="49" spans="1:262" ht="13.8" hidden="1">
      <c r="A49" s="1495"/>
      <c r="B49" s="550"/>
      <c r="C49" s="550"/>
      <c r="D49" s="1333"/>
      <c r="E49" s="550"/>
      <c r="F49" s="439"/>
      <c r="G49" s="440"/>
      <c r="H49" s="439"/>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1383"/>
      <c r="CX49" s="557"/>
      <c r="CZ49" s="542"/>
      <c r="DA49" s="542"/>
      <c r="DB49" s="542"/>
      <c r="DC49" s="542"/>
      <c r="DD49" s="542"/>
      <c r="DE49" s="542"/>
      <c r="DF49" s="542"/>
      <c r="DG49" s="542"/>
      <c r="DH49" s="542"/>
      <c r="DI49" s="542"/>
      <c r="DJ49" s="542"/>
      <c r="DK49" s="542"/>
      <c r="DL49" s="542"/>
      <c r="DM49" s="542"/>
      <c r="DN49" s="542"/>
      <c r="DO49" s="542"/>
      <c r="DP49" s="542"/>
      <c r="DQ49" s="542"/>
      <c r="DR49" s="542"/>
      <c r="DS49" s="542"/>
      <c r="DT49" s="542"/>
      <c r="DU49" s="542"/>
      <c r="DV49" s="542"/>
      <c r="DW49" s="542"/>
      <c r="DX49" s="542"/>
      <c r="DY49" s="542"/>
      <c r="DZ49" s="542"/>
      <c r="EA49" s="542"/>
      <c r="EB49" s="542"/>
      <c r="EC49" s="542"/>
      <c r="ED49" s="542"/>
      <c r="EE49" s="542"/>
      <c r="EF49" s="542"/>
      <c r="EG49" s="542"/>
      <c r="EH49" s="542"/>
      <c r="EI49" s="542"/>
      <c r="EJ49" s="542"/>
      <c r="EK49" s="542"/>
      <c r="EL49" s="542"/>
      <c r="EM49" s="542"/>
      <c r="EN49" s="542"/>
      <c r="EO49" s="542"/>
      <c r="EP49" s="542"/>
      <c r="EQ49" s="542"/>
      <c r="ER49" s="542"/>
      <c r="ES49" s="542"/>
      <c r="ET49" s="542"/>
      <c r="EU49" s="542"/>
      <c r="EV49" s="542"/>
      <c r="EW49" s="542"/>
      <c r="EX49" s="542"/>
      <c r="EY49" s="542"/>
      <c r="EZ49" s="542"/>
      <c r="FA49" s="542"/>
      <c r="FB49" s="542"/>
      <c r="FC49" s="542"/>
      <c r="FD49" s="542"/>
      <c r="FE49" s="542"/>
      <c r="FF49" s="542"/>
      <c r="FG49" s="542"/>
      <c r="FH49" s="542"/>
      <c r="FI49" s="542"/>
      <c r="FJ49" s="542"/>
      <c r="FK49" s="542"/>
      <c r="FL49" s="542"/>
      <c r="FM49" s="542"/>
      <c r="FN49" s="542"/>
      <c r="FO49" s="542"/>
      <c r="FP49" s="542"/>
      <c r="FQ49" s="542"/>
      <c r="FR49" s="542"/>
      <c r="FS49" s="542"/>
      <c r="FT49" s="542"/>
      <c r="FU49" s="542"/>
      <c r="FV49" s="542"/>
      <c r="FW49" s="542"/>
      <c r="FX49" s="542"/>
      <c r="FY49" s="542"/>
      <c r="FZ49" s="542"/>
      <c r="GA49" s="542"/>
      <c r="GB49" s="542"/>
      <c r="GC49" s="542"/>
      <c r="GD49" s="542"/>
      <c r="GE49" s="542"/>
      <c r="GF49" s="542"/>
      <c r="GG49" s="542"/>
      <c r="GH49" s="542"/>
      <c r="GI49" s="542"/>
      <c r="GJ49" s="542"/>
      <c r="GK49" s="542"/>
      <c r="GL49" s="542"/>
      <c r="GM49" s="542"/>
      <c r="GN49" s="542"/>
      <c r="GO49" s="542"/>
      <c r="GP49" s="542"/>
      <c r="GQ49" s="542"/>
      <c r="GR49" s="542"/>
      <c r="GS49" s="542"/>
      <c r="GT49" s="542"/>
      <c r="GU49" s="542"/>
      <c r="GV49" s="542"/>
      <c r="GW49" s="542"/>
      <c r="GX49" s="542"/>
      <c r="GY49" s="542"/>
      <c r="GZ49" s="542"/>
      <c r="HA49" s="542"/>
      <c r="HB49" s="542"/>
      <c r="HC49" s="542"/>
      <c r="HD49" s="542"/>
      <c r="HE49" s="542"/>
      <c r="HF49" s="542"/>
      <c r="HG49" s="542"/>
      <c r="HH49" s="542"/>
      <c r="HI49" s="542"/>
      <c r="HJ49" s="542"/>
      <c r="HK49" s="542"/>
      <c r="HL49" s="542"/>
      <c r="HM49" s="542"/>
      <c r="HN49" s="542"/>
      <c r="HO49" s="542"/>
      <c r="HP49" s="542"/>
      <c r="HQ49" s="542"/>
      <c r="HR49" s="542"/>
      <c r="HS49" s="542"/>
      <c r="HT49" s="542"/>
      <c r="HU49" s="542"/>
      <c r="HV49" s="542"/>
      <c r="HW49" s="542"/>
      <c r="HX49" s="542"/>
      <c r="HY49" s="542"/>
      <c r="HZ49" s="542"/>
      <c r="IA49" s="542"/>
      <c r="IB49" s="542"/>
      <c r="IC49" s="542"/>
      <c r="ID49" s="542"/>
      <c r="IE49" s="542"/>
      <c r="IF49" s="542"/>
      <c r="IG49" s="542"/>
      <c r="IH49" s="542"/>
      <c r="II49" s="542"/>
      <c r="IJ49" s="542"/>
      <c r="IK49" s="542"/>
      <c r="IL49" s="542"/>
      <c r="IM49" s="542"/>
      <c r="IN49" s="542"/>
      <c r="IO49" s="542"/>
      <c r="IP49" s="542"/>
      <c r="IQ49" s="542"/>
      <c r="IR49" s="542"/>
      <c r="IS49" s="542"/>
      <c r="IT49" s="542"/>
      <c r="IU49" s="542"/>
      <c r="IV49" s="542"/>
      <c r="IW49" s="542"/>
      <c r="IX49" s="542"/>
      <c r="IY49" s="542"/>
      <c r="IZ49" s="542"/>
      <c r="JA49" s="542"/>
      <c r="JB49" s="542"/>
    </row>
    <row r="50" spans="1:262" ht="13.8" hidden="1">
      <c r="A50" s="1495"/>
      <c r="B50" s="550"/>
      <c r="C50" s="550"/>
      <c r="D50" s="1333"/>
      <c r="E50" s="550"/>
      <c r="F50" s="439"/>
      <c r="G50" s="440"/>
      <c r="H50" s="439"/>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1383"/>
      <c r="CX50" s="557"/>
      <c r="CZ50" s="542"/>
      <c r="DA50" s="542"/>
      <c r="DB50" s="542"/>
      <c r="DC50" s="542"/>
      <c r="DD50" s="542"/>
      <c r="DE50" s="542"/>
      <c r="DF50" s="542"/>
      <c r="DG50" s="542"/>
      <c r="DH50" s="542"/>
      <c r="DI50" s="542"/>
      <c r="DJ50" s="542"/>
      <c r="DK50" s="542"/>
      <c r="DL50" s="542"/>
      <c r="DM50" s="542"/>
      <c r="DN50" s="542"/>
      <c r="DO50" s="542"/>
      <c r="DP50" s="542"/>
      <c r="DQ50" s="542"/>
      <c r="DR50" s="542"/>
      <c r="DS50" s="542"/>
      <c r="DT50" s="542"/>
      <c r="DU50" s="542"/>
      <c r="DV50" s="542"/>
      <c r="DW50" s="542"/>
      <c r="DX50" s="542"/>
      <c r="DY50" s="542"/>
      <c r="DZ50" s="542"/>
      <c r="EA50" s="542"/>
      <c r="EB50" s="542"/>
      <c r="EC50" s="542"/>
      <c r="ED50" s="542"/>
      <c r="EE50" s="542"/>
      <c r="EF50" s="542"/>
      <c r="EG50" s="542"/>
      <c r="EH50" s="542"/>
      <c r="EI50" s="542"/>
      <c r="EJ50" s="542"/>
      <c r="EK50" s="542"/>
      <c r="EL50" s="542"/>
      <c r="EM50" s="542"/>
      <c r="EN50" s="542"/>
      <c r="EO50" s="542"/>
      <c r="EP50" s="542"/>
      <c r="EQ50" s="542"/>
      <c r="ER50" s="542"/>
      <c r="ES50" s="542"/>
      <c r="ET50" s="542"/>
      <c r="EU50" s="542"/>
      <c r="EV50" s="542"/>
      <c r="EW50" s="542"/>
      <c r="EX50" s="542"/>
      <c r="EY50" s="542"/>
      <c r="EZ50" s="542"/>
      <c r="FA50" s="542"/>
      <c r="FB50" s="542"/>
      <c r="FC50" s="542"/>
      <c r="FD50" s="542"/>
      <c r="FE50" s="542"/>
      <c r="FF50" s="542"/>
      <c r="FG50" s="542"/>
      <c r="FH50" s="542"/>
      <c r="FI50" s="542"/>
      <c r="FJ50" s="542"/>
      <c r="FK50" s="542"/>
      <c r="FL50" s="542"/>
      <c r="FM50" s="542"/>
      <c r="FN50" s="542"/>
      <c r="FO50" s="542"/>
      <c r="FP50" s="542"/>
      <c r="FQ50" s="542"/>
      <c r="FR50" s="542"/>
      <c r="FS50" s="542"/>
      <c r="FT50" s="542"/>
      <c r="FU50" s="542"/>
      <c r="FV50" s="542"/>
      <c r="FW50" s="542"/>
      <c r="FX50" s="542"/>
      <c r="FY50" s="542"/>
      <c r="FZ50" s="542"/>
      <c r="GA50" s="542"/>
      <c r="GB50" s="542"/>
      <c r="GC50" s="542"/>
      <c r="GD50" s="542"/>
      <c r="GE50" s="542"/>
      <c r="GF50" s="542"/>
      <c r="GG50" s="542"/>
      <c r="GH50" s="542"/>
      <c r="GI50" s="542"/>
      <c r="GJ50" s="542"/>
      <c r="GK50" s="542"/>
      <c r="GL50" s="542"/>
      <c r="GM50" s="542"/>
      <c r="GN50" s="542"/>
      <c r="GO50" s="542"/>
      <c r="GP50" s="542"/>
      <c r="GQ50" s="542"/>
      <c r="GR50" s="542"/>
      <c r="GS50" s="542"/>
      <c r="GT50" s="542"/>
      <c r="GU50" s="542"/>
      <c r="GV50" s="542"/>
      <c r="GW50" s="542"/>
      <c r="GX50" s="542"/>
      <c r="GY50" s="542"/>
      <c r="GZ50" s="542"/>
      <c r="HA50" s="542"/>
      <c r="HB50" s="542"/>
      <c r="HC50" s="542"/>
      <c r="HD50" s="542"/>
      <c r="HE50" s="542"/>
      <c r="HF50" s="542"/>
      <c r="HG50" s="542"/>
      <c r="HH50" s="542"/>
      <c r="HI50" s="542"/>
      <c r="HJ50" s="542"/>
      <c r="HK50" s="542"/>
      <c r="HL50" s="542"/>
      <c r="HM50" s="542"/>
      <c r="HN50" s="542"/>
      <c r="HO50" s="542"/>
      <c r="HP50" s="542"/>
      <c r="HQ50" s="542"/>
      <c r="HR50" s="542"/>
      <c r="HS50" s="542"/>
      <c r="HT50" s="542"/>
      <c r="HU50" s="542"/>
      <c r="HV50" s="542"/>
      <c r="HW50" s="542"/>
      <c r="HX50" s="542"/>
      <c r="HY50" s="542"/>
      <c r="HZ50" s="542"/>
      <c r="IA50" s="542"/>
      <c r="IB50" s="542"/>
      <c r="IC50" s="542"/>
      <c r="ID50" s="542"/>
      <c r="IE50" s="542"/>
      <c r="IF50" s="542"/>
      <c r="IG50" s="542"/>
      <c r="IH50" s="542"/>
      <c r="II50" s="542"/>
      <c r="IJ50" s="542"/>
      <c r="IK50" s="542"/>
      <c r="IL50" s="542"/>
      <c r="IM50" s="542"/>
      <c r="IN50" s="542"/>
      <c r="IO50" s="542"/>
      <c r="IP50" s="542"/>
      <c r="IQ50" s="542"/>
      <c r="IR50" s="542"/>
      <c r="IS50" s="542"/>
      <c r="IT50" s="542"/>
      <c r="IU50" s="542"/>
      <c r="IV50" s="542"/>
      <c r="IW50" s="542"/>
      <c r="IX50" s="542"/>
      <c r="IY50" s="542"/>
      <c r="IZ50" s="542"/>
      <c r="JA50" s="542"/>
      <c r="JB50" s="542"/>
    </row>
    <row r="51" spans="1:262" ht="13.8" hidden="1">
      <c r="A51" s="1495"/>
      <c r="B51" s="550"/>
      <c r="C51" s="550"/>
      <c r="D51" s="1333"/>
      <c r="E51" s="550"/>
      <c r="F51" s="439"/>
      <c r="G51" s="440"/>
      <c r="H51" s="439"/>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1383"/>
      <c r="CX51" s="557"/>
      <c r="CZ51" s="542"/>
      <c r="DA51" s="542"/>
      <c r="DB51" s="542"/>
      <c r="DC51" s="542"/>
      <c r="DD51" s="542"/>
      <c r="DE51" s="542"/>
      <c r="DF51" s="542"/>
      <c r="DG51" s="542"/>
      <c r="DH51" s="542"/>
      <c r="DI51" s="542"/>
      <c r="DJ51" s="542"/>
      <c r="DK51" s="542"/>
      <c r="DL51" s="542"/>
      <c r="DM51" s="542"/>
      <c r="DN51" s="542"/>
      <c r="DO51" s="542"/>
      <c r="DP51" s="542"/>
      <c r="DQ51" s="542"/>
      <c r="DR51" s="542"/>
      <c r="DS51" s="542"/>
      <c r="DT51" s="542"/>
      <c r="DU51" s="542"/>
      <c r="DV51" s="542"/>
      <c r="DW51" s="542"/>
      <c r="DX51" s="542"/>
      <c r="DY51" s="542"/>
      <c r="DZ51" s="542"/>
      <c r="EA51" s="542"/>
      <c r="EB51" s="542"/>
      <c r="EC51" s="542"/>
      <c r="ED51" s="542"/>
      <c r="EE51" s="542"/>
      <c r="EF51" s="542"/>
      <c r="EG51" s="542"/>
      <c r="EH51" s="542"/>
      <c r="EI51" s="542"/>
      <c r="EJ51" s="542"/>
      <c r="EK51" s="542"/>
      <c r="EL51" s="542"/>
      <c r="EM51" s="542"/>
      <c r="EN51" s="542"/>
      <c r="EO51" s="542"/>
      <c r="EP51" s="542"/>
      <c r="EQ51" s="542"/>
      <c r="ER51" s="542"/>
      <c r="ES51" s="542"/>
      <c r="ET51" s="542"/>
      <c r="EU51" s="542"/>
      <c r="EV51" s="542"/>
      <c r="EW51" s="542"/>
      <c r="EX51" s="542"/>
      <c r="EY51" s="542"/>
      <c r="EZ51" s="542"/>
      <c r="FA51" s="542"/>
      <c r="FB51" s="542"/>
      <c r="FC51" s="542"/>
      <c r="FD51" s="542"/>
      <c r="FE51" s="542"/>
      <c r="FF51" s="542"/>
      <c r="FG51" s="542"/>
      <c r="FH51" s="542"/>
      <c r="FI51" s="542"/>
      <c r="FJ51" s="542"/>
      <c r="FK51" s="542"/>
      <c r="FL51" s="542"/>
      <c r="FM51" s="542"/>
      <c r="FN51" s="542"/>
      <c r="FO51" s="542"/>
      <c r="FP51" s="542"/>
      <c r="FQ51" s="542"/>
      <c r="FR51" s="542"/>
      <c r="FS51" s="542"/>
      <c r="FT51" s="542"/>
      <c r="FU51" s="542"/>
      <c r="FV51" s="542"/>
      <c r="FW51" s="542"/>
      <c r="FX51" s="542"/>
      <c r="FY51" s="542"/>
      <c r="FZ51" s="542"/>
      <c r="GA51" s="542"/>
      <c r="GB51" s="542"/>
      <c r="GC51" s="542"/>
      <c r="GD51" s="542"/>
      <c r="GE51" s="542"/>
      <c r="GF51" s="542"/>
      <c r="GG51" s="542"/>
      <c r="GH51" s="542"/>
      <c r="GI51" s="542"/>
      <c r="GJ51" s="542"/>
      <c r="GK51" s="542"/>
      <c r="GL51" s="542"/>
      <c r="GM51" s="542"/>
      <c r="GN51" s="542"/>
      <c r="GO51" s="542"/>
      <c r="GP51" s="542"/>
      <c r="GQ51" s="542"/>
      <c r="GR51" s="542"/>
      <c r="GS51" s="542"/>
      <c r="GT51" s="542"/>
      <c r="GU51" s="542"/>
      <c r="GV51" s="542"/>
      <c r="GW51" s="542"/>
      <c r="GX51" s="542"/>
      <c r="GY51" s="542"/>
      <c r="GZ51" s="542"/>
      <c r="HA51" s="542"/>
      <c r="HB51" s="542"/>
      <c r="HC51" s="542"/>
      <c r="HD51" s="542"/>
      <c r="HE51" s="542"/>
      <c r="HF51" s="542"/>
      <c r="HG51" s="542"/>
      <c r="HH51" s="542"/>
      <c r="HI51" s="542"/>
      <c r="HJ51" s="542"/>
      <c r="HK51" s="542"/>
      <c r="HL51" s="542"/>
      <c r="HM51" s="542"/>
      <c r="HN51" s="542"/>
      <c r="HO51" s="542"/>
      <c r="HP51" s="542"/>
      <c r="HQ51" s="542"/>
      <c r="HR51" s="542"/>
      <c r="HS51" s="542"/>
      <c r="HT51" s="542"/>
      <c r="HU51" s="542"/>
      <c r="HV51" s="542"/>
      <c r="HW51" s="542"/>
      <c r="HX51" s="542"/>
      <c r="HY51" s="542"/>
      <c r="HZ51" s="542"/>
      <c r="IA51" s="542"/>
      <c r="IB51" s="542"/>
      <c r="IC51" s="542"/>
      <c r="ID51" s="542"/>
      <c r="IE51" s="542"/>
      <c r="IF51" s="542"/>
      <c r="IG51" s="542"/>
      <c r="IH51" s="542"/>
      <c r="II51" s="542"/>
      <c r="IJ51" s="542"/>
      <c r="IK51" s="542"/>
      <c r="IL51" s="542"/>
      <c r="IM51" s="542"/>
      <c r="IN51" s="542"/>
      <c r="IO51" s="542"/>
      <c r="IP51" s="542"/>
      <c r="IQ51" s="542"/>
      <c r="IR51" s="542"/>
      <c r="IS51" s="542"/>
      <c r="IT51" s="542"/>
      <c r="IU51" s="542"/>
      <c r="IV51" s="542"/>
      <c r="IW51" s="542"/>
      <c r="IX51" s="542"/>
      <c r="IY51" s="542"/>
      <c r="IZ51" s="542"/>
      <c r="JA51" s="542"/>
      <c r="JB51" s="542"/>
    </row>
    <row r="52" spans="1:262" ht="13.8" hidden="1">
      <c r="A52" s="1495"/>
      <c r="B52" s="550"/>
      <c r="C52" s="550"/>
      <c r="D52" s="1333"/>
      <c r="E52" s="550"/>
      <c r="F52" s="439"/>
      <c r="G52" s="440"/>
      <c r="H52" s="439"/>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1383"/>
      <c r="CX52" s="557"/>
      <c r="CZ52" s="542"/>
      <c r="DA52" s="542"/>
      <c r="DB52" s="542"/>
      <c r="DC52" s="542"/>
      <c r="DD52" s="542"/>
      <c r="DE52" s="542"/>
      <c r="DF52" s="542"/>
      <c r="DG52" s="542"/>
      <c r="DH52" s="542"/>
      <c r="DI52" s="542"/>
      <c r="DJ52" s="542"/>
      <c r="DK52" s="542"/>
      <c r="DL52" s="542"/>
      <c r="DM52" s="542"/>
      <c r="DN52" s="542"/>
      <c r="DO52" s="542"/>
      <c r="DP52" s="542"/>
      <c r="DQ52" s="542"/>
      <c r="DR52" s="542"/>
      <c r="DS52" s="542"/>
      <c r="DT52" s="542"/>
      <c r="DU52" s="542"/>
      <c r="DV52" s="542"/>
      <c r="DW52" s="542"/>
      <c r="DX52" s="542"/>
      <c r="DY52" s="542"/>
      <c r="DZ52" s="542"/>
      <c r="EA52" s="542"/>
      <c r="EB52" s="542"/>
      <c r="EC52" s="542"/>
      <c r="ED52" s="542"/>
      <c r="EE52" s="542"/>
      <c r="EF52" s="542"/>
      <c r="EG52" s="542"/>
      <c r="EH52" s="542"/>
      <c r="EI52" s="542"/>
      <c r="EJ52" s="542"/>
      <c r="EK52" s="542"/>
      <c r="EL52" s="542"/>
      <c r="EM52" s="542"/>
      <c r="EN52" s="542"/>
      <c r="EO52" s="542"/>
      <c r="EP52" s="542"/>
      <c r="EQ52" s="542"/>
      <c r="ER52" s="542"/>
      <c r="ES52" s="542"/>
      <c r="ET52" s="542"/>
      <c r="EU52" s="542"/>
      <c r="EV52" s="542"/>
      <c r="EW52" s="542"/>
      <c r="EX52" s="542"/>
      <c r="EY52" s="542"/>
      <c r="EZ52" s="542"/>
      <c r="FA52" s="542"/>
      <c r="FB52" s="542"/>
      <c r="FC52" s="542"/>
      <c r="FD52" s="542"/>
      <c r="FE52" s="542"/>
      <c r="FF52" s="542"/>
      <c r="FG52" s="542"/>
      <c r="FH52" s="542"/>
      <c r="FI52" s="542"/>
      <c r="FJ52" s="542"/>
      <c r="FK52" s="542"/>
      <c r="FL52" s="542"/>
      <c r="FM52" s="542"/>
      <c r="FN52" s="542"/>
      <c r="FO52" s="542"/>
      <c r="FP52" s="542"/>
      <c r="FQ52" s="542"/>
      <c r="FR52" s="542"/>
      <c r="FS52" s="542"/>
      <c r="FT52" s="542"/>
      <c r="FU52" s="542"/>
      <c r="FV52" s="542"/>
      <c r="FW52" s="542"/>
      <c r="FX52" s="542"/>
      <c r="FY52" s="542"/>
      <c r="FZ52" s="542"/>
      <c r="GA52" s="542"/>
      <c r="GB52" s="542"/>
      <c r="GC52" s="542"/>
      <c r="GD52" s="542"/>
      <c r="GE52" s="542"/>
      <c r="GF52" s="542"/>
      <c r="GG52" s="542"/>
      <c r="GH52" s="542"/>
      <c r="GI52" s="542"/>
      <c r="GJ52" s="542"/>
      <c r="GK52" s="542"/>
      <c r="GL52" s="542"/>
      <c r="GM52" s="542"/>
      <c r="GN52" s="542"/>
      <c r="GO52" s="542"/>
      <c r="GP52" s="542"/>
      <c r="GQ52" s="542"/>
      <c r="GR52" s="542"/>
      <c r="GS52" s="542"/>
      <c r="GT52" s="542"/>
      <c r="GU52" s="542"/>
      <c r="GV52" s="542"/>
      <c r="GW52" s="542"/>
      <c r="GX52" s="542"/>
      <c r="GY52" s="542"/>
      <c r="GZ52" s="542"/>
      <c r="HA52" s="542"/>
      <c r="HB52" s="542"/>
      <c r="HC52" s="542"/>
      <c r="HD52" s="542"/>
      <c r="HE52" s="542"/>
      <c r="HF52" s="542"/>
      <c r="HG52" s="542"/>
      <c r="HH52" s="542"/>
      <c r="HI52" s="542"/>
      <c r="HJ52" s="542"/>
      <c r="HK52" s="542"/>
      <c r="HL52" s="542"/>
      <c r="HM52" s="542"/>
      <c r="HN52" s="542"/>
      <c r="HO52" s="542"/>
      <c r="HP52" s="542"/>
      <c r="HQ52" s="542"/>
      <c r="HR52" s="542"/>
      <c r="HS52" s="542"/>
      <c r="HT52" s="542"/>
      <c r="HU52" s="542"/>
      <c r="HV52" s="542"/>
      <c r="HW52" s="542"/>
      <c r="HX52" s="542"/>
      <c r="HY52" s="542"/>
      <c r="HZ52" s="542"/>
      <c r="IA52" s="542"/>
      <c r="IB52" s="542"/>
      <c r="IC52" s="542"/>
      <c r="ID52" s="542"/>
      <c r="IE52" s="542"/>
      <c r="IF52" s="542"/>
      <c r="IG52" s="542"/>
      <c r="IH52" s="542"/>
      <c r="II52" s="542"/>
      <c r="IJ52" s="542"/>
      <c r="IK52" s="542"/>
      <c r="IL52" s="542"/>
      <c r="IM52" s="542"/>
      <c r="IN52" s="542"/>
      <c r="IO52" s="542"/>
      <c r="IP52" s="542"/>
      <c r="IQ52" s="542"/>
      <c r="IR52" s="542"/>
      <c r="IS52" s="542"/>
      <c r="IT52" s="542"/>
      <c r="IU52" s="542"/>
      <c r="IV52" s="542"/>
      <c r="IW52" s="542"/>
      <c r="IX52" s="542"/>
      <c r="IY52" s="542"/>
      <c r="IZ52" s="542"/>
      <c r="JA52" s="542"/>
      <c r="JB52" s="542"/>
    </row>
    <row r="53" spans="1:262" ht="13.8" hidden="1">
      <c r="A53" s="1495"/>
      <c r="B53" s="550"/>
      <c r="C53" s="550"/>
      <c r="D53" s="1333"/>
      <c r="E53" s="550"/>
      <c r="F53" s="439"/>
      <c r="G53" s="440"/>
      <c r="H53" s="439"/>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1383"/>
      <c r="CX53" s="557"/>
      <c r="CZ53" s="542"/>
      <c r="DA53" s="542"/>
      <c r="DB53" s="542"/>
      <c r="DC53" s="542"/>
      <c r="DD53" s="542"/>
      <c r="DE53" s="542"/>
      <c r="DF53" s="542"/>
      <c r="DG53" s="542"/>
      <c r="DH53" s="542"/>
      <c r="DI53" s="542"/>
      <c r="DJ53" s="542"/>
      <c r="DK53" s="542"/>
      <c r="DL53" s="542"/>
      <c r="DM53" s="542"/>
      <c r="DN53" s="542"/>
      <c r="DO53" s="542"/>
      <c r="DP53" s="542"/>
      <c r="DQ53" s="542"/>
      <c r="DR53" s="542"/>
      <c r="DS53" s="542"/>
      <c r="DT53" s="542"/>
      <c r="DU53" s="542"/>
      <c r="DV53" s="542"/>
      <c r="DW53" s="542"/>
      <c r="DX53" s="542"/>
      <c r="DY53" s="542"/>
      <c r="DZ53" s="542"/>
      <c r="EA53" s="542"/>
      <c r="EB53" s="542"/>
      <c r="EC53" s="542"/>
      <c r="ED53" s="542"/>
      <c r="EE53" s="542"/>
      <c r="EF53" s="542"/>
      <c r="EG53" s="542"/>
      <c r="EH53" s="542"/>
      <c r="EI53" s="542"/>
      <c r="EJ53" s="542"/>
      <c r="EK53" s="542"/>
      <c r="EL53" s="542"/>
      <c r="EM53" s="542"/>
      <c r="EN53" s="542"/>
      <c r="EO53" s="542"/>
      <c r="EP53" s="542"/>
      <c r="EQ53" s="542"/>
      <c r="ER53" s="542"/>
      <c r="ES53" s="542"/>
      <c r="ET53" s="542"/>
      <c r="EU53" s="542"/>
      <c r="EV53" s="542"/>
      <c r="EW53" s="542"/>
      <c r="EX53" s="542"/>
      <c r="EY53" s="542"/>
      <c r="EZ53" s="542"/>
      <c r="FA53" s="542"/>
      <c r="FB53" s="542"/>
      <c r="FC53" s="542"/>
      <c r="FD53" s="542"/>
      <c r="FE53" s="542"/>
      <c r="FF53" s="542"/>
      <c r="FG53" s="542"/>
      <c r="FH53" s="542"/>
      <c r="FI53" s="542"/>
      <c r="FJ53" s="542"/>
      <c r="FK53" s="542"/>
      <c r="FL53" s="542"/>
      <c r="FM53" s="542"/>
      <c r="FN53" s="542"/>
      <c r="FO53" s="542"/>
      <c r="FP53" s="542"/>
      <c r="FQ53" s="542"/>
      <c r="FR53" s="542"/>
      <c r="FS53" s="542"/>
      <c r="FT53" s="542"/>
      <c r="FU53" s="542"/>
      <c r="FV53" s="542"/>
      <c r="FW53" s="542"/>
      <c r="FX53" s="542"/>
      <c r="FY53" s="542"/>
      <c r="FZ53" s="542"/>
      <c r="GA53" s="542"/>
      <c r="GB53" s="542"/>
      <c r="GC53" s="542"/>
      <c r="GD53" s="542"/>
      <c r="GE53" s="542"/>
      <c r="GF53" s="542"/>
      <c r="GG53" s="542"/>
      <c r="GH53" s="542"/>
      <c r="GI53" s="542"/>
      <c r="GJ53" s="542"/>
      <c r="GK53" s="542"/>
      <c r="GL53" s="542"/>
      <c r="GM53" s="542"/>
      <c r="GN53" s="542"/>
      <c r="GO53" s="542"/>
      <c r="GP53" s="542"/>
      <c r="GQ53" s="542"/>
      <c r="GR53" s="542"/>
      <c r="GS53" s="542"/>
      <c r="GT53" s="542"/>
      <c r="GU53" s="542"/>
      <c r="GV53" s="542"/>
      <c r="GW53" s="542"/>
      <c r="GX53" s="542"/>
      <c r="GY53" s="542"/>
      <c r="GZ53" s="542"/>
      <c r="HA53" s="542"/>
      <c r="HB53" s="542"/>
      <c r="HC53" s="542"/>
      <c r="HD53" s="542"/>
      <c r="HE53" s="542"/>
      <c r="HF53" s="542"/>
      <c r="HG53" s="542"/>
      <c r="HH53" s="542"/>
      <c r="HI53" s="542"/>
      <c r="HJ53" s="542"/>
      <c r="HK53" s="542"/>
      <c r="HL53" s="542"/>
      <c r="HM53" s="542"/>
      <c r="HN53" s="542"/>
      <c r="HO53" s="542"/>
      <c r="HP53" s="542"/>
      <c r="HQ53" s="542"/>
      <c r="HR53" s="542"/>
      <c r="HS53" s="542"/>
      <c r="HT53" s="542"/>
      <c r="HU53" s="542"/>
      <c r="HV53" s="542"/>
      <c r="HW53" s="542"/>
      <c r="HX53" s="542"/>
      <c r="HY53" s="542"/>
      <c r="HZ53" s="542"/>
      <c r="IA53" s="542"/>
      <c r="IB53" s="542"/>
      <c r="IC53" s="542"/>
      <c r="ID53" s="542"/>
      <c r="IE53" s="542"/>
      <c r="IF53" s="542"/>
      <c r="IG53" s="542"/>
      <c r="IH53" s="542"/>
      <c r="II53" s="542"/>
      <c r="IJ53" s="542"/>
      <c r="IK53" s="542"/>
      <c r="IL53" s="542"/>
      <c r="IM53" s="542"/>
      <c r="IN53" s="542"/>
      <c r="IO53" s="542"/>
      <c r="IP53" s="542"/>
      <c r="IQ53" s="542"/>
      <c r="IR53" s="542"/>
      <c r="IS53" s="542"/>
      <c r="IT53" s="542"/>
      <c r="IU53" s="542"/>
      <c r="IV53" s="542"/>
      <c r="IW53" s="542"/>
      <c r="IX53" s="542"/>
      <c r="IY53" s="542"/>
      <c r="IZ53" s="542"/>
      <c r="JA53" s="542"/>
      <c r="JB53" s="542"/>
    </row>
    <row r="54" spans="1:262" ht="13.8" hidden="1">
      <c r="A54" s="1495"/>
      <c r="B54" s="550"/>
      <c r="C54" s="550"/>
      <c r="D54" s="1333"/>
      <c r="E54" s="550"/>
      <c r="F54" s="439"/>
      <c r="G54" s="440"/>
      <c r="H54" s="439"/>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1383"/>
      <c r="CX54" s="557"/>
      <c r="CZ54" s="542"/>
      <c r="DA54" s="542"/>
      <c r="DB54" s="542"/>
      <c r="DC54" s="542"/>
      <c r="DD54" s="542"/>
      <c r="DE54" s="542"/>
      <c r="DF54" s="542"/>
      <c r="DG54" s="542"/>
      <c r="DH54" s="542"/>
      <c r="DI54" s="542"/>
      <c r="DJ54" s="542"/>
      <c r="DK54" s="542"/>
      <c r="DL54" s="542"/>
      <c r="DM54" s="542"/>
      <c r="DN54" s="542"/>
      <c r="DO54" s="542"/>
      <c r="DP54" s="542"/>
      <c r="DQ54" s="542"/>
      <c r="DR54" s="542"/>
      <c r="DS54" s="542"/>
      <c r="DT54" s="542"/>
      <c r="DU54" s="542"/>
      <c r="DV54" s="542"/>
      <c r="DW54" s="542"/>
      <c r="DX54" s="542"/>
      <c r="DY54" s="542"/>
      <c r="DZ54" s="542"/>
      <c r="EA54" s="542"/>
      <c r="EB54" s="542"/>
      <c r="EC54" s="542"/>
      <c r="ED54" s="542"/>
      <c r="EE54" s="542"/>
      <c r="EF54" s="542"/>
      <c r="EG54" s="542"/>
      <c r="EH54" s="542"/>
      <c r="EI54" s="542"/>
      <c r="EJ54" s="542"/>
      <c r="EK54" s="542"/>
      <c r="EL54" s="542"/>
      <c r="EM54" s="542"/>
      <c r="EN54" s="542"/>
      <c r="EO54" s="542"/>
      <c r="EP54" s="542"/>
      <c r="EQ54" s="542"/>
      <c r="ER54" s="542"/>
      <c r="ES54" s="542"/>
      <c r="ET54" s="542"/>
      <c r="EU54" s="542"/>
      <c r="EV54" s="542"/>
      <c r="EW54" s="542"/>
      <c r="EX54" s="542"/>
      <c r="EY54" s="542"/>
      <c r="EZ54" s="542"/>
      <c r="FA54" s="542"/>
      <c r="FB54" s="542"/>
      <c r="FC54" s="542"/>
      <c r="FD54" s="542"/>
      <c r="FE54" s="542"/>
      <c r="FF54" s="542"/>
      <c r="FG54" s="542"/>
      <c r="FH54" s="542"/>
      <c r="FI54" s="542"/>
      <c r="FJ54" s="542"/>
      <c r="FK54" s="542"/>
      <c r="FL54" s="542"/>
      <c r="FM54" s="542"/>
      <c r="FN54" s="542"/>
      <c r="FO54" s="542"/>
      <c r="FP54" s="542"/>
      <c r="FQ54" s="542"/>
      <c r="FR54" s="542"/>
      <c r="FS54" s="542"/>
      <c r="FT54" s="542"/>
      <c r="FU54" s="542"/>
      <c r="FV54" s="542"/>
      <c r="FW54" s="542"/>
      <c r="FX54" s="542"/>
      <c r="FY54" s="542"/>
      <c r="FZ54" s="542"/>
      <c r="GA54" s="542"/>
      <c r="GB54" s="542"/>
      <c r="GC54" s="542"/>
      <c r="GD54" s="542"/>
      <c r="GE54" s="542"/>
      <c r="GF54" s="542"/>
      <c r="GG54" s="542"/>
      <c r="GH54" s="542"/>
      <c r="GI54" s="542"/>
      <c r="GJ54" s="542"/>
      <c r="GK54" s="542"/>
      <c r="GL54" s="542"/>
      <c r="GM54" s="542"/>
      <c r="GN54" s="542"/>
      <c r="GO54" s="542"/>
      <c r="GP54" s="542"/>
      <c r="GQ54" s="542"/>
      <c r="GR54" s="542"/>
      <c r="GS54" s="542"/>
      <c r="GT54" s="542"/>
      <c r="GU54" s="542"/>
      <c r="GV54" s="542"/>
      <c r="GW54" s="542"/>
      <c r="GX54" s="542"/>
      <c r="GY54" s="542"/>
      <c r="GZ54" s="542"/>
      <c r="HA54" s="542"/>
      <c r="HB54" s="542"/>
      <c r="HC54" s="542"/>
      <c r="HD54" s="542"/>
      <c r="HE54" s="542"/>
      <c r="HF54" s="542"/>
      <c r="HG54" s="542"/>
      <c r="HH54" s="542"/>
      <c r="HI54" s="542"/>
      <c r="HJ54" s="542"/>
      <c r="HK54" s="542"/>
      <c r="HL54" s="542"/>
      <c r="HM54" s="542"/>
      <c r="HN54" s="542"/>
      <c r="HO54" s="542"/>
      <c r="HP54" s="542"/>
      <c r="HQ54" s="542"/>
      <c r="HR54" s="542"/>
      <c r="HS54" s="542"/>
      <c r="HT54" s="542"/>
      <c r="HU54" s="542"/>
      <c r="HV54" s="542"/>
      <c r="HW54" s="542"/>
      <c r="HX54" s="542"/>
      <c r="HY54" s="542"/>
      <c r="HZ54" s="542"/>
      <c r="IA54" s="542"/>
      <c r="IB54" s="542"/>
      <c r="IC54" s="542"/>
      <c r="ID54" s="542"/>
      <c r="IE54" s="542"/>
      <c r="IF54" s="542"/>
      <c r="IG54" s="542"/>
      <c r="IH54" s="542"/>
      <c r="II54" s="542"/>
      <c r="IJ54" s="542"/>
      <c r="IK54" s="542"/>
      <c r="IL54" s="542"/>
      <c r="IM54" s="542"/>
      <c r="IN54" s="542"/>
      <c r="IO54" s="542"/>
      <c r="IP54" s="542"/>
      <c r="IQ54" s="542"/>
      <c r="IR54" s="542"/>
      <c r="IS54" s="542"/>
      <c r="IT54" s="542"/>
      <c r="IU54" s="542"/>
      <c r="IV54" s="542"/>
      <c r="IW54" s="542"/>
      <c r="IX54" s="542"/>
      <c r="IY54" s="542"/>
      <c r="IZ54" s="542"/>
      <c r="JA54" s="542"/>
      <c r="JB54" s="542"/>
    </row>
    <row r="55" spans="1:262" ht="13.8" hidden="1">
      <c r="A55" s="1495"/>
      <c r="B55" s="550"/>
      <c r="C55" s="550"/>
      <c r="D55" s="1333"/>
      <c r="E55" s="550"/>
      <c r="F55" s="439"/>
      <c r="G55" s="440"/>
      <c r="H55" s="439"/>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1383"/>
      <c r="CX55" s="557"/>
      <c r="CZ55" s="542"/>
      <c r="DA55" s="542"/>
      <c r="DB55" s="542"/>
      <c r="DC55" s="542"/>
      <c r="DD55" s="542"/>
      <c r="DE55" s="542"/>
      <c r="DF55" s="542"/>
      <c r="DG55" s="542"/>
      <c r="DH55" s="542"/>
      <c r="DI55" s="542"/>
      <c r="DJ55" s="542"/>
      <c r="DK55" s="542"/>
      <c r="DL55" s="542"/>
      <c r="DM55" s="542"/>
      <c r="DN55" s="542"/>
      <c r="DO55" s="542"/>
      <c r="DP55" s="542"/>
      <c r="DQ55" s="542"/>
      <c r="DR55" s="542"/>
      <c r="DS55" s="542"/>
      <c r="DT55" s="542"/>
      <c r="DU55" s="542"/>
      <c r="DV55" s="542"/>
      <c r="DW55" s="542"/>
      <c r="DX55" s="542"/>
      <c r="DY55" s="542"/>
      <c r="DZ55" s="542"/>
      <c r="EA55" s="542"/>
      <c r="EB55" s="542"/>
      <c r="EC55" s="542"/>
      <c r="ED55" s="542"/>
      <c r="EE55" s="542"/>
      <c r="EF55" s="542"/>
      <c r="EG55" s="542"/>
      <c r="EH55" s="542"/>
      <c r="EI55" s="542"/>
      <c r="EJ55" s="542"/>
      <c r="EK55" s="542"/>
      <c r="EL55" s="542"/>
      <c r="EM55" s="542"/>
      <c r="EN55" s="542"/>
      <c r="EO55" s="542"/>
      <c r="EP55" s="542"/>
      <c r="EQ55" s="542"/>
      <c r="ER55" s="542"/>
      <c r="ES55" s="542"/>
      <c r="ET55" s="542"/>
      <c r="EU55" s="542"/>
      <c r="EV55" s="542"/>
      <c r="EW55" s="542"/>
      <c r="EX55" s="542"/>
      <c r="EY55" s="542"/>
      <c r="EZ55" s="542"/>
      <c r="FA55" s="542"/>
      <c r="FB55" s="542"/>
      <c r="FC55" s="542"/>
      <c r="FD55" s="542"/>
      <c r="FE55" s="542"/>
      <c r="FF55" s="542"/>
      <c r="FG55" s="542"/>
      <c r="FH55" s="542"/>
      <c r="FI55" s="542"/>
      <c r="FJ55" s="542"/>
      <c r="FK55" s="542"/>
      <c r="FL55" s="542"/>
      <c r="FM55" s="542"/>
      <c r="FN55" s="542"/>
      <c r="FO55" s="542"/>
      <c r="FP55" s="542"/>
      <c r="FQ55" s="542"/>
      <c r="FR55" s="542"/>
      <c r="FS55" s="542"/>
      <c r="FT55" s="542"/>
      <c r="FU55" s="542"/>
      <c r="FV55" s="542"/>
      <c r="FW55" s="542"/>
      <c r="FX55" s="542"/>
      <c r="FY55" s="542"/>
      <c r="FZ55" s="542"/>
      <c r="GA55" s="542"/>
      <c r="GB55" s="542"/>
      <c r="GC55" s="542"/>
      <c r="GD55" s="542"/>
      <c r="GE55" s="542"/>
      <c r="GF55" s="542"/>
      <c r="GG55" s="542"/>
      <c r="GH55" s="542"/>
      <c r="GI55" s="542"/>
      <c r="GJ55" s="542"/>
      <c r="GK55" s="542"/>
      <c r="GL55" s="542"/>
      <c r="GM55" s="542"/>
      <c r="GN55" s="542"/>
      <c r="GO55" s="542"/>
      <c r="GP55" s="542"/>
      <c r="GQ55" s="542"/>
      <c r="GR55" s="542"/>
      <c r="GS55" s="542"/>
      <c r="GT55" s="542"/>
      <c r="GU55" s="542"/>
      <c r="GV55" s="542"/>
      <c r="GW55" s="542"/>
      <c r="GX55" s="542"/>
      <c r="GY55" s="542"/>
      <c r="GZ55" s="542"/>
      <c r="HA55" s="542"/>
      <c r="HB55" s="542"/>
      <c r="HC55" s="542"/>
      <c r="HD55" s="542"/>
      <c r="HE55" s="542"/>
      <c r="HF55" s="542"/>
      <c r="HG55" s="542"/>
      <c r="HH55" s="542"/>
      <c r="HI55" s="542"/>
      <c r="HJ55" s="542"/>
      <c r="HK55" s="542"/>
      <c r="HL55" s="542"/>
      <c r="HM55" s="542"/>
      <c r="HN55" s="542"/>
      <c r="HO55" s="542"/>
      <c r="HP55" s="542"/>
      <c r="HQ55" s="542"/>
      <c r="HR55" s="542"/>
      <c r="HS55" s="542"/>
      <c r="HT55" s="542"/>
      <c r="HU55" s="542"/>
      <c r="HV55" s="542"/>
      <c r="HW55" s="542"/>
      <c r="HX55" s="542"/>
      <c r="HY55" s="542"/>
      <c r="HZ55" s="542"/>
      <c r="IA55" s="542"/>
      <c r="IB55" s="542"/>
      <c r="IC55" s="542"/>
      <c r="ID55" s="542"/>
      <c r="IE55" s="542"/>
      <c r="IF55" s="542"/>
      <c r="IG55" s="542"/>
      <c r="IH55" s="542"/>
      <c r="II55" s="542"/>
      <c r="IJ55" s="542"/>
      <c r="IK55" s="542"/>
      <c r="IL55" s="542"/>
      <c r="IM55" s="542"/>
      <c r="IN55" s="542"/>
      <c r="IO55" s="542"/>
      <c r="IP55" s="542"/>
      <c r="IQ55" s="542"/>
      <c r="IR55" s="542"/>
      <c r="IS55" s="542"/>
      <c r="IT55" s="542"/>
      <c r="IU55" s="542"/>
      <c r="IV55" s="542"/>
      <c r="IW55" s="542"/>
      <c r="IX55" s="542"/>
      <c r="IY55" s="542"/>
      <c r="IZ55" s="542"/>
      <c r="JA55" s="542"/>
      <c r="JB55" s="542"/>
    </row>
    <row r="56" spans="1:262" ht="13.8" hidden="1">
      <c r="A56" s="1495"/>
      <c r="B56" s="550"/>
      <c r="C56" s="550"/>
      <c r="D56" s="1333"/>
      <c r="E56" s="550"/>
      <c r="F56" s="439"/>
      <c r="G56" s="440"/>
      <c r="H56" s="439"/>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1383"/>
      <c r="CX56" s="557"/>
      <c r="CZ56" s="542"/>
      <c r="DA56" s="542"/>
      <c r="DB56" s="542"/>
      <c r="DC56" s="542"/>
      <c r="DD56" s="542"/>
      <c r="DE56" s="542"/>
      <c r="DF56" s="542"/>
      <c r="DG56" s="542"/>
      <c r="DH56" s="542"/>
      <c r="DI56" s="542"/>
      <c r="DJ56" s="542"/>
      <c r="DK56" s="542"/>
      <c r="DL56" s="542"/>
      <c r="DM56" s="542"/>
      <c r="DN56" s="542"/>
      <c r="DO56" s="542"/>
      <c r="DP56" s="542"/>
      <c r="DQ56" s="542"/>
      <c r="DR56" s="542"/>
      <c r="DS56" s="542"/>
      <c r="DT56" s="542"/>
      <c r="DU56" s="542"/>
      <c r="DV56" s="542"/>
      <c r="DW56" s="542"/>
      <c r="DX56" s="542"/>
      <c r="DY56" s="542"/>
      <c r="DZ56" s="542"/>
      <c r="EA56" s="542"/>
      <c r="EB56" s="542"/>
      <c r="EC56" s="542"/>
      <c r="ED56" s="542"/>
      <c r="EE56" s="542"/>
      <c r="EF56" s="542"/>
      <c r="EG56" s="542"/>
      <c r="EH56" s="542"/>
      <c r="EI56" s="542"/>
      <c r="EJ56" s="542"/>
      <c r="EK56" s="542"/>
      <c r="EL56" s="542"/>
      <c r="EM56" s="542"/>
      <c r="EN56" s="542"/>
      <c r="EO56" s="542"/>
      <c r="EP56" s="542"/>
      <c r="EQ56" s="542"/>
      <c r="ER56" s="542"/>
      <c r="ES56" s="542"/>
      <c r="ET56" s="542"/>
      <c r="EU56" s="542"/>
      <c r="EV56" s="542"/>
      <c r="EW56" s="542"/>
      <c r="EX56" s="542"/>
      <c r="EY56" s="542"/>
      <c r="EZ56" s="542"/>
      <c r="FA56" s="542"/>
      <c r="FB56" s="542"/>
      <c r="FC56" s="542"/>
      <c r="FD56" s="542"/>
      <c r="FE56" s="542"/>
      <c r="FF56" s="542"/>
      <c r="FG56" s="542"/>
      <c r="FH56" s="542"/>
      <c r="FI56" s="542"/>
      <c r="FJ56" s="542"/>
      <c r="FK56" s="542"/>
      <c r="FL56" s="542"/>
      <c r="FM56" s="542"/>
      <c r="FN56" s="542"/>
      <c r="FO56" s="542"/>
      <c r="FP56" s="542"/>
      <c r="FQ56" s="542"/>
      <c r="FR56" s="542"/>
      <c r="FS56" s="542"/>
      <c r="FT56" s="542"/>
      <c r="FU56" s="542"/>
      <c r="FV56" s="542"/>
      <c r="FW56" s="542"/>
      <c r="FX56" s="542"/>
      <c r="FY56" s="542"/>
      <c r="FZ56" s="542"/>
      <c r="GA56" s="542"/>
      <c r="GB56" s="542"/>
      <c r="GC56" s="542"/>
      <c r="GD56" s="542"/>
      <c r="GE56" s="542"/>
      <c r="GF56" s="542"/>
      <c r="GG56" s="542"/>
      <c r="GH56" s="542"/>
      <c r="GI56" s="542"/>
      <c r="GJ56" s="542"/>
      <c r="GK56" s="542"/>
      <c r="GL56" s="542"/>
      <c r="GM56" s="542"/>
      <c r="GN56" s="542"/>
      <c r="GO56" s="542"/>
      <c r="GP56" s="542"/>
      <c r="GQ56" s="542"/>
      <c r="GR56" s="542"/>
      <c r="GS56" s="542"/>
      <c r="GT56" s="542"/>
      <c r="GU56" s="542"/>
      <c r="GV56" s="542"/>
      <c r="GW56" s="542"/>
      <c r="GX56" s="542"/>
      <c r="GY56" s="542"/>
      <c r="GZ56" s="542"/>
      <c r="HA56" s="542"/>
      <c r="HB56" s="542"/>
      <c r="HC56" s="542"/>
      <c r="HD56" s="542"/>
      <c r="HE56" s="542"/>
      <c r="HF56" s="542"/>
      <c r="HG56" s="542"/>
      <c r="HH56" s="542"/>
      <c r="HI56" s="542"/>
      <c r="HJ56" s="542"/>
      <c r="HK56" s="542"/>
      <c r="HL56" s="542"/>
      <c r="HM56" s="542"/>
      <c r="HN56" s="542"/>
      <c r="HO56" s="542"/>
      <c r="HP56" s="542"/>
      <c r="HQ56" s="542"/>
      <c r="HR56" s="542"/>
      <c r="HS56" s="542"/>
      <c r="HT56" s="542"/>
      <c r="HU56" s="542"/>
      <c r="HV56" s="542"/>
      <c r="HW56" s="542"/>
      <c r="HX56" s="542"/>
      <c r="HY56" s="542"/>
      <c r="HZ56" s="542"/>
      <c r="IA56" s="542"/>
      <c r="IB56" s="542"/>
      <c r="IC56" s="542"/>
      <c r="ID56" s="542"/>
      <c r="IE56" s="542"/>
      <c r="IF56" s="542"/>
      <c r="IG56" s="542"/>
      <c r="IH56" s="542"/>
      <c r="II56" s="542"/>
      <c r="IJ56" s="542"/>
      <c r="IK56" s="542"/>
      <c r="IL56" s="542"/>
      <c r="IM56" s="542"/>
      <c r="IN56" s="542"/>
      <c r="IO56" s="542"/>
      <c r="IP56" s="542"/>
      <c r="IQ56" s="542"/>
      <c r="IR56" s="542"/>
      <c r="IS56" s="542"/>
      <c r="IT56" s="542"/>
      <c r="IU56" s="542"/>
      <c r="IV56" s="542"/>
      <c r="IW56" s="542"/>
      <c r="IX56" s="542"/>
      <c r="IY56" s="542"/>
      <c r="IZ56" s="542"/>
      <c r="JA56" s="542"/>
      <c r="JB56" s="542"/>
    </row>
    <row r="57" spans="1:262" ht="13.8" hidden="1">
      <c r="A57" s="1495"/>
      <c r="B57" s="550"/>
      <c r="C57" s="550"/>
      <c r="D57" s="1333"/>
      <c r="E57" s="550"/>
      <c r="F57" s="439"/>
      <c r="G57" s="440"/>
      <c r="H57" s="439"/>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1383"/>
      <c r="CX57" s="557"/>
      <c r="CZ57" s="542"/>
      <c r="DA57" s="542"/>
      <c r="DB57" s="542"/>
      <c r="DC57" s="542"/>
      <c r="DD57" s="542"/>
      <c r="DE57" s="542"/>
      <c r="DF57" s="542"/>
      <c r="DG57" s="542"/>
      <c r="DH57" s="542"/>
      <c r="DI57" s="542"/>
      <c r="DJ57" s="542"/>
      <c r="DK57" s="542"/>
      <c r="DL57" s="542"/>
      <c r="DM57" s="542"/>
      <c r="DN57" s="542"/>
      <c r="DO57" s="542"/>
      <c r="DP57" s="542"/>
      <c r="DQ57" s="542"/>
      <c r="DR57" s="542"/>
      <c r="DS57" s="542"/>
      <c r="DT57" s="542"/>
      <c r="DU57" s="542"/>
      <c r="DV57" s="542"/>
      <c r="DW57" s="542"/>
      <c r="DX57" s="542"/>
      <c r="DY57" s="542"/>
      <c r="DZ57" s="542"/>
      <c r="EA57" s="542"/>
      <c r="EB57" s="542"/>
      <c r="EC57" s="542"/>
      <c r="ED57" s="542"/>
      <c r="EE57" s="542"/>
      <c r="EF57" s="542"/>
      <c r="EG57" s="542"/>
      <c r="EH57" s="542"/>
      <c r="EI57" s="542"/>
      <c r="EJ57" s="542"/>
      <c r="EK57" s="542"/>
      <c r="EL57" s="542"/>
      <c r="EM57" s="542"/>
      <c r="EN57" s="542"/>
      <c r="EO57" s="542"/>
      <c r="EP57" s="542"/>
      <c r="EQ57" s="542"/>
      <c r="ER57" s="542"/>
      <c r="ES57" s="542"/>
      <c r="ET57" s="542"/>
      <c r="EU57" s="542"/>
      <c r="EV57" s="542"/>
      <c r="EW57" s="542"/>
      <c r="EX57" s="542"/>
      <c r="EY57" s="542"/>
      <c r="EZ57" s="542"/>
      <c r="FA57" s="542"/>
      <c r="FB57" s="542"/>
      <c r="FC57" s="542"/>
      <c r="FD57" s="542"/>
      <c r="FE57" s="542"/>
      <c r="FF57" s="542"/>
      <c r="FG57" s="542"/>
      <c r="FH57" s="542"/>
      <c r="FI57" s="542"/>
      <c r="FJ57" s="542"/>
      <c r="FK57" s="542"/>
      <c r="FL57" s="542"/>
      <c r="FM57" s="542"/>
      <c r="FN57" s="542"/>
      <c r="FO57" s="542"/>
      <c r="FP57" s="542"/>
      <c r="FQ57" s="542"/>
      <c r="FR57" s="542"/>
      <c r="FS57" s="542"/>
      <c r="FT57" s="542"/>
      <c r="FU57" s="542"/>
      <c r="FV57" s="542"/>
      <c r="FW57" s="542"/>
      <c r="FX57" s="542"/>
      <c r="FY57" s="542"/>
      <c r="FZ57" s="542"/>
      <c r="GA57" s="542"/>
      <c r="GB57" s="542"/>
      <c r="GC57" s="542"/>
      <c r="GD57" s="542"/>
      <c r="GE57" s="542"/>
      <c r="GF57" s="542"/>
      <c r="GG57" s="542"/>
      <c r="GH57" s="542"/>
      <c r="GI57" s="542"/>
      <c r="GJ57" s="542"/>
      <c r="GK57" s="542"/>
      <c r="GL57" s="542"/>
      <c r="GM57" s="542"/>
      <c r="GN57" s="542"/>
      <c r="GO57" s="542"/>
      <c r="GP57" s="542"/>
      <c r="GQ57" s="542"/>
      <c r="GR57" s="542"/>
      <c r="GS57" s="542"/>
      <c r="GT57" s="542"/>
      <c r="GU57" s="542"/>
      <c r="GV57" s="542"/>
      <c r="GW57" s="542"/>
      <c r="GX57" s="542"/>
      <c r="GY57" s="542"/>
      <c r="GZ57" s="542"/>
      <c r="HA57" s="542"/>
      <c r="HB57" s="542"/>
      <c r="HC57" s="542"/>
      <c r="HD57" s="542"/>
      <c r="HE57" s="542"/>
      <c r="HF57" s="542"/>
      <c r="HG57" s="542"/>
      <c r="HH57" s="542"/>
      <c r="HI57" s="542"/>
      <c r="HJ57" s="542"/>
      <c r="HK57" s="542"/>
      <c r="HL57" s="542"/>
      <c r="HM57" s="542"/>
      <c r="HN57" s="542"/>
      <c r="HO57" s="542"/>
      <c r="HP57" s="542"/>
      <c r="HQ57" s="542"/>
      <c r="HR57" s="542"/>
      <c r="HS57" s="542"/>
      <c r="HT57" s="542"/>
      <c r="HU57" s="542"/>
      <c r="HV57" s="542"/>
      <c r="HW57" s="542"/>
      <c r="HX57" s="542"/>
      <c r="HY57" s="542"/>
      <c r="HZ57" s="542"/>
      <c r="IA57" s="542"/>
      <c r="IB57" s="542"/>
      <c r="IC57" s="542"/>
      <c r="ID57" s="542"/>
      <c r="IE57" s="542"/>
      <c r="IF57" s="542"/>
      <c r="IG57" s="542"/>
      <c r="IH57" s="542"/>
      <c r="II57" s="542"/>
      <c r="IJ57" s="542"/>
      <c r="IK57" s="542"/>
      <c r="IL57" s="542"/>
      <c r="IM57" s="542"/>
      <c r="IN57" s="542"/>
      <c r="IO57" s="542"/>
      <c r="IP57" s="542"/>
      <c r="IQ57" s="542"/>
      <c r="IR57" s="542"/>
      <c r="IS57" s="542"/>
      <c r="IT57" s="542"/>
      <c r="IU57" s="542"/>
      <c r="IV57" s="542"/>
      <c r="IW57" s="542"/>
      <c r="IX57" s="542"/>
      <c r="IY57" s="542"/>
      <c r="IZ57" s="542"/>
      <c r="JA57" s="542"/>
      <c r="JB57" s="542"/>
    </row>
    <row r="58" spans="1:262" ht="13.8" hidden="1">
      <c r="A58" s="1495"/>
      <c r="B58" s="550"/>
      <c r="C58" s="550"/>
      <c r="D58" s="1333"/>
      <c r="E58" s="550"/>
      <c r="F58" s="439"/>
      <c r="G58" s="440"/>
      <c r="H58" s="439"/>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1383"/>
      <c r="CX58" s="557"/>
      <c r="CZ58" s="542"/>
      <c r="DA58" s="542"/>
      <c r="DB58" s="542"/>
      <c r="DC58" s="542"/>
      <c r="DD58" s="542"/>
      <c r="DE58" s="542"/>
      <c r="DF58" s="542"/>
      <c r="DG58" s="542"/>
      <c r="DH58" s="542"/>
      <c r="DI58" s="542"/>
      <c r="DJ58" s="542"/>
      <c r="DK58" s="542"/>
      <c r="DL58" s="542"/>
      <c r="DM58" s="542"/>
      <c r="DN58" s="542"/>
      <c r="DO58" s="542"/>
      <c r="DP58" s="542"/>
      <c r="DQ58" s="542"/>
      <c r="DR58" s="542"/>
      <c r="DS58" s="542"/>
      <c r="DT58" s="542"/>
      <c r="DU58" s="542"/>
      <c r="DV58" s="542"/>
      <c r="DW58" s="542"/>
      <c r="DX58" s="542"/>
      <c r="DY58" s="542"/>
      <c r="DZ58" s="542"/>
      <c r="EA58" s="542"/>
      <c r="EB58" s="542"/>
      <c r="EC58" s="542"/>
      <c r="ED58" s="542"/>
      <c r="EE58" s="542"/>
      <c r="EF58" s="542"/>
      <c r="EG58" s="542"/>
      <c r="EH58" s="542"/>
      <c r="EI58" s="542"/>
      <c r="EJ58" s="542"/>
      <c r="EK58" s="542"/>
      <c r="EL58" s="542"/>
      <c r="EM58" s="542"/>
      <c r="EN58" s="542"/>
      <c r="EO58" s="542"/>
      <c r="EP58" s="542"/>
      <c r="EQ58" s="542"/>
      <c r="ER58" s="542"/>
      <c r="ES58" s="542"/>
      <c r="ET58" s="542"/>
      <c r="EU58" s="542"/>
      <c r="EV58" s="542"/>
      <c r="EW58" s="542"/>
      <c r="EX58" s="542"/>
      <c r="EY58" s="542"/>
      <c r="EZ58" s="542"/>
      <c r="FA58" s="542"/>
      <c r="FB58" s="542"/>
      <c r="FC58" s="542"/>
      <c r="FD58" s="542"/>
      <c r="FE58" s="542"/>
      <c r="FF58" s="542"/>
      <c r="FG58" s="542"/>
      <c r="FH58" s="542"/>
      <c r="FI58" s="542"/>
      <c r="FJ58" s="542"/>
      <c r="FK58" s="542"/>
      <c r="FL58" s="542"/>
      <c r="FM58" s="542"/>
      <c r="FN58" s="542"/>
      <c r="FO58" s="542"/>
      <c r="FP58" s="542"/>
      <c r="FQ58" s="542"/>
      <c r="FR58" s="542"/>
      <c r="FS58" s="542"/>
      <c r="FT58" s="542"/>
      <c r="FU58" s="542"/>
      <c r="FV58" s="542"/>
      <c r="FW58" s="542"/>
      <c r="FX58" s="542"/>
      <c r="FY58" s="542"/>
      <c r="FZ58" s="542"/>
      <c r="GA58" s="542"/>
      <c r="GB58" s="542"/>
      <c r="GC58" s="542"/>
      <c r="GD58" s="542"/>
      <c r="GE58" s="542"/>
      <c r="GF58" s="542"/>
      <c r="GG58" s="542"/>
      <c r="GH58" s="542"/>
      <c r="GI58" s="542"/>
      <c r="GJ58" s="542"/>
      <c r="GK58" s="542"/>
      <c r="GL58" s="542"/>
      <c r="GM58" s="542"/>
      <c r="GN58" s="542"/>
      <c r="GO58" s="542"/>
      <c r="GP58" s="542"/>
      <c r="GQ58" s="542"/>
      <c r="GR58" s="542"/>
      <c r="GS58" s="542"/>
      <c r="GT58" s="542"/>
      <c r="GU58" s="542"/>
      <c r="GV58" s="542"/>
      <c r="GW58" s="542"/>
      <c r="GX58" s="542"/>
      <c r="GY58" s="542"/>
      <c r="GZ58" s="542"/>
      <c r="HA58" s="542"/>
      <c r="HB58" s="542"/>
      <c r="HC58" s="542"/>
      <c r="HD58" s="542"/>
      <c r="HE58" s="542"/>
      <c r="HF58" s="542"/>
      <c r="HG58" s="542"/>
      <c r="HH58" s="542"/>
      <c r="HI58" s="542"/>
      <c r="HJ58" s="542"/>
      <c r="HK58" s="542"/>
      <c r="HL58" s="542"/>
      <c r="HM58" s="542"/>
      <c r="HN58" s="542"/>
      <c r="HO58" s="542"/>
      <c r="HP58" s="542"/>
      <c r="HQ58" s="542"/>
      <c r="HR58" s="542"/>
      <c r="HS58" s="542"/>
      <c r="HT58" s="542"/>
      <c r="HU58" s="542"/>
      <c r="HV58" s="542"/>
      <c r="HW58" s="542"/>
      <c r="HX58" s="542"/>
      <c r="HY58" s="542"/>
      <c r="HZ58" s="542"/>
      <c r="IA58" s="542"/>
      <c r="IB58" s="542"/>
      <c r="IC58" s="542"/>
      <c r="ID58" s="542"/>
      <c r="IE58" s="542"/>
      <c r="IF58" s="542"/>
      <c r="IG58" s="542"/>
      <c r="IH58" s="542"/>
      <c r="II58" s="542"/>
      <c r="IJ58" s="542"/>
      <c r="IK58" s="542"/>
      <c r="IL58" s="542"/>
      <c r="IM58" s="542"/>
      <c r="IN58" s="542"/>
      <c r="IO58" s="542"/>
      <c r="IP58" s="542"/>
      <c r="IQ58" s="542"/>
      <c r="IR58" s="542"/>
      <c r="IS58" s="542"/>
      <c r="IT58" s="542"/>
      <c r="IU58" s="542"/>
      <c r="IV58" s="542"/>
      <c r="IW58" s="542"/>
      <c r="IX58" s="542"/>
      <c r="IY58" s="542"/>
      <c r="IZ58" s="542"/>
      <c r="JA58" s="542"/>
      <c r="JB58" s="542"/>
    </row>
    <row r="59" spans="1:262" ht="13.8" hidden="1">
      <c r="A59" s="1495"/>
      <c r="B59" s="550"/>
      <c r="C59" s="550"/>
      <c r="D59" s="1333"/>
      <c r="E59" s="550"/>
      <c r="F59" s="439"/>
      <c r="G59" s="440"/>
      <c r="H59" s="439"/>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1383"/>
      <c r="CX59" s="557"/>
      <c r="CZ59" s="542"/>
      <c r="DA59" s="542"/>
      <c r="DB59" s="542"/>
      <c r="DC59" s="542"/>
      <c r="DD59" s="542"/>
      <c r="DE59" s="542"/>
      <c r="DF59" s="542"/>
      <c r="DG59" s="542"/>
      <c r="DH59" s="542"/>
      <c r="DI59" s="542"/>
      <c r="DJ59" s="542"/>
      <c r="DK59" s="542"/>
      <c r="DL59" s="542"/>
      <c r="DM59" s="542"/>
      <c r="DN59" s="542"/>
      <c r="DO59" s="542"/>
      <c r="DP59" s="542"/>
      <c r="DQ59" s="542"/>
      <c r="DR59" s="542"/>
      <c r="DS59" s="542"/>
      <c r="DT59" s="542"/>
      <c r="DU59" s="542"/>
      <c r="DV59" s="542"/>
      <c r="DW59" s="542"/>
      <c r="DX59" s="542"/>
      <c r="DY59" s="542"/>
      <c r="DZ59" s="542"/>
      <c r="EA59" s="542"/>
      <c r="EB59" s="542"/>
      <c r="EC59" s="542"/>
      <c r="ED59" s="542"/>
      <c r="EE59" s="542"/>
      <c r="EF59" s="542"/>
      <c r="EG59" s="542"/>
      <c r="EH59" s="542"/>
      <c r="EI59" s="542"/>
      <c r="EJ59" s="542"/>
      <c r="EK59" s="542"/>
      <c r="EL59" s="542"/>
      <c r="EM59" s="542"/>
      <c r="EN59" s="542"/>
      <c r="EO59" s="542"/>
      <c r="EP59" s="542"/>
      <c r="EQ59" s="542"/>
      <c r="ER59" s="542"/>
      <c r="ES59" s="542"/>
      <c r="ET59" s="542"/>
      <c r="EU59" s="542"/>
      <c r="EV59" s="542"/>
      <c r="EW59" s="542"/>
      <c r="EX59" s="542"/>
      <c r="EY59" s="542"/>
      <c r="EZ59" s="542"/>
      <c r="FA59" s="542"/>
      <c r="FB59" s="542"/>
      <c r="FC59" s="542"/>
      <c r="FD59" s="542"/>
      <c r="FE59" s="542"/>
      <c r="FF59" s="542"/>
      <c r="FG59" s="542"/>
      <c r="FH59" s="542"/>
      <c r="FI59" s="542"/>
      <c r="FJ59" s="542"/>
      <c r="FK59" s="542"/>
      <c r="FL59" s="542"/>
      <c r="FM59" s="542"/>
      <c r="FN59" s="542"/>
      <c r="FO59" s="542"/>
      <c r="FP59" s="542"/>
      <c r="FQ59" s="542"/>
      <c r="FR59" s="542"/>
      <c r="FS59" s="542"/>
      <c r="FT59" s="542"/>
      <c r="FU59" s="542"/>
      <c r="FV59" s="542"/>
      <c r="FW59" s="542"/>
      <c r="FX59" s="542"/>
      <c r="FY59" s="542"/>
      <c r="FZ59" s="542"/>
      <c r="GA59" s="542"/>
      <c r="GB59" s="542"/>
      <c r="GC59" s="542"/>
      <c r="GD59" s="542"/>
      <c r="GE59" s="542"/>
      <c r="GF59" s="542"/>
      <c r="GG59" s="542"/>
      <c r="GH59" s="542"/>
      <c r="GI59" s="542"/>
      <c r="GJ59" s="542"/>
      <c r="GK59" s="542"/>
      <c r="GL59" s="542"/>
      <c r="GM59" s="542"/>
      <c r="GN59" s="542"/>
      <c r="GO59" s="542"/>
      <c r="GP59" s="542"/>
      <c r="GQ59" s="542"/>
      <c r="GR59" s="542"/>
      <c r="GS59" s="542"/>
      <c r="GT59" s="542"/>
      <c r="GU59" s="542"/>
      <c r="GV59" s="542"/>
      <c r="GW59" s="542"/>
      <c r="GX59" s="542"/>
      <c r="GY59" s="542"/>
      <c r="GZ59" s="542"/>
      <c r="HA59" s="542"/>
      <c r="HB59" s="542"/>
      <c r="HC59" s="542"/>
      <c r="HD59" s="542"/>
      <c r="HE59" s="542"/>
      <c r="HF59" s="542"/>
      <c r="HG59" s="542"/>
      <c r="HH59" s="542"/>
      <c r="HI59" s="542"/>
      <c r="HJ59" s="542"/>
      <c r="HK59" s="542"/>
      <c r="HL59" s="542"/>
      <c r="HM59" s="542"/>
      <c r="HN59" s="542"/>
      <c r="HO59" s="542"/>
      <c r="HP59" s="542"/>
      <c r="HQ59" s="542"/>
      <c r="HR59" s="542"/>
      <c r="HS59" s="542"/>
      <c r="HT59" s="542"/>
      <c r="HU59" s="542"/>
      <c r="HV59" s="542"/>
      <c r="HW59" s="542"/>
      <c r="HX59" s="542"/>
      <c r="HY59" s="542"/>
      <c r="HZ59" s="542"/>
      <c r="IA59" s="542"/>
      <c r="IB59" s="542"/>
      <c r="IC59" s="542"/>
      <c r="ID59" s="542"/>
      <c r="IE59" s="542"/>
      <c r="IF59" s="542"/>
      <c r="IG59" s="542"/>
      <c r="IH59" s="542"/>
      <c r="II59" s="542"/>
      <c r="IJ59" s="542"/>
      <c r="IK59" s="542"/>
      <c r="IL59" s="542"/>
      <c r="IM59" s="542"/>
      <c r="IN59" s="542"/>
      <c r="IO59" s="542"/>
      <c r="IP59" s="542"/>
      <c r="IQ59" s="542"/>
      <c r="IR59" s="542"/>
      <c r="IS59" s="542"/>
      <c r="IT59" s="542"/>
      <c r="IU59" s="542"/>
      <c r="IV59" s="542"/>
      <c r="IW59" s="542"/>
      <c r="IX59" s="542"/>
      <c r="IY59" s="542"/>
      <c r="IZ59" s="542"/>
      <c r="JA59" s="542"/>
      <c r="JB59" s="542"/>
    </row>
    <row r="60" spans="1:262" ht="13.8" hidden="1">
      <c r="A60" s="1495"/>
      <c r="B60" s="550"/>
      <c r="C60" s="550"/>
      <c r="D60" s="1333"/>
      <c r="E60" s="550"/>
      <c r="F60" s="439"/>
      <c r="G60" s="440"/>
      <c r="H60" s="439"/>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1383"/>
      <c r="CX60" s="557"/>
      <c r="CZ60" s="542"/>
      <c r="DA60" s="542"/>
      <c r="DB60" s="542"/>
      <c r="DC60" s="542"/>
      <c r="DD60" s="542"/>
      <c r="DE60" s="542"/>
      <c r="DF60" s="542"/>
      <c r="DG60" s="542"/>
      <c r="DH60" s="542"/>
      <c r="DI60" s="542"/>
      <c r="DJ60" s="542"/>
      <c r="DK60" s="542"/>
      <c r="DL60" s="542"/>
      <c r="DM60" s="542"/>
      <c r="DN60" s="542"/>
      <c r="DO60" s="542"/>
      <c r="DP60" s="542"/>
      <c r="DQ60" s="542"/>
      <c r="DR60" s="542"/>
      <c r="DS60" s="542"/>
      <c r="DT60" s="542"/>
      <c r="DU60" s="542"/>
      <c r="DV60" s="542"/>
      <c r="DW60" s="542"/>
      <c r="DX60" s="542"/>
      <c r="DY60" s="542"/>
      <c r="DZ60" s="542"/>
      <c r="EA60" s="542"/>
      <c r="EB60" s="542"/>
      <c r="EC60" s="542"/>
      <c r="ED60" s="542"/>
      <c r="EE60" s="542"/>
      <c r="EF60" s="542"/>
      <c r="EG60" s="542"/>
      <c r="EH60" s="542"/>
      <c r="EI60" s="542"/>
      <c r="EJ60" s="542"/>
      <c r="EK60" s="542"/>
      <c r="EL60" s="542"/>
      <c r="EM60" s="542"/>
      <c r="EN60" s="542"/>
      <c r="EO60" s="542"/>
      <c r="EP60" s="542"/>
      <c r="EQ60" s="542"/>
      <c r="ER60" s="542"/>
      <c r="ES60" s="542"/>
      <c r="ET60" s="542"/>
      <c r="EU60" s="542"/>
      <c r="EV60" s="542"/>
      <c r="EW60" s="542"/>
      <c r="EX60" s="542"/>
      <c r="EY60" s="542"/>
      <c r="EZ60" s="542"/>
      <c r="FA60" s="542"/>
      <c r="FB60" s="542"/>
      <c r="FC60" s="542"/>
      <c r="FD60" s="542"/>
      <c r="FE60" s="542"/>
      <c r="FF60" s="542"/>
      <c r="FG60" s="542"/>
      <c r="FH60" s="542"/>
      <c r="FI60" s="542"/>
      <c r="FJ60" s="542"/>
      <c r="FK60" s="542"/>
      <c r="FL60" s="542"/>
      <c r="FM60" s="542"/>
      <c r="FN60" s="542"/>
      <c r="FO60" s="542"/>
      <c r="FP60" s="542"/>
      <c r="FQ60" s="542"/>
      <c r="FR60" s="542"/>
      <c r="FS60" s="542"/>
      <c r="FT60" s="542"/>
      <c r="FU60" s="542"/>
      <c r="FV60" s="542"/>
      <c r="FW60" s="542"/>
      <c r="FX60" s="542"/>
      <c r="FY60" s="542"/>
      <c r="FZ60" s="542"/>
      <c r="GA60" s="542"/>
      <c r="GB60" s="542"/>
      <c r="GC60" s="542"/>
      <c r="GD60" s="542"/>
      <c r="GE60" s="542"/>
      <c r="GF60" s="542"/>
      <c r="GG60" s="542"/>
      <c r="GH60" s="542"/>
      <c r="GI60" s="542"/>
      <c r="GJ60" s="542"/>
      <c r="GK60" s="542"/>
      <c r="GL60" s="542"/>
      <c r="GM60" s="542"/>
      <c r="GN60" s="542"/>
      <c r="GO60" s="542"/>
      <c r="GP60" s="542"/>
      <c r="GQ60" s="542"/>
      <c r="GR60" s="542"/>
      <c r="GS60" s="542"/>
      <c r="GT60" s="542"/>
      <c r="GU60" s="542"/>
      <c r="GV60" s="542"/>
      <c r="GW60" s="542"/>
      <c r="GX60" s="542"/>
      <c r="GY60" s="542"/>
      <c r="GZ60" s="542"/>
      <c r="HA60" s="542"/>
      <c r="HB60" s="542"/>
      <c r="HC60" s="542"/>
      <c r="HD60" s="542"/>
      <c r="HE60" s="542"/>
      <c r="HF60" s="542"/>
      <c r="HG60" s="542"/>
      <c r="HH60" s="542"/>
      <c r="HI60" s="542"/>
      <c r="HJ60" s="542"/>
      <c r="HK60" s="542"/>
      <c r="HL60" s="542"/>
      <c r="HM60" s="542"/>
      <c r="HN60" s="542"/>
      <c r="HO60" s="542"/>
      <c r="HP60" s="542"/>
      <c r="HQ60" s="542"/>
      <c r="HR60" s="542"/>
      <c r="HS60" s="542"/>
      <c r="HT60" s="542"/>
      <c r="HU60" s="542"/>
      <c r="HV60" s="542"/>
      <c r="HW60" s="542"/>
      <c r="HX60" s="542"/>
      <c r="HY60" s="542"/>
      <c r="HZ60" s="542"/>
      <c r="IA60" s="542"/>
      <c r="IB60" s="542"/>
      <c r="IC60" s="542"/>
      <c r="ID60" s="542"/>
      <c r="IE60" s="542"/>
      <c r="IF60" s="542"/>
      <c r="IG60" s="542"/>
      <c r="IH60" s="542"/>
      <c r="II60" s="542"/>
      <c r="IJ60" s="542"/>
      <c r="IK60" s="542"/>
      <c r="IL60" s="542"/>
      <c r="IM60" s="542"/>
      <c r="IN60" s="542"/>
      <c r="IO60" s="542"/>
      <c r="IP60" s="542"/>
      <c r="IQ60" s="542"/>
      <c r="IR60" s="542"/>
      <c r="IS60" s="542"/>
      <c r="IT60" s="542"/>
      <c r="IU60" s="542"/>
      <c r="IV60" s="542"/>
      <c r="IW60" s="542"/>
      <c r="IX60" s="542"/>
      <c r="IY60" s="542"/>
      <c r="IZ60" s="542"/>
      <c r="JA60" s="542"/>
      <c r="JB60" s="542"/>
    </row>
    <row r="61" spans="1:262" ht="13.8" hidden="1">
      <c r="A61" s="1495"/>
      <c r="B61" s="550"/>
      <c r="C61" s="550"/>
      <c r="D61" s="1333"/>
      <c r="E61" s="550"/>
      <c r="F61" s="439"/>
      <c r="G61" s="440"/>
      <c r="H61" s="439"/>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1383"/>
      <c r="CX61" s="552"/>
      <c r="CZ61" s="542"/>
      <c r="DA61" s="542"/>
      <c r="DB61" s="542"/>
      <c r="DC61" s="542"/>
      <c r="DD61" s="542"/>
      <c r="DE61" s="542"/>
      <c r="DF61" s="542"/>
      <c r="DG61" s="542"/>
      <c r="DH61" s="542"/>
      <c r="DI61" s="542"/>
      <c r="DJ61" s="542"/>
      <c r="DK61" s="542"/>
      <c r="DL61" s="542"/>
      <c r="DM61" s="542"/>
      <c r="DN61" s="542"/>
      <c r="DO61" s="542"/>
      <c r="DP61" s="542"/>
      <c r="DQ61" s="542"/>
      <c r="DR61" s="542"/>
      <c r="DS61" s="542"/>
      <c r="DT61" s="542"/>
      <c r="DU61" s="542"/>
      <c r="DV61" s="542"/>
      <c r="DW61" s="542"/>
      <c r="DX61" s="542"/>
      <c r="DY61" s="542"/>
      <c r="DZ61" s="542"/>
      <c r="EA61" s="542"/>
      <c r="EB61" s="542"/>
      <c r="EC61" s="542"/>
      <c r="ED61" s="542"/>
      <c r="EE61" s="542"/>
      <c r="EF61" s="542"/>
      <c r="EG61" s="542"/>
      <c r="EH61" s="542"/>
      <c r="EI61" s="542"/>
      <c r="EJ61" s="542"/>
      <c r="EK61" s="542"/>
      <c r="EL61" s="542"/>
      <c r="EM61" s="542"/>
      <c r="EN61" s="542"/>
      <c r="EO61" s="542"/>
      <c r="EP61" s="542"/>
      <c r="EQ61" s="542"/>
      <c r="ER61" s="542"/>
      <c r="ES61" s="542"/>
      <c r="ET61" s="542"/>
      <c r="EU61" s="542"/>
      <c r="EV61" s="542"/>
      <c r="EW61" s="542"/>
      <c r="EX61" s="542"/>
      <c r="EY61" s="542"/>
      <c r="EZ61" s="542"/>
      <c r="FA61" s="542"/>
      <c r="FB61" s="542"/>
      <c r="FC61" s="542"/>
      <c r="FD61" s="542"/>
      <c r="FE61" s="542"/>
      <c r="FF61" s="542"/>
      <c r="FG61" s="542"/>
      <c r="FH61" s="542"/>
      <c r="FI61" s="542"/>
      <c r="FJ61" s="542"/>
      <c r="FK61" s="542"/>
      <c r="FL61" s="542"/>
      <c r="FM61" s="542"/>
      <c r="FN61" s="542"/>
      <c r="FO61" s="542"/>
      <c r="FP61" s="542"/>
      <c r="FQ61" s="542"/>
      <c r="FR61" s="542"/>
      <c r="FS61" s="542"/>
      <c r="FT61" s="542"/>
      <c r="FU61" s="542"/>
      <c r="FV61" s="542"/>
      <c r="FW61" s="542"/>
      <c r="FX61" s="542"/>
      <c r="FY61" s="542"/>
      <c r="FZ61" s="542"/>
      <c r="GA61" s="542"/>
      <c r="GB61" s="542"/>
      <c r="GC61" s="542"/>
      <c r="GD61" s="542"/>
      <c r="GE61" s="542"/>
      <c r="GF61" s="542"/>
      <c r="GG61" s="542"/>
      <c r="GH61" s="542"/>
      <c r="GI61" s="542"/>
      <c r="GJ61" s="542"/>
      <c r="GK61" s="542"/>
      <c r="GL61" s="542"/>
      <c r="GM61" s="542"/>
      <c r="GN61" s="542"/>
      <c r="GO61" s="542"/>
      <c r="GP61" s="542"/>
      <c r="GQ61" s="542"/>
      <c r="GR61" s="542"/>
      <c r="GS61" s="542"/>
      <c r="GT61" s="542"/>
      <c r="GU61" s="542"/>
      <c r="GV61" s="542"/>
      <c r="GW61" s="542"/>
      <c r="GX61" s="542"/>
      <c r="GY61" s="542"/>
      <c r="GZ61" s="542"/>
      <c r="HA61" s="542"/>
      <c r="HB61" s="542"/>
      <c r="HC61" s="542"/>
      <c r="HD61" s="542"/>
      <c r="HE61" s="542"/>
      <c r="HF61" s="542"/>
      <c r="HG61" s="542"/>
      <c r="HH61" s="542"/>
      <c r="HI61" s="542"/>
      <c r="HJ61" s="542"/>
      <c r="HK61" s="542"/>
      <c r="HL61" s="542"/>
      <c r="HM61" s="542"/>
      <c r="HN61" s="542"/>
      <c r="HO61" s="542"/>
      <c r="HP61" s="542"/>
      <c r="HQ61" s="542"/>
      <c r="HR61" s="542"/>
      <c r="HS61" s="542"/>
      <c r="HT61" s="542"/>
      <c r="HU61" s="542"/>
      <c r="HV61" s="542"/>
      <c r="HW61" s="542"/>
      <c r="HX61" s="542"/>
      <c r="HY61" s="542"/>
      <c r="HZ61" s="542"/>
      <c r="IA61" s="542"/>
      <c r="IB61" s="542"/>
      <c r="IC61" s="542"/>
      <c r="ID61" s="542"/>
      <c r="IE61" s="542"/>
      <c r="IF61" s="542"/>
      <c r="IG61" s="542"/>
      <c r="IH61" s="542"/>
      <c r="II61" s="542"/>
      <c r="IJ61" s="542"/>
      <c r="IK61" s="542"/>
      <c r="IL61" s="542"/>
      <c r="IM61" s="542"/>
      <c r="IN61" s="542"/>
      <c r="IO61" s="542"/>
      <c r="IP61" s="542"/>
      <c r="IQ61" s="542"/>
      <c r="IR61" s="542"/>
      <c r="IS61" s="542"/>
      <c r="IT61" s="542"/>
      <c r="IU61" s="542"/>
      <c r="IV61" s="542"/>
      <c r="IW61" s="542"/>
      <c r="IX61" s="542"/>
      <c r="IY61" s="542"/>
      <c r="IZ61" s="542"/>
      <c r="JA61" s="542"/>
      <c r="JB61" s="542"/>
    </row>
    <row r="62" spans="1:262" ht="13.8" hidden="1">
      <c r="A62" s="1488"/>
      <c r="B62" s="1489"/>
      <c r="C62" s="550"/>
      <c r="D62" s="1489"/>
      <c r="E62" s="1376"/>
      <c r="F62" s="1376"/>
      <c r="G62" s="1038"/>
      <c r="H62" s="1376"/>
      <c r="I62" s="625"/>
      <c r="J62" s="625"/>
      <c r="K62" s="625"/>
      <c r="L62" s="625"/>
      <c r="M62" s="625"/>
      <c r="N62" s="625"/>
      <c r="O62" s="625"/>
      <c r="P62" s="625"/>
      <c r="Q62" s="625"/>
      <c r="R62" s="625"/>
      <c r="S62" s="625"/>
      <c r="T62" s="625"/>
      <c r="U62" s="625"/>
      <c r="V62" s="625"/>
      <c r="W62" s="625"/>
      <c r="X62" s="625"/>
      <c r="Y62" s="625"/>
      <c r="Z62" s="625"/>
      <c r="AA62" s="625"/>
      <c r="AB62" s="625"/>
      <c r="AC62" s="625"/>
      <c r="AD62" s="625"/>
      <c r="AE62" s="625"/>
      <c r="AF62" s="625"/>
      <c r="AG62" s="625"/>
      <c r="AH62" s="625"/>
      <c r="AI62" s="625"/>
      <c r="AJ62" s="625"/>
      <c r="AK62" s="625"/>
      <c r="AL62" s="625"/>
      <c r="AM62" s="625"/>
      <c r="AN62" s="625"/>
      <c r="AO62" s="625"/>
      <c r="AP62" s="625"/>
      <c r="AQ62" s="625"/>
      <c r="AR62" s="625"/>
      <c r="AS62" s="625"/>
      <c r="AT62" s="625"/>
      <c r="AU62" s="625"/>
      <c r="AV62" s="625"/>
      <c r="AW62" s="625"/>
      <c r="AX62" s="625"/>
      <c r="AY62" s="625"/>
      <c r="AZ62" s="625"/>
      <c r="BA62" s="625"/>
      <c r="BB62" s="625"/>
      <c r="BC62" s="625"/>
      <c r="BD62" s="625"/>
      <c r="BE62" s="625"/>
      <c r="BF62" s="625"/>
      <c r="BG62" s="625"/>
      <c r="BH62" s="625"/>
      <c r="BI62" s="625"/>
      <c r="BJ62" s="625"/>
      <c r="BK62" s="625"/>
      <c r="BL62" s="625"/>
      <c r="BM62" s="625"/>
      <c r="BN62" s="625"/>
      <c r="BO62" s="625"/>
      <c r="BP62" s="625"/>
      <c r="BQ62" s="625"/>
      <c r="BR62" s="625"/>
      <c r="BS62" s="625"/>
      <c r="BT62" s="625"/>
      <c r="BU62" s="625"/>
      <c r="BV62" s="625"/>
      <c r="BW62" s="625"/>
      <c r="BX62" s="625"/>
      <c r="BY62" s="625"/>
      <c r="BZ62" s="625"/>
      <c r="CA62" s="625"/>
      <c r="CB62" s="625"/>
      <c r="CC62" s="625"/>
      <c r="CD62" s="625"/>
      <c r="CE62" s="625"/>
      <c r="CF62" s="625"/>
      <c r="CG62" s="625"/>
      <c r="CH62" s="625"/>
      <c r="CI62" s="625"/>
      <c r="CJ62" s="625"/>
      <c r="CK62" s="625"/>
      <c r="CL62" s="625"/>
      <c r="CM62" s="625"/>
      <c r="CN62" s="625"/>
      <c r="CO62" s="625"/>
      <c r="CP62" s="625"/>
      <c r="CQ62" s="625"/>
      <c r="CR62" s="625"/>
      <c r="CS62" s="625"/>
      <c r="CT62" s="625"/>
      <c r="CU62" s="625"/>
      <c r="CV62" s="625"/>
      <c r="CW62" s="625"/>
      <c r="CX62" s="1490"/>
      <c r="CZ62" s="542"/>
      <c r="DA62" s="542"/>
      <c r="DB62" s="542"/>
      <c r="DC62" s="542"/>
      <c r="DD62" s="542"/>
      <c r="DE62" s="542"/>
      <c r="DF62" s="542"/>
      <c r="DG62" s="542"/>
      <c r="DH62" s="542"/>
      <c r="DI62" s="542"/>
      <c r="DJ62" s="542"/>
      <c r="DK62" s="542"/>
      <c r="DL62" s="542"/>
      <c r="DM62" s="542"/>
      <c r="DN62" s="542"/>
      <c r="DO62" s="542"/>
      <c r="DP62" s="542"/>
      <c r="DQ62" s="542"/>
      <c r="DR62" s="542"/>
      <c r="DS62" s="542"/>
      <c r="DT62" s="542"/>
      <c r="DU62" s="542"/>
      <c r="DV62" s="542"/>
      <c r="DW62" s="542"/>
      <c r="DX62" s="542"/>
      <c r="DY62" s="542"/>
      <c r="DZ62" s="542"/>
      <c r="EA62" s="542"/>
      <c r="EB62" s="542"/>
      <c r="EC62" s="542"/>
      <c r="ED62" s="542"/>
      <c r="EE62" s="542"/>
      <c r="EF62" s="542"/>
      <c r="EG62" s="542"/>
      <c r="EH62" s="542"/>
      <c r="EI62" s="542"/>
      <c r="EJ62" s="542"/>
      <c r="EK62" s="542"/>
      <c r="EL62" s="542"/>
      <c r="EM62" s="542"/>
      <c r="EN62" s="542"/>
      <c r="EO62" s="542"/>
      <c r="EP62" s="542"/>
      <c r="EQ62" s="542"/>
      <c r="ER62" s="542"/>
      <c r="ES62" s="542"/>
      <c r="ET62" s="542"/>
      <c r="EU62" s="542"/>
      <c r="EV62" s="542"/>
      <c r="EW62" s="542"/>
      <c r="EX62" s="542"/>
      <c r="EY62" s="542"/>
      <c r="EZ62" s="542"/>
      <c r="FA62" s="542"/>
      <c r="FB62" s="542"/>
      <c r="FC62" s="542"/>
      <c r="FD62" s="542"/>
      <c r="FE62" s="542"/>
      <c r="FF62" s="542"/>
      <c r="FG62" s="542"/>
      <c r="FH62" s="542"/>
      <c r="FI62" s="542"/>
      <c r="FJ62" s="542"/>
      <c r="FK62" s="542"/>
      <c r="FL62" s="542"/>
      <c r="FM62" s="542"/>
      <c r="FN62" s="542"/>
      <c r="FO62" s="542"/>
      <c r="FP62" s="542"/>
      <c r="FQ62" s="542"/>
      <c r="FR62" s="542"/>
      <c r="FS62" s="542"/>
      <c r="FT62" s="542"/>
      <c r="FU62" s="542"/>
      <c r="FV62" s="542"/>
      <c r="FW62" s="542"/>
      <c r="FX62" s="542"/>
      <c r="FY62" s="542"/>
      <c r="FZ62" s="542"/>
      <c r="GA62" s="542"/>
      <c r="GB62" s="542"/>
      <c r="GC62" s="542"/>
      <c r="GD62" s="542"/>
      <c r="GE62" s="542"/>
      <c r="GF62" s="542"/>
      <c r="GG62" s="542"/>
      <c r="GH62" s="542"/>
      <c r="GI62" s="542"/>
      <c r="GJ62" s="542"/>
      <c r="GK62" s="542"/>
      <c r="GL62" s="542"/>
      <c r="GM62" s="542"/>
      <c r="GN62" s="542"/>
      <c r="GO62" s="542"/>
      <c r="GP62" s="542"/>
      <c r="GQ62" s="542"/>
      <c r="GR62" s="542"/>
      <c r="GS62" s="542"/>
      <c r="GT62" s="542"/>
      <c r="GU62" s="542"/>
      <c r="GV62" s="542"/>
      <c r="GW62" s="542"/>
      <c r="GX62" s="542"/>
      <c r="GY62" s="542"/>
      <c r="GZ62" s="542"/>
      <c r="HA62" s="542"/>
      <c r="HB62" s="542"/>
      <c r="HC62" s="542"/>
      <c r="HD62" s="542"/>
      <c r="HE62" s="542"/>
      <c r="HF62" s="542"/>
      <c r="HG62" s="542"/>
      <c r="HH62" s="542"/>
      <c r="HI62" s="542"/>
      <c r="HJ62" s="542"/>
      <c r="HK62" s="542"/>
      <c r="HL62" s="542"/>
      <c r="HM62" s="542"/>
      <c r="HN62" s="542"/>
      <c r="HO62" s="542"/>
      <c r="HP62" s="542"/>
      <c r="HQ62" s="542"/>
      <c r="HR62" s="542"/>
      <c r="HS62" s="542"/>
      <c r="HT62" s="542"/>
      <c r="HU62" s="542"/>
      <c r="HV62" s="542"/>
      <c r="HW62" s="542"/>
      <c r="HX62" s="542"/>
      <c r="HY62" s="542"/>
      <c r="HZ62" s="542"/>
      <c r="IA62" s="542"/>
      <c r="IB62" s="542"/>
      <c r="IC62" s="542"/>
      <c r="ID62" s="542"/>
      <c r="IE62" s="542"/>
      <c r="IF62" s="542"/>
      <c r="IG62" s="542"/>
      <c r="IH62" s="542"/>
      <c r="II62" s="542"/>
      <c r="IJ62" s="542"/>
      <c r="IK62" s="542"/>
      <c r="IL62" s="542"/>
      <c r="IM62" s="542"/>
      <c r="IN62" s="542"/>
      <c r="IO62" s="542"/>
      <c r="IP62" s="542"/>
      <c r="IQ62" s="542"/>
      <c r="IR62" s="542"/>
      <c r="IS62" s="542"/>
      <c r="IT62" s="542"/>
      <c r="IU62" s="542"/>
      <c r="IV62" s="542"/>
      <c r="IW62" s="542"/>
      <c r="IX62" s="542"/>
      <c r="IY62" s="542"/>
      <c r="IZ62" s="542"/>
      <c r="JA62" s="542"/>
      <c r="JB62" s="542"/>
    </row>
    <row r="63" spans="1:262" ht="13.8" hidden="1">
      <c r="A63" s="1491"/>
      <c r="B63" s="1492"/>
      <c r="C63" s="1023"/>
      <c r="D63" s="1023"/>
      <c r="E63" s="1492"/>
      <c r="F63" s="1492"/>
      <c r="G63" s="1493"/>
      <c r="H63" s="1492"/>
      <c r="I63" s="1492"/>
      <c r="J63" s="1492"/>
      <c r="K63" s="1492"/>
      <c r="L63" s="1492"/>
      <c r="M63" s="1492"/>
      <c r="N63" s="1492"/>
      <c r="O63" s="1492"/>
      <c r="P63" s="1492"/>
      <c r="Q63" s="1492"/>
      <c r="R63" s="1492"/>
      <c r="S63" s="1492"/>
      <c r="T63" s="1492"/>
      <c r="U63" s="1492"/>
      <c r="V63" s="1492"/>
      <c r="W63" s="1492"/>
      <c r="X63" s="1492"/>
      <c r="Y63" s="1492"/>
      <c r="Z63" s="1492"/>
      <c r="AA63" s="1492"/>
      <c r="AB63" s="1492"/>
      <c r="AC63" s="1492"/>
      <c r="AD63" s="1492"/>
      <c r="AE63" s="1492"/>
      <c r="AF63" s="1492"/>
      <c r="AG63" s="1492"/>
      <c r="AH63" s="1492"/>
      <c r="AI63" s="1492"/>
      <c r="AJ63" s="1492"/>
      <c r="AK63" s="1492"/>
      <c r="AL63" s="1492"/>
      <c r="AM63" s="1492"/>
      <c r="AN63" s="1492"/>
      <c r="AO63" s="1492"/>
      <c r="AP63" s="1492"/>
      <c r="AQ63" s="1492"/>
      <c r="AR63" s="1492"/>
      <c r="AS63" s="1492"/>
      <c r="AT63" s="1492"/>
      <c r="AU63" s="1492"/>
      <c r="AV63" s="1492"/>
      <c r="AW63" s="1492"/>
      <c r="AX63" s="1492"/>
      <c r="AY63" s="1492"/>
      <c r="AZ63" s="1492"/>
      <c r="BA63" s="1492"/>
      <c r="BB63" s="1492"/>
      <c r="BC63" s="1492"/>
      <c r="BD63" s="1492"/>
      <c r="BE63" s="1492"/>
      <c r="BF63" s="1492"/>
      <c r="BG63" s="1492"/>
      <c r="BH63" s="1492"/>
      <c r="BI63" s="1492"/>
      <c r="BJ63" s="1492"/>
      <c r="BK63" s="1492"/>
      <c r="BL63" s="1492"/>
      <c r="BM63" s="1492"/>
      <c r="BN63" s="1492"/>
      <c r="BO63" s="1492"/>
      <c r="BP63" s="1492"/>
      <c r="BQ63" s="1492"/>
      <c r="BR63" s="1492"/>
      <c r="BS63" s="1492"/>
      <c r="BT63" s="1492"/>
      <c r="BU63" s="1492"/>
      <c r="BV63" s="1492"/>
      <c r="BW63" s="1492"/>
      <c r="BX63" s="1492"/>
      <c r="BY63" s="1492"/>
      <c r="BZ63" s="1492"/>
      <c r="CA63" s="1492"/>
      <c r="CB63" s="1492"/>
      <c r="CC63" s="1492"/>
      <c r="CD63" s="1492"/>
      <c r="CE63" s="1492"/>
      <c r="CF63" s="1492"/>
      <c r="CG63" s="1492"/>
      <c r="CH63" s="1492"/>
      <c r="CI63" s="1492"/>
      <c r="CJ63" s="1492"/>
      <c r="CK63" s="1492"/>
      <c r="CL63" s="1492"/>
      <c r="CM63" s="1492"/>
      <c r="CN63" s="1492"/>
      <c r="CO63" s="1492"/>
      <c r="CP63" s="1492"/>
      <c r="CQ63" s="1492"/>
      <c r="CR63" s="1492"/>
      <c r="CS63" s="1492"/>
      <c r="CT63" s="1492"/>
      <c r="CU63" s="1492"/>
      <c r="CV63" s="1492"/>
      <c r="CW63" s="1492"/>
      <c r="CX63" s="1494"/>
      <c r="CZ63" s="542"/>
      <c r="DA63" s="542"/>
      <c r="DB63" s="542"/>
      <c r="DC63" s="542"/>
      <c r="DD63" s="542"/>
      <c r="DE63" s="542"/>
      <c r="DF63" s="542"/>
      <c r="DG63" s="542"/>
      <c r="DH63" s="542"/>
      <c r="DI63" s="542"/>
      <c r="DJ63" s="542"/>
      <c r="DK63" s="542"/>
      <c r="DL63" s="542"/>
      <c r="DM63" s="542"/>
      <c r="DN63" s="542"/>
      <c r="DO63" s="542"/>
      <c r="DP63" s="542"/>
      <c r="DQ63" s="542"/>
      <c r="DR63" s="542"/>
      <c r="DS63" s="542"/>
      <c r="DT63" s="542"/>
      <c r="DU63" s="542"/>
      <c r="DV63" s="542"/>
      <c r="DW63" s="542"/>
      <c r="DX63" s="542"/>
      <c r="DY63" s="542"/>
      <c r="DZ63" s="542"/>
      <c r="EA63" s="542"/>
      <c r="EB63" s="542"/>
      <c r="EC63" s="542"/>
      <c r="ED63" s="542"/>
      <c r="EE63" s="542"/>
      <c r="EF63" s="542"/>
      <c r="EG63" s="542"/>
      <c r="EH63" s="542"/>
      <c r="EI63" s="542"/>
      <c r="EJ63" s="542"/>
      <c r="EK63" s="542"/>
      <c r="EL63" s="542"/>
      <c r="EM63" s="542"/>
      <c r="EN63" s="542"/>
      <c r="EO63" s="542"/>
      <c r="EP63" s="542"/>
      <c r="EQ63" s="542"/>
      <c r="ER63" s="542"/>
      <c r="ES63" s="542"/>
      <c r="ET63" s="542"/>
      <c r="EU63" s="542"/>
      <c r="EV63" s="542"/>
      <c r="EW63" s="542"/>
      <c r="EX63" s="542"/>
      <c r="EY63" s="542"/>
      <c r="EZ63" s="542"/>
      <c r="FA63" s="542"/>
      <c r="FB63" s="542"/>
      <c r="FC63" s="542"/>
      <c r="FD63" s="542"/>
      <c r="FE63" s="542"/>
      <c r="FF63" s="542"/>
      <c r="FG63" s="542"/>
      <c r="FH63" s="542"/>
      <c r="FI63" s="542"/>
      <c r="FJ63" s="542"/>
      <c r="FK63" s="542"/>
      <c r="FL63" s="542"/>
      <c r="FM63" s="542"/>
      <c r="FN63" s="542"/>
      <c r="FO63" s="542"/>
      <c r="FP63" s="542"/>
      <c r="FQ63" s="542"/>
      <c r="FR63" s="542"/>
      <c r="FS63" s="542"/>
      <c r="FT63" s="542"/>
      <c r="FU63" s="542"/>
      <c r="FV63" s="542"/>
      <c r="FW63" s="542"/>
      <c r="FX63" s="542"/>
      <c r="FY63" s="542"/>
      <c r="FZ63" s="542"/>
      <c r="GA63" s="542"/>
      <c r="GB63" s="542"/>
      <c r="GC63" s="542"/>
      <c r="GD63" s="542"/>
      <c r="GE63" s="542"/>
      <c r="GF63" s="542"/>
      <c r="GG63" s="542"/>
      <c r="GH63" s="542"/>
      <c r="GI63" s="542"/>
      <c r="GJ63" s="542"/>
      <c r="GK63" s="542"/>
      <c r="GL63" s="542"/>
      <c r="GM63" s="542"/>
      <c r="GN63" s="542"/>
      <c r="GO63" s="542"/>
      <c r="GP63" s="542"/>
      <c r="GQ63" s="542"/>
      <c r="GR63" s="542"/>
      <c r="GS63" s="542"/>
      <c r="GT63" s="542"/>
      <c r="GU63" s="542"/>
      <c r="GV63" s="542"/>
      <c r="GW63" s="542"/>
      <c r="GX63" s="542"/>
      <c r="GY63" s="542"/>
      <c r="GZ63" s="542"/>
      <c r="HA63" s="542"/>
      <c r="HB63" s="542"/>
      <c r="HC63" s="542"/>
      <c r="HD63" s="542"/>
      <c r="HE63" s="542"/>
      <c r="HF63" s="542"/>
      <c r="HG63" s="542"/>
      <c r="HH63" s="542"/>
      <c r="HI63" s="542"/>
      <c r="HJ63" s="542"/>
      <c r="HK63" s="542"/>
      <c r="HL63" s="542"/>
      <c r="HM63" s="542"/>
      <c r="HN63" s="542"/>
      <c r="HO63" s="542"/>
      <c r="HP63" s="542"/>
      <c r="HQ63" s="542"/>
      <c r="HR63" s="542"/>
      <c r="HS63" s="542"/>
      <c r="HT63" s="542"/>
      <c r="HU63" s="542"/>
      <c r="HV63" s="542"/>
      <c r="HW63" s="542"/>
      <c r="HX63" s="542"/>
      <c r="HY63" s="542"/>
      <c r="HZ63" s="542"/>
      <c r="IA63" s="542"/>
      <c r="IB63" s="542"/>
      <c r="IC63" s="542"/>
      <c r="ID63" s="542"/>
      <c r="IE63" s="542"/>
      <c r="IF63" s="542"/>
      <c r="IG63" s="542"/>
      <c r="IH63" s="542"/>
      <c r="II63" s="542"/>
      <c r="IJ63" s="542"/>
      <c r="IK63" s="542"/>
      <c r="IL63" s="542"/>
      <c r="IM63" s="542"/>
      <c r="IN63" s="542"/>
      <c r="IO63" s="542"/>
      <c r="IP63" s="542"/>
      <c r="IQ63" s="542"/>
      <c r="IR63" s="542"/>
      <c r="IS63" s="542"/>
      <c r="IT63" s="542"/>
      <c r="IU63" s="542"/>
      <c r="IV63" s="542"/>
      <c r="IW63" s="542"/>
      <c r="IX63" s="542"/>
      <c r="IY63" s="542"/>
      <c r="IZ63" s="542"/>
      <c r="JA63" s="542"/>
      <c r="JB63" s="542"/>
    </row>
    <row r="64" spans="1:262" ht="13.8" hidden="1">
      <c r="A64" s="1495"/>
      <c r="B64" s="1333"/>
      <c r="C64" s="550"/>
      <c r="D64" s="1333"/>
      <c r="E64" s="550"/>
      <c r="F64" s="439"/>
      <c r="G64" s="440"/>
      <c r="H64" s="439"/>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1383"/>
      <c r="CX64" s="552"/>
      <c r="CZ64" s="542"/>
      <c r="DA64" s="542"/>
      <c r="DB64" s="542"/>
      <c r="DC64" s="542"/>
      <c r="DD64" s="542"/>
      <c r="DE64" s="542"/>
      <c r="DF64" s="542"/>
      <c r="DG64" s="542"/>
      <c r="DH64" s="542"/>
      <c r="DI64" s="542"/>
      <c r="DJ64" s="542"/>
      <c r="DK64" s="542"/>
      <c r="DL64" s="542"/>
      <c r="DM64" s="542"/>
      <c r="DN64" s="542"/>
      <c r="DO64" s="542"/>
      <c r="DP64" s="542"/>
      <c r="DQ64" s="542"/>
      <c r="DR64" s="542"/>
      <c r="DS64" s="542"/>
      <c r="DT64" s="542"/>
      <c r="DU64" s="542"/>
      <c r="DV64" s="542"/>
      <c r="DW64" s="542"/>
      <c r="DX64" s="542"/>
      <c r="DY64" s="542"/>
      <c r="DZ64" s="542"/>
      <c r="EA64" s="542"/>
      <c r="EB64" s="542"/>
      <c r="EC64" s="542"/>
      <c r="ED64" s="542"/>
      <c r="EE64" s="542"/>
      <c r="EF64" s="542"/>
      <c r="EG64" s="542"/>
      <c r="EH64" s="542"/>
      <c r="EI64" s="542"/>
      <c r="EJ64" s="542"/>
      <c r="EK64" s="542"/>
      <c r="EL64" s="542"/>
      <c r="EM64" s="542"/>
      <c r="EN64" s="542"/>
      <c r="EO64" s="542"/>
      <c r="EP64" s="542"/>
      <c r="EQ64" s="542"/>
      <c r="ER64" s="542"/>
      <c r="ES64" s="542"/>
      <c r="ET64" s="542"/>
      <c r="EU64" s="542"/>
      <c r="EV64" s="542"/>
      <c r="EW64" s="542"/>
      <c r="EX64" s="542"/>
      <c r="EY64" s="542"/>
      <c r="EZ64" s="542"/>
      <c r="FA64" s="542"/>
      <c r="FB64" s="542"/>
      <c r="FC64" s="542"/>
      <c r="FD64" s="542"/>
      <c r="FE64" s="542"/>
      <c r="FF64" s="542"/>
      <c r="FG64" s="542"/>
      <c r="FH64" s="542"/>
      <c r="FI64" s="542"/>
      <c r="FJ64" s="542"/>
      <c r="FK64" s="542"/>
      <c r="FL64" s="542"/>
      <c r="FM64" s="542"/>
      <c r="FN64" s="542"/>
      <c r="FO64" s="542"/>
      <c r="FP64" s="542"/>
      <c r="FQ64" s="542"/>
      <c r="FR64" s="542"/>
      <c r="FS64" s="542"/>
      <c r="FT64" s="542"/>
      <c r="FU64" s="542"/>
      <c r="FV64" s="542"/>
      <c r="FW64" s="542"/>
      <c r="FX64" s="542"/>
      <c r="FY64" s="542"/>
      <c r="FZ64" s="542"/>
      <c r="GA64" s="542"/>
      <c r="GB64" s="542"/>
      <c r="GC64" s="542"/>
      <c r="GD64" s="542"/>
      <c r="GE64" s="542"/>
      <c r="GF64" s="542"/>
      <c r="GG64" s="542"/>
      <c r="GH64" s="542"/>
      <c r="GI64" s="542"/>
      <c r="GJ64" s="542"/>
      <c r="GK64" s="542"/>
      <c r="GL64" s="542"/>
      <c r="GM64" s="542"/>
      <c r="GN64" s="542"/>
      <c r="GO64" s="542"/>
      <c r="GP64" s="542"/>
      <c r="GQ64" s="542"/>
      <c r="GR64" s="542"/>
      <c r="GS64" s="542"/>
      <c r="GT64" s="542"/>
      <c r="GU64" s="542"/>
      <c r="GV64" s="542"/>
      <c r="GW64" s="542"/>
      <c r="GX64" s="542"/>
      <c r="GY64" s="542"/>
      <c r="GZ64" s="542"/>
      <c r="HA64" s="542"/>
      <c r="HB64" s="542"/>
      <c r="HC64" s="542"/>
      <c r="HD64" s="542"/>
      <c r="HE64" s="542"/>
      <c r="HF64" s="542"/>
      <c r="HG64" s="542"/>
      <c r="HH64" s="542"/>
      <c r="HI64" s="542"/>
      <c r="HJ64" s="542"/>
      <c r="HK64" s="542"/>
      <c r="HL64" s="542"/>
      <c r="HM64" s="542"/>
      <c r="HN64" s="542"/>
      <c r="HO64" s="542"/>
      <c r="HP64" s="542"/>
      <c r="HQ64" s="542"/>
      <c r="HR64" s="542"/>
      <c r="HS64" s="542"/>
      <c r="HT64" s="542"/>
      <c r="HU64" s="542"/>
      <c r="HV64" s="542"/>
      <c r="HW64" s="542"/>
      <c r="HX64" s="542"/>
      <c r="HY64" s="542"/>
      <c r="HZ64" s="542"/>
      <c r="IA64" s="542"/>
      <c r="IB64" s="542"/>
      <c r="IC64" s="542"/>
      <c r="ID64" s="542"/>
      <c r="IE64" s="542"/>
      <c r="IF64" s="542"/>
      <c r="IG64" s="542"/>
      <c r="IH64" s="542"/>
      <c r="II64" s="542"/>
      <c r="IJ64" s="542"/>
      <c r="IK64" s="542"/>
      <c r="IL64" s="542"/>
      <c r="IM64" s="542"/>
      <c r="IN64" s="542"/>
      <c r="IO64" s="542"/>
      <c r="IP64" s="542"/>
      <c r="IQ64" s="542"/>
      <c r="IR64" s="542"/>
      <c r="IS64" s="542"/>
      <c r="IT64" s="542"/>
      <c r="IU64" s="542"/>
      <c r="IV64" s="542"/>
      <c r="IW64" s="542"/>
      <c r="IX64" s="542"/>
      <c r="IY64" s="542"/>
      <c r="IZ64" s="542"/>
      <c r="JA64" s="542"/>
      <c r="JB64" s="542"/>
    </row>
    <row r="65" spans="1:262" ht="13.8" hidden="1">
      <c r="A65" s="1495"/>
      <c r="B65" s="550"/>
      <c r="C65" s="550"/>
      <c r="D65" s="1333"/>
      <c r="E65" s="550"/>
      <c r="F65" s="439"/>
      <c r="G65" s="440"/>
      <c r="H65" s="439"/>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1383"/>
      <c r="CX65" s="557"/>
      <c r="CZ65" s="542"/>
      <c r="DA65" s="542"/>
      <c r="DB65" s="542"/>
      <c r="DC65" s="542"/>
      <c r="DD65" s="542"/>
      <c r="DE65" s="542"/>
      <c r="DF65" s="542"/>
      <c r="DG65" s="542"/>
      <c r="DH65" s="542"/>
      <c r="DI65" s="542"/>
      <c r="DJ65" s="542"/>
      <c r="DK65" s="542"/>
      <c r="DL65" s="542"/>
      <c r="DM65" s="542"/>
      <c r="DN65" s="542"/>
      <c r="DO65" s="542"/>
      <c r="DP65" s="542"/>
      <c r="DQ65" s="542"/>
      <c r="DR65" s="542"/>
      <c r="DS65" s="542"/>
      <c r="DT65" s="542"/>
      <c r="DU65" s="542"/>
      <c r="DV65" s="542"/>
      <c r="DW65" s="542"/>
      <c r="DX65" s="542"/>
      <c r="DY65" s="542"/>
      <c r="DZ65" s="542"/>
      <c r="EA65" s="542"/>
      <c r="EB65" s="542"/>
      <c r="EC65" s="542"/>
      <c r="ED65" s="542"/>
      <c r="EE65" s="542"/>
      <c r="EF65" s="542"/>
      <c r="EG65" s="542"/>
      <c r="EH65" s="542"/>
      <c r="EI65" s="542"/>
      <c r="EJ65" s="542"/>
      <c r="EK65" s="542"/>
      <c r="EL65" s="542"/>
      <c r="EM65" s="542"/>
      <c r="EN65" s="542"/>
      <c r="EO65" s="542"/>
      <c r="EP65" s="542"/>
      <c r="EQ65" s="542"/>
      <c r="ER65" s="542"/>
      <c r="ES65" s="542"/>
      <c r="ET65" s="542"/>
      <c r="EU65" s="542"/>
      <c r="EV65" s="542"/>
      <c r="EW65" s="542"/>
      <c r="EX65" s="542"/>
      <c r="EY65" s="542"/>
      <c r="EZ65" s="542"/>
      <c r="FA65" s="542"/>
      <c r="FB65" s="542"/>
      <c r="FC65" s="542"/>
      <c r="FD65" s="542"/>
      <c r="FE65" s="542"/>
      <c r="FF65" s="542"/>
      <c r="FG65" s="542"/>
      <c r="FH65" s="542"/>
      <c r="FI65" s="542"/>
      <c r="FJ65" s="542"/>
      <c r="FK65" s="542"/>
      <c r="FL65" s="542"/>
      <c r="FM65" s="542"/>
      <c r="FN65" s="542"/>
      <c r="FO65" s="542"/>
      <c r="FP65" s="542"/>
      <c r="FQ65" s="542"/>
      <c r="FR65" s="542"/>
      <c r="FS65" s="542"/>
      <c r="FT65" s="542"/>
      <c r="FU65" s="542"/>
      <c r="FV65" s="542"/>
      <c r="FW65" s="542"/>
      <c r="FX65" s="542"/>
      <c r="FY65" s="542"/>
      <c r="FZ65" s="542"/>
      <c r="GA65" s="542"/>
      <c r="GB65" s="542"/>
      <c r="GC65" s="542"/>
      <c r="GD65" s="542"/>
      <c r="GE65" s="542"/>
      <c r="GF65" s="542"/>
      <c r="GG65" s="542"/>
      <c r="GH65" s="542"/>
      <c r="GI65" s="542"/>
      <c r="GJ65" s="542"/>
      <c r="GK65" s="542"/>
      <c r="GL65" s="542"/>
      <c r="GM65" s="542"/>
      <c r="GN65" s="542"/>
      <c r="GO65" s="542"/>
      <c r="GP65" s="542"/>
      <c r="GQ65" s="542"/>
      <c r="GR65" s="542"/>
      <c r="GS65" s="542"/>
      <c r="GT65" s="542"/>
      <c r="GU65" s="542"/>
      <c r="GV65" s="542"/>
      <c r="GW65" s="542"/>
      <c r="GX65" s="542"/>
      <c r="GY65" s="542"/>
      <c r="GZ65" s="542"/>
      <c r="HA65" s="542"/>
      <c r="HB65" s="542"/>
      <c r="HC65" s="542"/>
      <c r="HD65" s="542"/>
      <c r="HE65" s="542"/>
      <c r="HF65" s="542"/>
      <c r="HG65" s="542"/>
      <c r="HH65" s="542"/>
      <c r="HI65" s="542"/>
      <c r="HJ65" s="542"/>
      <c r="HK65" s="542"/>
      <c r="HL65" s="542"/>
      <c r="HM65" s="542"/>
      <c r="HN65" s="542"/>
      <c r="HO65" s="542"/>
      <c r="HP65" s="542"/>
      <c r="HQ65" s="542"/>
      <c r="HR65" s="542"/>
      <c r="HS65" s="542"/>
      <c r="HT65" s="542"/>
      <c r="HU65" s="542"/>
      <c r="HV65" s="542"/>
      <c r="HW65" s="542"/>
      <c r="HX65" s="542"/>
      <c r="HY65" s="542"/>
      <c r="HZ65" s="542"/>
      <c r="IA65" s="542"/>
      <c r="IB65" s="542"/>
      <c r="IC65" s="542"/>
      <c r="ID65" s="542"/>
      <c r="IE65" s="542"/>
      <c r="IF65" s="542"/>
      <c r="IG65" s="542"/>
      <c r="IH65" s="542"/>
      <c r="II65" s="542"/>
      <c r="IJ65" s="542"/>
      <c r="IK65" s="542"/>
      <c r="IL65" s="542"/>
      <c r="IM65" s="542"/>
      <c r="IN65" s="542"/>
      <c r="IO65" s="542"/>
      <c r="IP65" s="542"/>
      <c r="IQ65" s="542"/>
      <c r="IR65" s="542"/>
      <c r="IS65" s="542"/>
      <c r="IT65" s="542"/>
      <c r="IU65" s="542"/>
      <c r="IV65" s="542"/>
      <c r="IW65" s="542"/>
      <c r="IX65" s="542"/>
      <c r="IY65" s="542"/>
      <c r="IZ65" s="542"/>
      <c r="JA65" s="542"/>
      <c r="JB65" s="542"/>
    </row>
    <row r="66" spans="1:262" ht="13.8" hidden="1">
      <c r="A66" s="1495"/>
      <c r="B66" s="550"/>
      <c r="C66" s="550"/>
      <c r="D66" s="1333"/>
      <c r="E66" s="550"/>
      <c r="F66" s="439"/>
      <c r="G66" s="440"/>
      <c r="H66" s="439"/>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1383"/>
      <c r="CX66" s="557"/>
      <c r="CZ66" s="542"/>
      <c r="DA66" s="542"/>
      <c r="DB66" s="542"/>
      <c r="DC66" s="542"/>
      <c r="DD66" s="542"/>
      <c r="DE66" s="542"/>
      <c r="DF66" s="542"/>
      <c r="DG66" s="542"/>
      <c r="DH66" s="542"/>
      <c r="DI66" s="542"/>
      <c r="DJ66" s="542"/>
      <c r="DK66" s="542"/>
      <c r="DL66" s="542"/>
      <c r="DM66" s="542"/>
      <c r="DN66" s="542"/>
      <c r="DO66" s="542"/>
      <c r="DP66" s="542"/>
      <c r="DQ66" s="542"/>
      <c r="DR66" s="542"/>
      <c r="DS66" s="542"/>
      <c r="DT66" s="542"/>
      <c r="DU66" s="542"/>
      <c r="DV66" s="542"/>
      <c r="DW66" s="542"/>
      <c r="DX66" s="542"/>
      <c r="DY66" s="542"/>
      <c r="DZ66" s="542"/>
      <c r="EA66" s="542"/>
      <c r="EB66" s="542"/>
      <c r="EC66" s="542"/>
      <c r="ED66" s="542"/>
      <c r="EE66" s="542"/>
      <c r="EF66" s="542"/>
      <c r="EG66" s="542"/>
      <c r="EH66" s="542"/>
      <c r="EI66" s="542"/>
      <c r="EJ66" s="542"/>
      <c r="EK66" s="542"/>
      <c r="EL66" s="542"/>
      <c r="EM66" s="542"/>
      <c r="EN66" s="542"/>
      <c r="EO66" s="542"/>
      <c r="EP66" s="542"/>
      <c r="EQ66" s="542"/>
      <c r="ER66" s="542"/>
      <c r="ES66" s="542"/>
      <c r="ET66" s="542"/>
      <c r="EU66" s="542"/>
      <c r="EV66" s="542"/>
      <c r="EW66" s="542"/>
      <c r="EX66" s="542"/>
      <c r="EY66" s="542"/>
      <c r="EZ66" s="542"/>
      <c r="FA66" s="542"/>
      <c r="FB66" s="542"/>
      <c r="FC66" s="542"/>
      <c r="FD66" s="542"/>
      <c r="FE66" s="542"/>
      <c r="FF66" s="542"/>
      <c r="FG66" s="542"/>
      <c r="FH66" s="542"/>
      <c r="FI66" s="542"/>
      <c r="FJ66" s="542"/>
      <c r="FK66" s="542"/>
      <c r="FL66" s="542"/>
      <c r="FM66" s="542"/>
      <c r="FN66" s="542"/>
      <c r="FO66" s="542"/>
      <c r="FP66" s="542"/>
      <c r="FQ66" s="542"/>
      <c r="FR66" s="542"/>
      <c r="FS66" s="542"/>
      <c r="FT66" s="542"/>
      <c r="FU66" s="542"/>
      <c r="FV66" s="542"/>
      <c r="FW66" s="542"/>
      <c r="FX66" s="542"/>
      <c r="FY66" s="542"/>
      <c r="FZ66" s="542"/>
      <c r="GA66" s="542"/>
      <c r="GB66" s="542"/>
      <c r="GC66" s="542"/>
      <c r="GD66" s="542"/>
      <c r="GE66" s="542"/>
      <c r="GF66" s="542"/>
      <c r="GG66" s="542"/>
      <c r="GH66" s="542"/>
      <c r="GI66" s="542"/>
      <c r="GJ66" s="542"/>
      <c r="GK66" s="542"/>
      <c r="GL66" s="542"/>
      <c r="GM66" s="542"/>
      <c r="GN66" s="542"/>
      <c r="GO66" s="542"/>
      <c r="GP66" s="542"/>
      <c r="GQ66" s="542"/>
      <c r="GR66" s="542"/>
      <c r="GS66" s="542"/>
      <c r="GT66" s="542"/>
      <c r="GU66" s="542"/>
      <c r="GV66" s="542"/>
      <c r="GW66" s="542"/>
      <c r="GX66" s="542"/>
      <c r="GY66" s="542"/>
      <c r="GZ66" s="542"/>
      <c r="HA66" s="542"/>
      <c r="HB66" s="542"/>
      <c r="HC66" s="542"/>
      <c r="HD66" s="542"/>
      <c r="HE66" s="542"/>
      <c r="HF66" s="542"/>
      <c r="HG66" s="542"/>
      <c r="HH66" s="542"/>
      <c r="HI66" s="542"/>
      <c r="HJ66" s="542"/>
      <c r="HK66" s="542"/>
      <c r="HL66" s="542"/>
      <c r="HM66" s="542"/>
      <c r="HN66" s="542"/>
      <c r="HO66" s="542"/>
      <c r="HP66" s="542"/>
      <c r="HQ66" s="542"/>
      <c r="HR66" s="542"/>
      <c r="HS66" s="542"/>
      <c r="HT66" s="542"/>
      <c r="HU66" s="542"/>
      <c r="HV66" s="542"/>
      <c r="HW66" s="542"/>
      <c r="HX66" s="542"/>
      <c r="HY66" s="542"/>
      <c r="HZ66" s="542"/>
      <c r="IA66" s="542"/>
      <c r="IB66" s="542"/>
      <c r="IC66" s="542"/>
      <c r="ID66" s="542"/>
      <c r="IE66" s="542"/>
      <c r="IF66" s="542"/>
      <c r="IG66" s="542"/>
      <c r="IH66" s="542"/>
      <c r="II66" s="542"/>
      <c r="IJ66" s="542"/>
      <c r="IK66" s="542"/>
      <c r="IL66" s="542"/>
      <c r="IM66" s="542"/>
      <c r="IN66" s="542"/>
      <c r="IO66" s="542"/>
      <c r="IP66" s="542"/>
      <c r="IQ66" s="542"/>
      <c r="IR66" s="542"/>
      <c r="IS66" s="542"/>
      <c r="IT66" s="542"/>
      <c r="IU66" s="542"/>
      <c r="IV66" s="542"/>
      <c r="IW66" s="542"/>
      <c r="IX66" s="542"/>
      <c r="IY66" s="542"/>
      <c r="IZ66" s="542"/>
      <c r="JA66" s="542"/>
      <c r="JB66" s="542"/>
    </row>
    <row r="67" spans="1:262" ht="13.8" hidden="1">
      <c r="A67" s="1495"/>
      <c r="B67" s="550"/>
      <c r="C67" s="550"/>
      <c r="D67" s="1333"/>
      <c r="E67" s="550"/>
      <c r="F67" s="439"/>
      <c r="G67" s="440"/>
      <c r="H67" s="439"/>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1383"/>
      <c r="CX67" s="557"/>
      <c r="CZ67" s="542"/>
      <c r="DA67" s="542"/>
      <c r="DB67" s="542"/>
      <c r="DC67" s="542"/>
      <c r="DD67" s="542"/>
      <c r="DE67" s="542"/>
      <c r="DF67" s="542"/>
      <c r="DG67" s="542"/>
      <c r="DH67" s="542"/>
      <c r="DI67" s="542"/>
      <c r="DJ67" s="542"/>
      <c r="DK67" s="542"/>
      <c r="DL67" s="542"/>
      <c r="DM67" s="542"/>
      <c r="DN67" s="542"/>
      <c r="DO67" s="542"/>
      <c r="DP67" s="542"/>
      <c r="DQ67" s="542"/>
      <c r="DR67" s="542"/>
      <c r="DS67" s="542"/>
      <c r="DT67" s="542"/>
      <c r="DU67" s="542"/>
      <c r="DV67" s="542"/>
      <c r="DW67" s="542"/>
      <c r="DX67" s="542"/>
      <c r="DY67" s="542"/>
      <c r="DZ67" s="542"/>
      <c r="EA67" s="542"/>
      <c r="EB67" s="542"/>
      <c r="EC67" s="542"/>
      <c r="ED67" s="542"/>
      <c r="EE67" s="542"/>
      <c r="EF67" s="542"/>
      <c r="EG67" s="542"/>
      <c r="EH67" s="542"/>
      <c r="EI67" s="542"/>
      <c r="EJ67" s="542"/>
      <c r="EK67" s="542"/>
      <c r="EL67" s="542"/>
      <c r="EM67" s="542"/>
      <c r="EN67" s="542"/>
      <c r="EO67" s="542"/>
      <c r="EP67" s="542"/>
      <c r="EQ67" s="542"/>
      <c r="ER67" s="542"/>
      <c r="ES67" s="542"/>
      <c r="ET67" s="542"/>
      <c r="EU67" s="542"/>
      <c r="EV67" s="542"/>
      <c r="EW67" s="542"/>
      <c r="EX67" s="542"/>
      <c r="EY67" s="542"/>
      <c r="EZ67" s="542"/>
      <c r="FA67" s="542"/>
      <c r="FB67" s="542"/>
      <c r="FC67" s="542"/>
      <c r="FD67" s="542"/>
      <c r="FE67" s="542"/>
      <c r="FF67" s="542"/>
      <c r="FG67" s="542"/>
      <c r="FH67" s="542"/>
      <c r="FI67" s="542"/>
      <c r="FJ67" s="542"/>
      <c r="FK67" s="542"/>
      <c r="FL67" s="542"/>
      <c r="FM67" s="542"/>
      <c r="FN67" s="542"/>
      <c r="FO67" s="542"/>
      <c r="FP67" s="542"/>
      <c r="FQ67" s="542"/>
      <c r="FR67" s="542"/>
      <c r="FS67" s="542"/>
      <c r="FT67" s="542"/>
      <c r="FU67" s="542"/>
      <c r="FV67" s="542"/>
      <c r="FW67" s="542"/>
      <c r="FX67" s="542"/>
      <c r="FY67" s="542"/>
      <c r="FZ67" s="542"/>
      <c r="GA67" s="542"/>
      <c r="GB67" s="542"/>
      <c r="GC67" s="542"/>
      <c r="GD67" s="542"/>
      <c r="GE67" s="542"/>
      <c r="GF67" s="542"/>
      <c r="GG67" s="542"/>
      <c r="GH67" s="542"/>
      <c r="GI67" s="542"/>
      <c r="GJ67" s="542"/>
      <c r="GK67" s="542"/>
      <c r="GL67" s="542"/>
      <c r="GM67" s="542"/>
      <c r="GN67" s="542"/>
      <c r="GO67" s="542"/>
      <c r="GP67" s="542"/>
      <c r="GQ67" s="542"/>
      <c r="GR67" s="542"/>
      <c r="GS67" s="542"/>
      <c r="GT67" s="542"/>
      <c r="GU67" s="542"/>
      <c r="GV67" s="542"/>
      <c r="GW67" s="542"/>
      <c r="GX67" s="542"/>
      <c r="GY67" s="542"/>
      <c r="GZ67" s="542"/>
      <c r="HA67" s="542"/>
      <c r="HB67" s="542"/>
      <c r="HC67" s="542"/>
      <c r="HD67" s="542"/>
      <c r="HE67" s="542"/>
      <c r="HF67" s="542"/>
      <c r="HG67" s="542"/>
      <c r="HH67" s="542"/>
      <c r="HI67" s="542"/>
      <c r="HJ67" s="542"/>
      <c r="HK67" s="542"/>
      <c r="HL67" s="542"/>
      <c r="HM67" s="542"/>
      <c r="HN67" s="542"/>
      <c r="HO67" s="542"/>
      <c r="HP67" s="542"/>
      <c r="HQ67" s="542"/>
      <c r="HR67" s="542"/>
      <c r="HS67" s="542"/>
      <c r="HT67" s="542"/>
      <c r="HU67" s="542"/>
      <c r="HV67" s="542"/>
      <c r="HW67" s="542"/>
      <c r="HX67" s="542"/>
      <c r="HY67" s="542"/>
      <c r="HZ67" s="542"/>
      <c r="IA67" s="542"/>
      <c r="IB67" s="542"/>
      <c r="IC67" s="542"/>
      <c r="ID67" s="542"/>
      <c r="IE67" s="542"/>
      <c r="IF67" s="542"/>
      <c r="IG67" s="542"/>
      <c r="IH67" s="542"/>
      <c r="II67" s="542"/>
      <c r="IJ67" s="542"/>
      <c r="IK67" s="542"/>
      <c r="IL67" s="542"/>
      <c r="IM67" s="542"/>
      <c r="IN67" s="542"/>
      <c r="IO67" s="542"/>
      <c r="IP67" s="542"/>
      <c r="IQ67" s="542"/>
      <c r="IR67" s="542"/>
      <c r="IS67" s="542"/>
      <c r="IT67" s="542"/>
      <c r="IU67" s="542"/>
      <c r="IV67" s="542"/>
      <c r="IW67" s="542"/>
      <c r="IX67" s="542"/>
      <c r="IY67" s="542"/>
      <c r="IZ67" s="542"/>
      <c r="JA67" s="542"/>
      <c r="JB67" s="542"/>
    </row>
    <row r="68" spans="1:262" ht="13.8" hidden="1">
      <c r="A68" s="1495"/>
      <c r="B68" s="550"/>
      <c r="C68" s="550"/>
      <c r="D68" s="1333"/>
      <c r="E68" s="550"/>
      <c r="F68" s="439"/>
      <c r="G68" s="440"/>
      <c r="H68" s="439"/>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1383"/>
      <c r="CX68" s="557"/>
      <c r="CZ68" s="542"/>
      <c r="DA68" s="542"/>
      <c r="DB68" s="542"/>
      <c r="DC68" s="542"/>
      <c r="DD68" s="542"/>
      <c r="DE68" s="542"/>
      <c r="DF68" s="542"/>
      <c r="DG68" s="542"/>
      <c r="DH68" s="542"/>
      <c r="DI68" s="542"/>
      <c r="DJ68" s="542"/>
      <c r="DK68" s="542"/>
      <c r="DL68" s="542"/>
      <c r="DM68" s="542"/>
      <c r="DN68" s="542"/>
      <c r="DO68" s="542"/>
      <c r="DP68" s="542"/>
      <c r="DQ68" s="542"/>
      <c r="DR68" s="542"/>
      <c r="DS68" s="542"/>
      <c r="DT68" s="542"/>
      <c r="DU68" s="542"/>
      <c r="DV68" s="542"/>
      <c r="DW68" s="542"/>
      <c r="DX68" s="542"/>
      <c r="DY68" s="542"/>
      <c r="DZ68" s="542"/>
      <c r="EA68" s="542"/>
      <c r="EB68" s="542"/>
      <c r="EC68" s="542"/>
      <c r="ED68" s="542"/>
      <c r="EE68" s="542"/>
      <c r="EF68" s="542"/>
      <c r="EG68" s="542"/>
      <c r="EH68" s="542"/>
      <c r="EI68" s="542"/>
      <c r="EJ68" s="542"/>
      <c r="EK68" s="542"/>
      <c r="EL68" s="542"/>
      <c r="EM68" s="542"/>
      <c r="EN68" s="542"/>
      <c r="EO68" s="542"/>
      <c r="EP68" s="542"/>
      <c r="EQ68" s="542"/>
      <c r="ER68" s="542"/>
      <c r="ES68" s="542"/>
      <c r="ET68" s="542"/>
      <c r="EU68" s="542"/>
      <c r="EV68" s="542"/>
      <c r="EW68" s="542"/>
      <c r="EX68" s="542"/>
      <c r="EY68" s="542"/>
      <c r="EZ68" s="542"/>
      <c r="FA68" s="542"/>
      <c r="FB68" s="542"/>
      <c r="FC68" s="542"/>
      <c r="FD68" s="542"/>
      <c r="FE68" s="542"/>
      <c r="FF68" s="542"/>
      <c r="FG68" s="542"/>
      <c r="FH68" s="542"/>
      <c r="FI68" s="542"/>
      <c r="FJ68" s="542"/>
      <c r="FK68" s="542"/>
      <c r="FL68" s="542"/>
      <c r="FM68" s="542"/>
      <c r="FN68" s="542"/>
      <c r="FO68" s="542"/>
      <c r="FP68" s="542"/>
      <c r="FQ68" s="542"/>
      <c r="FR68" s="542"/>
      <c r="FS68" s="542"/>
      <c r="FT68" s="542"/>
      <c r="FU68" s="542"/>
      <c r="FV68" s="542"/>
      <c r="FW68" s="542"/>
      <c r="FX68" s="542"/>
      <c r="FY68" s="542"/>
      <c r="FZ68" s="542"/>
      <c r="GA68" s="542"/>
      <c r="GB68" s="542"/>
      <c r="GC68" s="542"/>
      <c r="GD68" s="542"/>
      <c r="GE68" s="542"/>
      <c r="GF68" s="542"/>
      <c r="GG68" s="542"/>
      <c r="GH68" s="542"/>
      <c r="GI68" s="542"/>
      <c r="GJ68" s="542"/>
      <c r="GK68" s="542"/>
      <c r="GL68" s="542"/>
      <c r="GM68" s="542"/>
      <c r="GN68" s="542"/>
      <c r="GO68" s="542"/>
      <c r="GP68" s="542"/>
      <c r="GQ68" s="542"/>
      <c r="GR68" s="542"/>
      <c r="GS68" s="542"/>
      <c r="GT68" s="542"/>
      <c r="GU68" s="542"/>
      <c r="GV68" s="542"/>
      <c r="GW68" s="542"/>
      <c r="GX68" s="542"/>
      <c r="GY68" s="542"/>
      <c r="GZ68" s="542"/>
      <c r="HA68" s="542"/>
      <c r="HB68" s="542"/>
      <c r="HC68" s="542"/>
      <c r="HD68" s="542"/>
      <c r="HE68" s="542"/>
      <c r="HF68" s="542"/>
      <c r="HG68" s="542"/>
      <c r="HH68" s="542"/>
      <c r="HI68" s="542"/>
      <c r="HJ68" s="542"/>
      <c r="HK68" s="542"/>
      <c r="HL68" s="542"/>
      <c r="HM68" s="542"/>
      <c r="HN68" s="542"/>
      <c r="HO68" s="542"/>
      <c r="HP68" s="542"/>
      <c r="HQ68" s="542"/>
      <c r="HR68" s="542"/>
      <c r="HS68" s="542"/>
      <c r="HT68" s="542"/>
      <c r="HU68" s="542"/>
      <c r="HV68" s="542"/>
      <c r="HW68" s="542"/>
      <c r="HX68" s="542"/>
      <c r="HY68" s="542"/>
      <c r="HZ68" s="542"/>
      <c r="IA68" s="542"/>
      <c r="IB68" s="542"/>
      <c r="IC68" s="542"/>
      <c r="ID68" s="542"/>
      <c r="IE68" s="542"/>
      <c r="IF68" s="542"/>
      <c r="IG68" s="542"/>
      <c r="IH68" s="542"/>
      <c r="II68" s="542"/>
      <c r="IJ68" s="542"/>
      <c r="IK68" s="542"/>
      <c r="IL68" s="542"/>
      <c r="IM68" s="542"/>
      <c r="IN68" s="542"/>
      <c r="IO68" s="542"/>
      <c r="IP68" s="542"/>
      <c r="IQ68" s="542"/>
      <c r="IR68" s="542"/>
      <c r="IS68" s="542"/>
      <c r="IT68" s="542"/>
      <c r="IU68" s="542"/>
      <c r="IV68" s="542"/>
      <c r="IW68" s="542"/>
      <c r="IX68" s="542"/>
      <c r="IY68" s="542"/>
      <c r="IZ68" s="542"/>
      <c r="JA68" s="542"/>
      <c r="JB68" s="542"/>
    </row>
    <row r="69" spans="1:262" ht="13.8" hidden="1">
      <c r="A69" s="1495"/>
      <c r="B69" s="550"/>
      <c r="C69" s="550"/>
      <c r="D69" s="1333"/>
      <c r="E69" s="550"/>
      <c r="F69" s="439"/>
      <c r="G69" s="440"/>
      <c r="H69" s="439"/>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1383"/>
      <c r="CX69" s="557"/>
      <c r="CZ69" s="542"/>
      <c r="DA69" s="542"/>
      <c r="DB69" s="542"/>
      <c r="DC69" s="542"/>
      <c r="DD69" s="542"/>
      <c r="DE69" s="542"/>
      <c r="DF69" s="542"/>
      <c r="DG69" s="542"/>
      <c r="DH69" s="542"/>
      <c r="DI69" s="542"/>
      <c r="DJ69" s="542"/>
      <c r="DK69" s="542"/>
      <c r="DL69" s="542"/>
      <c r="DM69" s="542"/>
      <c r="DN69" s="542"/>
      <c r="DO69" s="542"/>
      <c r="DP69" s="542"/>
      <c r="DQ69" s="542"/>
      <c r="DR69" s="542"/>
      <c r="DS69" s="542"/>
      <c r="DT69" s="542"/>
      <c r="DU69" s="542"/>
      <c r="DV69" s="542"/>
      <c r="DW69" s="542"/>
      <c r="DX69" s="542"/>
      <c r="DY69" s="542"/>
      <c r="DZ69" s="542"/>
      <c r="EA69" s="542"/>
      <c r="EB69" s="542"/>
      <c r="EC69" s="542"/>
      <c r="ED69" s="542"/>
      <c r="EE69" s="542"/>
      <c r="EF69" s="542"/>
      <c r="EG69" s="542"/>
      <c r="EH69" s="542"/>
      <c r="EI69" s="542"/>
      <c r="EJ69" s="542"/>
      <c r="EK69" s="542"/>
      <c r="EL69" s="542"/>
      <c r="EM69" s="542"/>
      <c r="EN69" s="542"/>
      <c r="EO69" s="542"/>
      <c r="EP69" s="542"/>
      <c r="EQ69" s="542"/>
      <c r="ER69" s="542"/>
      <c r="ES69" s="542"/>
      <c r="ET69" s="542"/>
      <c r="EU69" s="542"/>
      <c r="EV69" s="542"/>
      <c r="EW69" s="542"/>
      <c r="EX69" s="542"/>
      <c r="EY69" s="542"/>
      <c r="EZ69" s="542"/>
      <c r="FA69" s="542"/>
      <c r="FB69" s="542"/>
      <c r="FC69" s="542"/>
      <c r="FD69" s="542"/>
      <c r="FE69" s="542"/>
      <c r="FF69" s="542"/>
      <c r="FG69" s="542"/>
      <c r="FH69" s="542"/>
      <c r="FI69" s="542"/>
      <c r="FJ69" s="542"/>
      <c r="FK69" s="542"/>
      <c r="FL69" s="542"/>
      <c r="FM69" s="542"/>
      <c r="FN69" s="542"/>
      <c r="FO69" s="542"/>
      <c r="FP69" s="542"/>
      <c r="FQ69" s="542"/>
      <c r="FR69" s="542"/>
      <c r="FS69" s="542"/>
      <c r="FT69" s="542"/>
      <c r="FU69" s="542"/>
      <c r="FV69" s="542"/>
      <c r="FW69" s="542"/>
      <c r="FX69" s="542"/>
      <c r="FY69" s="542"/>
      <c r="FZ69" s="542"/>
      <c r="GA69" s="542"/>
      <c r="GB69" s="542"/>
      <c r="GC69" s="542"/>
      <c r="GD69" s="542"/>
      <c r="GE69" s="542"/>
      <c r="GF69" s="542"/>
      <c r="GG69" s="542"/>
      <c r="GH69" s="542"/>
      <c r="GI69" s="542"/>
      <c r="GJ69" s="542"/>
      <c r="GK69" s="542"/>
      <c r="GL69" s="542"/>
      <c r="GM69" s="542"/>
      <c r="GN69" s="542"/>
      <c r="GO69" s="542"/>
      <c r="GP69" s="542"/>
      <c r="GQ69" s="542"/>
      <c r="GR69" s="542"/>
      <c r="GS69" s="542"/>
      <c r="GT69" s="542"/>
      <c r="GU69" s="542"/>
      <c r="GV69" s="542"/>
      <c r="GW69" s="542"/>
      <c r="GX69" s="542"/>
      <c r="GY69" s="542"/>
      <c r="GZ69" s="542"/>
      <c r="HA69" s="542"/>
      <c r="HB69" s="542"/>
      <c r="HC69" s="542"/>
      <c r="HD69" s="542"/>
      <c r="HE69" s="542"/>
      <c r="HF69" s="542"/>
      <c r="HG69" s="542"/>
      <c r="HH69" s="542"/>
      <c r="HI69" s="542"/>
      <c r="HJ69" s="542"/>
      <c r="HK69" s="542"/>
      <c r="HL69" s="542"/>
      <c r="HM69" s="542"/>
      <c r="HN69" s="542"/>
      <c r="HO69" s="542"/>
      <c r="HP69" s="542"/>
      <c r="HQ69" s="542"/>
      <c r="HR69" s="542"/>
      <c r="HS69" s="542"/>
      <c r="HT69" s="542"/>
      <c r="HU69" s="542"/>
      <c r="HV69" s="542"/>
      <c r="HW69" s="542"/>
      <c r="HX69" s="542"/>
      <c r="HY69" s="542"/>
      <c r="HZ69" s="542"/>
      <c r="IA69" s="542"/>
      <c r="IB69" s="542"/>
      <c r="IC69" s="542"/>
      <c r="ID69" s="542"/>
      <c r="IE69" s="542"/>
      <c r="IF69" s="542"/>
      <c r="IG69" s="542"/>
      <c r="IH69" s="542"/>
      <c r="II69" s="542"/>
      <c r="IJ69" s="542"/>
      <c r="IK69" s="542"/>
      <c r="IL69" s="542"/>
      <c r="IM69" s="542"/>
      <c r="IN69" s="542"/>
      <c r="IO69" s="542"/>
      <c r="IP69" s="542"/>
      <c r="IQ69" s="542"/>
      <c r="IR69" s="542"/>
      <c r="IS69" s="542"/>
      <c r="IT69" s="542"/>
      <c r="IU69" s="542"/>
      <c r="IV69" s="542"/>
      <c r="IW69" s="542"/>
      <c r="IX69" s="542"/>
      <c r="IY69" s="542"/>
      <c r="IZ69" s="542"/>
      <c r="JA69" s="542"/>
      <c r="JB69" s="542"/>
    </row>
    <row r="70" spans="1:262" ht="13.8" hidden="1">
      <c r="A70" s="1495"/>
      <c r="B70" s="550"/>
      <c r="C70" s="550"/>
      <c r="D70" s="1333"/>
      <c r="E70" s="550"/>
      <c r="F70" s="439"/>
      <c r="G70" s="440"/>
      <c r="H70" s="439"/>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1383"/>
      <c r="CX70" s="557"/>
      <c r="CZ70" s="542"/>
      <c r="DA70" s="542"/>
      <c r="DB70" s="542"/>
      <c r="DC70" s="542"/>
      <c r="DD70" s="542"/>
      <c r="DE70" s="542"/>
      <c r="DF70" s="542"/>
      <c r="DG70" s="542"/>
      <c r="DH70" s="542"/>
      <c r="DI70" s="542"/>
      <c r="DJ70" s="542"/>
      <c r="DK70" s="542"/>
      <c r="DL70" s="542"/>
      <c r="DM70" s="542"/>
      <c r="DN70" s="542"/>
      <c r="DO70" s="542"/>
      <c r="DP70" s="542"/>
      <c r="DQ70" s="542"/>
      <c r="DR70" s="542"/>
      <c r="DS70" s="542"/>
      <c r="DT70" s="542"/>
      <c r="DU70" s="542"/>
      <c r="DV70" s="542"/>
      <c r="DW70" s="542"/>
      <c r="DX70" s="542"/>
      <c r="DY70" s="542"/>
      <c r="DZ70" s="542"/>
      <c r="EA70" s="542"/>
      <c r="EB70" s="542"/>
      <c r="EC70" s="542"/>
      <c r="ED70" s="542"/>
      <c r="EE70" s="542"/>
      <c r="EF70" s="542"/>
      <c r="EG70" s="542"/>
      <c r="EH70" s="542"/>
      <c r="EI70" s="542"/>
      <c r="EJ70" s="542"/>
      <c r="EK70" s="542"/>
      <c r="EL70" s="542"/>
      <c r="EM70" s="542"/>
      <c r="EN70" s="542"/>
      <c r="EO70" s="542"/>
      <c r="EP70" s="542"/>
      <c r="EQ70" s="542"/>
      <c r="ER70" s="542"/>
      <c r="ES70" s="542"/>
      <c r="ET70" s="542"/>
      <c r="EU70" s="542"/>
      <c r="EV70" s="542"/>
      <c r="EW70" s="542"/>
      <c r="EX70" s="542"/>
      <c r="EY70" s="542"/>
      <c r="EZ70" s="542"/>
      <c r="FA70" s="542"/>
      <c r="FB70" s="542"/>
      <c r="FC70" s="542"/>
      <c r="FD70" s="542"/>
      <c r="FE70" s="542"/>
      <c r="FF70" s="542"/>
      <c r="FG70" s="542"/>
      <c r="FH70" s="542"/>
      <c r="FI70" s="542"/>
      <c r="FJ70" s="542"/>
      <c r="FK70" s="542"/>
      <c r="FL70" s="542"/>
      <c r="FM70" s="542"/>
      <c r="FN70" s="542"/>
      <c r="FO70" s="542"/>
      <c r="FP70" s="542"/>
      <c r="FQ70" s="542"/>
      <c r="FR70" s="542"/>
      <c r="FS70" s="542"/>
      <c r="FT70" s="542"/>
      <c r="FU70" s="542"/>
      <c r="FV70" s="542"/>
      <c r="FW70" s="542"/>
      <c r="FX70" s="542"/>
      <c r="FY70" s="542"/>
      <c r="FZ70" s="542"/>
      <c r="GA70" s="542"/>
      <c r="GB70" s="542"/>
      <c r="GC70" s="542"/>
      <c r="GD70" s="542"/>
      <c r="GE70" s="542"/>
      <c r="GF70" s="542"/>
      <c r="GG70" s="542"/>
      <c r="GH70" s="542"/>
      <c r="GI70" s="542"/>
      <c r="GJ70" s="542"/>
      <c r="GK70" s="542"/>
      <c r="GL70" s="542"/>
      <c r="GM70" s="542"/>
      <c r="GN70" s="542"/>
      <c r="GO70" s="542"/>
      <c r="GP70" s="542"/>
      <c r="GQ70" s="542"/>
      <c r="GR70" s="542"/>
      <c r="GS70" s="542"/>
      <c r="GT70" s="542"/>
      <c r="GU70" s="542"/>
      <c r="GV70" s="542"/>
      <c r="GW70" s="542"/>
      <c r="GX70" s="542"/>
      <c r="GY70" s="542"/>
      <c r="GZ70" s="542"/>
      <c r="HA70" s="542"/>
      <c r="HB70" s="542"/>
      <c r="HC70" s="542"/>
      <c r="HD70" s="542"/>
      <c r="HE70" s="542"/>
      <c r="HF70" s="542"/>
      <c r="HG70" s="542"/>
      <c r="HH70" s="542"/>
      <c r="HI70" s="542"/>
      <c r="HJ70" s="542"/>
      <c r="HK70" s="542"/>
      <c r="HL70" s="542"/>
      <c r="HM70" s="542"/>
      <c r="HN70" s="542"/>
      <c r="HO70" s="542"/>
      <c r="HP70" s="542"/>
      <c r="HQ70" s="542"/>
      <c r="HR70" s="542"/>
      <c r="HS70" s="542"/>
      <c r="HT70" s="542"/>
      <c r="HU70" s="542"/>
      <c r="HV70" s="542"/>
      <c r="HW70" s="542"/>
      <c r="HX70" s="542"/>
      <c r="HY70" s="542"/>
      <c r="HZ70" s="542"/>
      <c r="IA70" s="542"/>
      <c r="IB70" s="542"/>
      <c r="IC70" s="542"/>
      <c r="ID70" s="542"/>
      <c r="IE70" s="542"/>
      <c r="IF70" s="542"/>
      <c r="IG70" s="542"/>
      <c r="IH70" s="542"/>
      <c r="II70" s="542"/>
      <c r="IJ70" s="542"/>
      <c r="IK70" s="542"/>
      <c r="IL70" s="542"/>
      <c r="IM70" s="542"/>
      <c r="IN70" s="542"/>
      <c r="IO70" s="542"/>
      <c r="IP70" s="542"/>
      <c r="IQ70" s="542"/>
      <c r="IR70" s="542"/>
      <c r="IS70" s="542"/>
      <c r="IT70" s="542"/>
      <c r="IU70" s="542"/>
      <c r="IV70" s="542"/>
      <c r="IW70" s="542"/>
      <c r="IX70" s="542"/>
      <c r="IY70" s="542"/>
      <c r="IZ70" s="542"/>
      <c r="JA70" s="542"/>
      <c r="JB70" s="542"/>
    </row>
    <row r="71" spans="1:262" ht="13.8" hidden="1">
      <c r="A71" s="1495"/>
      <c r="B71" s="550"/>
      <c r="C71" s="550"/>
      <c r="D71" s="1333"/>
      <c r="E71" s="550"/>
      <c r="F71" s="439"/>
      <c r="G71" s="440"/>
      <c r="H71" s="439"/>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1383"/>
      <c r="CX71" s="557"/>
      <c r="CZ71" s="542"/>
      <c r="DA71" s="542"/>
      <c r="DB71" s="542"/>
      <c r="DC71" s="542"/>
      <c r="DD71" s="542"/>
      <c r="DE71" s="542"/>
      <c r="DF71" s="542"/>
      <c r="DG71" s="542"/>
      <c r="DH71" s="542"/>
      <c r="DI71" s="542"/>
      <c r="DJ71" s="542"/>
      <c r="DK71" s="542"/>
      <c r="DL71" s="542"/>
      <c r="DM71" s="542"/>
      <c r="DN71" s="542"/>
      <c r="DO71" s="542"/>
      <c r="DP71" s="542"/>
      <c r="DQ71" s="542"/>
      <c r="DR71" s="542"/>
      <c r="DS71" s="542"/>
      <c r="DT71" s="542"/>
      <c r="DU71" s="542"/>
      <c r="DV71" s="542"/>
      <c r="DW71" s="542"/>
      <c r="DX71" s="542"/>
      <c r="DY71" s="542"/>
      <c r="DZ71" s="542"/>
      <c r="EA71" s="542"/>
      <c r="EB71" s="542"/>
      <c r="EC71" s="542"/>
      <c r="ED71" s="542"/>
      <c r="EE71" s="542"/>
      <c r="EF71" s="542"/>
      <c r="EG71" s="542"/>
      <c r="EH71" s="542"/>
      <c r="EI71" s="542"/>
      <c r="EJ71" s="542"/>
      <c r="EK71" s="542"/>
      <c r="EL71" s="542"/>
      <c r="EM71" s="542"/>
      <c r="EN71" s="542"/>
      <c r="EO71" s="542"/>
      <c r="EP71" s="542"/>
      <c r="EQ71" s="542"/>
      <c r="ER71" s="542"/>
      <c r="ES71" s="542"/>
      <c r="ET71" s="542"/>
      <c r="EU71" s="542"/>
      <c r="EV71" s="542"/>
      <c r="EW71" s="542"/>
      <c r="EX71" s="542"/>
      <c r="EY71" s="542"/>
      <c r="EZ71" s="542"/>
      <c r="FA71" s="542"/>
      <c r="FB71" s="542"/>
      <c r="FC71" s="542"/>
      <c r="FD71" s="542"/>
      <c r="FE71" s="542"/>
      <c r="FF71" s="542"/>
      <c r="FG71" s="542"/>
      <c r="FH71" s="542"/>
      <c r="FI71" s="542"/>
      <c r="FJ71" s="542"/>
      <c r="FK71" s="542"/>
      <c r="FL71" s="542"/>
      <c r="FM71" s="542"/>
      <c r="FN71" s="542"/>
      <c r="FO71" s="542"/>
      <c r="FP71" s="542"/>
      <c r="FQ71" s="542"/>
      <c r="FR71" s="542"/>
      <c r="FS71" s="542"/>
      <c r="FT71" s="542"/>
      <c r="FU71" s="542"/>
      <c r="FV71" s="542"/>
      <c r="FW71" s="542"/>
      <c r="FX71" s="542"/>
      <c r="FY71" s="542"/>
      <c r="FZ71" s="542"/>
      <c r="GA71" s="542"/>
      <c r="GB71" s="542"/>
      <c r="GC71" s="542"/>
      <c r="GD71" s="542"/>
      <c r="GE71" s="542"/>
      <c r="GF71" s="542"/>
      <c r="GG71" s="542"/>
      <c r="GH71" s="542"/>
      <c r="GI71" s="542"/>
      <c r="GJ71" s="542"/>
      <c r="GK71" s="542"/>
      <c r="GL71" s="542"/>
      <c r="GM71" s="542"/>
      <c r="GN71" s="542"/>
      <c r="GO71" s="542"/>
      <c r="GP71" s="542"/>
      <c r="GQ71" s="542"/>
      <c r="GR71" s="542"/>
      <c r="GS71" s="542"/>
      <c r="GT71" s="542"/>
      <c r="GU71" s="542"/>
      <c r="GV71" s="542"/>
      <c r="GW71" s="542"/>
      <c r="GX71" s="542"/>
      <c r="GY71" s="542"/>
      <c r="GZ71" s="542"/>
      <c r="HA71" s="542"/>
      <c r="HB71" s="542"/>
      <c r="HC71" s="542"/>
      <c r="HD71" s="542"/>
      <c r="HE71" s="542"/>
      <c r="HF71" s="542"/>
      <c r="HG71" s="542"/>
      <c r="HH71" s="542"/>
      <c r="HI71" s="542"/>
      <c r="HJ71" s="542"/>
      <c r="HK71" s="542"/>
      <c r="HL71" s="542"/>
      <c r="HM71" s="542"/>
      <c r="HN71" s="542"/>
      <c r="HO71" s="542"/>
      <c r="HP71" s="542"/>
      <c r="HQ71" s="542"/>
      <c r="HR71" s="542"/>
      <c r="HS71" s="542"/>
      <c r="HT71" s="542"/>
      <c r="HU71" s="542"/>
      <c r="HV71" s="542"/>
      <c r="HW71" s="542"/>
      <c r="HX71" s="542"/>
      <c r="HY71" s="542"/>
      <c r="HZ71" s="542"/>
      <c r="IA71" s="542"/>
      <c r="IB71" s="542"/>
      <c r="IC71" s="542"/>
      <c r="ID71" s="542"/>
      <c r="IE71" s="542"/>
      <c r="IF71" s="542"/>
      <c r="IG71" s="542"/>
      <c r="IH71" s="542"/>
      <c r="II71" s="542"/>
      <c r="IJ71" s="542"/>
      <c r="IK71" s="542"/>
      <c r="IL71" s="542"/>
      <c r="IM71" s="542"/>
      <c r="IN71" s="542"/>
      <c r="IO71" s="542"/>
      <c r="IP71" s="542"/>
      <c r="IQ71" s="542"/>
      <c r="IR71" s="542"/>
      <c r="IS71" s="542"/>
      <c r="IT71" s="542"/>
      <c r="IU71" s="542"/>
      <c r="IV71" s="542"/>
      <c r="IW71" s="542"/>
      <c r="IX71" s="542"/>
      <c r="IY71" s="542"/>
      <c r="IZ71" s="542"/>
      <c r="JA71" s="542"/>
      <c r="JB71" s="542"/>
    </row>
    <row r="72" spans="1:262" ht="13.8" hidden="1">
      <c r="A72" s="1495"/>
      <c r="B72" s="550"/>
      <c r="C72" s="550"/>
      <c r="D72" s="1333"/>
      <c r="E72" s="550"/>
      <c r="F72" s="439"/>
      <c r="G72" s="440"/>
      <c r="H72" s="439"/>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1383"/>
      <c r="CX72" s="557"/>
      <c r="CZ72" s="542"/>
      <c r="DA72" s="542"/>
      <c r="DB72" s="542"/>
      <c r="DC72" s="542"/>
      <c r="DD72" s="542"/>
      <c r="DE72" s="542"/>
      <c r="DF72" s="542"/>
      <c r="DG72" s="542"/>
      <c r="DH72" s="542"/>
      <c r="DI72" s="542"/>
      <c r="DJ72" s="542"/>
      <c r="DK72" s="542"/>
      <c r="DL72" s="542"/>
      <c r="DM72" s="542"/>
      <c r="DN72" s="542"/>
      <c r="DO72" s="542"/>
      <c r="DP72" s="542"/>
      <c r="DQ72" s="542"/>
      <c r="DR72" s="542"/>
      <c r="DS72" s="542"/>
      <c r="DT72" s="542"/>
      <c r="DU72" s="542"/>
      <c r="DV72" s="542"/>
      <c r="DW72" s="542"/>
      <c r="DX72" s="542"/>
      <c r="DY72" s="542"/>
      <c r="DZ72" s="542"/>
      <c r="EA72" s="542"/>
      <c r="EB72" s="542"/>
      <c r="EC72" s="542"/>
      <c r="ED72" s="542"/>
      <c r="EE72" s="542"/>
      <c r="EF72" s="542"/>
      <c r="EG72" s="542"/>
      <c r="EH72" s="542"/>
      <c r="EI72" s="542"/>
      <c r="EJ72" s="542"/>
      <c r="EK72" s="542"/>
      <c r="EL72" s="542"/>
      <c r="EM72" s="542"/>
      <c r="EN72" s="542"/>
      <c r="EO72" s="542"/>
      <c r="EP72" s="542"/>
      <c r="EQ72" s="542"/>
      <c r="ER72" s="542"/>
      <c r="ES72" s="542"/>
      <c r="ET72" s="542"/>
      <c r="EU72" s="542"/>
      <c r="EV72" s="542"/>
      <c r="EW72" s="542"/>
      <c r="EX72" s="542"/>
      <c r="EY72" s="542"/>
      <c r="EZ72" s="542"/>
      <c r="FA72" s="542"/>
      <c r="FB72" s="542"/>
      <c r="FC72" s="542"/>
      <c r="FD72" s="542"/>
      <c r="FE72" s="542"/>
      <c r="FF72" s="542"/>
      <c r="FG72" s="542"/>
      <c r="FH72" s="542"/>
      <c r="FI72" s="542"/>
      <c r="FJ72" s="542"/>
      <c r="FK72" s="542"/>
      <c r="FL72" s="542"/>
      <c r="FM72" s="542"/>
      <c r="FN72" s="542"/>
      <c r="FO72" s="542"/>
      <c r="FP72" s="542"/>
      <c r="FQ72" s="542"/>
      <c r="FR72" s="542"/>
      <c r="FS72" s="542"/>
      <c r="FT72" s="542"/>
      <c r="FU72" s="542"/>
      <c r="FV72" s="542"/>
      <c r="FW72" s="542"/>
      <c r="FX72" s="542"/>
      <c r="FY72" s="542"/>
      <c r="FZ72" s="542"/>
      <c r="GA72" s="542"/>
      <c r="GB72" s="542"/>
      <c r="GC72" s="542"/>
      <c r="GD72" s="542"/>
      <c r="GE72" s="542"/>
      <c r="GF72" s="542"/>
      <c r="GG72" s="542"/>
      <c r="GH72" s="542"/>
      <c r="GI72" s="542"/>
      <c r="GJ72" s="542"/>
      <c r="GK72" s="542"/>
      <c r="GL72" s="542"/>
      <c r="GM72" s="542"/>
      <c r="GN72" s="542"/>
      <c r="GO72" s="542"/>
      <c r="GP72" s="542"/>
      <c r="GQ72" s="542"/>
      <c r="GR72" s="542"/>
      <c r="GS72" s="542"/>
      <c r="GT72" s="542"/>
      <c r="GU72" s="542"/>
      <c r="GV72" s="542"/>
      <c r="GW72" s="542"/>
      <c r="GX72" s="542"/>
      <c r="GY72" s="542"/>
      <c r="GZ72" s="542"/>
      <c r="HA72" s="542"/>
      <c r="HB72" s="542"/>
      <c r="HC72" s="542"/>
      <c r="HD72" s="542"/>
      <c r="HE72" s="542"/>
      <c r="HF72" s="542"/>
      <c r="HG72" s="542"/>
      <c r="HH72" s="542"/>
      <c r="HI72" s="542"/>
      <c r="HJ72" s="542"/>
      <c r="HK72" s="542"/>
      <c r="HL72" s="542"/>
      <c r="HM72" s="542"/>
      <c r="HN72" s="542"/>
      <c r="HO72" s="542"/>
      <c r="HP72" s="542"/>
      <c r="HQ72" s="542"/>
      <c r="HR72" s="542"/>
      <c r="HS72" s="542"/>
      <c r="HT72" s="542"/>
      <c r="HU72" s="542"/>
      <c r="HV72" s="542"/>
      <c r="HW72" s="542"/>
      <c r="HX72" s="542"/>
      <c r="HY72" s="542"/>
      <c r="HZ72" s="542"/>
      <c r="IA72" s="542"/>
      <c r="IB72" s="542"/>
      <c r="IC72" s="542"/>
      <c r="ID72" s="542"/>
      <c r="IE72" s="542"/>
      <c r="IF72" s="542"/>
      <c r="IG72" s="542"/>
      <c r="IH72" s="542"/>
      <c r="II72" s="542"/>
      <c r="IJ72" s="542"/>
      <c r="IK72" s="542"/>
      <c r="IL72" s="542"/>
      <c r="IM72" s="542"/>
      <c r="IN72" s="542"/>
      <c r="IO72" s="542"/>
      <c r="IP72" s="542"/>
      <c r="IQ72" s="542"/>
      <c r="IR72" s="542"/>
      <c r="IS72" s="542"/>
      <c r="IT72" s="542"/>
      <c r="IU72" s="542"/>
      <c r="IV72" s="542"/>
      <c r="IW72" s="542"/>
      <c r="IX72" s="542"/>
      <c r="IY72" s="542"/>
      <c r="IZ72" s="542"/>
      <c r="JA72" s="542"/>
      <c r="JB72" s="542"/>
    </row>
    <row r="73" spans="1:262" ht="13.8" hidden="1">
      <c r="A73" s="1495"/>
      <c r="B73" s="550"/>
      <c r="C73" s="550"/>
      <c r="D73" s="1333"/>
      <c r="E73" s="550"/>
      <c r="F73" s="439"/>
      <c r="G73" s="440"/>
      <c r="H73" s="439"/>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1383"/>
      <c r="CX73" s="557"/>
      <c r="CZ73" s="542"/>
      <c r="DA73" s="542"/>
      <c r="DB73" s="542"/>
      <c r="DC73" s="542"/>
      <c r="DD73" s="542"/>
      <c r="DE73" s="542"/>
      <c r="DF73" s="542"/>
      <c r="DG73" s="542"/>
      <c r="DH73" s="542"/>
      <c r="DI73" s="542"/>
      <c r="DJ73" s="542"/>
      <c r="DK73" s="542"/>
      <c r="DL73" s="542"/>
      <c r="DM73" s="542"/>
      <c r="DN73" s="542"/>
      <c r="DO73" s="542"/>
      <c r="DP73" s="542"/>
      <c r="DQ73" s="542"/>
      <c r="DR73" s="542"/>
      <c r="DS73" s="542"/>
      <c r="DT73" s="542"/>
      <c r="DU73" s="542"/>
      <c r="DV73" s="542"/>
      <c r="DW73" s="542"/>
      <c r="DX73" s="542"/>
      <c r="DY73" s="542"/>
      <c r="DZ73" s="542"/>
      <c r="EA73" s="542"/>
      <c r="EB73" s="542"/>
      <c r="EC73" s="542"/>
      <c r="ED73" s="542"/>
      <c r="EE73" s="542"/>
      <c r="EF73" s="542"/>
      <c r="EG73" s="542"/>
      <c r="EH73" s="542"/>
      <c r="EI73" s="542"/>
      <c r="EJ73" s="542"/>
      <c r="EK73" s="542"/>
      <c r="EL73" s="542"/>
      <c r="EM73" s="542"/>
      <c r="EN73" s="542"/>
      <c r="EO73" s="542"/>
      <c r="EP73" s="542"/>
      <c r="EQ73" s="542"/>
      <c r="ER73" s="542"/>
      <c r="ES73" s="542"/>
      <c r="ET73" s="542"/>
      <c r="EU73" s="542"/>
      <c r="EV73" s="542"/>
      <c r="EW73" s="542"/>
      <c r="EX73" s="542"/>
      <c r="EY73" s="542"/>
      <c r="EZ73" s="542"/>
      <c r="FA73" s="542"/>
      <c r="FB73" s="542"/>
      <c r="FC73" s="542"/>
      <c r="FD73" s="542"/>
      <c r="FE73" s="542"/>
      <c r="FF73" s="542"/>
      <c r="FG73" s="542"/>
      <c r="FH73" s="542"/>
      <c r="FI73" s="542"/>
      <c r="FJ73" s="542"/>
      <c r="FK73" s="542"/>
      <c r="FL73" s="542"/>
      <c r="FM73" s="542"/>
      <c r="FN73" s="542"/>
      <c r="FO73" s="542"/>
      <c r="FP73" s="542"/>
      <c r="FQ73" s="542"/>
      <c r="FR73" s="542"/>
      <c r="FS73" s="542"/>
      <c r="FT73" s="542"/>
      <c r="FU73" s="542"/>
      <c r="FV73" s="542"/>
      <c r="FW73" s="542"/>
      <c r="FX73" s="542"/>
      <c r="FY73" s="542"/>
      <c r="FZ73" s="542"/>
      <c r="GA73" s="542"/>
      <c r="GB73" s="542"/>
      <c r="GC73" s="542"/>
      <c r="GD73" s="542"/>
      <c r="GE73" s="542"/>
      <c r="GF73" s="542"/>
      <c r="GG73" s="542"/>
      <c r="GH73" s="542"/>
      <c r="GI73" s="542"/>
      <c r="GJ73" s="542"/>
      <c r="GK73" s="542"/>
      <c r="GL73" s="542"/>
      <c r="GM73" s="542"/>
      <c r="GN73" s="542"/>
      <c r="GO73" s="542"/>
      <c r="GP73" s="542"/>
      <c r="GQ73" s="542"/>
      <c r="GR73" s="542"/>
      <c r="GS73" s="542"/>
      <c r="GT73" s="542"/>
      <c r="GU73" s="542"/>
      <c r="GV73" s="542"/>
      <c r="GW73" s="542"/>
      <c r="GX73" s="542"/>
      <c r="GY73" s="542"/>
      <c r="GZ73" s="542"/>
      <c r="HA73" s="542"/>
      <c r="HB73" s="542"/>
      <c r="HC73" s="542"/>
      <c r="HD73" s="542"/>
      <c r="HE73" s="542"/>
      <c r="HF73" s="542"/>
      <c r="HG73" s="542"/>
      <c r="HH73" s="542"/>
      <c r="HI73" s="542"/>
      <c r="HJ73" s="542"/>
      <c r="HK73" s="542"/>
      <c r="HL73" s="542"/>
      <c r="HM73" s="542"/>
      <c r="HN73" s="542"/>
      <c r="HO73" s="542"/>
      <c r="HP73" s="542"/>
      <c r="HQ73" s="542"/>
      <c r="HR73" s="542"/>
      <c r="HS73" s="542"/>
      <c r="HT73" s="542"/>
      <c r="HU73" s="542"/>
      <c r="HV73" s="542"/>
      <c r="HW73" s="542"/>
      <c r="HX73" s="542"/>
      <c r="HY73" s="542"/>
      <c r="HZ73" s="542"/>
      <c r="IA73" s="542"/>
      <c r="IB73" s="542"/>
      <c r="IC73" s="542"/>
      <c r="ID73" s="542"/>
      <c r="IE73" s="542"/>
      <c r="IF73" s="542"/>
      <c r="IG73" s="542"/>
      <c r="IH73" s="542"/>
      <c r="II73" s="542"/>
      <c r="IJ73" s="542"/>
      <c r="IK73" s="542"/>
      <c r="IL73" s="542"/>
      <c r="IM73" s="542"/>
      <c r="IN73" s="542"/>
      <c r="IO73" s="542"/>
      <c r="IP73" s="542"/>
      <c r="IQ73" s="542"/>
      <c r="IR73" s="542"/>
      <c r="IS73" s="542"/>
      <c r="IT73" s="542"/>
      <c r="IU73" s="542"/>
      <c r="IV73" s="542"/>
      <c r="IW73" s="542"/>
      <c r="IX73" s="542"/>
      <c r="IY73" s="542"/>
      <c r="IZ73" s="542"/>
      <c r="JA73" s="542"/>
      <c r="JB73" s="542"/>
    </row>
    <row r="74" spans="1:262" ht="13.8" hidden="1">
      <c r="A74" s="1495"/>
      <c r="B74" s="550"/>
      <c r="C74" s="550"/>
      <c r="D74" s="1333"/>
      <c r="E74" s="550"/>
      <c r="F74" s="439"/>
      <c r="G74" s="440"/>
      <c r="H74" s="439"/>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1383"/>
      <c r="CX74" s="557"/>
      <c r="CZ74" s="542"/>
      <c r="DA74" s="542"/>
      <c r="DB74" s="542"/>
      <c r="DC74" s="542"/>
      <c r="DD74" s="542"/>
      <c r="DE74" s="542"/>
      <c r="DF74" s="542"/>
      <c r="DG74" s="542"/>
      <c r="DH74" s="542"/>
      <c r="DI74" s="542"/>
      <c r="DJ74" s="542"/>
      <c r="DK74" s="542"/>
      <c r="DL74" s="542"/>
      <c r="DM74" s="542"/>
      <c r="DN74" s="542"/>
      <c r="DO74" s="542"/>
      <c r="DP74" s="542"/>
      <c r="DQ74" s="542"/>
      <c r="DR74" s="542"/>
      <c r="DS74" s="542"/>
      <c r="DT74" s="542"/>
      <c r="DU74" s="542"/>
      <c r="DV74" s="542"/>
      <c r="DW74" s="542"/>
      <c r="DX74" s="542"/>
      <c r="DY74" s="542"/>
      <c r="DZ74" s="542"/>
      <c r="EA74" s="542"/>
      <c r="EB74" s="542"/>
      <c r="EC74" s="542"/>
      <c r="ED74" s="542"/>
      <c r="EE74" s="542"/>
      <c r="EF74" s="542"/>
      <c r="EG74" s="542"/>
      <c r="EH74" s="542"/>
      <c r="EI74" s="542"/>
      <c r="EJ74" s="542"/>
      <c r="EK74" s="542"/>
      <c r="EL74" s="542"/>
      <c r="EM74" s="542"/>
      <c r="EN74" s="542"/>
      <c r="EO74" s="542"/>
      <c r="EP74" s="542"/>
      <c r="EQ74" s="542"/>
      <c r="ER74" s="542"/>
      <c r="ES74" s="542"/>
      <c r="ET74" s="542"/>
      <c r="EU74" s="542"/>
      <c r="EV74" s="542"/>
      <c r="EW74" s="542"/>
      <c r="EX74" s="542"/>
      <c r="EY74" s="542"/>
      <c r="EZ74" s="542"/>
      <c r="FA74" s="542"/>
      <c r="FB74" s="542"/>
      <c r="FC74" s="542"/>
      <c r="FD74" s="542"/>
      <c r="FE74" s="542"/>
      <c r="FF74" s="542"/>
      <c r="FG74" s="542"/>
      <c r="FH74" s="542"/>
      <c r="FI74" s="542"/>
      <c r="FJ74" s="542"/>
      <c r="FK74" s="542"/>
      <c r="FL74" s="542"/>
      <c r="FM74" s="542"/>
      <c r="FN74" s="542"/>
      <c r="FO74" s="542"/>
      <c r="FP74" s="542"/>
      <c r="FQ74" s="542"/>
      <c r="FR74" s="542"/>
      <c r="FS74" s="542"/>
      <c r="FT74" s="542"/>
      <c r="FU74" s="542"/>
      <c r="FV74" s="542"/>
      <c r="FW74" s="542"/>
      <c r="FX74" s="542"/>
      <c r="FY74" s="542"/>
      <c r="FZ74" s="542"/>
      <c r="GA74" s="542"/>
      <c r="GB74" s="542"/>
      <c r="GC74" s="542"/>
      <c r="GD74" s="542"/>
      <c r="GE74" s="542"/>
      <c r="GF74" s="542"/>
      <c r="GG74" s="542"/>
      <c r="GH74" s="542"/>
      <c r="GI74" s="542"/>
      <c r="GJ74" s="542"/>
      <c r="GK74" s="542"/>
      <c r="GL74" s="542"/>
      <c r="GM74" s="542"/>
      <c r="GN74" s="542"/>
      <c r="GO74" s="542"/>
      <c r="GP74" s="542"/>
      <c r="GQ74" s="542"/>
      <c r="GR74" s="542"/>
      <c r="GS74" s="542"/>
      <c r="GT74" s="542"/>
      <c r="GU74" s="542"/>
      <c r="GV74" s="542"/>
      <c r="GW74" s="542"/>
      <c r="GX74" s="542"/>
      <c r="GY74" s="542"/>
      <c r="GZ74" s="542"/>
      <c r="HA74" s="542"/>
      <c r="HB74" s="542"/>
      <c r="HC74" s="542"/>
      <c r="HD74" s="542"/>
      <c r="HE74" s="542"/>
      <c r="HF74" s="542"/>
      <c r="HG74" s="542"/>
      <c r="HH74" s="542"/>
      <c r="HI74" s="542"/>
      <c r="HJ74" s="542"/>
      <c r="HK74" s="542"/>
      <c r="HL74" s="542"/>
      <c r="HM74" s="542"/>
      <c r="HN74" s="542"/>
      <c r="HO74" s="542"/>
      <c r="HP74" s="542"/>
      <c r="HQ74" s="542"/>
      <c r="HR74" s="542"/>
      <c r="HS74" s="542"/>
      <c r="HT74" s="542"/>
      <c r="HU74" s="542"/>
      <c r="HV74" s="542"/>
      <c r="HW74" s="542"/>
      <c r="HX74" s="542"/>
      <c r="HY74" s="542"/>
      <c r="HZ74" s="542"/>
      <c r="IA74" s="542"/>
      <c r="IB74" s="542"/>
      <c r="IC74" s="542"/>
      <c r="ID74" s="542"/>
      <c r="IE74" s="542"/>
      <c r="IF74" s="542"/>
      <c r="IG74" s="542"/>
      <c r="IH74" s="542"/>
      <c r="II74" s="542"/>
      <c r="IJ74" s="542"/>
      <c r="IK74" s="542"/>
      <c r="IL74" s="542"/>
      <c r="IM74" s="542"/>
      <c r="IN74" s="542"/>
      <c r="IO74" s="542"/>
      <c r="IP74" s="542"/>
      <c r="IQ74" s="542"/>
      <c r="IR74" s="542"/>
      <c r="IS74" s="542"/>
      <c r="IT74" s="542"/>
      <c r="IU74" s="542"/>
      <c r="IV74" s="542"/>
      <c r="IW74" s="542"/>
      <c r="IX74" s="542"/>
      <c r="IY74" s="542"/>
      <c r="IZ74" s="542"/>
      <c r="JA74" s="542"/>
      <c r="JB74" s="542"/>
    </row>
    <row r="75" spans="1:262" ht="13.8" hidden="1">
      <c r="A75" s="1495"/>
      <c r="B75" s="550"/>
      <c r="C75" s="550"/>
      <c r="D75" s="1333"/>
      <c r="E75" s="550"/>
      <c r="F75" s="439"/>
      <c r="G75" s="440"/>
      <c r="H75" s="439"/>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1383"/>
      <c r="CX75" s="557"/>
      <c r="CZ75" s="542"/>
      <c r="DA75" s="542"/>
      <c r="DB75" s="542"/>
      <c r="DC75" s="542"/>
      <c r="DD75" s="542"/>
      <c r="DE75" s="542"/>
      <c r="DF75" s="542"/>
      <c r="DG75" s="542"/>
      <c r="DH75" s="542"/>
      <c r="DI75" s="542"/>
      <c r="DJ75" s="542"/>
      <c r="DK75" s="542"/>
      <c r="DL75" s="542"/>
      <c r="DM75" s="542"/>
      <c r="DN75" s="542"/>
      <c r="DO75" s="542"/>
      <c r="DP75" s="542"/>
      <c r="DQ75" s="542"/>
      <c r="DR75" s="542"/>
      <c r="DS75" s="542"/>
      <c r="DT75" s="542"/>
      <c r="DU75" s="542"/>
      <c r="DV75" s="542"/>
      <c r="DW75" s="542"/>
      <c r="DX75" s="542"/>
      <c r="DY75" s="542"/>
      <c r="DZ75" s="542"/>
      <c r="EA75" s="542"/>
      <c r="EB75" s="542"/>
      <c r="EC75" s="542"/>
      <c r="ED75" s="542"/>
      <c r="EE75" s="542"/>
      <c r="EF75" s="542"/>
      <c r="EG75" s="542"/>
      <c r="EH75" s="542"/>
      <c r="EI75" s="542"/>
      <c r="EJ75" s="542"/>
      <c r="EK75" s="542"/>
      <c r="EL75" s="542"/>
      <c r="EM75" s="542"/>
      <c r="EN75" s="542"/>
      <c r="EO75" s="542"/>
      <c r="EP75" s="542"/>
      <c r="EQ75" s="542"/>
      <c r="ER75" s="542"/>
      <c r="ES75" s="542"/>
      <c r="ET75" s="542"/>
      <c r="EU75" s="542"/>
      <c r="EV75" s="542"/>
      <c r="EW75" s="542"/>
      <c r="EX75" s="542"/>
      <c r="EY75" s="542"/>
      <c r="EZ75" s="542"/>
      <c r="FA75" s="542"/>
      <c r="FB75" s="542"/>
      <c r="FC75" s="542"/>
      <c r="FD75" s="542"/>
      <c r="FE75" s="542"/>
      <c r="FF75" s="542"/>
      <c r="FG75" s="542"/>
      <c r="FH75" s="542"/>
      <c r="FI75" s="542"/>
      <c r="FJ75" s="542"/>
      <c r="FK75" s="542"/>
      <c r="FL75" s="542"/>
      <c r="FM75" s="542"/>
      <c r="FN75" s="542"/>
      <c r="FO75" s="542"/>
      <c r="FP75" s="542"/>
      <c r="FQ75" s="542"/>
      <c r="FR75" s="542"/>
      <c r="FS75" s="542"/>
      <c r="FT75" s="542"/>
      <c r="FU75" s="542"/>
      <c r="FV75" s="542"/>
      <c r="FW75" s="542"/>
      <c r="FX75" s="542"/>
      <c r="FY75" s="542"/>
      <c r="FZ75" s="542"/>
      <c r="GA75" s="542"/>
      <c r="GB75" s="542"/>
      <c r="GC75" s="542"/>
      <c r="GD75" s="542"/>
      <c r="GE75" s="542"/>
      <c r="GF75" s="542"/>
      <c r="GG75" s="542"/>
      <c r="GH75" s="542"/>
      <c r="GI75" s="542"/>
      <c r="GJ75" s="542"/>
      <c r="GK75" s="542"/>
      <c r="GL75" s="542"/>
      <c r="GM75" s="542"/>
      <c r="GN75" s="542"/>
      <c r="GO75" s="542"/>
      <c r="GP75" s="542"/>
      <c r="GQ75" s="542"/>
      <c r="GR75" s="542"/>
      <c r="GS75" s="542"/>
      <c r="GT75" s="542"/>
      <c r="GU75" s="542"/>
      <c r="GV75" s="542"/>
      <c r="GW75" s="542"/>
      <c r="GX75" s="542"/>
      <c r="GY75" s="542"/>
      <c r="GZ75" s="542"/>
      <c r="HA75" s="542"/>
      <c r="HB75" s="542"/>
      <c r="HC75" s="542"/>
      <c r="HD75" s="542"/>
      <c r="HE75" s="542"/>
      <c r="HF75" s="542"/>
      <c r="HG75" s="542"/>
      <c r="HH75" s="542"/>
      <c r="HI75" s="542"/>
      <c r="HJ75" s="542"/>
      <c r="HK75" s="542"/>
      <c r="HL75" s="542"/>
      <c r="HM75" s="542"/>
      <c r="HN75" s="542"/>
      <c r="HO75" s="542"/>
      <c r="HP75" s="542"/>
      <c r="HQ75" s="542"/>
      <c r="HR75" s="542"/>
      <c r="HS75" s="542"/>
      <c r="HT75" s="542"/>
      <c r="HU75" s="542"/>
      <c r="HV75" s="542"/>
      <c r="HW75" s="542"/>
      <c r="HX75" s="542"/>
      <c r="HY75" s="542"/>
      <c r="HZ75" s="542"/>
      <c r="IA75" s="542"/>
      <c r="IB75" s="542"/>
      <c r="IC75" s="542"/>
      <c r="ID75" s="542"/>
      <c r="IE75" s="542"/>
      <c r="IF75" s="542"/>
      <c r="IG75" s="542"/>
      <c r="IH75" s="542"/>
      <c r="II75" s="542"/>
      <c r="IJ75" s="542"/>
      <c r="IK75" s="542"/>
      <c r="IL75" s="542"/>
      <c r="IM75" s="542"/>
      <c r="IN75" s="542"/>
      <c r="IO75" s="542"/>
      <c r="IP75" s="542"/>
      <c r="IQ75" s="542"/>
      <c r="IR75" s="542"/>
      <c r="IS75" s="542"/>
      <c r="IT75" s="542"/>
      <c r="IU75" s="542"/>
      <c r="IV75" s="542"/>
      <c r="IW75" s="542"/>
      <c r="IX75" s="542"/>
      <c r="IY75" s="542"/>
      <c r="IZ75" s="542"/>
      <c r="JA75" s="542"/>
      <c r="JB75" s="542"/>
    </row>
    <row r="76" spans="1:262" ht="13.8" hidden="1">
      <c r="A76" s="1495"/>
      <c r="B76" s="550"/>
      <c r="C76" s="550"/>
      <c r="D76" s="1333"/>
      <c r="E76" s="550"/>
      <c r="F76" s="439"/>
      <c r="G76" s="440"/>
      <c r="H76" s="439"/>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1383"/>
      <c r="CX76" s="557"/>
      <c r="CZ76" s="542"/>
      <c r="DA76" s="542"/>
      <c r="DB76" s="542"/>
      <c r="DC76" s="542"/>
      <c r="DD76" s="542"/>
      <c r="DE76" s="542"/>
      <c r="DF76" s="542"/>
      <c r="DG76" s="542"/>
      <c r="DH76" s="542"/>
      <c r="DI76" s="542"/>
      <c r="DJ76" s="542"/>
      <c r="DK76" s="542"/>
      <c r="DL76" s="542"/>
      <c r="DM76" s="542"/>
      <c r="DN76" s="542"/>
      <c r="DO76" s="542"/>
      <c r="DP76" s="542"/>
      <c r="DQ76" s="542"/>
      <c r="DR76" s="542"/>
      <c r="DS76" s="542"/>
      <c r="DT76" s="542"/>
      <c r="DU76" s="542"/>
      <c r="DV76" s="542"/>
      <c r="DW76" s="542"/>
      <c r="DX76" s="542"/>
      <c r="DY76" s="542"/>
      <c r="DZ76" s="542"/>
      <c r="EA76" s="542"/>
      <c r="EB76" s="542"/>
      <c r="EC76" s="542"/>
      <c r="ED76" s="542"/>
      <c r="EE76" s="542"/>
      <c r="EF76" s="542"/>
      <c r="EG76" s="542"/>
      <c r="EH76" s="542"/>
      <c r="EI76" s="542"/>
      <c r="EJ76" s="542"/>
      <c r="EK76" s="542"/>
      <c r="EL76" s="542"/>
      <c r="EM76" s="542"/>
      <c r="EN76" s="542"/>
      <c r="EO76" s="542"/>
      <c r="EP76" s="542"/>
      <c r="EQ76" s="542"/>
      <c r="ER76" s="542"/>
      <c r="ES76" s="542"/>
      <c r="ET76" s="542"/>
      <c r="EU76" s="542"/>
      <c r="EV76" s="542"/>
      <c r="EW76" s="542"/>
      <c r="EX76" s="542"/>
      <c r="EY76" s="542"/>
      <c r="EZ76" s="542"/>
      <c r="FA76" s="542"/>
      <c r="FB76" s="542"/>
      <c r="FC76" s="542"/>
      <c r="FD76" s="542"/>
      <c r="FE76" s="542"/>
      <c r="FF76" s="542"/>
      <c r="FG76" s="542"/>
      <c r="FH76" s="542"/>
      <c r="FI76" s="542"/>
      <c r="FJ76" s="542"/>
      <c r="FK76" s="542"/>
      <c r="FL76" s="542"/>
      <c r="FM76" s="542"/>
      <c r="FN76" s="542"/>
      <c r="FO76" s="542"/>
      <c r="FP76" s="542"/>
      <c r="FQ76" s="542"/>
      <c r="FR76" s="542"/>
      <c r="FS76" s="542"/>
      <c r="FT76" s="542"/>
      <c r="FU76" s="542"/>
      <c r="FV76" s="542"/>
      <c r="FW76" s="542"/>
      <c r="FX76" s="542"/>
      <c r="FY76" s="542"/>
      <c r="FZ76" s="542"/>
      <c r="GA76" s="542"/>
      <c r="GB76" s="542"/>
      <c r="GC76" s="542"/>
      <c r="GD76" s="542"/>
      <c r="GE76" s="542"/>
      <c r="GF76" s="542"/>
      <c r="GG76" s="542"/>
      <c r="GH76" s="542"/>
      <c r="GI76" s="542"/>
      <c r="GJ76" s="542"/>
      <c r="GK76" s="542"/>
      <c r="GL76" s="542"/>
      <c r="GM76" s="542"/>
      <c r="GN76" s="542"/>
      <c r="GO76" s="542"/>
      <c r="GP76" s="542"/>
      <c r="GQ76" s="542"/>
      <c r="GR76" s="542"/>
      <c r="GS76" s="542"/>
      <c r="GT76" s="542"/>
      <c r="GU76" s="542"/>
      <c r="GV76" s="542"/>
      <c r="GW76" s="542"/>
      <c r="GX76" s="542"/>
      <c r="GY76" s="542"/>
      <c r="GZ76" s="542"/>
      <c r="HA76" s="542"/>
      <c r="HB76" s="542"/>
      <c r="HC76" s="542"/>
      <c r="HD76" s="542"/>
      <c r="HE76" s="542"/>
      <c r="HF76" s="542"/>
      <c r="HG76" s="542"/>
      <c r="HH76" s="542"/>
      <c r="HI76" s="542"/>
      <c r="HJ76" s="542"/>
      <c r="HK76" s="542"/>
      <c r="HL76" s="542"/>
      <c r="HM76" s="542"/>
      <c r="HN76" s="542"/>
      <c r="HO76" s="542"/>
      <c r="HP76" s="542"/>
      <c r="HQ76" s="542"/>
      <c r="HR76" s="542"/>
      <c r="HS76" s="542"/>
      <c r="HT76" s="542"/>
      <c r="HU76" s="542"/>
      <c r="HV76" s="542"/>
      <c r="HW76" s="542"/>
      <c r="HX76" s="542"/>
      <c r="HY76" s="542"/>
      <c r="HZ76" s="542"/>
      <c r="IA76" s="542"/>
      <c r="IB76" s="542"/>
      <c r="IC76" s="542"/>
      <c r="ID76" s="542"/>
      <c r="IE76" s="542"/>
      <c r="IF76" s="542"/>
      <c r="IG76" s="542"/>
      <c r="IH76" s="542"/>
      <c r="II76" s="542"/>
      <c r="IJ76" s="542"/>
      <c r="IK76" s="542"/>
      <c r="IL76" s="542"/>
      <c r="IM76" s="542"/>
      <c r="IN76" s="542"/>
      <c r="IO76" s="542"/>
      <c r="IP76" s="542"/>
      <c r="IQ76" s="542"/>
      <c r="IR76" s="542"/>
      <c r="IS76" s="542"/>
      <c r="IT76" s="542"/>
      <c r="IU76" s="542"/>
      <c r="IV76" s="542"/>
      <c r="IW76" s="542"/>
      <c r="IX76" s="542"/>
      <c r="IY76" s="542"/>
      <c r="IZ76" s="542"/>
      <c r="JA76" s="542"/>
      <c r="JB76" s="542"/>
    </row>
    <row r="77" spans="1:262" ht="13.8" hidden="1">
      <c r="A77" s="1495"/>
      <c r="B77" s="550"/>
      <c r="C77" s="550"/>
      <c r="D77" s="1333"/>
      <c r="E77" s="550"/>
      <c r="F77" s="439"/>
      <c r="G77" s="440"/>
      <c r="H77" s="439"/>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1383"/>
      <c r="CX77" s="557"/>
      <c r="CZ77" s="542"/>
      <c r="DA77" s="542"/>
      <c r="DB77" s="542"/>
      <c r="DC77" s="542"/>
      <c r="DD77" s="542"/>
      <c r="DE77" s="542"/>
      <c r="DF77" s="542"/>
      <c r="DG77" s="542"/>
      <c r="DH77" s="542"/>
      <c r="DI77" s="542"/>
      <c r="DJ77" s="542"/>
      <c r="DK77" s="542"/>
      <c r="DL77" s="542"/>
      <c r="DM77" s="542"/>
      <c r="DN77" s="542"/>
      <c r="DO77" s="542"/>
      <c r="DP77" s="542"/>
      <c r="DQ77" s="542"/>
      <c r="DR77" s="542"/>
      <c r="DS77" s="542"/>
      <c r="DT77" s="542"/>
      <c r="DU77" s="542"/>
      <c r="DV77" s="542"/>
      <c r="DW77" s="542"/>
      <c r="DX77" s="542"/>
      <c r="DY77" s="542"/>
      <c r="DZ77" s="542"/>
      <c r="EA77" s="542"/>
      <c r="EB77" s="542"/>
      <c r="EC77" s="542"/>
      <c r="ED77" s="542"/>
      <c r="EE77" s="542"/>
      <c r="EF77" s="542"/>
      <c r="EG77" s="542"/>
      <c r="EH77" s="542"/>
      <c r="EI77" s="542"/>
      <c r="EJ77" s="542"/>
      <c r="EK77" s="542"/>
      <c r="EL77" s="542"/>
      <c r="EM77" s="542"/>
      <c r="EN77" s="542"/>
      <c r="EO77" s="542"/>
      <c r="EP77" s="542"/>
      <c r="EQ77" s="542"/>
      <c r="ER77" s="542"/>
      <c r="ES77" s="542"/>
      <c r="ET77" s="542"/>
      <c r="EU77" s="542"/>
      <c r="EV77" s="542"/>
      <c r="EW77" s="542"/>
      <c r="EX77" s="542"/>
      <c r="EY77" s="542"/>
      <c r="EZ77" s="542"/>
      <c r="FA77" s="542"/>
      <c r="FB77" s="542"/>
      <c r="FC77" s="542"/>
      <c r="FD77" s="542"/>
      <c r="FE77" s="542"/>
      <c r="FF77" s="542"/>
      <c r="FG77" s="542"/>
      <c r="FH77" s="542"/>
      <c r="FI77" s="542"/>
      <c r="FJ77" s="542"/>
      <c r="FK77" s="542"/>
      <c r="FL77" s="542"/>
      <c r="FM77" s="542"/>
      <c r="FN77" s="542"/>
      <c r="FO77" s="542"/>
      <c r="FP77" s="542"/>
      <c r="FQ77" s="542"/>
      <c r="FR77" s="542"/>
      <c r="FS77" s="542"/>
      <c r="FT77" s="542"/>
      <c r="FU77" s="542"/>
      <c r="FV77" s="542"/>
      <c r="FW77" s="542"/>
      <c r="FX77" s="542"/>
      <c r="FY77" s="542"/>
      <c r="FZ77" s="542"/>
      <c r="GA77" s="542"/>
      <c r="GB77" s="542"/>
      <c r="GC77" s="542"/>
      <c r="GD77" s="542"/>
      <c r="GE77" s="542"/>
      <c r="GF77" s="542"/>
      <c r="GG77" s="542"/>
      <c r="GH77" s="542"/>
      <c r="GI77" s="542"/>
      <c r="GJ77" s="542"/>
      <c r="GK77" s="542"/>
      <c r="GL77" s="542"/>
      <c r="GM77" s="542"/>
      <c r="GN77" s="542"/>
      <c r="GO77" s="542"/>
      <c r="GP77" s="542"/>
      <c r="GQ77" s="542"/>
      <c r="GR77" s="542"/>
      <c r="GS77" s="542"/>
      <c r="GT77" s="542"/>
      <c r="GU77" s="542"/>
      <c r="GV77" s="542"/>
      <c r="GW77" s="542"/>
      <c r="GX77" s="542"/>
      <c r="GY77" s="542"/>
      <c r="GZ77" s="542"/>
      <c r="HA77" s="542"/>
      <c r="HB77" s="542"/>
      <c r="HC77" s="542"/>
      <c r="HD77" s="542"/>
      <c r="HE77" s="542"/>
      <c r="HF77" s="542"/>
      <c r="HG77" s="542"/>
      <c r="HH77" s="542"/>
      <c r="HI77" s="542"/>
      <c r="HJ77" s="542"/>
      <c r="HK77" s="542"/>
      <c r="HL77" s="542"/>
      <c r="HM77" s="542"/>
      <c r="HN77" s="542"/>
      <c r="HO77" s="542"/>
      <c r="HP77" s="542"/>
      <c r="HQ77" s="542"/>
      <c r="HR77" s="542"/>
      <c r="HS77" s="542"/>
      <c r="HT77" s="542"/>
      <c r="HU77" s="542"/>
      <c r="HV77" s="542"/>
      <c r="HW77" s="542"/>
      <c r="HX77" s="542"/>
      <c r="HY77" s="542"/>
      <c r="HZ77" s="542"/>
      <c r="IA77" s="542"/>
      <c r="IB77" s="542"/>
      <c r="IC77" s="542"/>
      <c r="ID77" s="542"/>
      <c r="IE77" s="542"/>
      <c r="IF77" s="542"/>
      <c r="IG77" s="542"/>
      <c r="IH77" s="542"/>
      <c r="II77" s="542"/>
      <c r="IJ77" s="542"/>
      <c r="IK77" s="542"/>
      <c r="IL77" s="542"/>
      <c r="IM77" s="542"/>
      <c r="IN77" s="542"/>
      <c r="IO77" s="542"/>
      <c r="IP77" s="542"/>
      <c r="IQ77" s="542"/>
      <c r="IR77" s="542"/>
      <c r="IS77" s="542"/>
      <c r="IT77" s="542"/>
      <c r="IU77" s="542"/>
      <c r="IV77" s="542"/>
      <c r="IW77" s="542"/>
      <c r="IX77" s="542"/>
      <c r="IY77" s="542"/>
      <c r="IZ77" s="542"/>
      <c r="JA77" s="542"/>
      <c r="JB77" s="542"/>
    </row>
    <row r="78" spans="1:262" ht="13.8" hidden="1">
      <c r="A78" s="1495"/>
      <c r="B78" s="550"/>
      <c r="C78" s="550"/>
      <c r="D78" s="1333"/>
      <c r="E78" s="550"/>
      <c r="F78" s="439"/>
      <c r="G78" s="440"/>
      <c r="H78" s="439"/>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1383"/>
      <c r="CX78" s="557"/>
      <c r="CZ78" s="542"/>
      <c r="DA78" s="542"/>
      <c r="DB78" s="542"/>
      <c r="DC78" s="542"/>
      <c r="DD78" s="542"/>
      <c r="DE78" s="542"/>
      <c r="DF78" s="542"/>
      <c r="DG78" s="542"/>
      <c r="DH78" s="542"/>
      <c r="DI78" s="542"/>
      <c r="DJ78" s="542"/>
      <c r="DK78" s="542"/>
      <c r="DL78" s="542"/>
      <c r="DM78" s="542"/>
      <c r="DN78" s="542"/>
      <c r="DO78" s="542"/>
      <c r="DP78" s="542"/>
      <c r="DQ78" s="542"/>
      <c r="DR78" s="542"/>
      <c r="DS78" s="542"/>
      <c r="DT78" s="542"/>
      <c r="DU78" s="542"/>
      <c r="DV78" s="542"/>
      <c r="DW78" s="542"/>
      <c r="DX78" s="542"/>
      <c r="DY78" s="542"/>
      <c r="DZ78" s="542"/>
      <c r="EA78" s="542"/>
      <c r="EB78" s="542"/>
      <c r="EC78" s="542"/>
      <c r="ED78" s="542"/>
      <c r="EE78" s="542"/>
      <c r="EF78" s="542"/>
      <c r="EG78" s="542"/>
      <c r="EH78" s="542"/>
      <c r="EI78" s="542"/>
      <c r="EJ78" s="542"/>
      <c r="EK78" s="542"/>
      <c r="EL78" s="542"/>
      <c r="EM78" s="542"/>
      <c r="EN78" s="542"/>
      <c r="EO78" s="542"/>
      <c r="EP78" s="542"/>
      <c r="EQ78" s="542"/>
      <c r="ER78" s="542"/>
      <c r="ES78" s="542"/>
      <c r="ET78" s="542"/>
      <c r="EU78" s="542"/>
      <c r="EV78" s="542"/>
      <c r="EW78" s="542"/>
      <c r="EX78" s="542"/>
      <c r="EY78" s="542"/>
      <c r="EZ78" s="542"/>
      <c r="FA78" s="542"/>
      <c r="FB78" s="542"/>
      <c r="FC78" s="542"/>
      <c r="FD78" s="542"/>
      <c r="FE78" s="542"/>
      <c r="FF78" s="542"/>
      <c r="FG78" s="542"/>
      <c r="FH78" s="542"/>
      <c r="FI78" s="542"/>
      <c r="FJ78" s="542"/>
      <c r="FK78" s="542"/>
      <c r="FL78" s="542"/>
      <c r="FM78" s="542"/>
      <c r="FN78" s="542"/>
      <c r="FO78" s="542"/>
      <c r="FP78" s="542"/>
      <c r="FQ78" s="542"/>
      <c r="FR78" s="542"/>
      <c r="FS78" s="542"/>
      <c r="FT78" s="542"/>
      <c r="FU78" s="542"/>
      <c r="FV78" s="542"/>
      <c r="FW78" s="542"/>
      <c r="FX78" s="542"/>
      <c r="FY78" s="542"/>
      <c r="FZ78" s="542"/>
      <c r="GA78" s="542"/>
      <c r="GB78" s="542"/>
      <c r="GC78" s="542"/>
      <c r="GD78" s="542"/>
      <c r="GE78" s="542"/>
      <c r="GF78" s="542"/>
      <c r="GG78" s="542"/>
      <c r="GH78" s="542"/>
      <c r="GI78" s="542"/>
      <c r="GJ78" s="542"/>
      <c r="GK78" s="542"/>
      <c r="GL78" s="542"/>
      <c r="GM78" s="542"/>
      <c r="GN78" s="542"/>
      <c r="GO78" s="542"/>
      <c r="GP78" s="542"/>
      <c r="GQ78" s="542"/>
      <c r="GR78" s="542"/>
      <c r="GS78" s="542"/>
      <c r="GT78" s="542"/>
      <c r="GU78" s="542"/>
      <c r="GV78" s="542"/>
      <c r="GW78" s="542"/>
      <c r="GX78" s="542"/>
      <c r="GY78" s="542"/>
      <c r="GZ78" s="542"/>
      <c r="HA78" s="542"/>
      <c r="HB78" s="542"/>
      <c r="HC78" s="542"/>
      <c r="HD78" s="542"/>
      <c r="HE78" s="542"/>
      <c r="HF78" s="542"/>
      <c r="HG78" s="542"/>
      <c r="HH78" s="542"/>
      <c r="HI78" s="542"/>
      <c r="HJ78" s="542"/>
      <c r="HK78" s="542"/>
      <c r="HL78" s="542"/>
      <c r="HM78" s="542"/>
      <c r="HN78" s="542"/>
      <c r="HO78" s="542"/>
      <c r="HP78" s="542"/>
      <c r="HQ78" s="542"/>
      <c r="HR78" s="542"/>
      <c r="HS78" s="542"/>
      <c r="HT78" s="542"/>
      <c r="HU78" s="542"/>
      <c r="HV78" s="542"/>
      <c r="HW78" s="542"/>
      <c r="HX78" s="542"/>
      <c r="HY78" s="542"/>
      <c r="HZ78" s="542"/>
      <c r="IA78" s="542"/>
      <c r="IB78" s="542"/>
      <c r="IC78" s="542"/>
      <c r="ID78" s="542"/>
      <c r="IE78" s="542"/>
      <c r="IF78" s="542"/>
      <c r="IG78" s="542"/>
      <c r="IH78" s="542"/>
      <c r="II78" s="542"/>
      <c r="IJ78" s="542"/>
      <c r="IK78" s="542"/>
      <c r="IL78" s="542"/>
      <c r="IM78" s="542"/>
      <c r="IN78" s="542"/>
      <c r="IO78" s="542"/>
      <c r="IP78" s="542"/>
      <c r="IQ78" s="542"/>
      <c r="IR78" s="542"/>
      <c r="IS78" s="542"/>
      <c r="IT78" s="542"/>
      <c r="IU78" s="542"/>
      <c r="IV78" s="542"/>
      <c r="IW78" s="542"/>
      <c r="IX78" s="542"/>
      <c r="IY78" s="542"/>
      <c r="IZ78" s="542"/>
      <c r="JA78" s="542"/>
      <c r="JB78" s="542"/>
    </row>
    <row r="79" spans="1:262" ht="13.8" hidden="1">
      <c r="A79" s="1495"/>
      <c r="B79" s="550"/>
      <c r="C79" s="550"/>
      <c r="D79" s="1333"/>
      <c r="E79" s="550"/>
      <c r="F79" s="439"/>
      <c r="G79" s="440"/>
      <c r="H79" s="439"/>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1383"/>
      <c r="CX79" s="557"/>
      <c r="CZ79" s="542"/>
      <c r="DA79" s="542"/>
      <c r="DB79" s="542"/>
      <c r="DC79" s="542"/>
      <c r="DD79" s="542"/>
      <c r="DE79" s="542"/>
      <c r="DF79" s="542"/>
      <c r="DG79" s="542"/>
      <c r="DH79" s="542"/>
      <c r="DI79" s="542"/>
      <c r="DJ79" s="542"/>
      <c r="DK79" s="542"/>
      <c r="DL79" s="542"/>
      <c r="DM79" s="542"/>
      <c r="DN79" s="542"/>
      <c r="DO79" s="542"/>
      <c r="DP79" s="542"/>
      <c r="DQ79" s="542"/>
      <c r="DR79" s="542"/>
      <c r="DS79" s="542"/>
      <c r="DT79" s="542"/>
      <c r="DU79" s="542"/>
      <c r="DV79" s="542"/>
      <c r="DW79" s="542"/>
      <c r="DX79" s="542"/>
      <c r="DY79" s="542"/>
      <c r="DZ79" s="542"/>
      <c r="EA79" s="542"/>
      <c r="EB79" s="542"/>
      <c r="EC79" s="542"/>
      <c r="ED79" s="542"/>
      <c r="EE79" s="542"/>
      <c r="EF79" s="542"/>
      <c r="EG79" s="542"/>
      <c r="EH79" s="542"/>
      <c r="EI79" s="542"/>
      <c r="EJ79" s="542"/>
      <c r="EK79" s="542"/>
      <c r="EL79" s="542"/>
      <c r="EM79" s="542"/>
      <c r="EN79" s="542"/>
      <c r="EO79" s="542"/>
      <c r="EP79" s="542"/>
      <c r="EQ79" s="542"/>
      <c r="ER79" s="542"/>
      <c r="ES79" s="542"/>
      <c r="ET79" s="542"/>
      <c r="EU79" s="542"/>
      <c r="EV79" s="542"/>
      <c r="EW79" s="542"/>
      <c r="EX79" s="542"/>
      <c r="EY79" s="542"/>
      <c r="EZ79" s="542"/>
      <c r="FA79" s="542"/>
      <c r="FB79" s="542"/>
      <c r="FC79" s="542"/>
      <c r="FD79" s="542"/>
      <c r="FE79" s="542"/>
      <c r="FF79" s="542"/>
      <c r="FG79" s="542"/>
      <c r="FH79" s="542"/>
      <c r="FI79" s="542"/>
      <c r="FJ79" s="542"/>
      <c r="FK79" s="542"/>
      <c r="FL79" s="542"/>
      <c r="FM79" s="542"/>
      <c r="FN79" s="542"/>
      <c r="FO79" s="542"/>
      <c r="FP79" s="542"/>
      <c r="FQ79" s="542"/>
      <c r="FR79" s="542"/>
      <c r="FS79" s="542"/>
      <c r="FT79" s="542"/>
      <c r="FU79" s="542"/>
      <c r="FV79" s="542"/>
      <c r="FW79" s="542"/>
      <c r="FX79" s="542"/>
      <c r="FY79" s="542"/>
      <c r="FZ79" s="542"/>
      <c r="GA79" s="542"/>
      <c r="GB79" s="542"/>
      <c r="GC79" s="542"/>
      <c r="GD79" s="542"/>
      <c r="GE79" s="542"/>
      <c r="GF79" s="542"/>
      <c r="GG79" s="542"/>
      <c r="GH79" s="542"/>
      <c r="GI79" s="542"/>
      <c r="GJ79" s="542"/>
      <c r="GK79" s="542"/>
      <c r="GL79" s="542"/>
      <c r="GM79" s="542"/>
      <c r="GN79" s="542"/>
      <c r="GO79" s="542"/>
      <c r="GP79" s="542"/>
      <c r="GQ79" s="542"/>
      <c r="GR79" s="542"/>
      <c r="GS79" s="542"/>
      <c r="GT79" s="542"/>
      <c r="GU79" s="542"/>
      <c r="GV79" s="542"/>
      <c r="GW79" s="542"/>
      <c r="GX79" s="542"/>
      <c r="GY79" s="542"/>
      <c r="GZ79" s="542"/>
      <c r="HA79" s="542"/>
      <c r="HB79" s="542"/>
      <c r="HC79" s="542"/>
      <c r="HD79" s="542"/>
      <c r="HE79" s="542"/>
      <c r="HF79" s="542"/>
      <c r="HG79" s="542"/>
      <c r="HH79" s="542"/>
      <c r="HI79" s="542"/>
      <c r="HJ79" s="542"/>
      <c r="HK79" s="542"/>
      <c r="HL79" s="542"/>
      <c r="HM79" s="542"/>
      <c r="HN79" s="542"/>
      <c r="HO79" s="542"/>
      <c r="HP79" s="542"/>
      <c r="HQ79" s="542"/>
      <c r="HR79" s="542"/>
      <c r="HS79" s="542"/>
      <c r="HT79" s="542"/>
      <c r="HU79" s="542"/>
      <c r="HV79" s="542"/>
      <c r="HW79" s="542"/>
      <c r="HX79" s="542"/>
      <c r="HY79" s="542"/>
      <c r="HZ79" s="542"/>
      <c r="IA79" s="542"/>
      <c r="IB79" s="542"/>
      <c r="IC79" s="542"/>
      <c r="ID79" s="542"/>
      <c r="IE79" s="542"/>
      <c r="IF79" s="542"/>
      <c r="IG79" s="542"/>
      <c r="IH79" s="542"/>
      <c r="II79" s="542"/>
      <c r="IJ79" s="542"/>
      <c r="IK79" s="542"/>
      <c r="IL79" s="542"/>
      <c r="IM79" s="542"/>
      <c r="IN79" s="542"/>
      <c r="IO79" s="542"/>
      <c r="IP79" s="542"/>
      <c r="IQ79" s="542"/>
      <c r="IR79" s="542"/>
      <c r="IS79" s="542"/>
      <c r="IT79" s="542"/>
      <c r="IU79" s="542"/>
      <c r="IV79" s="542"/>
      <c r="IW79" s="542"/>
      <c r="IX79" s="542"/>
      <c r="IY79" s="542"/>
      <c r="IZ79" s="542"/>
      <c r="JA79" s="542"/>
      <c r="JB79" s="542"/>
    </row>
    <row r="80" spans="1:262" ht="13.8" hidden="1">
      <c r="A80" s="1495"/>
      <c r="B80" s="550"/>
      <c r="C80" s="550"/>
      <c r="D80" s="1333"/>
      <c r="E80" s="550"/>
      <c r="F80" s="439"/>
      <c r="G80" s="440"/>
      <c r="H80" s="439"/>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1383"/>
      <c r="CX80" s="557"/>
      <c r="CZ80" s="542"/>
      <c r="DA80" s="542"/>
      <c r="DB80" s="542"/>
      <c r="DC80" s="542"/>
      <c r="DD80" s="542"/>
      <c r="DE80" s="542"/>
      <c r="DF80" s="542"/>
      <c r="DG80" s="542"/>
      <c r="DH80" s="542"/>
      <c r="DI80" s="542"/>
      <c r="DJ80" s="542"/>
      <c r="DK80" s="542"/>
      <c r="DL80" s="542"/>
      <c r="DM80" s="542"/>
      <c r="DN80" s="542"/>
      <c r="DO80" s="542"/>
      <c r="DP80" s="542"/>
      <c r="DQ80" s="542"/>
      <c r="DR80" s="542"/>
      <c r="DS80" s="542"/>
      <c r="DT80" s="542"/>
      <c r="DU80" s="542"/>
      <c r="DV80" s="542"/>
      <c r="DW80" s="542"/>
      <c r="DX80" s="542"/>
      <c r="DY80" s="542"/>
      <c r="DZ80" s="542"/>
      <c r="EA80" s="542"/>
      <c r="EB80" s="542"/>
      <c r="EC80" s="542"/>
      <c r="ED80" s="542"/>
      <c r="EE80" s="542"/>
      <c r="EF80" s="542"/>
      <c r="EG80" s="542"/>
      <c r="EH80" s="542"/>
      <c r="EI80" s="542"/>
      <c r="EJ80" s="542"/>
      <c r="EK80" s="542"/>
      <c r="EL80" s="542"/>
      <c r="EM80" s="542"/>
      <c r="EN80" s="542"/>
      <c r="EO80" s="542"/>
      <c r="EP80" s="542"/>
      <c r="EQ80" s="542"/>
      <c r="ER80" s="542"/>
      <c r="ES80" s="542"/>
      <c r="ET80" s="542"/>
      <c r="EU80" s="542"/>
      <c r="EV80" s="542"/>
      <c r="EW80" s="542"/>
      <c r="EX80" s="542"/>
      <c r="EY80" s="542"/>
      <c r="EZ80" s="542"/>
      <c r="FA80" s="542"/>
      <c r="FB80" s="542"/>
      <c r="FC80" s="542"/>
      <c r="FD80" s="542"/>
      <c r="FE80" s="542"/>
      <c r="FF80" s="542"/>
      <c r="FG80" s="542"/>
      <c r="FH80" s="542"/>
      <c r="FI80" s="542"/>
      <c r="FJ80" s="542"/>
      <c r="FK80" s="542"/>
      <c r="FL80" s="542"/>
      <c r="FM80" s="542"/>
      <c r="FN80" s="542"/>
      <c r="FO80" s="542"/>
      <c r="FP80" s="542"/>
      <c r="FQ80" s="542"/>
      <c r="FR80" s="542"/>
      <c r="FS80" s="542"/>
      <c r="FT80" s="542"/>
      <c r="FU80" s="542"/>
      <c r="FV80" s="542"/>
      <c r="FW80" s="542"/>
      <c r="FX80" s="542"/>
      <c r="FY80" s="542"/>
      <c r="FZ80" s="542"/>
      <c r="GA80" s="542"/>
      <c r="GB80" s="542"/>
      <c r="GC80" s="542"/>
      <c r="GD80" s="542"/>
      <c r="GE80" s="542"/>
      <c r="GF80" s="542"/>
      <c r="GG80" s="542"/>
      <c r="GH80" s="542"/>
      <c r="GI80" s="542"/>
      <c r="GJ80" s="542"/>
      <c r="GK80" s="542"/>
      <c r="GL80" s="542"/>
      <c r="GM80" s="542"/>
      <c r="GN80" s="542"/>
      <c r="GO80" s="542"/>
      <c r="GP80" s="542"/>
      <c r="GQ80" s="542"/>
      <c r="GR80" s="542"/>
      <c r="GS80" s="542"/>
      <c r="GT80" s="542"/>
      <c r="GU80" s="542"/>
      <c r="GV80" s="542"/>
      <c r="GW80" s="542"/>
      <c r="GX80" s="542"/>
      <c r="GY80" s="542"/>
      <c r="GZ80" s="542"/>
      <c r="HA80" s="542"/>
      <c r="HB80" s="542"/>
      <c r="HC80" s="542"/>
      <c r="HD80" s="542"/>
      <c r="HE80" s="542"/>
      <c r="HF80" s="542"/>
      <c r="HG80" s="542"/>
      <c r="HH80" s="542"/>
      <c r="HI80" s="542"/>
      <c r="HJ80" s="542"/>
      <c r="HK80" s="542"/>
      <c r="HL80" s="542"/>
      <c r="HM80" s="542"/>
      <c r="HN80" s="542"/>
      <c r="HO80" s="542"/>
      <c r="HP80" s="542"/>
      <c r="HQ80" s="542"/>
      <c r="HR80" s="542"/>
      <c r="HS80" s="542"/>
      <c r="HT80" s="542"/>
      <c r="HU80" s="542"/>
      <c r="HV80" s="542"/>
      <c r="HW80" s="542"/>
      <c r="HX80" s="542"/>
      <c r="HY80" s="542"/>
      <c r="HZ80" s="542"/>
      <c r="IA80" s="542"/>
      <c r="IB80" s="542"/>
      <c r="IC80" s="542"/>
      <c r="ID80" s="542"/>
      <c r="IE80" s="542"/>
      <c r="IF80" s="542"/>
      <c r="IG80" s="542"/>
      <c r="IH80" s="542"/>
      <c r="II80" s="542"/>
      <c r="IJ80" s="542"/>
      <c r="IK80" s="542"/>
      <c r="IL80" s="542"/>
      <c r="IM80" s="542"/>
      <c r="IN80" s="542"/>
      <c r="IO80" s="542"/>
      <c r="IP80" s="542"/>
      <c r="IQ80" s="542"/>
      <c r="IR80" s="542"/>
      <c r="IS80" s="542"/>
      <c r="IT80" s="542"/>
      <c r="IU80" s="542"/>
      <c r="IV80" s="542"/>
      <c r="IW80" s="542"/>
      <c r="IX80" s="542"/>
      <c r="IY80" s="542"/>
      <c r="IZ80" s="542"/>
      <c r="JA80" s="542"/>
      <c r="JB80" s="542"/>
    </row>
    <row r="81" spans="1:262" ht="13.8" hidden="1">
      <c r="A81" s="1495"/>
      <c r="B81" s="550"/>
      <c r="C81" s="550"/>
      <c r="D81" s="1333"/>
      <c r="E81" s="550"/>
      <c r="F81" s="439"/>
      <c r="G81" s="440"/>
      <c r="H81" s="439"/>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1383"/>
      <c r="CX81" s="557"/>
      <c r="CZ81" s="542"/>
      <c r="DA81" s="542"/>
      <c r="DB81" s="542"/>
      <c r="DC81" s="542"/>
      <c r="DD81" s="542"/>
      <c r="DE81" s="542"/>
      <c r="DF81" s="542"/>
      <c r="DG81" s="542"/>
      <c r="DH81" s="542"/>
      <c r="DI81" s="542"/>
      <c r="DJ81" s="542"/>
      <c r="DK81" s="542"/>
      <c r="DL81" s="542"/>
      <c r="DM81" s="542"/>
      <c r="DN81" s="542"/>
      <c r="DO81" s="542"/>
      <c r="DP81" s="542"/>
      <c r="DQ81" s="542"/>
      <c r="DR81" s="542"/>
      <c r="DS81" s="542"/>
      <c r="DT81" s="542"/>
      <c r="DU81" s="542"/>
      <c r="DV81" s="542"/>
      <c r="DW81" s="542"/>
      <c r="DX81" s="542"/>
      <c r="DY81" s="542"/>
      <c r="DZ81" s="542"/>
      <c r="EA81" s="542"/>
      <c r="EB81" s="542"/>
      <c r="EC81" s="542"/>
      <c r="ED81" s="542"/>
      <c r="EE81" s="542"/>
      <c r="EF81" s="542"/>
      <c r="EG81" s="542"/>
      <c r="EH81" s="542"/>
      <c r="EI81" s="542"/>
      <c r="EJ81" s="542"/>
      <c r="EK81" s="542"/>
      <c r="EL81" s="542"/>
      <c r="EM81" s="542"/>
      <c r="EN81" s="542"/>
      <c r="EO81" s="542"/>
      <c r="EP81" s="542"/>
      <c r="EQ81" s="542"/>
      <c r="ER81" s="542"/>
      <c r="ES81" s="542"/>
      <c r="ET81" s="542"/>
      <c r="EU81" s="542"/>
      <c r="EV81" s="542"/>
      <c r="EW81" s="542"/>
      <c r="EX81" s="542"/>
      <c r="EY81" s="542"/>
      <c r="EZ81" s="542"/>
      <c r="FA81" s="542"/>
      <c r="FB81" s="542"/>
      <c r="FC81" s="542"/>
      <c r="FD81" s="542"/>
      <c r="FE81" s="542"/>
      <c r="FF81" s="542"/>
      <c r="FG81" s="542"/>
      <c r="FH81" s="542"/>
      <c r="FI81" s="542"/>
      <c r="FJ81" s="542"/>
      <c r="FK81" s="542"/>
      <c r="FL81" s="542"/>
      <c r="FM81" s="542"/>
      <c r="FN81" s="542"/>
      <c r="FO81" s="542"/>
      <c r="FP81" s="542"/>
      <c r="FQ81" s="542"/>
      <c r="FR81" s="542"/>
      <c r="FS81" s="542"/>
      <c r="FT81" s="542"/>
      <c r="FU81" s="542"/>
      <c r="FV81" s="542"/>
      <c r="FW81" s="542"/>
      <c r="FX81" s="542"/>
      <c r="FY81" s="542"/>
      <c r="FZ81" s="542"/>
      <c r="GA81" s="542"/>
      <c r="GB81" s="542"/>
      <c r="GC81" s="542"/>
      <c r="GD81" s="542"/>
      <c r="GE81" s="542"/>
      <c r="GF81" s="542"/>
      <c r="GG81" s="542"/>
      <c r="GH81" s="542"/>
      <c r="GI81" s="542"/>
      <c r="GJ81" s="542"/>
      <c r="GK81" s="542"/>
      <c r="GL81" s="542"/>
      <c r="GM81" s="542"/>
      <c r="GN81" s="542"/>
      <c r="GO81" s="542"/>
      <c r="GP81" s="542"/>
      <c r="GQ81" s="542"/>
      <c r="GR81" s="542"/>
      <c r="GS81" s="542"/>
      <c r="GT81" s="542"/>
      <c r="GU81" s="542"/>
      <c r="GV81" s="542"/>
      <c r="GW81" s="542"/>
      <c r="GX81" s="542"/>
      <c r="GY81" s="542"/>
      <c r="GZ81" s="542"/>
      <c r="HA81" s="542"/>
      <c r="HB81" s="542"/>
      <c r="HC81" s="542"/>
      <c r="HD81" s="542"/>
      <c r="HE81" s="542"/>
      <c r="HF81" s="542"/>
      <c r="HG81" s="542"/>
      <c r="HH81" s="542"/>
      <c r="HI81" s="542"/>
      <c r="HJ81" s="542"/>
      <c r="HK81" s="542"/>
      <c r="HL81" s="542"/>
      <c r="HM81" s="542"/>
      <c r="HN81" s="542"/>
      <c r="HO81" s="542"/>
      <c r="HP81" s="542"/>
      <c r="HQ81" s="542"/>
      <c r="HR81" s="542"/>
      <c r="HS81" s="542"/>
      <c r="HT81" s="542"/>
      <c r="HU81" s="542"/>
      <c r="HV81" s="542"/>
      <c r="HW81" s="542"/>
      <c r="HX81" s="542"/>
      <c r="HY81" s="542"/>
      <c r="HZ81" s="542"/>
      <c r="IA81" s="542"/>
      <c r="IB81" s="542"/>
      <c r="IC81" s="542"/>
      <c r="ID81" s="542"/>
      <c r="IE81" s="542"/>
      <c r="IF81" s="542"/>
      <c r="IG81" s="542"/>
      <c r="IH81" s="542"/>
      <c r="II81" s="542"/>
      <c r="IJ81" s="542"/>
      <c r="IK81" s="542"/>
      <c r="IL81" s="542"/>
      <c r="IM81" s="542"/>
      <c r="IN81" s="542"/>
      <c r="IO81" s="542"/>
      <c r="IP81" s="542"/>
      <c r="IQ81" s="542"/>
      <c r="IR81" s="542"/>
      <c r="IS81" s="542"/>
      <c r="IT81" s="542"/>
      <c r="IU81" s="542"/>
      <c r="IV81" s="542"/>
      <c r="IW81" s="542"/>
      <c r="IX81" s="542"/>
      <c r="IY81" s="542"/>
      <c r="IZ81" s="542"/>
      <c r="JA81" s="542"/>
      <c r="JB81" s="542"/>
    </row>
    <row r="82" spans="1:262" ht="13.8" hidden="1">
      <c r="A82" s="1495"/>
      <c r="B82" s="550"/>
      <c r="C82" s="550"/>
      <c r="D82" s="1333"/>
      <c r="E82" s="550"/>
      <c r="F82" s="439"/>
      <c r="G82" s="440"/>
      <c r="H82" s="439"/>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1383"/>
      <c r="CX82" s="557"/>
      <c r="CZ82" s="542"/>
      <c r="DA82" s="542"/>
      <c r="DB82" s="542"/>
      <c r="DC82" s="542"/>
      <c r="DD82" s="542"/>
      <c r="DE82" s="542"/>
      <c r="DF82" s="542"/>
      <c r="DG82" s="542"/>
      <c r="DH82" s="542"/>
      <c r="DI82" s="542"/>
      <c r="DJ82" s="542"/>
      <c r="DK82" s="542"/>
      <c r="DL82" s="542"/>
      <c r="DM82" s="542"/>
      <c r="DN82" s="542"/>
      <c r="DO82" s="542"/>
      <c r="DP82" s="542"/>
      <c r="DQ82" s="542"/>
      <c r="DR82" s="542"/>
      <c r="DS82" s="542"/>
      <c r="DT82" s="542"/>
      <c r="DU82" s="542"/>
      <c r="DV82" s="542"/>
      <c r="DW82" s="542"/>
      <c r="DX82" s="542"/>
      <c r="DY82" s="542"/>
      <c r="DZ82" s="542"/>
      <c r="EA82" s="542"/>
      <c r="EB82" s="542"/>
      <c r="EC82" s="542"/>
      <c r="ED82" s="542"/>
      <c r="EE82" s="542"/>
      <c r="EF82" s="542"/>
      <c r="EG82" s="542"/>
      <c r="EH82" s="542"/>
      <c r="EI82" s="542"/>
      <c r="EJ82" s="542"/>
      <c r="EK82" s="542"/>
      <c r="EL82" s="542"/>
      <c r="EM82" s="542"/>
      <c r="EN82" s="542"/>
      <c r="EO82" s="542"/>
      <c r="EP82" s="542"/>
      <c r="EQ82" s="542"/>
      <c r="ER82" s="542"/>
      <c r="ES82" s="542"/>
      <c r="ET82" s="542"/>
      <c r="EU82" s="542"/>
      <c r="EV82" s="542"/>
      <c r="EW82" s="542"/>
      <c r="EX82" s="542"/>
      <c r="EY82" s="542"/>
      <c r="EZ82" s="542"/>
      <c r="FA82" s="542"/>
      <c r="FB82" s="542"/>
      <c r="FC82" s="542"/>
      <c r="FD82" s="542"/>
      <c r="FE82" s="542"/>
      <c r="FF82" s="542"/>
      <c r="FG82" s="542"/>
      <c r="FH82" s="542"/>
      <c r="FI82" s="542"/>
      <c r="FJ82" s="542"/>
      <c r="FK82" s="542"/>
      <c r="FL82" s="542"/>
      <c r="FM82" s="542"/>
      <c r="FN82" s="542"/>
      <c r="FO82" s="542"/>
      <c r="FP82" s="542"/>
      <c r="FQ82" s="542"/>
      <c r="FR82" s="542"/>
      <c r="FS82" s="542"/>
      <c r="FT82" s="542"/>
      <c r="FU82" s="542"/>
      <c r="FV82" s="542"/>
      <c r="FW82" s="542"/>
      <c r="FX82" s="542"/>
      <c r="FY82" s="542"/>
      <c r="FZ82" s="542"/>
      <c r="GA82" s="542"/>
      <c r="GB82" s="542"/>
      <c r="GC82" s="542"/>
      <c r="GD82" s="542"/>
      <c r="GE82" s="542"/>
      <c r="GF82" s="542"/>
      <c r="GG82" s="542"/>
      <c r="GH82" s="542"/>
      <c r="GI82" s="542"/>
      <c r="GJ82" s="542"/>
      <c r="GK82" s="542"/>
      <c r="GL82" s="542"/>
      <c r="GM82" s="542"/>
      <c r="GN82" s="542"/>
      <c r="GO82" s="542"/>
      <c r="GP82" s="542"/>
      <c r="GQ82" s="542"/>
      <c r="GR82" s="542"/>
      <c r="GS82" s="542"/>
      <c r="GT82" s="542"/>
      <c r="GU82" s="542"/>
      <c r="GV82" s="542"/>
      <c r="GW82" s="542"/>
      <c r="GX82" s="542"/>
      <c r="GY82" s="542"/>
      <c r="GZ82" s="542"/>
      <c r="HA82" s="542"/>
      <c r="HB82" s="542"/>
      <c r="HC82" s="542"/>
      <c r="HD82" s="542"/>
      <c r="HE82" s="542"/>
      <c r="HF82" s="542"/>
      <c r="HG82" s="542"/>
      <c r="HH82" s="542"/>
      <c r="HI82" s="542"/>
      <c r="HJ82" s="542"/>
      <c r="HK82" s="542"/>
      <c r="HL82" s="542"/>
      <c r="HM82" s="542"/>
      <c r="HN82" s="542"/>
      <c r="HO82" s="542"/>
      <c r="HP82" s="542"/>
      <c r="HQ82" s="542"/>
      <c r="HR82" s="542"/>
      <c r="HS82" s="542"/>
      <c r="HT82" s="542"/>
      <c r="HU82" s="542"/>
      <c r="HV82" s="542"/>
      <c r="HW82" s="542"/>
      <c r="HX82" s="542"/>
      <c r="HY82" s="542"/>
      <c r="HZ82" s="542"/>
      <c r="IA82" s="542"/>
      <c r="IB82" s="542"/>
      <c r="IC82" s="542"/>
      <c r="ID82" s="542"/>
      <c r="IE82" s="542"/>
      <c r="IF82" s="542"/>
      <c r="IG82" s="542"/>
      <c r="IH82" s="542"/>
      <c r="II82" s="542"/>
      <c r="IJ82" s="542"/>
      <c r="IK82" s="542"/>
      <c r="IL82" s="542"/>
      <c r="IM82" s="542"/>
      <c r="IN82" s="542"/>
      <c r="IO82" s="542"/>
      <c r="IP82" s="542"/>
      <c r="IQ82" s="542"/>
      <c r="IR82" s="542"/>
      <c r="IS82" s="542"/>
      <c r="IT82" s="542"/>
      <c r="IU82" s="542"/>
      <c r="IV82" s="542"/>
      <c r="IW82" s="542"/>
      <c r="IX82" s="542"/>
      <c r="IY82" s="542"/>
      <c r="IZ82" s="542"/>
      <c r="JA82" s="542"/>
      <c r="JB82" s="542"/>
    </row>
    <row r="83" spans="1:262" ht="13.8" hidden="1">
      <c r="A83" s="1495"/>
      <c r="B83" s="550"/>
      <c r="C83" s="550"/>
      <c r="D83" s="1333"/>
      <c r="E83" s="550"/>
      <c r="F83" s="439"/>
      <c r="G83" s="440"/>
      <c r="H83" s="439"/>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1383"/>
      <c r="CX83" s="557"/>
      <c r="CZ83" s="542"/>
      <c r="DA83" s="542"/>
      <c r="DB83" s="542"/>
      <c r="DC83" s="542"/>
      <c r="DD83" s="542"/>
      <c r="DE83" s="542"/>
      <c r="DF83" s="542"/>
      <c r="DG83" s="542"/>
      <c r="DH83" s="542"/>
      <c r="DI83" s="542"/>
      <c r="DJ83" s="542"/>
      <c r="DK83" s="542"/>
      <c r="DL83" s="542"/>
      <c r="DM83" s="542"/>
      <c r="DN83" s="542"/>
      <c r="DO83" s="542"/>
      <c r="DP83" s="542"/>
      <c r="DQ83" s="542"/>
      <c r="DR83" s="542"/>
      <c r="DS83" s="542"/>
      <c r="DT83" s="542"/>
      <c r="DU83" s="542"/>
      <c r="DV83" s="542"/>
      <c r="DW83" s="542"/>
      <c r="DX83" s="542"/>
      <c r="DY83" s="542"/>
      <c r="DZ83" s="542"/>
      <c r="EA83" s="542"/>
      <c r="EB83" s="542"/>
      <c r="EC83" s="542"/>
      <c r="ED83" s="542"/>
      <c r="EE83" s="542"/>
      <c r="EF83" s="542"/>
      <c r="EG83" s="542"/>
      <c r="EH83" s="542"/>
      <c r="EI83" s="542"/>
      <c r="EJ83" s="542"/>
      <c r="EK83" s="542"/>
      <c r="EL83" s="542"/>
      <c r="EM83" s="542"/>
      <c r="EN83" s="542"/>
      <c r="EO83" s="542"/>
      <c r="EP83" s="542"/>
      <c r="EQ83" s="542"/>
      <c r="ER83" s="542"/>
      <c r="ES83" s="542"/>
      <c r="ET83" s="542"/>
      <c r="EU83" s="542"/>
      <c r="EV83" s="542"/>
      <c r="EW83" s="542"/>
      <c r="EX83" s="542"/>
      <c r="EY83" s="542"/>
      <c r="EZ83" s="542"/>
      <c r="FA83" s="542"/>
      <c r="FB83" s="542"/>
      <c r="FC83" s="542"/>
      <c r="FD83" s="542"/>
      <c r="FE83" s="542"/>
      <c r="FF83" s="542"/>
      <c r="FG83" s="542"/>
      <c r="FH83" s="542"/>
      <c r="FI83" s="542"/>
      <c r="FJ83" s="542"/>
      <c r="FK83" s="542"/>
      <c r="FL83" s="542"/>
      <c r="FM83" s="542"/>
      <c r="FN83" s="542"/>
      <c r="FO83" s="542"/>
      <c r="FP83" s="542"/>
      <c r="FQ83" s="542"/>
      <c r="FR83" s="542"/>
      <c r="FS83" s="542"/>
      <c r="FT83" s="542"/>
      <c r="FU83" s="542"/>
      <c r="FV83" s="542"/>
      <c r="FW83" s="542"/>
      <c r="FX83" s="542"/>
      <c r="FY83" s="542"/>
      <c r="FZ83" s="542"/>
      <c r="GA83" s="542"/>
      <c r="GB83" s="542"/>
      <c r="GC83" s="542"/>
      <c r="GD83" s="542"/>
      <c r="GE83" s="542"/>
      <c r="GF83" s="542"/>
      <c r="GG83" s="542"/>
      <c r="GH83" s="542"/>
      <c r="GI83" s="542"/>
      <c r="GJ83" s="542"/>
      <c r="GK83" s="542"/>
      <c r="GL83" s="542"/>
      <c r="GM83" s="542"/>
      <c r="GN83" s="542"/>
      <c r="GO83" s="542"/>
      <c r="GP83" s="542"/>
      <c r="GQ83" s="542"/>
      <c r="GR83" s="542"/>
      <c r="GS83" s="542"/>
      <c r="GT83" s="542"/>
      <c r="GU83" s="542"/>
      <c r="GV83" s="542"/>
      <c r="GW83" s="542"/>
      <c r="GX83" s="542"/>
      <c r="GY83" s="542"/>
      <c r="GZ83" s="542"/>
      <c r="HA83" s="542"/>
      <c r="HB83" s="542"/>
      <c r="HC83" s="542"/>
      <c r="HD83" s="542"/>
      <c r="HE83" s="542"/>
      <c r="HF83" s="542"/>
      <c r="HG83" s="542"/>
      <c r="HH83" s="542"/>
      <c r="HI83" s="542"/>
      <c r="HJ83" s="542"/>
      <c r="HK83" s="542"/>
      <c r="HL83" s="542"/>
      <c r="HM83" s="542"/>
      <c r="HN83" s="542"/>
      <c r="HO83" s="542"/>
      <c r="HP83" s="542"/>
      <c r="HQ83" s="542"/>
      <c r="HR83" s="542"/>
      <c r="HS83" s="542"/>
      <c r="HT83" s="542"/>
      <c r="HU83" s="542"/>
      <c r="HV83" s="542"/>
      <c r="HW83" s="542"/>
      <c r="HX83" s="542"/>
      <c r="HY83" s="542"/>
      <c r="HZ83" s="542"/>
      <c r="IA83" s="542"/>
      <c r="IB83" s="542"/>
      <c r="IC83" s="542"/>
      <c r="ID83" s="542"/>
      <c r="IE83" s="542"/>
      <c r="IF83" s="542"/>
      <c r="IG83" s="542"/>
      <c r="IH83" s="542"/>
      <c r="II83" s="542"/>
      <c r="IJ83" s="542"/>
      <c r="IK83" s="542"/>
      <c r="IL83" s="542"/>
      <c r="IM83" s="542"/>
      <c r="IN83" s="542"/>
      <c r="IO83" s="542"/>
      <c r="IP83" s="542"/>
      <c r="IQ83" s="542"/>
      <c r="IR83" s="542"/>
      <c r="IS83" s="542"/>
      <c r="IT83" s="542"/>
      <c r="IU83" s="542"/>
      <c r="IV83" s="542"/>
      <c r="IW83" s="542"/>
      <c r="IX83" s="542"/>
      <c r="IY83" s="542"/>
      <c r="IZ83" s="542"/>
      <c r="JA83" s="542"/>
      <c r="JB83" s="542"/>
    </row>
    <row r="84" spans="1:262" ht="13.8" hidden="1">
      <c r="A84" s="1495"/>
      <c r="B84" s="550"/>
      <c r="C84" s="550"/>
      <c r="D84" s="1333"/>
      <c r="E84" s="550"/>
      <c r="F84" s="439"/>
      <c r="G84" s="440"/>
      <c r="H84" s="439"/>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1383"/>
      <c r="CX84" s="557"/>
      <c r="CZ84" s="542"/>
      <c r="DA84" s="542"/>
      <c r="DB84" s="542"/>
      <c r="DC84" s="542"/>
      <c r="DD84" s="542"/>
      <c r="DE84" s="542"/>
      <c r="DF84" s="542"/>
      <c r="DG84" s="542"/>
      <c r="DH84" s="542"/>
      <c r="DI84" s="542"/>
      <c r="DJ84" s="542"/>
      <c r="DK84" s="542"/>
      <c r="DL84" s="542"/>
      <c r="DM84" s="542"/>
      <c r="DN84" s="542"/>
      <c r="DO84" s="542"/>
      <c r="DP84" s="542"/>
      <c r="DQ84" s="542"/>
      <c r="DR84" s="542"/>
      <c r="DS84" s="542"/>
      <c r="DT84" s="542"/>
      <c r="DU84" s="542"/>
      <c r="DV84" s="542"/>
      <c r="DW84" s="542"/>
      <c r="DX84" s="542"/>
      <c r="DY84" s="542"/>
      <c r="DZ84" s="542"/>
      <c r="EA84" s="542"/>
      <c r="EB84" s="542"/>
      <c r="EC84" s="542"/>
      <c r="ED84" s="542"/>
      <c r="EE84" s="542"/>
      <c r="EF84" s="542"/>
      <c r="EG84" s="542"/>
      <c r="EH84" s="542"/>
      <c r="EI84" s="542"/>
      <c r="EJ84" s="542"/>
      <c r="EK84" s="542"/>
      <c r="EL84" s="542"/>
      <c r="EM84" s="542"/>
      <c r="EN84" s="542"/>
      <c r="EO84" s="542"/>
      <c r="EP84" s="542"/>
      <c r="EQ84" s="542"/>
      <c r="ER84" s="542"/>
      <c r="ES84" s="542"/>
      <c r="ET84" s="542"/>
      <c r="EU84" s="542"/>
      <c r="EV84" s="542"/>
      <c r="EW84" s="542"/>
      <c r="EX84" s="542"/>
      <c r="EY84" s="542"/>
      <c r="EZ84" s="542"/>
      <c r="FA84" s="542"/>
      <c r="FB84" s="542"/>
      <c r="FC84" s="542"/>
      <c r="FD84" s="542"/>
      <c r="FE84" s="542"/>
      <c r="FF84" s="542"/>
      <c r="FG84" s="542"/>
      <c r="FH84" s="542"/>
      <c r="FI84" s="542"/>
      <c r="FJ84" s="542"/>
      <c r="FK84" s="542"/>
      <c r="FL84" s="542"/>
      <c r="FM84" s="542"/>
      <c r="FN84" s="542"/>
      <c r="FO84" s="542"/>
      <c r="FP84" s="542"/>
      <c r="FQ84" s="542"/>
      <c r="FR84" s="542"/>
      <c r="FS84" s="542"/>
      <c r="FT84" s="542"/>
      <c r="FU84" s="542"/>
      <c r="FV84" s="542"/>
      <c r="FW84" s="542"/>
      <c r="FX84" s="542"/>
      <c r="FY84" s="542"/>
      <c r="FZ84" s="542"/>
      <c r="GA84" s="542"/>
      <c r="GB84" s="542"/>
      <c r="GC84" s="542"/>
      <c r="GD84" s="542"/>
      <c r="GE84" s="542"/>
      <c r="GF84" s="542"/>
      <c r="GG84" s="542"/>
      <c r="GH84" s="542"/>
      <c r="GI84" s="542"/>
      <c r="GJ84" s="542"/>
      <c r="GK84" s="542"/>
      <c r="GL84" s="542"/>
      <c r="GM84" s="542"/>
      <c r="GN84" s="542"/>
      <c r="GO84" s="542"/>
      <c r="GP84" s="542"/>
      <c r="GQ84" s="542"/>
      <c r="GR84" s="542"/>
      <c r="GS84" s="542"/>
      <c r="GT84" s="542"/>
      <c r="GU84" s="542"/>
      <c r="GV84" s="542"/>
      <c r="GW84" s="542"/>
      <c r="GX84" s="542"/>
      <c r="GY84" s="542"/>
      <c r="GZ84" s="542"/>
      <c r="HA84" s="542"/>
      <c r="HB84" s="542"/>
      <c r="HC84" s="542"/>
      <c r="HD84" s="542"/>
      <c r="HE84" s="542"/>
      <c r="HF84" s="542"/>
      <c r="HG84" s="542"/>
      <c r="HH84" s="542"/>
      <c r="HI84" s="542"/>
      <c r="HJ84" s="542"/>
      <c r="HK84" s="542"/>
      <c r="HL84" s="542"/>
      <c r="HM84" s="542"/>
      <c r="HN84" s="542"/>
      <c r="HO84" s="542"/>
      <c r="HP84" s="542"/>
      <c r="HQ84" s="542"/>
      <c r="HR84" s="542"/>
      <c r="HS84" s="542"/>
      <c r="HT84" s="542"/>
      <c r="HU84" s="542"/>
      <c r="HV84" s="542"/>
      <c r="HW84" s="542"/>
      <c r="HX84" s="542"/>
      <c r="HY84" s="542"/>
      <c r="HZ84" s="542"/>
      <c r="IA84" s="542"/>
      <c r="IB84" s="542"/>
      <c r="IC84" s="542"/>
      <c r="ID84" s="542"/>
      <c r="IE84" s="542"/>
      <c r="IF84" s="542"/>
      <c r="IG84" s="542"/>
      <c r="IH84" s="542"/>
      <c r="II84" s="542"/>
      <c r="IJ84" s="542"/>
      <c r="IK84" s="542"/>
      <c r="IL84" s="542"/>
      <c r="IM84" s="542"/>
      <c r="IN84" s="542"/>
      <c r="IO84" s="542"/>
      <c r="IP84" s="542"/>
      <c r="IQ84" s="542"/>
      <c r="IR84" s="542"/>
      <c r="IS84" s="542"/>
      <c r="IT84" s="542"/>
      <c r="IU84" s="542"/>
      <c r="IV84" s="542"/>
      <c r="IW84" s="542"/>
      <c r="IX84" s="542"/>
      <c r="IY84" s="542"/>
      <c r="IZ84" s="542"/>
      <c r="JA84" s="542"/>
      <c r="JB84" s="542"/>
    </row>
    <row r="85" spans="1:262" ht="13.8" hidden="1">
      <c r="A85" s="1495"/>
      <c r="B85" s="550"/>
      <c r="C85" s="550"/>
      <c r="D85" s="1333"/>
      <c r="E85" s="550"/>
      <c r="F85" s="439"/>
      <c r="G85" s="440"/>
      <c r="H85" s="439"/>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1383"/>
      <c r="CX85" s="557"/>
      <c r="CZ85" s="542"/>
      <c r="DA85" s="542"/>
      <c r="DB85" s="542"/>
      <c r="DC85" s="542"/>
      <c r="DD85" s="542"/>
      <c r="DE85" s="542"/>
      <c r="DF85" s="542"/>
      <c r="DG85" s="542"/>
      <c r="DH85" s="542"/>
      <c r="DI85" s="542"/>
      <c r="DJ85" s="542"/>
      <c r="DK85" s="542"/>
      <c r="DL85" s="542"/>
      <c r="DM85" s="542"/>
      <c r="DN85" s="542"/>
      <c r="DO85" s="542"/>
      <c r="DP85" s="542"/>
      <c r="DQ85" s="542"/>
      <c r="DR85" s="542"/>
      <c r="DS85" s="542"/>
      <c r="DT85" s="542"/>
      <c r="DU85" s="542"/>
      <c r="DV85" s="542"/>
      <c r="DW85" s="542"/>
      <c r="DX85" s="542"/>
      <c r="DY85" s="542"/>
      <c r="DZ85" s="542"/>
      <c r="EA85" s="542"/>
      <c r="EB85" s="542"/>
      <c r="EC85" s="542"/>
      <c r="ED85" s="542"/>
      <c r="EE85" s="542"/>
      <c r="EF85" s="542"/>
      <c r="EG85" s="542"/>
      <c r="EH85" s="542"/>
      <c r="EI85" s="542"/>
      <c r="EJ85" s="542"/>
      <c r="EK85" s="542"/>
      <c r="EL85" s="542"/>
      <c r="EM85" s="542"/>
      <c r="EN85" s="542"/>
      <c r="EO85" s="542"/>
      <c r="EP85" s="542"/>
      <c r="EQ85" s="542"/>
      <c r="ER85" s="542"/>
      <c r="ES85" s="542"/>
      <c r="ET85" s="542"/>
      <c r="EU85" s="542"/>
      <c r="EV85" s="542"/>
      <c r="EW85" s="542"/>
      <c r="EX85" s="542"/>
      <c r="EY85" s="542"/>
      <c r="EZ85" s="542"/>
      <c r="FA85" s="542"/>
      <c r="FB85" s="542"/>
      <c r="FC85" s="542"/>
      <c r="FD85" s="542"/>
      <c r="FE85" s="542"/>
      <c r="FF85" s="542"/>
      <c r="FG85" s="542"/>
      <c r="FH85" s="542"/>
      <c r="FI85" s="542"/>
      <c r="FJ85" s="542"/>
      <c r="FK85" s="542"/>
      <c r="FL85" s="542"/>
      <c r="FM85" s="542"/>
      <c r="FN85" s="542"/>
      <c r="FO85" s="542"/>
      <c r="FP85" s="542"/>
      <c r="FQ85" s="542"/>
      <c r="FR85" s="542"/>
      <c r="FS85" s="542"/>
      <c r="FT85" s="542"/>
      <c r="FU85" s="542"/>
      <c r="FV85" s="542"/>
      <c r="FW85" s="542"/>
      <c r="FX85" s="542"/>
      <c r="FY85" s="542"/>
      <c r="FZ85" s="542"/>
      <c r="GA85" s="542"/>
      <c r="GB85" s="542"/>
      <c r="GC85" s="542"/>
      <c r="GD85" s="542"/>
      <c r="GE85" s="542"/>
      <c r="GF85" s="542"/>
      <c r="GG85" s="542"/>
      <c r="GH85" s="542"/>
      <c r="GI85" s="542"/>
      <c r="GJ85" s="542"/>
      <c r="GK85" s="542"/>
      <c r="GL85" s="542"/>
      <c r="GM85" s="542"/>
      <c r="GN85" s="542"/>
      <c r="GO85" s="542"/>
      <c r="GP85" s="542"/>
      <c r="GQ85" s="542"/>
      <c r="GR85" s="542"/>
      <c r="GS85" s="542"/>
      <c r="GT85" s="542"/>
      <c r="GU85" s="542"/>
      <c r="GV85" s="542"/>
      <c r="GW85" s="542"/>
      <c r="GX85" s="542"/>
      <c r="GY85" s="542"/>
      <c r="GZ85" s="542"/>
      <c r="HA85" s="542"/>
      <c r="HB85" s="542"/>
      <c r="HC85" s="542"/>
      <c r="HD85" s="542"/>
      <c r="HE85" s="542"/>
      <c r="HF85" s="542"/>
      <c r="HG85" s="542"/>
      <c r="HH85" s="542"/>
      <c r="HI85" s="542"/>
      <c r="HJ85" s="542"/>
      <c r="HK85" s="542"/>
      <c r="HL85" s="542"/>
      <c r="HM85" s="542"/>
      <c r="HN85" s="542"/>
      <c r="HO85" s="542"/>
      <c r="HP85" s="542"/>
      <c r="HQ85" s="542"/>
      <c r="HR85" s="542"/>
      <c r="HS85" s="542"/>
      <c r="HT85" s="542"/>
      <c r="HU85" s="542"/>
      <c r="HV85" s="542"/>
      <c r="HW85" s="542"/>
      <c r="HX85" s="542"/>
      <c r="HY85" s="542"/>
      <c r="HZ85" s="542"/>
      <c r="IA85" s="542"/>
      <c r="IB85" s="542"/>
      <c r="IC85" s="542"/>
      <c r="ID85" s="542"/>
      <c r="IE85" s="542"/>
      <c r="IF85" s="542"/>
      <c r="IG85" s="542"/>
      <c r="IH85" s="542"/>
      <c r="II85" s="542"/>
      <c r="IJ85" s="542"/>
      <c r="IK85" s="542"/>
      <c r="IL85" s="542"/>
      <c r="IM85" s="542"/>
      <c r="IN85" s="542"/>
      <c r="IO85" s="542"/>
      <c r="IP85" s="542"/>
      <c r="IQ85" s="542"/>
      <c r="IR85" s="542"/>
      <c r="IS85" s="542"/>
      <c r="IT85" s="542"/>
      <c r="IU85" s="542"/>
      <c r="IV85" s="542"/>
      <c r="IW85" s="542"/>
      <c r="IX85" s="542"/>
      <c r="IY85" s="542"/>
      <c r="IZ85" s="542"/>
      <c r="JA85" s="542"/>
      <c r="JB85" s="542"/>
    </row>
    <row r="86" spans="1:262" ht="13.8" hidden="1">
      <c r="A86" s="1495"/>
      <c r="B86" s="550"/>
      <c r="C86" s="550"/>
      <c r="D86" s="1333"/>
      <c r="E86" s="550"/>
      <c r="F86" s="439"/>
      <c r="G86" s="440"/>
      <c r="H86" s="439"/>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1383"/>
      <c r="CX86" s="557"/>
      <c r="CZ86" s="542"/>
      <c r="DA86" s="542"/>
      <c r="DB86" s="542"/>
      <c r="DC86" s="542"/>
      <c r="DD86" s="542"/>
      <c r="DE86" s="542"/>
      <c r="DF86" s="542"/>
      <c r="DG86" s="542"/>
      <c r="DH86" s="542"/>
      <c r="DI86" s="542"/>
      <c r="DJ86" s="542"/>
      <c r="DK86" s="542"/>
      <c r="DL86" s="542"/>
      <c r="DM86" s="542"/>
      <c r="DN86" s="542"/>
      <c r="DO86" s="542"/>
      <c r="DP86" s="542"/>
      <c r="DQ86" s="542"/>
      <c r="DR86" s="542"/>
      <c r="DS86" s="542"/>
      <c r="DT86" s="542"/>
      <c r="DU86" s="542"/>
      <c r="DV86" s="542"/>
      <c r="DW86" s="542"/>
      <c r="DX86" s="542"/>
      <c r="DY86" s="542"/>
      <c r="DZ86" s="542"/>
      <c r="EA86" s="542"/>
      <c r="EB86" s="542"/>
      <c r="EC86" s="542"/>
      <c r="ED86" s="542"/>
      <c r="EE86" s="542"/>
      <c r="EF86" s="542"/>
      <c r="EG86" s="542"/>
      <c r="EH86" s="542"/>
      <c r="EI86" s="542"/>
      <c r="EJ86" s="542"/>
      <c r="EK86" s="542"/>
      <c r="EL86" s="542"/>
      <c r="EM86" s="542"/>
      <c r="EN86" s="542"/>
      <c r="EO86" s="542"/>
      <c r="EP86" s="542"/>
      <c r="EQ86" s="542"/>
      <c r="ER86" s="542"/>
      <c r="ES86" s="542"/>
      <c r="ET86" s="542"/>
      <c r="EU86" s="542"/>
      <c r="EV86" s="542"/>
      <c r="EW86" s="542"/>
      <c r="EX86" s="542"/>
      <c r="EY86" s="542"/>
      <c r="EZ86" s="542"/>
      <c r="FA86" s="542"/>
      <c r="FB86" s="542"/>
      <c r="FC86" s="542"/>
      <c r="FD86" s="542"/>
      <c r="FE86" s="542"/>
      <c r="FF86" s="542"/>
      <c r="FG86" s="542"/>
      <c r="FH86" s="542"/>
      <c r="FI86" s="542"/>
      <c r="FJ86" s="542"/>
      <c r="FK86" s="542"/>
      <c r="FL86" s="542"/>
      <c r="FM86" s="542"/>
      <c r="FN86" s="542"/>
      <c r="FO86" s="542"/>
      <c r="FP86" s="542"/>
      <c r="FQ86" s="542"/>
      <c r="FR86" s="542"/>
      <c r="FS86" s="542"/>
      <c r="FT86" s="542"/>
      <c r="FU86" s="542"/>
      <c r="FV86" s="542"/>
      <c r="FW86" s="542"/>
      <c r="FX86" s="542"/>
      <c r="FY86" s="542"/>
      <c r="FZ86" s="542"/>
      <c r="GA86" s="542"/>
      <c r="GB86" s="542"/>
      <c r="GC86" s="542"/>
      <c r="GD86" s="542"/>
      <c r="GE86" s="542"/>
      <c r="GF86" s="542"/>
      <c r="GG86" s="542"/>
      <c r="GH86" s="542"/>
      <c r="GI86" s="542"/>
      <c r="GJ86" s="542"/>
      <c r="GK86" s="542"/>
      <c r="GL86" s="542"/>
      <c r="GM86" s="542"/>
      <c r="GN86" s="542"/>
      <c r="GO86" s="542"/>
      <c r="GP86" s="542"/>
      <c r="GQ86" s="542"/>
      <c r="GR86" s="542"/>
      <c r="GS86" s="542"/>
      <c r="GT86" s="542"/>
      <c r="GU86" s="542"/>
      <c r="GV86" s="542"/>
      <c r="GW86" s="542"/>
      <c r="GX86" s="542"/>
      <c r="GY86" s="542"/>
      <c r="GZ86" s="542"/>
      <c r="HA86" s="542"/>
      <c r="HB86" s="542"/>
      <c r="HC86" s="542"/>
      <c r="HD86" s="542"/>
      <c r="HE86" s="542"/>
      <c r="HF86" s="542"/>
      <c r="HG86" s="542"/>
      <c r="HH86" s="542"/>
      <c r="HI86" s="542"/>
      <c r="HJ86" s="542"/>
      <c r="HK86" s="542"/>
      <c r="HL86" s="542"/>
      <c r="HM86" s="542"/>
      <c r="HN86" s="542"/>
      <c r="HO86" s="542"/>
      <c r="HP86" s="542"/>
      <c r="HQ86" s="542"/>
      <c r="HR86" s="542"/>
      <c r="HS86" s="542"/>
      <c r="HT86" s="542"/>
      <c r="HU86" s="542"/>
      <c r="HV86" s="542"/>
      <c r="HW86" s="542"/>
      <c r="HX86" s="542"/>
      <c r="HY86" s="542"/>
      <c r="HZ86" s="542"/>
      <c r="IA86" s="542"/>
      <c r="IB86" s="542"/>
      <c r="IC86" s="542"/>
      <c r="ID86" s="542"/>
      <c r="IE86" s="542"/>
      <c r="IF86" s="542"/>
      <c r="IG86" s="542"/>
      <c r="IH86" s="542"/>
      <c r="II86" s="542"/>
      <c r="IJ86" s="542"/>
      <c r="IK86" s="542"/>
      <c r="IL86" s="542"/>
      <c r="IM86" s="542"/>
      <c r="IN86" s="542"/>
      <c r="IO86" s="542"/>
      <c r="IP86" s="542"/>
      <c r="IQ86" s="542"/>
      <c r="IR86" s="542"/>
      <c r="IS86" s="542"/>
      <c r="IT86" s="542"/>
      <c r="IU86" s="542"/>
      <c r="IV86" s="542"/>
      <c r="IW86" s="542"/>
      <c r="IX86" s="542"/>
      <c r="IY86" s="542"/>
      <c r="IZ86" s="542"/>
      <c r="JA86" s="542"/>
      <c r="JB86" s="542"/>
    </row>
    <row r="87" spans="1:262" ht="13.8" hidden="1">
      <c r="A87" s="1495"/>
      <c r="B87" s="550"/>
      <c r="C87" s="550"/>
      <c r="D87" s="1333"/>
      <c r="E87" s="550"/>
      <c r="F87" s="439"/>
      <c r="G87" s="440"/>
      <c r="H87" s="439"/>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1383"/>
      <c r="CX87" s="557"/>
      <c r="CZ87" s="542"/>
      <c r="DA87" s="542"/>
      <c r="DB87" s="542"/>
      <c r="DC87" s="542"/>
      <c r="DD87" s="542"/>
      <c r="DE87" s="542"/>
      <c r="DF87" s="542"/>
      <c r="DG87" s="542"/>
      <c r="DH87" s="542"/>
      <c r="DI87" s="542"/>
      <c r="DJ87" s="542"/>
      <c r="DK87" s="542"/>
      <c r="DL87" s="542"/>
      <c r="DM87" s="542"/>
      <c r="DN87" s="542"/>
      <c r="DO87" s="542"/>
      <c r="DP87" s="542"/>
      <c r="DQ87" s="542"/>
      <c r="DR87" s="542"/>
      <c r="DS87" s="542"/>
      <c r="DT87" s="542"/>
      <c r="DU87" s="542"/>
      <c r="DV87" s="542"/>
      <c r="DW87" s="542"/>
      <c r="DX87" s="542"/>
      <c r="DY87" s="542"/>
      <c r="DZ87" s="542"/>
      <c r="EA87" s="542"/>
      <c r="EB87" s="542"/>
      <c r="EC87" s="542"/>
      <c r="ED87" s="542"/>
      <c r="EE87" s="542"/>
      <c r="EF87" s="542"/>
      <c r="EG87" s="542"/>
      <c r="EH87" s="542"/>
      <c r="EI87" s="542"/>
      <c r="EJ87" s="542"/>
      <c r="EK87" s="542"/>
      <c r="EL87" s="542"/>
      <c r="EM87" s="542"/>
      <c r="EN87" s="542"/>
      <c r="EO87" s="542"/>
      <c r="EP87" s="542"/>
      <c r="EQ87" s="542"/>
      <c r="ER87" s="542"/>
      <c r="ES87" s="542"/>
      <c r="ET87" s="542"/>
      <c r="EU87" s="542"/>
      <c r="EV87" s="542"/>
      <c r="EW87" s="542"/>
      <c r="EX87" s="542"/>
      <c r="EY87" s="542"/>
      <c r="EZ87" s="542"/>
      <c r="FA87" s="542"/>
      <c r="FB87" s="542"/>
      <c r="FC87" s="542"/>
      <c r="FD87" s="542"/>
      <c r="FE87" s="542"/>
      <c r="FF87" s="542"/>
      <c r="FG87" s="542"/>
      <c r="FH87" s="542"/>
      <c r="FI87" s="542"/>
      <c r="FJ87" s="542"/>
      <c r="FK87" s="542"/>
      <c r="FL87" s="542"/>
      <c r="FM87" s="542"/>
      <c r="FN87" s="542"/>
      <c r="FO87" s="542"/>
      <c r="FP87" s="542"/>
      <c r="FQ87" s="542"/>
      <c r="FR87" s="542"/>
      <c r="FS87" s="542"/>
      <c r="FT87" s="542"/>
      <c r="FU87" s="542"/>
      <c r="FV87" s="542"/>
      <c r="FW87" s="542"/>
      <c r="FX87" s="542"/>
      <c r="FY87" s="542"/>
      <c r="FZ87" s="542"/>
      <c r="GA87" s="542"/>
      <c r="GB87" s="542"/>
      <c r="GC87" s="542"/>
      <c r="GD87" s="542"/>
      <c r="GE87" s="542"/>
      <c r="GF87" s="542"/>
      <c r="GG87" s="542"/>
      <c r="GH87" s="542"/>
      <c r="GI87" s="542"/>
      <c r="GJ87" s="542"/>
      <c r="GK87" s="542"/>
      <c r="GL87" s="542"/>
      <c r="GM87" s="542"/>
      <c r="GN87" s="542"/>
      <c r="GO87" s="542"/>
      <c r="GP87" s="542"/>
      <c r="GQ87" s="542"/>
      <c r="GR87" s="542"/>
      <c r="GS87" s="542"/>
      <c r="GT87" s="542"/>
      <c r="GU87" s="542"/>
      <c r="GV87" s="542"/>
      <c r="GW87" s="542"/>
      <c r="GX87" s="542"/>
      <c r="GY87" s="542"/>
      <c r="GZ87" s="542"/>
      <c r="HA87" s="542"/>
      <c r="HB87" s="542"/>
      <c r="HC87" s="542"/>
      <c r="HD87" s="542"/>
      <c r="HE87" s="542"/>
      <c r="HF87" s="542"/>
      <c r="HG87" s="542"/>
      <c r="HH87" s="542"/>
      <c r="HI87" s="542"/>
      <c r="HJ87" s="542"/>
      <c r="HK87" s="542"/>
      <c r="HL87" s="542"/>
      <c r="HM87" s="542"/>
      <c r="HN87" s="542"/>
      <c r="HO87" s="542"/>
      <c r="HP87" s="542"/>
      <c r="HQ87" s="542"/>
      <c r="HR87" s="542"/>
      <c r="HS87" s="542"/>
      <c r="HT87" s="542"/>
      <c r="HU87" s="542"/>
      <c r="HV87" s="542"/>
      <c r="HW87" s="542"/>
      <c r="HX87" s="542"/>
      <c r="HY87" s="542"/>
      <c r="HZ87" s="542"/>
      <c r="IA87" s="542"/>
      <c r="IB87" s="542"/>
      <c r="IC87" s="542"/>
      <c r="ID87" s="542"/>
      <c r="IE87" s="542"/>
      <c r="IF87" s="542"/>
      <c r="IG87" s="542"/>
      <c r="IH87" s="542"/>
      <c r="II87" s="542"/>
      <c r="IJ87" s="542"/>
      <c r="IK87" s="542"/>
      <c r="IL87" s="542"/>
      <c r="IM87" s="542"/>
      <c r="IN87" s="542"/>
      <c r="IO87" s="542"/>
      <c r="IP87" s="542"/>
      <c r="IQ87" s="542"/>
      <c r="IR87" s="542"/>
      <c r="IS87" s="542"/>
      <c r="IT87" s="542"/>
      <c r="IU87" s="542"/>
      <c r="IV87" s="542"/>
      <c r="IW87" s="542"/>
      <c r="IX87" s="542"/>
      <c r="IY87" s="542"/>
      <c r="IZ87" s="542"/>
      <c r="JA87" s="542"/>
      <c r="JB87" s="542"/>
    </row>
    <row r="88" spans="1:262" ht="13.8" hidden="1">
      <c r="A88" s="1495"/>
      <c r="B88" s="550"/>
      <c r="C88" s="550"/>
      <c r="D88" s="1333"/>
      <c r="E88" s="550"/>
      <c r="F88" s="439"/>
      <c r="G88" s="440"/>
      <c r="H88" s="439"/>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1383"/>
      <c r="CX88" s="557"/>
      <c r="CZ88" s="542"/>
      <c r="DA88" s="542"/>
      <c r="DB88" s="542"/>
      <c r="DC88" s="542"/>
      <c r="DD88" s="542"/>
      <c r="DE88" s="542"/>
      <c r="DF88" s="542"/>
      <c r="DG88" s="542"/>
      <c r="DH88" s="542"/>
      <c r="DI88" s="542"/>
      <c r="DJ88" s="542"/>
      <c r="DK88" s="542"/>
      <c r="DL88" s="542"/>
      <c r="DM88" s="542"/>
      <c r="DN88" s="542"/>
      <c r="DO88" s="542"/>
      <c r="DP88" s="542"/>
      <c r="DQ88" s="542"/>
      <c r="DR88" s="542"/>
      <c r="DS88" s="542"/>
      <c r="DT88" s="542"/>
      <c r="DU88" s="542"/>
      <c r="DV88" s="542"/>
      <c r="DW88" s="542"/>
      <c r="DX88" s="542"/>
      <c r="DY88" s="542"/>
      <c r="DZ88" s="542"/>
      <c r="EA88" s="542"/>
      <c r="EB88" s="542"/>
      <c r="EC88" s="542"/>
      <c r="ED88" s="542"/>
      <c r="EE88" s="542"/>
      <c r="EF88" s="542"/>
      <c r="EG88" s="542"/>
      <c r="EH88" s="542"/>
      <c r="EI88" s="542"/>
      <c r="EJ88" s="542"/>
      <c r="EK88" s="542"/>
      <c r="EL88" s="542"/>
      <c r="EM88" s="542"/>
      <c r="EN88" s="542"/>
      <c r="EO88" s="542"/>
      <c r="EP88" s="542"/>
      <c r="EQ88" s="542"/>
      <c r="ER88" s="542"/>
      <c r="ES88" s="542"/>
      <c r="ET88" s="542"/>
      <c r="EU88" s="542"/>
      <c r="EV88" s="542"/>
      <c r="EW88" s="542"/>
      <c r="EX88" s="542"/>
      <c r="EY88" s="542"/>
      <c r="EZ88" s="542"/>
      <c r="FA88" s="542"/>
      <c r="FB88" s="542"/>
      <c r="FC88" s="542"/>
      <c r="FD88" s="542"/>
      <c r="FE88" s="542"/>
      <c r="FF88" s="542"/>
      <c r="FG88" s="542"/>
      <c r="FH88" s="542"/>
      <c r="FI88" s="542"/>
      <c r="FJ88" s="542"/>
      <c r="FK88" s="542"/>
      <c r="FL88" s="542"/>
      <c r="FM88" s="542"/>
      <c r="FN88" s="542"/>
      <c r="FO88" s="542"/>
      <c r="FP88" s="542"/>
      <c r="FQ88" s="542"/>
      <c r="FR88" s="542"/>
      <c r="FS88" s="542"/>
      <c r="FT88" s="542"/>
      <c r="FU88" s="542"/>
      <c r="FV88" s="542"/>
      <c r="FW88" s="542"/>
      <c r="FX88" s="542"/>
      <c r="FY88" s="542"/>
      <c r="FZ88" s="542"/>
      <c r="GA88" s="542"/>
      <c r="GB88" s="542"/>
      <c r="GC88" s="542"/>
      <c r="GD88" s="542"/>
      <c r="GE88" s="542"/>
      <c r="GF88" s="542"/>
      <c r="GG88" s="542"/>
      <c r="GH88" s="542"/>
      <c r="GI88" s="542"/>
      <c r="GJ88" s="542"/>
      <c r="GK88" s="542"/>
      <c r="GL88" s="542"/>
      <c r="GM88" s="542"/>
      <c r="GN88" s="542"/>
      <c r="GO88" s="542"/>
      <c r="GP88" s="542"/>
      <c r="GQ88" s="542"/>
      <c r="GR88" s="542"/>
      <c r="GS88" s="542"/>
      <c r="GT88" s="542"/>
      <c r="GU88" s="542"/>
      <c r="GV88" s="542"/>
      <c r="GW88" s="542"/>
      <c r="GX88" s="542"/>
      <c r="GY88" s="542"/>
      <c r="GZ88" s="542"/>
      <c r="HA88" s="542"/>
      <c r="HB88" s="542"/>
      <c r="HC88" s="542"/>
      <c r="HD88" s="542"/>
      <c r="HE88" s="542"/>
      <c r="HF88" s="542"/>
      <c r="HG88" s="542"/>
      <c r="HH88" s="542"/>
      <c r="HI88" s="542"/>
      <c r="HJ88" s="542"/>
      <c r="HK88" s="542"/>
      <c r="HL88" s="542"/>
      <c r="HM88" s="542"/>
      <c r="HN88" s="542"/>
      <c r="HO88" s="542"/>
      <c r="HP88" s="542"/>
      <c r="HQ88" s="542"/>
      <c r="HR88" s="542"/>
      <c r="HS88" s="542"/>
      <c r="HT88" s="542"/>
      <c r="HU88" s="542"/>
      <c r="HV88" s="542"/>
      <c r="HW88" s="542"/>
      <c r="HX88" s="542"/>
      <c r="HY88" s="542"/>
      <c r="HZ88" s="542"/>
      <c r="IA88" s="542"/>
      <c r="IB88" s="542"/>
      <c r="IC88" s="542"/>
      <c r="ID88" s="542"/>
      <c r="IE88" s="542"/>
      <c r="IF88" s="542"/>
      <c r="IG88" s="542"/>
      <c r="IH88" s="542"/>
      <c r="II88" s="542"/>
      <c r="IJ88" s="542"/>
      <c r="IK88" s="542"/>
      <c r="IL88" s="542"/>
      <c r="IM88" s="542"/>
      <c r="IN88" s="542"/>
      <c r="IO88" s="542"/>
      <c r="IP88" s="542"/>
      <c r="IQ88" s="542"/>
      <c r="IR88" s="542"/>
      <c r="IS88" s="542"/>
      <c r="IT88" s="542"/>
      <c r="IU88" s="542"/>
      <c r="IV88" s="542"/>
      <c r="IW88" s="542"/>
      <c r="IX88" s="542"/>
      <c r="IY88" s="542"/>
      <c r="IZ88" s="542"/>
      <c r="JA88" s="542"/>
      <c r="JB88" s="542"/>
    </row>
    <row r="89" spans="1:262" ht="13.8" hidden="1">
      <c r="A89" s="1495"/>
      <c r="B89" s="550"/>
      <c r="C89" s="550"/>
      <c r="D89" s="1333"/>
      <c r="E89" s="550"/>
      <c r="F89" s="439"/>
      <c r="G89" s="440"/>
      <c r="H89" s="439"/>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1383"/>
      <c r="CX89" s="557"/>
      <c r="CZ89" s="542"/>
      <c r="DA89" s="542"/>
      <c r="DB89" s="542"/>
      <c r="DC89" s="542"/>
      <c r="DD89" s="542"/>
      <c r="DE89" s="542"/>
      <c r="DF89" s="542"/>
      <c r="DG89" s="542"/>
      <c r="DH89" s="542"/>
      <c r="DI89" s="542"/>
      <c r="DJ89" s="542"/>
      <c r="DK89" s="542"/>
      <c r="DL89" s="542"/>
      <c r="DM89" s="542"/>
      <c r="DN89" s="542"/>
      <c r="DO89" s="542"/>
      <c r="DP89" s="542"/>
      <c r="DQ89" s="542"/>
      <c r="DR89" s="542"/>
      <c r="DS89" s="542"/>
      <c r="DT89" s="542"/>
      <c r="DU89" s="542"/>
      <c r="DV89" s="542"/>
      <c r="DW89" s="542"/>
      <c r="DX89" s="542"/>
      <c r="DY89" s="542"/>
      <c r="DZ89" s="542"/>
      <c r="EA89" s="542"/>
      <c r="EB89" s="542"/>
      <c r="EC89" s="542"/>
      <c r="ED89" s="542"/>
      <c r="EE89" s="542"/>
      <c r="EF89" s="542"/>
      <c r="EG89" s="542"/>
      <c r="EH89" s="542"/>
      <c r="EI89" s="542"/>
      <c r="EJ89" s="542"/>
      <c r="EK89" s="542"/>
      <c r="EL89" s="542"/>
      <c r="EM89" s="542"/>
      <c r="EN89" s="542"/>
      <c r="EO89" s="542"/>
      <c r="EP89" s="542"/>
      <c r="EQ89" s="542"/>
      <c r="ER89" s="542"/>
      <c r="ES89" s="542"/>
      <c r="ET89" s="542"/>
      <c r="EU89" s="542"/>
      <c r="EV89" s="542"/>
      <c r="EW89" s="542"/>
      <c r="EX89" s="542"/>
      <c r="EY89" s="542"/>
      <c r="EZ89" s="542"/>
      <c r="FA89" s="542"/>
      <c r="FB89" s="542"/>
      <c r="FC89" s="542"/>
      <c r="FD89" s="542"/>
      <c r="FE89" s="542"/>
      <c r="FF89" s="542"/>
      <c r="FG89" s="542"/>
      <c r="FH89" s="542"/>
      <c r="FI89" s="542"/>
      <c r="FJ89" s="542"/>
      <c r="FK89" s="542"/>
      <c r="FL89" s="542"/>
      <c r="FM89" s="542"/>
      <c r="FN89" s="542"/>
      <c r="FO89" s="542"/>
      <c r="FP89" s="542"/>
      <c r="FQ89" s="542"/>
      <c r="FR89" s="542"/>
      <c r="FS89" s="542"/>
      <c r="FT89" s="542"/>
      <c r="FU89" s="542"/>
      <c r="FV89" s="542"/>
      <c r="FW89" s="542"/>
      <c r="FX89" s="542"/>
      <c r="FY89" s="542"/>
      <c r="FZ89" s="542"/>
      <c r="GA89" s="542"/>
      <c r="GB89" s="542"/>
      <c r="GC89" s="542"/>
      <c r="GD89" s="542"/>
      <c r="GE89" s="542"/>
      <c r="GF89" s="542"/>
      <c r="GG89" s="542"/>
      <c r="GH89" s="542"/>
      <c r="GI89" s="542"/>
      <c r="GJ89" s="542"/>
      <c r="GK89" s="542"/>
      <c r="GL89" s="542"/>
      <c r="GM89" s="542"/>
      <c r="GN89" s="542"/>
      <c r="GO89" s="542"/>
      <c r="GP89" s="542"/>
      <c r="GQ89" s="542"/>
      <c r="GR89" s="542"/>
      <c r="GS89" s="542"/>
      <c r="GT89" s="542"/>
      <c r="GU89" s="542"/>
      <c r="GV89" s="542"/>
      <c r="GW89" s="542"/>
      <c r="GX89" s="542"/>
      <c r="GY89" s="542"/>
      <c r="GZ89" s="542"/>
      <c r="HA89" s="542"/>
      <c r="HB89" s="542"/>
      <c r="HC89" s="542"/>
      <c r="HD89" s="542"/>
      <c r="HE89" s="542"/>
      <c r="HF89" s="542"/>
      <c r="HG89" s="542"/>
      <c r="HH89" s="542"/>
      <c r="HI89" s="542"/>
      <c r="HJ89" s="542"/>
      <c r="HK89" s="542"/>
      <c r="HL89" s="542"/>
      <c r="HM89" s="542"/>
      <c r="HN89" s="542"/>
      <c r="HO89" s="542"/>
      <c r="HP89" s="542"/>
      <c r="HQ89" s="542"/>
      <c r="HR89" s="542"/>
      <c r="HS89" s="542"/>
      <c r="HT89" s="542"/>
      <c r="HU89" s="542"/>
      <c r="HV89" s="542"/>
      <c r="HW89" s="542"/>
      <c r="HX89" s="542"/>
      <c r="HY89" s="542"/>
      <c r="HZ89" s="542"/>
      <c r="IA89" s="542"/>
      <c r="IB89" s="542"/>
      <c r="IC89" s="542"/>
      <c r="ID89" s="542"/>
      <c r="IE89" s="542"/>
      <c r="IF89" s="542"/>
      <c r="IG89" s="542"/>
      <c r="IH89" s="542"/>
      <c r="II89" s="542"/>
      <c r="IJ89" s="542"/>
      <c r="IK89" s="542"/>
      <c r="IL89" s="542"/>
      <c r="IM89" s="542"/>
      <c r="IN89" s="542"/>
      <c r="IO89" s="542"/>
      <c r="IP89" s="542"/>
      <c r="IQ89" s="542"/>
      <c r="IR89" s="542"/>
      <c r="IS89" s="542"/>
      <c r="IT89" s="542"/>
      <c r="IU89" s="542"/>
      <c r="IV89" s="542"/>
      <c r="IW89" s="542"/>
      <c r="IX89" s="542"/>
      <c r="IY89" s="542"/>
      <c r="IZ89" s="542"/>
      <c r="JA89" s="542"/>
      <c r="JB89" s="542"/>
    </row>
    <row r="90" spans="1:262" ht="13.8" hidden="1">
      <c r="A90" s="1495"/>
      <c r="B90" s="550"/>
      <c r="C90" s="550"/>
      <c r="D90" s="1333"/>
      <c r="E90" s="550"/>
      <c r="F90" s="439"/>
      <c r="G90" s="440"/>
      <c r="H90" s="439"/>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1383"/>
      <c r="CX90" s="557"/>
      <c r="CZ90" s="542"/>
      <c r="DA90" s="542"/>
      <c r="DB90" s="542"/>
      <c r="DC90" s="542"/>
      <c r="DD90" s="542"/>
      <c r="DE90" s="542"/>
      <c r="DF90" s="542"/>
      <c r="DG90" s="542"/>
      <c r="DH90" s="542"/>
      <c r="DI90" s="542"/>
      <c r="DJ90" s="542"/>
      <c r="DK90" s="542"/>
      <c r="DL90" s="542"/>
      <c r="DM90" s="542"/>
      <c r="DN90" s="542"/>
      <c r="DO90" s="542"/>
      <c r="DP90" s="542"/>
      <c r="DQ90" s="542"/>
      <c r="DR90" s="542"/>
      <c r="DS90" s="542"/>
      <c r="DT90" s="542"/>
      <c r="DU90" s="542"/>
      <c r="DV90" s="542"/>
      <c r="DW90" s="542"/>
      <c r="DX90" s="542"/>
      <c r="DY90" s="542"/>
      <c r="DZ90" s="542"/>
      <c r="EA90" s="542"/>
      <c r="EB90" s="542"/>
      <c r="EC90" s="542"/>
      <c r="ED90" s="542"/>
      <c r="EE90" s="542"/>
      <c r="EF90" s="542"/>
      <c r="EG90" s="542"/>
      <c r="EH90" s="542"/>
      <c r="EI90" s="542"/>
      <c r="EJ90" s="542"/>
      <c r="EK90" s="542"/>
      <c r="EL90" s="542"/>
      <c r="EM90" s="542"/>
      <c r="EN90" s="542"/>
      <c r="EO90" s="542"/>
      <c r="EP90" s="542"/>
      <c r="EQ90" s="542"/>
      <c r="ER90" s="542"/>
      <c r="ES90" s="542"/>
      <c r="ET90" s="542"/>
      <c r="EU90" s="542"/>
      <c r="EV90" s="542"/>
      <c r="EW90" s="542"/>
      <c r="EX90" s="542"/>
      <c r="EY90" s="542"/>
      <c r="EZ90" s="542"/>
      <c r="FA90" s="542"/>
      <c r="FB90" s="542"/>
      <c r="FC90" s="542"/>
      <c r="FD90" s="542"/>
      <c r="FE90" s="542"/>
      <c r="FF90" s="542"/>
      <c r="FG90" s="542"/>
      <c r="FH90" s="542"/>
      <c r="FI90" s="542"/>
      <c r="FJ90" s="542"/>
      <c r="FK90" s="542"/>
      <c r="FL90" s="542"/>
      <c r="FM90" s="542"/>
      <c r="FN90" s="542"/>
      <c r="FO90" s="542"/>
      <c r="FP90" s="542"/>
      <c r="FQ90" s="542"/>
      <c r="FR90" s="542"/>
      <c r="FS90" s="542"/>
      <c r="FT90" s="542"/>
      <c r="FU90" s="542"/>
      <c r="FV90" s="542"/>
      <c r="FW90" s="542"/>
      <c r="FX90" s="542"/>
      <c r="FY90" s="542"/>
      <c r="FZ90" s="542"/>
      <c r="GA90" s="542"/>
      <c r="GB90" s="542"/>
      <c r="GC90" s="542"/>
      <c r="GD90" s="542"/>
      <c r="GE90" s="542"/>
      <c r="GF90" s="542"/>
      <c r="GG90" s="542"/>
      <c r="GH90" s="542"/>
      <c r="GI90" s="542"/>
      <c r="GJ90" s="542"/>
      <c r="GK90" s="542"/>
      <c r="GL90" s="542"/>
      <c r="GM90" s="542"/>
      <c r="GN90" s="542"/>
      <c r="GO90" s="542"/>
      <c r="GP90" s="542"/>
      <c r="GQ90" s="542"/>
      <c r="GR90" s="542"/>
      <c r="GS90" s="542"/>
      <c r="GT90" s="542"/>
      <c r="GU90" s="542"/>
      <c r="GV90" s="542"/>
      <c r="GW90" s="542"/>
      <c r="GX90" s="542"/>
      <c r="GY90" s="542"/>
      <c r="GZ90" s="542"/>
      <c r="HA90" s="542"/>
      <c r="HB90" s="542"/>
      <c r="HC90" s="542"/>
      <c r="HD90" s="542"/>
      <c r="HE90" s="542"/>
      <c r="HF90" s="542"/>
      <c r="HG90" s="542"/>
      <c r="HH90" s="542"/>
      <c r="HI90" s="542"/>
      <c r="HJ90" s="542"/>
      <c r="HK90" s="542"/>
      <c r="HL90" s="542"/>
      <c r="HM90" s="542"/>
      <c r="HN90" s="542"/>
      <c r="HO90" s="542"/>
      <c r="HP90" s="542"/>
      <c r="HQ90" s="542"/>
      <c r="HR90" s="542"/>
      <c r="HS90" s="542"/>
      <c r="HT90" s="542"/>
      <c r="HU90" s="542"/>
      <c r="HV90" s="542"/>
      <c r="HW90" s="542"/>
      <c r="HX90" s="542"/>
      <c r="HY90" s="542"/>
      <c r="HZ90" s="542"/>
      <c r="IA90" s="542"/>
      <c r="IB90" s="542"/>
      <c r="IC90" s="542"/>
      <c r="ID90" s="542"/>
      <c r="IE90" s="542"/>
      <c r="IF90" s="542"/>
      <c r="IG90" s="542"/>
      <c r="IH90" s="542"/>
      <c r="II90" s="542"/>
      <c r="IJ90" s="542"/>
      <c r="IK90" s="542"/>
      <c r="IL90" s="542"/>
      <c r="IM90" s="542"/>
      <c r="IN90" s="542"/>
      <c r="IO90" s="542"/>
      <c r="IP90" s="542"/>
      <c r="IQ90" s="542"/>
      <c r="IR90" s="542"/>
      <c r="IS90" s="542"/>
      <c r="IT90" s="542"/>
      <c r="IU90" s="542"/>
      <c r="IV90" s="542"/>
      <c r="IW90" s="542"/>
      <c r="IX90" s="542"/>
      <c r="IY90" s="542"/>
      <c r="IZ90" s="542"/>
      <c r="JA90" s="542"/>
      <c r="JB90" s="542"/>
    </row>
    <row r="91" spans="1:262" ht="13.8" hidden="1">
      <c r="A91" s="1495"/>
      <c r="B91" s="550"/>
      <c r="C91" s="550"/>
      <c r="D91" s="1333"/>
      <c r="E91" s="550"/>
      <c r="F91" s="439"/>
      <c r="G91" s="440"/>
      <c r="H91" s="439"/>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1383"/>
      <c r="CX91" s="552"/>
      <c r="CZ91" s="542"/>
      <c r="DA91" s="542"/>
      <c r="DB91" s="542"/>
      <c r="DC91" s="542"/>
      <c r="DD91" s="542"/>
      <c r="DE91" s="542"/>
      <c r="DF91" s="542"/>
      <c r="DG91" s="542"/>
      <c r="DH91" s="542"/>
      <c r="DI91" s="542"/>
      <c r="DJ91" s="542"/>
      <c r="DK91" s="542"/>
      <c r="DL91" s="542"/>
      <c r="DM91" s="542"/>
      <c r="DN91" s="542"/>
      <c r="DO91" s="542"/>
      <c r="DP91" s="542"/>
      <c r="DQ91" s="542"/>
      <c r="DR91" s="542"/>
      <c r="DS91" s="542"/>
      <c r="DT91" s="542"/>
      <c r="DU91" s="542"/>
      <c r="DV91" s="542"/>
      <c r="DW91" s="542"/>
      <c r="DX91" s="542"/>
      <c r="DY91" s="542"/>
      <c r="DZ91" s="542"/>
      <c r="EA91" s="542"/>
      <c r="EB91" s="542"/>
      <c r="EC91" s="542"/>
      <c r="ED91" s="542"/>
      <c r="EE91" s="542"/>
      <c r="EF91" s="542"/>
      <c r="EG91" s="542"/>
      <c r="EH91" s="542"/>
      <c r="EI91" s="542"/>
      <c r="EJ91" s="542"/>
      <c r="EK91" s="542"/>
      <c r="EL91" s="542"/>
      <c r="EM91" s="542"/>
      <c r="EN91" s="542"/>
      <c r="EO91" s="542"/>
      <c r="EP91" s="542"/>
      <c r="EQ91" s="542"/>
      <c r="ER91" s="542"/>
      <c r="ES91" s="542"/>
      <c r="ET91" s="542"/>
      <c r="EU91" s="542"/>
      <c r="EV91" s="542"/>
      <c r="EW91" s="542"/>
      <c r="EX91" s="542"/>
      <c r="EY91" s="542"/>
      <c r="EZ91" s="542"/>
      <c r="FA91" s="542"/>
      <c r="FB91" s="542"/>
      <c r="FC91" s="542"/>
      <c r="FD91" s="542"/>
      <c r="FE91" s="542"/>
      <c r="FF91" s="542"/>
      <c r="FG91" s="542"/>
      <c r="FH91" s="542"/>
      <c r="FI91" s="542"/>
      <c r="FJ91" s="542"/>
      <c r="FK91" s="542"/>
      <c r="FL91" s="542"/>
      <c r="FM91" s="542"/>
      <c r="FN91" s="542"/>
      <c r="FO91" s="542"/>
      <c r="FP91" s="542"/>
      <c r="FQ91" s="542"/>
      <c r="FR91" s="542"/>
      <c r="FS91" s="542"/>
      <c r="FT91" s="542"/>
      <c r="FU91" s="542"/>
      <c r="FV91" s="542"/>
      <c r="FW91" s="542"/>
      <c r="FX91" s="542"/>
      <c r="FY91" s="542"/>
      <c r="FZ91" s="542"/>
      <c r="GA91" s="542"/>
      <c r="GB91" s="542"/>
      <c r="GC91" s="542"/>
      <c r="GD91" s="542"/>
      <c r="GE91" s="542"/>
      <c r="GF91" s="542"/>
      <c r="GG91" s="542"/>
      <c r="GH91" s="542"/>
      <c r="GI91" s="542"/>
      <c r="GJ91" s="542"/>
      <c r="GK91" s="542"/>
      <c r="GL91" s="542"/>
      <c r="GM91" s="542"/>
      <c r="GN91" s="542"/>
      <c r="GO91" s="542"/>
      <c r="GP91" s="542"/>
      <c r="GQ91" s="542"/>
      <c r="GR91" s="542"/>
      <c r="GS91" s="542"/>
      <c r="GT91" s="542"/>
      <c r="GU91" s="542"/>
      <c r="GV91" s="542"/>
      <c r="GW91" s="542"/>
      <c r="GX91" s="542"/>
      <c r="GY91" s="542"/>
      <c r="GZ91" s="542"/>
      <c r="HA91" s="542"/>
      <c r="HB91" s="542"/>
      <c r="HC91" s="542"/>
      <c r="HD91" s="542"/>
      <c r="HE91" s="542"/>
      <c r="HF91" s="542"/>
      <c r="HG91" s="542"/>
      <c r="HH91" s="542"/>
      <c r="HI91" s="542"/>
      <c r="HJ91" s="542"/>
      <c r="HK91" s="542"/>
      <c r="HL91" s="542"/>
      <c r="HM91" s="542"/>
      <c r="HN91" s="542"/>
      <c r="HO91" s="542"/>
      <c r="HP91" s="542"/>
      <c r="HQ91" s="542"/>
      <c r="HR91" s="542"/>
      <c r="HS91" s="542"/>
      <c r="HT91" s="542"/>
      <c r="HU91" s="542"/>
      <c r="HV91" s="542"/>
      <c r="HW91" s="542"/>
      <c r="HX91" s="542"/>
      <c r="HY91" s="542"/>
      <c r="HZ91" s="542"/>
      <c r="IA91" s="542"/>
      <c r="IB91" s="542"/>
      <c r="IC91" s="542"/>
      <c r="ID91" s="542"/>
      <c r="IE91" s="542"/>
      <c r="IF91" s="542"/>
      <c r="IG91" s="542"/>
      <c r="IH91" s="542"/>
      <c r="II91" s="542"/>
      <c r="IJ91" s="542"/>
      <c r="IK91" s="542"/>
      <c r="IL91" s="542"/>
      <c r="IM91" s="542"/>
      <c r="IN91" s="542"/>
      <c r="IO91" s="542"/>
      <c r="IP91" s="542"/>
      <c r="IQ91" s="542"/>
      <c r="IR91" s="542"/>
      <c r="IS91" s="542"/>
      <c r="IT91" s="542"/>
      <c r="IU91" s="542"/>
      <c r="IV91" s="542"/>
      <c r="IW91" s="542"/>
      <c r="IX91" s="542"/>
      <c r="IY91" s="542"/>
      <c r="IZ91" s="542"/>
      <c r="JA91" s="542"/>
      <c r="JB91" s="542"/>
    </row>
    <row r="92" spans="1:262" ht="13.8" hidden="1">
      <c r="A92" s="2011"/>
      <c r="B92" s="2012"/>
      <c r="C92" s="550"/>
      <c r="D92" s="2012"/>
      <c r="E92" s="1376"/>
      <c r="F92" s="1376"/>
      <c r="G92" s="1038"/>
      <c r="H92" s="2013"/>
      <c r="I92" s="625"/>
      <c r="J92" s="2014"/>
      <c r="K92" s="625"/>
      <c r="L92" s="2014"/>
      <c r="M92" s="2014"/>
      <c r="N92" s="625"/>
      <c r="O92" s="625"/>
      <c r="P92" s="625"/>
      <c r="Q92" s="625"/>
      <c r="R92" s="625"/>
      <c r="S92" s="2014"/>
      <c r="T92" s="625"/>
      <c r="U92" s="625"/>
      <c r="V92" s="625"/>
      <c r="W92" s="2014"/>
      <c r="X92" s="625"/>
      <c r="Y92" s="625"/>
      <c r="Z92" s="625"/>
      <c r="AA92" s="625"/>
      <c r="AB92" s="625"/>
      <c r="AC92" s="625"/>
      <c r="AD92" s="625"/>
      <c r="AE92" s="625"/>
      <c r="AF92" s="625"/>
      <c r="AG92" s="625"/>
      <c r="AH92" s="625"/>
      <c r="AI92" s="625"/>
      <c r="AJ92" s="625"/>
      <c r="AK92" s="625"/>
      <c r="AL92" s="625"/>
      <c r="AM92" s="625"/>
      <c r="AN92" s="2014"/>
      <c r="AO92" s="2014"/>
      <c r="AP92" s="625"/>
      <c r="AQ92" s="625"/>
      <c r="AR92" s="625"/>
      <c r="AS92" s="625"/>
      <c r="AT92" s="625"/>
      <c r="AU92" s="625"/>
      <c r="AV92" s="625"/>
      <c r="AW92" s="2014"/>
      <c r="AX92" s="2014"/>
      <c r="AY92" s="625"/>
      <c r="AZ92" s="625"/>
      <c r="BA92" s="625"/>
      <c r="BB92" s="625"/>
      <c r="BC92" s="625"/>
      <c r="BD92" s="2014"/>
      <c r="BE92" s="625"/>
      <c r="BF92" s="625"/>
      <c r="BG92" s="625"/>
      <c r="BH92" s="625"/>
      <c r="BI92" s="625"/>
      <c r="BJ92" s="625"/>
      <c r="BK92" s="625"/>
      <c r="BL92" s="625"/>
      <c r="BM92" s="2014"/>
      <c r="BN92" s="625"/>
      <c r="BO92" s="2014"/>
      <c r="BP92" s="2014"/>
      <c r="BQ92" s="625"/>
      <c r="BR92" s="625"/>
      <c r="BS92" s="625"/>
      <c r="BT92" s="2014"/>
      <c r="BU92" s="2014"/>
      <c r="BV92" s="2014"/>
      <c r="BW92" s="2014"/>
      <c r="BX92" s="2014"/>
      <c r="BY92" s="625"/>
      <c r="BZ92" s="2014"/>
      <c r="CA92" s="2014"/>
      <c r="CB92" s="2014"/>
      <c r="CC92" s="2014"/>
      <c r="CD92" s="625"/>
      <c r="CE92" s="625"/>
      <c r="CF92" s="625"/>
      <c r="CG92" s="625"/>
      <c r="CH92" s="625"/>
      <c r="CI92" s="625"/>
      <c r="CJ92" s="625"/>
      <c r="CK92" s="625"/>
      <c r="CL92" s="625"/>
      <c r="CM92" s="625"/>
      <c r="CN92" s="625"/>
      <c r="CO92" s="625"/>
      <c r="CP92" s="625"/>
      <c r="CQ92" s="625"/>
      <c r="CR92" s="2014"/>
      <c r="CS92" s="2014"/>
      <c r="CT92" s="2014"/>
      <c r="CU92" s="2014"/>
      <c r="CV92" s="2014"/>
      <c r="CW92" s="2014"/>
      <c r="CX92" s="2015"/>
      <c r="CZ92" s="542"/>
      <c r="DA92" s="542"/>
      <c r="DB92" s="542"/>
      <c r="DC92" s="542"/>
      <c r="DD92" s="542"/>
      <c r="DE92" s="542"/>
      <c r="DF92" s="542"/>
      <c r="DG92" s="542"/>
      <c r="DH92" s="542"/>
      <c r="DI92" s="542"/>
      <c r="DJ92" s="542"/>
      <c r="DK92" s="542"/>
      <c r="DL92" s="542"/>
      <c r="DM92" s="542"/>
      <c r="DN92" s="542"/>
      <c r="DO92" s="542"/>
      <c r="DP92" s="542"/>
      <c r="DQ92" s="542"/>
      <c r="DR92" s="542"/>
      <c r="DS92" s="542"/>
      <c r="DT92" s="542"/>
      <c r="DU92" s="542"/>
      <c r="DV92" s="542"/>
      <c r="DW92" s="542"/>
      <c r="DX92" s="542"/>
      <c r="DY92" s="542"/>
      <c r="DZ92" s="542"/>
      <c r="EA92" s="542"/>
      <c r="EB92" s="542"/>
      <c r="EC92" s="542"/>
      <c r="ED92" s="542"/>
      <c r="EE92" s="542"/>
      <c r="EF92" s="542"/>
      <c r="EG92" s="542"/>
      <c r="EH92" s="542"/>
      <c r="EI92" s="542"/>
      <c r="EJ92" s="542"/>
      <c r="EK92" s="542"/>
      <c r="EL92" s="542"/>
      <c r="EM92" s="542"/>
      <c r="EN92" s="542"/>
      <c r="EO92" s="542"/>
      <c r="EP92" s="542"/>
      <c r="EQ92" s="542"/>
      <c r="ER92" s="542"/>
      <c r="ES92" s="542"/>
      <c r="ET92" s="542"/>
      <c r="EU92" s="542"/>
      <c r="EV92" s="542"/>
      <c r="EW92" s="542"/>
      <c r="EX92" s="542"/>
      <c r="EY92" s="542"/>
      <c r="EZ92" s="542"/>
      <c r="FA92" s="542"/>
      <c r="FB92" s="542"/>
      <c r="FC92" s="542"/>
      <c r="FD92" s="542"/>
      <c r="FE92" s="542"/>
      <c r="FF92" s="542"/>
      <c r="FG92" s="542"/>
      <c r="FH92" s="542"/>
      <c r="FI92" s="542"/>
      <c r="FJ92" s="542"/>
      <c r="FK92" s="542"/>
      <c r="FL92" s="542"/>
      <c r="FM92" s="542"/>
      <c r="FN92" s="542"/>
      <c r="FO92" s="542"/>
      <c r="FP92" s="542"/>
      <c r="FQ92" s="542"/>
      <c r="FR92" s="542"/>
      <c r="FS92" s="542"/>
      <c r="FT92" s="542"/>
      <c r="FU92" s="542"/>
      <c r="FV92" s="542"/>
      <c r="FW92" s="542"/>
      <c r="FX92" s="542"/>
      <c r="FY92" s="542"/>
      <c r="FZ92" s="542"/>
      <c r="GA92" s="542"/>
      <c r="GB92" s="542"/>
      <c r="GC92" s="542"/>
      <c r="GD92" s="542"/>
      <c r="GE92" s="542"/>
      <c r="GF92" s="542"/>
      <c r="GG92" s="542"/>
      <c r="GH92" s="542"/>
      <c r="GI92" s="542"/>
      <c r="GJ92" s="542"/>
      <c r="GK92" s="542"/>
      <c r="GL92" s="542"/>
      <c r="GM92" s="542"/>
      <c r="GN92" s="542"/>
      <c r="GO92" s="542"/>
      <c r="GP92" s="542"/>
      <c r="GQ92" s="542"/>
      <c r="GR92" s="542"/>
      <c r="GS92" s="542"/>
      <c r="GT92" s="542"/>
      <c r="GU92" s="542"/>
      <c r="GV92" s="542"/>
      <c r="GW92" s="542"/>
      <c r="GX92" s="542"/>
      <c r="GY92" s="542"/>
      <c r="GZ92" s="542"/>
      <c r="HA92" s="542"/>
      <c r="HB92" s="542"/>
      <c r="HC92" s="542"/>
      <c r="HD92" s="542"/>
      <c r="HE92" s="542"/>
      <c r="HF92" s="542"/>
      <c r="HG92" s="542"/>
      <c r="HH92" s="542"/>
      <c r="HI92" s="542"/>
      <c r="HJ92" s="542"/>
      <c r="HK92" s="542"/>
      <c r="HL92" s="542"/>
      <c r="HM92" s="542"/>
      <c r="HN92" s="542"/>
      <c r="HO92" s="542"/>
      <c r="HP92" s="542"/>
      <c r="HQ92" s="542"/>
      <c r="HR92" s="542"/>
      <c r="HS92" s="542"/>
      <c r="HT92" s="542"/>
      <c r="HU92" s="542"/>
      <c r="HV92" s="542"/>
      <c r="HW92" s="542"/>
      <c r="HX92" s="542"/>
      <c r="HY92" s="542"/>
      <c r="HZ92" s="542"/>
      <c r="IA92" s="542"/>
      <c r="IB92" s="542"/>
      <c r="IC92" s="542"/>
      <c r="ID92" s="542"/>
      <c r="IE92" s="542"/>
      <c r="IF92" s="542"/>
      <c r="IG92" s="542"/>
      <c r="IH92" s="542"/>
      <c r="II92" s="542"/>
      <c r="IJ92" s="542"/>
      <c r="IK92" s="542"/>
      <c r="IL92" s="542"/>
      <c r="IM92" s="542"/>
      <c r="IN92" s="542"/>
      <c r="IO92" s="542"/>
      <c r="IP92" s="542"/>
      <c r="IQ92" s="542"/>
      <c r="IR92" s="542"/>
      <c r="IS92" s="542"/>
      <c r="IT92" s="542"/>
      <c r="IU92" s="542"/>
      <c r="IV92" s="542"/>
      <c r="IW92" s="542"/>
      <c r="IX92" s="542"/>
      <c r="IY92" s="542"/>
      <c r="IZ92" s="542"/>
      <c r="JA92" s="542"/>
      <c r="JB92" s="542"/>
    </row>
    <row r="93" spans="1:262" ht="13.95" customHeight="1">
      <c r="A93" s="2023"/>
      <c r="B93" s="2023"/>
      <c r="C93" s="2005"/>
      <c r="D93" s="2023"/>
      <c r="E93" s="2007"/>
      <c r="F93" s="614"/>
      <c r="G93" s="1989"/>
      <c r="H93" s="2026"/>
      <c r="I93" s="2005"/>
      <c r="J93" s="2023"/>
      <c r="K93" s="2005"/>
      <c r="L93" s="2023"/>
      <c r="M93" s="2077"/>
      <c r="N93" s="2007"/>
      <c r="O93" s="613"/>
      <c r="P93" s="613"/>
      <c r="Q93" s="613"/>
      <c r="R93" s="1987"/>
      <c r="S93" s="2023"/>
      <c r="T93" s="2007"/>
      <c r="U93" s="613"/>
      <c r="V93" s="1987"/>
      <c r="W93" s="2023"/>
      <c r="X93" s="2007"/>
      <c r="Y93" s="613"/>
      <c r="Z93" s="613"/>
      <c r="AA93" s="613"/>
      <c r="AB93" s="613"/>
      <c r="AC93" s="613"/>
      <c r="AD93" s="613"/>
      <c r="AE93" s="613"/>
      <c r="AF93" s="613"/>
      <c r="AG93" s="613"/>
      <c r="AH93" s="613"/>
      <c r="AI93" s="613"/>
      <c r="AJ93" s="613"/>
      <c r="AK93" s="613"/>
      <c r="AL93" s="613"/>
      <c r="AM93" s="1987"/>
      <c r="AN93" s="2023"/>
      <c r="AO93" s="2023"/>
      <c r="AP93" s="2007"/>
      <c r="AQ93" s="613"/>
      <c r="AR93" s="613"/>
      <c r="AS93" s="613"/>
      <c r="AT93" s="613"/>
      <c r="AU93" s="613"/>
      <c r="AV93" s="1987"/>
      <c r="AW93" s="2023"/>
      <c r="AX93" s="2023"/>
      <c r="AY93" s="2007"/>
      <c r="AZ93" s="613"/>
      <c r="BA93" s="613"/>
      <c r="BB93" s="613"/>
      <c r="BC93" s="1987"/>
      <c r="BD93" s="2023"/>
      <c r="BE93" s="2007"/>
      <c r="BF93" s="613"/>
      <c r="BG93" s="613"/>
      <c r="BH93" s="613"/>
      <c r="BI93" s="613"/>
      <c r="BJ93" s="613"/>
      <c r="BK93" s="613"/>
      <c r="BL93" s="1987"/>
      <c r="BM93" s="2023"/>
      <c r="BN93" s="2005"/>
      <c r="BO93" s="2023"/>
      <c r="BP93" s="2023"/>
      <c r="BQ93" s="2007"/>
      <c r="BR93" s="613"/>
      <c r="BS93" s="1987"/>
      <c r="BT93" s="2096"/>
      <c r="BU93" s="2023"/>
      <c r="BV93" s="2077"/>
      <c r="BW93" s="2096"/>
      <c r="BX93" s="2023"/>
      <c r="BY93" s="2005"/>
      <c r="BZ93" s="2023"/>
      <c r="CA93" s="2023"/>
      <c r="CB93" s="2023"/>
      <c r="CC93" s="2023"/>
      <c r="CD93" s="2007"/>
      <c r="CE93" s="613"/>
      <c r="CF93" s="613"/>
      <c r="CG93" s="613"/>
      <c r="CH93" s="613"/>
      <c r="CI93" s="613"/>
      <c r="CJ93" s="613"/>
      <c r="CK93" s="613"/>
      <c r="CL93" s="613"/>
      <c r="CM93" s="613"/>
      <c r="CN93" s="613"/>
      <c r="CO93" s="613"/>
      <c r="CP93" s="613"/>
      <c r="CQ93" s="1987"/>
      <c r="CR93" s="2023"/>
      <c r="CS93" s="2077"/>
      <c r="CT93" s="2023"/>
      <c r="CU93" s="2023"/>
      <c r="CV93" s="2096"/>
      <c r="CW93" s="2096"/>
      <c r="CX93" s="2032"/>
      <c r="CZ93" s="542"/>
      <c r="DA93" s="542"/>
      <c r="DB93" s="542"/>
      <c r="DC93" s="542"/>
      <c r="DD93" s="542"/>
      <c r="DE93" s="542"/>
      <c r="DF93" s="542"/>
      <c r="DG93" s="542"/>
      <c r="DH93" s="542"/>
      <c r="DI93" s="542"/>
      <c r="DJ93" s="542"/>
      <c r="DK93" s="542"/>
      <c r="DL93" s="542"/>
      <c r="DM93" s="542"/>
      <c r="DN93" s="542"/>
      <c r="DO93" s="542"/>
      <c r="DP93" s="542"/>
      <c r="DQ93" s="542"/>
      <c r="DR93" s="542"/>
      <c r="DS93" s="542"/>
      <c r="DT93" s="542"/>
      <c r="DU93" s="542"/>
      <c r="DV93" s="542"/>
      <c r="DW93" s="542"/>
      <c r="DX93" s="542"/>
      <c r="DY93" s="542"/>
      <c r="DZ93" s="542"/>
      <c r="EA93" s="542"/>
      <c r="EB93" s="542"/>
      <c r="EC93" s="542"/>
      <c r="ED93" s="542"/>
      <c r="EE93" s="542"/>
      <c r="EF93" s="542"/>
      <c r="EG93" s="542"/>
      <c r="EH93" s="542"/>
      <c r="EI93" s="542"/>
      <c r="EJ93" s="542"/>
      <c r="EK93" s="542"/>
      <c r="EL93" s="542"/>
      <c r="EM93" s="542"/>
      <c r="EN93" s="542"/>
      <c r="EO93" s="542"/>
      <c r="EP93" s="542"/>
      <c r="EQ93" s="542"/>
      <c r="ER93" s="542"/>
      <c r="ES93" s="542"/>
      <c r="ET93" s="542"/>
      <c r="EU93" s="542"/>
      <c r="EV93" s="542"/>
      <c r="EW93" s="542"/>
      <c r="EX93" s="542"/>
      <c r="EY93" s="542"/>
      <c r="EZ93" s="542"/>
      <c r="FA93" s="542"/>
      <c r="FB93" s="542"/>
      <c r="FC93" s="542"/>
      <c r="FD93" s="542"/>
      <c r="FE93" s="542"/>
      <c r="FF93" s="542"/>
      <c r="FG93" s="542"/>
      <c r="FH93" s="542"/>
      <c r="FI93" s="542"/>
      <c r="FJ93" s="542"/>
      <c r="FK93" s="542"/>
      <c r="FL93" s="542"/>
      <c r="FM93" s="542"/>
      <c r="FN93" s="542"/>
      <c r="FO93" s="542"/>
      <c r="FP93" s="542"/>
      <c r="FQ93" s="542"/>
      <c r="FR93" s="542"/>
      <c r="FS93" s="542"/>
      <c r="FT93" s="542"/>
      <c r="FU93" s="542"/>
      <c r="FV93" s="542"/>
      <c r="FW93" s="542"/>
      <c r="FX93" s="542"/>
      <c r="FY93" s="542"/>
      <c r="FZ93" s="542"/>
      <c r="GA93" s="542"/>
      <c r="GB93" s="542"/>
      <c r="GC93" s="542"/>
      <c r="GD93" s="542"/>
      <c r="GE93" s="542"/>
      <c r="GF93" s="542"/>
      <c r="GG93" s="542"/>
      <c r="GH93" s="542"/>
      <c r="GI93" s="542"/>
      <c r="GJ93" s="542"/>
      <c r="GK93" s="542"/>
      <c r="GL93" s="542"/>
      <c r="GM93" s="542"/>
      <c r="GN93" s="542"/>
      <c r="GO93" s="542"/>
      <c r="GP93" s="542"/>
      <c r="GQ93" s="542"/>
      <c r="GR93" s="542"/>
      <c r="GS93" s="542"/>
      <c r="GT93" s="542"/>
      <c r="GU93" s="542"/>
      <c r="GV93" s="542"/>
      <c r="GW93" s="542"/>
      <c r="GX93" s="542"/>
      <c r="GY93" s="542"/>
      <c r="GZ93" s="542"/>
      <c r="HA93" s="542"/>
      <c r="HB93" s="542"/>
      <c r="HC93" s="542"/>
      <c r="HD93" s="542"/>
      <c r="HE93" s="542"/>
      <c r="HF93" s="542"/>
      <c r="HG93" s="542"/>
      <c r="HH93" s="542"/>
      <c r="HI93" s="542"/>
      <c r="HJ93" s="542"/>
      <c r="HK93" s="542"/>
      <c r="HL93" s="542"/>
      <c r="HM93" s="542"/>
      <c r="HN93" s="542"/>
      <c r="HO93" s="542"/>
      <c r="HP93" s="542"/>
      <c r="HQ93" s="542"/>
      <c r="HR93" s="542"/>
      <c r="HS93" s="542"/>
      <c r="HT93" s="542"/>
      <c r="HU93" s="542"/>
      <c r="HV93" s="542"/>
      <c r="HW93" s="542"/>
      <c r="HX93" s="542"/>
      <c r="HY93" s="542"/>
      <c r="HZ93" s="542"/>
      <c r="IA93" s="542"/>
      <c r="IB93" s="542"/>
      <c r="IC93" s="542"/>
      <c r="ID93" s="542"/>
      <c r="IE93" s="542"/>
      <c r="IF93" s="542"/>
      <c r="IG93" s="542"/>
      <c r="IH93" s="542"/>
      <c r="II93" s="542"/>
      <c r="IJ93" s="542"/>
      <c r="IK93" s="542"/>
      <c r="IL93" s="542"/>
      <c r="IM93" s="542"/>
      <c r="IN93" s="542"/>
      <c r="IO93" s="542"/>
      <c r="IP93" s="542"/>
      <c r="IQ93" s="542"/>
      <c r="IR93" s="542"/>
      <c r="IS93" s="542"/>
      <c r="IT93" s="542"/>
      <c r="IU93" s="542"/>
      <c r="IV93" s="542"/>
      <c r="IW93" s="542"/>
      <c r="IX93" s="542"/>
      <c r="IY93" s="542"/>
      <c r="IZ93" s="542"/>
      <c r="JA93" s="542"/>
      <c r="JB93" s="542"/>
    </row>
    <row r="94" spans="1:262" ht="25.5" customHeight="1" thickBot="1">
      <c r="A94" s="2029" t="s">
        <v>3922</v>
      </c>
      <c r="B94" s="2030">
        <f>SUM(B11:B93)</f>
        <v>0</v>
      </c>
      <c r="C94" s="2006"/>
      <c r="D94" s="2031">
        <f>B94</f>
        <v>0</v>
      </c>
      <c r="E94" s="2008"/>
      <c r="F94" s="561"/>
      <c r="G94" s="1988"/>
      <c r="H94" s="2031"/>
      <c r="I94" s="2006"/>
      <c r="J94" s="2030">
        <f>SUM(J11:J93)</f>
        <v>0</v>
      </c>
      <c r="K94" s="2009">
        <f t="shared" ref="K94:BW94" si="10">SUM(K11:K93)</f>
        <v>0</v>
      </c>
      <c r="L94" s="2030">
        <f t="shared" si="10"/>
        <v>0</v>
      </c>
      <c r="M94" s="2081">
        <f t="shared" si="10"/>
        <v>0</v>
      </c>
      <c r="N94" s="2010">
        <f t="shared" si="10"/>
        <v>0</v>
      </c>
      <c r="O94" s="560">
        <f t="shared" si="10"/>
        <v>0</v>
      </c>
      <c r="P94" s="560">
        <f t="shared" si="10"/>
        <v>0</v>
      </c>
      <c r="Q94" s="560">
        <f t="shared" si="10"/>
        <v>0</v>
      </c>
      <c r="R94" s="1990">
        <f t="shared" si="10"/>
        <v>0</v>
      </c>
      <c r="S94" s="2030">
        <f t="shared" si="10"/>
        <v>0</v>
      </c>
      <c r="T94" s="2010">
        <f t="shared" si="10"/>
        <v>0</v>
      </c>
      <c r="U94" s="560">
        <f t="shared" si="10"/>
        <v>0</v>
      </c>
      <c r="V94" s="1990">
        <f t="shared" si="10"/>
        <v>0</v>
      </c>
      <c r="W94" s="2030">
        <f t="shared" si="10"/>
        <v>0</v>
      </c>
      <c r="X94" s="2010">
        <f t="shared" si="10"/>
        <v>0</v>
      </c>
      <c r="Y94" s="560">
        <f t="shared" si="10"/>
        <v>0</v>
      </c>
      <c r="Z94" s="560">
        <f t="shared" si="10"/>
        <v>0</v>
      </c>
      <c r="AA94" s="560">
        <f t="shared" si="10"/>
        <v>0</v>
      </c>
      <c r="AB94" s="560">
        <f t="shared" si="10"/>
        <v>0</v>
      </c>
      <c r="AC94" s="560">
        <f t="shared" si="10"/>
        <v>0</v>
      </c>
      <c r="AD94" s="560">
        <f t="shared" si="10"/>
        <v>0</v>
      </c>
      <c r="AE94" s="560">
        <f t="shared" si="10"/>
        <v>0</v>
      </c>
      <c r="AF94" s="560">
        <f t="shared" si="10"/>
        <v>0</v>
      </c>
      <c r="AG94" s="560">
        <f t="shared" si="10"/>
        <v>0</v>
      </c>
      <c r="AH94" s="560">
        <f t="shared" si="10"/>
        <v>0</v>
      </c>
      <c r="AI94" s="560">
        <f t="shared" si="10"/>
        <v>0</v>
      </c>
      <c r="AJ94" s="560">
        <f t="shared" si="10"/>
        <v>0</v>
      </c>
      <c r="AK94" s="560">
        <f t="shared" si="10"/>
        <v>0</v>
      </c>
      <c r="AL94" s="560">
        <f t="shared" si="10"/>
        <v>0</v>
      </c>
      <c r="AM94" s="1990">
        <f t="shared" si="10"/>
        <v>0</v>
      </c>
      <c r="AN94" s="2030">
        <f t="shared" si="10"/>
        <v>0</v>
      </c>
      <c r="AO94" s="2030">
        <f t="shared" si="10"/>
        <v>0</v>
      </c>
      <c r="AP94" s="2010">
        <f t="shared" si="10"/>
        <v>0</v>
      </c>
      <c r="AQ94" s="560">
        <f t="shared" si="10"/>
        <v>0</v>
      </c>
      <c r="AR94" s="560">
        <f t="shared" si="10"/>
        <v>0</v>
      </c>
      <c r="AS94" s="560">
        <f t="shared" si="10"/>
        <v>0</v>
      </c>
      <c r="AT94" s="560">
        <f t="shared" si="10"/>
        <v>0</v>
      </c>
      <c r="AU94" s="560">
        <f t="shared" si="10"/>
        <v>0</v>
      </c>
      <c r="AV94" s="1990">
        <f t="shared" si="10"/>
        <v>0</v>
      </c>
      <c r="AW94" s="2030">
        <f t="shared" si="10"/>
        <v>0</v>
      </c>
      <c r="AX94" s="2030">
        <f t="shared" si="10"/>
        <v>0</v>
      </c>
      <c r="AY94" s="2010">
        <f t="shared" si="10"/>
        <v>0</v>
      </c>
      <c r="AZ94" s="560">
        <f t="shared" si="10"/>
        <v>0</v>
      </c>
      <c r="BA94" s="560">
        <f t="shared" si="10"/>
        <v>0</v>
      </c>
      <c r="BB94" s="560">
        <f t="shared" si="10"/>
        <v>0</v>
      </c>
      <c r="BC94" s="1990">
        <f t="shared" si="10"/>
        <v>0</v>
      </c>
      <c r="BD94" s="2030">
        <f t="shared" si="10"/>
        <v>0</v>
      </c>
      <c r="BE94" s="2010">
        <f t="shared" si="10"/>
        <v>0</v>
      </c>
      <c r="BF94" s="560">
        <f t="shared" si="10"/>
        <v>0</v>
      </c>
      <c r="BG94" s="560">
        <f t="shared" si="10"/>
        <v>0</v>
      </c>
      <c r="BH94" s="560">
        <f t="shared" si="10"/>
        <v>0</v>
      </c>
      <c r="BI94" s="560">
        <f t="shared" si="10"/>
        <v>0</v>
      </c>
      <c r="BJ94" s="560">
        <f t="shared" si="10"/>
        <v>0</v>
      </c>
      <c r="BK94" s="560">
        <f t="shared" si="10"/>
        <v>0</v>
      </c>
      <c r="BL94" s="1990">
        <f t="shared" si="10"/>
        <v>0</v>
      </c>
      <c r="BM94" s="2030">
        <f t="shared" si="10"/>
        <v>0</v>
      </c>
      <c r="BN94" s="2009">
        <f t="shared" si="10"/>
        <v>0</v>
      </c>
      <c r="BO94" s="2030">
        <f t="shared" si="10"/>
        <v>0</v>
      </c>
      <c r="BP94" s="2030">
        <f t="shared" si="10"/>
        <v>0</v>
      </c>
      <c r="BQ94" s="2010">
        <f t="shared" si="10"/>
        <v>0</v>
      </c>
      <c r="BR94" s="560">
        <f t="shared" si="10"/>
        <v>0</v>
      </c>
      <c r="BS94" s="1990">
        <f t="shared" si="10"/>
        <v>0</v>
      </c>
      <c r="BT94" s="2099">
        <f t="shared" si="10"/>
        <v>0</v>
      </c>
      <c r="BU94" s="2030">
        <f t="shared" si="10"/>
        <v>0</v>
      </c>
      <c r="BV94" s="2081">
        <f t="shared" si="10"/>
        <v>0</v>
      </c>
      <c r="BW94" s="2099">
        <f t="shared" si="10"/>
        <v>0</v>
      </c>
      <c r="BX94" s="2030">
        <f t="shared" ref="BX94:CW94" si="11">SUM(BX11:BX93)</f>
        <v>0</v>
      </c>
      <c r="BY94" s="2009">
        <f t="shared" si="11"/>
        <v>0</v>
      </c>
      <c r="BZ94" s="2030">
        <f t="shared" si="11"/>
        <v>0</v>
      </c>
      <c r="CA94" s="2030">
        <f t="shared" si="11"/>
        <v>0</v>
      </c>
      <c r="CB94" s="2030"/>
      <c r="CC94" s="2030">
        <f t="shared" si="11"/>
        <v>0</v>
      </c>
      <c r="CD94" s="2010">
        <f t="shared" si="11"/>
        <v>0</v>
      </c>
      <c r="CE94" s="560">
        <f t="shared" si="11"/>
        <v>0</v>
      </c>
      <c r="CF94" s="560">
        <f t="shared" si="11"/>
        <v>0</v>
      </c>
      <c r="CG94" s="560">
        <f t="shared" si="11"/>
        <v>0</v>
      </c>
      <c r="CH94" s="560">
        <f t="shared" si="11"/>
        <v>0</v>
      </c>
      <c r="CI94" s="560">
        <f t="shared" si="11"/>
        <v>0</v>
      </c>
      <c r="CJ94" s="560">
        <f t="shared" si="11"/>
        <v>0</v>
      </c>
      <c r="CK94" s="560">
        <f t="shared" si="11"/>
        <v>0</v>
      </c>
      <c r="CL94" s="560">
        <f t="shared" si="11"/>
        <v>0</v>
      </c>
      <c r="CM94" s="560">
        <f t="shared" si="11"/>
        <v>0</v>
      </c>
      <c r="CN94" s="560">
        <f t="shared" si="11"/>
        <v>0</v>
      </c>
      <c r="CO94" s="560">
        <f t="shared" si="11"/>
        <v>0</v>
      </c>
      <c r="CP94" s="560">
        <f t="shared" si="11"/>
        <v>0</v>
      </c>
      <c r="CQ94" s="1990">
        <f t="shared" si="11"/>
        <v>0</v>
      </c>
      <c r="CR94" s="2030">
        <f t="shared" si="11"/>
        <v>0</v>
      </c>
      <c r="CS94" s="2081">
        <f t="shared" si="11"/>
        <v>0</v>
      </c>
      <c r="CT94" s="2030">
        <f t="shared" si="11"/>
        <v>0</v>
      </c>
      <c r="CU94" s="2030">
        <f t="shared" si="11"/>
        <v>0</v>
      </c>
      <c r="CV94" s="2099">
        <f t="shared" si="11"/>
        <v>0</v>
      </c>
      <c r="CW94" s="2099">
        <f t="shared" si="11"/>
        <v>0</v>
      </c>
      <c r="CX94" s="2033"/>
      <c r="CZ94" s="542"/>
      <c r="DA94" s="542"/>
      <c r="DB94" s="542"/>
      <c r="DC94" s="542"/>
      <c r="DD94" s="542"/>
      <c r="DE94" s="542"/>
      <c r="DF94" s="542"/>
      <c r="DG94" s="542"/>
      <c r="DH94" s="542"/>
      <c r="DI94" s="542"/>
      <c r="DJ94" s="542"/>
      <c r="DK94" s="542"/>
      <c r="DL94" s="542"/>
      <c r="DM94" s="542"/>
      <c r="DN94" s="542"/>
      <c r="DO94" s="542"/>
      <c r="DP94" s="542"/>
      <c r="DQ94" s="542"/>
      <c r="DR94" s="542"/>
      <c r="DS94" s="542"/>
      <c r="DT94" s="542"/>
      <c r="DU94" s="542"/>
      <c r="DV94" s="542"/>
      <c r="DW94" s="542"/>
      <c r="DX94" s="542"/>
      <c r="DY94" s="542"/>
      <c r="DZ94" s="542"/>
      <c r="EA94" s="542"/>
      <c r="EB94" s="542"/>
      <c r="EC94" s="542"/>
      <c r="ED94" s="542"/>
      <c r="EE94" s="542"/>
      <c r="EF94" s="542"/>
      <c r="EG94" s="542"/>
      <c r="EH94" s="542"/>
      <c r="EI94" s="542"/>
      <c r="EJ94" s="542"/>
      <c r="EK94" s="542"/>
      <c r="EL94" s="542"/>
      <c r="EM94" s="542"/>
      <c r="EN94" s="542"/>
      <c r="EO94" s="542"/>
      <c r="EP94" s="542"/>
      <c r="EQ94" s="542"/>
      <c r="ER94" s="542"/>
      <c r="ES94" s="542"/>
      <c r="ET94" s="542"/>
      <c r="EU94" s="542"/>
      <c r="EV94" s="542"/>
      <c r="EW94" s="542"/>
      <c r="EX94" s="542"/>
      <c r="EY94" s="542"/>
      <c r="EZ94" s="542"/>
      <c r="FA94" s="542"/>
      <c r="FB94" s="542"/>
      <c r="FC94" s="542"/>
      <c r="FD94" s="542"/>
      <c r="FE94" s="542"/>
      <c r="FF94" s="542"/>
      <c r="FG94" s="542"/>
      <c r="FH94" s="542"/>
      <c r="FI94" s="542"/>
      <c r="FJ94" s="542"/>
      <c r="FK94" s="542"/>
      <c r="FL94" s="542"/>
      <c r="FM94" s="542"/>
      <c r="FN94" s="542"/>
      <c r="FO94" s="542"/>
      <c r="FP94" s="542"/>
      <c r="FQ94" s="542"/>
      <c r="FR94" s="542"/>
      <c r="FS94" s="542"/>
      <c r="FT94" s="542"/>
      <c r="FU94" s="542"/>
      <c r="FV94" s="542"/>
      <c r="FW94" s="542"/>
      <c r="FX94" s="542"/>
      <c r="FY94" s="542"/>
      <c r="FZ94" s="542"/>
      <c r="GA94" s="542"/>
      <c r="GB94" s="542"/>
      <c r="GC94" s="542"/>
      <c r="GD94" s="542"/>
      <c r="GE94" s="542"/>
      <c r="GF94" s="542"/>
      <c r="GG94" s="542"/>
      <c r="GH94" s="542"/>
      <c r="GI94" s="542"/>
      <c r="GJ94" s="542"/>
      <c r="GK94" s="542"/>
      <c r="GL94" s="542"/>
      <c r="GM94" s="542"/>
      <c r="GN94" s="542"/>
      <c r="GO94" s="542"/>
      <c r="GP94" s="542"/>
      <c r="GQ94" s="542"/>
      <c r="GR94" s="542"/>
      <c r="GS94" s="542"/>
      <c r="GT94" s="542"/>
      <c r="GU94" s="542"/>
      <c r="GV94" s="542"/>
      <c r="GW94" s="542"/>
      <c r="GX94" s="542"/>
      <c r="GY94" s="542"/>
      <c r="GZ94" s="542"/>
      <c r="HA94" s="542"/>
      <c r="HB94" s="542"/>
      <c r="HC94" s="542"/>
      <c r="HD94" s="542"/>
      <c r="HE94" s="542"/>
      <c r="HF94" s="542"/>
      <c r="HG94" s="542"/>
      <c r="HH94" s="542"/>
      <c r="HI94" s="542"/>
      <c r="HJ94" s="542"/>
      <c r="HK94" s="542"/>
      <c r="HL94" s="542"/>
      <c r="HM94" s="542"/>
      <c r="HN94" s="542"/>
      <c r="HO94" s="542"/>
      <c r="HP94" s="542"/>
      <c r="HQ94" s="542"/>
      <c r="HR94" s="542"/>
      <c r="HS94" s="542"/>
      <c r="HT94" s="542"/>
      <c r="HU94" s="542"/>
      <c r="HV94" s="542"/>
      <c r="HW94" s="542"/>
      <c r="HX94" s="542"/>
      <c r="HY94" s="542"/>
      <c r="HZ94" s="542"/>
      <c r="IA94" s="542"/>
      <c r="IB94" s="542"/>
      <c r="IC94" s="542"/>
      <c r="ID94" s="542"/>
      <c r="IE94" s="542"/>
      <c r="IF94" s="542"/>
      <c r="IG94" s="542"/>
      <c r="IH94" s="542"/>
      <c r="II94" s="542"/>
      <c r="IJ94" s="542"/>
      <c r="IK94" s="542"/>
      <c r="IL94" s="542"/>
      <c r="IM94" s="542"/>
      <c r="IN94" s="542"/>
      <c r="IO94" s="542"/>
      <c r="IP94" s="542"/>
      <c r="IQ94" s="542"/>
      <c r="IR94" s="542"/>
      <c r="IS94" s="542"/>
      <c r="IT94" s="542"/>
      <c r="IU94" s="542"/>
      <c r="IV94" s="542"/>
      <c r="IW94" s="542"/>
      <c r="IX94" s="542"/>
      <c r="IY94" s="542"/>
      <c r="IZ94" s="542"/>
      <c r="JA94" s="542"/>
      <c r="JB94" s="542"/>
    </row>
    <row r="95" spans="1:262" ht="18.899999999999999" hidden="1" customHeight="1" thickTop="1">
      <c r="BC95" s="1614"/>
      <c r="BD95" s="1614"/>
      <c r="BE95" s="1614"/>
      <c r="CZ95" s="542"/>
      <c r="DA95" s="542"/>
      <c r="DB95" s="542"/>
      <c r="DC95" s="542"/>
      <c r="DD95" s="542"/>
      <c r="DE95" s="542"/>
      <c r="DF95" s="542"/>
      <c r="DG95" s="542"/>
      <c r="DH95" s="542"/>
      <c r="DI95" s="542"/>
      <c r="DJ95" s="542"/>
      <c r="DK95" s="542"/>
      <c r="DL95" s="542"/>
      <c r="DM95" s="542"/>
      <c r="DN95" s="542"/>
      <c r="DO95" s="542"/>
      <c r="DP95" s="542"/>
      <c r="DQ95" s="542"/>
      <c r="DR95" s="542"/>
      <c r="DS95" s="542"/>
      <c r="DT95" s="542"/>
      <c r="DU95" s="542"/>
      <c r="DV95" s="542"/>
      <c r="DW95" s="542"/>
      <c r="DX95" s="542"/>
      <c r="DY95" s="542"/>
      <c r="DZ95" s="542"/>
      <c r="EA95" s="542"/>
      <c r="EB95" s="542"/>
      <c r="EC95" s="542"/>
      <c r="ED95" s="542"/>
      <c r="EE95" s="542"/>
      <c r="EF95" s="542"/>
      <c r="EG95" s="542"/>
      <c r="EH95" s="542"/>
      <c r="EI95" s="542"/>
      <c r="EJ95" s="542"/>
      <c r="EK95" s="542"/>
      <c r="EL95" s="542"/>
      <c r="EM95" s="542"/>
      <c r="EN95" s="542"/>
      <c r="EO95" s="542"/>
      <c r="EP95" s="542"/>
      <c r="EQ95" s="542"/>
      <c r="ER95" s="542"/>
      <c r="ES95" s="542"/>
      <c r="ET95" s="542"/>
      <c r="EU95" s="542"/>
      <c r="EV95" s="542"/>
      <c r="EW95" s="542"/>
      <c r="EX95" s="542"/>
      <c r="EY95" s="542"/>
      <c r="EZ95" s="542"/>
      <c r="FA95" s="542"/>
      <c r="FB95" s="542"/>
      <c r="FC95" s="542"/>
      <c r="FD95" s="542"/>
      <c r="FE95" s="542"/>
      <c r="FF95" s="542"/>
      <c r="FG95" s="542"/>
      <c r="FH95" s="542"/>
      <c r="FI95" s="542"/>
      <c r="FJ95" s="542"/>
      <c r="FK95" s="542"/>
      <c r="FL95" s="542"/>
      <c r="FM95" s="542"/>
      <c r="FN95" s="542"/>
      <c r="FO95" s="542"/>
      <c r="FP95" s="542"/>
      <c r="FQ95" s="542"/>
      <c r="FR95" s="542"/>
      <c r="FS95" s="542"/>
      <c r="FT95" s="542"/>
      <c r="FU95" s="542"/>
      <c r="FV95" s="542"/>
      <c r="FW95" s="542"/>
      <c r="FX95" s="542"/>
      <c r="FY95" s="542"/>
      <c r="FZ95" s="542"/>
      <c r="GA95" s="542"/>
      <c r="GB95" s="542"/>
      <c r="GC95" s="542"/>
      <c r="GD95" s="542"/>
      <c r="GE95" s="542"/>
      <c r="GF95" s="542"/>
      <c r="GG95" s="542"/>
      <c r="GH95" s="542"/>
      <c r="GI95" s="542"/>
      <c r="GJ95" s="542"/>
      <c r="GK95" s="542"/>
      <c r="GL95" s="542"/>
      <c r="GM95" s="542"/>
      <c r="GN95" s="542"/>
      <c r="GO95" s="542"/>
      <c r="GP95" s="542"/>
      <c r="GQ95" s="542"/>
      <c r="GR95" s="542"/>
      <c r="GS95" s="542"/>
      <c r="GT95" s="542"/>
      <c r="GU95" s="542"/>
      <c r="GV95" s="542"/>
      <c r="GW95" s="542"/>
      <c r="GX95" s="542"/>
      <c r="GY95" s="542"/>
      <c r="GZ95" s="542"/>
      <c r="HA95" s="542"/>
      <c r="HB95" s="542"/>
      <c r="HC95" s="542"/>
      <c r="HD95" s="542"/>
      <c r="HE95" s="542"/>
      <c r="HF95" s="542"/>
      <c r="HG95" s="542"/>
      <c r="HH95" s="542"/>
      <c r="HI95" s="542"/>
      <c r="HJ95" s="542"/>
      <c r="HK95" s="542"/>
      <c r="HL95" s="542"/>
      <c r="HM95" s="542"/>
      <c r="HN95" s="542"/>
      <c r="HO95" s="542"/>
      <c r="HP95" s="542"/>
      <c r="HQ95" s="542"/>
      <c r="HR95" s="542"/>
      <c r="HS95" s="542"/>
      <c r="HT95" s="542"/>
      <c r="HU95" s="542"/>
      <c r="HV95" s="542"/>
      <c r="HW95" s="542"/>
      <c r="HX95" s="542"/>
      <c r="HY95" s="542"/>
      <c r="HZ95" s="542"/>
      <c r="IA95" s="542"/>
      <c r="IB95" s="542"/>
      <c r="IC95" s="542"/>
      <c r="ID95" s="542"/>
      <c r="IE95" s="542"/>
      <c r="IF95" s="542"/>
      <c r="IG95" s="542"/>
      <c r="IH95" s="542"/>
      <c r="II95" s="542"/>
      <c r="IJ95" s="542"/>
      <c r="IK95" s="542"/>
      <c r="IL95" s="542"/>
      <c r="IM95" s="542"/>
      <c r="IN95" s="542"/>
      <c r="IO95" s="542"/>
      <c r="IP95" s="542"/>
      <c r="IQ95" s="542"/>
      <c r="IR95" s="542"/>
      <c r="IS95" s="542"/>
      <c r="IT95" s="542"/>
      <c r="IU95" s="542"/>
      <c r="IV95" s="542"/>
      <c r="IW95" s="542"/>
      <c r="IX95" s="542"/>
      <c r="IY95" s="542"/>
      <c r="IZ95" s="542"/>
      <c r="JA95" s="542"/>
      <c r="JB95" s="542"/>
    </row>
    <row r="96" spans="1:262" ht="14.4" hidden="1" thickTop="1">
      <c r="G96" s="1621" t="s">
        <v>3937</v>
      </c>
      <c r="BC96" s="1614"/>
      <c r="BD96" s="1614"/>
      <c r="BE96" s="1614"/>
      <c r="CZ96" s="542"/>
      <c r="DA96" s="542"/>
      <c r="DB96" s="542"/>
      <c r="DC96" s="542"/>
      <c r="DD96" s="542"/>
      <c r="DE96" s="542"/>
      <c r="DF96" s="542"/>
      <c r="DG96" s="542"/>
      <c r="DH96" s="542"/>
      <c r="DI96" s="542"/>
      <c r="DJ96" s="542"/>
      <c r="DK96" s="542"/>
      <c r="DL96" s="542"/>
      <c r="DM96" s="542"/>
      <c r="DN96" s="542"/>
      <c r="DO96" s="542"/>
      <c r="DP96" s="542"/>
      <c r="DQ96" s="542"/>
      <c r="DR96" s="542"/>
      <c r="DS96" s="542"/>
      <c r="DT96" s="542"/>
      <c r="DU96" s="542"/>
      <c r="DV96" s="542"/>
      <c r="DW96" s="542"/>
      <c r="DX96" s="542"/>
      <c r="DY96" s="542"/>
      <c r="DZ96" s="542"/>
      <c r="EA96" s="542"/>
      <c r="EB96" s="542"/>
      <c r="EC96" s="542"/>
      <c r="ED96" s="542"/>
      <c r="EE96" s="542"/>
      <c r="EF96" s="542"/>
      <c r="EG96" s="542"/>
      <c r="EH96" s="542"/>
      <c r="EI96" s="542"/>
      <c r="EJ96" s="542"/>
      <c r="EK96" s="542"/>
      <c r="EL96" s="542"/>
      <c r="EM96" s="542"/>
      <c r="EN96" s="542"/>
      <c r="EO96" s="542"/>
      <c r="EP96" s="542"/>
      <c r="EQ96" s="542"/>
      <c r="ER96" s="542"/>
      <c r="ES96" s="542"/>
      <c r="ET96" s="542"/>
      <c r="EU96" s="542"/>
      <c r="EV96" s="542"/>
      <c r="EW96" s="542"/>
      <c r="EX96" s="542"/>
      <c r="EY96" s="542"/>
      <c r="EZ96" s="542"/>
      <c r="FA96" s="542"/>
      <c r="FB96" s="542"/>
      <c r="FC96" s="542"/>
      <c r="FD96" s="542"/>
      <c r="FE96" s="542"/>
      <c r="FF96" s="542"/>
      <c r="FG96" s="542"/>
      <c r="FH96" s="542"/>
      <c r="FI96" s="542"/>
      <c r="FJ96" s="542"/>
      <c r="FK96" s="542"/>
      <c r="FL96" s="542"/>
      <c r="FM96" s="542"/>
      <c r="FN96" s="542"/>
      <c r="FO96" s="542"/>
      <c r="FP96" s="542"/>
      <c r="FQ96" s="542"/>
      <c r="FR96" s="542"/>
      <c r="FS96" s="542"/>
      <c r="FT96" s="542"/>
      <c r="FU96" s="542"/>
      <c r="FV96" s="542"/>
      <c r="FW96" s="542"/>
      <c r="FX96" s="542"/>
      <c r="FY96" s="542"/>
      <c r="FZ96" s="542"/>
      <c r="GA96" s="542"/>
      <c r="GB96" s="542"/>
      <c r="GC96" s="542"/>
      <c r="GD96" s="542"/>
      <c r="GE96" s="542"/>
      <c r="GF96" s="542"/>
      <c r="GG96" s="542"/>
      <c r="GH96" s="542"/>
      <c r="GI96" s="542"/>
      <c r="GJ96" s="542"/>
      <c r="GK96" s="542"/>
      <c r="GL96" s="542"/>
      <c r="GM96" s="542"/>
      <c r="GN96" s="542"/>
      <c r="GO96" s="542"/>
      <c r="GP96" s="542"/>
      <c r="GQ96" s="542"/>
      <c r="GR96" s="542"/>
      <c r="GS96" s="542"/>
      <c r="GT96" s="542"/>
      <c r="GU96" s="542"/>
      <c r="GV96" s="542"/>
      <c r="GW96" s="542"/>
      <c r="GX96" s="542"/>
      <c r="GY96" s="542"/>
      <c r="GZ96" s="542"/>
      <c r="HA96" s="542"/>
      <c r="HB96" s="542"/>
      <c r="HC96" s="542"/>
      <c r="HD96" s="542"/>
      <c r="HE96" s="542"/>
      <c r="HF96" s="542"/>
      <c r="HG96" s="542"/>
      <c r="HH96" s="542"/>
      <c r="HI96" s="542"/>
      <c r="HJ96" s="542"/>
      <c r="HK96" s="542"/>
      <c r="HL96" s="542"/>
      <c r="HM96" s="542"/>
      <c r="HN96" s="542"/>
      <c r="HO96" s="542"/>
      <c r="HP96" s="542"/>
      <c r="HQ96" s="542"/>
      <c r="HR96" s="542"/>
      <c r="HS96" s="542"/>
      <c r="HT96" s="542"/>
      <c r="HU96" s="542"/>
      <c r="HV96" s="542"/>
      <c r="HW96" s="542"/>
      <c r="HX96" s="542"/>
      <c r="HY96" s="542"/>
      <c r="HZ96" s="542"/>
      <c r="IA96" s="542"/>
      <c r="IB96" s="542"/>
      <c r="IC96" s="542"/>
      <c r="ID96" s="542"/>
      <c r="IE96" s="542"/>
      <c r="IF96" s="542"/>
      <c r="IG96" s="542"/>
      <c r="IH96" s="542"/>
      <c r="II96" s="542"/>
      <c r="IJ96" s="542"/>
      <c r="IK96" s="542"/>
      <c r="IL96" s="542"/>
      <c r="IM96" s="542"/>
      <c r="IN96" s="542"/>
      <c r="IO96" s="542"/>
      <c r="IP96" s="542"/>
      <c r="IQ96" s="542"/>
      <c r="IR96" s="542"/>
      <c r="IS96" s="542"/>
      <c r="IT96" s="542"/>
      <c r="IU96" s="542"/>
      <c r="IV96" s="542"/>
      <c r="IW96" s="542"/>
      <c r="IX96" s="542"/>
      <c r="IY96" s="542"/>
      <c r="IZ96" s="542"/>
      <c r="JA96" s="542"/>
      <c r="JB96" s="542"/>
    </row>
    <row r="97" spans="1:262" ht="16.2" hidden="1" thickTop="1">
      <c r="A97" s="1622" t="s">
        <v>1242</v>
      </c>
      <c r="B97" s="1623"/>
      <c r="C97" s="1624"/>
      <c r="D97" s="1624"/>
      <c r="E97" s="1625" t="s">
        <v>1827</v>
      </c>
      <c r="F97" s="1623"/>
      <c r="G97" s="1626"/>
      <c r="H97" s="1627"/>
      <c r="I97" s="1623"/>
      <c r="J97" s="1628">
        <f>B97*1.03</f>
        <v>0</v>
      </c>
      <c r="K97" s="1628">
        <f>B97*1.03</f>
        <v>0</v>
      </c>
      <c r="L97" s="1628">
        <f>C97*1.03</f>
        <v>0</v>
      </c>
      <c r="M97" s="1629"/>
      <c r="N97" s="1614" t="s">
        <v>1827</v>
      </c>
      <c r="BC97" s="1614"/>
      <c r="BD97" s="1614"/>
      <c r="BE97" s="1614"/>
      <c r="CZ97" s="542"/>
      <c r="DA97" s="542"/>
      <c r="DB97" s="542"/>
      <c r="DC97" s="542"/>
      <c r="DD97" s="542"/>
      <c r="DE97" s="542"/>
      <c r="DF97" s="542"/>
      <c r="DG97" s="542"/>
      <c r="DH97" s="542"/>
      <c r="DI97" s="542"/>
      <c r="DJ97" s="542"/>
      <c r="DK97" s="542"/>
      <c r="DL97" s="542"/>
      <c r="DM97" s="542"/>
      <c r="DN97" s="542"/>
      <c r="DO97" s="542"/>
      <c r="DP97" s="542"/>
      <c r="DQ97" s="542"/>
      <c r="DR97" s="542"/>
      <c r="DS97" s="542"/>
      <c r="DT97" s="542"/>
      <c r="DU97" s="542"/>
      <c r="DV97" s="542"/>
      <c r="DW97" s="542"/>
      <c r="DX97" s="542"/>
      <c r="DY97" s="542"/>
      <c r="DZ97" s="542"/>
      <c r="EA97" s="542"/>
      <c r="EB97" s="542"/>
      <c r="EC97" s="542"/>
      <c r="ED97" s="542"/>
      <c r="EE97" s="542"/>
      <c r="EF97" s="542"/>
      <c r="EG97" s="542"/>
      <c r="EH97" s="542"/>
      <c r="EI97" s="542"/>
      <c r="EJ97" s="542"/>
      <c r="EK97" s="542"/>
      <c r="EL97" s="542"/>
      <c r="EM97" s="542"/>
      <c r="EN97" s="542"/>
      <c r="EO97" s="542"/>
      <c r="EP97" s="542"/>
      <c r="EQ97" s="542"/>
      <c r="ER97" s="542"/>
      <c r="ES97" s="542"/>
      <c r="ET97" s="542"/>
      <c r="EU97" s="542"/>
      <c r="EV97" s="542"/>
      <c r="EW97" s="542"/>
      <c r="EX97" s="542"/>
      <c r="EY97" s="542"/>
      <c r="EZ97" s="542"/>
      <c r="FA97" s="542"/>
      <c r="FB97" s="542"/>
      <c r="FC97" s="542"/>
      <c r="FD97" s="542"/>
      <c r="FE97" s="542"/>
      <c r="FF97" s="542"/>
      <c r="FG97" s="542"/>
      <c r="FH97" s="542"/>
      <c r="FI97" s="542"/>
      <c r="FJ97" s="542"/>
      <c r="FK97" s="542"/>
      <c r="FL97" s="542"/>
      <c r="FM97" s="542"/>
      <c r="FN97" s="542"/>
      <c r="FO97" s="542"/>
      <c r="FP97" s="542"/>
      <c r="FQ97" s="542"/>
      <c r="FR97" s="542"/>
      <c r="FS97" s="542"/>
      <c r="FT97" s="542"/>
      <c r="FU97" s="542"/>
      <c r="FV97" s="542"/>
      <c r="FW97" s="542"/>
      <c r="FX97" s="542"/>
      <c r="FY97" s="542"/>
      <c r="FZ97" s="542"/>
      <c r="GA97" s="542"/>
      <c r="GB97" s="542"/>
      <c r="GC97" s="542"/>
      <c r="GD97" s="542"/>
      <c r="GE97" s="542"/>
      <c r="GF97" s="542"/>
      <c r="GG97" s="542"/>
      <c r="GH97" s="542"/>
      <c r="GI97" s="542"/>
      <c r="GJ97" s="542"/>
      <c r="GK97" s="542"/>
      <c r="GL97" s="542"/>
      <c r="GM97" s="542"/>
      <c r="GN97" s="542"/>
      <c r="GO97" s="542"/>
      <c r="GP97" s="542"/>
      <c r="GQ97" s="542"/>
      <c r="GR97" s="542"/>
      <c r="GS97" s="542"/>
      <c r="GT97" s="542"/>
      <c r="GU97" s="542"/>
      <c r="GV97" s="542"/>
      <c r="GW97" s="542"/>
      <c r="GX97" s="542"/>
      <c r="GY97" s="542"/>
      <c r="GZ97" s="542"/>
      <c r="HA97" s="542"/>
      <c r="HB97" s="542"/>
      <c r="HC97" s="542"/>
      <c r="HD97" s="542"/>
      <c r="HE97" s="542"/>
      <c r="HF97" s="542"/>
      <c r="HG97" s="542"/>
      <c r="HH97" s="542"/>
      <c r="HI97" s="542"/>
      <c r="HJ97" s="542"/>
      <c r="HK97" s="542"/>
      <c r="HL97" s="542"/>
      <c r="HM97" s="542"/>
      <c r="HN97" s="542"/>
      <c r="HO97" s="542"/>
      <c r="HP97" s="542"/>
      <c r="HQ97" s="542"/>
      <c r="HR97" s="542"/>
      <c r="HS97" s="542"/>
      <c r="HT97" s="542"/>
      <c r="HU97" s="542"/>
      <c r="HV97" s="542"/>
      <c r="HW97" s="542"/>
      <c r="HX97" s="542"/>
      <c r="HY97" s="542"/>
      <c r="HZ97" s="542"/>
      <c r="IA97" s="542"/>
      <c r="IB97" s="542"/>
      <c r="IC97" s="542"/>
      <c r="ID97" s="542"/>
      <c r="IE97" s="542"/>
      <c r="IF97" s="542"/>
      <c r="IG97" s="542"/>
      <c r="IH97" s="542"/>
      <c r="II97" s="542"/>
      <c r="IJ97" s="542"/>
      <c r="IK97" s="542"/>
      <c r="IL97" s="542"/>
      <c r="IM97" s="542"/>
      <c r="IN97" s="542"/>
      <c r="IO97" s="542"/>
      <c r="IP97" s="542"/>
      <c r="IQ97" s="542"/>
      <c r="IR97" s="542"/>
      <c r="IS97" s="542"/>
      <c r="IT97" s="542"/>
      <c r="IU97" s="542"/>
      <c r="IV97" s="542"/>
      <c r="IW97" s="542"/>
      <c r="IX97" s="542"/>
      <c r="IY97" s="542"/>
      <c r="IZ97" s="542"/>
      <c r="JA97" s="542"/>
      <c r="JB97" s="542"/>
    </row>
    <row r="98" spans="1:262" ht="17.25" hidden="1" customHeight="1">
      <c r="A98" s="1622" t="s">
        <v>88</v>
      </c>
      <c r="B98" s="1623"/>
      <c r="C98" s="1630">
        <f>2*C94+D94</f>
        <v>0</v>
      </c>
      <c r="D98" s="1624">
        <f>D94</f>
        <v>0</v>
      </c>
      <c r="E98" s="1625" t="s">
        <v>1827</v>
      </c>
      <c r="F98" s="1623"/>
      <c r="G98" s="1626"/>
      <c r="H98" s="1627"/>
      <c r="I98" s="1623"/>
      <c r="J98" s="1631">
        <f>B98*1.03</f>
        <v>0</v>
      </c>
      <c r="K98" s="1631"/>
      <c r="L98" s="3059">
        <f>D94</f>
        <v>0</v>
      </c>
      <c r="M98" s="3059"/>
      <c r="N98" s="3059"/>
      <c r="O98" s="3059"/>
      <c r="P98" s="3059"/>
      <c r="Q98" s="3059"/>
      <c r="R98" s="3059"/>
      <c r="S98" s="3059"/>
      <c r="T98" s="3059"/>
      <c r="U98" s="3059"/>
      <c r="BC98" s="1614"/>
      <c r="BD98" s="1614"/>
      <c r="BE98" s="1614"/>
      <c r="CZ98" s="542"/>
      <c r="DA98" s="542"/>
      <c r="DB98" s="542"/>
      <c r="DC98" s="542"/>
      <c r="DD98" s="542"/>
      <c r="DE98" s="542"/>
      <c r="DF98" s="542"/>
      <c r="DG98" s="542"/>
      <c r="DH98" s="542"/>
      <c r="DI98" s="542"/>
      <c r="DJ98" s="542"/>
      <c r="DK98" s="542"/>
      <c r="DL98" s="542"/>
      <c r="DM98" s="542"/>
      <c r="DN98" s="542"/>
      <c r="DO98" s="542"/>
      <c r="DP98" s="542"/>
      <c r="DQ98" s="542"/>
      <c r="DR98" s="542"/>
      <c r="DS98" s="542"/>
      <c r="DT98" s="542"/>
      <c r="DU98" s="542"/>
      <c r="DV98" s="542"/>
      <c r="DW98" s="542"/>
      <c r="DX98" s="542"/>
      <c r="DY98" s="542"/>
      <c r="DZ98" s="542"/>
      <c r="EA98" s="542"/>
      <c r="EB98" s="542"/>
      <c r="EC98" s="542"/>
      <c r="ED98" s="542"/>
      <c r="EE98" s="542"/>
      <c r="EF98" s="542"/>
      <c r="EG98" s="542"/>
      <c r="EH98" s="542"/>
      <c r="EI98" s="542"/>
      <c r="EJ98" s="542"/>
      <c r="EK98" s="542"/>
      <c r="EL98" s="542"/>
      <c r="EM98" s="542"/>
      <c r="EN98" s="542"/>
      <c r="EO98" s="542"/>
      <c r="EP98" s="542"/>
      <c r="EQ98" s="542"/>
      <c r="ER98" s="542"/>
      <c r="ES98" s="542"/>
      <c r="ET98" s="542"/>
      <c r="EU98" s="542"/>
      <c r="EV98" s="542"/>
      <c r="EW98" s="542"/>
      <c r="EX98" s="542"/>
      <c r="EY98" s="542"/>
      <c r="EZ98" s="542"/>
      <c r="FA98" s="542"/>
      <c r="FB98" s="542"/>
      <c r="FC98" s="542"/>
      <c r="FD98" s="542"/>
      <c r="FE98" s="542"/>
      <c r="FF98" s="542"/>
      <c r="FG98" s="542"/>
      <c r="FH98" s="542"/>
      <c r="FI98" s="542"/>
      <c r="FJ98" s="542"/>
      <c r="FK98" s="542"/>
      <c r="FL98" s="542"/>
      <c r="FM98" s="542"/>
      <c r="FN98" s="542"/>
      <c r="FO98" s="542"/>
      <c r="FP98" s="542"/>
      <c r="FQ98" s="542"/>
      <c r="FR98" s="542"/>
      <c r="FS98" s="542"/>
      <c r="FT98" s="542"/>
      <c r="FU98" s="542"/>
      <c r="FV98" s="542"/>
      <c r="FW98" s="542"/>
      <c r="FX98" s="542"/>
      <c r="FY98" s="542"/>
      <c r="FZ98" s="542"/>
      <c r="GA98" s="542"/>
      <c r="GB98" s="542"/>
      <c r="GC98" s="542"/>
      <c r="GD98" s="542"/>
      <c r="GE98" s="542"/>
      <c r="GF98" s="542"/>
      <c r="GG98" s="542"/>
      <c r="GH98" s="542"/>
      <c r="GI98" s="542"/>
      <c r="GJ98" s="542"/>
      <c r="GK98" s="542"/>
      <c r="GL98" s="542"/>
      <c r="GM98" s="542"/>
      <c r="GN98" s="542"/>
      <c r="GO98" s="542"/>
      <c r="GP98" s="542"/>
      <c r="GQ98" s="542"/>
      <c r="GR98" s="542"/>
      <c r="GS98" s="542"/>
      <c r="GT98" s="542"/>
      <c r="GU98" s="542"/>
      <c r="GV98" s="542"/>
      <c r="GW98" s="542"/>
      <c r="GX98" s="542"/>
      <c r="GY98" s="542"/>
      <c r="GZ98" s="542"/>
      <c r="HA98" s="542"/>
      <c r="HB98" s="542"/>
      <c r="HC98" s="542"/>
      <c r="HD98" s="542"/>
      <c r="HE98" s="542"/>
      <c r="HF98" s="542"/>
      <c r="HG98" s="542"/>
      <c r="HH98" s="542"/>
      <c r="HI98" s="542"/>
      <c r="HJ98" s="542"/>
      <c r="HK98" s="542"/>
      <c r="HL98" s="542"/>
      <c r="HM98" s="542"/>
      <c r="HN98" s="542"/>
      <c r="HO98" s="542"/>
      <c r="HP98" s="542"/>
      <c r="HQ98" s="542"/>
      <c r="HR98" s="542"/>
      <c r="HS98" s="542"/>
      <c r="HT98" s="542"/>
      <c r="HU98" s="542"/>
      <c r="HV98" s="542"/>
      <c r="HW98" s="542"/>
      <c r="HX98" s="542"/>
      <c r="HY98" s="542"/>
      <c r="HZ98" s="542"/>
      <c r="IA98" s="542"/>
      <c r="IB98" s="542"/>
      <c r="IC98" s="542"/>
      <c r="ID98" s="542"/>
      <c r="IE98" s="542"/>
      <c r="IF98" s="542"/>
      <c r="IG98" s="542"/>
      <c r="IH98" s="542"/>
      <c r="II98" s="542"/>
      <c r="IJ98" s="542"/>
      <c r="IK98" s="542"/>
      <c r="IL98" s="542"/>
      <c r="IM98" s="542"/>
      <c r="IN98" s="542"/>
      <c r="IO98" s="542"/>
      <c r="IP98" s="542"/>
      <c r="IQ98" s="542"/>
      <c r="IR98" s="542"/>
      <c r="IS98" s="542"/>
      <c r="IT98" s="542"/>
      <c r="IU98" s="542"/>
      <c r="IV98" s="542"/>
      <c r="IW98" s="542"/>
      <c r="IX98" s="542"/>
      <c r="IY98" s="542"/>
      <c r="IZ98" s="542"/>
      <c r="JA98" s="542"/>
      <c r="JB98" s="542"/>
    </row>
    <row r="99" spans="1:262" ht="18.899999999999999" hidden="1" customHeight="1">
      <c r="A99" s="1632" t="s">
        <v>268</v>
      </c>
      <c r="B99" s="1623"/>
      <c r="C99" s="1633"/>
      <c r="D99" s="1633"/>
      <c r="E99" s="1625" t="s">
        <v>1827</v>
      </c>
      <c r="F99" s="1623"/>
      <c r="G99" s="1634"/>
      <c r="H99" s="1627"/>
      <c r="I99" s="1623"/>
      <c r="J99" s="1628">
        <f>B99*1.03</f>
        <v>0</v>
      </c>
      <c r="K99" s="1628">
        <f>B99*1.03</f>
        <v>0</v>
      </c>
      <c r="L99" s="1628">
        <f>C99*1.03</f>
        <v>0</v>
      </c>
      <c r="M99" s="1629"/>
      <c r="N99" s="1614" t="s">
        <v>1827</v>
      </c>
      <c r="BC99" s="1614"/>
      <c r="BD99" s="1614"/>
      <c r="BE99" s="1614"/>
      <c r="CZ99" s="542"/>
      <c r="DA99" s="542"/>
      <c r="DB99" s="542"/>
      <c r="DC99" s="542"/>
      <c r="DD99" s="542"/>
      <c r="DE99" s="542"/>
      <c r="DF99" s="542"/>
      <c r="DG99" s="542"/>
      <c r="DH99" s="542"/>
      <c r="DI99" s="542"/>
      <c r="DJ99" s="542"/>
      <c r="DK99" s="542"/>
      <c r="DL99" s="542"/>
      <c r="DM99" s="542"/>
      <c r="DN99" s="542"/>
      <c r="DO99" s="542"/>
      <c r="DP99" s="542"/>
      <c r="DQ99" s="542"/>
      <c r="DR99" s="542"/>
      <c r="DS99" s="542"/>
      <c r="DT99" s="542"/>
      <c r="DU99" s="542"/>
      <c r="DV99" s="542"/>
      <c r="DW99" s="542"/>
      <c r="DX99" s="542"/>
      <c r="DY99" s="542"/>
      <c r="DZ99" s="542"/>
      <c r="EA99" s="542"/>
      <c r="EB99" s="542"/>
      <c r="EC99" s="542"/>
      <c r="ED99" s="542"/>
      <c r="EE99" s="542"/>
      <c r="EF99" s="542"/>
      <c r="EG99" s="542"/>
      <c r="EH99" s="542"/>
      <c r="EI99" s="542"/>
      <c r="EJ99" s="542"/>
      <c r="EK99" s="542"/>
      <c r="EL99" s="542"/>
      <c r="EM99" s="542"/>
      <c r="EN99" s="542"/>
      <c r="EO99" s="542"/>
      <c r="EP99" s="542"/>
      <c r="EQ99" s="542"/>
      <c r="ER99" s="542"/>
      <c r="ES99" s="542"/>
      <c r="ET99" s="542"/>
      <c r="EU99" s="542"/>
      <c r="EV99" s="542"/>
      <c r="EW99" s="542"/>
      <c r="EX99" s="542"/>
      <c r="EY99" s="542"/>
      <c r="EZ99" s="542"/>
      <c r="FA99" s="542"/>
      <c r="FB99" s="542"/>
      <c r="FC99" s="542"/>
      <c r="FD99" s="542"/>
      <c r="FE99" s="542"/>
      <c r="FF99" s="542"/>
      <c r="FG99" s="542"/>
      <c r="FH99" s="542"/>
      <c r="FI99" s="542"/>
      <c r="FJ99" s="542"/>
      <c r="FK99" s="542"/>
      <c r="FL99" s="542"/>
      <c r="FM99" s="542"/>
      <c r="FN99" s="542"/>
      <c r="FO99" s="542"/>
      <c r="FP99" s="542"/>
      <c r="FQ99" s="542"/>
      <c r="FR99" s="542"/>
      <c r="FS99" s="542"/>
      <c r="FT99" s="542"/>
      <c r="FU99" s="542"/>
      <c r="FV99" s="542"/>
      <c r="FW99" s="542"/>
      <c r="FX99" s="542"/>
      <c r="FY99" s="542"/>
      <c r="FZ99" s="542"/>
      <c r="GA99" s="542"/>
      <c r="GB99" s="542"/>
      <c r="GC99" s="542"/>
      <c r="GD99" s="542"/>
      <c r="GE99" s="542"/>
      <c r="GF99" s="542"/>
      <c r="GG99" s="542"/>
      <c r="GH99" s="542"/>
      <c r="GI99" s="542"/>
      <c r="GJ99" s="542"/>
      <c r="GK99" s="542"/>
      <c r="GL99" s="542"/>
      <c r="GM99" s="542"/>
      <c r="GN99" s="542"/>
      <c r="GO99" s="542"/>
      <c r="GP99" s="542"/>
      <c r="GQ99" s="542"/>
      <c r="GR99" s="542"/>
      <c r="GS99" s="542"/>
      <c r="GT99" s="542"/>
      <c r="GU99" s="542"/>
      <c r="GV99" s="542"/>
      <c r="GW99" s="542"/>
      <c r="GX99" s="542"/>
      <c r="GY99" s="542"/>
      <c r="GZ99" s="542"/>
      <c r="HA99" s="542"/>
      <c r="HB99" s="542"/>
      <c r="HC99" s="542"/>
      <c r="HD99" s="542"/>
      <c r="HE99" s="542"/>
      <c r="HF99" s="542"/>
      <c r="HG99" s="542"/>
      <c r="HH99" s="542"/>
      <c r="HI99" s="542"/>
      <c r="HJ99" s="542"/>
      <c r="HK99" s="542"/>
      <c r="HL99" s="542"/>
      <c r="HM99" s="542"/>
      <c r="HN99" s="542"/>
      <c r="HO99" s="542"/>
      <c r="HP99" s="542"/>
      <c r="HQ99" s="542"/>
      <c r="HR99" s="542"/>
      <c r="HS99" s="542"/>
      <c r="HT99" s="542"/>
      <c r="HU99" s="542"/>
      <c r="HV99" s="542"/>
      <c r="HW99" s="542"/>
      <c r="HX99" s="542"/>
      <c r="HY99" s="542"/>
      <c r="HZ99" s="542"/>
      <c r="IA99" s="542"/>
      <c r="IB99" s="542"/>
      <c r="IC99" s="542"/>
      <c r="ID99" s="542"/>
      <c r="IE99" s="542"/>
      <c r="IF99" s="542"/>
      <c r="IG99" s="542"/>
      <c r="IH99" s="542"/>
      <c r="II99" s="542"/>
      <c r="IJ99" s="542"/>
      <c r="IK99" s="542"/>
      <c r="IL99" s="542"/>
      <c r="IM99" s="542"/>
      <c r="IN99" s="542"/>
      <c r="IO99" s="542"/>
      <c r="IP99" s="542"/>
      <c r="IQ99" s="542"/>
      <c r="IR99" s="542"/>
      <c r="IS99" s="542"/>
      <c r="IT99" s="542"/>
      <c r="IU99" s="542"/>
      <c r="IV99" s="542"/>
      <c r="IW99" s="542"/>
      <c r="IX99" s="542"/>
      <c r="IY99" s="542"/>
      <c r="IZ99" s="542"/>
      <c r="JA99" s="542"/>
      <c r="JB99" s="542"/>
    </row>
    <row r="100" spans="1:262" ht="18.899999999999999" hidden="1" customHeight="1">
      <c r="A100" s="1632" t="s">
        <v>267</v>
      </c>
      <c r="B100" s="1623"/>
      <c r="C100" s="1624"/>
      <c r="D100" s="1624"/>
      <c r="E100" s="1625" t="s">
        <v>1827</v>
      </c>
      <c r="F100" s="1623"/>
      <c r="G100" s="1626"/>
      <c r="H100" s="1627"/>
      <c r="I100" s="1623"/>
      <c r="J100" s="1628">
        <f>B100*1.03</f>
        <v>0</v>
      </c>
      <c r="K100" s="1628">
        <f>B100*1.03</f>
        <v>0</v>
      </c>
      <c r="L100" s="1628">
        <f>C100*1.03</f>
        <v>0</v>
      </c>
      <c r="M100" s="1629"/>
      <c r="N100" s="1614" t="s">
        <v>1827</v>
      </c>
      <c r="BC100" s="1614"/>
      <c r="BD100" s="1614"/>
      <c r="BE100" s="1614"/>
      <c r="CZ100" s="542"/>
      <c r="DA100" s="542"/>
      <c r="DB100" s="542"/>
      <c r="DC100" s="542"/>
      <c r="DD100" s="542"/>
      <c r="DE100" s="542"/>
      <c r="DF100" s="542"/>
      <c r="DG100" s="542"/>
      <c r="DH100" s="542"/>
      <c r="DI100" s="542"/>
      <c r="DJ100" s="542"/>
      <c r="DK100" s="542"/>
      <c r="DL100" s="542"/>
      <c r="DM100" s="542"/>
      <c r="DN100" s="542"/>
      <c r="DO100" s="542"/>
      <c r="DP100" s="542"/>
      <c r="DQ100" s="542"/>
      <c r="DR100" s="542"/>
      <c r="DS100" s="542"/>
      <c r="DT100" s="542"/>
      <c r="DU100" s="542"/>
      <c r="DV100" s="542"/>
      <c r="DW100" s="542"/>
      <c r="DX100" s="542"/>
      <c r="DY100" s="542"/>
      <c r="DZ100" s="542"/>
      <c r="EA100" s="542"/>
      <c r="EB100" s="542"/>
      <c r="EC100" s="542"/>
      <c r="ED100" s="542"/>
      <c r="EE100" s="542"/>
      <c r="EF100" s="542"/>
      <c r="EG100" s="542"/>
      <c r="EH100" s="542"/>
      <c r="EI100" s="542"/>
      <c r="EJ100" s="542"/>
      <c r="EK100" s="542"/>
      <c r="EL100" s="542"/>
      <c r="EM100" s="542"/>
      <c r="EN100" s="542"/>
      <c r="EO100" s="542"/>
      <c r="EP100" s="542"/>
      <c r="EQ100" s="542"/>
      <c r="ER100" s="542"/>
      <c r="ES100" s="542"/>
      <c r="ET100" s="542"/>
      <c r="EU100" s="542"/>
      <c r="EV100" s="542"/>
      <c r="EW100" s="542"/>
      <c r="EX100" s="542"/>
      <c r="EY100" s="542"/>
      <c r="EZ100" s="542"/>
      <c r="FA100" s="542"/>
      <c r="FB100" s="542"/>
      <c r="FC100" s="542"/>
      <c r="FD100" s="542"/>
      <c r="FE100" s="542"/>
      <c r="FF100" s="542"/>
      <c r="FG100" s="542"/>
      <c r="FH100" s="542"/>
      <c r="FI100" s="542"/>
      <c r="FJ100" s="542"/>
      <c r="FK100" s="542"/>
      <c r="FL100" s="542"/>
      <c r="FM100" s="542"/>
      <c r="FN100" s="542"/>
      <c r="FO100" s="542"/>
      <c r="FP100" s="542"/>
      <c r="FQ100" s="542"/>
      <c r="FR100" s="542"/>
      <c r="FS100" s="542"/>
      <c r="FT100" s="542"/>
      <c r="FU100" s="542"/>
      <c r="FV100" s="542"/>
      <c r="FW100" s="542"/>
      <c r="FX100" s="542"/>
      <c r="FY100" s="542"/>
      <c r="FZ100" s="542"/>
      <c r="GA100" s="542"/>
      <c r="GB100" s="542"/>
      <c r="GC100" s="542"/>
      <c r="GD100" s="542"/>
      <c r="GE100" s="542"/>
      <c r="GF100" s="542"/>
      <c r="GG100" s="542"/>
      <c r="GH100" s="542"/>
      <c r="GI100" s="542"/>
      <c r="GJ100" s="542"/>
      <c r="GK100" s="542"/>
      <c r="GL100" s="542"/>
      <c r="GM100" s="542"/>
      <c r="GN100" s="542"/>
      <c r="GO100" s="542"/>
      <c r="GP100" s="542"/>
      <c r="GQ100" s="542"/>
      <c r="GR100" s="542"/>
      <c r="GS100" s="542"/>
      <c r="GT100" s="542"/>
      <c r="GU100" s="542"/>
      <c r="GV100" s="542"/>
      <c r="GW100" s="542"/>
      <c r="GX100" s="542"/>
      <c r="GY100" s="542"/>
      <c r="GZ100" s="542"/>
      <c r="HA100" s="542"/>
      <c r="HB100" s="542"/>
      <c r="HC100" s="542"/>
      <c r="HD100" s="542"/>
      <c r="HE100" s="542"/>
      <c r="HF100" s="542"/>
      <c r="HG100" s="542"/>
      <c r="HH100" s="542"/>
      <c r="HI100" s="542"/>
      <c r="HJ100" s="542"/>
      <c r="HK100" s="542"/>
      <c r="HL100" s="542"/>
      <c r="HM100" s="542"/>
      <c r="HN100" s="542"/>
      <c r="HO100" s="542"/>
      <c r="HP100" s="542"/>
      <c r="HQ100" s="542"/>
      <c r="HR100" s="542"/>
      <c r="HS100" s="542"/>
      <c r="HT100" s="542"/>
      <c r="HU100" s="542"/>
      <c r="HV100" s="542"/>
      <c r="HW100" s="542"/>
      <c r="HX100" s="542"/>
      <c r="HY100" s="542"/>
      <c r="HZ100" s="542"/>
      <c r="IA100" s="542"/>
      <c r="IB100" s="542"/>
      <c r="IC100" s="542"/>
      <c r="ID100" s="542"/>
      <c r="IE100" s="542"/>
      <c r="IF100" s="542"/>
      <c r="IG100" s="542"/>
      <c r="IH100" s="542"/>
      <c r="II100" s="542"/>
      <c r="IJ100" s="542"/>
      <c r="IK100" s="542"/>
      <c r="IL100" s="542"/>
      <c r="IM100" s="542"/>
      <c r="IN100" s="542"/>
      <c r="IO100" s="542"/>
      <c r="IP100" s="542"/>
      <c r="IQ100" s="542"/>
      <c r="IR100" s="542"/>
      <c r="IS100" s="542"/>
      <c r="IT100" s="542"/>
      <c r="IU100" s="542"/>
      <c r="IV100" s="542"/>
      <c r="IW100" s="542"/>
      <c r="IX100" s="542"/>
      <c r="IY100" s="542"/>
      <c r="IZ100" s="542"/>
      <c r="JA100" s="542"/>
      <c r="JB100" s="542"/>
    </row>
    <row r="101" spans="1:262" ht="18.899999999999999" hidden="1" customHeight="1">
      <c r="A101" s="1622" t="s">
        <v>360</v>
      </c>
      <c r="B101" s="1623"/>
      <c r="C101" s="1633">
        <f>D94</f>
        <v>0</v>
      </c>
      <c r="D101" s="1633">
        <f>D94</f>
        <v>0</v>
      </c>
      <c r="E101" s="1625" t="s">
        <v>1827</v>
      </c>
      <c r="F101" s="1623"/>
      <c r="G101" s="1634"/>
      <c r="H101" s="1627"/>
      <c r="I101" s="1623"/>
      <c r="J101" s="1628">
        <f>B101*1.03</f>
        <v>0</v>
      </c>
      <c r="K101" s="1628"/>
      <c r="L101" s="3059">
        <f>D94</f>
        <v>0</v>
      </c>
      <c r="M101" s="3059"/>
      <c r="N101" s="3059"/>
      <c r="O101" s="3059"/>
      <c r="P101" s="3059"/>
      <c r="Q101" s="3059"/>
      <c r="R101" s="3059"/>
      <c r="S101" s="3059"/>
      <c r="T101" s="3059"/>
      <c r="U101" s="3059"/>
      <c r="BC101" s="1614"/>
      <c r="BD101" s="1614"/>
      <c r="BE101" s="1614"/>
      <c r="CZ101" s="542"/>
      <c r="DA101" s="542"/>
      <c r="DB101" s="542"/>
      <c r="DC101" s="542"/>
      <c r="DD101" s="542"/>
      <c r="DE101" s="542"/>
      <c r="DF101" s="542"/>
      <c r="DG101" s="542"/>
      <c r="DH101" s="542"/>
      <c r="DI101" s="542"/>
      <c r="DJ101" s="542"/>
      <c r="DK101" s="542"/>
      <c r="DL101" s="542"/>
      <c r="DM101" s="542"/>
      <c r="DN101" s="542"/>
      <c r="DO101" s="542"/>
      <c r="DP101" s="542"/>
      <c r="DQ101" s="542"/>
      <c r="DR101" s="542"/>
      <c r="DS101" s="542"/>
      <c r="DT101" s="542"/>
      <c r="DU101" s="542"/>
      <c r="DV101" s="542"/>
      <c r="DW101" s="542"/>
      <c r="DX101" s="542"/>
      <c r="DY101" s="542"/>
      <c r="DZ101" s="542"/>
      <c r="EA101" s="542"/>
      <c r="EB101" s="542"/>
      <c r="EC101" s="542"/>
      <c r="ED101" s="542"/>
      <c r="EE101" s="542"/>
      <c r="EF101" s="542"/>
      <c r="EG101" s="542"/>
      <c r="EH101" s="542"/>
      <c r="EI101" s="542"/>
      <c r="EJ101" s="542"/>
      <c r="EK101" s="542"/>
      <c r="EL101" s="542"/>
      <c r="EM101" s="542"/>
      <c r="EN101" s="542"/>
      <c r="EO101" s="542"/>
      <c r="EP101" s="542"/>
      <c r="EQ101" s="542"/>
      <c r="ER101" s="542"/>
      <c r="ES101" s="542"/>
      <c r="ET101" s="542"/>
      <c r="EU101" s="542"/>
      <c r="EV101" s="542"/>
      <c r="EW101" s="542"/>
      <c r="EX101" s="542"/>
      <c r="EY101" s="542"/>
      <c r="EZ101" s="542"/>
      <c r="FA101" s="542"/>
      <c r="FB101" s="542"/>
      <c r="FC101" s="542"/>
      <c r="FD101" s="542"/>
      <c r="FE101" s="542"/>
      <c r="FF101" s="542"/>
      <c r="FG101" s="542"/>
      <c r="FH101" s="542"/>
      <c r="FI101" s="542"/>
      <c r="FJ101" s="542"/>
      <c r="FK101" s="542"/>
      <c r="FL101" s="542"/>
      <c r="FM101" s="542"/>
      <c r="FN101" s="542"/>
      <c r="FO101" s="542"/>
      <c r="FP101" s="542"/>
      <c r="FQ101" s="542"/>
      <c r="FR101" s="542"/>
      <c r="FS101" s="542"/>
      <c r="FT101" s="542"/>
      <c r="FU101" s="542"/>
      <c r="FV101" s="542"/>
      <c r="FW101" s="542"/>
      <c r="FX101" s="542"/>
      <c r="FY101" s="542"/>
      <c r="FZ101" s="542"/>
      <c r="GA101" s="542"/>
      <c r="GB101" s="542"/>
      <c r="GC101" s="542"/>
      <c r="GD101" s="542"/>
      <c r="GE101" s="542"/>
      <c r="GF101" s="542"/>
      <c r="GG101" s="542"/>
      <c r="GH101" s="542"/>
      <c r="GI101" s="542"/>
      <c r="GJ101" s="542"/>
      <c r="GK101" s="542"/>
      <c r="GL101" s="542"/>
      <c r="GM101" s="542"/>
      <c r="GN101" s="542"/>
      <c r="GO101" s="542"/>
      <c r="GP101" s="542"/>
      <c r="GQ101" s="542"/>
      <c r="GR101" s="542"/>
      <c r="GS101" s="542"/>
      <c r="GT101" s="542"/>
      <c r="GU101" s="542"/>
      <c r="GV101" s="542"/>
      <c r="GW101" s="542"/>
      <c r="GX101" s="542"/>
      <c r="GY101" s="542"/>
      <c r="GZ101" s="542"/>
      <c r="HA101" s="542"/>
      <c r="HB101" s="542"/>
      <c r="HC101" s="542"/>
      <c r="HD101" s="542"/>
      <c r="HE101" s="542"/>
      <c r="HF101" s="542"/>
      <c r="HG101" s="542"/>
      <c r="HH101" s="542"/>
      <c r="HI101" s="542"/>
      <c r="HJ101" s="542"/>
      <c r="HK101" s="542"/>
      <c r="HL101" s="542"/>
      <c r="HM101" s="542"/>
      <c r="HN101" s="542"/>
      <c r="HO101" s="542"/>
      <c r="HP101" s="542"/>
      <c r="HQ101" s="542"/>
      <c r="HR101" s="542"/>
      <c r="HS101" s="542"/>
      <c r="HT101" s="542"/>
      <c r="HU101" s="542"/>
      <c r="HV101" s="542"/>
      <c r="HW101" s="542"/>
      <c r="HX101" s="542"/>
      <c r="HY101" s="542"/>
      <c r="HZ101" s="542"/>
      <c r="IA101" s="542"/>
      <c r="IB101" s="542"/>
      <c r="IC101" s="542"/>
      <c r="ID101" s="542"/>
      <c r="IE101" s="542"/>
      <c r="IF101" s="542"/>
      <c r="IG101" s="542"/>
      <c r="IH101" s="542"/>
      <c r="II101" s="542"/>
      <c r="IJ101" s="542"/>
      <c r="IK101" s="542"/>
      <c r="IL101" s="542"/>
      <c r="IM101" s="542"/>
      <c r="IN101" s="542"/>
      <c r="IO101" s="542"/>
      <c r="IP101" s="542"/>
      <c r="IQ101" s="542"/>
      <c r="IR101" s="542"/>
      <c r="IS101" s="542"/>
      <c r="IT101" s="542"/>
      <c r="IU101" s="542"/>
      <c r="IV101" s="542"/>
      <c r="IW101" s="542"/>
      <c r="IX101" s="542"/>
      <c r="IY101" s="542"/>
      <c r="IZ101" s="542"/>
      <c r="JA101" s="542"/>
      <c r="JB101" s="542"/>
    </row>
    <row r="102" spans="1:262" ht="18.899999999999999" customHeight="1" thickTop="1">
      <c r="BC102" s="1614"/>
      <c r="BD102" s="1614"/>
      <c r="BE102" s="1614"/>
      <c r="CZ102" s="542"/>
      <c r="DA102" s="542"/>
      <c r="DB102" s="542"/>
      <c r="DC102" s="542"/>
      <c r="DD102" s="542"/>
      <c r="DE102" s="542"/>
      <c r="DF102" s="542"/>
      <c r="DG102" s="542"/>
      <c r="DH102" s="542"/>
      <c r="DI102" s="542"/>
      <c r="DJ102" s="542"/>
      <c r="DK102" s="542"/>
      <c r="DL102" s="542"/>
      <c r="DM102" s="542"/>
      <c r="DN102" s="542"/>
      <c r="DO102" s="542"/>
      <c r="DP102" s="542"/>
      <c r="DQ102" s="542"/>
      <c r="DR102" s="542"/>
      <c r="DS102" s="542"/>
      <c r="DT102" s="542"/>
      <c r="DU102" s="542"/>
      <c r="DV102" s="542"/>
      <c r="DW102" s="542"/>
      <c r="DX102" s="542"/>
      <c r="DY102" s="542"/>
      <c r="DZ102" s="542"/>
      <c r="EA102" s="542"/>
      <c r="EB102" s="542"/>
      <c r="EC102" s="542"/>
      <c r="ED102" s="542"/>
      <c r="EE102" s="542"/>
      <c r="EF102" s="542"/>
      <c r="EG102" s="542"/>
      <c r="EH102" s="542"/>
      <c r="EI102" s="542"/>
      <c r="EJ102" s="542"/>
      <c r="EK102" s="542"/>
      <c r="EL102" s="542"/>
      <c r="EM102" s="542"/>
      <c r="EN102" s="542"/>
      <c r="EO102" s="542"/>
      <c r="EP102" s="542"/>
      <c r="EQ102" s="542"/>
      <c r="ER102" s="542"/>
      <c r="ES102" s="542"/>
      <c r="ET102" s="542"/>
      <c r="EU102" s="542"/>
      <c r="EV102" s="542"/>
      <c r="EW102" s="542"/>
      <c r="EX102" s="542"/>
      <c r="EY102" s="542"/>
      <c r="EZ102" s="542"/>
      <c r="FA102" s="542"/>
      <c r="FB102" s="542"/>
      <c r="FC102" s="542"/>
      <c r="FD102" s="542"/>
      <c r="FE102" s="542"/>
      <c r="FF102" s="542"/>
      <c r="FG102" s="542"/>
      <c r="FH102" s="542"/>
      <c r="FI102" s="542"/>
      <c r="FJ102" s="542"/>
      <c r="FK102" s="542"/>
      <c r="FL102" s="542"/>
      <c r="FM102" s="542"/>
      <c r="FN102" s="542"/>
      <c r="FO102" s="542"/>
      <c r="FP102" s="542"/>
      <c r="FQ102" s="542"/>
      <c r="FR102" s="542"/>
      <c r="FS102" s="542"/>
      <c r="FT102" s="542"/>
      <c r="FU102" s="542"/>
      <c r="FV102" s="542"/>
      <c r="FW102" s="542"/>
      <c r="FX102" s="542"/>
      <c r="FY102" s="542"/>
      <c r="FZ102" s="542"/>
      <c r="GA102" s="542"/>
      <c r="GB102" s="542"/>
      <c r="GC102" s="542"/>
      <c r="GD102" s="542"/>
      <c r="GE102" s="542"/>
      <c r="GF102" s="542"/>
      <c r="GG102" s="542"/>
      <c r="GH102" s="542"/>
      <c r="GI102" s="542"/>
      <c r="GJ102" s="542"/>
      <c r="GK102" s="542"/>
      <c r="GL102" s="542"/>
      <c r="GM102" s="542"/>
      <c r="GN102" s="542"/>
      <c r="GO102" s="542"/>
      <c r="GP102" s="542"/>
      <c r="GQ102" s="542"/>
      <c r="GR102" s="542"/>
      <c r="GS102" s="542"/>
      <c r="GT102" s="542"/>
      <c r="GU102" s="542"/>
      <c r="GV102" s="542"/>
      <c r="GW102" s="542"/>
      <c r="GX102" s="542"/>
      <c r="GY102" s="542"/>
      <c r="GZ102" s="542"/>
      <c r="HA102" s="542"/>
      <c r="HB102" s="542"/>
      <c r="HC102" s="542"/>
      <c r="HD102" s="542"/>
      <c r="HE102" s="542"/>
      <c r="HF102" s="542"/>
      <c r="HG102" s="542"/>
      <c r="HH102" s="542"/>
      <c r="HI102" s="542"/>
      <c r="HJ102" s="542"/>
      <c r="HK102" s="542"/>
      <c r="HL102" s="542"/>
      <c r="HM102" s="542"/>
      <c r="HN102" s="542"/>
      <c r="HO102" s="542"/>
      <c r="HP102" s="542"/>
      <c r="HQ102" s="542"/>
      <c r="HR102" s="542"/>
      <c r="HS102" s="542"/>
      <c r="HT102" s="542"/>
      <c r="HU102" s="542"/>
      <c r="HV102" s="542"/>
      <c r="HW102" s="542"/>
      <c r="HX102" s="542"/>
      <c r="HY102" s="542"/>
      <c r="HZ102" s="542"/>
      <c r="IA102" s="542"/>
      <c r="IB102" s="542"/>
      <c r="IC102" s="542"/>
      <c r="ID102" s="542"/>
      <c r="IE102" s="542"/>
      <c r="IF102" s="542"/>
      <c r="IG102" s="542"/>
      <c r="IH102" s="542"/>
      <c r="II102" s="542"/>
      <c r="IJ102" s="542"/>
      <c r="IK102" s="542"/>
      <c r="IL102" s="542"/>
      <c r="IM102" s="542"/>
      <c r="IN102" s="542"/>
      <c r="IO102" s="542"/>
      <c r="IP102" s="542"/>
      <c r="IQ102" s="542"/>
      <c r="IR102" s="542"/>
      <c r="IS102" s="542"/>
      <c r="IT102" s="542"/>
      <c r="IU102" s="542"/>
      <c r="IV102" s="542"/>
      <c r="IW102" s="542"/>
      <c r="IX102" s="542"/>
      <c r="IY102" s="542"/>
      <c r="IZ102" s="542"/>
      <c r="JA102" s="542"/>
      <c r="JB102" s="542"/>
    </row>
    <row r="103" spans="1:262" ht="18.899999999999999" customHeight="1">
      <c r="BC103" s="1614"/>
      <c r="BD103" s="1614"/>
      <c r="BE103" s="1614"/>
      <c r="CZ103" s="542"/>
      <c r="DA103" s="542"/>
      <c r="DB103" s="542"/>
      <c r="DC103" s="542"/>
      <c r="DD103" s="542"/>
      <c r="DE103" s="542"/>
      <c r="DF103" s="542"/>
      <c r="DG103" s="542"/>
      <c r="DH103" s="542"/>
      <c r="DI103" s="542"/>
      <c r="DJ103" s="542"/>
      <c r="DK103" s="542"/>
      <c r="DL103" s="542"/>
      <c r="DM103" s="542"/>
      <c r="DN103" s="542"/>
      <c r="DO103" s="542"/>
      <c r="DP103" s="542"/>
      <c r="DQ103" s="542"/>
      <c r="DR103" s="542"/>
      <c r="DS103" s="542"/>
      <c r="DT103" s="542"/>
      <c r="DU103" s="542"/>
      <c r="DV103" s="542"/>
      <c r="DW103" s="542"/>
      <c r="DX103" s="542"/>
      <c r="DY103" s="542"/>
      <c r="DZ103" s="542"/>
      <c r="EA103" s="542"/>
      <c r="EB103" s="542"/>
      <c r="EC103" s="542"/>
      <c r="ED103" s="542"/>
      <c r="EE103" s="542"/>
      <c r="EF103" s="542"/>
      <c r="EG103" s="542"/>
      <c r="EH103" s="542"/>
      <c r="EI103" s="542"/>
      <c r="EJ103" s="542"/>
      <c r="EK103" s="542"/>
      <c r="EL103" s="542"/>
      <c r="EM103" s="542"/>
      <c r="EN103" s="542"/>
      <c r="EO103" s="542"/>
      <c r="EP103" s="542"/>
      <c r="EQ103" s="542"/>
      <c r="ER103" s="542"/>
      <c r="ES103" s="542"/>
      <c r="ET103" s="542"/>
      <c r="EU103" s="542"/>
      <c r="EV103" s="542"/>
      <c r="EW103" s="542"/>
      <c r="EX103" s="542"/>
      <c r="EY103" s="542"/>
      <c r="EZ103" s="542"/>
      <c r="FA103" s="542"/>
      <c r="FB103" s="542"/>
      <c r="FC103" s="542"/>
      <c r="FD103" s="542"/>
      <c r="FE103" s="542"/>
      <c r="FF103" s="542"/>
      <c r="FG103" s="542"/>
      <c r="FH103" s="542"/>
      <c r="FI103" s="542"/>
      <c r="FJ103" s="542"/>
      <c r="FK103" s="542"/>
      <c r="FL103" s="542"/>
      <c r="FM103" s="542"/>
      <c r="FN103" s="542"/>
      <c r="FO103" s="542"/>
      <c r="FP103" s="542"/>
      <c r="FQ103" s="542"/>
      <c r="FR103" s="542"/>
      <c r="FS103" s="542"/>
      <c r="FT103" s="542"/>
      <c r="FU103" s="542"/>
      <c r="FV103" s="542"/>
      <c r="FW103" s="542"/>
      <c r="FX103" s="542"/>
      <c r="FY103" s="542"/>
      <c r="FZ103" s="542"/>
      <c r="GA103" s="542"/>
      <c r="GB103" s="542"/>
      <c r="GC103" s="542"/>
      <c r="GD103" s="542"/>
      <c r="GE103" s="542"/>
      <c r="GF103" s="542"/>
      <c r="GG103" s="542"/>
      <c r="GH103" s="542"/>
      <c r="GI103" s="542"/>
      <c r="GJ103" s="542"/>
      <c r="GK103" s="542"/>
      <c r="GL103" s="542"/>
      <c r="GM103" s="542"/>
      <c r="GN103" s="542"/>
      <c r="GO103" s="542"/>
      <c r="GP103" s="542"/>
      <c r="GQ103" s="542"/>
      <c r="GR103" s="542"/>
      <c r="GS103" s="542"/>
      <c r="GT103" s="542"/>
      <c r="GU103" s="542"/>
      <c r="GV103" s="542"/>
      <c r="GW103" s="542"/>
      <c r="GX103" s="542"/>
      <c r="GY103" s="542"/>
      <c r="GZ103" s="542"/>
      <c r="HA103" s="542"/>
      <c r="HB103" s="542"/>
      <c r="HC103" s="542"/>
      <c r="HD103" s="542"/>
      <c r="HE103" s="542"/>
      <c r="HF103" s="542"/>
      <c r="HG103" s="542"/>
      <c r="HH103" s="542"/>
      <c r="HI103" s="542"/>
      <c r="HJ103" s="542"/>
      <c r="HK103" s="542"/>
      <c r="HL103" s="542"/>
      <c r="HM103" s="542"/>
      <c r="HN103" s="542"/>
      <c r="HO103" s="542"/>
      <c r="HP103" s="542"/>
      <c r="HQ103" s="542"/>
      <c r="HR103" s="542"/>
      <c r="HS103" s="542"/>
      <c r="HT103" s="542"/>
      <c r="HU103" s="542"/>
      <c r="HV103" s="542"/>
      <c r="HW103" s="542"/>
      <c r="HX103" s="542"/>
      <c r="HY103" s="542"/>
      <c r="HZ103" s="542"/>
      <c r="IA103" s="542"/>
      <c r="IB103" s="542"/>
      <c r="IC103" s="542"/>
      <c r="ID103" s="542"/>
      <c r="IE103" s="542"/>
      <c r="IF103" s="542"/>
      <c r="IG103" s="542"/>
      <c r="IH103" s="542"/>
      <c r="II103" s="542"/>
      <c r="IJ103" s="542"/>
      <c r="IK103" s="542"/>
      <c r="IL103" s="542"/>
      <c r="IM103" s="542"/>
      <c r="IN103" s="542"/>
      <c r="IO103" s="542"/>
      <c r="IP103" s="542"/>
      <c r="IQ103" s="542"/>
      <c r="IR103" s="542"/>
      <c r="IS103" s="542"/>
      <c r="IT103" s="542"/>
      <c r="IU103" s="542"/>
      <c r="IV103" s="542"/>
      <c r="IW103" s="542"/>
      <c r="IX103" s="542"/>
      <c r="IY103" s="542"/>
      <c r="IZ103" s="542"/>
      <c r="JA103" s="542"/>
      <c r="JB103" s="542"/>
    </row>
    <row r="104" spans="1:262" ht="18.899999999999999" customHeight="1">
      <c r="BC104" s="1614"/>
      <c r="BD104" s="1614"/>
      <c r="BE104" s="1614"/>
      <c r="CZ104" s="542"/>
      <c r="DA104" s="542"/>
      <c r="DB104" s="542"/>
      <c r="DC104" s="542"/>
      <c r="DD104" s="542"/>
      <c r="DE104" s="542"/>
      <c r="DF104" s="542"/>
      <c r="DG104" s="542"/>
      <c r="DH104" s="542"/>
      <c r="DI104" s="542"/>
      <c r="DJ104" s="542"/>
      <c r="DK104" s="542"/>
      <c r="DL104" s="542"/>
      <c r="DM104" s="542"/>
      <c r="DN104" s="542"/>
      <c r="DO104" s="542"/>
      <c r="DP104" s="542"/>
      <c r="DQ104" s="542"/>
      <c r="DR104" s="542"/>
      <c r="DS104" s="542"/>
      <c r="DT104" s="542"/>
      <c r="DU104" s="542"/>
      <c r="DV104" s="542"/>
      <c r="DW104" s="542"/>
      <c r="DX104" s="542"/>
      <c r="DY104" s="542"/>
      <c r="DZ104" s="542"/>
      <c r="EA104" s="542"/>
      <c r="EB104" s="542"/>
      <c r="EC104" s="542"/>
      <c r="ED104" s="542"/>
      <c r="EE104" s="542"/>
      <c r="EF104" s="542"/>
      <c r="EG104" s="542"/>
      <c r="EH104" s="542"/>
      <c r="EI104" s="542"/>
      <c r="EJ104" s="542"/>
      <c r="EK104" s="542"/>
      <c r="EL104" s="542"/>
      <c r="EM104" s="542"/>
      <c r="EN104" s="542"/>
      <c r="EO104" s="542"/>
      <c r="EP104" s="542"/>
      <c r="EQ104" s="542"/>
      <c r="ER104" s="542"/>
      <c r="ES104" s="542"/>
      <c r="ET104" s="542"/>
      <c r="EU104" s="542"/>
      <c r="EV104" s="542"/>
      <c r="EW104" s="542"/>
      <c r="EX104" s="542"/>
      <c r="EY104" s="542"/>
      <c r="EZ104" s="542"/>
      <c r="FA104" s="542"/>
      <c r="FB104" s="542"/>
      <c r="FC104" s="542"/>
      <c r="FD104" s="542"/>
      <c r="FE104" s="542"/>
      <c r="FF104" s="542"/>
      <c r="FG104" s="542"/>
      <c r="FH104" s="542"/>
      <c r="FI104" s="542"/>
      <c r="FJ104" s="542"/>
      <c r="FK104" s="542"/>
      <c r="FL104" s="542"/>
      <c r="FM104" s="542"/>
      <c r="FN104" s="542"/>
      <c r="FO104" s="542"/>
      <c r="FP104" s="542"/>
      <c r="FQ104" s="542"/>
      <c r="FR104" s="542"/>
      <c r="FS104" s="542"/>
      <c r="FT104" s="542"/>
      <c r="FU104" s="542"/>
      <c r="FV104" s="542"/>
      <c r="FW104" s="542"/>
      <c r="FX104" s="542"/>
      <c r="FY104" s="542"/>
      <c r="FZ104" s="542"/>
      <c r="GA104" s="542"/>
      <c r="GB104" s="542"/>
      <c r="GC104" s="542"/>
      <c r="GD104" s="542"/>
      <c r="GE104" s="542"/>
      <c r="GF104" s="542"/>
      <c r="GG104" s="542"/>
      <c r="GH104" s="542"/>
      <c r="GI104" s="542"/>
      <c r="GJ104" s="542"/>
      <c r="GK104" s="542"/>
      <c r="GL104" s="542"/>
      <c r="GM104" s="542"/>
      <c r="GN104" s="542"/>
      <c r="GO104" s="542"/>
      <c r="GP104" s="542"/>
      <c r="GQ104" s="542"/>
      <c r="GR104" s="542"/>
      <c r="GS104" s="542"/>
      <c r="GT104" s="542"/>
      <c r="GU104" s="542"/>
      <c r="GV104" s="542"/>
      <c r="GW104" s="542"/>
      <c r="GX104" s="542"/>
      <c r="GY104" s="542"/>
      <c r="GZ104" s="542"/>
      <c r="HA104" s="542"/>
      <c r="HB104" s="542"/>
      <c r="HC104" s="542"/>
      <c r="HD104" s="542"/>
      <c r="HE104" s="542"/>
      <c r="HF104" s="542"/>
      <c r="HG104" s="542"/>
      <c r="HH104" s="542"/>
      <c r="HI104" s="542"/>
      <c r="HJ104" s="542"/>
      <c r="HK104" s="542"/>
      <c r="HL104" s="542"/>
      <c r="HM104" s="542"/>
      <c r="HN104" s="542"/>
      <c r="HO104" s="542"/>
      <c r="HP104" s="542"/>
      <c r="HQ104" s="542"/>
      <c r="HR104" s="542"/>
      <c r="HS104" s="542"/>
      <c r="HT104" s="542"/>
      <c r="HU104" s="542"/>
      <c r="HV104" s="542"/>
      <c r="HW104" s="542"/>
      <c r="HX104" s="542"/>
      <c r="HY104" s="542"/>
      <c r="HZ104" s="542"/>
      <c r="IA104" s="542"/>
      <c r="IB104" s="542"/>
      <c r="IC104" s="542"/>
      <c r="ID104" s="542"/>
      <c r="IE104" s="542"/>
      <c r="IF104" s="542"/>
      <c r="IG104" s="542"/>
      <c r="IH104" s="542"/>
      <c r="II104" s="542"/>
      <c r="IJ104" s="542"/>
      <c r="IK104" s="542"/>
      <c r="IL104" s="542"/>
      <c r="IM104" s="542"/>
      <c r="IN104" s="542"/>
      <c r="IO104" s="542"/>
      <c r="IP104" s="542"/>
      <c r="IQ104" s="542"/>
      <c r="IR104" s="542"/>
      <c r="IS104" s="542"/>
      <c r="IT104" s="542"/>
      <c r="IU104" s="542"/>
      <c r="IV104" s="542"/>
      <c r="IW104" s="542"/>
      <c r="IX104" s="542"/>
      <c r="IY104" s="542"/>
      <c r="IZ104" s="542"/>
      <c r="JA104" s="542"/>
      <c r="JB104" s="542"/>
    </row>
    <row r="105" spans="1:262" ht="18.899999999999999" customHeight="1">
      <c r="BC105" s="1614"/>
      <c r="BD105" s="1614"/>
      <c r="BE105" s="1614"/>
      <c r="CZ105" s="542"/>
      <c r="DA105" s="542"/>
      <c r="DB105" s="542"/>
      <c r="DC105" s="542"/>
      <c r="DD105" s="542"/>
      <c r="DE105" s="542"/>
      <c r="DF105" s="542"/>
      <c r="DG105" s="542"/>
      <c r="DH105" s="542"/>
      <c r="DI105" s="542"/>
      <c r="DJ105" s="542"/>
      <c r="DK105" s="542"/>
      <c r="DL105" s="542"/>
      <c r="DM105" s="542"/>
      <c r="DN105" s="542"/>
      <c r="DO105" s="542"/>
      <c r="DP105" s="542"/>
      <c r="DQ105" s="542"/>
      <c r="DR105" s="542"/>
      <c r="DS105" s="542"/>
      <c r="DT105" s="542"/>
      <c r="DU105" s="542"/>
      <c r="DV105" s="542"/>
      <c r="DW105" s="542"/>
      <c r="DX105" s="542"/>
      <c r="DY105" s="542"/>
      <c r="DZ105" s="542"/>
      <c r="EA105" s="542"/>
      <c r="EB105" s="542"/>
      <c r="EC105" s="542"/>
      <c r="ED105" s="542"/>
      <c r="EE105" s="542"/>
      <c r="EF105" s="542"/>
      <c r="EG105" s="542"/>
      <c r="EH105" s="542"/>
      <c r="EI105" s="542"/>
      <c r="EJ105" s="542"/>
      <c r="EK105" s="542"/>
      <c r="EL105" s="542"/>
      <c r="EM105" s="542"/>
      <c r="EN105" s="542"/>
      <c r="EO105" s="542"/>
      <c r="EP105" s="542"/>
      <c r="EQ105" s="542"/>
      <c r="ER105" s="542"/>
      <c r="ES105" s="542"/>
      <c r="ET105" s="542"/>
      <c r="EU105" s="542"/>
      <c r="EV105" s="542"/>
      <c r="EW105" s="542"/>
      <c r="EX105" s="542"/>
      <c r="EY105" s="542"/>
      <c r="EZ105" s="542"/>
      <c r="FA105" s="542"/>
      <c r="FB105" s="542"/>
      <c r="FC105" s="542"/>
      <c r="FD105" s="542"/>
      <c r="FE105" s="542"/>
      <c r="FF105" s="542"/>
      <c r="FG105" s="542"/>
      <c r="FH105" s="542"/>
      <c r="FI105" s="542"/>
      <c r="FJ105" s="542"/>
      <c r="FK105" s="542"/>
      <c r="FL105" s="542"/>
      <c r="FM105" s="542"/>
      <c r="FN105" s="542"/>
      <c r="FO105" s="542"/>
      <c r="FP105" s="542"/>
      <c r="FQ105" s="542"/>
      <c r="FR105" s="542"/>
      <c r="FS105" s="542"/>
      <c r="FT105" s="542"/>
      <c r="FU105" s="542"/>
      <c r="FV105" s="542"/>
      <c r="FW105" s="542"/>
      <c r="FX105" s="542"/>
      <c r="FY105" s="542"/>
      <c r="FZ105" s="542"/>
      <c r="GA105" s="542"/>
      <c r="GB105" s="542"/>
      <c r="GC105" s="542"/>
      <c r="GD105" s="542"/>
      <c r="GE105" s="542"/>
      <c r="GF105" s="542"/>
      <c r="GG105" s="542"/>
      <c r="GH105" s="542"/>
      <c r="GI105" s="542"/>
      <c r="GJ105" s="542"/>
      <c r="GK105" s="542"/>
      <c r="GL105" s="542"/>
      <c r="GM105" s="542"/>
      <c r="GN105" s="542"/>
      <c r="GO105" s="542"/>
      <c r="GP105" s="542"/>
      <c r="GQ105" s="542"/>
      <c r="GR105" s="542"/>
      <c r="GS105" s="542"/>
      <c r="GT105" s="542"/>
      <c r="GU105" s="542"/>
      <c r="GV105" s="542"/>
      <c r="GW105" s="542"/>
      <c r="GX105" s="542"/>
      <c r="GY105" s="542"/>
      <c r="GZ105" s="542"/>
      <c r="HA105" s="542"/>
      <c r="HB105" s="542"/>
      <c r="HC105" s="542"/>
      <c r="HD105" s="542"/>
      <c r="HE105" s="542"/>
      <c r="HF105" s="542"/>
      <c r="HG105" s="542"/>
      <c r="HH105" s="542"/>
      <c r="HI105" s="542"/>
      <c r="HJ105" s="542"/>
      <c r="HK105" s="542"/>
      <c r="HL105" s="542"/>
      <c r="HM105" s="542"/>
      <c r="HN105" s="542"/>
      <c r="HO105" s="542"/>
      <c r="HP105" s="542"/>
      <c r="HQ105" s="542"/>
      <c r="HR105" s="542"/>
      <c r="HS105" s="542"/>
      <c r="HT105" s="542"/>
      <c r="HU105" s="542"/>
      <c r="HV105" s="542"/>
      <c r="HW105" s="542"/>
      <c r="HX105" s="542"/>
      <c r="HY105" s="542"/>
      <c r="HZ105" s="542"/>
      <c r="IA105" s="542"/>
      <c r="IB105" s="542"/>
      <c r="IC105" s="542"/>
      <c r="ID105" s="542"/>
      <c r="IE105" s="542"/>
      <c r="IF105" s="542"/>
      <c r="IG105" s="542"/>
      <c r="IH105" s="542"/>
      <c r="II105" s="542"/>
      <c r="IJ105" s="542"/>
      <c r="IK105" s="542"/>
      <c r="IL105" s="542"/>
      <c r="IM105" s="542"/>
      <c r="IN105" s="542"/>
      <c r="IO105" s="542"/>
      <c r="IP105" s="542"/>
      <c r="IQ105" s="542"/>
      <c r="IR105" s="542"/>
      <c r="IS105" s="542"/>
      <c r="IT105" s="542"/>
      <c r="IU105" s="542"/>
      <c r="IV105" s="542"/>
      <c r="IW105" s="542"/>
      <c r="IX105" s="542"/>
      <c r="IY105" s="542"/>
      <c r="IZ105" s="542"/>
      <c r="JA105" s="542"/>
      <c r="JB105" s="542"/>
    </row>
    <row r="106" spans="1:262" ht="18.899999999999999" customHeight="1">
      <c r="AW106" s="1614" t="s">
        <v>4834</v>
      </c>
      <c r="BC106" s="1614"/>
      <c r="BD106" s="1614"/>
      <c r="BE106" s="1614"/>
      <c r="CZ106" s="542"/>
      <c r="DA106" s="542"/>
      <c r="DB106" s="542"/>
      <c r="DC106" s="542"/>
      <c r="DD106" s="542"/>
      <c r="DE106" s="542"/>
      <c r="DF106" s="542"/>
      <c r="DG106" s="542"/>
      <c r="DH106" s="542"/>
      <c r="DI106" s="542"/>
      <c r="DJ106" s="542"/>
      <c r="DK106" s="542"/>
      <c r="DL106" s="542"/>
      <c r="DM106" s="542"/>
      <c r="DN106" s="542"/>
      <c r="DO106" s="542"/>
      <c r="DP106" s="542"/>
      <c r="DQ106" s="542"/>
      <c r="DR106" s="542"/>
      <c r="DS106" s="542"/>
      <c r="DT106" s="542"/>
      <c r="DU106" s="542"/>
      <c r="DV106" s="542"/>
      <c r="DW106" s="542"/>
      <c r="DX106" s="542"/>
      <c r="DY106" s="542"/>
      <c r="DZ106" s="542"/>
      <c r="EA106" s="542"/>
      <c r="EB106" s="542"/>
      <c r="EC106" s="542"/>
      <c r="ED106" s="542"/>
      <c r="EE106" s="542"/>
      <c r="EF106" s="542"/>
      <c r="EG106" s="542"/>
      <c r="EH106" s="542"/>
      <c r="EI106" s="542"/>
      <c r="EJ106" s="542"/>
      <c r="EK106" s="542"/>
      <c r="EL106" s="542"/>
      <c r="EM106" s="542"/>
      <c r="EN106" s="542"/>
      <c r="EO106" s="542"/>
      <c r="EP106" s="542"/>
      <c r="EQ106" s="542"/>
      <c r="ER106" s="542"/>
      <c r="ES106" s="542"/>
      <c r="ET106" s="542"/>
      <c r="EU106" s="542"/>
      <c r="EV106" s="542"/>
      <c r="EW106" s="542"/>
      <c r="EX106" s="542"/>
      <c r="EY106" s="542"/>
      <c r="EZ106" s="542"/>
      <c r="FA106" s="542"/>
      <c r="FB106" s="542"/>
      <c r="FC106" s="542"/>
      <c r="FD106" s="542"/>
      <c r="FE106" s="542"/>
      <c r="FF106" s="542"/>
      <c r="FG106" s="542"/>
      <c r="FH106" s="542"/>
      <c r="FI106" s="542"/>
      <c r="FJ106" s="542"/>
      <c r="FK106" s="542"/>
      <c r="FL106" s="542"/>
      <c r="FM106" s="542"/>
      <c r="FN106" s="542"/>
      <c r="FO106" s="542"/>
      <c r="FP106" s="542"/>
      <c r="FQ106" s="542"/>
      <c r="FR106" s="542"/>
      <c r="FS106" s="542"/>
      <c r="FT106" s="542"/>
      <c r="FU106" s="542"/>
      <c r="FV106" s="542"/>
      <c r="FW106" s="542"/>
      <c r="FX106" s="542"/>
      <c r="FY106" s="542"/>
      <c r="FZ106" s="542"/>
      <c r="GA106" s="542"/>
      <c r="GB106" s="542"/>
      <c r="GC106" s="542"/>
      <c r="GD106" s="542"/>
      <c r="GE106" s="542"/>
      <c r="GF106" s="542"/>
      <c r="GG106" s="542"/>
      <c r="GH106" s="542"/>
      <c r="GI106" s="542"/>
      <c r="GJ106" s="542"/>
      <c r="GK106" s="542"/>
      <c r="GL106" s="542"/>
      <c r="GM106" s="542"/>
      <c r="GN106" s="542"/>
      <c r="GO106" s="542"/>
      <c r="GP106" s="542"/>
      <c r="GQ106" s="542"/>
      <c r="GR106" s="542"/>
      <c r="GS106" s="542"/>
      <c r="GT106" s="542"/>
      <c r="GU106" s="542"/>
      <c r="GV106" s="542"/>
      <c r="GW106" s="542"/>
      <c r="GX106" s="542"/>
      <c r="GY106" s="542"/>
      <c r="GZ106" s="542"/>
      <c r="HA106" s="542"/>
      <c r="HB106" s="542"/>
      <c r="HC106" s="542"/>
      <c r="HD106" s="542"/>
      <c r="HE106" s="542"/>
      <c r="HF106" s="542"/>
      <c r="HG106" s="542"/>
      <c r="HH106" s="542"/>
      <c r="HI106" s="542"/>
      <c r="HJ106" s="542"/>
      <c r="HK106" s="542"/>
      <c r="HL106" s="542"/>
      <c r="HM106" s="542"/>
      <c r="HN106" s="542"/>
      <c r="HO106" s="542"/>
      <c r="HP106" s="542"/>
      <c r="HQ106" s="542"/>
      <c r="HR106" s="542"/>
      <c r="HS106" s="542"/>
      <c r="HT106" s="542"/>
      <c r="HU106" s="542"/>
      <c r="HV106" s="542"/>
      <c r="HW106" s="542"/>
      <c r="HX106" s="542"/>
      <c r="HY106" s="542"/>
      <c r="HZ106" s="542"/>
      <c r="IA106" s="542"/>
      <c r="IB106" s="542"/>
      <c r="IC106" s="542"/>
      <c r="ID106" s="542"/>
      <c r="IE106" s="542"/>
      <c r="IF106" s="542"/>
      <c r="IG106" s="542"/>
      <c r="IH106" s="542"/>
      <c r="II106" s="542"/>
      <c r="IJ106" s="542"/>
      <c r="IK106" s="542"/>
      <c r="IL106" s="542"/>
      <c r="IM106" s="542"/>
      <c r="IN106" s="542"/>
      <c r="IO106" s="542"/>
      <c r="IP106" s="542"/>
      <c r="IQ106" s="542"/>
      <c r="IR106" s="542"/>
      <c r="IS106" s="542"/>
      <c r="IT106" s="542"/>
      <c r="IU106" s="542"/>
      <c r="IV106" s="542"/>
      <c r="IW106" s="542"/>
      <c r="IX106" s="542"/>
      <c r="IY106" s="542"/>
      <c r="IZ106" s="542"/>
      <c r="JA106" s="542"/>
      <c r="JB106" s="542"/>
    </row>
    <row r="107" spans="1:262" ht="18.899999999999999" customHeight="1">
      <c r="BC107" s="1614"/>
      <c r="BD107" s="1614"/>
      <c r="BE107" s="1614"/>
      <c r="CZ107" s="542"/>
      <c r="DA107" s="542"/>
      <c r="DB107" s="542"/>
      <c r="DC107" s="542"/>
      <c r="DD107" s="542"/>
      <c r="DE107" s="542"/>
      <c r="DF107" s="542"/>
      <c r="DG107" s="542"/>
      <c r="DH107" s="542"/>
      <c r="DI107" s="542"/>
      <c r="DJ107" s="542"/>
      <c r="DK107" s="542"/>
      <c r="DL107" s="542"/>
      <c r="DM107" s="542"/>
      <c r="DN107" s="542"/>
      <c r="DO107" s="542"/>
      <c r="DP107" s="542"/>
      <c r="DQ107" s="542"/>
      <c r="DR107" s="542"/>
      <c r="DS107" s="542"/>
      <c r="DT107" s="542"/>
      <c r="DU107" s="542"/>
      <c r="DV107" s="542"/>
      <c r="DW107" s="542"/>
      <c r="DX107" s="542"/>
      <c r="DY107" s="542"/>
      <c r="DZ107" s="542"/>
      <c r="EA107" s="542"/>
      <c r="EB107" s="542"/>
      <c r="EC107" s="542"/>
      <c r="ED107" s="542"/>
      <c r="EE107" s="542"/>
      <c r="EF107" s="542"/>
      <c r="EG107" s="542"/>
      <c r="EH107" s="542"/>
      <c r="EI107" s="542"/>
      <c r="EJ107" s="542"/>
      <c r="EK107" s="542"/>
      <c r="EL107" s="542"/>
      <c r="EM107" s="542"/>
      <c r="EN107" s="542"/>
      <c r="EO107" s="542"/>
      <c r="EP107" s="542"/>
      <c r="EQ107" s="542"/>
      <c r="ER107" s="542"/>
      <c r="ES107" s="542"/>
      <c r="ET107" s="542"/>
      <c r="EU107" s="542"/>
      <c r="EV107" s="542"/>
      <c r="EW107" s="542"/>
      <c r="EX107" s="542"/>
      <c r="EY107" s="542"/>
      <c r="EZ107" s="542"/>
      <c r="FA107" s="542"/>
      <c r="FB107" s="542"/>
      <c r="FC107" s="542"/>
      <c r="FD107" s="542"/>
      <c r="FE107" s="542"/>
      <c r="FF107" s="542"/>
      <c r="FG107" s="542"/>
      <c r="FH107" s="542"/>
      <c r="FI107" s="542"/>
      <c r="FJ107" s="542"/>
      <c r="FK107" s="542"/>
      <c r="FL107" s="542"/>
      <c r="FM107" s="542"/>
      <c r="FN107" s="542"/>
      <c r="FO107" s="542"/>
      <c r="FP107" s="542"/>
      <c r="FQ107" s="542"/>
      <c r="FR107" s="542"/>
      <c r="FS107" s="542"/>
      <c r="FT107" s="542"/>
      <c r="FU107" s="542"/>
      <c r="FV107" s="542"/>
      <c r="FW107" s="542"/>
      <c r="FX107" s="542"/>
      <c r="FY107" s="542"/>
      <c r="FZ107" s="542"/>
      <c r="GA107" s="542"/>
      <c r="GB107" s="542"/>
      <c r="GC107" s="542"/>
      <c r="GD107" s="542"/>
      <c r="GE107" s="542"/>
      <c r="GF107" s="542"/>
      <c r="GG107" s="542"/>
      <c r="GH107" s="542"/>
      <c r="GI107" s="542"/>
      <c r="GJ107" s="542"/>
      <c r="GK107" s="542"/>
      <c r="GL107" s="542"/>
      <c r="GM107" s="542"/>
      <c r="GN107" s="542"/>
      <c r="GO107" s="542"/>
      <c r="GP107" s="542"/>
      <c r="GQ107" s="542"/>
      <c r="GR107" s="542"/>
      <c r="GS107" s="542"/>
      <c r="GT107" s="542"/>
      <c r="GU107" s="542"/>
      <c r="GV107" s="542"/>
      <c r="GW107" s="542"/>
      <c r="GX107" s="542"/>
      <c r="GY107" s="542"/>
      <c r="GZ107" s="542"/>
      <c r="HA107" s="542"/>
      <c r="HB107" s="542"/>
      <c r="HC107" s="542"/>
      <c r="HD107" s="542"/>
      <c r="HE107" s="542"/>
      <c r="HF107" s="542"/>
      <c r="HG107" s="542"/>
      <c r="HH107" s="542"/>
      <c r="HI107" s="542"/>
      <c r="HJ107" s="542"/>
      <c r="HK107" s="542"/>
      <c r="HL107" s="542"/>
      <c r="HM107" s="542"/>
      <c r="HN107" s="542"/>
      <c r="HO107" s="542"/>
      <c r="HP107" s="542"/>
      <c r="HQ107" s="542"/>
      <c r="HR107" s="542"/>
      <c r="HS107" s="542"/>
      <c r="HT107" s="542"/>
      <c r="HU107" s="542"/>
      <c r="HV107" s="542"/>
      <c r="HW107" s="542"/>
      <c r="HX107" s="542"/>
      <c r="HY107" s="542"/>
      <c r="HZ107" s="542"/>
      <c r="IA107" s="542"/>
      <c r="IB107" s="542"/>
      <c r="IC107" s="542"/>
      <c r="ID107" s="542"/>
      <c r="IE107" s="542"/>
      <c r="IF107" s="542"/>
      <c r="IG107" s="542"/>
      <c r="IH107" s="542"/>
      <c r="II107" s="542"/>
      <c r="IJ107" s="542"/>
      <c r="IK107" s="542"/>
      <c r="IL107" s="542"/>
      <c r="IM107" s="542"/>
      <c r="IN107" s="542"/>
      <c r="IO107" s="542"/>
      <c r="IP107" s="542"/>
      <c r="IQ107" s="542"/>
      <c r="IR107" s="542"/>
      <c r="IS107" s="542"/>
      <c r="IT107" s="542"/>
      <c r="IU107" s="542"/>
      <c r="IV107" s="542"/>
      <c r="IW107" s="542"/>
      <c r="IX107" s="542"/>
      <c r="IY107" s="542"/>
      <c r="IZ107" s="542"/>
      <c r="JA107" s="542"/>
      <c r="JB107" s="542"/>
    </row>
    <row r="108" spans="1:262" ht="18.899999999999999" customHeight="1">
      <c r="BC108" s="1614"/>
      <c r="BD108" s="1614"/>
      <c r="BE108" s="1614"/>
      <c r="CZ108" s="542"/>
      <c r="DA108" s="542"/>
      <c r="DB108" s="542"/>
      <c r="DC108" s="542"/>
      <c r="DD108" s="542"/>
      <c r="DE108" s="542"/>
      <c r="DF108" s="542"/>
      <c r="DG108" s="542"/>
      <c r="DH108" s="542"/>
      <c r="DI108" s="542"/>
      <c r="DJ108" s="542"/>
      <c r="DK108" s="542"/>
      <c r="DL108" s="542"/>
      <c r="DM108" s="542"/>
      <c r="DN108" s="542"/>
      <c r="DO108" s="542"/>
      <c r="DP108" s="542"/>
      <c r="DQ108" s="542"/>
      <c r="DR108" s="542"/>
      <c r="DS108" s="542"/>
      <c r="DT108" s="542"/>
      <c r="DU108" s="542"/>
      <c r="DV108" s="542"/>
      <c r="DW108" s="542"/>
      <c r="DX108" s="542"/>
      <c r="DY108" s="542"/>
      <c r="DZ108" s="542"/>
      <c r="EA108" s="542"/>
      <c r="EB108" s="542"/>
      <c r="EC108" s="542"/>
      <c r="ED108" s="542"/>
      <c r="EE108" s="542"/>
      <c r="EF108" s="542"/>
      <c r="EG108" s="542"/>
      <c r="EH108" s="542"/>
      <c r="EI108" s="542"/>
      <c r="EJ108" s="542"/>
      <c r="EK108" s="542"/>
      <c r="EL108" s="542"/>
      <c r="EM108" s="542"/>
      <c r="EN108" s="542"/>
      <c r="EO108" s="542"/>
      <c r="EP108" s="542"/>
      <c r="EQ108" s="542"/>
      <c r="ER108" s="542"/>
      <c r="ES108" s="542"/>
      <c r="ET108" s="542"/>
      <c r="EU108" s="542"/>
      <c r="EV108" s="542"/>
      <c r="EW108" s="542"/>
      <c r="EX108" s="542"/>
      <c r="EY108" s="542"/>
      <c r="EZ108" s="542"/>
      <c r="FA108" s="542"/>
      <c r="FB108" s="542"/>
      <c r="FC108" s="542"/>
      <c r="FD108" s="542"/>
      <c r="FE108" s="542"/>
      <c r="FF108" s="542"/>
      <c r="FG108" s="542"/>
      <c r="FH108" s="542"/>
      <c r="FI108" s="542"/>
      <c r="FJ108" s="542"/>
      <c r="FK108" s="542"/>
      <c r="FL108" s="542"/>
      <c r="FM108" s="542"/>
      <c r="FN108" s="542"/>
      <c r="FO108" s="542"/>
      <c r="FP108" s="542"/>
      <c r="FQ108" s="542"/>
      <c r="FR108" s="542"/>
      <c r="FS108" s="542"/>
      <c r="FT108" s="542"/>
      <c r="FU108" s="542"/>
      <c r="FV108" s="542"/>
      <c r="FW108" s="542"/>
      <c r="FX108" s="542"/>
      <c r="FY108" s="542"/>
      <c r="FZ108" s="542"/>
      <c r="GA108" s="542"/>
      <c r="GB108" s="542"/>
      <c r="GC108" s="542"/>
      <c r="GD108" s="542"/>
      <c r="GE108" s="542"/>
      <c r="GF108" s="542"/>
      <c r="GG108" s="542"/>
      <c r="GH108" s="542"/>
      <c r="GI108" s="542"/>
      <c r="GJ108" s="542"/>
      <c r="GK108" s="542"/>
      <c r="GL108" s="542"/>
      <c r="GM108" s="542"/>
      <c r="GN108" s="542"/>
      <c r="GO108" s="542"/>
      <c r="GP108" s="542"/>
      <c r="GQ108" s="542"/>
      <c r="GR108" s="542"/>
      <c r="GS108" s="542"/>
      <c r="GT108" s="542"/>
      <c r="GU108" s="542"/>
      <c r="GV108" s="542"/>
      <c r="GW108" s="542"/>
      <c r="GX108" s="542"/>
      <c r="GY108" s="542"/>
      <c r="GZ108" s="542"/>
      <c r="HA108" s="542"/>
      <c r="HB108" s="542"/>
      <c r="HC108" s="542"/>
      <c r="HD108" s="542"/>
      <c r="HE108" s="542"/>
      <c r="HF108" s="542"/>
      <c r="HG108" s="542"/>
      <c r="HH108" s="542"/>
      <c r="HI108" s="542"/>
      <c r="HJ108" s="542"/>
      <c r="HK108" s="542"/>
      <c r="HL108" s="542"/>
      <c r="HM108" s="542"/>
      <c r="HN108" s="542"/>
      <c r="HO108" s="542"/>
      <c r="HP108" s="542"/>
      <c r="HQ108" s="542"/>
      <c r="HR108" s="542"/>
      <c r="HS108" s="542"/>
      <c r="HT108" s="542"/>
      <c r="HU108" s="542"/>
      <c r="HV108" s="542"/>
      <c r="HW108" s="542"/>
      <c r="HX108" s="542"/>
      <c r="HY108" s="542"/>
      <c r="HZ108" s="542"/>
      <c r="IA108" s="542"/>
      <c r="IB108" s="542"/>
      <c r="IC108" s="542"/>
      <c r="ID108" s="542"/>
      <c r="IE108" s="542"/>
      <c r="IF108" s="542"/>
      <c r="IG108" s="542"/>
      <c r="IH108" s="542"/>
      <c r="II108" s="542"/>
      <c r="IJ108" s="542"/>
      <c r="IK108" s="542"/>
      <c r="IL108" s="542"/>
      <c r="IM108" s="542"/>
      <c r="IN108" s="542"/>
      <c r="IO108" s="542"/>
      <c r="IP108" s="542"/>
      <c r="IQ108" s="542"/>
      <c r="IR108" s="542"/>
      <c r="IS108" s="542"/>
      <c r="IT108" s="542"/>
      <c r="IU108" s="542"/>
      <c r="IV108" s="542"/>
      <c r="IW108" s="542"/>
      <c r="IX108" s="542"/>
      <c r="IY108" s="542"/>
      <c r="IZ108" s="542"/>
      <c r="JA108" s="542"/>
      <c r="JB108" s="542"/>
    </row>
    <row r="109" spans="1:262" ht="18.899999999999999" customHeight="1">
      <c r="BC109" s="1614"/>
      <c r="BD109" s="1614"/>
      <c r="BE109" s="1614"/>
      <c r="CZ109" s="542"/>
      <c r="DA109" s="542"/>
      <c r="DB109" s="542"/>
      <c r="DC109" s="542"/>
      <c r="DD109" s="542"/>
      <c r="DE109" s="542"/>
      <c r="DF109" s="542"/>
      <c r="DG109" s="542"/>
      <c r="DH109" s="542"/>
      <c r="DI109" s="542"/>
      <c r="DJ109" s="542"/>
      <c r="DK109" s="542"/>
      <c r="DL109" s="542"/>
      <c r="DM109" s="542"/>
      <c r="DN109" s="542"/>
      <c r="DO109" s="542"/>
      <c r="DP109" s="542"/>
      <c r="DQ109" s="542"/>
      <c r="DR109" s="542"/>
      <c r="DS109" s="542"/>
      <c r="DT109" s="542"/>
      <c r="DU109" s="542"/>
      <c r="DV109" s="542"/>
      <c r="DW109" s="542"/>
      <c r="DX109" s="542"/>
      <c r="DY109" s="542"/>
      <c r="DZ109" s="542"/>
      <c r="EA109" s="542"/>
      <c r="EB109" s="542"/>
      <c r="EC109" s="542"/>
      <c r="ED109" s="542"/>
      <c r="EE109" s="542"/>
      <c r="EF109" s="542"/>
      <c r="EG109" s="542"/>
      <c r="EH109" s="542"/>
      <c r="EI109" s="542"/>
      <c r="EJ109" s="542"/>
      <c r="EK109" s="542"/>
      <c r="EL109" s="542"/>
      <c r="EM109" s="542"/>
      <c r="EN109" s="542"/>
      <c r="EO109" s="542"/>
      <c r="EP109" s="542"/>
      <c r="EQ109" s="542"/>
      <c r="ER109" s="542"/>
      <c r="ES109" s="542"/>
      <c r="ET109" s="542"/>
      <c r="EU109" s="542"/>
      <c r="EV109" s="542"/>
      <c r="EW109" s="542"/>
      <c r="EX109" s="542"/>
      <c r="EY109" s="542"/>
      <c r="EZ109" s="542"/>
      <c r="FA109" s="542"/>
      <c r="FB109" s="542"/>
      <c r="FC109" s="542"/>
      <c r="FD109" s="542"/>
      <c r="FE109" s="542"/>
      <c r="FF109" s="542"/>
      <c r="FG109" s="542"/>
      <c r="FH109" s="542"/>
      <c r="FI109" s="542"/>
      <c r="FJ109" s="542"/>
      <c r="FK109" s="542"/>
      <c r="FL109" s="542"/>
      <c r="FM109" s="542"/>
      <c r="FN109" s="542"/>
      <c r="FO109" s="542"/>
      <c r="FP109" s="542"/>
      <c r="FQ109" s="542"/>
      <c r="FR109" s="542"/>
      <c r="FS109" s="542"/>
      <c r="FT109" s="542"/>
      <c r="FU109" s="542"/>
      <c r="FV109" s="542"/>
      <c r="FW109" s="542"/>
      <c r="FX109" s="542"/>
      <c r="FY109" s="542"/>
      <c r="FZ109" s="542"/>
      <c r="GA109" s="542"/>
      <c r="GB109" s="542"/>
      <c r="GC109" s="542"/>
      <c r="GD109" s="542"/>
      <c r="GE109" s="542"/>
      <c r="GF109" s="542"/>
      <c r="GG109" s="542"/>
      <c r="GH109" s="542"/>
      <c r="GI109" s="542"/>
      <c r="GJ109" s="542"/>
      <c r="GK109" s="542"/>
      <c r="GL109" s="542"/>
      <c r="GM109" s="542"/>
      <c r="GN109" s="542"/>
      <c r="GO109" s="542"/>
      <c r="GP109" s="542"/>
      <c r="GQ109" s="542"/>
      <c r="GR109" s="542"/>
      <c r="GS109" s="542"/>
      <c r="GT109" s="542"/>
      <c r="GU109" s="542"/>
      <c r="GV109" s="542"/>
      <c r="GW109" s="542"/>
      <c r="GX109" s="542"/>
      <c r="GY109" s="542"/>
      <c r="GZ109" s="542"/>
      <c r="HA109" s="542"/>
      <c r="HB109" s="542"/>
      <c r="HC109" s="542"/>
      <c r="HD109" s="542"/>
      <c r="HE109" s="542"/>
      <c r="HF109" s="542"/>
      <c r="HG109" s="542"/>
      <c r="HH109" s="542"/>
      <c r="HI109" s="542"/>
      <c r="HJ109" s="542"/>
      <c r="HK109" s="542"/>
      <c r="HL109" s="542"/>
      <c r="HM109" s="542"/>
      <c r="HN109" s="542"/>
      <c r="HO109" s="542"/>
      <c r="HP109" s="542"/>
      <c r="HQ109" s="542"/>
      <c r="HR109" s="542"/>
      <c r="HS109" s="542"/>
      <c r="HT109" s="542"/>
      <c r="HU109" s="542"/>
      <c r="HV109" s="542"/>
      <c r="HW109" s="542"/>
      <c r="HX109" s="542"/>
      <c r="HY109" s="542"/>
      <c r="HZ109" s="542"/>
      <c r="IA109" s="542"/>
      <c r="IB109" s="542"/>
      <c r="IC109" s="542"/>
      <c r="ID109" s="542"/>
      <c r="IE109" s="542"/>
      <c r="IF109" s="542"/>
      <c r="IG109" s="542"/>
      <c r="IH109" s="542"/>
      <c r="II109" s="542"/>
      <c r="IJ109" s="542"/>
      <c r="IK109" s="542"/>
      <c r="IL109" s="542"/>
      <c r="IM109" s="542"/>
      <c r="IN109" s="542"/>
      <c r="IO109" s="542"/>
      <c r="IP109" s="542"/>
      <c r="IQ109" s="542"/>
      <c r="IR109" s="542"/>
      <c r="IS109" s="542"/>
      <c r="IT109" s="542"/>
      <c r="IU109" s="542"/>
      <c r="IV109" s="542"/>
      <c r="IW109" s="542"/>
      <c r="IX109" s="542"/>
      <c r="IY109" s="542"/>
      <c r="IZ109" s="542"/>
      <c r="JA109" s="542"/>
      <c r="JB109" s="542"/>
    </row>
    <row r="110" spans="1:262" ht="18.899999999999999" customHeight="1">
      <c r="BC110" s="1614"/>
      <c r="BD110" s="1614"/>
      <c r="BE110" s="1614"/>
      <c r="CZ110" s="542"/>
      <c r="DA110" s="542"/>
      <c r="DB110" s="542"/>
      <c r="DC110" s="542"/>
      <c r="DD110" s="542"/>
      <c r="DE110" s="542"/>
      <c r="DF110" s="542"/>
      <c r="DG110" s="542"/>
      <c r="DH110" s="542"/>
      <c r="DI110" s="542"/>
      <c r="DJ110" s="542"/>
      <c r="DK110" s="542"/>
      <c r="DL110" s="542"/>
      <c r="DM110" s="542"/>
      <c r="DN110" s="542"/>
      <c r="DO110" s="542"/>
      <c r="DP110" s="542"/>
      <c r="DQ110" s="542"/>
      <c r="DR110" s="542"/>
      <c r="DS110" s="542"/>
      <c r="DT110" s="542"/>
      <c r="DU110" s="542"/>
      <c r="DV110" s="542"/>
      <c r="DW110" s="542"/>
      <c r="DX110" s="542"/>
      <c r="DY110" s="542"/>
      <c r="DZ110" s="542"/>
      <c r="EA110" s="542"/>
      <c r="EB110" s="542"/>
      <c r="EC110" s="542"/>
      <c r="ED110" s="542"/>
      <c r="EE110" s="542"/>
      <c r="EF110" s="542"/>
      <c r="EG110" s="542"/>
      <c r="EH110" s="542"/>
      <c r="EI110" s="542"/>
      <c r="EJ110" s="542"/>
      <c r="EK110" s="542"/>
      <c r="EL110" s="542"/>
      <c r="EM110" s="542"/>
      <c r="EN110" s="542"/>
      <c r="EO110" s="542"/>
      <c r="EP110" s="542"/>
      <c r="EQ110" s="542"/>
      <c r="ER110" s="542"/>
      <c r="ES110" s="542"/>
      <c r="ET110" s="542"/>
      <c r="EU110" s="542"/>
      <c r="EV110" s="542"/>
      <c r="EW110" s="542"/>
      <c r="EX110" s="542"/>
      <c r="EY110" s="542"/>
      <c r="EZ110" s="542"/>
      <c r="FA110" s="542"/>
      <c r="FB110" s="542"/>
      <c r="FC110" s="542"/>
      <c r="FD110" s="542"/>
      <c r="FE110" s="542"/>
      <c r="FF110" s="542"/>
      <c r="FG110" s="542"/>
      <c r="FH110" s="542"/>
      <c r="FI110" s="542"/>
      <c r="FJ110" s="542"/>
      <c r="FK110" s="542"/>
      <c r="FL110" s="542"/>
      <c r="FM110" s="542"/>
      <c r="FN110" s="542"/>
      <c r="FO110" s="542"/>
      <c r="FP110" s="542"/>
      <c r="FQ110" s="542"/>
      <c r="FR110" s="542"/>
      <c r="FS110" s="542"/>
      <c r="FT110" s="542"/>
      <c r="FU110" s="542"/>
      <c r="FV110" s="542"/>
      <c r="FW110" s="542"/>
      <c r="FX110" s="542"/>
      <c r="FY110" s="542"/>
      <c r="FZ110" s="542"/>
      <c r="GA110" s="542"/>
      <c r="GB110" s="542"/>
      <c r="GC110" s="542"/>
      <c r="GD110" s="542"/>
      <c r="GE110" s="542"/>
      <c r="GF110" s="542"/>
      <c r="GG110" s="542"/>
      <c r="GH110" s="542"/>
      <c r="GI110" s="542"/>
      <c r="GJ110" s="542"/>
      <c r="GK110" s="542"/>
      <c r="GL110" s="542"/>
      <c r="GM110" s="542"/>
      <c r="GN110" s="542"/>
      <c r="GO110" s="542"/>
      <c r="GP110" s="542"/>
      <c r="GQ110" s="542"/>
      <c r="GR110" s="542"/>
      <c r="GS110" s="542"/>
      <c r="GT110" s="542"/>
      <c r="GU110" s="542"/>
      <c r="GV110" s="542"/>
      <c r="GW110" s="542"/>
      <c r="GX110" s="542"/>
      <c r="GY110" s="542"/>
      <c r="GZ110" s="542"/>
      <c r="HA110" s="542"/>
      <c r="HB110" s="542"/>
      <c r="HC110" s="542"/>
      <c r="HD110" s="542"/>
      <c r="HE110" s="542"/>
      <c r="HF110" s="542"/>
      <c r="HG110" s="542"/>
      <c r="HH110" s="542"/>
      <c r="HI110" s="542"/>
      <c r="HJ110" s="542"/>
      <c r="HK110" s="542"/>
      <c r="HL110" s="542"/>
      <c r="HM110" s="542"/>
      <c r="HN110" s="542"/>
      <c r="HO110" s="542"/>
      <c r="HP110" s="542"/>
      <c r="HQ110" s="542"/>
      <c r="HR110" s="542"/>
      <c r="HS110" s="542"/>
      <c r="HT110" s="542"/>
      <c r="HU110" s="542"/>
      <c r="HV110" s="542"/>
      <c r="HW110" s="542"/>
      <c r="HX110" s="542"/>
      <c r="HY110" s="542"/>
      <c r="HZ110" s="542"/>
      <c r="IA110" s="542"/>
      <c r="IB110" s="542"/>
      <c r="IC110" s="542"/>
      <c r="ID110" s="542"/>
      <c r="IE110" s="542"/>
      <c r="IF110" s="542"/>
      <c r="IG110" s="542"/>
      <c r="IH110" s="542"/>
      <c r="II110" s="542"/>
      <c r="IJ110" s="542"/>
      <c r="IK110" s="542"/>
      <c r="IL110" s="542"/>
      <c r="IM110" s="542"/>
      <c r="IN110" s="542"/>
      <c r="IO110" s="542"/>
      <c r="IP110" s="542"/>
      <c r="IQ110" s="542"/>
      <c r="IR110" s="542"/>
      <c r="IS110" s="542"/>
      <c r="IT110" s="542"/>
      <c r="IU110" s="542"/>
      <c r="IV110" s="542"/>
      <c r="IW110" s="542"/>
      <c r="IX110" s="542"/>
      <c r="IY110" s="542"/>
      <c r="IZ110" s="542"/>
      <c r="JA110" s="542"/>
      <c r="JB110" s="542"/>
    </row>
    <row r="111" spans="1:262" ht="18.899999999999999" hidden="1" customHeight="1" thickBot="1">
      <c r="BC111" s="1614"/>
      <c r="BD111" s="1614"/>
      <c r="BE111" s="1614"/>
      <c r="CZ111" s="542"/>
      <c r="DA111" s="542"/>
      <c r="DB111" s="542"/>
      <c r="DC111" s="542"/>
      <c r="DD111" s="542"/>
      <c r="DE111" s="542"/>
      <c r="DF111" s="542"/>
      <c r="DG111" s="542"/>
      <c r="DH111" s="542"/>
      <c r="DI111" s="542"/>
      <c r="DJ111" s="542"/>
      <c r="DK111" s="542"/>
      <c r="DL111" s="542"/>
      <c r="DM111" s="542"/>
      <c r="DN111" s="542"/>
      <c r="DO111" s="542"/>
      <c r="DP111" s="542"/>
      <c r="DQ111" s="542"/>
      <c r="DR111" s="542"/>
      <c r="DS111" s="542"/>
      <c r="DT111" s="542"/>
      <c r="DU111" s="542"/>
      <c r="DV111" s="542"/>
      <c r="DW111" s="542"/>
      <c r="DX111" s="542"/>
      <c r="DY111" s="542"/>
      <c r="DZ111" s="542"/>
      <c r="EA111" s="542"/>
      <c r="EB111" s="542"/>
      <c r="EC111" s="542"/>
      <c r="ED111" s="542"/>
      <c r="EE111" s="542"/>
      <c r="EF111" s="542"/>
      <c r="EG111" s="542"/>
      <c r="EH111" s="542"/>
      <c r="EI111" s="542"/>
      <c r="EJ111" s="542"/>
      <c r="EK111" s="542"/>
      <c r="EL111" s="542"/>
      <c r="EM111" s="542"/>
      <c r="EN111" s="542"/>
      <c r="EO111" s="542"/>
      <c r="EP111" s="542"/>
      <c r="EQ111" s="542"/>
      <c r="ER111" s="542"/>
      <c r="ES111" s="542"/>
      <c r="ET111" s="542"/>
      <c r="EU111" s="542"/>
      <c r="EV111" s="542"/>
      <c r="EW111" s="542"/>
      <c r="EX111" s="542"/>
      <c r="EY111" s="542"/>
      <c r="EZ111" s="542"/>
      <c r="FA111" s="542"/>
      <c r="FB111" s="542"/>
      <c r="FC111" s="542"/>
      <c r="FD111" s="542"/>
      <c r="FE111" s="542"/>
      <c r="FF111" s="542"/>
      <c r="FG111" s="542"/>
      <c r="FH111" s="542"/>
      <c r="FI111" s="542"/>
      <c r="FJ111" s="542"/>
      <c r="FK111" s="542"/>
      <c r="FL111" s="542"/>
      <c r="FM111" s="542"/>
      <c r="FN111" s="542"/>
      <c r="FO111" s="542"/>
      <c r="FP111" s="542"/>
      <c r="FQ111" s="542"/>
      <c r="FR111" s="542"/>
      <c r="FS111" s="542"/>
      <c r="FT111" s="542"/>
      <c r="FU111" s="542"/>
      <c r="FV111" s="542"/>
      <c r="FW111" s="542"/>
      <c r="FX111" s="542"/>
      <c r="FY111" s="542"/>
      <c r="FZ111" s="542"/>
      <c r="GA111" s="542"/>
      <c r="GB111" s="542"/>
      <c r="GC111" s="542"/>
      <c r="GD111" s="542"/>
      <c r="GE111" s="542"/>
      <c r="GF111" s="542"/>
      <c r="GG111" s="542"/>
      <c r="GH111" s="542"/>
      <c r="GI111" s="542"/>
      <c r="GJ111" s="542"/>
      <c r="GK111" s="542"/>
      <c r="GL111" s="542"/>
      <c r="GM111" s="542"/>
      <c r="GN111" s="542"/>
      <c r="GO111" s="542"/>
      <c r="GP111" s="542"/>
      <c r="GQ111" s="542"/>
      <c r="GR111" s="542"/>
      <c r="GS111" s="542"/>
      <c r="GT111" s="542"/>
      <c r="GU111" s="542"/>
      <c r="GV111" s="542"/>
      <c r="GW111" s="542"/>
      <c r="GX111" s="542"/>
      <c r="GY111" s="542"/>
      <c r="GZ111" s="542"/>
      <c r="HA111" s="542"/>
      <c r="HB111" s="542"/>
      <c r="HC111" s="542"/>
      <c r="HD111" s="542"/>
      <c r="HE111" s="542"/>
      <c r="HF111" s="542"/>
      <c r="HG111" s="542"/>
      <c r="HH111" s="542"/>
      <c r="HI111" s="542"/>
      <c r="HJ111" s="542"/>
      <c r="HK111" s="542"/>
      <c r="HL111" s="542"/>
      <c r="HM111" s="542"/>
      <c r="HN111" s="542"/>
      <c r="HO111" s="542"/>
      <c r="HP111" s="542"/>
      <c r="HQ111" s="542"/>
      <c r="HR111" s="542"/>
      <c r="HS111" s="542"/>
      <c r="HT111" s="542"/>
      <c r="HU111" s="542"/>
      <c r="HV111" s="542"/>
      <c r="HW111" s="542"/>
      <c r="HX111" s="542"/>
      <c r="HY111" s="542"/>
      <c r="HZ111" s="542"/>
      <c r="IA111" s="542"/>
      <c r="IB111" s="542"/>
      <c r="IC111" s="542"/>
      <c r="ID111" s="542"/>
      <c r="IE111" s="542"/>
      <c r="IF111" s="542"/>
      <c r="IG111" s="542"/>
      <c r="IH111" s="542"/>
      <c r="II111" s="542"/>
      <c r="IJ111" s="542"/>
      <c r="IK111" s="542"/>
      <c r="IL111" s="542"/>
      <c r="IM111" s="542"/>
      <c r="IN111" s="542"/>
      <c r="IO111" s="542"/>
      <c r="IP111" s="542"/>
      <c r="IQ111" s="542"/>
      <c r="IR111" s="542"/>
      <c r="IS111" s="542"/>
      <c r="IT111" s="542"/>
      <c r="IU111" s="542"/>
      <c r="IV111" s="542"/>
      <c r="IW111" s="542"/>
      <c r="IX111" s="542"/>
      <c r="IY111" s="542"/>
      <c r="IZ111" s="542"/>
      <c r="JA111" s="542"/>
      <c r="JB111" s="542"/>
    </row>
    <row r="112" spans="1:262" ht="18.899999999999999" hidden="1" customHeight="1">
      <c r="H112" s="1635" t="s">
        <v>1254</v>
      </c>
      <c r="I112" s="1383"/>
      <c r="J112" s="1383"/>
      <c r="K112" s="1383"/>
      <c r="L112" s="1383"/>
      <c r="M112" s="1383"/>
      <c r="N112" s="1383" t="e">
        <f>VLOOKUP($H112,pp_1XDM,N$125,0)</f>
        <v>#NAME?</v>
      </c>
      <c r="O112" s="1383" t="e">
        <f t="shared" ref="O112:CW112" si="12">VLOOKUP($H112,pp_1XDM,O$125,0)</f>
        <v>#NAME?</v>
      </c>
      <c r="P112" s="1383" t="e">
        <f t="shared" si="12"/>
        <v>#NAME?</v>
      </c>
      <c r="Q112" s="1383" t="e">
        <f t="shared" si="12"/>
        <v>#NAME?</v>
      </c>
      <c r="R112" s="1383" t="e">
        <f t="shared" si="12"/>
        <v>#NAME?</v>
      </c>
      <c r="S112" s="1383" t="e">
        <f t="shared" si="12"/>
        <v>#NAME?</v>
      </c>
      <c r="T112" s="1383" t="e">
        <f t="shared" si="12"/>
        <v>#NAME?</v>
      </c>
      <c r="U112" s="1383" t="e">
        <f t="shared" si="12"/>
        <v>#NAME?</v>
      </c>
      <c r="V112" s="1383" t="e">
        <f t="shared" si="12"/>
        <v>#NAME?</v>
      </c>
      <c r="W112" s="1383" t="e">
        <f t="shared" si="12"/>
        <v>#NAME?</v>
      </c>
      <c r="X112" s="1383" t="e">
        <f t="shared" si="12"/>
        <v>#NAME?</v>
      </c>
      <c r="Y112" s="1383" t="e">
        <f t="shared" si="12"/>
        <v>#NAME?</v>
      </c>
      <c r="Z112" s="1383" t="e">
        <f t="shared" si="12"/>
        <v>#NAME?</v>
      </c>
      <c r="AA112" s="1383" t="e">
        <f t="shared" si="12"/>
        <v>#NAME?</v>
      </c>
      <c r="AB112" s="1383" t="e">
        <f t="shared" si="12"/>
        <v>#NAME?</v>
      </c>
      <c r="AC112" s="1383" t="e">
        <f t="shared" si="12"/>
        <v>#NAME?</v>
      </c>
      <c r="AD112" s="1383" t="e">
        <f t="shared" si="12"/>
        <v>#NAME?</v>
      </c>
      <c r="AE112" s="1383" t="e">
        <f t="shared" si="12"/>
        <v>#NAME?</v>
      </c>
      <c r="AF112" s="1383" t="e">
        <f t="shared" si="12"/>
        <v>#NAME?</v>
      </c>
      <c r="AG112" s="1383" t="e">
        <f t="shared" si="12"/>
        <v>#NAME?</v>
      </c>
      <c r="AH112" s="1383" t="e">
        <f t="shared" si="12"/>
        <v>#NAME?</v>
      </c>
      <c r="AI112" s="1383" t="e">
        <f t="shared" si="12"/>
        <v>#NAME?</v>
      </c>
      <c r="AJ112" s="1383" t="e">
        <f t="shared" si="12"/>
        <v>#NAME?</v>
      </c>
      <c r="AK112" s="1383" t="e">
        <f t="shared" si="12"/>
        <v>#NAME?</v>
      </c>
      <c r="AL112" s="1383" t="e">
        <f t="shared" si="12"/>
        <v>#NAME?</v>
      </c>
      <c r="AM112" s="1383" t="e">
        <f t="shared" si="12"/>
        <v>#NAME?</v>
      </c>
      <c r="AN112" s="1383" t="e">
        <f t="shared" si="12"/>
        <v>#NAME?</v>
      </c>
      <c r="AO112" s="1383" t="e">
        <f t="shared" si="12"/>
        <v>#NAME?</v>
      </c>
      <c r="AP112" s="1383" t="e">
        <f t="shared" si="12"/>
        <v>#NAME?</v>
      </c>
      <c r="AQ112" s="1383" t="e">
        <f t="shared" si="12"/>
        <v>#NAME?</v>
      </c>
      <c r="AR112" s="1383" t="e">
        <f t="shared" si="12"/>
        <v>#NAME?</v>
      </c>
      <c r="AS112" s="1383" t="e">
        <f t="shared" si="12"/>
        <v>#NAME?</v>
      </c>
      <c r="AT112" s="1383" t="e">
        <f t="shared" si="12"/>
        <v>#NAME?</v>
      </c>
      <c r="AU112" s="1383" t="e">
        <f t="shared" si="12"/>
        <v>#NAME?</v>
      </c>
      <c r="AV112" s="1383" t="e">
        <f t="shared" si="12"/>
        <v>#NAME?</v>
      </c>
      <c r="AW112" s="1383" t="e">
        <f t="shared" si="12"/>
        <v>#NAME?</v>
      </c>
      <c r="AX112" s="1383" t="e">
        <f t="shared" si="12"/>
        <v>#NAME?</v>
      </c>
      <c r="AY112" s="1383" t="e">
        <f t="shared" si="12"/>
        <v>#NAME?</v>
      </c>
      <c r="AZ112" s="1383" t="e">
        <f t="shared" si="12"/>
        <v>#NAME?</v>
      </c>
      <c r="BA112" s="1383" t="e">
        <f t="shared" si="12"/>
        <v>#NAME?</v>
      </c>
      <c r="BB112" s="1383" t="e">
        <f t="shared" si="12"/>
        <v>#NAME?</v>
      </c>
      <c r="BC112" s="1383" t="e">
        <f t="shared" si="12"/>
        <v>#NAME?</v>
      </c>
      <c r="BD112" s="1383" t="e">
        <f t="shared" si="12"/>
        <v>#NAME?</v>
      </c>
      <c r="BE112" s="1383" t="e">
        <f t="shared" si="12"/>
        <v>#NAME?</v>
      </c>
      <c r="BF112" s="1383" t="e">
        <f t="shared" si="12"/>
        <v>#NAME?</v>
      </c>
      <c r="BG112" s="1383" t="e">
        <f t="shared" si="12"/>
        <v>#NAME?</v>
      </c>
      <c r="BH112" s="1383" t="e">
        <f t="shared" si="12"/>
        <v>#NAME?</v>
      </c>
      <c r="BI112" s="1383" t="e">
        <f t="shared" si="12"/>
        <v>#NAME?</v>
      </c>
      <c r="BJ112" s="1383" t="e">
        <f t="shared" si="12"/>
        <v>#NAME?</v>
      </c>
      <c r="BK112" s="1383" t="e">
        <f t="shared" si="12"/>
        <v>#NAME?</v>
      </c>
      <c r="BL112" s="1383" t="e">
        <f t="shared" si="12"/>
        <v>#NAME?</v>
      </c>
      <c r="BM112" s="1383"/>
      <c r="BN112" s="1383" t="e">
        <f t="shared" si="12"/>
        <v>#NAME?</v>
      </c>
      <c r="BO112" s="1383" t="e">
        <f t="shared" si="12"/>
        <v>#NAME?</v>
      </c>
      <c r="BP112" s="1383" t="e">
        <f t="shared" si="12"/>
        <v>#NAME?</v>
      </c>
      <c r="BQ112" s="1383"/>
      <c r="BR112" s="1383"/>
      <c r="BS112" s="1383" t="e">
        <f t="shared" si="12"/>
        <v>#NAME?</v>
      </c>
      <c r="BT112" s="1383"/>
      <c r="BU112" s="1383"/>
      <c r="BV112" s="1383" t="e">
        <f t="shared" si="12"/>
        <v>#NAME?</v>
      </c>
      <c r="BW112" s="1383" t="e">
        <f t="shared" si="12"/>
        <v>#NAME?</v>
      </c>
      <c r="BX112" s="1383" t="e">
        <f t="shared" si="12"/>
        <v>#NAME?</v>
      </c>
      <c r="BY112" s="1383" t="e">
        <f t="shared" si="12"/>
        <v>#NAME?</v>
      </c>
      <c r="BZ112" s="1383" t="e">
        <f t="shared" si="12"/>
        <v>#NAME?</v>
      </c>
      <c r="CA112" s="1383"/>
      <c r="CB112" s="1383"/>
      <c r="CC112" s="1383" t="e">
        <f t="shared" si="12"/>
        <v>#NAME?</v>
      </c>
      <c r="CD112" s="1383" t="e">
        <f t="shared" si="12"/>
        <v>#NAME?</v>
      </c>
      <c r="CE112" s="1383" t="e">
        <f t="shared" si="12"/>
        <v>#NAME?</v>
      </c>
      <c r="CF112" s="1383" t="e">
        <f t="shared" si="12"/>
        <v>#NAME?</v>
      </c>
      <c r="CG112" s="1383" t="e">
        <f t="shared" si="12"/>
        <v>#NAME?</v>
      </c>
      <c r="CH112" s="1383" t="e">
        <f t="shared" si="12"/>
        <v>#NAME?</v>
      </c>
      <c r="CI112" s="1383" t="e">
        <f t="shared" si="12"/>
        <v>#NAME?</v>
      </c>
      <c r="CJ112" s="1383" t="e">
        <f t="shared" si="12"/>
        <v>#NAME?</v>
      </c>
      <c r="CK112" s="1383" t="e">
        <f t="shared" si="12"/>
        <v>#NAME?</v>
      </c>
      <c r="CL112" s="1383" t="e">
        <f t="shared" si="12"/>
        <v>#NAME?</v>
      </c>
      <c r="CM112" s="1383" t="e">
        <f t="shared" si="12"/>
        <v>#NAME?</v>
      </c>
      <c r="CN112" s="1383" t="e">
        <f t="shared" si="12"/>
        <v>#NAME?</v>
      </c>
      <c r="CO112" s="1383" t="e">
        <f t="shared" si="12"/>
        <v>#NAME?</v>
      </c>
      <c r="CP112" s="1383" t="e">
        <f t="shared" si="12"/>
        <v>#NAME?</v>
      </c>
      <c r="CQ112" s="1383" t="e">
        <f t="shared" si="12"/>
        <v>#NAME?</v>
      </c>
      <c r="CR112" s="1383" t="e">
        <f t="shared" si="12"/>
        <v>#NAME?</v>
      </c>
      <c r="CS112" s="1383"/>
      <c r="CT112" s="1383"/>
      <c r="CU112" s="1383"/>
      <c r="CV112" s="1383"/>
      <c r="CW112" s="1383" t="e">
        <f t="shared" si="12"/>
        <v>#NAME?</v>
      </c>
      <c r="CX112" s="1636"/>
      <c r="CZ112" s="542"/>
      <c r="DA112" s="542"/>
      <c r="DB112" s="542"/>
      <c r="DC112" s="542"/>
      <c r="DD112" s="542"/>
      <c r="DE112" s="542"/>
      <c r="DF112" s="542"/>
      <c r="DG112" s="542"/>
      <c r="DH112" s="542"/>
      <c r="DI112" s="542"/>
      <c r="DJ112" s="542"/>
      <c r="DK112" s="542"/>
      <c r="DL112" s="542"/>
      <c r="DM112" s="542"/>
      <c r="DN112" s="542"/>
      <c r="DO112" s="542"/>
      <c r="DP112" s="542"/>
      <c r="DQ112" s="542"/>
      <c r="DR112" s="542"/>
      <c r="DS112" s="542"/>
      <c r="DT112" s="542"/>
      <c r="DU112" s="542"/>
      <c r="DV112" s="542"/>
      <c r="DW112" s="542"/>
      <c r="DX112" s="542"/>
      <c r="DY112" s="542"/>
      <c r="DZ112" s="542"/>
      <c r="EA112" s="542"/>
      <c r="EB112" s="542"/>
      <c r="EC112" s="542"/>
      <c r="ED112" s="542"/>
      <c r="EE112" s="542"/>
      <c r="EF112" s="542"/>
      <c r="EG112" s="542"/>
      <c r="EH112" s="542"/>
      <c r="EI112" s="542"/>
      <c r="EJ112" s="542"/>
      <c r="EK112" s="542"/>
      <c r="EL112" s="542"/>
      <c r="EM112" s="542"/>
      <c r="EN112" s="542"/>
      <c r="EO112" s="542"/>
      <c r="EP112" s="542"/>
      <c r="EQ112" s="542"/>
      <c r="ER112" s="542"/>
      <c r="ES112" s="542"/>
      <c r="ET112" s="542"/>
      <c r="EU112" s="542"/>
      <c r="EV112" s="542"/>
      <c r="EW112" s="542"/>
      <c r="EX112" s="542"/>
      <c r="EY112" s="542"/>
      <c r="EZ112" s="542"/>
      <c r="FA112" s="542"/>
      <c r="FB112" s="542"/>
      <c r="FC112" s="542"/>
      <c r="FD112" s="542"/>
      <c r="FE112" s="542"/>
      <c r="FF112" s="542"/>
      <c r="FG112" s="542"/>
      <c r="FH112" s="542"/>
      <c r="FI112" s="542"/>
      <c r="FJ112" s="542"/>
      <c r="FK112" s="542"/>
      <c r="FL112" s="542"/>
      <c r="FM112" s="542"/>
      <c r="FN112" s="542"/>
      <c r="FO112" s="542"/>
      <c r="FP112" s="542"/>
      <c r="FQ112" s="542"/>
      <c r="FR112" s="542"/>
      <c r="FS112" s="542"/>
      <c r="FT112" s="542"/>
      <c r="FU112" s="542"/>
      <c r="FV112" s="542"/>
      <c r="FW112" s="542"/>
      <c r="FX112" s="542"/>
      <c r="FY112" s="542"/>
      <c r="FZ112" s="542"/>
      <c r="GA112" s="542"/>
      <c r="GB112" s="542"/>
      <c r="GC112" s="542"/>
      <c r="GD112" s="542"/>
      <c r="GE112" s="542"/>
      <c r="GF112" s="542"/>
      <c r="GG112" s="542"/>
      <c r="GH112" s="542"/>
      <c r="GI112" s="542"/>
      <c r="GJ112" s="542"/>
      <c r="GK112" s="542"/>
      <c r="GL112" s="542"/>
      <c r="GM112" s="542"/>
      <c r="GN112" s="542"/>
      <c r="GO112" s="542"/>
      <c r="GP112" s="542"/>
      <c r="GQ112" s="542"/>
      <c r="GR112" s="542"/>
      <c r="GS112" s="542"/>
      <c r="GT112" s="542"/>
      <c r="GU112" s="542"/>
      <c r="GV112" s="542"/>
      <c r="GW112" s="542"/>
      <c r="GX112" s="542"/>
      <c r="GY112" s="542"/>
      <c r="GZ112" s="542"/>
      <c r="HA112" s="542"/>
      <c r="HB112" s="542"/>
      <c r="HC112" s="542"/>
      <c r="HD112" s="542"/>
      <c r="HE112" s="542"/>
      <c r="HF112" s="542"/>
      <c r="HG112" s="542"/>
      <c r="HH112" s="542"/>
      <c r="HI112" s="542"/>
      <c r="HJ112" s="542"/>
      <c r="HK112" s="542"/>
      <c r="HL112" s="542"/>
      <c r="HM112" s="542"/>
      <c r="HN112" s="542"/>
      <c r="HO112" s="542"/>
      <c r="HP112" s="542"/>
      <c r="HQ112" s="542"/>
      <c r="HR112" s="542"/>
      <c r="HS112" s="542"/>
      <c r="HT112" s="542"/>
      <c r="HU112" s="542"/>
      <c r="HV112" s="542"/>
      <c r="HW112" s="542"/>
      <c r="HX112" s="542"/>
      <c r="HY112" s="542"/>
      <c r="HZ112" s="542"/>
      <c r="IA112" s="542"/>
      <c r="IB112" s="542"/>
      <c r="IC112" s="542"/>
      <c r="ID112" s="542"/>
      <c r="IE112" s="542"/>
      <c r="IF112" s="542"/>
      <c r="IG112" s="542"/>
      <c r="IH112" s="542"/>
      <c r="II112" s="542"/>
      <c r="IJ112" s="542"/>
      <c r="IK112" s="542"/>
      <c r="IL112" s="542"/>
      <c r="IM112" s="542"/>
      <c r="IN112" s="542"/>
      <c r="IO112" s="542"/>
      <c r="IP112" s="542"/>
      <c r="IQ112" s="542"/>
      <c r="IR112" s="542"/>
      <c r="IS112" s="542"/>
      <c r="IT112" s="542"/>
      <c r="IU112" s="542"/>
      <c r="IV112" s="542"/>
      <c r="IW112" s="542"/>
      <c r="IX112" s="542"/>
      <c r="IY112" s="542"/>
      <c r="IZ112" s="542"/>
      <c r="JA112" s="542"/>
      <c r="JB112" s="542"/>
    </row>
    <row r="113" spans="8:262" ht="18.899999999999999" hidden="1" customHeight="1">
      <c r="H113" s="562" t="s">
        <v>1777</v>
      </c>
      <c r="I113" s="1637"/>
      <c r="J113" s="1637"/>
      <c r="K113" s="1637"/>
      <c r="L113" s="1637"/>
      <c r="M113" s="1637"/>
      <c r="N113" s="1637"/>
      <c r="O113" s="1638"/>
      <c r="P113" s="1638"/>
      <c r="Q113" s="1638"/>
      <c r="R113" s="1638"/>
      <c r="S113" s="1638"/>
      <c r="T113" s="1638">
        <v>1</v>
      </c>
      <c r="U113" s="1637"/>
      <c r="V113" s="1638"/>
      <c r="W113" s="1638"/>
      <c r="X113" s="1638"/>
      <c r="Y113" s="1638"/>
      <c r="Z113" s="1638"/>
      <c r="AA113" s="1638">
        <v>1</v>
      </c>
      <c r="AB113" s="1638"/>
      <c r="AC113" s="1638"/>
      <c r="AD113" s="1638"/>
      <c r="AE113" s="1638"/>
      <c r="AF113" s="1638"/>
      <c r="AG113" s="1638"/>
      <c r="AH113" s="1638"/>
      <c r="AI113" s="1638"/>
      <c r="AJ113" s="1638"/>
      <c r="AK113" s="1637"/>
      <c r="AL113" s="1637"/>
      <c r="AM113" s="1637"/>
      <c r="AN113" s="1637"/>
      <c r="AO113" s="1637"/>
      <c r="AP113" s="1637"/>
      <c r="AQ113" s="1637"/>
      <c r="AR113" s="1637"/>
      <c r="AS113" s="1637"/>
      <c r="AT113" s="1637"/>
      <c r="AU113" s="1637"/>
      <c r="AV113" s="1637"/>
      <c r="AW113" s="1638"/>
      <c r="AX113" s="1638"/>
      <c r="AY113" s="1638"/>
      <c r="AZ113" s="1638"/>
      <c r="BA113" s="1638"/>
      <c r="BB113" s="1638"/>
      <c r="BC113" s="1637"/>
      <c r="BD113" s="1637"/>
      <c r="BE113" s="1637"/>
      <c r="BF113" s="1638"/>
      <c r="BG113" s="1638"/>
      <c r="BH113" s="1638"/>
      <c r="BI113" s="1638"/>
      <c r="BJ113" s="1638"/>
      <c r="BK113" s="1638"/>
      <c r="BL113" s="1638"/>
      <c r="BM113" s="1638"/>
      <c r="BN113" s="1638"/>
      <c r="BO113" s="1637">
        <v>1</v>
      </c>
      <c r="BP113" s="1637"/>
      <c r="BQ113" s="1637"/>
      <c r="BR113" s="1637"/>
      <c r="BS113" s="1637"/>
      <c r="BT113" s="1637"/>
      <c r="BU113" s="1637"/>
      <c r="BV113" s="1637"/>
      <c r="BW113" s="1637"/>
      <c r="BX113" s="1637">
        <v>1</v>
      </c>
      <c r="BY113" s="1637"/>
      <c r="BZ113" s="1639"/>
      <c r="CA113" s="1639"/>
      <c r="CB113" s="1639"/>
      <c r="CC113" s="1637"/>
      <c r="CD113" s="1637"/>
      <c r="CE113" s="1637"/>
      <c r="CF113" s="1637"/>
      <c r="CG113" s="1637"/>
      <c r="CH113" s="1637"/>
      <c r="CI113" s="1637"/>
      <c r="CJ113" s="1637"/>
      <c r="CK113" s="1637"/>
      <c r="CL113" s="1637"/>
      <c r="CM113" s="1637"/>
      <c r="CN113" s="1637"/>
      <c r="CO113" s="1637"/>
      <c r="CP113" s="1637"/>
      <c r="CQ113" s="1637"/>
      <c r="CR113" s="1637"/>
      <c r="CS113" s="1637"/>
      <c r="CT113" s="1637"/>
      <c r="CU113" s="1637"/>
      <c r="CV113" s="1637"/>
      <c r="CW113" s="1637"/>
      <c r="CX113" s="1640"/>
      <c r="CZ113" s="542"/>
      <c r="DA113" s="542"/>
      <c r="DB113" s="542"/>
      <c r="DC113" s="542"/>
      <c r="DD113" s="542"/>
      <c r="DE113" s="542"/>
      <c r="DF113" s="542"/>
      <c r="DG113" s="542"/>
      <c r="DH113" s="542"/>
      <c r="DI113" s="542"/>
      <c r="DJ113" s="542"/>
      <c r="DK113" s="542"/>
      <c r="DL113" s="542"/>
      <c r="DM113" s="542"/>
      <c r="DN113" s="542"/>
      <c r="DO113" s="542"/>
      <c r="DP113" s="542"/>
      <c r="DQ113" s="542"/>
      <c r="DR113" s="542"/>
      <c r="DS113" s="542"/>
      <c r="DT113" s="542"/>
      <c r="DU113" s="542"/>
      <c r="DV113" s="542"/>
      <c r="DW113" s="542"/>
      <c r="DX113" s="542"/>
      <c r="DY113" s="542"/>
      <c r="DZ113" s="542"/>
      <c r="EA113" s="542"/>
      <c r="EB113" s="542"/>
      <c r="EC113" s="542"/>
      <c r="ED113" s="542"/>
      <c r="EE113" s="542"/>
      <c r="EF113" s="542"/>
      <c r="EG113" s="542"/>
      <c r="EH113" s="542"/>
      <c r="EI113" s="542"/>
      <c r="EJ113" s="542"/>
      <c r="EK113" s="542"/>
      <c r="EL113" s="542"/>
      <c r="EM113" s="542"/>
      <c r="EN113" s="542"/>
      <c r="EO113" s="542"/>
      <c r="EP113" s="542"/>
      <c r="EQ113" s="542"/>
      <c r="ER113" s="542"/>
      <c r="ES113" s="542"/>
      <c r="ET113" s="542"/>
      <c r="EU113" s="542"/>
      <c r="EV113" s="542"/>
      <c r="EW113" s="542"/>
      <c r="EX113" s="542"/>
      <c r="EY113" s="542"/>
      <c r="EZ113" s="542"/>
      <c r="FA113" s="542"/>
      <c r="FB113" s="542"/>
      <c r="FC113" s="542"/>
      <c r="FD113" s="542"/>
      <c r="FE113" s="542"/>
      <c r="FF113" s="542"/>
      <c r="FG113" s="542"/>
      <c r="FH113" s="542"/>
      <c r="FI113" s="542"/>
      <c r="FJ113" s="542"/>
      <c r="FK113" s="542"/>
      <c r="FL113" s="542"/>
      <c r="FM113" s="542"/>
      <c r="FN113" s="542"/>
      <c r="FO113" s="542"/>
      <c r="FP113" s="542"/>
      <c r="FQ113" s="542"/>
      <c r="FR113" s="542"/>
      <c r="FS113" s="542"/>
      <c r="FT113" s="542"/>
      <c r="FU113" s="542"/>
      <c r="FV113" s="542"/>
      <c r="FW113" s="542"/>
      <c r="FX113" s="542"/>
      <c r="FY113" s="542"/>
      <c r="FZ113" s="542"/>
      <c r="GA113" s="542"/>
      <c r="GB113" s="542"/>
      <c r="GC113" s="542"/>
      <c r="GD113" s="542"/>
      <c r="GE113" s="542"/>
      <c r="GF113" s="542"/>
      <c r="GG113" s="542"/>
      <c r="GH113" s="542"/>
      <c r="GI113" s="542"/>
      <c r="GJ113" s="542"/>
      <c r="GK113" s="542"/>
      <c r="GL113" s="542"/>
      <c r="GM113" s="542"/>
      <c r="GN113" s="542"/>
      <c r="GO113" s="542"/>
      <c r="GP113" s="542"/>
      <c r="GQ113" s="542"/>
      <c r="GR113" s="542"/>
      <c r="GS113" s="542"/>
      <c r="GT113" s="542"/>
      <c r="GU113" s="542"/>
      <c r="GV113" s="542"/>
      <c r="GW113" s="542"/>
      <c r="GX113" s="542"/>
      <c r="GY113" s="542"/>
      <c r="GZ113" s="542"/>
      <c r="HA113" s="542"/>
      <c r="HB113" s="542"/>
      <c r="HC113" s="542"/>
      <c r="HD113" s="542"/>
      <c r="HE113" s="542"/>
      <c r="HF113" s="542"/>
      <c r="HG113" s="542"/>
      <c r="HH113" s="542"/>
      <c r="HI113" s="542"/>
      <c r="HJ113" s="542"/>
      <c r="HK113" s="542"/>
      <c r="HL113" s="542"/>
      <c r="HM113" s="542"/>
      <c r="HN113" s="542"/>
      <c r="HO113" s="542"/>
      <c r="HP113" s="542"/>
      <c r="HQ113" s="542"/>
      <c r="HR113" s="542"/>
      <c r="HS113" s="542"/>
      <c r="HT113" s="542"/>
      <c r="HU113" s="542"/>
      <c r="HV113" s="542"/>
      <c r="HW113" s="542"/>
      <c r="HX113" s="542"/>
      <c r="HY113" s="542"/>
      <c r="HZ113" s="542"/>
      <c r="IA113" s="542"/>
      <c r="IB113" s="542"/>
      <c r="IC113" s="542"/>
      <c r="ID113" s="542"/>
      <c r="IE113" s="542"/>
      <c r="IF113" s="542"/>
      <c r="IG113" s="542"/>
      <c r="IH113" s="542"/>
      <c r="II113" s="542"/>
      <c r="IJ113" s="542"/>
      <c r="IK113" s="542"/>
      <c r="IL113" s="542"/>
      <c r="IM113" s="542"/>
      <c r="IN113" s="542"/>
      <c r="IO113" s="542"/>
      <c r="IP113" s="542"/>
      <c r="IQ113" s="542"/>
      <c r="IR113" s="542"/>
      <c r="IS113" s="542"/>
      <c r="IT113" s="542"/>
      <c r="IU113" s="542"/>
      <c r="IV113" s="542"/>
      <c r="IW113" s="542"/>
      <c r="IX113" s="542"/>
      <c r="IY113" s="542"/>
      <c r="IZ113" s="542"/>
      <c r="JA113" s="542"/>
      <c r="JB113" s="542"/>
    </row>
    <row r="114" spans="8:262" ht="18.899999999999999" hidden="1" customHeight="1">
      <c r="H114" s="563" t="s">
        <v>2200</v>
      </c>
      <c r="I114" s="1641"/>
      <c r="J114" s="1641"/>
      <c r="K114" s="1641"/>
      <c r="L114" s="1641"/>
      <c r="M114" s="1641"/>
      <c r="N114" s="1641"/>
      <c r="O114" s="1642"/>
      <c r="P114" s="1642"/>
      <c r="Q114" s="1642"/>
      <c r="R114" s="1642"/>
      <c r="S114" s="1642"/>
      <c r="T114" s="1642"/>
      <c r="U114" s="1641">
        <v>1</v>
      </c>
      <c r="V114" s="1642">
        <v>1</v>
      </c>
      <c r="W114" s="1642">
        <v>1</v>
      </c>
      <c r="X114" s="1642"/>
      <c r="Y114" s="1642"/>
      <c r="Z114" s="1642"/>
      <c r="AA114" s="1642"/>
      <c r="AB114" s="1642">
        <v>1</v>
      </c>
      <c r="AC114" s="1642"/>
      <c r="AD114" s="1642"/>
      <c r="AE114" s="1642"/>
      <c r="AF114" s="1642"/>
      <c r="AG114" s="1642"/>
      <c r="AH114" s="1642"/>
      <c r="AI114" s="1642"/>
      <c r="AJ114" s="1642"/>
      <c r="AK114" s="1641"/>
      <c r="AL114" s="1641"/>
      <c r="AM114" s="1641"/>
      <c r="AN114" s="1641">
        <v>1</v>
      </c>
      <c r="AO114" s="1641"/>
      <c r="AP114" s="1641"/>
      <c r="AQ114" s="1641"/>
      <c r="AR114" s="1641"/>
      <c r="AS114" s="1641"/>
      <c r="AT114" s="1641"/>
      <c r="AU114" s="1641"/>
      <c r="AV114" s="1641"/>
      <c r="AW114" s="1642"/>
      <c r="AX114" s="1642"/>
      <c r="AY114" s="1642">
        <v>1</v>
      </c>
      <c r="AZ114" s="1642"/>
      <c r="BA114" s="1642">
        <v>1</v>
      </c>
      <c r="BB114" s="1642"/>
      <c r="BC114" s="1641"/>
      <c r="BD114" s="1641"/>
      <c r="BE114" s="1641"/>
      <c r="BF114" s="1642"/>
      <c r="BG114" s="1642"/>
      <c r="BH114" s="1642">
        <v>1</v>
      </c>
      <c r="BI114" s="1642"/>
      <c r="BJ114" s="1642">
        <v>1</v>
      </c>
      <c r="BK114" s="1642"/>
      <c r="BL114" s="1642">
        <v>1</v>
      </c>
      <c r="BM114" s="1642"/>
      <c r="BN114" s="1642"/>
      <c r="BO114" s="1641"/>
      <c r="BP114" s="1641">
        <v>1</v>
      </c>
      <c r="BQ114" s="1641"/>
      <c r="BR114" s="1641"/>
      <c r="BS114" s="1641">
        <v>1</v>
      </c>
      <c r="BT114" s="1641"/>
      <c r="BU114" s="1641"/>
      <c r="BV114" s="1641"/>
      <c r="BW114" s="1641"/>
      <c r="BX114" s="1641">
        <v>1</v>
      </c>
      <c r="BY114" s="1641"/>
      <c r="BZ114" s="1643"/>
      <c r="CA114" s="1643"/>
      <c r="CB114" s="1643"/>
      <c r="CC114" s="1641"/>
      <c r="CD114" s="1641"/>
      <c r="CE114" s="1641"/>
      <c r="CF114" s="1641"/>
      <c r="CG114" s="1641"/>
      <c r="CH114" s="1641"/>
      <c r="CI114" s="1641"/>
      <c r="CJ114" s="1641"/>
      <c r="CK114" s="1641"/>
      <c r="CL114" s="1641"/>
      <c r="CM114" s="1641"/>
      <c r="CN114" s="1641"/>
      <c r="CO114" s="1641"/>
      <c r="CP114" s="1641"/>
      <c r="CQ114" s="1641"/>
      <c r="CR114" s="1641"/>
      <c r="CS114" s="1641"/>
      <c r="CT114" s="1641"/>
      <c r="CU114" s="1641"/>
      <c r="CV114" s="1641"/>
      <c r="CW114" s="1641"/>
      <c r="CX114" s="1644"/>
      <c r="CZ114" s="542"/>
      <c r="DA114" s="542"/>
      <c r="DB114" s="542"/>
      <c r="DC114" s="542"/>
      <c r="DD114" s="542"/>
      <c r="DE114" s="542"/>
      <c r="DF114" s="542"/>
      <c r="DG114" s="542"/>
      <c r="DH114" s="542"/>
      <c r="DI114" s="542"/>
      <c r="DJ114" s="542"/>
      <c r="DK114" s="542"/>
      <c r="DL114" s="542"/>
      <c r="DM114" s="542"/>
      <c r="DN114" s="542"/>
      <c r="DO114" s="542"/>
      <c r="DP114" s="542"/>
      <c r="DQ114" s="542"/>
      <c r="DR114" s="542"/>
      <c r="DS114" s="542"/>
      <c r="DT114" s="542"/>
      <c r="DU114" s="542"/>
      <c r="DV114" s="542"/>
      <c r="DW114" s="542"/>
      <c r="DX114" s="542"/>
      <c r="DY114" s="542"/>
      <c r="DZ114" s="542"/>
      <c r="EA114" s="542"/>
      <c r="EB114" s="542"/>
      <c r="EC114" s="542"/>
      <c r="ED114" s="542"/>
      <c r="EE114" s="542"/>
      <c r="EF114" s="542"/>
      <c r="EG114" s="542"/>
      <c r="EH114" s="542"/>
      <c r="EI114" s="542"/>
      <c r="EJ114" s="542"/>
      <c r="EK114" s="542"/>
      <c r="EL114" s="542"/>
      <c r="EM114" s="542"/>
      <c r="EN114" s="542"/>
      <c r="EO114" s="542"/>
      <c r="EP114" s="542"/>
      <c r="EQ114" s="542"/>
      <c r="ER114" s="542"/>
      <c r="ES114" s="542"/>
      <c r="ET114" s="542"/>
      <c r="EU114" s="542"/>
      <c r="EV114" s="542"/>
      <c r="EW114" s="542"/>
      <c r="EX114" s="542"/>
      <c r="EY114" s="542"/>
      <c r="EZ114" s="542"/>
      <c r="FA114" s="542"/>
      <c r="FB114" s="542"/>
      <c r="FC114" s="542"/>
      <c r="FD114" s="542"/>
      <c r="FE114" s="542"/>
      <c r="FF114" s="542"/>
      <c r="FG114" s="542"/>
      <c r="FH114" s="542"/>
      <c r="FI114" s="542"/>
      <c r="FJ114" s="542"/>
      <c r="FK114" s="542"/>
      <c r="FL114" s="542"/>
      <c r="FM114" s="542"/>
      <c r="FN114" s="542"/>
      <c r="FO114" s="542"/>
      <c r="FP114" s="542"/>
      <c r="FQ114" s="542"/>
      <c r="FR114" s="542"/>
      <c r="FS114" s="542"/>
      <c r="FT114" s="542"/>
      <c r="FU114" s="542"/>
      <c r="FV114" s="542"/>
      <c r="FW114" s="542"/>
      <c r="FX114" s="542"/>
      <c r="FY114" s="542"/>
      <c r="FZ114" s="542"/>
      <c r="GA114" s="542"/>
      <c r="GB114" s="542"/>
      <c r="GC114" s="542"/>
      <c r="GD114" s="542"/>
      <c r="GE114" s="542"/>
      <c r="GF114" s="542"/>
      <c r="GG114" s="542"/>
      <c r="GH114" s="542"/>
      <c r="GI114" s="542"/>
      <c r="GJ114" s="542"/>
      <c r="GK114" s="542"/>
      <c r="GL114" s="542"/>
      <c r="GM114" s="542"/>
      <c r="GN114" s="542"/>
      <c r="GO114" s="542"/>
      <c r="GP114" s="542"/>
      <c r="GQ114" s="542"/>
      <c r="GR114" s="542"/>
      <c r="GS114" s="542"/>
      <c r="GT114" s="542"/>
      <c r="GU114" s="542"/>
      <c r="GV114" s="542"/>
      <c r="GW114" s="542"/>
      <c r="GX114" s="542"/>
      <c r="GY114" s="542"/>
      <c r="GZ114" s="542"/>
      <c r="HA114" s="542"/>
      <c r="HB114" s="542"/>
      <c r="HC114" s="542"/>
      <c r="HD114" s="542"/>
      <c r="HE114" s="542"/>
      <c r="HF114" s="542"/>
      <c r="HG114" s="542"/>
      <c r="HH114" s="542"/>
      <c r="HI114" s="542"/>
      <c r="HJ114" s="542"/>
      <c r="HK114" s="542"/>
      <c r="HL114" s="542"/>
      <c r="HM114" s="542"/>
      <c r="HN114" s="542"/>
      <c r="HO114" s="542"/>
      <c r="HP114" s="542"/>
      <c r="HQ114" s="542"/>
      <c r="HR114" s="542"/>
      <c r="HS114" s="542"/>
      <c r="HT114" s="542"/>
      <c r="HU114" s="542"/>
      <c r="HV114" s="542"/>
      <c r="HW114" s="542"/>
      <c r="HX114" s="542"/>
      <c r="HY114" s="542"/>
      <c r="HZ114" s="542"/>
      <c r="IA114" s="542"/>
      <c r="IB114" s="542"/>
      <c r="IC114" s="542"/>
      <c r="ID114" s="542"/>
      <c r="IE114" s="542"/>
      <c r="IF114" s="542"/>
      <c r="IG114" s="542"/>
      <c r="IH114" s="542"/>
      <c r="II114" s="542"/>
      <c r="IJ114" s="542"/>
      <c r="IK114" s="542"/>
      <c r="IL114" s="542"/>
      <c r="IM114" s="542"/>
      <c r="IN114" s="542"/>
      <c r="IO114" s="542"/>
      <c r="IP114" s="542"/>
      <c r="IQ114" s="542"/>
      <c r="IR114" s="542"/>
      <c r="IS114" s="542"/>
      <c r="IT114" s="542"/>
      <c r="IU114" s="542"/>
      <c r="IV114" s="542"/>
      <c r="IW114" s="542"/>
      <c r="IX114" s="542"/>
      <c r="IY114" s="542"/>
      <c r="IZ114" s="542"/>
      <c r="JA114" s="542"/>
      <c r="JB114" s="542"/>
    </row>
    <row r="115" spans="8:262" ht="18.899999999999999" hidden="1" customHeight="1">
      <c r="H115" s="562" t="s">
        <v>1873</v>
      </c>
      <c r="I115" s="1641"/>
      <c r="J115" s="1641"/>
      <c r="K115" s="1641"/>
      <c r="L115" s="1641"/>
      <c r="M115" s="1641"/>
      <c r="N115" s="1641"/>
      <c r="O115" s="1642"/>
      <c r="P115" s="1642"/>
      <c r="Q115" s="1642"/>
      <c r="R115" s="1642"/>
      <c r="S115" s="1642"/>
      <c r="T115" s="1642"/>
      <c r="U115" s="1641"/>
      <c r="V115" s="1642"/>
      <c r="W115" s="1642"/>
      <c r="X115" s="1642"/>
      <c r="Y115" s="1642"/>
      <c r="Z115" s="1642"/>
      <c r="AA115" s="1642"/>
      <c r="AB115" s="1642"/>
      <c r="AC115" s="1642"/>
      <c r="AD115" s="1642"/>
      <c r="AE115" s="1642"/>
      <c r="AF115" s="1642"/>
      <c r="AG115" s="1642"/>
      <c r="AH115" s="1642"/>
      <c r="AI115" s="1642"/>
      <c r="AJ115" s="1642"/>
      <c r="AK115" s="1641"/>
      <c r="AL115" s="1641"/>
      <c r="AM115" s="1641"/>
      <c r="AN115" s="1641"/>
      <c r="AO115" s="1641"/>
      <c r="AP115" s="1641"/>
      <c r="AQ115" s="1641"/>
      <c r="AR115" s="1641"/>
      <c r="AS115" s="1641"/>
      <c r="AT115" s="1641"/>
      <c r="AU115" s="1641"/>
      <c r="AV115" s="1641"/>
      <c r="AW115" s="1642"/>
      <c r="AX115" s="1642"/>
      <c r="AY115" s="1642"/>
      <c r="AZ115" s="1642"/>
      <c r="BA115" s="1642"/>
      <c r="BB115" s="1642"/>
      <c r="BC115" s="1641"/>
      <c r="BD115" s="1641"/>
      <c r="BE115" s="1641"/>
      <c r="BF115" s="1642"/>
      <c r="BG115" s="1642"/>
      <c r="BH115" s="1642"/>
      <c r="BI115" s="1642"/>
      <c r="BJ115" s="1642"/>
      <c r="BK115" s="1642"/>
      <c r="BL115" s="1642"/>
      <c r="BM115" s="1642"/>
      <c r="BN115" s="1642"/>
      <c r="BO115" s="1641"/>
      <c r="BP115" s="1641"/>
      <c r="BQ115" s="1641"/>
      <c r="BR115" s="1641"/>
      <c r="BS115" s="1641"/>
      <c r="BT115" s="1641"/>
      <c r="BU115" s="1641"/>
      <c r="BV115" s="1641"/>
      <c r="BW115" s="1641"/>
      <c r="BX115" s="1641"/>
      <c r="BY115" s="1641"/>
      <c r="BZ115" s="1643"/>
      <c r="CA115" s="1643"/>
      <c r="CB115" s="1643"/>
      <c r="CC115" s="1641"/>
      <c r="CD115" s="1641"/>
      <c r="CE115" s="1641"/>
      <c r="CF115" s="1641"/>
      <c r="CG115" s="1641"/>
      <c r="CH115" s="1641"/>
      <c r="CI115" s="1641"/>
      <c r="CJ115" s="1641"/>
      <c r="CK115" s="1641"/>
      <c r="CL115" s="1641"/>
      <c r="CM115" s="1641"/>
      <c r="CN115" s="1641"/>
      <c r="CO115" s="1641"/>
      <c r="CP115" s="1641"/>
      <c r="CQ115" s="1641"/>
      <c r="CR115" s="1641"/>
      <c r="CS115" s="1641"/>
      <c r="CT115" s="1641"/>
      <c r="CU115" s="1641"/>
      <c r="CV115" s="1641"/>
      <c r="CW115" s="1641"/>
      <c r="CX115" s="1644"/>
      <c r="CZ115" s="542"/>
      <c r="DA115" s="542"/>
      <c r="DB115" s="542"/>
      <c r="DC115" s="542"/>
      <c r="DD115" s="542"/>
      <c r="DE115" s="542"/>
      <c r="DF115" s="542"/>
      <c r="DG115" s="542"/>
      <c r="DH115" s="542"/>
      <c r="DI115" s="542"/>
      <c r="DJ115" s="542"/>
      <c r="DK115" s="542"/>
      <c r="DL115" s="542"/>
      <c r="DM115" s="542"/>
      <c r="DN115" s="542"/>
      <c r="DO115" s="542"/>
      <c r="DP115" s="542"/>
      <c r="DQ115" s="542"/>
      <c r="DR115" s="542"/>
      <c r="DS115" s="542"/>
      <c r="DT115" s="542"/>
      <c r="DU115" s="542"/>
      <c r="DV115" s="542"/>
      <c r="DW115" s="542"/>
      <c r="DX115" s="542"/>
      <c r="DY115" s="542"/>
      <c r="DZ115" s="542"/>
      <c r="EA115" s="542"/>
      <c r="EB115" s="542"/>
      <c r="EC115" s="542"/>
      <c r="ED115" s="542"/>
      <c r="EE115" s="542"/>
      <c r="EF115" s="542"/>
      <c r="EG115" s="542"/>
      <c r="EH115" s="542"/>
      <c r="EI115" s="542"/>
      <c r="EJ115" s="542"/>
      <c r="EK115" s="542"/>
      <c r="EL115" s="542"/>
      <c r="EM115" s="542"/>
      <c r="EN115" s="542"/>
      <c r="EO115" s="542"/>
      <c r="EP115" s="542"/>
      <c r="EQ115" s="542"/>
      <c r="ER115" s="542"/>
      <c r="ES115" s="542"/>
      <c r="ET115" s="542"/>
      <c r="EU115" s="542"/>
      <c r="EV115" s="542"/>
      <c r="EW115" s="542"/>
      <c r="EX115" s="542"/>
      <c r="EY115" s="542"/>
      <c r="EZ115" s="542"/>
      <c r="FA115" s="542"/>
      <c r="FB115" s="542"/>
      <c r="FC115" s="542"/>
      <c r="FD115" s="542"/>
      <c r="FE115" s="542"/>
      <c r="FF115" s="542"/>
      <c r="FG115" s="542"/>
      <c r="FH115" s="542"/>
      <c r="FI115" s="542"/>
      <c r="FJ115" s="542"/>
      <c r="FK115" s="542"/>
      <c r="FL115" s="542"/>
      <c r="FM115" s="542"/>
      <c r="FN115" s="542"/>
      <c r="FO115" s="542"/>
      <c r="FP115" s="542"/>
      <c r="FQ115" s="542"/>
      <c r="FR115" s="542"/>
      <c r="FS115" s="542"/>
      <c r="FT115" s="542"/>
      <c r="FU115" s="542"/>
      <c r="FV115" s="542"/>
      <c r="FW115" s="542"/>
      <c r="FX115" s="542"/>
      <c r="FY115" s="542"/>
      <c r="FZ115" s="542"/>
      <c r="GA115" s="542"/>
      <c r="GB115" s="542"/>
      <c r="GC115" s="542"/>
      <c r="GD115" s="542"/>
      <c r="GE115" s="542"/>
      <c r="GF115" s="542"/>
      <c r="GG115" s="542"/>
      <c r="GH115" s="542"/>
      <c r="GI115" s="542"/>
      <c r="GJ115" s="542"/>
      <c r="GK115" s="542"/>
      <c r="GL115" s="542"/>
      <c r="GM115" s="542"/>
      <c r="GN115" s="542"/>
      <c r="GO115" s="542"/>
      <c r="GP115" s="542"/>
      <c r="GQ115" s="542"/>
      <c r="GR115" s="542"/>
      <c r="GS115" s="542"/>
      <c r="GT115" s="542"/>
      <c r="GU115" s="542"/>
      <c r="GV115" s="542"/>
      <c r="GW115" s="542"/>
      <c r="GX115" s="542"/>
      <c r="GY115" s="542"/>
      <c r="GZ115" s="542"/>
      <c r="HA115" s="542"/>
      <c r="HB115" s="542"/>
      <c r="HC115" s="542"/>
      <c r="HD115" s="542"/>
      <c r="HE115" s="542"/>
      <c r="HF115" s="542"/>
      <c r="HG115" s="542"/>
      <c r="HH115" s="542"/>
      <c r="HI115" s="542"/>
      <c r="HJ115" s="542"/>
      <c r="HK115" s="542"/>
      <c r="HL115" s="542"/>
      <c r="HM115" s="542"/>
      <c r="HN115" s="542"/>
      <c r="HO115" s="542"/>
      <c r="HP115" s="542"/>
      <c r="HQ115" s="542"/>
      <c r="HR115" s="542"/>
      <c r="HS115" s="542"/>
      <c r="HT115" s="542"/>
      <c r="HU115" s="542"/>
      <c r="HV115" s="542"/>
      <c r="HW115" s="542"/>
      <c r="HX115" s="542"/>
      <c r="HY115" s="542"/>
      <c r="HZ115" s="542"/>
      <c r="IA115" s="542"/>
      <c r="IB115" s="542"/>
      <c r="IC115" s="542"/>
      <c r="ID115" s="542"/>
      <c r="IE115" s="542"/>
      <c r="IF115" s="542"/>
      <c r="IG115" s="542"/>
      <c r="IH115" s="542"/>
      <c r="II115" s="542"/>
      <c r="IJ115" s="542"/>
      <c r="IK115" s="542"/>
      <c r="IL115" s="542"/>
      <c r="IM115" s="542"/>
      <c r="IN115" s="542"/>
      <c r="IO115" s="542"/>
      <c r="IP115" s="542"/>
      <c r="IQ115" s="542"/>
      <c r="IR115" s="542"/>
      <c r="IS115" s="542"/>
      <c r="IT115" s="542"/>
      <c r="IU115" s="542"/>
      <c r="IV115" s="542"/>
      <c r="IW115" s="542"/>
      <c r="IX115" s="542"/>
      <c r="IY115" s="542"/>
      <c r="IZ115" s="542"/>
      <c r="JA115" s="542"/>
      <c r="JB115" s="542"/>
    </row>
    <row r="116" spans="8:262" ht="18.899999999999999" hidden="1" customHeight="1">
      <c r="H116" s="562" t="s">
        <v>1874</v>
      </c>
      <c r="I116" s="1641"/>
      <c r="J116" s="1641"/>
      <c r="K116" s="1641"/>
      <c r="L116" s="1641"/>
      <c r="M116" s="1641"/>
      <c r="N116" s="1641"/>
      <c r="O116" s="1642"/>
      <c r="P116" s="1642"/>
      <c r="Q116" s="1642"/>
      <c r="R116" s="1642"/>
      <c r="S116" s="1642"/>
      <c r="T116" s="1642"/>
      <c r="U116" s="1641"/>
      <c r="V116" s="1642"/>
      <c r="W116" s="1642"/>
      <c r="X116" s="1642"/>
      <c r="Y116" s="1642"/>
      <c r="Z116" s="1642"/>
      <c r="AA116" s="1642"/>
      <c r="AB116" s="1642"/>
      <c r="AC116" s="1642"/>
      <c r="AD116" s="1642"/>
      <c r="AE116" s="1642"/>
      <c r="AF116" s="1642"/>
      <c r="AG116" s="1642"/>
      <c r="AH116" s="1642"/>
      <c r="AI116" s="1642"/>
      <c r="AJ116" s="1642"/>
      <c r="AK116" s="1641"/>
      <c r="AL116" s="1641"/>
      <c r="AM116" s="1641"/>
      <c r="AN116" s="1641"/>
      <c r="AO116" s="1641"/>
      <c r="AP116" s="1641"/>
      <c r="AQ116" s="1641"/>
      <c r="AR116" s="1641"/>
      <c r="AS116" s="1641"/>
      <c r="AT116" s="1641"/>
      <c r="AU116" s="1641"/>
      <c r="AV116" s="1641"/>
      <c r="AW116" s="1642"/>
      <c r="AX116" s="1642"/>
      <c r="AY116" s="1642"/>
      <c r="AZ116" s="1642"/>
      <c r="BA116" s="1642"/>
      <c r="BB116" s="1642"/>
      <c r="BC116" s="1641"/>
      <c r="BD116" s="1641"/>
      <c r="BE116" s="1641"/>
      <c r="BF116" s="1642"/>
      <c r="BG116" s="1642"/>
      <c r="BH116" s="1642"/>
      <c r="BI116" s="1642"/>
      <c r="BJ116" s="1642"/>
      <c r="BK116" s="1642"/>
      <c r="BL116" s="1642"/>
      <c r="BM116" s="1642"/>
      <c r="BN116" s="1642"/>
      <c r="BO116" s="1641"/>
      <c r="BP116" s="1641"/>
      <c r="BQ116" s="1641"/>
      <c r="BR116" s="1641"/>
      <c r="BS116" s="1641"/>
      <c r="BT116" s="1641"/>
      <c r="BU116" s="1641"/>
      <c r="BV116" s="1641"/>
      <c r="BW116" s="1641"/>
      <c r="BX116" s="1641"/>
      <c r="BY116" s="1641"/>
      <c r="BZ116" s="1643"/>
      <c r="CA116" s="1643"/>
      <c r="CB116" s="1643"/>
      <c r="CC116" s="1641"/>
      <c r="CD116" s="1641"/>
      <c r="CE116" s="1641"/>
      <c r="CF116" s="1641"/>
      <c r="CG116" s="1641"/>
      <c r="CH116" s="1641"/>
      <c r="CI116" s="1641"/>
      <c r="CJ116" s="1641"/>
      <c r="CK116" s="1641"/>
      <c r="CL116" s="1641"/>
      <c r="CM116" s="1641"/>
      <c r="CN116" s="1641"/>
      <c r="CO116" s="1641"/>
      <c r="CP116" s="1641"/>
      <c r="CQ116" s="1641"/>
      <c r="CR116" s="1641"/>
      <c r="CS116" s="1641"/>
      <c r="CT116" s="1641"/>
      <c r="CU116" s="1641"/>
      <c r="CV116" s="1641"/>
      <c r="CW116" s="1641"/>
      <c r="CX116" s="1644"/>
      <c r="CZ116" s="542"/>
      <c r="DA116" s="542"/>
      <c r="DB116" s="542"/>
      <c r="DC116" s="542"/>
      <c r="DD116" s="542"/>
      <c r="DE116" s="542"/>
      <c r="DF116" s="542"/>
      <c r="DG116" s="542"/>
      <c r="DH116" s="542"/>
      <c r="DI116" s="542"/>
      <c r="DJ116" s="542"/>
      <c r="DK116" s="542"/>
      <c r="DL116" s="542"/>
      <c r="DM116" s="542"/>
      <c r="DN116" s="542"/>
      <c r="DO116" s="542"/>
      <c r="DP116" s="542"/>
      <c r="DQ116" s="542"/>
      <c r="DR116" s="542"/>
      <c r="DS116" s="542"/>
      <c r="DT116" s="542"/>
      <c r="DU116" s="542"/>
      <c r="DV116" s="542"/>
      <c r="DW116" s="542"/>
      <c r="DX116" s="542"/>
      <c r="DY116" s="542"/>
      <c r="DZ116" s="542"/>
      <c r="EA116" s="542"/>
      <c r="EB116" s="542"/>
      <c r="EC116" s="542"/>
      <c r="ED116" s="542"/>
      <c r="EE116" s="542"/>
      <c r="EF116" s="542"/>
      <c r="EG116" s="542"/>
      <c r="EH116" s="542"/>
      <c r="EI116" s="542"/>
      <c r="EJ116" s="542"/>
      <c r="EK116" s="542"/>
      <c r="EL116" s="542"/>
      <c r="EM116" s="542"/>
      <c r="EN116" s="542"/>
      <c r="EO116" s="542"/>
      <c r="EP116" s="542"/>
      <c r="EQ116" s="542"/>
      <c r="ER116" s="542"/>
      <c r="ES116" s="542"/>
      <c r="ET116" s="542"/>
      <c r="EU116" s="542"/>
      <c r="EV116" s="542"/>
      <c r="EW116" s="542"/>
      <c r="EX116" s="542"/>
      <c r="EY116" s="542"/>
      <c r="EZ116" s="542"/>
      <c r="FA116" s="542"/>
      <c r="FB116" s="542"/>
      <c r="FC116" s="542"/>
      <c r="FD116" s="542"/>
      <c r="FE116" s="542"/>
      <c r="FF116" s="542"/>
      <c r="FG116" s="542"/>
      <c r="FH116" s="542"/>
      <c r="FI116" s="542"/>
      <c r="FJ116" s="542"/>
      <c r="FK116" s="542"/>
      <c r="FL116" s="542"/>
      <c r="FM116" s="542"/>
      <c r="FN116" s="542"/>
      <c r="FO116" s="542"/>
      <c r="FP116" s="542"/>
      <c r="FQ116" s="542"/>
      <c r="FR116" s="542"/>
      <c r="FS116" s="542"/>
      <c r="FT116" s="542"/>
      <c r="FU116" s="542"/>
      <c r="FV116" s="542"/>
      <c r="FW116" s="542"/>
      <c r="FX116" s="542"/>
      <c r="FY116" s="542"/>
      <c r="FZ116" s="542"/>
      <c r="GA116" s="542"/>
      <c r="GB116" s="542"/>
      <c r="GC116" s="542"/>
      <c r="GD116" s="542"/>
      <c r="GE116" s="542"/>
      <c r="GF116" s="542"/>
      <c r="GG116" s="542"/>
      <c r="GH116" s="542"/>
      <c r="GI116" s="542"/>
      <c r="GJ116" s="542"/>
      <c r="GK116" s="542"/>
      <c r="GL116" s="542"/>
      <c r="GM116" s="542"/>
      <c r="GN116" s="542"/>
      <c r="GO116" s="542"/>
      <c r="GP116" s="542"/>
      <c r="GQ116" s="542"/>
      <c r="GR116" s="542"/>
      <c r="GS116" s="542"/>
      <c r="GT116" s="542"/>
      <c r="GU116" s="542"/>
      <c r="GV116" s="542"/>
      <c r="GW116" s="542"/>
      <c r="GX116" s="542"/>
      <c r="GY116" s="542"/>
      <c r="GZ116" s="542"/>
      <c r="HA116" s="542"/>
      <c r="HB116" s="542"/>
      <c r="HC116" s="542"/>
      <c r="HD116" s="542"/>
      <c r="HE116" s="542"/>
      <c r="HF116" s="542"/>
      <c r="HG116" s="542"/>
      <c r="HH116" s="542"/>
      <c r="HI116" s="542"/>
      <c r="HJ116" s="542"/>
      <c r="HK116" s="542"/>
      <c r="HL116" s="542"/>
      <c r="HM116" s="542"/>
      <c r="HN116" s="542"/>
      <c r="HO116" s="542"/>
      <c r="HP116" s="542"/>
      <c r="HQ116" s="542"/>
      <c r="HR116" s="542"/>
      <c r="HS116" s="542"/>
      <c r="HT116" s="542"/>
      <c r="HU116" s="542"/>
      <c r="HV116" s="542"/>
      <c r="HW116" s="542"/>
      <c r="HX116" s="542"/>
      <c r="HY116" s="542"/>
      <c r="HZ116" s="542"/>
      <c r="IA116" s="542"/>
      <c r="IB116" s="542"/>
      <c r="IC116" s="542"/>
      <c r="ID116" s="542"/>
      <c r="IE116" s="542"/>
      <c r="IF116" s="542"/>
      <c r="IG116" s="542"/>
      <c r="IH116" s="542"/>
      <c r="II116" s="542"/>
      <c r="IJ116" s="542"/>
      <c r="IK116" s="542"/>
      <c r="IL116" s="542"/>
      <c r="IM116" s="542"/>
      <c r="IN116" s="542"/>
      <c r="IO116" s="542"/>
      <c r="IP116" s="542"/>
      <c r="IQ116" s="542"/>
      <c r="IR116" s="542"/>
      <c r="IS116" s="542"/>
      <c r="IT116" s="542"/>
      <c r="IU116" s="542"/>
      <c r="IV116" s="542"/>
      <c r="IW116" s="542"/>
      <c r="IX116" s="542"/>
      <c r="IY116" s="542"/>
      <c r="IZ116" s="542"/>
      <c r="JA116" s="542"/>
      <c r="JB116" s="542"/>
    </row>
    <row r="117" spans="8:262" ht="18.899999999999999" hidden="1" customHeight="1">
      <c r="H117" s="562" t="s">
        <v>1875</v>
      </c>
      <c r="I117" s="1641"/>
      <c r="J117" s="1641"/>
      <c r="K117" s="1641"/>
      <c r="L117" s="1641"/>
      <c r="M117" s="1641"/>
      <c r="N117" s="1641"/>
      <c r="O117" s="1642"/>
      <c r="P117" s="1642"/>
      <c r="Q117" s="1642"/>
      <c r="R117" s="1642"/>
      <c r="S117" s="1642"/>
      <c r="T117" s="1642"/>
      <c r="U117" s="1641"/>
      <c r="V117" s="1642"/>
      <c r="W117" s="1642"/>
      <c r="X117" s="1642"/>
      <c r="Y117" s="1642"/>
      <c r="Z117" s="1642"/>
      <c r="AA117" s="1642"/>
      <c r="AB117" s="1642"/>
      <c r="AC117" s="1642"/>
      <c r="AD117" s="1642"/>
      <c r="AE117" s="1642"/>
      <c r="AF117" s="1642"/>
      <c r="AG117" s="1642"/>
      <c r="AH117" s="1642"/>
      <c r="AI117" s="1642"/>
      <c r="AJ117" s="1642"/>
      <c r="AK117" s="1641"/>
      <c r="AL117" s="1641"/>
      <c r="AM117" s="1641"/>
      <c r="AN117" s="1641"/>
      <c r="AO117" s="1641"/>
      <c r="AP117" s="1641"/>
      <c r="AQ117" s="1641"/>
      <c r="AR117" s="1641"/>
      <c r="AS117" s="1641"/>
      <c r="AT117" s="1641"/>
      <c r="AU117" s="1641"/>
      <c r="AV117" s="1641"/>
      <c r="AW117" s="1642"/>
      <c r="AX117" s="1642"/>
      <c r="AY117" s="1642"/>
      <c r="AZ117" s="1642"/>
      <c r="BA117" s="1642"/>
      <c r="BB117" s="1642"/>
      <c r="BC117" s="1641"/>
      <c r="BD117" s="1641"/>
      <c r="BE117" s="1641"/>
      <c r="BF117" s="1642"/>
      <c r="BG117" s="1642"/>
      <c r="BH117" s="1642"/>
      <c r="BI117" s="1642"/>
      <c r="BJ117" s="1642"/>
      <c r="BK117" s="1642"/>
      <c r="BL117" s="1642"/>
      <c r="BM117" s="1642"/>
      <c r="BN117" s="1642"/>
      <c r="BO117" s="1641"/>
      <c r="BP117" s="1641"/>
      <c r="BQ117" s="1641"/>
      <c r="BR117" s="1641"/>
      <c r="BS117" s="1641"/>
      <c r="BT117" s="1641"/>
      <c r="BU117" s="1641"/>
      <c r="BV117" s="1641"/>
      <c r="BW117" s="1641"/>
      <c r="BX117" s="1641"/>
      <c r="BY117" s="1641"/>
      <c r="BZ117" s="1643"/>
      <c r="CA117" s="1643"/>
      <c r="CB117" s="1643"/>
      <c r="CC117" s="1641"/>
      <c r="CD117" s="1641"/>
      <c r="CE117" s="1641"/>
      <c r="CF117" s="1641"/>
      <c r="CG117" s="1641"/>
      <c r="CH117" s="1641"/>
      <c r="CI117" s="1641"/>
      <c r="CJ117" s="1641"/>
      <c r="CK117" s="1641"/>
      <c r="CL117" s="1641"/>
      <c r="CM117" s="1641"/>
      <c r="CN117" s="1641"/>
      <c r="CO117" s="1641"/>
      <c r="CP117" s="1641"/>
      <c r="CQ117" s="1641"/>
      <c r="CR117" s="1641"/>
      <c r="CS117" s="1641"/>
      <c r="CT117" s="1641"/>
      <c r="CU117" s="1641"/>
      <c r="CV117" s="1641"/>
      <c r="CW117" s="1641"/>
      <c r="CX117" s="1644"/>
      <c r="CZ117" s="542"/>
      <c r="DA117" s="542"/>
      <c r="DB117" s="542"/>
      <c r="DC117" s="542"/>
      <c r="DD117" s="542"/>
      <c r="DE117" s="542"/>
      <c r="DF117" s="542"/>
      <c r="DG117" s="542"/>
      <c r="DH117" s="542"/>
      <c r="DI117" s="542"/>
      <c r="DJ117" s="542"/>
      <c r="DK117" s="542"/>
      <c r="DL117" s="542"/>
      <c r="DM117" s="542"/>
      <c r="DN117" s="542"/>
      <c r="DO117" s="542"/>
      <c r="DP117" s="542"/>
      <c r="DQ117" s="542"/>
      <c r="DR117" s="542"/>
      <c r="DS117" s="542"/>
      <c r="DT117" s="542"/>
      <c r="DU117" s="542"/>
      <c r="DV117" s="542"/>
      <c r="DW117" s="542"/>
      <c r="DX117" s="542"/>
      <c r="DY117" s="542"/>
      <c r="DZ117" s="542"/>
      <c r="EA117" s="542"/>
      <c r="EB117" s="542"/>
      <c r="EC117" s="542"/>
      <c r="ED117" s="542"/>
      <c r="EE117" s="542"/>
      <c r="EF117" s="542"/>
      <c r="EG117" s="542"/>
      <c r="EH117" s="542"/>
      <c r="EI117" s="542"/>
      <c r="EJ117" s="542"/>
      <c r="EK117" s="542"/>
      <c r="EL117" s="542"/>
      <c r="EM117" s="542"/>
      <c r="EN117" s="542"/>
      <c r="EO117" s="542"/>
      <c r="EP117" s="542"/>
      <c r="EQ117" s="542"/>
      <c r="ER117" s="542"/>
      <c r="ES117" s="542"/>
      <c r="ET117" s="542"/>
      <c r="EU117" s="542"/>
      <c r="EV117" s="542"/>
      <c r="EW117" s="542"/>
      <c r="EX117" s="542"/>
      <c r="EY117" s="542"/>
      <c r="EZ117" s="542"/>
      <c r="FA117" s="542"/>
      <c r="FB117" s="542"/>
      <c r="FC117" s="542"/>
      <c r="FD117" s="542"/>
      <c r="FE117" s="542"/>
      <c r="FF117" s="542"/>
      <c r="FG117" s="542"/>
      <c r="FH117" s="542"/>
      <c r="FI117" s="542"/>
      <c r="FJ117" s="542"/>
      <c r="FK117" s="542"/>
      <c r="FL117" s="542"/>
      <c r="FM117" s="542"/>
      <c r="FN117" s="542"/>
      <c r="FO117" s="542"/>
      <c r="FP117" s="542"/>
      <c r="FQ117" s="542"/>
      <c r="FR117" s="542"/>
      <c r="FS117" s="542"/>
      <c r="FT117" s="542"/>
      <c r="FU117" s="542"/>
      <c r="FV117" s="542"/>
      <c r="FW117" s="542"/>
      <c r="FX117" s="542"/>
      <c r="FY117" s="542"/>
      <c r="FZ117" s="542"/>
      <c r="GA117" s="542"/>
      <c r="GB117" s="542"/>
      <c r="GC117" s="542"/>
      <c r="GD117" s="542"/>
      <c r="GE117" s="542"/>
      <c r="GF117" s="542"/>
      <c r="GG117" s="542"/>
      <c r="GH117" s="542"/>
      <c r="GI117" s="542"/>
      <c r="GJ117" s="542"/>
      <c r="GK117" s="542"/>
      <c r="GL117" s="542"/>
      <c r="GM117" s="542"/>
      <c r="GN117" s="542"/>
      <c r="GO117" s="542"/>
      <c r="GP117" s="542"/>
      <c r="GQ117" s="542"/>
      <c r="GR117" s="542"/>
      <c r="GS117" s="542"/>
      <c r="GT117" s="542"/>
      <c r="GU117" s="542"/>
      <c r="GV117" s="542"/>
      <c r="GW117" s="542"/>
      <c r="GX117" s="542"/>
      <c r="GY117" s="542"/>
      <c r="GZ117" s="542"/>
      <c r="HA117" s="542"/>
      <c r="HB117" s="542"/>
      <c r="HC117" s="542"/>
      <c r="HD117" s="542"/>
      <c r="HE117" s="542"/>
      <c r="HF117" s="542"/>
      <c r="HG117" s="542"/>
      <c r="HH117" s="542"/>
      <c r="HI117" s="542"/>
      <c r="HJ117" s="542"/>
      <c r="HK117" s="542"/>
      <c r="HL117" s="542"/>
      <c r="HM117" s="542"/>
      <c r="HN117" s="542"/>
      <c r="HO117" s="542"/>
      <c r="HP117" s="542"/>
      <c r="HQ117" s="542"/>
      <c r="HR117" s="542"/>
      <c r="HS117" s="542"/>
      <c r="HT117" s="542"/>
      <c r="HU117" s="542"/>
      <c r="HV117" s="542"/>
      <c r="HW117" s="542"/>
      <c r="HX117" s="542"/>
      <c r="HY117" s="542"/>
      <c r="HZ117" s="542"/>
      <c r="IA117" s="542"/>
      <c r="IB117" s="542"/>
      <c r="IC117" s="542"/>
      <c r="ID117" s="542"/>
      <c r="IE117" s="542"/>
      <c r="IF117" s="542"/>
      <c r="IG117" s="542"/>
      <c r="IH117" s="542"/>
      <c r="II117" s="542"/>
      <c r="IJ117" s="542"/>
      <c r="IK117" s="542"/>
      <c r="IL117" s="542"/>
      <c r="IM117" s="542"/>
      <c r="IN117" s="542"/>
      <c r="IO117" s="542"/>
      <c r="IP117" s="542"/>
      <c r="IQ117" s="542"/>
      <c r="IR117" s="542"/>
      <c r="IS117" s="542"/>
      <c r="IT117" s="542"/>
      <c r="IU117" s="542"/>
      <c r="IV117" s="542"/>
      <c r="IW117" s="542"/>
      <c r="IX117" s="542"/>
      <c r="IY117" s="542"/>
      <c r="IZ117" s="542"/>
      <c r="JA117" s="542"/>
      <c r="JB117" s="542"/>
    </row>
    <row r="118" spans="8:262" ht="18.899999999999999" hidden="1" customHeight="1">
      <c r="H118" s="562" t="s">
        <v>1370</v>
      </c>
      <c r="I118" s="1641"/>
      <c r="J118" s="1641"/>
      <c r="K118" s="1641"/>
      <c r="L118" s="1641"/>
      <c r="M118" s="1641"/>
      <c r="N118" s="1641"/>
      <c r="O118" s="1642"/>
      <c r="P118" s="1642"/>
      <c r="Q118" s="1642"/>
      <c r="R118" s="1642"/>
      <c r="S118" s="1642"/>
      <c r="T118" s="1642"/>
      <c r="U118" s="1641">
        <v>1</v>
      </c>
      <c r="V118" s="1642">
        <v>1</v>
      </c>
      <c r="W118" s="1642">
        <v>1</v>
      </c>
      <c r="X118" s="1642"/>
      <c r="Y118" s="1642"/>
      <c r="Z118" s="1642"/>
      <c r="AA118" s="1642"/>
      <c r="AB118" s="1642">
        <v>1</v>
      </c>
      <c r="AC118" s="1642"/>
      <c r="AD118" s="1642"/>
      <c r="AE118" s="1642"/>
      <c r="AF118" s="1642"/>
      <c r="AG118" s="1642"/>
      <c r="AH118" s="1642"/>
      <c r="AI118" s="1642"/>
      <c r="AJ118" s="1642"/>
      <c r="AK118" s="1641"/>
      <c r="AL118" s="1641"/>
      <c r="AM118" s="1641"/>
      <c r="AN118" s="1641">
        <v>2</v>
      </c>
      <c r="AO118" s="1641"/>
      <c r="AP118" s="1641"/>
      <c r="AQ118" s="1641"/>
      <c r="AR118" s="1641"/>
      <c r="AS118" s="1641"/>
      <c r="AT118" s="1641"/>
      <c r="AU118" s="1641"/>
      <c r="AV118" s="1641"/>
      <c r="AW118" s="1642"/>
      <c r="AX118" s="1642"/>
      <c r="AY118" s="1642">
        <v>2</v>
      </c>
      <c r="AZ118" s="1642"/>
      <c r="BA118" s="1642">
        <v>2</v>
      </c>
      <c r="BB118" s="1642"/>
      <c r="BC118" s="1641"/>
      <c r="BD118" s="1641"/>
      <c r="BE118" s="1641"/>
      <c r="BF118" s="1642"/>
      <c r="BG118" s="1642"/>
      <c r="BH118" s="1642">
        <v>2</v>
      </c>
      <c r="BI118" s="1642"/>
      <c r="BJ118" s="1642">
        <v>2</v>
      </c>
      <c r="BK118" s="1642"/>
      <c r="BL118" s="1642">
        <v>2</v>
      </c>
      <c r="BM118" s="1642"/>
      <c r="BN118" s="1642"/>
      <c r="BO118" s="1641">
        <v>1</v>
      </c>
      <c r="BP118" s="1641"/>
      <c r="BQ118" s="1641"/>
      <c r="BR118" s="1641"/>
      <c r="BS118" s="1641"/>
      <c r="BT118" s="1641"/>
      <c r="BU118" s="1641"/>
      <c r="BV118" s="1641">
        <v>2</v>
      </c>
      <c r="BW118" s="1641">
        <v>2</v>
      </c>
      <c r="BX118" s="1641"/>
      <c r="BY118" s="1641">
        <v>2</v>
      </c>
      <c r="BZ118" s="1643"/>
      <c r="CA118" s="1643"/>
      <c r="CB118" s="1643"/>
      <c r="CC118" s="1641">
        <v>2</v>
      </c>
      <c r="CD118" s="1641">
        <v>2</v>
      </c>
      <c r="CE118" s="1641">
        <v>2</v>
      </c>
      <c r="CF118" s="1641">
        <v>2</v>
      </c>
      <c r="CG118" s="1641">
        <v>2</v>
      </c>
      <c r="CH118" s="1641">
        <v>2</v>
      </c>
      <c r="CI118" s="1641">
        <v>2</v>
      </c>
      <c r="CJ118" s="1641">
        <v>2</v>
      </c>
      <c r="CK118" s="1641">
        <v>2</v>
      </c>
      <c r="CL118" s="1641">
        <v>2</v>
      </c>
      <c r="CM118" s="1641">
        <v>2</v>
      </c>
      <c r="CN118" s="1641">
        <v>2</v>
      </c>
      <c r="CO118" s="1641">
        <v>2</v>
      </c>
      <c r="CP118" s="1641">
        <v>1</v>
      </c>
      <c r="CQ118" s="1641">
        <v>2</v>
      </c>
      <c r="CR118" s="1641">
        <v>2</v>
      </c>
      <c r="CS118" s="1641"/>
      <c r="CT118" s="1641"/>
      <c r="CU118" s="1641"/>
      <c r="CV118" s="1641"/>
      <c r="CW118" s="1641">
        <v>2</v>
      </c>
      <c r="CX118" s="1644"/>
      <c r="CZ118" s="542"/>
      <c r="DA118" s="542"/>
      <c r="DB118" s="542"/>
      <c r="DC118" s="542"/>
      <c r="DD118" s="542"/>
      <c r="DE118" s="542"/>
      <c r="DF118" s="542"/>
      <c r="DG118" s="542"/>
      <c r="DH118" s="542"/>
      <c r="DI118" s="542"/>
      <c r="DJ118" s="542"/>
      <c r="DK118" s="542"/>
      <c r="DL118" s="542"/>
      <c r="DM118" s="542"/>
      <c r="DN118" s="542"/>
      <c r="DO118" s="542"/>
      <c r="DP118" s="542"/>
      <c r="DQ118" s="542"/>
      <c r="DR118" s="542"/>
      <c r="DS118" s="542"/>
      <c r="DT118" s="542"/>
      <c r="DU118" s="542"/>
      <c r="DV118" s="542"/>
      <c r="DW118" s="542"/>
      <c r="DX118" s="542"/>
      <c r="DY118" s="542"/>
      <c r="DZ118" s="542"/>
      <c r="EA118" s="542"/>
      <c r="EB118" s="542"/>
      <c r="EC118" s="542"/>
      <c r="ED118" s="542"/>
      <c r="EE118" s="542"/>
      <c r="EF118" s="542"/>
      <c r="EG118" s="542"/>
      <c r="EH118" s="542"/>
      <c r="EI118" s="542"/>
      <c r="EJ118" s="542"/>
      <c r="EK118" s="542"/>
      <c r="EL118" s="542"/>
      <c r="EM118" s="542"/>
      <c r="EN118" s="542"/>
      <c r="EO118" s="542"/>
      <c r="EP118" s="542"/>
      <c r="EQ118" s="542"/>
      <c r="ER118" s="542"/>
      <c r="ES118" s="542"/>
      <c r="ET118" s="542"/>
      <c r="EU118" s="542"/>
      <c r="EV118" s="542"/>
      <c r="EW118" s="542"/>
      <c r="EX118" s="542"/>
      <c r="EY118" s="542"/>
      <c r="EZ118" s="542"/>
      <c r="FA118" s="542"/>
      <c r="FB118" s="542"/>
      <c r="FC118" s="542"/>
      <c r="FD118" s="542"/>
      <c r="FE118" s="542"/>
      <c r="FF118" s="542"/>
      <c r="FG118" s="542"/>
      <c r="FH118" s="542"/>
      <c r="FI118" s="542"/>
      <c r="FJ118" s="542"/>
      <c r="FK118" s="542"/>
      <c r="FL118" s="542"/>
      <c r="FM118" s="542"/>
      <c r="FN118" s="542"/>
      <c r="FO118" s="542"/>
      <c r="FP118" s="542"/>
      <c r="FQ118" s="542"/>
      <c r="FR118" s="542"/>
      <c r="FS118" s="542"/>
      <c r="FT118" s="542"/>
      <c r="FU118" s="542"/>
      <c r="FV118" s="542"/>
      <c r="FW118" s="542"/>
      <c r="FX118" s="542"/>
      <c r="FY118" s="542"/>
      <c r="FZ118" s="542"/>
      <c r="GA118" s="542"/>
      <c r="GB118" s="542"/>
      <c r="GC118" s="542"/>
      <c r="GD118" s="542"/>
      <c r="GE118" s="542"/>
      <c r="GF118" s="542"/>
      <c r="GG118" s="542"/>
      <c r="GH118" s="542"/>
      <c r="GI118" s="542"/>
      <c r="GJ118" s="542"/>
      <c r="GK118" s="542"/>
      <c r="GL118" s="542"/>
      <c r="GM118" s="542"/>
      <c r="GN118" s="542"/>
      <c r="GO118" s="542"/>
      <c r="GP118" s="542"/>
      <c r="GQ118" s="542"/>
      <c r="GR118" s="542"/>
      <c r="GS118" s="542"/>
      <c r="GT118" s="542"/>
      <c r="GU118" s="542"/>
      <c r="GV118" s="542"/>
      <c r="GW118" s="542"/>
      <c r="GX118" s="542"/>
      <c r="GY118" s="542"/>
      <c r="GZ118" s="542"/>
      <c r="HA118" s="542"/>
      <c r="HB118" s="542"/>
      <c r="HC118" s="542"/>
      <c r="HD118" s="542"/>
      <c r="HE118" s="542"/>
      <c r="HF118" s="542"/>
      <c r="HG118" s="542"/>
      <c r="HH118" s="542"/>
      <c r="HI118" s="542"/>
      <c r="HJ118" s="542"/>
      <c r="HK118" s="542"/>
      <c r="HL118" s="542"/>
      <c r="HM118" s="542"/>
      <c r="HN118" s="542"/>
      <c r="HO118" s="542"/>
      <c r="HP118" s="542"/>
      <c r="HQ118" s="542"/>
      <c r="HR118" s="542"/>
      <c r="HS118" s="542"/>
      <c r="HT118" s="542"/>
      <c r="HU118" s="542"/>
      <c r="HV118" s="542"/>
      <c r="HW118" s="542"/>
      <c r="HX118" s="542"/>
      <c r="HY118" s="542"/>
      <c r="HZ118" s="542"/>
      <c r="IA118" s="542"/>
      <c r="IB118" s="542"/>
      <c r="IC118" s="542"/>
      <c r="ID118" s="542"/>
      <c r="IE118" s="542"/>
      <c r="IF118" s="542"/>
      <c r="IG118" s="542"/>
      <c r="IH118" s="542"/>
      <c r="II118" s="542"/>
      <c r="IJ118" s="542"/>
      <c r="IK118" s="542"/>
      <c r="IL118" s="542"/>
      <c r="IM118" s="542"/>
      <c r="IN118" s="542"/>
      <c r="IO118" s="542"/>
      <c r="IP118" s="542"/>
      <c r="IQ118" s="542"/>
      <c r="IR118" s="542"/>
      <c r="IS118" s="542"/>
      <c r="IT118" s="542"/>
      <c r="IU118" s="542"/>
      <c r="IV118" s="542"/>
      <c r="IW118" s="542"/>
      <c r="IX118" s="542"/>
      <c r="IY118" s="542"/>
      <c r="IZ118" s="542"/>
      <c r="JA118" s="542"/>
      <c r="JB118" s="542"/>
    </row>
    <row r="119" spans="8:262" ht="18.899999999999999" hidden="1" customHeight="1">
      <c r="H119" s="562" t="s">
        <v>1447</v>
      </c>
      <c r="I119" s="1641"/>
      <c r="J119" s="1641"/>
      <c r="K119" s="1641"/>
      <c r="L119" s="1641"/>
      <c r="M119" s="1641"/>
      <c r="N119" s="1641"/>
      <c r="O119" s="1642"/>
      <c r="P119" s="1642"/>
      <c r="Q119" s="1642"/>
      <c r="R119" s="1642"/>
      <c r="S119" s="1642"/>
      <c r="T119" s="1642"/>
      <c r="U119" s="1641">
        <v>1</v>
      </c>
      <c r="V119" s="1642">
        <v>1</v>
      </c>
      <c r="W119" s="1642">
        <v>1</v>
      </c>
      <c r="X119" s="1642"/>
      <c r="Y119" s="1642"/>
      <c r="Z119" s="1642"/>
      <c r="AA119" s="1642"/>
      <c r="AB119" s="1642">
        <v>1</v>
      </c>
      <c r="AC119" s="1642"/>
      <c r="AD119" s="1642"/>
      <c r="AE119" s="1642"/>
      <c r="AF119" s="1642"/>
      <c r="AG119" s="1642"/>
      <c r="AH119" s="1642"/>
      <c r="AI119" s="1642"/>
      <c r="AJ119" s="1642"/>
      <c r="AK119" s="1641"/>
      <c r="AL119" s="1641"/>
      <c r="AM119" s="1641"/>
      <c r="AN119" s="1641">
        <v>2</v>
      </c>
      <c r="AO119" s="1641"/>
      <c r="AP119" s="1641"/>
      <c r="AQ119" s="1641"/>
      <c r="AR119" s="1641"/>
      <c r="AS119" s="1641"/>
      <c r="AT119" s="1641"/>
      <c r="AU119" s="1641"/>
      <c r="AV119" s="1641"/>
      <c r="AW119" s="1642"/>
      <c r="AX119" s="1642"/>
      <c r="AY119" s="1642">
        <v>2</v>
      </c>
      <c r="AZ119" s="1642"/>
      <c r="BA119" s="1642">
        <v>2</v>
      </c>
      <c r="BB119" s="1642"/>
      <c r="BC119" s="1641"/>
      <c r="BD119" s="1641"/>
      <c r="BE119" s="1641"/>
      <c r="BF119" s="1642"/>
      <c r="BG119" s="1642"/>
      <c r="BH119" s="1642">
        <v>2</v>
      </c>
      <c r="BI119" s="1642"/>
      <c r="BJ119" s="1642">
        <v>2</v>
      </c>
      <c r="BK119" s="1642"/>
      <c r="BL119" s="1642">
        <v>2</v>
      </c>
      <c r="BM119" s="1642"/>
      <c r="BN119" s="1642"/>
      <c r="BO119" s="1641"/>
      <c r="BP119" s="1641"/>
      <c r="BQ119" s="1641"/>
      <c r="BR119" s="1641"/>
      <c r="BS119" s="1641"/>
      <c r="BT119" s="1641"/>
      <c r="BU119" s="1641"/>
      <c r="BV119" s="1641">
        <v>2</v>
      </c>
      <c r="BW119" s="1641">
        <v>2</v>
      </c>
      <c r="BX119" s="1641"/>
      <c r="BY119" s="1641">
        <v>2</v>
      </c>
      <c r="BZ119" s="1643"/>
      <c r="CA119" s="1643"/>
      <c r="CB119" s="1643"/>
      <c r="CC119" s="1641">
        <v>2</v>
      </c>
      <c r="CD119" s="1641">
        <v>2</v>
      </c>
      <c r="CE119" s="1641">
        <v>2</v>
      </c>
      <c r="CF119" s="1641">
        <v>2</v>
      </c>
      <c r="CG119" s="1641">
        <v>2</v>
      </c>
      <c r="CH119" s="1641">
        <v>2</v>
      </c>
      <c r="CI119" s="1641">
        <v>2</v>
      </c>
      <c r="CJ119" s="1641">
        <v>2</v>
      </c>
      <c r="CK119" s="1641">
        <v>2</v>
      </c>
      <c r="CL119" s="1641">
        <v>2</v>
      </c>
      <c r="CM119" s="1641">
        <v>2</v>
      </c>
      <c r="CN119" s="1641">
        <v>2</v>
      </c>
      <c r="CO119" s="1641">
        <v>2</v>
      </c>
      <c r="CP119" s="1641">
        <v>1</v>
      </c>
      <c r="CQ119" s="1641">
        <v>2</v>
      </c>
      <c r="CR119" s="1641">
        <v>2</v>
      </c>
      <c r="CS119" s="1641"/>
      <c r="CT119" s="1641"/>
      <c r="CU119" s="1641"/>
      <c r="CV119" s="1641"/>
      <c r="CW119" s="1641">
        <v>2</v>
      </c>
      <c r="CX119" s="1644"/>
      <c r="CZ119" s="542"/>
      <c r="DA119" s="542"/>
      <c r="DB119" s="542"/>
      <c r="DC119" s="542"/>
      <c r="DD119" s="542"/>
      <c r="DE119" s="542"/>
      <c r="DF119" s="542"/>
      <c r="DG119" s="542"/>
      <c r="DH119" s="542"/>
      <c r="DI119" s="542"/>
      <c r="DJ119" s="542"/>
      <c r="DK119" s="542"/>
      <c r="DL119" s="542"/>
      <c r="DM119" s="542"/>
      <c r="DN119" s="542"/>
      <c r="DO119" s="542"/>
      <c r="DP119" s="542"/>
      <c r="DQ119" s="542"/>
      <c r="DR119" s="542"/>
      <c r="DS119" s="542"/>
      <c r="DT119" s="542"/>
      <c r="DU119" s="542"/>
      <c r="DV119" s="542"/>
      <c r="DW119" s="542"/>
      <c r="DX119" s="542"/>
      <c r="DY119" s="542"/>
      <c r="DZ119" s="542"/>
      <c r="EA119" s="542"/>
      <c r="EB119" s="542"/>
      <c r="EC119" s="542"/>
      <c r="ED119" s="542"/>
      <c r="EE119" s="542"/>
      <c r="EF119" s="542"/>
      <c r="EG119" s="542"/>
      <c r="EH119" s="542"/>
      <c r="EI119" s="542"/>
      <c r="EJ119" s="542"/>
      <c r="EK119" s="542"/>
      <c r="EL119" s="542"/>
      <c r="EM119" s="542"/>
      <c r="EN119" s="542"/>
      <c r="EO119" s="542"/>
      <c r="EP119" s="542"/>
      <c r="EQ119" s="542"/>
      <c r="ER119" s="542"/>
      <c r="ES119" s="542"/>
      <c r="ET119" s="542"/>
      <c r="EU119" s="542"/>
      <c r="EV119" s="542"/>
      <c r="EW119" s="542"/>
      <c r="EX119" s="542"/>
      <c r="EY119" s="542"/>
      <c r="EZ119" s="542"/>
      <c r="FA119" s="542"/>
      <c r="FB119" s="542"/>
      <c r="FC119" s="542"/>
      <c r="FD119" s="542"/>
      <c r="FE119" s="542"/>
      <c r="FF119" s="542"/>
      <c r="FG119" s="542"/>
      <c r="FH119" s="542"/>
      <c r="FI119" s="542"/>
      <c r="FJ119" s="542"/>
      <c r="FK119" s="542"/>
      <c r="FL119" s="542"/>
      <c r="FM119" s="542"/>
      <c r="FN119" s="542"/>
      <c r="FO119" s="542"/>
      <c r="FP119" s="542"/>
      <c r="FQ119" s="542"/>
      <c r="FR119" s="542"/>
      <c r="FS119" s="542"/>
      <c r="FT119" s="542"/>
      <c r="FU119" s="542"/>
      <c r="FV119" s="542"/>
      <c r="FW119" s="542"/>
      <c r="FX119" s="542"/>
      <c r="FY119" s="542"/>
      <c r="FZ119" s="542"/>
      <c r="GA119" s="542"/>
      <c r="GB119" s="542"/>
      <c r="GC119" s="542"/>
      <c r="GD119" s="542"/>
      <c r="GE119" s="542"/>
      <c r="GF119" s="542"/>
      <c r="GG119" s="542"/>
      <c r="GH119" s="542"/>
      <c r="GI119" s="542"/>
      <c r="GJ119" s="542"/>
      <c r="GK119" s="542"/>
      <c r="GL119" s="542"/>
      <c r="GM119" s="542"/>
      <c r="GN119" s="542"/>
      <c r="GO119" s="542"/>
      <c r="GP119" s="542"/>
      <c r="GQ119" s="542"/>
      <c r="GR119" s="542"/>
      <c r="GS119" s="542"/>
      <c r="GT119" s="542"/>
      <c r="GU119" s="542"/>
      <c r="GV119" s="542"/>
      <c r="GW119" s="542"/>
      <c r="GX119" s="542"/>
      <c r="GY119" s="542"/>
      <c r="GZ119" s="542"/>
      <c r="HA119" s="542"/>
      <c r="HB119" s="542"/>
      <c r="HC119" s="542"/>
      <c r="HD119" s="542"/>
      <c r="HE119" s="542"/>
      <c r="HF119" s="542"/>
      <c r="HG119" s="542"/>
      <c r="HH119" s="542"/>
      <c r="HI119" s="542"/>
      <c r="HJ119" s="542"/>
      <c r="HK119" s="542"/>
      <c r="HL119" s="542"/>
      <c r="HM119" s="542"/>
      <c r="HN119" s="542"/>
      <c r="HO119" s="542"/>
      <c r="HP119" s="542"/>
      <c r="HQ119" s="542"/>
      <c r="HR119" s="542"/>
      <c r="HS119" s="542"/>
      <c r="HT119" s="542"/>
      <c r="HU119" s="542"/>
      <c r="HV119" s="542"/>
      <c r="HW119" s="542"/>
      <c r="HX119" s="542"/>
      <c r="HY119" s="542"/>
      <c r="HZ119" s="542"/>
      <c r="IA119" s="542"/>
      <c r="IB119" s="542"/>
      <c r="IC119" s="542"/>
      <c r="ID119" s="542"/>
      <c r="IE119" s="542"/>
      <c r="IF119" s="542"/>
      <c r="IG119" s="542"/>
      <c r="IH119" s="542"/>
      <c r="II119" s="542"/>
      <c r="IJ119" s="542"/>
      <c r="IK119" s="542"/>
      <c r="IL119" s="542"/>
      <c r="IM119" s="542"/>
      <c r="IN119" s="542"/>
      <c r="IO119" s="542"/>
      <c r="IP119" s="542"/>
      <c r="IQ119" s="542"/>
      <c r="IR119" s="542"/>
      <c r="IS119" s="542"/>
      <c r="IT119" s="542"/>
      <c r="IU119" s="542"/>
      <c r="IV119" s="542"/>
      <c r="IW119" s="542"/>
      <c r="IX119" s="542"/>
      <c r="IY119" s="542"/>
      <c r="IZ119" s="542"/>
      <c r="JA119" s="542"/>
      <c r="JB119" s="542"/>
    </row>
    <row r="120" spans="8:262" ht="18.899999999999999" hidden="1" customHeight="1">
      <c r="H120" s="562" t="s">
        <v>1446</v>
      </c>
      <c r="I120" s="1641"/>
      <c r="J120" s="1641"/>
      <c r="K120" s="1641"/>
      <c r="L120" s="1641"/>
      <c r="M120" s="1641"/>
      <c r="N120" s="1641"/>
      <c r="O120" s="1642"/>
      <c r="P120" s="1642"/>
      <c r="Q120" s="1642"/>
      <c r="R120" s="1642"/>
      <c r="S120" s="1642"/>
      <c r="T120" s="1642"/>
      <c r="U120" s="1641">
        <v>1</v>
      </c>
      <c r="V120" s="1642">
        <v>1</v>
      </c>
      <c r="W120" s="1642">
        <v>1</v>
      </c>
      <c r="X120" s="1642"/>
      <c r="Y120" s="1642"/>
      <c r="Z120" s="1642"/>
      <c r="AA120" s="1642"/>
      <c r="AB120" s="1642">
        <v>1</v>
      </c>
      <c r="AC120" s="1642"/>
      <c r="AD120" s="1642"/>
      <c r="AE120" s="1642"/>
      <c r="AF120" s="1642"/>
      <c r="AG120" s="1642"/>
      <c r="AH120" s="1642"/>
      <c r="AI120" s="1642"/>
      <c r="AJ120" s="1642"/>
      <c r="AK120" s="1641"/>
      <c r="AL120" s="1641"/>
      <c r="AM120" s="1641"/>
      <c r="AN120" s="1641"/>
      <c r="AO120" s="1641"/>
      <c r="AP120" s="1641">
        <v>2</v>
      </c>
      <c r="AQ120" s="1641"/>
      <c r="AR120" s="1641"/>
      <c r="AS120" s="1641"/>
      <c r="AT120" s="1641"/>
      <c r="AU120" s="1641"/>
      <c r="AV120" s="1641"/>
      <c r="AW120" s="1642"/>
      <c r="AX120" s="1642"/>
      <c r="AY120" s="1642">
        <v>2</v>
      </c>
      <c r="AZ120" s="1642"/>
      <c r="BA120" s="1642">
        <v>2</v>
      </c>
      <c r="BB120" s="1642"/>
      <c r="BC120" s="1641"/>
      <c r="BD120" s="1641"/>
      <c r="BE120" s="1641"/>
      <c r="BF120" s="1642"/>
      <c r="BG120" s="1642"/>
      <c r="BH120" s="1642">
        <v>2</v>
      </c>
      <c r="BI120" s="1642"/>
      <c r="BJ120" s="1642">
        <v>2</v>
      </c>
      <c r="BK120" s="1642"/>
      <c r="BL120" s="1642">
        <v>2</v>
      </c>
      <c r="BM120" s="1642"/>
      <c r="BN120" s="1642"/>
      <c r="BO120" s="1641"/>
      <c r="BP120" s="1641"/>
      <c r="BQ120" s="1641"/>
      <c r="BR120" s="1641"/>
      <c r="BS120" s="1641"/>
      <c r="BT120" s="1641"/>
      <c r="BU120" s="1641"/>
      <c r="BV120" s="1641">
        <v>2</v>
      </c>
      <c r="BW120" s="1641">
        <v>2</v>
      </c>
      <c r="BX120" s="1641"/>
      <c r="BY120" s="1641">
        <v>2</v>
      </c>
      <c r="BZ120" s="1643"/>
      <c r="CA120" s="1643"/>
      <c r="CB120" s="1643"/>
      <c r="CC120" s="1641">
        <v>2</v>
      </c>
      <c r="CD120" s="1641">
        <v>2</v>
      </c>
      <c r="CE120" s="1641">
        <v>2</v>
      </c>
      <c r="CF120" s="1641">
        <v>2</v>
      </c>
      <c r="CG120" s="1641">
        <v>2</v>
      </c>
      <c r="CH120" s="1641">
        <v>2</v>
      </c>
      <c r="CI120" s="1641">
        <v>2</v>
      </c>
      <c r="CJ120" s="1641">
        <v>2</v>
      </c>
      <c r="CK120" s="1641">
        <v>2</v>
      </c>
      <c r="CL120" s="1641">
        <v>2</v>
      </c>
      <c r="CM120" s="1641">
        <v>2</v>
      </c>
      <c r="CN120" s="1641">
        <v>2</v>
      </c>
      <c r="CO120" s="1641">
        <v>2</v>
      </c>
      <c r="CP120" s="1641">
        <v>1</v>
      </c>
      <c r="CQ120" s="1641">
        <v>2</v>
      </c>
      <c r="CR120" s="1641">
        <v>2</v>
      </c>
      <c r="CS120" s="1641"/>
      <c r="CT120" s="1641"/>
      <c r="CU120" s="1641"/>
      <c r="CV120" s="1641"/>
      <c r="CW120" s="1641">
        <v>2</v>
      </c>
      <c r="CX120" s="1644"/>
      <c r="CZ120" s="542"/>
      <c r="DA120" s="542"/>
      <c r="DB120" s="542"/>
      <c r="DC120" s="542"/>
      <c r="DD120" s="542"/>
      <c r="DE120" s="542"/>
      <c r="DF120" s="542"/>
      <c r="DG120" s="542"/>
      <c r="DH120" s="542"/>
      <c r="DI120" s="542"/>
      <c r="DJ120" s="542"/>
      <c r="DK120" s="542"/>
      <c r="DL120" s="542"/>
      <c r="DM120" s="542"/>
      <c r="DN120" s="542"/>
      <c r="DO120" s="542"/>
      <c r="DP120" s="542"/>
      <c r="DQ120" s="542"/>
      <c r="DR120" s="542"/>
      <c r="DS120" s="542"/>
      <c r="DT120" s="542"/>
      <c r="DU120" s="542"/>
      <c r="DV120" s="542"/>
      <c r="DW120" s="542"/>
      <c r="DX120" s="542"/>
      <c r="DY120" s="542"/>
      <c r="DZ120" s="542"/>
      <c r="EA120" s="542"/>
      <c r="EB120" s="542"/>
      <c r="EC120" s="542"/>
      <c r="ED120" s="542"/>
      <c r="EE120" s="542"/>
      <c r="EF120" s="542"/>
      <c r="EG120" s="542"/>
      <c r="EH120" s="542"/>
      <c r="EI120" s="542"/>
      <c r="EJ120" s="542"/>
      <c r="EK120" s="542"/>
      <c r="EL120" s="542"/>
      <c r="EM120" s="542"/>
      <c r="EN120" s="542"/>
      <c r="EO120" s="542"/>
      <c r="EP120" s="542"/>
      <c r="EQ120" s="542"/>
      <c r="ER120" s="542"/>
      <c r="ES120" s="542"/>
      <c r="ET120" s="542"/>
      <c r="EU120" s="542"/>
      <c r="EV120" s="542"/>
      <c r="EW120" s="542"/>
      <c r="EX120" s="542"/>
      <c r="EY120" s="542"/>
      <c r="EZ120" s="542"/>
      <c r="FA120" s="542"/>
      <c r="FB120" s="542"/>
      <c r="FC120" s="542"/>
      <c r="FD120" s="542"/>
      <c r="FE120" s="542"/>
      <c r="FF120" s="542"/>
      <c r="FG120" s="542"/>
      <c r="FH120" s="542"/>
      <c r="FI120" s="542"/>
      <c r="FJ120" s="542"/>
      <c r="FK120" s="542"/>
      <c r="FL120" s="542"/>
      <c r="FM120" s="542"/>
      <c r="FN120" s="542"/>
      <c r="FO120" s="542"/>
      <c r="FP120" s="542"/>
      <c r="FQ120" s="542"/>
      <c r="FR120" s="542"/>
      <c r="FS120" s="542"/>
      <c r="FT120" s="542"/>
      <c r="FU120" s="542"/>
      <c r="FV120" s="542"/>
      <c r="FW120" s="542"/>
      <c r="FX120" s="542"/>
      <c r="FY120" s="542"/>
      <c r="FZ120" s="542"/>
      <c r="GA120" s="542"/>
      <c r="GB120" s="542"/>
      <c r="GC120" s="542"/>
      <c r="GD120" s="542"/>
      <c r="GE120" s="542"/>
      <c r="GF120" s="542"/>
      <c r="GG120" s="542"/>
      <c r="GH120" s="542"/>
      <c r="GI120" s="542"/>
      <c r="GJ120" s="542"/>
      <c r="GK120" s="542"/>
      <c r="GL120" s="542"/>
      <c r="GM120" s="542"/>
      <c r="GN120" s="542"/>
      <c r="GO120" s="542"/>
      <c r="GP120" s="542"/>
      <c r="GQ120" s="542"/>
      <c r="GR120" s="542"/>
      <c r="GS120" s="542"/>
      <c r="GT120" s="542"/>
      <c r="GU120" s="542"/>
      <c r="GV120" s="542"/>
      <c r="GW120" s="542"/>
      <c r="GX120" s="542"/>
      <c r="GY120" s="542"/>
      <c r="GZ120" s="542"/>
      <c r="HA120" s="542"/>
      <c r="HB120" s="542"/>
      <c r="HC120" s="542"/>
      <c r="HD120" s="542"/>
      <c r="HE120" s="542"/>
      <c r="HF120" s="542"/>
      <c r="HG120" s="542"/>
      <c r="HH120" s="542"/>
      <c r="HI120" s="542"/>
      <c r="HJ120" s="542"/>
      <c r="HK120" s="542"/>
      <c r="HL120" s="542"/>
      <c r="HM120" s="542"/>
      <c r="HN120" s="542"/>
      <c r="HO120" s="542"/>
      <c r="HP120" s="542"/>
      <c r="HQ120" s="542"/>
      <c r="HR120" s="542"/>
      <c r="HS120" s="542"/>
      <c r="HT120" s="542"/>
      <c r="HU120" s="542"/>
      <c r="HV120" s="542"/>
      <c r="HW120" s="542"/>
      <c r="HX120" s="542"/>
      <c r="HY120" s="542"/>
      <c r="HZ120" s="542"/>
      <c r="IA120" s="542"/>
      <c r="IB120" s="542"/>
      <c r="IC120" s="542"/>
      <c r="ID120" s="542"/>
      <c r="IE120" s="542"/>
      <c r="IF120" s="542"/>
      <c r="IG120" s="542"/>
      <c r="IH120" s="542"/>
      <c r="II120" s="542"/>
      <c r="IJ120" s="542"/>
      <c r="IK120" s="542"/>
      <c r="IL120" s="542"/>
      <c r="IM120" s="542"/>
      <c r="IN120" s="542"/>
      <c r="IO120" s="542"/>
      <c r="IP120" s="542"/>
      <c r="IQ120" s="542"/>
      <c r="IR120" s="542"/>
      <c r="IS120" s="542"/>
      <c r="IT120" s="542"/>
      <c r="IU120" s="542"/>
      <c r="IV120" s="542"/>
      <c r="IW120" s="542"/>
      <c r="IX120" s="542"/>
      <c r="IY120" s="542"/>
      <c r="IZ120" s="542"/>
      <c r="JA120" s="542"/>
      <c r="JB120" s="542"/>
    </row>
    <row r="121" spans="8:262" ht="18.899999999999999" hidden="1" customHeight="1">
      <c r="H121" s="562" t="s">
        <v>1254</v>
      </c>
      <c r="I121" s="1641"/>
      <c r="J121" s="1641"/>
      <c r="K121" s="1641"/>
      <c r="L121" s="1641"/>
      <c r="M121" s="1641"/>
      <c r="N121" s="1641"/>
      <c r="O121" s="1642"/>
      <c r="P121" s="1642"/>
      <c r="Q121" s="1642"/>
      <c r="R121" s="1642"/>
      <c r="S121" s="1642"/>
      <c r="T121" s="1642"/>
      <c r="U121" s="1641">
        <v>1</v>
      </c>
      <c r="V121" s="1642">
        <v>1</v>
      </c>
      <c r="W121" s="1642">
        <v>1</v>
      </c>
      <c r="X121" s="1642"/>
      <c r="Y121" s="1642"/>
      <c r="Z121" s="1642"/>
      <c r="AA121" s="1642"/>
      <c r="AB121" s="1642">
        <v>1</v>
      </c>
      <c r="AC121" s="1642"/>
      <c r="AD121" s="1642"/>
      <c r="AE121" s="1642"/>
      <c r="AF121" s="1642"/>
      <c r="AG121" s="1642"/>
      <c r="AH121" s="1642"/>
      <c r="AI121" s="1642"/>
      <c r="AJ121" s="1642"/>
      <c r="AK121" s="1641"/>
      <c r="AL121" s="1641"/>
      <c r="AM121" s="1641"/>
      <c r="AN121" s="1641">
        <v>2</v>
      </c>
      <c r="AO121" s="1641"/>
      <c r="AP121" s="1641"/>
      <c r="AQ121" s="1641"/>
      <c r="AR121" s="1641"/>
      <c r="AS121" s="1641"/>
      <c r="AT121" s="1641"/>
      <c r="AU121" s="1641"/>
      <c r="AV121" s="1641"/>
      <c r="AW121" s="1642"/>
      <c r="AX121" s="1642"/>
      <c r="AY121" s="1642">
        <v>2</v>
      </c>
      <c r="AZ121" s="1642"/>
      <c r="BA121" s="1642">
        <v>2</v>
      </c>
      <c r="BB121" s="1642"/>
      <c r="BC121" s="1641"/>
      <c r="BD121" s="1641"/>
      <c r="BE121" s="1641"/>
      <c r="BF121" s="1642"/>
      <c r="BG121" s="1642"/>
      <c r="BH121" s="1642">
        <v>2</v>
      </c>
      <c r="BI121" s="1642"/>
      <c r="BJ121" s="1642">
        <v>2</v>
      </c>
      <c r="BK121" s="1642"/>
      <c r="BL121" s="1642">
        <v>2</v>
      </c>
      <c r="BM121" s="1642"/>
      <c r="BN121" s="1642"/>
      <c r="BO121" s="1641"/>
      <c r="BP121" s="1641"/>
      <c r="BQ121" s="1641"/>
      <c r="BR121" s="1641"/>
      <c r="BS121" s="1641"/>
      <c r="BT121" s="1641"/>
      <c r="BU121" s="1641"/>
      <c r="BV121" s="1641">
        <v>2</v>
      </c>
      <c r="BW121" s="1641">
        <v>2</v>
      </c>
      <c r="BX121" s="1641"/>
      <c r="BY121" s="1641">
        <v>2</v>
      </c>
      <c r="BZ121" s="1643"/>
      <c r="CA121" s="1643"/>
      <c r="CB121" s="1643"/>
      <c r="CC121" s="1641"/>
      <c r="CD121" s="1641"/>
      <c r="CE121" s="1641"/>
      <c r="CF121" s="1641"/>
      <c r="CG121" s="1641"/>
      <c r="CH121" s="1641"/>
      <c r="CI121" s="1641"/>
      <c r="CJ121" s="1641"/>
      <c r="CK121" s="1641"/>
      <c r="CL121" s="1641"/>
      <c r="CM121" s="1641"/>
      <c r="CN121" s="1641"/>
      <c r="CO121" s="1641"/>
      <c r="CP121" s="1641"/>
      <c r="CQ121" s="1641"/>
      <c r="CR121" s="1641"/>
      <c r="CS121" s="1641"/>
      <c r="CT121" s="1641"/>
      <c r="CU121" s="1641"/>
      <c r="CV121" s="1641"/>
      <c r="CW121" s="1641"/>
      <c r="CX121" s="1644"/>
      <c r="CZ121" s="542"/>
      <c r="DA121" s="542"/>
      <c r="DB121" s="542"/>
      <c r="DC121" s="542"/>
      <c r="DD121" s="542"/>
      <c r="DE121" s="542"/>
      <c r="DF121" s="542"/>
      <c r="DG121" s="542"/>
      <c r="DH121" s="542"/>
      <c r="DI121" s="542"/>
      <c r="DJ121" s="542"/>
      <c r="DK121" s="542"/>
      <c r="DL121" s="542"/>
      <c r="DM121" s="542"/>
      <c r="DN121" s="542"/>
      <c r="DO121" s="542"/>
      <c r="DP121" s="542"/>
      <c r="DQ121" s="542"/>
      <c r="DR121" s="542"/>
      <c r="DS121" s="542"/>
      <c r="DT121" s="542"/>
      <c r="DU121" s="542"/>
      <c r="DV121" s="542"/>
      <c r="DW121" s="542"/>
      <c r="DX121" s="542"/>
      <c r="DY121" s="542"/>
      <c r="DZ121" s="542"/>
      <c r="EA121" s="542"/>
      <c r="EB121" s="542"/>
      <c r="EC121" s="542"/>
      <c r="ED121" s="542"/>
      <c r="EE121" s="542"/>
      <c r="EF121" s="542"/>
      <c r="EG121" s="542"/>
      <c r="EH121" s="542"/>
      <c r="EI121" s="542"/>
      <c r="EJ121" s="542"/>
      <c r="EK121" s="542"/>
      <c r="EL121" s="542"/>
      <c r="EM121" s="542"/>
      <c r="EN121" s="542"/>
      <c r="EO121" s="542"/>
      <c r="EP121" s="542"/>
      <c r="EQ121" s="542"/>
      <c r="ER121" s="542"/>
      <c r="ES121" s="542"/>
      <c r="ET121" s="542"/>
      <c r="EU121" s="542"/>
      <c r="EV121" s="542"/>
      <c r="EW121" s="542"/>
      <c r="EX121" s="542"/>
      <c r="EY121" s="542"/>
      <c r="EZ121" s="542"/>
      <c r="FA121" s="542"/>
      <c r="FB121" s="542"/>
      <c r="FC121" s="542"/>
      <c r="FD121" s="542"/>
      <c r="FE121" s="542"/>
      <c r="FF121" s="542"/>
      <c r="FG121" s="542"/>
      <c r="FH121" s="542"/>
      <c r="FI121" s="542"/>
      <c r="FJ121" s="542"/>
      <c r="FK121" s="542"/>
      <c r="FL121" s="542"/>
      <c r="FM121" s="542"/>
      <c r="FN121" s="542"/>
      <c r="FO121" s="542"/>
      <c r="FP121" s="542"/>
      <c r="FQ121" s="542"/>
      <c r="FR121" s="542"/>
      <c r="FS121" s="542"/>
      <c r="FT121" s="542"/>
      <c r="FU121" s="542"/>
      <c r="FV121" s="542"/>
      <c r="FW121" s="542"/>
      <c r="FX121" s="542"/>
      <c r="FY121" s="542"/>
      <c r="FZ121" s="542"/>
      <c r="GA121" s="542"/>
      <c r="GB121" s="542"/>
      <c r="GC121" s="542"/>
      <c r="GD121" s="542"/>
      <c r="GE121" s="542"/>
      <c r="GF121" s="542"/>
      <c r="GG121" s="542"/>
      <c r="GH121" s="542"/>
      <c r="GI121" s="542"/>
      <c r="GJ121" s="542"/>
      <c r="GK121" s="542"/>
      <c r="GL121" s="542"/>
      <c r="GM121" s="542"/>
      <c r="GN121" s="542"/>
      <c r="GO121" s="542"/>
      <c r="GP121" s="542"/>
      <c r="GQ121" s="542"/>
      <c r="GR121" s="542"/>
      <c r="GS121" s="542"/>
      <c r="GT121" s="542"/>
      <c r="GU121" s="542"/>
      <c r="GV121" s="542"/>
      <c r="GW121" s="542"/>
      <c r="GX121" s="542"/>
      <c r="GY121" s="542"/>
      <c r="GZ121" s="542"/>
      <c r="HA121" s="542"/>
      <c r="HB121" s="542"/>
      <c r="HC121" s="542"/>
      <c r="HD121" s="542"/>
      <c r="HE121" s="542"/>
      <c r="HF121" s="542"/>
      <c r="HG121" s="542"/>
      <c r="HH121" s="542"/>
      <c r="HI121" s="542"/>
      <c r="HJ121" s="542"/>
      <c r="HK121" s="542"/>
      <c r="HL121" s="542"/>
      <c r="HM121" s="542"/>
      <c r="HN121" s="542"/>
      <c r="HO121" s="542"/>
      <c r="HP121" s="542"/>
      <c r="HQ121" s="542"/>
      <c r="HR121" s="542"/>
      <c r="HS121" s="542"/>
      <c r="HT121" s="542"/>
      <c r="HU121" s="542"/>
      <c r="HV121" s="542"/>
      <c r="HW121" s="542"/>
      <c r="HX121" s="542"/>
      <c r="HY121" s="542"/>
      <c r="HZ121" s="542"/>
      <c r="IA121" s="542"/>
      <c r="IB121" s="542"/>
      <c r="IC121" s="542"/>
      <c r="ID121" s="542"/>
      <c r="IE121" s="542"/>
      <c r="IF121" s="542"/>
      <c r="IG121" s="542"/>
      <c r="IH121" s="542"/>
      <c r="II121" s="542"/>
      <c r="IJ121" s="542"/>
      <c r="IK121" s="542"/>
      <c r="IL121" s="542"/>
      <c r="IM121" s="542"/>
      <c r="IN121" s="542"/>
      <c r="IO121" s="542"/>
      <c r="IP121" s="542"/>
      <c r="IQ121" s="542"/>
      <c r="IR121" s="542"/>
      <c r="IS121" s="542"/>
      <c r="IT121" s="542"/>
      <c r="IU121" s="542"/>
      <c r="IV121" s="542"/>
      <c r="IW121" s="542"/>
      <c r="IX121" s="542"/>
      <c r="IY121" s="542"/>
      <c r="IZ121" s="542"/>
      <c r="JA121" s="542"/>
      <c r="JB121" s="542"/>
    </row>
    <row r="122" spans="8:262" ht="18.899999999999999" hidden="1" customHeight="1">
      <c r="H122" s="562" t="s">
        <v>1448</v>
      </c>
      <c r="I122" s="1641"/>
      <c r="J122" s="1641"/>
      <c r="K122" s="1641"/>
      <c r="L122" s="1641"/>
      <c r="M122" s="1641"/>
      <c r="N122" s="1641"/>
      <c r="O122" s="1642"/>
      <c r="P122" s="1642"/>
      <c r="Q122" s="1642"/>
      <c r="R122" s="1642"/>
      <c r="S122" s="1642"/>
      <c r="T122" s="1642"/>
      <c r="U122" s="1641">
        <v>1</v>
      </c>
      <c r="V122" s="1642">
        <v>1</v>
      </c>
      <c r="W122" s="1642">
        <v>1</v>
      </c>
      <c r="X122" s="1642"/>
      <c r="Y122" s="1642"/>
      <c r="Z122" s="1642"/>
      <c r="AA122" s="1642"/>
      <c r="AB122" s="1642">
        <v>1</v>
      </c>
      <c r="AC122" s="1642"/>
      <c r="AD122" s="1642"/>
      <c r="AE122" s="1642"/>
      <c r="AF122" s="1642"/>
      <c r="AG122" s="1642"/>
      <c r="AH122" s="1642"/>
      <c r="AI122" s="1642"/>
      <c r="AJ122" s="1642"/>
      <c r="AK122" s="1641"/>
      <c r="AL122" s="1641"/>
      <c r="AM122" s="1641"/>
      <c r="AN122" s="1641"/>
      <c r="AO122" s="1641"/>
      <c r="AP122" s="1641">
        <v>1</v>
      </c>
      <c r="AQ122" s="1641"/>
      <c r="AR122" s="1641"/>
      <c r="AS122" s="1641"/>
      <c r="AT122" s="1641"/>
      <c r="AU122" s="1641"/>
      <c r="AV122" s="1641"/>
      <c r="AW122" s="1642"/>
      <c r="AX122" s="1642"/>
      <c r="AY122" s="1642">
        <v>1</v>
      </c>
      <c r="AZ122" s="1642"/>
      <c r="BA122" s="1642">
        <v>1</v>
      </c>
      <c r="BB122" s="1642"/>
      <c r="BC122" s="1641"/>
      <c r="BD122" s="1641"/>
      <c r="BE122" s="1641"/>
      <c r="BF122" s="1642"/>
      <c r="BG122" s="1642"/>
      <c r="BH122" s="1642">
        <v>1</v>
      </c>
      <c r="BI122" s="1642"/>
      <c r="BJ122" s="1642">
        <v>1</v>
      </c>
      <c r="BK122" s="1642"/>
      <c r="BL122" s="1642">
        <v>1</v>
      </c>
      <c r="BM122" s="1642"/>
      <c r="BN122" s="1642"/>
      <c r="BO122" s="1641"/>
      <c r="BP122" s="1641"/>
      <c r="BQ122" s="1641"/>
      <c r="BR122" s="1641"/>
      <c r="BS122" s="1641"/>
      <c r="BT122" s="1641"/>
      <c r="BU122" s="1641"/>
      <c r="BV122" s="1641">
        <v>1</v>
      </c>
      <c r="BW122" s="1641">
        <v>1</v>
      </c>
      <c r="BX122" s="1641"/>
      <c r="BY122" s="1641">
        <v>1</v>
      </c>
      <c r="BZ122" s="1643"/>
      <c r="CA122" s="1643"/>
      <c r="CB122" s="1643"/>
      <c r="CC122" s="1641">
        <v>1</v>
      </c>
      <c r="CD122" s="1641">
        <v>1</v>
      </c>
      <c r="CE122" s="1641">
        <v>1</v>
      </c>
      <c r="CF122" s="1641">
        <v>1</v>
      </c>
      <c r="CG122" s="1641">
        <v>1</v>
      </c>
      <c r="CH122" s="1641">
        <v>1</v>
      </c>
      <c r="CI122" s="1641">
        <v>1</v>
      </c>
      <c r="CJ122" s="1641">
        <v>1</v>
      </c>
      <c r="CK122" s="1641">
        <v>1</v>
      </c>
      <c r="CL122" s="1641">
        <v>1</v>
      </c>
      <c r="CM122" s="1641">
        <v>1</v>
      </c>
      <c r="CN122" s="1641">
        <v>1</v>
      </c>
      <c r="CO122" s="1641">
        <v>1</v>
      </c>
      <c r="CP122" s="1641">
        <v>0</v>
      </c>
      <c r="CQ122" s="1641">
        <v>1</v>
      </c>
      <c r="CR122" s="1641">
        <v>1</v>
      </c>
      <c r="CS122" s="1641"/>
      <c r="CT122" s="1641"/>
      <c r="CU122" s="1641"/>
      <c r="CV122" s="1641"/>
      <c r="CW122" s="1641">
        <v>1</v>
      </c>
      <c r="CX122" s="1644"/>
      <c r="CZ122" s="542"/>
      <c r="DA122" s="542"/>
      <c r="DB122" s="542"/>
      <c r="DC122" s="542"/>
      <c r="DD122" s="542"/>
      <c r="DE122" s="542"/>
      <c r="DF122" s="542"/>
      <c r="DG122" s="542"/>
      <c r="DH122" s="542"/>
      <c r="DI122" s="542"/>
      <c r="DJ122" s="542"/>
      <c r="DK122" s="542"/>
      <c r="DL122" s="542"/>
      <c r="DM122" s="542"/>
      <c r="DN122" s="542"/>
      <c r="DO122" s="542"/>
      <c r="DP122" s="542"/>
      <c r="DQ122" s="542"/>
      <c r="DR122" s="542"/>
      <c r="DS122" s="542"/>
      <c r="DT122" s="542"/>
      <c r="DU122" s="542"/>
      <c r="DV122" s="542"/>
      <c r="DW122" s="542"/>
      <c r="DX122" s="542"/>
      <c r="DY122" s="542"/>
      <c r="DZ122" s="542"/>
      <c r="EA122" s="542"/>
      <c r="EB122" s="542"/>
      <c r="EC122" s="542"/>
      <c r="ED122" s="542"/>
      <c r="EE122" s="542"/>
      <c r="EF122" s="542"/>
      <c r="EG122" s="542"/>
      <c r="EH122" s="542"/>
      <c r="EI122" s="542"/>
      <c r="EJ122" s="542"/>
      <c r="EK122" s="542"/>
      <c r="EL122" s="542"/>
      <c r="EM122" s="542"/>
      <c r="EN122" s="542"/>
      <c r="EO122" s="542"/>
      <c r="EP122" s="542"/>
      <c r="EQ122" s="542"/>
      <c r="ER122" s="542"/>
      <c r="ES122" s="542"/>
      <c r="ET122" s="542"/>
      <c r="EU122" s="542"/>
      <c r="EV122" s="542"/>
      <c r="EW122" s="542"/>
      <c r="EX122" s="542"/>
      <c r="EY122" s="542"/>
      <c r="EZ122" s="542"/>
      <c r="FA122" s="542"/>
      <c r="FB122" s="542"/>
      <c r="FC122" s="542"/>
      <c r="FD122" s="542"/>
      <c r="FE122" s="542"/>
      <c r="FF122" s="542"/>
      <c r="FG122" s="542"/>
      <c r="FH122" s="542"/>
      <c r="FI122" s="542"/>
      <c r="FJ122" s="542"/>
      <c r="FK122" s="542"/>
      <c r="FL122" s="542"/>
      <c r="FM122" s="542"/>
      <c r="FN122" s="542"/>
      <c r="FO122" s="542"/>
      <c r="FP122" s="542"/>
      <c r="FQ122" s="542"/>
      <c r="FR122" s="542"/>
      <c r="FS122" s="542"/>
      <c r="FT122" s="542"/>
      <c r="FU122" s="542"/>
      <c r="FV122" s="542"/>
      <c r="FW122" s="542"/>
      <c r="FX122" s="542"/>
      <c r="FY122" s="542"/>
      <c r="FZ122" s="542"/>
      <c r="GA122" s="542"/>
      <c r="GB122" s="542"/>
      <c r="GC122" s="542"/>
      <c r="GD122" s="542"/>
      <c r="GE122" s="542"/>
      <c r="GF122" s="542"/>
      <c r="GG122" s="542"/>
      <c r="GH122" s="542"/>
      <c r="GI122" s="542"/>
      <c r="GJ122" s="542"/>
      <c r="GK122" s="542"/>
      <c r="GL122" s="542"/>
      <c r="GM122" s="542"/>
      <c r="GN122" s="542"/>
      <c r="GO122" s="542"/>
      <c r="GP122" s="542"/>
      <c r="GQ122" s="542"/>
      <c r="GR122" s="542"/>
      <c r="GS122" s="542"/>
      <c r="GT122" s="542"/>
      <c r="GU122" s="542"/>
      <c r="GV122" s="542"/>
      <c r="GW122" s="542"/>
      <c r="GX122" s="542"/>
      <c r="GY122" s="542"/>
      <c r="GZ122" s="542"/>
      <c r="HA122" s="542"/>
      <c r="HB122" s="542"/>
      <c r="HC122" s="542"/>
      <c r="HD122" s="542"/>
      <c r="HE122" s="542"/>
      <c r="HF122" s="542"/>
      <c r="HG122" s="542"/>
      <c r="HH122" s="542"/>
      <c r="HI122" s="542"/>
      <c r="HJ122" s="542"/>
      <c r="HK122" s="542"/>
      <c r="HL122" s="542"/>
      <c r="HM122" s="542"/>
      <c r="HN122" s="542"/>
      <c r="HO122" s="542"/>
      <c r="HP122" s="542"/>
      <c r="HQ122" s="542"/>
      <c r="HR122" s="542"/>
      <c r="HS122" s="542"/>
      <c r="HT122" s="542"/>
      <c r="HU122" s="542"/>
      <c r="HV122" s="542"/>
      <c r="HW122" s="542"/>
      <c r="HX122" s="542"/>
      <c r="HY122" s="542"/>
      <c r="HZ122" s="542"/>
      <c r="IA122" s="542"/>
      <c r="IB122" s="542"/>
      <c r="IC122" s="542"/>
      <c r="ID122" s="542"/>
      <c r="IE122" s="542"/>
      <c r="IF122" s="542"/>
      <c r="IG122" s="542"/>
      <c r="IH122" s="542"/>
      <c r="II122" s="542"/>
      <c r="IJ122" s="542"/>
      <c r="IK122" s="542"/>
      <c r="IL122" s="542"/>
      <c r="IM122" s="542"/>
      <c r="IN122" s="542"/>
      <c r="IO122" s="542"/>
      <c r="IP122" s="542"/>
      <c r="IQ122" s="542"/>
      <c r="IR122" s="542"/>
      <c r="IS122" s="542"/>
      <c r="IT122" s="542"/>
      <c r="IU122" s="542"/>
      <c r="IV122" s="542"/>
      <c r="IW122" s="542"/>
      <c r="IX122" s="542"/>
      <c r="IY122" s="542"/>
      <c r="IZ122" s="542"/>
      <c r="JA122" s="542"/>
      <c r="JB122" s="542"/>
    </row>
    <row r="123" spans="8:262" ht="18.899999999999999" hidden="1" customHeight="1">
      <c r="H123" s="562" t="s">
        <v>1776</v>
      </c>
      <c r="I123" s="1641"/>
      <c r="J123" s="1641"/>
      <c r="K123" s="1641"/>
      <c r="L123" s="1641"/>
      <c r="M123" s="1641"/>
      <c r="N123" s="1641"/>
      <c r="O123" s="1642"/>
      <c r="P123" s="1642"/>
      <c r="Q123" s="1642"/>
      <c r="R123" s="1642"/>
      <c r="S123" s="1642"/>
      <c r="T123" s="1642"/>
      <c r="U123" s="1641"/>
      <c r="V123" s="1642"/>
      <c r="W123" s="1642"/>
      <c r="X123" s="1642"/>
      <c r="Y123" s="1642"/>
      <c r="Z123" s="1642"/>
      <c r="AA123" s="1642"/>
      <c r="AB123" s="1642"/>
      <c r="AC123" s="1642"/>
      <c r="AD123" s="1642"/>
      <c r="AE123" s="1642"/>
      <c r="AF123" s="1642"/>
      <c r="AG123" s="1642"/>
      <c r="AH123" s="1642"/>
      <c r="AI123" s="1642"/>
      <c r="AJ123" s="1642"/>
      <c r="AK123" s="1641"/>
      <c r="AL123" s="1641"/>
      <c r="AM123" s="1641"/>
      <c r="AN123" s="1641"/>
      <c r="AO123" s="1641"/>
      <c r="AP123" s="1641"/>
      <c r="AQ123" s="1641"/>
      <c r="AR123" s="1641"/>
      <c r="AS123" s="1641"/>
      <c r="AT123" s="1641"/>
      <c r="AU123" s="1641"/>
      <c r="AV123" s="1641"/>
      <c r="AW123" s="1642"/>
      <c r="AX123" s="1642"/>
      <c r="AY123" s="1642"/>
      <c r="AZ123" s="1642"/>
      <c r="BA123" s="1642"/>
      <c r="BB123" s="1642"/>
      <c r="BC123" s="1641"/>
      <c r="BD123" s="1641"/>
      <c r="BE123" s="1641"/>
      <c r="BF123" s="1642"/>
      <c r="BG123" s="1642"/>
      <c r="BH123" s="1642"/>
      <c r="BI123" s="1642"/>
      <c r="BJ123" s="1642"/>
      <c r="BK123" s="1642"/>
      <c r="BL123" s="1642"/>
      <c r="BM123" s="1642"/>
      <c r="BN123" s="1642"/>
      <c r="BO123" s="1641"/>
      <c r="BP123" s="1641"/>
      <c r="BQ123" s="1641"/>
      <c r="BR123" s="1641"/>
      <c r="BS123" s="1641"/>
      <c r="BT123" s="1641"/>
      <c r="BU123" s="1641"/>
      <c r="BV123" s="1641"/>
      <c r="BW123" s="1641"/>
      <c r="BX123" s="1641"/>
      <c r="BY123" s="1641"/>
      <c r="BZ123" s="1643"/>
      <c r="CA123" s="1643"/>
      <c r="CB123" s="1643"/>
      <c r="CC123" s="1641"/>
      <c r="CD123" s="1641"/>
      <c r="CE123" s="1641"/>
      <c r="CF123" s="1641"/>
      <c r="CG123" s="1641"/>
      <c r="CH123" s="1641"/>
      <c r="CI123" s="1641"/>
      <c r="CJ123" s="1641"/>
      <c r="CK123" s="1641"/>
      <c r="CL123" s="1641"/>
      <c r="CM123" s="1641"/>
      <c r="CN123" s="1641"/>
      <c r="CO123" s="1641"/>
      <c r="CP123" s="1641"/>
      <c r="CQ123" s="1641"/>
      <c r="CR123" s="1641"/>
      <c r="CS123" s="1641"/>
      <c r="CT123" s="1641"/>
      <c r="CU123" s="1641"/>
      <c r="CV123" s="1641"/>
      <c r="CW123" s="1641"/>
      <c r="CX123" s="1644"/>
      <c r="CZ123" s="542"/>
      <c r="DA123" s="542"/>
      <c r="DB123" s="542"/>
      <c r="DC123" s="542"/>
      <c r="DD123" s="542"/>
      <c r="DE123" s="542"/>
      <c r="DF123" s="542"/>
      <c r="DG123" s="542"/>
      <c r="DH123" s="542"/>
      <c r="DI123" s="542"/>
      <c r="DJ123" s="542"/>
      <c r="DK123" s="542"/>
      <c r="DL123" s="542"/>
      <c r="DM123" s="542"/>
      <c r="DN123" s="542"/>
      <c r="DO123" s="542"/>
      <c r="DP123" s="542"/>
      <c r="DQ123" s="542"/>
      <c r="DR123" s="542"/>
      <c r="DS123" s="542"/>
      <c r="DT123" s="542"/>
      <c r="DU123" s="542"/>
      <c r="DV123" s="542"/>
      <c r="DW123" s="542"/>
      <c r="DX123" s="542"/>
      <c r="DY123" s="542"/>
      <c r="DZ123" s="542"/>
      <c r="EA123" s="542"/>
      <c r="EB123" s="542"/>
      <c r="EC123" s="542"/>
      <c r="ED123" s="542"/>
      <c r="EE123" s="542"/>
      <c r="EF123" s="542"/>
      <c r="EG123" s="542"/>
      <c r="EH123" s="542"/>
      <c r="EI123" s="542"/>
      <c r="EJ123" s="542"/>
      <c r="EK123" s="542"/>
      <c r="EL123" s="542"/>
      <c r="EM123" s="542"/>
      <c r="EN123" s="542"/>
      <c r="EO123" s="542"/>
      <c r="EP123" s="542"/>
      <c r="EQ123" s="542"/>
      <c r="ER123" s="542"/>
      <c r="ES123" s="542"/>
      <c r="ET123" s="542"/>
      <c r="EU123" s="542"/>
      <c r="EV123" s="542"/>
      <c r="EW123" s="542"/>
      <c r="EX123" s="542"/>
      <c r="EY123" s="542"/>
      <c r="EZ123" s="542"/>
      <c r="FA123" s="542"/>
      <c r="FB123" s="542"/>
      <c r="FC123" s="542"/>
      <c r="FD123" s="542"/>
      <c r="FE123" s="542"/>
      <c r="FF123" s="542"/>
      <c r="FG123" s="542"/>
      <c r="FH123" s="542"/>
      <c r="FI123" s="542"/>
      <c r="FJ123" s="542"/>
      <c r="FK123" s="542"/>
      <c r="FL123" s="542"/>
      <c r="FM123" s="542"/>
      <c r="FN123" s="542"/>
      <c r="FO123" s="542"/>
      <c r="FP123" s="542"/>
      <c r="FQ123" s="542"/>
      <c r="FR123" s="542"/>
      <c r="FS123" s="542"/>
      <c r="FT123" s="542"/>
      <c r="FU123" s="542"/>
      <c r="FV123" s="542"/>
      <c r="FW123" s="542"/>
      <c r="FX123" s="542"/>
      <c r="FY123" s="542"/>
      <c r="FZ123" s="542"/>
      <c r="GA123" s="542"/>
      <c r="GB123" s="542"/>
      <c r="GC123" s="542"/>
      <c r="GD123" s="542"/>
      <c r="GE123" s="542"/>
      <c r="GF123" s="542"/>
      <c r="GG123" s="542"/>
      <c r="GH123" s="542"/>
      <c r="GI123" s="542"/>
      <c r="GJ123" s="542"/>
      <c r="GK123" s="542"/>
      <c r="GL123" s="542"/>
      <c r="GM123" s="542"/>
      <c r="GN123" s="542"/>
      <c r="GO123" s="542"/>
      <c r="GP123" s="542"/>
      <c r="GQ123" s="542"/>
      <c r="GR123" s="542"/>
      <c r="GS123" s="542"/>
      <c r="GT123" s="542"/>
      <c r="GU123" s="542"/>
      <c r="GV123" s="542"/>
      <c r="GW123" s="542"/>
      <c r="GX123" s="542"/>
      <c r="GY123" s="542"/>
      <c r="GZ123" s="542"/>
      <c r="HA123" s="542"/>
      <c r="HB123" s="542"/>
      <c r="HC123" s="542"/>
      <c r="HD123" s="542"/>
      <c r="HE123" s="542"/>
      <c r="HF123" s="542"/>
      <c r="HG123" s="542"/>
      <c r="HH123" s="542"/>
      <c r="HI123" s="542"/>
      <c r="HJ123" s="542"/>
      <c r="HK123" s="542"/>
      <c r="HL123" s="542"/>
      <c r="HM123" s="542"/>
      <c r="HN123" s="542"/>
      <c r="HO123" s="542"/>
      <c r="HP123" s="542"/>
      <c r="HQ123" s="542"/>
      <c r="HR123" s="542"/>
      <c r="HS123" s="542"/>
      <c r="HT123" s="542"/>
      <c r="HU123" s="542"/>
      <c r="HV123" s="542"/>
      <c r="HW123" s="542"/>
      <c r="HX123" s="542"/>
      <c r="HY123" s="542"/>
      <c r="HZ123" s="542"/>
      <c r="IA123" s="542"/>
      <c r="IB123" s="542"/>
      <c r="IC123" s="542"/>
      <c r="ID123" s="542"/>
      <c r="IE123" s="542"/>
      <c r="IF123" s="542"/>
      <c r="IG123" s="542"/>
      <c r="IH123" s="542"/>
      <c r="II123" s="542"/>
      <c r="IJ123" s="542"/>
      <c r="IK123" s="542"/>
      <c r="IL123" s="542"/>
      <c r="IM123" s="542"/>
      <c r="IN123" s="542"/>
      <c r="IO123" s="542"/>
      <c r="IP123" s="542"/>
      <c r="IQ123" s="542"/>
      <c r="IR123" s="542"/>
      <c r="IS123" s="542"/>
      <c r="IT123" s="542"/>
      <c r="IU123" s="542"/>
      <c r="IV123" s="542"/>
      <c r="IW123" s="542"/>
      <c r="IX123" s="542"/>
      <c r="IY123" s="542"/>
      <c r="IZ123" s="542"/>
      <c r="JA123" s="542"/>
      <c r="JB123" s="542"/>
    </row>
    <row r="124" spans="8:262" ht="18.899999999999999" hidden="1" customHeight="1">
      <c r="H124" s="1645"/>
      <c r="I124" s="1646"/>
      <c r="J124" s="1646"/>
      <c r="K124" s="1646"/>
      <c r="L124" s="1646"/>
      <c r="M124" s="1646"/>
      <c r="N124" s="1646"/>
      <c r="O124" s="1647"/>
      <c r="P124" s="1647"/>
      <c r="Q124" s="1647"/>
      <c r="R124" s="1647"/>
      <c r="S124" s="1647"/>
      <c r="T124" s="1647"/>
      <c r="U124" s="1646"/>
      <c r="V124" s="1647"/>
      <c r="W124" s="1647"/>
      <c r="X124" s="1647"/>
      <c r="Y124" s="1647"/>
      <c r="Z124" s="1647"/>
      <c r="AA124" s="1647"/>
      <c r="AB124" s="1647"/>
      <c r="AC124" s="1647"/>
      <c r="AD124" s="1647"/>
      <c r="AE124" s="1647"/>
      <c r="AF124" s="1647"/>
      <c r="AG124" s="1647"/>
      <c r="AH124" s="1647"/>
      <c r="AI124" s="1647"/>
      <c r="AJ124" s="1647"/>
      <c r="AK124" s="1646"/>
      <c r="AL124" s="1646"/>
      <c r="AM124" s="1646"/>
      <c r="AN124" s="1646"/>
      <c r="AO124" s="1646"/>
      <c r="AP124" s="1646"/>
      <c r="AQ124" s="1646"/>
      <c r="AR124" s="1646"/>
      <c r="AS124" s="1646"/>
      <c r="AT124" s="1646"/>
      <c r="AU124" s="1646"/>
      <c r="AV124" s="1646"/>
      <c r="AW124" s="1647"/>
      <c r="AX124" s="1647"/>
      <c r="AY124" s="1647"/>
      <c r="AZ124" s="1647"/>
      <c r="BA124" s="1647"/>
      <c r="BB124" s="1647"/>
      <c r="BC124" s="1646"/>
      <c r="BD124" s="1646"/>
      <c r="BE124" s="1646"/>
      <c r="BF124" s="1647"/>
      <c r="BG124" s="1647"/>
      <c r="BH124" s="1647"/>
      <c r="BI124" s="1647"/>
      <c r="BJ124" s="1647"/>
      <c r="BK124" s="1647"/>
      <c r="BL124" s="1647"/>
      <c r="BM124" s="1647"/>
      <c r="BN124" s="1647"/>
      <c r="BO124" s="1646"/>
      <c r="BP124" s="1646"/>
      <c r="BQ124" s="1646"/>
      <c r="BR124" s="1646"/>
      <c r="BS124" s="1646"/>
      <c r="BT124" s="1646"/>
      <c r="BU124" s="1646"/>
      <c r="BV124" s="1646"/>
      <c r="BW124" s="1646"/>
      <c r="BX124" s="1646"/>
      <c r="BY124" s="1646"/>
      <c r="BZ124" s="1648"/>
      <c r="CA124" s="1648"/>
      <c r="CB124" s="1648"/>
      <c r="CC124" s="1646"/>
      <c r="CD124" s="1646"/>
      <c r="CE124" s="1646"/>
      <c r="CF124" s="1646"/>
      <c r="CG124" s="1646"/>
      <c r="CH124" s="1646"/>
      <c r="CI124" s="1646"/>
      <c r="CJ124" s="1646"/>
      <c r="CK124" s="1646"/>
      <c r="CL124" s="1646"/>
      <c r="CM124" s="1646"/>
      <c r="CN124" s="1646"/>
      <c r="CO124" s="1646"/>
      <c r="CP124" s="1646"/>
      <c r="CQ124" s="1646"/>
      <c r="CR124" s="1646"/>
      <c r="CS124" s="1646"/>
      <c r="CT124" s="1646"/>
      <c r="CU124" s="1646"/>
      <c r="CV124" s="1646"/>
      <c r="CW124" s="1646"/>
      <c r="CX124" s="1649"/>
      <c r="CZ124" s="542"/>
      <c r="DA124" s="542"/>
      <c r="DB124" s="542"/>
      <c r="DC124" s="542"/>
      <c r="DD124" s="542"/>
      <c r="DE124" s="542"/>
      <c r="DF124" s="542"/>
      <c r="DG124" s="542"/>
      <c r="DH124" s="542"/>
      <c r="DI124" s="542"/>
      <c r="DJ124" s="542"/>
      <c r="DK124" s="542"/>
      <c r="DL124" s="542"/>
      <c r="DM124" s="542"/>
      <c r="DN124" s="542"/>
      <c r="DO124" s="542"/>
      <c r="DP124" s="542"/>
      <c r="DQ124" s="542"/>
      <c r="DR124" s="542"/>
      <c r="DS124" s="542"/>
      <c r="DT124" s="542"/>
      <c r="DU124" s="542"/>
      <c r="DV124" s="542"/>
      <c r="DW124" s="542"/>
      <c r="DX124" s="542"/>
      <c r="DY124" s="542"/>
      <c r="DZ124" s="542"/>
      <c r="EA124" s="542"/>
      <c r="EB124" s="542"/>
      <c r="EC124" s="542"/>
      <c r="ED124" s="542"/>
      <c r="EE124" s="542"/>
      <c r="EF124" s="542"/>
      <c r="EG124" s="542"/>
      <c r="EH124" s="542"/>
      <c r="EI124" s="542"/>
      <c r="EJ124" s="542"/>
      <c r="EK124" s="542"/>
      <c r="EL124" s="542"/>
      <c r="EM124" s="542"/>
      <c r="EN124" s="542"/>
      <c r="EO124" s="542"/>
      <c r="EP124" s="542"/>
      <c r="EQ124" s="542"/>
      <c r="ER124" s="542"/>
      <c r="ES124" s="542"/>
      <c r="ET124" s="542"/>
      <c r="EU124" s="542"/>
      <c r="EV124" s="542"/>
      <c r="EW124" s="542"/>
      <c r="EX124" s="542"/>
      <c r="EY124" s="542"/>
      <c r="EZ124" s="542"/>
      <c r="FA124" s="542"/>
      <c r="FB124" s="542"/>
      <c r="FC124" s="542"/>
      <c r="FD124" s="542"/>
      <c r="FE124" s="542"/>
      <c r="FF124" s="542"/>
      <c r="FG124" s="542"/>
      <c r="FH124" s="542"/>
      <c r="FI124" s="542"/>
      <c r="FJ124" s="542"/>
      <c r="FK124" s="542"/>
      <c r="FL124" s="542"/>
      <c r="FM124" s="542"/>
      <c r="FN124" s="542"/>
      <c r="FO124" s="542"/>
      <c r="FP124" s="542"/>
      <c r="FQ124" s="542"/>
      <c r="FR124" s="542"/>
      <c r="FS124" s="542"/>
      <c r="FT124" s="542"/>
      <c r="FU124" s="542"/>
      <c r="FV124" s="542"/>
      <c r="FW124" s="542"/>
      <c r="FX124" s="542"/>
      <c r="FY124" s="542"/>
      <c r="FZ124" s="542"/>
      <c r="GA124" s="542"/>
      <c r="GB124" s="542"/>
      <c r="GC124" s="542"/>
      <c r="GD124" s="542"/>
      <c r="GE124" s="542"/>
      <c r="GF124" s="542"/>
      <c r="GG124" s="542"/>
      <c r="GH124" s="542"/>
      <c r="GI124" s="542"/>
      <c r="GJ124" s="542"/>
      <c r="GK124" s="542"/>
      <c r="GL124" s="542"/>
      <c r="GM124" s="542"/>
      <c r="GN124" s="542"/>
      <c r="GO124" s="542"/>
      <c r="GP124" s="542"/>
      <c r="GQ124" s="542"/>
      <c r="GR124" s="542"/>
      <c r="GS124" s="542"/>
      <c r="GT124" s="542"/>
      <c r="GU124" s="542"/>
      <c r="GV124" s="542"/>
      <c r="GW124" s="542"/>
      <c r="GX124" s="542"/>
      <c r="GY124" s="542"/>
      <c r="GZ124" s="542"/>
      <c r="HA124" s="542"/>
      <c r="HB124" s="542"/>
      <c r="HC124" s="542"/>
      <c r="HD124" s="542"/>
      <c r="HE124" s="542"/>
      <c r="HF124" s="542"/>
      <c r="HG124" s="542"/>
      <c r="HH124" s="542"/>
      <c r="HI124" s="542"/>
      <c r="HJ124" s="542"/>
      <c r="HK124" s="542"/>
      <c r="HL124" s="542"/>
      <c r="HM124" s="542"/>
      <c r="HN124" s="542"/>
      <c r="HO124" s="542"/>
      <c r="HP124" s="542"/>
      <c r="HQ124" s="542"/>
      <c r="HR124" s="542"/>
      <c r="HS124" s="542"/>
      <c r="HT124" s="542"/>
      <c r="HU124" s="542"/>
      <c r="HV124" s="542"/>
      <c r="HW124" s="542"/>
      <c r="HX124" s="542"/>
      <c r="HY124" s="542"/>
      <c r="HZ124" s="542"/>
      <c r="IA124" s="542"/>
      <c r="IB124" s="542"/>
      <c r="IC124" s="542"/>
      <c r="ID124" s="542"/>
      <c r="IE124" s="542"/>
      <c r="IF124" s="542"/>
      <c r="IG124" s="542"/>
      <c r="IH124" s="542"/>
      <c r="II124" s="542"/>
      <c r="IJ124" s="542"/>
      <c r="IK124" s="542"/>
      <c r="IL124" s="542"/>
      <c r="IM124" s="542"/>
      <c r="IN124" s="542"/>
      <c r="IO124" s="542"/>
      <c r="IP124" s="542"/>
      <c r="IQ124" s="542"/>
      <c r="IR124" s="542"/>
      <c r="IS124" s="542"/>
      <c r="IT124" s="542"/>
      <c r="IU124" s="542"/>
      <c r="IV124" s="542"/>
      <c r="IW124" s="542"/>
      <c r="IX124" s="542"/>
      <c r="IY124" s="542"/>
      <c r="IZ124" s="542"/>
      <c r="JA124" s="542"/>
      <c r="JB124" s="542"/>
    </row>
    <row r="125" spans="8:262" ht="18.899999999999999" hidden="1" customHeight="1" thickBot="1">
      <c r="H125" s="1650">
        <v>1</v>
      </c>
      <c r="I125" s="1651">
        <v>4</v>
      </c>
      <c r="J125" s="1651">
        <v>4</v>
      </c>
      <c r="K125" s="1651">
        <v>4</v>
      </c>
      <c r="L125" s="1651">
        <v>4</v>
      </c>
      <c r="M125" s="1651">
        <v>5</v>
      </c>
      <c r="N125" s="1651">
        <v>6</v>
      </c>
      <c r="O125" s="1652">
        <v>7</v>
      </c>
      <c r="P125" s="1652">
        <v>8</v>
      </c>
      <c r="Q125" s="1652">
        <v>9</v>
      </c>
      <c r="R125" s="1652">
        <v>10</v>
      </c>
      <c r="S125" s="1652">
        <v>11</v>
      </c>
      <c r="T125" s="1652">
        <v>12</v>
      </c>
      <c r="U125" s="1651">
        <v>13</v>
      </c>
      <c r="V125" s="1652">
        <v>13</v>
      </c>
      <c r="W125" s="1652">
        <v>13</v>
      </c>
      <c r="X125" s="1652">
        <v>14</v>
      </c>
      <c r="Y125" s="1652">
        <v>15</v>
      </c>
      <c r="Z125" s="1652">
        <v>16</v>
      </c>
      <c r="AA125" s="1652">
        <v>12</v>
      </c>
      <c r="AB125" s="1652">
        <v>13</v>
      </c>
      <c r="AC125" s="1652">
        <v>14</v>
      </c>
      <c r="AD125" s="1652">
        <v>15</v>
      </c>
      <c r="AE125" s="1652">
        <v>16</v>
      </c>
      <c r="AF125" s="1652">
        <v>17</v>
      </c>
      <c r="AG125" s="1652">
        <v>18</v>
      </c>
      <c r="AH125" s="1652">
        <v>19</v>
      </c>
      <c r="AI125" s="1652">
        <v>20</v>
      </c>
      <c r="AJ125" s="1652">
        <v>19</v>
      </c>
      <c r="AK125" s="1651">
        <v>22</v>
      </c>
      <c r="AL125" s="1651">
        <v>23</v>
      </c>
      <c r="AM125" s="1651">
        <v>24</v>
      </c>
      <c r="AN125" s="1651">
        <v>25</v>
      </c>
      <c r="AO125" s="1651">
        <v>26</v>
      </c>
      <c r="AP125" s="1651">
        <v>27</v>
      </c>
      <c r="AQ125" s="1651">
        <v>28</v>
      </c>
      <c r="AR125" s="1651">
        <v>29</v>
      </c>
      <c r="AS125" s="1651">
        <v>30</v>
      </c>
      <c r="AT125" s="1651">
        <v>31</v>
      </c>
      <c r="AU125" s="1651">
        <v>32</v>
      </c>
      <c r="AV125" s="1651">
        <v>33</v>
      </c>
      <c r="AW125" s="1652">
        <v>34</v>
      </c>
      <c r="AX125" s="1652">
        <v>35</v>
      </c>
      <c r="AY125" s="1652">
        <v>36</v>
      </c>
      <c r="AZ125" s="1652">
        <v>37</v>
      </c>
      <c r="BA125" s="1652">
        <v>36</v>
      </c>
      <c r="BB125" s="1652">
        <v>37</v>
      </c>
      <c r="BC125" s="1651">
        <v>40</v>
      </c>
      <c r="BD125" s="1651">
        <v>41</v>
      </c>
      <c r="BE125" s="1651">
        <v>41</v>
      </c>
      <c r="BF125" s="1652">
        <v>34</v>
      </c>
      <c r="BG125" s="1652">
        <v>35</v>
      </c>
      <c r="BH125" s="1652">
        <v>36</v>
      </c>
      <c r="BI125" s="1652">
        <v>37</v>
      </c>
      <c r="BJ125" s="1652">
        <v>36</v>
      </c>
      <c r="BK125" s="1652">
        <v>37</v>
      </c>
      <c r="BL125" s="1652">
        <v>36</v>
      </c>
      <c r="BM125" s="1652"/>
      <c r="BN125" s="1652">
        <v>37</v>
      </c>
      <c r="BO125" s="1651">
        <v>42</v>
      </c>
      <c r="BP125" s="1651">
        <v>43</v>
      </c>
      <c r="BQ125" s="1651"/>
      <c r="BR125" s="1651"/>
      <c r="BS125" s="1651">
        <v>43</v>
      </c>
      <c r="BT125" s="1651"/>
      <c r="BU125" s="1651"/>
      <c r="BV125" s="1651">
        <v>44</v>
      </c>
      <c r="BW125" s="1651">
        <v>44</v>
      </c>
      <c r="BX125" s="1651">
        <v>45</v>
      </c>
      <c r="BY125" s="1651">
        <v>46</v>
      </c>
      <c r="BZ125" s="1651">
        <v>47</v>
      </c>
      <c r="CA125" s="1651"/>
      <c r="CB125" s="1651"/>
      <c r="CC125" s="1651">
        <v>48</v>
      </c>
      <c r="CD125" s="1651">
        <v>48</v>
      </c>
      <c r="CE125" s="1651">
        <v>48</v>
      </c>
      <c r="CF125" s="1651">
        <v>48</v>
      </c>
      <c r="CG125" s="1651">
        <v>48</v>
      </c>
      <c r="CH125" s="1651">
        <v>48</v>
      </c>
      <c r="CI125" s="1651">
        <v>48</v>
      </c>
      <c r="CJ125" s="1651">
        <v>48</v>
      </c>
      <c r="CK125" s="1651">
        <v>48</v>
      </c>
      <c r="CL125" s="1651">
        <v>48</v>
      </c>
      <c r="CM125" s="1651">
        <v>48</v>
      </c>
      <c r="CN125" s="1651">
        <v>48</v>
      </c>
      <c r="CO125" s="1651">
        <v>48</v>
      </c>
      <c r="CP125" s="1651">
        <v>48</v>
      </c>
      <c r="CQ125" s="1651">
        <v>49</v>
      </c>
      <c r="CR125" s="1651">
        <v>49</v>
      </c>
      <c r="CS125" s="1651"/>
      <c r="CT125" s="1651"/>
      <c r="CU125" s="1651"/>
      <c r="CV125" s="1651"/>
      <c r="CW125" s="1651">
        <v>49</v>
      </c>
      <c r="CX125" s="1653">
        <v>50</v>
      </c>
      <c r="CZ125" s="542"/>
      <c r="DA125" s="542"/>
      <c r="DB125" s="542"/>
      <c r="DC125" s="542"/>
      <c r="DD125" s="542"/>
      <c r="DE125" s="542"/>
      <c r="DF125" s="542"/>
      <c r="DG125" s="542"/>
      <c r="DH125" s="542"/>
      <c r="DI125" s="542"/>
      <c r="DJ125" s="542"/>
      <c r="DK125" s="542"/>
      <c r="DL125" s="542"/>
      <c r="DM125" s="542"/>
      <c r="DN125" s="542"/>
      <c r="DO125" s="542"/>
      <c r="DP125" s="542"/>
      <c r="DQ125" s="542"/>
      <c r="DR125" s="542"/>
      <c r="DS125" s="542"/>
      <c r="DT125" s="542"/>
      <c r="DU125" s="542"/>
      <c r="DV125" s="542"/>
      <c r="DW125" s="542"/>
      <c r="DX125" s="542"/>
      <c r="DY125" s="542"/>
      <c r="DZ125" s="542"/>
      <c r="EA125" s="542"/>
      <c r="EB125" s="542"/>
      <c r="EC125" s="542"/>
      <c r="ED125" s="542"/>
      <c r="EE125" s="542"/>
      <c r="EF125" s="542"/>
      <c r="EG125" s="542"/>
      <c r="EH125" s="542"/>
      <c r="EI125" s="542"/>
      <c r="EJ125" s="542"/>
      <c r="EK125" s="542"/>
      <c r="EL125" s="542"/>
      <c r="EM125" s="542"/>
      <c r="EN125" s="542"/>
      <c r="EO125" s="542"/>
      <c r="EP125" s="542"/>
      <c r="EQ125" s="542"/>
      <c r="ER125" s="542"/>
      <c r="ES125" s="542"/>
      <c r="ET125" s="542"/>
      <c r="EU125" s="542"/>
      <c r="EV125" s="542"/>
      <c r="EW125" s="542"/>
      <c r="EX125" s="542"/>
      <c r="EY125" s="542"/>
      <c r="EZ125" s="542"/>
      <c r="FA125" s="542"/>
      <c r="FB125" s="542"/>
      <c r="FC125" s="542"/>
      <c r="FD125" s="542"/>
      <c r="FE125" s="542"/>
      <c r="FF125" s="542"/>
      <c r="FG125" s="542"/>
      <c r="FH125" s="542"/>
      <c r="FI125" s="542"/>
      <c r="FJ125" s="542"/>
      <c r="FK125" s="542"/>
      <c r="FL125" s="542"/>
      <c r="FM125" s="542"/>
      <c r="FN125" s="542"/>
      <c r="FO125" s="542"/>
      <c r="FP125" s="542"/>
      <c r="FQ125" s="542"/>
      <c r="FR125" s="542"/>
      <c r="FS125" s="542"/>
      <c r="FT125" s="542"/>
      <c r="FU125" s="542"/>
      <c r="FV125" s="542"/>
      <c r="FW125" s="542"/>
      <c r="FX125" s="542"/>
      <c r="FY125" s="542"/>
      <c r="FZ125" s="542"/>
      <c r="GA125" s="542"/>
      <c r="GB125" s="542"/>
      <c r="GC125" s="542"/>
      <c r="GD125" s="542"/>
      <c r="GE125" s="542"/>
      <c r="GF125" s="542"/>
      <c r="GG125" s="542"/>
      <c r="GH125" s="542"/>
      <c r="GI125" s="542"/>
      <c r="GJ125" s="542"/>
      <c r="GK125" s="542"/>
      <c r="GL125" s="542"/>
      <c r="GM125" s="542"/>
      <c r="GN125" s="542"/>
      <c r="GO125" s="542"/>
      <c r="GP125" s="542"/>
      <c r="GQ125" s="542"/>
      <c r="GR125" s="542"/>
      <c r="GS125" s="542"/>
      <c r="GT125" s="542"/>
      <c r="GU125" s="542"/>
      <c r="GV125" s="542"/>
      <c r="GW125" s="542"/>
      <c r="GX125" s="542"/>
      <c r="GY125" s="542"/>
      <c r="GZ125" s="542"/>
      <c r="HA125" s="542"/>
      <c r="HB125" s="542"/>
      <c r="HC125" s="542"/>
      <c r="HD125" s="542"/>
      <c r="HE125" s="542"/>
      <c r="HF125" s="542"/>
      <c r="HG125" s="542"/>
      <c r="HH125" s="542"/>
      <c r="HI125" s="542"/>
      <c r="HJ125" s="542"/>
      <c r="HK125" s="542"/>
      <c r="HL125" s="542"/>
      <c r="HM125" s="542"/>
      <c r="HN125" s="542"/>
      <c r="HO125" s="542"/>
      <c r="HP125" s="542"/>
      <c r="HQ125" s="542"/>
      <c r="HR125" s="542"/>
      <c r="HS125" s="542"/>
      <c r="HT125" s="542"/>
      <c r="HU125" s="542"/>
      <c r="HV125" s="542"/>
      <c r="HW125" s="542"/>
      <c r="HX125" s="542"/>
      <c r="HY125" s="542"/>
      <c r="HZ125" s="542"/>
      <c r="IA125" s="542"/>
      <c r="IB125" s="542"/>
      <c r="IC125" s="542"/>
      <c r="ID125" s="542"/>
      <c r="IE125" s="542"/>
      <c r="IF125" s="542"/>
      <c r="IG125" s="542"/>
      <c r="IH125" s="542"/>
      <c r="II125" s="542"/>
      <c r="IJ125" s="542"/>
      <c r="IK125" s="542"/>
      <c r="IL125" s="542"/>
      <c r="IM125" s="542"/>
      <c r="IN125" s="542"/>
      <c r="IO125" s="542"/>
      <c r="IP125" s="542"/>
      <c r="IQ125" s="542"/>
      <c r="IR125" s="542"/>
      <c r="IS125" s="542"/>
      <c r="IT125" s="542"/>
      <c r="IU125" s="542"/>
      <c r="IV125" s="542"/>
      <c r="IW125" s="542"/>
      <c r="IX125" s="542"/>
      <c r="IY125" s="542"/>
      <c r="IZ125" s="542"/>
      <c r="JA125" s="542"/>
      <c r="JB125" s="542"/>
    </row>
    <row r="126" spans="8:262" ht="18.899999999999999" hidden="1" customHeight="1">
      <c r="BC126" s="1614"/>
      <c r="BD126" s="1614"/>
      <c r="BE126" s="1614"/>
      <c r="CZ126" s="542"/>
      <c r="DA126" s="542"/>
      <c r="DB126" s="542"/>
      <c r="DC126" s="542"/>
      <c r="DD126" s="542"/>
      <c r="DE126" s="542"/>
      <c r="DF126" s="542"/>
      <c r="DG126" s="542"/>
      <c r="DH126" s="542"/>
      <c r="DI126" s="542"/>
      <c r="DJ126" s="542"/>
      <c r="DK126" s="542"/>
      <c r="DL126" s="542"/>
      <c r="DM126" s="542"/>
      <c r="DN126" s="542"/>
      <c r="DO126" s="542"/>
      <c r="DP126" s="542"/>
      <c r="DQ126" s="542"/>
      <c r="DR126" s="542"/>
      <c r="DS126" s="542"/>
      <c r="DT126" s="542"/>
      <c r="DU126" s="542"/>
      <c r="DV126" s="542"/>
      <c r="DW126" s="542"/>
      <c r="DX126" s="542"/>
      <c r="DY126" s="542"/>
      <c r="DZ126" s="542"/>
      <c r="EA126" s="542"/>
      <c r="EB126" s="542"/>
      <c r="EC126" s="542"/>
      <c r="ED126" s="542"/>
      <c r="EE126" s="542"/>
      <c r="EF126" s="542"/>
      <c r="EG126" s="542"/>
      <c r="EH126" s="542"/>
      <c r="EI126" s="542"/>
      <c r="EJ126" s="542"/>
      <c r="EK126" s="542"/>
      <c r="EL126" s="542"/>
      <c r="EM126" s="542"/>
      <c r="EN126" s="542"/>
      <c r="EO126" s="542"/>
      <c r="EP126" s="542"/>
      <c r="EQ126" s="542"/>
      <c r="ER126" s="542"/>
      <c r="ES126" s="542"/>
      <c r="ET126" s="542"/>
      <c r="EU126" s="542"/>
      <c r="EV126" s="542"/>
      <c r="EW126" s="542"/>
      <c r="EX126" s="542"/>
      <c r="EY126" s="542"/>
      <c r="EZ126" s="542"/>
      <c r="FA126" s="542"/>
      <c r="FB126" s="542"/>
      <c r="FC126" s="542"/>
      <c r="FD126" s="542"/>
      <c r="FE126" s="542"/>
      <c r="FF126" s="542"/>
      <c r="FG126" s="542"/>
      <c r="FH126" s="542"/>
      <c r="FI126" s="542"/>
      <c r="FJ126" s="542"/>
      <c r="FK126" s="542"/>
      <c r="FL126" s="542"/>
      <c r="FM126" s="542"/>
      <c r="FN126" s="542"/>
      <c r="FO126" s="542"/>
      <c r="FP126" s="542"/>
      <c r="FQ126" s="542"/>
      <c r="FR126" s="542"/>
      <c r="FS126" s="542"/>
      <c r="FT126" s="542"/>
      <c r="FU126" s="542"/>
      <c r="FV126" s="542"/>
      <c r="FW126" s="542"/>
      <c r="FX126" s="542"/>
      <c r="FY126" s="542"/>
      <c r="FZ126" s="542"/>
      <c r="GA126" s="542"/>
      <c r="GB126" s="542"/>
      <c r="GC126" s="542"/>
      <c r="GD126" s="542"/>
      <c r="GE126" s="542"/>
      <c r="GF126" s="542"/>
      <c r="GG126" s="542"/>
      <c r="GH126" s="542"/>
      <c r="GI126" s="542"/>
      <c r="GJ126" s="542"/>
      <c r="GK126" s="542"/>
      <c r="GL126" s="542"/>
      <c r="GM126" s="542"/>
      <c r="GN126" s="542"/>
      <c r="GO126" s="542"/>
      <c r="GP126" s="542"/>
      <c r="GQ126" s="542"/>
      <c r="GR126" s="542"/>
      <c r="GS126" s="542"/>
      <c r="GT126" s="542"/>
      <c r="GU126" s="542"/>
      <c r="GV126" s="542"/>
      <c r="GW126" s="542"/>
      <c r="GX126" s="542"/>
      <c r="GY126" s="542"/>
      <c r="GZ126" s="542"/>
      <c r="HA126" s="542"/>
      <c r="HB126" s="542"/>
      <c r="HC126" s="542"/>
      <c r="HD126" s="542"/>
      <c r="HE126" s="542"/>
      <c r="HF126" s="542"/>
      <c r="HG126" s="542"/>
      <c r="HH126" s="542"/>
      <c r="HI126" s="542"/>
      <c r="HJ126" s="542"/>
      <c r="HK126" s="542"/>
      <c r="HL126" s="542"/>
      <c r="HM126" s="542"/>
      <c r="HN126" s="542"/>
      <c r="HO126" s="542"/>
      <c r="HP126" s="542"/>
      <c r="HQ126" s="542"/>
      <c r="HR126" s="542"/>
      <c r="HS126" s="542"/>
      <c r="HT126" s="542"/>
      <c r="HU126" s="542"/>
      <c r="HV126" s="542"/>
      <c r="HW126" s="542"/>
      <c r="HX126" s="542"/>
      <c r="HY126" s="542"/>
      <c r="HZ126" s="542"/>
      <c r="IA126" s="542"/>
      <c r="IB126" s="542"/>
      <c r="IC126" s="542"/>
      <c r="ID126" s="542"/>
      <c r="IE126" s="542"/>
      <c r="IF126" s="542"/>
      <c r="IG126" s="542"/>
      <c r="IH126" s="542"/>
      <c r="II126" s="542"/>
      <c r="IJ126" s="542"/>
      <c r="IK126" s="542"/>
      <c r="IL126" s="542"/>
      <c r="IM126" s="542"/>
      <c r="IN126" s="542"/>
      <c r="IO126" s="542"/>
      <c r="IP126" s="542"/>
      <c r="IQ126" s="542"/>
      <c r="IR126" s="542"/>
      <c r="IS126" s="542"/>
      <c r="IT126" s="542"/>
      <c r="IU126" s="542"/>
      <c r="IV126" s="542"/>
      <c r="IW126" s="542"/>
      <c r="IX126" s="542"/>
      <c r="IY126" s="542"/>
      <c r="IZ126" s="542"/>
      <c r="JA126" s="542"/>
      <c r="JB126" s="542"/>
    </row>
    <row r="127" spans="8:262" ht="18.899999999999999" customHeight="1">
      <c r="BC127" s="1614"/>
      <c r="BD127" s="1614"/>
      <c r="BE127" s="1614"/>
      <c r="CZ127" s="542"/>
      <c r="DA127" s="542"/>
      <c r="DB127" s="542"/>
      <c r="DC127" s="542"/>
      <c r="DD127" s="542"/>
      <c r="DE127" s="542"/>
      <c r="DF127" s="542"/>
      <c r="DG127" s="542"/>
      <c r="DH127" s="542"/>
      <c r="DI127" s="542"/>
      <c r="DJ127" s="542"/>
      <c r="DK127" s="542"/>
      <c r="DL127" s="542"/>
      <c r="DM127" s="542"/>
      <c r="DN127" s="542"/>
      <c r="DO127" s="542"/>
      <c r="DP127" s="542"/>
      <c r="DQ127" s="542"/>
      <c r="DR127" s="542"/>
      <c r="DS127" s="542"/>
      <c r="DT127" s="542"/>
      <c r="DU127" s="542"/>
      <c r="DV127" s="542"/>
      <c r="DW127" s="542"/>
      <c r="DX127" s="542"/>
      <c r="DY127" s="542"/>
      <c r="DZ127" s="542"/>
      <c r="EA127" s="542"/>
      <c r="EB127" s="542"/>
      <c r="EC127" s="542"/>
      <c r="ED127" s="542"/>
      <c r="EE127" s="542"/>
      <c r="EF127" s="542"/>
      <c r="EG127" s="542"/>
      <c r="EH127" s="542"/>
      <c r="EI127" s="542"/>
      <c r="EJ127" s="542"/>
      <c r="EK127" s="542"/>
      <c r="EL127" s="542"/>
      <c r="EM127" s="542"/>
      <c r="EN127" s="542"/>
      <c r="EO127" s="542"/>
      <c r="EP127" s="542"/>
      <c r="EQ127" s="542"/>
      <c r="ER127" s="542"/>
      <c r="ES127" s="542"/>
      <c r="ET127" s="542"/>
      <c r="EU127" s="542"/>
      <c r="EV127" s="542"/>
      <c r="EW127" s="542"/>
      <c r="EX127" s="542"/>
      <c r="EY127" s="542"/>
      <c r="EZ127" s="542"/>
      <c r="FA127" s="542"/>
      <c r="FB127" s="542"/>
      <c r="FC127" s="542"/>
      <c r="FD127" s="542"/>
      <c r="FE127" s="542"/>
      <c r="FF127" s="542"/>
      <c r="FG127" s="542"/>
      <c r="FH127" s="542"/>
      <c r="FI127" s="542"/>
      <c r="FJ127" s="542"/>
      <c r="FK127" s="542"/>
      <c r="FL127" s="542"/>
      <c r="FM127" s="542"/>
      <c r="FN127" s="542"/>
      <c r="FO127" s="542"/>
      <c r="FP127" s="542"/>
      <c r="FQ127" s="542"/>
      <c r="FR127" s="542"/>
      <c r="FS127" s="542"/>
      <c r="FT127" s="542"/>
      <c r="FU127" s="542"/>
      <c r="FV127" s="542"/>
      <c r="FW127" s="542"/>
      <c r="FX127" s="542"/>
      <c r="FY127" s="542"/>
      <c r="FZ127" s="542"/>
      <c r="GA127" s="542"/>
      <c r="GB127" s="542"/>
      <c r="GC127" s="542"/>
      <c r="GD127" s="542"/>
      <c r="GE127" s="542"/>
      <c r="GF127" s="542"/>
      <c r="GG127" s="542"/>
      <c r="GH127" s="542"/>
      <c r="GI127" s="542"/>
      <c r="GJ127" s="542"/>
      <c r="GK127" s="542"/>
      <c r="GL127" s="542"/>
      <c r="GM127" s="542"/>
      <c r="GN127" s="542"/>
      <c r="GO127" s="542"/>
      <c r="GP127" s="542"/>
      <c r="GQ127" s="542"/>
      <c r="GR127" s="542"/>
      <c r="GS127" s="542"/>
      <c r="GT127" s="542"/>
      <c r="GU127" s="542"/>
      <c r="GV127" s="542"/>
      <c r="GW127" s="542"/>
      <c r="GX127" s="542"/>
      <c r="GY127" s="542"/>
      <c r="GZ127" s="542"/>
      <c r="HA127" s="542"/>
      <c r="HB127" s="542"/>
      <c r="HC127" s="542"/>
      <c r="HD127" s="542"/>
      <c r="HE127" s="542"/>
      <c r="HF127" s="542"/>
      <c r="HG127" s="542"/>
      <c r="HH127" s="542"/>
      <c r="HI127" s="542"/>
      <c r="HJ127" s="542"/>
      <c r="HK127" s="542"/>
      <c r="HL127" s="542"/>
      <c r="HM127" s="542"/>
      <c r="HN127" s="542"/>
      <c r="HO127" s="542"/>
      <c r="HP127" s="542"/>
      <c r="HQ127" s="542"/>
      <c r="HR127" s="542"/>
      <c r="HS127" s="542"/>
      <c r="HT127" s="542"/>
      <c r="HU127" s="542"/>
      <c r="HV127" s="542"/>
      <c r="HW127" s="542"/>
      <c r="HX127" s="542"/>
      <c r="HY127" s="542"/>
      <c r="HZ127" s="542"/>
      <c r="IA127" s="542"/>
      <c r="IB127" s="542"/>
      <c r="IC127" s="542"/>
      <c r="ID127" s="542"/>
      <c r="IE127" s="542"/>
      <c r="IF127" s="542"/>
      <c r="IG127" s="542"/>
      <c r="IH127" s="542"/>
      <c r="II127" s="542"/>
      <c r="IJ127" s="542"/>
      <c r="IK127" s="542"/>
      <c r="IL127" s="542"/>
      <c r="IM127" s="542"/>
      <c r="IN127" s="542"/>
      <c r="IO127" s="542"/>
      <c r="IP127" s="542"/>
      <c r="IQ127" s="542"/>
      <c r="IR127" s="542"/>
      <c r="IS127" s="542"/>
      <c r="IT127" s="542"/>
      <c r="IU127" s="542"/>
      <c r="IV127" s="542"/>
      <c r="IW127" s="542"/>
      <c r="IX127" s="542"/>
      <c r="IY127" s="542"/>
      <c r="IZ127" s="542"/>
      <c r="JA127" s="542"/>
      <c r="JB127" s="542"/>
    </row>
    <row r="128" spans="8:262" ht="18.899999999999999" customHeight="1">
      <c r="BC128" s="1614"/>
      <c r="BD128" s="1614"/>
      <c r="BE128" s="1614"/>
      <c r="CZ128" s="542"/>
      <c r="DA128" s="542"/>
      <c r="DB128" s="542"/>
      <c r="DC128" s="542"/>
      <c r="DD128" s="542"/>
      <c r="DE128" s="542"/>
      <c r="DF128" s="542"/>
      <c r="DG128" s="542"/>
      <c r="DH128" s="542"/>
      <c r="DI128" s="542"/>
      <c r="DJ128" s="542"/>
      <c r="DK128" s="542"/>
      <c r="DL128" s="542"/>
      <c r="DM128" s="542"/>
      <c r="DN128" s="542"/>
      <c r="DO128" s="542"/>
      <c r="DP128" s="542"/>
      <c r="DQ128" s="542"/>
      <c r="DR128" s="542"/>
      <c r="DS128" s="542"/>
      <c r="DT128" s="542"/>
      <c r="DU128" s="542"/>
      <c r="DV128" s="542"/>
      <c r="DW128" s="542"/>
      <c r="DX128" s="542"/>
      <c r="DY128" s="542"/>
      <c r="DZ128" s="542"/>
      <c r="EA128" s="542"/>
      <c r="EB128" s="542"/>
      <c r="EC128" s="542"/>
      <c r="ED128" s="542"/>
      <c r="EE128" s="542"/>
      <c r="EF128" s="542"/>
      <c r="EG128" s="542"/>
      <c r="EH128" s="542"/>
      <c r="EI128" s="542"/>
      <c r="EJ128" s="542"/>
      <c r="EK128" s="542"/>
      <c r="EL128" s="542"/>
      <c r="EM128" s="542"/>
      <c r="EN128" s="542"/>
      <c r="EO128" s="542"/>
      <c r="EP128" s="542"/>
      <c r="EQ128" s="542"/>
      <c r="ER128" s="542"/>
      <c r="ES128" s="542"/>
      <c r="ET128" s="542"/>
      <c r="EU128" s="542"/>
      <c r="EV128" s="542"/>
      <c r="EW128" s="542"/>
      <c r="EX128" s="542"/>
      <c r="EY128" s="542"/>
      <c r="EZ128" s="542"/>
      <c r="FA128" s="542"/>
      <c r="FB128" s="542"/>
      <c r="FC128" s="542"/>
      <c r="FD128" s="542"/>
      <c r="FE128" s="542"/>
      <c r="FF128" s="542"/>
      <c r="FG128" s="542"/>
      <c r="FH128" s="542"/>
      <c r="FI128" s="542"/>
      <c r="FJ128" s="542"/>
      <c r="FK128" s="542"/>
      <c r="FL128" s="542"/>
      <c r="FM128" s="542"/>
      <c r="FN128" s="542"/>
      <c r="FO128" s="542"/>
      <c r="FP128" s="542"/>
      <c r="FQ128" s="542"/>
      <c r="FR128" s="542"/>
      <c r="FS128" s="542"/>
      <c r="FT128" s="542"/>
      <c r="FU128" s="542"/>
      <c r="FV128" s="542"/>
      <c r="FW128" s="542"/>
      <c r="FX128" s="542"/>
      <c r="FY128" s="542"/>
      <c r="FZ128" s="542"/>
      <c r="GA128" s="542"/>
      <c r="GB128" s="542"/>
      <c r="GC128" s="542"/>
      <c r="GD128" s="542"/>
      <c r="GE128" s="542"/>
      <c r="GF128" s="542"/>
      <c r="GG128" s="542"/>
      <c r="GH128" s="542"/>
      <c r="GI128" s="542"/>
      <c r="GJ128" s="542"/>
      <c r="GK128" s="542"/>
      <c r="GL128" s="542"/>
      <c r="GM128" s="542"/>
      <c r="GN128" s="542"/>
      <c r="GO128" s="542"/>
      <c r="GP128" s="542"/>
      <c r="GQ128" s="542"/>
      <c r="GR128" s="542"/>
      <c r="GS128" s="542"/>
      <c r="GT128" s="542"/>
      <c r="GU128" s="542"/>
      <c r="GV128" s="542"/>
      <c r="GW128" s="542"/>
      <c r="GX128" s="542"/>
      <c r="GY128" s="542"/>
      <c r="GZ128" s="542"/>
      <c r="HA128" s="542"/>
      <c r="HB128" s="542"/>
      <c r="HC128" s="542"/>
      <c r="HD128" s="542"/>
      <c r="HE128" s="542"/>
      <c r="HF128" s="542"/>
      <c r="HG128" s="542"/>
      <c r="HH128" s="542"/>
      <c r="HI128" s="542"/>
      <c r="HJ128" s="542"/>
      <c r="HK128" s="542"/>
      <c r="HL128" s="542"/>
      <c r="HM128" s="542"/>
      <c r="HN128" s="542"/>
      <c r="HO128" s="542"/>
      <c r="HP128" s="542"/>
      <c r="HQ128" s="542"/>
      <c r="HR128" s="542"/>
      <c r="HS128" s="542"/>
      <c r="HT128" s="542"/>
      <c r="HU128" s="542"/>
      <c r="HV128" s="542"/>
      <c r="HW128" s="542"/>
      <c r="HX128" s="542"/>
      <c r="HY128" s="542"/>
      <c r="HZ128" s="542"/>
      <c r="IA128" s="542"/>
      <c r="IB128" s="542"/>
      <c r="IC128" s="542"/>
      <c r="ID128" s="542"/>
      <c r="IE128" s="542"/>
      <c r="IF128" s="542"/>
      <c r="IG128" s="542"/>
      <c r="IH128" s="542"/>
      <c r="II128" s="542"/>
      <c r="IJ128" s="542"/>
      <c r="IK128" s="542"/>
      <c r="IL128" s="542"/>
      <c r="IM128" s="542"/>
      <c r="IN128" s="542"/>
      <c r="IO128" s="542"/>
      <c r="IP128" s="542"/>
      <c r="IQ128" s="542"/>
      <c r="IR128" s="542"/>
      <c r="IS128" s="542"/>
      <c r="IT128" s="542"/>
      <c r="IU128" s="542"/>
      <c r="IV128" s="542"/>
      <c r="IW128" s="542"/>
      <c r="IX128" s="542"/>
      <c r="IY128" s="542"/>
      <c r="IZ128" s="542"/>
      <c r="JA128" s="542"/>
      <c r="JB128" s="542"/>
    </row>
    <row r="129" spans="55:262" ht="18.899999999999999" customHeight="1">
      <c r="BC129" s="1614"/>
      <c r="BD129" s="1614"/>
      <c r="BE129" s="1614"/>
      <c r="CZ129" s="542"/>
      <c r="DA129" s="542"/>
      <c r="DB129" s="542"/>
      <c r="DC129" s="542"/>
      <c r="DD129" s="542"/>
      <c r="DE129" s="542"/>
      <c r="DF129" s="542"/>
      <c r="DG129" s="542"/>
      <c r="DH129" s="542"/>
      <c r="DI129" s="542"/>
      <c r="DJ129" s="542"/>
      <c r="DK129" s="542"/>
      <c r="DL129" s="542"/>
      <c r="DM129" s="542"/>
      <c r="DN129" s="542"/>
      <c r="DO129" s="542"/>
      <c r="DP129" s="542"/>
      <c r="DQ129" s="542"/>
      <c r="DR129" s="542"/>
      <c r="DS129" s="542"/>
      <c r="DT129" s="542"/>
      <c r="DU129" s="542"/>
      <c r="DV129" s="542"/>
      <c r="DW129" s="542"/>
      <c r="DX129" s="542"/>
      <c r="DY129" s="542"/>
      <c r="DZ129" s="542"/>
      <c r="EA129" s="542"/>
      <c r="EB129" s="542"/>
      <c r="EC129" s="542"/>
      <c r="ED129" s="542"/>
      <c r="EE129" s="542"/>
      <c r="EF129" s="542"/>
      <c r="EG129" s="542"/>
      <c r="EH129" s="542"/>
      <c r="EI129" s="542"/>
      <c r="EJ129" s="542"/>
      <c r="EK129" s="542"/>
      <c r="EL129" s="542"/>
      <c r="EM129" s="542"/>
      <c r="EN129" s="542"/>
      <c r="EO129" s="542"/>
      <c r="EP129" s="542"/>
      <c r="EQ129" s="542"/>
      <c r="ER129" s="542"/>
      <c r="ES129" s="542"/>
      <c r="ET129" s="542"/>
      <c r="EU129" s="542"/>
      <c r="EV129" s="542"/>
      <c r="EW129" s="542"/>
      <c r="EX129" s="542"/>
      <c r="EY129" s="542"/>
      <c r="EZ129" s="542"/>
      <c r="FA129" s="542"/>
      <c r="FB129" s="542"/>
      <c r="FC129" s="542"/>
      <c r="FD129" s="542"/>
      <c r="FE129" s="542"/>
      <c r="FF129" s="542"/>
      <c r="FG129" s="542"/>
      <c r="FH129" s="542"/>
      <c r="FI129" s="542"/>
      <c r="FJ129" s="542"/>
      <c r="FK129" s="542"/>
      <c r="FL129" s="542"/>
      <c r="FM129" s="542"/>
      <c r="FN129" s="542"/>
      <c r="FO129" s="542"/>
      <c r="FP129" s="542"/>
      <c r="FQ129" s="542"/>
      <c r="FR129" s="542"/>
      <c r="FS129" s="542"/>
      <c r="FT129" s="542"/>
      <c r="FU129" s="542"/>
      <c r="FV129" s="542"/>
      <c r="FW129" s="542"/>
      <c r="FX129" s="542"/>
      <c r="FY129" s="542"/>
      <c r="FZ129" s="542"/>
      <c r="GA129" s="542"/>
      <c r="GB129" s="542"/>
      <c r="GC129" s="542"/>
      <c r="GD129" s="542"/>
      <c r="GE129" s="542"/>
      <c r="GF129" s="542"/>
      <c r="GG129" s="542"/>
      <c r="GH129" s="542"/>
      <c r="GI129" s="542"/>
      <c r="GJ129" s="542"/>
      <c r="GK129" s="542"/>
      <c r="GL129" s="542"/>
      <c r="GM129" s="542"/>
      <c r="GN129" s="542"/>
      <c r="GO129" s="542"/>
      <c r="GP129" s="542"/>
      <c r="GQ129" s="542"/>
      <c r="GR129" s="542"/>
      <c r="GS129" s="542"/>
      <c r="GT129" s="542"/>
      <c r="GU129" s="542"/>
      <c r="GV129" s="542"/>
      <c r="GW129" s="542"/>
      <c r="GX129" s="542"/>
      <c r="GY129" s="542"/>
      <c r="GZ129" s="542"/>
      <c r="HA129" s="542"/>
      <c r="HB129" s="542"/>
      <c r="HC129" s="542"/>
      <c r="HD129" s="542"/>
      <c r="HE129" s="542"/>
      <c r="HF129" s="542"/>
      <c r="HG129" s="542"/>
      <c r="HH129" s="542"/>
      <c r="HI129" s="542"/>
      <c r="HJ129" s="542"/>
      <c r="HK129" s="542"/>
      <c r="HL129" s="542"/>
      <c r="HM129" s="542"/>
      <c r="HN129" s="542"/>
      <c r="HO129" s="542"/>
      <c r="HP129" s="542"/>
      <c r="HQ129" s="542"/>
      <c r="HR129" s="542"/>
      <c r="HS129" s="542"/>
      <c r="HT129" s="542"/>
      <c r="HU129" s="542"/>
      <c r="HV129" s="542"/>
      <c r="HW129" s="542"/>
      <c r="HX129" s="542"/>
      <c r="HY129" s="542"/>
      <c r="HZ129" s="542"/>
      <c r="IA129" s="542"/>
      <c r="IB129" s="542"/>
      <c r="IC129" s="542"/>
      <c r="ID129" s="542"/>
      <c r="IE129" s="542"/>
      <c r="IF129" s="542"/>
      <c r="IG129" s="542"/>
      <c r="IH129" s="542"/>
      <c r="II129" s="542"/>
      <c r="IJ129" s="542"/>
      <c r="IK129" s="542"/>
      <c r="IL129" s="542"/>
      <c r="IM129" s="542"/>
      <c r="IN129" s="542"/>
      <c r="IO129" s="542"/>
      <c r="IP129" s="542"/>
      <c r="IQ129" s="542"/>
      <c r="IR129" s="542"/>
      <c r="IS129" s="542"/>
      <c r="IT129" s="542"/>
      <c r="IU129" s="542"/>
      <c r="IV129" s="542"/>
      <c r="IW129" s="542"/>
      <c r="IX129" s="542"/>
      <c r="IY129" s="542"/>
      <c r="IZ129" s="542"/>
      <c r="JA129" s="542"/>
      <c r="JB129" s="542"/>
    </row>
    <row r="130" spans="55:262" ht="18.899999999999999" customHeight="1">
      <c r="BC130" s="1614"/>
      <c r="BD130" s="1614"/>
      <c r="BE130" s="1614"/>
      <c r="CZ130" s="542"/>
      <c r="DA130" s="542"/>
      <c r="DB130" s="542"/>
      <c r="DC130" s="542"/>
      <c r="DD130" s="542"/>
      <c r="DE130" s="542"/>
      <c r="DF130" s="542"/>
      <c r="DG130" s="542"/>
      <c r="DH130" s="542"/>
      <c r="DI130" s="542"/>
      <c r="DJ130" s="542"/>
      <c r="DK130" s="542"/>
      <c r="DL130" s="542"/>
      <c r="DM130" s="542"/>
      <c r="DN130" s="542"/>
      <c r="DO130" s="542"/>
      <c r="DP130" s="542"/>
      <c r="DQ130" s="542"/>
      <c r="DR130" s="542"/>
      <c r="DS130" s="542"/>
      <c r="DT130" s="542"/>
      <c r="DU130" s="542"/>
      <c r="DV130" s="542"/>
      <c r="DW130" s="542"/>
      <c r="DX130" s="542"/>
      <c r="DY130" s="542"/>
      <c r="DZ130" s="542"/>
      <c r="EA130" s="542"/>
      <c r="EB130" s="542"/>
      <c r="EC130" s="542"/>
      <c r="ED130" s="542"/>
      <c r="EE130" s="542"/>
      <c r="EF130" s="542"/>
      <c r="EG130" s="542"/>
      <c r="EH130" s="542"/>
      <c r="EI130" s="542"/>
      <c r="EJ130" s="542"/>
      <c r="EK130" s="542"/>
      <c r="EL130" s="542"/>
      <c r="EM130" s="542"/>
      <c r="EN130" s="542"/>
      <c r="EO130" s="542"/>
      <c r="EP130" s="542"/>
      <c r="EQ130" s="542"/>
      <c r="ER130" s="542"/>
      <c r="ES130" s="542"/>
      <c r="ET130" s="542"/>
      <c r="EU130" s="542"/>
      <c r="EV130" s="542"/>
      <c r="EW130" s="542"/>
      <c r="EX130" s="542"/>
      <c r="EY130" s="542"/>
      <c r="EZ130" s="542"/>
      <c r="FA130" s="542"/>
      <c r="FB130" s="542"/>
      <c r="FC130" s="542"/>
      <c r="FD130" s="542"/>
      <c r="FE130" s="542"/>
      <c r="FF130" s="542"/>
      <c r="FG130" s="542"/>
      <c r="FH130" s="542"/>
      <c r="FI130" s="542"/>
      <c r="FJ130" s="542"/>
      <c r="FK130" s="542"/>
      <c r="FL130" s="542"/>
      <c r="FM130" s="542"/>
      <c r="FN130" s="542"/>
      <c r="FO130" s="542"/>
      <c r="FP130" s="542"/>
      <c r="FQ130" s="542"/>
      <c r="FR130" s="542"/>
      <c r="FS130" s="542"/>
      <c r="FT130" s="542"/>
      <c r="FU130" s="542"/>
      <c r="FV130" s="542"/>
      <c r="FW130" s="542"/>
      <c r="FX130" s="542"/>
      <c r="FY130" s="542"/>
      <c r="FZ130" s="542"/>
      <c r="GA130" s="542"/>
      <c r="GB130" s="542"/>
      <c r="GC130" s="542"/>
      <c r="GD130" s="542"/>
      <c r="GE130" s="542"/>
      <c r="GF130" s="542"/>
      <c r="GG130" s="542"/>
      <c r="GH130" s="542"/>
      <c r="GI130" s="542"/>
      <c r="GJ130" s="542"/>
      <c r="GK130" s="542"/>
      <c r="GL130" s="542"/>
      <c r="GM130" s="542"/>
      <c r="GN130" s="542"/>
      <c r="GO130" s="542"/>
      <c r="GP130" s="542"/>
      <c r="GQ130" s="542"/>
      <c r="GR130" s="542"/>
      <c r="GS130" s="542"/>
      <c r="GT130" s="542"/>
      <c r="GU130" s="542"/>
      <c r="GV130" s="542"/>
      <c r="GW130" s="542"/>
      <c r="GX130" s="542"/>
      <c r="GY130" s="542"/>
      <c r="GZ130" s="542"/>
      <c r="HA130" s="542"/>
      <c r="HB130" s="542"/>
      <c r="HC130" s="542"/>
      <c r="HD130" s="542"/>
      <c r="HE130" s="542"/>
      <c r="HF130" s="542"/>
      <c r="HG130" s="542"/>
      <c r="HH130" s="542"/>
      <c r="HI130" s="542"/>
      <c r="HJ130" s="542"/>
      <c r="HK130" s="542"/>
      <c r="HL130" s="542"/>
      <c r="HM130" s="542"/>
      <c r="HN130" s="542"/>
      <c r="HO130" s="542"/>
      <c r="HP130" s="542"/>
      <c r="HQ130" s="542"/>
      <c r="HR130" s="542"/>
      <c r="HS130" s="542"/>
      <c r="HT130" s="542"/>
      <c r="HU130" s="542"/>
      <c r="HV130" s="542"/>
      <c r="HW130" s="542"/>
      <c r="HX130" s="542"/>
      <c r="HY130" s="542"/>
      <c r="HZ130" s="542"/>
      <c r="IA130" s="542"/>
      <c r="IB130" s="542"/>
      <c r="IC130" s="542"/>
      <c r="ID130" s="542"/>
      <c r="IE130" s="542"/>
      <c r="IF130" s="542"/>
      <c r="IG130" s="542"/>
      <c r="IH130" s="542"/>
      <c r="II130" s="542"/>
      <c r="IJ130" s="542"/>
      <c r="IK130" s="542"/>
      <c r="IL130" s="542"/>
      <c r="IM130" s="542"/>
      <c r="IN130" s="542"/>
      <c r="IO130" s="542"/>
      <c r="IP130" s="542"/>
      <c r="IQ130" s="542"/>
      <c r="IR130" s="542"/>
      <c r="IS130" s="542"/>
      <c r="IT130" s="542"/>
      <c r="IU130" s="542"/>
      <c r="IV130" s="542"/>
      <c r="IW130" s="542"/>
      <c r="IX130" s="542"/>
      <c r="IY130" s="542"/>
      <c r="IZ130" s="542"/>
      <c r="JA130" s="542"/>
      <c r="JB130" s="542"/>
    </row>
    <row r="131" spans="55:262" ht="18.899999999999999" customHeight="1">
      <c r="BC131" s="1614"/>
      <c r="BD131" s="1614"/>
      <c r="BE131" s="1614"/>
      <c r="CZ131" s="542"/>
      <c r="DA131" s="542"/>
      <c r="DB131" s="542"/>
      <c r="DC131" s="542"/>
      <c r="DD131" s="542"/>
      <c r="DE131" s="542"/>
      <c r="DF131" s="542"/>
      <c r="DG131" s="542"/>
      <c r="DH131" s="542"/>
      <c r="DI131" s="542"/>
      <c r="DJ131" s="542"/>
      <c r="DK131" s="542"/>
      <c r="DL131" s="542"/>
      <c r="DM131" s="542"/>
      <c r="DN131" s="542"/>
      <c r="DO131" s="542"/>
      <c r="DP131" s="542"/>
      <c r="DQ131" s="542"/>
      <c r="DR131" s="542"/>
      <c r="DS131" s="542"/>
      <c r="DT131" s="542"/>
      <c r="DU131" s="542"/>
      <c r="DV131" s="542"/>
      <c r="DW131" s="542"/>
      <c r="DX131" s="542"/>
      <c r="DY131" s="542"/>
      <c r="DZ131" s="542"/>
      <c r="EA131" s="542"/>
      <c r="EB131" s="542"/>
      <c r="EC131" s="542"/>
      <c r="ED131" s="542"/>
      <c r="EE131" s="542"/>
      <c r="EF131" s="542"/>
      <c r="EG131" s="542"/>
      <c r="EH131" s="542"/>
      <c r="EI131" s="542"/>
      <c r="EJ131" s="542"/>
      <c r="EK131" s="542"/>
      <c r="EL131" s="542"/>
      <c r="EM131" s="542"/>
      <c r="EN131" s="542"/>
      <c r="EO131" s="542"/>
      <c r="EP131" s="542"/>
      <c r="EQ131" s="542"/>
      <c r="ER131" s="542"/>
      <c r="ES131" s="542"/>
      <c r="ET131" s="542"/>
      <c r="EU131" s="542"/>
      <c r="EV131" s="542"/>
      <c r="EW131" s="542"/>
      <c r="EX131" s="542"/>
      <c r="EY131" s="542"/>
      <c r="EZ131" s="542"/>
      <c r="FA131" s="542"/>
      <c r="FB131" s="542"/>
      <c r="FC131" s="542"/>
      <c r="FD131" s="542"/>
      <c r="FE131" s="542"/>
      <c r="FF131" s="542"/>
      <c r="FG131" s="542"/>
      <c r="FH131" s="542"/>
      <c r="FI131" s="542"/>
      <c r="FJ131" s="542"/>
      <c r="FK131" s="542"/>
      <c r="FL131" s="542"/>
      <c r="FM131" s="542"/>
      <c r="FN131" s="542"/>
      <c r="FO131" s="542"/>
      <c r="FP131" s="542"/>
      <c r="FQ131" s="542"/>
      <c r="FR131" s="542"/>
      <c r="FS131" s="542"/>
      <c r="FT131" s="542"/>
      <c r="FU131" s="542"/>
      <c r="FV131" s="542"/>
      <c r="FW131" s="542"/>
      <c r="FX131" s="542"/>
      <c r="FY131" s="542"/>
      <c r="FZ131" s="542"/>
      <c r="GA131" s="542"/>
      <c r="GB131" s="542"/>
      <c r="GC131" s="542"/>
      <c r="GD131" s="542"/>
      <c r="GE131" s="542"/>
      <c r="GF131" s="542"/>
      <c r="GG131" s="542"/>
      <c r="GH131" s="542"/>
      <c r="GI131" s="542"/>
      <c r="GJ131" s="542"/>
      <c r="GK131" s="542"/>
      <c r="GL131" s="542"/>
      <c r="GM131" s="542"/>
      <c r="GN131" s="542"/>
      <c r="GO131" s="542"/>
      <c r="GP131" s="542"/>
      <c r="GQ131" s="542"/>
      <c r="GR131" s="542"/>
      <c r="GS131" s="542"/>
      <c r="GT131" s="542"/>
      <c r="GU131" s="542"/>
      <c r="GV131" s="542"/>
      <c r="GW131" s="542"/>
      <c r="GX131" s="542"/>
      <c r="GY131" s="542"/>
      <c r="GZ131" s="542"/>
      <c r="HA131" s="542"/>
      <c r="HB131" s="542"/>
      <c r="HC131" s="542"/>
      <c r="HD131" s="542"/>
      <c r="HE131" s="542"/>
      <c r="HF131" s="542"/>
      <c r="HG131" s="542"/>
      <c r="HH131" s="542"/>
      <c r="HI131" s="542"/>
      <c r="HJ131" s="542"/>
      <c r="HK131" s="542"/>
      <c r="HL131" s="542"/>
      <c r="HM131" s="542"/>
      <c r="HN131" s="542"/>
      <c r="HO131" s="542"/>
      <c r="HP131" s="542"/>
      <c r="HQ131" s="542"/>
      <c r="HR131" s="542"/>
      <c r="HS131" s="542"/>
      <c r="HT131" s="542"/>
      <c r="HU131" s="542"/>
      <c r="HV131" s="542"/>
      <c r="HW131" s="542"/>
      <c r="HX131" s="542"/>
      <c r="HY131" s="542"/>
      <c r="HZ131" s="542"/>
      <c r="IA131" s="542"/>
      <c r="IB131" s="542"/>
      <c r="IC131" s="542"/>
      <c r="ID131" s="542"/>
      <c r="IE131" s="542"/>
      <c r="IF131" s="542"/>
      <c r="IG131" s="542"/>
      <c r="IH131" s="542"/>
      <c r="II131" s="542"/>
      <c r="IJ131" s="542"/>
      <c r="IK131" s="542"/>
      <c r="IL131" s="542"/>
      <c r="IM131" s="542"/>
      <c r="IN131" s="542"/>
      <c r="IO131" s="542"/>
      <c r="IP131" s="542"/>
      <c r="IQ131" s="542"/>
      <c r="IR131" s="542"/>
      <c r="IS131" s="542"/>
      <c r="IT131" s="542"/>
      <c r="IU131" s="542"/>
      <c r="IV131" s="542"/>
      <c r="IW131" s="542"/>
      <c r="IX131" s="542"/>
      <c r="IY131" s="542"/>
      <c r="IZ131" s="542"/>
      <c r="JA131" s="542"/>
      <c r="JB131" s="542"/>
    </row>
    <row r="132" spans="55:262" ht="18.899999999999999" customHeight="1">
      <c r="BC132" s="1614"/>
      <c r="BD132" s="1614"/>
      <c r="BE132" s="1614"/>
      <c r="CZ132" s="542"/>
      <c r="DA132" s="542"/>
      <c r="DB132" s="542"/>
      <c r="DC132" s="542"/>
      <c r="DD132" s="542"/>
      <c r="DE132" s="542"/>
      <c r="DF132" s="542"/>
      <c r="DG132" s="542"/>
      <c r="DH132" s="542"/>
      <c r="DI132" s="542"/>
      <c r="DJ132" s="542"/>
      <c r="DK132" s="542"/>
      <c r="DL132" s="542"/>
      <c r="DM132" s="542"/>
      <c r="DN132" s="542"/>
      <c r="DO132" s="542"/>
      <c r="DP132" s="542"/>
      <c r="DQ132" s="542"/>
      <c r="DR132" s="542"/>
      <c r="DS132" s="542"/>
      <c r="DT132" s="542"/>
      <c r="DU132" s="542"/>
      <c r="DV132" s="542"/>
      <c r="DW132" s="542"/>
      <c r="DX132" s="542"/>
      <c r="DY132" s="542"/>
      <c r="DZ132" s="542"/>
      <c r="EA132" s="542"/>
      <c r="EB132" s="542"/>
      <c r="EC132" s="542"/>
      <c r="ED132" s="542"/>
      <c r="EE132" s="542"/>
      <c r="EF132" s="542"/>
      <c r="EG132" s="542"/>
      <c r="EH132" s="542"/>
      <c r="EI132" s="542"/>
      <c r="EJ132" s="542"/>
      <c r="EK132" s="542"/>
      <c r="EL132" s="542"/>
      <c r="EM132" s="542"/>
      <c r="EN132" s="542"/>
      <c r="EO132" s="542"/>
      <c r="EP132" s="542"/>
      <c r="EQ132" s="542"/>
      <c r="ER132" s="542"/>
      <c r="ES132" s="542"/>
      <c r="ET132" s="542"/>
      <c r="EU132" s="542"/>
      <c r="EV132" s="542"/>
      <c r="EW132" s="542"/>
      <c r="EX132" s="542"/>
      <c r="EY132" s="542"/>
      <c r="EZ132" s="542"/>
      <c r="FA132" s="542"/>
      <c r="FB132" s="542"/>
      <c r="FC132" s="542"/>
      <c r="FD132" s="542"/>
      <c r="FE132" s="542"/>
      <c r="FF132" s="542"/>
      <c r="FG132" s="542"/>
      <c r="FH132" s="542"/>
      <c r="FI132" s="542"/>
      <c r="FJ132" s="542"/>
      <c r="FK132" s="542"/>
      <c r="FL132" s="542"/>
      <c r="FM132" s="542"/>
      <c r="FN132" s="542"/>
      <c r="FO132" s="542"/>
      <c r="FP132" s="542"/>
      <c r="FQ132" s="542"/>
      <c r="FR132" s="542"/>
      <c r="FS132" s="542"/>
      <c r="FT132" s="542"/>
      <c r="FU132" s="542"/>
      <c r="FV132" s="542"/>
      <c r="FW132" s="542"/>
      <c r="FX132" s="542"/>
      <c r="FY132" s="542"/>
      <c r="FZ132" s="542"/>
      <c r="GA132" s="542"/>
      <c r="GB132" s="542"/>
      <c r="GC132" s="542"/>
      <c r="GD132" s="542"/>
      <c r="GE132" s="542"/>
      <c r="GF132" s="542"/>
      <c r="GG132" s="542"/>
      <c r="GH132" s="542"/>
      <c r="GI132" s="542"/>
      <c r="GJ132" s="542"/>
      <c r="GK132" s="542"/>
      <c r="GL132" s="542"/>
      <c r="GM132" s="542"/>
      <c r="GN132" s="542"/>
      <c r="GO132" s="542"/>
      <c r="GP132" s="542"/>
      <c r="GQ132" s="542"/>
      <c r="GR132" s="542"/>
      <c r="GS132" s="542"/>
      <c r="GT132" s="542"/>
      <c r="GU132" s="542"/>
      <c r="GV132" s="542"/>
      <c r="GW132" s="542"/>
      <c r="GX132" s="542"/>
      <c r="GY132" s="542"/>
      <c r="GZ132" s="542"/>
      <c r="HA132" s="542"/>
      <c r="HB132" s="542"/>
      <c r="HC132" s="542"/>
      <c r="HD132" s="542"/>
      <c r="HE132" s="542"/>
      <c r="HF132" s="542"/>
      <c r="HG132" s="542"/>
      <c r="HH132" s="542"/>
      <c r="HI132" s="542"/>
      <c r="HJ132" s="542"/>
      <c r="HK132" s="542"/>
      <c r="HL132" s="542"/>
      <c r="HM132" s="542"/>
      <c r="HN132" s="542"/>
      <c r="HO132" s="542"/>
      <c r="HP132" s="542"/>
      <c r="HQ132" s="542"/>
      <c r="HR132" s="542"/>
      <c r="HS132" s="542"/>
      <c r="HT132" s="542"/>
      <c r="HU132" s="542"/>
      <c r="HV132" s="542"/>
      <c r="HW132" s="542"/>
      <c r="HX132" s="542"/>
      <c r="HY132" s="542"/>
      <c r="HZ132" s="542"/>
      <c r="IA132" s="542"/>
      <c r="IB132" s="542"/>
      <c r="IC132" s="542"/>
      <c r="ID132" s="542"/>
      <c r="IE132" s="542"/>
      <c r="IF132" s="542"/>
      <c r="IG132" s="542"/>
      <c r="IH132" s="542"/>
      <c r="II132" s="542"/>
      <c r="IJ132" s="542"/>
      <c r="IK132" s="542"/>
      <c r="IL132" s="542"/>
      <c r="IM132" s="542"/>
      <c r="IN132" s="542"/>
      <c r="IO132" s="542"/>
      <c r="IP132" s="542"/>
      <c r="IQ132" s="542"/>
      <c r="IR132" s="542"/>
      <c r="IS132" s="542"/>
      <c r="IT132" s="542"/>
      <c r="IU132" s="542"/>
      <c r="IV132" s="542"/>
      <c r="IW132" s="542"/>
      <c r="IX132" s="542"/>
      <c r="IY132" s="542"/>
      <c r="IZ132" s="542"/>
      <c r="JA132" s="542"/>
      <c r="JB132" s="542"/>
    </row>
    <row r="133" spans="55:262" ht="18.899999999999999" customHeight="1">
      <c r="BC133" s="1614"/>
      <c r="BD133" s="1614"/>
      <c r="BE133" s="1614"/>
      <c r="CZ133" s="542"/>
      <c r="DA133" s="542"/>
      <c r="DB133" s="542"/>
      <c r="DC133" s="542"/>
      <c r="DD133" s="542"/>
      <c r="DE133" s="542"/>
      <c r="DF133" s="542"/>
      <c r="DG133" s="542"/>
      <c r="DH133" s="542"/>
      <c r="DI133" s="542"/>
      <c r="DJ133" s="542"/>
      <c r="DK133" s="542"/>
      <c r="DL133" s="542"/>
      <c r="DM133" s="542"/>
      <c r="DN133" s="542"/>
      <c r="DO133" s="542"/>
      <c r="DP133" s="542"/>
      <c r="DQ133" s="542"/>
      <c r="DR133" s="542"/>
      <c r="DS133" s="542"/>
      <c r="DT133" s="542"/>
      <c r="DU133" s="542"/>
      <c r="DV133" s="542"/>
      <c r="DW133" s="542"/>
      <c r="DX133" s="542"/>
      <c r="DY133" s="542"/>
      <c r="DZ133" s="542"/>
      <c r="EA133" s="542"/>
      <c r="EB133" s="542"/>
      <c r="EC133" s="542"/>
      <c r="ED133" s="542"/>
      <c r="EE133" s="542"/>
      <c r="EF133" s="542"/>
      <c r="EG133" s="542"/>
      <c r="EH133" s="542"/>
      <c r="EI133" s="542"/>
      <c r="EJ133" s="542"/>
      <c r="EK133" s="542"/>
      <c r="EL133" s="542"/>
      <c r="EM133" s="542"/>
      <c r="EN133" s="542"/>
      <c r="EO133" s="542"/>
      <c r="EP133" s="542"/>
      <c r="EQ133" s="542"/>
      <c r="ER133" s="542"/>
      <c r="ES133" s="542"/>
      <c r="ET133" s="542"/>
      <c r="EU133" s="542"/>
      <c r="EV133" s="542"/>
      <c r="EW133" s="542"/>
      <c r="EX133" s="542"/>
      <c r="EY133" s="542"/>
      <c r="EZ133" s="542"/>
      <c r="FA133" s="542"/>
      <c r="FB133" s="542"/>
      <c r="FC133" s="542"/>
      <c r="FD133" s="542"/>
      <c r="FE133" s="542"/>
      <c r="FF133" s="542"/>
      <c r="FG133" s="542"/>
      <c r="FH133" s="542"/>
      <c r="FI133" s="542"/>
      <c r="FJ133" s="542"/>
      <c r="FK133" s="542"/>
      <c r="FL133" s="542"/>
      <c r="FM133" s="542"/>
      <c r="FN133" s="542"/>
      <c r="FO133" s="542"/>
      <c r="FP133" s="542"/>
      <c r="FQ133" s="542"/>
      <c r="FR133" s="542"/>
      <c r="FS133" s="542"/>
      <c r="FT133" s="542"/>
      <c r="FU133" s="542"/>
      <c r="FV133" s="542"/>
      <c r="FW133" s="542"/>
      <c r="FX133" s="542"/>
      <c r="FY133" s="542"/>
      <c r="FZ133" s="542"/>
      <c r="GA133" s="542"/>
      <c r="GB133" s="542"/>
      <c r="GC133" s="542"/>
      <c r="GD133" s="542"/>
      <c r="GE133" s="542"/>
      <c r="GF133" s="542"/>
      <c r="GG133" s="542"/>
      <c r="GH133" s="542"/>
      <c r="GI133" s="542"/>
      <c r="GJ133" s="542"/>
      <c r="GK133" s="542"/>
      <c r="GL133" s="542"/>
      <c r="GM133" s="542"/>
      <c r="GN133" s="542"/>
      <c r="GO133" s="542"/>
      <c r="GP133" s="542"/>
      <c r="GQ133" s="542"/>
      <c r="GR133" s="542"/>
      <c r="GS133" s="542"/>
      <c r="GT133" s="542"/>
      <c r="GU133" s="542"/>
      <c r="GV133" s="542"/>
      <c r="GW133" s="542"/>
      <c r="GX133" s="542"/>
      <c r="GY133" s="542"/>
      <c r="GZ133" s="542"/>
      <c r="HA133" s="542"/>
      <c r="HB133" s="542"/>
      <c r="HC133" s="542"/>
      <c r="HD133" s="542"/>
      <c r="HE133" s="542"/>
      <c r="HF133" s="542"/>
      <c r="HG133" s="542"/>
      <c r="HH133" s="542"/>
      <c r="HI133" s="542"/>
      <c r="HJ133" s="542"/>
      <c r="HK133" s="542"/>
      <c r="HL133" s="542"/>
      <c r="HM133" s="542"/>
      <c r="HN133" s="542"/>
      <c r="HO133" s="542"/>
      <c r="HP133" s="542"/>
      <c r="HQ133" s="542"/>
      <c r="HR133" s="542"/>
      <c r="HS133" s="542"/>
      <c r="HT133" s="542"/>
      <c r="HU133" s="542"/>
      <c r="HV133" s="542"/>
      <c r="HW133" s="542"/>
      <c r="HX133" s="542"/>
      <c r="HY133" s="542"/>
      <c r="HZ133" s="542"/>
      <c r="IA133" s="542"/>
      <c r="IB133" s="542"/>
      <c r="IC133" s="542"/>
      <c r="ID133" s="542"/>
      <c r="IE133" s="542"/>
      <c r="IF133" s="542"/>
      <c r="IG133" s="542"/>
      <c r="IH133" s="542"/>
      <c r="II133" s="542"/>
      <c r="IJ133" s="542"/>
      <c r="IK133" s="542"/>
      <c r="IL133" s="542"/>
      <c r="IM133" s="542"/>
      <c r="IN133" s="542"/>
      <c r="IO133" s="542"/>
      <c r="IP133" s="542"/>
      <c r="IQ133" s="542"/>
      <c r="IR133" s="542"/>
      <c r="IS133" s="542"/>
      <c r="IT133" s="542"/>
      <c r="IU133" s="542"/>
      <c r="IV133" s="542"/>
      <c r="IW133" s="542"/>
      <c r="IX133" s="542"/>
      <c r="IY133" s="542"/>
      <c r="IZ133" s="542"/>
      <c r="JA133" s="542"/>
      <c r="JB133" s="542"/>
    </row>
    <row r="134" spans="55:262" ht="18.899999999999999" customHeight="1">
      <c r="BC134" s="1614"/>
      <c r="BD134" s="1614"/>
      <c r="BE134" s="1614"/>
      <c r="CZ134" s="542"/>
      <c r="DA134" s="542"/>
      <c r="DB134" s="542"/>
      <c r="DC134" s="542"/>
      <c r="DD134" s="542"/>
      <c r="DE134" s="542"/>
      <c r="DF134" s="542"/>
      <c r="DG134" s="542"/>
      <c r="DH134" s="542"/>
      <c r="DI134" s="542"/>
      <c r="DJ134" s="542"/>
      <c r="DK134" s="542"/>
      <c r="DL134" s="542"/>
      <c r="DM134" s="542"/>
      <c r="DN134" s="542"/>
      <c r="DO134" s="542"/>
      <c r="DP134" s="542"/>
      <c r="DQ134" s="542"/>
      <c r="DR134" s="542"/>
      <c r="DS134" s="542"/>
      <c r="DT134" s="542"/>
      <c r="DU134" s="542"/>
      <c r="DV134" s="542"/>
      <c r="DW134" s="542"/>
      <c r="DX134" s="542"/>
      <c r="DY134" s="542"/>
      <c r="DZ134" s="542"/>
      <c r="EA134" s="542"/>
      <c r="EB134" s="542"/>
      <c r="EC134" s="542"/>
      <c r="ED134" s="542"/>
      <c r="EE134" s="542"/>
      <c r="EF134" s="542"/>
      <c r="EG134" s="542"/>
      <c r="EH134" s="542"/>
      <c r="EI134" s="542"/>
      <c r="EJ134" s="542"/>
      <c r="EK134" s="542"/>
      <c r="EL134" s="542"/>
      <c r="EM134" s="542"/>
      <c r="EN134" s="542"/>
      <c r="EO134" s="542"/>
      <c r="EP134" s="542"/>
      <c r="EQ134" s="542"/>
      <c r="ER134" s="542"/>
      <c r="ES134" s="542"/>
      <c r="ET134" s="542"/>
      <c r="EU134" s="542"/>
      <c r="EV134" s="542"/>
      <c r="EW134" s="542"/>
      <c r="EX134" s="542"/>
      <c r="EY134" s="542"/>
      <c r="EZ134" s="542"/>
      <c r="FA134" s="542"/>
      <c r="FB134" s="542"/>
      <c r="FC134" s="542"/>
      <c r="FD134" s="542"/>
      <c r="FE134" s="542"/>
      <c r="FF134" s="542"/>
      <c r="FG134" s="542"/>
      <c r="FH134" s="542"/>
      <c r="FI134" s="542"/>
      <c r="FJ134" s="542"/>
      <c r="FK134" s="542"/>
      <c r="FL134" s="542"/>
      <c r="FM134" s="542"/>
      <c r="FN134" s="542"/>
      <c r="FO134" s="542"/>
      <c r="FP134" s="542"/>
      <c r="FQ134" s="542"/>
      <c r="FR134" s="542"/>
      <c r="FS134" s="542"/>
      <c r="FT134" s="542"/>
      <c r="FU134" s="542"/>
      <c r="FV134" s="542"/>
      <c r="FW134" s="542"/>
      <c r="FX134" s="542"/>
      <c r="FY134" s="542"/>
      <c r="FZ134" s="542"/>
      <c r="GA134" s="542"/>
      <c r="GB134" s="542"/>
      <c r="GC134" s="542"/>
      <c r="GD134" s="542"/>
      <c r="GE134" s="542"/>
      <c r="GF134" s="542"/>
      <c r="GG134" s="542"/>
      <c r="GH134" s="542"/>
      <c r="GI134" s="542"/>
      <c r="GJ134" s="542"/>
      <c r="GK134" s="542"/>
      <c r="GL134" s="542"/>
      <c r="GM134" s="542"/>
      <c r="GN134" s="542"/>
      <c r="GO134" s="542"/>
      <c r="GP134" s="542"/>
      <c r="GQ134" s="542"/>
      <c r="GR134" s="542"/>
      <c r="GS134" s="542"/>
      <c r="GT134" s="542"/>
      <c r="GU134" s="542"/>
      <c r="GV134" s="542"/>
      <c r="GW134" s="542"/>
      <c r="GX134" s="542"/>
      <c r="GY134" s="542"/>
      <c r="GZ134" s="542"/>
      <c r="HA134" s="542"/>
      <c r="HB134" s="542"/>
      <c r="HC134" s="542"/>
      <c r="HD134" s="542"/>
      <c r="HE134" s="542"/>
      <c r="HF134" s="542"/>
      <c r="HG134" s="542"/>
      <c r="HH134" s="542"/>
      <c r="HI134" s="542"/>
      <c r="HJ134" s="542"/>
      <c r="HK134" s="542"/>
      <c r="HL134" s="542"/>
      <c r="HM134" s="542"/>
      <c r="HN134" s="542"/>
      <c r="HO134" s="542"/>
      <c r="HP134" s="542"/>
      <c r="HQ134" s="542"/>
      <c r="HR134" s="542"/>
      <c r="HS134" s="542"/>
      <c r="HT134" s="542"/>
      <c r="HU134" s="542"/>
      <c r="HV134" s="542"/>
      <c r="HW134" s="542"/>
      <c r="HX134" s="542"/>
      <c r="HY134" s="542"/>
      <c r="HZ134" s="542"/>
      <c r="IA134" s="542"/>
      <c r="IB134" s="542"/>
      <c r="IC134" s="542"/>
      <c r="ID134" s="542"/>
      <c r="IE134" s="542"/>
      <c r="IF134" s="542"/>
      <c r="IG134" s="542"/>
      <c r="IH134" s="542"/>
      <c r="II134" s="542"/>
      <c r="IJ134" s="542"/>
      <c r="IK134" s="542"/>
      <c r="IL134" s="542"/>
      <c r="IM134" s="542"/>
      <c r="IN134" s="542"/>
      <c r="IO134" s="542"/>
      <c r="IP134" s="542"/>
      <c r="IQ134" s="542"/>
      <c r="IR134" s="542"/>
      <c r="IS134" s="542"/>
      <c r="IT134" s="542"/>
      <c r="IU134" s="542"/>
      <c r="IV134" s="542"/>
      <c r="IW134" s="542"/>
      <c r="IX134" s="542"/>
      <c r="IY134" s="542"/>
      <c r="IZ134" s="542"/>
      <c r="JA134" s="542"/>
      <c r="JB134" s="542"/>
    </row>
    <row r="135" spans="55:262" ht="18.899999999999999" customHeight="1">
      <c r="BC135" s="1614"/>
      <c r="BD135" s="1614"/>
      <c r="BE135" s="1614"/>
      <c r="CZ135" s="542"/>
      <c r="DA135" s="542"/>
      <c r="DB135" s="542"/>
      <c r="DC135" s="542"/>
      <c r="DD135" s="542"/>
      <c r="DE135" s="542"/>
      <c r="DF135" s="542"/>
      <c r="DG135" s="542"/>
      <c r="DH135" s="542"/>
      <c r="DI135" s="542"/>
      <c r="DJ135" s="542"/>
      <c r="DK135" s="542"/>
      <c r="DL135" s="542"/>
      <c r="DM135" s="542"/>
      <c r="DN135" s="542"/>
      <c r="DO135" s="542"/>
      <c r="DP135" s="542"/>
      <c r="DQ135" s="542"/>
      <c r="DR135" s="542"/>
      <c r="DS135" s="542"/>
      <c r="DT135" s="542"/>
      <c r="DU135" s="542"/>
      <c r="DV135" s="542"/>
      <c r="DW135" s="542"/>
      <c r="DX135" s="542"/>
      <c r="DY135" s="542"/>
      <c r="DZ135" s="542"/>
      <c r="EA135" s="542"/>
      <c r="EB135" s="542"/>
      <c r="EC135" s="542"/>
      <c r="ED135" s="542"/>
      <c r="EE135" s="542"/>
      <c r="EF135" s="542"/>
      <c r="EG135" s="542"/>
      <c r="EH135" s="542"/>
      <c r="EI135" s="542"/>
      <c r="EJ135" s="542"/>
      <c r="EK135" s="542"/>
      <c r="EL135" s="542"/>
      <c r="EM135" s="542"/>
      <c r="EN135" s="542"/>
      <c r="EO135" s="542"/>
      <c r="EP135" s="542"/>
      <c r="EQ135" s="542"/>
      <c r="ER135" s="542"/>
      <c r="ES135" s="542"/>
      <c r="ET135" s="542"/>
      <c r="EU135" s="542"/>
      <c r="EV135" s="542"/>
      <c r="EW135" s="542"/>
      <c r="EX135" s="542"/>
      <c r="EY135" s="542"/>
      <c r="EZ135" s="542"/>
      <c r="FA135" s="542"/>
      <c r="FB135" s="542"/>
      <c r="FC135" s="542"/>
      <c r="FD135" s="542"/>
      <c r="FE135" s="542"/>
      <c r="FF135" s="542"/>
      <c r="FG135" s="542"/>
      <c r="FH135" s="542"/>
      <c r="FI135" s="542"/>
      <c r="FJ135" s="542"/>
      <c r="FK135" s="542"/>
      <c r="FL135" s="542"/>
      <c r="FM135" s="542"/>
      <c r="FN135" s="542"/>
      <c r="FO135" s="542"/>
      <c r="FP135" s="542"/>
      <c r="FQ135" s="542"/>
      <c r="FR135" s="542"/>
      <c r="FS135" s="542"/>
      <c r="FT135" s="542"/>
      <c r="FU135" s="542"/>
      <c r="FV135" s="542"/>
      <c r="FW135" s="542"/>
      <c r="FX135" s="542"/>
      <c r="FY135" s="542"/>
      <c r="FZ135" s="542"/>
      <c r="GA135" s="542"/>
      <c r="GB135" s="542"/>
      <c r="GC135" s="542"/>
      <c r="GD135" s="542"/>
      <c r="GE135" s="542"/>
      <c r="GF135" s="542"/>
      <c r="GG135" s="542"/>
      <c r="GH135" s="542"/>
      <c r="GI135" s="542"/>
      <c r="GJ135" s="542"/>
      <c r="GK135" s="542"/>
      <c r="GL135" s="542"/>
      <c r="GM135" s="542"/>
      <c r="GN135" s="542"/>
      <c r="GO135" s="542"/>
      <c r="GP135" s="542"/>
      <c r="GQ135" s="542"/>
      <c r="GR135" s="542"/>
      <c r="GS135" s="542"/>
      <c r="GT135" s="542"/>
      <c r="GU135" s="542"/>
      <c r="GV135" s="542"/>
      <c r="GW135" s="542"/>
      <c r="GX135" s="542"/>
      <c r="GY135" s="542"/>
      <c r="GZ135" s="542"/>
      <c r="HA135" s="542"/>
      <c r="HB135" s="542"/>
      <c r="HC135" s="542"/>
      <c r="HD135" s="542"/>
      <c r="HE135" s="542"/>
      <c r="HF135" s="542"/>
      <c r="HG135" s="542"/>
      <c r="HH135" s="542"/>
      <c r="HI135" s="542"/>
      <c r="HJ135" s="542"/>
      <c r="HK135" s="542"/>
      <c r="HL135" s="542"/>
      <c r="HM135" s="542"/>
      <c r="HN135" s="542"/>
      <c r="HO135" s="542"/>
      <c r="HP135" s="542"/>
      <c r="HQ135" s="542"/>
      <c r="HR135" s="542"/>
      <c r="HS135" s="542"/>
      <c r="HT135" s="542"/>
      <c r="HU135" s="542"/>
      <c r="HV135" s="542"/>
      <c r="HW135" s="542"/>
      <c r="HX135" s="542"/>
      <c r="HY135" s="542"/>
      <c r="HZ135" s="542"/>
      <c r="IA135" s="542"/>
      <c r="IB135" s="542"/>
      <c r="IC135" s="542"/>
      <c r="ID135" s="542"/>
      <c r="IE135" s="542"/>
      <c r="IF135" s="542"/>
      <c r="IG135" s="542"/>
      <c r="IH135" s="542"/>
      <c r="II135" s="542"/>
      <c r="IJ135" s="542"/>
      <c r="IK135" s="542"/>
      <c r="IL135" s="542"/>
      <c r="IM135" s="542"/>
      <c r="IN135" s="542"/>
      <c r="IO135" s="542"/>
      <c r="IP135" s="542"/>
      <c r="IQ135" s="542"/>
      <c r="IR135" s="542"/>
      <c r="IS135" s="542"/>
      <c r="IT135" s="542"/>
      <c r="IU135" s="542"/>
      <c r="IV135" s="542"/>
      <c r="IW135" s="542"/>
      <c r="IX135" s="542"/>
      <c r="IY135" s="542"/>
      <c r="IZ135" s="542"/>
      <c r="JA135" s="542"/>
      <c r="JB135" s="542"/>
    </row>
    <row r="136" spans="55:262" ht="18.899999999999999" customHeight="1">
      <c r="BC136" s="1614"/>
      <c r="BD136" s="1614"/>
      <c r="BE136" s="1614"/>
      <c r="CZ136" s="542"/>
      <c r="DA136" s="542"/>
      <c r="DB136" s="542"/>
      <c r="DC136" s="542"/>
      <c r="DD136" s="542"/>
      <c r="DE136" s="542"/>
      <c r="DF136" s="542"/>
      <c r="DG136" s="542"/>
      <c r="DH136" s="542"/>
      <c r="DI136" s="542"/>
      <c r="DJ136" s="542"/>
      <c r="DK136" s="542"/>
      <c r="DL136" s="542"/>
      <c r="DM136" s="542"/>
      <c r="DN136" s="542"/>
      <c r="DO136" s="542"/>
      <c r="DP136" s="542"/>
      <c r="DQ136" s="542"/>
      <c r="DR136" s="542"/>
      <c r="DS136" s="542"/>
      <c r="DT136" s="542"/>
      <c r="DU136" s="542"/>
      <c r="DV136" s="542"/>
      <c r="DW136" s="542"/>
      <c r="DX136" s="542"/>
      <c r="DY136" s="542"/>
      <c r="DZ136" s="542"/>
      <c r="EA136" s="542"/>
      <c r="EB136" s="542"/>
      <c r="EC136" s="542"/>
      <c r="ED136" s="542"/>
      <c r="EE136" s="542"/>
      <c r="EF136" s="542"/>
      <c r="EG136" s="542"/>
      <c r="EH136" s="542"/>
      <c r="EI136" s="542"/>
      <c r="EJ136" s="542"/>
      <c r="EK136" s="542"/>
      <c r="EL136" s="542"/>
      <c r="EM136" s="542"/>
      <c r="EN136" s="542"/>
      <c r="EO136" s="542"/>
      <c r="EP136" s="542"/>
      <c r="EQ136" s="542"/>
      <c r="ER136" s="542"/>
      <c r="ES136" s="542"/>
      <c r="ET136" s="542"/>
      <c r="EU136" s="542"/>
      <c r="EV136" s="542"/>
      <c r="EW136" s="542"/>
      <c r="EX136" s="542"/>
      <c r="EY136" s="542"/>
      <c r="EZ136" s="542"/>
      <c r="FA136" s="542"/>
      <c r="FB136" s="542"/>
      <c r="FC136" s="542"/>
      <c r="FD136" s="542"/>
      <c r="FE136" s="542"/>
      <c r="FF136" s="542"/>
      <c r="FG136" s="542"/>
      <c r="FH136" s="542"/>
      <c r="FI136" s="542"/>
      <c r="FJ136" s="542"/>
      <c r="FK136" s="542"/>
      <c r="FL136" s="542"/>
      <c r="FM136" s="542"/>
      <c r="FN136" s="542"/>
      <c r="FO136" s="542"/>
      <c r="FP136" s="542"/>
      <c r="FQ136" s="542"/>
      <c r="FR136" s="542"/>
      <c r="FS136" s="542"/>
      <c r="FT136" s="542"/>
      <c r="FU136" s="542"/>
      <c r="FV136" s="542"/>
      <c r="FW136" s="542"/>
      <c r="FX136" s="542"/>
      <c r="FY136" s="542"/>
      <c r="FZ136" s="542"/>
      <c r="GA136" s="542"/>
      <c r="GB136" s="542"/>
      <c r="GC136" s="542"/>
      <c r="GD136" s="542"/>
      <c r="GE136" s="542"/>
      <c r="GF136" s="542"/>
      <c r="GG136" s="542"/>
      <c r="GH136" s="542"/>
      <c r="GI136" s="542"/>
      <c r="GJ136" s="542"/>
      <c r="GK136" s="542"/>
      <c r="GL136" s="542"/>
      <c r="GM136" s="542"/>
      <c r="GN136" s="542"/>
      <c r="GO136" s="542"/>
      <c r="GP136" s="542"/>
      <c r="GQ136" s="542"/>
      <c r="GR136" s="542"/>
      <c r="GS136" s="542"/>
      <c r="GT136" s="542"/>
      <c r="GU136" s="542"/>
      <c r="GV136" s="542"/>
      <c r="GW136" s="542"/>
      <c r="GX136" s="542"/>
      <c r="GY136" s="542"/>
      <c r="GZ136" s="542"/>
      <c r="HA136" s="542"/>
      <c r="HB136" s="542"/>
      <c r="HC136" s="542"/>
      <c r="HD136" s="542"/>
      <c r="HE136" s="542"/>
      <c r="HF136" s="542"/>
      <c r="HG136" s="542"/>
      <c r="HH136" s="542"/>
      <c r="HI136" s="542"/>
      <c r="HJ136" s="542"/>
      <c r="HK136" s="542"/>
      <c r="HL136" s="542"/>
      <c r="HM136" s="542"/>
      <c r="HN136" s="542"/>
      <c r="HO136" s="542"/>
      <c r="HP136" s="542"/>
      <c r="HQ136" s="542"/>
      <c r="HR136" s="542"/>
      <c r="HS136" s="542"/>
      <c r="HT136" s="542"/>
      <c r="HU136" s="542"/>
      <c r="HV136" s="542"/>
      <c r="HW136" s="542"/>
      <c r="HX136" s="542"/>
      <c r="HY136" s="542"/>
      <c r="HZ136" s="542"/>
      <c r="IA136" s="542"/>
      <c r="IB136" s="542"/>
      <c r="IC136" s="542"/>
      <c r="ID136" s="542"/>
      <c r="IE136" s="542"/>
      <c r="IF136" s="542"/>
      <c r="IG136" s="542"/>
      <c r="IH136" s="542"/>
      <c r="II136" s="542"/>
      <c r="IJ136" s="542"/>
      <c r="IK136" s="542"/>
      <c r="IL136" s="542"/>
      <c r="IM136" s="542"/>
      <c r="IN136" s="542"/>
      <c r="IO136" s="542"/>
      <c r="IP136" s="542"/>
      <c r="IQ136" s="542"/>
      <c r="IR136" s="542"/>
      <c r="IS136" s="542"/>
      <c r="IT136" s="542"/>
      <c r="IU136" s="542"/>
      <c r="IV136" s="542"/>
      <c r="IW136" s="542"/>
      <c r="IX136" s="542"/>
      <c r="IY136" s="542"/>
      <c r="IZ136" s="542"/>
      <c r="JA136" s="542"/>
      <c r="JB136" s="542"/>
    </row>
    <row r="137" spans="55:262" ht="18.899999999999999" customHeight="1">
      <c r="BC137" s="1614"/>
      <c r="BD137" s="1614"/>
      <c r="BE137" s="1614"/>
      <c r="CZ137" s="542"/>
      <c r="DA137" s="542"/>
      <c r="DB137" s="542"/>
      <c r="DC137" s="542"/>
      <c r="DD137" s="542"/>
      <c r="DE137" s="542"/>
      <c r="DF137" s="542"/>
      <c r="DG137" s="542"/>
      <c r="DH137" s="542"/>
      <c r="DI137" s="542"/>
      <c r="DJ137" s="542"/>
      <c r="DK137" s="542"/>
      <c r="DL137" s="542"/>
      <c r="DM137" s="542"/>
      <c r="DN137" s="542"/>
      <c r="DO137" s="542"/>
      <c r="DP137" s="542"/>
      <c r="DQ137" s="542"/>
      <c r="DR137" s="542"/>
      <c r="DS137" s="542"/>
      <c r="DT137" s="542"/>
      <c r="DU137" s="542"/>
      <c r="DV137" s="542"/>
      <c r="DW137" s="542"/>
      <c r="DX137" s="542"/>
      <c r="DY137" s="542"/>
      <c r="DZ137" s="542"/>
      <c r="EA137" s="542"/>
      <c r="EB137" s="542"/>
      <c r="EC137" s="542"/>
      <c r="ED137" s="542"/>
      <c r="EE137" s="542"/>
      <c r="EF137" s="542"/>
      <c r="EG137" s="542"/>
      <c r="EH137" s="542"/>
      <c r="EI137" s="542"/>
      <c r="EJ137" s="542"/>
      <c r="EK137" s="542"/>
      <c r="EL137" s="542"/>
      <c r="EM137" s="542"/>
      <c r="EN137" s="542"/>
      <c r="EO137" s="542"/>
      <c r="EP137" s="542"/>
      <c r="EQ137" s="542"/>
      <c r="ER137" s="542"/>
      <c r="ES137" s="542"/>
      <c r="ET137" s="542"/>
      <c r="EU137" s="542"/>
      <c r="EV137" s="542"/>
      <c r="EW137" s="542"/>
      <c r="EX137" s="542"/>
      <c r="EY137" s="542"/>
      <c r="EZ137" s="542"/>
      <c r="FA137" s="542"/>
      <c r="FB137" s="542"/>
      <c r="FC137" s="542"/>
      <c r="FD137" s="542"/>
      <c r="FE137" s="542"/>
      <c r="FF137" s="542"/>
      <c r="FG137" s="542"/>
      <c r="FH137" s="542"/>
      <c r="FI137" s="542"/>
      <c r="FJ137" s="542"/>
      <c r="FK137" s="542"/>
      <c r="FL137" s="542"/>
      <c r="FM137" s="542"/>
      <c r="FN137" s="542"/>
      <c r="FO137" s="542"/>
      <c r="FP137" s="542"/>
      <c r="FQ137" s="542"/>
      <c r="FR137" s="542"/>
      <c r="FS137" s="542"/>
      <c r="FT137" s="542"/>
      <c r="FU137" s="542"/>
      <c r="FV137" s="542"/>
      <c r="FW137" s="542"/>
      <c r="FX137" s="542"/>
      <c r="FY137" s="542"/>
      <c r="FZ137" s="542"/>
      <c r="GA137" s="542"/>
      <c r="GB137" s="542"/>
      <c r="GC137" s="542"/>
      <c r="GD137" s="542"/>
      <c r="GE137" s="542"/>
      <c r="GF137" s="542"/>
      <c r="GG137" s="542"/>
      <c r="GH137" s="542"/>
      <c r="GI137" s="542"/>
      <c r="GJ137" s="542"/>
      <c r="GK137" s="542"/>
      <c r="GL137" s="542"/>
      <c r="GM137" s="542"/>
      <c r="GN137" s="542"/>
      <c r="GO137" s="542"/>
      <c r="GP137" s="542"/>
      <c r="GQ137" s="542"/>
      <c r="GR137" s="542"/>
      <c r="GS137" s="542"/>
      <c r="GT137" s="542"/>
      <c r="GU137" s="542"/>
      <c r="GV137" s="542"/>
      <c r="GW137" s="542"/>
      <c r="GX137" s="542"/>
      <c r="GY137" s="542"/>
      <c r="GZ137" s="542"/>
      <c r="HA137" s="542"/>
      <c r="HB137" s="542"/>
      <c r="HC137" s="542"/>
      <c r="HD137" s="542"/>
      <c r="HE137" s="542"/>
      <c r="HF137" s="542"/>
      <c r="HG137" s="542"/>
      <c r="HH137" s="542"/>
      <c r="HI137" s="542"/>
      <c r="HJ137" s="542"/>
      <c r="HK137" s="542"/>
      <c r="HL137" s="542"/>
      <c r="HM137" s="542"/>
      <c r="HN137" s="542"/>
      <c r="HO137" s="542"/>
      <c r="HP137" s="542"/>
      <c r="HQ137" s="542"/>
      <c r="HR137" s="542"/>
      <c r="HS137" s="542"/>
      <c r="HT137" s="542"/>
      <c r="HU137" s="542"/>
      <c r="HV137" s="542"/>
      <c r="HW137" s="542"/>
      <c r="HX137" s="542"/>
      <c r="HY137" s="542"/>
      <c r="HZ137" s="542"/>
      <c r="IA137" s="542"/>
      <c r="IB137" s="542"/>
      <c r="IC137" s="542"/>
      <c r="ID137" s="542"/>
      <c r="IE137" s="542"/>
      <c r="IF137" s="542"/>
      <c r="IG137" s="542"/>
      <c r="IH137" s="542"/>
      <c r="II137" s="542"/>
      <c r="IJ137" s="542"/>
      <c r="IK137" s="542"/>
      <c r="IL137" s="542"/>
      <c r="IM137" s="542"/>
      <c r="IN137" s="542"/>
      <c r="IO137" s="542"/>
      <c r="IP137" s="542"/>
      <c r="IQ137" s="542"/>
      <c r="IR137" s="542"/>
      <c r="IS137" s="542"/>
      <c r="IT137" s="542"/>
      <c r="IU137" s="542"/>
      <c r="IV137" s="542"/>
      <c r="IW137" s="542"/>
      <c r="IX137" s="542"/>
      <c r="IY137" s="542"/>
      <c r="IZ137" s="542"/>
      <c r="JA137" s="542"/>
      <c r="JB137" s="542"/>
    </row>
    <row r="138" spans="55:262" ht="18.899999999999999" customHeight="1">
      <c r="BC138" s="1614"/>
      <c r="BD138" s="1614"/>
      <c r="BE138" s="1614"/>
      <c r="CZ138" s="542"/>
      <c r="DA138" s="542"/>
      <c r="DB138" s="542"/>
      <c r="DC138" s="542"/>
      <c r="DD138" s="542"/>
      <c r="DE138" s="542"/>
      <c r="DF138" s="542"/>
      <c r="DG138" s="542"/>
      <c r="DH138" s="542"/>
      <c r="DI138" s="542"/>
      <c r="DJ138" s="542"/>
      <c r="DK138" s="542"/>
      <c r="DL138" s="542"/>
      <c r="DM138" s="542"/>
      <c r="DN138" s="542"/>
      <c r="DO138" s="542"/>
      <c r="DP138" s="542"/>
      <c r="DQ138" s="542"/>
      <c r="DR138" s="542"/>
      <c r="DS138" s="542"/>
      <c r="DT138" s="542"/>
      <c r="DU138" s="542"/>
      <c r="DV138" s="542"/>
      <c r="DW138" s="542"/>
      <c r="DX138" s="542"/>
      <c r="DY138" s="542"/>
      <c r="DZ138" s="542"/>
      <c r="EA138" s="542"/>
      <c r="EB138" s="542"/>
      <c r="EC138" s="542"/>
      <c r="ED138" s="542"/>
      <c r="EE138" s="542"/>
      <c r="EF138" s="542"/>
      <c r="EG138" s="542"/>
      <c r="EH138" s="542"/>
      <c r="EI138" s="542"/>
      <c r="EJ138" s="542"/>
      <c r="EK138" s="542"/>
      <c r="EL138" s="542"/>
      <c r="EM138" s="542"/>
      <c r="EN138" s="542"/>
      <c r="EO138" s="542"/>
      <c r="EP138" s="542"/>
      <c r="EQ138" s="542"/>
      <c r="ER138" s="542"/>
      <c r="ES138" s="542"/>
      <c r="ET138" s="542"/>
      <c r="EU138" s="542"/>
      <c r="EV138" s="542"/>
      <c r="EW138" s="542"/>
      <c r="EX138" s="542"/>
      <c r="EY138" s="542"/>
      <c r="EZ138" s="542"/>
      <c r="FA138" s="542"/>
      <c r="FB138" s="542"/>
      <c r="FC138" s="542"/>
      <c r="FD138" s="542"/>
      <c r="FE138" s="542"/>
      <c r="FF138" s="542"/>
      <c r="FG138" s="542"/>
      <c r="FH138" s="542"/>
      <c r="FI138" s="542"/>
      <c r="FJ138" s="542"/>
      <c r="FK138" s="542"/>
      <c r="FL138" s="542"/>
      <c r="FM138" s="542"/>
      <c r="FN138" s="542"/>
      <c r="FO138" s="542"/>
      <c r="FP138" s="542"/>
      <c r="FQ138" s="542"/>
      <c r="FR138" s="542"/>
      <c r="FS138" s="542"/>
      <c r="FT138" s="542"/>
      <c r="FU138" s="542"/>
      <c r="FV138" s="542"/>
      <c r="FW138" s="542"/>
      <c r="FX138" s="542"/>
      <c r="FY138" s="542"/>
      <c r="FZ138" s="542"/>
      <c r="GA138" s="542"/>
      <c r="GB138" s="542"/>
      <c r="GC138" s="542"/>
      <c r="GD138" s="542"/>
      <c r="GE138" s="542"/>
      <c r="GF138" s="542"/>
      <c r="GG138" s="542"/>
      <c r="GH138" s="542"/>
      <c r="GI138" s="542"/>
      <c r="GJ138" s="542"/>
      <c r="GK138" s="542"/>
      <c r="GL138" s="542"/>
      <c r="GM138" s="542"/>
      <c r="GN138" s="542"/>
      <c r="GO138" s="542"/>
      <c r="GP138" s="542"/>
      <c r="GQ138" s="542"/>
      <c r="GR138" s="542"/>
      <c r="GS138" s="542"/>
      <c r="GT138" s="542"/>
      <c r="GU138" s="542"/>
      <c r="GV138" s="542"/>
      <c r="GW138" s="542"/>
      <c r="GX138" s="542"/>
      <c r="GY138" s="542"/>
      <c r="GZ138" s="542"/>
      <c r="HA138" s="542"/>
      <c r="HB138" s="542"/>
      <c r="HC138" s="542"/>
      <c r="HD138" s="542"/>
      <c r="HE138" s="542"/>
      <c r="HF138" s="542"/>
      <c r="HG138" s="542"/>
      <c r="HH138" s="542"/>
      <c r="HI138" s="542"/>
      <c r="HJ138" s="542"/>
      <c r="HK138" s="542"/>
      <c r="HL138" s="542"/>
      <c r="HM138" s="542"/>
      <c r="HN138" s="542"/>
      <c r="HO138" s="542"/>
      <c r="HP138" s="542"/>
      <c r="HQ138" s="542"/>
      <c r="HR138" s="542"/>
      <c r="HS138" s="542"/>
      <c r="HT138" s="542"/>
      <c r="HU138" s="542"/>
      <c r="HV138" s="542"/>
      <c r="HW138" s="542"/>
      <c r="HX138" s="542"/>
      <c r="HY138" s="542"/>
      <c r="HZ138" s="542"/>
      <c r="IA138" s="542"/>
      <c r="IB138" s="542"/>
      <c r="IC138" s="542"/>
      <c r="ID138" s="542"/>
      <c r="IE138" s="542"/>
      <c r="IF138" s="542"/>
      <c r="IG138" s="542"/>
      <c r="IH138" s="542"/>
      <c r="II138" s="542"/>
      <c r="IJ138" s="542"/>
      <c r="IK138" s="542"/>
      <c r="IL138" s="542"/>
      <c r="IM138" s="542"/>
      <c r="IN138" s="542"/>
      <c r="IO138" s="542"/>
      <c r="IP138" s="542"/>
      <c r="IQ138" s="542"/>
      <c r="IR138" s="542"/>
      <c r="IS138" s="542"/>
      <c r="IT138" s="542"/>
      <c r="IU138" s="542"/>
      <c r="IV138" s="542"/>
      <c r="IW138" s="542"/>
      <c r="IX138" s="542"/>
      <c r="IY138" s="542"/>
      <c r="IZ138" s="542"/>
      <c r="JA138" s="542"/>
      <c r="JB138" s="542"/>
    </row>
    <row r="139" spans="55:262" ht="18.899999999999999" customHeight="1">
      <c r="BC139" s="1614"/>
      <c r="BD139" s="1614"/>
      <c r="BE139" s="1614"/>
      <c r="CZ139" s="542"/>
      <c r="DA139" s="542"/>
      <c r="DB139" s="542"/>
      <c r="DC139" s="542"/>
      <c r="DD139" s="542"/>
      <c r="DE139" s="542"/>
      <c r="DF139" s="542"/>
      <c r="DG139" s="542"/>
      <c r="DH139" s="542"/>
      <c r="DI139" s="542"/>
      <c r="DJ139" s="542"/>
      <c r="DK139" s="542"/>
      <c r="DL139" s="542"/>
      <c r="DM139" s="542"/>
      <c r="DN139" s="542"/>
      <c r="DO139" s="542"/>
      <c r="DP139" s="542"/>
      <c r="DQ139" s="542"/>
      <c r="DR139" s="542"/>
      <c r="DS139" s="542"/>
      <c r="DT139" s="542"/>
      <c r="DU139" s="542"/>
      <c r="DV139" s="542"/>
      <c r="DW139" s="542"/>
      <c r="DX139" s="542"/>
      <c r="DY139" s="542"/>
      <c r="DZ139" s="542"/>
      <c r="EA139" s="542"/>
      <c r="EB139" s="542"/>
      <c r="EC139" s="542"/>
      <c r="ED139" s="542"/>
      <c r="EE139" s="542"/>
      <c r="EF139" s="542"/>
      <c r="EG139" s="542"/>
      <c r="EH139" s="542"/>
      <c r="EI139" s="542"/>
      <c r="EJ139" s="542"/>
      <c r="EK139" s="542"/>
      <c r="EL139" s="542"/>
      <c r="EM139" s="542"/>
      <c r="EN139" s="542"/>
      <c r="EO139" s="542"/>
      <c r="EP139" s="542"/>
      <c r="EQ139" s="542"/>
      <c r="ER139" s="542"/>
      <c r="ES139" s="542"/>
      <c r="ET139" s="542"/>
      <c r="EU139" s="542"/>
      <c r="EV139" s="542"/>
      <c r="EW139" s="542"/>
      <c r="EX139" s="542"/>
      <c r="EY139" s="542"/>
      <c r="EZ139" s="542"/>
      <c r="FA139" s="542"/>
      <c r="FB139" s="542"/>
      <c r="FC139" s="542"/>
      <c r="FD139" s="542"/>
      <c r="FE139" s="542"/>
      <c r="FF139" s="542"/>
      <c r="FG139" s="542"/>
      <c r="FH139" s="542"/>
      <c r="FI139" s="542"/>
      <c r="FJ139" s="542"/>
      <c r="FK139" s="542"/>
      <c r="FL139" s="542"/>
      <c r="FM139" s="542"/>
      <c r="FN139" s="542"/>
      <c r="FO139" s="542"/>
      <c r="FP139" s="542"/>
      <c r="FQ139" s="542"/>
      <c r="FR139" s="542"/>
      <c r="FS139" s="542"/>
      <c r="FT139" s="542"/>
      <c r="FU139" s="542"/>
      <c r="FV139" s="542"/>
      <c r="FW139" s="542"/>
      <c r="FX139" s="542"/>
      <c r="FY139" s="542"/>
      <c r="FZ139" s="542"/>
      <c r="GA139" s="542"/>
      <c r="GB139" s="542"/>
      <c r="GC139" s="542"/>
      <c r="GD139" s="542"/>
      <c r="GE139" s="542"/>
      <c r="GF139" s="542"/>
      <c r="GG139" s="542"/>
      <c r="GH139" s="542"/>
      <c r="GI139" s="542"/>
      <c r="GJ139" s="542"/>
      <c r="GK139" s="542"/>
      <c r="GL139" s="542"/>
      <c r="GM139" s="542"/>
      <c r="GN139" s="542"/>
      <c r="GO139" s="542"/>
      <c r="GP139" s="542"/>
      <c r="GQ139" s="542"/>
      <c r="GR139" s="542"/>
      <c r="GS139" s="542"/>
      <c r="GT139" s="542"/>
      <c r="GU139" s="542"/>
      <c r="GV139" s="542"/>
      <c r="GW139" s="542"/>
      <c r="GX139" s="542"/>
      <c r="GY139" s="542"/>
      <c r="GZ139" s="542"/>
      <c r="HA139" s="542"/>
      <c r="HB139" s="542"/>
      <c r="HC139" s="542"/>
      <c r="HD139" s="542"/>
      <c r="HE139" s="542"/>
      <c r="HF139" s="542"/>
      <c r="HG139" s="542"/>
      <c r="HH139" s="542"/>
      <c r="HI139" s="542"/>
      <c r="HJ139" s="542"/>
      <c r="HK139" s="542"/>
      <c r="HL139" s="542"/>
      <c r="HM139" s="542"/>
      <c r="HN139" s="542"/>
      <c r="HO139" s="542"/>
      <c r="HP139" s="542"/>
      <c r="HQ139" s="542"/>
      <c r="HR139" s="542"/>
      <c r="HS139" s="542"/>
      <c r="HT139" s="542"/>
      <c r="HU139" s="542"/>
      <c r="HV139" s="542"/>
      <c r="HW139" s="542"/>
      <c r="HX139" s="542"/>
      <c r="HY139" s="542"/>
      <c r="HZ139" s="542"/>
      <c r="IA139" s="542"/>
      <c r="IB139" s="542"/>
      <c r="IC139" s="542"/>
      <c r="ID139" s="542"/>
      <c r="IE139" s="542"/>
      <c r="IF139" s="542"/>
      <c r="IG139" s="542"/>
      <c r="IH139" s="542"/>
      <c r="II139" s="542"/>
      <c r="IJ139" s="542"/>
      <c r="IK139" s="542"/>
      <c r="IL139" s="542"/>
      <c r="IM139" s="542"/>
      <c r="IN139" s="542"/>
      <c r="IO139" s="542"/>
      <c r="IP139" s="542"/>
      <c r="IQ139" s="542"/>
      <c r="IR139" s="542"/>
      <c r="IS139" s="542"/>
      <c r="IT139" s="542"/>
      <c r="IU139" s="542"/>
      <c r="IV139" s="542"/>
      <c r="IW139" s="542"/>
      <c r="IX139" s="542"/>
      <c r="IY139" s="542"/>
      <c r="IZ139" s="542"/>
      <c r="JA139" s="542"/>
      <c r="JB139" s="542"/>
    </row>
    <row r="140" spans="55:262" ht="18.899999999999999" customHeight="1">
      <c r="BC140" s="1614"/>
      <c r="BD140" s="1614"/>
      <c r="BE140" s="1614"/>
      <c r="CZ140" s="542"/>
      <c r="DA140" s="542"/>
      <c r="DB140" s="542"/>
      <c r="DC140" s="542"/>
      <c r="DD140" s="542"/>
      <c r="DE140" s="542"/>
      <c r="DF140" s="542"/>
      <c r="DG140" s="542"/>
      <c r="DH140" s="542"/>
      <c r="DI140" s="542"/>
      <c r="DJ140" s="542"/>
      <c r="DK140" s="542"/>
      <c r="DL140" s="542"/>
      <c r="DM140" s="542"/>
      <c r="DN140" s="542"/>
      <c r="DO140" s="542"/>
      <c r="DP140" s="542"/>
      <c r="DQ140" s="542"/>
      <c r="DR140" s="542"/>
      <c r="DS140" s="542"/>
      <c r="DT140" s="542"/>
      <c r="DU140" s="542"/>
      <c r="DV140" s="542"/>
      <c r="DW140" s="542"/>
      <c r="DX140" s="542"/>
      <c r="DY140" s="542"/>
      <c r="DZ140" s="542"/>
      <c r="EA140" s="542"/>
      <c r="EB140" s="542"/>
      <c r="EC140" s="542"/>
      <c r="ED140" s="542"/>
      <c r="EE140" s="542"/>
      <c r="EF140" s="542"/>
      <c r="EG140" s="542"/>
      <c r="EH140" s="542"/>
      <c r="EI140" s="542"/>
      <c r="EJ140" s="542"/>
      <c r="EK140" s="542"/>
      <c r="EL140" s="542"/>
      <c r="EM140" s="542"/>
      <c r="EN140" s="542"/>
      <c r="EO140" s="542"/>
      <c r="EP140" s="542"/>
      <c r="EQ140" s="542"/>
      <c r="ER140" s="542"/>
      <c r="ES140" s="542"/>
      <c r="ET140" s="542"/>
      <c r="EU140" s="542"/>
      <c r="EV140" s="542"/>
      <c r="EW140" s="542"/>
      <c r="EX140" s="542"/>
      <c r="EY140" s="542"/>
      <c r="EZ140" s="542"/>
      <c r="FA140" s="542"/>
      <c r="FB140" s="542"/>
      <c r="FC140" s="542"/>
      <c r="FD140" s="542"/>
      <c r="FE140" s="542"/>
      <c r="FF140" s="542"/>
      <c r="FG140" s="542"/>
      <c r="FH140" s="542"/>
      <c r="FI140" s="542"/>
      <c r="FJ140" s="542"/>
      <c r="FK140" s="542"/>
      <c r="FL140" s="542"/>
      <c r="FM140" s="542"/>
      <c r="FN140" s="542"/>
      <c r="FO140" s="542"/>
      <c r="FP140" s="542"/>
      <c r="FQ140" s="542"/>
      <c r="FR140" s="542"/>
      <c r="FS140" s="542"/>
      <c r="FT140" s="542"/>
      <c r="FU140" s="542"/>
      <c r="FV140" s="542"/>
      <c r="FW140" s="542"/>
      <c r="FX140" s="542"/>
      <c r="FY140" s="542"/>
      <c r="FZ140" s="542"/>
      <c r="GA140" s="542"/>
      <c r="GB140" s="542"/>
      <c r="GC140" s="542"/>
      <c r="GD140" s="542"/>
      <c r="GE140" s="542"/>
      <c r="GF140" s="542"/>
      <c r="GG140" s="542"/>
      <c r="GH140" s="542"/>
      <c r="GI140" s="542"/>
      <c r="GJ140" s="542"/>
      <c r="GK140" s="542"/>
      <c r="GL140" s="542"/>
      <c r="GM140" s="542"/>
      <c r="GN140" s="542"/>
      <c r="GO140" s="542"/>
      <c r="GP140" s="542"/>
      <c r="GQ140" s="542"/>
      <c r="GR140" s="542"/>
      <c r="GS140" s="542"/>
      <c r="GT140" s="542"/>
      <c r="GU140" s="542"/>
      <c r="GV140" s="542"/>
      <c r="GW140" s="542"/>
      <c r="GX140" s="542"/>
      <c r="GY140" s="542"/>
      <c r="GZ140" s="542"/>
      <c r="HA140" s="542"/>
      <c r="HB140" s="542"/>
      <c r="HC140" s="542"/>
      <c r="HD140" s="542"/>
      <c r="HE140" s="542"/>
      <c r="HF140" s="542"/>
      <c r="HG140" s="542"/>
      <c r="HH140" s="542"/>
      <c r="HI140" s="542"/>
      <c r="HJ140" s="542"/>
      <c r="HK140" s="542"/>
      <c r="HL140" s="542"/>
      <c r="HM140" s="542"/>
      <c r="HN140" s="542"/>
      <c r="HO140" s="542"/>
      <c r="HP140" s="542"/>
      <c r="HQ140" s="542"/>
      <c r="HR140" s="542"/>
      <c r="HS140" s="542"/>
      <c r="HT140" s="542"/>
      <c r="HU140" s="542"/>
      <c r="HV140" s="542"/>
      <c r="HW140" s="542"/>
      <c r="HX140" s="542"/>
      <c r="HY140" s="542"/>
      <c r="HZ140" s="542"/>
      <c r="IA140" s="542"/>
      <c r="IB140" s="542"/>
      <c r="IC140" s="542"/>
      <c r="ID140" s="542"/>
      <c r="IE140" s="542"/>
      <c r="IF140" s="542"/>
      <c r="IG140" s="542"/>
      <c r="IH140" s="542"/>
      <c r="II140" s="542"/>
      <c r="IJ140" s="542"/>
      <c r="IK140" s="542"/>
      <c r="IL140" s="542"/>
      <c r="IM140" s="542"/>
      <c r="IN140" s="542"/>
      <c r="IO140" s="542"/>
      <c r="IP140" s="542"/>
      <c r="IQ140" s="542"/>
      <c r="IR140" s="542"/>
      <c r="IS140" s="542"/>
      <c r="IT140" s="542"/>
      <c r="IU140" s="542"/>
      <c r="IV140" s="542"/>
      <c r="IW140" s="542"/>
      <c r="IX140" s="542"/>
      <c r="IY140" s="542"/>
      <c r="IZ140" s="542"/>
      <c r="JA140" s="542"/>
      <c r="JB140" s="542"/>
    </row>
    <row r="141" spans="55:262" ht="18.899999999999999" customHeight="1">
      <c r="BC141" s="1614"/>
      <c r="BD141" s="1614"/>
      <c r="BE141" s="1614"/>
      <c r="CZ141" s="542"/>
      <c r="DA141" s="542"/>
      <c r="DB141" s="542"/>
      <c r="DC141" s="542"/>
      <c r="DD141" s="542"/>
      <c r="DE141" s="542"/>
      <c r="DF141" s="542"/>
      <c r="DG141" s="542"/>
      <c r="DH141" s="542"/>
      <c r="DI141" s="542"/>
      <c r="DJ141" s="542"/>
      <c r="DK141" s="542"/>
      <c r="DL141" s="542"/>
      <c r="DM141" s="542"/>
      <c r="DN141" s="542"/>
      <c r="DO141" s="542"/>
      <c r="DP141" s="542"/>
      <c r="DQ141" s="542"/>
      <c r="DR141" s="542"/>
      <c r="DS141" s="542"/>
      <c r="DT141" s="542"/>
      <c r="DU141" s="542"/>
      <c r="DV141" s="542"/>
      <c r="DW141" s="542"/>
      <c r="DX141" s="542"/>
      <c r="DY141" s="542"/>
      <c r="DZ141" s="542"/>
      <c r="EA141" s="542"/>
      <c r="EB141" s="542"/>
      <c r="EC141" s="542"/>
      <c r="ED141" s="542"/>
      <c r="EE141" s="542"/>
      <c r="EF141" s="542"/>
      <c r="EG141" s="542"/>
      <c r="EH141" s="542"/>
      <c r="EI141" s="542"/>
      <c r="EJ141" s="542"/>
      <c r="EK141" s="542"/>
      <c r="EL141" s="542"/>
      <c r="EM141" s="542"/>
      <c r="EN141" s="542"/>
      <c r="EO141" s="542"/>
      <c r="EP141" s="542"/>
      <c r="EQ141" s="542"/>
      <c r="ER141" s="542"/>
      <c r="ES141" s="542"/>
      <c r="ET141" s="542"/>
      <c r="EU141" s="542"/>
      <c r="EV141" s="542"/>
      <c r="EW141" s="542"/>
      <c r="EX141" s="542"/>
      <c r="EY141" s="542"/>
      <c r="EZ141" s="542"/>
      <c r="FA141" s="542"/>
      <c r="FB141" s="542"/>
      <c r="FC141" s="542"/>
      <c r="FD141" s="542"/>
      <c r="FE141" s="542"/>
      <c r="FF141" s="542"/>
      <c r="FG141" s="542"/>
      <c r="FH141" s="542"/>
      <c r="FI141" s="542"/>
      <c r="FJ141" s="542"/>
      <c r="FK141" s="542"/>
      <c r="FL141" s="542"/>
      <c r="FM141" s="542"/>
      <c r="FN141" s="542"/>
      <c r="FO141" s="542"/>
      <c r="FP141" s="542"/>
      <c r="FQ141" s="542"/>
      <c r="FR141" s="542"/>
      <c r="FS141" s="542"/>
      <c r="FT141" s="542"/>
      <c r="FU141" s="542"/>
      <c r="FV141" s="542"/>
      <c r="FW141" s="542"/>
      <c r="FX141" s="542"/>
      <c r="FY141" s="542"/>
      <c r="FZ141" s="542"/>
      <c r="GA141" s="542"/>
      <c r="GB141" s="542"/>
      <c r="GC141" s="542"/>
      <c r="GD141" s="542"/>
      <c r="GE141" s="542"/>
      <c r="GF141" s="542"/>
      <c r="GG141" s="542"/>
      <c r="GH141" s="542"/>
      <c r="GI141" s="542"/>
      <c r="GJ141" s="542"/>
      <c r="GK141" s="542"/>
      <c r="GL141" s="542"/>
      <c r="GM141" s="542"/>
      <c r="GN141" s="542"/>
      <c r="GO141" s="542"/>
      <c r="GP141" s="542"/>
      <c r="GQ141" s="542"/>
      <c r="GR141" s="542"/>
      <c r="GS141" s="542"/>
      <c r="GT141" s="542"/>
      <c r="GU141" s="542"/>
      <c r="GV141" s="542"/>
      <c r="GW141" s="542"/>
      <c r="GX141" s="542"/>
      <c r="GY141" s="542"/>
      <c r="GZ141" s="542"/>
      <c r="HA141" s="542"/>
      <c r="HB141" s="542"/>
      <c r="HC141" s="542"/>
      <c r="HD141" s="542"/>
      <c r="HE141" s="542"/>
      <c r="HF141" s="542"/>
      <c r="HG141" s="542"/>
      <c r="HH141" s="542"/>
      <c r="HI141" s="542"/>
      <c r="HJ141" s="542"/>
      <c r="HK141" s="542"/>
      <c r="HL141" s="542"/>
      <c r="HM141" s="542"/>
      <c r="HN141" s="542"/>
      <c r="HO141" s="542"/>
      <c r="HP141" s="542"/>
      <c r="HQ141" s="542"/>
      <c r="HR141" s="542"/>
      <c r="HS141" s="542"/>
      <c r="HT141" s="542"/>
      <c r="HU141" s="542"/>
      <c r="HV141" s="542"/>
      <c r="HW141" s="542"/>
      <c r="HX141" s="542"/>
      <c r="HY141" s="542"/>
      <c r="HZ141" s="542"/>
      <c r="IA141" s="542"/>
      <c r="IB141" s="542"/>
      <c r="IC141" s="542"/>
      <c r="ID141" s="542"/>
      <c r="IE141" s="542"/>
      <c r="IF141" s="542"/>
      <c r="IG141" s="542"/>
      <c r="IH141" s="542"/>
      <c r="II141" s="542"/>
      <c r="IJ141" s="542"/>
      <c r="IK141" s="542"/>
      <c r="IL141" s="542"/>
      <c r="IM141" s="542"/>
      <c r="IN141" s="542"/>
      <c r="IO141" s="542"/>
      <c r="IP141" s="542"/>
      <c r="IQ141" s="542"/>
      <c r="IR141" s="542"/>
      <c r="IS141" s="542"/>
      <c r="IT141" s="542"/>
      <c r="IU141" s="542"/>
      <c r="IV141" s="542"/>
      <c r="IW141" s="542"/>
      <c r="IX141" s="542"/>
      <c r="IY141" s="542"/>
      <c r="IZ141" s="542"/>
      <c r="JA141" s="542"/>
      <c r="JB141" s="542"/>
    </row>
    <row r="142" spans="55:262" ht="18.899999999999999" customHeight="1">
      <c r="BC142" s="1614"/>
      <c r="BD142" s="1614"/>
      <c r="BE142" s="1614"/>
      <c r="CZ142" s="542"/>
      <c r="DA142" s="542"/>
      <c r="DB142" s="542"/>
      <c r="DC142" s="542"/>
      <c r="DD142" s="542"/>
      <c r="DE142" s="542"/>
      <c r="DF142" s="542"/>
      <c r="DG142" s="542"/>
      <c r="DH142" s="542"/>
      <c r="DI142" s="542"/>
      <c r="DJ142" s="542"/>
      <c r="DK142" s="542"/>
      <c r="DL142" s="542"/>
      <c r="DM142" s="542"/>
      <c r="DN142" s="542"/>
      <c r="DO142" s="542"/>
      <c r="DP142" s="542"/>
      <c r="DQ142" s="542"/>
      <c r="DR142" s="542"/>
      <c r="DS142" s="542"/>
      <c r="DT142" s="542"/>
      <c r="DU142" s="542"/>
      <c r="DV142" s="542"/>
      <c r="DW142" s="542"/>
      <c r="DX142" s="542"/>
      <c r="DY142" s="542"/>
      <c r="DZ142" s="542"/>
      <c r="EA142" s="542"/>
      <c r="EB142" s="542"/>
      <c r="EC142" s="542"/>
      <c r="ED142" s="542"/>
      <c r="EE142" s="542"/>
      <c r="EF142" s="542"/>
      <c r="EG142" s="542"/>
      <c r="EH142" s="542"/>
      <c r="EI142" s="542"/>
      <c r="EJ142" s="542"/>
      <c r="EK142" s="542"/>
      <c r="EL142" s="542"/>
      <c r="EM142" s="542"/>
      <c r="EN142" s="542"/>
      <c r="EO142" s="542"/>
      <c r="EP142" s="542"/>
      <c r="EQ142" s="542"/>
      <c r="ER142" s="542"/>
      <c r="ES142" s="542"/>
      <c r="ET142" s="542"/>
      <c r="EU142" s="542"/>
      <c r="EV142" s="542"/>
      <c r="EW142" s="542"/>
      <c r="EX142" s="542"/>
      <c r="EY142" s="542"/>
      <c r="EZ142" s="542"/>
      <c r="FA142" s="542"/>
      <c r="FB142" s="542"/>
      <c r="FC142" s="542"/>
      <c r="FD142" s="542"/>
      <c r="FE142" s="542"/>
      <c r="FF142" s="542"/>
      <c r="FG142" s="542"/>
      <c r="FH142" s="542"/>
      <c r="FI142" s="542"/>
      <c r="FJ142" s="542"/>
      <c r="FK142" s="542"/>
      <c r="FL142" s="542"/>
      <c r="FM142" s="542"/>
      <c r="FN142" s="542"/>
      <c r="FO142" s="542"/>
      <c r="FP142" s="542"/>
      <c r="FQ142" s="542"/>
      <c r="FR142" s="542"/>
      <c r="FS142" s="542"/>
      <c r="FT142" s="542"/>
      <c r="FU142" s="542"/>
      <c r="FV142" s="542"/>
      <c r="FW142" s="542"/>
      <c r="FX142" s="542"/>
      <c r="FY142" s="542"/>
      <c r="FZ142" s="542"/>
      <c r="GA142" s="542"/>
      <c r="GB142" s="542"/>
      <c r="GC142" s="542"/>
      <c r="GD142" s="542"/>
      <c r="GE142" s="542"/>
      <c r="GF142" s="542"/>
      <c r="GG142" s="542"/>
      <c r="GH142" s="542"/>
      <c r="GI142" s="542"/>
      <c r="GJ142" s="542"/>
      <c r="GK142" s="542"/>
      <c r="GL142" s="542"/>
      <c r="GM142" s="542"/>
      <c r="GN142" s="542"/>
      <c r="GO142" s="542"/>
      <c r="GP142" s="542"/>
      <c r="GQ142" s="542"/>
      <c r="GR142" s="542"/>
      <c r="GS142" s="542"/>
      <c r="GT142" s="542"/>
      <c r="GU142" s="542"/>
      <c r="GV142" s="542"/>
      <c r="GW142" s="542"/>
      <c r="GX142" s="542"/>
      <c r="GY142" s="542"/>
      <c r="GZ142" s="542"/>
      <c r="HA142" s="542"/>
      <c r="HB142" s="542"/>
      <c r="HC142" s="542"/>
      <c r="HD142" s="542"/>
      <c r="HE142" s="542"/>
      <c r="HF142" s="542"/>
      <c r="HG142" s="542"/>
      <c r="HH142" s="542"/>
      <c r="HI142" s="542"/>
      <c r="HJ142" s="542"/>
      <c r="HK142" s="542"/>
      <c r="HL142" s="542"/>
      <c r="HM142" s="542"/>
      <c r="HN142" s="542"/>
      <c r="HO142" s="542"/>
      <c r="HP142" s="542"/>
      <c r="HQ142" s="542"/>
      <c r="HR142" s="542"/>
      <c r="HS142" s="542"/>
      <c r="HT142" s="542"/>
      <c r="HU142" s="542"/>
      <c r="HV142" s="542"/>
      <c r="HW142" s="542"/>
      <c r="HX142" s="542"/>
      <c r="HY142" s="542"/>
      <c r="HZ142" s="542"/>
      <c r="IA142" s="542"/>
      <c r="IB142" s="542"/>
      <c r="IC142" s="542"/>
      <c r="ID142" s="542"/>
      <c r="IE142" s="542"/>
      <c r="IF142" s="542"/>
      <c r="IG142" s="542"/>
      <c r="IH142" s="542"/>
      <c r="II142" s="542"/>
      <c r="IJ142" s="542"/>
      <c r="IK142" s="542"/>
      <c r="IL142" s="542"/>
      <c r="IM142" s="542"/>
      <c r="IN142" s="542"/>
      <c r="IO142" s="542"/>
      <c r="IP142" s="542"/>
      <c r="IQ142" s="542"/>
      <c r="IR142" s="542"/>
      <c r="IS142" s="542"/>
      <c r="IT142" s="542"/>
      <c r="IU142" s="542"/>
      <c r="IV142" s="542"/>
      <c r="IW142" s="542"/>
      <c r="IX142" s="542"/>
      <c r="IY142" s="542"/>
      <c r="IZ142" s="542"/>
      <c r="JA142" s="542"/>
      <c r="JB142" s="542"/>
    </row>
    <row r="143" spans="55:262" ht="18.899999999999999" customHeight="1">
      <c r="BC143" s="1614"/>
      <c r="BD143" s="1614"/>
      <c r="BE143" s="1614"/>
      <c r="CZ143" s="542"/>
      <c r="DA143" s="542"/>
      <c r="DB143" s="542"/>
      <c r="DC143" s="542"/>
      <c r="DD143" s="542"/>
      <c r="DE143" s="542"/>
      <c r="DF143" s="542"/>
      <c r="DG143" s="542"/>
      <c r="DH143" s="542"/>
      <c r="DI143" s="542"/>
      <c r="DJ143" s="542"/>
      <c r="DK143" s="542"/>
      <c r="DL143" s="542"/>
      <c r="DM143" s="542"/>
      <c r="DN143" s="542"/>
      <c r="DO143" s="542"/>
      <c r="DP143" s="542"/>
      <c r="DQ143" s="542"/>
      <c r="DR143" s="542"/>
      <c r="DS143" s="542"/>
      <c r="DT143" s="542"/>
      <c r="DU143" s="542"/>
      <c r="DV143" s="542"/>
      <c r="DW143" s="542"/>
      <c r="DX143" s="542"/>
      <c r="DY143" s="542"/>
      <c r="DZ143" s="542"/>
      <c r="EA143" s="542"/>
      <c r="EB143" s="542"/>
      <c r="EC143" s="542"/>
      <c r="ED143" s="542"/>
      <c r="EE143" s="542"/>
      <c r="EF143" s="542"/>
      <c r="EG143" s="542"/>
      <c r="EH143" s="542"/>
      <c r="EI143" s="542"/>
      <c r="EJ143" s="542"/>
      <c r="EK143" s="542"/>
      <c r="EL143" s="542"/>
      <c r="EM143" s="542"/>
      <c r="EN143" s="542"/>
      <c r="EO143" s="542"/>
      <c r="EP143" s="542"/>
      <c r="EQ143" s="542"/>
      <c r="ER143" s="542"/>
      <c r="ES143" s="542"/>
      <c r="ET143" s="542"/>
      <c r="EU143" s="542"/>
      <c r="EV143" s="542"/>
      <c r="EW143" s="542"/>
      <c r="EX143" s="542"/>
      <c r="EY143" s="542"/>
      <c r="EZ143" s="542"/>
      <c r="FA143" s="542"/>
      <c r="FB143" s="542"/>
      <c r="FC143" s="542"/>
      <c r="FD143" s="542"/>
      <c r="FE143" s="542"/>
      <c r="FF143" s="542"/>
      <c r="FG143" s="542"/>
      <c r="FH143" s="542"/>
      <c r="FI143" s="542"/>
      <c r="FJ143" s="542"/>
      <c r="FK143" s="542"/>
      <c r="FL143" s="542"/>
      <c r="FM143" s="542"/>
      <c r="FN143" s="542"/>
      <c r="FO143" s="542"/>
      <c r="FP143" s="542"/>
      <c r="FQ143" s="542"/>
      <c r="FR143" s="542"/>
      <c r="FS143" s="542"/>
      <c r="FT143" s="542"/>
      <c r="FU143" s="542"/>
      <c r="FV143" s="542"/>
      <c r="FW143" s="542"/>
      <c r="FX143" s="542"/>
      <c r="FY143" s="542"/>
      <c r="FZ143" s="542"/>
      <c r="GA143" s="542"/>
      <c r="GB143" s="542"/>
      <c r="GC143" s="542"/>
      <c r="GD143" s="542"/>
      <c r="GE143" s="542"/>
      <c r="GF143" s="542"/>
      <c r="GG143" s="542"/>
      <c r="GH143" s="542"/>
      <c r="GI143" s="542"/>
      <c r="GJ143" s="542"/>
      <c r="GK143" s="542"/>
      <c r="GL143" s="542"/>
      <c r="GM143" s="542"/>
      <c r="GN143" s="542"/>
      <c r="GO143" s="542"/>
      <c r="GP143" s="542"/>
      <c r="GQ143" s="542"/>
      <c r="GR143" s="542"/>
      <c r="GS143" s="542"/>
      <c r="GT143" s="542"/>
      <c r="GU143" s="542"/>
      <c r="GV143" s="542"/>
      <c r="GW143" s="542"/>
      <c r="GX143" s="542"/>
      <c r="GY143" s="542"/>
      <c r="GZ143" s="542"/>
      <c r="HA143" s="542"/>
      <c r="HB143" s="542"/>
      <c r="HC143" s="542"/>
      <c r="HD143" s="542"/>
      <c r="HE143" s="542"/>
      <c r="HF143" s="542"/>
      <c r="HG143" s="542"/>
      <c r="HH143" s="542"/>
      <c r="HI143" s="542"/>
      <c r="HJ143" s="542"/>
      <c r="HK143" s="542"/>
      <c r="HL143" s="542"/>
      <c r="HM143" s="542"/>
      <c r="HN143" s="542"/>
      <c r="HO143" s="542"/>
      <c r="HP143" s="542"/>
      <c r="HQ143" s="542"/>
      <c r="HR143" s="542"/>
      <c r="HS143" s="542"/>
      <c r="HT143" s="542"/>
      <c r="HU143" s="542"/>
      <c r="HV143" s="542"/>
      <c r="HW143" s="542"/>
      <c r="HX143" s="542"/>
      <c r="HY143" s="542"/>
      <c r="HZ143" s="542"/>
      <c r="IA143" s="542"/>
      <c r="IB143" s="542"/>
      <c r="IC143" s="542"/>
      <c r="ID143" s="542"/>
      <c r="IE143" s="542"/>
      <c r="IF143" s="542"/>
      <c r="IG143" s="542"/>
      <c r="IH143" s="542"/>
      <c r="II143" s="542"/>
      <c r="IJ143" s="542"/>
      <c r="IK143" s="542"/>
      <c r="IL143" s="542"/>
      <c r="IM143" s="542"/>
      <c r="IN143" s="542"/>
      <c r="IO143" s="542"/>
      <c r="IP143" s="542"/>
      <c r="IQ143" s="542"/>
      <c r="IR143" s="542"/>
      <c r="IS143" s="542"/>
      <c r="IT143" s="542"/>
      <c r="IU143" s="542"/>
      <c r="IV143" s="542"/>
      <c r="IW143" s="542"/>
      <c r="IX143" s="542"/>
      <c r="IY143" s="542"/>
      <c r="IZ143" s="542"/>
      <c r="JA143" s="542"/>
      <c r="JB143" s="542"/>
    </row>
    <row r="144" spans="55:262" ht="18.899999999999999" customHeight="1">
      <c r="BC144" s="1614"/>
      <c r="BD144" s="1614"/>
      <c r="BE144" s="1614"/>
      <c r="CZ144" s="542"/>
      <c r="DA144" s="542"/>
      <c r="DB144" s="542"/>
      <c r="DC144" s="542"/>
      <c r="DD144" s="542"/>
      <c r="DE144" s="542"/>
      <c r="DF144" s="542"/>
      <c r="DG144" s="542"/>
      <c r="DH144" s="542"/>
      <c r="DI144" s="542"/>
      <c r="DJ144" s="542"/>
      <c r="DK144" s="542"/>
      <c r="DL144" s="542"/>
      <c r="DM144" s="542"/>
      <c r="DN144" s="542"/>
      <c r="DO144" s="542"/>
      <c r="DP144" s="542"/>
      <c r="DQ144" s="542"/>
      <c r="DR144" s="542"/>
      <c r="DS144" s="542"/>
      <c r="DT144" s="542"/>
      <c r="DU144" s="542"/>
      <c r="DV144" s="542"/>
      <c r="DW144" s="542"/>
      <c r="DX144" s="542"/>
      <c r="DY144" s="542"/>
      <c r="DZ144" s="542"/>
      <c r="EA144" s="542"/>
      <c r="EB144" s="542"/>
      <c r="EC144" s="542"/>
      <c r="ED144" s="542"/>
      <c r="EE144" s="542"/>
      <c r="EF144" s="542"/>
      <c r="EG144" s="542"/>
      <c r="EH144" s="542"/>
      <c r="EI144" s="542"/>
      <c r="EJ144" s="542"/>
      <c r="EK144" s="542"/>
      <c r="EL144" s="542"/>
      <c r="EM144" s="542"/>
      <c r="EN144" s="542"/>
      <c r="EO144" s="542"/>
      <c r="EP144" s="542"/>
      <c r="EQ144" s="542"/>
      <c r="ER144" s="542"/>
      <c r="ES144" s="542"/>
      <c r="ET144" s="542"/>
      <c r="EU144" s="542"/>
      <c r="EV144" s="542"/>
      <c r="EW144" s="542"/>
      <c r="EX144" s="542"/>
      <c r="EY144" s="542"/>
      <c r="EZ144" s="542"/>
      <c r="FA144" s="542"/>
      <c r="FB144" s="542"/>
      <c r="FC144" s="542"/>
      <c r="FD144" s="542"/>
      <c r="FE144" s="542"/>
      <c r="FF144" s="542"/>
      <c r="FG144" s="542"/>
      <c r="FH144" s="542"/>
      <c r="FI144" s="542"/>
      <c r="FJ144" s="542"/>
      <c r="FK144" s="542"/>
      <c r="FL144" s="542"/>
      <c r="FM144" s="542"/>
      <c r="FN144" s="542"/>
      <c r="FO144" s="542"/>
      <c r="FP144" s="542"/>
      <c r="FQ144" s="542"/>
      <c r="FR144" s="542"/>
      <c r="FS144" s="542"/>
      <c r="FT144" s="542"/>
      <c r="FU144" s="542"/>
      <c r="FV144" s="542"/>
      <c r="FW144" s="542"/>
      <c r="FX144" s="542"/>
      <c r="FY144" s="542"/>
      <c r="FZ144" s="542"/>
      <c r="GA144" s="542"/>
      <c r="GB144" s="542"/>
      <c r="GC144" s="542"/>
      <c r="GD144" s="542"/>
      <c r="GE144" s="542"/>
      <c r="GF144" s="542"/>
      <c r="GG144" s="542"/>
      <c r="GH144" s="542"/>
      <c r="GI144" s="542"/>
      <c r="GJ144" s="542"/>
      <c r="GK144" s="542"/>
      <c r="GL144" s="542"/>
      <c r="GM144" s="542"/>
      <c r="GN144" s="542"/>
      <c r="GO144" s="542"/>
      <c r="GP144" s="542"/>
      <c r="GQ144" s="542"/>
      <c r="GR144" s="542"/>
      <c r="GS144" s="542"/>
      <c r="GT144" s="542"/>
      <c r="GU144" s="542"/>
      <c r="GV144" s="542"/>
      <c r="GW144" s="542"/>
      <c r="GX144" s="542"/>
      <c r="GY144" s="542"/>
      <c r="GZ144" s="542"/>
      <c r="HA144" s="542"/>
      <c r="HB144" s="542"/>
      <c r="HC144" s="542"/>
      <c r="HD144" s="542"/>
      <c r="HE144" s="542"/>
      <c r="HF144" s="542"/>
      <c r="HG144" s="542"/>
      <c r="HH144" s="542"/>
      <c r="HI144" s="542"/>
      <c r="HJ144" s="542"/>
      <c r="HK144" s="542"/>
      <c r="HL144" s="542"/>
      <c r="HM144" s="542"/>
      <c r="HN144" s="542"/>
      <c r="HO144" s="542"/>
      <c r="HP144" s="542"/>
      <c r="HQ144" s="542"/>
      <c r="HR144" s="542"/>
      <c r="HS144" s="542"/>
      <c r="HT144" s="542"/>
      <c r="HU144" s="542"/>
      <c r="HV144" s="542"/>
      <c r="HW144" s="542"/>
      <c r="HX144" s="542"/>
      <c r="HY144" s="542"/>
      <c r="HZ144" s="542"/>
      <c r="IA144" s="542"/>
      <c r="IB144" s="542"/>
      <c r="IC144" s="542"/>
      <c r="ID144" s="542"/>
      <c r="IE144" s="542"/>
      <c r="IF144" s="542"/>
      <c r="IG144" s="542"/>
      <c r="IH144" s="542"/>
      <c r="II144" s="542"/>
      <c r="IJ144" s="542"/>
      <c r="IK144" s="542"/>
      <c r="IL144" s="542"/>
      <c r="IM144" s="542"/>
      <c r="IN144" s="542"/>
      <c r="IO144" s="542"/>
      <c r="IP144" s="542"/>
      <c r="IQ144" s="542"/>
      <c r="IR144" s="542"/>
      <c r="IS144" s="542"/>
      <c r="IT144" s="542"/>
      <c r="IU144" s="542"/>
      <c r="IV144" s="542"/>
      <c r="IW144" s="542"/>
      <c r="IX144" s="542"/>
      <c r="IY144" s="542"/>
      <c r="IZ144" s="542"/>
      <c r="JA144" s="542"/>
      <c r="JB144" s="542"/>
    </row>
    <row r="145" spans="55:262" ht="18.899999999999999" customHeight="1">
      <c r="BC145" s="1614"/>
      <c r="BD145" s="1614"/>
      <c r="BE145" s="1614"/>
      <c r="CZ145" s="542"/>
      <c r="DA145" s="542"/>
      <c r="DB145" s="542"/>
      <c r="DC145" s="542"/>
      <c r="DD145" s="542"/>
      <c r="DE145" s="542"/>
      <c r="DF145" s="542"/>
      <c r="DG145" s="542"/>
      <c r="DH145" s="542"/>
      <c r="DI145" s="542"/>
      <c r="DJ145" s="542"/>
      <c r="DK145" s="542"/>
      <c r="DL145" s="542"/>
      <c r="DM145" s="542"/>
      <c r="DN145" s="542"/>
      <c r="DO145" s="542"/>
      <c r="DP145" s="542"/>
      <c r="DQ145" s="542"/>
      <c r="DR145" s="542"/>
      <c r="DS145" s="542"/>
      <c r="DT145" s="542"/>
      <c r="DU145" s="542"/>
      <c r="DV145" s="542"/>
      <c r="DW145" s="542"/>
      <c r="DX145" s="542"/>
      <c r="DY145" s="542"/>
      <c r="DZ145" s="542"/>
      <c r="EA145" s="542"/>
      <c r="EB145" s="542"/>
      <c r="EC145" s="542"/>
      <c r="ED145" s="542"/>
      <c r="EE145" s="542"/>
      <c r="EF145" s="542"/>
      <c r="EG145" s="542"/>
      <c r="EH145" s="542"/>
      <c r="EI145" s="542"/>
      <c r="EJ145" s="542"/>
      <c r="EK145" s="542"/>
      <c r="EL145" s="542"/>
      <c r="EM145" s="542"/>
      <c r="EN145" s="542"/>
      <c r="EO145" s="542"/>
      <c r="EP145" s="542"/>
      <c r="EQ145" s="542"/>
      <c r="ER145" s="542"/>
      <c r="ES145" s="542"/>
      <c r="ET145" s="542"/>
      <c r="EU145" s="542"/>
      <c r="EV145" s="542"/>
      <c r="EW145" s="542"/>
      <c r="EX145" s="542"/>
      <c r="EY145" s="542"/>
      <c r="EZ145" s="542"/>
      <c r="FA145" s="542"/>
      <c r="FB145" s="542"/>
      <c r="FC145" s="542"/>
      <c r="FD145" s="542"/>
      <c r="FE145" s="542"/>
      <c r="FF145" s="542"/>
      <c r="FG145" s="542"/>
      <c r="FH145" s="542"/>
      <c r="FI145" s="542"/>
      <c r="FJ145" s="542"/>
      <c r="FK145" s="542"/>
      <c r="FL145" s="542"/>
      <c r="FM145" s="542"/>
      <c r="FN145" s="542"/>
      <c r="FO145" s="542"/>
      <c r="FP145" s="542"/>
      <c r="FQ145" s="542"/>
      <c r="FR145" s="542"/>
      <c r="FS145" s="542"/>
      <c r="FT145" s="542"/>
      <c r="FU145" s="542"/>
      <c r="FV145" s="542"/>
      <c r="FW145" s="542"/>
      <c r="FX145" s="542"/>
      <c r="FY145" s="542"/>
      <c r="FZ145" s="542"/>
      <c r="GA145" s="542"/>
      <c r="GB145" s="542"/>
      <c r="GC145" s="542"/>
      <c r="GD145" s="542"/>
      <c r="GE145" s="542"/>
      <c r="GF145" s="542"/>
      <c r="GG145" s="542"/>
      <c r="GH145" s="542"/>
      <c r="GI145" s="542"/>
      <c r="GJ145" s="542"/>
      <c r="GK145" s="542"/>
      <c r="GL145" s="542"/>
      <c r="GM145" s="542"/>
      <c r="GN145" s="542"/>
      <c r="GO145" s="542"/>
      <c r="GP145" s="542"/>
      <c r="GQ145" s="542"/>
      <c r="GR145" s="542"/>
      <c r="GS145" s="542"/>
      <c r="GT145" s="542"/>
      <c r="GU145" s="542"/>
      <c r="GV145" s="542"/>
      <c r="GW145" s="542"/>
      <c r="GX145" s="542"/>
      <c r="GY145" s="542"/>
      <c r="GZ145" s="542"/>
      <c r="HA145" s="542"/>
      <c r="HB145" s="542"/>
      <c r="HC145" s="542"/>
      <c r="HD145" s="542"/>
      <c r="HE145" s="542"/>
      <c r="HF145" s="542"/>
      <c r="HG145" s="542"/>
      <c r="HH145" s="542"/>
      <c r="HI145" s="542"/>
      <c r="HJ145" s="542"/>
      <c r="HK145" s="542"/>
      <c r="HL145" s="542"/>
      <c r="HM145" s="542"/>
      <c r="HN145" s="542"/>
      <c r="HO145" s="542"/>
      <c r="HP145" s="542"/>
      <c r="HQ145" s="542"/>
      <c r="HR145" s="542"/>
      <c r="HS145" s="542"/>
      <c r="HT145" s="542"/>
      <c r="HU145" s="542"/>
      <c r="HV145" s="542"/>
      <c r="HW145" s="542"/>
      <c r="HX145" s="542"/>
      <c r="HY145" s="542"/>
      <c r="HZ145" s="542"/>
      <c r="IA145" s="542"/>
      <c r="IB145" s="542"/>
      <c r="IC145" s="542"/>
      <c r="ID145" s="542"/>
      <c r="IE145" s="542"/>
      <c r="IF145" s="542"/>
      <c r="IG145" s="542"/>
      <c r="IH145" s="542"/>
      <c r="II145" s="542"/>
      <c r="IJ145" s="542"/>
      <c r="IK145" s="542"/>
      <c r="IL145" s="542"/>
      <c r="IM145" s="542"/>
      <c r="IN145" s="542"/>
      <c r="IO145" s="542"/>
      <c r="IP145" s="542"/>
      <c r="IQ145" s="542"/>
      <c r="IR145" s="542"/>
      <c r="IS145" s="542"/>
      <c r="IT145" s="542"/>
      <c r="IU145" s="542"/>
      <c r="IV145" s="542"/>
      <c r="IW145" s="542"/>
      <c r="IX145" s="542"/>
      <c r="IY145" s="542"/>
      <c r="IZ145" s="542"/>
      <c r="JA145" s="542"/>
      <c r="JB145" s="542"/>
    </row>
    <row r="146" spans="55:262" ht="18.899999999999999" customHeight="1">
      <c r="BC146" s="1614"/>
      <c r="BD146" s="1614"/>
      <c r="BE146" s="1614"/>
      <c r="CZ146" s="542"/>
      <c r="DA146" s="542"/>
      <c r="DB146" s="542"/>
      <c r="DC146" s="542"/>
      <c r="DD146" s="542"/>
      <c r="DE146" s="542"/>
      <c r="DF146" s="542"/>
      <c r="DG146" s="542"/>
      <c r="DH146" s="542"/>
      <c r="DI146" s="542"/>
      <c r="DJ146" s="542"/>
      <c r="DK146" s="542"/>
      <c r="DL146" s="542"/>
      <c r="DM146" s="542"/>
      <c r="DN146" s="542"/>
      <c r="DO146" s="542"/>
      <c r="DP146" s="542"/>
      <c r="DQ146" s="542"/>
      <c r="DR146" s="542"/>
      <c r="DS146" s="542"/>
      <c r="DT146" s="542"/>
      <c r="DU146" s="542"/>
      <c r="DV146" s="542"/>
      <c r="DW146" s="542"/>
      <c r="DX146" s="542"/>
      <c r="DY146" s="542"/>
      <c r="DZ146" s="542"/>
      <c r="EA146" s="542"/>
      <c r="EB146" s="542"/>
      <c r="EC146" s="542"/>
      <c r="ED146" s="542"/>
      <c r="EE146" s="542"/>
      <c r="EF146" s="542"/>
      <c r="EG146" s="542"/>
      <c r="EH146" s="542"/>
      <c r="EI146" s="542"/>
      <c r="EJ146" s="542"/>
      <c r="EK146" s="542"/>
      <c r="EL146" s="542"/>
      <c r="EM146" s="542"/>
      <c r="EN146" s="542"/>
      <c r="EO146" s="542"/>
      <c r="EP146" s="542"/>
      <c r="EQ146" s="542"/>
      <c r="ER146" s="542"/>
      <c r="ES146" s="542"/>
      <c r="ET146" s="542"/>
      <c r="EU146" s="542"/>
      <c r="EV146" s="542"/>
      <c r="EW146" s="542"/>
      <c r="EX146" s="542"/>
      <c r="EY146" s="542"/>
      <c r="EZ146" s="542"/>
      <c r="FA146" s="542"/>
      <c r="FB146" s="542"/>
      <c r="FC146" s="542"/>
      <c r="FD146" s="542"/>
      <c r="FE146" s="542"/>
      <c r="FF146" s="542"/>
      <c r="FG146" s="542"/>
      <c r="FH146" s="542"/>
      <c r="FI146" s="542"/>
      <c r="FJ146" s="542"/>
      <c r="FK146" s="542"/>
      <c r="FL146" s="542"/>
      <c r="FM146" s="542"/>
      <c r="FN146" s="542"/>
      <c r="FO146" s="542"/>
      <c r="FP146" s="542"/>
      <c r="FQ146" s="542"/>
      <c r="FR146" s="542"/>
      <c r="FS146" s="542"/>
      <c r="FT146" s="542"/>
      <c r="FU146" s="542"/>
      <c r="FV146" s="542"/>
      <c r="FW146" s="542"/>
      <c r="FX146" s="542"/>
      <c r="FY146" s="542"/>
      <c r="FZ146" s="542"/>
      <c r="GA146" s="542"/>
      <c r="GB146" s="542"/>
      <c r="GC146" s="542"/>
      <c r="GD146" s="542"/>
      <c r="GE146" s="542"/>
      <c r="GF146" s="542"/>
      <c r="GG146" s="542"/>
      <c r="GH146" s="542"/>
      <c r="GI146" s="542"/>
      <c r="GJ146" s="542"/>
      <c r="GK146" s="542"/>
      <c r="GL146" s="542"/>
      <c r="GM146" s="542"/>
      <c r="GN146" s="542"/>
      <c r="GO146" s="542"/>
      <c r="GP146" s="542"/>
      <c r="GQ146" s="542"/>
      <c r="GR146" s="542"/>
      <c r="GS146" s="542"/>
      <c r="GT146" s="542"/>
      <c r="GU146" s="542"/>
      <c r="GV146" s="542"/>
      <c r="GW146" s="542"/>
      <c r="GX146" s="542"/>
      <c r="GY146" s="542"/>
      <c r="GZ146" s="542"/>
      <c r="HA146" s="542"/>
      <c r="HB146" s="542"/>
      <c r="HC146" s="542"/>
      <c r="HD146" s="542"/>
      <c r="HE146" s="542"/>
      <c r="HF146" s="542"/>
      <c r="HG146" s="542"/>
      <c r="HH146" s="542"/>
      <c r="HI146" s="542"/>
      <c r="HJ146" s="542"/>
      <c r="HK146" s="542"/>
      <c r="HL146" s="542"/>
      <c r="HM146" s="542"/>
      <c r="HN146" s="542"/>
      <c r="HO146" s="542"/>
      <c r="HP146" s="542"/>
      <c r="HQ146" s="542"/>
      <c r="HR146" s="542"/>
      <c r="HS146" s="542"/>
      <c r="HT146" s="542"/>
      <c r="HU146" s="542"/>
      <c r="HV146" s="542"/>
      <c r="HW146" s="542"/>
      <c r="HX146" s="542"/>
      <c r="HY146" s="542"/>
      <c r="HZ146" s="542"/>
      <c r="IA146" s="542"/>
      <c r="IB146" s="542"/>
      <c r="IC146" s="542"/>
      <c r="ID146" s="542"/>
      <c r="IE146" s="542"/>
      <c r="IF146" s="542"/>
      <c r="IG146" s="542"/>
      <c r="IH146" s="542"/>
      <c r="II146" s="542"/>
      <c r="IJ146" s="542"/>
      <c r="IK146" s="542"/>
      <c r="IL146" s="542"/>
      <c r="IM146" s="542"/>
      <c r="IN146" s="542"/>
      <c r="IO146" s="542"/>
      <c r="IP146" s="542"/>
      <c r="IQ146" s="542"/>
      <c r="IR146" s="542"/>
      <c r="IS146" s="542"/>
      <c r="IT146" s="542"/>
      <c r="IU146" s="542"/>
      <c r="IV146" s="542"/>
      <c r="IW146" s="542"/>
      <c r="IX146" s="542"/>
      <c r="IY146" s="542"/>
      <c r="IZ146" s="542"/>
      <c r="JA146" s="542"/>
      <c r="JB146" s="542"/>
    </row>
    <row r="147" spans="55:262" ht="18.899999999999999" customHeight="1">
      <c r="BC147" s="1614"/>
      <c r="BD147" s="1614"/>
      <c r="BE147" s="1614"/>
      <c r="CZ147" s="542"/>
      <c r="DA147" s="542"/>
      <c r="DB147" s="542"/>
      <c r="DC147" s="542"/>
      <c r="DD147" s="542"/>
      <c r="DE147" s="542"/>
      <c r="DF147" s="542"/>
      <c r="DG147" s="542"/>
      <c r="DH147" s="542"/>
      <c r="DI147" s="542"/>
      <c r="DJ147" s="542"/>
      <c r="DK147" s="542"/>
      <c r="DL147" s="542"/>
      <c r="DM147" s="542"/>
      <c r="DN147" s="542"/>
      <c r="DO147" s="542"/>
      <c r="DP147" s="542"/>
      <c r="DQ147" s="542"/>
      <c r="DR147" s="542"/>
      <c r="DS147" s="542"/>
      <c r="DT147" s="542"/>
      <c r="DU147" s="542"/>
      <c r="DV147" s="542"/>
      <c r="DW147" s="542"/>
      <c r="DX147" s="542"/>
      <c r="DY147" s="542"/>
      <c r="DZ147" s="542"/>
      <c r="EA147" s="542"/>
      <c r="EB147" s="542"/>
      <c r="EC147" s="542"/>
      <c r="ED147" s="542"/>
      <c r="EE147" s="542"/>
      <c r="EF147" s="542"/>
      <c r="EG147" s="542"/>
      <c r="EH147" s="542"/>
      <c r="EI147" s="542"/>
      <c r="EJ147" s="542"/>
      <c r="EK147" s="542"/>
      <c r="EL147" s="542"/>
      <c r="EM147" s="542"/>
      <c r="EN147" s="542"/>
      <c r="EO147" s="542"/>
      <c r="EP147" s="542"/>
      <c r="EQ147" s="542"/>
      <c r="ER147" s="542"/>
      <c r="ES147" s="542"/>
      <c r="ET147" s="542"/>
      <c r="EU147" s="542"/>
      <c r="EV147" s="542"/>
      <c r="EW147" s="542"/>
      <c r="EX147" s="542"/>
      <c r="EY147" s="542"/>
      <c r="EZ147" s="542"/>
      <c r="FA147" s="542"/>
      <c r="FB147" s="542"/>
      <c r="FC147" s="542"/>
      <c r="FD147" s="542"/>
      <c r="FE147" s="542"/>
      <c r="FF147" s="542"/>
      <c r="FG147" s="542"/>
      <c r="FH147" s="542"/>
      <c r="FI147" s="542"/>
      <c r="FJ147" s="542"/>
      <c r="FK147" s="542"/>
      <c r="FL147" s="542"/>
      <c r="FM147" s="542"/>
      <c r="FN147" s="542"/>
      <c r="FO147" s="542"/>
      <c r="FP147" s="542"/>
      <c r="FQ147" s="542"/>
      <c r="FR147" s="542"/>
      <c r="FS147" s="542"/>
      <c r="FT147" s="542"/>
      <c r="FU147" s="542"/>
      <c r="FV147" s="542"/>
      <c r="FW147" s="542"/>
      <c r="FX147" s="542"/>
      <c r="FY147" s="542"/>
      <c r="FZ147" s="542"/>
      <c r="GA147" s="542"/>
      <c r="GB147" s="542"/>
      <c r="GC147" s="542"/>
      <c r="GD147" s="542"/>
      <c r="GE147" s="542"/>
      <c r="GF147" s="542"/>
      <c r="GG147" s="542"/>
      <c r="GH147" s="542"/>
      <c r="GI147" s="542"/>
      <c r="GJ147" s="542"/>
      <c r="GK147" s="542"/>
      <c r="GL147" s="542"/>
      <c r="GM147" s="542"/>
      <c r="GN147" s="542"/>
      <c r="GO147" s="542"/>
      <c r="GP147" s="542"/>
      <c r="GQ147" s="542"/>
      <c r="GR147" s="542"/>
      <c r="GS147" s="542"/>
      <c r="GT147" s="542"/>
      <c r="GU147" s="542"/>
      <c r="GV147" s="542"/>
      <c r="GW147" s="542"/>
      <c r="GX147" s="542"/>
      <c r="GY147" s="542"/>
      <c r="GZ147" s="542"/>
      <c r="HA147" s="542"/>
      <c r="HB147" s="542"/>
      <c r="HC147" s="542"/>
      <c r="HD147" s="542"/>
      <c r="HE147" s="542"/>
      <c r="HF147" s="542"/>
      <c r="HG147" s="542"/>
      <c r="HH147" s="542"/>
      <c r="HI147" s="542"/>
      <c r="HJ147" s="542"/>
      <c r="HK147" s="542"/>
      <c r="HL147" s="542"/>
      <c r="HM147" s="542"/>
      <c r="HN147" s="542"/>
      <c r="HO147" s="542"/>
      <c r="HP147" s="542"/>
      <c r="HQ147" s="542"/>
      <c r="HR147" s="542"/>
      <c r="HS147" s="542"/>
      <c r="HT147" s="542"/>
      <c r="HU147" s="542"/>
      <c r="HV147" s="542"/>
      <c r="HW147" s="542"/>
      <c r="HX147" s="542"/>
      <c r="HY147" s="542"/>
      <c r="HZ147" s="542"/>
      <c r="IA147" s="542"/>
      <c r="IB147" s="542"/>
      <c r="IC147" s="542"/>
      <c r="ID147" s="542"/>
      <c r="IE147" s="542"/>
      <c r="IF147" s="542"/>
      <c r="IG147" s="542"/>
      <c r="IH147" s="542"/>
      <c r="II147" s="542"/>
      <c r="IJ147" s="542"/>
      <c r="IK147" s="542"/>
      <c r="IL147" s="542"/>
      <c r="IM147" s="542"/>
      <c r="IN147" s="542"/>
      <c r="IO147" s="542"/>
      <c r="IP147" s="542"/>
      <c r="IQ147" s="542"/>
      <c r="IR147" s="542"/>
      <c r="IS147" s="542"/>
      <c r="IT147" s="542"/>
      <c r="IU147" s="542"/>
      <c r="IV147" s="542"/>
      <c r="IW147" s="542"/>
      <c r="IX147" s="542"/>
      <c r="IY147" s="542"/>
      <c r="IZ147" s="542"/>
      <c r="JA147" s="542"/>
      <c r="JB147" s="542"/>
    </row>
    <row r="148" spans="55:262" ht="18.899999999999999" customHeight="1">
      <c r="BC148" s="1614"/>
      <c r="BD148" s="1614"/>
      <c r="BE148" s="1614"/>
      <c r="CZ148" s="542"/>
      <c r="DA148" s="542"/>
      <c r="DB148" s="542"/>
      <c r="DC148" s="542"/>
      <c r="DD148" s="542"/>
      <c r="DE148" s="542"/>
      <c r="DF148" s="542"/>
      <c r="DG148" s="542"/>
      <c r="DH148" s="542"/>
      <c r="DI148" s="542"/>
      <c r="DJ148" s="542"/>
      <c r="DK148" s="542"/>
      <c r="DL148" s="542"/>
      <c r="DM148" s="542"/>
      <c r="DN148" s="542"/>
      <c r="DO148" s="542"/>
      <c r="DP148" s="542"/>
      <c r="DQ148" s="542"/>
      <c r="DR148" s="542"/>
      <c r="DS148" s="542"/>
      <c r="DT148" s="542"/>
      <c r="DU148" s="542"/>
      <c r="DV148" s="542"/>
      <c r="DW148" s="542"/>
      <c r="DX148" s="542"/>
      <c r="DY148" s="542"/>
      <c r="DZ148" s="542"/>
      <c r="EA148" s="542"/>
      <c r="EB148" s="542"/>
      <c r="EC148" s="542"/>
      <c r="ED148" s="542"/>
      <c r="EE148" s="542"/>
      <c r="EF148" s="542"/>
      <c r="EG148" s="542"/>
      <c r="EH148" s="542"/>
      <c r="EI148" s="542"/>
      <c r="EJ148" s="542"/>
      <c r="EK148" s="542"/>
      <c r="EL148" s="542"/>
      <c r="EM148" s="542"/>
      <c r="EN148" s="542"/>
      <c r="EO148" s="542"/>
      <c r="EP148" s="542"/>
      <c r="EQ148" s="542"/>
      <c r="ER148" s="542"/>
      <c r="ES148" s="542"/>
      <c r="ET148" s="542"/>
      <c r="EU148" s="542"/>
      <c r="EV148" s="542"/>
      <c r="EW148" s="542"/>
      <c r="EX148" s="542"/>
      <c r="EY148" s="542"/>
      <c r="EZ148" s="542"/>
      <c r="FA148" s="542"/>
      <c r="FB148" s="542"/>
      <c r="FC148" s="542"/>
      <c r="FD148" s="542"/>
      <c r="FE148" s="542"/>
      <c r="FF148" s="542"/>
      <c r="FG148" s="542"/>
      <c r="FH148" s="542"/>
      <c r="FI148" s="542"/>
      <c r="FJ148" s="542"/>
      <c r="FK148" s="542"/>
      <c r="FL148" s="542"/>
      <c r="FM148" s="542"/>
      <c r="FN148" s="542"/>
      <c r="FO148" s="542"/>
      <c r="FP148" s="542"/>
      <c r="FQ148" s="542"/>
      <c r="FR148" s="542"/>
      <c r="FS148" s="542"/>
      <c r="FT148" s="542"/>
      <c r="FU148" s="542"/>
      <c r="FV148" s="542"/>
      <c r="FW148" s="542"/>
      <c r="FX148" s="542"/>
      <c r="FY148" s="542"/>
      <c r="FZ148" s="542"/>
      <c r="GA148" s="542"/>
      <c r="GB148" s="542"/>
      <c r="GC148" s="542"/>
      <c r="GD148" s="542"/>
      <c r="GE148" s="542"/>
      <c r="GF148" s="542"/>
      <c r="GG148" s="542"/>
      <c r="GH148" s="542"/>
      <c r="GI148" s="542"/>
      <c r="GJ148" s="542"/>
      <c r="GK148" s="542"/>
      <c r="GL148" s="542"/>
      <c r="GM148" s="542"/>
      <c r="GN148" s="542"/>
      <c r="GO148" s="542"/>
      <c r="GP148" s="542"/>
      <c r="GQ148" s="542"/>
      <c r="GR148" s="542"/>
      <c r="GS148" s="542"/>
      <c r="GT148" s="542"/>
      <c r="GU148" s="542"/>
      <c r="GV148" s="542"/>
      <c r="GW148" s="542"/>
      <c r="GX148" s="542"/>
      <c r="GY148" s="542"/>
      <c r="GZ148" s="542"/>
      <c r="HA148" s="542"/>
      <c r="HB148" s="542"/>
      <c r="HC148" s="542"/>
      <c r="HD148" s="542"/>
      <c r="HE148" s="542"/>
      <c r="HF148" s="542"/>
      <c r="HG148" s="542"/>
      <c r="HH148" s="542"/>
      <c r="HI148" s="542"/>
      <c r="HJ148" s="542"/>
      <c r="HK148" s="542"/>
      <c r="HL148" s="542"/>
      <c r="HM148" s="542"/>
      <c r="HN148" s="542"/>
      <c r="HO148" s="542"/>
      <c r="HP148" s="542"/>
      <c r="HQ148" s="542"/>
      <c r="HR148" s="542"/>
      <c r="HS148" s="542"/>
      <c r="HT148" s="542"/>
      <c r="HU148" s="542"/>
      <c r="HV148" s="542"/>
      <c r="HW148" s="542"/>
      <c r="HX148" s="542"/>
      <c r="HY148" s="542"/>
      <c r="HZ148" s="542"/>
      <c r="IA148" s="542"/>
      <c r="IB148" s="542"/>
      <c r="IC148" s="542"/>
      <c r="ID148" s="542"/>
      <c r="IE148" s="542"/>
      <c r="IF148" s="542"/>
      <c r="IG148" s="542"/>
      <c r="IH148" s="542"/>
      <c r="II148" s="542"/>
      <c r="IJ148" s="542"/>
      <c r="IK148" s="542"/>
      <c r="IL148" s="542"/>
      <c r="IM148" s="542"/>
      <c r="IN148" s="542"/>
      <c r="IO148" s="542"/>
      <c r="IP148" s="542"/>
      <c r="IQ148" s="542"/>
      <c r="IR148" s="542"/>
      <c r="IS148" s="542"/>
      <c r="IT148" s="542"/>
      <c r="IU148" s="542"/>
      <c r="IV148" s="542"/>
      <c r="IW148" s="542"/>
      <c r="IX148" s="542"/>
      <c r="IY148" s="542"/>
      <c r="IZ148" s="542"/>
      <c r="JA148" s="542"/>
      <c r="JB148" s="542"/>
    </row>
    <row r="149" spans="55:262" ht="18.899999999999999" customHeight="1">
      <c r="BC149" s="1614"/>
      <c r="BD149" s="1614"/>
      <c r="BE149" s="1614"/>
      <c r="CZ149" s="542"/>
      <c r="DA149" s="542"/>
      <c r="DB149" s="542"/>
      <c r="DC149" s="542"/>
      <c r="DD149" s="542"/>
      <c r="DE149" s="542"/>
      <c r="DF149" s="542"/>
      <c r="DG149" s="542"/>
      <c r="DH149" s="542"/>
      <c r="DI149" s="542"/>
      <c r="DJ149" s="542"/>
      <c r="DK149" s="542"/>
      <c r="DL149" s="542"/>
      <c r="DM149" s="542"/>
      <c r="DN149" s="542"/>
      <c r="DO149" s="542"/>
      <c r="DP149" s="542"/>
      <c r="DQ149" s="542"/>
      <c r="DR149" s="542"/>
      <c r="DS149" s="542"/>
      <c r="DT149" s="542"/>
      <c r="DU149" s="542"/>
      <c r="DV149" s="542"/>
      <c r="DW149" s="542"/>
      <c r="DX149" s="542"/>
      <c r="DY149" s="542"/>
      <c r="DZ149" s="542"/>
      <c r="EA149" s="542"/>
      <c r="EB149" s="542"/>
      <c r="EC149" s="542"/>
      <c r="ED149" s="542"/>
      <c r="EE149" s="542"/>
      <c r="EF149" s="542"/>
      <c r="EG149" s="542"/>
      <c r="EH149" s="542"/>
      <c r="EI149" s="542"/>
      <c r="EJ149" s="542"/>
      <c r="EK149" s="542"/>
      <c r="EL149" s="542"/>
      <c r="EM149" s="542"/>
      <c r="EN149" s="542"/>
      <c r="EO149" s="542"/>
      <c r="EP149" s="542"/>
      <c r="EQ149" s="542"/>
      <c r="ER149" s="542"/>
      <c r="ES149" s="542"/>
      <c r="ET149" s="542"/>
      <c r="EU149" s="542"/>
      <c r="EV149" s="542"/>
      <c r="EW149" s="542"/>
      <c r="EX149" s="542"/>
      <c r="EY149" s="542"/>
      <c r="EZ149" s="542"/>
      <c r="FA149" s="542"/>
      <c r="FB149" s="542"/>
      <c r="FC149" s="542"/>
      <c r="FD149" s="542"/>
      <c r="FE149" s="542"/>
      <c r="FF149" s="542"/>
      <c r="FG149" s="542"/>
      <c r="FH149" s="542"/>
      <c r="FI149" s="542"/>
      <c r="FJ149" s="542"/>
      <c r="FK149" s="542"/>
      <c r="FL149" s="542"/>
      <c r="FM149" s="542"/>
      <c r="FN149" s="542"/>
      <c r="FO149" s="542"/>
      <c r="FP149" s="542"/>
      <c r="FQ149" s="542"/>
      <c r="FR149" s="542"/>
      <c r="FS149" s="542"/>
      <c r="FT149" s="542"/>
      <c r="FU149" s="542"/>
      <c r="FV149" s="542"/>
      <c r="FW149" s="542"/>
      <c r="FX149" s="542"/>
      <c r="FY149" s="542"/>
      <c r="FZ149" s="542"/>
      <c r="GA149" s="542"/>
      <c r="GB149" s="542"/>
      <c r="GC149" s="542"/>
      <c r="GD149" s="542"/>
      <c r="GE149" s="542"/>
      <c r="GF149" s="542"/>
      <c r="GG149" s="542"/>
      <c r="GH149" s="542"/>
      <c r="GI149" s="542"/>
      <c r="GJ149" s="542"/>
      <c r="GK149" s="542"/>
      <c r="GL149" s="542"/>
      <c r="GM149" s="542"/>
      <c r="GN149" s="542"/>
      <c r="GO149" s="542"/>
      <c r="GP149" s="542"/>
      <c r="GQ149" s="542"/>
      <c r="GR149" s="542"/>
      <c r="GS149" s="542"/>
      <c r="GT149" s="542"/>
      <c r="GU149" s="542"/>
      <c r="GV149" s="542"/>
      <c r="GW149" s="542"/>
      <c r="GX149" s="542"/>
      <c r="GY149" s="542"/>
      <c r="GZ149" s="542"/>
      <c r="HA149" s="542"/>
      <c r="HB149" s="542"/>
      <c r="HC149" s="542"/>
      <c r="HD149" s="542"/>
      <c r="HE149" s="542"/>
      <c r="HF149" s="542"/>
      <c r="HG149" s="542"/>
      <c r="HH149" s="542"/>
      <c r="HI149" s="542"/>
      <c r="HJ149" s="542"/>
      <c r="HK149" s="542"/>
      <c r="HL149" s="542"/>
      <c r="HM149" s="542"/>
      <c r="HN149" s="542"/>
      <c r="HO149" s="542"/>
      <c r="HP149" s="542"/>
      <c r="HQ149" s="542"/>
      <c r="HR149" s="542"/>
      <c r="HS149" s="542"/>
      <c r="HT149" s="542"/>
      <c r="HU149" s="542"/>
      <c r="HV149" s="542"/>
      <c r="HW149" s="542"/>
      <c r="HX149" s="542"/>
      <c r="HY149" s="542"/>
      <c r="HZ149" s="542"/>
      <c r="IA149" s="542"/>
      <c r="IB149" s="542"/>
      <c r="IC149" s="542"/>
      <c r="ID149" s="542"/>
      <c r="IE149" s="542"/>
      <c r="IF149" s="542"/>
      <c r="IG149" s="542"/>
      <c r="IH149" s="542"/>
      <c r="II149" s="542"/>
      <c r="IJ149" s="542"/>
      <c r="IK149" s="542"/>
      <c r="IL149" s="542"/>
      <c r="IM149" s="542"/>
      <c r="IN149" s="542"/>
      <c r="IO149" s="542"/>
      <c r="IP149" s="542"/>
      <c r="IQ149" s="542"/>
      <c r="IR149" s="542"/>
      <c r="IS149" s="542"/>
      <c r="IT149" s="542"/>
      <c r="IU149" s="542"/>
      <c r="IV149" s="542"/>
      <c r="IW149" s="542"/>
      <c r="IX149" s="542"/>
      <c r="IY149" s="542"/>
      <c r="IZ149" s="542"/>
      <c r="JA149" s="542"/>
      <c r="JB149" s="542"/>
    </row>
    <row r="150" spans="55:262" ht="18.899999999999999" customHeight="1">
      <c r="BC150" s="1614"/>
      <c r="BD150" s="1614"/>
      <c r="BE150" s="1614"/>
      <c r="CZ150" s="542"/>
      <c r="DA150" s="542"/>
      <c r="DB150" s="542"/>
      <c r="DC150" s="542"/>
      <c r="DD150" s="542"/>
      <c r="DE150" s="542"/>
      <c r="DF150" s="542"/>
      <c r="DG150" s="542"/>
      <c r="DH150" s="542"/>
      <c r="DI150" s="542"/>
      <c r="DJ150" s="542"/>
      <c r="DK150" s="542"/>
      <c r="DL150" s="542"/>
      <c r="DM150" s="542"/>
      <c r="DN150" s="542"/>
      <c r="DO150" s="542"/>
      <c r="DP150" s="542"/>
      <c r="DQ150" s="542"/>
      <c r="DR150" s="542"/>
      <c r="DS150" s="542"/>
      <c r="DT150" s="542"/>
      <c r="DU150" s="542"/>
      <c r="DV150" s="542"/>
      <c r="DW150" s="542"/>
      <c r="DX150" s="542"/>
      <c r="DY150" s="542"/>
      <c r="DZ150" s="542"/>
      <c r="EA150" s="542"/>
      <c r="EB150" s="542"/>
      <c r="EC150" s="542"/>
      <c r="ED150" s="542"/>
      <c r="EE150" s="542"/>
      <c r="EF150" s="542"/>
      <c r="EG150" s="542"/>
      <c r="EH150" s="542"/>
      <c r="EI150" s="542"/>
      <c r="EJ150" s="542"/>
      <c r="EK150" s="542"/>
      <c r="EL150" s="542"/>
      <c r="EM150" s="542"/>
      <c r="EN150" s="542"/>
      <c r="EO150" s="542"/>
      <c r="EP150" s="542"/>
      <c r="EQ150" s="542"/>
      <c r="ER150" s="542"/>
      <c r="ES150" s="542"/>
      <c r="ET150" s="542"/>
      <c r="EU150" s="542"/>
      <c r="EV150" s="542"/>
      <c r="EW150" s="542"/>
      <c r="EX150" s="542"/>
      <c r="EY150" s="542"/>
      <c r="EZ150" s="542"/>
      <c r="FA150" s="542"/>
      <c r="FB150" s="542"/>
      <c r="FC150" s="542"/>
      <c r="FD150" s="542"/>
      <c r="FE150" s="542"/>
      <c r="FF150" s="542"/>
      <c r="FG150" s="542"/>
      <c r="FH150" s="542"/>
      <c r="FI150" s="542"/>
      <c r="FJ150" s="542"/>
      <c r="FK150" s="542"/>
      <c r="FL150" s="542"/>
      <c r="FM150" s="542"/>
      <c r="FN150" s="542"/>
      <c r="FO150" s="542"/>
      <c r="FP150" s="542"/>
      <c r="FQ150" s="542"/>
      <c r="FR150" s="542"/>
      <c r="FS150" s="542"/>
      <c r="FT150" s="542"/>
      <c r="FU150" s="542"/>
      <c r="FV150" s="542"/>
      <c r="FW150" s="542"/>
      <c r="FX150" s="542"/>
      <c r="FY150" s="542"/>
      <c r="FZ150" s="542"/>
      <c r="GA150" s="542"/>
      <c r="GB150" s="542"/>
      <c r="GC150" s="542"/>
      <c r="GD150" s="542"/>
      <c r="GE150" s="542"/>
      <c r="GF150" s="542"/>
      <c r="GG150" s="542"/>
      <c r="GH150" s="542"/>
      <c r="GI150" s="542"/>
      <c r="GJ150" s="542"/>
      <c r="GK150" s="542"/>
      <c r="GL150" s="542"/>
      <c r="GM150" s="542"/>
      <c r="GN150" s="542"/>
      <c r="GO150" s="542"/>
      <c r="GP150" s="542"/>
      <c r="GQ150" s="542"/>
      <c r="GR150" s="542"/>
      <c r="GS150" s="542"/>
      <c r="GT150" s="542"/>
      <c r="GU150" s="542"/>
      <c r="GV150" s="542"/>
      <c r="GW150" s="542"/>
      <c r="GX150" s="542"/>
      <c r="GY150" s="542"/>
      <c r="GZ150" s="542"/>
      <c r="HA150" s="542"/>
      <c r="HB150" s="542"/>
      <c r="HC150" s="542"/>
      <c r="HD150" s="542"/>
      <c r="HE150" s="542"/>
      <c r="HF150" s="542"/>
      <c r="HG150" s="542"/>
      <c r="HH150" s="542"/>
      <c r="HI150" s="542"/>
      <c r="HJ150" s="542"/>
      <c r="HK150" s="542"/>
      <c r="HL150" s="542"/>
      <c r="HM150" s="542"/>
      <c r="HN150" s="542"/>
      <c r="HO150" s="542"/>
      <c r="HP150" s="542"/>
      <c r="HQ150" s="542"/>
      <c r="HR150" s="542"/>
      <c r="HS150" s="542"/>
      <c r="HT150" s="542"/>
      <c r="HU150" s="542"/>
      <c r="HV150" s="542"/>
      <c r="HW150" s="542"/>
      <c r="HX150" s="542"/>
      <c r="HY150" s="542"/>
      <c r="HZ150" s="542"/>
      <c r="IA150" s="542"/>
      <c r="IB150" s="542"/>
      <c r="IC150" s="542"/>
      <c r="ID150" s="542"/>
      <c r="IE150" s="542"/>
      <c r="IF150" s="542"/>
      <c r="IG150" s="542"/>
      <c r="IH150" s="542"/>
      <c r="II150" s="542"/>
      <c r="IJ150" s="542"/>
      <c r="IK150" s="542"/>
      <c r="IL150" s="542"/>
      <c r="IM150" s="542"/>
      <c r="IN150" s="542"/>
      <c r="IO150" s="542"/>
      <c r="IP150" s="542"/>
      <c r="IQ150" s="542"/>
      <c r="IR150" s="542"/>
      <c r="IS150" s="542"/>
      <c r="IT150" s="542"/>
      <c r="IU150" s="542"/>
      <c r="IV150" s="542"/>
      <c r="IW150" s="542"/>
      <c r="IX150" s="542"/>
      <c r="IY150" s="542"/>
      <c r="IZ150" s="542"/>
      <c r="JA150" s="542"/>
      <c r="JB150" s="542"/>
    </row>
    <row r="151" spans="55:262" ht="18.899999999999999" customHeight="1">
      <c r="BC151" s="1614"/>
      <c r="BD151" s="1614"/>
      <c r="BE151" s="1614"/>
      <c r="CZ151" s="542"/>
      <c r="DA151" s="542"/>
      <c r="DB151" s="542"/>
      <c r="DC151" s="542"/>
      <c r="DD151" s="542"/>
      <c r="DE151" s="542"/>
      <c r="DF151" s="542"/>
      <c r="DG151" s="542"/>
      <c r="DH151" s="542"/>
      <c r="DI151" s="542"/>
      <c r="DJ151" s="542"/>
      <c r="DK151" s="542"/>
      <c r="DL151" s="542"/>
      <c r="DM151" s="542"/>
      <c r="DN151" s="542"/>
      <c r="DO151" s="542"/>
      <c r="DP151" s="542"/>
      <c r="DQ151" s="542"/>
      <c r="DR151" s="542"/>
      <c r="DS151" s="542"/>
      <c r="DT151" s="542"/>
      <c r="DU151" s="542"/>
      <c r="DV151" s="542"/>
      <c r="DW151" s="542"/>
      <c r="DX151" s="542"/>
      <c r="DY151" s="542"/>
      <c r="DZ151" s="542"/>
      <c r="EA151" s="542"/>
      <c r="EB151" s="542"/>
      <c r="EC151" s="542"/>
      <c r="ED151" s="542"/>
      <c r="EE151" s="542"/>
      <c r="EF151" s="542"/>
      <c r="EG151" s="542"/>
      <c r="EH151" s="542"/>
      <c r="EI151" s="542"/>
      <c r="EJ151" s="542"/>
      <c r="EK151" s="542"/>
      <c r="EL151" s="542"/>
      <c r="EM151" s="542"/>
      <c r="EN151" s="542"/>
      <c r="EO151" s="542"/>
      <c r="EP151" s="542"/>
      <c r="EQ151" s="542"/>
      <c r="ER151" s="542"/>
      <c r="ES151" s="542"/>
      <c r="ET151" s="542"/>
      <c r="EU151" s="542"/>
      <c r="EV151" s="542"/>
      <c r="EW151" s="542"/>
      <c r="EX151" s="542"/>
      <c r="EY151" s="542"/>
      <c r="EZ151" s="542"/>
      <c r="FA151" s="542"/>
      <c r="FB151" s="542"/>
      <c r="FC151" s="542"/>
      <c r="FD151" s="542"/>
      <c r="FE151" s="542"/>
      <c r="FF151" s="542"/>
      <c r="FG151" s="542"/>
      <c r="FH151" s="542"/>
      <c r="FI151" s="542"/>
      <c r="FJ151" s="542"/>
      <c r="FK151" s="542"/>
      <c r="FL151" s="542"/>
      <c r="FM151" s="542"/>
      <c r="FN151" s="542"/>
      <c r="FO151" s="542"/>
      <c r="FP151" s="542"/>
      <c r="FQ151" s="542"/>
      <c r="FR151" s="542"/>
      <c r="FS151" s="542"/>
      <c r="FT151" s="542"/>
      <c r="FU151" s="542"/>
      <c r="FV151" s="542"/>
      <c r="FW151" s="542"/>
      <c r="FX151" s="542"/>
      <c r="FY151" s="542"/>
      <c r="FZ151" s="542"/>
      <c r="GA151" s="542"/>
      <c r="GB151" s="542"/>
      <c r="GC151" s="542"/>
      <c r="GD151" s="542"/>
      <c r="GE151" s="542"/>
      <c r="GF151" s="542"/>
      <c r="GG151" s="542"/>
      <c r="GH151" s="542"/>
      <c r="GI151" s="542"/>
      <c r="GJ151" s="542"/>
      <c r="GK151" s="542"/>
      <c r="GL151" s="542"/>
      <c r="GM151" s="542"/>
      <c r="GN151" s="542"/>
      <c r="GO151" s="542"/>
      <c r="GP151" s="542"/>
      <c r="GQ151" s="542"/>
      <c r="GR151" s="542"/>
      <c r="GS151" s="542"/>
      <c r="GT151" s="542"/>
      <c r="GU151" s="542"/>
      <c r="GV151" s="542"/>
      <c r="GW151" s="542"/>
      <c r="GX151" s="542"/>
      <c r="GY151" s="542"/>
      <c r="GZ151" s="542"/>
      <c r="HA151" s="542"/>
      <c r="HB151" s="542"/>
      <c r="HC151" s="542"/>
      <c r="HD151" s="542"/>
      <c r="HE151" s="542"/>
      <c r="HF151" s="542"/>
      <c r="HG151" s="542"/>
      <c r="HH151" s="542"/>
      <c r="HI151" s="542"/>
      <c r="HJ151" s="542"/>
      <c r="HK151" s="542"/>
      <c r="HL151" s="542"/>
      <c r="HM151" s="542"/>
      <c r="HN151" s="542"/>
      <c r="HO151" s="542"/>
      <c r="HP151" s="542"/>
      <c r="HQ151" s="542"/>
      <c r="HR151" s="542"/>
      <c r="HS151" s="542"/>
      <c r="HT151" s="542"/>
      <c r="HU151" s="542"/>
      <c r="HV151" s="542"/>
      <c r="HW151" s="542"/>
      <c r="HX151" s="542"/>
      <c r="HY151" s="542"/>
      <c r="HZ151" s="542"/>
      <c r="IA151" s="542"/>
      <c r="IB151" s="542"/>
      <c r="IC151" s="542"/>
      <c r="ID151" s="542"/>
      <c r="IE151" s="542"/>
      <c r="IF151" s="542"/>
      <c r="IG151" s="542"/>
      <c r="IH151" s="542"/>
      <c r="II151" s="542"/>
      <c r="IJ151" s="542"/>
      <c r="IK151" s="542"/>
      <c r="IL151" s="542"/>
      <c r="IM151" s="542"/>
      <c r="IN151" s="542"/>
      <c r="IO151" s="542"/>
      <c r="IP151" s="542"/>
      <c r="IQ151" s="542"/>
      <c r="IR151" s="542"/>
      <c r="IS151" s="542"/>
      <c r="IT151" s="542"/>
      <c r="IU151" s="542"/>
      <c r="IV151" s="542"/>
      <c r="IW151" s="542"/>
      <c r="IX151" s="542"/>
      <c r="IY151" s="542"/>
      <c r="IZ151" s="542"/>
      <c r="JA151" s="542"/>
      <c r="JB151" s="542"/>
    </row>
    <row r="152" spans="55:262" ht="18.899999999999999" customHeight="1">
      <c r="BC152" s="1614"/>
      <c r="BD152" s="1614"/>
      <c r="BE152" s="1614"/>
      <c r="CZ152" s="542"/>
      <c r="DA152" s="542"/>
      <c r="DB152" s="542"/>
      <c r="DC152" s="542"/>
      <c r="DD152" s="542"/>
      <c r="DE152" s="542"/>
      <c r="DF152" s="542"/>
      <c r="DG152" s="542"/>
      <c r="DH152" s="542"/>
      <c r="DI152" s="542"/>
      <c r="DJ152" s="542"/>
      <c r="DK152" s="542"/>
      <c r="DL152" s="542"/>
      <c r="DM152" s="542"/>
      <c r="DN152" s="542"/>
      <c r="DO152" s="542"/>
      <c r="DP152" s="542"/>
      <c r="DQ152" s="542"/>
      <c r="DR152" s="542"/>
      <c r="DS152" s="542"/>
      <c r="DT152" s="542"/>
      <c r="DU152" s="542"/>
      <c r="DV152" s="542"/>
      <c r="DW152" s="542"/>
      <c r="DX152" s="542"/>
      <c r="DY152" s="542"/>
      <c r="DZ152" s="542"/>
      <c r="EA152" s="542"/>
      <c r="EB152" s="542"/>
      <c r="EC152" s="542"/>
      <c r="ED152" s="542"/>
      <c r="EE152" s="542"/>
      <c r="EF152" s="542"/>
      <c r="EG152" s="542"/>
      <c r="EH152" s="542"/>
      <c r="EI152" s="542"/>
      <c r="EJ152" s="542"/>
      <c r="EK152" s="542"/>
      <c r="EL152" s="542"/>
      <c r="EM152" s="542"/>
      <c r="EN152" s="542"/>
      <c r="EO152" s="542"/>
      <c r="EP152" s="542"/>
      <c r="EQ152" s="542"/>
      <c r="ER152" s="542"/>
      <c r="ES152" s="542"/>
      <c r="ET152" s="542"/>
      <c r="EU152" s="542"/>
      <c r="EV152" s="542"/>
      <c r="EW152" s="542"/>
      <c r="EX152" s="542"/>
      <c r="EY152" s="542"/>
      <c r="EZ152" s="542"/>
      <c r="FA152" s="542"/>
      <c r="FB152" s="542"/>
      <c r="FC152" s="542"/>
      <c r="FD152" s="542"/>
      <c r="FE152" s="542"/>
      <c r="FF152" s="542"/>
      <c r="FG152" s="542"/>
      <c r="FH152" s="542"/>
      <c r="FI152" s="542"/>
      <c r="FJ152" s="542"/>
      <c r="FK152" s="542"/>
      <c r="FL152" s="542"/>
      <c r="FM152" s="542"/>
      <c r="FN152" s="542"/>
      <c r="FO152" s="542"/>
      <c r="FP152" s="542"/>
      <c r="FQ152" s="542"/>
      <c r="FR152" s="542"/>
      <c r="FS152" s="542"/>
      <c r="FT152" s="542"/>
      <c r="FU152" s="542"/>
      <c r="FV152" s="542"/>
      <c r="FW152" s="542"/>
      <c r="FX152" s="542"/>
      <c r="FY152" s="542"/>
      <c r="FZ152" s="542"/>
      <c r="GA152" s="542"/>
      <c r="GB152" s="542"/>
      <c r="GC152" s="542"/>
      <c r="GD152" s="542"/>
      <c r="GE152" s="542"/>
      <c r="GF152" s="542"/>
      <c r="GG152" s="542"/>
      <c r="GH152" s="542"/>
      <c r="GI152" s="542"/>
      <c r="GJ152" s="542"/>
      <c r="GK152" s="542"/>
      <c r="GL152" s="542"/>
      <c r="GM152" s="542"/>
      <c r="GN152" s="542"/>
      <c r="GO152" s="542"/>
      <c r="GP152" s="542"/>
      <c r="GQ152" s="542"/>
      <c r="GR152" s="542"/>
      <c r="GS152" s="542"/>
      <c r="GT152" s="542"/>
      <c r="GU152" s="542"/>
      <c r="GV152" s="542"/>
      <c r="GW152" s="542"/>
      <c r="GX152" s="542"/>
      <c r="GY152" s="542"/>
      <c r="GZ152" s="542"/>
      <c r="HA152" s="542"/>
      <c r="HB152" s="542"/>
      <c r="HC152" s="542"/>
      <c r="HD152" s="542"/>
      <c r="HE152" s="542"/>
      <c r="HF152" s="542"/>
      <c r="HG152" s="542"/>
      <c r="HH152" s="542"/>
      <c r="HI152" s="542"/>
      <c r="HJ152" s="542"/>
      <c r="HK152" s="542"/>
      <c r="HL152" s="542"/>
      <c r="HM152" s="542"/>
      <c r="HN152" s="542"/>
      <c r="HO152" s="542"/>
      <c r="HP152" s="542"/>
      <c r="HQ152" s="542"/>
      <c r="HR152" s="542"/>
      <c r="HS152" s="542"/>
      <c r="HT152" s="542"/>
      <c r="HU152" s="542"/>
      <c r="HV152" s="542"/>
      <c r="HW152" s="542"/>
      <c r="HX152" s="542"/>
      <c r="HY152" s="542"/>
      <c r="HZ152" s="542"/>
      <c r="IA152" s="542"/>
      <c r="IB152" s="542"/>
      <c r="IC152" s="542"/>
      <c r="ID152" s="542"/>
      <c r="IE152" s="542"/>
      <c r="IF152" s="542"/>
      <c r="IG152" s="542"/>
      <c r="IH152" s="542"/>
      <c r="II152" s="542"/>
      <c r="IJ152" s="542"/>
      <c r="IK152" s="542"/>
      <c r="IL152" s="542"/>
      <c r="IM152" s="542"/>
      <c r="IN152" s="542"/>
      <c r="IO152" s="542"/>
      <c r="IP152" s="542"/>
      <c r="IQ152" s="542"/>
      <c r="IR152" s="542"/>
      <c r="IS152" s="542"/>
      <c r="IT152" s="542"/>
      <c r="IU152" s="542"/>
      <c r="IV152" s="542"/>
      <c r="IW152" s="542"/>
      <c r="IX152" s="542"/>
      <c r="IY152" s="542"/>
      <c r="IZ152" s="542"/>
      <c r="JA152" s="542"/>
      <c r="JB152" s="542"/>
    </row>
    <row r="153" spans="55:262" ht="18.899999999999999" customHeight="1">
      <c r="BC153" s="1614"/>
      <c r="BD153" s="1614"/>
      <c r="BE153" s="1614"/>
      <c r="CZ153" s="542"/>
      <c r="DA153" s="542"/>
      <c r="DB153" s="542"/>
      <c r="DC153" s="542"/>
      <c r="DD153" s="542"/>
      <c r="DE153" s="542"/>
      <c r="DF153" s="542"/>
      <c r="DG153" s="542"/>
      <c r="DH153" s="542"/>
      <c r="DI153" s="542"/>
      <c r="DJ153" s="542"/>
      <c r="DK153" s="542"/>
      <c r="DL153" s="542"/>
      <c r="DM153" s="542"/>
      <c r="DN153" s="542"/>
      <c r="DO153" s="542"/>
      <c r="DP153" s="542"/>
      <c r="DQ153" s="542"/>
      <c r="DR153" s="542"/>
      <c r="DS153" s="542"/>
      <c r="DT153" s="542"/>
      <c r="DU153" s="542"/>
      <c r="DV153" s="542"/>
      <c r="DW153" s="542"/>
      <c r="DX153" s="542"/>
      <c r="DY153" s="542"/>
      <c r="DZ153" s="542"/>
      <c r="EA153" s="542"/>
      <c r="EB153" s="542"/>
      <c r="EC153" s="542"/>
      <c r="ED153" s="542"/>
      <c r="EE153" s="542"/>
      <c r="EF153" s="542"/>
      <c r="EG153" s="542"/>
      <c r="EH153" s="542"/>
      <c r="EI153" s="542"/>
      <c r="EJ153" s="542"/>
      <c r="EK153" s="542"/>
      <c r="EL153" s="542"/>
      <c r="EM153" s="542"/>
      <c r="EN153" s="542"/>
      <c r="EO153" s="542"/>
      <c r="EP153" s="542"/>
      <c r="EQ153" s="542"/>
      <c r="ER153" s="542"/>
      <c r="ES153" s="542"/>
      <c r="ET153" s="542"/>
      <c r="EU153" s="542"/>
      <c r="EV153" s="542"/>
      <c r="EW153" s="542"/>
      <c r="EX153" s="542"/>
      <c r="EY153" s="542"/>
      <c r="EZ153" s="542"/>
      <c r="FA153" s="542"/>
      <c r="FB153" s="542"/>
      <c r="FC153" s="542"/>
      <c r="FD153" s="542"/>
      <c r="FE153" s="542"/>
      <c r="FF153" s="542"/>
      <c r="FG153" s="542"/>
      <c r="FH153" s="542"/>
      <c r="FI153" s="542"/>
      <c r="FJ153" s="542"/>
      <c r="FK153" s="542"/>
      <c r="FL153" s="542"/>
      <c r="FM153" s="542"/>
      <c r="FN153" s="542"/>
      <c r="FO153" s="542"/>
      <c r="FP153" s="542"/>
      <c r="FQ153" s="542"/>
      <c r="FR153" s="542"/>
      <c r="FS153" s="542"/>
      <c r="FT153" s="542"/>
      <c r="FU153" s="542"/>
      <c r="FV153" s="542"/>
      <c r="FW153" s="542"/>
      <c r="FX153" s="542"/>
      <c r="FY153" s="542"/>
      <c r="FZ153" s="542"/>
      <c r="GA153" s="542"/>
      <c r="GB153" s="542"/>
      <c r="GC153" s="542"/>
      <c r="GD153" s="542"/>
      <c r="GE153" s="542"/>
      <c r="GF153" s="542"/>
      <c r="GG153" s="542"/>
      <c r="GH153" s="542"/>
      <c r="GI153" s="542"/>
      <c r="GJ153" s="542"/>
      <c r="GK153" s="542"/>
      <c r="GL153" s="542"/>
      <c r="GM153" s="542"/>
      <c r="GN153" s="542"/>
      <c r="GO153" s="542"/>
      <c r="GP153" s="542"/>
      <c r="GQ153" s="542"/>
      <c r="GR153" s="542"/>
      <c r="GS153" s="542"/>
      <c r="GT153" s="542"/>
      <c r="GU153" s="542"/>
      <c r="GV153" s="542"/>
      <c r="GW153" s="542"/>
      <c r="GX153" s="542"/>
      <c r="GY153" s="542"/>
      <c r="GZ153" s="542"/>
      <c r="HA153" s="542"/>
      <c r="HB153" s="542"/>
      <c r="HC153" s="542"/>
      <c r="HD153" s="542"/>
      <c r="HE153" s="542"/>
      <c r="HF153" s="542"/>
      <c r="HG153" s="542"/>
      <c r="HH153" s="542"/>
      <c r="HI153" s="542"/>
      <c r="HJ153" s="542"/>
      <c r="HK153" s="542"/>
      <c r="HL153" s="542"/>
      <c r="HM153" s="542"/>
      <c r="HN153" s="542"/>
      <c r="HO153" s="542"/>
      <c r="HP153" s="542"/>
      <c r="HQ153" s="542"/>
      <c r="HR153" s="542"/>
      <c r="HS153" s="542"/>
      <c r="HT153" s="542"/>
      <c r="HU153" s="542"/>
      <c r="HV153" s="542"/>
      <c r="HW153" s="542"/>
      <c r="HX153" s="542"/>
      <c r="HY153" s="542"/>
      <c r="HZ153" s="542"/>
      <c r="IA153" s="542"/>
      <c r="IB153" s="542"/>
      <c r="IC153" s="542"/>
      <c r="ID153" s="542"/>
      <c r="IE153" s="542"/>
      <c r="IF153" s="542"/>
      <c r="IG153" s="542"/>
      <c r="IH153" s="542"/>
      <c r="II153" s="542"/>
      <c r="IJ153" s="542"/>
      <c r="IK153" s="542"/>
      <c r="IL153" s="542"/>
      <c r="IM153" s="542"/>
      <c r="IN153" s="542"/>
      <c r="IO153" s="542"/>
      <c r="IP153" s="542"/>
      <c r="IQ153" s="542"/>
      <c r="IR153" s="542"/>
      <c r="IS153" s="542"/>
      <c r="IT153" s="542"/>
      <c r="IU153" s="542"/>
      <c r="IV153" s="542"/>
      <c r="IW153" s="542"/>
      <c r="IX153" s="542"/>
      <c r="IY153" s="542"/>
      <c r="IZ153" s="542"/>
      <c r="JA153" s="542"/>
      <c r="JB153" s="542"/>
    </row>
    <row r="154" spans="55:262" ht="18.899999999999999" customHeight="1">
      <c r="BC154" s="1614"/>
      <c r="BD154" s="1614"/>
      <c r="BE154" s="1614"/>
      <c r="CZ154" s="542"/>
      <c r="DA154" s="542"/>
      <c r="DB154" s="542"/>
      <c r="DC154" s="542"/>
      <c r="DD154" s="542"/>
      <c r="DE154" s="542"/>
      <c r="DF154" s="542"/>
      <c r="DG154" s="542"/>
      <c r="DH154" s="542"/>
      <c r="DI154" s="542"/>
      <c r="DJ154" s="542"/>
      <c r="DK154" s="542"/>
      <c r="DL154" s="542"/>
      <c r="DM154" s="542"/>
      <c r="DN154" s="542"/>
      <c r="DO154" s="542"/>
      <c r="DP154" s="542"/>
      <c r="DQ154" s="542"/>
      <c r="DR154" s="542"/>
      <c r="DS154" s="542"/>
      <c r="DT154" s="542"/>
      <c r="DU154" s="542"/>
      <c r="DV154" s="542"/>
      <c r="DW154" s="542"/>
      <c r="DX154" s="542"/>
      <c r="DY154" s="542"/>
      <c r="DZ154" s="542"/>
      <c r="EA154" s="542"/>
      <c r="EB154" s="542"/>
      <c r="EC154" s="542"/>
      <c r="ED154" s="542"/>
      <c r="EE154" s="542"/>
      <c r="EF154" s="542"/>
      <c r="EG154" s="542"/>
      <c r="EH154" s="542"/>
      <c r="EI154" s="542"/>
      <c r="EJ154" s="542"/>
      <c r="EK154" s="542"/>
      <c r="EL154" s="542"/>
      <c r="EM154" s="542"/>
      <c r="EN154" s="542"/>
      <c r="EO154" s="542"/>
      <c r="EP154" s="542"/>
      <c r="EQ154" s="542"/>
      <c r="ER154" s="542"/>
      <c r="ES154" s="542"/>
      <c r="ET154" s="542"/>
      <c r="EU154" s="542"/>
      <c r="EV154" s="542"/>
      <c r="EW154" s="542"/>
      <c r="EX154" s="542"/>
      <c r="EY154" s="542"/>
      <c r="EZ154" s="542"/>
      <c r="FA154" s="542"/>
      <c r="FB154" s="542"/>
      <c r="FC154" s="542"/>
      <c r="FD154" s="542"/>
      <c r="FE154" s="542"/>
      <c r="FF154" s="542"/>
      <c r="FG154" s="542"/>
      <c r="FH154" s="542"/>
      <c r="FI154" s="542"/>
      <c r="FJ154" s="542"/>
      <c r="FK154" s="542"/>
      <c r="FL154" s="542"/>
      <c r="FM154" s="542"/>
      <c r="FN154" s="542"/>
      <c r="FO154" s="542"/>
      <c r="FP154" s="542"/>
      <c r="FQ154" s="542"/>
      <c r="FR154" s="542"/>
      <c r="FS154" s="542"/>
      <c r="FT154" s="542"/>
      <c r="FU154" s="542"/>
      <c r="FV154" s="542"/>
      <c r="FW154" s="542"/>
      <c r="FX154" s="542"/>
      <c r="FY154" s="542"/>
      <c r="FZ154" s="542"/>
      <c r="GA154" s="542"/>
      <c r="GB154" s="542"/>
      <c r="GC154" s="542"/>
      <c r="GD154" s="542"/>
      <c r="GE154" s="542"/>
      <c r="GF154" s="542"/>
      <c r="GG154" s="542"/>
      <c r="GH154" s="542"/>
      <c r="GI154" s="542"/>
      <c r="GJ154" s="542"/>
      <c r="GK154" s="542"/>
      <c r="GL154" s="542"/>
      <c r="GM154" s="542"/>
      <c r="GN154" s="542"/>
      <c r="GO154" s="542"/>
      <c r="GP154" s="542"/>
      <c r="GQ154" s="542"/>
      <c r="GR154" s="542"/>
      <c r="GS154" s="542"/>
      <c r="GT154" s="542"/>
      <c r="GU154" s="542"/>
      <c r="GV154" s="542"/>
      <c r="GW154" s="542"/>
      <c r="GX154" s="542"/>
      <c r="GY154" s="542"/>
      <c r="GZ154" s="542"/>
      <c r="HA154" s="542"/>
      <c r="HB154" s="542"/>
      <c r="HC154" s="542"/>
      <c r="HD154" s="542"/>
      <c r="HE154" s="542"/>
      <c r="HF154" s="542"/>
      <c r="HG154" s="542"/>
      <c r="HH154" s="542"/>
      <c r="HI154" s="542"/>
      <c r="HJ154" s="542"/>
      <c r="HK154" s="542"/>
      <c r="HL154" s="542"/>
      <c r="HM154" s="542"/>
      <c r="HN154" s="542"/>
      <c r="HO154" s="542"/>
      <c r="HP154" s="542"/>
      <c r="HQ154" s="542"/>
      <c r="HR154" s="542"/>
      <c r="HS154" s="542"/>
      <c r="HT154" s="542"/>
      <c r="HU154" s="542"/>
      <c r="HV154" s="542"/>
      <c r="HW154" s="542"/>
      <c r="HX154" s="542"/>
      <c r="HY154" s="542"/>
      <c r="HZ154" s="542"/>
      <c r="IA154" s="542"/>
      <c r="IB154" s="542"/>
      <c r="IC154" s="542"/>
      <c r="ID154" s="542"/>
      <c r="IE154" s="542"/>
      <c r="IF154" s="542"/>
      <c r="IG154" s="542"/>
      <c r="IH154" s="542"/>
      <c r="II154" s="542"/>
      <c r="IJ154" s="542"/>
      <c r="IK154" s="542"/>
      <c r="IL154" s="542"/>
      <c r="IM154" s="542"/>
      <c r="IN154" s="542"/>
      <c r="IO154" s="542"/>
      <c r="IP154" s="542"/>
      <c r="IQ154" s="542"/>
      <c r="IR154" s="542"/>
      <c r="IS154" s="542"/>
      <c r="IT154" s="542"/>
      <c r="IU154" s="542"/>
      <c r="IV154" s="542"/>
      <c r="IW154" s="542"/>
      <c r="IX154" s="542"/>
      <c r="IY154" s="542"/>
      <c r="IZ154" s="542"/>
      <c r="JA154" s="542"/>
      <c r="JB154" s="542"/>
    </row>
    <row r="155" spans="55:262" ht="18.899999999999999" customHeight="1">
      <c r="BC155" s="1614"/>
      <c r="BD155" s="1614"/>
      <c r="BE155" s="1614"/>
      <c r="CZ155" s="542"/>
      <c r="DA155" s="542"/>
      <c r="DB155" s="542"/>
      <c r="DC155" s="542"/>
      <c r="DD155" s="542"/>
      <c r="DE155" s="542"/>
      <c r="DF155" s="542"/>
      <c r="DG155" s="542"/>
      <c r="DH155" s="542"/>
      <c r="DI155" s="542"/>
      <c r="DJ155" s="542"/>
      <c r="DK155" s="542"/>
      <c r="DL155" s="542"/>
      <c r="DM155" s="542"/>
      <c r="DN155" s="542"/>
      <c r="DO155" s="542"/>
      <c r="DP155" s="542"/>
      <c r="DQ155" s="542"/>
      <c r="DR155" s="542"/>
      <c r="DS155" s="542"/>
      <c r="DT155" s="542"/>
      <c r="DU155" s="542"/>
      <c r="DV155" s="542"/>
      <c r="DW155" s="542"/>
      <c r="DX155" s="542"/>
      <c r="DY155" s="542"/>
      <c r="DZ155" s="542"/>
      <c r="EA155" s="542"/>
      <c r="EB155" s="542"/>
      <c r="EC155" s="542"/>
      <c r="ED155" s="542"/>
      <c r="EE155" s="542"/>
      <c r="EF155" s="542"/>
      <c r="EG155" s="542"/>
      <c r="EH155" s="542"/>
      <c r="EI155" s="542"/>
      <c r="EJ155" s="542"/>
      <c r="EK155" s="542"/>
      <c r="EL155" s="542"/>
      <c r="EM155" s="542"/>
      <c r="EN155" s="542"/>
      <c r="EO155" s="542"/>
      <c r="EP155" s="542"/>
      <c r="EQ155" s="542"/>
      <c r="ER155" s="542"/>
      <c r="ES155" s="542"/>
      <c r="ET155" s="542"/>
      <c r="EU155" s="542"/>
      <c r="EV155" s="542"/>
      <c r="EW155" s="542"/>
      <c r="EX155" s="542"/>
      <c r="EY155" s="542"/>
      <c r="EZ155" s="542"/>
      <c r="FA155" s="542"/>
      <c r="FB155" s="542"/>
      <c r="FC155" s="542"/>
      <c r="FD155" s="542"/>
      <c r="FE155" s="542"/>
      <c r="FF155" s="542"/>
      <c r="FG155" s="542"/>
      <c r="FH155" s="542"/>
      <c r="FI155" s="542"/>
      <c r="FJ155" s="542"/>
      <c r="FK155" s="542"/>
      <c r="FL155" s="542"/>
      <c r="FM155" s="542"/>
      <c r="FN155" s="542"/>
      <c r="FO155" s="542"/>
      <c r="FP155" s="542"/>
      <c r="FQ155" s="542"/>
      <c r="FR155" s="542"/>
      <c r="FS155" s="542"/>
      <c r="FT155" s="542"/>
      <c r="FU155" s="542"/>
      <c r="FV155" s="542"/>
      <c r="FW155" s="542"/>
      <c r="FX155" s="542"/>
      <c r="FY155" s="542"/>
      <c r="FZ155" s="542"/>
      <c r="GA155" s="542"/>
      <c r="GB155" s="542"/>
      <c r="GC155" s="542"/>
      <c r="GD155" s="542"/>
      <c r="GE155" s="542"/>
      <c r="GF155" s="542"/>
      <c r="GG155" s="542"/>
      <c r="GH155" s="542"/>
      <c r="GI155" s="542"/>
      <c r="GJ155" s="542"/>
      <c r="GK155" s="542"/>
      <c r="GL155" s="542"/>
      <c r="GM155" s="542"/>
      <c r="GN155" s="542"/>
      <c r="GO155" s="542"/>
      <c r="GP155" s="542"/>
      <c r="GQ155" s="542"/>
      <c r="GR155" s="542"/>
      <c r="GS155" s="542"/>
      <c r="GT155" s="542"/>
      <c r="GU155" s="542"/>
      <c r="GV155" s="542"/>
      <c r="GW155" s="542"/>
      <c r="GX155" s="542"/>
      <c r="GY155" s="542"/>
      <c r="GZ155" s="542"/>
      <c r="HA155" s="542"/>
      <c r="HB155" s="542"/>
      <c r="HC155" s="542"/>
      <c r="HD155" s="542"/>
      <c r="HE155" s="542"/>
      <c r="HF155" s="542"/>
      <c r="HG155" s="542"/>
      <c r="HH155" s="542"/>
      <c r="HI155" s="542"/>
      <c r="HJ155" s="542"/>
      <c r="HK155" s="542"/>
      <c r="HL155" s="542"/>
      <c r="HM155" s="542"/>
      <c r="HN155" s="542"/>
      <c r="HO155" s="542"/>
      <c r="HP155" s="542"/>
      <c r="HQ155" s="542"/>
      <c r="HR155" s="542"/>
      <c r="HS155" s="542"/>
      <c r="HT155" s="542"/>
      <c r="HU155" s="542"/>
      <c r="HV155" s="542"/>
      <c r="HW155" s="542"/>
      <c r="HX155" s="542"/>
      <c r="HY155" s="542"/>
      <c r="HZ155" s="542"/>
      <c r="IA155" s="542"/>
      <c r="IB155" s="542"/>
      <c r="IC155" s="542"/>
      <c r="ID155" s="542"/>
      <c r="IE155" s="542"/>
      <c r="IF155" s="542"/>
      <c r="IG155" s="542"/>
      <c r="IH155" s="542"/>
      <c r="II155" s="542"/>
      <c r="IJ155" s="542"/>
      <c r="IK155" s="542"/>
      <c r="IL155" s="542"/>
      <c r="IM155" s="542"/>
      <c r="IN155" s="542"/>
      <c r="IO155" s="542"/>
      <c r="IP155" s="542"/>
      <c r="IQ155" s="542"/>
      <c r="IR155" s="542"/>
      <c r="IS155" s="542"/>
      <c r="IT155" s="542"/>
      <c r="IU155" s="542"/>
      <c r="IV155" s="542"/>
      <c r="IW155" s="542"/>
      <c r="IX155" s="542"/>
      <c r="IY155" s="542"/>
      <c r="IZ155" s="542"/>
      <c r="JA155" s="542"/>
      <c r="JB155" s="542"/>
    </row>
    <row r="156" spans="55:262" ht="18.899999999999999" customHeight="1">
      <c r="BC156" s="1614"/>
      <c r="BD156" s="1614"/>
      <c r="BE156" s="1614"/>
      <c r="CZ156" s="542"/>
      <c r="DA156" s="542"/>
      <c r="DB156" s="542"/>
      <c r="DC156" s="542"/>
      <c r="DD156" s="542"/>
      <c r="DE156" s="542"/>
      <c r="DF156" s="542"/>
      <c r="DG156" s="542"/>
      <c r="DH156" s="542"/>
      <c r="DI156" s="542"/>
      <c r="DJ156" s="542"/>
      <c r="DK156" s="542"/>
      <c r="DL156" s="542"/>
      <c r="DM156" s="542"/>
      <c r="DN156" s="542"/>
      <c r="DO156" s="542"/>
      <c r="DP156" s="542"/>
      <c r="DQ156" s="542"/>
      <c r="DR156" s="542"/>
      <c r="DS156" s="542"/>
      <c r="DT156" s="542"/>
      <c r="DU156" s="542"/>
      <c r="DV156" s="542"/>
      <c r="DW156" s="542"/>
      <c r="DX156" s="542"/>
      <c r="DY156" s="542"/>
      <c r="DZ156" s="542"/>
      <c r="EA156" s="542"/>
      <c r="EB156" s="542"/>
      <c r="EC156" s="542"/>
      <c r="ED156" s="542"/>
      <c r="EE156" s="542"/>
      <c r="EF156" s="542"/>
      <c r="EG156" s="542"/>
      <c r="EH156" s="542"/>
      <c r="EI156" s="542"/>
      <c r="EJ156" s="542"/>
      <c r="EK156" s="542"/>
      <c r="EL156" s="542"/>
      <c r="EM156" s="542"/>
      <c r="EN156" s="542"/>
      <c r="EO156" s="542"/>
      <c r="EP156" s="542"/>
      <c r="EQ156" s="542"/>
      <c r="ER156" s="542"/>
      <c r="ES156" s="542"/>
      <c r="ET156" s="542"/>
      <c r="EU156" s="542"/>
      <c r="EV156" s="542"/>
      <c r="EW156" s="542"/>
      <c r="EX156" s="542"/>
      <c r="EY156" s="542"/>
      <c r="EZ156" s="542"/>
      <c r="FA156" s="542"/>
      <c r="FB156" s="542"/>
      <c r="FC156" s="542"/>
      <c r="FD156" s="542"/>
      <c r="FE156" s="542"/>
      <c r="FF156" s="542"/>
      <c r="FG156" s="542"/>
      <c r="FH156" s="542"/>
      <c r="FI156" s="542"/>
      <c r="FJ156" s="542"/>
      <c r="FK156" s="542"/>
      <c r="FL156" s="542"/>
      <c r="FM156" s="542"/>
      <c r="FN156" s="542"/>
      <c r="FO156" s="542"/>
      <c r="FP156" s="542"/>
      <c r="FQ156" s="542"/>
      <c r="FR156" s="542"/>
      <c r="FS156" s="542"/>
      <c r="FT156" s="542"/>
      <c r="FU156" s="542"/>
      <c r="FV156" s="542"/>
      <c r="FW156" s="542"/>
      <c r="FX156" s="542"/>
      <c r="FY156" s="542"/>
      <c r="FZ156" s="542"/>
      <c r="GA156" s="542"/>
      <c r="GB156" s="542"/>
      <c r="GC156" s="542"/>
      <c r="GD156" s="542"/>
      <c r="GE156" s="542"/>
      <c r="GF156" s="542"/>
      <c r="GG156" s="542"/>
      <c r="GH156" s="542"/>
      <c r="GI156" s="542"/>
      <c r="GJ156" s="542"/>
      <c r="GK156" s="542"/>
      <c r="GL156" s="542"/>
      <c r="GM156" s="542"/>
      <c r="GN156" s="542"/>
      <c r="GO156" s="542"/>
      <c r="GP156" s="542"/>
      <c r="GQ156" s="542"/>
      <c r="GR156" s="542"/>
      <c r="GS156" s="542"/>
      <c r="GT156" s="542"/>
      <c r="GU156" s="542"/>
      <c r="GV156" s="542"/>
      <c r="GW156" s="542"/>
      <c r="GX156" s="542"/>
      <c r="GY156" s="542"/>
      <c r="GZ156" s="542"/>
      <c r="HA156" s="542"/>
      <c r="HB156" s="542"/>
      <c r="HC156" s="542"/>
      <c r="HD156" s="542"/>
      <c r="HE156" s="542"/>
      <c r="HF156" s="542"/>
      <c r="HG156" s="542"/>
      <c r="HH156" s="542"/>
      <c r="HI156" s="542"/>
      <c r="HJ156" s="542"/>
      <c r="HK156" s="542"/>
      <c r="HL156" s="542"/>
      <c r="HM156" s="542"/>
      <c r="HN156" s="542"/>
      <c r="HO156" s="542"/>
      <c r="HP156" s="542"/>
      <c r="HQ156" s="542"/>
      <c r="HR156" s="542"/>
      <c r="HS156" s="542"/>
      <c r="HT156" s="542"/>
      <c r="HU156" s="542"/>
      <c r="HV156" s="542"/>
      <c r="HW156" s="542"/>
      <c r="HX156" s="542"/>
      <c r="HY156" s="542"/>
      <c r="HZ156" s="542"/>
      <c r="IA156" s="542"/>
      <c r="IB156" s="542"/>
      <c r="IC156" s="542"/>
      <c r="ID156" s="542"/>
      <c r="IE156" s="542"/>
      <c r="IF156" s="542"/>
      <c r="IG156" s="542"/>
      <c r="IH156" s="542"/>
      <c r="II156" s="542"/>
      <c r="IJ156" s="542"/>
      <c r="IK156" s="542"/>
      <c r="IL156" s="542"/>
      <c r="IM156" s="542"/>
      <c r="IN156" s="542"/>
      <c r="IO156" s="542"/>
      <c r="IP156" s="542"/>
      <c r="IQ156" s="542"/>
      <c r="IR156" s="542"/>
      <c r="IS156" s="542"/>
      <c r="IT156" s="542"/>
      <c r="IU156" s="542"/>
      <c r="IV156" s="542"/>
      <c r="IW156" s="542"/>
      <c r="IX156" s="542"/>
      <c r="IY156" s="542"/>
      <c r="IZ156" s="542"/>
      <c r="JA156" s="542"/>
      <c r="JB156" s="542"/>
    </row>
    <row r="157" spans="55:262" ht="18.899999999999999" customHeight="1">
      <c r="BC157" s="1614"/>
      <c r="BD157" s="1614"/>
      <c r="BE157" s="1614"/>
      <c r="CZ157" s="542"/>
      <c r="DA157" s="542"/>
      <c r="DB157" s="542"/>
      <c r="DC157" s="542"/>
      <c r="DD157" s="542"/>
      <c r="DE157" s="542"/>
      <c r="DF157" s="542"/>
      <c r="DG157" s="542"/>
      <c r="DH157" s="542"/>
      <c r="DI157" s="542"/>
      <c r="DJ157" s="542"/>
      <c r="DK157" s="542"/>
      <c r="DL157" s="542"/>
      <c r="DM157" s="542"/>
      <c r="DN157" s="542"/>
      <c r="DO157" s="542"/>
      <c r="DP157" s="542"/>
      <c r="DQ157" s="542"/>
      <c r="DR157" s="542"/>
      <c r="DS157" s="542"/>
      <c r="DT157" s="542"/>
      <c r="DU157" s="542"/>
      <c r="DV157" s="542"/>
      <c r="DW157" s="542"/>
      <c r="DX157" s="542"/>
      <c r="DY157" s="542"/>
      <c r="DZ157" s="542"/>
      <c r="EA157" s="542"/>
      <c r="EB157" s="542"/>
      <c r="EC157" s="542"/>
      <c r="ED157" s="542"/>
      <c r="EE157" s="542"/>
      <c r="EF157" s="542"/>
      <c r="EG157" s="542"/>
      <c r="EH157" s="542"/>
      <c r="EI157" s="542"/>
      <c r="EJ157" s="542"/>
      <c r="EK157" s="542"/>
      <c r="EL157" s="542"/>
      <c r="EM157" s="542"/>
      <c r="EN157" s="542"/>
      <c r="EO157" s="542"/>
      <c r="EP157" s="542"/>
      <c r="EQ157" s="542"/>
      <c r="ER157" s="542"/>
      <c r="ES157" s="542"/>
      <c r="ET157" s="542"/>
      <c r="EU157" s="542"/>
      <c r="EV157" s="542"/>
      <c r="EW157" s="542"/>
      <c r="EX157" s="542"/>
      <c r="EY157" s="542"/>
      <c r="EZ157" s="542"/>
      <c r="FA157" s="542"/>
      <c r="FB157" s="542"/>
      <c r="FC157" s="542"/>
      <c r="FD157" s="542"/>
      <c r="FE157" s="542"/>
      <c r="FF157" s="542"/>
      <c r="FG157" s="542"/>
      <c r="FH157" s="542"/>
      <c r="FI157" s="542"/>
      <c r="FJ157" s="542"/>
      <c r="FK157" s="542"/>
      <c r="FL157" s="542"/>
      <c r="FM157" s="542"/>
      <c r="FN157" s="542"/>
      <c r="FO157" s="542"/>
      <c r="FP157" s="542"/>
      <c r="FQ157" s="542"/>
      <c r="FR157" s="542"/>
      <c r="FS157" s="542"/>
      <c r="FT157" s="542"/>
      <c r="FU157" s="542"/>
      <c r="FV157" s="542"/>
      <c r="FW157" s="542"/>
      <c r="FX157" s="542"/>
      <c r="FY157" s="542"/>
      <c r="FZ157" s="542"/>
      <c r="GA157" s="542"/>
      <c r="GB157" s="542"/>
      <c r="GC157" s="542"/>
      <c r="GD157" s="542"/>
      <c r="GE157" s="542"/>
      <c r="GF157" s="542"/>
      <c r="GG157" s="542"/>
      <c r="GH157" s="542"/>
      <c r="GI157" s="542"/>
      <c r="GJ157" s="542"/>
      <c r="GK157" s="542"/>
      <c r="GL157" s="542"/>
      <c r="GM157" s="542"/>
      <c r="GN157" s="542"/>
      <c r="GO157" s="542"/>
      <c r="GP157" s="542"/>
      <c r="GQ157" s="542"/>
      <c r="GR157" s="542"/>
      <c r="GS157" s="542"/>
      <c r="GT157" s="542"/>
      <c r="GU157" s="542"/>
      <c r="GV157" s="542"/>
      <c r="GW157" s="542"/>
      <c r="GX157" s="542"/>
      <c r="GY157" s="542"/>
      <c r="GZ157" s="542"/>
      <c r="HA157" s="542"/>
      <c r="HB157" s="542"/>
      <c r="HC157" s="542"/>
      <c r="HD157" s="542"/>
      <c r="HE157" s="542"/>
      <c r="HF157" s="542"/>
      <c r="HG157" s="542"/>
      <c r="HH157" s="542"/>
      <c r="HI157" s="542"/>
      <c r="HJ157" s="542"/>
      <c r="HK157" s="542"/>
      <c r="HL157" s="542"/>
      <c r="HM157" s="542"/>
      <c r="HN157" s="542"/>
      <c r="HO157" s="542"/>
      <c r="HP157" s="542"/>
      <c r="HQ157" s="542"/>
      <c r="HR157" s="542"/>
      <c r="HS157" s="542"/>
      <c r="HT157" s="542"/>
      <c r="HU157" s="542"/>
      <c r="HV157" s="542"/>
      <c r="HW157" s="542"/>
      <c r="HX157" s="542"/>
      <c r="HY157" s="542"/>
      <c r="HZ157" s="542"/>
      <c r="IA157" s="542"/>
      <c r="IB157" s="542"/>
      <c r="IC157" s="542"/>
      <c r="ID157" s="542"/>
      <c r="IE157" s="542"/>
      <c r="IF157" s="542"/>
      <c r="IG157" s="542"/>
      <c r="IH157" s="542"/>
      <c r="II157" s="542"/>
      <c r="IJ157" s="542"/>
      <c r="IK157" s="542"/>
      <c r="IL157" s="542"/>
      <c r="IM157" s="542"/>
      <c r="IN157" s="542"/>
      <c r="IO157" s="542"/>
      <c r="IP157" s="542"/>
      <c r="IQ157" s="542"/>
      <c r="IR157" s="542"/>
      <c r="IS157" s="542"/>
      <c r="IT157" s="542"/>
      <c r="IU157" s="542"/>
      <c r="IV157" s="542"/>
      <c r="IW157" s="542"/>
      <c r="IX157" s="542"/>
      <c r="IY157" s="542"/>
      <c r="IZ157" s="542"/>
      <c r="JA157" s="542"/>
      <c r="JB157" s="542"/>
    </row>
    <row r="158" spans="55:262" ht="18.899999999999999" customHeight="1">
      <c r="BC158" s="1614"/>
      <c r="BD158" s="1614"/>
      <c r="BE158" s="1614"/>
      <c r="CZ158" s="542"/>
      <c r="DA158" s="542"/>
      <c r="DB158" s="542"/>
      <c r="DC158" s="542"/>
      <c r="DD158" s="542"/>
      <c r="DE158" s="542"/>
      <c r="DF158" s="542"/>
      <c r="DG158" s="542"/>
      <c r="DH158" s="542"/>
      <c r="DI158" s="542"/>
      <c r="DJ158" s="542"/>
      <c r="DK158" s="542"/>
      <c r="DL158" s="542"/>
      <c r="DM158" s="542"/>
      <c r="DN158" s="542"/>
      <c r="DO158" s="542"/>
      <c r="DP158" s="542"/>
      <c r="DQ158" s="542"/>
      <c r="DR158" s="542"/>
      <c r="DS158" s="542"/>
      <c r="DT158" s="542"/>
      <c r="DU158" s="542"/>
      <c r="DV158" s="542"/>
      <c r="DW158" s="542"/>
      <c r="DX158" s="542"/>
      <c r="DY158" s="542"/>
      <c r="DZ158" s="542"/>
      <c r="EA158" s="542"/>
      <c r="EB158" s="542"/>
      <c r="EC158" s="542"/>
      <c r="ED158" s="542"/>
      <c r="EE158" s="542"/>
      <c r="EF158" s="542"/>
      <c r="EG158" s="542"/>
      <c r="EH158" s="542"/>
      <c r="EI158" s="542"/>
      <c r="EJ158" s="542"/>
      <c r="EK158" s="542"/>
      <c r="EL158" s="542"/>
      <c r="EM158" s="542"/>
      <c r="EN158" s="542"/>
      <c r="EO158" s="542"/>
      <c r="EP158" s="542"/>
      <c r="EQ158" s="542"/>
      <c r="ER158" s="542"/>
      <c r="ES158" s="542"/>
      <c r="ET158" s="542"/>
      <c r="EU158" s="542"/>
      <c r="EV158" s="542"/>
      <c r="EW158" s="542"/>
      <c r="EX158" s="542"/>
      <c r="EY158" s="542"/>
      <c r="EZ158" s="542"/>
      <c r="FA158" s="542"/>
      <c r="FB158" s="542"/>
      <c r="FC158" s="542"/>
      <c r="FD158" s="542"/>
      <c r="FE158" s="542"/>
      <c r="FF158" s="542"/>
      <c r="FG158" s="542"/>
      <c r="FH158" s="542"/>
      <c r="FI158" s="542"/>
      <c r="FJ158" s="542"/>
      <c r="FK158" s="542"/>
      <c r="FL158" s="542"/>
      <c r="FM158" s="542"/>
      <c r="FN158" s="542"/>
      <c r="FO158" s="542"/>
      <c r="FP158" s="542"/>
      <c r="FQ158" s="542"/>
      <c r="FR158" s="542"/>
      <c r="FS158" s="542"/>
      <c r="FT158" s="542"/>
      <c r="FU158" s="542"/>
      <c r="FV158" s="542"/>
      <c r="FW158" s="542"/>
      <c r="FX158" s="542"/>
      <c r="FY158" s="542"/>
      <c r="FZ158" s="542"/>
      <c r="GA158" s="542"/>
      <c r="GB158" s="542"/>
      <c r="GC158" s="542"/>
      <c r="GD158" s="542"/>
      <c r="GE158" s="542"/>
      <c r="GF158" s="542"/>
      <c r="GG158" s="542"/>
      <c r="GH158" s="542"/>
      <c r="GI158" s="542"/>
      <c r="GJ158" s="542"/>
      <c r="GK158" s="542"/>
      <c r="GL158" s="542"/>
      <c r="GM158" s="542"/>
      <c r="GN158" s="542"/>
      <c r="GO158" s="542"/>
      <c r="GP158" s="542"/>
      <c r="GQ158" s="542"/>
      <c r="GR158" s="542"/>
      <c r="GS158" s="542"/>
      <c r="GT158" s="542"/>
      <c r="GU158" s="542"/>
      <c r="GV158" s="542"/>
      <c r="GW158" s="542"/>
      <c r="GX158" s="542"/>
      <c r="GY158" s="542"/>
      <c r="GZ158" s="542"/>
      <c r="HA158" s="542"/>
      <c r="HB158" s="542"/>
      <c r="HC158" s="542"/>
      <c r="HD158" s="542"/>
      <c r="HE158" s="542"/>
      <c r="HF158" s="542"/>
      <c r="HG158" s="542"/>
      <c r="HH158" s="542"/>
      <c r="HI158" s="542"/>
      <c r="HJ158" s="542"/>
      <c r="HK158" s="542"/>
      <c r="HL158" s="542"/>
      <c r="HM158" s="542"/>
      <c r="HN158" s="542"/>
      <c r="HO158" s="542"/>
      <c r="HP158" s="542"/>
      <c r="HQ158" s="542"/>
      <c r="HR158" s="542"/>
      <c r="HS158" s="542"/>
      <c r="HT158" s="542"/>
      <c r="HU158" s="542"/>
      <c r="HV158" s="542"/>
      <c r="HW158" s="542"/>
      <c r="HX158" s="542"/>
      <c r="HY158" s="542"/>
      <c r="HZ158" s="542"/>
      <c r="IA158" s="542"/>
      <c r="IB158" s="542"/>
      <c r="IC158" s="542"/>
      <c r="ID158" s="542"/>
      <c r="IE158" s="542"/>
      <c r="IF158" s="542"/>
      <c r="IG158" s="542"/>
      <c r="IH158" s="542"/>
      <c r="II158" s="542"/>
      <c r="IJ158" s="542"/>
      <c r="IK158" s="542"/>
      <c r="IL158" s="542"/>
      <c r="IM158" s="542"/>
      <c r="IN158" s="542"/>
      <c r="IO158" s="542"/>
      <c r="IP158" s="542"/>
      <c r="IQ158" s="542"/>
      <c r="IR158" s="542"/>
      <c r="IS158" s="542"/>
      <c r="IT158" s="542"/>
      <c r="IU158" s="542"/>
      <c r="IV158" s="542"/>
      <c r="IW158" s="542"/>
      <c r="IX158" s="542"/>
      <c r="IY158" s="542"/>
      <c r="IZ158" s="542"/>
      <c r="JA158" s="542"/>
      <c r="JB158" s="542"/>
    </row>
    <row r="159" spans="55:262" ht="18.899999999999999" customHeight="1">
      <c r="BC159" s="1614"/>
      <c r="BD159" s="1614"/>
      <c r="BE159" s="1614"/>
      <c r="CZ159" s="542"/>
      <c r="DA159" s="542"/>
      <c r="DB159" s="542"/>
      <c r="DC159" s="542"/>
      <c r="DD159" s="542"/>
      <c r="DE159" s="542"/>
      <c r="DF159" s="542"/>
      <c r="DG159" s="542"/>
      <c r="DH159" s="542"/>
      <c r="DI159" s="542"/>
      <c r="DJ159" s="542"/>
      <c r="DK159" s="542"/>
      <c r="DL159" s="542"/>
      <c r="DM159" s="542"/>
      <c r="DN159" s="542"/>
      <c r="DO159" s="542"/>
      <c r="DP159" s="542"/>
      <c r="DQ159" s="542"/>
      <c r="DR159" s="542"/>
      <c r="DS159" s="542"/>
      <c r="DT159" s="542"/>
      <c r="DU159" s="542"/>
      <c r="DV159" s="542"/>
      <c r="DW159" s="542"/>
      <c r="DX159" s="542"/>
      <c r="DY159" s="542"/>
      <c r="DZ159" s="542"/>
      <c r="EA159" s="542"/>
      <c r="EB159" s="542"/>
      <c r="EC159" s="542"/>
      <c r="ED159" s="542"/>
      <c r="EE159" s="542"/>
      <c r="EF159" s="542"/>
      <c r="EG159" s="542"/>
      <c r="EH159" s="542"/>
      <c r="EI159" s="542"/>
      <c r="EJ159" s="542"/>
      <c r="EK159" s="542"/>
      <c r="EL159" s="542"/>
      <c r="EM159" s="542"/>
      <c r="EN159" s="542"/>
      <c r="EO159" s="542"/>
      <c r="EP159" s="542"/>
      <c r="EQ159" s="542"/>
      <c r="ER159" s="542"/>
      <c r="ES159" s="542"/>
      <c r="ET159" s="542"/>
      <c r="EU159" s="542"/>
      <c r="EV159" s="542"/>
      <c r="EW159" s="542"/>
      <c r="EX159" s="542"/>
      <c r="EY159" s="542"/>
      <c r="EZ159" s="542"/>
      <c r="FA159" s="542"/>
      <c r="FB159" s="542"/>
      <c r="FC159" s="542"/>
      <c r="FD159" s="542"/>
      <c r="FE159" s="542"/>
      <c r="FF159" s="542"/>
      <c r="FG159" s="542"/>
      <c r="FH159" s="542"/>
      <c r="FI159" s="542"/>
      <c r="FJ159" s="542"/>
      <c r="FK159" s="542"/>
      <c r="FL159" s="542"/>
      <c r="FM159" s="542"/>
      <c r="FN159" s="542"/>
      <c r="FO159" s="542"/>
      <c r="FP159" s="542"/>
      <c r="FQ159" s="542"/>
      <c r="FR159" s="542"/>
      <c r="FS159" s="542"/>
      <c r="FT159" s="542"/>
      <c r="FU159" s="542"/>
      <c r="FV159" s="542"/>
      <c r="FW159" s="542"/>
      <c r="FX159" s="542"/>
      <c r="FY159" s="542"/>
      <c r="FZ159" s="542"/>
      <c r="GA159" s="542"/>
      <c r="GB159" s="542"/>
      <c r="GC159" s="542"/>
      <c r="GD159" s="542"/>
      <c r="GE159" s="542"/>
      <c r="GF159" s="542"/>
      <c r="GG159" s="542"/>
      <c r="GH159" s="542"/>
      <c r="GI159" s="542"/>
      <c r="GJ159" s="542"/>
      <c r="GK159" s="542"/>
      <c r="GL159" s="542"/>
      <c r="GM159" s="542"/>
      <c r="GN159" s="542"/>
      <c r="GO159" s="542"/>
      <c r="GP159" s="542"/>
      <c r="GQ159" s="542"/>
      <c r="GR159" s="542"/>
      <c r="GS159" s="542"/>
      <c r="GT159" s="542"/>
      <c r="GU159" s="542"/>
      <c r="GV159" s="542"/>
      <c r="GW159" s="542"/>
      <c r="GX159" s="542"/>
      <c r="GY159" s="542"/>
      <c r="GZ159" s="542"/>
      <c r="HA159" s="542"/>
      <c r="HB159" s="542"/>
      <c r="HC159" s="542"/>
      <c r="HD159" s="542"/>
      <c r="HE159" s="542"/>
      <c r="HF159" s="542"/>
      <c r="HG159" s="542"/>
      <c r="HH159" s="542"/>
      <c r="HI159" s="542"/>
      <c r="HJ159" s="542"/>
      <c r="HK159" s="542"/>
      <c r="HL159" s="542"/>
      <c r="HM159" s="542"/>
      <c r="HN159" s="542"/>
      <c r="HO159" s="542"/>
      <c r="HP159" s="542"/>
      <c r="HQ159" s="542"/>
      <c r="HR159" s="542"/>
      <c r="HS159" s="542"/>
      <c r="HT159" s="542"/>
      <c r="HU159" s="542"/>
      <c r="HV159" s="542"/>
      <c r="HW159" s="542"/>
      <c r="HX159" s="542"/>
      <c r="HY159" s="542"/>
      <c r="HZ159" s="542"/>
      <c r="IA159" s="542"/>
      <c r="IB159" s="542"/>
      <c r="IC159" s="542"/>
      <c r="ID159" s="542"/>
      <c r="IE159" s="542"/>
      <c r="IF159" s="542"/>
      <c r="IG159" s="542"/>
      <c r="IH159" s="542"/>
      <c r="II159" s="542"/>
      <c r="IJ159" s="542"/>
      <c r="IK159" s="542"/>
      <c r="IL159" s="542"/>
      <c r="IM159" s="542"/>
      <c r="IN159" s="542"/>
      <c r="IO159" s="542"/>
      <c r="IP159" s="542"/>
      <c r="IQ159" s="542"/>
      <c r="IR159" s="542"/>
      <c r="IS159" s="542"/>
      <c r="IT159" s="542"/>
      <c r="IU159" s="542"/>
      <c r="IV159" s="542"/>
      <c r="IW159" s="542"/>
      <c r="IX159" s="542"/>
      <c r="IY159" s="542"/>
      <c r="IZ159" s="542"/>
      <c r="JA159" s="542"/>
      <c r="JB159" s="542"/>
    </row>
    <row r="160" spans="55:262" ht="18.899999999999999" customHeight="1">
      <c r="BC160" s="1614"/>
      <c r="BD160" s="1614"/>
      <c r="BE160" s="1614"/>
      <c r="CZ160" s="542"/>
      <c r="DA160" s="542"/>
      <c r="DB160" s="542"/>
      <c r="DC160" s="542"/>
      <c r="DD160" s="542"/>
      <c r="DE160" s="542"/>
      <c r="DF160" s="542"/>
      <c r="DG160" s="542"/>
      <c r="DH160" s="542"/>
      <c r="DI160" s="542"/>
      <c r="DJ160" s="542"/>
      <c r="DK160" s="542"/>
      <c r="DL160" s="542"/>
      <c r="DM160" s="542"/>
      <c r="DN160" s="542"/>
      <c r="DO160" s="542"/>
      <c r="DP160" s="542"/>
      <c r="DQ160" s="542"/>
      <c r="DR160" s="542"/>
      <c r="DS160" s="542"/>
      <c r="DT160" s="542"/>
      <c r="DU160" s="542"/>
      <c r="DV160" s="542"/>
      <c r="DW160" s="542"/>
      <c r="DX160" s="542"/>
      <c r="DY160" s="542"/>
      <c r="DZ160" s="542"/>
      <c r="EA160" s="542"/>
      <c r="EB160" s="542"/>
      <c r="EC160" s="542"/>
      <c r="ED160" s="542"/>
      <c r="EE160" s="542"/>
      <c r="EF160" s="542"/>
      <c r="EG160" s="542"/>
      <c r="EH160" s="542"/>
      <c r="EI160" s="542"/>
      <c r="EJ160" s="542"/>
      <c r="EK160" s="542"/>
      <c r="EL160" s="542"/>
      <c r="EM160" s="542"/>
      <c r="EN160" s="542"/>
      <c r="EO160" s="542"/>
      <c r="EP160" s="542"/>
      <c r="EQ160" s="542"/>
      <c r="ER160" s="542"/>
      <c r="ES160" s="542"/>
      <c r="ET160" s="542"/>
      <c r="EU160" s="542"/>
      <c r="EV160" s="542"/>
      <c r="EW160" s="542"/>
      <c r="EX160" s="542"/>
      <c r="EY160" s="542"/>
      <c r="EZ160" s="542"/>
      <c r="FA160" s="542"/>
      <c r="FB160" s="542"/>
      <c r="FC160" s="542"/>
      <c r="FD160" s="542"/>
      <c r="FE160" s="542"/>
      <c r="FF160" s="542"/>
      <c r="FG160" s="542"/>
      <c r="FH160" s="542"/>
      <c r="FI160" s="542"/>
      <c r="FJ160" s="542"/>
      <c r="FK160" s="542"/>
      <c r="FL160" s="542"/>
      <c r="FM160" s="542"/>
      <c r="FN160" s="542"/>
      <c r="FO160" s="542"/>
      <c r="FP160" s="542"/>
      <c r="FQ160" s="542"/>
      <c r="FR160" s="542"/>
      <c r="FS160" s="542"/>
      <c r="FT160" s="542"/>
      <c r="FU160" s="542"/>
      <c r="FV160" s="542"/>
      <c r="FW160" s="542"/>
      <c r="FX160" s="542"/>
      <c r="FY160" s="542"/>
      <c r="FZ160" s="542"/>
      <c r="GA160" s="542"/>
      <c r="GB160" s="542"/>
      <c r="GC160" s="542"/>
      <c r="GD160" s="542"/>
      <c r="GE160" s="542"/>
      <c r="GF160" s="542"/>
      <c r="GG160" s="542"/>
      <c r="GH160" s="542"/>
      <c r="GI160" s="542"/>
      <c r="GJ160" s="542"/>
      <c r="GK160" s="542"/>
      <c r="GL160" s="542"/>
      <c r="GM160" s="542"/>
      <c r="GN160" s="542"/>
      <c r="GO160" s="542"/>
      <c r="GP160" s="542"/>
      <c r="GQ160" s="542"/>
      <c r="GR160" s="542"/>
      <c r="GS160" s="542"/>
      <c r="GT160" s="542"/>
      <c r="GU160" s="542"/>
      <c r="GV160" s="542"/>
      <c r="GW160" s="542"/>
      <c r="GX160" s="542"/>
      <c r="GY160" s="542"/>
      <c r="GZ160" s="542"/>
      <c r="HA160" s="542"/>
      <c r="HB160" s="542"/>
      <c r="HC160" s="542"/>
      <c r="HD160" s="542"/>
      <c r="HE160" s="542"/>
      <c r="HF160" s="542"/>
      <c r="HG160" s="542"/>
      <c r="HH160" s="542"/>
      <c r="HI160" s="542"/>
      <c r="HJ160" s="542"/>
      <c r="HK160" s="542"/>
      <c r="HL160" s="542"/>
      <c r="HM160" s="542"/>
      <c r="HN160" s="542"/>
      <c r="HO160" s="542"/>
      <c r="HP160" s="542"/>
      <c r="HQ160" s="542"/>
      <c r="HR160" s="542"/>
      <c r="HS160" s="542"/>
      <c r="HT160" s="542"/>
      <c r="HU160" s="542"/>
      <c r="HV160" s="542"/>
      <c r="HW160" s="542"/>
      <c r="HX160" s="542"/>
      <c r="HY160" s="542"/>
      <c r="HZ160" s="542"/>
      <c r="IA160" s="542"/>
      <c r="IB160" s="542"/>
      <c r="IC160" s="542"/>
      <c r="ID160" s="542"/>
      <c r="IE160" s="542"/>
      <c r="IF160" s="542"/>
      <c r="IG160" s="542"/>
      <c r="IH160" s="542"/>
      <c r="II160" s="542"/>
      <c r="IJ160" s="542"/>
      <c r="IK160" s="542"/>
      <c r="IL160" s="542"/>
      <c r="IM160" s="542"/>
      <c r="IN160" s="542"/>
      <c r="IO160" s="542"/>
      <c r="IP160" s="542"/>
      <c r="IQ160" s="542"/>
      <c r="IR160" s="542"/>
      <c r="IS160" s="542"/>
      <c r="IT160" s="542"/>
      <c r="IU160" s="542"/>
      <c r="IV160" s="542"/>
      <c r="IW160" s="542"/>
      <c r="IX160" s="542"/>
      <c r="IY160" s="542"/>
      <c r="IZ160" s="542"/>
      <c r="JA160" s="542"/>
      <c r="JB160" s="542"/>
    </row>
    <row r="161" spans="55:262" ht="18.899999999999999" customHeight="1">
      <c r="BC161" s="1614"/>
      <c r="BD161" s="1614"/>
      <c r="BE161" s="1614"/>
      <c r="CZ161" s="542"/>
      <c r="DA161" s="542"/>
      <c r="DB161" s="542"/>
      <c r="DC161" s="542"/>
      <c r="DD161" s="542"/>
      <c r="DE161" s="542"/>
      <c r="DF161" s="542"/>
      <c r="DG161" s="542"/>
      <c r="DH161" s="542"/>
      <c r="DI161" s="542"/>
      <c r="DJ161" s="542"/>
      <c r="DK161" s="542"/>
      <c r="DL161" s="542"/>
      <c r="DM161" s="542"/>
      <c r="DN161" s="542"/>
      <c r="DO161" s="542"/>
      <c r="DP161" s="542"/>
      <c r="DQ161" s="542"/>
      <c r="DR161" s="542"/>
      <c r="DS161" s="542"/>
      <c r="DT161" s="542"/>
      <c r="DU161" s="542"/>
      <c r="DV161" s="542"/>
      <c r="DW161" s="542"/>
      <c r="DX161" s="542"/>
      <c r="DY161" s="542"/>
      <c r="DZ161" s="542"/>
      <c r="EA161" s="542"/>
      <c r="EB161" s="542"/>
      <c r="EC161" s="542"/>
      <c r="ED161" s="542"/>
      <c r="EE161" s="542"/>
      <c r="EF161" s="542"/>
      <c r="EG161" s="542"/>
      <c r="EH161" s="542"/>
      <c r="EI161" s="542"/>
      <c r="EJ161" s="542"/>
      <c r="EK161" s="542"/>
      <c r="EL161" s="542"/>
      <c r="EM161" s="542"/>
      <c r="EN161" s="542"/>
      <c r="EO161" s="542"/>
      <c r="EP161" s="542"/>
      <c r="EQ161" s="542"/>
      <c r="ER161" s="542"/>
      <c r="ES161" s="542"/>
      <c r="ET161" s="542"/>
      <c r="EU161" s="542"/>
      <c r="EV161" s="542"/>
      <c r="EW161" s="542"/>
      <c r="EX161" s="542"/>
      <c r="EY161" s="542"/>
      <c r="EZ161" s="542"/>
      <c r="FA161" s="542"/>
      <c r="FB161" s="542"/>
      <c r="FC161" s="542"/>
      <c r="FD161" s="542"/>
      <c r="FE161" s="542"/>
      <c r="FF161" s="542"/>
      <c r="FG161" s="542"/>
      <c r="FH161" s="542"/>
      <c r="FI161" s="542"/>
      <c r="FJ161" s="542"/>
      <c r="FK161" s="542"/>
      <c r="FL161" s="542"/>
      <c r="FM161" s="542"/>
      <c r="FN161" s="542"/>
      <c r="FO161" s="542"/>
      <c r="FP161" s="542"/>
      <c r="FQ161" s="542"/>
      <c r="FR161" s="542"/>
      <c r="FS161" s="542"/>
      <c r="FT161" s="542"/>
      <c r="FU161" s="542"/>
      <c r="FV161" s="542"/>
      <c r="FW161" s="542"/>
      <c r="FX161" s="542"/>
      <c r="FY161" s="542"/>
      <c r="FZ161" s="542"/>
      <c r="GA161" s="542"/>
      <c r="GB161" s="542"/>
      <c r="GC161" s="542"/>
      <c r="GD161" s="542"/>
      <c r="GE161" s="542"/>
      <c r="GF161" s="542"/>
      <c r="GG161" s="542"/>
      <c r="GH161" s="542"/>
      <c r="GI161" s="542"/>
      <c r="GJ161" s="542"/>
      <c r="GK161" s="542"/>
      <c r="GL161" s="542"/>
      <c r="GM161" s="542"/>
      <c r="GN161" s="542"/>
      <c r="GO161" s="542"/>
      <c r="GP161" s="542"/>
      <c r="GQ161" s="542"/>
      <c r="GR161" s="542"/>
      <c r="GS161" s="542"/>
      <c r="GT161" s="542"/>
      <c r="GU161" s="542"/>
      <c r="GV161" s="542"/>
      <c r="GW161" s="542"/>
      <c r="GX161" s="542"/>
      <c r="GY161" s="542"/>
      <c r="GZ161" s="542"/>
      <c r="HA161" s="542"/>
      <c r="HB161" s="542"/>
      <c r="HC161" s="542"/>
      <c r="HD161" s="542"/>
      <c r="HE161" s="542"/>
      <c r="HF161" s="542"/>
      <c r="HG161" s="542"/>
      <c r="HH161" s="542"/>
      <c r="HI161" s="542"/>
      <c r="HJ161" s="542"/>
      <c r="HK161" s="542"/>
      <c r="HL161" s="542"/>
      <c r="HM161" s="542"/>
      <c r="HN161" s="542"/>
      <c r="HO161" s="542"/>
      <c r="HP161" s="542"/>
      <c r="HQ161" s="542"/>
      <c r="HR161" s="542"/>
      <c r="HS161" s="542"/>
      <c r="HT161" s="542"/>
      <c r="HU161" s="542"/>
      <c r="HV161" s="542"/>
      <c r="HW161" s="542"/>
      <c r="HX161" s="542"/>
      <c r="HY161" s="542"/>
      <c r="HZ161" s="542"/>
      <c r="IA161" s="542"/>
      <c r="IB161" s="542"/>
      <c r="IC161" s="542"/>
      <c r="ID161" s="542"/>
      <c r="IE161" s="542"/>
      <c r="IF161" s="542"/>
      <c r="IG161" s="542"/>
      <c r="IH161" s="542"/>
      <c r="II161" s="542"/>
      <c r="IJ161" s="542"/>
      <c r="IK161" s="542"/>
      <c r="IL161" s="542"/>
      <c r="IM161" s="542"/>
      <c r="IN161" s="542"/>
      <c r="IO161" s="542"/>
      <c r="IP161" s="542"/>
      <c r="IQ161" s="542"/>
      <c r="IR161" s="542"/>
      <c r="IS161" s="542"/>
      <c r="IT161" s="542"/>
      <c r="IU161" s="542"/>
      <c r="IV161" s="542"/>
      <c r="IW161" s="542"/>
      <c r="IX161" s="542"/>
      <c r="IY161" s="542"/>
      <c r="IZ161" s="542"/>
      <c r="JA161" s="542"/>
      <c r="JB161" s="542"/>
    </row>
    <row r="162" spans="55:262" ht="18.899999999999999" customHeight="1">
      <c r="BC162" s="1614"/>
      <c r="BD162" s="1614"/>
      <c r="BE162" s="1614"/>
      <c r="CZ162" s="542"/>
      <c r="DA162" s="542"/>
      <c r="DB162" s="542"/>
      <c r="DC162" s="542"/>
      <c r="DD162" s="542"/>
      <c r="DE162" s="542"/>
      <c r="DF162" s="542"/>
      <c r="DG162" s="542"/>
      <c r="DH162" s="542"/>
      <c r="DI162" s="542"/>
      <c r="DJ162" s="542"/>
      <c r="DK162" s="542"/>
      <c r="DL162" s="542"/>
      <c r="DM162" s="542"/>
      <c r="DN162" s="542"/>
      <c r="DO162" s="542"/>
      <c r="DP162" s="542"/>
      <c r="DQ162" s="542"/>
      <c r="DR162" s="542"/>
      <c r="DS162" s="542"/>
      <c r="DT162" s="542"/>
      <c r="DU162" s="542"/>
      <c r="DV162" s="542"/>
      <c r="DW162" s="542"/>
      <c r="DX162" s="542"/>
      <c r="DY162" s="542"/>
      <c r="DZ162" s="542"/>
      <c r="EA162" s="542"/>
      <c r="EB162" s="542"/>
      <c r="EC162" s="542"/>
      <c r="ED162" s="542"/>
      <c r="EE162" s="542"/>
      <c r="EF162" s="542"/>
      <c r="EG162" s="542"/>
      <c r="EH162" s="542"/>
      <c r="EI162" s="542"/>
      <c r="EJ162" s="542"/>
      <c r="EK162" s="542"/>
      <c r="EL162" s="542"/>
      <c r="EM162" s="542"/>
      <c r="EN162" s="542"/>
      <c r="EO162" s="542"/>
      <c r="EP162" s="542"/>
      <c r="EQ162" s="542"/>
      <c r="ER162" s="542"/>
      <c r="ES162" s="542"/>
      <c r="ET162" s="542"/>
      <c r="EU162" s="542"/>
      <c r="EV162" s="542"/>
      <c r="EW162" s="542"/>
      <c r="EX162" s="542"/>
      <c r="EY162" s="542"/>
      <c r="EZ162" s="542"/>
      <c r="FA162" s="542"/>
      <c r="FB162" s="542"/>
      <c r="FC162" s="542"/>
      <c r="FD162" s="542"/>
      <c r="FE162" s="542"/>
      <c r="FF162" s="542"/>
      <c r="FG162" s="542"/>
      <c r="FH162" s="542"/>
      <c r="FI162" s="542"/>
      <c r="FJ162" s="542"/>
      <c r="FK162" s="542"/>
      <c r="FL162" s="542"/>
      <c r="FM162" s="542"/>
      <c r="FN162" s="542"/>
      <c r="FO162" s="542"/>
      <c r="FP162" s="542"/>
      <c r="FQ162" s="542"/>
      <c r="FR162" s="542"/>
      <c r="FS162" s="542"/>
      <c r="FT162" s="542"/>
      <c r="FU162" s="542"/>
      <c r="FV162" s="542"/>
      <c r="FW162" s="542"/>
      <c r="FX162" s="542"/>
      <c r="FY162" s="542"/>
      <c r="FZ162" s="542"/>
      <c r="GA162" s="542"/>
      <c r="GB162" s="542"/>
      <c r="GC162" s="542"/>
      <c r="GD162" s="542"/>
      <c r="GE162" s="542"/>
      <c r="GF162" s="542"/>
      <c r="GG162" s="542"/>
      <c r="GH162" s="542"/>
      <c r="GI162" s="542"/>
      <c r="GJ162" s="542"/>
      <c r="GK162" s="542"/>
      <c r="GL162" s="542"/>
      <c r="GM162" s="542"/>
      <c r="GN162" s="542"/>
      <c r="GO162" s="542"/>
      <c r="GP162" s="542"/>
      <c r="GQ162" s="542"/>
      <c r="GR162" s="542"/>
      <c r="GS162" s="542"/>
      <c r="GT162" s="542"/>
      <c r="GU162" s="542"/>
      <c r="GV162" s="542"/>
      <c r="GW162" s="542"/>
      <c r="GX162" s="542"/>
      <c r="GY162" s="542"/>
      <c r="GZ162" s="542"/>
      <c r="HA162" s="542"/>
      <c r="HB162" s="542"/>
      <c r="HC162" s="542"/>
      <c r="HD162" s="542"/>
      <c r="HE162" s="542"/>
      <c r="HF162" s="542"/>
      <c r="HG162" s="542"/>
      <c r="HH162" s="542"/>
      <c r="HI162" s="542"/>
      <c r="HJ162" s="542"/>
      <c r="HK162" s="542"/>
      <c r="HL162" s="542"/>
      <c r="HM162" s="542"/>
      <c r="HN162" s="542"/>
      <c r="HO162" s="542"/>
      <c r="HP162" s="542"/>
      <c r="HQ162" s="542"/>
      <c r="HR162" s="542"/>
      <c r="HS162" s="542"/>
      <c r="HT162" s="542"/>
      <c r="HU162" s="542"/>
      <c r="HV162" s="542"/>
      <c r="HW162" s="542"/>
      <c r="HX162" s="542"/>
      <c r="HY162" s="542"/>
      <c r="HZ162" s="542"/>
      <c r="IA162" s="542"/>
      <c r="IB162" s="542"/>
      <c r="IC162" s="542"/>
      <c r="ID162" s="542"/>
      <c r="IE162" s="542"/>
      <c r="IF162" s="542"/>
      <c r="IG162" s="542"/>
      <c r="IH162" s="542"/>
      <c r="II162" s="542"/>
      <c r="IJ162" s="542"/>
      <c r="IK162" s="542"/>
      <c r="IL162" s="542"/>
      <c r="IM162" s="542"/>
      <c r="IN162" s="542"/>
      <c r="IO162" s="542"/>
      <c r="IP162" s="542"/>
      <c r="IQ162" s="542"/>
      <c r="IR162" s="542"/>
      <c r="IS162" s="542"/>
      <c r="IT162" s="542"/>
      <c r="IU162" s="542"/>
      <c r="IV162" s="542"/>
      <c r="IW162" s="542"/>
      <c r="IX162" s="542"/>
      <c r="IY162" s="542"/>
      <c r="IZ162" s="542"/>
      <c r="JA162" s="542"/>
      <c r="JB162" s="542"/>
    </row>
    <row r="163" spans="55:262" ht="18.899999999999999" customHeight="1">
      <c r="BC163" s="1614"/>
      <c r="BD163" s="1614"/>
      <c r="BE163" s="1614"/>
      <c r="CZ163" s="542"/>
      <c r="DA163" s="542"/>
      <c r="DB163" s="542"/>
      <c r="DC163" s="542"/>
      <c r="DD163" s="542"/>
      <c r="DE163" s="542"/>
      <c r="DF163" s="542"/>
      <c r="DG163" s="542"/>
      <c r="DH163" s="542"/>
      <c r="DI163" s="542"/>
      <c r="DJ163" s="542"/>
      <c r="DK163" s="542"/>
      <c r="DL163" s="542"/>
      <c r="DM163" s="542"/>
      <c r="DN163" s="542"/>
      <c r="DO163" s="542"/>
      <c r="DP163" s="542"/>
      <c r="DQ163" s="542"/>
      <c r="DR163" s="542"/>
      <c r="DS163" s="542"/>
      <c r="DT163" s="542"/>
      <c r="DU163" s="542"/>
      <c r="DV163" s="542"/>
      <c r="DW163" s="542"/>
      <c r="DX163" s="542"/>
      <c r="DY163" s="542"/>
      <c r="DZ163" s="542"/>
      <c r="EA163" s="542"/>
      <c r="EB163" s="542"/>
      <c r="EC163" s="542"/>
      <c r="ED163" s="542"/>
      <c r="EE163" s="542"/>
      <c r="EF163" s="542"/>
      <c r="EG163" s="542"/>
      <c r="EH163" s="542"/>
      <c r="EI163" s="542"/>
      <c r="EJ163" s="542"/>
      <c r="EK163" s="542"/>
      <c r="EL163" s="542"/>
      <c r="EM163" s="542"/>
      <c r="EN163" s="542"/>
      <c r="EO163" s="542"/>
      <c r="EP163" s="542"/>
      <c r="EQ163" s="542"/>
      <c r="ER163" s="542"/>
      <c r="ES163" s="542"/>
      <c r="ET163" s="542"/>
      <c r="EU163" s="542"/>
      <c r="EV163" s="542"/>
      <c r="EW163" s="542"/>
      <c r="EX163" s="542"/>
      <c r="EY163" s="542"/>
      <c r="EZ163" s="542"/>
      <c r="FA163" s="542"/>
      <c r="FB163" s="542"/>
      <c r="FC163" s="542"/>
      <c r="FD163" s="542"/>
      <c r="FE163" s="542"/>
      <c r="FF163" s="542"/>
      <c r="FG163" s="542"/>
      <c r="FH163" s="542"/>
      <c r="FI163" s="542"/>
      <c r="FJ163" s="542"/>
      <c r="FK163" s="542"/>
      <c r="FL163" s="542"/>
      <c r="FM163" s="542"/>
      <c r="FN163" s="542"/>
      <c r="FO163" s="542"/>
      <c r="FP163" s="542"/>
      <c r="FQ163" s="542"/>
      <c r="FR163" s="542"/>
      <c r="FS163" s="542"/>
      <c r="FT163" s="542"/>
      <c r="FU163" s="542"/>
      <c r="FV163" s="542"/>
      <c r="FW163" s="542"/>
      <c r="FX163" s="542"/>
      <c r="FY163" s="542"/>
      <c r="FZ163" s="542"/>
      <c r="GA163" s="542"/>
      <c r="GB163" s="542"/>
      <c r="GC163" s="542"/>
      <c r="GD163" s="542"/>
      <c r="GE163" s="542"/>
      <c r="GF163" s="542"/>
      <c r="GG163" s="542"/>
      <c r="GH163" s="542"/>
      <c r="GI163" s="542"/>
      <c r="GJ163" s="542"/>
      <c r="GK163" s="542"/>
      <c r="GL163" s="542"/>
      <c r="GM163" s="542"/>
      <c r="GN163" s="542"/>
      <c r="GO163" s="542"/>
      <c r="GP163" s="542"/>
      <c r="GQ163" s="542"/>
      <c r="GR163" s="542"/>
      <c r="GS163" s="542"/>
      <c r="GT163" s="542"/>
      <c r="GU163" s="542"/>
      <c r="GV163" s="542"/>
      <c r="GW163" s="542"/>
      <c r="GX163" s="542"/>
      <c r="GY163" s="542"/>
      <c r="GZ163" s="542"/>
      <c r="HA163" s="542"/>
      <c r="HB163" s="542"/>
      <c r="HC163" s="542"/>
      <c r="HD163" s="542"/>
      <c r="HE163" s="542"/>
      <c r="HF163" s="542"/>
      <c r="HG163" s="542"/>
      <c r="HH163" s="542"/>
      <c r="HI163" s="542"/>
      <c r="HJ163" s="542"/>
      <c r="HK163" s="542"/>
      <c r="HL163" s="542"/>
      <c r="HM163" s="542"/>
      <c r="HN163" s="542"/>
      <c r="HO163" s="542"/>
      <c r="HP163" s="542"/>
      <c r="HQ163" s="542"/>
      <c r="HR163" s="542"/>
      <c r="HS163" s="542"/>
      <c r="HT163" s="542"/>
      <c r="HU163" s="542"/>
      <c r="HV163" s="542"/>
      <c r="HW163" s="542"/>
      <c r="HX163" s="542"/>
      <c r="HY163" s="542"/>
      <c r="HZ163" s="542"/>
      <c r="IA163" s="542"/>
      <c r="IB163" s="542"/>
      <c r="IC163" s="542"/>
      <c r="ID163" s="542"/>
      <c r="IE163" s="542"/>
      <c r="IF163" s="542"/>
      <c r="IG163" s="542"/>
      <c r="IH163" s="542"/>
      <c r="II163" s="542"/>
      <c r="IJ163" s="542"/>
      <c r="IK163" s="542"/>
      <c r="IL163" s="542"/>
      <c r="IM163" s="542"/>
      <c r="IN163" s="542"/>
      <c r="IO163" s="542"/>
      <c r="IP163" s="542"/>
      <c r="IQ163" s="542"/>
      <c r="IR163" s="542"/>
      <c r="IS163" s="542"/>
      <c r="IT163" s="542"/>
      <c r="IU163" s="542"/>
      <c r="IV163" s="542"/>
      <c r="IW163" s="542"/>
      <c r="IX163" s="542"/>
      <c r="IY163" s="542"/>
      <c r="IZ163" s="542"/>
      <c r="JA163" s="542"/>
      <c r="JB163" s="542"/>
    </row>
    <row r="164" spans="55:262" ht="18.899999999999999" customHeight="1">
      <c r="BC164" s="1614"/>
      <c r="BD164" s="1614"/>
      <c r="BE164" s="1614"/>
      <c r="CZ164" s="542"/>
      <c r="DA164" s="542"/>
      <c r="DB164" s="542"/>
      <c r="DC164" s="542"/>
      <c r="DD164" s="542"/>
      <c r="DE164" s="542"/>
      <c r="DF164" s="542"/>
      <c r="DG164" s="542"/>
      <c r="DH164" s="542"/>
      <c r="DI164" s="542"/>
      <c r="DJ164" s="542"/>
      <c r="DK164" s="542"/>
      <c r="DL164" s="542"/>
      <c r="DM164" s="542"/>
      <c r="DN164" s="542"/>
      <c r="DO164" s="542"/>
      <c r="DP164" s="542"/>
      <c r="DQ164" s="542"/>
      <c r="DR164" s="542"/>
      <c r="DS164" s="542"/>
      <c r="DT164" s="542"/>
      <c r="DU164" s="542"/>
      <c r="DV164" s="542"/>
      <c r="DW164" s="542"/>
      <c r="DX164" s="542"/>
      <c r="DY164" s="542"/>
      <c r="DZ164" s="542"/>
      <c r="EA164" s="542"/>
      <c r="EB164" s="542"/>
      <c r="EC164" s="542"/>
      <c r="ED164" s="542"/>
      <c r="EE164" s="542"/>
      <c r="EF164" s="542"/>
      <c r="EG164" s="542"/>
      <c r="EH164" s="542"/>
      <c r="EI164" s="542"/>
      <c r="EJ164" s="542"/>
      <c r="EK164" s="542"/>
      <c r="EL164" s="542"/>
      <c r="EM164" s="542"/>
      <c r="EN164" s="542"/>
      <c r="EO164" s="542"/>
      <c r="EP164" s="542"/>
      <c r="EQ164" s="542"/>
      <c r="ER164" s="542"/>
      <c r="ES164" s="542"/>
      <c r="ET164" s="542"/>
      <c r="EU164" s="542"/>
      <c r="EV164" s="542"/>
      <c r="EW164" s="542"/>
      <c r="EX164" s="542"/>
      <c r="EY164" s="542"/>
      <c r="EZ164" s="542"/>
      <c r="FA164" s="542"/>
      <c r="FB164" s="542"/>
      <c r="FC164" s="542"/>
      <c r="FD164" s="542"/>
      <c r="FE164" s="542"/>
      <c r="FF164" s="542"/>
      <c r="FG164" s="542"/>
      <c r="FH164" s="542"/>
      <c r="FI164" s="542"/>
      <c r="FJ164" s="542"/>
      <c r="FK164" s="542"/>
      <c r="FL164" s="542"/>
      <c r="FM164" s="542"/>
      <c r="FN164" s="542"/>
      <c r="FO164" s="542"/>
      <c r="FP164" s="542"/>
      <c r="FQ164" s="542"/>
      <c r="FR164" s="542"/>
      <c r="FS164" s="542"/>
      <c r="FT164" s="542"/>
      <c r="FU164" s="542"/>
      <c r="FV164" s="542"/>
      <c r="FW164" s="542"/>
      <c r="FX164" s="542"/>
      <c r="FY164" s="542"/>
      <c r="FZ164" s="542"/>
      <c r="GA164" s="542"/>
      <c r="GB164" s="542"/>
      <c r="GC164" s="542"/>
      <c r="GD164" s="542"/>
      <c r="GE164" s="542"/>
      <c r="GF164" s="542"/>
      <c r="GG164" s="542"/>
      <c r="GH164" s="542"/>
      <c r="GI164" s="542"/>
      <c r="GJ164" s="542"/>
      <c r="GK164" s="542"/>
      <c r="GL164" s="542"/>
      <c r="GM164" s="542"/>
      <c r="GN164" s="542"/>
      <c r="GO164" s="542"/>
      <c r="GP164" s="542"/>
      <c r="GQ164" s="542"/>
      <c r="GR164" s="542"/>
      <c r="GS164" s="542"/>
      <c r="GT164" s="542"/>
      <c r="GU164" s="542"/>
      <c r="GV164" s="542"/>
      <c r="GW164" s="542"/>
      <c r="GX164" s="542"/>
      <c r="GY164" s="542"/>
      <c r="GZ164" s="542"/>
      <c r="HA164" s="542"/>
      <c r="HB164" s="542"/>
      <c r="HC164" s="542"/>
      <c r="HD164" s="542"/>
      <c r="HE164" s="542"/>
      <c r="HF164" s="542"/>
      <c r="HG164" s="542"/>
      <c r="HH164" s="542"/>
      <c r="HI164" s="542"/>
      <c r="HJ164" s="542"/>
      <c r="HK164" s="542"/>
      <c r="HL164" s="542"/>
      <c r="HM164" s="542"/>
      <c r="HN164" s="542"/>
      <c r="HO164" s="542"/>
      <c r="HP164" s="542"/>
      <c r="HQ164" s="542"/>
      <c r="HR164" s="542"/>
      <c r="HS164" s="542"/>
      <c r="HT164" s="542"/>
      <c r="HU164" s="542"/>
      <c r="HV164" s="542"/>
      <c r="HW164" s="542"/>
      <c r="HX164" s="542"/>
      <c r="HY164" s="542"/>
      <c r="HZ164" s="542"/>
      <c r="IA164" s="542"/>
      <c r="IB164" s="542"/>
      <c r="IC164" s="542"/>
      <c r="ID164" s="542"/>
      <c r="IE164" s="542"/>
      <c r="IF164" s="542"/>
      <c r="IG164" s="542"/>
      <c r="IH164" s="542"/>
      <c r="II164" s="542"/>
      <c r="IJ164" s="542"/>
      <c r="IK164" s="542"/>
      <c r="IL164" s="542"/>
      <c r="IM164" s="542"/>
      <c r="IN164" s="542"/>
      <c r="IO164" s="542"/>
      <c r="IP164" s="542"/>
      <c r="IQ164" s="542"/>
      <c r="IR164" s="542"/>
      <c r="IS164" s="542"/>
      <c r="IT164" s="542"/>
      <c r="IU164" s="542"/>
      <c r="IV164" s="542"/>
      <c r="IW164" s="542"/>
      <c r="IX164" s="542"/>
      <c r="IY164" s="542"/>
      <c r="IZ164" s="542"/>
      <c r="JA164" s="542"/>
      <c r="JB164" s="542"/>
    </row>
    <row r="165" spans="55:262" ht="18.899999999999999" customHeight="1">
      <c r="BC165" s="1614"/>
      <c r="BD165" s="1614"/>
      <c r="BE165" s="1614"/>
      <c r="CZ165" s="542"/>
      <c r="DA165" s="542"/>
      <c r="DB165" s="542"/>
      <c r="DC165" s="542"/>
      <c r="DD165" s="542"/>
      <c r="DE165" s="542"/>
      <c r="DF165" s="542"/>
      <c r="DG165" s="542"/>
      <c r="DH165" s="542"/>
      <c r="DI165" s="542"/>
      <c r="DJ165" s="542"/>
      <c r="DK165" s="542"/>
      <c r="DL165" s="542"/>
      <c r="DM165" s="542"/>
      <c r="DN165" s="542"/>
      <c r="DO165" s="542"/>
      <c r="DP165" s="542"/>
      <c r="DQ165" s="542"/>
      <c r="DR165" s="542"/>
      <c r="DS165" s="542"/>
      <c r="DT165" s="542"/>
      <c r="DU165" s="542"/>
      <c r="DV165" s="542"/>
      <c r="DW165" s="542"/>
      <c r="DX165" s="542"/>
      <c r="DY165" s="542"/>
      <c r="DZ165" s="542"/>
      <c r="EA165" s="542"/>
      <c r="EB165" s="542"/>
      <c r="EC165" s="542"/>
      <c r="ED165" s="542"/>
      <c r="EE165" s="542"/>
      <c r="EF165" s="542"/>
      <c r="EG165" s="542"/>
      <c r="EH165" s="542"/>
      <c r="EI165" s="542"/>
      <c r="EJ165" s="542"/>
      <c r="EK165" s="542"/>
      <c r="EL165" s="542"/>
      <c r="EM165" s="542"/>
      <c r="EN165" s="542"/>
      <c r="EO165" s="542"/>
      <c r="EP165" s="542"/>
      <c r="EQ165" s="542"/>
      <c r="ER165" s="542"/>
      <c r="ES165" s="542"/>
      <c r="ET165" s="542"/>
      <c r="EU165" s="542"/>
      <c r="EV165" s="542"/>
      <c r="EW165" s="542"/>
      <c r="EX165" s="542"/>
      <c r="EY165" s="542"/>
      <c r="EZ165" s="542"/>
      <c r="FA165" s="542"/>
      <c r="FB165" s="542"/>
      <c r="FC165" s="542"/>
      <c r="FD165" s="542"/>
      <c r="FE165" s="542"/>
      <c r="FF165" s="542"/>
      <c r="FG165" s="542"/>
      <c r="FH165" s="542"/>
      <c r="FI165" s="542"/>
      <c r="FJ165" s="542"/>
      <c r="FK165" s="542"/>
      <c r="FL165" s="542"/>
      <c r="FM165" s="542"/>
      <c r="FN165" s="542"/>
      <c r="FO165" s="542"/>
      <c r="FP165" s="542"/>
      <c r="FQ165" s="542"/>
      <c r="FR165" s="542"/>
      <c r="FS165" s="542"/>
      <c r="FT165" s="542"/>
      <c r="FU165" s="542"/>
      <c r="FV165" s="542"/>
      <c r="FW165" s="542"/>
      <c r="FX165" s="542"/>
      <c r="FY165" s="542"/>
      <c r="FZ165" s="542"/>
      <c r="GA165" s="542"/>
      <c r="GB165" s="542"/>
      <c r="GC165" s="542"/>
      <c r="GD165" s="542"/>
      <c r="GE165" s="542"/>
      <c r="GF165" s="542"/>
      <c r="GG165" s="542"/>
      <c r="GH165" s="542"/>
      <c r="GI165" s="542"/>
      <c r="GJ165" s="542"/>
      <c r="GK165" s="542"/>
      <c r="GL165" s="542"/>
      <c r="GM165" s="542"/>
      <c r="GN165" s="542"/>
      <c r="GO165" s="542"/>
      <c r="GP165" s="542"/>
      <c r="GQ165" s="542"/>
      <c r="GR165" s="542"/>
      <c r="GS165" s="542"/>
      <c r="GT165" s="542"/>
      <c r="GU165" s="542"/>
      <c r="GV165" s="542"/>
      <c r="GW165" s="542"/>
      <c r="GX165" s="542"/>
      <c r="GY165" s="542"/>
      <c r="GZ165" s="542"/>
      <c r="HA165" s="542"/>
      <c r="HB165" s="542"/>
      <c r="HC165" s="542"/>
      <c r="HD165" s="542"/>
      <c r="HE165" s="542"/>
      <c r="HF165" s="542"/>
      <c r="HG165" s="542"/>
      <c r="HH165" s="542"/>
      <c r="HI165" s="542"/>
      <c r="HJ165" s="542"/>
      <c r="HK165" s="542"/>
      <c r="HL165" s="542"/>
      <c r="HM165" s="542"/>
      <c r="HN165" s="542"/>
      <c r="HO165" s="542"/>
      <c r="HP165" s="542"/>
      <c r="HQ165" s="542"/>
      <c r="HR165" s="542"/>
      <c r="HS165" s="542"/>
      <c r="HT165" s="542"/>
      <c r="HU165" s="542"/>
      <c r="HV165" s="542"/>
      <c r="HW165" s="542"/>
      <c r="HX165" s="542"/>
      <c r="HY165" s="542"/>
      <c r="HZ165" s="542"/>
      <c r="IA165" s="542"/>
      <c r="IB165" s="542"/>
      <c r="IC165" s="542"/>
      <c r="ID165" s="542"/>
      <c r="IE165" s="542"/>
      <c r="IF165" s="542"/>
      <c r="IG165" s="542"/>
      <c r="IH165" s="542"/>
      <c r="II165" s="542"/>
      <c r="IJ165" s="542"/>
      <c r="IK165" s="542"/>
      <c r="IL165" s="542"/>
      <c r="IM165" s="542"/>
      <c r="IN165" s="542"/>
      <c r="IO165" s="542"/>
      <c r="IP165" s="542"/>
      <c r="IQ165" s="542"/>
      <c r="IR165" s="542"/>
      <c r="IS165" s="542"/>
      <c r="IT165" s="542"/>
      <c r="IU165" s="542"/>
      <c r="IV165" s="542"/>
      <c r="IW165" s="542"/>
      <c r="IX165" s="542"/>
      <c r="IY165" s="542"/>
      <c r="IZ165" s="542"/>
      <c r="JA165" s="542"/>
      <c r="JB165" s="542"/>
    </row>
    <row r="166" spans="55:262" ht="18.899999999999999" customHeight="1">
      <c r="BC166" s="1614"/>
      <c r="BD166" s="1614"/>
      <c r="BE166" s="1614"/>
      <c r="CZ166" s="542"/>
      <c r="DA166" s="542"/>
      <c r="DB166" s="542"/>
      <c r="DC166" s="542"/>
      <c r="DD166" s="542"/>
      <c r="DE166" s="542"/>
      <c r="DF166" s="542"/>
      <c r="DG166" s="542"/>
      <c r="DH166" s="542"/>
      <c r="DI166" s="542"/>
      <c r="DJ166" s="542"/>
      <c r="DK166" s="542"/>
      <c r="DL166" s="542"/>
      <c r="DM166" s="542"/>
      <c r="DN166" s="542"/>
      <c r="DO166" s="542"/>
      <c r="DP166" s="542"/>
      <c r="DQ166" s="542"/>
      <c r="DR166" s="542"/>
      <c r="DS166" s="542"/>
      <c r="DT166" s="542"/>
      <c r="DU166" s="542"/>
      <c r="DV166" s="542"/>
      <c r="DW166" s="542"/>
      <c r="DX166" s="542"/>
      <c r="DY166" s="542"/>
      <c r="DZ166" s="542"/>
      <c r="EA166" s="542"/>
      <c r="EB166" s="542"/>
      <c r="EC166" s="542"/>
      <c r="ED166" s="542"/>
      <c r="EE166" s="542"/>
      <c r="EF166" s="542"/>
      <c r="EG166" s="542"/>
      <c r="EH166" s="542"/>
      <c r="EI166" s="542"/>
      <c r="EJ166" s="542"/>
      <c r="EK166" s="542"/>
      <c r="EL166" s="542"/>
      <c r="EM166" s="542"/>
      <c r="EN166" s="542"/>
      <c r="EO166" s="542"/>
      <c r="EP166" s="542"/>
      <c r="EQ166" s="542"/>
      <c r="ER166" s="542"/>
      <c r="ES166" s="542"/>
      <c r="ET166" s="542"/>
      <c r="EU166" s="542"/>
      <c r="EV166" s="542"/>
      <c r="EW166" s="542"/>
      <c r="EX166" s="542"/>
      <c r="EY166" s="542"/>
      <c r="EZ166" s="542"/>
      <c r="FA166" s="542"/>
      <c r="FB166" s="542"/>
      <c r="FC166" s="542"/>
      <c r="FD166" s="542"/>
      <c r="FE166" s="542"/>
      <c r="FF166" s="542"/>
      <c r="FG166" s="542"/>
      <c r="FH166" s="542"/>
      <c r="FI166" s="542"/>
      <c r="FJ166" s="542"/>
      <c r="FK166" s="542"/>
      <c r="FL166" s="542"/>
      <c r="FM166" s="542"/>
      <c r="FN166" s="542"/>
      <c r="FO166" s="542"/>
      <c r="FP166" s="542"/>
      <c r="FQ166" s="542"/>
      <c r="FR166" s="542"/>
      <c r="FS166" s="542"/>
      <c r="FT166" s="542"/>
      <c r="FU166" s="542"/>
      <c r="FV166" s="542"/>
      <c r="FW166" s="542"/>
      <c r="FX166" s="542"/>
      <c r="FY166" s="542"/>
      <c r="FZ166" s="542"/>
      <c r="GA166" s="542"/>
      <c r="GB166" s="542"/>
      <c r="GC166" s="542"/>
      <c r="GD166" s="542"/>
      <c r="GE166" s="542"/>
      <c r="GF166" s="542"/>
      <c r="GG166" s="542"/>
      <c r="GH166" s="542"/>
      <c r="GI166" s="542"/>
      <c r="GJ166" s="542"/>
      <c r="GK166" s="542"/>
      <c r="GL166" s="542"/>
      <c r="GM166" s="542"/>
      <c r="GN166" s="542"/>
      <c r="GO166" s="542"/>
      <c r="GP166" s="542"/>
      <c r="GQ166" s="542"/>
      <c r="GR166" s="542"/>
      <c r="GS166" s="542"/>
      <c r="GT166" s="542"/>
      <c r="GU166" s="542"/>
      <c r="GV166" s="542"/>
      <c r="GW166" s="542"/>
      <c r="GX166" s="542"/>
      <c r="GY166" s="542"/>
      <c r="GZ166" s="542"/>
      <c r="HA166" s="542"/>
      <c r="HB166" s="542"/>
      <c r="HC166" s="542"/>
      <c r="HD166" s="542"/>
      <c r="HE166" s="542"/>
      <c r="HF166" s="542"/>
      <c r="HG166" s="542"/>
      <c r="HH166" s="542"/>
      <c r="HI166" s="542"/>
      <c r="HJ166" s="542"/>
      <c r="HK166" s="542"/>
      <c r="HL166" s="542"/>
      <c r="HM166" s="542"/>
      <c r="HN166" s="542"/>
      <c r="HO166" s="542"/>
      <c r="HP166" s="542"/>
      <c r="HQ166" s="542"/>
      <c r="HR166" s="542"/>
      <c r="HS166" s="542"/>
      <c r="HT166" s="542"/>
      <c r="HU166" s="542"/>
      <c r="HV166" s="542"/>
      <c r="HW166" s="542"/>
      <c r="HX166" s="542"/>
      <c r="HY166" s="542"/>
      <c r="HZ166" s="542"/>
      <c r="IA166" s="542"/>
      <c r="IB166" s="542"/>
      <c r="IC166" s="542"/>
      <c r="ID166" s="542"/>
      <c r="IE166" s="542"/>
      <c r="IF166" s="542"/>
      <c r="IG166" s="542"/>
      <c r="IH166" s="542"/>
      <c r="II166" s="542"/>
      <c r="IJ166" s="542"/>
      <c r="IK166" s="542"/>
      <c r="IL166" s="542"/>
      <c r="IM166" s="542"/>
      <c r="IN166" s="542"/>
      <c r="IO166" s="542"/>
      <c r="IP166" s="542"/>
      <c r="IQ166" s="542"/>
      <c r="IR166" s="542"/>
      <c r="IS166" s="542"/>
      <c r="IT166" s="542"/>
      <c r="IU166" s="542"/>
      <c r="IV166" s="542"/>
      <c r="IW166" s="542"/>
      <c r="IX166" s="542"/>
      <c r="IY166" s="542"/>
      <c r="IZ166" s="542"/>
      <c r="JA166" s="542"/>
      <c r="JB166" s="542"/>
    </row>
    <row r="167" spans="55:262" ht="18.899999999999999" customHeight="1">
      <c r="BC167" s="1614"/>
      <c r="BD167" s="1614"/>
      <c r="BE167" s="1614"/>
      <c r="CZ167" s="542"/>
      <c r="DA167" s="542"/>
      <c r="DB167" s="542"/>
      <c r="DC167" s="542"/>
      <c r="DD167" s="542"/>
      <c r="DE167" s="542"/>
      <c r="DF167" s="542"/>
      <c r="DG167" s="542"/>
      <c r="DH167" s="542"/>
      <c r="DI167" s="542"/>
      <c r="DJ167" s="542"/>
      <c r="DK167" s="542"/>
      <c r="DL167" s="542"/>
      <c r="DM167" s="542"/>
      <c r="DN167" s="542"/>
      <c r="DO167" s="542"/>
      <c r="DP167" s="542"/>
      <c r="DQ167" s="542"/>
      <c r="DR167" s="542"/>
      <c r="DS167" s="542"/>
      <c r="DT167" s="542"/>
      <c r="DU167" s="542"/>
      <c r="DV167" s="542"/>
      <c r="DW167" s="542"/>
      <c r="DX167" s="542"/>
      <c r="DY167" s="542"/>
      <c r="DZ167" s="542"/>
      <c r="EA167" s="542"/>
      <c r="EB167" s="542"/>
      <c r="EC167" s="542"/>
      <c r="ED167" s="542"/>
      <c r="EE167" s="542"/>
      <c r="EF167" s="542"/>
      <c r="EG167" s="542"/>
      <c r="EH167" s="542"/>
      <c r="EI167" s="542"/>
      <c r="EJ167" s="542"/>
      <c r="EK167" s="542"/>
      <c r="EL167" s="542"/>
      <c r="EM167" s="542"/>
      <c r="EN167" s="542"/>
      <c r="EO167" s="542"/>
      <c r="EP167" s="542"/>
      <c r="EQ167" s="542"/>
      <c r="ER167" s="542"/>
      <c r="ES167" s="542"/>
      <c r="ET167" s="542"/>
      <c r="EU167" s="542"/>
      <c r="EV167" s="542"/>
      <c r="EW167" s="542"/>
      <c r="EX167" s="542"/>
      <c r="EY167" s="542"/>
      <c r="EZ167" s="542"/>
      <c r="FA167" s="542"/>
      <c r="FB167" s="542"/>
      <c r="FC167" s="542"/>
      <c r="FD167" s="542"/>
      <c r="FE167" s="542"/>
      <c r="FF167" s="542"/>
      <c r="FG167" s="542"/>
      <c r="FH167" s="542"/>
      <c r="FI167" s="542"/>
      <c r="FJ167" s="542"/>
      <c r="FK167" s="542"/>
      <c r="FL167" s="542"/>
      <c r="FM167" s="542"/>
      <c r="FN167" s="542"/>
      <c r="FO167" s="542"/>
      <c r="FP167" s="542"/>
      <c r="FQ167" s="542"/>
      <c r="FR167" s="542"/>
      <c r="FS167" s="542"/>
      <c r="FT167" s="542"/>
      <c r="FU167" s="542"/>
      <c r="FV167" s="542"/>
      <c r="FW167" s="542"/>
      <c r="FX167" s="542"/>
      <c r="FY167" s="542"/>
      <c r="FZ167" s="542"/>
      <c r="GA167" s="542"/>
      <c r="GB167" s="542"/>
      <c r="GC167" s="542"/>
      <c r="GD167" s="542"/>
      <c r="GE167" s="542"/>
      <c r="GF167" s="542"/>
      <c r="GG167" s="542"/>
      <c r="GH167" s="542"/>
      <c r="GI167" s="542"/>
      <c r="GJ167" s="542"/>
      <c r="GK167" s="542"/>
      <c r="GL167" s="542"/>
      <c r="GM167" s="542"/>
      <c r="GN167" s="542"/>
      <c r="GO167" s="542"/>
      <c r="GP167" s="542"/>
      <c r="GQ167" s="542"/>
      <c r="GR167" s="542"/>
      <c r="GS167" s="542"/>
      <c r="GT167" s="542"/>
      <c r="GU167" s="542"/>
      <c r="GV167" s="542"/>
      <c r="GW167" s="542"/>
      <c r="GX167" s="542"/>
      <c r="GY167" s="542"/>
      <c r="GZ167" s="542"/>
      <c r="HA167" s="542"/>
      <c r="HB167" s="542"/>
      <c r="HC167" s="542"/>
      <c r="HD167" s="542"/>
      <c r="HE167" s="542"/>
      <c r="HF167" s="542"/>
      <c r="HG167" s="542"/>
      <c r="HH167" s="542"/>
      <c r="HI167" s="542"/>
      <c r="HJ167" s="542"/>
      <c r="HK167" s="542"/>
      <c r="HL167" s="542"/>
      <c r="HM167" s="542"/>
      <c r="HN167" s="542"/>
      <c r="HO167" s="542"/>
      <c r="HP167" s="542"/>
      <c r="HQ167" s="542"/>
      <c r="HR167" s="542"/>
      <c r="HS167" s="542"/>
      <c r="HT167" s="542"/>
      <c r="HU167" s="542"/>
      <c r="HV167" s="542"/>
      <c r="HW167" s="542"/>
      <c r="HX167" s="542"/>
      <c r="HY167" s="542"/>
      <c r="HZ167" s="542"/>
      <c r="IA167" s="542"/>
      <c r="IB167" s="542"/>
      <c r="IC167" s="542"/>
      <c r="ID167" s="542"/>
      <c r="IE167" s="542"/>
      <c r="IF167" s="542"/>
      <c r="IG167" s="542"/>
      <c r="IH167" s="542"/>
      <c r="II167" s="542"/>
      <c r="IJ167" s="542"/>
      <c r="IK167" s="542"/>
      <c r="IL167" s="542"/>
      <c r="IM167" s="542"/>
      <c r="IN167" s="542"/>
      <c r="IO167" s="542"/>
      <c r="IP167" s="542"/>
      <c r="IQ167" s="542"/>
      <c r="IR167" s="542"/>
      <c r="IS167" s="542"/>
      <c r="IT167" s="542"/>
      <c r="IU167" s="542"/>
      <c r="IV167" s="542"/>
      <c r="IW167" s="542"/>
      <c r="IX167" s="542"/>
      <c r="IY167" s="542"/>
      <c r="IZ167" s="542"/>
      <c r="JA167" s="542"/>
      <c r="JB167" s="542"/>
    </row>
    <row r="168" spans="55:262" ht="18.899999999999999" customHeight="1">
      <c r="BC168" s="1614"/>
      <c r="BD168" s="1614"/>
      <c r="BE168" s="1614"/>
      <c r="CZ168" s="542"/>
      <c r="DA168" s="542"/>
      <c r="DB168" s="542"/>
      <c r="DC168" s="542"/>
      <c r="DD168" s="542"/>
      <c r="DE168" s="542"/>
      <c r="DF168" s="542"/>
      <c r="DG168" s="542"/>
      <c r="DH168" s="542"/>
      <c r="DI168" s="542"/>
      <c r="DJ168" s="542"/>
      <c r="DK168" s="542"/>
      <c r="DL168" s="542"/>
      <c r="DM168" s="542"/>
      <c r="DN168" s="542"/>
      <c r="DO168" s="542"/>
      <c r="DP168" s="542"/>
      <c r="DQ168" s="542"/>
      <c r="DR168" s="542"/>
      <c r="DS168" s="542"/>
      <c r="DT168" s="542"/>
      <c r="DU168" s="542"/>
      <c r="DV168" s="542"/>
      <c r="DW168" s="542"/>
      <c r="DX168" s="542"/>
      <c r="DY168" s="542"/>
      <c r="DZ168" s="542"/>
      <c r="EA168" s="542"/>
      <c r="EB168" s="542"/>
      <c r="EC168" s="542"/>
      <c r="ED168" s="542"/>
      <c r="EE168" s="542"/>
      <c r="EF168" s="542"/>
      <c r="EG168" s="542"/>
      <c r="EH168" s="542"/>
      <c r="EI168" s="542"/>
      <c r="EJ168" s="542"/>
      <c r="EK168" s="542"/>
      <c r="EL168" s="542"/>
      <c r="EM168" s="542"/>
      <c r="EN168" s="542"/>
      <c r="EO168" s="542"/>
      <c r="EP168" s="542"/>
      <c r="EQ168" s="542"/>
      <c r="ER168" s="542"/>
      <c r="ES168" s="542"/>
      <c r="ET168" s="542"/>
      <c r="EU168" s="542"/>
      <c r="EV168" s="542"/>
      <c r="EW168" s="542"/>
      <c r="EX168" s="542"/>
      <c r="EY168" s="542"/>
      <c r="EZ168" s="542"/>
      <c r="FA168" s="542"/>
      <c r="FB168" s="542"/>
      <c r="FC168" s="542"/>
      <c r="FD168" s="542"/>
      <c r="FE168" s="542"/>
      <c r="FF168" s="542"/>
      <c r="FG168" s="542"/>
      <c r="FH168" s="542"/>
      <c r="FI168" s="542"/>
      <c r="FJ168" s="542"/>
      <c r="FK168" s="542"/>
      <c r="FL168" s="542"/>
      <c r="FM168" s="542"/>
      <c r="FN168" s="542"/>
      <c r="FO168" s="542"/>
      <c r="FP168" s="542"/>
      <c r="FQ168" s="542"/>
      <c r="FR168" s="542"/>
      <c r="FS168" s="542"/>
      <c r="FT168" s="542"/>
      <c r="FU168" s="542"/>
      <c r="FV168" s="542"/>
      <c r="FW168" s="542"/>
      <c r="FX168" s="542"/>
      <c r="FY168" s="542"/>
      <c r="FZ168" s="542"/>
      <c r="GA168" s="542"/>
      <c r="GB168" s="542"/>
      <c r="GC168" s="542"/>
      <c r="GD168" s="542"/>
      <c r="GE168" s="542"/>
      <c r="GF168" s="542"/>
      <c r="GG168" s="542"/>
      <c r="GH168" s="542"/>
      <c r="GI168" s="542"/>
      <c r="GJ168" s="542"/>
      <c r="GK168" s="542"/>
      <c r="GL168" s="542"/>
      <c r="GM168" s="542"/>
      <c r="GN168" s="542"/>
      <c r="GO168" s="542"/>
      <c r="GP168" s="542"/>
      <c r="GQ168" s="542"/>
      <c r="GR168" s="542"/>
      <c r="GS168" s="542"/>
      <c r="GT168" s="542"/>
      <c r="GU168" s="542"/>
      <c r="GV168" s="542"/>
      <c r="GW168" s="542"/>
      <c r="GX168" s="542"/>
      <c r="GY168" s="542"/>
      <c r="GZ168" s="542"/>
      <c r="HA168" s="542"/>
      <c r="HB168" s="542"/>
      <c r="HC168" s="542"/>
      <c r="HD168" s="542"/>
      <c r="HE168" s="542"/>
      <c r="HF168" s="542"/>
      <c r="HG168" s="542"/>
      <c r="HH168" s="542"/>
      <c r="HI168" s="542"/>
      <c r="HJ168" s="542"/>
      <c r="HK168" s="542"/>
      <c r="HL168" s="542"/>
      <c r="HM168" s="542"/>
      <c r="HN168" s="542"/>
      <c r="HO168" s="542"/>
      <c r="HP168" s="542"/>
      <c r="HQ168" s="542"/>
      <c r="HR168" s="542"/>
      <c r="HS168" s="542"/>
      <c r="HT168" s="542"/>
      <c r="HU168" s="542"/>
      <c r="HV168" s="542"/>
      <c r="HW168" s="542"/>
      <c r="HX168" s="542"/>
      <c r="HY168" s="542"/>
      <c r="HZ168" s="542"/>
      <c r="IA168" s="542"/>
      <c r="IB168" s="542"/>
      <c r="IC168" s="542"/>
      <c r="ID168" s="542"/>
      <c r="IE168" s="542"/>
      <c r="IF168" s="542"/>
      <c r="IG168" s="542"/>
      <c r="IH168" s="542"/>
      <c r="II168" s="542"/>
      <c r="IJ168" s="542"/>
      <c r="IK168" s="542"/>
      <c r="IL168" s="542"/>
      <c r="IM168" s="542"/>
      <c r="IN168" s="542"/>
      <c r="IO168" s="542"/>
      <c r="IP168" s="542"/>
      <c r="IQ168" s="542"/>
      <c r="IR168" s="542"/>
      <c r="IS168" s="542"/>
      <c r="IT168" s="542"/>
      <c r="IU168" s="542"/>
      <c r="IV168" s="542"/>
      <c r="IW168" s="542"/>
      <c r="IX168" s="542"/>
      <c r="IY168" s="542"/>
      <c r="IZ168" s="542"/>
      <c r="JA168" s="542"/>
      <c r="JB168" s="542"/>
    </row>
    <row r="169" spans="55:262" ht="18.899999999999999" customHeight="1">
      <c r="BC169" s="1614"/>
      <c r="BD169" s="1614"/>
      <c r="BE169" s="1614"/>
      <c r="CZ169" s="542"/>
      <c r="DA169" s="542"/>
      <c r="DB169" s="542"/>
      <c r="DC169" s="542"/>
      <c r="DD169" s="542"/>
      <c r="DE169" s="542"/>
      <c r="DF169" s="542"/>
      <c r="DG169" s="542"/>
      <c r="DH169" s="542"/>
      <c r="DI169" s="542"/>
      <c r="DJ169" s="542"/>
      <c r="DK169" s="542"/>
      <c r="DL169" s="542"/>
      <c r="DM169" s="542"/>
      <c r="DN169" s="542"/>
      <c r="DO169" s="542"/>
      <c r="DP169" s="542"/>
      <c r="DQ169" s="542"/>
      <c r="DR169" s="542"/>
      <c r="DS169" s="542"/>
      <c r="DT169" s="542"/>
      <c r="DU169" s="542"/>
      <c r="DV169" s="542"/>
      <c r="DW169" s="542"/>
      <c r="DX169" s="542"/>
      <c r="DY169" s="542"/>
      <c r="DZ169" s="542"/>
      <c r="EA169" s="542"/>
      <c r="EB169" s="542"/>
      <c r="EC169" s="542"/>
      <c r="ED169" s="542"/>
      <c r="EE169" s="542"/>
      <c r="EF169" s="542"/>
      <c r="EG169" s="542"/>
      <c r="EH169" s="542"/>
      <c r="EI169" s="542"/>
      <c r="EJ169" s="542"/>
      <c r="EK169" s="542"/>
      <c r="EL169" s="542"/>
      <c r="EM169" s="542"/>
      <c r="EN169" s="542"/>
      <c r="EO169" s="542"/>
      <c r="EP169" s="542"/>
      <c r="EQ169" s="542"/>
      <c r="ER169" s="542"/>
      <c r="ES169" s="542"/>
      <c r="ET169" s="542"/>
      <c r="EU169" s="542"/>
      <c r="EV169" s="542"/>
      <c r="EW169" s="542"/>
      <c r="EX169" s="542"/>
      <c r="EY169" s="542"/>
      <c r="EZ169" s="542"/>
      <c r="FA169" s="542"/>
      <c r="FB169" s="542"/>
      <c r="FC169" s="542"/>
      <c r="FD169" s="542"/>
      <c r="FE169" s="542"/>
      <c r="FF169" s="542"/>
      <c r="FG169" s="542"/>
      <c r="FH169" s="542"/>
      <c r="FI169" s="542"/>
      <c r="FJ169" s="542"/>
      <c r="FK169" s="542"/>
      <c r="FL169" s="542"/>
      <c r="FM169" s="542"/>
      <c r="FN169" s="542"/>
      <c r="FO169" s="542"/>
      <c r="FP169" s="542"/>
      <c r="FQ169" s="542"/>
      <c r="FR169" s="542"/>
      <c r="FS169" s="542"/>
      <c r="FT169" s="542"/>
      <c r="FU169" s="542"/>
      <c r="FV169" s="542"/>
      <c r="FW169" s="542"/>
      <c r="FX169" s="542"/>
      <c r="FY169" s="542"/>
      <c r="FZ169" s="542"/>
      <c r="GA169" s="542"/>
      <c r="GB169" s="542"/>
      <c r="GC169" s="542"/>
      <c r="GD169" s="542"/>
      <c r="GE169" s="542"/>
      <c r="GF169" s="542"/>
      <c r="GG169" s="542"/>
      <c r="GH169" s="542"/>
      <c r="GI169" s="542"/>
      <c r="GJ169" s="542"/>
      <c r="GK169" s="542"/>
      <c r="GL169" s="542"/>
      <c r="GM169" s="542"/>
      <c r="GN169" s="542"/>
      <c r="GO169" s="542"/>
      <c r="GP169" s="542"/>
      <c r="GQ169" s="542"/>
      <c r="GR169" s="542"/>
      <c r="GS169" s="542"/>
      <c r="GT169" s="542"/>
      <c r="GU169" s="542"/>
      <c r="GV169" s="542"/>
      <c r="GW169" s="542"/>
      <c r="GX169" s="542"/>
      <c r="GY169" s="542"/>
      <c r="GZ169" s="542"/>
      <c r="HA169" s="542"/>
      <c r="HB169" s="542"/>
      <c r="HC169" s="542"/>
      <c r="HD169" s="542"/>
      <c r="HE169" s="542"/>
      <c r="HF169" s="542"/>
      <c r="HG169" s="542"/>
      <c r="HH169" s="542"/>
      <c r="HI169" s="542"/>
      <c r="HJ169" s="542"/>
      <c r="HK169" s="542"/>
      <c r="HL169" s="542"/>
      <c r="HM169" s="542"/>
      <c r="HN169" s="542"/>
      <c r="HO169" s="542"/>
      <c r="HP169" s="542"/>
      <c r="HQ169" s="542"/>
      <c r="HR169" s="542"/>
      <c r="HS169" s="542"/>
      <c r="HT169" s="542"/>
      <c r="HU169" s="542"/>
      <c r="HV169" s="542"/>
      <c r="HW169" s="542"/>
      <c r="HX169" s="542"/>
      <c r="HY169" s="542"/>
      <c r="HZ169" s="542"/>
      <c r="IA169" s="542"/>
      <c r="IB169" s="542"/>
      <c r="IC169" s="542"/>
      <c r="ID169" s="542"/>
      <c r="IE169" s="542"/>
      <c r="IF169" s="542"/>
      <c r="IG169" s="542"/>
      <c r="IH169" s="542"/>
      <c r="II169" s="542"/>
      <c r="IJ169" s="542"/>
      <c r="IK169" s="542"/>
      <c r="IL169" s="542"/>
      <c r="IM169" s="542"/>
      <c r="IN169" s="542"/>
      <c r="IO169" s="542"/>
      <c r="IP169" s="542"/>
      <c r="IQ169" s="542"/>
      <c r="IR169" s="542"/>
      <c r="IS169" s="542"/>
      <c r="IT169" s="542"/>
      <c r="IU169" s="542"/>
      <c r="IV169" s="542"/>
      <c r="IW169" s="542"/>
      <c r="IX169" s="542"/>
      <c r="IY169" s="542"/>
      <c r="IZ169" s="542"/>
      <c r="JA169" s="542"/>
      <c r="JB169" s="542"/>
    </row>
    <row r="170" spans="55:262" ht="18.899999999999999" customHeight="1">
      <c r="BC170" s="1614"/>
      <c r="BD170" s="1614"/>
      <c r="BE170" s="1614"/>
      <c r="CZ170" s="542"/>
      <c r="DA170" s="542"/>
      <c r="DB170" s="542"/>
      <c r="DC170" s="542"/>
      <c r="DD170" s="542"/>
      <c r="DE170" s="542"/>
      <c r="DF170" s="542"/>
      <c r="DG170" s="542"/>
      <c r="DH170" s="542"/>
      <c r="DI170" s="542"/>
      <c r="DJ170" s="542"/>
      <c r="DK170" s="542"/>
      <c r="DL170" s="542"/>
      <c r="DM170" s="542"/>
      <c r="DN170" s="542"/>
      <c r="DO170" s="542"/>
      <c r="DP170" s="542"/>
      <c r="DQ170" s="542"/>
      <c r="DR170" s="542"/>
      <c r="DS170" s="542"/>
      <c r="DT170" s="542"/>
      <c r="DU170" s="542"/>
      <c r="DV170" s="542"/>
      <c r="DW170" s="542"/>
      <c r="DX170" s="542"/>
      <c r="DY170" s="542"/>
      <c r="DZ170" s="542"/>
      <c r="EA170" s="542"/>
      <c r="EB170" s="542"/>
      <c r="EC170" s="542"/>
      <c r="ED170" s="542"/>
      <c r="EE170" s="542"/>
      <c r="EF170" s="542"/>
      <c r="EG170" s="542"/>
      <c r="EH170" s="542"/>
      <c r="EI170" s="542"/>
      <c r="EJ170" s="542"/>
      <c r="EK170" s="542"/>
      <c r="EL170" s="542"/>
      <c r="EM170" s="542"/>
      <c r="EN170" s="542"/>
      <c r="EO170" s="542"/>
      <c r="EP170" s="542"/>
      <c r="EQ170" s="542"/>
      <c r="ER170" s="542"/>
      <c r="ES170" s="542"/>
      <c r="ET170" s="542"/>
      <c r="EU170" s="542"/>
      <c r="EV170" s="542"/>
      <c r="EW170" s="542"/>
      <c r="EX170" s="542"/>
      <c r="EY170" s="542"/>
      <c r="EZ170" s="542"/>
      <c r="FA170" s="542"/>
      <c r="FB170" s="542"/>
      <c r="FC170" s="542"/>
      <c r="FD170" s="542"/>
      <c r="FE170" s="542"/>
      <c r="FF170" s="542"/>
      <c r="FG170" s="542"/>
      <c r="FH170" s="542"/>
      <c r="FI170" s="542"/>
      <c r="FJ170" s="542"/>
      <c r="FK170" s="542"/>
      <c r="FL170" s="542"/>
      <c r="FM170" s="542"/>
      <c r="FN170" s="542"/>
      <c r="FO170" s="542"/>
      <c r="FP170" s="542"/>
      <c r="FQ170" s="542"/>
      <c r="FR170" s="542"/>
      <c r="FS170" s="542"/>
      <c r="FT170" s="542"/>
      <c r="FU170" s="542"/>
      <c r="FV170" s="542"/>
      <c r="FW170" s="542"/>
      <c r="FX170" s="542"/>
      <c r="FY170" s="542"/>
      <c r="FZ170" s="542"/>
      <c r="GA170" s="542"/>
      <c r="GB170" s="542"/>
      <c r="GC170" s="542"/>
      <c r="GD170" s="542"/>
      <c r="GE170" s="542"/>
      <c r="GF170" s="542"/>
      <c r="GG170" s="542"/>
      <c r="GH170" s="542"/>
      <c r="GI170" s="542"/>
      <c r="GJ170" s="542"/>
      <c r="GK170" s="542"/>
      <c r="GL170" s="542"/>
      <c r="GM170" s="542"/>
      <c r="GN170" s="542"/>
      <c r="GO170" s="542"/>
      <c r="GP170" s="542"/>
      <c r="GQ170" s="542"/>
      <c r="GR170" s="542"/>
      <c r="GS170" s="542"/>
      <c r="GT170" s="542"/>
      <c r="GU170" s="542"/>
      <c r="GV170" s="542"/>
      <c r="GW170" s="542"/>
      <c r="GX170" s="542"/>
      <c r="GY170" s="542"/>
      <c r="GZ170" s="542"/>
      <c r="HA170" s="542"/>
      <c r="HB170" s="542"/>
      <c r="HC170" s="542"/>
      <c r="HD170" s="542"/>
      <c r="HE170" s="542"/>
      <c r="HF170" s="542"/>
      <c r="HG170" s="542"/>
      <c r="HH170" s="542"/>
      <c r="HI170" s="542"/>
      <c r="HJ170" s="542"/>
      <c r="HK170" s="542"/>
      <c r="HL170" s="542"/>
      <c r="HM170" s="542"/>
      <c r="HN170" s="542"/>
      <c r="HO170" s="542"/>
      <c r="HP170" s="542"/>
      <c r="HQ170" s="542"/>
      <c r="HR170" s="542"/>
      <c r="HS170" s="542"/>
      <c r="HT170" s="542"/>
      <c r="HU170" s="542"/>
      <c r="HV170" s="542"/>
      <c r="HW170" s="542"/>
      <c r="HX170" s="542"/>
      <c r="HY170" s="542"/>
      <c r="HZ170" s="542"/>
      <c r="IA170" s="542"/>
      <c r="IB170" s="542"/>
      <c r="IC170" s="542"/>
      <c r="ID170" s="542"/>
      <c r="IE170" s="542"/>
      <c r="IF170" s="542"/>
      <c r="IG170" s="542"/>
      <c r="IH170" s="542"/>
      <c r="II170" s="542"/>
      <c r="IJ170" s="542"/>
      <c r="IK170" s="542"/>
      <c r="IL170" s="542"/>
      <c r="IM170" s="542"/>
      <c r="IN170" s="542"/>
      <c r="IO170" s="542"/>
      <c r="IP170" s="542"/>
      <c r="IQ170" s="542"/>
      <c r="IR170" s="542"/>
      <c r="IS170" s="542"/>
      <c r="IT170" s="542"/>
      <c r="IU170" s="542"/>
      <c r="IV170" s="542"/>
      <c r="IW170" s="542"/>
      <c r="IX170" s="542"/>
      <c r="IY170" s="542"/>
      <c r="IZ170" s="542"/>
      <c r="JA170" s="542"/>
      <c r="JB170" s="542"/>
    </row>
    <row r="171" spans="55:262" ht="18.899999999999999" customHeight="1">
      <c r="BC171" s="1614"/>
      <c r="BD171" s="1614"/>
      <c r="BE171" s="1614"/>
      <c r="CZ171" s="542"/>
      <c r="DA171" s="542"/>
      <c r="DB171" s="542"/>
      <c r="DC171" s="542"/>
      <c r="DD171" s="542"/>
      <c r="DE171" s="542"/>
      <c r="DF171" s="542"/>
      <c r="DG171" s="542"/>
      <c r="DH171" s="542"/>
      <c r="DI171" s="542"/>
      <c r="DJ171" s="542"/>
      <c r="DK171" s="542"/>
      <c r="DL171" s="542"/>
      <c r="DM171" s="542"/>
      <c r="DN171" s="542"/>
      <c r="DO171" s="542"/>
      <c r="DP171" s="542"/>
      <c r="DQ171" s="542"/>
      <c r="DR171" s="542"/>
      <c r="DS171" s="542"/>
      <c r="DT171" s="542"/>
      <c r="DU171" s="542"/>
      <c r="DV171" s="542"/>
      <c r="DW171" s="542"/>
      <c r="DX171" s="542"/>
      <c r="DY171" s="542"/>
      <c r="DZ171" s="542"/>
      <c r="EA171" s="542"/>
      <c r="EB171" s="542"/>
      <c r="EC171" s="542"/>
      <c r="ED171" s="542"/>
      <c r="EE171" s="542"/>
      <c r="EF171" s="542"/>
      <c r="EG171" s="542"/>
      <c r="EH171" s="542"/>
      <c r="EI171" s="542"/>
      <c r="EJ171" s="542"/>
      <c r="EK171" s="542"/>
      <c r="EL171" s="542"/>
      <c r="EM171" s="542"/>
      <c r="EN171" s="542"/>
      <c r="EO171" s="542"/>
      <c r="EP171" s="542"/>
      <c r="EQ171" s="542"/>
      <c r="ER171" s="542"/>
      <c r="ES171" s="542"/>
      <c r="ET171" s="542"/>
      <c r="EU171" s="542"/>
      <c r="EV171" s="542"/>
      <c r="EW171" s="542"/>
      <c r="EX171" s="542"/>
      <c r="EY171" s="542"/>
      <c r="EZ171" s="542"/>
      <c r="FA171" s="542"/>
      <c r="FB171" s="542"/>
      <c r="FC171" s="542"/>
      <c r="FD171" s="542"/>
      <c r="FE171" s="542"/>
      <c r="FF171" s="542"/>
      <c r="FG171" s="542"/>
      <c r="FH171" s="542"/>
      <c r="FI171" s="542"/>
      <c r="FJ171" s="542"/>
      <c r="FK171" s="542"/>
      <c r="FL171" s="542"/>
      <c r="FM171" s="542"/>
      <c r="FN171" s="542"/>
      <c r="FO171" s="542"/>
      <c r="FP171" s="542"/>
      <c r="FQ171" s="542"/>
      <c r="FR171" s="542"/>
      <c r="FS171" s="542"/>
      <c r="FT171" s="542"/>
      <c r="FU171" s="542"/>
      <c r="FV171" s="542"/>
      <c r="FW171" s="542"/>
      <c r="FX171" s="542"/>
      <c r="FY171" s="542"/>
      <c r="FZ171" s="542"/>
      <c r="GA171" s="542"/>
      <c r="GB171" s="542"/>
      <c r="GC171" s="542"/>
      <c r="GD171" s="542"/>
      <c r="GE171" s="542"/>
      <c r="GF171" s="542"/>
      <c r="GG171" s="542"/>
      <c r="GH171" s="542"/>
      <c r="GI171" s="542"/>
      <c r="GJ171" s="542"/>
      <c r="GK171" s="542"/>
      <c r="GL171" s="542"/>
      <c r="GM171" s="542"/>
      <c r="GN171" s="542"/>
      <c r="GO171" s="542"/>
      <c r="GP171" s="542"/>
      <c r="GQ171" s="542"/>
      <c r="GR171" s="542"/>
      <c r="GS171" s="542"/>
      <c r="GT171" s="542"/>
      <c r="GU171" s="542"/>
      <c r="GV171" s="542"/>
      <c r="GW171" s="542"/>
      <c r="GX171" s="542"/>
      <c r="GY171" s="542"/>
      <c r="GZ171" s="542"/>
      <c r="HA171" s="542"/>
      <c r="HB171" s="542"/>
      <c r="HC171" s="542"/>
      <c r="HD171" s="542"/>
      <c r="HE171" s="542"/>
      <c r="HF171" s="542"/>
      <c r="HG171" s="542"/>
      <c r="HH171" s="542"/>
      <c r="HI171" s="542"/>
      <c r="HJ171" s="542"/>
      <c r="HK171" s="542"/>
      <c r="HL171" s="542"/>
      <c r="HM171" s="542"/>
      <c r="HN171" s="542"/>
      <c r="HO171" s="542"/>
      <c r="HP171" s="542"/>
      <c r="HQ171" s="542"/>
      <c r="HR171" s="542"/>
      <c r="HS171" s="542"/>
      <c r="HT171" s="542"/>
      <c r="HU171" s="542"/>
      <c r="HV171" s="542"/>
      <c r="HW171" s="542"/>
      <c r="HX171" s="542"/>
      <c r="HY171" s="542"/>
      <c r="HZ171" s="542"/>
      <c r="IA171" s="542"/>
      <c r="IB171" s="542"/>
      <c r="IC171" s="542"/>
      <c r="ID171" s="542"/>
      <c r="IE171" s="542"/>
      <c r="IF171" s="542"/>
      <c r="IG171" s="542"/>
      <c r="IH171" s="542"/>
      <c r="II171" s="542"/>
      <c r="IJ171" s="542"/>
      <c r="IK171" s="542"/>
      <c r="IL171" s="542"/>
      <c r="IM171" s="542"/>
      <c r="IN171" s="542"/>
      <c r="IO171" s="542"/>
      <c r="IP171" s="542"/>
      <c r="IQ171" s="542"/>
      <c r="IR171" s="542"/>
      <c r="IS171" s="542"/>
      <c r="IT171" s="542"/>
      <c r="IU171" s="542"/>
      <c r="IV171" s="542"/>
      <c r="IW171" s="542"/>
      <c r="IX171" s="542"/>
      <c r="IY171" s="542"/>
      <c r="IZ171" s="542"/>
      <c r="JA171" s="542"/>
      <c r="JB171" s="542"/>
    </row>
    <row r="172" spans="55:262" ht="18.899999999999999" customHeight="1">
      <c r="BC172" s="1614"/>
      <c r="BD172" s="1614"/>
      <c r="BE172" s="1614"/>
      <c r="CZ172" s="542"/>
      <c r="DA172" s="542"/>
      <c r="DB172" s="542"/>
      <c r="DC172" s="542"/>
      <c r="DD172" s="542"/>
      <c r="DE172" s="542"/>
      <c r="DF172" s="542"/>
      <c r="DG172" s="542"/>
      <c r="DH172" s="542"/>
      <c r="DI172" s="542"/>
      <c r="DJ172" s="542"/>
      <c r="DK172" s="542"/>
      <c r="DL172" s="542"/>
      <c r="DM172" s="542"/>
      <c r="DN172" s="542"/>
      <c r="DO172" s="542"/>
      <c r="DP172" s="542"/>
      <c r="DQ172" s="542"/>
      <c r="DR172" s="542"/>
      <c r="DS172" s="542"/>
      <c r="DT172" s="542"/>
      <c r="DU172" s="542"/>
      <c r="DV172" s="542"/>
      <c r="DW172" s="542"/>
      <c r="DX172" s="542"/>
      <c r="DY172" s="542"/>
      <c r="DZ172" s="542"/>
      <c r="EA172" s="542"/>
      <c r="EB172" s="542"/>
      <c r="EC172" s="542"/>
      <c r="ED172" s="542"/>
      <c r="EE172" s="542"/>
      <c r="EF172" s="542"/>
      <c r="EG172" s="542"/>
      <c r="EH172" s="542"/>
      <c r="EI172" s="542"/>
      <c r="EJ172" s="542"/>
      <c r="EK172" s="542"/>
      <c r="EL172" s="542"/>
      <c r="EM172" s="542"/>
      <c r="EN172" s="542"/>
      <c r="EO172" s="542"/>
      <c r="EP172" s="542"/>
      <c r="EQ172" s="542"/>
      <c r="ER172" s="542"/>
      <c r="ES172" s="542"/>
      <c r="ET172" s="542"/>
      <c r="EU172" s="542"/>
      <c r="EV172" s="542"/>
      <c r="EW172" s="542"/>
      <c r="EX172" s="542"/>
      <c r="EY172" s="542"/>
      <c r="EZ172" s="542"/>
      <c r="FA172" s="542"/>
      <c r="FB172" s="542"/>
      <c r="FC172" s="542"/>
      <c r="FD172" s="542"/>
      <c r="FE172" s="542"/>
      <c r="FF172" s="542"/>
      <c r="FG172" s="542"/>
      <c r="FH172" s="542"/>
      <c r="FI172" s="542"/>
      <c r="FJ172" s="542"/>
      <c r="FK172" s="542"/>
      <c r="FL172" s="542"/>
      <c r="FM172" s="542"/>
      <c r="FN172" s="542"/>
      <c r="FO172" s="542"/>
      <c r="FP172" s="542"/>
      <c r="FQ172" s="542"/>
      <c r="FR172" s="542"/>
      <c r="FS172" s="542"/>
      <c r="FT172" s="542"/>
      <c r="FU172" s="542"/>
      <c r="FV172" s="542"/>
      <c r="FW172" s="542"/>
      <c r="FX172" s="542"/>
      <c r="FY172" s="542"/>
      <c r="FZ172" s="542"/>
      <c r="GA172" s="542"/>
      <c r="GB172" s="542"/>
      <c r="GC172" s="542"/>
      <c r="GD172" s="542"/>
      <c r="GE172" s="542"/>
      <c r="GF172" s="542"/>
      <c r="GG172" s="542"/>
      <c r="GH172" s="542"/>
      <c r="GI172" s="542"/>
      <c r="GJ172" s="542"/>
      <c r="GK172" s="542"/>
      <c r="GL172" s="542"/>
      <c r="GM172" s="542"/>
      <c r="GN172" s="542"/>
      <c r="GO172" s="542"/>
      <c r="GP172" s="542"/>
      <c r="GQ172" s="542"/>
      <c r="GR172" s="542"/>
      <c r="GS172" s="542"/>
      <c r="GT172" s="542"/>
      <c r="GU172" s="542"/>
      <c r="GV172" s="542"/>
      <c r="GW172" s="542"/>
      <c r="GX172" s="542"/>
      <c r="GY172" s="542"/>
      <c r="GZ172" s="542"/>
      <c r="HA172" s="542"/>
      <c r="HB172" s="542"/>
      <c r="HC172" s="542"/>
      <c r="HD172" s="542"/>
      <c r="HE172" s="542"/>
      <c r="HF172" s="542"/>
      <c r="HG172" s="542"/>
      <c r="HH172" s="542"/>
      <c r="HI172" s="542"/>
      <c r="HJ172" s="542"/>
      <c r="HK172" s="542"/>
      <c r="HL172" s="542"/>
      <c r="HM172" s="542"/>
      <c r="HN172" s="542"/>
      <c r="HO172" s="542"/>
      <c r="HP172" s="542"/>
      <c r="HQ172" s="542"/>
      <c r="HR172" s="542"/>
      <c r="HS172" s="542"/>
      <c r="HT172" s="542"/>
      <c r="HU172" s="542"/>
      <c r="HV172" s="542"/>
      <c r="HW172" s="542"/>
      <c r="HX172" s="542"/>
      <c r="HY172" s="542"/>
      <c r="HZ172" s="542"/>
      <c r="IA172" s="542"/>
      <c r="IB172" s="542"/>
      <c r="IC172" s="542"/>
      <c r="ID172" s="542"/>
      <c r="IE172" s="542"/>
      <c r="IF172" s="542"/>
      <c r="IG172" s="542"/>
      <c r="IH172" s="542"/>
      <c r="II172" s="542"/>
      <c r="IJ172" s="542"/>
      <c r="IK172" s="542"/>
      <c r="IL172" s="542"/>
      <c r="IM172" s="542"/>
      <c r="IN172" s="542"/>
      <c r="IO172" s="542"/>
      <c r="IP172" s="542"/>
      <c r="IQ172" s="542"/>
      <c r="IR172" s="542"/>
      <c r="IS172" s="542"/>
      <c r="IT172" s="542"/>
      <c r="IU172" s="542"/>
      <c r="IV172" s="542"/>
      <c r="IW172" s="542"/>
      <c r="IX172" s="542"/>
      <c r="IY172" s="542"/>
      <c r="IZ172" s="542"/>
      <c r="JA172" s="542"/>
      <c r="JB172" s="542"/>
    </row>
    <row r="173" spans="55:262" ht="18.899999999999999" customHeight="1">
      <c r="BC173" s="1614"/>
      <c r="BD173" s="1614"/>
      <c r="BE173" s="1614"/>
      <c r="CZ173" s="542"/>
      <c r="DA173" s="542"/>
      <c r="DB173" s="542"/>
      <c r="DC173" s="542"/>
      <c r="DD173" s="542"/>
      <c r="DE173" s="542"/>
      <c r="DF173" s="542"/>
      <c r="DG173" s="542"/>
      <c r="DH173" s="542"/>
      <c r="DI173" s="542"/>
      <c r="DJ173" s="542"/>
      <c r="DK173" s="542"/>
      <c r="DL173" s="542"/>
      <c r="DM173" s="542"/>
      <c r="DN173" s="542"/>
      <c r="DO173" s="542"/>
      <c r="DP173" s="542"/>
      <c r="DQ173" s="542"/>
      <c r="DR173" s="542"/>
      <c r="DS173" s="542"/>
      <c r="DT173" s="542"/>
      <c r="DU173" s="542"/>
      <c r="DV173" s="542"/>
      <c r="DW173" s="542"/>
      <c r="DX173" s="542"/>
      <c r="DY173" s="542"/>
      <c r="DZ173" s="542"/>
      <c r="EA173" s="542"/>
      <c r="EB173" s="542"/>
      <c r="EC173" s="542"/>
      <c r="ED173" s="542"/>
      <c r="EE173" s="542"/>
      <c r="EF173" s="542"/>
      <c r="EG173" s="542"/>
      <c r="EH173" s="542"/>
      <c r="EI173" s="542"/>
      <c r="EJ173" s="542"/>
      <c r="EK173" s="542"/>
      <c r="EL173" s="542"/>
      <c r="EM173" s="542"/>
      <c r="EN173" s="542"/>
      <c r="EO173" s="542"/>
      <c r="EP173" s="542"/>
      <c r="EQ173" s="542"/>
      <c r="ER173" s="542"/>
      <c r="ES173" s="542"/>
      <c r="ET173" s="542"/>
      <c r="EU173" s="542"/>
      <c r="EV173" s="542"/>
      <c r="EW173" s="542"/>
      <c r="EX173" s="542"/>
      <c r="EY173" s="542"/>
      <c r="EZ173" s="542"/>
      <c r="FA173" s="542"/>
      <c r="FB173" s="542"/>
      <c r="FC173" s="542"/>
      <c r="FD173" s="542"/>
      <c r="FE173" s="542"/>
      <c r="FF173" s="542"/>
      <c r="FG173" s="542"/>
      <c r="FH173" s="542"/>
      <c r="FI173" s="542"/>
      <c r="FJ173" s="542"/>
      <c r="FK173" s="542"/>
      <c r="FL173" s="542"/>
      <c r="FM173" s="542"/>
      <c r="FN173" s="542"/>
      <c r="FO173" s="542"/>
      <c r="FP173" s="542"/>
      <c r="FQ173" s="542"/>
      <c r="FR173" s="542"/>
      <c r="FS173" s="542"/>
      <c r="FT173" s="542"/>
      <c r="FU173" s="542"/>
      <c r="FV173" s="542"/>
      <c r="FW173" s="542"/>
      <c r="FX173" s="542"/>
      <c r="FY173" s="542"/>
      <c r="FZ173" s="542"/>
      <c r="GA173" s="542"/>
      <c r="GB173" s="542"/>
      <c r="GC173" s="542"/>
      <c r="GD173" s="542"/>
      <c r="GE173" s="542"/>
      <c r="GF173" s="542"/>
      <c r="GG173" s="542"/>
      <c r="GH173" s="542"/>
      <c r="GI173" s="542"/>
      <c r="GJ173" s="542"/>
      <c r="GK173" s="542"/>
      <c r="GL173" s="542"/>
      <c r="GM173" s="542"/>
      <c r="GN173" s="542"/>
      <c r="GO173" s="542"/>
      <c r="GP173" s="542"/>
      <c r="GQ173" s="542"/>
      <c r="GR173" s="542"/>
      <c r="GS173" s="542"/>
      <c r="GT173" s="542"/>
      <c r="GU173" s="542"/>
      <c r="GV173" s="542"/>
      <c r="GW173" s="542"/>
      <c r="GX173" s="542"/>
      <c r="GY173" s="542"/>
      <c r="GZ173" s="542"/>
      <c r="HA173" s="542"/>
      <c r="HB173" s="542"/>
      <c r="HC173" s="542"/>
      <c r="HD173" s="542"/>
      <c r="HE173" s="542"/>
      <c r="HF173" s="542"/>
      <c r="HG173" s="542"/>
      <c r="HH173" s="542"/>
      <c r="HI173" s="542"/>
      <c r="HJ173" s="542"/>
      <c r="HK173" s="542"/>
      <c r="HL173" s="542"/>
      <c r="HM173" s="542"/>
      <c r="HN173" s="542"/>
      <c r="HO173" s="542"/>
      <c r="HP173" s="542"/>
      <c r="HQ173" s="542"/>
      <c r="HR173" s="542"/>
      <c r="HS173" s="542"/>
      <c r="HT173" s="542"/>
      <c r="HU173" s="542"/>
      <c r="HV173" s="542"/>
      <c r="HW173" s="542"/>
      <c r="HX173" s="542"/>
      <c r="HY173" s="542"/>
      <c r="HZ173" s="542"/>
      <c r="IA173" s="542"/>
      <c r="IB173" s="542"/>
      <c r="IC173" s="542"/>
      <c r="ID173" s="542"/>
      <c r="IE173" s="542"/>
      <c r="IF173" s="542"/>
      <c r="IG173" s="542"/>
      <c r="IH173" s="542"/>
      <c r="II173" s="542"/>
      <c r="IJ173" s="542"/>
      <c r="IK173" s="542"/>
      <c r="IL173" s="542"/>
      <c r="IM173" s="542"/>
      <c r="IN173" s="542"/>
      <c r="IO173" s="542"/>
      <c r="IP173" s="542"/>
      <c r="IQ173" s="542"/>
      <c r="IR173" s="542"/>
      <c r="IS173" s="542"/>
      <c r="IT173" s="542"/>
      <c r="IU173" s="542"/>
      <c r="IV173" s="542"/>
      <c r="IW173" s="542"/>
      <c r="IX173" s="542"/>
      <c r="IY173" s="542"/>
      <c r="IZ173" s="542"/>
      <c r="JA173" s="542"/>
      <c r="JB173" s="542"/>
    </row>
    <row r="174" spans="55:262" ht="18.899999999999999" customHeight="1">
      <c r="BC174" s="1614"/>
      <c r="BD174" s="1614"/>
      <c r="BE174" s="1614"/>
      <c r="CZ174" s="542"/>
      <c r="DA174" s="542"/>
      <c r="DB174" s="542"/>
      <c r="DC174" s="542"/>
      <c r="DD174" s="542"/>
      <c r="DE174" s="542"/>
      <c r="DF174" s="542"/>
      <c r="DG174" s="542"/>
      <c r="DH174" s="542"/>
      <c r="DI174" s="542"/>
      <c r="DJ174" s="542"/>
      <c r="DK174" s="542"/>
      <c r="DL174" s="542"/>
      <c r="DM174" s="542"/>
      <c r="DN174" s="542"/>
      <c r="DO174" s="542"/>
      <c r="DP174" s="542"/>
      <c r="DQ174" s="542"/>
      <c r="DR174" s="542"/>
      <c r="DS174" s="542"/>
      <c r="DT174" s="542"/>
      <c r="DU174" s="542"/>
      <c r="DV174" s="542"/>
      <c r="DW174" s="542"/>
      <c r="DX174" s="542"/>
      <c r="DY174" s="542"/>
      <c r="DZ174" s="542"/>
      <c r="EA174" s="542"/>
      <c r="EB174" s="542"/>
      <c r="EC174" s="542"/>
      <c r="ED174" s="542"/>
      <c r="EE174" s="542"/>
      <c r="EF174" s="542"/>
      <c r="EG174" s="542"/>
      <c r="EH174" s="542"/>
      <c r="EI174" s="542"/>
      <c r="EJ174" s="542"/>
      <c r="EK174" s="542"/>
      <c r="EL174" s="542"/>
      <c r="EM174" s="542"/>
      <c r="EN174" s="542"/>
      <c r="EO174" s="542"/>
      <c r="EP174" s="542"/>
      <c r="EQ174" s="542"/>
      <c r="ER174" s="542"/>
      <c r="ES174" s="542"/>
      <c r="ET174" s="542"/>
      <c r="EU174" s="542"/>
      <c r="EV174" s="542"/>
      <c r="EW174" s="542"/>
      <c r="EX174" s="542"/>
      <c r="EY174" s="542"/>
      <c r="EZ174" s="542"/>
      <c r="FA174" s="542"/>
      <c r="FB174" s="542"/>
      <c r="FC174" s="542"/>
      <c r="FD174" s="542"/>
      <c r="FE174" s="542"/>
      <c r="FF174" s="542"/>
      <c r="FG174" s="542"/>
      <c r="FH174" s="542"/>
      <c r="FI174" s="542"/>
      <c r="FJ174" s="542"/>
      <c r="FK174" s="542"/>
      <c r="FL174" s="542"/>
      <c r="FM174" s="542"/>
      <c r="FN174" s="542"/>
      <c r="FO174" s="542"/>
      <c r="FP174" s="542"/>
      <c r="FQ174" s="542"/>
      <c r="FR174" s="542"/>
      <c r="FS174" s="542"/>
      <c r="FT174" s="542"/>
      <c r="FU174" s="542"/>
      <c r="FV174" s="542"/>
      <c r="FW174" s="542"/>
      <c r="FX174" s="542"/>
      <c r="FY174" s="542"/>
      <c r="FZ174" s="542"/>
      <c r="GA174" s="542"/>
      <c r="GB174" s="542"/>
      <c r="GC174" s="542"/>
      <c r="GD174" s="542"/>
      <c r="GE174" s="542"/>
      <c r="GF174" s="542"/>
      <c r="GG174" s="542"/>
      <c r="GH174" s="542"/>
      <c r="GI174" s="542"/>
      <c r="GJ174" s="542"/>
      <c r="GK174" s="542"/>
      <c r="GL174" s="542"/>
      <c r="GM174" s="542"/>
      <c r="GN174" s="542"/>
      <c r="GO174" s="542"/>
      <c r="GP174" s="542"/>
      <c r="GQ174" s="542"/>
      <c r="GR174" s="542"/>
      <c r="GS174" s="542"/>
      <c r="GT174" s="542"/>
      <c r="GU174" s="542"/>
      <c r="GV174" s="542"/>
      <c r="GW174" s="542"/>
      <c r="GX174" s="542"/>
      <c r="GY174" s="542"/>
      <c r="GZ174" s="542"/>
      <c r="HA174" s="542"/>
      <c r="HB174" s="542"/>
      <c r="HC174" s="542"/>
      <c r="HD174" s="542"/>
      <c r="HE174" s="542"/>
      <c r="HF174" s="542"/>
      <c r="HG174" s="542"/>
      <c r="HH174" s="542"/>
      <c r="HI174" s="542"/>
      <c r="HJ174" s="542"/>
      <c r="HK174" s="542"/>
      <c r="HL174" s="542"/>
      <c r="HM174" s="542"/>
      <c r="HN174" s="542"/>
      <c r="HO174" s="542"/>
      <c r="HP174" s="542"/>
      <c r="HQ174" s="542"/>
      <c r="HR174" s="542"/>
      <c r="HS174" s="542"/>
      <c r="HT174" s="542"/>
      <c r="HU174" s="542"/>
      <c r="HV174" s="542"/>
      <c r="HW174" s="542"/>
      <c r="HX174" s="542"/>
      <c r="HY174" s="542"/>
      <c r="HZ174" s="542"/>
      <c r="IA174" s="542"/>
      <c r="IB174" s="542"/>
      <c r="IC174" s="542"/>
      <c r="ID174" s="542"/>
      <c r="IE174" s="542"/>
      <c r="IF174" s="542"/>
      <c r="IG174" s="542"/>
      <c r="IH174" s="542"/>
      <c r="II174" s="542"/>
      <c r="IJ174" s="542"/>
      <c r="IK174" s="542"/>
      <c r="IL174" s="542"/>
      <c r="IM174" s="542"/>
      <c r="IN174" s="542"/>
      <c r="IO174" s="542"/>
      <c r="IP174" s="542"/>
      <c r="IQ174" s="542"/>
      <c r="IR174" s="542"/>
      <c r="IS174" s="542"/>
      <c r="IT174" s="542"/>
      <c r="IU174" s="542"/>
      <c r="IV174" s="542"/>
      <c r="IW174" s="542"/>
      <c r="IX174" s="542"/>
      <c r="IY174" s="542"/>
      <c r="IZ174" s="542"/>
      <c r="JA174" s="542"/>
      <c r="JB174" s="542"/>
    </row>
    <row r="175" spans="55:262" ht="18.899999999999999" customHeight="1">
      <c r="BC175" s="1614"/>
      <c r="BD175" s="1614"/>
      <c r="BE175" s="1614"/>
      <c r="CZ175" s="542"/>
      <c r="DA175" s="542"/>
      <c r="DB175" s="542"/>
      <c r="DC175" s="542"/>
      <c r="DD175" s="542"/>
      <c r="DE175" s="542"/>
      <c r="DF175" s="542"/>
      <c r="DG175" s="542"/>
      <c r="DH175" s="542"/>
      <c r="DI175" s="542"/>
      <c r="DJ175" s="542"/>
      <c r="DK175" s="542"/>
      <c r="DL175" s="542"/>
      <c r="DM175" s="542"/>
      <c r="DN175" s="542"/>
      <c r="DO175" s="542"/>
      <c r="DP175" s="542"/>
      <c r="DQ175" s="542"/>
      <c r="DR175" s="542"/>
      <c r="DS175" s="542"/>
      <c r="DT175" s="542"/>
      <c r="DU175" s="542"/>
      <c r="DV175" s="542"/>
      <c r="DW175" s="542"/>
      <c r="DX175" s="542"/>
      <c r="DY175" s="542"/>
      <c r="DZ175" s="542"/>
      <c r="EA175" s="542"/>
      <c r="EB175" s="542"/>
      <c r="EC175" s="542"/>
      <c r="ED175" s="542"/>
      <c r="EE175" s="542"/>
      <c r="EF175" s="542"/>
      <c r="EG175" s="542"/>
      <c r="EH175" s="542"/>
      <c r="EI175" s="542"/>
      <c r="EJ175" s="542"/>
      <c r="EK175" s="542"/>
      <c r="EL175" s="542"/>
      <c r="EM175" s="542"/>
      <c r="EN175" s="542"/>
      <c r="EO175" s="542"/>
      <c r="EP175" s="542"/>
      <c r="EQ175" s="542"/>
      <c r="ER175" s="542"/>
      <c r="ES175" s="542"/>
      <c r="ET175" s="542"/>
      <c r="EU175" s="542"/>
      <c r="EV175" s="542"/>
      <c r="EW175" s="542"/>
      <c r="EX175" s="542"/>
      <c r="EY175" s="542"/>
      <c r="EZ175" s="542"/>
      <c r="FA175" s="542"/>
      <c r="FB175" s="542"/>
      <c r="FC175" s="542"/>
      <c r="FD175" s="542"/>
      <c r="FE175" s="542"/>
      <c r="FF175" s="542"/>
      <c r="FG175" s="542"/>
      <c r="FH175" s="542"/>
      <c r="FI175" s="542"/>
      <c r="FJ175" s="542"/>
      <c r="FK175" s="542"/>
      <c r="FL175" s="542"/>
      <c r="FM175" s="542"/>
      <c r="FN175" s="542"/>
      <c r="FO175" s="542"/>
      <c r="FP175" s="542"/>
      <c r="FQ175" s="542"/>
      <c r="FR175" s="542"/>
      <c r="FS175" s="542"/>
      <c r="FT175" s="542"/>
      <c r="FU175" s="542"/>
      <c r="FV175" s="542"/>
      <c r="FW175" s="542"/>
      <c r="FX175" s="542"/>
      <c r="FY175" s="542"/>
      <c r="FZ175" s="542"/>
      <c r="GA175" s="542"/>
      <c r="GB175" s="542"/>
      <c r="GC175" s="542"/>
      <c r="GD175" s="542"/>
      <c r="GE175" s="542"/>
      <c r="GF175" s="542"/>
      <c r="GG175" s="542"/>
      <c r="GH175" s="542"/>
      <c r="GI175" s="542"/>
      <c r="GJ175" s="542"/>
      <c r="GK175" s="542"/>
      <c r="GL175" s="542"/>
      <c r="GM175" s="542"/>
      <c r="GN175" s="542"/>
      <c r="GO175" s="542"/>
      <c r="GP175" s="542"/>
      <c r="GQ175" s="542"/>
      <c r="GR175" s="542"/>
      <c r="GS175" s="542"/>
      <c r="GT175" s="542"/>
      <c r="GU175" s="542"/>
      <c r="GV175" s="542"/>
      <c r="GW175" s="542"/>
      <c r="GX175" s="542"/>
      <c r="GY175" s="542"/>
      <c r="GZ175" s="542"/>
      <c r="HA175" s="542"/>
      <c r="HB175" s="542"/>
      <c r="HC175" s="542"/>
      <c r="HD175" s="542"/>
      <c r="HE175" s="542"/>
      <c r="HF175" s="542"/>
      <c r="HG175" s="542"/>
      <c r="HH175" s="542"/>
      <c r="HI175" s="542"/>
      <c r="HJ175" s="542"/>
      <c r="HK175" s="542"/>
      <c r="HL175" s="542"/>
      <c r="HM175" s="542"/>
      <c r="HN175" s="542"/>
      <c r="HO175" s="542"/>
      <c r="HP175" s="542"/>
      <c r="HQ175" s="542"/>
      <c r="HR175" s="542"/>
      <c r="HS175" s="542"/>
      <c r="HT175" s="542"/>
      <c r="HU175" s="542"/>
      <c r="HV175" s="542"/>
      <c r="HW175" s="542"/>
      <c r="HX175" s="542"/>
      <c r="HY175" s="542"/>
      <c r="HZ175" s="542"/>
      <c r="IA175" s="542"/>
      <c r="IB175" s="542"/>
      <c r="IC175" s="542"/>
      <c r="ID175" s="542"/>
      <c r="IE175" s="542"/>
      <c r="IF175" s="542"/>
      <c r="IG175" s="542"/>
      <c r="IH175" s="542"/>
      <c r="II175" s="542"/>
      <c r="IJ175" s="542"/>
      <c r="IK175" s="542"/>
      <c r="IL175" s="542"/>
      <c r="IM175" s="542"/>
      <c r="IN175" s="542"/>
      <c r="IO175" s="542"/>
      <c r="IP175" s="542"/>
      <c r="IQ175" s="542"/>
      <c r="IR175" s="542"/>
      <c r="IS175" s="542"/>
      <c r="IT175" s="542"/>
      <c r="IU175" s="542"/>
      <c r="IV175" s="542"/>
      <c r="IW175" s="542"/>
      <c r="IX175" s="542"/>
      <c r="IY175" s="542"/>
      <c r="IZ175" s="542"/>
      <c r="JA175" s="542"/>
      <c r="JB175" s="542"/>
    </row>
    <row r="176" spans="55:262" ht="18.899999999999999" customHeight="1">
      <c r="BC176" s="1614"/>
      <c r="BD176" s="1614"/>
      <c r="BE176" s="1614"/>
      <c r="CZ176" s="542"/>
      <c r="DA176" s="542"/>
      <c r="DB176" s="542"/>
      <c r="DC176" s="542"/>
      <c r="DD176" s="542"/>
      <c r="DE176" s="542"/>
      <c r="DF176" s="542"/>
      <c r="DG176" s="542"/>
      <c r="DH176" s="542"/>
      <c r="DI176" s="542"/>
      <c r="DJ176" s="542"/>
      <c r="DK176" s="542"/>
      <c r="DL176" s="542"/>
      <c r="DM176" s="542"/>
      <c r="DN176" s="542"/>
      <c r="DO176" s="542"/>
      <c r="DP176" s="542"/>
      <c r="DQ176" s="542"/>
      <c r="DR176" s="542"/>
      <c r="DS176" s="542"/>
      <c r="DT176" s="542"/>
      <c r="DU176" s="542"/>
      <c r="DV176" s="542"/>
      <c r="DW176" s="542"/>
      <c r="DX176" s="542"/>
      <c r="DY176" s="542"/>
      <c r="DZ176" s="542"/>
      <c r="EA176" s="542"/>
      <c r="EB176" s="542"/>
      <c r="EC176" s="542"/>
      <c r="ED176" s="542"/>
      <c r="EE176" s="542"/>
      <c r="EF176" s="542"/>
      <c r="EG176" s="542"/>
      <c r="EH176" s="542"/>
      <c r="EI176" s="542"/>
      <c r="EJ176" s="542"/>
      <c r="EK176" s="542"/>
      <c r="EL176" s="542"/>
      <c r="EM176" s="542"/>
      <c r="EN176" s="542"/>
      <c r="EO176" s="542"/>
      <c r="EP176" s="542"/>
      <c r="EQ176" s="542"/>
      <c r="ER176" s="542"/>
      <c r="ES176" s="542"/>
      <c r="ET176" s="542"/>
      <c r="EU176" s="542"/>
      <c r="EV176" s="542"/>
      <c r="EW176" s="542"/>
      <c r="EX176" s="542"/>
      <c r="EY176" s="542"/>
      <c r="EZ176" s="542"/>
      <c r="FA176" s="542"/>
      <c r="FB176" s="542"/>
      <c r="FC176" s="542"/>
      <c r="FD176" s="542"/>
      <c r="FE176" s="542"/>
      <c r="FF176" s="542"/>
      <c r="FG176" s="542"/>
      <c r="FH176" s="542"/>
      <c r="FI176" s="542"/>
      <c r="FJ176" s="542"/>
      <c r="FK176" s="542"/>
      <c r="FL176" s="542"/>
      <c r="FM176" s="542"/>
      <c r="FN176" s="542"/>
      <c r="FO176" s="542"/>
      <c r="FP176" s="542"/>
      <c r="FQ176" s="542"/>
      <c r="FR176" s="542"/>
      <c r="FS176" s="542"/>
      <c r="FT176" s="542"/>
      <c r="FU176" s="542"/>
      <c r="FV176" s="542"/>
      <c r="FW176" s="542"/>
      <c r="FX176" s="542"/>
      <c r="FY176" s="542"/>
      <c r="FZ176" s="542"/>
      <c r="GA176" s="542"/>
      <c r="GB176" s="542"/>
      <c r="GC176" s="542"/>
      <c r="GD176" s="542"/>
      <c r="GE176" s="542"/>
      <c r="GF176" s="542"/>
      <c r="GG176" s="542"/>
      <c r="GH176" s="542"/>
      <c r="GI176" s="542"/>
      <c r="GJ176" s="542"/>
      <c r="GK176" s="542"/>
      <c r="GL176" s="542"/>
      <c r="GM176" s="542"/>
      <c r="GN176" s="542"/>
      <c r="GO176" s="542"/>
      <c r="GP176" s="542"/>
      <c r="GQ176" s="542"/>
      <c r="GR176" s="542"/>
      <c r="GS176" s="542"/>
      <c r="GT176" s="542"/>
      <c r="GU176" s="542"/>
      <c r="GV176" s="542"/>
      <c r="GW176" s="542"/>
      <c r="GX176" s="542"/>
      <c r="GY176" s="542"/>
      <c r="GZ176" s="542"/>
      <c r="HA176" s="542"/>
      <c r="HB176" s="542"/>
      <c r="HC176" s="542"/>
      <c r="HD176" s="542"/>
      <c r="HE176" s="542"/>
      <c r="HF176" s="542"/>
      <c r="HG176" s="542"/>
      <c r="HH176" s="542"/>
      <c r="HI176" s="542"/>
      <c r="HJ176" s="542"/>
      <c r="HK176" s="542"/>
      <c r="HL176" s="542"/>
      <c r="HM176" s="542"/>
      <c r="HN176" s="542"/>
      <c r="HO176" s="542"/>
      <c r="HP176" s="542"/>
      <c r="HQ176" s="542"/>
      <c r="HR176" s="542"/>
      <c r="HS176" s="542"/>
      <c r="HT176" s="542"/>
      <c r="HU176" s="542"/>
      <c r="HV176" s="542"/>
      <c r="HW176" s="542"/>
      <c r="HX176" s="542"/>
      <c r="HY176" s="542"/>
      <c r="HZ176" s="542"/>
      <c r="IA176" s="542"/>
      <c r="IB176" s="542"/>
      <c r="IC176" s="542"/>
      <c r="ID176" s="542"/>
      <c r="IE176" s="542"/>
      <c r="IF176" s="542"/>
      <c r="IG176" s="542"/>
      <c r="IH176" s="542"/>
      <c r="II176" s="542"/>
      <c r="IJ176" s="542"/>
      <c r="IK176" s="542"/>
      <c r="IL176" s="542"/>
      <c r="IM176" s="542"/>
      <c r="IN176" s="542"/>
      <c r="IO176" s="542"/>
      <c r="IP176" s="542"/>
      <c r="IQ176" s="542"/>
      <c r="IR176" s="542"/>
      <c r="IS176" s="542"/>
      <c r="IT176" s="542"/>
      <c r="IU176" s="542"/>
      <c r="IV176" s="542"/>
      <c r="IW176" s="542"/>
      <c r="IX176" s="542"/>
      <c r="IY176" s="542"/>
      <c r="IZ176" s="542"/>
      <c r="JA176" s="542"/>
      <c r="JB176" s="542"/>
    </row>
    <row r="177" spans="55:262" ht="18.899999999999999" customHeight="1">
      <c r="BC177" s="1614"/>
      <c r="BD177" s="1614"/>
      <c r="BE177" s="1614"/>
      <c r="CZ177" s="542"/>
      <c r="DA177" s="542"/>
      <c r="DB177" s="542"/>
      <c r="DC177" s="542"/>
      <c r="DD177" s="542"/>
      <c r="DE177" s="542"/>
      <c r="DF177" s="542"/>
      <c r="DG177" s="542"/>
      <c r="DH177" s="542"/>
      <c r="DI177" s="542"/>
      <c r="DJ177" s="542"/>
      <c r="DK177" s="542"/>
      <c r="DL177" s="542"/>
      <c r="DM177" s="542"/>
      <c r="DN177" s="542"/>
      <c r="DO177" s="542"/>
      <c r="DP177" s="542"/>
      <c r="DQ177" s="542"/>
      <c r="DR177" s="542"/>
      <c r="DS177" s="542"/>
      <c r="DT177" s="542"/>
      <c r="DU177" s="542"/>
      <c r="DV177" s="542"/>
      <c r="DW177" s="542"/>
      <c r="DX177" s="542"/>
      <c r="DY177" s="542"/>
      <c r="DZ177" s="542"/>
      <c r="EA177" s="542"/>
      <c r="EB177" s="542"/>
      <c r="EC177" s="542"/>
      <c r="ED177" s="542"/>
      <c r="EE177" s="542"/>
      <c r="EF177" s="542"/>
      <c r="EG177" s="542"/>
      <c r="EH177" s="542"/>
      <c r="EI177" s="542"/>
      <c r="EJ177" s="542"/>
      <c r="EK177" s="542"/>
      <c r="EL177" s="542"/>
      <c r="EM177" s="542"/>
      <c r="EN177" s="542"/>
      <c r="EO177" s="542"/>
      <c r="EP177" s="542"/>
      <c r="EQ177" s="542"/>
      <c r="ER177" s="542"/>
      <c r="ES177" s="542"/>
      <c r="ET177" s="542"/>
      <c r="EU177" s="542"/>
      <c r="EV177" s="542"/>
      <c r="EW177" s="542"/>
      <c r="EX177" s="542"/>
      <c r="EY177" s="542"/>
      <c r="EZ177" s="542"/>
      <c r="FA177" s="542"/>
      <c r="FB177" s="542"/>
      <c r="FC177" s="542"/>
      <c r="FD177" s="542"/>
      <c r="FE177" s="542"/>
      <c r="FF177" s="542"/>
      <c r="FG177" s="542"/>
      <c r="FH177" s="542"/>
      <c r="FI177" s="542"/>
      <c r="FJ177" s="542"/>
      <c r="FK177" s="542"/>
      <c r="FL177" s="542"/>
      <c r="FM177" s="542"/>
      <c r="FN177" s="542"/>
      <c r="FO177" s="542"/>
      <c r="FP177" s="542"/>
      <c r="FQ177" s="542"/>
      <c r="FR177" s="542"/>
      <c r="FS177" s="542"/>
      <c r="FT177" s="542"/>
      <c r="FU177" s="542"/>
      <c r="FV177" s="542"/>
      <c r="FW177" s="542"/>
      <c r="FX177" s="542"/>
      <c r="FY177" s="542"/>
      <c r="FZ177" s="542"/>
      <c r="GA177" s="542"/>
      <c r="GB177" s="542"/>
      <c r="GC177" s="542"/>
      <c r="GD177" s="542"/>
      <c r="GE177" s="542"/>
      <c r="GF177" s="542"/>
      <c r="GG177" s="542"/>
      <c r="GH177" s="542"/>
      <c r="GI177" s="542"/>
      <c r="GJ177" s="542"/>
      <c r="GK177" s="542"/>
      <c r="GL177" s="542"/>
      <c r="GM177" s="542"/>
      <c r="GN177" s="542"/>
      <c r="GO177" s="542"/>
      <c r="GP177" s="542"/>
      <c r="GQ177" s="542"/>
      <c r="GR177" s="542"/>
      <c r="GS177" s="542"/>
      <c r="GT177" s="542"/>
      <c r="GU177" s="542"/>
      <c r="GV177" s="542"/>
      <c r="GW177" s="542"/>
      <c r="GX177" s="542"/>
      <c r="GY177" s="542"/>
      <c r="GZ177" s="542"/>
      <c r="HA177" s="542"/>
      <c r="HB177" s="542"/>
      <c r="HC177" s="542"/>
      <c r="HD177" s="542"/>
      <c r="HE177" s="542"/>
      <c r="HF177" s="542"/>
      <c r="HG177" s="542"/>
      <c r="HH177" s="542"/>
      <c r="HI177" s="542"/>
      <c r="HJ177" s="542"/>
      <c r="HK177" s="542"/>
      <c r="HL177" s="542"/>
      <c r="HM177" s="542"/>
      <c r="HN177" s="542"/>
      <c r="HO177" s="542"/>
      <c r="HP177" s="542"/>
      <c r="HQ177" s="542"/>
      <c r="HR177" s="542"/>
      <c r="HS177" s="542"/>
      <c r="HT177" s="542"/>
      <c r="HU177" s="542"/>
      <c r="HV177" s="542"/>
      <c r="HW177" s="542"/>
      <c r="HX177" s="542"/>
      <c r="HY177" s="542"/>
      <c r="HZ177" s="542"/>
      <c r="IA177" s="542"/>
      <c r="IB177" s="542"/>
      <c r="IC177" s="542"/>
      <c r="ID177" s="542"/>
      <c r="IE177" s="542"/>
      <c r="IF177" s="542"/>
      <c r="IG177" s="542"/>
      <c r="IH177" s="542"/>
      <c r="II177" s="542"/>
      <c r="IJ177" s="542"/>
      <c r="IK177" s="542"/>
      <c r="IL177" s="542"/>
      <c r="IM177" s="542"/>
      <c r="IN177" s="542"/>
      <c r="IO177" s="542"/>
      <c r="IP177" s="542"/>
      <c r="IQ177" s="542"/>
      <c r="IR177" s="542"/>
      <c r="IS177" s="542"/>
      <c r="IT177" s="542"/>
      <c r="IU177" s="542"/>
      <c r="IV177" s="542"/>
      <c r="IW177" s="542"/>
      <c r="IX177" s="542"/>
      <c r="IY177" s="542"/>
      <c r="IZ177" s="542"/>
      <c r="JA177" s="542"/>
      <c r="JB177" s="542"/>
    </row>
    <row r="178" spans="55:262" ht="18.899999999999999" customHeight="1">
      <c r="BC178" s="1614"/>
      <c r="BD178" s="1614"/>
      <c r="BE178" s="1614"/>
      <c r="CZ178" s="542"/>
      <c r="DA178" s="542"/>
      <c r="DB178" s="542"/>
      <c r="DC178" s="542"/>
      <c r="DD178" s="542"/>
      <c r="DE178" s="542"/>
      <c r="DF178" s="542"/>
      <c r="DG178" s="542"/>
      <c r="DH178" s="542"/>
      <c r="DI178" s="542"/>
      <c r="DJ178" s="542"/>
      <c r="DK178" s="542"/>
      <c r="DL178" s="542"/>
      <c r="DM178" s="542"/>
      <c r="DN178" s="542"/>
      <c r="DO178" s="542"/>
      <c r="DP178" s="542"/>
      <c r="DQ178" s="542"/>
      <c r="DR178" s="542"/>
      <c r="DS178" s="542"/>
      <c r="DT178" s="542"/>
      <c r="DU178" s="542"/>
      <c r="DV178" s="542"/>
      <c r="DW178" s="542"/>
      <c r="DX178" s="542"/>
      <c r="DY178" s="542"/>
      <c r="DZ178" s="542"/>
      <c r="EA178" s="542"/>
      <c r="EB178" s="542"/>
      <c r="EC178" s="542"/>
      <c r="ED178" s="542"/>
      <c r="EE178" s="542"/>
      <c r="EF178" s="542"/>
      <c r="EG178" s="542"/>
      <c r="EH178" s="542"/>
      <c r="EI178" s="542"/>
      <c r="EJ178" s="542"/>
      <c r="EK178" s="542"/>
      <c r="EL178" s="542"/>
      <c r="EM178" s="542"/>
      <c r="EN178" s="542"/>
      <c r="EO178" s="542"/>
      <c r="EP178" s="542"/>
      <c r="EQ178" s="542"/>
      <c r="ER178" s="542"/>
      <c r="ES178" s="542"/>
      <c r="ET178" s="542"/>
      <c r="EU178" s="542"/>
      <c r="EV178" s="542"/>
      <c r="EW178" s="542"/>
      <c r="EX178" s="542"/>
      <c r="EY178" s="542"/>
      <c r="EZ178" s="542"/>
      <c r="FA178" s="542"/>
      <c r="FB178" s="542"/>
      <c r="FC178" s="542"/>
      <c r="FD178" s="542"/>
      <c r="FE178" s="542"/>
      <c r="FF178" s="542"/>
      <c r="FG178" s="542"/>
      <c r="FH178" s="542"/>
      <c r="FI178" s="542"/>
      <c r="FJ178" s="542"/>
      <c r="FK178" s="542"/>
      <c r="FL178" s="542"/>
      <c r="FM178" s="542"/>
      <c r="FN178" s="542"/>
      <c r="FO178" s="542"/>
      <c r="FP178" s="542"/>
      <c r="FQ178" s="542"/>
      <c r="FR178" s="542"/>
      <c r="FS178" s="542"/>
      <c r="FT178" s="542"/>
      <c r="FU178" s="542"/>
      <c r="FV178" s="542"/>
      <c r="FW178" s="542"/>
      <c r="FX178" s="542"/>
      <c r="FY178" s="542"/>
      <c r="FZ178" s="542"/>
      <c r="GA178" s="542"/>
      <c r="GB178" s="542"/>
      <c r="GC178" s="542"/>
      <c r="GD178" s="542"/>
      <c r="GE178" s="542"/>
      <c r="GF178" s="542"/>
      <c r="GG178" s="542"/>
      <c r="GH178" s="542"/>
      <c r="GI178" s="542"/>
      <c r="GJ178" s="542"/>
      <c r="GK178" s="542"/>
      <c r="GL178" s="542"/>
      <c r="GM178" s="542"/>
      <c r="GN178" s="542"/>
      <c r="GO178" s="542"/>
      <c r="GP178" s="542"/>
      <c r="GQ178" s="542"/>
      <c r="GR178" s="542"/>
      <c r="GS178" s="542"/>
      <c r="GT178" s="542"/>
      <c r="GU178" s="542"/>
      <c r="GV178" s="542"/>
      <c r="GW178" s="542"/>
      <c r="GX178" s="542"/>
      <c r="GY178" s="542"/>
      <c r="GZ178" s="542"/>
      <c r="HA178" s="542"/>
      <c r="HB178" s="542"/>
      <c r="HC178" s="542"/>
      <c r="HD178" s="542"/>
      <c r="HE178" s="542"/>
      <c r="HF178" s="542"/>
      <c r="HG178" s="542"/>
      <c r="HH178" s="542"/>
      <c r="HI178" s="542"/>
      <c r="HJ178" s="542"/>
      <c r="HK178" s="542"/>
      <c r="HL178" s="542"/>
      <c r="HM178" s="542"/>
      <c r="HN178" s="542"/>
      <c r="HO178" s="542"/>
      <c r="HP178" s="542"/>
      <c r="HQ178" s="542"/>
      <c r="HR178" s="542"/>
      <c r="HS178" s="542"/>
      <c r="HT178" s="542"/>
      <c r="HU178" s="542"/>
      <c r="HV178" s="542"/>
      <c r="HW178" s="542"/>
      <c r="HX178" s="542"/>
      <c r="HY178" s="542"/>
      <c r="HZ178" s="542"/>
      <c r="IA178" s="542"/>
      <c r="IB178" s="542"/>
      <c r="IC178" s="542"/>
      <c r="ID178" s="542"/>
      <c r="IE178" s="542"/>
      <c r="IF178" s="542"/>
      <c r="IG178" s="542"/>
      <c r="IH178" s="542"/>
      <c r="II178" s="542"/>
      <c r="IJ178" s="542"/>
      <c r="IK178" s="542"/>
      <c r="IL178" s="542"/>
      <c r="IM178" s="542"/>
      <c r="IN178" s="542"/>
      <c r="IO178" s="542"/>
      <c r="IP178" s="542"/>
      <c r="IQ178" s="542"/>
      <c r="IR178" s="542"/>
      <c r="IS178" s="542"/>
      <c r="IT178" s="542"/>
      <c r="IU178" s="542"/>
      <c r="IV178" s="542"/>
      <c r="IW178" s="542"/>
      <c r="IX178" s="542"/>
      <c r="IY178" s="542"/>
      <c r="IZ178" s="542"/>
      <c r="JA178" s="542"/>
      <c r="JB178" s="542"/>
    </row>
    <row r="179" spans="55:262" ht="18.899999999999999" customHeight="1">
      <c r="BC179" s="1614"/>
      <c r="BD179" s="1614"/>
      <c r="BE179" s="1614"/>
      <c r="CZ179" s="542"/>
      <c r="DA179" s="542"/>
      <c r="DB179" s="542"/>
      <c r="DC179" s="542"/>
      <c r="DD179" s="542"/>
      <c r="DE179" s="542"/>
      <c r="DF179" s="542"/>
      <c r="DG179" s="542"/>
      <c r="DH179" s="542"/>
      <c r="DI179" s="542"/>
      <c r="DJ179" s="542"/>
      <c r="DK179" s="542"/>
      <c r="DL179" s="542"/>
      <c r="DM179" s="542"/>
      <c r="DN179" s="542"/>
      <c r="DO179" s="542"/>
      <c r="DP179" s="542"/>
      <c r="DQ179" s="542"/>
      <c r="DR179" s="542"/>
      <c r="DS179" s="542"/>
      <c r="DT179" s="542"/>
      <c r="DU179" s="542"/>
      <c r="DV179" s="542"/>
      <c r="DW179" s="542"/>
      <c r="DX179" s="542"/>
      <c r="DY179" s="542"/>
      <c r="DZ179" s="542"/>
      <c r="EA179" s="542"/>
      <c r="EB179" s="542"/>
      <c r="EC179" s="542"/>
      <c r="ED179" s="542"/>
      <c r="EE179" s="542"/>
      <c r="EF179" s="542"/>
      <c r="EG179" s="542"/>
      <c r="EH179" s="542"/>
      <c r="EI179" s="542"/>
      <c r="EJ179" s="542"/>
      <c r="EK179" s="542"/>
      <c r="EL179" s="542"/>
      <c r="EM179" s="542"/>
      <c r="EN179" s="542"/>
      <c r="EO179" s="542"/>
      <c r="EP179" s="542"/>
      <c r="EQ179" s="542"/>
      <c r="ER179" s="542"/>
      <c r="ES179" s="542"/>
      <c r="ET179" s="542"/>
      <c r="EU179" s="542"/>
      <c r="EV179" s="542"/>
      <c r="EW179" s="542"/>
      <c r="EX179" s="542"/>
      <c r="EY179" s="542"/>
      <c r="EZ179" s="542"/>
      <c r="FA179" s="542"/>
      <c r="FB179" s="542"/>
      <c r="FC179" s="542"/>
      <c r="FD179" s="542"/>
      <c r="FE179" s="542"/>
      <c r="FF179" s="542"/>
      <c r="FG179" s="542"/>
      <c r="FH179" s="542"/>
      <c r="FI179" s="542"/>
      <c r="FJ179" s="542"/>
      <c r="FK179" s="542"/>
      <c r="FL179" s="542"/>
      <c r="FM179" s="542"/>
      <c r="FN179" s="542"/>
      <c r="FO179" s="542"/>
      <c r="FP179" s="542"/>
      <c r="FQ179" s="542"/>
      <c r="FR179" s="542"/>
      <c r="FS179" s="542"/>
      <c r="FT179" s="542"/>
      <c r="FU179" s="542"/>
      <c r="FV179" s="542"/>
      <c r="FW179" s="542"/>
      <c r="FX179" s="542"/>
      <c r="FY179" s="542"/>
      <c r="FZ179" s="542"/>
      <c r="GA179" s="542"/>
      <c r="GB179" s="542"/>
      <c r="GC179" s="542"/>
      <c r="GD179" s="542"/>
      <c r="GE179" s="542"/>
      <c r="GF179" s="542"/>
      <c r="GG179" s="542"/>
      <c r="GH179" s="542"/>
      <c r="GI179" s="542"/>
      <c r="GJ179" s="542"/>
      <c r="GK179" s="542"/>
      <c r="GL179" s="542"/>
      <c r="GM179" s="542"/>
      <c r="GN179" s="542"/>
      <c r="GO179" s="542"/>
      <c r="GP179" s="542"/>
      <c r="GQ179" s="542"/>
      <c r="GR179" s="542"/>
      <c r="GS179" s="542"/>
      <c r="GT179" s="542"/>
      <c r="GU179" s="542"/>
      <c r="GV179" s="542"/>
      <c r="GW179" s="542"/>
      <c r="GX179" s="542"/>
      <c r="GY179" s="542"/>
      <c r="GZ179" s="542"/>
      <c r="HA179" s="542"/>
      <c r="HB179" s="542"/>
      <c r="HC179" s="542"/>
      <c r="HD179" s="542"/>
      <c r="HE179" s="542"/>
      <c r="HF179" s="542"/>
      <c r="HG179" s="542"/>
      <c r="HH179" s="542"/>
      <c r="HI179" s="542"/>
      <c r="HJ179" s="542"/>
      <c r="HK179" s="542"/>
      <c r="HL179" s="542"/>
      <c r="HM179" s="542"/>
      <c r="HN179" s="542"/>
      <c r="HO179" s="542"/>
      <c r="HP179" s="542"/>
      <c r="HQ179" s="542"/>
      <c r="HR179" s="542"/>
      <c r="HS179" s="542"/>
      <c r="HT179" s="542"/>
      <c r="HU179" s="542"/>
      <c r="HV179" s="542"/>
      <c r="HW179" s="542"/>
      <c r="HX179" s="542"/>
      <c r="HY179" s="542"/>
      <c r="HZ179" s="542"/>
      <c r="IA179" s="542"/>
      <c r="IB179" s="542"/>
      <c r="IC179" s="542"/>
      <c r="ID179" s="542"/>
      <c r="IE179" s="542"/>
      <c r="IF179" s="542"/>
      <c r="IG179" s="542"/>
      <c r="IH179" s="542"/>
      <c r="II179" s="542"/>
      <c r="IJ179" s="542"/>
      <c r="IK179" s="542"/>
      <c r="IL179" s="542"/>
      <c r="IM179" s="542"/>
      <c r="IN179" s="542"/>
      <c r="IO179" s="542"/>
      <c r="IP179" s="542"/>
      <c r="IQ179" s="542"/>
      <c r="IR179" s="542"/>
      <c r="IS179" s="542"/>
      <c r="IT179" s="542"/>
      <c r="IU179" s="542"/>
      <c r="IV179" s="542"/>
      <c r="IW179" s="542"/>
      <c r="IX179" s="542"/>
      <c r="IY179" s="542"/>
      <c r="IZ179" s="542"/>
      <c r="JA179" s="542"/>
      <c r="JB179" s="542"/>
    </row>
    <row r="180" spans="55:262" ht="18.899999999999999" customHeight="1">
      <c r="BC180" s="1614"/>
      <c r="BD180" s="1614"/>
      <c r="BE180" s="1614"/>
      <c r="CZ180" s="542"/>
      <c r="DA180" s="542"/>
      <c r="DB180" s="542"/>
      <c r="DC180" s="542"/>
      <c r="DD180" s="542"/>
      <c r="DE180" s="542"/>
      <c r="DF180" s="542"/>
      <c r="DG180" s="542"/>
      <c r="DH180" s="542"/>
      <c r="DI180" s="542"/>
      <c r="DJ180" s="542"/>
      <c r="DK180" s="542"/>
      <c r="DL180" s="542"/>
      <c r="DM180" s="542"/>
      <c r="DN180" s="542"/>
      <c r="DO180" s="542"/>
      <c r="DP180" s="542"/>
      <c r="DQ180" s="542"/>
      <c r="DR180" s="542"/>
      <c r="DS180" s="542"/>
      <c r="DT180" s="542"/>
      <c r="DU180" s="542"/>
      <c r="DV180" s="542"/>
      <c r="DW180" s="542"/>
      <c r="DX180" s="542"/>
      <c r="DY180" s="542"/>
      <c r="DZ180" s="542"/>
      <c r="EA180" s="542"/>
      <c r="EB180" s="542"/>
      <c r="EC180" s="542"/>
      <c r="ED180" s="542"/>
      <c r="EE180" s="542"/>
      <c r="EF180" s="542"/>
      <c r="EG180" s="542"/>
      <c r="EH180" s="542"/>
      <c r="EI180" s="542"/>
      <c r="EJ180" s="542"/>
      <c r="EK180" s="542"/>
      <c r="EL180" s="542"/>
      <c r="EM180" s="542"/>
      <c r="EN180" s="542"/>
      <c r="EO180" s="542"/>
      <c r="EP180" s="542"/>
      <c r="EQ180" s="542"/>
      <c r="ER180" s="542"/>
      <c r="ES180" s="542"/>
      <c r="ET180" s="542"/>
      <c r="EU180" s="542"/>
      <c r="EV180" s="542"/>
      <c r="EW180" s="542"/>
      <c r="EX180" s="542"/>
      <c r="EY180" s="542"/>
      <c r="EZ180" s="542"/>
      <c r="FA180" s="542"/>
      <c r="FB180" s="542"/>
      <c r="FC180" s="542"/>
      <c r="FD180" s="542"/>
      <c r="FE180" s="542"/>
      <c r="FF180" s="542"/>
      <c r="FG180" s="542"/>
      <c r="FH180" s="542"/>
      <c r="FI180" s="542"/>
      <c r="FJ180" s="542"/>
      <c r="FK180" s="542"/>
      <c r="FL180" s="542"/>
      <c r="FM180" s="542"/>
      <c r="FN180" s="542"/>
      <c r="FO180" s="542"/>
      <c r="FP180" s="542"/>
      <c r="FQ180" s="542"/>
      <c r="FR180" s="542"/>
      <c r="FS180" s="542"/>
      <c r="FT180" s="542"/>
      <c r="FU180" s="542"/>
      <c r="FV180" s="542"/>
      <c r="FW180" s="542"/>
      <c r="FX180" s="542"/>
      <c r="FY180" s="542"/>
      <c r="FZ180" s="542"/>
      <c r="GA180" s="542"/>
      <c r="GB180" s="542"/>
      <c r="GC180" s="542"/>
      <c r="GD180" s="542"/>
      <c r="GE180" s="542"/>
      <c r="GF180" s="542"/>
      <c r="GG180" s="542"/>
      <c r="GH180" s="542"/>
      <c r="GI180" s="542"/>
      <c r="GJ180" s="542"/>
      <c r="GK180" s="542"/>
      <c r="GL180" s="542"/>
      <c r="GM180" s="542"/>
      <c r="GN180" s="542"/>
      <c r="GO180" s="542"/>
      <c r="GP180" s="542"/>
      <c r="GQ180" s="542"/>
      <c r="GR180" s="542"/>
      <c r="GS180" s="542"/>
      <c r="GT180" s="542"/>
      <c r="GU180" s="542"/>
      <c r="GV180" s="542"/>
      <c r="GW180" s="542"/>
      <c r="GX180" s="542"/>
      <c r="GY180" s="542"/>
      <c r="GZ180" s="542"/>
      <c r="HA180" s="542"/>
      <c r="HB180" s="542"/>
      <c r="HC180" s="542"/>
      <c r="HD180" s="542"/>
      <c r="HE180" s="542"/>
      <c r="HF180" s="542"/>
      <c r="HG180" s="542"/>
      <c r="HH180" s="542"/>
      <c r="HI180" s="542"/>
      <c r="HJ180" s="542"/>
      <c r="HK180" s="542"/>
      <c r="HL180" s="542"/>
      <c r="HM180" s="542"/>
      <c r="HN180" s="542"/>
      <c r="HO180" s="542"/>
      <c r="HP180" s="542"/>
      <c r="HQ180" s="542"/>
      <c r="HR180" s="542"/>
      <c r="HS180" s="542"/>
      <c r="HT180" s="542"/>
      <c r="HU180" s="542"/>
      <c r="HV180" s="542"/>
      <c r="HW180" s="542"/>
      <c r="HX180" s="542"/>
      <c r="HY180" s="542"/>
      <c r="HZ180" s="542"/>
      <c r="IA180" s="542"/>
      <c r="IB180" s="542"/>
      <c r="IC180" s="542"/>
      <c r="ID180" s="542"/>
      <c r="IE180" s="542"/>
      <c r="IF180" s="542"/>
      <c r="IG180" s="542"/>
      <c r="IH180" s="542"/>
      <c r="II180" s="542"/>
      <c r="IJ180" s="542"/>
      <c r="IK180" s="542"/>
      <c r="IL180" s="542"/>
      <c r="IM180" s="542"/>
      <c r="IN180" s="542"/>
      <c r="IO180" s="542"/>
      <c r="IP180" s="542"/>
      <c r="IQ180" s="542"/>
      <c r="IR180" s="542"/>
      <c r="IS180" s="542"/>
      <c r="IT180" s="542"/>
      <c r="IU180" s="542"/>
      <c r="IV180" s="542"/>
      <c r="IW180" s="542"/>
      <c r="IX180" s="542"/>
      <c r="IY180" s="542"/>
      <c r="IZ180" s="542"/>
      <c r="JA180" s="542"/>
      <c r="JB180" s="542"/>
    </row>
    <row r="181" spans="55:262" ht="18.899999999999999" customHeight="1">
      <c r="BC181" s="1614"/>
      <c r="BD181" s="1614"/>
      <c r="BE181" s="1614"/>
      <c r="CZ181" s="542"/>
      <c r="DA181" s="542"/>
      <c r="DB181" s="542"/>
      <c r="DC181" s="542"/>
      <c r="DD181" s="542"/>
      <c r="DE181" s="542"/>
      <c r="DF181" s="542"/>
      <c r="DG181" s="542"/>
      <c r="DH181" s="542"/>
      <c r="DI181" s="542"/>
      <c r="DJ181" s="542"/>
      <c r="DK181" s="542"/>
      <c r="DL181" s="542"/>
      <c r="DM181" s="542"/>
      <c r="DN181" s="542"/>
      <c r="DO181" s="542"/>
      <c r="DP181" s="542"/>
      <c r="DQ181" s="542"/>
      <c r="DR181" s="542"/>
      <c r="DS181" s="542"/>
      <c r="DT181" s="542"/>
      <c r="DU181" s="542"/>
      <c r="DV181" s="542"/>
      <c r="DW181" s="542"/>
      <c r="DX181" s="542"/>
      <c r="DY181" s="542"/>
      <c r="DZ181" s="542"/>
      <c r="EA181" s="542"/>
      <c r="EB181" s="542"/>
      <c r="EC181" s="542"/>
      <c r="ED181" s="542"/>
      <c r="EE181" s="542"/>
      <c r="EF181" s="542"/>
      <c r="EG181" s="542"/>
      <c r="EH181" s="542"/>
      <c r="EI181" s="542"/>
      <c r="EJ181" s="542"/>
      <c r="EK181" s="542"/>
      <c r="EL181" s="542"/>
      <c r="EM181" s="542"/>
      <c r="EN181" s="542"/>
      <c r="EO181" s="542"/>
      <c r="EP181" s="542"/>
      <c r="EQ181" s="542"/>
      <c r="ER181" s="542"/>
      <c r="ES181" s="542"/>
      <c r="ET181" s="542"/>
      <c r="EU181" s="542"/>
      <c r="EV181" s="542"/>
      <c r="EW181" s="542"/>
      <c r="EX181" s="542"/>
      <c r="EY181" s="542"/>
      <c r="EZ181" s="542"/>
      <c r="FA181" s="542"/>
      <c r="FB181" s="542"/>
      <c r="FC181" s="542"/>
      <c r="FD181" s="542"/>
      <c r="FE181" s="542"/>
      <c r="FF181" s="542"/>
      <c r="FG181" s="542"/>
      <c r="FH181" s="542"/>
      <c r="FI181" s="542"/>
      <c r="FJ181" s="542"/>
      <c r="FK181" s="542"/>
      <c r="FL181" s="542"/>
      <c r="FM181" s="542"/>
      <c r="FN181" s="542"/>
      <c r="FO181" s="542"/>
      <c r="FP181" s="542"/>
      <c r="FQ181" s="542"/>
      <c r="FR181" s="542"/>
      <c r="FS181" s="542"/>
      <c r="FT181" s="542"/>
      <c r="FU181" s="542"/>
      <c r="FV181" s="542"/>
      <c r="FW181" s="542"/>
      <c r="FX181" s="542"/>
      <c r="FY181" s="542"/>
      <c r="FZ181" s="542"/>
      <c r="GA181" s="542"/>
      <c r="GB181" s="542"/>
      <c r="GC181" s="542"/>
      <c r="GD181" s="542"/>
      <c r="GE181" s="542"/>
      <c r="GF181" s="542"/>
      <c r="GG181" s="542"/>
      <c r="GH181" s="542"/>
      <c r="GI181" s="542"/>
      <c r="GJ181" s="542"/>
      <c r="GK181" s="542"/>
      <c r="GL181" s="542"/>
      <c r="GM181" s="542"/>
      <c r="GN181" s="542"/>
      <c r="GO181" s="542"/>
      <c r="GP181" s="542"/>
      <c r="GQ181" s="542"/>
      <c r="GR181" s="542"/>
      <c r="GS181" s="542"/>
      <c r="GT181" s="542"/>
      <c r="GU181" s="542"/>
      <c r="GV181" s="542"/>
      <c r="GW181" s="542"/>
      <c r="GX181" s="542"/>
      <c r="GY181" s="542"/>
      <c r="GZ181" s="542"/>
      <c r="HA181" s="542"/>
      <c r="HB181" s="542"/>
      <c r="HC181" s="542"/>
      <c r="HD181" s="542"/>
      <c r="HE181" s="542"/>
      <c r="HF181" s="542"/>
      <c r="HG181" s="542"/>
      <c r="HH181" s="542"/>
      <c r="HI181" s="542"/>
      <c r="HJ181" s="542"/>
      <c r="HK181" s="542"/>
      <c r="HL181" s="542"/>
      <c r="HM181" s="542"/>
      <c r="HN181" s="542"/>
      <c r="HO181" s="542"/>
      <c r="HP181" s="542"/>
      <c r="HQ181" s="542"/>
      <c r="HR181" s="542"/>
      <c r="HS181" s="542"/>
      <c r="HT181" s="542"/>
      <c r="HU181" s="542"/>
      <c r="HV181" s="542"/>
      <c r="HW181" s="542"/>
      <c r="HX181" s="542"/>
      <c r="HY181" s="542"/>
      <c r="HZ181" s="542"/>
      <c r="IA181" s="542"/>
      <c r="IB181" s="542"/>
      <c r="IC181" s="542"/>
      <c r="ID181" s="542"/>
      <c r="IE181" s="542"/>
      <c r="IF181" s="542"/>
      <c r="IG181" s="542"/>
      <c r="IH181" s="542"/>
      <c r="II181" s="542"/>
      <c r="IJ181" s="542"/>
      <c r="IK181" s="542"/>
      <c r="IL181" s="542"/>
      <c r="IM181" s="542"/>
      <c r="IN181" s="542"/>
      <c r="IO181" s="542"/>
      <c r="IP181" s="542"/>
      <c r="IQ181" s="542"/>
      <c r="IR181" s="542"/>
      <c r="IS181" s="542"/>
      <c r="IT181" s="542"/>
      <c r="IU181" s="542"/>
      <c r="IV181" s="542"/>
      <c r="IW181" s="542"/>
      <c r="IX181" s="542"/>
      <c r="IY181" s="542"/>
      <c r="IZ181" s="542"/>
      <c r="JA181" s="542"/>
      <c r="JB181" s="542"/>
    </row>
    <row r="182" spans="55:262" ht="18.899999999999999" customHeight="1">
      <c r="BC182" s="1614"/>
      <c r="BD182" s="1614"/>
      <c r="BE182" s="1614"/>
      <c r="CZ182" s="542"/>
      <c r="DA182" s="542"/>
      <c r="DB182" s="542"/>
      <c r="DC182" s="542"/>
      <c r="DD182" s="542"/>
      <c r="DE182" s="542"/>
      <c r="DF182" s="542"/>
      <c r="DG182" s="542"/>
      <c r="DH182" s="542"/>
      <c r="DI182" s="542"/>
      <c r="DJ182" s="542"/>
      <c r="DK182" s="542"/>
      <c r="DL182" s="542"/>
      <c r="DM182" s="542"/>
      <c r="DN182" s="542"/>
      <c r="DO182" s="542"/>
      <c r="DP182" s="542"/>
      <c r="DQ182" s="542"/>
      <c r="DR182" s="542"/>
      <c r="DS182" s="542"/>
      <c r="DT182" s="542"/>
      <c r="DU182" s="542"/>
      <c r="DV182" s="542"/>
      <c r="DW182" s="542"/>
      <c r="DX182" s="542"/>
      <c r="DY182" s="542"/>
      <c r="DZ182" s="542"/>
      <c r="EA182" s="542"/>
      <c r="EB182" s="542"/>
      <c r="EC182" s="542"/>
      <c r="ED182" s="542"/>
      <c r="EE182" s="542"/>
      <c r="EF182" s="542"/>
      <c r="EG182" s="542"/>
      <c r="EH182" s="542"/>
      <c r="EI182" s="542"/>
      <c r="EJ182" s="542"/>
      <c r="EK182" s="542"/>
      <c r="EL182" s="542"/>
      <c r="EM182" s="542"/>
      <c r="EN182" s="542"/>
      <c r="EO182" s="542"/>
      <c r="EP182" s="542"/>
      <c r="EQ182" s="542"/>
      <c r="ER182" s="542"/>
      <c r="ES182" s="542"/>
      <c r="ET182" s="542"/>
      <c r="EU182" s="542"/>
      <c r="EV182" s="542"/>
      <c r="EW182" s="542"/>
      <c r="EX182" s="542"/>
      <c r="EY182" s="542"/>
      <c r="EZ182" s="542"/>
      <c r="FA182" s="542"/>
      <c r="FB182" s="542"/>
      <c r="FC182" s="542"/>
      <c r="FD182" s="542"/>
      <c r="FE182" s="542"/>
      <c r="FF182" s="542"/>
      <c r="FG182" s="542"/>
      <c r="FH182" s="542"/>
      <c r="FI182" s="542"/>
      <c r="FJ182" s="542"/>
      <c r="FK182" s="542"/>
      <c r="FL182" s="542"/>
      <c r="FM182" s="542"/>
      <c r="FN182" s="542"/>
      <c r="FO182" s="542"/>
      <c r="FP182" s="542"/>
      <c r="FQ182" s="542"/>
      <c r="FR182" s="542"/>
      <c r="FS182" s="542"/>
      <c r="FT182" s="542"/>
      <c r="FU182" s="542"/>
      <c r="FV182" s="542"/>
      <c r="FW182" s="542"/>
      <c r="FX182" s="542"/>
      <c r="FY182" s="542"/>
      <c r="FZ182" s="542"/>
      <c r="GA182" s="542"/>
      <c r="GB182" s="542"/>
      <c r="GC182" s="542"/>
      <c r="GD182" s="542"/>
      <c r="GE182" s="542"/>
      <c r="GF182" s="542"/>
      <c r="GG182" s="542"/>
      <c r="GH182" s="542"/>
      <c r="GI182" s="542"/>
      <c r="GJ182" s="542"/>
      <c r="GK182" s="542"/>
      <c r="GL182" s="542"/>
      <c r="GM182" s="542"/>
      <c r="GN182" s="542"/>
      <c r="GO182" s="542"/>
      <c r="GP182" s="542"/>
      <c r="GQ182" s="542"/>
      <c r="GR182" s="542"/>
      <c r="GS182" s="542"/>
      <c r="GT182" s="542"/>
      <c r="GU182" s="542"/>
      <c r="GV182" s="542"/>
      <c r="GW182" s="542"/>
      <c r="GX182" s="542"/>
      <c r="GY182" s="542"/>
      <c r="GZ182" s="542"/>
      <c r="HA182" s="542"/>
      <c r="HB182" s="542"/>
      <c r="HC182" s="542"/>
      <c r="HD182" s="542"/>
      <c r="HE182" s="542"/>
      <c r="HF182" s="542"/>
      <c r="HG182" s="542"/>
      <c r="HH182" s="542"/>
      <c r="HI182" s="542"/>
      <c r="HJ182" s="542"/>
      <c r="HK182" s="542"/>
      <c r="HL182" s="542"/>
      <c r="HM182" s="542"/>
      <c r="HN182" s="542"/>
      <c r="HO182" s="542"/>
      <c r="HP182" s="542"/>
      <c r="HQ182" s="542"/>
      <c r="HR182" s="542"/>
      <c r="HS182" s="542"/>
      <c r="HT182" s="542"/>
      <c r="HU182" s="542"/>
      <c r="HV182" s="542"/>
      <c r="HW182" s="542"/>
      <c r="HX182" s="542"/>
      <c r="HY182" s="542"/>
      <c r="HZ182" s="542"/>
      <c r="IA182" s="542"/>
      <c r="IB182" s="542"/>
      <c r="IC182" s="542"/>
      <c r="ID182" s="542"/>
      <c r="IE182" s="542"/>
      <c r="IF182" s="542"/>
      <c r="IG182" s="542"/>
      <c r="IH182" s="542"/>
      <c r="II182" s="542"/>
      <c r="IJ182" s="542"/>
      <c r="IK182" s="542"/>
      <c r="IL182" s="542"/>
      <c r="IM182" s="542"/>
      <c r="IN182" s="542"/>
      <c r="IO182" s="542"/>
      <c r="IP182" s="542"/>
      <c r="IQ182" s="542"/>
      <c r="IR182" s="542"/>
      <c r="IS182" s="542"/>
      <c r="IT182" s="542"/>
      <c r="IU182" s="542"/>
      <c r="IV182" s="542"/>
      <c r="IW182" s="542"/>
      <c r="IX182" s="542"/>
      <c r="IY182" s="542"/>
      <c r="IZ182" s="542"/>
      <c r="JA182" s="542"/>
      <c r="JB182" s="542"/>
    </row>
    <row r="183" spans="55:262" ht="18.899999999999999" customHeight="1">
      <c r="BC183" s="1614"/>
      <c r="BD183" s="1614"/>
      <c r="BE183" s="1614"/>
      <c r="CZ183" s="542"/>
      <c r="DA183" s="542"/>
      <c r="DB183" s="542"/>
      <c r="DC183" s="542"/>
      <c r="DD183" s="542"/>
      <c r="DE183" s="542"/>
      <c r="DF183" s="542"/>
      <c r="DG183" s="542"/>
      <c r="DH183" s="542"/>
      <c r="DI183" s="542"/>
      <c r="DJ183" s="542"/>
      <c r="DK183" s="542"/>
      <c r="DL183" s="542"/>
      <c r="DM183" s="542"/>
      <c r="DN183" s="542"/>
      <c r="DO183" s="542"/>
      <c r="DP183" s="542"/>
      <c r="DQ183" s="542"/>
      <c r="DR183" s="542"/>
      <c r="DS183" s="542"/>
      <c r="DT183" s="542"/>
      <c r="DU183" s="542"/>
      <c r="DV183" s="542"/>
      <c r="DW183" s="542"/>
      <c r="DX183" s="542"/>
      <c r="DY183" s="542"/>
      <c r="DZ183" s="542"/>
      <c r="EA183" s="542"/>
      <c r="EB183" s="542"/>
      <c r="EC183" s="542"/>
      <c r="ED183" s="542"/>
      <c r="EE183" s="542"/>
      <c r="EF183" s="542"/>
      <c r="EG183" s="542"/>
      <c r="EH183" s="542"/>
      <c r="EI183" s="542"/>
      <c r="EJ183" s="542"/>
      <c r="EK183" s="542"/>
      <c r="EL183" s="542"/>
      <c r="EM183" s="542"/>
      <c r="EN183" s="542"/>
      <c r="EO183" s="542"/>
      <c r="EP183" s="542"/>
      <c r="EQ183" s="542"/>
      <c r="ER183" s="542"/>
      <c r="ES183" s="542"/>
      <c r="ET183" s="542"/>
      <c r="EU183" s="542"/>
      <c r="EV183" s="542"/>
      <c r="EW183" s="542"/>
      <c r="EX183" s="542"/>
      <c r="EY183" s="542"/>
      <c r="EZ183" s="542"/>
      <c r="FA183" s="542"/>
      <c r="FB183" s="542"/>
      <c r="FC183" s="542"/>
      <c r="FD183" s="542"/>
      <c r="FE183" s="542"/>
      <c r="FF183" s="542"/>
      <c r="FG183" s="542"/>
      <c r="FH183" s="542"/>
      <c r="FI183" s="542"/>
      <c r="FJ183" s="542"/>
      <c r="FK183" s="542"/>
      <c r="FL183" s="542"/>
      <c r="FM183" s="542"/>
      <c r="FN183" s="542"/>
      <c r="FO183" s="542"/>
      <c r="FP183" s="542"/>
      <c r="FQ183" s="542"/>
      <c r="FR183" s="542"/>
      <c r="FS183" s="542"/>
      <c r="FT183" s="542"/>
      <c r="FU183" s="542"/>
      <c r="FV183" s="542"/>
      <c r="FW183" s="542"/>
      <c r="FX183" s="542"/>
      <c r="FY183" s="542"/>
      <c r="FZ183" s="542"/>
      <c r="GA183" s="542"/>
      <c r="GB183" s="542"/>
      <c r="GC183" s="542"/>
      <c r="GD183" s="542"/>
      <c r="GE183" s="542"/>
      <c r="GF183" s="542"/>
      <c r="GG183" s="542"/>
      <c r="GH183" s="542"/>
      <c r="GI183" s="542"/>
      <c r="GJ183" s="542"/>
      <c r="GK183" s="542"/>
      <c r="GL183" s="542"/>
      <c r="GM183" s="542"/>
      <c r="GN183" s="542"/>
      <c r="GO183" s="542"/>
      <c r="GP183" s="542"/>
      <c r="GQ183" s="542"/>
      <c r="GR183" s="542"/>
      <c r="GS183" s="542"/>
      <c r="GT183" s="542"/>
      <c r="GU183" s="542"/>
      <c r="GV183" s="542"/>
      <c r="GW183" s="542"/>
      <c r="GX183" s="542"/>
      <c r="GY183" s="542"/>
      <c r="GZ183" s="542"/>
      <c r="HA183" s="542"/>
      <c r="HB183" s="542"/>
      <c r="HC183" s="542"/>
      <c r="HD183" s="542"/>
      <c r="HE183" s="542"/>
      <c r="HF183" s="542"/>
      <c r="HG183" s="542"/>
      <c r="HH183" s="542"/>
      <c r="HI183" s="542"/>
      <c r="HJ183" s="542"/>
      <c r="HK183" s="542"/>
      <c r="HL183" s="542"/>
      <c r="HM183" s="542"/>
      <c r="HN183" s="542"/>
      <c r="HO183" s="542"/>
      <c r="HP183" s="542"/>
      <c r="HQ183" s="542"/>
      <c r="HR183" s="542"/>
      <c r="HS183" s="542"/>
      <c r="HT183" s="542"/>
      <c r="HU183" s="542"/>
      <c r="HV183" s="542"/>
      <c r="HW183" s="542"/>
      <c r="HX183" s="542"/>
      <c r="HY183" s="542"/>
      <c r="HZ183" s="542"/>
      <c r="IA183" s="542"/>
      <c r="IB183" s="542"/>
      <c r="IC183" s="542"/>
      <c r="ID183" s="542"/>
      <c r="IE183" s="542"/>
      <c r="IF183" s="542"/>
      <c r="IG183" s="542"/>
      <c r="IH183" s="542"/>
      <c r="II183" s="542"/>
      <c r="IJ183" s="542"/>
      <c r="IK183" s="542"/>
      <c r="IL183" s="542"/>
      <c r="IM183" s="542"/>
      <c r="IN183" s="542"/>
      <c r="IO183" s="542"/>
      <c r="IP183" s="542"/>
      <c r="IQ183" s="542"/>
      <c r="IR183" s="542"/>
      <c r="IS183" s="542"/>
      <c r="IT183" s="542"/>
      <c r="IU183" s="542"/>
      <c r="IV183" s="542"/>
      <c r="IW183" s="542"/>
      <c r="IX183" s="542"/>
      <c r="IY183" s="542"/>
      <c r="IZ183" s="542"/>
      <c r="JA183" s="542"/>
      <c r="JB183" s="542"/>
    </row>
    <row r="184" spans="55:262" ht="18.899999999999999" customHeight="1">
      <c r="BC184" s="1614"/>
      <c r="BD184" s="1614"/>
      <c r="BE184" s="1614"/>
      <c r="CZ184" s="542"/>
      <c r="DA184" s="542"/>
      <c r="DB184" s="542"/>
      <c r="DC184" s="542"/>
      <c r="DD184" s="542"/>
      <c r="DE184" s="542"/>
      <c r="DF184" s="542"/>
      <c r="DG184" s="542"/>
      <c r="DH184" s="542"/>
      <c r="DI184" s="542"/>
      <c r="DJ184" s="542"/>
      <c r="DK184" s="542"/>
      <c r="DL184" s="542"/>
      <c r="DM184" s="542"/>
      <c r="DN184" s="542"/>
      <c r="DO184" s="542"/>
      <c r="DP184" s="542"/>
      <c r="DQ184" s="542"/>
      <c r="DR184" s="542"/>
      <c r="DS184" s="542"/>
      <c r="DT184" s="542"/>
      <c r="DU184" s="542"/>
      <c r="DV184" s="542"/>
      <c r="DW184" s="542"/>
      <c r="DX184" s="542"/>
      <c r="DY184" s="542"/>
      <c r="DZ184" s="542"/>
      <c r="EA184" s="542"/>
      <c r="EB184" s="542"/>
      <c r="EC184" s="542"/>
      <c r="ED184" s="542"/>
      <c r="EE184" s="542"/>
      <c r="EF184" s="542"/>
      <c r="EG184" s="542"/>
      <c r="EH184" s="542"/>
      <c r="EI184" s="542"/>
      <c r="EJ184" s="542"/>
      <c r="EK184" s="542"/>
      <c r="EL184" s="542"/>
      <c r="EM184" s="542"/>
      <c r="EN184" s="542"/>
      <c r="EO184" s="542"/>
      <c r="EP184" s="542"/>
      <c r="EQ184" s="542"/>
      <c r="ER184" s="542"/>
      <c r="ES184" s="542"/>
      <c r="ET184" s="542"/>
      <c r="EU184" s="542"/>
      <c r="EV184" s="542"/>
      <c r="EW184" s="542"/>
      <c r="EX184" s="542"/>
      <c r="EY184" s="542"/>
      <c r="EZ184" s="542"/>
      <c r="FA184" s="542"/>
      <c r="FB184" s="542"/>
      <c r="FC184" s="542"/>
      <c r="FD184" s="542"/>
      <c r="FE184" s="542"/>
      <c r="FF184" s="542"/>
      <c r="FG184" s="542"/>
      <c r="FH184" s="542"/>
      <c r="FI184" s="542"/>
      <c r="FJ184" s="542"/>
      <c r="FK184" s="542"/>
      <c r="FL184" s="542"/>
      <c r="FM184" s="542"/>
      <c r="FN184" s="542"/>
      <c r="FO184" s="542"/>
      <c r="FP184" s="542"/>
      <c r="FQ184" s="542"/>
      <c r="FR184" s="542"/>
      <c r="FS184" s="542"/>
      <c r="FT184" s="542"/>
      <c r="FU184" s="542"/>
      <c r="FV184" s="542"/>
      <c r="FW184" s="542"/>
      <c r="FX184" s="542"/>
      <c r="FY184" s="542"/>
      <c r="FZ184" s="542"/>
      <c r="GA184" s="542"/>
      <c r="GB184" s="542"/>
      <c r="GC184" s="542"/>
      <c r="GD184" s="542"/>
      <c r="GE184" s="542"/>
      <c r="GF184" s="542"/>
      <c r="GG184" s="542"/>
      <c r="GH184" s="542"/>
      <c r="GI184" s="542"/>
      <c r="GJ184" s="542"/>
      <c r="GK184" s="542"/>
      <c r="GL184" s="542"/>
      <c r="GM184" s="542"/>
      <c r="GN184" s="542"/>
      <c r="GO184" s="542"/>
      <c r="GP184" s="542"/>
      <c r="GQ184" s="542"/>
      <c r="GR184" s="542"/>
      <c r="GS184" s="542"/>
      <c r="GT184" s="542"/>
      <c r="GU184" s="542"/>
      <c r="GV184" s="542"/>
      <c r="GW184" s="542"/>
      <c r="GX184" s="542"/>
      <c r="GY184" s="542"/>
      <c r="GZ184" s="542"/>
      <c r="HA184" s="542"/>
      <c r="HB184" s="542"/>
      <c r="HC184" s="542"/>
      <c r="HD184" s="542"/>
      <c r="HE184" s="542"/>
      <c r="HF184" s="542"/>
      <c r="HG184" s="542"/>
      <c r="HH184" s="542"/>
      <c r="HI184" s="542"/>
      <c r="HJ184" s="542"/>
      <c r="HK184" s="542"/>
      <c r="HL184" s="542"/>
      <c r="HM184" s="542"/>
      <c r="HN184" s="542"/>
      <c r="HO184" s="542"/>
      <c r="HP184" s="542"/>
      <c r="HQ184" s="542"/>
      <c r="HR184" s="542"/>
      <c r="HS184" s="542"/>
      <c r="HT184" s="542"/>
      <c r="HU184" s="542"/>
      <c r="HV184" s="542"/>
      <c r="HW184" s="542"/>
      <c r="HX184" s="542"/>
      <c r="HY184" s="542"/>
      <c r="HZ184" s="542"/>
      <c r="IA184" s="542"/>
      <c r="IB184" s="542"/>
      <c r="IC184" s="542"/>
      <c r="ID184" s="542"/>
      <c r="IE184" s="542"/>
      <c r="IF184" s="542"/>
      <c r="IG184" s="542"/>
      <c r="IH184" s="542"/>
      <c r="II184" s="542"/>
      <c r="IJ184" s="542"/>
      <c r="IK184" s="542"/>
      <c r="IL184" s="542"/>
      <c r="IM184" s="542"/>
      <c r="IN184" s="542"/>
      <c r="IO184" s="542"/>
      <c r="IP184" s="542"/>
      <c r="IQ184" s="542"/>
      <c r="IR184" s="542"/>
      <c r="IS184" s="542"/>
      <c r="IT184" s="542"/>
      <c r="IU184" s="542"/>
      <c r="IV184" s="542"/>
      <c r="IW184" s="542"/>
      <c r="IX184" s="542"/>
      <c r="IY184" s="542"/>
      <c r="IZ184" s="542"/>
      <c r="JA184" s="542"/>
      <c r="JB184" s="542"/>
    </row>
    <row r="185" spans="55:262" ht="18.899999999999999" customHeight="1">
      <c r="BC185" s="1614"/>
      <c r="BD185" s="1614"/>
      <c r="BE185" s="1614"/>
      <c r="CZ185" s="542"/>
      <c r="DA185" s="542"/>
      <c r="DB185" s="542"/>
      <c r="DC185" s="542"/>
      <c r="DD185" s="542"/>
      <c r="DE185" s="542"/>
      <c r="DF185" s="542"/>
      <c r="DG185" s="542"/>
      <c r="DH185" s="542"/>
      <c r="DI185" s="542"/>
      <c r="DJ185" s="542"/>
      <c r="DK185" s="542"/>
      <c r="DL185" s="542"/>
      <c r="DM185" s="542"/>
      <c r="DN185" s="542"/>
      <c r="DO185" s="542"/>
      <c r="DP185" s="542"/>
      <c r="DQ185" s="542"/>
      <c r="DR185" s="542"/>
      <c r="DS185" s="542"/>
      <c r="DT185" s="542"/>
      <c r="DU185" s="542"/>
      <c r="DV185" s="542"/>
      <c r="DW185" s="542"/>
      <c r="DX185" s="542"/>
      <c r="DY185" s="542"/>
      <c r="DZ185" s="542"/>
      <c r="EA185" s="542"/>
      <c r="EB185" s="542"/>
      <c r="EC185" s="542"/>
      <c r="ED185" s="542"/>
      <c r="EE185" s="542"/>
      <c r="EF185" s="542"/>
      <c r="EG185" s="542"/>
      <c r="EH185" s="542"/>
      <c r="EI185" s="542"/>
      <c r="EJ185" s="542"/>
      <c r="EK185" s="542"/>
      <c r="EL185" s="542"/>
      <c r="EM185" s="542"/>
      <c r="EN185" s="542"/>
      <c r="EO185" s="542"/>
      <c r="EP185" s="542"/>
      <c r="EQ185" s="542"/>
      <c r="ER185" s="542"/>
      <c r="ES185" s="542"/>
      <c r="ET185" s="542"/>
      <c r="EU185" s="542"/>
      <c r="EV185" s="542"/>
      <c r="EW185" s="542"/>
      <c r="EX185" s="542"/>
      <c r="EY185" s="542"/>
      <c r="EZ185" s="542"/>
      <c r="FA185" s="542"/>
      <c r="FB185" s="542"/>
      <c r="FC185" s="542"/>
      <c r="FD185" s="542"/>
      <c r="FE185" s="542"/>
      <c r="FF185" s="542"/>
      <c r="FG185" s="542"/>
      <c r="FH185" s="542"/>
      <c r="FI185" s="542"/>
      <c r="FJ185" s="542"/>
      <c r="FK185" s="542"/>
      <c r="FL185" s="542"/>
      <c r="FM185" s="542"/>
      <c r="FN185" s="542"/>
      <c r="FO185" s="542"/>
      <c r="FP185" s="542"/>
      <c r="FQ185" s="542"/>
      <c r="FR185" s="542"/>
      <c r="FS185" s="542"/>
      <c r="FT185" s="542"/>
      <c r="FU185" s="542"/>
      <c r="FV185" s="542"/>
      <c r="FW185" s="542"/>
      <c r="FX185" s="542"/>
      <c r="FY185" s="542"/>
      <c r="FZ185" s="542"/>
      <c r="GA185" s="542"/>
      <c r="GB185" s="542"/>
      <c r="GC185" s="542"/>
      <c r="GD185" s="542"/>
      <c r="GE185" s="542"/>
      <c r="GF185" s="542"/>
      <c r="GG185" s="542"/>
      <c r="GH185" s="542"/>
      <c r="GI185" s="542"/>
      <c r="GJ185" s="542"/>
      <c r="GK185" s="542"/>
      <c r="GL185" s="542"/>
      <c r="GM185" s="542"/>
      <c r="GN185" s="542"/>
      <c r="GO185" s="542"/>
      <c r="GP185" s="542"/>
      <c r="GQ185" s="542"/>
      <c r="GR185" s="542"/>
      <c r="GS185" s="542"/>
      <c r="GT185" s="542"/>
      <c r="GU185" s="542"/>
      <c r="GV185" s="542"/>
      <c r="GW185" s="542"/>
      <c r="GX185" s="542"/>
      <c r="GY185" s="542"/>
      <c r="GZ185" s="542"/>
      <c r="HA185" s="542"/>
      <c r="HB185" s="542"/>
      <c r="HC185" s="542"/>
      <c r="HD185" s="542"/>
      <c r="HE185" s="542"/>
      <c r="HF185" s="542"/>
      <c r="HG185" s="542"/>
      <c r="HH185" s="542"/>
      <c r="HI185" s="542"/>
      <c r="HJ185" s="542"/>
      <c r="HK185" s="542"/>
      <c r="HL185" s="542"/>
      <c r="HM185" s="542"/>
      <c r="HN185" s="542"/>
      <c r="HO185" s="542"/>
      <c r="HP185" s="542"/>
      <c r="HQ185" s="542"/>
      <c r="HR185" s="542"/>
      <c r="HS185" s="542"/>
      <c r="HT185" s="542"/>
      <c r="HU185" s="542"/>
      <c r="HV185" s="542"/>
      <c r="HW185" s="542"/>
      <c r="HX185" s="542"/>
      <c r="HY185" s="542"/>
      <c r="HZ185" s="542"/>
      <c r="IA185" s="542"/>
      <c r="IB185" s="542"/>
      <c r="IC185" s="542"/>
      <c r="ID185" s="542"/>
      <c r="IE185" s="542"/>
      <c r="IF185" s="542"/>
      <c r="IG185" s="542"/>
      <c r="IH185" s="542"/>
      <c r="II185" s="542"/>
      <c r="IJ185" s="542"/>
      <c r="IK185" s="542"/>
      <c r="IL185" s="542"/>
      <c r="IM185" s="542"/>
      <c r="IN185" s="542"/>
      <c r="IO185" s="542"/>
      <c r="IP185" s="542"/>
      <c r="IQ185" s="542"/>
      <c r="IR185" s="542"/>
      <c r="IS185" s="542"/>
      <c r="IT185" s="542"/>
      <c r="IU185" s="542"/>
      <c r="IV185" s="542"/>
      <c r="IW185" s="542"/>
      <c r="IX185" s="542"/>
      <c r="IY185" s="542"/>
      <c r="IZ185" s="542"/>
      <c r="JA185" s="542"/>
      <c r="JB185" s="542"/>
    </row>
    <row r="186" spans="55:262" ht="18.899999999999999" customHeight="1">
      <c r="BC186" s="1614"/>
      <c r="BD186" s="1614"/>
      <c r="BE186" s="1614"/>
      <c r="CZ186" s="542"/>
      <c r="DA186" s="542"/>
      <c r="DB186" s="542"/>
      <c r="DC186" s="542"/>
      <c r="DD186" s="542"/>
      <c r="DE186" s="542"/>
      <c r="DF186" s="542"/>
      <c r="DG186" s="542"/>
      <c r="DH186" s="542"/>
      <c r="DI186" s="542"/>
      <c r="DJ186" s="542"/>
      <c r="DK186" s="542"/>
      <c r="DL186" s="542"/>
      <c r="DM186" s="542"/>
      <c r="DN186" s="542"/>
      <c r="DO186" s="542"/>
      <c r="DP186" s="542"/>
      <c r="DQ186" s="542"/>
      <c r="DR186" s="542"/>
      <c r="DS186" s="542"/>
      <c r="DT186" s="542"/>
      <c r="DU186" s="542"/>
      <c r="DV186" s="542"/>
      <c r="DW186" s="542"/>
      <c r="DX186" s="542"/>
      <c r="DY186" s="542"/>
      <c r="DZ186" s="542"/>
      <c r="EA186" s="542"/>
      <c r="EB186" s="542"/>
      <c r="EC186" s="542"/>
      <c r="ED186" s="542"/>
      <c r="EE186" s="542"/>
      <c r="EF186" s="542"/>
      <c r="EG186" s="542"/>
      <c r="EH186" s="542"/>
      <c r="EI186" s="542"/>
      <c r="EJ186" s="542"/>
      <c r="EK186" s="542"/>
      <c r="EL186" s="542"/>
      <c r="EM186" s="542"/>
      <c r="EN186" s="542"/>
      <c r="EO186" s="542"/>
      <c r="EP186" s="542"/>
      <c r="EQ186" s="542"/>
      <c r="ER186" s="542"/>
      <c r="ES186" s="542"/>
      <c r="ET186" s="542"/>
      <c r="EU186" s="542"/>
      <c r="EV186" s="542"/>
      <c r="EW186" s="542"/>
      <c r="EX186" s="542"/>
      <c r="EY186" s="542"/>
      <c r="EZ186" s="542"/>
      <c r="FA186" s="542"/>
      <c r="FB186" s="542"/>
      <c r="FC186" s="542"/>
      <c r="FD186" s="542"/>
      <c r="FE186" s="542"/>
      <c r="FF186" s="542"/>
      <c r="FG186" s="542"/>
      <c r="FH186" s="542"/>
      <c r="FI186" s="542"/>
      <c r="FJ186" s="542"/>
      <c r="FK186" s="542"/>
      <c r="FL186" s="542"/>
      <c r="FM186" s="542"/>
      <c r="FN186" s="542"/>
      <c r="FO186" s="542"/>
      <c r="FP186" s="542"/>
      <c r="FQ186" s="542"/>
      <c r="FR186" s="542"/>
      <c r="FS186" s="542"/>
      <c r="FT186" s="542"/>
      <c r="FU186" s="542"/>
      <c r="FV186" s="542"/>
      <c r="FW186" s="542"/>
      <c r="FX186" s="542"/>
      <c r="FY186" s="542"/>
      <c r="FZ186" s="542"/>
      <c r="GA186" s="542"/>
      <c r="GB186" s="542"/>
      <c r="GC186" s="542"/>
      <c r="GD186" s="542"/>
      <c r="GE186" s="542"/>
      <c r="GF186" s="542"/>
      <c r="GG186" s="542"/>
      <c r="GH186" s="542"/>
      <c r="GI186" s="542"/>
      <c r="GJ186" s="542"/>
      <c r="GK186" s="542"/>
      <c r="GL186" s="542"/>
      <c r="GM186" s="542"/>
      <c r="GN186" s="542"/>
      <c r="GO186" s="542"/>
      <c r="GP186" s="542"/>
      <c r="GQ186" s="542"/>
      <c r="GR186" s="542"/>
      <c r="GS186" s="542"/>
      <c r="GT186" s="542"/>
      <c r="GU186" s="542"/>
      <c r="GV186" s="542"/>
      <c r="GW186" s="542"/>
      <c r="GX186" s="542"/>
      <c r="GY186" s="542"/>
      <c r="GZ186" s="542"/>
      <c r="HA186" s="542"/>
      <c r="HB186" s="542"/>
      <c r="HC186" s="542"/>
      <c r="HD186" s="542"/>
      <c r="HE186" s="542"/>
      <c r="HF186" s="542"/>
      <c r="HG186" s="542"/>
      <c r="HH186" s="542"/>
      <c r="HI186" s="542"/>
      <c r="HJ186" s="542"/>
      <c r="HK186" s="542"/>
      <c r="HL186" s="542"/>
      <c r="HM186" s="542"/>
      <c r="HN186" s="542"/>
      <c r="HO186" s="542"/>
      <c r="HP186" s="542"/>
      <c r="HQ186" s="542"/>
      <c r="HR186" s="542"/>
      <c r="HS186" s="542"/>
      <c r="HT186" s="542"/>
      <c r="HU186" s="542"/>
      <c r="HV186" s="542"/>
      <c r="HW186" s="542"/>
      <c r="HX186" s="542"/>
      <c r="HY186" s="542"/>
      <c r="HZ186" s="542"/>
      <c r="IA186" s="542"/>
      <c r="IB186" s="542"/>
      <c r="IC186" s="542"/>
      <c r="ID186" s="542"/>
      <c r="IE186" s="542"/>
      <c r="IF186" s="542"/>
      <c r="IG186" s="542"/>
      <c r="IH186" s="542"/>
      <c r="II186" s="542"/>
      <c r="IJ186" s="542"/>
      <c r="IK186" s="542"/>
      <c r="IL186" s="542"/>
      <c r="IM186" s="542"/>
      <c r="IN186" s="542"/>
      <c r="IO186" s="542"/>
      <c r="IP186" s="542"/>
      <c r="IQ186" s="542"/>
      <c r="IR186" s="542"/>
      <c r="IS186" s="542"/>
      <c r="IT186" s="542"/>
      <c r="IU186" s="542"/>
      <c r="IV186" s="542"/>
      <c r="IW186" s="542"/>
      <c r="IX186" s="542"/>
      <c r="IY186" s="542"/>
      <c r="IZ186" s="542"/>
      <c r="JA186" s="542"/>
      <c r="JB186" s="542"/>
    </row>
    <row r="187" spans="55:262" ht="18.899999999999999" customHeight="1">
      <c r="BC187" s="1614"/>
      <c r="BD187" s="1614"/>
      <c r="BE187" s="1614"/>
      <c r="CZ187" s="542"/>
      <c r="DA187" s="542"/>
      <c r="DB187" s="542"/>
      <c r="DC187" s="542"/>
      <c r="DD187" s="542"/>
      <c r="DE187" s="542"/>
      <c r="DF187" s="542"/>
      <c r="DG187" s="542"/>
      <c r="DH187" s="542"/>
      <c r="DI187" s="542"/>
      <c r="DJ187" s="542"/>
      <c r="DK187" s="542"/>
      <c r="DL187" s="542"/>
      <c r="DM187" s="542"/>
      <c r="DN187" s="542"/>
      <c r="DO187" s="542"/>
      <c r="DP187" s="542"/>
      <c r="DQ187" s="542"/>
      <c r="DR187" s="542"/>
      <c r="DS187" s="542"/>
      <c r="DT187" s="542"/>
      <c r="DU187" s="542"/>
      <c r="DV187" s="542"/>
      <c r="DW187" s="542"/>
      <c r="DX187" s="542"/>
      <c r="DY187" s="542"/>
      <c r="DZ187" s="542"/>
      <c r="EA187" s="542"/>
      <c r="EB187" s="542"/>
      <c r="EC187" s="542"/>
      <c r="ED187" s="542"/>
      <c r="EE187" s="542"/>
      <c r="EF187" s="542"/>
      <c r="EG187" s="542"/>
      <c r="EH187" s="542"/>
      <c r="EI187" s="542"/>
      <c r="EJ187" s="542"/>
      <c r="EK187" s="542"/>
      <c r="EL187" s="542"/>
      <c r="EM187" s="542"/>
      <c r="EN187" s="542"/>
      <c r="EO187" s="542"/>
      <c r="EP187" s="542"/>
      <c r="EQ187" s="542"/>
      <c r="ER187" s="542"/>
      <c r="ES187" s="542"/>
      <c r="ET187" s="542"/>
      <c r="EU187" s="542"/>
      <c r="EV187" s="542"/>
      <c r="EW187" s="542"/>
      <c r="EX187" s="542"/>
      <c r="EY187" s="542"/>
      <c r="EZ187" s="542"/>
      <c r="FA187" s="542"/>
      <c r="FB187" s="542"/>
      <c r="FC187" s="542"/>
      <c r="FD187" s="542"/>
      <c r="FE187" s="542"/>
      <c r="FF187" s="542"/>
      <c r="FG187" s="542"/>
      <c r="FH187" s="542"/>
      <c r="FI187" s="542"/>
      <c r="FJ187" s="542"/>
      <c r="FK187" s="542"/>
      <c r="FL187" s="542"/>
      <c r="FM187" s="542"/>
      <c r="FN187" s="542"/>
      <c r="FO187" s="542"/>
      <c r="FP187" s="542"/>
      <c r="FQ187" s="542"/>
      <c r="FR187" s="542"/>
      <c r="FS187" s="542"/>
      <c r="FT187" s="542"/>
      <c r="FU187" s="542"/>
      <c r="FV187" s="542"/>
      <c r="FW187" s="542"/>
      <c r="FX187" s="542"/>
      <c r="FY187" s="542"/>
      <c r="FZ187" s="542"/>
      <c r="GA187" s="542"/>
      <c r="GB187" s="542"/>
      <c r="GC187" s="542"/>
      <c r="GD187" s="542"/>
      <c r="GE187" s="542"/>
      <c r="GF187" s="542"/>
      <c r="GG187" s="542"/>
      <c r="GH187" s="542"/>
      <c r="GI187" s="542"/>
      <c r="GJ187" s="542"/>
      <c r="GK187" s="542"/>
      <c r="GL187" s="542"/>
      <c r="GM187" s="542"/>
      <c r="GN187" s="542"/>
      <c r="GO187" s="542"/>
      <c r="GP187" s="542"/>
      <c r="GQ187" s="542"/>
      <c r="GR187" s="542"/>
      <c r="GS187" s="542"/>
      <c r="GT187" s="542"/>
      <c r="GU187" s="542"/>
      <c r="GV187" s="542"/>
      <c r="GW187" s="542"/>
      <c r="GX187" s="542"/>
      <c r="GY187" s="542"/>
      <c r="GZ187" s="542"/>
      <c r="HA187" s="542"/>
      <c r="HB187" s="542"/>
      <c r="HC187" s="542"/>
      <c r="HD187" s="542"/>
      <c r="HE187" s="542"/>
      <c r="HF187" s="542"/>
      <c r="HG187" s="542"/>
      <c r="HH187" s="542"/>
      <c r="HI187" s="542"/>
      <c r="HJ187" s="542"/>
      <c r="HK187" s="542"/>
      <c r="HL187" s="542"/>
      <c r="HM187" s="542"/>
      <c r="HN187" s="542"/>
      <c r="HO187" s="542"/>
      <c r="HP187" s="542"/>
      <c r="HQ187" s="542"/>
      <c r="HR187" s="542"/>
      <c r="HS187" s="542"/>
      <c r="HT187" s="542"/>
      <c r="HU187" s="542"/>
      <c r="HV187" s="542"/>
      <c r="HW187" s="542"/>
      <c r="HX187" s="542"/>
      <c r="HY187" s="542"/>
      <c r="HZ187" s="542"/>
      <c r="IA187" s="542"/>
      <c r="IB187" s="542"/>
      <c r="IC187" s="542"/>
      <c r="ID187" s="542"/>
      <c r="IE187" s="542"/>
      <c r="IF187" s="542"/>
      <c r="IG187" s="542"/>
      <c r="IH187" s="542"/>
      <c r="II187" s="542"/>
      <c r="IJ187" s="542"/>
      <c r="IK187" s="542"/>
      <c r="IL187" s="542"/>
      <c r="IM187" s="542"/>
      <c r="IN187" s="542"/>
      <c r="IO187" s="542"/>
      <c r="IP187" s="542"/>
      <c r="IQ187" s="542"/>
      <c r="IR187" s="542"/>
      <c r="IS187" s="542"/>
      <c r="IT187" s="542"/>
      <c r="IU187" s="542"/>
      <c r="IV187" s="542"/>
      <c r="IW187" s="542"/>
      <c r="IX187" s="542"/>
      <c r="IY187" s="542"/>
      <c r="IZ187" s="542"/>
      <c r="JA187" s="542"/>
      <c r="JB187" s="542"/>
    </row>
    <row r="188" spans="55:262" ht="18.899999999999999" customHeight="1">
      <c r="BC188" s="1614"/>
      <c r="BD188" s="1614"/>
      <c r="BE188" s="1614"/>
      <c r="CZ188" s="542"/>
      <c r="DA188" s="542"/>
      <c r="DB188" s="542"/>
      <c r="DC188" s="542"/>
      <c r="DD188" s="542"/>
      <c r="DE188" s="542"/>
      <c r="DF188" s="542"/>
      <c r="DG188" s="542"/>
      <c r="DH188" s="542"/>
      <c r="DI188" s="542"/>
      <c r="DJ188" s="542"/>
      <c r="DK188" s="542"/>
      <c r="DL188" s="542"/>
      <c r="DM188" s="542"/>
      <c r="DN188" s="542"/>
      <c r="DO188" s="542"/>
      <c r="DP188" s="542"/>
      <c r="DQ188" s="542"/>
      <c r="DR188" s="542"/>
      <c r="DS188" s="542"/>
      <c r="DT188" s="542"/>
      <c r="DU188" s="542"/>
      <c r="DV188" s="542"/>
      <c r="DW188" s="542"/>
      <c r="DX188" s="542"/>
      <c r="DY188" s="542"/>
      <c r="DZ188" s="542"/>
      <c r="EA188" s="542"/>
      <c r="EB188" s="542"/>
      <c r="EC188" s="542"/>
      <c r="ED188" s="542"/>
      <c r="EE188" s="542"/>
      <c r="EF188" s="542"/>
      <c r="EG188" s="542"/>
      <c r="EH188" s="542"/>
      <c r="EI188" s="542"/>
      <c r="EJ188" s="542"/>
      <c r="EK188" s="542"/>
      <c r="EL188" s="542"/>
      <c r="EM188" s="542"/>
      <c r="EN188" s="542"/>
      <c r="EO188" s="542"/>
      <c r="EP188" s="542"/>
      <c r="EQ188" s="542"/>
      <c r="ER188" s="542"/>
      <c r="ES188" s="542"/>
      <c r="ET188" s="542"/>
      <c r="EU188" s="542"/>
      <c r="EV188" s="542"/>
      <c r="EW188" s="542"/>
      <c r="EX188" s="542"/>
      <c r="EY188" s="542"/>
      <c r="EZ188" s="542"/>
      <c r="FA188" s="542"/>
      <c r="FB188" s="542"/>
      <c r="FC188" s="542"/>
      <c r="FD188" s="542"/>
      <c r="FE188" s="542"/>
      <c r="FF188" s="542"/>
      <c r="FG188" s="542"/>
      <c r="FH188" s="542"/>
      <c r="FI188" s="542"/>
      <c r="FJ188" s="542"/>
      <c r="FK188" s="542"/>
      <c r="FL188" s="542"/>
      <c r="FM188" s="542"/>
      <c r="FN188" s="542"/>
      <c r="FO188" s="542"/>
      <c r="FP188" s="542"/>
      <c r="FQ188" s="542"/>
      <c r="FR188" s="542"/>
      <c r="FS188" s="542"/>
      <c r="FT188" s="542"/>
      <c r="FU188" s="542"/>
      <c r="FV188" s="542"/>
      <c r="FW188" s="542"/>
      <c r="FX188" s="542"/>
      <c r="FY188" s="542"/>
      <c r="FZ188" s="542"/>
      <c r="GA188" s="542"/>
      <c r="GB188" s="542"/>
      <c r="GC188" s="542"/>
      <c r="GD188" s="542"/>
      <c r="GE188" s="542"/>
      <c r="GF188" s="542"/>
      <c r="GG188" s="542"/>
      <c r="GH188" s="542"/>
      <c r="GI188" s="542"/>
      <c r="GJ188" s="542"/>
      <c r="GK188" s="542"/>
      <c r="GL188" s="542"/>
      <c r="GM188" s="542"/>
      <c r="GN188" s="542"/>
      <c r="GO188" s="542"/>
      <c r="GP188" s="542"/>
      <c r="GQ188" s="542"/>
      <c r="GR188" s="542"/>
      <c r="GS188" s="542"/>
      <c r="GT188" s="542"/>
      <c r="GU188" s="542"/>
      <c r="GV188" s="542"/>
      <c r="GW188" s="542"/>
      <c r="GX188" s="542"/>
      <c r="GY188" s="542"/>
      <c r="GZ188" s="542"/>
      <c r="HA188" s="542"/>
      <c r="HB188" s="542"/>
      <c r="HC188" s="542"/>
      <c r="HD188" s="542"/>
      <c r="HE188" s="542"/>
      <c r="HF188" s="542"/>
      <c r="HG188" s="542"/>
      <c r="HH188" s="542"/>
      <c r="HI188" s="542"/>
      <c r="HJ188" s="542"/>
      <c r="HK188" s="542"/>
      <c r="HL188" s="542"/>
      <c r="HM188" s="542"/>
      <c r="HN188" s="542"/>
      <c r="HO188" s="542"/>
      <c r="HP188" s="542"/>
      <c r="HQ188" s="542"/>
      <c r="HR188" s="542"/>
      <c r="HS188" s="542"/>
      <c r="HT188" s="542"/>
      <c r="HU188" s="542"/>
      <c r="HV188" s="542"/>
      <c r="HW188" s="542"/>
      <c r="HX188" s="542"/>
      <c r="HY188" s="542"/>
      <c r="HZ188" s="542"/>
      <c r="IA188" s="542"/>
      <c r="IB188" s="542"/>
      <c r="IC188" s="542"/>
      <c r="ID188" s="542"/>
      <c r="IE188" s="542"/>
      <c r="IF188" s="542"/>
      <c r="IG188" s="542"/>
      <c r="IH188" s="542"/>
      <c r="II188" s="542"/>
      <c r="IJ188" s="542"/>
      <c r="IK188" s="542"/>
      <c r="IL188" s="542"/>
      <c r="IM188" s="542"/>
      <c r="IN188" s="542"/>
      <c r="IO188" s="542"/>
      <c r="IP188" s="542"/>
      <c r="IQ188" s="542"/>
      <c r="IR188" s="542"/>
      <c r="IS188" s="542"/>
      <c r="IT188" s="542"/>
      <c r="IU188" s="542"/>
      <c r="IV188" s="542"/>
      <c r="IW188" s="542"/>
      <c r="IX188" s="542"/>
      <c r="IY188" s="542"/>
      <c r="IZ188" s="542"/>
      <c r="JA188" s="542"/>
      <c r="JB188" s="542"/>
    </row>
    <row r="189" spans="55:262" ht="18.899999999999999" customHeight="1">
      <c r="BC189" s="1614"/>
      <c r="BD189" s="1614"/>
      <c r="BE189" s="1614"/>
      <c r="CZ189" s="542"/>
      <c r="DA189" s="542"/>
      <c r="DB189" s="542"/>
      <c r="DC189" s="542"/>
      <c r="DD189" s="542"/>
      <c r="DE189" s="542"/>
      <c r="DF189" s="542"/>
      <c r="DG189" s="542"/>
      <c r="DH189" s="542"/>
      <c r="DI189" s="542"/>
      <c r="DJ189" s="542"/>
      <c r="DK189" s="542"/>
      <c r="DL189" s="542"/>
      <c r="DM189" s="542"/>
      <c r="DN189" s="542"/>
      <c r="DO189" s="542"/>
      <c r="DP189" s="542"/>
      <c r="DQ189" s="542"/>
      <c r="DR189" s="542"/>
      <c r="DS189" s="542"/>
      <c r="DT189" s="542"/>
      <c r="DU189" s="542"/>
      <c r="DV189" s="542"/>
      <c r="DW189" s="542"/>
      <c r="DX189" s="542"/>
      <c r="DY189" s="542"/>
      <c r="DZ189" s="542"/>
      <c r="EA189" s="542"/>
      <c r="EB189" s="542"/>
      <c r="EC189" s="542"/>
      <c r="ED189" s="542"/>
      <c r="EE189" s="542"/>
      <c r="EF189" s="542"/>
      <c r="EG189" s="542"/>
      <c r="EH189" s="542"/>
      <c r="EI189" s="542"/>
      <c r="EJ189" s="542"/>
      <c r="EK189" s="542"/>
      <c r="EL189" s="542"/>
      <c r="EM189" s="542"/>
      <c r="EN189" s="542"/>
      <c r="EO189" s="542"/>
      <c r="EP189" s="542"/>
      <c r="EQ189" s="542"/>
      <c r="ER189" s="542"/>
      <c r="ES189" s="542"/>
      <c r="ET189" s="542"/>
      <c r="EU189" s="542"/>
      <c r="EV189" s="542"/>
      <c r="EW189" s="542"/>
      <c r="EX189" s="542"/>
      <c r="EY189" s="542"/>
      <c r="EZ189" s="542"/>
      <c r="FA189" s="542"/>
      <c r="FB189" s="542"/>
      <c r="FC189" s="542"/>
      <c r="FD189" s="542"/>
      <c r="FE189" s="542"/>
      <c r="FF189" s="542"/>
      <c r="FG189" s="542"/>
      <c r="FH189" s="542"/>
      <c r="FI189" s="542"/>
      <c r="FJ189" s="542"/>
      <c r="FK189" s="542"/>
      <c r="FL189" s="542"/>
      <c r="FM189" s="542"/>
      <c r="FN189" s="542"/>
      <c r="FO189" s="542"/>
      <c r="FP189" s="542"/>
      <c r="FQ189" s="542"/>
      <c r="FR189" s="542"/>
      <c r="FS189" s="542"/>
      <c r="FT189" s="542"/>
      <c r="FU189" s="542"/>
      <c r="FV189" s="542"/>
      <c r="FW189" s="542"/>
      <c r="FX189" s="542"/>
      <c r="FY189" s="542"/>
      <c r="FZ189" s="542"/>
      <c r="GA189" s="542"/>
      <c r="GB189" s="542"/>
      <c r="GC189" s="542"/>
      <c r="GD189" s="542"/>
      <c r="GE189" s="542"/>
      <c r="GF189" s="542"/>
      <c r="GG189" s="542"/>
      <c r="GH189" s="542"/>
      <c r="GI189" s="542"/>
      <c r="GJ189" s="542"/>
      <c r="GK189" s="542"/>
      <c r="GL189" s="542"/>
      <c r="GM189" s="542"/>
      <c r="GN189" s="542"/>
      <c r="GO189" s="542"/>
      <c r="GP189" s="542"/>
      <c r="GQ189" s="542"/>
      <c r="GR189" s="542"/>
      <c r="GS189" s="542"/>
      <c r="GT189" s="542"/>
      <c r="GU189" s="542"/>
      <c r="GV189" s="542"/>
      <c r="GW189" s="542"/>
      <c r="GX189" s="542"/>
      <c r="GY189" s="542"/>
      <c r="GZ189" s="542"/>
      <c r="HA189" s="542"/>
      <c r="HB189" s="542"/>
      <c r="HC189" s="542"/>
      <c r="HD189" s="542"/>
      <c r="HE189" s="542"/>
      <c r="HF189" s="542"/>
      <c r="HG189" s="542"/>
      <c r="HH189" s="542"/>
      <c r="HI189" s="542"/>
      <c r="HJ189" s="542"/>
      <c r="HK189" s="542"/>
      <c r="HL189" s="542"/>
      <c r="HM189" s="542"/>
      <c r="HN189" s="542"/>
      <c r="HO189" s="542"/>
      <c r="HP189" s="542"/>
      <c r="HQ189" s="542"/>
      <c r="HR189" s="542"/>
      <c r="HS189" s="542"/>
      <c r="HT189" s="542"/>
      <c r="HU189" s="542"/>
      <c r="HV189" s="542"/>
      <c r="HW189" s="542"/>
      <c r="HX189" s="542"/>
      <c r="HY189" s="542"/>
      <c r="HZ189" s="542"/>
      <c r="IA189" s="542"/>
      <c r="IB189" s="542"/>
      <c r="IC189" s="542"/>
      <c r="ID189" s="542"/>
      <c r="IE189" s="542"/>
      <c r="IF189" s="542"/>
      <c r="IG189" s="542"/>
      <c r="IH189" s="542"/>
      <c r="II189" s="542"/>
      <c r="IJ189" s="542"/>
      <c r="IK189" s="542"/>
      <c r="IL189" s="542"/>
      <c r="IM189" s="542"/>
      <c r="IN189" s="542"/>
      <c r="IO189" s="542"/>
      <c r="IP189" s="542"/>
      <c r="IQ189" s="542"/>
      <c r="IR189" s="542"/>
      <c r="IS189" s="542"/>
      <c r="IT189" s="542"/>
      <c r="IU189" s="542"/>
      <c r="IV189" s="542"/>
      <c r="IW189" s="542"/>
      <c r="IX189" s="542"/>
      <c r="IY189" s="542"/>
      <c r="IZ189" s="542"/>
      <c r="JA189" s="542"/>
      <c r="JB189" s="542"/>
    </row>
    <row r="190" spans="55:262" ht="18.899999999999999" customHeight="1">
      <c r="BC190" s="1614"/>
      <c r="BD190" s="1614"/>
      <c r="BE190" s="1614"/>
      <c r="CZ190" s="542"/>
      <c r="DA190" s="542"/>
      <c r="DB190" s="542"/>
      <c r="DC190" s="542"/>
      <c r="DD190" s="542"/>
      <c r="DE190" s="542"/>
      <c r="DF190" s="542"/>
      <c r="DG190" s="542"/>
      <c r="DH190" s="542"/>
      <c r="DI190" s="542"/>
      <c r="DJ190" s="542"/>
      <c r="DK190" s="542"/>
      <c r="DL190" s="542"/>
      <c r="DM190" s="542"/>
      <c r="DN190" s="542"/>
      <c r="DO190" s="542"/>
      <c r="DP190" s="542"/>
      <c r="DQ190" s="542"/>
      <c r="DR190" s="542"/>
      <c r="DS190" s="542"/>
      <c r="DT190" s="542"/>
      <c r="DU190" s="542"/>
      <c r="DV190" s="542"/>
      <c r="DW190" s="542"/>
      <c r="DX190" s="542"/>
      <c r="DY190" s="542"/>
      <c r="DZ190" s="542"/>
      <c r="EA190" s="542"/>
      <c r="EB190" s="542"/>
      <c r="EC190" s="542"/>
      <c r="ED190" s="542"/>
      <c r="EE190" s="542"/>
      <c r="EF190" s="542"/>
      <c r="EG190" s="542"/>
      <c r="EH190" s="542"/>
      <c r="EI190" s="542"/>
      <c r="EJ190" s="542"/>
      <c r="EK190" s="542"/>
      <c r="EL190" s="542"/>
      <c r="EM190" s="542"/>
      <c r="EN190" s="542"/>
      <c r="EO190" s="542"/>
      <c r="EP190" s="542"/>
      <c r="EQ190" s="542"/>
      <c r="ER190" s="542"/>
      <c r="ES190" s="542"/>
      <c r="ET190" s="542"/>
      <c r="EU190" s="542"/>
      <c r="EV190" s="542"/>
      <c r="EW190" s="542"/>
      <c r="EX190" s="542"/>
      <c r="EY190" s="542"/>
      <c r="EZ190" s="542"/>
      <c r="FA190" s="542"/>
      <c r="FB190" s="542"/>
      <c r="FC190" s="542"/>
      <c r="FD190" s="542"/>
      <c r="FE190" s="542"/>
      <c r="FF190" s="542"/>
      <c r="FG190" s="542"/>
      <c r="FH190" s="542"/>
      <c r="FI190" s="542"/>
      <c r="FJ190" s="542"/>
      <c r="FK190" s="542"/>
      <c r="FL190" s="542"/>
      <c r="FM190" s="542"/>
      <c r="FN190" s="542"/>
      <c r="FO190" s="542"/>
      <c r="FP190" s="542"/>
      <c r="FQ190" s="542"/>
      <c r="FR190" s="542"/>
      <c r="FS190" s="542"/>
      <c r="FT190" s="542"/>
      <c r="FU190" s="542"/>
      <c r="FV190" s="542"/>
      <c r="FW190" s="542"/>
      <c r="FX190" s="542"/>
      <c r="FY190" s="542"/>
      <c r="FZ190" s="542"/>
      <c r="GA190" s="542"/>
      <c r="GB190" s="542"/>
      <c r="GC190" s="542"/>
      <c r="GD190" s="542"/>
      <c r="GE190" s="542"/>
      <c r="GF190" s="542"/>
      <c r="GG190" s="542"/>
      <c r="GH190" s="542"/>
      <c r="GI190" s="542"/>
      <c r="GJ190" s="542"/>
      <c r="GK190" s="542"/>
      <c r="GL190" s="542"/>
      <c r="GM190" s="542"/>
      <c r="GN190" s="542"/>
      <c r="GO190" s="542"/>
      <c r="GP190" s="542"/>
      <c r="GQ190" s="542"/>
      <c r="GR190" s="542"/>
      <c r="GS190" s="542"/>
      <c r="GT190" s="542"/>
      <c r="GU190" s="542"/>
      <c r="GV190" s="542"/>
      <c r="GW190" s="542"/>
      <c r="GX190" s="542"/>
      <c r="GY190" s="542"/>
      <c r="GZ190" s="542"/>
      <c r="HA190" s="542"/>
      <c r="HB190" s="542"/>
      <c r="HC190" s="542"/>
      <c r="HD190" s="542"/>
      <c r="HE190" s="542"/>
      <c r="HF190" s="542"/>
      <c r="HG190" s="542"/>
      <c r="HH190" s="542"/>
      <c r="HI190" s="542"/>
      <c r="HJ190" s="542"/>
      <c r="HK190" s="542"/>
      <c r="HL190" s="542"/>
      <c r="HM190" s="542"/>
      <c r="HN190" s="542"/>
      <c r="HO190" s="542"/>
      <c r="HP190" s="542"/>
      <c r="HQ190" s="542"/>
      <c r="HR190" s="542"/>
      <c r="HS190" s="542"/>
      <c r="HT190" s="542"/>
      <c r="HU190" s="542"/>
      <c r="HV190" s="542"/>
      <c r="HW190" s="542"/>
      <c r="HX190" s="542"/>
      <c r="HY190" s="542"/>
      <c r="HZ190" s="542"/>
      <c r="IA190" s="542"/>
      <c r="IB190" s="542"/>
      <c r="IC190" s="542"/>
      <c r="ID190" s="542"/>
      <c r="IE190" s="542"/>
      <c r="IF190" s="542"/>
      <c r="IG190" s="542"/>
      <c r="IH190" s="542"/>
      <c r="II190" s="542"/>
      <c r="IJ190" s="542"/>
      <c r="IK190" s="542"/>
      <c r="IL190" s="542"/>
      <c r="IM190" s="542"/>
      <c r="IN190" s="542"/>
      <c r="IO190" s="542"/>
      <c r="IP190" s="542"/>
      <c r="IQ190" s="542"/>
      <c r="IR190" s="542"/>
      <c r="IS190" s="542"/>
      <c r="IT190" s="542"/>
      <c r="IU190" s="542"/>
      <c r="IV190" s="542"/>
      <c r="IW190" s="542"/>
      <c r="IX190" s="542"/>
      <c r="IY190" s="542"/>
      <c r="IZ190" s="542"/>
      <c r="JA190" s="542"/>
      <c r="JB190" s="542"/>
    </row>
    <row r="191" spans="55:262" ht="18.899999999999999" customHeight="1">
      <c r="BC191" s="1614"/>
      <c r="BD191" s="1614"/>
      <c r="BE191" s="1614"/>
      <c r="CZ191" s="542"/>
      <c r="DA191" s="542"/>
      <c r="DB191" s="542"/>
      <c r="DC191" s="542"/>
      <c r="DD191" s="542"/>
      <c r="DE191" s="542"/>
      <c r="DF191" s="542"/>
      <c r="DG191" s="542"/>
      <c r="DH191" s="542"/>
      <c r="DI191" s="542"/>
      <c r="DJ191" s="542"/>
      <c r="DK191" s="542"/>
      <c r="DL191" s="542"/>
      <c r="DM191" s="542"/>
      <c r="DN191" s="542"/>
      <c r="DO191" s="542"/>
      <c r="DP191" s="542"/>
      <c r="DQ191" s="542"/>
      <c r="DR191" s="542"/>
      <c r="DS191" s="542"/>
      <c r="DT191" s="542"/>
      <c r="DU191" s="542"/>
      <c r="DV191" s="542"/>
      <c r="DW191" s="542"/>
      <c r="DX191" s="542"/>
      <c r="DY191" s="542"/>
      <c r="DZ191" s="542"/>
      <c r="EA191" s="542"/>
      <c r="EB191" s="542"/>
      <c r="EC191" s="542"/>
      <c r="ED191" s="542"/>
      <c r="EE191" s="542"/>
      <c r="EF191" s="542"/>
      <c r="EG191" s="542"/>
      <c r="EH191" s="542"/>
      <c r="EI191" s="542"/>
      <c r="EJ191" s="542"/>
      <c r="EK191" s="542"/>
      <c r="EL191" s="542"/>
      <c r="EM191" s="542"/>
      <c r="EN191" s="542"/>
      <c r="EO191" s="542"/>
      <c r="EP191" s="542"/>
      <c r="EQ191" s="542"/>
      <c r="ER191" s="542"/>
      <c r="ES191" s="542"/>
      <c r="ET191" s="542"/>
      <c r="EU191" s="542"/>
      <c r="EV191" s="542"/>
      <c r="EW191" s="542"/>
      <c r="EX191" s="542"/>
      <c r="EY191" s="542"/>
      <c r="EZ191" s="542"/>
      <c r="FA191" s="542"/>
      <c r="FB191" s="542"/>
      <c r="FC191" s="542"/>
      <c r="FD191" s="542"/>
      <c r="FE191" s="542"/>
      <c r="FF191" s="542"/>
      <c r="FG191" s="542"/>
      <c r="FH191" s="542"/>
      <c r="FI191" s="542"/>
      <c r="FJ191" s="542"/>
      <c r="FK191" s="542"/>
      <c r="FL191" s="542"/>
      <c r="FM191" s="542"/>
      <c r="FN191" s="542"/>
      <c r="FO191" s="542"/>
      <c r="FP191" s="542"/>
      <c r="FQ191" s="542"/>
      <c r="FR191" s="542"/>
      <c r="FS191" s="542"/>
      <c r="FT191" s="542"/>
      <c r="FU191" s="542"/>
      <c r="FV191" s="542"/>
      <c r="FW191" s="542"/>
      <c r="FX191" s="542"/>
      <c r="FY191" s="542"/>
      <c r="FZ191" s="542"/>
      <c r="GA191" s="542"/>
      <c r="GB191" s="542"/>
      <c r="GC191" s="542"/>
      <c r="GD191" s="542"/>
      <c r="GE191" s="542"/>
      <c r="GF191" s="542"/>
      <c r="GG191" s="542"/>
      <c r="GH191" s="542"/>
      <c r="GI191" s="542"/>
      <c r="GJ191" s="542"/>
      <c r="GK191" s="542"/>
      <c r="GL191" s="542"/>
      <c r="GM191" s="542"/>
      <c r="GN191" s="542"/>
      <c r="GO191" s="542"/>
      <c r="GP191" s="542"/>
      <c r="GQ191" s="542"/>
      <c r="GR191" s="542"/>
      <c r="GS191" s="542"/>
      <c r="GT191" s="542"/>
      <c r="GU191" s="542"/>
      <c r="GV191" s="542"/>
      <c r="GW191" s="542"/>
      <c r="GX191" s="542"/>
      <c r="GY191" s="542"/>
      <c r="GZ191" s="542"/>
      <c r="HA191" s="542"/>
      <c r="HB191" s="542"/>
      <c r="HC191" s="542"/>
      <c r="HD191" s="542"/>
      <c r="HE191" s="542"/>
      <c r="HF191" s="542"/>
      <c r="HG191" s="542"/>
      <c r="HH191" s="542"/>
      <c r="HI191" s="542"/>
      <c r="HJ191" s="542"/>
      <c r="HK191" s="542"/>
      <c r="HL191" s="542"/>
      <c r="HM191" s="542"/>
      <c r="HN191" s="542"/>
      <c r="HO191" s="542"/>
      <c r="HP191" s="542"/>
      <c r="HQ191" s="542"/>
      <c r="HR191" s="542"/>
      <c r="HS191" s="542"/>
      <c r="HT191" s="542"/>
      <c r="HU191" s="542"/>
      <c r="HV191" s="542"/>
      <c r="HW191" s="542"/>
      <c r="HX191" s="542"/>
      <c r="HY191" s="542"/>
      <c r="HZ191" s="542"/>
      <c r="IA191" s="542"/>
      <c r="IB191" s="542"/>
      <c r="IC191" s="542"/>
      <c r="ID191" s="542"/>
      <c r="IE191" s="542"/>
      <c r="IF191" s="542"/>
      <c r="IG191" s="542"/>
      <c r="IH191" s="542"/>
      <c r="II191" s="542"/>
      <c r="IJ191" s="542"/>
      <c r="IK191" s="542"/>
      <c r="IL191" s="542"/>
      <c r="IM191" s="542"/>
      <c r="IN191" s="542"/>
      <c r="IO191" s="542"/>
      <c r="IP191" s="542"/>
      <c r="IQ191" s="542"/>
      <c r="IR191" s="542"/>
      <c r="IS191" s="542"/>
      <c r="IT191" s="542"/>
      <c r="IU191" s="542"/>
      <c r="IV191" s="542"/>
      <c r="IW191" s="542"/>
      <c r="IX191" s="542"/>
      <c r="IY191" s="542"/>
      <c r="IZ191" s="542"/>
      <c r="JA191" s="542"/>
      <c r="JB191" s="542"/>
    </row>
    <row r="192" spans="55:262" ht="18.899999999999999" customHeight="1">
      <c r="BC192" s="1614"/>
      <c r="BD192" s="1614"/>
      <c r="BE192" s="1614"/>
      <c r="CZ192" s="542"/>
      <c r="DA192" s="542"/>
      <c r="DB192" s="542"/>
      <c r="DC192" s="542"/>
      <c r="DD192" s="542"/>
      <c r="DE192" s="542"/>
      <c r="DF192" s="542"/>
      <c r="DG192" s="542"/>
      <c r="DH192" s="542"/>
      <c r="DI192" s="542"/>
      <c r="DJ192" s="542"/>
      <c r="DK192" s="542"/>
      <c r="DL192" s="542"/>
      <c r="DM192" s="542"/>
      <c r="DN192" s="542"/>
      <c r="DO192" s="542"/>
      <c r="DP192" s="542"/>
      <c r="DQ192" s="542"/>
      <c r="DR192" s="542"/>
      <c r="DS192" s="542"/>
      <c r="DT192" s="542"/>
      <c r="DU192" s="542"/>
      <c r="DV192" s="542"/>
      <c r="DW192" s="542"/>
      <c r="DX192" s="542"/>
      <c r="DY192" s="542"/>
      <c r="DZ192" s="542"/>
      <c r="EA192" s="542"/>
      <c r="EB192" s="542"/>
      <c r="EC192" s="542"/>
      <c r="ED192" s="542"/>
      <c r="EE192" s="542"/>
      <c r="EF192" s="542"/>
      <c r="EG192" s="542"/>
      <c r="EH192" s="542"/>
      <c r="EI192" s="542"/>
      <c r="EJ192" s="542"/>
      <c r="EK192" s="542"/>
      <c r="EL192" s="542"/>
      <c r="EM192" s="542"/>
      <c r="EN192" s="542"/>
      <c r="EO192" s="542"/>
      <c r="EP192" s="542"/>
      <c r="EQ192" s="542"/>
      <c r="ER192" s="542"/>
      <c r="ES192" s="542"/>
      <c r="ET192" s="542"/>
      <c r="EU192" s="542"/>
      <c r="EV192" s="542"/>
      <c r="EW192" s="542"/>
      <c r="EX192" s="542"/>
      <c r="EY192" s="542"/>
      <c r="EZ192" s="542"/>
      <c r="FA192" s="542"/>
      <c r="FB192" s="542"/>
      <c r="FC192" s="542"/>
      <c r="FD192" s="542"/>
      <c r="FE192" s="542"/>
      <c r="FF192" s="542"/>
      <c r="FG192" s="542"/>
      <c r="FH192" s="542"/>
      <c r="FI192" s="542"/>
      <c r="FJ192" s="542"/>
      <c r="FK192" s="542"/>
      <c r="FL192" s="542"/>
      <c r="FM192" s="542"/>
      <c r="FN192" s="542"/>
      <c r="FO192" s="542"/>
      <c r="FP192" s="542"/>
      <c r="FQ192" s="542"/>
      <c r="FR192" s="542"/>
      <c r="FS192" s="542"/>
      <c r="FT192" s="542"/>
      <c r="FU192" s="542"/>
      <c r="FV192" s="542"/>
      <c r="FW192" s="542"/>
      <c r="FX192" s="542"/>
      <c r="FY192" s="542"/>
      <c r="FZ192" s="542"/>
      <c r="GA192" s="542"/>
      <c r="GB192" s="542"/>
      <c r="GC192" s="542"/>
      <c r="GD192" s="542"/>
      <c r="GE192" s="542"/>
      <c r="GF192" s="542"/>
      <c r="GG192" s="542"/>
      <c r="GH192" s="542"/>
      <c r="GI192" s="542"/>
      <c r="GJ192" s="542"/>
      <c r="GK192" s="542"/>
      <c r="GL192" s="542"/>
      <c r="GM192" s="542"/>
      <c r="GN192" s="542"/>
      <c r="GO192" s="542"/>
      <c r="GP192" s="542"/>
      <c r="GQ192" s="542"/>
      <c r="GR192" s="542"/>
      <c r="GS192" s="542"/>
      <c r="GT192" s="542"/>
      <c r="GU192" s="542"/>
      <c r="GV192" s="542"/>
      <c r="GW192" s="542"/>
      <c r="GX192" s="542"/>
      <c r="GY192" s="542"/>
      <c r="GZ192" s="542"/>
      <c r="HA192" s="542"/>
      <c r="HB192" s="542"/>
      <c r="HC192" s="542"/>
      <c r="HD192" s="542"/>
      <c r="HE192" s="542"/>
      <c r="HF192" s="542"/>
      <c r="HG192" s="542"/>
      <c r="HH192" s="542"/>
      <c r="HI192" s="542"/>
      <c r="HJ192" s="542"/>
      <c r="HK192" s="542"/>
      <c r="HL192" s="542"/>
      <c r="HM192" s="542"/>
      <c r="HN192" s="542"/>
      <c r="HO192" s="542"/>
      <c r="HP192" s="542"/>
      <c r="HQ192" s="542"/>
      <c r="HR192" s="542"/>
      <c r="HS192" s="542"/>
      <c r="HT192" s="542"/>
      <c r="HU192" s="542"/>
      <c r="HV192" s="542"/>
      <c r="HW192" s="542"/>
      <c r="HX192" s="542"/>
      <c r="HY192" s="542"/>
      <c r="HZ192" s="542"/>
      <c r="IA192" s="542"/>
      <c r="IB192" s="542"/>
      <c r="IC192" s="542"/>
      <c r="ID192" s="542"/>
      <c r="IE192" s="542"/>
      <c r="IF192" s="542"/>
      <c r="IG192" s="542"/>
      <c r="IH192" s="542"/>
      <c r="II192" s="542"/>
      <c r="IJ192" s="542"/>
      <c r="IK192" s="542"/>
      <c r="IL192" s="542"/>
      <c r="IM192" s="542"/>
      <c r="IN192" s="542"/>
      <c r="IO192" s="542"/>
      <c r="IP192" s="542"/>
      <c r="IQ192" s="542"/>
      <c r="IR192" s="542"/>
      <c r="IS192" s="542"/>
      <c r="IT192" s="542"/>
      <c r="IU192" s="542"/>
      <c r="IV192" s="542"/>
      <c r="IW192" s="542"/>
      <c r="IX192" s="542"/>
      <c r="IY192" s="542"/>
      <c r="IZ192" s="542"/>
      <c r="JA192" s="542"/>
      <c r="JB192" s="542"/>
    </row>
    <row r="193" spans="55:262" ht="18.899999999999999" customHeight="1">
      <c r="BC193" s="1614"/>
      <c r="BD193" s="1614"/>
      <c r="BE193" s="1614"/>
      <c r="CZ193" s="542"/>
      <c r="DA193" s="542"/>
      <c r="DB193" s="542"/>
      <c r="DC193" s="542"/>
      <c r="DD193" s="542"/>
      <c r="DE193" s="542"/>
      <c r="DF193" s="542"/>
      <c r="DG193" s="542"/>
      <c r="DH193" s="542"/>
      <c r="DI193" s="542"/>
      <c r="DJ193" s="542"/>
      <c r="DK193" s="542"/>
      <c r="DL193" s="542"/>
      <c r="DM193" s="542"/>
      <c r="DN193" s="542"/>
      <c r="DO193" s="542"/>
      <c r="DP193" s="542"/>
      <c r="DQ193" s="542"/>
      <c r="DR193" s="542"/>
      <c r="DS193" s="542"/>
      <c r="DT193" s="542"/>
      <c r="DU193" s="542"/>
      <c r="DV193" s="542"/>
      <c r="DW193" s="542"/>
      <c r="DX193" s="542"/>
      <c r="DY193" s="542"/>
      <c r="DZ193" s="542"/>
      <c r="EA193" s="542"/>
      <c r="EB193" s="542"/>
      <c r="EC193" s="542"/>
      <c r="ED193" s="542"/>
      <c r="EE193" s="542"/>
      <c r="EF193" s="542"/>
      <c r="EG193" s="542"/>
      <c r="EH193" s="542"/>
      <c r="EI193" s="542"/>
      <c r="EJ193" s="542"/>
      <c r="EK193" s="542"/>
      <c r="EL193" s="542"/>
      <c r="EM193" s="542"/>
      <c r="EN193" s="542"/>
      <c r="EO193" s="542"/>
      <c r="EP193" s="542"/>
      <c r="EQ193" s="542"/>
      <c r="ER193" s="542"/>
      <c r="ES193" s="542"/>
      <c r="ET193" s="542"/>
      <c r="EU193" s="542"/>
      <c r="EV193" s="542"/>
      <c r="EW193" s="542"/>
      <c r="EX193" s="542"/>
      <c r="EY193" s="542"/>
      <c r="EZ193" s="542"/>
      <c r="FA193" s="542"/>
      <c r="FB193" s="542"/>
      <c r="FC193" s="542"/>
      <c r="FD193" s="542"/>
      <c r="FE193" s="542"/>
      <c r="FF193" s="542"/>
      <c r="FG193" s="542"/>
      <c r="FH193" s="542"/>
      <c r="FI193" s="542"/>
      <c r="FJ193" s="542"/>
      <c r="FK193" s="542"/>
      <c r="FL193" s="542"/>
      <c r="FM193" s="542"/>
      <c r="FN193" s="542"/>
      <c r="FO193" s="542"/>
      <c r="FP193" s="542"/>
      <c r="FQ193" s="542"/>
      <c r="FR193" s="542"/>
      <c r="FS193" s="542"/>
      <c r="FT193" s="542"/>
      <c r="FU193" s="542"/>
      <c r="FV193" s="542"/>
      <c r="FW193" s="542"/>
      <c r="FX193" s="542"/>
      <c r="FY193" s="542"/>
      <c r="FZ193" s="542"/>
      <c r="GA193" s="542"/>
      <c r="GB193" s="542"/>
      <c r="GC193" s="542"/>
      <c r="GD193" s="542"/>
      <c r="GE193" s="542"/>
      <c r="GF193" s="542"/>
      <c r="GG193" s="542"/>
      <c r="GH193" s="542"/>
      <c r="GI193" s="542"/>
      <c r="GJ193" s="542"/>
      <c r="GK193" s="542"/>
      <c r="GL193" s="542"/>
      <c r="GM193" s="542"/>
      <c r="GN193" s="542"/>
      <c r="GO193" s="542"/>
      <c r="GP193" s="542"/>
      <c r="GQ193" s="542"/>
      <c r="GR193" s="542"/>
      <c r="GS193" s="542"/>
      <c r="GT193" s="542"/>
      <c r="GU193" s="542"/>
      <c r="GV193" s="542"/>
      <c r="GW193" s="542"/>
      <c r="GX193" s="542"/>
      <c r="GY193" s="542"/>
      <c r="GZ193" s="542"/>
      <c r="HA193" s="542"/>
      <c r="HB193" s="542"/>
      <c r="HC193" s="542"/>
      <c r="HD193" s="542"/>
      <c r="HE193" s="542"/>
      <c r="HF193" s="542"/>
      <c r="HG193" s="542"/>
      <c r="HH193" s="542"/>
      <c r="HI193" s="542"/>
      <c r="HJ193" s="542"/>
      <c r="HK193" s="542"/>
      <c r="HL193" s="542"/>
      <c r="HM193" s="542"/>
      <c r="HN193" s="542"/>
      <c r="HO193" s="542"/>
      <c r="HP193" s="542"/>
      <c r="HQ193" s="542"/>
      <c r="HR193" s="542"/>
      <c r="HS193" s="542"/>
      <c r="HT193" s="542"/>
      <c r="HU193" s="542"/>
      <c r="HV193" s="542"/>
      <c r="HW193" s="542"/>
      <c r="HX193" s="542"/>
      <c r="HY193" s="542"/>
      <c r="HZ193" s="542"/>
      <c r="IA193" s="542"/>
      <c r="IB193" s="542"/>
      <c r="IC193" s="542"/>
      <c r="ID193" s="542"/>
      <c r="IE193" s="542"/>
      <c r="IF193" s="542"/>
      <c r="IG193" s="542"/>
      <c r="IH193" s="542"/>
      <c r="II193" s="542"/>
      <c r="IJ193" s="542"/>
      <c r="IK193" s="542"/>
      <c r="IL193" s="542"/>
      <c r="IM193" s="542"/>
      <c r="IN193" s="542"/>
      <c r="IO193" s="542"/>
      <c r="IP193" s="542"/>
      <c r="IQ193" s="542"/>
      <c r="IR193" s="542"/>
      <c r="IS193" s="542"/>
      <c r="IT193" s="542"/>
      <c r="IU193" s="542"/>
      <c r="IV193" s="542"/>
      <c r="IW193" s="542"/>
      <c r="IX193" s="542"/>
      <c r="IY193" s="542"/>
      <c r="IZ193" s="542"/>
      <c r="JA193" s="542"/>
      <c r="JB193" s="542"/>
    </row>
    <row r="194" spans="55:262" ht="18.899999999999999" customHeight="1">
      <c r="BC194" s="1614"/>
      <c r="BD194" s="1614"/>
      <c r="BE194" s="1614"/>
      <c r="CZ194" s="542"/>
      <c r="DA194" s="542"/>
      <c r="DB194" s="542"/>
      <c r="DC194" s="542"/>
      <c r="DD194" s="542"/>
      <c r="DE194" s="542"/>
      <c r="DF194" s="542"/>
      <c r="DG194" s="542"/>
      <c r="DH194" s="542"/>
      <c r="DI194" s="542"/>
      <c r="DJ194" s="542"/>
      <c r="DK194" s="542"/>
      <c r="DL194" s="542"/>
      <c r="DM194" s="542"/>
      <c r="DN194" s="542"/>
      <c r="DO194" s="542"/>
      <c r="DP194" s="542"/>
      <c r="DQ194" s="542"/>
      <c r="DR194" s="542"/>
      <c r="DS194" s="542"/>
      <c r="DT194" s="542"/>
      <c r="DU194" s="542"/>
      <c r="DV194" s="542"/>
      <c r="DW194" s="542"/>
      <c r="DX194" s="542"/>
      <c r="DY194" s="542"/>
      <c r="DZ194" s="542"/>
      <c r="EA194" s="542"/>
      <c r="EB194" s="542"/>
      <c r="EC194" s="542"/>
      <c r="ED194" s="542"/>
      <c r="EE194" s="542"/>
      <c r="EF194" s="542"/>
      <c r="EG194" s="542"/>
      <c r="EH194" s="542"/>
      <c r="EI194" s="542"/>
      <c r="EJ194" s="542"/>
      <c r="EK194" s="542"/>
      <c r="EL194" s="542"/>
      <c r="EM194" s="542"/>
      <c r="EN194" s="542"/>
      <c r="EO194" s="542"/>
      <c r="EP194" s="542"/>
      <c r="EQ194" s="542"/>
      <c r="ER194" s="542"/>
      <c r="ES194" s="542"/>
      <c r="ET194" s="542"/>
      <c r="EU194" s="542"/>
      <c r="EV194" s="542"/>
      <c r="EW194" s="542"/>
      <c r="EX194" s="542"/>
      <c r="EY194" s="542"/>
      <c r="EZ194" s="542"/>
      <c r="FA194" s="542"/>
      <c r="FB194" s="542"/>
      <c r="FC194" s="542"/>
      <c r="FD194" s="542"/>
      <c r="FE194" s="542"/>
      <c r="FF194" s="542"/>
      <c r="FG194" s="542"/>
      <c r="FH194" s="542"/>
      <c r="FI194" s="542"/>
      <c r="FJ194" s="542"/>
      <c r="FK194" s="542"/>
      <c r="FL194" s="542"/>
      <c r="FM194" s="542"/>
      <c r="FN194" s="542"/>
      <c r="FO194" s="542"/>
      <c r="FP194" s="542"/>
      <c r="FQ194" s="542"/>
      <c r="FR194" s="542"/>
      <c r="FS194" s="542"/>
      <c r="FT194" s="542"/>
      <c r="FU194" s="542"/>
      <c r="FV194" s="542"/>
      <c r="FW194" s="542"/>
      <c r="FX194" s="542"/>
      <c r="FY194" s="542"/>
      <c r="FZ194" s="542"/>
      <c r="GA194" s="542"/>
      <c r="GB194" s="542"/>
      <c r="GC194" s="542"/>
      <c r="GD194" s="542"/>
      <c r="GE194" s="542"/>
      <c r="GF194" s="542"/>
      <c r="GG194" s="542"/>
      <c r="GH194" s="542"/>
      <c r="GI194" s="542"/>
      <c r="GJ194" s="542"/>
      <c r="GK194" s="542"/>
      <c r="GL194" s="542"/>
      <c r="GM194" s="542"/>
      <c r="GN194" s="542"/>
      <c r="GO194" s="542"/>
      <c r="GP194" s="542"/>
      <c r="GQ194" s="542"/>
      <c r="GR194" s="542"/>
      <c r="GS194" s="542"/>
      <c r="GT194" s="542"/>
      <c r="GU194" s="542"/>
      <c r="GV194" s="542"/>
      <c r="GW194" s="542"/>
      <c r="GX194" s="542"/>
      <c r="GY194" s="542"/>
      <c r="GZ194" s="542"/>
      <c r="HA194" s="542"/>
      <c r="HB194" s="542"/>
      <c r="HC194" s="542"/>
      <c r="HD194" s="542"/>
      <c r="HE194" s="542"/>
      <c r="HF194" s="542"/>
      <c r="HG194" s="542"/>
      <c r="HH194" s="542"/>
      <c r="HI194" s="542"/>
      <c r="HJ194" s="542"/>
      <c r="HK194" s="542"/>
      <c r="HL194" s="542"/>
      <c r="HM194" s="542"/>
      <c r="HN194" s="542"/>
      <c r="HO194" s="542"/>
      <c r="HP194" s="542"/>
      <c r="HQ194" s="542"/>
      <c r="HR194" s="542"/>
      <c r="HS194" s="542"/>
      <c r="HT194" s="542"/>
      <c r="HU194" s="542"/>
      <c r="HV194" s="542"/>
      <c r="HW194" s="542"/>
      <c r="HX194" s="542"/>
      <c r="HY194" s="542"/>
      <c r="HZ194" s="542"/>
      <c r="IA194" s="542"/>
      <c r="IB194" s="542"/>
      <c r="IC194" s="542"/>
      <c r="ID194" s="542"/>
      <c r="IE194" s="542"/>
      <c r="IF194" s="542"/>
      <c r="IG194" s="542"/>
      <c r="IH194" s="542"/>
      <c r="II194" s="542"/>
      <c r="IJ194" s="542"/>
      <c r="IK194" s="542"/>
      <c r="IL194" s="542"/>
      <c r="IM194" s="542"/>
      <c r="IN194" s="542"/>
      <c r="IO194" s="542"/>
      <c r="IP194" s="542"/>
      <c r="IQ194" s="542"/>
      <c r="IR194" s="542"/>
      <c r="IS194" s="542"/>
      <c r="IT194" s="542"/>
      <c r="IU194" s="542"/>
      <c r="IV194" s="542"/>
      <c r="IW194" s="542"/>
      <c r="IX194" s="542"/>
      <c r="IY194" s="542"/>
      <c r="IZ194" s="542"/>
      <c r="JA194" s="542"/>
      <c r="JB194" s="542"/>
    </row>
    <row r="195" spans="55:262" ht="18.899999999999999" customHeight="1">
      <c r="BC195" s="1614"/>
      <c r="BD195" s="1614"/>
      <c r="BE195" s="1614"/>
      <c r="CZ195" s="542"/>
      <c r="DA195" s="542"/>
      <c r="DB195" s="542"/>
      <c r="DC195" s="542"/>
      <c r="DD195" s="542"/>
      <c r="DE195" s="542"/>
      <c r="DF195" s="542"/>
      <c r="DG195" s="542"/>
      <c r="DH195" s="542"/>
      <c r="DI195" s="542"/>
      <c r="DJ195" s="542"/>
      <c r="DK195" s="542"/>
      <c r="DL195" s="542"/>
      <c r="DM195" s="542"/>
      <c r="DN195" s="542"/>
      <c r="DO195" s="542"/>
      <c r="DP195" s="542"/>
      <c r="DQ195" s="542"/>
      <c r="DR195" s="542"/>
      <c r="DS195" s="542"/>
      <c r="DT195" s="542"/>
      <c r="DU195" s="542"/>
      <c r="DV195" s="542"/>
      <c r="DW195" s="542"/>
      <c r="DX195" s="542"/>
      <c r="DY195" s="542"/>
      <c r="DZ195" s="542"/>
      <c r="EA195" s="542"/>
      <c r="EB195" s="542"/>
      <c r="EC195" s="542"/>
      <c r="ED195" s="542"/>
      <c r="EE195" s="542"/>
      <c r="EF195" s="542"/>
      <c r="EG195" s="542"/>
      <c r="EH195" s="542"/>
      <c r="EI195" s="542"/>
      <c r="EJ195" s="542"/>
      <c r="EK195" s="542"/>
      <c r="EL195" s="542"/>
      <c r="EM195" s="542"/>
      <c r="EN195" s="542"/>
      <c r="EO195" s="542"/>
      <c r="EP195" s="542"/>
      <c r="EQ195" s="542"/>
      <c r="ER195" s="542"/>
      <c r="ES195" s="542"/>
      <c r="ET195" s="542"/>
      <c r="EU195" s="542"/>
      <c r="EV195" s="542"/>
      <c r="EW195" s="542"/>
      <c r="EX195" s="542"/>
      <c r="EY195" s="542"/>
      <c r="EZ195" s="542"/>
      <c r="FA195" s="542"/>
      <c r="FB195" s="542"/>
      <c r="FC195" s="542"/>
      <c r="FD195" s="542"/>
      <c r="FE195" s="542"/>
      <c r="FF195" s="542"/>
      <c r="FG195" s="542"/>
      <c r="FH195" s="542"/>
      <c r="FI195" s="542"/>
      <c r="FJ195" s="542"/>
      <c r="FK195" s="542"/>
      <c r="FL195" s="542"/>
      <c r="FM195" s="542"/>
      <c r="FN195" s="542"/>
      <c r="FO195" s="542"/>
      <c r="FP195" s="542"/>
      <c r="FQ195" s="542"/>
      <c r="FR195" s="542"/>
      <c r="FS195" s="542"/>
      <c r="FT195" s="542"/>
      <c r="FU195" s="542"/>
      <c r="FV195" s="542"/>
      <c r="FW195" s="542"/>
      <c r="FX195" s="542"/>
      <c r="FY195" s="542"/>
      <c r="FZ195" s="542"/>
      <c r="GA195" s="542"/>
      <c r="GB195" s="542"/>
      <c r="GC195" s="542"/>
      <c r="GD195" s="542"/>
      <c r="GE195" s="542"/>
      <c r="GF195" s="542"/>
      <c r="GG195" s="542"/>
      <c r="GH195" s="542"/>
      <c r="GI195" s="542"/>
      <c r="GJ195" s="542"/>
      <c r="GK195" s="542"/>
      <c r="GL195" s="542"/>
      <c r="GM195" s="542"/>
      <c r="GN195" s="542"/>
      <c r="GO195" s="542"/>
      <c r="GP195" s="542"/>
      <c r="GQ195" s="542"/>
      <c r="GR195" s="542"/>
      <c r="GS195" s="542"/>
      <c r="GT195" s="542"/>
      <c r="GU195" s="542"/>
      <c r="GV195" s="542"/>
      <c r="GW195" s="542"/>
      <c r="GX195" s="542"/>
      <c r="GY195" s="542"/>
      <c r="GZ195" s="542"/>
      <c r="HA195" s="542"/>
      <c r="HB195" s="542"/>
      <c r="HC195" s="542"/>
      <c r="HD195" s="542"/>
      <c r="HE195" s="542"/>
      <c r="HF195" s="542"/>
      <c r="HG195" s="542"/>
      <c r="HH195" s="542"/>
      <c r="HI195" s="542"/>
      <c r="HJ195" s="542"/>
      <c r="HK195" s="542"/>
      <c r="HL195" s="542"/>
      <c r="HM195" s="542"/>
      <c r="HN195" s="542"/>
      <c r="HO195" s="542"/>
      <c r="HP195" s="542"/>
      <c r="HQ195" s="542"/>
      <c r="HR195" s="542"/>
      <c r="HS195" s="542"/>
      <c r="HT195" s="542"/>
      <c r="HU195" s="542"/>
      <c r="HV195" s="542"/>
      <c r="HW195" s="542"/>
      <c r="HX195" s="542"/>
      <c r="HY195" s="542"/>
      <c r="HZ195" s="542"/>
      <c r="IA195" s="542"/>
      <c r="IB195" s="542"/>
      <c r="IC195" s="542"/>
      <c r="ID195" s="542"/>
      <c r="IE195" s="542"/>
      <c r="IF195" s="542"/>
      <c r="IG195" s="542"/>
      <c r="IH195" s="542"/>
      <c r="II195" s="542"/>
      <c r="IJ195" s="542"/>
      <c r="IK195" s="542"/>
      <c r="IL195" s="542"/>
      <c r="IM195" s="542"/>
      <c r="IN195" s="542"/>
      <c r="IO195" s="542"/>
      <c r="IP195" s="542"/>
      <c r="IQ195" s="542"/>
      <c r="IR195" s="542"/>
      <c r="IS195" s="542"/>
      <c r="IT195" s="542"/>
      <c r="IU195" s="542"/>
      <c r="IV195" s="542"/>
      <c r="IW195" s="542"/>
      <c r="IX195" s="542"/>
      <c r="IY195" s="542"/>
      <c r="IZ195" s="542"/>
      <c r="JA195" s="542"/>
      <c r="JB195" s="542"/>
    </row>
    <row r="196" spans="55:262" ht="18.899999999999999" customHeight="1">
      <c r="BC196" s="1614"/>
      <c r="BD196" s="1614"/>
      <c r="BE196" s="1614"/>
      <c r="CZ196" s="542"/>
      <c r="DA196" s="542"/>
      <c r="DB196" s="542"/>
      <c r="DC196" s="542"/>
      <c r="DD196" s="542"/>
      <c r="DE196" s="542"/>
      <c r="DF196" s="542"/>
      <c r="DG196" s="542"/>
      <c r="DH196" s="542"/>
      <c r="DI196" s="542"/>
      <c r="DJ196" s="542"/>
      <c r="DK196" s="542"/>
      <c r="DL196" s="542"/>
      <c r="DM196" s="542"/>
      <c r="DN196" s="542"/>
      <c r="DO196" s="542"/>
      <c r="DP196" s="542"/>
      <c r="DQ196" s="542"/>
      <c r="DR196" s="542"/>
      <c r="DS196" s="542"/>
      <c r="DT196" s="542"/>
      <c r="DU196" s="542"/>
      <c r="DV196" s="542"/>
      <c r="DW196" s="542"/>
      <c r="DX196" s="542"/>
      <c r="DY196" s="542"/>
      <c r="DZ196" s="542"/>
      <c r="EA196" s="542"/>
      <c r="EB196" s="542"/>
      <c r="EC196" s="542"/>
      <c r="ED196" s="542"/>
      <c r="EE196" s="542"/>
      <c r="EF196" s="542"/>
      <c r="EG196" s="542"/>
      <c r="EH196" s="542"/>
      <c r="EI196" s="542"/>
      <c r="EJ196" s="542"/>
      <c r="EK196" s="542"/>
      <c r="EL196" s="542"/>
      <c r="EM196" s="542"/>
      <c r="EN196" s="542"/>
      <c r="EO196" s="542"/>
      <c r="EP196" s="542"/>
      <c r="EQ196" s="542"/>
      <c r="ER196" s="542"/>
      <c r="ES196" s="542"/>
      <c r="ET196" s="542"/>
      <c r="EU196" s="542"/>
      <c r="EV196" s="542"/>
      <c r="EW196" s="542"/>
      <c r="EX196" s="542"/>
      <c r="EY196" s="542"/>
      <c r="EZ196" s="542"/>
      <c r="FA196" s="542"/>
      <c r="FB196" s="542"/>
      <c r="FC196" s="542"/>
      <c r="FD196" s="542"/>
      <c r="FE196" s="542"/>
      <c r="FF196" s="542"/>
      <c r="FG196" s="542"/>
      <c r="FH196" s="542"/>
      <c r="FI196" s="542"/>
      <c r="FJ196" s="542"/>
      <c r="FK196" s="542"/>
      <c r="FL196" s="542"/>
      <c r="FM196" s="542"/>
      <c r="FN196" s="542"/>
      <c r="FO196" s="542"/>
      <c r="FP196" s="542"/>
      <c r="FQ196" s="542"/>
      <c r="FR196" s="542"/>
      <c r="FS196" s="542"/>
      <c r="FT196" s="542"/>
      <c r="FU196" s="542"/>
      <c r="FV196" s="542"/>
      <c r="FW196" s="542"/>
      <c r="FX196" s="542"/>
      <c r="FY196" s="542"/>
      <c r="FZ196" s="542"/>
      <c r="GA196" s="542"/>
      <c r="GB196" s="542"/>
      <c r="GC196" s="542"/>
      <c r="GD196" s="542"/>
      <c r="GE196" s="542"/>
      <c r="GF196" s="542"/>
      <c r="GG196" s="542"/>
      <c r="GH196" s="542"/>
      <c r="GI196" s="542"/>
      <c r="GJ196" s="542"/>
      <c r="GK196" s="542"/>
      <c r="GL196" s="542"/>
      <c r="GM196" s="542"/>
      <c r="GN196" s="542"/>
      <c r="GO196" s="542"/>
      <c r="GP196" s="542"/>
      <c r="GQ196" s="542"/>
      <c r="GR196" s="542"/>
      <c r="GS196" s="542"/>
      <c r="GT196" s="542"/>
      <c r="GU196" s="542"/>
      <c r="GV196" s="542"/>
      <c r="GW196" s="542"/>
      <c r="GX196" s="542"/>
      <c r="GY196" s="542"/>
      <c r="GZ196" s="542"/>
      <c r="HA196" s="542"/>
      <c r="HB196" s="542"/>
      <c r="HC196" s="542"/>
      <c r="HD196" s="542"/>
      <c r="HE196" s="542"/>
      <c r="HF196" s="542"/>
      <c r="HG196" s="542"/>
      <c r="HH196" s="542"/>
      <c r="HI196" s="542"/>
      <c r="HJ196" s="542"/>
      <c r="HK196" s="542"/>
      <c r="HL196" s="542"/>
      <c r="HM196" s="542"/>
      <c r="HN196" s="542"/>
      <c r="HO196" s="542"/>
      <c r="HP196" s="542"/>
      <c r="HQ196" s="542"/>
      <c r="HR196" s="542"/>
      <c r="HS196" s="542"/>
      <c r="HT196" s="542"/>
      <c r="HU196" s="542"/>
      <c r="HV196" s="542"/>
      <c r="HW196" s="542"/>
      <c r="HX196" s="542"/>
      <c r="HY196" s="542"/>
      <c r="HZ196" s="542"/>
      <c r="IA196" s="542"/>
      <c r="IB196" s="542"/>
      <c r="IC196" s="542"/>
      <c r="ID196" s="542"/>
      <c r="IE196" s="542"/>
      <c r="IF196" s="542"/>
      <c r="IG196" s="542"/>
      <c r="IH196" s="542"/>
      <c r="II196" s="542"/>
      <c r="IJ196" s="542"/>
      <c r="IK196" s="542"/>
      <c r="IL196" s="542"/>
      <c r="IM196" s="542"/>
      <c r="IN196" s="542"/>
      <c r="IO196" s="542"/>
      <c r="IP196" s="542"/>
      <c r="IQ196" s="542"/>
      <c r="IR196" s="542"/>
      <c r="IS196" s="542"/>
      <c r="IT196" s="542"/>
      <c r="IU196" s="542"/>
      <c r="IV196" s="542"/>
      <c r="IW196" s="542"/>
      <c r="IX196" s="542"/>
      <c r="IY196" s="542"/>
      <c r="IZ196" s="542"/>
      <c r="JA196" s="542"/>
      <c r="JB196" s="542"/>
    </row>
    <row r="197" spans="55:262" ht="18.899999999999999" customHeight="1">
      <c r="BC197" s="1614"/>
      <c r="BD197" s="1614"/>
      <c r="BE197" s="1614"/>
      <c r="CZ197" s="542"/>
      <c r="DA197" s="542"/>
      <c r="DB197" s="542"/>
      <c r="DC197" s="542"/>
      <c r="DD197" s="542"/>
      <c r="DE197" s="542"/>
      <c r="DF197" s="542"/>
      <c r="DG197" s="542"/>
      <c r="DH197" s="542"/>
      <c r="DI197" s="542"/>
      <c r="DJ197" s="542"/>
      <c r="DK197" s="542"/>
      <c r="DL197" s="542"/>
      <c r="DM197" s="542"/>
      <c r="DN197" s="542"/>
      <c r="DO197" s="542"/>
      <c r="DP197" s="542"/>
      <c r="DQ197" s="542"/>
      <c r="DR197" s="542"/>
      <c r="DS197" s="542"/>
      <c r="DT197" s="542"/>
      <c r="DU197" s="542"/>
      <c r="DV197" s="542"/>
      <c r="DW197" s="542"/>
      <c r="DX197" s="542"/>
      <c r="DY197" s="542"/>
      <c r="DZ197" s="542"/>
      <c r="EA197" s="542"/>
      <c r="EB197" s="542"/>
      <c r="EC197" s="542"/>
      <c r="ED197" s="542"/>
      <c r="EE197" s="542"/>
      <c r="EF197" s="542"/>
      <c r="EG197" s="542"/>
      <c r="EH197" s="542"/>
      <c r="EI197" s="542"/>
      <c r="EJ197" s="542"/>
      <c r="EK197" s="542"/>
      <c r="EL197" s="542"/>
      <c r="EM197" s="542"/>
      <c r="EN197" s="542"/>
      <c r="EO197" s="542"/>
      <c r="EP197" s="542"/>
      <c r="EQ197" s="542"/>
      <c r="ER197" s="542"/>
      <c r="ES197" s="542"/>
      <c r="ET197" s="542"/>
      <c r="EU197" s="542"/>
      <c r="EV197" s="542"/>
      <c r="EW197" s="542"/>
      <c r="EX197" s="542"/>
      <c r="EY197" s="542"/>
      <c r="EZ197" s="542"/>
      <c r="FA197" s="542"/>
      <c r="FB197" s="542"/>
      <c r="FC197" s="542"/>
      <c r="FD197" s="542"/>
      <c r="FE197" s="542"/>
      <c r="FF197" s="542"/>
      <c r="FG197" s="542"/>
      <c r="FH197" s="542"/>
      <c r="FI197" s="542"/>
      <c r="FJ197" s="542"/>
      <c r="FK197" s="542"/>
      <c r="FL197" s="542"/>
      <c r="FM197" s="542"/>
      <c r="FN197" s="542"/>
      <c r="FO197" s="542"/>
      <c r="FP197" s="542"/>
      <c r="FQ197" s="542"/>
      <c r="FR197" s="542"/>
      <c r="FS197" s="542"/>
      <c r="FT197" s="542"/>
      <c r="FU197" s="542"/>
      <c r="FV197" s="542"/>
      <c r="FW197" s="542"/>
      <c r="FX197" s="542"/>
      <c r="FY197" s="542"/>
      <c r="FZ197" s="542"/>
      <c r="GA197" s="542"/>
      <c r="GB197" s="542"/>
      <c r="GC197" s="542"/>
      <c r="GD197" s="542"/>
      <c r="GE197" s="542"/>
      <c r="GF197" s="542"/>
      <c r="GG197" s="542"/>
      <c r="GH197" s="542"/>
      <c r="GI197" s="542"/>
      <c r="GJ197" s="542"/>
      <c r="GK197" s="542"/>
      <c r="GL197" s="542"/>
      <c r="GM197" s="542"/>
      <c r="GN197" s="542"/>
      <c r="GO197" s="542"/>
      <c r="GP197" s="542"/>
      <c r="GQ197" s="542"/>
      <c r="GR197" s="542"/>
      <c r="GS197" s="542"/>
      <c r="GT197" s="542"/>
      <c r="GU197" s="542"/>
      <c r="GV197" s="542"/>
      <c r="GW197" s="542"/>
      <c r="GX197" s="542"/>
      <c r="GY197" s="542"/>
      <c r="GZ197" s="542"/>
      <c r="HA197" s="542"/>
      <c r="HB197" s="542"/>
      <c r="HC197" s="542"/>
      <c r="HD197" s="542"/>
      <c r="HE197" s="542"/>
      <c r="HF197" s="542"/>
      <c r="HG197" s="542"/>
      <c r="HH197" s="542"/>
      <c r="HI197" s="542"/>
      <c r="HJ197" s="542"/>
      <c r="HK197" s="542"/>
      <c r="HL197" s="542"/>
      <c r="HM197" s="542"/>
      <c r="HN197" s="542"/>
      <c r="HO197" s="542"/>
      <c r="HP197" s="542"/>
      <c r="HQ197" s="542"/>
      <c r="HR197" s="542"/>
      <c r="HS197" s="542"/>
      <c r="HT197" s="542"/>
      <c r="HU197" s="542"/>
      <c r="HV197" s="542"/>
      <c r="HW197" s="542"/>
      <c r="HX197" s="542"/>
      <c r="HY197" s="542"/>
      <c r="HZ197" s="542"/>
      <c r="IA197" s="542"/>
      <c r="IB197" s="542"/>
      <c r="IC197" s="542"/>
      <c r="ID197" s="542"/>
      <c r="IE197" s="542"/>
      <c r="IF197" s="542"/>
      <c r="IG197" s="542"/>
      <c r="IH197" s="542"/>
      <c r="II197" s="542"/>
      <c r="IJ197" s="542"/>
      <c r="IK197" s="542"/>
      <c r="IL197" s="542"/>
      <c r="IM197" s="542"/>
      <c r="IN197" s="542"/>
      <c r="IO197" s="542"/>
      <c r="IP197" s="542"/>
      <c r="IQ197" s="542"/>
      <c r="IR197" s="542"/>
      <c r="IS197" s="542"/>
      <c r="IT197" s="542"/>
      <c r="IU197" s="542"/>
      <c r="IV197" s="542"/>
      <c r="IW197" s="542"/>
      <c r="IX197" s="542"/>
      <c r="IY197" s="542"/>
      <c r="IZ197" s="542"/>
      <c r="JA197" s="542"/>
      <c r="JB197" s="542"/>
    </row>
    <row r="198" spans="55:262" ht="18.899999999999999" customHeight="1">
      <c r="BC198" s="1614"/>
      <c r="BD198" s="1614"/>
      <c r="BE198" s="1614"/>
      <c r="CZ198" s="542"/>
      <c r="DA198" s="542"/>
      <c r="DB198" s="542"/>
      <c r="DC198" s="542"/>
      <c r="DD198" s="542"/>
      <c r="DE198" s="542"/>
      <c r="DF198" s="542"/>
      <c r="DG198" s="542"/>
      <c r="DH198" s="542"/>
      <c r="DI198" s="542"/>
      <c r="DJ198" s="542"/>
      <c r="DK198" s="542"/>
      <c r="DL198" s="542"/>
      <c r="DM198" s="542"/>
      <c r="DN198" s="542"/>
      <c r="DO198" s="542"/>
      <c r="DP198" s="542"/>
      <c r="DQ198" s="542"/>
      <c r="DR198" s="542"/>
      <c r="DS198" s="542"/>
      <c r="DT198" s="542"/>
      <c r="DU198" s="542"/>
      <c r="DV198" s="542"/>
      <c r="DW198" s="542"/>
      <c r="DX198" s="542"/>
      <c r="DY198" s="542"/>
      <c r="DZ198" s="542"/>
      <c r="EA198" s="542"/>
      <c r="EB198" s="542"/>
      <c r="EC198" s="542"/>
      <c r="ED198" s="542"/>
      <c r="EE198" s="542"/>
      <c r="EF198" s="542"/>
      <c r="EG198" s="542"/>
      <c r="EH198" s="542"/>
      <c r="EI198" s="542"/>
      <c r="EJ198" s="542"/>
      <c r="EK198" s="542"/>
      <c r="EL198" s="542"/>
      <c r="EM198" s="542"/>
      <c r="EN198" s="542"/>
      <c r="EO198" s="542"/>
      <c r="EP198" s="542"/>
      <c r="EQ198" s="542"/>
      <c r="ER198" s="542"/>
      <c r="ES198" s="542"/>
      <c r="ET198" s="542"/>
      <c r="EU198" s="542"/>
      <c r="EV198" s="542"/>
      <c r="EW198" s="542"/>
      <c r="EX198" s="542"/>
      <c r="EY198" s="542"/>
      <c r="EZ198" s="542"/>
      <c r="FA198" s="542"/>
      <c r="FB198" s="542"/>
      <c r="FC198" s="542"/>
      <c r="FD198" s="542"/>
      <c r="FE198" s="542"/>
      <c r="FF198" s="542"/>
      <c r="FG198" s="542"/>
      <c r="FH198" s="542"/>
      <c r="FI198" s="542"/>
      <c r="FJ198" s="542"/>
      <c r="FK198" s="542"/>
      <c r="FL198" s="542"/>
      <c r="FM198" s="542"/>
      <c r="FN198" s="542"/>
      <c r="FO198" s="542"/>
      <c r="FP198" s="542"/>
      <c r="FQ198" s="542"/>
      <c r="FR198" s="542"/>
      <c r="FS198" s="542"/>
      <c r="FT198" s="542"/>
      <c r="FU198" s="542"/>
      <c r="FV198" s="542"/>
      <c r="FW198" s="542"/>
      <c r="FX198" s="542"/>
      <c r="FY198" s="542"/>
      <c r="FZ198" s="542"/>
      <c r="GA198" s="542"/>
      <c r="GB198" s="542"/>
      <c r="GC198" s="542"/>
      <c r="GD198" s="542"/>
      <c r="GE198" s="542"/>
      <c r="GF198" s="542"/>
      <c r="GG198" s="542"/>
      <c r="GH198" s="542"/>
      <c r="GI198" s="542"/>
      <c r="GJ198" s="542"/>
      <c r="GK198" s="542"/>
      <c r="GL198" s="542"/>
      <c r="GM198" s="542"/>
      <c r="GN198" s="542"/>
      <c r="GO198" s="542"/>
      <c r="GP198" s="542"/>
      <c r="GQ198" s="542"/>
      <c r="GR198" s="542"/>
      <c r="GS198" s="542"/>
      <c r="GT198" s="542"/>
      <c r="GU198" s="542"/>
      <c r="GV198" s="542"/>
      <c r="GW198" s="542"/>
      <c r="GX198" s="542"/>
      <c r="GY198" s="542"/>
      <c r="GZ198" s="542"/>
      <c r="HA198" s="542"/>
      <c r="HB198" s="542"/>
      <c r="HC198" s="542"/>
      <c r="HD198" s="542"/>
      <c r="HE198" s="542"/>
      <c r="HF198" s="542"/>
      <c r="HG198" s="542"/>
      <c r="HH198" s="542"/>
      <c r="HI198" s="542"/>
      <c r="HJ198" s="542"/>
      <c r="HK198" s="542"/>
      <c r="HL198" s="542"/>
      <c r="HM198" s="542"/>
      <c r="HN198" s="542"/>
      <c r="HO198" s="542"/>
      <c r="HP198" s="542"/>
      <c r="HQ198" s="542"/>
      <c r="HR198" s="542"/>
      <c r="HS198" s="542"/>
      <c r="HT198" s="542"/>
      <c r="HU198" s="542"/>
      <c r="HV198" s="542"/>
      <c r="HW198" s="542"/>
      <c r="HX198" s="542"/>
      <c r="HY198" s="542"/>
      <c r="HZ198" s="542"/>
      <c r="IA198" s="542"/>
      <c r="IB198" s="542"/>
      <c r="IC198" s="542"/>
      <c r="ID198" s="542"/>
      <c r="IE198" s="542"/>
      <c r="IF198" s="542"/>
      <c r="IG198" s="542"/>
      <c r="IH198" s="542"/>
      <c r="II198" s="542"/>
      <c r="IJ198" s="542"/>
      <c r="IK198" s="542"/>
      <c r="IL198" s="542"/>
      <c r="IM198" s="542"/>
      <c r="IN198" s="542"/>
      <c r="IO198" s="542"/>
      <c r="IP198" s="542"/>
      <c r="IQ198" s="542"/>
      <c r="IR198" s="542"/>
      <c r="IS198" s="542"/>
      <c r="IT198" s="542"/>
      <c r="IU198" s="542"/>
      <c r="IV198" s="542"/>
      <c r="IW198" s="542"/>
      <c r="IX198" s="542"/>
      <c r="IY198" s="542"/>
      <c r="IZ198" s="542"/>
      <c r="JA198" s="542"/>
      <c r="JB198" s="542"/>
    </row>
    <row r="199" spans="55:262" ht="18.899999999999999" customHeight="1">
      <c r="BC199" s="1614"/>
      <c r="BD199" s="1614"/>
      <c r="BE199" s="1614"/>
      <c r="CZ199" s="542"/>
      <c r="DA199" s="542"/>
      <c r="DB199" s="542"/>
      <c r="DC199" s="542"/>
      <c r="DD199" s="542"/>
      <c r="DE199" s="542"/>
      <c r="DF199" s="542"/>
      <c r="DG199" s="542"/>
      <c r="DH199" s="542"/>
      <c r="DI199" s="542"/>
      <c r="DJ199" s="542"/>
      <c r="DK199" s="542"/>
      <c r="DL199" s="542"/>
      <c r="DM199" s="542"/>
      <c r="DN199" s="542"/>
      <c r="DO199" s="542"/>
      <c r="DP199" s="542"/>
      <c r="DQ199" s="542"/>
      <c r="DR199" s="542"/>
      <c r="DS199" s="542"/>
      <c r="DT199" s="542"/>
      <c r="DU199" s="542"/>
      <c r="DV199" s="542"/>
      <c r="DW199" s="542"/>
      <c r="DX199" s="542"/>
      <c r="DY199" s="542"/>
      <c r="DZ199" s="542"/>
      <c r="EA199" s="542"/>
      <c r="EB199" s="542"/>
      <c r="EC199" s="542"/>
      <c r="ED199" s="542"/>
      <c r="EE199" s="542"/>
      <c r="EF199" s="542"/>
      <c r="EG199" s="542"/>
      <c r="EH199" s="542"/>
      <c r="EI199" s="542"/>
      <c r="EJ199" s="542"/>
      <c r="EK199" s="542"/>
      <c r="EL199" s="542"/>
      <c r="EM199" s="542"/>
      <c r="EN199" s="542"/>
      <c r="EO199" s="542"/>
      <c r="EP199" s="542"/>
      <c r="EQ199" s="542"/>
      <c r="ER199" s="542"/>
      <c r="ES199" s="542"/>
      <c r="ET199" s="542"/>
      <c r="EU199" s="542"/>
      <c r="EV199" s="542"/>
      <c r="EW199" s="542"/>
      <c r="EX199" s="542"/>
      <c r="EY199" s="542"/>
      <c r="EZ199" s="542"/>
      <c r="FA199" s="542"/>
      <c r="FB199" s="542"/>
      <c r="FC199" s="542"/>
      <c r="FD199" s="542"/>
      <c r="FE199" s="542"/>
      <c r="FF199" s="542"/>
      <c r="FG199" s="542"/>
      <c r="FH199" s="542"/>
      <c r="FI199" s="542"/>
      <c r="FJ199" s="542"/>
      <c r="FK199" s="542"/>
      <c r="FL199" s="542"/>
      <c r="FM199" s="542"/>
      <c r="FN199" s="542"/>
      <c r="FO199" s="542"/>
      <c r="FP199" s="542"/>
      <c r="FQ199" s="542"/>
      <c r="FR199" s="542"/>
      <c r="FS199" s="542"/>
      <c r="FT199" s="542"/>
      <c r="FU199" s="542"/>
      <c r="FV199" s="542"/>
      <c r="FW199" s="542"/>
      <c r="FX199" s="542"/>
      <c r="FY199" s="542"/>
      <c r="FZ199" s="542"/>
      <c r="GA199" s="542"/>
      <c r="GB199" s="542"/>
      <c r="GC199" s="542"/>
      <c r="GD199" s="542"/>
      <c r="GE199" s="542"/>
      <c r="GF199" s="542"/>
      <c r="GG199" s="542"/>
      <c r="GH199" s="542"/>
      <c r="GI199" s="542"/>
      <c r="GJ199" s="542"/>
      <c r="GK199" s="542"/>
      <c r="GL199" s="542"/>
      <c r="GM199" s="542"/>
      <c r="GN199" s="542"/>
      <c r="GO199" s="542"/>
      <c r="GP199" s="542"/>
      <c r="GQ199" s="542"/>
      <c r="GR199" s="542"/>
      <c r="GS199" s="542"/>
      <c r="GT199" s="542"/>
      <c r="GU199" s="542"/>
      <c r="GV199" s="542"/>
      <c r="GW199" s="542"/>
      <c r="GX199" s="542"/>
      <c r="GY199" s="542"/>
      <c r="GZ199" s="542"/>
      <c r="HA199" s="542"/>
      <c r="HB199" s="542"/>
      <c r="HC199" s="542"/>
      <c r="HD199" s="542"/>
      <c r="HE199" s="542"/>
      <c r="HF199" s="542"/>
      <c r="HG199" s="542"/>
      <c r="HH199" s="542"/>
      <c r="HI199" s="542"/>
      <c r="HJ199" s="542"/>
      <c r="HK199" s="542"/>
      <c r="HL199" s="542"/>
      <c r="HM199" s="542"/>
      <c r="HN199" s="542"/>
      <c r="HO199" s="542"/>
      <c r="HP199" s="542"/>
      <c r="HQ199" s="542"/>
      <c r="HR199" s="542"/>
      <c r="HS199" s="542"/>
      <c r="HT199" s="542"/>
      <c r="HU199" s="542"/>
      <c r="HV199" s="542"/>
      <c r="HW199" s="542"/>
      <c r="HX199" s="542"/>
      <c r="HY199" s="542"/>
      <c r="HZ199" s="542"/>
      <c r="IA199" s="542"/>
      <c r="IB199" s="542"/>
      <c r="IC199" s="542"/>
      <c r="ID199" s="542"/>
      <c r="IE199" s="542"/>
      <c r="IF199" s="542"/>
      <c r="IG199" s="542"/>
      <c r="IH199" s="542"/>
      <c r="II199" s="542"/>
      <c r="IJ199" s="542"/>
      <c r="IK199" s="542"/>
      <c r="IL199" s="542"/>
      <c r="IM199" s="542"/>
      <c r="IN199" s="542"/>
      <c r="IO199" s="542"/>
      <c r="IP199" s="542"/>
      <c r="IQ199" s="542"/>
      <c r="IR199" s="542"/>
      <c r="IS199" s="542"/>
      <c r="IT199" s="542"/>
      <c r="IU199" s="542"/>
      <c r="IV199" s="542"/>
      <c r="IW199" s="542"/>
      <c r="IX199" s="542"/>
      <c r="IY199" s="542"/>
      <c r="IZ199" s="542"/>
      <c r="JA199" s="542"/>
      <c r="JB199" s="542"/>
    </row>
    <row r="200" spans="55:262" ht="18.899999999999999" customHeight="1">
      <c r="BC200" s="1614"/>
      <c r="BD200" s="1614"/>
      <c r="BE200" s="1614"/>
      <c r="CZ200" s="542"/>
      <c r="DA200" s="542"/>
      <c r="DB200" s="542"/>
      <c r="DC200" s="542"/>
      <c r="DD200" s="542"/>
      <c r="DE200" s="542"/>
      <c r="DF200" s="542"/>
      <c r="DG200" s="542"/>
      <c r="DH200" s="542"/>
      <c r="DI200" s="542"/>
      <c r="DJ200" s="542"/>
      <c r="DK200" s="542"/>
      <c r="DL200" s="542"/>
      <c r="DM200" s="542"/>
      <c r="DN200" s="542"/>
      <c r="DO200" s="542"/>
      <c r="DP200" s="542"/>
      <c r="DQ200" s="542"/>
      <c r="DR200" s="542"/>
      <c r="DS200" s="542"/>
      <c r="DT200" s="542"/>
      <c r="DU200" s="542"/>
      <c r="DV200" s="542"/>
      <c r="DW200" s="542"/>
      <c r="DX200" s="542"/>
      <c r="DY200" s="542"/>
      <c r="DZ200" s="542"/>
      <c r="EA200" s="542"/>
      <c r="EB200" s="542"/>
      <c r="EC200" s="542"/>
      <c r="ED200" s="542"/>
      <c r="EE200" s="542"/>
      <c r="EF200" s="542"/>
      <c r="EG200" s="542"/>
      <c r="EH200" s="542"/>
      <c r="EI200" s="542"/>
      <c r="EJ200" s="542"/>
      <c r="EK200" s="542"/>
      <c r="EL200" s="542"/>
      <c r="EM200" s="542"/>
      <c r="EN200" s="542"/>
      <c r="EO200" s="542"/>
      <c r="EP200" s="542"/>
      <c r="EQ200" s="542"/>
      <c r="ER200" s="542"/>
      <c r="ES200" s="542"/>
      <c r="ET200" s="542"/>
      <c r="EU200" s="542"/>
      <c r="EV200" s="542"/>
      <c r="EW200" s="542"/>
      <c r="EX200" s="542"/>
      <c r="EY200" s="542"/>
      <c r="EZ200" s="542"/>
      <c r="FA200" s="542"/>
      <c r="FB200" s="542"/>
      <c r="FC200" s="542"/>
      <c r="FD200" s="542"/>
      <c r="FE200" s="542"/>
      <c r="FF200" s="542"/>
      <c r="FG200" s="542"/>
      <c r="FH200" s="542"/>
      <c r="FI200" s="542"/>
      <c r="FJ200" s="542"/>
      <c r="FK200" s="542"/>
      <c r="FL200" s="542"/>
      <c r="FM200" s="542"/>
      <c r="FN200" s="542"/>
      <c r="FO200" s="542"/>
      <c r="FP200" s="542"/>
      <c r="FQ200" s="542"/>
      <c r="FR200" s="542"/>
      <c r="FS200" s="542"/>
      <c r="FT200" s="542"/>
      <c r="FU200" s="542"/>
      <c r="FV200" s="542"/>
      <c r="FW200" s="542"/>
      <c r="FX200" s="542"/>
      <c r="FY200" s="542"/>
      <c r="FZ200" s="542"/>
      <c r="GA200" s="542"/>
      <c r="GB200" s="542"/>
      <c r="GC200" s="542"/>
      <c r="GD200" s="542"/>
      <c r="GE200" s="542"/>
      <c r="GF200" s="542"/>
      <c r="GG200" s="542"/>
      <c r="GH200" s="542"/>
      <c r="GI200" s="542"/>
      <c r="GJ200" s="542"/>
      <c r="GK200" s="542"/>
      <c r="GL200" s="542"/>
      <c r="GM200" s="542"/>
      <c r="GN200" s="542"/>
      <c r="GO200" s="542"/>
      <c r="GP200" s="542"/>
      <c r="GQ200" s="542"/>
      <c r="GR200" s="542"/>
      <c r="GS200" s="542"/>
      <c r="GT200" s="542"/>
      <c r="GU200" s="542"/>
      <c r="GV200" s="542"/>
      <c r="GW200" s="542"/>
      <c r="GX200" s="542"/>
      <c r="GY200" s="542"/>
      <c r="GZ200" s="542"/>
      <c r="HA200" s="542"/>
      <c r="HB200" s="542"/>
      <c r="HC200" s="542"/>
      <c r="HD200" s="542"/>
      <c r="HE200" s="542"/>
      <c r="HF200" s="542"/>
      <c r="HG200" s="542"/>
      <c r="HH200" s="542"/>
      <c r="HI200" s="542"/>
      <c r="HJ200" s="542"/>
      <c r="HK200" s="542"/>
      <c r="HL200" s="542"/>
      <c r="HM200" s="542"/>
      <c r="HN200" s="542"/>
      <c r="HO200" s="542"/>
      <c r="HP200" s="542"/>
      <c r="HQ200" s="542"/>
      <c r="HR200" s="542"/>
      <c r="HS200" s="542"/>
      <c r="HT200" s="542"/>
      <c r="HU200" s="542"/>
      <c r="HV200" s="542"/>
      <c r="HW200" s="542"/>
      <c r="HX200" s="542"/>
      <c r="HY200" s="542"/>
      <c r="HZ200" s="542"/>
      <c r="IA200" s="542"/>
      <c r="IB200" s="542"/>
      <c r="IC200" s="542"/>
      <c r="ID200" s="542"/>
      <c r="IE200" s="542"/>
      <c r="IF200" s="542"/>
      <c r="IG200" s="542"/>
      <c r="IH200" s="542"/>
      <c r="II200" s="542"/>
      <c r="IJ200" s="542"/>
      <c r="IK200" s="542"/>
      <c r="IL200" s="542"/>
      <c r="IM200" s="542"/>
      <c r="IN200" s="542"/>
      <c r="IO200" s="542"/>
      <c r="IP200" s="542"/>
      <c r="IQ200" s="542"/>
      <c r="IR200" s="542"/>
      <c r="IS200" s="542"/>
      <c r="IT200" s="542"/>
      <c r="IU200" s="542"/>
      <c r="IV200" s="542"/>
      <c r="IW200" s="542"/>
      <c r="IX200" s="542"/>
      <c r="IY200" s="542"/>
      <c r="IZ200" s="542"/>
      <c r="JA200" s="542"/>
      <c r="JB200" s="542"/>
    </row>
    <row r="201" spans="55:262" ht="18.899999999999999" customHeight="1">
      <c r="BC201" s="1614"/>
      <c r="BD201" s="1614"/>
      <c r="BE201" s="1614"/>
      <c r="CZ201" s="542"/>
      <c r="DA201" s="542"/>
      <c r="DB201" s="542"/>
      <c r="DC201" s="542"/>
      <c r="DD201" s="542"/>
      <c r="DE201" s="542"/>
      <c r="DF201" s="542"/>
      <c r="DG201" s="542"/>
      <c r="DH201" s="542"/>
      <c r="DI201" s="542"/>
      <c r="DJ201" s="542"/>
      <c r="DK201" s="542"/>
      <c r="DL201" s="542"/>
      <c r="DM201" s="542"/>
      <c r="DN201" s="542"/>
      <c r="DO201" s="542"/>
      <c r="DP201" s="542"/>
      <c r="DQ201" s="542"/>
      <c r="DR201" s="542"/>
      <c r="DS201" s="542"/>
      <c r="DT201" s="542"/>
      <c r="DU201" s="542"/>
      <c r="DV201" s="542"/>
      <c r="DW201" s="542"/>
      <c r="DX201" s="542"/>
      <c r="DY201" s="542"/>
      <c r="DZ201" s="542"/>
      <c r="EA201" s="542"/>
      <c r="EB201" s="542"/>
      <c r="EC201" s="542"/>
      <c r="ED201" s="542"/>
      <c r="EE201" s="542"/>
      <c r="EF201" s="542"/>
      <c r="EG201" s="542"/>
      <c r="EH201" s="542"/>
      <c r="EI201" s="542"/>
      <c r="EJ201" s="542"/>
      <c r="EK201" s="542"/>
      <c r="EL201" s="542"/>
      <c r="EM201" s="542"/>
      <c r="EN201" s="542"/>
      <c r="EO201" s="542"/>
      <c r="EP201" s="542"/>
      <c r="EQ201" s="542"/>
      <c r="ER201" s="542"/>
      <c r="ES201" s="542"/>
      <c r="ET201" s="542"/>
      <c r="EU201" s="542"/>
      <c r="EV201" s="542"/>
      <c r="EW201" s="542"/>
      <c r="EX201" s="542"/>
      <c r="EY201" s="542"/>
      <c r="EZ201" s="542"/>
      <c r="FA201" s="542"/>
      <c r="FB201" s="542"/>
      <c r="FC201" s="542"/>
      <c r="FD201" s="542"/>
      <c r="FE201" s="542"/>
      <c r="FF201" s="542"/>
      <c r="FG201" s="542"/>
      <c r="FH201" s="542"/>
      <c r="FI201" s="542"/>
      <c r="FJ201" s="542"/>
      <c r="FK201" s="542"/>
      <c r="FL201" s="542"/>
      <c r="FM201" s="542"/>
      <c r="FN201" s="542"/>
      <c r="FO201" s="542"/>
      <c r="FP201" s="542"/>
      <c r="FQ201" s="542"/>
      <c r="FR201" s="542"/>
      <c r="FS201" s="542"/>
      <c r="FT201" s="542"/>
      <c r="FU201" s="542"/>
      <c r="FV201" s="542"/>
      <c r="FW201" s="542"/>
      <c r="FX201" s="542"/>
      <c r="FY201" s="542"/>
      <c r="FZ201" s="542"/>
      <c r="GA201" s="542"/>
      <c r="GB201" s="542"/>
      <c r="GC201" s="542"/>
      <c r="GD201" s="542"/>
      <c r="GE201" s="542"/>
      <c r="GF201" s="542"/>
      <c r="GG201" s="542"/>
      <c r="GH201" s="542"/>
      <c r="GI201" s="542"/>
      <c r="GJ201" s="542"/>
      <c r="GK201" s="542"/>
      <c r="GL201" s="542"/>
      <c r="GM201" s="542"/>
      <c r="GN201" s="542"/>
      <c r="GO201" s="542"/>
      <c r="GP201" s="542"/>
      <c r="GQ201" s="542"/>
      <c r="GR201" s="542"/>
      <c r="GS201" s="542"/>
      <c r="GT201" s="542"/>
      <c r="GU201" s="542"/>
      <c r="GV201" s="542"/>
      <c r="GW201" s="542"/>
      <c r="GX201" s="542"/>
      <c r="GY201" s="542"/>
      <c r="GZ201" s="542"/>
      <c r="HA201" s="542"/>
      <c r="HB201" s="542"/>
      <c r="HC201" s="542"/>
      <c r="HD201" s="542"/>
      <c r="HE201" s="542"/>
      <c r="HF201" s="542"/>
      <c r="HG201" s="542"/>
      <c r="HH201" s="542"/>
      <c r="HI201" s="542"/>
      <c r="HJ201" s="542"/>
      <c r="HK201" s="542"/>
      <c r="HL201" s="542"/>
      <c r="HM201" s="542"/>
      <c r="HN201" s="542"/>
      <c r="HO201" s="542"/>
      <c r="HP201" s="542"/>
      <c r="HQ201" s="542"/>
      <c r="HR201" s="542"/>
      <c r="HS201" s="542"/>
      <c r="HT201" s="542"/>
      <c r="HU201" s="542"/>
      <c r="HV201" s="542"/>
      <c r="HW201" s="542"/>
      <c r="HX201" s="542"/>
      <c r="HY201" s="542"/>
      <c r="HZ201" s="542"/>
      <c r="IA201" s="542"/>
      <c r="IB201" s="542"/>
      <c r="IC201" s="542"/>
      <c r="ID201" s="542"/>
      <c r="IE201" s="542"/>
      <c r="IF201" s="542"/>
      <c r="IG201" s="542"/>
      <c r="IH201" s="542"/>
      <c r="II201" s="542"/>
      <c r="IJ201" s="542"/>
      <c r="IK201" s="542"/>
      <c r="IL201" s="542"/>
      <c r="IM201" s="542"/>
      <c r="IN201" s="542"/>
      <c r="IO201" s="542"/>
      <c r="IP201" s="542"/>
      <c r="IQ201" s="542"/>
      <c r="IR201" s="542"/>
      <c r="IS201" s="542"/>
      <c r="IT201" s="542"/>
      <c r="IU201" s="542"/>
      <c r="IV201" s="542"/>
      <c r="IW201" s="542"/>
      <c r="IX201" s="542"/>
      <c r="IY201" s="542"/>
      <c r="IZ201" s="542"/>
      <c r="JA201" s="542"/>
      <c r="JB201" s="542"/>
    </row>
    <row r="202" spans="55:262" ht="18.899999999999999" customHeight="1">
      <c r="BC202" s="1614"/>
      <c r="BD202" s="1614"/>
      <c r="BE202" s="1614"/>
      <c r="CZ202" s="542"/>
      <c r="DA202" s="542"/>
      <c r="DB202" s="542"/>
      <c r="DC202" s="542"/>
      <c r="DD202" s="542"/>
      <c r="DE202" s="542"/>
      <c r="DF202" s="542"/>
      <c r="DG202" s="542"/>
      <c r="DH202" s="542"/>
      <c r="DI202" s="542"/>
      <c r="DJ202" s="542"/>
      <c r="DK202" s="542"/>
      <c r="DL202" s="542"/>
      <c r="DM202" s="542"/>
      <c r="DN202" s="542"/>
      <c r="DO202" s="542"/>
      <c r="DP202" s="542"/>
      <c r="DQ202" s="542"/>
      <c r="DR202" s="542"/>
      <c r="DS202" s="542"/>
      <c r="DT202" s="542"/>
      <c r="DU202" s="542"/>
      <c r="DV202" s="542"/>
      <c r="DW202" s="542"/>
      <c r="DX202" s="542"/>
      <c r="DY202" s="542"/>
      <c r="DZ202" s="542"/>
      <c r="EA202" s="542"/>
      <c r="EB202" s="542"/>
      <c r="EC202" s="542"/>
      <c r="ED202" s="542"/>
      <c r="EE202" s="542"/>
      <c r="EF202" s="542"/>
      <c r="EG202" s="542"/>
      <c r="EH202" s="542"/>
      <c r="EI202" s="542"/>
      <c r="EJ202" s="542"/>
      <c r="EK202" s="542"/>
      <c r="EL202" s="542"/>
      <c r="EM202" s="542"/>
      <c r="EN202" s="542"/>
      <c r="EO202" s="542"/>
      <c r="EP202" s="542"/>
      <c r="EQ202" s="542"/>
      <c r="ER202" s="542"/>
      <c r="ES202" s="542"/>
      <c r="ET202" s="542"/>
      <c r="EU202" s="542"/>
      <c r="EV202" s="542"/>
      <c r="EW202" s="542"/>
      <c r="EX202" s="542"/>
      <c r="EY202" s="542"/>
      <c r="EZ202" s="542"/>
      <c r="FA202" s="542"/>
      <c r="FB202" s="542"/>
      <c r="FC202" s="542"/>
      <c r="FD202" s="542"/>
      <c r="FE202" s="542"/>
      <c r="FF202" s="542"/>
      <c r="FG202" s="542"/>
      <c r="FH202" s="542"/>
      <c r="FI202" s="542"/>
      <c r="FJ202" s="542"/>
      <c r="FK202" s="542"/>
      <c r="FL202" s="542"/>
      <c r="FM202" s="542"/>
      <c r="FN202" s="542"/>
      <c r="FO202" s="542"/>
      <c r="FP202" s="542"/>
      <c r="FQ202" s="542"/>
      <c r="FR202" s="542"/>
      <c r="FS202" s="542"/>
      <c r="FT202" s="542"/>
      <c r="FU202" s="542"/>
      <c r="FV202" s="542"/>
      <c r="FW202" s="542"/>
      <c r="FX202" s="542"/>
      <c r="FY202" s="542"/>
      <c r="FZ202" s="542"/>
      <c r="GA202" s="542"/>
      <c r="GB202" s="542"/>
      <c r="GC202" s="542"/>
      <c r="GD202" s="542"/>
      <c r="GE202" s="542"/>
      <c r="GF202" s="542"/>
      <c r="GG202" s="542"/>
      <c r="GH202" s="542"/>
      <c r="GI202" s="542"/>
      <c r="GJ202" s="542"/>
      <c r="GK202" s="542"/>
      <c r="GL202" s="542"/>
      <c r="GM202" s="542"/>
      <c r="GN202" s="542"/>
      <c r="GO202" s="542"/>
      <c r="GP202" s="542"/>
      <c r="GQ202" s="542"/>
      <c r="GR202" s="542"/>
      <c r="GS202" s="542"/>
      <c r="GT202" s="542"/>
      <c r="GU202" s="542"/>
      <c r="GV202" s="542"/>
      <c r="GW202" s="542"/>
      <c r="GX202" s="542"/>
      <c r="GY202" s="542"/>
      <c r="GZ202" s="542"/>
      <c r="HA202" s="542"/>
      <c r="HB202" s="542"/>
      <c r="HC202" s="542"/>
      <c r="HD202" s="542"/>
      <c r="HE202" s="542"/>
      <c r="HF202" s="542"/>
      <c r="HG202" s="542"/>
      <c r="HH202" s="542"/>
      <c r="HI202" s="542"/>
      <c r="HJ202" s="542"/>
      <c r="HK202" s="542"/>
      <c r="HL202" s="542"/>
      <c r="HM202" s="542"/>
      <c r="HN202" s="542"/>
      <c r="HO202" s="542"/>
      <c r="HP202" s="542"/>
      <c r="HQ202" s="542"/>
      <c r="HR202" s="542"/>
      <c r="HS202" s="542"/>
      <c r="HT202" s="542"/>
      <c r="HU202" s="542"/>
      <c r="HV202" s="542"/>
      <c r="HW202" s="542"/>
      <c r="HX202" s="542"/>
      <c r="HY202" s="542"/>
      <c r="HZ202" s="542"/>
      <c r="IA202" s="542"/>
      <c r="IB202" s="542"/>
      <c r="IC202" s="542"/>
      <c r="ID202" s="542"/>
      <c r="IE202" s="542"/>
      <c r="IF202" s="542"/>
      <c r="IG202" s="542"/>
      <c r="IH202" s="542"/>
      <c r="II202" s="542"/>
      <c r="IJ202" s="542"/>
      <c r="IK202" s="542"/>
      <c r="IL202" s="542"/>
      <c r="IM202" s="542"/>
      <c r="IN202" s="542"/>
      <c r="IO202" s="542"/>
      <c r="IP202" s="542"/>
      <c r="IQ202" s="542"/>
      <c r="IR202" s="542"/>
      <c r="IS202" s="542"/>
      <c r="IT202" s="542"/>
      <c r="IU202" s="542"/>
      <c r="IV202" s="542"/>
      <c r="IW202" s="542"/>
      <c r="IX202" s="542"/>
      <c r="IY202" s="542"/>
      <c r="IZ202" s="542"/>
      <c r="JA202" s="542"/>
      <c r="JB202" s="542"/>
    </row>
    <row r="203" spans="55:262" ht="18.899999999999999" customHeight="1">
      <c r="BC203" s="1614"/>
      <c r="BD203" s="1614"/>
      <c r="BE203" s="1614"/>
      <c r="CZ203" s="542"/>
      <c r="DA203" s="542"/>
      <c r="DB203" s="542"/>
      <c r="DC203" s="542"/>
      <c r="DD203" s="542"/>
      <c r="DE203" s="542"/>
      <c r="DF203" s="542"/>
      <c r="DG203" s="542"/>
      <c r="DH203" s="542"/>
      <c r="DI203" s="542"/>
      <c r="DJ203" s="542"/>
      <c r="DK203" s="542"/>
      <c r="DL203" s="542"/>
      <c r="DM203" s="542"/>
      <c r="DN203" s="542"/>
      <c r="DO203" s="542"/>
      <c r="DP203" s="542"/>
      <c r="DQ203" s="542"/>
      <c r="DR203" s="542"/>
      <c r="DS203" s="542"/>
      <c r="DT203" s="542"/>
      <c r="DU203" s="542"/>
      <c r="DV203" s="542"/>
      <c r="DW203" s="542"/>
      <c r="DX203" s="542"/>
      <c r="DY203" s="542"/>
      <c r="DZ203" s="542"/>
      <c r="EA203" s="542"/>
      <c r="EB203" s="542"/>
      <c r="EC203" s="542"/>
      <c r="ED203" s="542"/>
      <c r="EE203" s="542"/>
      <c r="EF203" s="542"/>
      <c r="EG203" s="542"/>
      <c r="EH203" s="542"/>
      <c r="EI203" s="542"/>
      <c r="EJ203" s="542"/>
      <c r="EK203" s="542"/>
      <c r="EL203" s="542"/>
      <c r="EM203" s="542"/>
      <c r="EN203" s="542"/>
      <c r="EO203" s="542"/>
      <c r="EP203" s="542"/>
      <c r="EQ203" s="542"/>
      <c r="ER203" s="542"/>
      <c r="ES203" s="542"/>
      <c r="ET203" s="542"/>
      <c r="EU203" s="542"/>
      <c r="EV203" s="542"/>
      <c r="EW203" s="542"/>
      <c r="EX203" s="542"/>
      <c r="EY203" s="542"/>
      <c r="EZ203" s="542"/>
      <c r="FA203" s="542"/>
      <c r="FB203" s="542"/>
      <c r="FC203" s="542"/>
      <c r="FD203" s="542"/>
      <c r="FE203" s="542"/>
      <c r="FF203" s="542"/>
      <c r="FG203" s="542"/>
      <c r="FH203" s="542"/>
      <c r="FI203" s="542"/>
      <c r="FJ203" s="542"/>
      <c r="FK203" s="542"/>
      <c r="FL203" s="542"/>
      <c r="FM203" s="542"/>
      <c r="FN203" s="542"/>
      <c r="FO203" s="542"/>
      <c r="FP203" s="542"/>
      <c r="FQ203" s="542"/>
      <c r="FR203" s="542"/>
      <c r="FS203" s="542"/>
      <c r="FT203" s="542"/>
      <c r="FU203" s="542"/>
      <c r="FV203" s="542"/>
      <c r="FW203" s="542"/>
      <c r="FX203" s="542"/>
      <c r="FY203" s="542"/>
      <c r="FZ203" s="542"/>
      <c r="GA203" s="542"/>
      <c r="GB203" s="542"/>
      <c r="GC203" s="542"/>
      <c r="GD203" s="542"/>
      <c r="GE203" s="542"/>
      <c r="GF203" s="542"/>
      <c r="GG203" s="542"/>
      <c r="GH203" s="542"/>
      <c r="GI203" s="542"/>
      <c r="GJ203" s="542"/>
      <c r="GK203" s="542"/>
      <c r="GL203" s="542"/>
      <c r="GM203" s="542"/>
      <c r="GN203" s="542"/>
      <c r="GO203" s="542"/>
      <c r="GP203" s="542"/>
      <c r="GQ203" s="542"/>
      <c r="GR203" s="542"/>
      <c r="GS203" s="542"/>
      <c r="GT203" s="542"/>
      <c r="GU203" s="542"/>
      <c r="GV203" s="542"/>
      <c r="GW203" s="542"/>
      <c r="GX203" s="542"/>
      <c r="GY203" s="542"/>
      <c r="GZ203" s="542"/>
      <c r="HA203" s="542"/>
      <c r="HB203" s="542"/>
      <c r="HC203" s="542"/>
      <c r="HD203" s="542"/>
      <c r="HE203" s="542"/>
      <c r="HF203" s="542"/>
      <c r="HG203" s="542"/>
      <c r="HH203" s="542"/>
      <c r="HI203" s="542"/>
      <c r="HJ203" s="542"/>
      <c r="HK203" s="542"/>
      <c r="HL203" s="542"/>
      <c r="HM203" s="542"/>
      <c r="HN203" s="542"/>
      <c r="HO203" s="542"/>
      <c r="HP203" s="542"/>
      <c r="HQ203" s="542"/>
      <c r="HR203" s="542"/>
      <c r="HS203" s="542"/>
      <c r="HT203" s="542"/>
      <c r="HU203" s="542"/>
      <c r="HV203" s="542"/>
      <c r="HW203" s="542"/>
      <c r="HX203" s="542"/>
      <c r="HY203" s="542"/>
      <c r="HZ203" s="542"/>
      <c r="IA203" s="542"/>
      <c r="IB203" s="542"/>
      <c r="IC203" s="542"/>
      <c r="ID203" s="542"/>
      <c r="IE203" s="542"/>
      <c r="IF203" s="542"/>
      <c r="IG203" s="542"/>
      <c r="IH203" s="542"/>
      <c r="II203" s="542"/>
      <c r="IJ203" s="542"/>
      <c r="IK203" s="542"/>
      <c r="IL203" s="542"/>
      <c r="IM203" s="542"/>
      <c r="IN203" s="542"/>
      <c r="IO203" s="542"/>
      <c r="IP203" s="542"/>
      <c r="IQ203" s="542"/>
      <c r="IR203" s="542"/>
      <c r="IS203" s="542"/>
      <c r="IT203" s="542"/>
      <c r="IU203" s="542"/>
      <c r="IV203" s="542"/>
      <c r="IW203" s="542"/>
      <c r="IX203" s="542"/>
      <c r="IY203" s="542"/>
      <c r="IZ203" s="542"/>
      <c r="JA203" s="542"/>
      <c r="JB203" s="542"/>
    </row>
    <row r="204" spans="55:262" ht="18.899999999999999" customHeight="1">
      <c r="BC204" s="1614"/>
      <c r="BD204" s="1614"/>
      <c r="BE204" s="1614"/>
      <c r="CZ204" s="542"/>
      <c r="DA204" s="542"/>
      <c r="DB204" s="542"/>
      <c r="DC204" s="542"/>
      <c r="DD204" s="542"/>
      <c r="DE204" s="542"/>
      <c r="DF204" s="542"/>
      <c r="DG204" s="542"/>
      <c r="DH204" s="542"/>
      <c r="DI204" s="542"/>
      <c r="DJ204" s="542"/>
      <c r="DK204" s="542"/>
      <c r="DL204" s="542"/>
      <c r="DM204" s="542"/>
      <c r="DN204" s="542"/>
      <c r="DO204" s="542"/>
      <c r="DP204" s="542"/>
      <c r="DQ204" s="542"/>
      <c r="DR204" s="542"/>
      <c r="DS204" s="542"/>
      <c r="DT204" s="542"/>
      <c r="DU204" s="542"/>
      <c r="DV204" s="542"/>
      <c r="DW204" s="542"/>
      <c r="DX204" s="542"/>
      <c r="DY204" s="542"/>
      <c r="DZ204" s="542"/>
      <c r="EA204" s="542"/>
      <c r="EB204" s="542"/>
      <c r="EC204" s="542"/>
      <c r="ED204" s="542"/>
      <c r="EE204" s="542"/>
      <c r="EF204" s="542"/>
      <c r="EG204" s="542"/>
      <c r="EH204" s="542"/>
      <c r="EI204" s="542"/>
      <c r="EJ204" s="542"/>
      <c r="EK204" s="542"/>
      <c r="EL204" s="542"/>
      <c r="EM204" s="542"/>
      <c r="EN204" s="542"/>
      <c r="EO204" s="542"/>
      <c r="EP204" s="542"/>
      <c r="EQ204" s="542"/>
      <c r="ER204" s="542"/>
      <c r="ES204" s="542"/>
      <c r="ET204" s="542"/>
      <c r="EU204" s="542"/>
      <c r="EV204" s="542"/>
      <c r="EW204" s="542"/>
      <c r="EX204" s="542"/>
      <c r="EY204" s="542"/>
      <c r="EZ204" s="542"/>
      <c r="FA204" s="542"/>
      <c r="FB204" s="542"/>
      <c r="FC204" s="542"/>
      <c r="FD204" s="542"/>
      <c r="FE204" s="542"/>
      <c r="FF204" s="542"/>
      <c r="FG204" s="542"/>
      <c r="FH204" s="542"/>
      <c r="FI204" s="542"/>
      <c r="FJ204" s="542"/>
      <c r="FK204" s="542"/>
      <c r="FL204" s="542"/>
      <c r="FM204" s="542"/>
      <c r="FN204" s="542"/>
      <c r="FO204" s="542"/>
      <c r="FP204" s="542"/>
      <c r="FQ204" s="542"/>
      <c r="FR204" s="542"/>
      <c r="FS204" s="542"/>
      <c r="FT204" s="542"/>
      <c r="FU204" s="542"/>
      <c r="FV204" s="542"/>
      <c r="FW204" s="542"/>
      <c r="FX204" s="542"/>
      <c r="FY204" s="542"/>
      <c r="FZ204" s="542"/>
      <c r="GA204" s="542"/>
      <c r="GB204" s="542"/>
      <c r="GC204" s="542"/>
      <c r="GD204" s="542"/>
      <c r="GE204" s="542"/>
      <c r="GF204" s="542"/>
      <c r="GG204" s="542"/>
      <c r="GH204" s="542"/>
      <c r="GI204" s="542"/>
      <c r="GJ204" s="542"/>
      <c r="GK204" s="542"/>
      <c r="GL204" s="542"/>
      <c r="GM204" s="542"/>
      <c r="GN204" s="542"/>
      <c r="GO204" s="542"/>
      <c r="GP204" s="542"/>
      <c r="GQ204" s="542"/>
      <c r="GR204" s="542"/>
      <c r="GS204" s="542"/>
      <c r="GT204" s="542"/>
      <c r="GU204" s="542"/>
      <c r="GV204" s="542"/>
      <c r="GW204" s="542"/>
      <c r="GX204" s="542"/>
      <c r="GY204" s="542"/>
      <c r="GZ204" s="542"/>
      <c r="HA204" s="542"/>
      <c r="HB204" s="542"/>
      <c r="HC204" s="542"/>
      <c r="HD204" s="542"/>
      <c r="HE204" s="542"/>
      <c r="HF204" s="542"/>
      <c r="HG204" s="542"/>
      <c r="HH204" s="542"/>
      <c r="HI204" s="542"/>
      <c r="HJ204" s="542"/>
      <c r="HK204" s="542"/>
      <c r="HL204" s="542"/>
      <c r="HM204" s="542"/>
      <c r="HN204" s="542"/>
      <c r="HO204" s="542"/>
      <c r="HP204" s="542"/>
      <c r="HQ204" s="542"/>
      <c r="HR204" s="542"/>
      <c r="HS204" s="542"/>
      <c r="HT204" s="542"/>
      <c r="HU204" s="542"/>
      <c r="HV204" s="542"/>
      <c r="HW204" s="542"/>
      <c r="HX204" s="542"/>
      <c r="HY204" s="542"/>
      <c r="HZ204" s="542"/>
      <c r="IA204" s="542"/>
      <c r="IB204" s="542"/>
      <c r="IC204" s="542"/>
      <c r="ID204" s="542"/>
      <c r="IE204" s="542"/>
      <c r="IF204" s="542"/>
      <c r="IG204" s="542"/>
      <c r="IH204" s="542"/>
      <c r="II204" s="542"/>
      <c r="IJ204" s="542"/>
      <c r="IK204" s="542"/>
      <c r="IL204" s="542"/>
      <c r="IM204" s="542"/>
      <c r="IN204" s="542"/>
      <c r="IO204" s="542"/>
      <c r="IP204" s="542"/>
      <c r="IQ204" s="542"/>
      <c r="IR204" s="542"/>
      <c r="IS204" s="542"/>
      <c r="IT204" s="542"/>
      <c r="IU204" s="542"/>
      <c r="IV204" s="542"/>
      <c r="IW204" s="542"/>
      <c r="IX204" s="542"/>
      <c r="IY204" s="542"/>
      <c r="IZ204" s="542"/>
      <c r="JA204" s="542"/>
      <c r="JB204" s="542"/>
    </row>
    <row r="205" spans="55:262" ht="18.899999999999999" customHeight="1">
      <c r="BC205" s="1614"/>
      <c r="BD205" s="1614"/>
      <c r="BE205" s="1614"/>
      <c r="CZ205" s="542"/>
      <c r="DA205" s="542"/>
      <c r="DB205" s="542"/>
      <c r="DC205" s="542"/>
      <c r="DD205" s="542"/>
      <c r="DE205" s="542"/>
      <c r="DF205" s="542"/>
      <c r="DG205" s="542"/>
      <c r="DH205" s="542"/>
      <c r="DI205" s="542"/>
      <c r="DJ205" s="542"/>
      <c r="DK205" s="542"/>
      <c r="DL205" s="542"/>
      <c r="DM205" s="542"/>
      <c r="DN205" s="542"/>
      <c r="DO205" s="542"/>
      <c r="DP205" s="542"/>
      <c r="DQ205" s="542"/>
      <c r="DR205" s="542"/>
      <c r="DS205" s="542"/>
      <c r="DT205" s="542"/>
      <c r="DU205" s="542"/>
      <c r="DV205" s="542"/>
      <c r="DW205" s="542"/>
      <c r="DX205" s="542"/>
      <c r="DY205" s="542"/>
      <c r="DZ205" s="542"/>
      <c r="EA205" s="542"/>
      <c r="EB205" s="542"/>
      <c r="EC205" s="542"/>
      <c r="ED205" s="542"/>
      <c r="EE205" s="542"/>
      <c r="EF205" s="542"/>
      <c r="EG205" s="542"/>
      <c r="EH205" s="542"/>
      <c r="EI205" s="542"/>
      <c r="EJ205" s="542"/>
      <c r="EK205" s="542"/>
      <c r="EL205" s="542"/>
      <c r="EM205" s="542"/>
      <c r="EN205" s="542"/>
      <c r="EO205" s="542"/>
      <c r="EP205" s="542"/>
      <c r="EQ205" s="542"/>
      <c r="ER205" s="542"/>
      <c r="ES205" s="542"/>
      <c r="ET205" s="542"/>
      <c r="EU205" s="542"/>
      <c r="EV205" s="542"/>
      <c r="EW205" s="542"/>
      <c r="EX205" s="542"/>
      <c r="EY205" s="542"/>
      <c r="EZ205" s="542"/>
      <c r="FA205" s="542"/>
      <c r="FB205" s="542"/>
      <c r="FC205" s="542"/>
      <c r="FD205" s="542"/>
      <c r="FE205" s="542"/>
      <c r="FF205" s="542"/>
      <c r="FG205" s="542"/>
      <c r="FH205" s="542"/>
      <c r="FI205" s="542"/>
      <c r="FJ205" s="542"/>
      <c r="FK205" s="542"/>
      <c r="FL205" s="542"/>
      <c r="FM205" s="542"/>
      <c r="FN205" s="542"/>
      <c r="FO205" s="542"/>
      <c r="FP205" s="542"/>
      <c r="FQ205" s="542"/>
      <c r="FR205" s="542"/>
      <c r="FS205" s="542"/>
      <c r="FT205" s="542"/>
      <c r="FU205" s="542"/>
      <c r="FV205" s="542"/>
      <c r="FW205" s="542"/>
      <c r="FX205" s="542"/>
      <c r="FY205" s="542"/>
      <c r="FZ205" s="542"/>
      <c r="GA205" s="542"/>
      <c r="GB205" s="542"/>
      <c r="GC205" s="542"/>
      <c r="GD205" s="542"/>
      <c r="GE205" s="542"/>
      <c r="GF205" s="542"/>
      <c r="GG205" s="542"/>
      <c r="GH205" s="542"/>
      <c r="GI205" s="542"/>
      <c r="GJ205" s="542"/>
      <c r="GK205" s="542"/>
      <c r="GL205" s="542"/>
      <c r="GM205" s="542"/>
      <c r="GN205" s="542"/>
      <c r="GO205" s="542"/>
      <c r="GP205" s="542"/>
      <c r="GQ205" s="542"/>
      <c r="GR205" s="542"/>
      <c r="GS205" s="542"/>
      <c r="GT205" s="542"/>
      <c r="GU205" s="542"/>
      <c r="GV205" s="542"/>
      <c r="GW205" s="542"/>
      <c r="GX205" s="542"/>
      <c r="GY205" s="542"/>
      <c r="GZ205" s="542"/>
      <c r="HA205" s="542"/>
      <c r="HB205" s="542"/>
      <c r="HC205" s="542"/>
      <c r="HD205" s="542"/>
      <c r="HE205" s="542"/>
      <c r="HF205" s="542"/>
      <c r="HG205" s="542"/>
      <c r="HH205" s="542"/>
      <c r="HI205" s="542"/>
      <c r="HJ205" s="542"/>
      <c r="HK205" s="542"/>
      <c r="HL205" s="542"/>
      <c r="HM205" s="542"/>
      <c r="HN205" s="542"/>
      <c r="HO205" s="542"/>
      <c r="HP205" s="542"/>
      <c r="HQ205" s="542"/>
      <c r="HR205" s="542"/>
      <c r="HS205" s="542"/>
      <c r="HT205" s="542"/>
      <c r="HU205" s="542"/>
      <c r="HV205" s="542"/>
      <c r="HW205" s="542"/>
      <c r="HX205" s="542"/>
      <c r="HY205" s="542"/>
      <c r="HZ205" s="542"/>
      <c r="IA205" s="542"/>
      <c r="IB205" s="542"/>
      <c r="IC205" s="542"/>
      <c r="ID205" s="542"/>
      <c r="IE205" s="542"/>
      <c r="IF205" s="542"/>
      <c r="IG205" s="542"/>
      <c r="IH205" s="542"/>
      <c r="II205" s="542"/>
      <c r="IJ205" s="542"/>
      <c r="IK205" s="542"/>
      <c r="IL205" s="542"/>
      <c r="IM205" s="542"/>
      <c r="IN205" s="542"/>
      <c r="IO205" s="542"/>
      <c r="IP205" s="542"/>
      <c r="IQ205" s="542"/>
      <c r="IR205" s="542"/>
      <c r="IS205" s="542"/>
      <c r="IT205" s="542"/>
      <c r="IU205" s="542"/>
      <c r="IV205" s="542"/>
      <c r="IW205" s="542"/>
      <c r="IX205" s="542"/>
      <c r="IY205" s="542"/>
      <c r="IZ205" s="542"/>
      <c r="JA205" s="542"/>
      <c r="JB205" s="542"/>
    </row>
    <row r="206" spans="55:262" ht="18.899999999999999" customHeight="1">
      <c r="BC206" s="1614"/>
      <c r="BD206" s="1614"/>
      <c r="BE206" s="1614"/>
      <c r="CZ206" s="542"/>
      <c r="DA206" s="542"/>
      <c r="DB206" s="542"/>
      <c r="DC206" s="542"/>
      <c r="DD206" s="542"/>
      <c r="DE206" s="542"/>
      <c r="DF206" s="542"/>
      <c r="DG206" s="542"/>
      <c r="DH206" s="542"/>
      <c r="DI206" s="542"/>
      <c r="DJ206" s="542"/>
      <c r="DK206" s="542"/>
      <c r="DL206" s="542"/>
      <c r="DM206" s="542"/>
      <c r="DN206" s="542"/>
      <c r="DO206" s="542"/>
      <c r="DP206" s="542"/>
      <c r="DQ206" s="542"/>
      <c r="DR206" s="542"/>
      <c r="DS206" s="542"/>
      <c r="DT206" s="542"/>
      <c r="DU206" s="542"/>
      <c r="DV206" s="542"/>
      <c r="DW206" s="542"/>
      <c r="DX206" s="542"/>
      <c r="DY206" s="542"/>
      <c r="DZ206" s="542"/>
      <c r="EA206" s="542"/>
      <c r="EB206" s="542"/>
      <c r="EC206" s="542"/>
      <c r="ED206" s="542"/>
      <c r="EE206" s="542"/>
      <c r="EF206" s="542"/>
      <c r="EG206" s="542"/>
      <c r="EH206" s="542"/>
      <c r="EI206" s="542"/>
      <c r="EJ206" s="542"/>
      <c r="EK206" s="542"/>
      <c r="EL206" s="542"/>
      <c r="EM206" s="542"/>
      <c r="EN206" s="542"/>
      <c r="EO206" s="542"/>
      <c r="EP206" s="542"/>
      <c r="EQ206" s="542"/>
      <c r="ER206" s="542"/>
      <c r="ES206" s="542"/>
      <c r="ET206" s="542"/>
      <c r="EU206" s="542"/>
      <c r="EV206" s="542"/>
      <c r="EW206" s="542"/>
      <c r="EX206" s="542"/>
      <c r="EY206" s="542"/>
      <c r="EZ206" s="542"/>
      <c r="FA206" s="542"/>
      <c r="FB206" s="542"/>
      <c r="FC206" s="542"/>
      <c r="FD206" s="542"/>
      <c r="FE206" s="542"/>
      <c r="FF206" s="542"/>
      <c r="FG206" s="542"/>
      <c r="FH206" s="542"/>
      <c r="FI206" s="542"/>
      <c r="FJ206" s="542"/>
      <c r="FK206" s="542"/>
      <c r="FL206" s="542"/>
      <c r="FM206" s="542"/>
      <c r="FN206" s="542"/>
      <c r="FO206" s="542"/>
      <c r="FP206" s="542"/>
      <c r="FQ206" s="542"/>
      <c r="FR206" s="542"/>
      <c r="FS206" s="542"/>
      <c r="FT206" s="542"/>
      <c r="FU206" s="542"/>
      <c r="FV206" s="542"/>
      <c r="FW206" s="542"/>
      <c r="FX206" s="542"/>
      <c r="FY206" s="542"/>
      <c r="FZ206" s="542"/>
      <c r="GA206" s="542"/>
      <c r="GB206" s="542"/>
      <c r="GC206" s="542"/>
      <c r="GD206" s="542"/>
      <c r="GE206" s="542"/>
      <c r="GF206" s="542"/>
      <c r="GG206" s="542"/>
      <c r="GH206" s="542"/>
      <c r="GI206" s="542"/>
      <c r="GJ206" s="542"/>
      <c r="GK206" s="542"/>
      <c r="GL206" s="542"/>
      <c r="GM206" s="542"/>
      <c r="GN206" s="542"/>
      <c r="GO206" s="542"/>
      <c r="GP206" s="542"/>
      <c r="GQ206" s="542"/>
      <c r="GR206" s="542"/>
      <c r="GS206" s="542"/>
      <c r="GT206" s="542"/>
      <c r="GU206" s="542"/>
      <c r="GV206" s="542"/>
      <c r="GW206" s="542"/>
      <c r="GX206" s="542"/>
      <c r="GY206" s="542"/>
      <c r="GZ206" s="542"/>
      <c r="HA206" s="542"/>
      <c r="HB206" s="542"/>
      <c r="HC206" s="542"/>
      <c r="HD206" s="542"/>
      <c r="HE206" s="542"/>
      <c r="HF206" s="542"/>
      <c r="HG206" s="542"/>
      <c r="HH206" s="542"/>
      <c r="HI206" s="542"/>
      <c r="HJ206" s="542"/>
      <c r="HK206" s="542"/>
      <c r="HL206" s="542"/>
      <c r="HM206" s="542"/>
      <c r="HN206" s="542"/>
      <c r="HO206" s="542"/>
      <c r="HP206" s="542"/>
      <c r="HQ206" s="542"/>
      <c r="HR206" s="542"/>
      <c r="HS206" s="542"/>
      <c r="HT206" s="542"/>
      <c r="HU206" s="542"/>
      <c r="HV206" s="542"/>
      <c r="HW206" s="542"/>
      <c r="HX206" s="542"/>
      <c r="HY206" s="542"/>
      <c r="HZ206" s="542"/>
      <c r="IA206" s="542"/>
      <c r="IB206" s="542"/>
      <c r="IC206" s="542"/>
      <c r="ID206" s="542"/>
      <c r="IE206" s="542"/>
      <c r="IF206" s="542"/>
      <c r="IG206" s="542"/>
      <c r="IH206" s="542"/>
      <c r="II206" s="542"/>
      <c r="IJ206" s="542"/>
      <c r="IK206" s="542"/>
      <c r="IL206" s="542"/>
      <c r="IM206" s="542"/>
      <c r="IN206" s="542"/>
      <c r="IO206" s="542"/>
      <c r="IP206" s="542"/>
      <c r="IQ206" s="542"/>
      <c r="IR206" s="542"/>
      <c r="IS206" s="542"/>
      <c r="IT206" s="542"/>
      <c r="IU206" s="542"/>
      <c r="IV206" s="542"/>
      <c r="IW206" s="542"/>
      <c r="IX206" s="542"/>
      <c r="IY206" s="542"/>
      <c r="IZ206" s="542"/>
      <c r="JA206" s="542"/>
      <c r="JB206" s="542"/>
    </row>
    <row r="207" spans="55:262" ht="18.899999999999999" customHeight="1">
      <c r="BC207" s="1614"/>
      <c r="BD207" s="1614"/>
      <c r="BE207" s="1614"/>
      <c r="CZ207" s="542"/>
      <c r="DA207" s="542"/>
      <c r="DB207" s="542"/>
      <c r="DC207" s="542"/>
      <c r="DD207" s="542"/>
      <c r="DE207" s="542"/>
      <c r="DF207" s="542"/>
      <c r="DG207" s="542"/>
      <c r="DH207" s="542"/>
      <c r="DI207" s="542"/>
      <c r="DJ207" s="542"/>
      <c r="DK207" s="542"/>
      <c r="DL207" s="542"/>
      <c r="DM207" s="542"/>
      <c r="DN207" s="542"/>
      <c r="DO207" s="542"/>
      <c r="DP207" s="542"/>
      <c r="DQ207" s="542"/>
      <c r="DR207" s="542"/>
      <c r="DS207" s="542"/>
      <c r="DT207" s="542"/>
      <c r="DU207" s="542"/>
      <c r="DV207" s="542"/>
      <c r="DW207" s="542"/>
      <c r="DX207" s="542"/>
      <c r="DY207" s="542"/>
      <c r="DZ207" s="542"/>
      <c r="EA207" s="542"/>
      <c r="EB207" s="542"/>
      <c r="EC207" s="542"/>
      <c r="ED207" s="542"/>
      <c r="EE207" s="542"/>
      <c r="EF207" s="542"/>
      <c r="EG207" s="542"/>
      <c r="EH207" s="542"/>
      <c r="EI207" s="542"/>
      <c r="EJ207" s="542"/>
      <c r="EK207" s="542"/>
      <c r="EL207" s="542"/>
      <c r="EM207" s="542"/>
      <c r="EN207" s="542"/>
      <c r="EO207" s="542"/>
      <c r="EP207" s="542"/>
      <c r="EQ207" s="542"/>
      <c r="ER207" s="542"/>
      <c r="ES207" s="542"/>
      <c r="ET207" s="542"/>
      <c r="EU207" s="542"/>
      <c r="EV207" s="542"/>
      <c r="EW207" s="542"/>
      <c r="EX207" s="542"/>
      <c r="EY207" s="542"/>
      <c r="EZ207" s="542"/>
      <c r="FA207" s="542"/>
      <c r="FB207" s="542"/>
      <c r="FC207" s="542"/>
      <c r="FD207" s="542"/>
      <c r="FE207" s="542"/>
      <c r="FF207" s="542"/>
      <c r="FG207" s="542"/>
      <c r="FH207" s="542"/>
      <c r="FI207" s="542"/>
      <c r="FJ207" s="542"/>
      <c r="FK207" s="542"/>
      <c r="FL207" s="542"/>
      <c r="FM207" s="542"/>
      <c r="FN207" s="542"/>
      <c r="FO207" s="542"/>
      <c r="FP207" s="542"/>
      <c r="FQ207" s="542"/>
      <c r="FR207" s="542"/>
      <c r="FS207" s="542"/>
      <c r="FT207" s="542"/>
      <c r="FU207" s="542"/>
      <c r="FV207" s="542"/>
      <c r="FW207" s="542"/>
      <c r="FX207" s="542"/>
      <c r="FY207" s="542"/>
      <c r="FZ207" s="542"/>
      <c r="GA207" s="542"/>
      <c r="GB207" s="542"/>
      <c r="GC207" s="542"/>
      <c r="GD207" s="542"/>
      <c r="GE207" s="542"/>
      <c r="GF207" s="542"/>
      <c r="GG207" s="542"/>
      <c r="GH207" s="542"/>
      <c r="GI207" s="542"/>
      <c r="GJ207" s="542"/>
      <c r="GK207" s="542"/>
      <c r="GL207" s="542"/>
      <c r="GM207" s="542"/>
      <c r="GN207" s="542"/>
      <c r="GO207" s="542"/>
      <c r="GP207" s="542"/>
      <c r="GQ207" s="542"/>
      <c r="GR207" s="542"/>
      <c r="GS207" s="542"/>
      <c r="GT207" s="542"/>
      <c r="GU207" s="542"/>
      <c r="GV207" s="542"/>
      <c r="GW207" s="542"/>
      <c r="GX207" s="542"/>
      <c r="GY207" s="542"/>
      <c r="GZ207" s="542"/>
      <c r="HA207" s="542"/>
      <c r="HB207" s="542"/>
      <c r="HC207" s="542"/>
      <c r="HD207" s="542"/>
      <c r="HE207" s="542"/>
      <c r="HF207" s="542"/>
      <c r="HG207" s="542"/>
      <c r="HH207" s="542"/>
      <c r="HI207" s="542"/>
      <c r="HJ207" s="542"/>
      <c r="HK207" s="542"/>
      <c r="HL207" s="542"/>
      <c r="HM207" s="542"/>
      <c r="HN207" s="542"/>
      <c r="HO207" s="542"/>
      <c r="HP207" s="542"/>
      <c r="HQ207" s="542"/>
      <c r="HR207" s="542"/>
      <c r="HS207" s="542"/>
      <c r="HT207" s="542"/>
      <c r="HU207" s="542"/>
      <c r="HV207" s="542"/>
      <c r="HW207" s="542"/>
      <c r="HX207" s="542"/>
      <c r="HY207" s="542"/>
      <c r="HZ207" s="542"/>
      <c r="IA207" s="542"/>
      <c r="IB207" s="542"/>
      <c r="IC207" s="542"/>
      <c r="ID207" s="542"/>
      <c r="IE207" s="542"/>
      <c r="IF207" s="542"/>
      <c r="IG207" s="542"/>
      <c r="IH207" s="542"/>
      <c r="II207" s="542"/>
      <c r="IJ207" s="542"/>
      <c r="IK207" s="542"/>
      <c r="IL207" s="542"/>
      <c r="IM207" s="542"/>
      <c r="IN207" s="542"/>
      <c r="IO207" s="542"/>
      <c r="IP207" s="542"/>
      <c r="IQ207" s="542"/>
      <c r="IR207" s="542"/>
      <c r="IS207" s="542"/>
      <c r="IT207" s="542"/>
      <c r="IU207" s="542"/>
      <c r="IV207" s="542"/>
      <c r="IW207" s="542"/>
      <c r="IX207" s="542"/>
      <c r="IY207" s="542"/>
      <c r="IZ207" s="542"/>
      <c r="JA207" s="542"/>
      <c r="JB207" s="542"/>
    </row>
    <row r="208" spans="55:262" ht="18.899999999999999" customHeight="1">
      <c r="BC208" s="1614"/>
      <c r="BD208" s="1614"/>
      <c r="BE208" s="1614"/>
      <c r="CZ208" s="542"/>
      <c r="DA208" s="542"/>
      <c r="DB208" s="542"/>
      <c r="DC208" s="542"/>
      <c r="DD208" s="542"/>
      <c r="DE208" s="542"/>
      <c r="DF208" s="542"/>
      <c r="DG208" s="542"/>
      <c r="DH208" s="542"/>
      <c r="DI208" s="542"/>
      <c r="DJ208" s="542"/>
      <c r="DK208" s="542"/>
      <c r="DL208" s="542"/>
      <c r="DM208" s="542"/>
      <c r="DN208" s="542"/>
      <c r="DO208" s="542"/>
      <c r="DP208" s="542"/>
      <c r="DQ208" s="542"/>
      <c r="DR208" s="542"/>
      <c r="DS208" s="542"/>
      <c r="DT208" s="542"/>
      <c r="DU208" s="542"/>
      <c r="DV208" s="542"/>
      <c r="DW208" s="542"/>
      <c r="DX208" s="542"/>
      <c r="DY208" s="542"/>
      <c r="DZ208" s="542"/>
      <c r="EA208" s="542"/>
      <c r="EB208" s="542"/>
      <c r="EC208" s="542"/>
      <c r="ED208" s="542"/>
      <c r="EE208" s="542"/>
      <c r="EF208" s="542"/>
      <c r="EG208" s="542"/>
      <c r="EH208" s="542"/>
      <c r="EI208" s="542"/>
      <c r="EJ208" s="542"/>
      <c r="EK208" s="542"/>
      <c r="EL208" s="542"/>
      <c r="EM208" s="542"/>
      <c r="EN208" s="542"/>
      <c r="EO208" s="542"/>
      <c r="EP208" s="542"/>
      <c r="EQ208" s="542"/>
      <c r="ER208" s="542"/>
      <c r="ES208" s="542"/>
      <c r="ET208" s="542"/>
      <c r="EU208" s="542"/>
      <c r="EV208" s="542"/>
      <c r="EW208" s="542"/>
      <c r="EX208" s="542"/>
      <c r="EY208" s="542"/>
      <c r="EZ208" s="542"/>
      <c r="FA208" s="542"/>
      <c r="FB208" s="542"/>
      <c r="FC208" s="542"/>
      <c r="FD208" s="542"/>
      <c r="FE208" s="542"/>
      <c r="FF208" s="542"/>
      <c r="FG208" s="542"/>
      <c r="FH208" s="542"/>
      <c r="FI208" s="542"/>
      <c r="FJ208" s="542"/>
      <c r="FK208" s="542"/>
      <c r="FL208" s="542"/>
      <c r="FM208" s="542"/>
      <c r="FN208" s="542"/>
      <c r="FO208" s="542"/>
      <c r="FP208" s="542"/>
      <c r="FQ208" s="542"/>
      <c r="FR208" s="542"/>
      <c r="FS208" s="542"/>
      <c r="FT208" s="542"/>
      <c r="FU208" s="542"/>
      <c r="FV208" s="542"/>
      <c r="FW208" s="542"/>
      <c r="FX208" s="542"/>
      <c r="FY208" s="542"/>
      <c r="FZ208" s="542"/>
      <c r="GA208" s="542"/>
      <c r="GB208" s="542"/>
      <c r="GC208" s="542"/>
      <c r="GD208" s="542"/>
      <c r="GE208" s="542"/>
      <c r="GF208" s="542"/>
      <c r="GG208" s="542"/>
      <c r="GH208" s="542"/>
      <c r="GI208" s="542"/>
      <c r="GJ208" s="542"/>
      <c r="GK208" s="542"/>
      <c r="GL208" s="542"/>
      <c r="GM208" s="542"/>
      <c r="GN208" s="542"/>
      <c r="GO208" s="542"/>
      <c r="GP208" s="542"/>
      <c r="GQ208" s="542"/>
      <c r="GR208" s="542"/>
      <c r="GS208" s="542"/>
      <c r="GT208" s="542"/>
      <c r="GU208" s="542"/>
      <c r="GV208" s="542"/>
      <c r="GW208" s="542"/>
      <c r="GX208" s="542"/>
      <c r="GY208" s="542"/>
      <c r="GZ208" s="542"/>
      <c r="HA208" s="542"/>
      <c r="HB208" s="542"/>
      <c r="HC208" s="542"/>
      <c r="HD208" s="542"/>
      <c r="HE208" s="542"/>
      <c r="HF208" s="542"/>
      <c r="HG208" s="542"/>
      <c r="HH208" s="542"/>
      <c r="HI208" s="542"/>
      <c r="HJ208" s="542"/>
      <c r="HK208" s="542"/>
      <c r="HL208" s="542"/>
      <c r="HM208" s="542"/>
      <c r="HN208" s="542"/>
      <c r="HO208" s="542"/>
      <c r="HP208" s="542"/>
      <c r="HQ208" s="542"/>
      <c r="HR208" s="542"/>
      <c r="HS208" s="542"/>
      <c r="HT208" s="542"/>
      <c r="HU208" s="542"/>
      <c r="HV208" s="542"/>
      <c r="HW208" s="542"/>
      <c r="HX208" s="542"/>
      <c r="HY208" s="542"/>
      <c r="HZ208" s="542"/>
      <c r="IA208" s="542"/>
      <c r="IB208" s="542"/>
      <c r="IC208" s="542"/>
      <c r="ID208" s="542"/>
      <c r="IE208" s="542"/>
      <c r="IF208" s="542"/>
      <c r="IG208" s="542"/>
      <c r="IH208" s="542"/>
      <c r="II208" s="542"/>
      <c r="IJ208" s="542"/>
      <c r="IK208" s="542"/>
      <c r="IL208" s="542"/>
      <c r="IM208" s="542"/>
      <c r="IN208" s="542"/>
      <c r="IO208" s="542"/>
      <c r="IP208" s="542"/>
      <c r="IQ208" s="542"/>
      <c r="IR208" s="542"/>
      <c r="IS208" s="542"/>
      <c r="IT208" s="542"/>
      <c r="IU208" s="542"/>
      <c r="IV208" s="542"/>
      <c r="IW208" s="542"/>
      <c r="IX208" s="542"/>
      <c r="IY208" s="542"/>
      <c r="IZ208" s="542"/>
      <c r="JA208" s="542"/>
      <c r="JB208" s="542"/>
    </row>
    <row r="209" spans="55:262" ht="18.899999999999999" customHeight="1">
      <c r="BC209" s="1614"/>
      <c r="BD209" s="1614"/>
      <c r="BE209" s="1614"/>
      <c r="CZ209" s="542"/>
      <c r="DA209" s="542"/>
      <c r="DB209" s="542"/>
      <c r="DC209" s="542"/>
      <c r="DD209" s="542"/>
      <c r="DE209" s="542"/>
      <c r="DF209" s="542"/>
      <c r="DG209" s="542"/>
      <c r="DH209" s="542"/>
      <c r="DI209" s="542"/>
      <c r="DJ209" s="542"/>
      <c r="DK209" s="542"/>
      <c r="DL209" s="542"/>
      <c r="DM209" s="542"/>
      <c r="DN209" s="542"/>
      <c r="DO209" s="542"/>
      <c r="DP209" s="542"/>
      <c r="DQ209" s="542"/>
      <c r="DR209" s="542"/>
      <c r="DS209" s="542"/>
      <c r="DT209" s="542"/>
      <c r="DU209" s="542"/>
      <c r="DV209" s="542"/>
      <c r="DW209" s="542"/>
      <c r="DX209" s="542"/>
      <c r="DY209" s="542"/>
      <c r="DZ209" s="542"/>
      <c r="EA209" s="542"/>
      <c r="EB209" s="542"/>
      <c r="EC209" s="542"/>
      <c r="ED209" s="542"/>
      <c r="EE209" s="542"/>
      <c r="EF209" s="542"/>
      <c r="EG209" s="542"/>
      <c r="EH209" s="542"/>
      <c r="EI209" s="542"/>
      <c r="EJ209" s="542"/>
      <c r="EK209" s="542"/>
      <c r="EL209" s="542"/>
      <c r="EM209" s="542"/>
      <c r="EN209" s="542"/>
      <c r="EO209" s="542"/>
      <c r="EP209" s="542"/>
      <c r="EQ209" s="542"/>
      <c r="ER209" s="542"/>
      <c r="ES209" s="542"/>
      <c r="ET209" s="542"/>
      <c r="EU209" s="542"/>
      <c r="EV209" s="542"/>
      <c r="EW209" s="542"/>
      <c r="EX209" s="542"/>
      <c r="EY209" s="542"/>
      <c r="EZ209" s="542"/>
      <c r="FA209" s="542"/>
      <c r="FB209" s="542"/>
      <c r="FC209" s="542"/>
      <c r="FD209" s="542"/>
      <c r="FE209" s="542"/>
      <c r="FF209" s="542"/>
      <c r="FG209" s="542"/>
      <c r="FH209" s="542"/>
      <c r="FI209" s="542"/>
      <c r="FJ209" s="542"/>
      <c r="FK209" s="542"/>
      <c r="FL209" s="542"/>
      <c r="FM209" s="542"/>
      <c r="FN209" s="542"/>
      <c r="FO209" s="542"/>
      <c r="FP209" s="542"/>
      <c r="FQ209" s="542"/>
      <c r="FR209" s="542"/>
      <c r="FS209" s="542"/>
      <c r="FT209" s="542"/>
      <c r="FU209" s="542"/>
      <c r="FV209" s="542"/>
      <c r="FW209" s="542"/>
      <c r="FX209" s="542"/>
      <c r="FY209" s="542"/>
      <c r="FZ209" s="542"/>
      <c r="GA209" s="542"/>
      <c r="GB209" s="542"/>
      <c r="GC209" s="542"/>
      <c r="GD209" s="542"/>
      <c r="GE209" s="542"/>
      <c r="GF209" s="542"/>
      <c r="GG209" s="542"/>
      <c r="GH209" s="542"/>
      <c r="GI209" s="542"/>
      <c r="GJ209" s="542"/>
      <c r="GK209" s="542"/>
      <c r="GL209" s="542"/>
      <c r="GM209" s="542"/>
      <c r="GN209" s="542"/>
      <c r="GO209" s="542"/>
      <c r="GP209" s="542"/>
      <c r="GQ209" s="542"/>
      <c r="GR209" s="542"/>
      <c r="GS209" s="542"/>
      <c r="GT209" s="542"/>
      <c r="GU209" s="542"/>
      <c r="GV209" s="542"/>
      <c r="GW209" s="542"/>
      <c r="GX209" s="542"/>
      <c r="GY209" s="542"/>
      <c r="GZ209" s="542"/>
      <c r="HA209" s="542"/>
      <c r="HB209" s="542"/>
      <c r="HC209" s="542"/>
      <c r="HD209" s="542"/>
      <c r="HE209" s="542"/>
      <c r="HF209" s="542"/>
      <c r="HG209" s="542"/>
      <c r="HH209" s="542"/>
      <c r="HI209" s="542"/>
      <c r="HJ209" s="542"/>
      <c r="HK209" s="542"/>
      <c r="HL209" s="542"/>
      <c r="HM209" s="542"/>
      <c r="HN209" s="542"/>
      <c r="HO209" s="542"/>
      <c r="HP209" s="542"/>
      <c r="HQ209" s="542"/>
      <c r="HR209" s="542"/>
      <c r="HS209" s="542"/>
      <c r="HT209" s="542"/>
      <c r="HU209" s="542"/>
      <c r="HV209" s="542"/>
      <c r="HW209" s="542"/>
      <c r="HX209" s="542"/>
      <c r="HY209" s="542"/>
      <c r="HZ209" s="542"/>
      <c r="IA209" s="542"/>
      <c r="IB209" s="542"/>
      <c r="IC209" s="542"/>
      <c r="ID209" s="542"/>
      <c r="IE209" s="542"/>
      <c r="IF209" s="542"/>
      <c r="IG209" s="542"/>
      <c r="IH209" s="542"/>
      <c r="II209" s="542"/>
      <c r="IJ209" s="542"/>
      <c r="IK209" s="542"/>
      <c r="IL209" s="542"/>
      <c r="IM209" s="542"/>
      <c r="IN209" s="542"/>
      <c r="IO209" s="542"/>
      <c r="IP209" s="542"/>
      <c r="IQ209" s="542"/>
      <c r="IR209" s="542"/>
      <c r="IS209" s="542"/>
      <c r="IT209" s="542"/>
      <c r="IU209" s="542"/>
      <c r="IV209" s="542"/>
      <c r="IW209" s="542"/>
      <c r="IX209" s="542"/>
      <c r="IY209" s="542"/>
      <c r="IZ209" s="542"/>
      <c r="JA209" s="542"/>
      <c r="JB209" s="542"/>
    </row>
    <row r="210" spans="55:262" ht="18.899999999999999" customHeight="1">
      <c r="BC210" s="1614"/>
      <c r="BD210" s="1614"/>
      <c r="BE210" s="1614"/>
      <c r="CZ210" s="542"/>
      <c r="DA210" s="542"/>
      <c r="DB210" s="542"/>
      <c r="DC210" s="542"/>
      <c r="DD210" s="542"/>
      <c r="DE210" s="542"/>
      <c r="DF210" s="542"/>
      <c r="DG210" s="542"/>
      <c r="DH210" s="542"/>
      <c r="DI210" s="542"/>
      <c r="DJ210" s="542"/>
      <c r="DK210" s="542"/>
      <c r="DL210" s="542"/>
      <c r="DM210" s="542"/>
      <c r="DN210" s="542"/>
      <c r="DO210" s="542"/>
      <c r="DP210" s="542"/>
      <c r="DQ210" s="542"/>
      <c r="DR210" s="542"/>
      <c r="DS210" s="542"/>
      <c r="DT210" s="542"/>
      <c r="DU210" s="542"/>
      <c r="DV210" s="542"/>
      <c r="DW210" s="542"/>
      <c r="DX210" s="542"/>
      <c r="DY210" s="542"/>
      <c r="DZ210" s="542"/>
      <c r="EA210" s="542"/>
      <c r="EB210" s="542"/>
      <c r="EC210" s="542"/>
      <c r="ED210" s="542"/>
      <c r="EE210" s="542"/>
      <c r="EF210" s="542"/>
      <c r="EG210" s="542"/>
      <c r="EH210" s="542"/>
      <c r="EI210" s="542"/>
      <c r="EJ210" s="542"/>
      <c r="EK210" s="542"/>
      <c r="EL210" s="542"/>
      <c r="EM210" s="542"/>
      <c r="EN210" s="542"/>
      <c r="EO210" s="542"/>
      <c r="EP210" s="542"/>
      <c r="EQ210" s="542"/>
      <c r="ER210" s="542"/>
      <c r="ES210" s="542"/>
      <c r="ET210" s="542"/>
      <c r="EU210" s="542"/>
      <c r="EV210" s="542"/>
      <c r="EW210" s="542"/>
      <c r="EX210" s="542"/>
      <c r="EY210" s="542"/>
      <c r="EZ210" s="542"/>
      <c r="FA210" s="542"/>
      <c r="FB210" s="542"/>
      <c r="FC210" s="542"/>
      <c r="FD210" s="542"/>
      <c r="FE210" s="542"/>
      <c r="FF210" s="542"/>
      <c r="FG210" s="542"/>
      <c r="FH210" s="542"/>
      <c r="FI210" s="542"/>
      <c r="FJ210" s="542"/>
      <c r="FK210" s="542"/>
      <c r="FL210" s="542"/>
      <c r="FM210" s="542"/>
      <c r="FN210" s="542"/>
      <c r="FO210" s="542"/>
      <c r="FP210" s="542"/>
      <c r="FQ210" s="542"/>
      <c r="FR210" s="542"/>
      <c r="FS210" s="542"/>
      <c r="FT210" s="542"/>
      <c r="FU210" s="542"/>
      <c r="FV210" s="542"/>
      <c r="FW210" s="542"/>
      <c r="FX210" s="542"/>
      <c r="FY210" s="542"/>
      <c r="FZ210" s="542"/>
      <c r="GA210" s="542"/>
      <c r="GB210" s="542"/>
      <c r="GC210" s="542"/>
      <c r="GD210" s="542"/>
      <c r="GE210" s="542"/>
      <c r="GF210" s="542"/>
      <c r="GG210" s="542"/>
      <c r="GH210" s="542"/>
      <c r="GI210" s="542"/>
      <c r="GJ210" s="542"/>
      <c r="GK210" s="542"/>
      <c r="GL210" s="542"/>
      <c r="GM210" s="542"/>
      <c r="GN210" s="542"/>
      <c r="GO210" s="542"/>
      <c r="GP210" s="542"/>
      <c r="GQ210" s="542"/>
      <c r="GR210" s="542"/>
      <c r="GS210" s="542"/>
      <c r="GT210" s="542"/>
      <c r="GU210" s="542"/>
      <c r="GV210" s="542"/>
      <c r="GW210" s="542"/>
      <c r="GX210" s="542"/>
      <c r="GY210" s="542"/>
      <c r="GZ210" s="542"/>
      <c r="HA210" s="542"/>
      <c r="HB210" s="542"/>
      <c r="HC210" s="542"/>
      <c r="HD210" s="542"/>
      <c r="HE210" s="542"/>
      <c r="HF210" s="542"/>
      <c r="HG210" s="542"/>
      <c r="HH210" s="542"/>
      <c r="HI210" s="542"/>
      <c r="HJ210" s="542"/>
      <c r="HK210" s="542"/>
      <c r="HL210" s="542"/>
      <c r="HM210" s="542"/>
      <c r="HN210" s="542"/>
      <c r="HO210" s="542"/>
      <c r="HP210" s="542"/>
      <c r="HQ210" s="542"/>
      <c r="HR210" s="542"/>
      <c r="HS210" s="542"/>
      <c r="HT210" s="542"/>
      <c r="HU210" s="542"/>
      <c r="HV210" s="542"/>
      <c r="HW210" s="542"/>
      <c r="HX210" s="542"/>
      <c r="HY210" s="542"/>
      <c r="HZ210" s="542"/>
      <c r="IA210" s="542"/>
      <c r="IB210" s="542"/>
      <c r="IC210" s="542"/>
      <c r="ID210" s="542"/>
      <c r="IE210" s="542"/>
      <c r="IF210" s="542"/>
      <c r="IG210" s="542"/>
      <c r="IH210" s="542"/>
      <c r="II210" s="542"/>
      <c r="IJ210" s="542"/>
      <c r="IK210" s="542"/>
      <c r="IL210" s="542"/>
      <c r="IM210" s="542"/>
      <c r="IN210" s="542"/>
      <c r="IO210" s="542"/>
      <c r="IP210" s="542"/>
      <c r="IQ210" s="542"/>
      <c r="IR210" s="542"/>
      <c r="IS210" s="542"/>
      <c r="IT210" s="542"/>
      <c r="IU210" s="542"/>
      <c r="IV210" s="542"/>
      <c r="IW210" s="542"/>
      <c r="IX210" s="542"/>
      <c r="IY210" s="542"/>
      <c r="IZ210" s="542"/>
      <c r="JA210" s="542"/>
      <c r="JB210" s="542"/>
    </row>
    <row r="211" spans="55:262" ht="18.899999999999999" customHeight="1">
      <c r="BC211" s="1614"/>
      <c r="BD211" s="1614"/>
      <c r="BE211" s="1614"/>
      <c r="CZ211" s="542"/>
      <c r="DA211" s="542"/>
      <c r="DB211" s="542"/>
      <c r="DC211" s="542"/>
      <c r="DD211" s="542"/>
      <c r="DE211" s="542"/>
      <c r="DF211" s="542"/>
      <c r="DG211" s="542"/>
      <c r="DH211" s="542"/>
      <c r="DI211" s="542"/>
      <c r="DJ211" s="542"/>
      <c r="DK211" s="542"/>
      <c r="DL211" s="542"/>
      <c r="DM211" s="542"/>
      <c r="DN211" s="542"/>
      <c r="DO211" s="542"/>
      <c r="DP211" s="542"/>
      <c r="DQ211" s="542"/>
      <c r="DR211" s="542"/>
      <c r="DS211" s="542"/>
      <c r="DT211" s="542"/>
      <c r="DU211" s="542"/>
      <c r="DV211" s="542"/>
      <c r="DW211" s="542"/>
      <c r="DX211" s="542"/>
      <c r="DY211" s="542"/>
      <c r="DZ211" s="542"/>
      <c r="EA211" s="542"/>
      <c r="EB211" s="542"/>
      <c r="EC211" s="542"/>
      <c r="ED211" s="542"/>
      <c r="EE211" s="542"/>
      <c r="EF211" s="542"/>
      <c r="EG211" s="542"/>
      <c r="EH211" s="542"/>
      <c r="EI211" s="542"/>
      <c r="EJ211" s="542"/>
      <c r="EK211" s="542"/>
      <c r="EL211" s="542"/>
      <c r="EM211" s="542"/>
      <c r="EN211" s="542"/>
      <c r="EO211" s="542"/>
      <c r="EP211" s="542"/>
      <c r="EQ211" s="542"/>
      <c r="ER211" s="542"/>
      <c r="ES211" s="542"/>
      <c r="ET211" s="542"/>
      <c r="EU211" s="542"/>
      <c r="EV211" s="542"/>
      <c r="EW211" s="542"/>
      <c r="EX211" s="542"/>
      <c r="EY211" s="542"/>
      <c r="EZ211" s="542"/>
      <c r="FA211" s="542"/>
      <c r="FB211" s="542"/>
      <c r="FC211" s="542"/>
      <c r="FD211" s="542"/>
      <c r="FE211" s="542"/>
      <c r="FF211" s="542"/>
      <c r="FG211" s="542"/>
      <c r="FH211" s="542"/>
      <c r="FI211" s="542"/>
      <c r="FJ211" s="542"/>
      <c r="FK211" s="542"/>
      <c r="FL211" s="542"/>
      <c r="FM211" s="542"/>
      <c r="FN211" s="542"/>
      <c r="FO211" s="542"/>
      <c r="FP211" s="542"/>
      <c r="FQ211" s="542"/>
      <c r="FR211" s="542"/>
      <c r="FS211" s="542"/>
      <c r="FT211" s="542"/>
      <c r="FU211" s="542"/>
      <c r="FV211" s="542"/>
      <c r="FW211" s="542"/>
      <c r="FX211" s="542"/>
      <c r="FY211" s="542"/>
      <c r="FZ211" s="542"/>
      <c r="GA211" s="542"/>
      <c r="GB211" s="542"/>
      <c r="GC211" s="542"/>
      <c r="GD211" s="542"/>
      <c r="GE211" s="542"/>
      <c r="GF211" s="542"/>
      <c r="GG211" s="542"/>
      <c r="GH211" s="542"/>
      <c r="GI211" s="542"/>
      <c r="GJ211" s="542"/>
      <c r="GK211" s="542"/>
      <c r="GL211" s="542"/>
      <c r="GM211" s="542"/>
      <c r="GN211" s="542"/>
      <c r="GO211" s="542"/>
      <c r="GP211" s="542"/>
      <c r="GQ211" s="542"/>
      <c r="GR211" s="542"/>
      <c r="GS211" s="542"/>
      <c r="GT211" s="542"/>
      <c r="GU211" s="542"/>
      <c r="GV211" s="542"/>
      <c r="GW211" s="542"/>
      <c r="GX211" s="542"/>
      <c r="GY211" s="542"/>
      <c r="GZ211" s="542"/>
      <c r="HA211" s="542"/>
      <c r="HB211" s="542"/>
      <c r="HC211" s="542"/>
      <c r="HD211" s="542"/>
      <c r="HE211" s="542"/>
      <c r="HF211" s="542"/>
      <c r="HG211" s="542"/>
      <c r="HH211" s="542"/>
      <c r="HI211" s="542"/>
      <c r="HJ211" s="542"/>
      <c r="HK211" s="542"/>
      <c r="HL211" s="542"/>
      <c r="HM211" s="542"/>
      <c r="HN211" s="542"/>
      <c r="HO211" s="542"/>
      <c r="HP211" s="542"/>
      <c r="HQ211" s="542"/>
      <c r="HR211" s="542"/>
      <c r="HS211" s="542"/>
      <c r="HT211" s="542"/>
      <c r="HU211" s="542"/>
      <c r="HV211" s="542"/>
      <c r="HW211" s="542"/>
      <c r="HX211" s="542"/>
      <c r="HY211" s="542"/>
      <c r="HZ211" s="542"/>
      <c r="IA211" s="542"/>
      <c r="IB211" s="542"/>
      <c r="IC211" s="542"/>
      <c r="ID211" s="542"/>
      <c r="IE211" s="542"/>
      <c r="IF211" s="542"/>
      <c r="IG211" s="542"/>
      <c r="IH211" s="542"/>
      <c r="II211" s="542"/>
      <c r="IJ211" s="542"/>
      <c r="IK211" s="542"/>
      <c r="IL211" s="542"/>
      <c r="IM211" s="542"/>
      <c r="IN211" s="542"/>
      <c r="IO211" s="542"/>
      <c r="IP211" s="542"/>
      <c r="IQ211" s="542"/>
      <c r="IR211" s="542"/>
      <c r="IS211" s="542"/>
      <c r="IT211" s="542"/>
      <c r="IU211" s="542"/>
      <c r="IV211" s="542"/>
      <c r="IW211" s="542"/>
      <c r="IX211" s="542"/>
      <c r="IY211" s="542"/>
      <c r="IZ211" s="542"/>
      <c r="JA211" s="542"/>
      <c r="JB211" s="542"/>
    </row>
    <row r="212" spans="55:262" ht="18.899999999999999" customHeight="1">
      <c r="BC212" s="1614"/>
      <c r="BD212" s="1614"/>
      <c r="BE212" s="1614"/>
      <c r="CZ212" s="542"/>
      <c r="DA212" s="542"/>
      <c r="DB212" s="542"/>
      <c r="DC212" s="542"/>
      <c r="DD212" s="542"/>
      <c r="DE212" s="542"/>
      <c r="DF212" s="542"/>
      <c r="DG212" s="542"/>
      <c r="DH212" s="542"/>
      <c r="DI212" s="542"/>
      <c r="DJ212" s="542"/>
      <c r="DK212" s="542"/>
      <c r="DL212" s="542"/>
      <c r="DM212" s="542"/>
      <c r="DN212" s="542"/>
      <c r="DO212" s="542"/>
      <c r="DP212" s="542"/>
      <c r="DQ212" s="542"/>
      <c r="DR212" s="542"/>
      <c r="DS212" s="542"/>
      <c r="DT212" s="542"/>
      <c r="DU212" s="542"/>
      <c r="DV212" s="542"/>
      <c r="DW212" s="542"/>
      <c r="DX212" s="542"/>
      <c r="DY212" s="542"/>
      <c r="DZ212" s="542"/>
      <c r="EA212" s="542"/>
      <c r="EB212" s="542"/>
      <c r="EC212" s="542"/>
      <c r="ED212" s="542"/>
      <c r="EE212" s="542"/>
      <c r="EF212" s="542"/>
      <c r="EG212" s="542"/>
      <c r="EH212" s="542"/>
      <c r="EI212" s="542"/>
      <c r="EJ212" s="542"/>
      <c r="EK212" s="542"/>
      <c r="EL212" s="542"/>
      <c r="EM212" s="542"/>
      <c r="EN212" s="542"/>
      <c r="EO212" s="542"/>
      <c r="EP212" s="542"/>
      <c r="EQ212" s="542"/>
      <c r="ER212" s="542"/>
      <c r="ES212" s="542"/>
      <c r="ET212" s="542"/>
      <c r="EU212" s="542"/>
      <c r="EV212" s="542"/>
      <c r="EW212" s="542"/>
      <c r="EX212" s="542"/>
      <c r="EY212" s="542"/>
      <c r="EZ212" s="542"/>
      <c r="FA212" s="542"/>
      <c r="FB212" s="542"/>
      <c r="FC212" s="542"/>
      <c r="FD212" s="542"/>
      <c r="FE212" s="542"/>
      <c r="FF212" s="542"/>
      <c r="FG212" s="542"/>
      <c r="FH212" s="542"/>
      <c r="FI212" s="542"/>
      <c r="FJ212" s="542"/>
      <c r="FK212" s="542"/>
      <c r="FL212" s="542"/>
      <c r="FM212" s="542"/>
      <c r="FN212" s="542"/>
      <c r="FO212" s="542"/>
      <c r="FP212" s="542"/>
      <c r="FQ212" s="542"/>
      <c r="FR212" s="542"/>
      <c r="FS212" s="542"/>
      <c r="FT212" s="542"/>
      <c r="FU212" s="542"/>
      <c r="FV212" s="542"/>
      <c r="FW212" s="542"/>
      <c r="FX212" s="542"/>
      <c r="FY212" s="542"/>
      <c r="FZ212" s="542"/>
      <c r="GA212" s="542"/>
      <c r="GB212" s="542"/>
      <c r="GC212" s="542"/>
      <c r="GD212" s="542"/>
      <c r="GE212" s="542"/>
      <c r="GF212" s="542"/>
      <c r="GG212" s="542"/>
      <c r="GH212" s="542"/>
      <c r="GI212" s="542"/>
      <c r="GJ212" s="542"/>
      <c r="GK212" s="542"/>
      <c r="GL212" s="542"/>
      <c r="GM212" s="542"/>
      <c r="GN212" s="542"/>
      <c r="GO212" s="542"/>
      <c r="GP212" s="542"/>
      <c r="GQ212" s="542"/>
      <c r="GR212" s="542"/>
      <c r="GS212" s="542"/>
      <c r="GT212" s="542"/>
      <c r="GU212" s="542"/>
      <c r="GV212" s="542"/>
      <c r="GW212" s="542"/>
      <c r="GX212" s="542"/>
      <c r="GY212" s="542"/>
      <c r="GZ212" s="542"/>
      <c r="HA212" s="542"/>
      <c r="HB212" s="542"/>
      <c r="HC212" s="542"/>
      <c r="HD212" s="542"/>
      <c r="HE212" s="542"/>
      <c r="HF212" s="542"/>
      <c r="HG212" s="542"/>
      <c r="HH212" s="542"/>
      <c r="HI212" s="542"/>
      <c r="HJ212" s="542"/>
      <c r="HK212" s="542"/>
      <c r="HL212" s="542"/>
      <c r="HM212" s="542"/>
      <c r="HN212" s="542"/>
      <c r="HO212" s="542"/>
      <c r="HP212" s="542"/>
      <c r="HQ212" s="542"/>
      <c r="HR212" s="542"/>
      <c r="HS212" s="542"/>
      <c r="HT212" s="542"/>
      <c r="HU212" s="542"/>
      <c r="HV212" s="542"/>
      <c r="HW212" s="542"/>
      <c r="HX212" s="542"/>
      <c r="HY212" s="542"/>
      <c r="HZ212" s="542"/>
      <c r="IA212" s="542"/>
      <c r="IB212" s="542"/>
      <c r="IC212" s="542"/>
      <c r="ID212" s="542"/>
      <c r="IE212" s="542"/>
      <c r="IF212" s="542"/>
      <c r="IG212" s="542"/>
      <c r="IH212" s="542"/>
      <c r="II212" s="542"/>
      <c r="IJ212" s="542"/>
      <c r="IK212" s="542"/>
      <c r="IL212" s="542"/>
      <c r="IM212" s="542"/>
      <c r="IN212" s="542"/>
      <c r="IO212" s="542"/>
      <c r="IP212" s="542"/>
      <c r="IQ212" s="542"/>
      <c r="IR212" s="542"/>
      <c r="IS212" s="542"/>
      <c r="IT212" s="542"/>
      <c r="IU212" s="542"/>
      <c r="IV212" s="542"/>
      <c r="IW212" s="542"/>
      <c r="IX212" s="542"/>
      <c r="IY212" s="542"/>
      <c r="IZ212" s="542"/>
      <c r="JA212" s="542"/>
      <c r="JB212" s="542"/>
    </row>
    <row r="213" spans="55:262" ht="18.899999999999999" customHeight="1">
      <c r="BC213" s="1614"/>
      <c r="BD213" s="1614"/>
      <c r="BE213" s="1614"/>
      <c r="CZ213" s="542"/>
      <c r="DA213" s="542"/>
      <c r="DB213" s="542"/>
      <c r="DC213" s="542"/>
      <c r="DD213" s="542"/>
      <c r="DE213" s="542"/>
      <c r="DF213" s="542"/>
      <c r="DG213" s="542"/>
      <c r="DH213" s="542"/>
      <c r="DI213" s="542"/>
      <c r="DJ213" s="542"/>
      <c r="DK213" s="542"/>
      <c r="DL213" s="542"/>
      <c r="DM213" s="542"/>
      <c r="DN213" s="542"/>
      <c r="DO213" s="542"/>
      <c r="DP213" s="542"/>
      <c r="DQ213" s="542"/>
      <c r="DR213" s="542"/>
      <c r="DS213" s="542"/>
      <c r="DT213" s="542"/>
      <c r="DU213" s="542"/>
      <c r="DV213" s="542"/>
      <c r="DW213" s="542"/>
      <c r="DX213" s="542"/>
      <c r="DY213" s="542"/>
      <c r="DZ213" s="542"/>
      <c r="EA213" s="542"/>
      <c r="EB213" s="542"/>
      <c r="EC213" s="542"/>
      <c r="ED213" s="542"/>
      <c r="EE213" s="542"/>
      <c r="EF213" s="542"/>
      <c r="EG213" s="542"/>
      <c r="EH213" s="542"/>
      <c r="EI213" s="542"/>
      <c r="EJ213" s="542"/>
      <c r="EK213" s="542"/>
      <c r="EL213" s="542"/>
      <c r="EM213" s="542"/>
      <c r="EN213" s="542"/>
      <c r="EO213" s="542"/>
      <c r="EP213" s="542"/>
      <c r="EQ213" s="542"/>
      <c r="ER213" s="542"/>
      <c r="ES213" s="542"/>
      <c r="ET213" s="542"/>
      <c r="EU213" s="542"/>
      <c r="EV213" s="542"/>
      <c r="EW213" s="542"/>
      <c r="EX213" s="542"/>
      <c r="EY213" s="542"/>
      <c r="EZ213" s="542"/>
      <c r="FA213" s="542"/>
      <c r="FB213" s="542"/>
      <c r="FC213" s="542"/>
      <c r="FD213" s="542"/>
      <c r="FE213" s="542"/>
      <c r="FF213" s="542"/>
      <c r="FG213" s="542"/>
      <c r="FH213" s="542"/>
      <c r="FI213" s="542"/>
      <c r="FJ213" s="542"/>
      <c r="FK213" s="542"/>
      <c r="FL213" s="542"/>
      <c r="FM213" s="542"/>
      <c r="FN213" s="542"/>
      <c r="FO213" s="542"/>
      <c r="FP213" s="542"/>
      <c r="FQ213" s="542"/>
      <c r="FR213" s="542"/>
      <c r="FS213" s="542"/>
      <c r="FT213" s="542"/>
      <c r="FU213" s="542"/>
      <c r="FV213" s="542"/>
      <c r="FW213" s="542"/>
      <c r="FX213" s="542"/>
      <c r="FY213" s="542"/>
      <c r="FZ213" s="542"/>
      <c r="GA213" s="542"/>
      <c r="GB213" s="542"/>
      <c r="GC213" s="542"/>
      <c r="GD213" s="542"/>
      <c r="GE213" s="542"/>
      <c r="GF213" s="542"/>
      <c r="GG213" s="542"/>
      <c r="GH213" s="542"/>
      <c r="GI213" s="542"/>
      <c r="GJ213" s="542"/>
      <c r="GK213" s="542"/>
      <c r="GL213" s="542"/>
      <c r="GM213" s="542"/>
      <c r="GN213" s="542"/>
      <c r="GO213" s="542"/>
      <c r="GP213" s="542"/>
      <c r="GQ213" s="542"/>
      <c r="GR213" s="542"/>
      <c r="GS213" s="542"/>
      <c r="GT213" s="542"/>
      <c r="GU213" s="542"/>
      <c r="GV213" s="542"/>
      <c r="GW213" s="542"/>
      <c r="GX213" s="542"/>
      <c r="GY213" s="542"/>
      <c r="GZ213" s="542"/>
      <c r="HA213" s="542"/>
      <c r="HB213" s="542"/>
      <c r="HC213" s="542"/>
      <c r="HD213" s="542"/>
      <c r="HE213" s="542"/>
      <c r="HF213" s="542"/>
      <c r="HG213" s="542"/>
      <c r="HH213" s="542"/>
      <c r="HI213" s="542"/>
      <c r="HJ213" s="542"/>
      <c r="HK213" s="542"/>
      <c r="HL213" s="542"/>
      <c r="HM213" s="542"/>
      <c r="HN213" s="542"/>
      <c r="HO213" s="542"/>
      <c r="HP213" s="542"/>
      <c r="HQ213" s="542"/>
      <c r="HR213" s="542"/>
      <c r="HS213" s="542"/>
      <c r="HT213" s="542"/>
      <c r="HU213" s="542"/>
      <c r="HV213" s="542"/>
      <c r="HW213" s="542"/>
      <c r="HX213" s="542"/>
      <c r="HY213" s="542"/>
      <c r="HZ213" s="542"/>
      <c r="IA213" s="542"/>
      <c r="IB213" s="542"/>
      <c r="IC213" s="542"/>
      <c r="ID213" s="542"/>
      <c r="IE213" s="542"/>
      <c r="IF213" s="542"/>
      <c r="IG213" s="542"/>
      <c r="IH213" s="542"/>
      <c r="II213" s="542"/>
      <c r="IJ213" s="542"/>
      <c r="IK213" s="542"/>
      <c r="IL213" s="542"/>
      <c r="IM213" s="542"/>
      <c r="IN213" s="542"/>
      <c r="IO213" s="542"/>
      <c r="IP213" s="542"/>
      <c r="IQ213" s="542"/>
      <c r="IR213" s="542"/>
      <c r="IS213" s="542"/>
      <c r="IT213" s="542"/>
      <c r="IU213" s="542"/>
      <c r="IV213" s="542"/>
      <c r="IW213" s="542"/>
      <c r="IX213" s="542"/>
      <c r="IY213" s="542"/>
      <c r="IZ213" s="542"/>
      <c r="JA213" s="542"/>
      <c r="JB213" s="542"/>
    </row>
    <row r="214" spans="55:262" ht="18.899999999999999" customHeight="1">
      <c r="BC214" s="1614"/>
      <c r="BD214" s="1614"/>
      <c r="BE214" s="1614"/>
      <c r="CZ214" s="542"/>
      <c r="DA214" s="542"/>
      <c r="DB214" s="542"/>
      <c r="DC214" s="542"/>
      <c r="DD214" s="542"/>
      <c r="DE214" s="542"/>
      <c r="DF214" s="542"/>
      <c r="DG214" s="542"/>
      <c r="DH214" s="542"/>
      <c r="DI214" s="542"/>
      <c r="DJ214" s="542"/>
      <c r="DK214" s="542"/>
      <c r="DL214" s="542"/>
      <c r="DM214" s="542"/>
      <c r="DN214" s="542"/>
      <c r="DO214" s="542"/>
      <c r="DP214" s="542"/>
      <c r="DQ214" s="542"/>
      <c r="DR214" s="542"/>
      <c r="DS214" s="542"/>
      <c r="DT214" s="542"/>
      <c r="DU214" s="542"/>
      <c r="DV214" s="542"/>
      <c r="DW214" s="542"/>
      <c r="DX214" s="542"/>
      <c r="DY214" s="542"/>
      <c r="DZ214" s="542"/>
      <c r="EA214" s="542"/>
      <c r="EB214" s="542"/>
      <c r="EC214" s="542"/>
      <c r="ED214" s="542"/>
      <c r="EE214" s="542"/>
      <c r="EF214" s="542"/>
      <c r="EG214" s="542"/>
      <c r="EH214" s="542"/>
      <c r="EI214" s="542"/>
      <c r="EJ214" s="542"/>
      <c r="EK214" s="542"/>
      <c r="EL214" s="542"/>
      <c r="EM214" s="542"/>
      <c r="EN214" s="542"/>
      <c r="EO214" s="542"/>
      <c r="EP214" s="542"/>
      <c r="EQ214" s="542"/>
      <c r="ER214" s="542"/>
      <c r="ES214" s="542"/>
      <c r="ET214" s="542"/>
      <c r="EU214" s="542"/>
      <c r="EV214" s="542"/>
      <c r="EW214" s="542"/>
      <c r="EX214" s="542"/>
      <c r="EY214" s="542"/>
      <c r="EZ214" s="542"/>
      <c r="FA214" s="542"/>
      <c r="FB214" s="542"/>
      <c r="FC214" s="542"/>
      <c r="FD214" s="542"/>
      <c r="FE214" s="542"/>
      <c r="FF214" s="542"/>
      <c r="FG214" s="542"/>
      <c r="FH214" s="542"/>
      <c r="FI214" s="542"/>
      <c r="FJ214" s="542"/>
      <c r="FK214" s="542"/>
      <c r="FL214" s="542"/>
      <c r="FM214" s="542"/>
      <c r="FN214" s="542"/>
      <c r="FO214" s="542"/>
      <c r="FP214" s="542"/>
      <c r="FQ214" s="542"/>
      <c r="FR214" s="542"/>
      <c r="FS214" s="542"/>
      <c r="FT214" s="542"/>
      <c r="FU214" s="542"/>
      <c r="FV214" s="542"/>
      <c r="FW214" s="542"/>
      <c r="FX214" s="542"/>
      <c r="FY214" s="542"/>
      <c r="FZ214" s="542"/>
      <c r="GA214" s="542"/>
      <c r="GB214" s="542"/>
      <c r="GC214" s="542"/>
      <c r="GD214" s="542"/>
      <c r="GE214" s="542"/>
      <c r="GF214" s="542"/>
      <c r="GG214" s="542"/>
      <c r="GH214" s="542"/>
      <c r="GI214" s="542"/>
      <c r="GJ214" s="542"/>
      <c r="GK214" s="542"/>
      <c r="GL214" s="542"/>
      <c r="GM214" s="542"/>
      <c r="GN214" s="542"/>
      <c r="GO214" s="542"/>
      <c r="GP214" s="542"/>
      <c r="GQ214" s="542"/>
      <c r="GR214" s="542"/>
      <c r="GS214" s="542"/>
      <c r="GT214" s="542"/>
      <c r="GU214" s="542"/>
      <c r="GV214" s="542"/>
      <c r="GW214" s="542"/>
      <c r="GX214" s="542"/>
      <c r="GY214" s="542"/>
      <c r="GZ214" s="542"/>
      <c r="HA214" s="542"/>
      <c r="HB214" s="542"/>
      <c r="HC214" s="542"/>
      <c r="HD214" s="542"/>
      <c r="HE214" s="542"/>
      <c r="HF214" s="542"/>
      <c r="HG214" s="542"/>
      <c r="HH214" s="542"/>
      <c r="HI214" s="542"/>
      <c r="HJ214" s="542"/>
      <c r="HK214" s="542"/>
      <c r="HL214" s="542"/>
      <c r="HM214" s="542"/>
      <c r="HN214" s="542"/>
      <c r="HO214" s="542"/>
      <c r="HP214" s="542"/>
      <c r="HQ214" s="542"/>
      <c r="HR214" s="542"/>
      <c r="HS214" s="542"/>
      <c r="HT214" s="542"/>
      <c r="HU214" s="542"/>
      <c r="HV214" s="542"/>
      <c r="HW214" s="542"/>
      <c r="HX214" s="542"/>
      <c r="HY214" s="542"/>
      <c r="HZ214" s="542"/>
      <c r="IA214" s="542"/>
      <c r="IB214" s="542"/>
      <c r="IC214" s="542"/>
      <c r="ID214" s="542"/>
      <c r="IE214" s="542"/>
      <c r="IF214" s="542"/>
      <c r="IG214" s="542"/>
      <c r="IH214" s="542"/>
      <c r="II214" s="542"/>
      <c r="IJ214" s="542"/>
      <c r="IK214" s="542"/>
      <c r="IL214" s="542"/>
      <c r="IM214" s="542"/>
      <c r="IN214" s="542"/>
      <c r="IO214" s="542"/>
      <c r="IP214" s="542"/>
      <c r="IQ214" s="542"/>
      <c r="IR214" s="542"/>
      <c r="IS214" s="542"/>
      <c r="IT214" s="542"/>
      <c r="IU214" s="542"/>
      <c r="IV214" s="542"/>
      <c r="IW214" s="542"/>
      <c r="IX214" s="542"/>
      <c r="IY214" s="542"/>
      <c r="IZ214" s="542"/>
      <c r="JA214" s="542"/>
      <c r="JB214" s="542"/>
    </row>
    <row r="215" spans="55:262" ht="18.899999999999999" customHeight="1">
      <c r="BC215" s="1614"/>
      <c r="BD215" s="1614"/>
      <c r="BE215" s="1614"/>
      <c r="CZ215" s="542"/>
      <c r="DA215" s="542"/>
      <c r="DB215" s="542"/>
      <c r="DC215" s="542"/>
      <c r="DD215" s="542"/>
      <c r="DE215" s="542"/>
      <c r="DF215" s="542"/>
      <c r="DG215" s="542"/>
      <c r="DH215" s="542"/>
      <c r="DI215" s="542"/>
      <c r="DJ215" s="542"/>
      <c r="DK215" s="542"/>
      <c r="DL215" s="542"/>
      <c r="DM215" s="542"/>
      <c r="DN215" s="542"/>
      <c r="DO215" s="542"/>
      <c r="DP215" s="542"/>
      <c r="DQ215" s="542"/>
      <c r="DR215" s="542"/>
      <c r="DS215" s="542"/>
      <c r="DT215" s="542"/>
      <c r="DU215" s="542"/>
      <c r="DV215" s="542"/>
      <c r="DW215" s="542"/>
      <c r="DX215" s="542"/>
      <c r="DY215" s="542"/>
      <c r="DZ215" s="542"/>
      <c r="EA215" s="542"/>
      <c r="EB215" s="542"/>
      <c r="EC215" s="542"/>
      <c r="ED215" s="542"/>
      <c r="EE215" s="542"/>
      <c r="EF215" s="542"/>
      <c r="EG215" s="542"/>
      <c r="EH215" s="542"/>
      <c r="EI215" s="542"/>
      <c r="EJ215" s="542"/>
      <c r="EK215" s="542"/>
      <c r="EL215" s="542"/>
      <c r="EM215" s="542"/>
      <c r="EN215" s="542"/>
      <c r="EO215" s="542"/>
      <c r="EP215" s="542"/>
      <c r="EQ215" s="542"/>
      <c r="ER215" s="542"/>
      <c r="ES215" s="542"/>
      <c r="ET215" s="542"/>
      <c r="EU215" s="542"/>
      <c r="EV215" s="542"/>
      <c r="EW215" s="542"/>
      <c r="EX215" s="542"/>
      <c r="EY215" s="542"/>
      <c r="EZ215" s="542"/>
      <c r="FA215" s="542"/>
      <c r="FB215" s="542"/>
      <c r="FC215" s="542"/>
      <c r="FD215" s="542"/>
      <c r="FE215" s="542"/>
      <c r="FF215" s="542"/>
      <c r="FG215" s="542"/>
      <c r="FH215" s="542"/>
      <c r="FI215" s="542"/>
      <c r="FJ215" s="542"/>
      <c r="FK215" s="542"/>
      <c r="FL215" s="542"/>
      <c r="FM215" s="542"/>
      <c r="FN215" s="542"/>
      <c r="FO215" s="542"/>
      <c r="FP215" s="542"/>
      <c r="FQ215" s="542"/>
      <c r="FR215" s="542"/>
      <c r="FS215" s="542"/>
      <c r="FT215" s="542"/>
      <c r="FU215" s="542"/>
      <c r="FV215" s="542"/>
      <c r="FW215" s="542"/>
      <c r="FX215" s="542"/>
      <c r="FY215" s="542"/>
      <c r="FZ215" s="542"/>
      <c r="GA215" s="542"/>
      <c r="GB215" s="542"/>
      <c r="GC215" s="542"/>
      <c r="GD215" s="542"/>
      <c r="GE215" s="542"/>
      <c r="GF215" s="542"/>
      <c r="GG215" s="542"/>
      <c r="GH215" s="542"/>
      <c r="GI215" s="542"/>
      <c r="GJ215" s="542"/>
      <c r="GK215" s="542"/>
      <c r="GL215" s="542"/>
      <c r="GM215" s="542"/>
      <c r="GN215" s="542"/>
      <c r="GO215" s="542"/>
      <c r="GP215" s="542"/>
      <c r="GQ215" s="542"/>
      <c r="GR215" s="542"/>
      <c r="GS215" s="542"/>
      <c r="GT215" s="542"/>
      <c r="GU215" s="542"/>
      <c r="GV215" s="542"/>
      <c r="GW215" s="542"/>
      <c r="GX215" s="542"/>
      <c r="GY215" s="542"/>
      <c r="GZ215" s="542"/>
      <c r="HA215" s="542"/>
      <c r="HB215" s="542"/>
      <c r="HC215" s="542"/>
      <c r="HD215" s="542"/>
      <c r="HE215" s="542"/>
      <c r="HF215" s="542"/>
      <c r="HG215" s="542"/>
      <c r="HH215" s="542"/>
      <c r="HI215" s="542"/>
      <c r="HJ215" s="542"/>
      <c r="HK215" s="542"/>
      <c r="HL215" s="542"/>
      <c r="HM215" s="542"/>
      <c r="HN215" s="542"/>
      <c r="HO215" s="542"/>
      <c r="HP215" s="542"/>
      <c r="HQ215" s="542"/>
      <c r="HR215" s="542"/>
      <c r="HS215" s="542"/>
      <c r="HT215" s="542"/>
      <c r="HU215" s="542"/>
      <c r="HV215" s="542"/>
      <c r="HW215" s="542"/>
      <c r="HX215" s="542"/>
      <c r="HY215" s="542"/>
      <c r="HZ215" s="542"/>
      <c r="IA215" s="542"/>
      <c r="IB215" s="542"/>
      <c r="IC215" s="542"/>
      <c r="ID215" s="542"/>
      <c r="IE215" s="542"/>
      <c r="IF215" s="542"/>
      <c r="IG215" s="542"/>
      <c r="IH215" s="542"/>
      <c r="II215" s="542"/>
      <c r="IJ215" s="542"/>
      <c r="IK215" s="542"/>
      <c r="IL215" s="542"/>
      <c r="IM215" s="542"/>
      <c r="IN215" s="542"/>
      <c r="IO215" s="542"/>
      <c r="IP215" s="542"/>
      <c r="IQ215" s="542"/>
      <c r="IR215" s="542"/>
      <c r="IS215" s="542"/>
      <c r="IT215" s="542"/>
      <c r="IU215" s="542"/>
      <c r="IV215" s="542"/>
      <c r="IW215" s="542"/>
      <c r="IX215" s="542"/>
      <c r="IY215" s="542"/>
      <c r="IZ215" s="542"/>
      <c r="JA215" s="542"/>
      <c r="JB215" s="542"/>
    </row>
    <row r="216" spans="55:262" ht="18.899999999999999" customHeight="1">
      <c r="BC216" s="1614"/>
      <c r="BD216" s="1614"/>
      <c r="BE216" s="1614"/>
      <c r="CZ216" s="542"/>
      <c r="DA216" s="542"/>
      <c r="DB216" s="542"/>
      <c r="DC216" s="542"/>
      <c r="DD216" s="542"/>
      <c r="DE216" s="542"/>
      <c r="DF216" s="542"/>
      <c r="DG216" s="542"/>
      <c r="DH216" s="542"/>
      <c r="DI216" s="542"/>
      <c r="DJ216" s="542"/>
      <c r="DK216" s="542"/>
      <c r="DL216" s="542"/>
      <c r="DM216" s="542"/>
      <c r="DN216" s="542"/>
      <c r="DO216" s="542"/>
      <c r="DP216" s="542"/>
      <c r="DQ216" s="542"/>
      <c r="DR216" s="542"/>
      <c r="DS216" s="542"/>
      <c r="DT216" s="542"/>
      <c r="DU216" s="542"/>
      <c r="DV216" s="542"/>
      <c r="DW216" s="542"/>
      <c r="DX216" s="542"/>
      <c r="DY216" s="542"/>
      <c r="DZ216" s="542"/>
      <c r="EA216" s="542"/>
      <c r="EB216" s="542"/>
      <c r="EC216" s="542"/>
      <c r="ED216" s="542"/>
      <c r="EE216" s="542"/>
      <c r="EF216" s="542"/>
      <c r="EG216" s="542"/>
      <c r="EH216" s="542"/>
      <c r="EI216" s="542"/>
      <c r="EJ216" s="542"/>
      <c r="EK216" s="542"/>
      <c r="EL216" s="542"/>
      <c r="EM216" s="542"/>
      <c r="EN216" s="542"/>
      <c r="EO216" s="542"/>
      <c r="EP216" s="542"/>
      <c r="EQ216" s="542"/>
      <c r="ER216" s="542"/>
      <c r="ES216" s="542"/>
      <c r="ET216" s="542"/>
      <c r="EU216" s="542"/>
      <c r="EV216" s="542"/>
      <c r="EW216" s="542"/>
      <c r="EX216" s="542"/>
      <c r="EY216" s="542"/>
      <c r="EZ216" s="542"/>
      <c r="FA216" s="542"/>
      <c r="FB216" s="542"/>
      <c r="FC216" s="542"/>
      <c r="FD216" s="542"/>
      <c r="FE216" s="542"/>
      <c r="FF216" s="542"/>
      <c r="FG216" s="542"/>
      <c r="FH216" s="542"/>
      <c r="FI216" s="542"/>
      <c r="FJ216" s="542"/>
      <c r="FK216" s="542"/>
      <c r="FL216" s="542"/>
      <c r="FM216" s="542"/>
      <c r="FN216" s="542"/>
      <c r="FO216" s="542"/>
      <c r="FP216" s="542"/>
      <c r="FQ216" s="542"/>
      <c r="FR216" s="542"/>
      <c r="FS216" s="542"/>
      <c r="FT216" s="542"/>
      <c r="FU216" s="542"/>
      <c r="FV216" s="542"/>
      <c r="FW216" s="542"/>
      <c r="FX216" s="542"/>
      <c r="FY216" s="542"/>
      <c r="FZ216" s="542"/>
      <c r="GA216" s="542"/>
      <c r="GB216" s="542"/>
      <c r="GC216" s="542"/>
      <c r="GD216" s="542"/>
      <c r="GE216" s="542"/>
      <c r="GF216" s="542"/>
      <c r="GG216" s="542"/>
      <c r="GH216" s="542"/>
      <c r="GI216" s="542"/>
      <c r="GJ216" s="542"/>
      <c r="GK216" s="542"/>
      <c r="GL216" s="542"/>
      <c r="GM216" s="542"/>
      <c r="GN216" s="542"/>
      <c r="GO216" s="542"/>
      <c r="GP216" s="542"/>
      <c r="GQ216" s="542"/>
      <c r="GR216" s="542"/>
      <c r="GS216" s="542"/>
      <c r="GT216" s="542"/>
      <c r="GU216" s="542"/>
      <c r="GV216" s="542"/>
      <c r="GW216" s="542"/>
      <c r="GX216" s="542"/>
      <c r="GY216" s="542"/>
      <c r="GZ216" s="542"/>
      <c r="HA216" s="542"/>
      <c r="HB216" s="542"/>
      <c r="HC216" s="542"/>
      <c r="HD216" s="542"/>
      <c r="HE216" s="542"/>
      <c r="HF216" s="542"/>
      <c r="HG216" s="542"/>
      <c r="HH216" s="542"/>
      <c r="HI216" s="542"/>
      <c r="HJ216" s="542"/>
      <c r="HK216" s="542"/>
      <c r="HL216" s="542"/>
      <c r="HM216" s="542"/>
      <c r="HN216" s="542"/>
      <c r="HO216" s="542"/>
      <c r="HP216" s="542"/>
      <c r="HQ216" s="542"/>
      <c r="HR216" s="542"/>
      <c r="HS216" s="542"/>
      <c r="HT216" s="542"/>
      <c r="HU216" s="542"/>
      <c r="HV216" s="542"/>
      <c r="HW216" s="542"/>
      <c r="HX216" s="542"/>
      <c r="HY216" s="542"/>
      <c r="HZ216" s="542"/>
      <c r="IA216" s="542"/>
      <c r="IB216" s="542"/>
      <c r="IC216" s="542"/>
      <c r="ID216" s="542"/>
      <c r="IE216" s="542"/>
      <c r="IF216" s="542"/>
      <c r="IG216" s="542"/>
      <c r="IH216" s="542"/>
      <c r="II216" s="542"/>
      <c r="IJ216" s="542"/>
      <c r="IK216" s="542"/>
      <c r="IL216" s="542"/>
      <c r="IM216" s="542"/>
      <c r="IN216" s="542"/>
      <c r="IO216" s="542"/>
      <c r="IP216" s="542"/>
      <c r="IQ216" s="542"/>
      <c r="IR216" s="542"/>
      <c r="IS216" s="542"/>
      <c r="IT216" s="542"/>
      <c r="IU216" s="542"/>
      <c r="IV216" s="542"/>
      <c r="IW216" s="542"/>
      <c r="IX216" s="542"/>
      <c r="IY216" s="542"/>
      <c r="IZ216" s="542"/>
      <c r="JA216" s="542"/>
      <c r="JB216" s="542"/>
    </row>
    <row r="217" spans="55:262" ht="18.899999999999999" customHeight="1">
      <c r="BC217" s="1614"/>
      <c r="BD217" s="1614"/>
      <c r="BE217" s="1614"/>
      <c r="CZ217" s="542"/>
      <c r="DA217" s="542"/>
      <c r="DB217" s="542"/>
      <c r="DC217" s="542"/>
      <c r="DD217" s="542"/>
      <c r="DE217" s="542"/>
      <c r="DF217" s="542"/>
      <c r="DG217" s="542"/>
      <c r="DH217" s="542"/>
      <c r="DI217" s="542"/>
      <c r="DJ217" s="542"/>
      <c r="DK217" s="542"/>
      <c r="DL217" s="542"/>
      <c r="DM217" s="542"/>
      <c r="DN217" s="542"/>
      <c r="DO217" s="542"/>
      <c r="DP217" s="542"/>
      <c r="DQ217" s="542"/>
      <c r="DR217" s="542"/>
      <c r="DS217" s="542"/>
      <c r="DT217" s="542"/>
      <c r="DU217" s="542"/>
      <c r="DV217" s="542"/>
      <c r="DW217" s="542"/>
      <c r="DX217" s="542"/>
      <c r="DY217" s="542"/>
      <c r="DZ217" s="542"/>
      <c r="EA217" s="542"/>
      <c r="EB217" s="542"/>
      <c r="EC217" s="542"/>
      <c r="ED217" s="542"/>
      <c r="EE217" s="542"/>
      <c r="EF217" s="542"/>
      <c r="EG217" s="542"/>
      <c r="EH217" s="542"/>
      <c r="EI217" s="542"/>
      <c r="EJ217" s="542"/>
      <c r="EK217" s="542"/>
      <c r="EL217" s="542"/>
      <c r="EM217" s="542"/>
      <c r="EN217" s="542"/>
      <c r="EO217" s="542"/>
      <c r="EP217" s="542"/>
      <c r="EQ217" s="542"/>
      <c r="ER217" s="542"/>
      <c r="ES217" s="542"/>
      <c r="ET217" s="542"/>
      <c r="EU217" s="542"/>
      <c r="EV217" s="542"/>
      <c r="EW217" s="542"/>
      <c r="EX217" s="542"/>
      <c r="EY217" s="542"/>
      <c r="EZ217" s="542"/>
      <c r="FA217" s="542"/>
      <c r="FB217" s="542"/>
      <c r="FC217" s="542"/>
      <c r="FD217" s="542"/>
      <c r="FE217" s="542"/>
      <c r="FF217" s="542"/>
      <c r="FG217" s="542"/>
      <c r="FH217" s="542"/>
      <c r="FI217" s="542"/>
      <c r="FJ217" s="542"/>
      <c r="FK217" s="542"/>
      <c r="FL217" s="542"/>
      <c r="FM217" s="542"/>
      <c r="FN217" s="542"/>
      <c r="FO217" s="542"/>
      <c r="FP217" s="542"/>
      <c r="FQ217" s="542"/>
      <c r="FR217" s="542"/>
      <c r="FS217" s="542"/>
      <c r="FT217" s="542"/>
      <c r="FU217" s="542"/>
      <c r="FV217" s="542"/>
      <c r="FW217" s="542"/>
      <c r="FX217" s="542"/>
      <c r="FY217" s="542"/>
      <c r="FZ217" s="542"/>
      <c r="GA217" s="542"/>
      <c r="GB217" s="542"/>
      <c r="GC217" s="542"/>
      <c r="GD217" s="542"/>
      <c r="GE217" s="542"/>
      <c r="GF217" s="542"/>
      <c r="GG217" s="542"/>
      <c r="GH217" s="542"/>
      <c r="GI217" s="542"/>
      <c r="GJ217" s="542"/>
      <c r="GK217" s="542"/>
      <c r="GL217" s="542"/>
      <c r="GM217" s="542"/>
      <c r="GN217" s="542"/>
      <c r="GO217" s="542"/>
      <c r="GP217" s="542"/>
      <c r="GQ217" s="542"/>
      <c r="GR217" s="542"/>
      <c r="GS217" s="542"/>
      <c r="GT217" s="542"/>
      <c r="GU217" s="542"/>
      <c r="GV217" s="542"/>
      <c r="GW217" s="542"/>
      <c r="GX217" s="542"/>
      <c r="GY217" s="542"/>
      <c r="GZ217" s="542"/>
      <c r="HA217" s="542"/>
      <c r="HB217" s="542"/>
      <c r="HC217" s="542"/>
      <c r="HD217" s="542"/>
      <c r="HE217" s="542"/>
      <c r="HF217" s="542"/>
      <c r="HG217" s="542"/>
      <c r="HH217" s="542"/>
      <c r="HI217" s="542"/>
      <c r="HJ217" s="542"/>
      <c r="HK217" s="542"/>
      <c r="HL217" s="542"/>
      <c r="HM217" s="542"/>
      <c r="HN217" s="542"/>
      <c r="HO217" s="542"/>
      <c r="HP217" s="542"/>
      <c r="HQ217" s="542"/>
      <c r="HR217" s="542"/>
      <c r="HS217" s="542"/>
      <c r="HT217" s="542"/>
      <c r="HU217" s="542"/>
      <c r="HV217" s="542"/>
      <c r="HW217" s="542"/>
      <c r="HX217" s="542"/>
      <c r="HY217" s="542"/>
      <c r="HZ217" s="542"/>
      <c r="IA217" s="542"/>
      <c r="IB217" s="542"/>
      <c r="IC217" s="542"/>
      <c r="ID217" s="542"/>
      <c r="IE217" s="542"/>
      <c r="IF217" s="542"/>
      <c r="IG217" s="542"/>
      <c r="IH217" s="542"/>
      <c r="II217" s="542"/>
      <c r="IJ217" s="542"/>
      <c r="IK217" s="542"/>
      <c r="IL217" s="542"/>
      <c r="IM217" s="542"/>
      <c r="IN217" s="542"/>
      <c r="IO217" s="542"/>
      <c r="IP217" s="542"/>
      <c r="IQ217" s="542"/>
      <c r="IR217" s="542"/>
      <c r="IS217" s="542"/>
      <c r="IT217" s="542"/>
      <c r="IU217" s="542"/>
      <c r="IV217" s="542"/>
      <c r="IW217" s="542"/>
      <c r="IX217" s="542"/>
      <c r="IY217" s="542"/>
      <c r="IZ217" s="542"/>
      <c r="JA217" s="542"/>
      <c r="JB217" s="542"/>
    </row>
    <row r="218" spans="55:262" ht="18.899999999999999" customHeight="1">
      <c r="BC218" s="1614"/>
      <c r="BD218" s="1614"/>
      <c r="BE218" s="1614"/>
      <c r="CZ218" s="542"/>
      <c r="DA218" s="542"/>
      <c r="DB218" s="542"/>
      <c r="DC218" s="542"/>
      <c r="DD218" s="542"/>
      <c r="DE218" s="542"/>
      <c r="DF218" s="542"/>
      <c r="DG218" s="542"/>
      <c r="DH218" s="542"/>
      <c r="DI218" s="542"/>
      <c r="DJ218" s="542"/>
      <c r="DK218" s="542"/>
      <c r="DL218" s="542"/>
      <c r="DM218" s="542"/>
      <c r="DN218" s="542"/>
      <c r="DO218" s="542"/>
      <c r="DP218" s="542"/>
      <c r="DQ218" s="542"/>
      <c r="DR218" s="542"/>
      <c r="DS218" s="542"/>
      <c r="DT218" s="542"/>
      <c r="DU218" s="542"/>
      <c r="DV218" s="542"/>
      <c r="DW218" s="542"/>
      <c r="DX218" s="542"/>
      <c r="DY218" s="542"/>
      <c r="DZ218" s="542"/>
      <c r="EA218" s="542"/>
      <c r="EB218" s="542"/>
      <c r="EC218" s="542"/>
      <c r="ED218" s="542"/>
      <c r="EE218" s="542"/>
      <c r="EF218" s="542"/>
      <c r="EG218" s="542"/>
      <c r="EH218" s="542"/>
      <c r="EI218" s="542"/>
      <c r="EJ218" s="542"/>
      <c r="EK218" s="542"/>
      <c r="EL218" s="542"/>
      <c r="EM218" s="542"/>
      <c r="EN218" s="542"/>
      <c r="EO218" s="542"/>
      <c r="EP218" s="542"/>
      <c r="EQ218" s="542"/>
      <c r="ER218" s="542"/>
      <c r="ES218" s="542"/>
      <c r="ET218" s="542"/>
      <c r="EU218" s="542"/>
      <c r="EV218" s="542"/>
      <c r="EW218" s="542"/>
      <c r="EX218" s="542"/>
      <c r="EY218" s="542"/>
      <c r="EZ218" s="542"/>
      <c r="FA218" s="542"/>
      <c r="FB218" s="542"/>
      <c r="FC218" s="542"/>
      <c r="FD218" s="542"/>
      <c r="FE218" s="542"/>
      <c r="FF218" s="542"/>
      <c r="FG218" s="542"/>
      <c r="FH218" s="542"/>
      <c r="FI218" s="542"/>
      <c r="FJ218" s="542"/>
      <c r="FK218" s="542"/>
      <c r="FL218" s="542"/>
      <c r="FM218" s="542"/>
      <c r="FN218" s="542"/>
      <c r="FO218" s="542"/>
      <c r="FP218" s="542"/>
      <c r="FQ218" s="542"/>
      <c r="FR218" s="542"/>
      <c r="FS218" s="542"/>
      <c r="FT218" s="542"/>
      <c r="FU218" s="542"/>
      <c r="FV218" s="542"/>
      <c r="FW218" s="542"/>
      <c r="FX218" s="542"/>
      <c r="FY218" s="542"/>
      <c r="FZ218" s="542"/>
      <c r="GA218" s="542"/>
      <c r="GB218" s="542"/>
      <c r="GC218" s="542"/>
      <c r="GD218" s="542"/>
      <c r="GE218" s="542"/>
      <c r="GF218" s="542"/>
      <c r="GG218" s="542"/>
      <c r="GH218" s="542"/>
      <c r="GI218" s="542"/>
      <c r="GJ218" s="542"/>
      <c r="GK218" s="542"/>
      <c r="GL218" s="542"/>
      <c r="GM218" s="542"/>
      <c r="GN218" s="542"/>
      <c r="GO218" s="542"/>
      <c r="GP218" s="542"/>
      <c r="GQ218" s="542"/>
      <c r="GR218" s="542"/>
      <c r="GS218" s="542"/>
      <c r="GT218" s="542"/>
      <c r="GU218" s="542"/>
      <c r="GV218" s="542"/>
      <c r="GW218" s="542"/>
      <c r="GX218" s="542"/>
      <c r="GY218" s="542"/>
      <c r="GZ218" s="542"/>
      <c r="HA218" s="542"/>
      <c r="HB218" s="542"/>
      <c r="HC218" s="542"/>
      <c r="HD218" s="542"/>
      <c r="HE218" s="542"/>
      <c r="HF218" s="542"/>
      <c r="HG218" s="542"/>
      <c r="HH218" s="542"/>
      <c r="HI218" s="542"/>
      <c r="HJ218" s="542"/>
      <c r="HK218" s="542"/>
      <c r="HL218" s="542"/>
      <c r="HM218" s="542"/>
      <c r="HN218" s="542"/>
      <c r="HO218" s="542"/>
      <c r="HP218" s="542"/>
      <c r="HQ218" s="542"/>
      <c r="HR218" s="542"/>
      <c r="HS218" s="542"/>
      <c r="HT218" s="542"/>
      <c r="HU218" s="542"/>
      <c r="HV218" s="542"/>
      <c r="HW218" s="542"/>
      <c r="HX218" s="542"/>
      <c r="HY218" s="542"/>
      <c r="HZ218" s="542"/>
      <c r="IA218" s="542"/>
      <c r="IB218" s="542"/>
      <c r="IC218" s="542"/>
      <c r="ID218" s="542"/>
      <c r="IE218" s="542"/>
      <c r="IF218" s="542"/>
      <c r="IG218" s="542"/>
      <c r="IH218" s="542"/>
      <c r="II218" s="542"/>
      <c r="IJ218" s="542"/>
      <c r="IK218" s="542"/>
      <c r="IL218" s="542"/>
      <c r="IM218" s="542"/>
      <c r="IN218" s="542"/>
      <c r="IO218" s="542"/>
      <c r="IP218" s="542"/>
      <c r="IQ218" s="542"/>
      <c r="IR218" s="542"/>
      <c r="IS218" s="542"/>
      <c r="IT218" s="542"/>
      <c r="IU218" s="542"/>
      <c r="IV218" s="542"/>
      <c r="IW218" s="542"/>
      <c r="IX218" s="542"/>
      <c r="IY218" s="542"/>
      <c r="IZ218" s="542"/>
      <c r="JA218" s="542"/>
      <c r="JB218" s="542"/>
    </row>
    <row r="219" spans="55:262" ht="18.899999999999999" customHeight="1">
      <c r="BC219" s="1614"/>
      <c r="BD219" s="1614"/>
      <c r="BE219" s="1614"/>
      <c r="CZ219" s="542"/>
      <c r="DA219" s="542"/>
      <c r="DB219" s="542"/>
      <c r="DC219" s="542"/>
      <c r="DD219" s="542"/>
      <c r="DE219" s="542"/>
      <c r="DF219" s="542"/>
      <c r="DG219" s="542"/>
      <c r="DH219" s="542"/>
      <c r="DI219" s="542"/>
      <c r="DJ219" s="542"/>
      <c r="DK219" s="542"/>
      <c r="DL219" s="542"/>
      <c r="DM219" s="542"/>
      <c r="DN219" s="542"/>
      <c r="DO219" s="542"/>
      <c r="DP219" s="542"/>
      <c r="DQ219" s="542"/>
      <c r="DR219" s="542"/>
      <c r="DS219" s="542"/>
      <c r="DT219" s="542"/>
      <c r="DU219" s="542"/>
      <c r="DV219" s="542"/>
      <c r="DW219" s="542"/>
      <c r="DX219" s="542"/>
      <c r="DY219" s="542"/>
      <c r="DZ219" s="542"/>
      <c r="EA219" s="542"/>
      <c r="EB219" s="542"/>
      <c r="EC219" s="542"/>
      <c r="ED219" s="542"/>
      <c r="EE219" s="542"/>
      <c r="EF219" s="542"/>
      <c r="EG219" s="542"/>
      <c r="EH219" s="542"/>
      <c r="EI219" s="542"/>
      <c r="EJ219" s="542"/>
      <c r="EK219" s="542"/>
      <c r="EL219" s="542"/>
      <c r="EM219" s="542"/>
      <c r="EN219" s="542"/>
      <c r="EO219" s="542"/>
      <c r="EP219" s="542"/>
      <c r="EQ219" s="542"/>
      <c r="ER219" s="542"/>
      <c r="ES219" s="542"/>
      <c r="ET219" s="542"/>
      <c r="EU219" s="542"/>
      <c r="EV219" s="542"/>
      <c r="EW219" s="542"/>
      <c r="EX219" s="542"/>
      <c r="EY219" s="542"/>
      <c r="EZ219" s="542"/>
      <c r="FA219" s="542"/>
      <c r="FB219" s="542"/>
      <c r="FC219" s="542"/>
      <c r="FD219" s="542"/>
      <c r="FE219" s="542"/>
      <c r="FF219" s="542"/>
      <c r="FG219" s="542"/>
      <c r="FH219" s="542"/>
      <c r="FI219" s="542"/>
      <c r="FJ219" s="542"/>
      <c r="FK219" s="542"/>
      <c r="FL219" s="542"/>
      <c r="FM219" s="542"/>
      <c r="FN219" s="542"/>
      <c r="FO219" s="542"/>
      <c r="FP219" s="542"/>
      <c r="FQ219" s="542"/>
      <c r="FR219" s="542"/>
      <c r="FS219" s="542"/>
      <c r="FT219" s="542"/>
      <c r="FU219" s="542"/>
      <c r="FV219" s="542"/>
      <c r="FW219" s="542"/>
      <c r="FX219" s="542"/>
      <c r="FY219" s="542"/>
      <c r="FZ219" s="542"/>
      <c r="GA219" s="542"/>
      <c r="GB219" s="542"/>
      <c r="GC219" s="542"/>
      <c r="GD219" s="542"/>
      <c r="GE219" s="542"/>
      <c r="GF219" s="542"/>
      <c r="GG219" s="542"/>
      <c r="GH219" s="542"/>
      <c r="GI219" s="542"/>
      <c r="GJ219" s="542"/>
      <c r="GK219" s="542"/>
      <c r="GL219" s="542"/>
      <c r="GM219" s="542"/>
      <c r="GN219" s="542"/>
      <c r="GO219" s="542"/>
      <c r="GP219" s="542"/>
      <c r="GQ219" s="542"/>
      <c r="GR219" s="542"/>
      <c r="GS219" s="542"/>
      <c r="GT219" s="542"/>
      <c r="GU219" s="542"/>
      <c r="GV219" s="542"/>
      <c r="GW219" s="542"/>
      <c r="GX219" s="542"/>
      <c r="GY219" s="542"/>
      <c r="GZ219" s="542"/>
      <c r="HA219" s="542"/>
      <c r="HB219" s="542"/>
      <c r="HC219" s="542"/>
      <c r="HD219" s="542"/>
      <c r="HE219" s="542"/>
      <c r="HF219" s="542"/>
      <c r="HG219" s="542"/>
      <c r="HH219" s="542"/>
      <c r="HI219" s="542"/>
      <c r="HJ219" s="542"/>
      <c r="HK219" s="542"/>
      <c r="HL219" s="542"/>
      <c r="HM219" s="542"/>
      <c r="HN219" s="542"/>
      <c r="HO219" s="542"/>
      <c r="HP219" s="542"/>
      <c r="HQ219" s="542"/>
      <c r="HR219" s="542"/>
      <c r="HS219" s="542"/>
      <c r="HT219" s="542"/>
      <c r="HU219" s="542"/>
      <c r="HV219" s="542"/>
      <c r="HW219" s="542"/>
      <c r="HX219" s="542"/>
      <c r="HY219" s="542"/>
      <c r="HZ219" s="542"/>
      <c r="IA219" s="542"/>
      <c r="IB219" s="542"/>
      <c r="IC219" s="542"/>
      <c r="ID219" s="542"/>
      <c r="IE219" s="542"/>
      <c r="IF219" s="542"/>
      <c r="IG219" s="542"/>
      <c r="IH219" s="542"/>
      <c r="II219" s="542"/>
      <c r="IJ219" s="542"/>
      <c r="IK219" s="542"/>
      <c r="IL219" s="542"/>
      <c r="IM219" s="542"/>
      <c r="IN219" s="542"/>
      <c r="IO219" s="542"/>
      <c r="IP219" s="542"/>
      <c r="IQ219" s="542"/>
      <c r="IR219" s="542"/>
      <c r="IS219" s="542"/>
      <c r="IT219" s="542"/>
      <c r="IU219" s="542"/>
      <c r="IV219" s="542"/>
      <c r="IW219" s="542"/>
      <c r="IX219" s="542"/>
      <c r="IY219" s="542"/>
      <c r="IZ219" s="542"/>
      <c r="JA219" s="542"/>
      <c r="JB219" s="542"/>
    </row>
    <row r="220" spans="55:262" ht="18.899999999999999" customHeight="1">
      <c r="BC220" s="1614"/>
      <c r="BD220" s="1614"/>
      <c r="BE220" s="1614"/>
      <c r="CZ220" s="542"/>
      <c r="DA220" s="542"/>
      <c r="DB220" s="542"/>
      <c r="DC220" s="542"/>
      <c r="DD220" s="542"/>
      <c r="DE220" s="542"/>
      <c r="DF220" s="542"/>
      <c r="DG220" s="542"/>
      <c r="DH220" s="542"/>
      <c r="DI220" s="542"/>
      <c r="DJ220" s="542"/>
      <c r="DK220" s="542"/>
      <c r="DL220" s="542"/>
      <c r="DM220" s="542"/>
      <c r="DN220" s="542"/>
      <c r="DO220" s="542"/>
      <c r="DP220" s="542"/>
      <c r="DQ220" s="542"/>
      <c r="DR220" s="542"/>
      <c r="DS220" s="542"/>
      <c r="DT220" s="542"/>
      <c r="DU220" s="542"/>
      <c r="DV220" s="542"/>
      <c r="DW220" s="542"/>
      <c r="DX220" s="542"/>
      <c r="DY220" s="542"/>
      <c r="DZ220" s="542"/>
      <c r="EA220" s="542"/>
      <c r="EB220" s="542"/>
      <c r="EC220" s="542"/>
      <c r="ED220" s="542"/>
      <c r="EE220" s="542"/>
      <c r="EF220" s="542"/>
      <c r="EG220" s="542"/>
      <c r="EH220" s="542"/>
      <c r="EI220" s="542"/>
      <c r="EJ220" s="542"/>
      <c r="EK220" s="542"/>
      <c r="EL220" s="542"/>
      <c r="EM220" s="542"/>
      <c r="EN220" s="542"/>
      <c r="EO220" s="542"/>
      <c r="EP220" s="542"/>
      <c r="EQ220" s="542"/>
      <c r="ER220" s="542"/>
      <c r="ES220" s="542"/>
      <c r="ET220" s="542"/>
      <c r="EU220" s="542"/>
      <c r="EV220" s="542"/>
      <c r="EW220" s="542"/>
      <c r="EX220" s="542"/>
      <c r="EY220" s="542"/>
      <c r="EZ220" s="542"/>
      <c r="FA220" s="542"/>
      <c r="FB220" s="542"/>
      <c r="FC220" s="542"/>
      <c r="FD220" s="542"/>
      <c r="FE220" s="542"/>
      <c r="FF220" s="542"/>
      <c r="FG220" s="542"/>
      <c r="FH220" s="542"/>
      <c r="FI220" s="542"/>
      <c r="FJ220" s="542"/>
      <c r="FK220" s="542"/>
      <c r="FL220" s="542"/>
      <c r="FM220" s="542"/>
      <c r="FN220" s="542"/>
      <c r="FO220" s="542"/>
      <c r="FP220" s="542"/>
      <c r="FQ220" s="542"/>
      <c r="FR220" s="542"/>
      <c r="FS220" s="542"/>
      <c r="FT220" s="542"/>
      <c r="FU220" s="542"/>
      <c r="FV220" s="542"/>
      <c r="FW220" s="542"/>
      <c r="FX220" s="542"/>
      <c r="FY220" s="542"/>
      <c r="FZ220" s="542"/>
      <c r="GA220" s="542"/>
      <c r="GB220" s="542"/>
      <c r="GC220" s="542"/>
      <c r="GD220" s="542"/>
      <c r="GE220" s="542"/>
      <c r="GF220" s="542"/>
      <c r="GG220" s="542"/>
      <c r="GH220" s="542"/>
      <c r="GI220" s="542"/>
      <c r="GJ220" s="542"/>
      <c r="GK220" s="542"/>
      <c r="GL220" s="542"/>
      <c r="GM220" s="542"/>
      <c r="GN220" s="542"/>
      <c r="GO220" s="542"/>
      <c r="GP220" s="542"/>
      <c r="GQ220" s="542"/>
      <c r="GR220" s="542"/>
      <c r="GS220" s="542"/>
      <c r="GT220" s="542"/>
      <c r="GU220" s="542"/>
      <c r="GV220" s="542"/>
      <c r="GW220" s="542"/>
      <c r="GX220" s="542"/>
      <c r="GY220" s="542"/>
      <c r="GZ220" s="542"/>
      <c r="HA220" s="542"/>
      <c r="HB220" s="542"/>
      <c r="HC220" s="542"/>
      <c r="HD220" s="542"/>
      <c r="HE220" s="542"/>
      <c r="HF220" s="542"/>
      <c r="HG220" s="542"/>
      <c r="HH220" s="542"/>
      <c r="HI220" s="542"/>
      <c r="HJ220" s="542"/>
      <c r="HK220" s="542"/>
      <c r="HL220" s="542"/>
      <c r="HM220" s="542"/>
      <c r="HN220" s="542"/>
      <c r="HO220" s="542"/>
      <c r="HP220" s="542"/>
      <c r="HQ220" s="542"/>
      <c r="HR220" s="542"/>
      <c r="HS220" s="542"/>
      <c r="HT220" s="542"/>
      <c r="HU220" s="542"/>
      <c r="HV220" s="542"/>
      <c r="HW220" s="542"/>
      <c r="HX220" s="542"/>
      <c r="HY220" s="542"/>
      <c r="HZ220" s="542"/>
      <c r="IA220" s="542"/>
      <c r="IB220" s="542"/>
      <c r="IC220" s="542"/>
      <c r="ID220" s="542"/>
      <c r="IE220" s="542"/>
      <c r="IF220" s="542"/>
      <c r="IG220" s="542"/>
      <c r="IH220" s="542"/>
      <c r="II220" s="542"/>
      <c r="IJ220" s="542"/>
      <c r="IK220" s="542"/>
      <c r="IL220" s="542"/>
      <c r="IM220" s="542"/>
      <c r="IN220" s="542"/>
      <c r="IO220" s="542"/>
      <c r="IP220" s="542"/>
      <c r="IQ220" s="542"/>
      <c r="IR220" s="542"/>
      <c r="IS220" s="542"/>
      <c r="IT220" s="542"/>
      <c r="IU220" s="542"/>
      <c r="IV220" s="542"/>
      <c r="IW220" s="542"/>
      <c r="IX220" s="542"/>
      <c r="IY220" s="542"/>
      <c r="IZ220" s="542"/>
      <c r="JA220" s="542"/>
      <c r="JB220" s="542"/>
    </row>
    <row r="221" spans="55:262" ht="18.899999999999999" customHeight="1">
      <c r="BC221" s="1614"/>
      <c r="BD221" s="1614"/>
      <c r="BE221" s="1614"/>
      <c r="CZ221" s="542"/>
      <c r="DA221" s="542"/>
      <c r="DB221" s="542"/>
      <c r="DC221" s="542"/>
      <c r="DD221" s="542"/>
      <c r="DE221" s="542"/>
      <c r="DF221" s="542"/>
      <c r="DG221" s="542"/>
      <c r="DH221" s="542"/>
      <c r="DI221" s="542"/>
      <c r="DJ221" s="542"/>
      <c r="DK221" s="542"/>
      <c r="DL221" s="542"/>
      <c r="DM221" s="542"/>
      <c r="DN221" s="542"/>
      <c r="DO221" s="542"/>
      <c r="DP221" s="542"/>
      <c r="DQ221" s="542"/>
      <c r="DR221" s="542"/>
      <c r="DS221" s="542"/>
      <c r="DT221" s="542"/>
      <c r="DU221" s="542"/>
      <c r="DV221" s="542"/>
      <c r="DW221" s="542"/>
      <c r="DX221" s="542"/>
      <c r="DY221" s="542"/>
      <c r="DZ221" s="542"/>
      <c r="EA221" s="542"/>
      <c r="EB221" s="542"/>
      <c r="EC221" s="542"/>
      <c r="ED221" s="542"/>
      <c r="EE221" s="542"/>
      <c r="EF221" s="542"/>
      <c r="EG221" s="542"/>
      <c r="EH221" s="542"/>
      <c r="EI221" s="542"/>
      <c r="EJ221" s="542"/>
      <c r="EK221" s="542"/>
      <c r="EL221" s="542"/>
      <c r="EM221" s="542"/>
      <c r="EN221" s="542"/>
      <c r="EO221" s="542"/>
      <c r="EP221" s="542"/>
      <c r="EQ221" s="542"/>
      <c r="ER221" s="542"/>
      <c r="ES221" s="542"/>
      <c r="ET221" s="542"/>
      <c r="EU221" s="542"/>
      <c r="EV221" s="542"/>
      <c r="EW221" s="542"/>
      <c r="EX221" s="542"/>
      <c r="EY221" s="542"/>
      <c r="EZ221" s="542"/>
      <c r="FA221" s="542"/>
      <c r="FB221" s="542"/>
      <c r="FC221" s="542"/>
      <c r="FD221" s="542"/>
      <c r="FE221" s="542"/>
      <c r="FF221" s="542"/>
      <c r="FG221" s="542"/>
      <c r="FH221" s="542"/>
      <c r="FI221" s="542"/>
      <c r="FJ221" s="542"/>
      <c r="FK221" s="542"/>
      <c r="FL221" s="542"/>
      <c r="FM221" s="542"/>
      <c r="FN221" s="542"/>
      <c r="FO221" s="542"/>
      <c r="FP221" s="542"/>
      <c r="FQ221" s="542"/>
      <c r="FR221" s="542"/>
      <c r="FS221" s="542"/>
      <c r="FT221" s="542"/>
      <c r="FU221" s="542"/>
      <c r="FV221" s="542"/>
      <c r="FW221" s="542"/>
      <c r="FX221" s="542"/>
      <c r="FY221" s="542"/>
      <c r="FZ221" s="542"/>
      <c r="GA221" s="542"/>
      <c r="GB221" s="542"/>
      <c r="GC221" s="542"/>
      <c r="GD221" s="542"/>
      <c r="GE221" s="542"/>
      <c r="GF221" s="542"/>
      <c r="GG221" s="542"/>
      <c r="GH221" s="542"/>
      <c r="GI221" s="542"/>
      <c r="GJ221" s="542"/>
      <c r="GK221" s="542"/>
      <c r="GL221" s="542"/>
      <c r="GM221" s="542"/>
      <c r="GN221" s="542"/>
      <c r="GO221" s="542"/>
      <c r="GP221" s="542"/>
      <c r="GQ221" s="542"/>
      <c r="GR221" s="542"/>
      <c r="GS221" s="542"/>
      <c r="GT221" s="542"/>
      <c r="GU221" s="542"/>
      <c r="GV221" s="542"/>
      <c r="GW221" s="542"/>
      <c r="GX221" s="542"/>
      <c r="GY221" s="542"/>
      <c r="GZ221" s="542"/>
      <c r="HA221" s="542"/>
      <c r="HB221" s="542"/>
      <c r="HC221" s="542"/>
      <c r="HD221" s="542"/>
      <c r="HE221" s="542"/>
      <c r="HF221" s="542"/>
      <c r="HG221" s="542"/>
      <c r="HH221" s="542"/>
      <c r="HI221" s="542"/>
      <c r="HJ221" s="542"/>
      <c r="HK221" s="542"/>
      <c r="HL221" s="542"/>
      <c r="HM221" s="542"/>
      <c r="HN221" s="542"/>
      <c r="HO221" s="542"/>
      <c r="HP221" s="542"/>
      <c r="HQ221" s="542"/>
      <c r="HR221" s="542"/>
      <c r="HS221" s="542"/>
      <c r="HT221" s="542"/>
      <c r="HU221" s="542"/>
      <c r="HV221" s="542"/>
      <c r="HW221" s="542"/>
      <c r="HX221" s="542"/>
      <c r="HY221" s="542"/>
      <c r="HZ221" s="542"/>
      <c r="IA221" s="542"/>
      <c r="IB221" s="542"/>
      <c r="IC221" s="542"/>
      <c r="ID221" s="542"/>
      <c r="IE221" s="542"/>
      <c r="IF221" s="542"/>
      <c r="IG221" s="542"/>
      <c r="IH221" s="542"/>
      <c r="II221" s="542"/>
      <c r="IJ221" s="542"/>
      <c r="IK221" s="542"/>
      <c r="IL221" s="542"/>
      <c r="IM221" s="542"/>
      <c r="IN221" s="542"/>
      <c r="IO221" s="542"/>
      <c r="IP221" s="542"/>
      <c r="IQ221" s="542"/>
      <c r="IR221" s="542"/>
      <c r="IS221" s="542"/>
      <c r="IT221" s="542"/>
      <c r="IU221" s="542"/>
      <c r="IV221" s="542"/>
      <c r="IW221" s="542"/>
      <c r="IX221" s="542"/>
      <c r="IY221" s="542"/>
      <c r="IZ221" s="542"/>
      <c r="JA221" s="542"/>
      <c r="JB221" s="542"/>
    </row>
    <row r="222" spans="55:262" ht="18.899999999999999" customHeight="1">
      <c r="BC222" s="1614"/>
      <c r="BD222" s="1614"/>
      <c r="BE222" s="1614"/>
      <c r="CZ222" s="542"/>
      <c r="DA222" s="542"/>
      <c r="DB222" s="542"/>
      <c r="DC222" s="542"/>
      <c r="DD222" s="542"/>
      <c r="DE222" s="542"/>
      <c r="DF222" s="542"/>
      <c r="DG222" s="542"/>
      <c r="DH222" s="542"/>
      <c r="DI222" s="542"/>
      <c r="DJ222" s="542"/>
      <c r="DK222" s="542"/>
      <c r="DL222" s="542"/>
      <c r="DM222" s="542"/>
      <c r="DN222" s="542"/>
      <c r="DO222" s="542"/>
      <c r="DP222" s="542"/>
      <c r="DQ222" s="542"/>
      <c r="DR222" s="542"/>
      <c r="DS222" s="542"/>
      <c r="DT222" s="542"/>
      <c r="DU222" s="542"/>
      <c r="DV222" s="542"/>
      <c r="DW222" s="542"/>
      <c r="DX222" s="542"/>
      <c r="DY222" s="542"/>
      <c r="DZ222" s="542"/>
      <c r="EA222" s="542"/>
      <c r="EB222" s="542"/>
      <c r="EC222" s="542"/>
      <c r="ED222" s="542"/>
      <c r="EE222" s="542"/>
      <c r="EF222" s="542"/>
      <c r="EG222" s="542"/>
      <c r="EH222" s="542"/>
      <c r="EI222" s="542"/>
      <c r="EJ222" s="542"/>
      <c r="EK222" s="542"/>
      <c r="EL222" s="542"/>
      <c r="EM222" s="542"/>
      <c r="EN222" s="542"/>
      <c r="EO222" s="542"/>
      <c r="EP222" s="542"/>
      <c r="EQ222" s="542"/>
      <c r="ER222" s="542"/>
      <c r="ES222" s="542"/>
      <c r="ET222" s="542"/>
      <c r="EU222" s="542"/>
      <c r="EV222" s="542"/>
      <c r="EW222" s="542"/>
      <c r="EX222" s="542"/>
      <c r="EY222" s="542"/>
      <c r="EZ222" s="542"/>
      <c r="FA222" s="542"/>
      <c r="FB222" s="542"/>
      <c r="FC222" s="542"/>
      <c r="FD222" s="542"/>
      <c r="FE222" s="542"/>
      <c r="FF222" s="542"/>
      <c r="FG222" s="542"/>
      <c r="FH222" s="542"/>
      <c r="FI222" s="542"/>
      <c r="FJ222" s="542"/>
      <c r="FK222" s="542"/>
      <c r="FL222" s="542"/>
      <c r="FM222" s="542"/>
      <c r="FN222" s="542"/>
      <c r="FO222" s="542"/>
      <c r="FP222" s="542"/>
      <c r="FQ222" s="542"/>
      <c r="FR222" s="542"/>
      <c r="FS222" s="542"/>
      <c r="FT222" s="542"/>
      <c r="FU222" s="542"/>
      <c r="FV222" s="542"/>
      <c r="FW222" s="542"/>
      <c r="FX222" s="542"/>
      <c r="FY222" s="542"/>
      <c r="FZ222" s="542"/>
      <c r="GA222" s="542"/>
      <c r="GB222" s="542"/>
      <c r="GC222" s="542"/>
      <c r="GD222" s="542"/>
      <c r="GE222" s="542"/>
      <c r="GF222" s="542"/>
      <c r="GG222" s="542"/>
      <c r="GH222" s="542"/>
      <c r="GI222" s="542"/>
      <c r="GJ222" s="542"/>
      <c r="GK222" s="542"/>
      <c r="GL222" s="542"/>
      <c r="GM222" s="542"/>
      <c r="GN222" s="542"/>
      <c r="GO222" s="542"/>
      <c r="GP222" s="542"/>
      <c r="GQ222" s="542"/>
      <c r="GR222" s="542"/>
      <c r="GS222" s="542"/>
      <c r="GT222" s="542"/>
      <c r="GU222" s="542"/>
      <c r="GV222" s="542"/>
      <c r="GW222" s="542"/>
      <c r="GX222" s="542"/>
      <c r="GY222" s="542"/>
      <c r="GZ222" s="542"/>
      <c r="HA222" s="542"/>
      <c r="HB222" s="542"/>
      <c r="HC222" s="542"/>
      <c r="HD222" s="542"/>
      <c r="HE222" s="542"/>
      <c r="HF222" s="542"/>
      <c r="HG222" s="542"/>
      <c r="HH222" s="542"/>
      <c r="HI222" s="542"/>
      <c r="HJ222" s="542"/>
      <c r="HK222" s="542"/>
      <c r="HL222" s="542"/>
      <c r="HM222" s="542"/>
      <c r="HN222" s="542"/>
      <c r="HO222" s="542"/>
      <c r="HP222" s="542"/>
      <c r="HQ222" s="542"/>
      <c r="HR222" s="542"/>
      <c r="HS222" s="542"/>
      <c r="HT222" s="542"/>
      <c r="HU222" s="542"/>
      <c r="HV222" s="542"/>
      <c r="HW222" s="542"/>
      <c r="HX222" s="542"/>
      <c r="HY222" s="542"/>
      <c r="HZ222" s="542"/>
      <c r="IA222" s="542"/>
      <c r="IB222" s="542"/>
      <c r="IC222" s="542"/>
      <c r="ID222" s="542"/>
      <c r="IE222" s="542"/>
      <c r="IF222" s="542"/>
      <c r="IG222" s="542"/>
      <c r="IH222" s="542"/>
      <c r="II222" s="542"/>
      <c r="IJ222" s="542"/>
      <c r="IK222" s="542"/>
      <c r="IL222" s="542"/>
      <c r="IM222" s="542"/>
      <c r="IN222" s="542"/>
      <c r="IO222" s="542"/>
      <c r="IP222" s="542"/>
      <c r="IQ222" s="542"/>
      <c r="IR222" s="542"/>
      <c r="IS222" s="542"/>
      <c r="IT222" s="542"/>
      <c r="IU222" s="542"/>
      <c r="IV222" s="542"/>
      <c r="IW222" s="542"/>
      <c r="IX222" s="542"/>
      <c r="IY222" s="542"/>
      <c r="IZ222" s="542"/>
      <c r="JA222" s="542"/>
      <c r="JB222" s="542"/>
    </row>
    <row r="223" spans="55:262" ht="18.899999999999999" customHeight="1">
      <c r="BC223" s="1614"/>
      <c r="BD223" s="1614"/>
      <c r="BE223" s="1614"/>
      <c r="CZ223" s="542"/>
      <c r="DA223" s="542"/>
      <c r="DB223" s="542"/>
      <c r="DC223" s="542"/>
      <c r="DD223" s="542"/>
      <c r="DE223" s="542"/>
      <c r="DF223" s="542"/>
      <c r="DG223" s="542"/>
      <c r="DH223" s="542"/>
      <c r="DI223" s="542"/>
      <c r="DJ223" s="542"/>
      <c r="DK223" s="542"/>
      <c r="DL223" s="542"/>
      <c r="DM223" s="542"/>
      <c r="DN223" s="542"/>
      <c r="DO223" s="542"/>
      <c r="DP223" s="542"/>
      <c r="DQ223" s="542"/>
      <c r="DR223" s="542"/>
      <c r="DS223" s="542"/>
      <c r="DT223" s="542"/>
      <c r="DU223" s="542"/>
      <c r="DV223" s="542"/>
      <c r="DW223" s="542"/>
      <c r="DX223" s="542"/>
      <c r="DY223" s="542"/>
      <c r="DZ223" s="542"/>
      <c r="EA223" s="542"/>
      <c r="EB223" s="542"/>
      <c r="EC223" s="542"/>
      <c r="ED223" s="542"/>
      <c r="EE223" s="542"/>
      <c r="EF223" s="542"/>
      <c r="EG223" s="542"/>
      <c r="EH223" s="542"/>
      <c r="EI223" s="542"/>
      <c r="EJ223" s="542"/>
      <c r="EK223" s="542"/>
      <c r="EL223" s="542"/>
      <c r="EM223" s="542"/>
      <c r="EN223" s="542"/>
      <c r="EO223" s="542"/>
      <c r="EP223" s="542"/>
      <c r="EQ223" s="542"/>
      <c r="ER223" s="542"/>
      <c r="ES223" s="542"/>
      <c r="ET223" s="542"/>
      <c r="EU223" s="542"/>
      <c r="EV223" s="542"/>
      <c r="EW223" s="542"/>
      <c r="EX223" s="542"/>
      <c r="EY223" s="542"/>
      <c r="EZ223" s="542"/>
      <c r="FA223" s="542"/>
      <c r="FB223" s="542"/>
      <c r="FC223" s="542"/>
      <c r="FD223" s="542"/>
      <c r="FE223" s="542"/>
      <c r="FF223" s="542"/>
      <c r="FG223" s="542"/>
      <c r="FH223" s="542"/>
      <c r="FI223" s="542"/>
      <c r="FJ223" s="542"/>
      <c r="FK223" s="542"/>
      <c r="FL223" s="542"/>
      <c r="FM223" s="542"/>
      <c r="FN223" s="542"/>
      <c r="FO223" s="542"/>
      <c r="FP223" s="542"/>
      <c r="FQ223" s="542"/>
      <c r="FR223" s="542"/>
      <c r="FS223" s="542"/>
      <c r="FT223" s="542"/>
      <c r="FU223" s="542"/>
      <c r="FV223" s="542"/>
      <c r="FW223" s="542"/>
      <c r="FX223" s="542"/>
      <c r="FY223" s="542"/>
      <c r="FZ223" s="542"/>
      <c r="GA223" s="542"/>
      <c r="GB223" s="542"/>
      <c r="GC223" s="542"/>
      <c r="GD223" s="542"/>
      <c r="GE223" s="542"/>
      <c r="GF223" s="542"/>
      <c r="GG223" s="542"/>
      <c r="GH223" s="542"/>
      <c r="GI223" s="542"/>
      <c r="GJ223" s="542"/>
      <c r="GK223" s="542"/>
      <c r="GL223" s="542"/>
      <c r="GM223" s="542"/>
      <c r="GN223" s="542"/>
      <c r="GO223" s="542"/>
      <c r="GP223" s="542"/>
      <c r="GQ223" s="542"/>
      <c r="GR223" s="542"/>
      <c r="GS223" s="542"/>
      <c r="GT223" s="542"/>
      <c r="GU223" s="542"/>
      <c r="GV223" s="542"/>
      <c r="GW223" s="542"/>
      <c r="GX223" s="542"/>
      <c r="GY223" s="542"/>
      <c r="GZ223" s="542"/>
      <c r="HA223" s="542"/>
      <c r="HB223" s="542"/>
      <c r="HC223" s="542"/>
      <c r="HD223" s="542"/>
      <c r="HE223" s="542"/>
      <c r="HF223" s="542"/>
      <c r="HG223" s="542"/>
      <c r="HH223" s="542"/>
      <c r="HI223" s="542"/>
      <c r="HJ223" s="542"/>
      <c r="HK223" s="542"/>
      <c r="HL223" s="542"/>
      <c r="HM223" s="542"/>
      <c r="HN223" s="542"/>
      <c r="HO223" s="542"/>
      <c r="HP223" s="542"/>
      <c r="HQ223" s="542"/>
      <c r="HR223" s="542"/>
      <c r="HS223" s="542"/>
      <c r="HT223" s="542"/>
      <c r="HU223" s="542"/>
      <c r="HV223" s="542"/>
      <c r="HW223" s="542"/>
      <c r="HX223" s="542"/>
      <c r="HY223" s="542"/>
      <c r="HZ223" s="542"/>
      <c r="IA223" s="542"/>
      <c r="IB223" s="542"/>
      <c r="IC223" s="542"/>
      <c r="ID223" s="542"/>
      <c r="IE223" s="542"/>
      <c r="IF223" s="542"/>
      <c r="IG223" s="542"/>
      <c r="IH223" s="542"/>
      <c r="II223" s="542"/>
      <c r="IJ223" s="542"/>
      <c r="IK223" s="542"/>
      <c r="IL223" s="542"/>
      <c r="IM223" s="542"/>
      <c r="IN223" s="542"/>
      <c r="IO223" s="542"/>
      <c r="IP223" s="542"/>
      <c r="IQ223" s="542"/>
      <c r="IR223" s="542"/>
      <c r="IS223" s="542"/>
      <c r="IT223" s="542"/>
      <c r="IU223" s="542"/>
      <c r="IV223" s="542"/>
      <c r="IW223" s="542"/>
      <c r="IX223" s="542"/>
      <c r="IY223" s="542"/>
      <c r="IZ223" s="542"/>
      <c r="JA223" s="542"/>
      <c r="JB223" s="542"/>
    </row>
    <row r="224" spans="55:262" ht="18.899999999999999" customHeight="1">
      <c r="CZ224" s="542"/>
      <c r="DA224" s="542"/>
      <c r="DB224" s="542"/>
      <c r="DC224" s="542"/>
      <c r="DD224" s="542"/>
      <c r="DE224" s="542"/>
      <c r="DF224" s="542"/>
      <c r="DG224" s="542"/>
      <c r="DH224" s="542"/>
      <c r="DI224" s="542"/>
      <c r="DJ224" s="542"/>
      <c r="DK224" s="542"/>
      <c r="DL224" s="542"/>
      <c r="DM224" s="542"/>
      <c r="DN224" s="542"/>
      <c r="DO224" s="542"/>
      <c r="DP224" s="542"/>
      <c r="DQ224" s="542"/>
      <c r="DR224" s="542"/>
      <c r="DS224" s="542"/>
      <c r="DT224" s="542"/>
      <c r="DU224" s="542"/>
      <c r="DV224" s="542"/>
      <c r="DW224" s="542"/>
      <c r="DX224" s="542"/>
      <c r="DY224" s="542"/>
      <c r="DZ224" s="542"/>
      <c r="EA224" s="542"/>
      <c r="EB224" s="542"/>
      <c r="EC224" s="542"/>
      <c r="ED224" s="542"/>
      <c r="EE224" s="542"/>
      <c r="EF224" s="542"/>
      <c r="EG224" s="542"/>
      <c r="EH224" s="542"/>
      <c r="EI224" s="542"/>
      <c r="EJ224" s="542"/>
      <c r="EK224" s="542"/>
      <c r="EL224" s="542"/>
      <c r="EM224" s="542"/>
      <c r="EN224" s="542"/>
      <c r="EO224" s="542"/>
      <c r="EP224" s="542"/>
      <c r="EQ224" s="542"/>
      <c r="ER224" s="542"/>
      <c r="ES224" s="542"/>
      <c r="ET224" s="542"/>
      <c r="EU224" s="542"/>
      <c r="EV224" s="542"/>
      <c r="EW224" s="542"/>
      <c r="EX224" s="542"/>
      <c r="EY224" s="542"/>
      <c r="EZ224" s="542"/>
      <c r="FA224" s="542"/>
      <c r="FB224" s="542"/>
      <c r="FC224" s="542"/>
      <c r="FD224" s="542"/>
      <c r="FE224" s="542"/>
      <c r="FF224" s="542"/>
      <c r="FG224" s="542"/>
      <c r="FH224" s="542"/>
      <c r="FI224" s="542"/>
      <c r="FJ224" s="542"/>
      <c r="FK224" s="542"/>
      <c r="FL224" s="542"/>
      <c r="FM224" s="542"/>
      <c r="FN224" s="542"/>
      <c r="FO224" s="542"/>
      <c r="FP224" s="542"/>
      <c r="FQ224" s="542"/>
      <c r="FR224" s="542"/>
      <c r="FS224" s="542"/>
      <c r="FT224" s="542"/>
      <c r="FU224" s="542"/>
      <c r="FV224" s="542"/>
      <c r="FW224" s="542"/>
      <c r="FX224" s="542"/>
      <c r="FY224" s="542"/>
      <c r="FZ224" s="542"/>
      <c r="GA224" s="542"/>
      <c r="GB224" s="542"/>
      <c r="GC224" s="542"/>
      <c r="GD224" s="542"/>
      <c r="GE224" s="542"/>
      <c r="GF224" s="542"/>
      <c r="GG224" s="542"/>
      <c r="GH224" s="542"/>
      <c r="GI224" s="542"/>
      <c r="GJ224" s="542"/>
      <c r="GK224" s="542"/>
      <c r="GL224" s="542"/>
      <c r="GM224" s="542"/>
      <c r="GN224" s="542"/>
      <c r="GO224" s="542"/>
      <c r="GP224" s="542"/>
      <c r="GQ224" s="542"/>
      <c r="GR224" s="542"/>
      <c r="GS224" s="542"/>
      <c r="GT224" s="542"/>
      <c r="GU224" s="542"/>
      <c r="GV224" s="542"/>
      <c r="GW224" s="542"/>
      <c r="GX224" s="542"/>
      <c r="GY224" s="542"/>
      <c r="GZ224" s="542"/>
      <c r="HA224" s="542"/>
      <c r="HB224" s="542"/>
      <c r="HC224" s="542"/>
      <c r="HD224" s="542"/>
      <c r="HE224" s="542"/>
      <c r="HF224" s="542"/>
      <c r="HG224" s="542"/>
      <c r="HH224" s="542"/>
      <c r="HI224" s="542"/>
      <c r="HJ224" s="542"/>
      <c r="HK224" s="542"/>
      <c r="HL224" s="542"/>
      <c r="HM224" s="542"/>
      <c r="HN224" s="542"/>
      <c r="HO224" s="542"/>
      <c r="HP224" s="542"/>
      <c r="HQ224" s="542"/>
      <c r="HR224" s="542"/>
      <c r="HS224" s="542"/>
      <c r="HT224" s="542"/>
      <c r="HU224" s="542"/>
      <c r="HV224" s="542"/>
      <c r="HW224" s="542"/>
      <c r="HX224" s="542"/>
      <c r="HY224" s="542"/>
      <c r="HZ224" s="542"/>
      <c r="IA224" s="542"/>
      <c r="IB224" s="542"/>
      <c r="IC224" s="542"/>
      <c r="ID224" s="542"/>
      <c r="IE224" s="542"/>
      <c r="IF224" s="542"/>
      <c r="IG224" s="542"/>
      <c r="IH224" s="542"/>
      <c r="II224" s="542"/>
      <c r="IJ224" s="542"/>
      <c r="IK224" s="542"/>
      <c r="IL224" s="542"/>
      <c r="IM224" s="542"/>
      <c r="IN224" s="542"/>
      <c r="IO224" s="542"/>
      <c r="IP224" s="542"/>
      <c r="IQ224" s="542"/>
      <c r="IR224" s="542"/>
      <c r="IS224" s="542"/>
      <c r="IT224" s="542"/>
      <c r="IU224" s="542"/>
      <c r="IV224" s="542"/>
      <c r="IW224" s="542"/>
      <c r="IX224" s="542"/>
      <c r="IY224" s="542"/>
      <c r="IZ224" s="542"/>
      <c r="JA224" s="542"/>
      <c r="JB224" s="542"/>
    </row>
    <row r="225" spans="104:262" ht="18.899999999999999" customHeight="1">
      <c r="CZ225" s="542"/>
      <c r="DA225" s="542"/>
      <c r="DB225" s="542"/>
      <c r="DC225" s="542"/>
      <c r="DD225" s="542"/>
      <c r="DE225" s="542"/>
      <c r="DF225" s="542"/>
      <c r="DG225" s="542"/>
      <c r="DH225" s="542"/>
      <c r="DI225" s="542"/>
      <c r="DJ225" s="542"/>
      <c r="DK225" s="542"/>
      <c r="DL225" s="542"/>
      <c r="DM225" s="542"/>
      <c r="DN225" s="542"/>
      <c r="DO225" s="542"/>
      <c r="DP225" s="542"/>
      <c r="DQ225" s="542"/>
      <c r="DR225" s="542"/>
      <c r="DS225" s="542"/>
      <c r="DT225" s="542"/>
      <c r="DU225" s="542"/>
      <c r="DV225" s="542"/>
      <c r="DW225" s="542"/>
      <c r="DX225" s="542"/>
      <c r="DY225" s="542"/>
      <c r="DZ225" s="542"/>
      <c r="EA225" s="542"/>
      <c r="EB225" s="542"/>
      <c r="EC225" s="542"/>
      <c r="ED225" s="542"/>
      <c r="EE225" s="542"/>
      <c r="EF225" s="542"/>
      <c r="EG225" s="542"/>
      <c r="EH225" s="542"/>
      <c r="EI225" s="542"/>
      <c r="EJ225" s="542"/>
      <c r="EK225" s="542"/>
      <c r="EL225" s="542"/>
      <c r="EM225" s="542"/>
      <c r="EN225" s="542"/>
      <c r="EO225" s="542"/>
      <c r="EP225" s="542"/>
      <c r="EQ225" s="542"/>
      <c r="ER225" s="542"/>
      <c r="ES225" s="542"/>
      <c r="ET225" s="542"/>
      <c r="EU225" s="542"/>
      <c r="EV225" s="542"/>
      <c r="EW225" s="542"/>
      <c r="EX225" s="542"/>
      <c r="EY225" s="542"/>
      <c r="EZ225" s="542"/>
      <c r="FA225" s="542"/>
      <c r="FB225" s="542"/>
      <c r="FC225" s="542"/>
      <c r="FD225" s="542"/>
      <c r="FE225" s="542"/>
      <c r="FF225" s="542"/>
      <c r="FG225" s="542"/>
      <c r="FH225" s="542"/>
      <c r="FI225" s="542"/>
      <c r="FJ225" s="542"/>
      <c r="FK225" s="542"/>
      <c r="FL225" s="542"/>
      <c r="FM225" s="542"/>
      <c r="FN225" s="542"/>
      <c r="FO225" s="542"/>
      <c r="FP225" s="542"/>
      <c r="FQ225" s="542"/>
      <c r="FR225" s="542"/>
      <c r="FS225" s="542"/>
      <c r="FT225" s="542"/>
      <c r="FU225" s="542"/>
      <c r="FV225" s="542"/>
      <c r="FW225" s="542"/>
      <c r="FX225" s="542"/>
      <c r="FY225" s="542"/>
      <c r="FZ225" s="542"/>
      <c r="GA225" s="542"/>
      <c r="GB225" s="542"/>
      <c r="GC225" s="542"/>
      <c r="GD225" s="542"/>
      <c r="GE225" s="542"/>
      <c r="GF225" s="542"/>
      <c r="GG225" s="542"/>
      <c r="GH225" s="542"/>
      <c r="GI225" s="542"/>
      <c r="GJ225" s="542"/>
      <c r="GK225" s="542"/>
      <c r="GL225" s="542"/>
      <c r="GM225" s="542"/>
      <c r="GN225" s="542"/>
      <c r="GO225" s="542"/>
      <c r="GP225" s="542"/>
      <c r="GQ225" s="542"/>
      <c r="GR225" s="542"/>
      <c r="GS225" s="542"/>
      <c r="GT225" s="542"/>
      <c r="GU225" s="542"/>
      <c r="GV225" s="542"/>
      <c r="GW225" s="542"/>
      <c r="GX225" s="542"/>
      <c r="GY225" s="542"/>
      <c r="GZ225" s="542"/>
      <c r="HA225" s="542"/>
      <c r="HB225" s="542"/>
      <c r="HC225" s="542"/>
      <c r="HD225" s="542"/>
      <c r="HE225" s="542"/>
      <c r="HF225" s="542"/>
      <c r="HG225" s="542"/>
      <c r="HH225" s="542"/>
      <c r="HI225" s="542"/>
      <c r="HJ225" s="542"/>
      <c r="HK225" s="542"/>
      <c r="HL225" s="542"/>
      <c r="HM225" s="542"/>
      <c r="HN225" s="542"/>
      <c r="HO225" s="542"/>
      <c r="HP225" s="542"/>
      <c r="HQ225" s="542"/>
      <c r="HR225" s="542"/>
      <c r="HS225" s="542"/>
      <c r="HT225" s="542"/>
      <c r="HU225" s="542"/>
      <c r="HV225" s="542"/>
      <c r="HW225" s="542"/>
      <c r="HX225" s="542"/>
      <c r="HY225" s="542"/>
      <c r="HZ225" s="542"/>
      <c r="IA225" s="542"/>
      <c r="IB225" s="542"/>
      <c r="IC225" s="542"/>
      <c r="ID225" s="542"/>
      <c r="IE225" s="542"/>
      <c r="IF225" s="542"/>
      <c r="IG225" s="542"/>
      <c r="IH225" s="542"/>
      <c r="II225" s="542"/>
      <c r="IJ225" s="542"/>
      <c r="IK225" s="542"/>
      <c r="IL225" s="542"/>
      <c r="IM225" s="542"/>
      <c r="IN225" s="542"/>
      <c r="IO225" s="542"/>
      <c r="IP225" s="542"/>
      <c r="IQ225" s="542"/>
      <c r="IR225" s="542"/>
      <c r="IS225" s="542"/>
      <c r="IT225" s="542"/>
      <c r="IU225" s="542"/>
      <c r="IV225" s="542"/>
      <c r="IW225" s="542"/>
      <c r="IX225" s="542"/>
      <c r="IY225" s="542"/>
      <c r="IZ225" s="542"/>
      <c r="JA225" s="542"/>
      <c r="JB225" s="542"/>
    </row>
    <row r="226" spans="104:262" ht="18.899999999999999" customHeight="1">
      <c r="CZ226" s="542"/>
      <c r="DA226" s="542"/>
      <c r="DB226" s="542"/>
      <c r="DC226" s="542"/>
      <c r="DD226" s="542"/>
      <c r="DE226" s="542"/>
      <c r="DF226" s="542"/>
      <c r="DG226" s="542"/>
      <c r="DH226" s="542"/>
      <c r="DI226" s="542"/>
      <c r="DJ226" s="542"/>
      <c r="DK226" s="542"/>
      <c r="DL226" s="542"/>
      <c r="DM226" s="542"/>
      <c r="DN226" s="542"/>
      <c r="DO226" s="542"/>
      <c r="DP226" s="542"/>
      <c r="DQ226" s="542"/>
      <c r="DR226" s="542"/>
      <c r="DS226" s="542"/>
      <c r="DT226" s="542"/>
      <c r="DU226" s="542"/>
      <c r="DV226" s="542"/>
      <c r="DW226" s="542"/>
      <c r="DX226" s="542"/>
      <c r="DY226" s="542"/>
      <c r="DZ226" s="542"/>
      <c r="EA226" s="542"/>
      <c r="EB226" s="542"/>
      <c r="EC226" s="542"/>
      <c r="ED226" s="542"/>
      <c r="EE226" s="542"/>
      <c r="EF226" s="542"/>
      <c r="EG226" s="542"/>
      <c r="EH226" s="542"/>
      <c r="EI226" s="542"/>
      <c r="EJ226" s="542"/>
      <c r="EK226" s="542"/>
      <c r="EL226" s="542"/>
      <c r="EM226" s="542"/>
      <c r="EN226" s="542"/>
      <c r="EO226" s="542"/>
      <c r="EP226" s="542"/>
      <c r="EQ226" s="542"/>
      <c r="ER226" s="542"/>
      <c r="ES226" s="542"/>
      <c r="ET226" s="542"/>
      <c r="EU226" s="542"/>
      <c r="EV226" s="542"/>
      <c r="EW226" s="542"/>
      <c r="EX226" s="542"/>
      <c r="EY226" s="542"/>
      <c r="EZ226" s="542"/>
      <c r="FA226" s="542"/>
      <c r="FB226" s="542"/>
      <c r="FC226" s="542"/>
      <c r="FD226" s="542"/>
      <c r="FE226" s="542"/>
      <c r="FF226" s="542"/>
      <c r="FG226" s="542"/>
      <c r="FH226" s="542"/>
      <c r="FI226" s="542"/>
      <c r="FJ226" s="542"/>
      <c r="FK226" s="542"/>
      <c r="FL226" s="542"/>
      <c r="FM226" s="542"/>
      <c r="FN226" s="542"/>
      <c r="FO226" s="542"/>
      <c r="FP226" s="542"/>
      <c r="FQ226" s="542"/>
      <c r="FR226" s="542"/>
      <c r="FS226" s="542"/>
      <c r="FT226" s="542"/>
      <c r="FU226" s="542"/>
      <c r="FV226" s="542"/>
      <c r="FW226" s="542"/>
      <c r="FX226" s="542"/>
      <c r="FY226" s="542"/>
      <c r="FZ226" s="542"/>
      <c r="GA226" s="542"/>
      <c r="GB226" s="542"/>
      <c r="GC226" s="542"/>
      <c r="GD226" s="542"/>
      <c r="GE226" s="542"/>
      <c r="GF226" s="542"/>
      <c r="GG226" s="542"/>
      <c r="GH226" s="542"/>
      <c r="GI226" s="542"/>
      <c r="GJ226" s="542"/>
      <c r="GK226" s="542"/>
      <c r="GL226" s="542"/>
      <c r="GM226" s="542"/>
      <c r="GN226" s="542"/>
      <c r="GO226" s="542"/>
      <c r="GP226" s="542"/>
      <c r="GQ226" s="542"/>
      <c r="GR226" s="542"/>
      <c r="GS226" s="542"/>
      <c r="GT226" s="542"/>
      <c r="GU226" s="542"/>
      <c r="GV226" s="542"/>
      <c r="GW226" s="542"/>
      <c r="GX226" s="542"/>
      <c r="GY226" s="542"/>
      <c r="GZ226" s="542"/>
      <c r="HA226" s="542"/>
      <c r="HB226" s="542"/>
      <c r="HC226" s="542"/>
      <c r="HD226" s="542"/>
      <c r="HE226" s="542"/>
      <c r="HF226" s="542"/>
      <c r="HG226" s="542"/>
      <c r="HH226" s="542"/>
      <c r="HI226" s="542"/>
      <c r="HJ226" s="542"/>
      <c r="HK226" s="542"/>
      <c r="HL226" s="542"/>
      <c r="HM226" s="542"/>
      <c r="HN226" s="542"/>
      <c r="HO226" s="542"/>
      <c r="HP226" s="542"/>
      <c r="HQ226" s="542"/>
      <c r="HR226" s="542"/>
      <c r="HS226" s="542"/>
      <c r="HT226" s="542"/>
      <c r="HU226" s="542"/>
      <c r="HV226" s="542"/>
      <c r="HW226" s="542"/>
      <c r="HX226" s="542"/>
      <c r="HY226" s="542"/>
      <c r="HZ226" s="542"/>
      <c r="IA226" s="542"/>
      <c r="IB226" s="542"/>
      <c r="IC226" s="542"/>
      <c r="ID226" s="542"/>
      <c r="IE226" s="542"/>
      <c r="IF226" s="542"/>
      <c r="IG226" s="542"/>
      <c r="IH226" s="542"/>
      <c r="II226" s="542"/>
      <c r="IJ226" s="542"/>
      <c r="IK226" s="542"/>
      <c r="IL226" s="542"/>
      <c r="IM226" s="542"/>
      <c r="IN226" s="542"/>
      <c r="IO226" s="542"/>
      <c r="IP226" s="542"/>
      <c r="IQ226" s="542"/>
      <c r="IR226" s="542"/>
      <c r="IS226" s="542"/>
      <c r="IT226" s="542"/>
      <c r="IU226" s="542"/>
      <c r="IV226" s="542"/>
      <c r="IW226" s="542"/>
      <c r="IX226" s="542"/>
      <c r="IY226" s="542"/>
      <c r="IZ226" s="542"/>
      <c r="JA226" s="542"/>
      <c r="JB226" s="542"/>
    </row>
    <row r="227" spans="104:262" ht="18.899999999999999" customHeight="1">
      <c r="CZ227" s="542"/>
      <c r="DA227" s="542"/>
      <c r="DB227" s="542"/>
      <c r="DC227" s="542"/>
      <c r="DD227" s="542"/>
      <c r="DE227" s="542"/>
      <c r="DF227" s="542"/>
      <c r="DG227" s="542"/>
      <c r="DH227" s="542"/>
      <c r="DI227" s="542"/>
      <c r="DJ227" s="542"/>
      <c r="DK227" s="542"/>
      <c r="DL227" s="542"/>
      <c r="DM227" s="542"/>
      <c r="DN227" s="542"/>
      <c r="DO227" s="542"/>
      <c r="DP227" s="542"/>
      <c r="DQ227" s="542"/>
      <c r="DR227" s="542"/>
      <c r="DS227" s="542"/>
      <c r="DT227" s="542"/>
      <c r="DU227" s="542"/>
      <c r="DV227" s="542"/>
      <c r="DW227" s="542"/>
      <c r="DX227" s="542"/>
      <c r="DY227" s="542"/>
      <c r="DZ227" s="542"/>
      <c r="EA227" s="542"/>
      <c r="EB227" s="542"/>
      <c r="EC227" s="542"/>
      <c r="ED227" s="542"/>
      <c r="EE227" s="542"/>
      <c r="EF227" s="542"/>
      <c r="EG227" s="542"/>
      <c r="EH227" s="542"/>
      <c r="EI227" s="542"/>
      <c r="EJ227" s="542"/>
      <c r="EK227" s="542"/>
      <c r="EL227" s="542"/>
      <c r="EM227" s="542"/>
      <c r="EN227" s="542"/>
      <c r="EO227" s="542"/>
      <c r="EP227" s="542"/>
      <c r="EQ227" s="542"/>
      <c r="ER227" s="542"/>
      <c r="ES227" s="542"/>
      <c r="ET227" s="542"/>
      <c r="EU227" s="542"/>
      <c r="EV227" s="542"/>
      <c r="EW227" s="542"/>
      <c r="EX227" s="542"/>
      <c r="EY227" s="542"/>
      <c r="EZ227" s="542"/>
      <c r="FA227" s="542"/>
      <c r="FB227" s="542"/>
      <c r="FC227" s="542"/>
      <c r="FD227" s="542"/>
      <c r="FE227" s="542"/>
      <c r="FF227" s="542"/>
      <c r="FG227" s="542"/>
      <c r="FH227" s="542"/>
      <c r="FI227" s="542"/>
      <c r="FJ227" s="542"/>
      <c r="FK227" s="542"/>
      <c r="FL227" s="542"/>
      <c r="FM227" s="542"/>
      <c r="FN227" s="542"/>
      <c r="FO227" s="542"/>
      <c r="FP227" s="542"/>
      <c r="FQ227" s="542"/>
      <c r="FR227" s="542"/>
      <c r="FS227" s="542"/>
      <c r="FT227" s="542"/>
      <c r="FU227" s="542"/>
      <c r="FV227" s="542"/>
      <c r="FW227" s="542"/>
      <c r="FX227" s="542"/>
      <c r="FY227" s="542"/>
      <c r="FZ227" s="542"/>
      <c r="GA227" s="542"/>
      <c r="GB227" s="542"/>
      <c r="GC227" s="542"/>
      <c r="GD227" s="542"/>
      <c r="GE227" s="542"/>
      <c r="GF227" s="542"/>
      <c r="GG227" s="542"/>
      <c r="GH227" s="542"/>
      <c r="GI227" s="542"/>
      <c r="GJ227" s="542"/>
      <c r="GK227" s="542"/>
      <c r="GL227" s="542"/>
      <c r="GM227" s="542"/>
      <c r="GN227" s="542"/>
      <c r="GO227" s="542"/>
      <c r="GP227" s="542"/>
      <c r="GQ227" s="542"/>
      <c r="GR227" s="542"/>
      <c r="GS227" s="542"/>
      <c r="GT227" s="542"/>
      <c r="GU227" s="542"/>
      <c r="GV227" s="542"/>
      <c r="GW227" s="542"/>
      <c r="GX227" s="542"/>
      <c r="GY227" s="542"/>
      <c r="GZ227" s="542"/>
      <c r="HA227" s="542"/>
      <c r="HB227" s="542"/>
      <c r="HC227" s="542"/>
      <c r="HD227" s="542"/>
      <c r="HE227" s="542"/>
      <c r="HF227" s="542"/>
      <c r="HG227" s="542"/>
      <c r="HH227" s="542"/>
      <c r="HI227" s="542"/>
      <c r="HJ227" s="542"/>
      <c r="HK227" s="542"/>
      <c r="HL227" s="542"/>
      <c r="HM227" s="542"/>
      <c r="HN227" s="542"/>
      <c r="HO227" s="542"/>
      <c r="HP227" s="542"/>
      <c r="HQ227" s="542"/>
      <c r="HR227" s="542"/>
      <c r="HS227" s="542"/>
      <c r="HT227" s="542"/>
      <c r="HU227" s="542"/>
      <c r="HV227" s="542"/>
      <c r="HW227" s="542"/>
      <c r="HX227" s="542"/>
      <c r="HY227" s="542"/>
      <c r="HZ227" s="542"/>
      <c r="IA227" s="542"/>
      <c r="IB227" s="542"/>
      <c r="IC227" s="542"/>
      <c r="ID227" s="542"/>
      <c r="IE227" s="542"/>
      <c r="IF227" s="542"/>
      <c r="IG227" s="542"/>
      <c r="IH227" s="542"/>
      <c r="II227" s="542"/>
      <c r="IJ227" s="542"/>
      <c r="IK227" s="542"/>
      <c r="IL227" s="542"/>
      <c r="IM227" s="542"/>
      <c r="IN227" s="542"/>
      <c r="IO227" s="542"/>
      <c r="IP227" s="542"/>
      <c r="IQ227" s="542"/>
      <c r="IR227" s="542"/>
      <c r="IS227" s="542"/>
      <c r="IT227" s="542"/>
      <c r="IU227" s="542"/>
      <c r="IV227" s="542"/>
      <c r="IW227" s="542"/>
      <c r="IX227" s="542"/>
      <c r="IY227" s="542"/>
      <c r="IZ227" s="542"/>
      <c r="JA227" s="542"/>
      <c r="JB227" s="542"/>
    </row>
    <row r="228" spans="104:262" ht="18.899999999999999" customHeight="1">
      <c r="CZ228" s="542"/>
      <c r="DA228" s="542"/>
      <c r="DB228" s="542"/>
      <c r="DC228" s="542"/>
      <c r="DD228" s="542"/>
      <c r="DE228" s="542"/>
      <c r="DF228" s="542"/>
      <c r="DG228" s="542"/>
      <c r="DH228" s="542"/>
      <c r="DI228" s="542"/>
      <c r="DJ228" s="542"/>
      <c r="DK228" s="542"/>
      <c r="DL228" s="542"/>
      <c r="DM228" s="542"/>
      <c r="DN228" s="542"/>
      <c r="DO228" s="542"/>
      <c r="DP228" s="542"/>
      <c r="DQ228" s="542"/>
      <c r="DR228" s="542"/>
      <c r="DS228" s="542"/>
      <c r="DT228" s="542"/>
      <c r="DU228" s="542"/>
      <c r="DV228" s="542"/>
      <c r="DW228" s="542"/>
      <c r="DX228" s="542"/>
      <c r="DY228" s="542"/>
      <c r="DZ228" s="542"/>
      <c r="EA228" s="542"/>
      <c r="EB228" s="542"/>
      <c r="EC228" s="542"/>
      <c r="ED228" s="542"/>
      <c r="EE228" s="542"/>
      <c r="EF228" s="542"/>
      <c r="EG228" s="542"/>
      <c r="EH228" s="542"/>
      <c r="EI228" s="542"/>
      <c r="EJ228" s="542"/>
      <c r="EK228" s="542"/>
      <c r="EL228" s="542"/>
      <c r="EM228" s="542"/>
      <c r="EN228" s="542"/>
      <c r="EO228" s="542"/>
      <c r="EP228" s="542"/>
      <c r="EQ228" s="542"/>
      <c r="ER228" s="542"/>
      <c r="ES228" s="542"/>
      <c r="ET228" s="542"/>
      <c r="EU228" s="542"/>
      <c r="EV228" s="542"/>
      <c r="EW228" s="542"/>
      <c r="EX228" s="542"/>
      <c r="EY228" s="542"/>
      <c r="EZ228" s="542"/>
      <c r="FA228" s="542"/>
      <c r="FB228" s="542"/>
      <c r="FC228" s="542"/>
      <c r="FD228" s="542"/>
      <c r="FE228" s="542"/>
      <c r="FF228" s="542"/>
      <c r="FG228" s="542"/>
      <c r="FH228" s="542"/>
      <c r="FI228" s="542"/>
      <c r="FJ228" s="542"/>
      <c r="FK228" s="542"/>
      <c r="FL228" s="542"/>
      <c r="FM228" s="542"/>
      <c r="FN228" s="542"/>
      <c r="FO228" s="542"/>
      <c r="FP228" s="542"/>
      <c r="FQ228" s="542"/>
      <c r="FR228" s="542"/>
      <c r="FS228" s="542"/>
      <c r="FT228" s="542"/>
      <c r="FU228" s="542"/>
      <c r="FV228" s="542"/>
      <c r="FW228" s="542"/>
      <c r="FX228" s="542"/>
      <c r="FY228" s="542"/>
      <c r="FZ228" s="542"/>
      <c r="GA228" s="542"/>
      <c r="GB228" s="542"/>
      <c r="GC228" s="542"/>
      <c r="GD228" s="542"/>
      <c r="GE228" s="542"/>
      <c r="GF228" s="542"/>
      <c r="GG228" s="542"/>
      <c r="GH228" s="542"/>
      <c r="GI228" s="542"/>
      <c r="GJ228" s="542"/>
      <c r="GK228" s="542"/>
      <c r="GL228" s="542"/>
      <c r="GM228" s="542"/>
      <c r="GN228" s="542"/>
      <c r="GO228" s="542"/>
      <c r="GP228" s="542"/>
      <c r="GQ228" s="542"/>
      <c r="GR228" s="542"/>
      <c r="GS228" s="542"/>
      <c r="GT228" s="542"/>
      <c r="GU228" s="542"/>
      <c r="GV228" s="542"/>
      <c r="GW228" s="542"/>
      <c r="GX228" s="542"/>
      <c r="GY228" s="542"/>
      <c r="GZ228" s="542"/>
      <c r="HA228" s="542"/>
      <c r="HB228" s="542"/>
      <c r="HC228" s="542"/>
      <c r="HD228" s="542"/>
      <c r="HE228" s="542"/>
      <c r="HF228" s="542"/>
      <c r="HG228" s="542"/>
      <c r="HH228" s="542"/>
      <c r="HI228" s="542"/>
      <c r="HJ228" s="542"/>
      <c r="HK228" s="542"/>
      <c r="HL228" s="542"/>
      <c r="HM228" s="542"/>
      <c r="HN228" s="542"/>
      <c r="HO228" s="542"/>
      <c r="HP228" s="542"/>
      <c r="HQ228" s="542"/>
      <c r="HR228" s="542"/>
      <c r="HS228" s="542"/>
      <c r="HT228" s="542"/>
      <c r="HU228" s="542"/>
      <c r="HV228" s="542"/>
      <c r="HW228" s="542"/>
      <c r="HX228" s="542"/>
      <c r="HY228" s="542"/>
      <c r="HZ228" s="542"/>
      <c r="IA228" s="542"/>
      <c r="IB228" s="542"/>
      <c r="IC228" s="542"/>
      <c r="ID228" s="542"/>
      <c r="IE228" s="542"/>
      <c r="IF228" s="542"/>
      <c r="IG228" s="542"/>
      <c r="IH228" s="542"/>
      <c r="II228" s="542"/>
      <c r="IJ228" s="542"/>
      <c r="IK228" s="542"/>
      <c r="IL228" s="542"/>
      <c r="IM228" s="542"/>
      <c r="IN228" s="542"/>
      <c r="IO228" s="542"/>
      <c r="IP228" s="542"/>
      <c r="IQ228" s="542"/>
      <c r="IR228" s="542"/>
      <c r="IS228" s="542"/>
      <c r="IT228" s="542"/>
      <c r="IU228" s="542"/>
      <c r="IV228" s="542"/>
      <c r="IW228" s="542"/>
      <c r="IX228" s="542"/>
      <c r="IY228" s="542"/>
      <c r="IZ228" s="542"/>
      <c r="JA228" s="542"/>
      <c r="JB228" s="542"/>
    </row>
    <row r="229" spans="104:262" ht="18.899999999999999" customHeight="1">
      <c r="CZ229" s="542"/>
      <c r="DA229" s="542"/>
      <c r="DB229" s="542"/>
      <c r="DC229" s="542"/>
      <c r="DD229" s="542"/>
      <c r="DE229" s="542"/>
      <c r="DF229" s="542"/>
      <c r="DG229" s="542"/>
      <c r="DH229" s="542"/>
      <c r="DI229" s="542"/>
      <c r="DJ229" s="542"/>
      <c r="DK229" s="542"/>
      <c r="DL229" s="542"/>
      <c r="DM229" s="542"/>
      <c r="DN229" s="542"/>
      <c r="DO229" s="542"/>
      <c r="DP229" s="542"/>
      <c r="DQ229" s="542"/>
      <c r="DR229" s="542"/>
      <c r="DS229" s="542"/>
      <c r="DT229" s="542"/>
      <c r="DU229" s="542"/>
      <c r="DV229" s="542"/>
      <c r="DW229" s="542"/>
      <c r="DX229" s="542"/>
      <c r="DY229" s="542"/>
      <c r="DZ229" s="542"/>
      <c r="EA229" s="542"/>
      <c r="EB229" s="542"/>
      <c r="EC229" s="542"/>
      <c r="ED229" s="542"/>
      <c r="EE229" s="542"/>
      <c r="EF229" s="542"/>
      <c r="EG229" s="542"/>
      <c r="EH229" s="542"/>
      <c r="EI229" s="542"/>
      <c r="EJ229" s="542"/>
      <c r="EK229" s="542"/>
      <c r="EL229" s="542"/>
      <c r="EM229" s="542"/>
      <c r="EN229" s="542"/>
      <c r="EO229" s="542"/>
      <c r="EP229" s="542"/>
      <c r="EQ229" s="542"/>
      <c r="ER229" s="542"/>
      <c r="ES229" s="542"/>
      <c r="ET229" s="542"/>
      <c r="EU229" s="542"/>
      <c r="EV229" s="542"/>
      <c r="EW229" s="542"/>
      <c r="EX229" s="542"/>
      <c r="EY229" s="542"/>
      <c r="EZ229" s="542"/>
      <c r="FA229" s="542"/>
      <c r="FB229" s="542"/>
      <c r="FC229" s="542"/>
      <c r="FD229" s="542"/>
      <c r="FE229" s="542"/>
      <c r="FF229" s="542"/>
      <c r="FG229" s="542"/>
      <c r="FH229" s="542"/>
      <c r="FI229" s="542"/>
      <c r="FJ229" s="542"/>
      <c r="FK229" s="542"/>
      <c r="FL229" s="542"/>
      <c r="FM229" s="542"/>
      <c r="FN229" s="542"/>
      <c r="FO229" s="542"/>
      <c r="FP229" s="542"/>
      <c r="FQ229" s="542"/>
      <c r="FR229" s="542"/>
      <c r="FS229" s="542"/>
      <c r="FT229" s="542"/>
      <c r="FU229" s="542"/>
      <c r="FV229" s="542"/>
      <c r="FW229" s="542"/>
      <c r="FX229" s="542"/>
      <c r="FY229" s="542"/>
      <c r="FZ229" s="542"/>
      <c r="GA229" s="542"/>
      <c r="GB229" s="542"/>
      <c r="GC229" s="542"/>
      <c r="GD229" s="542"/>
      <c r="GE229" s="542"/>
      <c r="GF229" s="542"/>
      <c r="GG229" s="542"/>
      <c r="GH229" s="542"/>
      <c r="GI229" s="542"/>
      <c r="GJ229" s="542"/>
      <c r="GK229" s="542"/>
      <c r="GL229" s="542"/>
      <c r="GM229" s="542"/>
      <c r="GN229" s="542"/>
      <c r="GO229" s="542"/>
      <c r="GP229" s="542"/>
      <c r="GQ229" s="542"/>
      <c r="GR229" s="542"/>
      <c r="GS229" s="542"/>
      <c r="GT229" s="542"/>
      <c r="GU229" s="542"/>
      <c r="GV229" s="542"/>
      <c r="GW229" s="542"/>
      <c r="GX229" s="542"/>
      <c r="GY229" s="542"/>
      <c r="GZ229" s="542"/>
      <c r="HA229" s="542"/>
      <c r="HB229" s="542"/>
      <c r="HC229" s="542"/>
      <c r="HD229" s="542"/>
      <c r="HE229" s="542"/>
      <c r="HF229" s="542"/>
      <c r="HG229" s="542"/>
      <c r="HH229" s="542"/>
      <c r="HI229" s="542"/>
      <c r="HJ229" s="542"/>
      <c r="HK229" s="542"/>
      <c r="HL229" s="542"/>
      <c r="HM229" s="542"/>
      <c r="HN229" s="542"/>
      <c r="HO229" s="542"/>
      <c r="HP229" s="542"/>
      <c r="HQ229" s="542"/>
      <c r="HR229" s="542"/>
      <c r="HS229" s="542"/>
      <c r="HT229" s="542"/>
      <c r="HU229" s="542"/>
      <c r="HV229" s="542"/>
      <c r="HW229" s="542"/>
      <c r="HX229" s="542"/>
      <c r="HY229" s="542"/>
      <c r="HZ229" s="542"/>
      <c r="IA229" s="542"/>
      <c r="IB229" s="542"/>
      <c r="IC229" s="542"/>
      <c r="ID229" s="542"/>
      <c r="IE229" s="542"/>
      <c r="IF229" s="542"/>
      <c r="IG229" s="542"/>
      <c r="IH229" s="542"/>
      <c r="II229" s="542"/>
      <c r="IJ229" s="542"/>
      <c r="IK229" s="542"/>
      <c r="IL229" s="542"/>
      <c r="IM229" s="542"/>
      <c r="IN229" s="542"/>
      <c r="IO229" s="542"/>
      <c r="IP229" s="542"/>
      <c r="IQ229" s="542"/>
      <c r="IR229" s="542"/>
      <c r="IS229" s="542"/>
      <c r="IT229" s="542"/>
      <c r="IU229" s="542"/>
      <c r="IV229" s="542"/>
      <c r="IW229" s="542"/>
      <c r="IX229" s="542"/>
      <c r="IY229" s="542"/>
      <c r="IZ229" s="542"/>
      <c r="JA229" s="542"/>
      <c r="JB229" s="542"/>
    </row>
    <row r="230" spans="104:262" ht="18.899999999999999" customHeight="1">
      <c r="CZ230" s="542"/>
      <c r="DA230" s="542"/>
      <c r="DB230" s="542"/>
      <c r="DC230" s="542"/>
      <c r="DD230" s="542"/>
      <c r="DE230" s="542"/>
      <c r="DF230" s="542"/>
      <c r="DG230" s="542"/>
      <c r="DH230" s="542"/>
      <c r="DI230" s="542"/>
      <c r="DJ230" s="542"/>
      <c r="DK230" s="542"/>
      <c r="DL230" s="542"/>
      <c r="DM230" s="542"/>
      <c r="DN230" s="542"/>
      <c r="DO230" s="542"/>
      <c r="DP230" s="542"/>
      <c r="DQ230" s="542"/>
      <c r="DR230" s="542"/>
      <c r="DS230" s="542"/>
      <c r="DT230" s="542"/>
      <c r="DU230" s="542"/>
      <c r="DV230" s="542"/>
      <c r="DW230" s="542"/>
      <c r="DX230" s="542"/>
      <c r="DY230" s="542"/>
      <c r="DZ230" s="542"/>
      <c r="EA230" s="542"/>
      <c r="EB230" s="542"/>
      <c r="EC230" s="542"/>
      <c r="ED230" s="542"/>
      <c r="EE230" s="542"/>
      <c r="EF230" s="542"/>
      <c r="EG230" s="542"/>
      <c r="EH230" s="542"/>
      <c r="EI230" s="542"/>
      <c r="EJ230" s="542"/>
      <c r="EK230" s="542"/>
      <c r="EL230" s="542"/>
      <c r="EM230" s="542"/>
      <c r="EN230" s="542"/>
      <c r="EO230" s="542"/>
      <c r="EP230" s="542"/>
      <c r="EQ230" s="542"/>
      <c r="ER230" s="542"/>
      <c r="ES230" s="542"/>
      <c r="ET230" s="542"/>
      <c r="EU230" s="542"/>
      <c r="EV230" s="542"/>
      <c r="EW230" s="542"/>
      <c r="EX230" s="542"/>
      <c r="EY230" s="542"/>
      <c r="EZ230" s="542"/>
      <c r="FA230" s="542"/>
      <c r="FB230" s="542"/>
      <c r="FC230" s="542"/>
      <c r="FD230" s="542"/>
      <c r="FE230" s="542"/>
      <c r="FF230" s="542"/>
      <c r="FG230" s="542"/>
      <c r="FH230" s="542"/>
      <c r="FI230" s="542"/>
      <c r="FJ230" s="542"/>
      <c r="FK230" s="542"/>
      <c r="FL230" s="542"/>
      <c r="FM230" s="542"/>
      <c r="FN230" s="542"/>
      <c r="FO230" s="542"/>
      <c r="FP230" s="542"/>
      <c r="FQ230" s="542"/>
      <c r="FR230" s="542"/>
      <c r="FS230" s="542"/>
      <c r="FT230" s="542"/>
      <c r="FU230" s="542"/>
      <c r="FV230" s="542"/>
      <c r="FW230" s="542"/>
      <c r="FX230" s="542"/>
      <c r="FY230" s="542"/>
      <c r="FZ230" s="542"/>
      <c r="GA230" s="542"/>
      <c r="GB230" s="542"/>
      <c r="GC230" s="542"/>
      <c r="GD230" s="542"/>
      <c r="GE230" s="542"/>
      <c r="GF230" s="542"/>
      <c r="GG230" s="542"/>
      <c r="GH230" s="542"/>
      <c r="GI230" s="542"/>
      <c r="GJ230" s="542"/>
      <c r="GK230" s="542"/>
      <c r="GL230" s="542"/>
      <c r="GM230" s="542"/>
      <c r="GN230" s="542"/>
      <c r="GO230" s="542"/>
      <c r="GP230" s="542"/>
      <c r="GQ230" s="542"/>
      <c r="GR230" s="542"/>
      <c r="GS230" s="542"/>
      <c r="GT230" s="542"/>
      <c r="GU230" s="542"/>
      <c r="GV230" s="542"/>
      <c r="GW230" s="542"/>
      <c r="GX230" s="542"/>
      <c r="GY230" s="542"/>
      <c r="GZ230" s="542"/>
      <c r="HA230" s="542"/>
      <c r="HB230" s="542"/>
      <c r="HC230" s="542"/>
      <c r="HD230" s="542"/>
      <c r="HE230" s="542"/>
      <c r="HF230" s="542"/>
      <c r="HG230" s="542"/>
      <c r="HH230" s="542"/>
      <c r="HI230" s="542"/>
      <c r="HJ230" s="542"/>
      <c r="HK230" s="542"/>
      <c r="HL230" s="542"/>
      <c r="HM230" s="542"/>
      <c r="HN230" s="542"/>
      <c r="HO230" s="542"/>
      <c r="HP230" s="542"/>
      <c r="HQ230" s="542"/>
      <c r="HR230" s="542"/>
      <c r="HS230" s="542"/>
      <c r="HT230" s="542"/>
      <c r="HU230" s="542"/>
      <c r="HV230" s="542"/>
      <c r="HW230" s="542"/>
      <c r="HX230" s="542"/>
      <c r="HY230" s="542"/>
      <c r="HZ230" s="542"/>
      <c r="IA230" s="542"/>
      <c r="IB230" s="542"/>
      <c r="IC230" s="542"/>
      <c r="ID230" s="542"/>
      <c r="IE230" s="542"/>
      <c r="IF230" s="542"/>
      <c r="IG230" s="542"/>
      <c r="IH230" s="542"/>
      <c r="II230" s="542"/>
      <c r="IJ230" s="542"/>
      <c r="IK230" s="542"/>
      <c r="IL230" s="542"/>
      <c r="IM230" s="542"/>
      <c r="IN230" s="542"/>
      <c r="IO230" s="542"/>
      <c r="IP230" s="542"/>
      <c r="IQ230" s="542"/>
      <c r="IR230" s="542"/>
      <c r="IS230" s="542"/>
      <c r="IT230" s="542"/>
      <c r="IU230" s="542"/>
      <c r="IV230" s="542"/>
      <c r="IW230" s="542"/>
      <c r="IX230" s="542"/>
      <c r="IY230" s="542"/>
      <c r="IZ230" s="542"/>
      <c r="JA230" s="542"/>
      <c r="JB230" s="542"/>
    </row>
    <row r="231" spans="104:262" ht="18.899999999999999" customHeight="1">
      <c r="CZ231" s="542"/>
      <c r="DA231" s="542"/>
      <c r="DB231" s="542"/>
      <c r="DC231" s="542"/>
      <c r="DD231" s="542"/>
      <c r="DE231" s="542"/>
      <c r="DF231" s="542"/>
      <c r="DG231" s="542"/>
      <c r="DH231" s="542"/>
      <c r="DI231" s="542"/>
      <c r="DJ231" s="542"/>
      <c r="DK231" s="542"/>
      <c r="DL231" s="542"/>
      <c r="DM231" s="542"/>
      <c r="DN231" s="542"/>
      <c r="DO231" s="542"/>
      <c r="DP231" s="542"/>
      <c r="DQ231" s="542"/>
      <c r="DR231" s="542"/>
      <c r="DS231" s="542"/>
      <c r="DT231" s="542"/>
      <c r="DU231" s="542"/>
      <c r="DV231" s="542"/>
      <c r="DW231" s="542"/>
      <c r="DX231" s="542"/>
      <c r="DY231" s="542"/>
      <c r="DZ231" s="542"/>
      <c r="EA231" s="542"/>
      <c r="EB231" s="542"/>
      <c r="EC231" s="542"/>
      <c r="ED231" s="542"/>
      <c r="EE231" s="542"/>
      <c r="EF231" s="542"/>
      <c r="EG231" s="542"/>
      <c r="EH231" s="542"/>
      <c r="EI231" s="542"/>
      <c r="EJ231" s="542"/>
      <c r="EK231" s="542"/>
      <c r="EL231" s="542"/>
      <c r="EM231" s="542"/>
      <c r="EN231" s="542"/>
      <c r="EO231" s="542"/>
      <c r="EP231" s="542"/>
      <c r="EQ231" s="542"/>
      <c r="ER231" s="542"/>
      <c r="ES231" s="542"/>
      <c r="ET231" s="542"/>
      <c r="EU231" s="542"/>
      <c r="EV231" s="542"/>
      <c r="EW231" s="542"/>
      <c r="EX231" s="542"/>
      <c r="EY231" s="542"/>
      <c r="EZ231" s="542"/>
      <c r="FA231" s="542"/>
      <c r="FB231" s="542"/>
      <c r="FC231" s="542"/>
      <c r="FD231" s="542"/>
      <c r="FE231" s="542"/>
      <c r="FF231" s="542"/>
      <c r="FG231" s="542"/>
      <c r="FH231" s="542"/>
      <c r="FI231" s="542"/>
      <c r="FJ231" s="542"/>
      <c r="FK231" s="542"/>
      <c r="FL231" s="542"/>
      <c r="FM231" s="542"/>
      <c r="FN231" s="542"/>
      <c r="FO231" s="542"/>
      <c r="FP231" s="542"/>
      <c r="FQ231" s="542"/>
      <c r="FR231" s="542"/>
      <c r="FS231" s="542"/>
      <c r="FT231" s="542"/>
      <c r="FU231" s="542"/>
      <c r="FV231" s="542"/>
      <c r="FW231" s="542"/>
      <c r="FX231" s="542"/>
      <c r="FY231" s="542"/>
      <c r="FZ231" s="542"/>
      <c r="GA231" s="542"/>
      <c r="GB231" s="542"/>
      <c r="GC231" s="542"/>
      <c r="GD231" s="542"/>
      <c r="GE231" s="542"/>
      <c r="GF231" s="542"/>
      <c r="GG231" s="542"/>
      <c r="GH231" s="542"/>
      <c r="GI231" s="542"/>
      <c r="GJ231" s="542"/>
      <c r="GK231" s="542"/>
      <c r="GL231" s="542"/>
      <c r="GM231" s="542"/>
      <c r="GN231" s="542"/>
      <c r="GO231" s="542"/>
      <c r="GP231" s="542"/>
      <c r="GQ231" s="542"/>
      <c r="GR231" s="542"/>
      <c r="GS231" s="542"/>
      <c r="GT231" s="542"/>
      <c r="GU231" s="542"/>
      <c r="GV231" s="542"/>
      <c r="GW231" s="542"/>
      <c r="GX231" s="542"/>
      <c r="GY231" s="542"/>
      <c r="GZ231" s="542"/>
      <c r="HA231" s="542"/>
      <c r="HB231" s="542"/>
      <c r="HC231" s="542"/>
      <c r="HD231" s="542"/>
      <c r="HE231" s="542"/>
      <c r="HF231" s="542"/>
      <c r="HG231" s="542"/>
      <c r="HH231" s="542"/>
      <c r="HI231" s="542"/>
      <c r="HJ231" s="542"/>
      <c r="HK231" s="542"/>
      <c r="HL231" s="542"/>
      <c r="HM231" s="542"/>
      <c r="HN231" s="542"/>
      <c r="HO231" s="542"/>
      <c r="HP231" s="542"/>
      <c r="HQ231" s="542"/>
      <c r="HR231" s="542"/>
      <c r="HS231" s="542"/>
      <c r="HT231" s="542"/>
      <c r="HU231" s="542"/>
      <c r="HV231" s="542"/>
      <c r="HW231" s="542"/>
      <c r="HX231" s="542"/>
      <c r="HY231" s="542"/>
      <c r="HZ231" s="542"/>
      <c r="IA231" s="542"/>
      <c r="IB231" s="542"/>
      <c r="IC231" s="542"/>
      <c r="ID231" s="542"/>
      <c r="IE231" s="542"/>
      <c r="IF231" s="542"/>
      <c r="IG231" s="542"/>
      <c r="IH231" s="542"/>
      <c r="II231" s="542"/>
      <c r="IJ231" s="542"/>
      <c r="IK231" s="542"/>
      <c r="IL231" s="542"/>
      <c r="IM231" s="542"/>
      <c r="IN231" s="542"/>
      <c r="IO231" s="542"/>
      <c r="IP231" s="542"/>
      <c r="IQ231" s="542"/>
      <c r="IR231" s="542"/>
      <c r="IS231" s="542"/>
      <c r="IT231" s="542"/>
      <c r="IU231" s="542"/>
      <c r="IV231" s="542"/>
      <c r="IW231" s="542"/>
      <c r="IX231" s="542"/>
      <c r="IY231" s="542"/>
      <c r="IZ231" s="542"/>
      <c r="JA231" s="542"/>
      <c r="JB231" s="542"/>
    </row>
    <row r="232" spans="104:262" ht="18.899999999999999" customHeight="1">
      <c r="CZ232" s="542"/>
      <c r="DA232" s="542"/>
      <c r="DB232" s="542"/>
      <c r="DC232" s="542"/>
      <c r="DD232" s="542"/>
      <c r="DE232" s="542"/>
      <c r="DF232" s="542"/>
      <c r="DG232" s="542"/>
      <c r="DH232" s="542"/>
      <c r="DI232" s="542"/>
      <c r="DJ232" s="542"/>
      <c r="DK232" s="542"/>
      <c r="DL232" s="542"/>
      <c r="DM232" s="542"/>
      <c r="DN232" s="542"/>
      <c r="DO232" s="542"/>
      <c r="DP232" s="542"/>
      <c r="DQ232" s="542"/>
      <c r="DR232" s="542"/>
      <c r="DS232" s="542"/>
      <c r="DT232" s="542"/>
      <c r="DU232" s="542"/>
      <c r="DV232" s="542"/>
      <c r="DW232" s="542"/>
      <c r="DX232" s="542"/>
      <c r="DY232" s="542"/>
      <c r="DZ232" s="542"/>
      <c r="EA232" s="542"/>
      <c r="EB232" s="542"/>
      <c r="EC232" s="542"/>
      <c r="ED232" s="542"/>
      <c r="EE232" s="542"/>
      <c r="EF232" s="542"/>
      <c r="EG232" s="542"/>
      <c r="EH232" s="542"/>
      <c r="EI232" s="542"/>
      <c r="EJ232" s="542"/>
      <c r="EK232" s="542"/>
      <c r="EL232" s="542"/>
      <c r="EM232" s="542"/>
      <c r="EN232" s="542"/>
      <c r="EO232" s="542"/>
      <c r="EP232" s="542"/>
      <c r="EQ232" s="542"/>
      <c r="ER232" s="542"/>
      <c r="ES232" s="542"/>
      <c r="ET232" s="542"/>
      <c r="EU232" s="542"/>
      <c r="EV232" s="542"/>
      <c r="EW232" s="542"/>
      <c r="EX232" s="542"/>
      <c r="EY232" s="542"/>
      <c r="EZ232" s="542"/>
      <c r="FA232" s="542"/>
      <c r="FB232" s="542"/>
      <c r="FC232" s="542"/>
      <c r="FD232" s="542"/>
      <c r="FE232" s="542"/>
      <c r="FF232" s="542"/>
      <c r="FG232" s="542"/>
      <c r="FH232" s="542"/>
      <c r="FI232" s="542"/>
      <c r="FJ232" s="542"/>
      <c r="FK232" s="542"/>
      <c r="FL232" s="542"/>
      <c r="FM232" s="542"/>
      <c r="FN232" s="542"/>
      <c r="FO232" s="542"/>
      <c r="FP232" s="542"/>
      <c r="FQ232" s="542"/>
      <c r="FR232" s="542"/>
      <c r="FS232" s="542"/>
      <c r="FT232" s="542"/>
      <c r="FU232" s="542"/>
      <c r="FV232" s="542"/>
      <c r="FW232" s="542"/>
      <c r="FX232" s="542"/>
      <c r="FY232" s="542"/>
      <c r="FZ232" s="542"/>
      <c r="GA232" s="542"/>
      <c r="GB232" s="542"/>
      <c r="GC232" s="542"/>
      <c r="GD232" s="542"/>
      <c r="GE232" s="542"/>
      <c r="GF232" s="542"/>
      <c r="GG232" s="542"/>
      <c r="GH232" s="542"/>
      <c r="GI232" s="542"/>
      <c r="GJ232" s="542"/>
      <c r="GK232" s="542"/>
      <c r="GL232" s="542"/>
      <c r="GM232" s="542"/>
      <c r="GN232" s="542"/>
      <c r="GO232" s="542"/>
      <c r="GP232" s="542"/>
      <c r="GQ232" s="542"/>
      <c r="GR232" s="542"/>
      <c r="GS232" s="542"/>
      <c r="GT232" s="542"/>
      <c r="GU232" s="542"/>
      <c r="GV232" s="542"/>
      <c r="GW232" s="542"/>
      <c r="GX232" s="542"/>
      <c r="GY232" s="542"/>
      <c r="GZ232" s="542"/>
      <c r="HA232" s="542"/>
      <c r="HB232" s="542"/>
      <c r="HC232" s="542"/>
      <c r="HD232" s="542"/>
      <c r="HE232" s="542"/>
      <c r="HF232" s="542"/>
      <c r="HG232" s="542"/>
      <c r="HH232" s="542"/>
      <c r="HI232" s="542"/>
      <c r="HJ232" s="542"/>
      <c r="HK232" s="542"/>
      <c r="HL232" s="542"/>
      <c r="HM232" s="542"/>
      <c r="HN232" s="542"/>
      <c r="HO232" s="542"/>
      <c r="HP232" s="542"/>
      <c r="HQ232" s="542"/>
      <c r="HR232" s="542"/>
      <c r="HS232" s="542"/>
      <c r="HT232" s="542"/>
      <c r="HU232" s="542"/>
      <c r="HV232" s="542"/>
      <c r="HW232" s="542"/>
      <c r="HX232" s="542"/>
      <c r="HY232" s="542"/>
      <c r="HZ232" s="542"/>
      <c r="IA232" s="542"/>
      <c r="IB232" s="542"/>
      <c r="IC232" s="542"/>
      <c r="ID232" s="542"/>
      <c r="IE232" s="542"/>
      <c r="IF232" s="542"/>
      <c r="IG232" s="542"/>
      <c r="IH232" s="542"/>
      <c r="II232" s="542"/>
      <c r="IJ232" s="542"/>
      <c r="IK232" s="542"/>
      <c r="IL232" s="542"/>
      <c r="IM232" s="542"/>
      <c r="IN232" s="542"/>
      <c r="IO232" s="542"/>
      <c r="IP232" s="542"/>
      <c r="IQ232" s="542"/>
      <c r="IR232" s="542"/>
      <c r="IS232" s="542"/>
      <c r="IT232" s="542"/>
      <c r="IU232" s="542"/>
      <c r="IV232" s="542"/>
      <c r="IW232" s="542"/>
      <c r="IX232" s="542"/>
      <c r="IY232" s="542"/>
      <c r="IZ232" s="542"/>
      <c r="JA232" s="542"/>
      <c r="JB232" s="542"/>
    </row>
    <row r="233" spans="104:262" ht="18.899999999999999" customHeight="1">
      <c r="CZ233" s="542"/>
      <c r="DA233" s="542"/>
      <c r="DB233" s="542"/>
      <c r="DC233" s="542"/>
      <c r="DD233" s="542"/>
      <c r="DE233" s="542"/>
      <c r="DF233" s="542"/>
      <c r="DG233" s="542"/>
      <c r="DH233" s="542"/>
      <c r="DI233" s="542"/>
      <c r="DJ233" s="542"/>
      <c r="DK233" s="542"/>
      <c r="DL233" s="542"/>
      <c r="DM233" s="542"/>
      <c r="DN233" s="542"/>
      <c r="DO233" s="542"/>
      <c r="DP233" s="542"/>
      <c r="DQ233" s="542"/>
      <c r="DR233" s="542"/>
      <c r="DS233" s="542"/>
      <c r="DT233" s="542"/>
      <c r="DU233" s="542"/>
      <c r="DV233" s="542"/>
      <c r="DW233" s="542"/>
      <c r="DX233" s="542"/>
      <c r="DY233" s="542"/>
      <c r="DZ233" s="542"/>
      <c r="EA233" s="542"/>
      <c r="EB233" s="542"/>
      <c r="EC233" s="542"/>
      <c r="ED233" s="542"/>
      <c r="EE233" s="542"/>
      <c r="EF233" s="542"/>
      <c r="EG233" s="542"/>
      <c r="EH233" s="542"/>
      <c r="EI233" s="542"/>
      <c r="EJ233" s="542"/>
      <c r="EK233" s="542"/>
      <c r="EL233" s="542"/>
      <c r="EM233" s="542"/>
      <c r="EN233" s="542"/>
      <c r="EO233" s="542"/>
      <c r="EP233" s="542"/>
      <c r="EQ233" s="542"/>
      <c r="ER233" s="542"/>
      <c r="ES233" s="542"/>
      <c r="ET233" s="542"/>
      <c r="EU233" s="542"/>
      <c r="EV233" s="542"/>
      <c r="EW233" s="542"/>
      <c r="EX233" s="542"/>
      <c r="EY233" s="542"/>
      <c r="EZ233" s="542"/>
      <c r="FA233" s="542"/>
      <c r="FB233" s="542"/>
      <c r="FC233" s="542"/>
      <c r="FD233" s="542"/>
      <c r="FE233" s="542"/>
      <c r="FF233" s="542"/>
      <c r="FG233" s="542"/>
      <c r="FH233" s="542"/>
      <c r="FI233" s="542"/>
      <c r="FJ233" s="542"/>
      <c r="FK233" s="542"/>
      <c r="FL233" s="542"/>
      <c r="FM233" s="542"/>
      <c r="FN233" s="542"/>
      <c r="FO233" s="542"/>
      <c r="FP233" s="542"/>
      <c r="FQ233" s="542"/>
      <c r="FR233" s="542"/>
      <c r="FS233" s="542"/>
      <c r="FT233" s="542"/>
      <c r="FU233" s="542"/>
      <c r="FV233" s="542"/>
      <c r="FW233" s="542"/>
      <c r="FX233" s="542"/>
      <c r="FY233" s="542"/>
      <c r="FZ233" s="542"/>
      <c r="GA233" s="542"/>
      <c r="GB233" s="542"/>
      <c r="GC233" s="542"/>
      <c r="GD233" s="542"/>
      <c r="GE233" s="542"/>
      <c r="GF233" s="542"/>
      <c r="GG233" s="542"/>
      <c r="GH233" s="542"/>
      <c r="GI233" s="542"/>
      <c r="GJ233" s="542"/>
      <c r="GK233" s="542"/>
      <c r="GL233" s="542"/>
      <c r="GM233" s="542"/>
      <c r="GN233" s="542"/>
      <c r="GO233" s="542"/>
      <c r="GP233" s="542"/>
      <c r="GQ233" s="542"/>
      <c r="GR233" s="542"/>
      <c r="GS233" s="542"/>
      <c r="GT233" s="542"/>
      <c r="GU233" s="542"/>
      <c r="GV233" s="542"/>
      <c r="GW233" s="542"/>
      <c r="GX233" s="542"/>
      <c r="GY233" s="542"/>
      <c r="GZ233" s="542"/>
      <c r="HA233" s="542"/>
      <c r="HB233" s="542"/>
      <c r="HC233" s="542"/>
      <c r="HD233" s="542"/>
      <c r="HE233" s="542"/>
      <c r="HF233" s="542"/>
      <c r="HG233" s="542"/>
      <c r="HH233" s="542"/>
      <c r="HI233" s="542"/>
      <c r="HJ233" s="542"/>
      <c r="HK233" s="542"/>
      <c r="HL233" s="542"/>
      <c r="HM233" s="542"/>
      <c r="HN233" s="542"/>
      <c r="HO233" s="542"/>
      <c r="HP233" s="542"/>
      <c r="HQ233" s="542"/>
      <c r="HR233" s="542"/>
      <c r="HS233" s="542"/>
      <c r="HT233" s="542"/>
      <c r="HU233" s="542"/>
      <c r="HV233" s="542"/>
      <c r="HW233" s="542"/>
      <c r="HX233" s="542"/>
      <c r="HY233" s="542"/>
      <c r="HZ233" s="542"/>
      <c r="IA233" s="542"/>
      <c r="IB233" s="542"/>
      <c r="IC233" s="542"/>
      <c r="ID233" s="542"/>
      <c r="IE233" s="542"/>
      <c r="IF233" s="542"/>
      <c r="IG233" s="542"/>
      <c r="IH233" s="542"/>
      <c r="II233" s="542"/>
      <c r="IJ233" s="542"/>
      <c r="IK233" s="542"/>
      <c r="IL233" s="542"/>
      <c r="IM233" s="542"/>
      <c r="IN233" s="542"/>
      <c r="IO233" s="542"/>
      <c r="IP233" s="542"/>
      <c r="IQ233" s="542"/>
      <c r="IR233" s="542"/>
      <c r="IS233" s="542"/>
      <c r="IT233" s="542"/>
      <c r="IU233" s="542"/>
      <c r="IV233" s="542"/>
      <c r="IW233" s="542"/>
      <c r="IX233" s="542"/>
      <c r="IY233" s="542"/>
      <c r="IZ233" s="542"/>
      <c r="JA233" s="542"/>
      <c r="JB233" s="542"/>
    </row>
    <row r="234" spans="104:262" ht="18.899999999999999" customHeight="1">
      <c r="CZ234" s="542"/>
      <c r="DA234" s="542"/>
      <c r="DB234" s="542"/>
      <c r="DC234" s="542"/>
      <c r="DD234" s="542"/>
      <c r="DE234" s="542"/>
      <c r="DF234" s="542"/>
      <c r="DG234" s="542"/>
      <c r="DH234" s="542"/>
      <c r="DI234" s="542"/>
      <c r="DJ234" s="542"/>
      <c r="DK234" s="542"/>
      <c r="DL234" s="542"/>
      <c r="DM234" s="542"/>
      <c r="DN234" s="542"/>
      <c r="DO234" s="542"/>
      <c r="DP234" s="542"/>
      <c r="DQ234" s="542"/>
      <c r="DR234" s="542"/>
      <c r="DS234" s="542"/>
      <c r="DT234" s="542"/>
      <c r="DU234" s="542"/>
      <c r="DV234" s="542"/>
      <c r="DW234" s="542"/>
      <c r="DX234" s="542"/>
      <c r="DY234" s="542"/>
      <c r="DZ234" s="542"/>
      <c r="EA234" s="542"/>
      <c r="EB234" s="542"/>
      <c r="EC234" s="542"/>
      <c r="ED234" s="542"/>
      <c r="EE234" s="542"/>
      <c r="EF234" s="542"/>
      <c r="EG234" s="542"/>
      <c r="EH234" s="542"/>
      <c r="EI234" s="542"/>
      <c r="EJ234" s="542"/>
      <c r="EK234" s="542"/>
      <c r="EL234" s="542"/>
      <c r="EM234" s="542"/>
      <c r="EN234" s="542"/>
      <c r="EO234" s="542"/>
      <c r="EP234" s="542"/>
      <c r="EQ234" s="542"/>
      <c r="ER234" s="542"/>
      <c r="ES234" s="542"/>
      <c r="ET234" s="542"/>
      <c r="EU234" s="542"/>
      <c r="EV234" s="542"/>
      <c r="EW234" s="542"/>
      <c r="EX234" s="542"/>
      <c r="EY234" s="542"/>
      <c r="EZ234" s="542"/>
      <c r="FA234" s="542"/>
      <c r="FB234" s="542"/>
      <c r="FC234" s="542"/>
      <c r="FD234" s="542"/>
      <c r="FE234" s="542"/>
      <c r="FF234" s="542"/>
      <c r="FG234" s="542"/>
      <c r="FH234" s="542"/>
      <c r="FI234" s="542"/>
      <c r="FJ234" s="542"/>
      <c r="FK234" s="542"/>
      <c r="FL234" s="542"/>
      <c r="FM234" s="542"/>
      <c r="FN234" s="542"/>
      <c r="FO234" s="542"/>
      <c r="FP234" s="542"/>
      <c r="FQ234" s="542"/>
      <c r="FR234" s="542"/>
      <c r="FS234" s="542"/>
      <c r="FT234" s="542"/>
      <c r="FU234" s="542"/>
      <c r="FV234" s="542"/>
      <c r="FW234" s="542"/>
      <c r="FX234" s="542"/>
      <c r="FY234" s="542"/>
      <c r="FZ234" s="542"/>
      <c r="GA234" s="542"/>
      <c r="GB234" s="542"/>
      <c r="GC234" s="542"/>
      <c r="GD234" s="542"/>
      <c r="GE234" s="542"/>
      <c r="GF234" s="542"/>
      <c r="GG234" s="542"/>
      <c r="GH234" s="542"/>
      <c r="GI234" s="542"/>
      <c r="GJ234" s="542"/>
      <c r="GK234" s="542"/>
      <c r="GL234" s="542"/>
      <c r="GM234" s="542"/>
      <c r="GN234" s="542"/>
      <c r="GO234" s="542"/>
      <c r="GP234" s="542"/>
      <c r="GQ234" s="542"/>
      <c r="GR234" s="542"/>
      <c r="GS234" s="542"/>
      <c r="GT234" s="542"/>
      <c r="GU234" s="542"/>
      <c r="GV234" s="542"/>
      <c r="GW234" s="542"/>
      <c r="GX234" s="542"/>
      <c r="GY234" s="542"/>
      <c r="GZ234" s="542"/>
      <c r="HA234" s="542"/>
      <c r="HB234" s="542"/>
      <c r="HC234" s="542"/>
      <c r="HD234" s="542"/>
      <c r="HE234" s="542"/>
      <c r="HF234" s="542"/>
      <c r="HG234" s="542"/>
      <c r="HH234" s="542"/>
      <c r="HI234" s="542"/>
      <c r="HJ234" s="542"/>
      <c r="HK234" s="542"/>
      <c r="HL234" s="542"/>
      <c r="HM234" s="542"/>
      <c r="HN234" s="542"/>
      <c r="HO234" s="542"/>
      <c r="HP234" s="542"/>
      <c r="HQ234" s="542"/>
      <c r="HR234" s="542"/>
      <c r="HS234" s="542"/>
      <c r="HT234" s="542"/>
      <c r="HU234" s="542"/>
      <c r="HV234" s="542"/>
      <c r="HW234" s="542"/>
      <c r="HX234" s="542"/>
      <c r="HY234" s="542"/>
      <c r="HZ234" s="542"/>
      <c r="IA234" s="542"/>
      <c r="IB234" s="542"/>
      <c r="IC234" s="542"/>
      <c r="ID234" s="542"/>
      <c r="IE234" s="542"/>
      <c r="IF234" s="542"/>
      <c r="IG234" s="542"/>
      <c r="IH234" s="542"/>
      <c r="II234" s="542"/>
      <c r="IJ234" s="542"/>
      <c r="IK234" s="542"/>
      <c r="IL234" s="542"/>
      <c r="IM234" s="542"/>
      <c r="IN234" s="542"/>
      <c r="IO234" s="542"/>
      <c r="IP234" s="542"/>
      <c r="IQ234" s="542"/>
      <c r="IR234" s="542"/>
      <c r="IS234" s="542"/>
      <c r="IT234" s="542"/>
      <c r="IU234" s="542"/>
      <c r="IV234" s="542"/>
      <c r="IW234" s="542"/>
      <c r="IX234" s="542"/>
      <c r="IY234" s="542"/>
      <c r="IZ234" s="542"/>
      <c r="JA234" s="542"/>
      <c r="JB234" s="542"/>
    </row>
    <row r="235" spans="104:262" ht="18.899999999999999" customHeight="1">
      <c r="CZ235" s="542"/>
      <c r="DA235" s="542"/>
      <c r="DB235" s="542"/>
      <c r="DC235" s="542"/>
      <c r="DD235" s="542"/>
      <c r="DE235" s="542"/>
      <c r="DF235" s="542"/>
      <c r="DG235" s="542"/>
      <c r="DH235" s="542"/>
      <c r="DI235" s="542"/>
      <c r="DJ235" s="542"/>
      <c r="DK235" s="542"/>
      <c r="DL235" s="542"/>
      <c r="DM235" s="542"/>
      <c r="DN235" s="542"/>
      <c r="DO235" s="542"/>
      <c r="DP235" s="542"/>
      <c r="DQ235" s="542"/>
      <c r="DR235" s="542"/>
      <c r="DS235" s="542"/>
      <c r="DT235" s="542"/>
      <c r="DU235" s="542"/>
      <c r="DV235" s="542"/>
      <c r="DW235" s="542"/>
      <c r="DX235" s="542"/>
      <c r="DY235" s="542"/>
      <c r="DZ235" s="542"/>
      <c r="EA235" s="542"/>
      <c r="EB235" s="542"/>
      <c r="EC235" s="542"/>
      <c r="ED235" s="542"/>
      <c r="EE235" s="542"/>
      <c r="EF235" s="542"/>
      <c r="EG235" s="542"/>
      <c r="EH235" s="542"/>
      <c r="EI235" s="542"/>
      <c r="EJ235" s="542"/>
      <c r="EK235" s="542"/>
      <c r="EL235" s="542"/>
      <c r="EM235" s="542"/>
      <c r="EN235" s="542"/>
      <c r="EO235" s="542"/>
      <c r="EP235" s="542"/>
      <c r="EQ235" s="542"/>
      <c r="ER235" s="542"/>
      <c r="ES235" s="542"/>
      <c r="ET235" s="542"/>
      <c r="EU235" s="542"/>
      <c r="EV235" s="542"/>
      <c r="EW235" s="542"/>
      <c r="EX235" s="542"/>
      <c r="EY235" s="542"/>
      <c r="EZ235" s="542"/>
      <c r="FA235" s="542"/>
      <c r="FB235" s="542"/>
      <c r="FC235" s="542"/>
      <c r="FD235" s="542"/>
      <c r="FE235" s="542"/>
      <c r="FF235" s="542"/>
      <c r="FG235" s="542"/>
      <c r="FH235" s="542"/>
      <c r="FI235" s="542"/>
      <c r="FJ235" s="542"/>
      <c r="FK235" s="542"/>
      <c r="FL235" s="542"/>
      <c r="FM235" s="542"/>
      <c r="FN235" s="542"/>
      <c r="FO235" s="542"/>
      <c r="FP235" s="542"/>
      <c r="FQ235" s="542"/>
      <c r="FR235" s="542"/>
      <c r="FS235" s="542"/>
      <c r="FT235" s="542"/>
      <c r="FU235" s="542"/>
      <c r="FV235" s="542"/>
      <c r="FW235" s="542"/>
      <c r="FX235" s="542"/>
      <c r="FY235" s="542"/>
      <c r="FZ235" s="542"/>
      <c r="GA235" s="542"/>
      <c r="GB235" s="542"/>
      <c r="GC235" s="542"/>
      <c r="GD235" s="542"/>
      <c r="GE235" s="542"/>
      <c r="GF235" s="542"/>
      <c r="GG235" s="542"/>
      <c r="GH235" s="542"/>
      <c r="GI235" s="542"/>
      <c r="GJ235" s="542"/>
      <c r="GK235" s="542"/>
      <c r="GL235" s="542"/>
      <c r="GM235" s="542"/>
      <c r="GN235" s="542"/>
      <c r="GO235" s="542"/>
      <c r="GP235" s="542"/>
      <c r="GQ235" s="542"/>
      <c r="GR235" s="542"/>
      <c r="GS235" s="542"/>
      <c r="GT235" s="542"/>
      <c r="GU235" s="542"/>
      <c r="GV235" s="542"/>
      <c r="GW235" s="542"/>
      <c r="GX235" s="542"/>
      <c r="GY235" s="542"/>
      <c r="GZ235" s="542"/>
      <c r="HA235" s="542"/>
      <c r="HB235" s="542"/>
      <c r="HC235" s="542"/>
      <c r="HD235" s="542"/>
      <c r="HE235" s="542"/>
      <c r="HF235" s="542"/>
      <c r="HG235" s="542"/>
      <c r="HH235" s="542"/>
      <c r="HI235" s="542"/>
      <c r="HJ235" s="542"/>
      <c r="HK235" s="542"/>
      <c r="HL235" s="542"/>
      <c r="HM235" s="542"/>
      <c r="HN235" s="542"/>
      <c r="HO235" s="542"/>
      <c r="HP235" s="542"/>
      <c r="HQ235" s="542"/>
      <c r="HR235" s="542"/>
      <c r="HS235" s="542"/>
      <c r="HT235" s="542"/>
      <c r="HU235" s="542"/>
      <c r="HV235" s="542"/>
      <c r="HW235" s="542"/>
      <c r="HX235" s="542"/>
      <c r="HY235" s="542"/>
      <c r="HZ235" s="542"/>
      <c r="IA235" s="542"/>
      <c r="IB235" s="542"/>
      <c r="IC235" s="542"/>
      <c r="ID235" s="542"/>
      <c r="IE235" s="542"/>
      <c r="IF235" s="542"/>
      <c r="IG235" s="542"/>
      <c r="IH235" s="542"/>
      <c r="II235" s="542"/>
      <c r="IJ235" s="542"/>
      <c r="IK235" s="542"/>
      <c r="IL235" s="542"/>
      <c r="IM235" s="542"/>
      <c r="IN235" s="542"/>
      <c r="IO235" s="542"/>
      <c r="IP235" s="542"/>
      <c r="IQ235" s="542"/>
      <c r="IR235" s="542"/>
      <c r="IS235" s="542"/>
      <c r="IT235" s="542"/>
      <c r="IU235" s="542"/>
      <c r="IV235" s="542"/>
      <c r="IW235" s="542"/>
      <c r="IX235" s="542"/>
      <c r="IY235" s="542"/>
      <c r="IZ235" s="542"/>
      <c r="JA235" s="542"/>
      <c r="JB235" s="542"/>
    </row>
    <row r="236" spans="104:262" ht="18.899999999999999" customHeight="1">
      <c r="CZ236" s="542"/>
      <c r="DA236" s="542"/>
      <c r="DB236" s="542"/>
      <c r="DC236" s="542"/>
      <c r="DD236" s="542"/>
      <c r="DE236" s="542"/>
      <c r="DF236" s="542"/>
      <c r="DG236" s="542"/>
      <c r="DH236" s="542"/>
      <c r="DI236" s="542"/>
      <c r="DJ236" s="542"/>
      <c r="DK236" s="542"/>
      <c r="DL236" s="542"/>
      <c r="DM236" s="542"/>
      <c r="DN236" s="542"/>
      <c r="DO236" s="542"/>
      <c r="DP236" s="542"/>
      <c r="DQ236" s="542"/>
      <c r="DR236" s="542"/>
      <c r="DS236" s="542"/>
      <c r="DT236" s="542"/>
      <c r="DU236" s="542"/>
      <c r="DV236" s="542"/>
      <c r="DW236" s="542"/>
      <c r="DX236" s="542"/>
      <c r="DY236" s="542"/>
      <c r="DZ236" s="542"/>
      <c r="EA236" s="542"/>
      <c r="EB236" s="542"/>
      <c r="EC236" s="542"/>
      <c r="ED236" s="542"/>
      <c r="EE236" s="542"/>
      <c r="EF236" s="542"/>
      <c r="EG236" s="542"/>
      <c r="EH236" s="542"/>
      <c r="EI236" s="542"/>
      <c r="EJ236" s="542"/>
      <c r="EK236" s="542"/>
      <c r="EL236" s="542"/>
      <c r="EM236" s="542"/>
      <c r="EN236" s="542"/>
      <c r="EO236" s="542"/>
      <c r="EP236" s="542"/>
      <c r="EQ236" s="542"/>
      <c r="ER236" s="542"/>
      <c r="ES236" s="542"/>
      <c r="ET236" s="542"/>
      <c r="EU236" s="542"/>
      <c r="EV236" s="542"/>
      <c r="EW236" s="542"/>
      <c r="EX236" s="542"/>
      <c r="EY236" s="542"/>
      <c r="EZ236" s="542"/>
      <c r="FA236" s="542"/>
      <c r="FB236" s="542"/>
      <c r="FC236" s="542"/>
      <c r="FD236" s="542"/>
      <c r="FE236" s="542"/>
      <c r="FF236" s="542"/>
      <c r="FG236" s="542"/>
      <c r="FH236" s="542"/>
      <c r="FI236" s="542"/>
      <c r="FJ236" s="542"/>
      <c r="FK236" s="542"/>
      <c r="FL236" s="542"/>
      <c r="FM236" s="542"/>
      <c r="FN236" s="542"/>
      <c r="FO236" s="542"/>
      <c r="FP236" s="542"/>
      <c r="FQ236" s="542"/>
      <c r="FR236" s="542"/>
      <c r="FS236" s="542"/>
      <c r="FT236" s="542"/>
      <c r="FU236" s="542"/>
      <c r="FV236" s="542"/>
      <c r="FW236" s="542"/>
      <c r="FX236" s="542"/>
      <c r="FY236" s="542"/>
      <c r="FZ236" s="542"/>
      <c r="GA236" s="542"/>
      <c r="GB236" s="542"/>
      <c r="GC236" s="542"/>
      <c r="GD236" s="542"/>
      <c r="GE236" s="542"/>
      <c r="GF236" s="542"/>
      <c r="GG236" s="542"/>
      <c r="GH236" s="542"/>
      <c r="GI236" s="542"/>
      <c r="GJ236" s="542"/>
      <c r="GK236" s="542"/>
      <c r="GL236" s="542"/>
      <c r="GM236" s="542"/>
      <c r="GN236" s="542"/>
      <c r="GO236" s="542"/>
      <c r="GP236" s="542"/>
      <c r="GQ236" s="542"/>
      <c r="GR236" s="542"/>
      <c r="GS236" s="542"/>
      <c r="GT236" s="542"/>
      <c r="GU236" s="542"/>
      <c r="GV236" s="542"/>
      <c r="GW236" s="542"/>
      <c r="GX236" s="542"/>
      <c r="GY236" s="542"/>
      <c r="GZ236" s="542"/>
      <c r="HA236" s="542"/>
      <c r="HB236" s="542"/>
      <c r="HC236" s="542"/>
      <c r="HD236" s="542"/>
      <c r="HE236" s="542"/>
      <c r="HF236" s="542"/>
      <c r="HG236" s="542"/>
      <c r="HH236" s="542"/>
      <c r="HI236" s="542"/>
      <c r="HJ236" s="542"/>
      <c r="HK236" s="542"/>
      <c r="HL236" s="542"/>
      <c r="HM236" s="542"/>
      <c r="HN236" s="542"/>
      <c r="HO236" s="542"/>
      <c r="HP236" s="542"/>
      <c r="HQ236" s="542"/>
      <c r="HR236" s="542"/>
      <c r="HS236" s="542"/>
      <c r="HT236" s="542"/>
      <c r="HU236" s="542"/>
      <c r="HV236" s="542"/>
      <c r="HW236" s="542"/>
      <c r="HX236" s="542"/>
      <c r="HY236" s="542"/>
      <c r="HZ236" s="542"/>
      <c r="IA236" s="542"/>
      <c r="IB236" s="542"/>
      <c r="IC236" s="542"/>
      <c r="ID236" s="542"/>
      <c r="IE236" s="542"/>
      <c r="IF236" s="542"/>
      <c r="IG236" s="542"/>
      <c r="IH236" s="542"/>
      <c r="II236" s="542"/>
      <c r="IJ236" s="542"/>
      <c r="IK236" s="542"/>
      <c r="IL236" s="542"/>
      <c r="IM236" s="542"/>
      <c r="IN236" s="542"/>
      <c r="IO236" s="542"/>
      <c r="IP236" s="542"/>
      <c r="IQ236" s="542"/>
      <c r="IR236" s="542"/>
      <c r="IS236" s="542"/>
      <c r="IT236" s="542"/>
      <c r="IU236" s="542"/>
      <c r="IV236" s="542"/>
      <c r="IW236" s="542"/>
      <c r="IX236" s="542"/>
      <c r="IY236" s="542"/>
      <c r="IZ236" s="542"/>
      <c r="JA236" s="542"/>
      <c r="JB236" s="542"/>
    </row>
    <row r="237" spans="104:262" ht="18.899999999999999" customHeight="1">
      <c r="CZ237" s="542"/>
      <c r="DA237" s="542"/>
      <c r="DB237" s="542"/>
      <c r="DC237" s="542"/>
      <c r="DD237" s="542"/>
      <c r="DE237" s="542"/>
      <c r="DF237" s="542"/>
      <c r="DG237" s="542"/>
      <c r="DH237" s="542"/>
      <c r="DI237" s="542"/>
      <c r="DJ237" s="542"/>
      <c r="DK237" s="542"/>
      <c r="DL237" s="542"/>
      <c r="DM237" s="542"/>
      <c r="DN237" s="542"/>
      <c r="DO237" s="542"/>
      <c r="DP237" s="542"/>
      <c r="DQ237" s="542"/>
      <c r="DR237" s="542"/>
      <c r="DS237" s="542"/>
      <c r="DT237" s="542"/>
      <c r="DU237" s="542"/>
      <c r="DV237" s="542"/>
      <c r="DW237" s="542"/>
      <c r="DX237" s="542"/>
      <c r="DY237" s="542"/>
      <c r="DZ237" s="542"/>
      <c r="EA237" s="542"/>
      <c r="EB237" s="542"/>
      <c r="EC237" s="542"/>
      <c r="ED237" s="542"/>
      <c r="EE237" s="542"/>
      <c r="EF237" s="542"/>
      <c r="EG237" s="542"/>
      <c r="EH237" s="542"/>
      <c r="EI237" s="542"/>
      <c r="EJ237" s="542"/>
      <c r="EK237" s="542"/>
      <c r="EL237" s="542"/>
      <c r="EM237" s="542"/>
      <c r="EN237" s="542"/>
      <c r="EO237" s="542"/>
      <c r="EP237" s="542"/>
      <c r="EQ237" s="542"/>
      <c r="ER237" s="542"/>
      <c r="ES237" s="542"/>
      <c r="ET237" s="542"/>
      <c r="EU237" s="542"/>
      <c r="EV237" s="542"/>
      <c r="EW237" s="542"/>
      <c r="EX237" s="542"/>
      <c r="EY237" s="542"/>
      <c r="EZ237" s="542"/>
      <c r="FA237" s="542"/>
      <c r="FB237" s="542"/>
      <c r="FC237" s="542"/>
      <c r="FD237" s="542"/>
      <c r="FE237" s="542"/>
      <c r="FF237" s="542"/>
      <c r="FG237" s="542"/>
      <c r="FH237" s="542"/>
      <c r="FI237" s="542"/>
      <c r="FJ237" s="542"/>
      <c r="FK237" s="542"/>
      <c r="FL237" s="542"/>
      <c r="FM237" s="542"/>
      <c r="FN237" s="542"/>
      <c r="FO237" s="542"/>
      <c r="FP237" s="542"/>
      <c r="FQ237" s="542"/>
      <c r="FR237" s="542"/>
      <c r="FS237" s="542"/>
      <c r="FT237" s="542"/>
      <c r="FU237" s="542"/>
      <c r="FV237" s="542"/>
      <c r="FW237" s="542"/>
      <c r="FX237" s="542"/>
      <c r="FY237" s="542"/>
      <c r="FZ237" s="542"/>
      <c r="GA237" s="542"/>
      <c r="GB237" s="542"/>
      <c r="GC237" s="542"/>
      <c r="GD237" s="542"/>
      <c r="GE237" s="542"/>
      <c r="GF237" s="542"/>
      <c r="GG237" s="542"/>
      <c r="GH237" s="542"/>
      <c r="GI237" s="542"/>
      <c r="GJ237" s="542"/>
      <c r="GK237" s="542"/>
      <c r="GL237" s="542"/>
      <c r="GM237" s="542"/>
      <c r="GN237" s="542"/>
      <c r="GO237" s="542"/>
      <c r="GP237" s="542"/>
      <c r="GQ237" s="542"/>
      <c r="GR237" s="542"/>
      <c r="GS237" s="542"/>
      <c r="GT237" s="542"/>
      <c r="GU237" s="542"/>
      <c r="GV237" s="542"/>
      <c r="GW237" s="542"/>
      <c r="GX237" s="542"/>
      <c r="GY237" s="542"/>
      <c r="GZ237" s="542"/>
      <c r="HA237" s="542"/>
      <c r="HB237" s="542"/>
      <c r="HC237" s="542"/>
      <c r="HD237" s="542"/>
      <c r="HE237" s="542"/>
      <c r="HF237" s="542"/>
      <c r="HG237" s="542"/>
      <c r="HH237" s="542"/>
      <c r="HI237" s="542"/>
      <c r="HJ237" s="542"/>
      <c r="HK237" s="542"/>
      <c r="HL237" s="542"/>
      <c r="HM237" s="542"/>
      <c r="HN237" s="542"/>
      <c r="HO237" s="542"/>
      <c r="HP237" s="542"/>
      <c r="HQ237" s="542"/>
      <c r="HR237" s="542"/>
      <c r="HS237" s="542"/>
      <c r="HT237" s="542"/>
      <c r="HU237" s="542"/>
      <c r="HV237" s="542"/>
      <c r="HW237" s="542"/>
      <c r="HX237" s="542"/>
      <c r="HY237" s="542"/>
      <c r="HZ237" s="542"/>
      <c r="IA237" s="542"/>
      <c r="IB237" s="542"/>
      <c r="IC237" s="542"/>
      <c r="ID237" s="542"/>
      <c r="IE237" s="542"/>
      <c r="IF237" s="542"/>
      <c r="IG237" s="542"/>
      <c r="IH237" s="542"/>
      <c r="II237" s="542"/>
      <c r="IJ237" s="542"/>
      <c r="IK237" s="542"/>
      <c r="IL237" s="542"/>
      <c r="IM237" s="542"/>
      <c r="IN237" s="542"/>
      <c r="IO237" s="542"/>
      <c r="IP237" s="542"/>
      <c r="IQ237" s="542"/>
      <c r="IR237" s="542"/>
      <c r="IS237" s="542"/>
      <c r="IT237" s="542"/>
      <c r="IU237" s="542"/>
      <c r="IV237" s="542"/>
      <c r="IW237" s="542"/>
      <c r="IX237" s="542"/>
      <c r="IY237" s="542"/>
      <c r="IZ237" s="542"/>
      <c r="JA237" s="542"/>
      <c r="JB237" s="542"/>
    </row>
    <row r="238" spans="104:262" ht="18.899999999999999" customHeight="1">
      <c r="CZ238" s="542"/>
      <c r="DA238" s="542"/>
      <c r="DB238" s="542"/>
      <c r="DC238" s="542"/>
      <c r="DD238" s="542"/>
      <c r="DE238" s="542"/>
      <c r="DF238" s="542"/>
      <c r="DG238" s="542"/>
      <c r="DH238" s="542"/>
      <c r="DI238" s="542"/>
      <c r="DJ238" s="542"/>
      <c r="DK238" s="542"/>
      <c r="DL238" s="542"/>
      <c r="DM238" s="542"/>
      <c r="DN238" s="542"/>
      <c r="DO238" s="542"/>
      <c r="DP238" s="542"/>
      <c r="DQ238" s="542"/>
      <c r="DR238" s="542"/>
      <c r="DS238" s="542"/>
      <c r="DT238" s="542"/>
      <c r="DU238" s="542"/>
      <c r="DV238" s="542"/>
      <c r="DW238" s="542"/>
      <c r="DX238" s="542"/>
      <c r="DY238" s="542"/>
      <c r="DZ238" s="542"/>
      <c r="EA238" s="542"/>
      <c r="EB238" s="542"/>
      <c r="EC238" s="542"/>
      <c r="ED238" s="542"/>
      <c r="EE238" s="542"/>
      <c r="EF238" s="542"/>
      <c r="EG238" s="542"/>
      <c r="EH238" s="542"/>
      <c r="EI238" s="542"/>
      <c r="EJ238" s="542"/>
      <c r="EK238" s="542"/>
      <c r="EL238" s="542"/>
      <c r="EM238" s="542"/>
      <c r="EN238" s="542"/>
      <c r="EO238" s="542"/>
      <c r="EP238" s="542"/>
      <c r="EQ238" s="542"/>
      <c r="ER238" s="542"/>
      <c r="ES238" s="542"/>
      <c r="ET238" s="542"/>
      <c r="EU238" s="542"/>
      <c r="EV238" s="542"/>
      <c r="EW238" s="542"/>
      <c r="EX238" s="542"/>
      <c r="EY238" s="542"/>
      <c r="EZ238" s="542"/>
      <c r="FA238" s="542"/>
      <c r="FB238" s="542"/>
      <c r="FC238" s="542"/>
      <c r="FD238" s="542"/>
      <c r="FE238" s="542"/>
      <c r="FF238" s="542"/>
      <c r="FG238" s="542"/>
      <c r="FH238" s="542"/>
      <c r="FI238" s="542"/>
      <c r="FJ238" s="542"/>
      <c r="FK238" s="542"/>
      <c r="FL238" s="542"/>
      <c r="FM238" s="542"/>
      <c r="FN238" s="542"/>
      <c r="FO238" s="542"/>
      <c r="FP238" s="542"/>
      <c r="FQ238" s="542"/>
      <c r="FR238" s="542"/>
      <c r="FS238" s="542"/>
      <c r="FT238" s="542"/>
      <c r="FU238" s="542"/>
      <c r="FV238" s="542"/>
      <c r="FW238" s="542"/>
      <c r="FX238" s="542"/>
      <c r="FY238" s="542"/>
      <c r="FZ238" s="542"/>
      <c r="GA238" s="542"/>
      <c r="GB238" s="542"/>
      <c r="GC238" s="542"/>
      <c r="GD238" s="542"/>
      <c r="GE238" s="542"/>
      <c r="GF238" s="542"/>
      <c r="GG238" s="542"/>
      <c r="GH238" s="542"/>
      <c r="GI238" s="542"/>
      <c r="GJ238" s="542"/>
      <c r="GK238" s="542"/>
      <c r="GL238" s="542"/>
      <c r="GM238" s="542"/>
      <c r="GN238" s="542"/>
      <c r="GO238" s="542"/>
      <c r="GP238" s="542"/>
      <c r="GQ238" s="542"/>
      <c r="GR238" s="542"/>
      <c r="GS238" s="542"/>
      <c r="GT238" s="542"/>
      <c r="GU238" s="542"/>
      <c r="GV238" s="542"/>
      <c r="GW238" s="542"/>
      <c r="GX238" s="542"/>
      <c r="GY238" s="542"/>
      <c r="GZ238" s="542"/>
      <c r="HA238" s="542"/>
      <c r="HB238" s="542"/>
      <c r="HC238" s="542"/>
      <c r="HD238" s="542"/>
      <c r="HE238" s="542"/>
      <c r="HF238" s="542"/>
      <c r="HG238" s="542"/>
      <c r="HH238" s="542"/>
      <c r="HI238" s="542"/>
      <c r="HJ238" s="542"/>
      <c r="HK238" s="542"/>
      <c r="HL238" s="542"/>
      <c r="HM238" s="542"/>
      <c r="HN238" s="542"/>
      <c r="HO238" s="542"/>
      <c r="HP238" s="542"/>
      <c r="HQ238" s="542"/>
      <c r="HR238" s="542"/>
      <c r="HS238" s="542"/>
      <c r="HT238" s="542"/>
      <c r="HU238" s="542"/>
      <c r="HV238" s="542"/>
      <c r="HW238" s="542"/>
      <c r="HX238" s="542"/>
      <c r="HY238" s="542"/>
      <c r="HZ238" s="542"/>
      <c r="IA238" s="542"/>
      <c r="IB238" s="542"/>
      <c r="IC238" s="542"/>
      <c r="ID238" s="542"/>
      <c r="IE238" s="542"/>
      <c r="IF238" s="542"/>
      <c r="IG238" s="542"/>
      <c r="IH238" s="542"/>
      <c r="II238" s="542"/>
      <c r="IJ238" s="542"/>
      <c r="IK238" s="542"/>
      <c r="IL238" s="542"/>
      <c r="IM238" s="542"/>
      <c r="IN238" s="542"/>
      <c r="IO238" s="542"/>
      <c r="IP238" s="542"/>
      <c r="IQ238" s="542"/>
      <c r="IR238" s="542"/>
      <c r="IS238" s="542"/>
      <c r="IT238" s="542"/>
      <c r="IU238" s="542"/>
      <c r="IV238" s="542"/>
      <c r="IW238" s="542"/>
      <c r="IX238" s="542"/>
      <c r="IY238" s="542"/>
      <c r="IZ238" s="542"/>
      <c r="JA238" s="542"/>
      <c r="JB238" s="542"/>
    </row>
    <row r="239" spans="104:262" ht="18.899999999999999" customHeight="1">
      <c r="CZ239" s="542"/>
      <c r="DA239" s="542"/>
      <c r="DB239" s="542"/>
      <c r="DC239" s="542"/>
      <c r="DD239" s="542"/>
      <c r="DE239" s="542"/>
      <c r="DF239" s="542"/>
      <c r="DG239" s="542"/>
      <c r="DH239" s="542"/>
      <c r="DI239" s="542"/>
      <c r="DJ239" s="542"/>
      <c r="DK239" s="542"/>
      <c r="DL239" s="542"/>
      <c r="DM239" s="542"/>
      <c r="DN239" s="542"/>
      <c r="DO239" s="542"/>
      <c r="DP239" s="542"/>
      <c r="DQ239" s="542"/>
      <c r="DR239" s="542"/>
      <c r="DS239" s="542"/>
      <c r="DT239" s="542"/>
      <c r="DU239" s="542"/>
      <c r="DV239" s="542"/>
      <c r="DW239" s="542"/>
      <c r="DX239" s="542"/>
      <c r="DY239" s="542"/>
      <c r="DZ239" s="542"/>
      <c r="EA239" s="542"/>
      <c r="EB239" s="542"/>
      <c r="EC239" s="542"/>
      <c r="ED239" s="542"/>
      <c r="EE239" s="542"/>
      <c r="EF239" s="542"/>
      <c r="EG239" s="542"/>
      <c r="EH239" s="542"/>
      <c r="EI239" s="542"/>
      <c r="EJ239" s="542"/>
      <c r="EK239" s="542"/>
      <c r="EL239" s="542"/>
      <c r="EM239" s="542"/>
      <c r="EN239" s="542"/>
      <c r="EO239" s="542"/>
      <c r="EP239" s="542"/>
      <c r="EQ239" s="542"/>
      <c r="ER239" s="542"/>
      <c r="ES239" s="542"/>
      <c r="ET239" s="542"/>
      <c r="EU239" s="542"/>
      <c r="EV239" s="542"/>
      <c r="EW239" s="542"/>
      <c r="EX239" s="542"/>
      <c r="EY239" s="542"/>
      <c r="EZ239" s="542"/>
      <c r="FA239" s="542"/>
      <c r="FB239" s="542"/>
      <c r="FC239" s="542"/>
      <c r="FD239" s="542"/>
      <c r="FE239" s="542"/>
      <c r="FF239" s="542"/>
      <c r="FG239" s="542"/>
      <c r="FH239" s="542"/>
      <c r="FI239" s="542"/>
      <c r="FJ239" s="542"/>
      <c r="FK239" s="542"/>
      <c r="FL239" s="542"/>
      <c r="FM239" s="542"/>
      <c r="FN239" s="542"/>
      <c r="FO239" s="542"/>
      <c r="FP239" s="542"/>
      <c r="FQ239" s="542"/>
      <c r="FR239" s="542"/>
      <c r="FS239" s="542"/>
      <c r="FT239" s="542"/>
      <c r="FU239" s="542"/>
      <c r="FV239" s="542"/>
      <c r="FW239" s="542"/>
      <c r="FX239" s="542"/>
      <c r="FY239" s="542"/>
      <c r="FZ239" s="542"/>
      <c r="GA239" s="542"/>
      <c r="GB239" s="542"/>
      <c r="GC239" s="542"/>
      <c r="GD239" s="542"/>
      <c r="GE239" s="542"/>
      <c r="GF239" s="542"/>
      <c r="GG239" s="542"/>
      <c r="GH239" s="542"/>
      <c r="GI239" s="542"/>
      <c r="GJ239" s="542"/>
      <c r="GK239" s="542"/>
      <c r="GL239" s="542"/>
      <c r="GM239" s="542"/>
      <c r="GN239" s="542"/>
      <c r="GO239" s="542"/>
      <c r="GP239" s="542"/>
      <c r="GQ239" s="542"/>
      <c r="GR239" s="542"/>
      <c r="GS239" s="542"/>
      <c r="GT239" s="542"/>
      <c r="GU239" s="542"/>
      <c r="GV239" s="542"/>
      <c r="GW239" s="542"/>
      <c r="GX239" s="542"/>
      <c r="GY239" s="542"/>
      <c r="GZ239" s="542"/>
      <c r="HA239" s="542"/>
      <c r="HB239" s="542"/>
      <c r="HC239" s="542"/>
      <c r="HD239" s="542"/>
      <c r="HE239" s="542"/>
      <c r="HF239" s="542"/>
      <c r="HG239" s="542"/>
      <c r="HH239" s="542"/>
      <c r="HI239" s="542"/>
      <c r="HJ239" s="542"/>
      <c r="HK239" s="542"/>
      <c r="HL239" s="542"/>
      <c r="HM239" s="542"/>
      <c r="HN239" s="542"/>
      <c r="HO239" s="542"/>
      <c r="HP239" s="542"/>
      <c r="HQ239" s="542"/>
      <c r="HR239" s="542"/>
      <c r="HS239" s="542"/>
      <c r="HT239" s="542"/>
      <c r="HU239" s="542"/>
      <c r="HV239" s="542"/>
      <c r="HW239" s="542"/>
      <c r="HX239" s="542"/>
      <c r="HY239" s="542"/>
      <c r="HZ239" s="542"/>
      <c r="IA239" s="542"/>
      <c r="IB239" s="542"/>
      <c r="IC239" s="542"/>
      <c r="ID239" s="542"/>
      <c r="IE239" s="542"/>
      <c r="IF239" s="542"/>
      <c r="IG239" s="542"/>
      <c r="IH239" s="542"/>
      <c r="II239" s="542"/>
      <c r="IJ239" s="542"/>
      <c r="IK239" s="542"/>
      <c r="IL239" s="542"/>
      <c r="IM239" s="542"/>
      <c r="IN239" s="542"/>
      <c r="IO239" s="542"/>
      <c r="IP239" s="542"/>
      <c r="IQ239" s="542"/>
      <c r="IR239" s="542"/>
      <c r="IS239" s="542"/>
      <c r="IT239" s="542"/>
      <c r="IU239" s="542"/>
      <c r="IV239" s="542"/>
      <c r="IW239" s="542"/>
      <c r="IX239" s="542"/>
      <c r="IY239" s="542"/>
      <c r="IZ239" s="542"/>
      <c r="JA239" s="542"/>
      <c r="JB239" s="542"/>
    </row>
    <row r="240" spans="104:262" ht="18.899999999999999" customHeight="1">
      <c r="CZ240" s="542"/>
      <c r="DA240" s="542"/>
      <c r="DB240" s="542"/>
      <c r="DC240" s="542"/>
      <c r="DD240" s="542"/>
      <c r="DE240" s="542"/>
      <c r="DF240" s="542"/>
      <c r="DG240" s="542"/>
      <c r="DH240" s="542"/>
      <c r="DI240" s="542"/>
      <c r="DJ240" s="542"/>
      <c r="DK240" s="542"/>
      <c r="DL240" s="542"/>
      <c r="DM240" s="542"/>
      <c r="DN240" s="542"/>
      <c r="DO240" s="542"/>
      <c r="DP240" s="542"/>
      <c r="DQ240" s="542"/>
      <c r="DR240" s="542"/>
      <c r="DS240" s="542"/>
      <c r="DT240" s="542"/>
      <c r="DU240" s="542"/>
      <c r="DV240" s="542"/>
      <c r="DW240" s="542"/>
      <c r="DX240" s="542"/>
      <c r="DY240" s="542"/>
      <c r="DZ240" s="542"/>
      <c r="EA240" s="542"/>
      <c r="EB240" s="542"/>
      <c r="EC240" s="542"/>
      <c r="ED240" s="542"/>
      <c r="EE240" s="542"/>
      <c r="EF240" s="542"/>
      <c r="EG240" s="542"/>
      <c r="EH240" s="542"/>
      <c r="EI240" s="542"/>
      <c r="EJ240" s="542"/>
      <c r="EK240" s="542"/>
      <c r="EL240" s="542"/>
      <c r="EM240" s="542"/>
      <c r="EN240" s="542"/>
      <c r="EO240" s="542"/>
      <c r="EP240" s="542"/>
      <c r="EQ240" s="542"/>
      <c r="ER240" s="542"/>
      <c r="ES240" s="542"/>
      <c r="ET240" s="542"/>
      <c r="EU240" s="542"/>
      <c r="EV240" s="542"/>
      <c r="EW240" s="542"/>
      <c r="EX240" s="542"/>
      <c r="EY240" s="542"/>
      <c r="EZ240" s="542"/>
      <c r="FA240" s="542"/>
      <c r="FB240" s="542"/>
      <c r="FC240" s="542"/>
      <c r="FD240" s="542"/>
      <c r="FE240" s="542"/>
      <c r="FF240" s="542"/>
      <c r="FG240" s="542"/>
      <c r="FH240" s="542"/>
      <c r="FI240" s="542"/>
      <c r="FJ240" s="542"/>
      <c r="FK240" s="542"/>
      <c r="FL240" s="542"/>
      <c r="FM240" s="542"/>
      <c r="FN240" s="542"/>
      <c r="FO240" s="542"/>
      <c r="FP240" s="542"/>
      <c r="FQ240" s="542"/>
      <c r="FR240" s="542"/>
      <c r="FS240" s="542"/>
      <c r="FT240" s="542"/>
      <c r="FU240" s="542"/>
      <c r="FV240" s="542"/>
      <c r="FW240" s="542"/>
      <c r="FX240" s="542"/>
      <c r="FY240" s="542"/>
      <c r="FZ240" s="542"/>
      <c r="GA240" s="542"/>
      <c r="GB240" s="542"/>
      <c r="GC240" s="542"/>
      <c r="GD240" s="542"/>
      <c r="GE240" s="542"/>
      <c r="GF240" s="542"/>
      <c r="GG240" s="542"/>
      <c r="GH240" s="542"/>
      <c r="GI240" s="542"/>
      <c r="GJ240" s="542"/>
      <c r="GK240" s="542"/>
      <c r="GL240" s="542"/>
      <c r="GM240" s="542"/>
      <c r="GN240" s="542"/>
      <c r="GO240" s="542"/>
      <c r="GP240" s="542"/>
      <c r="GQ240" s="542"/>
      <c r="GR240" s="542"/>
      <c r="GS240" s="542"/>
      <c r="GT240" s="542"/>
      <c r="GU240" s="542"/>
      <c r="GV240" s="542"/>
      <c r="GW240" s="542"/>
      <c r="GX240" s="542"/>
      <c r="GY240" s="542"/>
      <c r="GZ240" s="542"/>
      <c r="HA240" s="542"/>
      <c r="HB240" s="542"/>
      <c r="HC240" s="542"/>
      <c r="HD240" s="542"/>
      <c r="HE240" s="542"/>
      <c r="HF240" s="542"/>
      <c r="HG240" s="542"/>
      <c r="HH240" s="542"/>
      <c r="HI240" s="542"/>
      <c r="HJ240" s="542"/>
      <c r="HK240" s="542"/>
      <c r="HL240" s="542"/>
      <c r="HM240" s="542"/>
      <c r="HN240" s="542"/>
      <c r="HO240" s="542"/>
      <c r="HP240" s="542"/>
      <c r="HQ240" s="542"/>
      <c r="HR240" s="542"/>
      <c r="HS240" s="542"/>
      <c r="HT240" s="542"/>
      <c r="HU240" s="542"/>
      <c r="HV240" s="542"/>
      <c r="HW240" s="542"/>
      <c r="HX240" s="542"/>
      <c r="HY240" s="542"/>
      <c r="HZ240" s="542"/>
      <c r="IA240" s="542"/>
      <c r="IB240" s="542"/>
      <c r="IC240" s="542"/>
      <c r="ID240" s="542"/>
      <c r="IE240" s="542"/>
      <c r="IF240" s="542"/>
      <c r="IG240" s="542"/>
      <c r="IH240" s="542"/>
      <c r="II240" s="542"/>
      <c r="IJ240" s="542"/>
      <c r="IK240" s="542"/>
      <c r="IL240" s="542"/>
      <c r="IM240" s="542"/>
      <c r="IN240" s="542"/>
      <c r="IO240" s="542"/>
      <c r="IP240" s="542"/>
      <c r="IQ240" s="542"/>
      <c r="IR240" s="542"/>
      <c r="IS240" s="542"/>
      <c r="IT240" s="542"/>
      <c r="IU240" s="542"/>
      <c r="IV240" s="542"/>
      <c r="IW240" s="542"/>
      <c r="IX240" s="542"/>
      <c r="IY240" s="542"/>
      <c r="IZ240" s="542"/>
      <c r="JA240" s="542"/>
      <c r="JB240" s="542"/>
    </row>
    <row r="241" spans="104:262" ht="18.899999999999999" customHeight="1">
      <c r="CZ241" s="542"/>
      <c r="DA241" s="542"/>
      <c r="DB241" s="542"/>
      <c r="DC241" s="542"/>
      <c r="DD241" s="542"/>
      <c r="DE241" s="542"/>
      <c r="DF241" s="542"/>
      <c r="DG241" s="542"/>
      <c r="DH241" s="542"/>
      <c r="DI241" s="542"/>
      <c r="DJ241" s="542"/>
      <c r="DK241" s="542"/>
      <c r="DL241" s="542"/>
      <c r="DM241" s="542"/>
      <c r="DN241" s="542"/>
      <c r="DO241" s="542"/>
      <c r="DP241" s="542"/>
      <c r="DQ241" s="542"/>
      <c r="DR241" s="542"/>
      <c r="DS241" s="542"/>
      <c r="DT241" s="542"/>
      <c r="DU241" s="542"/>
      <c r="DV241" s="542"/>
      <c r="DW241" s="542"/>
      <c r="DX241" s="542"/>
      <c r="DY241" s="542"/>
      <c r="DZ241" s="542"/>
      <c r="EA241" s="542"/>
      <c r="EB241" s="542"/>
      <c r="EC241" s="542"/>
      <c r="ED241" s="542"/>
      <c r="EE241" s="542"/>
      <c r="EF241" s="542"/>
      <c r="EG241" s="542"/>
      <c r="EH241" s="542"/>
      <c r="EI241" s="542"/>
      <c r="EJ241" s="542"/>
      <c r="EK241" s="542"/>
      <c r="EL241" s="542"/>
      <c r="EM241" s="542"/>
      <c r="EN241" s="542"/>
      <c r="EO241" s="542"/>
      <c r="EP241" s="542"/>
      <c r="EQ241" s="542"/>
      <c r="ER241" s="542"/>
      <c r="ES241" s="542"/>
      <c r="ET241" s="542"/>
      <c r="EU241" s="542"/>
      <c r="EV241" s="542"/>
      <c r="EW241" s="542"/>
      <c r="EX241" s="542"/>
      <c r="EY241" s="542"/>
      <c r="EZ241" s="542"/>
      <c r="FA241" s="542"/>
      <c r="FB241" s="542"/>
      <c r="FC241" s="542"/>
      <c r="FD241" s="542"/>
      <c r="FE241" s="542"/>
      <c r="FF241" s="542"/>
      <c r="FG241" s="542"/>
      <c r="FH241" s="542"/>
      <c r="FI241" s="542"/>
      <c r="FJ241" s="542"/>
      <c r="FK241" s="542"/>
      <c r="FL241" s="542"/>
      <c r="FM241" s="542"/>
      <c r="FN241" s="542"/>
      <c r="FO241" s="542"/>
      <c r="FP241" s="542"/>
      <c r="FQ241" s="542"/>
      <c r="FR241" s="542"/>
      <c r="FS241" s="542"/>
      <c r="FT241" s="542"/>
      <c r="FU241" s="542"/>
      <c r="FV241" s="542"/>
      <c r="FW241" s="542"/>
      <c r="FX241" s="542"/>
      <c r="FY241" s="542"/>
      <c r="FZ241" s="542"/>
      <c r="GA241" s="542"/>
      <c r="GB241" s="542"/>
      <c r="GC241" s="542"/>
      <c r="GD241" s="542"/>
      <c r="GE241" s="542"/>
      <c r="GF241" s="542"/>
      <c r="GG241" s="542"/>
      <c r="GH241" s="542"/>
      <c r="GI241" s="542"/>
      <c r="GJ241" s="542"/>
      <c r="GK241" s="542"/>
      <c r="GL241" s="542"/>
      <c r="GM241" s="542"/>
      <c r="GN241" s="542"/>
      <c r="GO241" s="542"/>
      <c r="GP241" s="542"/>
      <c r="GQ241" s="542"/>
      <c r="GR241" s="542"/>
      <c r="GS241" s="542"/>
      <c r="GT241" s="542"/>
      <c r="GU241" s="542"/>
      <c r="GV241" s="542"/>
      <c r="GW241" s="542"/>
      <c r="GX241" s="542"/>
      <c r="GY241" s="542"/>
      <c r="GZ241" s="542"/>
      <c r="HA241" s="542"/>
      <c r="HB241" s="542"/>
      <c r="HC241" s="542"/>
      <c r="HD241" s="542"/>
      <c r="HE241" s="542"/>
      <c r="HF241" s="542"/>
      <c r="HG241" s="542"/>
      <c r="HH241" s="542"/>
      <c r="HI241" s="542"/>
      <c r="HJ241" s="542"/>
      <c r="HK241" s="542"/>
      <c r="HL241" s="542"/>
      <c r="HM241" s="542"/>
      <c r="HN241" s="542"/>
      <c r="HO241" s="542"/>
      <c r="HP241" s="542"/>
      <c r="HQ241" s="542"/>
      <c r="HR241" s="542"/>
      <c r="HS241" s="542"/>
      <c r="HT241" s="542"/>
      <c r="HU241" s="542"/>
      <c r="HV241" s="542"/>
      <c r="HW241" s="542"/>
      <c r="HX241" s="542"/>
      <c r="HY241" s="542"/>
      <c r="HZ241" s="542"/>
      <c r="IA241" s="542"/>
      <c r="IB241" s="542"/>
      <c r="IC241" s="542"/>
      <c r="ID241" s="542"/>
      <c r="IE241" s="542"/>
      <c r="IF241" s="542"/>
      <c r="IG241" s="542"/>
      <c r="IH241" s="542"/>
      <c r="II241" s="542"/>
      <c r="IJ241" s="542"/>
      <c r="IK241" s="542"/>
      <c r="IL241" s="542"/>
      <c r="IM241" s="542"/>
      <c r="IN241" s="542"/>
      <c r="IO241" s="542"/>
      <c r="IP241" s="542"/>
      <c r="IQ241" s="542"/>
      <c r="IR241" s="542"/>
      <c r="IS241" s="542"/>
      <c r="IT241" s="542"/>
      <c r="IU241" s="542"/>
      <c r="IV241" s="542"/>
      <c r="IW241" s="542"/>
      <c r="IX241" s="542"/>
      <c r="IY241" s="542"/>
      <c r="IZ241" s="542"/>
      <c r="JA241" s="542"/>
      <c r="JB241" s="542"/>
    </row>
    <row r="242" spans="104:262" ht="18.899999999999999" customHeight="1">
      <c r="CZ242" s="542"/>
      <c r="DA242" s="542"/>
      <c r="DB242" s="542"/>
      <c r="DC242" s="542"/>
      <c r="DD242" s="542"/>
      <c r="DE242" s="542"/>
      <c r="DF242" s="542"/>
      <c r="DG242" s="542"/>
      <c r="DH242" s="542"/>
      <c r="DI242" s="542"/>
      <c r="DJ242" s="542"/>
      <c r="DK242" s="542"/>
      <c r="DL242" s="542"/>
      <c r="DM242" s="542"/>
      <c r="DN242" s="542"/>
      <c r="DO242" s="542"/>
      <c r="DP242" s="542"/>
      <c r="DQ242" s="542"/>
      <c r="DR242" s="542"/>
      <c r="DS242" s="542"/>
      <c r="DT242" s="542"/>
      <c r="DU242" s="542"/>
      <c r="DV242" s="542"/>
      <c r="DW242" s="542"/>
      <c r="DX242" s="542"/>
      <c r="DY242" s="542"/>
      <c r="DZ242" s="542"/>
      <c r="EA242" s="542"/>
      <c r="EB242" s="542"/>
      <c r="EC242" s="542"/>
      <c r="ED242" s="542"/>
      <c r="EE242" s="542"/>
      <c r="EF242" s="542"/>
      <c r="EG242" s="542"/>
      <c r="EH242" s="542"/>
      <c r="EI242" s="542"/>
      <c r="EJ242" s="542"/>
      <c r="EK242" s="542"/>
      <c r="EL242" s="542"/>
      <c r="EM242" s="542"/>
      <c r="EN242" s="542"/>
      <c r="EO242" s="542"/>
      <c r="EP242" s="542"/>
      <c r="EQ242" s="542"/>
      <c r="ER242" s="542"/>
      <c r="ES242" s="542"/>
      <c r="ET242" s="542"/>
      <c r="EU242" s="542"/>
      <c r="EV242" s="542"/>
      <c r="EW242" s="542"/>
      <c r="EX242" s="542"/>
      <c r="EY242" s="542"/>
      <c r="EZ242" s="542"/>
      <c r="FA242" s="542"/>
      <c r="FB242" s="542"/>
      <c r="FC242" s="542"/>
      <c r="FD242" s="542"/>
      <c r="FE242" s="542"/>
      <c r="FF242" s="542"/>
      <c r="FG242" s="542"/>
      <c r="FH242" s="542"/>
      <c r="FI242" s="542"/>
      <c r="FJ242" s="542"/>
      <c r="FK242" s="542"/>
      <c r="FL242" s="542"/>
      <c r="FM242" s="542"/>
      <c r="FN242" s="542"/>
      <c r="FO242" s="542"/>
      <c r="FP242" s="542"/>
      <c r="FQ242" s="542"/>
      <c r="FR242" s="542"/>
      <c r="FS242" s="542"/>
      <c r="FT242" s="542"/>
      <c r="FU242" s="542"/>
      <c r="FV242" s="542"/>
      <c r="FW242" s="542"/>
      <c r="FX242" s="542"/>
      <c r="FY242" s="542"/>
      <c r="FZ242" s="542"/>
      <c r="GA242" s="542"/>
      <c r="GB242" s="542"/>
      <c r="GC242" s="542"/>
      <c r="GD242" s="542"/>
      <c r="GE242" s="542"/>
      <c r="GF242" s="542"/>
      <c r="GG242" s="542"/>
      <c r="GH242" s="542"/>
      <c r="GI242" s="542"/>
      <c r="GJ242" s="542"/>
      <c r="GK242" s="542"/>
      <c r="GL242" s="542"/>
      <c r="GM242" s="542"/>
      <c r="GN242" s="542"/>
      <c r="GO242" s="542"/>
      <c r="GP242" s="542"/>
      <c r="GQ242" s="542"/>
      <c r="GR242" s="542"/>
      <c r="GS242" s="542"/>
      <c r="GT242" s="542"/>
      <c r="GU242" s="542"/>
      <c r="GV242" s="542"/>
      <c r="GW242" s="542"/>
      <c r="GX242" s="542"/>
      <c r="GY242" s="542"/>
      <c r="GZ242" s="542"/>
      <c r="HA242" s="542"/>
      <c r="HB242" s="542"/>
      <c r="HC242" s="542"/>
      <c r="HD242" s="542"/>
      <c r="HE242" s="542"/>
      <c r="HF242" s="542"/>
      <c r="HG242" s="542"/>
      <c r="HH242" s="542"/>
      <c r="HI242" s="542"/>
      <c r="HJ242" s="542"/>
      <c r="HK242" s="542"/>
      <c r="HL242" s="542"/>
      <c r="HM242" s="542"/>
      <c r="HN242" s="542"/>
      <c r="HO242" s="542"/>
      <c r="HP242" s="542"/>
      <c r="HQ242" s="542"/>
      <c r="HR242" s="542"/>
      <c r="HS242" s="542"/>
      <c r="HT242" s="542"/>
      <c r="HU242" s="542"/>
      <c r="HV242" s="542"/>
      <c r="HW242" s="542"/>
      <c r="HX242" s="542"/>
      <c r="HY242" s="542"/>
      <c r="HZ242" s="542"/>
      <c r="IA242" s="542"/>
      <c r="IB242" s="542"/>
      <c r="IC242" s="542"/>
      <c r="ID242" s="542"/>
      <c r="IE242" s="542"/>
      <c r="IF242" s="542"/>
      <c r="IG242" s="542"/>
      <c r="IH242" s="542"/>
      <c r="II242" s="542"/>
      <c r="IJ242" s="542"/>
      <c r="IK242" s="542"/>
      <c r="IL242" s="542"/>
      <c r="IM242" s="542"/>
      <c r="IN242" s="542"/>
      <c r="IO242" s="542"/>
      <c r="IP242" s="542"/>
      <c r="IQ242" s="542"/>
      <c r="IR242" s="542"/>
      <c r="IS242" s="542"/>
      <c r="IT242" s="542"/>
      <c r="IU242" s="542"/>
      <c r="IV242" s="542"/>
      <c r="IW242" s="542"/>
      <c r="IX242" s="542"/>
      <c r="IY242" s="542"/>
      <c r="IZ242" s="542"/>
      <c r="JA242" s="542"/>
      <c r="JB242" s="542"/>
    </row>
    <row r="243" spans="104:262" ht="18.899999999999999" customHeight="1">
      <c r="CZ243" s="542"/>
      <c r="DA243" s="542"/>
      <c r="DB243" s="542"/>
      <c r="DC243" s="542"/>
      <c r="DD243" s="542"/>
      <c r="DE243" s="542"/>
      <c r="DF243" s="542"/>
      <c r="DG243" s="542"/>
      <c r="DH243" s="542"/>
      <c r="DI243" s="542"/>
      <c r="DJ243" s="542"/>
      <c r="DK243" s="542"/>
      <c r="DL243" s="542"/>
      <c r="DM243" s="542"/>
      <c r="DN243" s="542"/>
      <c r="DO243" s="542"/>
      <c r="DP243" s="542"/>
      <c r="DQ243" s="542"/>
      <c r="DR243" s="542"/>
      <c r="DS243" s="542"/>
      <c r="DT243" s="542"/>
      <c r="DU243" s="542"/>
      <c r="DV243" s="542"/>
      <c r="DW243" s="542"/>
      <c r="DX243" s="542"/>
      <c r="DY243" s="542"/>
      <c r="DZ243" s="542"/>
      <c r="EA243" s="542"/>
      <c r="EB243" s="542"/>
      <c r="EC243" s="542"/>
      <c r="ED243" s="542"/>
      <c r="EE243" s="542"/>
      <c r="EF243" s="542"/>
      <c r="EG243" s="542"/>
      <c r="EH243" s="542"/>
      <c r="EI243" s="542"/>
      <c r="EJ243" s="542"/>
      <c r="EK243" s="542"/>
      <c r="EL243" s="542"/>
      <c r="EM243" s="542"/>
      <c r="EN243" s="542"/>
      <c r="EO243" s="542"/>
      <c r="EP243" s="542"/>
      <c r="EQ243" s="542"/>
      <c r="ER243" s="542"/>
      <c r="ES243" s="542"/>
      <c r="ET243" s="542"/>
      <c r="EU243" s="542"/>
      <c r="EV243" s="542"/>
      <c r="EW243" s="542"/>
      <c r="EX243" s="542"/>
      <c r="EY243" s="542"/>
      <c r="EZ243" s="542"/>
      <c r="FA243" s="542"/>
      <c r="FB243" s="542"/>
      <c r="FC243" s="542"/>
      <c r="FD243" s="542"/>
      <c r="FE243" s="542"/>
      <c r="FF243" s="542"/>
      <c r="FG243" s="542"/>
      <c r="FH243" s="542"/>
      <c r="FI243" s="542"/>
      <c r="FJ243" s="542"/>
      <c r="FK243" s="542"/>
      <c r="FL243" s="542"/>
      <c r="FM243" s="542"/>
      <c r="FN243" s="542"/>
      <c r="FO243" s="542"/>
      <c r="FP243" s="542"/>
      <c r="FQ243" s="542"/>
      <c r="FR243" s="542"/>
      <c r="FS243" s="542"/>
      <c r="FT243" s="542"/>
      <c r="FU243" s="542"/>
      <c r="FV243" s="542"/>
      <c r="FW243" s="542"/>
      <c r="FX243" s="542"/>
      <c r="FY243" s="542"/>
      <c r="FZ243" s="542"/>
      <c r="GA243" s="542"/>
      <c r="GB243" s="542"/>
      <c r="GC243" s="542"/>
      <c r="GD243" s="542"/>
      <c r="GE243" s="542"/>
      <c r="GF243" s="542"/>
      <c r="GG243" s="542"/>
      <c r="GH243" s="542"/>
      <c r="GI243" s="542"/>
      <c r="GJ243" s="542"/>
      <c r="GK243" s="542"/>
      <c r="GL243" s="542"/>
      <c r="GM243" s="542"/>
      <c r="GN243" s="542"/>
      <c r="GO243" s="542"/>
      <c r="GP243" s="542"/>
      <c r="GQ243" s="542"/>
      <c r="GR243" s="542"/>
      <c r="GS243" s="542"/>
      <c r="GT243" s="542"/>
      <c r="GU243" s="542"/>
      <c r="GV243" s="542"/>
      <c r="GW243" s="542"/>
      <c r="GX243" s="542"/>
      <c r="GY243" s="542"/>
      <c r="GZ243" s="542"/>
      <c r="HA243" s="542"/>
      <c r="HB243" s="542"/>
      <c r="HC243" s="542"/>
      <c r="HD243" s="542"/>
      <c r="HE243" s="542"/>
      <c r="HF243" s="542"/>
      <c r="HG243" s="542"/>
      <c r="HH243" s="542"/>
      <c r="HI243" s="542"/>
      <c r="HJ243" s="542"/>
      <c r="HK243" s="542"/>
      <c r="HL243" s="542"/>
      <c r="HM243" s="542"/>
      <c r="HN243" s="542"/>
      <c r="HO243" s="542"/>
      <c r="HP243" s="542"/>
      <c r="HQ243" s="542"/>
      <c r="HR243" s="542"/>
      <c r="HS243" s="542"/>
      <c r="HT243" s="542"/>
      <c r="HU243" s="542"/>
      <c r="HV243" s="542"/>
      <c r="HW243" s="542"/>
      <c r="HX243" s="542"/>
      <c r="HY243" s="542"/>
      <c r="HZ243" s="542"/>
      <c r="IA243" s="542"/>
      <c r="IB243" s="542"/>
      <c r="IC243" s="542"/>
      <c r="ID243" s="542"/>
      <c r="IE243" s="542"/>
      <c r="IF243" s="542"/>
      <c r="IG243" s="542"/>
      <c r="IH243" s="542"/>
      <c r="II243" s="542"/>
      <c r="IJ243" s="542"/>
      <c r="IK243" s="542"/>
      <c r="IL243" s="542"/>
      <c r="IM243" s="542"/>
      <c r="IN243" s="542"/>
      <c r="IO243" s="542"/>
      <c r="IP243" s="542"/>
      <c r="IQ243" s="542"/>
      <c r="IR243" s="542"/>
      <c r="IS243" s="542"/>
      <c r="IT243" s="542"/>
      <c r="IU243" s="542"/>
      <c r="IV243" s="542"/>
      <c r="IW243" s="542"/>
      <c r="IX243" s="542"/>
      <c r="IY243" s="542"/>
      <c r="IZ243" s="542"/>
      <c r="JA243" s="542"/>
      <c r="JB243" s="542"/>
    </row>
    <row r="244" spans="104:262" ht="18.899999999999999" customHeight="1">
      <c r="CZ244" s="542"/>
      <c r="DA244" s="542"/>
      <c r="DB244" s="542"/>
      <c r="DC244" s="542"/>
      <c r="DD244" s="542"/>
      <c r="DE244" s="542"/>
      <c r="DF244" s="542"/>
      <c r="DG244" s="542"/>
      <c r="DH244" s="542"/>
      <c r="DI244" s="542"/>
      <c r="DJ244" s="542"/>
      <c r="DK244" s="542"/>
      <c r="DL244" s="542"/>
      <c r="DM244" s="542"/>
      <c r="DN244" s="542"/>
      <c r="DO244" s="542"/>
      <c r="DP244" s="542"/>
      <c r="DQ244" s="542"/>
      <c r="DR244" s="542"/>
      <c r="DS244" s="542"/>
      <c r="DT244" s="542"/>
      <c r="DU244" s="542"/>
      <c r="DV244" s="542"/>
      <c r="DW244" s="542"/>
      <c r="DX244" s="542"/>
      <c r="DY244" s="542"/>
      <c r="DZ244" s="542"/>
      <c r="EA244" s="542"/>
      <c r="EB244" s="542"/>
      <c r="EC244" s="542"/>
      <c r="ED244" s="542"/>
      <c r="EE244" s="542"/>
      <c r="EF244" s="542"/>
      <c r="EG244" s="542"/>
      <c r="EH244" s="542"/>
      <c r="EI244" s="542"/>
      <c r="EJ244" s="542"/>
      <c r="EK244" s="542"/>
      <c r="EL244" s="542"/>
      <c r="EM244" s="542"/>
      <c r="EN244" s="542"/>
      <c r="EO244" s="542"/>
      <c r="EP244" s="542"/>
      <c r="EQ244" s="542"/>
      <c r="ER244" s="542"/>
      <c r="ES244" s="542"/>
      <c r="ET244" s="542"/>
      <c r="EU244" s="542"/>
      <c r="EV244" s="542"/>
      <c r="EW244" s="542"/>
      <c r="EX244" s="542"/>
      <c r="EY244" s="542"/>
      <c r="EZ244" s="542"/>
      <c r="FA244" s="542"/>
      <c r="FB244" s="542"/>
      <c r="FC244" s="542"/>
      <c r="FD244" s="542"/>
      <c r="FE244" s="542"/>
      <c r="FF244" s="542"/>
      <c r="FG244" s="542"/>
      <c r="FH244" s="542"/>
      <c r="FI244" s="542"/>
      <c r="FJ244" s="542"/>
      <c r="FK244" s="542"/>
      <c r="FL244" s="542"/>
      <c r="FM244" s="542"/>
      <c r="FN244" s="542"/>
      <c r="FO244" s="542"/>
      <c r="FP244" s="542"/>
      <c r="FQ244" s="542"/>
      <c r="FR244" s="542"/>
      <c r="FS244" s="542"/>
      <c r="FT244" s="542"/>
      <c r="FU244" s="542"/>
      <c r="FV244" s="542"/>
      <c r="FW244" s="542"/>
      <c r="FX244" s="542"/>
      <c r="FY244" s="542"/>
      <c r="FZ244" s="542"/>
      <c r="GA244" s="542"/>
      <c r="GB244" s="542"/>
      <c r="GC244" s="542"/>
      <c r="GD244" s="542"/>
      <c r="GE244" s="542"/>
      <c r="GF244" s="542"/>
      <c r="GG244" s="542"/>
      <c r="GH244" s="542"/>
      <c r="GI244" s="542"/>
      <c r="GJ244" s="542"/>
      <c r="GK244" s="542"/>
      <c r="GL244" s="542"/>
      <c r="GM244" s="542"/>
      <c r="GN244" s="542"/>
      <c r="GO244" s="542"/>
      <c r="GP244" s="542"/>
      <c r="GQ244" s="542"/>
      <c r="GR244" s="542"/>
      <c r="GS244" s="542"/>
      <c r="GT244" s="542"/>
      <c r="GU244" s="542"/>
      <c r="GV244" s="542"/>
      <c r="GW244" s="542"/>
      <c r="GX244" s="542"/>
      <c r="GY244" s="542"/>
      <c r="GZ244" s="542"/>
      <c r="HA244" s="542"/>
      <c r="HB244" s="542"/>
      <c r="HC244" s="542"/>
      <c r="HD244" s="542"/>
      <c r="HE244" s="542"/>
      <c r="HF244" s="542"/>
      <c r="HG244" s="542"/>
      <c r="HH244" s="542"/>
      <c r="HI244" s="542"/>
      <c r="HJ244" s="542"/>
      <c r="HK244" s="542"/>
      <c r="HL244" s="542"/>
      <c r="HM244" s="542"/>
      <c r="HN244" s="542"/>
      <c r="HO244" s="542"/>
      <c r="HP244" s="542"/>
      <c r="HQ244" s="542"/>
      <c r="HR244" s="542"/>
      <c r="HS244" s="542"/>
      <c r="HT244" s="542"/>
      <c r="HU244" s="542"/>
      <c r="HV244" s="542"/>
      <c r="HW244" s="542"/>
      <c r="HX244" s="542"/>
      <c r="HY244" s="542"/>
      <c r="HZ244" s="542"/>
      <c r="IA244" s="542"/>
      <c r="IB244" s="542"/>
      <c r="IC244" s="542"/>
      <c r="ID244" s="542"/>
      <c r="IE244" s="542"/>
      <c r="IF244" s="542"/>
      <c r="IG244" s="542"/>
      <c r="IH244" s="542"/>
      <c r="II244" s="542"/>
      <c r="IJ244" s="542"/>
      <c r="IK244" s="542"/>
      <c r="IL244" s="542"/>
      <c r="IM244" s="542"/>
      <c r="IN244" s="542"/>
      <c r="IO244" s="542"/>
      <c r="IP244" s="542"/>
      <c r="IQ244" s="542"/>
      <c r="IR244" s="542"/>
      <c r="IS244" s="542"/>
      <c r="IT244" s="542"/>
      <c r="IU244" s="542"/>
      <c r="IV244" s="542"/>
      <c r="IW244" s="542"/>
      <c r="IX244" s="542"/>
      <c r="IY244" s="542"/>
      <c r="IZ244" s="542"/>
      <c r="JA244" s="542"/>
      <c r="JB244" s="542"/>
    </row>
    <row r="245" spans="104:262" ht="18.899999999999999" customHeight="1">
      <c r="CZ245" s="542"/>
      <c r="DA245" s="542"/>
      <c r="DB245" s="542"/>
      <c r="DC245" s="542"/>
      <c r="DD245" s="542"/>
      <c r="DE245" s="542"/>
      <c r="DF245" s="542"/>
      <c r="DG245" s="542"/>
      <c r="DH245" s="542"/>
      <c r="DI245" s="542"/>
      <c r="DJ245" s="542"/>
      <c r="DK245" s="542"/>
      <c r="DL245" s="542"/>
      <c r="DM245" s="542"/>
      <c r="DN245" s="542"/>
      <c r="DO245" s="542"/>
      <c r="DP245" s="542"/>
      <c r="DQ245" s="542"/>
      <c r="DR245" s="542"/>
      <c r="DS245" s="542"/>
      <c r="DT245" s="542"/>
      <c r="DU245" s="542"/>
      <c r="DV245" s="542"/>
      <c r="DW245" s="542"/>
      <c r="DX245" s="542"/>
      <c r="DY245" s="542"/>
      <c r="DZ245" s="542"/>
      <c r="EA245" s="542"/>
      <c r="EB245" s="542"/>
      <c r="EC245" s="542"/>
      <c r="ED245" s="542"/>
      <c r="EE245" s="542"/>
      <c r="EF245" s="542"/>
      <c r="EG245" s="542"/>
      <c r="EH245" s="542"/>
      <c r="EI245" s="542"/>
      <c r="EJ245" s="542"/>
      <c r="EK245" s="542"/>
      <c r="EL245" s="542"/>
      <c r="EM245" s="542"/>
      <c r="EN245" s="542"/>
      <c r="EO245" s="542"/>
      <c r="EP245" s="542"/>
      <c r="EQ245" s="542"/>
      <c r="ER245" s="542"/>
      <c r="ES245" s="542"/>
      <c r="ET245" s="542"/>
      <c r="EU245" s="542"/>
      <c r="EV245" s="542"/>
      <c r="EW245" s="542"/>
      <c r="EX245" s="542"/>
      <c r="EY245" s="542"/>
      <c r="EZ245" s="542"/>
      <c r="FA245" s="542"/>
      <c r="FB245" s="542"/>
      <c r="FC245" s="542"/>
      <c r="FD245" s="542"/>
      <c r="FE245" s="542"/>
      <c r="FF245" s="542"/>
      <c r="FG245" s="542"/>
      <c r="FH245" s="542"/>
      <c r="FI245" s="542"/>
      <c r="FJ245" s="542"/>
      <c r="FK245" s="542"/>
      <c r="FL245" s="542"/>
      <c r="FM245" s="542"/>
      <c r="FN245" s="542"/>
      <c r="FO245" s="542"/>
      <c r="FP245" s="542"/>
      <c r="FQ245" s="542"/>
      <c r="FR245" s="542"/>
      <c r="FS245" s="542"/>
      <c r="FT245" s="542"/>
      <c r="FU245" s="542"/>
      <c r="FV245" s="542"/>
      <c r="FW245" s="542"/>
      <c r="FX245" s="542"/>
      <c r="FY245" s="542"/>
      <c r="FZ245" s="542"/>
      <c r="GA245" s="542"/>
      <c r="GB245" s="542"/>
      <c r="GC245" s="542"/>
      <c r="GD245" s="542"/>
      <c r="GE245" s="542"/>
      <c r="GF245" s="542"/>
      <c r="GG245" s="542"/>
      <c r="GH245" s="542"/>
      <c r="GI245" s="542"/>
      <c r="GJ245" s="542"/>
      <c r="GK245" s="542"/>
      <c r="GL245" s="542"/>
      <c r="GM245" s="542"/>
      <c r="GN245" s="542"/>
      <c r="GO245" s="542"/>
      <c r="GP245" s="542"/>
      <c r="GQ245" s="542"/>
      <c r="GR245" s="542"/>
      <c r="GS245" s="542"/>
      <c r="GT245" s="542"/>
      <c r="GU245" s="542"/>
      <c r="GV245" s="542"/>
      <c r="GW245" s="542"/>
      <c r="GX245" s="542"/>
      <c r="GY245" s="542"/>
      <c r="GZ245" s="542"/>
      <c r="HA245" s="542"/>
      <c r="HB245" s="542"/>
      <c r="HC245" s="542"/>
      <c r="HD245" s="542"/>
      <c r="HE245" s="542"/>
      <c r="HF245" s="542"/>
      <c r="HG245" s="542"/>
      <c r="HH245" s="542"/>
      <c r="HI245" s="542"/>
      <c r="HJ245" s="542"/>
      <c r="HK245" s="542"/>
      <c r="HL245" s="542"/>
      <c r="HM245" s="542"/>
      <c r="HN245" s="542"/>
      <c r="HO245" s="542"/>
      <c r="HP245" s="542"/>
      <c r="HQ245" s="542"/>
      <c r="HR245" s="542"/>
      <c r="HS245" s="542"/>
      <c r="HT245" s="542"/>
      <c r="HU245" s="542"/>
      <c r="HV245" s="542"/>
      <c r="HW245" s="542"/>
      <c r="HX245" s="542"/>
      <c r="HY245" s="542"/>
      <c r="HZ245" s="542"/>
      <c r="IA245" s="542"/>
      <c r="IB245" s="542"/>
      <c r="IC245" s="542"/>
      <c r="ID245" s="542"/>
      <c r="IE245" s="542"/>
      <c r="IF245" s="542"/>
      <c r="IG245" s="542"/>
      <c r="IH245" s="542"/>
      <c r="II245" s="542"/>
      <c r="IJ245" s="542"/>
      <c r="IK245" s="542"/>
      <c r="IL245" s="542"/>
      <c r="IM245" s="542"/>
      <c r="IN245" s="542"/>
      <c r="IO245" s="542"/>
      <c r="IP245" s="542"/>
      <c r="IQ245" s="542"/>
      <c r="IR245" s="542"/>
      <c r="IS245" s="542"/>
      <c r="IT245" s="542"/>
      <c r="IU245" s="542"/>
      <c r="IV245" s="542"/>
      <c r="IW245" s="542"/>
      <c r="IX245" s="542"/>
      <c r="IY245" s="542"/>
      <c r="IZ245" s="542"/>
      <c r="JA245" s="542"/>
      <c r="JB245" s="542"/>
    </row>
    <row r="246" spans="104:262" ht="18.899999999999999" customHeight="1">
      <c r="CZ246" s="542"/>
      <c r="DA246" s="542"/>
      <c r="DB246" s="542"/>
      <c r="DC246" s="542"/>
      <c r="DD246" s="542"/>
      <c r="DE246" s="542"/>
      <c r="DF246" s="542"/>
      <c r="DG246" s="542"/>
      <c r="DH246" s="542"/>
      <c r="DI246" s="542"/>
      <c r="DJ246" s="542"/>
      <c r="DK246" s="542"/>
      <c r="DL246" s="542"/>
      <c r="DM246" s="542"/>
      <c r="DN246" s="542"/>
      <c r="DO246" s="542"/>
      <c r="DP246" s="542"/>
      <c r="DQ246" s="542"/>
      <c r="DR246" s="542"/>
      <c r="DS246" s="542"/>
      <c r="DT246" s="542"/>
      <c r="DU246" s="542"/>
      <c r="DV246" s="542"/>
      <c r="DW246" s="542"/>
      <c r="DX246" s="542"/>
      <c r="DY246" s="542"/>
      <c r="DZ246" s="542"/>
      <c r="EA246" s="542"/>
      <c r="EB246" s="542"/>
      <c r="EC246" s="542"/>
      <c r="ED246" s="542"/>
      <c r="EE246" s="542"/>
      <c r="EF246" s="542"/>
      <c r="EG246" s="542"/>
      <c r="EH246" s="542"/>
      <c r="EI246" s="542"/>
      <c r="EJ246" s="542"/>
      <c r="EK246" s="542"/>
      <c r="EL246" s="542"/>
      <c r="EM246" s="542"/>
      <c r="EN246" s="542"/>
      <c r="EO246" s="542"/>
      <c r="EP246" s="542"/>
      <c r="EQ246" s="542"/>
      <c r="ER246" s="542"/>
      <c r="ES246" s="542"/>
      <c r="ET246" s="542"/>
      <c r="EU246" s="542"/>
      <c r="EV246" s="542"/>
      <c r="EW246" s="542"/>
      <c r="EX246" s="542"/>
      <c r="EY246" s="542"/>
      <c r="EZ246" s="542"/>
      <c r="FA246" s="542"/>
      <c r="FB246" s="542"/>
      <c r="FC246" s="542"/>
      <c r="FD246" s="542"/>
      <c r="FE246" s="542"/>
      <c r="FF246" s="542"/>
      <c r="FG246" s="542"/>
      <c r="FH246" s="542"/>
      <c r="FI246" s="542"/>
      <c r="FJ246" s="542"/>
      <c r="FK246" s="542"/>
      <c r="FL246" s="542"/>
      <c r="FM246" s="542"/>
      <c r="FN246" s="542"/>
      <c r="FO246" s="542"/>
      <c r="FP246" s="542"/>
      <c r="FQ246" s="542"/>
      <c r="FR246" s="542"/>
      <c r="FS246" s="542"/>
      <c r="FT246" s="542"/>
      <c r="FU246" s="542"/>
      <c r="FV246" s="542"/>
      <c r="FW246" s="542"/>
      <c r="FX246" s="542"/>
      <c r="FY246" s="542"/>
      <c r="FZ246" s="542"/>
      <c r="GA246" s="542"/>
      <c r="GB246" s="542"/>
      <c r="GC246" s="542"/>
      <c r="GD246" s="542"/>
      <c r="GE246" s="542"/>
      <c r="GF246" s="542"/>
      <c r="GG246" s="542"/>
      <c r="GH246" s="542"/>
      <c r="GI246" s="542"/>
      <c r="GJ246" s="542"/>
      <c r="GK246" s="542"/>
      <c r="GL246" s="542"/>
      <c r="GM246" s="542"/>
      <c r="GN246" s="542"/>
      <c r="GO246" s="542"/>
      <c r="GP246" s="542"/>
      <c r="GQ246" s="542"/>
      <c r="GR246" s="542"/>
      <c r="GS246" s="542"/>
      <c r="GT246" s="542"/>
      <c r="GU246" s="542"/>
      <c r="GV246" s="542"/>
      <c r="GW246" s="542"/>
      <c r="GX246" s="542"/>
      <c r="GY246" s="542"/>
      <c r="GZ246" s="542"/>
      <c r="HA246" s="542"/>
      <c r="HB246" s="542"/>
      <c r="HC246" s="542"/>
      <c r="HD246" s="542"/>
      <c r="HE246" s="542"/>
      <c r="HF246" s="542"/>
      <c r="HG246" s="542"/>
      <c r="HH246" s="542"/>
      <c r="HI246" s="542"/>
      <c r="HJ246" s="542"/>
      <c r="HK246" s="542"/>
      <c r="HL246" s="542"/>
      <c r="HM246" s="542"/>
      <c r="HN246" s="542"/>
      <c r="HO246" s="542"/>
      <c r="HP246" s="542"/>
      <c r="HQ246" s="542"/>
      <c r="HR246" s="542"/>
      <c r="HS246" s="542"/>
      <c r="HT246" s="542"/>
      <c r="HU246" s="542"/>
      <c r="HV246" s="542"/>
      <c r="HW246" s="542"/>
      <c r="HX246" s="542"/>
      <c r="HY246" s="542"/>
      <c r="HZ246" s="542"/>
      <c r="IA246" s="542"/>
      <c r="IB246" s="542"/>
      <c r="IC246" s="542"/>
      <c r="ID246" s="542"/>
      <c r="IE246" s="542"/>
      <c r="IF246" s="542"/>
      <c r="IG246" s="542"/>
      <c r="IH246" s="542"/>
      <c r="II246" s="542"/>
      <c r="IJ246" s="542"/>
      <c r="IK246" s="542"/>
      <c r="IL246" s="542"/>
      <c r="IM246" s="542"/>
      <c r="IN246" s="542"/>
      <c r="IO246" s="542"/>
      <c r="IP246" s="542"/>
      <c r="IQ246" s="542"/>
      <c r="IR246" s="542"/>
      <c r="IS246" s="542"/>
      <c r="IT246" s="542"/>
      <c r="IU246" s="542"/>
      <c r="IV246" s="542"/>
      <c r="IW246" s="542"/>
      <c r="IX246" s="542"/>
      <c r="IY246" s="542"/>
      <c r="IZ246" s="542"/>
      <c r="JA246" s="542"/>
      <c r="JB246" s="542"/>
    </row>
    <row r="247" spans="104:262" ht="18.899999999999999" customHeight="1">
      <c r="CZ247" s="542"/>
      <c r="DA247" s="542"/>
      <c r="DB247" s="542"/>
      <c r="DC247" s="542"/>
      <c r="DD247" s="542"/>
      <c r="DE247" s="542"/>
      <c r="DF247" s="542"/>
      <c r="DG247" s="542"/>
      <c r="DH247" s="542"/>
      <c r="DI247" s="542"/>
      <c r="DJ247" s="542"/>
      <c r="DK247" s="542"/>
      <c r="DL247" s="542"/>
      <c r="DM247" s="542"/>
      <c r="DN247" s="542"/>
      <c r="DO247" s="542"/>
      <c r="DP247" s="542"/>
      <c r="DQ247" s="542"/>
      <c r="DR247" s="542"/>
      <c r="DS247" s="542"/>
      <c r="DT247" s="542"/>
      <c r="DU247" s="542"/>
      <c r="DV247" s="542"/>
      <c r="DW247" s="542"/>
      <c r="DX247" s="542"/>
      <c r="DY247" s="542"/>
      <c r="DZ247" s="542"/>
      <c r="EA247" s="542"/>
      <c r="EB247" s="542"/>
      <c r="EC247" s="542"/>
      <c r="ED247" s="542"/>
      <c r="EE247" s="542"/>
      <c r="EF247" s="542"/>
      <c r="EG247" s="542"/>
      <c r="EH247" s="542"/>
      <c r="EI247" s="542"/>
      <c r="EJ247" s="542"/>
      <c r="EK247" s="542"/>
      <c r="EL247" s="542"/>
      <c r="EM247" s="542"/>
      <c r="EN247" s="542"/>
      <c r="EO247" s="542"/>
      <c r="EP247" s="542"/>
      <c r="EQ247" s="542"/>
      <c r="ER247" s="542"/>
      <c r="ES247" s="542"/>
      <c r="ET247" s="542"/>
      <c r="EU247" s="542"/>
      <c r="EV247" s="542"/>
      <c r="EW247" s="542"/>
      <c r="EX247" s="542"/>
      <c r="EY247" s="542"/>
      <c r="EZ247" s="542"/>
      <c r="FA247" s="542"/>
      <c r="FB247" s="542"/>
      <c r="FC247" s="542"/>
      <c r="FD247" s="542"/>
      <c r="FE247" s="542"/>
      <c r="FF247" s="542"/>
      <c r="FG247" s="542"/>
      <c r="FH247" s="542"/>
      <c r="FI247" s="542"/>
      <c r="FJ247" s="542"/>
      <c r="FK247" s="542"/>
      <c r="FL247" s="542"/>
      <c r="FM247" s="542"/>
      <c r="FN247" s="542"/>
      <c r="FO247" s="542"/>
      <c r="FP247" s="542"/>
      <c r="FQ247" s="542"/>
      <c r="FR247" s="542"/>
      <c r="FS247" s="542"/>
      <c r="FT247" s="542"/>
      <c r="FU247" s="542"/>
      <c r="FV247" s="542"/>
      <c r="FW247" s="542"/>
      <c r="FX247" s="542"/>
      <c r="FY247" s="542"/>
      <c r="FZ247" s="542"/>
      <c r="GA247" s="542"/>
      <c r="GB247" s="542"/>
      <c r="GC247" s="542"/>
      <c r="GD247" s="542"/>
      <c r="GE247" s="542"/>
      <c r="GF247" s="542"/>
      <c r="GG247" s="542"/>
      <c r="GH247" s="542"/>
      <c r="GI247" s="542"/>
      <c r="GJ247" s="542"/>
      <c r="GK247" s="542"/>
      <c r="GL247" s="542"/>
      <c r="GM247" s="542"/>
      <c r="GN247" s="542"/>
      <c r="GO247" s="542"/>
      <c r="GP247" s="542"/>
      <c r="GQ247" s="542"/>
      <c r="GR247" s="542"/>
      <c r="GS247" s="542"/>
      <c r="GT247" s="542"/>
      <c r="GU247" s="542"/>
      <c r="GV247" s="542"/>
      <c r="GW247" s="542"/>
      <c r="GX247" s="542"/>
      <c r="GY247" s="542"/>
      <c r="GZ247" s="542"/>
      <c r="HA247" s="542"/>
      <c r="HB247" s="542"/>
      <c r="HC247" s="542"/>
      <c r="HD247" s="542"/>
      <c r="HE247" s="542"/>
      <c r="HF247" s="542"/>
      <c r="HG247" s="542"/>
      <c r="HH247" s="542"/>
      <c r="HI247" s="542"/>
      <c r="HJ247" s="542"/>
      <c r="HK247" s="542"/>
      <c r="HL247" s="542"/>
      <c r="HM247" s="542"/>
      <c r="HN247" s="542"/>
      <c r="HO247" s="542"/>
      <c r="HP247" s="542"/>
      <c r="HQ247" s="542"/>
      <c r="HR247" s="542"/>
      <c r="HS247" s="542"/>
      <c r="HT247" s="542"/>
      <c r="HU247" s="542"/>
      <c r="HV247" s="542"/>
      <c r="HW247" s="542"/>
      <c r="HX247" s="542"/>
      <c r="HY247" s="542"/>
      <c r="HZ247" s="542"/>
      <c r="IA247" s="542"/>
      <c r="IB247" s="542"/>
      <c r="IC247" s="542"/>
      <c r="ID247" s="542"/>
      <c r="IE247" s="542"/>
      <c r="IF247" s="542"/>
      <c r="IG247" s="542"/>
      <c r="IH247" s="542"/>
      <c r="II247" s="542"/>
      <c r="IJ247" s="542"/>
      <c r="IK247" s="542"/>
      <c r="IL247" s="542"/>
      <c r="IM247" s="542"/>
      <c r="IN247" s="542"/>
      <c r="IO247" s="542"/>
      <c r="IP247" s="542"/>
      <c r="IQ247" s="542"/>
      <c r="IR247" s="542"/>
      <c r="IS247" s="542"/>
      <c r="IT247" s="542"/>
      <c r="IU247" s="542"/>
      <c r="IV247" s="542"/>
      <c r="IW247" s="542"/>
      <c r="IX247" s="542"/>
      <c r="IY247" s="542"/>
      <c r="IZ247" s="542"/>
      <c r="JA247" s="542"/>
      <c r="JB247" s="542"/>
    </row>
    <row r="248" spans="104:262" ht="18.899999999999999" customHeight="1">
      <c r="CZ248" s="542"/>
      <c r="DA248" s="542"/>
      <c r="DB248" s="542"/>
      <c r="DC248" s="542"/>
      <c r="DD248" s="542"/>
      <c r="DE248" s="542"/>
      <c r="DF248" s="542"/>
      <c r="DG248" s="542"/>
      <c r="DH248" s="542"/>
      <c r="DI248" s="542"/>
      <c r="DJ248" s="542"/>
      <c r="DK248" s="542"/>
      <c r="DL248" s="542"/>
      <c r="DM248" s="542"/>
      <c r="DN248" s="542"/>
      <c r="DO248" s="542"/>
      <c r="DP248" s="542"/>
      <c r="DQ248" s="542"/>
      <c r="DR248" s="542"/>
      <c r="DS248" s="542"/>
      <c r="DT248" s="542"/>
      <c r="DU248" s="542"/>
      <c r="DV248" s="542"/>
      <c r="DW248" s="542"/>
      <c r="DX248" s="542"/>
      <c r="DY248" s="542"/>
      <c r="DZ248" s="542"/>
      <c r="EA248" s="542"/>
      <c r="EB248" s="542"/>
      <c r="EC248" s="542"/>
      <c r="ED248" s="542"/>
      <c r="EE248" s="542"/>
      <c r="EF248" s="542"/>
      <c r="EG248" s="542"/>
      <c r="EH248" s="542"/>
      <c r="EI248" s="542"/>
      <c r="EJ248" s="542"/>
      <c r="EK248" s="542"/>
      <c r="EL248" s="542"/>
      <c r="EM248" s="542"/>
      <c r="EN248" s="542"/>
      <c r="EO248" s="542"/>
      <c r="EP248" s="542"/>
      <c r="EQ248" s="542"/>
      <c r="ER248" s="542"/>
      <c r="ES248" s="542"/>
      <c r="ET248" s="542"/>
      <c r="EU248" s="542"/>
      <c r="EV248" s="542"/>
      <c r="EW248" s="542"/>
      <c r="EX248" s="542"/>
      <c r="EY248" s="542"/>
      <c r="EZ248" s="542"/>
      <c r="FA248" s="542"/>
      <c r="FB248" s="542"/>
      <c r="FC248" s="542"/>
      <c r="FD248" s="542"/>
      <c r="FE248" s="542"/>
      <c r="FF248" s="542"/>
      <c r="FG248" s="542"/>
      <c r="FH248" s="542"/>
      <c r="FI248" s="542"/>
      <c r="FJ248" s="542"/>
      <c r="FK248" s="542"/>
      <c r="FL248" s="542"/>
      <c r="FM248" s="542"/>
      <c r="FN248" s="542"/>
      <c r="FO248" s="542"/>
      <c r="FP248" s="542"/>
      <c r="FQ248" s="542"/>
      <c r="FR248" s="542"/>
      <c r="FS248" s="542"/>
      <c r="FT248" s="542"/>
      <c r="FU248" s="542"/>
      <c r="FV248" s="542"/>
      <c r="FW248" s="542"/>
      <c r="FX248" s="542"/>
      <c r="FY248" s="542"/>
      <c r="FZ248" s="542"/>
      <c r="GA248" s="542"/>
      <c r="GB248" s="542"/>
      <c r="GC248" s="542"/>
      <c r="GD248" s="542"/>
      <c r="GE248" s="542"/>
      <c r="GF248" s="542"/>
      <c r="GG248" s="542"/>
      <c r="GH248" s="542"/>
      <c r="GI248" s="542"/>
      <c r="GJ248" s="542"/>
      <c r="GK248" s="542"/>
      <c r="GL248" s="542"/>
      <c r="GM248" s="542"/>
      <c r="GN248" s="542"/>
      <c r="GO248" s="542"/>
      <c r="GP248" s="542"/>
      <c r="GQ248" s="542"/>
      <c r="GR248" s="542"/>
      <c r="GS248" s="542"/>
      <c r="GT248" s="542"/>
      <c r="GU248" s="542"/>
      <c r="GV248" s="542"/>
      <c r="GW248" s="542"/>
      <c r="GX248" s="542"/>
      <c r="GY248" s="542"/>
      <c r="GZ248" s="542"/>
      <c r="HA248" s="542"/>
      <c r="HB248" s="542"/>
      <c r="HC248" s="542"/>
      <c r="HD248" s="542"/>
      <c r="HE248" s="542"/>
      <c r="HF248" s="542"/>
      <c r="HG248" s="542"/>
      <c r="HH248" s="542"/>
      <c r="HI248" s="542"/>
      <c r="HJ248" s="542"/>
      <c r="HK248" s="542"/>
      <c r="HL248" s="542"/>
      <c r="HM248" s="542"/>
      <c r="HN248" s="542"/>
      <c r="HO248" s="542"/>
      <c r="HP248" s="542"/>
      <c r="HQ248" s="542"/>
      <c r="HR248" s="542"/>
      <c r="HS248" s="542"/>
      <c r="HT248" s="542"/>
      <c r="HU248" s="542"/>
      <c r="HV248" s="542"/>
      <c r="HW248" s="542"/>
      <c r="HX248" s="542"/>
      <c r="HY248" s="542"/>
      <c r="HZ248" s="542"/>
      <c r="IA248" s="542"/>
      <c r="IB248" s="542"/>
      <c r="IC248" s="542"/>
      <c r="ID248" s="542"/>
      <c r="IE248" s="542"/>
      <c r="IF248" s="542"/>
      <c r="IG248" s="542"/>
      <c r="IH248" s="542"/>
      <c r="II248" s="542"/>
      <c r="IJ248" s="542"/>
      <c r="IK248" s="542"/>
      <c r="IL248" s="542"/>
      <c r="IM248" s="542"/>
      <c r="IN248" s="542"/>
      <c r="IO248" s="542"/>
      <c r="IP248" s="542"/>
      <c r="IQ248" s="542"/>
      <c r="IR248" s="542"/>
      <c r="IS248" s="542"/>
      <c r="IT248" s="542"/>
      <c r="IU248" s="542"/>
      <c r="IV248" s="542"/>
      <c r="IW248" s="542"/>
      <c r="IX248" s="542"/>
      <c r="IY248" s="542"/>
      <c r="IZ248" s="542"/>
      <c r="JA248" s="542"/>
      <c r="JB248" s="542"/>
    </row>
    <row r="249" spans="104:262" ht="18.899999999999999" customHeight="1">
      <c r="CZ249" s="542"/>
      <c r="DA249" s="542"/>
      <c r="DB249" s="542"/>
      <c r="DC249" s="542"/>
      <c r="DD249" s="542"/>
      <c r="DE249" s="542"/>
      <c r="DF249" s="542"/>
      <c r="DG249" s="542"/>
      <c r="DH249" s="542"/>
      <c r="DI249" s="542"/>
      <c r="DJ249" s="542"/>
      <c r="DK249" s="542"/>
      <c r="DL249" s="542"/>
      <c r="DM249" s="542"/>
      <c r="DN249" s="542"/>
      <c r="DO249" s="542"/>
      <c r="DP249" s="542"/>
      <c r="DQ249" s="542"/>
      <c r="DR249" s="542"/>
      <c r="DS249" s="542"/>
      <c r="DT249" s="542"/>
      <c r="DU249" s="542"/>
      <c r="DV249" s="542"/>
      <c r="DW249" s="542"/>
      <c r="DX249" s="542"/>
      <c r="DY249" s="542"/>
      <c r="DZ249" s="542"/>
      <c r="EA249" s="542"/>
      <c r="EB249" s="542"/>
      <c r="EC249" s="542"/>
      <c r="ED249" s="542"/>
      <c r="EE249" s="542"/>
      <c r="EF249" s="542"/>
      <c r="EG249" s="542"/>
      <c r="EH249" s="542"/>
      <c r="EI249" s="542"/>
      <c r="EJ249" s="542"/>
      <c r="EK249" s="542"/>
      <c r="EL249" s="542"/>
      <c r="EM249" s="542"/>
      <c r="EN249" s="542"/>
      <c r="EO249" s="542"/>
      <c r="EP249" s="542"/>
      <c r="EQ249" s="542"/>
      <c r="ER249" s="542"/>
      <c r="ES249" s="542"/>
      <c r="ET249" s="542"/>
      <c r="EU249" s="542"/>
      <c r="EV249" s="542"/>
      <c r="EW249" s="542"/>
      <c r="EX249" s="542"/>
      <c r="EY249" s="542"/>
      <c r="EZ249" s="542"/>
      <c r="FA249" s="542"/>
      <c r="FB249" s="542"/>
      <c r="FC249" s="542"/>
      <c r="FD249" s="542"/>
      <c r="FE249" s="542"/>
      <c r="FF249" s="542"/>
      <c r="FG249" s="542"/>
      <c r="FH249" s="542"/>
      <c r="FI249" s="542"/>
      <c r="FJ249" s="542"/>
      <c r="FK249" s="542"/>
      <c r="FL249" s="542"/>
      <c r="FM249" s="542"/>
      <c r="FN249" s="542"/>
      <c r="FO249" s="542"/>
      <c r="FP249" s="542"/>
      <c r="FQ249" s="542"/>
      <c r="FR249" s="542"/>
      <c r="FS249" s="542"/>
      <c r="FT249" s="542"/>
      <c r="FU249" s="542"/>
      <c r="FV249" s="542"/>
      <c r="FW249" s="542"/>
      <c r="FX249" s="542"/>
      <c r="FY249" s="542"/>
      <c r="FZ249" s="542"/>
      <c r="GA249" s="542"/>
      <c r="GB249" s="542"/>
      <c r="GC249" s="542"/>
      <c r="GD249" s="542"/>
      <c r="GE249" s="542"/>
      <c r="GF249" s="542"/>
      <c r="GG249" s="542"/>
      <c r="GH249" s="542"/>
      <c r="GI249" s="542"/>
      <c r="GJ249" s="542"/>
      <c r="GK249" s="542"/>
      <c r="GL249" s="542"/>
      <c r="GM249" s="542"/>
      <c r="GN249" s="542"/>
      <c r="GO249" s="542"/>
      <c r="GP249" s="542"/>
      <c r="GQ249" s="542"/>
      <c r="GR249" s="542"/>
      <c r="GS249" s="542"/>
      <c r="GT249" s="542"/>
      <c r="GU249" s="542"/>
      <c r="GV249" s="542"/>
      <c r="GW249" s="542"/>
      <c r="GX249" s="542"/>
      <c r="GY249" s="542"/>
      <c r="GZ249" s="542"/>
      <c r="HA249" s="542"/>
      <c r="HB249" s="542"/>
      <c r="HC249" s="542"/>
      <c r="HD249" s="542"/>
      <c r="HE249" s="542"/>
      <c r="HF249" s="542"/>
      <c r="HG249" s="542"/>
      <c r="HH249" s="542"/>
      <c r="HI249" s="542"/>
      <c r="HJ249" s="542"/>
      <c r="HK249" s="542"/>
      <c r="HL249" s="542"/>
      <c r="HM249" s="542"/>
      <c r="HN249" s="542"/>
      <c r="HO249" s="542"/>
      <c r="HP249" s="542"/>
      <c r="HQ249" s="542"/>
      <c r="HR249" s="542"/>
      <c r="HS249" s="542"/>
      <c r="HT249" s="542"/>
      <c r="HU249" s="542"/>
      <c r="HV249" s="542"/>
      <c r="HW249" s="542"/>
      <c r="HX249" s="542"/>
      <c r="HY249" s="542"/>
      <c r="HZ249" s="542"/>
      <c r="IA249" s="542"/>
      <c r="IB249" s="542"/>
      <c r="IC249" s="542"/>
      <c r="ID249" s="542"/>
      <c r="IE249" s="542"/>
      <c r="IF249" s="542"/>
      <c r="IG249" s="542"/>
      <c r="IH249" s="542"/>
      <c r="II249" s="542"/>
      <c r="IJ249" s="542"/>
      <c r="IK249" s="542"/>
      <c r="IL249" s="542"/>
      <c r="IM249" s="542"/>
      <c r="IN249" s="542"/>
      <c r="IO249" s="542"/>
      <c r="IP249" s="542"/>
      <c r="IQ249" s="542"/>
      <c r="IR249" s="542"/>
      <c r="IS249" s="542"/>
      <c r="IT249" s="542"/>
      <c r="IU249" s="542"/>
      <c r="IV249" s="542"/>
      <c r="IW249" s="542"/>
      <c r="IX249" s="542"/>
      <c r="IY249" s="542"/>
      <c r="IZ249" s="542"/>
      <c r="JA249" s="542"/>
      <c r="JB249" s="542"/>
    </row>
    <row r="250" spans="104:262" ht="18.899999999999999" customHeight="1">
      <c r="CZ250" s="542"/>
      <c r="DA250" s="542"/>
      <c r="DB250" s="542"/>
      <c r="DC250" s="542"/>
      <c r="DD250" s="542"/>
      <c r="DE250" s="542"/>
      <c r="DF250" s="542"/>
      <c r="DG250" s="542"/>
      <c r="DH250" s="542"/>
      <c r="DI250" s="542"/>
      <c r="DJ250" s="542"/>
      <c r="DK250" s="542"/>
      <c r="DL250" s="542"/>
      <c r="DM250" s="542"/>
      <c r="DN250" s="542"/>
      <c r="DO250" s="542"/>
      <c r="DP250" s="542"/>
      <c r="DQ250" s="542"/>
      <c r="DR250" s="542"/>
      <c r="DS250" s="542"/>
      <c r="DT250" s="542"/>
      <c r="DU250" s="542"/>
      <c r="DV250" s="542"/>
      <c r="DW250" s="542"/>
      <c r="DX250" s="542"/>
      <c r="DY250" s="542"/>
      <c r="DZ250" s="542"/>
      <c r="EA250" s="542"/>
      <c r="EB250" s="542"/>
      <c r="EC250" s="542"/>
      <c r="ED250" s="542"/>
      <c r="EE250" s="542"/>
      <c r="EF250" s="542"/>
      <c r="EG250" s="542"/>
      <c r="EH250" s="542"/>
      <c r="EI250" s="542"/>
      <c r="EJ250" s="542"/>
      <c r="EK250" s="542"/>
      <c r="EL250" s="542"/>
      <c r="EM250" s="542"/>
      <c r="EN250" s="542"/>
      <c r="EO250" s="542"/>
      <c r="EP250" s="542"/>
      <c r="EQ250" s="542"/>
      <c r="ER250" s="542"/>
      <c r="ES250" s="542"/>
      <c r="ET250" s="542"/>
      <c r="EU250" s="542"/>
      <c r="EV250" s="542"/>
      <c r="EW250" s="542"/>
      <c r="EX250" s="542"/>
      <c r="EY250" s="542"/>
      <c r="EZ250" s="542"/>
      <c r="FA250" s="542"/>
      <c r="FB250" s="542"/>
      <c r="FC250" s="542"/>
      <c r="FD250" s="542"/>
      <c r="FE250" s="542"/>
      <c r="FF250" s="542"/>
      <c r="FG250" s="542"/>
      <c r="FH250" s="542"/>
      <c r="FI250" s="542"/>
      <c r="FJ250" s="542"/>
      <c r="FK250" s="542"/>
      <c r="FL250" s="542"/>
      <c r="FM250" s="542"/>
      <c r="FN250" s="542"/>
      <c r="FO250" s="542"/>
      <c r="FP250" s="542"/>
      <c r="FQ250" s="542"/>
      <c r="FR250" s="542"/>
      <c r="FS250" s="542"/>
      <c r="FT250" s="542"/>
      <c r="FU250" s="542"/>
      <c r="FV250" s="542"/>
      <c r="FW250" s="542"/>
      <c r="FX250" s="542"/>
      <c r="FY250" s="542"/>
      <c r="FZ250" s="542"/>
      <c r="GA250" s="542"/>
      <c r="GB250" s="542"/>
      <c r="GC250" s="542"/>
      <c r="GD250" s="542"/>
      <c r="GE250" s="542"/>
      <c r="GF250" s="542"/>
      <c r="GG250" s="542"/>
      <c r="GH250" s="542"/>
      <c r="GI250" s="542"/>
      <c r="GJ250" s="542"/>
      <c r="GK250" s="542"/>
      <c r="GL250" s="542"/>
      <c r="GM250" s="542"/>
      <c r="GN250" s="542"/>
      <c r="GO250" s="542"/>
      <c r="GP250" s="542"/>
      <c r="GQ250" s="542"/>
      <c r="GR250" s="542"/>
      <c r="GS250" s="542"/>
      <c r="GT250" s="542"/>
      <c r="GU250" s="542"/>
      <c r="GV250" s="542"/>
      <c r="GW250" s="542"/>
      <c r="GX250" s="542"/>
      <c r="GY250" s="542"/>
      <c r="GZ250" s="542"/>
      <c r="HA250" s="542"/>
      <c r="HB250" s="542"/>
      <c r="HC250" s="542"/>
      <c r="HD250" s="542"/>
      <c r="HE250" s="542"/>
      <c r="HF250" s="542"/>
      <c r="HG250" s="542"/>
      <c r="HH250" s="542"/>
      <c r="HI250" s="542"/>
      <c r="HJ250" s="542"/>
      <c r="HK250" s="542"/>
      <c r="HL250" s="542"/>
      <c r="HM250" s="542"/>
      <c r="HN250" s="542"/>
      <c r="HO250" s="542"/>
      <c r="HP250" s="542"/>
      <c r="HQ250" s="542"/>
      <c r="HR250" s="542"/>
      <c r="HS250" s="542"/>
      <c r="HT250" s="542"/>
      <c r="HU250" s="542"/>
      <c r="HV250" s="542"/>
      <c r="HW250" s="542"/>
      <c r="HX250" s="542"/>
      <c r="HY250" s="542"/>
      <c r="HZ250" s="542"/>
      <c r="IA250" s="542"/>
      <c r="IB250" s="542"/>
      <c r="IC250" s="542"/>
      <c r="ID250" s="542"/>
      <c r="IE250" s="542"/>
      <c r="IF250" s="542"/>
      <c r="IG250" s="542"/>
      <c r="IH250" s="542"/>
      <c r="II250" s="542"/>
      <c r="IJ250" s="542"/>
      <c r="IK250" s="542"/>
      <c r="IL250" s="542"/>
      <c r="IM250" s="542"/>
      <c r="IN250" s="542"/>
      <c r="IO250" s="542"/>
      <c r="IP250" s="542"/>
      <c r="IQ250" s="542"/>
      <c r="IR250" s="542"/>
      <c r="IS250" s="542"/>
      <c r="IT250" s="542"/>
      <c r="IU250" s="542"/>
      <c r="IV250" s="542"/>
      <c r="IW250" s="542"/>
      <c r="IX250" s="542"/>
      <c r="IY250" s="542"/>
      <c r="IZ250" s="542"/>
      <c r="JA250" s="542"/>
      <c r="JB250" s="542"/>
    </row>
    <row r="251" spans="104:262" ht="18.899999999999999" customHeight="1">
      <c r="CZ251" s="542"/>
      <c r="DA251" s="542"/>
      <c r="DB251" s="542"/>
      <c r="DC251" s="542"/>
      <c r="DD251" s="542"/>
      <c r="DE251" s="542"/>
      <c r="DF251" s="542"/>
      <c r="DG251" s="542"/>
      <c r="DH251" s="542"/>
      <c r="DI251" s="542"/>
      <c r="DJ251" s="542"/>
      <c r="DK251" s="542"/>
      <c r="DL251" s="542"/>
      <c r="DM251" s="542"/>
      <c r="DN251" s="542"/>
      <c r="DO251" s="542"/>
      <c r="DP251" s="542"/>
      <c r="DQ251" s="542"/>
      <c r="DR251" s="542"/>
      <c r="DS251" s="542"/>
      <c r="DT251" s="542"/>
      <c r="DU251" s="542"/>
      <c r="DV251" s="542"/>
      <c r="DW251" s="542"/>
      <c r="DX251" s="542"/>
      <c r="DY251" s="542"/>
      <c r="DZ251" s="542"/>
      <c r="EA251" s="542"/>
      <c r="EB251" s="542"/>
      <c r="EC251" s="542"/>
      <c r="ED251" s="542"/>
      <c r="EE251" s="542"/>
      <c r="EF251" s="542"/>
      <c r="EG251" s="542"/>
      <c r="EH251" s="542"/>
      <c r="EI251" s="542"/>
      <c r="EJ251" s="542"/>
      <c r="EK251" s="542"/>
      <c r="EL251" s="542"/>
      <c r="EM251" s="542"/>
      <c r="EN251" s="542"/>
      <c r="EO251" s="542"/>
      <c r="EP251" s="542"/>
      <c r="EQ251" s="542"/>
      <c r="ER251" s="542"/>
      <c r="ES251" s="542"/>
      <c r="ET251" s="542"/>
      <c r="EU251" s="542"/>
      <c r="EV251" s="542"/>
      <c r="EW251" s="542"/>
      <c r="EX251" s="542"/>
      <c r="EY251" s="542"/>
      <c r="EZ251" s="542"/>
      <c r="FA251" s="542"/>
      <c r="FB251" s="542"/>
      <c r="FC251" s="542"/>
      <c r="FD251" s="542"/>
      <c r="FE251" s="542"/>
      <c r="FF251" s="542"/>
      <c r="FG251" s="542"/>
      <c r="FH251" s="542"/>
      <c r="FI251" s="542"/>
      <c r="FJ251" s="542"/>
      <c r="FK251" s="542"/>
      <c r="FL251" s="542"/>
      <c r="FM251" s="542"/>
      <c r="FN251" s="542"/>
      <c r="FO251" s="542"/>
      <c r="FP251" s="542"/>
      <c r="FQ251" s="542"/>
      <c r="FR251" s="542"/>
      <c r="FS251" s="542"/>
      <c r="FT251" s="542"/>
      <c r="FU251" s="542"/>
      <c r="FV251" s="542"/>
      <c r="FW251" s="542"/>
      <c r="FX251" s="542"/>
      <c r="FY251" s="542"/>
      <c r="FZ251" s="542"/>
      <c r="GA251" s="542"/>
      <c r="GB251" s="542"/>
      <c r="GC251" s="542"/>
      <c r="GD251" s="542"/>
      <c r="GE251" s="542"/>
      <c r="GF251" s="542"/>
      <c r="GG251" s="542"/>
      <c r="GH251" s="542"/>
      <c r="GI251" s="542"/>
      <c r="GJ251" s="542"/>
      <c r="GK251" s="542"/>
      <c r="GL251" s="542"/>
      <c r="GM251" s="542"/>
      <c r="GN251" s="542"/>
      <c r="GO251" s="542"/>
      <c r="GP251" s="542"/>
      <c r="GQ251" s="542"/>
      <c r="GR251" s="542"/>
      <c r="GS251" s="542"/>
      <c r="GT251" s="542"/>
      <c r="GU251" s="542"/>
      <c r="GV251" s="542"/>
      <c r="GW251" s="542"/>
      <c r="GX251" s="542"/>
      <c r="GY251" s="542"/>
      <c r="GZ251" s="542"/>
      <c r="HA251" s="542"/>
      <c r="HB251" s="542"/>
      <c r="HC251" s="542"/>
      <c r="HD251" s="542"/>
      <c r="HE251" s="542"/>
      <c r="HF251" s="542"/>
      <c r="HG251" s="542"/>
      <c r="HH251" s="542"/>
      <c r="HI251" s="542"/>
      <c r="HJ251" s="542"/>
      <c r="HK251" s="542"/>
      <c r="HL251" s="542"/>
      <c r="HM251" s="542"/>
      <c r="HN251" s="542"/>
      <c r="HO251" s="542"/>
      <c r="HP251" s="542"/>
      <c r="HQ251" s="542"/>
      <c r="HR251" s="542"/>
      <c r="HS251" s="542"/>
      <c r="HT251" s="542"/>
      <c r="HU251" s="542"/>
      <c r="HV251" s="542"/>
      <c r="HW251" s="542"/>
      <c r="HX251" s="542"/>
      <c r="HY251" s="542"/>
      <c r="HZ251" s="542"/>
      <c r="IA251" s="542"/>
      <c r="IB251" s="542"/>
      <c r="IC251" s="542"/>
      <c r="ID251" s="542"/>
      <c r="IE251" s="542"/>
      <c r="IF251" s="542"/>
      <c r="IG251" s="542"/>
      <c r="IH251" s="542"/>
      <c r="II251" s="542"/>
      <c r="IJ251" s="542"/>
      <c r="IK251" s="542"/>
      <c r="IL251" s="542"/>
      <c r="IM251" s="542"/>
      <c r="IN251" s="542"/>
      <c r="IO251" s="542"/>
      <c r="IP251" s="542"/>
      <c r="IQ251" s="542"/>
      <c r="IR251" s="542"/>
      <c r="IS251" s="542"/>
      <c r="IT251" s="542"/>
      <c r="IU251" s="542"/>
      <c r="IV251" s="542"/>
      <c r="IW251" s="542"/>
      <c r="IX251" s="542"/>
      <c r="IY251" s="542"/>
      <c r="IZ251" s="542"/>
      <c r="JA251" s="542"/>
      <c r="JB251" s="542"/>
    </row>
    <row r="252" spans="104:262" ht="18.899999999999999" customHeight="1">
      <c r="CZ252" s="542"/>
      <c r="DA252" s="542"/>
      <c r="DB252" s="542"/>
      <c r="DC252" s="542"/>
      <c r="DD252" s="542"/>
      <c r="DE252" s="542"/>
      <c r="DF252" s="542"/>
      <c r="DG252" s="542"/>
      <c r="DH252" s="542"/>
      <c r="DI252" s="542"/>
      <c r="DJ252" s="542"/>
      <c r="DK252" s="542"/>
      <c r="DL252" s="542"/>
      <c r="DM252" s="542"/>
      <c r="DN252" s="542"/>
      <c r="DO252" s="542"/>
      <c r="DP252" s="542"/>
      <c r="DQ252" s="542"/>
      <c r="DR252" s="542"/>
      <c r="DS252" s="542"/>
      <c r="DT252" s="542"/>
      <c r="DU252" s="542"/>
      <c r="DV252" s="542"/>
      <c r="DW252" s="542"/>
      <c r="DX252" s="542"/>
      <c r="DY252" s="542"/>
      <c r="DZ252" s="542"/>
      <c r="EA252" s="542"/>
      <c r="EB252" s="542"/>
      <c r="EC252" s="542"/>
      <c r="ED252" s="542"/>
      <c r="EE252" s="542"/>
      <c r="EF252" s="542"/>
      <c r="EG252" s="542"/>
      <c r="EH252" s="542"/>
      <c r="EI252" s="542"/>
      <c r="EJ252" s="542"/>
      <c r="EK252" s="542"/>
      <c r="EL252" s="542"/>
      <c r="EM252" s="542"/>
      <c r="EN252" s="542"/>
      <c r="EO252" s="542"/>
      <c r="EP252" s="542"/>
      <c r="EQ252" s="542"/>
      <c r="ER252" s="542"/>
      <c r="ES252" s="542"/>
      <c r="ET252" s="542"/>
      <c r="EU252" s="542"/>
      <c r="EV252" s="542"/>
      <c r="EW252" s="542"/>
      <c r="EX252" s="542"/>
      <c r="EY252" s="542"/>
      <c r="EZ252" s="542"/>
      <c r="FA252" s="542"/>
      <c r="FB252" s="542"/>
      <c r="FC252" s="542"/>
      <c r="FD252" s="542"/>
      <c r="FE252" s="542"/>
      <c r="FF252" s="542"/>
      <c r="FG252" s="542"/>
      <c r="FH252" s="542"/>
      <c r="FI252" s="542"/>
      <c r="FJ252" s="542"/>
      <c r="FK252" s="542"/>
      <c r="FL252" s="542"/>
      <c r="FM252" s="542"/>
      <c r="FN252" s="542"/>
      <c r="FO252" s="542"/>
      <c r="FP252" s="542"/>
      <c r="FQ252" s="542"/>
      <c r="FR252" s="542"/>
      <c r="FS252" s="542"/>
      <c r="FT252" s="542"/>
      <c r="FU252" s="542"/>
      <c r="FV252" s="542"/>
      <c r="FW252" s="542"/>
      <c r="FX252" s="542"/>
      <c r="FY252" s="542"/>
      <c r="FZ252" s="542"/>
      <c r="GA252" s="542"/>
      <c r="GB252" s="542"/>
      <c r="GC252" s="542"/>
      <c r="GD252" s="542"/>
      <c r="GE252" s="542"/>
      <c r="GF252" s="542"/>
      <c r="GG252" s="542"/>
      <c r="GH252" s="542"/>
      <c r="GI252" s="542"/>
      <c r="GJ252" s="542"/>
      <c r="GK252" s="542"/>
      <c r="GL252" s="542"/>
      <c r="GM252" s="542"/>
      <c r="GN252" s="542"/>
      <c r="GO252" s="542"/>
      <c r="GP252" s="542"/>
      <c r="GQ252" s="542"/>
      <c r="GR252" s="542"/>
      <c r="GS252" s="542"/>
      <c r="GT252" s="542"/>
      <c r="GU252" s="542"/>
      <c r="GV252" s="542"/>
      <c r="GW252" s="542"/>
      <c r="GX252" s="542"/>
      <c r="GY252" s="542"/>
      <c r="GZ252" s="542"/>
      <c r="HA252" s="542"/>
      <c r="HB252" s="542"/>
      <c r="HC252" s="542"/>
      <c r="HD252" s="542"/>
      <c r="HE252" s="542"/>
      <c r="HF252" s="542"/>
      <c r="HG252" s="542"/>
      <c r="HH252" s="542"/>
      <c r="HI252" s="542"/>
      <c r="HJ252" s="542"/>
      <c r="HK252" s="542"/>
      <c r="HL252" s="542"/>
      <c r="HM252" s="542"/>
      <c r="HN252" s="542"/>
      <c r="HO252" s="542"/>
      <c r="HP252" s="542"/>
      <c r="HQ252" s="542"/>
      <c r="HR252" s="542"/>
      <c r="HS252" s="542"/>
      <c r="HT252" s="542"/>
      <c r="HU252" s="542"/>
      <c r="HV252" s="542"/>
      <c r="HW252" s="542"/>
      <c r="HX252" s="542"/>
      <c r="HY252" s="542"/>
      <c r="HZ252" s="542"/>
      <c r="IA252" s="542"/>
      <c r="IB252" s="542"/>
      <c r="IC252" s="542"/>
      <c r="ID252" s="542"/>
      <c r="IE252" s="542"/>
      <c r="IF252" s="542"/>
      <c r="IG252" s="542"/>
      <c r="IH252" s="542"/>
      <c r="II252" s="542"/>
      <c r="IJ252" s="542"/>
      <c r="IK252" s="542"/>
      <c r="IL252" s="542"/>
      <c r="IM252" s="542"/>
      <c r="IN252" s="542"/>
      <c r="IO252" s="542"/>
      <c r="IP252" s="542"/>
      <c r="IQ252" s="542"/>
      <c r="IR252" s="542"/>
      <c r="IS252" s="542"/>
      <c r="IT252" s="542"/>
      <c r="IU252" s="542"/>
      <c r="IV252" s="542"/>
      <c r="IW252" s="542"/>
      <c r="IX252" s="542"/>
      <c r="IY252" s="542"/>
      <c r="IZ252" s="542"/>
      <c r="JA252" s="542"/>
      <c r="JB252" s="542"/>
    </row>
    <row r="253" spans="104:262" ht="18.899999999999999" customHeight="1">
      <c r="CZ253" s="542"/>
      <c r="DA253" s="542"/>
      <c r="DB253" s="542"/>
      <c r="DC253" s="542"/>
      <c r="DD253" s="542"/>
      <c r="DE253" s="542"/>
      <c r="DF253" s="542"/>
      <c r="DG253" s="542"/>
      <c r="DH253" s="542"/>
      <c r="DI253" s="542"/>
      <c r="DJ253" s="542"/>
      <c r="DK253" s="542"/>
      <c r="DL253" s="542"/>
      <c r="DM253" s="542"/>
      <c r="DN253" s="542"/>
      <c r="DO253" s="542"/>
      <c r="DP253" s="542"/>
      <c r="DQ253" s="542"/>
      <c r="DR253" s="542"/>
      <c r="DS253" s="542"/>
      <c r="DT253" s="542"/>
      <c r="DU253" s="542"/>
      <c r="DV253" s="542"/>
      <c r="DW253" s="542"/>
      <c r="DX253" s="542"/>
      <c r="DY253" s="542"/>
      <c r="DZ253" s="542"/>
      <c r="EA253" s="542"/>
      <c r="EB253" s="542"/>
      <c r="EC253" s="542"/>
      <c r="ED253" s="542"/>
      <c r="EE253" s="542"/>
      <c r="EF253" s="542"/>
      <c r="EG253" s="542"/>
      <c r="EH253" s="542"/>
      <c r="EI253" s="542"/>
      <c r="EJ253" s="542"/>
      <c r="EK253" s="542"/>
      <c r="EL253" s="542"/>
      <c r="EM253" s="542"/>
      <c r="EN253" s="542"/>
      <c r="EO253" s="542"/>
      <c r="EP253" s="542"/>
      <c r="EQ253" s="542"/>
      <c r="ER253" s="542"/>
      <c r="ES253" s="542"/>
      <c r="ET253" s="542"/>
      <c r="EU253" s="542"/>
      <c r="EV253" s="542"/>
      <c r="EW253" s="542"/>
      <c r="EX253" s="542"/>
      <c r="EY253" s="542"/>
      <c r="EZ253" s="542"/>
      <c r="FA253" s="542"/>
      <c r="FB253" s="542"/>
      <c r="FC253" s="542"/>
      <c r="FD253" s="542"/>
      <c r="FE253" s="542"/>
      <c r="FF253" s="542"/>
      <c r="FG253" s="542"/>
      <c r="FH253" s="542"/>
      <c r="FI253" s="542"/>
      <c r="FJ253" s="542"/>
      <c r="FK253" s="542"/>
      <c r="FL253" s="542"/>
      <c r="FM253" s="542"/>
      <c r="FN253" s="542"/>
      <c r="FO253" s="542"/>
      <c r="FP253" s="542"/>
      <c r="FQ253" s="542"/>
      <c r="FR253" s="542"/>
      <c r="FS253" s="542"/>
      <c r="FT253" s="542"/>
      <c r="FU253" s="542"/>
      <c r="FV253" s="542"/>
      <c r="FW253" s="542"/>
      <c r="FX253" s="542"/>
      <c r="FY253" s="542"/>
      <c r="FZ253" s="542"/>
      <c r="GA253" s="542"/>
      <c r="GB253" s="542"/>
      <c r="GC253" s="542"/>
      <c r="GD253" s="542"/>
      <c r="GE253" s="542"/>
      <c r="GF253" s="542"/>
      <c r="GG253" s="542"/>
      <c r="GH253" s="542"/>
      <c r="GI253" s="542"/>
      <c r="GJ253" s="542"/>
      <c r="GK253" s="542"/>
      <c r="GL253" s="542"/>
      <c r="GM253" s="542"/>
      <c r="GN253" s="542"/>
      <c r="GO253" s="542"/>
      <c r="GP253" s="542"/>
      <c r="GQ253" s="542"/>
      <c r="GR253" s="542"/>
      <c r="GS253" s="542"/>
      <c r="GT253" s="542"/>
      <c r="GU253" s="542"/>
      <c r="GV253" s="542"/>
      <c r="GW253" s="542"/>
      <c r="GX253" s="542"/>
      <c r="GY253" s="542"/>
      <c r="GZ253" s="542"/>
      <c r="HA253" s="542"/>
      <c r="HB253" s="542"/>
      <c r="HC253" s="542"/>
      <c r="HD253" s="542"/>
      <c r="HE253" s="542"/>
      <c r="HF253" s="542"/>
      <c r="HG253" s="542"/>
      <c r="HH253" s="542"/>
      <c r="HI253" s="542"/>
      <c r="HJ253" s="542"/>
      <c r="HK253" s="542"/>
      <c r="HL253" s="542"/>
      <c r="HM253" s="542"/>
      <c r="HN253" s="542"/>
      <c r="HO253" s="542"/>
      <c r="HP253" s="542"/>
      <c r="HQ253" s="542"/>
      <c r="HR253" s="542"/>
      <c r="HS253" s="542"/>
      <c r="HT253" s="542"/>
      <c r="HU253" s="542"/>
      <c r="HV253" s="542"/>
      <c r="HW253" s="542"/>
      <c r="HX253" s="542"/>
      <c r="HY253" s="542"/>
      <c r="HZ253" s="542"/>
      <c r="IA253" s="542"/>
      <c r="IB253" s="542"/>
      <c r="IC253" s="542"/>
      <c r="ID253" s="542"/>
      <c r="IE253" s="542"/>
      <c r="IF253" s="542"/>
      <c r="IG253" s="542"/>
      <c r="IH253" s="542"/>
      <c r="II253" s="542"/>
      <c r="IJ253" s="542"/>
      <c r="IK253" s="542"/>
      <c r="IL253" s="542"/>
      <c r="IM253" s="542"/>
      <c r="IN253" s="542"/>
      <c r="IO253" s="542"/>
      <c r="IP253" s="542"/>
      <c r="IQ253" s="542"/>
      <c r="IR253" s="542"/>
      <c r="IS253" s="542"/>
      <c r="IT253" s="542"/>
      <c r="IU253" s="542"/>
      <c r="IV253" s="542"/>
      <c r="IW253" s="542"/>
      <c r="IX253" s="542"/>
      <c r="IY253" s="542"/>
      <c r="IZ253" s="542"/>
      <c r="JA253" s="542"/>
      <c r="JB253" s="542"/>
    </row>
    <row r="254" spans="104:262" ht="18.899999999999999" customHeight="1">
      <c r="CZ254" s="542"/>
      <c r="DA254" s="542"/>
      <c r="DB254" s="542"/>
      <c r="DC254" s="542"/>
      <c r="DD254" s="542"/>
      <c r="DE254" s="542"/>
      <c r="DF254" s="542"/>
      <c r="DG254" s="542"/>
      <c r="DH254" s="542"/>
      <c r="DI254" s="542"/>
      <c r="DJ254" s="542"/>
      <c r="DK254" s="542"/>
      <c r="DL254" s="542"/>
      <c r="DM254" s="542"/>
      <c r="DN254" s="542"/>
      <c r="DO254" s="542"/>
      <c r="DP254" s="542"/>
      <c r="DQ254" s="542"/>
      <c r="DR254" s="542"/>
      <c r="DS254" s="542"/>
      <c r="DT254" s="542"/>
      <c r="DU254" s="542"/>
      <c r="DV254" s="542"/>
      <c r="DW254" s="542"/>
      <c r="DX254" s="542"/>
      <c r="DY254" s="542"/>
      <c r="DZ254" s="542"/>
      <c r="EA254" s="542"/>
      <c r="EB254" s="542"/>
      <c r="EC254" s="542"/>
      <c r="ED254" s="542"/>
      <c r="EE254" s="542"/>
      <c r="EF254" s="542"/>
      <c r="EG254" s="542"/>
      <c r="EH254" s="542"/>
      <c r="EI254" s="542"/>
      <c r="EJ254" s="542"/>
      <c r="EK254" s="542"/>
      <c r="EL254" s="542"/>
      <c r="EM254" s="542"/>
      <c r="EN254" s="542"/>
      <c r="EO254" s="542"/>
      <c r="EP254" s="542"/>
      <c r="EQ254" s="542"/>
      <c r="ER254" s="542"/>
      <c r="ES254" s="542"/>
      <c r="ET254" s="542"/>
      <c r="EU254" s="542"/>
      <c r="EV254" s="542"/>
      <c r="EW254" s="542"/>
      <c r="EX254" s="542"/>
      <c r="EY254" s="542"/>
      <c r="EZ254" s="542"/>
      <c r="FA254" s="542"/>
      <c r="FB254" s="542"/>
      <c r="FC254" s="542"/>
      <c r="FD254" s="542"/>
      <c r="FE254" s="542"/>
      <c r="FF254" s="542"/>
      <c r="FG254" s="542"/>
      <c r="FH254" s="542"/>
      <c r="FI254" s="542"/>
      <c r="FJ254" s="542"/>
      <c r="FK254" s="542"/>
      <c r="FL254" s="542"/>
      <c r="FM254" s="542"/>
      <c r="FN254" s="542"/>
      <c r="FO254" s="542"/>
      <c r="FP254" s="542"/>
      <c r="FQ254" s="542"/>
      <c r="FR254" s="542"/>
      <c r="FS254" s="542"/>
      <c r="FT254" s="542"/>
      <c r="FU254" s="542"/>
      <c r="FV254" s="542"/>
      <c r="FW254" s="542"/>
      <c r="FX254" s="542"/>
      <c r="FY254" s="542"/>
      <c r="FZ254" s="542"/>
      <c r="GA254" s="542"/>
      <c r="GB254" s="542"/>
      <c r="GC254" s="542"/>
      <c r="GD254" s="542"/>
      <c r="GE254" s="542"/>
      <c r="GF254" s="542"/>
      <c r="GG254" s="542"/>
      <c r="GH254" s="542"/>
      <c r="GI254" s="542"/>
      <c r="GJ254" s="542"/>
      <c r="GK254" s="542"/>
      <c r="GL254" s="542"/>
      <c r="GM254" s="542"/>
      <c r="GN254" s="542"/>
      <c r="GO254" s="542"/>
      <c r="GP254" s="542"/>
      <c r="GQ254" s="542"/>
      <c r="GR254" s="542"/>
      <c r="GS254" s="542"/>
      <c r="GT254" s="542"/>
      <c r="GU254" s="542"/>
      <c r="GV254" s="542"/>
      <c r="GW254" s="542"/>
      <c r="GX254" s="542"/>
      <c r="GY254" s="542"/>
      <c r="GZ254" s="542"/>
      <c r="HA254" s="542"/>
      <c r="HB254" s="542"/>
      <c r="HC254" s="542"/>
      <c r="HD254" s="542"/>
      <c r="HE254" s="542"/>
      <c r="HF254" s="542"/>
      <c r="HG254" s="542"/>
      <c r="HH254" s="542"/>
      <c r="HI254" s="542"/>
      <c r="HJ254" s="542"/>
      <c r="HK254" s="542"/>
      <c r="HL254" s="542"/>
      <c r="HM254" s="542"/>
      <c r="HN254" s="542"/>
      <c r="HO254" s="542"/>
      <c r="HP254" s="542"/>
      <c r="HQ254" s="542"/>
      <c r="HR254" s="542"/>
      <c r="HS254" s="542"/>
      <c r="HT254" s="542"/>
      <c r="HU254" s="542"/>
      <c r="HV254" s="542"/>
      <c r="HW254" s="542"/>
      <c r="HX254" s="542"/>
      <c r="HY254" s="542"/>
      <c r="HZ254" s="542"/>
      <c r="IA254" s="542"/>
      <c r="IB254" s="542"/>
      <c r="IC254" s="542"/>
      <c r="ID254" s="542"/>
      <c r="IE254" s="542"/>
      <c r="IF254" s="542"/>
      <c r="IG254" s="542"/>
      <c r="IH254" s="542"/>
      <c r="II254" s="542"/>
      <c r="IJ254" s="542"/>
      <c r="IK254" s="542"/>
      <c r="IL254" s="542"/>
      <c r="IM254" s="542"/>
      <c r="IN254" s="542"/>
      <c r="IO254" s="542"/>
      <c r="IP254" s="542"/>
      <c r="IQ254" s="542"/>
      <c r="IR254" s="542"/>
      <c r="IS254" s="542"/>
      <c r="IT254" s="542"/>
      <c r="IU254" s="542"/>
      <c r="IV254" s="542"/>
      <c r="IW254" s="542"/>
      <c r="IX254" s="542"/>
      <c r="IY254" s="542"/>
      <c r="IZ254" s="542"/>
      <c r="JA254" s="542"/>
      <c r="JB254" s="542"/>
    </row>
    <row r="255" spans="104:262" ht="18.899999999999999" customHeight="1">
      <c r="CZ255" s="542"/>
      <c r="DA255" s="542"/>
      <c r="DB255" s="542"/>
      <c r="DC255" s="542"/>
      <c r="DD255" s="542"/>
      <c r="DE255" s="542"/>
      <c r="DF255" s="542"/>
      <c r="DG255" s="542"/>
      <c r="DH255" s="542"/>
      <c r="DI255" s="542"/>
      <c r="DJ255" s="542"/>
      <c r="DK255" s="542"/>
      <c r="DL255" s="542"/>
      <c r="DM255" s="542"/>
      <c r="DN255" s="542"/>
      <c r="DO255" s="542"/>
      <c r="DP255" s="542"/>
      <c r="DQ255" s="542"/>
      <c r="DR255" s="542"/>
      <c r="DS255" s="542"/>
      <c r="DT255" s="542"/>
      <c r="DU255" s="542"/>
      <c r="DV255" s="542"/>
      <c r="DW255" s="542"/>
      <c r="DX255" s="542"/>
      <c r="DY255" s="542"/>
      <c r="DZ255" s="542"/>
      <c r="EA255" s="542"/>
      <c r="EB255" s="542"/>
      <c r="EC255" s="542"/>
      <c r="ED255" s="542"/>
      <c r="EE255" s="542"/>
      <c r="EF255" s="542"/>
      <c r="EG255" s="542"/>
      <c r="EH255" s="542"/>
      <c r="EI255" s="542"/>
      <c r="EJ255" s="542"/>
      <c r="EK255" s="542"/>
      <c r="EL255" s="542"/>
      <c r="EM255" s="542"/>
      <c r="EN255" s="542"/>
      <c r="EO255" s="542"/>
      <c r="EP255" s="542"/>
      <c r="EQ255" s="542"/>
      <c r="ER255" s="542"/>
      <c r="ES255" s="542"/>
      <c r="ET255" s="542"/>
      <c r="EU255" s="542"/>
      <c r="EV255" s="542"/>
      <c r="EW255" s="542"/>
      <c r="EX255" s="542"/>
      <c r="EY255" s="542"/>
      <c r="EZ255" s="542"/>
      <c r="FA255" s="542"/>
      <c r="FB255" s="542"/>
      <c r="FC255" s="542"/>
      <c r="FD255" s="542"/>
      <c r="FE255" s="542"/>
      <c r="FF255" s="542"/>
      <c r="FG255" s="542"/>
      <c r="FH255" s="542"/>
      <c r="FI255" s="542"/>
      <c r="FJ255" s="542"/>
      <c r="FK255" s="542"/>
      <c r="FL255" s="542"/>
      <c r="FM255" s="542"/>
      <c r="FN255" s="542"/>
      <c r="FO255" s="542"/>
      <c r="FP255" s="542"/>
      <c r="FQ255" s="542"/>
      <c r="FR255" s="542"/>
      <c r="FS255" s="542"/>
      <c r="FT255" s="542"/>
      <c r="FU255" s="542"/>
      <c r="FV255" s="542"/>
      <c r="FW255" s="542"/>
      <c r="FX255" s="542"/>
      <c r="FY255" s="542"/>
      <c r="FZ255" s="542"/>
      <c r="GA255" s="542"/>
      <c r="GB255" s="542"/>
      <c r="GC255" s="542"/>
      <c r="GD255" s="542"/>
      <c r="GE255" s="542"/>
      <c r="GF255" s="542"/>
      <c r="GG255" s="542"/>
      <c r="GH255" s="542"/>
      <c r="GI255" s="542"/>
      <c r="GJ255" s="542"/>
      <c r="GK255" s="542"/>
      <c r="GL255" s="542"/>
      <c r="GM255" s="542"/>
      <c r="GN255" s="542"/>
      <c r="GO255" s="542"/>
      <c r="GP255" s="542"/>
      <c r="GQ255" s="542"/>
      <c r="GR255" s="542"/>
      <c r="GS255" s="542"/>
      <c r="GT255" s="542"/>
      <c r="GU255" s="542"/>
      <c r="GV255" s="542"/>
      <c r="GW255" s="542"/>
      <c r="GX255" s="542"/>
      <c r="GY255" s="542"/>
      <c r="GZ255" s="542"/>
      <c r="HA255" s="542"/>
      <c r="HB255" s="542"/>
      <c r="HC255" s="542"/>
      <c r="HD255" s="542"/>
      <c r="HE255" s="542"/>
      <c r="HF255" s="542"/>
      <c r="HG255" s="542"/>
      <c r="HH255" s="542"/>
      <c r="HI255" s="542"/>
      <c r="HJ255" s="542"/>
      <c r="HK255" s="542"/>
      <c r="HL255" s="542"/>
      <c r="HM255" s="542"/>
      <c r="HN255" s="542"/>
      <c r="HO255" s="542"/>
      <c r="HP255" s="542"/>
      <c r="HQ255" s="542"/>
      <c r="HR255" s="542"/>
      <c r="HS255" s="542"/>
      <c r="HT255" s="542"/>
      <c r="HU255" s="542"/>
      <c r="HV255" s="542"/>
      <c r="HW255" s="542"/>
      <c r="HX255" s="542"/>
      <c r="HY255" s="542"/>
      <c r="HZ255" s="542"/>
      <c r="IA255" s="542"/>
      <c r="IB255" s="542"/>
      <c r="IC255" s="542"/>
      <c r="ID255" s="542"/>
      <c r="IE255" s="542"/>
      <c r="IF255" s="542"/>
      <c r="IG255" s="542"/>
      <c r="IH255" s="542"/>
      <c r="II255" s="542"/>
      <c r="IJ255" s="542"/>
      <c r="IK255" s="542"/>
      <c r="IL255" s="542"/>
      <c r="IM255" s="542"/>
      <c r="IN255" s="542"/>
      <c r="IO255" s="542"/>
      <c r="IP255" s="542"/>
      <c r="IQ255" s="542"/>
      <c r="IR255" s="542"/>
      <c r="IS255" s="542"/>
      <c r="IT255" s="542"/>
      <c r="IU255" s="542"/>
      <c r="IV255" s="542"/>
      <c r="IW255" s="542"/>
      <c r="IX255" s="542"/>
      <c r="IY255" s="542"/>
      <c r="IZ255" s="542"/>
      <c r="JA255" s="542"/>
      <c r="JB255" s="542"/>
    </row>
    <row r="256" spans="104:262" ht="18.899999999999999" customHeight="1">
      <c r="CZ256" s="542"/>
      <c r="DA256" s="542"/>
      <c r="DB256" s="542"/>
      <c r="DC256" s="542"/>
      <c r="DD256" s="542"/>
      <c r="DE256" s="542"/>
      <c r="DF256" s="542"/>
      <c r="DG256" s="542"/>
      <c r="DH256" s="542"/>
      <c r="DI256" s="542"/>
      <c r="DJ256" s="542"/>
      <c r="DK256" s="542"/>
      <c r="DL256" s="542"/>
      <c r="DM256" s="542"/>
      <c r="DN256" s="542"/>
      <c r="DO256" s="542"/>
      <c r="DP256" s="542"/>
      <c r="DQ256" s="542"/>
      <c r="DR256" s="542"/>
      <c r="DS256" s="542"/>
      <c r="DT256" s="542"/>
      <c r="DU256" s="542"/>
      <c r="DV256" s="542"/>
      <c r="DW256" s="542"/>
      <c r="DX256" s="542"/>
      <c r="DY256" s="542"/>
      <c r="DZ256" s="542"/>
      <c r="EA256" s="542"/>
      <c r="EB256" s="542"/>
      <c r="EC256" s="542"/>
      <c r="ED256" s="542"/>
      <c r="EE256" s="542"/>
      <c r="EF256" s="542"/>
      <c r="EG256" s="542"/>
      <c r="EH256" s="542"/>
      <c r="EI256" s="542"/>
      <c r="EJ256" s="542"/>
      <c r="EK256" s="542"/>
      <c r="EL256" s="542"/>
      <c r="EM256" s="542"/>
      <c r="EN256" s="542"/>
      <c r="EO256" s="542"/>
      <c r="EP256" s="542"/>
      <c r="EQ256" s="542"/>
      <c r="ER256" s="542"/>
      <c r="ES256" s="542"/>
      <c r="ET256" s="542"/>
      <c r="EU256" s="542"/>
      <c r="EV256" s="542"/>
      <c r="EW256" s="542"/>
      <c r="EX256" s="542"/>
      <c r="EY256" s="542"/>
      <c r="EZ256" s="542"/>
      <c r="FA256" s="542"/>
      <c r="FB256" s="542"/>
      <c r="FC256" s="542"/>
      <c r="FD256" s="542"/>
      <c r="FE256" s="542"/>
      <c r="FF256" s="542"/>
      <c r="FG256" s="542"/>
      <c r="FH256" s="542"/>
      <c r="FI256" s="542"/>
      <c r="FJ256" s="542"/>
      <c r="FK256" s="542"/>
      <c r="FL256" s="542"/>
      <c r="FM256" s="542"/>
      <c r="FN256" s="542"/>
      <c r="FO256" s="542"/>
      <c r="FP256" s="542"/>
      <c r="FQ256" s="542"/>
      <c r="FR256" s="542"/>
      <c r="FS256" s="542"/>
      <c r="FT256" s="542"/>
      <c r="FU256" s="542"/>
      <c r="FV256" s="542"/>
      <c r="FW256" s="542"/>
      <c r="FX256" s="542"/>
      <c r="FY256" s="542"/>
      <c r="FZ256" s="542"/>
      <c r="GA256" s="542"/>
      <c r="GB256" s="542"/>
      <c r="GC256" s="542"/>
      <c r="GD256" s="542"/>
      <c r="GE256" s="542"/>
      <c r="GF256" s="542"/>
      <c r="GG256" s="542"/>
      <c r="GH256" s="542"/>
      <c r="GI256" s="542"/>
      <c r="GJ256" s="542"/>
      <c r="GK256" s="542"/>
      <c r="GL256" s="542"/>
      <c r="GM256" s="542"/>
      <c r="GN256" s="542"/>
      <c r="GO256" s="542"/>
      <c r="GP256" s="542"/>
      <c r="GQ256" s="542"/>
      <c r="GR256" s="542"/>
      <c r="GS256" s="542"/>
      <c r="GT256" s="542"/>
      <c r="GU256" s="542"/>
      <c r="GV256" s="542"/>
      <c r="GW256" s="542"/>
      <c r="GX256" s="542"/>
      <c r="GY256" s="542"/>
      <c r="GZ256" s="542"/>
      <c r="HA256" s="542"/>
      <c r="HB256" s="542"/>
      <c r="HC256" s="542"/>
      <c r="HD256" s="542"/>
      <c r="HE256" s="542"/>
      <c r="HF256" s="542"/>
      <c r="HG256" s="542"/>
      <c r="HH256" s="542"/>
      <c r="HI256" s="542"/>
      <c r="HJ256" s="542"/>
      <c r="HK256" s="542"/>
      <c r="HL256" s="542"/>
      <c r="HM256" s="542"/>
      <c r="HN256" s="542"/>
      <c r="HO256" s="542"/>
      <c r="HP256" s="542"/>
      <c r="HQ256" s="542"/>
      <c r="HR256" s="542"/>
      <c r="HS256" s="542"/>
      <c r="HT256" s="542"/>
      <c r="HU256" s="542"/>
      <c r="HV256" s="542"/>
      <c r="HW256" s="542"/>
      <c r="HX256" s="542"/>
      <c r="HY256" s="542"/>
      <c r="HZ256" s="542"/>
      <c r="IA256" s="542"/>
      <c r="IB256" s="542"/>
      <c r="IC256" s="542"/>
      <c r="ID256" s="542"/>
      <c r="IE256" s="542"/>
      <c r="IF256" s="542"/>
      <c r="IG256" s="542"/>
      <c r="IH256" s="542"/>
      <c r="II256" s="542"/>
      <c r="IJ256" s="542"/>
      <c r="IK256" s="542"/>
      <c r="IL256" s="542"/>
      <c r="IM256" s="542"/>
      <c r="IN256" s="542"/>
      <c r="IO256" s="542"/>
      <c r="IP256" s="542"/>
      <c r="IQ256" s="542"/>
      <c r="IR256" s="542"/>
      <c r="IS256" s="542"/>
      <c r="IT256" s="542"/>
      <c r="IU256" s="542"/>
      <c r="IV256" s="542"/>
      <c r="IW256" s="542"/>
      <c r="IX256" s="542"/>
      <c r="IY256" s="542"/>
      <c r="IZ256" s="542"/>
      <c r="JA256" s="542"/>
      <c r="JB256" s="542"/>
    </row>
    <row r="257" spans="104:262" ht="18.899999999999999" customHeight="1">
      <c r="CZ257" s="542"/>
      <c r="DA257" s="542"/>
      <c r="DB257" s="542"/>
      <c r="DC257" s="542"/>
      <c r="DD257" s="542"/>
      <c r="DE257" s="542"/>
      <c r="DF257" s="542"/>
      <c r="DG257" s="542"/>
      <c r="DH257" s="542"/>
      <c r="DI257" s="542"/>
      <c r="DJ257" s="542"/>
      <c r="DK257" s="542"/>
      <c r="DL257" s="542"/>
      <c r="DM257" s="542"/>
      <c r="DN257" s="542"/>
      <c r="DO257" s="542"/>
      <c r="DP257" s="542"/>
      <c r="DQ257" s="542"/>
      <c r="DR257" s="542"/>
      <c r="DS257" s="542"/>
      <c r="DT257" s="542"/>
      <c r="DU257" s="542"/>
      <c r="DV257" s="542"/>
      <c r="DW257" s="542"/>
      <c r="DX257" s="542"/>
      <c r="DY257" s="542"/>
      <c r="DZ257" s="542"/>
      <c r="EA257" s="542"/>
      <c r="EB257" s="542"/>
      <c r="EC257" s="542"/>
      <c r="ED257" s="542"/>
      <c r="EE257" s="542"/>
      <c r="EF257" s="542"/>
      <c r="EG257" s="542"/>
      <c r="EH257" s="542"/>
      <c r="EI257" s="542"/>
      <c r="EJ257" s="542"/>
      <c r="EK257" s="542"/>
      <c r="EL257" s="542"/>
      <c r="EM257" s="542"/>
      <c r="EN257" s="542"/>
      <c r="EO257" s="542"/>
      <c r="EP257" s="542"/>
      <c r="EQ257" s="542"/>
      <c r="ER257" s="542"/>
      <c r="ES257" s="542"/>
      <c r="ET257" s="542"/>
      <c r="EU257" s="542"/>
      <c r="EV257" s="542"/>
      <c r="EW257" s="542"/>
      <c r="EX257" s="542"/>
      <c r="EY257" s="542"/>
      <c r="EZ257" s="542"/>
      <c r="FA257" s="542"/>
      <c r="FB257" s="542"/>
      <c r="FC257" s="542"/>
      <c r="FD257" s="542"/>
      <c r="FE257" s="542"/>
      <c r="FF257" s="542"/>
      <c r="FG257" s="542"/>
      <c r="FH257" s="542"/>
      <c r="FI257" s="542"/>
      <c r="FJ257" s="542"/>
      <c r="FK257" s="542"/>
      <c r="FL257" s="542"/>
      <c r="FM257" s="542"/>
      <c r="FN257" s="542"/>
      <c r="FO257" s="542"/>
      <c r="FP257" s="542"/>
      <c r="FQ257" s="542"/>
      <c r="FR257" s="542"/>
      <c r="FS257" s="542"/>
      <c r="FT257" s="542"/>
      <c r="FU257" s="542"/>
      <c r="FV257" s="542"/>
      <c r="FW257" s="542"/>
      <c r="FX257" s="542"/>
      <c r="FY257" s="542"/>
      <c r="FZ257" s="542"/>
      <c r="GA257" s="542"/>
      <c r="GB257" s="542"/>
      <c r="GC257" s="542"/>
      <c r="GD257" s="542"/>
      <c r="GE257" s="542"/>
      <c r="GF257" s="542"/>
      <c r="GG257" s="542"/>
      <c r="GH257" s="542"/>
      <c r="GI257" s="542"/>
      <c r="GJ257" s="542"/>
      <c r="GK257" s="542"/>
      <c r="GL257" s="542"/>
      <c r="GM257" s="542"/>
      <c r="GN257" s="542"/>
      <c r="GO257" s="542"/>
      <c r="GP257" s="542"/>
      <c r="GQ257" s="542"/>
      <c r="GR257" s="542"/>
      <c r="GS257" s="542"/>
      <c r="GT257" s="542"/>
      <c r="GU257" s="542"/>
      <c r="GV257" s="542"/>
      <c r="GW257" s="542"/>
      <c r="GX257" s="542"/>
      <c r="GY257" s="542"/>
      <c r="GZ257" s="542"/>
      <c r="HA257" s="542"/>
      <c r="HB257" s="542"/>
      <c r="HC257" s="542"/>
      <c r="HD257" s="542"/>
      <c r="HE257" s="542"/>
      <c r="HF257" s="542"/>
      <c r="HG257" s="542"/>
      <c r="HH257" s="542"/>
      <c r="HI257" s="542"/>
      <c r="HJ257" s="542"/>
      <c r="HK257" s="542"/>
      <c r="HL257" s="542"/>
      <c r="HM257" s="542"/>
      <c r="HN257" s="542"/>
      <c r="HO257" s="542"/>
      <c r="HP257" s="542"/>
      <c r="HQ257" s="542"/>
      <c r="HR257" s="542"/>
      <c r="HS257" s="542"/>
      <c r="HT257" s="542"/>
      <c r="HU257" s="542"/>
      <c r="HV257" s="542"/>
      <c r="HW257" s="542"/>
      <c r="HX257" s="542"/>
      <c r="HY257" s="542"/>
      <c r="HZ257" s="542"/>
      <c r="IA257" s="542"/>
      <c r="IB257" s="542"/>
      <c r="IC257" s="542"/>
      <c r="ID257" s="542"/>
      <c r="IE257" s="542"/>
      <c r="IF257" s="542"/>
      <c r="IG257" s="542"/>
      <c r="IH257" s="542"/>
      <c r="II257" s="542"/>
      <c r="IJ257" s="542"/>
      <c r="IK257" s="542"/>
      <c r="IL257" s="542"/>
      <c r="IM257" s="542"/>
      <c r="IN257" s="542"/>
      <c r="IO257" s="542"/>
      <c r="IP257" s="542"/>
      <c r="IQ257" s="542"/>
      <c r="IR257" s="542"/>
      <c r="IS257" s="542"/>
      <c r="IT257" s="542"/>
      <c r="IU257" s="542"/>
      <c r="IV257" s="542"/>
      <c r="IW257" s="542"/>
      <c r="IX257" s="542"/>
      <c r="IY257" s="542"/>
      <c r="IZ257" s="542"/>
      <c r="JA257" s="542"/>
      <c r="JB257" s="542"/>
    </row>
    <row r="258" spans="104:262" ht="18.899999999999999" customHeight="1">
      <c r="CZ258" s="542"/>
      <c r="DA258" s="542"/>
      <c r="DB258" s="542"/>
      <c r="DC258" s="542"/>
      <c r="DD258" s="542"/>
      <c r="DE258" s="542"/>
      <c r="DF258" s="542"/>
      <c r="DG258" s="542"/>
      <c r="DH258" s="542"/>
      <c r="DI258" s="542"/>
      <c r="DJ258" s="542"/>
      <c r="DK258" s="542"/>
      <c r="DL258" s="542"/>
      <c r="DM258" s="542"/>
      <c r="DN258" s="542"/>
      <c r="DO258" s="542"/>
      <c r="DP258" s="542"/>
      <c r="DQ258" s="542"/>
      <c r="DR258" s="542"/>
      <c r="DS258" s="542"/>
      <c r="DT258" s="542"/>
      <c r="DU258" s="542"/>
      <c r="DV258" s="542"/>
      <c r="DW258" s="542"/>
      <c r="DX258" s="542"/>
      <c r="DY258" s="542"/>
      <c r="DZ258" s="542"/>
      <c r="EA258" s="542"/>
      <c r="EB258" s="542"/>
      <c r="EC258" s="542"/>
      <c r="ED258" s="542"/>
      <c r="EE258" s="542"/>
      <c r="EF258" s="542"/>
      <c r="EG258" s="542"/>
      <c r="EH258" s="542"/>
      <c r="EI258" s="542"/>
      <c r="EJ258" s="542"/>
      <c r="EK258" s="542"/>
      <c r="EL258" s="542"/>
      <c r="EM258" s="542"/>
      <c r="EN258" s="542"/>
      <c r="EO258" s="542"/>
      <c r="EP258" s="542"/>
      <c r="EQ258" s="542"/>
      <c r="ER258" s="542"/>
      <c r="ES258" s="542"/>
      <c r="ET258" s="542"/>
      <c r="EU258" s="542"/>
      <c r="EV258" s="542"/>
      <c r="EW258" s="542"/>
      <c r="EX258" s="542"/>
      <c r="EY258" s="542"/>
      <c r="EZ258" s="542"/>
      <c r="FA258" s="542"/>
      <c r="FB258" s="542"/>
      <c r="FC258" s="542"/>
      <c r="FD258" s="542"/>
      <c r="FE258" s="542"/>
      <c r="FF258" s="542"/>
      <c r="FG258" s="542"/>
      <c r="FH258" s="542"/>
      <c r="FI258" s="542"/>
      <c r="FJ258" s="542"/>
      <c r="FK258" s="542"/>
      <c r="FL258" s="542"/>
      <c r="FM258" s="542"/>
      <c r="FN258" s="542"/>
      <c r="FO258" s="542"/>
      <c r="FP258" s="542"/>
      <c r="FQ258" s="542"/>
      <c r="FR258" s="542"/>
      <c r="FS258" s="542"/>
      <c r="FT258" s="542"/>
      <c r="FU258" s="542"/>
      <c r="FV258" s="542"/>
      <c r="FW258" s="542"/>
      <c r="FX258" s="542"/>
      <c r="FY258" s="542"/>
      <c r="FZ258" s="542"/>
      <c r="GA258" s="542"/>
      <c r="GB258" s="542"/>
      <c r="GC258" s="542"/>
      <c r="GD258" s="542"/>
      <c r="GE258" s="542"/>
      <c r="GF258" s="542"/>
      <c r="GG258" s="542"/>
      <c r="GH258" s="542"/>
      <c r="GI258" s="542"/>
      <c r="GJ258" s="542"/>
      <c r="GK258" s="542"/>
      <c r="GL258" s="542"/>
      <c r="GM258" s="542"/>
      <c r="GN258" s="542"/>
      <c r="GO258" s="542"/>
      <c r="GP258" s="542"/>
      <c r="GQ258" s="542"/>
      <c r="GR258" s="542"/>
      <c r="GS258" s="542"/>
      <c r="GT258" s="542"/>
      <c r="GU258" s="542"/>
      <c r="GV258" s="542"/>
      <c r="GW258" s="542"/>
      <c r="GX258" s="542"/>
      <c r="GY258" s="542"/>
      <c r="GZ258" s="542"/>
      <c r="HA258" s="542"/>
      <c r="HB258" s="542"/>
      <c r="HC258" s="542"/>
      <c r="HD258" s="542"/>
      <c r="HE258" s="542"/>
      <c r="HF258" s="542"/>
      <c r="HG258" s="542"/>
      <c r="HH258" s="542"/>
      <c r="HI258" s="542"/>
      <c r="HJ258" s="542"/>
      <c r="HK258" s="542"/>
      <c r="HL258" s="542"/>
      <c r="HM258" s="542"/>
      <c r="HN258" s="542"/>
      <c r="HO258" s="542"/>
      <c r="HP258" s="542"/>
      <c r="HQ258" s="542"/>
      <c r="HR258" s="542"/>
      <c r="HS258" s="542"/>
      <c r="HT258" s="542"/>
      <c r="HU258" s="542"/>
      <c r="HV258" s="542"/>
      <c r="HW258" s="542"/>
      <c r="HX258" s="542"/>
      <c r="HY258" s="542"/>
      <c r="HZ258" s="542"/>
      <c r="IA258" s="542"/>
      <c r="IB258" s="542"/>
      <c r="IC258" s="542"/>
      <c r="ID258" s="542"/>
      <c r="IE258" s="542"/>
      <c r="IF258" s="542"/>
      <c r="IG258" s="542"/>
      <c r="IH258" s="542"/>
      <c r="II258" s="542"/>
      <c r="IJ258" s="542"/>
      <c r="IK258" s="542"/>
      <c r="IL258" s="542"/>
      <c r="IM258" s="542"/>
      <c r="IN258" s="542"/>
      <c r="IO258" s="542"/>
      <c r="IP258" s="542"/>
      <c r="IQ258" s="542"/>
      <c r="IR258" s="542"/>
      <c r="IS258" s="542"/>
      <c r="IT258" s="542"/>
      <c r="IU258" s="542"/>
      <c r="IV258" s="542"/>
      <c r="IW258" s="542"/>
      <c r="IX258" s="542"/>
      <c r="IY258" s="542"/>
      <c r="IZ258" s="542"/>
      <c r="JA258" s="542"/>
      <c r="JB258" s="542"/>
    </row>
    <row r="259" spans="104:262" ht="18.899999999999999" customHeight="1">
      <c r="CZ259" s="542"/>
      <c r="DA259" s="542"/>
      <c r="DB259" s="542"/>
      <c r="DC259" s="542"/>
      <c r="DD259" s="542"/>
      <c r="DE259" s="542"/>
      <c r="DF259" s="542"/>
      <c r="DG259" s="542"/>
      <c r="DH259" s="542"/>
      <c r="DI259" s="542"/>
      <c r="DJ259" s="542"/>
      <c r="DK259" s="542"/>
      <c r="DL259" s="542"/>
      <c r="DM259" s="542"/>
      <c r="DN259" s="542"/>
      <c r="DO259" s="542"/>
      <c r="DP259" s="542"/>
      <c r="DQ259" s="542"/>
      <c r="DR259" s="542"/>
      <c r="DS259" s="542"/>
      <c r="DT259" s="542"/>
      <c r="DU259" s="542"/>
      <c r="DV259" s="542"/>
      <c r="DW259" s="542"/>
      <c r="DX259" s="542"/>
      <c r="DY259" s="542"/>
      <c r="DZ259" s="542"/>
      <c r="EA259" s="542"/>
      <c r="EB259" s="542"/>
      <c r="EC259" s="542"/>
      <c r="ED259" s="542"/>
      <c r="EE259" s="542"/>
      <c r="EF259" s="542"/>
      <c r="EG259" s="542"/>
      <c r="EH259" s="542"/>
      <c r="EI259" s="542"/>
      <c r="EJ259" s="542"/>
      <c r="EK259" s="542"/>
      <c r="EL259" s="542"/>
      <c r="EM259" s="542"/>
      <c r="EN259" s="542"/>
      <c r="EO259" s="542"/>
      <c r="EP259" s="542"/>
      <c r="EQ259" s="542"/>
      <c r="ER259" s="542"/>
      <c r="ES259" s="542"/>
      <c r="ET259" s="542"/>
      <c r="EU259" s="542"/>
      <c r="EV259" s="542"/>
      <c r="EW259" s="542"/>
      <c r="EX259" s="542"/>
      <c r="EY259" s="542"/>
      <c r="EZ259" s="542"/>
      <c r="FA259" s="542"/>
      <c r="FB259" s="542"/>
      <c r="FC259" s="542"/>
      <c r="FD259" s="542"/>
      <c r="FE259" s="542"/>
      <c r="FF259" s="542"/>
      <c r="FG259" s="542"/>
      <c r="FH259" s="542"/>
      <c r="FI259" s="542"/>
      <c r="FJ259" s="542"/>
      <c r="FK259" s="542"/>
      <c r="FL259" s="542"/>
      <c r="FM259" s="542"/>
      <c r="FN259" s="542"/>
      <c r="FO259" s="542"/>
      <c r="FP259" s="542"/>
      <c r="FQ259" s="542"/>
      <c r="FR259" s="542"/>
      <c r="FS259" s="542"/>
      <c r="FT259" s="542"/>
      <c r="FU259" s="542"/>
      <c r="FV259" s="542"/>
      <c r="FW259" s="542"/>
      <c r="FX259" s="542"/>
      <c r="FY259" s="542"/>
      <c r="FZ259" s="542"/>
      <c r="GA259" s="542"/>
      <c r="GB259" s="542"/>
      <c r="GC259" s="542"/>
      <c r="GD259" s="542"/>
      <c r="GE259" s="542"/>
      <c r="GF259" s="542"/>
      <c r="GG259" s="542"/>
      <c r="GH259" s="542"/>
      <c r="GI259" s="542"/>
      <c r="GJ259" s="542"/>
      <c r="GK259" s="542"/>
      <c r="GL259" s="542"/>
      <c r="GM259" s="542"/>
      <c r="GN259" s="542"/>
      <c r="GO259" s="542"/>
      <c r="GP259" s="542"/>
      <c r="GQ259" s="542"/>
      <c r="GR259" s="542"/>
      <c r="GS259" s="542"/>
      <c r="GT259" s="542"/>
      <c r="GU259" s="542"/>
      <c r="GV259" s="542"/>
      <c r="GW259" s="542"/>
      <c r="GX259" s="542"/>
      <c r="GY259" s="542"/>
      <c r="GZ259" s="542"/>
      <c r="HA259" s="542"/>
      <c r="HB259" s="542"/>
      <c r="HC259" s="542"/>
      <c r="HD259" s="542"/>
      <c r="HE259" s="542"/>
      <c r="HF259" s="542"/>
      <c r="HG259" s="542"/>
      <c r="HH259" s="542"/>
      <c r="HI259" s="542"/>
      <c r="HJ259" s="542"/>
      <c r="HK259" s="542"/>
      <c r="HL259" s="542"/>
      <c r="HM259" s="542"/>
      <c r="HN259" s="542"/>
      <c r="HO259" s="542"/>
      <c r="HP259" s="542"/>
      <c r="HQ259" s="542"/>
      <c r="HR259" s="542"/>
      <c r="HS259" s="542"/>
      <c r="HT259" s="542"/>
      <c r="HU259" s="542"/>
      <c r="HV259" s="542"/>
      <c r="HW259" s="542"/>
      <c r="HX259" s="542"/>
      <c r="HY259" s="542"/>
      <c r="HZ259" s="542"/>
      <c r="IA259" s="542"/>
      <c r="IB259" s="542"/>
      <c r="IC259" s="542"/>
      <c r="ID259" s="542"/>
      <c r="IE259" s="542"/>
      <c r="IF259" s="542"/>
      <c r="IG259" s="542"/>
      <c r="IH259" s="542"/>
      <c r="II259" s="542"/>
      <c r="IJ259" s="542"/>
      <c r="IK259" s="542"/>
      <c r="IL259" s="542"/>
      <c r="IM259" s="542"/>
      <c r="IN259" s="542"/>
      <c r="IO259" s="542"/>
      <c r="IP259" s="542"/>
      <c r="IQ259" s="542"/>
      <c r="IR259" s="542"/>
      <c r="IS259" s="542"/>
      <c r="IT259" s="542"/>
      <c r="IU259" s="542"/>
      <c r="IV259" s="542"/>
      <c r="IW259" s="542"/>
      <c r="IX259" s="542"/>
      <c r="IY259" s="542"/>
      <c r="IZ259" s="542"/>
      <c r="JA259" s="542"/>
      <c r="JB259" s="542"/>
    </row>
    <row r="260" spans="104:262" ht="18.899999999999999" customHeight="1">
      <c r="CZ260" s="542"/>
      <c r="DA260" s="542"/>
      <c r="DB260" s="542"/>
      <c r="DC260" s="542"/>
      <c r="DD260" s="542"/>
      <c r="DE260" s="542"/>
      <c r="DF260" s="542"/>
      <c r="DG260" s="542"/>
      <c r="DH260" s="542"/>
      <c r="DI260" s="542"/>
      <c r="DJ260" s="542"/>
      <c r="DK260" s="542"/>
      <c r="DL260" s="542"/>
      <c r="DM260" s="542"/>
      <c r="DN260" s="542"/>
      <c r="DO260" s="542"/>
      <c r="DP260" s="542"/>
      <c r="DQ260" s="542"/>
      <c r="DR260" s="542"/>
      <c r="DS260" s="542"/>
      <c r="DT260" s="542"/>
      <c r="DU260" s="542"/>
      <c r="DV260" s="542"/>
      <c r="DW260" s="542"/>
      <c r="DX260" s="542"/>
      <c r="DY260" s="542"/>
      <c r="DZ260" s="542"/>
      <c r="EA260" s="542"/>
      <c r="EB260" s="542"/>
      <c r="EC260" s="542"/>
      <c r="ED260" s="542"/>
      <c r="EE260" s="542"/>
      <c r="EF260" s="542"/>
      <c r="EG260" s="542"/>
      <c r="EH260" s="542"/>
      <c r="EI260" s="542"/>
      <c r="EJ260" s="542"/>
      <c r="EK260" s="542"/>
      <c r="EL260" s="542"/>
      <c r="EM260" s="542"/>
      <c r="EN260" s="542"/>
      <c r="EO260" s="542"/>
      <c r="EP260" s="542"/>
      <c r="EQ260" s="542"/>
      <c r="ER260" s="542"/>
      <c r="ES260" s="542"/>
      <c r="ET260" s="542"/>
      <c r="EU260" s="542"/>
      <c r="EV260" s="542"/>
      <c r="EW260" s="542"/>
      <c r="EX260" s="542"/>
      <c r="EY260" s="542"/>
      <c r="EZ260" s="542"/>
      <c r="FA260" s="542"/>
      <c r="FB260" s="542"/>
      <c r="FC260" s="542"/>
      <c r="FD260" s="542"/>
      <c r="FE260" s="542"/>
      <c r="FF260" s="542"/>
      <c r="FG260" s="542"/>
      <c r="FH260" s="542"/>
      <c r="FI260" s="542"/>
      <c r="FJ260" s="542"/>
      <c r="FK260" s="542"/>
      <c r="FL260" s="542"/>
      <c r="FM260" s="542"/>
      <c r="FN260" s="542"/>
      <c r="FO260" s="542"/>
      <c r="FP260" s="542"/>
      <c r="FQ260" s="542"/>
      <c r="FR260" s="542"/>
      <c r="FS260" s="542"/>
      <c r="FT260" s="542"/>
      <c r="FU260" s="542"/>
      <c r="FV260" s="542"/>
      <c r="FW260" s="542"/>
      <c r="FX260" s="542"/>
      <c r="FY260" s="542"/>
      <c r="FZ260" s="542"/>
      <c r="GA260" s="542"/>
      <c r="GB260" s="542"/>
      <c r="GC260" s="542"/>
      <c r="GD260" s="542"/>
      <c r="GE260" s="542"/>
      <c r="GF260" s="542"/>
      <c r="GG260" s="542"/>
      <c r="GH260" s="542"/>
      <c r="GI260" s="542"/>
      <c r="GJ260" s="542"/>
      <c r="GK260" s="542"/>
      <c r="GL260" s="542"/>
      <c r="GM260" s="542"/>
      <c r="GN260" s="542"/>
      <c r="GO260" s="542"/>
      <c r="GP260" s="542"/>
      <c r="GQ260" s="542"/>
      <c r="GR260" s="542"/>
      <c r="GS260" s="542"/>
      <c r="GT260" s="542"/>
      <c r="GU260" s="542"/>
      <c r="GV260" s="542"/>
      <c r="GW260" s="542"/>
      <c r="GX260" s="542"/>
      <c r="GY260" s="542"/>
      <c r="GZ260" s="542"/>
      <c r="HA260" s="542"/>
      <c r="HB260" s="542"/>
      <c r="HC260" s="542"/>
      <c r="HD260" s="542"/>
      <c r="HE260" s="542"/>
      <c r="HF260" s="542"/>
      <c r="HG260" s="542"/>
      <c r="HH260" s="542"/>
      <c r="HI260" s="542"/>
      <c r="HJ260" s="542"/>
      <c r="HK260" s="542"/>
      <c r="HL260" s="542"/>
      <c r="HM260" s="542"/>
      <c r="HN260" s="542"/>
      <c r="HO260" s="542"/>
      <c r="HP260" s="542"/>
      <c r="HQ260" s="542"/>
      <c r="HR260" s="542"/>
      <c r="HS260" s="542"/>
      <c r="HT260" s="542"/>
      <c r="HU260" s="542"/>
      <c r="HV260" s="542"/>
      <c r="HW260" s="542"/>
      <c r="HX260" s="542"/>
      <c r="HY260" s="542"/>
      <c r="HZ260" s="542"/>
      <c r="IA260" s="542"/>
      <c r="IB260" s="542"/>
      <c r="IC260" s="542"/>
      <c r="ID260" s="542"/>
      <c r="IE260" s="542"/>
      <c r="IF260" s="542"/>
      <c r="IG260" s="542"/>
      <c r="IH260" s="542"/>
      <c r="II260" s="542"/>
      <c r="IJ260" s="542"/>
      <c r="IK260" s="542"/>
      <c r="IL260" s="542"/>
      <c r="IM260" s="542"/>
      <c r="IN260" s="542"/>
      <c r="IO260" s="542"/>
      <c r="IP260" s="542"/>
      <c r="IQ260" s="542"/>
      <c r="IR260" s="542"/>
      <c r="IS260" s="542"/>
      <c r="IT260" s="542"/>
      <c r="IU260" s="542"/>
      <c r="IV260" s="542"/>
      <c r="IW260" s="542"/>
      <c r="IX260" s="542"/>
      <c r="IY260" s="542"/>
      <c r="IZ260" s="542"/>
      <c r="JA260" s="542"/>
      <c r="JB260" s="542"/>
    </row>
    <row r="261" spans="104:262" ht="18.899999999999999" customHeight="1">
      <c r="CZ261" s="542"/>
      <c r="DA261" s="542"/>
      <c r="DB261" s="542"/>
      <c r="DC261" s="542"/>
      <c r="DD261" s="542"/>
      <c r="DE261" s="542"/>
      <c r="DF261" s="542"/>
      <c r="DG261" s="542"/>
      <c r="DH261" s="542"/>
      <c r="DI261" s="542"/>
      <c r="DJ261" s="542"/>
      <c r="DK261" s="542"/>
      <c r="DL261" s="542"/>
      <c r="DM261" s="542"/>
      <c r="DN261" s="542"/>
      <c r="DO261" s="542"/>
      <c r="DP261" s="542"/>
      <c r="DQ261" s="542"/>
      <c r="DR261" s="542"/>
      <c r="DS261" s="542"/>
      <c r="DT261" s="542"/>
      <c r="DU261" s="542"/>
      <c r="DV261" s="542"/>
      <c r="DW261" s="542"/>
      <c r="DX261" s="542"/>
      <c r="DY261" s="542"/>
      <c r="DZ261" s="542"/>
      <c r="EA261" s="542"/>
      <c r="EB261" s="542"/>
      <c r="EC261" s="542"/>
      <c r="ED261" s="542"/>
      <c r="EE261" s="542"/>
      <c r="EF261" s="542"/>
      <c r="EG261" s="542"/>
      <c r="EH261" s="542"/>
      <c r="EI261" s="542"/>
      <c r="EJ261" s="542"/>
      <c r="EK261" s="542"/>
      <c r="EL261" s="542"/>
      <c r="EM261" s="542"/>
      <c r="EN261" s="542"/>
      <c r="EO261" s="542"/>
      <c r="EP261" s="542"/>
      <c r="EQ261" s="542"/>
      <c r="ER261" s="542"/>
      <c r="ES261" s="542"/>
      <c r="ET261" s="542"/>
      <c r="EU261" s="542"/>
      <c r="EV261" s="542"/>
      <c r="EW261" s="542"/>
      <c r="EX261" s="542"/>
      <c r="EY261" s="542"/>
      <c r="EZ261" s="542"/>
      <c r="FA261" s="542"/>
      <c r="FB261" s="542"/>
      <c r="FC261" s="542"/>
      <c r="FD261" s="542"/>
      <c r="FE261" s="542"/>
      <c r="FF261" s="542"/>
      <c r="FG261" s="542"/>
      <c r="FH261" s="542"/>
      <c r="FI261" s="542"/>
      <c r="FJ261" s="542"/>
      <c r="FK261" s="542"/>
      <c r="FL261" s="542"/>
      <c r="FM261" s="542"/>
      <c r="FN261" s="542"/>
      <c r="FO261" s="542"/>
      <c r="FP261" s="542"/>
      <c r="FQ261" s="542"/>
      <c r="FR261" s="542"/>
      <c r="FS261" s="542"/>
      <c r="FT261" s="542"/>
      <c r="FU261" s="542"/>
      <c r="FV261" s="542"/>
      <c r="FW261" s="542"/>
      <c r="FX261" s="542"/>
      <c r="FY261" s="542"/>
      <c r="FZ261" s="542"/>
      <c r="GA261" s="542"/>
      <c r="GB261" s="542"/>
      <c r="GC261" s="542"/>
      <c r="GD261" s="542"/>
      <c r="GE261" s="542"/>
      <c r="GF261" s="542"/>
      <c r="GG261" s="542"/>
      <c r="GH261" s="542"/>
      <c r="GI261" s="542"/>
      <c r="GJ261" s="542"/>
      <c r="GK261" s="542"/>
      <c r="GL261" s="542"/>
      <c r="GM261" s="542"/>
      <c r="GN261" s="542"/>
      <c r="GO261" s="542"/>
      <c r="GP261" s="542"/>
      <c r="GQ261" s="542"/>
      <c r="GR261" s="542"/>
      <c r="GS261" s="542"/>
      <c r="GT261" s="542"/>
      <c r="GU261" s="542"/>
      <c r="GV261" s="542"/>
      <c r="GW261" s="542"/>
      <c r="GX261" s="542"/>
      <c r="GY261" s="542"/>
      <c r="GZ261" s="542"/>
      <c r="HA261" s="542"/>
      <c r="HB261" s="542"/>
      <c r="HC261" s="542"/>
      <c r="HD261" s="542"/>
      <c r="HE261" s="542"/>
      <c r="HF261" s="542"/>
      <c r="HG261" s="542"/>
      <c r="HH261" s="542"/>
      <c r="HI261" s="542"/>
      <c r="HJ261" s="542"/>
      <c r="HK261" s="542"/>
      <c r="HL261" s="542"/>
      <c r="HM261" s="542"/>
      <c r="HN261" s="542"/>
      <c r="HO261" s="542"/>
      <c r="HP261" s="542"/>
      <c r="HQ261" s="542"/>
      <c r="HR261" s="542"/>
      <c r="HS261" s="542"/>
      <c r="HT261" s="542"/>
      <c r="HU261" s="542"/>
      <c r="HV261" s="542"/>
      <c r="HW261" s="542"/>
      <c r="HX261" s="542"/>
      <c r="HY261" s="542"/>
      <c r="HZ261" s="542"/>
      <c r="IA261" s="542"/>
      <c r="IB261" s="542"/>
      <c r="IC261" s="542"/>
      <c r="ID261" s="542"/>
      <c r="IE261" s="542"/>
      <c r="IF261" s="542"/>
      <c r="IG261" s="542"/>
      <c r="IH261" s="542"/>
      <c r="II261" s="542"/>
      <c r="IJ261" s="542"/>
      <c r="IK261" s="542"/>
      <c r="IL261" s="542"/>
      <c r="IM261" s="542"/>
      <c r="IN261" s="542"/>
      <c r="IO261" s="542"/>
      <c r="IP261" s="542"/>
      <c r="IQ261" s="542"/>
      <c r="IR261" s="542"/>
      <c r="IS261" s="542"/>
      <c r="IT261" s="542"/>
      <c r="IU261" s="542"/>
      <c r="IV261" s="542"/>
      <c r="IW261" s="542"/>
      <c r="IX261" s="542"/>
      <c r="IY261" s="542"/>
      <c r="IZ261" s="542"/>
      <c r="JA261" s="542"/>
      <c r="JB261" s="542"/>
    </row>
    <row r="262" spans="104:262" ht="18.899999999999999" customHeight="1">
      <c r="CZ262" s="542"/>
      <c r="DA262" s="542"/>
      <c r="DB262" s="542"/>
      <c r="DC262" s="542"/>
      <c r="DD262" s="542"/>
      <c r="DE262" s="542"/>
      <c r="DF262" s="542"/>
      <c r="DG262" s="542"/>
      <c r="DH262" s="542"/>
      <c r="DI262" s="542"/>
      <c r="DJ262" s="542"/>
      <c r="DK262" s="542"/>
      <c r="DL262" s="542"/>
      <c r="DM262" s="542"/>
      <c r="DN262" s="542"/>
      <c r="DO262" s="542"/>
      <c r="DP262" s="542"/>
      <c r="DQ262" s="542"/>
      <c r="DR262" s="542"/>
      <c r="DS262" s="542"/>
      <c r="DT262" s="542"/>
      <c r="DU262" s="542"/>
      <c r="DV262" s="542"/>
      <c r="DW262" s="542"/>
      <c r="DX262" s="542"/>
      <c r="DY262" s="542"/>
      <c r="DZ262" s="542"/>
      <c r="EA262" s="542"/>
      <c r="EB262" s="542"/>
      <c r="EC262" s="542"/>
      <c r="ED262" s="542"/>
      <c r="EE262" s="542"/>
      <c r="EF262" s="542"/>
      <c r="EG262" s="542"/>
      <c r="EH262" s="542"/>
      <c r="EI262" s="542"/>
      <c r="EJ262" s="542"/>
      <c r="EK262" s="542"/>
      <c r="EL262" s="542"/>
      <c r="EM262" s="542"/>
      <c r="EN262" s="542"/>
      <c r="EO262" s="542"/>
      <c r="EP262" s="542"/>
      <c r="EQ262" s="542"/>
      <c r="ER262" s="542"/>
      <c r="ES262" s="542"/>
      <c r="ET262" s="542"/>
      <c r="EU262" s="542"/>
      <c r="EV262" s="542"/>
      <c r="EW262" s="542"/>
      <c r="EX262" s="542"/>
      <c r="EY262" s="542"/>
      <c r="EZ262" s="542"/>
      <c r="FA262" s="542"/>
      <c r="FB262" s="542"/>
      <c r="FC262" s="542"/>
      <c r="FD262" s="542"/>
      <c r="FE262" s="542"/>
      <c r="FF262" s="542"/>
      <c r="FG262" s="542"/>
      <c r="FH262" s="542"/>
      <c r="FI262" s="542"/>
      <c r="FJ262" s="542"/>
      <c r="FK262" s="542"/>
      <c r="FL262" s="542"/>
      <c r="FM262" s="542"/>
      <c r="FN262" s="542"/>
      <c r="FO262" s="542"/>
      <c r="FP262" s="542"/>
      <c r="FQ262" s="542"/>
      <c r="FR262" s="542"/>
      <c r="FS262" s="542"/>
      <c r="FT262" s="542"/>
      <c r="FU262" s="542"/>
      <c r="FV262" s="542"/>
      <c r="FW262" s="542"/>
      <c r="FX262" s="542"/>
      <c r="FY262" s="542"/>
      <c r="FZ262" s="542"/>
      <c r="GA262" s="542"/>
      <c r="GB262" s="542"/>
      <c r="GC262" s="542"/>
      <c r="GD262" s="542"/>
      <c r="GE262" s="542"/>
      <c r="GF262" s="542"/>
      <c r="GG262" s="542"/>
      <c r="GH262" s="542"/>
      <c r="GI262" s="542"/>
      <c r="GJ262" s="542"/>
      <c r="GK262" s="542"/>
      <c r="GL262" s="542"/>
      <c r="GM262" s="542"/>
      <c r="GN262" s="542"/>
      <c r="GO262" s="542"/>
      <c r="GP262" s="542"/>
      <c r="GQ262" s="542"/>
      <c r="GR262" s="542"/>
      <c r="GS262" s="542"/>
      <c r="GT262" s="542"/>
      <c r="GU262" s="542"/>
      <c r="GV262" s="542"/>
      <c r="GW262" s="542"/>
      <c r="GX262" s="542"/>
      <c r="GY262" s="542"/>
      <c r="GZ262" s="542"/>
      <c r="HA262" s="542"/>
      <c r="HB262" s="542"/>
      <c r="HC262" s="542"/>
      <c r="HD262" s="542"/>
      <c r="HE262" s="542"/>
      <c r="HF262" s="542"/>
      <c r="HG262" s="542"/>
      <c r="HH262" s="542"/>
      <c r="HI262" s="542"/>
      <c r="HJ262" s="542"/>
      <c r="HK262" s="542"/>
      <c r="HL262" s="542"/>
      <c r="HM262" s="542"/>
      <c r="HN262" s="542"/>
      <c r="HO262" s="542"/>
      <c r="HP262" s="542"/>
      <c r="HQ262" s="542"/>
      <c r="HR262" s="542"/>
      <c r="HS262" s="542"/>
      <c r="HT262" s="542"/>
      <c r="HU262" s="542"/>
      <c r="HV262" s="542"/>
      <c r="HW262" s="542"/>
      <c r="HX262" s="542"/>
      <c r="HY262" s="542"/>
      <c r="HZ262" s="542"/>
      <c r="IA262" s="542"/>
      <c r="IB262" s="542"/>
      <c r="IC262" s="542"/>
      <c r="ID262" s="542"/>
      <c r="IE262" s="542"/>
      <c r="IF262" s="542"/>
      <c r="IG262" s="542"/>
      <c r="IH262" s="542"/>
      <c r="II262" s="542"/>
      <c r="IJ262" s="542"/>
      <c r="IK262" s="542"/>
      <c r="IL262" s="542"/>
      <c r="IM262" s="542"/>
      <c r="IN262" s="542"/>
      <c r="IO262" s="542"/>
      <c r="IP262" s="542"/>
      <c r="IQ262" s="542"/>
      <c r="IR262" s="542"/>
      <c r="IS262" s="542"/>
      <c r="IT262" s="542"/>
      <c r="IU262" s="542"/>
      <c r="IV262" s="542"/>
      <c r="IW262" s="542"/>
      <c r="IX262" s="542"/>
      <c r="IY262" s="542"/>
      <c r="IZ262" s="542"/>
      <c r="JA262" s="542"/>
      <c r="JB262" s="542"/>
    </row>
    <row r="263" spans="104:262" ht="18.899999999999999" customHeight="1">
      <c r="CZ263" s="542"/>
      <c r="DA263" s="542"/>
      <c r="DB263" s="542"/>
      <c r="DC263" s="542"/>
      <c r="DD263" s="542"/>
      <c r="DE263" s="542"/>
      <c r="DF263" s="542"/>
      <c r="DG263" s="542"/>
      <c r="DH263" s="542"/>
      <c r="DI263" s="542"/>
      <c r="DJ263" s="542"/>
      <c r="DK263" s="542"/>
      <c r="DL263" s="542"/>
      <c r="DM263" s="542"/>
      <c r="DN263" s="542"/>
      <c r="DO263" s="542"/>
      <c r="DP263" s="542"/>
      <c r="DQ263" s="542"/>
      <c r="DR263" s="542"/>
      <c r="DS263" s="542"/>
      <c r="DT263" s="542"/>
      <c r="DU263" s="542"/>
      <c r="DV263" s="542"/>
      <c r="DW263" s="542"/>
      <c r="DX263" s="542"/>
      <c r="DY263" s="542"/>
      <c r="DZ263" s="542"/>
      <c r="EA263" s="542"/>
      <c r="EB263" s="542"/>
      <c r="EC263" s="542"/>
      <c r="ED263" s="542"/>
      <c r="EE263" s="542"/>
      <c r="EF263" s="542"/>
      <c r="EG263" s="542"/>
      <c r="EH263" s="542"/>
      <c r="EI263" s="542"/>
      <c r="EJ263" s="542"/>
      <c r="EK263" s="542"/>
      <c r="EL263" s="542"/>
      <c r="EM263" s="542"/>
      <c r="EN263" s="542"/>
      <c r="EO263" s="542"/>
      <c r="EP263" s="542"/>
      <c r="EQ263" s="542"/>
      <c r="ER263" s="542"/>
      <c r="ES263" s="542"/>
      <c r="ET263" s="542"/>
      <c r="EU263" s="542"/>
      <c r="EV263" s="542"/>
      <c r="EW263" s="542"/>
      <c r="EX263" s="542"/>
      <c r="EY263" s="542"/>
      <c r="EZ263" s="542"/>
      <c r="FA263" s="542"/>
      <c r="FB263" s="542"/>
      <c r="FC263" s="542"/>
      <c r="FD263" s="542"/>
      <c r="FE263" s="542"/>
      <c r="FF263" s="542"/>
      <c r="FG263" s="542"/>
      <c r="FH263" s="542"/>
      <c r="FI263" s="542"/>
      <c r="FJ263" s="542"/>
      <c r="FK263" s="542"/>
      <c r="FL263" s="542"/>
      <c r="FM263" s="542"/>
      <c r="FN263" s="542"/>
      <c r="FO263" s="542"/>
      <c r="FP263" s="542"/>
      <c r="FQ263" s="542"/>
      <c r="FR263" s="542"/>
      <c r="FS263" s="542"/>
      <c r="FT263" s="542"/>
      <c r="FU263" s="542"/>
      <c r="FV263" s="542"/>
      <c r="FW263" s="542"/>
      <c r="FX263" s="542"/>
      <c r="FY263" s="542"/>
      <c r="FZ263" s="542"/>
      <c r="GA263" s="542"/>
      <c r="GB263" s="542"/>
      <c r="GC263" s="542"/>
      <c r="GD263" s="542"/>
      <c r="GE263" s="542"/>
      <c r="GF263" s="542"/>
      <c r="GG263" s="542"/>
      <c r="GH263" s="542"/>
      <c r="GI263" s="542"/>
      <c r="GJ263" s="542"/>
      <c r="GK263" s="542"/>
      <c r="GL263" s="542"/>
      <c r="GM263" s="542"/>
      <c r="GN263" s="542"/>
      <c r="GO263" s="542"/>
      <c r="GP263" s="542"/>
      <c r="GQ263" s="542"/>
      <c r="GR263" s="542"/>
      <c r="GS263" s="542"/>
      <c r="GT263" s="542"/>
      <c r="GU263" s="542"/>
      <c r="GV263" s="542"/>
      <c r="GW263" s="542"/>
      <c r="GX263" s="542"/>
      <c r="GY263" s="542"/>
      <c r="GZ263" s="542"/>
      <c r="HA263" s="542"/>
      <c r="HB263" s="542"/>
      <c r="HC263" s="542"/>
      <c r="HD263" s="542"/>
      <c r="HE263" s="542"/>
      <c r="HF263" s="542"/>
      <c r="HG263" s="542"/>
      <c r="HH263" s="542"/>
      <c r="HI263" s="542"/>
      <c r="HJ263" s="542"/>
      <c r="HK263" s="542"/>
      <c r="HL263" s="542"/>
      <c r="HM263" s="542"/>
      <c r="HN263" s="542"/>
      <c r="HO263" s="542"/>
      <c r="HP263" s="542"/>
      <c r="HQ263" s="542"/>
      <c r="HR263" s="542"/>
      <c r="HS263" s="542"/>
      <c r="HT263" s="542"/>
      <c r="HU263" s="542"/>
      <c r="HV263" s="542"/>
      <c r="HW263" s="542"/>
      <c r="HX263" s="542"/>
      <c r="HY263" s="542"/>
      <c r="HZ263" s="542"/>
      <c r="IA263" s="542"/>
      <c r="IB263" s="542"/>
      <c r="IC263" s="542"/>
      <c r="ID263" s="542"/>
      <c r="IE263" s="542"/>
      <c r="IF263" s="542"/>
      <c r="IG263" s="542"/>
      <c r="IH263" s="542"/>
      <c r="II263" s="542"/>
      <c r="IJ263" s="542"/>
      <c r="IK263" s="542"/>
      <c r="IL263" s="542"/>
      <c r="IM263" s="542"/>
      <c r="IN263" s="542"/>
      <c r="IO263" s="542"/>
      <c r="IP263" s="542"/>
      <c r="IQ263" s="542"/>
      <c r="IR263" s="542"/>
      <c r="IS263" s="542"/>
      <c r="IT263" s="542"/>
      <c r="IU263" s="542"/>
      <c r="IV263" s="542"/>
      <c r="IW263" s="542"/>
      <c r="IX263" s="542"/>
      <c r="IY263" s="542"/>
      <c r="IZ263" s="542"/>
      <c r="JA263" s="542"/>
      <c r="JB263" s="542"/>
    </row>
    <row r="264" spans="104:262" ht="18.899999999999999" customHeight="1">
      <c r="CZ264" s="542"/>
      <c r="DA264" s="542"/>
      <c r="DB264" s="542"/>
      <c r="DC264" s="542"/>
      <c r="DD264" s="542"/>
      <c r="DE264" s="542"/>
      <c r="DF264" s="542"/>
      <c r="DG264" s="542"/>
      <c r="DH264" s="542"/>
      <c r="DI264" s="542"/>
      <c r="DJ264" s="542"/>
      <c r="DK264" s="542"/>
      <c r="DL264" s="542"/>
      <c r="DM264" s="542"/>
      <c r="DN264" s="542"/>
      <c r="DO264" s="542"/>
      <c r="DP264" s="542"/>
      <c r="DQ264" s="542"/>
      <c r="DR264" s="542"/>
      <c r="DS264" s="542"/>
      <c r="DT264" s="542"/>
      <c r="DU264" s="542"/>
      <c r="DV264" s="542"/>
      <c r="DW264" s="542"/>
      <c r="DX264" s="542"/>
      <c r="DY264" s="542"/>
      <c r="DZ264" s="542"/>
      <c r="EA264" s="542"/>
      <c r="EB264" s="542"/>
      <c r="EC264" s="542"/>
      <c r="ED264" s="542"/>
      <c r="EE264" s="542"/>
      <c r="EF264" s="542"/>
      <c r="EG264" s="542"/>
      <c r="EH264" s="542"/>
      <c r="EI264" s="542"/>
      <c r="EJ264" s="542"/>
      <c r="EK264" s="542"/>
      <c r="EL264" s="542"/>
      <c r="EM264" s="542"/>
      <c r="EN264" s="542"/>
      <c r="EO264" s="542"/>
      <c r="EP264" s="542"/>
      <c r="EQ264" s="542"/>
      <c r="ER264" s="542"/>
      <c r="ES264" s="542"/>
      <c r="ET264" s="542"/>
      <c r="EU264" s="542"/>
      <c r="EV264" s="542"/>
      <c r="EW264" s="542"/>
      <c r="EX264" s="542"/>
      <c r="EY264" s="542"/>
      <c r="EZ264" s="542"/>
      <c r="FA264" s="542"/>
      <c r="FB264" s="542"/>
      <c r="FC264" s="542"/>
      <c r="FD264" s="542"/>
      <c r="FE264" s="542"/>
      <c r="FF264" s="542"/>
      <c r="FG264" s="542"/>
      <c r="FH264" s="542"/>
      <c r="FI264" s="542"/>
      <c r="FJ264" s="542"/>
      <c r="FK264" s="542"/>
      <c r="FL264" s="542"/>
      <c r="FM264" s="542"/>
      <c r="FN264" s="542"/>
      <c r="FO264" s="542"/>
      <c r="FP264" s="542"/>
      <c r="FQ264" s="542"/>
      <c r="FR264" s="542"/>
      <c r="FS264" s="542"/>
      <c r="FT264" s="542"/>
      <c r="FU264" s="542"/>
      <c r="FV264" s="542"/>
      <c r="FW264" s="542"/>
      <c r="FX264" s="542"/>
      <c r="FY264" s="542"/>
      <c r="FZ264" s="542"/>
      <c r="GA264" s="542"/>
      <c r="GB264" s="542"/>
      <c r="GC264" s="542"/>
      <c r="GD264" s="542"/>
      <c r="GE264" s="542"/>
      <c r="GF264" s="542"/>
      <c r="GG264" s="542"/>
      <c r="GH264" s="542"/>
      <c r="GI264" s="542"/>
      <c r="GJ264" s="542"/>
      <c r="GK264" s="542"/>
      <c r="GL264" s="542"/>
      <c r="GM264" s="542"/>
      <c r="GN264" s="542"/>
      <c r="GO264" s="542"/>
      <c r="GP264" s="542"/>
      <c r="GQ264" s="542"/>
      <c r="GR264" s="542"/>
      <c r="GS264" s="542"/>
      <c r="GT264" s="542"/>
      <c r="GU264" s="542"/>
      <c r="GV264" s="542"/>
      <c r="GW264" s="542"/>
      <c r="GX264" s="542"/>
      <c r="GY264" s="542"/>
      <c r="GZ264" s="542"/>
      <c r="HA264" s="542"/>
      <c r="HB264" s="542"/>
      <c r="HC264" s="542"/>
      <c r="HD264" s="542"/>
      <c r="HE264" s="542"/>
      <c r="HF264" s="542"/>
      <c r="HG264" s="542"/>
      <c r="HH264" s="542"/>
      <c r="HI264" s="542"/>
      <c r="HJ264" s="542"/>
      <c r="HK264" s="542"/>
      <c r="HL264" s="542"/>
      <c r="HM264" s="542"/>
      <c r="HN264" s="542"/>
      <c r="HO264" s="542"/>
      <c r="HP264" s="542"/>
      <c r="HQ264" s="542"/>
      <c r="HR264" s="542"/>
      <c r="HS264" s="542"/>
      <c r="HT264" s="542"/>
      <c r="HU264" s="542"/>
      <c r="HV264" s="542"/>
      <c r="HW264" s="542"/>
      <c r="HX264" s="542"/>
      <c r="HY264" s="542"/>
      <c r="HZ264" s="542"/>
      <c r="IA264" s="542"/>
      <c r="IB264" s="542"/>
      <c r="IC264" s="542"/>
      <c r="ID264" s="542"/>
      <c r="IE264" s="542"/>
      <c r="IF264" s="542"/>
      <c r="IG264" s="542"/>
      <c r="IH264" s="542"/>
      <c r="II264" s="542"/>
      <c r="IJ264" s="542"/>
      <c r="IK264" s="542"/>
      <c r="IL264" s="542"/>
      <c r="IM264" s="542"/>
      <c r="IN264" s="542"/>
      <c r="IO264" s="542"/>
      <c r="IP264" s="542"/>
      <c r="IQ264" s="542"/>
      <c r="IR264" s="542"/>
      <c r="IS264" s="542"/>
      <c r="IT264" s="542"/>
      <c r="IU264" s="542"/>
      <c r="IV264" s="542"/>
      <c r="IW264" s="542"/>
      <c r="IX264" s="542"/>
      <c r="IY264" s="542"/>
      <c r="IZ264" s="542"/>
      <c r="JA264" s="542"/>
      <c r="JB264" s="542"/>
    </row>
    <row r="265" spans="104:262" ht="18.899999999999999" customHeight="1">
      <c r="CZ265" s="542"/>
      <c r="DA265" s="542"/>
      <c r="DB265" s="542"/>
      <c r="DC265" s="542"/>
      <c r="DD265" s="542"/>
      <c r="DE265" s="542"/>
      <c r="DF265" s="542"/>
      <c r="DG265" s="542"/>
      <c r="DH265" s="542"/>
      <c r="DI265" s="542"/>
      <c r="DJ265" s="542"/>
      <c r="DK265" s="542"/>
      <c r="DL265" s="542"/>
      <c r="DM265" s="542"/>
      <c r="DN265" s="542"/>
      <c r="DO265" s="542"/>
      <c r="DP265" s="542"/>
      <c r="DQ265" s="542"/>
      <c r="DR265" s="542"/>
      <c r="DS265" s="542"/>
      <c r="DT265" s="542"/>
      <c r="DU265" s="542"/>
      <c r="DV265" s="542"/>
      <c r="DW265" s="542"/>
      <c r="DX265" s="542"/>
      <c r="DY265" s="542"/>
      <c r="DZ265" s="542"/>
      <c r="EA265" s="542"/>
      <c r="EB265" s="542"/>
      <c r="EC265" s="542"/>
      <c r="ED265" s="542"/>
      <c r="EE265" s="542"/>
      <c r="EF265" s="542"/>
      <c r="EG265" s="542"/>
      <c r="EH265" s="542"/>
      <c r="EI265" s="542"/>
      <c r="EJ265" s="542"/>
      <c r="EK265" s="542"/>
      <c r="EL265" s="542"/>
      <c r="EM265" s="542"/>
      <c r="EN265" s="542"/>
      <c r="EO265" s="542"/>
      <c r="EP265" s="542"/>
      <c r="EQ265" s="542"/>
      <c r="ER265" s="542"/>
      <c r="ES265" s="542"/>
      <c r="ET265" s="542"/>
      <c r="EU265" s="542"/>
      <c r="EV265" s="542"/>
      <c r="EW265" s="542"/>
      <c r="EX265" s="542"/>
      <c r="EY265" s="542"/>
      <c r="EZ265" s="542"/>
      <c r="FA265" s="542"/>
      <c r="FB265" s="542"/>
      <c r="FC265" s="542"/>
      <c r="FD265" s="542"/>
      <c r="FE265" s="542"/>
      <c r="FF265" s="542"/>
      <c r="FG265" s="542"/>
      <c r="FH265" s="542"/>
      <c r="FI265" s="542"/>
      <c r="FJ265" s="542"/>
      <c r="FK265" s="542"/>
      <c r="FL265" s="542"/>
      <c r="FM265" s="542"/>
      <c r="FN265" s="542"/>
      <c r="FO265" s="542"/>
      <c r="FP265" s="542"/>
      <c r="FQ265" s="542"/>
      <c r="FR265" s="542"/>
      <c r="FS265" s="542"/>
      <c r="FT265" s="542"/>
      <c r="FU265" s="542"/>
      <c r="FV265" s="542"/>
      <c r="FW265" s="542"/>
      <c r="FX265" s="542"/>
      <c r="FY265" s="542"/>
      <c r="FZ265" s="542"/>
      <c r="GA265" s="542"/>
      <c r="GB265" s="542"/>
      <c r="GC265" s="542"/>
      <c r="GD265" s="542"/>
      <c r="GE265" s="542"/>
      <c r="GF265" s="542"/>
      <c r="GG265" s="542"/>
      <c r="GH265" s="542"/>
      <c r="GI265" s="542"/>
      <c r="GJ265" s="542"/>
      <c r="GK265" s="542"/>
      <c r="GL265" s="542"/>
      <c r="GM265" s="542"/>
      <c r="GN265" s="542"/>
      <c r="GO265" s="542"/>
      <c r="GP265" s="542"/>
      <c r="GQ265" s="542"/>
      <c r="GR265" s="542"/>
      <c r="GS265" s="542"/>
      <c r="GT265" s="542"/>
      <c r="GU265" s="542"/>
      <c r="GV265" s="542"/>
      <c r="GW265" s="542"/>
      <c r="GX265" s="542"/>
      <c r="GY265" s="542"/>
      <c r="GZ265" s="542"/>
      <c r="HA265" s="542"/>
      <c r="HB265" s="542"/>
      <c r="HC265" s="542"/>
      <c r="HD265" s="542"/>
      <c r="HE265" s="542"/>
      <c r="HF265" s="542"/>
      <c r="HG265" s="542"/>
      <c r="HH265" s="542"/>
      <c r="HI265" s="542"/>
      <c r="HJ265" s="542"/>
      <c r="HK265" s="542"/>
      <c r="HL265" s="542"/>
      <c r="HM265" s="542"/>
      <c r="HN265" s="542"/>
      <c r="HO265" s="542"/>
      <c r="HP265" s="542"/>
      <c r="HQ265" s="542"/>
      <c r="HR265" s="542"/>
      <c r="HS265" s="542"/>
      <c r="HT265" s="542"/>
      <c r="HU265" s="542"/>
      <c r="HV265" s="542"/>
      <c r="HW265" s="542"/>
      <c r="HX265" s="542"/>
      <c r="HY265" s="542"/>
      <c r="HZ265" s="542"/>
      <c r="IA265" s="542"/>
      <c r="IB265" s="542"/>
      <c r="IC265" s="542"/>
      <c r="ID265" s="542"/>
      <c r="IE265" s="542"/>
      <c r="IF265" s="542"/>
      <c r="IG265" s="542"/>
      <c r="IH265" s="542"/>
      <c r="II265" s="542"/>
      <c r="IJ265" s="542"/>
      <c r="IK265" s="542"/>
      <c r="IL265" s="542"/>
      <c r="IM265" s="542"/>
      <c r="IN265" s="542"/>
      <c r="IO265" s="542"/>
      <c r="IP265" s="542"/>
      <c r="IQ265" s="542"/>
      <c r="IR265" s="542"/>
      <c r="IS265" s="542"/>
      <c r="IT265" s="542"/>
      <c r="IU265" s="542"/>
      <c r="IV265" s="542"/>
      <c r="IW265" s="542"/>
      <c r="IX265" s="542"/>
      <c r="IY265" s="542"/>
      <c r="IZ265" s="542"/>
      <c r="JA265" s="542"/>
      <c r="JB265" s="542"/>
    </row>
    <row r="266" spans="104:262" ht="18.899999999999999" customHeight="1">
      <c r="CZ266" s="542"/>
      <c r="DA266" s="542"/>
      <c r="DB266" s="542"/>
      <c r="DC266" s="542"/>
      <c r="DD266" s="542"/>
      <c r="DE266" s="542"/>
      <c r="DF266" s="542"/>
      <c r="DG266" s="542"/>
      <c r="DH266" s="542"/>
      <c r="DI266" s="542"/>
      <c r="DJ266" s="542"/>
      <c r="DK266" s="542"/>
      <c r="DL266" s="542"/>
      <c r="DM266" s="542"/>
      <c r="DN266" s="542"/>
      <c r="DO266" s="542"/>
      <c r="DP266" s="542"/>
      <c r="DQ266" s="542"/>
      <c r="DR266" s="542"/>
      <c r="DS266" s="542"/>
      <c r="DT266" s="542"/>
      <c r="DU266" s="542"/>
      <c r="DV266" s="542"/>
      <c r="DW266" s="542"/>
      <c r="DX266" s="542"/>
      <c r="DY266" s="542"/>
      <c r="DZ266" s="542"/>
      <c r="EA266" s="542"/>
      <c r="EB266" s="542"/>
      <c r="EC266" s="542"/>
      <c r="ED266" s="542"/>
      <c r="EE266" s="542"/>
      <c r="EF266" s="542"/>
      <c r="EG266" s="542"/>
      <c r="EH266" s="542"/>
      <c r="EI266" s="542"/>
      <c r="EJ266" s="542"/>
      <c r="EK266" s="542"/>
      <c r="EL266" s="542"/>
      <c r="EM266" s="542"/>
      <c r="EN266" s="542"/>
      <c r="EO266" s="542"/>
      <c r="EP266" s="542"/>
      <c r="EQ266" s="542"/>
      <c r="ER266" s="542"/>
      <c r="ES266" s="542"/>
      <c r="ET266" s="542"/>
      <c r="EU266" s="542"/>
      <c r="EV266" s="542"/>
      <c r="EW266" s="542"/>
      <c r="EX266" s="542"/>
      <c r="EY266" s="542"/>
      <c r="EZ266" s="542"/>
      <c r="FA266" s="542"/>
      <c r="FB266" s="542"/>
      <c r="FC266" s="542"/>
      <c r="FD266" s="542"/>
      <c r="FE266" s="542"/>
      <c r="FF266" s="542"/>
      <c r="FG266" s="542"/>
      <c r="FH266" s="542"/>
      <c r="FI266" s="542"/>
      <c r="FJ266" s="542"/>
      <c r="FK266" s="542"/>
      <c r="FL266" s="542"/>
      <c r="FM266" s="542"/>
      <c r="FN266" s="542"/>
      <c r="FO266" s="542"/>
      <c r="FP266" s="542"/>
      <c r="FQ266" s="542"/>
      <c r="FR266" s="542"/>
      <c r="FS266" s="542"/>
      <c r="FT266" s="542"/>
      <c r="FU266" s="542"/>
      <c r="FV266" s="542"/>
      <c r="FW266" s="542"/>
      <c r="FX266" s="542"/>
      <c r="FY266" s="542"/>
      <c r="FZ266" s="542"/>
      <c r="GA266" s="542"/>
      <c r="GB266" s="542"/>
      <c r="GC266" s="542"/>
      <c r="GD266" s="542"/>
      <c r="GE266" s="542"/>
      <c r="GF266" s="542"/>
      <c r="GG266" s="542"/>
      <c r="GH266" s="542"/>
      <c r="GI266" s="542"/>
      <c r="GJ266" s="542"/>
      <c r="GK266" s="542"/>
      <c r="GL266" s="542"/>
      <c r="GM266" s="542"/>
      <c r="GN266" s="542"/>
      <c r="GO266" s="542"/>
      <c r="GP266" s="542"/>
      <c r="GQ266" s="542"/>
      <c r="GR266" s="542"/>
      <c r="GS266" s="542"/>
      <c r="GT266" s="542"/>
      <c r="GU266" s="542"/>
      <c r="GV266" s="542"/>
      <c r="GW266" s="542"/>
      <c r="GX266" s="542"/>
      <c r="GY266" s="542"/>
      <c r="GZ266" s="542"/>
      <c r="HA266" s="542"/>
      <c r="HB266" s="542"/>
      <c r="HC266" s="542"/>
      <c r="HD266" s="542"/>
      <c r="HE266" s="542"/>
      <c r="HF266" s="542"/>
      <c r="HG266" s="542"/>
      <c r="HH266" s="542"/>
      <c r="HI266" s="542"/>
      <c r="HJ266" s="542"/>
      <c r="HK266" s="542"/>
      <c r="HL266" s="542"/>
      <c r="HM266" s="542"/>
      <c r="HN266" s="542"/>
      <c r="HO266" s="542"/>
      <c r="HP266" s="542"/>
      <c r="HQ266" s="542"/>
      <c r="HR266" s="542"/>
      <c r="HS266" s="542"/>
      <c r="HT266" s="542"/>
      <c r="HU266" s="542"/>
      <c r="HV266" s="542"/>
      <c r="HW266" s="542"/>
      <c r="HX266" s="542"/>
      <c r="HY266" s="542"/>
      <c r="HZ266" s="542"/>
      <c r="IA266" s="542"/>
      <c r="IB266" s="542"/>
      <c r="IC266" s="542"/>
      <c r="ID266" s="542"/>
      <c r="IE266" s="542"/>
      <c r="IF266" s="542"/>
      <c r="IG266" s="542"/>
      <c r="IH266" s="542"/>
      <c r="II266" s="542"/>
      <c r="IJ266" s="542"/>
      <c r="IK266" s="542"/>
      <c r="IL266" s="542"/>
      <c r="IM266" s="542"/>
      <c r="IN266" s="542"/>
      <c r="IO266" s="542"/>
      <c r="IP266" s="542"/>
      <c r="IQ266" s="542"/>
      <c r="IR266" s="542"/>
      <c r="IS266" s="542"/>
      <c r="IT266" s="542"/>
      <c r="IU266" s="542"/>
      <c r="IV266" s="542"/>
      <c r="IW266" s="542"/>
      <c r="IX266" s="542"/>
      <c r="IY266" s="542"/>
      <c r="IZ266" s="542"/>
      <c r="JA266" s="542"/>
      <c r="JB266" s="542"/>
    </row>
    <row r="267" spans="104:262" ht="18.899999999999999" customHeight="1">
      <c r="CZ267" s="542"/>
      <c r="DA267" s="542"/>
      <c r="DB267" s="542"/>
      <c r="DC267" s="542"/>
      <c r="DD267" s="542"/>
      <c r="DE267" s="542"/>
      <c r="DF267" s="542"/>
      <c r="DG267" s="542"/>
      <c r="DH267" s="542"/>
      <c r="DI267" s="542"/>
      <c r="DJ267" s="542"/>
      <c r="DK267" s="542"/>
      <c r="DL267" s="542"/>
      <c r="DM267" s="542"/>
      <c r="DN267" s="542"/>
      <c r="DO267" s="542"/>
      <c r="DP267" s="542"/>
      <c r="DQ267" s="542"/>
      <c r="DR267" s="542"/>
      <c r="DS267" s="542"/>
      <c r="DT267" s="542"/>
      <c r="DU267" s="542"/>
      <c r="DV267" s="542"/>
      <c r="DW267" s="542"/>
      <c r="DX267" s="542"/>
      <c r="DY267" s="542"/>
      <c r="DZ267" s="542"/>
      <c r="EA267" s="542"/>
      <c r="EB267" s="542"/>
      <c r="EC267" s="542"/>
      <c r="ED267" s="542"/>
      <c r="EE267" s="542"/>
      <c r="EF267" s="542"/>
      <c r="EG267" s="542"/>
      <c r="EH267" s="542"/>
      <c r="EI267" s="542"/>
      <c r="EJ267" s="542"/>
      <c r="EK267" s="542"/>
      <c r="EL267" s="542"/>
      <c r="EM267" s="542"/>
      <c r="EN267" s="542"/>
      <c r="EO267" s="542"/>
      <c r="EP267" s="542"/>
      <c r="EQ267" s="542"/>
      <c r="ER267" s="542"/>
      <c r="ES267" s="542"/>
      <c r="ET267" s="542"/>
      <c r="EU267" s="542"/>
      <c r="EV267" s="542"/>
      <c r="EW267" s="542"/>
      <c r="EX267" s="542"/>
      <c r="EY267" s="542"/>
      <c r="EZ267" s="542"/>
      <c r="FA267" s="542"/>
      <c r="FB267" s="542"/>
      <c r="FC267" s="542"/>
      <c r="FD267" s="542"/>
      <c r="FE267" s="542"/>
      <c r="FF267" s="542"/>
      <c r="FG267" s="542"/>
      <c r="FH267" s="542"/>
      <c r="FI267" s="542"/>
      <c r="FJ267" s="542"/>
      <c r="FK267" s="542"/>
      <c r="FL267" s="542"/>
      <c r="FM267" s="542"/>
      <c r="FN267" s="542"/>
      <c r="FO267" s="542"/>
      <c r="FP267" s="542"/>
      <c r="FQ267" s="542"/>
      <c r="FR267" s="542"/>
      <c r="FS267" s="542"/>
      <c r="FT267" s="542"/>
      <c r="FU267" s="542"/>
      <c r="FV267" s="542"/>
      <c r="FW267" s="542"/>
      <c r="FX267" s="542"/>
      <c r="FY267" s="542"/>
      <c r="FZ267" s="542"/>
      <c r="GA267" s="542"/>
      <c r="GB267" s="542"/>
      <c r="GC267" s="542"/>
      <c r="GD267" s="542"/>
      <c r="GE267" s="542"/>
      <c r="GF267" s="542"/>
      <c r="GG267" s="542"/>
      <c r="GH267" s="542"/>
      <c r="GI267" s="542"/>
      <c r="GJ267" s="542"/>
      <c r="GK267" s="542"/>
      <c r="GL267" s="542"/>
      <c r="GM267" s="542"/>
      <c r="GN267" s="542"/>
      <c r="GO267" s="542"/>
      <c r="GP267" s="542"/>
      <c r="GQ267" s="542"/>
      <c r="GR267" s="542"/>
      <c r="GS267" s="542"/>
      <c r="GT267" s="542"/>
      <c r="GU267" s="542"/>
      <c r="GV267" s="542"/>
      <c r="GW267" s="542"/>
      <c r="GX267" s="542"/>
      <c r="GY267" s="542"/>
      <c r="GZ267" s="542"/>
      <c r="HA267" s="542"/>
      <c r="HB267" s="542"/>
      <c r="HC267" s="542"/>
      <c r="HD267" s="542"/>
      <c r="HE267" s="542"/>
      <c r="HF267" s="542"/>
      <c r="HG267" s="542"/>
      <c r="HH267" s="542"/>
      <c r="HI267" s="542"/>
      <c r="HJ267" s="542"/>
      <c r="HK267" s="542"/>
      <c r="HL267" s="542"/>
      <c r="HM267" s="542"/>
      <c r="HN267" s="542"/>
      <c r="HO267" s="542"/>
      <c r="HP267" s="542"/>
      <c r="HQ267" s="542"/>
      <c r="HR267" s="542"/>
      <c r="HS267" s="542"/>
      <c r="HT267" s="542"/>
      <c r="HU267" s="542"/>
      <c r="HV267" s="542"/>
      <c r="HW267" s="542"/>
      <c r="HX267" s="542"/>
      <c r="HY267" s="542"/>
      <c r="HZ267" s="542"/>
      <c r="IA267" s="542"/>
      <c r="IB267" s="542"/>
      <c r="IC267" s="542"/>
      <c r="ID267" s="542"/>
      <c r="IE267" s="542"/>
      <c r="IF267" s="542"/>
      <c r="IG267" s="542"/>
      <c r="IH267" s="542"/>
      <c r="II267" s="542"/>
      <c r="IJ267" s="542"/>
      <c r="IK267" s="542"/>
      <c r="IL267" s="542"/>
      <c r="IM267" s="542"/>
      <c r="IN267" s="542"/>
      <c r="IO267" s="542"/>
      <c r="IP267" s="542"/>
      <c r="IQ267" s="542"/>
      <c r="IR267" s="542"/>
      <c r="IS267" s="542"/>
      <c r="IT267" s="542"/>
      <c r="IU267" s="542"/>
      <c r="IV267" s="542"/>
      <c r="IW267" s="542"/>
      <c r="IX267" s="542"/>
      <c r="IY267" s="542"/>
      <c r="IZ267" s="542"/>
      <c r="JA267" s="542"/>
      <c r="JB267" s="542"/>
    </row>
    <row r="268" spans="104:262" ht="18.899999999999999" customHeight="1">
      <c r="CZ268" s="542"/>
      <c r="DA268" s="542"/>
      <c r="DB268" s="542"/>
      <c r="DC268" s="542"/>
      <c r="DD268" s="542"/>
      <c r="DE268" s="542"/>
      <c r="DF268" s="542"/>
      <c r="DG268" s="542"/>
      <c r="DH268" s="542"/>
      <c r="DI268" s="542"/>
      <c r="DJ268" s="542"/>
      <c r="DK268" s="542"/>
      <c r="DL268" s="542"/>
      <c r="DM268" s="542"/>
      <c r="DN268" s="542"/>
      <c r="DO268" s="542"/>
      <c r="DP268" s="542"/>
      <c r="DQ268" s="542"/>
      <c r="DR268" s="542"/>
      <c r="DS268" s="542"/>
      <c r="DT268" s="542"/>
      <c r="DU268" s="542"/>
      <c r="DV268" s="542"/>
      <c r="DW268" s="542"/>
      <c r="DX268" s="542"/>
      <c r="DY268" s="542"/>
      <c r="DZ268" s="542"/>
      <c r="EA268" s="542"/>
      <c r="EB268" s="542"/>
      <c r="EC268" s="542"/>
      <c r="ED268" s="542"/>
      <c r="EE268" s="542"/>
      <c r="EF268" s="542"/>
      <c r="EG268" s="542"/>
      <c r="EH268" s="542"/>
      <c r="EI268" s="542"/>
      <c r="EJ268" s="542"/>
      <c r="EK268" s="542"/>
      <c r="EL268" s="542"/>
      <c r="EM268" s="542"/>
      <c r="EN268" s="542"/>
      <c r="EO268" s="542"/>
      <c r="EP268" s="542"/>
      <c r="EQ268" s="542"/>
      <c r="ER268" s="542"/>
      <c r="ES268" s="542"/>
      <c r="ET268" s="542"/>
      <c r="EU268" s="542"/>
      <c r="EV268" s="542"/>
      <c r="EW268" s="542"/>
      <c r="EX268" s="542"/>
      <c r="EY268" s="542"/>
      <c r="EZ268" s="542"/>
      <c r="FA268" s="542"/>
      <c r="FB268" s="542"/>
      <c r="FC268" s="542"/>
      <c r="FD268" s="542"/>
      <c r="FE268" s="542"/>
      <c r="FF268" s="542"/>
      <c r="FG268" s="542"/>
      <c r="FH268" s="542"/>
      <c r="FI268" s="542"/>
      <c r="FJ268" s="542"/>
      <c r="FK268" s="542"/>
      <c r="FL268" s="542"/>
      <c r="FM268" s="542"/>
      <c r="FN268" s="542"/>
      <c r="FO268" s="542"/>
      <c r="FP268" s="542"/>
      <c r="FQ268" s="542"/>
      <c r="FR268" s="542"/>
      <c r="FS268" s="542"/>
      <c r="FT268" s="542"/>
      <c r="FU268" s="542"/>
      <c r="FV268" s="542"/>
      <c r="FW268" s="542"/>
      <c r="FX268" s="542"/>
      <c r="FY268" s="542"/>
      <c r="FZ268" s="542"/>
      <c r="GA268" s="542"/>
      <c r="GB268" s="542"/>
      <c r="GC268" s="542"/>
      <c r="GD268" s="542"/>
      <c r="GE268" s="542"/>
      <c r="GF268" s="542"/>
      <c r="GG268" s="542"/>
      <c r="GH268" s="542"/>
      <c r="GI268" s="542"/>
      <c r="GJ268" s="542"/>
      <c r="GK268" s="542"/>
      <c r="GL268" s="542"/>
      <c r="GM268" s="542"/>
      <c r="GN268" s="542"/>
      <c r="GO268" s="542"/>
      <c r="GP268" s="542"/>
      <c r="GQ268" s="542"/>
      <c r="GR268" s="542"/>
      <c r="GS268" s="542"/>
      <c r="GT268" s="542"/>
      <c r="GU268" s="542"/>
      <c r="GV268" s="542"/>
      <c r="GW268" s="542"/>
      <c r="GX268" s="542"/>
      <c r="GY268" s="542"/>
      <c r="GZ268" s="542"/>
      <c r="HA268" s="542"/>
      <c r="HB268" s="542"/>
      <c r="HC268" s="542"/>
      <c r="HD268" s="542"/>
      <c r="HE268" s="542"/>
      <c r="HF268" s="542"/>
      <c r="HG268" s="542"/>
      <c r="HH268" s="542"/>
      <c r="HI268" s="542"/>
      <c r="HJ268" s="542"/>
      <c r="HK268" s="542"/>
      <c r="HL268" s="542"/>
      <c r="HM268" s="542"/>
      <c r="HN268" s="542"/>
      <c r="HO268" s="542"/>
      <c r="HP268" s="542"/>
      <c r="HQ268" s="542"/>
      <c r="HR268" s="542"/>
      <c r="HS268" s="542"/>
      <c r="HT268" s="542"/>
      <c r="HU268" s="542"/>
      <c r="HV268" s="542"/>
      <c r="HW268" s="542"/>
      <c r="HX268" s="542"/>
      <c r="HY268" s="542"/>
      <c r="HZ268" s="542"/>
      <c r="IA268" s="542"/>
      <c r="IB268" s="542"/>
      <c r="IC268" s="542"/>
      <c r="ID268" s="542"/>
      <c r="IE268" s="542"/>
      <c r="IF268" s="542"/>
      <c r="IG268" s="542"/>
      <c r="IH268" s="542"/>
      <c r="II268" s="542"/>
      <c r="IJ268" s="542"/>
      <c r="IK268" s="542"/>
      <c r="IL268" s="542"/>
      <c r="IM268" s="542"/>
      <c r="IN268" s="542"/>
      <c r="IO268" s="542"/>
      <c r="IP268" s="542"/>
      <c r="IQ268" s="542"/>
      <c r="IR268" s="542"/>
      <c r="IS268" s="542"/>
      <c r="IT268" s="542"/>
      <c r="IU268" s="542"/>
      <c r="IV268" s="542"/>
      <c r="IW268" s="542"/>
      <c r="IX268" s="542"/>
      <c r="IY268" s="542"/>
      <c r="IZ268" s="542"/>
      <c r="JA268" s="542"/>
      <c r="JB268" s="542"/>
    </row>
    <row r="269" spans="104:262" ht="18.899999999999999" customHeight="1">
      <c r="CZ269" s="542"/>
      <c r="DA269" s="542"/>
      <c r="DB269" s="542"/>
      <c r="DC269" s="542"/>
      <c r="DD269" s="542"/>
      <c r="DE269" s="542"/>
      <c r="DF269" s="542"/>
      <c r="DG269" s="542"/>
      <c r="DH269" s="542"/>
      <c r="DI269" s="542"/>
      <c r="DJ269" s="542"/>
      <c r="DK269" s="542"/>
      <c r="DL269" s="542"/>
      <c r="DM269" s="542"/>
      <c r="DN269" s="542"/>
      <c r="DO269" s="542"/>
      <c r="DP269" s="542"/>
      <c r="DQ269" s="542"/>
      <c r="DR269" s="542"/>
      <c r="DS269" s="542"/>
      <c r="DT269" s="542"/>
      <c r="DU269" s="542"/>
      <c r="DV269" s="542"/>
      <c r="DW269" s="542"/>
      <c r="DX269" s="542"/>
      <c r="DY269" s="542"/>
      <c r="DZ269" s="542"/>
      <c r="EA269" s="542"/>
      <c r="EB269" s="542"/>
      <c r="EC269" s="542"/>
      <c r="ED269" s="542"/>
      <c r="EE269" s="542"/>
      <c r="EF269" s="542"/>
      <c r="EG269" s="542"/>
      <c r="EH269" s="542"/>
      <c r="EI269" s="542"/>
      <c r="EJ269" s="542"/>
      <c r="EK269" s="542"/>
      <c r="EL269" s="542"/>
      <c r="EM269" s="542"/>
      <c r="EN269" s="542"/>
      <c r="EO269" s="542"/>
      <c r="EP269" s="542"/>
      <c r="EQ269" s="542"/>
      <c r="ER269" s="542"/>
      <c r="ES269" s="542"/>
      <c r="ET269" s="542"/>
      <c r="EU269" s="542"/>
      <c r="EV269" s="542"/>
      <c r="EW269" s="542"/>
      <c r="EX269" s="542"/>
      <c r="EY269" s="542"/>
      <c r="EZ269" s="542"/>
      <c r="FA269" s="542"/>
      <c r="FB269" s="542"/>
      <c r="FC269" s="542"/>
      <c r="FD269" s="542"/>
      <c r="FE269" s="542"/>
      <c r="FF269" s="542"/>
      <c r="FG269" s="542"/>
      <c r="FH269" s="542"/>
      <c r="FI269" s="542"/>
      <c r="FJ269" s="542"/>
      <c r="FK269" s="542"/>
      <c r="FL269" s="542"/>
      <c r="FM269" s="542"/>
      <c r="FN269" s="542"/>
      <c r="FO269" s="542"/>
      <c r="FP269" s="542"/>
      <c r="FQ269" s="542"/>
      <c r="FR269" s="542"/>
      <c r="FS269" s="542"/>
      <c r="FT269" s="542"/>
      <c r="FU269" s="542"/>
      <c r="FV269" s="542"/>
      <c r="FW269" s="542"/>
      <c r="FX269" s="542"/>
      <c r="FY269" s="542"/>
      <c r="FZ269" s="542"/>
      <c r="GA269" s="542"/>
      <c r="GB269" s="542"/>
      <c r="GC269" s="542"/>
      <c r="GD269" s="542"/>
      <c r="GE269" s="542"/>
      <c r="GF269" s="542"/>
      <c r="GG269" s="542"/>
      <c r="GH269" s="542"/>
      <c r="GI269" s="542"/>
      <c r="GJ269" s="542"/>
      <c r="GK269" s="542"/>
      <c r="GL269" s="542"/>
      <c r="GM269" s="542"/>
      <c r="GN269" s="542"/>
      <c r="GO269" s="542"/>
      <c r="GP269" s="542"/>
      <c r="GQ269" s="542"/>
      <c r="GR269" s="542"/>
      <c r="GS269" s="542"/>
      <c r="GT269" s="542"/>
      <c r="GU269" s="542"/>
      <c r="GV269" s="542"/>
      <c r="GW269" s="542"/>
      <c r="GX269" s="542"/>
      <c r="GY269" s="542"/>
      <c r="GZ269" s="542"/>
      <c r="HA269" s="542"/>
      <c r="HB269" s="542"/>
      <c r="HC269" s="542"/>
      <c r="HD269" s="542"/>
      <c r="HE269" s="542"/>
      <c r="HF269" s="542"/>
      <c r="HG269" s="542"/>
      <c r="HH269" s="542"/>
      <c r="HI269" s="542"/>
      <c r="HJ269" s="542"/>
      <c r="HK269" s="542"/>
      <c r="HL269" s="542"/>
      <c r="HM269" s="542"/>
      <c r="HN269" s="542"/>
      <c r="HO269" s="542"/>
      <c r="HP269" s="542"/>
      <c r="HQ269" s="542"/>
      <c r="HR269" s="542"/>
      <c r="HS269" s="542"/>
      <c r="HT269" s="542"/>
      <c r="HU269" s="542"/>
      <c r="HV269" s="542"/>
      <c r="HW269" s="542"/>
      <c r="HX269" s="542"/>
      <c r="HY269" s="542"/>
      <c r="HZ269" s="542"/>
      <c r="IA269" s="542"/>
      <c r="IB269" s="542"/>
      <c r="IC269" s="542"/>
      <c r="ID269" s="542"/>
      <c r="IE269" s="542"/>
      <c r="IF269" s="542"/>
      <c r="IG269" s="542"/>
      <c r="IH269" s="542"/>
      <c r="II269" s="542"/>
      <c r="IJ269" s="542"/>
      <c r="IK269" s="542"/>
      <c r="IL269" s="542"/>
      <c r="IM269" s="542"/>
      <c r="IN269" s="542"/>
      <c r="IO269" s="542"/>
      <c r="IP269" s="542"/>
      <c r="IQ269" s="542"/>
      <c r="IR269" s="542"/>
      <c r="IS269" s="542"/>
      <c r="IT269" s="542"/>
      <c r="IU269" s="542"/>
      <c r="IV269" s="542"/>
      <c r="IW269" s="542"/>
      <c r="IX269" s="542"/>
      <c r="IY269" s="542"/>
      <c r="IZ269" s="542"/>
      <c r="JA269" s="542"/>
      <c r="JB269" s="542"/>
    </row>
    <row r="270" spans="104:262" ht="18.899999999999999" customHeight="1">
      <c r="CZ270" s="542"/>
      <c r="DA270" s="542"/>
      <c r="DB270" s="542"/>
      <c r="DC270" s="542"/>
      <c r="DD270" s="542"/>
      <c r="DE270" s="542"/>
      <c r="DF270" s="542"/>
      <c r="DG270" s="542"/>
      <c r="DH270" s="542"/>
      <c r="DI270" s="542"/>
      <c r="DJ270" s="542"/>
      <c r="DK270" s="542"/>
      <c r="DL270" s="542"/>
      <c r="DM270" s="542"/>
      <c r="DN270" s="542"/>
      <c r="DO270" s="542"/>
      <c r="DP270" s="542"/>
      <c r="DQ270" s="542"/>
      <c r="DR270" s="542"/>
      <c r="DS270" s="542"/>
      <c r="DT270" s="542"/>
      <c r="DU270" s="542"/>
      <c r="DV270" s="542"/>
      <c r="DW270" s="542"/>
      <c r="DX270" s="542"/>
      <c r="DY270" s="542"/>
      <c r="DZ270" s="542"/>
      <c r="EA270" s="542"/>
      <c r="EB270" s="542"/>
      <c r="EC270" s="542"/>
      <c r="ED270" s="542"/>
      <c r="EE270" s="542"/>
      <c r="EF270" s="542"/>
      <c r="EG270" s="542"/>
      <c r="EH270" s="542"/>
      <c r="EI270" s="542"/>
      <c r="EJ270" s="542"/>
      <c r="EK270" s="542"/>
      <c r="EL270" s="542"/>
      <c r="EM270" s="542"/>
      <c r="EN270" s="542"/>
      <c r="EO270" s="542"/>
      <c r="EP270" s="542"/>
      <c r="EQ270" s="542"/>
      <c r="ER270" s="542"/>
      <c r="ES270" s="542"/>
      <c r="ET270" s="542"/>
      <c r="EU270" s="542"/>
      <c r="EV270" s="542"/>
      <c r="EW270" s="542"/>
      <c r="EX270" s="542"/>
      <c r="EY270" s="542"/>
      <c r="EZ270" s="542"/>
      <c r="FA270" s="542"/>
      <c r="FB270" s="542"/>
      <c r="FC270" s="542"/>
      <c r="FD270" s="542"/>
      <c r="FE270" s="542"/>
      <c r="FF270" s="542"/>
      <c r="FG270" s="542"/>
      <c r="FH270" s="542"/>
      <c r="FI270" s="542"/>
      <c r="FJ270" s="542"/>
      <c r="FK270" s="542"/>
      <c r="FL270" s="542"/>
      <c r="FM270" s="542"/>
      <c r="FN270" s="542"/>
      <c r="FO270" s="542"/>
      <c r="FP270" s="542"/>
      <c r="FQ270" s="542"/>
      <c r="FR270" s="542"/>
      <c r="FS270" s="542"/>
      <c r="FT270" s="542"/>
      <c r="FU270" s="542"/>
      <c r="FV270" s="542"/>
      <c r="FW270" s="542"/>
      <c r="FX270" s="542"/>
      <c r="FY270" s="542"/>
      <c r="FZ270" s="542"/>
      <c r="GA270" s="542"/>
      <c r="GB270" s="542"/>
      <c r="GC270" s="542"/>
      <c r="GD270" s="542"/>
      <c r="GE270" s="542"/>
      <c r="GF270" s="542"/>
      <c r="GG270" s="542"/>
      <c r="GH270" s="542"/>
      <c r="GI270" s="542"/>
      <c r="GJ270" s="542"/>
      <c r="GK270" s="542"/>
      <c r="GL270" s="542"/>
      <c r="GM270" s="542"/>
      <c r="GN270" s="542"/>
      <c r="GO270" s="542"/>
      <c r="GP270" s="542"/>
      <c r="GQ270" s="542"/>
      <c r="GR270" s="542"/>
      <c r="GS270" s="542"/>
      <c r="GT270" s="542"/>
      <c r="GU270" s="542"/>
      <c r="GV270" s="542"/>
      <c r="GW270" s="542"/>
      <c r="GX270" s="542"/>
      <c r="GY270" s="542"/>
      <c r="GZ270" s="542"/>
      <c r="HA270" s="542"/>
      <c r="HB270" s="542"/>
      <c r="HC270" s="542"/>
      <c r="HD270" s="542"/>
      <c r="HE270" s="542"/>
      <c r="HF270" s="542"/>
      <c r="HG270" s="542"/>
      <c r="HH270" s="542"/>
      <c r="HI270" s="542"/>
      <c r="HJ270" s="542"/>
      <c r="HK270" s="542"/>
      <c r="HL270" s="542"/>
      <c r="HM270" s="542"/>
      <c r="HN270" s="542"/>
      <c r="HO270" s="542"/>
      <c r="HP270" s="542"/>
      <c r="HQ270" s="542"/>
      <c r="HR270" s="542"/>
      <c r="HS270" s="542"/>
      <c r="HT270" s="542"/>
      <c r="HU270" s="542"/>
      <c r="HV270" s="542"/>
      <c r="HW270" s="542"/>
      <c r="HX270" s="542"/>
      <c r="HY270" s="542"/>
      <c r="HZ270" s="542"/>
      <c r="IA270" s="542"/>
      <c r="IB270" s="542"/>
      <c r="IC270" s="542"/>
      <c r="ID270" s="542"/>
      <c r="IE270" s="542"/>
      <c r="IF270" s="542"/>
      <c r="IG270" s="542"/>
      <c r="IH270" s="542"/>
      <c r="II270" s="542"/>
      <c r="IJ270" s="542"/>
      <c r="IK270" s="542"/>
      <c r="IL270" s="542"/>
      <c r="IM270" s="542"/>
      <c r="IN270" s="542"/>
      <c r="IO270" s="542"/>
      <c r="IP270" s="542"/>
      <c r="IQ270" s="542"/>
      <c r="IR270" s="542"/>
      <c r="IS270" s="542"/>
      <c r="IT270" s="542"/>
      <c r="IU270" s="542"/>
      <c r="IV270" s="542"/>
      <c r="IW270" s="542"/>
      <c r="IX270" s="542"/>
      <c r="IY270" s="542"/>
      <c r="IZ270" s="542"/>
      <c r="JA270" s="542"/>
      <c r="JB270" s="542"/>
    </row>
    <row r="271" spans="104:262" ht="18.899999999999999" customHeight="1">
      <c r="CZ271" s="542"/>
      <c r="DA271" s="542"/>
      <c r="DB271" s="542"/>
      <c r="DC271" s="542"/>
      <c r="DD271" s="542"/>
      <c r="DE271" s="542"/>
      <c r="DF271" s="542"/>
      <c r="DG271" s="542"/>
      <c r="DH271" s="542"/>
      <c r="DI271" s="542"/>
      <c r="DJ271" s="542"/>
      <c r="DK271" s="542"/>
      <c r="DL271" s="542"/>
      <c r="DM271" s="542"/>
      <c r="DN271" s="542"/>
      <c r="DO271" s="542"/>
      <c r="DP271" s="542"/>
      <c r="DQ271" s="542"/>
      <c r="DR271" s="542"/>
      <c r="DS271" s="542"/>
      <c r="DT271" s="542"/>
      <c r="DU271" s="542"/>
      <c r="DV271" s="542"/>
      <c r="DW271" s="542"/>
      <c r="DX271" s="542"/>
      <c r="DY271" s="542"/>
      <c r="DZ271" s="542"/>
      <c r="EA271" s="542"/>
      <c r="EB271" s="542"/>
      <c r="EC271" s="542"/>
      <c r="ED271" s="542"/>
      <c r="EE271" s="542"/>
      <c r="EF271" s="542"/>
      <c r="EG271" s="542"/>
      <c r="EH271" s="542"/>
      <c r="EI271" s="542"/>
      <c r="EJ271" s="542"/>
      <c r="EK271" s="542"/>
      <c r="EL271" s="542"/>
      <c r="EM271" s="542"/>
      <c r="EN271" s="542"/>
      <c r="EO271" s="542"/>
      <c r="EP271" s="542"/>
      <c r="EQ271" s="542"/>
      <c r="ER271" s="542"/>
      <c r="ES271" s="542"/>
      <c r="ET271" s="542"/>
      <c r="EU271" s="542"/>
      <c r="EV271" s="542"/>
      <c r="EW271" s="542"/>
      <c r="EX271" s="542"/>
      <c r="EY271" s="542"/>
      <c r="EZ271" s="542"/>
      <c r="FA271" s="542"/>
      <c r="FB271" s="542"/>
      <c r="FC271" s="542"/>
      <c r="FD271" s="542"/>
      <c r="FE271" s="542"/>
      <c r="FF271" s="542"/>
      <c r="FG271" s="542"/>
      <c r="FH271" s="542"/>
      <c r="FI271" s="542"/>
      <c r="FJ271" s="542"/>
      <c r="FK271" s="542"/>
      <c r="FL271" s="542"/>
      <c r="FM271" s="542"/>
      <c r="FN271" s="542"/>
      <c r="FO271" s="542"/>
      <c r="FP271" s="542"/>
      <c r="FQ271" s="542"/>
      <c r="FR271" s="542"/>
      <c r="FS271" s="542"/>
      <c r="FT271" s="542"/>
      <c r="FU271" s="542"/>
      <c r="FV271" s="542"/>
      <c r="FW271" s="542"/>
      <c r="FX271" s="542"/>
      <c r="FY271" s="542"/>
      <c r="FZ271" s="542"/>
      <c r="GA271" s="542"/>
      <c r="GB271" s="542"/>
      <c r="GC271" s="542"/>
      <c r="GD271" s="542"/>
      <c r="GE271" s="542"/>
      <c r="GF271" s="542"/>
      <c r="GG271" s="542"/>
      <c r="GH271" s="542"/>
      <c r="GI271" s="542"/>
      <c r="GJ271" s="542"/>
      <c r="GK271" s="542"/>
      <c r="GL271" s="542"/>
      <c r="GM271" s="542"/>
      <c r="GN271" s="542"/>
      <c r="GO271" s="542"/>
      <c r="GP271" s="542"/>
      <c r="GQ271" s="542"/>
      <c r="GR271" s="542"/>
      <c r="GS271" s="542"/>
      <c r="GT271" s="542"/>
      <c r="GU271" s="542"/>
      <c r="GV271" s="542"/>
      <c r="GW271" s="542"/>
      <c r="GX271" s="542"/>
      <c r="GY271" s="542"/>
      <c r="GZ271" s="542"/>
      <c r="HA271" s="542"/>
      <c r="HB271" s="542"/>
      <c r="HC271" s="542"/>
      <c r="HD271" s="542"/>
      <c r="HE271" s="542"/>
      <c r="HF271" s="542"/>
      <c r="HG271" s="542"/>
      <c r="HH271" s="542"/>
      <c r="HI271" s="542"/>
      <c r="HJ271" s="542"/>
      <c r="HK271" s="542"/>
      <c r="HL271" s="542"/>
      <c r="HM271" s="542"/>
      <c r="HN271" s="542"/>
      <c r="HO271" s="542"/>
      <c r="HP271" s="542"/>
      <c r="HQ271" s="542"/>
      <c r="HR271" s="542"/>
      <c r="HS271" s="542"/>
      <c r="HT271" s="542"/>
      <c r="HU271" s="542"/>
      <c r="HV271" s="542"/>
      <c r="HW271" s="542"/>
      <c r="HX271" s="542"/>
      <c r="HY271" s="542"/>
      <c r="HZ271" s="542"/>
      <c r="IA271" s="542"/>
      <c r="IB271" s="542"/>
      <c r="IC271" s="542"/>
      <c r="ID271" s="542"/>
      <c r="IE271" s="542"/>
      <c r="IF271" s="542"/>
      <c r="IG271" s="542"/>
      <c r="IH271" s="542"/>
      <c r="II271" s="542"/>
      <c r="IJ271" s="542"/>
      <c r="IK271" s="542"/>
      <c r="IL271" s="542"/>
      <c r="IM271" s="542"/>
      <c r="IN271" s="542"/>
      <c r="IO271" s="542"/>
      <c r="IP271" s="542"/>
      <c r="IQ271" s="542"/>
      <c r="IR271" s="542"/>
      <c r="IS271" s="542"/>
      <c r="IT271" s="542"/>
      <c r="IU271" s="542"/>
      <c r="IV271" s="542"/>
      <c r="IW271" s="542"/>
      <c r="IX271" s="542"/>
      <c r="IY271" s="542"/>
      <c r="IZ271" s="542"/>
      <c r="JA271" s="542"/>
      <c r="JB271" s="542"/>
    </row>
    <row r="272" spans="104:262" ht="18.899999999999999" customHeight="1">
      <c r="CZ272" s="542"/>
      <c r="DA272" s="542"/>
      <c r="DB272" s="542"/>
      <c r="DC272" s="542"/>
      <c r="DD272" s="542"/>
      <c r="DE272" s="542"/>
      <c r="DF272" s="542"/>
      <c r="DG272" s="542"/>
      <c r="DH272" s="542"/>
      <c r="DI272" s="542"/>
      <c r="DJ272" s="542"/>
      <c r="DK272" s="542"/>
      <c r="DL272" s="542"/>
      <c r="DM272" s="542"/>
      <c r="DN272" s="542"/>
      <c r="DO272" s="542"/>
      <c r="DP272" s="542"/>
      <c r="DQ272" s="542"/>
      <c r="DR272" s="542"/>
      <c r="DS272" s="542"/>
      <c r="DT272" s="542"/>
      <c r="DU272" s="542"/>
      <c r="DV272" s="542"/>
      <c r="DW272" s="542"/>
      <c r="DX272" s="542"/>
      <c r="DY272" s="542"/>
      <c r="DZ272" s="542"/>
      <c r="EA272" s="542"/>
      <c r="EB272" s="542"/>
      <c r="EC272" s="542"/>
      <c r="ED272" s="542"/>
      <c r="EE272" s="542"/>
      <c r="EF272" s="542"/>
      <c r="EG272" s="542"/>
      <c r="EH272" s="542"/>
      <c r="EI272" s="542"/>
      <c r="EJ272" s="542"/>
      <c r="EK272" s="542"/>
      <c r="EL272" s="542"/>
      <c r="EM272" s="542"/>
      <c r="EN272" s="542"/>
      <c r="EO272" s="542"/>
      <c r="EP272" s="542"/>
      <c r="EQ272" s="542"/>
      <c r="ER272" s="542"/>
      <c r="ES272" s="542"/>
      <c r="ET272" s="542"/>
      <c r="EU272" s="542"/>
      <c r="EV272" s="542"/>
      <c r="EW272" s="542"/>
      <c r="EX272" s="542"/>
      <c r="EY272" s="542"/>
      <c r="EZ272" s="542"/>
      <c r="FA272" s="542"/>
      <c r="FB272" s="542"/>
      <c r="FC272" s="542"/>
      <c r="FD272" s="542"/>
      <c r="FE272" s="542"/>
      <c r="FF272" s="542"/>
      <c r="FG272" s="542"/>
      <c r="FH272" s="542"/>
      <c r="FI272" s="542"/>
      <c r="FJ272" s="542"/>
      <c r="FK272" s="542"/>
      <c r="FL272" s="542"/>
      <c r="FM272" s="542"/>
      <c r="FN272" s="542"/>
      <c r="FO272" s="542"/>
      <c r="FP272" s="542"/>
      <c r="FQ272" s="542"/>
      <c r="FR272" s="542"/>
      <c r="FS272" s="542"/>
      <c r="FT272" s="542"/>
      <c r="FU272" s="542"/>
      <c r="FV272" s="542"/>
      <c r="FW272" s="542"/>
      <c r="FX272" s="542"/>
      <c r="FY272" s="542"/>
      <c r="FZ272" s="542"/>
      <c r="GA272" s="542"/>
      <c r="GB272" s="542"/>
      <c r="GC272" s="542"/>
      <c r="GD272" s="542"/>
      <c r="GE272" s="542"/>
      <c r="GF272" s="542"/>
      <c r="GG272" s="542"/>
      <c r="GH272" s="542"/>
      <c r="GI272" s="542"/>
      <c r="GJ272" s="542"/>
      <c r="GK272" s="542"/>
      <c r="GL272" s="542"/>
      <c r="GM272" s="542"/>
      <c r="GN272" s="542"/>
      <c r="GO272" s="542"/>
      <c r="GP272" s="542"/>
      <c r="GQ272" s="542"/>
      <c r="GR272" s="542"/>
      <c r="GS272" s="542"/>
      <c r="GT272" s="542"/>
      <c r="GU272" s="542"/>
      <c r="GV272" s="542"/>
      <c r="GW272" s="542"/>
      <c r="GX272" s="542"/>
      <c r="GY272" s="542"/>
      <c r="GZ272" s="542"/>
      <c r="HA272" s="542"/>
      <c r="HB272" s="542"/>
      <c r="HC272" s="542"/>
      <c r="HD272" s="542"/>
      <c r="HE272" s="542"/>
      <c r="HF272" s="542"/>
      <c r="HG272" s="542"/>
      <c r="HH272" s="542"/>
      <c r="HI272" s="542"/>
      <c r="HJ272" s="542"/>
      <c r="HK272" s="542"/>
      <c r="HL272" s="542"/>
      <c r="HM272" s="542"/>
      <c r="HN272" s="542"/>
      <c r="HO272" s="542"/>
      <c r="HP272" s="542"/>
      <c r="HQ272" s="542"/>
      <c r="HR272" s="542"/>
      <c r="HS272" s="542"/>
      <c r="HT272" s="542"/>
      <c r="HU272" s="542"/>
      <c r="HV272" s="542"/>
      <c r="HW272" s="542"/>
      <c r="HX272" s="542"/>
      <c r="HY272" s="542"/>
      <c r="HZ272" s="542"/>
      <c r="IA272" s="542"/>
      <c r="IB272" s="542"/>
      <c r="IC272" s="542"/>
      <c r="ID272" s="542"/>
      <c r="IE272" s="542"/>
      <c r="IF272" s="542"/>
      <c r="IG272" s="542"/>
      <c r="IH272" s="542"/>
      <c r="II272" s="542"/>
      <c r="IJ272" s="542"/>
      <c r="IK272" s="542"/>
      <c r="IL272" s="542"/>
      <c r="IM272" s="542"/>
      <c r="IN272" s="542"/>
      <c r="IO272" s="542"/>
      <c r="IP272" s="542"/>
      <c r="IQ272" s="542"/>
      <c r="IR272" s="542"/>
      <c r="IS272" s="542"/>
      <c r="IT272" s="542"/>
      <c r="IU272" s="542"/>
      <c r="IV272" s="542"/>
      <c r="IW272" s="542"/>
      <c r="IX272" s="542"/>
      <c r="IY272" s="542"/>
      <c r="IZ272" s="542"/>
      <c r="JA272" s="542"/>
      <c r="JB272" s="542"/>
    </row>
    <row r="273" spans="104:262" ht="18.899999999999999" customHeight="1">
      <c r="CZ273" s="542"/>
      <c r="DA273" s="542"/>
      <c r="DB273" s="542"/>
      <c r="DC273" s="542"/>
      <c r="DD273" s="542"/>
      <c r="DE273" s="542"/>
      <c r="DF273" s="542"/>
      <c r="DG273" s="542"/>
      <c r="DH273" s="542"/>
      <c r="DI273" s="542"/>
      <c r="DJ273" s="542"/>
      <c r="DK273" s="542"/>
      <c r="DL273" s="542"/>
      <c r="DM273" s="542"/>
      <c r="DN273" s="542"/>
      <c r="DO273" s="542"/>
      <c r="DP273" s="542"/>
      <c r="DQ273" s="542"/>
      <c r="DR273" s="542"/>
      <c r="DS273" s="542"/>
      <c r="DT273" s="542"/>
      <c r="DU273" s="542"/>
      <c r="DV273" s="542"/>
      <c r="DW273" s="542"/>
      <c r="DX273" s="542"/>
      <c r="DY273" s="542"/>
      <c r="DZ273" s="542"/>
      <c r="EA273" s="542"/>
      <c r="EB273" s="542"/>
      <c r="EC273" s="542"/>
      <c r="ED273" s="542"/>
      <c r="EE273" s="542"/>
      <c r="EF273" s="542"/>
      <c r="EG273" s="542"/>
      <c r="EH273" s="542"/>
      <c r="EI273" s="542"/>
      <c r="EJ273" s="542"/>
      <c r="EK273" s="542"/>
      <c r="EL273" s="542"/>
      <c r="EM273" s="542"/>
      <c r="EN273" s="542"/>
      <c r="EO273" s="542"/>
      <c r="EP273" s="542"/>
      <c r="EQ273" s="542"/>
      <c r="ER273" s="542"/>
      <c r="ES273" s="542"/>
      <c r="ET273" s="542"/>
      <c r="EU273" s="542"/>
      <c r="EV273" s="542"/>
      <c r="EW273" s="542"/>
      <c r="EX273" s="542"/>
      <c r="EY273" s="542"/>
      <c r="EZ273" s="542"/>
      <c r="FA273" s="542"/>
      <c r="FB273" s="542"/>
      <c r="FC273" s="542"/>
      <c r="FD273" s="542"/>
      <c r="FE273" s="542"/>
      <c r="FF273" s="542"/>
      <c r="FG273" s="542"/>
      <c r="FH273" s="542"/>
      <c r="FI273" s="542"/>
      <c r="FJ273" s="542"/>
      <c r="FK273" s="542"/>
      <c r="FL273" s="542"/>
      <c r="FM273" s="542"/>
      <c r="FN273" s="542"/>
      <c r="FO273" s="542"/>
      <c r="FP273" s="542"/>
      <c r="FQ273" s="542"/>
      <c r="FR273" s="542"/>
      <c r="FS273" s="542"/>
      <c r="FT273" s="542"/>
      <c r="FU273" s="542"/>
      <c r="FV273" s="542"/>
      <c r="FW273" s="542"/>
      <c r="FX273" s="542"/>
      <c r="FY273" s="542"/>
      <c r="FZ273" s="542"/>
      <c r="GA273" s="542"/>
      <c r="GB273" s="542"/>
      <c r="GC273" s="542"/>
      <c r="GD273" s="542"/>
      <c r="GE273" s="542"/>
      <c r="GF273" s="542"/>
      <c r="GG273" s="542"/>
      <c r="GH273" s="542"/>
      <c r="GI273" s="542"/>
      <c r="GJ273" s="542"/>
      <c r="GK273" s="542"/>
      <c r="GL273" s="542"/>
      <c r="GM273" s="542"/>
      <c r="GN273" s="542"/>
      <c r="GO273" s="542"/>
      <c r="GP273" s="542"/>
      <c r="GQ273" s="542"/>
      <c r="GR273" s="542"/>
      <c r="GS273" s="542"/>
      <c r="GT273" s="542"/>
      <c r="GU273" s="542"/>
      <c r="GV273" s="542"/>
      <c r="GW273" s="542"/>
      <c r="GX273" s="542"/>
      <c r="GY273" s="542"/>
      <c r="GZ273" s="542"/>
      <c r="HA273" s="542"/>
      <c r="HB273" s="542"/>
      <c r="HC273" s="542"/>
      <c r="HD273" s="542"/>
      <c r="HE273" s="542"/>
      <c r="HF273" s="542"/>
      <c r="HG273" s="542"/>
      <c r="HH273" s="542"/>
      <c r="HI273" s="542"/>
      <c r="HJ273" s="542"/>
      <c r="HK273" s="542"/>
      <c r="HL273" s="542"/>
      <c r="HM273" s="542"/>
      <c r="HN273" s="542"/>
      <c r="HO273" s="542"/>
      <c r="HP273" s="542"/>
      <c r="HQ273" s="542"/>
      <c r="HR273" s="542"/>
      <c r="HS273" s="542"/>
      <c r="HT273" s="542"/>
      <c r="HU273" s="542"/>
      <c r="HV273" s="542"/>
      <c r="HW273" s="542"/>
      <c r="HX273" s="542"/>
      <c r="HY273" s="542"/>
      <c r="HZ273" s="542"/>
      <c r="IA273" s="542"/>
      <c r="IB273" s="542"/>
      <c r="IC273" s="542"/>
      <c r="ID273" s="542"/>
      <c r="IE273" s="542"/>
      <c r="IF273" s="542"/>
      <c r="IG273" s="542"/>
      <c r="IH273" s="542"/>
      <c r="II273" s="542"/>
      <c r="IJ273" s="542"/>
      <c r="IK273" s="542"/>
      <c r="IL273" s="542"/>
      <c r="IM273" s="542"/>
      <c r="IN273" s="542"/>
      <c r="IO273" s="542"/>
      <c r="IP273" s="542"/>
      <c r="IQ273" s="542"/>
      <c r="IR273" s="542"/>
      <c r="IS273" s="542"/>
      <c r="IT273" s="542"/>
      <c r="IU273" s="542"/>
      <c r="IV273" s="542"/>
      <c r="IW273" s="542"/>
      <c r="IX273" s="542"/>
      <c r="IY273" s="542"/>
      <c r="IZ273" s="542"/>
      <c r="JA273" s="542"/>
      <c r="JB273" s="542"/>
    </row>
    <row r="274" spans="104:262" ht="18.899999999999999" customHeight="1">
      <c r="CZ274" s="542"/>
      <c r="DA274" s="542"/>
      <c r="DB274" s="542"/>
      <c r="DC274" s="542"/>
      <c r="DD274" s="542"/>
      <c r="DE274" s="542"/>
      <c r="DF274" s="542"/>
      <c r="DG274" s="542"/>
      <c r="DH274" s="542"/>
      <c r="DI274" s="542"/>
      <c r="DJ274" s="542"/>
      <c r="DK274" s="542"/>
      <c r="DL274" s="542"/>
      <c r="DM274" s="542"/>
      <c r="DN274" s="542"/>
      <c r="DO274" s="542"/>
      <c r="DP274" s="542"/>
      <c r="DQ274" s="542"/>
      <c r="DR274" s="542"/>
      <c r="DS274" s="542"/>
      <c r="DT274" s="542"/>
      <c r="DU274" s="542"/>
      <c r="DV274" s="542"/>
      <c r="DW274" s="542"/>
      <c r="DX274" s="542"/>
      <c r="DY274" s="542"/>
      <c r="DZ274" s="542"/>
      <c r="EA274" s="542"/>
      <c r="EB274" s="542"/>
      <c r="EC274" s="542"/>
      <c r="ED274" s="542"/>
      <c r="EE274" s="542"/>
      <c r="EF274" s="542"/>
      <c r="EG274" s="542"/>
      <c r="EH274" s="542"/>
      <c r="EI274" s="542"/>
      <c r="EJ274" s="542"/>
      <c r="EK274" s="542"/>
      <c r="EL274" s="542"/>
      <c r="EM274" s="542"/>
      <c r="EN274" s="542"/>
      <c r="EO274" s="542"/>
      <c r="EP274" s="542"/>
      <c r="EQ274" s="542"/>
      <c r="ER274" s="542"/>
      <c r="ES274" s="542"/>
      <c r="ET274" s="542"/>
      <c r="EU274" s="542"/>
      <c r="EV274" s="542"/>
      <c r="EW274" s="542"/>
      <c r="EX274" s="542"/>
      <c r="EY274" s="542"/>
      <c r="EZ274" s="542"/>
      <c r="FA274" s="542"/>
      <c r="FB274" s="542"/>
      <c r="FC274" s="542"/>
      <c r="FD274" s="542"/>
      <c r="FE274" s="542"/>
      <c r="FF274" s="542"/>
      <c r="FG274" s="542"/>
      <c r="FH274" s="542"/>
      <c r="FI274" s="542"/>
      <c r="FJ274" s="542"/>
      <c r="FK274" s="542"/>
      <c r="FL274" s="542"/>
      <c r="FM274" s="542"/>
      <c r="FN274" s="542"/>
      <c r="FO274" s="542"/>
      <c r="FP274" s="542"/>
      <c r="FQ274" s="542"/>
      <c r="FR274" s="542"/>
      <c r="FS274" s="542"/>
      <c r="FT274" s="542"/>
      <c r="FU274" s="542"/>
      <c r="FV274" s="542"/>
      <c r="FW274" s="542"/>
      <c r="FX274" s="542"/>
      <c r="FY274" s="542"/>
      <c r="FZ274" s="542"/>
      <c r="GA274" s="542"/>
      <c r="GB274" s="542"/>
      <c r="GC274" s="542"/>
      <c r="GD274" s="542"/>
      <c r="GE274" s="542"/>
      <c r="GF274" s="542"/>
      <c r="GG274" s="542"/>
      <c r="GH274" s="542"/>
      <c r="GI274" s="542"/>
      <c r="GJ274" s="542"/>
      <c r="GK274" s="542"/>
      <c r="GL274" s="542"/>
      <c r="GM274" s="542"/>
      <c r="GN274" s="542"/>
      <c r="GO274" s="542"/>
      <c r="GP274" s="542"/>
      <c r="GQ274" s="542"/>
      <c r="GR274" s="542"/>
      <c r="GS274" s="542"/>
      <c r="GT274" s="542"/>
      <c r="GU274" s="542"/>
      <c r="GV274" s="542"/>
      <c r="GW274" s="542"/>
      <c r="GX274" s="542"/>
      <c r="GY274" s="542"/>
      <c r="GZ274" s="542"/>
      <c r="HA274" s="542"/>
      <c r="HB274" s="542"/>
      <c r="HC274" s="542"/>
      <c r="HD274" s="542"/>
      <c r="HE274" s="542"/>
      <c r="HF274" s="542"/>
      <c r="HG274" s="542"/>
      <c r="HH274" s="542"/>
      <c r="HI274" s="542"/>
      <c r="HJ274" s="542"/>
      <c r="HK274" s="542"/>
      <c r="HL274" s="542"/>
      <c r="HM274" s="542"/>
      <c r="HN274" s="542"/>
      <c r="HO274" s="542"/>
      <c r="HP274" s="542"/>
      <c r="HQ274" s="542"/>
      <c r="HR274" s="542"/>
      <c r="HS274" s="542"/>
      <c r="HT274" s="542"/>
      <c r="HU274" s="542"/>
      <c r="HV274" s="542"/>
      <c r="HW274" s="542"/>
      <c r="HX274" s="542"/>
      <c r="HY274" s="542"/>
      <c r="HZ274" s="542"/>
      <c r="IA274" s="542"/>
      <c r="IB274" s="542"/>
      <c r="IC274" s="542"/>
      <c r="ID274" s="542"/>
      <c r="IE274" s="542"/>
      <c r="IF274" s="542"/>
      <c r="IG274" s="542"/>
      <c r="IH274" s="542"/>
      <c r="II274" s="542"/>
      <c r="IJ274" s="542"/>
      <c r="IK274" s="542"/>
      <c r="IL274" s="542"/>
      <c r="IM274" s="542"/>
      <c r="IN274" s="542"/>
      <c r="IO274" s="542"/>
      <c r="IP274" s="542"/>
      <c r="IQ274" s="542"/>
      <c r="IR274" s="542"/>
      <c r="IS274" s="542"/>
      <c r="IT274" s="542"/>
      <c r="IU274" s="542"/>
      <c r="IV274" s="542"/>
      <c r="IW274" s="542"/>
      <c r="IX274" s="542"/>
      <c r="IY274" s="542"/>
      <c r="IZ274" s="542"/>
      <c r="JA274" s="542"/>
      <c r="JB274" s="542"/>
    </row>
    <row r="275" spans="104:262" ht="18.899999999999999" customHeight="1">
      <c r="CZ275" s="542"/>
      <c r="DA275" s="542"/>
      <c r="DB275" s="542"/>
      <c r="DC275" s="542"/>
      <c r="DD275" s="542"/>
      <c r="DE275" s="542"/>
      <c r="DF275" s="542"/>
      <c r="DG275" s="542"/>
      <c r="DH275" s="542"/>
      <c r="DI275" s="542"/>
      <c r="DJ275" s="542"/>
      <c r="DK275" s="542"/>
      <c r="DL275" s="542"/>
      <c r="DM275" s="542"/>
      <c r="DN275" s="542"/>
      <c r="DO275" s="542"/>
      <c r="DP275" s="542"/>
      <c r="DQ275" s="542"/>
      <c r="DR275" s="542"/>
      <c r="DS275" s="542"/>
      <c r="DT275" s="542"/>
      <c r="DU275" s="542"/>
      <c r="DV275" s="542"/>
      <c r="DW275" s="542"/>
      <c r="DX275" s="542"/>
      <c r="DY275" s="542"/>
      <c r="DZ275" s="542"/>
      <c r="EA275" s="542"/>
      <c r="EB275" s="542"/>
      <c r="EC275" s="542"/>
      <c r="ED275" s="542"/>
      <c r="EE275" s="542"/>
      <c r="EF275" s="542"/>
      <c r="EG275" s="542"/>
      <c r="EH275" s="542"/>
      <c r="EI275" s="542"/>
      <c r="EJ275" s="542"/>
      <c r="EK275" s="542"/>
      <c r="EL275" s="542"/>
      <c r="EM275" s="542"/>
      <c r="EN275" s="542"/>
      <c r="EO275" s="542"/>
      <c r="EP275" s="542"/>
      <c r="EQ275" s="542"/>
      <c r="ER275" s="542"/>
      <c r="ES275" s="542"/>
      <c r="ET275" s="542"/>
      <c r="EU275" s="542"/>
      <c r="EV275" s="542"/>
      <c r="EW275" s="542"/>
      <c r="EX275" s="542"/>
      <c r="EY275" s="542"/>
      <c r="EZ275" s="542"/>
      <c r="FA275" s="542"/>
      <c r="FB275" s="542"/>
      <c r="FC275" s="542"/>
      <c r="FD275" s="542"/>
      <c r="FE275" s="542"/>
      <c r="FF275" s="542"/>
      <c r="FG275" s="542"/>
      <c r="FH275" s="542"/>
      <c r="FI275" s="542"/>
      <c r="FJ275" s="542"/>
      <c r="FK275" s="542"/>
      <c r="FL275" s="542"/>
      <c r="FM275" s="542"/>
      <c r="FN275" s="542"/>
      <c r="FO275" s="542"/>
      <c r="FP275" s="542"/>
      <c r="FQ275" s="542"/>
      <c r="FR275" s="542"/>
      <c r="FS275" s="542"/>
      <c r="FT275" s="542"/>
      <c r="FU275" s="542"/>
      <c r="FV275" s="542"/>
      <c r="FW275" s="542"/>
      <c r="FX275" s="542"/>
      <c r="FY275" s="542"/>
      <c r="FZ275" s="542"/>
      <c r="GA275" s="542"/>
      <c r="GB275" s="542"/>
      <c r="GC275" s="542"/>
      <c r="GD275" s="542"/>
      <c r="GE275" s="542"/>
      <c r="GF275" s="542"/>
      <c r="GG275" s="542"/>
      <c r="GH275" s="542"/>
      <c r="GI275" s="542"/>
      <c r="GJ275" s="542"/>
      <c r="GK275" s="542"/>
      <c r="GL275" s="542"/>
      <c r="GM275" s="542"/>
      <c r="GN275" s="542"/>
      <c r="GO275" s="542"/>
      <c r="GP275" s="542"/>
      <c r="GQ275" s="542"/>
      <c r="GR275" s="542"/>
      <c r="GS275" s="542"/>
      <c r="GT275" s="542"/>
      <c r="GU275" s="542"/>
      <c r="GV275" s="542"/>
      <c r="GW275" s="542"/>
      <c r="GX275" s="542"/>
      <c r="GY275" s="542"/>
      <c r="GZ275" s="542"/>
      <c r="HA275" s="542"/>
      <c r="HB275" s="542"/>
      <c r="HC275" s="542"/>
      <c r="HD275" s="542"/>
      <c r="HE275" s="542"/>
      <c r="HF275" s="542"/>
      <c r="HG275" s="542"/>
      <c r="HH275" s="542"/>
      <c r="HI275" s="542"/>
      <c r="HJ275" s="542"/>
      <c r="HK275" s="542"/>
      <c r="HL275" s="542"/>
      <c r="HM275" s="542"/>
      <c r="HN275" s="542"/>
      <c r="HO275" s="542"/>
      <c r="HP275" s="542"/>
      <c r="HQ275" s="542"/>
      <c r="HR275" s="542"/>
      <c r="HS275" s="542"/>
      <c r="HT275" s="542"/>
      <c r="HU275" s="542"/>
      <c r="HV275" s="542"/>
      <c r="HW275" s="542"/>
      <c r="HX275" s="542"/>
      <c r="HY275" s="542"/>
      <c r="HZ275" s="542"/>
      <c r="IA275" s="542"/>
      <c r="IB275" s="542"/>
      <c r="IC275" s="542"/>
      <c r="ID275" s="542"/>
      <c r="IE275" s="542"/>
      <c r="IF275" s="542"/>
      <c r="IG275" s="542"/>
      <c r="IH275" s="542"/>
      <c r="II275" s="542"/>
      <c r="IJ275" s="542"/>
      <c r="IK275" s="542"/>
      <c r="IL275" s="542"/>
      <c r="IM275" s="542"/>
      <c r="IN275" s="542"/>
      <c r="IO275" s="542"/>
      <c r="IP275" s="542"/>
      <c r="IQ275" s="542"/>
      <c r="IR275" s="542"/>
      <c r="IS275" s="542"/>
      <c r="IT275" s="542"/>
      <c r="IU275" s="542"/>
      <c r="IV275" s="542"/>
      <c r="IW275" s="542"/>
      <c r="IX275" s="542"/>
      <c r="IY275" s="542"/>
      <c r="IZ275" s="542"/>
      <c r="JA275" s="542"/>
      <c r="JB275" s="542"/>
    </row>
    <row r="276" spans="104:262" ht="18.899999999999999" customHeight="1">
      <c r="CZ276" s="542"/>
      <c r="DA276" s="542"/>
      <c r="DB276" s="542"/>
      <c r="DC276" s="542"/>
      <c r="DD276" s="542"/>
      <c r="DE276" s="542"/>
      <c r="DF276" s="542"/>
      <c r="DG276" s="542"/>
      <c r="DH276" s="542"/>
      <c r="DI276" s="542"/>
      <c r="DJ276" s="542"/>
      <c r="DK276" s="542"/>
      <c r="DL276" s="542"/>
      <c r="DM276" s="542"/>
      <c r="DN276" s="542"/>
      <c r="DO276" s="542"/>
      <c r="DP276" s="542"/>
      <c r="DQ276" s="542"/>
      <c r="DR276" s="542"/>
      <c r="DS276" s="542"/>
      <c r="DT276" s="542"/>
      <c r="DU276" s="542"/>
      <c r="DV276" s="542"/>
      <c r="DW276" s="542"/>
      <c r="DX276" s="542"/>
      <c r="DY276" s="542"/>
      <c r="DZ276" s="542"/>
      <c r="EA276" s="542"/>
      <c r="EB276" s="542"/>
      <c r="EC276" s="542"/>
      <c r="ED276" s="542"/>
      <c r="EE276" s="542"/>
      <c r="EF276" s="542"/>
      <c r="EG276" s="542"/>
      <c r="EH276" s="542"/>
      <c r="EI276" s="542"/>
      <c r="EJ276" s="542"/>
      <c r="EK276" s="542"/>
      <c r="EL276" s="542"/>
      <c r="EM276" s="542"/>
      <c r="EN276" s="542"/>
      <c r="EO276" s="542"/>
      <c r="EP276" s="542"/>
      <c r="EQ276" s="542"/>
      <c r="ER276" s="542"/>
      <c r="ES276" s="542"/>
      <c r="ET276" s="542"/>
      <c r="EU276" s="542"/>
      <c r="EV276" s="542"/>
      <c r="EW276" s="542"/>
      <c r="EX276" s="542"/>
      <c r="EY276" s="542"/>
      <c r="EZ276" s="542"/>
      <c r="FA276" s="542"/>
      <c r="FB276" s="542"/>
      <c r="FC276" s="542"/>
      <c r="FD276" s="542"/>
      <c r="FE276" s="542"/>
      <c r="FF276" s="542"/>
      <c r="FG276" s="542"/>
      <c r="FH276" s="542"/>
      <c r="FI276" s="542"/>
      <c r="FJ276" s="542"/>
      <c r="FK276" s="542"/>
      <c r="FL276" s="542"/>
      <c r="FM276" s="542"/>
      <c r="FN276" s="542"/>
      <c r="FO276" s="542"/>
      <c r="FP276" s="542"/>
      <c r="FQ276" s="542"/>
      <c r="FR276" s="542"/>
      <c r="FS276" s="542"/>
      <c r="FT276" s="542"/>
      <c r="FU276" s="542"/>
      <c r="FV276" s="542"/>
      <c r="FW276" s="542"/>
      <c r="FX276" s="542"/>
      <c r="FY276" s="542"/>
      <c r="FZ276" s="542"/>
      <c r="GA276" s="542"/>
      <c r="GB276" s="542"/>
      <c r="GC276" s="542"/>
      <c r="GD276" s="542"/>
      <c r="GE276" s="542"/>
      <c r="GF276" s="542"/>
      <c r="GG276" s="542"/>
      <c r="GH276" s="542"/>
      <c r="GI276" s="542"/>
      <c r="GJ276" s="542"/>
      <c r="GK276" s="542"/>
      <c r="GL276" s="542"/>
      <c r="GM276" s="542"/>
      <c r="GN276" s="542"/>
      <c r="GO276" s="542"/>
      <c r="GP276" s="542"/>
      <c r="GQ276" s="542"/>
      <c r="GR276" s="542"/>
      <c r="GS276" s="542"/>
      <c r="GT276" s="542"/>
      <c r="GU276" s="542"/>
      <c r="GV276" s="542"/>
      <c r="GW276" s="542"/>
      <c r="GX276" s="542"/>
      <c r="GY276" s="542"/>
      <c r="GZ276" s="542"/>
      <c r="HA276" s="542"/>
      <c r="HB276" s="542"/>
      <c r="HC276" s="542"/>
      <c r="HD276" s="542"/>
      <c r="HE276" s="542"/>
      <c r="HF276" s="542"/>
      <c r="HG276" s="542"/>
      <c r="HH276" s="542"/>
      <c r="HI276" s="542"/>
      <c r="HJ276" s="542"/>
      <c r="HK276" s="542"/>
      <c r="HL276" s="542"/>
      <c r="HM276" s="542"/>
      <c r="HN276" s="542"/>
      <c r="HO276" s="542"/>
      <c r="HP276" s="542"/>
      <c r="HQ276" s="542"/>
      <c r="HR276" s="542"/>
      <c r="HS276" s="542"/>
      <c r="HT276" s="542"/>
      <c r="HU276" s="542"/>
      <c r="HV276" s="542"/>
      <c r="HW276" s="542"/>
      <c r="HX276" s="542"/>
      <c r="HY276" s="542"/>
      <c r="HZ276" s="542"/>
      <c r="IA276" s="542"/>
      <c r="IB276" s="542"/>
      <c r="IC276" s="542"/>
      <c r="ID276" s="542"/>
      <c r="IE276" s="542"/>
      <c r="IF276" s="542"/>
      <c r="IG276" s="542"/>
      <c r="IH276" s="542"/>
      <c r="II276" s="542"/>
      <c r="IJ276" s="542"/>
      <c r="IK276" s="542"/>
      <c r="IL276" s="542"/>
      <c r="IM276" s="542"/>
      <c r="IN276" s="542"/>
      <c r="IO276" s="542"/>
      <c r="IP276" s="542"/>
      <c r="IQ276" s="542"/>
      <c r="IR276" s="542"/>
      <c r="IS276" s="542"/>
      <c r="IT276" s="542"/>
      <c r="IU276" s="542"/>
      <c r="IV276" s="542"/>
      <c r="IW276" s="542"/>
      <c r="IX276" s="542"/>
      <c r="IY276" s="542"/>
      <c r="IZ276" s="542"/>
      <c r="JA276" s="542"/>
      <c r="JB276" s="542"/>
    </row>
    <row r="277" spans="104:262" ht="18.899999999999999" customHeight="1">
      <c r="CZ277" s="542"/>
      <c r="DA277" s="542"/>
      <c r="DB277" s="542"/>
      <c r="DC277" s="542"/>
      <c r="DD277" s="542"/>
      <c r="DE277" s="542"/>
      <c r="DF277" s="542"/>
      <c r="DG277" s="542"/>
      <c r="DH277" s="542"/>
      <c r="DI277" s="542"/>
      <c r="DJ277" s="542"/>
      <c r="DK277" s="542"/>
      <c r="DL277" s="542"/>
      <c r="DM277" s="542"/>
      <c r="DN277" s="542"/>
      <c r="DO277" s="542"/>
      <c r="DP277" s="542"/>
      <c r="DQ277" s="542"/>
      <c r="DR277" s="542"/>
      <c r="DS277" s="542"/>
      <c r="DT277" s="542"/>
      <c r="DU277" s="542"/>
      <c r="DV277" s="542"/>
      <c r="DW277" s="542"/>
      <c r="DX277" s="542"/>
      <c r="DY277" s="542"/>
      <c r="DZ277" s="542"/>
      <c r="EA277" s="542"/>
      <c r="EB277" s="542"/>
      <c r="EC277" s="542"/>
      <c r="ED277" s="542"/>
      <c r="EE277" s="542"/>
      <c r="EF277" s="542"/>
      <c r="EG277" s="542"/>
      <c r="EH277" s="542"/>
      <c r="EI277" s="542"/>
      <c r="EJ277" s="542"/>
      <c r="EK277" s="542"/>
      <c r="EL277" s="542"/>
      <c r="EM277" s="542"/>
      <c r="EN277" s="542"/>
      <c r="EO277" s="542"/>
      <c r="EP277" s="542"/>
      <c r="EQ277" s="542"/>
      <c r="ER277" s="542"/>
      <c r="ES277" s="542"/>
      <c r="ET277" s="542"/>
      <c r="EU277" s="542"/>
      <c r="EV277" s="542"/>
      <c r="EW277" s="542"/>
      <c r="EX277" s="542"/>
      <c r="EY277" s="542"/>
      <c r="EZ277" s="542"/>
      <c r="FA277" s="542"/>
      <c r="FB277" s="542"/>
      <c r="FC277" s="542"/>
      <c r="FD277" s="542"/>
      <c r="FE277" s="542"/>
      <c r="FF277" s="542"/>
      <c r="FG277" s="542"/>
      <c r="FH277" s="542"/>
      <c r="FI277" s="542"/>
      <c r="FJ277" s="542"/>
      <c r="FK277" s="542"/>
      <c r="FL277" s="542"/>
      <c r="FM277" s="542"/>
      <c r="FN277" s="542"/>
      <c r="FO277" s="542"/>
      <c r="FP277" s="542"/>
      <c r="FQ277" s="542"/>
      <c r="FR277" s="542"/>
      <c r="FS277" s="542"/>
      <c r="FT277" s="542"/>
      <c r="FU277" s="542"/>
      <c r="FV277" s="542"/>
      <c r="FW277" s="542"/>
      <c r="FX277" s="542"/>
      <c r="FY277" s="542"/>
      <c r="FZ277" s="542"/>
      <c r="GA277" s="542"/>
      <c r="GB277" s="542"/>
      <c r="GC277" s="542"/>
      <c r="GD277" s="542"/>
      <c r="GE277" s="542"/>
      <c r="GF277" s="542"/>
      <c r="GG277" s="542"/>
      <c r="GH277" s="542"/>
      <c r="GI277" s="542"/>
      <c r="GJ277" s="542"/>
      <c r="GK277" s="542"/>
      <c r="GL277" s="542"/>
      <c r="GM277" s="542"/>
      <c r="GN277" s="542"/>
      <c r="GO277" s="542"/>
      <c r="GP277" s="542"/>
      <c r="GQ277" s="542"/>
      <c r="GR277" s="542"/>
      <c r="GS277" s="542"/>
      <c r="GT277" s="542"/>
      <c r="GU277" s="542"/>
      <c r="GV277" s="542"/>
      <c r="GW277" s="542"/>
      <c r="GX277" s="542"/>
      <c r="GY277" s="542"/>
      <c r="GZ277" s="542"/>
      <c r="HA277" s="542"/>
      <c r="HB277" s="542"/>
      <c r="HC277" s="542"/>
      <c r="HD277" s="542"/>
      <c r="HE277" s="542"/>
      <c r="HF277" s="542"/>
      <c r="HG277" s="542"/>
      <c r="HH277" s="542"/>
      <c r="HI277" s="542"/>
      <c r="HJ277" s="542"/>
      <c r="HK277" s="542"/>
      <c r="HL277" s="542"/>
      <c r="HM277" s="542"/>
      <c r="HN277" s="542"/>
      <c r="HO277" s="542"/>
      <c r="HP277" s="542"/>
      <c r="HQ277" s="542"/>
      <c r="HR277" s="542"/>
      <c r="HS277" s="542"/>
      <c r="HT277" s="542"/>
      <c r="HU277" s="542"/>
      <c r="HV277" s="542"/>
      <c r="HW277" s="542"/>
      <c r="HX277" s="542"/>
      <c r="HY277" s="542"/>
      <c r="HZ277" s="542"/>
      <c r="IA277" s="542"/>
      <c r="IB277" s="542"/>
      <c r="IC277" s="542"/>
      <c r="ID277" s="542"/>
      <c r="IE277" s="542"/>
      <c r="IF277" s="542"/>
      <c r="IG277" s="542"/>
      <c r="IH277" s="542"/>
      <c r="II277" s="542"/>
      <c r="IJ277" s="542"/>
      <c r="IK277" s="542"/>
      <c r="IL277" s="542"/>
      <c r="IM277" s="542"/>
      <c r="IN277" s="542"/>
      <c r="IO277" s="542"/>
      <c r="IP277" s="542"/>
      <c r="IQ277" s="542"/>
      <c r="IR277" s="542"/>
      <c r="IS277" s="542"/>
      <c r="IT277" s="542"/>
      <c r="IU277" s="542"/>
      <c r="IV277" s="542"/>
      <c r="IW277" s="542"/>
      <c r="IX277" s="542"/>
      <c r="IY277" s="542"/>
      <c r="IZ277" s="542"/>
      <c r="JA277" s="542"/>
      <c r="JB277" s="542"/>
    </row>
    <row r="278" spans="104:262" ht="18.899999999999999" customHeight="1">
      <c r="CZ278" s="542"/>
      <c r="DA278" s="542"/>
      <c r="DB278" s="542"/>
      <c r="DC278" s="542"/>
      <c r="DD278" s="542"/>
      <c r="DE278" s="542"/>
      <c r="DF278" s="542"/>
      <c r="DG278" s="542"/>
      <c r="DH278" s="542"/>
      <c r="DI278" s="542"/>
      <c r="DJ278" s="542"/>
      <c r="DK278" s="542"/>
      <c r="DL278" s="542"/>
      <c r="DM278" s="542"/>
      <c r="DN278" s="542"/>
      <c r="DO278" s="542"/>
      <c r="DP278" s="542"/>
      <c r="DQ278" s="542"/>
      <c r="DR278" s="542"/>
      <c r="DS278" s="542"/>
      <c r="DT278" s="542"/>
      <c r="DU278" s="542"/>
      <c r="DV278" s="542"/>
      <c r="DW278" s="542"/>
      <c r="DX278" s="542"/>
      <c r="DY278" s="542"/>
      <c r="DZ278" s="542"/>
      <c r="EA278" s="542"/>
      <c r="EB278" s="542"/>
      <c r="EC278" s="542"/>
      <c r="ED278" s="542"/>
      <c r="EE278" s="542"/>
      <c r="EF278" s="542"/>
      <c r="EG278" s="542"/>
      <c r="EH278" s="542"/>
      <c r="EI278" s="542"/>
      <c r="EJ278" s="542"/>
      <c r="EK278" s="542"/>
      <c r="EL278" s="542"/>
      <c r="EM278" s="542"/>
      <c r="EN278" s="542"/>
      <c r="EO278" s="542"/>
      <c r="EP278" s="542"/>
      <c r="EQ278" s="542"/>
      <c r="ER278" s="542"/>
      <c r="ES278" s="542"/>
      <c r="ET278" s="542"/>
      <c r="EU278" s="542"/>
      <c r="EV278" s="542"/>
      <c r="EW278" s="542"/>
      <c r="EX278" s="542"/>
      <c r="EY278" s="542"/>
      <c r="EZ278" s="542"/>
      <c r="FA278" s="542"/>
      <c r="FB278" s="542"/>
      <c r="FC278" s="542"/>
      <c r="FD278" s="542"/>
      <c r="FE278" s="542"/>
      <c r="FF278" s="542"/>
      <c r="FG278" s="542"/>
      <c r="FH278" s="542"/>
      <c r="FI278" s="542"/>
      <c r="FJ278" s="542"/>
      <c r="FK278" s="542"/>
      <c r="FL278" s="542"/>
      <c r="FM278" s="542"/>
      <c r="FN278" s="542"/>
      <c r="FO278" s="542"/>
      <c r="FP278" s="542"/>
      <c r="FQ278" s="542"/>
      <c r="FR278" s="542"/>
      <c r="FS278" s="542"/>
      <c r="FT278" s="542"/>
      <c r="FU278" s="542"/>
      <c r="FV278" s="542"/>
      <c r="FW278" s="542"/>
      <c r="FX278" s="542"/>
      <c r="FY278" s="542"/>
      <c r="FZ278" s="542"/>
      <c r="GA278" s="542"/>
      <c r="GB278" s="542"/>
      <c r="GC278" s="542"/>
      <c r="GD278" s="542"/>
      <c r="GE278" s="542"/>
      <c r="GF278" s="542"/>
      <c r="GG278" s="542"/>
      <c r="GH278" s="542"/>
      <c r="GI278" s="542"/>
      <c r="GJ278" s="542"/>
      <c r="GK278" s="542"/>
      <c r="GL278" s="542"/>
      <c r="GM278" s="542"/>
      <c r="GN278" s="542"/>
      <c r="GO278" s="542"/>
      <c r="GP278" s="542"/>
      <c r="GQ278" s="542"/>
      <c r="GR278" s="542"/>
      <c r="GS278" s="542"/>
      <c r="GT278" s="542"/>
      <c r="GU278" s="542"/>
      <c r="GV278" s="542"/>
      <c r="GW278" s="542"/>
      <c r="GX278" s="542"/>
      <c r="GY278" s="542"/>
      <c r="GZ278" s="542"/>
      <c r="HA278" s="542"/>
      <c r="HB278" s="542"/>
      <c r="HC278" s="542"/>
      <c r="HD278" s="542"/>
      <c r="HE278" s="542"/>
      <c r="HF278" s="542"/>
      <c r="HG278" s="542"/>
      <c r="HH278" s="542"/>
      <c r="HI278" s="542"/>
      <c r="HJ278" s="542"/>
      <c r="HK278" s="542"/>
      <c r="HL278" s="542"/>
      <c r="HM278" s="542"/>
      <c r="HN278" s="542"/>
      <c r="HO278" s="542"/>
      <c r="HP278" s="542"/>
      <c r="HQ278" s="542"/>
      <c r="HR278" s="542"/>
      <c r="HS278" s="542"/>
      <c r="HT278" s="542"/>
      <c r="HU278" s="542"/>
      <c r="HV278" s="542"/>
      <c r="HW278" s="542"/>
      <c r="HX278" s="542"/>
      <c r="HY278" s="542"/>
      <c r="HZ278" s="542"/>
      <c r="IA278" s="542"/>
      <c r="IB278" s="542"/>
      <c r="IC278" s="542"/>
      <c r="ID278" s="542"/>
      <c r="IE278" s="542"/>
      <c r="IF278" s="542"/>
      <c r="IG278" s="542"/>
      <c r="IH278" s="542"/>
      <c r="II278" s="542"/>
      <c r="IJ278" s="542"/>
      <c r="IK278" s="542"/>
      <c r="IL278" s="542"/>
      <c r="IM278" s="542"/>
      <c r="IN278" s="542"/>
      <c r="IO278" s="542"/>
      <c r="IP278" s="542"/>
      <c r="IQ278" s="542"/>
      <c r="IR278" s="542"/>
      <c r="IS278" s="542"/>
      <c r="IT278" s="542"/>
      <c r="IU278" s="542"/>
      <c r="IV278" s="542"/>
      <c r="IW278" s="542"/>
      <c r="IX278" s="542"/>
      <c r="IY278" s="542"/>
      <c r="IZ278" s="542"/>
      <c r="JA278" s="542"/>
      <c r="JB278" s="542"/>
    </row>
    <row r="279" spans="104:262" ht="18.899999999999999" customHeight="1">
      <c r="CZ279" s="542"/>
      <c r="DA279" s="542"/>
      <c r="DB279" s="542"/>
      <c r="DC279" s="542"/>
      <c r="DD279" s="542"/>
      <c r="DE279" s="542"/>
      <c r="DF279" s="542"/>
      <c r="DG279" s="542"/>
      <c r="DH279" s="542"/>
      <c r="DI279" s="542"/>
      <c r="DJ279" s="542"/>
      <c r="DK279" s="542"/>
      <c r="DL279" s="542"/>
      <c r="DM279" s="542"/>
      <c r="DN279" s="542"/>
      <c r="DO279" s="542"/>
      <c r="DP279" s="542"/>
      <c r="DQ279" s="542"/>
      <c r="DR279" s="542"/>
      <c r="DS279" s="542"/>
      <c r="DT279" s="542"/>
      <c r="DU279" s="542"/>
      <c r="DV279" s="542"/>
      <c r="DW279" s="542"/>
      <c r="DX279" s="542"/>
      <c r="DY279" s="542"/>
      <c r="DZ279" s="542"/>
      <c r="EA279" s="542"/>
      <c r="EB279" s="542"/>
      <c r="EC279" s="542"/>
      <c r="ED279" s="542"/>
      <c r="EE279" s="542"/>
      <c r="EF279" s="542"/>
      <c r="EG279" s="542"/>
      <c r="EH279" s="542"/>
      <c r="EI279" s="542"/>
      <c r="EJ279" s="542"/>
      <c r="EK279" s="542"/>
      <c r="EL279" s="542"/>
      <c r="EM279" s="542"/>
      <c r="EN279" s="542"/>
      <c r="EO279" s="542"/>
      <c r="EP279" s="542"/>
      <c r="EQ279" s="542"/>
      <c r="ER279" s="542"/>
      <c r="ES279" s="542"/>
      <c r="ET279" s="542"/>
      <c r="EU279" s="542"/>
      <c r="EV279" s="542"/>
      <c r="EW279" s="542"/>
      <c r="EX279" s="542"/>
      <c r="EY279" s="542"/>
      <c r="EZ279" s="542"/>
      <c r="FA279" s="542"/>
      <c r="FB279" s="542"/>
      <c r="FC279" s="542"/>
      <c r="FD279" s="542"/>
      <c r="FE279" s="542"/>
      <c r="FF279" s="542"/>
      <c r="FG279" s="542"/>
      <c r="FH279" s="542"/>
      <c r="FI279" s="542"/>
      <c r="FJ279" s="542"/>
      <c r="FK279" s="542"/>
      <c r="FL279" s="542"/>
      <c r="FM279" s="542"/>
      <c r="FN279" s="542"/>
      <c r="FO279" s="542"/>
      <c r="FP279" s="542"/>
      <c r="FQ279" s="542"/>
      <c r="FR279" s="542"/>
      <c r="FS279" s="542"/>
      <c r="FT279" s="542"/>
      <c r="FU279" s="542"/>
      <c r="FV279" s="542"/>
      <c r="FW279" s="542"/>
      <c r="FX279" s="542"/>
      <c r="FY279" s="542"/>
      <c r="FZ279" s="542"/>
      <c r="GA279" s="542"/>
      <c r="GB279" s="542"/>
      <c r="GC279" s="542"/>
      <c r="GD279" s="542"/>
      <c r="GE279" s="542"/>
      <c r="GF279" s="542"/>
      <c r="GG279" s="542"/>
      <c r="GH279" s="542"/>
      <c r="GI279" s="542"/>
      <c r="GJ279" s="542"/>
      <c r="GK279" s="542"/>
      <c r="GL279" s="542"/>
      <c r="GM279" s="542"/>
      <c r="GN279" s="542"/>
      <c r="GO279" s="542"/>
      <c r="GP279" s="542"/>
      <c r="GQ279" s="542"/>
      <c r="GR279" s="542"/>
      <c r="GS279" s="542"/>
      <c r="GT279" s="542"/>
      <c r="GU279" s="542"/>
      <c r="GV279" s="542"/>
      <c r="GW279" s="542"/>
      <c r="GX279" s="542"/>
      <c r="GY279" s="542"/>
      <c r="GZ279" s="542"/>
      <c r="HA279" s="542"/>
      <c r="HB279" s="542"/>
      <c r="HC279" s="542"/>
      <c r="HD279" s="542"/>
      <c r="HE279" s="542"/>
      <c r="HF279" s="542"/>
      <c r="HG279" s="542"/>
      <c r="HH279" s="542"/>
      <c r="HI279" s="542"/>
      <c r="HJ279" s="542"/>
      <c r="HK279" s="542"/>
      <c r="HL279" s="542"/>
      <c r="HM279" s="542"/>
      <c r="HN279" s="542"/>
      <c r="HO279" s="542"/>
      <c r="HP279" s="542"/>
      <c r="HQ279" s="542"/>
      <c r="HR279" s="542"/>
      <c r="HS279" s="542"/>
      <c r="HT279" s="542"/>
      <c r="HU279" s="542"/>
      <c r="HV279" s="542"/>
      <c r="HW279" s="542"/>
      <c r="HX279" s="542"/>
      <c r="HY279" s="542"/>
      <c r="HZ279" s="542"/>
      <c r="IA279" s="542"/>
      <c r="IB279" s="542"/>
      <c r="IC279" s="542"/>
      <c r="ID279" s="542"/>
      <c r="IE279" s="542"/>
      <c r="IF279" s="542"/>
      <c r="IG279" s="542"/>
      <c r="IH279" s="542"/>
      <c r="II279" s="542"/>
      <c r="IJ279" s="542"/>
      <c r="IK279" s="542"/>
      <c r="IL279" s="542"/>
      <c r="IM279" s="542"/>
      <c r="IN279" s="542"/>
      <c r="IO279" s="542"/>
      <c r="IP279" s="542"/>
      <c r="IQ279" s="542"/>
      <c r="IR279" s="542"/>
      <c r="IS279" s="542"/>
      <c r="IT279" s="542"/>
      <c r="IU279" s="542"/>
      <c r="IV279" s="542"/>
      <c r="IW279" s="542"/>
      <c r="IX279" s="542"/>
      <c r="IY279" s="542"/>
      <c r="IZ279" s="542"/>
      <c r="JA279" s="542"/>
      <c r="JB279" s="542"/>
    </row>
    <row r="280" spans="104:262" ht="18.899999999999999" customHeight="1">
      <c r="CZ280" s="542"/>
      <c r="DA280" s="542"/>
      <c r="DB280" s="542"/>
      <c r="DC280" s="542"/>
      <c r="DD280" s="542"/>
      <c r="DE280" s="542"/>
      <c r="DF280" s="542"/>
      <c r="DG280" s="542"/>
      <c r="DH280" s="542"/>
      <c r="DI280" s="542"/>
      <c r="DJ280" s="542"/>
      <c r="DK280" s="542"/>
      <c r="DL280" s="542"/>
      <c r="DM280" s="542"/>
      <c r="DN280" s="542"/>
      <c r="DO280" s="542"/>
      <c r="DP280" s="542"/>
      <c r="DQ280" s="542"/>
      <c r="DR280" s="542"/>
      <c r="DS280" s="542"/>
      <c r="DT280" s="542"/>
      <c r="DU280" s="542"/>
      <c r="DV280" s="542"/>
      <c r="DW280" s="542"/>
      <c r="DX280" s="542"/>
      <c r="DY280" s="542"/>
      <c r="DZ280" s="542"/>
      <c r="EA280" s="542"/>
      <c r="EB280" s="542"/>
      <c r="EC280" s="542"/>
      <c r="ED280" s="542"/>
      <c r="EE280" s="542"/>
      <c r="EF280" s="542"/>
      <c r="EG280" s="542"/>
      <c r="EH280" s="542"/>
      <c r="EI280" s="542"/>
      <c r="EJ280" s="542"/>
      <c r="EK280" s="542"/>
      <c r="EL280" s="542"/>
      <c r="EM280" s="542"/>
      <c r="EN280" s="542"/>
      <c r="EO280" s="542"/>
      <c r="EP280" s="542"/>
      <c r="EQ280" s="542"/>
      <c r="ER280" s="542"/>
      <c r="ES280" s="542"/>
      <c r="ET280" s="542"/>
      <c r="EU280" s="542"/>
      <c r="EV280" s="542"/>
      <c r="EW280" s="542"/>
      <c r="EX280" s="542"/>
      <c r="EY280" s="542"/>
      <c r="EZ280" s="542"/>
      <c r="FA280" s="542"/>
      <c r="FB280" s="542"/>
      <c r="FC280" s="542"/>
      <c r="FD280" s="542"/>
      <c r="FE280" s="542"/>
      <c r="FF280" s="542"/>
      <c r="FG280" s="542"/>
      <c r="FH280" s="542"/>
      <c r="FI280" s="542"/>
      <c r="FJ280" s="542"/>
      <c r="FK280" s="542"/>
      <c r="FL280" s="542"/>
      <c r="FM280" s="542"/>
      <c r="FN280" s="542"/>
      <c r="FO280" s="542"/>
      <c r="FP280" s="542"/>
      <c r="FQ280" s="542"/>
      <c r="FR280" s="542"/>
      <c r="FS280" s="542"/>
      <c r="FT280" s="542"/>
      <c r="FU280" s="542"/>
      <c r="FV280" s="542"/>
      <c r="FW280" s="542"/>
      <c r="FX280" s="542"/>
      <c r="FY280" s="542"/>
      <c r="FZ280" s="542"/>
      <c r="GA280" s="542"/>
      <c r="GB280" s="542"/>
      <c r="GC280" s="542"/>
      <c r="GD280" s="542"/>
      <c r="GE280" s="542"/>
      <c r="GF280" s="542"/>
      <c r="GG280" s="542"/>
      <c r="GH280" s="542"/>
      <c r="GI280" s="542"/>
      <c r="GJ280" s="542"/>
      <c r="GK280" s="542"/>
      <c r="GL280" s="542"/>
      <c r="GM280" s="542"/>
      <c r="GN280" s="542"/>
      <c r="GO280" s="542"/>
      <c r="GP280" s="542"/>
      <c r="GQ280" s="542"/>
      <c r="GR280" s="542"/>
      <c r="GS280" s="542"/>
      <c r="GT280" s="542"/>
      <c r="GU280" s="542"/>
      <c r="GV280" s="542"/>
      <c r="GW280" s="542"/>
      <c r="GX280" s="542"/>
      <c r="GY280" s="542"/>
      <c r="GZ280" s="542"/>
      <c r="HA280" s="542"/>
      <c r="HB280" s="542"/>
      <c r="HC280" s="542"/>
      <c r="HD280" s="542"/>
      <c r="HE280" s="542"/>
      <c r="HF280" s="542"/>
      <c r="HG280" s="542"/>
      <c r="HH280" s="542"/>
      <c r="HI280" s="542"/>
      <c r="HJ280" s="542"/>
      <c r="HK280" s="542"/>
      <c r="HL280" s="542"/>
      <c r="HM280" s="542"/>
      <c r="HN280" s="542"/>
      <c r="HO280" s="542"/>
      <c r="HP280" s="542"/>
      <c r="HQ280" s="542"/>
      <c r="HR280" s="542"/>
      <c r="HS280" s="542"/>
      <c r="HT280" s="542"/>
      <c r="HU280" s="542"/>
      <c r="HV280" s="542"/>
      <c r="HW280" s="542"/>
      <c r="HX280" s="542"/>
      <c r="HY280" s="542"/>
      <c r="HZ280" s="542"/>
      <c r="IA280" s="542"/>
      <c r="IB280" s="542"/>
      <c r="IC280" s="542"/>
      <c r="ID280" s="542"/>
      <c r="IE280" s="542"/>
      <c r="IF280" s="542"/>
      <c r="IG280" s="542"/>
      <c r="IH280" s="542"/>
      <c r="II280" s="542"/>
      <c r="IJ280" s="542"/>
      <c r="IK280" s="542"/>
      <c r="IL280" s="542"/>
      <c r="IM280" s="542"/>
      <c r="IN280" s="542"/>
      <c r="IO280" s="542"/>
      <c r="IP280" s="542"/>
      <c r="IQ280" s="542"/>
      <c r="IR280" s="542"/>
      <c r="IS280" s="542"/>
      <c r="IT280" s="542"/>
      <c r="IU280" s="542"/>
      <c r="IV280" s="542"/>
      <c r="IW280" s="542"/>
      <c r="IX280" s="542"/>
      <c r="IY280" s="542"/>
      <c r="IZ280" s="542"/>
      <c r="JA280" s="542"/>
      <c r="JB280" s="542"/>
    </row>
    <row r="281" spans="104:262" ht="18.899999999999999" customHeight="1">
      <c r="CZ281" s="542"/>
      <c r="DA281" s="542"/>
      <c r="DB281" s="542"/>
      <c r="DC281" s="542"/>
      <c r="DD281" s="542"/>
      <c r="DE281" s="542"/>
      <c r="DF281" s="542"/>
      <c r="DG281" s="542"/>
      <c r="DH281" s="542"/>
      <c r="DI281" s="542"/>
      <c r="DJ281" s="542"/>
      <c r="DK281" s="542"/>
      <c r="DL281" s="542"/>
      <c r="DM281" s="542"/>
      <c r="DN281" s="542"/>
      <c r="DO281" s="542"/>
      <c r="DP281" s="542"/>
      <c r="DQ281" s="542"/>
      <c r="DR281" s="542"/>
      <c r="DS281" s="542"/>
      <c r="DT281" s="542"/>
      <c r="DU281" s="542"/>
      <c r="DV281" s="542"/>
      <c r="DW281" s="542"/>
      <c r="DX281" s="542"/>
      <c r="DY281" s="542"/>
      <c r="DZ281" s="542"/>
      <c r="EA281" s="542"/>
      <c r="EB281" s="542"/>
      <c r="EC281" s="542"/>
      <c r="ED281" s="542"/>
      <c r="EE281" s="542"/>
      <c r="EF281" s="542"/>
      <c r="EG281" s="542"/>
      <c r="EH281" s="542"/>
      <c r="EI281" s="542"/>
      <c r="EJ281" s="542"/>
      <c r="EK281" s="542"/>
      <c r="EL281" s="542"/>
      <c r="EM281" s="542"/>
      <c r="EN281" s="542"/>
      <c r="EO281" s="542"/>
      <c r="EP281" s="542"/>
      <c r="EQ281" s="542"/>
      <c r="ER281" s="542"/>
      <c r="ES281" s="542"/>
      <c r="ET281" s="542"/>
      <c r="EU281" s="542"/>
      <c r="EV281" s="542"/>
      <c r="EW281" s="542"/>
      <c r="EX281" s="542"/>
      <c r="EY281" s="542"/>
      <c r="EZ281" s="542"/>
      <c r="FA281" s="542"/>
      <c r="FB281" s="542"/>
      <c r="FC281" s="542"/>
      <c r="FD281" s="542"/>
      <c r="FE281" s="542"/>
      <c r="FF281" s="542"/>
      <c r="FG281" s="542"/>
      <c r="FH281" s="542"/>
      <c r="FI281" s="542"/>
      <c r="FJ281" s="542"/>
      <c r="FK281" s="542"/>
      <c r="FL281" s="542"/>
      <c r="FM281" s="542"/>
      <c r="FN281" s="542"/>
      <c r="FO281" s="542"/>
      <c r="FP281" s="542"/>
      <c r="FQ281" s="542"/>
      <c r="FR281" s="542"/>
      <c r="FS281" s="542"/>
      <c r="FT281" s="542"/>
      <c r="FU281" s="542"/>
      <c r="FV281" s="542"/>
      <c r="FW281" s="542"/>
      <c r="FX281" s="542"/>
      <c r="FY281" s="542"/>
      <c r="FZ281" s="542"/>
      <c r="GA281" s="542"/>
      <c r="GB281" s="542"/>
      <c r="GC281" s="542"/>
      <c r="GD281" s="542"/>
      <c r="GE281" s="542"/>
      <c r="GF281" s="542"/>
      <c r="GG281" s="542"/>
      <c r="GH281" s="542"/>
      <c r="GI281" s="542"/>
      <c r="GJ281" s="542"/>
      <c r="GK281" s="542"/>
      <c r="GL281" s="542"/>
      <c r="GM281" s="542"/>
      <c r="GN281" s="542"/>
      <c r="GO281" s="542"/>
      <c r="GP281" s="542"/>
      <c r="GQ281" s="542"/>
      <c r="GR281" s="542"/>
      <c r="GS281" s="542"/>
      <c r="GT281" s="542"/>
      <c r="GU281" s="542"/>
      <c r="GV281" s="542"/>
      <c r="GW281" s="542"/>
      <c r="GX281" s="542"/>
      <c r="GY281" s="542"/>
      <c r="GZ281" s="542"/>
      <c r="HA281" s="542"/>
      <c r="HB281" s="542"/>
      <c r="HC281" s="542"/>
      <c r="HD281" s="542"/>
      <c r="HE281" s="542"/>
      <c r="HF281" s="542"/>
      <c r="HG281" s="542"/>
      <c r="HH281" s="542"/>
      <c r="HI281" s="542"/>
      <c r="HJ281" s="542"/>
      <c r="HK281" s="542"/>
      <c r="HL281" s="542"/>
      <c r="HM281" s="542"/>
      <c r="HN281" s="542"/>
      <c r="HO281" s="542"/>
      <c r="HP281" s="542"/>
      <c r="HQ281" s="542"/>
      <c r="HR281" s="542"/>
      <c r="HS281" s="542"/>
      <c r="HT281" s="542"/>
      <c r="HU281" s="542"/>
      <c r="HV281" s="542"/>
      <c r="HW281" s="542"/>
      <c r="HX281" s="542"/>
      <c r="HY281" s="542"/>
      <c r="HZ281" s="542"/>
      <c r="IA281" s="542"/>
      <c r="IB281" s="542"/>
      <c r="IC281" s="542"/>
      <c r="ID281" s="542"/>
      <c r="IE281" s="542"/>
      <c r="IF281" s="542"/>
      <c r="IG281" s="542"/>
      <c r="IH281" s="542"/>
      <c r="II281" s="542"/>
      <c r="IJ281" s="542"/>
      <c r="IK281" s="542"/>
      <c r="IL281" s="542"/>
      <c r="IM281" s="542"/>
      <c r="IN281" s="542"/>
      <c r="IO281" s="542"/>
      <c r="IP281" s="542"/>
      <c r="IQ281" s="542"/>
      <c r="IR281" s="542"/>
      <c r="IS281" s="542"/>
      <c r="IT281" s="542"/>
      <c r="IU281" s="542"/>
      <c r="IV281" s="542"/>
      <c r="IW281" s="542"/>
      <c r="IX281" s="542"/>
      <c r="IY281" s="542"/>
      <c r="IZ281" s="542"/>
      <c r="JA281" s="542"/>
      <c r="JB281" s="542"/>
    </row>
    <row r="282" spans="104:262" ht="18.899999999999999" customHeight="1">
      <c r="CZ282" s="542"/>
      <c r="DA282" s="542"/>
      <c r="DB282" s="542"/>
      <c r="DC282" s="542"/>
      <c r="DD282" s="542"/>
      <c r="DE282" s="542"/>
      <c r="DF282" s="542"/>
      <c r="DG282" s="542"/>
      <c r="DH282" s="542"/>
      <c r="DI282" s="542"/>
      <c r="DJ282" s="542"/>
      <c r="DK282" s="542"/>
      <c r="DL282" s="542"/>
      <c r="DM282" s="542"/>
      <c r="DN282" s="542"/>
      <c r="DO282" s="542"/>
      <c r="DP282" s="542"/>
      <c r="DQ282" s="542"/>
      <c r="DR282" s="542"/>
      <c r="DS282" s="542"/>
      <c r="DT282" s="542"/>
      <c r="DU282" s="542"/>
      <c r="DV282" s="542"/>
      <c r="DW282" s="542"/>
      <c r="DX282" s="542"/>
      <c r="DY282" s="542"/>
      <c r="DZ282" s="542"/>
      <c r="EA282" s="542"/>
      <c r="EB282" s="542"/>
      <c r="EC282" s="542"/>
      <c r="ED282" s="542"/>
      <c r="EE282" s="542"/>
      <c r="EF282" s="542"/>
      <c r="EG282" s="542"/>
      <c r="EH282" s="542"/>
      <c r="EI282" s="542"/>
      <c r="EJ282" s="542"/>
      <c r="EK282" s="542"/>
      <c r="EL282" s="542"/>
      <c r="EM282" s="542"/>
      <c r="EN282" s="542"/>
      <c r="EO282" s="542"/>
      <c r="EP282" s="542"/>
      <c r="EQ282" s="542"/>
      <c r="ER282" s="542"/>
      <c r="ES282" s="542"/>
      <c r="ET282" s="542"/>
      <c r="EU282" s="542"/>
      <c r="EV282" s="542"/>
      <c r="EW282" s="542"/>
      <c r="EX282" s="542"/>
      <c r="EY282" s="542"/>
      <c r="EZ282" s="542"/>
      <c r="FA282" s="542"/>
      <c r="FB282" s="542"/>
      <c r="FC282" s="542"/>
      <c r="FD282" s="542"/>
      <c r="FE282" s="542"/>
      <c r="FF282" s="542"/>
      <c r="FG282" s="542"/>
      <c r="FH282" s="542"/>
      <c r="FI282" s="542"/>
      <c r="FJ282" s="542"/>
      <c r="FK282" s="542"/>
      <c r="FL282" s="542"/>
      <c r="FM282" s="542"/>
      <c r="FN282" s="542"/>
      <c r="FO282" s="542"/>
      <c r="FP282" s="542"/>
      <c r="FQ282" s="542"/>
      <c r="FR282" s="542"/>
      <c r="FS282" s="542"/>
      <c r="FT282" s="542"/>
      <c r="FU282" s="542"/>
      <c r="FV282" s="542"/>
      <c r="FW282" s="542"/>
      <c r="FX282" s="542"/>
      <c r="FY282" s="542"/>
      <c r="FZ282" s="542"/>
      <c r="GA282" s="542"/>
      <c r="GB282" s="542"/>
      <c r="GC282" s="542"/>
      <c r="GD282" s="542"/>
      <c r="GE282" s="542"/>
      <c r="GF282" s="542"/>
      <c r="GG282" s="542"/>
      <c r="GH282" s="542"/>
      <c r="GI282" s="542"/>
      <c r="GJ282" s="542"/>
      <c r="GK282" s="542"/>
      <c r="GL282" s="542"/>
      <c r="GM282" s="542"/>
      <c r="GN282" s="542"/>
      <c r="GO282" s="542"/>
      <c r="GP282" s="542"/>
      <c r="GQ282" s="542"/>
      <c r="GR282" s="542"/>
      <c r="GS282" s="542"/>
      <c r="GT282" s="542"/>
      <c r="GU282" s="542"/>
      <c r="GV282" s="542"/>
      <c r="GW282" s="542"/>
      <c r="GX282" s="542"/>
      <c r="GY282" s="542"/>
      <c r="GZ282" s="542"/>
      <c r="HA282" s="542"/>
      <c r="HB282" s="542"/>
      <c r="HC282" s="542"/>
      <c r="HD282" s="542"/>
      <c r="HE282" s="542"/>
      <c r="HF282" s="542"/>
      <c r="HG282" s="542"/>
      <c r="HH282" s="542"/>
      <c r="HI282" s="542"/>
      <c r="HJ282" s="542"/>
      <c r="HK282" s="542"/>
      <c r="HL282" s="542"/>
      <c r="HM282" s="542"/>
      <c r="HN282" s="542"/>
      <c r="HO282" s="542"/>
      <c r="HP282" s="542"/>
      <c r="HQ282" s="542"/>
      <c r="HR282" s="542"/>
      <c r="HS282" s="542"/>
      <c r="HT282" s="542"/>
      <c r="HU282" s="542"/>
      <c r="HV282" s="542"/>
      <c r="HW282" s="542"/>
      <c r="HX282" s="542"/>
      <c r="HY282" s="542"/>
      <c r="HZ282" s="542"/>
      <c r="IA282" s="542"/>
      <c r="IB282" s="542"/>
      <c r="IC282" s="542"/>
      <c r="ID282" s="542"/>
      <c r="IE282" s="542"/>
      <c r="IF282" s="542"/>
      <c r="IG282" s="542"/>
      <c r="IH282" s="542"/>
      <c r="II282" s="542"/>
      <c r="IJ282" s="542"/>
      <c r="IK282" s="542"/>
      <c r="IL282" s="542"/>
      <c r="IM282" s="542"/>
      <c r="IN282" s="542"/>
      <c r="IO282" s="542"/>
      <c r="IP282" s="542"/>
      <c r="IQ282" s="542"/>
      <c r="IR282" s="542"/>
      <c r="IS282" s="542"/>
      <c r="IT282" s="542"/>
      <c r="IU282" s="542"/>
      <c r="IV282" s="542"/>
      <c r="IW282" s="542"/>
      <c r="IX282" s="542"/>
      <c r="IY282" s="542"/>
      <c r="IZ282" s="542"/>
      <c r="JA282" s="542"/>
      <c r="JB282" s="542"/>
    </row>
    <row r="283" spans="104:262" ht="18.899999999999999" customHeight="1">
      <c r="CZ283" s="542"/>
      <c r="DA283" s="542"/>
      <c r="DB283" s="542"/>
      <c r="DC283" s="542"/>
      <c r="DD283" s="542"/>
      <c r="DE283" s="542"/>
      <c r="DF283" s="542"/>
      <c r="DG283" s="542"/>
      <c r="DH283" s="542"/>
      <c r="DI283" s="542"/>
      <c r="DJ283" s="542"/>
      <c r="DK283" s="542"/>
      <c r="DL283" s="542"/>
      <c r="DM283" s="542"/>
      <c r="DN283" s="542"/>
      <c r="DO283" s="542"/>
      <c r="DP283" s="542"/>
      <c r="DQ283" s="542"/>
      <c r="DR283" s="542"/>
      <c r="DS283" s="542"/>
      <c r="DT283" s="542"/>
      <c r="DU283" s="542"/>
      <c r="DV283" s="542"/>
      <c r="DW283" s="542"/>
      <c r="DX283" s="542"/>
      <c r="DY283" s="542"/>
      <c r="DZ283" s="542"/>
      <c r="EA283" s="542"/>
      <c r="EB283" s="542"/>
      <c r="EC283" s="542"/>
      <c r="ED283" s="542"/>
      <c r="EE283" s="542"/>
      <c r="EF283" s="542"/>
      <c r="EG283" s="542"/>
      <c r="EH283" s="542"/>
      <c r="EI283" s="542"/>
      <c r="EJ283" s="542"/>
      <c r="EK283" s="542"/>
      <c r="EL283" s="542"/>
      <c r="EM283" s="542"/>
      <c r="EN283" s="542"/>
      <c r="EO283" s="542"/>
      <c r="EP283" s="542"/>
      <c r="EQ283" s="542"/>
      <c r="ER283" s="542"/>
      <c r="ES283" s="542"/>
      <c r="ET283" s="542"/>
      <c r="EU283" s="542"/>
      <c r="EV283" s="542"/>
      <c r="EW283" s="542"/>
      <c r="EX283" s="542"/>
      <c r="EY283" s="542"/>
      <c r="EZ283" s="542"/>
      <c r="FA283" s="542"/>
      <c r="FB283" s="542"/>
      <c r="FC283" s="542"/>
      <c r="FD283" s="542"/>
      <c r="FE283" s="542"/>
      <c r="FF283" s="542"/>
      <c r="FG283" s="542"/>
      <c r="FH283" s="542"/>
      <c r="FI283" s="542"/>
      <c r="FJ283" s="542"/>
      <c r="FK283" s="542"/>
      <c r="FL283" s="542"/>
      <c r="FM283" s="542"/>
      <c r="FN283" s="542"/>
      <c r="FO283" s="542"/>
      <c r="FP283" s="542"/>
      <c r="FQ283" s="542"/>
      <c r="FR283" s="542"/>
      <c r="FS283" s="542"/>
      <c r="FT283" s="542"/>
      <c r="FU283" s="542"/>
      <c r="FV283" s="542"/>
      <c r="FW283" s="542"/>
      <c r="FX283" s="542"/>
      <c r="FY283" s="542"/>
      <c r="FZ283" s="542"/>
      <c r="GA283" s="542"/>
      <c r="GB283" s="542"/>
      <c r="GC283" s="542"/>
      <c r="GD283" s="542"/>
      <c r="GE283" s="542"/>
      <c r="GF283" s="542"/>
      <c r="GG283" s="542"/>
      <c r="GH283" s="542"/>
      <c r="GI283" s="542"/>
      <c r="GJ283" s="542"/>
      <c r="GK283" s="542"/>
      <c r="GL283" s="542"/>
      <c r="GM283" s="542"/>
      <c r="GN283" s="542"/>
      <c r="GO283" s="542"/>
      <c r="GP283" s="542"/>
      <c r="GQ283" s="542"/>
      <c r="GR283" s="542"/>
      <c r="GS283" s="542"/>
      <c r="GT283" s="542"/>
      <c r="GU283" s="542"/>
      <c r="GV283" s="542"/>
      <c r="GW283" s="542"/>
      <c r="GX283" s="542"/>
      <c r="GY283" s="542"/>
      <c r="GZ283" s="542"/>
      <c r="HA283" s="542"/>
      <c r="HB283" s="542"/>
      <c r="HC283" s="542"/>
      <c r="HD283" s="542"/>
      <c r="HE283" s="542"/>
      <c r="HF283" s="542"/>
      <c r="HG283" s="542"/>
      <c r="HH283" s="542"/>
      <c r="HI283" s="542"/>
      <c r="HJ283" s="542"/>
      <c r="HK283" s="542"/>
      <c r="HL283" s="542"/>
      <c r="HM283" s="542"/>
      <c r="HN283" s="542"/>
      <c r="HO283" s="542"/>
      <c r="HP283" s="542"/>
      <c r="HQ283" s="542"/>
      <c r="HR283" s="542"/>
      <c r="HS283" s="542"/>
      <c r="HT283" s="542"/>
      <c r="HU283" s="542"/>
      <c r="HV283" s="542"/>
      <c r="HW283" s="542"/>
      <c r="HX283" s="542"/>
      <c r="HY283" s="542"/>
      <c r="HZ283" s="542"/>
      <c r="IA283" s="542"/>
      <c r="IB283" s="542"/>
      <c r="IC283" s="542"/>
      <c r="ID283" s="542"/>
      <c r="IE283" s="542"/>
      <c r="IF283" s="542"/>
      <c r="IG283" s="542"/>
      <c r="IH283" s="542"/>
      <c r="II283" s="542"/>
      <c r="IJ283" s="542"/>
      <c r="IK283" s="542"/>
      <c r="IL283" s="542"/>
      <c r="IM283" s="542"/>
      <c r="IN283" s="542"/>
      <c r="IO283" s="542"/>
      <c r="IP283" s="542"/>
      <c r="IQ283" s="542"/>
      <c r="IR283" s="542"/>
      <c r="IS283" s="542"/>
      <c r="IT283" s="542"/>
      <c r="IU283" s="542"/>
      <c r="IV283" s="542"/>
      <c r="IW283" s="542"/>
      <c r="IX283" s="542"/>
      <c r="IY283" s="542"/>
      <c r="IZ283" s="542"/>
      <c r="JA283" s="542"/>
      <c r="JB283" s="542"/>
    </row>
    <row r="284" spans="104:262" ht="18.899999999999999" customHeight="1">
      <c r="CZ284" s="542"/>
      <c r="DA284" s="542"/>
      <c r="DB284" s="542"/>
      <c r="DC284" s="542"/>
      <c r="DD284" s="542"/>
      <c r="DE284" s="542"/>
      <c r="DF284" s="542"/>
      <c r="DG284" s="542"/>
      <c r="DH284" s="542"/>
      <c r="DI284" s="542"/>
      <c r="DJ284" s="542"/>
      <c r="DK284" s="542"/>
      <c r="DL284" s="542"/>
      <c r="DM284" s="542"/>
      <c r="DN284" s="542"/>
      <c r="DO284" s="542"/>
      <c r="DP284" s="542"/>
      <c r="DQ284" s="542"/>
      <c r="DR284" s="542"/>
      <c r="DS284" s="542"/>
      <c r="DT284" s="542"/>
      <c r="DU284" s="542"/>
      <c r="DV284" s="542"/>
      <c r="DW284" s="542"/>
      <c r="DX284" s="542"/>
      <c r="DY284" s="542"/>
      <c r="DZ284" s="542"/>
      <c r="EA284" s="542"/>
      <c r="EB284" s="542"/>
      <c r="EC284" s="542"/>
      <c r="ED284" s="542"/>
      <c r="EE284" s="542"/>
      <c r="EF284" s="542"/>
      <c r="EG284" s="542"/>
      <c r="EH284" s="542"/>
      <c r="EI284" s="542"/>
      <c r="EJ284" s="542"/>
      <c r="EK284" s="542"/>
      <c r="EL284" s="542"/>
      <c r="EM284" s="542"/>
      <c r="EN284" s="542"/>
      <c r="EO284" s="542"/>
      <c r="EP284" s="542"/>
      <c r="EQ284" s="542"/>
      <c r="ER284" s="542"/>
      <c r="ES284" s="542"/>
      <c r="ET284" s="542"/>
      <c r="EU284" s="542"/>
      <c r="EV284" s="542"/>
      <c r="EW284" s="542"/>
      <c r="EX284" s="542"/>
      <c r="EY284" s="542"/>
      <c r="EZ284" s="542"/>
      <c r="FA284" s="542"/>
      <c r="FB284" s="542"/>
      <c r="FC284" s="542"/>
      <c r="FD284" s="542"/>
      <c r="FE284" s="542"/>
      <c r="FF284" s="542"/>
      <c r="FG284" s="542"/>
      <c r="FH284" s="542"/>
      <c r="FI284" s="542"/>
      <c r="FJ284" s="542"/>
      <c r="FK284" s="542"/>
      <c r="FL284" s="542"/>
      <c r="FM284" s="542"/>
      <c r="FN284" s="542"/>
      <c r="FO284" s="542"/>
      <c r="FP284" s="542"/>
      <c r="FQ284" s="542"/>
      <c r="FR284" s="542"/>
      <c r="FS284" s="542"/>
      <c r="FT284" s="542"/>
      <c r="FU284" s="542"/>
      <c r="FV284" s="542"/>
      <c r="FW284" s="542"/>
      <c r="FX284" s="542"/>
      <c r="FY284" s="542"/>
      <c r="FZ284" s="542"/>
      <c r="GA284" s="542"/>
      <c r="GB284" s="542"/>
      <c r="GC284" s="542"/>
      <c r="GD284" s="542"/>
      <c r="GE284" s="542"/>
      <c r="GF284" s="542"/>
      <c r="GG284" s="542"/>
      <c r="GH284" s="542"/>
      <c r="GI284" s="542"/>
      <c r="GJ284" s="542"/>
      <c r="GK284" s="542"/>
      <c r="GL284" s="542"/>
      <c r="GM284" s="542"/>
      <c r="GN284" s="542"/>
      <c r="GO284" s="542"/>
      <c r="GP284" s="542"/>
      <c r="GQ284" s="542"/>
      <c r="GR284" s="542"/>
      <c r="GS284" s="542"/>
      <c r="GT284" s="542"/>
      <c r="GU284" s="542"/>
      <c r="GV284" s="542"/>
      <c r="GW284" s="542"/>
      <c r="GX284" s="542"/>
      <c r="GY284" s="542"/>
      <c r="GZ284" s="542"/>
      <c r="HA284" s="542"/>
      <c r="HB284" s="542"/>
      <c r="HC284" s="542"/>
      <c r="HD284" s="542"/>
      <c r="HE284" s="542"/>
      <c r="HF284" s="542"/>
      <c r="HG284" s="542"/>
      <c r="HH284" s="542"/>
      <c r="HI284" s="542"/>
      <c r="HJ284" s="542"/>
      <c r="HK284" s="542"/>
      <c r="HL284" s="542"/>
      <c r="HM284" s="542"/>
      <c r="HN284" s="542"/>
      <c r="HO284" s="542"/>
      <c r="HP284" s="542"/>
      <c r="HQ284" s="542"/>
      <c r="HR284" s="542"/>
      <c r="HS284" s="542"/>
      <c r="HT284" s="542"/>
      <c r="HU284" s="542"/>
      <c r="HV284" s="542"/>
      <c r="HW284" s="542"/>
      <c r="HX284" s="542"/>
      <c r="HY284" s="542"/>
      <c r="HZ284" s="542"/>
      <c r="IA284" s="542"/>
      <c r="IB284" s="542"/>
      <c r="IC284" s="542"/>
      <c r="ID284" s="542"/>
      <c r="IE284" s="542"/>
      <c r="IF284" s="542"/>
      <c r="IG284" s="542"/>
      <c r="IH284" s="542"/>
      <c r="II284" s="542"/>
      <c r="IJ284" s="542"/>
      <c r="IK284" s="542"/>
      <c r="IL284" s="542"/>
      <c r="IM284" s="542"/>
      <c r="IN284" s="542"/>
      <c r="IO284" s="542"/>
      <c r="IP284" s="542"/>
      <c r="IQ284" s="542"/>
      <c r="IR284" s="542"/>
      <c r="IS284" s="542"/>
      <c r="IT284" s="542"/>
      <c r="IU284" s="542"/>
      <c r="IV284" s="542"/>
      <c r="IW284" s="542"/>
      <c r="IX284" s="542"/>
      <c r="IY284" s="542"/>
      <c r="IZ284" s="542"/>
      <c r="JA284" s="542"/>
      <c r="JB284" s="542"/>
    </row>
    <row r="285" spans="104:262" ht="18.899999999999999" customHeight="1">
      <c r="CZ285" s="542"/>
      <c r="DA285" s="542"/>
      <c r="DB285" s="542"/>
      <c r="DC285" s="542"/>
      <c r="DD285" s="542"/>
      <c r="DE285" s="542"/>
      <c r="DF285" s="542"/>
      <c r="DG285" s="542"/>
      <c r="DH285" s="542"/>
      <c r="DI285" s="542"/>
      <c r="DJ285" s="542"/>
      <c r="DK285" s="542"/>
      <c r="DL285" s="542"/>
      <c r="DM285" s="542"/>
      <c r="DN285" s="542"/>
      <c r="DO285" s="542"/>
      <c r="DP285" s="542"/>
      <c r="DQ285" s="542"/>
      <c r="DR285" s="542"/>
      <c r="DS285" s="542"/>
      <c r="DT285" s="542"/>
      <c r="DU285" s="542"/>
      <c r="DV285" s="542"/>
      <c r="DW285" s="542"/>
      <c r="DX285" s="542"/>
      <c r="DY285" s="542"/>
      <c r="DZ285" s="542"/>
      <c r="EA285" s="542"/>
      <c r="EB285" s="542"/>
      <c r="EC285" s="542"/>
      <c r="ED285" s="542"/>
      <c r="EE285" s="542"/>
      <c r="EF285" s="542"/>
      <c r="EG285" s="542"/>
      <c r="EH285" s="542"/>
      <c r="EI285" s="542"/>
      <c r="EJ285" s="542"/>
      <c r="EK285" s="542"/>
      <c r="EL285" s="542"/>
      <c r="EM285" s="542"/>
      <c r="EN285" s="542"/>
      <c r="EO285" s="542"/>
      <c r="EP285" s="542"/>
      <c r="EQ285" s="542"/>
      <c r="ER285" s="542"/>
      <c r="ES285" s="542"/>
      <c r="ET285" s="542"/>
      <c r="EU285" s="542"/>
      <c r="EV285" s="542"/>
      <c r="EW285" s="542"/>
      <c r="EX285" s="542"/>
      <c r="EY285" s="542"/>
      <c r="EZ285" s="542"/>
      <c r="FA285" s="542"/>
      <c r="FB285" s="542"/>
      <c r="FC285" s="542"/>
      <c r="FD285" s="542"/>
      <c r="FE285" s="542"/>
      <c r="FF285" s="542"/>
      <c r="FG285" s="542"/>
      <c r="FH285" s="542"/>
      <c r="FI285" s="542"/>
      <c r="FJ285" s="542"/>
      <c r="FK285" s="542"/>
      <c r="FL285" s="542"/>
      <c r="FM285" s="542"/>
      <c r="FN285" s="542"/>
      <c r="FO285" s="542"/>
      <c r="FP285" s="542"/>
      <c r="FQ285" s="542"/>
      <c r="FR285" s="542"/>
      <c r="FS285" s="542"/>
      <c r="FT285" s="542"/>
      <c r="FU285" s="542"/>
      <c r="FV285" s="542"/>
      <c r="FW285" s="542"/>
      <c r="FX285" s="542"/>
      <c r="FY285" s="542"/>
      <c r="FZ285" s="542"/>
      <c r="GA285" s="542"/>
      <c r="GB285" s="542"/>
      <c r="GC285" s="542"/>
      <c r="GD285" s="542"/>
      <c r="GE285" s="542"/>
      <c r="GF285" s="542"/>
      <c r="GG285" s="542"/>
      <c r="GH285" s="542"/>
      <c r="GI285" s="542"/>
      <c r="GJ285" s="542"/>
      <c r="GK285" s="542"/>
      <c r="GL285" s="542"/>
      <c r="GM285" s="542"/>
      <c r="GN285" s="542"/>
      <c r="GO285" s="542"/>
      <c r="GP285" s="542"/>
      <c r="GQ285" s="542"/>
      <c r="GR285" s="542"/>
      <c r="GS285" s="542"/>
      <c r="GT285" s="542"/>
      <c r="GU285" s="542"/>
      <c r="GV285" s="542"/>
      <c r="GW285" s="542"/>
      <c r="GX285" s="542"/>
      <c r="GY285" s="542"/>
      <c r="GZ285" s="542"/>
      <c r="HA285" s="542"/>
      <c r="HB285" s="542"/>
      <c r="HC285" s="542"/>
      <c r="HD285" s="542"/>
      <c r="HE285" s="542"/>
      <c r="HF285" s="542"/>
      <c r="HG285" s="542"/>
      <c r="HH285" s="542"/>
      <c r="HI285" s="542"/>
      <c r="HJ285" s="542"/>
      <c r="HK285" s="542"/>
      <c r="HL285" s="542"/>
      <c r="HM285" s="542"/>
      <c r="HN285" s="542"/>
      <c r="HO285" s="542"/>
      <c r="HP285" s="542"/>
      <c r="HQ285" s="542"/>
      <c r="HR285" s="542"/>
      <c r="HS285" s="542"/>
      <c r="HT285" s="542"/>
      <c r="HU285" s="542"/>
      <c r="HV285" s="542"/>
      <c r="HW285" s="542"/>
      <c r="HX285" s="542"/>
      <c r="HY285" s="542"/>
      <c r="HZ285" s="542"/>
      <c r="IA285" s="542"/>
      <c r="IB285" s="542"/>
      <c r="IC285" s="542"/>
      <c r="ID285" s="542"/>
      <c r="IE285" s="542"/>
      <c r="IF285" s="542"/>
      <c r="IG285" s="542"/>
      <c r="IH285" s="542"/>
      <c r="II285" s="542"/>
      <c r="IJ285" s="542"/>
      <c r="IK285" s="542"/>
      <c r="IL285" s="542"/>
      <c r="IM285" s="542"/>
      <c r="IN285" s="542"/>
      <c r="IO285" s="542"/>
      <c r="IP285" s="542"/>
      <c r="IQ285" s="542"/>
      <c r="IR285" s="542"/>
      <c r="IS285" s="542"/>
      <c r="IT285" s="542"/>
      <c r="IU285" s="542"/>
      <c r="IV285" s="542"/>
      <c r="IW285" s="542"/>
      <c r="IX285" s="542"/>
      <c r="IY285" s="542"/>
      <c r="IZ285" s="542"/>
      <c r="JA285" s="542"/>
      <c r="JB285" s="542"/>
    </row>
    <row r="286" spans="104:262" ht="18.899999999999999" customHeight="1">
      <c r="CZ286" s="542"/>
      <c r="DA286" s="542"/>
      <c r="DB286" s="542"/>
      <c r="DC286" s="542"/>
      <c r="DD286" s="542"/>
      <c r="DE286" s="542"/>
      <c r="DF286" s="542"/>
      <c r="DG286" s="542"/>
      <c r="DH286" s="542"/>
      <c r="DI286" s="542"/>
      <c r="DJ286" s="542"/>
      <c r="DK286" s="542"/>
      <c r="DL286" s="542"/>
      <c r="DM286" s="542"/>
      <c r="DN286" s="542"/>
      <c r="DO286" s="542"/>
      <c r="DP286" s="542"/>
      <c r="DQ286" s="542"/>
      <c r="DR286" s="542"/>
      <c r="DS286" s="542"/>
      <c r="DT286" s="542"/>
      <c r="DU286" s="542"/>
      <c r="DV286" s="542"/>
      <c r="DW286" s="542"/>
      <c r="DX286" s="542"/>
      <c r="DY286" s="542"/>
      <c r="DZ286" s="542"/>
      <c r="EA286" s="542"/>
      <c r="EB286" s="542"/>
      <c r="EC286" s="542"/>
      <c r="ED286" s="542"/>
      <c r="EE286" s="542"/>
      <c r="EF286" s="542"/>
      <c r="EG286" s="542"/>
      <c r="EH286" s="542"/>
      <c r="EI286" s="542"/>
      <c r="EJ286" s="542"/>
      <c r="EK286" s="542"/>
      <c r="EL286" s="542"/>
      <c r="EM286" s="542"/>
      <c r="EN286" s="542"/>
      <c r="EO286" s="542"/>
      <c r="EP286" s="542"/>
      <c r="EQ286" s="542"/>
      <c r="ER286" s="542"/>
      <c r="ES286" s="542"/>
      <c r="ET286" s="542"/>
      <c r="EU286" s="542"/>
      <c r="EV286" s="542"/>
      <c r="EW286" s="542"/>
      <c r="EX286" s="542"/>
      <c r="EY286" s="542"/>
      <c r="EZ286" s="542"/>
      <c r="FA286" s="542"/>
      <c r="FB286" s="542"/>
      <c r="FC286" s="542"/>
      <c r="FD286" s="542"/>
      <c r="FE286" s="542"/>
      <c r="FF286" s="542"/>
      <c r="FG286" s="542"/>
      <c r="FH286" s="542"/>
      <c r="FI286" s="542"/>
      <c r="FJ286" s="542"/>
      <c r="FK286" s="542"/>
      <c r="FL286" s="542"/>
      <c r="FM286" s="542"/>
      <c r="FN286" s="542"/>
      <c r="FO286" s="542"/>
      <c r="FP286" s="542"/>
      <c r="FQ286" s="542"/>
      <c r="FR286" s="542"/>
      <c r="FS286" s="542"/>
      <c r="FT286" s="542"/>
      <c r="FU286" s="542"/>
      <c r="FV286" s="542"/>
      <c r="FW286" s="542"/>
      <c r="FX286" s="542"/>
      <c r="FY286" s="542"/>
      <c r="FZ286" s="542"/>
      <c r="GA286" s="542"/>
      <c r="GB286" s="542"/>
      <c r="GC286" s="542"/>
      <c r="GD286" s="542"/>
      <c r="GE286" s="542"/>
      <c r="GF286" s="542"/>
      <c r="GG286" s="542"/>
      <c r="GH286" s="542"/>
      <c r="GI286" s="542"/>
      <c r="GJ286" s="542"/>
      <c r="GK286" s="542"/>
      <c r="GL286" s="542"/>
      <c r="GM286" s="542"/>
      <c r="GN286" s="542"/>
      <c r="GO286" s="542"/>
      <c r="GP286" s="542"/>
      <c r="GQ286" s="542"/>
      <c r="GR286" s="542"/>
      <c r="GS286" s="542"/>
      <c r="GT286" s="542"/>
      <c r="GU286" s="542"/>
      <c r="GV286" s="542"/>
      <c r="GW286" s="542"/>
      <c r="GX286" s="542"/>
      <c r="GY286" s="542"/>
      <c r="GZ286" s="542"/>
      <c r="HA286" s="542"/>
      <c r="HB286" s="542"/>
      <c r="HC286" s="542"/>
      <c r="HD286" s="542"/>
      <c r="HE286" s="542"/>
      <c r="HF286" s="542"/>
      <c r="HG286" s="542"/>
      <c r="HH286" s="542"/>
      <c r="HI286" s="542"/>
      <c r="HJ286" s="542"/>
      <c r="HK286" s="542"/>
      <c r="HL286" s="542"/>
      <c r="HM286" s="542"/>
      <c r="HN286" s="542"/>
      <c r="HO286" s="542"/>
      <c r="HP286" s="542"/>
      <c r="HQ286" s="542"/>
      <c r="HR286" s="542"/>
      <c r="HS286" s="542"/>
      <c r="HT286" s="542"/>
      <c r="HU286" s="542"/>
      <c r="HV286" s="542"/>
      <c r="HW286" s="542"/>
      <c r="HX286" s="542"/>
      <c r="HY286" s="542"/>
      <c r="HZ286" s="542"/>
      <c r="IA286" s="542"/>
      <c r="IB286" s="542"/>
      <c r="IC286" s="542"/>
      <c r="ID286" s="542"/>
      <c r="IE286" s="542"/>
      <c r="IF286" s="542"/>
      <c r="IG286" s="542"/>
      <c r="IH286" s="542"/>
      <c r="II286" s="542"/>
      <c r="IJ286" s="542"/>
      <c r="IK286" s="542"/>
      <c r="IL286" s="542"/>
      <c r="IM286" s="542"/>
      <c r="IN286" s="542"/>
      <c r="IO286" s="542"/>
      <c r="IP286" s="542"/>
      <c r="IQ286" s="542"/>
      <c r="IR286" s="542"/>
      <c r="IS286" s="542"/>
      <c r="IT286" s="542"/>
      <c r="IU286" s="542"/>
      <c r="IV286" s="542"/>
      <c r="IW286" s="542"/>
      <c r="IX286" s="542"/>
      <c r="IY286" s="542"/>
      <c r="IZ286" s="542"/>
      <c r="JA286" s="542"/>
      <c r="JB286" s="542"/>
    </row>
    <row r="287" spans="104:262" ht="18.899999999999999" customHeight="1">
      <c r="CZ287" s="542"/>
      <c r="DA287" s="542"/>
      <c r="DB287" s="542"/>
      <c r="DC287" s="542"/>
      <c r="DD287" s="542"/>
      <c r="DE287" s="542"/>
      <c r="DF287" s="542"/>
      <c r="DG287" s="542"/>
      <c r="DH287" s="542"/>
      <c r="DI287" s="542"/>
      <c r="DJ287" s="542"/>
      <c r="DK287" s="542"/>
      <c r="DL287" s="542"/>
      <c r="DM287" s="542"/>
      <c r="DN287" s="542"/>
      <c r="DO287" s="542"/>
      <c r="DP287" s="542"/>
      <c r="DQ287" s="542"/>
      <c r="DR287" s="542"/>
      <c r="DS287" s="542"/>
      <c r="DT287" s="542"/>
      <c r="DU287" s="542"/>
      <c r="DV287" s="542"/>
      <c r="DW287" s="542"/>
      <c r="DX287" s="542"/>
      <c r="DY287" s="542"/>
      <c r="DZ287" s="542"/>
      <c r="EA287" s="542"/>
      <c r="EB287" s="542"/>
      <c r="EC287" s="542"/>
      <c r="ED287" s="542"/>
      <c r="EE287" s="542"/>
      <c r="EF287" s="542"/>
      <c r="EG287" s="542"/>
      <c r="EH287" s="542"/>
      <c r="EI287" s="542"/>
      <c r="EJ287" s="542"/>
      <c r="EK287" s="542"/>
      <c r="EL287" s="542"/>
      <c r="EM287" s="542"/>
      <c r="EN287" s="542"/>
      <c r="EO287" s="542"/>
      <c r="EP287" s="542"/>
      <c r="EQ287" s="542"/>
      <c r="ER287" s="542"/>
      <c r="ES287" s="542"/>
      <c r="ET287" s="542"/>
      <c r="EU287" s="542"/>
      <c r="EV287" s="542"/>
      <c r="EW287" s="542"/>
      <c r="EX287" s="542"/>
      <c r="EY287" s="542"/>
      <c r="EZ287" s="542"/>
      <c r="FA287" s="542"/>
      <c r="FB287" s="542"/>
      <c r="FC287" s="542"/>
      <c r="FD287" s="542"/>
      <c r="FE287" s="542"/>
      <c r="FF287" s="542"/>
      <c r="FG287" s="542"/>
      <c r="FH287" s="542"/>
      <c r="FI287" s="542"/>
      <c r="FJ287" s="542"/>
      <c r="FK287" s="542"/>
      <c r="FL287" s="542"/>
      <c r="FM287" s="542"/>
      <c r="FN287" s="542"/>
      <c r="FO287" s="542"/>
      <c r="FP287" s="542"/>
      <c r="FQ287" s="542"/>
      <c r="FR287" s="542"/>
      <c r="FS287" s="542"/>
      <c r="FT287" s="542"/>
      <c r="FU287" s="542"/>
      <c r="FV287" s="542"/>
      <c r="FW287" s="542"/>
      <c r="FX287" s="542"/>
      <c r="FY287" s="542"/>
      <c r="FZ287" s="542"/>
      <c r="GA287" s="542"/>
      <c r="GB287" s="542"/>
      <c r="GC287" s="542"/>
      <c r="GD287" s="542"/>
      <c r="GE287" s="542"/>
      <c r="GF287" s="542"/>
      <c r="GG287" s="542"/>
      <c r="GH287" s="542"/>
      <c r="GI287" s="542"/>
      <c r="GJ287" s="542"/>
      <c r="GK287" s="542"/>
      <c r="GL287" s="542"/>
      <c r="GM287" s="542"/>
      <c r="GN287" s="542"/>
      <c r="GO287" s="542"/>
      <c r="GP287" s="542"/>
      <c r="GQ287" s="542"/>
      <c r="GR287" s="542"/>
      <c r="GS287" s="542"/>
      <c r="GT287" s="542"/>
      <c r="GU287" s="542"/>
      <c r="GV287" s="542"/>
      <c r="GW287" s="542"/>
      <c r="GX287" s="542"/>
      <c r="GY287" s="542"/>
      <c r="GZ287" s="542"/>
      <c r="HA287" s="542"/>
      <c r="HB287" s="542"/>
      <c r="HC287" s="542"/>
      <c r="HD287" s="542"/>
      <c r="HE287" s="542"/>
      <c r="HF287" s="542"/>
      <c r="HG287" s="542"/>
      <c r="HH287" s="542"/>
      <c r="HI287" s="542"/>
      <c r="HJ287" s="542"/>
      <c r="HK287" s="542"/>
      <c r="HL287" s="542"/>
      <c r="HM287" s="542"/>
      <c r="HN287" s="542"/>
      <c r="HO287" s="542"/>
      <c r="HP287" s="542"/>
      <c r="HQ287" s="542"/>
      <c r="HR287" s="542"/>
      <c r="HS287" s="542"/>
      <c r="HT287" s="542"/>
      <c r="HU287" s="542"/>
      <c r="HV287" s="542"/>
      <c r="HW287" s="542"/>
      <c r="HX287" s="542"/>
      <c r="HY287" s="542"/>
      <c r="HZ287" s="542"/>
      <c r="IA287" s="542"/>
      <c r="IB287" s="542"/>
      <c r="IC287" s="542"/>
      <c r="ID287" s="542"/>
      <c r="IE287" s="542"/>
      <c r="IF287" s="542"/>
      <c r="IG287" s="542"/>
      <c r="IH287" s="542"/>
      <c r="II287" s="542"/>
      <c r="IJ287" s="542"/>
      <c r="IK287" s="542"/>
      <c r="IL287" s="542"/>
      <c r="IM287" s="542"/>
      <c r="IN287" s="542"/>
      <c r="IO287" s="542"/>
      <c r="IP287" s="542"/>
      <c r="IQ287" s="542"/>
      <c r="IR287" s="542"/>
      <c r="IS287" s="542"/>
      <c r="IT287" s="542"/>
      <c r="IU287" s="542"/>
      <c r="IV287" s="542"/>
      <c r="IW287" s="542"/>
      <c r="IX287" s="542"/>
      <c r="IY287" s="542"/>
      <c r="IZ287" s="542"/>
      <c r="JA287" s="542"/>
      <c r="JB287" s="542"/>
    </row>
    <row r="288" spans="104:262" ht="18.899999999999999" customHeight="1">
      <c r="CZ288" s="542"/>
      <c r="DA288" s="542"/>
      <c r="DB288" s="542"/>
      <c r="DC288" s="542"/>
      <c r="DD288" s="542"/>
      <c r="DE288" s="542"/>
      <c r="DF288" s="542"/>
      <c r="DG288" s="542"/>
      <c r="DH288" s="542"/>
      <c r="DI288" s="542"/>
      <c r="DJ288" s="542"/>
      <c r="DK288" s="542"/>
      <c r="DL288" s="542"/>
      <c r="DM288" s="542"/>
      <c r="DN288" s="542"/>
      <c r="DO288" s="542"/>
      <c r="DP288" s="542"/>
      <c r="DQ288" s="542"/>
      <c r="DR288" s="542"/>
      <c r="DS288" s="542"/>
      <c r="DT288" s="542"/>
      <c r="DU288" s="542"/>
      <c r="DV288" s="542"/>
      <c r="DW288" s="542"/>
      <c r="DX288" s="542"/>
      <c r="DY288" s="542"/>
      <c r="DZ288" s="542"/>
      <c r="EA288" s="542"/>
      <c r="EB288" s="542"/>
      <c r="EC288" s="542"/>
      <c r="ED288" s="542"/>
      <c r="EE288" s="542"/>
      <c r="EF288" s="542"/>
      <c r="EG288" s="542"/>
      <c r="EH288" s="542"/>
      <c r="EI288" s="542"/>
      <c r="EJ288" s="542"/>
      <c r="EK288" s="542"/>
      <c r="EL288" s="542"/>
      <c r="EM288" s="542"/>
      <c r="EN288" s="542"/>
      <c r="EO288" s="542"/>
      <c r="EP288" s="542"/>
      <c r="EQ288" s="542"/>
      <c r="ER288" s="542"/>
      <c r="ES288" s="542"/>
      <c r="ET288" s="542"/>
      <c r="EU288" s="542"/>
      <c r="EV288" s="542"/>
      <c r="EW288" s="542"/>
      <c r="EX288" s="542"/>
      <c r="EY288" s="542"/>
      <c r="EZ288" s="542"/>
      <c r="FA288" s="542"/>
      <c r="FB288" s="542"/>
      <c r="FC288" s="542"/>
      <c r="FD288" s="542"/>
      <c r="FE288" s="542"/>
      <c r="FF288" s="542"/>
      <c r="FG288" s="542"/>
      <c r="FH288" s="542"/>
      <c r="FI288" s="542"/>
      <c r="FJ288" s="542"/>
      <c r="FK288" s="542"/>
      <c r="FL288" s="542"/>
      <c r="FM288" s="542"/>
      <c r="FN288" s="542"/>
      <c r="FO288" s="542"/>
      <c r="FP288" s="542"/>
      <c r="FQ288" s="542"/>
      <c r="FR288" s="542"/>
      <c r="FS288" s="542"/>
      <c r="FT288" s="542"/>
      <c r="FU288" s="542"/>
      <c r="FV288" s="542"/>
      <c r="FW288" s="542"/>
      <c r="FX288" s="542"/>
      <c r="FY288" s="542"/>
      <c r="FZ288" s="542"/>
      <c r="GA288" s="542"/>
      <c r="GB288" s="542"/>
      <c r="GC288" s="542"/>
      <c r="GD288" s="542"/>
      <c r="GE288" s="542"/>
      <c r="GF288" s="542"/>
      <c r="GG288" s="542"/>
      <c r="GH288" s="542"/>
      <c r="GI288" s="542"/>
      <c r="GJ288" s="542"/>
      <c r="GK288" s="542"/>
      <c r="GL288" s="542"/>
      <c r="GM288" s="542"/>
      <c r="GN288" s="542"/>
      <c r="GO288" s="542"/>
      <c r="GP288" s="542"/>
      <c r="GQ288" s="542"/>
      <c r="GR288" s="542"/>
      <c r="GS288" s="542"/>
      <c r="GT288" s="542"/>
      <c r="GU288" s="542"/>
      <c r="GV288" s="542"/>
      <c r="GW288" s="542"/>
      <c r="GX288" s="542"/>
      <c r="GY288" s="542"/>
      <c r="GZ288" s="542"/>
      <c r="HA288" s="542"/>
      <c r="HB288" s="542"/>
      <c r="HC288" s="542"/>
      <c r="HD288" s="542"/>
      <c r="HE288" s="542"/>
      <c r="HF288" s="542"/>
      <c r="HG288" s="542"/>
      <c r="HH288" s="542"/>
      <c r="HI288" s="542"/>
      <c r="HJ288" s="542"/>
      <c r="HK288" s="542"/>
      <c r="HL288" s="542"/>
      <c r="HM288" s="542"/>
      <c r="HN288" s="542"/>
      <c r="HO288" s="542"/>
      <c r="HP288" s="542"/>
      <c r="HQ288" s="542"/>
      <c r="HR288" s="542"/>
      <c r="HS288" s="542"/>
      <c r="HT288" s="542"/>
      <c r="HU288" s="542"/>
      <c r="HV288" s="542"/>
      <c r="HW288" s="542"/>
      <c r="HX288" s="542"/>
      <c r="HY288" s="542"/>
      <c r="HZ288" s="542"/>
      <c r="IA288" s="542"/>
      <c r="IB288" s="542"/>
      <c r="IC288" s="542"/>
      <c r="ID288" s="542"/>
      <c r="IE288" s="542"/>
      <c r="IF288" s="542"/>
      <c r="IG288" s="542"/>
      <c r="IH288" s="542"/>
      <c r="II288" s="542"/>
      <c r="IJ288" s="542"/>
      <c r="IK288" s="542"/>
      <c r="IL288" s="542"/>
      <c r="IM288" s="542"/>
      <c r="IN288" s="542"/>
      <c r="IO288" s="542"/>
      <c r="IP288" s="542"/>
      <c r="IQ288" s="542"/>
      <c r="IR288" s="542"/>
      <c r="IS288" s="542"/>
      <c r="IT288" s="542"/>
      <c r="IU288" s="542"/>
      <c r="IV288" s="542"/>
      <c r="IW288" s="542"/>
      <c r="IX288" s="542"/>
      <c r="IY288" s="542"/>
      <c r="IZ288" s="542"/>
      <c r="JA288" s="542"/>
      <c r="JB288" s="542"/>
    </row>
    <row r="289" spans="104:262" ht="18.899999999999999" customHeight="1">
      <c r="CZ289" s="542"/>
      <c r="DA289" s="542"/>
      <c r="DB289" s="542"/>
      <c r="DC289" s="542"/>
      <c r="DD289" s="542"/>
      <c r="DE289" s="542"/>
      <c r="DF289" s="542"/>
      <c r="DG289" s="542"/>
      <c r="DH289" s="542"/>
      <c r="DI289" s="542"/>
      <c r="DJ289" s="542"/>
      <c r="DK289" s="542"/>
      <c r="DL289" s="542"/>
      <c r="DM289" s="542"/>
      <c r="DN289" s="542"/>
      <c r="DO289" s="542"/>
      <c r="DP289" s="542"/>
      <c r="DQ289" s="542"/>
      <c r="DR289" s="542"/>
      <c r="DS289" s="542"/>
      <c r="DT289" s="542"/>
      <c r="DU289" s="542"/>
      <c r="DV289" s="542"/>
      <c r="DW289" s="542"/>
      <c r="DX289" s="542"/>
      <c r="DY289" s="542"/>
      <c r="DZ289" s="542"/>
      <c r="EA289" s="542"/>
      <c r="EB289" s="542"/>
      <c r="EC289" s="542"/>
      <c r="ED289" s="542"/>
      <c r="EE289" s="542"/>
      <c r="EF289" s="542"/>
      <c r="EG289" s="542"/>
      <c r="EH289" s="542"/>
      <c r="EI289" s="542"/>
      <c r="EJ289" s="542"/>
      <c r="EK289" s="542"/>
      <c r="EL289" s="542"/>
      <c r="EM289" s="542"/>
      <c r="EN289" s="542"/>
      <c r="EO289" s="542"/>
      <c r="EP289" s="542"/>
      <c r="EQ289" s="542"/>
      <c r="ER289" s="542"/>
      <c r="ES289" s="542"/>
      <c r="ET289" s="542"/>
      <c r="EU289" s="542"/>
      <c r="EV289" s="542"/>
      <c r="EW289" s="542"/>
      <c r="EX289" s="542"/>
      <c r="EY289" s="542"/>
      <c r="EZ289" s="542"/>
      <c r="FA289" s="542"/>
      <c r="FB289" s="542"/>
      <c r="FC289" s="542"/>
      <c r="FD289" s="542"/>
      <c r="FE289" s="542"/>
      <c r="FF289" s="542"/>
      <c r="FG289" s="542"/>
      <c r="FH289" s="542"/>
      <c r="FI289" s="542"/>
      <c r="FJ289" s="542"/>
      <c r="FK289" s="542"/>
      <c r="FL289" s="542"/>
      <c r="FM289" s="542"/>
      <c r="FN289" s="542"/>
      <c r="FO289" s="542"/>
      <c r="FP289" s="542"/>
      <c r="FQ289" s="542"/>
      <c r="FR289" s="542"/>
      <c r="FS289" s="542"/>
      <c r="FT289" s="542"/>
      <c r="FU289" s="542"/>
      <c r="FV289" s="542"/>
      <c r="FW289" s="542"/>
      <c r="FX289" s="542"/>
      <c r="FY289" s="542"/>
      <c r="FZ289" s="542"/>
      <c r="GA289" s="542"/>
      <c r="GB289" s="542"/>
      <c r="GC289" s="542"/>
      <c r="GD289" s="542"/>
      <c r="GE289" s="542"/>
      <c r="GF289" s="542"/>
      <c r="GG289" s="542"/>
      <c r="GH289" s="542"/>
      <c r="GI289" s="542"/>
      <c r="GJ289" s="542"/>
      <c r="GK289" s="542"/>
      <c r="GL289" s="542"/>
      <c r="GM289" s="542"/>
      <c r="GN289" s="542"/>
      <c r="GO289" s="542"/>
      <c r="GP289" s="542"/>
      <c r="GQ289" s="542"/>
      <c r="GR289" s="542"/>
      <c r="GS289" s="542"/>
      <c r="GT289" s="542"/>
      <c r="GU289" s="542"/>
      <c r="GV289" s="542"/>
      <c r="GW289" s="542"/>
      <c r="GX289" s="542"/>
      <c r="GY289" s="542"/>
      <c r="GZ289" s="542"/>
      <c r="HA289" s="542"/>
      <c r="HB289" s="542"/>
      <c r="HC289" s="542"/>
      <c r="HD289" s="542"/>
      <c r="HE289" s="542"/>
      <c r="HF289" s="542"/>
      <c r="HG289" s="542"/>
      <c r="HH289" s="542"/>
      <c r="HI289" s="542"/>
      <c r="HJ289" s="542"/>
      <c r="HK289" s="542"/>
      <c r="HL289" s="542"/>
      <c r="HM289" s="542"/>
      <c r="HN289" s="542"/>
      <c r="HO289" s="542"/>
      <c r="HP289" s="542"/>
      <c r="HQ289" s="542"/>
      <c r="HR289" s="542"/>
      <c r="HS289" s="542"/>
      <c r="HT289" s="542"/>
      <c r="HU289" s="542"/>
      <c r="HV289" s="542"/>
      <c r="HW289" s="542"/>
      <c r="HX289" s="542"/>
      <c r="HY289" s="542"/>
      <c r="HZ289" s="542"/>
      <c r="IA289" s="542"/>
      <c r="IB289" s="542"/>
      <c r="IC289" s="542"/>
      <c r="ID289" s="542"/>
      <c r="IE289" s="542"/>
      <c r="IF289" s="542"/>
      <c r="IG289" s="542"/>
      <c r="IH289" s="542"/>
      <c r="II289" s="542"/>
      <c r="IJ289" s="542"/>
      <c r="IK289" s="542"/>
      <c r="IL289" s="542"/>
      <c r="IM289" s="542"/>
      <c r="IN289" s="542"/>
      <c r="IO289" s="542"/>
      <c r="IP289" s="542"/>
      <c r="IQ289" s="542"/>
      <c r="IR289" s="542"/>
      <c r="IS289" s="542"/>
      <c r="IT289" s="542"/>
      <c r="IU289" s="542"/>
      <c r="IV289" s="542"/>
      <c r="IW289" s="542"/>
      <c r="IX289" s="542"/>
      <c r="IY289" s="542"/>
      <c r="IZ289" s="542"/>
      <c r="JA289" s="542"/>
      <c r="JB289" s="542"/>
    </row>
    <row r="290" spans="104:262" ht="18.899999999999999" customHeight="1">
      <c r="CZ290" s="542"/>
      <c r="DA290" s="542"/>
      <c r="DB290" s="542"/>
      <c r="DC290" s="542"/>
      <c r="DD290" s="542"/>
      <c r="DE290" s="542"/>
      <c r="DF290" s="542"/>
      <c r="DG290" s="542"/>
      <c r="DH290" s="542"/>
      <c r="DI290" s="542"/>
      <c r="DJ290" s="542"/>
      <c r="DK290" s="542"/>
      <c r="DL290" s="542"/>
      <c r="DM290" s="542"/>
      <c r="DN290" s="542"/>
      <c r="DO290" s="542"/>
      <c r="DP290" s="542"/>
      <c r="DQ290" s="542"/>
      <c r="DR290" s="542"/>
      <c r="DS290" s="542"/>
      <c r="DT290" s="542"/>
      <c r="DU290" s="542"/>
      <c r="DV290" s="542"/>
      <c r="DW290" s="542"/>
      <c r="DX290" s="542"/>
      <c r="DY290" s="542"/>
      <c r="DZ290" s="542"/>
      <c r="EA290" s="542"/>
      <c r="EB290" s="542"/>
      <c r="EC290" s="542"/>
      <c r="ED290" s="542"/>
      <c r="EE290" s="542"/>
      <c r="EF290" s="542"/>
      <c r="EG290" s="542"/>
      <c r="EH290" s="542"/>
      <c r="EI290" s="542"/>
      <c r="EJ290" s="542"/>
      <c r="EK290" s="542"/>
      <c r="EL290" s="542"/>
      <c r="EM290" s="542"/>
      <c r="EN290" s="542"/>
      <c r="EO290" s="542"/>
      <c r="EP290" s="542"/>
      <c r="EQ290" s="542"/>
      <c r="ER290" s="542"/>
      <c r="ES290" s="542"/>
      <c r="ET290" s="542"/>
      <c r="EU290" s="542"/>
      <c r="EV290" s="542"/>
      <c r="EW290" s="542"/>
      <c r="EX290" s="542"/>
      <c r="EY290" s="542"/>
      <c r="EZ290" s="542"/>
      <c r="FA290" s="542"/>
      <c r="FB290" s="542"/>
      <c r="FC290" s="542"/>
      <c r="FD290" s="542"/>
      <c r="FE290" s="542"/>
      <c r="FF290" s="542"/>
      <c r="FG290" s="542"/>
      <c r="FH290" s="542"/>
      <c r="FI290" s="542"/>
      <c r="FJ290" s="542"/>
      <c r="FK290" s="542"/>
      <c r="FL290" s="542"/>
      <c r="FM290" s="542"/>
      <c r="FN290" s="542"/>
      <c r="FO290" s="542"/>
      <c r="FP290" s="542"/>
      <c r="FQ290" s="542"/>
      <c r="FR290" s="542"/>
      <c r="FS290" s="542"/>
      <c r="FT290" s="542"/>
      <c r="FU290" s="542"/>
      <c r="FV290" s="542"/>
      <c r="FW290" s="542"/>
      <c r="FX290" s="542"/>
      <c r="FY290" s="542"/>
      <c r="FZ290" s="542"/>
      <c r="GA290" s="542"/>
      <c r="GB290" s="542"/>
      <c r="GC290" s="542"/>
      <c r="GD290" s="542"/>
      <c r="GE290" s="542"/>
      <c r="GF290" s="542"/>
      <c r="GG290" s="542"/>
      <c r="GH290" s="542"/>
      <c r="GI290" s="542"/>
      <c r="GJ290" s="542"/>
      <c r="GK290" s="542"/>
      <c r="GL290" s="542"/>
      <c r="GM290" s="542"/>
      <c r="GN290" s="542"/>
      <c r="GO290" s="542"/>
      <c r="GP290" s="542"/>
      <c r="GQ290" s="542"/>
      <c r="GR290" s="542"/>
      <c r="GS290" s="542"/>
      <c r="GT290" s="542"/>
      <c r="GU290" s="542"/>
      <c r="GV290" s="542"/>
      <c r="GW290" s="542"/>
      <c r="GX290" s="542"/>
      <c r="GY290" s="542"/>
      <c r="GZ290" s="542"/>
      <c r="HA290" s="542"/>
      <c r="HB290" s="542"/>
      <c r="HC290" s="542"/>
      <c r="HD290" s="542"/>
      <c r="HE290" s="542"/>
      <c r="HF290" s="542"/>
      <c r="HG290" s="542"/>
      <c r="HH290" s="542"/>
      <c r="HI290" s="542"/>
      <c r="HJ290" s="542"/>
      <c r="HK290" s="542"/>
      <c r="HL290" s="542"/>
      <c r="HM290" s="542"/>
      <c r="HN290" s="542"/>
      <c r="HO290" s="542"/>
      <c r="HP290" s="542"/>
      <c r="HQ290" s="542"/>
      <c r="HR290" s="542"/>
      <c r="HS290" s="542"/>
      <c r="HT290" s="542"/>
      <c r="HU290" s="542"/>
      <c r="HV290" s="542"/>
      <c r="HW290" s="542"/>
      <c r="HX290" s="542"/>
      <c r="HY290" s="542"/>
      <c r="HZ290" s="542"/>
      <c r="IA290" s="542"/>
      <c r="IB290" s="542"/>
      <c r="IC290" s="542"/>
      <c r="ID290" s="542"/>
      <c r="IE290" s="542"/>
      <c r="IF290" s="542"/>
      <c r="IG290" s="542"/>
      <c r="IH290" s="542"/>
      <c r="II290" s="542"/>
      <c r="IJ290" s="542"/>
      <c r="IK290" s="542"/>
      <c r="IL290" s="542"/>
      <c r="IM290" s="542"/>
      <c r="IN290" s="542"/>
      <c r="IO290" s="542"/>
      <c r="IP290" s="542"/>
      <c r="IQ290" s="542"/>
      <c r="IR290" s="542"/>
      <c r="IS290" s="542"/>
      <c r="IT290" s="542"/>
      <c r="IU290" s="542"/>
      <c r="IV290" s="542"/>
      <c r="IW290" s="542"/>
      <c r="IX290" s="542"/>
      <c r="IY290" s="542"/>
      <c r="IZ290" s="542"/>
      <c r="JA290" s="542"/>
      <c r="JB290" s="542"/>
    </row>
    <row r="291" spans="104:262" ht="18.899999999999999" customHeight="1">
      <c r="CZ291" s="542"/>
      <c r="DA291" s="542"/>
      <c r="DB291" s="542"/>
      <c r="DC291" s="542"/>
      <c r="DD291" s="542"/>
      <c r="DE291" s="542"/>
      <c r="DF291" s="542"/>
      <c r="DG291" s="542"/>
      <c r="DH291" s="542"/>
      <c r="DI291" s="542"/>
      <c r="DJ291" s="542"/>
      <c r="DK291" s="542"/>
      <c r="DL291" s="542"/>
      <c r="DM291" s="542"/>
      <c r="DN291" s="542"/>
      <c r="DO291" s="542"/>
      <c r="DP291" s="542"/>
      <c r="DQ291" s="542"/>
      <c r="DR291" s="542"/>
      <c r="DS291" s="542"/>
      <c r="DT291" s="542"/>
      <c r="DU291" s="542"/>
      <c r="DV291" s="542"/>
      <c r="DW291" s="542"/>
      <c r="DX291" s="542"/>
      <c r="DY291" s="542"/>
      <c r="DZ291" s="542"/>
      <c r="EA291" s="542"/>
      <c r="EB291" s="542"/>
      <c r="EC291" s="542"/>
      <c r="ED291" s="542"/>
      <c r="EE291" s="542"/>
      <c r="EF291" s="542"/>
      <c r="EG291" s="542"/>
      <c r="EH291" s="542"/>
      <c r="EI291" s="542"/>
      <c r="EJ291" s="542"/>
      <c r="EK291" s="542"/>
      <c r="EL291" s="542"/>
      <c r="EM291" s="542"/>
      <c r="EN291" s="542"/>
      <c r="EO291" s="542"/>
      <c r="EP291" s="542"/>
      <c r="EQ291" s="542"/>
      <c r="ER291" s="542"/>
      <c r="ES291" s="542"/>
      <c r="ET291" s="542"/>
      <c r="EU291" s="542"/>
      <c r="EV291" s="542"/>
      <c r="EW291" s="542"/>
      <c r="EX291" s="542"/>
      <c r="EY291" s="542"/>
      <c r="EZ291" s="542"/>
      <c r="FA291" s="542"/>
      <c r="FB291" s="542"/>
      <c r="FC291" s="542"/>
      <c r="FD291" s="542"/>
      <c r="FE291" s="542"/>
      <c r="FF291" s="542"/>
      <c r="FG291" s="542"/>
      <c r="FH291" s="542"/>
      <c r="FI291" s="542"/>
      <c r="FJ291" s="542"/>
      <c r="FK291" s="542"/>
      <c r="FL291" s="542"/>
      <c r="FM291" s="542"/>
      <c r="FN291" s="542"/>
      <c r="FO291" s="542"/>
      <c r="FP291" s="542"/>
      <c r="FQ291" s="542"/>
      <c r="FR291" s="542"/>
      <c r="FS291" s="542"/>
      <c r="FT291" s="542"/>
      <c r="FU291" s="542"/>
      <c r="FV291" s="542"/>
      <c r="FW291" s="542"/>
      <c r="FX291" s="542"/>
      <c r="FY291" s="542"/>
      <c r="FZ291" s="542"/>
      <c r="GA291" s="542"/>
      <c r="GB291" s="542"/>
      <c r="GC291" s="542"/>
      <c r="GD291" s="542"/>
      <c r="GE291" s="542"/>
      <c r="GF291" s="542"/>
      <c r="GG291" s="542"/>
      <c r="GH291" s="542"/>
      <c r="GI291" s="542"/>
      <c r="GJ291" s="542"/>
      <c r="GK291" s="542"/>
      <c r="GL291" s="542"/>
      <c r="GM291" s="542"/>
      <c r="GN291" s="542"/>
      <c r="GO291" s="542"/>
      <c r="GP291" s="542"/>
      <c r="GQ291" s="542"/>
      <c r="GR291" s="542"/>
      <c r="GS291" s="542"/>
      <c r="GT291" s="542"/>
      <c r="GU291" s="542"/>
      <c r="GV291" s="542"/>
      <c r="GW291" s="542"/>
      <c r="GX291" s="542"/>
      <c r="GY291" s="542"/>
      <c r="GZ291" s="542"/>
      <c r="HA291" s="542"/>
      <c r="HB291" s="542"/>
      <c r="HC291" s="542"/>
      <c r="HD291" s="542"/>
      <c r="HE291" s="542"/>
      <c r="HF291" s="542"/>
      <c r="HG291" s="542"/>
      <c r="HH291" s="542"/>
      <c r="HI291" s="542"/>
      <c r="HJ291" s="542"/>
      <c r="HK291" s="542"/>
      <c r="HL291" s="542"/>
      <c r="HM291" s="542"/>
      <c r="HN291" s="542"/>
      <c r="HO291" s="542"/>
      <c r="HP291" s="542"/>
      <c r="HQ291" s="542"/>
      <c r="HR291" s="542"/>
      <c r="HS291" s="542"/>
      <c r="HT291" s="542"/>
      <c r="HU291" s="542"/>
      <c r="HV291" s="542"/>
      <c r="HW291" s="542"/>
      <c r="HX291" s="542"/>
      <c r="HY291" s="542"/>
      <c r="HZ291" s="542"/>
      <c r="IA291" s="542"/>
      <c r="IB291" s="542"/>
      <c r="IC291" s="542"/>
      <c r="ID291" s="542"/>
      <c r="IE291" s="542"/>
      <c r="IF291" s="542"/>
      <c r="IG291" s="542"/>
      <c r="IH291" s="542"/>
      <c r="II291" s="542"/>
      <c r="IJ291" s="542"/>
      <c r="IK291" s="542"/>
      <c r="IL291" s="542"/>
      <c r="IM291" s="542"/>
      <c r="IN291" s="542"/>
      <c r="IO291" s="542"/>
      <c r="IP291" s="542"/>
      <c r="IQ291" s="542"/>
      <c r="IR291" s="542"/>
      <c r="IS291" s="542"/>
      <c r="IT291" s="542"/>
      <c r="IU291" s="542"/>
      <c r="IV291" s="542"/>
      <c r="IW291" s="542"/>
      <c r="IX291" s="542"/>
      <c r="IY291" s="542"/>
      <c r="IZ291" s="542"/>
      <c r="JA291" s="542"/>
      <c r="JB291" s="542"/>
    </row>
    <row r="292" spans="104:262" ht="18.899999999999999" customHeight="1">
      <c r="CZ292" s="542"/>
      <c r="DA292" s="542"/>
      <c r="DB292" s="542"/>
      <c r="DC292" s="542"/>
      <c r="DD292" s="542"/>
      <c r="DE292" s="542"/>
      <c r="DF292" s="542"/>
      <c r="DG292" s="542"/>
      <c r="DH292" s="542"/>
      <c r="DI292" s="542"/>
      <c r="DJ292" s="542"/>
      <c r="DK292" s="542"/>
      <c r="DL292" s="542"/>
      <c r="DM292" s="542"/>
      <c r="DN292" s="542"/>
      <c r="DO292" s="542"/>
      <c r="DP292" s="542"/>
      <c r="DQ292" s="542"/>
      <c r="DR292" s="542"/>
      <c r="DS292" s="542"/>
      <c r="DT292" s="542"/>
      <c r="DU292" s="542"/>
      <c r="DV292" s="542"/>
      <c r="DW292" s="542"/>
      <c r="DX292" s="542"/>
      <c r="DY292" s="542"/>
      <c r="DZ292" s="542"/>
      <c r="EA292" s="542"/>
      <c r="EB292" s="542"/>
      <c r="EC292" s="542"/>
      <c r="ED292" s="542"/>
      <c r="EE292" s="542"/>
      <c r="EF292" s="542"/>
      <c r="EG292" s="542"/>
      <c r="EH292" s="542"/>
      <c r="EI292" s="542"/>
      <c r="EJ292" s="542"/>
      <c r="EK292" s="542"/>
      <c r="EL292" s="542"/>
      <c r="EM292" s="542"/>
      <c r="EN292" s="542"/>
      <c r="EO292" s="542"/>
      <c r="EP292" s="542"/>
      <c r="EQ292" s="542"/>
      <c r="ER292" s="542"/>
      <c r="ES292" s="542"/>
      <c r="ET292" s="542"/>
      <c r="EU292" s="542"/>
      <c r="EV292" s="542"/>
      <c r="EW292" s="542"/>
      <c r="EX292" s="542"/>
      <c r="EY292" s="542"/>
      <c r="EZ292" s="542"/>
      <c r="FA292" s="542"/>
      <c r="FB292" s="542"/>
      <c r="FC292" s="542"/>
      <c r="FD292" s="542"/>
      <c r="FE292" s="542"/>
      <c r="FF292" s="542"/>
      <c r="FG292" s="542"/>
      <c r="FH292" s="542"/>
      <c r="FI292" s="542"/>
      <c r="FJ292" s="542"/>
      <c r="FK292" s="542"/>
      <c r="FL292" s="542"/>
      <c r="FM292" s="542"/>
      <c r="FN292" s="542"/>
      <c r="FO292" s="542"/>
      <c r="FP292" s="542"/>
      <c r="FQ292" s="542"/>
      <c r="FR292" s="542"/>
      <c r="FS292" s="542"/>
      <c r="FT292" s="542"/>
      <c r="FU292" s="542"/>
      <c r="FV292" s="542"/>
      <c r="FW292" s="542"/>
      <c r="FX292" s="542"/>
      <c r="FY292" s="542"/>
      <c r="FZ292" s="542"/>
      <c r="GA292" s="542"/>
      <c r="GB292" s="542"/>
      <c r="GC292" s="542"/>
      <c r="GD292" s="542"/>
      <c r="GE292" s="542"/>
      <c r="GF292" s="542"/>
      <c r="GG292" s="542"/>
      <c r="GH292" s="542"/>
      <c r="GI292" s="542"/>
      <c r="GJ292" s="542"/>
      <c r="GK292" s="542"/>
      <c r="GL292" s="542"/>
      <c r="GM292" s="542"/>
      <c r="GN292" s="542"/>
      <c r="GO292" s="542"/>
      <c r="GP292" s="542"/>
      <c r="GQ292" s="542"/>
      <c r="GR292" s="542"/>
      <c r="GS292" s="542"/>
      <c r="GT292" s="542"/>
      <c r="GU292" s="542"/>
      <c r="GV292" s="542"/>
      <c r="GW292" s="542"/>
      <c r="GX292" s="542"/>
      <c r="GY292" s="542"/>
      <c r="GZ292" s="542"/>
      <c r="HA292" s="542"/>
      <c r="HB292" s="542"/>
      <c r="HC292" s="542"/>
      <c r="HD292" s="542"/>
      <c r="HE292" s="542"/>
      <c r="HF292" s="542"/>
      <c r="HG292" s="542"/>
      <c r="HH292" s="542"/>
      <c r="HI292" s="542"/>
      <c r="HJ292" s="542"/>
      <c r="HK292" s="542"/>
      <c r="HL292" s="542"/>
      <c r="HM292" s="542"/>
      <c r="HN292" s="542"/>
      <c r="HO292" s="542"/>
      <c r="HP292" s="542"/>
      <c r="HQ292" s="542"/>
      <c r="HR292" s="542"/>
      <c r="HS292" s="542"/>
      <c r="HT292" s="542"/>
      <c r="HU292" s="542"/>
      <c r="HV292" s="542"/>
      <c r="HW292" s="542"/>
      <c r="HX292" s="542"/>
      <c r="HY292" s="542"/>
      <c r="HZ292" s="542"/>
      <c r="IA292" s="542"/>
      <c r="IB292" s="542"/>
      <c r="IC292" s="542"/>
      <c r="ID292" s="542"/>
      <c r="IE292" s="542"/>
      <c r="IF292" s="542"/>
      <c r="IG292" s="542"/>
      <c r="IH292" s="542"/>
      <c r="II292" s="542"/>
      <c r="IJ292" s="542"/>
      <c r="IK292" s="542"/>
      <c r="IL292" s="542"/>
      <c r="IM292" s="542"/>
      <c r="IN292" s="542"/>
      <c r="IO292" s="542"/>
      <c r="IP292" s="542"/>
      <c r="IQ292" s="542"/>
      <c r="IR292" s="542"/>
      <c r="IS292" s="542"/>
      <c r="IT292" s="542"/>
      <c r="IU292" s="542"/>
      <c r="IV292" s="542"/>
      <c r="IW292" s="542"/>
      <c r="IX292" s="542"/>
      <c r="IY292" s="542"/>
      <c r="IZ292" s="542"/>
      <c r="JA292" s="542"/>
      <c r="JB292" s="542"/>
    </row>
    <row r="293" spans="104:262" ht="18.899999999999999" customHeight="1">
      <c r="CZ293" s="542"/>
      <c r="DA293" s="542"/>
      <c r="DB293" s="542"/>
      <c r="DC293" s="542"/>
      <c r="DD293" s="542"/>
      <c r="DE293" s="542"/>
      <c r="DF293" s="542"/>
      <c r="DG293" s="542"/>
      <c r="DH293" s="542"/>
      <c r="DI293" s="542"/>
      <c r="DJ293" s="542"/>
      <c r="DK293" s="542"/>
      <c r="DL293" s="542"/>
      <c r="DM293" s="542"/>
      <c r="DN293" s="542"/>
      <c r="DO293" s="542"/>
      <c r="DP293" s="542"/>
      <c r="DQ293" s="542"/>
      <c r="DR293" s="542"/>
      <c r="DS293" s="542"/>
      <c r="DT293" s="542"/>
      <c r="DU293" s="542"/>
      <c r="DV293" s="542"/>
      <c r="DW293" s="542"/>
      <c r="DX293" s="542"/>
      <c r="DY293" s="542"/>
      <c r="DZ293" s="542"/>
      <c r="EA293" s="542"/>
      <c r="EB293" s="542"/>
      <c r="EC293" s="542"/>
      <c r="ED293" s="542"/>
      <c r="EE293" s="542"/>
      <c r="EF293" s="542"/>
      <c r="EG293" s="542"/>
      <c r="EH293" s="542"/>
      <c r="EI293" s="542"/>
      <c r="EJ293" s="542"/>
      <c r="EK293" s="542"/>
      <c r="EL293" s="542"/>
      <c r="EM293" s="542"/>
      <c r="EN293" s="542"/>
      <c r="EO293" s="542"/>
      <c r="EP293" s="542"/>
      <c r="EQ293" s="542"/>
      <c r="ER293" s="542"/>
      <c r="ES293" s="542"/>
      <c r="ET293" s="542"/>
      <c r="EU293" s="542"/>
      <c r="EV293" s="542"/>
      <c r="EW293" s="542"/>
      <c r="EX293" s="542"/>
      <c r="EY293" s="542"/>
      <c r="EZ293" s="542"/>
      <c r="FA293" s="542"/>
      <c r="FB293" s="542"/>
      <c r="FC293" s="542"/>
      <c r="FD293" s="542"/>
      <c r="FE293" s="542"/>
      <c r="FF293" s="542"/>
      <c r="FG293" s="542"/>
      <c r="FH293" s="542"/>
      <c r="FI293" s="542"/>
      <c r="FJ293" s="542"/>
      <c r="FK293" s="542"/>
      <c r="FL293" s="542"/>
      <c r="FM293" s="542"/>
      <c r="FN293" s="542"/>
      <c r="FO293" s="542"/>
      <c r="FP293" s="542"/>
      <c r="FQ293" s="542"/>
      <c r="FR293" s="542"/>
      <c r="FS293" s="542"/>
      <c r="FT293" s="542"/>
      <c r="FU293" s="542"/>
      <c r="FV293" s="542"/>
      <c r="FW293" s="542"/>
      <c r="FX293" s="542"/>
      <c r="FY293" s="542"/>
      <c r="FZ293" s="542"/>
      <c r="GA293" s="542"/>
      <c r="GB293" s="542"/>
      <c r="GC293" s="542"/>
      <c r="GD293" s="542"/>
      <c r="GE293" s="542"/>
      <c r="GF293" s="542"/>
      <c r="GG293" s="542"/>
      <c r="GH293" s="542"/>
      <c r="GI293" s="542"/>
      <c r="GJ293" s="542"/>
      <c r="GK293" s="542"/>
      <c r="GL293" s="542"/>
      <c r="GM293" s="542"/>
      <c r="GN293" s="542"/>
      <c r="GO293" s="542"/>
      <c r="GP293" s="542"/>
      <c r="GQ293" s="542"/>
      <c r="GR293" s="542"/>
      <c r="GS293" s="542"/>
      <c r="GT293" s="542"/>
      <c r="GU293" s="542"/>
      <c r="GV293" s="542"/>
      <c r="GW293" s="542"/>
      <c r="GX293" s="542"/>
      <c r="GY293" s="542"/>
      <c r="GZ293" s="542"/>
      <c r="HA293" s="542"/>
      <c r="HB293" s="542"/>
      <c r="HC293" s="542"/>
      <c r="HD293" s="542"/>
      <c r="HE293" s="542"/>
      <c r="HF293" s="542"/>
      <c r="HG293" s="542"/>
      <c r="HH293" s="542"/>
      <c r="HI293" s="542"/>
      <c r="HJ293" s="542"/>
      <c r="HK293" s="542"/>
      <c r="HL293" s="542"/>
      <c r="HM293" s="542"/>
      <c r="HN293" s="542"/>
      <c r="HO293" s="542"/>
      <c r="HP293" s="542"/>
      <c r="HQ293" s="542"/>
      <c r="HR293" s="542"/>
      <c r="HS293" s="542"/>
      <c r="HT293" s="542"/>
      <c r="HU293" s="542"/>
      <c r="HV293" s="542"/>
      <c r="HW293" s="542"/>
      <c r="HX293" s="542"/>
      <c r="HY293" s="542"/>
      <c r="HZ293" s="542"/>
      <c r="IA293" s="542"/>
      <c r="IB293" s="542"/>
      <c r="IC293" s="542"/>
      <c r="ID293" s="542"/>
      <c r="IE293" s="542"/>
      <c r="IF293" s="542"/>
      <c r="IG293" s="542"/>
      <c r="IH293" s="542"/>
      <c r="II293" s="542"/>
      <c r="IJ293" s="542"/>
      <c r="IK293" s="542"/>
      <c r="IL293" s="542"/>
      <c r="IM293" s="542"/>
      <c r="IN293" s="542"/>
      <c r="IO293" s="542"/>
      <c r="IP293" s="542"/>
      <c r="IQ293" s="542"/>
      <c r="IR293" s="542"/>
      <c r="IS293" s="542"/>
      <c r="IT293" s="542"/>
      <c r="IU293" s="542"/>
      <c r="IV293" s="542"/>
      <c r="IW293" s="542"/>
      <c r="IX293" s="542"/>
      <c r="IY293" s="542"/>
      <c r="IZ293" s="542"/>
      <c r="JA293" s="542"/>
      <c r="JB293" s="542"/>
    </row>
    <row r="294" spans="104:262" ht="18.899999999999999" customHeight="1">
      <c r="CZ294" s="542"/>
      <c r="DA294" s="542"/>
      <c r="DB294" s="542"/>
      <c r="DC294" s="542"/>
      <c r="DD294" s="542"/>
      <c r="DE294" s="542"/>
      <c r="DF294" s="542"/>
      <c r="DG294" s="542"/>
      <c r="DH294" s="542"/>
      <c r="DI294" s="542"/>
      <c r="DJ294" s="542"/>
      <c r="DK294" s="542"/>
      <c r="DL294" s="542"/>
      <c r="DM294" s="542"/>
      <c r="DN294" s="542"/>
      <c r="DO294" s="542"/>
      <c r="DP294" s="542"/>
      <c r="DQ294" s="542"/>
      <c r="DR294" s="542"/>
      <c r="DS294" s="542"/>
      <c r="DT294" s="542"/>
      <c r="DU294" s="542"/>
      <c r="DV294" s="542"/>
      <c r="DW294" s="542"/>
      <c r="DX294" s="542"/>
      <c r="DY294" s="542"/>
      <c r="DZ294" s="542"/>
      <c r="EA294" s="542"/>
      <c r="EB294" s="542"/>
      <c r="EC294" s="542"/>
      <c r="ED294" s="542"/>
      <c r="EE294" s="542"/>
      <c r="EF294" s="542"/>
      <c r="EG294" s="542"/>
      <c r="EH294" s="542"/>
      <c r="EI294" s="542"/>
      <c r="EJ294" s="542"/>
      <c r="EK294" s="542"/>
      <c r="EL294" s="542"/>
      <c r="EM294" s="542"/>
      <c r="EN294" s="542"/>
      <c r="EO294" s="542"/>
      <c r="EP294" s="542"/>
      <c r="EQ294" s="542"/>
      <c r="ER294" s="542"/>
      <c r="ES294" s="542"/>
      <c r="ET294" s="542"/>
      <c r="EU294" s="542"/>
      <c r="EV294" s="542"/>
      <c r="EW294" s="542"/>
      <c r="EX294" s="542"/>
      <c r="EY294" s="542"/>
      <c r="EZ294" s="542"/>
      <c r="FA294" s="542"/>
      <c r="FB294" s="542"/>
      <c r="FC294" s="542"/>
      <c r="FD294" s="542"/>
      <c r="FE294" s="542"/>
      <c r="FF294" s="542"/>
      <c r="FG294" s="542"/>
      <c r="FH294" s="542"/>
      <c r="FI294" s="542"/>
      <c r="FJ294" s="542"/>
      <c r="FK294" s="542"/>
      <c r="FL294" s="542"/>
      <c r="FM294" s="542"/>
      <c r="FN294" s="542"/>
      <c r="FO294" s="542"/>
      <c r="FP294" s="542"/>
      <c r="FQ294" s="542"/>
      <c r="FR294" s="542"/>
      <c r="FS294" s="542"/>
      <c r="FT294" s="542"/>
      <c r="FU294" s="542"/>
      <c r="FV294" s="542"/>
      <c r="FW294" s="542"/>
      <c r="FX294" s="542"/>
      <c r="FY294" s="542"/>
      <c r="FZ294" s="542"/>
      <c r="GA294" s="542"/>
      <c r="GB294" s="542"/>
      <c r="GC294" s="542"/>
      <c r="GD294" s="542"/>
      <c r="GE294" s="542"/>
      <c r="GF294" s="542"/>
      <c r="GG294" s="542"/>
      <c r="GH294" s="542"/>
      <c r="GI294" s="542"/>
      <c r="GJ294" s="542"/>
      <c r="GK294" s="542"/>
      <c r="GL294" s="542"/>
      <c r="GM294" s="542"/>
      <c r="GN294" s="542"/>
      <c r="GO294" s="542"/>
      <c r="GP294" s="542"/>
      <c r="GQ294" s="542"/>
      <c r="GR294" s="542"/>
      <c r="GS294" s="542"/>
      <c r="GT294" s="542"/>
      <c r="GU294" s="542"/>
      <c r="GV294" s="542"/>
      <c r="GW294" s="542"/>
      <c r="GX294" s="542"/>
      <c r="GY294" s="542"/>
      <c r="GZ294" s="542"/>
      <c r="HA294" s="542"/>
      <c r="HB294" s="542"/>
      <c r="HC294" s="542"/>
      <c r="HD294" s="542"/>
      <c r="HE294" s="542"/>
      <c r="HF294" s="542"/>
      <c r="HG294" s="542"/>
      <c r="HH294" s="542"/>
      <c r="HI294" s="542"/>
      <c r="HJ294" s="542"/>
      <c r="HK294" s="542"/>
      <c r="HL294" s="542"/>
      <c r="HM294" s="542"/>
      <c r="HN294" s="542"/>
      <c r="HO294" s="542"/>
      <c r="HP294" s="542"/>
      <c r="HQ294" s="542"/>
      <c r="HR294" s="542"/>
      <c r="HS294" s="542"/>
      <c r="HT294" s="542"/>
      <c r="HU294" s="542"/>
      <c r="HV294" s="542"/>
      <c r="HW294" s="542"/>
      <c r="HX294" s="542"/>
      <c r="HY294" s="542"/>
      <c r="HZ294" s="542"/>
      <c r="IA294" s="542"/>
      <c r="IB294" s="542"/>
      <c r="IC294" s="542"/>
      <c r="ID294" s="542"/>
      <c r="IE294" s="542"/>
      <c r="IF294" s="542"/>
      <c r="IG294" s="542"/>
      <c r="IH294" s="542"/>
      <c r="II294" s="542"/>
      <c r="IJ294" s="542"/>
      <c r="IK294" s="542"/>
      <c r="IL294" s="542"/>
      <c r="IM294" s="542"/>
      <c r="IN294" s="542"/>
      <c r="IO294" s="542"/>
      <c r="IP294" s="542"/>
      <c r="IQ294" s="542"/>
      <c r="IR294" s="542"/>
      <c r="IS294" s="542"/>
      <c r="IT294" s="542"/>
      <c r="IU294" s="542"/>
      <c r="IV294" s="542"/>
      <c r="IW294" s="542"/>
      <c r="IX294" s="542"/>
      <c r="IY294" s="542"/>
      <c r="IZ294" s="542"/>
      <c r="JA294" s="542"/>
      <c r="JB294" s="542"/>
    </row>
    <row r="295" spans="104:262" ht="18.899999999999999" customHeight="1">
      <c r="CZ295" s="542"/>
      <c r="DA295" s="542"/>
      <c r="DB295" s="542"/>
      <c r="DC295" s="542"/>
      <c r="DD295" s="542"/>
      <c r="DE295" s="542"/>
      <c r="DF295" s="542"/>
      <c r="DG295" s="542"/>
      <c r="DH295" s="542"/>
      <c r="DI295" s="542"/>
      <c r="DJ295" s="542"/>
      <c r="DK295" s="542"/>
      <c r="DL295" s="542"/>
      <c r="DM295" s="542"/>
      <c r="DN295" s="542"/>
      <c r="DO295" s="542"/>
      <c r="DP295" s="542"/>
      <c r="DQ295" s="542"/>
      <c r="DR295" s="542"/>
      <c r="DS295" s="542"/>
      <c r="DT295" s="542"/>
      <c r="DU295" s="542"/>
      <c r="DV295" s="542"/>
      <c r="DW295" s="542"/>
      <c r="DX295" s="542"/>
      <c r="DY295" s="542"/>
      <c r="DZ295" s="542"/>
      <c r="EA295" s="542"/>
      <c r="EB295" s="542"/>
      <c r="EC295" s="542"/>
      <c r="ED295" s="542"/>
      <c r="EE295" s="542"/>
      <c r="EF295" s="542"/>
      <c r="EG295" s="542"/>
      <c r="EH295" s="542"/>
      <c r="EI295" s="542"/>
      <c r="EJ295" s="542"/>
      <c r="EK295" s="542"/>
      <c r="EL295" s="542"/>
      <c r="EM295" s="542"/>
      <c r="EN295" s="542"/>
      <c r="EO295" s="542"/>
      <c r="EP295" s="542"/>
      <c r="EQ295" s="542"/>
      <c r="ER295" s="542"/>
      <c r="ES295" s="542"/>
      <c r="ET295" s="542"/>
      <c r="EU295" s="542"/>
      <c r="EV295" s="542"/>
      <c r="EW295" s="542"/>
      <c r="EX295" s="542"/>
      <c r="EY295" s="542"/>
      <c r="EZ295" s="542"/>
      <c r="FA295" s="542"/>
      <c r="FB295" s="542"/>
      <c r="FC295" s="542"/>
      <c r="FD295" s="542"/>
      <c r="FE295" s="542"/>
      <c r="FF295" s="542"/>
      <c r="FG295" s="542"/>
      <c r="FH295" s="542"/>
      <c r="FI295" s="542"/>
      <c r="FJ295" s="542"/>
      <c r="FK295" s="542"/>
      <c r="FL295" s="542"/>
      <c r="FM295" s="542"/>
      <c r="FN295" s="542"/>
      <c r="FO295" s="542"/>
      <c r="FP295" s="542"/>
      <c r="FQ295" s="542"/>
      <c r="FR295" s="542"/>
      <c r="FS295" s="542"/>
      <c r="FT295" s="542"/>
      <c r="FU295" s="542"/>
      <c r="FV295" s="542"/>
      <c r="FW295" s="542"/>
      <c r="FX295" s="542"/>
      <c r="FY295" s="542"/>
      <c r="FZ295" s="542"/>
      <c r="GA295" s="542"/>
      <c r="GB295" s="542"/>
      <c r="GC295" s="542"/>
      <c r="GD295" s="542"/>
      <c r="GE295" s="542"/>
      <c r="GF295" s="542"/>
      <c r="GG295" s="542"/>
      <c r="GH295" s="542"/>
      <c r="GI295" s="542"/>
      <c r="GJ295" s="542"/>
      <c r="GK295" s="542"/>
      <c r="GL295" s="542"/>
      <c r="GM295" s="542"/>
      <c r="GN295" s="542"/>
      <c r="GO295" s="542"/>
      <c r="GP295" s="542"/>
      <c r="GQ295" s="542"/>
      <c r="GR295" s="542"/>
      <c r="GS295" s="542"/>
      <c r="GT295" s="542"/>
      <c r="GU295" s="542"/>
      <c r="GV295" s="542"/>
      <c r="GW295" s="542"/>
      <c r="GX295" s="542"/>
      <c r="GY295" s="542"/>
      <c r="GZ295" s="542"/>
      <c r="HA295" s="542"/>
      <c r="HB295" s="542"/>
      <c r="HC295" s="542"/>
      <c r="HD295" s="542"/>
      <c r="HE295" s="542"/>
      <c r="HF295" s="542"/>
      <c r="HG295" s="542"/>
      <c r="HH295" s="542"/>
      <c r="HI295" s="542"/>
      <c r="HJ295" s="542"/>
      <c r="HK295" s="542"/>
      <c r="HL295" s="542"/>
      <c r="HM295" s="542"/>
      <c r="HN295" s="542"/>
      <c r="HO295" s="542"/>
      <c r="HP295" s="542"/>
      <c r="HQ295" s="542"/>
      <c r="HR295" s="542"/>
      <c r="HS295" s="542"/>
      <c r="HT295" s="542"/>
      <c r="HU295" s="542"/>
      <c r="HV295" s="542"/>
      <c r="HW295" s="542"/>
      <c r="HX295" s="542"/>
      <c r="HY295" s="542"/>
      <c r="HZ295" s="542"/>
      <c r="IA295" s="542"/>
      <c r="IB295" s="542"/>
      <c r="IC295" s="542"/>
      <c r="ID295" s="542"/>
      <c r="IE295" s="542"/>
      <c r="IF295" s="542"/>
      <c r="IG295" s="542"/>
      <c r="IH295" s="542"/>
      <c r="II295" s="542"/>
      <c r="IJ295" s="542"/>
      <c r="IK295" s="542"/>
      <c r="IL295" s="542"/>
      <c r="IM295" s="542"/>
      <c r="IN295" s="542"/>
      <c r="IO295" s="542"/>
      <c r="IP295" s="542"/>
      <c r="IQ295" s="542"/>
      <c r="IR295" s="542"/>
      <c r="IS295" s="542"/>
      <c r="IT295" s="542"/>
      <c r="IU295" s="542"/>
      <c r="IV295" s="542"/>
      <c r="IW295" s="542"/>
      <c r="IX295" s="542"/>
      <c r="IY295" s="542"/>
      <c r="IZ295" s="542"/>
      <c r="JA295" s="542"/>
      <c r="JB295" s="542"/>
    </row>
    <row r="296" spans="104:262" ht="18.899999999999999" customHeight="1">
      <c r="CZ296" s="542"/>
      <c r="DA296" s="542"/>
      <c r="DB296" s="542"/>
      <c r="DC296" s="542"/>
      <c r="DD296" s="542"/>
      <c r="DE296" s="542"/>
      <c r="DF296" s="542"/>
      <c r="DG296" s="542"/>
      <c r="DH296" s="542"/>
      <c r="DI296" s="542"/>
      <c r="DJ296" s="542"/>
      <c r="DK296" s="542"/>
      <c r="DL296" s="542"/>
      <c r="DM296" s="542"/>
      <c r="DN296" s="542"/>
      <c r="DO296" s="542"/>
      <c r="DP296" s="542"/>
      <c r="DQ296" s="542"/>
      <c r="DR296" s="542"/>
      <c r="DS296" s="542"/>
      <c r="DT296" s="542"/>
      <c r="DU296" s="542"/>
      <c r="DV296" s="542"/>
      <c r="DW296" s="542"/>
      <c r="DX296" s="542"/>
      <c r="DY296" s="542"/>
      <c r="DZ296" s="542"/>
      <c r="EA296" s="542"/>
      <c r="EB296" s="542"/>
      <c r="EC296" s="542"/>
      <c r="ED296" s="542"/>
      <c r="EE296" s="542"/>
      <c r="EF296" s="542"/>
      <c r="EG296" s="542"/>
      <c r="EH296" s="542"/>
      <c r="EI296" s="542"/>
      <c r="EJ296" s="542"/>
      <c r="EK296" s="542"/>
      <c r="EL296" s="542"/>
      <c r="EM296" s="542"/>
      <c r="EN296" s="542"/>
      <c r="EO296" s="542"/>
      <c r="EP296" s="542"/>
      <c r="EQ296" s="542"/>
      <c r="ER296" s="542"/>
      <c r="ES296" s="542"/>
      <c r="ET296" s="542"/>
      <c r="EU296" s="542"/>
      <c r="EV296" s="542"/>
      <c r="EW296" s="542"/>
      <c r="EX296" s="542"/>
      <c r="EY296" s="542"/>
      <c r="EZ296" s="542"/>
      <c r="FA296" s="542"/>
      <c r="FB296" s="542"/>
      <c r="FC296" s="542"/>
      <c r="FD296" s="542"/>
      <c r="FE296" s="542"/>
      <c r="FF296" s="542"/>
      <c r="FG296" s="542"/>
      <c r="FH296" s="542"/>
      <c r="FI296" s="542"/>
      <c r="FJ296" s="542"/>
      <c r="FK296" s="542"/>
      <c r="FL296" s="542"/>
      <c r="FM296" s="542"/>
      <c r="FN296" s="542"/>
      <c r="FO296" s="542"/>
      <c r="FP296" s="542"/>
      <c r="FQ296" s="542"/>
      <c r="FR296" s="542"/>
      <c r="FS296" s="542"/>
      <c r="FT296" s="542"/>
      <c r="FU296" s="542"/>
      <c r="FV296" s="542"/>
      <c r="FW296" s="542"/>
      <c r="FX296" s="542"/>
      <c r="FY296" s="542"/>
      <c r="FZ296" s="542"/>
      <c r="GA296" s="542"/>
      <c r="GB296" s="542"/>
      <c r="GC296" s="542"/>
      <c r="GD296" s="542"/>
      <c r="GE296" s="542"/>
      <c r="GF296" s="542"/>
      <c r="GG296" s="542"/>
      <c r="GH296" s="542"/>
      <c r="GI296" s="542"/>
      <c r="GJ296" s="542"/>
      <c r="GK296" s="542"/>
      <c r="GL296" s="542"/>
      <c r="GM296" s="542"/>
      <c r="GN296" s="542"/>
      <c r="GO296" s="542"/>
      <c r="GP296" s="542"/>
      <c r="GQ296" s="542"/>
      <c r="GR296" s="542"/>
      <c r="GS296" s="542"/>
      <c r="GT296" s="542"/>
      <c r="GU296" s="542"/>
      <c r="GV296" s="542"/>
      <c r="GW296" s="542"/>
      <c r="GX296" s="542"/>
      <c r="GY296" s="542"/>
      <c r="GZ296" s="542"/>
      <c r="HA296" s="542"/>
      <c r="HB296" s="542"/>
      <c r="HC296" s="542"/>
      <c r="HD296" s="542"/>
      <c r="HE296" s="542"/>
      <c r="HF296" s="542"/>
      <c r="HG296" s="542"/>
      <c r="HH296" s="542"/>
      <c r="HI296" s="542"/>
      <c r="HJ296" s="542"/>
      <c r="HK296" s="542"/>
      <c r="HL296" s="542"/>
      <c r="HM296" s="542"/>
      <c r="HN296" s="542"/>
      <c r="HO296" s="542"/>
      <c r="HP296" s="542"/>
      <c r="HQ296" s="542"/>
      <c r="HR296" s="542"/>
      <c r="HS296" s="542"/>
      <c r="HT296" s="542"/>
      <c r="HU296" s="542"/>
      <c r="HV296" s="542"/>
      <c r="HW296" s="542"/>
      <c r="HX296" s="542"/>
      <c r="HY296" s="542"/>
      <c r="HZ296" s="542"/>
      <c r="IA296" s="542"/>
      <c r="IB296" s="542"/>
      <c r="IC296" s="542"/>
      <c r="ID296" s="542"/>
      <c r="IE296" s="542"/>
      <c r="IF296" s="542"/>
      <c r="IG296" s="542"/>
      <c r="IH296" s="542"/>
      <c r="II296" s="542"/>
      <c r="IJ296" s="542"/>
      <c r="IK296" s="542"/>
      <c r="IL296" s="542"/>
      <c r="IM296" s="542"/>
      <c r="IN296" s="542"/>
      <c r="IO296" s="542"/>
      <c r="IP296" s="542"/>
      <c r="IQ296" s="542"/>
      <c r="IR296" s="542"/>
      <c r="IS296" s="542"/>
      <c r="IT296" s="542"/>
      <c r="IU296" s="542"/>
      <c r="IV296" s="542"/>
      <c r="IW296" s="542"/>
      <c r="IX296" s="542"/>
      <c r="IY296" s="542"/>
      <c r="IZ296" s="542"/>
      <c r="JA296" s="542"/>
      <c r="JB296" s="542"/>
    </row>
    <row r="297" spans="104:262" ht="18.899999999999999" customHeight="1">
      <c r="CZ297" s="542"/>
      <c r="DA297" s="542"/>
      <c r="DB297" s="542"/>
      <c r="DC297" s="542"/>
      <c r="DD297" s="542"/>
      <c r="DE297" s="542"/>
      <c r="DF297" s="542"/>
      <c r="DG297" s="542"/>
      <c r="DH297" s="542"/>
      <c r="DI297" s="542"/>
      <c r="DJ297" s="542"/>
      <c r="DK297" s="542"/>
      <c r="DL297" s="542"/>
      <c r="DM297" s="542"/>
      <c r="DN297" s="542"/>
      <c r="DO297" s="542"/>
      <c r="DP297" s="542"/>
      <c r="DQ297" s="542"/>
      <c r="DR297" s="542"/>
      <c r="DS297" s="542"/>
      <c r="DT297" s="542"/>
      <c r="DU297" s="542"/>
      <c r="DV297" s="542"/>
      <c r="DW297" s="542"/>
      <c r="DX297" s="542"/>
      <c r="DY297" s="542"/>
      <c r="DZ297" s="542"/>
      <c r="EA297" s="542"/>
      <c r="EB297" s="542"/>
      <c r="EC297" s="542"/>
      <c r="ED297" s="542"/>
      <c r="EE297" s="542"/>
      <c r="EF297" s="542"/>
      <c r="EG297" s="542"/>
      <c r="EH297" s="542"/>
      <c r="EI297" s="542"/>
      <c r="EJ297" s="542"/>
      <c r="EK297" s="542"/>
      <c r="EL297" s="542"/>
      <c r="EM297" s="542"/>
      <c r="EN297" s="542"/>
      <c r="EO297" s="542"/>
      <c r="EP297" s="542"/>
      <c r="EQ297" s="542"/>
      <c r="ER297" s="542"/>
      <c r="ES297" s="542"/>
      <c r="ET297" s="542"/>
      <c r="EU297" s="542"/>
      <c r="EV297" s="542"/>
      <c r="EW297" s="542"/>
      <c r="EX297" s="542"/>
      <c r="EY297" s="542"/>
      <c r="EZ297" s="542"/>
      <c r="FA297" s="542"/>
      <c r="FB297" s="542"/>
      <c r="FC297" s="542"/>
      <c r="FD297" s="542"/>
      <c r="FE297" s="542"/>
      <c r="FF297" s="542"/>
      <c r="FG297" s="542"/>
      <c r="FH297" s="542"/>
      <c r="FI297" s="542"/>
      <c r="FJ297" s="542"/>
      <c r="FK297" s="542"/>
      <c r="FL297" s="542"/>
      <c r="FM297" s="542"/>
      <c r="FN297" s="542"/>
      <c r="FO297" s="542"/>
      <c r="FP297" s="542"/>
      <c r="FQ297" s="542"/>
      <c r="FR297" s="542"/>
      <c r="FS297" s="542"/>
      <c r="FT297" s="542"/>
      <c r="FU297" s="542"/>
      <c r="FV297" s="542"/>
      <c r="FW297" s="542"/>
      <c r="FX297" s="542"/>
      <c r="FY297" s="542"/>
      <c r="FZ297" s="542"/>
      <c r="GA297" s="542"/>
      <c r="GB297" s="542"/>
      <c r="GC297" s="542"/>
      <c r="GD297" s="542"/>
      <c r="GE297" s="542"/>
      <c r="GF297" s="542"/>
      <c r="GG297" s="542"/>
      <c r="GH297" s="542"/>
      <c r="GI297" s="542"/>
      <c r="GJ297" s="542"/>
      <c r="GK297" s="542"/>
      <c r="GL297" s="542"/>
      <c r="GM297" s="542"/>
      <c r="GN297" s="542"/>
      <c r="GO297" s="542"/>
      <c r="GP297" s="542"/>
      <c r="GQ297" s="542"/>
      <c r="GR297" s="542"/>
      <c r="GS297" s="542"/>
      <c r="GT297" s="542"/>
      <c r="GU297" s="542"/>
      <c r="GV297" s="542"/>
      <c r="GW297" s="542"/>
      <c r="GX297" s="542"/>
      <c r="GY297" s="542"/>
      <c r="GZ297" s="542"/>
      <c r="HA297" s="542"/>
      <c r="HB297" s="542"/>
      <c r="HC297" s="542"/>
      <c r="HD297" s="542"/>
      <c r="HE297" s="542"/>
      <c r="HF297" s="542"/>
      <c r="HG297" s="542"/>
      <c r="HH297" s="542"/>
      <c r="HI297" s="542"/>
      <c r="HJ297" s="542"/>
      <c r="HK297" s="542"/>
      <c r="HL297" s="542"/>
      <c r="HM297" s="542"/>
      <c r="HN297" s="542"/>
      <c r="HO297" s="542"/>
      <c r="HP297" s="542"/>
      <c r="HQ297" s="542"/>
      <c r="HR297" s="542"/>
      <c r="HS297" s="542"/>
      <c r="HT297" s="542"/>
      <c r="HU297" s="542"/>
      <c r="HV297" s="542"/>
      <c r="HW297" s="542"/>
      <c r="HX297" s="542"/>
      <c r="HY297" s="542"/>
      <c r="HZ297" s="542"/>
      <c r="IA297" s="542"/>
      <c r="IB297" s="542"/>
      <c r="IC297" s="542"/>
      <c r="ID297" s="542"/>
      <c r="IE297" s="542"/>
      <c r="IF297" s="542"/>
      <c r="IG297" s="542"/>
      <c r="IH297" s="542"/>
      <c r="II297" s="542"/>
      <c r="IJ297" s="542"/>
      <c r="IK297" s="542"/>
      <c r="IL297" s="542"/>
      <c r="IM297" s="542"/>
      <c r="IN297" s="542"/>
      <c r="IO297" s="542"/>
      <c r="IP297" s="542"/>
      <c r="IQ297" s="542"/>
      <c r="IR297" s="542"/>
      <c r="IS297" s="542"/>
      <c r="IT297" s="542"/>
      <c r="IU297" s="542"/>
      <c r="IV297" s="542"/>
      <c r="IW297" s="542"/>
      <c r="IX297" s="542"/>
      <c r="IY297" s="542"/>
      <c r="IZ297" s="542"/>
      <c r="JA297" s="542"/>
      <c r="JB297" s="542"/>
    </row>
    <row r="298" spans="104:262" ht="18.899999999999999" customHeight="1">
      <c r="CZ298" s="542"/>
      <c r="DA298" s="542"/>
      <c r="DB298" s="542"/>
      <c r="DC298" s="542"/>
      <c r="DD298" s="542"/>
      <c r="DE298" s="542"/>
      <c r="DF298" s="542"/>
      <c r="DG298" s="542"/>
      <c r="DH298" s="542"/>
      <c r="DI298" s="542"/>
      <c r="DJ298" s="542"/>
      <c r="DK298" s="542"/>
      <c r="DL298" s="542"/>
      <c r="DM298" s="542"/>
      <c r="DN298" s="542"/>
      <c r="DO298" s="542"/>
      <c r="DP298" s="542"/>
      <c r="DQ298" s="542"/>
      <c r="DR298" s="542"/>
      <c r="DS298" s="542"/>
      <c r="DT298" s="542"/>
      <c r="DU298" s="542"/>
      <c r="DV298" s="542"/>
      <c r="DW298" s="542"/>
      <c r="DX298" s="542"/>
      <c r="DY298" s="542"/>
      <c r="DZ298" s="542"/>
      <c r="EA298" s="542"/>
      <c r="EB298" s="542"/>
      <c r="EC298" s="542"/>
      <c r="ED298" s="542"/>
      <c r="EE298" s="542"/>
      <c r="EF298" s="542"/>
      <c r="EG298" s="542"/>
      <c r="EH298" s="542"/>
      <c r="EI298" s="542"/>
      <c r="EJ298" s="542"/>
      <c r="EK298" s="542"/>
      <c r="EL298" s="542"/>
      <c r="EM298" s="542"/>
      <c r="EN298" s="542"/>
      <c r="EO298" s="542"/>
      <c r="EP298" s="542"/>
      <c r="EQ298" s="542"/>
      <c r="ER298" s="542"/>
      <c r="ES298" s="542"/>
      <c r="ET298" s="542"/>
      <c r="EU298" s="542"/>
      <c r="EV298" s="542"/>
      <c r="EW298" s="542"/>
      <c r="EX298" s="542"/>
      <c r="EY298" s="542"/>
      <c r="EZ298" s="542"/>
      <c r="FA298" s="542"/>
      <c r="FB298" s="542"/>
      <c r="FC298" s="542"/>
      <c r="FD298" s="542"/>
      <c r="FE298" s="542"/>
      <c r="FF298" s="542"/>
      <c r="FG298" s="542"/>
      <c r="FH298" s="542"/>
      <c r="FI298" s="542"/>
      <c r="FJ298" s="542"/>
      <c r="FK298" s="542"/>
      <c r="FL298" s="542"/>
      <c r="FM298" s="542"/>
      <c r="FN298" s="542"/>
      <c r="FO298" s="542"/>
      <c r="FP298" s="542"/>
      <c r="FQ298" s="542"/>
      <c r="FR298" s="542"/>
      <c r="FS298" s="542"/>
      <c r="FT298" s="542"/>
      <c r="FU298" s="542"/>
      <c r="FV298" s="542"/>
      <c r="FW298" s="542"/>
      <c r="FX298" s="542"/>
      <c r="FY298" s="542"/>
      <c r="FZ298" s="542"/>
      <c r="GA298" s="542"/>
      <c r="GB298" s="542"/>
      <c r="GC298" s="542"/>
      <c r="GD298" s="542"/>
      <c r="GE298" s="542"/>
      <c r="GF298" s="542"/>
      <c r="GG298" s="542"/>
      <c r="GH298" s="542"/>
      <c r="GI298" s="542"/>
      <c r="GJ298" s="542"/>
      <c r="GK298" s="542"/>
      <c r="GL298" s="542"/>
      <c r="GM298" s="542"/>
      <c r="GN298" s="542"/>
      <c r="GO298" s="542"/>
      <c r="GP298" s="542"/>
      <c r="GQ298" s="542"/>
      <c r="GR298" s="542"/>
      <c r="GS298" s="542"/>
      <c r="GT298" s="542"/>
      <c r="GU298" s="542"/>
      <c r="GV298" s="542"/>
      <c r="GW298" s="542"/>
      <c r="GX298" s="542"/>
      <c r="GY298" s="542"/>
      <c r="GZ298" s="542"/>
      <c r="HA298" s="542"/>
      <c r="HB298" s="542"/>
      <c r="HC298" s="542"/>
      <c r="HD298" s="542"/>
      <c r="HE298" s="542"/>
      <c r="HF298" s="542"/>
      <c r="HG298" s="542"/>
      <c r="HH298" s="542"/>
      <c r="HI298" s="542"/>
      <c r="HJ298" s="542"/>
      <c r="HK298" s="542"/>
      <c r="HL298" s="542"/>
      <c r="HM298" s="542"/>
      <c r="HN298" s="542"/>
      <c r="HO298" s="542"/>
      <c r="HP298" s="542"/>
      <c r="HQ298" s="542"/>
      <c r="HR298" s="542"/>
      <c r="HS298" s="542"/>
      <c r="HT298" s="542"/>
      <c r="HU298" s="542"/>
      <c r="HV298" s="542"/>
      <c r="HW298" s="542"/>
      <c r="HX298" s="542"/>
      <c r="HY298" s="542"/>
      <c r="HZ298" s="542"/>
      <c r="IA298" s="542"/>
      <c r="IB298" s="542"/>
      <c r="IC298" s="542"/>
      <c r="ID298" s="542"/>
      <c r="IE298" s="542"/>
      <c r="IF298" s="542"/>
      <c r="IG298" s="542"/>
      <c r="IH298" s="542"/>
      <c r="II298" s="542"/>
      <c r="IJ298" s="542"/>
      <c r="IK298" s="542"/>
      <c r="IL298" s="542"/>
      <c r="IM298" s="542"/>
      <c r="IN298" s="542"/>
      <c r="IO298" s="542"/>
      <c r="IP298" s="542"/>
      <c r="IQ298" s="542"/>
      <c r="IR298" s="542"/>
      <c r="IS298" s="542"/>
      <c r="IT298" s="542"/>
      <c r="IU298" s="542"/>
      <c r="IV298" s="542"/>
      <c r="IW298" s="542"/>
      <c r="IX298" s="542"/>
      <c r="IY298" s="542"/>
      <c r="IZ298" s="542"/>
      <c r="JA298" s="542"/>
      <c r="JB298" s="542"/>
    </row>
    <row r="299" spans="104:262" ht="18.899999999999999" customHeight="1">
      <c r="CZ299" s="542"/>
      <c r="DA299" s="542"/>
      <c r="DB299" s="542"/>
      <c r="DC299" s="542"/>
      <c r="DD299" s="542"/>
      <c r="DE299" s="542"/>
      <c r="DF299" s="542"/>
      <c r="DG299" s="542"/>
      <c r="DH299" s="542"/>
      <c r="DI299" s="542"/>
      <c r="DJ299" s="542"/>
      <c r="DK299" s="542"/>
      <c r="DL299" s="542"/>
      <c r="DM299" s="542"/>
      <c r="DN299" s="542"/>
      <c r="DO299" s="542"/>
      <c r="DP299" s="542"/>
      <c r="DQ299" s="542"/>
      <c r="DR299" s="542"/>
      <c r="DS299" s="542"/>
      <c r="DT299" s="542"/>
      <c r="DU299" s="542"/>
      <c r="DV299" s="542"/>
      <c r="DW299" s="542"/>
      <c r="DX299" s="542"/>
      <c r="DY299" s="542"/>
      <c r="DZ299" s="542"/>
      <c r="EA299" s="542"/>
      <c r="EB299" s="542"/>
      <c r="EC299" s="542"/>
      <c r="ED299" s="542"/>
      <c r="EE299" s="542"/>
      <c r="EF299" s="542"/>
      <c r="EG299" s="542"/>
      <c r="EH299" s="542"/>
      <c r="EI299" s="542"/>
      <c r="EJ299" s="542"/>
      <c r="EK299" s="542"/>
      <c r="EL299" s="542"/>
      <c r="EM299" s="542"/>
      <c r="EN299" s="542"/>
      <c r="EO299" s="542"/>
      <c r="EP299" s="542"/>
      <c r="EQ299" s="542"/>
      <c r="ER299" s="542"/>
      <c r="ES299" s="542"/>
      <c r="ET299" s="542"/>
      <c r="EU299" s="542"/>
      <c r="EV299" s="542"/>
      <c r="EW299" s="542"/>
      <c r="EX299" s="542"/>
      <c r="EY299" s="542"/>
      <c r="EZ299" s="542"/>
      <c r="FA299" s="542"/>
      <c r="FB299" s="542"/>
      <c r="FC299" s="542"/>
      <c r="FD299" s="542"/>
      <c r="FE299" s="542"/>
      <c r="FF299" s="542"/>
      <c r="FG299" s="542"/>
      <c r="FH299" s="542"/>
      <c r="FI299" s="542"/>
      <c r="FJ299" s="542"/>
      <c r="FK299" s="542"/>
      <c r="FL299" s="542"/>
      <c r="FM299" s="542"/>
      <c r="FN299" s="542"/>
      <c r="FO299" s="542"/>
      <c r="FP299" s="542"/>
      <c r="FQ299" s="542"/>
      <c r="FR299" s="542"/>
      <c r="FS299" s="542"/>
      <c r="FT299" s="542"/>
      <c r="FU299" s="542"/>
      <c r="FV299" s="542"/>
      <c r="FW299" s="542"/>
      <c r="FX299" s="542"/>
      <c r="FY299" s="542"/>
      <c r="FZ299" s="542"/>
      <c r="GA299" s="542"/>
      <c r="GB299" s="542"/>
      <c r="GC299" s="542"/>
      <c r="GD299" s="542"/>
      <c r="GE299" s="542"/>
      <c r="GF299" s="542"/>
      <c r="GG299" s="542"/>
      <c r="GH299" s="542"/>
      <c r="GI299" s="542"/>
      <c r="GJ299" s="542"/>
      <c r="GK299" s="542"/>
      <c r="GL299" s="542"/>
      <c r="GM299" s="542"/>
      <c r="GN299" s="542"/>
      <c r="GO299" s="542"/>
      <c r="GP299" s="542"/>
      <c r="GQ299" s="542"/>
      <c r="GR299" s="542"/>
      <c r="GS299" s="542"/>
      <c r="GT299" s="542"/>
      <c r="GU299" s="542"/>
      <c r="GV299" s="542"/>
      <c r="GW299" s="542"/>
      <c r="GX299" s="542"/>
      <c r="GY299" s="542"/>
      <c r="GZ299" s="542"/>
      <c r="HA299" s="542"/>
      <c r="HB299" s="542"/>
      <c r="HC299" s="542"/>
      <c r="HD299" s="542"/>
      <c r="HE299" s="542"/>
      <c r="HF299" s="542"/>
      <c r="HG299" s="542"/>
      <c r="HH299" s="542"/>
      <c r="HI299" s="542"/>
      <c r="HJ299" s="542"/>
      <c r="HK299" s="542"/>
      <c r="HL299" s="542"/>
      <c r="HM299" s="542"/>
      <c r="HN299" s="542"/>
      <c r="HO299" s="542"/>
      <c r="HP299" s="542"/>
      <c r="HQ299" s="542"/>
      <c r="HR299" s="542"/>
      <c r="HS299" s="542"/>
      <c r="HT299" s="542"/>
      <c r="HU299" s="542"/>
      <c r="HV299" s="542"/>
      <c r="HW299" s="542"/>
      <c r="HX299" s="542"/>
      <c r="HY299" s="542"/>
      <c r="HZ299" s="542"/>
      <c r="IA299" s="542"/>
      <c r="IB299" s="542"/>
      <c r="IC299" s="542"/>
      <c r="ID299" s="542"/>
      <c r="IE299" s="542"/>
      <c r="IF299" s="542"/>
      <c r="IG299" s="542"/>
      <c r="IH299" s="542"/>
      <c r="II299" s="542"/>
      <c r="IJ299" s="542"/>
      <c r="IK299" s="542"/>
      <c r="IL299" s="542"/>
      <c r="IM299" s="542"/>
      <c r="IN299" s="542"/>
      <c r="IO299" s="542"/>
      <c r="IP299" s="542"/>
      <c r="IQ299" s="542"/>
      <c r="IR299" s="542"/>
      <c r="IS299" s="542"/>
      <c r="IT299" s="542"/>
      <c r="IU299" s="542"/>
      <c r="IV299" s="542"/>
      <c r="IW299" s="542"/>
      <c r="IX299" s="542"/>
      <c r="IY299" s="542"/>
      <c r="IZ299" s="542"/>
      <c r="JA299" s="542"/>
      <c r="JB299" s="542"/>
    </row>
    <row r="300" spans="104:262" ht="18.899999999999999" customHeight="1">
      <c r="CZ300" s="542"/>
      <c r="DA300" s="542"/>
      <c r="DB300" s="542"/>
      <c r="DC300" s="542"/>
      <c r="DD300" s="542"/>
      <c r="DE300" s="542"/>
      <c r="DF300" s="542"/>
      <c r="DG300" s="542"/>
      <c r="DH300" s="542"/>
      <c r="DI300" s="542"/>
      <c r="DJ300" s="542"/>
      <c r="DK300" s="542"/>
      <c r="DL300" s="542"/>
      <c r="DM300" s="542"/>
      <c r="DN300" s="542"/>
      <c r="DO300" s="542"/>
      <c r="DP300" s="542"/>
      <c r="DQ300" s="542"/>
      <c r="DR300" s="542"/>
      <c r="DS300" s="542"/>
      <c r="DT300" s="542"/>
      <c r="DU300" s="542"/>
      <c r="DV300" s="542"/>
      <c r="DW300" s="542"/>
      <c r="DX300" s="542"/>
      <c r="DY300" s="542"/>
      <c r="DZ300" s="542"/>
      <c r="EA300" s="542"/>
      <c r="EB300" s="542"/>
      <c r="EC300" s="542"/>
      <c r="ED300" s="542"/>
      <c r="EE300" s="542"/>
      <c r="EF300" s="542"/>
      <c r="EG300" s="542"/>
      <c r="EH300" s="542"/>
      <c r="EI300" s="542"/>
      <c r="EJ300" s="542"/>
      <c r="EK300" s="542"/>
      <c r="EL300" s="542"/>
      <c r="EM300" s="542"/>
      <c r="EN300" s="542"/>
      <c r="EO300" s="542"/>
      <c r="EP300" s="542"/>
      <c r="EQ300" s="542"/>
      <c r="ER300" s="542"/>
      <c r="ES300" s="542"/>
      <c r="ET300" s="542"/>
      <c r="EU300" s="542"/>
      <c r="EV300" s="542"/>
      <c r="EW300" s="542"/>
      <c r="EX300" s="542"/>
      <c r="EY300" s="542"/>
      <c r="EZ300" s="542"/>
      <c r="FA300" s="542"/>
      <c r="FB300" s="542"/>
      <c r="FC300" s="542"/>
      <c r="FD300" s="542"/>
      <c r="FE300" s="542"/>
      <c r="FF300" s="542"/>
      <c r="FG300" s="542"/>
      <c r="FH300" s="542"/>
      <c r="FI300" s="542"/>
      <c r="FJ300" s="542"/>
      <c r="FK300" s="542"/>
      <c r="FL300" s="542"/>
      <c r="FM300" s="542"/>
      <c r="FN300" s="542"/>
      <c r="FO300" s="542"/>
      <c r="FP300" s="542"/>
      <c r="FQ300" s="542"/>
      <c r="FR300" s="542"/>
      <c r="FS300" s="542"/>
      <c r="FT300" s="542"/>
      <c r="FU300" s="542"/>
      <c r="FV300" s="542"/>
      <c r="FW300" s="542"/>
      <c r="FX300" s="542"/>
      <c r="FY300" s="542"/>
      <c r="FZ300" s="542"/>
      <c r="GA300" s="542"/>
      <c r="GB300" s="542"/>
      <c r="GC300" s="542"/>
      <c r="GD300" s="542"/>
      <c r="GE300" s="542"/>
      <c r="GF300" s="542"/>
      <c r="GG300" s="542"/>
      <c r="GH300" s="542"/>
      <c r="GI300" s="542"/>
      <c r="GJ300" s="542"/>
      <c r="GK300" s="542"/>
      <c r="GL300" s="542"/>
      <c r="GM300" s="542"/>
      <c r="GN300" s="542"/>
      <c r="GO300" s="542"/>
      <c r="GP300" s="542"/>
      <c r="GQ300" s="542"/>
      <c r="GR300" s="542"/>
      <c r="GS300" s="542"/>
      <c r="GT300" s="542"/>
      <c r="GU300" s="542"/>
      <c r="GV300" s="542"/>
      <c r="GW300" s="542"/>
      <c r="GX300" s="542"/>
      <c r="GY300" s="542"/>
      <c r="GZ300" s="542"/>
      <c r="HA300" s="542"/>
      <c r="HB300" s="542"/>
      <c r="HC300" s="542"/>
      <c r="HD300" s="542"/>
      <c r="HE300" s="542"/>
      <c r="HF300" s="542"/>
      <c r="HG300" s="542"/>
      <c r="HH300" s="542"/>
      <c r="HI300" s="542"/>
      <c r="HJ300" s="542"/>
      <c r="HK300" s="542"/>
      <c r="HL300" s="542"/>
      <c r="HM300" s="542"/>
      <c r="HN300" s="542"/>
      <c r="HO300" s="542"/>
      <c r="HP300" s="542"/>
      <c r="HQ300" s="542"/>
      <c r="HR300" s="542"/>
      <c r="HS300" s="542"/>
      <c r="HT300" s="542"/>
      <c r="HU300" s="542"/>
      <c r="HV300" s="542"/>
      <c r="HW300" s="542"/>
      <c r="HX300" s="542"/>
      <c r="HY300" s="542"/>
      <c r="HZ300" s="542"/>
      <c r="IA300" s="542"/>
      <c r="IB300" s="542"/>
      <c r="IC300" s="542"/>
      <c r="ID300" s="542"/>
      <c r="IE300" s="542"/>
      <c r="IF300" s="542"/>
      <c r="IG300" s="542"/>
      <c r="IH300" s="542"/>
      <c r="II300" s="542"/>
      <c r="IJ300" s="542"/>
      <c r="IK300" s="542"/>
      <c r="IL300" s="542"/>
      <c r="IM300" s="542"/>
      <c r="IN300" s="542"/>
      <c r="IO300" s="542"/>
      <c r="IP300" s="542"/>
      <c r="IQ300" s="542"/>
      <c r="IR300" s="542"/>
      <c r="IS300" s="542"/>
      <c r="IT300" s="542"/>
      <c r="IU300" s="542"/>
      <c r="IV300" s="542"/>
      <c r="IW300" s="542"/>
      <c r="IX300" s="542"/>
      <c r="IY300" s="542"/>
      <c r="IZ300" s="542"/>
      <c r="JA300" s="542"/>
      <c r="JB300" s="542"/>
    </row>
    <row r="301" spans="104:262" ht="18.899999999999999" customHeight="1">
      <c r="CZ301" s="542"/>
      <c r="DA301" s="542"/>
      <c r="DB301" s="542"/>
      <c r="DC301" s="542"/>
      <c r="DD301" s="542"/>
      <c r="DE301" s="542"/>
      <c r="DF301" s="542"/>
      <c r="DG301" s="542"/>
      <c r="DH301" s="542"/>
      <c r="DI301" s="542"/>
      <c r="DJ301" s="542"/>
      <c r="DK301" s="542"/>
      <c r="DL301" s="542"/>
      <c r="DM301" s="542"/>
      <c r="DN301" s="542"/>
      <c r="DO301" s="542"/>
      <c r="DP301" s="542"/>
      <c r="DQ301" s="542"/>
      <c r="DR301" s="542"/>
      <c r="DS301" s="542"/>
      <c r="DT301" s="542"/>
      <c r="DU301" s="542"/>
      <c r="DV301" s="542"/>
      <c r="DW301" s="542"/>
      <c r="DX301" s="542"/>
      <c r="DY301" s="542"/>
      <c r="DZ301" s="542"/>
      <c r="EA301" s="542"/>
      <c r="EB301" s="542"/>
      <c r="EC301" s="542"/>
      <c r="ED301" s="542"/>
      <c r="EE301" s="542"/>
      <c r="EF301" s="542"/>
      <c r="EG301" s="542"/>
      <c r="EH301" s="542"/>
      <c r="EI301" s="542"/>
      <c r="EJ301" s="542"/>
      <c r="EK301" s="542"/>
      <c r="EL301" s="542"/>
      <c r="EM301" s="542"/>
      <c r="EN301" s="542"/>
      <c r="EO301" s="542"/>
      <c r="EP301" s="542"/>
      <c r="EQ301" s="542"/>
      <c r="ER301" s="542"/>
      <c r="ES301" s="542"/>
      <c r="ET301" s="542"/>
      <c r="EU301" s="542"/>
      <c r="EV301" s="542"/>
      <c r="EW301" s="542"/>
      <c r="EX301" s="542"/>
      <c r="EY301" s="542"/>
      <c r="EZ301" s="542"/>
      <c r="FA301" s="542"/>
      <c r="FB301" s="542"/>
      <c r="FC301" s="542"/>
      <c r="FD301" s="542"/>
      <c r="FE301" s="542"/>
      <c r="FF301" s="542"/>
      <c r="FG301" s="542"/>
      <c r="FH301" s="542"/>
      <c r="FI301" s="542"/>
      <c r="FJ301" s="542"/>
      <c r="FK301" s="542"/>
      <c r="FL301" s="542"/>
      <c r="FM301" s="542"/>
      <c r="FN301" s="542"/>
      <c r="FO301" s="542"/>
      <c r="FP301" s="542"/>
      <c r="FQ301" s="542"/>
      <c r="FR301" s="542"/>
      <c r="FS301" s="542"/>
      <c r="FT301" s="542"/>
      <c r="FU301" s="542"/>
      <c r="FV301" s="542"/>
      <c r="FW301" s="542"/>
      <c r="FX301" s="542"/>
      <c r="FY301" s="542"/>
      <c r="FZ301" s="542"/>
      <c r="GA301" s="542"/>
      <c r="GB301" s="542"/>
      <c r="GC301" s="542"/>
      <c r="GD301" s="542"/>
      <c r="GE301" s="542"/>
      <c r="GF301" s="542"/>
      <c r="GG301" s="542"/>
      <c r="GH301" s="542"/>
      <c r="GI301" s="542"/>
      <c r="GJ301" s="542"/>
      <c r="GK301" s="542"/>
      <c r="GL301" s="542"/>
      <c r="GM301" s="542"/>
      <c r="GN301" s="542"/>
      <c r="GO301" s="542"/>
      <c r="GP301" s="542"/>
      <c r="GQ301" s="542"/>
      <c r="GR301" s="542"/>
      <c r="GS301" s="542"/>
      <c r="GT301" s="542"/>
      <c r="GU301" s="542"/>
      <c r="GV301" s="542"/>
      <c r="GW301" s="542"/>
      <c r="GX301" s="542"/>
      <c r="GY301" s="542"/>
      <c r="GZ301" s="542"/>
      <c r="HA301" s="542"/>
      <c r="HB301" s="542"/>
      <c r="HC301" s="542"/>
      <c r="HD301" s="542"/>
      <c r="HE301" s="542"/>
      <c r="HF301" s="542"/>
      <c r="HG301" s="542"/>
      <c r="HH301" s="542"/>
      <c r="HI301" s="542"/>
      <c r="HJ301" s="542"/>
      <c r="HK301" s="542"/>
      <c r="HL301" s="542"/>
      <c r="HM301" s="542"/>
      <c r="HN301" s="542"/>
      <c r="HO301" s="542"/>
      <c r="HP301" s="542"/>
      <c r="HQ301" s="542"/>
      <c r="HR301" s="542"/>
      <c r="HS301" s="542"/>
      <c r="HT301" s="542"/>
      <c r="HU301" s="542"/>
      <c r="HV301" s="542"/>
      <c r="HW301" s="542"/>
      <c r="HX301" s="542"/>
      <c r="HY301" s="542"/>
      <c r="HZ301" s="542"/>
      <c r="IA301" s="542"/>
      <c r="IB301" s="542"/>
      <c r="IC301" s="542"/>
      <c r="ID301" s="542"/>
      <c r="IE301" s="542"/>
      <c r="IF301" s="542"/>
      <c r="IG301" s="542"/>
      <c r="IH301" s="542"/>
      <c r="II301" s="542"/>
      <c r="IJ301" s="542"/>
      <c r="IK301" s="542"/>
      <c r="IL301" s="542"/>
      <c r="IM301" s="542"/>
      <c r="IN301" s="542"/>
      <c r="IO301" s="542"/>
      <c r="IP301" s="542"/>
      <c r="IQ301" s="542"/>
      <c r="IR301" s="542"/>
      <c r="IS301" s="542"/>
      <c r="IT301" s="542"/>
      <c r="IU301" s="542"/>
      <c r="IV301" s="542"/>
      <c r="IW301" s="542"/>
      <c r="IX301" s="542"/>
      <c r="IY301" s="542"/>
      <c r="IZ301" s="542"/>
      <c r="JA301" s="542"/>
      <c r="JB301" s="542"/>
    </row>
    <row r="302" spans="104:262" ht="18.899999999999999" customHeight="1">
      <c r="CZ302" s="542"/>
      <c r="DA302" s="542"/>
      <c r="DB302" s="542"/>
      <c r="DC302" s="542"/>
      <c r="DD302" s="542"/>
      <c r="DE302" s="542"/>
      <c r="DF302" s="542"/>
      <c r="DG302" s="542"/>
      <c r="DH302" s="542"/>
      <c r="DI302" s="542"/>
      <c r="DJ302" s="542"/>
      <c r="DK302" s="542"/>
      <c r="DL302" s="542"/>
      <c r="DM302" s="542"/>
      <c r="DN302" s="542"/>
      <c r="DO302" s="542"/>
      <c r="DP302" s="542"/>
      <c r="DQ302" s="542"/>
      <c r="DR302" s="542"/>
      <c r="DS302" s="542"/>
      <c r="DT302" s="542"/>
      <c r="DU302" s="542"/>
      <c r="DV302" s="542"/>
      <c r="DW302" s="542"/>
      <c r="DX302" s="542"/>
      <c r="DY302" s="542"/>
      <c r="DZ302" s="542"/>
      <c r="EA302" s="542"/>
      <c r="EB302" s="542"/>
      <c r="EC302" s="542"/>
      <c r="ED302" s="542"/>
      <c r="EE302" s="542"/>
      <c r="EF302" s="542"/>
      <c r="EG302" s="542"/>
      <c r="EH302" s="542"/>
      <c r="EI302" s="542"/>
      <c r="EJ302" s="542"/>
      <c r="EK302" s="542"/>
      <c r="EL302" s="542"/>
      <c r="EM302" s="542"/>
      <c r="EN302" s="542"/>
      <c r="EO302" s="542"/>
      <c r="EP302" s="542"/>
      <c r="EQ302" s="542"/>
      <c r="ER302" s="542"/>
      <c r="ES302" s="542"/>
      <c r="ET302" s="542"/>
      <c r="EU302" s="542"/>
      <c r="EV302" s="542"/>
      <c r="EW302" s="542"/>
      <c r="EX302" s="542"/>
      <c r="EY302" s="542"/>
      <c r="EZ302" s="542"/>
      <c r="FA302" s="542"/>
      <c r="FB302" s="542"/>
      <c r="FC302" s="542"/>
      <c r="FD302" s="542"/>
      <c r="FE302" s="542"/>
      <c r="FF302" s="542"/>
      <c r="FG302" s="542"/>
      <c r="FH302" s="542"/>
      <c r="FI302" s="542"/>
      <c r="FJ302" s="542"/>
      <c r="FK302" s="542"/>
      <c r="FL302" s="542"/>
      <c r="FM302" s="542"/>
      <c r="FN302" s="542"/>
      <c r="FO302" s="542"/>
      <c r="FP302" s="542"/>
      <c r="FQ302" s="542"/>
      <c r="FR302" s="542"/>
      <c r="FS302" s="542"/>
      <c r="FT302" s="542"/>
      <c r="FU302" s="542"/>
      <c r="FV302" s="542"/>
      <c r="FW302" s="542"/>
      <c r="FX302" s="542"/>
      <c r="FY302" s="542"/>
      <c r="FZ302" s="542"/>
      <c r="GA302" s="542"/>
      <c r="GB302" s="542"/>
      <c r="GC302" s="542"/>
      <c r="GD302" s="542"/>
      <c r="GE302" s="542"/>
      <c r="GF302" s="542"/>
      <c r="GG302" s="542"/>
      <c r="GH302" s="542"/>
      <c r="GI302" s="542"/>
      <c r="GJ302" s="542"/>
      <c r="GK302" s="542"/>
      <c r="GL302" s="542"/>
      <c r="GM302" s="542"/>
      <c r="GN302" s="542"/>
      <c r="GO302" s="542"/>
      <c r="GP302" s="542"/>
      <c r="GQ302" s="542"/>
      <c r="GR302" s="542"/>
      <c r="GS302" s="542"/>
      <c r="GT302" s="542"/>
      <c r="GU302" s="542"/>
      <c r="GV302" s="542"/>
      <c r="GW302" s="542"/>
      <c r="GX302" s="542"/>
      <c r="GY302" s="542"/>
      <c r="GZ302" s="542"/>
      <c r="HA302" s="542"/>
      <c r="HB302" s="542"/>
      <c r="HC302" s="542"/>
      <c r="HD302" s="542"/>
      <c r="HE302" s="542"/>
      <c r="HF302" s="542"/>
      <c r="HG302" s="542"/>
      <c r="HH302" s="542"/>
      <c r="HI302" s="542"/>
      <c r="HJ302" s="542"/>
      <c r="HK302" s="542"/>
      <c r="HL302" s="542"/>
      <c r="HM302" s="542"/>
      <c r="HN302" s="542"/>
      <c r="HO302" s="542"/>
      <c r="HP302" s="542"/>
      <c r="HQ302" s="542"/>
      <c r="HR302" s="542"/>
      <c r="HS302" s="542"/>
      <c r="HT302" s="542"/>
      <c r="HU302" s="542"/>
      <c r="HV302" s="542"/>
      <c r="HW302" s="542"/>
      <c r="HX302" s="542"/>
      <c r="HY302" s="542"/>
      <c r="HZ302" s="542"/>
      <c r="IA302" s="542"/>
      <c r="IB302" s="542"/>
      <c r="IC302" s="542"/>
      <c r="ID302" s="542"/>
      <c r="IE302" s="542"/>
      <c r="IF302" s="542"/>
      <c r="IG302" s="542"/>
      <c r="IH302" s="542"/>
      <c r="II302" s="542"/>
      <c r="IJ302" s="542"/>
      <c r="IK302" s="542"/>
      <c r="IL302" s="542"/>
      <c r="IM302" s="542"/>
      <c r="IN302" s="542"/>
      <c r="IO302" s="542"/>
      <c r="IP302" s="542"/>
      <c r="IQ302" s="542"/>
      <c r="IR302" s="542"/>
      <c r="IS302" s="542"/>
      <c r="IT302" s="542"/>
      <c r="IU302" s="542"/>
      <c r="IV302" s="542"/>
      <c r="IW302" s="542"/>
      <c r="IX302" s="542"/>
      <c r="IY302" s="542"/>
      <c r="IZ302" s="542"/>
      <c r="JA302" s="542"/>
      <c r="JB302" s="542"/>
    </row>
    <row r="303" spans="104:262" ht="18.899999999999999" customHeight="1">
      <c r="CZ303" s="542"/>
      <c r="DA303" s="542"/>
      <c r="DB303" s="542"/>
      <c r="DC303" s="542"/>
      <c r="DD303" s="542"/>
      <c r="DE303" s="542"/>
      <c r="DF303" s="542"/>
      <c r="DG303" s="542"/>
      <c r="DH303" s="542"/>
      <c r="DI303" s="542"/>
      <c r="DJ303" s="542"/>
      <c r="DK303" s="542"/>
      <c r="DL303" s="542"/>
      <c r="DM303" s="542"/>
      <c r="DN303" s="542"/>
      <c r="DO303" s="542"/>
      <c r="DP303" s="542"/>
      <c r="DQ303" s="542"/>
      <c r="DR303" s="542"/>
      <c r="DS303" s="542"/>
      <c r="DT303" s="542"/>
      <c r="DU303" s="542"/>
      <c r="DV303" s="542"/>
      <c r="DW303" s="542"/>
      <c r="DX303" s="542"/>
      <c r="DY303" s="542"/>
      <c r="DZ303" s="542"/>
      <c r="EA303" s="542"/>
      <c r="EB303" s="542"/>
      <c r="EC303" s="542"/>
      <c r="ED303" s="542"/>
      <c r="EE303" s="542"/>
      <c r="EF303" s="542"/>
      <c r="EG303" s="542"/>
      <c r="EH303" s="542"/>
      <c r="EI303" s="542"/>
      <c r="EJ303" s="542"/>
      <c r="EK303" s="542"/>
      <c r="EL303" s="542"/>
      <c r="EM303" s="542"/>
      <c r="EN303" s="542"/>
      <c r="EO303" s="542"/>
      <c r="EP303" s="542"/>
      <c r="EQ303" s="542"/>
      <c r="ER303" s="542"/>
      <c r="ES303" s="542"/>
      <c r="ET303" s="542"/>
      <c r="EU303" s="542"/>
      <c r="EV303" s="542"/>
      <c r="EW303" s="542"/>
      <c r="EX303" s="542"/>
      <c r="EY303" s="542"/>
      <c r="EZ303" s="542"/>
      <c r="FA303" s="542"/>
      <c r="FB303" s="542"/>
      <c r="FC303" s="542"/>
      <c r="FD303" s="542"/>
      <c r="FE303" s="542"/>
      <c r="FF303" s="542"/>
      <c r="FG303" s="542"/>
      <c r="FH303" s="542"/>
      <c r="FI303" s="542"/>
      <c r="FJ303" s="542"/>
      <c r="FK303" s="542"/>
      <c r="FL303" s="542"/>
      <c r="FM303" s="542"/>
      <c r="FN303" s="542"/>
      <c r="FO303" s="542"/>
      <c r="FP303" s="542"/>
      <c r="FQ303" s="542"/>
      <c r="FR303" s="542"/>
      <c r="FS303" s="542"/>
      <c r="FT303" s="542"/>
      <c r="FU303" s="542"/>
      <c r="FV303" s="542"/>
      <c r="FW303" s="542"/>
      <c r="FX303" s="542"/>
      <c r="FY303" s="542"/>
      <c r="FZ303" s="542"/>
      <c r="GA303" s="542"/>
      <c r="GB303" s="542"/>
      <c r="GC303" s="542"/>
      <c r="GD303" s="542"/>
      <c r="GE303" s="542"/>
      <c r="GF303" s="542"/>
      <c r="GG303" s="542"/>
      <c r="GH303" s="542"/>
      <c r="GI303" s="542"/>
      <c r="GJ303" s="542"/>
      <c r="GK303" s="542"/>
      <c r="GL303" s="542"/>
      <c r="GM303" s="542"/>
      <c r="GN303" s="542"/>
      <c r="GO303" s="542"/>
      <c r="GP303" s="542"/>
      <c r="GQ303" s="542"/>
      <c r="GR303" s="542"/>
      <c r="GS303" s="542"/>
      <c r="GT303" s="542"/>
      <c r="GU303" s="542"/>
      <c r="GV303" s="542"/>
      <c r="GW303" s="542"/>
      <c r="GX303" s="542"/>
      <c r="GY303" s="542"/>
      <c r="GZ303" s="542"/>
      <c r="HA303" s="542"/>
      <c r="HB303" s="542"/>
      <c r="HC303" s="542"/>
      <c r="HD303" s="542"/>
      <c r="HE303" s="542"/>
      <c r="HF303" s="542"/>
      <c r="HG303" s="542"/>
      <c r="HH303" s="542"/>
      <c r="HI303" s="542"/>
      <c r="HJ303" s="542"/>
      <c r="HK303" s="542"/>
      <c r="HL303" s="542"/>
      <c r="HM303" s="542"/>
      <c r="HN303" s="542"/>
      <c r="HO303" s="542"/>
      <c r="HP303" s="542"/>
      <c r="HQ303" s="542"/>
      <c r="HR303" s="542"/>
      <c r="HS303" s="542"/>
      <c r="HT303" s="542"/>
      <c r="HU303" s="542"/>
      <c r="HV303" s="542"/>
      <c r="HW303" s="542"/>
      <c r="HX303" s="542"/>
      <c r="HY303" s="542"/>
      <c r="HZ303" s="542"/>
      <c r="IA303" s="542"/>
      <c r="IB303" s="542"/>
      <c r="IC303" s="542"/>
      <c r="ID303" s="542"/>
      <c r="IE303" s="542"/>
      <c r="IF303" s="542"/>
      <c r="IG303" s="542"/>
      <c r="IH303" s="542"/>
      <c r="II303" s="542"/>
      <c r="IJ303" s="542"/>
      <c r="IK303" s="542"/>
      <c r="IL303" s="542"/>
      <c r="IM303" s="542"/>
      <c r="IN303" s="542"/>
      <c r="IO303" s="542"/>
      <c r="IP303" s="542"/>
      <c r="IQ303" s="542"/>
      <c r="IR303" s="542"/>
      <c r="IS303" s="542"/>
      <c r="IT303" s="542"/>
      <c r="IU303" s="542"/>
      <c r="IV303" s="542"/>
      <c r="IW303" s="542"/>
      <c r="IX303" s="542"/>
      <c r="IY303" s="542"/>
      <c r="IZ303" s="542"/>
      <c r="JA303" s="542"/>
      <c r="JB303" s="542"/>
    </row>
    <row r="304" spans="104:262" ht="18.899999999999999" customHeight="1">
      <c r="CZ304" s="542"/>
      <c r="DA304" s="542"/>
      <c r="DB304" s="542"/>
      <c r="DC304" s="542"/>
      <c r="DD304" s="542"/>
      <c r="DE304" s="542"/>
      <c r="DF304" s="542"/>
      <c r="DG304" s="542"/>
      <c r="DH304" s="542"/>
      <c r="DI304" s="542"/>
      <c r="DJ304" s="542"/>
      <c r="DK304" s="542"/>
      <c r="DL304" s="542"/>
      <c r="DM304" s="542"/>
      <c r="DN304" s="542"/>
      <c r="DO304" s="542"/>
      <c r="DP304" s="542"/>
      <c r="DQ304" s="542"/>
      <c r="DR304" s="542"/>
      <c r="DS304" s="542"/>
      <c r="DT304" s="542"/>
      <c r="DU304" s="542"/>
      <c r="DV304" s="542"/>
      <c r="DW304" s="542"/>
      <c r="DX304" s="542"/>
      <c r="DY304" s="542"/>
      <c r="DZ304" s="542"/>
      <c r="EA304" s="542"/>
      <c r="EB304" s="542"/>
      <c r="EC304" s="542"/>
      <c r="ED304" s="542"/>
      <c r="EE304" s="542"/>
      <c r="EF304" s="542"/>
      <c r="EG304" s="542"/>
      <c r="EH304" s="542"/>
      <c r="EI304" s="542"/>
      <c r="EJ304" s="542"/>
      <c r="EK304" s="542"/>
      <c r="EL304" s="542"/>
      <c r="EM304" s="542"/>
      <c r="EN304" s="542"/>
      <c r="EO304" s="542"/>
      <c r="EP304" s="542"/>
      <c r="EQ304" s="542"/>
      <c r="ER304" s="542"/>
      <c r="ES304" s="542"/>
      <c r="ET304" s="542"/>
      <c r="EU304" s="542"/>
      <c r="EV304" s="542"/>
      <c r="EW304" s="542"/>
      <c r="EX304" s="542"/>
      <c r="EY304" s="542"/>
      <c r="EZ304" s="542"/>
      <c r="FA304" s="542"/>
      <c r="FB304" s="542"/>
      <c r="FC304" s="542"/>
      <c r="FD304" s="542"/>
      <c r="FE304" s="542"/>
      <c r="FF304" s="542"/>
      <c r="FG304" s="542"/>
      <c r="FH304" s="542"/>
      <c r="FI304" s="542"/>
      <c r="FJ304" s="542"/>
      <c r="FK304" s="542"/>
      <c r="FL304" s="542"/>
      <c r="FM304" s="542"/>
      <c r="FN304" s="542"/>
      <c r="FO304" s="542"/>
      <c r="FP304" s="542"/>
      <c r="FQ304" s="542"/>
      <c r="FR304" s="542"/>
      <c r="FS304" s="542"/>
      <c r="FT304" s="542"/>
      <c r="FU304" s="542"/>
      <c r="FV304" s="542"/>
      <c r="FW304" s="542"/>
      <c r="FX304" s="542"/>
      <c r="FY304" s="542"/>
      <c r="FZ304" s="542"/>
      <c r="GA304" s="542"/>
      <c r="GB304" s="542"/>
      <c r="GC304" s="542"/>
      <c r="GD304" s="542"/>
      <c r="GE304" s="542"/>
      <c r="GF304" s="542"/>
      <c r="GG304" s="542"/>
      <c r="GH304" s="542"/>
      <c r="GI304" s="542"/>
      <c r="GJ304" s="542"/>
      <c r="GK304" s="542"/>
      <c r="GL304" s="542"/>
      <c r="GM304" s="542"/>
      <c r="GN304" s="542"/>
      <c r="GO304" s="542"/>
      <c r="GP304" s="542"/>
      <c r="GQ304" s="542"/>
      <c r="GR304" s="542"/>
      <c r="GS304" s="542"/>
      <c r="GT304" s="542"/>
      <c r="GU304" s="542"/>
      <c r="GV304" s="542"/>
      <c r="GW304" s="542"/>
      <c r="GX304" s="542"/>
      <c r="GY304" s="542"/>
      <c r="GZ304" s="542"/>
      <c r="HA304" s="542"/>
      <c r="HB304" s="542"/>
      <c r="HC304" s="542"/>
      <c r="HD304" s="542"/>
      <c r="HE304" s="542"/>
      <c r="HF304" s="542"/>
      <c r="HG304" s="542"/>
      <c r="HH304" s="542"/>
      <c r="HI304" s="542"/>
      <c r="HJ304" s="542"/>
      <c r="HK304" s="542"/>
      <c r="HL304" s="542"/>
      <c r="HM304" s="542"/>
      <c r="HN304" s="542"/>
      <c r="HO304" s="542"/>
      <c r="HP304" s="542"/>
      <c r="HQ304" s="542"/>
      <c r="HR304" s="542"/>
      <c r="HS304" s="542"/>
      <c r="HT304" s="542"/>
      <c r="HU304" s="542"/>
      <c r="HV304" s="542"/>
      <c r="HW304" s="542"/>
      <c r="HX304" s="542"/>
      <c r="HY304" s="542"/>
      <c r="HZ304" s="542"/>
      <c r="IA304" s="542"/>
      <c r="IB304" s="542"/>
      <c r="IC304" s="542"/>
      <c r="ID304" s="542"/>
      <c r="IE304" s="542"/>
      <c r="IF304" s="542"/>
      <c r="IG304" s="542"/>
      <c r="IH304" s="542"/>
      <c r="II304" s="542"/>
      <c r="IJ304" s="542"/>
      <c r="IK304" s="542"/>
      <c r="IL304" s="542"/>
      <c r="IM304" s="542"/>
      <c r="IN304" s="542"/>
      <c r="IO304" s="542"/>
      <c r="IP304" s="542"/>
      <c r="IQ304" s="542"/>
      <c r="IR304" s="542"/>
      <c r="IS304" s="542"/>
      <c r="IT304" s="542"/>
      <c r="IU304" s="542"/>
      <c r="IV304" s="542"/>
      <c r="IW304" s="542"/>
      <c r="IX304" s="542"/>
      <c r="IY304" s="542"/>
      <c r="IZ304" s="542"/>
      <c r="JA304" s="542"/>
      <c r="JB304" s="542"/>
    </row>
    <row r="305" spans="104:262" ht="18.899999999999999" customHeight="1">
      <c r="CZ305" s="542"/>
      <c r="DA305" s="542"/>
      <c r="DB305" s="542"/>
      <c r="DC305" s="542"/>
      <c r="DD305" s="542"/>
      <c r="DE305" s="542"/>
      <c r="DF305" s="542"/>
      <c r="DG305" s="542"/>
      <c r="DH305" s="542"/>
      <c r="DI305" s="542"/>
      <c r="DJ305" s="542"/>
      <c r="DK305" s="542"/>
      <c r="DL305" s="542"/>
      <c r="DM305" s="542"/>
      <c r="DN305" s="542"/>
      <c r="DO305" s="542"/>
      <c r="DP305" s="542"/>
      <c r="DQ305" s="542"/>
      <c r="DR305" s="542"/>
      <c r="DS305" s="542"/>
      <c r="DT305" s="542"/>
      <c r="DU305" s="542"/>
      <c r="DV305" s="542"/>
      <c r="DW305" s="542"/>
      <c r="DX305" s="542"/>
      <c r="DY305" s="542"/>
      <c r="DZ305" s="542"/>
      <c r="EA305" s="542"/>
      <c r="EB305" s="542"/>
      <c r="EC305" s="542"/>
      <c r="ED305" s="542"/>
      <c r="EE305" s="542"/>
      <c r="EF305" s="542"/>
      <c r="EG305" s="542"/>
      <c r="EH305" s="542"/>
      <c r="EI305" s="542"/>
      <c r="EJ305" s="542"/>
      <c r="EK305" s="542"/>
      <c r="EL305" s="542"/>
      <c r="EM305" s="542"/>
      <c r="EN305" s="542"/>
      <c r="EO305" s="542"/>
      <c r="EP305" s="542"/>
      <c r="EQ305" s="542"/>
      <c r="ER305" s="542"/>
      <c r="ES305" s="542"/>
      <c r="ET305" s="542"/>
      <c r="EU305" s="542"/>
      <c r="EV305" s="542"/>
      <c r="EW305" s="542"/>
      <c r="EX305" s="542"/>
      <c r="EY305" s="542"/>
      <c r="EZ305" s="542"/>
      <c r="FA305" s="542"/>
      <c r="FB305" s="542"/>
      <c r="FC305" s="542"/>
      <c r="FD305" s="542"/>
      <c r="FE305" s="542"/>
      <c r="FF305" s="542"/>
      <c r="FG305" s="542"/>
      <c r="FH305" s="542"/>
      <c r="FI305" s="542"/>
      <c r="FJ305" s="542"/>
      <c r="FK305" s="542"/>
      <c r="FL305" s="542"/>
      <c r="FM305" s="542"/>
      <c r="FN305" s="542"/>
      <c r="FO305" s="542"/>
      <c r="FP305" s="542"/>
      <c r="FQ305" s="542"/>
      <c r="FR305" s="542"/>
      <c r="FS305" s="542"/>
      <c r="FT305" s="542"/>
      <c r="FU305" s="542"/>
      <c r="FV305" s="542"/>
      <c r="FW305" s="542"/>
      <c r="FX305" s="542"/>
      <c r="FY305" s="542"/>
      <c r="FZ305" s="542"/>
      <c r="GA305" s="542"/>
      <c r="GB305" s="542"/>
      <c r="GC305" s="542"/>
      <c r="GD305" s="542"/>
      <c r="GE305" s="542"/>
      <c r="GF305" s="542"/>
      <c r="GG305" s="542"/>
      <c r="GH305" s="542"/>
      <c r="GI305" s="542"/>
      <c r="GJ305" s="542"/>
      <c r="GK305" s="542"/>
      <c r="GL305" s="542"/>
      <c r="GM305" s="542"/>
      <c r="GN305" s="542"/>
      <c r="GO305" s="542"/>
      <c r="GP305" s="542"/>
      <c r="GQ305" s="542"/>
      <c r="GR305" s="542"/>
      <c r="GS305" s="542"/>
      <c r="GT305" s="542"/>
      <c r="GU305" s="542"/>
      <c r="GV305" s="542"/>
      <c r="GW305" s="542"/>
      <c r="GX305" s="542"/>
      <c r="GY305" s="542"/>
      <c r="GZ305" s="542"/>
      <c r="HA305" s="542"/>
      <c r="HB305" s="542"/>
      <c r="HC305" s="542"/>
      <c r="HD305" s="542"/>
      <c r="HE305" s="542"/>
      <c r="HF305" s="542"/>
      <c r="HG305" s="542"/>
      <c r="HH305" s="542"/>
      <c r="HI305" s="542"/>
      <c r="HJ305" s="542"/>
      <c r="HK305" s="542"/>
      <c r="HL305" s="542"/>
      <c r="HM305" s="542"/>
      <c r="HN305" s="542"/>
      <c r="HO305" s="542"/>
      <c r="HP305" s="542"/>
      <c r="HQ305" s="542"/>
      <c r="HR305" s="542"/>
      <c r="HS305" s="542"/>
      <c r="HT305" s="542"/>
      <c r="HU305" s="542"/>
      <c r="HV305" s="542"/>
      <c r="HW305" s="542"/>
      <c r="HX305" s="542"/>
      <c r="HY305" s="542"/>
      <c r="HZ305" s="542"/>
      <c r="IA305" s="542"/>
      <c r="IB305" s="542"/>
      <c r="IC305" s="542"/>
      <c r="ID305" s="542"/>
      <c r="IE305" s="542"/>
      <c r="IF305" s="542"/>
      <c r="IG305" s="542"/>
      <c r="IH305" s="542"/>
      <c r="II305" s="542"/>
      <c r="IJ305" s="542"/>
      <c r="IK305" s="542"/>
      <c r="IL305" s="542"/>
      <c r="IM305" s="542"/>
      <c r="IN305" s="542"/>
      <c r="IO305" s="542"/>
      <c r="IP305" s="542"/>
      <c r="IQ305" s="542"/>
      <c r="IR305" s="542"/>
      <c r="IS305" s="542"/>
      <c r="IT305" s="542"/>
      <c r="IU305" s="542"/>
      <c r="IV305" s="542"/>
      <c r="IW305" s="542"/>
      <c r="IX305" s="542"/>
      <c r="IY305" s="542"/>
      <c r="IZ305" s="542"/>
      <c r="JA305" s="542"/>
      <c r="JB305" s="542"/>
    </row>
    <row r="306" spans="104:262" ht="18.899999999999999" customHeight="1">
      <c r="CZ306" s="542"/>
      <c r="DA306" s="542"/>
      <c r="DB306" s="542"/>
      <c r="DC306" s="542"/>
      <c r="DD306" s="542"/>
      <c r="DE306" s="542"/>
      <c r="DF306" s="542"/>
      <c r="DG306" s="542"/>
      <c r="DH306" s="542"/>
      <c r="DI306" s="542"/>
      <c r="DJ306" s="542"/>
      <c r="DK306" s="542"/>
      <c r="DL306" s="542"/>
      <c r="DM306" s="542"/>
      <c r="DN306" s="542"/>
      <c r="DO306" s="542"/>
      <c r="DP306" s="542"/>
      <c r="DQ306" s="542"/>
      <c r="DR306" s="542"/>
      <c r="DS306" s="542"/>
      <c r="DT306" s="542"/>
      <c r="DU306" s="542"/>
      <c r="DV306" s="542"/>
      <c r="DW306" s="542"/>
      <c r="DX306" s="542"/>
      <c r="DY306" s="542"/>
      <c r="DZ306" s="542"/>
      <c r="EA306" s="542"/>
      <c r="EB306" s="542"/>
      <c r="EC306" s="542"/>
      <c r="ED306" s="542"/>
      <c r="EE306" s="542"/>
      <c r="EF306" s="542"/>
      <c r="EG306" s="542"/>
      <c r="EH306" s="542"/>
      <c r="EI306" s="542"/>
      <c r="EJ306" s="542"/>
      <c r="EK306" s="542"/>
      <c r="EL306" s="542"/>
      <c r="EM306" s="542"/>
      <c r="EN306" s="542"/>
      <c r="EO306" s="542"/>
      <c r="EP306" s="542"/>
      <c r="EQ306" s="542"/>
      <c r="ER306" s="542"/>
      <c r="ES306" s="542"/>
      <c r="ET306" s="542"/>
      <c r="EU306" s="542"/>
      <c r="EV306" s="542"/>
      <c r="EW306" s="542"/>
      <c r="EX306" s="542"/>
      <c r="EY306" s="542"/>
      <c r="EZ306" s="542"/>
      <c r="FA306" s="542"/>
      <c r="FB306" s="542"/>
      <c r="FC306" s="542"/>
      <c r="FD306" s="542"/>
      <c r="FE306" s="542"/>
      <c r="FF306" s="542"/>
      <c r="FG306" s="542"/>
      <c r="FH306" s="542"/>
      <c r="FI306" s="542"/>
      <c r="FJ306" s="542"/>
      <c r="FK306" s="542"/>
      <c r="FL306" s="542"/>
      <c r="FM306" s="542"/>
      <c r="FN306" s="542"/>
      <c r="FO306" s="542"/>
      <c r="FP306" s="542"/>
      <c r="FQ306" s="542"/>
      <c r="FR306" s="542"/>
      <c r="FS306" s="542"/>
      <c r="FT306" s="542"/>
      <c r="FU306" s="542"/>
      <c r="FV306" s="542"/>
      <c r="FW306" s="542"/>
      <c r="FX306" s="542"/>
      <c r="FY306" s="542"/>
      <c r="FZ306" s="542"/>
      <c r="GA306" s="542"/>
      <c r="GB306" s="542"/>
      <c r="GC306" s="542"/>
      <c r="GD306" s="542"/>
      <c r="GE306" s="542"/>
      <c r="GF306" s="542"/>
      <c r="GG306" s="542"/>
      <c r="GH306" s="542"/>
      <c r="GI306" s="542"/>
      <c r="GJ306" s="542"/>
      <c r="GK306" s="542"/>
      <c r="GL306" s="542"/>
      <c r="GM306" s="542"/>
      <c r="GN306" s="542"/>
      <c r="GO306" s="542"/>
      <c r="GP306" s="542"/>
      <c r="GQ306" s="542"/>
      <c r="GR306" s="542"/>
      <c r="GS306" s="542"/>
      <c r="GT306" s="542"/>
      <c r="GU306" s="542"/>
      <c r="GV306" s="542"/>
      <c r="GW306" s="542"/>
      <c r="GX306" s="542"/>
      <c r="GY306" s="542"/>
      <c r="GZ306" s="542"/>
      <c r="HA306" s="542"/>
      <c r="HB306" s="542"/>
      <c r="HC306" s="542"/>
      <c r="HD306" s="542"/>
      <c r="HE306" s="542"/>
      <c r="HF306" s="542"/>
      <c r="HG306" s="542"/>
      <c r="HH306" s="542"/>
      <c r="HI306" s="542"/>
      <c r="HJ306" s="542"/>
      <c r="HK306" s="542"/>
      <c r="HL306" s="542"/>
      <c r="HM306" s="542"/>
      <c r="HN306" s="542"/>
      <c r="HO306" s="542"/>
      <c r="HP306" s="542"/>
      <c r="HQ306" s="542"/>
      <c r="HR306" s="542"/>
      <c r="HS306" s="542"/>
      <c r="HT306" s="542"/>
      <c r="HU306" s="542"/>
      <c r="HV306" s="542"/>
      <c r="HW306" s="542"/>
      <c r="HX306" s="542"/>
      <c r="HY306" s="542"/>
      <c r="HZ306" s="542"/>
      <c r="IA306" s="542"/>
      <c r="IB306" s="542"/>
      <c r="IC306" s="542"/>
      <c r="ID306" s="542"/>
      <c r="IE306" s="542"/>
      <c r="IF306" s="542"/>
      <c r="IG306" s="542"/>
      <c r="IH306" s="542"/>
      <c r="II306" s="542"/>
      <c r="IJ306" s="542"/>
      <c r="IK306" s="542"/>
      <c r="IL306" s="542"/>
      <c r="IM306" s="542"/>
      <c r="IN306" s="542"/>
      <c r="IO306" s="542"/>
      <c r="IP306" s="542"/>
      <c r="IQ306" s="542"/>
      <c r="IR306" s="542"/>
      <c r="IS306" s="542"/>
      <c r="IT306" s="542"/>
      <c r="IU306" s="542"/>
      <c r="IV306" s="542"/>
      <c r="IW306" s="542"/>
      <c r="IX306" s="542"/>
      <c r="IY306" s="542"/>
      <c r="IZ306" s="542"/>
      <c r="JA306" s="542"/>
      <c r="JB306" s="542"/>
    </row>
    <row r="307" spans="104:262" ht="18.899999999999999" customHeight="1">
      <c r="CZ307" s="542"/>
      <c r="DA307" s="542"/>
      <c r="DB307" s="542"/>
      <c r="DC307" s="542"/>
      <c r="DD307" s="542"/>
      <c r="DE307" s="542"/>
      <c r="DF307" s="542"/>
      <c r="DG307" s="542"/>
      <c r="DH307" s="542"/>
      <c r="DI307" s="542"/>
      <c r="DJ307" s="542"/>
      <c r="DK307" s="542"/>
      <c r="DL307" s="542"/>
      <c r="DM307" s="542"/>
      <c r="DN307" s="542"/>
      <c r="DO307" s="542"/>
      <c r="DP307" s="542"/>
      <c r="DQ307" s="542"/>
      <c r="DR307" s="542"/>
      <c r="DS307" s="542"/>
      <c r="DT307" s="542"/>
      <c r="DU307" s="542"/>
      <c r="DV307" s="542"/>
      <c r="DW307" s="542"/>
      <c r="DX307" s="542"/>
      <c r="DY307" s="542"/>
      <c r="DZ307" s="542"/>
      <c r="EA307" s="542"/>
      <c r="EB307" s="542"/>
      <c r="EC307" s="542"/>
      <c r="ED307" s="542"/>
      <c r="EE307" s="542"/>
      <c r="EF307" s="542"/>
      <c r="EG307" s="542"/>
      <c r="EH307" s="542"/>
      <c r="EI307" s="542"/>
      <c r="EJ307" s="542"/>
      <c r="EK307" s="542"/>
      <c r="EL307" s="542"/>
      <c r="EM307" s="542"/>
      <c r="EN307" s="542"/>
      <c r="EO307" s="542"/>
      <c r="EP307" s="542"/>
      <c r="EQ307" s="542"/>
      <c r="ER307" s="542"/>
      <c r="ES307" s="542"/>
      <c r="ET307" s="542"/>
      <c r="EU307" s="542"/>
      <c r="EV307" s="542"/>
      <c r="EW307" s="542"/>
      <c r="EX307" s="542"/>
      <c r="EY307" s="542"/>
      <c r="EZ307" s="542"/>
      <c r="FA307" s="542"/>
      <c r="FB307" s="542"/>
      <c r="FC307" s="542"/>
      <c r="FD307" s="542"/>
      <c r="FE307" s="542"/>
      <c r="FF307" s="542"/>
      <c r="FG307" s="542"/>
      <c r="FH307" s="542"/>
      <c r="FI307" s="542"/>
      <c r="FJ307" s="542"/>
      <c r="FK307" s="542"/>
      <c r="FL307" s="542"/>
      <c r="FM307" s="542"/>
      <c r="FN307" s="542"/>
      <c r="FO307" s="542"/>
      <c r="FP307" s="542"/>
      <c r="FQ307" s="542"/>
      <c r="FR307" s="542"/>
      <c r="FS307" s="542"/>
      <c r="FT307" s="542"/>
      <c r="FU307" s="542"/>
      <c r="FV307" s="542"/>
      <c r="FW307" s="542"/>
      <c r="FX307" s="542"/>
      <c r="FY307" s="542"/>
      <c r="FZ307" s="542"/>
      <c r="GA307" s="542"/>
      <c r="GB307" s="542"/>
      <c r="GC307" s="542"/>
      <c r="GD307" s="542"/>
      <c r="GE307" s="542"/>
      <c r="GF307" s="542"/>
      <c r="GG307" s="542"/>
      <c r="GH307" s="542"/>
      <c r="GI307" s="542"/>
      <c r="GJ307" s="542"/>
      <c r="GK307" s="542"/>
      <c r="GL307" s="542"/>
      <c r="GM307" s="542"/>
      <c r="GN307" s="542"/>
      <c r="GO307" s="542"/>
      <c r="GP307" s="542"/>
      <c r="GQ307" s="542"/>
      <c r="GR307" s="542"/>
      <c r="GS307" s="542"/>
      <c r="GT307" s="542"/>
      <c r="GU307" s="542"/>
      <c r="GV307" s="542"/>
      <c r="GW307" s="542"/>
      <c r="GX307" s="542"/>
      <c r="GY307" s="542"/>
      <c r="GZ307" s="542"/>
      <c r="HA307" s="542"/>
      <c r="HB307" s="542"/>
      <c r="HC307" s="542"/>
      <c r="HD307" s="542"/>
      <c r="HE307" s="542"/>
      <c r="HF307" s="542"/>
      <c r="HG307" s="542"/>
      <c r="HH307" s="542"/>
      <c r="HI307" s="542"/>
      <c r="HJ307" s="542"/>
      <c r="HK307" s="542"/>
      <c r="HL307" s="542"/>
      <c r="HM307" s="542"/>
      <c r="HN307" s="542"/>
      <c r="HO307" s="542"/>
      <c r="HP307" s="542"/>
      <c r="HQ307" s="542"/>
      <c r="HR307" s="542"/>
      <c r="HS307" s="542"/>
      <c r="HT307" s="542"/>
      <c r="HU307" s="542"/>
      <c r="HV307" s="542"/>
      <c r="HW307" s="542"/>
      <c r="HX307" s="542"/>
      <c r="HY307" s="542"/>
      <c r="HZ307" s="542"/>
      <c r="IA307" s="542"/>
      <c r="IB307" s="542"/>
      <c r="IC307" s="542"/>
      <c r="ID307" s="542"/>
      <c r="IE307" s="542"/>
      <c r="IF307" s="542"/>
      <c r="IG307" s="542"/>
      <c r="IH307" s="542"/>
      <c r="II307" s="542"/>
      <c r="IJ307" s="542"/>
      <c r="IK307" s="542"/>
      <c r="IL307" s="542"/>
      <c r="IM307" s="542"/>
      <c r="IN307" s="542"/>
      <c r="IO307" s="542"/>
      <c r="IP307" s="542"/>
      <c r="IQ307" s="542"/>
      <c r="IR307" s="542"/>
      <c r="IS307" s="542"/>
      <c r="IT307" s="542"/>
      <c r="IU307" s="542"/>
      <c r="IV307" s="542"/>
      <c r="IW307" s="542"/>
      <c r="IX307" s="542"/>
      <c r="IY307" s="542"/>
      <c r="IZ307" s="542"/>
      <c r="JA307" s="542"/>
      <c r="JB307" s="542"/>
    </row>
    <row r="308" spans="104:262" ht="18.899999999999999" customHeight="1">
      <c r="CZ308" s="542"/>
      <c r="DA308" s="542"/>
      <c r="DB308" s="542"/>
      <c r="DC308" s="542"/>
      <c r="DD308" s="542"/>
      <c r="DE308" s="542"/>
      <c r="DF308" s="542"/>
      <c r="DG308" s="542"/>
      <c r="DH308" s="542"/>
      <c r="DI308" s="542"/>
      <c r="DJ308" s="542"/>
      <c r="DK308" s="542"/>
      <c r="DL308" s="542"/>
      <c r="DM308" s="542"/>
      <c r="DN308" s="542"/>
      <c r="DO308" s="542"/>
      <c r="DP308" s="542"/>
      <c r="DQ308" s="542"/>
      <c r="DR308" s="542"/>
      <c r="DS308" s="542"/>
      <c r="DT308" s="542"/>
      <c r="DU308" s="542"/>
      <c r="DV308" s="542"/>
      <c r="DW308" s="542"/>
      <c r="DX308" s="542"/>
      <c r="DY308" s="542"/>
      <c r="DZ308" s="542"/>
      <c r="EA308" s="542"/>
      <c r="EB308" s="542"/>
      <c r="EC308" s="542"/>
      <c r="ED308" s="542"/>
      <c r="EE308" s="542"/>
      <c r="EF308" s="542"/>
      <c r="EG308" s="542"/>
      <c r="EH308" s="542"/>
      <c r="EI308" s="542"/>
      <c r="EJ308" s="542"/>
      <c r="EK308" s="542"/>
      <c r="EL308" s="542"/>
      <c r="EM308" s="542"/>
      <c r="EN308" s="542"/>
      <c r="EO308" s="542"/>
      <c r="EP308" s="542"/>
      <c r="EQ308" s="542"/>
      <c r="ER308" s="542"/>
      <c r="ES308" s="542"/>
      <c r="ET308" s="542"/>
      <c r="EU308" s="542"/>
      <c r="EV308" s="542"/>
      <c r="EW308" s="542"/>
      <c r="EX308" s="542"/>
      <c r="EY308" s="542"/>
      <c r="EZ308" s="542"/>
      <c r="FA308" s="542"/>
      <c r="FB308" s="542"/>
      <c r="FC308" s="542"/>
      <c r="FD308" s="542"/>
      <c r="FE308" s="542"/>
      <c r="FF308" s="542"/>
      <c r="FG308" s="542"/>
      <c r="FH308" s="542"/>
      <c r="FI308" s="542"/>
      <c r="FJ308" s="542"/>
      <c r="FK308" s="542"/>
      <c r="FL308" s="542"/>
      <c r="FM308" s="542"/>
      <c r="FN308" s="542"/>
      <c r="FO308" s="542"/>
      <c r="FP308" s="542"/>
      <c r="FQ308" s="542"/>
      <c r="FR308" s="542"/>
      <c r="FS308" s="542"/>
      <c r="FT308" s="542"/>
      <c r="FU308" s="542"/>
      <c r="FV308" s="542"/>
      <c r="FW308" s="542"/>
      <c r="FX308" s="542"/>
      <c r="FY308" s="542"/>
      <c r="FZ308" s="542"/>
      <c r="GA308" s="542"/>
      <c r="GB308" s="542"/>
      <c r="GC308" s="542"/>
      <c r="GD308" s="542"/>
      <c r="GE308" s="542"/>
      <c r="GF308" s="542"/>
      <c r="GG308" s="542"/>
      <c r="GH308" s="542"/>
      <c r="GI308" s="542"/>
      <c r="GJ308" s="542"/>
      <c r="GK308" s="542"/>
      <c r="GL308" s="542"/>
      <c r="GM308" s="542"/>
      <c r="GN308" s="542"/>
      <c r="GO308" s="542"/>
      <c r="GP308" s="542"/>
      <c r="GQ308" s="542"/>
      <c r="GR308" s="542"/>
      <c r="GS308" s="542"/>
      <c r="GT308" s="542"/>
      <c r="GU308" s="542"/>
      <c r="GV308" s="542"/>
      <c r="GW308" s="542"/>
      <c r="GX308" s="542"/>
      <c r="GY308" s="542"/>
      <c r="GZ308" s="542"/>
      <c r="HA308" s="542"/>
      <c r="HB308" s="542"/>
      <c r="HC308" s="542"/>
      <c r="HD308" s="542"/>
      <c r="HE308" s="542"/>
      <c r="HF308" s="542"/>
      <c r="HG308" s="542"/>
      <c r="HH308" s="542"/>
      <c r="HI308" s="542"/>
      <c r="HJ308" s="542"/>
      <c r="HK308" s="542"/>
      <c r="HL308" s="542"/>
      <c r="HM308" s="542"/>
      <c r="HN308" s="542"/>
      <c r="HO308" s="542"/>
      <c r="HP308" s="542"/>
      <c r="HQ308" s="542"/>
      <c r="HR308" s="542"/>
      <c r="HS308" s="542"/>
      <c r="HT308" s="542"/>
      <c r="HU308" s="542"/>
      <c r="HV308" s="542"/>
      <c r="HW308" s="542"/>
      <c r="HX308" s="542"/>
      <c r="HY308" s="542"/>
      <c r="HZ308" s="542"/>
      <c r="IA308" s="542"/>
      <c r="IB308" s="542"/>
      <c r="IC308" s="542"/>
      <c r="ID308" s="542"/>
      <c r="IE308" s="542"/>
      <c r="IF308" s="542"/>
      <c r="IG308" s="542"/>
      <c r="IH308" s="542"/>
      <c r="II308" s="542"/>
      <c r="IJ308" s="542"/>
      <c r="IK308" s="542"/>
      <c r="IL308" s="542"/>
      <c r="IM308" s="542"/>
      <c r="IN308" s="542"/>
      <c r="IO308" s="542"/>
      <c r="IP308" s="542"/>
      <c r="IQ308" s="542"/>
      <c r="IR308" s="542"/>
      <c r="IS308" s="542"/>
      <c r="IT308" s="542"/>
      <c r="IU308" s="542"/>
      <c r="IV308" s="542"/>
      <c r="IW308" s="542"/>
      <c r="IX308" s="542"/>
      <c r="IY308" s="542"/>
      <c r="IZ308" s="542"/>
      <c r="JA308" s="542"/>
      <c r="JB308" s="542"/>
    </row>
    <row r="309" spans="104:262" ht="18.899999999999999" customHeight="1">
      <c r="CZ309" s="542"/>
      <c r="DA309" s="542"/>
      <c r="DB309" s="542"/>
      <c r="DC309" s="542"/>
      <c r="DD309" s="542"/>
      <c r="DE309" s="542"/>
      <c r="DF309" s="542"/>
      <c r="DG309" s="542"/>
      <c r="DH309" s="542"/>
      <c r="DI309" s="542"/>
      <c r="DJ309" s="542"/>
      <c r="DK309" s="542"/>
      <c r="DL309" s="542"/>
      <c r="DM309" s="542"/>
      <c r="DN309" s="542"/>
      <c r="DO309" s="542"/>
      <c r="DP309" s="542"/>
      <c r="DQ309" s="542"/>
      <c r="DR309" s="542"/>
      <c r="DS309" s="542"/>
      <c r="DT309" s="542"/>
      <c r="DU309" s="542"/>
      <c r="DV309" s="542"/>
      <c r="DW309" s="542"/>
      <c r="DX309" s="542"/>
      <c r="DY309" s="542"/>
      <c r="DZ309" s="542"/>
      <c r="EA309" s="542"/>
      <c r="EB309" s="542"/>
      <c r="EC309" s="542"/>
      <c r="ED309" s="542"/>
      <c r="EE309" s="542"/>
      <c r="EF309" s="542"/>
      <c r="EG309" s="542"/>
      <c r="EH309" s="542"/>
      <c r="EI309" s="542"/>
      <c r="EJ309" s="542"/>
      <c r="EK309" s="542"/>
      <c r="EL309" s="542"/>
      <c r="EM309" s="542"/>
      <c r="EN309" s="542"/>
      <c r="EO309" s="542"/>
      <c r="EP309" s="542"/>
      <c r="EQ309" s="542"/>
      <c r="ER309" s="542"/>
      <c r="ES309" s="542"/>
      <c r="ET309" s="542"/>
      <c r="EU309" s="542"/>
      <c r="EV309" s="542"/>
      <c r="EW309" s="542"/>
      <c r="EX309" s="542"/>
      <c r="EY309" s="542"/>
      <c r="EZ309" s="542"/>
      <c r="FA309" s="542"/>
      <c r="FB309" s="542"/>
      <c r="FC309" s="542"/>
      <c r="FD309" s="542"/>
      <c r="FE309" s="542"/>
      <c r="FF309" s="542"/>
      <c r="FG309" s="542"/>
      <c r="FH309" s="542"/>
      <c r="FI309" s="542"/>
      <c r="FJ309" s="542"/>
      <c r="FK309" s="542"/>
      <c r="FL309" s="542"/>
      <c r="FM309" s="542"/>
      <c r="FN309" s="542"/>
      <c r="FO309" s="542"/>
      <c r="FP309" s="542"/>
      <c r="FQ309" s="542"/>
      <c r="FR309" s="542"/>
      <c r="FS309" s="542"/>
      <c r="FT309" s="542"/>
      <c r="FU309" s="542"/>
      <c r="FV309" s="542"/>
      <c r="FW309" s="542"/>
      <c r="FX309" s="542"/>
      <c r="FY309" s="542"/>
      <c r="FZ309" s="542"/>
      <c r="GA309" s="542"/>
      <c r="GB309" s="542"/>
      <c r="GC309" s="542"/>
      <c r="GD309" s="542"/>
      <c r="GE309" s="542"/>
      <c r="GF309" s="542"/>
      <c r="GG309" s="542"/>
      <c r="GH309" s="542"/>
      <c r="GI309" s="542"/>
      <c r="GJ309" s="542"/>
      <c r="GK309" s="542"/>
      <c r="GL309" s="542"/>
      <c r="GM309" s="542"/>
      <c r="GN309" s="542"/>
      <c r="GO309" s="542"/>
      <c r="GP309" s="542"/>
      <c r="GQ309" s="542"/>
      <c r="GR309" s="542"/>
      <c r="GS309" s="542"/>
      <c r="GT309" s="542"/>
      <c r="GU309" s="542"/>
      <c r="GV309" s="542"/>
      <c r="GW309" s="542"/>
      <c r="GX309" s="542"/>
      <c r="GY309" s="542"/>
      <c r="GZ309" s="542"/>
      <c r="HA309" s="542"/>
      <c r="HB309" s="542"/>
      <c r="HC309" s="542"/>
      <c r="HD309" s="542"/>
      <c r="HE309" s="542"/>
      <c r="HF309" s="542"/>
      <c r="HG309" s="542"/>
      <c r="HH309" s="542"/>
      <c r="HI309" s="542"/>
      <c r="HJ309" s="542"/>
      <c r="HK309" s="542"/>
      <c r="HL309" s="542"/>
      <c r="HM309" s="542"/>
      <c r="HN309" s="542"/>
      <c r="HO309" s="542"/>
      <c r="HP309" s="542"/>
      <c r="HQ309" s="542"/>
      <c r="HR309" s="542"/>
      <c r="HS309" s="542"/>
      <c r="HT309" s="542"/>
      <c r="HU309" s="542"/>
      <c r="HV309" s="542"/>
      <c r="HW309" s="542"/>
      <c r="HX309" s="542"/>
      <c r="HY309" s="542"/>
      <c r="HZ309" s="542"/>
      <c r="IA309" s="542"/>
      <c r="IB309" s="542"/>
      <c r="IC309" s="542"/>
      <c r="ID309" s="542"/>
      <c r="IE309" s="542"/>
      <c r="IF309" s="542"/>
      <c r="IG309" s="542"/>
      <c r="IH309" s="542"/>
      <c r="II309" s="542"/>
      <c r="IJ309" s="542"/>
      <c r="IK309" s="542"/>
      <c r="IL309" s="542"/>
      <c r="IM309" s="542"/>
      <c r="IN309" s="542"/>
      <c r="IO309" s="542"/>
      <c r="IP309" s="542"/>
      <c r="IQ309" s="542"/>
      <c r="IR309" s="542"/>
      <c r="IS309" s="542"/>
      <c r="IT309" s="542"/>
      <c r="IU309" s="542"/>
      <c r="IV309" s="542"/>
      <c r="IW309" s="542"/>
      <c r="IX309" s="542"/>
      <c r="IY309" s="542"/>
      <c r="IZ309" s="542"/>
      <c r="JA309" s="542"/>
      <c r="JB309" s="542"/>
    </row>
    <row r="310" spans="104:262" ht="18.899999999999999" customHeight="1">
      <c r="CZ310" s="542"/>
      <c r="DA310" s="542"/>
      <c r="DB310" s="542"/>
      <c r="DC310" s="542"/>
      <c r="DD310" s="542"/>
      <c r="DE310" s="542"/>
      <c r="DF310" s="542"/>
      <c r="DG310" s="542"/>
      <c r="DH310" s="542"/>
      <c r="DI310" s="542"/>
      <c r="DJ310" s="542"/>
      <c r="DK310" s="542"/>
      <c r="DL310" s="542"/>
      <c r="DM310" s="542"/>
      <c r="DN310" s="542"/>
      <c r="DO310" s="542"/>
      <c r="DP310" s="542"/>
      <c r="DQ310" s="542"/>
      <c r="DR310" s="542"/>
      <c r="DS310" s="542"/>
      <c r="DT310" s="542"/>
      <c r="DU310" s="542"/>
      <c r="DV310" s="542"/>
      <c r="DW310" s="542"/>
      <c r="DX310" s="542"/>
      <c r="DY310" s="542"/>
      <c r="DZ310" s="542"/>
      <c r="EA310" s="542"/>
      <c r="EB310" s="542"/>
      <c r="EC310" s="542"/>
      <c r="ED310" s="542"/>
      <c r="EE310" s="542"/>
      <c r="EF310" s="542"/>
      <c r="EG310" s="542"/>
      <c r="EH310" s="542"/>
      <c r="EI310" s="542"/>
      <c r="EJ310" s="542"/>
      <c r="EK310" s="542"/>
      <c r="EL310" s="542"/>
      <c r="EM310" s="542"/>
      <c r="EN310" s="542"/>
      <c r="EO310" s="542"/>
      <c r="EP310" s="542"/>
      <c r="EQ310" s="542"/>
      <c r="ER310" s="542"/>
      <c r="ES310" s="542"/>
      <c r="ET310" s="542"/>
      <c r="EU310" s="542"/>
      <c r="EV310" s="542"/>
      <c r="EW310" s="542"/>
      <c r="EX310" s="542"/>
      <c r="EY310" s="542"/>
      <c r="EZ310" s="542"/>
      <c r="FA310" s="542"/>
      <c r="FB310" s="542"/>
      <c r="FC310" s="542"/>
      <c r="FD310" s="542"/>
      <c r="FE310" s="542"/>
      <c r="FF310" s="542"/>
      <c r="FG310" s="542"/>
      <c r="FH310" s="542"/>
      <c r="FI310" s="542"/>
      <c r="FJ310" s="542"/>
      <c r="FK310" s="542"/>
      <c r="FL310" s="542"/>
      <c r="FM310" s="542"/>
      <c r="FN310" s="542"/>
      <c r="FO310" s="542"/>
      <c r="FP310" s="542"/>
      <c r="FQ310" s="542"/>
      <c r="FR310" s="542"/>
      <c r="FS310" s="542"/>
      <c r="FT310" s="542"/>
      <c r="FU310" s="542"/>
      <c r="FV310" s="542"/>
      <c r="FW310" s="542"/>
      <c r="FX310" s="542"/>
      <c r="FY310" s="542"/>
      <c r="FZ310" s="542"/>
      <c r="GA310" s="542"/>
      <c r="GB310" s="542"/>
      <c r="GC310" s="542"/>
      <c r="GD310" s="542"/>
      <c r="GE310" s="542"/>
      <c r="GF310" s="542"/>
      <c r="GG310" s="542"/>
      <c r="GH310" s="542"/>
      <c r="GI310" s="542"/>
      <c r="GJ310" s="542"/>
      <c r="GK310" s="542"/>
      <c r="GL310" s="542"/>
      <c r="GM310" s="542"/>
      <c r="GN310" s="542"/>
      <c r="GO310" s="542"/>
      <c r="GP310" s="542"/>
      <c r="GQ310" s="542"/>
      <c r="GR310" s="542"/>
      <c r="GS310" s="542"/>
      <c r="GT310" s="542"/>
      <c r="GU310" s="542"/>
      <c r="GV310" s="542"/>
      <c r="GW310" s="542"/>
      <c r="GX310" s="542"/>
      <c r="GY310" s="542"/>
      <c r="GZ310" s="542"/>
      <c r="HA310" s="542"/>
      <c r="HB310" s="542"/>
      <c r="HC310" s="542"/>
      <c r="HD310" s="542"/>
      <c r="HE310" s="542"/>
      <c r="HF310" s="542"/>
      <c r="HG310" s="542"/>
      <c r="HH310" s="542"/>
      <c r="HI310" s="542"/>
      <c r="HJ310" s="542"/>
      <c r="HK310" s="542"/>
      <c r="HL310" s="542"/>
      <c r="HM310" s="542"/>
      <c r="HN310" s="542"/>
      <c r="HO310" s="542"/>
      <c r="HP310" s="542"/>
      <c r="HQ310" s="542"/>
      <c r="HR310" s="542"/>
      <c r="HS310" s="542"/>
      <c r="HT310" s="542"/>
      <c r="HU310" s="542"/>
      <c r="HV310" s="542"/>
      <c r="HW310" s="542"/>
      <c r="HX310" s="542"/>
      <c r="HY310" s="542"/>
      <c r="HZ310" s="542"/>
      <c r="IA310" s="542"/>
      <c r="IB310" s="542"/>
      <c r="IC310" s="542"/>
      <c r="ID310" s="542"/>
      <c r="IE310" s="542"/>
      <c r="IF310" s="542"/>
      <c r="IG310" s="542"/>
      <c r="IH310" s="542"/>
      <c r="II310" s="542"/>
      <c r="IJ310" s="542"/>
      <c r="IK310" s="542"/>
      <c r="IL310" s="542"/>
      <c r="IM310" s="542"/>
      <c r="IN310" s="542"/>
      <c r="IO310" s="542"/>
      <c r="IP310" s="542"/>
      <c r="IQ310" s="542"/>
      <c r="IR310" s="542"/>
      <c r="IS310" s="542"/>
      <c r="IT310" s="542"/>
      <c r="IU310" s="542"/>
      <c r="IV310" s="542"/>
      <c r="IW310" s="542"/>
      <c r="IX310" s="542"/>
      <c r="IY310" s="542"/>
      <c r="IZ310" s="542"/>
      <c r="JA310" s="542"/>
      <c r="JB310" s="542"/>
    </row>
    <row r="311" spans="104:262" ht="18.899999999999999" customHeight="1">
      <c r="CZ311" s="542"/>
      <c r="DA311" s="542"/>
      <c r="DB311" s="542"/>
      <c r="DC311" s="542"/>
      <c r="DD311" s="542"/>
      <c r="DE311" s="542"/>
      <c r="DF311" s="542"/>
      <c r="DG311" s="542"/>
      <c r="DH311" s="542"/>
      <c r="DI311" s="542"/>
      <c r="DJ311" s="542"/>
      <c r="DK311" s="542"/>
      <c r="DL311" s="542"/>
      <c r="DM311" s="542"/>
      <c r="DN311" s="542"/>
      <c r="DO311" s="542"/>
      <c r="DP311" s="542"/>
      <c r="DQ311" s="542"/>
      <c r="DR311" s="542"/>
      <c r="DS311" s="542"/>
      <c r="DT311" s="542"/>
      <c r="DU311" s="542"/>
      <c r="DV311" s="542"/>
      <c r="DW311" s="542"/>
      <c r="DX311" s="542"/>
      <c r="DY311" s="542"/>
      <c r="DZ311" s="542"/>
      <c r="EA311" s="542"/>
      <c r="EB311" s="542"/>
      <c r="EC311" s="542"/>
      <c r="ED311" s="542"/>
      <c r="EE311" s="542"/>
      <c r="EF311" s="542"/>
      <c r="EG311" s="542"/>
      <c r="EH311" s="542"/>
      <c r="EI311" s="542"/>
      <c r="EJ311" s="542"/>
      <c r="EK311" s="542"/>
      <c r="EL311" s="542"/>
      <c r="EM311" s="542"/>
      <c r="EN311" s="542"/>
      <c r="EO311" s="542"/>
      <c r="EP311" s="542"/>
      <c r="EQ311" s="542"/>
      <c r="ER311" s="542"/>
      <c r="ES311" s="542"/>
      <c r="ET311" s="542"/>
      <c r="EU311" s="542"/>
      <c r="EV311" s="542"/>
      <c r="EW311" s="542"/>
      <c r="EX311" s="542"/>
      <c r="EY311" s="542"/>
      <c r="EZ311" s="542"/>
      <c r="FA311" s="542"/>
      <c r="FB311" s="542"/>
      <c r="FC311" s="542"/>
      <c r="FD311" s="542"/>
      <c r="FE311" s="542"/>
      <c r="FF311" s="542"/>
      <c r="FG311" s="542"/>
      <c r="FH311" s="542"/>
      <c r="FI311" s="542"/>
      <c r="FJ311" s="542"/>
      <c r="FK311" s="542"/>
      <c r="FL311" s="542"/>
      <c r="FM311" s="542"/>
      <c r="FN311" s="542"/>
      <c r="FO311" s="542"/>
      <c r="FP311" s="542"/>
      <c r="FQ311" s="542"/>
      <c r="FR311" s="542"/>
      <c r="FS311" s="542"/>
      <c r="FT311" s="542"/>
      <c r="FU311" s="542"/>
      <c r="FV311" s="542"/>
      <c r="FW311" s="542"/>
      <c r="FX311" s="542"/>
      <c r="FY311" s="542"/>
      <c r="FZ311" s="542"/>
      <c r="GA311" s="542"/>
      <c r="GB311" s="542"/>
      <c r="GC311" s="542"/>
      <c r="GD311" s="542"/>
      <c r="GE311" s="542"/>
      <c r="GF311" s="542"/>
      <c r="GG311" s="542"/>
      <c r="GH311" s="542"/>
      <c r="GI311" s="542"/>
      <c r="GJ311" s="542"/>
      <c r="GK311" s="542"/>
      <c r="GL311" s="542"/>
      <c r="GM311" s="542"/>
      <c r="GN311" s="542"/>
      <c r="GO311" s="542"/>
      <c r="GP311" s="542"/>
      <c r="GQ311" s="542"/>
      <c r="GR311" s="542"/>
      <c r="GS311" s="542"/>
      <c r="GT311" s="542"/>
      <c r="GU311" s="542"/>
      <c r="GV311" s="542"/>
      <c r="GW311" s="542"/>
      <c r="GX311" s="542"/>
      <c r="GY311" s="542"/>
      <c r="GZ311" s="542"/>
      <c r="HA311" s="542"/>
      <c r="HB311" s="542"/>
      <c r="HC311" s="542"/>
      <c r="HD311" s="542"/>
      <c r="HE311" s="542"/>
      <c r="HF311" s="542"/>
      <c r="HG311" s="542"/>
      <c r="HH311" s="542"/>
      <c r="HI311" s="542"/>
      <c r="HJ311" s="542"/>
      <c r="HK311" s="542"/>
      <c r="HL311" s="542"/>
      <c r="HM311" s="542"/>
      <c r="HN311" s="542"/>
      <c r="HO311" s="542"/>
      <c r="HP311" s="542"/>
      <c r="HQ311" s="542"/>
      <c r="HR311" s="542"/>
      <c r="HS311" s="542"/>
      <c r="HT311" s="542"/>
      <c r="HU311" s="542"/>
      <c r="HV311" s="542"/>
      <c r="HW311" s="542"/>
      <c r="HX311" s="542"/>
      <c r="HY311" s="542"/>
      <c r="HZ311" s="542"/>
      <c r="IA311" s="542"/>
      <c r="IB311" s="542"/>
      <c r="IC311" s="542"/>
      <c r="ID311" s="542"/>
      <c r="IE311" s="542"/>
      <c r="IF311" s="542"/>
      <c r="IG311" s="542"/>
      <c r="IH311" s="542"/>
      <c r="II311" s="542"/>
      <c r="IJ311" s="542"/>
      <c r="IK311" s="542"/>
      <c r="IL311" s="542"/>
      <c r="IM311" s="542"/>
      <c r="IN311" s="542"/>
      <c r="IO311" s="542"/>
      <c r="IP311" s="542"/>
      <c r="IQ311" s="542"/>
      <c r="IR311" s="542"/>
      <c r="IS311" s="542"/>
      <c r="IT311" s="542"/>
      <c r="IU311" s="542"/>
      <c r="IV311" s="542"/>
      <c r="IW311" s="542"/>
      <c r="IX311" s="542"/>
      <c r="IY311" s="542"/>
      <c r="IZ311" s="542"/>
      <c r="JA311" s="542"/>
      <c r="JB311" s="542"/>
    </row>
    <row r="312" spans="104:262" ht="18.899999999999999" customHeight="1">
      <c r="CZ312" s="542"/>
      <c r="DA312" s="542"/>
      <c r="DB312" s="542"/>
      <c r="DC312" s="542"/>
      <c r="DD312" s="542"/>
      <c r="DE312" s="542"/>
      <c r="DF312" s="542"/>
      <c r="DG312" s="542"/>
      <c r="DH312" s="542"/>
      <c r="DI312" s="542"/>
      <c r="DJ312" s="542"/>
      <c r="DK312" s="542"/>
      <c r="DL312" s="542"/>
      <c r="DM312" s="542"/>
      <c r="DN312" s="542"/>
      <c r="DO312" s="542"/>
      <c r="DP312" s="542"/>
      <c r="DQ312" s="542"/>
      <c r="DR312" s="542"/>
      <c r="DS312" s="542"/>
      <c r="DT312" s="542"/>
      <c r="DU312" s="542"/>
      <c r="DV312" s="542"/>
      <c r="DW312" s="542"/>
      <c r="DX312" s="542"/>
      <c r="DY312" s="542"/>
      <c r="DZ312" s="542"/>
      <c r="EA312" s="542"/>
      <c r="EB312" s="542"/>
      <c r="EC312" s="542"/>
      <c r="ED312" s="542"/>
      <c r="EE312" s="542"/>
      <c r="EF312" s="542"/>
      <c r="EG312" s="542"/>
      <c r="EH312" s="542"/>
      <c r="EI312" s="542"/>
      <c r="EJ312" s="542"/>
      <c r="EK312" s="542"/>
      <c r="EL312" s="542"/>
      <c r="EM312" s="542"/>
      <c r="EN312" s="542"/>
      <c r="EO312" s="542"/>
      <c r="EP312" s="542"/>
      <c r="EQ312" s="542"/>
      <c r="ER312" s="542"/>
      <c r="ES312" s="542"/>
      <c r="ET312" s="542"/>
      <c r="EU312" s="542"/>
      <c r="EV312" s="542"/>
      <c r="EW312" s="542"/>
      <c r="EX312" s="542"/>
      <c r="EY312" s="542"/>
      <c r="EZ312" s="542"/>
      <c r="FA312" s="542"/>
      <c r="FB312" s="542"/>
      <c r="FC312" s="542"/>
      <c r="FD312" s="542"/>
      <c r="FE312" s="542"/>
      <c r="FF312" s="542"/>
      <c r="FG312" s="542"/>
      <c r="FH312" s="542"/>
      <c r="FI312" s="542"/>
      <c r="FJ312" s="542"/>
      <c r="FK312" s="542"/>
      <c r="FL312" s="542"/>
      <c r="FM312" s="542"/>
      <c r="FN312" s="542"/>
      <c r="FO312" s="542"/>
      <c r="FP312" s="542"/>
      <c r="FQ312" s="542"/>
      <c r="FR312" s="542"/>
      <c r="FS312" s="542"/>
      <c r="FT312" s="542"/>
      <c r="FU312" s="542"/>
      <c r="FV312" s="542"/>
      <c r="FW312" s="542"/>
      <c r="FX312" s="542"/>
      <c r="FY312" s="542"/>
      <c r="FZ312" s="542"/>
      <c r="GA312" s="542"/>
      <c r="GB312" s="542"/>
      <c r="GC312" s="542"/>
      <c r="GD312" s="542"/>
      <c r="GE312" s="542"/>
      <c r="GF312" s="542"/>
      <c r="GG312" s="542"/>
      <c r="GH312" s="542"/>
      <c r="GI312" s="542"/>
      <c r="GJ312" s="542"/>
      <c r="GK312" s="542"/>
      <c r="GL312" s="542"/>
      <c r="GM312" s="542"/>
      <c r="GN312" s="542"/>
      <c r="GO312" s="542"/>
      <c r="GP312" s="542"/>
      <c r="GQ312" s="542"/>
      <c r="GR312" s="542"/>
      <c r="GS312" s="542"/>
      <c r="GT312" s="542"/>
      <c r="GU312" s="542"/>
      <c r="GV312" s="542"/>
      <c r="GW312" s="542"/>
      <c r="GX312" s="542"/>
      <c r="GY312" s="542"/>
      <c r="GZ312" s="542"/>
      <c r="HA312" s="542"/>
      <c r="HB312" s="542"/>
      <c r="HC312" s="542"/>
      <c r="HD312" s="542"/>
      <c r="HE312" s="542"/>
      <c r="HF312" s="542"/>
      <c r="HG312" s="542"/>
      <c r="HH312" s="542"/>
      <c r="HI312" s="542"/>
      <c r="HJ312" s="542"/>
      <c r="HK312" s="542"/>
      <c r="HL312" s="542"/>
      <c r="HM312" s="542"/>
      <c r="HN312" s="542"/>
      <c r="HO312" s="542"/>
      <c r="HP312" s="542"/>
      <c r="HQ312" s="542"/>
      <c r="HR312" s="542"/>
      <c r="HS312" s="542"/>
      <c r="HT312" s="542"/>
      <c r="HU312" s="542"/>
      <c r="HV312" s="542"/>
      <c r="HW312" s="542"/>
      <c r="HX312" s="542"/>
      <c r="HY312" s="542"/>
      <c r="HZ312" s="542"/>
      <c r="IA312" s="542"/>
      <c r="IB312" s="542"/>
      <c r="IC312" s="542"/>
      <c r="ID312" s="542"/>
      <c r="IE312" s="542"/>
      <c r="IF312" s="542"/>
      <c r="IG312" s="542"/>
      <c r="IH312" s="542"/>
      <c r="II312" s="542"/>
      <c r="IJ312" s="542"/>
      <c r="IK312" s="542"/>
      <c r="IL312" s="542"/>
      <c r="IM312" s="542"/>
      <c r="IN312" s="542"/>
      <c r="IO312" s="542"/>
      <c r="IP312" s="542"/>
      <c r="IQ312" s="542"/>
      <c r="IR312" s="542"/>
      <c r="IS312" s="542"/>
      <c r="IT312" s="542"/>
      <c r="IU312" s="542"/>
      <c r="IV312" s="542"/>
      <c r="IW312" s="542"/>
      <c r="IX312" s="542"/>
      <c r="IY312" s="542"/>
      <c r="IZ312" s="542"/>
      <c r="JA312" s="542"/>
      <c r="JB312" s="542"/>
    </row>
    <row r="313" spans="104:262" ht="18.899999999999999" customHeight="1">
      <c r="CZ313" s="542"/>
      <c r="DA313" s="542"/>
      <c r="DB313" s="542"/>
      <c r="DC313" s="542"/>
      <c r="DD313" s="542"/>
      <c r="DE313" s="542"/>
      <c r="DF313" s="542"/>
      <c r="DG313" s="542"/>
      <c r="DH313" s="542"/>
      <c r="DI313" s="542"/>
      <c r="DJ313" s="542"/>
      <c r="DK313" s="542"/>
      <c r="DL313" s="542"/>
      <c r="DM313" s="542"/>
      <c r="DN313" s="542"/>
      <c r="DO313" s="542"/>
      <c r="DP313" s="542"/>
      <c r="DQ313" s="542"/>
      <c r="DR313" s="542"/>
      <c r="DS313" s="542"/>
      <c r="DT313" s="542"/>
      <c r="DU313" s="542"/>
      <c r="DV313" s="542"/>
      <c r="DW313" s="542"/>
      <c r="DX313" s="542"/>
      <c r="DY313" s="542"/>
      <c r="DZ313" s="542"/>
      <c r="EA313" s="542"/>
      <c r="EB313" s="542"/>
      <c r="EC313" s="542"/>
      <c r="ED313" s="542"/>
      <c r="EE313" s="542"/>
      <c r="EF313" s="542"/>
      <c r="EG313" s="542"/>
      <c r="EH313" s="542"/>
      <c r="EI313" s="542"/>
      <c r="EJ313" s="542"/>
      <c r="EK313" s="542"/>
      <c r="EL313" s="542"/>
      <c r="EM313" s="542"/>
      <c r="EN313" s="542"/>
      <c r="EO313" s="542"/>
      <c r="EP313" s="542"/>
      <c r="EQ313" s="542"/>
      <c r="ER313" s="542"/>
      <c r="ES313" s="542"/>
      <c r="ET313" s="542"/>
      <c r="EU313" s="542"/>
      <c r="EV313" s="542"/>
      <c r="EW313" s="542"/>
      <c r="EX313" s="542"/>
      <c r="EY313" s="542"/>
      <c r="EZ313" s="542"/>
      <c r="FA313" s="542"/>
      <c r="FB313" s="542"/>
      <c r="FC313" s="542"/>
      <c r="FD313" s="542"/>
      <c r="FE313" s="542"/>
      <c r="FF313" s="542"/>
      <c r="FG313" s="542"/>
      <c r="FH313" s="542"/>
      <c r="FI313" s="542"/>
      <c r="FJ313" s="542"/>
      <c r="FK313" s="542"/>
      <c r="FL313" s="542"/>
      <c r="FM313" s="542"/>
      <c r="FN313" s="542"/>
      <c r="FO313" s="542"/>
      <c r="FP313" s="542"/>
      <c r="FQ313" s="542"/>
      <c r="FR313" s="542"/>
      <c r="FS313" s="542"/>
      <c r="FT313" s="542"/>
      <c r="FU313" s="542"/>
      <c r="FV313" s="542"/>
      <c r="FW313" s="542"/>
      <c r="FX313" s="542"/>
      <c r="FY313" s="542"/>
      <c r="FZ313" s="542"/>
      <c r="GA313" s="542"/>
      <c r="GB313" s="542"/>
      <c r="GC313" s="542"/>
      <c r="GD313" s="542"/>
      <c r="GE313" s="542"/>
      <c r="GF313" s="542"/>
      <c r="GG313" s="542"/>
      <c r="GH313" s="542"/>
      <c r="GI313" s="542"/>
      <c r="GJ313" s="542"/>
      <c r="GK313" s="542"/>
      <c r="GL313" s="542"/>
      <c r="GM313" s="542"/>
      <c r="GN313" s="542"/>
      <c r="GO313" s="542"/>
      <c r="GP313" s="542"/>
      <c r="GQ313" s="542"/>
      <c r="GR313" s="542"/>
      <c r="GS313" s="542"/>
      <c r="GT313" s="542"/>
      <c r="GU313" s="542"/>
      <c r="GV313" s="542"/>
      <c r="GW313" s="542"/>
      <c r="GX313" s="542"/>
      <c r="GY313" s="542"/>
      <c r="GZ313" s="542"/>
      <c r="HA313" s="542"/>
      <c r="HB313" s="542"/>
      <c r="HC313" s="542"/>
      <c r="HD313" s="542"/>
      <c r="HE313" s="542"/>
      <c r="HF313" s="542"/>
      <c r="HG313" s="542"/>
      <c r="HH313" s="542"/>
      <c r="HI313" s="542"/>
      <c r="HJ313" s="542"/>
      <c r="HK313" s="542"/>
      <c r="HL313" s="542"/>
      <c r="HM313" s="542"/>
      <c r="HN313" s="542"/>
      <c r="HO313" s="542"/>
      <c r="HP313" s="542"/>
      <c r="HQ313" s="542"/>
      <c r="HR313" s="542"/>
      <c r="HS313" s="542"/>
      <c r="HT313" s="542"/>
      <c r="HU313" s="542"/>
      <c r="HV313" s="542"/>
      <c r="HW313" s="542"/>
      <c r="HX313" s="542"/>
      <c r="HY313" s="542"/>
      <c r="HZ313" s="542"/>
      <c r="IA313" s="542"/>
      <c r="IB313" s="542"/>
      <c r="IC313" s="542"/>
      <c r="ID313" s="542"/>
      <c r="IE313" s="542"/>
      <c r="IF313" s="542"/>
      <c r="IG313" s="542"/>
      <c r="IH313" s="542"/>
      <c r="II313" s="542"/>
      <c r="IJ313" s="542"/>
      <c r="IK313" s="542"/>
      <c r="IL313" s="542"/>
      <c r="IM313" s="542"/>
      <c r="IN313" s="542"/>
      <c r="IO313" s="542"/>
      <c r="IP313" s="542"/>
      <c r="IQ313" s="542"/>
      <c r="IR313" s="542"/>
      <c r="IS313" s="542"/>
      <c r="IT313" s="542"/>
      <c r="IU313" s="542"/>
      <c r="IV313" s="542"/>
      <c r="IW313" s="542"/>
      <c r="IX313" s="542"/>
      <c r="IY313" s="542"/>
      <c r="IZ313" s="542"/>
      <c r="JA313" s="542"/>
      <c r="JB313" s="542"/>
    </row>
    <row r="314" spans="104:262" ht="18.899999999999999" customHeight="1">
      <c r="CZ314" s="542"/>
      <c r="DA314" s="542"/>
      <c r="DB314" s="542"/>
      <c r="DC314" s="542"/>
      <c r="DD314" s="542"/>
      <c r="DE314" s="542"/>
      <c r="DF314" s="542"/>
      <c r="DG314" s="542"/>
      <c r="DH314" s="542"/>
      <c r="DI314" s="542"/>
      <c r="DJ314" s="542"/>
      <c r="DK314" s="542"/>
      <c r="DL314" s="542"/>
      <c r="DM314" s="542"/>
      <c r="DN314" s="542"/>
      <c r="DO314" s="542"/>
      <c r="DP314" s="542"/>
      <c r="DQ314" s="542"/>
      <c r="DR314" s="542"/>
      <c r="DS314" s="542"/>
      <c r="DT314" s="542"/>
      <c r="DU314" s="542"/>
      <c r="DV314" s="542"/>
      <c r="DW314" s="542"/>
      <c r="DX314" s="542"/>
      <c r="DY314" s="542"/>
      <c r="DZ314" s="542"/>
      <c r="EA314" s="542"/>
      <c r="EB314" s="542"/>
      <c r="EC314" s="542"/>
      <c r="ED314" s="542"/>
      <c r="EE314" s="542"/>
      <c r="EF314" s="542"/>
      <c r="EG314" s="542"/>
      <c r="EH314" s="542"/>
      <c r="EI314" s="542"/>
      <c r="EJ314" s="542"/>
      <c r="EK314" s="542"/>
      <c r="EL314" s="542"/>
      <c r="EM314" s="542"/>
      <c r="EN314" s="542"/>
      <c r="EO314" s="542"/>
      <c r="EP314" s="542"/>
      <c r="EQ314" s="542"/>
      <c r="ER314" s="542"/>
      <c r="ES314" s="542"/>
      <c r="ET314" s="542"/>
      <c r="EU314" s="542"/>
      <c r="EV314" s="542"/>
      <c r="EW314" s="542"/>
      <c r="EX314" s="542"/>
      <c r="EY314" s="542"/>
      <c r="EZ314" s="542"/>
      <c r="FA314" s="542"/>
      <c r="FB314" s="542"/>
      <c r="FC314" s="542"/>
      <c r="FD314" s="542"/>
      <c r="FE314" s="542"/>
      <c r="FF314" s="542"/>
      <c r="FG314" s="542"/>
      <c r="FH314" s="542"/>
      <c r="FI314" s="542"/>
      <c r="FJ314" s="542"/>
      <c r="FK314" s="542"/>
      <c r="FL314" s="542"/>
      <c r="FM314" s="542"/>
      <c r="FN314" s="542"/>
      <c r="FO314" s="542"/>
      <c r="FP314" s="542"/>
      <c r="FQ314" s="542"/>
      <c r="FR314" s="542"/>
      <c r="FS314" s="542"/>
      <c r="FT314" s="542"/>
      <c r="FU314" s="542"/>
      <c r="FV314" s="542"/>
      <c r="FW314" s="542"/>
      <c r="FX314" s="542"/>
      <c r="FY314" s="542"/>
      <c r="FZ314" s="542"/>
      <c r="GA314" s="542"/>
      <c r="GB314" s="542"/>
      <c r="GC314" s="542"/>
      <c r="GD314" s="542"/>
      <c r="GE314" s="542"/>
      <c r="GF314" s="542"/>
      <c r="GG314" s="542"/>
      <c r="GH314" s="542"/>
      <c r="GI314" s="542"/>
      <c r="GJ314" s="542"/>
      <c r="GK314" s="542"/>
      <c r="GL314" s="542"/>
      <c r="GM314" s="542"/>
      <c r="GN314" s="542"/>
      <c r="GO314" s="542"/>
      <c r="GP314" s="542"/>
      <c r="GQ314" s="542"/>
      <c r="GR314" s="542"/>
      <c r="GS314" s="542"/>
      <c r="GT314" s="542"/>
      <c r="GU314" s="542"/>
      <c r="GV314" s="542"/>
      <c r="GW314" s="542"/>
      <c r="GX314" s="542"/>
      <c r="GY314" s="542"/>
      <c r="GZ314" s="542"/>
      <c r="HA314" s="542"/>
      <c r="HB314" s="542"/>
      <c r="HC314" s="542"/>
      <c r="HD314" s="542"/>
      <c r="HE314" s="542"/>
      <c r="HF314" s="542"/>
      <c r="HG314" s="542"/>
      <c r="HH314" s="542"/>
      <c r="HI314" s="542"/>
      <c r="HJ314" s="542"/>
      <c r="HK314" s="542"/>
      <c r="HL314" s="542"/>
      <c r="HM314" s="542"/>
      <c r="HN314" s="542"/>
      <c r="HO314" s="542"/>
      <c r="HP314" s="542"/>
      <c r="HQ314" s="542"/>
      <c r="HR314" s="542"/>
      <c r="HS314" s="542"/>
      <c r="HT314" s="542"/>
      <c r="HU314" s="542"/>
      <c r="HV314" s="542"/>
      <c r="HW314" s="542"/>
      <c r="HX314" s="542"/>
      <c r="HY314" s="542"/>
      <c r="HZ314" s="542"/>
      <c r="IA314" s="542"/>
      <c r="IB314" s="542"/>
      <c r="IC314" s="542"/>
      <c r="ID314" s="542"/>
      <c r="IE314" s="542"/>
      <c r="IF314" s="542"/>
      <c r="IG314" s="542"/>
      <c r="IH314" s="542"/>
      <c r="II314" s="542"/>
      <c r="IJ314" s="542"/>
      <c r="IK314" s="542"/>
      <c r="IL314" s="542"/>
      <c r="IM314" s="542"/>
      <c r="IN314" s="542"/>
      <c r="IO314" s="542"/>
      <c r="IP314" s="542"/>
      <c r="IQ314" s="542"/>
      <c r="IR314" s="542"/>
      <c r="IS314" s="542"/>
      <c r="IT314" s="542"/>
      <c r="IU314" s="542"/>
      <c r="IV314" s="542"/>
      <c r="IW314" s="542"/>
      <c r="IX314" s="542"/>
      <c r="IY314" s="542"/>
      <c r="IZ314" s="542"/>
      <c r="JA314" s="542"/>
      <c r="JB314" s="542"/>
    </row>
    <row r="315" spans="104:262" ht="18.899999999999999" customHeight="1">
      <c r="CZ315" s="542"/>
      <c r="DA315" s="542"/>
      <c r="DB315" s="542"/>
      <c r="DC315" s="542"/>
      <c r="DD315" s="542"/>
      <c r="DE315" s="542"/>
      <c r="DF315" s="542"/>
      <c r="DG315" s="542"/>
      <c r="DH315" s="542"/>
      <c r="DI315" s="542"/>
      <c r="DJ315" s="542"/>
      <c r="DK315" s="542"/>
      <c r="DL315" s="542"/>
      <c r="DM315" s="542"/>
      <c r="DN315" s="542"/>
      <c r="DO315" s="542"/>
      <c r="DP315" s="542"/>
      <c r="DQ315" s="542"/>
      <c r="DR315" s="542"/>
      <c r="DS315" s="542"/>
      <c r="DT315" s="542"/>
      <c r="DU315" s="542"/>
      <c r="DV315" s="542"/>
      <c r="DW315" s="542"/>
      <c r="DX315" s="542"/>
      <c r="DY315" s="542"/>
      <c r="DZ315" s="542"/>
      <c r="EA315" s="542"/>
      <c r="EB315" s="542"/>
      <c r="EC315" s="542"/>
      <c r="ED315" s="542"/>
      <c r="EE315" s="542"/>
      <c r="EF315" s="542"/>
      <c r="EG315" s="542"/>
      <c r="EH315" s="542"/>
      <c r="EI315" s="542"/>
      <c r="EJ315" s="542"/>
      <c r="EK315" s="542"/>
      <c r="EL315" s="542"/>
      <c r="EM315" s="542"/>
      <c r="EN315" s="542"/>
      <c r="EO315" s="542"/>
      <c r="EP315" s="542"/>
      <c r="EQ315" s="542"/>
      <c r="ER315" s="542"/>
      <c r="ES315" s="542"/>
      <c r="ET315" s="542"/>
      <c r="EU315" s="542"/>
      <c r="EV315" s="542"/>
      <c r="EW315" s="542"/>
      <c r="EX315" s="542"/>
      <c r="EY315" s="542"/>
      <c r="EZ315" s="542"/>
      <c r="FA315" s="542"/>
      <c r="FB315" s="542"/>
      <c r="FC315" s="542"/>
      <c r="FD315" s="542"/>
      <c r="FE315" s="542"/>
      <c r="FF315" s="542"/>
      <c r="FG315" s="542"/>
      <c r="FH315" s="542"/>
      <c r="FI315" s="542"/>
      <c r="FJ315" s="542"/>
      <c r="FK315" s="542"/>
      <c r="FL315" s="542"/>
      <c r="FM315" s="542"/>
      <c r="FN315" s="542"/>
      <c r="FO315" s="542"/>
      <c r="FP315" s="542"/>
      <c r="FQ315" s="542"/>
      <c r="FR315" s="542"/>
      <c r="FS315" s="542"/>
      <c r="FT315" s="542"/>
      <c r="FU315" s="542"/>
      <c r="FV315" s="542"/>
      <c r="FW315" s="542"/>
      <c r="FX315" s="542"/>
      <c r="FY315" s="542"/>
      <c r="FZ315" s="542"/>
      <c r="GA315" s="542"/>
      <c r="GB315" s="542"/>
      <c r="GC315" s="542"/>
      <c r="GD315" s="542"/>
      <c r="GE315" s="542"/>
      <c r="GF315" s="542"/>
      <c r="GG315" s="542"/>
      <c r="GH315" s="542"/>
      <c r="GI315" s="542"/>
      <c r="GJ315" s="542"/>
      <c r="GK315" s="542"/>
      <c r="GL315" s="542"/>
      <c r="GM315" s="542"/>
      <c r="GN315" s="542"/>
      <c r="GO315" s="542"/>
      <c r="GP315" s="542"/>
      <c r="GQ315" s="542"/>
      <c r="GR315" s="542"/>
      <c r="GS315" s="542"/>
      <c r="GT315" s="542"/>
      <c r="GU315" s="542"/>
      <c r="GV315" s="542"/>
      <c r="GW315" s="542"/>
      <c r="GX315" s="542"/>
      <c r="GY315" s="542"/>
      <c r="GZ315" s="542"/>
      <c r="HA315" s="542"/>
      <c r="HB315" s="542"/>
      <c r="HC315" s="542"/>
      <c r="HD315" s="542"/>
      <c r="HE315" s="542"/>
      <c r="HF315" s="542"/>
      <c r="HG315" s="542"/>
      <c r="HH315" s="542"/>
      <c r="HI315" s="542"/>
      <c r="HJ315" s="542"/>
      <c r="HK315" s="542"/>
      <c r="HL315" s="542"/>
      <c r="HM315" s="542"/>
      <c r="HN315" s="542"/>
      <c r="HO315" s="542"/>
      <c r="HP315" s="542"/>
      <c r="HQ315" s="542"/>
      <c r="HR315" s="542"/>
      <c r="HS315" s="542"/>
      <c r="HT315" s="542"/>
      <c r="HU315" s="542"/>
      <c r="HV315" s="542"/>
      <c r="HW315" s="542"/>
      <c r="HX315" s="542"/>
      <c r="HY315" s="542"/>
      <c r="HZ315" s="542"/>
      <c r="IA315" s="542"/>
      <c r="IB315" s="542"/>
      <c r="IC315" s="542"/>
      <c r="ID315" s="542"/>
      <c r="IE315" s="542"/>
      <c r="IF315" s="542"/>
      <c r="IG315" s="542"/>
      <c r="IH315" s="542"/>
      <c r="II315" s="542"/>
      <c r="IJ315" s="542"/>
      <c r="IK315" s="542"/>
      <c r="IL315" s="542"/>
      <c r="IM315" s="542"/>
      <c r="IN315" s="542"/>
      <c r="IO315" s="542"/>
      <c r="IP315" s="542"/>
      <c r="IQ315" s="542"/>
      <c r="IR315" s="542"/>
      <c r="IS315" s="542"/>
      <c r="IT315" s="542"/>
      <c r="IU315" s="542"/>
      <c r="IV315" s="542"/>
      <c r="IW315" s="542"/>
      <c r="IX315" s="542"/>
      <c r="IY315" s="542"/>
      <c r="IZ315" s="542"/>
      <c r="JA315" s="542"/>
      <c r="JB315" s="542"/>
    </row>
    <row r="316" spans="104:262" ht="18.899999999999999" customHeight="1">
      <c r="CZ316" s="542"/>
      <c r="DA316" s="542"/>
      <c r="DB316" s="542"/>
      <c r="DC316" s="542"/>
      <c r="DD316" s="542"/>
      <c r="DE316" s="542"/>
      <c r="DF316" s="542"/>
      <c r="DG316" s="542"/>
      <c r="DH316" s="542"/>
      <c r="DI316" s="542"/>
      <c r="DJ316" s="542"/>
      <c r="DK316" s="542"/>
      <c r="DL316" s="542"/>
      <c r="DM316" s="542"/>
      <c r="DN316" s="542"/>
      <c r="DO316" s="542"/>
      <c r="DP316" s="542"/>
      <c r="DQ316" s="542"/>
      <c r="DR316" s="542"/>
      <c r="DS316" s="542"/>
      <c r="DT316" s="542"/>
      <c r="DU316" s="542"/>
      <c r="DV316" s="542"/>
      <c r="DW316" s="542"/>
      <c r="DX316" s="542"/>
      <c r="DY316" s="542"/>
      <c r="DZ316" s="542"/>
      <c r="EA316" s="542"/>
      <c r="EB316" s="542"/>
      <c r="EC316" s="542"/>
      <c r="ED316" s="542"/>
      <c r="EE316" s="542"/>
      <c r="EF316" s="542"/>
      <c r="EG316" s="542"/>
      <c r="EH316" s="542"/>
      <c r="EI316" s="542"/>
      <c r="EJ316" s="542"/>
      <c r="EK316" s="542"/>
      <c r="EL316" s="542"/>
      <c r="EM316" s="542"/>
      <c r="EN316" s="542"/>
      <c r="EO316" s="542"/>
      <c r="EP316" s="542"/>
      <c r="EQ316" s="542"/>
      <c r="ER316" s="542"/>
      <c r="ES316" s="542"/>
      <c r="ET316" s="542"/>
      <c r="EU316" s="542"/>
      <c r="EV316" s="542"/>
      <c r="EW316" s="542"/>
      <c r="EX316" s="542"/>
      <c r="EY316" s="542"/>
      <c r="EZ316" s="542"/>
      <c r="FA316" s="542"/>
      <c r="FB316" s="542"/>
      <c r="FC316" s="542"/>
      <c r="FD316" s="542"/>
      <c r="FE316" s="542"/>
      <c r="FF316" s="542"/>
      <c r="FG316" s="542"/>
      <c r="FH316" s="542"/>
      <c r="FI316" s="542"/>
      <c r="FJ316" s="542"/>
      <c r="FK316" s="542"/>
      <c r="FL316" s="542"/>
      <c r="FM316" s="542"/>
      <c r="FN316" s="542"/>
      <c r="FO316" s="542"/>
      <c r="FP316" s="542"/>
      <c r="FQ316" s="542"/>
      <c r="FR316" s="542"/>
      <c r="FS316" s="542"/>
      <c r="FT316" s="542"/>
      <c r="FU316" s="542"/>
      <c r="FV316" s="542"/>
      <c r="FW316" s="542"/>
      <c r="FX316" s="542"/>
      <c r="FY316" s="542"/>
      <c r="FZ316" s="542"/>
      <c r="GA316" s="542"/>
      <c r="GB316" s="542"/>
      <c r="GC316" s="542"/>
      <c r="GD316" s="542"/>
      <c r="GE316" s="542"/>
      <c r="GF316" s="542"/>
      <c r="GG316" s="542"/>
      <c r="GH316" s="542"/>
      <c r="GI316" s="542"/>
      <c r="GJ316" s="542"/>
      <c r="GK316" s="542"/>
      <c r="GL316" s="542"/>
      <c r="GM316" s="542"/>
      <c r="GN316" s="542"/>
      <c r="GO316" s="542"/>
      <c r="GP316" s="542"/>
      <c r="GQ316" s="542"/>
      <c r="GR316" s="542"/>
      <c r="GS316" s="542"/>
      <c r="GT316" s="542"/>
      <c r="GU316" s="542"/>
      <c r="GV316" s="542"/>
      <c r="GW316" s="542"/>
      <c r="GX316" s="542"/>
      <c r="GY316" s="542"/>
      <c r="GZ316" s="542"/>
      <c r="HA316" s="542"/>
      <c r="HB316" s="542"/>
      <c r="HC316" s="542"/>
      <c r="HD316" s="542"/>
      <c r="HE316" s="542"/>
      <c r="HF316" s="542"/>
      <c r="HG316" s="542"/>
      <c r="HH316" s="542"/>
      <c r="HI316" s="542"/>
      <c r="HJ316" s="542"/>
      <c r="HK316" s="542"/>
      <c r="HL316" s="542"/>
      <c r="HM316" s="542"/>
      <c r="HN316" s="542"/>
      <c r="HO316" s="542"/>
      <c r="HP316" s="542"/>
      <c r="HQ316" s="542"/>
      <c r="HR316" s="542"/>
      <c r="HS316" s="542"/>
      <c r="HT316" s="542"/>
      <c r="HU316" s="542"/>
      <c r="HV316" s="542"/>
      <c r="HW316" s="542"/>
      <c r="HX316" s="542"/>
      <c r="HY316" s="542"/>
      <c r="HZ316" s="542"/>
      <c r="IA316" s="542"/>
      <c r="IB316" s="542"/>
      <c r="IC316" s="542"/>
      <c r="ID316" s="542"/>
      <c r="IE316" s="542"/>
      <c r="IF316" s="542"/>
      <c r="IG316" s="542"/>
      <c r="IH316" s="542"/>
      <c r="II316" s="542"/>
      <c r="IJ316" s="542"/>
      <c r="IK316" s="542"/>
      <c r="IL316" s="542"/>
      <c r="IM316" s="542"/>
      <c r="IN316" s="542"/>
      <c r="IO316" s="542"/>
      <c r="IP316" s="542"/>
      <c r="IQ316" s="542"/>
      <c r="IR316" s="542"/>
      <c r="IS316" s="542"/>
      <c r="IT316" s="542"/>
      <c r="IU316" s="542"/>
      <c r="IV316" s="542"/>
      <c r="IW316" s="542"/>
      <c r="IX316" s="542"/>
      <c r="IY316" s="542"/>
      <c r="IZ316" s="542"/>
      <c r="JA316" s="542"/>
      <c r="JB316" s="542"/>
    </row>
    <row r="317" spans="104:262" ht="18.899999999999999" customHeight="1">
      <c r="CZ317" s="542"/>
      <c r="DA317" s="542"/>
      <c r="DB317" s="542"/>
      <c r="DC317" s="542"/>
      <c r="DD317" s="542"/>
      <c r="DE317" s="542"/>
      <c r="DF317" s="542"/>
      <c r="DG317" s="542"/>
      <c r="DH317" s="542"/>
      <c r="DI317" s="542"/>
      <c r="DJ317" s="542"/>
      <c r="DK317" s="542"/>
      <c r="DL317" s="542"/>
      <c r="DM317" s="542"/>
      <c r="DN317" s="542"/>
      <c r="DO317" s="542"/>
      <c r="DP317" s="542"/>
      <c r="DQ317" s="542"/>
      <c r="DR317" s="542"/>
      <c r="DS317" s="542"/>
      <c r="DT317" s="542"/>
      <c r="DU317" s="542"/>
      <c r="DV317" s="542"/>
      <c r="DW317" s="542"/>
      <c r="DX317" s="542"/>
      <c r="DY317" s="542"/>
      <c r="DZ317" s="542"/>
      <c r="EA317" s="542"/>
      <c r="EB317" s="542"/>
      <c r="EC317" s="542"/>
      <c r="ED317" s="542"/>
      <c r="EE317" s="542"/>
      <c r="EF317" s="542"/>
      <c r="EG317" s="542"/>
      <c r="EH317" s="542"/>
      <c r="EI317" s="542"/>
      <c r="EJ317" s="542"/>
      <c r="EK317" s="542"/>
      <c r="EL317" s="542"/>
      <c r="EM317" s="542"/>
      <c r="EN317" s="542"/>
      <c r="EO317" s="542"/>
      <c r="EP317" s="542"/>
      <c r="EQ317" s="542"/>
      <c r="ER317" s="542"/>
      <c r="ES317" s="542"/>
      <c r="ET317" s="542"/>
      <c r="EU317" s="542"/>
      <c r="EV317" s="542"/>
      <c r="EW317" s="542"/>
      <c r="EX317" s="542"/>
      <c r="EY317" s="542"/>
      <c r="EZ317" s="542"/>
      <c r="FA317" s="542"/>
      <c r="FB317" s="542"/>
      <c r="FC317" s="542"/>
      <c r="FD317" s="542"/>
      <c r="FE317" s="542"/>
      <c r="FF317" s="542"/>
      <c r="FG317" s="542"/>
      <c r="FH317" s="542"/>
      <c r="FI317" s="542"/>
      <c r="FJ317" s="542"/>
      <c r="FK317" s="542"/>
      <c r="FL317" s="542"/>
      <c r="FM317" s="542"/>
      <c r="FN317" s="542"/>
      <c r="FO317" s="542"/>
      <c r="FP317" s="542"/>
      <c r="FQ317" s="542"/>
      <c r="FR317" s="542"/>
      <c r="FS317" s="542"/>
      <c r="FT317" s="542"/>
      <c r="FU317" s="542"/>
      <c r="FV317" s="542"/>
      <c r="FW317" s="542"/>
      <c r="FX317" s="542"/>
      <c r="FY317" s="542"/>
      <c r="FZ317" s="542"/>
      <c r="GA317" s="542"/>
      <c r="GB317" s="542"/>
      <c r="GC317" s="542"/>
      <c r="GD317" s="542"/>
      <c r="GE317" s="542"/>
      <c r="GF317" s="542"/>
      <c r="GG317" s="542"/>
      <c r="GH317" s="542"/>
      <c r="GI317" s="542"/>
      <c r="GJ317" s="542"/>
      <c r="GK317" s="542"/>
      <c r="GL317" s="542"/>
      <c r="GM317" s="542"/>
      <c r="GN317" s="542"/>
      <c r="GO317" s="542"/>
      <c r="GP317" s="542"/>
      <c r="GQ317" s="542"/>
      <c r="GR317" s="542"/>
      <c r="GS317" s="542"/>
      <c r="GT317" s="542"/>
      <c r="GU317" s="542"/>
      <c r="GV317" s="542"/>
      <c r="GW317" s="542"/>
      <c r="GX317" s="542"/>
      <c r="GY317" s="542"/>
      <c r="GZ317" s="542"/>
      <c r="HA317" s="542"/>
      <c r="HB317" s="542"/>
      <c r="HC317" s="542"/>
      <c r="HD317" s="542"/>
      <c r="HE317" s="542"/>
      <c r="HF317" s="542"/>
      <c r="HG317" s="542"/>
      <c r="HH317" s="542"/>
      <c r="HI317" s="542"/>
      <c r="HJ317" s="542"/>
      <c r="HK317" s="542"/>
      <c r="HL317" s="542"/>
      <c r="HM317" s="542"/>
      <c r="HN317" s="542"/>
      <c r="HO317" s="542"/>
      <c r="HP317" s="542"/>
      <c r="HQ317" s="542"/>
      <c r="HR317" s="542"/>
      <c r="HS317" s="542"/>
      <c r="HT317" s="542"/>
      <c r="HU317" s="542"/>
      <c r="HV317" s="542"/>
      <c r="HW317" s="542"/>
      <c r="HX317" s="542"/>
      <c r="HY317" s="542"/>
      <c r="HZ317" s="542"/>
      <c r="IA317" s="542"/>
      <c r="IB317" s="542"/>
      <c r="IC317" s="542"/>
      <c r="ID317" s="542"/>
      <c r="IE317" s="542"/>
      <c r="IF317" s="542"/>
      <c r="IG317" s="542"/>
      <c r="IH317" s="542"/>
      <c r="II317" s="542"/>
      <c r="IJ317" s="542"/>
      <c r="IK317" s="542"/>
      <c r="IL317" s="542"/>
      <c r="IM317" s="542"/>
      <c r="IN317" s="542"/>
      <c r="IO317" s="542"/>
      <c r="IP317" s="542"/>
      <c r="IQ317" s="542"/>
      <c r="IR317" s="542"/>
      <c r="IS317" s="542"/>
      <c r="IT317" s="542"/>
      <c r="IU317" s="542"/>
      <c r="IV317" s="542"/>
      <c r="IW317" s="542"/>
      <c r="IX317" s="542"/>
      <c r="IY317" s="542"/>
      <c r="IZ317" s="542"/>
      <c r="JA317" s="542"/>
      <c r="JB317" s="542"/>
    </row>
    <row r="318" spans="104:262" ht="18.899999999999999" customHeight="1">
      <c r="CZ318" s="542"/>
      <c r="DA318" s="542"/>
      <c r="DB318" s="542"/>
      <c r="DC318" s="542"/>
      <c r="DD318" s="542"/>
      <c r="DE318" s="542"/>
      <c r="DF318" s="542"/>
      <c r="DG318" s="542"/>
      <c r="DH318" s="542"/>
      <c r="DI318" s="542"/>
      <c r="DJ318" s="542"/>
      <c r="DK318" s="542"/>
      <c r="DL318" s="542"/>
      <c r="DM318" s="542"/>
      <c r="DN318" s="542"/>
      <c r="DO318" s="542"/>
      <c r="DP318" s="542"/>
      <c r="DQ318" s="542"/>
      <c r="DR318" s="542"/>
      <c r="DS318" s="542"/>
      <c r="DT318" s="542"/>
      <c r="DU318" s="542"/>
      <c r="DV318" s="542"/>
      <c r="DW318" s="542"/>
      <c r="DX318" s="542"/>
      <c r="DY318" s="542"/>
      <c r="DZ318" s="542"/>
      <c r="EA318" s="542"/>
      <c r="EB318" s="542"/>
      <c r="EC318" s="542"/>
      <c r="ED318" s="542"/>
      <c r="EE318" s="542"/>
      <c r="EF318" s="542"/>
      <c r="EG318" s="542"/>
      <c r="EH318" s="542"/>
      <c r="EI318" s="542"/>
      <c r="EJ318" s="542"/>
      <c r="EK318" s="542"/>
      <c r="EL318" s="542"/>
      <c r="EM318" s="542"/>
      <c r="EN318" s="542"/>
      <c r="EO318" s="542"/>
      <c r="EP318" s="542"/>
      <c r="EQ318" s="542"/>
      <c r="ER318" s="542"/>
      <c r="ES318" s="542"/>
      <c r="ET318" s="542"/>
      <c r="EU318" s="542"/>
      <c r="EV318" s="542"/>
      <c r="EW318" s="542"/>
      <c r="EX318" s="542"/>
      <c r="EY318" s="542"/>
      <c r="EZ318" s="542"/>
      <c r="FA318" s="542"/>
      <c r="FB318" s="542"/>
      <c r="FC318" s="542"/>
      <c r="FD318" s="542"/>
      <c r="FE318" s="542"/>
      <c r="FF318" s="542"/>
      <c r="FG318" s="542"/>
      <c r="FH318" s="542"/>
      <c r="FI318" s="542"/>
      <c r="FJ318" s="542"/>
      <c r="FK318" s="542"/>
      <c r="FL318" s="542"/>
      <c r="FM318" s="542"/>
      <c r="FN318" s="542"/>
      <c r="FO318" s="542"/>
      <c r="FP318" s="542"/>
      <c r="FQ318" s="542"/>
      <c r="FR318" s="542"/>
      <c r="FS318" s="542"/>
      <c r="FT318" s="542"/>
      <c r="FU318" s="542"/>
      <c r="FV318" s="542"/>
      <c r="FW318" s="542"/>
      <c r="FX318" s="542"/>
      <c r="FY318" s="542"/>
      <c r="FZ318" s="542"/>
      <c r="GA318" s="542"/>
      <c r="GB318" s="542"/>
      <c r="GC318" s="542"/>
      <c r="GD318" s="542"/>
      <c r="GE318" s="542"/>
      <c r="GF318" s="542"/>
      <c r="GG318" s="542"/>
      <c r="GH318" s="542"/>
      <c r="GI318" s="542"/>
      <c r="GJ318" s="542"/>
      <c r="GK318" s="542"/>
      <c r="GL318" s="542"/>
      <c r="GM318" s="542"/>
      <c r="GN318" s="542"/>
      <c r="GO318" s="542"/>
      <c r="GP318" s="542"/>
      <c r="GQ318" s="542"/>
      <c r="GR318" s="542"/>
      <c r="GS318" s="542"/>
      <c r="GT318" s="542"/>
      <c r="GU318" s="542"/>
      <c r="GV318" s="542"/>
      <c r="GW318" s="542"/>
      <c r="GX318" s="542"/>
      <c r="GY318" s="542"/>
      <c r="GZ318" s="542"/>
      <c r="HA318" s="542"/>
      <c r="HB318" s="542"/>
      <c r="HC318" s="542"/>
      <c r="HD318" s="542"/>
      <c r="HE318" s="542"/>
      <c r="HF318" s="542"/>
      <c r="HG318" s="542"/>
      <c r="HH318" s="542"/>
      <c r="HI318" s="542"/>
      <c r="HJ318" s="542"/>
      <c r="HK318" s="542"/>
      <c r="HL318" s="542"/>
      <c r="HM318" s="542"/>
      <c r="HN318" s="542"/>
      <c r="HO318" s="542"/>
      <c r="HP318" s="542"/>
      <c r="HQ318" s="542"/>
      <c r="HR318" s="542"/>
      <c r="HS318" s="542"/>
      <c r="HT318" s="542"/>
      <c r="HU318" s="542"/>
      <c r="HV318" s="542"/>
      <c r="HW318" s="542"/>
      <c r="HX318" s="542"/>
      <c r="HY318" s="542"/>
      <c r="HZ318" s="542"/>
      <c r="IA318" s="542"/>
      <c r="IB318" s="542"/>
      <c r="IC318" s="542"/>
      <c r="ID318" s="542"/>
      <c r="IE318" s="542"/>
      <c r="IF318" s="542"/>
      <c r="IG318" s="542"/>
      <c r="IH318" s="542"/>
      <c r="II318" s="542"/>
      <c r="IJ318" s="542"/>
      <c r="IK318" s="542"/>
      <c r="IL318" s="542"/>
      <c r="IM318" s="542"/>
      <c r="IN318" s="542"/>
      <c r="IO318" s="542"/>
      <c r="IP318" s="542"/>
      <c r="IQ318" s="542"/>
      <c r="IR318" s="542"/>
      <c r="IS318" s="542"/>
      <c r="IT318" s="542"/>
      <c r="IU318" s="542"/>
      <c r="IV318" s="542"/>
      <c r="IW318" s="542"/>
      <c r="IX318" s="542"/>
      <c r="IY318" s="542"/>
      <c r="IZ318" s="542"/>
      <c r="JA318" s="542"/>
      <c r="JB318" s="542"/>
    </row>
    <row r="319" spans="104:262" ht="18.899999999999999" customHeight="1">
      <c r="CZ319" s="542"/>
      <c r="DA319" s="542"/>
      <c r="DB319" s="542"/>
      <c r="DC319" s="542"/>
      <c r="DD319" s="542"/>
      <c r="DE319" s="542"/>
      <c r="DF319" s="542"/>
      <c r="DG319" s="542"/>
      <c r="DH319" s="542"/>
      <c r="DI319" s="542"/>
      <c r="DJ319" s="542"/>
      <c r="DK319" s="542"/>
      <c r="DL319" s="542"/>
      <c r="DM319" s="542"/>
      <c r="DN319" s="542"/>
      <c r="DO319" s="542"/>
      <c r="DP319" s="542"/>
      <c r="DQ319" s="542"/>
      <c r="DR319" s="542"/>
      <c r="DS319" s="542"/>
      <c r="DT319" s="542"/>
      <c r="DU319" s="542"/>
      <c r="DV319" s="542"/>
      <c r="DW319" s="542"/>
      <c r="DX319" s="542"/>
      <c r="DY319" s="542"/>
      <c r="DZ319" s="542"/>
      <c r="EA319" s="542"/>
      <c r="EB319" s="542"/>
      <c r="EC319" s="542"/>
      <c r="ED319" s="542"/>
      <c r="EE319" s="542"/>
      <c r="EF319" s="542"/>
      <c r="EG319" s="542"/>
      <c r="EH319" s="542"/>
      <c r="EI319" s="542"/>
      <c r="EJ319" s="542"/>
      <c r="EK319" s="542"/>
      <c r="EL319" s="542"/>
      <c r="EM319" s="542"/>
      <c r="EN319" s="542"/>
      <c r="EO319" s="542"/>
      <c r="EP319" s="542"/>
      <c r="EQ319" s="542"/>
      <c r="ER319" s="542"/>
      <c r="ES319" s="542"/>
      <c r="ET319" s="542"/>
      <c r="EU319" s="542"/>
      <c r="EV319" s="542"/>
      <c r="EW319" s="542"/>
      <c r="EX319" s="542"/>
      <c r="EY319" s="542"/>
      <c r="EZ319" s="542"/>
      <c r="FA319" s="542"/>
      <c r="FB319" s="542"/>
      <c r="FC319" s="542"/>
      <c r="FD319" s="542"/>
      <c r="FE319" s="542"/>
      <c r="FF319" s="542"/>
      <c r="FG319" s="542"/>
      <c r="FH319" s="542"/>
      <c r="FI319" s="542"/>
      <c r="FJ319" s="542"/>
      <c r="FK319" s="542"/>
      <c r="FL319" s="542"/>
      <c r="FM319" s="542"/>
      <c r="FN319" s="542"/>
      <c r="FO319" s="542"/>
      <c r="FP319" s="542"/>
      <c r="FQ319" s="542"/>
      <c r="FR319" s="542"/>
      <c r="FS319" s="542"/>
      <c r="FT319" s="542"/>
      <c r="FU319" s="542"/>
      <c r="FV319" s="542"/>
      <c r="FW319" s="542"/>
      <c r="FX319" s="542"/>
      <c r="FY319" s="542"/>
      <c r="FZ319" s="542"/>
      <c r="GA319" s="542"/>
      <c r="GB319" s="542"/>
      <c r="GC319" s="542"/>
      <c r="GD319" s="542"/>
      <c r="GE319" s="542"/>
      <c r="GF319" s="542"/>
      <c r="GG319" s="542"/>
      <c r="GH319" s="542"/>
      <c r="GI319" s="542"/>
      <c r="GJ319" s="542"/>
      <c r="GK319" s="542"/>
      <c r="GL319" s="542"/>
      <c r="GM319" s="542"/>
      <c r="GN319" s="542"/>
      <c r="GO319" s="542"/>
      <c r="GP319" s="542"/>
      <c r="GQ319" s="542"/>
      <c r="GR319" s="542"/>
      <c r="GS319" s="542"/>
      <c r="GT319" s="542"/>
      <c r="GU319" s="542"/>
      <c r="GV319" s="542"/>
      <c r="GW319" s="542"/>
      <c r="GX319" s="542"/>
      <c r="GY319" s="542"/>
      <c r="GZ319" s="542"/>
      <c r="HA319" s="542"/>
      <c r="HB319" s="542"/>
      <c r="HC319" s="542"/>
      <c r="HD319" s="542"/>
      <c r="HE319" s="542"/>
      <c r="HF319" s="542"/>
      <c r="HG319" s="542"/>
      <c r="HH319" s="542"/>
      <c r="HI319" s="542"/>
      <c r="HJ319" s="542"/>
      <c r="HK319" s="542"/>
      <c r="HL319" s="542"/>
      <c r="HM319" s="542"/>
      <c r="HN319" s="542"/>
      <c r="HO319" s="542"/>
      <c r="HP319" s="542"/>
      <c r="HQ319" s="542"/>
      <c r="HR319" s="542"/>
      <c r="HS319" s="542"/>
      <c r="HT319" s="542"/>
      <c r="HU319" s="542"/>
      <c r="HV319" s="542"/>
      <c r="HW319" s="542"/>
      <c r="HX319" s="542"/>
      <c r="HY319" s="542"/>
      <c r="HZ319" s="542"/>
      <c r="IA319" s="542"/>
      <c r="IB319" s="542"/>
      <c r="IC319" s="542"/>
      <c r="ID319" s="542"/>
      <c r="IE319" s="542"/>
      <c r="IF319" s="542"/>
      <c r="IG319" s="542"/>
      <c r="IH319" s="542"/>
      <c r="II319" s="542"/>
      <c r="IJ319" s="542"/>
      <c r="IK319" s="542"/>
      <c r="IL319" s="542"/>
      <c r="IM319" s="542"/>
      <c r="IN319" s="542"/>
      <c r="IO319" s="542"/>
      <c r="IP319" s="542"/>
      <c r="IQ319" s="542"/>
      <c r="IR319" s="542"/>
      <c r="IS319" s="542"/>
      <c r="IT319" s="542"/>
      <c r="IU319" s="542"/>
      <c r="IV319" s="542"/>
      <c r="IW319" s="542"/>
      <c r="IX319" s="542"/>
      <c r="IY319" s="542"/>
      <c r="IZ319" s="542"/>
      <c r="JA319" s="542"/>
      <c r="JB319" s="542"/>
    </row>
    <row r="320" spans="104:262" ht="18.899999999999999" customHeight="1">
      <c r="CZ320" s="542"/>
      <c r="DA320" s="542"/>
      <c r="DB320" s="542"/>
      <c r="DC320" s="542"/>
      <c r="DD320" s="542"/>
      <c r="DE320" s="542"/>
      <c r="DF320" s="542"/>
      <c r="DG320" s="542"/>
      <c r="DH320" s="542"/>
      <c r="DI320" s="542"/>
      <c r="DJ320" s="542"/>
      <c r="DK320" s="542"/>
      <c r="DL320" s="542"/>
      <c r="DM320" s="542"/>
      <c r="DN320" s="542"/>
      <c r="DO320" s="542"/>
      <c r="DP320" s="542"/>
      <c r="DQ320" s="542"/>
      <c r="DR320" s="542"/>
      <c r="DS320" s="542"/>
      <c r="DT320" s="542"/>
      <c r="DU320" s="542"/>
      <c r="DV320" s="542"/>
      <c r="DW320" s="542"/>
      <c r="DX320" s="542"/>
      <c r="DY320" s="542"/>
      <c r="DZ320" s="542"/>
      <c r="EA320" s="542"/>
      <c r="EB320" s="542"/>
      <c r="EC320" s="542"/>
      <c r="ED320" s="542"/>
      <c r="EE320" s="542"/>
      <c r="EF320" s="542"/>
      <c r="EG320" s="542"/>
      <c r="EH320" s="542"/>
      <c r="EI320" s="542"/>
      <c r="EJ320" s="542"/>
      <c r="EK320" s="542"/>
      <c r="EL320" s="542"/>
      <c r="EM320" s="542"/>
      <c r="EN320" s="542"/>
      <c r="EO320" s="542"/>
      <c r="EP320" s="542"/>
      <c r="EQ320" s="542"/>
      <c r="ER320" s="542"/>
      <c r="ES320" s="542"/>
      <c r="ET320" s="542"/>
      <c r="EU320" s="542"/>
      <c r="EV320" s="542"/>
      <c r="EW320" s="542"/>
      <c r="EX320" s="542"/>
      <c r="EY320" s="542"/>
      <c r="EZ320" s="542"/>
      <c r="FA320" s="542"/>
      <c r="FB320" s="542"/>
      <c r="FC320" s="542"/>
      <c r="FD320" s="542"/>
      <c r="FE320" s="542"/>
      <c r="FF320" s="542"/>
      <c r="FG320" s="542"/>
      <c r="FH320" s="542"/>
      <c r="FI320" s="542"/>
      <c r="FJ320" s="542"/>
      <c r="FK320" s="542"/>
      <c r="FL320" s="542"/>
      <c r="FM320" s="542"/>
      <c r="FN320" s="542"/>
      <c r="FO320" s="542"/>
      <c r="FP320" s="542"/>
      <c r="FQ320" s="542"/>
      <c r="FR320" s="542"/>
      <c r="FS320" s="542"/>
      <c r="FT320" s="542"/>
      <c r="FU320" s="542"/>
      <c r="FV320" s="542"/>
      <c r="FW320" s="542"/>
      <c r="FX320" s="542"/>
      <c r="FY320" s="542"/>
      <c r="FZ320" s="542"/>
      <c r="GA320" s="542"/>
      <c r="GB320" s="542"/>
      <c r="GC320" s="542"/>
      <c r="GD320" s="542"/>
      <c r="GE320" s="542"/>
      <c r="GF320" s="542"/>
      <c r="GG320" s="542"/>
      <c r="GH320" s="542"/>
      <c r="GI320" s="542"/>
      <c r="GJ320" s="542"/>
      <c r="GK320" s="542"/>
      <c r="GL320" s="542"/>
      <c r="GM320" s="542"/>
      <c r="GN320" s="542"/>
      <c r="GO320" s="542"/>
      <c r="GP320" s="542"/>
      <c r="GQ320" s="542"/>
      <c r="GR320" s="542"/>
      <c r="GS320" s="542"/>
      <c r="GT320" s="542"/>
      <c r="GU320" s="542"/>
      <c r="GV320" s="542"/>
      <c r="GW320" s="542"/>
      <c r="GX320" s="542"/>
      <c r="GY320" s="542"/>
      <c r="GZ320" s="542"/>
      <c r="HA320" s="542"/>
      <c r="HB320" s="542"/>
      <c r="HC320" s="542"/>
      <c r="HD320" s="542"/>
      <c r="HE320" s="542"/>
      <c r="HF320" s="542"/>
      <c r="HG320" s="542"/>
      <c r="HH320" s="542"/>
      <c r="HI320" s="542"/>
      <c r="HJ320" s="542"/>
      <c r="HK320" s="542"/>
      <c r="HL320" s="542"/>
      <c r="HM320" s="542"/>
      <c r="HN320" s="542"/>
      <c r="HO320" s="542"/>
      <c r="HP320" s="542"/>
      <c r="HQ320" s="542"/>
      <c r="HR320" s="542"/>
      <c r="HS320" s="542"/>
      <c r="HT320" s="542"/>
      <c r="HU320" s="542"/>
      <c r="HV320" s="542"/>
      <c r="HW320" s="542"/>
      <c r="HX320" s="542"/>
      <c r="HY320" s="542"/>
      <c r="HZ320" s="542"/>
      <c r="IA320" s="542"/>
      <c r="IB320" s="542"/>
      <c r="IC320" s="542"/>
      <c r="ID320" s="542"/>
      <c r="IE320" s="542"/>
      <c r="IF320" s="542"/>
      <c r="IG320" s="542"/>
      <c r="IH320" s="542"/>
      <c r="II320" s="542"/>
      <c r="IJ320" s="542"/>
      <c r="IK320" s="542"/>
      <c r="IL320" s="542"/>
      <c r="IM320" s="542"/>
      <c r="IN320" s="542"/>
      <c r="IO320" s="542"/>
      <c r="IP320" s="542"/>
      <c r="IQ320" s="542"/>
      <c r="IR320" s="542"/>
      <c r="IS320" s="542"/>
      <c r="IT320" s="542"/>
      <c r="IU320" s="542"/>
      <c r="IV320" s="542"/>
      <c r="IW320" s="542"/>
      <c r="IX320" s="542"/>
      <c r="IY320" s="542"/>
      <c r="IZ320" s="542"/>
      <c r="JA320" s="542"/>
      <c r="JB320" s="542"/>
    </row>
    <row r="321" spans="104:262" ht="18.899999999999999" customHeight="1">
      <c r="CZ321" s="542"/>
      <c r="DA321" s="542"/>
      <c r="DB321" s="542"/>
      <c r="DC321" s="542"/>
      <c r="DD321" s="542"/>
      <c r="DE321" s="542"/>
      <c r="DF321" s="542"/>
      <c r="DG321" s="542"/>
      <c r="DH321" s="542"/>
      <c r="DI321" s="542"/>
      <c r="DJ321" s="542"/>
      <c r="DK321" s="542"/>
      <c r="DL321" s="542"/>
      <c r="DM321" s="542"/>
      <c r="DN321" s="542"/>
      <c r="DO321" s="542"/>
      <c r="DP321" s="542"/>
      <c r="DQ321" s="542"/>
      <c r="DR321" s="542"/>
      <c r="DS321" s="542"/>
      <c r="DT321" s="542"/>
      <c r="DU321" s="542"/>
      <c r="DV321" s="542"/>
      <c r="DW321" s="542"/>
      <c r="DX321" s="542"/>
      <c r="DY321" s="542"/>
      <c r="DZ321" s="542"/>
      <c r="EA321" s="542"/>
      <c r="EB321" s="542"/>
      <c r="EC321" s="542"/>
      <c r="ED321" s="542"/>
      <c r="EE321" s="542"/>
      <c r="EF321" s="542"/>
      <c r="EG321" s="542"/>
      <c r="EH321" s="542"/>
      <c r="EI321" s="542"/>
      <c r="EJ321" s="542"/>
      <c r="EK321" s="542"/>
      <c r="EL321" s="542"/>
      <c r="EM321" s="542"/>
      <c r="EN321" s="542"/>
      <c r="EO321" s="542"/>
      <c r="EP321" s="542"/>
      <c r="EQ321" s="542"/>
      <c r="ER321" s="542"/>
      <c r="ES321" s="542"/>
      <c r="ET321" s="542"/>
      <c r="EU321" s="542"/>
      <c r="EV321" s="542"/>
      <c r="EW321" s="542"/>
      <c r="EX321" s="542"/>
      <c r="EY321" s="542"/>
      <c r="EZ321" s="542"/>
      <c r="FA321" s="542"/>
      <c r="FB321" s="542"/>
      <c r="FC321" s="542"/>
      <c r="FD321" s="542"/>
      <c r="FE321" s="542"/>
      <c r="FF321" s="542"/>
      <c r="FG321" s="542"/>
      <c r="FH321" s="542"/>
      <c r="FI321" s="542"/>
      <c r="FJ321" s="542"/>
      <c r="FK321" s="542"/>
      <c r="FL321" s="542"/>
      <c r="FM321" s="542"/>
      <c r="FN321" s="542"/>
      <c r="FO321" s="542"/>
      <c r="FP321" s="542"/>
      <c r="FQ321" s="542"/>
      <c r="FR321" s="542"/>
      <c r="FS321" s="542"/>
      <c r="FT321" s="542"/>
      <c r="FU321" s="542"/>
      <c r="FV321" s="542"/>
      <c r="FW321" s="542"/>
      <c r="FX321" s="542"/>
      <c r="FY321" s="542"/>
      <c r="FZ321" s="542"/>
      <c r="GA321" s="542"/>
      <c r="GB321" s="542"/>
      <c r="GC321" s="542"/>
      <c r="GD321" s="542"/>
      <c r="GE321" s="542"/>
      <c r="GF321" s="542"/>
      <c r="GG321" s="542"/>
      <c r="GH321" s="542"/>
      <c r="GI321" s="542"/>
      <c r="GJ321" s="542"/>
      <c r="GK321" s="542"/>
      <c r="GL321" s="542"/>
      <c r="GM321" s="542"/>
      <c r="GN321" s="542"/>
      <c r="GO321" s="542"/>
      <c r="GP321" s="542"/>
      <c r="GQ321" s="542"/>
      <c r="GR321" s="542"/>
      <c r="GS321" s="542"/>
      <c r="GT321" s="542"/>
      <c r="GU321" s="542"/>
      <c r="GV321" s="542"/>
      <c r="GW321" s="542"/>
      <c r="GX321" s="542"/>
      <c r="GY321" s="542"/>
      <c r="GZ321" s="542"/>
      <c r="HA321" s="542"/>
      <c r="HB321" s="542"/>
      <c r="HC321" s="542"/>
      <c r="HD321" s="542"/>
      <c r="HE321" s="542"/>
      <c r="HF321" s="542"/>
      <c r="HG321" s="542"/>
      <c r="HH321" s="542"/>
      <c r="HI321" s="542"/>
      <c r="HJ321" s="542"/>
      <c r="HK321" s="542"/>
      <c r="HL321" s="542"/>
      <c r="HM321" s="542"/>
      <c r="HN321" s="542"/>
      <c r="HO321" s="542"/>
      <c r="HP321" s="542"/>
      <c r="HQ321" s="542"/>
      <c r="HR321" s="542"/>
      <c r="HS321" s="542"/>
      <c r="HT321" s="542"/>
      <c r="HU321" s="542"/>
      <c r="HV321" s="542"/>
      <c r="HW321" s="542"/>
      <c r="HX321" s="542"/>
      <c r="HY321" s="542"/>
      <c r="HZ321" s="542"/>
      <c r="IA321" s="542"/>
      <c r="IB321" s="542"/>
      <c r="IC321" s="542"/>
      <c r="ID321" s="542"/>
      <c r="IE321" s="542"/>
      <c r="IF321" s="542"/>
      <c r="IG321" s="542"/>
      <c r="IH321" s="542"/>
      <c r="II321" s="542"/>
      <c r="IJ321" s="542"/>
      <c r="IK321" s="542"/>
      <c r="IL321" s="542"/>
      <c r="IM321" s="542"/>
      <c r="IN321" s="542"/>
      <c r="IO321" s="542"/>
      <c r="IP321" s="542"/>
      <c r="IQ321" s="542"/>
      <c r="IR321" s="542"/>
      <c r="IS321" s="542"/>
      <c r="IT321" s="542"/>
      <c r="IU321" s="542"/>
      <c r="IV321" s="542"/>
      <c r="IW321" s="542"/>
      <c r="IX321" s="542"/>
      <c r="IY321" s="542"/>
      <c r="IZ321" s="542"/>
      <c r="JA321" s="542"/>
      <c r="JB321" s="542"/>
    </row>
    <row r="322" spans="104:262" ht="18.899999999999999" customHeight="1">
      <c r="CZ322" s="542"/>
      <c r="DA322" s="542"/>
      <c r="DB322" s="542"/>
      <c r="DC322" s="542"/>
      <c r="DD322" s="542"/>
      <c r="DE322" s="542"/>
      <c r="DF322" s="542"/>
      <c r="DG322" s="542"/>
      <c r="DH322" s="542"/>
      <c r="DI322" s="542"/>
      <c r="DJ322" s="542"/>
      <c r="DK322" s="542"/>
      <c r="DL322" s="542"/>
      <c r="DM322" s="542"/>
      <c r="DN322" s="542"/>
      <c r="DO322" s="542"/>
      <c r="DP322" s="542"/>
      <c r="DQ322" s="542"/>
      <c r="DR322" s="542"/>
      <c r="DS322" s="542"/>
      <c r="DT322" s="542"/>
      <c r="DU322" s="542"/>
      <c r="DV322" s="542"/>
      <c r="DW322" s="542"/>
      <c r="DX322" s="542"/>
      <c r="DY322" s="542"/>
      <c r="DZ322" s="542"/>
      <c r="EA322" s="542"/>
      <c r="EB322" s="542"/>
      <c r="EC322" s="542"/>
      <c r="ED322" s="542"/>
      <c r="EE322" s="542"/>
      <c r="EF322" s="542"/>
      <c r="EG322" s="542"/>
      <c r="EH322" s="542"/>
      <c r="EI322" s="542"/>
      <c r="EJ322" s="542"/>
      <c r="EK322" s="542"/>
      <c r="EL322" s="542"/>
      <c r="EM322" s="542"/>
      <c r="EN322" s="542"/>
      <c r="EO322" s="542"/>
      <c r="EP322" s="542"/>
      <c r="EQ322" s="542"/>
      <c r="ER322" s="542"/>
      <c r="ES322" s="542"/>
      <c r="ET322" s="542"/>
      <c r="EU322" s="542"/>
      <c r="EV322" s="542"/>
      <c r="EW322" s="542"/>
      <c r="EX322" s="542"/>
      <c r="EY322" s="542"/>
      <c r="EZ322" s="542"/>
      <c r="FA322" s="542"/>
      <c r="FB322" s="542"/>
      <c r="FC322" s="542"/>
      <c r="FD322" s="542"/>
      <c r="FE322" s="542"/>
      <c r="FF322" s="542"/>
      <c r="FG322" s="542"/>
      <c r="FH322" s="542"/>
      <c r="FI322" s="542"/>
      <c r="FJ322" s="542"/>
      <c r="FK322" s="542"/>
      <c r="FL322" s="542"/>
      <c r="FM322" s="542"/>
      <c r="FN322" s="542"/>
      <c r="FO322" s="542"/>
      <c r="FP322" s="542"/>
      <c r="FQ322" s="542"/>
      <c r="FR322" s="542"/>
      <c r="FS322" s="542"/>
      <c r="FT322" s="542"/>
      <c r="FU322" s="542"/>
      <c r="FV322" s="542"/>
      <c r="FW322" s="542"/>
      <c r="FX322" s="542"/>
      <c r="FY322" s="542"/>
      <c r="FZ322" s="542"/>
      <c r="GA322" s="542"/>
      <c r="GB322" s="542"/>
      <c r="GC322" s="542"/>
      <c r="GD322" s="542"/>
      <c r="GE322" s="542"/>
      <c r="GF322" s="542"/>
      <c r="GG322" s="542"/>
      <c r="GH322" s="542"/>
      <c r="GI322" s="542"/>
      <c r="GJ322" s="542"/>
      <c r="GK322" s="542"/>
      <c r="GL322" s="542"/>
      <c r="GM322" s="542"/>
      <c r="GN322" s="542"/>
      <c r="GO322" s="542"/>
      <c r="GP322" s="542"/>
      <c r="GQ322" s="542"/>
      <c r="GR322" s="542"/>
      <c r="GS322" s="542"/>
      <c r="GT322" s="542"/>
      <c r="GU322" s="542"/>
      <c r="GV322" s="542"/>
      <c r="GW322" s="542"/>
      <c r="GX322" s="542"/>
      <c r="GY322" s="542"/>
      <c r="GZ322" s="542"/>
      <c r="HA322" s="542"/>
      <c r="HB322" s="542"/>
      <c r="HC322" s="542"/>
      <c r="HD322" s="542"/>
      <c r="HE322" s="542"/>
      <c r="HF322" s="542"/>
      <c r="HG322" s="542"/>
      <c r="HH322" s="542"/>
      <c r="HI322" s="542"/>
      <c r="HJ322" s="542"/>
      <c r="HK322" s="542"/>
      <c r="HL322" s="542"/>
      <c r="HM322" s="542"/>
      <c r="HN322" s="542"/>
      <c r="HO322" s="542"/>
      <c r="HP322" s="542"/>
      <c r="HQ322" s="542"/>
      <c r="HR322" s="542"/>
      <c r="HS322" s="542"/>
      <c r="HT322" s="542"/>
      <c r="HU322" s="542"/>
      <c r="HV322" s="542"/>
      <c r="HW322" s="542"/>
      <c r="HX322" s="542"/>
      <c r="HY322" s="542"/>
      <c r="HZ322" s="542"/>
      <c r="IA322" s="542"/>
      <c r="IB322" s="542"/>
      <c r="IC322" s="542"/>
      <c r="ID322" s="542"/>
      <c r="IE322" s="542"/>
      <c r="IF322" s="542"/>
      <c r="IG322" s="542"/>
      <c r="IH322" s="542"/>
      <c r="II322" s="542"/>
      <c r="IJ322" s="542"/>
      <c r="IK322" s="542"/>
      <c r="IL322" s="542"/>
      <c r="IM322" s="542"/>
      <c r="IN322" s="542"/>
      <c r="IO322" s="542"/>
      <c r="IP322" s="542"/>
      <c r="IQ322" s="542"/>
      <c r="IR322" s="542"/>
      <c r="IS322" s="542"/>
      <c r="IT322" s="542"/>
      <c r="IU322" s="542"/>
      <c r="IV322" s="542"/>
      <c r="IW322" s="542"/>
      <c r="IX322" s="542"/>
      <c r="IY322" s="542"/>
      <c r="IZ322" s="542"/>
      <c r="JA322" s="542"/>
      <c r="JB322" s="542"/>
    </row>
    <row r="323" spans="104:262" ht="18.899999999999999" customHeight="1">
      <c r="CZ323" s="542"/>
      <c r="DA323" s="542"/>
      <c r="DB323" s="542"/>
      <c r="DC323" s="542"/>
      <c r="DD323" s="542"/>
      <c r="DE323" s="542"/>
      <c r="DF323" s="542"/>
      <c r="DG323" s="542"/>
      <c r="DH323" s="542"/>
      <c r="DI323" s="542"/>
      <c r="DJ323" s="542"/>
      <c r="DK323" s="542"/>
      <c r="DL323" s="542"/>
      <c r="DM323" s="542"/>
      <c r="DN323" s="542"/>
      <c r="DO323" s="542"/>
      <c r="DP323" s="542"/>
      <c r="DQ323" s="542"/>
      <c r="DR323" s="542"/>
      <c r="DS323" s="542"/>
      <c r="DT323" s="542"/>
      <c r="DU323" s="542"/>
      <c r="DV323" s="542"/>
      <c r="DW323" s="542"/>
      <c r="DX323" s="542"/>
      <c r="DY323" s="542"/>
      <c r="DZ323" s="542"/>
      <c r="EA323" s="542"/>
      <c r="EB323" s="542"/>
      <c r="EC323" s="542"/>
      <c r="ED323" s="542"/>
      <c r="EE323" s="542"/>
      <c r="EF323" s="542"/>
      <c r="EG323" s="542"/>
      <c r="EH323" s="542"/>
      <c r="EI323" s="542"/>
      <c r="EJ323" s="542"/>
      <c r="EK323" s="542"/>
      <c r="EL323" s="542"/>
      <c r="EM323" s="542"/>
      <c r="EN323" s="542"/>
      <c r="EO323" s="542"/>
      <c r="EP323" s="542"/>
      <c r="EQ323" s="542"/>
      <c r="ER323" s="542"/>
      <c r="ES323" s="542"/>
      <c r="ET323" s="542"/>
      <c r="EU323" s="542"/>
      <c r="EV323" s="542"/>
      <c r="EW323" s="542"/>
      <c r="EX323" s="542"/>
      <c r="EY323" s="542"/>
      <c r="EZ323" s="542"/>
      <c r="FA323" s="542"/>
      <c r="FB323" s="542"/>
      <c r="FC323" s="542"/>
      <c r="FD323" s="542"/>
      <c r="FE323" s="542"/>
      <c r="FF323" s="542"/>
      <c r="FG323" s="542"/>
      <c r="FH323" s="542"/>
      <c r="FI323" s="542"/>
      <c r="FJ323" s="542"/>
      <c r="FK323" s="542"/>
      <c r="FL323" s="542"/>
      <c r="FM323" s="542"/>
      <c r="FN323" s="542"/>
      <c r="FO323" s="542"/>
      <c r="FP323" s="542"/>
      <c r="FQ323" s="542"/>
      <c r="FR323" s="542"/>
      <c r="FS323" s="542"/>
      <c r="FT323" s="542"/>
      <c r="FU323" s="542"/>
      <c r="FV323" s="542"/>
      <c r="FW323" s="542"/>
      <c r="FX323" s="542"/>
      <c r="FY323" s="542"/>
      <c r="FZ323" s="542"/>
      <c r="GA323" s="542"/>
      <c r="GB323" s="542"/>
      <c r="GC323" s="542"/>
      <c r="GD323" s="542"/>
      <c r="GE323" s="542"/>
      <c r="GF323" s="542"/>
      <c r="GG323" s="542"/>
      <c r="GH323" s="542"/>
      <c r="GI323" s="542"/>
      <c r="GJ323" s="542"/>
      <c r="GK323" s="542"/>
      <c r="GL323" s="542"/>
      <c r="GM323" s="542"/>
      <c r="GN323" s="542"/>
      <c r="GO323" s="542"/>
      <c r="GP323" s="542"/>
      <c r="GQ323" s="542"/>
      <c r="GR323" s="542"/>
      <c r="GS323" s="542"/>
      <c r="GT323" s="542"/>
      <c r="GU323" s="542"/>
      <c r="GV323" s="542"/>
      <c r="GW323" s="542"/>
      <c r="GX323" s="542"/>
      <c r="GY323" s="542"/>
      <c r="GZ323" s="542"/>
      <c r="HA323" s="542"/>
      <c r="HB323" s="542"/>
      <c r="HC323" s="542"/>
      <c r="HD323" s="542"/>
      <c r="HE323" s="542"/>
      <c r="HF323" s="542"/>
      <c r="HG323" s="542"/>
      <c r="HH323" s="542"/>
      <c r="HI323" s="542"/>
      <c r="HJ323" s="542"/>
      <c r="HK323" s="542"/>
      <c r="HL323" s="542"/>
      <c r="HM323" s="542"/>
      <c r="HN323" s="542"/>
      <c r="HO323" s="542"/>
      <c r="HP323" s="542"/>
      <c r="HQ323" s="542"/>
      <c r="HR323" s="542"/>
      <c r="HS323" s="542"/>
      <c r="HT323" s="542"/>
      <c r="HU323" s="542"/>
      <c r="HV323" s="542"/>
      <c r="HW323" s="542"/>
      <c r="HX323" s="542"/>
      <c r="HY323" s="542"/>
      <c r="HZ323" s="542"/>
      <c r="IA323" s="542"/>
      <c r="IB323" s="542"/>
      <c r="IC323" s="542"/>
      <c r="ID323" s="542"/>
      <c r="IE323" s="542"/>
      <c r="IF323" s="542"/>
      <c r="IG323" s="542"/>
      <c r="IH323" s="542"/>
      <c r="II323" s="542"/>
      <c r="IJ323" s="542"/>
      <c r="IK323" s="542"/>
      <c r="IL323" s="542"/>
      <c r="IM323" s="542"/>
      <c r="IN323" s="542"/>
      <c r="IO323" s="542"/>
      <c r="IP323" s="542"/>
      <c r="IQ323" s="542"/>
      <c r="IR323" s="542"/>
      <c r="IS323" s="542"/>
      <c r="IT323" s="542"/>
      <c r="IU323" s="542"/>
      <c r="IV323" s="542"/>
      <c r="IW323" s="542"/>
      <c r="IX323" s="542"/>
      <c r="IY323" s="542"/>
      <c r="IZ323" s="542"/>
      <c r="JA323" s="542"/>
      <c r="JB323" s="542"/>
    </row>
    <row r="324" spans="104:262" ht="18.899999999999999" customHeight="1">
      <c r="CZ324" s="542"/>
      <c r="DA324" s="542"/>
      <c r="DB324" s="542"/>
      <c r="DC324" s="542"/>
      <c r="DD324" s="542"/>
      <c r="DE324" s="542"/>
      <c r="DF324" s="542"/>
      <c r="DG324" s="542"/>
      <c r="DH324" s="542"/>
      <c r="DI324" s="542"/>
      <c r="DJ324" s="542"/>
      <c r="DK324" s="542"/>
      <c r="DL324" s="542"/>
      <c r="DM324" s="542"/>
      <c r="DN324" s="542"/>
      <c r="DO324" s="542"/>
      <c r="DP324" s="542"/>
      <c r="DQ324" s="542"/>
      <c r="DR324" s="542"/>
      <c r="DS324" s="542"/>
      <c r="DT324" s="542"/>
      <c r="DU324" s="542"/>
      <c r="DV324" s="542"/>
      <c r="DW324" s="542"/>
      <c r="DX324" s="542"/>
      <c r="DY324" s="542"/>
      <c r="DZ324" s="542"/>
      <c r="EA324" s="542"/>
      <c r="EB324" s="542"/>
      <c r="EC324" s="542"/>
      <c r="ED324" s="542"/>
      <c r="EE324" s="542"/>
      <c r="EF324" s="542"/>
      <c r="EG324" s="542"/>
      <c r="EH324" s="542"/>
      <c r="EI324" s="542"/>
      <c r="EJ324" s="542"/>
      <c r="EK324" s="542"/>
      <c r="EL324" s="542"/>
      <c r="EM324" s="542"/>
      <c r="EN324" s="542"/>
      <c r="EO324" s="542"/>
      <c r="EP324" s="542"/>
      <c r="EQ324" s="542"/>
      <c r="ER324" s="542"/>
      <c r="ES324" s="542"/>
      <c r="ET324" s="542"/>
      <c r="EU324" s="542"/>
      <c r="EV324" s="542"/>
      <c r="EW324" s="542"/>
      <c r="EX324" s="542"/>
      <c r="EY324" s="542"/>
      <c r="EZ324" s="542"/>
      <c r="FA324" s="542"/>
      <c r="FB324" s="542"/>
      <c r="FC324" s="542"/>
      <c r="FD324" s="542"/>
      <c r="FE324" s="542"/>
      <c r="FF324" s="542"/>
      <c r="FG324" s="542"/>
      <c r="FH324" s="542"/>
      <c r="FI324" s="542"/>
      <c r="FJ324" s="542"/>
      <c r="FK324" s="542"/>
      <c r="FL324" s="542"/>
      <c r="FM324" s="542"/>
      <c r="FN324" s="542"/>
      <c r="FO324" s="542"/>
      <c r="FP324" s="542"/>
      <c r="FQ324" s="542"/>
      <c r="FR324" s="542"/>
      <c r="FS324" s="542"/>
      <c r="FT324" s="542"/>
      <c r="FU324" s="542"/>
      <c r="FV324" s="542"/>
      <c r="FW324" s="542"/>
      <c r="FX324" s="542"/>
      <c r="FY324" s="542"/>
      <c r="FZ324" s="542"/>
      <c r="GA324" s="542"/>
      <c r="GB324" s="542"/>
      <c r="GC324" s="542"/>
      <c r="GD324" s="542"/>
      <c r="GE324" s="542"/>
      <c r="GF324" s="542"/>
      <c r="GG324" s="542"/>
      <c r="GH324" s="542"/>
      <c r="GI324" s="542"/>
      <c r="GJ324" s="542"/>
      <c r="GK324" s="542"/>
      <c r="GL324" s="542"/>
      <c r="GM324" s="542"/>
      <c r="GN324" s="542"/>
      <c r="GO324" s="542"/>
      <c r="GP324" s="542"/>
      <c r="GQ324" s="542"/>
      <c r="GR324" s="542"/>
      <c r="GS324" s="542"/>
      <c r="GT324" s="542"/>
      <c r="GU324" s="542"/>
      <c r="GV324" s="542"/>
      <c r="GW324" s="542"/>
      <c r="GX324" s="542"/>
      <c r="GY324" s="542"/>
      <c r="GZ324" s="542"/>
      <c r="HA324" s="542"/>
      <c r="HB324" s="542"/>
      <c r="HC324" s="542"/>
      <c r="HD324" s="542"/>
      <c r="HE324" s="542"/>
      <c r="HF324" s="542"/>
      <c r="HG324" s="542"/>
      <c r="HH324" s="542"/>
      <c r="HI324" s="542"/>
      <c r="HJ324" s="542"/>
      <c r="HK324" s="542"/>
      <c r="HL324" s="542"/>
      <c r="HM324" s="542"/>
      <c r="HN324" s="542"/>
      <c r="HO324" s="542"/>
      <c r="HP324" s="542"/>
      <c r="HQ324" s="542"/>
      <c r="HR324" s="542"/>
      <c r="HS324" s="542"/>
      <c r="HT324" s="542"/>
      <c r="HU324" s="542"/>
      <c r="HV324" s="542"/>
      <c r="HW324" s="542"/>
      <c r="HX324" s="542"/>
      <c r="HY324" s="542"/>
      <c r="HZ324" s="542"/>
      <c r="IA324" s="542"/>
      <c r="IB324" s="542"/>
      <c r="IC324" s="542"/>
      <c r="ID324" s="542"/>
      <c r="IE324" s="542"/>
      <c r="IF324" s="542"/>
      <c r="IG324" s="542"/>
      <c r="IH324" s="542"/>
      <c r="II324" s="542"/>
      <c r="IJ324" s="542"/>
      <c r="IK324" s="542"/>
      <c r="IL324" s="542"/>
      <c r="IM324" s="542"/>
      <c r="IN324" s="542"/>
      <c r="IO324" s="542"/>
      <c r="IP324" s="542"/>
      <c r="IQ324" s="542"/>
      <c r="IR324" s="542"/>
      <c r="IS324" s="542"/>
      <c r="IT324" s="542"/>
      <c r="IU324" s="542"/>
      <c r="IV324" s="542"/>
      <c r="IW324" s="542"/>
      <c r="IX324" s="542"/>
      <c r="IY324" s="542"/>
      <c r="IZ324" s="542"/>
      <c r="JA324" s="542"/>
      <c r="JB324" s="542"/>
    </row>
    <row r="325" spans="104:262" ht="18.899999999999999" customHeight="1">
      <c r="CZ325" s="542"/>
      <c r="DA325" s="542"/>
      <c r="DB325" s="542"/>
      <c r="DC325" s="542"/>
      <c r="DD325" s="542"/>
      <c r="DE325" s="542"/>
      <c r="DF325" s="542"/>
      <c r="DG325" s="542"/>
      <c r="DH325" s="542"/>
      <c r="DI325" s="542"/>
      <c r="DJ325" s="542"/>
      <c r="DK325" s="542"/>
      <c r="DL325" s="542"/>
      <c r="DM325" s="542"/>
      <c r="DN325" s="542"/>
      <c r="DO325" s="542"/>
      <c r="DP325" s="542"/>
      <c r="DQ325" s="542"/>
      <c r="DR325" s="542"/>
      <c r="DS325" s="542"/>
      <c r="DT325" s="542"/>
      <c r="DU325" s="542"/>
      <c r="DV325" s="542"/>
      <c r="DW325" s="542"/>
      <c r="DX325" s="542"/>
      <c r="DY325" s="542"/>
      <c r="DZ325" s="542"/>
      <c r="EA325" s="542"/>
      <c r="EB325" s="542"/>
      <c r="EC325" s="542"/>
      <c r="ED325" s="542"/>
      <c r="EE325" s="542"/>
      <c r="EF325" s="542"/>
      <c r="EG325" s="542"/>
      <c r="EH325" s="542"/>
      <c r="EI325" s="542"/>
      <c r="EJ325" s="542"/>
      <c r="EK325" s="542"/>
      <c r="EL325" s="542"/>
      <c r="EM325" s="542"/>
      <c r="EN325" s="542"/>
      <c r="EO325" s="542"/>
      <c r="EP325" s="542"/>
      <c r="EQ325" s="542"/>
      <c r="ER325" s="542"/>
      <c r="ES325" s="542"/>
      <c r="ET325" s="542"/>
      <c r="EU325" s="542"/>
      <c r="EV325" s="542"/>
      <c r="EW325" s="542"/>
      <c r="EX325" s="542"/>
      <c r="EY325" s="542"/>
      <c r="EZ325" s="542"/>
      <c r="FA325" s="542"/>
      <c r="FB325" s="542"/>
      <c r="FC325" s="542"/>
      <c r="FD325" s="542"/>
      <c r="FE325" s="542"/>
      <c r="FF325" s="542"/>
      <c r="FG325" s="542"/>
      <c r="FH325" s="542"/>
      <c r="FI325" s="542"/>
      <c r="FJ325" s="542"/>
      <c r="FK325" s="542"/>
      <c r="FL325" s="542"/>
      <c r="FM325" s="542"/>
      <c r="FN325" s="542"/>
      <c r="FO325" s="542"/>
      <c r="FP325" s="542"/>
      <c r="FQ325" s="542"/>
      <c r="FR325" s="542"/>
      <c r="FS325" s="542"/>
      <c r="FT325" s="542"/>
      <c r="FU325" s="542"/>
      <c r="FV325" s="542"/>
      <c r="FW325" s="542"/>
      <c r="FX325" s="542"/>
      <c r="FY325" s="542"/>
      <c r="FZ325" s="542"/>
      <c r="GA325" s="542"/>
      <c r="GB325" s="542"/>
      <c r="GC325" s="542"/>
      <c r="GD325" s="542"/>
      <c r="GE325" s="542"/>
      <c r="GF325" s="542"/>
      <c r="GG325" s="542"/>
      <c r="GH325" s="542"/>
      <c r="GI325" s="542"/>
      <c r="GJ325" s="542"/>
      <c r="GK325" s="542"/>
      <c r="GL325" s="542"/>
      <c r="GM325" s="542"/>
      <c r="GN325" s="542"/>
      <c r="GO325" s="542"/>
      <c r="GP325" s="542"/>
      <c r="GQ325" s="542"/>
      <c r="GR325" s="542"/>
      <c r="GS325" s="542"/>
      <c r="GT325" s="542"/>
      <c r="GU325" s="542"/>
      <c r="GV325" s="542"/>
      <c r="GW325" s="542"/>
      <c r="GX325" s="542"/>
      <c r="GY325" s="542"/>
      <c r="GZ325" s="542"/>
      <c r="HA325" s="542"/>
      <c r="HB325" s="542"/>
      <c r="HC325" s="542"/>
      <c r="HD325" s="542"/>
      <c r="HE325" s="542"/>
      <c r="HF325" s="542"/>
      <c r="HG325" s="542"/>
      <c r="HH325" s="542"/>
      <c r="HI325" s="542"/>
      <c r="HJ325" s="542"/>
      <c r="HK325" s="542"/>
      <c r="HL325" s="542"/>
      <c r="HM325" s="542"/>
      <c r="HN325" s="542"/>
      <c r="HO325" s="542"/>
      <c r="HP325" s="542"/>
      <c r="HQ325" s="542"/>
      <c r="HR325" s="542"/>
      <c r="HS325" s="542"/>
      <c r="HT325" s="542"/>
      <c r="HU325" s="542"/>
      <c r="HV325" s="542"/>
      <c r="HW325" s="542"/>
      <c r="HX325" s="542"/>
      <c r="HY325" s="542"/>
      <c r="HZ325" s="542"/>
      <c r="IA325" s="542"/>
      <c r="IB325" s="542"/>
      <c r="IC325" s="542"/>
      <c r="ID325" s="542"/>
      <c r="IE325" s="542"/>
      <c r="IF325" s="542"/>
      <c r="IG325" s="542"/>
      <c r="IH325" s="542"/>
      <c r="II325" s="542"/>
      <c r="IJ325" s="542"/>
      <c r="IK325" s="542"/>
      <c r="IL325" s="542"/>
      <c r="IM325" s="542"/>
      <c r="IN325" s="542"/>
      <c r="IO325" s="542"/>
      <c r="IP325" s="542"/>
      <c r="IQ325" s="542"/>
      <c r="IR325" s="542"/>
      <c r="IS325" s="542"/>
      <c r="IT325" s="542"/>
      <c r="IU325" s="542"/>
      <c r="IV325" s="542"/>
      <c r="IW325" s="542"/>
      <c r="IX325" s="542"/>
      <c r="IY325" s="542"/>
      <c r="IZ325" s="542"/>
      <c r="JA325" s="542"/>
      <c r="JB325" s="542"/>
    </row>
    <row r="326" spans="104:262" ht="18.899999999999999" customHeight="1">
      <c r="CZ326" s="542"/>
      <c r="DA326" s="542"/>
      <c r="DB326" s="542"/>
      <c r="DC326" s="542"/>
      <c r="DD326" s="542"/>
      <c r="DE326" s="542"/>
      <c r="DF326" s="542"/>
      <c r="DG326" s="542"/>
      <c r="DH326" s="542"/>
      <c r="DI326" s="542"/>
      <c r="DJ326" s="542"/>
      <c r="DK326" s="542"/>
      <c r="DL326" s="542"/>
      <c r="DM326" s="542"/>
      <c r="DN326" s="542"/>
      <c r="DO326" s="542"/>
      <c r="DP326" s="542"/>
      <c r="DQ326" s="542"/>
      <c r="DR326" s="542"/>
      <c r="DS326" s="542"/>
      <c r="DT326" s="542"/>
      <c r="DU326" s="542"/>
      <c r="DV326" s="542"/>
      <c r="DW326" s="542"/>
      <c r="DX326" s="542"/>
      <c r="DY326" s="542"/>
      <c r="DZ326" s="542"/>
      <c r="EA326" s="542"/>
      <c r="EB326" s="542"/>
      <c r="EC326" s="542"/>
      <c r="ED326" s="542"/>
      <c r="EE326" s="542"/>
      <c r="EF326" s="542"/>
      <c r="EG326" s="542"/>
      <c r="EH326" s="542"/>
      <c r="EI326" s="542"/>
      <c r="EJ326" s="542"/>
      <c r="EK326" s="542"/>
      <c r="EL326" s="542"/>
      <c r="EM326" s="542"/>
      <c r="EN326" s="542"/>
      <c r="EO326" s="542"/>
      <c r="EP326" s="542"/>
      <c r="EQ326" s="542"/>
      <c r="ER326" s="542"/>
      <c r="ES326" s="542"/>
      <c r="ET326" s="542"/>
      <c r="EU326" s="542"/>
      <c r="EV326" s="542"/>
      <c r="EW326" s="542"/>
      <c r="EX326" s="542"/>
      <c r="EY326" s="542"/>
      <c r="EZ326" s="542"/>
      <c r="FA326" s="542"/>
      <c r="FB326" s="542"/>
      <c r="FC326" s="542"/>
      <c r="FD326" s="542"/>
      <c r="FE326" s="542"/>
      <c r="FF326" s="542"/>
      <c r="FG326" s="542"/>
      <c r="FH326" s="542"/>
      <c r="FI326" s="542"/>
      <c r="FJ326" s="542"/>
      <c r="FK326" s="542"/>
      <c r="FL326" s="542"/>
      <c r="FM326" s="542"/>
      <c r="FN326" s="542"/>
      <c r="FO326" s="542"/>
      <c r="FP326" s="542"/>
      <c r="FQ326" s="542"/>
      <c r="FR326" s="542"/>
      <c r="FS326" s="542"/>
      <c r="FT326" s="542"/>
      <c r="FU326" s="542"/>
      <c r="FV326" s="542"/>
      <c r="FW326" s="542"/>
      <c r="FX326" s="542"/>
      <c r="FY326" s="542"/>
      <c r="FZ326" s="542"/>
      <c r="GA326" s="542"/>
      <c r="GB326" s="542"/>
      <c r="GC326" s="542"/>
      <c r="GD326" s="542"/>
      <c r="GE326" s="542"/>
      <c r="GF326" s="542"/>
      <c r="GG326" s="542"/>
      <c r="GH326" s="542"/>
      <c r="GI326" s="542"/>
      <c r="GJ326" s="542"/>
      <c r="GK326" s="542"/>
      <c r="GL326" s="542"/>
      <c r="GM326" s="542"/>
      <c r="GN326" s="542"/>
      <c r="GO326" s="542"/>
      <c r="GP326" s="542"/>
      <c r="GQ326" s="542"/>
      <c r="GR326" s="542"/>
      <c r="GS326" s="542"/>
      <c r="GT326" s="542"/>
      <c r="GU326" s="542"/>
      <c r="GV326" s="542"/>
      <c r="GW326" s="542"/>
      <c r="GX326" s="542"/>
      <c r="GY326" s="542"/>
      <c r="GZ326" s="542"/>
      <c r="HA326" s="542"/>
      <c r="HB326" s="542"/>
      <c r="HC326" s="542"/>
      <c r="HD326" s="542"/>
      <c r="HE326" s="542"/>
      <c r="HF326" s="542"/>
      <c r="HG326" s="542"/>
      <c r="HH326" s="542"/>
      <c r="HI326" s="542"/>
      <c r="HJ326" s="542"/>
      <c r="HK326" s="542"/>
      <c r="HL326" s="542"/>
      <c r="HM326" s="542"/>
      <c r="HN326" s="542"/>
      <c r="HO326" s="542"/>
      <c r="HP326" s="542"/>
      <c r="HQ326" s="542"/>
      <c r="HR326" s="542"/>
      <c r="HS326" s="542"/>
      <c r="HT326" s="542"/>
      <c r="HU326" s="542"/>
      <c r="HV326" s="542"/>
      <c r="HW326" s="542"/>
      <c r="HX326" s="542"/>
      <c r="HY326" s="542"/>
      <c r="HZ326" s="542"/>
      <c r="IA326" s="542"/>
      <c r="IB326" s="542"/>
      <c r="IC326" s="542"/>
      <c r="ID326" s="542"/>
      <c r="IE326" s="542"/>
      <c r="IF326" s="542"/>
      <c r="IG326" s="542"/>
      <c r="IH326" s="542"/>
      <c r="II326" s="542"/>
      <c r="IJ326" s="542"/>
      <c r="IK326" s="542"/>
      <c r="IL326" s="542"/>
      <c r="IM326" s="542"/>
      <c r="IN326" s="542"/>
      <c r="IO326" s="542"/>
      <c r="IP326" s="542"/>
      <c r="IQ326" s="542"/>
      <c r="IR326" s="542"/>
      <c r="IS326" s="542"/>
      <c r="IT326" s="542"/>
      <c r="IU326" s="542"/>
      <c r="IV326" s="542"/>
      <c r="IW326" s="542"/>
      <c r="IX326" s="542"/>
      <c r="IY326" s="542"/>
      <c r="IZ326" s="542"/>
      <c r="JA326" s="542"/>
      <c r="JB326" s="542"/>
    </row>
    <row r="327" spans="104:262" ht="18.899999999999999" customHeight="1">
      <c r="CZ327" s="542"/>
      <c r="DA327" s="542"/>
      <c r="DB327" s="542"/>
      <c r="DC327" s="542"/>
      <c r="DD327" s="542"/>
      <c r="DE327" s="542"/>
      <c r="DF327" s="542"/>
      <c r="DG327" s="542"/>
      <c r="DH327" s="542"/>
      <c r="DI327" s="542"/>
      <c r="DJ327" s="542"/>
      <c r="DK327" s="542"/>
      <c r="DL327" s="542"/>
      <c r="DM327" s="542"/>
      <c r="DN327" s="542"/>
      <c r="DO327" s="542"/>
      <c r="DP327" s="542"/>
      <c r="DQ327" s="542"/>
      <c r="DR327" s="542"/>
      <c r="DS327" s="542"/>
      <c r="DT327" s="542"/>
      <c r="DU327" s="542"/>
      <c r="DV327" s="542"/>
      <c r="DW327" s="542"/>
      <c r="DX327" s="542"/>
      <c r="DY327" s="542"/>
      <c r="DZ327" s="542"/>
      <c r="EA327" s="542"/>
      <c r="EB327" s="542"/>
      <c r="EC327" s="542"/>
      <c r="ED327" s="542"/>
      <c r="EE327" s="542"/>
      <c r="EF327" s="542"/>
      <c r="EG327" s="542"/>
      <c r="EH327" s="542"/>
      <c r="EI327" s="542"/>
      <c r="EJ327" s="542"/>
      <c r="EK327" s="542"/>
      <c r="EL327" s="542"/>
      <c r="EM327" s="542"/>
      <c r="EN327" s="542"/>
      <c r="EO327" s="542"/>
      <c r="EP327" s="542"/>
      <c r="EQ327" s="542"/>
      <c r="ER327" s="542"/>
      <c r="ES327" s="542"/>
      <c r="ET327" s="542"/>
      <c r="EU327" s="542"/>
      <c r="EV327" s="542"/>
      <c r="EW327" s="542"/>
      <c r="EX327" s="542"/>
      <c r="EY327" s="542"/>
      <c r="EZ327" s="542"/>
      <c r="FA327" s="542"/>
      <c r="FB327" s="542"/>
      <c r="FC327" s="542"/>
      <c r="FD327" s="542"/>
      <c r="FE327" s="542"/>
      <c r="FF327" s="542"/>
      <c r="FG327" s="542"/>
      <c r="FH327" s="542"/>
      <c r="FI327" s="542"/>
      <c r="FJ327" s="542"/>
      <c r="FK327" s="542"/>
      <c r="FL327" s="542"/>
      <c r="FM327" s="542"/>
      <c r="FN327" s="542"/>
      <c r="FO327" s="542"/>
      <c r="FP327" s="542"/>
      <c r="FQ327" s="542"/>
      <c r="FR327" s="542"/>
      <c r="FS327" s="542"/>
      <c r="FT327" s="542"/>
      <c r="FU327" s="542"/>
      <c r="FV327" s="542"/>
      <c r="FW327" s="542"/>
      <c r="FX327" s="542"/>
      <c r="FY327" s="542"/>
      <c r="FZ327" s="542"/>
      <c r="GA327" s="542"/>
      <c r="GB327" s="542"/>
      <c r="GC327" s="542"/>
      <c r="GD327" s="542"/>
      <c r="GE327" s="542"/>
      <c r="GF327" s="542"/>
      <c r="GG327" s="542"/>
      <c r="GH327" s="542"/>
      <c r="GI327" s="542"/>
      <c r="GJ327" s="542"/>
      <c r="GK327" s="542"/>
      <c r="GL327" s="542"/>
      <c r="GM327" s="542"/>
      <c r="GN327" s="542"/>
      <c r="GO327" s="542"/>
      <c r="GP327" s="542"/>
      <c r="GQ327" s="542"/>
      <c r="GR327" s="542"/>
      <c r="GS327" s="542"/>
      <c r="GT327" s="542"/>
      <c r="GU327" s="542"/>
      <c r="GV327" s="542"/>
      <c r="GW327" s="542"/>
      <c r="GX327" s="542"/>
      <c r="GY327" s="542"/>
      <c r="GZ327" s="542"/>
      <c r="HA327" s="542"/>
      <c r="HB327" s="542"/>
      <c r="HC327" s="542"/>
      <c r="HD327" s="542"/>
      <c r="HE327" s="542"/>
      <c r="HF327" s="542"/>
      <c r="HG327" s="542"/>
      <c r="HH327" s="542"/>
      <c r="HI327" s="542"/>
      <c r="HJ327" s="542"/>
      <c r="HK327" s="542"/>
      <c r="HL327" s="542"/>
      <c r="HM327" s="542"/>
      <c r="HN327" s="542"/>
      <c r="HO327" s="542"/>
      <c r="HP327" s="542"/>
      <c r="HQ327" s="542"/>
      <c r="HR327" s="542"/>
      <c r="HS327" s="542"/>
      <c r="HT327" s="542"/>
      <c r="HU327" s="542"/>
      <c r="HV327" s="542"/>
      <c r="HW327" s="542"/>
      <c r="HX327" s="542"/>
      <c r="HY327" s="542"/>
      <c r="HZ327" s="542"/>
      <c r="IA327" s="542"/>
      <c r="IB327" s="542"/>
      <c r="IC327" s="542"/>
      <c r="ID327" s="542"/>
      <c r="IE327" s="542"/>
      <c r="IF327" s="542"/>
      <c r="IG327" s="542"/>
      <c r="IH327" s="542"/>
      <c r="II327" s="542"/>
      <c r="IJ327" s="542"/>
      <c r="IK327" s="542"/>
      <c r="IL327" s="542"/>
      <c r="IM327" s="542"/>
      <c r="IN327" s="542"/>
      <c r="IO327" s="542"/>
      <c r="IP327" s="542"/>
      <c r="IQ327" s="542"/>
      <c r="IR327" s="542"/>
      <c r="IS327" s="542"/>
      <c r="IT327" s="542"/>
      <c r="IU327" s="542"/>
      <c r="IV327" s="542"/>
      <c r="IW327" s="542"/>
      <c r="IX327" s="542"/>
      <c r="IY327" s="542"/>
      <c r="IZ327" s="542"/>
      <c r="JA327" s="542"/>
      <c r="JB327" s="542"/>
    </row>
    <row r="328" spans="104:262" ht="18.899999999999999" customHeight="1">
      <c r="CZ328" s="542"/>
      <c r="DA328" s="542"/>
      <c r="DB328" s="542"/>
      <c r="DC328" s="542"/>
      <c r="DD328" s="542"/>
      <c r="DE328" s="542"/>
      <c r="DF328" s="542"/>
      <c r="DG328" s="542"/>
      <c r="DH328" s="542"/>
      <c r="DI328" s="542"/>
      <c r="DJ328" s="542"/>
      <c r="DK328" s="542"/>
      <c r="DL328" s="542"/>
      <c r="DM328" s="542"/>
      <c r="DN328" s="542"/>
      <c r="DO328" s="542"/>
      <c r="DP328" s="542"/>
      <c r="DQ328" s="542"/>
      <c r="DR328" s="542"/>
      <c r="DS328" s="542"/>
      <c r="DT328" s="542"/>
      <c r="DU328" s="542"/>
      <c r="DV328" s="542"/>
      <c r="DW328" s="542"/>
      <c r="DX328" s="542"/>
      <c r="DY328" s="542"/>
      <c r="DZ328" s="542"/>
      <c r="EA328" s="542"/>
      <c r="EB328" s="542"/>
      <c r="EC328" s="542"/>
      <c r="ED328" s="542"/>
      <c r="EE328" s="542"/>
      <c r="EF328" s="542"/>
      <c r="EG328" s="542"/>
      <c r="EH328" s="542"/>
      <c r="EI328" s="542"/>
      <c r="EJ328" s="542"/>
      <c r="EK328" s="542"/>
      <c r="EL328" s="542"/>
      <c r="EM328" s="542"/>
      <c r="EN328" s="542"/>
      <c r="EO328" s="542"/>
      <c r="EP328" s="542"/>
      <c r="EQ328" s="542"/>
      <c r="ER328" s="542"/>
      <c r="ES328" s="542"/>
      <c r="ET328" s="542"/>
      <c r="EU328" s="542"/>
      <c r="EV328" s="542"/>
      <c r="EW328" s="542"/>
      <c r="EX328" s="542"/>
      <c r="EY328" s="542"/>
      <c r="EZ328" s="542"/>
      <c r="FA328" s="542"/>
      <c r="FB328" s="542"/>
      <c r="FC328" s="542"/>
      <c r="FD328" s="542"/>
      <c r="FE328" s="542"/>
      <c r="FF328" s="542"/>
      <c r="FG328" s="542"/>
      <c r="FH328" s="542"/>
      <c r="FI328" s="542"/>
      <c r="FJ328" s="542"/>
      <c r="FK328" s="542"/>
      <c r="FL328" s="542"/>
      <c r="FM328" s="542"/>
      <c r="FN328" s="542"/>
      <c r="FO328" s="542"/>
      <c r="FP328" s="542"/>
      <c r="FQ328" s="542"/>
      <c r="FR328" s="542"/>
      <c r="FS328" s="542"/>
      <c r="FT328" s="542"/>
      <c r="FU328" s="542"/>
      <c r="FV328" s="542"/>
      <c r="FW328" s="542"/>
      <c r="FX328" s="542"/>
      <c r="FY328" s="542"/>
      <c r="FZ328" s="542"/>
      <c r="GA328" s="542"/>
      <c r="GB328" s="542"/>
      <c r="GC328" s="542"/>
      <c r="GD328" s="542"/>
      <c r="GE328" s="542"/>
      <c r="GF328" s="542"/>
      <c r="GG328" s="542"/>
      <c r="GH328" s="542"/>
      <c r="GI328" s="542"/>
      <c r="GJ328" s="542"/>
      <c r="GK328" s="542"/>
      <c r="GL328" s="542"/>
      <c r="GM328" s="542"/>
      <c r="GN328" s="542"/>
      <c r="GO328" s="542"/>
      <c r="GP328" s="542"/>
      <c r="GQ328" s="542"/>
      <c r="GR328" s="542"/>
      <c r="GS328" s="542"/>
      <c r="GT328" s="542"/>
      <c r="GU328" s="542"/>
      <c r="GV328" s="542"/>
      <c r="GW328" s="542"/>
      <c r="GX328" s="542"/>
      <c r="GY328" s="542"/>
      <c r="GZ328" s="542"/>
      <c r="HA328" s="542"/>
      <c r="HB328" s="542"/>
      <c r="HC328" s="542"/>
      <c r="HD328" s="542"/>
      <c r="HE328" s="542"/>
      <c r="HF328" s="542"/>
      <c r="HG328" s="542"/>
      <c r="HH328" s="542"/>
      <c r="HI328" s="542"/>
      <c r="HJ328" s="542"/>
      <c r="HK328" s="542"/>
      <c r="HL328" s="542"/>
      <c r="HM328" s="542"/>
      <c r="HN328" s="542"/>
      <c r="HO328" s="542"/>
      <c r="HP328" s="542"/>
      <c r="HQ328" s="542"/>
      <c r="HR328" s="542"/>
      <c r="HS328" s="542"/>
      <c r="HT328" s="542"/>
      <c r="HU328" s="542"/>
      <c r="HV328" s="542"/>
      <c r="HW328" s="542"/>
      <c r="HX328" s="542"/>
      <c r="HY328" s="542"/>
      <c r="HZ328" s="542"/>
      <c r="IA328" s="542"/>
      <c r="IB328" s="542"/>
      <c r="IC328" s="542"/>
      <c r="ID328" s="542"/>
      <c r="IE328" s="542"/>
      <c r="IF328" s="542"/>
      <c r="IG328" s="542"/>
      <c r="IH328" s="542"/>
      <c r="II328" s="542"/>
      <c r="IJ328" s="542"/>
      <c r="IK328" s="542"/>
      <c r="IL328" s="542"/>
      <c r="IM328" s="542"/>
      <c r="IN328" s="542"/>
      <c r="IO328" s="542"/>
      <c r="IP328" s="542"/>
      <c r="IQ328" s="542"/>
      <c r="IR328" s="542"/>
      <c r="IS328" s="542"/>
      <c r="IT328" s="542"/>
      <c r="IU328" s="542"/>
      <c r="IV328" s="542"/>
      <c r="IW328" s="542"/>
      <c r="IX328" s="542"/>
      <c r="IY328" s="542"/>
      <c r="IZ328" s="542"/>
      <c r="JA328" s="542"/>
      <c r="JB328" s="542"/>
    </row>
    <row r="329" spans="104:262" ht="18.899999999999999" customHeight="1">
      <c r="CZ329" s="542"/>
      <c r="DA329" s="542"/>
      <c r="DB329" s="542"/>
      <c r="DC329" s="542"/>
      <c r="DD329" s="542"/>
      <c r="DE329" s="542"/>
      <c r="DF329" s="542"/>
      <c r="DG329" s="542"/>
      <c r="DH329" s="542"/>
      <c r="DI329" s="542"/>
      <c r="DJ329" s="542"/>
      <c r="DK329" s="542"/>
      <c r="DL329" s="542"/>
      <c r="DM329" s="542"/>
      <c r="DN329" s="542"/>
      <c r="DO329" s="542"/>
      <c r="DP329" s="542"/>
      <c r="DQ329" s="542"/>
      <c r="DR329" s="542"/>
      <c r="DS329" s="542"/>
      <c r="DT329" s="542"/>
      <c r="DU329" s="542"/>
      <c r="DV329" s="542"/>
      <c r="DW329" s="542"/>
      <c r="DX329" s="542"/>
      <c r="DY329" s="542"/>
      <c r="DZ329" s="542"/>
      <c r="EA329" s="542"/>
      <c r="EB329" s="542"/>
      <c r="EC329" s="542"/>
      <c r="ED329" s="542"/>
      <c r="EE329" s="542"/>
      <c r="EF329" s="542"/>
      <c r="EG329" s="542"/>
      <c r="EH329" s="542"/>
      <c r="EI329" s="542"/>
      <c r="EJ329" s="542"/>
      <c r="EK329" s="542"/>
      <c r="EL329" s="542"/>
      <c r="EM329" s="542"/>
      <c r="EN329" s="542"/>
      <c r="EO329" s="542"/>
      <c r="EP329" s="542"/>
      <c r="EQ329" s="542"/>
      <c r="ER329" s="542"/>
      <c r="ES329" s="542"/>
      <c r="ET329" s="542"/>
      <c r="EU329" s="542"/>
      <c r="EV329" s="542"/>
      <c r="EW329" s="542"/>
      <c r="EX329" s="542"/>
      <c r="EY329" s="542"/>
      <c r="EZ329" s="542"/>
      <c r="FA329" s="542"/>
      <c r="FB329" s="542"/>
      <c r="FC329" s="542"/>
      <c r="FD329" s="542"/>
      <c r="FE329" s="542"/>
      <c r="FF329" s="542"/>
      <c r="FG329" s="542"/>
      <c r="FH329" s="542"/>
      <c r="FI329" s="542"/>
      <c r="FJ329" s="542"/>
      <c r="FK329" s="542"/>
      <c r="FL329" s="542"/>
      <c r="FM329" s="542"/>
      <c r="FN329" s="542"/>
      <c r="FO329" s="542"/>
      <c r="FP329" s="542"/>
      <c r="FQ329" s="542"/>
      <c r="FR329" s="542"/>
      <c r="FS329" s="542"/>
      <c r="FT329" s="542"/>
      <c r="FU329" s="542"/>
      <c r="FV329" s="542"/>
      <c r="FW329" s="542"/>
      <c r="FX329" s="542"/>
      <c r="FY329" s="542"/>
      <c r="FZ329" s="542"/>
      <c r="GA329" s="542"/>
      <c r="GB329" s="542"/>
      <c r="GC329" s="542"/>
      <c r="GD329" s="542"/>
      <c r="GE329" s="542"/>
      <c r="GF329" s="542"/>
      <c r="GG329" s="542"/>
      <c r="GH329" s="542"/>
      <c r="GI329" s="542"/>
      <c r="GJ329" s="542"/>
      <c r="GK329" s="542"/>
      <c r="GL329" s="542"/>
      <c r="GM329" s="542"/>
      <c r="GN329" s="542"/>
      <c r="GO329" s="542"/>
      <c r="GP329" s="542"/>
      <c r="GQ329" s="542"/>
      <c r="GR329" s="542"/>
      <c r="GS329" s="542"/>
      <c r="GT329" s="542"/>
      <c r="GU329" s="542"/>
      <c r="GV329" s="542"/>
      <c r="GW329" s="542"/>
      <c r="GX329" s="542"/>
      <c r="GY329" s="542"/>
      <c r="GZ329" s="542"/>
      <c r="HA329" s="542"/>
      <c r="HB329" s="542"/>
      <c r="HC329" s="542"/>
      <c r="HD329" s="542"/>
      <c r="HE329" s="542"/>
      <c r="HF329" s="542"/>
      <c r="HG329" s="542"/>
      <c r="HH329" s="542"/>
      <c r="HI329" s="542"/>
      <c r="HJ329" s="542"/>
      <c r="HK329" s="542"/>
      <c r="HL329" s="542"/>
      <c r="HM329" s="542"/>
      <c r="HN329" s="542"/>
      <c r="HO329" s="542"/>
      <c r="HP329" s="542"/>
      <c r="HQ329" s="542"/>
      <c r="HR329" s="542"/>
      <c r="HS329" s="542"/>
      <c r="HT329" s="542"/>
      <c r="HU329" s="542"/>
      <c r="HV329" s="542"/>
      <c r="HW329" s="542"/>
      <c r="HX329" s="542"/>
      <c r="HY329" s="542"/>
      <c r="HZ329" s="542"/>
      <c r="IA329" s="542"/>
      <c r="IB329" s="542"/>
      <c r="IC329" s="542"/>
      <c r="ID329" s="542"/>
      <c r="IE329" s="542"/>
      <c r="IF329" s="542"/>
      <c r="IG329" s="542"/>
      <c r="IH329" s="542"/>
      <c r="II329" s="542"/>
      <c r="IJ329" s="542"/>
      <c r="IK329" s="542"/>
      <c r="IL329" s="542"/>
      <c r="IM329" s="542"/>
      <c r="IN329" s="542"/>
      <c r="IO329" s="542"/>
      <c r="IP329" s="542"/>
      <c r="IQ329" s="542"/>
      <c r="IR329" s="542"/>
      <c r="IS329" s="542"/>
      <c r="IT329" s="542"/>
      <c r="IU329" s="542"/>
      <c r="IV329" s="542"/>
      <c r="IW329" s="542"/>
      <c r="IX329" s="542"/>
      <c r="IY329" s="542"/>
      <c r="IZ329" s="542"/>
      <c r="JA329" s="542"/>
      <c r="JB329" s="542"/>
    </row>
    <row r="330" spans="104:262" ht="18.899999999999999" customHeight="1">
      <c r="CZ330" s="542"/>
      <c r="DA330" s="542"/>
      <c r="DB330" s="542"/>
      <c r="DC330" s="542"/>
      <c r="DD330" s="542"/>
      <c r="DE330" s="542"/>
      <c r="DF330" s="542"/>
      <c r="DG330" s="542"/>
      <c r="DH330" s="542"/>
      <c r="DI330" s="542"/>
      <c r="DJ330" s="542"/>
      <c r="DK330" s="542"/>
      <c r="DL330" s="542"/>
      <c r="DM330" s="542"/>
      <c r="DN330" s="542"/>
      <c r="DO330" s="542"/>
      <c r="DP330" s="542"/>
      <c r="DQ330" s="542"/>
      <c r="DR330" s="542"/>
      <c r="DS330" s="542"/>
      <c r="DT330" s="542"/>
      <c r="DU330" s="542"/>
      <c r="DV330" s="542"/>
      <c r="DW330" s="542"/>
      <c r="DX330" s="542"/>
      <c r="DY330" s="542"/>
      <c r="DZ330" s="542"/>
      <c r="EA330" s="542"/>
      <c r="EB330" s="542"/>
      <c r="EC330" s="542"/>
      <c r="ED330" s="542"/>
      <c r="EE330" s="542"/>
      <c r="EF330" s="542"/>
      <c r="EG330" s="542"/>
      <c r="EH330" s="542"/>
      <c r="EI330" s="542"/>
      <c r="EJ330" s="542"/>
      <c r="EK330" s="542"/>
      <c r="EL330" s="542"/>
      <c r="EM330" s="542"/>
      <c r="EN330" s="542"/>
      <c r="EO330" s="542"/>
      <c r="EP330" s="542"/>
      <c r="EQ330" s="542"/>
      <c r="ER330" s="542"/>
      <c r="ES330" s="542"/>
      <c r="ET330" s="542"/>
      <c r="EU330" s="542"/>
      <c r="EV330" s="542"/>
      <c r="EW330" s="542"/>
      <c r="EX330" s="542"/>
      <c r="EY330" s="542"/>
      <c r="EZ330" s="542"/>
      <c r="FA330" s="542"/>
      <c r="FB330" s="542"/>
      <c r="FC330" s="542"/>
      <c r="FD330" s="542"/>
      <c r="FE330" s="542"/>
      <c r="FF330" s="542"/>
      <c r="FG330" s="542"/>
      <c r="FH330" s="542"/>
      <c r="FI330" s="542"/>
      <c r="FJ330" s="542"/>
      <c r="FK330" s="542"/>
      <c r="FL330" s="542"/>
      <c r="FM330" s="542"/>
      <c r="FN330" s="542"/>
      <c r="FO330" s="542"/>
      <c r="FP330" s="542"/>
      <c r="FQ330" s="542"/>
      <c r="FR330" s="542"/>
      <c r="FS330" s="542"/>
      <c r="FT330" s="542"/>
      <c r="FU330" s="542"/>
      <c r="FV330" s="542"/>
      <c r="FW330" s="542"/>
      <c r="FX330" s="542"/>
      <c r="FY330" s="542"/>
      <c r="FZ330" s="542"/>
      <c r="GA330" s="542"/>
      <c r="GB330" s="542"/>
      <c r="GC330" s="542"/>
      <c r="GD330" s="542"/>
      <c r="GE330" s="542"/>
      <c r="GF330" s="542"/>
      <c r="GG330" s="542"/>
      <c r="GH330" s="542"/>
      <c r="GI330" s="542"/>
      <c r="GJ330" s="542"/>
      <c r="GK330" s="542"/>
      <c r="GL330" s="542"/>
      <c r="GM330" s="542"/>
      <c r="GN330" s="542"/>
      <c r="GO330" s="542"/>
      <c r="GP330" s="542"/>
      <c r="GQ330" s="542"/>
      <c r="GR330" s="542"/>
      <c r="GS330" s="542"/>
      <c r="GT330" s="542"/>
      <c r="GU330" s="542"/>
      <c r="GV330" s="542"/>
      <c r="GW330" s="542"/>
      <c r="GX330" s="542"/>
      <c r="GY330" s="542"/>
      <c r="GZ330" s="542"/>
      <c r="HA330" s="542"/>
      <c r="HB330" s="542"/>
      <c r="HC330" s="542"/>
      <c r="HD330" s="542"/>
      <c r="HE330" s="542"/>
      <c r="HF330" s="542"/>
      <c r="HG330" s="542"/>
      <c r="HH330" s="542"/>
      <c r="HI330" s="542"/>
      <c r="HJ330" s="542"/>
      <c r="HK330" s="542"/>
      <c r="HL330" s="542"/>
      <c r="HM330" s="542"/>
      <c r="HN330" s="542"/>
      <c r="HO330" s="542"/>
      <c r="HP330" s="542"/>
      <c r="HQ330" s="542"/>
      <c r="HR330" s="542"/>
      <c r="HS330" s="542"/>
      <c r="HT330" s="542"/>
      <c r="HU330" s="542"/>
      <c r="HV330" s="542"/>
      <c r="HW330" s="542"/>
      <c r="HX330" s="542"/>
      <c r="HY330" s="542"/>
      <c r="HZ330" s="542"/>
      <c r="IA330" s="542"/>
      <c r="IB330" s="542"/>
      <c r="IC330" s="542"/>
      <c r="ID330" s="542"/>
      <c r="IE330" s="542"/>
      <c r="IF330" s="542"/>
      <c r="IG330" s="542"/>
      <c r="IH330" s="542"/>
      <c r="II330" s="542"/>
      <c r="IJ330" s="542"/>
      <c r="IK330" s="542"/>
      <c r="IL330" s="542"/>
      <c r="IM330" s="542"/>
      <c r="IN330" s="542"/>
      <c r="IO330" s="542"/>
      <c r="IP330" s="542"/>
      <c r="IQ330" s="542"/>
      <c r="IR330" s="542"/>
      <c r="IS330" s="542"/>
      <c r="IT330" s="542"/>
      <c r="IU330" s="542"/>
      <c r="IV330" s="542"/>
      <c r="IW330" s="542"/>
      <c r="IX330" s="542"/>
      <c r="IY330" s="542"/>
      <c r="IZ330" s="542"/>
      <c r="JA330" s="542"/>
      <c r="JB330" s="542"/>
    </row>
    <row r="331" spans="104:262" ht="18.899999999999999" customHeight="1">
      <c r="CZ331" s="542"/>
      <c r="DA331" s="542"/>
      <c r="DB331" s="542"/>
      <c r="DC331" s="542"/>
      <c r="DD331" s="542"/>
      <c r="DE331" s="542"/>
      <c r="DF331" s="542"/>
      <c r="DG331" s="542"/>
      <c r="DH331" s="542"/>
      <c r="DI331" s="542"/>
      <c r="DJ331" s="542"/>
      <c r="DK331" s="542"/>
      <c r="DL331" s="542"/>
      <c r="DM331" s="542"/>
      <c r="DN331" s="542"/>
      <c r="DO331" s="542"/>
      <c r="DP331" s="542"/>
      <c r="DQ331" s="542"/>
      <c r="DR331" s="542"/>
      <c r="DS331" s="542"/>
      <c r="DT331" s="542"/>
      <c r="DU331" s="542"/>
      <c r="DV331" s="542"/>
      <c r="DW331" s="542"/>
      <c r="DX331" s="542"/>
      <c r="DY331" s="542"/>
      <c r="DZ331" s="542"/>
      <c r="EA331" s="542"/>
      <c r="EB331" s="542"/>
      <c r="EC331" s="542"/>
      <c r="ED331" s="542"/>
      <c r="EE331" s="542"/>
      <c r="EF331" s="542"/>
      <c r="EG331" s="542"/>
      <c r="EH331" s="542"/>
      <c r="EI331" s="542"/>
      <c r="EJ331" s="542"/>
      <c r="EK331" s="542"/>
      <c r="EL331" s="542"/>
      <c r="EM331" s="542"/>
      <c r="EN331" s="542"/>
      <c r="EO331" s="542"/>
      <c r="EP331" s="542"/>
      <c r="EQ331" s="542"/>
      <c r="ER331" s="542"/>
      <c r="ES331" s="542"/>
      <c r="ET331" s="542"/>
      <c r="EU331" s="542"/>
      <c r="EV331" s="542"/>
      <c r="EW331" s="542"/>
      <c r="EX331" s="542"/>
      <c r="EY331" s="542"/>
      <c r="EZ331" s="542"/>
      <c r="FA331" s="542"/>
      <c r="FB331" s="542"/>
      <c r="FC331" s="542"/>
      <c r="FD331" s="542"/>
      <c r="FE331" s="542"/>
      <c r="FF331" s="542"/>
      <c r="FG331" s="542"/>
      <c r="FH331" s="542"/>
      <c r="FI331" s="542"/>
      <c r="FJ331" s="542"/>
      <c r="FK331" s="542"/>
      <c r="FL331" s="542"/>
      <c r="FM331" s="542"/>
      <c r="FN331" s="542"/>
      <c r="FO331" s="542"/>
      <c r="FP331" s="542"/>
      <c r="FQ331" s="542"/>
      <c r="FR331" s="542"/>
      <c r="FS331" s="542"/>
      <c r="FT331" s="542"/>
      <c r="FU331" s="542"/>
      <c r="FV331" s="542"/>
      <c r="FW331" s="542"/>
      <c r="FX331" s="542"/>
      <c r="FY331" s="542"/>
      <c r="FZ331" s="542"/>
      <c r="GA331" s="542"/>
      <c r="GB331" s="542"/>
      <c r="GC331" s="542"/>
      <c r="GD331" s="542"/>
      <c r="GE331" s="542"/>
      <c r="GF331" s="542"/>
      <c r="GG331" s="542"/>
      <c r="GH331" s="542"/>
      <c r="GI331" s="542"/>
      <c r="GJ331" s="542"/>
      <c r="GK331" s="542"/>
      <c r="GL331" s="542"/>
      <c r="GM331" s="542"/>
      <c r="GN331" s="542"/>
      <c r="GO331" s="542"/>
      <c r="GP331" s="542"/>
      <c r="GQ331" s="542"/>
      <c r="GR331" s="542"/>
      <c r="GS331" s="542"/>
      <c r="GT331" s="542"/>
      <c r="GU331" s="542"/>
      <c r="GV331" s="542"/>
      <c r="GW331" s="542"/>
      <c r="GX331" s="542"/>
      <c r="GY331" s="542"/>
      <c r="GZ331" s="542"/>
      <c r="HA331" s="542"/>
      <c r="HB331" s="542"/>
      <c r="HC331" s="542"/>
      <c r="HD331" s="542"/>
      <c r="HE331" s="542"/>
      <c r="HF331" s="542"/>
      <c r="HG331" s="542"/>
      <c r="HH331" s="542"/>
      <c r="HI331" s="542"/>
      <c r="HJ331" s="542"/>
      <c r="HK331" s="542"/>
      <c r="HL331" s="542"/>
      <c r="HM331" s="542"/>
      <c r="HN331" s="542"/>
      <c r="HO331" s="542"/>
      <c r="HP331" s="542"/>
      <c r="HQ331" s="542"/>
      <c r="HR331" s="542"/>
      <c r="HS331" s="542"/>
      <c r="HT331" s="542"/>
      <c r="HU331" s="542"/>
      <c r="HV331" s="542"/>
      <c r="HW331" s="542"/>
      <c r="HX331" s="542"/>
      <c r="HY331" s="542"/>
      <c r="HZ331" s="542"/>
      <c r="IA331" s="542"/>
      <c r="IB331" s="542"/>
      <c r="IC331" s="542"/>
      <c r="ID331" s="542"/>
      <c r="IE331" s="542"/>
      <c r="IF331" s="542"/>
      <c r="IG331" s="542"/>
      <c r="IH331" s="542"/>
      <c r="II331" s="542"/>
      <c r="IJ331" s="542"/>
      <c r="IK331" s="542"/>
      <c r="IL331" s="542"/>
      <c r="IM331" s="542"/>
      <c r="IN331" s="542"/>
      <c r="IO331" s="542"/>
      <c r="IP331" s="542"/>
      <c r="IQ331" s="542"/>
      <c r="IR331" s="542"/>
      <c r="IS331" s="542"/>
      <c r="IT331" s="542"/>
      <c r="IU331" s="542"/>
      <c r="IV331" s="542"/>
      <c r="IW331" s="542"/>
      <c r="IX331" s="542"/>
      <c r="IY331" s="542"/>
      <c r="IZ331" s="542"/>
      <c r="JA331" s="542"/>
      <c r="JB331" s="542"/>
    </row>
    <row r="332" spans="104:262" ht="18.899999999999999" customHeight="1">
      <c r="CZ332" s="542"/>
      <c r="DA332" s="542"/>
      <c r="DB332" s="542"/>
      <c r="DC332" s="542"/>
      <c r="DD332" s="542"/>
      <c r="DE332" s="542"/>
      <c r="DF332" s="542"/>
      <c r="DG332" s="542"/>
      <c r="DH332" s="542"/>
      <c r="DI332" s="542"/>
      <c r="DJ332" s="542"/>
      <c r="DK332" s="542"/>
      <c r="DL332" s="542"/>
      <c r="DM332" s="542"/>
      <c r="DN332" s="542"/>
      <c r="DO332" s="542"/>
      <c r="DP332" s="542"/>
      <c r="DQ332" s="542"/>
      <c r="DR332" s="542"/>
      <c r="DS332" s="542"/>
      <c r="DT332" s="542"/>
      <c r="DU332" s="542"/>
      <c r="DV332" s="542"/>
      <c r="DW332" s="542"/>
      <c r="DX332" s="542"/>
      <c r="DY332" s="542"/>
      <c r="DZ332" s="542"/>
      <c r="EA332" s="542"/>
      <c r="EB332" s="542"/>
      <c r="EC332" s="542"/>
      <c r="ED332" s="542"/>
      <c r="EE332" s="542"/>
      <c r="EF332" s="542"/>
      <c r="EG332" s="542"/>
      <c r="EH332" s="542"/>
      <c r="EI332" s="542"/>
      <c r="EJ332" s="542"/>
      <c r="EK332" s="542"/>
      <c r="EL332" s="542"/>
      <c r="EM332" s="542"/>
      <c r="EN332" s="542"/>
      <c r="EO332" s="542"/>
      <c r="EP332" s="542"/>
      <c r="EQ332" s="542"/>
      <c r="ER332" s="542"/>
      <c r="ES332" s="542"/>
      <c r="ET332" s="542"/>
      <c r="EU332" s="542"/>
      <c r="EV332" s="542"/>
      <c r="EW332" s="542"/>
      <c r="EX332" s="542"/>
      <c r="EY332" s="542"/>
      <c r="EZ332" s="542"/>
      <c r="FA332" s="542"/>
      <c r="FB332" s="542"/>
      <c r="FC332" s="542"/>
      <c r="FD332" s="542"/>
      <c r="FE332" s="542"/>
      <c r="FF332" s="542"/>
      <c r="FG332" s="542"/>
      <c r="FH332" s="542"/>
      <c r="FI332" s="542"/>
      <c r="FJ332" s="542"/>
      <c r="FK332" s="542"/>
      <c r="FL332" s="542"/>
      <c r="FM332" s="542"/>
      <c r="FN332" s="542"/>
      <c r="FO332" s="542"/>
      <c r="FP332" s="542"/>
      <c r="FQ332" s="542"/>
      <c r="FR332" s="542"/>
      <c r="FS332" s="542"/>
      <c r="FT332" s="542"/>
      <c r="FU332" s="542"/>
      <c r="FV332" s="542"/>
      <c r="FW332" s="542"/>
      <c r="FX332" s="542"/>
      <c r="FY332" s="542"/>
      <c r="FZ332" s="542"/>
      <c r="GA332" s="542"/>
      <c r="GB332" s="542"/>
      <c r="GC332" s="542"/>
      <c r="GD332" s="542"/>
      <c r="GE332" s="542"/>
      <c r="GF332" s="542"/>
      <c r="GG332" s="542"/>
      <c r="GH332" s="542"/>
      <c r="GI332" s="542"/>
      <c r="GJ332" s="542"/>
      <c r="GK332" s="542"/>
      <c r="GL332" s="542"/>
      <c r="GM332" s="542"/>
      <c r="GN332" s="542"/>
      <c r="GO332" s="542"/>
      <c r="GP332" s="542"/>
      <c r="GQ332" s="542"/>
      <c r="GR332" s="542"/>
      <c r="GS332" s="542"/>
      <c r="GT332" s="542"/>
      <c r="GU332" s="542"/>
      <c r="GV332" s="542"/>
      <c r="GW332" s="542"/>
      <c r="GX332" s="542"/>
      <c r="GY332" s="542"/>
      <c r="GZ332" s="542"/>
      <c r="HA332" s="542"/>
      <c r="HB332" s="542"/>
      <c r="HC332" s="542"/>
      <c r="HD332" s="542"/>
      <c r="HE332" s="542"/>
      <c r="HF332" s="542"/>
      <c r="HG332" s="542"/>
      <c r="HH332" s="542"/>
      <c r="HI332" s="542"/>
      <c r="HJ332" s="542"/>
      <c r="HK332" s="542"/>
      <c r="HL332" s="542"/>
      <c r="HM332" s="542"/>
      <c r="HN332" s="542"/>
      <c r="HO332" s="542"/>
      <c r="HP332" s="542"/>
      <c r="HQ332" s="542"/>
      <c r="HR332" s="542"/>
      <c r="HS332" s="542"/>
      <c r="HT332" s="542"/>
      <c r="HU332" s="542"/>
      <c r="HV332" s="542"/>
      <c r="HW332" s="542"/>
      <c r="HX332" s="542"/>
      <c r="HY332" s="542"/>
      <c r="HZ332" s="542"/>
      <c r="IA332" s="542"/>
      <c r="IB332" s="542"/>
      <c r="IC332" s="542"/>
      <c r="ID332" s="542"/>
      <c r="IE332" s="542"/>
      <c r="IF332" s="542"/>
      <c r="IG332" s="542"/>
      <c r="IH332" s="542"/>
      <c r="II332" s="542"/>
      <c r="IJ332" s="542"/>
      <c r="IK332" s="542"/>
      <c r="IL332" s="542"/>
      <c r="IM332" s="542"/>
      <c r="IN332" s="542"/>
      <c r="IO332" s="542"/>
      <c r="IP332" s="542"/>
      <c r="IQ332" s="542"/>
      <c r="IR332" s="542"/>
      <c r="IS332" s="542"/>
      <c r="IT332" s="542"/>
      <c r="IU332" s="542"/>
      <c r="IV332" s="542"/>
      <c r="IW332" s="542"/>
      <c r="IX332" s="542"/>
      <c r="IY332" s="542"/>
      <c r="IZ332" s="542"/>
      <c r="JA332" s="542"/>
      <c r="JB332" s="542"/>
    </row>
    <row r="333" spans="104:262" ht="18.899999999999999" customHeight="1">
      <c r="CZ333" s="542"/>
      <c r="DA333" s="542"/>
      <c r="DB333" s="542"/>
      <c r="DC333" s="542"/>
      <c r="DD333" s="542"/>
      <c r="DE333" s="542"/>
      <c r="DF333" s="542"/>
      <c r="DG333" s="542"/>
      <c r="DH333" s="542"/>
      <c r="DI333" s="542"/>
      <c r="DJ333" s="542"/>
      <c r="DK333" s="542"/>
      <c r="DL333" s="542"/>
      <c r="DM333" s="542"/>
      <c r="DN333" s="542"/>
      <c r="DO333" s="542"/>
      <c r="DP333" s="542"/>
      <c r="DQ333" s="542"/>
      <c r="DR333" s="542"/>
      <c r="DS333" s="542"/>
      <c r="DT333" s="542"/>
      <c r="DU333" s="542"/>
      <c r="DV333" s="542"/>
      <c r="DW333" s="542"/>
      <c r="DX333" s="542"/>
      <c r="DY333" s="542"/>
      <c r="DZ333" s="542"/>
      <c r="EA333" s="542"/>
      <c r="EB333" s="542"/>
      <c r="EC333" s="542"/>
      <c r="ED333" s="542"/>
      <c r="EE333" s="542"/>
      <c r="EF333" s="542"/>
      <c r="EG333" s="542"/>
      <c r="EH333" s="542"/>
      <c r="EI333" s="542"/>
      <c r="EJ333" s="542"/>
      <c r="EK333" s="542"/>
      <c r="EL333" s="542"/>
      <c r="EM333" s="542"/>
      <c r="EN333" s="542"/>
      <c r="EO333" s="542"/>
      <c r="EP333" s="542"/>
      <c r="EQ333" s="542"/>
      <c r="ER333" s="542"/>
      <c r="ES333" s="542"/>
      <c r="ET333" s="542"/>
      <c r="EU333" s="542"/>
      <c r="EV333" s="542"/>
      <c r="EW333" s="542"/>
      <c r="EX333" s="542"/>
      <c r="EY333" s="542"/>
      <c r="EZ333" s="542"/>
      <c r="FA333" s="542"/>
      <c r="FB333" s="542"/>
      <c r="FC333" s="542"/>
      <c r="FD333" s="542"/>
      <c r="FE333" s="542"/>
      <c r="FF333" s="542"/>
      <c r="FG333" s="542"/>
      <c r="FH333" s="542"/>
      <c r="FI333" s="542"/>
      <c r="FJ333" s="542"/>
      <c r="FK333" s="542"/>
      <c r="FL333" s="542"/>
      <c r="FM333" s="542"/>
      <c r="FN333" s="542"/>
      <c r="FO333" s="542"/>
      <c r="FP333" s="542"/>
      <c r="FQ333" s="542"/>
      <c r="FR333" s="542"/>
      <c r="FS333" s="542"/>
      <c r="FT333" s="542"/>
      <c r="FU333" s="542"/>
      <c r="FV333" s="542"/>
      <c r="FW333" s="542"/>
      <c r="FX333" s="542"/>
      <c r="FY333" s="542"/>
      <c r="FZ333" s="542"/>
      <c r="GA333" s="542"/>
      <c r="GB333" s="542"/>
      <c r="GC333" s="542"/>
      <c r="GD333" s="542"/>
      <c r="GE333" s="542"/>
      <c r="GF333" s="542"/>
      <c r="GG333" s="542"/>
      <c r="GH333" s="542"/>
      <c r="GI333" s="542"/>
      <c r="GJ333" s="542"/>
      <c r="GK333" s="542"/>
      <c r="GL333" s="542"/>
      <c r="GM333" s="542"/>
      <c r="GN333" s="542"/>
      <c r="GO333" s="542"/>
      <c r="GP333" s="542"/>
      <c r="GQ333" s="542"/>
      <c r="GR333" s="542"/>
      <c r="GS333" s="542"/>
      <c r="GT333" s="542"/>
      <c r="GU333" s="542"/>
      <c r="GV333" s="542"/>
      <c r="GW333" s="542"/>
      <c r="GX333" s="542"/>
      <c r="GY333" s="542"/>
      <c r="GZ333" s="542"/>
      <c r="HA333" s="542"/>
      <c r="HB333" s="542"/>
      <c r="HC333" s="542"/>
      <c r="HD333" s="542"/>
      <c r="HE333" s="542"/>
      <c r="HF333" s="542"/>
      <c r="HG333" s="542"/>
      <c r="HH333" s="542"/>
      <c r="HI333" s="542"/>
      <c r="HJ333" s="542"/>
      <c r="HK333" s="542"/>
      <c r="HL333" s="542"/>
      <c r="HM333" s="542"/>
      <c r="HN333" s="542"/>
      <c r="HO333" s="542"/>
      <c r="HP333" s="542"/>
      <c r="HQ333" s="542"/>
      <c r="HR333" s="542"/>
      <c r="HS333" s="542"/>
      <c r="HT333" s="542"/>
      <c r="HU333" s="542"/>
      <c r="HV333" s="542"/>
      <c r="HW333" s="542"/>
      <c r="HX333" s="542"/>
      <c r="HY333" s="542"/>
      <c r="HZ333" s="542"/>
      <c r="IA333" s="542"/>
      <c r="IB333" s="542"/>
      <c r="IC333" s="542"/>
      <c r="ID333" s="542"/>
      <c r="IE333" s="542"/>
      <c r="IF333" s="542"/>
      <c r="IG333" s="542"/>
      <c r="IH333" s="542"/>
      <c r="II333" s="542"/>
      <c r="IJ333" s="542"/>
      <c r="IK333" s="542"/>
      <c r="IL333" s="542"/>
      <c r="IM333" s="542"/>
      <c r="IN333" s="542"/>
      <c r="IO333" s="542"/>
      <c r="IP333" s="542"/>
      <c r="IQ333" s="542"/>
      <c r="IR333" s="542"/>
      <c r="IS333" s="542"/>
      <c r="IT333" s="542"/>
      <c r="IU333" s="542"/>
      <c r="IV333" s="542"/>
      <c r="IW333" s="542"/>
      <c r="IX333" s="542"/>
      <c r="IY333" s="542"/>
      <c r="IZ333" s="542"/>
      <c r="JA333" s="542"/>
      <c r="JB333" s="542"/>
    </row>
    <row r="334" spans="104:262" ht="18.899999999999999" customHeight="1">
      <c r="CZ334" s="542"/>
      <c r="DA334" s="542"/>
      <c r="DB334" s="542"/>
      <c r="DC334" s="542"/>
      <c r="DD334" s="542"/>
      <c r="DE334" s="542"/>
      <c r="DF334" s="542"/>
      <c r="DG334" s="542"/>
      <c r="DH334" s="542"/>
      <c r="DI334" s="542"/>
      <c r="DJ334" s="542"/>
      <c r="DK334" s="542"/>
      <c r="DL334" s="542"/>
      <c r="DM334" s="542"/>
      <c r="DN334" s="542"/>
      <c r="DO334" s="542"/>
      <c r="DP334" s="542"/>
      <c r="DQ334" s="542"/>
      <c r="DR334" s="542"/>
      <c r="DS334" s="542"/>
      <c r="DT334" s="542"/>
      <c r="DU334" s="542"/>
      <c r="DV334" s="542"/>
      <c r="DW334" s="542"/>
      <c r="DX334" s="542"/>
      <c r="DY334" s="542"/>
      <c r="DZ334" s="542"/>
      <c r="EA334" s="542"/>
      <c r="EB334" s="542"/>
      <c r="EC334" s="542"/>
      <c r="ED334" s="542"/>
      <c r="EE334" s="542"/>
      <c r="EF334" s="542"/>
      <c r="EG334" s="542"/>
      <c r="EH334" s="542"/>
      <c r="EI334" s="542"/>
      <c r="EJ334" s="542"/>
      <c r="EK334" s="542"/>
      <c r="EL334" s="542"/>
      <c r="EM334" s="542"/>
      <c r="EN334" s="542"/>
      <c r="EO334" s="542"/>
      <c r="EP334" s="542"/>
      <c r="EQ334" s="542"/>
      <c r="ER334" s="542"/>
      <c r="ES334" s="542"/>
      <c r="ET334" s="542"/>
      <c r="EU334" s="542"/>
      <c r="EV334" s="542"/>
      <c r="EW334" s="542"/>
      <c r="EX334" s="542"/>
      <c r="EY334" s="542"/>
      <c r="EZ334" s="542"/>
      <c r="FA334" s="542"/>
      <c r="FB334" s="542"/>
      <c r="FC334" s="542"/>
      <c r="FD334" s="542"/>
      <c r="FE334" s="542"/>
      <c r="FF334" s="542"/>
      <c r="FG334" s="542"/>
      <c r="FH334" s="542"/>
      <c r="FI334" s="542"/>
      <c r="FJ334" s="542"/>
      <c r="FK334" s="542"/>
      <c r="FL334" s="542"/>
      <c r="FM334" s="542"/>
      <c r="FN334" s="542"/>
      <c r="FO334" s="542"/>
      <c r="FP334" s="542"/>
      <c r="FQ334" s="542"/>
      <c r="FR334" s="542"/>
      <c r="FS334" s="542"/>
      <c r="FT334" s="542"/>
      <c r="FU334" s="542"/>
      <c r="FV334" s="542"/>
      <c r="FW334" s="542"/>
      <c r="FX334" s="542"/>
      <c r="FY334" s="542"/>
      <c r="FZ334" s="542"/>
      <c r="GA334" s="542"/>
      <c r="GB334" s="542"/>
      <c r="GC334" s="542"/>
      <c r="GD334" s="542"/>
      <c r="GE334" s="542"/>
      <c r="GF334" s="542"/>
      <c r="GG334" s="542"/>
      <c r="GH334" s="542"/>
      <c r="GI334" s="542"/>
      <c r="GJ334" s="542"/>
      <c r="GK334" s="542"/>
      <c r="GL334" s="542"/>
      <c r="GM334" s="542"/>
      <c r="GN334" s="542"/>
      <c r="GO334" s="542"/>
      <c r="GP334" s="542"/>
      <c r="GQ334" s="542"/>
      <c r="GR334" s="542"/>
      <c r="GS334" s="542"/>
      <c r="GT334" s="542"/>
      <c r="GU334" s="542"/>
      <c r="GV334" s="542"/>
      <c r="GW334" s="542"/>
      <c r="GX334" s="542"/>
      <c r="GY334" s="542"/>
      <c r="GZ334" s="542"/>
      <c r="HA334" s="542"/>
      <c r="HB334" s="542"/>
      <c r="HC334" s="542"/>
      <c r="HD334" s="542"/>
      <c r="HE334" s="542"/>
      <c r="HF334" s="542"/>
      <c r="HG334" s="542"/>
      <c r="HH334" s="542"/>
      <c r="HI334" s="542"/>
      <c r="HJ334" s="542"/>
      <c r="HK334" s="542"/>
      <c r="HL334" s="542"/>
      <c r="HM334" s="542"/>
      <c r="HN334" s="542"/>
      <c r="HO334" s="542"/>
      <c r="HP334" s="542"/>
      <c r="HQ334" s="542"/>
      <c r="HR334" s="542"/>
      <c r="HS334" s="542"/>
      <c r="HT334" s="542"/>
      <c r="HU334" s="542"/>
      <c r="HV334" s="542"/>
      <c r="HW334" s="542"/>
      <c r="HX334" s="542"/>
      <c r="HY334" s="542"/>
      <c r="HZ334" s="542"/>
      <c r="IA334" s="542"/>
      <c r="IB334" s="542"/>
      <c r="IC334" s="542"/>
      <c r="ID334" s="542"/>
      <c r="IE334" s="542"/>
      <c r="IF334" s="542"/>
      <c r="IG334" s="542"/>
      <c r="IH334" s="542"/>
      <c r="II334" s="542"/>
      <c r="IJ334" s="542"/>
      <c r="IK334" s="542"/>
      <c r="IL334" s="542"/>
      <c r="IM334" s="542"/>
      <c r="IN334" s="542"/>
      <c r="IO334" s="542"/>
      <c r="IP334" s="542"/>
      <c r="IQ334" s="542"/>
      <c r="IR334" s="542"/>
      <c r="IS334" s="542"/>
      <c r="IT334" s="542"/>
      <c r="IU334" s="542"/>
      <c r="IV334" s="542"/>
      <c r="IW334" s="542"/>
      <c r="IX334" s="542"/>
      <c r="IY334" s="542"/>
      <c r="IZ334" s="542"/>
      <c r="JA334" s="542"/>
      <c r="JB334" s="542"/>
    </row>
    <row r="335" spans="104:262" ht="18.899999999999999" customHeight="1">
      <c r="CZ335" s="542"/>
      <c r="DA335" s="542"/>
      <c r="DB335" s="542"/>
      <c r="DC335" s="542"/>
      <c r="DD335" s="542"/>
      <c r="DE335" s="542"/>
      <c r="DF335" s="542"/>
      <c r="DG335" s="542"/>
      <c r="DH335" s="542"/>
      <c r="DI335" s="542"/>
      <c r="DJ335" s="542"/>
      <c r="DK335" s="542"/>
      <c r="DL335" s="542"/>
      <c r="DM335" s="542"/>
      <c r="DN335" s="542"/>
      <c r="DO335" s="542"/>
      <c r="DP335" s="542"/>
      <c r="DQ335" s="542"/>
      <c r="DR335" s="542"/>
      <c r="DS335" s="542"/>
      <c r="DT335" s="542"/>
      <c r="DU335" s="542"/>
      <c r="DV335" s="542"/>
      <c r="DW335" s="542"/>
      <c r="DX335" s="542"/>
      <c r="DY335" s="542"/>
      <c r="DZ335" s="542"/>
      <c r="EA335" s="542"/>
      <c r="EB335" s="542"/>
      <c r="EC335" s="542"/>
      <c r="ED335" s="542"/>
      <c r="EE335" s="542"/>
      <c r="EF335" s="542"/>
      <c r="EG335" s="542"/>
      <c r="EH335" s="542"/>
      <c r="EI335" s="542"/>
      <c r="EJ335" s="542"/>
      <c r="EK335" s="542"/>
      <c r="EL335" s="542"/>
      <c r="EM335" s="542"/>
      <c r="EN335" s="542"/>
      <c r="EO335" s="542"/>
      <c r="EP335" s="542"/>
      <c r="EQ335" s="542"/>
      <c r="ER335" s="542"/>
      <c r="ES335" s="542"/>
      <c r="ET335" s="542"/>
      <c r="EU335" s="542"/>
      <c r="EV335" s="542"/>
      <c r="EW335" s="542"/>
      <c r="EX335" s="542"/>
      <c r="EY335" s="542"/>
      <c r="EZ335" s="542"/>
      <c r="FA335" s="542"/>
      <c r="FB335" s="542"/>
      <c r="FC335" s="542"/>
      <c r="FD335" s="542"/>
      <c r="FE335" s="542"/>
      <c r="FF335" s="542"/>
      <c r="FG335" s="542"/>
      <c r="FH335" s="542"/>
      <c r="FI335" s="542"/>
      <c r="FJ335" s="542"/>
      <c r="FK335" s="542"/>
      <c r="FL335" s="542"/>
      <c r="FM335" s="542"/>
      <c r="FN335" s="542"/>
      <c r="FO335" s="542"/>
      <c r="FP335" s="542"/>
      <c r="FQ335" s="542"/>
      <c r="FR335" s="542"/>
      <c r="FS335" s="542"/>
      <c r="FT335" s="542"/>
      <c r="FU335" s="542"/>
      <c r="FV335" s="542"/>
      <c r="FW335" s="542"/>
      <c r="FX335" s="542"/>
      <c r="FY335" s="542"/>
      <c r="FZ335" s="542"/>
      <c r="GA335" s="542"/>
      <c r="GB335" s="542"/>
      <c r="GC335" s="542"/>
      <c r="GD335" s="542"/>
      <c r="GE335" s="542"/>
      <c r="GF335" s="542"/>
      <c r="GG335" s="542"/>
      <c r="GH335" s="542"/>
      <c r="GI335" s="542"/>
      <c r="GJ335" s="542"/>
      <c r="GK335" s="542"/>
      <c r="GL335" s="542"/>
      <c r="GM335" s="542"/>
      <c r="GN335" s="542"/>
      <c r="GO335" s="542"/>
      <c r="GP335" s="542"/>
      <c r="GQ335" s="542"/>
      <c r="GR335" s="542"/>
      <c r="GS335" s="542"/>
      <c r="GT335" s="542"/>
      <c r="GU335" s="542"/>
      <c r="GV335" s="542"/>
      <c r="GW335" s="542"/>
      <c r="GX335" s="542"/>
      <c r="GY335" s="542"/>
      <c r="GZ335" s="542"/>
      <c r="HA335" s="542"/>
      <c r="HB335" s="542"/>
      <c r="HC335" s="542"/>
      <c r="HD335" s="542"/>
      <c r="HE335" s="542"/>
      <c r="HF335" s="542"/>
      <c r="HG335" s="542"/>
      <c r="HH335" s="542"/>
      <c r="HI335" s="542"/>
      <c r="HJ335" s="542"/>
      <c r="HK335" s="542"/>
      <c r="HL335" s="542"/>
      <c r="HM335" s="542"/>
      <c r="HN335" s="542"/>
      <c r="HO335" s="542"/>
      <c r="HP335" s="542"/>
      <c r="HQ335" s="542"/>
      <c r="HR335" s="542"/>
      <c r="HS335" s="542"/>
      <c r="HT335" s="542"/>
      <c r="HU335" s="542"/>
      <c r="HV335" s="542"/>
      <c r="HW335" s="542"/>
      <c r="HX335" s="542"/>
      <c r="HY335" s="542"/>
      <c r="HZ335" s="542"/>
      <c r="IA335" s="542"/>
      <c r="IB335" s="542"/>
      <c r="IC335" s="542"/>
      <c r="ID335" s="542"/>
      <c r="IE335" s="542"/>
      <c r="IF335" s="542"/>
      <c r="IG335" s="542"/>
      <c r="IH335" s="542"/>
      <c r="II335" s="542"/>
      <c r="IJ335" s="542"/>
      <c r="IK335" s="542"/>
      <c r="IL335" s="542"/>
      <c r="IM335" s="542"/>
      <c r="IN335" s="542"/>
      <c r="IO335" s="542"/>
      <c r="IP335" s="542"/>
      <c r="IQ335" s="542"/>
      <c r="IR335" s="542"/>
      <c r="IS335" s="542"/>
      <c r="IT335" s="542"/>
      <c r="IU335" s="542"/>
      <c r="IV335" s="542"/>
      <c r="IW335" s="542"/>
      <c r="IX335" s="542"/>
      <c r="IY335" s="542"/>
      <c r="IZ335" s="542"/>
      <c r="JA335" s="542"/>
      <c r="JB335" s="542"/>
    </row>
    <row r="336" spans="104:262" ht="18.899999999999999" customHeight="1">
      <c r="CZ336" s="542"/>
      <c r="DA336" s="542"/>
      <c r="DB336" s="542"/>
      <c r="DC336" s="542"/>
      <c r="DD336" s="542"/>
      <c r="DE336" s="542"/>
      <c r="DF336" s="542"/>
      <c r="DG336" s="542"/>
      <c r="DH336" s="542"/>
      <c r="DI336" s="542"/>
      <c r="DJ336" s="542"/>
      <c r="DK336" s="542"/>
      <c r="DL336" s="542"/>
      <c r="DM336" s="542"/>
      <c r="DN336" s="542"/>
      <c r="DO336" s="542"/>
      <c r="DP336" s="542"/>
      <c r="DQ336" s="542"/>
      <c r="DR336" s="542"/>
      <c r="DS336" s="542"/>
      <c r="DT336" s="542"/>
      <c r="DU336" s="542"/>
      <c r="DV336" s="542"/>
      <c r="DW336" s="542"/>
      <c r="DX336" s="542"/>
      <c r="DY336" s="542"/>
      <c r="DZ336" s="542"/>
      <c r="EA336" s="542"/>
      <c r="EB336" s="542"/>
      <c r="EC336" s="542"/>
      <c r="ED336" s="542"/>
      <c r="EE336" s="542"/>
      <c r="EF336" s="542"/>
      <c r="EG336" s="542"/>
      <c r="EH336" s="542"/>
      <c r="EI336" s="542"/>
      <c r="EJ336" s="542"/>
      <c r="EK336" s="542"/>
      <c r="EL336" s="542"/>
      <c r="EM336" s="542"/>
      <c r="EN336" s="542"/>
      <c r="EO336" s="542"/>
      <c r="EP336" s="542"/>
      <c r="EQ336" s="542"/>
      <c r="ER336" s="542"/>
      <c r="ES336" s="542"/>
      <c r="ET336" s="542"/>
      <c r="EU336" s="542"/>
      <c r="EV336" s="542"/>
      <c r="EW336" s="542"/>
      <c r="EX336" s="542"/>
      <c r="EY336" s="542"/>
      <c r="EZ336" s="542"/>
      <c r="FA336" s="542"/>
      <c r="FB336" s="542"/>
      <c r="FC336" s="542"/>
      <c r="FD336" s="542"/>
      <c r="FE336" s="542"/>
      <c r="FF336" s="542"/>
      <c r="FG336" s="542"/>
      <c r="FH336" s="542"/>
      <c r="FI336" s="542"/>
      <c r="FJ336" s="542"/>
      <c r="FK336" s="542"/>
      <c r="FL336" s="542"/>
      <c r="FM336" s="542"/>
      <c r="FN336" s="542"/>
      <c r="FO336" s="542"/>
      <c r="FP336" s="542"/>
      <c r="FQ336" s="542"/>
      <c r="FR336" s="542"/>
      <c r="FS336" s="542"/>
      <c r="FT336" s="542"/>
      <c r="FU336" s="542"/>
      <c r="FV336" s="542"/>
      <c r="FW336" s="542"/>
      <c r="FX336" s="542"/>
      <c r="FY336" s="542"/>
      <c r="FZ336" s="542"/>
      <c r="GA336" s="542"/>
      <c r="GB336" s="542"/>
      <c r="GC336" s="542"/>
      <c r="GD336" s="542"/>
      <c r="GE336" s="542"/>
      <c r="GF336" s="542"/>
      <c r="GG336" s="542"/>
      <c r="GH336" s="542"/>
      <c r="GI336" s="542"/>
      <c r="GJ336" s="542"/>
      <c r="GK336" s="542"/>
      <c r="GL336" s="542"/>
      <c r="GM336" s="542"/>
      <c r="GN336" s="542"/>
      <c r="GO336" s="542"/>
      <c r="GP336" s="542"/>
      <c r="GQ336" s="542"/>
      <c r="GR336" s="542"/>
      <c r="GS336" s="542"/>
      <c r="GT336" s="542"/>
      <c r="GU336" s="542"/>
      <c r="GV336" s="542"/>
      <c r="GW336" s="542"/>
      <c r="GX336" s="542"/>
      <c r="GY336" s="542"/>
      <c r="GZ336" s="542"/>
      <c r="HA336" s="542"/>
      <c r="HB336" s="542"/>
      <c r="HC336" s="542"/>
      <c r="HD336" s="542"/>
      <c r="HE336" s="542"/>
      <c r="HF336" s="542"/>
      <c r="HG336" s="542"/>
      <c r="HH336" s="542"/>
      <c r="HI336" s="542"/>
      <c r="HJ336" s="542"/>
      <c r="HK336" s="542"/>
      <c r="HL336" s="542"/>
      <c r="HM336" s="542"/>
      <c r="HN336" s="542"/>
      <c r="HO336" s="542"/>
      <c r="HP336" s="542"/>
      <c r="HQ336" s="542"/>
      <c r="HR336" s="542"/>
      <c r="HS336" s="542"/>
      <c r="HT336" s="542"/>
      <c r="HU336" s="542"/>
      <c r="HV336" s="542"/>
      <c r="HW336" s="542"/>
      <c r="HX336" s="542"/>
      <c r="HY336" s="542"/>
      <c r="HZ336" s="542"/>
      <c r="IA336" s="542"/>
      <c r="IB336" s="542"/>
      <c r="IC336" s="542"/>
      <c r="ID336" s="542"/>
      <c r="IE336" s="542"/>
      <c r="IF336" s="542"/>
      <c r="IG336" s="542"/>
      <c r="IH336" s="542"/>
      <c r="II336" s="542"/>
      <c r="IJ336" s="542"/>
      <c r="IK336" s="542"/>
      <c r="IL336" s="542"/>
      <c r="IM336" s="542"/>
      <c r="IN336" s="542"/>
      <c r="IO336" s="542"/>
      <c r="IP336" s="542"/>
      <c r="IQ336" s="542"/>
      <c r="IR336" s="542"/>
      <c r="IS336" s="542"/>
      <c r="IT336" s="542"/>
      <c r="IU336" s="542"/>
      <c r="IV336" s="542"/>
      <c r="IW336" s="542"/>
      <c r="IX336" s="542"/>
      <c r="IY336" s="542"/>
      <c r="IZ336" s="542"/>
      <c r="JA336" s="542"/>
      <c r="JB336" s="542"/>
    </row>
    <row r="337" spans="104:262" ht="18.899999999999999" customHeight="1">
      <c r="CZ337" s="542"/>
      <c r="DA337" s="542"/>
      <c r="DB337" s="542"/>
      <c r="DC337" s="542"/>
      <c r="DD337" s="542"/>
      <c r="DE337" s="542"/>
      <c r="DF337" s="542"/>
      <c r="DG337" s="542"/>
      <c r="DH337" s="542"/>
      <c r="DI337" s="542"/>
      <c r="DJ337" s="542"/>
      <c r="DK337" s="542"/>
      <c r="DL337" s="542"/>
      <c r="DM337" s="542"/>
      <c r="DN337" s="542"/>
      <c r="DO337" s="542"/>
      <c r="DP337" s="542"/>
      <c r="DQ337" s="542"/>
      <c r="DR337" s="542"/>
      <c r="DS337" s="542"/>
      <c r="DT337" s="542"/>
      <c r="DU337" s="542"/>
      <c r="DV337" s="542"/>
      <c r="DW337" s="542"/>
      <c r="DX337" s="542"/>
      <c r="DY337" s="542"/>
      <c r="DZ337" s="542"/>
      <c r="EA337" s="542"/>
      <c r="EB337" s="542"/>
      <c r="EC337" s="542"/>
      <c r="ED337" s="542"/>
      <c r="EE337" s="542"/>
      <c r="EF337" s="542"/>
      <c r="EG337" s="542"/>
      <c r="EH337" s="542"/>
      <c r="EI337" s="542"/>
      <c r="EJ337" s="542"/>
      <c r="EK337" s="542"/>
      <c r="EL337" s="542"/>
      <c r="EM337" s="542"/>
      <c r="EN337" s="542"/>
      <c r="EO337" s="542"/>
      <c r="EP337" s="542"/>
      <c r="EQ337" s="542"/>
      <c r="ER337" s="542"/>
      <c r="ES337" s="542"/>
      <c r="ET337" s="542"/>
      <c r="EU337" s="542"/>
      <c r="EV337" s="542"/>
      <c r="EW337" s="542"/>
      <c r="EX337" s="542"/>
      <c r="EY337" s="542"/>
      <c r="EZ337" s="542"/>
      <c r="FA337" s="542"/>
      <c r="FB337" s="542"/>
      <c r="FC337" s="542"/>
      <c r="FD337" s="542"/>
      <c r="FE337" s="542"/>
      <c r="FF337" s="542"/>
      <c r="FG337" s="542"/>
      <c r="FH337" s="542"/>
      <c r="FI337" s="542"/>
      <c r="FJ337" s="542"/>
      <c r="FK337" s="542"/>
      <c r="FL337" s="542"/>
      <c r="FM337" s="542"/>
      <c r="FN337" s="542"/>
      <c r="FO337" s="542"/>
      <c r="FP337" s="542"/>
      <c r="FQ337" s="542"/>
      <c r="FR337" s="542"/>
      <c r="FS337" s="542"/>
      <c r="FT337" s="542"/>
      <c r="FU337" s="542"/>
      <c r="FV337" s="542"/>
      <c r="FW337" s="542"/>
      <c r="FX337" s="542"/>
      <c r="FY337" s="542"/>
      <c r="FZ337" s="542"/>
      <c r="GA337" s="542"/>
      <c r="GB337" s="542"/>
      <c r="GC337" s="542"/>
      <c r="GD337" s="542"/>
      <c r="GE337" s="542"/>
      <c r="GF337" s="542"/>
      <c r="GG337" s="542"/>
      <c r="GH337" s="542"/>
      <c r="GI337" s="542"/>
      <c r="GJ337" s="542"/>
      <c r="GK337" s="542"/>
      <c r="GL337" s="542"/>
      <c r="GM337" s="542"/>
      <c r="GN337" s="542"/>
      <c r="GO337" s="542"/>
      <c r="GP337" s="542"/>
      <c r="GQ337" s="542"/>
      <c r="GR337" s="542"/>
      <c r="GS337" s="542"/>
      <c r="GT337" s="542"/>
      <c r="GU337" s="542"/>
      <c r="GV337" s="542"/>
      <c r="GW337" s="542"/>
      <c r="GX337" s="542"/>
      <c r="GY337" s="542"/>
      <c r="GZ337" s="542"/>
      <c r="HA337" s="542"/>
      <c r="HB337" s="542"/>
      <c r="HC337" s="542"/>
      <c r="HD337" s="542"/>
      <c r="HE337" s="542"/>
      <c r="HF337" s="542"/>
      <c r="HG337" s="542"/>
      <c r="HH337" s="542"/>
      <c r="HI337" s="542"/>
      <c r="HJ337" s="542"/>
      <c r="HK337" s="542"/>
      <c r="HL337" s="542"/>
      <c r="HM337" s="542"/>
      <c r="HN337" s="542"/>
      <c r="HO337" s="542"/>
      <c r="HP337" s="542"/>
      <c r="HQ337" s="542"/>
      <c r="HR337" s="542"/>
      <c r="HS337" s="542"/>
      <c r="HT337" s="542"/>
      <c r="HU337" s="542"/>
      <c r="HV337" s="542"/>
      <c r="HW337" s="542"/>
      <c r="HX337" s="542"/>
      <c r="HY337" s="542"/>
      <c r="HZ337" s="542"/>
      <c r="IA337" s="542"/>
      <c r="IB337" s="542"/>
      <c r="IC337" s="542"/>
      <c r="ID337" s="542"/>
      <c r="IE337" s="542"/>
      <c r="IF337" s="542"/>
      <c r="IG337" s="542"/>
      <c r="IH337" s="542"/>
      <c r="II337" s="542"/>
      <c r="IJ337" s="542"/>
      <c r="IK337" s="542"/>
      <c r="IL337" s="542"/>
      <c r="IM337" s="542"/>
      <c r="IN337" s="542"/>
      <c r="IO337" s="542"/>
      <c r="IP337" s="542"/>
      <c r="IQ337" s="542"/>
      <c r="IR337" s="542"/>
      <c r="IS337" s="542"/>
      <c r="IT337" s="542"/>
      <c r="IU337" s="542"/>
      <c r="IV337" s="542"/>
      <c r="IW337" s="542"/>
      <c r="IX337" s="542"/>
      <c r="IY337" s="542"/>
      <c r="IZ337" s="542"/>
      <c r="JA337" s="542"/>
      <c r="JB337" s="542"/>
    </row>
    <row r="338" spans="104:262" ht="18.899999999999999" customHeight="1">
      <c r="CZ338" s="542"/>
      <c r="DA338" s="542"/>
      <c r="DB338" s="542"/>
      <c r="DC338" s="542"/>
      <c r="DD338" s="542"/>
      <c r="DE338" s="542"/>
      <c r="DF338" s="542"/>
      <c r="DG338" s="542"/>
      <c r="DH338" s="542"/>
      <c r="DI338" s="542"/>
      <c r="DJ338" s="542"/>
      <c r="DK338" s="542"/>
      <c r="DL338" s="542"/>
      <c r="DM338" s="542"/>
      <c r="DN338" s="542"/>
      <c r="DO338" s="542"/>
      <c r="DP338" s="542"/>
      <c r="DQ338" s="542"/>
      <c r="DR338" s="542"/>
      <c r="DS338" s="542"/>
      <c r="DT338" s="542"/>
      <c r="DU338" s="542"/>
      <c r="DV338" s="542"/>
      <c r="DW338" s="542"/>
      <c r="DX338" s="542"/>
      <c r="DY338" s="542"/>
      <c r="DZ338" s="542"/>
      <c r="EA338" s="542"/>
      <c r="EB338" s="542"/>
      <c r="EC338" s="542"/>
      <c r="ED338" s="542"/>
      <c r="EE338" s="542"/>
      <c r="EF338" s="542"/>
      <c r="EG338" s="542"/>
      <c r="EH338" s="542"/>
      <c r="EI338" s="542"/>
      <c r="EJ338" s="542"/>
      <c r="EK338" s="542"/>
      <c r="EL338" s="542"/>
      <c r="EM338" s="542"/>
      <c r="EN338" s="542"/>
      <c r="EO338" s="542"/>
      <c r="EP338" s="542"/>
      <c r="EQ338" s="542"/>
      <c r="ER338" s="542"/>
      <c r="ES338" s="542"/>
      <c r="ET338" s="542"/>
      <c r="EU338" s="542"/>
      <c r="EV338" s="542"/>
      <c r="EW338" s="542"/>
      <c r="EX338" s="542"/>
      <c r="EY338" s="542"/>
      <c r="EZ338" s="542"/>
      <c r="FA338" s="542"/>
      <c r="FB338" s="542"/>
      <c r="FC338" s="542"/>
      <c r="FD338" s="542"/>
      <c r="FE338" s="542"/>
      <c r="FF338" s="542"/>
      <c r="FG338" s="542"/>
      <c r="FH338" s="542"/>
      <c r="FI338" s="542"/>
      <c r="FJ338" s="542"/>
      <c r="FK338" s="542"/>
      <c r="FL338" s="542"/>
      <c r="FM338" s="542"/>
      <c r="FN338" s="542"/>
      <c r="FO338" s="542"/>
      <c r="FP338" s="542"/>
      <c r="FQ338" s="542"/>
      <c r="FR338" s="542"/>
      <c r="FS338" s="542"/>
      <c r="FT338" s="542"/>
      <c r="FU338" s="542"/>
      <c r="FV338" s="542"/>
      <c r="FW338" s="542"/>
      <c r="FX338" s="542"/>
      <c r="FY338" s="542"/>
      <c r="FZ338" s="542"/>
      <c r="GA338" s="542"/>
      <c r="GB338" s="542"/>
      <c r="GC338" s="542"/>
      <c r="GD338" s="542"/>
      <c r="GE338" s="542"/>
      <c r="GF338" s="542"/>
      <c r="GG338" s="542"/>
      <c r="GH338" s="542"/>
      <c r="GI338" s="542"/>
      <c r="GJ338" s="542"/>
      <c r="GK338" s="542"/>
      <c r="GL338" s="542"/>
      <c r="GM338" s="542"/>
      <c r="GN338" s="542"/>
      <c r="GO338" s="542"/>
      <c r="GP338" s="542"/>
      <c r="GQ338" s="542"/>
      <c r="GR338" s="542"/>
      <c r="GS338" s="542"/>
      <c r="GT338" s="542"/>
      <c r="GU338" s="542"/>
      <c r="GV338" s="542"/>
      <c r="GW338" s="542"/>
      <c r="GX338" s="542"/>
      <c r="GY338" s="542"/>
      <c r="GZ338" s="542"/>
      <c r="HA338" s="542"/>
      <c r="HB338" s="542"/>
      <c r="HC338" s="542"/>
      <c r="HD338" s="542"/>
      <c r="HE338" s="542"/>
      <c r="HF338" s="542"/>
      <c r="HG338" s="542"/>
      <c r="HH338" s="542"/>
      <c r="HI338" s="542"/>
      <c r="HJ338" s="542"/>
      <c r="HK338" s="542"/>
      <c r="HL338" s="542"/>
      <c r="HM338" s="542"/>
      <c r="HN338" s="542"/>
      <c r="HO338" s="542"/>
      <c r="HP338" s="542"/>
      <c r="HQ338" s="542"/>
      <c r="HR338" s="542"/>
      <c r="HS338" s="542"/>
      <c r="HT338" s="542"/>
      <c r="HU338" s="542"/>
      <c r="HV338" s="542"/>
      <c r="HW338" s="542"/>
      <c r="HX338" s="542"/>
      <c r="HY338" s="542"/>
      <c r="HZ338" s="542"/>
      <c r="IA338" s="542"/>
      <c r="IB338" s="542"/>
      <c r="IC338" s="542"/>
      <c r="ID338" s="542"/>
      <c r="IE338" s="542"/>
      <c r="IF338" s="542"/>
      <c r="IG338" s="542"/>
      <c r="IH338" s="542"/>
      <c r="II338" s="542"/>
      <c r="IJ338" s="542"/>
      <c r="IK338" s="542"/>
      <c r="IL338" s="542"/>
      <c r="IM338" s="542"/>
      <c r="IN338" s="542"/>
      <c r="IO338" s="542"/>
      <c r="IP338" s="542"/>
      <c r="IQ338" s="542"/>
      <c r="IR338" s="542"/>
      <c r="IS338" s="542"/>
      <c r="IT338" s="542"/>
      <c r="IU338" s="542"/>
      <c r="IV338" s="542"/>
      <c r="IW338" s="542"/>
      <c r="IX338" s="542"/>
      <c r="IY338" s="542"/>
      <c r="IZ338" s="542"/>
      <c r="JA338" s="542"/>
      <c r="JB338" s="542"/>
    </row>
    <row r="339" spans="104:262" ht="18.899999999999999" customHeight="1">
      <c r="CZ339" s="542"/>
      <c r="DA339" s="542"/>
      <c r="DB339" s="542"/>
      <c r="DC339" s="542"/>
      <c r="DD339" s="542"/>
      <c r="DE339" s="542"/>
      <c r="DF339" s="542"/>
      <c r="DG339" s="542"/>
      <c r="DH339" s="542"/>
      <c r="DI339" s="542"/>
      <c r="DJ339" s="542"/>
      <c r="DK339" s="542"/>
      <c r="DL339" s="542"/>
      <c r="DM339" s="542"/>
      <c r="DN339" s="542"/>
      <c r="DO339" s="542"/>
      <c r="DP339" s="542"/>
      <c r="DQ339" s="542"/>
      <c r="DR339" s="542"/>
      <c r="DS339" s="542"/>
      <c r="DT339" s="542"/>
      <c r="DU339" s="542"/>
      <c r="DV339" s="542"/>
      <c r="DW339" s="542"/>
      <c r="DX339" s="542"/>
      <c r="DY339" s="542"/>
      <c r="DZ339" s="542"/>
      <c r="EA339" s="542"/>
      <c r="EB339" s="542"/>
      <c r="EC339" s="542"/>
      <c r="ED339" s="542"/>
      <c r="EE339" s="542"/>
      <c r="EF339" s="542"/>
      <c r="EG339" s="542"/>
      <c r="EH339" s="542"/>
      <c r="EI339" s="542"/>
      <c r="EJ339" s="542"/>
      <c r="EK339" s="542"/>
      <c r="EL339" s="542"/>
      <c r="EM339" s="542"/>
      <c r="EN339" s="542"/>
      <c r="EO339" s="542"/>
      <c r="EP339" s="542"/>
      <c r="EQ339" s="542"/>
      <c r="ER339" s="542"/>
      <c r="ES339" s="542"/>
      <c r="ET339" s="542"/>
      <c r="EU339" s="542"/>
      <c r="EV339" s="542"/>
      <c r="EW339" s="542"/>
      <c r="EX339" s="542"/>
      <c r="EY339" s="542"/>
      <c r="EZ339" s="542"/>
      <c r="FA339" s="542"/>
      <c r="FB339" s="542"/>
      <c r="FC339" s="542"/>
      <c r="FD339" s="542"/>
      <c r="FE339" s="542"/>
      <c r="FF339" s="542"/>
      <c r="FG339" s="542"/>
      <c r="FH339" s="542"/>
      <c r="FI339" s="542"/>
      <c r="FJ339" s="542"/>
      <c r="FK339" s="542"/>
      <c r="FL339" s="542"/>
      <c r="FM339" s="542"/>
      <c r="FN339" s="542"/>
      <c r="FO339" s="542"/>
      <c r="FP339" s="542"/>
      <c r="FQ339" s="542"/>
      <c r="FR339" s="542"/>
      <c r="FS339" s="542"/>
      <c r="FT339" s="542"/>
      <c r="FU339" s="542"/>
      <c r="FV339" s="542"/>
      <c r="FW339" s="542"/>
      <c r="FX339" s="542"/>
      <c r="FY339" s="542"/>
      <c r="FZ339" s="542"/>
      <c r="GA339" s="542"/>
      <c r="GB339" s="542"/>
      <c r="GC339" s="542"/>
      <c r="GD339" s="542"/>
      <c r="GE339" s="542"/>
      <c r="GF339" s="542"/>
      <c r="GG339" s="542"/>
      <c r="GH339" s="542"/>
      <c r="GI339" s="542"/>
      <c r="GJ339" s="542"/>
      <c r="GK339" s="542"/>
      <c r="GL339" s="542"/>
      <c r="GM339" s="542"/>
      <c r="GN339" s="542"/>
      <c r="GO339" s="542"/>
      <c r="GP339" s="542"/>
      <c r="GQ339" s="542"/>
      <c r="GR339" s="542"/>
      <c r="GS339" s="542"/>
      <c r="GT339" s="542"/>
      <c r="GU339" s="542"/>
      <c r="GV339" s="542"/>
      <c r="GW339" s="542"/>
      <c r="GX339" s="542"/>
      <c r="GY339" s="542"/>
      <c r="GZ339" s="542"/>
      <c r="HA339" s="542"/>
      <c r="HB339" s="542"/>
      <c r="HC339" s="542"/>
      <c r="HD339" s="542"/>
      <c r="HE339" s="542"/>
      <c r="HF339" s="542"/>
      <c r="HG339" s="542"/>
      <c r="HH339" s="542"/>
      <c r="HI339" s="542"/>
      <c r="HJ339" s="542"/>
      <c r="HK339" s="542"/>
      <c r="HL339" s="542"/>
      <c r="HM339" s="542"/>
      <c r="HN339" s="542"/>
      <c r="HO339" s="542"/>
      <c r="HP339" s="542"/>
      <c r="HQ339" s="542"/>
      <c r="HR339" s="542"/>
      <c r="HS339" s="542"/>
      <c r="HT339" s="542"/>
      <c r="HU339" s="542"/>
      <c r="HV339" s="542"/>
      <c r="HW339" s="542"/>
      <c r="HX339" s="542"/>
      <c r="HY339" s="542"/>
      <c r="HZ339" s="542"/>
      <c r="IA339" s="542"/>
      <c r="IB339" s="542"/>
      <c r="IC339" s="542"/>
      <c r="ID339" s="542"/>
      <c r="IE339" s="542"/>
      <c r="IF339" s="542"/>
      <c r="IG339" s="542"/>
      <c r="IH339" s="542"/>
      <c r="II339" s="542"/>
      <c r="IJ339" s="542"/>
      <c r="IK339" s="542"/>
      <c r="IL339" s="542"/>
      <c r="IM339" s="542"/>
      <c r="IN339" s="542"/>
      <c r="IO339" s="542"/>
      <c r="IP339" s="542"/>
      <c r="IQ339" s="542"/>
      <c r="IR339" s="542"/>
      <c r="IS339" s="542"/>
      <c r="IT339" s="542"/>
      <c r="IU339" s="542"/>
      <c r="IV339" s="542"/>
      <c r="IW339" s="542"/>
      <c r="IX339" s="542"/>
      <c r="IY339" s="542"/>
      <c r="IZ339" s="542"/>
      <c r="JA339" s="542"/>
      <c r="JB339" s="542"/>
    </row>
    <row r="340" spans="104:262" ht="18.899999999999999" customHeight="1">
      <c r="CZ340" s="542"/>
      <c r="DA340" s="542"/>
      <c r="DB340" s="542"/>
      <c r="DC340" s="542"/>
      <c r="DD340" s="542"/>
      <c r="DE340" s="542"/>
      <c r="DF340" s="542"/>
      <c r="DG340" s="542"/>
      <c r="DH340" s="542"/>
      <c r="DI340" s="542"/>
      <c r="DJ340" s="542"/>
      <c r="DK340" s="542"/>
      <c r="DL340" s="542"/>
      <c r="DM340" s="542"/>
      <c r="DN340" s="542"/>
      <c r="DO340" s="542"/>
      <c r="DP340" s="542"/>
      <c r="DQ340" s="542"/>
      <c r="DR340" s="542"/>
      <c r="DS340" s="542"/>
      <c r="DT340" s="542"/>
      <c r="DU340" s="542"/>
      <c r="DV340" s="542"/>
      <c r="DW340" s="542"/>
      <c r="DX340" s="542"/>
      <c r="DY340" s="542"/>
      <c r="DZ340" s="542"/>
      <c r="EA340" s="542"/>
      <c r="EB340" s="542"/>
      <c r="EC340" s="542"/>
      <c r="ED340" s="542"/>
      <c r="EE340" s="542"/>
      <c r="EF340" s="542"/>
      <c r="EG340" s="542"/>
      <c r="EH340" s="542"/>
      <c r="EI340" s="542"/>
      <c r="EJ340" s="542"/>
      <c r="EK340" s="542"/>
      <c r="EL340" s="542"/>
      <c r="EM340" s="542"/>
      <c r="EN340" s="542"/>
      <c r="EO340" s="542"/>
      <c r="EP340" s="542"/>
      <c r="EQ340" s="542"/>
      <c r="ER340" s="542"/>
      <c r="ES340" s="542"/>
      <c r="ET340" s="542"/>
      <c r="EU340" s="542"/>
      <c r="EV340" s="542"/>
      <c r="EW340" s="542"/>
      <c r="EX340" s="542"/>
      <c r="EY340" s="542"/>
      <c r="EZ340" s="542"/>
      <c r="FA340" s="542"/>
      <c r="FB340" s="542"/>
      <c r="FC340" s="542"/>
      <c r="FD340" s="542"/>
      <c r="FE340" s="542"/>
      <c r="FF340" s="542"/>
      <c r="FG340" s="542"/>
      <c r="FH340" s="542"/>
      <c r="FI340" s="542"/>
      <c r="FJ340" s="542"/>
      <c r="FK340" s="542"/>
      <c r="FL340" s="542"/>
      <c r="FM340" s="542"/>
      <c r="FN340" s="542"/>
      <c r="FO340" s="542"/>
      <c r="FP340" s="542"/>
      <c r="FQ340" s="542"/>
      <c r="FR340" s="542"/>
      <c r="FS340" s="542"/>
      <c r="FT340" s="542"/>
      <c r="FU340" s="542"/>
      <c r="FV340" s="542"/>
      <c r="FW340" s="542"/>
      <c r="FX340" s="542"/>
      <c r="FY340" s="542"/>
      <c r="FZ340" s="542"/>
      <c r="GA340" s="542"/>
      <c r="GB340" s="542"/>
      <c r="GC340" s="542"/>
      <c r="GD340" s="542"/>
      <c r="GE340" s="542"/>
      <c r="GF340" s="542"/>
      <c r="GG340" s="542"/>
      <c r="GH340" s="542"/>
      <c r="GI340" s="542"/>
      <c r="GJ340" s="542"/>
      <c r="GK340" s="542"/>
      <c r="GL340" s="542"/>
      <c r="GM340" s="542"/>
      <c r="GN340" s="542"/>
      <c r="GO340" s="542"/>
      <c r="GP340" s="542"/>
      <c r="GQ340" s="542"/>
      <c r="GR340" s="542"/>
      <c r="GS340" s="542"/>
      <c r="GT340" s="542"/>
      <c r="GU340" s="542"/>
      <c r="GV340" s="542"/>
      <c r="GW340" s="542"/>
      <c r="GX340" s="542"/>
      <c r="GY340" s="542"/>
      <c r="GZ340" s="542"/>
      <c r="HA340" s="542"/>
      <c r="HB340" s="542"/>
      <c r="HC340" s="542"/>
      <c r="HD340" s="542"/>
      <c r="HE340" s="542"/>
      <c r="HF340" s="542"/>
      <c r="HG340" s="542"/>
      <c r="HH340" s="542"/>
      <c r="HI340" s="542"/>
      <c r="HJ340" s="542"/>
      <c r="HK340" s="542"/>
      <c r="HL340" s="542"/>
      <c r="HM340" s="542"/>
      <c r="HN340" s="542"/>
      <c r="HO340" s="542"/>
      <c r="HP340" s="542"/>
      <c r="HQ340" s="542"/>
      <c r="HR340" s="542"/>
      <c r="HS340" s="542"/>
      <c r="HT340" s="542"/>
      <c r="HU340" s="542"/>
      <c r="HV340" s="542"/>
      <c r="HW340" s="542"/>
      <c r="HX340" s="542"/>
      <c r="HY340" s="542"/>
      <c r="HZ340" s="542"/>
      <c r="IA340" s="542"/>
      <c r="IB340" s="542"/>
      <c r="IC340" s="542"/>
      <c r="ID340" s="542"/>
      <c r="IE340" s="542"/>
      <c r="IF340" s="542"/>
      <c r="IG340" s="542"/>
      <c r="IH340" s="542"/>
      <c r="II340" s="542"/>
      <c r="IJ340" s="542"/>
      <c r="IK340" s="542"/>
      <c r="IL340" s="542"/>
      <c r="IM340" s="542"/>
      <c r="IN340" s="542"/>
      <c r="IO340" s="542"/>
      <c r="IP340" s="542"/>
      <c r="IQ340" s="542"/>
      <c r="IR340" s="542"/>
      <c r="IS340" s="542"/>
      <c r="IT340" s="542"/>
      <c r="IU340" s="542"/>
      <c r="IV340" s="542"/>
      <c r="IW340" s="542"/>
      <c r="IX340" s="542"/>
      <c r="IY340" s="542"/>
      <c r="IZ340" s="542"/>
      <c r="JA340" s="542"/>
      <c r="JB340" s="542"/>
    </row>
    <row r="341" spans="104:262" ht="18.899999999999999" customHeight="1">
      <c r="CZ341" s="542"/>
      <c r="DA341" s="542"/>
      <c r="DB341" s="542"/>
      <c r="DC341" s="542"/>
      <c r="DD341" s="542"/>
      <c r="DE341" s="542"/>
      <c r="DF341" s="542"/>
      <c r="DG341" s="542"/>
      <c r="DH341" s="542"/>
      <c r="DI341" s="542"/>
      <c r="DJ341" s="542"/>
      <c r="DK341" s="542"/>
      <c r="DL341" s="542"/>
      <c r="DM341" s="542"/>
      <c r="DN341" s="542"/>
      <c r="DO341" s="542"/>
      <c r="DP341" s="542"/>
      <c r="DQ341" s="542"/>
      <c r="DR341" s="542"/>
      <c r="DS341" s="542"/>
      <c r="DT341" s="542"/>
      <c r="DU341" s="542"/>
      <c r="DV341" s="542"/>
      <c r="DW341" s="542"/>
      <c r="DX341" s="542"/>
      <c r="DY341" s="542"/>
      <c r="DZ341" s="542"/>
      <c r="EA341" s="542"/>
      <c r="EB341" s="542"/>
      <c r="EC341" s="542"/>
      <c r="ED341" s="542"/>
      <c r="EE341" s="542"/>
      <c r="EF341" s="542"/>
      <c r="EG341" s="542"/>
      <c r="EH341" s="542"/>
      <c r="EI341" s="542"/>
      <c r="EJ341" s="542"/>
      <c r="EK341" s="542"/>
      <c r="EL341" s="542"/>
      <c r="EM341" s="542"/>
      <c r="EN341" s="542"/>
      <c r="EO341" s="542"/>
      <c r="EP341" s="542"/>
      <c r="EQ341" s="542"/>
      <c r="ER341" s="542"/>
      <c r="ES341" s="542"/>
      <c r="ET341" s="542"/>
      <c r="EU341" s="542"/>
      <c r="EV341" s="542"/>
      <c r="EW341" s="542"/>
      <c r="EX341" s="542"/>
      <c r="EY341" s="542"/>
      <c r="EZ341" s="542"/>
      <c r="FA341" s="542"/>
      <c r="FB341" s="542"/>
      <c r="FC341" s="542"/>
      <c r="FD341" s="542"/>
      <c r="FE341" s="542"/>
      <c r="FF341" s="542"/>
      <c r="FG341" s="542"/>
      <c r="FH341" s="542"/>
      <c r="FI341" s="542"/>
      <c r="FJ341" s="542"/>
      <c r="FK341" s="542"/>
      <c r="FL341" s="542"/>
      <c r="FM341" s="542"/>
      <c r="FN341" s="542"/>
      <c r="FO341" s="542"/>
      <c r="FP341" s="542"/>
      <c r="FQ341" s="542"/>
      <c r="FR341" s="542"/>
      <c r="FS341" s="542"/>
      <c r="FT341" s="542"/>
      <c r="FU341" s="542"/>
      <c r="FV341" s="542"/>
      <c r="FW341" s="542"/>
      <c r="FX341" s="542"/>
      <c r="FY341" s="542"/>
      <c r="FZ341" s="542"/>
      <c r="GA341" s="542"/>
      <c r="GB341" s="542"/>
      <c r="GC341" s="542"/>
      <c r="GD341" s="542"/>
      <c r="GE341" s="542"/>
      <c r="GF341" s="542"/>
      <c r="GG341" s="542"/>
      <c r="GH341" s="542"/>
      <c r="GI341" s="542"/>
      <c r="GJ341" s="542"/>
      <c r="GK341" s="542"/>
      <c r="GL341" s="542"/>
      <c r="GM341" s="542"/>
      <c r="GN341" s="542"/>
      <c r="GO341" s="542"/>
      <c r="GP341" s="542"/>
      <c r="GQ341" s="542"/>
      <c r="GR341" s="542"/>
      <c r="GS341" s="542"/>
      <c r="GT341" s="542"/>
      <c r="GU341" s="542"/>
      <c r="GV341" s="542"/>
      <c r="GW341" s="542"/>
      <c r="GX341" s="542"/>
      <c r="GY341" s="542"/>
      <c r="GZ341" s="542"/>
      <c r="HA341" s="542"/>
      <c r="HB341" s="542"/>
      <c r="HC341" s="542"/>
      <c r="HD341" s="542"/>
      <c r="HE341" s="542"/>
      <c r="HF341" s="542"/>
      <c r="HG341" s="542"/>
      <c r="HH341" s="542"/>
      <c r="HI341" s="542"/>
      <c r="HJ341" s="542"/>
      <c r="HK341" s="542"/>
      <c r="HL341" s="542"/>
      <c r="HM341" s="542"/>
      <c r="HN341" s="542"/>
      <c r="HO341" s="542"/>
      <c r="HP341" s="542"/>
      <c r="HQ341" s="542"/>
      <c r="HR341" s="542"/>
      <c r="HS341" s="542"/>
      <c r="HT341" s="542"/>
      <c r="HU341" s="542"/>
      <c r="HV341" s="542"/>
      <c r="HW341" s="542"/>
      <c r="HX341" s="542"/>
      <c r="HY341" s="542"/>
      <c r="HZ341" s="542"/>
      <c r="IA341" s="542"/>
      <c r="IB341" s="542"/>
      <c r="IC341" s="542"/>
      <c r="ID341" s="542"/>
      <c r="IE341" s="542"/>
      <c r="IF341" s="542"/>
      <c r="IG341" s="542"/>
      <c r="IH341" s="542"/>
      <c r="II341" s="542"/>
      <c r="IJ341" s="542"/>
      <c r="IK341" s="542"/>
      <c r="IL341" s="542"/>
      <c r="IM341" s="542"/>
      <c r="IN341" s="542"/>
      <c r="IO341" s="542"/>
      <c r="IP341" s="542"/>
      <c r="IQ341" s="542"/>
      <c r="IR341" s="542"/>
      <c r="IS341" s="542"/>
      <c r="IT341" s="542"/>
      <c r="IU341" s="542"/>
      <c r="IV341" s="542"/>
      <c r="IW341" s="542"/>
      <c r="IX341" s="542"/>
      <c r="IY341" s="542"/>
      <c r="IZ341" s="542"/>
      <c r="JA341" s="542"/>
      <c r="JB341" s="542"/>
    </row>
    <row r="342" spans="104:262" ht="18.899999999999999" customHeight="1">
      <c r="CZ342" s="542"/>
      <c r="DA342" s="542"/>
      <c r="DB342" s="542"/>
      <c r="DC342" s="542"/>
      <c r="DD342" s="542"/>
      <c r="DE342" s="542"/>
      <c r="DF342" s="542"/>
      <c r="DG342" s="542"/>
      <c r="DH342" s="542"/>
      <c r="DI342" s="542"/>
      <c r="DJ342" s="542"/>
      <c r="DK342" s="542"/>
      <c r="DL342" s="542"/>
      <c r="DM342" s="542"/>
      <c r="DN342" s="542"/>
      <c r="DO342" s="542"/>
      <c r="DP342" s="542"/>
      <c r="DQ342" s="542"/>
      <c r="DR342" s="542"/>
      <c r="DS342" s="542"/>
      <c r="DT342" s="542"/>
      <c r="DU342" s="542"/>
      <c r="DV342" s="542"/>
      <c r="DW342" s="542"/>
      <c r="DX342" s="542"/>
      <c r="DY342" s="542"/>
      <c r="DZ342" s="542"/>
      <c r="EA342" s="542"/>
      <c r="EB342" s="542"/>
      <c r="EC342" s="542"/>
      <c r="ED342" s="542"/>
      <c r="EE342" s="542"/>
      <c r="EF342" s="542"/>
      <c r="EG342" s="542"/>
      <c r="EH342" s="542"/>
      <c r="EI342" s="542"/>
      <c r="EJ342" s="542"/>
      <c r="EK342" s="542"/>
      <c r="EL342" s="542"/>
      <c r="EM342" s="542"/>
      <c r="EN342" s="542"/>
      <c r="EO342" s="542"/>
      <c r="EP342" s="542"/>
      <c r="EQ342" s="542"/>
      <c r="ER342" s="542"/>
      <c r="ES342" s="542"/>
      <c r="ET342" s="542"/>
      <c r="EU342" s="542"/>
      <c r="EV342" s="542"/>
      <c r="EW342" s="542"/>
      <c r="EX342" s="542"/>
      <c r="EY342" s="542"/>
      <c r="EZ342" s="542"/>
      <c r="FA342" s="542"/>
      <c r="FB342" s="542"/>
      <c r="FC342" s="542"/>
      <c r="FD342" s="542"/>
      <c r="FE342" s="542"/>
      <c r="FF342" s="542"/>
      <c r="FG342" s="542"/>
      <c r="FH342" s="542"/>
      <c r="FI342" s="542"/>
      <c r="FJ342" s="542"/>
      <c r="FK342" s="542"/>
      <c r="FL342" s="542"/>
      <c r="FM342" s="542"/>
      <c r="FN342" s="542"/>
      <c r="FO342" s="542"/>
      <c r="FP342" s="542"/>
      <c r="FQ342" s="542"/>
      <c r="FR342" s="542"/>
      <c r="FS342" s="542"/>
      <c r="FT342" s="542"/>
      <c r="FU342" s="542"/>
      <c r="FV342" s="542"/>
      <c r="FW342" s="542"/>
      <c r="FX342" s="542"/>
      <c r="FY342" s="542"/>
      <c r="FZ342" s="542"/>
      <c r="GA342" s="542"/>
      <c r="GB342" s="542"/>
      <c r="GC342" s="542"/>
      <c r="GD342" s="542"/>
      <c r="GE342" s="542"/>
      <c r="GF342" s="542"/>
      <c r="GG342" s="542"/>
      <c r="GH342" s="542"/>
      <c r="GI342" s="542"/>
      <c r="GJ342" s="542"/>
      <c r="GK342" s="542"/>
      <c r="GL342" s="542"/>
      <c r="GM342" s="542"/>
      <c r="GN342" s="542"/>
      <c r="GO342" s="542"/>
      <c r="GP342" s="542"/>
      <c r="GQ342" s="542"/>
      <c r="GR342" s="542"/>
      <c r="GS342" s="542"/>
      <c r="GT342" s="542"/>
      <c r="GU342" s="542"/>
      <c r="GV342" s="542"/>
      <c r="GW342" s="542"/>
      <c r="GX342" s="542"/>
      <c r="GY342" s="542"/>
      <c r="GZ342" s="542"/>
      <c r="HA342" s="542"/>
      <c r="HB342" s="542"/>
      <c r="HC342" s="542"/>
      <c r="HD342" s="542"/>
      <c r="HE342" s="542"/>
      <c r="HF342" s="542"/>
      <c r="HG342" s="542"/>
      <c r="HH342" s="542"/>
      <c r="HI342" s="542"/>
      <c r="HJ342" s="542"/>
      <c r="HK342" s="542"/>
      <c r="HL342" s="542"/>
      <c r="HM342" s="542"/>
      <c r="HN342" s="542"/>
      <c r="HO342" s="542"/>
      <c r="HP342" s="542"/>
      <c r="HQ342" s="542"/>
      <c r="HR342" s="542"/>
      <c r="HS342" s="542"/>
      <c r="HT342" s="542"/>
      <c r="HU342" s="542"/>
      <c r="HV342" s="542"/>
      <c r="HW342" s="542"/>
      <c r="HX342" s="542"/>
      <c r="HY342" s="542"/>
      <c r="HZ342" s="542"/>
      <c r="IA342" s="542"/>
      <c r="IB342" s="542"/>
      <c r="IC342" s="542"/>
      <c r="ID342" s="542"/>
      <c r="IE342" s="542"/>
      <c r="IF342" s="542"/>
      <c r="IG342" s="542"/>
      <c r="IH342" s="542"/>
      <c r="II342" s="542"/>
      <c r="IJ342" s="542"/>
      <c r="IK342" s="542"/>
      <c r="IL342" s="542"/>
      <c r="IM342" s="542"/>
      <c r="IN342" s="542"/>
      <c r="IO342" s="542"/>
      <c r="IP342" s="542"/>
      <c r="IQ342" s="542"/>
      <c r="IR342" s="542"/>
      <c r="IS342" s="542"/>
      <c r="IT342" s="542"/>
      <c r="IU342" s="542"/>
      <c r="IV342" s="542"/>
      <c r="IW342" s="542"/>
      <c r="IX342" s="542"/>
      <c r="IY342" s="542"/>
      <c r="IZ342" s="542"/>
      <c r="JA342" s="542"/>
      <c r="JB342" s="542"/>
    </row>
    <row r="343" spans="104:262" ht="18.899999999999999" customHeight="1">
      <c r="CZ343" s="542"/>
      <c r="DA343" s="542"/>
      <c r="DB343" s="542"/>
      <c r="DC343" s="542"/>
      <c r="DD343" s="542"/>
      <c r="DE343" s="542"/>
      <c r="DF343" s="542"/>
      <c r="DG343" s="542"/>
      <c r="DH343" s="542"/>
      <c r="DI343" s="542"/>
      <c r="DJ343" s="542"/>
      <c r="DK343" s="542"/>
      <c r="DL343" s="542"/>
      <c r="DM343" s="542"/>
      <c r="DN343" s="542"/>
      <c r="DO343" s="542"/>
      <c r="DP343" s="542"/>
      <c r="DQ343" s="542"/>
      <c r="DR343" s="542"/>
      <c r="DS343" s="542"/>
      <c r="DT343" s="542"/>
      <c r="DU343" s="542"/>
      <c r="DV343" s="542"/>
      <c r="DW343" s="542"/>
      <c r="DX343" s="542"/>
      <c r="DY343" s="542"/>
      <c r="DZ343" s="542"/>
      <c r="EA343" s="542"/>
      <c r="EB343" s="542"/>
      <c r="EC343" s="542"/>
      <c r="ED343" s="542"/>
      <c r="EE343" s="542"/>
      <c r="EF343" s="542"/>
      <c r="EG343" s="542"/>
      <c r="EH343" s="542"/>
      <c r="EI343" s="542"/>
      <c r="EJ343" s="542"/>
      <c r="EK343" s="542"/>
      <c r="EL343" s="542"/>
      <c r="EM343" s="542"/>
      <c r="EN343" s="542"/>
      <c r="EO343" s="542"/>
      <c r="EP343" s="542"/>
      <c r="EQ343" s="542"/>
      <c r="ER343" s="542"/>
      <c r="ES343" s="542"/>
      <c r="ET343" s="542"/>
      <c r="EU343" s="542"/>
      <c r="EV343" s="542"/>
      <c r="EW343" s="542"/>
      <c r="EX343" s="542"/>
      <c r="EY343" s="542"/>
      <c r="EZ343" s="542"/>
      <c r="FA343" s="542"/>
      <c r="FB343" s="542"/>
      <c r="FC343" s="542"/>
      <c r="FD343" s="542"/>
      <c r="FE343" s="542"/>
      <c r="FF343" s="542"/>
      <c r="FG343" s="542"/>
      <c r="FH343" s="542"/>
      <c r="FI343" s="542"/>
      <c r="FJ343" s="542"/>
      <c r="FK343" s="542"/>
      <c r="FL343" s="542"/>
      <c r="FM343" s="542"/>
      <c r="FN343" s="542"/>
      <c r="FO343" s="542"/>
      <c r="FP343" s="542"/>
      <c r="FQ343" s="542"/>
      <c r="FR343" s="542"/>
      <c r="FS343" s="542"/>
      <c r="FT343" s="542"/>
      <c r="FU343" s="542"/>
      <c r="FV343" s="542"/>
      <c r="FW343" s="542"/>
      <c r="FX343" s="542"/>
      <c r="FY343" s="542"/>
      <c r="FZ343" s="542"/>
      <c r="GA343" s="542"/>
      <c r="GB343" s="542"/>
      <c r="GC343" s="542"/>
      <c r="GD343" s="542"/>
      <c r="GE343" s="542"/>
      <c r="GF343" s="542"/>
      <c r="GG343" s="542"/>
      <c r="GH343" s="542"/>
      <c r="GI343" s="542"/>
      <c r="GJ343" s="542"/>
      <c r="GK343" s="542"/>
      <c r="GL343" s="542"/>
      <c r="GM343" s="542"/>
      <c r="GN343" s="542"/>
      <c r="GO343" s="542"/>
      <c r="GP343" s="542"/>
      <c r="GQ343" s="542"/>
      <c r="GR343" s="542"/>
      <c r="GS343" s="542"/>
      <c r="GT343" s="542"/>
      <c r="GU343" s="542"/>
      <c r="GV343" s="542"/>
      <c r="GW343" s="542"/>
      <c r="GX343" s="542"/>
      <c r="GY343" s="542"/>
      <c r="GZ343" s="542"/>
      <c r="HA343" s="542"/>
      <c r="HB343" s="542"/>
      <c r="HC343" s="542"/>
      <c r="HD343" s="542"/>
      <c r="HE343" s="542"/>
      <c r="HF343" s="542"/>
      <c r="HG343" s="542"/>
      <c r="HH343" s="542"/>
      <c r="HI343" s="542"/>
      <c r="HJ343" s="542"/>
      <c r="HK343" s="542"/>
      <c r="HL343" s="542"/>
      <c r="HM343" s="542"/>
      <c r="HN343" s="542"/>
      <c r="HO343" s="542"/>
      <c r="HP343" s="542"/>
      <c r="HQ343" s="542"/>
      <c r="HR343" s="542"/>
      <c r="HS343" s="542"/>
      <c r="HT343" s="542"/>
      <c r="HU343" s="542"/>
      <c r="HV343" s="542"/>
      <c r="HW343" s="542"/>
      <c r="HX343" s="542"/>
      <c r="HY343" s="542"/>
      <c r="HZ343" s="542"/>
      <c r="IA343" s="542"/>
      <c r="IB343" s="542"/>
      <c r="IC343" s="542"/>
      <c r="ID343" s="542"/>
      <c r="IE343" s="542"/>
      <c r="IF343" s="542"/>
      <c r="IG343" s="542"/>
      <c r="IH343" s="542"/>
      <c r="II343" s="542"/>
      <c r="IJ343" s="542"/>
      <c r="IK343" s="542"/>
      <c r="IL343" s="542"/>
      <c r="IM343" s="542"/>
      <c r="IN343" s="542"/>
      <c r="IO343" s="542"/>
      <c r="IP343" s="542"/>
      <c r="IQ343" s="542"/>
      <c r="IR343" s="542"/>
      <c r="IS343" s="542"/>
      <c r="IT343" s="542"/>
      <c r="IU343" s="542"/>
      <c r="IV343" s="542"/>
      <c r="IW343" s="542"/>
      <c r="IX343" s="542"/>
      <c r="IY343" s="542"/>
      <c r="IZ343" s="542"/>
      <c r="JA343" s="542"/>
      <c r="JB343" s="542"/>
    </row>
    <row r="344" spans="104:262" ht="18.899999999999999" customHeight="1">
      <c r="CZ344" s="542"/>
      <c r="DA344" s="542"/>
      <c r="DB344" s="542"/>
      <c r="DC344" s="542"/>
      <c r="DD344" s="542"/>
      <c r="DE344" s="542"/>
      <c r="DF344" s="542"/>
      <c r="DG344" s="542"/>
      <c r="DH344" s="542"/>
      <c r="DI344" s="542"/>
      <c r="DJ344" s="542"/>
      <c r="DK344" s="542"/>
      <c r="DL344" s="542"/>
      <c r="DM344" s="542"/>
      <c r="DN344" s="542"/>
      <c r="DO344" s="542"/>
      <c r="DP344" s="542"/>
      <c r="DQ344" s="542"/>
      <c r="DR344" s="542"/>
      <c r="DS344" s="542"/>
      <c r="DT344" s="542"/>
      <c r="DU344" s="542"/>
      <c r="DV344" s="542"/>
      <c r="DW344" s="542"/>
      <c r="DX344" s="542"/>
      <c r="DY344" s="542"/>
      <c r="DZ344" s="542"/>
      <c r="EA344" s="542"/>
      <c r="EB344" s="542"/>
      <c r="EC344" s="542"/>
      <c r="ED344" s="542"/>
      <c r="EE344" s="542"/>
      <c r="EF344" s="542"/>
      <c r="EG344" s="542"/>
      <c r="EH344" s="542"/>
      <c r="EI344" s="542"/>
      <c r="EJ344" s="542"/>
      <c r="EK344" s="542"/>
      <c r="EL344" s="542"/>
      <c r="EM344" s="542"/>
      <c r="EN344" s="542"/>
      <c r="EO344" s="542"/>
      <c r="EP344" s="542"/>
      <c r="EQ344" s="542"/>
      <c r="ER344" s="542"/>
      <c r="ES344" s="542"/>
      <c r="ET344" s="542"/>
      <c r="EU344" s="542"/>
      <c r="EV344" s="542"/>
      <c r="EW344" s="542"/>
      <c r="EX344" s="542"/>
      <c r="EY344" s="542"/>
      <c r="EZ344" s="542"/>
      <c r="FA344" s="542"/>
      <c r="FB344" s="542"/>
      <c r="FC344" s="542"/>
      <c r="FD344" s="542"/>
      <c r="FE344" s="542"/>
      <c r="FF344" s="542"/>
      <c r="FG344" s="542"/>
      <c r="FH344" s="542"/>
      <c r="FI344" s="542"/>
      <c r="FJ344" s="542"/>
      <c r="FK344" s="542"/>
      <c r="FL344" s="542"/>
      <c r="FM344" s="542"/>
      <c r="FN344" s="542"/>
      <c r="FO344" s="542"/>
      <c r="FP344" s="542"/>
      <c r="FQ344" s="542"/>
      <c r="FR344" s="542"/>
      <c r="FS344" s="542"/>
      <c r="FT344" s="542"/>
      <c r="FU344" s="542"/>
      <c r="FV344" s="542"/>
      <c r="FW344" s="542"/>
      <c r="FX344" s="542"/>
      <c r="FY344" s="542"/>
      <c r="FZ344" s="542"/>
      <c r="GA344" s="542"/>
      <c r="GB344" s="542"/>
      <c r="GC344" s="542"/>
      <c r="GD344" s="542"/>
      <c r="GE344" s="542"/>
      <c r="GF344" s="542"/>
      <c r="GG344" s="542"/>
      <c r="GH344" s="542"/>
      <c r="GI344" s="542"/>
      <c r="GJ344" s="542"/>
      <c r="GK344" s="542"/>
      <c r="GL344" s="542"/>
      <c r="GM344" s="542"/>
      <c r="GN344" s="542"/>
      <c r="GO344" s="542"/>
      <c r="GP344" s="542"/>
      <c r="GQ344" s="542"/>
      <c r="GR344" s="542"/>
      <c r="GS344" s="542"/>
      <c r="GT344" s="542"/>
      <c r="GU344" s="542"/>
      <c r="GV344" s="542"/>
      <c r="GW344" s="542"/>
      <c r="GX344" s="542"/>
      <c r="GY344" s="542"/>
      <c r="GZ344" s="542"/>
      <c r="HA344" s="542"/>
      <c r="HB344" s="542"/>
      <c r="HC344" s="542"/>
      <c r="HD344" s="542"/>
      <c r="HE344" s="542"/>
      <c r="HF344" s="542"/>
      <c r="HG344" s="542"/>
      <c r="HH344" s="542"/>
      <c r="HI344" s="542"/>
      <c r="HJ344" s="542"/>
      <c r="HK344" s="542"/>
      <c r="HL344" s="542"/>
      <c r="HM344" s="542"/>
      <c r="HN344" s="542"/>
      <c r="HO344" s="542"/>
      <c r="HP344" s="542"/>
      <c r="HQ344" s="542"/>
      <c r="HR344" s="542"/>
      <c r="HS344" s="542"/>
      <c r="HT344" s="542"/>
      <c r="HU344" s="542"/>
      <c r="HV344" s="542"/>
      <c r="HW344" s="542"/>
      <c r="HX344" s="542"/>
      <c r="HY344" s="542"/>
      <c r="HZ344" s="542"/>
      <c r="IA344" s="542"/>
      <c r="IB344" s="542"/>
      <c r="IC344" s="542"/>
      <c r="ID344" s="542"/>
      <c r="IE344" s="542"/>
      <c r="IF344" s="542"/>
      <c r="IG344" s="542"/>
      <c r="IH344" s="542"/>
      <c r="II344" s="542"/>
      <c r="IJ344" s="542"/>
      <c r="IK344" s="542"/>
      <c r="IL344" s="542"/>
      <c r="IM344" s="542"/>
      <c r="IN344" s="542"/>
      <c r="IO344" s="542"/>
      <c r="IP344" s="542"/>
      <c r="IQ344" s="542"/>
      <c r="IR344" s="542"/>
      <c r="IS344" s="542"/>
      <c r="IT344" s="542"/>
      <c r="IU344" s="542"/>
      <c r="IV344" s="542"/>
      <c r="IW344" s="542"/>
      <c r="IX344" s="542"/>
      <c r="IY344" s="542"/>
      <c r="IZ344" s="542"/>
      <c r="JA344" s="542"/>
      <c r="JB344" s="542"/>
    </row>
    <row r="345" spans="104:262" ht="18.899999999999999" customHeight="1">
      <c r="CZ345" s="542"/>
      <c r="DA345" s="542"/>
      <c r="DB345" s="542"/>
      <c r="DC345" s="542"/>
      <c r="DD345" s="542"/>
      <c r="DE345" s="542"/>
      <c r="DF345" s="542"/>
      <c r="DG345" s="542"/>
      <c r="DH345" s="542"/>
      <c r="DI345" s="542"/>
      <c r="DJ345" s="542"/>
      <c r="DK345" s="542"/>
      <c r="DL345" s="542"/>
      <c r="DM345" s="542"/>
      <c r="DN345" s="542"/>
      <c r="DO345" s="542"/>
      <c r="DP345" s="542"/>
      <c r="DQ345" s="542"/>
      <c r="DR345" s="542"/>
      <c r="DS345" s="542"/>
      <c r="DT345" s="542"/>
      <c r="DU345" s="542"/>
      <c r="DV345" s="542"/>
      <c r="DW345" s="542"/>
      <c r="DX345" s="542"/>
      <c r="DY345" s="542"/>
      <c r="DZ345" s="542"/>
      <c r="EA345" s="542"/>
      <c r="EB345" s="542"/>
      <c r="EC345" s="542"/>
      <c r="ED345" s="542"/>
      <c r="EE345" s="542"/>
      <c r="EF345" s="542"/>
      <c r="EG345" s="542"/>
      <c r="EH345" s="542"/>
      <c r="EI345" s="542"/>
      <c r="EJ345" s="542"/>
      <c r="EK345" s="542"/>
      <c r="EL345" s="542"/>
      <c r="EM345" s="542"/>
      <c r="EN345" s="542"/>
      <c r="EO345" s="542"/>
      <c r="EP345" s="542"/>
      <c r="EQ345" s="542"/>
      <c r="ER345" s="542"/>
      <c r="ES345" s="542"/>
      <c r="ET345" s="542"/>
      <c r="EU345" s="542"/>
      <c r="EV345" s="542"/>
      <c r="EW345" s="542"/>
      <c r="EX345" s="542"/>
      <c r="EY345" s="542"/>
      <c r="EZ345" s="542"/>
      <c r="FA345" s="542"/>
      <c r="FB345" s="542"/>
      <c r="FC345" s="542"/>
      <c r="FD345" s="542"/>
      <c r="FE345" s="542"/>
      <c r="FF345" s="542"/>
      <c r="FG345" s="542"/>
      <c r="FH345" s="542"/>
      <c r="FI345" s="542"/>
      <c r="FJ345" s="542"/>
      <c r="FK345" s="542"/>
      <c r="FL345" s="542"/>
      <c r="FM345" s="542"/>
      <c r="FN345" s="542"/>
      <c r="FO345" s="542"/>
      <c r="FP345" s="542"/>
      <c r="FQ345" s="542"/>
      <c r="FR345" s="542"/>
      <c r="FS345" s="542"/>
      <c r="FT345" s="542"/>
      <c r="FU345" s="542"/>
      <c r="FV345" s="542"/>
      <c r="FW345" s="542"/>
      <c r="FX345" s="542"/>
      <c r="FY345" s="542"/>
      <c r="FZ345" s="542"/>
      <c r="GA345" s="542"/>
      <c r="GB345" s="542"/>
      <c r="GC345" s="542"/>
      <c r="GD345" s="542"/>
      <c r="GE345" s="542"/>
      <c r="GF345" s="542"/>
      <c r="GG345" s="542"/>
      <c r="GH345" s="542"/>
      <c r="GI345" s="542"/>
      <c r="GJ345" s="542"/>
      <c r="GK345" s="542"/>
      <c r="GL345" s="542"/>
      <c r="GM345" s="542"/>
      <c r="GN345" s="542"/>
      <c r="GO345" s="542"/>
      <c r="GP345" s="542"/>
      <c r="GQ345" s="542"/>
      <c r="GR345" s="542"/>
      <c r="GS345" s="542"/>
      <c r="GT345" s="542"/>
      <c r="GU345" s="542"/>
      <c r="GV345" s="542"/>
      <c r="GW345" s="542"/>
      <c r="GX345" s="542"/>
      <c r="GY345" s="542"/>
      <c r="GZ345" s="542"/>
      <c r="HA345" s="542"/>
      <c r="HB345" s="542"/>
      <c r="HC345" s="542"/>
      <c r="HD345" s="542"/>
      <c r="HE345" s="542"/>
      <c r="HF345" s="542"/>
      <c r="HG345" s="542"/>
      <c r="HH345" s="542"/>
      <c r="HI345" s="542"/>
      <c r="HJ345" s="542"/>
      <c r="HK345" s="542"/>
      <c r="HL345" s="542"/>
      <c r="HM345" s="542"/>
      <c r="HN345" s="542"/>
      <c r="HO345" s="542"/>
      <c r="HP345" s="542"/>
      <c r="HQ345" s="542"/>
      <c r="HR345" s="542"/>
      <c r="HS345" s="542"/>
      <c r="HT345" s="542"/>
      <c r="HU345" s="542"/>
      <c r="HV345" s="542"/>
      <c r="HW345" s="542"/>
      <c r="HX345" s="542"/>
      <c r="HY345" s="542"/>
      <c r="HZ345" s="542"/>
      <c r="IA345" s="542"/>
      <c r="IB345" s="542"/>
      <c r="IC345" s="542"/>
      <c r="ID345" s="542"/>
      <c r="IE345" s="542"/>
      <c r="IF345" s="542"/>
      <c r="IG345" s="542"/>
      <c r="IH345" s="542"/>
      <c r="II345" s="542"/>
      <c r="IJ345" s="542"/>
      <c r="IK345" s="542"/>
      <c r="IL345" s="542"/>
      <c r="IM345" s="542"/>
      <c r="IN345" s="542"/>
      <c r="IO345" s="542"/>
      <c r="IP345" s="542"/>
      <c r="IQ345" s="542"/>
      <c r="IR345" s="542"/>
      <c r="IS345" s="542"/>
      <c r="IT345" s="542"/>
      <c r="IU345" s="542"/>
      <c r="IV345" s="542"/>
      <c r="IW345" s="542"/>
      <c r="IX345" s="542"/>
      <c r="IY345" s="542"/>
      <c r="IZ345" s="542"/>
      <c r="JA345" s="542"/>
      <c r="JB345" s="542"/>
    </row>
    <row r="346" spans="104:262" ht="18.899999999999999" customHeight="1">
      <c r="CZ346" s="542"/>
      <c r="DA346" s="542"/>
      <c r="DB346" s="542"/>
      <c r="DC346" s="542"/>
      <c r="DD346" s="542"/>
      <c r="DE346" s="542"/>
      <c r="DF346" s="542"/>
      <c r="DG346" s="542"/>
      <c r="DH346" s="542"/>
      <c r="DI346" s="542"/>
      <c r="DJ346" s="542"/>
      <c r="DK346" s="542"/>
      <c r="DL346" s="542"/>
      <c r="DM346" s="542"/>
      <c r="DN346" s="542"/>
      <c r="DO346" s="542"/>
      <c r="DP346" s="542"/>
      <c r="DQ346" s="542"/>
      <c r="DR346" s="542"/>
      <c r="DS346" s="542"/>
      <c r="DT346" s="542"/>
      <c r="DU346" s="542"/>
      <c r="DV346" s="542"/>
      <c r="DW346" s="542"/>
      <c r="DX346" s="542"/>
      <c r="DY346" s="542"/>
      <c r="DZ346" s="542"/>
      <c r="EA346" s="542"/>
      <c r="EB346" s="542"/>
      <c r="EC346" s="542"/>
      <c r="ED346" s="542"/>
      <c r="EE346" s="542"/>
      <c r="EF346" s="542"/>
      <c r="EG346" s="542"/>
      <c r="EH346" s="542"/>
      <c r="EI346" s="542"/>
      <c r="EJ346" s="542"/>
      <c r="EK346" s="542"/>
      <c r="EL346" s="542"/>
      <c r="EM346" s="542"/>
      <c r="EN346" s="542"/>
      <c r="EO346" s="542"/>
      <c r="EP346" s="542"/>
      <c r="EQ346" s="542"/>
      <c r="ER346" s="542"/>
      <c r="ES346" s="542"/>
      <c r="ET346" s="542"/>
      <c r="EU346" s="542"/>
      <c r="EV346" s="542"/>
      <c r="EW346" s="542"/>
      <c r="EX346" s="542"/>
      <c r="EY346" s="542"/>
      <c r="EZ346" s="542"/>
      <c r="FA346" s="542"/>
      <c r="FB346" s="542"/>
      <c r="FC346" s="542"/>
      <c r="FD346" s="542"/>
      <c r="FE346" s="542"/>
      <c r="FF346" s="542"/>
      <c r="FG346" s="542"/>
      <c r="FH346" s="542"/>
      <c r="FI346" s="542"/>
      <c r="FJ346" s="542"/>
      <c r="FK346" s="542"/>
      <c r="FL346" s="542"/>
      <c r="FM346" s="542"/>
      <c r="FN346" s="542"/>
      <c r="FO346" s="542"/>
      <c r="FP346" s="542"/>
      <c r="FQ346" s="542"/>
      <c r="FR346" s="542"/>
      <c r="FS346" s="542"/>
      <c r="FT346" s="542"/>
      <c r="FU346" s="542"/>
      <c r="FV346" s="542"/>
      <c r="FW346" s="542"/>
      <c r="FX346" s="542"/>
      <c r="FY346" s="542"/>
      <c r="FZ346" s="542"/>
      <c r="GA346" s="542"/>
      <c r="GB346" s="542"/>
      <c r="GC346" s="542"/>
      <c r="GD346" s="542"/>
      <c r="GE346" s="542"/>
      <c r="GF346" s="542"/>
      <c r="GG346" s="542"/>
      <c r="GH346" s="542"/>
      <c r="GI346" s="542"/>
      <c r="GJ346" s="542"/>
      <c r="GK346" s="542"/>
      <c r="GL346" s="542"/>
      <c r="GM346" s="542"/>
      <c r="GN346" s="542"/>
      <c r="GO346" s="542"/>
      <c r="GP346" s="542"/>
      <c r="GQ346" s="542"/>
      <c r="GR346" s="542"/>
      <c r="GS346" s="542"/>
      <c r="GT346" s="542"/>
      <c r="GU346" s="542"/>
      <c r="GV346" s="542"/>
      <c r="GW346" s="542"/>
      <c r="GX346" s="542"/>
      <c r="GY346" s="542"/>
      <c r="GZ346" s="542"/>
      <c r="HA346" s="542"/>
      <c r="HB346" s="542"/>
      <c r="HC346" s="542"/>
      <c r="HD346" s="542"/>
      <c r="HE346" s="542"/>
      <c r="HF346" s="542"/>
      <c r="HG346" s="542"/>
      <c r="HH346" s="542"/>
      <c r="HI346" s="542"/>
      <c r="HJ346" s="542"/>
      <c r="HK346" s="542"/>
      <c r="HL346" s="542"/>
      <c r="HM346" s="542"/>
      <c r="HN346" s="542"/>
      <c r="HO346" s="542"/>
      <c r="HP346" s="542"/>
      <c r="HQ346" s="542"/>
      <c r="HR346" s="542"/>
      <c r="HS346" s="542"/>
      <c r="HT346" s="542"/>
      <c r="HU346" s="542"/>
      <c r="HV346" s="542"/>
      <c r="HW346" s="542"/>
      <c r="HX346" s="542"/>
      <c r="HY346" s="542"/>
      <c r="HZ346" s="542"/>
      <c r="IA346" s="542"/>
      <c r="IB346" s="542"/>
      <c r="IC346" s="542"/>
      <c r="ID346" s="542"/>
      <c r="IE346" s="542"/>
      <c r="IF346" s="542"/>
      <c r="IG346" s="542"/>
      <c r="IH346" s="542"/>
      <c r="II346" s="542"/>
      <c r="IJ346" s="542"/>
      <c r="IK346" s="542"/>
      <c r="IL346" s="542"/>
      <c r="IM346" s="542"/>
      <c r="IN346" s="542"/>
      <c r="IO346" s="542"/>
      <c r="IP346" s="542"/>
      <c r="IQ346" s="542"/>
      <c r="IR346" s="542"/>
      <c r="IS346" s="542"/>
      <c r="IT346" s="542"/>
      <c r="IU346" s="542"/>
      <c r="IV346" s="542"/>
      <c r="IW346" s="542"/>
      <c r="IX346" s="542"/>
      <c r="IY346" s="542"/>
      <c r="IZ346" s="542"/>
      <c r="JA346" s="542"/>
      <c r="JB346" s="542"/>
    </row>
    <row r="347" spans="104:262" ht="18.899999999999999" customHeight="1">
      <c r="CZ347" s="542"/>
      <c r="DA347" s="542"/>
      <c r="DB347" s="542"/>
      <c r="DC347" s="542"/>
      <c r="DD347" s="542"/>
      <c r="DE347" s="542"/>
      <c r="DF347" s="542"/>
      <c r="DG347" s="542"/>
      <c r="DH347" s="542"/>
      <c r="DI347" s="542"/>
      <c r="DJ347" s="542"/>
      <c r="DK347" s="542"/>
      <c r="DL347" s="542"/>
      <c r="DM347" s="542"/>
      <c r="DN347" s="542"/>
      <c r="DO347" s="542"/>
      <c r="DP347" s="542"/>
      <c r="DQ347" s="542"/>
      <c r="DR347" s="542"/>
      <c r="DS347" s="542"/>
      <c r="DT347" s="542"/>
      <c r="DU347" s="542"/>
      <c r="DV347" s="542"/>
      <c r="DW347" s="542"/>
      <c r="DX347" s="542"/>
      <c r="DY347" s="542"/>
      <c r="DZ347" s="542"/>
      <c r="EA347" s="542"/>
      <c r="EB347" s="542"/>
      <c r="EC347" s="542"/>
      <c r="ED347" s="542"/>
      <c r="EE347" s="542"/>
      <c r="EF347" s="542"/>
      <c r="EG347" s="542"/>
      <c r="EH347" s="542"/>
      <c r="EI347" s="542"/>
      <c r="EJ347" s="542"/>
      <c r="EK347" s="542"/>
      <c r="EL347" s="542"/>
      <c r="EM347" s="542"/>
      <c r="EN347" s="542"/>
      <c r="EO347" s="542"/>
      <c r="EP347" s="542"/>
      <c r="EQ347" s="542"/>
      <c r="ER347" s="542"/>
      <c r="ES347" s="542"/>
      <c r="ET347" s="542"/>
      <c r="EU347" s="542"/>
      <c r="EV347" s="542"/>
      <c r="EW347" s="542"/>
      <c r="EX347" s="542"/>
      <c r="EY347" s="542"/>
      <c r="EZ347" s="542"/>
      <c r="FA347" s="542"/>
      <c r="FB347" s="542"/>
      <c r="FC347" s="542"/>
      <c r="FD347" s="542"/>
      <c r="FE347" s="542"/>
      <c r="FF347" s="542"/>
      <c r="FG347" s="542"/>
      <c r="FH347" s="542"/>
      <c r="FI347" s="542"/>
      <c r="FJ347" s="542"/>
      <c r="FK347" s="542"/>
      <c r="FL347" s="542"/>
      <c r="FM347" s="542"/>
      <c r="FN347" s="542"/>
      <c r="FO347" s="542"/>
      <c r="FP347" s="542"/>
      <c r="FQ347" s="542"/>
      <c r="FR347" s="542"/>
      <c r="FS347" s="542"/>
      <c r="FT347" s="542"/>
      <c r="FU347" s="542"/>
      <c r="FV347" s="542"/>
      <c r="FW347" s="542"/>
      <c r="FX347" s="542"/>
      <c r="FY347" s="542"/>
      <c r="FZ347" s="542"/>
      <c r="GA347" s="542"/>
      <c r="GB347" s="542"/>
      <c r="GC347" s="542"/>
      <c r="GD347" s="542"/>
      <c r="GE347" s="542"/>
      <c r="GF347" s="542"/>
      <c r="GG347" s="542"/>
      <c r="GH347" s="542"/>
      <c r="GI347" s="542"/>
      <c r="GJ347" s="542"/>
      <c r="GK347" s="542"/>
      <c r="GL347" s="542"/>
      <c r="GM347" s="542"/>
      <c r="GN347" s="542"/>
      <c r="GO347" s="542"/>
      <c r="GP347" s="542"/>
      <c r="GQ347" s="542"/>
      <c r="GR347" s="542"/>
      <c r="GS347" s="542"/>
      <c r="GT347" s="542"/>
      <c r="GU347" s="542"/>
      <c r="GV347" s="542"/>
      <c r="GW347" s="542"/>
      <c r="GX347" s="542"/>
      <c r="GY347" s="542"/>
      <c r="GZ347" s="542"/>
      <c r="HA347" s="542"/>
      <c r="HB347" s="542"/>
      <c r="HC347" s="542"/>
      <c r="HD347" s="542"/>
      <c r="HE347" s="542"/>
      <c r="HF347" s="542"/>
      <c r="HG347" s="542"/>
      <c r="HH347" s="542"/>
      <c r="HI347" s="542"/>
      <c r="HJ347" s="542"/>
      <c r="HK347" s="542"/>
      <c r="HL347" s="542"/>
      <c r="HM347" s="542"/>
      <c r="HN347" s="542"/>
      <c r="HO347" s="542"/>
      <c r="HP347" s="542"/>
      <c r="HQ347" s="542"/>
      <c r="HR347" s="542"/>
      <c r="HS347" s="542"/>
      <c r="HT347" s="542"/>
      <c r="HU347" s="542"/>
      <c r="HV347" s="542"/>
      <c r="HW347" s="542"/>
      <c r="HX347" s="542"/>
      <c r="HY347" s="542"/>
      <c r="HZ347" s="542"/>
      <c r="IA347" s="542"/>
      <c r="IB347" s="542"/>
      <c r="IC347" s="542"/>
      <c r="ID347" s="542"/>
      <c r="IE347" s="542"/>
      <c r="IF347" s="542"/>
      <c r="IG347" s="542"/>
      <c r="IH347" s="542"/>
      <c r="II347" s="542"/>
      <c r="IJ347" s="542"/>
      <c r="IK347" s="542"/>
      <c r="IL347" s="542"/>
      <c r="IM347" s="542"/>
      <c r="IN347" s="542"/>
      <c r="IO347" s="542"/>
      <c r="IP347" s="542"/>
      <c r="IQ347" s="542"/>
      <c r="IR347" s="542"/>
      <c r="IS347" s="542"/>
      <c r="IT347" s="542"/>
      <c r="IU347" s="542"/>
      <c r="IV347" s="542"/>
      <c r="IW347" s="542"/>
      <c r="IX347" s="542"/>
      <c r="IY347" s="542"/>
      <c r="IZ347" s="542"/>
      <c r="JA347" s="542"/>
      <c r="JB347" s="542"/>
    </row>
    <row r="348" spans="104:262" ht="18.899999999999999" customHeight="1">
      <c r="CZ348" s="542"/>
      <c r="DA348" s="542"/>
      <c r="DB348" s="542"/>
      <c r="DC348" s="542"/>
      <c r="DD348" s="542"/>
      <c r="DE348" s="542"/>
      <c r="DF348" s="542"/>
      <c r="DG348" s="542"/>
      <c r="DH348" s="542"/>
      <c r="DI348" s="542"/>
      <c r="DJ348" s="542"/>
      <c r="DK348" s="542"/>
      <c r="DL348" s="542"/>
      <c r="DM348" s="542"/>
      <c r="DN348" s="542"/>
      <c r="DO348" s="542"/>
      <c r="DP348" s="542"/>
      <c r="DQ348" s="542"/>
      <c r="DR348" s="542"/>
      <c r="DS348" s="542"/>
      <c r="DT348" s="542"/>
      <c r="DU348" s="542"/>
      <c r="DV348" s="542"/>
      <c r="DW348" s="542"/>
      <c r="DX348" s="542"/>
      <c r="DY348" s="542"/>
      <c r="DZ348" s="542"/>
      <c r="EA348" s="542"/>
      <c r="EB348" s="542"/>
      <c r="EC348" s="542"/>
      <c r="ED348" s="542"/>
      <c r="EE348" s="542"/>
      <c r="EF348" s="542"/>
      <c r="EG348" s="542"/>
      <c r="EH348" s="542"/>
      <c r="EI348" s="542"/>
      <c r="EJ348" s="542"/>
      <c r="EK348" s="542"/>
      <c r="EL348" s="542"/>
      <c r="EM348" s="542"/>
      <c r="EN348" s="542"/>
      <c r="EO348" s="542"/>
      <c r="EP348" s="542"/>
      <c r="EQ348" s="542"/>
      <c r="ER348" s="542"/>
      <c r="ES348" s="542"/>
      <c r="ET348" s="542"/>
      <c r="EU348" s="542"/>
      <c r="EV348" s="542"/>
      <c r="EW348" s="542"/>
      <c r="EX348" s="542"/>
      <c r="EY348" s="542"/>
      <c r="EZ348" s="542"/>
      <c r="FA348" s="542"/>
      <c r="FB348" s="542"/>
      <c r="FC348" s="542"/>
      <c r="FD348" s="542"/>
      <c r="FE348" s="542"/>
      <c r="FF348" s="542"/>
      <c r="FG348" s="542"/>
      <c r="FH348" s="542"/>
      <c r="FI348" s="542"/>
      <c r="FJ348" s="542"/>
      <c r="FK348" s="542"/>
      <c r="FL348" s="542"/>
      <c r="FM348" s="542"/>
      <c r="FN348" s="542"/>
      <c r="FO348" s="542"/>
      <c r="FP348" s="542"/>
      <c r="FQ348" s="542"/>
      <c r="FR348" s="542"/>
      <c r="FS348" s="542"/>
      <c r="FT348" s="542"/>
      <c r="FU348" s="542"/>
      <c r="FV348" s="542"/>
      <c r="FW348" s="542"/>
      <c r="FX348" s="542"/>
      <c r="FY348" s="542"/>
      <c r="FZ348" s="542"/>
      <c r="GA348" s="542"/>
      <c r="GB348" s="542"/>
      <c r="GC348" s="542"/>
      <c r="GD348" s="542"/>
      <c r="GE348" s="542"/>
      <c r="GF348" s="542"/>
      <c r="GG348" s="542"/>
      <c r="GH348" s="542"/>
      <c r="GI348" s="542"/>
      <c r="GJ348" s="542"/>
      <c r="GK348" s="542"/>
      <c r="GL348" s="542"/>
      <c r="GM348" s="542"/>
      <c r="GN348" s="542"/>
      <c r="GO348" s="542"/>
      <c r="GP348" s="542"/>
      <c r="GQ348" s="542"/>
      <c r="GR348" s="542"/>
      <c r="GS348" s="542"/>
      <c r="GT348" s="542"/>
      <c r="GU348" s="542"/>
      <c r="GV348" s="542"/>
      <c r="GW348" s="542"/>
      <c r="GX348" s="542"/>
      <c r="GY348" s="542"/>
      <c r="GZ348" s="542"/>
      <c r="HA348" s="542"/>
      <c r="HB348" s="542"/>
      <c r="HC348" s="542"/>
      <c r="HD348" s="542"/>
      <c r="HE348" s="542"/>
      <c r="HF348" s="542"/>
      <c r="HG348" s="542"/>
      <c r="HH348" s="542"/>
      <c r="HI348" s="542"/>
      <c r="HJ348" s="542"/>
      <c r="HK348" s="542"/>
      <c r="HL348" s="542"/>
      <c r="HM348" s="542"/>
      <c r="HN348" s="542"/>
      <c r="HO348" s="542"/>
      <c r="HP348" s="542"/>
      <c r="HQ348" s="542"/>
      <c r="HR348" s="542"/>
      <c r="HS348" s="542"/>
      <c r="HT348" s="542"/>
      <c r="HU348" s="542"/>
      <c r="HV348" s="542"/>
      <c r="HW348" s="542"/>
      <c r="HX348" s="542"/>
      <c r="HY348" s="542"/>
      <c r="HZ348" s="542"/>
      <c r="IA348" s="542"/>
      <c r="IB348" s="542"/>
      <c r="IC348" s="542"/>
      <c r="ID348" s="542"/>
      <c r="IE348" s="542"/>
      <c r="IF348" s="542"/>
      <c r="IG348" s="542"/>
      <c r="IH348" s="542"/>
      <c r="II348" s="542"/>
      <c r="IJ348" s="542"/>
      <c r="IK348" s="542"/>
      <c r="IL348" s="542"/>
      <c r="IM348" s="542"/>
      <c r="IN348" s="542"/>
      <c r="IO348" s="542"/>
      <c r="IP348" s="542"/>
      <c r="IQ348" s="542"/>
      <c r="IR348" s="542"/>
      <c r="IS348" s="542"/>
      <c r="IT348" s="542"/>
      <c r="IU348" s="542"/>
      <c r="IV348" s="542"/>
      <c r="IW348" s="542"/>
      <c r="IX348" s="542"/>
      <c r="IY348" s="542"/>
      <c r="IZ348" s="542"/>
      <c r="JA348" s="542"/>
      <c r="JB348" s="542"/>
    </row>
    <row r="349" spans="104:262" ht="18.899999999999999" customHeight="1">
      <c r="CZ349" s="542"/>
      <c r="DA349" s="542"/>
      <c r="DB349" s="542"/>
      <c r="DC349" s="542"/>
      <c r="DD349" s="542"/>
      <c r="DE349" s="542"/>
      <c r="DF349" s="542"/>
      <c r="DG349" s="542"/>
      <c r="DH349" s="542"/>
      <c r="DI349" s="542"/>
      <c r="DJ349" s="542"/>
      <c r="DK349" s="542"/>
      <c r="DL349" s="542"/>
      <c r="DM349" s="542"/>
      <c r="DN349" s="542"/>
      <c r="DO349" s="542"/>
      <c r="DP349" s="542"/>
      <c r="DQ349" s="542"/>
      <c r="DR349" s="542"/>
      <c r="DS349" s="542"/>
      <c r="DT349" s="542"/>
      <c r="DU349" s="542"/>
      <c r="DV349" s="542"/>
      <c r="DW349" s="542"/>
      <c r="DX349" s="542"/>
      <c r="DY349" s="542"/>
      <c r="DZ349" s="542"/>
      <c r="EA349" s="542"/>
      <c r="EB349" s="542"/>
      <c r="EC349" s="542"/>
      <c r="ED349" s="542"/>
      <c r="EE349" s="542"/>
      <c r="EF349" s="542"/>
      <c r="EG349" s="542"/>
      <c r="EH349" s="542"/>
      <c r="EI349" s="542"/>
      <c r="EJ349" s="542"/>
      <c r="EK349" s="542"/>
      <c r="EL349" s="542"/>
      <c r="EM349" s="542"/>
      <c r="EN349" s="542"/>
      <c r="EO349" s="542"/>
      <c r="EP349" s="542"/>
      <c r="EQ349" s="542"/>
      <c r="ER349" s="542"/>
      <c r="ES349" s="542"/>
      <c r="ET349" s="542"/>
      <c r="EU349" s="542"/>
      <c r="EV349" s="542"/>
      <c r="EW349" s="542"/>
      <c r="EX349" s="542"/>
      <c r="EY349" s="542"/>
      <c r="EZ349" s="542"/>
      <c r="FA349" s="542"/>
      <c r="FB349" s="542"/>
      <c r="FC349" s="542"/>
      <c r="FD349" s="542"/>
      <c r="FE349" s="542"/>
      <c r="FF349" s="542"/>
      <c r="FG349" s="542"/>
      <c r="FH349" s="542"/>
      <c r="FI349" s="542"/>
      <c r="FJ349" s="542"/>
      <c r="FK349" s="542"/>
      <c r="FL349" s="542"/>
      <c r="FM349" s="542"/>
      <c r="FN349" s="542"/>
      <c r="FO349" s="542"/>
      <c r="FP349" s="542"/>
      <c r="FQ349" s="542"/>
      <c r="FR349" s="542"/>
      <c r="FS349" s="542"/>
      <c r="FT349" s="542"/>
      <c r="FU349" s="542"/>
      <c r="FV349" s="542"/>
      <c r="FW349" s="542"/>
      <c r="FX349" s="542"/>
      <c r="FY349" s="542"/>
      <c r="FZ349" s="542"/>
      <c r="GA349" s="542"/>
      <c r="GB349" s="542"/>
      <c r="GC349" s="542"/>
      <c r="GD349" s="542"/>
      <c r="GE349" s="542"/>
      <c r="GF349" s="542"/>
      <c r="GG349" s="542"/>
      <c r="GH349" s="542"/>
      <c r="GI349" s="542"/>
      <c r="GJ349" s="542"/>
      <c r="GK349" s="542"/>
      <c r="GL349" s="542"/>
      <c r="GM349" s="542"/>
      <c r="GN349" s="542"/>
      <c r="GO349" s="542"/>
      <c r="GP349" s="542"/>
      <c r="GQ349" s="542"/>
      <c r="GR349" s="542"/>
      <c r="GS349" s="542"/>
      <c r="GT349" s="542"/>
      <c r="GU349" s="542"/>
      <c r="GV349" s="542"/>
      <c r="GW349" s="542"/>
      <c r="GX349" s="542"/>
      <c r="GY349" s="542"/>
      <c r="GZ349" s="542"/>
      <c r="HA349" s="542"/>
      <c r="HB349" s="542"/>
      <c r="HC349" s="542"/>
      <c r="HD349" s="542"/>
      <c r="HE349" s="542"/>
      <c r="HF349" s="542"/>
      <c r="HG349" s="542"/>
      <c r="HH349" s="542"/>
      <c r="HI349" s="542"/>
      <c r="HJ349" s="542"/>
      <c r="HK349" s="542"/>
      <c r="HL349" s="542"/>
      <c r="HM349" s="542"/>
      <c r="HN349" s="542"/>
      <c r="HO349" s="542"/>
      <c r="HP349" s="542"/>
      <c r="HQ349" s="542"/>
      <c r="HR349" s="542"/>
      <c r="HS349" s="542"/>
      <c r="HT349" s="542"/>
      <c r="HU349" s="542"/>
      <c r="HV349" s="542"/>
      <c r="HW349" s="542"/>
      <c r="HX349" s="542"/>
      <c r="HY349" s="542"/>
      <c r="HZ349" s="542"/>
      <c r="IA349" s="542"/>
      <c r="IB349" s="542"/>
      <c r="IC349" s="542"/>
      <c r="ID349" s="542"/>
      <c r="IE349" s="542"/>
      <c r="IF349" s="542"/>
      <c r="IG349" s="542"/>
      <c r="IH349" s="542"/>
      <c r="II349" s="542"/>
      <c r="IJ349" s="542"/>
      <c r="IK349" s="542"/>
      <c r="IL349" s="542"/>
      <c r="IM349" s="542"/>
      <c r="IN349" s="542"/>
      <c r="IO349" s="542"/>
      <c r="IP349" s="542"/>
      <c r="IQ349" s="542"/>
      <c r="IR349" s="542"/>
      <c r="IS349" s="542"/>
      <c r="IT349" s="542"/>
      <c r="IU349" s="542"/>
      <c r="IV349" s="542"/>
      <c r="IW349" s="542"/>
      <c r="IX349" s="542"/>
      <c r="IY349" s="542"/>
      <c r="IZ349" s="542"/>
      <c r="JA349" s="542"/>
      <c r="JB349" s="542"/>
    </row>
    <row r="350" spans="104:262" ht="18.899999999999999" customHeight="1">
      <c r="CZ350" s="542"/>
      <c r="DA350" s="542"/>
      <c r="DB350" s="542"/>
      <c r="DC350" s="542"/>
      <c r="DD350" s="542"/>
      <c r="DE350" s="542"/>
      <c r="DF350" s="542"/>
      <c r="DG350" s="542"/>
      <c r="DH350" s="542"/>
      <c r="DI350" s="542"/>
      <c r="DJ350" s="542"/>
      <c r="DK350" s="542"/>
      <c r="DL350" s="542"/>
      <c r="DM350" s="542"/>
      <c r="DN350" s="542"/>
      <c r="DO350" s="542"/>
      <c r="DP350" s="542"/>
      <c r="DQ350" s="542"/>
      <c r="DR350" s="542"/>
      <c r="DS350" s="542"/>
      <c r="DT350" s="542"/>
      <c r="DU350" s="542"/>
      <c r="DV350" s="542"/>
      <c r="DW350" s="542"/>
      <c r="DX350" s="542"/>
      <c r="DY350" s="542"/>
      <c r="DZ350" s="542"/>
      <c r="EA350" s="542"/>
      <c r="EB350" s="542"/>
      <c r="EC350" s="542"/>
      <c r="ED350" s="542"/>
      <c r="EE350" s="542"/>
      <c r="EF350" s="542"/>
      <c r="EG350" s="542"/>
      <c r="EH350" s="542"/>
      <c r="EI350" s="542"/>
      <c r="EJ350" s="542"/>
      <c r="EK350" s="542"/>
      <c r="EL350" s="542"/>
      <c r="EM350" s="542"/>
      <c r="EN350" s="542"/>
      <c r="EO350" s="542"/>
      <c r="EP350" s="542"/>
      <c r="EQ350" s="542"/>
      <c r="ER350" s="542"/>
      <c r="ES350" s="542"/>
      <c r="ET350" s="542"/>
      <c r="EU350" s="542"/>
      <c r="EV350" s="542"/>
      <c r="EW350" s="542"/>
      <c r="EX350" s="542"/>
      <c r="EY350" s="542"/>
      <c r="EZ350" s="542"/>
      <c r="FA350" s="542"/>
      <c r="FB350" s="542"/>
      <c r="FC350" s="542"/>
      <c r="FD350" s="542"/>
      <c r="FE350" s="542"/>
      <c r="FF350" s="542"/>
      <c r="FG350" s="542"/>
      <c r="FH350" s="542"/>
      <c r="FI350" s="542"/>
      <c r="FJ350" s="542"/>
      <c r="FK350" s="542"/>
      <c r="FL350" s="542"/>
      <c r="FM350" s="542"/>
      <c r="FN350" s="542"/>
      <c r="FO350" s="542"/>
      <c r="FP350" s="542"/>
      <c r="FQ350" s="542"/>
      <c r="FR350" s="542"/>
      <c r="FS350" s="542"/>
      <c r="FT350" s="542"/>
      <c r="FU350" s="542"/>
      <c r="FV350" s="542"/>
      <c r="FW350" s="542"/>
      <c r="FX350" s="542"/>
      <c r="FY350" s="542"/>
      <c r="FZ350" s="542"/>
      <c r="GA350" s="542"/>
      <c r="GB350" s="542"/>
      <c r="GC350" s="542"/>
      <c r="GD350" s="542"/>
      <c r="GE350" s="542"/>
      <c r="GF350" s="542"/>
      <c r="GG350" s="542"/>
      <c r="GH350" s="542"/>
      <c r="GI350" s="542"/>
      <c r="GJ350" s="542"/>
      <c r="GK350" s="542"/>
      <c r="GL350" s="542"/>
      <c r="GM350" s="542"/>
      <c r="GN350" s="542"/>
      <c r="GO350" s="542"/>
      <c r="GP350" s="542"/>
      <c r="GQ350" s="542"/>
      <c r="GR350" s="542"/>
      <c r="GS350" s="542"/>
      <c r="GT350" s="542"/>
      <c r="GU350" s="542"/>
      <c r="GV350" s="542"/>
      <c r="GW350" s="542"/>
      <c r="GX350" s="542"/>
      <c r="GY350" s="542"/>
      <c r="GZ350" s="542"/>
      <c r="HA350" s="542"/>
      <c r="HB350" s="542"/>
      <c r="HC350" s="542"/>
      <c r="HD350" s="542"/>
      <c r="HE350" s="542"/>
      <c r="HF350" s="542"/>
      <c r="HG350" s="542"/>
      <c r="HH350" s="542"/>
      <c r="HI350" s="542"/>
      <c r="HJ350" s="542"/>
      <c r="HK350" s="542"/>
      <c r="HL350" s="542"/>
      <c r="HM350" s="542"/>
      <c r="HN350" s="542"/>
      <c r="HO350" s="542"/>
      <c r="HP350" s="542"/>
      <c r="HQ350" s="542"/>
      <c r="HR350" s="542"/>
      <c r="HS350" s="542"/>
      <c r="HT350" s="542"/>
      <c r="HU350" s="542"/>
      <c r="HV350" s="542"/>
      <c r="HW350" s="542"/>
      <c r="HX350" s="542"/>
      <c r="HY350" s="542"/>
      <c r="HZ350" s="542"/>
      <c r="IA350" s="542"/>
      <c r="IB350" s="542"/>
      <c r="IC350" s="542"/>
      <c r="ID350" s="542"/>
      <c r="IE350" s="542"/>
      <c r="IF350" s="542"/>
      <c r="IG350" s="542"/>
      <c r="IH350" s="542"/>
      <c r="II350" s="542"/>
      <c r="IJ350" s="542"/>
      <c r="IK350" s="542"/>
      <c r="IL350" s="542"/>
      <c r="IM350" s="542"/>
      <c r="IN350" s="542"/>
      <c r="IO350" s="542"/>
      <c r="IP350" s="542"/>
      <c r="IQ350" s="542"/>
      <c r="IR350" s="542"/>
      <c r="IS350" s="542"/>
      <c r="IT350" s="542"/>
      <c r="IU350" s="542"/>
      <c r="IV350" s="542"/>
      <c r="IW350" s="542"/>
      <c r="IX350" s="542"/>
      <c r="IY350" s="542"/>
      <c r="IZ350" s="542"/>
      <c r="JA350" s="542"/>
      <c r="JB350" s="542"/>
    </row>
    <row r="351" spans="104:262" ht="18.899999999999999" customHeight="1">
      <c r="CZ351" s="542"/>
      <c r="DA351" s="542"/>
      <c r="DB351" s="542"/>
      <c r="DC351" s="542"/>
      <c r="DD351" s="542"/>
      <c r="DE351" s="542"/>
      <c r="DF351" s="542"/>
      <c r="DG351" s="542"/>
      <c r="DH351" s="542"/>
      <c r="DI351" s="542"/>
      <c r="DJ351" s="542"/>
      <c r="DK351" s="542"/>
      <c r="DL351" s="542"/>
      <c r="DM351" s="542"/>
      <c r="DN351" s="542"/>
      <c r="DO351" s="542"/>
      <c r="DP351" s="542"/>
      <c r="DQ351" s="542"/>
      <c r="DR351" s="542"/>
      <c r="DS351" s="542"/>
      <c r="DT351" s="542"/>
      <c r="DU351" s="542"/>
      <c r="DV351" s="542"/>
      <c r="DW351" s="542"/>
      <c r="DX351" s="542"/>
      <c r="DY351" s="542"/>
      <c r="DZ351" s="542"/>
      <c r="EA351" s="542"/>
      <c r="EB351" s="542"/>
      <c r="EC351" s="542"/>
      <c r="ED351" s="542"/>
      <c r="EE351" s="542"/>
      <c r="EF351" s="542"/>
      <c r="EG351" s="542"/>
      <c r="EH351" s="542"/>
      <c r="EI351" s="542"/>
      <c r="EJ351" s="542"/>
      <c r="EK351" s="542"/>
      <c r="EL351" s="542"/>
      <c r="EM351" s="542"/>
      <c r="EN351" s="542"/>
      <c r="EO351" s="542"/>
      <c r="EP351" s="542"/>
      <c r="EQ351" s="542"/>
      <c r="ER351" s="542"/>
      <c r="ES351" s="542"/>
      <c r="ET351" s="542"/>
      <c r="EU351" s="542"/>
      <c r="EV351" s="542"/>
      <c r="EW351" s="542"/>
      <c r="EX351" s="542"/>
      <c r="EY351" s="542"/>
      <c r="EZ351" s="542"/>
      <c r="FA351" s="542"/>
      <c r="FB351" s="542"/>
      <c r="FC351" s="542"/>
      <c r="FD351" s="542"/>
      <c r="FE351" s="542"/>
      <c r="FF351" s="542"/>
      <c r="FG351" s="542"/>
      <c r="FH351" s="542"/>
      <c r="FI351" s="542"/>
      <c r="FJ351" s="542"/>
      <c r="FK351" s="542"/>
      <c r="FL351" s="542"/>
      <c r="FM351" s="542"/>
      <c r="FN351" s="542"/>
      <c r="FO351" s="542"/>
      <c r="FP351" s="542"/>
      <c r="FQ351" s="542"/>
      <c r="FR351" s="542"/>
      <c r="FS351" s="542"/>
      <c r="FT351" s="542"/>
      <c r="FU351" s="542"/>
      <c r="FV351" s="542"/>
      <c r="FW351" s="542"/>
      <c r="FX351" s="542"/>
      <c r="FY351" s="542"/>
      <c r="FZ351" s="542"/>
      <c r="GA351" s="542"/>
      <c r="GB351" s="542"/>
      <c r="GC351" s="542"/>
      <c r="GD351" s="542"/>
      <c r="GE351" s="542"/>
      <c r="GF351" s="542"/>
      <c r="GG351" s="542"/>
      <c r="GH351" s="542"/>
      <c r="GI351" s="542"/>
      <c r="GJ351" s="542"/>
      <c r="GK351" s="542"/>
      <c r="GL351" s="542"/>
      <c r="GM351" s="542"/>
      <c r="GN351" s="542"/>
      <c r="GO351" s="542"/>
      <c r="GP351" s="542"/>
      <c r="GQ351" s="542"/>
      <c r="GR351" s="542"/>
      <c r="GS351" s="542"/>
      <c r="GT351" s="542"/>
      <c r="GU351" s="542"/>
      <c r="GV351" s="542"/>
      <c r="GW351" s="542"/>
      <c r="GX351" s="542"/>
      <c r="GY351" s="542"/>
      <c r="GZ351" s="542"/>
      <c r="HA351" s="542"/>
      <c r="HB351" s="542"/>
      <c r="HC351" s="542"/>
      <c r="HD351" s="542"/>
      <c r="HE351" s="542"/>
      <c r="HF351" s="542"/>
      <c r="HG351" s="542"/>
      <c r="HH351" s="542"/>
      <c r="HI351" s="542"/>
      <c r="HJ351" s="542"/>
      <c r="HK351" s="542"/>
      <c r="HL351" s="542"/>
      <c r="HM351" s="542"/>
      <c r="HN351" s="542"/>
      <c r="HO351" s="542"/>
      <c r="HP351" s="542"/>
      <c r="HQ351" s="542"/>
      <c r="HR351" s="542"/>
      <c r="HS351" s="542"/>
      <c r="HT351" s="542"/>
      <c r="HU351" s="542"/>
      <c r="HV351" s="542"/>
      <c r="HW351" s="542"/>
      <c r="HX351" s="542"/>
      <c r="HY351" s="542"/>
      <c r="HZ351" s="542"/>
      <c r="IA351" s="542"/>
      <c r="IB351" s="542"/>
      <c r="IC351" s="542"/>
      <c r="ID351" s="542"/>
      <c r="IE351" s="542"/>
      <c r="IF351" s="542"/>
      <c r="IG351" s="542"/>
      <c r="IH351" s="542"/>
      <c r="II351" s="542"/>
      <c r="IJ351" s="542"/>
      <c r="IK351" s="542"/>
      <c r="IL351" s="542"/>
      <c r="IM351" s="542"/>
      <c r="IN351" s="542"/>
      <c r="IO351" s="542"/>
      <c r="IP351" s="542"/>
      <c r="IQ351" s="542"/>
      <c r="IR351" s="542"/>
      <c r="IS351" s="542"/>
      <c r="IT351" s="542"/>
      <c r="IU351" s="542"/>
      <c r="IV351" s="542"/>
      <c r="IW351" s="542"/>
      <c r="IX351" s="542"/>
      <c r="IY351" s="542"/>
      <c r="IZ351" s="542"/>
      <c r="JA351" s="542"/>
      <c r="JB351" s="542"/>
    </row>
    <row r="352" spans="104:262" ht="18.899999999999999" customHeight="1">
      <c r="CZ352" s="542"/>
      <c r="DA352" s="542"/>
      <c r="DB352" s="542"/>
      <c r="DC352" s="542"/>
      <c r="DD352" s="542"/>
      <c r="DE352" s="542"/>
      <c r="DF352" s="542"/>
      <c r="DG352" s="542"/>
      <c r="DH352" s="542"/>
      <c r="DI352" s="542"/>
      <c r="DJ352" s="542"/>
      <c r="DK352" s="542"/>
      <c r="DL352" s="542"/>
      <c r="DM352" s="542"/>
      <c r="DN352" s="542"/>
      <c r="DO352" s="542"/>
      <c r="DP352" s="542"/>
      <c r="DQ352" s="542"/>
      <c r="DR352" s="542"/>
      <c r="DS352" s="542"/>
      <c r="DT352" s="542"/>
      <c r="DU352" s="542"/>
      <c r="DV352" s="542"/>
      <c r="DW352" s="542"/>
      <c r="DX352" s="542"/>
      <c r="DY352" s="542"/>
      <c r="DZ352" s="542"/>
      <c r="EA352" s="542"/>
      <c r="EB352" s="542"/>
      <c r="EC352" s="542"/>
      <c r="ED352" s="542"/>
      <c r="EE352" s="542"/>
      <c r="EF352" s="542"/>
      <c r="EG352" s="542"/>
      <c r="EH352" s="542"/>
      <c r="EI352" s="542"/>
      <c r="EJ352" s="542"/>
      <c r="EK352" s="542"/>
      <c r="EL352" s="542"/>
      <c r="EM352" s="542"/>
      <c r="EN352" s="542"/>
      <c r="EO352" s="542"/>
      <c r="EP352" s="542"/>
      <c r="EQ352" s="542"/>
      <c r="ER352" s="542"/>
      <c r="ES352" s="542"/>
      <c r="ET352" s="542"/>
      <c r="EU352" s="542"/>
      <c r="EV352" s="542"/>
      <c r="EW352" s="542"/>
      <c r="EX352" s="542"/>
      <c r="EY352" s="542"/>
      <c r="EZ352" s="542"/>
      <c r="FA352" s="542"/>
      <c r="FB352" s="542"/>
      <c r="FC352" s="542"/>
      <c r="FD352" s="542"/>
      <c r="FE352" s="542"/>
      <c r="FF352" s="542"/>
      <c r="FG352" s="542"/>
      <c r="FH352" s="542"/>
      <c r="FI352" s="542"/>
      <c r="FJ352" s="542"/>
      <c r="FK352" s="542"/>
      <c r="FL352" s="542"/>
      <c r="FM352" s="542"/>
      <c r="FN352" s="542"/>
      <c r="FO352" s="542"/>
      <c r="FP352" s="542"/>
      <c r="FQ352" s="542"/>
      <c r="FR352" s="542"/>
      <c r="FS352" s="542"/>
      <c r="FT352" s="542"/>
      <c r="FU352" s="542"/>
      <c r="FV352" s="542"/>
      <c r="FW352" s="542"/>
      <c r="FX352" s="542"/>
      <c r="FY352" s="542"/>
      <c r="FZ352" s="542"/>
      <c r="GA352" s="542"/>
      <c r="GB352" s="542"/>
      <c r="GC352" s="542"/>
      <c r="GD352" s="542"/>
      <c r="GE352" s="542"/>
      <c r="GF352" s="542"/>
      <c r="GG352" s="542"/>
      <c r="GH352" s="542"/>
      <c r="GI352" s="542"/>
      <c r="GJ352" s="542"/>
      <c r="GK352" s="542"/>
      <c r="GL352" s="542"/>
      <c r="GM352" s="542"/>
      <c r="GN352" s="542"/>
      <c r="GO352" s="542"/>
      <c r="GP352" s="542"/>
      <c r="GQ352" s="542"/>
      <c r="GR352" s="542"/>
      <c r="GS352" s="542"/>
      <c r="GT352" s="542"/>
      <c r="GU352" s="542"/>
      <c r="GV352" s="542"/>
      <c r="GW352" s="542"/>
      <c r="GX352" s="542"/>
      <c r="GY352" s="542"/>
      <c r="GZ352" s="542"/>
      <c r="HA352" s="542"/>
      <c r="HB352" s="542"/>
      <c r="HC352" s="542"/>
      <c r="HD352" s="542"/>
      <c r="HE352" s="542"/>
      <c r="HF352" s="542"/>
      <c r="HG352" s="542"/>
      <c r="HH352" s="542"/>
      <c r="HI352" s="542"/>
      <c r="HJ352" s="542"/>
      <c r="HK352" s="542"/>
      <c r="HL352" s="542"/>
      <c r="HM352" s="542"/>
      <c r="HN352" s="542"/>
      <c r="HO352" s="542"/>
      <c r="HP352" s="542"/>
      <c r="HQ352" s="542"/>
      <c r="HR352" s="542"/>
      <c r="HS352" s="542"/>
      <c r="HT352" s="542"/>
      <c r="HU352" s="542"/>
      <c r="HV352" s="542"/>
      <c r="HW352" s="542"/>
      <c r="HX352" s="542"/>
      <c r="HY352" s="542"/>
      <c r="HZ352" s="542"/>
      <c r="IA352" s="542"/>
      <c r="IB352" s="542"/>
      <c r="IC352" s="542"/>
      <c r="ID352" s="542"/>
      <c r="IE352" s="542"/>
      <c r="IF352" s="542"/>
      <c r="IG352" s="542"/>
      <c r="IH352" s="542"/>
      <c r="II352" s="542"/>
      <c r="IJ352" s="542"/>
      <c r="IK352" s="542"/>
      <c r="IL352" s="542"/>
      <c r="IM352" s="542"/>
      <c r="IN352" s="542"/>
      <c r="IO352" s="542"/>
      <c r="IP352" s="542"/>
      <c r="IQ352" s="542"/>
      <c r="IR352" s="542"/>
      <c r="IS352" s="542"/>
      <c r="IT352" s="542"/>
      <c r="IU352" s="542"/>
      <c r="IV352" s="542"/>
      <c r="IW352" s="542"/>
      <c r="IX352" s="542"/>
      <c r="IY352" s="542"/>
      <c r="IZ352" s="542"/>
      <c r="JA352" s="542"/>
      <c r="JB352" s="542"/>
    </row>
    <row r="353" spans="104:262" ht="18.899999999999999" customHeight="1">
      <c r="CZ353" s="542"/>
      <c r="DA353" s="542"/>
      <c r="DB353" s="542"/>
      <c r="DC353" s="542"/>
      <c r="DD353" s="542"/>
      <c r="DE353" s="542"/>
      <c r="DF353" s="542"/>
      <c r="DG353" s="542"/>
      <c r="DH353" s="542"/>
      <c r="DI353" s="542"/>
      <c r="DJ353" s="542"/>
      <c r="DK353" s="542"/>
      <c r="DL353" s="542"/>
      <c r="DM353" s="542"/>
      <c r="DN353" s="542"/>
      <c r="DO353" s="542"/>
      <c r="DP353" s="542"/>
      <c r="DQ353" s="542"/>
      <c r="DR353" s="542"/>
      <c r="DS353" s="542"/>
      <c r="DT353" s="542"/>
      <c r="DU353" s="542"/>
      <c r="DV353" s="542"/>
      <c r="DW353" s="542"/>
      <c r="DX353" s="542"/>
      <c r="DY353" s="542"/>
      <c r="DZ353" s="542"/>
      <c r="EA353" s="542"/>
      <c r="EB353" s="542"/>
      <c r="EC353" s="542"/>
      <c r="ED353" s="542"/>
      <c r="EE353" s="542"/>
      <c r="EF353" s="542"/>
      <c r="EG353" s="542"/>
      <c r="EH353" s="542"/>
      <c r="EI353" s="542"/>
      <c r="EJ353" s="542"/>
      <c r="EK353" s="542"/>
      <c r="EL353" s="542"/>
      <c r="EM353" s="542"/>
      <c r="EN353" s="542"/>
      <c r="EO353" s="542"/>
      <c r="EP353" s="542"/>
      <c r="EQ353" s="542"/>
      <c r="ER353" s="542"/>
      <c r="ES353" s="542"/>
      <c r="ET353" s="542"/>
      <c r="EU353" s="542"/>
      <c r="EV353" s="542"/>
      <c r="EW353" s="542"/>
      <c r="EX353" s="542"/>
      <c r="EY353" s="542"/>
      <c r="EZ353" s="542"/>
      <c r="FA353" s="542"/>
      <c r="FB353" s="542"/>
      <c r="FC353" s="542"/>
      <c r="FD353" s="542"/>
      <c r="FE353" s="542"/>
      <c r="FF353" s="542"/>
      <c r="FG353" s="542"/>
      <c r="FH353" s="542"/>
      <c r="FI353" s="542"/>
      <c r="FJ353" s="542"/>
      <c r="FK353" s="542"/>
      <c r="FL353" s="542"/>
      <c r="FM353" s="542"/>
      <c r="FN353" s="542"/>
      <c r="FO353" s="542"/>
      <c r="FP353" s="542"/>
      <c r="FQ353" s="542"/>
      <c r="FR353" s="542"/>
      <c r="FS353" s="542"/>
      <c r="FT353" s="542"/>
      <c r="FU353" s="542"/>
      <c r="FV353" s="542"/>
      <c r="FW353" s="542"/>
      <c r="FX353" s="542"/>
      <c r="FY353" s="542"/>
      <c r="FZ353" s="542"/>
      <c r="GA353" s="542"/>
      <c r="GB353" s="542"/>
      <c r="GC353" s="542"/>
      <c r="GD353" s="542"/>
      <c r="GE353" s="542"/>
      <c r="GF353" s="542"/>
      <c r="GG353" s="542"/>
      <c r="GH353" s="542"/>
      <c r="GI353" s="542"/>
      <c r="GJ353" s="542"/>
      <c r="GK353" s="542"/>
      <c r="GL353" s="542"/>
      <c r="GM353" s="542"/>
      <c r="GN353" s="542"/>
      <c r="GO353" s="542"/>
      <c r="GP353" s="542"/>
      <c r="GQ353" s="542"/>
      <c r="GR353" s="542"/>
      <c r="GS353" s="542"/>
      <c r="GT353" s="542"/>
      <c r="GU353" s="542"/>
      <c r="GV353" s="542"/>
      <c r="GW353" s="542"/>
      <c r="GX353" s="542"/>
      <c r="GY353" s="542"/>
      <c r="GZ353" s="542"/>
      <c r="HA353" s="542"/>
      <c r="HB353" s="542"/>
      <c r="HC353" s="542"/>
      <c r="HD353" s="542"/>
      <c r="HE353" s="542"/>
      <c r="HF353" s="542"/>
      <c r="HG353" s="542"/>
      <c r="HH353" s="542"/>
      <c r="HI353" s="542"/>
      <c r="HJ353" s="542"/>
      <c r="HK353" s="542"/>
      <c r="HL353" s="542"/>
      <c r="HM353" s="542"/>
      <c r="HN353" s="542"/>
      <c r="HO353" s="542"/>
      <c r="HP353" s="542"/>
      <c r="HQ353" s="542"/>
      <c r="HR353" s="542"/>
      <c r="HS353" s="542"/>
      <c r="HT353" s="542"/>
      <c r="HU353" s="542"/>
      <c r="HV353" s="542"/>
      <c r="HW353" s="542"/>
      <c r="HX353" s="542"/>
      <c r="HY353" s="542"/>
      <c r="HZ353" s="542"/>
      <c r="IA353" s="542"/>
      <c r="IB353" s="542"/>
      <c r="IC353" s="542"/>
      <c r="ID353" s="542"/>
      <c r="IE353" s="542"/>
      <c r="IF353" s="542"/>
      <c r="IG353" s="542"/>
      <c r="IH353" s="542"/>
      <c r="II353" s="542"/>
      <c r="IJ353" s="542"/>
      <c r="IK353" s="542"/>
      <c r="IL353" s="542"/>
      <c r="IM353" s="542"/>
      <c r="IN353" s="542"/>
      <c r="IO353" s="542"/>
      <c r="IP353" s="542"/>
      <c r="IQ353" s="542"/>
      <c r="IR353" s="542"/>
      <c r="IS353" s="542"/>
      <c r="IT353" s="542"/>
      <c r="IU353" s="542"/>
      <c r="IV353" s="542"/>
      <c r="IW353" s="542"/>
      <c r="IX353" s="542"/>
      <c r="IY353" s="542"/>
      <c r="IZ353" s="542"/>
      <c r="JA353" s="542"/>
      <c r="JB353" s="542"/>
    </row>
    <row r="354" spans="104:262" ht="18.899999999999999" customHeight="1">
      <c r="CZ354" s="542"/>
      <c r="DA354" s="542"/>
      <c r="DB354" s="542"/>
      <c r="DC354" s="542"/>
      <c r="DD354" s="542"/>
      <c r="DE354" s="542"/>
      <c r="DF354" s="542"/>
      <c r="DG354" s="542"/>
      <c r="DH354" s="542"/>
      <c r="DI354" s="542"/>
      <c r="DJ354" s="542"/>
      <c r="DK354" s="542"/>
      <c r="DL354" s="542"/>
      <c r="DM354" s="542"/>
      <c r="DN354" s="542"/>
      <c r="DO354" s="542"/>
      <c r="DP354" s="542"/>
      <c r="DQ354" s="542"/>
      <c r="DR354" s="542"/>
      <c r="DS354" s="542"/>
      <c r="DT354" s="542"/>
      <c r="DU354" s="542"/>
      <c r="DV354" s="542"/>
      <c r="DW354" s="542"/>
      <c r="DX354" s="542"/>
      <c r="DY354" s="542"/>
      <c r="DZ354" s="542"/>
      <c r="EA354" s="542"/>
      <c r="EB354" s="542"/>
      <c r="EC354" s="542"/>
      <c r="ED354" s="542"/>
      <c r="EE354" s="542"/>
      <c r="EF354" s="542"/>
      <c r="EG354" s="542"/>
      <c r="EH354" s="542"/>
      <c r="EI354" s="542"/>
      <c r="EJ354" s="542"/>
      <c r="EK354" s="542"/>
      <c r="EL354" s="542"/>
      <c r="EM354" s="542"/>
      <c r="EN354" s="542"/>
      <c r="EO354" s="542"/>
      <c r="EP354" s="542"/>
      <c r="EQ354" s="542"/>
      <c r="ER354" s="542"/>
      <c r="ES354" s="542"/>
      <c r="ET354" s="542"/>
      <c r="EU354" s="542"/>
      <c r="EV354" s="542"/>
      <c r="EW354" s="542"/>
      <c r="EX354" s="542"/>
      <c r="EY354" s="542"/>
      <c r="EZ354" s="542"/>
      <c r="FA354" s="542"/>
      <c r="FB354" s="542"/>
      <c r="FC354" s="542"/>
      <c r="FD354" s="542"/>
      <c r="FE354" s="542"/>
      <c r="FF354" s="542"/>
      <c r="FG354" s="542"/>
      <c r="FH354" s="542"/>
      <c r="FI354" s="542"/>
      <c r="FJ354" s="542"/>
      <c r="FK354" s="542"/>
      <c r="FL354" s="542"/>
      <c r="FM354" s="542"/>
      <c r="FN354" s="542"/>
      <c r="FO354" s="542"/>
      <c r="FP354" s="542"/>
      <c r="FQ354" s="542"/>
      <c r="FR354" s="542"/>
      <c r="FS354" s="542"/>
      <c r="FT354" s="542"/>
      <c r="FU354" s="542"/>
      <c r="FV354" s="542"/>
      <c r="FW354" s="542"/>
      <c r="FX354" s="542"/>
      <c r="FY354" s="542"/>
      <c r="FZ354" s="542"/>
      <c r="GA354" s="542"/>
      <c r="GB354" s="542"/>
      <c r="GC354" s="542"/>
      <c r="GD354" s="542"/>
      <c r="GE354" s="542"/>
      <c r="GF354" s="542"/>
      <c r="GG354" s="542"/>
      <c r="GH354" s="542"/>
      <c r="GI354" s="542"/>
      <c r="GJ354" s="542"/>
      <c r="GK354" s="542"/>
      <c r="GL354" s="542"/>
      <c r="GM354" s="542"/>
      <c r="GN354" s="542"/>
      <c r="GO354" s="542"/>
      <c r="GP354" s="542"/>
      <c r="GQ354" s="542"/>
      <c r="GR354" s="542"/>
      <c r="GS354" s="542"/>
      <c r="GT354" s="542"/>
      <c r="GU354" s="542"/>
      <c r="GV354" s="542"/>
      <c r="GW354" s="542"/>
      <c r="GX354" s="542"/>
      <c r="GY354" s="542"/>
      <c r="GZ354" s="542"/>
      <c r="HA354" s="542"/>
      <c r="HB354" s="542"/>
      <c r="HC354" s="542"/>
      <c r="HD354" s="542"/>
      <c r="HE354" s="542"/>
      <c r="HF354" s="542"/>
      <c r="HG354" s="542"/>
      <c r="HH354" s="542"/>
      <c r="HI354" s="542"/>
      <c r="HJ354" s="542"/>
      <c r="HK354" s="542"/>
      <c r="HL354" s="542"/>
      <c r="HM354" s="542"/>
      <c r="HN354" s="542"/>
      <c r="HO354" s="542"/>
      <c r="HP354" s="542"/>
      <c r="HQ354" s="542"/>
      <c r="HR354" s="542"/>
      <c r="HS354" s="542"/>
      <c r="HT354" s="542"/>
      <c r="HU354" s="542"/>
      <c r="HV354" s="542"/>
      <c r="HW354" s="542"/>
      <c r="HX354" s="542"/>
      <c r="HY354" s="542"/>
      <c r="HZ354" s="542"/>
      <c r="IA354" s="542"/>
      <c r="IB354" s="542"/>
      <c r="IC354" s="542"/>
      <c r="ID354" s="542"/>
      <c r="IE354" s="542"/>
      <c r="IF354" s="542"/>
      <c r="IG354" s="542"/>
      <c r="IH354" s="542"/>
      <c r="II354" s="542"/>
      <c r="IJ354" s="542"/>
      <c r="IK354" s="542"/>
      <c r="IL354" s="542"/>
      <c r="IM354" s="542"/>
      <c r="IN354" s="542"/>
      <c r="IO354" s="542"/>
      <c r="IP354" s="542"/>
      <c r="IQ354" s="542"/>
      <c r="IR354" s="542"/>
      <c r="IS354" s="542"/>
      <c r="IT354" s="542"/>
      <c r="IU354" s="542"/>
      <c r="IV354" s="542"/>
      <c r="IW354" s="542"/>
      <c r="IX354" s="542"/>
      <c r="IY354" s="542"/>
      <c r="IZ354" s="542"/>
      <c r="JA354" s="542"/>
      <c r="JB354" s="542"/>
    </row>
    <row r="355" spans="104:262" ht="18.899999999999999" customHeight="1">
      <c r="CZ355" s="542"/>
      <c r="DA355" s="542"/>
      <c r="DB355" s="542"/>
      <c r="DC355" s="542"/>
      <c r="DD355" s="542"/>
      <c r="DE355" s="542"/>
      <c r="DF355" s="542"/>
      <c r="DG355" s="542"/>
      <c r="DH355" s="542"/>
      <c r="DI355" s="542"/>
      <c r="DJ355" s="542"/>
      <c r="DK355" s="542"/>
      <c r="DL355" s="542"/>
      <c r="DM355" s="542"/>
      <c r="DN355" s="542"/>
      <c r="DO355" s="542"/>
      <c r="DP355" s="542"/>
      <c r="DQ355" s="542"/>
      <c r="DR355" s="542"/>
      <c r="DS355" s="542"/>
      <c r="DT355" s="542"/>
      <c r="DU355" s="542"/>
      <c r="DV355" s="542"/>
      <c r="DW355" s="542"/>
      <c r="DX355" s="542"/>
      <c r="DY355" s="542"/>
      <c r="DZ355" s="542"/>
      <c r="EA355" s="542"/>
      <c r="EB355" s="542"/>
      <c r="EC355" s="542"/>
      <c r="ED355" s="542"/>
      <c r="EE355" s="542"/>
      <c r="EF355" s="542"/>
      <c r="EG355" s="542"/>
      <c r="EH355" s="542"/>
      <c r="EI355" s="542"/>
      <c r="EJ355" s="542"/>
      <c r="EK355" s="542"/>
      <c r="EL355" s="542"/>
      <c r="EM355" s="542"/>
      <c r="EN355" s="542"/>
      <c r="EO355" s="542"/>
      <c r="EP355" s="542"/>
      <c r="EQ355" s="542"/>
      <c r="ER355" s="542"/>
      <c r="ES355" s="542"/>
      <c r="ET355" s="542"/>
      <c r="EU355" s="542"/>
      <c r="EV355" s="542"/>
      <c r="EW355" s="542"/>
      <c r="EX355" s="542"/>
      <c r="EY355" s="542"/>
      <c r="EZ355" s="542"/>
      <c r="FA355" s="542"/>
      <c r="FB355" s="542"/>
      <c r="FC355" s="542"/>
      <c r="FD355" s="542"/>
      <c r="FE355" s="542"/>
      <c r="FF355" s="542"/>
      <c r="FG355" s="542"/>
      <c r="FH355" s="542"/>
      <c r="FI355" s="542"/>
      <c r="FJ355" s="542"/>
      <c r="FK355" s="542"/>
      <c r="FL355" s="542"/>
      <c r="FM355" s="542"/>
      <c r="FN355" s="542"/>
      <c r="FO355" s="542"/>
      <c r="FP355" s="542"/>
      <c r="FQ355" s="542"/>
      <c r="FR355" s="542"/>
      <c r="FS355" s="542"/>
      <c r="FT355" s="542"/>
      <c r="FU355" s="542"/>
      <c r="FV355" s="542"/>
      <c r="FW355" s="542"/>
      <c r="FX355" s="542"/>
      <c r="FY355" s="542"/>
      <c r="FZ355" s="542"/>
      <c r="GA355" s="542"/>
      <c r="GB355" s="542"/>
      <c r="GC355" s="542"/>
      <c r="GD355" s="542"/>
      <c r="GE355" s="542"/>
      <c r="GF355" s="542"/>
      <c r="GG355" s="542"/>
      <c r="GH355" s="542"/>
      <c r="GI355" s="542"/>
      <c r="GJ355" s="542"/>
      <c r="GK355" s="542"/>
      <c r="GL355" s="542"/>
      <c r="GM355" s="542"/>
      <c r="GN355" s="542"/>
      <c r="GO355" s="542"/>
      <c r="GP355" s="542"/>
      <c r="GQ355" s="542"/>
      <c r="GR355" s="542"/>
      <c r="GS355" s="542"/>
      <c r="GT355" s="542"/>
      <c r="GU355" s="542"/>
      <c r="GV355" s="542"/>
      <c r="GW355" s="542"/>
      <c r="GX355" s="542"/>
      <c r="GY355" s="542"/>
      <c r="GZ355" s="542"/>
      <c r="HA355" s="542"/>
      <c r="HB355" s="542"/>
      <c r="HC355" s="542"/>
      <c r="HD355" s="542"/>
      <c r="HE355" s="542"/>
      <c r="HF355" s="542"/>
      <c r="HG355" s="542"/>
      <c r="HH355" s="542"/>
      <c r="HI355" s="542"/>
      <c r="HJ355" s="542"/>
      <c r="HK355" s="542"/>
      <c r="HL355" s="542"/>
      <c r="HM355" s="542"/>
      <c r="HN355" s="542"/>
      <c r="HO355" s="542"/>
      <c r="HP355" s="542"/>
      <c r="HQ355" s="542"/>
      <c r="HR355" s="542"/>
      <c r="HS355" s="542"/>
      <c r="HT355" s="542"/>
      <c r="HU355" s="542"/>
      <c r="HV355" s="542"/>
      <c r="HW355" s="542"/>
      <c r="HX355" s="542"/>
      <c r="HY355" s="542"/>
      <c r="HZ355" s="542"/>
      <c r="IA355" s="542"/>
      <c r="IB355" s="542"/>
      <c r="IC355" s="542"/>
      <c r="ID355" s="542"/>
      <c r="IE355" s="542"/>
      <c r="IF355" s="542"/>
      <c r="IG355" s="542"/>
      <c r="IH355" s="542"/>
      <c r="II355" s="542"/>
      <c r="IJ355" s="542"/>
      <c r="IK355" s="542"/>
      <c r="IL355" s="542"/>
      <c r="IM355" s="542"/>
      <c r="IN355" s="542"/>
      <c r="IO355" s="542"/>
      <c r="IP355" s="542"/>
      <c r="IQ355" s="542"/>
      <c r="IR355" s="542"/>
      <c r="IS355" s="542"/>
      <c r="IT355" s="542"/>
      <c r="IU355" s="542"/>
      <c r="IV355" s="542"/>
      <c r="IW355" s="542"/>
      <c r="IX355" s="542"/>
      <c r="IY355" s="542"/>
      <c r="IZ355" s="542"/>
      <c r="JA355" s="542"/>
      <c r="JB355" s="542"/>
    </row>
    <row r="356" spans="104:262" ht="18.899999999999999" customHeight="1">
      <c r="CZ356" s="542"/>
      <c r="DA356" s="542"/>
      <c r="DB356" s="542"/>
      <c r="DC356" s="542"/>
      <c r="DD356" s="542"/>
      <c r="DE356" s="542"/>
      <c r="DF356" s="542"/>
      <c r="DG356" s="542"/>
      <c r="DH356" s="542"/>
      <c r="DI356" s="542"/>
      <c r="DJ356" s="542"/>
      <c r="DK356" s="542"/>
      <c r="DL356" s="542"/>
      <c r="DM356" s="542"/>
      <c r="DN356" s="542"/>
      <c r="DO356" s="542"/>
      <c r="DP356" s="542"/>
      <c r="DQ356" s="542"/>
      <c r="DR356" s="542"/>
      <c r="DS356" s="542"/>
      <c r="DT356" s="542"/>
      <c r="DU356" s="542"/>
      <c r="DV356" s="542"/>
      <c r="DW356" s="542"/>
      <c r="DX356" s="542"/>
      <c r="DY356" s="542"/>
      <c r="DZ356" s="542"/>
      <c r="EA356" s="542"/>
      <c r="EB356" s="542"/>
      <c r="EC356" s="542"/>
      <c r="ED356" s="542"/>
      <c r="EE356" s="542"/>
      <c r="EF356" s="542"/>
      <c r="EG356" s="542"/>
      <c r="EH356" s="542"/>
      <c r="EI356" s="542"/>
      <c r="EJ356" s="542"/>
      <c r="EK356" s="542"/>
      <c r="EL356" s="542"/>
      <c r="EM356" s="542"/>
      <c r="EN356" s="542"/>
      <c r="EO356" s="542"/>
      <c r="EP356" s="542"/>
      <c r="EQ356" s="542"/>
      <c r="ER356" s="542"/>
      <c r="ES356" s="542"/>
      <c r="ET356" s="542"/>
      <c r="EU356" s="542"/>
      <c r="EV356" s="542"/>
      <c r="EW356" s="542"/>
      <c r="EX356" s="542"/>
      <c r="EY356" s="542"/>
      <c r="EZ356" s="542"/>
      <c r="FA356" s="542"/>
      <c r="FB356" s="542"/>
      <c r="FC356" s="542"/>
      <c r="FD356" s="542"/>
      <c r="FE356" s="542"/>
      <c r="FF356" s="542"/>
      <c r="FG356" s="542"/>
      <c r="FH356" s="542"/>
      <c r="FI356" s="542"/>
      <c r="FJ356" s="542"/>
      <c r="FK356" s="542"/>
      <c r="FL356" s="542"/>
      <c r="FM356" s="542"/>
      <c r="FN356" s="542"/>
      <c r="FO356" s="542"/>
      <c r="FP356" s="542"/>
      <c r="FQ356" s="542"/>
      <c r="FR356" s="542"/>
      <c r="FS356" s="542"/>
      <c r="FT356" s="542"/>
      <c r="FU356" s="542"/>
      <c r="FV356" s="542"/>
      <c r="FW356" s="542"/>
      <c r="FX356" s="542"/>
      <c r="FY356" s="542"/>
      <c r="FZ356" s="542"/>
      <c r="GA356" s="542"/>
      <c r="GB356" s="542"/>
      <c r="GC356" s="542"/>
      <c r="GD356" s="542"/>
      <c r="GE356" s="542"/>
      <c r="GF356" s="542"/>
      <c r="GG356" s="542"/>
      <c r="GH356" s="542"/>
      <c r="GI356" s="542"/>
      <c r="GJ356" s="542"/>
      <c r="GK356" s="542"/>
      <c r="GL356" s="542"/>
      <c r="GM356" s="542"/>
      <c r="GN356" s="542"/>
      <c r="GO356" s="542"/>
      <c r="GP356" s="542"/>
      <c r="GQ356" s="542"/>
      <c r="GR356" s="542"/>
      <c r="GS356" s="542"/>
      <c r="GT356" s="542"/>
      <c r="GU356" s="542"/>
      <c r="GV356" s="542"/>
      <c r="GW356" s="542"/>
      <c r="GX356" s="542"/>
      <c r="GY356" s="542"/>
      <c r="GZ356" s="542"/>
      <c r="HA356" s="542"/>
      <c r="HB356" s="542"/>
      <c r="HC356" s="542"/>
      <c r="HD356" s="542"/>
      <c r="HE356" s="542"/>
      <c r="HF356" s="542"/>
      <c r="HG356" s="542"/>
      <c r="HH356" s="542"/>
      <c r="HI356" s="542"/>
      <c r="HJ356" s="542"/>
      <c r="HK356" s="542"/>
      <c r="HL356" s="542"/>
      <c r="HM356" s="542"/>
      <c r="HN356" s="542"/>
      <c r="HO356" s="542"/>
      <c r="HP356" s="542"/>
      <c r="HQ356" s="542"/>
      <c r="HR356" s="542"/>
      <c r="HS356" s="542"/>
      <c r="HT356" s="542"/>
      <c r="HU356" s="542"/>
      <c r="HV356" s="542"/>
      <c r="HW356" s="542"/>
      <c r="HX356" s="542"/>
      <c r="HY356" s="542"/>
      <c r="HZ356" s="542"/>
      <c r="IA356" s="542"/>
      <c r="IB356" s="542"/>
      <c r="IC356" s="542"/>
      <c r="ID356" s="542"/>
      <c r="IE356" s="542"/>
      <c r="IF356" s="542"/>
      <c r="IG356" s="542"/>
      <c r="IH356" s="542"/>
      <c r="II356" s="542"/>
      <c r="IJ356" s="542"/>
      <c r="IK356" s="542"/>
      <c r="IL356" s="542"/>
      <c r="IM356" s="542"/>
      <c r="IN356" s="542"/>
      <c r="IO356" s="542"/>
      <c r="IP356" s="542"/>
      <c r="IQ356" s="542"/>
      <c r="IR356" s="542"/>
      <c r="IS356" s="542"/>
      <c r="IT356" s="542"/>
      <c r="IU356" s="542"/>
      <c r="IV356" s="542"/>
      <c r="IW356" s="542"/>
      <c r="IX356" s="542"/>
      <c r="IY356" s="542"/>
      <c r="IZ356" s="542"/>
      <c r="JA356" s="542"/>
      <c r="JB356" s="542"/>
    </row>
    <row r="357" spans="104:262" ht="18.899999999999999" customHeight="1">
      <c r="CZ357" s="542"/>
      <c r="DA357" s="542"/>
      <c r="DB357" s="542"/>
      <c r="DC357" s="542"/>
      <c r="DD357" s="542"/>
      <c r="DE357" s="542"/>
      <c r="DF357" s="542"/>
      <c r="DG357" s="542"/>
      <c r="DH357" s="542"/>
      <c r="DI357" s="542"/>
      <c r="DJ357" s="542"/>
      <c r="DK357" s="542"/>
      <c r="DL357" s="542"/>
      <c r="DM357" s="542"/>
      <c r="DN357" s="542"/>
      <c r="DO357" s="542"/>
      <c r="DP357" s="542"/>
      <c r="DQ357" s="542"/>
      <c r="DR357" s="542"/>
      <c r="DS357" s="542"/>
      <c r="DT357" s="542"/>
      <c r="DU357" s="542"/>
      <c r="DV357" s="542"/>
      <c r="DW357" s="542"/>
      <c r="DX357" s="542"/>
      <c r="DY357" s="542"/>
      <c r="DZ357" s="542"/>
      <c r="EA357" s="542"/>
      <c r="EB357" s="542"/>
      <c r="EC357" s="542"/>
      <c r="ED357" s="542"/>
      <c r="EE357" s="542"/>
      <c r="EF357" s="542"/>
      <c r="EG357" s="542"/>
      <c r="EH357" s="542"/>
      <c r="EI357" s="542"/>
      <c r="EJ357" s="542"/>
      <c r="EK357" s="542"/>
      <c r="EL357" s="542"/>
      <c r="EM357" s="542"/>
      <c r="EN357" s="542"/>
      <c r="EO357" s="542"/>
      <c r="EP357" s="542"/>
      <c r="EQ357" s="542"/>
      <c r="ER357" s="542"/>
      <c r="ES357" s="542"/>
      <c r="ET357" s="542"/>
      <c r="EU357" s="542"/>
      <c r="EV357" s="542"/>
      <c r="EW357" s="542"/>
      <c r="EX357" s="542"/>
      <c r="EY357" s="542"/>
      <c r="EZ357" s="542"/>
      <c r="FA357" s="542"/>
      <c r="FB357" s="542"/>
      <c r="FC357" s="542"/>
      <c r="FD357" s="542"/>
      <c r="FE357" s="542"/>
      <c r="FF357" s="542"/>
      <c r="FG357" s="542"/>
      <c r="FH357" s="542"/>
      <c r="FI357" s="542"/>
      <c r="FJ357" s="542"/>
      <c r="FK357" s="542"/>
      <c r="FL357" s="542"/>
      <c r="FM357" s="542"/>
      <c r="FN357" s="542"/>
      <c r="FO357" s="542"/>
      <c r="FP357" s="542"/>
      <c r="FQ357" s="542"/>
      <c r="FR357" s="542"/>
      <c r="FS357" s="542"/>
      <c r="FT357" s="542"/>
      <c r="FU357" s="542"/>
      <c r="FV357" s="542"/>
      <c r="FW357" s="542"/>
      <c r="FX357" s="542"/>
      <c r="FY357" s="542"/>
      <c r="FZ357" s="542"/>
      <c r="GA357" s="542"/>
      <c r="GB357" s="542"/>
      <c r="GC357" s="542"/>
      <c r="GD357" s="542"/>
      <c r="GE357" s="542"/>
      <c r="GF357" s="542"/>
      <c r="GG357" s="542"/>
      <c r="GH357" s="542"/>
      <c r="GI357" s="542"/>
      <c r="GJ357" s="542"/>
      <c r="GK357" s="542"/>
      <c r="GL357" s="542"/>
      <c r="GM357" s="542"/>
      <c r="GN357" s="542"/>
      <c r="GO357" s="542"/>
      <c r="GP357" s="542"/>
      <c r="GQ357" s="542"/>
      <c r="GR357" s="542"/>
      <c r="GS357" s="542"/>
      <c r="GT357" s="542"/>
      <c r="GU357" s="542"/>
      <c r="GV357" s="542"/>
      <c r="GW357" s="542"/>
      <c r="GX357" s="542"/>
      <c r="GY357" s="542"/>
      <c r="GZ357" s="542"/>
      <c r="HA357" s="542"/>
      <c r="HB357" s="542"/>
      <c r="HC357" s="542"/>
      <c r="HD357" s="542"/>
      <c r="HE357" s="542"/>
      <c r="HF357" s="542"/>
      <c r="HG357" s="542"/>
      <c r="HH357" s="542"/>
      <c r="HI357" s="542"/>
      <c r="HJ357" s="542"/>
      <c r="HK357" s="542"/>
      <c r="HL357" s="542"/>
      <c r="HM357" s="542"/>
      <c r="HN357" s="542"/>
      <c r="HO357" s="542"/>
      <c r="HP357" s="542"/>
      <c r="HQ357" s="542"/>
      <c r="HR357" s="542"/>
      <c r="HS357" s="542"/>
      <c r="HT357" s="542"/>
      <c r="HU357" s="542"/>
      <c r="HV357" s="542"/>
      <c r="HW357" s="542"/>
      <c r="HX357" s="542"/>
      <c r="HY357" s="542"/>
      <c r="HZ357" s="542"/>
      <c r="IA357" s="542"/>
      <c r="IB357" s="542"/>
      <c r="IC357" s="542"/>
      <c r="ID357" s="542"/>
      <c r="IE357" s="542"/>
      <c r="IF357" s="542"/>
      <c r="IG357" s="542"/>
      <c r="IH357" s="542"/>
      <c r="II357" s="542"/>
      <c r="IJ357" s="542"/>
      <c r="IK357" s="542"/>
      <c r="IL357" s="542"/>
      <c r="IM357" s="542"/>
      <c r="IN357" s="542"/>
      <c r="IO357" s="542"/>
      <c r="IP357" s="542"/>
      <c r="IQ357" s="542"/>
      <c r="IR357" s="542"/>
      <c r="IS357" s="542"/>
      <c r="IT357" s="542"/>
      <c r="IU357" s="542"/>
      <c r="IV357" s="542"/>
      <c r="IW357" s="542"/>
      <c r="IX357" s="542"/>
      <c r="IY357" s="542"/>
      <c r="IZ357" s="542"/>
      <c r="JA357" s="542"/>
      <c r="JB357" s="542"/>
    </row>
    <row r="358" spans="104:262" ht="18.899999999999999" customHeight="1">
      <c r="CZ358" s="542"/>
      <c r="DA358" s="542"/>
      <c r="DB358" s="542"/>
      <c r="DC358" s="542"/>
      <c r="DD358" s="542"/>
      <c r="DE358" s="542"/>
      <c r="DF358" s="542"/>
      <c r="DG358" s="542"/>
      <c r="DH358" s="542"/>
      <c r="DI358" s="542"/>
      <c r="DJ358" s="542"/>
      <c r="DK358" s="542"/>
      <c r="DL358" s="542"/>
      <c r="DM358" s="542"/>
      <c r="DN358" s="542"/>
      <c r="DO358" s="542"/>
      <c r="DP358" s="542"/>
      <c r="DQ358" s="542"/>
      <c r="DR358" s="542"/>
      <c r="DS358" s="542"/>
      <c r="DT358" s="542"/>
      <c r="DU358" s="542"/>
      <c r="DV358" s="542"/>
      <c r="DW358" s="542"/>
      <c r="DX358" s="542"/>
      <c r="DY358" s="542"/>
      <c r="DZ358" s="542"/>
      <c r="EA358" s="542"/>
      <c r="EB358" s="542"/>
      <c r="EC358" s="542"/>
      <c r="ED358" s="542"/>
      <c r="EE358" s="542"/>
      <c r="EF358" s="542"/>
      <c r="EG358" s="542"/>
      <c r="EH358" s="542"/>
      <c r="EI358" s="542"/>
      <c r="EJ358" s="542"/>
      <c r="EK358" s="542"/>
      <c r="EL358" s="542"/>
      <c r="EM358" s="542"/>
      <c r="EN358" s="542"/>
      <c r="EO358" s="542"/>
      <c r="EP358" s="542"/>
      <c r="EQ358" s="542"/>
      <c r="ER358" s="542"/>
      <c r="ES358" s="542"/>
      <c r="ET358" s="542"/>
      <c r="EU358" s="542"/>
      <c r="EV358" s="542"/>
      <c r="EW358" s="542"/>
      <c r="EX358" s="542"/>
      <c r="EY358" s="542"/>
      <c r="EZ358" s="542"/>
      <c r="FA358" s="542"/>
      <c r="FB358" s="542"/>
      <c r="FC358" s="542"/>
      <c r="FD358" s="542"/>
      <c r="FE358" s="542"/>
      <c r="FF358" s="542"/>
      <c r="FG358" s="542"/>
      <c r="FH358" s="542"/>
      <c r="FI358" s="542"/>
      <c r="FJ358" s="542"/>
      <c r="FK358" s="542"/>
      <c r="FL358" s="542"/>
      <c r="FM358" s="542"/>
      <c r="FN358" s="542"/>
      <c r="FO358" s="542"/>
      <c r="FP358" s="542"/>
      <c r="FQ358" s="542"/>
      <c r="FR358" s="542"/>
      <c r="FS358" s="542"/>
      <c r="FT358" s="542"/>
      <c r="FU358" s="542"/>
      <c r="FV358" s="542"/>
      <c r="FW358" s="542"/>
      <c r="FX358" s="542"/>
      <c r="FY358" s="542"/>
      <c r="FZ358" s="542"/>
      <c r="GA358" s="542"/>
      <c r="GB358" s="542"/>
      <c r="GC358" s="542"/>
      <c r="GD358" s="542"/>
      <c r="GE358" s="542"/>
      <c r="GF358" s="542"/>
      <c r="GG358" s="542"/>
      <c r="GH358" s="542"/>
      <c r="GI358" s="542"/>
      <c r="GJ358" s="542"/>
      <c r="GK358" s="542"/>
      <c r="GL358" s="542"/>
      <c r="GM358" s="542"/>
      <c r="GN358" s="542"/>
      <c r="GO358" s="542"/>
      <c r="GP358" s="542"/>
      <c r="GQ358" s="542"/>
      <c r="GR358" s="542"/>
      <c r="GS358" s="542"/>
      <c r="GT358" s="542"/>
      <c r="GU358" s="542"/>
      <c r="GV358" s="542"/>
      <c r="GW358" s="542"/>
      <c r="GX358" s="542"/>
      <c r="GY358" s="542"/>
      <c r="GZ358" s="542"/>
      <c r="HA358" s="542"/>
      <c r="HB358" s="542"/>
      <c r="HC358" s="542"/>
      <c r="HD358" s="542"/>
      <c r="HE358" s="542"/>
      <c r="HF358" s="542"/>
      <c r="HG358" s="542"/>
      <c r="HH358" s="542"/>
      <c r="HI358" s="542"/>
      <c r="HJ358" s="542"/>
      <c r="HK358" s="542"/>
      <c r="HL358" s="542"/>
      <c r="HM358" s="542"/>
      <c r="HN358" s="542"/>
      <c r="HO358" s="542"/>
      <c r="HP358" s="542"/>
      <c r="HQ358" s="542"/>
      <c r="HR358" s="542"/>
      <c r="HS358" s="542"/>
      <c r="HT358" s="542"/>
      <c r="HU358" s="542"/>
      <c r="HV358" s="542"/>
      <c r="HW358" s="542"/>
      <c r="HX358" s="542"/>
      <c r="HY358" s="542"/>
      <c r="HZ358" s="542"/>
      <c r="IA358" s="542"/>
      <c r="IB358" s="542"/>
      <c r="IC358" s="542"/>
      <c r="ID358" s="542"/>
      <c r="IE358" s="542"/>
      <c r="IF358" s="542"/>
      <c r="IG358" s="542"/>
      <c r="IH358" s="542"/>
      <c r="II358" s="542"/>
      <c r="IJ358" s="542"/>
      <c r="IK358" s="542"/>
      <c r="IL358" s="542"/>
      <c r="IM358" s="542"/>
      <c r="IN358" s="542"/>
      <c r="IO358" s="542"/>
      <c r="IP358" s="542"/>
      <c r="IQ358" s="542"/>
      <c r="IR358" s="542"/>
      <c r="IS358" s="542"/>
      <c r="IT358" s="542"/>
      <c r="IU358" s="542"/>
      <c r="IV358" s="542"/>
      <c r="IW358" s="542"/>
      <c r="IX358" s="542"/>
      <c r="IY358" s="542"/>
      <c r="IZ358" s="542"/>
      <c r="JA358" s="542"/>
      <c r="JB358" s="542"/>
    </row>
    <row r="359" spans="104:262" ht="18.899999999999999" customHeight="1">
      <c r="CZ359" s="542"/>
      <c r="DA359" s="542"/>
      <c r="DB359" s="542"/>
      <c r="DC359" s="542"/>
      <c r="DD359" s="542"/>
      <c r="DE359" s="542"/>
      <c r="DF359" s="542"/>
      <c r="DG359" s="542"/>
      <c r="DH359" s="542"/>
      <c r="DI359" s="542"/>
      <c r="DJ359" s="542"/>
      <c r="DK359" s="542"/>
      <c r="DL359" s="542"/>
      <c r="DM359" s="542"/>
      <c r="DN359" s="542"/>
      <c r="DO359" s="542"/>
      <c r="DP359" s="542"/>
      <c r="DQ359" s="542"/>
      <c r="DR359" s="542"/>
      <c r="DS359" s="542"/>
      <c r="DT359" s="542"/>
      <c r="DU359" s="542"/>
      <c r="DV359" s="542"/>
      <c r="DW359" s="542"/>
      <c r="DX359" s="542"/>
      <c r="DY359" s="542"/>
      <c r="DZ359" s="542"/>
      <c r="EA359" s="542"/>
      <c r="EB359" s="542"/>
      <c r="EC359" s="542"/>
      <c r="ED359" s="542"/>
      <c r="EE359" s="542"/>
      <c r="EF359" s="542"/>
      <c r="EG359" s="542"/>
      <c r="EH359" s="542"/>
      <c r="EI359" s="542"/>
      <c r="EJ359" s="542"/>
      <c r="EK359" s="542"/>
      <c r="EL359" s="542"/>
      <c r="EM359" s="542"/>
      <c r="EN359" s="542"/>
      <c r="EO359" s="542"/>
      <c r="EP359" s="542"/>
      <c r="EQ359" s="542"/>
      <c r="ER359" s="542"/>
      <c r="ES359" s="542"/>
      <c r="ET359" s="542"/>
      <c r="EU359" s="542"/>
      <c r="EV359" s="542"/>
      <c r="EW359" s="542"/>
      <c r="EX359" s="542"/>
      <c r="EY359" s="542"/>
      <c r="EZ359" s="542"/>
      <c r="FA359" s="542"/>
      <c r="FB359" s="542"/>
      <c r="FC359" s="542"/>
      <c r="FD359" s="542"/>
      <c r="FE359" s="542"/>
      <c r="FF359" s="542"/>
      <c r="FG359" s="542"/>
      <c r="FH359" s="542"/>
      <c r="FI359" s="542"/>
      <c r="FJ359" s="542"/>
      <c r="FK359" s="542"/>
      <c r="FL359" s="542"/>
      <c r="FM359" s="542"/>
      <c r="FN359" s="542"/>
      <c r="FO359" s="542"/>
      <c r="FP359" s="542"/>
      <c r="FQ359" s="542"/>
      <c r="FR359" s="542"/>
      <c r="FS359" s="542"/>
      <c r="FT359" s="542"/>
      <c r="FU359" s="542"/>
      <c r="FV359" s="542"/>
      <c r="FW359" s="542"/>
      <c r="FX359" s="542"/>
      <c r="FY359" s="542"/>
      <c r="FZ359" s="542"/>
      <c r="GA359" s="542"/>
      <c r="GB359" s="542"/>
      <c r="GC359" s="542"/>
      <c r="GD359" s="542"/>
      <c r="GE359" s="542"/>
      <c r="GF359" s="542"/>
      <c r="GG359" s="542"/>
      <c r="GH359" s="542"/>
      <c r="GI359" s="542"/>
      <c r="GJ359" s="542"/>
      <c r="GK359" s="542"/>
      <c r="GL359" s="542"/>
      <c r="GM359" s="542"/>
      <c r="GN359" s="542"/>
      <c r="GO359" s="542"/>
      <c r="GP359" s="542"/>
      <c r="GQ359" s="542"/>
      <c r="GR359" s="542"/>
      <c r="GS359" s="542"/>
      <c r="GT359" s="542"/>
      <c r="GU359" s="542"/>
      <c r="GV359" s="542"/>
      <c r="GW359" s="542"/>
      <c r="GX359" s="542"/>
      <c r="GY359" s="542"/>
      <c r="GZ359" s="542"/>
      <c r="HA359" s="542"/>
      <c r="HB359" s="542"/>
      <c r="HC359" s="542"/>
      <c r="HD359" s="542"/>
      <c r="HE359" s="542"/>
      <c r="HF359" s="542"/>
      <c r="HG359" s="542"/>
      <c r="HH359" s="542"/>
      <c r="HI359" s="542"/>
      <c r="HJ359" s="542"/>
      <c r="HK359" s="542"/>
      <c r="HL359" s="542"/>
      <c r="HM359" s="542"/>
      <c r="HN359" s="542"/>
      <c r="HO359" s="542"/>
      <c r="HP359" s="542"/>
      <c r="HQ359" s="542"/>
      <c r="HR359" s="542"/>
      <c r="HS359" s="542"/>
      <c r="HT359" s="542"/>
      <c r="HU359" s="542"/>
      <c r="HV359" s="542"/>
      <c r="HW359" s="542"/>
      <c r="HX359" s="542"/>
      <c r="HY359" s="542"/>
      <c r="HZ359" s="542"/>
      <c r="IA359" s="542"/>
      <c r="IB359" s="542"/>
      <c r="IC359" s="542"/>
      <c r="ID359" s="542"/>
      <c r="IE359" s="542"/>
      <c r="IF359" s="542"/>
      <c r="IG359" s="542"/>
      <c r="IH359" s="542"/>
      <c r="II359" s="542"/>
      <c r="IJ359" s="542"/>
      <c r="IK359" s="542"/>
      <c r="IL359" s="542"/>
      <c r="IM359" s="542"/>
      <c r="IN359" s="542"/>
      <c r="IO359" s="542"/>
      <c r="IP359" s="542"/>
      <c r="IQ359" s="542"/>
      <c r="IR359" s="542"/>
      <c r="IS359" s="542"/>
      <c r="IT359" s="542"/>
      <c r="IU359" s="542"/>
      <c r="IV359" s="542"/>
      <c r="IW359" s="542"/>
      <c r="IX359" s="542"/>
      <c r="IY359" s="542"/>
      <c r="IZ359" s="542"/>
      <c r="JA359" s="542"/>
      <c r="JB359" s="542"/>
    </row>
    <row r="360" spans="104:262" ht="18.899999999999999" customHeight="1">
      <c r="CZ360" s="542"/>
      <c r="DA360" s="542"/>
      <c r="DB360" s="542"/>
      <c r="DC360" s="542"/>
      <c r="DD360" s="542"/>
      <c r="DE360" s="542"/>
      <c r="DF360" s="542"/>
      <c r="DG360" s="542"/>
      <c r="DH360" s="542"/>
      <c r="DI360" s="542"/>
      <c r="DJ360" s="542"/>
      <c r="DK360" s="542"/>
      <c r="DL360" s="542"/>
      <c r="DM360" s="542"/>
      <c r="DN360" s="542"/>
      <c r="DO360" s="542"/>
      <c r="DP360" s="542"/>
      <c r="DQ360" s="542"/>
      <c r="DR360" s="542"/>
      <c r="DS360" s="542"/>
      <c r="DT360" s="542"/>
      <c r="DU360" s="542"/>
      <c r="DV360" s="542"/>
      <c r="DW360" s="542"/>
      <c r="DX360" s="542"/>
      <c r="DY360" s="542"/>
      <c r="DZ360" s="542"/>
      <c r="EA360" s="542"/>
      <c r="EB360" s="542"/>
      <c r="EC360" s="542"/>
      <c r="ED360" s="542"/>
      <c r="EE360" s="542"/>
      <c r="EF360" s="542"/>
      <c r="EG360" s="542"/>
      <c r="EH360" s="542"/>
      <c r="EI360" s="542"/>
      <c r="EJ360" s="542"/>
      <c r="EK360" s="542"/>
      <c r="EL360" s="542"/>
      <c r="EM360" s="542"/>
      <c r="EN360" s="542"/>
      <c r="EO360" s="542"/>
      <c r="EP360" s="542"/>
      <c r="EQ360" s="542"/>
      <c r="ER360" s="542"/>
      <c r="ES360" s="542"/>
      <c r="ET360" s="542"/>
      <c r="EU360" s="542"/>
      <c r="EV360" s="542"/>
      <c r="EW360" s="542"/>
      <c r="EX360" s="542"/>
      <c r="EY360" s="542"/>
      <c r="EZ360" s="542"/>
      <c r="FA360" s="542"/>
      <c r="FB360" s="542"/>
      <c r="FC360" s="542"/>
      <c r="FD360" s="542"/>
      <c r="FE360" s="542"/>
      <c r="FF360" s="542"/>
      <c r="FG360" s="542"/>
      <c r="FH360" s="542"/>
      <c r="FI360" s="542"/>
      <c r="FJ360" s="542"/>
      <c r="FK360" s="542"/>
      <c r="FL360" s="542"/>
      <c r="FM360" s="542"/>
      <c r="FN360" s="542"/>
      <c r="FO360" s="542"/>
      <c r="FP360" s="542"/>
      <c r="FQ360" s="542"/>
      <c r="FR360" s="542"/>
      <c r="FS360" s="542"/>
      <c r="FT360" s="542"/>
      <c r="FU360" s="542"/>
      <c r="FV360" s="542"/>
      <c r="FW360" s="542"/>
      <c r="FX360" s="542"/>
      <c r="FY360" s="542"/>
      <c r="FZ360" s="542"/>
      <c r="GA360" s="542"/>
      <c r="GB360" s="542"/>
      <c r="GC360" s="542"/>
      <c r="GD360" s="542"/>
      <c r="GE360" s="542"/>
      <c r="GF360" s="542"/>
      <c r="GG360" s="542"/>
      <c r="GH360" s="542"/>
      <c r="GI360" s="542"/>
      <c r="GJ360" s="542"/>
      <c r="GK360" s="542"/>
      <c r="GL360" s="542"/>
      <c r="GM360" s="542"/>
      <c r="GN360" s="542"/>
      <c r="GO360" s="542"/>
      <c r="GP360" s="542"/>
      <c r="GQ360" s="542"/>
      <c r="GR360" s="542"/>
      <c r="GS360" s="542"/>
      <c r="GT360" s="542"/>
      <c r="GU360" s="542"/>
      <c r="GV360" s="542"/>
      <c r="GW360" s="542"/>
      <c r="GX360" s="542"/>
      <c r="GY360" s="542"/>
      <c r="GZ360" s="542"/>
      <c r="HA360" s="542"/>
      <c r="HB360" s="542"/>
      <c r="HC360" s="542"/>
      <c r="HD360" s="542"/>
      <c r="HE360" s="542"/>
      <c r="HF360" s="542"/>
      <c r="HG360" s="542"/>
      <c r="HH360" s="542"/>
      <c r="HI360" s="542"/>
      <c r="HJ360" s="542"/>
      <c r="HK360" s="542"/>
      <c r="HL360" s="542"/>
      <c r="HM360" s="542"/>
      <c r="HN360" s="542"/>
      <c r="HO360" s="542"/>
      <c r="HP360" s="542"/>
      <c r="HQ360" s="542"/>
      <c r="HR360" s="542"/>
      <c r="HS360" s="542"/>
      <c r="HT360" s="542"/>
      <c r="HU360" s="542"/>
      <c r="HV360" s="542"/>
      <c r="HW360" s="542"/>
      <c r="HX360" s="542"/>
      <c r="HY360" s="542"/>
      <c r="HZ360" s="542"/>
      <c r="IA360" s="542"/>
      <c r="IB360" s="542"/>
      <c r="IC360" s="542"/>
      <c r="ID360" s="542"/>
      <c r="IE360" s="542"/>
      <c r="IF360" s="542"/>
      <c r="IG360" s="542"/>
      <c r="IH360" s="542"/>
      <c r="II360" s="542"/>
      <c r="IJ360" s="542"/>
      <c r="IK360" s="542"/>
      <c r="IL360" s="542"/>
      <c r="IM360" s="542"/>
      <c r="IN360" s="542"/>
      <c r="IO360" s="542"/>
      <c r="IP360" s="542"/>
      <c r="IQ360" s="542"/>
      <c r="IR360" s="542"/>
      <c r="IS360" s="542"/>
      <c r="IT360" s="542"/>
      <c r="IU360" s="542"/>
      <c r="IV360" s="542"/>
      <c r="IW360" s="542"/>
      <c r="IX360" s="542"/>
      <c r="IY360" s="542"/>
      <c r="IZ360" s="542"/>
      <c r="JA360" s="542"/>
      <c r="JB360" s="542"/>
    </row>
    <row r="361" spans="104:262" ht="18.899999999999999" customHeight="1">
      <c r="CZ361" s="542"/>
      <c r="DA361" s="542"/>
      <c r="DB361" s="542"/>
      <c r="DC361" s="542"/>
      <c r="DD361" s="542"/>
      <c r="DE361" s="542"/>
      <c r="DF361" s="542"/>
      <c r="DG361" s="542"/>
      <c r="DH361" s="542"/>
      <c r="DI361" s="542"/>
      <c r="DJ361" s="542"/>
      <c r="DK361" s="542"/>
      <c r="DL361" s="542"/>
      <c r="DM361" s="542"/>
      <c r="DN361" s="542"/>
      <c r="DO361" s="542"/>
      <c r="DP361" s="542"/>
      <c r="DQ361" s="542"/>
      <c r="DR361" s="542"/>
      <c r="DS361" s="542"/>
      <c r="DT361" s="542"/>
      <c r="DU361" s="542"/>
      <c r="DV361" s="542"/>
      <c r="DW361" s="542"/>
      <c r="DX361" s="542"/>
      <c r="DY361" s="542"/>
      <c r="DZ361" s="542"/>
      <c r="EA361" s="542"/>
      <c r="EB361" s="542"/>
      <c r="EC361" s="542"/>
      <c r="ED361" s="542"/>
      <c r="EE361" s="542"/>
      <c r="EF361" s="542"/>
      <c r="EG361" s="542"/>
      <c r="EH361" s="542"/>
      <c r="EI361" s="542"/>
      <c r="EJ361" s="542"/>
      <c r="EK361" s="542"/>
      <c r="EL361" s="542"/>
      <c r="EM361" s="542"/>
      <c r="EN361" s="542"/>
      <c r="EO361" s="542"/>
      <c r="EP361" s="542"/>
      <c r="EQ361" s="542"/>
      <c r="ER361" s="542"/>
      <c r="ES361" s="542"/>
      <c r="ET361" s="542"/>
      <c r="EU361" s="542"/>
      <c r="EV361" s="542"/>
      <c r="EW361" s="542"/>
      <c r="EX361" s="542"/>
      <c r="EY361" s="542"/>
      <c r="EZ361" s="542"/>
      <c r="FA361" s="542"/>
      <c r="FB361" s="542"/>
      <c r="FC361" s="542"/>
      <c r="FD361" s="542"/>
      <c r="FE361" s="542"/>
      <c r="FF361" s="542"/>
      <c r="FG361" s="542"/>
      <c r="FH361" s="542"/>
      <c r="FI361" s="542"/>
      <c r="FJ361" s="542"/>
      <c r="FK361" s="542"/>
      <c r="FL361" s="542"/>
      <c r="FM361" s="542"/>
      <c r="FN361" s="542"/>
      <c r="FO361" s="542"/>
      <c r="FP361" s="542"/>
      <c r="FQ361" s="542"/>
      <c r="FR361" s="542"/>
      <c r="FS361" s="542"/>
      <c r="FT361" s="542"/>
      <c r="FU361" s="542"/>
      <c r="FV361" s="542"/>
      <c r="FW361" s="542"/>
      <c r="FX361" s="542"/>
      <c r="FY361" s="542"/>
      <c r="FZ361" s="542"/>
      <c r="GA361" s="542"/>
      <c r="GB361" s="542"/>
      <c r="GC361" s="542"/>
      <c r="GD361" s="542"/>
      <c r="GE361" s="542"/>
      <c r="GF361" s="542"/>
      <c r="GG361" s="542"/>
      <c r="GH361" s="542"/>
      <c r="GI361" s="542"/>
      <c r="GJ361" s="542"/>
      <c r="GK361" s="542"/>
      <c r="GL361" s="542"/>
      <c r="GM361" s="542"/>
      <c r="GN361" s="542"/>
      <c r="GO361" s="542"/>
      <c r="GP361" s="542"/>
      <c r="GQ361" s="542"/>
      <c r="GR361" s="542"/>
      <c r="GS361" s="542"/>
      <c r="GT361" s="542"/>
      <c r="GU361" s="542"/>
      <c r="GV361" s="542"/>
      <c r="GW361" s="542"/>
      <c r="GX361" s="542"/>
      <c r="GY361" s="542"/>
      <c r="GZ361" s="542"/>
      <c r="HA361" s="542"/>
      <c r="HB361" s="542"/>
      <c r="HC361" s="542"/>
      <c r="HD361" s="542"/>
      <c r="HE361" s="542"/>
      <c r="HF361" s="542"/>
      <c r="HG361" s="542"/>
      <c r="HH361" s="542"/>
      <c r="HI361" s="542"/>
      <c r="HJ361" s="542"/>
      <c r="HK361" s="542"/>
      <c r="HL361" s="542"/>
      <c r="HM361" s="542"/>
      <c r="HN361" s="542"/>
      <c r="HO361" s="542"/>
      <c r="HP361" s="542"/>
      <c r="HQ361" s="542"/>
      <c r="HR361" s="542"/>
      <c r="HS361" s="542"/>
      <c r="HT361" s="542"/>
      <c r="HU361" s="542"/>
      <c r="HV361" s="542"/>
      <c r="HW361" s="542"/>
      <c r="HX361" s="542"/>
      <c r="HY361" s="542"/>
      <c r="HZ361" s="542"/>
      <c r="IA361" s="542"/>
      <c r="IB361" s="542"/>
      <c r="IC361" s="542"/>
      <c r="ID361" s="542"/>
      <c r="IE361" s="542"/>
      <c r="IF361" s="542"/>
      <c r="IG361" s="542"/>
      <c r="IH361" s="542"/>
      <c r="II361" s="542"/>
      <c r="IJ361" s="542"/>
      <c r="IK361" s="542"/>
      <c r="IL361" s="542"/>
      <c r="IM361" s="542"/>
      <c r="IN361" s="542"/>
      <c r="IO361" s="542"/>
      <c r="IP361" s="542"/>
      <c r="IQ361" s="542"/>
      <c r="IR361" s="542"/>
      <c r="IS361" s="542"/>
      <c r="IT361" s="542"/>
      <c r="IU361" s="542"/>
      <c r="IV361" s="542"/>
      <c r="IW361" s="542"/>
      <c r="IX361" s="542"/>
      <c r="IY361" s="542"/>
      <c r="IZ361" s="542"/>
      <c r="JA361" s="542"/>
      <c r="JB361" s="542"/>
    </row>
    <row r="362" spans="104:262" ht="18.899999999999999" customHeight="1">
      <c r="CZ362" s="542"/>
      <c r="DA362" s="542"/>
      <c r="DB362" s="542"/>
      <c r="DC362" s="542"/>
      <c r="DD362" s="542"/>
      <c r="DE362" s="542"/>
      <c r="DF362" s="542"/>
      <c r="DG362" s="542"/>
      <c r="DH362" s="542"/>
      <c r="DI362" s="542"/>
      <c r="DJ362" s="542"/>
      <c r="DK362" s="542"/>
      <c r="DL362" s="542"/>
      <c r="DM362" s="542"/>
      <c r="DN362" s="542"/>
      <c r="DO362" s="542"/>
      <c r="DP362" s="542"/>
      <c r="DQ362" s="542"/>
      <c r="DR362" s="542"/>
      <c r="DS362" s="542"/>
      <c r="DT362" s="542"/>
      <c r="DU362" s="542"/>
      <c r="DV362" s="542"/>
      <c r="DW362" s="542"/>
      <c r="DX362" s="542"/>
      <c r="DY362" s="542"/>
      <c r="DZ362" s="542"/>
      <c r="EA362" s="542"/>
      <c r="EB362" s="542"/>
      <c r="EC362" s="542"/>
      <c r="ED362" s="542"/>
      <c r="EE362" s="542"/>
      <c r="EF362" s="542"/>
      <c r="EG362" s="542"/>
      <c r="EH362" s="542"/>
      <c r="EI362" s="542"/>
      <c r="EJ362" s="542"/>
      <c r="EK362" s="542"/>
      <c r="EL362" s="542"/>
      <c r="EM362" s="542"/>
      <c r="EN362" s="542"/>
      <c r="EO362" s="542"/>
      <c r="EP362" s="542"/>
      <c r="EQ362" s="542"/>
      <c r="ER362" s="542"/>
      <c r="ES362" s="542"/>
      <c r="ET362" s="542"/>
      <c r="EU362" s="542"/>
      <c r="EV362" s="542"/>
      <c r="EW362" s="542"/>
      <c r="EX362" s="542"/>
      <c r="EY362" s="542"/>
      <c r="EZ362" s="542"/>
      <c r="FA362" s="542"/>
      <c r="FB362" s="542"/>
      <c r="FC362" s="542"/>
      <c r="FD362" s="542"/>
      <c r="FE362" s="542"/>
      <c r="FF362" s="542"/>
      <c r="FG362" s="542"/>
      <c r="FH362" s="542"/>
      <c r="FI362" s="542"/>
      <c r="FJ362" s="542"/>
      <c r="FK362" s="542"/>
      <c r="FL362" s="542"/>
      <c r="FM362" s="542"/>
      <c r="FN362" s="542"/>
      <c r="FO362" s="542"/>
      <c r="FP362" s="542"/>
      <c r="FQ362" s="542"/>
      <c r="FR362" s="542"/>
      <c r="FS362" s="542"/>
      <c r="FT362" s="542"/>
      <c r="FU362" s="542"/>
      <c r="FV362" s="542"/>
      <c r="FW362" s="542"/>
      <c r="FX362" s="542"/>
      <c r="FY362" s="542"/>
      <c r="FZ362" s="542"/>
      <c r="GA362" s="542"/>
      <c r="GB362" s="542"/>
      <c r="GC362" s="542"/>
      <c r="GD362" s="542"/>
      <c r="GE362" s="542"/>
      <c r="GF362" s="542"/>
      <c r="GG362" s="542"/>
      <c r="GH362" s="542"/>
      <c r="GI362" s="542"/>
      <c r="GJ362" s="542"/>
      <c r="GK362" s="542"/>
      <c r="GL362" s="542"/>
      <c r="GM362" s="542"/>
      <c r="GN362" s="542"/>
      <c r="GO362" s="542"/>
      <c r="GP362" s="542"/>
      <c r="GQ362" s="542"/>
      <c r="GR362" s="542"/>
      <c r="GS362" s="542"/>
      <c r="GT362" s="542"/>
      <c r="GU362" s="542"/>
      <c r="GV362" s="542"/>
      <c r="GW362" s="542"/>
      <c r="GX362" s="542"/>
      <c r="GY362" s="542"/>
      <c r="GZ362" s="542"/>
      <c r="HA362" s="542"/>
      <c r="HB362" s="542"/>
      <c r="HC362" s="542"/>
      <c r="HD362" s="542"/>
      <c r="HE362" s="542"/>
      <c r="HF362" s="542"/>
      <c r="HG362" s="542"/>
      <c r="HH362" s="542"/>
      <c r="HI362" s="542"/>
      <c r="HJ362" s="542"/>
      <c r="HK362" s="542"/>
      <c r="HL362" s="542"/>
      <c r="HM362" s="542"/>
      <c r="HN362" s="542"/>
      <c r="HO362" s="542"/>
      <c r="HP362" s="542"/>
      <c r="HQ362" s="542"/>
      <c r="HR362" s="542"/>
      <c r="HS362" s="542"/>
      <c r="HT362" s="542"/>
      <c r="HU362" s="542"/>
      <c r="HV362" s="542"/>
      <c r="HW362" s="542"/>
      <c r="HX362" s="542"/>
      <c r="HY362" s="542"/>
      <c r="HZ362" s="542"/>
      <c r="IA362" s="542"/>
      <c r="IB362" s="542"/>
      <c r="IC362" s="542"/>
      <c r="ID362" s="542"/>
      <c r="IE362" s="542"/>
      <c r="IF362" s="542"/>
      <c r="IG362" s="542"/>
      <c r="IH362" s="542"/>
      <c r="II362" s="542"/>
      <c r="IJ362" s="542"/>
      <c r="IK362" s="542"/>
      <c r="IL362" s="542"/>
      <c r="IM362" s="542"/>
      <c r="IN362" s="542"/>
      <c r="IO362" s="542"/>
      <c r="IP362" s="542"/>
      <c r="IQ362" s="542"/>
      <c r="IR362" s="542"/>
      <c r="IS362" s="542"/>
      <c r="IT362" s="542"/>
      <c r="IU362" s="542"/>
      <c r="IV362" s="542"/>
      <c r="IW362" s="542"/>
      <c r="IX362" s="542"/>
      <c r="IY362" s="542"/>
      <c r="IZ362" s="542"/>
      <c r="JA362" s="542"/>
      <c r="JB362" s="542"/>
    </row>
    <row r="363" spans="104:262" ht="18.899999999999999" customHeight="1">
      <c r="CZ363" s="542"/>
      <c r="DA363" s="542"/>
      <c r="DB363" s="542"/>
      <c r="DC363" s="542"/>
      <c r="DD363" s="542"/>
      <c r="DE363" s="542"/>
      <c r="DF363" s="542"/>
      <c r="DG363" s="542"/>
      <c r="DH363" s="542"/>
      <c r="DI363" s="542"/>
      <c r="DJ363" s="542"/>
      <c r="DK363" s="542"/>
      <c r="DL363" s="542"/>
      <c r="DM363" s="542"/>
      <c r="DN363" s="542"/>
      <c r="DO363" s="542"/>
      <c r="DP363" s="542"/>
      <c r="DQ363" s="542"/>
      <c r="DR363" s="542"/>
      <c r="DS363" s="542"/>
      <c r="DT363" s="542"/>
      <c r="DU363" s="542"/>
      <c r="DV363" s="542"/>
      <c r="DW363" s="542"/>
      <c r="DX363" s="542"/>
      <c r="DY363" s="542"/>
      <c r="DZ363" s="542"/>
      <c r="EA363" s="542"/>
      <c r="EB363" s="542"/>
      <c r="EC363" s="542"/>
      <c r="ED363" s="542"/>
      <c r="EE363" s="542"/>
      <c r="EF363" s="542"/>
      <c r="EG363" s="542"/>
      <c r="EH363" s="542"/>
      <c r="EI363" s="542"/>
      <c r="EJ363" s="542"/>
      <c r="EK363" s="542"/>
      <c r="EL363" s="542"/>
      <c r="EM363" s="542"/>
      <c r="EN363" s="542"/>
      <c r="EO363" s="542"/>
      <c r="EP363" s="542"/>
      <c r="EQ363" s="542"/>
      <c r="ER363" s="542"/>
      <c r="ES363" s="542"/>
      <c r="ET363" s="542"/>
      <c r="EU363" s="542"/>
      <c r="EV363" s="542"/>
      <c r="EW363" s="542"/>
      <c r="EX363" s="542"/>
      <c r="EY363" s="542"/>
      <c r="EZ363" s="542"/>
      <c r="FA363" s="542"/>
      <c r="FB363" s="542"/>
      <c r="FC363" s="542"/>
      <c r="FD363" s="542"/>
      <c r="FE363" s="542"/>
      <c r="FF363" s="542"/>
      <c r="FG363" s="542"/>
      <c r="FH363" s="542"/>
      <c r="FI363" s="542"/>
      <c r="FJ363" s="542"/>
      <c r="FK363" s="542"/>
      <c r="FL363" s="542"/>
      <c r="FM363" s="542"/>
      <c r="FN363" s="542"/>
      <c r="FO363" s="542"/>
      <c r="FP363" s="542"/>
      <c r="FQ363" s="542"/>
      <c r="FR363" s="542"/>
      <c r="FS363" s="542"/>
      <c r="FT363" s="542"/>
      <c r="FU363" s="542"/>
      <c r="FV363" s="542"/>
      <c r="FW363" s="542"/>
      <c r="FX363" s="542"/>
      <c r="FY363" s="542"/>
      <c r="FZ363" s="542"/>
      <c r="GA363" s="542"/>
      <c r="GB363" s="542"/>
      <c r="GC363" s="542"/>
      <c r="GD363" s="542"/>
      <c r="GE363" s="542"/>
      <c r="GF363" s="542"/>
      <c r="GG363" s="542"/>
      <c r="GH363" s="542"/>
      <c r="GI363" s="542"/>
      <c r="GJ363" s="542"/>
      <c r="GK363" s="542"/>
      <c r="GL363" s="542"/>
      <c r="GM363" s="542"/>
      <c r="GN363" s="542"/>
      <c r="GO363" s="542"/>
      <c r="GP363" s="542"/>
      <c r="GQ363" s="542"/>
      <c r="GR363" s="542"/>
      <c r="GS363" s="542"/>
      <c r="GT363" s="542"/>
      <c r="GU363" s="542"/>
      <c r="GV363" s="542"/>
      <c r="GW363" s="542"/>
      <c r="GX363" s="542"/>
      <c r="GY363" s="542"/>
      <c r="GZ363" s="542"/>
      <c r="HA363" s="542"/>
      <c r="HB363" s="542"/>
      <c r="HC363" s="542"/>
      <c r="HD363" s="542"/>
      <c r="HE363" s="542"/>
      <c r="HF363" s="542"/>
      <c r="HG363" s="542"/>
      <c r="HH363" s="542"/>
      <c r="HI363" s="542"/>
      <c r="HJ363" s="542"/>
      <c r="HK363" s="542"/>
      <c r="HL363" s="542"/>
      <c r="HM363" s="542"/>
      <c r="HN363" s="542"/>
      <c r="HO363" s="542"/>
      <c r="HP363" s="542"/>
      <c r="HQ363" s="542"/>
      <c r="HR363" s="542"/>
      <c r="HS363" s="542"/>
      <c r="HT363" s="542"/>
      <c r="HU363" s="542"/>
      <c r="HV363" s="542"/>
      <c r="HW363" s="542"/>
      <c r="HX363" s="542"/>
      <c r="HY363" s="542"/>
      <c r="HZ363" s="542"/>
      <c r="IA363" s="542"/>
      <c r="IB363" s="542"/>
      <c r="IC363" s="542"/>
      <c r="ID363" s="542"/>
      <c r="IE363" s="542"/>
      <c r="IF363" s="542"/>
      <c r="IG363" s="542"/>
      <c r="IH363" s="542"/>
      <c r="II363" s="542"/>
      <c r="IJ363" s="542"/>
      <c r="IK363" s="542"/>
      <c r="IL363" s="542"/>
      <c r="IM363" s="542"/>
      <c r="IN363" s="542"/>
      <c r="IO363" s="542"/>
      <c r="IP363" s="542"/>
      <c r="IQ363" s="542"/>
      <c r="IR363" s="542"/>
      <c r="IS363" s="542"/>
      <c r="IT363" s="542"/>
      <c r="IU363" s="542"/>
      <c r="IV363" s="542"/>
      <c r="IW363" s="542"/>
      <c r="IX363" s="542"/>
      <c r="IY363" s="542"/>
      <c r="IZ363" s="542"/>
      <c r="JA363" s="542"/>
      <c r="JB363" s="542"/>
    </row>
    <row r="364" spans="104:262" ht="18.899999999999999" customHeight="1">
      <c r="CZ364" s="542"/>
      <c r="DA364" s="542"/>
      <c r="DB364" s="542"/>
      <c r="DC364" s="542"/>
      <c r="DD364" s="542"/>
      <c r="DE364" s="542"/>
      <c r="DF364" s="542"/>
      <c r="DG364" s="542"/>
      <c r="DH364" s="542"/>
      <c r="DI364" s="542"/>
      <c r="DJ364" s="542"/>
      <c r="DK364" s="542"/>
      <c r="DL364" s="542"/>
      <c r="DM364" s="542"/>
      <c r="DN364" s="542"/>
      <c r="DO364" s="542"/>
      <c r="DP364" s="542"/>
      <c r="DQ364" s="542"/>
      <c r="DR364" s="542"/>
      <c r="DS364" s="542"/>
      <c r="DT364" s="542"/>
      <c r="DU364" s="542"/>
      <c r="DV364" s="542"/>
      <c r="DW364" s="542"/>
      <c r="DX364" s="542"/>
      <c r="DY364" s="542"/>
      <c r="DZ364" s="542"/>
      <c r="EA364" s="542"/>
      <c r="EB364" s="542"/>
      <c r="EC364" s="542"/>
      <c r="ED364" s="542"/>
      <c r="EE364" s="542"/>
      <c r="EF364" s="542"/>
      <c r="EG364" s="542"/>
      <c r="EH364" s="542"/>
      <c r="EI364" s="542"/>
      <c r="EJ364" s="542"/>
      <c r="EK364" s="542"/>
      <c r="EL364" s="542"/>
      <c r="EM364" s="542"/>
      <c r="EN364" s="542"/>
      <c r="EO364" s="542"/>
      <c r="EP364" s="542"/>
      <c r="EQ364" s="542"/>
      <c r="ER364" s="542"/>
      <c r="ES364" s="542"/>
      <c r="ET364" s="542"/>
      <c r="EU364" s="542"/>
      <c r="EV364" s="542"/>
      <c r="EW364" s="542"/>
      <c r="EX364" s="542"/>
      <c r="EY364" s="542"/>
      <c r="EZ364" s="542"/>
      <c r="FA364" s="542"/>
      <c r="FB364" s="542"/>
      <c r="FC364" s="542"/>
      <c r="FD364" s="542"/>
      <c r="FE364" s="542"/>
      <c r="FF364" s="542"/>
      <c r="FG364" s="542"/>
      <c r="FH364" s="542"/>
      <c r="FI364" s="542"/>
      <c r="FJ364" s="542"/>
      <c r="FK364" s="542"/>
      <c r="FL364" s="542"/>
      <c r="FM364" s="542"/>
      <c r="FN364" s="542"/>
      <c r="FO364" s="542"/>
      <c r="FP364" s="542"/>
      <c r="FQ364" s="542"/>
      <c r="FR364" s="542"/>
      <c r="FS364" s="542"/>
      <c r="FT364" s="542"/>
      <c r="FU364" s="542"/>
      <c r="FV364" s="542"/>
      <c r="FW364" s="542"/>
      <c r="FX364" s="542"/>
      <c r="FY364" s="542"/>
      <c r="FZ364" s="542"/>
      <c r="GA364" s="542"/>
      <c r="GB364" s="542"/>
      <c r="GC364" s="542"/>
      <c r="GD364" s="542"/>
      <c r="GE364" s="542"/>
      <c r="GF364" s="542"/>
      <c r="GG364" s="542"/>
      <c r="GH364" s="542"/>
      <c r="GI364" s="542"/>
      <c r="GJ364" s="542"/>
      <c r="GK364" s="542"/>
      <c r="GL364" s="542"/>
      <c r="GM364" s="542"/>
      <c r="GN364" s="542"/>
      <c r="GO364" s="542"/>
      <c r="GP364" s="542"/>
      <c r="GQ364" s="542"/>
      <c r="GR364" s="542"/>
      <c r="GS364" s="542"/>
      <c r="GT364" s="542"/>
      <c r="GU364" s="542"/>
      <c r="GV364" s="542"/>
      <c r="GW364" s="542"/>
      <c r="GX364" s="542"/>
      <c r="GY364" s="542"/>
      <c r="GZ364" s="542"/>
      <c r="HA364" s="542"/>
      <c r="HB364" s="542"/>
      <c r="HC364" s="542"/>
      <c r="HD364" s="542"/>
      <c r="HE364" s="542"/>
      <c r="HF364" s="542"/>
      <c r="HG364" s="542"/>
      <c r="HH364" s="542"/>
      <c r="HI364" s="542"/>
      <c r="HJ364" s="542"/>
      <c r="HK364" s="542"/>
      <c r="HL364" s="542"/>
      <c r="HM364" s="542"/>
      <c r="HN364" s="542"/>
      <c r="HO364" s="542"/>
      <c r="HP364" s="542"/>
      <c r="HQ364" s="542"/>
      <c r="HR364" s="542"/>
      <c r="HS364" s="542"/>
      <c r="HT364" s="542"/>
      <c r="HU364" s="542"/>
      <c r="HV364" s="542"/>
      <c r="HW364" s="542"/>
      <c r="HX364" s="542"/>
      <c r="HY364" s="542"/>
      <c r="HZ364" s="542"/>
      <c r="IA364" s="542"/>
      <c r="IB364" s="542"/>
      <c r="IC364" s="542"/>
      <c r="ID364" s="542"/>
      <c r="IE364" s="542"/>
      <c r="IF364" s="542"/>
      <c r="IG364" s="542"/>
      <c r="IH364" s="542"/>
      <c r="II364" s="542"/>
      <c r="IJ364" s="542"/>
      <c r="IK364" s="542"/>
      <c r="IL364" s="542"/>
      <c r="IM364" s="542"/>
      <c r="IN364" s="542"/>
      <c r="IO364" s="542"/>
      <c r="IP364" s="542"/>
      <c r="IQ364" s="542"/>
      <c r="IR364" s="542"/>
      <c r="IS364" s="542"/>
      <c r="IT364" s="542"/>
      <c r="IU364" s="542"/>
      <c r="IV364" s="542"/>
      <c r="IW364" s="542"/>
      <c r="IX364" s="542"/>
      <c r="IY364" s="542"/>
      <c r="IZ364" s="542"/>
      <c r="JA364" s="542"/>
      <c r="JB364" s="542"/>
    </row>
    <row r="365" spans="104:262" ht="18.899999999999999" customHeight="1">
      <c r="CZ365" s="542"/>
      <c r="DA365" s="542"/>
      <c r="DB365" s="542"/>
      <c r="DC365" s="542"/>
      <c r="DD365" s="542"/>
      <c r="DE365" s="542"/>
      <c r="DF365" s="542"/>
      <c r="DG365" s="542"/>
      <c r="DH365" s="542"/>
      <c r="DI365" s="542"/>
      <c r="DJ365" s="542"/>
      <c r="DK365" s="542"/>
      <c r="DL365" s="542"/>
      <c r="DM365" s="542"/>
      <c r="DN365" s="542"/>
      <c r="DO365" s="542"/>
      <c r="DP365" s="542"/>
      <c r="DQ365" s="542"/>
      <c r="DR365" s="542"/>
      <c r="DS365" s="542"/>
      <c r="DT365" s="542"/>
      <c r="DU365" s="542"/>
      <c r="DV365" s="542"/>
      <c r="DW365" s="542"/>
      <c r="DX365" s="542"/>
      <c r="DY365" s="542"/>
      <c r="DZ365" s="542"/>
      <c r="EA365" s="542"/>
      <c r="EB365" s="542"/>
      <c r="EC365" s="542"/>
      <c r="ED365" s="542"/>
      <c r="EE365" s="542"/>
      <c r="EF365" s="542"/>
      <c r="EG365" s="542"/>
      <c r="EH365" s="542"/>
      <c r="EI365" s="542"/>
      <c r="EJ365" s="542"/>
      <c r="EK365" s="542"/>
      <c r="EL365" s="542"/>
      <c r="EM365" s="542"/>
      <c r="EN365" s="542"/>
      <c r="EO365" s="542"/>
      <c r="EP365" s="542"/>
      <c r="EQ365" s="542"/>
      <c r="ER365" s="542"/>
      <c r="ES365" s="542"/>
      <c r="ET365" s="542"/>
      <c r="EU365" s="542"/>
      <c r="EV365" s="542"/>
      <c r="EW365" s="542"/>
      <c r="EX365" s="542"/>
      <c r="EY365" s="542"/>
      <c r="EZ365" s="542"/>
      <c r="FA365" s="542"/>
      <c r="FB365" s="542"/>
      <c r="FC365" s="542"/>
      <c r="FD365" s="542"/>
      <c r="FE365" s="542"/>
      <c r="FF365" s="542"/>
      <c r="FG365" s="542"/>
      <c r="FH365" s="542"/>
      <c r="FI365" s="542"/>
      <c r="FJ365" s="542"/>
      <c r="FK365" s="542"/>
      <c r="FL365" s="542"/>
      <c r="FM365" s="542"/>
      <c r="FN365" s="542"/>
      <c r="FO365" s="542"/>
      <c r="FP365" s="542"/>
      <c r="FQ365" s="542"/>
      <c r="FR365" s="542"/>
      <c r="FS365" s="542"/>
      <c r="FT365" s="542"/>
      <c r="FU365" s="542"/>
      <c r="FV365" s="542"/>
      <c r="FW365" s="542"/>
      <c r="FX365" s="542"/>
      <c r="FY365" s="542"/>
      <c r="FZ365" s="542"/>
      <c r="GA365" s="542"/>
      <c r="GB365" s="542"/>
      <c r="GC365" s="542"/>
      <c r="GD365" s="542"/>
      <c r="GE365" s="542"/>
      <c r="GF365" s="542"/>
      <c r="GG365" s="542"/>
      <c r="GH365" s="542"/>
      <c r="GI365" s="542"/>
      <c r="GJ365" s="542"/>
      <c r="GK365" s="542"/>
      <c r="GL365" s="542"/>
      <c r="GM365" s="542"/>
      <c r="GN365" s="542"/>
      <c r="GO365" s="542"/>
      <c r="GP365" s="542"/>
      <c r="GQ365" s="542"/>
      <c r="GR365" s="542"/>
      <c r="GS365" s="542"/>
      <c r="GT365" s="542"/>
      <c r="GU365" s="542"/>
      <c r="GV365" s="542"/>
      <c r="GW365" s="542"/>
      <c r="GX365" s="542"/>
      <c r="GY365" s="542"/>
      <c r="GZ365" s="542"/>
      <c r="HA365" s="542"/>
      <c r="HB365" s="542"/>
      <c r="HC365" s="542"/>
      <c r="HD365" s="542"/>
      <c r="HE365" s="542"/>
      <c r="HF365" s="542"/>
      <c r="HG365" s="542"/>
      <c r="HH365" s="542"/>
      <c r="HI365" s="542"/>
      <c r="HJ365" s="542"/>
      <c r="HK365" s="542"/>
      <c r="HL365" s="542"/>
      <c r="HM365" s="542"/>
      <c r="HN365" s="542"/>
      <c r="HO365" s="542"/>
      <c r="HP365" s="542"/>
      <c r="HQ365" s="542"/>
      <c r="HR365" s="542"/>
      <c r="HS365" s="542"/>
      <c r="HT365" s="542"/>
      <c r="HU365" s="542"/>
      <c r="HV365" s="542"/>
      <c r="HW365" s="542"/>
      <c r="HX365" s="542"/>
      <c r="HY365" s="542"/>
      <c r="HZ365" s="542"/>
      <c r="IA365" s="542"/>
      <c r="IB365" s="542"/>
      <c r="IC365" s="542"/>
      <c r="ID365" s="542"/>
      <c r="IE365" s="542"/>
      <c r="IF365" s="542"/>
      <c r="IG365" s="542"/>
      <c r="IH365" s="542"/>
      <c r="II365" s="542"/>
      <c r="IJ365" s="542"/>
      <c r="IK365" s="542"/>
      <c r="IL365" s="542"/>
      <c r="IM365" s="542"/>
      <c r="IN365" s="542"/>
      <c r="IO365" s="542"/>
      <c r="IP365" s="542"/>
      <c r="IQ365" s="542"/>
      <c r="IR365" s="542"/>
      <c r="IS365" s="542"/>
      <c r="IT365" s="542"/>
      <c r="IU365" s="542"/>
      <c r="IV365" s="542"/>
      <c r="IW365" s="542"/>
      <c r="IX365" s="542"/>
      <c r="IY365" s="542"/>
      <c r="IZ365" s="542"/>
      <c r="JA365" s="542"/>
      <c r="JB365" s="542"/>
    </row>
    <row r="366" spans="104:262" ht="18.899999999999999" customHeight="1">
      <c r="CZ366" s="542"/>
      <c r="DA366" s="542"/>
      <c r="DB366" s="542"/>
      <c r="DC366" s="542"/>
      <c r="DD366" s="542"/>
      <c r="DE366" s="542"/>
      <c r="DF366" s="542"/>
      <c r="DG366" s="542"/>
      <c r="DH366" s="542"/>
      <c r="DI366" s="542"/>
      <c r="DJ366" s="542"/>
      <c r="DK366" s="542"/>
      <c r="DL366" s="542"/>
      <c r="DM366" s="542"/>
      <c r="DN366" s="542"/>
      <c r="DO366" s="542"/>
      <c r="DP366" s="542"/>
      <c r="DQ366" s="542"/>
      <c r="DR366" s="542"/>
      <c r="DS366" s="542"/>
      <c r="DT366" s="542"/>
      <c r="DU366" s="542"/>
      <c r="DV366" s="542"/>
      <c r="DW366" s="542"/>
      <c r="DX366" s="542"/>
      <c r="DY366" s="542"/>
      <c r="DZ366" s="542"/>
      <c r="EA366" s="542"/>
      <c r="EB366" s="542"/>
      <c r="EC366" s="542"/>
      <c r="ED366" s="542"/>
      <c r="EE366" s="542"/>
      <c r="EF366" s="542"/>
      <c r="EG366" s="542"/>
      <c r="EH366" s="542"/>
      <c r="EI366" s="542"/>
      <c r="EJ366" s="542"/>
      <c r="EK366" s="542"/>
      <c r="EL366" s="542"/>
      <c r="EM366" s="542"/>
      <c r="EN366" s="542"/>
      <c r="EO366" s="542"/>
      <c r="EP366" s="542"/>
      <c r="EQ366" s="542"/>
      <c r="ER366" s="542"/>
      <c r="ES366" s="542"/>
      <c r="ET366" s="542"/>
      <c r="EU366" s="542"/>
      <c r="EV366" s="542"/>
      <c r="EW366" s="542"/>
      <c r="EX366" s="542"/>
      <c r="EY366" s="542"/>
      <c r="EZ366" s="542"/>
      <c r="FA366" s="542"/>
      <c r="FB366" s="542"/>
      <c r="FC366" s="542"/>
      <c r="FD366" s="542"/>
      <c r="FE366" s="542"/>
      <c r="FF366" s="542"/>
      <c r="FG366" s="542"/>
      <c r="FH366" s="542"/>
      <c r="FI366" s="542"/>
      <c r="FJ366" s="542"/>
      <c r="FK366" s="542"/>
      <c r="FL366" s="542"/>
      <c r="FM366" s="542"/>
      <c r="FN366" s="542"/>
      <c r="FO366" s="542"/>
      <c r="FP366" s="542"/>
      <c r="FQ366" s="542"/>
      <c r="FR366" s="542"/>
      <c r="FS366" s="542"/>
      <c r="FT366" s="542"/>
      <c r="FU366" s="542"/>
      <c r="FV366" s="542"/>
      <c r="FW366" s="542"/>
      <c r="FX366" s="542"/>
      <c r="FY366" s="542"/>
      <c r="FZ366" s="542"/>
      <c r="GA366" s="542"/>
      <c r="GB366" s="542"/>
      <c r="GC366" s="542"/>
      <c r="GD366" s="542"/>
      <c r="GE366" s="542"/>
      <c r="GF366" s="542"/>
      <c r="GG366" s="542"/>
      <c r="GH366" s="542"/>
      <c r="GI366" s="542"/>
      <c r="GJ366" s="542"/>
      <c r="GK366" s="542"/>
      <c r="GL366" s="542"/>
      <c r="GM366" s="542"/>
      <c r="GN366" s="542"/>
      <c r="GO366" s="542"/>
      <c r="GP366" s="542"/>
      <c r="GQ366" s="542"/>
      <c r="GR366" s="542"/>
      <c r="GS366" s="542"/>
      <c r="GT366" s="542"/>
      <c r="GU366" s="542"/>
      <c r="GV366" s="542"/>
      <c r="GW366" s="542"/>
      <c r="GX366" s="542"/>
      <c r="GY366" s="542"/>
      <c r="GZ366" s="542"/>
      <c r="HA366" s="542"/>
      <c r="HB366" s="542"/>
      <c r="HC366" s="542"/>
      <c r="HD366" s="542"/>
      <c r="HE366" s="542"/>
      <c r="HF366" s="542"/>
      <c r="HG366" s="542"/>
      <c r="HH366" s="542"/>
      <c r="HI366" s="542"/>
      <c r="HJ366" s="542"/>
      <c r="HK366" s="542"/>
      <c r="HL366" s="542"/>
      <c r="HM366" s="542"/>
      <c r="HN366" s="542"/>
      <c r="HO366" s="542"/>
      <c r="HP366" s="542"/>
      <c r="HQ366" s="542"/>
      <c r="HR366" s="542"/>
      <c r="HS366" s="542"/>
      <c r="HT366" s="542"/>
      <c r="HU366" s="542"/>
      <c r="HV366" s="542"/>
      <c r="HW366" s="542"/>
      <c r="HX366" s="542"/>
      <c r="HY366" s="542"/>
      <c r="HZ366" s="542"/>
      <c r="IA366" s="542"/>
      <c r="IB366" s="542"/>
      <c r="IC366" s="542"/>
      <c r="ID366" s="542"/>
      <c r="IE366" s="542"/>
      <c r="IF366" s="542"/>
      <c r="IG366" s="542"/>
      <c r="IH366" s="542"/>
      <c r="II366" s="542"/>
      <c r="IJ366" s="542"/>
      <c r="IK366" s="542"/>
      <c r="IL366" s="542"/>
      <c r="IM366" s="542"/>
      <c r="IN366" s="542"/>
      <c r="IO366" s="542"/>
      <c r="IP366" s="542"/>
      <c r="IQ366" s="542"/>
      <c r="IR366" s="542"/>
      <c r="IS366" s="542"/>
      <c r="IT366" s="542"/>
      <c r="IU366" s="542"/>
      <c r="IV366" s="542"/>
      <c r="IW366" s="542"/>
      <c r="IX366" s="542"/>
      <c r="IY366" s="542"/>
      <c r="IZ366" s="542"/>
      <c r="JA366" s="542"/>
      <c r="JB366" s="542"/>
    </row>
    <row r="367" spans="104:262" ht="18.899999999999999" customHeight="1">
      <c r="CZ367" s="542"/>
      <c r="DA367" s="542"/>
      <c r="DB367" s="542"/>
      <c r="DC367" s="542"/>
      <c r="DD367" s="542"/>
      <c r="DE367" s="542"/>
      <c r="DF367" s="542"/>
      <c r="DG367" s="542"/>
      <c r="DH367" s="542"/>
      <c r="DI367" s="542"/>
      <c r="DJ367" s="542"/>
      <c r="DK367" s="542"/>
      <c r="DL367" s="542"/>
      <c r="DM367" s="542"/>
      <c r="DN367" s="542"/>
      <c r="DO367" s="542"/>
      <c r="DP367" s="542"/>
      <c r="DQ367" s="542"/>
      <c r="DR367" s="542"/>
      <c r="DS367" s="542"/>
      <c r="DT367" s="542"/>
      <c r="DU367" s="542"/>
      <c r="DV367" s="542"/>
      <c r="DW367" s="542"/>
      <c r="DX367" s="542"/>
      <c r="DY367" s="542"/>
      <c r="DZ367" s="542"/>
      <c r="EA367" s="542"/>
      <c r="EB367" s="542"/>
      <c r="EC367" s="542"/>
      <c r="ED367" s="542"/>
      <c r="EE367" s="542"/>
      <c r="EF367" s="542"/>
      <c r="EG367" s="542"/>
      <c r="EH367" s="542"/>
      <c r="EI367" s="542"/>
      <c r="EJ367" s="542"/>
      <c r="EK367" s="542"/>
      <c r="EL367" s="542"/>
      <c r="EM367" s="542"/>
      <c r="EN367" s="542"/>
      <c r="EO367" s="542"/>
      <c r="EP367" s="542"/>
      <c r="EQ367" s="542"/>
      <c r="ER367" s="542"/>
      <c r="ES367" s="542"/>
      <c r="ET367" s="542"/>
      <c r="EU367" s="542"/>
      <c r="EV367" s="542"/>
      <c r="EW367" s="542"/>
      <c r="EX367" s="542"/>
      <c r="EY367" s="542"/>
      <c r="EZ367" s="542"/>
      <c r="FA367" s="542"/>
      <c r="FB367" s="542"/>
      <c r="FC367" s="542"/>
      <c r="FD367" s="542"/>
      <c r="FE367" s="542"/>
      <c r="FF367" s="542"/>
      <c r="FG367" s="542"/>
      <c r="FH367" s="542"/>
      <c r="FI367" s="542"/>
      <c r="FJ367" s="542"/>
      <c r="FK367" s="542"/>
      <c r="FL367" s="542"/>
      <c r="FM367" s="542"/>
      <c r="FN367" s="542"/>
      <c r="FO367" s="542"/>
      <c r="FP367" s="542"/>
      <c r="FQ367" s="542"/>
      <c r="FR367" s="542"/>
      <c r="FS367" s="542"/>
      <c r="FT367" s="542"/>
      <c r="FU367" s="542"/>
      <c r="FV367" s="542"/>
      <c r="FW367" s="542"/>
      <c r="FX367" s="542"/>
      <c r="FY367" s="542"/>
      <c r="FZ367" s="542"/>
      <c r="GA367" s="542"/>
      <c r="GB367" s="542"/>
      <c r="GC367" s="542"/>
      <c r="GD367" s="542"/>
      <c r="GE367" s="542"/>
      <c r="GF367" s="542"/>
      <c r="GG367" s="542"/>
      <c r="GH367" s="542"/>
      <c r="GI367" s="542"/>
      <c r="GJ367" s="542"/>
      <c r="GK367" s="542"/>
      <c r="GL367" s="542"/>
      <c r="GM367" s="542"/>
      <c r="GN367" s="542"/>
      <c r="GO367" s="542"/>
      <c r="GP367" s="542"/>
      <c r="GQ367" s="542"/>
      <c r="GR367" s="542"/>
      <c r="GS367" s="542"/>
      <c r="GT367" s="542"/>
      <c r="GU367" s="542"/>
      <c r="GV367" s="542"/>
      <c r="GW367" s="542"/>
      <c r="GX367" s="542"/>
      <c r="GY367" s="542"/>
      <c r="GZ367" s="542"/>
      <c r="HA367" s="542"/>
      <c r="HB367" s="542"/>
      <c r="HC367" s="542"/>
      <c r="HD367" s="542"/>
      <c r="HE367" s="542"/>
      <c r="HF367" s="542"/>
      <c r="HG367" s="542"/>
      <c r="HH367" s="542"/>
      <c r="HI367" s="542"/>
      <c r="HJ367" s="542"/>
      <c r="HK367" s="542"/>
      <c r="HL367" s="542"/>
      <c r="HM367" s="542"/>
      <c r="HN367" s="542"/>
      <c r="HO367" s="542"/>
      <c r="HP367" s="542"/>
      <c r="HQ367" s="542"/>
      <c r="HR367" s="542"/>
      <c r="HS367" s="542"/>
      <c r="HT367" s="542"/>
      <c r="HU367" s="542"/>
      <c r="HV367" s="542"/>
      <c r="HW367" s="542"/>
      <c r="HX367" s="542"/>
      <c r="HY367" s="542"/>
      <c r="HZ367" s="542"/>
      <c r="IA367" s="542"/>
      <c r="IB367" s="542"/>
      <c r="IC367" s="542"/>
      <c r="ID367" s="542"/>
      <c r="IE367" s="542"/>
      <c r="IF367" s="542"/>
      <c r="IG367" s="542"/>
      <c r="IH367" s="542"/>
      <c r="II367" s="542"/>
      <c r="IJ367" s="542"/>
      <c r="IK367" s="542"/>
      <c r="IL367" s="542"/>
      <c r="IM367" s="542"/>
      <c r="IN367" s="542"/>
      <c r="IO367" s="542"/>
      <c r="IP367" s="542"/>
      <c r="IQ367" s="542"/>
      <c r="IR367" s="542"/>
      <c r="IS367" s="542"/>
      <c r="IT367" s="542"/>
      <c r="IU367" s="542"/>
      <c r="IV367" s="542"/>
      <c r="IW367" s="542"/>
      <c r="IX367" s="542"/>
      <c r="IY367" s="542"/>
      <c r="IZ367" s="542"/>
      <c r="JA367" s="542"/>
      <c r="JB367" s="542"/>
    </row>
    <row r="368" spans="104:262" ht="18.899999999999999" customHeight="1">
      <c r="CZ368" s="542"/>
      <c r="DA368" s="542"/>
      <c r="DB368" s="542"/>
      <c r="DC368" s="542"/>
      <c r="DD368" s="542"/>
      <c r="DE368" s="542"/>
      <c r="DF368" s="542"/>
      <c r="DG368" s="542"/>
      <c r="DH368" s="542"/>
      <c r="DI368" s="542"/>
      <c r="DJ368" s="542"/>
      <c r="DK368" s="542"/>
      <c r="DL368" s="542"/>
      <c r="DM368" s="542"/>
      <c r="DN368" s="542"/>
      <c r="DO368" s="542"/>
      <c r="DP368" s="542"/>
      <c r="DQ368" s="542"/>
      <c r="DR368" s="542"/>
      <c r="DS368" s="542"/>
      <c r="DT368" s="542"/>
      <c r="DU368" s="542"/>
      <c r="DV368" s="542"/>
      <c r="DW368" s="542"/>
      <c r="DX368" s="542"/>
      <c r="DY368" s="542"/>
      <c r="DZ368" s="542"/>
      <c r="EA368" s="542"/>
      <c r="EB368" s="542"/>
      <c r="EC368" s="542"/>
      <c r="ED368" s="542"/>
      <c r="EE368" s="542"/>
      <c r="EF368" s="542"/>
      <c r="EG368" s="542"/>
      <c r="EH368" s="542"/>
      <c r="EI368" s="542"/>
      <c r="EJ368" s="542"/>
      <c r="EK368" s="542"/>
      <c r="EL368" s="542"/>
      <c r="EM368" s="542"/>
      <c r="EN368" s="542"/>
      <c r="EO368" s="542"/>
      <c r="EP368" s="542"/>
      <c r="EQ368" s="542"/>
      <c r="ER368" s="542"/>
      <c r="ES368" s="542"/>
      <c r="ET368" s="542"/>
      <c r="EU368" s="542"/>
      <c r="EV368" s="542"/>
      <c r="EW368" s="542"/>
      <c r="EX368" s="542"/>
      <c r="EY368" s="542"/>
      <c r="EZ368" s="542"/>
      <c r="FA368" s="542"/>
      <c r="FB368" s="542"/>
      <c r="FC368" s="542"/>
      <c r="FD368" s="542"/>
      <c r="FE368" s="542"/>
      <c r="FF368" s="542"/>
      <c r="FG368" s="542"/>
      <c r="FH368" s="542"/>
      <c r="FI368" s="542"/>
      <c r="FJ368" s="542"/>
      <c r="FK368" s="542"/>
      <c r="FL368" s="542"/>
      <c r="FM368" s="542"/>
      <c r="FN368" s="542"/>
      <c r="FO368" s="542"/>
      <c r="FP368" s="542"/>
      <c r="FQ368" s="542"/>
      <c r="FR368" s="542"/>
      <c r="FS368" s="542"/>
      <c r="FT368" s="542"/>
      <c r="FU368" s="542"/>
      <c r="FV368" s="542"/>
      <c r="FW368" s="542"/>
      <c r="FX368" s="542"/>
      <c r="FY368" s="542"/>
      <c r="FZ368" s="542"/>
      <c r="GA368" s="542"/>
      <c r="GB368" s="542"/>
      <c r="GC368" s="542"/>
      <c r="GD368" s="542"/>
      <c r="GE368" s="542"/>
      <c r="GF368" s="542"/>
      <c r="GG368" s="542"/>
      <c r="GH368" s="542"/>
      <c r="GI368" s="542"/>
      <c r="GJ368" s="542"/>
      <c r="GK368" s="542"/>
      <c r="GL368" s="542"/>
      <c r="GM368" s="542"/>
      <c r="GN368" s="542"/>
      <c r="GO368" s="542"/>
      <c r="GP368" s="542"/>
      <c r="GQ368" s="542"/>
      <c r="GR368" s="542"/>
      <c r="GS368" s="542"/>
      <c r="GT368" s="542"/>
      <c r="GU368" s="542"/>
      <c r="GV368" s="542"/>
      <c r="GW368" s="542"/>
      <c r="GX368" s="542"/>
      <c r="GY368" s="542"/>
      <c r="GZ368" s="542"/>
      <c r="HA368" s="542"/>
      <c r="HB368" s="542"/>
      <c r="HC368" s="542"/>
      <c r="HD368" s="542"/>
      <c r="HE368" s="542"/>
      <c r="HF368" s="542"/>
      <c r="HG368" s="542"/>
      <c r="HH368" s="542"/>
      <c r="HI368" s="542"/>
      <c r="HJ368" s="542"/>
      <c r="HK368" s="542"/>
      <c r="HL368" s="542"/>
      <c r="HM368" s="542"/>
      <c r="HN368" s="542"/>
      <c r="HO368" s="542"/>
      <c r="HP368" s="542"/>
      <c r="HQ368" s="542"/>
      <c r="HR368" s="542"/>
      <c r="HS368" s="542"/>
      <c r="HT368" s="542"/>
      <c r="HU368" s="542"/>
      <c r="HV368" s="542"/>
      <c r="HW368" s="542"/>
      <c r="HX368" s="542"/>
      <c r="HY368" s="542"/>
      <c r="HZ368" s="542"/>
      <c r="IA368" s="542"/>
      <c r="IB368" s="542"/>
      <c r="IC368" s="542"/>
      <c r="ID368" s="542"/>
      <c r="IE368" s="542"/>
      <c r="IF368" s="542"/>
      <c r="IG368" s="542"/>
      <c r="IH368" s="542"/>
      <c r="II368" s="542"/>
      <c r="IJ368" s="542"/>
      <c r="IK368" s="542"/>
      <c r="IL368" s="542"/>
      <c r="IM368" s="542"/>
      <c r="IN368" s="542"/>
      <c r="IO368" s="542"/>
      <c r="IP368" s="542"/>
      <c r="IQ368" s="542"/>
      <c r="IR368" s="542"/>
      <c r="IS368" s="542"/>
      <c r="IT368" s="542"/>
      <c r="IU368" s="542"/>
      <c r="IV368" s="542"/>
      <c r="IW368" s="542"/>
      <c r="IX368" s="542"/>
      <c r="IY368" s="542"/>
      <c r="IZ368" s="542"/>
      <c r="JA368" s="542"/>
      <c r="JB368" s="542"/>
    </row>
    <row r="369" spans="104:262" ht="18.899999999999999" customHeight="1">
      <c r="CZ369" s="542"/>
      <c r="DA369" s="542"/>
      <c r="DB369" s="542"/>
      <c r="DC369" s="542"/>
      <c r="DD369" s="542"/>
      <c r="DE369" s="542"/>
      <c r="DF369" s="542"/>
      <c r="DG369" s="542"/>
      <c r="DH369" s="542"/>
      <c r="DI369" s="542"/>
      <c r="DJ369" s="542"/>
      <c r="DK369" s="542"/>
      <c r="DL369" s="542"/>
      <c r="DM369" s="542"/>
      <c r="DN369" s="542"/>
      <c r="DO369" s="542"/>
      <c r="DP369" s="542"/>
      <c r="DQ369" s="542"/>
      <c r="DR369" s="542"/>
      <c r="DS369" s="542"/>
      <c r="DT369" s="542"/>
      <c r="DU369" s="542"/>
      <c r="DV369" s="542"/>
      <c r="DW369" s="542"/>
      <c r="DX369" s="542"/>
      <c r="DY369" s="542"/>
      <c r="DZ369" s="542"/>
      <c r="EA369" s="542"/>
      <c r="EB369" s="542"/>
      <c r="EC369" s="542"/>
      <c r="ED369" s="542"/>
      <c r="EE369" s="542"/>
      <c r="EF369" s="542"/>
      <c r="EG369" s="542"/>
      <c r="EH369" s="542"/>
      <c r="EI369" s="542"/>
      <c r="EJ369" s="542"/>
      <c r="EK369" s="542"/>
      <c r="EL369" s="542"/>
      <c r="EM369" s="542"/>
      <c r="EN369" s="542"/>
      <c r="EO369" s="542"/>
      <c r="EP369" s="542"/>
      <c r="EQ369" s="542"/>
      <c r="ER369" s="542"/>
      <c r="ES369" s="542"/>
      <c r="ET369" s="542"/>
      <c r="EU369" s="542"/>
      <c r="EV369" s="542"/>
      <c r="EW369" s="542"/>
      <c r="EX369" s="542"/>
      <c r="EY369" s="542"/>
      <c r="EZ369" s="542"/>
      <c r="FA369" s="542"/>
      <c r="FB369" s="542"/>
      <c r="FC369" s="542"/>
      <c r="FD369" s="542"/>
      <c r="FE369" s="542"/>
      <c r="FF369" s="542"/>
      <c r="FG369" s="542"/>
      <c r="FH369" s="542"/>
      <c r="FI369" s="542"/>
      <c r="FJ369" s="542"/>
      <c r="FK369" s="542"/>
      <c r="FL369" s="542"/>
      <c r="FM369" s="542"/>
      <c r="FN369" s="542"/>
      <c r="FO369" s="542"/>
      <c r="FP369" s="542"/>
      <c r="FQ369" s="542"/>
      <c r="FR369" s="542"/>
      <c r="FS369" s="542"/>
      <c r="FT369" s="542"/>
      <c r="FU369" s="542"/>
      <c r="FV369" s="542"/>
      <c r="FW369" s="542"/>
      <c r="FX369" s="542"/>
      <c r="FY369" s="542"/>
      <c r="FZ369" s="542"/>
      <c r="GA369" s="542"/>
      <c r="GB369" s="542"/>
      <c r="GC369" s="542"/>
      <c r="GD369" s="542"/>
      <c r="GE369" s="542"/>
      <c r="GF369" s="542"/>
      <c r="GG369" s="542"/>
      <c r="GH369" s="542"/>
      <c r="GI369" s="542"/>
      <c r="GJ369" s="542"/>
      <c r="GK369" s="542"/>
      <c r="GL369" s="542"/>
      <c r="GM369" s="542"/>
      <c r="GN369" s="542"/>
      <c r="GO369" s="542"/>
      <c r="GP369" s="542"/>
      <c r="GQ369" s="542"/>
      <c r="GR369" s="542"/>
      <c r="GS369" s="542"/>
      <c r="GT369" s="542"/>
      <c r="GU369" s="542"/>
      <c r="GV369" s="542"/>
      <c r="GW369" s="542"/>
      <c r="GX369" s="542"/>
      <c r="GY369" s="542"/>
      <c r="GZ369" s="542"/>
      <c r="HA369" s="542"/>
      <c r="HB369" s="542"/>
      <c r="HC369" s="542"/>
      <c r="HD369" s="542"/>
      <c r="HE369" s="542"/>
      <c r="HF369" s="542"/>
      <c r="HG369" s="542"/>
      <c r="HH369" s="542"/>
      <c r="HI369" s="542"/>
      <c r="HJ369" s="542"/>
      <c r="HK369" s="542"/>
      <c r="HL369" s="542"/>
      <c r="HM369" s="542"/>
      <c r="HN369" s="542"/>
      <c r="HO369" s="542"/>
      <c r="HP369" s="542"/>
      <c r="HQ369" s="542"/>
      <c r="HR369" s="542"/>
      <c r="HS369" s="542"/>
      <c r="HT369" s="542"/>
      <c r="HU369" s="542"/>
      <c r="HV369" s="542"/>
      <c r="HW369" s="542"/>
      <c r="HX369" s="542"/>
      <c r="HY369" s="542"/>
      <c r="HZ369" s="542"/>
      <c r="IA369" s="542"/>
      <c r="IB369" s="542"/>
      <c r="IC369" s="542"/>
      <c r="ID369" s="542"/>
      <c r="IE369" s="542"/>
      <c r="IF369" s="542"/>
      <c r="IG369" s="542"/>
      <c r="IH369" s="542"/>
      <c r="II369" s="542"/>
      <c r="IJ369" s="542"/>
      <c r="IK369" s="542"/>
      <c r="IL369" s="542"/>
      <c r="IM369" s="542"/>
      <c r="IN369" s="542"/>
      <c r="IO369" s="542"/>
      <c r="IP369" s="542"/>
      <c r="IQ369" s="542"/>
      <c r="IR369" s="542"/>
      <c r="IS369" s="542"/>
      <c r="IT369" s="542"/>
      <c r="IU369" s="542"/>
      <c r="IV369" s="542"/>
      <c r="IW369" s="542"/>
      <c r="IX369" s="542"/>
      <c r="IY369" s="542"/>
      <c r="IZ369" s="542"/>
      <c r="JA369" s="542"/>
      <c r="JB369" s="542"/>
    </row>
    <row r="370" spans="104:262" ht="18.899999999999999" customHeight="1">
      <c r="CZ370" s="542"/>
      <c r="DA370" s="542"/>
      <c r="DB370" s="542"/>
      <c r="DC370" s="542"/>
      <c r="DD370" s="542"/>
      <c r="DE370" s="542"/>
      <c r="DF370" s="542"/>
      <c r="DG370" s="542"/>
      <c r="DH370" s="542"/>
      <c r="DI370" s="542"/>
      <c r="DJ370" s="542"/>
      <c r="DK370" s="542"/>
      <c r="DL370" s="542"/>
      <c r="DM370" s="542"/>
      <c r="DN370" s="542"/>
      <c r="DO370" s="542"/>
      <c r="DP370" s="542"/>
      <c r="DQ370" s="542"/>
      <c r="DR370" s="542"/>
      <c r="DS370" s="542"/>
      <c r="DT370" s="542"/>
      <c r="DU370" s="542"/>
      <c r="DV370" s="542"/>
      <c r="DW370" s="542"/>
      <c r="DX370" s="542"/>
      <c r="DY370" s="542"/>
      <c r="DZ370" s="542"/>
      <c r="EA370" s="542"/>
      <c r="EB370" s="542"/>
      <c r="EC370" s="542"/>
      <c r="ED370" s="542"/>
      <c r="EE370" s="542"/>
      <c r="EF370" s="542"/>
      <c r="EG370" s="542"/>
      <c r="EH370" s="542"/>
      <c r="EI370" s="542"/>
      <c r="EJ370" s="542"/>
      <c r="EK370" s="542"/>
      <c r="EL370" s="542"/>
      <c r="EM370" s="542"/>
      <c r="EN370" s="542"/>
      <c r="EO370" s="542"/>
      <c r="EP370" s="542"/>
      <c r="EQ370" s="542"/>
      <c r="ER370" s="542"/>
      <c r="ES370" s="542"/>
      <c r="ET370" s="542"/>
      <c r="EU370" s="542"/>
      <c r="EV370" s="542"/>
      <c r="EW370" s="542"/>
      <c r="EX370" s="542"/>
      <c r="EY370" s="542"/>
      <c r="EZ370" s="542"/>
      <c r="FA370" s="542"/>
      <c r="FB370" s="542"/>
      <c r="FC370" s="542"/>
      <c r="FD370" s="542"/>
      <c r="FE370" s="542"/>
      <c r="FF370" s="542"/>
      <c r="FG370" s="542"/>
      <c r="FH370" s="542"/>
      <c r="FI370" s="542"/>
      <c r="FJ370" s="542"/>
      <c r="FK370" s="542"/>
      <c r="FL370" s="542"/>
      <c r="FM370" s="542"/>
      <c r="FN370" s="542"/>
      <c r="FO370" s="542"/>
      <c r="FP370" s="542"/>
      <c r="FQ370" s="542"/>
      <c r="FR370" s="542"/>
      <c r="FS370" s="542"/>
      <c r="FT370" s="542"/>
      <c r="FU370" s="542"/>
      <c r="FV370" s="542"/>
      <c r="FW370" s="542"/>
      <c r="FX370" s="542"/>
      <c r="FY370" s="542"/>
      <c r="FZ370" s="542"/>
      <c r="GA370" s="542"/>
      <c r="GB370" s="542"/>
      <c r="GC370" s="542"/>
      <c r="GD370" s="542"/>
      <c r="GE370" s="542"/>
      <c r="GF370" s="542"/>
      <c r="GG370" s="542"/>
      <c r="GH370" s="542"/>
      <c r="GI370" s="542"/>
      <c r="GJ370" s="542"/>
      <c r="GK370" s="542"/>
      <c r="GL370" s="542"/>
      <c r="GM370" s="542"/>
      <c r="GN370" s="542"/>
      <c r="GO370" s="542"/>
      <c r="GP370" s="542"/>
      <c r="GQ370" s="542"/>
      <c r="GR370" s="542"/>
      <c r="GS370" s="542"/>
      <c r="GT370" s="542"/>
      <c r="GU370" s="542"/>
      <c r="GV370" s="542"/>
      <c r="GW370" s="542"/>
      <c r="GX370" s="542"/>
      <c r="GY370" s="542"/>
      <c r="GZ370" s="542"/>
      <c r="HA370" s="542"/>
      <c r="HB370" s="542"/>
      <c r="HC370" s="542"/>
      <c r="HD370" s="542"/>
      <c r="HE370" s="542"/>
      <c r="HF370" s="542"/>
      <c r="HG370" s="542"/>
      <c r="HH370" s="542"/>
      <c r="HI370" s="542"/>
      <c r="HJ370" s="542"/>
      <c r="HK370" s="542"/>
      <c r="HL370" s="542"/>
      <c r="HM370" s="542"/>
      <c r="HN370" s="542"/>
      <c r="HO370" s="542"/>
      <c r="HP370" s="542"/>
      <c r="HQ370" s="542"/>
      <c r="HR370" s="542"/>
      <c r="HS370" s="542"/>
      <c r="HT370" s="542"/>
      <c r="HU370" s="542"/>
      <c r="HV370" s="542"/>
      <c r="HW370" s="542"/>
      <c r="HX370" s="542"/>
      <c r="HY370" s="542"/>
      <c r="HZ370" s="542"/>
      <c r="IA370" s="542"/>
      <c r="IB370" s="542"/>
      <c r="IC370" s="542"/>
      <c r="ID370" s="542"/>
      <c r="IE370" s="542"/>
      <c r="IF370" s="542"/>
      <c r="IG370" s="542"/>
      <c r="IH370" s="542"/>
      <c r="II370" s="542"/>
      <c r="IJ370" s="542"/>
      <c r="IK370" s="542"/>
      <c r="IL370" s="542"/>
      <c r="IM370" s="542"/>
      <c r="IN370" s="542"/>
      <c r="IO370" s="542"/>
      <c r="IP370" s="542"/>
      <c r="IQ370" s="542"/>
      <c r="IR370" s="542"/>
      <c r="IS370" s="542"/>
      <c r="IT370" s="542"/>
      <c r="IU370" s="542"/>
      <c r="IV370" s="542"/>
      <c r="IW370" s="542"/>
      <c r="IX370" s="542"/>
      <c r="IY370" s="542"/>
      <c r="IZ370" s="542"/>
      <c r="JA370" s="542"/>
      <c r="JB370" s="542"/>
    </row>
    <row r="371" spans="104:262" ht="18.899999999999999" customHeight="1">
      <c r="CZ371" s="542"/>
      <c r="DA371" s="542"/>
      <c r="DB371" s="542"/>
      <c r="DC371" s="542"/>
      <c r="DD371" s="542"/>
      <c r="DE371" s="542"/>
      <c r="DF371" s="542"/>
      <c r="DG371" s="542"/>
      <c r="DH371" s="542"/>
      <c r="DI371" s="542"/>
      <c r="DJ371" s="542"/>
      <c r="DK371" s="542"/>
      <c r="DL371" s="542"/>
      <c r="DM371" s="542"/>
      <c r="DN371" s="542"/>
      <c r="DO371" s="542"/>
      <c r="DP371" s="542"/>
      <c r="DQ371" s="542"/>
      <c r="DR371" s="542"/>
      <c r="DS371" s="542"/>
      <c r="DT371" s="542"/>
      <c r="DU371" s="542"/>
      <c r="DV371" s="542"/>
      <c r="DW371" s="542"/>
      <c r="DX371" s="542"/>
      <c r="DY371" s="542"/>
      <c r="DZ371" s="542"/>
      <c r="EA371" s="542"/>
      <c r="EB371" s="542"/>
      <c r="EC371" s="542"/>
      <c r="ED371" s="542"/>
      <c r="EE371" s="542"/>
      <c r="EF371" s="542"/>
      <c r="EG371" s="542"/>
      <c r="EH371" s="542"/>
      <c r="EI371" s="542"/>
      <c r="EJ371" s="542"/>
      <c r="EK371" s="542"/>
      <c r="EL371" s="542"/>
      <c r="EM371" s="542"/>
      <c r="EN371" s="542"/>
      <c r="EO371" s="542"/>
      <c r="EP371" s="542"/>
      <c r="EQ371" s="542"/>
      <c r="ER371" s="542"/>
      <c r="ES371" s="542"/>
      <c r="ET371" s="542"/>
      <c r="EU371" s="542"/>
      <c r="EV371" s="542"/>
      <c r="EW371" s="542"/>
      <c r="EX371" s="542"/>
      <c r="EY371" s="542"/>
      <c r="EZ371" s="542"/>
      <c r="FA371" s="542"/>
      <c r="FB371" s="542"/>
      <c r="FC371" s="542"/>
      <c r="FD371" s="542"/>
      <c r="FE371" s="542"/>
      <c r="FF371" s="542"/>
      <c r="FG371" s="542"/>
      <c r="FH371" s="542"/>
      <c r="FI371" s="542"/>
      <c r="FJ371" s="542"/>
      <c r="FK371" s="542"/>
      <c r="FL371" s="542"/>
      <c r="FM371" s="542"/>
      <c r="FN371" s="542"/>
      <c r="FO371" s="542"/>
      <c r="FP371" s="542"/>
      <c r="FQ371" s="542"/>
      <c r="FR371" s="542"/>
      <c r="FS371" s="542"/>
      <c r="FT371" s="542"/>
      <c r="FU371" s="542"/>
      <c r="FV371" s="542"/>
      <c r="FW371" s="542"/>
      <c r="FX371" s="542"/>
      <c r="FY371" s="542"/>
      <c r="FZ371" s="542"/>
      <c r="GA371" s="542"/>
      <c r="GB371" s="542"/>
      <c r="GC371" s="542"/>
      <c r="GD371" s="542"/>
      <c r="GE371" s="542"/>
      <c r="GF371" s="542"/>
      <c r="GG371" s="542"/>
      <c r="GH371" s="542"/>
      <c r="GI371" s="542"/>
      <c r="GJ371" s="542"/>
      <c r="GK371" s="542"/>
      <c r="GL371" s="542"/>
      <c r="GM371" s="542"/>
      <c r="GN371" s="542"/>
      <c r="GO371" s="542"/>
      <c r="GP371" s="542"/>
      <c r="GQ371" s="542"/>
      <c r="GR371" s="542"/>
      <c r="GS371" s="542"/>
      <c r="GT371" s="542"/>
      <c r="GU371" s="542"/>
      <c r="GV371" s="542"/>
      <c r="GW371" s="542"/>
      <c r="GX371" s="542"/>
      <c r="GY371" s="542"/>
      <c r="GZ371" s="542"/>
      <c r="HA371" s="542"/>
      <c r="HB371" s="542"/>
      <c r="HC371" s="542"/>
      <c r="HD371" s="542"/>
      <c r="HE371" s="542"/>
      <c r="HF371" s="542"/>
      <c r="HG371" s="542"/>
      <c r="HH371" s="542"/>
      <c r="HI371" s="542"/>
      <c r="HJ371" s="542"/>
      <c r="HK371" s="542"/>
      <c r="HL371" s="542"/>
      <c r="HM371" s="542"/>
      <c r="HN371" s="542"/>
      <c r="HO371" s="542"/>
      <c r="HP371" s="542"/>
      <c r="HQ371" s="542"/>
      <c r="HR371" s="542"/>
      <c r="HS371" s="542"/>
      <c r="HT371" s="542"/>
      <c r="HU371" s="542"/>
      <c r="HV371" s="542"/>
      <c r="HW371" s="542"/>
      <c r="HX371" s="542"/>
      <c r="HY371" s="542"/>
      <c r="HZ371" s="542"/>
      <c r="IA371" s="542"/>
      <c r="IB371" s="542"/>
      <c r="IC371" s="542"/>
      <c r="ID371" s="542"/>
      <c r="IE371" s="542"/>
      <c r="IF371" s="542"/>
      <c r="IG371" s="542"/>
      <c r="IH371" s="542"/>
      <c r="II371" s="542"/>
      <c r="IJ371" s="542"/>
      <c r="IK371" s="542"/>
      <c r="IL371" s="542"/>
      <c r="IM371" s="542"/>
      <c r="IN371" s="542"/>
      <c r="IO371" s="542"/>
      <c r="IP371" s="542"/>
      <c r="IQ371" s="542"/>
      <c r="IR371" s="542"/>
      <c r="IS371" s="542"/>
      <c r="IT371" s="542"/>
      <c r="IU371" s="542"/>
      <c r="IV371" s="542"/>
      <c r="IW371" s="542"/>
      <c r="IX371" s="542"/>
      <c r="IY371" s="542"/>
      <c r="IZ371" s="542"/>
      <c r="JA371" s="542"/>
      <c r="JB371" s="542"/>
    </row>
    <row r="372" spans="104:262" ht="18.899999999999999" customHeight="1">
      <c r="CZ372" s="542"/>
      <c r="DA372" s="542"/>
      <c r="DB372" s="542"/>
      <c r="DC372" s="542"/>
      <c r="DD372" s="542"/>
      <c r="DE372" s="542"/>
      <c r="DF372" s="542"/>
      <c r="DG372" s="542"/>
      <c r="DH372" s="542"/>
      <c r="DI372" s="542"/>
      <c r="DJ372" s="542"/>
      <c r="DK372" s="542"/>
      <c r="DL372" s="542"/>
      <c r="DM372" s="542"/>
      <c r="DN372" s="542"/>
      <c r="DO372" s="542"/>
      <c r="DP372" s="542"/>
      <c r="DQ372" s="542"/>
      <c r="DR372" s="542"/>
      <c r="DS372" s="542"/>
      <c r="DT372" s="542"/>
      <c r="DU372" s="542"/>
      <c r="DV372" s="542"/>
      <c r="DW372" s="542"/>
      <c r="DX372" s="542"/>
      <c r="DY372" s="542"/>
      <c r="DZ372" s="542"/>
      <c r="EA372" s="542"/>
      <c r="EB372" s="542"/>
      <c r="EC372" s="542"/>
      <c r="ED372" s="542"/>
      <c r="EE372" s="542"/>
      <c r="EF372" s="542"/>
      <c r="EG372" s="542"/>
      <c r="EH372" s="542"/>
      <c r="EI372" s="542"/>
      <c r="EJ372" s="542"/>
      <c r="EK372" s="542"/>
      <c r="EL372" s="542"/>
      <c r="EM372" s="542"/>
      <c r="EN372" s="542"/>
      <c r="EO372" s="542"/>
      <c r="EP372" s="542"/>
      <c r="EQ372" s="542"/>
      <c r="ER372" s="542"/>
      <c r="ES372" s="542"/>
      <c r="ET372" s="542"/>
      <c r="EU372" s="542"/>
      <c r="EV372" s="542"/>
      <c r="EW372" s="542"/>
      <c r="EX372" s="542"/>
      <c r="EY372" s="542"/>
      <c r="EZ372" s="542"/>
      <c r="FA372" s="542"/>
      <c r="FB372" s="542"/>
      <c r="FC372" s="542"/>
      <c r="FD372" s="542"/>
      <c r="FE372" s="542"/>
      <c r="FF372" s="542"/>
      <c r="FG372" s="542"/>
      <c r="FH372" s="542"/>
      <c r="FI372" s="542"/>
      <c r="FJ372" s="542"/>
      <c r="FK372" s="542"/>
      <c r="FL372" s="542"/>
      <c r="FM372" s="542"/>
      <c r="FN372" s="542"/>
      <c r="FO372" s="542"/>
      <c r="FP372" s="542"/>
      <c r="FQ372" s="542"/>
      <c r="FR372" s="542"/>
      <c r="FS372" s="542"/>
      <c r="FT372" s="542"/>
      <c r="FU372" s="542"/>
      <c r="FV372" s="542"/>
      <c r="FW372" s="542"/>
      <c r="FX372" s="542"/>
      <c r="FY372" s="542"/>
      <c r="FZ372" s="542"/>
      <c r="GA372" s="542"/>
      <c r="GB372" s="542"/>
      <c r="GC372" s="542"/>
      <c r="GD372" s="542"/>
      <c r="GE372" s="542"/>
      <c r="GF372" s="542"/>
      <c r="GG372" s="542"/>
      <c r="GH372" s="542"/>
      <c r="GI372" s="542"/>
      <c r="GJ372" s="542"/>
      <c r="GK372" s="542"/>
      <c r="GL372" s="542"/>
      <c r="GM372" s="542"/>
      <c r="GN372" s="542"/>
      <c r="GO372" s="542"/>
      <c r="GP372" s="542"/>
      <c r="GQ372" s="542"/>
      <c r="GR372" s="542"/>
      <c r="GS372" s="542"/>
      <c r="GT372" s="542"/>
      <c r="GU372" s="542"/>
      <c r="GV372" s="542"/>
      <c r="GW372" s="542"/>
      <c r="GX372" s="542"/>
      <c r="GY372" s="542"/>
      <c r="GZ372" s="542"/>
      <c r="HA372" s="542"/>
      <c r="HB372" s="542"/>
      <c r="HC372" s="542"/>
      <c r="HD372" s="542"/>
      <c r="HE372" s="542"/>
      <c r="HF372" s="542"/>
      <c r="HG372" s="542"/>
      <c r="HH372" s="542"/>
      <c r="HI372" s="542"/>
      <c r="HJ372" s="542"/>
      <c r="HK372" s="542"/>
      <c r="HL372" s="542"/>
      <c r="HM372" s="542"/>
      <c r="HN372" s="542"/>
      <c r="HO372" s="542"/>
      <c r="HP372" s="542"/>
      <c r="HQ372" s="542"/>
      <c r="HR372" s="542"/>
      <c r="HS372" s="542"/>
      <c r="HT372" s="542"/>
      <c r="HU372" s="542"/>
      <c r="HV372" s="542"/>
      <c r="HW372" s="542"/>
      <c r="HX372" s="542"/>
      <c r="HY372" s="542"/>
      <c r="HZ372" s="542"/>
      <c r="IA372" s="542"/>
      <c r="IB372" s="542"/>
      <c r="IC372" s="542"/>
      <c r="ID372" s="542"/>
      <c r="IE372" s="542"/>
      <c r="IF372" s="542"/>
      <c r="IG372" s="542"/>
      <c r="IH372" s="542"/>
      <c r="II372" s="542"/>
      <c r="IJ372" s="542"/>
      <c r="IK372" s="542"/>
      <c r="IL372" s="542"/>
      <c r="IM372" s="542"/>
      <c r="IN372" s="542"/>
      <c r="IO372" s="542"/>
      <c r="IP372" s="542"/>
      <c r="IQ372" s="542"/>
      <c r="IR372" s="542"/>
      <c r="IS372" s="542"/>
      <c r="IT372" s="542"/>
      <c r="IU372" s="542"/>
      <c r="IV372" s="542"/>
      <c r="IW372" s="542"/>
      <c r="IX372" s="542"/>
      <c r="IY372" s="542"/>
      <c r="IZ372" s="542"/>
      <c r="JA372" s="542"/>
      <c r="JB372" s="542"/>
    </row>
    <row r="373" spans="104:262" ht="18.899999999999999" customHeight="1">
      <c r="CZ373" s="542"/>
      <c r="DA373" s="542"/>
      <c r="DB373" s="542"/>
      <c r="DC373" s="542"/>
      <c r="DD373" s="542"/>
      <c r="DE373" s="542"/>
      <c r="DF373" s="542"/>
      <c r="DG373" s="542"/>
      <c r="DH373" s="542"/>
      <c r="DI373" s="542"/>
      <c r="DJ373" s="542"/>
      <c r="DK373" s="542"/>
      <c r="DL373" s="542"/>
      <c r="DM373" s="542"/>
      <c r="DN373" s="542"/>
      <c r="DO373" s="542"/>
      <c r="DP373" s="542"/>
      <c r="DQ373" s="542"/>
      <c r="DR373" s="542"/>
      <c r="DS373" s="542"/>
      <c r="DT373" s="542"/>
      <c r="DU373" s="542"/>
      <c r="DV373" s="542"/>
      <c r="DW373" s="542"/>
      <c r="DX373" s="542"/>
      <c r="DY373" s="542"/>
      <c r="DZ373" s="542"/>
      <c r="EA373" s="542"/>
      <c r="EB373" s="542"/>
      <c r="EC373" s="542"/>
      <c r="ED373" s="542"/>
      <c r="EE373" s="542"/>
      <c r="EF373" s="542"/>
      <c r="EG373" s="542"/>
      <c r="EH373" s="542"/>
      <c r="EI373" s="542"/>
      <c r="EJ373" s="542"/>
      <c r="EK373" s="542"/>
      <c r="EL373" s="542"/>
      <c r="EM373" s="542"/>
      <c r="EN373" s="542"/>
      <c r="EO373" s="542"/>
      <c r="EP373" s="542"/>
      <c r="EQ373" s="542"/>
      <c r="ER373" s="542"/>
      <c r="ES373" s="542"/>
      <c r="ET373" s="542"/>
      <c r="EU373" s="542"/>
      <c r="EV373" s="542"/>
      <c r="EW373" s="542"/>
      <c r="EX373" s="542"/>
      <c r="EY373" s="542"/>
      <c r="EZ373" s="542"/>
      <c r="FA373" s="542"/>
      <c r="FB373" s="542"/>
      <c r="FC373" s="542"/>
      <c r="FD373" s="542"/>
      <c r="FE373" s="542"/>
      <c r="FF373" s="542"/>
      <c r="FG373" s="542"/>
      <c r="FH373" s="542"/>
      <c r="FI373" s="542"/>
      <c r="FJ373" s="542"/>
      <c r="FK373" s="542"/>
      <c r="FL373" s="542"/>
      <c r="FM373" s="542"/>
      <c r="FN373" s="542"/>
      <c r="FO373" s="542"/>
      <c r="FP373" s="542"/>
      <c r="FQ373" s="542"/>
      <c r="FR373" s="542"/>
      <c r="FS373" s="542"/>
      <c r="FT373" s="542"/>
      <c r="FU373" s="542"/>
      <c r="FV373" s="542"/>
      <c r="FW373" s="542"/>
      <c r="FX373" s="542"/>
      <c r="FY373" s="542"/>
      <c r="FZ373" s="542"/>
      <c r="GA373" s="542"/>
      <c r="GB373" s="542"/>
      <c r="GC373" s="542"/>
      <c r="GD373" s="542"/>
      <c r="GE373" s="542"/>
      <c r="GF373" s="542"/>
      <c r="GG373" s="542"/>
      <c r="GH373" s="542"/>
      <c r="GI373" s="542"/>
      <c r="GJ373" s="542"/>
      <c r="GK373" s="542"/>
      <c r="GL373" s="542"/>
      <c r="GM373" s="542"/>
      <c r="GN373" s="542"/>
      <c r="GO373" s="542"/>
      <c r="GP373" s="542"/>
      <c r="GQ373" s="542"/>
      <c r="GR373" s="542"/>
      <c r="GS373" s="542"/>
      <c r="GT373" s="542"/>
      <c r="GU373" s="542"/>
      <c r="GV373" s="542"/>
      <c r="GW373" s="542"/>
      <c r="GX373" s="542"/>
      <c r="GY373" s="542"/>
      <c r="GZ373" s="542"/>
      <c r="HA373" s="542"/>
      <c r="HB373" s="542"/>
      <c r="HC373" s="542"/>
      <c r="HD373" s="542"/>
      <c r="HE373" s="542"/>
      <c r="HF373" s="542"/>
      <c r="HG373" s="542"/>
      <c r="HH373" s="542"/>
      <c r="HI373" s="542"/>
      <c r="HJ373" s="542"/>
      <c r="HK373" s="542"/>
      <c r="HL373" s="542"/>
      <c r="HM373" s="542"/>
      <c r="HN373" s="542"/>
      <c r="HO373" s="542"/>
      <c r="HP373" s="542"/>
      <c r="HQ373" s="542"/>
      <c r="HR373" s="542"/>
      <c r="HS373" s="542"/>
      <c r="HT373" s="542"/>
      <c r="HU373" s="542"/>
      <c r="HV373" s="542"/>
      <c r="HW373" s="542"/>
      <c r="HX373" s="542"/>
      <c r="HY373" s="542"/>
      <c r="HZ373" s="542"/>
      <c r="IA373" s="542"/>
      <c r="IB373" s="542"/>
      <c r="IC373" s="542"/>
      <c r="ID373" s="542"/>
      <c r="IE373" s="542"/>
      <c r="IF373" s="542"/>
      <c r="IG373" s="542"/>
      <c r="IH373" s="542"/>
      <c r="II373" s="542"/>
      <c r="IJ373" s="542"/>
      <c r="IK373" s="542"/>
      <c r="IL373" s="542"/>
      <c r="IM373" s="542"/>
      <c r="IN373" s="542"/>
      <c r="IO373" s="542"/>
      <c r="IP373" s="542"/>
      <c r="IQ373" s="542"/>
      <c r="IR373" s="542"/>
      <c r="IS373" s="542"/>
      <c r="IT373" s="542"/>
      <c r="IU373" s="542"/>
      <c r="IV373" s="542"/>
      <c r="IW373" s="542"/>
      <c r="IX373" s="542"/>
      <c r="IY373" s="542"/>
      <c r="IZ373" s="542"/>
      <c r="JA373" s="542"/>
      <c r="JB373" s="542"/>
    </row>
    <row r="374" spans="104:262" ht="18.899999999999999" customHeight="1">
      <c r="CZ374" s="542"/>
      <c r="DA374" s="542"/>
      <c r="DB374" s="542"/>
      <c r="DC374" s="542"/>
      <c r="DD374" s="542"/>
      <c r="DE374" s="542"/>
      <c r="DF374" s="542"/>
      <c r="DG374" s="542"/>
      <c r="DH374" s="542"/>
      <c r="DI374" s="542"/>
      <c r="DJ374" s="542"/>
      <c r="DK374" s="542"/>
      <c r="DL374" s="542"/>
      <c r="DM374" s="542"/>
      <c r="DN374" s="542"/>
      <c r="DO374" s="542"/>
      <c r="DP374" s="542"/>
      <c r="DQ374" s="542"/>
      <c r="DR374" s="542"/>
      <c r="DS374" s="542"/>
      <c r="DT374" s="542"/>
      <c r="DU374" s="542"/>
      <c r="DV374" s="542"/>
      <c r="DW374" s="542"/>
      <c r="DX374" s="542"/>
      <c r="DY374" s="542"/>
      <c r="DZ374" s="542"/>
      <c r="EA374" s="542"/>
      <c r="EB374" s="542"/>
      <c r="EC374" s="542"/>
      <c r="ED374" s="542"/>
      <c r="EE374" s="542"/>
      <c r="EF374" s="542"/>
      <c r="EG374" s="542"/>
      <c r="EH374" s="542"/>
      <c r="EI374" s="542"/>
      <c r="EJ374" s="542"/>
      <c r="EK374" s="542"/>
      <c r="EL374" s="542"/>
      <c r="EM374" s="542"/>
      <c r="EN374" s="542"/>
      <c r="EO374" s="542"/>
      <c r="EP374" s="542"/>
      <c r="EQ374" s="542"/>
      <c r="ER374" s="542"/>
      <c r="ES374" s="542"/>
      <c r="ET374" s="542"/>
      <c r="EU374" s="542"/>
      <c r="EV374" s="542"/>
      <c r="EW374" s="542"/>
      <c r="EX374" s="542"/>
      <c r="EY374" s="542"/>
      <c r="EZ374" s="542"/>
      <c r="FA374" s="542"/>
      <c r="FB374" s="542"/>
      <c r="FC374" s="542"/>
      <c r="FD374" s="542"/>
      <c r="FE374" s="542"/>
      <c r="FF374" s="542"/>
      <c r="FG374" s="542"/>
      <c r="FH374" s="542"/>
      <c r="FI374" s="542"/>
      <c r="FJ374" s="542"/>
      <c r="FK374" s="542"/>
      <c r="FL374" s="542"/>
      <c r="FM374" s="542"/>
      <c r="FN374" s="542"/>
      <c r="FO374" s="542"/>
      <c r="FP374" s="542"/>
      <c r="FQ374" s="542"/>
      <c r="FR374" s="542"/>
      <c r="FS374" s="542"/>
      <c r="FT374" s="542"/>
      <c r="FU374" s="542"/>
      <c r="FV374" s="542"/>
      <c r="FW374" s="542"/>
      <c r="FX374" s="542"/>
      <c r="FY374" s="542"/>
      <c r="FZ374" s="542"/>
      <c r="GA374" s="542"/>
      <c r="GB374" s="542"/>
      <c r="GC374" s="542"/>
      <c r="GD374" s="542"/>
      <c r="GE374" s="542"/>
      <c r="GF374" s="542"/>
      <c r="GG374" s="542"/>
      <c r="GH374" s="542"/>
      <c r="GI374" s="542"/>
      <c r="GJ374" s="542"/>
      <c r="GK374" s="542"/>
      <c r="GL374" s="542"/>
      <c r="GM374" s="542"/>
      <c r="GN374" s="542"/>
      <c r="GO374" s="542"/>
      <c r="GP374" s="542"/>
      <c r="GQ374" s="542"/>
      <c r="GR374" s="542"/>
      <c r="GS374" s="542"/>
      <c r="GT374" s="542"/>
      <c r="GU374" s="542"/>
      <c r="GV374" s="542"/>
      <c r="GW374" s="542"/>
      <c r="GX374" s="542"/>
      <c r="GY374" s="542"/>
      <c r="GZ374" s="542"/>
      <c r="HA374" s="542"/>
      <c r="HB374" s="542"/>
      <c r="HC374" s="542"/>
      <c r="HD374" s="542"/>
      <c r="HE374" s="542"/>
      <c r="HF374" s="542"/>
      <c r="HG374" s="542"/>
      <c r="HH374" s="542"/>
      <c r="HI374" s="542"/>
      <c r="HJ374" s="542"/>
      <c r="HK374" s="542"/>
      <c r="HL374" s="542"/>
      <c r="HM374" s="542"/>
      <c r="HN374" s="542"/>
      <c r="HO374" s="542"/>
      <c r="HP374" s="542"/>
      <c r="HQ374" s="542"/>
      <c r="HR374" s="542"/>
      <c r="HS374" s="542"/>
      <c r="HT374" s="542"/>
      <c r="HU374" s="542"/>
      <c r="HV374" s="542"/>
      <c r="HW374" s="542"/>
      <c r="HX374" s="542"/>
      <c r="HY374" s="542"/>
      <c r="HZ374" s="542"/>
      <c r="IA374" s="542"/>
      <c r="IB374" s="542"/>
      <c r="IC374" s="542"/>
      <c r="ID374" s="542"/>
      <c r="IE374" s="542"/>
      <c r="IF374" s="542"/>
      <c r="IG374" s="542"/>
      <c r="IH374" s="542"/>
      <c r="II374" s="542"/>
      <c r="IJ374" s="542"/>
      <c r="IK374" s="542"/>
      <c r="IL374" s="542"/>
      <c r="IM374" s="542"/>
      <c r="IN374" s="542"/>
      <c r="IO374" s="542"/>
      <c r="IP374" s="542"/>
      <c r="IQ374" s="542"/>
      <c r="IR374" s="542"/>
      <c r="IS374" s="542"/>
      <c r="IT374" s="542"/>
      <c r="IU374" s="542"/>
      <c r="IV374" s="542"/>
      <c r="IW374" s="542"/>
      <c r="IX374" s="542"/>
      <c r="IY374" s="542"/>
      <c r="IZ374" s="542"/>
      <c r="JA374" s="542"/>
      <c r="JB374" s="542"/>
    </row>
    <row r="375" spans="104:262" ht="18.899999999999999" customHeight="1">
      <c r="CZ375" s="542"/>
      <c r="DA375" s="542"/>
      <c r="DB375" s="542"/>
      <c r="DC375" s="542"/>
      <c r="DD375" s="542"/>
      <c r="DE375" s="542"/>
      <c r="DF375" s="542"/>
      <c r="DG375" s="542"/>
      <c r="DH375" s="542"/>
      <c r="DI375" s="542"/>
      <c r="DJ375" s="542"/>
      <c r="DK375" s="542"/>
      <c r="DL375" s="542"/>
      <c r="DM375" s="542"/>
      <c r="DN375" s="542"/>
      <c r="DO375" s="542"/>
      <c r="DP375" s="542"/>
      <c r="DQ375" s="542"/>
      <c r="DR375" s="542"/>
      <c r="DS375" s="542"/>
      <c r="DT375" s="542"/>
      <c r="DU375" s="542"/>
      <c r="DV375" s="542"/>
      <c r="DW375" s="542"/>
      <c r="DX375" s="542"/>
      <c r="DY375" s="542"/>
      <c r="DZ375" s="542"/>
      <c r="EA375" s="542"/>
      <c r="EB375" s="542"/>
      <c r="EC375" s="542"/>
      <c r="ED375" s="542"/>
      <c r="EE375" s="542"/>
      <c r="EF375" s="542"/>
      <c r="EG375" s="542"/>
      <c r="EH375" s="542"/>
      <c r="EI375" s="542"/>
      <c r="EJ375" s="542"/>
      <c r="EK375" s="542"/>
      <c r="EL375" s="542"/>
      <c r="EM375" s="542"/>
      <c r="EN375" s="542"/>
      <c r="EO375" s="542"/>
      <c r="EP375" s="542"/>
      <c r="EQ375" s="542"/>
      <c r="ER375" s="542"/>
      <c r="ES375" s="542"/>
      <c r="ET375" s="542"/>
      <c r="EU375" s="542"/>
      <c r="EV375" s="542"/>
      <c r="EW375" s="542"/>
      <c r="EX375" s="542"/>
      <c r="EY375" s="542"/>
      <c r="EZ375" s="542"/>
      <c r="FA375" s="542"/>
      <c r="FB375" s="542"/>
      <c r="FC375" s="542"/>
      <c r="FD375" s="542"/>
      <c r="FE375" s="542"/>
      <c r="FF375" s="542"/>
      <c r="FG375" s="542"/>
      <c r="FH375" s="542"/>
      <c r="FI375" s="542"/>
      <c r="FJ375" s="542"/>
      <c r="FK375" s="542"/>
      <c r="FL375" s="542"/>
      <c r="FM375" s="542"/>
      <c r="FN375" s="542"/>
      <c r="FO375" s="542"/>
      <c r="FP375" s="542"/>
      <c r="FQ375" s="542"/>
      <c r="FR375" s="542"/>
      <c r="FS375" s="542"/>
      <c r="FT375" s="542"/>
      <c r="FU375" s="542"/>
      <c r="FV375" s="542"/>
      <c r="FW375" s="542"/>
      <c r="FX375" s="542"/>
      <c r="FY375" s="542"/>
      <c r="FZ375" s="542"/>
      <c r="GA375" s="542"/>
      <c r="GB375" s="542"/>
      <c r="GC375" s="542"/>
      <c r="GD375" s="542"/>
      <c r="GE375" s="542"/>
      <c r="GF375" s="542"/>
      <c r="GG375" s="542"/>
      <c r="GH375" s="542"/>
      <c r="GI375" s="542"/>
      <c r="GJ375" s="542"/>
      <c r="GK375" s="542"/>
      <c r="GL375" s="542"/>
      <c r="GM375" s="542"/>
      <c r="GN375" s="542"/>
      <c r="GO375" s="542"/>
      <c r="GP375" s="542"/>
      <c r="GQ375" s="542"/>
      <c r="GR375" s="542"/>
      <c r="GS375" s="542"/>
      <c r="GT375" s="542"/>
      <c r="GU375" s="542"/>
      <c r="GV375" s="542"/>
      <c r="GW375" s="542"/>
      <c r="GX375" s="542"/>
      <c r="GY375" s="542"/>
      <c r="GZ375" s="542"/>
      <c r="HA375" s="542"/>
      <c r="HB375" s="542"/>
      <c r="HC375" s="542"/>
      <c r="HD375" s="542"/>
      <c r="HE375" s="542"/>
      <c r="HF375" s="542"/>
      <c r="HG375" s="542"/>
      <c r="HH375" s="542"/>
      <c r="HI375" s="542"/>
      <c r="HJ375" s="542"/>
      <c r="HK375" s="542"/>
      <c r="HL375" s="542"/>
      <c r="HM375" s="542"/>
      <c r="HN375" s="542"/>
      <c r="HO375" s="542"/>
      <c r="HP375" s="542"/>
      <c r="HQ375" s="542"/>
      <c r="HR375" s="542"/>
      <c r="HS375" s="542"/>
      <c r="HT375" s="542"/>
      <c r="HU375" s="542"/>
      <c r="HV375" s="542"/>
      <c r="HW375" s="542"/>
      <c r="HX375" s="542"/>
      <c r="HY375" s="542"/>
      <c r="HZ375" s="542"/>
      <c r="IA375" s="542"/>
      <c r="IB375" s="542"/>
      <c r="IC375" s="542"/>
      <c r="ID375" s="542"/>
      <c r="IE375" s="542"/>
      <c r="IF375" s="542"/>
      <c r="IG375" s="542"/>
      <c r="IH375" s="542"/>
      <c r="II375" s="542"/>
      <c r="IJ375" s="542"/>
      <c r="IK375" s="542"/>
      <c r="IL375" s="542"/>
      <c r="IM375" s="542"/>
      <c r="IN375" s="542"/>
      <c r="IO375" s="542"/>
      <c r="IP375" s="542"/>
      <c r="IQ375" s="542"/>
      <c r="IR375" s="542"/>
      <c r="IS375" s="542"/>
      <c r="IT375" s="542"/>
      <c r="IU375" s="542"/>
      <c r="IV375" s="542"/>
      <c r="IW375" s="542"/>
      <c r="IX375" s="542"/>
      <c r="IY375" s="542"/>
      <c r="IZ375" s="542"/>
      <c r="JA375" s="542"/>
      <c r="JB375" s="542"/>
    </row>
    <row r="376" spans="104:262" ht="18.899999999999999" customHeight="1">
      <c r="CZ376" s="542"/>
      <c r="DA376" s="542"/>
      <c r="DB376" s="542"/>
      <c r="DC376" s="542"/>
      <c r="DD376" s="542"/>
      <c r="DE376" s="542"/>
      <c r="DF376" s="542"/>
      <c r="DG376" s="542"/>
      <c r="DH376" s="542"/>
      <c r="DI376" s="542"/>
      <c r="DJ376" s="542"/>
      <c r="DK376" s="542"/>
      <c r="DL376" s="542"/>
      <c r="DM376" s="542"/>
      <c r="DN376" s="542"/>
      <c r="DO376" s="542"/>
      <c r="DP376" s="542"/>
      <c r="DQ376" s="542"/>
      <c r="DR376" s="542"/>
      <c r="DS376" s="542"/>
      <c r="DT376" s="542"/>
      <c r="DU376" s="542"/>
      <c r="DV376" s="542"/>
      <c r="DW376" s="542"/>
      <c r="DX376" s="542"/>
      <c r="DY376" s="542"/>
      <c r="DZ376" s="542"/>
      <c r="EA376" s="542"/>
      <c r="EB376" s="542"/>
      <c r="EC376" s="542"/>
      <c r="ED376" s="542"/>
      <c r="EE376" s="542"/>
      <c r="EF376" s="542"/>
      <c r="EG376" s="542"/>
      <c r="EH376" s="542"/>
      <c r="EI376" s="542"/>
      <c r="EJ376" s="542"/>
      <c r="EK376" s="542"/>
      <c r="EL376" s="542"/>
      <c r="EM376" s="542"/>
      <c r="EN376" s="542"/>
      <c r="EO376" s="542"/>
      <c r="EP376" s="542"/>
      <c r="EQ376" s="542"/>
      <c r="ER376" s="542"/>
      <c r="ES376" s="542"/>
      <c r="ET376" s="542"/>
      <c r="EU376" s="542"/>
      <c r="EV376" s="542"/>
      <c r="EW376" s="542"/>
      <c r="EX376" s="542"/>
      <c r="EY376" s="542"/>
      <c r="EZ376" s="542"/>
      <c r="FA376" s="542"/>
      <c r="FB376" s="542"/>
      <c r="FC376" s="542"/>
      <c r="FD376" s="542"/>
      <c r="FE376" s="542"/>
      <c r="FF376" s="542"/>
      <c r="FG376" s="542"/>
      <c r="FH376" s="542"/>
      <c r="FI376" s="542"/>
      <c r="FJ376" s="542"/>
      <c r="FK376" s="542"/>
      <c r="FL376" s="542"/>
      <c r="FM376" s="542"/>
      <c r="FN376" s="542"/>
      <c r="FO376" s="542"/>
      <c r="FP376" s="542"/>
      <c r="FQ376" s="542"/>
      <c r="FR376" s="542"/>
      <c r="FS376" s="542"/>
      <c r="FT376" s="542"/>
      <c r="FU376" s="542"/>
      <c r="FV376" s="542"/>
      <c r="FW376" s="542"/>
      <c r="FX376" s="542"/>
      <c r="FY376" s="542"/>
      <c r="FZ376" s="542"/>
      <c r="GA376" s="542"/>
      <c r="GB376" s="542"/>
      <c r="GC376" s="542"/>
      <c r="GD376" s="542"/>
      <c r="GE376" s="542"/>
      <c r="GF376" s="542"/>
      <c r="GG376" s="542"/>
      <c r="GH376" s="542"/>
      <c r="GI376" s="542"/>
      <c r="GJ376" s="542"/>
      <c r="GK376" s="542"/>
      <c r="GL376" s="542"/>
      <c r="GM376" s="542"/>
      <c r="GN376" s="542"/>
      <c r="GO376" s="542"/>
      <c r="GP376" s="542"/>
      <c r="GQ376" s="542"/>
      <c r="GR376" s="542"/>
      <c r="GS376" s="542"/>
      <c r="GT376" s="542"/>
      <c r="GU376" s="542"/>
      <c r="GV376" s="542"/>
      <c r="GW376" s="542"/>
      <c r="GX376" s="542"/>
      <c r="GY376" s="542"/>
      <c r="GZ376" s="542"/>
      <c r="HA376" s="542"/>
      <c r="HB376" s="542"/>
      <c r="HC376" s="542"/>
      <c r="HD376" s="542"/>
      <c r="HE376" s="542"/>
      <c r="HF376" s="542"/>
      <c r="HG376" s="542"/>
      <c r="HH376" s="542"/>
      <c r="HI376" s="542"/>
      <c r="HJ376" s="542"/>
      <c r="HK376" s="542"/>
      <c r="HL376" s="542"/>
      <c r="HM376" s="542"/>
      <c r="HN376" s="542"/>
      <c r="HO376" s="542"/>
      <c r="HP376" s="542"/>
      <c r="HQ376" s="542"/>
      <c r="HR376" s="542"/>
      <c r="HS376" s="542"/>
      <c r="HT376" s="542"/>
      <c r="HU376" s="542"/>
      <c r="HV376" s="542"/>
      <c r="HW376" s="542"/>
      <c r="HX376" s="542"/>
      <c r="HY376" s="542"/>
      <c r="HZ376" s="542"/>
      <c r="IA376" s="542"/>
      <c r="IB376" s="542"/>
      <c r="IC376" s="542"/>
      <c r="ID376" s="542"/>
      <c r="IE376" s="542"/>
      <c r="IF376" s="542"/>
      <c r="IG376" s="542"/>
      <c r="IH376" s="542"/>
      <c r="II376" s="542"/>
      <c r="IJ376" s="542"/>
      <c r="IK376" s="542"/>
      <c r="IL376" s="542"/>
      <c r="IM376" s="542"/>
      <c r="IN376" s="542"/>
      <c r="IO376" s="542"/>
      <c r="IP376" s="542"/>
      <c r="IQ376" s="542"/>
      <c r="IR376" s="542"/>
      <c r="IS376" s="542"/>
      <c r="IT376" s="542"/>
      <c r="IU376" s="542"/>
      <c r="IV376" s="542"/>
      <c r="IW376" s="542"/>
      <c r="IX376" s="542"/>
      <c r="IY376" s="542"/>
      <c r="IZ376" s="542"/>
      <c r="JA376" s="542"/>
      <c r="JB376" s="542"/>
    </row>
    <row r="377" spans="104:262" ht="18.899999999999999" customHeight="1">
      <c r="CZ377" s="542"/>
      <c r="DA377" s="542"/>
      <c r="DB377" s="542"/>
      <c r="DC377" s="542"/>
      <c r="DD377" s="542"/>
      <c r="DE377" s="542"/>
      <c r="DF377" s="542"/>
      <c r="DG377" s="542"/>
      <c r="DH377" s="542"/>
      <c r="DI377" s="542"/>
      <c r="DJ377" s="542"/>
      <c r="DK377" s="542"/>
      <c r="DL377" s="542"/>
      <c r="DM377" s="542"/>
      <c r="DN377" s="542"/>
      <c r="DO377" s="542"/>
      <c r="DP377" s="542"/>
      <c r="DQ377" s="542"/>
      <c r="DR377" s="542"/>
      <c r="DS377" s="542"/>
      <c r="DT377" s="542"/>
      <c r="DU377" s="542"/>
      <c r="DV377" s="542"/>
      <c r="DW377" s="542"/>
      <c r="DX377" s="542"/>
      <c r="DY377" s="542"/>
      <c r="DZ377" s="542"/>
      <c r="EA377" s="542"/>
      <c r="EB377" s="542"/>
      <c r="EC377" s="542"/>
      <c r="ED377" s="542"/>
      <c r="EE377" s="542"/>
      <c r="EF377" s="542"/>
      <c r="EG377" s="542"/>
      <c r="EH377" s="542"/>
      <c r="EI377" s="542"/>
      <c r="EJ377" s="542"/>
      <c r="EK377" s="542"/>
      <c r="EL377" s="542"/>
      <c r="EM377" s="542"/>
      <c r="EN377" s="542"/>
      <c r="EO377" s="542"/>
      <c r="EP377" s="542"/>
      <c r="EQ377" s="542"/>
      <c r="ER377" s="542"/>
      <c r="ES377" s="542"/>
      <c r="ET377" s="542"/>
      <c r="EU377" s="542"/>
      <c r="EV377" s="542"/>
      <c r="EW377" s="542"/>
      <c r="EX377" s="542"/>
      <c r="EY377" s="542"/>
      <c r="EZ377" s="542"/>
      <c r="FA377" s="542"/>
      <c r="FB377" s="542"/>
      <c r="FC377" s="542"/>
      <c r="FD377" s="542"/>
      <c r="FE377" s="542"/>
      <c r="FF377" s="542"/>
      <c r="FG377" s="542"/>
      <c r="FH377" s="542"/>
      <c r="FI377" s="542"/>
      <c r="FJ377" s="542"/>
      <c r="FK377" s="542"/>
      <c r="FL377" s="542"/>
      <c r="FM377" s="542"/>
      <c r="FN377" s="542"/>
      <c r="FO377" s="542"/>
      <c r="FP377" s="542"/>
      <c r="FQ377" s="542"/>
      <c r="FR377" s="542"/>
      <c r="FS377" s="542"/>
      <c r="FT377" s="542"/>
      <c r="FU377" s="542"/>
      <c r="FV377" s="542"/>
      <c r="FW377" s="542"/>
      <c r="FX377" s="542"/>
      <c r="FY377" s="542"/>
      <c r="FZ377" s="542"/>
      <c r="GA377" s="542"/>
      <c r="GB377" s="542"/>
      <c r="GC377" s="542"/>
      <c r="GD377" s="542"/>
      <c r="GE377" s="542"/>
      <c r="GF377" s="542"/>
      <c r="GG377" s="542"/>
      <c r="GH377" s="542"/>
      <c r="GI377" s="542"/>
      <c r="GJ377" s="542"/>
      <c r="GK377" s="542"/>
      <c r="GL377" s="542"/>
      <c r="GM377" s="542"/>
      <c r="GN377" s="542"/>
      <c r="GO377" s="542"/>
      <c r="GP377" s="542"/>
      <c r="GQ377" s="542"/>
      <c r="GR377" s="542"/>
      <c r="GS377" s="542"/>
      <c r="GT377" s="542"/>
      <c r="GU377" s="542"/>
      <c r="GV377" s="542"/>
      <c r="GW377" s="542"/>
      <c r="GX377" s="542"/>
      <c r="GY377" s="542"/>
      <c r="GZ377" s="542"/>
      <c r="HA377" s="542"/>
      <c r="HB377" s="542"/>
      <c r="HC377" s="542"/>
      <c r="HD377" s="542"/>
      <c r="HE377" s="542"/>
      <c r="HF377" s="542"/>
      <c r="HG377" s="542"/>
      <c r="HH377" s="542"/>
      <c r="HI377" s="542"/>
      <c r="HJ377" s="542"/>
      <c r="HK377" s="542"/>
      <c r="HL377" s="542"/>
      <c r="HM377" s="542"/>
      <c r="HN377" s="542"/>
      <c r="HO377" s="542"/>
      <c r="HP377" s="542"/>
      <c r="HQ377" s="542"/>
      <c r="HR377" s="542"/>
      <c r="HS377" s="542"/>
      <c r="HT377" s="542"/>
      <c r="HU377" s="542"/>
      <c r="HV377" s="542"/>
      <c r="HW377" s="542"/>
      <c r="HX377" s="542"/>
      <c r="HY377" s="542"/>
      <c r="HZ377" s="542"/>
      <c r="IA377" s="542"/>
      <c r="IB377" s="542"/>
      <c r="IC377" s="542"/>
      <c r="ID377" s="542"/>
      <c r="IE377" s="542"/>
      <c r="IF377" s="542"/>
      <c r="IG377" s="542"/>
      <c r="IH377" s="542"/>
      <c r="II377" s="542"/>
      <c r="IJ377" s="542"/>
      <c r="IK377" s="542"/>
      <c r="IL377" s="542"/>
      <c r="IM377" s="542"/>
      <c r="IN377" s="542"/>
      <c r="IO377" s="542"/>
      <c r="IP377" s="542"/>
      <c r="IQ377" s="542"/>
      <c r="IR377" s="542"/>
      <c r="IS377" s="542"/>
      <c r="IT377" s="542"/>
      <c r="IU377" s="542"/>
      <c r="IV377" s="542"/>
      <c r="IW377" s="542"/>
      <c r="IX377" s="542"/>
      <c r="IY377" s="542"/>
      <c r="IZ377" s="542"/>
      <c r="JA377" s="542"/>
      <c r="JB377" s="542"/>
    </row>
    <row r="378" spans="104:262" ht="18.899999999999999" customHeight="1">
      <c r="CZ378" s="542"/>
      <c r="DA378" s="542"/>
      <c r="DB378" s="542"/>
      <c r="DC378" s="542"/>
      <c r="DD378" s="542"/>
      <c r="DE378" s="542"/>
      <c r="DF378" s="542"/>
      <c r="DG378" s="542"/>
      <c r="DH378" s="542"/>
      <c r="DI378" s="542"/>
      <c r="DJ378" s="542"/>
      <c r="DK378" s="542"/>
      <c r="DL378" s="542"/>
      <c r="DM378" s="542"/>
      <c r="DN378" s="542"/>
      <c r="DO378" s="542"/>
      <c r="DP378" s="542"/>
      <c r="DQ378" s="542"/>
      <c r="DR378" s="542"/>
      <c r="DS378" s="542"/>
      <c r="DT378" s="542"/>
      <c r="DU378" s="542"/>
      <c r="DV378" s="542"/>
      <c r="DW378" s="542"/>
      <c r="DX378" s="542"/>
      <c r="DY378" s="542"/>
      <c r="DZ378" s="542"/>
      <c r="EA378" s="542"/>
      <c r="EB378" s="542"/>
      <c r="EC378" s="542"/>
      <c r="ED378" s="542"/>
      <c r="EE378" s="542"/>
      <c r="EF378" s="542"/>
      <c r="EG378" s="542"/>
      <c r="EH378" s="542"/>
      <c r="EI378" s="542"/>
      <c r="EJ378" s="542"/>
      <c r="EK378" s="542"/>
      <c r="EL378" s="542"/>
      <c r="EM378" s="542"/>
      <c r="EN378" s="542"/>
      <c r="EO378" s="542"/>
      <c r="EP378" s="542"/>
      <c r="EQ378" s="542"/>
      <c r="ER378" s="542"/>
      <c r="ES378" s="542"/>
      <c r="ET378" s="542"/>
      <c r="EU378" s="542"/>
      <c r="EV378" s="542"/>
      <c r="EW378" s="542"/>
      <c r="EX378" s="542"/>
      <c r="EY378" s="542"/>
      <c r="EZ378" s="542"/>
      <c r="FA378" s="542"/>
      <c r="FB378" s="542"/>
      <c r="FC378" s="542"/>
      <c r="FD378" s="542"/>
      <c r="FE378" s="542"/>
      <c r="FF378" s="542"/>
      <c r="FG378" s="542"/>
      <c r="FH378" s="542"/>
      <c r="FI378" s="542"/>
      <c r="FJ378" s="542"/>
      <c r="FK378" s="542"/>
      <c r="FL378" s="542"/>
      <c r="FM378" s="542"/>
      <c r="FN378" s="542"/>
      <c r="FO378" s="542"/>
      <c r="FP378" s="542"/>
      <c r="FQ378" s="542"/>
      <c r="FR378" s="542"/>
      <c r="FS378" s="542"/>
      <c r="FT378" s="542"/>
      <c r="FU378" s="542"/>
      <c r="FV378" s="542"/>
      <c r="FW378" s="542"/>
      <c r="FX378" s="542"/>
      <c r="FY378" s="542"/>
      <c r="FZ378" s="542"/>
      <c r="GA378" s="542"/>
      <c r="GB378" s="542"/>
      <c r="GC378" s="542"/>
      <c r="GD378" s="542"/>
      <c r="GE378" s="542"/>
      <c r="GF378" s="542"/>
      <c r="GG378" s="542"/>
      <c r="GH378" s="542"/>
      <c r="GI378" s="542"/>
      <c r="GJ378" s="542"/>
      <c r="GK378" s="542"/>
      <c r="GL378" s="542"/>
      <c r="GM378" s="542"/>
      <c r="GN378" s="542"/>
      <c r="GO378" s="542"/>
      <c r="GP378" s="542"/>
      <c r="GQ378" s="542"/>
      <c r="GR378" s="542"/>
      <c r="GS378" s="542"/>
      <c r="GT378" s="542"/>
      <c r="GU378" s="542"/>
      <c r="GV378" s="542"/>
      <c r="GW378" s="542"/>
      <c r="GX378" s="542"/>
      <c r="GY378" s="542"/>
      <c r="GZ378" s="542"/>
      <c r="HA378" s="542"/>
      <c r="HB378" s="542"/>
      <c r="HC378" s="542"/>
      <c r="HD378" s="542"/>
      <c r="HE378" s="542"/>
      <c r="HF378" s="542"/>
      <c r="HG378" s="542"/>
      <c r="HH378" s="542"/>
      <c r="HI378" s="542"/>
      <c r="HJ378" s="542"/>
      <c r="HK378" s="542"/>
      <c r="HL378" s="542"/>
      <c r="HM378" s="542"/>
      <c r="HN378" s="542"/>
      <c r="HO378" s="542"/>
      <c r="HP378" s="542"/>
      <c r="HQ378" s="542"/>
      <c r="HR378" s="542"/>
      <c r="HS378" s="542"/>
      <c r="HT378" s="542"/>
      <c r="HU378" s="542"/>
      <c r="HV378" s="542"/>
      <c r="HW378" s="542"/>
      <c r="HX378" s="542"/>
      <c r="HY378" s="542"/>
      <c r="HZ378" s="542"/>
      <c r="IA378" s="542"/>
      <c r="IB378" s="542"/>
      <c r="IC378" s="542"/>
      <c r="ID378" s="542"/>
      <c r="IE378" s="542"/>
      <c r="IF378" s="542"/>
      <c r="IG378" s="542"/>
      <c r="IH378" s="542"/>
      <c r="II378" s="542"/>
      <c r="IJ378" s="542"/>
      <c r="IK378" s="542"/>
      <c r="IL378" s="542"/>
      <c r="IM378" s="542"/>
      <c r="IN378" s="542"/>
      <c r="IO378" s="542"/>
      <c r="IP378" s="542"/>
      <c r="IQ378" s="542"/>
      <c r="IR378" s="542"/>
      <c r="IS378" s="542"/>
      <c r="IT378" s="542"/>
      <c r="IU378" s="542"/>
      <c r="IV378" s="542"/>
      <c r="IW378" s="542"/>
      <c r="IX378" s="542"/>
      <c r="IY378" s="542"/>
      <c r="IZ378" s="542"/>
      <c r="JA378" s="542"/>
      <c r="JB378" s="542"/>
    </row>
    <row r="379" spans="104:262" ht="18.899999999999999" customHeight="1">
      <c r="CZ379" s="542"/>
      <c r="DA379" s="542"/>
      <c r="DB379" s="542"/>
      <c r="DC379" s="542"/>
      <c r="DD379" s="542"/>
      <c r="DE379" s="542"/>
      <c r="DF379" s="542"/>
      <c r="DG379" s="542"/>
      <c r="DH379" s="542"/>
      <c r="DI379" s="542"/>
      <c r="DJ379" s="542"/>
      <c r="DK379" s="542"/>
      <c r="DL379" s="542"/>
      <c r="DM379" s="542"/>
      <c r="DN379" s="542"/>
      <c r="DO379" s="542"/>
      <c r="DP379" s="542"/>
      <c r="DQ379" s="542"/>
      <c r="DR379" s="542"/>
      <c r="DS379" s="542"/>
      <c r="DT379" s="542"/>
      <c r="DU379" s="542"/>
      <c r="DV379" s="542"/>
      <c r="DW379" s="542"/>
      <c r="DX379" s="542"/>
      <c r="DY379" s="542"/>
      <c r="DZ379" s="542"/>
      <c r="EA379" s="542"/>
      <c r="EB379" s="542"/>
      <c r="EC379" s="542"/>
      <c r="ED379" s="542"/>
      <c r="EE379" s="542"/>
      <c r="EF379" s="542"/>
      <c r="EG379" s="542"/>
      <c r="EH379" s="542"/>
      <c r="EI379" s="542"/>
      <c r="EJ379" s="542"/>
      <c r="EK379" s="542"/>
      <c r="EL379" s="542"/>
      <c r="EM379" s="542"/>
      <c r="EN379" s="542"/>
      <c r="EO379" s="542"/>
      <c r="EP379" s="542"/>
      <c r="EQ379" s="542"/>
      <c r="ER379" s="542"/>
      <c r="ES379" s="542"/>
      <c r="ET379" s="542"/>
      <c r="EU379" s="542"/>
      <c r="EV379" s="542"/>
      <c r="EW379" s="542"/>
      <c r="EX379" s="542"/>
      <c r="EY379" s="542"/>
      <c r="EZ379" s="542"/>
      <c r="FA379" s="542"/>
      <c r="FB379" s="542"/>
      <c r="FC379" s="542"/>
      <c r="FD379" s="542"/>
      <c r="FE379" s="542"/>
      <c r="FF379" s="542"/>
      <c r="FG379" s="542"/>
      <c r="FH379" s="542"/>
      <c r="FI379" s="542"/>
      <c r="FJ379" s="542"/>
      <c r="FK379" s="542"/>
      <c r="FL379" s="542"/>
      <c r="FM379" s="542"/>
      <c r="FN379" s="542"/>
      <c r="FO379" s="542"/>
      <c r="FP379" s="542"/>
      <c r="FQ379" s="542"/>
      <c r="FR379" s="542"/>
      <c r="FS379" s="542"/>
      <c r="FT379" s="542"/>
      <c r="FU379" s="542"/>
      <c r="FV379" s="542"/>
      <c r="FW379" s="542"/>
      <c r="FX379" s="542"/>
      <c r="FY379" s="542"/>
      <c r="FZ379" s="542"/>
      <c r="GA379" s="542"/>
      <c r="GB379" s="542"/>
      <c r="GC379" s="542"/>
      <c r="GD379" s="542"/>
      <c r="GE379" s="542"/>
      <c r="GF379" s="542"/>
      <c r="GG379" s="542"/>
      <c r="GH379" s="542"/>
      <c r="GI379" s="542"/>
      <c r="GJ379" s="542"/>
      <c r="GK379" s="542"/>
      <c r="GL379" s="542"/>
      <c r="GM379" s="542"/>
      <c r="GN379" s="542"/>
      <c r="GO379" s="542"/>
      <c r="GP379" s="542"/>
      <c r="GQ379" s="542"/>
      <c r="GR379" s="542"/>
      <c r="GS379" s="542"/>
      <c r="GT379" s="542"/>
      <c r="GU379" s="542"/>
      <c r="GV379" s="542"/>
      <c r="GW379" s="542"/>
      <c r="GX379" s="542"/>
      <c r="GY379" s="542"/>
      <c r="GZ379" s="542"/>
      <c r="HA379" s="542"/>
      <c r="HB379" s="542"/>
      <c r="HC379" s="542"/>
      <c r="HD379" s="542"/>
      <c r="HE379" s="542"/>
      <c r="HF379" s="542"/>
      <c r="HG379" s="542"/>
      <c r="HH379" s="542"/>
      <c r="HI379" s="542"/>
      <c r="HJ379" s="542"/>
      <c r="HK379" s="542"/>
      <c r="HL379" s="542"/>
      <c r="HM379" s="542"/>
      <c r="HN379" s="542"/>
      <c r="HO379" s="542"/>
      <c r="HP379" s="542"/>
      <c r="HQ379" s="542"/>
      <c r="HR379" s="542"/>
      <c r="HS379" s="542"/>
      <c r="HT379" s="542"/>
      <c r="HU379" s="542"/>
      <c r="HV379" s="542"/>
      <c r="HW379" s="542"/>
      <c r="HX379" s="542"/>
      <c r="HY379" s="542"/>
      <c r="HZ379" s="542"/>
      <c r="IA379" s="542"/>
      <c r="IB379" s="542"/>
      <c r="IC379" s="542"/>
      <c r="ID379" s="542"/>
      <c r="IE379" s="542"/>
      <c r="IF379" s="542"/>
      <c r="IG379" s="542"/>
      <c r="IH379" s="542"/>
      <c r="II379" s="542"/>
      <c r="IJ379" s="542"/>
      <c r="IK379" s="542"/>
      <c r="IL379" s="542"/>
      <c r="IM379" s="542"/>
      <c r="IN379" s="542"/>
      <c r="IO379" s="542"/>
      <c r="IP379" s="542"/>
      <c r="IQ379" s="542"/>
      <c r="IR379" s="542"/>
      <c r="IS379" s="542"/>
      <c r="IT379" s="542"/>
      <c r="IU379" s="542"/>
      <c r="IV379" s="542"/>
      <c r="IW379" s="542"/>
      <c r="IX379" s="542"/>
      <c r="IY379" s="542"/>
      <c r="IZ379" s="542"/>
      <c r="JA379" s="542"/>
      <c r="JB379" s="542"/>
    </row>
    <row r="380" spans="104:262" ht="18.899999999999999" customHeight="1">
      <c r="CZ380" s="542"/>
      <c r="DA380" s="542"/>
      <c r="DB380" s="542"/>
      <c r="DC380" s="542"/>
      <c r="DD380" s="542"/>
      <c r="DE380" s="542"/>
      <c r="DF380" s="542"/>
      <c r="DG380" s="542"/>
      <c r="DH380" s="542"/>
      <c r="DI380" s="542"/>
      <c r="DJ380" s="542"/>
      <c r="DK380" s="542"/>
      <c r="DL380" s="542"/>
      <c r="DM380" s="542"/>
      <c r="DN380" s="542"/>
      <c r="DO380" s="542"/>
      <c r="DP380" s="542"/>
      <c r="DQ380" s="542"/>
      <c r="DR380" s="542"/>
      <c r="DS380" s="542"/>
      <c r="DT380" s="542"/>
      <c r="DU380" s="542"/>
      <c r="DV380" s="542"/>
      <c r="DW380" s="542"/>
      <c r="DX380" s="542"/>
      <c r="DY380" s="542"/>
      <c r="DZ380" s="542"/>
      <c r="EA380" s="542"/>
      <c r="EB380" s="542"/>
      <c r="EC380" s="542"/>
      <c r="ED380" s="542"/>
      <c r="EE380" s="542"/>
      <c r="EF380" s="542"/>
      <c r="EG380" s="542"/>
      <c r="EH380" s="542"/>
      <c r="EI380" s="542"/>
      <c r="EJ380" s="542"/>
      <c r="EK380" s="542"/>
      <c r="EL380" s="542"/>
      <c r="EM380" s="542"/>
      <c r="EN380" s="542"/>
      <c r="EO380" s="542"/>
      <c r="EP380" s="542"/>
      <c r="EQ380" s="542"/>
      <c r="ER380" s="542"/>
      <c r="ES380" s="542"/>
      <c r="ET380" s="542"/>
      <c r="EU380" s="542"/>
      <c r="EV380" s="542"/>
      <c r="EW380" s="542"/>
      <c r="EX380" s="542"/>
      <c r="EY380" s="542"/>
      <c r="EZ380" s="542"/>
      <c r="FA380" s="542"/>
      <c r="FB380" s="542"/>
      <c r="FC380" s="542"/>
      <c r="FD380" s="542"/>
      <c r="FE380" s="542"/>
      <c r="FF380" s="542"/>
      <c r="FG380" s="542"/>
      <c r="FH380" s="542"/>
      <c r="FI380" s="542"/>
      <c r="FJ380" s="542"/>
      <c r="FK380" s="542"/>
      <c r="FL380" s="542"/>
      <c r="FM380" s="542"/>
      <c r="FN380" s="542"/>
      <c r="FO380" s="542"/>
      <c r="FP380" s="542"/>
      <c r="FQ380" s="542"/>
      <c r="FR380" s="542"/>
      <c r="FS380" s="542"/>
      <c r="FT380" s="542"/>
      <c r="FU380" s="542"/>
      <c r="FV380" s="542"/>
      <c r="FW380" s="542"/>
      <c r="FX380" s="542"/>
      <c r="FY380" s="542"/>
      <c r="FZ380" s="542"/>
      <c r="GA380" s="542"/>
      <c r="GB380" s="542"/>
      <c r="GC380" s="542"/>
      <c r="GD380" s="542"/>
      <c r="GE380" s="542"/>
      <c r="GF380" s="542"/>
      <c r="GG380" s="542"/>
      <c r="GH380" s="542"/>
      <c r="GI380" s="542"/>
      <c r="GJ380" s="542"/>
      <c r="GK380" s="542"/>
      <c r="GL380" s="542"/>
      <c r="GM380" s="542"/>
      <c r="GN380" s="542"/>
      <c r="GO380" s="542"/>
      <c r="GP380" s="542"/>
      <c r="GQ380" s="542"/>
      <c r="GR380" s="542"/>
      <c r="GS380" s="542"/>
      <c r="GT380" s="542"/>
      <c r="GU380" s="542"/>
      <c r="GV380" s="542"/>
      <c r="GW380" s="542"/>
      <c r="GX380" s="542"/>
      <c r="GY380" s="542"/>
      <c r="GZ380" s="542"/>
      <c r="HA380" s="542"/>
      <c r="HB380" s="542"/>
      <c r="HC380" s="542"/>
      <c r="HD380" s="542"/>
      <c r="HE380" s="542"/>
      <c r="HF380" s="542"/>
      <c r="HG380" s="542"/>
      <c r="HH380" s="542"/>
      <c r="HI380" s="542"/>
      <c r="HJ380" s="542"/>
      <c r="HK380" s="542"/>
      <c r="HL380" s="542"/>
      <c r="HM380" s="542"/>
      <c r="HN380" s="542"/>
      <c r="HO380" s="542"/>
      <c r="HP380" s="542"/>
      <c r="HQ380" s="542"/>
      <c r="HR380" s="542"/>
      <c r="HS380" s="542"/>
      <c r="HT380" s="542"/>
      <c r="HU380" s="542"/>
      <c r="HV380" s="542"/>
      <c r="HW380" s="542"/>
      <c r="HX380" s="542"/>
      <c r="HY380" s="542"/>
      <c r="HZ380" s="542"/>
      <c r="IA380" s="542"/>
      <c r="IB380" s="542"/>
      <c r="IC380" s="542"/>
      <c r="ID380" s="542"/>
      <c r="IE380" s="542"/>
      <c r="IF380" s="542"/>
      <c r="IG380" s="542"/>
      <c r="IH380" s="542"/>
      <c r="II380" s="542"/>
      <c r="IJ380" s="542"/>
      <c r="IK380" s="542"/>
      <c r="IL380" s="542"/>
      <c r="IM380" s="542"/>
      <c r="IN380" s="542"/>
      <c r="IO380" s="542"/>
      <c r="IP380" s="542"/>
      <c r="IQ380" s="542"/>
      <c r="IR380" s="542"/>
      <c r="IS380" s="542"/>
      <c r="IT380" s="542"/>
      <c r="IU380" s="542"/>
      <c r="IV380" s="542"/>
      <c r="IW380" s="542"/>
      <c r="IX380" s="542"/>
      <c r="IY380" s="542"/>
      <c r="IZ380" s="542"/>
      <c r="JA380" s="542"/>
      <c r="JB380" s="542"/>
    </row>
    <row r="381" spans="104:262" ht="18.899999999999999" customHeight="1">
      <c r="CZ381" s="542"/>
      <c r="DA381" s="542"/>
      <c r="DB381" s="542"/>
      <c r="DC381" s="542"/>
      <c r="DD381" s="542"/>
      <c r="DE381" s="542"/>
      <c r="DF381" s="542"/>
      <c r="DG381" s="542"/>
      <c r="DH381" s="542"/>
      <c r="DI381" s="542"/>
      <c r="DJ381" s="542"/>
      <c r="DK381" s="542"/>
      <c r="DL381" s="542"/>
      <c r="DM381" s="542"/>
      <c r="DN381" s="542"/>
      <c r="DO381" s="542"/>
      <c r="DP381" s="542"/>
      <c r="DQ381" s="542"/>
      <c r="DR381" s="542"/>
      <c r="DS381" s="542"/>
      <c r="DT381" s="542"/>
      <c r="DU381" s="542"/>
      <c r="DV381" s="542"/>
      <c r="DW381" s="542"/>
      <c r="DX381" s="542"/>
      <c r="DY381" s="542"/>
      <c r="DZ381" s="542"/>
      <c r="EA381" s="542"/>
      <c r="EB381" s="542"/>
      <c r="EC381" s="542"/>
      <c r="ED381" s="542"/>
      <c r="EE381" s="542"/>
      <c r="EF381" s="542"/>
      <c r="EG381" s="542"/>
      <c r="EH381" s="542"/>
      <c r="EI381" s="542"/>
      <c r="EJ381" s="542"/>
      <c r="EK381" s="542"/>
      <c r="EL381" s="542"/>
      <c r="EM381" s="542"/>
      <c r="EN381" s="542"/>
      <c r="EO381" s="542"/>
      <c r="EP381" s="542"/>
      <c r="EQ381" s="542"/>
      <c r="ER381" s="542"/>
      <c r="ES381" s="542"/>
      <c r="ET381" s="542"/>
      <c r="EU381" s="542"/>
      <c r="EV381" s="542"/>
      <c r="EW381" s="542"/>
      <c r="EX381" s="542"/>
      <c r="EY381" s="542"/>
      <c r="EZ381" s="542"/>
      <c r="FA381" s="542"/>
      <c r="FB381" s="542"/>
      <c r="FC381" s="542"/>
      <c r="FD381" s="542"/>
      <c r="FE381" s="542"/>
      <c r="FF381" s="542"/>
      <c r="FG381" s="542"/>
      <c r="FH381" s="542"/>
      <c r="FI381" s="542"/>
      <c r="FJ381" s="542"/>
      <c r="FK381" s="542"/>
      <c r="FL381" s="542"/>
      <c r="FM381" s="542"/>
      <c r="FN381" s="542"/>
      <c r="FO381" s="542"/>
      <c r="FP381" s="542"/>
      <c r="FQ381" s="542"/>
      <c r="FR381" s="542"/>
      <c r="FS381" s="542"/>
      <c r="FT381" s="542"/>
      <c r="FU381" s="542"/>
      <c r="FV381" s="542"/>
      <c r="FW381" s="542"/>
      <c r="FX381" s="542"/>
      <c r="FY381" s="542"/>
      <c r="FZ381" s="542"/>
      <c r="GA381" s="542"/>
      <c r="GB381" s="542"/>
      <c r="GC381" s="542"/>
      <c r="GD381" s="542"/>
      <c r="GE381" s="542"/>
      <c r="GF381" s="542"/>
      <c r="GG381" s="542"/>
      <c r="GH381" s="542"/>
      <c r="GI381" s="542"/>
      <c r="GJ381" s="542"/>
      <c r="GK381" s="542"/>
      <c r="GL381" s="542"/>
      <c r="GM381" s="542"/>
      <c r="GN381" s="542"/>
      <c r="GO381" s="542"/>
      <c r="GP381" s="542"/>
      <c r="GQ381" s="542"/>
      <c r="GR381" s="542"/>
      <c r="GS381" s="542"/>
      <c r="GT381" s="542"/>
      <c r="GU381" s="542"/>
      <c r="GV381" s="542"/>
      <c r="GW381" s="542"/>
      <c r="GX381" s="542"/>
      <c r="GY381" s="542"/>
      <c r="GZ381" s="542"/>
      <c r="HA381" s="542"/>
      <c r="HB381" s="542"/>
      <c r="HC381" s="542"/>
      <c r="HD381" s="542"/>
      <c r="HE381" s="542"/>
      <c r="HF381" s="542"/>
      <c r="HG381" s="542"/>
      <c r="HH381" s="542"/>
      <c r="HI381" s="542"/>
      <c r="HJ381" s="542"/>
      <c r="HK381" s="542"/>
      <c r="HL381" s="542"/>
      <c r="HM381" s="542"/>
      <c r="HN381" s="542"/>
      <c r="HO381" s="542"/>
      <c r="HP381" s="542"/>
      <c r="HQ381" s="542"/>
      <c r="HR381" s="542"/>
      <c r="HS381" s="542"/>
      <c r="HT381" s="542"/>
      <c r="HU381" s="542"/>
      <c r="HV381" s="542"/>
      <c r="HW381" s="542"/>
      <c r="HX381" s="542"/>
      <c r="HY381" s="542"/>
      <c r="HZ381" s="542"/>
      <c r="IA381" s="542"/>
      <c r="IB381" s="542"/>
      <c r="IC381" s="542"/>
      <c r="ID381" s="542"/>
      <c r="IE381" s="542"/>
      <c r="IF381" s="542"/>
      <c r="IG381" s="542"/>
      <c r="IH381" s="542"/>
      <c r="II381" s="542"/>
      <c r="IJ381" s="542"/>
      <c r="IK381" s="542"/>
      <c r="IL381" s="542"/>
      <c r="IM381" s="542"/>
      <c r="IN381" s="542"/>
      <c r="IO381" s="542"/>
      <c r="IP381" s="542"/>
      <c r="IQ381" s="542"/>
      <c r="IR381" s="542"/>
      <c r="IS381" s="542"/>
      <c r="IT381" s="542"/>
      <c r="IU381" s="542"/>
      <c r="IV381" s="542"/>
      <c r="IW381" s="542"/>
      <c r="IX381" s="542"/>
      <c r="IY381" s="542"/>
      <c r="IZ381" s="542"/>
      <c r="JA381" s="542"/>
      <c r="JB381" s="542"/>
    </row>
    <row r="382" spans="104:262" ht="18.899999999999999" customHeight="1">
      <c r="CZ382" s="542"/>
      <c r="DA382" s="542"/>
      <c r="DB382" s="542"/>
      <c r="DC382" s="542"/>
      <c r="DD382" s="542"/>
      <c r="DE382" s="542"/>
      <c r="DF382" s="542"/>
      <c r="DG382" s="542"/>
      <c r="DH382" s="542"/>
      <c r="DI382" s="542"/>
      <c r="DJ382" s="542"/>
      <c r="DK382" s="542"/>
      <c r="DL382" s="542"/>
      <c r="DM382" s="542"/>
      <c r="DN382" s="542"/>
      <c r="DO382" s="542"/>
      <c r="DP382" s="542"/>
      <c r="DQ382" s="542"/>
      <c r="DR382" s="542"/>
      <c r="DS382" s="542"/>
      <c r="DT382" s="542"/>
      <c r="DU382" s="542"/>
      <c r="DV382" s="542"/>
      <c r="DW382" s="542"/>
      <c r="DX382" s="542"/>
      <c r="DY382" s="542"/>
      <c r="DZ382" s="542"/>
      <c r="EA382" s="542"/>
      <c r="EB382" s="542"/>
      <c r="EC382" s="542"/>
      <c r="ED382" s="542"/>
      <c r="EE382" s="542"/>
      <c r="EF382" s="542"/>
      <c r="EG382" s="542"/>
      <c r="EH382" s="542"/>
      <c r="EI382" s="542"/>
      <c r="EJ382" s="542"/>
      <c r="EK382" s="542"/>
      <c r="EL382" s="542"/>
      <c r="EM382" s="542"/>
      <c r="EN382" s="542"/>
      <c r="EO382" s="542"/>
      <c r="EP382" s="542"/>
      <c r="EQ382" s="542"/>
      <c r="ER382" s="542"/>
      <c r="ES382" s="542"/>
      <c r="ET382" s="542"/>
      <c r="EU382" s="542"/>
      <c r="EV382" s="542"/>
      <c r="EW382" s="542"/>
      <c r="EX382" s="542"/>
      <c r="EY382" s="542"/>
      <c r="EZ382" s="542"/>
      <c r="FA382" s="542"/>
      <c r="FB382" s="542"/>
      <c r="FC382" s="542"/>
      <c r="FD382" s="542"/>
      <c r="FE382" s="542"/>
      <c r="FF382" s="542"/>
      <c r="FG382" s="542"/>
      <c r="FH382" s="542"/>
      <c r="FI382" s="542"/>
      <c r="FJ382" s="542"/>
      <c r="FK382" s="542"/>
      <c r="FL382" s="542"/>
      <c r="FM382" s="542"/>
      <c r="FN382" s="542"/>
      <c r="FO382" s="542"/>
      <c r="FP382" s="542"/>
      <c r="FQ382" s="542"/>
      <c r="FR382" s="542"/>
      <c r="FS382" s="542"/>
      <c r="FT382" s="542"/>
      <c r="FU382" s="542"/>
      <c r="FV382" s="542"/>
      <c r="FW382" s="542"/>
      <c r="FX382" s="542"/>
      <c r="FY382" s="542"/>
      <c r="FZ382" s="542"/>
      <c r="GA382" s="542"/>
      <c r="GB382" s="542"/>
      <c r="GC382" s="542"/>
      <c r="GD382" s="542"/>
      <c r="GE382" s="542"/>
      <c r="GF382" s="542"/>
      <c r="GG382" s="542"/>
      <c r="GH382" s="542"/>
      <c r="GI382" s="542"/>
      <c r="GJ382" s="542"/>
      <c r="GK382" s="542"/>
      <c r="GL382" s="542"/>
      <c r="GM382" s="542"/>
      <c r="GN382" s="542"/>
      <c r="GO382" s="542"/>
      <c r="GP382" s="542"/>
      <c r="GQ382" s="542"/>
      <c r="GR382" s="542"/>
      <c r="GS382" s="542"/>
      <c r="GT382" s="542"/>
      <c r="GU382" s="542"/>
      <c r="GV382" s="542"/>
      <c r="GW382" s="542"/>
      <c r="GX382" s="542"/>
      <c r="GY382" s="542"/>
      <c r="GZ382" s="542"/>
      <c r="HA382" s="542"/>
      <c r="HB382" s="542"/>
      <c r="HC382" s="542"/>
      <c r="HD382" s="542"/>
      <c r="HE382" s="542"/>
      <c r="HF382" s="542"/>
      <c r="HG382" s="542"/>
      <c r="HH382" s="542"/>
      <c r="HI382" s="542"/>
      <c r="HJ382" s="542"/>
      <c r="HK382" s="542"/>
      <c r="HL382" s="542"/>
      <c r="HM382" s="542"/>
      <c r="HN382" s="542"/>
      <c r="HO382" s="542"/>
      <c r="HP382" s="542"/>
      <c r="HQ382" s="542"/>
      <c r="HR382" s="542"/>
      <c r="HS382" s="542"/>
      <c r="HT382" s="542"/>
      <c r="HU382" s="542"/>
      <c r="HV382" s="542"/>
      <c r="HW382" s="542"/>
      <c r="HX382" s="542"/>
      <c r="HY382" s="542"/>
      <c r="HZ382" s="542"/>
      <c r="IA382" s="542"/>
      <c r="IB382" s="542"/>
      <c r="IC382" s="542"/>
      <c r="ID382" s="542"/>
      <c r="IE382" s="542"/>
      <c r="IF382" s="542"/>
      <c r="IG382" s="542"/>
      <c r="IH382" s="542"/>
      <c r="II382" s="542"/>
      <c r="IJ382" s="542"/>
      <c r="IK382" s="542"/>
      <c r="IL382" s="542"/>
      <c r="IM382" s="542"/>
      <c r="IN382" s="542"/>
      <c r="IO382" s="542"/>
      <c r="IP382" s="542"/>
      <c r="IQ382" s="542"/>
      <c r="IR382" s="542"/>
      <c r="IS382" s="542"/>
      <c r="IT382" s="542"/>
      <c r="IU382" s="542"/>
      <c r="IV382" s="542"/>
      <c r="IW382" s="542"/>
      <c r="IX382" s="542"/>
      <c r="IY382" s="542"/>
      <c r="IZ382" s="542"/>
      <c r="JA382" s="542"/>
      <c r="JB382" s="542"/>
    </row>
    <row r="383" spans="104:262" ht="18.899999999999999" customHeight="1">
      <c r="CZ383" s="542"/>
      <c r="DA383" s="542"/>
      <c r="DB383" s="542"/>
      <c r="DC383" s="542"/>
      <c r="DD383" s="542"/>
      <c r="DE383" s="542"/>
      <c r="DF383" s="542"/>
      <c r="DG383" s="542"/>
      <c r="DH383" s="542"/>
      <c r="DI383" s="542"/>
      <c r="DJ383" s="542"/>
      <c r="DK383" s="542"/>
      <c r="DL383" s="542"/>
      <c r="DM383" s="542"/>
      <c r="DN383" s="542"/>
      <c r="DO383" s="542"/>
      <c r="DP383" s="542"/>
      <c r="DQ383" s="542"/>
      <c r="DR383" s="542"/>
      <c r="DS383" s="542"/>
      <c r="DT383" s="542"/>
      <c r="DU383" s="542"/>
      <c r="DV383" s="542"/>
      <c r="DW383" s="542"/>
      <c r="DX383" s="542"/>
      <c r="DY383" s="542"/>
      <c r="DZ383" s="542"/>
      <c r="EA383" s="542"/>
      <c r="EB383" s="542"/>
      <c r="EC383" s="542"/>
      <c r="ED383" s="542"/>
      <c r="EE383" s="542"/>
      <c r="EF383" s="542"/>
      <c r="EG383" s="542"/>
      <c r="EH383" s="542"/>
      <c r="EI383" s="542"/>
      <c r="EJ383" s="542"/>
      <c r="EK383" s="542"/>
      <c r="EL383" s="542"/>
      <c r="EM383" s="542"/>
      <c r="EN383" s="542"/>
      <c r="EO383" s="542"/>
      <c r="EP383" s="542"/>
      <c r="EQ383" s="542"/>
      <c r="ER383" s="542"/>
      <c r="ES383" s="542"/>
      <c r="ET383" s="542"/>
      <c r="EU383" s="542"/>
      <c r="EV383" s="542"/>
      <c r="EW383" s="542"/>
      <c r="EX383" s="542"/>
      <c r="EY383" s="542"/>
      <c r="EZ383" s="542"/>
      <c r="FA383" s="542"/>
      <c r="FB383" s="542"/>
      <c r="FC383" s="542"/>
      <c r="FD383" s="542"/>
      <c r="FE383" s="542"/>
      <c r="FF383" s="542"/>
      <c r="FG383" s="542"/>
      <c r="FH383" s="542"/>
      <c r="FI383" s="542"/>
      <c r="FJ383" s="542"/>
      <c r="FK383" s="542"/>
      <c r="FL383" s="542"/>
      <c r="FM383" s="542"/>
      <c r="FN383" s="542"/>
      <c r="FO383" s="542"/>
      <c r="FP383" s="542"/>
      <c r="FQ383" s="542"/>
      <c r="FR383" s="542"/>
      <c r="FS383" s="542"/>
      <c r="FT383" s="542"/>
      <c r="FU383" s="542"/>
      <c r="FV383" s="542"/>
      <c r="FW383" s="542"/>
      <c r="FX383" s="542"/>
      <c r="FY383" s="542"/>
      <c r="FZ383" s="542"/>
      <c r="GA383" s="542"/>
      <c r="GB383" s="542"/>
      <c r="GC383" s="542"/>
      <c r="GD383" s="542"/>
      <c r="GE383" s="542"/>
      <c r="GF383" s="542"/>
      <c r="GG383" s="542"/>
      <c r="GH383" s="542"/>
      <c r="GI383" s="542"/>
      <c r="GJ383" s="542"/>
      <c r="GK383" s="542"/>
      <c r="GL383" s="542"/>
      <c r="GM383" s="542"/>
      <c r="GN383" s="542"/>
      <c r="GO383" s="542"/>
      <c r="GP383" s="542"/>
      <c r="GQ383" s="542"/>
      <c r="GR383" s="542"/>
      <c r="GS383" s="542"/>
      <c r="GT383" s="542"/>
      <c r="GU383" s="542"/>
      <c r="GV383" s="542"/>
      <c r="GW383" s="542"/>
      <c r="GX383" s="542"/>
      <c r="GY383" s="542"/>
      <c r="GZ383" s="542"/>
      <c r="HA383" s="542"/>
      <c r="HB383" s="542"/>
      <c r="HC383" s="542"/>
      <c r="HD383" s="542"/>
      <c r="HE383" s="542"/>
      <c r="HF383" s="542"/>
      <c r="HG383" s="542"/>
      <c r="HH383" s="542"/>
      <c r="HI383" s="542"/>
      <c r="HJ383" s="542"/>
      <c r="HK383" s="542"/>
      <c r="HL383" s="542"/>
      <c r="HM383" s="542"/>
      <c r="HN383" s="542"/>
      <c r="HO383" s="542"/>
      <c r="HP383" s="542"/>
      <c r="HQ383" s="542"/>
      <c r="HR383" s="542"/>
      <c r="HS383" s="542"/>
      <c r="HT383" s="542"/>
      <c r="HU383" s="542"/>
      <c r="HV383" s="542"/>
      <c r="HW383" s="542"/>
      <c r="HX383" s="542"/>
      <c r="HY383" s="542"/>
      <c r="HZ383" s="542"/>
      <c r="IA383" s="542"/>
      <c r="IB383" s="542"/>
      <c r="IC383" s="542"/>
      <c r="ID383" s="542"/>
      <c r="IE383" s="542"/>
      <c r="IF383" s="542"/>
      <c r="IG383" s="542"/>
      <c r="IH383" s="542"/>
      <c r="II383" s="542"/>
      <c r="IJ383" s="542"/>
      <c r="IK383" s="542"/>
      <c r="IL383" s="542"/>
      <c r="IM383" s="542"/>
      <c r="IN383" s="542"/>
      <c r="IO383" s="542"/>
      <c r="IP383" s="542"/>
      <c r="IQ383" s="542"/>
      <c r="IR383" s="542"/>
      <c r="IS383" s="542"/>
      <c r="IT383" s="542"/>
      <c r="IU383" s="542"/>
      <c r="IV383" s="542"/>
      <c r="IW383" s="542"/>
      <c r="IX383" s="542"/>
      <c r="IY383" s="542"/>
      <c r="IZ383" s="542"/>
      <c r="JA383" s="542"/>
      <c r="JB383" s="542"/>
    </row>
    <row r="384" spans="104:262" ht="18.899999999999999" customHeight="1">
      <c r="CZ384" s="542"/>
      <c r="DA384" s="542"/>
      <c r="DB384" s="542"/>
      <c r="DC384" s="542"/>
      <c r="DD384" s="542"/>
      <c r="DE384" s="542"/>
      <c r="DF384" s="542"/>
      <c r="DG384" s="542"/>
      <c r="DH384" s="542"/>
      <c r="DI384" s="542"/>
      <c r="DJ384" s="542"/>
      <c r="DK384" s="542"/>
      <c r="DL384" s="542"/>
      <c r="DM384" s="542"/>
      <c r="DN384" s="542"/>
      <c r="DO384" s="542"/>
      <c r="DP384" s="542"/>
      <c r="DQ384" s="542"/>
      <c r="DR384" s="542"/>
      <c r="DS384" s="542"/>
      <c r="DT384" s="542"/>
      <c r="DU384" s="542"/>
      <c r="DV384" s="542"/>
      <c r="DW384" s="542"/>
      <c r="DX384" s="542"/>
      <c r="DY384" s="542"/>
      <c r="DZ384" s="542"/>
      <c r="EA384" s="542"/>
      <c r="EB384" s="542"/>
      <c r="EC384" s="542"/>
      <c r="ED384" s="542"/>
      <c r="EE384" s="542"/>
      <c r="EF384" s="542"/>
      <c r="EG384" s="542"/>
      <c r="EH384" s="542"/>
      <c r="EI384" s="542"/>
      <c r="EJ384" s="542"/>
      <c r="EK384" s="542"/>
      <c r="EL384" s="542"/>
      <c r="EM384" s="542"/>
      <c r="EN384" s="542"/>
      <c r="EO384" s="542"/>
      <c r="EP384" s="542"/>
      <c r="EQ384" s="542"/>
      <c r="ER384" s="542"/>
      <c r="ES384" s="542"/>
      <c r="ET384" s="542"/>
      <c r="EU384" s="542"/>
      <c r="EV384" s="542"/>
      <c r="EW384" s="542"/>
      <c r="EX384" s="542"/>
      <c r="EY384" s="542"/>
      <c r="EZ384" s="542"/>
      <c r="FA384" s="542"/>
      <c r="FB384" s="542"/>
      <c r="FC384" s="542"/>
      <c r="FD384" s="542"/>
      <c r="FE384" s="542"/>
      <c r="FF384" s="542"/>
      <c r="FG384" s="542"/>
      <c r="FH384" s="542"/>
      <c r="FI384" s="542"/>
      <c r="FJ384" s="542"/>
      <c r="FK384" s="542"/>
      <c r="FL384" s="542"/>
      <c r="FM384" s="542"/>
      <c r="FN384" s="542"/>
      <c r="FO384" s="542"/>
      <c r="FP384" s="542"/>
      <c r="FQ384" s="542"/>
      <c r="FR384" s="542"/>
      <c r="FS384" s="542"/>
      <c r="FT384" s="542"/>
      <c r="FU384" s="542"/>
      <c r="FV384" s="542"/>
      <c r="FW384" s="542"/>
      <c r="FX384" s="542"/>
      <c r="FY384" s="542"/>
      <c r="FZ384" s="542"/>
      <c r="GA384" s="542"/>
      <c r="GB384" s="542"/>
      <c r="GC384" s="542"/>
      <c r="GD384" s="542"/>
      <c r="GE384" s="542"/>
      <c r="GF384" s="542"/>
      <c r="GG384" s="542"/>
      <c r="GH384" s="542"/>
      <c r="GI384" s="542"/>
      <c r="GJ384" s="542"/>
      <c r="GK384" s="542"/>
      <c r="GL384" s="542"/>
      <c r="GM384" s="542"/>
      <c r="GN384" s="542"/>
      <c r="GO384" s="542"/>
      <c r="GP384" s="542"/>
      <c r="GQ384" s="542"/>
      <c r="GR384" s="542"/>
      <c r="GS384" s="542"/>
      <c r="GT384" s="542"/>
      <c r="GU384" s="542"/>
      <c r="GV384" s="542"/>
      <c r="GW384" s="542"/>
      <c r="GX384" s="542"/>
      <c r="GY384" s="542"/>
      <c r="GZ384" s="542"/>
      <c r="HA384" s="542"/>
      <c r="HB384" s="542"/>
      <c r="HC384" s="542"/>
      <c r="HD384" s="542"/>
      <c r="HE384" s="542"/>
      <c r="HF384" s="542"/>
      <c r="HG384" s="542"/>
      <c r="HH384" s="542"/>
      <c r="HI384" s="542"/>
      <c r="HJ384" s="542"/>
      <c r="HK384" s="542"/>
      <c r="HL384" s="542"/>
      <c r="HM384" s="542"/>
      <c r="HN384" s="542"/>
      <c r="HO384" s="542"/>
      <c r="HP384" s="542"/>
      <c r="HQ384" s="542"/>
      <c r="HR384" s="542"/>
      <c r="HS384" s="542"/>
      <c r="HT384" s="542"/>
      <c r="HU384" s="542"/>
      <c r="HV384" s="542"/>
      <c r="HW384" s="542"/>
      <c r="HX384" s="542"/>
      <c r="HY384" s="542"/>
      <c r="HZ384" s="542"/>
      <c r="IA384" s="542"/>
      <c r="IB384" s="542"/>
      <c r="IC384" s="542"/>
      <c r="ID384" s="542"/>
      <c r="IE384" s="542"/>
      <c r="IF384" s="542"/>
      <c r="IG384" s="542"/>
      <c r="IH384" s="542"/>
      <c r="II384" s="542"/>
      <c r="IJ384" s="542"/>
      <c r="IK384" s="542"/>
      <c r="IL384" s="542"/>
      <c r="IM384" s="542"/>
      <c r="IN384" s="542"/>
      <c r="IO384" s="542"/>
      <c r="IP384" s="542"/>
      <c r="IQ384" s="542"/>
      <c r="IR384" s="542"/>
      <c r="IS384" s="542"/>
      <c r="IT384" s="542"/>
      <c r="IU384" s="542"/>
      <c r="IV384" s="542"/>
      <c r="IW384" s="542"/>
      <c r="IX384" s="542"/>
      <c r="IY384" s="542"/>
      <c r="IZ384" s="542"/>
      <c r="JA384" s="542"/>
      <c r="JB384" s="542"/>
    </row>
    <row r="385" spans="104:262" ht="18.899999999999999" customHeight="1">
      <c r="CZ385" s="542"/>
      <c r="DA385" s="542"/>
      <c r="DB385" s="542"/>
      <c r="DC385" s="542"/>
      <c r="DD385" s="542"/>
      <c r="DE385" s="542"/>
      <c r="DF385" s="542"/>
      <c r="DG385" s="542"/>
      <c r="DH385" s="542"/>
      <c r="DI385" s="542"/>
      <c r="DJ385" s="542"/>
      <c r="DK385" s="542"/>
      <c r="DL385" s="542"/>
      <c r="DM385" s="542"/>
      <c r="DN385" s="542"/>
      <c r="DO385" s="542"/>
      <c r="DP385" s="542"/>
      <c r="DQ385" s="542"/>
      <c r="DR385" s="542"/>
      <c r="DS385" s="542"/>
      <c r="DT385" s="542"/>
      <c r="DU385" s="542"/>
      <c r="DV385" s="542"/>
      <c r="DW385" s="542"/>
      <c r="DX385" s="542"/>
      <c r="DY385" s="542"/>
      <c r="DZ385" s="542"/>
      <c r="EA385" s="542"/>
      <c r="EB385" s="542"/>
      <c r="EC385" s="542"/>
      <c r="ED385" s="542"/>
      <c r="EE385" s="542"/>
      <c r="EF385" s="542"/>
      <c r="EG385" s="542"/>
      <c r="EH385" s="542"/>
      <c r="EI385" s="542"/>
      <c r="EJ385" s="542"/>
      <c r="EK385" s="542"/>
      <c r="EL385" s="542"/>
      <c r="EM385" s="542"/>
      <c r="EN385" s="542"/>
      <c r="EO385" s="542"/>
      <c r="EP385" s="542"/>
      <c r="EQ385" s="542"/>
      <c r="ER385" s="542"/>
      <c r="ES385" s="542"/>
      <c r="ET385" s="542"/>
      <c r="EU385" s="542"/>
      <c r="EV385" s="542"/>
      <c r="EW385" s="542"/>
      <c r="EX385" s="542"/>
      <c r="EY385" s="542"/>
      <c r="EZ385" s="542"/>
      <c r="FA385" s="542"/>
      <c r="FB385" s="542"/>
      <c r="FC385" s="542"/>
      <c r="FD385" s="542"/>
      <c r="FE385" s="542"/>
      <c r="FF385" s="542"/>
      <c r="FG385" s="542"/>
      <c r="FH385" s="542"/>
      <c r="FI385" s="542"/>
      <c r="FJ385" s="542"/>
      <c r="FK385" s="542"/>
      <c r="FL385" s="542"/>
      <c r="FM385" s="542"/>
      <c r="FN385" s="542"/>
      <c r="FO385" s="542"/>
      <c r="FP385" s="542"/>
      <c r="FQ385" s="542"/>
      <c r="FR385" s="542"/>
      <c r="FS385" s="542"/>
      <c r="FT385" s="542"/>
      <c r="FU385" s="542"/>
      <c r="FV385" s="542"/>
      <c r="FW385" s="542"/>
      <c r="FX385" s="542"/>
      <c r="FY385" s="542"/>
      <c r="FZ385" s="542"/>
      <c r="GA385" s="542"/>
      <c r="GB385" s="542"/>
      <c r="GC385" s="542"/>
      <c r="GD385" s="542"/>
      <c r="GE385" s="542"/>
      <c r="GF385" s="542"/>
      <c r="GG385" s="542"/>
      <c r="GH385" s="542"/>
      <c r="GI385" s="542"/>
      <c r="GJ385" s="542"/>
      <c r="GK385" s="542"/>
      <c r="GL385" s="542"/>
      <c r="GM385" s="542"/>
      <c r="GN385" s="542"/>
      <c r="GO385" s="542"/>
      <c r="GP385" s="542"/>
      <c r="GQ385" s="542"/>
      <c r="GR385" s="542"/>
      <c r="GS385" s="542"/>
      <c r="GT385" s="542"/>
      <c r="GU385" s="542"/>
      <c r="GV385" s="542"/>
      <c r="GW385" s="542"/>
      <c r="GX385" s="542"/>
      <c r="GY385" s="542"/>
      <c r="GZ385" s="542"/>
      <c r="HA385" s="542"/>
      <c r="HB385" s="542"/>
      <c r="HC385" s="542"/>
      <c r="HD385" s="542"/>
      <c r="HE385" s="542"/>
      <c r="HF385" s="542"/>
      <c r="HG385" s="542"/>
      <c r="HH385" s="542"/>
      <c r="HI385" s="542"/>
      <c r="HJ385" s="542"/>
      <c r="HK385" s="542"/>
      <c r="HL385" s="542"/>
      <c r="HM385" s="542"/>
      <c r="HN385" s="542"/>
      <c r="HO385" s="542"/>
      <c r="HP385" s="542"/>
      <c r="HQ385" s="542"/>
      <c r="HR385" s="542"/>
      <c r="HS385" s="542"/>
      <c r="HT385" s="542"/>
      <c r="HU385" s="542"/>
      <c r="HV385" s="542"/>
      <c r="HW385" s="542"/>
      <c r="HX385" s="542"/>
      <c r="HY385" s="542"/>
      <c r="HZ385" s="542"/>
      <c r="IA385" s="542"/>
      <c r="IB385" s="542"/>
      <c r="IC385" s="542"/>
      <c r="ID385" s="542"/>
      <c r="IE385" s="542"/>
      <c r="IF385" s="542"/>
      <c r="IG385" s="542"/>
      <c r="IH385" s="542"/>
      <c r="II385" s="542"/>
      <c r="IJ385" s="542"/>
      <c r="IK385" s="542"/>
      <c r="IL385" s="542"/>
      <c r="IM385" s="542"/>
      <c r="IN385" s="542"/>
      <c r="IO385" s="542"/>
      <c r="IP385" s="542"/>
      <c r="IQ385" s="542"/>
      <c r="IR385" s="542"/>
      <c r="IS385" s="542"/>
      <c r="IT385" s="542"/>
      <c r="IU385" s="542"/>
      <c r="IV385" s="542"/>
      <c r="IW385" s="542"/>
      <c r="IX385" s="542"/>
      <c r="IY385" s="542"/>
      <c r="IZ385" s="542"/>
      <c r="JA385" s="542"/>
      <c r="JB385" s="542"/>
    </row>
    <row r="386" spans="104:262" ht="18.899999999999999" customHeight="1">
      <c r="CZ386" s="542"/>
      <c r="DA386" s="542"/>
      <c r="DB386" s="542"/>
      <c r="DC386" s="542"/>
      <c r="DD386" s="542"/>
      <c r="DE386" s="542"/>
      <c r="DF386" s="542"/>
      <c r="DG386" s="542"/>
      <c r="DH386" s="542"/>
      <c r="DI386" s="542"/>
      <c r="DJ386" s="542"/>
      <c r="DK386" s="542"/>
      <c r="DL386" s="542"/>
      <c r="DM386" s="542"/>
      <c r="DN386" s="542"/>
      <c r="DO386" s="542"/>
      <c r="DP386" s="542"/>
      <c r="DQ386" s="542"/>
      <c r="DR386" s="542"/>
      <c r="DS386" s="542"/>
      <c r="DT386" s="542"/>
      <c r="DU386" s="542"/>
      <c r="DV386" s="542"/>
      <c r="DW386" s="542"/>
      <c r="DX386" s="542"/>
      <c r="DY386" s="542"/>
      <c r="DZ386" s="542"/>
      <c r="EA386" s="542"/>
      <c r="EB386" s="542"/>
      <c r="EC386" s="542"/>
      <c r="ED386" s="542"/>
      <c r="EE386" s="542"/>
      <c r="EF386" s="542"/>
      <c r="EG386" s="542"/>
      <c r="EH386" s="542"/>
      <c r="EI386" s="542"/>
      <c r="EJ386" s="542"/>
      <c r="EK386" s="542"/>
      <c r="EL386" s="542"/>
      <c r="EM386" s="542"/>
      <c r="EN386" s="542"/>
      <c r="EO386" s="542"/>
      <c r="EP386" s="542"/>
      <c r="EQ386" s="542"/>
      <c r="ER386" s="542"/>
      <c r="ES386" s="542"/>
      <c r="ET386" s="542"/>
      <c r="EU386" s="542"/>
      <c r="EV386" s="542"/>
      <c r="EW386" s="542"/>
      <c r="EX386" s="542"/>
      <c r="EY386" s="542"/>
      <c r="EZ386" s="542"/>
      <c r="FA386" s="542"/>
      <c r="FB386" s="542"/>
      <c r="FC386" s="542"/>
      <c r="FD386" s="542"/>
      <c r="FE386" s="542"/>
      <c r="FF386" s="542"/>
      <c r="FG386" s="542"/>
      <c r="FH386" s="542"/>
      <c r="FI386" s="542"/>
      <c r="FJ386" s="542"/>
      <c r="FK386" s="542"/>
      <c r="FL386" s="542"/>
      <c r="FM386" s="542"/>
      <c r="FN386" s="542"/>
      <c r="FO386" s="542"/>
      <c r="FP386" s="542"/>
      <c r="FQ386" s="542"/>
      <c r="FR386" s="542"/>
      <c r="FS386" s="542"/>
      <c r="FT386" s="542"/>
      <c r="FU386" s="542"/>
      <c r="FV386" s="542"/>
      <c r="FW386" s="542"/>
      <c r="FX386" s="542"/>
      <c r="FY386" s="542"/>
      <c r="FZ386" s="542"/>
      <c r="GA386" s="542"/>
      <c r="GB386" s="542"/>
      <c r="GC386" s="542"/>
      <c r="GD386" s="542"/>
      <c r="GE386" s="542"/>
      <c r="GF386" s="542"/>
      <c r="GG386" s="542"/>
      <c r="GH386" s="542"/>
      <c r="GI386" s="542"/>
      <c r="GJ386" s="542"/>
      <c r="GK386" s="542"/>
      <c r="GL386" s="542"/>
      <c r="GM386" s="542"/>
      <c r="GN386" s="542"/>
      <c r="GO386" s="542"/>
      <c r="GP386" s="542"/>
      <c r="GQ386" s="542"/>
      <c r="GR386" s="542"/>
      <c r="GS386" s="542"/>
      <c r="GT386" s="542"/>
      <c r="GU386" s="542"/>
      <c r="GV386" s="542"/>
      <c r="GW386" s="542"/>
      <c r="GX386" s="542"/>
      <c r="GY386" s="542"/>
      <c r="GZ386" s="542"/>
      <c r="HA386" s="542"/>
      <c r="HB386" s="542"/>
      <c r="HC386" s="542"/>
      <c r="HD386" s="542"/>
      <c r="HE386" s="542"/>
      <c r="HF386" s="542"/>
      <c r="HG386" s="542"/>
      <c r="HH386" s="542"/>
      <c r="HI386" s="542"/>
      <c r="HJ386" s="542"/>
      <c r="HK386" s="542"/>
      <c r="HL386" s="542"/>
      <c r="HM386" s="542"/>
      <c r="HN386" s="542"/>
      <c r="HO386" s="542"/>
      <c r="HP386" s="542"/>
      <c r="HQ386" s="542"/>
      <c r="HR386" s="542"/>
      <c r="HS386" s="542"/>
      <c r="HT386" s="542"/>
      <c r="HU386" s="542"/>
      <c r="HV386" s="542"/>
      <c r="HW386" s="542"/>
      <c r="HX386" s="542"/>
      <c r="HY386" s="542"/>
      <c r="HZ386" s="542"/>
      <c r="IA386" s="542"/>
      <c r="IB386" s="542"/>
      <c r="IC386" s="542"/>
      <c r="ID386" s="542"/>
      <c r="IE386" s="542"/>
      <c r="IF386" s="542"/>
      <c r="IG386" s="542"/>
      <c r="IH386" s="542"/>
      <c r="II386" s="542"/>
      <c r="IJ386" s="542"/>
      <c r="IK386" s="542"/>
      <c r="IL386" s="542"/>
      <c r="IM386" s="542"/>
      <c r="IN386" s="542"/>
      <c r="IO386" s="542"/>
      <c r="IP386" s="542"/>
      <c r="IQ386" s="542"/>
      <c r="IR386" s="542"/>
      <c r="IS386" s="542"/>
      <c r="IT386" s="542"/>
      <c r="IU386" s="542"/>
      <c r="IV386" s="542"/>
      <c r="IW386" s="542"/>
      <c r="IX386" s="542"/>
      <c r="IY386" s="542"/>
      <c r="IZ386" s="542"/>
      <c r="JA386" s="542"/>
      <c r="JB386" s="542"/>
    </row>
    <row r="387" spans="104:262" ht="18.899999999999999" customHeight="1">
      <c r="CZ387" s="542"/>
      <c r="DA387" s="542"/>
      <c r="DB387" s="542"/>
      <c r="DC387" s="542"/>
      <c r="DD387" s="542"/>
      <c r="DE387" s="542"/>
      <c r="DF387" s="542"/>
      <c r="DG387" s="542"/>
      <c r="DH387" s="542"/>
      <c r="DI387" s="542"/>
      <c r="DJ387" s="542"/>
      <c r="DK387" s="542"/>
      <c r="DL387" s="542"/>
      <c r="DM387" s="542"/>
      <c r="DN387" s="542"/>
      <c r="DO387" s="542"/>
      <c r="DP387" s="542"/>
      <c r="DQ387" s="542"/>
      <c r="DR387" s="542"/>
      <c r="DS387" s="542"/>
      <c r="DT387" s="542"/>
      <c r="DU387" s="542"/>
      <c r="DV387" s="542"/>
      <c r="DW387" s="542"/>
      <c r="DX387" s="542"/>
      <c r="DY387" s="542"/>
      <c r="DZ387" s="542"/>
      <c r="EA387" s="542"/>
      <c r="EB387" s="542"/>
      <c r="EC387" s="542"/>
      <c r="ED387" s="542"/>
      <c r="EE387" s="542"/>
      <c r="EF387" s="542"/>
      <c r="EG387" s="542"/>
      <c r="EH387" s="542"/>
      <c r="EI387" s="542"/>
      <c r="EJ387" s="542"/>
      <c r="EK387" s="542"/>
      <c r="EL387" s="542"/>
      <c r="EM387" s="542"/>
      <c r="EN387" s="542"/>
      <c r="EO387" s="542"/>
      <c r="EP387" s="542"/>
      <c r="EQ387" s="542"/>
      <c r="ER387" s="542"/>
      <c r="ES387" s="542"/>
      <c r="ET387" s="542"/>
      <c r="EU387" s="542"/>
      <c r="EV387" s="542"/>
      <c r="EW387" s="542"/>
      <c r="EX387" s="542"/>
      <c r="EY387" s="542"/>
      <c r="EZ387" s="542"/>
      <c r="FA387" s="542"/>
      <c r="FB387" s="542"/>
      <c r="FC387" s="542"/>
      <c r="FD387" s="542"/>
      <c r="FE387" s="542"/>
      <c r="FF387" s="542"/>
      <c r="FG387" s="542"/>
      <c r="FH387" s="542"/>
      <c r="FI387" s="542"/>
      <c r="FJ387" s="542"/>
      <c r="FK387" s="542"/>
      <c r="FL387" s="542"/>
      <c r="FM387" s="542"/>
      <c r="FN387" s="542"/>
      <c r="FO387" s="542"/>
      <c r="FP387" s="542"/>
      <c r="FQ387" s="542"/>
      <c r="FR387" s="542"/>
      <c r="FS387" s="542"/>
      <c r="FT387" s="542"/>
      <c r="FU387" s="542"/>
      <c r="FV387" s="542"/>
      <c r="FW387" s="542"/>
      <c r="FX387" s="542"/>
      <c r="FY387" s="542"/>
      <c r="FZ387" s="542"/>
      <c r="GA387" s="542"/>
      <c r="GB387" s="542"/>
      <c r="GC387" s="542"/>
      <c r="GD387" s="542"/>
      <c r="GE387" s="542"/>
      <c r="GF387" s="542"/>
      <c r="GG387" s="542"/>
      <c r="GH387" s="542"/>
      <c r="GI387" s="542"/>
      <c r="GJ387" s="542"/>
      <c r="GK387" s="542"/>
      <c r="GL387" s="542"/>
      <c r="GM387" s="542"/>
      <c r="GN387" s="542"/>
      <c r="GO387" s="542"/>
      <c r="GP387" s="542"/>
      <c r="GQ387" s="542"/>
      <c r="GR387" s="542"/>
      <c r="GS387" s="542"/>
      <c r="GT387" s="542"/>
      <c r="GU387" s="542"/>
      <c r="GV387" s="542"/>
      <c r="GW387" s="542"/>
      <c r="GX387" s="542"/>
      <c r="GY387" s="542"/>
      <c r="GZ387" s="542"/>
      <c r="HA387" s="542"/>
      <c r="HB387" s="542"/>
      <c r="HC387" s="542"/>
      <c r="HD387" s="542"/>
      <c r="HE387" s="542"/>
      <c r="HF387" s="542"/>
      <c r="HG387" s="542"/>
      <c r="HH387" s="542"/>
      <c r="HI387" s="542"/>
      <c r="HJ387" s="542"/>
      <c r="HK387" s="542"/>
      <c r="HL387" s="542"/>
      <c r="HM387" s="542"/>
      <c r="HN387" s="542"/>
      <c r="HO387" s="542"/>
      <c r="HP387" s="542"/>
      <c r="HQ387" s="542"/>
      <c r="HR387" s="542"/>
      <c r="HS387" s="542"/>
      <c r="HT387" s="542"/>
      <c r="HU387" s="542"/>
      <c r="HV387" s="542"/>
      <c r="HW387" s="542"/>
      <c r="HX387" s="542"/>
      <c r="HY387" s="542"/>
      <c r="HZ387" s="542"/>
      <c r="IA387" s="542"/>
      <c r="IB387" s="542"/>
      <c r="IC387" s="542"/>
      <c r="ID387" s="542"/>
      <c r="IE387" s="542"/>
      <c r="IF387" s="542"/>
      <c r="IG387" s="542"/>
      <c r="IH387" s="542"/>
      <c r="II387" s="542"/>
      <c r="IJ387" s="542"/>
      <c r="IK387" s="542"/>
      <c r="IL387" s="542"/>
      <c r="IM387" s="542"/>
      <c r="IN387" s="542"/>
      <c r="IO387" s="542"/>
      <c r="IP387" s="542"/>
      <c r="IQ387" s="542"/>
      <c r="IR387" s="542"/>
      <c r="IS387" s="542"/>
      <c r="IT387" s="542"/>
      <c r="IU387" s="542"/>
      <c r="IV387" s="542"/>
      <c r="IW387" s="542"/>
      <c r="IX387" s="542"/>
      <c r="IY387" s="542"/>
      <c r="IZ387" s="542"/>
      <c r="JA387" s="542"/>
      <c r="JB387" s="542"/>
    </row>
    <row r="388" spans="104:262" ht="18.899999999999999" customHeight="1">
      <c r="CZ388" s="542"/>
      <c r="DA388" s="542"/>
      <c r="DB388" s="542"/>
      <c r="DC388" s="542"/>
      <c r="DD388" s="542"/>
      <c r="DE388" s="542"/>
      <c r="DF388" s="542"/>
      <c r="DG388" s="542"/>
      <c r="DH388" s="542"/>
      <c r="DI388" s="542"/>
      <c r="DJ388" s="542"/>
      <c r="DK388" s="542"/>
      <c r="DL388" s="542"/>
      <c r="DM388" s="542"/>
      <c r="DN388" s="542"/>
      <c r="DO388" s="542"/>
      <c r="DP388" s="542"/>
      <c r="DQ388" s="542"/>
      <c r="DR388" s="542"/>
      <c r="DS388" s="542"/>
      <c r="DT388" s="542"/>
      <c r="DU388" s="542"/>
      <c r="DV388" s="542"/>
      <c r="DW388" s="542"/>
      <c r="DX388" s="542"/>
      <c r="DY388" s="542"/>
      <c r="DZ388" s="542"/>
      <c r="EA388" s="542"/>
      <c r="EB388" s="542"/>
      <c r="EC388" s="542"/>
      <c r="ED388" s="542"/>
      <c r="EE388" s="542"/>
      <c r="EF388" s="542"/>
      <c r="EG388" s="542"/>
      <c r="EH388" s="542"/>
      <c r="EI388" s="542"/>
      <c r="EJ388" s="542"/>
      <c r="EK388" s="542"/>
      <c r="EL388" s="542"/>
      <c r="EM388" s="542"/>
      <c r="EN388" s="542"/>
      <c r="EO388" s="542"/>
      <c r="EP388" s="542"/>
      <c r="EQ388" s="542"/>
      <c r="ER388" s="542"/>
      <c r="ES388" s="542"/>
      <c r="ET388" s="542"/>
      <c r="EU388" s="542"/>
      <c r="EV388" s="542"/>
      <c r="EW388" s="542"/>
      <c r="EX388" s="542"/>
      <c r="EY388" s="542"/>
      <c r="EZ388" s="542"/>
      <c r="FA388" s="542"/>
      <c r="FB388" s="542"/>
      <c r="FC388" s="542"/>
      <c r="FD388" s="542"/>
      <c r="FE388" s="542"/>
      <c r="FF388" s="542"/>
      <c r="FG388" s="542"/>
      <c r="FH388" s="542"/>
      <c r="FI388" s="542"/>
      <c r="FJ388" s="542"/>
      <c r="FK388" s="542"/>
      <c r="FL388" s="542"/>
      <c r="FM388" s="542"/>
      <c r="FN388" s="542"/>
      <c r="FO388" s="542"/>
      <c r="FP388" s="542"/>
      <c r="FQ388" s="542"/>
      <c r="FR388" s="542"/>
      <c r="FS388" s="542"/>
      <c r="FT388" s="542"/>
      <c r="FU388" s="542"/>
      <c r="FV388" s="542"/>
      <c r="FW388" s="542"/>
      <c r="FX388" s="542"/>
      <c r="FY388" s="542"/>
      <c r="FZ388" s="542"/>
      <c r="GA388" s="542"/>
      <c r="GB388" s="542"/>
      <c r="GC388" s="542"/>
      <c r="GD388" s="542"/>
      <c r="GE388" s="542"/>
      <c r="GF388" s="542"/>
      <c r="GG388" s="542"/>
      <c r="GH388" s="542"/>
      <c r="GI388" s="542"/>
      <c r="GJ388" s="542"/>
      <c r="GK388" s="542"/>
      <c r="GL388" s="542"/>
      <c r="GM388" s="542"/>
      <c r="GN388" s="542"/>
      <c r="GO388" s="542"/>
      <c r="GP388" s="542"/>
      <c r="GQ388" s="542"/>
      <c r="GR388" s="542"/>
      <c r="GS388" s="542"/>
      <c r="GT388" s="542"/>
      <c r="GU388" s="542"/>
      <c r="GV388" s="542"/>
      <c r="GW388" s="542"/>
      <c r="GX388" s="542"/>
      <c r="GY388" s="542"/>
      <c r="GZ388" s="542"/>
      <c r="HA388" s="542"/>
      <c r="HB388" s="542"/>
      <c r="HC388" s="542"/>
      <c r="HD388" s="542"/>
      <c r="HE388" s="542"/>
      <c r="HF388" s="542"/>
      <c r="HG388" s="542"/>
      <c r="HH388" s="542"/>
      <c r="HI388" s="542"/>
      <c r="HJ388" s="542"/>
      <c r="HK388" s="542"/>
      <c r="HL388" s="542"/>
      <c r="HM388" s="542"/>
      <c r="HN388" s="542"/>
      <c r="HO388" s="542"/>
      <c r="HP388" s="542"/>
      <c r="HQ388" s="542"/>
      <c r="HR388" s="542"/>
      <c r="HS388" s="542"/>
      <c r="HT388" s="542"/>
      <c r="HU388" s="542"/>
      <c r="HV388" s="542"/>
      <c r="HW388" s="542"/>
      <c r="HX388" s="542"/>
      <c r="HY388" s="542"/>
      <c r="HZ388" s="542"/>
      <c r="IA388" s="542"/>
      <c r="IB388" s="542"/>
      <c r="IC388" s="542"/>
      <c r="ID388" s="542"/>
      <c r="IE388" s="542"/>
      <c r="IF388" s="542"/>
      <c r="IG388" s="542"/>
      <c r="IH388" s="542"/>
      <c r="II388" s="542"/>
      <c r="IJ388" s="542"/>
      <c r="IK388" s="542"/>
      <c r="IL388" s="542"/>
      <c r="IM388" s="542"/>
      <c r="IN388" s="542"/>
      <c r="IO388" s="542"/>
      <c r="IP388" s="542"/>
      <c r="IQ388" s="542"/>
      <c r="IR388" s="542"/>
      <c r="IS388" s="542"/>
      <c r="IT388" s="542"/>
      <c r="IU388" s="542"/>
      <c r="IV388" s="542"/>
      <c r="IW388" s="542"/>
      <c r="IX388" s="542"/>
      <c r="IY388" s="542"/>
      <c r="IZ388" s="542"/>
      <c r="JA388" s="542"/>
      <c r="JB388" s="542"/>
    </row>
    <row r="389" spans="104:262" ht="18.899999999999999" customHeight="1">
      <c r="CZ389" s="542"/>
      <c r="DA389" s="542"/>
      <c r="DB389" s="542"/>
      <c r="DC389" s="542"/>
      <c r="DD389" s="542"/>
      <c r="DE389" s="542"/>
      <c r="DF389" s="542"/>
      <c r="DG389" s="542"/>
      <c r="DH389" s="542"/>
      <c r="DI389" s="542"/>
      <c r="DJ389" s="542"/>
      <c r="DK389" s="542"/>
      <c r="DL389" s="542"/>
      <c r="DM389" s="542"/>
      <c r="DN389" s="542"/>
      <c r="DO389" s="542"/>
      <c r="DP389" s="542"/>
      <c r="DQ389" s="542"/>
      <c r="DR389" s="542"/>
      <c r="DS389" s="542"/>
      <c r="DT389" s="542"/>
      <c r="DU389" s="542"/>
      <c r="DV389" s="542"/>
      <c r="DW389" s="542"/>
      <c r="DX389" s="542"/>
      <c r="DY389" s="542"/>
      <c r="DZ389" s="542"/>
      <c r="EA389" s="542"/>
      <c r="EB389" s="542"/>
      <c r="EC389" s="542"/>
      <c r="ED389" s="542"/>
      <c r="EE389" s="542"/>
      <c r="EF389" s="542"/>
      <c r="EG389" s="542"/>
      <c r="EH389" s="542"/>
      <c r="EI389" s="542"/>
      <c r="EJ389" s="542"/>
      <c r="EK389" s="542"/>
      <c r="EL389" s="542"/>
      <c r="EM389" s="542"/>
      <c r="EN389" s="542"/>
      <c r="EO389" s="542"/>
      <c r="EP389" s="542"/>
      <c r="EQ389" s="542"/>
      <c r="ER389" s="542"/>
      <c r="ES389" s="542"/>
      <c r="ET389" s="542"/>
      <c r="EU389" s="542"/>
      <c r="EV389" s="542"/>
      <c r="EW389" s="542"/>
      <c r="EX389" s="542"/>
      <c r="EY389" s="542"/>
      <c r="EZ389" s="542"/>
      <c r="FA389" s="542"/>
      <c r="FB389" s="542"/>
      <c r="FC389" s="542"/>
      <c r="FD389" s="542"/>
      <c r="FE389" s="542"/>
      <c r="FF389" s="542"/>
      <c r="FG389" s="542"/>
      <c r="FH389" s="542"/>
      <c r="FI389" s="542"/>
      <c r="FJ389" s="542"/>
      <c r="FK389" s="542"/>
      <c r="FL389" s="542"/>
      <c r="FM389" s="542"/>
      <c r="FN389" s="542"/>
      <c r="FO389" s="542"/>
      <c r="FP389" s="542"/>
      <c r="FQ389" s="542"/>
      <c r="FR389" s="542"/>
      <c r="FS389" s="542"/>
      <c r="FT389" s="542"/>
      <c r="FU389" s="542"/>
      <c r="FV389" s="542"/>
      <c r="FW389" s="542"/>
      <c r="FX389" s="542"/>
      <c r="FY389" s="542"/>
      <c r="FZ389" s="542"/>
      <c r="GA389" s="542"/>
      <c r="GB389" s="542"/>
      <c r="GC389" s="542"/>
      <c r="GD389" s="542"/>
      <c r="GE389" s="542"/>
      <c r="GF389" s="542"/>
      <c r="GG389" s="542"/>
      <c r="GH389" s="542"/>
      <c r="GI389" s="542"/>
      <c r="GJ389" s="542"/>
      <c r="GK389" s="542"/>
      <c r="GL389" s="542"/>
      <c r="GM389" s="542"/>
      <c r="GN389" s="542"/>
      <c r="GO389" s="542"/>
      <c r="GP389" s="542"/>
      <c r="GQ389" s="542"/>
      <c r="GR389" s="542"/>
      <c r="GS389" s="542"/>
      <c r="GT389" s="542"/>
      <c r="GU389" s="542"/>
      <c r="GV389" s="542"/>
      <c r="GW389" s="542"/>
      <c r="GX389" s="542"/>
      <c r="GY389" s="542"/>
      <c r="GZ389" s="542"/>
      <c r="HA389" s="542"/>
      <c r="HB389" s="542"/>
      <c r="HC389" s="542"/>
      <c r="HD389" s="542"/>
      <c r="HE389" s="542"/>
      <c r="HF389" s="542"/>
      <c r="HG389" s="542"/>
      <c r="HH389" s="542"/>
      <c r="HI389" s="542"/>
      <c r="HJ389" s="542"/>
      <c r="HK389" s="542"/>
      <c r="HL389" s="542"/>
      <c r="HM389" s="542"/>
      <c r="HN389" s="542"/>
      <c r="HO389" s="542"/>
      <c r="HP389" s="542"/>
      <c r="HQ389" s="542"/>
      <c r="HR389" s="542"/>
      <c r="HS389" s="542"/>
      <c r="HT389" s="542"/>
      <c r="HU389" s="542"/>
      <c r="HV389" s="542"/>
      <c r="HW389" s="542"/>
      <c r="HX389" s="542"/>
      <c r="HY389" s="542"/>
      <c r="HZ389" s="542"/>
      <c r="IA389" s="542"/>
      <c r="IB389" s="542"/>
      <c r="IC389" s="542"/>
      <c r="ID389" s="542"/>
      <c r="IE389" s="542"/>
      <c r="IF389" s="542"/>
      <c r="IG389" s="542"/>
      <c r="IH389" s="542"/>
      <c r="II389" s="542"/>
      <c r="IJ389" s="542"/>
      <c r="IK389" s="542"/>
      <c r="IL389" s="542"/>
      <c r="IM389" s="542"/>
      <c r="IN389" s="542"/>
      <c r="IO389" s="542"/>
      <c r="IP389" s="542"/>
      <c r="IQ389" s="542"/>
      <c r="IR389" s="542"/>
      <c r="IS389" s="542"/>
      <c r="IT389" s="542"/>
      <c r="IU389" s="542"/>
      <c r="IV389" s="542"/>
      <c r="IW389" s="542"/>
      <c r="IX389" s="542"/>
      <c r="IY389" s="542"/>
      <c r="IZ389" s="542"/>
      <c r="JA389" s="542"/>
      <c r="JB389" s="542"/>
    </row>
    <row r="390" spans="104:262" ht="18.899999999999999" customHeight="1">
      <c r="CZ390" s="542"/>
      <c r="DA390" s="542"/>
      <c r="DB390" s="542"/>
      <c r="DC390" s="542"/>
      <c r="DD390" s="542"/>
      <c r="DE390" s="542"/>
      <c r="DF390" s="542"/>
      <c r="DG390" s="542"/>
      <c r="DH390" s="542"/>
      <c r="DI390" s="542"/>
      <c r="DJ390" s="542"/>
      <c r="DK390" s="542"/>
      <c r="DL390" s="542"/>
      <c r="DM390" s="542"/>
      <c r="DN390" s="542"/>
      <c r="DO390" s="542"/>
      <c r="DP390" s="542"/>
      <c r="DQ390" s="542"/>
      <c r="DR390" s="542"/>
      <c r="DS390" s="542"/>
      <c r="DT390" s="542"/>
      <c r="DU390" s="542"/>
      <c r="DV390" s="542"/>
      <c r="DW390" s="542"/>
      <c r="DX390" s="542"/>
      <c r="DY390" s="542"/>
      <c r="DZ390" s="542"/>
      <c r="EA390" s="542"/>
      <c r="EB390" s="542"/>
      <c r="EC390" s="542"/>
      <c r="ED390" s="542"/>
      <c r="EE390" s="542"/>
      <c r="EF390" s="542"/>
      <c r="EG390" s="542"/>
      <c r="EH390" s="542"/>
      <c r="EI390" s="542"/>
      <c r="EJ390" s="542"/>
      <c r="EK390" s="542"/>
      <c r="EL390" s="542"/>
      <c r="EM390" s="542"/>
      <c r="EN390" s="542"/>
      <c r="EO390" s="542"/>
      <c r="EP390" s="542"/>
      <c r="EQ390" s="542"/>
      <c r="ER390" s="542"/>
      <c r="ES390" s="542"/>
      <c r="ET390" s="542"/>
      <c r="EU390" s="542"/>
      <c r="EV390" s="542"/>
      <c r="EW390" s="542"/>
      <c r="EX390" s="542"/>
      <c r="EY390" s="542"/>
      <c r="EZ390" s="542"/>
      <c r="FA390" s="542"/>
      <c r="FB390" s="542"/>
      <c r="FC390" s="542"/>
      <c r="FD390" s="542"/>
      <c r="FE390" s="542"/>
      <c r="FF390" s="542"/>
      <c r="FG390" s="542"/>
      <c r="FH390" s="542"/>
      <c r="FI390" s="542"/>
      <c r="FJ390" s="542"/>
      <c r="FK390" s="542"/>
      <c r="FL390" s="542"/>
      <c r="FM390" s="542"/>
      <c r="FN390" s="542"/>
      <c r="FO390" s="542"/>
      <c r="FP390" s="542"/>
      <c r="FQ390" s="542"/>
      <c r="FR390" s="542"/>
      <c r="FS390" s="542"/>
      <c r="FT390" s="542"/>
      <c r="FU390" s="542"/>
      <c r="FV390" s="542"/>
      <c r="FW390" s="542"/>
      <c r="FX390" s="542"/>
      <c r="FY390" s="542"/>
      <c r="FZ390" s="542"/>
      <c r="GA390" s="542"/>
      <c r="GB390" s="542"/>
      <c r="GC390" s="542"/>
      <c r="GD390" s="542"/>
      <c r="GE390" s="542"/>
      <c r="GF390" s="542"/>
      <c r="GG390" s="542"/>
      <c r="GH390" s="542"/>
      <c r="GI390" s="542"/>
      <c r="GJ390" s="542"/>
      <c r="GK390" s="542"/>
      <c r="GL390" s="542"/>
      <c r="GM390" s="542"/>
      <c r="GN390" s="542"/>
      <c r="GO390" s="542"/>
      <c r="GP390" s="542"/>
      <c r="GQ390" s="542"/>
      <c r="GR390" s="542"/>
      <c r="GS390" s="542"/>
      <c r="GT390" s="542"/>
      <c r="GU390" s="542"/>
      <c r="GV390" s="542"/>
      <c r="GW390" s="542"/>
      <c r="GX390" s="542"/>
      <c r="GY390" s="542"/>
      <c r="GZ390" s="542"/>
      <c r="HA390" s="542"/>
      <c r="HB390" s="542"/>
      <c r="HC390" s="542"/>
      <c r="HD390" s="542"/>
      <c r="HE390" s="542"/>
      <c r="HF390" s="542"/>
      <c r="HG390" s="542"/>
      <c r="HH390" s="542"/>
      <c r="HI390" s="542"/>
      <c r="HJ390" s="542"/>
      <c r="HK390" s="542"/>
      <c r="HL390" s="542"/>
      <c r="HM390" s="542"/>
      <c r="HN390" s="542"/>
      <c r="HO390" s="542"/>
      <c r="HP390" s="542"/>
      <c r="HQ390" s="542"/>
      <c r="HR390" s="542"/>
      <c r="HS390" s="542"/>
      <c r="HT390" s="542"/>
      <c r="HU390" s="542"/>
      <c r="HV390" s="542"/>
      <c r="HW390" s="542"/>
      <c r="HX390" s="542"/>
      <c r="HY390" s="542"/>
      <c r="HZ390" s="542"/>
      <c r="IA390" s="542"/>
      <c r="IB390" s="542"/>
      <c r="IC390" s="542"/>
      <c r="ID390" s="542"/>
      <c r="IE390" s="542"/>
      <c r="IF390" s="542"/>
      <c r="IG390" s="542"/>
      <c r="IH390" s="542"/>
      <c r="II390" s="542"/>
      <c r="IJ390" s="542"/>
      <c r="IK390" s="542"/>
      <c r="IL390" s="542"/>
      <c r="IM390" s="542"/>
      <c r="IN390" s="542"/>
      <c r="IO390" s="542"/>
      <c r="IP390" s="542"/>
      <c r="IQ390" s="542"/>
      <c r="IR390" s="542"/>
      <c r="IS390" s="542"/>
      <c r="IT390" s="542"/>
      <c r="IU390" s="542"/>
      <c r="IV390" s="542"/>
      <c r="IW390" s="542"/>
      <c r="IX390" s="542"/>
      <c r="IY390" s="542"/>
      <c r="IZ390" s="542"/>
      <c r="JA390" s="542"/>
      <c r="JB390" s="542"/>
    </row>
    <row r="391" spans="104:262" ht="18.899999999999999" customHeight="1">
      <c r="CZ391" s="542"/>
      <c r="DA391" s="542"/>
      <c r="DB391" s="542"/>
      <c r="DC391" s="542"/>
      <c r="DD391" s="542"/>
      <c r="DE391" s="542"/>
      <c r="DF391" s="542"/>
      <c r="DG391" s="542"/>
      <c r="DH391" s="542"/>
      <c r="DI391" s="542"/>
      <c r="DJ391" s="542"/>
      <c r="DK391" s="542"/>
      <c r="DL391" s="542"/>
      <c r="DM391" s="542"/>
      <c r="DN391" s="542"/>
      <c r="DO391" s="542"/>
      <c r="DP391" s="542"/>
      <c r="DQ391" s="542"/>
      <c r="DR391" s="542"/>
      <c r="DS391" s="542"/>
      <c r="DT391" s="542"/>
      <c r="DU391" s="542"/>
      <c r="DV391" s="542"/>
      <c r="DW391" s="542"/>
      <c r="DX391" s="542"/>
      <c r="DY391" s="542"/>
      <c r="DZ391" s="542"/>
      <c r="EA391" s="542"/>
      <c r="EB391" s="542"/>
      <c r="EC391" s="542"/>
      <c r="ED391" s="542"/>
      <c r="EE391" s="542"/>
      <c r="EF391" s="542"/>
      <c r="EG391" s="542"/>
      <c r="EH391" s="542"/>
      <c r="EI391" s="542"/>
      <c r="EJ391" s="542"/>
      <c r="EK391" s="542"/>
      <c r="EL391" s="542"/>
      <c r="EM391" s="542"/>
      <c r="EN391" s="542"/>
      <c r="EO391" s="542"/>
      <c r="EP391" s="542"/>
      <c r="EQ391" s="542"/>
      <c r="ER391" s="542"/>
      <c r="ES391" s="542"/>
      <c r="ET391" s="542"/>
      <c r="EU391" s="542"/>
      <c r="EV391" s="542"/>
      <c r="EW391" s="542"/>
      <c r="EX391" s="542"/>
      <c r="EY391" s="542"/>
      <c r="EZ391" s="542"/>
      <c r="FA391" s="542"/>
      <c r="FB391" s="542"/>
      <c r="FC391" s="542"/>
      <c r="FD391" s="542"/>
      <c r="FE391" s="542"/>
      <c r="FF391" s="542"/>
      <c r="FG391" s="542"/>
      <c r="FH391" s="542"/>
      <c r="FI391" s="542"/>
      <c r="FJ391" s="542"/>
      <c r="FK391" s="542"/>
      <c r="FL391" s="542"/>
      <c r="FM391" s="542"/>
      <c r="FN391" s="542"/>
      <c r="FO391" s="542"/>
      <c r="FP391" s="542"/>
      <c r="FQ391" s="542"/>
      <c r="FR391" s="542"/>
      <c r="FS391" s="542"/>
      <c r="FT391" s="542"/>
      <c r="FU391" s="542"/>
      <c r="FV391" s="542"/>
      <c r="FW391" s="542"/>
      <c r="FX391" s="542"/>
      <c r="FY391" s="542"/>
      <c r="FZ391" s="542"/>
      <c r="GA391" s="542"/>
      <c r="GB391" s="542"/>
      <c r="GC391" s="542"/>
      <c r="GD391" s="542"/>
      <c r="GE391" s="542"/>
      <c r="GF391" s="542"/>
      <c r="GG391" s="542"/>
      <c r="GH391" s="542"/>
      <c r="GI391" s="542"/>
      <c r="GJ391" s="542"/>
      <c r="GK391" s="542"/>
      <c r="GL391" s="542"/>
      <c r="GM391" s="542"/>
      <c r="GN391" s="542"/>
      <c r="GO391" s="542"/>
      <c r="GP391" s="542"/>
      <c r="GQ391" s="542"/>
      <c r="GR391" s="542"/>
      <c r="GS391" s="542"/>
      <c r="GT391" s="542"/>
      <c r="GU391" s="542"/>
      <c r="GV391" s="542"/>
      <c r="GW391" s="542"/>
      <c r="GX391" s="542"/>
      <c r="GY391" s="542"/>
      <c r="GZ391" s="542"/>
      <c r="HA391" s="542"/>
      <c r="HB391" s="542"/>
      <c r="HC391" s="542"/>
      <c r="HD391" s="542"/>
      <c r="HE391" s="542"/>
      <c r="HF391" s="542"/>
      <c r="HG391" s="542"/>
      <c r="HH391" s="542"/>
      <c r="HI391" s="542"/>
      <c r="HJ391" s="542"/>
      <c r="HK391" s="542"/>
      <c r="HL391" s="542"/>
      <c r="HM391" s="542"/>
      <c r="HN391" s="542"/>
      <c r="HO391" s="542"/>
      <c r="HP391" s="542"/>
      <c r="HQ391" s="542"/>
      <c r="HR391" s="542"/>
      <c r="HS391" s="542"/>
      <c r="HT391" s="542"/>
      <c r="HU391" s="542"/>
      <c r="HV391" s="542"/>
      <c r="HW391" s="542"/>
      <c r="HX391" s="542"/>
      <c r="HY391" s="542"/>
      <c r="HZ391" s="542"/>
      <c r="IA391" s="542"/>
      <c r="IB391" s="542"/>
      <c r="IC391" s="542"/>
      <c r="ID391" s="542"/>
      <c r="IE391" s="542"/>
      <c r="IF391" s="542"/>
      <c r="IG391" s="542"/>
      <c r="IH391" s="542"/>
      <c r="II391" s="542"/>
      <c r="IJ391" s="542"/>
      <c r="IK391" s="542"/>
      <c r="IL391" s="542"/>
      <c r="IM391" s="542"/>
      <c r="IN391" s="542"/>
      <c r="IO391" s="542"/>
      <c r="IP391" s="542"/>
      <c r="IQ391" s="542"/>
      <c r="IR391" s="542"/>
      <c r="IS391" s="542"/>
      <c r="IT391" s="542"/>
      <c r="IU391" s="542"/>
      <c r="IV391" s="542"/>
      <c r="IW391" s="542"/>
      <c r="IX391" s="542"/>
      <c r="IY391" s="542"/>
      <c r="IZ391" s="542"/>
      <c r="JA391" s="542"/>
      <c r="JB391" s="542"/>
    </row>
    <row r="392" spans="104:262" ht="18.899999999999999" customHeight="1">
      <c r="CZ392" s="542"/>
      <c r="DA392" s="542"/>
      <c r="DB392" s="542"/>
      <c r="DC392" s="542"/>
      <c r="DD392" s="542"/>
      <c r="DE392" s="542"/>
      <c r="DF392" s="542"/>
      <c r="DG392" s="542"/>
      <c r="DH392" s="542"/>
      <c r="DI392" s="542"/>
      <c r="DJ392" s="542"/>
      <c r="DK392" s="542"/>
      <c r="DL392" s="542"/>
      <c r="DM392" s="542"/>
      <c r="DN392" s="542"/>
      <c r="DO392" s="542"/>
      <c r="DP392" s="542"/>
      <c r="DQ392" s="542"/>
      <c r="DR392" s="542"/>
      <c r="DS392" s="542"/>
      <c r="DT392" s="542"/>
      <c r="DU392" s="542"/>
      <c r="DV392" s="542"/>
      <c r="DW392" s="542"/>
      <c r="DX392" s="542"/>
      <c r="DY392" s="542"/>
      <c r="DZ392" s="542"/>
      <c r="EA392" s="542"/>
      <c r="EB392" s="542"/>
      <c r="EC392" s="542"/>
      <c r="ED392" s="542"/>
      <c r="EE392" s="542"/>
      <c r="EF392" s="542"/>
      <c r="EG392" s="542"/>
      <c r="EH392" s="542"/>
      <c r="EI392" s="542"/>
      <c r="EJ392" s="542"/>
      <c r="EK392" s="542"/>
      <c r="EL392" s="542"/>
      <c r="EM392" s="542"/>
      <c r="EN392" s="542"/>
      <c r="EO392" s="542"/>
      <c r="EP392" s="542"/>
      <c r="EQ392" s="542"/>
      <c r="ER392" s="542"/>
      <c r="ES392" s="542"/>
      <c r="ET392" s="542"/>
      <c r="EU392" s="542"/>
      <c r="EV392" s="542"/>
      <c r="EW392" s="542"/>
      <c r="EX392" s="542"/>
      <c r="EY392" s="542"/>
      <c r="EZ392" s="542"/>
      <c r="FA392" s="542"/>
      <c r="FB392" s="542"/>
      <c r="FC392" s="542"/>
      <c r="FD392" s="542"/>
      <c r="FE392" s="542"/>
      <c r="FF392" s="542"/>
      <c r="FG392" s="542"/>
      <c r="FH392" s="542"/>
      <c r="FI392" s="542"/>
      <c r="FJ392" s="542"/>
      <c r="FK392" s="542"/>
      <c r="FL392" s="542"/>
      <c r="FM392" s="542"/>
      <c r="FN392" s="542"/>
      <c r="FO392" s="542"/>
      <c r="FP392" s="542"/>
      <c r="FQ392" s="542"/>
      <c r="FR392" s="542"/>
      <c r="FS392" s="542"/>
      <c r="FT392" s="542"/>
      <c r="FU392" s="542"/>
      <c r="FV392" s="542"/>
      <c r="FW392" s="542"/>
      <c r="FX392" s="542"/>
      <c r="FY392" s="542"/>
      <c r="FZ392" s="542"/>
      <c r="GA392" s="542"/>
      <c r="GB392" s="542"/>
      <c r="GC392" s="542"/>
      <c r="GD392" s="542"/>
      <c r="GE392" s="542"/>
      <c r="GF392" s="542"/>
      <c r="GG392" s="542"/>
      <c r="GH392" s="542"/>
      <c r="GI392" s="542"/>
      <c r="GJ392" s="542"/>
      <c r="GK392" s="542"/>
      <c r="GL392" s="542"/>
      <c r="GM392" s="542"/>
      <c r="GN392" s="542"/>
      <c r="GO392" s="542"/>
      <c r="GP392" s="542"/>
      <c r="GQ392" s="542"/>
      <c r="GR392" s="542"/>
      <c r="GS392" s="542"/>
      <c r="GT392" s="542"/>
      <c r="GU392" s="542"/>
      <c r="GV392" s="542"/>
      <c r="GW392" s="542"/>
      <c r="GX392" s="542"/>
      <c r="GY392" s="542"/>
      <c r="GZ392" s="542"/>
      <c r="HA392" s="542"/>
      <c r="HB392" s="542"/>
      <c r="HC392" s="542"/>
      <c r="HD392" s="542"/>
      <c r="HE392" s="542"/>
      <c r="HF392" s="542"/>
      <c r="HG392" s="542"/>
      <c r="HH392" s="542"/>
      <c r="HI392" s="542"/>
      <c r="HJ392" s="542"/>
      <c r="HK392" s="542"/>
      <c r="HL392" s="542"/>
      <c r="HM392" s="542"/>
      <c r="HN392" s="542"/>
      <c r="HO392" s="542"/>
      <c r="HP392" s="542"/>
      <c r="HQ392" s="542"/>
      <c r="HR392" s="542"/>
      <c r="HS392" s="542"/>
      <c r="HT392" s="542"/>
      <c r="HU392" s="542"/>
      <c r="HV392" s="542"/>
      <c r="HW392" s="542"/>
      <c r="HX392" s="542"/>
      <c r="HY392" s="542"/>
      <c r="HZ392" s="542"/>
      <c r="IA392" s="542"/>
      <c r="IB392" s="542"/>
      <c r="IC392" s="542"/>
      <c r="ID392" s="542"/>
      <c r="IE392" s="542"/>
      <c r="IF392" s="542"/>
      <c r="IG392" s="542"/>
      <c r="IH392" s="542"/>
      <c r="II392" s="542"/>
      <c r="IJ392" s="542"/>
      <c r="IK392" s="542"/>
      <c r="IL392" s="542"/>
      <c r="IM392" s="542"/>
      <c r="IN392" s="542"/>
      <c r="IO392" s="542"/>
      <c r="IP392" s="542"/>
      <c r="IQ392" s="542"/>
      <c r="IR392" s="542"/>
      <c r="IS392" s="542"/>
      <c r="IT392" s="542"/>
      <c r="IU392" s="542"/>
      <c r="IV392" s="542"/>
      <c r="IW392" s="542"/>
      <c r="IX392" s="542"/>
      <c r="IY392" s="542"/>
      <c r="IZ392" s="542"/>
      <c r="JA392" s="542"/>
      <c r="JB392" s="542"/>
    </row>
    <row r="393" spans="104:262" ht="18.899999999999999" customHeight="1">
      <c r="CZ393" s="542"/>
      <c r="DA393" s="542"/>
      <c r="DB393" s="542"/>
      <c r="DC393" s="542"/>
      <c r="DD393" s="542"/>
      <c r="DE393" s="542"/>
      <c r="DF393" s="542"/>
      <c r="DG393" s="542"/>
      <c r="DH393" s="542"/>
      <c r="DI393" s="542"/>
      <c r="DJ393" s="542"/>
      <c r="DK393" s="542"/>
      <c r="DL393" s="542"/>
      <c r="DM393" s="542"/>
      <c r="DN393" s="542"/>
      <c r="DO393" s="542"/>
      <c r="DP393" s="542"/>
      <c r="DQ393" s="542"/>
      <c r="DR393" s="542"/>
      <c r="DS393" s="542"/>
      <c r="DT393" s="542"/>
      <c r="DU393" s="542"/>
      <c r="DV393" s="542"/>
      <c r="DW393" s="542"/>
      <c r="DX393" s="542"/>
      <c r="DY393" s="542"/>
      <c r="DZ393" s="542"/>
      <c r="EA393" s="542"/>
      <c r="EB393" s="542"/>
      <c r="EC393" s="542"/>
      <c r="ED393" s="542"/>
      <c r="EE393" s="542"/>
      <c r="EF393" s="542"/>
      <c r="EG393" s="542"/>
      <c r="EH393" s="542"/>
      <c r="EI393" s="542"/>
      <c r="EJ393" s="542"/>
      <c r="EK393" s="542"/>
      <c r="EL393" s="542"/>
      <c r="EM393" s="542"/>
      <c r="EN393" s="542"/>
      <c r="EO393" s="542"/>
      <c r="EP393" s="542"/>
      <c r="EQ393" s="542"/>
      <c r="ER393" s="542"/>
      <c r="ES393" s="542"/>
      <c r="ET393" s="542"/>
      <c r="EU393" s="542"/>
      <c r="EV393" s="542"/>
      <c r="EW393" s="542"/>
      <c r="EX393" s="542"/>
      <c r="EY393" s="542"/>
      <c r="EZ393" s="542"/>
      <c r="FA393" s="542"/>
      <c r="FB393" s="542"/>
      <c r="FC393" s="542"/>
      <c r="FD393" s="542"/>
      <c r="FE393" s="542"/>
      <c r="FF393" s="542"/>
      <c r="FG393" s="542"/>
      <c r="FH393" s="542"/>
      <c r="FI393" s="542"/>
      <c r="FJ393" s="542"/>
      <c r="FK393" s="542"/>
      <c r="FL393" s="542"/>
      <c r="FM393" s="542"/>
      <c r="FN393" s="542"/>
      <c r="FO393" s="542"/>
      <c r="FP393" s="542"/>
      <c r="FQ393" s="542"/>
      <c r="FR393" s="542"/>
      <c r="FS393" s="542"/>
      <c r="FT393" s="542"/>
      <c r="FU393" s="542"/>
      <c r="FV393" s="542"/>
      <c r="FW393" s="542"/>
      <c r="FX393" s="542"/>
      <c r="FY393" s="542"/>
      <c r="FZ393" s="542"/>
      <c r="GA393" s="542"/>
      <c r="GB393" s="542"/>
      <c r="GC393" s="542"/>
      <c r="GD393" s="542"/>
      <c r="GE393" s="542"/>
      <c r="GF393" s="542"/>
      <c r="GG393" s="542"/>
      <c r="GH393" s="542"/>
      <c r="GI393" s="542"/>
      <c r="GJ393" s="542"/>
      <c r="GK393" s="542"/>
      <c r="GL393" s="542"/>
      <c r="GM393" s="542"/>
      <c r="GN393" s="542"/>
      <c r="GO393" s="542"/>
      <c r="GP393" s="542"/>
      <c r="GQ393" s="542"/>
      <c r="GR393" s="542"/>
      <c r="GS393" s="542"/>
      <c r="GT393" s="542"/>
      <c r="GU393" s="542"/>
      <c r="GV393" s="542"/>
      <c r="GW393" s="542"/>
      <c r="GX393" s="542"/>
      <c r="GY393" s="542"/>
      <c r="GZ393" s="542"/>
      <c r="HA393" s="542"/>
      <c r="HB393" s="542"/>
      <c r="HC393" s="542"/>
      <c r="HD393" s="542"/>
      <c r="HE393" s="542"/>
      <c r="HF393" s="542"/>
      <c r="HG393" s="542"/>
      <c r="HH393" s="542"/>
      <c r="HI393" s="542"/>
      <c r="HJ393" s="542"/>
      <c r="HK393" s="542"/>
      <c r="HL393" s="542"/>
      <c r="HM393" s="542"/>
      <c r="HN393" s="542"/>
      <c r="HO393" s="542"/>
      <c r="HP393" s="542"/>
      <c r="HQ393" s="542"/>
      <c r="HR393" s="542"/>
      <c r="HS393" s="542"/>
      <c r="HT393" s="542"/>
      <c r="HU393" s="542"/>
      <c r="HV393" s="542"/>
      <c r="HW393" s="542"/>
      <c r="HX393" s="542"/>
      <c r="HY393" s="542"/>
      <c r="HZ393" s="542"/>
      <c r="IA393" s="542"/>
      <c r="IB393" s="542"/>
      <c r="IC393" s="542"/>
      <c r="ID393" s="542"/>
      <c r="IE393" s="542"/>
      <c r="IF393" s="542"/>
      <c r="IG393" s="542"/>
      <c r="IH393" s="542"/>
      <c r="II393" s="542"/>
      <c r="IJ393" s="542"/>
      <c r="IK393" s="542"/>
      <c r="IL393" s="542"/>
      <c r="IM393" s="542"/>
      <c r="IN393" s="542"/>
      <c r="IO393" s="542"/>
      <c r="IP393" s="542"/>
      <c r="IQ393" s="542"/>
      <c r="IR393" s="542"/>
      <c r="IS393" s="542"/>
      <c r="IT393" s="542"/>
      <c r="IU393" s="542"/>
      <c r="IV393" s="542"/>
      <c r="IW393" s="542"/>
      <c r="IX393" s="542"/>
      <c r="IY393" s="542"/>
      <c r="IZ393" s="542"/>
      <c r="JA393" s="542"/>
      <c r="JB393" s="542"/>
    </row>
    <row r="394" spans="104:262" ht="18.899999999999999" customHeight="1">
      <c r="CZ394" s="542"/>
      <c r="DA394" s="542"/>
      <c r="DB394" s="542"/>
      <c r="DC394" s="542"/>
      <c r="DD394" s="542"/>
      <c r="DE394" s="542"/>
      <c r="DF394" s="542"/>
      <c r="DG394" s="542"/>
      <c r="DH394" s="542"/>
      <c r="DI394" s="542"/>
      <c r="DJ394" s="542"/>
      <c r="DK394" s="542"/>
      <c r="DL394" s="542"/>
      <c r="DM394" s="542"/>
      <c r="DN394" s="542"/>
      <c r="DO394" s="542"/>
      <c r="DP394" s="542"/>
      <c r="DQ394" s="542"/>
      <c r="DR394" s="542"/>
      <c r="DS394" s="542"/>
      <c r="DT394" s="542"/>
      <c r="DU394" s="542"/>
      <c r="DV394" s="542"/>
      <c r="DW394" s="542"/>
      <c r="DX394" s="542"/>
      <c r="DY394" s="542"/>
      <c r="DZ394" s="542"/>
      <c r="EA394" s="542"/>
      <c r="EB394" s="542"/>
      <c r="EC394" s="542"/>
      <c r="ED394" s="542"/>
      <c r="EE394" s="542"/>
      <c r="EF394" s="542"/>
      <c r="EG394" s="542"/>
      <c r="EH394" s="542"/>
      <c r="EI394" s="542"/>
      <c r="EJ394" s="542"/>
      <c r="EK394" s="542"/>
      <c r="EL394" s="542"/>
      <c r="EM394" s="542"/>
      <c r="EN394" s="542"/>
      <c r="EO394" s="542"/>
      <c r="EP394" s="542"/>
      <c r="EQ394" s="542"/>
      <c r="ER394" s="542"/>
      <c r="ES394" s="542"/>
      <c r="ET394" s="542"/>
      <c r="EU394" s="542"/>
      <c r="EV394" s="542"/>
      <c r="EW394" s="542"/>
      <c r="EX394" s="542"/>
      <c r="EY394" s="542"/>
      <c r="EZ394" s="542"/>
      <c r="FA394" s="542"/>
      <c r="FB394" s="542"/>
      <c r="FC394" s="542"/>
      <c r="FD394" s="542"/>
      <c r="FE394" s="542"/>
      <c r="FF394" s="542"/>
      <c r="FG394" s="542"/>
      <c r="FH394" s="542"/>
      <c r="FI394" s="542"/>
      <c r="FJ394" s="542"/>
      <c r="FK394" s="542"/>
      <c r="FL394" s="542"/>
      <c r="FM394" s="542"/>
      <c r="FN394" s="542"/>
      <c r="FO394" s="542"/>
      <c r="FP394" s="542"/>
      <c r="FQ394" s="542"/>
      <c r="FR394" s="542"/>
      <c r="FS394" s="542"/>
      <c r="FT394" s="542"/>
      <c r="FU394" s="542"/>
      <c r="FV394" s="542"/>
      <c r="FW394" s="542"/>
      <c r="FX394" s="542"/>
      <c r="FY394" s="542"/>
      <c r="FZ394" s="542"/>
      <c r="GA394" s="542"/>
      <c r="GB394" s="542"/>
      <c r="GC394" s="542"/>
      <c r="GD394" s="542"/>
      <c r="GE394" s="542"/>
      <c r="GF394" s="542"/>
      <c r="GG394" s="542"/>
      <c r="GH394" s="542"/>
      <c r="GI394" s="542"/>
      <c r="GJ394" s="542"/>
      <c r="GK394" s="542"/>
      <c r="GL394" s="542"/>
      <c r="GM394" s="542"/>
      <c r="GN394" s="542"/>
      <c r="GO394" s="542"/>
      <c r="GP394" s="542"/>
      <c r="GQ394" s="542"/>
      <c r="GR394" s="542"/>
      <c r="GS394" s="542"/>
      <c r="GT394" s="542"/>
      <c r="GU394" s="542"/>
      <c r="GV394" s="542"/>
      <c r="GW394" s="542"/>
      <c r="GX394" s="542"/>
      <c r="GY394" s="542"/>
      <c r="GZ394" s="542"/>
      <c r="HA394" s="542"/>
      <c r="HB394" s="542"/>
      <c r="HC394" s="542"/>
      <c r="HD394" s="542"/>
      <c r="HE394" s="542"/>
      <c r="HF394" s="542"/>
      <c r="HG394" s="542"/>
      <c r="HH394" s="542"/>
      <c r="HI394" s="542"/>
      <c r="HJ394" s="542"/>
      <c r="HK394" s="542"/>
      <c r="HL394" s="542"/>
      <c r="HM394" s="542"/>
      <c r="HN394" s="542"/>
      <c r="HO394" s="542"/>
      <c r="HP394" s="542"/>
      <c r="HQ394" s="542"/>
      <c r="HR394" s="542"/>
      <c r="HS394" s="542"/>
      <c r="HT394" s="542"/>
      <c r="HU394" s="542"/>
      <c r="HV394" s="542"/>
      <c r="HW394" s="542"/>
      <c r="HX394" s="542"/>
      <c r="HY394" s="542"/>
      <c r="HZ394" s="542"/>
      <c r="IA394" s="542"/>
      <c r="IB394" s="542"/>
      <c r="IC394" s="542"/>
      <c r="ID394" s="542"/>
      <c r="IE394" s="542"/>
      <c r="IF394" s="542"/>
      <c r="IG394" s="542"/>
      <c r="IH394" s="542"/>
      <c r="II394" s="542"/>
      <c r="IJ394" s="542"/>
      <c r="IK394" s="542"/>
      <c r="IL394" s="542"/>
      <c r="IM394" s="542"/>
      <c r="IN394" s="542"/>
      <c r="IO394" s="542"/>
      <c r="IP394" s="542"/>
      <c r="IQ394" s="542"/>
      <c r="IR394" s="542"/>
      <c r="IS394" s="542"/>
      <c r="IT394" s="542"/>
      <c r="IU394" s="542"/>
      <c r="IV394" s="542"/>
      <c r="IW394" s="542"/>
      <c r="IX394" s="542"/>
      <c r="IY394" s="542"/>
      <c r="IZ394" s="542"/>
      <c r="JA394" s="542"/>
      <c r="JB394" s="542"/>
    </row>
    <row r="395" spans="104:262" ht="18.899999999999999" customHeight="1">
      <c r="CZ395" s="542"/>
      <c r="DA395" s="542"/>
      <c r="DB395" s="542"/>
      <c r="DC395" s="542"/>
      <c r="DD395" s="542"/>
      <c r="DE395" s="542"/>
      <c r="DF395" s="542"/>
      <c r="DG395" s="542"/>
      <c r="DH395" s="542"/>
      <c r="DI395" s="542"/>
      <c r="DJ395" s="542"/>
      <c r="DK395" s="542"/>
      <c r="DL395" s="542"/>
      <c r="DM395" s="542"/>
      <c r="DN395" s="542"/>
      <c r="DO395" s="542"/>
      <c r="DP395" s="542"/>
      <c r="DQ395" s="542"/>
      <c r="DR395" s="542"/>
      <c r="DS395" s="542"/>
      <c r="DT395" s="542"/>
      <c r="DU395" s="542"/>
      <c r="DV395" s="542"/>
      <c r="DW395" s="542"/>
      <c r="DX395" s="542"/>
      <c r="DY395" s="542"/>
      <c r="DZ395" s="542"/>
      <c r="EA395" s="542"/>
      <c r="EB395" s="542"/>
      <c r="EC395" s="542"/>
      <c r="ED395" s="542"/>
      <c r="EE395" s="542"/>
      <c r="EF395" s="542"/>
      <c r="EG395" s="542"/>
      <c r="EH395" s="542"/>
      <c r="EI395" s="542"/>
      <c r="EJ395" s="542"/>
      <c r="EK395" s="542"/>
      <c r="EL395" s="542"/>
      <c r="EM395" s="542"/>
      <c r="EN395" s="542"/>
      <c r="EO395" s="542"/>
      <c r="EP395" s="542"/>
      <c r="EQ395" s="542"/>
      <c r="ER395" s="542"/>
      <c r="ES395" s="542"/>
      <c r="ET395" s="542"/>
      <c r="EU395" s="542"/>
      <c r="EV395" s="542"/>
      <c r="EW395" s="542"/>
      <c r="EX395" s="542"/>
      <c r="EY395" s="542"/>
      <c r="EZ395" s="542"/>
      <c r="FA395" s="542"/>
      <c r="FB395" s="542"/>
      <c r="FC395" s="542"/>
      <c r="FD395" s="542"/>
      <c r="FE395" s="542"/>
      <c r="FF395" s="542"/>
      <c r="FG395" s="542"/>
      <c r="FH395" s="542"/>
      <c r="FI395" s="542"/>
      <c r="FJ395" s="542"/>
      <c r="FK395" s="542"/>
      <c r="FL395" s="542"/>
      <c r="FM395" s="542"/>
      <c r="FN395" s="542"/>
      <c r="FO395" s="542"/>
      <c r="FP395" s="542"/>
      <c r="FQ395" s="542"/>
      <c r="FR395" s="542"/>
      <c r="FS395" s="542"/>
      <c r="FT395" s="542"/>
      <c r="FU395" s="542"/>
      <c r="FV395" s="542"/>
      <c r="FW395" s="542"/>
      <c r="FX395" s="542"/>
      <c r="FY395" s="542"/>
      <c r="FZ395" s="542"/>
      <c r="GA395" s="542"/>
      <c r="GB395" s="542"/>
      <c r="GC395" s="542"/>
      <c r="GD395" s="542"/>
      <c r="GE395" s="542"/>
      <c r="GF395" s="542"/>
      <c r="GG395" s="542"/>
      <c r="GH395" s="542"/>
      <c r="GI395" s="542"/>
      <c r="GJ395" s="542"/>
      <c r="GK395" s="542"/>
      <c r="GL395" s="542"/>
      <c r="GM395" s="542"/>
      <c r="GN395" s="542"/>
      <c r="GO395" s="542"/>
      <c r="GP395" s="542"/>
      <c r="GQ395" s="542"/>
      <c r="GR395" s="542"/>
      <c r="GS395" s="542"/>
      <c r="GT395" s="542"/>
      <c r="GU395" s="542"/>
      <c r="GV395" s="542"/>
      <c r="GW395" s="542"/>
      <c r="GX395" s="542"/>
      <c r="GY395" s="542"/>
      <c r="GZ395" s="542"/>
      <c r="HA395" s="542"/>
      <c r="HB395" s="542"/>
      <c r="HC395" s="542"/>
      <c r="HD395" s="542"/>
      <c r="HE395" s="542"/>
      <c r="HF395" s="542"/>
      <c r="HG395" s="542"/>
      <c r="HH395" s="542"/>
      <c r="HI395" s="542"/>
      <c r="HJ395" s="542"/>
      <c r="HK395" s="542"/>
      <c r="HL395" s="542"/>
      <c r="HM395" s="542"/>
      <c r="HN395" s="542"/>
      <c r="HO395" s="542"/>
      <c r="HP395" s="542"/>
      <c r="HQ395" s="542"/>
      <c r="HR395" s="542"/>
      <c r="HS395" s="542"/>
      <c r="HT395" s="542"/>
      <c r="HU395" s="542"/>
      <c r="HV395" s="542"/>
      <c r="HW395" s="542"/>
      <c r="HX395" s="542"/>
      <c r="HY395" s="542"/>
      <c r="HZ395" s="542"/>
      <c r="IA395" s="542"/>
      <c r="IB395" s="542"/>
      <c r="IC395" s="542"/>
      <c r="ID395" s="542"/>
      <c r="IE395" s="542"/>
      <c r="IF395" s="542"/>
      <c r="IG395" s="542"/>
      <c r="IH395" s="542"/>
      <c r="II395" s="542"/>
      <c r="IJ395" s="542"/>
      <c r="IK395" s="542"/>
      <c r="IL395" s="542"/>
      <c r="IM395" s="542"/>
      <c r="IN395" s="542"/>
      <c r="IO395" s="542"/>
      <c r="IP395" s="542"/>
      <c r="IQ395" s="542"/>
      <c r="IR395" s="542"/>
      <c r="IS395" s="542"/>
      <c r="IT395" s="542"/>
      <c r="IU395" s="542"/>
      <c r="IV395" s="542"/>
      <c r="IW395" s="542"/>
      <c r="IX395" s="542"/>
      <c r="IY395" s="542"/>
      <c r="IZ395" s="542"/>
      <c r="JA395" s="542"/>
      <c r="JB395" s="542"/>
    </row>
    <row r="396" spans="104:262" ht="18.899999999999999" customHeight="1">
      <c r="CZ396" s="542"/>
      <c r="DA396" s="542"/>
      <c r="DB396" s="542"/>
      <c r="DC396" s="542"/>
      <c r="DD396" s="542"/>
      <c r="DE396" s="542"/>
      <c r="DF396" s="542"/>
      <c r="DG396" s="542"/>
      <c r="DH396" s="542"/>
      <c r="DI396" s="542"/>
      <c r="DJ396" s="542"/>
      <c r="DK396" s="542"/>
      <c r="DL396" s="542"/>
      <c r="DM396" s="542"/>
      <c r="DN396" s="542"/>
      <c r="DO396" s="542"/>
      <c r="DP396" s="542"/>
      <c r="DQ396" s="542"/>
      <c r="DR396" s="542"/>
      <c r="DS396" s="542"/>
      <c r="DT396" s="542"/>
      <c r="DU396" s="542"/>
      <c r="DV396" s="542"/>
      <c r="DW396" s="542"/>
      <c r="DX396" s="542"/>
      <c r="DY396" s="542"/>
      <c r="DZ396" s="542"/>
      <c r="EA396" s="542"/>
      <c r="EB396" s="542"/>
      <c r="EC396" s="542"/>
      <c r="ED396" s="542"/>
      <c r="EE396" s="542"/>
      <c r="EF396" s="542"/>
      <c r="EG396" s="542"/>
      <c r="EH396" s="542"/>
      <c r="EI396" s="542"/>
      <c r="EJ396" s="542"/>
      <c r="EK396" s="542"/>
      <c r="EL396" s="542"/>
      <c r="EM396" s="542"/>
      <c r="EN396" s="542"/>
      <c r="EO396" s="542"/>
      <c r="EP396" s="542"/>
      <c r="EQ396" s="542"/>
      <c r="ER396" s="542"/>
      <c r="ES396" s="542"/>
      <c r="ET396" s="542"/>
      <c r="EU396" s="542"/>
      <c r="EV396" s="542"/>
      <c r="EW396" s="542"/>
      <c r="EX396" s="542"/>
      <c r="EY396" s="542"/>
      <c r="EZ396" s="542"/>
      <c r="FA396" s="542"/>
      <c r="FB396" s="542"/>
      <c r="FC396" s="542"/>
      <c r="FD396" s="542"/>
      <c r="FE396" s="542"/>
      <c r="FF396" s="542"/>
      <c r="FG396" s="542"/>
      <c r="FH396" s="542"/>
      <c r="FI396" s="542"/>
      <c r="FJ396" s="542"/>
      <c r="FK396" s="542"/>
      <c r="FL396" s="542"/>
      <c r="FM396" s="542"/>
      <c r="FN396" s="542"/>
      <c r="FO396" s="542"/>
      <c r="FP396" s="542"/>
      <c r="FQ396" s="542"/>
      <c r="FR396" s="542"/>
      <c r="FS396" s="542"/>
      <c r="FT396" s="542"/>
      <c r="FU396" s="542"/>
      <c r="FV396" s="542"/>
      <c r="FW396" s="542"/>
      <c r="FX396" s="542"/>
      <c r="FY396" s="542"/>
      <c r="FZ396" s="542"/>
      <c r="GA396" s="542"/>
      <c r="GB396" s="542"/>
      <c r="GC396" s="542"/>
      <c r="GD396" s="542"/>
      <c r="GE396" s="542"/>
      <c r="GF396" s="542"/>
      <c r="GG396" s="542"/>
      <c r="GH396" s="542"/>
      <c r="GI396" s="542"/>
      <c r="GJ396" s="542"/>
      <c r="GK396" s="542"/>
      <c r="GL396" s="542"/>
      <c r="GM396" s="542"/>
      <c r="GN396" s="542"/>
      <c r="GO396" s="542"/>
      <c r="GP396" s="542"/>
      <c r="GQ396" s="542"/>
      <c r="GR396" s="542"/>
      <c r="GS396" s="542"/>
      <c r="GT396" s="542"/>
      <c r="GU396" s="542"/>
      <c r="GV396" s="542"/>
      <c r="GW396" s="542"/>
      <c r="GX396" s="542"/>
      <c r="GY396" s="542"/>
      <c r="GZ396" s="542"/>
      <c r="HA396" s="542"/>
      <c r="HB396" s="542"/>
      <c r="HC396" s="542"/>
      <c r="HD396" s="542"/>
      <c r="HE396" s="542"/>
      <c r="HF396" s="542"/>
      <c r="HG396" s="542"/>
      <c r="HH396" s="542"/>
      <c r="HI396" s="542"/>
      <c r="HJ396" s="542"/>
      <c r="HK396" s="542"/>
      <c r="HL396" s="542"/>
      <c r="HM396" s="542"/>
      <c r="HN396" s="542"/>
      <c r="HO396" s="542"/>
      <c r="HP396" s="542"/>
      <c r="HQ396" s="542"/>
      <c r="HR396" s="542"/>
      <c r="HS396" s="542"/>
      <c r="HT396" s="542"/>
      <c r="HU396" s="542"/>
      <c r="HV396" s="542"/>
      <c r="HW396" s="542"/>
      <c r="HX396" s="542"/>
      <c r="HY396" s="542"/>
      <c r="HZ396" s="542"/>
      <c r="IA396" s="542"/>
      <c r="IB396" s="542"/>
      <c r="IC396" s="542"/>
      <c r="ID396" s="542"/>
      <c r="IE396" s="542"/>
      <c r="IF396" s="542"/>
      <c r="IG396" s="542"/>
      <c r="IH396" s="542"/>
      <c r="II396" s="542"/>
      <c r="IJ396" s="542"/>
      <c r="IK396" s="542"/>
      <c r="IL396" s="542"/>
      <c r="IM396" s="542"/>
      <c r="IN396" s="542"/>
      <c r="IO396" s="542"/>
      <c r="IP396" s="542"/>
      <c r="IQ396" s="542"/>
      <c r="IR396" s="542"/>
      <c r="IS396" s="542"/>
      <c r="IT396" s="542"/>
      <c r="IU396" s="542"/>
      <c r="IV396" s="542"/>
      <c r="IW396" s="542"/>
      <c r="IX396" s="542"/>
      <c r="IY396" s="542"/>
      <c r="IZ396" s="542"/>
      <c r="JA396" s="542"/>
      <c r="JB396" s="542"/>
    </row>
    <row r="397" spans="104:262" ht="18.899999999999999" customHeight="1">
      <c r="CZ397" s="542"/>
      <c r="DA397" s="542"/>
      <c r="DB397" s="542"/>
      <c r="DC397" s="542"/>
      <c r="DD397" s="542"/>
      <c r="DE397" s="542"/>
      <c r="DF397" s="542"/>
      <c r="DG397" s="542"/>
      <c r="DH397" s="542"/>
      <c r="DI397" s="542"/>
      <c r="DJ397" s="542"/>
      <c r="DK397" s="542"/>
      <c r="DL397" s="542"/>
      <c r="DM397" s="542"/>
      <c r="DN397" s="542"/>
      <c r="DO397" s="542"/>
      <c r="DP397" s="542"/>
      <c r="DQ397" s="542"/>
      <c r="DR397" s="542"/>
      <c r="DS397" s="542"/>
      <c r="DT397" s="542"/>
      <c r="DU397" s="542"/>
      <c r="DV397" s="542"/>
      <c r="DW397" s="542"/>
      <c r="DX397" s="542"/>
      <c r="DY397" s="542"/>
      <c r="DZ397" s="542"/>
      <c r="EA397" s="542"/>
      <c r="EB397" s="542"/>
      <c r="EC397" s="542"/>
      <c r="ED397" s="542"/>
      <c r="EE397" s="542"/>
      <c r="EF397" s="542"/>
      <c r="EG397" s="542"/>
      <c r="EH397" s="542"/>
      <c r="EI397" s="542"/>
      <c r="EJ397" s="542"/>
      <c r="EK397" s="542"/>
      <c r="EL397" s="542"/>
      <c r="EM397" s="542"/>
      <c r="EN397" s="542"/>
      <c r="EO397" s="542"/>
      <c r="EP397" s="542"/>
      <c r="EQ397" s="542"/>
      <c r="ER397" s="542"/>
      <c r="ES397" s="542"/>
      <c r="ET397" s="542"/>
      <c r="EU397" s="542"/>
      <c r="EV397" s="542"/>
      <c r="EW397" s="542"/>
      <c r="EX397" s="542"/>
      <c r="EY397" s="542"/>
      <c r="EZ397" s="542"/>
      <c r="FA397" s="542"/>
      <c r="FB397" s="542"/>
      <c r="FC397" s="542"/>
      <c r="FD397" s="542"/>
      <c r="FE397" s="542"/>
      <c r="FF397" s="542"/>
      <c r="FG397" s="542"/>
      <c r="FH397" s="542"/>
      <c r="FI397" s="542"/>
      <c r="FJ397" s="542"/>
      <c r="FK397" s="542"/>
      <c r="FL397" s="542"/>
      <c r="FM397" s="542"/>
      <c r="FN397" s="542"/>
      <c r="FO397" s="542"/>
      <c r="FP397" s="542"/>
      <c r="FQ397" s="542"/>
      <c r="FR397" s="542"/>
      <c r="FS397" s="542"/>
      <c r="FT397" s="542"/>
      <c r="FU397" s="542"/>
      <c r="FV397" s="542"/>
      <c r="FW397" s="542"/>
      <c r="FX397" s="542"/>
      <c r="FY397" s="542"/>
      <c r="FZ397" s="542"/>
      <c r="GA397" s="542"/>
      <c r="GB397" s="542"/>
      <c r="GC397" s="542"/>
      <c r="GD397" s="542"/>
      <c r="GE397" s="542"/>
      <c r="GF397" s="542"/>
      <c r="GG397" s="542"/>
      <c r="GH397" s="542"/>
      <c r="GI397" s="542"/>
      <c r="GJ397" s="542"/>
      <c r="GK397" s="542"/>
      <c r="GL397" s="542"/>
      <c r="GM397" s="542"/>
      <c r="GN397" s="542"/>
      <c r="GO397" s="542"/>
      <c r="GP397" s="542"/>
      <c r="GQ397" s="542"/>
      <c r="GR397" s="542"/>
      <c r="GS397" s="542"/>
      <c r="GT397" s="542"/>
      <c r="GU397" s="542"/>
      <c r="GV397" s="542"/>
      <c r="GW397" s="542"/>
      <c r="GX397" s="542"/>
      <c r="GY397" s="542"/>
      <c r="GZ397" s="542"/>
      <c r="HA397" s="542"/>
      <c r="HB397" s="542"/>
      <c r="HC397" s="542"/>
      <c r="HD397" s="542"/>
      <c r="HE397" s="542"/>
      <c r="HF397" s="542"/>
      <c r="HG397" s="542"/>
      <c r="HH397" s="542"/>
      <c r="HI397" s="542"/>
      <c r="HJ397" s="542"/>
      <c r="HK397" s="542"/>
      <c r="HL397" s="542"/>
      <c r="HM397" s="542"/>
      <c r="HN397" s="542"/>
      <c r="HO397" s="542"/>
      <c r="HP397" s="542"/>
      <c r="HQ397" s="542"/>
      <c r="HR397" s="542"/>
      <c r="HS397" s="542"/>
      <c r="HT397" s="542"/>
      <c r="HU397" s="542"/>
      <c r="HV397" s="542"/>
      <c r="HW397" s="542"/>
      <c r="HX397" s="542"/>
      <c r="HY397" s="542"/>
      <c r="HZ397" s="542"/>
      <c r="IA397" s="542"/>
      <c r="IB397" s="542"/>
      <c r="IC397" s="542"/>
      <c r="ID397" s="542"/>
      <c r="IE397" s="542"/>
      <c r="IF397" s="542"/>
      <c r="IG397" s="542"/>
      <c r="IH397" s="542"/>
      <c r="II397" s="542"/>
      <c r="IJ397" s="542"/>
      <c r="IK397" s="542"/>
      <c r="IL397" s="542"/>
      <c r="IM397" s="542"/>
      <c r="IN397" s="542"/>
      <c r="IO397" s="542"/>
      <c r="IP397" s="542"/>
      <c r="IQ397" s="542"/>
      <c r="IR397" s="542"/>
      <c r="IS397" s="542"/>
      <c r="IT397" s="542"/>
      <c r="IU397" s="542"/>
      <c r="IV397" s="542"/>
      <c r="IW397" s="542"/>
      <c r="IX397" s="542"/>
      <c r="IY397" s="542"/>
      <c r="IZ397" s="542"/>
      <c r="JA397" s="542"/>
      <c r="JB397" s="542"/>
    </row>
    <row r="398" spans="104:262" ht="18.899999999999999" customHeight="1">
      <c r="CZ398" s="542"/>
      <c r="DA398" s="542"/>
      <c r="DB398" s="542"/>
      <c r="DC398" s="542"/>
      <c r="DD398" s="542"/>
      <c r="DE398" s="542"/>
      <c r="DF398" s="542"/>
      <c r="DG398" s="542"/>
      <c r="DH398" s="542"/>
      <c r="DI398" s="542"/>
      <c r="DJ398" s="542"/>
      <c r="DK398" s="542"/>
      <c r="DL398" s="542"/>
      <c r="DM398" s="542"/>
      <c r="DN398" s="542"/>
      <c r="DO398" s="542"/>
      <c r="DP398" s="542"/>
      <c r="DQ398" s="542"/>
      <c r="DR398" s="542"/>
      <c r="DS398" s="542"/>
      <c r="DT398" s="542"/>
      <c r="DU398" s="542"/>
      <c r="DV398" s="542"/>
      <c r="DW398" s="542"/>
      <c r="DX398" s="542"/>
      <c r="DY398" s="542"/>
      <c r="DZ398" s="542"/>
      <c r="EA398" s="542"/>
      <c r="EB398" s="542"/>
      <c r="EC398" s="542"/>
      <c r="ED398" s="542"/>
      <c r="EE398" s="542"/>
      <c r="EF398" s="542"/>
      <c r="EG398" s="542"/>
      <c r="EH398" s="542"/>
      <c r="EI398" s="542"/>
      <c r="EJ398" s="542"/>
      <c r="EK398" s="542"/>
      <c r="EL398" s="542"/>
      <c r="EM398" s="542"/>
      <c r="EN398" s="542"/>
      <c r="EO398" s="542"/>
      <c r="EP398" s="542"/>
      <c r="EQ398" s="542"/>
      <c r="ER398" s="542"/>
      <c r="ES398" s="542"/>
      <c r="ET398" s="542"/>
      <c r="EU398" s="542"/>
      <c r="EV398" s="542"/>
      <c r="EW398" s="542"/>
      <c r="EX398" s="542"/>
      <c r="EY398" s="542"/>
      <c r="EZ398" s="542"/>
      <c r="FA398" s="542"/>
      <c r="FB398" s="542"/>
      <c r="FC398" s="542"/>
      <c r="FD398" s="542"/>
      <c r="FE398" s="542"/>
      <c r="FF398" s="542"/>
      <c r="FG398" s="542"/>
      <c r="FH398" s="542"/>
      <c r="FI398" s="542"/>
      <c r="FJ398" s="542"/>
      <c r="FK398" s="542"/>
      <c r="FL398" s="542"/>
      <c r="FM398" s="542"/>
      <c r="FN398" s="542"/>
      <c r="FO398" s="542"/>
      <c r="FP398" s="542"/>
      <c r="FQ398" s="542"/>
      <c r="FR398" s="542"/>
      <c r="FS398" s="542"/>
      <c r="FT398" s="542"/>
      <c r="FU398" s="542"/>
      <c r="FV398" s="542"/>
      <c r="FW398" s="542"/>
      <c r="FX398" s="542"/>
      <c r="FY398" s="542"/>
      <c r="FZ398" s="542"/>
      <c r="GA398" s="542"/>
      <c r="GB398" s="542"/>
      <c r="GC398" s="542"/>
      <c r="GD398" s="542"/>
      <c r="GE398" s="542"/>
      <c r="GF398" s="542"/>
      <c r="GG398" s="542"/>
      <c r="GH398" s="542"/>
      <c r="GI398" s="542"/>
      <c r="GJ398" s="542"/>
      <c r="GK398" s="542"/>
      <c r="GL398" s="542"/>
      <c r="GM398" s="542"/>
      <c r="GN398" s="542"/>
      <c r="GO398" s="542"/>
      <c r="GP398" s="542"/>
      <c r="GQ398" s="542"/>
      <c r="GR398" s="542"/>
      <c r="GS398" s="542"/>
      <c r="GT398" s="542"/>
      <c r="GU398" s="542"/>
      <c r="GV398" s="542"/>
      <c r="GW398" s="542"/>
      <c r="GX398" s="542"/>
      <c r="GY398" s="542"/>
      <c r="GZ398" s="542"/>
      <c r="HA398" s="542"/>
      <c r="HB398" s="542"/>
      <c r="HC398" s="542"/>
      <c r="HD398" s="542"/>
      <c r="HE398" s="542"/>
      <c r="HF398" s="542"/>
      <c r="HG398" s="542"/>
      <c r="HH398" s="542"/>
      <c r="HI398" s="542"/>
      <c r="HJ398" s="542"/>
      <c r="HK398" s="542"/>
      <c r="HL398" s="542"/>
      <c r="HM398" s="542"/>
      <c r="HN398" s="542"/>
      <c r="HO398" s="542"/>
      <c r="HP398" s="542"/>
      <c r="HQ398" s="542"/>
      <c r="HR398" s="542"/>
      <c r="HS398" s="542"/>
      <c r="HT398" s="542"/>
      <c r="HU398" s="542"/>
      <c r="HV398" s="542"/>
      <c r="HW398" s="542"/>
      <c r="HX398" s="542"/>
      <c r="HY398" s="542"/>
      <c r="HZ398" s="542"/>
      <c r="IA398" s="542"/>
      <c r="IB398" s="542"/>
      <c r="IC398" s="542"/>
      <c r="ID398" s="542"/>
      <c r="IE398" s="542"/>
      <c r="IF398" s="542"/>
      <c r="IG398" s="542"/>
      <c r="IH398" s="542"/>
      <c r="II398" s="542"/>
      <c r="IJ398" s="542"/>
      <c r="IK398" s="542"/>
      <c r="IL398" s="542"/>
      <c r="IM398" s="542"/>
      <c r="IN398" s="542"/>
      <c r="IO398" s="542"/>
      <c r="IP398" s="542"/>
      <c r="IQ398" s="542"/>
      <c r="IR398" s="542"/>
      <c r="IS398" s="542"/>
      <c r="IT398" s="542"/>
      <c r="IU398" s="542"/>
      <c r="IV398" s="542"/>
      <c r="IW398" s="542"/>
      <c r="IX398" s="542"/>
      <c r="IY398" s="542"/>
      <c r="IZ398" s="542"/>
      <c r="JA398" s="542"/>
      <c r="JB398" s="542"/>
    </row>
    <row r="399" spans="104:262" ht="18.899999999999999" customHeight="1">
      <c r="CZ399" s="542"/>
      <c r="DA399" s="542"/>
      <c r="DB399" s="542"/>
      <c r="DC399" s="542"/>
      <c r="DD399" s="542"/>
      <c r="DE399" s="542"/>
      <c r="DF399" s="542"/>
      <c r="DG399" s="542"/>
      <c r="DH399" s="542"/>
      <c r="DI399" s="542"/>
      <c r="DJ399" s="542"/>
      <c r="DK399" s="542"/>
      <c r="DL399" s="542"/>
      <c r="DM399" s="542"/>
      <c r="DN399" s="542"/>
      <c r="DO399" s="542"/>
      <c r="DP399" s="542"/>
      <c r="DQ399" s="542"/>
      <c r="DR399" s="542"/>
      <c r="DS399" s="542"/>
      <c r="DT399" s="542"/>
      <c r="DU399" s="542"/>
      <c r="DV399" s="542"/>
      <c r="DW399" s="542"/>
      <c r="DX399" s="542"/>
      <c r="DY399" s="542"/>
      <c r="DZ399" s="542"/>
      <c r="EA399" s="542"/>
      <c r="EB399" s="542"/>
      <c r="EC399" s="542"/>
      <c r="ED399" s="542"/>
      <c r="EE399" s="542"/>
      <c r="EF399" s="542"/>
      <c r="EG399" s="542"/>
      <c r="EH399" s="542"/>
      <c r="EI399" s="542"/>
      <c r="EJ399" s="542"/>
      <c r="EK399" s="542"/>
      <c r="EL399" s="542"/>
      <c r="EM399" s="542"/>
      <c r="EN399" s="542"/>
      <c r="EO399" s="542"/>
      <c r="EP399" s="542"/>
      <c r="EQ399" s="542"/>
      <c r="ER399" s="542"/>
      <c r="ES399" s="542"/>
      <c r="ET399" s="542"/>
      <c r="EU399" s="542"/>
      <c r="EV399" s="542"/>
      <c r="EW399" s="542"/>
      <c r="EX399" s="542"/>
      <c r="EY399" s="542"/>
      <c r="EZ399" s="542"/>
      <c r="FA399" s="542"/>
      <c r="FB399" s="542"/>
      <c r="FC399" s="542"/>
      <c r="FD399" s="542"/>
      <c r="FE399" s="542"/>
      <c r="FF399" s="542"/>
      <c r="FG399" s="542"/>
      <c r="FH399" s="542"/>
      <c r="FI399" s="542"/>
      <c r="FJ399" s="542"/>
      <c r="FK399" s="542"/>
      <c r="FL399" s="542"/>
      <c r="FM399" s="542"/>
      <c r="FN399" s="542"/>
      <c r="FO399" s="542"/>
      <c r="FP399" s="542"/>
      <c r="FQ399" s="542"/>
      <c r="FR399" s="542"/>
      <c r="FS399" s="542"/>
      <c r="FT399" s="542"/>
      <c r="FU399" s="542"/>
      <c r="FV399" s="542"/>
      <c r="FW399" s="542"/>
      <c r="FX399" s="542"/>
      <c r="FY399" s="542"/>
      <c r="FZ399" s="542"/>
      <c r="GA399" s="542"/>
      <c r="GB399" s="542"/>
      <c r="GC399" s="542"/>
      <c r="GD399" s="542"/>
      <c r="GE399" s="542"/>
      <c r="GF399" s="542"/>
      <c r="GG399" s="542"/>
      <c r="GH399" s="542"/>
      <c r="GI399" s="542"/>
      <c r="GJ399" s="542"/>
      <c r="GK399" s="542"/>
      <c r="GL399" s="542"/>
      <c r="GM399" s="542"/>
      <c r="GN399" s="542"/>
      <c r="GO399" s="542"/>
      <c r="GP399" s="542"/>
      <c r="GQ399" s="542"/>
      <c r="GR399" s="542"/>
      <c r="GS399" s="542"/>
      <c r="GT399" s="542"/>
      <c r="GU399" s="542"/>
      <c r="GV399" s="542"/>
      <c r="GW399" s="542"/>
      <c r="GX399" s="542"/>
      <c r="GY399" s="542"/>
      <c r="GZ399" s="542"/>
      <c r="HA399" s="542"/>
      <c r="HB399" s="542"/>
      <c r="HC399" s="542"/>
      <c r="HD399" s="542"/>
      <c r="HE399" s="542"/>
      <c r="HF399" s="542"/>
      <c r="HG399" s="542"/>
      <c r="HH399" s="542"/>
      <c r="HI399" s="542"/>
      <c r="HJ399" s="542"/>
      <c r="HK399" s="542"/>
      <c r="HL399" s="542"/>
      <c r="HM399" s="542"/>
      <c r="HN399" s="542"/>
      <c r="HO399" s="542"/>
      <c r="HP399" s="542"/>
      <c r="HQ399" s="542"/>
      <c r="HR399" s="542"/>
      <c r="HS399" s="542"/>
      <c r="HT399" s="542"/>
      <c r="HU399" s="542"/>
      <c r="HV399" s="542"/>
      <c r="HW399" s="542"/>
      <c r="HX399" s="542"/>
      <c r="HY399" s="542"/>
      <c r="HZ399" s="542"/>
      <c r="IA399" s="542"/>
      <c r="IB399" s="542"/>
      <c r="IC399" s="542"/>
      <c r="ID399" s="542"/>
      <c r="IE399" s="542"/>
      <c r="IF399" s="542"/>
      <c r="IG399" s="542"/>
      <c r="IH399" s="542"/>
      <c r="II399" s="542"/>
      <c r="IJ399" s="542"/>
      <c r="IK399" s="542"/>
      <c r="IL399" s="542"/>
      <c r="IM399" s="542"/>
      <c r="IN399" s="542"/>
      <c r="IO399" s="542"/>
      <c r="IP399" s="542"/>
      <c r="IQ399" s="542"/>
      <c r="IR399" s="542"/>
      <c r="IS399" s="542"/>
      <c r="IT399" s="542"/>
      <c r="IU399" s="542"/>
      <c r="IV399" s="542"/>
      <c r="IW399" s="542"/>
      <c r="IX399" s="542"/>
      <c r="IY399" s="542"/>
      <c r="IZ399" s="542"/>
      <c r="JA399" s="542"/>
      <c r="JB399" s="542"/>
    </row>
    <row r="400" spans="104:262" ht="18.899999999999999" customHeight="1">
      <c r="CZ400" s="542"/>
      <c r="DA400" s="542"/>
      <c r="DB400" s="542"/>
      <c r="DC400" s="542"/>
      <c r="DD400" s="542"/>
      <c r="DE400" s="542"/>
      <c r="DF400" s="542"/>
      <c r="DG400" s="542"/>
      <c r="DH400" s="542"/>
      <c r="DI400" s="542"/>
      <c r="DJ400" s="542"/>
      <c r="DK400" s="542"/>
      <c r="DL400" s="542"/>
      <c r="DM400" s="542"/>
      <c r="DN400" s="542"/>
      <c r="DO400" s="542"/>
      <c r="DP400" s="542"/>
      <c r="DQ400" s="542"/>
      <c r="DR400" s="542"/>
      <c r="DS400" s="542"/>
      <c r="DT400" s="542"/>
      <c r="DU400" s="542"/>
      <c r="DV400" s="542"/>
      <c r="DW400" s="542"/>
      <c r="DX400" s="542"/>
      <c r="DY400" s="542"/>
      <c r="DZ400" s="542"/>
      <c r="EA400" s="542"/>
      <c r="EB400" s="542"/>
      <c r="EC400" s="542"/>
      <c r="ED400" s="542"/>
      <c r="EE400" s="542"/>
      <c r="EF400" s="542"/>
      <c r="EG400" s="542"/>
      <c r="EH400" s="542"/>
      <c r="EI400" s="542"/>
      <c r="EJ400" s="542"/>
      <c r="EK400" s="542"/>
      <c r="EL400" s="542"/>
      <c r="EM400" s="542"/>
      <c r="EN400" s="542"/>
      <c r="EO400" s="542"/>
      <c r="EP400" s="542"/>
      <c r="EQ400" s="542"/>
      <c r="ER400" s="542"/>
      <c r="ES400" s="542"/>
      <c r="ET400" s="542"/>
      <c r="EU400" s="542"/>
      <c r="EV400" s="542"/>
      <c r="EW400" s="542"/>
      <c r="EX400" s="542"/>
      <c r="EY400" s="542"/>
      <c r="EZ400" s="542"/>
      <c r="FA400" s="542"/>
      <c r="FB400" s="542"/>
      <c r="FC400" s="542"/>
      <c r="FD400" s="542"/>
      <c r="FE400" s="542"/>
      <c r="FF400" s="542"/>
      <c r="FG400" s="542"/>
      <c r="FH400" s="542"/>
      <c r="FI400" s="542"/>
      <c r="FJ400" s="542"/>
      <c r="FK400" s="542"/>
      <c r="FL400" s="542"/>
      <c r="FM400" s="542"/>
      <c r="FN400" s="542"/>
      <c r="FO400" s="542"/>
      <c r="FP400" s="542"/>
      <c r="FQ400" s="542"/>
      <c r="FR400" s="542"/>
      <c r="FS400" s="542"/>
      <c r="FT400" s="542"/>
      <c r="FU400" s="542"/>
      <c r="FV400" s="542"/>
      <c r="FW400" s="542"/>
      <c r="FX400" s="542"/>
      <c r="FY400" s="542"/>
      <c r="FZ400" s="542"/>
      <c r="GA400" s="542"/>
      <c r="GB400" s="542"/>
      <c r="GC400" s="542"/>
      <c r="GD400" s="542"/>
      <c r="GE400" s="542"/>
      <c r="GF400" s="542"/>
      <c r="GG400" s="542"/>
      <c r="GH400" s="542"/>
      <c r="GI400" s="542"/>
      <c r="GJ400" s="542"/>
      <c r="GK400" s="542"/>
      <c r="GL400" s="542"/>
      <c r="GM400" s="542"/>
      <c r="GN400" s="542"/>
      <c r="GO400" s="542"/>
      <c r="GP400" s="542"/>
      <c r="GQ400" s="542"/>
      <c r="GR400" s="542"/>
      <c r="GS400" s="542"/>
      <c r="GT400" s="542"/>
      <c r="GU400" s="542"/>
      <c r="GV400" s="542"/>
      <c r="GW400" s="542"/>
      <c r="GX400" s="542"/>
      <c r="GY400" s="542"/>
      <c r="GZ400" s="542"/>
      <c r="HA400" s="542"/>
      <c r="HB400" s="542"/>
      <c r="HC400" s="542"/>
      <c r="HD400" s="542"/>
      <c r="HE400" s="542"/>
      <c r="HF400" s="542"/>
      <c r="HG400" s="542"/>
      <c r="HH400" s="542"/>
      <c r="HI400" s="542"/>
      <c r="HJ400" s="542"/>
      <c r="HK400" s="542"/>
      <c r="HL400" s="542"/>
      <c r="HM400" s="542"/>
      <c r="HN400" s="542"/>
      <c r="HO400" s="542"/>
      <c r="HP400" s="542"/>
      <c r="HQ400" s="542"/>
      <c r="HR400" s="542"/>
      <c r="HS400" s="542"/>
      <c r="HT400" s="542"/>
      <c r="HU400" s="542"/>
      <c r="HV400" s="542"/>
      <c r="HW400" s="542"/>
      <c r="HX400" s="542"/>
      <c r="HY400" s="542"/>
      <c r="HZ400" s="542"/>
      <c r="IA400" s="542"/>
      <c r="IB400" s="542"/>
      <c r="IC400" s="542"/>
      <c r="ID400" s="542"/>
      <c r="IE400" s="542"/>
      <c r="IF400" s="542"/>
      <c r="IG400" s="542"/>
      <c r="IH400" s="542"/>
      <c r="II400" s="542"/>
      <c r="IJ400" s="542"/>
      <c r="IK400" s="542"/>
      <c r="IL400" s="542"/>
      <c r="IM400" s="542"/>
      <c r="IN400" s="542"/>
      <c r="IO400" s="542"/>
      <c r="IP400" s="542"/>
      <c r="IQ400" s="542"/>
      <c r="IR400" s="542"/>
      <c r="IS400" s="542"/>
      <c r="IT400" s="542"/>
      <c r="IU400" s="542"/>
      <c r="IV400" s="542"/>
      <c r="IW400" s="542"/>
      <c r="IX400" s="542"/>
      <c r="IY400" s="542"/>
      <c r="IZ400" s="542"/>
      <c r="JA400" s="542"/>
      <c r="JB400" s="542"/>
    </row>
    <row r="401" spans="104:262" ht="18.899999999999999" customHeight="1">
      <c r="CZ401" s="542"/>
      <c r="DA401" s="542"/>
      <c r="DB401" s="542"/>
      <c r="DC401" s="542"/>
      <c r="DD401" s="542"/>
      <c r="DE401" s="542"/>
      <c r="DF401" s="542"/>
      <c r="DG401" s="542"/>
      <c r="DH401" s="542"/>
      <c r="DI401" s="542"/>
      <c r="DJ401" s="542"/>
      <c r="DK401" s="542"/>
      <c r="DL401" s="542"/>
      <c r="DM401" s="542"/>
      <c r="DN401" s="542"/>
      <c r="DO401" s="542"/>
      <c r="DP401" s="542"/>
      <c r="DQ401" s="542"/>
      <c r="DR401" s="542"/>
      <c r="DS401" s="542"/>
      <c r="DT401" s="542"/>
      <c r="DU401" s="542"/>
      <c r="DV401" s="542"/>
      <c r="DW401" s="542"/>
      <c r="DX401" s="542"/>
      <c r="DY401" s="542"/>
      <c r="DZ401" s="542"/>
      <c r="EA401" s="542"/>
      <c r="EB401" s="542"/>
      <c r="EC401" s="542"/>
      <c r="ED401" s="542"/>
      <c r="EE401" s="542"/>
      <c r="EF401" s="542"/>
      <c r="EG401" s="542"/>
      <c r="EH401" s="542"/>
      <c r="EI401" s="542"/>
      <c r="EJ401" s="542"/>
      <c r="EK401" s="542"/>
      <c r="EL401" s="542"/>
      <c r="EM401" s="542"/>
      <c r="EN401" s="542"/>
      <c r="EO401" s="542"/>
      <c r="EP401" s="542"/>
      <c r="EQ401" s="542"/>
      <c r="ER401" s="542"/>
      <c r="ES401" s="542"/>
      <c r="ET401" s="542"/>
      <c r="EU401" s="542"/>
      <c r="EV401" s="542"/>
      <c r="EW401" s="542"/>
      <c r="EX401" s="542"/>
      <c r="EY401" s="542"/>
      <c r="EZ401" s="542"/>
      <c r="FA401" s="542"/>
      <c r="FB401" s="542"/>
      <c r="FC401" s="542"/>
      <c r="FD401" s="542"/>
      <c r="FE401" s="542"/>
      <c r="FF401" s="542"/>
      <c r="FG401" s="542"/>
      <c r="FH401" s="542"/>
      <c r="FI401" s="542"/>
      <c r="FJ401" s="542"/>
      <c r="FK401" s="542"/>
      <c r="FL401" s="542"/>
      <c r="FM401" s="542"/>
      <c r="FN401" s="542"/>
      <c r="FO401" s="542"/>
      <c r="FP401" s="542"/>
      <c r="FQ401" s="542"/>
      <c r="FR401" s="542"/>
      <c r="FS401" s="542"/>
      <c r="FT401" s="542"/>
      <c r="FU401" s="542"/>
      <c r="FV401" s="542"/>
      <c r="FW401" s="542"/>
      <c r="FX401" s="542"/>
      <c r="FY401" s="542"/>
      <c r="FZ401" s="542"/>
      <c r="GA401" s="542"/>
      <c r="GB401" s="542"/>
      <c r="GC401" s="542"/>
      <c r="GD401" s="542"/>
      <c r="GE401" s="542"/>
      <c r="GF401" s="542"/>
      <c r="GG401" s="542"/>
      <c r="GH401" s="542"/>
      <c r="GI401" s="542"/>
      <c r="GJ401" s="542"/>
      <c r="GK401" s="542"/>
      <c r="GL401" s="542"/>
      <c r="GM401" s="542"/>
      <c r="GN401" s="542"/>
      <c r="GO401" s="542"/>
      <c r="GP401" s="542"/>
      <c r="GQ401" s="542"/>
      <c r="GR401" s="542"/>
      <c r="GS401" s="542"/>
      <c r="GT401" s="542"/>
      <c r="GU401" s="542"/>
      <c r="GV401" s="542"/>
      <c r="GW401" s="542"/>
      <c r="GX401" s="542"/>
      <c r="GY401" s="542"/>
      <c r="GZ401" s="542"/>
      <c r="HA401" s="542"/>
      <c r="HB401" s="542"/>
      <c r="HC401" s="542"/>
      <c r="HD401" s="542"/>
      <c r="HE401" s="542"/>
      <c r="HF401" s="542"/>
      <c r="HG401" s="542"/>
      <c r="HH401" s="542"/>
      <c r="HI401" s="542"/>
      <c r="HJ401" s="542"/>
      <c r="HK401" s="542"/>
      <c r="HL401" s="542"/>
      <c r="HM401" s="542"/>
      <c r="HN401" s="542"/>
      <c r="HO401" s="542"/>
      <c r="HP401" s="542"/>
      <c r="HQ401" s="542"/>
      <c r="HR401" s="542"/>
      <c r="HS401" s="542"/>
      <c r="HT401" s="542"/>
      <c r="HU401" s="542"/>
      <c r="HV401" s="542"/>
      <c r="HW401" s="542"/>
      <c r="HX401" s="542"/>
      <c r="HY401" s="542"/>
      <c r="HZ401" s="542"/>
      <c r="IA401" s="542"/>
      <c r="IB401" s="542"/>
      <c r="IC401" s="542"/>
      <c r="ID401" s="542"/>
      <c r="IE401" s="542"/>
      <c r="IF401" s="542"/>
      <c r="IG401" s="542"/>
      <c r="IH401" s="542"/>
      <c r="II401" s="542"/>
      <c r="IJ401" s="542"/>
      <c r="IK401" s="542"/>
      <c r="IL401" s="542"/>
      <c r="IM401" s="542"/>
      <c r="IN401" s="542"/>
      <c r="IO401" s="542"/>
      <c r="IP401" s="542"/>
      <c r="IQ401" s="542"/>
      <c r="IR401" s="542"/>
      <c r="IS401" s="542"/>
      <c r="IT401" s="542"/>
      <c r="IU401" s="542"/>
      <c r="IV401" s="542"/>
      <c r="IW401" s="542"/>
      <c r="IX401" s="542"/>
      <c r="IY401" s="542"/>
      <c r="IZ401" s="542"/>
      <c r="JA401" s="542"/>
      <c r="JB401" s="542"/>
    </row>
    <row r="402" spans="104:262" ht="18.899999999999999" customHeight="1">
      <c r="CZ402" s="542"/>
      <c r="DA402" s="542"/>
      <c r="DB402" s="542"/>
      <c r="DC402" s="542"/>
      <c r="DD402" s="542"/>
      <c r="DE402" s="542"/>
      <c r="DF402" s="542"/>
      <c r="DG402" s="542"/>
      <c r="DH402" s="542"/>
      <c r="DI402" s="542"/>
      <c r="DJ402" s="542"/>
      <c r="DK402" s="542"/>
      <c r="DL402" s="542"/>
      <c r="DM402" s="542"/>
      <c r="DN402" s="542"/>
      <c r="DO402" s="542"/>
      <c r="DP402" s="542"/>
      <c r="DQ402" s="542"/>
      <c r="DR402" s="542"/>
      <c r="DS402" s="542"/>
      <c r="DT402" s="542"/>
      <c r="DU402" s="542"/>
      <c r="DV402" s="542"/>
      <c r="DW402" s="542"/>
      <c r="DX402" s="542"/>
      <c r="DY402" s="542"/>
      <c r="DZ402" s="542"/>
      <c r="EA402" s="542"/>
      <c r="EB402" s="542"/>
      <c r="EC402" s="542"/>
      <c r="ED402" s="542"/>
      <c r="EE402" s="542"/>
      <c r="EF402" s="542"/>
      <c r="EG402" s="542"/>
      <c r="EH402" s="542"/>
      <c r="EI402" s="542"/>
      <c r="EJ402" s="542"/>
      <c r="EK402" s="542"/>
      <c r="EL402" s="542"/>
      <c r="EM402" s="542"/>
      <c r="EN402" s="542"/>
      <c r="EO402" s="542"/>
      <c r="EP402" s="542"/>
      <c r="EQ402" s="542"/>
      <c r="ER402" s="542"/>
      <c r="ES402" s="542"/>
      <c r="ET402" s="542"/>
      <c r="EU402" s="542"/>
      <c r="EV402" s="542"/>
      <c r="EW402" s="542"/>
      <c r="EX402" s="542"/>
      <c r="EY402" s="542"/>
      <c r="EZ402" s="542"/>
      <c r="FA402" s="542"/>
      <c r="FB402" s="542"/>
      <c r="FC402" s="542"/>
      <c r="FD402" s="542"/>
      <c r="FE402" s="542"/>
      <c r="FF402" s="542"/>
      <c r="FG402" s="542"/>
      <c r="FH402" s="542"/>
      <c r="FI402" s="542"/>
      <c r="FJ402" s="542"/>
      <c r="FK402" s="542"/>
      <c r="FL402" s="542"/>
      <c r="FM402" s="542"/>
      <c r="FN402" s="542"/>
      <c r="FO402" s="542"/>
      <c r="FP402" s="542"/>
      <c r="FQ402" s="542"/>
      <c r="FR402" s="542"/>
      <c r="FS402" s="542"/>
      <c r="FT402" s="542"/>
      <c r="FU402" s="542"/>
      <c r="FV402" s="542"/>
      <c r="FW402" s="542"/>
      <c r="FX402" s="542"/>
      <c r="FY402" s="542"/>
      <c r="FZ402" s="542"/>
      <c r="GA402" s="542"/>
      <c r="GB402" s="542"/>
      <c r="GC402" s="542"/>
      <c r="GD402" s="542"/>
      <c r="GE402" s="542"/>
      <c r="GF402" s="542"/>
      <c r="GG402" s="542"/>
      <c r="GH402" s="542"/>
      <c r="GI402" s="542"/>
      <c r="GJ402" s="542"/>
      <c r="GK402" s="542"/>
      <c r="GL402" s="542"/>
      <c r="GM402" s="542"/>
      <c r="GN402" s="542"/>
      <c r="GO402" s="542"/>
      <c r="GP402" s="542"/>
      <c r="GQ402" s="542"/>
      <c r="GR402" s="542"/>
      <c r="GS402" s="542"/>
      <c r="GT402" s="542"/>
      <c r="GU402" s="542"/>
      <c r="GV402" s="542"/>
      <c r="GW402" s="542"/>
      <c r="GX402" s="542"/>
      <c r="GY402" s="542"/>
      <c r="GZ402" s="542"/>
      <c r="HA402" s="542"/>
      <c r="HB402" s="542"/>
      <c r="HC402" s="542"/>
      <c r="HD402" s="542"/>
      <c r="HE402" s="542"/>
      <c r="HF402" s="542"/>
      <c r="HG402" s="542"/>
      <c r="HH402" s="542"/>
      <c r="HI402" s="542"/>
      <c r="HJ402" s="542"/>
      <c r="HK402" s="542"/>
      <c r="HL402" s="542"/>
      <c r="HM402" s="542"/>
      <c r="HN402" s="542"/>
      <c r="HO402" s="542"/>
      <c r="HP402" s="542"/>
      <c r="HQ402" s="542"/>
      <c r="HR402" s="542"/>
      <c r="HS402" s="542"/>
      <c r="HT402" s="542"/>
      <c r="HU402" s="542"/>
      <c r="HV402" s="542"/>
      <c r="HW402" s="542"/>
      <c r="HX402" s="542"/>
      <c r="HY402" s="542"/>
      <c r="HZ402" s="542"/>
      <c r="IA402" s="542"/>
      <c r="IB402" s="542"/>
      <c r="IC402" s="542"/>
      <c r="ID402" s="542"/>
      <c r="IE402" s="542"/>
      <c r="IF402" s="542"/>
      <c r="IG402" s="542"/>
      <c r="IH402" s="542"/>
      <c r="II402" s="542"/>
      <c r="IJ402" s="542"/>
      <c r="IK402" s="542"/>
      <c r="IL402" s="542"/>
      <c r="IM402" s="542"/>
      <c r="IN402" s="542"/>
      <c r="IO402" s="542"/>
      <c r="IP402" s="542"/>
      <c r="IQ402" s="542"/>
      <c r="IR402" s="542"/>
      <c r="IS402" s="542"/>
      <c r="IT402" s="542"/>
      <c r="IU402" s="542"/>
      <c r="IV402" s="542"/>
      <c r="IW402" s="542"/>
      <c r="IX402" s="542"/>
      <c r="IY402" s="542"/>
      <c r="IZ402" s="542"/>
      <c r="JA402" s="542"/>
      <c r="JB402" s="542"/>
    </row>
    <row r="403" spans="104:262" ht="18.899999999999999" customHeight="1">
      <c r="CZ403" s="542"/>
      <c r="DA403" s="542"/>
      <c r="DB403" s="542"/>
      <c r="DC403" s="542"/>
      <c r="DD403" s="542"/>
      <c r="DE403" s="542"/>
      <c r="DF403" s="542"/>
      <c r="DG403" s="542"/>
      <c r="DH403" s="542"/>
      <c r="DI403" s="542"/>
      <c r="DJ403" s="542"/>
      <c r="DK403" s="542"/>
      <c r="DL403" s="542"/>
      <c r="DM403" s="542"/>
      <c r="DN403" s="542"/>
      <c r="DO403" s="542"/>
      <c r="DP403" s="542"/>
      <c r="DQ403" s="542"/>
      <c r="DR403" s="542"/>
      <c r="DS403" s="542"/>
      <c r="DT403" s="542"/>
      <c r="DU403" s="542"/>
      <c r="DV403" s="542"/>
      <c r="DW403" s="542"/>
      <c r="DX403" s="542"/>
      <c r="DY403" s="542"/>
      <c r="DZ403" s="542"/>
      <c r="EA403" s="542"/>
      <c r="EB403" s="542"/>
      <c r="EC403" s="542"/>
      <c r="ED403" s="542"/>
      <c r="EE403" s="542"/>
      <c r="EF403" s="542"/>
      <c r="EG403" s="542"/>
      <c r="EH403" s="542"/>
      <c r="EI403" s="542"/>
      <c r="EJ403" s="542"/>
      <c r="EK403" s="542"/>
      <c r="EL403" s="542"/>
      <c r="EM403" s="542"/>
      <c r="EN403" s="542"/>
      <c r="EO403" s="542"/>
      <c r="EP403" s="542"/>
      <c r="EQ403" s="542"/>
      <c r="ER403" s="542"/>
      <c r="ES403" s="542"/>
      <c r="ET403" s="542"/>
      <c r="EU403" s="542"/>
      <c r="EV403" s="542"/>
      <c r="EW403" s="542"/>
      <c r="EX403" s="542"/>
      <c r="EY403" s="542"/>
      <c r="EZ403" s="542"/>
      <c r="FA403" s="542"/>
      <c r="FB403" s="542"/>
      <c r="FC403" s="542"/>
      <c r="FD403" s="542"/>
      <c r="FE403" s="542"/>
      <c r="FF403" s="542"/>
      <c r="FG403" s="542"/>
      <c r="FH403" s="542"/>
      <c r="FI403" s="542"/>
      <c r="FJ403" s="542"/>
      <c r="FK403" s="542"/>
      <c r="FL403" s="542"/>
      <c r="FM403" s="542"/>
      <c r="FN403" s="542"/>
      <c r="FO403" s="542"/>
      <c r="FP403" s="542"/>
      <c r="FQ403" s="542"/>
      <c r="FR403" s="542"/>
      <c r="FS403" s="542"/>
      <c r="FT403" s="542"/>
      <c r="FU403" s="542"/>
      <c r="FV403" s="542"/>
      <c r="FW403" s="542"/>
      <c r="FX403" s="542"/>
      <c r="FY403" s="542"/>
      <c r="FZ403" s="542"/>
      <c r="GA403" s="542"/>
      <c r="GB403" s="542"/>
      <c r="GC403" s="542"/>
      <c r="GD403" s="542"/>
      <c r="GE403" s="542"/>
      <c r="GF403" s="542"/>
      <c r="GG403" s="542"/>
      <c r="GH403" s="542"/>
      <c r="GI403" s="542"/>
      <c r="GJ403" s="542"/>
      <c r="GK403" s="542"/>
      <c r="GL403" s="542"/>
      <c r="GM403" s="542"/>
      <c r="GN403" s="542"/>
      <c r="GO403" s="542"/>
      <c r="GP403" s="542"/>
      <c r="GQ403" s="542"/>
      <c r="GR403" s="542"/>
      <c r="GS403" s="542"/>
      <c r="GT403" s="542"/>
      <c r="GU403" s="542"/>
      <c r="GV403" s="542"/>
      <c r="GW403" s="542"/>
      <c r="GX403" s="542"/>
      <c r="GY403" s="542"/>
      <c r="GZ403" s="542"/>
      <c r="HA403" s="542"/>
      <c r="HB403" s="542"/>
      <c r="HC403" s="542"/>
      <c r="HD403" s="542"/>
      <c r="HE403" s="542"/>
      <c r="HF403" s="542"/>
      <c r="HG403" s="542"/>
      <c r="HH403" s="542"/>
      <c r="HI403" s="542"/>
      <c r="HJ403" s="542"/>
      <c r="HK403" s="542"/>
      <c r="HL403" s="542"/>
      <c r="HM403" s="542"/>
      <c r="HN403" s="542"/>
      <c r="HO403" s="542"/>
      <c r="HP403" s="542"/>
      <c r="HQ403" s="542"/>
      <c r="HR403" s="542"/>
      <c r="HS403" s="542"/>
      <c r="HT403" s="542"/>
      <c r="HU403" s="542"/>
      <c r="HV403" s="542"/>
      <c r="HW403" s="542"/>
      <c r="HX403" s="542"/>
      <c r="HY403" s="542"/>
      <c r="HZ403" s="542"/>
      <c r="IA403" s="542"/>
      <c r="IB403" s="542"/>
      <c r="IC403" s="542"/>
      <c r="ID403" s="542"/>
      <c r="IE403" s="542"/>
      <c r="IF403" s="542"/>
      <c r="IG403" s="542"/>
      <c r="IH403" s="542"/>
      <c r="II403" s="542"/>
      <c r="IJ403" s="542"/>
      <c r="IK403" s="542"/>
      <c r="IL403" s="542"/>
      <c r="IM403" s="542"/>
      <c r="IN403" s="542"/>
      <c r="IO403" s="542"/>
      <c r="IP403" s="542"/>
      <c r="IQ403" s="542"/>
      <c r="IR403" s="542"/>
      <c r="IS403" s="542"/>
      <c r="IT403" s="542"/>
      <c r="IU403" s="542"/>
      <c r="IV403" s="542"/>
      <c r="IW403" s="542"/>
      <c r="IX403" s="542"/>
      <c r="IY403" s="542"/>
      <c r="IZ403" s="542"/>
      <c r="JA403" s="542"/>
      <c r="JB403" s="542"/>
    </row>
    <row r="404" spans="104:262" ht="18.899999999999999" customHeight="1">
      <c r="CZ404" s="542"/>
      <c r="DA404" s="542"/>
      <c r="DB404" s="542"/>
      <c r="DC404" s="542"/>
      <c r="DD404" s="542"/>
      <c r="DE404" s="542"/>
      <c r="DF404" s="542"/>
      <c r="DG404" s="542"/>
      <c r="DH404" s="542"/>
      <c r="DI404" s="542"/>
      <c r="DJ404" s="542"/>
      <c r="DK404" s="542"/>
      <c r="DL404" s="542"/>
      <c r="DM404" s="542"/>
      <c r="DN404" s="542"/>
      <c r="DO404" s="542"/>
      <c r="DP404" s="542"/>
      <c r="DQ404" s="542"/>
      <c r="DR404" s="542"/>
      <c r="DS404" s="542"/>
      <c r="DT404" s="542"/>
      <c r="DU404" s="542"/>
      <c r="DV404" s="542"/>
      <c r="DW404" s="542"/>
      <c r="DX404" s="542"/>
      <c r="DY404" s="542"/>
      <c r="DZ404" s="542"/>
      <c r="EA404" s="542"/>
      <c r="EB404" s="542"/>
      <c r="EC404" s="542"/>
      <c r="ED404" s="542"/>
      <c r="EE404" s="542"/>
      <c r="EF404" s="542"/>
      <c r="EG404" s="542"/>
      <c r="EH404" s="542"/>
      <c r="EI404" s="542"/>
      <c r="EJ404" s="542"/>
      <c r="EK404" s="542"/>
      <c r="EL404" s="542"/>
      <c r="EM404" s="542"/>
      <c r="EN404" s="542"/>
      <c r="EO404" s="542"/>
      <c r="EP404" s="542"/>
      <c r="EQ404" s="542"/>
      <c r="ER404" s="542"/>
      <c r="ES404" s="542"/>
      <c r="ET404" s="542"/>
      <c r="EU404" s="542"/>
      <c r="EV404" s="542"/>
      <c r="EW404" s="542"/>
      <c r="EX404" s="542"/>
      <c r="EY404" s="542"/>
      <c r="EZ404" s="542"/>
      <c r="FA404" s="542"/>
      <c r="FB404" s="542"/>
      <c r="FC404" s="542"/>
      <c r="FD404" s="542"/>
      <c r="FE404" s="542"/>
      <c r="FF404" s="542"/>
      <c r="FG404" s="542"/>
      <c r="FH404" s="542"/>
      <c r="FI404" s="542"/>
      <c r="FJ404" s="542"/>
      <c r="FK404" s="542"/>
      <c r="FL404" s="542"/>
      <c r="FM404" s="542"/>
      <c r="FN404" s="542"/>
      <c r="FO404" s="542"/>
      <c r="FP404" s="542"/>
      <c r="FQ404" s="542"/>
      <c r="FR404" s="542"/>
      <c r="FS404" s="542"/>
      <c r="FT404" s="542"/>
      <c r="FU404" s="542"/>
      <c r="FV404" s="542"/>
      <c r="FW404" s="542"/>
      <c r="FX404" s="542"/>
      <c r="FY404" s="542"/>
      <c r="FZ404" s="542"/>
      <c r="GA404" s="542"/>
      <c r="GB404" s="542"/>
      <c r="GC404" s="542"/>
      <c r="GD404" s="542"/>
      <c r="GE404" s="542"/>
      <c r="GF404" s="542"/>
      <c r="GG404" s="542"/>
      <c r="GH404" s="542"/>
      <c r="GI404" s="542"/>
      <c r="GJ404" s="542"/>
      <c r="GK404" s="542"/>
      <c r="GL404" s="542"/>
      <c r="GM404" s="542"/>
      <c r="GN404" s="542"/>
      <c r="GO404" s="542"/>
      <c r="GP404" s="542"/>
      <c r="GQ404" s="542"/>
      <c r="GR404" s="542"/>
      <c r="GS404" s="542"/>
      <c r="GT404" s="542"/>
      <c r="GU404" s="542"/>
      <c r="GV404" s="542"/>
      <c r="GW404" s="542"/>
      <c r="GX404" s="542"/>
      <c r="GY404" s="542"/>
      <c r="GZ404" s="542"/>
      <c r="HA404" s="542"/>
      <c r="HB404" s="542"/>
      <c r="HC404" s="542"/>
      <c r="HD404" s="542"/>
      <c r="HE404" s="542"/>
      <c r="HF404" s="542"/>
      <c r="HG404" s="542"/>
      <c r="HH404" s="542"/>
      <c r="HI404" s="542"/>
      <c r="HJ404" s="542"/>
      <c r="HK404" s="542"/>
      <c r="HL404" s="542"/>
      <c r="HM404" s="542"/>
      <c r="HN404" s="542"/>
      <c r="HO404" s="542"/>
      <c r="HP404" s="542"/>
      <c r="HQ404" s="542"/>
      <c r="HR404" s="542"/>
      <c r="HS404" s="542"/>
      <c r="HT404" s="542"/>
      <c r="HU404" s="542"/>
      <c r="HV404" s="542"/>
      <c r="HW404" s="542"/>
      <c r="HX404" s="542"/>
      <c r="HY404" s="542"/>
      <c r="HZ404" s="542"/>
      <c r="IA404" s="542"/>
      <c r="IB404" s="542"/>
      <c r="IC404" s="542"/>
      <c r="ID404" s="542"/>
      <c r="IE404" s="542"/>
      <c r="IF404" s="542"/>
      <c r="IG404" s="542"/>
      <c r="IH404" s="542"/>
      <c r="II404" s="542"/>
      <c r="IJ404" s="542"/>
      <c r="IK404" s="542"/>
      <c r="IL404" s="542"/>
      <c r="IM404" s="542"/>
      <c r="IN404" s="542"/>
      <c r="IO404" s="542"/>
      <c r="IP404" s="542"/>
      <c r="IQ404" s="542"/>
      <c r="IR404" s="542"/>
      <c r="IS404" s="542"/>
      <c r="IT404" s="542"/>
      <c r="IU404" s="542"/>
      <c r="IV404" s="542"/>
      <c r="IW404" s="542"/>
      <c r="IX404" s="542"/>
      <c r="IY404" s="542"/>
      <c r="IZ404" s="542"/>
      <c r="JA404" s="542"/>
      <c r="JB404" s="542"/>
    </row>
    <row r="405" spans="104:262" ht="18.899999999999999" customHeight="1">
      <c r="CZ405" s="542"/>
      <c r="DA405" s="542"/>
      <c r="DB405" s="542"/>
      <c r="DC405" s="542"/>
      <c r="DD405" s="542"/>
      <c r="DE405" s="542"/>
      <c r="DF405" s="542"/>
      <c r="DG405" s="542"/>
      <c r="DH405" s="542"/>
      <c r="DI405" s="542"/>
      <c r="DJ405" s="542"/>
      <c r="DK405" s="542"/>
      <c r="DL405" s="542"/>
      <c r="DM405" s="542"/>
      <c r="DN405" s="542"/>
      <c r="DO405" s="542"/>
      <c r="DP405" s="542"/>
      <c r="DQ405" s="542"/>
      <c r="DR405" s="542"/>
      <c r="DS405" s="542"/>
      <c r="DT405" s="542"/>
      <c r="DU405" s="542"/>
      <c r="DV405" s="542"/>
      <c r="DW405" s="542"/>
      <c r="DX405" s="542"/>
      <c r="DY405" s="542"/>
      <c r="DZ405" s="542"/>
      <c r="EA405" s="542"/>
      <c r="EB405" s="542"/>
      <c r="EC405" s="542"/>
      <c r="ED405" s="542"/>
      <c r="EE405" s="542"/>
      <c r="EF405" s="542"/>
      <c r="EG405" s="542"/>
      <c r="EH405" s="542"/>
      <c r="EI405" s="542"/>
      <c r="EJ405" s="542"/>
      <c r="EK405" s="542"/>
      <c r="EL405" s="542"/>
      <c r="EM405" s="542"/>
      <c r="EN405" s="542"/>
      <c r="EO405" s="542"/>
      <c r="EP405" s="542"/>
      <c r="EQ405" s="542"/>
      <c r="ER405" s="542"/>
      <c r="ES405" s="542"/>
      <c r="ET405" s="542"/>
      <c r="EU405" s="542"/>
      <c r="EV405" s="542"/>
      <c r="EW405" s="542"/>
      <c r="EX405" s="542"/>
      <c r="EY405" s="542"/>
      <c r="EZ405" s="542"/>
      <c r="FA405" s="542"/>
      <c r="FB405" s="542"/>
      <c r="FC405" s="542"/>
      <c r="FD405" s="542"/>
      <c r="FE405" s="542"/>
      <c r="FF405" s="542"/>
      <c r="FG405" s="542"/>
      <c r="FH405" s="542"/>
      <c r="FI405" s="542"/>
      <c r="FJ405" s="542"/>
      <c r="FK405" s="542"/>
      <c r="FL405" s="542"/>
      <c r="FM405" s="542"/>
      <c r="FN405" s="542"/>
      <c r="FO405" s="542"/>
      <c r="FP405" s="542"/>
      <c r="FQ405" s="542"/>
      <c r="FR405" s="542"/>
      <c r="FS405" s="542"/>
      <c r="FT405" s="542"/>
      <c r="FU405" s="542"/>
      <c r="FV405" s="542"/>
      <c r="FW405" s="542"/>
      <c r="FX405" s="542"/>
      <c r="FY405" s="542"/>
      <c r="FZ405" s="542"/>
      <c r="GA405" s="542"/>
      <c r="GB405" s="542"/>
      <c r="GC405" s="542"/>
      <c r="GD405" s="542"/>
      <c r="GE405" s="542"/>
      <c r="GF405" s="542"/>
      <c r="GG405" s="542"/>
      <c r="GH405" s="542"/>
      <c r="GI405" s="542"/>
      <c r="GJ405" s="542"/>
      <c r="GK405" s="542"/>
      <c r="GL405" s="542"/>
      <c r="GM405" s="542"/>
      <c r="GN405" s="542"/>
      <c r="GO405" s="542"/>
      <c r="GP405" s="542"/>
      <c r="GQ405" s="542"/>
      <c r="GR405" s="542"/>
      <c r="GS405" s="542"/>
      <c r="GT405" s="542"/>
      <c r="GU405" s="542"/>
      <c r="GV405" s="542"/>
      <c r="GW405" s="542"/>
      <c r="GX405" s="542"/>
      <c r="GY405" s="542"/>
      <c r="GZ405" s="542"/>
      <c r="HA405" s="542"/>
      <c r="HB405" s="542"/>
      <c r="HC405" s="542"/>
      <c r="HD405" s="542"/>
      <c r="HE405" s="542"/>
      <c r="HF405" s="542"/>
      <c r="HG405" s="542"/>
      <c r="HH405" s="542"/>
      <c r="HI405" s="542"/>
      <c r="HJ405" s="542"/>
      <c r="HK405" s="542"/>
      <c r="HL405" s="542"/>
      <c r="HM405" s="542"/>
      <c r="HN405" s="542"/>
      <c r="HO405" s="542"/>
      <c r="HP405" s="542"/>
      <c r="HQ405" s="542"/>
      <c r="HR405" s="542"/>
      <c r="HS405" s="542"/>
      <c r="HT405" s="542"/>
      <c r="HU405" s="542"/>
      <c r="HV405" s="542"/>
      <c r="HW405" s="542"/>
      <c r="HX405" s="542"/>
      <c r="HY405" s="542"/>
      <c r="HZ405" s="542"/>
      <c r="IA405" s="542"/>
      <c r="IB405" s="542"/>
      <c r="IC405" s="542"/>
      <c r="ID405" s="542"/>
      <c r="IE405" s="542"/>
      <c r="IF405" s="542"/>
      <c r="IG405" s="542"/>
      <c r="IH405" s="542"/>
      <c r="II405" s="542"/>
      <c r="IJ405" s="542"/>
      <c r="IK405" s="542"/>
      <c r="IL405" s="542"/>
      <c r="IM405" s="542"/>
      <c r="IN405" s="542"/>
      <c r="IO405" s="542"/>
      <c r="IP405" s="542"/>
      <c r="IQ405" s="542"/>
      <c r="IR405" s="542"/>
      <c r="IS405" s="542"/>
      <c r="IT405" s="542"/>
      <c r="IU405" s="542"/>
      <c r="IV405" s="542"/>
      <c r="IW405" s="542"/>
      <c r="IX405" s="542"/>
      <c r="IY405" s="542"/>
      <c r="IZ405" s="542"/>
      <c r="JA405" s="542"/>
      <c r="JB405" s="542"/>
    </row>
    <row r="406" spans="104:262" ht="18.899999999999999" customHeight="1">
      <c r="CZ406" s="542"/>
      <c r="DA406" s="542"/>
      <c r="DB406" s="542"/>
      <c r="DC406" s="542"/>
      <c r="DD406" s="542"/>
      <c r="DE406" s="542"/>
      <c r="DF406" s="542"/>
      <c r="DG406" s="542"/>
      <c r="DH406" s="542"/>
      <c r="DI406" s="542"/>
      <c r="DJ406" s="542"/>
      <c r="DK406" s="542"/>
      <c r="DL406" s="542"/>
      <c r="DM406" s="542"/>
      <c r="DN406" s="542"/>
      <c r="DO406" s="542"/>
      <c r="DP406" s="542"/>
      <c r="DQ406" s="542"/>
      <c r="DR406" s="542"/>
      <c r="DS406" s="542"/>
      <c r="DT406" s="542"/>
      <c r="DU406" s="542"/>
      <c r="DV406" s="542"/>
      <c r="DW406" s="542"/>
      <c r="DX406" s="542"/>
      <c r="DY406" s="542"/>
      <c r="DZ406" s="542"/>
      <c r="EA406" s="542"/>
      <c r="EB406" s="542"/>
      <c r="EC406" s="542"/>
      <c r="ED406" s="542"/>
      <c r="EE406" s="542"/>
      <c r="EF406" s="542"/>
      <c r="EG406" s="542"/>
      <c r="EH406" s="542"/>
      <c r="EI406" s="542"/>
      <c r="EJ406" s="542"/>
      <c r="EK406" s="542"/>
      <c r="EL406" s="542"/>
      <c r="EM406" s="542"/>
      <c r="EN406" s="542"/>
      <c r="EO406" s="542"/>
      <c r="EP406" s="542"/>
      <c r="EQ406" s="542"/>
      <c r="ER406" s="542"/>
      <c r="ES406" s="542"/>
      <c r="ET406" s="542"/>
      <c r="EU406" s="542"/>
      <c r="EV406" s="542"/>
      <c r="EW406" s="542"/>
      <c r="EX406" s="542"/>
      <c r="EY406" s="542"/>
      <c r="EZ406" s="542"/>
      <c r="FA406" s="542"/>
      <c r="FB406" s="542"/>
      <c r="FC406" s="542"/>
      <c r="FD406" s="542"/>
      <c r="FE406" s="542"/>
      <c r="FF406" s="542"/>
      <c r="FG406" s="542"/>
      <c r="FH406" s="542"/>
      <c r="FI406" s="542"/>
      <c r="FJ406" s="542"/>
      <c r="FK406" s="542"/>
      <c r="FL406" s="542"/>
      <c r="FM406" s="542"/>
      <c r="FN406" s="542"/>
      <c r="FO406" s="542"/>
      <c r="FP406" s="542"/>
      <c r="FQ406" s="542"/>
      <c r="FR406" s="542"/>
      <c r="FS406" s="542"/>
      <c r="FT406" s="542"/>
      <c r="FU406" s="542"/>
      <c r="FV406" s="542"/>
      <c r="FW406" s="542"/>
      <c r="FX406" s="542"/>
      <c r="FY406" s="542"/>
      <c r="FZ406" s="542"/>
      <c r="GA406" s="542"/>
      <c r="GB406" s="542"/>
      <c r="GC406" s="542"/>
      <c r="GD406" s="542"/>
      <c r="GE406" s="542"/>
      <c r="GF406" s="542"/>
      <c r="GG406" s="542"/>
      <c r="GH406" s="542"/>
      <c r="GI406" s="542"/>
      <c r="GJ406" s="542"/>
      <c r="GK406" s="542"/>
      <c r="GL406" s="542"/>
      <c r="GM406" s="542"/>
      <c r="GN406" s="542"/>
      <c r="GO406" s="542"/>
      <c r="GP406" s="542"/>
      <c r="GQ406" s="542"/>
      <c r="GR406" s="542"/>
      <c r="GS406" s="542"/>
      <c r="GT406" s="542"/>
      <c r="GU406" s="542"/>
      <c r="GV406" s="542"/>
      <c r="GW406" s="542"/>
      <c r="GX406" s="542"/>
      <c r="GY406" s="542"/>
      <c r="GZ406" s="542"/>
      <c r="HA406" s="542"/>
      <c r="HB406" s="542"/>
      <c r="HC406" s="542"/>
      <c r="HD406" s="542"/>
      <c r="HE406" s="542"/>
      <c r="HF406" s="542"/>
      <c r="HG406" s="542"/>
      <c r="HH406" s="542"/>
      <c r="HI406" s="542"/>
      <c r="HJ406" s="542"/>
      <c r="HK406" s="542"/>
      <c r="HL406" s="542"/>
      <c r="HM406" s="542"/>
      <c r="HN406" s="542"/>
      <c r="HO406" s="542"/>
      <c r="HP406" s="542"/>
      <c r="HQ406" s="542"/>
      <c r="HR406" s="542"/>
      <c r="HS406" s="542"/>
      <c r="HT406" s="542"/>
      <c r="HU406" s="542"/>
      <c r="HV406" s="542"/>
      <c r="HW406" s="542"/>
      <c r="HX406" s="542"/>
      <c r="HY406" s="542"/>
      <c r="HZ406" s="542"/>
      <c r="IA406" s="542"/>
      <c r="IB406" s="542"/>
      <c r="IC406" s="542"/>
      <c r="ID406" s="542"/>
      <c r="IE406" s="542"/>
      <c r="IF406" s="542"/>
      <c r="IG406" s="542"/>
      <c r="IH406" s="542"/>
      <c r="II406" s="542"/>
      <c r="IJ406" s="542"/>
      <c r="IK406" s="542"/>
      <c r="IL406" s="542"/>
      <c r="IM406" s="542"/>
      <c r="IN406" s="542"/>
      <c r="IO406" s="542"/>
      <c r="IP406" s="542"/>
      <c r="IQ406" s="542"/>
      <c r="IR406" s="542"/>
      <c r="IS406" s="542"/>
      <c r="IT406" s="542"/>
      <c r="IU406" s="542"/>
      <c r="IV406" s="542"/>
      <c r="IW406" s="542"/>
      <c r="IX406" s="542"/>
      <c r="IY406" s="542"/>
      <c r="IZ406" s="542"/>
      <c r="JA406" s="542"/>
      <c r="JB406" s="542"/>
    </row>
    <row r="407" spans="104:262" ht="18.899999999999999" customHeight="1">
      <c r="CZ407" s="542"/>
      <c r="DA407" s="542"/>
      <c r="DB407" s="542"/>
      <c r="DC407" s="542"/>
      <c r="DD407" s="542"/>
      <c r="DE407" s="542"/>
      <c r="DF407" s="542"/>
      <c r="DG407" s="542"/>
      <c r="DH407" s="542"/>
      <c r="DI407" s="542"/>
      <c r="DJ407" s="542"/>
      <c r="DK407" s="542"/>
      <c r="DL407" s="542"/>
      <c r="DM407" s="542"/>
      <c r="DN407" s="542"/>
      <c r="DO407" s="542"/>
      <c r="DP407" s="542"/>
      <c r="DQ407" s="542"/>
      <c r="DR407" s="542"/>
      <c r="DS407" s="542"/>
      <c r="DT407" s="542"/>
      <c r="DU407" s="542"/>
      <c r="DV407" s="542"/>
      <c r="DW407" s="542"/>
      <c r="DX407" s="542"/>
      <c r="DY407" s="542"/>
      <c r="DZ407" s="542"/>
      <c r="EA407" s="542"/>
      <c r="EB407" s="542"/>
      <c r="EC407" s="542"/>
      <c r="ED407" s="542"/>
      <c r="EE407" s="542"/>
      <c r="EF407" s="542"/>
      <c r="EG407" s="542"/>
      <c r="EH407" s="542"/>
      <c r="EI407" s="542"/>
      <c r="EJ407" s="542"/>
      <c r="EK407" s="542"/>
      <c r="EL407" s="542"/>
      <c r="EM407" s="542"/>
      <c r="EN407" s="542"/>
      <c r="EO407" s="542"/>
      <c r="EP407" s="542"/>
      <c r="EQ407" s="542"/>
      <c r="ER407" s="542"/>
      <c r="ES407" s="542"/>
      <c r="ET407" s="542"/>
      <c r="EU407" s="542"/>
      <c r="EV407" s="542"/>
      <c r="EW407" s="542"/>
      <c r="EX407" s="542"/>
      <c r="EY407" s="542"/>
      <c r="EZ407" s="542"/>
      <c r="FA407" s="542"/>
      <c r="FB407" s="542"/>
      <c r="FC407" s="542"/>
      <c r="FD407" s="542"/>
      <c r="FE407" s="542"/>
      <c r="FF407" s="542"/>
      <c r="FG407" s="542"/>
      <c r="FH407" s="542"/>
      <c r="FI407" s="542"/>
      <c r="FJ407" s="542"/>
      <c r="FK407" s="542"/>
      <c r="FL407" s="542"/>
      <c r="FM407" s="542"/>
      <c r="FN407" s="542"/>
      <c r="FO407" s="542"/>
      <c r="FP407" s="542"/>
      <c r="FQ407" s="542"/>
      <c r="FR407" s="542"/>
      <c r="FS407" s="542"/>
      <c r="FT407" s="542"/>
      <c r="FU407" s="542"/>
      <c r="FV407" s="542"/>
      <c r="FW407" s="542"/>
      <c r="FX407" s="542"/>
      <c r="FY407" s="542"/>
      <c r="FZ407" s="542"/>
      <c r="GA407" s="542"/>
      <c r="GB407" s="542"/>
      <c r="GC407" s="542"/>
      <c r="GD407" s="542"/>
      <c r="GE407" s="542"/>
      <c r="GF407" s="542"/>
      <c r="GG407" s="542"/>
      <c r="GH407" s="542"/>
      <c r="GI407" s="542"/>
      <c r="GJ407" s="542"/>
      <c r="GK407" s="542"/>
      <c r="GL407" s="542"/>
      <c r="GM407" s="542"/>
      <c r="GN407" s="542"/>
      <c r="GO407" s="542"/>
      <c r="GP407" s="542"/>
      <c r="GQ407" s="542"/>
      <c r="GR407" s="542"/>
      <c r="GS407" s="542"/>
      <c r="GT407" s="542"/>
      <c r="GU407" s="542"/>
      <c r="GV407" s="542"/>
      <c r="GW407" s="542"/>
      <c r="GX407" s="542"/>
      <c r="GY407" s="542"/>
      <c r="GZ407" s="542"/>
      <c r="HA407" s="542"/>
      <c r="HB407" s="542"/>
      <c r="HC407" s="542"/>
      <c r="HD407" s="542"/>
      <c r="HE407" s="542"/>
      <c r="HF407" s="542"/>
      <c r="HG407" s="542"/>
      <c r="HH407" s="542"/>
      <c r="HI407" s="542"/>
      <c r="HJ407" s="542"/>
      <c r="HK407" s="542"/>
      <c r="HL407" s="542"/>
      <c r="HM407" s="542"/>
      <c r="HN407" s="542"/>
      <c r="HO407" s="542"/>
      <c r="HP407" s="542"/>
      <c r="HQ407" s="542"/>
      <c r="HR407" s="542"/>
      <c r="HS407" s="542"/>
      <c r="HT407" s="542"/>
      <c r="HU407" s="542"/>
      <c r="HV407" s="542"/>
      <c r="HW407" s="542"/>
      <c r="HX407" s="542"/>
      <c r="HY407" s="542"/>
      <c r="HZ407" s="542"/>
      <c r="IA407" s="542"/>
      <c r="IB407" s="542"/>
      <c r="IC407" s="542"/>
      <c r="ID407" s="542"/>
      <c r="IE407" s="542"/>
      <c r="IF407" s="542"/>
      <c r="IG407" s="542"/>
      <c r="IH407" s="542"/>
      <c r="II407" s="542"/>
      <c r="IJ407" s="542"/>
      <c r="IK407" s="542"/>
      <c r="IL407" s="542"/>
      <c r="IM407" s="542"/>
      <c r="IN407" s="542"/>
      <c r="IO407" s="542"/>
      <c r="IP407" s="542"/>
      <c r="IQ407" s="542"/>
      <c r="IR407" s="542"/>
      <c r="IS407" s="542"/>
      <c r="IT407" s="542"/>
      <c r="IU407" s="542"/>
      <c r="IV407" s="542"/>
      <c r="IW407" s="542"/>
      <c r="IX407" s="542"/>
      <c r="IY407" s="542"/>
      <c r="IZ407" s="542"/>
      <c r="JA407" s="542"/>
      <c r="JB407" s="542"/>
    </row>
    <row r="408" spans="104:262" ht="18.899999999999999" customHeight="1">
      <c r="CZ408" s="542"/>
      <c r="DA408" s="542"/>
      <c r="DB408" s="542"/>
      <c r="DC408" s="542"/>
      <c r="DD408" s="542"/>
      <c r="DE408" s="542"/>
      <c r="DF408" s="542"/>
      <c r="DG408" s="542"/>
      <c r="DH408" s="542"/>
      <c r="DI408" s="542"/>
      <c r="DJ408" s="542"/>
      <c r="DK408" s="542"/>
      <c r="DL408" s="542"/>
      <c r="DM408" s="542"/>
      <c r="DN408" s="542"/>
      <c r="DO408" s="542"/>
      <c r="DP408" s="542"/>
      <c r="DQ408" s="542"/>
      <c r="DR408" s="542"/>
      <c r="DS408" s="542"/>
      <c r="DT408" s="542"/>
      <c r="DU408" s="542"/>
      <c r="DV408" s="542"/>
      <c r="DW408" s="542"/>
      <c r="DX408" s="542"/>
      <c r="DY408" s="542"/>
      <c r="DZ408" s="542"/>
      <c r="EA408" s="542"/>
      <c r="EB408" s="542"/>
      <c r="EC408" s="542"/>
      <c r="ED408" s="542"/>
      <c r="EE408" s="542"/>
      <c r="EF408" s="542"/>
      <c r="EG408" s="542"/>
      <c r="EH408" s="542"/>
      <c r="EI408" s="542"/>
      <c r="EJ408" s="542"/>
      <c r="EK408" s="542"/>
      <c r="EL408" s="542"/>
      <c r="EM408" s="542"/>
      <c r="EN408" s="542"/>
      <c r="EO408" s="542"/>
      <c r="EP408" s="542"/>
      <c r="EQ408" s="542"/>
      <c r="ER408" s="542"/>
      <c r="ES408" s="542"/>
      <c r="ET408" s="542"/>
      <c r="EU408" s="542"/>
      <c r="EV408" s="542"/>
      <c r="EW408" s="542"/>
      <c r="EX408" s="542"/>
      <c r="EY408" s="542"/>
      <c r="EZ408" s="542"/>
      <c r="FA408" s="542"/>
      <c r="FB408" s="542"/>
      <c r="FC408" s="542"/>
      <c r="FD408" s="542"/>
      <c r="FE408" s="542"/>
      <c r="FF408" s="542"/>
      <c r="FG408" s="542"/>
      <c r="FH408" s="542"/>
      <c r="FI408" s="542"/>
      <c r="FJ408" s="542"/>
      <c r="FK408" s="542"/>
      <c r="FL408" s="542"/>
      <c r="FM408" s="542"/>
      <c r="FN408" s="542"/>
      <c r="FO408" s="542"/>
      <c r="FP408" s="542"/>
      <c r="FQ408" s="542"/>
      <c r="FR408" s="542"/>
      <c r="FS408" s="542"/>
      <c r="FT408" s="542"/>
      <c r="FU408" s="542"/>
      <c r="FV408" s="542"/>
      <c r="FW408" s="542"/>
      <c r="FX408" s="542"/>
      <c r="FY408" s="542"/>
      <c r="FZ408" s="542"/>
      <c r="GA408" s="542"/>
      <c r="GB408" s="542"/>
      <c r="GC408" s="542"/>
      <c r="GD408" s="542"/>
      <c r="GE408" s="542"/>
      <c r="GF408" s="542"/>
      <c r="GG408" s="542"/>
      <c r="GH408" s="542"/>
      <c r="GI408" s="542"/>
      <c r="GJ408" s="542"/>
      <c r="GK408" s="542"/>
      <c r="GL408" s="542"/>
      <c r="GM408" s="542"/>
      <c r="GN408" s="542"/>
      <c r="GO408" s="542"/>
      <c r="GP408" s="542"/>
      <c r="GQ408" s="542"/>
      <c r="GR408" s="542"/>
      <c r="GS408" s="542"/>
      <c r="GT408" s="542"/>
      <c r="GU408" s="542"/>
      <c r="GV408" s="542"/>
      <c r="GW408" s="542"/>
      <c r="GX408" s="542"/>
      <c r="GY408" s="542"/>
      <c r="GZ408" s="542"/>
      <c r="HA408" s="542"/>
      <c r="HB408" s="542"/>
      <c r="HC408" s="542"/>
      <c r="HD408" s="542"/>
      <c r="HE408" s="542"/>
      <c r="HF408" s="542"/>
      <c r="HG408" s="542"/>
      <c r="HH408" s="542"/>
      <c r="HI408" s="542"/>
      <c r="HJ408" s="542"/>
      <c r="HK408" s="542"/>
      <c r="HL408" s="542"/>
      <c r="HM408" s="542"/>
      <c r="HN408" s="542"/>
      <c r="HO408" s="542"/>
      <c r="HP408" s="542"/>
      <c r="HQ408" s="542"/>
      <c r="HR408" s="542"/>
      <c r="HS408" s="542"/>
      <c r="HT408" s="542"/>
      <c r="HU408" s="542"/>
      <c r="HV408" s="542"/>
      <c r="HW408" s="542"/>
      <c r="HX408" s="542"/>
      <c r="HY408" s="542"/>
      <c r="HZ408" s="542"/>
      <c r="IA408" s="542"/>
      <c r="IB408" s="542"/>
      <c r="IC408" s="542"/>
      <c r="ID408" s="542"/>
      <c r="IE408" s="542"/>
      <c r="IF408" s="542"/>
      <c r="IG408" s="542"/>
      <c r="IH408" s="542"/>
      <c r="II408" s="542"/>
      <c r="IJ408" s="542"/>
      <c r="IK408" s="542"/>
      <c r="IL408" s="542"/>
      <c r="IM408" s="542"/>
      <c r="IN408" s="542"/>
      <c r="IO408" s="542"/>
      <c r="IP408" s="542"/>
      <c r="IQ408" s="542"/>
      <c r="IR408" s="542"/>
      <c r="IS408" s="542"/>
      <c r="IT408" s="542"/>
      <c r="IU408" s="542"/>
      <c r="IV408" s="542"/>
      <c r="IW408" s="542"/>
      <c r="IX408" s="542"/>
      <c r="IY408" s="542"/>
      <c r="IZ408" s="542"/>
      <c r="JA408" s="542"/>
      <c r="JB408" s="542"/>
    </row>
    <row r="409" spans="104:262" ht="18.899999999999999" customHeight="1">
      <c r="CZ409" s="542"/>
      <c r="DA409" s="542"/>
      <c r="DB409" s="542"/>
      <c r="DC409" s="542"/>
      <c r="DD409" s="542"/>
      <c r="DE409" s="542"/>
      <c r="DF409" s="542"/>
      <c r="DG409" s="542"/>
      <c r="DH409" s="542"/>
      <c r="DI409" s="542"/>
      <c r="DJ409" s="542"/>
      <c r="DK409" s="542"/>
      <c r="DL409" s="542"/>
      <c r="DM409" s="542"/>
      <c r="DN409" s="542"/>
      <c r="DO409" s="542"/>
      <c r="DP409" s="542"/>
      <c r="DQ409" s="542"/>
      <c r="DR409" s="542"/>
      <c r="DS409" s="542"/>
      <c r="DT409" s="542"/>
      <c r="DU409" s="542"/>
      <c r="DV409" s="542"/>
      <c r="DW409" s="542"/>
      <c r="DX409" s="542"/>
      <c r="DY409" s="542"/>
      <c r="DZ409" s="542"/>
      <c r="EA409" s="542"/>
      <c r="EB409" s="542"/>
      <c r="EC409" s="542"/>
      <c r="ED409" s="542"/>
      <c r="EE409" s="542"/>
      <c r="EF409" s="542"/>
      <c r="EG409" s="542"/>
      <c r="EH409" s="542"/>
      <c r="EI409" s="542"/>
      <c r="EJ409" s="542"/>
      <c r="EK409" s="542"/>
      <c r="EL409" s="542"/>
      <c r="EM409" s="542"/>
      <c r="EN409" s="542"/>
      <c r="EO409" s="542"/>
      <c r="EP409" s="542"/>
      <c r="EQ409" s="542"/>
      <c r="ER409" s="542"/>
      <c r="ES409" s="542"/>
      <c r="ET409" s="542"/>
      <c r="EU409" s="542"/>
      <c r="EV409" s="542"/>
      <c r="EW409" s="542"/>
      <c r="EX409" s="542"/>
      <c r="EY409" s="542"/>
      <c r="EZ409" s="542"/>
      <c r="FA409" s="542"/>
      <c r="FB409" s="542"/>
      <c r="FC409" s="542"/>
      <c r="FD409" s="542"/>
      <c r="FE409" s="542"/>
      <c r="FF409" s="542"/>
      <c r="FG409" s="542"/>
      <c r="FH409" s="542"/>
      <c r="FI409" s="542"/>
      <c r="FJ409" s="542"/>
      <c r="FK409" s="542"/>
      <c r="FL409" s="542"/>
      <c r="FM409" s="542"/>
      <c r="FN409" s="542"/>
      <c r="FO409" s="542"/>
      <c r="FP409" s="542"/>
      <c r="FQ409" s="542"/>
      <c r="FR409" s="542"/>
      <c r="FS409" s="542"/>
      <c r="FT409" s="542"/>
      <c r="FU409" s="542"/>
      <c r="FV409" s="542"/>
      <c r="FW409" s="542"/>
      <c r="FX409" s="542"/>
      <c r="FY409" s="542"/>
      <c r="FZ409" s="542"/>
      <c r="GA409" s="542"/>
      <c r="GB409" s="542"/>
      <c r="GC409" s="542"/>
      <c r="GD409" s="542"/>
      <c r="GE409" s="542"/>
      <c r="GF409" s="542"/>
      <c r="GG409" s="542"/>
      <c r="GH409" s="542"/>
      <c r="GI409" s="542"/>
      <c r="GJ409" s="542"/>
      <c r="GK409" s="542"/>
      <c r="GL409" s="542"/>
      <c r="GM409" s="542"/>
      <c r="GN409" s="542"/>
      <c r="GO409" s="542"/>
      <c r="GP409" s="542"/>
      <c r="GQ409" s="542"/>
      <c r="GR409" s="542"/>
      <c r="GS409" s="542"/>
      <c r="GT409" s="542"/>
      <c r="GU409" s="542"/>
      <c r="GV409" s="542"/>
      <c r="GW409" s="542"/>
      <c r="GX409" s="542"/>
      <c r="GY409" s="542"/>
      <c r="GZ409" s="542"/>
      <c r="HA409" s="542"/>
      <c r="HB409" s="542"/>
      <c r="HC409" s="542"/>
      <c r="HD409" s="542"/>
      <c r="HE409" s="542"/>
      <c r="HF409" s="542"/>
      <c r="HG409" s="542"/>
      <c r="HH409" s="542"/>
      <c r="HI409" s="542"/>
      <c r="HJ409" s="542"/>
      <c r="HK409" s="542"/>
      <c r="HL409" s="542"/>
      <c r="HM409" s="542"/>
      <c r="HN409" s="542"/>
      <c r="HO409" s="542"/>
      <c r="HP409" s="542"/>
      <c r="HQ409" s="542"/>
      <c r="HR409" s="542"/>
      <c r="HS409" s="542"/>
      <c r="HT409" s="542"/>
      <c r="HU409" s="542"/>
      <c r="HV409" s="542"/>
      <c r="HW409" s="542"/>
      <c r="HX409" s="542"/>
      <c r="HY409" s="542"/>
      <c r="HZ409" s="542"/>
      <c r="IA409" s="542"/>
      <c r="IB409" s="542"/>
      <c r="IC409" s="542"/>
      <c r="ID409" s="542"/>
      <c r="IE409" s="542"/>
      <c r="IF409" s="542"/>
      <c r="IG409" s="542"/>
      <c r="IH409" s="542"/>
      <c r="II409" s="542"/>
      <c r="IJ409" s="542"/>
      <c r="IK409" s="542"/>
      <c r="IL409" s="542"/>
      <c r="IM409" s="542"/>
      <c r="IN409" s="542"/>
      <c r="IO409" s="542"/>
      <c r="IP409" s="542"/>
      <c r="IQ409" s="542"/>
      <c r="IR409" s="542"/>
      <c r="IS409" s="542"/>
      <c r="IT409" s="542"/>
      <c r="IU409" s="542"/>
      <c r="IV409" s="542"/>
      <c r="IW409" s="542"/>
      <c r="IX409" s="542"/>
      <c r="IY409" s="542"/>
      <c r="IZ409" s="542"/>
      <c r="JA409" s="542"/>
      <c r="JB409" s="542"/>
    </row>
    <row r="410" spans="104:262" ht="18.899999999999999" customHeight="1">
      <c r="CZ410" s="542"/>
      <c r="DA410" s="542"/>
      <c r="DB410" s="542"/>
      <c r="DC410" s="542"/>
      <c r="DD410" s="542"/>
      <c r="DE410" s="542"/>
      <c r="DF410" s="542"/>
      <c r="DG410" s="542"/>
      <c r="DH410" s="542"/>
      <c r="DI410" s="542"/>
      <c r="DJ410" s="542"/>
      <c r="DK410" s="542"/>
      <c r="DL410" s="542"/>
      <c r="DM410" s="542"/>
      <c r="DN410" s="542"/>
      <c r="DO410" s="542"/>
      <c r="DP410" s="542"/>
      <c r="DQ410" s="542"/>
      <c r="DR410" s="542"/>
      <c r="DS410" s="542"/>
      <c r="DT410" s="542"/>
      <c r="DU410" s="542"/>
      <c r="DV410" s="542"/>
      <c r="DW410" s="542"/>
      <c r="DX410" s="542"/>
      <c r="DY410" s="542"/>
      <c r="DZ410" s="542"/>
      <c r="EA410" s="542"/>
      <c r="EB410" s="542"/>
      <c r="EC410" s="542"/>
      <c r="ED410" s="542"/>
      <c r="EE410" s="542"/>
      <c r="EF410" s="542"/>
      <c r="EG410" s="542"/>
      <c r="EH410" s="542"/>
      <c r="EI410" s="542"/>
      <c r="EJ410" s="542"/>
      <c r="EK410" s="542"/>
      <c r="EL410" s="542"/>
      <c r="EM410" s="542"/>
      <c r="EN410" s="542"/>
      <c r="EO410" s="542"/>
      <c r="EP410" s="542"/>
      <c r="EQ410" s="542"/>
      <c r="ER410" s="542"/>
      <c r="ES410" s="542"/>
      <c r="ET410" s="542"/>
      <c r="EU410" s="542"/>
      <c r="EV410" s="542"/>
      <c r="EW410" s="542"/>
      <c r="EX410" s="542"/>
      <c r="EY410" s="542"/>
      <c r="EZ410" s="542"/>
      <c r="FA410" s="542"/>
      <c r="FB410" s="542"/>
      <c r="FC410" s="542"/>
      <c r="FD410" s="542"/>
      <c r="FE410" s="542"/>
      <c r="FF410" s="542"/>
      <c r="FG410" s="542"/>
      <c r="FH410" s="542"/>
      <c r="FI410" s="542"/>
      <c r="FJ410" s="542"/>
      <c r="FK410" s="542"/>
      <c r="FL410" s="542"/>
      <c r="FM410" s="542"/>
      <c r="FN410" s="542"/>
      <c r="FO410" s="542"/>
      <c r="FP410" s="542"/>
      <c r="FQ410" s="542"/>
      <c r="FR410" s="542"/>
      <c r="FS410" s="542"/>
      <c r="FT410" s="542"/>
      <c r="FU410" s="542"/>
      <c r="FV410" s="542"/>
      <c r="FW410" s="542"/>
      <c r="FX410" s="542"/>
      <c r="FY410" s="542"/>
      <c r="FZ410" s="542"/>
      <c r="GA410" s="542"/>
      <c r="GB410" s="542"/>
      <c r="GC410" s="542"/>
      <c r="GD410" s="542"/>
      <c r="GE410" s="542"/>
      <c r="GF410" s="542"/>
      <c r="GG410" s="542"/>
      <c r="GH410" s="542"/>
      <c r="GI410" s="542"/>
      <c r="GJ410" s="542"/>
      <c r="GK410" s="542"/>
      <c r="GL410" s="542"/>
      <c r="GM410" s="542"/>
      <c r="GN410" s="542"/>
      <c r="GO410" s="542"/>
      <c r="GP410" s="542"/>
      <c r="GQ410" s="542"/>
      <c r="GR410" s="542"/>
      <c r="GS410" s="542"/>
      <c r="GT410" s="542"/>
      <c r="GU410" s="542"/>
      <c r="GV410" s="542"/>
      <c r="GW410" s="542"/>
      <c r="GX410" s="542"/>
      <c r="GY410" s="542"/>
      <c r="GZ410" s="542"/>
      <c r="HA410" s="542"/>
      <c r="HB410" s="542"/>
      <c r="HC410" s="542"/>
      <c r="HD410" s="542"/>
      <c r="HE410" s="542"/>
      <c r="HF410" s="542"/>
      <c r="HG410" s="542"/>
      <c r="HH410" s="542"/>
      <c r="HI410" s="542"/>
      <c r="HJ410" s="542"/>
      <c r="HK410" s="542"/>
      <c r="HL410" s="542"/>
      <c r="HM410" s="542"/>
      <c r="HN410" s="542"/>
      <c r="HO410" s="542"/>
      <c r="HP410" s="542"/>
      <c r="HQ410" s="542"/>
      <c r="HR410" s="542"/>
      <c r="HS410" s="542"/>
      <c r="HT410" s="542"/>
      <c r="HU410" s="542"/>
      <c r="HV410" s="542"/>
      <c r="HW410" s="542"/>
      <c r="HX410" s="542"/>
      <c r="HY410" s="542"/>
      <c r="HZ410" s="542"/>
      <c r="IA410" s="542"/>
      <c r="IB410" s="542"/>
      <c r="IC410" s="542"/>
      <c r="ID410" s="542"/>
      <c r="IE410" s="542"/>
      <c r="IF410" s="542"/>
      <c r="IG410" s="542"/>
      <c r="IH410" s="542"/>
      <c r="II410" s="542"/>
      <c r="IJ410" s="542"/>
      <c r="IK410" s="542"/>
      <c r="IL410" s="542"/>
      <c r="IM410" s="542"/>
      <c r="IN410" s="542"/>
      <c r="IO410" s="542"/>
      <c r="IP410" s="542"/>
      <c r="IQ410" s="542"/>
      <c r="IR410" s="542"/>
      <c r="IS410" s="542"/>
      <c r="IT410" s="542"/>
      <c r="IU410" s="542"/>
      <c r="IV410" s="542"/>
      <c r="IW410" s="542"/>
      <c r="IX410" s="542"/>
      <c r="IY410" s="542"/>
      <c r="IZ410" s="542"/>
      <c r="JA410" s="542"/>
      <c r="JB410" s="542"/>
    </row>
    <row r="411" spans="104:262" ht="18.899999999999999" customHeight="1">
      <c r="CZ411" s="542"/>
      <c r="DA411" s="542"/>
      <c r="DB411" s="542"/>
      <c r="DC411" s="542"/>
      <c r="DD411" s="542"/>
      <c r="DE411" s="542"/>
      <c r="DF411" s="542"/>
      <c r="DG411" s="542"/>
      <c r="DH411" s="542"/>
      <c r="DI411" s="542"/>
      <c r="DJ411" s="542"/>
      <c r="DK411" s="542"/>
      <c r="DL411" s="542"/>
      <c r="DM411" s="542"/>
      <c r="DN411" s="542"/>
      <c r="DO411" s="542"/>
      <c r="DP411" s="542"/>
      <c r="DQ411" s="542"/>
      <c r="DR411" s="542"/>
      <c r="DS411" s="542"/>
      <c r="DT411" s="542"/>
      <c r="DU411" s="542"/>
      <c r="DV411" s="542"/>
      <c r="DW411" s="542"/>
      <c r="DX411" s="542"/>
      <c r="DY411" s="542"/>
      <c r="DZ411" s="542"/>
      <c r="EA411" s="542"/>
      <c r="EB411" s="542"/>
      <c r="EC411" s="542"/>
      <c r="ED411" s="542"/>
      <c r="EE411" s="542"/>
      <c r="EF411" s="542"/>
      <c r="EG411" s="542"/>
      <c r="EH411" s="542"/>
      <c r="EI411" s="542"/>
      <c r="EJ411" s="542"/>
      <c r="EK411" s="542"/>
      <c r="EL411" s="542"/>
      <c r="EM411" s="542"/>
      <c r="EN411" s="542"/>
      <c r="EO411" s="542"/>
      <c r="EP411" s="542"/>
      <c r="EQ411" s="542"/>
      <c r="ER411" s="542"/>
      <c r="ES411" s="542"/>
      <c r="ET411" s="542"/>
      <c r="EU411" s="542"/>
      <c r="EV411" s="542"/>
      <c r="EW411" s="542"/>
      <c r="EX411" s="542"/>
      <c r="EY411" s="542"/>
      <c r="EZ411" s="542"/>
      <c r="FA411" s="542"/>
      <c r="FB411" s="542"/>
      <c r="FC411" s="542"/>
      <c r="FD411" s="542"/>
      <c r="FE411" s="542"/>
      <c r="FF411" s="542"/>
      <c r="FG411" s="542"/>
      <c r="FH411" s="542"/>
      <c r="FI411" s="542"/>
      <c r="FJ411" s="542"/>
      <c r="FK411" s="542"/>
      <c r="FL411" s="542"/>
      <c r="FM411" s="542"/>
      <c r="FN411" s="542"/>
      <c r="FO411" s="542"/>
      <c r="FP411" s="542"/>
      <c r="FQ411" s="542"/>
      <c r="FR411" s="542"/>
      <c r="FS411" s="542"/>
      <c r="FT411" s="542"/>
      <c r="FU411" s="542"/>
      <c r="FV411" s="542"/>
      <c r="FW411" s="542"/>
      <c r="FX411" s="542"/>
      <c r="FY411" s="542"/>
      <c r="FZ411" s="542"/>
      <c r="GA411" s="542"/>
      <c r="GB411" s="542"/>
      <c r="GC411" s="542"/>
      <c r="GD411" s="542"/>
      <c r="GE411" s="542"/>
      <c r="GF411" s="542"/>
      <c r="GG411" s="542"/>
      <c r="GH411" s="542"/>
      <c r="GI411" s="542"/>
      <c r="GJ411" s="542"/>
      <c r="GK411" s="542"/>
      <c r="GL411" s="542"/>
      <c r="GM411" s="542"/>
      <c r="GN411" s="542"/>
      <c r="GO411" s="542"/>
      <c r="GP411" s="542"/>
      <c r="GQ411" s="542"/>
      <c r="GR411" s="542"/>
      <c r="GS411" s="542"/>
      <c r="GT411" s="542"/>
      <c r="GU411" s="542"/>
      <c r="GV411" s="542"/>
      <c r="GW411" s="542"/>
      <c r="GX411" s="542"/>
      <c r="GY411" s="542"/>
      <c r="GZ411" s="542"/>
      <c r="HA411" s="542"/>
      <c r="HB411" s="542"/>
      <c r="HC411" s="542"/>
      <c r="HD411" s="542"/>
      <c r="HE411" s="542"/>
      <c r="HF411" s="542"/>
      <c r="HG411" s="542"/>
      <c r="HH411" s="542"/>
      <c r="HI411" s="542"/>
      <c r="HJ411" s="542"/>
      <c r="HK411" s="542"/>
      <c r="HL411" s="542"/>
      <c r="HM411" s="542"/>
      <c r="HN411" s="542"/>
      <c r="HO411" s="542"/>
      <c r="HP411" s="542"/>
      <c r="HQ411" s="542"/>
      <c r="HR411" s="542"/>
      <c r="HS411" s="542"/>
      <c r="HT411" s="542"/>
      <c r="HU411" s="542"/>
      <c r="HV411" s="542"/>
      <c r="HW411" s="542"/>
      <c r="HX411" s="542"/>
      <c r="HY411" s="542"/>
      <c r="HZ411" s="542"/>
      <c r="IA411" s="542"/>
      <c r="IB411" s="542"/>
      <c r="IC411" s="542"/>
      <c r="ID411" s="542"/>
      <c r="IE411" s="542"/>
      <c r="IF411" s="542"/>
      <c r="IG411" s="542"/>
      <c r="IH411" s="542"/>
      <c r="II411" s="542"/>
      <c r="IJ411" s="542"/>
      <c r="IK411" s="542"/>
      <c r="IL411" s="542"/>
      <c r="IM411" s="542"/>
      <c r="IN411" s="542"/>
      <c r="IO411" s="542"/>
      <c r="IP411" s="542"/>
      <c r="IQ411" s="542"/>
      <c r="IR411" s="542"/>
      <c r="IS411" s="542"/>
      <c r="IT411" s="542"/>
      <c r="IU411" s="542"/>
      <c r="IV411" s="542"/>
      <c r="IW411" s="542"/>
      <c r="IX411" s="542"/>
      <c r="IY411" s="542"/>
      <c r="IZ411" s="542"/>
      <c r="JA411" s="542"/>
      <c r="JB411" s="542"/>
    </row>
    <row r="412" spans="104:262" ht="18.899999999999999" customHeight="1">
      <c r="CZ412" s="542"/>
      <c r="DA412" s="542"/>
      <c r="DB412" s="542"/>
      <c r="DC412" s="542"/>
      <c r="DD412" s="542"/>
      <c r="DE412" s="542"/>
      <c r="DF412" s="542"/>
      <c r="DG412" s="542"/>
      <c r="DH412" s="542"/>
      <c r="DI412" s="542"/>
      <c r="DJ412" s="542"/>
      <c r="DK412" s="542"/>
      <c r="DL412" s="542"/>
      <c r="DM412" s="542"/>
      <c r="DN412" s="542"/>
      <c r="DO412" s="542"/>
      <c r="DP412" s="542"/>
      <c r="DQ412" s="542"/>
      <c r="DR412" s="542"/>
      <c r="DS412" s="542"/>
      <c r="DT412" s="542"/>
      <c r="DU412" s="542"/>
      <c r="DV412" s="542"/>
      <c r="DW412" s="542"/>
      <c r="DX412" s="542"/>
      <c r="DY412" s="542"/>
      <c r="DZ412" s="542"/>
      <c r="EA412" s="542"/>
      <c r="EB412" s="542"/>
      <c r="EC412" s="542"/>
      <c r="ED412" s="542"/>
      <c r="EE412" s="542"/>
      <c r="EF412" s="542"/>
      <c r="EG412" s="542"/>
      <c r="EH412" s="542"/>
      <c r="EI412" s="542"/>
      <c r="EJ412" s="542"/>
      <c r="EK412" s="542"/>
      <c r="EL412" s="542"/>
      <c r="EM412" s="542"/>
      <c r="EN412" s="542"/>
      <c r="EO412" s="542"/>
      <c r="EP412" s="542"/>
      <c r="EQ412" s="542"/>
      <c r="ER412" s="542"/>
      <c r="ES412" s="542"/>
      <c r="ET412" s="542"/>
      <c r="EU412" s="542"/>
      <c r="EV412" s="542"/>
      <c r="EW412" s="542"/>
      <c r="EX412" s="542"/>
      <c r="EY412" s="542"/>
      <c r="EZ412" s="542"/>
      <c r="FA412" s="542"/>
      <c r="FB412" s="542"/>
      <c r="FC412" s="542"/>
      <c r="FD412" s="542"/>
      <c r="FE412" s="542"/>
      <c r="FF412" s="542"/>
      <c r="FG412" s="542"/>
      <c r="FH412" s="542"/>
      <c r="FI412" s="542"/>
      <c r="FJ412" s="542"/>
      <c r="FK412" s="542"/>
      <c r="FL412" s="542"/>
      <c r="FM412" s="542"/>
      <c r="FN412" s="542"/>
      <c r="FO412" s="542"/>
      <c r="FP412" s="542"/>
      <c r="FQ412" s="542"/>
      <c r="FR412" s="542"/>
      <c r="FS412" s="542"/>
      <c r="FT412" s="542"/>
      <c r="FU412" s="542"/>
      <c r="FV412" s="542"/>
      <c r="FW412" s="542"/>
      <c r="FX412" s="542"/>
      <c r="FY412" s="542"/>
      <c r="FZ412" s="542"/>
      <c r="GA412" s="542"/>
      <c r="GB412" s="542"/>
      <c r="GC412" s="542"/>
      <c r="GD412" s="542"/>
      <c r="GE412" s="542"/>
      <c r="GF412" s="542"/>
      <c r="GG412" s="542"/>
      <c r="GH412" s="542"/>
      <c r="GI412" s="542"/>
      <c r="GJ412" s="542"/>
      <c r="GK412" s="542"/>
      <c r="GL412" s="542"/>
      <c r="GM412" s="542"/>
      <c r="GN412" s="542"/>
      <c r="GO412" s="542"/>
      <c r="GP412" s="542"/>
      <c r="GQ412" s="542"/>
      <c r="GR412" s="542"/>
      <c r="GS412" s="542"/>
      <c r="GT412" s="542"/>
      <c r="GU412" s="542"/>
      <c r="GV412" s="542"/>
      <c r="GW412" s="542"/>
      <c r="GX412" s="542"/>
      <c r="GY412" s="542"/>
      <c r="GZ412" s="542"/>
      <c r="HA412" s="542"/>
      <c r="HB412" s="542"/>
      <c r="HC412" s="542"/>
      <c r="HD412" s="542"/>
      <c r="HE412" s="542"/>
      <c r="HF412" s="542"/>
      <c r="HG412" s="542"/>
      <c r="HH412" s="542"/>
      <c r="HI412" s="542"/>
      <c r="HJ412" s="542"/>
      <c r="HK412" s="542"/>
      <c r="HL412" s="542"/>
      <c r="HM412" s="542"/>
      <c r="HN412" s="542"/>
      <c r="HO412" s="542"/>
      <c r="HP412" s="542"/>
      <c r="HQ412" s="542"/>
      <c r="HR412" s="542"/>
      <c r="HS412" s="542"/>
      <c r="HT412" s="542"/>
      <c r="HU412" s="542"/>
      <c r="HV412" s="542"/>
      <c r="HW412" s="542"/>
      <c r="HX412" s="542"/>
      <c r="HY412" s="542"/>
      <c r="HZ412" s="542"/>
      <c r="IA412" s="542"/>
      <c r="IB412" s="542"/>
      <c r="IC412" s="542"/>
      <c r="ID412" s="542"/>
      <c r="IE412" s="542"/>
      <c r="IF412" s="542"/>
      <c r="IG412" s="542"/>
      <c r="IH412" s="542"/>
      <c r="II412" s="542"/>
      <c r="IJ412" s="542"/>
      <c r="IK412" s="542"/>
      <c r="IL412" s="542"/>
      <c r="IM412" s="542"/>
      <c r="IN412" s="542"/>
      <c r="IO412" s="542"/>
      <c r="IP412" s="542"/>
      <c r="IQ412" s="542"/>
      <c r="IR412" s="542"/>
      <c r="IS412" s="542"/>
      <c r="IT412" s="542"/>
      <c r="IU412" s="542"/>
      <c r="IV412" s="542"/>
      <c r="IW412" s="542"/>
      <c r="IX412" s="542"/>
      <c r="IY412" s="542"/>
      <c r="IZ412" s="542"/>
      <c r="JA412" s="542"/>
      <c r="JB412" s="542"/>
    </row>
    <row r="413" spans="104:262" ht="18.899999999999999" customHeight="1">
      <c r="CZ413" s="542"/>
      <c r="DA413" s="542"/>
      <c r="DB413" s="542"/>
      <c r="DC413" s="542"/>
      <c r="DD413" s="542"/>
      <c r="DE413" s="542"/>
      <c r="DF413" s="542"/>
      <c r="DG413" s="542"/>
      <c r="DH413" s="542"/>
      <c r="DI413" s="542"/>
      <c r="DJ413" s="542"/>
      <c r="DK413" s="542"/>
      <c r="DL413" s="542"/>
      <c r="DM413" s="542"/>
      <c r="DN413" s="542"/>
      <c r="DO413" s="542"/>
      <c r="DP413" s="542"/>
      <c r="DQ413" s="542"/>
      <c r="DR413" s="542"/>
      <c r="DS413" s="542"/>
      <c r="DT413" s="542"/>
      <c r="DU413" s="542"/>
      <c r="DV413" s="542"/>
      <c r="DW413" s="542"/>
      <c r="DX413" s="542"/>
      <c r="DY413" s="542"/>
      <c r="DZ413" s="542"/>
      <c r="EA413" s="542"/>
      <c r="EB413" s="542"/>
      <c r="EC413" s="542"/>
      <c r="ED413" s="542"/>
      <c r="EE413" s="542"/>
      <c r="EF413" s="542"/>
      <c r="EG413" s="542"/>
      <c r="EH413" s="542"/>
      <c r="EI413" s="542"/>
      <c r="EJ413" s="542"/>
      <c r="EK413" s="542"/>
      <c r="EL413" s="542"/>
      <c r="EM413" s="542"/>
      <c r="EN413" s="542"/>
      <c r="EO413" s="542"/>
      <c r="EP413" s="542"/>
      <c r="EQ413" s="542"/>
      <c r="ER413" s="542"/>
      <c r="ES413" s="542"/>
      <c r="ET413" s="542"/>
      <c r="EU413" s="542"/>
      <c r="EV413" s="542"/>
      <c r="EW413" s="542"/>
      <c r="EX413" s="542"/>
      <c r="EY413" s="542"/>
      <c r="EZ413" s="542"/>
      <c r="FA413" s="542"/>
      <c r="FB413" s="542"/>
      <c r="FC413" s="542"/>
      <c r="FD413" s="542"/>
      <c r="FE413" s="542"/>
      <c r="FF413" s="542"/>
      <c r="FG413" s="542"/>
      <c r="FH413" s="542"/>
      <c r="FI413" s="542"/>
      <c r="FJ413" s="542"/>
      <c r="FK413" s="542"/>
      <c r="FL413" s="542"/>
      <c r="FM413" s="542"/>
      <c r="FN413" s="542"/>
      <c r="FO413" s="542"/>
      <c r="FP413" s="542"/>
      <c r="FQ413" s="542"/>
      <c r="FR413" s="542"/>
      <c r="FS413" s="542"/>
      <c r="FT413" s="542"/>
      <c r="FU413" s="542"/>
      <c r="FV413" s="542"/>
      <c r="FW413" s="542"/>
      <c r="FX413" s="542"/>
      <c r="FY413" s="542"/>
      <c r="FZ413" s="542"/>
      <c r="GA413" s="542"/>
      <c r="GB413" s="542"/>
      <c r="GC413" s="542"/>
      <c r="GD413" s="542"/>
      <c r="GE413" s="542"/>
      <c r="GF413" s="542"/>
      <c r="GG413" s="542"/>
      <c r="GH413" s="542"/>
      <c r="GI413" s="542"/>
      <c r="GJ413" s="542"/>
      <c r="GK413" s="542"/>
      <c r="GL413" s="542"/>
      <c r="GM413" s="542"/>
      <c r="GN413" s="542"/>
      <c r="GO413" s="542"/>
      <c r="GP413" s="542"/>
      <c r="GQ413" s="542"/>
      <c r="GR413" s="542"/>
      <c r="GS413" s="542"/>
      <c r="GT413" s="542"/>
      <c r="GU413" s="542"/>
      <c r="GV413" s="542"/>
      <c r="GW413" s="542"/>
      <c r="GX413" s="542"/>
      <c r="GY413" s="542"/>
      <c r="GZ413" s="542"/>
      <c r="HA413" s="542"/>
      <c r="HB413" s="542"/>
      <c r="HC413" s="542"/>
      <c r="HD413" s="542"/>
      <c r="HE413" s="542"/>
      <c r="HF413" s="542"/>
      <c r="HG413" s="542"/>
      <c r="HH413" s="542"/>
      <c r="HI413" s="542"/>
      <c r="HJ413" s="542"/>
      <c r="HK413" s="542"/>
      <c r="HL413" s="542"/>
      <c r="HM413" s="542"/>
      <c r="HN413" s="542"/>
      <c r="HO413" s="542"/>
      <c r="HP413" s="542"/>
      <c r="HQ413" s="542"/>
      <c r="HR413" s="542"/>
      <c r="HS413" s="542"/>
      <c r="HT413" s="542"/>
      <c r="HU413" s="542"/>
      <c r="HV413" s="542"/>
      <c r="HW413" s="542"/>
      <c r="HX413" s="542"/>
      <c r="HY413" s="542"/>
      <c r="HZ413" s="542"/>
      <c r="IA413" s="542"/>
      <c r="IB413" s="542"/>
      <c r="IC413" s="542"/>
      <c r="ID413" s="542"/>
      <c r="IE413" s="542"/>
      <c r="IF413" s="542"/>
      <c r="IG413" s="542"/>
      <c r="IH413" s="542"/>
      <c r="II413" s="542"/>
      <c r="IJ413" s="542"/>
      <c r="IK413" s="542"/>
      <c r="IL413" s="542"/>
      <c r="IM413" s="542"/>
      <c r="IN413" s="542"/>
      <c r="IO413" s="542"/>
      <c r="IP413" s="542"/>
      <c r="IQ413" s="542"/>
      <c r="IR413" s="542"/>
      <c r="IS413" s="542"/>
      <c r="IT413" s="542"/>
      <c r="IU413" s="542"/>
      <c r="IV413" s="542"/>
      <c r="IW413" s="542"/>
      <c r="IX413" s="542"/>
      <c r="IY413" s="542"/>
      <c r="IZ413" s="542"/>
      <c r="JA413" s="542"/>
      <c r="JB413" s="542"/>
    </row>
    <row r="414" spans="104:262" ht="18.899999999999999" customHeight="1">
      <c r="CZ414" s="542"/>
      <c r="DA414" s="542"/>
      <c r="DB414" s="542"/>
      <c r="DC414" s="542"/>
      <c r="DD414" s="542"/>
      <c r="DE414" s="542"/>
      <c r="DF414" s="542"/>
      <c r="DG414" s="542"/>
      <c r="DH414" s="542"/>
      <c r="DI414" s="542"/>
      <c r="DJ414" s="542"/>
      <c r="DK414" s="542"/>
      <c r="DL414" s="542"/>
      <c r="DM414" s="542"/>
      <c r="DN414" s="542"/>
      <c r="DO414" s="542"/>
      <c r="DP414" s="542"/>
      <c r="DQ414" s="542"/>
      <c r="DR414" s="542"/>
      <c r="DS414" s="542"/>
      <c r="DT414" s="542"/>
      <c r="DU414" s="542"/>
      <c r="DV414" s="542"/>
      <c r="DW414" s="542"/>
      <c r="DX414" s="542"/>
      <c r="DY414" s="542"/>
      <c r="DZ414" s="542"/>
      <c r="EA414" s="542"/>
      <c r="EB414" s="542"/>
      <c r="EC414" s="542"/>
      <c r="ED414" s="542"/>
      <c r="EE414" s="542"/>
      <c r="EF414" s="542"/>
      <c r="EG414" s="542"/>
      <c r="EH414" s="542"/>
      <c r="EI414" s="542"/>
      <c r="EJ414" s="542"/>
      <c r="EK414" s="542"/>
      <c r="EL414" s="542"/>
      <c r="EM414" s="542"/>
      <c r="EN414" s="542"/>
      <c r="EO414" s="542"/>
      <c r="EP414" s="542"/>
      <c r="EQ414" s="542"/>
      <c r="ER414" s="542"/>
      <c r="ES414" s="542"/>
      <c r="ET414" s="542"/>
      <c r="EU414" s="542"/>
      <c r="EV414" s="542"/>
      <c r="EW414" s="542"/>
      <c r="EX414" s="542"/>
      <c r="EY414" s="542"/>
      <c r="EZ414" s="542"/>
      <c r="FA414" s="542"/>
      <c r="FB414" s="542"/>
      <c r="FC414" s="542"/>
      <c r="FD414" s="542"/>
      <c r="FE414" s="542"/>
      <c r="FF414" s="542"/>
      <c r="FG414" s="542"/>
      <c r="FH414" s="542"/>
      <c r="FI414" s="542"/>
      <c r="FJ414" s="542"/>
      <c r="FK414" s="542"/>
      <c r="FL414" s="542"/>
      <c r="FM414" s="542"/>
      <c r="FN414" s="542"/>
      <c r="FO414" s="542"/>
      <c r="FP414" s="542"/>
      <c r="FQ414" s="542"/>
      <c r="FR414" s="542"/>
      <c r="FS414" s="542"/>
      <c r="FT414" s="542"/>
      <c r="FU414" s="542"/>
      <c r="FV414" s="542"/>
      <c r="FW414" s="542"/>
      <c r="FX414" s="542"/>
      <c r="FY414" s="542"/>
      <c r="FZ414" s="542"/>
      <c r="GA414" s="542"/>
      <c r="GB414" s="542"/>
      <c r="GC414" s="542"/>
      <c r="GD414" s="542"/>
      <c r="GE414" s="542"/>
      <c r="GF414" s="542"/>
      <c r="GG414" s="542"/>
      <c r="GH414" s="542"/>
      <c r="GI414" s="542"/>
      <c r="GJ414" s="542"/>
      <c r="GK414" s="542"/>
      <c r="GL414" s="542"/>
      <c r="GM414" s="542"/>
      <c r="GN414" s="542"/>
      <c r="GO414" s="542"/>
      <c r="GP414" s="542"/>
      <c r="GQ414" s="542"/>
      <c r="GR414" s="542"/>
      <c r="GS414" s="542"/>
      <c r="GT414" s="542"/>
      <c r="GU414" s="542"/>
      <c r="GV414" s="542"/>
      <c r="GW414" s="542"/>
      <c r="GX414" s="542"/>
      <c r="GY414" s="542"/>
      <c r="GZ414" s="542"/>
      <c r="HA414" s="542"/>
      <c r="HB414" s="542"/>
      <c r="HC414" s="542"/>
      <c r="HD414" s="542"/>
      <c r="HE414" s="542"/>
      <c r="HF414" s="542"/>
      <c r="HG414" s="542"/>
      <c r="HH414" s="542"/>
      <c r="HI414" s="542"/>
      <c r="HJ414" s="542"/>
      <c r="HK414" s="542"/>
      <c r="HL414" s="542"/>
      <c r="HM414" s="542"/>
      <c r="HN414" s="542"/>
      <c r="HO414" s="542"/>
      <c r="HP414" s="542"/>
      <c r="HQ414" s="542"/>
      <c r="HR414" s="542"/>
      <c r="HS414" s="542"/>
      <c r="HT414" s="542"/>
      <c r="HU414" s="542"/>
      <c r="HV414" s="542"/>
      <c r="HW414" s="542"/>
      <c r="HX414" s="542"/>
      <c r="HY414" s="542"/>
      <c r="HZ414" s="542"/>
      <c r="IA414" s="542"/>
      <c r="IB414" s="542"/>
      <c r="IC414" s="542"/>
      <c r="ID414" s="542"/>
      <c r="IE414" s="542"/>
      <c r="IF414" s="542"/>
      <c r="IG414" s="542"/>
      <c r="IH414" s="542"/>
      <c r="II414" s="542"/>
      <c r="IJ414" s="542"/>
      <c r="IK414" s="542"/>
      <c r="IL414" s="542"/>
      <c r="IM414" s="542"/>
      <c r="IN414" s="542"/>
      <c r="IO414" s="542"/>
      <c r="IP414" s="542"/>
      <c r="IQ414" s="542"/>
      <c r="IR414" s="542"/>
      <c r="IS414" s="542"/>
      <c r="IT414" s="542"/>
      <c r="IU414" s="542"/>
      <c r="IV414" s="542"/>
      <c r="IW414" s="542"/>
      <c r="IX414" s="542"/>
      <c r="IY414" s="542"/>
      <c r="IZ414" s="542"/>
      <c r="JA414" s="542"/>
      <c r="JB414" s="542"/>
    </row>
    <row r="415" spans="104:262" ht="18.899999999999999" customHeight="1">
      <c r="CZ415" s="542"/>
      <c r="DA415" s="542"/>
      <c r="DB415" s="542"/>
      <c r="DC415" s="542"/>
      <c r="DD415" s="542"/>
      <c r="DE415" s="542"/>
      <c r="DF415" s="542"/>
      <c r="DG415" s="542"/>
      <c r="DH415" s="542"/>
      <c r="DI415" s="542"/>
      <c r="DJ415" s="542"/>
      <c r="DK415" s="542"/>
      <c r="DL415" s="542"/>
      <c r="DM415" s="542"/>
      <c r="DN415" s="542"/>
      <c r="DO415" s="542"/>
      <c r="DP415" s="542"/>
      <c r="DQ415" s="542"/>
      <c r="DR415" s="542"/>
      <c r="DS415" s="542"/>
      <c r="DT415" s="542"/>
      <c r="DU415" s="542"/>
      <c r="DV415" s="542"/>
      <c r="DW415" s="542"/>
      <c r="DX415" s="542"/>
      <c r="DY415" s="542"/>
      <c r="DZ415" s="542"/>
      <c r="EA415" s="542"/>
      <c r="EB415" s="542"/>
      <c r="EC415" s="542"/>
      <c r="ED415" s="542"/>
      <c r="EE415" s="542"/>
      <c r="EF415" s="542"/>
      <c r="EG415" s="542"/>
      <c r="EH415" s="542"/>
      <c r="EI415" s="542"/>
      <c r="EJ415" s="542"/>
      <c r="EK415" s="542"/>
      <c r="EL415" s="542"/>
      <c r="EM415" s="542"/>
      <c r="EN415" s="542"/>
      <c r="EO415" s="542"/>
      <c r="EP415" s="542"/>
      <c r="EQ415" s="542"/>
      <c r="ER415" s="542"/>
      <c r="ES415" s="542"/>
      <c r="ET415" s="542"/>
      <c r="EU415" s="542"/>
      <c r="EV415" s="542"/>
      <c r="EW415" s="542"/>
      <c r="EX415" s="542"/>
      <c r="EY415" s="542"/>
      <c r="EZ415" s="542"/>
      <c r="FA415" s="542"/>
      <c r="FB415" s="542"/>
      <c r="FC415" s="542"/>
      <c r="FD415" s="542"/>
      <c r="FE415" s="542"/>
      <c r="FF415" s="542"/>
      <c r="FG415" s="542"/>
      <c r="FH415" s="542"/>
      <c r="FI415" s="542"/>
      <c r="FJ415" s="542"/>
      <c r="FK415" s="542"/>
      <c r="FL415" s="542"/>
      <c r="FM415" s="542"/>
      <c r="FN415" s="542"/>
      <c r="FO415" s="542"/>
      <c r="FP415" s="542"/>
      <c r="FQ415" s="542"/>
      <c r="FR415" s="542"/>
      <c r="FS415" s="542"/>
      <c r="FT415" s="542"/>
      <c r="FU415" s="542"/>
      <c r="FV415" s="542"/>
      <c r="FW415" s="542"/>
      <c r="FX415" s="542"/>
      <c r="FY415" s="542"/>
      <c r="FZ415" s="542"/>
      <c r="GA415" s="542"/>
      <c r="GB415" s="542"/>
      <c r="GC415" s="542"/>
      <c r="GD415" s="542"/>
      <c r="GE415" s="542"/>
      <c r="GF415" s="542"/>
      <c r="GG415" s="542"/>
      <c r="GH415" s="542"/>
      <c r="GI415" s="542"/>
      <c r="GJ415" s="542"/>
      <c r="GK415" s="542"/>
      <c r="GL415" s="542"/>
      <c r="GM415" s="542"/>
      <c r="GN415" s="542"/>
      <c r="GO415" s="542"/>
      <c r="GP415" s="542"/>
      <c r="GQ415" s="542"/>
      <c r="GR415" s="542"/>
      <c r="GS415" s="542"/>
      <c r="GT415" s="542"/>
      <c r="GU415" s="542"/>
      <c r="GV415" s="542"/>
      <c r="GW415" s="542"/>
      <c r="GX415" s="542"/>
      <c r="GY415" s="542"/>
      <c r="GZ415" s="542"/>
      <c r="HA415" s="542"/>
      <c r="HB415" s="542"/>
      <c r="HC415" s="542"/>
      <c r="HD415" s="542"/>
      <c r="HE415" s="542"/>
      <c r="HF415" s="542"/>
      <c r="HG415" s="542"/>
      <c r="HH415" s="542"/>
      <c r="HI415" s="542"/>
      <c r="HJ415" s="542"/>
      <c r="HK415" s="542"/>
      <c r="HL415" s="542"/>
      <c r="HM415" s="542"/>
      <c r="HN415" s="542"/>
      <c r="HO415" s="542"/>
      <c r="HP415" s="542"/>
      <c r="HQ415" s="542"/>
      <c r="HR415" s="542"/>
      <c r="HS415" s="542"/>
      <c r="HT415" s="542"/>
      <c r="HU415" s="542"/>
      <c r="HV415" s="542"/>
      <c r="HW415" s="542"/>
      <c r="HX415" s="542"/>
      <c r="HY415" s="542"/>
      <c r="HZ415" s="542"/>
      <c r="IA415" s="542"/>
      <c r="IB415" s="542"/>
      <c r="IC415" s="542"/>
      <c r="ID415" s="542"/>
      <c r="IE415" s="542"/>
      <c r="IF415" s="542"/>
      <c r="IG415" s="542"/>
      <c r="IH415" s="542"/>
      <c r="II415" s="542"/>
      <c r="IJ415" s="542"/>
      <c r="IK415" s="542"/>
      <c r="IL415" s="542"/>
      <c r="IM415" s="542"/>
      <c r="IN415" s="542"/>
      <c r="IO415" s="542"/>
      <c r="IP415" s="542"/>
      <c r="IQ415" s="542"/>
      <c r="IR415" s="542"/>
      <c r="IS415" s="542"/>
      <c r="IT415" s="542"/>
      <c r="IU415" s="542"/>
      <c r="IV415" s="542"/>
      <c r="IW415" s="542"/>
      <c r="IX415" s="542"/>
      <c r="IY415" s="542"/>
      <c r="IZ415" s="542"/>
      <c r="JA415" s="542"/>
      <c r="JB415" s="542"/>
    </row>
    <row r="416" spans="104:262" ht="18.899999999999999" customHeight="1">
      <c r="CZ416" s="542"/>
      <c r="DA416" s="542"/>
      <c r="DB416" s="542"/>
      <c r="DC416" s="542"/>
      <c r="DD416" s="542"/>
      <c r="DE416" s="542"/>
      <c r="DF416" s="542"/>
      <c r="DG416" s="542"/>
      <c r="DH416" s="542"/>
      <c r="DI416" s="542"/>
      <c r="DJ416" s="542"/>
      <c r="DK416" s="542"/>
      <c r="DL416" s="542"/>
      <c r="DM416" s="542"/>
      <c r="DN416" s="542"/>
      <c r="DO416" s="542"/>
      <c r="DP416" s="542"/>
      <c r="DQ416" s="542"/>
      <c r="DR416" s="542"/>
      <c r="DS416" s="542"/>
      <c r="DT416" s="542"/>
      <c r="DU416" s="542"/>
      <c r="DV416" s="542"/>
      <c r="DW416" s="542"/>
      <c r="DX416" s="542"/>
      <c r="DY416" s="542"/>
      <c r="DZ416" s="542"/>
      <c r="EA416" s="542"/>
      <c r="EB416" s="542"/>
      <c r="EC416" s="542"/>
      <c r="ED416" s="542"/>
      <c r="EE416" s="542"/>
      <c r="EF416" s="542"/>
      <c r="EG416" s="542"/>
      <c r="EH416" s="542"/>
      <c r="EI416" s="542"/>
      <c r="EJ416" s="542"/>
      <c r="EK416" s="542"/>
      <c r="EL416" s="542"/>
      <c r="EM416" s="542"/>
      <c r="EN416" s="542"/>
      <c r="EO416" s="542"/>
      <c r="EP416" s="542"/>
      <c r="EQ416" s="542"/>
      <c r="ER416" s="542"/>
      <c r="ES416" s="542"/>
      <c r="ET416" s="542"/>
      <c r="EU416" s="542"/>
      <c r="EV416" s="542"/>
      <c r="EW416" s="542"/>
      <c r="EX416" s="542"/>
      <c r="EY416" s="542"/>
      <c r="EZ416" s="542"/>
      <c r="FA416" s="542"/>
      <c r="FB416" s="542"/>
      <c r="FC416" s="542"/>
      <c r="FD416" s="542"/>
      <c r="FE416" s="542"/>
      <c r="FF416" s="542"/>
      <c r="FG416" s="542"/>
      <c r="FH416" s="542"/>
      <c r="FI416" s="542"/>
      <c r="FJ416" s="542"/>
      <c r="FK416" s="542"/>
      <c r="FL416" s="542"/>
      <c r="FM416" s="542"/>
      <c r="FN416" s="542"/>
      <c r="FO416" s="542"/>
      <c r="FP416" s="542"/>
      <c r="FQ416" s="542"/>
      <c r="FR416" s="542"/>
      <c r="FS416" s="542"/>
      <c r="FT416" s="542"/>
      <c r="FU416" s="542"/>
      <c r="FV416" s="542"/>
      <c r="FW416" s="542"/>
      <c r="FX416" s="542"/>
      <c r="FY416" s="542"/>
      <c r="FZ416" s="542"/>
      <c r="GA416" s="542"/>
      <c r="GB416" s="542"/>
      <c r="GC416" s="542"/>
      <c r="GD416" s="542"/>
      <c r="GE416" s="542"/>
      <c r="GF416" s="542"/>
      <c r="GG416" s="542"/>
      <c r="GH416" s="542"/>
      <c r="GI416" s="542"/>
      <c r="GJ416" s="542"/>
      <c r="GK416" s="542"/>
      <c r="GL416" s="542"/>
      <c r="GM416" s="542"/>
      <c r="GN416" s="542"/>
      <c r="GO416" s="542"/>
      <c r="GP416" s="542"/>
      <c r="GQ416" s="542"/>
      <c r="GR416" s="542"/>
      <c r="GS416" s="542"/>
      <c r="GT416" s="542"/>
      <c r="GU416" s="542"/>
      <c r="GV416" s="542"/>
      <c r="GW416" s="542"/>
      <c r="GX416" s="542"/>
      <c r="GY416" s="542"/>
      <c r="GZ416" s="542"/>
      <c r="HA416" s="542"/>
      <c r="HB416" s="542"/>
      <c r="HC416" s="542"/>
      <c r="HD416" s="542"/>
      <c r="HE416" s="542"/>
      <c r="HF416" s="542"/>
      <c r="HG416" s="542"/>
      <c r="HH416" s="542"/>
      <c r="HI416" s="542"/>
      <c r="HJ416" s="542"/>
      <c r="HK416" s="542"/>
      <c r="HL416" s="542"/>
      <c r="HM416" s="542"/>
      <c r="HN416" s="542"/>
      <c r="HO416" s="542"/>
      <c r="HP416" s="542"/>
      <c r="HQ416" s="542"/>
      <c r="HR416" s="542"/>
      <c r="HS416" s="542"/>
      <c r="HT416" s="542"/>
      <c r="HU416" s="542"/>
      <c r="HV416" s="542"/>
      <c r="HW416" s="542"/>
      <c r="HX416" s="542"/>
      <c r="HY416" s="542"/>
      <c r="HZ416" s="542"/>
      <c r="IA416" s="542"/>
      <c r="IB416" s="542"/>
      <c r="IC416" s="542"/>
      <c r="ID416" s="542"/>
      <c r="IE416" s="542"/>
      <c r="IF416" s="542"/>
      <c r="IG416" s="542"/>
      <c r="IH416" s="542"/>
      <c r="II416" s="542"/>
      <c r="IJ416" s="542"/>
      <c r="IK416" s="542"/>
      <c r="IL416" s="542"/>
      <c r="IM416" s="542"/>
      <c r="IN416" s="542"/>
      <c r="IO416" s="542"/>
      <c r="IP416" s="542"/>
      <c r="IQ416" s="542"/>
      <c r="IR416" s="542"/>
      <c r="IS416" s="542"/>
      <c r="IT416" s="542"/>
      <c r="IU416" s="542"/>
      <c r="IV416" s="542"/>
      <c r="IW416" s="542"/>
      <c r="IX416" s="542"/>
      <c r="IY416" s="542"/>
      <c r="IZ416" s="542"/>
      <c r="JA416" s="542"/>
      <c r="JB416" s="542"/>
    </row>
    <row r="417" spans="104:262" ht="18.899999999999999" customHeight="1">
      <c r="CZ417" s="542"/>
      <c r="DA417" s="542"/>
      <c r="DB417" s="542"/>
      <c r="DC417" s="542"/>
      <c r="DD417" s="542"/>
      <c r="DE417" s="542"/>
      <c r="DF417" s="542"/>
      <c r="DG417" s="542"/>
      <c r="DH417" s="542"/>
      <c r="DI417" s="542"/>
      <c r="DJ417" s="542"/>
      <c r="DK417" s="542"/>
      <c r="DL417" s="542"/>
      <c r="DM417" s="542"/>
      <c r="DN417" s="542"/>
      <c r="DO417" s="542"/>
      <c r="DP417" s="542"/>
      <c r="DQ417" s="542"/>
      <c r="DR417" s="542"/>
      <c r="DS417" s="542"/>
      <c r="DT417" s="542"/>
      <c r="DU417" s="542"/>
      <c r="DV417" s="542"/>
      <c r="DW417" s="542"/>
      <c r="DX417" s="542"/>
      <c r="DY417" s="542"/>
      <c r="DZ417" s="542"/>
      <c r="EA417" s="542"/>
      <c r="EB417" s="542"/>
      <c r="EC417" s="542"/>
      <c r="ED417" s="542"/>
      <c r="EE417" s="542"/>
      <c r="EF417" s="542"/>
      <c r="EG417" s="542"/>
      <c r="EH417" s="542"/>
      <c r="EI417" s="542"/>
      <c r="EJ417" s="542"/>
      <c r="EK417" s="542"/>
      <c r="EL417" s="542"/>
      <c r="EM417" s="542"/>
      <c r="EN417" s="542"/>
      <c r="EO417" s="542"/>
      <c r="EP417" s="542"/>
      <c r="EQ417" s="542"/>
      <c r="ER417" s="542"/>
      <c r="ES417" s="542"/>
      <c r="ET417" s="542"/>
      <c r="EU417" s="542"/>
      <c r="EV417" s="542"/>
      <c r="EW417" s="542"/>
      <c r="EX417" s="542"/>
      <c r="EY417" s="542"/>
      <c r="EZ417" s="542"/>
      <c r="FA417" s="542"/>
      <c r="FB417" s="542"/>
      <c r="FC417" s="542"/>
      <c r="FD417" s="542"/>
      <c r="FE417" s="542"/>
      <c r="FF417" s="542"/>
      <c r="FG417" s="542"/>
      <c r="FH417" s="542"/>
      <c r="FI417" s="542"/>
      <c r="FJ417" s="542"/>
      <c r="FK417" s="542"/>
      <c r="FL417" s="542"/>
      <c r="FM417" s="542"/>
      <c r="FN417" s="542"/>
      <c r="FO417" s="542"/>
      <c r="FP417" s="542"/>
      <c r="FQ417" s="542"/>
      <c r="FR417" s="542"/>
      <c r="FS417" s="542"/>
      <c r="FT417" s="542"/>
      <c r="FU417" s="542"/>
      <c r="FV417" s="542"/>
      <c r="FW417" s="542"/>
      <c r="FX417" s="542"/>
      <c r="FY417" s="542"/>
      <c r="FZ417" s="542"/>
      <c r="GA417" s="542"/>
      <c r="GB417" s="542"/>
      <c r="GC417" s="542"/>
      <c r="GD417" s="542"/>
      <c r="GE417" s="542"/>
      <c r="GF417" s="542"/>
      <c r="GG417" s="542"/>
      <c r="GH417" s="542"/>
      <c r="GI417" s="542"/>
      <c r="GJ417" s="542"/>
      <c r="GK417" s="542"/>
      <c r="GL417" s="542"/>
      <c r="GM417" s="542"/>
      <c r="GN417" s="542"/>
      <c r="GO417" s="542"/>
      <c r="GP417" s="542"/>
      <c r="GQ417" s="542"/>
      <c r="GR417" s="542"/>
      <c r="GS417" s="542"/>
      <c r="GT417" s="542"/>
      <c r="GU417" s="542"/>
      <c r="GV417" s="542"/>
      <c r="GW417" s="542"/>
      <c r="GX417" s="542"/>
      <c r="GY417" s="542"/>
      <c r="GZ417" s="542"/>
      <c r="HA417" s="542"/>
      <c r="HB417" s="542"/>
      <c r="HC417" s="542"/>
      <c r="HD417" s="542"/>
      <c r="HE417" s="542"/>
      <c r="HF417" s="542"/>
      <c r="HG417" s="542"/>
      <c r="HH417" s="542"/>
      <c r="HI417" s="542"/>
      <c r="HJ417" s="542"/>
      <c r="HK417" s="542"/>
      <c r="HL417" s="542"/>
      <c r="HM417" s="542"/>
      <c r="HN417" s="542"/>
      <c r="HO417" s="542"/>
      <c r="HP417" s="542"/>
      <c r="HQ417" s="542"/>
      <c r="HR417" s="542"/>
      <c r="HS417" s="542"/>
      <c r="HT417" s="542"/>
      <c r="HU417" s="542"/>
      <c r="HV417" s="542"/>
      <c r="HW417" s="542"/>
      <c r="HX417" s="542"/>
      <c r="HY417" s="542"/>
      <c r="HZ417" s="542"/>
      <c r="IA417" s="542"/>
      <c r="IB417" s="542"/>
      <c r="IC417" s="542"/>
      <c r="ID417" s="542"/>
      <c r="IE417" s="542"/>
      <c r="IF417" s="542"/>
      <c r="IG417" s="542"/>
      <c r="IH417" s="542"/>
      <c r="II417" s="542"/>
      <c r="IJ417" s="542"/>
      <c r="IK417" s="542"/>
      <c r="IL417" s="542"/>
      <c r="IM417" s="542"/>
      <c r="IN417" s="542"/>
      <c r="IO417" s="542"/>
      <c r="IP417" s="542"/>
      <c r="IQ417" s="542"/>
      <c r="IR417" s="542"/>
      <c r="IS417" s="542"/>
      <c r="IT417" s="542"/>
      <c r="IU417" s="542"/>
      <c r="IV417" s="542"/>
      <c r="IW417" s="542"/>
      <c r="IX417" s="542"/>
      <c r="IY417" s="542"/>
      <c r="IZ417" s="542"/>
      <c r="JA417" s="542"/>
      <c r="JB417" s="542"/>
    </row>
    <row r="418" spans="104:262" ht="18.899999999999999" customHeight="1">
      <c r="CZ418" s="542"/>
      <c r="DA418" s="542"/>
      <c r="DB418" s="542"/>
      <c r="DC418" s="542"/>
      <c r="DD418" s="542"/>
      <c r="DE418" s="542"/>
      <c r="DF418" s="542"/>
      <c r="DG418" s="542"/>
      <c r="DH418" s="542"/>
      <c r="DI418" s="542"/>
      <c r="DJ418" s="542"/>
      <c r="DK418" s="542"/>
      <c r="DL418" s="542"/>
      <c r="DM418" s="542"/>
      <c r="DN418" s="542"/>
      <c r="DO418" s="542"/>
      <c r="DP418" s="542"/>
      <c r="DQ418" s="542"/>
      <c r="DR418" s="542"/>
      <c r="DS418" s="542"/>
      <c r="DT418" s="542"/>
      <c r="DU418" s="542"/>
      <c r="DV418" s="542"/>
      <c r="DW418" s="542"/>
      <c r="DX418" s="542"/>
      <c r="DY418" s="542"/>
      <c r="DZ418" s="542"/>
      <c r="EA418" s="542"/>
      <c r="EB418" s="542"/>
      <c r="EC418" s="542"/>
      <c r="ED418" s="542"/>
      <c r="EE418" s="542"/>
      <c r="EF418" s="542"/>
      <c r="EG418" s="542"/>
      <c r="EH418" s="542"/>
      <c r="EI418" s="542"/>
      <c r="EJ418" s="542"/>
      <c r="EK418" s="542"/>
      <c r="EL418" s="542"/>
      <c r="EM418" s="542"/>
      <c r="EN418" s="542"/>
      <c r="EO418" s="542"/>
      <c r="EP418" s="542"/>
      <c r="EQ418" s="542"/>
      <c r="ER418" s="542"/>
      <c r="ES418" s="542"/>
      <c r="ET418" s="542"/>
      <c r="EU418" s="542"/>
      <c r="EV418" s="542"/>
      <c r="EW418" s="542"/>
      <c r="EX418" s="542"/>
      <c r="EY418" s="542"/>
      <c r="EZ418" s="542"/>
      <c r="FA418" s="542"/>
      <c r="FB418" s="542"/>
      <c r="FC418" s="542"/>
      <c r="FD418" s="542"/>
      <c r="FE418" s="542"/>
      <c r="FF418" s="542"/>
      <c r="FG418" s="542"/>
      <c r="FH418" s="542"/>
      <c r="FI418" s="542"/>
      <c r="FJ418" s="542"/>
      <c r="FK418" s="542"/>
      <c r="FL418" s="542"/>
      <c r="FM418" s="542"/>
      <c r="FN418" s="542"/>
      <c r="FO418" s="542"/>
      <c r="FP418" s="542"/>
      <c r="FQ418" s="542"/>
      <c r="FR418" s="542"/>
      <c r="FS418" s="542"/>
      <c r="FT418" s="542"/>
      <c r="FU418" s="542"/>
      <c r="FV418" s="542"/>
      <c r="FW418" s="542"/>
      <c r="FX418" s="542"/>
      <c r="FY418" s="542"/>
      <c r="FZ418" s="542"/>
      <c r="GA418" s="542"/>
      <c r="GB418" s="542"/>
      <c r="GC418" s="542"/>
      <c r="GD418" s="542"/>
      <c r="GE418" s="542"/>
      <c r="GF418" s="542"/>
      <c r="GG418" s="542"/>
      <c r="GH418" s="542"/>
      <c r="GI418" s="542"/>
      <c r="GJ418" s="542"/>
      <c r="GK418" s="542"/>
      <c r="GL418" s="542"/>
      <c r="GM418" s="542"/>
      <c r="GN418" s="542"/>
      <c r="GO418" s="542"/>
      <c r="GP418" s="542"/>
      <c r="GQ418" s="542"/>
      <c r="GR418" s="542"/>
      <c r="GS418" s="542"/>
      <c r="GT418" s="542"/>
      <c r="GU418" s="542"/>
      <c r="GV418" s="542"/>
      <c r="GW418" s="542"/>
      <c r="GX418" s="542"/>
      <c r="GY418" s="542"/>
      <c r="GZ418" s="542"/>
      <c r="HA418" s="542"/>
      <c r="HB418" s="542"/>
      <c r="HC418" s="542"/>
      <c r="HD418" s="542"/>
      <c r="HE418" s="542"/>
      <c r="HF418" s="542"/>
      <c r="HG418" s="542"/>
      <c r="HH418" s="542"/>
      <c r="HI418" s="542"/>
      <c r="HJ418" s="542"/>
      <c r="HK418" s="542"/>
      <c r="HL418" s="542"/>
      <c r="HM418" s="542"/>
      <c r="HN418" s="542"/>
      <c r="HO418" s="542"/>
      <c r="HP418" s="542"/>
      <c r="HQ418" s="542"/>
      <c r="HR418" s="542"/>
      <c r="HS418" s="542"/>
      <c r="HT418" s="542"/>
      <c r="HU418" s="542"/>
      <c r="HV418" s="542"/>
      <c r="HW418" s="542"/>
      <c r="HX418" s="542"/>
      <c r="HY418" s="542"/>
      <c r="HZ418" s="542"/>
      <c r="IA418" s="542"/>
      <c r="IB418" s="542"/>
      <c r="IC418" s="542"/>
      <c r="ID418" s="542"/>
      <c r="IE418" s="542"/>
      <c r="IF418" s="542"/>
      <c r="IG418" s="542"/>
      <c r="IH418" s="542"/>
      <c r="II418" s="542"/>
      <c r="IJ418" s="542"/>
      <c r="IK418" s="542"/>
      <c r="IL418" s="542"/>
      <c r="IM418" s="542"/>
      <c r="IN418" s="542"/>
      <c r="IO418" s="542"/>
      <c r="IP418" s="542"/>
      <c r="IQ418" s="542"/>
      <c r="IR418" s="542"/>
      <c r="IS418" s="542"/>
      <c r="IT418" s="542"/>
      <c r="IU418" s="542"/>
      <c r="IV418" s="542"/>
      <c r="IW418" s="542"/>
      <c r="IX418" s="542"/>
      <c r="IY418" s="542"/>
      <c r="IZ418" s="542"/>
      <c r="JA418" s="542"/>
      <c r="JB418" s="542"/>
    </row>
    <row r="419" spans="104:262" ht="18.899999999999999" customHeight="1">
      <c r="CZ419" s="542"/>
      <c r="DA419" s="542"/>
      <c r="DB419" s="542"/>
      <c r="DC419" s="542"/>
      <c r="DD419" s="542"/>
      <c r="DE419" s="542"/>
      <c r="DF419" s="542"/>
      <c r="DG419" s="542"/>
      <c r="DH419" s="542"/>
      <c r="DI419" s="542"/>
      <c r="DJ419" s="542"/>
      <c r="DK419" s="542"/>
      <c r="DL419" s="542"/>
      <c r="DM419" s="542"/>
      <c r="DN419" s="542"/>
      <c r="DO419" s="542"/>
      <c r="DP419" s="542"/>
      <c r="DQ419" s="542"/>
      <c r="DR419" s="542"/>
      <c r="DS419" s="542"/>
      <c r="DT419" s="542"/>
      <c r="DU419" s="542"/>
      <c r="DV419" s="542"/>
      <c r="DW419" s="542"/>
      <c r="DX419" s="542"/>
      <c r="DY419" s="542"/>
      <c r="DZ419" s="542"/>
      <c r="EA419" s="542"/>
      <c r="EB419" s="542"/>
      <c r="EC419" s="542"/>
      <c r="ED419" s="542"/>
      <c r="EE419" s="542"/>
      <c r="EF419" s="542"/>
      <c r="EG419" s="542"/>
      <c r="EH419" s="542"/>
      <c r="EI419" s="542"/>
      <c r="EJ419" s="542"/>
      <c r="EK419" s="542"/>
      <c r="EL419" s="542"/>
      <c r="EM419" s="542"/>
      <c r="EN419" s="542"/>
      <c r="EO419" s="542"/>
      <c r="EP419" s="542"/>
      <c r="EQ419" s="542"/>
      <c r="ER419" s="542"/>
      <c r="ES419" s="542"/>
      <c r="ET419" s="542"/>
      <c r="EU419" s="542"/>
      <c r="EV419" s="542"/>
      <c r="EW419" s="542"/>
      <c r="EX419" s="542"/>
      <c r="EY419" s="542"/>
      <c r="EZ419" s="542"/>
      <c r="FA419" s="542"/>
      <c r="FB419" s="542"/>
      <c r="FC419" s="542"/>
      <c r="FD419" s="542"/>
      <c r="FE419" s="542"/>
      <c r="FF419" s="542"/>
      <c r="FG419" s="542"/>
      <c r="FH419" s="542"/>
      <c r="FI419" s="542"/>
      <c r="FJ419" s="542"/>
      <c r="FK419" s="542"/>
      <c r="FL419" s="542"/>
      <c r="FM419" s="542"/>
      <c r="FN419" s="542"/>
      <c r="FO419" s="542"/>
      <c r="FP419" s="542"/>
      <c r="FQ419" s="542"/>
      <c r="FR419" s="542"/>
      <c r="FS419" s="542"/>
      <c r="FT419" s="542"/>
      <c r="FU419" s="542"/>
      <c r="FV419" s="542"/>
      <c r="FW419" s="542"/>
      <c r="FX419" s="542"/>
      <c r="FY419" s="542"/>
      <c r="FZ419" s="542"/>
      <c r="GA419" s="542"/>
      <c r="GB419" s="542"/>
      <c r="GC419" s="542"/>
      <c r="GD419" s="542"/>
      <c r="GE419" s="542"/>
      <c r="GF419" s="542"/>
      <c r="GG419" s="542"/>
      <c r="GH419" s="542"/>
      <c r="GI419" s="542"/>
      <c r="GJ419" s="542"/>
      <c r="GK419" s="542"/>
      <c r="GL419" s="542"/>
      <c r="GM419" s="542"/>
      <c r="GN419" s="542"/>
      <c r="GO419" s="542"/>
      <c r="GP419" s="542"/>
      <c r="GQ419" s="542"/>
      <c r="GR419" s="542"/>
      <c r="GS419" s="542"/>
      <c r="GT419" s="542"/>
      <c r="GU419" s="542"/>
      <c r="GV419" s="542"/>
      <c r="GW419" s="542"/>
      <c r="GX419" s="542"/>
      <c r="GY419" s="542"/>
      <c r="GZ419" s="542"/>
      <c r="HA419" s="542"/>
      <c r="HB419" s="542"/>
      <c r="HC419" s="542"/>
      <c r="HD419" s="542"/>
      <c r="HE419" s="542"/>
      <c r="HF419" s="542"/>
      <c r="HG419" s="542"/>
      <c r="HH419" s="542"/>
      <c r="HI419" s="542"/>
      <c r="HJ419" s="542"/>
      <c r="HK419" s="542"/>
      <c r="HL419" s="542"/>
      <c r="HM419" s="542"/>
      <c r="HN419" s="542"/>
      <c r="HO419" s="542"/>
      <c r="HP419" s="542"/>
      <c r="HQ419" s="542"/>
      <c r="HR419" s="542"/>
      <c r="HS419" s="542"/>
      <c r="HT419" s="542"/>
      <c r="HU419" s="542"/>
      <c r="HV419" s="542"/>
      <c r="HW419" s="542"/>
      <c r="HX419" s="542"/>
      <c r="HY419" s="542"/>
      <c r="HZ419" s="542"/>
      <c r="IA419" s="542"/>
      <c r="IB419" s="542"/>
      <c r="IC419" s="542"/>
      <c r="ID419" s="542"/>
      <c r="IE419" s="542"/>
      <c r="IF419" s="542"/>
      <c r="IG419" s="542"/>
      <c r="IH419" s="542"/>
      <c r="II419" s="542"/>
      <c r="IJ419" s="542"/>
      <c r="IK419" s="542"/>
      <c r="IL419" s="542"/>
      <c r="IM419" s="542"/>
      <c r="IN419" s="542"/>
      <c r="IO419" s="542"/>
      <c r="IP419" s="542"/>
      <c r="IQ419" s="542"/>
      <c r="IR419" s="542"/>
      <c r="IS419" s="542"/>
      <c r="IT419" s="542"/>
      <c r="IU419" s="542"/>
      <c r="IV419" s="542"/>
      <c r="IW419" s="542"/>
      <c r="IX419" s="542"/>
      <c r="IY419" s="542"/>
      <c r="IZ419" s="542"/>
      <c r="JA419" s="542"/>
      <c r="JB419" s="542"/>
    </row>
    <row r="420" spans="104:262" ht="18.899999999999999" customHeight="1">
      <c r="CZ420" s="542"/>
      <c r="DA420" s="542"/>
      <c r="DB420" s="542"/>
      <c r="DC420" s="542"/>
      <c r="DD420" s="542"/>
      <c r="DE420" s="542"/>
      <c r="DF420" s="542"/>
      <c r="DG420" s="542"/>
      <c r="DH420" s="542"/>
      <c r="DI420" s="542"/>
      <c r="DJ420" s="542"/>
      <c r="DK420" s="542"/>
      <c r="DL420" s="542"/>
      <c r="DM420" s="542"/>
      <c r="DN420" s="542"/>
      <c r="DO420" s="542"/>
      <c r="DP420" s="542"/>
      <c r="DQ420" s="542"/>
      <c r="DR420" s="542"/>
      <c r="DS420" s="542"/>
      <c r="DT420" s="542"/>
      <c r="DU420" s="542"/>
      <c r="DV420" s="542"/>
      <c r="DW420" s="542"/>
      <c r="DX420" s="542"/>
      <c r="DY420" s="542"/>
      <c r="DZ420" s="542"/>
      <c r="EA420" s="542"/>
      <c r="EB420" s="542"/>
      <c r="EC420" s="542"/>
      <c r="ED420" s="542"/>
      <c r="EE420" s="542"/>
      <c r="EF420" s="542"/>
      <c r="EG420" s="542"/>
      <c r="EH420" s="542"/>
      <c r="EI420" s="542"/>
      <c r="EJ420" s="542"/>
      <c r="EK420" s="542"/>
      <c r="EL420" s="542"/>
      <c r="EM420" s="542"/>
      <c r="EN420" s="542"/>
      <c r="EO420" s="542"/>
      <c r="EP420" s="542"/>
      <c r="EQ420" s="542"/>
      <c r="ER420" s="542"/>
      <c r="ES420" s="542"/>
      <c r="ET420" s="542"/>
      <c r="EU420" s="542"/>
      <c r="EV420" s="542"/>
      <c r="EW420" s="542"/>
      <c r="EX420" s="542"/>
      <c r="EY420" s="542"/>
      <c r="EZ420" s="542"/>
      <c r="FA420" s="542"/>
      <c r="FB420" s="542"/>
      <c r="FC420" s="542"/>
      <c r="FD420" s="542"/>
      <c r="FE420" s="542"/>
      <c r="FF420" s="542"/>
      <c r="FG420" s="542"/>
      <c r="FH420" s="542"/>
      <c r="FI420" s="542"/>
      <c r="FJ420" s="542"/>
      <c r="FK420" s="542"/>
      <c r="FL420" s="542"/>
      <c r="FM420" s="542"/>
      <c r="FN420" s="542"/>
      <c r="FO420" s="542"/>
      <c r="FP420" s="542"/>
      <c r="FQ420" s="542"/>
      <c r="FR420" s="542"/>
      <c r="FS420" s="542"/>
      <c r="FT420" s="542"/>
      <c r="FU420" s="542"/>
      <c r="FV420" s="542"/>
      <c r="FW420" s="542"/>
      <c r="FX420" s="542"/>
      <c r="FY420" s="542"/>
      <c r="FZ420" s="542"/>
      <c r="GA420" s="542"/>
      <c r="GB420" s="542"/>
      <c r="GC420" s="542"/>
      <c r="GD420" s="542"/>
      <c r="GE420" s="542"/>
      <c r="GF420" s="542"/>
      <c r="GG420" s="542"/>
      <c r="GH420" s="542"/>
      <c r="GI420" s="542"/>
      <c r="GJ420" s="542"/>
      <c r="GK420" s="542"/>
      <c r="GL420" s="542"/>
      <c r="GM420" s="542"/>
      <c r="GN420" s="542"/>
      <c r="GO420" s="542"/>
      <c r="GP420" s="542"/>
      <c r="GQ420" s="542"/>
      <c r="GR420" s="542"/>
      <c r="GS420" s="542"/>
      <c r="GT420" s="542"/>
      <c r="GU420" s="542"/>
      <c r="GV420" s="542"/>
      <c r="GW420" s="542"/>
      <c r="GX420" s="542"/>
      <c r="GY420" s="542"/>
      <c r="GZ420" s="542"/>
      <c r="HA420" s="542"/>
      <c r="HB420" s="542"/>
      <c r="HC420" s="542"/>
      <c r="HD420" s="542"/>
      <c r="HE420" s="542"/>
      <c r="HF420" s="542"/>
      <c r="HG420" s="542"/>
      <c r="HH420" s="542"/>
      <c r="HI420" s="542"/>
      <c r="HJ420" s="542"/>
      <c r="HK420" s="542"/>
      <c r="HL420" s="542"/>
      <c r="HM420" s="542"/>
      <c r="HN420" s="542"/>
      <c r="HO420" s="542"/>
      <c r="HP420" s="542"/>
      <c r="HQ420" s="542"/>
      <c r="HR420" s="542"/>
      <c r="HS420" s="542"/>
      <c r="HT420" s="542"/>
      <c r="HU420" s="542"/>
      <c r="HV420" s="542"/>
      <c r="HW420" s="542"/>
      <c r="HX420" s="542"/>
      <c r="HY420" s="542"/>
      <c r="HZ420" s="542"/>
      <c r="IA420" s="542"/>
      <c r="IB420" s="542"/>
      <c r="IC420" s="542"/>
      <c r="ID420" s="542"/>
      <c r="IE420" s="542"/>
      <c r="IF420" s="542"/>
      <c r="IG420" s="542"/>
      <c r="IH420" s="542"/>
      <c r="II420" s="542"/>
      <c r="IJ420" s="542"/>
      <c r="IK420" s="542"/>
      <c r="IL420" s="542"/>
      <c r="IM420" s="542"/>
      <c r="IN420" s="542"/>
      <c r="IO420" s="542"/>
      <c r="IP420" s="542"/>
      <c r="IQ420" s="542"/>
      <c r="IR420" s="542"/>
      <c r="IS420" s="542"/>
      <c r="IT420" s="542"/>
      <c r="IU420" s="542"/>
      <c r="IV420" s="542"/>
      <c r="IW420" s="542"/>
      <c r="IX420" s="542"/>
      <c r="IY420" s="542"/>
      <c r="IZ420" s="542"/>
      <c r="JA420" s="542"/>
      <c r="JB420" s="542"/>
    </row>
    <row r="421" spans="104:262" ht="18.899999999999999" customHeight="1">
      <c r="CZ421" s="542"/>
      <c r="DA421" s="542"/>
      <c r="DB421" s="542"/>
      <c r="DC421" s="542"/>
      <c r="DD421" s="542"/>
      <c r="DE421" s="542"/>
      <c r="DF421" s="542"/>
      <c r="DG421" s="542"/>
      <c r="DH421" s="542"/>
      <c r="DI421" s="542"/>
      <c r="DJ421" s="542"/>
      <c r="DK421" s="542"/>
      <c r="DL421" s="542"/>
      <c r="DM421" s="542"/>
      <c r="DN421" s="542"/>
      <c r="DO421" s="542"/>
      <c r="DP421" s="542"/>
      <c r="DQ421" s="542"/>
      <c r="DR421" s="542"/>
      <c r="DS421" s="542"/>
      <c r="DT421" s="542"/>
      <c r="DU421" s="542"/>
      <c r="DV421" s="542"/>
      <c r="DW421" s="542"/>
      <c r="DX421" s="542"/>
      <c r="DY421" s="542"/>
      <c r="DZ421" s="542"/>
      <c r="EA421" s="542"/>
      <c r="EB421" s="542"/>
      <c r="EC421" s="542"/>
      <c r="ED421" s="542"/>
      <c r="EE421" s="542"/>
      <c r="EF421" s="542"/>
      <c r="EG421" s="542"/>
      <c r="EH421" s="542"/>
      <c r="EI421" s="542"/>
      <c r="EJ421" s="542"/>
      <c r="EK421" s="542"/>
      <c r="EL421" s="542"/>
      <c r="EM421" s="542"/>
      <c r="EN421" s="542"/>
      <c r="EO421" s="542"/>
      <c r="EP421" s="542"/>
      <c r="EQ421" s="542"/>
      <c r="ER421" s="542"/>
      <c r="ES421" s="542"/>
      <c r="ET421" s="542"/>
      <c r="EU421" s="542"/>
      <c r="EV421" s="542"/>
      <c r="EW421" s="542"/>
      <c r="EX421" s="542"/>
      <c r="EY421" s="542"/>
      <c r="EZ421" s="542"/>
      <c r="FA421" s="542"/>
      <c r="FB421" s="542"/>
      <c r="FC421" s="542"/>
      <c r="FD421" s="542"/>
      <c r="FE421" s="542"/>
      <c r="FF421" s="542"/>
      <c r="FG421" s="542"/>
      <c r="FH421" s="542"/>
      <c r="FI421" s="542"/>
      <c r="FJ421" s="542"/>
      <c r="FK421" s="542"/>
      <c r="FL421" s="542"/>
      <c r="FM421" s="542"/>
      <c r="FN421" s="542"/>
      <c r="FO421" s="542"/>
      <c r="FP421" s="542"/>
      <c r="FQ421" s="542"/>
      <c r="FR421" s="542"/>
      <c r="FS421" s="542"/>
      <c r="FT421" s="542"/>
      <c r="FU421" s="542"/>
      <c r="FV421" s="542"/>
      <c r="FW421" s="542"/>
      <c r="FX421" s="542"/>
      <c r="FY421" s="542"/>
      <c r="FZ421" s="542"/>
      <c r="GA421" s="542"/>
      <c r="GB421" s="542"/>
      <c r="GC421" s="542"/>
      <c r="GD421" s="542"/>
      <c r="GE421" s="542"/>
      <c r="GF421" s="542"/>
      <c r="GG421" s="542"/>
      <c r="GH421" s="542"/>
      <c r="GI421" s="542"/>
      <c r="GJ421" s="542"/>
      <c r="GK421" s="542"/>
      <c r="GL421" s="542"/>
      <c r="GM421" s="542"/>
      <c r="GN421" s="542"/>
      <c r="GO421" s="542"/>
      <c r="GP421" s="542"/>
      <c r="GQ421" s="542"/>
      <c r="GR421" s="542"/>
      <c r="GS421" s="542"/>
      <c r="GT421" s="542"/>
      <c r="GU421" s="542"/>
      <c r="GV421" s="542"/>
      <c r="GW421" s="542"/>
      <c r="GX421" s="542"/>
      <c r="GY421" s="542"/>
      <c r="GZ421" s="542"/>
      <c r="HA421" s="542"/>
      <c r="HB421" s="542"/>
      <c r="HC421" s="542"/>
      <c r="HD421" s="542"/>
      <c r="HE421" s="542"/>
      <c r="HF421" s="542"/>
      <c r="HG421" s="542"/>
      <c r="HH421" s="542"/>
      <c r="HI421" s="542"/>
      <c r="HJ421" s="542"/>
      <c r="HK421" s="542"/>
      <c r="HL421" s="542"/>
      <c r="HM421" s="542"/>
      <c r="HN421" s="542"/>
      <c r="HO421" s="542"/>
      <c r="HP421" s="542"/>
      <c r="HQ421" s="542"/>
      <c r="HR421" s="542"/>
      <c r="HS421" s="542"/>
      <c r="HT421" s="542"/>
      <c r="HU421" s="542"/>
      <c r="HV421" s="542"/>
      <c r="HW421" s="542"/>
      <c r="HX421" s="542"/>
      <c r="HY421" s="542"/>
      <c r="HZ421" s="542"/>
      <c r="IA421" s="542"/>
      <c r="IB421" s="542"/>
      <c r="IC421" s="542"/>
      <c r="ID421" s="542"/>
      <c r="IE421" s="542"/>
      <c r="IF421" s="542"/>
      <c r="IG421" s="542"/>
      <c r="IH421" s="542"/>
      <c r="II421" s="542"/>
      <c r="IJ421" s="542"/>
      <c r="IK421" s="542"/>
      <c r="IL421" s="542"/>
      <c r="IM421" s="542"/>
      <c r="IN421" s="542"/>
      <c r="IO421" s="542"/>
      <c r="IP421" s="542"/>
      <c r="IQ421" s="542"/>
      <c r="IR421" s="542"/>
      <c r="IS421" s="542"/>
      <c r="IT421" s="542"/>
      <c r="IU421" s="542"/>
      <c r="IV421" s="542"/>
      <c r="IW421" s="542"/>
      <c r="IX421" s="542"/>
      <c r="IY421" s="542"/>
      <c r="IZ421" s="542"/>
      <c r="JA421" s="542"/>
      <c r="JB421" s="542"/>
    </row>
    <row r="422" spans="104:262" ht="18.899999999999999" customHeight="1">
      <c r="CZ422" s="542"/>
      <c r="DA422" s="542"/>
      <c r="DB422" s="542"/>
      <c r="DC422" s="542"/>
      <c r="DD422" s="542"/>
      <c r="DE422" s="542"/>
      <c r="DF422" s="542"/>
      <c r="DG422" s="542"/>
      <c r="DH422" s="542"/>
      <c r="DI422" s="542"/>
      <c r="DJ422" s="542"/>
      <c r="DK422" s="542"/>
      <c r="DL422" s="542"/>
      <c r="DM422" s="542"/>
      <c r="DN422" s="542"/>
      <c r="DO422" s="542"/>
      <c r="DP422" s="542"/>
      <c r="DQ422" s="542"/>
      <c r="DR422" s="542"/>
      <c r="DS422" s="542"/>
      <c r="DT422" s="542"/>
      <c r="DU422" s="542"/>
      <c r="DV422" s="542"/>
      <c r="DW422" s="542"/>
      <c r="DX422" s="542"/>
      <c r="DY422" s="542"/>
      <c r="DZ422" s="542"/>
      <c r="EA422" s="542"/>
      <c r="EB422" s="542"/>
      <c r="EC422" s="542"/>
      <c r="ED422" s="542"/>
      <c r="EE422" s="542"/>
      <c r="EF422" s="542"/>
      <c r="EG422" s="542"/>
      <c r="EH422" s="542"/>
      <c r="EI422" s="542"/>
      <c r="EJ422" s="542"/>
      <c r="EK422" s="542"/>
      <c r="EL422" s="542"/>
      <c r="EM422" s="542"/>
      <c r="EN422" s="542"/>
      <c r="EO422" s="542"/>
      <c r="EP422" s="542"/>
      <c r="EQ422" s="542"/>
      <c r="ER422" s="542"/>
      <c r="ES422" s="542"/>
      <c r="ET422" s="542"/>
      <c r="EU422" s="542"/>
      <c r="EV422" s="542"/>
      <c r="EW422" s="542"/>
      <c r="EX422" s="542"/>
      <c r="EY422" s="542"/>
      <c r="EZ422" s="542"/>
      <c r="FA422" s="542"/>
      <c r="FB422" s="542"/>
      <c r="FC422" s="542"/>
      <c r="FD422" s="542"/>
      <c r="FE422" s="542"/>
      <c r="FF422" s="542"/>
      <c r="FG422" s="542"/>
      <c r="FH422" s="542"/>
      <c r="FI422" s="542"/>
      <c r="FJ422" s="542"/>
      <c r="FK422" s="542"/>
      <c r="FL422" s="542"/>
      <c r="FM422" s="542"/>
      <c r="FN422" s="542"/>
      <c r="FO422" s="542"/>
      <c r="FP422" s="542"/>
      <c r="FQ422" s="542"/>
      <c r="FR422" s="542"/>
      <c r="FS422" s="542"/>
      <c r="FT422" s="542"/>
      <c r="FU422" s="542"/>
      <c r="FV422" s="542"/>
      <c r="FW422" s="542"/>
      <c r="FX422" s="542"/>
      <c r="FY422" s="542"/>
      <c r="FZ422" s="542"/>
      <c r="GA422" s="542"/>
      <c r="GB422" s="542"/>
      <c r="GC422" s="542"/>
      <c r="GD422" s="542"/>
      <c r="GE422" s="542"/>
      <c r="GF422" s="542"/>
      <c r="GG422" s="542"/>
      <c r="GH422" s="542"/>
      <c r="GI422" s="542"/>
      <c r="GJ422" s="542"/>
      <c r="GK422" s="542"/>
      <c r="GL422" s="542"/>
      <c r="GM422" s="542"/>
      <c r="GN422" s="542"/>
      <c r="GO422" s="542"/>
      <c r="GP422" s="542"/>
      <c r="GQ422" s="542"/>
      <c r="GR422" s="542"/>
      <c r="GS422" s="542"/>
      <c r="GT422" s="542"/>
      <c r="GU422" s="542"/>
      <c r="GV422" s="542"/>
      <c r="GW422" s="542"/>
      <c r="GX422" s="542"/>
      <c r="GY422" s="542"/>
      <c r="GZ422" s="542"/>
      <c r="HA422" s="542"/>
      <c r="HB422" s="542"/>
      <c r="HC422" s="542"/>
      <c r="HD422" s="542"/>
      <c r="HE422" s="542"/>
      <c r="HF422" s="542"/>
      <c r="HG422" s="542"/>
      <c r="HH422" s="542"/>
      <c r="HI422" s="542"/>
      <c r="HJ422" s="542"/>
      <c r="HK422" s="542"/>
      <c r="HL422" s="542"/>
      <c r="HM422" s="542"/>
      <c r="HN422" s="542"/>
      <c r="HO422" s="542"/>
      <c r="HP422" s="542"/>
      <c r="HQ422" s="542"/>
      <c r="HR422" s="542"/>
      <c r="HS422" s="542"/>
      <c r="HT422" s="542"/>
      <c r="HU422" s="542"/>
      <c r="HV422" s="542"/>
      <c r="HW422" s="542"/>
      <c r="HX422" s="542"/>
      <c r="HY422" s="542"/>
      <c r="HZ422" s="542"/>
      <c r="IA422" s="542"/>
      <c r="IB422" s="542"/>
      <c r="IC422" s="542"/>
      <c r="ID422" s="542"/>
      <c r="IE422" s="542"/>
      <c r="IF422" s="542"/>
      <c r="IG422" s="542"/>
      <c r="IH422" s="542"/>
      <c r="II422" s="542"/>
      <c r="IJ422" s="542"/>
      <c r="IK422" s="542"/>
      <c r="IL422" s="542"/>
      <c r="IM422" s="542"/>
      <c r="IN422" s="542"/>
      <c r="IO422" s="542"/>
      <c r="IP422" s="542"/>
      <c r="IQ422" s="542"/>
      <c r="IR422" s="542"/>
      <c r="IS422" s="542"/>
      <c r="IT422" s="542"/>
      <c r="IU422" s="542"/>
      <c r="IV422" s="542"/>
      <c r="IW422" s="542"/>
      <c r="IX422" s="542"/>
      <c r="IY422" s="542"/>
      <c r="IZ422" s="542"/>
      <c r="JA422" s="542"/>
      <c r="JB422" s="542"/>
    </row>
    <row r="423" spans="104:262" ht="18.899999999999999" customHeight="1">
      <c r="CZ423" s="542"/>
      <c r="DA423" s="542"/>
      <c r="DB423" s="542"/>
      <c r="DC423" s="542"/>
      <c r="DD423" s="542"/>
      <c r="DE423" s="542"/>
      <c r="DF423" s="542"/>
      <c r="DG423" s="542"/>
      <c r="DH423" s="542"/>
      <c r="DI423" s="542"/>
      <c r="DJ423" s="542"/>
      <c r="DK423" s="542"/>
      <c r="DL423" s="542"/>
      <c r="DM423" s="542"/>
      <c r="DN423" s="542"/>
      <c r="DO423" s="542"/>
      <c r="DP423" s="542"/>
      <c r="DQ423" s="542"/>
      <c r="DR423" s="542"/>
      <c r="DS423" s="542"/>
      <c r="DT423" s="542"/>
      <c r="DU423" s="542"/>
      <c r="DV423" s="542"/>
      <c r="DW423" s="542"/>
      <c r="DX423" s="542"/>
      <c r="DY423" s="542"/>
      <c r="DZ423" s="542"/>
      <c r="EA423" s="542"/>
      <c r="EB423" s="542"/>
      <c r="EC423" s="542"/>
      <c r="ED423" s="542"/>
      <c r="EE423" s="542"/>
      <c r="EF423" s="542"/>
      <c r="EG423" s="542"/>
      <c r="EH423" s="542"/>
      <c r="EI423" s="542"/>
      <c r="EJ423" s="542"/>
      <c r="EK423" s="542"/>
      <c r="EL423" s="542"/>
      <c r="EM423" s="542"/>
      <c r="EN423" s="542"/>
      <c r="EO423" s="542"/>
      <c r="EP423" s="542"/>
      <c r="EQ423" s="542"/>
      <c r="ER423" s="542"/>
      <c r="ES423" s="542"/>
      <c r="ET423" s="542"/>
      <c r="EU423" s="542"/>
      <c r="EV423" s="542"/>
      <c r="EW423" s="542"/>
      <c r="EX423" s="542"/>
      <c r="EY423" s="542"/>
      <c r="EZ423" s="542"/>
      <c r="FA423" s="542"/>
      <c r="FB423" s="542"/>
      <c r="FC423" s="542"/>
      <c r="FD423" s="542"/>
      <c r="FE423" s="542"/>
      <c r="FF423" s="542"/>
      <c r="FG423" s="542"/>
      <c r="FH423" s="542"/>
      <c r="FI423" s="542"/>
      <c r="FJ423" s="542"/>
      <c r="FK423" s="542"/>
      <c r="FL423" s="542"/>
      <c r="FM423" s="542"/>
      <c r="FN423" s="542"/>
      <c r="FO423" s="542"/>
      <c r="FP423" s="542"/>
      <c r="FQ423" s="542"/>
      <c r="FR423" s="542"/>
      <c r="FS423" s="542"/>
      <c r="FT423" s="542"/>
      <c r="FU423" s="542"/>
      <c r="FV423" s="542"/>
      <c r="FW423" s="542"/>
      <c r="FX423" s="542"/>
      <c r="FY423" s="542"/>
      <c r="FZ423" s="542"/>
      <c r="GA423" s="542"/>
      <c r="GB423" s="542"/>
      <c r="GC423" s="542"/>
      <c r="GD423" s="542"/>
      <c r="GE423" s="542"/>
      <c r="GF423" s="542"/>
      <c r="GG423" s="542"/>
      <c r="GH423" s="542"/>
      <c r="GI423" s="542"/>
      <c r="GJ423" s="542"/>
      <c r="GK423" s="542"/>
      <c r="GL423" s="542"/>
      <c r="GM423" s="542"/>
      <c r="GN423" s="542"/>
      <c r="GO423" s="542"/>
      <c r="GP423" s="542"/>
      <c r="GQ423" s="542"/>
      <c r="GR423" s="542"/>
      <c r="GS423" s="542"/>
      <c r="GT423" s="542"/>
      <c r="GU423" s="542"/>
      <c r="GV423" s="542"/>
      <c r="GW423" s="542"/>
      <c r="GX423" s="542"/>
      <c r="GY423" s="542"/>
      <c r="GZ423" s="542"/>
      <c r="HA423" s="542"/>
      <c r="HB423" s="542"/>
      <c r="HC423" s="542"/>
      <c r="HD423" s="542"/>
      <c r="HE423" s="542"/>
      <c r="HF423" s="542"/>
      <c r="HG423" s="542"/>
      <c r="HH423" s="542"/>
      <c r="HI423" s="542"/>
      <c r="HJ423" s="542"/>
      <c r="HK423" s="542"/>
      <c r="HL423" s="542"/>
      <c r="HM423" s="542"/>
      <c r="HN423" s="542"/>
      <c r="HO423" s="542"/>
      <c r="HP423" s="542"/>
      <c r="HQ423" s="542"/>
      <c r="HR423" s="542"/>
      <c r="HS423" s="542"/>
      <c r="HT423" s="542"/>
      <c r="HU423" s="542"/>
      <c r="HV423" s="542"/>
      <c r="HW423" s="542"/>
      <c r="HX423" s="542"/>
      <c r="HY423" s="542"/>
      <c r="HZ423" s="542"/>
      <c r="IA423" s="542"/>
      <c r="IB423" s="542"/>
      <c r="IC423" s="542"/>
      <c r="ID423" s="542"/>
      <c r="IE423" s="542"/>
      <c r="IF423" s="542"/>
      <c r="IG423" s="542"/>
      <c r="IH423" s="542"/>
      <c r="II423" s="542"/>
      <c r="IJ423" s="542"/>
      <c r="IK423" s="542"/>
      <c r="IL423" s="542"/>
      <c r="IM423" s="542"/>
      <c r="IN423" s="542"/>
      <c r="IO423" s="542"/>
      <c r="IP423" s="542"/>
      <c r="IQ423" s="542"/>
      <c r="IR423" s="542"/>
      <c r="IS423" s="542"/>
      <c r="IT423" s="542"/>
      <c r="IU423" s="542"/>
      <c r="IV423" s="542"/>
      <c r="IW423" s="542"/>
      <c r="IX423" s="542"/>
      <c r="IY423" s="542"/>
      <c r="IZ423" s="542"/>
      <c r="JA423" s="542"/>
      <c r="JB423" s="542"/>
    </row>
    <row r="424" spans="104:262" ht="18.899999999999999" customHeight="1">
      <c r="CZ424" s="542"/>
      <c r="DA424" s="542"/>
      <c r="DB424" s="542"/>
      <c r="DC424" s="542"/>
      <c r="DD424" s="542"/>
      <c r="DE424" s="542"/>
      <c r="DF424" s="542"/>
      <c r="DG424" s="542"/>
      <c r="DH424" s="542"/>
      <c r="DI424" s="542"/>
      <c r="DJ424" s="542"/>
      <c r="DK424" s="542"/>
      <c r="DL424" s="542"/>
      <c r="DM424" s="542"/>
      <c r="DN424" s="542"/>
      <c r="DO424" s="542"/>
      <c r="DP424" s="542"/>
      <c r="DQ424" s="542"/>
      <c r="DR424" s="542"/>
      <c r="DS424" s="542"/>
      <c r="DT424" s="542"/>
      <c r="DU424" s="542"/>
      <c r="DV424" s="542"/>
      <c r="DW424" s="542"/>
      <c r="DX424" s="542"/>
      <c r="DY424" s="542"/>
      <c r="DZ424" s="542"/>
      <c r="EA424" s="542"/>
      <c r="EB424" s="542"/>
      <c r="EC424" s="542"/>
      <c r="ED424" s="542"/>
      <c r="EE424" s="542"/>
      <c r="EF424" s="542"/>
      <c r="EG424" s="542"/>
      <c r="EH424" s="542"/>
      <c r="EI424" s="542"/>
      <c r="EJ424" s="542"/>
      <c r="EK424" s="542"/>
      <c r="EL424" s="542"/>
      <c r="EM424" s="542"/>
      <c r="EN424" s="542"/>
      <c r="EO424" s="542"/>
      <c r="EP424" s="542"/>
      <c r="EQ424" s="542"/>
      <c r="ER424" s="542"/>
      <c r="ES424" s="542"/>
      <c r="ET424" s="542"/>
      <c r="EU424" s="542"/>
      <c r="EV424" s="542"/>
      <c r="EW424" s="542"/>
      <c r="EX424" s="542"/>
      <c r="EY424" s="542"/>
      <c r="EZ424" s="542"/>
      <c r="FA424" s="542"/>
      <c r="FB424" s="542"/>
      <c r="FC424" s="542"/>
      <c r="FD424" s="542"/>
      <c r="FE424" s="542"/>
      <c r="FF424" s="542"/>
      <c r="FG424" s="542"/>
      <c r="FH424" s="542"/>
      <c r="FI424" s="542"/>
      <c r="FJ424" s="542"/>
      <c r="FK424" s="542"/>
      <c r="FL424" s="542"/>
      <c r="FM424" s="542"/>
      <c r="FN424" s="542"/>
      <c r="FO424" s="542"/>
      <c r="FP424" s="542"/>
      <c r="FQ424" s="542"/>
      <c r="FR424" s="542"/>
      <c r="FS424" s="542"/>
      <c r="FT424" s="542"/>
      <c r="FU424" s="542"/>
      <c r="FV424" s="542"/>
      <c r="FW424" s="542"/>
      <c r="FX424" s="542"/>
      <c r="FY424" s="542"/>
      <c r="FZ424" s="542"/>
      <c r="GA424" s="542"/>
      <c r="GB424" s="542"/>
      <c r="GC424" s="542"/>
      <c r="GD424" s="542"/>
      <c r="GE424" s="542"/>
      <c r="GF424" s="542"/>
      <c r="GG424" s="542"/>
      <c r="GH424" s="542"/>
      <c r="GI424" s="542"/>
      <c r="GJ424" s="542"/>
      <c r="GK424" s="542"/>
      <c r="GL424" s="542"/>
      <c r="GM424" s="542"/>
      <c r="GN424" s="542"/>
      <c r="GO424" s="542"/>
      <c r="GP424" s="542"/>
      <c r="GQ424" s="542"/>
      <c r="GR424" s="542"/>
      <c r="GS424" s="542"/>
      <c r="GT424" s="542"/>
      <c r="GU424" s="542"/>
      <c r="GV424" s="542"/>
      <c r="GW424" s="542"/>
      <c r="GX424" s="542"/>
      <c r="GY424" s="542"/>
      <c r="GZ424" s="542"/>
      <c r="HA424" s="542"/>
      <c r="HB424" s="542"/>
      <c r="HC424" s="542"/>
      <c r="HD424" s="542"/>
      <c r="HE424" s="542"/>
      <c r="HF424" s="542"/>
      <c r="HG424" s="542"/>
      <c r="HH424" s="542"/>
      <c r="HI424" s="542"/>
      <c r="HJ424" s="542"/>
      <c r="HK424" s="542"/>
      <c r="HL424" s="542"/>
      <c r="HM424" s="542"/>
      <c r="HN424" s="542"/>
      <c r="HO424" s="542"/>
      <c r="HP424" s="542"/>
      <c r="HQ424" s="542"/>
      <c r="HR424" s="542"/>
      <c r="HS424" s="542"/>
      <c r="HT424" s="542"/>
      <c r="HU424" s="542"/>
      <c r="HV424" s="542"/>
      <c r="HW424" s="542"/>
      <c r="HX424" s="542"/>
      <c r="HY424" s="542"/>
      <c r="HZ424" s="542"/>
      <c r="IA424" s="542"/>
      <c r="IB424" s="542"/>
      <c r="IC424" s="542"/>
      <c r="ID424" s="542"/>
      <c r="IE424" s="542"/>
      <c r="IF424" s="542"/>
      <c r="IG424" s="542"/>
      <c r="IH424" s="542"/>
      <c r="II424" s="542"/>
      <c r="IJ424" s="542"/>
      <c r="IK424" s="542"/>
      <c r="IL424" s="542"/>
      <c r="IM424" s="542"/>
      <c r="IN424" s="542"/>
      <c r="IO424" s="542"/>
      <c r="IP424" s="542"/>
      <c r="IQ424" s="542"/>
      <c r="IR424" s="542"/>
      <c r="IS424" s="542"/>
      <c r="IT424" s="542"/>
      <c r="IU424" s="542"/>
      <c r="IV424" s="542"/>
      <c r="IW424" s="542"/>
      <c r="IX424" s="542"/>
      <c r="IY424" s="542"/>
      <c r="IZ424" s="542"/>
      <c r="JA424" s="542"/>
      <c r="JB424" s="542"/>
    </row>
    <row r="425" spans="104:262" ht="18.899999999999999" customHeight="1">
      <c r="CZ425" s="542"/>
      <c r="DA425" s="542"/>
      <c r="DB425" s="542"/>
      <c r="DC425" s="542"/>
      <c r="DD425" s="542"/>
      <c r="DE425" s="542"/>
      <c r="DF425" s="542"/>
      <c r="DG425" s="542"/>
      <c r="DH425" s="542"/>
      <c r="DI425" s="542"/>
      <c r="DJ425" s="542"/>
      <c r="DK425" s="542"/>
      <c r="DL425" s="542"/>
      <c r="DM425" s="542"/>
      <c r="DN425" s="542"/>
      <c r="DO425" s="542"/>
      <c r="DP425" s="542"/>
      <c r="DQ425" s="542"/>
      <c r="DR425" s="542"/>
      <c r="DS425" s="542"/>
      <c r="DT425" s="542"/>
      <c r="DU425" s="542"/>
      <c r="DV425" s="542"/>
      <c r="DW425" s="542"/>
      <c r="DX425" s="542"/>
      <c r="DY425" s="542"/>
      <c r="DZ425" s="542"/>
      <c r="EA425" s="542"/>
      <c r="EB425" s="542"/>
      <c r="EC425" s="542"/>
      <c r="ED425" s="542"/>
      <c r="EE425" s="542"/>
      <c r="EF425" s="542"/>
      <c r="EG425" s="542"/>
      <c r="EH425" s="542"/>
      <c r="EI425" s="542"/>
      <c r="EJ425" s="542"/>
      <c r="EK425" s="542"/>
      <c r="EL425" s="542"/>
      <c r="EM425" s="542"/>
      <c r="EN425" s="542"/>
      <c r="EO425" s="542"/>
      <c r="EP425" s="542"/>
      <c r="EQ425" s="542"/>
      <c r="ER425" s="542"/>
      <c r="ES425" s="542"/>
      <c r="ET425" s="542"/>
      <c r="EU425" s="542"/>
      <c r="EV425" s="542"/>
      <c r="EW425" s="542"/>
      <c r="EX425" s="542"/>
      <c r="EY425" s="542"/>
      <c r="EZ425" s="542"/>
      <c r="FA425" s="542"/>
      <c r="FB425" s="542"/>
      <c r="FC425" s="542"/>
      <c r="FD425" s="542"/>
      <c r="FE425" s="542"/>
      <c r="FF425" s="542"/>
      <c r="FG425" s="542"/>
      <c r="FH425" s="542"/>
      <c r="FI425" s="542"/>
      <c r="FJ425" s="542"/>
      <c r="FK425" s="542"/>
      <c r="FL425" s="542"/>
      <c r="FM425" s="542"/>
      <c r="FN425" s="542"/>
      <c r="FO425" s="542"/>
      <c r="FP425" s="542"/>
      <c r="FQ425" s="542"/>
      <c r="FR425" s="542"/>
      <c r="FS425" s="542"/>
      <c r="FT425" s="542"/>
      <c r="FU425" s="542"/>
      <c r="FV425" s="542"/>
      <c r="FW425" s="542"/>
      <c r="FX425" s="542"/>
      <c r="FY425" s="542"/>
      <c r="FZ425" s="542"/>
      <c r="GA425" s="542"/>
      <c r="GB425" s="542"/>
      <c r="GC425" s="542"/>
      <c r="GD425" s="542"/>
      <c r="GE425" s="542"/>
      <c r="GF425" s="542"/>
      <c r="GG425" s="542"/>
      <c r="GH425" s="542"/>
      <c r="GI425" s="542"/>
      <c r="GJ425" s="542"/>
      <c r="GK425" s="542"/>
      <c r="GL425" s="542"/>
      <c r="GM425" s="542"/>
      <c r="GN425" s="542"/>
      <c r="GO425" s="542"/>
      <c r="GP425" s="542"/>
      <c r="GQ425" s="542"/>
      <c r="GR425" s="542"/>
      <c r="GS425" s="542"/>
      <c r="GT425" s="542"/>
      <c r="GU425" s="542"/>
      <c r="GV425" s="542"/>
      <c r="GW425" s="542"/>
      <c r="GX425" s="542"/>
      <c r="GY425" s="542"/>
      <c r="GZ425" s="542"/>
      <c r="HA425" s="542"/>
      <c r="HB425" s="542"/>
      <c r="HC425" s="542"/>
      <c r="HD425" s="542"/>
      <c r="HE425" s="542"/>
      <c r="HF425" s="542"/>
      <c r="HG425" s="542"/>
      <c r="HH425" s="542"/>
      <c r="HI425" s="542"/>
      <c r="HJ425" s="542"/>
      <c r="HK425" s="542"/>
      <c r="HL425" s="542"/>
      <c r="HM425" s="542"/>
      <c r="HN425" s="542"/>
      <c r="HO425" s="542"/>
      <c r="HP425" s="542"/>
      <c r="HQ425" s="542"/>
      <c r="HR425" s="542"/>
      <c r="HS425" s="542"/>
      <c r="HT425" s="542"/>
      <c r="HU425" s="542"/>
      <c r="HV425" s="542"/>
      <c r="HW425" s="542"/>
      <c r="HX425" s="542"/>
      <c r="HY425" s="542"/>
      <c r="HZ425" s="542"/>
      <c r="IA425" s="542"/>
      <c r="IB425" s="542"/>
      <c r="IC425" s="542"/>
      <c r="ID425" s="542"/>
      <c r="IE425" s="542"/>
      <c r="IF425" s="542"/>
      <c r="IG425" s="542"/>
      <c r="IH425" s="542"/>
      <c r="II425" s="542"/>
      <c r="IJ425" s="542"/>
      <c r="IK425" s="542"/>
      <c r="IL425" s="542"/>
      <c r="IM425" s="542"/>
      <c r="IN425" s="542"/>
      <c r="IO425" s="542"/>
      <c r="IP425" s="542"/>
      <c r="IQ425" s="542"/>
      <c r="IR425" s="542"/>
      <c r="IS425" s="542"/>
      <c r="IT425" s="542"/>
      <c r="IU425" s="542"/>
      <c r="IV425" s="542"/>
      <c r="IW425" s="542"/>
      <c r="IX425" s="542"/>
      <c r="IY425" s="542"/>
      <c r="IZ425" s="542"/>
      <c r="JA425" s="542"/>
      <c r="JB425" s="542"/>
    </row>
    <row r="426" spans="104:262" ht="18.899999999999999" customHeight="1">
      <c r="CZ426" s="542"/>
      <c r="DA426" s="542"/>
      <c r="DB426" s="542"/>
      <c r="DC426" s="542"/>
      <c r="DD426" s="542"/>
      <c r="DE426" s="542"/>
      <c r="DF426" s="542"/>
      <c r="DG426" s="542"/>
      <c r="DH426" s="542"/>
      <c r="DI426" s="542"/>
      <c r="DJ426" s="542"/>
      <c r="DK426" s="542"/>
      <c r="DL426" s="542"/>
      <c r="DM426" s="542"/>
      <c r="DN426" s="542"/>
      <c r="DO426" s="542"/>
      <c r="DP426" s="542"/>
      <c r="DQ426" s="542"/>
      <c r="DR426" s="542"/>
      <c r="DS426" s="542"/>
      <c r="DT426" s="542"/>
      <c r="DU426" s="542"/>
      <c r="DV426" s="542"/>
      <c r="DW426" s="542"/>
      <c r="DX426" s="542"/>
      <c r="DY426" s="542"/>
      <c r="DZ426" s="542"/>
      <c r="EA426" s="542"/>
      <c r="EB426" s="542"/>
      <c r="EC426" s="542"/>
      <c r="ED426" s="542"/>
      <c r="EE426" s="542"/>
      <c r="EF426" s="542"/>
      <c r="EG426" s="542"/>
      <c r="EH426" s="542"/>
      <c r="EI426" s="542"/>
      <c r="EJ426" s="542"/>
      <c r="EK426" s="542"/>
      <c r="EL426" s="542"/>
      <c r="EM426" s="542"/>
      <c r="EN426" s="542"/>
      <c r="EO426" s="542"/>
      <c r="EP426" s="542"/>
      <c r="EQ426" s="542"/>
      <c r="ER426" s="542"/>
      <c r="ES426" s="542"/>
      <c r="ET426" s="542"/>
      <c r="EU426" s="542"/>
      <c r="EV426" s="542"/>
      <c r="EW426" s="542"/>
      <c r="EX426" s="542"/>
      <c r="EY426" s="542"/>
      <c r="EZ426" s="542"/>
      <c r="FA426" s="542"/>
      <c r="FB426" s="542"/>
      <c r="FC426" s="542"/>
      <c r="FD426" s="542"/>
      <c r="FE426" s="542"/>
      <c r="FF426" s="542"/>
      <c r="FG426" s="542"/>
      <c r="FH426" s="542"/>
      <c r="FI426" s="542"/>
      <c r="FJ426" s="542"/>
      <c r="FK426" s="542"/>
      <c r="FL426" s="542"/>
      <c r="FM426" s="542"/>
      <c r="FN426" s="542"/>
      <c r="FO426" s="542"/>
      <c r="FP426" s="542"/>
      <c r="FQ426" s="542"/>
      <c r="FR426" s="542"/>
      <c r="FS426" s="542"/>
      <c r="FT426" s="542"/>
      <c r="FU426" s="542"/>
      <c r="FV426" s="542"/>
      <c r="FW426" s="542"/>
      <c r="FX426" s="542"/>
      <c r="FY426" s="542"/>
      <c r="FZ426" s="542"/>
      <c r="GA426" s="542"/>
      <c r="GB426" s="542"/>
      <c r="GC426" s="542"/>
      <c r="GD426" s="542"/>
      <c r="GE426" s="542"/>
      <c r="GF426" s="542"/>
      <c r="GG426" s="542"/>
      <c r="GH426" s="542"/>
      <c r="GI426" s="542"/>
      <c r="GJ426" s="542"/>
      <c r="GK426" s="542"/>
      <c r="GL426" s="542"/>
      <c r="GM426" s="542"/>
      <c r="GN426" s="542"/>
      <c r="GO426" s="542"/>
      <c r="GP426" s="542"/>
      <c r="GQ426" s="542"/>
      <c r="GR426" s="542"/>
      <c r="GS426" s="542"/>
      <c r="GT426" s="542"/>
      <c r="GU426" s="542"/>
      <c r="GV426" s="542"/>
      <c r="GW426" s="542"/>
      <c r="GX426" s="542"/>
      <c r="GY426" s="542"/>
      <c r="GZ426" s="542"/>
      <c r="HA426" s="542"/>
      <c r="HB426" s="542"/>
      <c r="HC426" s="542"/>
      <c r="HD426" s="542"/>
      <c r="HE426" s="542"/>
      <c r="HF426" s="542"/>
      <c r="HG426" s="542"/>
      <c r="HH426" s="542"/>
      <c r="HI426" s="542"/>
      <c r="HJ426" s="542"/>
      <c r="HK426" s="542"/>
      <c r="HL426" s="542"/>
      <c r="HM426" s="542"/>
      <c r="HN426" s="542"/>
      <c r="HO426" s="542"/>
      <c r="HP426" s="542"/>
      <c r="HQ426" s="542"/>
      <c r="HR426" s="542"/>
      <c r="HS426" s="542"/>
      <c r="HT426" s="542"/>
      <c r="HU426" s="542"/>
      <c r="HV426" s="542"/>
      <c r="HW426" s="542"/>
      <c r="HX426" s="542"/>
      <c r="HY426" s="542"/>
      <c r="HZ426" s="542"/>
      <c r="IA426" s="542"/>
      <c r="IB426" s="542"/>
      <c r="IC426" s="542"/>
      <c r="ID426" s="542"/>
      <c r="IE426" s="542"/>
      <c r="IF426" s="542"/>
      <c r="IG426" s="542"/>
      <c r="IH426" s="542"/>
      <c r="II426" s="542"/>
      <c r="IJ426" s="542"/>
      <c r="IK426" s="542"/>
      <c r="IL426" s="542"/>
      <c r="IM426" s="542"/>
      <c r="IN426" s="542"/>
      <c r="IO426" s="542"/>
      <c r="IP426" s="542"/>
      <c r="IQ426" s="542"/>
      <c r="IR426" s="542"/>
      <c r="IS426" s="542"/>
      <c r="IT426" s="542"/>
      <c r="IU426" s="542"/>
      <c r="IV426" s="542"/>
      <c r="IW426" s="542"/>
      <c r="IX426" s="542"/>
      <c r="IY426" s="542"/>
      <c r="IZ426" s="542"/>
      <c r="JA426" s="542"/>
      <c r="JB426" s="542"/>
    </row>
    <row r="427" spans="104:262" ht="18.899999999999999" customHeight="1">
      <c r="CZ427" s="542"/>
      <c r="DA427" s="542"/>
      <c r="DB427" s="542"/>
      <c r="DC427" s="542"/>
      <c r="DD427" s="542"/>
      <c r="DE427" s="542"/>
      <c r="DF427" s="542"/>
      <c r="DG427" s="542"/>
      <c r="DH427" s="542"/>
      <c r="DI427" s="542"/>
      <c r="DJ427" s="542"/>
      <c r="DK427" s="542"/>
      <c r="DL427" s="542"/>
      <c r="DM427" s="542"/>
      <c r="DN427" s="542"/>
      <c r="DO427" s="542"/>
      <c r="DP427" s="542"/>
      <c r="DQ427" s="542"/>
      <c r="DR427" s="542"/>
      <c r="DS427" s="542"/>
      <c r="DT427" s="542"/>
      <c r="DU427" s="542"/>
      <c r="DV427" s="542"/>
      <c r="DW427" s="542"/>
      <c r="DX427" s="542"/>
      <c r="DY427" s="542"/>
      <c r="DZ427" s="542"/>
      <c r="EA427" s="542"/>
      <c r="EB427" s="542"/>
      <c r="EC427" s="542"/>
      <c r="ED427" s="542"/>
      <c r="EE427" s="542"/>
      <c r="EF427" s="542"/>
      <c r="EG427" s="542"/>
      <c r="EH427" s="542"/>
      <c r="EI427" s="542"/>
      <c r="EJ427" s="542"/>
      <c r="EK427" s="542"/>
      <c r="EL427" s="542"/>
      <c r="EM427" s="542"/>
      <c r="EN427" s="542"/>
      <c r="EO427" s="542"/>
      <c r="EP427" s="542"/>
      <c r="EQ427" s="542"/>
      <c r="ER427" s="542"/>
      <c r="ES427" s="542"/>
      <c r="ET427" s="542"/>
      <c r="EU427" s="542"/>
      <c r="EV427" s="542"/>
      <c r="EW427" s="542"/>
      <c r="EX427" s="542"/>
      <c r="EY427" s="542"/>
      <c r="EZ427" s="542"/>
      <c r="FA427" s="542"/>
      <c r="FB427" s="542"/>
      <c r="FC427" s="542"/>
      <c r="FD427" s="542"/>
      <c r="FE427" s="542"/>
      <c r="FF427" s="542"/>
      <c r="FG427" s="542"/>
      <c r="FH427" s="542"/>
      <c r="FI427" s="542"/>
      <c r="FJ427" s="542"/>
      <c r="FK427" s="542"/>
      <c r="FL427" s="542"/>
      <c r="FM427" s="542"/>
      <c r="FN427" s="542"/>
      <c r="FO427" s="542"/>
      <c r="FP427" s="542"/>
      <c r="FQ427" s="542"/>
      <c r="FR427" s="542"/>
      <c r="FS427" s="542"/>
      <c r="FT427" s="542"/>
      <c r="FU427" s="542"/>
      <c r="FV427" s="542"/>
      <c r="FW427" s="542"/>
      <c r="FX427" s="542"/>
      <c r="FY427" s="542"/>
      <c r="FZ427" s="542"/>
      <c r="GA427" s="542"/>
      <c r="GB427" s="542"/>
      <c r="GC427" s="542"/>
      <c r="GD427" s="542"/>
      <c r="GE427" s="542"/>
      <c r="GF427" s="542"/>
      <c r="GG427" s="542"/>
      <c r="GH427" s="542"/>
      <c r="GI427" s="542"/>
      <c r="GJ427" s="542"/>
      <c r="GK427" s="542"/>
      <c r="GL427" s="542"/>
      <c r="GM427" s="542"/>
      <c r="GN427" s="542"/>
      <c r="GO427" s="542"/>
      <c r="GP427" s="542"/>
      <c r="GQ427" s="542"/>
      <c r="GR427" s="542"/>
      <c r="GS427" s="542"/>
      <c r="GT427" s="542"/>
      <c r="GU427" s="542"/>
      <c r="GV427" s="542"/>
      <c r="GW427" s="542"/>
      <c r="GX427" s="542"/>
      <c r="GY427" s="542"/>
      <c r="GZ427" s="542"/>
      <c r="HA427" s="542"/>
      <c r="HB427" s="542"/>
      <c r="HC427" s="542"/>
      <c r="HD427" s="542"/>
      <c r="HE427" s="542"/>
      <c r="HF427" s="542"/>
      <c r="HG427" s="542"/>
      <c r="HH427" s="542"/>
      <c r="HI427" s="542"/>
      <c r="HJ427" s="542"/>
      <c r="HK427" s="542"/>
      <c r="HL427" s="542"/>
      <c r="HM427" s="542"/>
      <c r="HN427" s="542"/>
      <c r="HO427" s="542"/>
      <c r="HP427" s="542"/>
      <c r="HQ427" s="542"/>
      <c r="HR427" s="542"/>
      <c r="HS427" s="542"/>
      <c r="HT427" s="542"/>
      <c r="HU427" s="542"/>
      <c r="HV427" s="542"/>
      <c r="HW427" s="542"/>
      <c r="HX427" s="542"/>
      <c r="HY427" s="542"/>
      <c r="HZ427" s="542"/>
      <c r="IA427" s="542"/>
      <c r="IB427" s="542"/>
      <c r="IC427" s="542"/>
      <c r="ID427" s="542"/>
      <c r="IE427" s="542"/>
      <c r="IF427" s="542"/>
      <c r="IG427" s="542"/>
      <c r="IH427" s="542"/>
      <c r="II427" s="542"/>
      <c r="IJ427" s="542"/>
      <c r="IK427" s="542"/>
      <c r="IL427" s="542"/>
      <c r="IM427" s="542"/>
      <c r="IN427" s="542"/>
      <c r="IO427" s="542"/>
      <c r="IP427" s="542"/>
      <c r="IQ427" s="542"/>
      <c r="IR427" s="542"/>
      <c r="IS427" s="542"/>
      <c r="IT427" s="542"/>
      <c r="IU427" s="542"/>
      <c r="IV427" s="542"/>
      <c r="IW427" s="542"/>
      <c r="IX427" s="542"/>
      <c r="IY427" s="542"/>
      <c r="IZ427" s="542"/>
      <c r="JA427" s="542"/>
      <c r="JB427" s="542"/>
    </row>
    <row r="428" spans="104:262" ht="18.899999999999999" customHeight="1">
      <c r="CZ428" s="542"/>
      <c r="DA428" s="542"/>
      <c r="DB428" s="542"/>
      <c r="DC428" s="542"/>
      <c r="DD428" s="542"/>
      <c r="DE428" s="542"/>
      <c r="DF428" s="542"/>
      <c r="DG428" s="542"/>
      <c r="DH428" s="542"/>
      <c r="DI428" s="542"/>
      <c r="DJ428" s="542"/>
      <c r="DK428" s="542"/>
      <c r="DL428" s="542"/>
      <c r="DM428" s="542"/>
      <c r="DN428" s="542"/>
      <c r="DO428" s="542"/>
      <c r="DP428" s="542"/>
      <c r="DQ428" s="542"/>
      <c r="DR428" s="542"/>
      <c r="DS428" s="542"/>
      <c r="DT428" s="542"/>
      <c r="DU428" s="542"/>
      <c r="DV428" s="542"/>
      <c r="DW428" s="542"/>
      <c r="DX428" s="542"/>
      <c r="DY428" s="542"/>
      <c r="DZ428" s="542"/>
      <c r="EA428" s="542"/>
      <c r="EB428" s="542"/>
      <c r="EC428" s="542"/>
      <c r="ED428" s="542"/>
      <c r="EE428" s="542"/>
      <c r="EF428" s="542"/>
      <c r="EG428" s="542"/>
      <c r="EH428" s="542"/>
      <c r="EI428" s="542"/>
      <c r="EJ428" s="542"/>
      <c r="EK428" s="542"/>
      <c r="EL428" s="542"/>
      <c r="EM428" s="542"/>
      <c r="EN428" s="542"/>
      <c r="EO428" s="542"/>
      <c r="EP428" s="542"/>
      <c r="EQ428" s="542"/>
      <c r="ER428" s="542"/>
      <c r="ES428" s="542"/>
      <c r="ET428" s="542"/>
      <c r="EU428" s="542"/>
      <c r="EV428" s="542"/>
      <c r="EW428" s="542"/>
      <c r="EX428" s="542"/>
      <c r="EY428" s="542"/>
      <c r="EZ428" s="542"/>
      <c r="FA428" s="542"/>
      <c r="FB428" s="542"/>
      <c r="FC428" s="542"/>
      <c r="FD428" s="542"/>
      <c r="FE428" s="542"/>
      <c r="FF428" s="542"/>
      <c r="FG428" s="542"/>
      <c r="FH428" s="542"/>
      <c r="FI428" s="542"/>
      <c r="FJ428" s="542"/>
      <c r="FK428" s="542"/>
      <c r="FL428" s="542"/>
      <c r="FM428" s="542"/>
      <c r="FN428" s="542"/>
      <c r="FO428" s="542"/>
      <c r="FP428" s="542"/>
      <c r="FQ428" s="542"/>
      <c r="FR428" s="542"/>
      <c r="FS428" s="542"/>
      <c r="FT428" s="542"/>
      <c r="FU428" s="542"/>
      <c r="FV428" s="542"/>
      <c r="FW428" s="542"/>
      <c r="FX428" s="542"/>
      <c r="FY428" s="542"/>
      <c r="FZ428" s="542"/>
      <c r="GA428" s="542"/>
      <c r="GB428" s="542"/>
      <c r="GC428" s="542"/>
      <c r="GD428" s="542"/>
      <c r="GE428" s="542"/>
      <c r="GF428" s="542"/>
      <c r="GG428" s="542"/>
      <c r="GH428" s="542"/>
      <c r="GI428" s="542"/>
      <c r="GJ428" s="542"/>
      <c r="GK428" s="542"/>
      <c r="GL428" s="542"/>
      <c r="GM428" s="542"/>
      <c r="GN428" s="542"/>
      <c r="GO428" s="542"/>
      <c r="GP428" s="542"/>
      <c r="GQ428" s="542"/>
      <c r="GR428" s="542"/>
      <c r="GS428" s="542"/>
      <c r="GT428" s="542"/>
      <c r="GU428" s="542"/>
      <c r="GV428" s="542"/>
      <c r="GW428" s="542"/>
      <c r="GX428" s="542"/>
      <c r="GY428" s="542"/>
      <c r="GZ428" s="542"/>
      <c r="HA428" s="542"/>
      <c r="HB428" s="542"/>
      <c r="HC428" s="542"/>
      <c r="HD428" s="542"/>
      <c r="HE428" s="542"/>
      <c r="HF428" s="542"/>
      <c r="HG428" s="542"/>
      <c r="HH428" s="542"/>
      <c r="HI428" s="542"/>
      <c r="HJ428" s="542"/>
      <c r="HK428" s="542"/>
      <c r="HL428" s="542"/>
      <c r="HM428" s="542"/>
      <c r="HN428" s="542"/>
      <c r="HO428" s="542"/>
      <c r="HP428" s="542"/>
      <c r="HQ428" s="542"/>
      <c r="HR428" s="542"/>
      <c r="HS428" s="542"/>
      <c r="HT428" s="542"/>
      <c r="HU428" s="542"/>
      <c r="HV428" s="542"/>
      <c r="HW428" s="542"/>
      <c r="HX428" s="542"/>
      <c r="HY428" s="542"/>
      <c r="HZ428" s="542"/>
      <c r="IA428" s="542"/>
      <c r="IB428" s="542"/>
      <c r="IC428" s="542"/>
      <c r="ID428" s="542"/>
      <c r="IE428" s="542"/>
      <c r="IF428" s="542"/>
      <c r="IG428" s="542"/>
      <c r="IH428" s="542"/>
      <c r="II428" s="542"/>
      <c r="IJ428" s="542"/>
      <c r="IK428" s="542"/>
      <c r="IL428" s="542"/>
      <c r="IM428" s="542"/>
      <c r="IN428" s="542"/>
      <c r="IO428" s="542"/>
      <c r="IP428" s="542"/>
      <c r="IQ428" s="542"/>
      <c r="IR428" s="542"/>
      <c r="IS428" s="542"/>
      <c r="IT428" s="542"/>
      <c r="IU428" s="542"/>
      <c r="IV428" s="542"/>
      <c r="IW428" s="542"/>
      <c r="IX428" s="542"/>
      <c r="IY428" s="542"/>
      <c r="IZ428" s="542"/>
      <c r="JA428" s="542"/>
      <c r="JB428" s="542"/>
    </row>
    <row r="429" spans="104:262" ht="18.899999999999999" customHeight="1">
      <c r="CZ429" s="542"/>
      <c r="DA429" s="542"/>
      <c r="DB429" s="542"/>
      <c r="DC429" s="542"/>
      <c r="DD429" s="542"/>
      <c r="DE429" s="542"/>
      <c r="DF429" s="542"/>
      <c r="DG429" s="542"/>
      <c r="DH429" s="542"/>
      <c r="DI429" s="542"/>
      <c r="DJ429" s="542"/>
      <c r="DK429" s="542"/>
      <c r="DL429" s="542"/>
      <c r="DM429" s="542"/>
      <c r="DN429" s="542"/>
      <c r="DO429" s="542"/>
      <c r="DP429" s="542"/>
      <c r="DQ429" s="542"/>
      <c r="DR429" s="542"/>
      <c r="DS429" s="542"/>
      <c r="DT429" s="542"/>
      <c r="DU429" s="542"/>
      <c r="DV429" s="542"/>
      <c r="DW429" s="542"/>
      <c r="DX429" s="542"/>
      <c r="DY429" s="542"/>
      <c r="DZ429" s="542"/>
      <c r="EA429" s="542"/>
      <c r="EB429" s="542"/>
      <c r="EC429" s="542"/>
      <c r="ED429" s="542"/>
      <c r="EE429" s="542"/>
      <c r="EF429" s="542"/>
      <c r="EG429" s="542"/>
      <c r="EH429" s="542"/>
      <c r="EI429" s="542"/>
      <c r="EJ429" s="542"/>
      <c r="EK429" s="542"/>
      <c r="EL429" s="542"/>
      <c r="EM429" s="542"/>
      <c r="EN429" s="542"/>
      <c r="EO429" s="542"/>
      <c r="EP429" s="542"/>
      <c r="EQ429" s="542"/>
      <c r="ER429" s="542"/>
      <c r="ES429" s="542"/>
      <c r="ET429" s="542"/>
      <c r="EU429" s="542"/>
      <c r="EV429" s="542"/>
      <c r="EW429" s="542"/>
      <c r="EX429" s="542"/>
      <c r="EY429" s="542"/>
      <c r="EZ429" s="542"/>
      <c r="FA429" s="542"/>
      <c r="FB429" s="542"/>
      <c r="FC429" s="542"/>
      <c r="FD429" s="542"/>
      <c r="FE429" s="542"/>
      <c r="FF429" s="542"/>
      <c r="FG429" s="542"/>
      <c r="FH429" s="542"/>
      <c r="FI429" s="542"/>
      <c r="FJ429" s="542"/>
      <c r="FK429" s="542"/>
      <c r="FL429" s="542"/>
      <c r="FM429" s="542"/>
      <c r="FN429" s="542"/>
      <c r="FO429" s="542"/>
      <c r="FP429" s="542"/>
      <c r="FQ429" s="542"/>
      <c r="FR429" s="542"/>
      <c r="FS429" s="542"/>
      <c r="FT429" s="542"/>
      <c r="FU429" s="542"/>
      <c r="FV429" s="542"/>
      <c r="FW429" s="542"/>
      <c r="FX429" s="542"/>
      <c r="FY429" s="542"/>
      <c r="FZ429" s="542"/>
      <c r="GA429" s="542"/>
      <c r="GB429" s="542"/>
      <c r="GC429" s="542"/>
      <c r="GD429" s="542"/>
      <c r="GE429" s="542"/>
      <c r="GF429" s="542"/>
      <c r="GG429" s="542"/>
      <c r="GH429" s="542"/>
      <c r="GI429" s="542"/>
      <c r="GJ429" s="542"/>
      <c r="GK429" s="542"/>
      <c r="GL429" s="542"/>
      <c r="GM429" s="542"/>
      <c r="GN429" s="542"/>
      <c r="GO429" s="542"/>
      <c r="GP429" s="542"/>
      <c r="GQ429" s="542"/>
      <c r="GR429" s="542"/>
      <c r="GS429" s="542"/>
      <c r="GT429" s="542"/>
      <c r="GU429" s="542"/>
      <c r="GV429" s="542"/>
      <c r="GW429" s="542"/>
      <c r="GX429" s="542"/>
      <c r="GY429" s="542"/>
      <c r="GZ429" s="542"/>
      <c r="HA429" s="542"/>
      <c r="HB429" s="542"/>
      <c r="HC429" s="542"/>
      <c r="HD429" s="542"/>
      <c r="HE429" s="542"/>
      <c r="HF429" s="542"/>
      <c r="HG429" s="542"/>
      <c r="HH429" s="542"/>
      <c r="HI429" s="542"/>
      <c r="HJ429" s="542"/>
      <c r="HK429" s="542"/>
      <c r="HL429" s="542"/>
      <c r="HM429" s="542"/>
      <c r="HN429" s="542"/>
      <c r="HO429" s="542"/>
      <c r="HP429" s="542"/>
      <c r="HQ429" s="542"/>
      <c r="HR429" s="542"/>
      <c r="HS429" s="542"/>
      <c r="HT429" s="542"/>
      <c r="HU429" s="542"/>
      <c r="HV429" s="542"/>
      <c r="HW429" s="542"/>
      <c r="HX429" s="542"/>
      <c r="HY429" s="542"/>
      <c r="HZ429" s="542"/>
      <c r="IA429" s="542"/>
      <c r="IB429" s="542"/>
      <c r="IC429" s="542"/>
      <c r="ID429" s="542"/>
      <c r="IE429" s="542"/>
      <c r="IF429" s="542"/>
      <c r="IG429" s="542"/>
      <c r="IH429" s="542"/>
      <c r="II429" s="542"/>
      <c r="IJ429" s="542"/>
      <c r="IK429" s="542"/>
      <c r="IL429" s="542"/>
      <c r="IM429" s="542"/>
      <c r="IN429" s="542"/>
      <c r="IO429" s="542"/>
      <c r="IP429" s="542"/>
      <c r="IQ429" s="542"/>
      <c r="IR429" s="542"/>
      <c r="IS429" s="542"/>
      <c r="IT429" s="542"/>
      <c r="IU429" s="542"/>
      <c r="IV429" s="542"/>
      <c r="IW429" s="542"/>
      <c r="IX429" s="542"/>
      <c r="IY429" s="542"/>
      <c r="IZ429" s="542"/>
      <c r="JA429" s="542"/>
      <c r="JB429" s="542"/>
    </row>
    <row r="430" spans="104:262" ht="18.899999999999999" customHeight="1">
      <c r="CZ430" s="542"/>
      <c r="DA430" s="542"/>
      <c r="DB430" s="542"/>
      <c r="DC430" s="542"/>
      <c r="DD430" s="542"/>
      <c r="DE430" s="542"/>
      <c r="DF430" s="542"/>
      <c r="DG430" s="542"/>
      <c r="DH430" s="542"/>
      <c r="DI430" s="542"/>
      <c r="DJ430" s="542"/>
      <c r="DK430" s="542"/>
      <c r="DL430" s="542"/>
      <c r="DM430" s="542"/>
      <c r="DN430" s="542"/>
      <c r="DO430" s="542"/>
      <c r="DP430" s="542"/>
      <c r="DQ430" s="542"/>
      <c r="DR430" s="542"/>
      <c r="DS430" s="542"/>
      <c r="DT430" s="542"/>
      <c r="DU430" s="542"/>
      <c r="DV430" s="542"/>
      <c r="DW430" s="542"/>
      <c r="DX430" s="542"/>
      <c r="DY430" s="542"/>
      <c r="DZ430" s="542"/>
      <c r="EA430" s="542"/>
      <c r="EB430" s="542"/>
      <c r="EC430" s="542"/>
      <c r="ED430" s="542"/>
      <c r="EE430" s="542"/>
      <c r="EF430" s="542"/>
      <c r="EG430" s="542"/>
      <c r="EH430" s="542"/>
      <c r="EI430" s="542"/>
      <c r="EJ430" s="542"/>
      <c r="EK430" s="542"/>
      <c r="EL430" s="542"/>
      <c r="EM430" s="542"/>
      <c r="EN430" s="542"/>
      <c r="EO430" s="542"/>
      <c r="EP430" s="542"/>
      <c r="EQ430" s="542"/>
      <c r="ER430" s="542"/>
      <c r="ES430" s="542"/>
      <c r="ET430" s="542"/>
      <c r="EU430" s="542"/>
      <c r="EV430" s="542"/>
      <c r="EW430" s="542"/>
      <c r="EX430" s="542"/>
      <c r="EY430" s="542"/>
      <c r="EZ430" s="542"/>
      <c r="FA430" s="542"/>
      <c r="FB430" s="542"/>
      <c r="FC430" s="542"/>
      <c r="FD430" s="542"/>
      <c r="FE430" s="542"/>
      <c r="FF430" s="542"/>
      <c r="FG430" s="542"/>
      <c r="FH430" s="542"/>
      <c r="FI430" s="542"/>
      <c r="FJ430" s="542"/>
      <c r="FK430" s="542"/>
      <c r="FL430" s="542"/>
      <c r="FM430" s="542"/>
      <c r="FN430" s="542"/>
      <c r="FO430" s="542"/>
      <c r="FP430" s="542"/>
      <c r="FQ430" s="542"/>
      <c r="FR430" s="542"/>
      <c r="FS430" s="542"/>
      <c r="FT430" s="542"/>
      <c r="FU430" s="542"/>
      <c r="FV430" s="542"/>
      <c r="FW430" s="542"/>
      <c r="FX430" s="542"/>
      <c r="FY430" s="542"/>
      <c r="FZ430" s="542"/>
      <c r="GA430" s="542"/>
      <c r="GB430" s="542"/>
      <c r="GC430" s="542"/>
      <c r="GD430" s="542"/>
      <c r="GE430" s="542"/>
      <c r="GF430" s="542"/>
      <c r="GG430" s="542"/>
      <c r="GH430" s="542"/>
      <c r="GI430" s="542"/>
      <c r="GJ430" s="542"/>
      <c r="GK430" s="542"/>
      <c r="GL430" s="542"/>
      <c r="GM430" s="542"/>
      <c r="GN430" s="542"/>
      <c r="GO430" s="542"/>
      <c r="GP430" s="542"/>
      <c r="GQ430" s="542"/>
      <c r="GR430" s="542"/>
      <c r="GS430" s="542"/>
      <c r="GT430" s="542"/>
      <c r="GU430" s="542"/>
      <c r="GV430" s="542"/>
      <c r="GW430" s="542"/>
      <c r="GX430" s="542"/>
      <c r="GY430" s="542"/>
      <c r="GZ430" s="542"/>
      <c r="HA430" s="542"/>
      <c r="HB430" s="542"/>
      <c r="HC430" s="542"/>
      <c r="HD430" s="542"/>
      <c r="HE430" s="542"/>
      <c r="HF430" s="542"/>
      <c r="HG430" s="542"/>
      <c r="HH430" s="542"/>
      <c r="HI430" s="542"/>
      <c r="HJ430" s="542"/>
      <c r="HK430" s="542"/>
      <c r="HL430" s="542"/>
      <c r="HM430" s="542"/>
      <c r="HN430" s="542"/>
      <c r="HO430" s="542"/>
      <c r="HP430" s="542"/>
      <c r="HQ430" s="542"/>
      <c r="HR430" s="542"/>
      <c r="HS430" s="542"/>
      <c r="HT430" s="542"/>
      <c r="HU430" s="542"/>
      <c r="HV430" s="542"/>
      <c r="HW430" s="542"/>
      <c r="HX430" s="542"/>
      <c r="HY430" s="542"/>
      <c r="HZ430" s="542"/>
      <c r="IA430" s="542"/>
      <c r="IB430" s="542"/>
      <c r="IC430" s="542"/>
      <c r="ID430" s="542"/>
      <c r="IE430" s="542"/>
      <c r="IF430" s="542"/>
      <c r="IG430" s="542"/>
      <c r="IH430" s="542"/>
      <c r="II430" s="542"/>
      <c r="IJ430" s="542"/>
      <c r="IK430" s="542"/>
      <c r="IL430" s="542"/>
      <c r="IM430" s="542"/>
      <c r="IN430" s="542"/>
      <c r="IO430" s="542"/>
      <c r="IP430" s="542"/>
      <c r="IQ430" s="542"/>
      <c r="IR430" s="542"/>
      <c r="IS430" s="542"/>
      <c r="IT430" s="542"/>
      <c r="IU430" s="542"/>
      <c r="IV430" s="542"/>
      <c r="IW430" s="542"/>
      <c r="IX430" s="542"/>
      <c r="IY430" s="542"/>
      <c r="IZ430" s="542"/>
      <c r="JA430" s="542"/>
      <c r="JB430" s="542"/>
    </row>
    <row r="431" spans="104:262" ht="18.899999999999999" customHeight="1">
      <c r="CZ431" s="542"/>
      <c r="DA431" s="542"/>
      <c r="DB431" s="542"/>
      <c r="DC431" s="542"/>
      <c r="DD431" s="542"/>
      <c r="DE431" s="542"/>
      <c r="DF431" s="542"/>
      <c r="DG431" s="542"/>
      <c r="DH431" s="542"/>
      <c r="DI431" s="542"/>
      <c r="DJ431" s="542"/>
      <c r="DK431" s="542"/>
      <c r="DL431" s="542"/>
      <c r="DM431" s="542"/>
      <c r="DN431" s="542"/>
      <c r="DO431" s="542"/>
      <c r="DP431" s="542"/>
      <c r="DQ431" s="542"/>
      <c r="DR431" s="542"/>
      <c r="DS431" s="542"/>
      <c r="DT431" s="542"/>
      <c r="DU431" s="542"/>
      <c r="DV431" s="542"/>
      <c r="DW431" s="542"/>
      <c r="DX431" s="542"/>
      <c r="DY431" s="542"/>
      <c r="DZ431" s="542"/>
      <c r="EA431" s="542"/>
      <c r="EB431" s="542"/>
      <c r="EC431" s="542"/>
      <c r="ED431" s="542"/>
      <c r="EE431" s="542"/>
      <c r="EF431" s="542"/>
      <c r="EG431" s="542"/>
      <c r="EH431" s="542"/>
      <c r="EI431" s="542"/>
      <c r="EJ431" s="542"/>
      <c r="EK431" s="542"/>
      <c r="EL431" s="542"/>
      <c r="EM431" s="542"/>
      <c r="EN431" s="542"/>
      <c r="EO431" s="542"/>
      <c r="EP431" s="542"/>
      <c r="EQ431" s="542"/>
      <c r="ER431" s="542"/>
      <c r="ES431" s="542"/>
      <c r="ET431" s="542"/>
      <c r="EU431" s="542"/>
      <c r="EV431" s="542"/>
      <c r="EW431" s="542"/>
      <c r="EX431" s="542"/>
      <c r="EY431" s="542"/>
      <c r="EZ431" s="542"/>
      <c r="FA431" s="542"/>
      <c r="FB431" s="542"/>
      <c r="FC431" s="542"/>
      <c r="FD431" s="542"/>
      <c r="FE431" s="542"/>
      <c r="FF431" s="542"/>
      <c r="FG431" s="542"/>
      <c r="FH431" s="542"/>
      <c r="FI431" s="542"/>
      <c r="FJ431" s="542"/>
      <c r="FK431" s="542"/>
      <c r="FL431" s="542"/>
      <c r="FM431" s="542"/>
      <c r="FN431" s="542"/>
      <c r="FO431" s="542"/>
      <c r="FP431" s="542"/>
      <c r="FQ431" s="542"/>
      <c r="FR431" s="542"/>
      <c r="FS431" s="542"/>
      <c r="FT431" s="542"/>
      <c r="FU431" s="542"/>
      <c r="FV431" s="542"/>
      <c r="FW431" s="542"/>
      <c r="FX431" s="542"/>
      <c r="FY431" s="542"/>
      <c r="FZ431" s="542"/>
      <c r="GA431" s="542"/>
      <c r="GB431" s="542"/>
      <c r="GC431" s="542"/>
      <c r="GD431" s="542"/>
      <c r="GE431" s="542"/>
      <c r="GF431" s="542"/>
      <c r="GG431" s="542"/>
      <c r="GH431" s="542"/>
      <c r="GI431" s="542"/>
      <c r="GJ431" s="542"/>
      <c r="GK431" s="542"/>
      <c r="GL431" s="542"/>
      <c r="GM431" s="542"/>
      <c r="GN431" s="542"/>
      <c r="GO431" s="542"/>
      <c r="GP431" s="542"/>
      <c r="GQ431" s="542"/>
      <c r="GR431" s="542"/>
      <c r="GS431" s="542"/>
      <c r="GT431" s="542"/>
      <c r="GU431" s="542"/>
      <c r="GV431" s="542"/>
      <c r="GW431" s="542"/>
      <c r="GX431" s="542"/>
      <c r="GY431" s="542"/>
      <c r="GZ431" s="542"/>
      <c r="HA431" s="542"/>
      <c r="HB431" s="542"/>
      <c r="HC431" s="542"/>
      <c r="HD431" s="542"/>
      <c r="HE431" s="542"/>
      <c r="HF431" s="542"/>
      <c r="HG431" s="542"/>
      <c r="HH431" s="542"/>
      <c r="HI431" s="542"/>
      <c r="HJ431" s="542"/>
      <c r="HK431" s="542"/>
      <c r="HL431" s="542"/>
      <c r="HM431" s="542"/>
      <c r="HN431" s="542"/>
      <c r="HO431" s="542"/>
      <c r="HP431" s="542"/>
      <c r="HQ431" s="542"/>
      <c r="HR431" s="542"/>
      <c r="HS431" s="542"/>
      <c r="HT431" s="542"/>
      <c r="HU431" s="542"/>
      <c r="HV431" s="542"/>
      <c r="HW431" s="542"/>
      <c r="HX431" s="542"/>
      <c r="HY431" s="542"/>
      <c r="HZ431" s="542"/>
      <c r="IA431" s="542"/>
      <c r="IB431" s="542"/>
      <c r="IC431" s="542"/>
      <c r="ID431" s="542"/>
      <c r="IE431" s="542"/>
      <c r="IF431" s="542"/>
      <c r="IG431" s="542"/>
      <c r="IH431" s="542"/>
      <c r="II431" s="542"/>
      <c r="IJ431" s="542"/>
      <c r="IK431" s="542"/>
      <c r="IL431" s="542"/>
      <c r="IM431" s="542"/>
      <c r="IN431" s="542"/>
      <c r="IO431" s="542"/>
      <c r="IP431" s="542"/>
      <c r="IQ431" s="542"/>
      <c r="IR431" s="542"/>
      <c r="IS431" s="542"/>
      <c r="IT431" s="542"/>
      <c r="IU431" s="542"/>
      <c r="IV431" s="542"/>
      <c r="IW431" s="542"/>
      <c r="IX431" s="542"/>
      <c r="IY431" s="542"/>
      <c r="IZ431" s="542"/>
      <c r="JA431" s="542"/>
      <c r="JB431" s="542"/>
    </row>
    <row r="432" spans="104:262" ht="18.899999999999999" customHeight="1">
      <c r="CZ432" s="542"/>
      <c r="DA432" s="542"/>
      <c r="DB432" s="542"/>
      <c r="DC432" s="542"/>
      <c r="DD432" s="542"/>
      <c r="DE432" s="542"/>
      <c r="DF432" s="542"/>
      <c r="DG432" s="542"/>
      <c r="DH432" s="542"/>
      <c r="DI432" s="542"/>
      <c r="DJ432" s="542"/>
      <c r="DK432" s="542"/>
      <c r="DL432" s="542"/>
      <c r="DM432" s="542"/>
      <c r="DN432" s="542"/>
      <c r="DO432" s="542"/>
      <c r="DP432" s="542"/>
      <c r="DQ432" s="542"/>
      <c r="DR432" s="542"/>
      <c r="DS432" s="542"/>
      <c r="DT432" s="542"/>
      <c r="DU432" s="542"/>
      <c r="DV432" s="542"/>
      <c r="DW432" s="542"/>
      <c r="DX432" s="542"/>
      <c r="DY432" s="542"/>
      <c r="DZ432" s="542"/>
      <c r="EA432" s="542"/>
      <c r="EB432" s="542"/>
      <c r="EC432" s="542"/>
      <c r="ED432" s="542"/>
      <c r="EE432" s="542"/>
      <c r="EF432" s="542"/>
      <c r="EG432" s="542"/>
      <c r="EH432" s="542"/>
      <c r="EI432" s="542"/>
      <c r="EJ432" s="542"/>
      <c r="EK432" s="542"/>
      <c r="EL432" s="542"/>
      <c r="EM432" s="542"/>
      <c r="EN432" s="542"/>
      <c r="EO432" s="542"/>
      <c r="EP432" s="542"/>
      <c r="EQ432" s="542"/>
      <c r="ER432" s="542"/>
      <c r="ES432" s="542"/>
      <c r="ET432" s="542"/>
      <c r="EU432" s="542"/>
      <c r="EV432" s="542"/>
      <c r="EW432" s="542"/>
      <c r="EX432" s="542"/>
      <c r="EY432" s="542"/>
      <c r="EZ432" s="542"/>
      <c r="FA432" s="542"/>
      <c r="FB432" s="542"/>
      <c r="FC432" s="542"/>
      <c r="FD432" s="542"/>
      <c r="FE432" s="542"/>
      <c r="FF432" s="542"/>
      <c r="FG432" s="542"/>
      <c r="FH432" s="542"/>
      <c r="FI432" s="542"/>
      <c r="FJ432" s="542"/>
      <c r="FK432" s="542"/>
      <c r="FL432" s="542"/>
      <c r="FM432" s="542"/>
      <c r="FN432" s="542"/>
      <c r="FO432" s="542"/>
      <c r="FP432" s="542"/>
      <c r="FQ432" s="542"/>
      <c r="FR432" s="542"/>
      <c r="FS432" s="542"/>
      <c r="FT432" s="542"/>
      <c r="FU432" s="542"/>
      <c r="FV432" s="542"/>
      <c r="FW432" s="542"/>
      <c r="FX432" s="542"/>
      <c r="FY432" s="542"/>
      <c r="FZ432" s="542"/>
      <c r="GA432" s="542"/>
      <c r="GB432" s="542"/>
      <c r="GC432" s="542"/>
      <c r="GD432" s="542"/>
      <c r="GE432" s="542"/>
      <c r="GF432" s="542"/>
      <c r="GG432" s="542"/>
      <c r="GH432" s="542"/>
      <c r="GI432" s="542"/>
      <c r="GJ432" s="542"/>
      <c r="GK432" s="542"/>
      <c r="GL432" s="542"/>
      <c r="GM432" s="542"/>
      <c r="GN432" s="542"/>
      <c r="GO432" s="542"/>
      <c r="GP432" s="542"/>
      <c r="GQ432" s="542"/>
      <c r="GR432" s="542"/>
      <c r="GS432" s="542"/>
      <c r="GT432" s="542"/>
      <c r="GU432" s="542"/>
      <c r="GV432" s="542"/>
      <c r="GW432" s="542"/>
      <c r="GX432" s="542"/>
      <c r="GY432" s="542"/>
      <c r="GZ432" s="542"/>
      <c r="HA432" s="542"/>
      <c r="HB432" s="542"/>
      <c r="HC432" s="542"/>
      <c r="HD432" s="542"/>
      <c r="HE432" s="542"/>
      <c r="HF432" s="542"/>
      <c r="HG432" s="542"/>
      <c r="HH432" s="542"/>
      <c r="HI432" s="542"/>
      <c r="HJ432" s="542"/>
      <c r="HK432" s="542"/>
      <c r="HL432" s="542"/>
      <c r="HM432" s="542"/>
      <c r="HN432" s="542"/>
      <c r="HO432" s="542"/>
      <c r="HP432" s="542"/>
      <c r="HQ432" s="542"/>
      <c r="HR432" s="542"/>
      <c r="HS432" s="542"/>
      <c r="HT432" s="542"/>
      <c r="HU432" s="542"/>
      <c r="HV432" s="542"/>
      <c r="HW432" s="542"/>
      <c r="HX432" s="542"/>
      <c r="HY432" s="542"/>
      <c r="HZ432" s="542"/>
      <c r="IA432" s="542"/>
      <c r="IB432" s="542"/>
      <c r="IC432" s="542"/>
      <c r="ID432" s="542"/>
      <c r="IE432" s="542"/>
      <c r="IF432" s="542"/>
      <c r="IG432" s="542"/>
      <c r="IH432" s="542"/>
      <c r="II432" s="542"/>
      <c r="IJ432" s="542"/>
      <c r="IK432" s="542"/>
      <c r="IL432" s="542"/>
      <c r="IM432" s="542"/>
      <c r="IN432" s="542"/>
      <c r="IO432" s="542"/>
      <c r="IP432" s="542"/>
      <c r="IQ432" s="542"/>
      <c r="IR432" s="542"/>
      <c r="IS432" s="542"/>
      <c r="IT432" s="542"/>
      <c r="IU432" s="542"/>
      <c r="IV432" s="542"/>
      <c r="IW432" s="542"/>
      <c r="IX432" s="542"/>
      <c r="IY432" s="542"/>
      <c r="IZ432" s="542"/>
      <c r="JA432" s="542"/>
      <c r="JB432" s="542"/>
    </row>
    <row r="433" spans="104:262" ht="18.899999999999999" customHeight="1">
      <c r="CZ433" s="542"/>
      <c r="DA433" s="542"/>
      <c r="DB433" s="542"/>
      <c r="DC433" s="542"/>
      <c r="DD433" s="542"/>
      <c r="DE433" s="542"/>
      <c r="DF433" s="542"/>
      <c r="DG433" s="542"/>
      <c r="DH433" s="542"/>
      <c r="DI433" s="542"/>
      <c r="DJ433" s="542"/>
      <c r="DK433" s="542"/>
      <c r="DL433" s="542"/>
      <c r="DM433" s="542"/>
      <c r="DN433" s="542"/>
      <c r="DO433" s="542"/>
      <c r="DP433" s="542"/>
      <c r="DQ433" s="542"/>
      <c r="DR433" s="542"/>
      <c r="DS433" s="542"/>
      <c r="DT433" s="542"/>
      <c r="DU433" s="542"/>
      <c r="DV433" s="542"/>
      <c r="DW433" s="542"/>
      <c r="DX433" s="542"/>
      <c r="DY433" s="542"/>
      <c r="DZ433" s="542"/>
      <c r="EA433" s="542"/>
      <c r="EB433" s="542"/>
      <c r="EC433" s="542"/>
      <c r="ED433" s="542"/>
      <c r="EE433" s="542"/>
      <c r="EF433" s="542"/>
      <c r="EG433" s="542"/>
      <c r="EH433" s="542"/>
      <c r="EI433" s="542"/>
      <c r="EJ433" s="542"/>
      <c r="EK433" s="542"/>
      <c r="EL433" s="542"/>
      <c r="EM433" s="542"/>
      <c r="EN433" s="542"/>
      <c r="EO433" s="542"/>
      <c r="EP433" s="542"/>
      <c r="EQ433" s="542"/>
      <c r="ER433" s="542"/>
      <c r="ES433" s="542"/>
      <c r="ET433" s="542"/>
      <c r="EU433" s="542"/>
      <c r="EV433" s="542"/>
      <c r="EW433" s="542"/>
      <c r="EX433" s="542"/>
      <c r="EY433" s="542"/>
      <c r="EZ433" s="542"/>
      <c r="FA433" s="542"/>
      <c r="FB433" s="542"/>
      <c r="FC433" s="542"/>
      <c r="FD433" s="542"/>
      <c r="FE433" s="542"/>
      <c r="FF433" s="542"/>
      <c r="FG433" s="542"/>
      <c r="FH433" s="542"/>
      <c r="FI433" s="542"/>
      <c r="FJ433" s="542"/>
      <c r="FK433" s="542"/>
      <c r="FL433" s="542"/>
      <c r="FM433" s="542"/>
      <c r="FN433" s="542"/>
      <c r="FO433" s="542"/>
      <c r="FP433" s="542"/>
      <c r="FQ433" s="542"/>
      <c r="FR433" s="542"/>
      <c r="FS433" s="542"/>
      <c r="FT433" s="542"/>
      <c r="FU433" s="542"/>
      <c r="FV433" s="542"/>
      <c r="FW433" s="542"/>
      <c r="FX433" s="542"/>
      <c r="FY433" s="542"/>
      <c r="FZ433" s="542"/>
      <c r="GA433" s="542"/>
      <c r="GB433" s="542"/>
      <c r="GC433" s="542"/>
      <c r="GD433" s="542"/>
      <c r="GE433" s="542"/>
      <c r="GF433" s="542"/>
      <c r="GG433" s="542"/>
      <c r="GH433" s="542"/>
      <c r="GI433" s="542"/>
      <c r="GJ433" s="542"/>
      <c r="GK433" s="542"/>
      <c r="GL433" s="542"/>
      <c r="GM433" s="542"/>
      <c r="GN433" s="542"/>
      <c r="GO433" s="542"/>
      <c r="GP433" s="542"/>
      <c r="GQ433" s="542"/>
      <c r="GR433" s="542"/>
      <c r="GS433" s="542"/>
      <c r="GT433" s="542"/>
      <c r="GU433" s="542"/>
      <c r="GV433" s="542"/>
      <c r="GW433" s="542"/>
      <c r="GX433" s="542"/>
      <c r="GY433" s="542"/>
      <c r="GZ433" s="542"/>
      <c r="HA433" s="542"/>
      <c r="HB433" s="542"/>
      <c r="HC433" s="542"/>
      <c r="HD433" s="542"/>
      <c r="HE433" s="542"/>
      <c r="HF433" s="542"/>
      <c r="HG433" s="542"/>
      <c r="HH433" s="542"/>
      <c r="HI433" s="542"/>
      <c r="HJ433" s="542"/>
      <c r="HK433" s="542"/>
      <c r="HL433" s="542"/>
      <c r="HM433" s="542"/>
      <c r="HN433" s="542"/>
      <c r="HO433" s="542"/>
      <c r="HP433" s="542"/>
      <c r="HQ433" s="542"/>
      <c r="HR433" s="542"/>
      <c r="HS433" s="542"/>
      <c r="HT433" s="542"/>
      <c r="HU433" s="542"/>
      <c r="HV433" s="542"/>
      <c r="HW433" s="542"/>
      <c r="HX433" s="542"/>
      <c r="HY433" s="542"/>
      <c r="HZ433" s="542"/>
      <c r="IA433" s="542"/>
      <c r="IB433" s="542"/>
      <c r="IC433" s="542"/>
      <c r="ID433" s="542"/>
      <c r="IE433" s="542"/>
      <c r="IF433" s="542"/>
      <c r="IG433" s="542"/>
      <c r="IH433" s="542"/>
      <c r="II433" s="542"/>
      <c r="IJ433" s="542"/>
      <c r="IK433" s="542"/>
      <c r="IL433" s="542"/>
      <c r="IM433" s="542"/>
      <c r="IN433" s="542"/>
      <c r="IO433" s="542"/>
      <c r="IP433" s="542"/>
      <c r="IQ433" s="542"/>
      <c r="IR433" s="542"/>
      <c r="IS433" s="542"/>
      <c r="IT433" s="542"/>
      <c r="IU433" s="542"/>
      <c r="IV433" s="542"/>
      <c r="IW433" s="542"/>
      <c r="IX433" s="542"/>
      <c r="IY433" s="542"/>
      <c r="IZ433" s="542"/>
      <c r="JA433" s="542"/>
      <c r="JB433" s="542"/>
    </row>
    <row r="434" spans="104:262" ht="18.899999999999999" customHeight="1">
      <c r="CZ434" s="542"/>
      <c r="DA434" s="542"/>
      <c r="DB434" s="542"/>
      <c r="DC434" s="542"/>
      <c r="DD434" s="542"/>
      <c r="DE434" s="542"/>
      <c r="DF434" s="542"/>
      <c r="DG434" s="542"/>
      <c r="DH434" s="542"/>
      <c r="DI434" s="542"/>
      <c r="DJ434" s="542"/>
      <c r="DK434" s="542"/>
      <c r="DL434" s="542"/>
      <c r="DM434" s="542"/>
      <c r="DN434" s="542"/>
      <c r="DO434" s="542"/>
      <c r="DP434" s="542"/>
      <c r="DQ434" s="542"/>
      <c r="DR434" s="542"/>
      <c r="DS434" s="542"/>
      <c r="DT434" s="542"/>
      <c r="DU434" s="542"/>
      <c r="DV434" s="542"/>
      <c r="DW434" s="542"/>
      <c r="DX434" s="542"/>
      <c r="DY434" s="542"/>
      <c r="DZ434" s="542"/>
      <c r="EA434" s="542"/>
      <c r="EB434" s="542"/>
      <c r="EC434" s="542"/>
      <c r="ED434" s="542"/>
      <c r="EE434" s="542"/>
      <c r="EF434" s="542"/>
      <c r="EG434" s="542"/>
      <c r="EH434" s="542"/>
      <c r="EI434" s="542"/>
      <c r="EJ434" s="542"/>
      <c r="EK434" s="542"/>
      <c r="EL434" s="542"/>
      <c r="EM434" s="542"/>
      <c r="EN434" s="542"/>
      <c r="EO434" s="542"/>
      <c r="EP434" s="542"/>
      <c r="EQ434" s="542"/>
      <c r="ER434" s="542"/>
      <c r="ES434" s="542"/>
      <c r="ET434" s="542"/>
      <c r="EU434" s="542"/>
      <c r="EV434" s="542"/>
      <c r="EW434" s="542"/>
      <c r="EX434" s="542"/>
      <c r="EY434" s="542"/>
      <c r="EZ434" s="542"/>
      <c r="FA434" s="542"/>
      <c r="FB434" s="542"/>
      <c r="FC434" s="542"/>
      <c r="FD434" s="542"/>
      <c r="FE434" s="542"/>
      <c r="FF434" s="542"/>
      <c r="FG434" s="542"/>
      <c r="FH434" s="542"/>
      <c r="FI434" s="542"/>
      <c r="FJ434" s="542"/>
      <c r="FK434" s="542"/>
      <c r="FL434" s="542"/>
      <c r="FM434" s="542"/>
      <c r="FN434" s="542"/>
      <c r="FO434" s="542"/>
      <c r="FP434" s="542"/>
      <c r="FQ434" s="542"/>
      <c r="FR434" s="542"/>
      <c r="FS434" s="542"/>
      <c r="FT434" s="542"/>
      <c r="FU434" s="542"/>
      <c r="FV434" s="542"/>
      <c r="FW434" s="542"/>
      <c r="FX434" s="542"/>
      <c r="FY434" s="542"/>
      <c r="FZ434" s="542"/>
      <c r="GA434" s="542"/>
      <c r="GB434" s="542"/>
      <c r="GC434" s="542"/>
      <c r="GD434" s="542"/>
      <c r="GE434" s="542"/>
      <c r="GF434" s="542"/>
      <c r="GG434" s="542"/>
      <c r="GH434" s="542"/>
      <c r="GI434" s="542"/>
      <c r="GJ434" s="542"/>
      <c r="GK434" s="542"/>
      <c r="GL434" s="542"/>
      <c r="GM434" s="542"/>
      <c r="GN434" s="542"/>
      <c r="GO434" s="542"/>
      <c r="GP434" s="542"/>
      <c r="GQ434" s="542"/>
      <c r="GR434" s="542"/>
      <c r="GS434" s="542"/>
      <c r="GT434" s="542"/>
      <c r="GU434" s="542"/>
      <c r="GV434" s="542"/>
      <c r="GW434" s="542"/>
      <c r="GX434" s="542"/>
      <c r="GY434" s="542"/>
      <c r="GZ434" s="542"/>
      <c r="HA434" s="542"/>
      <c r="HB434" s="542"/>
      <c r="HC434" s="542"/>
      <c r="HD434" s="542"/>
      <c r="HE434" s="542"/>
      <c r="HF434" s="542"/>
      <c r="HG434" s="542"/>
      <c r="HH434" s="542"/>
      <c r="HI434" s="542"/>
      <c r="HJ434" s="542"/>
      <c r="HK434" s="542"/>
      <c r="HL434" s="542"/>
      <c r="HM434" s="542"/>
      <c r="HN434" s="542"/>
      <c r="HO434" s="542"/>
      <c r="HP434" s="542"/>
      <c r="HQ434" s="542"/>
      <c r="HR434" s="542"/>
      <c r="HS434" s="542"/>
      <c r="HT434" s="542"/>
      <c r="HU434" s="542"/>
      <c r="HV434" s="542"/>
      <c r="HW434" s="542"/>
      <c r="HX434" s="542"/>
      <c r="HY434" s="542"/>
      <c r="HZ434" s="542"/>
      <c r="IA434" s="542"/>
      <c r="IB434" s="542"/>
      <c r="IC434" s="542"/>
      <c r="ID434" s="542"/>
      <c r="IE434" s="542"/>
      <c r="IF434" s="542"/>
      <c r="IG434" s="542"/>
      <c r="IH434" s="542"/>
      <c r="II434" s="542"/>
      <c r="IJ434" s="542"/>
      <c r="IK434" s="542"/>
      <c r="IL434" s="542"/>
      <c r="IM434" s="542"/>
      <c r="IN434" s="542"/>
      <c r="IO434" s="542"/>
      <c r="IP434" s="542"/>
      <c r="IQ434" s="542"/>
      <c r="IR434" s="542"/>
      <c r="IS434" s="542"/>
      <c r="IT434" s="542"/>
      <c r="IU434" s="542"/>
      <c r="IV434" s="542"/>
      <c r="IW434" s="542"/>
      <c r="IX434" s="542"/>
      <c r="IY434" s="542"/>
      <c r="IZ434" s="542"/>
      <c r="JA434" s="542"/>
      <c r="JB434" s="542"/>
    </row>
    <row r="435" spans="104:262" ht="18.899999999999999" customHeight="1">
      <c r="CZ435" s="542"/>
      <c r="DA435" s="542"/>
      <c r="DB435" s="542"/>
      <c r="DC435" s="542"/>
      <c r="DD435" s="542"/>
      <c r="DE435" s="542"/>
      <c r="DF435" s="542"/>
      <c r="DG435" s="542"/>
      <c r="DH435" s="542"/>
      <c r="DI435" s="542"/>
      <c r="DJ435" s="542"/>
      <c r="DK435" s="542"/>
      <c r="DL435" s="542"/>
      <c r="DM435" s="542"/>
      <c r="DN435" s="542"/>
      <c r="DO435" s="542"/>
      <c r="DP435" s="542"/>
      <c r="DQ435" s="542"/>
      <c r="DR435" s="542"/>
      <c r="DS435" s="542"/>
      <c r="DT435" s="542"/>
      <c r="DU435" s="542"/>
      <c r="DV435" s="542"/>
      <c r="DW435" s="542"/>
      <c r="DX435" s="542"/>
      <c r="DY435" s="542"/>
      <c r="DZ435" s="542"/>
      <c r="EA435" s="542"/>
      <c r="EB435" s="542"/>
      <c r="EC435" s="542"/>
      <c r="ED435" s="542"/>
      <c r="EE435" s="542"/>
      <c r="EF435" s="542"/>
      <c r="EG435" s="542"/>
      <c r="EH435" s="542"/>
      <c r="EI435" s="542"/>
      <c r="EJ435" s="542"/>
      <c r="EK435" s="542"/>
      <c r="EL435" s="542"/>
      <c r="EM435" s="542"/>
      <c r="EN435" s="542"/>
      <c r="EO435" s="542"/>
      <c r="EP435" s="542"/>
      <c r="EQ435" s="542"/>
      <c r="ER435" s="542"/>
      <c r="ES435" s="542"/>
      <c r="ET435" s="542"/>
      <c r="EU435" s="542"/>
      <c r="EV435" s="542"/>
      <c r="EW435" s="542"/>
      <c r="EX435" s="542"/>
      <c r="EY435" s="542"/>
      <c r="EZ435" s="542"/>
      <c r="FA435" s="542"/>
      <c r="FB435" s="542"/>
      <c r="FC435" s="542"/>
      <c r="FD435" s="542"/>
      <c r="FE435" s="542"/>
      <c r="FF435" s="542"/>
      <c r="FG435" s="542"/>
      <c r="FH435" s="542"/>
      <c r="FI435" s="542"/>
      <c r="FJ435" s="542"/>
      <c r="FK435" s="542"/>
      <c r="FL435" s="542"/>
      <c r="FM435" s="542"/>
      <c r="FN435" s="542"/>
      <c r="FO435" s="542"/>
      <c r="FP435" s="542"/>
      <c r="FQ435" s="542"/>
      <c r="FR435" s="542"/>
      <c r="FS435" s="542"/>
      <c r="FT435" s="542"/>
      <c r="FU435" s="542"/>
      <c r="FV435" s="542"/>
      <c r="FW435" s="542"/>
      <c r="FX435" s="542"/>
      <c r="FY435" s="542"/>
      <c r="FZ435" s="542"/>
      <c r="GA435" s="542"/>
      <c r="GB435" s="542"/>
      <c r="GC435" s="542"/>
      <c r="GD435" s="542"/>
      <c r="GE435" s="542"/>
      <c r="GF435" s="542"/>
      <c r="GG435" s="542"/>
      <c r="GH435" s="542"/>
      <c r="GI435" s="542"/>
      <c r="GJ435" s="542"/>
      <c r="GK435" s="542"/>
      <c r="GL435" s="542"/>
      <c r="GM435" s="542"/>
      <c r="GN435" s="542"/>
      <c r="GO435" s="542"/>
      <c r="GP435" s="542"/>
      <c r="GQ435" s="542"/>
      <c r="GR435" s="542"/>
      <c r="GS435" s="542"/>
      <c r="GT435" s="542"/>
      <c r="GU435" s="542"/>
      <c r="GV435" s="542"/>
      <c r="GW435" s="542"/>
      <c r="GX435" s="542"/>
      <c r="GY435" s="542"/>
      <c r="GZ435" s="542"/>
      <c r="HA435" s="542"/>
      <c r="HB435" s="542"/>
      <c r="HC435" s="542"/>
      <c r="HD435" s="542"/>
      <c r="HE435" s="542"/>
      <c r="HF435" s="542"/>
      <c r="HG435" s="542"/>
      <c r="HH435" s="542"/>
      <c r="HI435" s="542"/>
      <c r="HJ435" s="542"/>
      <c r="HK435" s="542"/>
      <c r="HL435" s="542"/>
      <c r="HM435" s="542"/>
      <c r="HN435" s="542"/>
      <c r="HO435" s="542"/>
      <c r="HP435" s="542"/>
      <c r="HQ435" s="542"/>
      <c r="HR435" s="542"/>
      <c r="HS435" s="542"/>
      <c r="HT435" s="542"/>
      <c r="HU435" s="542"/>
      <c r="HV435" s="542"/>
      <c r="HW435" s="542"/>
      <c r="HX435" s="542"/>
      <c r="HY435" s="542"/>
      <c r="HZ435" s="542"/>
      <c r="IA435" s="542"/>
      <c r="IB435" s="542"/>
      <c r="IC435" s="542"/>
      <c r="ID435" s="542"/>
      <c r="IE435" s="542"/>
      <c r="IF435" s="542"/>
      <c r="IG435" s="542"/>
      <c r="IH435" s="542"/>
      <c r="II435" s="542"/>
      <c r="IJ435" s="542"/>
      <c r="IK435" s="542"/>
      <c r="IL435" s="542"/>
      <c r="IM435" s="542"/>
      <c r="IN435" s="542"/>
      <c r="IO435" s="542"/>
      <c r="IP435" s="542"/>
      <c r="IQ435" s="542"/>
      <c r="IR435" s="542"/>
      <c r="IS435" s="542"/>
      <c r="IT435" s="542"/>
      <c r="IU435" s="542"/>
      <c r="IV435" s="542"/>
      <c r="IW435" s="542"/>
      <c r="IX435" s="542"/>
      <c r="IY435" s="542"/>
      <c r="IZ435" s="542"/>
      <c r="JA435" s="542"/>
      <c r="JB435" s="542"/>
    </row>
    <row r="436" spans="104:262" ht="18.899999999999999" customHeight="1">
      <c r="CZ436" s="542"/>
      <c r="DA436" s="542"/>
      <c r="DB436" s="542"/>
      <c r="DC436" s="542"/>
      <c r="DD436" s="542"/>
      <c r="DE436" s="542"/>
      <c r="DF436" s="542"/>
      <c r="DG436" s="542"/>
      <c r="DH436" s="542"/>
      <c r="DI436" s="542"/>
      <c r="DJ436" s="542"/>
      <c r="DK436" s="542"/>
      <c r="DL436" s="542"/>
      <c r="DM436" s="542"/>
      <c r="DN436" s="542"/>
      <c r="DO436" s="542"/>
      <c r="DP436" s="542"/>
      <c r="DQ436" s="542"/>
      <c r="DR436" s="542"/>
      <c r="DS436" s="542"/>
      <c r="DT436" s="542"/>
      <c r="DU436" s="542"/>
      <c r="DV436" s="542"/>
      <c r="DW436" s="542"/>
      <c r="DX436" s="542"/>
      <c r="DY436" s="542"/>
      <c r="DZ436" s="542"/>
      <c r="EA436" s="542"/>
      <c r="EB436" s="542"/>
      <c r="EC436" s="542"/>
      <c r="ED436" s="542"/>
      <c r="EE436" s="542"/>
      <c r="EF436" s="542"/>
      <c r="EG436" s="542"/>
      <c r="EH436" s="542"/>
      <c r="EI436" s="542"/>
      <c r="EJ436" s="542"/>
      <c r="EK436" s="542"/>
      <c r="EL436" s="542"/>
      <c r="EM436" s="542"/>
      <c r="EN436" s="542"/>
      <c r="EO436" s="542"/>
      <c r="EP436" s="542"/>
      <c r="EQ436" s="542"/>
      <c r="ER436" s="542"/>
      <c r="ES436" s="542"/>
      <c r="ET436" s="542"/>
      <c r="EU436" s="542"/>
      <c r="EV436" s="542"/>
      <c r="EW436" s="542"/>
      <c r="EX436" s="542"/>
      <c r="EY436" s="542"/>
      <c r="EZ436" s="542"/>
      <c r="FA436" s="542"/>
      <c r="FB436" s="542"/>
      <c r="FC436" s="542"/>
      <c r="FD436" s="542"/>
      <c r="FE436" s="542"/>
      <c r="FF436" s="542"/>
      <c r="FG436" s="542"/>
      <c r="FH436" s="542"/>
      <c r="FI436" s="542"/>
      <c r="FJ436" s="542"/>
      <c r="FK436" s="542"/>
      <c r="FL436" s="542"/>
      <c r="FM436" s="542"/>
      <c r="FN436" s="542"/>
      <c r="FO436" s="542"/>
      <c r="FP436" s="542"/>
      <c r="FQ436" s="542"/>
      <c r="FR436" s="542"/>
      <c r="FS436" s="542"/>
      <c r="FT436" s="542"/>
      <c r="FU436" s="542"/>
      <c r="FV436" s="542"/>
      <c r="FW436" s="542"/>
      <c r="FX436" s="542"/>
      <c r="FY436" s="542"/>
      <c r="FZ436" s="542"/>
      <c r="GA436" s="542"/>
      <c r="GB436" s="542"/>
      <c r="GC436" s="542"/>
      <c r="GD436" s="542"/>
      <c r="GE436" s="542"/>
      <c r="GF436" s="542"/>
      <c r="GG436" s="542"/>
      <c r="GH436" s="542"/>
      <c r="GI436" s="542"/>
      <c r="GJ436" s="542"/>
      <c r="GK436" s="542"/>
      <c r="GL436" s="542"/>
      <c r="GM436" s="542"/>
      <c r="GN436" s="542"/>
      <c r="GO436" s="542"/>
      <c r="GP436" s="542"/>
      <c r="GQ436" s="542"/>
      <c r="GR436" s="542"/>
      <c r="GS436" s="542"/>
      <c r="GT436" s="542"/>
      <c r="GU436" s="542"/>
      <c r="GV436" s="542"/>
      <c r="GW436" s="542"/>
      <c r="GX436" s="542"/>
      <c r="GY436" s="542"/>
      <c r="GZ436" s="542"/>
      <c r="HA436" s="542"/>
      <c r="HB436" s="542"/>
      <c r="HC436" s="542"/>
      <c r="HD436" s="542"/>
      <c r="HE436" s="542"/>
      <c r="HF436" s="542"/>
      <c r="HG436" s="542"/>
      <c r="HH436" s="542"/>
      <c r="HI436" s="542"/>
      <c r="HJ436" s="542"/>
      <c r="HK436" s="542"/>
      <c r="HL436" s="542"/>
      <c r="HM436" s="542"/>
      <c r="HN436" s="542"/>
      <c r="HO436" s="542"/>
      <c r="HP436" s="542"/>
      <c r="HQ436" s="542"/>
      <c r="HR436" s="542"/>
      <c r="HS436" s="542"/>
      <c r="HT436" s="542"/>
      <c r="HU436" s="542"/>
      <c r="HV436" s="542"/>
      <c r="HW436" s="542"/>
      <c r="HX436" s="542"/>
      <c r="HY436" s="542"/>
      <c r="HZ436" s="542"/>
      <c r="IA436" s="542"/>
      <c r="IB436" s="542"/>
      <c r="IC436" s="542"/>
      <c r="ID436" s="542"/>
      <c r="IE436" s="542"/>
      <c r="IF436" s="542"/>
      <c r="IG436" s="542"/>
      <c r="IH436" s="542"/>
      <c r="II436" s="542"/>
      <c r="IJ436" s="542"/>
      <c r="IK436" s="542"/>
      <c r="IL436" s="542"/>
      <c r="IM436" s="542"/>
      <c r="IN436" s="542"/>
      <c r="IO436" s="542"/>
      <c r="IP436" s="542"/>
      <c r="IQ436" s="542"/>
      <c r="IR436" s="542"/>
      <c r="IS436" s="542"/>
      <c r="IT436" s="542"/>
      <c r="IU436" s="542"/>
      <c r="IV436" s="542"/>
      <c r="IW436" s="542"/>
      <c r="IX436" s="542"/>
      <c r="IY436" s="542"/>
      <c r="IZ436" s="542"/>
      <c r="JA436" s="542"/>
      <c r="JB436" s="542"/>
    </row>
    <row r="437" spans="104:262" ht="18.899999999999999" customHeight="1">
      <c r="CZ437" s="542"/>
      <c r="DA437" s="542"/>
      <c r="DB437" s="542"/>
      <c r="DC437" s="542"/>
      <c r="DD437" s="542"/>
      <c r="DE437" s="542"/>
      <c r="DF437" s="542"/>
      <c r="DG437" s="542"/>
      <c r="DH437" s="542"/>
      <c r="DI437" s="542"/>
      <c r="DJ437" s="542"/>
      <c r="DK437" s="542"/>
      <c r="DL437" s="542"/>
      <c r="DM437" s="542"/>
      <c r="DN437" s="542"/>
      <c r="DO437" s="542"/>
      <c r="DP437" s="542"/>
      <c r="DQ437" s="542"/>
      <c r="DR437" s="542"/>
      <c r="DS437" s="542"/>
      <c r="DT437" s="542"/>
      <c r="DU437" s="542"/>
      <c r="DV437" s="542"/>
      <c r="DW437" s="542"/>
      <c r="DX437" s="542"/>
      <c r="DY437" s="542"/>
      <c r="DZ437" s="542"/>
      <c r="EA437" s="542"/>
      <c r="EB437" s="542"/>
      <c r="EC437" s="542"/>
      <c r="ED437" s="542"/>
      <c r="EE437" s="542"/>
      <c r="EF437" s="542"/>
      <c r="EG437" s="542"/>
      <c r="EH437" s="542"/>
      <c r="EI437" s="542"/>
      <c r="EJ437" s="542"/>
      <c r="EK437" s="542"/>
      <c r="EL437" s="542"/>
      <c r="EM437" s="542"/>
      <c r="EN437" s="542"/>
      <c r="EO437" s="542"/>
      <c r="EP437" s="542"/>
      <c r="EQ437" s="542"/>
      <c r="ER437" s="542"/>
      <c r="ES437" s="542"/>
      <c r="ET437" s="542"/>
      <c r="EU437" s="542"/>
      <c r="EV437" s="542"/>
      <c r="EW437" s="542"/>
      <c r="EX437" s="542"/>
      <c r="EY437" s="542"/>
      <c r="EZ437" s="542"/>
      <c r="FA437" s="542"/>
      <c r="FB437" s="542"/>
      <c r="FC437" s="542"/>
      <c r="FD437" s="542"/>
      <c r="FE437" s="542"/>
      <c r="FF437" s="542"/>
      <c r="FG437" s="542"/>
      <c r="FH437" s="542"/>
      <c r="FI437" s="542"/>
      <c r="FJ437" s="542"/>
      <c r="FK437" s="542"/>
      <c r="FL437" s="542"/>
      <c r="FM437" s="542"/>
      <c r="FN437" s="542"/>
      <c r="FO437" s="542"/>
      <c r="FP437" s="542"/>
      <c r="FQ437" s="542"/>
      <c r="FR437" s="542"/>
      <c r="FS437" s="542"/>
      <c r="FT437" s="542"/>
      <c r="FU437" s="542"/>
      <c r="FV437" s="542"/>
      <c r="FW437" s="542"/>
      <c r="FX437" s="542"/>
      <c r="FY437" s="542"/>
      <c r="FZ437" s="542"/>
      <c r="GA437" s="542"/>
      <c r="GB437" s="542"/>
      <c r="GC437" s="542"/>
      <c r="GD437" s="542"/>
      <c r="GE437" s="542"/>
      <c r="GF437" s="542"/>
      <c r="GG437" s="542"/>
      <c r="GH437" s="542"/>
      <c r="GI437" s="542"/>
      <c r="GJ437" s="542"/>
      <c r="GK437" s="542"/>
      <c r="GL437" s="542"/>
      <c r="GM437" s="542"/>
      <c r="GN437" s="542"/>
      <c r="GO437" s="542"/>
      <c r="GP437" s="542"/>
      <c r="GQ437" s="542"/>
      <c r="GR437" s="542"/>
      <c r="GS437" s="542"/>
      <c r="GT437" s="542"/>
      <c r="GU437" s="542"/>
      <c r="GV437" s="542"/>
      <c r="GW437" s="542"/>
      <c r="GX437" s="542"/>
      <c r="GY437" s="542"/>
      <c r="GZ437" s="542"/>
      <c r="HA437" s="542"/>
      <c r="HB437" s="542"/>
      <c r="HC437" s="542"/>
      <c r="HD437" s="542"/>
      <c r="HE437" s="542"/>
      <c r="HF437" s="542"/>
      <c r="HG437" s="542"/>
      <c r="HH437" s="542"/>
      <c r="HI437" s="542"/>
      <c r="HJ437" s="542"/>
      <c r="HK437" s="542"/>
      <c r="HL437" s="542"/>
      <c r="HM437" s="542"/>
      <c r="HN437" s="542"/>
      <c r="HO437" s="542"/>
      <c r="HP437" s="542"/>
      <c r="HQ437" s="542"/>
      <c r="HR437" s="542"/>
      <c r="HS437" s="542"/>
      <c r="HT437" s="542"/>
      <c r="HU437" s="542"/>
      <c r="HV437" s="542"/>
      <c r="HW437" s="542"/>
      <c r="HX437" s="542"/>
      <c r="HY437" s="542"/>
      <c r="HZ437" s="542"/>
      <c r="IA437" s="542"/>
      <c r="IB437" s="542"/>
      <c r="IC437" s="542"/>
      <c r="ID437" s="542"/>
      <c r="IE437" s="542"/>
      <c r="IF437" s="542"/>
      <c r="IG437" s="542"/>
      <c r="IH437" s="542"/>
      <c r="II437" s="542"/>
      <c r="IJ437" s="542"/>
      <c r="IK437" s="542"/>
      <c r="IL437" s="542"/>
      <c r="IM437" s="542"/>
      <c r="IN437" s="542"/>
      <c r="IO437" s="542"/>
      <c r="IP437" s="542"/>
      <c r="IQ437" s="542"/>
      <c r="IR437" s="542"/>
      <c r="IS437" s="542"/>
      <c r="IT437" s="542"/>
      <c r="IU437" s="542"/>
      <c r="IV437" s="542"/>
      <c r="IW437" s="542"/>
      <c r="IX437" s="542"/>
      <c r="IY437" s="542"/>
      <c r="IZ437" s="542"/>
      <c r="JA437" s="542"/>
      <c r="JB437" s="542"/>
    </row>
    <row r="438" spans="104:262" ht="18.899999999999999" customHeight="1">
      <c r="CZ438" s="542"/>
      <c r="DA438" s="542"/>
      <c r="DB438" s="542"/>
      <c r="DC438" s="542"/>
      <c r="DD438" s="542"/>
      <c r="DE438" s="542"/>
      <c r="DF438" s="542"/>
      <c r="DG438" s="542"/>
      <c r="DH438" s="542"/>
      <c r="DI438" s="542"/>
      <c r="DJ438" s="542"/>
      <c r="DK438" s="542"/>
      <c r="DL438" s="542"/>
      <c r="DM438" s="542"/>
      <c r="DN438" s="542"/>
      <c r="DO438" s="542"/>
      <c r="DP438" s="542"/>
      <c r="DQ438" s="542"/>
      <c r="DR438" s="542"/>
      <c r="DS438" s="542"/>
      <c r="DT438" s="542"/>
      <c r="DU438" s="542"/>
      <c r="DV438" s="542"/>
      <c r="DW438" s="542"/>
      <c r="DX438" s="542"/>
      <c r="DY438" s="542"/>
      <c r="DZ438" s="542"/>
      <c r="EA438" s="542"/>
      <c r="EB438" s="542"/>
      <c r="EC438" s="542"/>
      <c r="ED438" s="542"/>
      <c r="EE438" s="542"/>
      <c r="EF438" s="542"/>
      <c r="EG438" s="542"/>
      <c r="EH438" s="542"/>
      <c r="EI438" s="542"/>
      <c r="EJ438" s="542"/>
      <c r="EK438" s="542"/>
      <c r="EL438" s="542"/>
      <c r="EM438" s="542"/>
      <c r="EN438" s="542"/>
      <c r="EO438" s="542"/>
      <c r="EP438" s="542"/>
      <c r="EQ438" s="542"/>
      <c r="ER438" s="542"/>
      <c r="ES438" s="542"/>
      <c r="ET438" s="542"/>
      <c r="EU438" s="542"/>
      <c r="EV438" s="542"/>
      <c r="EW438" s="542"/>
      <c r="EX438" s="542"/>
      <c r="EY438" s="542"/>
      <c r="EZ438" s="542"/>
      <c r="FA438" s="542"/>
      <c r="FB438" s="542"/>
      <c r="FC438" s="542"/>
      <c r="FD438" s="542"/>
      <c r="FE438" s="542"/>
      <c r="FF438" s="542"/>
      <c r="FG438" s="542"/>
      <c r="FH438" s="542"/>
      <c r="FI438" s="542"/>
      <c r="FJ438" s="542"/>
      <c r="FK438" s="542"/>
      <c r="FL438" s="542"/>
      <c r="FM438" s="542"/>
      <c r="FN438" s="542"/>
      <c r="FO438" s="542"/>
      <c r="FP438" s="542"/>
      <c r="FQ438" s="542"/>
      <c r="FR438" s="542"/>
      <c r="FS438" s="542"/>
      <c r="FT438" s="542"/>
      <c r="FU438" s="542"/>
      <c r="FV438" s="542"/>
      <c r="FW438" s="542"/>
      <c r="FX438" s="542"/>
      <c r="FY438" s="542"/>
      <c r="FZ438" s="542"/>
      <c r="GA438" s="542"/>
      <c r="GB438" s="542"/>
      <c r="GC438" s="542"/>
      <c r="GD438" s="542"/>
      <c r="GE438" s="542"/>
      <c r="GF438" s="542"/>
      <c r="GG438" s="542"/>
      <c r="GH438" s="542"/>
      <c r="GI438" s="542"/>
      <c r="GJ438" s="542"/>
      <c r="GK438" s="542"/>
      <c r="GL438" s="542"/>
      <c r="GM438" s="542"/>
      <c r="GN438" s="542"/>
      <c r="GO438" s="542"/>
      <c r="GP438" s="542"/>
      <c r="GQ438" s="542"/>
      <c r="GR438" s="542"/>
      <c r="GS438" s="542"/>
      <c r="GT438" s="542"/>
      <c r="GU438" s="542"/>
      <c r="GV438" s="542"/>
      <c r="GW438" s="542"/>
      <c r="GX438" s="542"/>
      <c r="GY438" s="542"/>
      <c r="GZ438" s="542"/>
      <c r="HA438" s="542"/>
      <c r="HB438" s="542"/>
      <c r="HC438" s="542"/>
      <c r="HD438" s="542"/>
      <c r="HE438" s="542"/>
      <c r="HF438" s="542"/>
      <c r="HG438" s="542"/>
      <c r="HH438" s="542"/>
      <c r="HI438" s="542"/>
      <c r="HJ438" s="542"/>
      <c r="HK438" s="542"/>
      <c r="HL438" s="542"/>
      <c r="HM438" s="542"/>
      <c r="HN438" s="542"/>
      <c r="HO438" s="542"/>
      <c r="HP438" s="542"/>
      <c r="HQ438" s="542"/>
      <c r="HR438" s="542"/>
      <c r="HS438" s="542"/>
      <c r="HT438" s="542"/>
      <c r="HU438" s="542"/>
      <c r="HV438" s="542"/>
      <c r="HW438" s="542"/>
      <c r="HX438" s="542"/>
      <c r="HY438" s="542"/>
      <c r="HZ438" s="542"/>
      <c r="IA438" s="542"/>
      <c r="IB438" s="542"/>
      <c r="IC438" s="542"/>
      <c r="ID438" s="542"/>
      <c r="IE438" s="542"/>
      <c r="IF438" s="542"/>
      <c r="IG438" s="542"/>
      <c r="IH438" s="542"/>
      <c r="II438" s="542"/>
      <c r="IJ438" s="542"/>
      <c r="IK438" s="542"/>
      <c r="IL438" s="542"/>
      <c r="IM438" s="542"/>
      <c r="IN438" s="542"/>
      <c r="IO438" s="542"/>
      <c r="IP438" s="542"/>
      <c r="IQ438" s="542"/>
      <c r="IR438" s="542"/>
      <c r="IS438" s="542"/>
      <c r="IT438" s="542"/>
      <c r="IU438" s="542"/>
      <c r="IV438" s="542"/>
      <c r="IW438" s="542"/>
      <c r="IX438" s="542"/>
      <c r="IY438" s="542"/>
      <c r="IZ438" s="542"/>
      <c r="JA438" s="542"/>
      <c r="JB438" s="542"/>
    </row>
    <row r="439" spans="104:262" ht="18.899999999999999" customHeight="1">
      <c r="CZ439" s="542"/>
      <c r="DA439" s="542"/>
      <c r="DB439" s="542"/>
      <c r="DC439" s="542"/>
      <c r="DD439" s="542"/>
      <c r="DE439" s="542"/>
      <c r="DF439" s="542"/>
      <c r="DG439" s="542"/>
      <c r="DH439" s="542"/>
      <c r="DI439" s="542"/>
      <c r="DJ439" s="542"/>
      <c r="DK439" s="542"/>
      <c r="DL439" s="542"/>
      <c r="DM439" s="542"/>
      <c r="DN439" s="542"/>
      <c r="DO439" s="542"/>
      <c r="DP439" s="542"/>
      <c r="DQ439" s="542"/>
      <c r="DR439" s="542"/>
      <c r="DS439" s="542"/>
      <c r="DT439" s="542"/>
      <c r="DU439" s="542"/>
      <c r="DV439" s="542"/>
      <c r="DW439" s="542"/>
      <c r="DX439" s="542"/>
      <c r="DY439" s="542"/>
      <c r="DZ439" s="542"/>
      <c r="EA439" s="542"/>
      <c r="EB439" s="542"/>
      <c r="EC439" s="542"/>
      <c r="ED439" s="542"/>
      <c r="EE439" s="542"/>
      <c r="EF439" s="542"/>
      <c r="EG439" s="542"/>
      <c r="EH439" s="542"/>
      <c r="EI439" s="542"/>
      <c r="EJ439" s="542"/>
      <c r="EK439" s="542"/>
      <c r="EL439" s="542"/>
      <c r="EM439" s="542"/>
      <c r="EN439" s="542"/>
      <c r="EO439" s="542"/>
      <c r="EP439" s="542"/>
      <c r="EQ439" s="542"/>
      <c r="ER439" s="542"/>
      <c r="ES439" s="542"/>
      <c r="ET439" s="542"/>
      <c r="EU439" s="542"/>
      <c r="EV439" s="542"/>
      <c r="EW439" s="542"/>
      <c r="EX439" s="542"/>
      <c r="EY439" s="542"/>
      <c r="EZ439" s="542"/>
      <c r="FA439" s="542"/>
      <c r="FB439" s="542"/>
      <c r="FC439" s="542"/>
      <c r="FD439" s="542"/>
      <c r="FE439" s="542"/>
      <c r="FF439" s="542"/>
      <c r="FG439" s="542"/>
      <c r="FH439" s="542"/>
      <c r="FI439" s="542"/>
      <c r="FJ439" s="542"/>
      <c r="FK439" s="542"/>
      <c r="FL439" s="542"/>
      <c r="FM439" s="542"/>
      <c r="FN439" s="542"/>
      <c r="FO439" s="542"/>
      <c r="FP439" s="542"/>
      <c r="FQ439" s="542"/>
      <c r="FR439" s="542"/>
      <c r="FS439" s="542"/>
      <c r="FT439" s="542"/>
      <c r="FU439" s="542"/>
      <c r="FV439" s="542"/>
      <c r="FW439" s="542"/>
      <c r="FX439" s="542"/>
      <c r="FY439" s="542"/>
      <c r="FZ439" s="542"/>
      <c r="GA439" s="542"/>
      <c r="GB439" s="542"/>
      <c r="GC439" s="542"/>
      <c r="GD439" s="542"/>
      <c r="GE439" s="542"/>
      <c r="GF439" s="542"/>
      <c r="GG439" s="542"/>
      <c r="GH439" s="542"/>
      <c r="GI439" s="542"/>
      <c r="GJ439" s="542"/>
      <c r="GK439" s="542"/>
      <c r="GL439" s="542"/>
      <c r="GM439" s="542"/>
      <c r="GN439" s="542"/>
      <c r="GO439" s="542"/>
      <c r="GP439" s="542"/>
      <c r="GQ439" s="542"/>
      <c r="GR439" s="542"/>
      <c r="GS439" s="542"/>
      <c r="GT439" s="542"/>
      <c r="GU439" s="542"/>
      <c r="GV439" s="542"/>
      <c r="GW439" s="542"/>
      <c r="GX439" s="542"/>
      <c r="GY439" s="542"/>
      <c r="GZ439" s="542"/>
      <c r="HA439" s="542"/>
      <c r="HB439" s="542"/>
      <c r="HC439" s="542"/>
      <c r="HD439" s="542"/>
      <c r="HE439" s="542"/>
      <c r="HF439" s="542"/>
      <c r="HG439" s="542"/>
      <c r="HH439" s="542"/>
      <c r="HI439" s="542"/>
      <c r="HJ439" s="542"/>
      <c r="HK439" s="542"/>
      <c r="HL439" s="542"/>
      <c r="HM439" s="542"/>
      <c r="HN439" s="542"/>
      <c r="HO439" s="542"/>
      <c r="HP439" s="542"/>
      <c r="HQ439" s="542"/>
      <c r="HR439" s="542"/>
      <c r="HS439" s="542"/>
      <c r="HT439" s="542"/>
      <c r="HU439" s="542"/>
      <c r="HV439" s="542"/>
      <c r="HW439" s="542"/>
      <c r="HX439" s="542"/>
      <c r="HY439" s="542"/>
      <c r="HZ439" s="542"/>
      <c r="IA439" s="542"/>
      <c r="IB439" s="542"/>
      <c r="IC439" s="542"/>
      <c r="ID439" s="542"/>
      <c r="IE439" s="542"/>
      <c r="IF439" s="542"/>
      <c r="IG439" s="542"/>
      <c r="IH439" s="542"/>
      <c r="II439" s="542"/>
      <c r="IJ439" s="542"/>
      <c r="IK439" s="542"/>
      <c r="IL439" s="542"/>
      <c r="IM439" s="542"/>
      <c r="IN439" s="542"/>
      <c r="IO439" s="542"/>
      <c r="IP439" s="542"/>
      <c r="IQ439" s="542"/>
      <c r="IR439" s="542"/>
      <c r="IS439" s="542"/>
      <c r="IT439" s="542"/>
      <c r="IU439" s="542"/>
      <c r="IV439" s="542"/>
      <c r="IW439" s="542"/>
      <c r="IX439" s="542"/>
      <c r="IY439" s="542"/>
      <c r="IZ439" s="542"/>
      <c r="JA439" s="542"/>
      <c r="JB439" s="542"/>
    </row>
    <row r="440" spans="104:262" ht="18.899999999999999" customHeight="1">
      <c r="CZ440" s="542"/>
      <c r="DA440" s="542"/>
      <c r="DB440" s="542"/>
      <c r="DC440" s="542"/>
      <c r="DD440" s="542"/>
      <c r="DE440" s="542"/>
      <c r="DF440" s="542"/>
      <c r="DG440" s="542"/>
      <c r="DH440" s="542"/>
      <c r="DI440" s="542"/>
      <c r="DJ440" s="542"/>
      <c r="DK440" s="542"/>
      <c r="DL440" s="542"/>
      <c r="DM440" s="542"/>
      <c r="DN440" s="542"/>
      <c r="DO440" s="542"/>
      <c r="DP440" s="542"/>
      <c r="DQ440" s="542"/>
      <c r="DR440" s="542"/>
      <c r="DS440" s="542"/>
      <c r="DT440" s="542"/>
      <c r="DU440" s="542"/>
      <c r="DV440" s="542"/>
      <c r="DW440" s="542"/>
      <c r="DX440" s="542"/>
      <c r="DY440" s="542"/>
      <c r="DZ440" s="542"/>
      <c r="EA440" s="542"/>
      <c r="EB440" s="542"/>
      <c r="EC440" s="542"/>
      <c r="ED440" s="542"/>
      <c r="EE440" s="542"/>
      <c r="EF440" s="542"/>
      <c r="EG440" s="542"/>
      <c r="EH440" s="542"/>
      <c r="EI440" s="542"/>
      <c r="EJ440" s="542"/>
      <c r="EK440" s="542"/>
      <c r="EL440" s="542"/>
      <c r="EM440" s="542"/>
      <c r="EN440" s="542"/>
      <c r="EO440" s="542"/>
      <c r="EP440" s="542"/>
      <c r="EQ440" s="542"/>
      <c r="ER440" s="542"/>
      <c r="ES440" s="542"/>
      <c r="ET440" s="542"/>
      <c r="EU440" s="542"/>
      <c r="EV440" s="542"/>
      <c r="EW440" s="542"/>
      <c r="EX440" s="542"/>
      <c r="EY440" s="542"/>
      <c r="EZ440" s="542"/>
      <c r="FA440" s="542"/>
      <c r="FB440" s="542"/>
      <c r="FC440" s="542"/>
      <c r="FD440" s="542"/>
      <c r="FE440" s="542"/>
      <c r="FF440" s="542"/>
      <c r="FG440" s="542"/>
      <c r="FH440" s="542"/>
      <c r="FI440" s="542"/>
      <c r="FJ440" s="542"/>
      <c r="FK440" s="542"/>
      <c r="FL440" s="542"/>
      <c r="FM440" s="542"/>
      <c r="FN440" s="542"/>
      <c r="FO440" s="542"/>
      <c r="FP440" s="542"/>
      <c r="FQ440" s="542"/>
      <c r="FR440" s="542"/>
      <c r="FS440" s="542"/>
      <c r="FT440" s="542"/>
      <c r="FU440" s="542"/>
      <c r="FV440" s="542"/>
      <c r="FW440" s="542"/>
      <c r="FX440" s="542"/>
      <c r="FY440" s="542"/>
      <c r="FZ440" s="542"/>
      <c r="GA440" s="542"/>
      <c r="GB440" s="542"/>
      <c r="GC440" s="542"/>
      <c r="GD440" s="542"/>
      <c r="GE440" s="542"/>
      <c r="GF440" s="542"/>
      <c r="GG440" s="542"/>
      <c r="GH440" s="542"/>
      <c r="GI440" s="542"/>
      <c r="GJ440" s="542"/>
      <c r="GK440" s="542"/>
      <c r="GL440" s="542"/>
      <c r="GM440" s="542"/>
      <c r="GN440" s="542"/>
      <c r="GO440" s="542"/>
      <c r="GP440" s="542"/>
      <c r="GQ440" s="542"/>
      <c r="GR440" s="542"/>
      <c r="GS440" s="542"/>
      <c r="GT440" s="542"/>
      <c r="GU440" s="542"/>
      <c r="GV440" s="542"/>
      <c r="GW440" s="542"/>
      <c r="GX440" s="542"/>
      <c r="GY440" s="542"/>
      <c r="GZ440" s="542"/>
      <c r="HA440" s="542"/>
      <c r="HB440" s="542"/>
      <c r="HC440" s="542"/>
      <c r="HD440" s="542"/>
      <c r="HE440" s="542"/>
      <c r="HF440" s="542"/>
      <c r="HG440" s="542"/>
      <c r="HH440" s="542"/>
      <c r="HI440" s="542"/>
      <c r="HJ440" s="542"/>
      <c r="HK440" s="542"/>
      <c r="HL440" s="542"/>
      <c r="HM440" s="542"/>
      <c r="HN440" s="542"/>
      <c r="HO440" s="542"/>
      <c r="HP440" s="542"/>
      <c r="HQ440" s="542"/>
      <c r="HR440" s="542"/>
      <c r="HS440" s="542"/>
      <c r="HT440" s="542"/>
      <c r="HU440" s="542"/>
      <c r="HV440" s="542"/>
      <c r="HW440" s="542"/>
      <c r="HX440" s="542"/>
      <c r="HY440" s="542"/>
      <c r="HZ440" s="542"/>
      <c r="IA440" s="542"/>
      <c r="IB440" s="542"/>
      <c r="IC440" s="542"/>
      <c r="ID440" s="542"/>
      <c r="IE440" s="542"/>
      <c r="IF440" s="542"/>
      <c r="IG440" s="542"/>
      <c r="IH440" s="542"/>
      <c r="II440" s="542"/>
      <c r="IJ440" s="542"/>
      <c r="IK440" s="542"/>
      <c r="IL440" s="542"/>
      <c r="IM440" s="542"/>
      <c r="IN440" s="542"/>
      <c r="IO440" s="542"/>
      <c r="IP440" s="542"/>
      <c r="IQ440" s="542"/>
      <c r="IR440" s="542"/>
      <c r="IS440" s="542"/>
      <c r="IT440" s="542"/>
      <c r="IU440" s="542"/>
      <c r="IV440" s="542"/>
      <c r="IW440" s="542"/>
      <c r="IX440" s="542"/>
      <c r="IY440" s="542"/>
      <c r="IZ440" s="542"/>
      <c r="JA440" s="542"/>
      <c r="JB440" s="542"/>
    </row>
    <row r="441" spans="104:262" ht="18.899999999999999" customHeight="1">
      <c r="CZ441" s="542"/>
      <c r="DA441" s="542"/>
      <c r="DB441" s="542"/>
      <c r="DC441" s="542"/>
      <c r="DD441" s="542"/>
      <c r="DE441" s="542"/>
      <c r="DF441" s="542"/>
      <c r="DG441" s="542"/>
      <c r="DH441" s="542"/>
      <c r="DI441" s="542"/>
      <c r="DJ441" s="542"/>
      <c r="DK441" s="542"/>
      <c r="DL441" s="542"/>
      <c r="DM441" s="542"/>
      <c r="DN441" s="542"/>
      <c r="DO441" s="542"/>
      <c r="DP441" s="542"/>
      <c r="DQ441" s="542"/>
      <c r="DR441" s="542"/>
      <c r="DS441" s="542"/>
      <c r="DT441" s="542"/>
      <c r="DU441" s="542"/>
      <c r="DV441" s="542"/>
      <c r="DW441" s="542"/>
      <c r="DX441" s="542"/>
      <c r="DY441" s="542"/>
      <c r="DZ441" s="542"/>
      <c r="EA441" s="542"/>
      <c r="EB441" s="542"/>
      <c r="EC441" s="542"/>
      <c r="ED441" s="542"/>
      <c r="EE441" s="542"/>
      <c r="EF441" s="542"/>
      <c r="EG441" s="542"/>
      <c r="EH441" s="542"/>
      <c r="EI441" s="542"/>
      <c r="EJ441" s="542"/>
      <c r="EK441" s="542"/>
      <c r="EL441" s="542"/>
      <c r="EM441" s="542"/>
      <c r="EN441" s="542"/>
      <c r="EO441" s="542"/>
      <c r="EP441" s="542"/>
      <c r="EQ441" s="542"/>
      <c r="ER441" s="542"/>
      <c r="ES441" s="542"/>
      <c r="ET441" s="542"/>
      <c r="EU441" s="542"/>
      <c r="EV441" s="542"/>
      <c r="EW441" s="542"/>
      <c r="EX441" s="542"/>
      <c r="EY441" s="542"/>
      <c r="EZ441" s="542"/>
      <c r="FA441" s="542"/>
      <c r="FB441" s="542"/>
      <c r="FC441" s="542"/>
      <c r="FD441" s="542"/>
      <c r="FE441" s="542"/>
      <c r="FF441" s="542"/>
      <c r="FG441" s="542"/>
      <c r="FH441" s="542"/>
      <c r="FI441" s="542"/>
      <c r="FJ441" s="542"/>
      <c r="FK441" s="542"/>
      <c r="FL441" s="542"/>
      <c r="FM441" s="542"/>
      <c r="FN441" s="542"/>
      <c r="FO441" s="542"/>
      <c r="FP441" s="542"/>
      <c r="FQ441" s="542"/>
      <c r="FR441" s="542"/>
      <c r="FS441" s="542"/>
      <c r="FT441" s="542"/>
      <c r="FU441" s="542"/>
      <c r="FV441" s="542"/>
      <c r="FW441" s="542"/>
      <c r="FX441" s="542"/>
      <c r="FY441" s="542"/>
      <c r="FZ441" s="542"/>
      <c r="GA441" s="542"/>
      <c r="GB441" s="542"/>
      <c r="GC441" s="542"/>
      <c r="GD441" s="542"/>
      <c r="GE441" s="542"/>
      <c r="GF441" s="542"/>
      <c r="GG441" s="542"/>
      <c r="GH441" s="542"/>
      <c r="GI441" s="542"/>
      <c r="GJ441" s="542"/>
      <c r="GK441" s="542"/>
      <c r="GL441" s="542"/>
      <c r="GM441" s="542"/>
      <c r="GN441" s="542"/>
      <c r="GO441" s="542"/>
      <c r="GP441" s="542"/>
      <c r="GQ441" s="542"/>
      <c r="GR441" s="542"/>
      <c r="GS441" s="542"/>
      <c r="GT441" s="542"/>
      <c r="GU441" s="542"/>
      <c r="GV441" s="542"/>
      <c r="GW441" s="542"/>
      <c r="GX441" s="542"/>
      <c r="GY441" s="542"/>
      <c r="GZ441" s="542"/>
      <c r="HA441" s="542"/>
      <c r="HB441" s="542"/>
      <c r="HC441" s="542"/>
      <c r="HD441" s="542"/>
      <c r="HE441" s="542"/>
      <c r="HF441" s="542"/>
      <c r="HG441" s="542"/>
      <c r="HH441" s="542"/>
      <c r="HI441" s="542"/>
      <c r="HJ441" s="542"/>
      <c r="HK441" s="542"/>
      <c r="HL441" s="542"/>
      <c r="HM441" s="542"/>
      <c r="HN441" s="542"/>
      <c r="HO441" s="542"/>
      <c r="HP441" s="542"/>
      <c r="HQ441" s="542"/>
      <c r="HR441" s="542"/>
      <c r="HS441" s="542"/>
      <c r="HT441" s="542"/>
      <c r="HU441" s="542"/>
      <c r="HV441" s="542"/>
      <c r="HW441" s="542"/>
      <c r="HX441" s="542"/>
      <c r="HY441" s="542"/>
      <c r="HZ441" s="542"/>
      <c r="IA441" s="542"/>
      <c r="IB441" s="542"/>
      <c r="IC441" s="542"/>
      <c r="ID441" s="542"/>
      <c r="IE441" s="542"/>
      <c r="IF441" s="542"/>
      <c r="IG441" s="542"/>
      <c r="IH441" s="542"/>
      <c r="II441" s="542"/>
      <c r="IJ441" s="542"/>
      <c r="IK441" s="542"/>
      <c r="IL441" s="542"/>
      <c r="IM441" s="542"/>
      <c r="IN441" s="542"/>
      <c r="IO441" s="542"/>
      <c r="IP441" s="542"/>
      <c r="IQ441" s="542"/>
      <c r="IR441" s="542"/>
      <c r="IS441" s="542"/>
      <c r="IT441" s="542"/>
      <c r="IU441" s="542"/>
      <c r="IV441" s="542"/>
      <c r="IW441" s="542"/>
      <c r="IX441" s="542"/>
      <c r="IY441" s="542"/>
      <c r="IZ441" s="542"/>
      <c r="JA441" s="542"/>
      <c r="JB441" s="542"/>
    </row>
    <row r="442" spans="104:262" ht="18.899999999999999" customHeight="1">
      <c r="CZ442" s="542"/>
      <c r="DA442" s="542"/>
      <c r="DB442" s="542"/>
      <c r="DC442" s="542"/>
      <c r="DD442" s="542"/>
      <c r="DE442" s="542"/>
      <c r="DF442" s="542"/>
      <c r="DG442" s="542"/>
      <c r="DH442" s="542"/>
      <c r="DI442" s="542"/>
      <c r="DJ442" s="542"/>
      <c r="DK442" s="542"/>
      <c r="DL442" s="542"/>
      <c r="DM442" s="542"/>
      <c r="DN442" s="542"/>
      <c r="DO442" s="542"/>
      <c r="DP442" s="542"/>
      <c r="DQ442" s="542"/>
      <c r="DR442" s="542"/>
      <c r="DS442" s="542"/>
      <c r="DT442" s="542"/>
      <c r="DU442" s="542"/>
      <c r="DV442" s="542"/>
      <c r="DW442" s="542"/>
      <c r="DX442" s="542"/>
      <c r="DY442" s="542"/>
      <c r="DZ442" s="542"/>
      <c r="EA442" s="542"/>
      <c r="EB442" s="542"/>
      <c r="EC442" s="542"/>
      <c r="ED442" s="542"/>
      <c r="EE442" s="542"/>
      <c r="EF442" s="542"/>
      <c r="EG442" s="542"/>
      <c r="EH442" s="542"/>
      <c r="EI442" s="542"/>
      <c r="EJ442" s="542"/>
      <c r="EK442" s="542"/>
      <c r="EL442" s="542"/>
      <c r="EM442" s="542"/>
      <c r="EN442" s="542"/>
      <c r="EO442" s="542"/>
      <c r="EP442" s="542"/>
      <c r="EQ442" s="542"/>
      <c r="ER442" s="542"/>
      <c r="ES442" s="542"/>
      <c r="ET442" s="542"/>
      <c r="EU442" s="542"/>
      <c r="EV442" s="542"/>
      <c r="EW442" s="542"/>
      <c r="EX442" s="542"/>
      <c r="EY442" s="542"/>
      <c r="EZ442" s="542"/>
      <c r="FA442" s="542"/>
      <c r="FB442" s="542"/>
      <c r="FC442" s="542"/>
      <c r="FD442" s="542"/>
      <c r="FE442" s="542"/>
      <c r="FF442" s="542"/>
      <c r="FG442" s="542"/>
      <c r="FH442" s="542"/>
      <c r="FI442" s="542"/>
      <c r="FJ442" s="542"/>
      <c r="FK442" s="542"/>
      <c r="FL442" s="542"/>
      <c r="FM442" s="542"/>
      <c r="FN442" s="542"/>
      <c r="FO442" s="542"/>
      <c r="FP442" s="542"/>
      <c r="FQ442" s="542"/>
      <c r="FR442" s="542"/>
      <c r="FS442" s="542"/>
      <c r="FT442" s="542"/>
      <c r="FU442" s="542"/>
      <c r="FV442" s="542"/>
      <c r="FW442" s="542"/>
      <c r="FX442" s="542"/>
      <c r="FY442" s="542"/>
      <c r="FZ442" s="542"/>
      <c r="GA442" s="542"/>
      <c r="GB442" s="542"/>
      <c r="GC442" s="542"/>
      <c r="GD442" s="542"/>
      <c r="GE442" s="542"/>
      <c r="GF442" s="542"/>
      <c r="GG442" s="542"/>
      <c r="GH442" s="542"/>
      <c r="GI442" s="542"/>
      <c r="GJ442" s="542"/>
      <c r="GK442" s="542"/>
      <c r="GL442" s="542"/>
      <c r="GM442" s="542"/>
      <c r="GN442" s="542"/>
      <c r="GO442" s="542"/>
      <c r="GP442" s="542"/>
      <c r="GQ442" s="542"/>
      <c r="GR442" s="542"/>
      <c r="GS442" s="542"/>
      <c r="GT442" s="542"/>
      <c r="GU442" s="542"/>
      <c r="GV442" s="542"/>
      <c r="GW442" s="542"/>
      <c r="GX442" s="542"/>
      <c r="GY442" s="542"/>
      <c r="GZ442" s="542"/>
      <c r="HA442" s="542"/>
      <c r="HB442" s="542"/>
      <c r="HC442" s="542"/>
      <c r="HD442" s="542"/>
      <c r="HE442" s="542"/>
      <c r="HF442" s="542"/>
      <c r="HG442" s="542"/>
      <c r="HH442" s="542"/>
      <c r="HI442" s="542"/>
      <c r="HJ442" s="542"/>
      <c r="HK442" s="542"/>
      <c r="HL442" s="542"/>
      <c r="HM442" s="542"/>
      <c r="HN442" s="542"/>
      <c r="HO442" s="542"/>
      <c r="HP442" s="542"/>
      <c r="HQ442" s="542"/>
      <c r="HR442" s="542"/>
      <c r="HS442" s="542"/>
      <c r="HT442" s="542"/>
      <c r="HU442" s="542"/>
      <c r="HV442" s="542"/>
      <c r="HW442" s="542"/>
      <c r="HX442" s="542"/>
      <c r="HY442" s="542"/>
      <c r="HZ442" s="542"/>
      <c r="IA442" s="542"/>
      <c r="IB442" s="542"/>
      <c r="IC442" s="542"/>
      <c r="ID442" s="542"/>
      <c r="IE442" s="542"/>
      <c r="IF442" s="542"/>
      <c r="IG442" s="542"/>
      <c r="IH442" s="542"/>
      <c r="II442" s="542"/>
      <c r="IJ442" s="542"/>
      <c r="IK442" s="542"/>
      <c r="IL442" s="542"/>
      <c r="IM442" s="542"/>
      <c r="IN442" s="542"/>
      <c r="IO442" s="542"/>
      <c r="IP442" s="542"/>
      <c r="IQ442" s="542"/>
      <c r="IR442" s="542"/>
      <c r="IS442" s="542"/>
      <c r="IT442" s="542"/>
      <c r="IU442" s="542"/>
      <c r="IV442" s="542"/>
      <c r="IW442" s="542"/>
      <c r="IX442" s="542"/>
      <c r="IY442" s="542"/>
      <c r="IZ442" s="542"/>
      <c r="JA442" s="542"/>
      <c r="JB442" s="542"/>
    </row>
    <row r="443" spans="104:262" ht="18.899999999999999" customHeight="1">
      <c r="CZ443" s="542"/>
      <c r="DA443" s="542"/>
      <c r="DB443" s="542"/>
      <c r="DC443" s="542"/>
      <c r="DD443" s="542"/>
      <c r="DE443" s="542"/>
      <c r="DF443" s="542"/>
      <c r="DG443" s="542"/>
      <c r="DH443" s="542"/>
      <c r="DI443" s="542"/>
      <c r="DJ443" s="542"/>
      <c r="DK443" s="542"/>
      <c r="DL443" s="542"/>
      <c r="DM443" s="542"/>
      <c r="DN443" s="542"/>
      <c r="DO443" s="542"/>
      <c r="DP443" s="542"/>
      <c r="DQ443" s="542"/>
      <c r="DR443" s="542"/>
      <c r="DS443" s="542"/>
      <c r="DT443" s="542"/>
      <c r="DU443" s="542"/>
      <c r="DV443" s="542"/>
      <c r="DW443" s="542"/>
      <c r="DX443" s="542"/>
      <c r="DY443" s="542"/>
      <c r="DZ443" s="542"/>
      <c r="EA443" s="542"/>
      <c r="EB443" s="542"/>
      <c r="EC443" s="542"/>
      <c r="ED443" s="542"/>
      <c r="EE443" s="542"/>
      <c r="EF443" s="542"/>
      <c r="EG443" s="542"/>
      <c r="EH443" s="542"/>
      <c r="EI443" s="542"/>
      <c r="EJ443" s="542"/>
      <c r="EK443" s="542"/>
      <c r="EL443" s="542"/>
      <c r="EM443" s="542"/>
      <c r="EN443" s="542"/>
      <c r="EO443" s="542"/>
      <c r="EP443" s="542"/>
      <c r="EQ443" s="542"/>
      <c r="ER443" s="542"/>
      <c r="ES443" s="542"/>
      <c r="ET443" s="542"/>
      <c r="EU443" s="542"/>
      <c r="EV443" s="542"/>
      <c r="EW443" s="542"/>
      <c r="EX443" s="542"/>
      <c r="EY443" s="542"/>
      <c r="EZ443" s="542"/>
      <c r="FA443" s="542"/>
      <c r="FB443" s="542"/>
      <c r="FC443" s="542"/>
      <c r="FD443" s="542"/>
      <c r="FE443" s="542"/>
      <c r="FF443" s="542"/>
      <c r="FG443" s="542"/>
      <c r="FH443" s="542"/>
      <c r="FI443" s="542"/>
      <c r="FJ443" s="542"/>
      <c r="FK443" s="542"/>
      <c r="FL443" s="542"/>
      <c r="FM443" s="542"/>
      <c r="FN443" s="542"/>
      <c r="FO443" s="542"/>
      <c r="FP443" s="542"/>
      <c r="FQ443" s="542"/>
      <c r="FR443" s="542"/>
      <c r="FS443" s="542"/>
      <c r="FT443" s="542"/>
      <c r="FU443" s="542"/>
      <c r="FV443" s="542"/>
      <c r="FW443" s="542"/>
      <c r="FX443" s="542"/>
      <c r="FY443" s="542"/>
      <c r="FZ443" s="542"/>
      <c r="GA443" s="542"/>
      <c r="GB443" s="542"/>
      <c r="GC443" s="542"/>
      <c r="GD443" s="542"/>
      <c r="GE443" s="542"/>
      <c r="GF443" s="542"/>
      <c r="GG443" s="542"/>
      <c r="GH443" s="542"/>
      <c r="GI443" s="542"/>
      <c r="GJ443" s="542"/>
      <c r="GK443" s="542"/>
      <c r="GL443" s="542"/>
      <c r="GM443" s="542"/>
      <c r="GN443" s="542"/>
      <c r="GO443" s="542"/>
      <c r="GP443" s="542"/>
      <c r="GQ443" s="542"/>
      <c r="GR443" s="542"/>
      <c r="GS443" s="542"/>
      <c r="GT443" s="542"/>
      <c r="GU443" s="542"/>
      <c r="GV443" s="542"/>
      <c r="GW443" s="542"/>
      <c r="GX443" s="542"/>
      <c r="GY443" s="542"/>
      <c r="GZ443" s="542"/>
      <c r="HA443" s="542"/>
      <c r="HB443" s="542"/>
      <c r="HC443" s="542"/>
      <c r="HD443" s="542"/>
      <c r="HE443" s="542"/>
      <c r="HF443" s="542"/>
      <c r="HG443" s="542"/>
      <c r="HH443" s="542"/>
      <c r="HI443" s="542"/>
      <c r="HJ443" s="542"/>
      <c r="HK443" s="542"/>
      <c r="HL443" s="542"/>
      <c r="HM443" s="542"/>
      <c r="HN443" s="542"/>
      <c r="HO443" s="542"/>
      <c r="HP443" s="542"/>
      <c r="HQ443" s="542"/>
      <c r="HR443" s="542"/>
      <c r="HS443" s="542"/>
      <c r="HT443" s="542"/>
      <c r="HU443" s="542"/>
      <c r="HV443" s="542"/>
      <c r="HW443" s="542"/>
      <c r="HX443" s="542"/>
      <c r="HY443" s="542"/>
      <c r="HZ443" s="542"/>
      <c r="IA443" s="542"/>
      <c r="IB443" s="542"/>
      <c r="IC443" s="542"/>
      <c r="ID443" s="542"/>
      <c r="IE443" s="542"/>
      <c r="IF443" s="542"/>
      <c r="IG443" s="542"/>
      <c r="IH443" s="542"/>
      <c r="II443" s="542"/>
      <c r="IJ443" s="542"/>
      <c r="IK443" s="542"/>
      <c r="IL443" s="542"/>
      <c r="IM443" s="542"/>
      <c r="IN443" s="542"/>
      <c r="IO443" s="542"/>
      <c r="IP443" s="542"/>
      <c r="IQ443" s="542"/>
      <c r="IR443" s="542"/>
      <c r="IS443" s="542"/>
      <c r="IT443" s="542"/>
      <c r="IU443" s="542"/>
      <c r="IV443" s="542"/>
      <c r="IW443" s="542"/>
      <c r="IX443" s="542"/>
      <c r="IY443" s="542"/>
      <c r="IZ443" s="542"/>
      <c r="JA443" s="542"/>
      <c r="JB443" s="542"/>
    </row>
    <row r="444" spans="104:262" ht="18.899999999999999" customHeight="1">
      <c r="CZ444" s="542"/>
      <c r="DA444" s="542"/>
      <c r="DB444" s="542"/>
      <c r="DC444" s="542"/>
      <c r="DD444" s="542"/>
      <c r="DE444" s="542"/>
      <c r="DF444" s="542"/>
      <c r="DG444" s="542"/>
      <c r="DH444" s="542"/>
      <c r="DI444" s="542"/>
      <c r="DJ444" s="542"/>
      <c r="DK444" s="542"/>
      <c r="DL444" s="542"/>
      <c r="DM444" s="542"/>
      <c r="DN444" s="542"/>
      <c r="DO444" s="542"/>
      <c r="DP444" s="542"/>
      <c r="DQ444" s="542"/>
      <c r="DR444" s="542"/>
      <c r="DS444" s="542"/>
      <c r="DT444" s="542"/>
      <c r="DU444" s="542"/>
      <c r="DV444" s="542"/>
      <c r="DW444" s="542"/>
      <c r="DX444" s="542"/>
      <c r="DY444" s="542"/>
      <c r="DZ444" s="542"/>
      <c r="EA444" s="542"/>
      <c r="EB444" s="542"/>
      <c r="EC444" s="542"/>
      <c r="ED444" s="542"/>
      <c r="EE444" s="542"/>
      <c r="EF444" s="542"/>
      <c r="EG444" s="542"/>
      <c r="EH444" s="542"/>
      <c r="EI444" s="542"/>
      <c r="EJ444" s="542"/>
      <c r="EK444" s="542"/>
      <c r="EL444" s="542"/>
      <c r="EM444" s="542"/>
      <c r="EN444" s="542"/>
      <c r="EO444" s="542"/>
      <c r="EP444" s="542"/>
      <c r="EQ444" s="542"/>
      <c r="ER444" s="542"/>
      <c r="ES444" s="542"/>
      <c r="ET444" s="542"/>
      <c r="EU444" s="542"/>
      <c r="EV444" s="542"/>
      <c r="EW444" s="542"/>
      <c r="EX444" s="542"/>
      <c r="EY444" s="542"/>
      <c r="EZ444" s="542"/>
      <c r="FA444" s="542"/>
      <c r="FB444" s="542"/>
      <c r="FC444" s="542"/>
      <c r="FD444" s="542"/>
      <c r="FE444" s="542"/>
      <c r="FF444" s="542"/>
      <c r="FG444" s="542"/>
      <c r="FH444" s="542"/>
      <c r="FI444" s="542"/>
      <c r="FJ444" s="542"/>
      <c r="FK444" s="542"/>
      <c r="FL444" s="542"/>
      <c r="FM444" s="542"/>
      <c r="FN444" s="542"/>
      <c r="FO444" s="542"/>
      <c r="FP444" s="542"/>
      <c r="FQ444" s="542"/>
      <c r="FR444" s="542"/>
      <c r="FS444" s="542"/>
      <c r="FT444" s="542"/>
      <c r="FU444" s="542"/>
      <c r="FV444" s="542"/>
      <c r="FW444" s="542"/>
      <c r="FX444" s="542"/>
      <c r="FY444" s="542"/>
      <c r="FZ444" s="542"/>
      <c r="GA444" s="542"/>
      <c r="GB444" s="542"/>
      <c r="GC444" s="542"/>
      <c r="GD444" s="542"/>
      <c r="GE444" s="542"/>
      <c r="GF444" s="542"/>
      <c r="GG444" s="542"/>
      <c r="GH444" s="542"/>
      <c r="GI444" s="542"/>
      <c r="GJ444" s="542"/>
      <c r="GK444" s="542"/>
      <c r="GL444" s="542"/>
      <c r="GM444" s="542"/>
      <c r="GN444" s="542"/>
      <c r="GO444" s="542"/>
      <c r="GP444" s="542"/>
      <c r="GQ444" s="542"/>
      <c r="GR444" s="542"/>
      <c r="GS444" s="542"/>
      <c r="GT444" s="542"/>
      <c r="GU444" s="542"/>
      <c r="GV444" s="542"/>
      <c r="GW444" s="542"/>
      <c r="GX444" s="542"/>
      <c r="GY444" s="542"/>
      <c r="GZ444" s="542"/>
      <c r="HA444" s="542"/>
      <c r="HB444" s="542"/>
      <c r="HC444" s="542"/>
      <c r="HD444" s="542"/>
      <c r="HE444" s="542"/>
      <c r="HF444" s="542"/>
      <c r="HG444" s="542"/>
      <c r="HH444" s="542"/>
      <c r="HI444" s="542"/>
      <c r="HJ444" s="542"/>
      <c r="HK444" s="542"/>
      <c r="HL444" s="542"/>
      <c r="HM444" s="542"/>
      <c r="HN444" s="542"/>
      <c r="HO444" s="542"/>
      <c r="HP444" s="542"/>
      <c r="HQ444" s="542"/>
      <c r="HR444" s="542"/>
      <c r="HS444" s="542"/>
      <c r="HT444" s="542"/>
      <c r="HU444" s="542"/>
      <c r="HV444" s="542"/>
      <c r="HW444" s="542"/>
      <c r="HX444" s="542"/>
      <c r="HY444" s="542"/>
      <c r="HZ444" s="542"/>
      <c r="IA444" s="542"/>
      <c r="IB444" s="542"/>
      <c r="IC444" s="542"/>
      <c r="ID444" s="542"/>
      <c r="IE444" s="542"/>
      <c r="IF444" s="542"/>
      <c r="IG444" s="542"/>
      <c r="IH444" s="542"/>
      <c r="II444" s="542"/>
      <c r="IJ444" s="542"/>
      <c r="IK444" s="542"/>
      <c r="IL444" s="542"/>
      <c r="IM444" s="542"/>
      <c r="IN444" s="542"/>
      <c r="IO444" s="542"/>
      <c r="IP444" s="542"/>
      <c r="IQ444" s="542"/>
      <c r="IR444" s="542"/>
      <c r="IS444" s="542"/>
      <c r="IT444" s="542"/>
      <c r="IU444" s="542"/>
      <c r="IV444" s="542"/>
      <c r="IW444" s="542"/>
      <c r="IX444" s="542"/>
      <c r="IY444" s="542"/>
      <c r="IZ444" s="542"/>
      <c r="JA444" s="542"/>
      <c r="JB444" s="542"/>
    </row>
    <row r="445" spans="104:262" ht="18.899999999999999" customHeight="1">
      <c r="CZ445" s="542"/>
      <c r="DA445" s="542"/>
      <c r="DB445" s="542"/>
      <c r="DC445" s="542"/>
      <c r="DD445" s="542"/>
      <c r="DE445" s="542"/>
      <c r="DF445" s="542"/>
      <c r="DG445" s="542"/>
      <c r="DH445" s="542"/>
      <c r="DI445" s="542"/>
      <c r="DJ445" s="542"/>
      <c r="DK445" s="542"/>
      <c r="DL445" s="542"/>
      <c r="DM445" s="542"/>
      <c r="DN445" s="542"/>
      <c r="DO445" s="542"/>
      <c r="DP445" s="542"/>
      <c r="DQ445" s="542"/>
      <c r="DR445" s="542"/>
      <c r="DS445" s="542"/>
      <c r="DT445" s="542"/>
      <c r="DU445" s="542"/>
      <c r="DV445" s="542"/>
      <c r="DW445" s="542"/>
      <c r="DX445" s="542"/>
      <c r="DY445" s="542"/>
      <c r="DZ445" s="542"/>
      <c r="EA445" s="542"/>
      <c r="EB445" s="542"/>
      <c r="EC445" s="542"/>
      <c r="ED445" s="542"/>
      <c r="EE445" s="542"/>
      <c r="EF445" s="542"/>
      <c r="EG445" s="542"/>
      <c r="EH445" s="542"/>
      <c r="EI445" s="542"/>
      <c r="EJ445" s="542"/>
      <c r="EK445" s="542"/>
      <c r="EL445" s="542"/>
      <c r="EM445" s="542"/>
      <c r="EN445" s="542"/>
      <c r="EO445" s="542"/>
      <c r="EP445" s="542"/>
      <c r="EQ445" s="542"/>
      <c r="ER445" s="542"/>
      <c r="ES445" s="542"/>
      <c r="ET445" s="542"/>
      <c r="EU445" s="542"/>
      <c r="EV445" s="542"/>
      <c r="EW445" s="542"/>
      <c r="EX445" s="542"/>
      <c r="EY445" s="542"/>
      <c r="EZ445" s="542"/>
      <c r="FA445" s="542"/>
      <c r="FB445" s="542"/>
      <c r="FC445" s="542"/>
      <c r="FD445" s="542"/>
      <c r="FE445" s="542"/>
      <c r="FF445" s="542"/>
      <c r="FG445" s="542"/>
      <c r="FH445" s="542"/>
      <c r="FI445" s="542"/>
      <c r="FJ445" s="542"/>
      <c r="FK445" s="542"/>
      <c r="FL445" s="542"/>
      <c r="FM445" s="542"/>
      <c r="FN445" s="542"/>
      <c r="FO445" s="542"/>
      <c r="FP445" s="542"/>
      <c r="FQ445" s="542"/>
      <c r="FR445" s="542"/>
      <c r="FS445" s="542"/>
      <c r="FT445" s="542"/>
      <c r="FU445" s="542"/>
      <c r="FV445" s="542"/>
      <c r="FW445" s="542"/>
      <c r="FX445" s="542"/>
      <c r="FY445" s="542"/>
      <c r="FZ445" s="542"/>
      <c r="GA445" s="542"/>
      <c r="GB445" s="542"/>
      <c r="GC445" s="542"/>
      <c r="GD445" s="542"/>
      <c r="GE445" s="542"/>
      <c r="GF445" s="542"/>
      <c r="GG445" s="542"/>
      <c r="GH445" s="542"/>
      <c r="GI445" s="542"/>
      <c r="GJ445" s="542"/>
      <c r="GK445" s="542"/>
      <c r="GL445" s="542"/>
      <c r="GM445" s="542"/>
      <c r="GN445" s="542"/>
      <c r="GO445" s="542"/>
      <c r="GP445" s="542"/>
      <c r="GQ445" s="542"/>
      <c r="GR445" s="542"/>
      <c r="GS445" s="542"/>
      <c r="GT445" s="542"/>
      <c r="GU445" s="542"/>
      <c r="GV445" s="542"/>
      <c r="GW445" s="542"/>
      <c r="GX445" s="542"/>
      <c r="GY445" s="542"/>
      <c r="GZ445" s="542"/>
      <c r="HA445" s="542"/>
      <c r="HB445" s="542"/>
      <c r="HC445" s="542"/>
      <c r="HD445" s="542"/>
      <c r="HE445" s="542"/>
      <c r="HF445" s="542"/>
      <c r="HG445" s="542"/>
      <c r="HH445" s="542"/>
      <c r="HI445" s="542"/>
      <c r="HJ445" s="542"/>
      <c r="HK445" s="542"/>
      <c r="HL445" s="542"/>
      <c r="HM445" s="542"/>
      <c r="HN445" s="542"/>
      <c r="HO445" s="542"/>
      <c r="HP445" s="542"/>
      <c r="HQ445" s="542"/>
      <c r="HR445" s="542"/>
      <c r="HS445" s="542"/>
      <c r="HT445" s="542"/>
      <c r="HU445" s="542"/>
      <c r="HV445" s="542"/>
      <c r="HW445" s="542"/>
      <c r="HX445" s="542"/>
      <c r="HY445" s="542"/>
      <c r="HZ445" s="542"/>
      <c r="IA445" s="542"/>
      <c r="IB445" s="542"/>
      <c r="IC445" s="542"/>
      <c r="ID445" s="542"/>
      <c r="IE445" s="542"/>
      <c r="IF445" s="542"/>
      <c r="IG445" s="542"/>
      <c r="IH445" s="542"/>
      <c r="II445" s="542"/>
      <c r="IJ445" s="542"/>
      <c r="IK445" s="542"/>
      <c r="IL445" s="542"/>
      <c r="IM445" s="542"/>
      <c r="IN445" s="542"/>
      <c r="IO445" s="542"/>
      <c r="IP445" s="542"/>
      <c r="IQ445" s="542"/>
      <c r="IR445" s="542"/>
      <c r="IS445" s="542"/>
      <c r="IT445" s="542"/>
      <c r="IU445" s="542"/>
      <c r="IV445" s="542"/>
      <c r="IW445" s="542"/>
      <c r="IX445" s="542"/>
      <c r="IY445" s="542"/>
      <c r="IZ445" s="542"/>
      <c r="JA445" s="542"/>
      <c r="JB445" s="542"/>
    </row>
    <row r="446" spans="104:262" ht="18.899999999999999" customHeight="1">
      <c r="CZ446" s="542"/>
      <c r="DA446" s="542"/>
      <c r="DB446" s="542"/>
      <c r="DC446" s="542"/>
      <c r="DD446" s="542"/>
      <c r="DE446" s="542"/>
      <c r="DF446" s="542"/>
      <c r="DG446" s="542"/>
      <c r="DH446" s="542"/>
      <c r="DI446" s="542"/>
      <c r="DJ446" s="542"/>
      <c r="DK446" s="542"/>
      <c r="DL446" s="542"/>
      <c r="DM446" s="542"/>
      <c r="DN446" s="542"/>
      <c r="DO446" s="542"/>
      <c r="DP446" s="542"/>
      <c r="DQ446" s="542"/>
      <c r="DR446" s="542"/>
      <c r="DS446" s="542"/>
      <c r="DT446" s="542"/>
      <c r="DU446" s="542"/>
      <c r="DV446" s="542"/>
      <c r="DW446" s="542"/>
      <c r="DX446" s="542"/>
      <c r="DY446" s="542"/>
      <c r="DZ446" s="542"/>
      <c r="EA446" s="542"/>
      <c r="EB446" s="542"/>
      <c r="EC446" s="542"/>
      <c r="ED446" s="542"/>
      <c r="EE446" s="542"/>
      <c r="EF446" s="542"/>
      <c r="EG446" s="542"/>
      <c r="EH446" s="542"/>
      <c r="EI446" s="542"/>
      <c r="EJ446" s="542"/>
      <c r="EK446" s="542"/>
      <c r="EL446" s="542"/>
      <c r="EM446" s="542"/>
      <c r="EN446" s="542"/>
      <c r="EO446" s="542"/>
      <c r="EP446" s="542"/>
      <c r="EQ446" s="542"/>
      <c r="ER446" s="542"/>
      <c r="ES446" s="542"/>
      <c r="ET446" s="542"/>
      <c r="EU446" s="542"/>
      <c r="EV446" s="542"/>
      <c r="EW446" s="542"/>
      <c r="EX446" s="542"/>
      <c r="EY446" s="542"/>
      <c r="EZ446" s="542"/>
      <c r="FA446" s="542"/>
      <c r="FB446" s="542"/>
      <c r="FC446" s="542"/>
      <c r="FD446" s="542"/>
      <c r="FE446" s="542"/>
      <c r="FF446" s="542"/>
      <c r="FG446" s="542"/>
      <c r="FH446" s="542"/>
      <c r="FI446" s="542"/>
      <c r="FJ446" s="542"/>
      <c r="FK446" s="542"/>
      <c r="FL446" s="542"/>
      <c r="FM446" s="542"/>
      <c r="FN446" s="542"/>
      <c r="FO446" s="542"/>
      <c r="FP446" s="542"/>
      <c r="FQ446" s="542"/>
      <c r="FR446" s="542"/>
      <c r="FS446" s="542"/>
      <c r="FT446" s="542"/>
      <c r="FU446" s="542"/>
      <c r="FV446" s="542"/>
      <c r="FW446" s="542"/>
      <c r="FX446" s="542"/>
      <c r="FY446" s="542"/>
      <c r="FZ446" s="542"/>
      <c r="GA446" s="542"/>
      <c r="GB446" s="542"/>
      <c r="GC446" s="542"/>
      <c r="GD446" s="542"/>
      <c r="GE446" s="542"/>
      <c r="GF446" s="542"/>
      <c r="GG446" s="542"/>
      <c r="GH446" s="542"/>
      <c r="GI446" s="542"/>
      <c r="GJ446" s="542"/>
      <c r="GK446" s="542"/>
      <c r="GL446" s="542"/>
      <c r="GM446" s="542"/>
      <c r="GN446" s="542"/>
      <c r="GO446" s="542"/>
      <c r="GP446" s="542"/>
      <c r="GQ446" s="542"/>
      <c r="GR446" s="542"/>
      <c r="GS446" s="542"/>
      <c r="GT446" s="542"/>
      <c r="GU446" s="542"/>
      <c r="GV446" s="542"/>
      <c r="GW446" s="542"/>
      <c r="GX446" s="542"/>
      <c r="GY446" s="542"/>
      <c r="GZ446" s="542"/>
      <c r="HA446" s="542"/>
      <c r="HB446" s="542"/>
      <c r="HC446" s="542"/>
      <c r="HD446" s="542"/>
      <c r="HE446" s="542"/>
      <c r="HF446" s="542"/>
      <c r="HG446" s="542"/>
      <c r="HH446" s="542"/>
      <c r="HI446" s="542"/>
      <c r="HJ446" s="542"/>
      <c r="HK446" s="542"/>
      <c r="HL446" s="542"/>
      <c r="HM446" s="542"/>
      <c r="HN446" s="542"/>
      <c r="HO446" s="542"/>
      <c r="HP446" s="542"/>
      <c r="HQ446" s="542"/>
      <c r="HR446" s="542"/>
      <c r="HS446" s="542"/>
      <c r="HT446" s="542"/>
      <c r="HU446" s="542"/>
      <c r="HV446" s="542"/>
      <c r="HW446" s="542"/>
      <c r="HX446" s="542"/>
      <c r="HY446" s="542"/>
      <c r="HZ446" s="542"/>
      <c r="IA446" s="542"/>
      <c r="IB446" s="542"/>
      <c r="IC446" s="542"/>
      <c r="ID446" s="542"/>
      <c r="IE446" s="542"/>
      <c r="IF446" s="542"/>
      <c r="IG446" s="542"/>
      <c r="IH446" s="542"/>
      <c r="II446" s="542"/>
      <c r="IJ446" s="542"/>
      <c r="IK446" s="542"/>
      <c r="IL446" s="542"/>
      <c r="IM446" s="542"/>
      <c r="IN446" s="542"/>
      <c r="IO446" s="542"/>
      <c r="IP446" s="542"/>
      <c r="IQ446" s="542"/>
      <c r="IR446" s="542"/>
      <c r="IS446" s="542"/>
      <c r="IT446" s="542"/>
      <c r="IU446" s="542"/>
      <c r="IV446" s="542"/>
      <c r="IW446" s="542"/>
      <c r="IX446" s="542"/>
      <c r="IY446" s="542"/>
      <c r="IZ446" s="542"/>
      <c r="JA446" s="542"/>
      <c r="JB446" s="542"/>
    </row>
    <row r="447" spans="104:262" ht="18.899999999999999" customHeight="1">
      <c r="CZ447" s="542"/>
      <c r="DA447" s="542"/>
      <c r="DB447" s="542"/>
      <c r="DC447" s="542"/>
      <c r="DD447" s="542"/>
      <c r="DE447" s="542"/>
      <c r="DF447" s="542"/>
      <c r="DG447" s="542"/>
      <c r="DH447" s="542"/>
      <c r="DI447" s="542"/>
      <c r="DJ447" s="542"/>
      <c r="DK447" s="542"/>
      <c r="DL447" s="542"/>
      <c r="DM447" s="542"/>
      <c r="DN447" s="542"/>
      <c r="DO447" s="542"/>
      <c r="DP447" s="542"/>
      <c r="DQ447" s="542"/>
      <c r="DR447" s="542"/>
      <c r="DS447" s="542"/>
      <c r="DT447" s="542"/>
      <c r="DU447" s="542"/>
      <c r="DV447" s="542"/>
      <c r="DW447" s="542"/>
      <c r="DX447" s="542"/>
      <c r="DY447" s="542"/>
      <c r="DZ447" s="542"/>
      <c r="EA447" s="542"/>
      <c r="EB447" s="542"/>
      <c r="EC447" s="542"/>
      <c r="ED447" s="542"/>
      <c r="EE447" s="542"/>
      <c r="EF447" s="542"/>
      <c r="EG447" s="542"/>
      <c r="EH447" s="542"/>
      <c r="EI447" s="542"/>
      <c r="EJ447" s="542"/>
      <c r="EK447" s="542"/>
      <c r="EL447" s="542"/>
      <c r="EM447" s="542"/>
      <c r="EN447" s="542"/>
      <c r="EO447" s="542"/>
      <c r="EP447" s="542"/>
      <c r="EQ447" s="542"/>
      <c r="ER447" s="542"/>
      <c r="ES447" s="542"/>
      <c r="ET447" s="542"/>
      <c r="EU447" s="542"/>
      <c r="EV447" s="542"/>
      <c r="EW447" s="542"/>
      <c r="EX447" s="542"/>
      <c r="EY447" s="542"/>
      <c r="EZ447" s="542"/>
      <c r="FA447" s="542"/>
      <c r="FB447" s="542"/>
      <c r="FC447" s="542"/>
      <c r="FD447" s="542"/>
      <c r="FE447" s="542"/>
      <c r="FF447" s="542"/>
      <c r="FG447" s="542"/>
      <c r="FH447" s="542"/>
      <c r="FI447" s="542"/>
      <c r="FJ447" s="542"/>
      <c r="FK447" s="542"/>
      <c r="FL447" s="542"/>
      <c r="FM447" s="542"/>
      <c r="FN447" s="542"/>
      <c r="FO447" s="542"/>
      <c r="FP447" s="542"/>
      <c r="FQ447" s="542"/>
      <c r="FR447" s="542"/>
      <c r="FS447" s="542"/>
      <c r="FT447" s="542"/>
      <c r="FU447" s="542"/>
      <c r="FV447" s="542"/>
      <c r="FW447" s="542"/>
      <c r="FX447" s="542"/>
      <c r="FY447" s="542"/>
      <c r="FZ447" s="542"/>
      <c r="GA447" s="542"/>
      <c r="GB447" s="542"/>
      <c r="GC447" s="542"/>
      <c r="GD447" s="542"/>
      <c r="GE447" s="542"/>
      <c r="GF447" s="542"/>
      <c r="GG447" s="542"/>
      <c r="GH447" s="542"/>
      <c r="GI447" s="542"/>
      <c r="GJ447" s="542"/>
      <c r="GK447" s="542"/>
      <c r="GL447" s="542"/>
      <c r="GM447" s="542"/>
      <c r="GN447" s="542"/>
      <c r="GO447" s="542"/>
      <c r="GP447" s="542"/>
      <c r="GQ447" s="542"/>
      <c r="GR447" s="542"/>
      <c r="GS447" s="542"/>
      <c r="GT447" s="542"/>
      <c r="GU447" s="542"/>
      <c r="GV447" s="542"/>
      <c r="GW447" s="542"/>
      <c r="GX447" s="542"/>
      <c r="GY447" s="542"/>
      <c r="GZ447" s="542"/>
      <c r="HA447" s="542"/>
      <c r="HB447" s="542"/>
      <c r="HC447" s="542"/>
      <c r="HD447" s="542"/>
      <c r="HE447" s="542"/>
      <c r="HF447" s="542"/>
      <c r="HG447" s="542"/>
      <c r="HH447" s="542"/>
      <c r="HI447" s="542"/>
      <c r="HJ447" s="542"/>
      <c r="HK447" s="542"/>
      <c r="HL447" s="542"/>
      <c r="HM447" s="542"/>
      <c r="HN447" s="542"/>
      <c r="HO447" s="542"/>
      <c r="HP447" s="542"/>
      <c r="HQ447" s="542"/>
      <c r="HR447" s="542"/>
      <c r="HS447" s="542"/>
      <c r="HT447" s="542"/>
      <c r="HU447" s="542"/>
      <c r="HV447" s="542"/>
      <c r="HW447" s="542"/>
      <c r="HX447" s="542"/>
      <c r="HY447" s="542"/>
      <c r="HZ447" s="542"/>
      <c r="IA447" s="542"/>
      <c r="IB447" s="542"/>
      <c r="IC447" s="542"/>
      <c r="ID447" s="542"/>
      <c r="IE447" s="542"/>
      <c r="IF447" s="542"/>
      <c r="IG447" s="542"/>
      <c r="IH447" s="542"/>
      <c r="II447" s="542"/>
      <c r="IJ447" s="542"/>
      <c r="IK447" s="542"/>
      <c r="IL447" s="542"/>
      <c r="IM447" s="542"/>
      <c r="IN447" s="542"/>
      <c r="IO447" s="542"/>
      <c r="IP447" s="542"/>
      <c r="IQ447" s="542"/>
      <c r="IR447" s="542"/>
      <c r="IS447" s="542"/>
      <c r="IT447" s="542"/>
      <c r="IU447" s="542"/>
      <c r="IV447" s="542"/>
      <c r="IW447" s="542"/>
      <c r="IX447" s="542"/>
      <c r="IY447" s="542"/>
      <c r="IZ447" s="542"/>
      <c r="JA447" s="542"/>
      <c r="JB447" s="542"/>
    </row>
    <row r="448" spans="104:262" ht="18.899999999999999" customHeight="1">
      <c r="CZ448" s="542"/>
      <c r="DA448" s="542"/>
      <c r="DB448" s="542"/>
      <c r="DC448" s="542"/>
      <c r="DD448" s="542"/>
      <c r="DE448" s="542"/>
      <c r="DF448" s="542"/>
      <c r="DG448" s="542"/>
      <c r="DH448" s="542"/>
      <c r="DI448" s="542"/>
      <c r="DJ448" s="542"/>
      <c r="DK448" s="542"/>
      <c r="DL448" s="542"/>
      <c r="DM448" s="542"/>
      <c r="DN448" s="542"/>
      <c r="DO448" s="542"/>
      <c r="DP448" s="542"/>
      <c r="DQ448" s="542"/>
      <c r="DR448" s="542"/>
      <c r="DS448" s="542"/>
      <c r="DT448" s="542"/>
      <c r="DU448" s="542"/>
      <c r="DV448" s="542"/>
      <c r="DW448" s="542"/>
      <c r="DX448" s="542"/>
      <c r="DY448" s="542"/>
      <c r="DZ448" s="542"/>
      <c r="EA448" s="542"/>
      <c r="EB448" s="542"/>
      <c r="EC448" s="542"/>
      <c r="ED448" s="542"/>
      <c r="EE448" s="542"/>
      <c r="EF448" s="542"/>
      <c r="EG448" s="542"/>
      <c r="EH448" s="542"/>
      <c r="EI448" s="542"/>
      <c r="EJ448" s="542"/>
      <c r="EK448" s="542"/>
      <c r="EL448" s="542"/>
      <c r="EM448" s="542"/>
      <c r="EN448" s="542"/>
      <c r="EO448" s="542"/>
      <c r="EP448" s="542"/>
      <c r="EQ448" s="542"/>
      <c r="ER448" s="542"/>
      <c r="ES448" s="542"/>
      <c r="ET448" s="542"/>
      <c r="EU448" s="542"/>
      <c r="EV448" s="542"/>
      <c r="EW448" s="542"/>
      <c r="EX448" s="542"/>
      <c r="EY448" s="542"/>
      <c r="EZ448" s="542"/>
      <c r="FA448" s="542"/>
      <c r="FB448" s="542"/>
      <c r="FC448" s="542"/>
      <c r="FD448" s="542"/>
      <c r="FE448" s="542"/>
      <c r="FF448" s="542"/>
      <c r="FG448" s="542"/>
      <c r="FH448" s="542"/>
      <c r="FI448" s="542"/>
      <c r="FJ448" s="542"/>
      <c r="FK448" s="542"/>
      <c r="FL448" s="542"/>
      <c r="FM448" s="542"/>
      <c r="FN448" s="542"/>
      <c r="FO448" s="542"/>
      <c r="FP448" s="542"/>
      <c r="FQ448" s="542"/>
      <c r="FR448" s="542"/>
      <c r="FS448" s="542"/>
      <c r="FT448" s="542"/>
      <c r="FU448" s="542"/>
      <c r="FV448" s="542"/>
      <c r="FW448" s="542"/>
      <c r="FX448" s="542"/>
      <c r="FY448" s="542"/>
      <c r="FZ448" s="542"/>
      <c r="GA448" s="542"/>
      <c r="GB448" s="542"/>
      <c r="GC448" s="542"/>
      <c r="GD448" s="542"/>
      <c r="GE448" s="542"/>
      <c r="GF448" s="542"/>
      <c r="GG448" s="542"/>
      <c r="GH448" s="542"/>
      <c r="GI448" s="542"/>
      <c r="GJ448" s="542"/>
      <c r="GK448" s="542"/>
      <c r="GL448" s="542"/>
      <c r="GM448" s="542"/>
      <c r="GN448" s="542"/>
      <c r="GO448" s="542"/>
      <c r="GP448" s="542"/>
      <c r="GQ448" s="542"/>
      <c r="GR448" s="542"/>
      <c r="GS448" s="542"/>
      <c r="GT448" s="542"/>
      <c r="GU448" s="542"/>
      <c r="GV448" s="542"/>
      <c r="GW448" s="542"/>
      <c r="GX448" s="542"/>
      <c r="GY448" s="542"/>
      <c r="GZ448" s="542"/>
      <c r="HA448" s="542"/>
      <c r="HB448" s="542"/>
      <c r="HC448" s="542"/>
      <c r="HD448" s="542"/>
      <c r="HE448" s="542"/>
      <c r="HF448" s="542"/>
      <c r="HG448" s="542"/>
      <c r="HH448" s="542"/>
      <c r="HI448" s="542"/>
      <c r="HJ448" s="542"/>
      <c r="HK448" s="542"/>
      <c r="HL448" s="542"/>
      <c r="HM448" s="542"/>
      <c r="HN448" s="542"/>
      <c r="HO448" s="542"/>
      <c r="HP448" s="542"/>
      <c r="HQ448" s="542"/>
      <c r="HR448" s="542"/>
      <c r="HS448" s="542"/>
      <c r="HT448" s="542"/>
      <c r="HU448" s="542"/>
      <c r="HV448" s="542"/>
      <c r="HW448" s="542"/>
      <c r="HX448" s="542"/>
      <c r="HY448" s="542"/>
      <c r="HZ448" s="542"/>
      <c r="IA448" s="542"/>
      <c r="IB448" s="542"/>
      <c r="IC448" s="542"/>
      <c r="ID448" s="542"/>
      <c r="IE448" s="542"/>
      <c r="IF448" s="542"/>
      <c r="IG448" s="542"/>
      <c r="IH448" s="542"/>
      <c r="II448" s="542"/>
      <c r="IJ448" s="542"/>
      <c r="IK448" s="542"/>
      <c r="IL448" s="542"/>
      <c r="IM448" s="542"/>
      <c r="IN448" s="542"/>
      <c r="IO448" s="542"/>
      <c r="IP448" s="542"/>
      <c r="IQ448" s="542"/>
      <c r="IR448" s="542"/>
      <c r="IS448" s="542"/>
      <c r="IT448" s="542"/>
      <c r="IU448" s="542"/>
      <c r="IV448" s="542"/>
      <c r="IW448" s="542"/>
      <c r="IX448" s="542"/>
      <c r="IY448" s="542"/>
      <c r="IZ448" s="542"/>
      <c r="JA448" s="542"/>
      <c r="JB448" s="542"/>
    </row>
    <row r="449" spans="104:262" ht="18.899999999999999" customHeight="1">
      <c r="CZ449" s="542"/>
      <c r="DA449" s="542"/>
      <c r="DB449" s="542"/>
      <c r="DC449" s="542"/>
      <c r="DD449" s="542"/>
      <c r="DE449" s="542"/>
      <c r="DF449" s="542"/>
      <c r="DG449" s="542"/>
      <c r="DH449" s="542"/>
      <c r="DI449" s="542"/>
      <c r="DJ449" s="542"/>
      <c r="DK449" s="542"/>
      <c r="DL449" s="542"/>
      <c r="DM449" s="542"/>
      <c r="DN449" s="542"/>
      <c r="DO449" s="542"/>
      <c r="DP449" s="542"/>
      <c r="DQ449" s="542"/>
      <c r="DR449" s="542"/>
      <c r="DS449" s="542"/>
      <c r="DT449" s="542"/>
      <c r="DU449" s="542"/>
      <c r="DV449" s="542"/>
      <c r="DW449" s="542"/>
      <c r="DX449" s="542"/>
      <c r="DY449" s="542"/>
      <c r="DZ449" s="542"/>
      <c r="EA449" s="542"/>
      <c r="EB449" s="542"/>
      <c r="EC449" s="542"/>
      <c r="ED449" s="542"/>
      <c r="EE449" s="542"/>
      <c r="EF449" s="542"/>
      <c r="EG449" s="542"/>
      <c r="EH449" s="542"/>
      <c r="EI449" s="542"/>
      <c r="EJ449" s="542"/>
      <c r="EK449" s="542"/>
      <c r="EL449" s="542"/>
      <c r="EM449" s="542"/>
      <c r="EN449" s="542"/>
      <c r="EO449" s="542"/>
      <c r="EP449" s="542"/>
      <c r="EQ449" s="542"/>
      <c r="ER449" s="542"/>
      <c r="ES449" s="542"/>
      <c r="ET449" s="542"/>
      <c r="EU449" s="542"/>
      <c r="EV449" s="542"/>
      <c r="EW449" s="542"/>
      <c r="EX449" s="542"/>
      <c r="EY449" s="542"/>
      <c r="EZ449" s="542"/>
      <c r="FA449" s="542"/>
      <c r="FB449" s="542"/>
      <c r="FC449" s="542"/>
      <c r="FD449" s="542"/>
      <c r="FE449" s="542"/>
      <c r="FF449" s="542"/>
      <c r="FG449" s="542"/>
      <c r="FH449" s="542"/>
      <c r="FI449" s="542"/>
      <c r="FJ449" s="542"/>
      <c r="FK449" s="542"/>
      <c r="FL449" s="542"/>
      <c r="FM449" s="542"/>
      <c r="FN449" s="542"/>
      <c r="FO449" s="542"/>
      <c r="FP449" s="542"/>
      <c r="FQ449" s="542"/>
      <c r="FR449" s="542"/>
      <c r="FS449" s="542"/>
      <c r="FT449" s="542"/>
      <c r="FU449" s="542"/>
      <c r="FV449" s="542"/>
      <c r="FW449" s="542"/>
      <c r="FX449" s="542"/>
      <c r="FY449" s="542"/>
      <c r="FZ449" s="542"/>
      <c r="GA449" s="542"/>
      <c r="GB449" s="542"/>
      <c r="GC449" s="542"/>
      <c r="GD449" s="542"/>
      <c r="GE449" s="542"/>
      <c r="GF449" s="542"/>
      <c r="GG449" s="542"/>
      <c r="GH449" s="542"/>
      <c r="GI449" s="542"/>
      <c r="GJ449" s="542"/>
      <c r="GK449" s="542"/>
      <c r="GL449" s="542"/>
      <c r="GM449" s="542"/>
      <c r="GN449" s="542"/>
      <c r="GO449" s="542"/>
      <c r="GP449" s="542"/>
      <c r="GQ449" s="542"/>
      <c r="GR449" s="542"/>
      <c r="GS449" s="542"/>
      <c r="GT449" s="542"/>
      <c r="GU449" s="542"/>
      <c r="GV449" s="542"/>
      <c r="GW449" s="542"/>
      <c r="GX449" s="542"/>
      <c r="GY449" s="542"/>
      <c r="GZ449" s="542"/>
      <c r="HA449" s="542"/>
      <c r="HB449" s="542"/>
      <c r="HC449" s="542"/>
      <c r="HD449" s="542"/>
      <c r="HE449" s="542"/>
      <c r="HF449" s="542"/>
      <c r="HG449" s="542"/>
      <c r="HH449" s="542"/>
      <c r="HI449" s="542"/>
      <c r="HJ449" s="542"/>
      <c r="HK449" s="542"/>
      <c r="HL449" s="542"/>
      <c r="HM449" s="542"/>
      <c r="HN449" s="542"/>
      <c r="HO449" s="542"/>
      <c r="HP449" s="542"/>
      <c r="HQ449" s="542"/>
      <c r="HR449" s="542"/>
      <c r="HS449" s="542"/>
      <c r="HT449" s="542"/>
      <c r="HU449" s="542"/>
      <c r="HV449" s="542"/>
      <c r="HW449" s="542"/>
      <c r="HX449" s="542"/>
      <c r="HY449" s="542"/>
      <c r="HZ449" s="542"/>
      <c r="IA449" s="542"/>
      <c r="IB449" s="542"/>
      <c r="IC449" s="542"/>
      <c r="ID449" s="542"/>
      <c r="IE449" s="542"/>
      <c r="IF449" s="542"/>
      <c r="IG449" s="542"/>
      <c r="IH449" s="542"/>
      <c r="II449" s="542"/>
      <c r="IJ449" s="542"/>
      <c r="IK449" s="542"/>
      <c r="IL449" s="542"/>
      <c r="IM449" s="542"/>
      <c r="IN449" s="542"/>
      <c r="IO449" s="542"/>
      <c r="IP449" s="542"/>
      <c r="IQ449" s="542"/>
      <c r="IR449" s="542"/>
      <c r="IS449" s="542"/>
      <c r="IT449" s="542"/>
      <c r="IU449" s="542"/>
      <c r="IV449" s="542"/>
      <c r="IW449" s="542"/>
      <c r="IX449" s="542"/>
      <c r="IY449" s="542"/>
      <c r="IZ449" s="542"/>
      <c r="JA449" s="542"/>
      <c r="JB449" s="542"/>
    </row>
    <row r="450" spans="104:262" ht="18.899999999999999" customHeight="1">
      <c r="CZ450" s="542"/>
      <c r="DA450" s="542"/>
      <c r="DB450" s="542"/>
      <c r="DC450" s="542"/>
      <c r="DD450" s="542"/>
      <c r="DE450" s="542"/>
      <c r="DF450" s="542"/>
      <c r="DG450" s="542"/>
      <c r="DH450" s="542"/>
      <c r="DI450" s="542"/>
      <c r="DJ450" s="542"/>
      <c r="DK450" s="542"/>
      <c r="DL450" s="542"/>
      <c r="DM450" s="542"/>
      <c r="DN450" s="542"/>
      <c r="DO450" s="542"/>
      <c r="DP450" s="542"/>
      <c r="DQ450" s="542"/>
      <c r="DR450" s="542"/>
      <c r="DS450" s="542"/>
      <c r="DT450" s="542"/>
      <c r="DU450" s="542"/>
      <c r="DV450" s="542"/>
      <c r="DW450" s="542"/>
      <c r="DX450" s="542"/>
      <c r="DY450" s="542"/>
      <c r="DZ450" s="542"/>
      <c r="EA450" s="542"/>
      <c r="EB450" s="542"/>
      <c r="EC450" s="542"/>
      <c r="ED450" s="542"/>
      <c r="EE450" s="542"/>
      <c r="EF450" s="542"/>
      <c r="EG450" s="542"/>
      <c r="EH450" s="542"/>
      <c r="EI450" s="542"/>
      <c r="EJ450" s="542"/>
      <c r="EK450" s="542"/>
      <c r="EL450" s="542"/>
      <c r="EM450" s="542"/>
      <c r="EN450" s="542"/>
      <c r="EO450" s="542"/>
      <c r="EP450" s="542"/>
      <c r="EQ450" s="542"/>
      <c r="ER450" s="542"/>
      <c r="ES450" s="542"/>
      <c r="ET450" s="542"/>
      <c r="EU450" s="542"/>
      <c r="EV450" s="542"/>
      <c r="EW450" s="542"/>
      <c r="EX450" s="542"/>
      <c r="EY450" s="542"/>
      <c r="EZ450" s="542"/>
      <c r="FA450" s="542"/>
      <c r="FB450" s="542"/>
      <c r="FC450" s="542"/>
      <c r="FD450" s="542"/>
      <c r="FE450" s="542"/>
      <c r="FF450" s="542"/>
      <c r="FG450" s="542"/>
      <c r="FH450" s="542"/>
      <c r="FI450" s="542"/>
      <c r="FJ450" s="542"/>
      <c r="FK450" s="542"/>
      <c r="FL450" s="542"/>
      <c r="FM450" s="542"/>
      <c r="FN450" s="542"/>
      <c r="FO450" s="542"/>
      <c r="FP450" s="542"/>
      <c r="FQ450" s="542"/>
      <c r="FR450" s="542"/>
      <c r="FS450" s="542"/>
      <c r="FT450" s="542"/>
      <c r="FU450" s="542"/>
      <c r="FV450" s="542"/>
      <c r="FW450" s="542"/>
      <c r="FX450" s="542"/>
      <c r="FY450" s="542"/>
      <c r="FZ450" s="542"/>
      <c r="GA450" s="542"/>
      <c r="GB450" s="542"/>
      <c r="GC450" s="542"/>
      <c r="GD450" s="542"/>
      <c r="GE450" s="542"/>
      <c r="GF450" s="542"/>
      <c r="GG450" s="542"/>
      <c r="GH450" s="542"/>
      <c r="GI450" s="542"/>
      <c r="GJ450" s="542"/>
      <c r="GK450" s="542"/>
      <c r="GL450" s="542"/>
      <c r="GM450" s="542"/>
      <c r="GN450" s="542"/>
      <c r="GO450" s="542"/>
      <c r="GP450" s="542"/>
      <c r="GQ450" s="542"/>
      <c r="GR450" s="542"/>
      <c r="GS450" s="542"/>
      <c r="GT450" s="542"/>
      <c r="GU450" s="542"/>
      <c r="GV450" s="542"/>
      <c r="GW450" s="542"/>
      <c r="GX450" s="542"/>
      <c r="GY450" s="542"/>
      <c r="GZ450" s="542"/>
      <c r="HA450" s="542"/>
      <c r="HB450" s="542"/>
      <c r="HC450" s="542"/>
      <c r="HD450" s="542"/>
      <c r="HE450" s="542"/>
      <c r="HF450" s="542"/>
      <c r="HG450" s="542"/>
      <c r="HH450" s="542"/>
      <c r="HI450" s="542"/>
      <c r="HJ450" s="542"/>
      <c r="HK450" s="542"/>
      <c r="HL450" s="542"/>
      <c r="HM450" s="542"/>
      <c r="HN450" s="542"/>
      <c r="HO450" s="542"/>
      <c r="HP450" s="542"/>
      <c r="HQ450" s="542"/>
      <c r="HR450" s="542"/>
      <c r="HS450" s="542"/>
      <c r="HT450" s="542"/>
      <c r="HU450" s="542"/>
      <c r="HV450" s="542"/>
      <c r="HW450" s="542"/>
      <c r="HX450" s="542"/>
      <c r="HY450" s="542"/>
      <c r="HZ450" s="542"/>
      <c r="IA450" s="542"/>
      <c r="IB450" s="542"/>
      <c r="IC450" s="542"/>
      <c r="ID450" s="542"/>
      <c r="IE450" s="542"/>
      <c r="IF450" s="542"/>
      <c r="IG450" s="542"/>
      <c r="IH450" s="542"/>
      <c r="II450" s="542"/>
      <c r="IJ450" s="542"/>
      <c r="IK450" s="542"/>
      <c r="IL450" s="542"/>
      <c r="IM450" s="542"/>
      <c r="IN450" s="542"/>
      <c r="IO450" s="542"/>
      <c r="IP450" s="542"/>
      <c r="IQ450" s="542"/>
      <c r="IR450" s="542"/>
      <c r="IS450" s="542"/>
      <c r="IT450" s="542"/>
      <c r="IU450" s="542"/>
      <c r="IV450" s="542"/>
      <c r="IW450" s="542"/>
      <c r="IX450" s="542"/>
      <c r="IY450" s="542"/>
      <c r="IZ450" s="542"/>
      <c r="JA450" s="542"/>
      <c r="JB450" s="542"/>
    </row>
    <row r="451" spans="104:262" ht="18.899999999999999" customHeight="1">
      <c r="CZ451" s="542"/>
      <c r="DA451" s="542"/>
      <c r="DB451" s="542"/>
      <c r="DC451" s="542"/>
      <c r="DD451" s="542"/>
      <c r="DE451" s="542"/>
      <c r="DF451" s="542"/>
      <c r="DG451" s="542"/>
      <c r="DH451" s="542"/>
      <c r="DI451" s="542"/>
      <c r="DJ451" s="542"/>
      <c r="DK451" s="542"/>
      <c r="DL451" s="542"/>
      <c r="DM451" s="542"/>
      <c r="DN451" s="542"/>
      <c r="DO451" s="542"/>
      <c r="DP451" s="542"/>
      <c r="DQ451" s="542"/>
      <c r="DR451" s="542"/>
      <c r="DS451" s="542"/>
      <c r="DT451" s="542"/>
      <c r="DU451" s="542"/>
      <c r="DV451" s="542"/>
      <c r="DW451" s="542"/>
      <c r="DX451" s="542"/>
      <c r="DY451" s="542"/>
      <c r="DZ451" s="542"/>
      <c r="EA451" s="542"/>
      <c r="EB451" s="542"/>
      <c r="EC451" s="542"/>
      <c r="ED451" s="542"/>
      <c r="EE451" s="542"/>
      <c r="EF451" s="542"/>
      <c r="EG451" s="542"/>
      <c r="EH451" s="542"/>
      <c r="EI451" s="542"/>
      <c r="EJ451" s="542"/>
      <c r="EK451" s="542"/>
      <c r="EL451" s="542"/>
      <c r="EM451" s="542"/>
      <c r="EN451" s="542"/>
      <c r="EO451" s="542"/>
      <c r="EP451" s="542"/>
      <c r="EQ451" s="542"/>
      <c r="ER451" s="542"/>
      <c r="ES451" s="542"/>
      <c r="ET451" s="542"/>
      <c r="EU451" s="542"/>
      <c r="EV451" s="542"/>
      <c r="EW451" s="542"/>
      <c r="EX451" s="542"/>
      <c r="EY451" s="542"/>
      <c r="EZ451" s="542"/>
      <c r="FA451" s="542"/>
      <c r="FB451" s="542"/>
      <c r="FC451" s="542"/>
      <c r="FD451" s="542"/>
      <c r="FE451" s="542"/>
      <c r="FF451" s="542"/>
      <c r="FG451" s="542"/>
      <c r="FH451" s="542"/>
      <c r="FI451" s="542"/>
      <c r="FJ451" s="542"/>
      <c r="FK451" s="542"/>
      <c r="FL451" s="542"/>
      <c r="FM451" s="542"/>
      <c r="FN451" s="542"/>
      <c r="FO451" s="542"/>
      <c r="FP451" s="542"/>
      <c r="FQ451" s="542"/>
      <c r="FR451" s="542"/>
      <c r="FS451" s="542"/>
      <c r="FT451" s="542"/>
      <c r="FU451" s="542"/>
      <c r="FV451" s="542"/>
      <c r="FW451" s="542"/>
      <c r="FX451" s="542"/>
      <c r="FY451" s="542"/>
      <c r="FZ451" s="542"/>
      <c r="GA451" s="542"/>
      <c r="GB451" s="542"/>
      <c r="GC451" s="542"/>
      <c r="GD451" s="542"/>
      <c r="GE451" s="542"/>
      <c r="GF451" s="542"/>
      <c r="GG451" s="542"/>
      <c r="GH451" s="542"/>
      <c r="GI451" s="542"/>
      <c r="GJ451" s="542"/>
      <c r="GK451" s="542"/>
      <c r="GL451" s="542"/>
      <c r="GM451" s="542"/>
      <c r="GN451" s="542"/>
      <c r="GO451" s="542"/>
      <c r="GP451" s="542"/>
      <c r="GQ451" s="542"/>
      <c r="GR451" s="542"/>
      <c r="GS451" s="542"/>
      <c r="GT451" s="542"/>
      <c r="GU451" s="542"/>
      <c r="GV451" s="542"/>
      <c r="GW451" s="542"/>
      <c r="GX451" s="542"/>
      <c r="GY451" s="542"/>
      <c r="GZ451" s="542"/>
      <c r="HA451" s="542"/>
      <c r="HB451" s="542"/>
      <c r="HC451" s="542"/>
      <c r="HD451" s="542"/>
      <c r="HE451" s="542"/>
      <c r="HF451" s="542"/>
      <c r="HG451" s="542"/>
      <c r="HH451" s="542"/>
      <c r="HI451" s="542"/>
      <c r="HJ451" s="542"/>
      <c r="HK451" s="542"/>
      <c r="HL451" s="542"/>
      <c r="HM451" s="542"/>
      <c r="HN451" s="542"/>
      <c r="HO451" s="542"/>
      <c r="HP451" s="542"/>
      <c r="HQ451" s="542"/>
      <c r="HR451" s="542"/>
      <c r="HS451" s="542"/>
      <c r="HT451" s="542"/>
      <c r="HU451" s="542"/>
      <c r="HV451" s="542"/>
      <c r="HW451" s="542"/>
      <c r="HX451" s="542"/>
      <c r="HY451" s="542"/>
      <c r="HZ451" s="542"/>
      <c r="IA451" s="542"/>
      <c r="IB451" s="542"/>
      <c r="IC451" s="542"/>
      <c r="ID451" s="542"/>
      <c r="IE451" s="542"/>
      <c r="IF451" s="542"/>
      <c r="IG451" s="542"/>
      <c r="IH451" s="542"/>
      <c r="II451" s="542"/>
      <c r="IJ451" s="542"/>
      <c r="IK451" s="542"/>
      <c r="IL451" s="542"/>
      <c r="IM451" s="542"/>
      <c r="IN451" s="542"/>
      <c r="IO451" s="542"/>
      <c r="IP451" s="542"/>
      <c r="IQ451" s="542"/>
      <c r="IR451" s="542"/>
      <c r="IS451" s="542"/>
      <c r="IT451" s="542"/>
      <c r="IU451" s="542"/>
      <c r="IV451" s="542"/>
      <c r="IW451" s="542"/>
      <c r="IX451" s="542"/>
      <c r="IY451" s="542"/>
      <c r="IZ451" s="542"/>
      <c r="JA451" s="542"/>
      <c r="JB451" s="542"/>
    </row>
    <row r="452" spans="104:262" ht="18.899999999999999" customHeight="1">
      <c r="CZ452" s="542"/>
      <c r="DA452" s="542"/>
      <c r="DB452" s="542"/>
      <c r="DC452" s="542"/>
      <c r="DD452" s="542"/>
      <c r="DE452" s="542"/>
      <c r="DF452" s="542"/>
      <c r="DG452" s="542"/>
      <c r="DH452" s="542"/>
      <c r="DI452" s="542"/>
      <c r="DJ452" s="542"/>
      <c r="DK452" s="542"/>
      <c r="DL452" s="542"/>
      <c r="DM452" s="542"/>
      <c r="DN452" s="542"/>
      <c r="DO452" s="542"/>
      <c r="DP452" s="542"/>
      <c r="DQ452" s="542"/>
      <c r="DR452" s="542"/>
      <c r="DS452" s="542"/>
      <c r="DT452" s="542"/>
      <c r="DU452" s="542"/>
      <c r="DV452" s="542"/>
      <c r="DW452" s="542"/>
      <c r="DX452" s="542"/>
      <c r="DY452" s="542"/>
      <c r="DZ452" s="542"/>
      <c r="EA452" s="542"/>
      <c r="EB452" s="542"/>
      <c r="EC452" s="542"/>
      <c r="ED452" s="542"/>
      <c r="EE452" s="542"/>
      <c r="EF452" s="542"/>
      <c r="EG452" s="542"/>
      <c r="EH452" s="542"/>
      <c r="EI452" s="542"/>
      <c r="EJ452" s="542"/>
      <c r="EK452" s="542"/>
      <c r="EL452" s="542"/>
      <c r="EM452" s="542"/>
      <c r="EN452" s="542"/>
      <c r="EO452" s="542"/>
      <c r="EP452" s="542"/>
      <c r="EQ452" s="542"/>
      <c r="ER452" s="542"/>
      <c r="ES452" s="542"/>
      <c r="ET452" s="542"/>
      <c r="EU452" s="542"/>
      <c r="EV452" s="542"/>
      <c r="EW452" s="542"/>
      <c r="EX452" s="542"/>
      <c r="EY452" s="542"/>
      <c r="EZ452" s="542"/>
      <c r="FA452" s="542"/>
      <c r="FB452" s="542"/>
      <c r="FC452" s="542"/>
      <c r="FD452" s="542"/>
      <c r="FE452" s="542"/>
      <c r="FF452" s="542"/>
      <c r="FG452" s="542"/>
      <c r="FH452" s="542"/>
      <c r="FI452" s="542"/>
      <c r="FJ452" s="542"/>
      <c r="FK452" s="542"/>
      <c r="FL452" s="542"/>
      <c r="FM452" s="542"/>
      <c r="FN452" s="542"/>
      <c r="FO452" s="542"/>
      <c r="FP452" s="542"/>
      <c r="FQ452" s="542"/>
      <c r="FR452" s="542"/>
      <c r="FS452" s="542"/>
      <c r="FT452" s="542"/>
      <c r="FU452" s="542"/>
      <c r="FV452" s="542"/>
      <c r="FW452" s="542"/>
      <c r="FX452" s="542"/>
      <c r="FY452" s="542"/>
      <c r="FZ452" s="542"/>
      <c r="GA452" s="542"/>
      <c r="GB452" s="542"/>
      <c r="GC452" s="542"/>
      <c r="GD452" s="542"/>
      <c r="GE452" s="542"/>
      <c r="GF452" s="542"/>
      <c r="GG452" s="542"/>
      <c r="GH452" s="542"/>
      <c r="GI452" s="542"/>
      <c r="GJ452" s="542"/>
      <c r="GK452" s="542"/>
      <c r="GL452" s="542"/>
      <c r="GM452" s="542"/>
      <c r="GN452" s="542"/>
      <c r="GO452" s="542"/>
      <c r="GP452" s="542"/>
      <c r="GQ452" s="542"/>
      <c r="GR452" s="542"/>
      <c r="GS452" s="542"/>
      <c r="GT452" s="542"/>
      <c r="GU452" s="542"/>
      <c r="GV452" s="542"/>
      <c r="GW452" s="542"/>
      <c r="GX452" s="542"/>
      <c r="GY452" s="542"/>
      <c r="GZ452" s="542"/>
      <c r="HA452" s="542"/>
      <c r="HB452" s="542"/>
      <c r="HC452" s="542"/>
      <c r="HD452" s="542"/>
      <c r="HE452" s="542"/>
      <c r="HF452" s="542"/>
      <c r="HG452" s="542"/>
      <c r="HH452" s="542"/>
      <c r="HI452" s="542"/>
      <c r="HJ452" s="542"/>
      <c r="HK452" s="542"/>
      <c r="HL452" s="542"/>
      <c r="HM452" s="542"/>
      <c r="HN452" s="542"/>
      <c r="HO452" s="542"/>
      <c r="HP452" s="542"/>
      <c r="HQ452" s="542"/>
      <c r="HR452" s="542"/>
      <c r="HS452" s="542"/>
      <c r="HT452" s="542"/>
      <c r="HU452" s="542"/>
      <c r="HV452" s="542"/>
      <c r="HW452" s="542"/>
      <c r="HX452" s="542"/>
      <c r="HY452" s="542"/>
      <c r="HZ452" s="542"/>
      <c r="IA452" s="542"/>
      <c r="IB452" s="542"/>
      <c r="IC452" s="542"/>
      <c r="ID452" s="542"/>
      <c r="IE452" s="542"/>
      <c r="IF452" s="542"/>
      <c r="IG452" s="542"/>
      <c r="IH452" s="542"/>
      <c r="II452" s="542"/>
      <c r="IJ452" s="542"/>
      <c r="IK452" s="542"/>
      <c r="IL452" s="542"/>
      <c r="IM452" s="542"/>
      <c r="IN452" s="542"/>
      <c r="IO452" s="542"/>
      <c r="IP452" s="542"/>
      <c r="IQ452" s="542"/>
      <c r="IR452" s="542"/>
      <c r="IS452" s="542"/>
      <c r="IT452" s="542"/>
      <c r="IU452" s="542"/>
      <c r="IV452" s="542"/>
      <c r="IW452" s="542"/>
      <c r="IX452" s="542"/>
      <c r="IY452" s="542"/>
      <c r="IZ452" s="542"/>
      <c r="JA452" s="542"/>
      <c r="JB452" s="542"/>
    </row>
    <row r="453" spans="104:262" ht="18.899999999999999" customHeight="1">
      <c r="CZ453" s="542"/>
      <c r="DA453" s="542"/>
      <c r="DB453" s="542"/>
      <c r="DC453" s="542"/>
      <c r="DD453" s="542"/>
      <c r="DE453" s="542"/>
      <c r="DF453" s="542"/>
      <c r="DG453" s="542"/>
      <c r="DH453" s="542"/>
      <c r="DI453" s="542"/>
      <c r="DJ453" s="542"/>
      <c r="DK453" s="542"/>
      <c r="DL453" s="542"/>
      <c r="DM453" s="542"/>
      <c r="DN453" s="542"/>
      <c r="DO453" s="542"/>
      <c r="DP453" s="542"/>
      <c r="DQ453" s="542"/>
      <c r="DR453" s="542"/>
      <c r="DS453" s="542"/>
      <c r="DT453" s="542"/>
      <c r="DU453" s="542"/>
      <c r="DV453" s="542"/>
      <c r="DW453" s="542"/>
      <c r="DX453" s="542"/>
      <c r="DY453" s="542"/>
      <c r="DZ453" s="542"/>
      <c r="EA453" s="542"/>
      <c r="EB453" s="542"/>
      <c r="EC453" s="542"/>
      <c r="ED453" s="542"/>
      <c r="EE453" s="542"/>
      <c r="EF453" s="542"/>
      <c r="EG453" s="542"/>
      <c r="EH453" s="542"/>
      <c r="EI453" s="542"/>
      <c r="EJ453" s="542"/>
      <c r="EK453" s="542"/>
      <c r="EL453" s="542"/>
      <c r="EM453" s="542"/>
      <c r="EN453" s="542"/>
      <c r="EO453" s="542"/>
      <c r="EP453" s="542"/>
      <c r="EQ453" s="542"/>
      <c r="ER453" s="542"/>
      <c r="ES453" s="542"/>
      <c r="ET453" s="542"/>
      <c r="EU453" s="542"/>
      <c r="EV453" s="542"/>
      <c r="EW453" s="542"/>
      <c r="EX453" s="542"/>
      <c r="EY453" s="542"/>
      <c r="EZ453" s="542"/>
      <c r="FA453" s="542"/>
      <c r="FB453" s="542"/>
      <c r="FC453" s="542"/>
      <c r="FD453" s="542"/>
      <c r="FE453" s="542"/>
      <c r="FF453" s="542"/>
      <c r="FG453" s="542"/>
      <c r="FH453" s="542"/>
      <c r="FI453" s="542"/>
      <c r="FJ453" s="542"/>
      <c r="FK453" s="542"/>
      <c r="FL453" s="542"/>
      <c r="FM453" s="542"/>
      <c r="FN453" s="542"/>
      <c r="FO453" s="542"/>
      <c r="FP453" s="542"/>
      <c r="FQ453" s="542"/>
      <c r="FR453" s="542"/>
      <c r="FS453" s="542"/>
      <c r="FT453" s="542"/>
      <c r="FU453" s="542"/>
      <c r="FV453" s="542"/>
      <c r="FW453" s="542"/>
      <c r="FX453" s="542"/>
      <c r="FY453" s="542"/>
      <c r="FZ453" s="542"/>
      <c r="GA453" s="542"/>
      <c r="GB453" s="542"/>
      <c r="GC453" s="542"/>
      <c r="GD453" s="542"/>
      <c r="GE453" s="542"/>
      <c r="GF453" s="542"/>
      <c r="GG453" s="542"/>
      <c r="GH453" s="542"/>
      <c r="GI453" s="542"/>
      <c r="GJ453" s="542"/>
      <c r="GK453" s="542"/>
      <c r="GL453" s="542"/>
      <c r="GM453" s="542"/>
      <c r="GN453" s="542"/>
      <c r="GO453" s="542"/>
      <c r="GP453" s="542"/>
      <c r="GQ453" s="542"/>
      <c r="GR453" s="542"/>
      <c r="GS453" s="542"/>
      <c r="GT453" s="542"/>
      <c r="GU453" s="542"/>
      <c r="GV453" s="542"/>
      <c r="GW453" s="542"/>
      <c r="GX453" s="542"/>
      <c r="GY453" s="542"/>
      <c r="GZ453" s="542"/>
      <c r="HA453" s="542"/>
      <c r="HB453" s="542"/>
      <c r="HC453" s="542"/>
      <c r="HD453" s="542"/>
      <c r="HE453" s="542"/>
      <c r="HF453" s="542"/>
      <c r="HG453" s="542"/>
      <c r="HH453" s="542"/>
      <c r="HI453" s="542"/>
      <c r="HJ453" s="542"/>
      <c r="HK453" s="542"/>
      <c r="HL453" s="542"/>
      <c r="HM453" s="542"/>
      <c r="HN453" s="542"/>
      <c r="HO453" s="542"/>
      <c r="HP453" s="542"/>
      <c r="HQ453" s="542"/>
      <c r="HR453" s="542"/>
      <c r="HS453" s="542"/>
      <c r="HT453" s="542"/>
      <c r="HU453" s="542"/>
      <c r="HV453" s="542"/>
      <c r="HW453" s="542"/>
      <c r="HX453" s="542"/>
      <c r="HY453" s="542"/>
      <c r="HZ453" s="542"/>
      <c r="IA453" s="542"/>
      <c r="IB453" s="542"/>
      <c r="IC453" s="542"/>
      <c r="ID453" s="542"/>
      <c r="IE453" s="542"/>
      <c r="IF453" s="542"/>
      <c r="IG453" s="542"/>
      <c r="IH453" s="542"/>
      <c r="II453" s="542"/>
      <c r="IJ453" s="542"/>
      <c r="IK453" s="542"/>
      <c r="IL453" s="542"/>
      <c r="IM453" s="542"/>
      <c r="IN453" s="542"/>
      <c r="IO453" s="542"/>
      <c r="IP453" s="542"/>
      <c r="IQ453" s="542"/>
      <c r="IR453" s="542"/>
      <c r="IS453" s="542"/>
      <c r="IT453" s="542"/>
      <c r="IU453" s="542"/>
      <c r="IV453" s="542"/>
      <c r="IW453" s="542"/>
      <c r="IX453" s="542"/>
      <c r="IY453" s="542"/>
      <c r="IZ453" s="542"/>
      <c r="JA453" s="542"/>
      <c r="JB453" s="542"/>
    </row>
    <row r="454" spans="104:262" ht="18.899999999999999" customHeight="1">
      <c r="CZ454" s="542"/>
      <c r="DA454" s="542"/>
      <c r="DB454" s="542"/>
      <c r="DC454" s="542"/>
      <c r="DD454" s="542"/>
      <c r="DE454" s="542"/>
      <c r="DF454" s="542"/>
      <c r="DG454" s="542"/>
      <c r="DH454" s="542"/>
      <c r="DI454" s="542"/>
      <c r="DJ454" s="542"/>
      <c r="DK454" s="542"/>
      <c r="DL454" s="542"/>
      <c r="DM454" s="542"/>
      <c r="DN454" s="542"/>
      <c r="DO454" s="542"/>
      <c r="DP454" s="542"/>
      <c r="DQ454" s="542"/>
      <c r="DR454" s="542"/>
      <c r="DS454" s="542"/>
      <c r="DT454" s="542"/>
      <c r="DU454" s="542"/>
      <c r="DV454" s="542"/>
      <c r="DW454" s="542"/>
      <c r="DX454" s="542"/>
      <c r="DY454" s="542"/>
      <c r="DZ454" s="542"/>
      <c r="EA454" s="542"/>
      <c r="EB454" s="542"/>
      <c r="EC454" s="542"/>
      <c r="ED454" s="542"/>
      <c r="EE454" s="542"/>
      <c r="EF454" s="542"/>
      <c r="EG454" s="542"/>
      <c r="EH454" s="542"/>
      <c r="EI454" s="542"/>
      <c r="EJ454" s="542"/>
      <c r="EK454" s="542"/>
      <c r="EL454" s="542"/>
      <c r="EM454" s="542"/>
      <c r="EN454" s="542"/>
      <c r="EO454" s="542"/>
      <c r="EP454" s="542"/>
      <c r="EQ454" s="542"/>
      <c r="ER454" s="542"/>
      <c r="ES454" s="542"/>
      <c r="ET454" s="542"/>
      <c r="EU454" s="542"/>
      <c r="EV454" s="542"/>
      <c r="EW454" s="542"/>
      <c r="EX454" s="542"/>
      <c r="EY454" s="542"/>
      <c r="EZ454" s="542"/>
      <c r="FA454" s="542"/>
      <c r="FB454" s="542"/>
      <c r="FC454" s="542"/>
      <c r="FD454" s="542"/>
      <c r="FE454" s="542"/>
      <c r="FF454" s="542"/>
      <c r="FG454" s="542"/>
      <c r="FH454" s="542"/>
      <c r="FI454" s="542"/>
      <c r="FJ454" s="542"/>
      <c r="FK454" s="542"/>
      <c r="FL454" s="542"/>
      <c r="FM454" s="542"/>
      <c r="FN454" s="542"/>
      <c r="FO454" s="542"/>
      <c r="FP454" s="542"/>
      <c r="FQ454" s="542"/>
      <c r="FR454" s="542"/>
      <c r="FS454" s="542"/>
      <c r="FT454" s="542"/>
      <c r="FU454" s="542"/>
      <c r="FV454" s="542"/>
      <c r="FW454" s="542"/>
      <c r="FX454" s="542"/>
      <c r="FY454" s="542"/>
      <c r="FZ454" s="542"/>
      <c r="GA454" s="542"/>
      <c r="GB454" s="542"/>
      <c r="GC454" s="542"/>
      <c r="GD454" s="542"/>
      <c r="GE454" s="542"/>
      <c r="GF454" s="542"/>
      <c r="GG454" s="542"/>
      <c r="GH454" s="542"/>
      <c r="GI454" s="542"/>
      <c r="GJ454" s="542"/>
      <c r="GK454" s="542"/>
      <c r="GL454" s="542"/>
      <c r="GM454" s="542"/>
      <c r="GN454" s="542"/>
      <c r="GO454" s="542"/>
      <c r="GP454" s="542"/>
      <c r="GQ454" s="542"/>
      <c r="GR454" s="542"/>
      <c r="GS454" s="542"/>
      <c r="GT454" s="542"/>
      <c r="GU454" s="542"/>
      <c r="GV454" s="542"/>
      <c r="GW454" s="542"/>
      <c r="GX454" s="542"/>
      <c r="GY454" s="542"/>
      <c r="GZ454" s="542"/>
      <c r="HA454" s="542"/>
      <c r="HB454" s="542"/>
      <c r="HC454" s="542"/>
      <c r="HD454" s="542"/>
      <c r="HE454" s="542"/>
      <c r="HF454" s="542"/>
      <c r="HG454" s="542"/>
      <c r="HH454" s="542"/>
      <c r="HI454" s="542"/>
      <c r="HJ454" s="542"/>
      <c r="HK454" s="542"/>
      <c r="HL454" s="542"/>
      <c r="HM454" s="542"/>
      <c r="HN454" s="542"/>
      <c r="HO454" s="542"/>
      <c r="HP454" s="542"/>
      <c r="HQ454" s="542"/>
      <c r="HR454" s="542"/>
      <c r="HS454" s="542"/>
      <c r="HT454" s="542"/>
      <c r="HU454" s="542"/>
      <c r="HV454" s="542"/>
      <c r="HW454" s="542"/>
      <c r="HX454" s="542"/>
      <c r="HY454" s="542"/>
      <c r="HZ454" s="542"/>
      <c r="IA454" s="542"/>
      <c r="IB454" s="542"/>
      <c r="IC454" s="542"/>
      <c r="ID454" s="542"/>
      <c r="IE454" s="542"/>
      <c r="IF454" s="542"/>
      <c r="IG454" s="542"/>
      <c r="IH454" s="542"/>
      <c r="II454" s="542"/>
      <c r="IJ454" s="542"/>
      <c r="IK454" s="542"/>
      <c r="IL454" s="542"/>
      <c r="IM454" s="542"/>
      <c r="IN454" s="542"/>
      <c r="IO454" s="542"/>
      <c r="IP454" s="542"/>
      <c r="IQ454" s="542"/>
      <c r="IR454" s="542"/>
      <c r="IS454" s="542"/>
      <c r="IT454" s="542"/>
      <c r="IU454" s="542"/>
      <c r="IV454" s="542"/>
      <c r="IW454" s="542"/>
      <c r="IX454" s="542"/>
      <c r="IY454" s="542"/>
      <c r="IZ454" s="542"/>
      <c r="JA454" s="542"/>
      <c r="JB454" s="542"/>
    </row>
    <row r="455" spans="104:262" ht="18.899999999999999" customHeight="1">
      <c r="CZ455" s="542"/>
      <c r="DA455" s="542"/>
      <c r="DB455" s="542"/>
      <c r="DC455" s="542"/>
      <c r="DD455" s="542"/>
      <c r="DE455" s="542"/>
      <c r="DF455" s="542"/>
      <c r="DG455" s="542"/>
      <c r="DH455" s="542"/>
      <c r="DI455" s="542"/>
      <c r="DJ455" s="542"/>
      <c r="DK455" s="542"/>
      <c r="DL455" s="542"/>
      <c r="DM455" s="542"/>
      <c r="DN455" s="542"/>
      <c r="DO455" s="542"/>
      <c r="DP455" s="542"/>
      <c r="DQ455" s="542"/>
      <c r="DR455" s="542"/>
      <c r="DS455" s="542"/>
      <c r="DT455" s="542"/>
      <c r="DU455" s="542"/>
      <c r="DV455" s="542"/>
      <c r="DW455" s="542"/>
      <c r="DX455" s="542"/>
      <c r="DY455" s="542"/>
      <c r="DZ455" s="542"/>
      <c r="EA455" s="542"/>
      <c r="EB455" s="542"/>
      <c r="EC455" s="542"/>
      <c r="ED455" s="542"/>
      <c r="EE455" s="542"/>
      <c r="EF455" s="542"/>
      <c r="EG455" s="542"/>
      <c r="EH455" s="542"/>
      <c r="EI455" s="542"/>
      <c r="EJ455" s="542"/>
      <c r="EK455" s="542"/>
      <c r="EL455" s="542"/>
      <c r="EM455" s="542"/>
      <c r="EN455" s="542"/>
      <c r="EO455" s="542"/>
      <c r="EP455" s="542"/>
      <c r="EQ455" s="542"/>
      <c r="ER455" s="542"/>
      <c r="ES455" s="542"/>
      <c r="ET455" s="542"/>
      <c r="EU455" s="542"/>
      <c r="EV455" s="542"/>
      <c r="EW455" s="542"/>
      <c r="EX455" s="542"/>
      <c r="EY455" s="542"/>
      <c r="EZ455" s="542"/>
      <c r="FA455" s="542"/>
      <c r="FB455" s="542"/>
      <c r="FC455" s="542"/>
      <c r="FD455" s="542"/>
      <c r="FE455" s="542"/>
      <c r="FF455" s="542"/>
      <c r="FG455" s="542"/>
      <c r="FH455" s="542"/>
      <c r="FI455" s="542"/>
      <c r="FJ455" s="542"/>
      <c r="FK455" s="542"/>
      <c r="FL455" s="542"/>
      <c r="FM455" s="542"/>
      <c r="FN455" s="542"/>
      <c r="FO455" s="542"/>
      <c r="FP455" s="542"/>
      <c r="FQ455" s="542"/>
      <c r="FR455" s="542"/>
      <c r="FS455" s="542"/>
      <c r="FT455" s="542"/>
      <c r="FU455" s="542"/>
      <c r="FV455" s="542"/>
      <c r="FW455" s="542"/>
      <c r="FX455" s="542"/>
      <c r="FY455" s="542"/>
      <c r="FZ455" s="542"/>
      <c r="GA455" s="542"/>
      <c r="GB455" s="542"/>
      <c r="GC455" s="542"/>
      <c r="GD455" s="542"/>
      <c r="GE455" s="542"/>
      <c r="GF455" s="542"/>
      <c r="GG455" s="542"/>
      <c r="GH455" s="542"/>
      <c r="GI455" s="542"/>
      <c r="GJ455" s="542"/>
      <c r="GK455" s="542"/>
      <c r="GL455" s="542"/>
      <c r="GM455" s="542"/>
      <c r="GN455" s="542"/>
      <c r="GO455" s="542"/>
      <c r="GP455" s="542"/>
      <c r="GQ455" s="542"/>
      <c r="GR455" s="542"/>
      <c r="GS455" s="542"/>
      <c r="GT455" s="542"/>
      <c r="GU455" s="542"/>
      <c r="GV455" s="542"/>
      <c r="GW455" s="542"/>
      <c r="GX455" s="542"/>
      <c r="GY455" s="542"/>
      <c r="GZ455" s="542"/>
      <c r="HA455" s="542"/>
      <c r="HB455" s="542"/>
      <c r="HC455" s="542"/>
      <c r="HD455" s="542"/>
      <c r="HE455" s="542"/>
      <c r="HF455" s="542"/>
      <c r="HG455" s="542"/>
      <c r="HH455" s="542"/>
      <c r="HI455" s="542"/>
      <c r="HJ455" s="542"/>
      <c r="HK455" s="542"/>
      <c r="HL455" s="542"/>
      <c r="HM455" s="542"/>
      <c r="HN455" s="542"/>
      <c r="HO455" s="542"/>
      <c r="HP455" s="542"/>
      <c r="HQ455" s="542"/>
      <c r="HR455" s="542"/>
      <c r="HS455" s="542"/>
      <c r="HT455" s="542"/>
      <c r="HU455" s="542"/>
      <c r="HV455" s="542"/>
      <c r="HW455" s="542"/>
      <c r="HX455" s="542"/>
      <c r="HY455" s="542"/>
      <c r="HZ455" s="542"/>
      <c r="IA455" s="542"/>
      <c r="IB455" s="542"/>
      <c r="IC455" s="542"/>
      <c r="ID455" s="542"/>
      <c r="IE455" s="542"/>
      <c r="IF455" s="542"/>
      <c r="IG455" s="542"/>
      <c r="IH455" s="542"/>
      <c r="II455" s="542"/>
      <c r="IJ455" s="542"/>
      <c r="IK455" s="542"/>
      <c r="IL455" s="542"/>
      <c r="IM455" s="542"/>
      <c r="IN455" s="542"/>
      <c r="IO455" s="542"/>
      <c r="IP455" s="542"/>
      <c r="IQ455" s="542"/>
      <c r="IR455" s="542"/>
      <c r="IS455" s="542"/>
      <c r="IT455" s="542"/>
      <c r="IU455" s="542"/>
      <c r="IV455" s="542"/>
      <c r="IW455" s="542"/>
      <c r="IX455" s="542"/>
      <c r="IY455" s="542"/>
      <c r="IZ455" s="542"/>
      <c r="JA455" s="542"/>
      <c r="JB455" s="542"/>
    </row>
    <row r="456" spans="104:262" ht="18.899999999999999" customHeight="1">
      <c r="CZ456" s="542"/>
      <c r="DA456" s="542"/>
      <c r="DB456" s="542"/>
      <c r="DC456" s="542"/>
      <c r="DD456" s="542"/>
      <c r="DE456" s="542"/>
      <c r="DF456" s="542"/>
      <c r="DG456" s="542"/>
      <c r="DH456" s="542"/>
      <c r="DI456" s="542"/>
      <c r="DJ456" s="542"/>
      <c r="DK456" s="542"/>
      <c r="DL456" s="542"/>
      <c r="DM456" s="542"/>
      <c r="DN456" s="542"/>
      <c r="DO456" s="542"/>
      <c r="DP456" s="542"/>
      <c r="DQ456" s="542"/>
      <c r="DR456" s="542"/>
      <c r="DS456" s="542"/>
      <c r="DT456" s="542"/>
      <c r="DU456" s="542"/>
      <c r="DV456" s="542"/>
      <c r="DW456" s="542"/>
      <c r="DX456" s="542"/>
      <c r="DY456" s="542"/>
      <c r="DZ456" s="542"/>
      <c r="EA456" s="542"/>
      <c r="EB456" s="542"/>
      <c r="EC456" s="542"/>
      <c r="ED456" s="542"/>
      <c r="EE456" s="542"/>
      <c r="EF456" s="542"/>
      <c r="EG456" s="542"/>
      <c r="EH456" s="542"/>
      <c r="EI456" s="542"/>
      <c r="EJ456" s="542"/>
      <c r="EK456" s="542"/>
      <c r="EL456" s="542"/>
      <c r="EM456" s="542"/>
      <c r="EN456" s="542"/>
      <c r="EO456" s="542"/>
      <c r="EP456" s="542"/>
      <c r="EQ456" s="542"/>
      <c r="ER456" s="542"/>
      <c r="ES456" s="542"/>
      <c r="ET456" s="542"/>
      <c r="EU456" s="542"/>
      <c r="EV456" s="542"/>
      <c r="EW456" s="542"/>
      <c r="EX456" s="542"/>
      <c r="EY456" s="542"/>
      <c r="EZ456" s="542"/>
      <c r="FA456" s="542"/>
      <c r="FB456" s="542"/>
      <c r="FC456" s="542"/>
      <c r="FD456" s="542"/>
      <c r="FE456" s="542"/>
      <c r="FF456" s="542"/>
      <c r="FG456" s="542"/>
      <c r="FH456" s="542"/>
      <c r="FI456" s="542"/>
      <c r="FJ456" s="542"/>
      <c r="FK456" s="542"/>
      <c r="FL456" s="542"/>
      <c r="FM456" s="542"/>
      <c r="FN456" s="542"/>
      <c r="FO456" s="542"/>
      <c r="FP456" s="542"/>
      <c r="FQ456" s="542"/>
      <c r="FR456" s="542"/>
      <c r="FS456" s="542"/>
      <c r="FT456" s="542"/>
      <c r="FU456" s="542"/>
      <c r="FV456" s="542"/>
      <c r="FW456" s="542"/>
      <c r="FX456" s="542"/>
      <c r="FY456" s="542"/>
      <c r="FZ456" s="542"/>
      <c r="GA456" s="542"/>
      <c r="GB456" s="542"/>
      <c r="GC456" s="542"/>
      <c r="GD456" s="542"/>
      <c r="GE456" s="542"/>
      <c r="GF456" s="542"/>
      <c r="GG456" s="542"/>
      <c r="GH456" s="542"/>
      <c r="GI456" s="542"/>
      <c r="GJ456" s="542"/>
      <c r="GK456" s="542"/>
      <c r="GL456" s="542"/>
      <c r="GM456" s="542"/>
      <c r="GN456" s="542"/>
      <c r="GO456" s="542"/>
      <c r="GP456" s="542"/>
      <c r="GQ456" s="542"/>
      <c r="GR456" s="542"/>
      <c r="GS456" s="542"/>
      <c r="GT456" s="542"/>
      <c r="GU456" s="542"/>
      <c r="GV456" s="542"/>
      <c r="GW456" s="542"/>
      <c r="GX456" s="542"/>
      <c r="GY456" s="542"/>
      <c r="GZ456" s="542"/>
      <c r="HA456" s="542"/>
      <c r="HB456" s="542"/>
      <c r="HC456" s="542"/>
      <c r="HD456" s="542"/>
      <c r="HE456" s="542"/>
      <c r="HF456" s="542"/>
      <c r="HG456" s="542"/>
      <c r="HH456" s="542"/>
      <c r="HI456" s="542"/>
      <c r="HJ456" s="542"/>
      <c r="HK456" s="542"/>
      <c r="HL456" s="542"/>
      <c r="HM456" s="542"/>
      <c r="HN456" s="542"/>
      <c r="HO456" s="542"/>
      <c r="HP456" s="542"/>
      <c r="HQ456" s="542"/>
      <c r="HR456" s="542"/>
      <c r="HS456" s="542"/>
      <c r="HT456" s="542"/>
      <c r="HU456" s="542"/>
      <c r="HV456" s="542"/>
      <c r="HW456" s="542"/>
      <c r="HX456" s="542"/>
      <c r="HY456" s="542"/>
      <c r="HZ456" s="542"/>
      <c r="IA456" s="542"/>
      <c r="IB456" s="542"/>
      <c r="IC456" s="542"/>
      <c r="ID456" s="542"/>
      <c r="IE456" s="542"/>
      <c r="IF456" s="542"/>
      <c r="IG456" s="542"/>
      <c r="IH456" s="542"/>
      <c r="II456" s="542"/>
      <c r="IJ456" s="542"/>
      <c r="IK456" s="542"/>
      <c r="IL456" s="542"/>
      <c r="IM456" s="542"/>
      <c r="IN456" s="542"/>
      <c r="IO456" s="542"/>
      <c r="IP456" s="542"/>
      <c r="IQ456" s="542"/>
      <c r="IR456" s="542"/>
      <c r="IS456" s="542"/>
      <c r="IT456" s="542"/>
      <c r="IU456" s="542"/>
      <c r="IV456" s="542"/>
      <c r="IW456" s="542"/>
      <c r="IX456" s="542"/>
      <c r="IY456" s="542"/>
      <c r="IZ456" s="542"/>
      <c r="JA456" s="542"/>
      <c r="JB456" s="542"/>
    </row>
    <row r="457" spans="104:262" ht="18.899999999999999" customHeight="1">
      <c r="CZ457" s="542"/>
      <c r="DA457" s="542"/>
      <c r="DB457" s="542"/>
      <c r="DC457" s="542"/>
      <c r="DD457" s="542"/>
      <c r="DE457" s="542"/>
      <c r="DF457" s="542"/>
      <c r="DG457" s="542"/>
      <c r="DH457" s="542"/>
      <c r="DI457" s="542"/>
      <c r="DJ457" s="542"/>
      <c r="DK457" s="542"/>
      <c r="DL457" s="542"/>
      <c r="DM457" s="542"/>
      <c r="DN457" s="542"/>
      <c r="DO457" s="542"/>
      <c r="DP457" s="542"/>
      <c r="DQ457" s="542"/>
      <c r="DR457" s="542"/>
      <c r="DS457" s="542"/>
      <c r="DT457" s="542"/>
      <c r="DU457" s="542"/>
      <c r="DV457" s="542"/>
      <c r="DW457" s="542"/>
      <c r="DX457" s="542"/>
      <c r="DY457" s="542"/>
      <c r="DZ457" s="542"/>
      <c r="EA457" s="542"/>
      <c r="EB457" s="542"/>
      <c r="EC457" s="542"/>
      <c r="ED457" s="542"/>
      <c r="EE457" s="542"/>
      <c r="EF457" s="542"/>
      <c r="EG457" s="542"/>
      <c r="EH457" s="542"/>
      <c r="EI457" s="542"/>
      <c r="EJ457" s="542"/>
      <c r="EK457" s="542"/>
      <c r="EL457" s="542"/>
      <c r="EM457" s="542"/>
      <c r="EN457" s="542"/>
      <c r="EO457" s="542"/>
      <c r="EP457" s="542"/>
      <c r="EQ457" s="542"/>
      <c r="ER457" s="542"/>
      <c r="ES457" s="542"/>
      <c r="ET457" s="542"/>
      <c r="EU457" s="542"/>
      <c r="EV457" s="542"/>
      <c r="EW457" s="542"/>
      <c r="EX457" s="542"/>
      <c r="EY457" s="542"/>
      <c r="EZ457" s="542"/>
      <c r="FA457" s="542"/>
      <c r="FB457" s="542"/>
      <c r="FC457" s="542"/>
      <c r="FD457" s="542"/>
      <c r="FE457" s="542"/>
      <c r="FF457" s="542"/>
      <c r="FG457" s="542"/>
      <c r="FH457" s="542"/>
      <c r="FI457" s="542"/>
      <c r="FJ457" s="542"/>
      <c r="FK457" s="542"/>
      <c r="FL457" s="542"/>
      <c r="FM457" s="542"/>
      <c r="FN457" s="542"/>
      <c r="FO457" s="542"/>
      <c r="FP457" s="542"/>
      <c r="FQ457" s="542"/>
      <c r="FR457" s="542"/>
      <c r="FS457" s="542"/>
      <c r="FT457" s="542"/>
      <c r="FU457" s="542"/>
      <c r="FV457" s="542"/>
      <c r="FW457" s="542"/>
      <c r="FX457" s="542"/>
      <c r="FY457" s="542"/>
      <c r="FZ457" s="542"/>
      <c r="GA457" s="542"/>
      <c r="GB457" s="542"/>
      <c r="GC457" s="542"/>
      <c r="GD457" s="542"/>
      <c r="GE457" s="542"/>
      <c r="GF457" s="542"/>
      <c r="GG457" s="542"/>
      <c r="GH457" s="542"/>
      <c r="GI457" s="542"/>
      <c r="GJ457" s="542"/>
      <c r="GK457" s="542"/>
      <c r="GL457" s="542"/>
      <c r="GM457" s="542"/>
      <c r="GN457" s="542"/>
      <c r="GO457" s="542"/>
      <c r="GP457" s="542"/>
      <c r="GQ457" s="542"/>
      <c r="GR457" s="542"/>
      <c r="GS457" s="542"/>
      <c r="GT457" s="542"/>
      <c r="GU457" s="542"/>
      <c r="GV457" s="542"/>
      <c r="GW457" s="542"/>
      <c r="GX457" s="542"/>
      <c r="GY457" s="542"/>
      <c r="GZ457" s="542"/>
      <c r="HA457" s="542"/>
      <c r="HB457" s="542"/>
      <c r="HC457" s="542"/>
      <c r="HD457" s="542"/>
      <c r="HE457" s="542"/>
      <c r="HF457" s="542"/>
      <c r="HG457" s="542"/>
      <c r="HH457" s="542"/>
      <c r="HI457" s="542"/>
      <c r="HJ457" s="542"/>
      <c r="HK457" s="542"/>
      <c r="HL457" s="542"/>
      <c r="HM457" s="542"/>
      <c r="HN457" s="542"/>
      <c r="HO457" s="542"/>
      <c r="HP457" s="542"/>
      <c r="HQ457" s="542"/>
      <c r="HR457" s="542"/>
      <c r="HS457" s="542"/>
      <c r="HT457" s="542"/>
      <c r="HU457" s="542"/>
      <c r="HV457" s="542"/>
      <c r="HW457" s="542"/>
      <c r="HX457" s="542"/>
      <c r="HY457" s="542"/>
      <c r="HZ457" s="542"/>
      <c r="IA457" s="542"/>
      <c r="IB457" s="542"/>
      <c r="IC457" s="542"/>
      <c r="ID457" s="542"/>
      <c r="IE457" s="542"/>
      <c r="IF457" s="542"/>
      <c r="IG457" s="542"/>
      <c r="IH457" s="542"/>
      <c r="II457" s="542"/>
      <c r="IJ457" s="542"/>
      <c r="IK457" s="542"/>
      <c r="IL457" s="542"/>
      <c r="IM457" s="542"/>
      <c r="IN457" s="542"/>
      <c r="IO457" s="542"/>
      <c r="IP457" s="542"/>
      <c r="IQ457" s="542"/>
      <c r="IR457" s="542"/>
      <c r="IS457" s="542"/>
      <c r="IT457" s="542"/>
      <c r="IU457" s="542"/>
      <c r="IV457" s="542"/>
      <c r="IW457" s="542"/>
      <c r="IX457" s="542"/>
      <c r="IY457" s="542"/>
      <c r="IZ457" s="542"/>
      <c r="JA457" s="542"/>
      <c r="JB457" s="542"/>
    </row>
    <row r="458" spans="104:262" ht="18.899999999999999" customHeight="1">
      <c r="CZ458" s="542"/>
      <c r="DA458" s="542"/>
      <c r="DB458" s="542"/>
      <c r="DC458" s="542"/>
      <c r="DD458" s="542"/>
      <c r="DE458" s="542"/>
      <c r="DF458" s="542"/>
      <c r="DG458" s="542"/>
      <c r="DH458" s="542"/>
      <c r="DI458" s="542"/>
      <c r="DJ458" s="542"/>
      <c r="DK458" s="542"/>
      <c r="DL458" s="542"/>
      <c r="DM458" s="542"/>
      <c r="DN458" s="542"/>
      <c r="DO458" s="542"/>
      <c r="DP458" s="542"/>
      <c r="DQ458" s="542"/>
      <c r="DR458" s="542"/>
      <c r="DS458" s="542"/>
      <c r="DT458" s="542"/>
      <c r="DU458" s="542"/>
      <c r="DV458" s="542"/>
      <c r="DW458" s="542"/>
      <c r="DX458" s="542"/>
      <c r="DY458" s="542"/>
      <c r="DZ458" s="542"/>
      <c r="EA458" s="542"/>
      <c r="EB458" s="542"/>
      <c r="EC458" s="542"/>
      <c r="ED458" s="542"/>
      <c r="EE458" s="542"/>
      <c r="EF458" s="542"/>
      <c r="EG458" s="542"/>
      <c r="EH458" s="542"/>
      <c r="EI458" s="542"/>
      <c r="EJ458" s="542"/>
      <c r="EK458" s="542"/>
      <c r="EL458" s="542"/>
      <c r="EM458" s="542"/>
      <c r="EN458" s="542"/>
      <c r="EO458" s="542"/>
      <c r="EP458" s="542"/>
      <c r="EQ458" s="542"/>
      <c r="ER458" s="542"/>
      <c r="ES458" s="542"/>
      <c r="ET458" s="542"/>
      <c r="EU458" s="542"/>
      <c r="EV458" s="542"/>
      <c r="EW458" s="542"/>
      <c r="EX458" s="542"/>
      <c r="EY458" s="542"/>
      <c r="EZ458" s="542"/>
      <c r="FA458" s="542"/>
      <c r="FB458" s="542"/>
      <c r="FC458" s="542"/>
      <c r="FD458" s="542"/>
      <c r="FE458" s="542"/>
      <c r="FF458" s="542"/>
      <c r="FG458" s="542"/>
      <c r="FH458" s="542"/>
      <c r="FI458" s="542"/>
      <c r="FJ458" s="542"/>
      <c r="FK458" s="542"/>
      <c r="FL458" s="542"/>
      <c r="FM458" s="542"/>
      <c r="FN458" s="542"/>
      <c r="FO458" s="542"/>
      <c r="FP458" s="542"/>
      <c r="FQ458" s="542"/>
      <c r="FR458" s="542"/>
      <c r="FS458" s="542"/>
      <c r="FT458" s="542"/>
      <c r="FU458" s="542"/>
      <c r="FV458" s="542"/>
      <c r="FW458" s="542"/>
      <c r="FX458" s="542"/>
      <c r="FY458" s="542"/>
      <c r="FZ458" s="542"/>
      <c r="GA458" s="542"/>
      <c r="GB458" s="542"/>
      <c r="GC458" s="542"/>
      <c r="GD458" s="542"/>
      <c r="GE458" s="542"/>
      <c r="GF458" s="542"/>
      <c r="GG458" s="542"/>
      <c r="GH458" s="542"/>
      <c r="GI458" s="542"/>
      <c r="GJ458" s="542"/>
      <c r="GK458" s="542"/>
      <c r="GL458" s="542"/>
      <c r="GM458" s="542"/>
      <c r="GN458" s="542"/>
      <c r="GO458" s="542"/>
      <c r="GP458" s="542"/>
      <c r="GQ458" s="542"/>
      <c r="GR458" s="542"/>
      <c r="GS458" s="542"/>
      <c r="GT458" s="542"/>
      <c r="GU458" s="542"/>
      <c r="GV458" s="542"/>
      <c r="GW458" s="542"/>
      <c r="GX458" s="542"/>
      <c r="GY458" s="542"/>
      <c r="GZ458" s="542"/>
      <c r="HA458" s="542"/>
      <c r="HB458" s="542"/>
      <c r="HC458" s="542"/>
      <c r="HD458" s="542"/>
      <c r="HE458" s="542"/>
      <c r="HF458" s="542"/>
      <c r="HG458" s="542"/>
      <c r="HH458" s="542"/>
      <c r="HI458" s="542"/>
      <c r="HJ458" s="542"/>
      <c r="HK458" s="542"/>
      <c r="HL458" s="542"/>
      <c r="HM458" s="542"/>
      <c r="HN458" s="542"/>
      <c r="HO458" s="542"/>
      <c r="HP458" s="542"/>
      <c r="HQ458" s="542"/>
      <c r="HR458" s="542"/>
      <c r="HS458" s="542"/>
      <c r="HT458" s="542"/>
      <c r="HU458" s="542"/>
      <c r="HV458" s="542"/>
      <c r="HW458" s="542"/>
      <c r="HX458" s="542"/>
      <c r="HY458" s="542"/>
      <c r="HZ458" s="542"/>
      <c r="IA458" s="542"/>
      <c r="IB458" s="542"/>
      <c r="IC458" s="542"/>
      <c r="ID458" s="542"/>
      <c r="IE458" s="542"/>
      <c r="IF458" s="542"/>
      <c r="IG458" s="542"/>
      <c r="IH458" s="542"/>
      <c r="II458" s="542"/>
      <c r="IJ458" s="542"/>
      <c r="IK458" s="542"/>
      <c r="IL458" s="542"/>
      <c r="IM458" s="542"/>
      <c r="IN458" s="542"/>
      <c r="IO458" s="542"/>
      <c r="IP458" s="542"/>
      <c r="IQ458" s="542"/>
      <c r="IR458" s="542"/>
      <c r="IS458" s="542"/>
      <c r="IT458" s="542"/>
      <c r="IU458" s="542"/>
      <c r="IV458" s="542"/>
      <c r="IW458" s="542"/>
      <c r="IX458" s="542"/>
      <c r="IY458" s="542"/>
      <c r="IZ458" s="542"/>
      <c r="JA458" s="542"/>
      <c r="JB458" s="542"/>
    </row>
    <row r="459" spans="104:262" ht="18.899999999999999" customHeight="1">
      <c r="CZ459" s="542"/>
      <c r="DA459" s="542"/>
      <c r="DB459" s="542"/>
      <c r="DC459" s="542"/>
      <c r="DD459" s="542"/>
      <c r="DE459" s="542"/>
      <c r="DF459" s="542"/>
      <c r="DG459" s="542"/>
      <c r="DH459" s="542"/>
      <c r="DI459" s="542"/>
      <c r="DJ459" s="542"/>
      <c r="DK459" s="542"/>
      <c r="DL459" s="542"/>
      <c r="DM459" s="542"/>
      <c r="DN459" s="542"/>
      <c r="DO459" s="542"/>
      <c r="DP459" s="542"/>
      <c r="DQ459" s="542"/>
      <c r="DR459" s="542"/>
      <c r="DS459" s="542"/>
      <c r="DT459" s="542"/>
      <c r="DU459" s="542"/>
      <c r="DV459" s="542"/>
      <c r="DW459" s="542"/>
      <c r="DX459" s="542"/>
      <c r="DY459" s="542"/>
      <c r="DZ459" s="542"/>
      <c r="EA459" s="542"/>
      <c r="EB459" s="542"/>
      <c r="EC459" s="542"/>
      <c r="ED459" s="542"/>
      <c r="EE459" s="542"/>
      <c r="EF459" s="542"/>
      <c r="EG459" s="542"/>
      <c r="EH459" s="542"/>
      <c r="EI459" s="542"/>
      <c r="EJ459" s="542"/>
      <c r="EK459" s="542"/>
      <c r="EL459" s="542"/>
      <c r="EM459" s="542"/>
      <c r="EN459" s="542"/>
      <c r="EO459" s="542"/>
      <c r="EP459" s="542"/>
      <c r="EQ459" s="542"/>
      <c r="ER459" s="542"/>
      <c r="ES459" s="542"/>
      <c r="ET459" s="542"/>
      <c r="EU459" s="542"/>
      <c r="EV459" s="542"/>
      <c r="EW459" s="542"/>
      <c r="EX459" s="542"/>
      <c r="EY459" s="542"/>
      <c r="EZ459" s="542"/>
      <c r="FA459" s="542"/>
      <c r="FB459" s="542"/>
      <c r="FC459" s="542"/>
      <c r="FD459" s="542"/>
      <c r="FE459" s="542"/>
      <c r="FF459" s="542"/>
      <c r="FG459" s="542"/>
      <c r="FH459" s="542"/>
      <c r="FI459" s="542"/>
      <c r="FJ459" s="542"/>
      <c r="FK459" s="542"/>
      <c r="FL459" s="542"/>
      <c r="FM459" s="542"/>
      <c r="FN459" s="542"/>
      <c r="FO459" s="542"/>
      <c r="FP459" s="542"/>
      <c r="FQ459" s="542"/>
      <c r="FR459" s="542"/>
      <c r="FS459" s="542"/>
      <c r="FT459" s="542"/>
      <c r="FU459" s="542"/>
      <c r="FV459" s="542"/>
      <c r="FW459" s="542"/>
      <c r="FX459" s="542"/>
      <c r="FY459" s="542"/>
      <c r="FZ459" s="542"/>
      <c r="GA459" s="542"/>
      <c r="GB459" s="542"/>
      <c r="GC459" s="542"/>
      <c r="GD459" s="542"/>
      <c r="GE459" s="542"/>
      <c r="GF459" s="542"/>
      <c r="GG459" s="542"/>
      <c r="GH459" s="542"/>
      <c r="GI459" s="542"/>
      <c r="GJ459" s="542"/>
      <c r="GK459" s="542"/>
      <c r="GL459" s="542"/>
      <c r="GM459" s="542"/>
      <c r="GN459" s="542"/>
      <c r="GO459" s="542"/>
      <c r="GP459" s="542"/>
      <c r="GQ459" s="542"/>
      <c r="GR459" s="542"/>
      <c r="GS459" s="542"/>
      <c r="GT459" s="542"/>
      <c r="GU459" s="542"/>
      <c r="GV459" s="542"/>
      <c r="GW459" s="542"/>
      <c r="GX459" s="542"/>
      <c r="GY459" s="542"/>
      <c r="GZ459" s="542"/>
      <c r="HA459" s="542"/>
      <c r="HB459" s="542"/>
      <c r="HC459" s="542"/>
      <c r="HD459" s="542"/>
      <c r="HE459" s="542"/>
      <c r="HF459" s="542"/>
      <c r="HG459" s="542"/>
      <c r="HH459" s="542"/>
      <c r="HI459" s="542"/>
      <c r="HJ459" s="542"/>
      <c r="HK459" s="542"/>
      <c r="HL459" s="542"/>
      <c r="HM459" s="542"/>
      <c r="HN459" s="542"/>
      <c r="HO459" s="542"/>
      <c r="HP459" s="542"/>
      <c r="HQ459" s="542"/>
      <c r="HR459" s="542"/>
      <c r="HS459" s="542"/>
      <c r="HT459" s="542"/>
      <c r="HU459" s="542"/>
      <c r="HV459" s="542"/>
      <c r="HW459" s="542"/>
      <c r="HX459" s="542"/>
      <c r="HY459" s="542"/>
      <c r="HZ459" s="542"/>
      <c r="IA459" s="542"/>
      <c r="IB459" s="542"/>
      <c r="IC459" s="542"/>
      <c r="ID459" s="542"/>
      <c r="IE459" s="542"/>
      <c r="IF459" s="542"/>
      <c r="IG459" s="542"/>
      <c r="IH459" s="542"/>
      <c r="II459" s="542"/>
      <c r="IJ459" s="542"/>
      <c r="IK459" s="542"/>
      <c r="IL459" s="542"/>
      <c r="IM459" s="542"/>
      <c r="IN459" s="542"/>
      <c r="IO459" s="542"/>
      <c r="IP459" s="542"/>
      <c r="IQ459" s="542"/>
      <c r="IR459" s="542"/>
      <c r="IS459" s="542"/>
      <c r="IT459" s="542"/>
      <c r="IU459" s="542"/>
      <c r="IV459" s="542"/>
      <c r="IW459" s="542"/>
      <c r="IX459" s="542"/>
      <c r="IY459" s="542"/>
      <c r="IZ459" s="542"/>
      <c r="JA459" s="542"/>
      <c r="JB459" s="542"/>
    </row>
    <row r="460" spans="104:262" ht="18.899999999999999" customHeight="1">
      <c r="CZ460" s="542"/>
      <c r="DA460" s="542"/>
      <c r="DB460" s="542"/>
      <c r="DC460" s="542"/>
      <c r="DD460" s="542"/>
      <c r="DE460" s="542"/>
      <c r="DF460" s="542"/>
      <c r="DG460" s="542"/>
      <c r="DH460" s="542"/>
      <c r="DI460" s="542"/>
      <c r="DJ460" s="542"/>
      <c r="DK460" s="542"/>
      <c r="DL460" s="542"/>
      <c r="DM460" s="542"/>
      <c r="DN460" s="542"/>
      <c r="DO460" s="542"/>
      <c r="DP460" s="542"/>
      <c r="DQ460" s="542"/>
      <c r="DR460" s="542"/>
      <c r="DS460" s="542"/>
      <c r="DT460" s="542"/>
      <c r="DU460" s="542"/>
      <c r="DV460" s="542"/>
      <c r="DW460" s="542"/>
      <c r="DX460" s="542"/>
      <c r="DY460" s="542"/>
      <c r="DZ460" s="542"/>
      <c r="EA460" s="542"/>
      <c r="EB460" s="542"/>
      <c r="EC460" s="542"/>
      <c r="ED460" s="542"/>
      <c r="EE460" s="542"/>
      <c r="EF460" s="542"/>
      <c r="EG460" s="542"/>
      <c r="EH460" s="542"/>
      <c r="EI460" s="542"/>
      <c r="EJ460" s="542"/>
      <c r="EK460" s="542"/>
      <c r="EL460" s="542"/>
      <c r="EM460" s="542"/>
      <c r="EN460" s="542"/>
      <c r="EO460" s="542"/>
      <c r="EP460" s="542"/>
      <c r="EQ460" s="542"/>
      <c r="ER460" s="542"/>
      <c r="ES460" s="542"/>
      <c r="ET460" s="542"/>
      <c r="EU460" s="542"/>
      <c r="EV460" s="542"/>
      <c r="EW460" s="542"/>
      <c r="EX460" s="542"/>
      <c r="EY460" s="542"/>
      <c r="EZ460" s="542"/>
      <c r="FA460" s="542"/>
      <c r="FB460" s="542"/>
      <c r="FC460" s="542"/>
      <c r="FD460" s="542"/>
      <c r="FE460" s="542"/>
      <c r="FF460" s="542"/>
      <c r="FG460" s="542"/>
      <c r="FH460" s="542"/>
      <c r="FI460" s="542"/>
      <c r="FJ460" s="542"/>
      <c r="FK460" s="542"/>
      <c r="FL460" s="542"/>
      <c r="FM460" s="542"/>
      <c r="FN460" s="542"/>
      <c r="FO460" s="542"/>
      <c r="FP460" s="542"/>
      <c r="FQ460" s="542"/>
      <c r="FR460" s="542"/>
      <c r="FS460" s="542"/>
      <c r="FT460" s="542"/>
      <c r="FU460" s="542"/>
      <c r="FV460" s="542"/>
      <c r="FW460" s="542"/>
      <c r="FX460" s="542"/>
      <c r="FY460" s="542"/>
      <c r="FZ460" s="542"/>
      <c r="GA460" s="542"/>
      <c r="GB460" s="542"/>
      <c r="GC460" s="542"/>
      <c r="GD460" s="542"/>
      <c r="GE460" s="542"/>
      <c r="GF460" s="542"/>
      <c r="GG460" s="542"/>
      <c r="GH460" s="542"/>
      <c r="GI460" s="542"/>
      <c r="GJ460" s="542"/>
      <c r="GK460" s="542"/>
      <c r="GL460" s="542"/>
      <c r="GM460" s="542"/>
      <c r="GN460" s="542"/>
      <c r="GO460" s="542"/>
      <c r="GP460" s="542"/>
      <c r="GQ460" s="542"/>
      <c r="GR460" s="542"/>
      <c r="GS460" s="542"/>
      <c r="GT460" s="542"/>
      <c r="GU460" s="542"/>
      <c r="GV460" s="542"/>
      <c r="GW460" s="542"/>
      <c r="GX460" s="542"/>
      <c r="GY460" s="542"/>
      <c r="GZ460" s="542"/>
      <c r="HA460" s="542"/>
      <c r="HB460" s="542"/>
      <c r="HC460" s="542"/>
      <c r="HD460" s="542"/>
      <c r="HE460" s="542"/>
      <c r="HF460" s="542"/>
      <c r="HG460" s="542"/>
      <c r="HH460" s="542"/>
      <c r="HI460" s="542"/>
      <c r="HJ460" s="542"/>
      <c r="HK460" s="542"/>
      <c r="HL460" s="542"/>
      <c r="HM460" s="542"/>
      <c r="HN460" s="542"/>
      <c r="HO460" s="542"/>
      <c r="HP460" s="542"/>
      <c r="HQ460" s="542"/>
      <c r="HR460" s="542"/>
      <c r="HS460" s="542"/>
      <c r="HT460" s="542"/>
      <c r="HU460" s="542"/>
      <c r="HV460" s="542"/>
      <c r="HW460" s="542"/>
      <c r="HX460" s="542"/>
      <c r="HY460" s="542"/>
      <c r="HZ460" s="542"/>
      <c r="IA460" s="542"/>
      <c r="IB460" s="542"/>
      <c r="IC460" s="542"/>
      <c r="ID460" s="542"/>
      <c r="IE460" s="542"/>
      <c r="IF460" s="542"/>
      <c r="IG460" s="542"/>
      <c r="IH460" s="542"/>
      <c r="II460" s="542"/>
      <c r="IJ460" s="542"/>
      <c r="IK460" s="542"/>
      <c r="IL460" s="542"/>
      <c r="IM460" s="542"/>
      <c r="IN460" s="542"/>
      <c r="IO460" s="542"/>
      <c r="IP460" s="542"/>
      <c r="IQ460" s="542"/>
      <c r="IR460" s="542"/>
      <c r="IS460" s="542"/>
      <c r="IT460" s="542"/>
      <c r="IU460" s="542"/>
      <c r="IV460" s="542"/>
      <c r="IW460" s="542"/>
      <c r="IX460" s="542"/>
      <c r="IY460" s="542"/>
      <c r="IZ460" s="542"/>
      <c r="JA460" s="542"/>
      <c r="JB460" s="542"/>
    </row>
    <row r="461" spans="104:262" ht="18.899999999999999" customHeight="1">
      <c r="CZ461" s="542"/>
      <c r="DA461" s="542"/>
      <c r="DB461" s="542"/>
      <c r="DC461" s="542"/>
      <c r="DD461" s="542"/>
      <c r="DE461" s="542"/>
      <c r="DF461" s="542"/>
      <c r="DG461" s="542"/>
      <c r="DH461" s="542"/>
      <c r="DI461" s="542"/>
      <c r="DJ461" s="542"/>
      <c r="DK461" s="542"/>
      <c r="DL461" s="542"/>
      <c r="DM461" s="542"/>
      <c r="DN461" s="542"/>
      <c r="DO461" s="542"/>
      <c r="DP461" s="542"/>
      <c r="DQ461" s="542"/>
      <c r="DR461" s="542"/>
      <c r="DS461" s="542"/>
      <c r="DT461" s="542"/>
      <c r="DU461" s="542"/>
      <c r="DV461" s="542"/>
      <c r="DW461" s="542"/>
      <c r="DX461" s="542"/>
      <c r="DY461" s="542"/>
      <c r="DZ461" s="542"/>
      <c r="EA461" s="542"/>
      <c r="EB461" s="542"/>
      <c r="EC461" s="542"/>
      <c r="ED461" s="542"/>
      <c r="EE461" s="542"/>
      <c r="EF461" s="542"/>
      <c r="EG461" s="542"/>
      <c r="EH461" s="542"/>
      <c r="EI461" s="542"/>
      <c r="EJ461" s="542"/>
      <c r="EK461" s="542"/>
      <c r="EL461" s="542"/>
      <c r="EM461" s="542"/>
      <c r="EN461" s="542"/>
      <c r="EO461" s="542"/>
      <c r="EP461" s="542"/>
      <c r="EQ461" s="542"/>
      <c r="ER461" s="542"/>
      <c r="ES461" s="542"/>
      <c r="ET461" s="542"/>
      <c r="EU461" s="542"/>
      <c r="EV461" s="542"/>
      <c r="EW461" s="542"/>
      <c r="EX461" s="542"/>
      <c r="EY461" s="542"/>
      <c r="EZ461" s="542"/>
      <c r="FA461" s="542"/>
      <c r="FB461" s="542"/>
      <c r="FC461" s="542"/>
      <c r="FD461" s="542"/>
      <c r="FE461" s="542"/>
      <c r="FF461" s="542"/>
      <c r="FG461" s="542"/>
      <c r="FH461" s="542"/>
      <c r="FI461" s="542"/>
      <c r="FJ461" s="542"/>
      <c r="FK461" s="542"/>
      <c r="FL461" s="542"/>
      <c r="FM461" s="542"/>
      <c r="FN461" s="542"/>
      <c r="FO461" s="542"/>
      <c r="FP461" s="542"/>
      <c r="FQ461" s="542"/>
      <c r="FR461" s="542"/>
      <c r="FS461" s="542"/>
      <c r="FT461" s="542"/>
      <c r="FU461" s="542"/>
      <c r="FV461" s="542"/>
      <c r="FW461" s="542"/>
      <c r="FX461" s="542"/>
      <c r="FY461" s="542"/>
      <c r="FZ461" s="542"/>
      <c r="GA461" s="542"/>
      <c r="GB461" s="542"/>
      <c r="GC461" s="542"/>
      <c r="GD461" s="542"/>
      <c r="GE461" s="542"/>
      <c r="GF461" s="542"/>
      <c r="GG461" s="542"/>
      <c r="GH461" s="542"/>
      <c r="GI461" s="542"/>
      <c r="GJ461" s="542"/>
      <c r="GK461" s="542"/>
      <c r="GL461" s="542"/>
      <c r="GM461" s="542"/>
      <c r="GN461" s="542"/>
      <c r="GO461" s="542"/>
      <c r="GP461" s="542"/>
      <c r="GQ461" s="542"/>
      <c r="GR461" s="542"/>
      <c r="GS461" s="542"/>
      <c r="GT461" s="542"/>
      <c r="GU461" s="542"/>
      <c r="GV461" s="542"/>
      <c r="GW461" s="542"/>
      <c r="GX461" s="542"/>
      <c r="GY461" s="542"/>
      <c r="GZ461" s="542"/>
      <c r="HA461" s="542"/>
      <c r="HB461" s="542"/>
      <c r="HC461" s="542"/>
      <c r="HD461" s="542"/>
      <c r="HE461" s="542"/>
      <c r="HF461" s="542"/>
      <c r="HG461" s="542"/>
      <c r="HH461" s="542"/>
      <c r="HI461" s="542"/>
      <c r="HJ461" s="542"/>
      <c r="HK461" s="542"/>
      <c r="HL461" s="542"/>
      <c r="HM461" s="542"/>
      <c r="HN461" s="542"/>
      <c r="HO461" s="542"/>
      <c r="HP461" s="542"/>
      <c r="HQ461" s="542"/>
      <c r="HR461" s="542"/>
      <c r="HS461" s="542"/>
      <c r="HT461" s="542"/>
      <c r="HU461" s="542"/>
      <c r="HV461" s="542"/>
      <c r="HW461" s="542"/>
      <c r="HX461" s="542"/>
      <c r="HY461" s="542"/>
      <c r="HZ461" s="542"/>
      <c r="IA461" s="542"/>
      <c r="IB461" s="542"/>
      <c r="IC461" s="542"/>
      <c r="ID461" s="542"/>
      <c r="IE461" s="542"/>
      <c r="IF461" s="542"/>
      <c r="IG461" s="542"/>
      <c r="IH461" s="542"/>
      <c r="II461" s="542"/>
      <c r="IJ461" s="542"/>
      <c r="IK461" s="542"/>
      <c r="IL461" s="542"/>
      <c r="IM461" s="542"/>
      <c r="IN461" s="542"/>
      <c r="IO461" s="542"/>
      <c r="IP461" s="542"/>
      <c r="IQ461" s="542"/>
      <c r="IR461" s="542"/>
      <c r="IS461" s="542"/>
      <c r="IT461" s="542"/>
      <c r="IU461" s="542"/>
      <c r="IV461" s="542"/>
      <c r="IW461" s="542"/>
      <c r="IX461" s="542"/>
      <c r="IY461" s="542"/>
      <c r="IZ461" s="542"/>
      <c r="JA461" s="542"/>
      <c r="JB461" s="542"/>
    </row>
    <row r="462" spans="104:262" ht="18.899999999999999" customHeight="1">
      <c r="CZ462" s="542"/>
      <c r="DA462" s="542"/>
      <c r="DB462" s="542"/>
      <c r="DC462" s="542"/>
      <c r="DD462" s="542"/>
      <c r="DE462" s="542"/>
      <c r="DF462" s="542"/>
      <c r="DG462" s="542"/>
      <c r="DH462" s="542"/>
      <c r="DI462" s="542"/>
      <c r="DJ462" s="542"/>
      <c r="DK462" s="542"/>
      <c r="DL462" s="542"/>
      <c r="DM462" s="542"/>
      <c r="DN462" s="542"/>
      <c r="DO462" s="542"/>
      <c r="DP462" s="542"/>
      <c r="DQ462" s="542"/>
      <c r="DR462" s="542"/>
      <c r="DS462" s="542"/>
      <c r="DT462" s="542"/>
      <c r="DU462" s="542"/>
      <c r="DV462" s="542"/>
      <c r="DW462" s="542"/>
      <c r="DX462" s="542"/>
      <c r="DY462" s="542"/>
      <c r="DZ462" s="542"/>
      <c r="EA462" s="542"/>
      <c r="EB462" s="542"/>
      <c r="EC462" s="542"/>
      <c r="ED462" s="542"/>
      <c r="EE462" s="542"/>
      <c r="EF462" s="542"/>
      <c r="EG462" s="542"/>
      <c r="EH462" s="542"/>
      <c r="EI462" s="542"/>
      <c r="EJ462" s="542"/>
      <c r="EK462" s="542"/>
      <c r="EL462" s="542"/>
      <c r="EM462" s="542"/>
      <c r="EN462" s="542"/>
      <c r="EO462" s="542"/>
      <c r="EP462" s="542"/>
      <c r="EQ462" s="542"/>
      <c r="ER462" s="542"/>
      <c r="ES462" s="542"/>
      <c r="ET462" s="542"/>
      <c r="EU462" s="542"/>
      <c r="EV462" s="542"/>
      <c r="EW462" s="542"/>
      <c r="EX462" s="542"/>
      <c r="EY462" s="542"/>
      <c r="EZ462" s="542"/>
      <c r="FA462" s="542"/>
      <c r="FB462" s="542"/>
      <c r="FC462" s="542"/>
      <c r="FD462" s="542"/>
      <c r="FE462" s="542"/>
      <c r="FF462" s="542"/>
      <c r="FG462" s="542"/>
      <c r="FH462" s="542"/>
      <c r="FI462" s="542"/>
      <c r="FJ462" s="542"/>
      <c r="FK462" s="542"/>
      <c r="FL462" s="542"/>
      <c r="FM462" s="542"/>
      <c r="FN462" s="542"/>
      <c r="FO462" s="542"/>
      <c r="FP462" s="542"/>
      <c r="FQ462" s="542"/>
      <c r="FR462" s="542"/>
      <c r="FS462" s="542"/>
      <c r="FT462" s="542"/>
      <c r="FU462" s="542"/>
      <c r="FV462" s="542"/>
      <c r="FW462" s="542"/>
      <c r="FX462" s="542"/>
      <c r="FY462" s="542"/>
      <c r="FZ462" s="542"/>
      <c r="GA462" s="542"/>
      <c r="GB462" s="542"/>
      <c r="GC462" s="542"/>
      <c r="GD462" s="542"/>
      <c r="GE462" s="542"/>
      <c r="GF462" s="542"/>
      <c r="GG462" s="542"/>
      <c r="GH462" s="542"/>
      <c r="GI462" s="542"/>
      <c r="GJ462" s="542"/>
      <c r="GK462" s="542"/>
      <c r="GL462" s="542"/>
      <c r="GM462" s="542"/>
      <c r="GN462" s="542"/>
      <c r="GO462" s="542"/>
      <c r="GP462" s="542"/>
      <c r="GQ462" s="542"/>
      <c r="GR462" s="542"/>
      <c r="GS462" s="542"/>
      <c r="GT462" s="542"/>
      <c r="GU462" s="542"/>
      <c r="GV462" s="542"/>
      <c r="GW462" s="542"/>
      <c r="GX462" s="542"/>
      <c r="GY462" s="542"/>
      <c r="GZ462" s="542"/>
      <c r="HA462" s="542"/>
      <c r="HB462" s="542"/>
      <c r="HC462" s="542"/>
      <c r="HD462" s="542"/>
      <c r="HE462" s="542"/>
      <c r="HF462" s="542"/>
      <c r="HG462" s="542"/>
      <c r="HH462" s="542"/>
      <c r="HI462" s="542"/>
      <c r="HJ462" s="542"/>
      <c r="HK462" s="542"/>
      <c r="HL462" s="542"/>
      <c r="HM462" s="542"/>
      <c r="HN462" s="542"/>
      <c r="HO462" s="542"/>
      <c r="HP462" s="542"/>
      <c r="HQ462" s="542"/>
      <c r="HR462" s="542"/>
      <c r="HS462" s="542"/>
      <c r="HT462" s="542"/>
      <c r="HU462" s="542"/>
      <c r="HV462" s="542"/>
      <c r="HW462" s="542"/>
      <c r="HX462" s="542"/>
      <c r="HY462" s="542"/>
      <c r="HZ462" s="542"/>
      <c r="IA462" s="542"/>
      <c r="IB462" s="542"/>
      <c r="IC462" s="542"/>
      <c r="ID462" s="542"/>
      <c r="IE462" s="542"/>
      <c r="IF462" s="542"/>
      <c r="IG462" s="542"/>
      <c r="IH462" s="542"/>
      <c r="II462" s="542"/>
      <c r="IJ462" s="542"/>
      <c r="IK462" s="542"/>
      <c r="IL462" s="542"/>
      <c r="IM462" s="542"/>
      <c r="IN462" s="542"/>
      <c r="IO462" s="542"/>
      <c r="IP462" s="542"/>
      <c r="IQ462" s="542"/>
      <c r="IR462" s="542"/>
      <c r="IS462" s="542"/>
      <c r="IT462" s="542"/>
      <c r="IU462" s="542"/>
      <c r="IV462" s="542"/>
      <c r="IW462" s="542"/>
      <c r="IX462" s="542"/>
      <c r="IY462" s="542"/>
      <c r="IZ462" s="542"/>
      <c r="JA462" s="542"/>
      <c r="JB462" s="542"/>
    </row>
    <row r="463" spans="104:262" ht="18.899999999999999" customHeight="1">
      <c r="CZ463" s="542"/>
      <c r="DA463" s="542"/>
      <c r="DB463" s="542"/>
      <c r="DC463" s="542"/>
      <c r="DD463" s="542"/>
      <c r="DE463" s="542"/>
      <c r="DF463" s="542"/>
      <c r="DG463" s="542"/>
      <c r="DH463" s="542"/>
      <c r="DI463" s="542"/>
      <c r="DJ463" s="542"/>
      <c r="DK463" s="542"/>
      <c r="DL463" s="542"/>
      <c r="DM463" s="542"/>
      <c r="DN463" s="542"/>
      <c r="DO463" s="542"/>
      <c r="DP463" s="542"/>
      <c r="DQ463" s="542"/>
      <c r="DR463" s="542"/>
      <c r="DS463" s="542"/>
      <c r="DT463" s="542"/>
      <c r="DU463" s="542"/>
      <c r="DV463" s="542"/>
      <c r="DW463" s="542"/>
      <c r="DX463" s="542"/>
      <c r="DY463" s="542"/>
      <c r="DZ463" s="542"/>
      <c r="EA463" s="542"/>
      <c r="EB463" s="542"/>
      <c r="EC463" s="542"/>
      <c r="ED463" s="542"/>
      <c r="EE463" s="542"/>
      <c r="EF463" s="542"/>
      <c r="EG463" s="542"/>
      <c r="EH463" s="542"/>
      <c r="EI463" s="542"/>
      <c r="EJ463" s="542"/>
      <c r="EK463" s="542"/>
      <c r="EL463" s="542"/>
      <c r="EM463" s="542"/>
      <c r="EN463" s="542"/>
      <c r="EO463" s="542"/>
      <c r="EP463" s="542"/>
      <c r="EQ463" s="542"/>
      <c r="ER463" s="542"/>
      <c r="ES463" s="542"/>
      <c r="ET463" s="542"/>
      <c r="EU463" s="542"/>
      <c r="EV463" s="542"/>
      <c r="EW463" s="542"/>
      <c r="EX463" s="542"/>
      <c r="EY463" s="542"/>
      <c r="EZ463" s="542"/>
      <c r="FA463" s="542"/>
      <c r="FB463" s="542"/>
      <c r="FC463" s="542"/>
      <c r="FD463" s="542"/>
      <c r="FE463" s="542"/>
      <c r="FF463" s="542"/>
      <c r="FG463" s="542"/>
      <c r="FH463" s="542"/>
      <c r="FI463" s="542"/>
      <c r="FJ463" s="542"/>
      <c r="FK463" s="542"/>
      <c r="FL463" s="542"/>
      <c r="FM463" s="542"/>
      <c r="FN463" s="542"/>
      <c r="FO463" s="542"/>
      <c r="FP463" s="542"/>
      <c r="FQ463" s="542"/>
      <c r="FR463" s="542"/>
      <c r="FS463" s="542"/>
      <c r="FT463" s="542"/>
      <c r="FU463" s="542"/>
      <c r="FV463" s="542"/>
      <c r="FW463" s="542"/>
      <c r="FX463" s="542"/>
      <c r="FY463" s="542"/>
      <c r="FZ463" s="542"/>
      <c r="GA463" s="542"/>
      <c r="GB463" s="542"/>
      <c r="GC463" s="542"/>
      <c r="GD463" s="542"/>
      <c r="GE463" s="542"/>
      <c r="GF463" s="542"/>
      <c r="GG463" s="542"/>
      <c r="GH463" s="542"/>
      <c r="GI463" s="542"/>
      <c r="GJ463" s="542"/>
      <c r="GK463" s="542"/>
      <c r="GL463" s="542"/>
      <c r="GM463" s="542"/>
      <c r="GN463" s="542"/>
      <c r="GO463" s="542"/>
      <c r="GP463" s="542"/>
      <c r="GQ463" s="542"/>
      <c r="GR463" s="542"/>
      <c r="GS463" s="542"/>
      <c r="GT463" s="542"/>
      <c r="GU463" s="542"/>
      <c r="GV463" s="542"/>
      <c r="GW463" s="542"/>
      <c r="GX463" s="542"/>
      <c r="GY463" s="542"/>
      <c r="GZ463" s="542"/>
      <c r="HA463" s="542"/>
      <c r="HB463" s="542"/>
      <c r="HC463" s="542"/>
      <c r="HD463" s="542"/>
      <c r="HE463" s="542"/>
      <c r="HF463" s="542"/>
      <c r="HG463" s="542"/>
      <c r="HH463" s="542"/>
      <c r="HI463" s="542"/>
      <c r="HJ463" s="542"/>
      <c r="HK463" s="542"/>
      <c r="HL463" s="542"/>
      <c r="HM463" s="542"/>
      <c r="HN463" s="542"/>
      <c r="HO463" s="542"/>
      <c r="HP463" s="542"/>
      <c r="HQ463" s="542"/>
      <c r="HR463" s="542"/>
      <c r="HS463" s="542"/>
      <c r="HT463" s="542"/>
      <c r="HU463" s="542"/>
      <c r="HV463" s="542"/>
      <c r="HW463" s="542"/>
      <c r="HX463" s="542"/>
      <c r="HY463" s="542"/>
      <c r="HZ463" s="542"/>
      <c r="IA463" s="542"/>
      <c r="IB463" s="542"/>
      <c r="IC463" s="542"/>
      <c r="ID463" s="542"/>
      <c r="IE463" s="542"/>
      <c r="IF463" s="542"/>
      <c r="IG463" s="542"/>
      <c r="IH463" s="542"/>
      <c r="II463" s="542"/>
      <c r="IJ463" s="542"/>
      <c r="IK463" s="542"/>
      <c r="IL463" s="542"/>
      <c r="IM463" s="542"/>
      <c r="IN463" s="542"/>
      <c r="IO463" s="542"/>
      <c r="IP463" s="542"/>
      <c r="IQ463" s="542"/>
      <c r="IR463" s="542"/>
      <c r="IS463" s="542"/>
      <c r="IT463" s="542"/>
      <c r="IU463" s="542"/>
      <c r="IV463" s="542"/>
      <c r="IW463" s="542"/>
      <c r="IX463" s="542"/>
      <c r="IY463" s="542"/>
      <c r="IZ463" s="542"/>
      <c r="JA463" s="542"/>
      <c r="JB463" s="542"/>
    </row>
    <row r="464" spans="104:262" ht="18.899999999999999" customHeight="1">
      <c r="CZ464" s="542"/>
      <c r="DA464" s="542"/>
      <c r="DB464" s="542"/>
      <c r="DC464" s="542"/>
      <c r="DD464" s="542"/>
      <c r="DE464" s="542"/>
      <c r="DF464" s="542"/>
      <c r="DG464" s="542"/>
      <c r="DH464" s="542"/>
      <c r="DI464" s="542"/>
      <c r="DJ464" s="542"/>
      <c r="DK464" s="542"/>
      <c r="DL464" s="542"/>
      <c r="DM464" s="542"/>
      <c r="DN464" s="542"/>
      <c r="DO464" s="542"/>
      <c r="DP464" s="542"/>
      <c r="DQ464" s="542"/>
      <c r="DR464" s="542"/>
      <c r="DS464" s="542"/>
      <c r="DT464" s="542"/>
      <c r="DU464" s="542"/>
      <c r="DV464" s="542"/>
      <c r="DW464" s="542"/>
      <c r="DX464" s="542"/>
      <c r="DY464" s="542"/>
      <c r="DZ464" s="542"/>
      <c r="EA464" s="542"/>
      <c r="EB464" s="542"/>
      <c r="EC464" s="542"/>
      <c r="ED464" s="542"/>
      <c r="EE464" s="542"/>
      <c r="EF464" s="542"/>
      <c r="EG464" s="542"/>
      <c r="EH464" s="542"/>
      <c r="EI464" s="542"/>
      <c r="EJ464" s="542"/>
      <c r="EK464" s="542"/>
      <c r="EL464" s="542"/>
      <c r="EM464" s="542"/>
      <c r="EN464" s="542"/>
      <c r="EO464" s="542"/>
      <c r="EP464" s="542"/>
      <c r="EQ464" s="542"/>
      <c r="ER464" s="542"/>
      <c r="ES464" s="542"/>
      <c r="ET464" s="542"/>
      <c r="EU464" s="542"/>
      <c r="EV464" s="542"/>
      <c r="EW464" s="542"/>
      <c r="EX464" s="542"/>
      <c r="EY464" s="542"/>
      <c r="EZ464" s="542"/>
      <c r="FA464" s="542"/>
      <c r="FB464" s="542"/>
      <c r="FC464" s="542"/>
      <c r="FD464" s="542"/>
      <c r="FE464" s="542"/>
      <c r="FF464" s="542"/>
      <c r="FG464" s="542"/>
      <c r="FH464" s="542"/>
      <c r="FI464" s="542"/>
      <c r="FJ464" s="542"/>
      <c r="FK464" s="542"/>
      <c r="FL464" s="542"/>
      <c r="FM464" s="542"/>
      <c r="FN464" s="542"/>
      <c r="FO464" s="542"/>
      <c r="FP464" s="542"/>
      <c r="FQ464" s="542"/>
      <c r="FR464" s="542"/>
      <c r="FS464" s="542"/>
      <c r="FT464" s="542"/>
      <c r="FU464" s="542"/>
      <c r="FV464" s="542"/>
      <c r="FW464" s="542"/>
      <c r="FX464" s="542"/>
      <c r="FY464" s="542"/>
      <c r="FZ464" s="542"/>
      <c r="GA464" s="542"/>
      <c r="GB464" s="542"/>
      <c r="GC464" s="542"/>
      <c r="GD464" s="542"/>
      <c r="GE464" s="542"/>
      <c r="GF464" s="542"/>
      <c r="GG464" s="542"/>
      <c r="GH464" s="542"/>
      <c r="GI464" s="542"/>
      <c r="GJ464" s="542"/>
      <c r="GK464" s="542"/>
      <c r="GL464" s="542"/>
      <c r="GM464" s="542"/>
      <c r="GN464" s="542"/>
      <c r="GO464" s="542"/>
      <c r="GP464" s="542"/>
      <c r="GQ464" s="542"/>
      <c r="GR464" s="542"/>
      <c r="GS464" s="542"/>
      <c r="GT464" s="542"/>
      <c r="GU464" s="542"/>
      <c r="GV464" s="542"/>
      <c r="GW464" s="542"/>
      <c r="GX464" s="542"/>
      <c r="GY464" s="542"/>
      <c r="GZ464" s="542"/>
      <c r="HA464" s="542"/>
      <c r="HB464" s="542"/>
      <c r="HC464" s="542"/>
      <c r="HD464" s="542"/>
      <c r="HE464" s="542"/>
      <c r="HF464" s="542"/>
      <c r="HG464" s="542"/>
      <c r="HH464" s="542"/>
      <c r="HI464" s="542"/>
      <c r="HJ464" s="542"/>
      <c r="HK464" s="542"/>
      <c r="HL464" s="542"/>
      <c r="HM464" s="542"/>
      <c r="HN464" s="542"/>
      <c r="HO464" s="542"/>
      <c r="HP464" s="542"/>
      <c r="HQ464" s="542"/>
      <c r="HR464" s="542"/>
      <c r="HS464" s="542"/>
      <c r="HT464" s="542"/>
      <c r="HU464" s="542"/>
      <c r="HV464" s="542"/>
      <c r="HW464" s="542"/>
      <c r="HX464" s="542"/>
      <c r="HY464" s="542"/>
      <c r="HZ464" s="542"/>
      <c r="IA464" s="542"/>
      <c r="IB464" s="542"/>
      <c r="IC464" s="542"/>
      <c r="ID464" s="542"/>
      <c r="IE464" s="542"/>
      <c r="IF464" s="542"/>
      <c r="IG464" s="542"/>
      <c r="IH464" s="542"/>
      <c r="II464" s="542"/>
      <c r="IJ464" s="542"/>
      <c r="IK464" s="542"/>
      <c r="IL464" s="542"/>
      <c r="IM464" s="542"/>
      <c r="IN464" s="542"/>
      <c r="IO464" s="542"/>
      <c r="IP464" s="542"/>
      <c r="IQ464" s="542"/>
      <c r="IR464" s="542"/>
      <c r="IS464" s="542"/>
      <c r="IT464" s="542"/>
      <c r="IU464" s="542"/>
      <c r="IV464" s="542"/>
      <c r="IW464" s="542"/>
      <c r="IX464" s="542"/>
      <c r="IY464" s="542"/>
      <c r="IZ464" s="542"/>
      <c r="JA464" s="542"/>
      <c r="JB464" s="542"/>
    </row>
    <row r="465" spans="104:262" ht="18.899999999999999" customHeight="1">
      <c r="CZ465" s="542"/>
      <c r="DA465" s="542"/>
      <c r="DB465" s="542"/>
      <c r="DC465" s="542"/>
      <c r="DD465" s="542"/>
      <c r="DE465" s="542"/>
      <c r="DF465" s="542"/>
      <c r="DG465" s="542"/>
      <c r="DH465" s="542"/>
      <c r="DI465" s="542"/>
      <c r="DJ465" s="542"/>
      <c r="DK465" s="542"/>
      <c r="DL465" s="542"/>
      <c r="DM465" s="542"/>
      <c r="DN465" s="542"/>
      <c r="DO465" s="542"/>
      <c r="DP465" s="542"/>
      <c r="DQ465" s="542"/>
      <c r="DR465" s="542"/>
      <c r="DS465" s="542"/>
      <c r="DT465" s="542"/>
      <c r="DU465" s="542"/>
      <c r="DV465" s="542"/>
      <c r="DW465" s="542"/>
      <c r="DX465" s="542"/>
      <c r="DY465" s="542"/>
      <c r="DZ465" s="542"/>
      <c r="EA465" s="542"/>
      <c r="EB465" s="542"/>
      <c r="EC465" s="542"/>
      <c r="ED465" s="542"/>
      <c r="EE465" s="542"/>
      <c r="EF465" s="542"/>
      <c r="EG465" s="542"/>
      <c r="EH465" s="542"/>
      <c r="EI465" s="542"/>
      <c r="EJ465" s="542"/>
      <c r="EK465" s="542"/>
      <c r="EL465" s="542"/>
      <c r="EM465" s="542"/>
      <c r="EN465" s="542"/>
      <c r="EO465" s="542"/>
      <c r="EP465" s="542"/>
      <c r="EQ465" s="542"/>
      <c r="ER465" s="542"/>
      <c r="ES465" s="542"/>
      <c r="ET465" s="542"/>
      <c r="EU465" s="542"/>
      <c r="EV465" s="542"/>
      <c r="EW465" s="542"/>
      <c r="EX465" s="542"/>
      <c r="EY465" s="542"/>
      <c r="EZ465" s="542"/>
      <c r="FA465" s="542"/>
      <c r="FB465" s="542"/>
      <c r="FC465" s="542"/>
      <c r="FD465" s="542"/>
      <c r="FE465" s="542"/>
      <c r="FF465" s="542"/>
      <c r="FG465" s="542"/>
      <c r="FH465" s="542"/>
      <c r="FI465" s="542"/>
      <c r="FJ465" s="542"/>
      <c r="FK465" s="542"/>
      <c r="FL465" s="542"/>
      <c r="FM465" s="542"/>
      <c r="FN465" s="542"/>
      <c r="FO465" s="542"/>
      <c r="FP465" s="542"/>
      <c r="FQ465" s="542"/>
      <c r="FR465" s="542"/>
      <c r="FS465" s="542"/>
      <c r="FT465" s="542"/>
      <c r="FU465" s="542"/>
      <c r="FV465" s="542"/>
      <c r="FW465" s="542"/>
      <c r="FX465" s="542"/>
      <c r="FY465" s="542"/>
      <c r="FZ465" s="542"/>
      <c r="GA465" s="542"/>
      <c r="GB465" s="542"/>
      <c r="GC465" s="542"/>
      <c r="GD465" s="542"/>
      <c r="GE465" s="542"/>
      <c r="GF465" s="542"/>
      <c r="GG465" s="542"/>
      <c r="GH465" s="542"/>
      <c r="GI465" s="542"/>
      <c r="GJ465" s="542"/>
      <c r="GK465" s="542"/>
      <c r="GL465" s="542"/>
      <c r="GM465" s="542"/>
      <c r="GN465" s="542"/>
      <c r="GO465" s="542"/>
      <c r="GP465" s="542"/>
      <c r="GQ465" s="542"/>
      <c r="GR465" s="542"/>
      <c r="GS465" s="542"/>
      <c r="GT465" s="542"/>
      <c r="GU465" s="542"/>
      <c r="GV465" s="542"/>
      <c r="GW465" s="542"/>
      <c r="GX465" s="542"/>
      <c r="GY465" s="542"/>
      <c r="GZ465" s="542"/>
      <c r="HA465" s="542"/>
      <c r="HB465" s="542"/>
      <c r="HC465" s="542"/>
      <c r="HD465" s="542"/>
      <c r="HE465" s="542"/>
      <c r="HF465" s="542"/>
      <c r="HG465" s="542"/>
      <c r="HH465" s="542"/>
      <c r="HI465" s="542"/>
      <c r="HJ465" s="542"/>
      <c r="HK465" s="542"/>
      <c r="HL465" s="542"/>
      <c r="HM465" s="542"/>
      <c r="HN465" s="542"/>
      <c r="HO465" s="542"/>
      <c r="HP465" s="542"/>
      <c r="HQ465" s="542"/>
      <c r="HR465" s="542"/>
      <c r="HS465" s="542"/>
      <c r="HT465" s="542"/>
      <c r="HU465" s="542"/>
      <c r="HV465" s="542"/>
      <c r="HW465" s="542"/>
      <c r="HX465" s="542"/>
      <c r="HY465" s="542"/>
      <c r="HZ465" s="542"/>
      <c r="IA465" s="542"/>
      <c r="IB465" s="542"/>
      <c r="IC465" s="542"/>
      <c r="ID465" s="542"/>
      <c r="IE465" s="542"/>
      <c r="IF465" s="542"/>
      <c r="IG465" s="542"/>
      <c r="IH465" s="542"/>
      <c r="II465" s="542"/>
      <c r="IJ465" s="542"/>
      <c r="IK465" s="542"/>
      <c r="IL465" s="542"/>
      <c r="IM465" s="542"/>
      <c r="IN465" s="542"/>
      <c r="IO465" s="542"/>
      <c r="IP465" s="542"/>
      <c r="IQ465" s="542"/>
      <c r="IR465" s="542"/>
      <c r="IS465" s="542"/>
      <c r="IT465" s="542"/>
      <c r="IU465" s="542"/>
      <c r="IV465" s="542"/>
      <c r="IW465" s="542"/>
      <c r="IX465" s="542"/>
      <c r="IY465" s="542"/>
      <c r="IZ465" s="542"/>
      <c r="JA465" s="542"/>
      <c r="JB465" s="542"/>
    </row>
    <row r="466" spans="104:262" ht="18.899999999999999" customHeight="1">
      <c r="CZ466" s="542"/>
      <c r="DA466" s="542"/>
      <c r="DB466" s="542"/>
      <c r="DC466" s="542"/>
      <c r="DD466" s="542"/>
      <c r="DE466" s="542"/>
      <c r="DF466" s="542"/>
      <c r="DG466" s="542"/>
      <c r="DH466" s="542"/>
      <c r="DI466" s="542"/>
      <c r="DJ466" s="542"/>
      <c r="DK466" s="542"/>
      <c r="DL466" s="542"/>
      <c r="DM466" s="542"/>
      <c r="DN466" s="542"/>
      <c r="DO466" s="542"/>
      <c r="DP466" s="542"/>
      <c r="DQ466" s="542"/>
      <c r="DR466" s="542"/>
      <c r="DS466" s="542"/>
      <c r="DT466" s="542"/>
      <c r="DU466" s="542"/>
      <c r="DV466" s="542"/>
      <c r="DW466" s="542"/>
      <c r="DX466" s="542"/>
      <c r="DY466" s="542"/>
      <c r="DZ466" s="542"/>
      <c r="EA466" s="542"/>
      <c r="EB466" s="542"/>
      <c r="EC466" s="542"/>
      <c r="ED466" s="542"/>
      <c r="EE466" s="542"/>
      <c r="EF466" s="542"/>
      <c r="EG466" s="542"/>
      <c r="EH466" s="542"/>
      <c r="EI466" s="542"/>
      <c r="EJ466" s="542"/>
      <c r="EK466" s="542"/>
      <c r="EL466" s="542"/>
      <c r="EM466" s="542"/>
      <c r="EN466" s="542"/>
      <c r="EO466" s="542"/>
      <c r="EP466" s="542"/>
      <c r="EQ466" s="542"/>
      <c r="ER466" s="542"/>
      <c r="ES466" s="542"/>
      <c r="ET466" s="542"/>
      <c r="EU466" s="542"/>
      <c r="EV466" s="542"/>
      <c r="EW466" s="542"/>
      <c r="EX466" s="542"/>
      <c r="EY466" s="542"/>
      <c r="EZ466" s="542"/>
      <c r="FA466" s="542"/>
      <c r="FB466" s="542"/>
      <c r="FC466" s="542"/>
      <c r="FD466" s="542"/>
      <c r="FE466" s="542"/>
      <c r="FF466" s="542"/>
      <c r="FG466" s="542"/>
      <c r="FH466" s="542"/>
      <c r="FI466" s="542"/>
      <c r="FJ466" s="542"/>
      <c r="FK466" s="542"/>
      <c r="FL466" s="542"/>
      <c r="FM466" s="542"/>
      <c r="FN466" s="542"/>
      <c r="FO466" s="542"/>
      <c r="FP466" s="542"/>
      <c r="FQ466" s="542"/>
      <c r="FR466" s="542"/>
      <c r="FS466" s="542"/>
      <c r="FT466" s="542"/>
      <c r="FU466" s="542"/>
      <c r="FV466" s="542"/>
      <c r="FW466" s="542"/>
      <c r="FX466" s="542"/>
      <c r="FY466" s="542"/>
      <c r="FZ466" s="542"/>
      <c r="GA466" s="542"/>
      <c r="GB466" s="542"/>
      <c r="GC466" s="542"/>
      <c r="GD466" s="542"/>
      <c r="GE466" s="542"/>
      <c r="GF466" s="542"/>
      <c r="GG466" s="542"/>
      <c r="GH466" s="542"/>
      <c r="GI466" s="542"/>
      <c r="GJ466" s="542"/>
      <c r="GK466" s="542"/>
      <c r="GL466" s="542"/>
      <c r="GM466" s="542"/>
      <c r="GN466" s="542"/>
      <c r="GO466" s="542"/>
      <c r="GP466" s="542"/>
      <c r="GQ466" s="542"/>
      <c r="GR466" s="542"/>
      <c r="GS466" s="542"/>
      <c r="GT466" s="542"/>
      <c r="GU466" s="542"/>
      <c r="GV466" s="542"/>
      <c r="GW466" s="542"/>
      <c r="GX466" s="542"/>
      <c r="GY466" s="542"/>
      <c r="GZ466" s="542"/>
      <c r="HA466" s="542"/>
      <c r="HB466" s="542"/>
      <c r="HC466" s="542"/>
      <c r="HD466" s="542"/>
      <c r="HE466" s="542"/>
      <c r="HF466" s="542"/>
      <c r="HG466" s="542"/>
      <c r="HH466" s="542"/>
      <c r="HI466" s="542"/>
      <c r="HJ466" s="542"/>
      <c r="HK466" s="542"/>
      <c r="HL466" s="542"/>
      <c r="HM466" s="542"/>
      <c r="HN466" s="542"/>
      <c r="HO466" s="542"/>
      <c r="HP466" s="542"/>
      <c r="HQ466" s="542"/>
      <c r="HR466" s="542"/>
      <c r="HS466" s="542"/>
      <c r="HT466" s="542"/>
      <c r="HU466" s="542"/>
      <c r="HV466" s="542"/>
      <c r="HW466" s="542"/>
      <c r="HX466" s="542"/>
      <c r="HY466" s="542"/>
      <c r="HZ466" s="542"/>
      <c r="IA466" s="542"/>
      <c r="IB466" s="542"/>
      <c r="IC466" s="542"/>
      <c r="ID466" s="542"/>
      <c r="IE466" s="542"/>
      <c r="IF466" s="542"/>
      <c r="IG466" s="542"/>
      <c r="IH466" s="542"/>
      <c r="II466" s="542"/>
      <c r="IJ466" s="542"/>
      <c r="IK466" s="542"/>
      <c r="IL466" s="542"/>
      <c r="IM466" s="542"/>
      <c r="IN466" s="542"/>
      <c r="IO466" s="542"/>
      <c r="IP466" s="542"/>
      <c r="IQ466" s="542"/>
      <c r="IR466" s="542"/>
      <c r="IS466" s="542"/>
      <c r="IT466" s="542"/>
      <c r="IU466" s="542"/>
      <c r="IV466" s="542"/>
      <c r="IW466" s="542"/>
      <c r="IX466" s="542"/>
      <c r="IY466" s="542"/>
      <c r="IZ466" s="542"/>
      <c r="JA466" s="542"/>
      <c r="JB466" s="542"/>
    </row>
    <row r="467" spans="104:262" ht="18.899999999999999" customHeight="1">
      <c r="CZ467" s="542"/>
      <c r="DA467" s="542"/>
      <c r="DB467" s="542"/>
      <c r="DC467" s="542"/>
      <c r="DD467" s="542"/>
      <c r="DE467" s="542"/>
      <c r="DF467" s="542"/>
      <c r="DG467" s="542"/>
      <c r="DH467" s="542"/>
      <c r="DI467" s="542"/>
      <c r="DJ467" s="542"/>
      <c r="DK467" s="542"/>
      <c r="DL467" s="542"/>
      <c r="DM467" s="542"/>
      <c r="DN467" s="542"/>
      <c r="DO467" s="542"/>
      <c r="DP467" s="542"/>
      <c r="DQ467" s="542"/>
      <c r="DR467" s="542"/>
      <c r="DS467" s="542"/>
      <c r="DT467" s="542"/>
      <c r="DU467" s="542"/>
      <c r="DV467" s="542"/>
      <c r="DW467" s="542"/>
      <c r="DX467" s="542"/>
      <c r="DY467" s="542"/>
      <c r="DZ467" s="542"/>
      <c r="EA467" s="542"/>
      <c r="EB467" s="542"/>
      <c r="EC467" s="542"/>
      <c r="ED467" s="542"/>
      <c r="EE467" s="542"/>
      <c r="EF467" s="542"/>
      <c r="EG467" s="542"/>
      <c r="EH467" s="542"/>
      <c r="EI467" s="542"/>
      <c r="EJ467" s="542"/>
      <c r="EK467" s="542"/>
      <c r="EL467" s="542"/>
      <c r="EM467" s="542"/>
      <c r="EN467" s="542"/>
      <c r="EO467" s="542"/>
      <c r="EP467" s="542"/>
      <c r="EQ467" s="542"/>
      <c r="ER467" s="542"/>
      <c r="ES467" s="542"/>
      <c r="ET467" s="542"/>
      <c r="EU467" s="542"/>
      <c r="EV467" s="542"/>
      <c r="EW467" s="542"/>
      <c r="EX467" s="542"/>
      <c r="EY467" s="542"/>
      <c r="EZ467" s="542"/>
      <c r="FA467" s="542"/>
      <c r="FB467" s="542"/>
      <c r="FC467" s="542"/>
      <c r="FD467" s="542"/>
      <c r="FE467" s="542"/>
      <c r="FF467" s="542"/>
      <c r="FG467" s="542"/>
      <c r="FH467" s="542"/>
      <c r="FI467" s="542"/>
      <c r="FJ467" s="542"/>
      <c r="FK467" s="542"/>
      <c r="FL467" s="542"/>
      <c r="FM467" s="542"/>
      <c r="FN467" s="542"/>
      <c r="FO467" s="542"/>
      <c r="FP467" s="542"/>
      <c r="FQ467" s="542"/>
      <c r="FR467" s="542"/>
      <c r="FS467" s="542"/>
      <c r="FT467" s="542"/>
      <c r="FU467" s="542"/>
      <c r="FV467" s="542"/>
      <c r="FW467" s="542"/>
      <c r="FX467" s="542"/>
      <c r="FY467" s="542"/>
      <c r="FZ467" s="542"/>
      <c r="GA467" s="542"/>
      <c r="GB467" s="542"/>
      <c r="GC467" s="542"/>
      <c r="GD467" s="542"/>
      <c r="GE467" s="542"/>
      <c r="GF467" s="542"/>
      <c r="GG467" s="542"/>
      <c r="GH467" s="542"/>
      <c r="GI467" s="542"/>
      <c r="GJ467" s="542"/>
      <c r="GK467" s="542"/>
      <c r="GL467" s="542"/>
      <c r="GM467" s="542"/>
      <c r="GN467" s="542"/>
      <c r="GO467" s="542"/>
      <c r="GP467" s="542"/>
      <c r="GQ467" s="542"/>
      <c r="GR467" s="542"/>
      <c r="GS467" s="542"/>
      <c r="GT467" s="542"/>
      <c r="GU467" s="542"/>
      <c r="GV467" s="542"/>
      <c r="GW467" s="542"/>
      <c r="GX467" s="542"/>
      <c r="GY467" s="542"/>
      <c r="GZ467" s="542"/>
      <c r="HA467" s="542"/>
      <c r="HB467" s="542"/>
      <c r="HC467" s="542"/>
      <c r="HD467" s="542"/>
      <c r="HE467" s="542"/>
      <c r="HF467" s="542"/>
      <c r="HG467" s="542"/>
      <c r="HH467" s="542"/>
      <c r="HI467" s="542"/>
      <c r="HJ467" s="542"/>
      <c r="HK467" s="542"/>
      <c r="HL467" s="542"/>
      <c r="HM467" s="542"/>
      <c r="HN467" s="542"/>
      <c r="HO467" s="542"/>
      <c r="HP467" s="542"/>
      <c r="HQ467" s="542"/>
      <c r="HR467" s="542"/>
      <c r="HS467" s="542"/>
      <c r="HT467" s="542"/>
      <c r="HU467" s="542"/>
      <c r="HV467" s="542"/>
      <c r="HW467" s="542"/>
      <c r="HX467" s="542"/>
      <c r="HY467" s="542"/>
      <c r="HZ467" s="542"/>
      <c r="IA467" s="542"/>
      <c r="IB467" s="542"/>
      <c r="IC467" s="542"/>
      <c r="ID467" s="542"/>
      <c r="IE467" s="542"/>
      <c r="IF467" s="542"/>
      <c r="IG467" s="542"/>
      <c r="IH467" s="542"/>
      <c r="II467" s="542"/>
      <c r="IJ467" s="542"/>
      <c r="IK467" s="542"/>
      <c r="IL467" s="542"/>
      <c r="IM467" s="542"/>
      <c r="IN467" s="542"/>
      <c r="IO467" s="542"/>
      <c r="IP467" s="542"/>
      <c r="IQ467" s="542"/>
      <c r="IR467" s="542"/>
      <c r="IS467" s="542"/>
      <c r="IT467" s="542"/>
      <c r="IU467" s="542"/>
      <c r="IV467" s="542"/>
      <c r="IW467" s="542"/>
      <c r="IX467" s="542"/>
      <c r="IY467" s="542"/>
      <c r="IZ467" s="542"/>
      <c r="JA467" s="542"/>
      <c r="JB467" s="542"/>
    </row>
    <row r="468" spans="104:262" ht="18.899999999999999" customHeight="1">
      <c r="CZ468" s="542"/>
      <c r="DA468" s="542"/>
      <c r="DB468" s="542"/>
      <c r="DC468" s="542"/>
      <c r="DD468" s="542"/>
      <c r="DE468" s="542"/>
      <c r="DF468" s="542"/>
      <c r="DG468" s="542"/>
      <c r="DH468" s="542"/>
      <c r="DI468" s="542"/>
      <c r="DJ468" s="542"/>
      <c r="DK468" s="542"/>
      <c r="DL468" s="542"/>
      <c r="DM468" s="542"/>
      <c r="DN468" s="542"/>
      <c r="DO468" s="542"/>
      <c r="DP468" s="542"/>
      <c r="DQ468" s="542"/>
      <c r="DR468" s="542"/>
      <c r="DS468" s="542"/>
      <c r="DT468" s="542"/>
      <c r="DU468" s="542"/>
      <c r="DV468" s="542"/>
      <c r="DW468" s="542"/>
      <c r="DX468" s="542"/>
      <c r="DY468" s="542"/>
      <c r="DZ468" s="542"/>
      <c r="EA468" s="542"/>
      <c r="EB468" s="542"/>
      <c r="EC468" s="542"/>
      <c r="ED468" s="542"/>
      <c r="EE468" s="542"/>
      <c r="EF468" s="542"/>
      <c r="EG468" s="542"/>
      <c r="EH468" s="542"/>
      <c r="EI468" s="542"/>
      <c r="EJ468" s="542"/>
      <c r="EK468" s="542"/>
      <c r="EL468" s="542"/>
      <c r="EM468" s="542"/>
      <c r="EN468" s="542"/>
      <c r="EO468" s="542"/>
      <c r="EP468" s="542"/>
      <c r="EQ468" s="542"/>
      <c r="ER468" s="542"/>
      <c r="ES468" s="542"/>
      <c r="ET468" s="542"/>
      <c r="EU468" s="542"/>
      <c r="EV468" s="542"/>
      <c r="EW468" s="542"/>
      <c r="EX468" s="542"/>
      <c r="EY468" s="542"/>
      <c r="EZ468" s="542"/>
      <c r="FA468" s="542"/>
      <c r="FB468" s="542"/>
      <c r="FC468" s="542"/>
      <c r="FD468" s="542"/>
      <c r="FE468" s="542"/>
      <c r="FF468" s="542"/>
      <c r="FG468" s="542"/>
      <c r="FH468" s="542"/>
      <c r="FI468" s="542"/>
      <c r="FJ468" s="542"/>
      <c r="FK468" s="542"/>
      <c r="FL468" s="542"/>
      <c r="FM468" s="542"/>
      <c r="FN468" s="542"/>
      <c r="FO468" s="542"/>
      <c r="FP468" s="542"/>
      <c r="FQ468" s="542"/>
      <c r="FR468" s="542"/>
      <c r="FS468" s="542"/>
      <c r="FT468" s="542"/>
      <c r="FU468" s="542"/>
      <c r="FV468" s="542"/>
      <c r="FW468" s="542"/>
      <c r="FX468" s="542"/>
      <c r="FY468" s="542"/>
      <c r="FZ468" s="542"/>
      <c r="GA468" s="542"/>
      <c r="GB468" s="542"/>
      <c r="GC468" s="542"/>
      <c r="GD468" s="542"/>
      <c r="GE468" s="542"/>
      <c r="GF468" s="542"/>
      <c r="GG468" s="542"/>
      <c r="GH468" s="542"/>
      <c r="GI468" s="542"/>
      <c r="GJ468" s="542"/>
      <c r="GK468" s="542"/>
      <c r="GL468" s="542"/>
      <c r="GM468" s="542"/>
      <c r="GN468" s="542"/>
      <c r="GO468" s="542"/>
      <c r="GP468" s="542"/>
      <c r="GQ468" s="542"/>
      <c r="GR468" s="542"/>
      <c r="GS468" s="542"/>
      <c r="GT468" s="542"/>
      <c r="GU468" s="542"/>
      <c r="GV468" s="542"/>
      <c r="GW468" s="542"/>
      <c r="GX468" s="542"/>
      <c r="GY468" s="542"/>
      <c r="GZ468" s="542"/>
      <c r="HA468" s="542"/>
      <c r="HB468" s="542"/>
      <c r="HC468" s="542"/>
      <c r="HD468" s="542"/>
      <c r="HE468" s="542"/>
      <c r="HF468" s="542"/>
      <c r="HG468" s="542"/>
      <c r="HH468" s="542"/>
      <c r="HI468" s="542"/>
      <c r="HJ468" s="542"/>
      <c r="HK468" s="542"/>
      <c r="HL468" s="542"/>
      <c r="HM468" s="542"/>
      <c r="HN468" s="542"/>
      <c r="HO468" s="542"/>
      <c r="HP468" s="542"/>
      <c r="HQ468" s="542"/>
      <c r="HR468" s="542"/>
      <c r="HS468" s="542"/>
      <c r="HT468" s="542"/>
      <c r="HU468" s="542"/>
      <c r="HV468" s="542"/>
      <c r="HW468" s="542"/>
      <c r="HX468" s="542"/>
      <c r="HY468" s="542"/>
      <c r="HZ468" s="542"/>
      <c r="IA468" s="542"/>
      <c r="IB468" s="542"/>
      <c r="IC468" s="542"/>
      <c r="ID468" s="542"/>
      <c r="IE468" s="542"/>
      <c r="IF468" s="542"/>
      <c r="IG468" s="542"/>
      <c r="IH468" s="542"/>
      <c r="II468" s="542"/>
      <c r="IJ468" s="542"/>
      <c r="IK468" s="542"/>
      <c r="IL468" s="542"/>
      <c r="IM468" s="542"/>
      <c r="IN468" s="542"/>
      <c r="IO468" s="542"/>
      <c r="IP468" s="542"/>
      <c r="IQ468" s="542"/>
      <c r="IR468" s="542"/>
      <c r="IS468" s="542"/>
      <c r="IT468" s="542"/>
      <c r="IU468" s="542"/>
      <c r="IV468" s="542"/>
      <c r="IW468" s="542"/>
      <c r="IX468" s="542"/>
      <c r="IY468" s="542"/>
      <c r="IZ468" s="542"/>
      <c r="JA468" s="542"/>
      <c r="JB468" s="542"/>
    </row>
    <row r="469" spans="104:262" ht="18.899999999999999" customHeight="1">
      <c r="CZ469" s="542"/>
      <c r="DA469" s="542"/>
      <c r="DB469" s="542"/>
      <c r="DC469" s="542"/>
      <c r="DD469" s="542"/>
      <c r="DE469" s="542"/>
      <c r="DF469" s="542"/>
      <c r="DG469" s="542"/>
      <c r="DH469" s="542"/>
      <c r="DI469" s="542"/>
      <c r="DJ469" s="542"/>
      <c r="DK469" s="542"/>
      <c r="DL469" s="542"/>
      <c r="DM469" s="542"/>
      <c r="DN469" s="542"/>
      <c r="DO469" s="542"/>
      <c r="DP469" s="542"/>
      <c r="DQ469" s="542"/>
      <c r="DR469" s="542"/>
      <c r="DS469" s="542"/>
      <c r="DT469" s="542"/>
      <c r="DU469" s="542"/>
      <c r="DV469" s="542"/>
      <c r="DW469" s="542"/>
      <c r="DX469" s="542"/>
      <c r="DY469" s="542"/>
      <c r="DZ469" s="542"/>
      <c r="EA469" s="542"/>
      <c r="EB469" s="542"/>
      <c r="EC469" s="542"/>
      <c r="ED469" s="542"/>
      <c r="EE469" s="542"/>
      <c r="EF469" s="542"/>
      <c r="EG469" s="542"/>
      <c r="EH469" s="542"/>
      <c r="EI469" s="542"/>
      <c r="EJ469" s="542"/>
      <c r="EK469" s="542"/>
      <c r="EL469" s="542"/>
      <c r="EM469" s="542"/>
      <c r="EN469" s="542"/>
      <c r="EO469" s="542"/>
      <c r="EP469" s="542"/>
      <c r="EQ469" s="542"/>
      <c r="ER469" s="542"/>
      <c r="ES469" s="542"/>
      <c r="ET469" s="542"/>
      <c r="EU469" s="542"/>
      <c r="EV469" s="542"/>
      <c r="EW469" s="542"/>
      <c r="EX469" s="542"/>
      <c r="EY469" s="542"/>
      <c r="EZ469" s="542"/>
      <c r="FA469" s="542"/>
      <c r="FB469" s="542"/>
      <c r="FC469" s="542"/>
      <c r="FD469" s="542"/>
      <c r="FE469" s="542"/>
      <c r="FF469" s="542"/>
      <c r="FG469" s="542"/>
      <c r="FH469" s="542"/>
      <c r="FI469" s="542"/>
      <c r="FJ469" s="542"/>
      <c r="FK469" s="542"/>
      <c r="FL469" s="542"/>
      <c r="FM469" s="542"/>
      <c r="FN469" s="542"/>
      <c r="FO469" s="542"/>
      <c r="FP469" s="542"/>
      <c r="FQ469" s="542"/>
      <c r="FR469" s="542"/>
      <c r="FS469" s="542"/>
      <c r="FT469" s="542"/>
      <c r="FU469" s="542"/>
      <c r="FV469" s="542"/>
      <c r="FW469" s="542"/>
      <c r="FX469" s="542"/>
      <c r="FY469" s="542"/>
      <c r="FZ469" s="542"/>
      <c r="GA469" s="542"/>
      <c r="GB469" s="542"/>
      <c r="GC469" s="542"/>
      <c r="GD469" s="542"/>
      <c r="GE469" s="542"/>
      <c r="GF469" s="542"/>
      <c r="GG469" s="542"/>
      <c r="GH469" s="542"/>
      <c r="GI469" s="542"/>
      <c r="GJ469" s="542"/>
      <c r="GK469" s="542"/>
      <c r="GL469" s="542"/>
      <c r="GM469" s="542"/>
      <c r="GN469" s="542"/>
      <c r="GO469" s="542"/>
      <c r="GP469" s="542"/>
      <c r="GQ469" s="542"/>
      <c r="GR469" s="542"/>
      <c r="GS469" s="542"/>
      <c r="GT469" s="542"/>
      <c r="GU469" s="542"/>
      <c r="GV469" s="542"/>
      <c r="GW469" s="542"/>
      <c r="GX469" s="542"/>
      <c r="GY469" s="542"/>
      <c r="GZ469" s="542"/>
      <c r="HA469" s="542"/>
      <c r="HB469" s="542"/>
      <c r="HC469" s="542"/>
      <c r="HD469" s="542"/>
      <c r="HE469" s="542"/>
      <c r="HF469" s="542"/>
      <c r="HG469" s="542"/>
      <c r="HH469" s="542"/>
      <c r="HI469" s="542"/>
      <c r="HJ469" s="542"/>
      <c r="HK469" s="542"/>
      <c r="HL469" s="542"/>
      <c r="HM469" s="542"/>
      <c r="HN469" s="542"/>
      <c r="HO469" s="542"/>
      <c r="HP469" s="542"/>
      <c r="HQ469" s="542"/>
      <c r="HR469" s="542"/>
      <c r="HS469" s="542"/>
      <c r="HT469" s="542"/>
      <c r="HU469" s="542"/>
      <c r="HV469" s="542"/>
      <c r="HW469" s="542"/>
      <c r="HX469" s="542"/>
      <c r="HY469" s="542"/>
      <c r="HZ469" s="542"/>
      <c r="IA469" s="542"/>
      <c r="IB469" s="542"/>
      <c r="IC469" s="542"/>
      <c r="ID469" s="542"/>
      <c r="IE469" s="542"/>
      <c r="IF469" s="542"/>
      <c r="IG469" s="542"/>
      <c r="IH469" s="542"/>
      <c r="II469" s="542"/>
      <c r="IJ469" s="542"/>
      <c r="IK469" s="542"/>
      <c r="IL469" s="542"/>
      <c r="IM469" s="542"/>
      <c r="IN469" s="542"/>
      <c r="IO469" s="542"/>
      <c r="IP469" s="542"/>
      <c r="IQ469" s="542"/>
      <c r="IR469" s="542"/>
      <c r="IS469" s="542"/>
      <c r="IT469" s="542"/>
      <c r="IU469" s="542"/>
      <c r="IV469" s="542"/>
      <c r="IW469" s="542"/>
      <c r="IX469" s="542"/>
      <c r="IY469" s="542"/>
      <c r="IZ469" s="542"/>
      <c r="JA469" s="542"/>
      <c r="JB469" s="542"/>
    </row>
    <row r="470" spans="104:262" ht="18.899999999999999" customHeight="1">
      <c r="CZ470" s="542"/>
      <c r="DA470" s="542"/>
      <c r="DB470" s="542"/>
      <c r="DC470" s="542"/>
      <c r="DD470" s="542"/>
      <c r="DE470" s="542"/>
      <c r="DF470" s="542"/>
      <c r="DG470" s="542"/>
      <c r="DH470" s="542"/>
      <c r="DI470" s="542"/>
      <c r="DJ470" s="542"/>
      <c r="DK470" s="542"/>
      <c r="DL470" s="542"/>
      <c r="DM470" s="542"/>
      <c r="DN470" s="542"/>
      <c r="DO470" s="542"/>
      <c r="DP470" s="542"/>
      <c r="DQ470" s="542"/>
      <c r="DR470" s="542"/>
      <c r="DS470" s="542"/>
      <c r="DT470" s="542"/>
      <c r="DU470" s="542"/>
      <c r="DV470" s="542"/>
      <c r="DW470" s="542"/>
      <c r="DX470" s="542"/>
      <c r="DY470" s="542"/>
      <c r="DZ470" s="542"/>
      <c r="EA470" s="542"/>
      <c r="EB470" s="542"/>
      <c r="EC470" s="542"/>
      <c r="ED470" s="542"/>
      <c r="EE470" s="542"/>
      <c r="EF470" s="542"/>
      <c r="EG470" s="542"/>
      <c r="EH470" s="542"/>
      <c r="EI470" s="542"/>
      <c r="EJ470" s="542"/>
      <c r="EK470" s="542"/>
      <c r="EL470" s="542"/>
      <c r="EM470" s="542"/>
      <c r="EN470" s="542"/>
      <c r="EO470" s="542"/>
      <c r="EP470" s="542"/>
      <c r="EQ470" s="542"/>
      <c r="ER470" s="542"/>
      <c r="ES470" s="542"/>
      <c r="ET470" s="542"/>
      <c r="EU470" s="542"/>
      <c r="EV470" s="542"/>
      <c r="EW470" s="542"/>
      <c r="EX470" s="542"/>
      <c r="EY470" s="542"/>
      <c r="EZ470" s="542"/>
      <c r="FA470" s="542"/>
      <c r="FB470" s="542"/>
      <c r="FC470" s="542"/>
      <c r="FD470" s="542"/>
      <c r="FE470" s="542"/>
      <c r="FF470" s="542"/>
      <c r="FG470" s="542"/>
      <c r="FH470" s="542"/>
      <c r="FI470" s="542"/>
      <c r="FJ470" s="542"/>
      <c r="FK470" s="542"/>
      <c r="FL470" s="542"/>
      <c r="FM470" s="542"/>
      <c r="FN470" s="542"/>
      <c r="FO470" s="542"/>
      <c r="FP470" s="542"/>
      <c r="FQ470" s="542"/>
      <c r="FR470" s="542"/>
      <c r="FS470" s="542"/>
      <c r="FT470" s="542"/>
      <c r="FU470" s="542"/>
      <c r="FV470" s="542"/>
      <c r="FW470" s="542"/>
      <c r="FX470" s="542"/>
      <c r="FY470" s="542"/>
      <c r="FZ470" s="542"/>
      <c r="GA470" s="542"/>
      <c r="GB470" s="542"/>
      <c r="GC470" s="542"/>
      <c r="GD470" s="542"/>
      <c r="GE470" s="542"/>
      <c r="GF470" s="542"/>
      <c r="GG470" s="542"/>
      <c r="GH470" s="542"/>
      <c r="GI470" s="542"/>
      <c r="GJ470" s="542"/>
      <c r="GK470" s="542"/>
      <c r="GL470" s="542"/>
      <c r="GM470" s="542"/>
      <c r="GN470" s="542"/>
      <c r="GO470" s="542"/>
      <c r="GP470" s="542"/>
      <c r="GQ470" s="542"/>
      <c r="GR470" s="542"/>
      <c r="GS470" s="542"/>
      <c r="GT470" s="542"/>
      <c r="GU470" s="542"/>
      <c r="GV470" s="542"/>
      <c r="GW470" s="542"/>
      <c r="GX470" s="542"/>
      <c r="GY470" s="542"/>
      <c r="GZ470" s="542"/>
      <c r="HA470" s="542"/>
      <c r="HB470" s="542"/>
      <c r="HC470" s="542"/>
      <c r="HD470" s="542"/>
      <c r="HE470" s="542"/>
      <c r="HF470" s="542"/>
      <c r="HG470" s="542"/>
      <c r="HH470" s="542"/>
      <c r="HI470" s="542"/>
      <c r="HJ470" s="542"/>
      <c r="HK470" s="542"/>
      <c r="HL470" s="542"/>
      <c r="HM470" s="542"/>
      <c r="HN470" s="542"/>
      <c r="HO470" s="542"/>
      <c r="HP470" s="542"/>
      <c r="HQ470" s="542"/>
      <c r="HR470" s="542"/>
      <c r="HS470" s="542"/>
      <c r="HT470" s="542"/>
      <c r="HU470" s="542"/>
      <c r="HV470" s="542"/>
      <c r="HW470" s="542"/>
      <c r="HX470" s="542"/>
      <c r="HY470" s="542"/>
      <c r="HZ470" s="542"/>
      <c r="IA470" s="542"/>
      <c r="IB470" s="542"/>
      <c r="IC470" s="542"/>
      <c r="ID470" s="542"/>
      <c r="IE470" s="542"/>
      <c r="IF470" s="542"/>
      <c r="IG470" s="542"/>
      <c r="IH470" s="542"/>
      <c r="II470" s="542"/>
      <c r="IJ470" s="542"/>
      <c r="IK470" s="542"/>
      <c r="IL470" s="542"/>
      <c r="IM470" s="542"/>
      <c r="IN470" s="542"/>
      <c r="IO470" s="542"/>
      <c r="IP470" s="542"/>
      <c r="IQ470" s="542"/>
      <c r="IR470" s="542"/>
      <c r="IS470" s="542"/>
      <c r="IT470" s="542"/>
      <c r="IU470" s="542"/>
      <c r="IV470" s="542"/>
      <c r="IW470" s="542"/>
      <c r="IX470" s="542"/>
      <c r="IY470" s="542"/>
      <c r="IZ470" s="542"/>
      <c r="JA470" s="542"/>
      <c r="JB470" s="542"/>
    </row>
    <row r="471" spans="104:262" ht="18.899999999999999" customHeight="1">
      <c r="CZ471" s="542"/>
      <c r="DA471" s="542"/>
      <c r="DB471" s="542"/>
      <c r="DC471" s="542"/>
      <c r="DD471" s="542"/>
      <c r="DE471" s="542"/>
      <c r="DF471" s="542"/>
      <c r="DG471" s="542"/>
      <c r="DH471" s="542"/>
      <c r="DI471" s="542"/>
      <c r="DJ471" s="542"/>
      <c r="DK471" s="542"/>
      <c r="DL471" s="542"/>
      <c r="DM471" s="542"/>
      <c r="DN471" s="542"/>
      <c r="DO471" s="542"/>
      <c r="DP471" s="542"/>
      <c r="DQ471" s="542"/>
      <c r="DR471" s="542"/>
      <c r="DS471" s="542"/>
      <c r="DT471" s="542"/>
      <c r="DU471" s="542"/>
      <c r="DV471" s="542"/>
      <c r="DW471" s="542"/>
      <c r="DX471" s="542"/>
      <c r="DY471" s="542"/>
      <c r="DZ471" s="542"/>
      <c r="EA471" s="542"/>
      <c r="EB471" s="542"/>
      <c r="EC471" s="542"/>
      <c r="ED471" s="542"/>
      <c r="EE471" s="542"/>
      <c r="EF471" s="542"/>
      <c r="EG471" s="542"/>
      <c r="EH471" s="542"/>
      <c r="EI471" s="542"/>
      <c r="EJ471" s="542"/>
      <c r="EK471" s="542"/>
      <c r="EL471" s="542"/>
      <c r="EM471" s="542"/>
      <c r="EN471" s="542"/>
      <c r="EO471" s="542"/>
      <c r="EP471" s="542"/>
      <c r="EQ471" s="542"/>
      <c r="ER471" s="542"/>
      <c r="ES471" s="542"/>
      <c r="ET471" s="542"/>
      <c r="EU471" s="542"/>
      <c r="EV471" s="542"/>
      <c r="EW471" s="542"/>
      <c r="EX471" s="542"/>
      <c r="EY471" s="542"/>
      <c r="EZ471" s="542"/>
      <c r="FA471" s="542"/>
      <c r="FB471" s="542"/>
      <c r="FC471" s="542"/>
      <c r="FD471" s="542"/>
      <c r="FE471" s="542"/>
      <c r="FF471" s="542"/>
      <c r="FG471" s="542"/>
      <c r="FH471" s="542"/>
      <c r="FI471" s="542"/>
      <c r="FJ471" s="542"/>
      <c r="FK471" s="542"/>
      <c r="FL471" s="542"/>
      <c r="FM471" s="542"/>
      <c r="FN471" s="542"/>
      <c r="FO471" s="542"/>
      <c r="FP471" s="542"/>
      <c r="FQ471" s="542"/>
      <c r="FR471" s="542"/>
      <c r="FS471" s="542"/>
      <c r="FT471" s="542"/>
      <c r="FU471" s="542"/>
      <c r="FV471" s="542"/>
      <c r="FW471" s="542"/>
      <c r="FX471" s="542"/>
      <c r="FY471" s="542"/>
      <c r="FZ471" s="542"/>
      <c r="GA471" s="542"/>
      <c r="GB471" s="542"/>
      <c r="GC471" s="542"/>
      <c r="GD471" s="542"/>
      <c r="GE471" s="542"/>
      <c r="GF471" s="542"/>
      <c r="GG471" s="542"/>
      <c r="GH471" s="542"/>
      <c r="GI471" s="542"/>
      <c r="GJ471" s="542"/>
      <c r="GK471" s="542"/>
      <c r="GL471" s="542"/>
      <c r="GM471" s="542"/>
      <c r="GN471" s="542"/>
      <c r="GO471" s="542"/>
      <c r="GP471" s="542"/>
      <c r="GQ471" s="542"/>
      <c r="GR471" s="542"/>
      <c r="GS471" s="542"/>
      <c r="GT471" s="542"/>
      <c r="GU471" s="542"/>
      <c r="GV471" s="542"/>
      <c r="GW471" s="542"/>
      <c r="GX471" s="542"/>
      <c r="GY471" s="542"/>
      <c r="GZ471" s="542"/>
      <c r="HA471" s="542"/>
      <c r="HB471" s="542"/>
      <c r="HC471" s="542"/>
      <c r="HD471" s="542"/>
      <c r="HE471" s="542"/>
      <c r="HF471" s="542"/>
      <c r="HG471" s="542"/>
      <c r="HH471" s="542"/>
      <c r="HI471" s="542"/>
      <c r="HJ471" s="542"/>
      <c r="HK471" s="542"/>
      <c r="HL471" s="542"/>
      <c r="HM471" s="542"/>
      <c r="HN471" s="542"/>
      <c r="HO471" s="542"/>
      <c r="HP471" s="542"/>
      <c r="HQ471" s="542"/>
      <c r="HR471" s="542"/>
      <c r="HS471" s="542"/>
      <c r="HT471" s="542"/>
      <c r="HU471" s="542"/>
      <c r="HV471" s="542"/>
      <c r="HW471" s="542"/>
      <c r="HX471" s="542"/>
      <c r="HY471" s="542"/>
      <c r="HZ471" s="542"/>
      <c r="IA471" s="542"/>
      <c r="IB471" s="542"/>
      <c r="IC471" s="542"/>
      <c r="ID471" s="542"/>
      <c r="IE471" s="542"/>
      <c r="IF471" s="542"/>
      <c r="IG471" s="542"/>
      <c r="IH471" s="542"/>
      <c r="II471" s="542"/>
      <c r="IJ471" s="542"/>
      <c r="IK471" s="542"/>
      <c r="IL471" s="542"/>
      <c r="IM471" s="542"/>
      <c r="IN471" s="542"/>
      <c r="IO471" s="542"/>
      <c r="IP471" s="542"/>
      <c r="IQ471" s="542"/>
      <c r="IR471" s="542"/>
      <c r="IS471" s="542"/>
      <c r="IT471" s="542"/>
      <c r="IU471" s="542"/>
      <c r="IV471" s="542"/>
      <c r="IW471" s="542"/>
      <c r="IX471" s="542"/>
      <c r="IY471" s="542"/>
      <c r="IZ471" s="542"/>
      <c r="JA471" s="542"/>
      <c r="JB471" s="542"/>
    </row>
    <row r="472" spans="104:262" ht="18.899999999999999" customHeight="1">
      <c r="CZ472" s="542"/>
      <c r="DA472" s="542"/>
      <c r="DB472" s="542"/>
      <c r="DC472" s="542"/>
      <c r="DD472" s="542"/>
      <c r="DE472" s="542"/>
      <c r="DF472" s="542"/>
      <c r="DG472" s="542"/>
      <c r="DH472" s="542"/>
      <c r="DI472" s="542"/>
      <c r="DJ472" s="542"/>
      <c r="DK472" s="542"/>
      <c r="DL472" s="542"/>
      <c r="DM472" s="542"/>
      <c r="DN472" s="542"/>
      <c r="DO472" s="542"/>
      <c r="DP472" s="542"/>
      <c r="DQ472" s="542"/>
      <c r="DR472" s="542"/>
      <c r="DS472" s="542"/>
      <c r="DT472" s="542"/>
      <c r="DU472" s="542"/>
      <c r="DV472" s="542"/>
      <c r="DW472" s="542"/>
      <c r="DX472" s="542"/>
      <c r="DY472" s="542"/>
      <c r="DZ472" s="542"/>
      <c r="EA472" s="542"/>
      <c r="EB472" s="542"/>
      <c r="EC472" s="542"/>
      <c r="ED472" s="542"/>
      <c r="EE472" s="542"/>
      <c r="EF472" s="542"/>
      <c r="EG472" s="542"/>
      <c r="EH472" s="542"/>
      <c r="EI472" s="542"/>
      <c r="EJ472" s="542"/>
      <c r="EK472" s="542"/>
      <c r="EL472" s="542"/>
      <c r="EM472" s="542"/>
      <c r="EN472" s="542"/>
      <c r="EO472" s="542"/>
      <c r="EP472" s="542"/>
      <c r="EQ472" s="542"/>
      <c r="ER472" s="542"/>
      <c r="ES472" s="542"/>
      <c r="ET472" s="542"/>
      <c r="EU472" s="542"/>
      <c r="EV472" s="542"/>
      <c r="EW472" s="542"/>
      <c r="EX472" s="542"/>
      <c r="EY472" s="542"/>
      <c r="EZ472" s="542"/>
      <c r="FA472" s="542"/>
      <c r="FB472" s="542"/>
      <c r="FC472" s="542"/>
      <c r="FD472" s="542"/>
      <c r="FE472" s="542"/>
      <c r="FF472" s="542"/>
      <c r="FG472" s="542"/>
      <c r="FH472" s="542"/>
      <c r="FI472" s="542"/>
      <c r="FJ472" s="542"/>
      <c r="FK472" s="542"/>
      <c r="FL472" s="542"/>
      <c r="FM472" s="542"/>
      <c r="FN472" s="542"/>
      <c r="FO472" s="542"/>
      <c r="FP472" s="542"/>
      <c r="FQ472" s="542"/>
      <c r="FR472" s="542"/>
      <c r="FS472" s="542"/>
      <c r="FT472" s="542"/>
      <c r="FU472" s="542"/>
      <c r="FV472" s="542"/>
      <c r="FW472" s="542"/>
      <c r="FX472" s="542"/>
      <c r="FY472" s="542"/>
      <c r="FZ472" s="542"/>
      <c r="GA472" s="542"/>
      <c r="GB472" s="542"/>
      <c r="GC472" s="542"/>
      <c r="GD472" s="542"/>
      <c r="GE472" s="542"/>
      <c r="GF472" s="542"/>
      <c r="GG472" s="542"/>
      <c r="GH472" s="542"/>
      <c r="GI472" s="542"/>
      <c r="GJ472" s="542"/>
      <c r="GK472" s="542"/>
      <c r="GL472" s="542"/>
      <c r="GM472" s="542"/>
      <c r="GN472" s="542"/>
      <c r="GO472" s="542"/>
      <c r="GP472" s="542"/>
      <c r="GQ472" s="542"/>
      <c r="GR472" s="542"/>
      <c r="GS472" s="542"/>
      <c r="GT472" s="542"/>
      <c r="GU472" s="542"/>
      <c r="GV472" s="542"/>
      <c r="GW472" s="542"/>
      <c r="GX472" s="542"/>
      <c r="GY472" s="542"/>
      <c r="GZ472" s="542"/>
      <c r="HA472" s="542"/>
      <c r="HB472" s="542"/>
      <c r="HC472" s="542"/>
      <c r="HD472" s="542"/>
      <c r="HE472" s="542"/>
      <c r="HF472" s="542"/>
      <c r="HG472" s="542"/>
      <c r="HH472" s="542"/>
      <c r="HI472" s="542"/>
      <c r="HJ472" s="542"/>
      <c r="HK472" s="542"/>
      <c r="HL472" s="542"/>
      <c r="HM472" s="542"/>
      <c r="HN472" s="542"/>
      <c r="HO472" s="542"/>
      <c r="HP472" s="542"/>
      <c r="HQ472" s="542"/>
      <c r="HR472" s="542"/>
      <c r="HS472" s="542"/>
      <c r="HT472" s="542"/>
      <c r="HU472" s="542"/>
      <c r="HV472" s="542"/>
      <c r="HW472" s="542"/>
      <c r="HX472" s="542"/>
      <c r="HY472" s="542"/>
      <c r="HZ472" s="542"/>
      <c r="IA472" s="542"/>
      <c r="IB472" s="542"/>
      <c r="IC472" s="542"/>
      <c r="ID472" s="542"/>
      <c r="IE472" s="542"/>
      <c r="IF472" s="542"/>
      <c r="IG472" s="542"/>
      <c r="IH472" s="542"/>
      <c r="II472" s="542"/>
      <c r="IJ472" s="542"/>
      <c r="IK472" s="542"/>
      <c r="IL472" s="542"/>
      <c r="IM472" s="542"/>
      <c r="IN472" s="542"/>
      <c r="IO472" s="542"/>
      <c r="IP472" s="542"/>
      <c r="IQ472" s="542"/>
      <c r="IR472" s="542"/>
      <c r="IS472" s="542"/>
      <c r="IT472" s="542"/>
      <c r="IU472" s="542"/>
      <c r="IV472" s="542"/>
      <c r="IW472" s="542"/>
      <c r="IX472" s="542"/>
      <c r="IY472" s="542"/>
      <c r="IZ472" s="542"/>
      <c r="JA472" s="542"/>
      <c r="JB472" s="542"/>
    </row>
    <row r="473" spans="104:262" ht="18.899999999999999" customHeight="1">
      <c r="CZ473" s="542"/>
      <c r="DA473" s="542"/>
      <c r="DB473" s="542"/>
      <c r="DC473" s="542"/>
      <c r="DD473" s="542"/>
      <c r="DE473" s="542"/>
      <c r="DF473" s="542"/>
      <c r="DG473" s="542"/>
      <c r="DH473" s="542"/>
      <c r="DI473" s="542"/>
      <c r="DJ473" s="542"/>
      <c r="DK473" s="542"/>
      <c r="DL473" s="542"/>
      <c r="DM473" s="542"/>
      <c r="DN473" s="542"/>
      <c r="DO473" s="542"/>
      <c r="DP473" s="542"/>
      <c r="DQ473" s="542"/>
      <c r="DR473" s="542"/>
      <c r="DS473" s="542"/>
      <c r="DT473" s="542"/>
      <c r="DU473" s="542"/>
      <c r="DV473" s="542"/>
      <c r="DW473" s="542"/>
      <c r="DX473" s="542"/>
      <c r="DY473" s="542"/>
      <c r="DZ473" s="542"/>
      <c r="EA473" s="542"/>
      <c r="EB473" s="542"/>
      <c r="EC473" s="542"/>
      <c r="ED473" s="542"/>
      <c r="EE473" s="542"/>
      <c r="EF473" s="542"/>
      <c r="EG473" s="542"/>
      <c r="EH473" s="542"/>
      <c r="EI473" s="542"/>
      <c r="EJ473" s="542"/>
      <c r="EK473" s="542"/>
      <c r="EL473" s="542"/>
      <c r="EM473" s="542"/>
      <c r="EN473" s="542"/>
      <c r="EO473" s="542"/>
      <c r="EP473" s="542"/>
      <c r="EQ473" s="542"/>
      <c r="ER473" s="542"/>
      <c r="ES473" s="542"/>
      <c r="ET473" s="542"/>
      <c r="EU473" s="542"/>
      <c r="EV473" s="542"/>
      <c r="EW473" s="542"/>
      <c r="EX473" s="542"/>
      <c r="EY473" s="542"/>
      <c r="EZ473" s="542"/>
      <c r="FA473" s="542"/>
      <c r="FB473" s="542"/>
      <c r="FC473" s="542"/>
      <c r="FD473" s="542"/>
      <c r="FE473" s="542"/>
      <c r="FF473" s="542"/>
      <c r="FG473" s="542"/>
      <c r="FH473" s="542"/>
      <c r="FI473" s="542"/>
      <c r="FJ473" s="542"/>
      <c r="FK473" s="542"/>
      <c r="FL473" s="542"/>
      <c r="FM473" s="542"/>
      <c r="FN473" s="542"/>
      <c r="FO473" s="542"/>
      <c r="FP473" s="542"/>
      <c r="FQ473" s="542"/>
      <c r="FR473" s="542"/>
      <c r="FS473" s="542"/>
      <c r="FT473" s="542"/>
      <c r="FU473" s="542"/>
      <c r="FV473" s="542"/>
      <c r="FW473" s="542"/>
      <c r="FX473" s="542"/>
      <c r="FY473" s="542"/>
      <c r="FZ473" s="542"/>
      <c r="GA473" s="542"/>
      <c r="GB473" s="542"/>
      <c r="GC473" s="542"/>
      <c r="GD473" s="542"/>
      <c r="GE473" s="542"/>
      <c r="GF473" s="542"/>
      <c r="GG473" s="542"/>
      <c r="GH473" s="542"/>
      <c r="GI473" s="542"/>
      <c r="GJ473" s="542"/>
      <c r="GK473" s="542"/>
      <c r="GL473" s="542"/>
      <c r="GM473" s="542"/>
      <c r="GN473" s="542"/>
      <c r="GO473" s="542"/>
      <c r="GP473" s="542"/>
      <c r="GQ473" s="542"/>
      <c r="GR473" s="542"/>
      <c r="GS473" s="542"/>
      <c r="GT473" s="542"/>
      <c r="GU473" s="542"/>
      <c r="GV473" s="542"/>
      <c r="GW473" s="542"/>
      <c r="GX473" s="542"/>
      <c r="GY473" s="542"/>
      <c r="GZ473" s="542"/>
      <c r="HA473" s="542"/>
      <c r="HB473" s="542"/>
      <c r="HC473" s="542"/>
      <c r="HD473" s="542"/>
      <c r="HE473" s="542"/>
      <c r="HF473" s="542"/>
      <c r="HG473" s="542"/>
      <c r="HH473" s="542"/>
      <c r="HI473" s="542"/>
      <c r="HJ473" s="542"/>
      <c r="HK473" s="542"/>
      <c r="HL473" s="542"/>
      <c r="HM473" s="542"/>
      <c r="HN473" s="542"/>
      <c r="HO473" s="542"/>
      <c r="HP473" s="542"/>
      <c r="HQ473" s="542"/>
      <c r="HR473" s="542"/>
      <c r="HS473" s="542"/>
      <c r="HT473" s="542"/>
      <c r="HU473" s="542"/>
      <c r="HV473" s="542"/>
      <c r="HW473" s="542"/>
      <c r="HX473" s="542"/>
      <c r="HY473" s="542"/>
      <c r="HZ473" s="542"/>
      <c r="IA473" s="542"/>
      <c r="IB473" s="542"/>
      <c r="IC473" s="542"/>
      <c r="ID473" s="542"/>
      <c r="IE473" s="542"/>
      <c r="IF473" s="542"/>
      <c r="IG473" s="542"/>
      <c r="IH473" s="542"/>
      <c r="II473" s="542"/>
      <c r="IJ473" s="542"/>
      <c r="IK473" s="542"/>
      <c r="IL473" s="542"/>
      <c r="IM473" s="542"/>
      <c r="IN473" s="542"/>
      <c r="IO473" s="542"/>
      <c r="IP473" s="542"/>
      <c r="IQ473" s="542"/>
      <c r="IR473" s="542"/>
      <c r="IS473" s="542"/>
      <c r="IT473" s="542"/>
      <c r="IU473" s="542"/>
      <c r="IV473" s="542"/>
      <c r="IW473" s="542"/>
      <c r="IX473" s="542"/>
      <c r="IY473" s="542"/>
      <c r="IZ473" s="542"/>
      <c r="JA473" s="542"/>
      <c r="JB473" s="542"/>
    </row>
    <row r="474" spans="104:262" ht="18.899999999999999" customHeight="1">
      <c r="CZ474" s="542"/>
      <c r="DA474" s="542"/>
      <c r="DB474" s="542"/>
      <c r="DC474" s="542"/>
      <c r="DD474" s="542"/>
      <c r="DE474" s="542"/>
      <c r="DF474" s="542"/>
      <c r="DG474" s="542"/>
      <c r="DH474" s="542"/>
      <c r="DI474" s="542"/>
      <c r="DJ474" s="542"/>
      <c r="DK474" s="542"/>
      <c r="DL474" s="542"/>
      <c r="DM474" s="542"/>
      <c r="DN474" s="542"/>
      <c r="DO474" s="542"/>
      <c r="DP474" s="542"/>
      <c r="DQ474" s="542"/>
      <c r="DR474" s="542"/>
      <c r="DS474" s="542"/>
      <c r="DT474" s="542"/>
      <c r="DU474" s="542"/>
      <c r="DV474" s="542"/>
      <c r="DW474" s="542"/>
      <c r="DX474" s="542"/>
      <c r="DY474" s="542"/>
      <c r="DZ474" s="542"/>
      <c r="EA474" s="542"/>
      <c r="EB474" s="542"/>
      <c r="EC474" s="542"/>
      <c r="ED474" s="542"/>
      <c r="EE474" s="542"/>
      <c r="EF474" s="542"/>
      <c r="EG474" s="542"/>
      <c r="EH474" s="542"/>
      <c r="EI474" s="542"/>
      <c r="EJ474" s="542"/>
      <c r="EK474" s="542"/>
      <c r="EL474" s="542"/>
      <c r="EM474" s="542"/>
      <c r="EN474" s="542"/>
      <c r="EO474" s="542"/>
      <c r="EP474" s="542"/>
      <c r="EQ474" s="542"/>
      <c r="ER474" s="542"/>
      <c r="ES474" s="542"/>
      <c r="ET474" s="542"/>
      <c r="EU474" s="542"/>
      <c r="EV474" s="542"/>
      <c r="EW474" s="542"/>
      <c r="EX474" s="542"/>
      <c r="EY474" s="542"/>
      <c r="EZ474" s="542"/>
      <c r="FA474" s="542"/>
      <c r="FB474" s="542"/>
      <c r="FC474" s="542"/>
      <c r="FD474" s="542"/>
      <c r="FE474" s="542"/>
      <c r="FF474" s="542"/>
      <c r="FG474" s="542"/>
      <c r="FH474" s="542"/>
      <c r="FI474" s="542"/>
      <c r="FJ474" s="542"/>
      <c r="FK474" s="542"/>
      <c r="FL474" s="542"/>
      <c r="FM474" s="542"/>
      <c r="FN474" s="542"/>
      <c r="FO474" s="542"/>
      <c r="FP474" s="542"/>
      <c r="FQ474" s="542"/>
      <c r="FR474" s="542"/>
      <c r="FS474" s="542"/>
      <c r="FT474" s="542"/>
      <c r="FU474" s="542"/>
      <c r="FV474" s="542"/>
      <c r="FW474" s="542"/>
      <c r="FX474" s="542"/>
      <c r="FY474" s="542"/>
      <c r="FZ474" s="542"/>
      <c r="GA474" s="542"/>
      <c r="GB474" s="542"/>
      <c r="GC474" s="542"/>
      <c r="GD474" s="542"/>
      <c r="GE474" s="542"/>
      <c r="GF474" s="542"/>
      <c r="GG474" s="542"/>
      <c r="GH474" s="542"/>
      <c r="GI474" s="542"/>
      <c r="GJ474" s="542"/>
      <c r="GK474" s="542"/>
      <c r="GL474" s="542"/>
      <c r="GM474" s="542"/>
      <c r="GN474" s="542"/>
      <c r="GO474" s="542"/>
      <c r="GP474" s="542"/>
      <c r="GQ474" s="542"/>
      <c r="GR474" s="542"/>
      <c r="GS474" s="542"/>
      <c r="GT474" s="542"/>
      <c r="GU474" s="542"/>
      <c r="GV474" s="542"/>
      <c r="GW474" s="542"/>
      <c r="GX474" s="542"/>
      <c r="GY474" s="542"/>
      <c r="GZ474" s="542"/>
      <c r="HA474" s="542"/>
      <c r="HB474" s="542"/>
      <c r="HC474" s="542"/>
      <c r="HD474" s="542"/>
      <c r="HE474" s="542"/>
      <c r="HF474" s="542"/>
      <c r="HG474" s="542"/>
      <c r="HH474" s="542"/>
      <c r="HI474" s="542"/>
      <c r="HJ474" s="542"/>
      <c r="HK474" s="542"/>
      <c r="HL474" s="542"/>
      <c r="HM474" s="542"/>
      <c r="HN474" s="542"/>
      <c r="HO474" s="542"/>
      <c r="HP474" s="542"/>
      <c r="HQ474" s="542"/>
      <c r="HR474" s="542"/>
      <c r="HS474" s="542"/>
      <c r="HT474" s="542"/>
      <c r="HU474" s="542"/>
      <c r="HV474" s="542"/>
      <c r="HW474" s="542"/>
      <c r="HX474" s="542"/>
      <c r="HY474" s="542"/>
      <c r="HZ474" s="542"/>
      <c r="IA474" s="542"/>
      <c r="IB474" s="542"/>
      <c r="IC474" s="542"/>
      <c r="ID474" s="542"/>
      <c r="IE474" s="542"/>
      <c r="IF474" s="542"/>
      <c r="IG474" s="542"/>
      <c r="IH474" s="542"/>
      <c r="II474" s="542"/>
      <c r="IJ474" s="542"/>
      <c r="IK474" s="542"/>
      <c r="IL474" s="542"/>
      <c r="IM474" s="542"/>
      <c r="IN474" s="542"/>
      <c r="IO474" s="542"/>
      <c r="IP474" s="542"/>
      <c r="IQ474" s="542"/>
      <c r="IR474" s="542"/>
      <c r="IS474" s="542"/>
      <c r="IT474" s="542"/>
      <c r="IU474" s="542"/>
      <c r="IV474" s="542"/>
      <c r="IW474" s="542"/>
      <c r="IX474" s="542"/>
      <c r="IY474" s="542"/>
      <c r="IZ474" s="542"/>
      <c r="JA474" s="542"/>
      <c r="JB474" s="542"/>
    </row>
    <row r="475" spans="104:262" ht="18.899999999999999" customHeight="1">
      <c r="CZ475" s="542"/>
      <c r="DA475" s="542"/>
      <c r="DB475" s="542"/>
      <c r="DC475" s="542"/>
      <c r="DD475" s="542"/>
      <c r="DE475" s="542"/>
      <c r="DF475" s="542"/>
      <c r="DG475" s="542"/>
      <c r="DH475" s="542"/>
      <c r="DI475" s="542"/>
      <c r="DJ475" s="542"/>
      <c r="DK475" s="542"/>
      <c r="DL475" s="542"/>
      <c r="DM475" s="542"/>
      <c r="DN475" s="542"/>
      <c r="DO475" s="542"/>
      <c r="DP475" s="542"/>
      <c r="DQ475" s="542"/>
      <c r="DR475" s="542"/>
      <c r="DS475" s="542"/>
      <c r="DT475" s="542"/>
      <c r="DU475" s="542"/>
      <c r="DV475" s="542"/>
      <c r="DW475" s="542"/>
      <c r="DX475" s="542"/>
      <c r="DY475" s="542"/>
      <c r="DZ475" s="542"/>
      <c r="EA475" s="542"/>
      <c r="EB475" s="542"/>
      <c r="EC475" s="542"/>
      <c r="ED475" s="542"/>
      <c r="EE475" s="542"/>
      <c r="EF475" s="542"/>
      <c r="EG475" s="542"/>
      <c r="EH475" s="542"/>
      <c r="EI475" s="542"/>
      <c r="EJ475" s="542"/>
      <c r="EK475" s="542"/>
      <c r="EL475" s="542"/>
      <c r="EM475" s="542"/>
      <c r="EN475" s="542"/>
      <c r="EO475" s="542"/>
      <c r="EP475" s="542"/>
      <c r="EQ475" s="542"/>
      <c r="ER475" s="542"/>
      <c r="ES475" s="542"/>
      <c r="ET475" s="542"/>
      <c r="EU475" s="542"/>
      <c r="EV475" s="542"/>
      <c r="EW475" s="542"/>
      <c r="EX475" s="542"/>
      <c r="EY475" s="542"/>
      <c r="EZ475" s="542"/>
      <c r="FA475" s="542"/>
      <c r="FB475" s="542"/>
      <c r="FC475" s="542"/>
      <c r="FD475" s="542"/>
      <c r="FE475" s="542"/>
      <c r="FF475" s="542"/>
      <c r="FG475" s="542"/>
      <c r="FH475" s="542"/>
      <c r="FI475" s="542"/>
      <c r="FJ475" s="542"/>
      <c r="FK475" s="542"/>
      <c r="FL475" s="542"/>
      <c r="FM475" s="542"/>
      <c r="FN475" s="542"/>
      <c r="FO475" s="542"/>
      <c r="FP475" s="542"/>
      <c r="FQ475" s="542"/>
      <c r="FR475" s="542"/>
      <c r="FS475" s="542"/>
      <c r="FT475" s="542"/>
      <c r="FU475" s="542"/>
      <c r="FV475" s="542"/>
      <c r="FW475" s="542"/>
      <c r="FX475" s="542"/>
      <c r="FY475" s="542"/>
      <c r="FZ475" s="542"/>
      <c r="GA475" s="542"/>
      <c r="GB475" s="542"/>
      <c r="GC475" s="542"/>
      <c r="GD475" s="542"/>
      <c r="GE475" s="542"/>
      <c r="GF475" s="542"/>
      <c r="GG475" s="542"/>
      <c r="GH475" s="542"/>
      <c r="GI475" s="542"/>
      <c r="GJ475" s="542"/>
      <c r="GK475" s="542"/>
      <c r="GL475" s="542"/>
      <c r="GM475" s="542"/>
      <c r="GN475" s="542"/>
      <c r="GO475" s="542"/>
      <c r="GP475" s="542"/>
      <c r="GQ475" s="542"/>
      <c r="GR475" s="542"/>
      <c r="GS475" s="542"/>
      <c r="GT475" s="542"/>
      <c r="GU475" s="542"/>
      <c r="GV475" s="542"/>
      <c r="GW475" s="542"/>
      <c r="GX475" s="542"/>
      <c r="GY475" s="542"/>
      <c r="GZ475" s="542"/>
      <c r="HA475" s="542"/>
      <c r="HB475" s="542"/>
      <c r="HC475" s="542"/>
      <c r="HD475" s="542"/>
      <c r="HE475" s="542"/>
      <c r="HF475" s="542"/>
      <c r="HG475" s="542"/>
      <c r="HH475" s="542"/>
      <c r="HI475" s="542"/>
      <c r="HJ475" s="542"/>
      <c r="HK475" s="542"/>
      <c r="HL475" s="542"/>
      <c r="HM475" s="542"/>
      <c r="HN475" s="542"/>
      <c r="HO475" s="542"/>
      <c r="HP475" s="542"/>
      <c r="HQ475" s="542"/>
      <c r="HR475" s="542"/>
      <c r="HS475" s="542"/>
      <c r="HT475" s="542"/>
      <c r="HU475" s="542"/>
      <c r="HV475" s="542"/>
      <c r="HW475" s="542"/>
      <c r="HX475" s="542"/>
      <c r="HY475" s="542"/>
      <c r="HZ475" s="542"/>
      <c r="IA475" s="542"/>
      <c r="IB475" s="542"/>
      <c r="IC475" s="542"/>
      <c r="ID475" s="542"/>
      <c r="IE475" s="542"/>
      <c r="IF475" s="542"/>
      <c r="IG475" s="542"/>
      <c r="IH475" s="542"/>
      <c r="II475" s="542"/>
      <c r="IJ475" s="542"/>
      <c r="IK475" s="542"/>
      <c r="IL475" s="542"/>
      <c r="IM475" s="542"/>
      <c r="IN475" s="542"/>
      <c r="IO475" s="542"/>
      <c r="IP475" s="542"/>
      <c r="IQ475" s="542"/>
      <c r="IR475" s="542"/>
      <c r="IS475" s="542"/>
      <c r="IT475" s="542"/>
      <c r="IU475" s="542"/>
      <c r="IV475" s="542"/>
      <c r="IW475" s="542"/>
      <c r="IX475" s="542"/>
      <c r="IY475" s="542"/>
      <c r="IZ475" s="542"/>
      <c r="JA475" s="542"/>
      <c r="JB475" s="542"/>
    </row>
    <row r="476" spans="104:262" ht="18.899999999999999" customHeight="1">
      <c r="CZ476" s="542"/>
      <c r="DA476" s="542"/>
      <c r="DB476" s="542"/>
      <c r="DC476" s="542"/>
      <c r="DD476" s="542"/>
      <c r="DE476" s="542"/>
      <c r="DF476" s="542"/>
      <c r="DG476" s="542"/>
      <c r="DH476" s="542"/>
      <c r="DI476" s="542"/>
      <c r="DJ476" s="542"/>
      <c r="DK476" s="542"/>
      <c r="DL476" s="542"/>
      <c r="DM476" s="542"/>
      <c r="DN476" s="542"/>
      <c r="DO476" s="542"/>
      <c r="DP476" s="542"/>
      <c r="DQ476" s="542"/>
      <c r="DR476" s="542"/>
      <c r="DS476" s="542"/>
      <c r="DT476" s="542"/>
      <c r="DU476" s="542"/>
      <c r="DV476" s="542"/>
      <c r="DW476" s="542"/>
      <c r="DX476" s="542"/>
      <c r="DY476" s="542"/>
      <c r="DZ476" s="542"/>
      <c r="EA476" s="542"/>
      <c r="EB476" s="542"/>
      <c r="EC476" s="542"/>
      <c r="ED476" s="542"/>
      <c r="EE476" s="542"/>
      <c r="EF476" s="542"/>
      <c r="EG476" s="542"/>
      <c r="EH476" s="542"/>
      <c r="EI476" s="542"/>
      <c r="EJ476" s="542"/>
      <c r="EK476" s="542"/>
      <c r="EL476" s="542"/>
      <c r="EM476" s="542"/>
      <c r="EN476" s="542"/>
      <c r="EO476" s="542"/>
      <c r="EP476" s="542"/>
      <c r="EQ476" s="542"/>
      <c r="ER476" s="542"/>
      <c r="ES476" s="542"/>
      <c r="ET476" s="542"/>
      <c r="EU476" s="542"/>
      <c r="EV476" s="542"/>
      <c r="EW476" s="542"/>
      <c r="EX476" s="542"/>
      <c r="EY476" s="542"/>
      <c r="EZ476" s="542"/>
      <c r="FA476" s="542"/>
      <c r="FB476" s="542"/>
      <c r="FC476" s="542"/>
      <c r="FD476" s="542"/>
      <c r="FE476" s="542"/>
      <c r="FF476" s="542"/>
      <c r="FG476" s="542"/>
      <c r="FH476" s="542"/>
      <c r="FI476" s="542"/>
      <c r="FJ476" s="542"/>
      <c r="FK476" s="542"/>
      <c r="FL476" s="542"/>
      <c r="FM476" s="542"/>
      <c r="FN476" s="542"/>
      <c r="FO476" s="542"/>
      <c r="FP476" s="542"/>
      <c r="FQ476" s="542"/>
      <c r="FR476" s="542"/>
      <c r="FS476" s="542"/>
      <c r="FT476" s="542"/>
      <c r="FU476" s="542"/>
      <c r="FV476" s="542"/>
      <c r="FW476" s="542"/>
      <c r="FX476" s="542"/>
      <c r="FY476" s="542"/>
      <c r="FZ476" s="542"/>
      <c r="GA476" s="542"/>
      <c r="GB476" s="542"/>
      <c r="GC476" s="542"/>
      <c r="GD476" s="542"/>
      <c r="GE476" s="542"/>
      <c r="GF476" s="542"/>
      <c r="GG476" s="542"/>
      <c r="GH476" s="542"/>
      <c r="GI476" s="542"/>
      <c r="GJ476" s="542"/>
      <c r="GK476" s="542"/>
      <c r="GL476" s="542"/>
      <c r="GM476" s="542"/>
      <c r="GN476" s="542"/>
      <c r="GO476" s="542"/>
      <c r="GP476" s="542"/>
      <c r="GQ476" s="542"/>
      <c r="GR476" s="542"/>
      <c r="GS476" s="542"/>
      <c r="GT476" s="542"/>
      <c r="GU476" s="542"/>
      <c r="GV476" s="542"/>
      <c r="GW476" s="542"/>
      <c r="GX476" s="542"/>
      <c r="GY476" s="542"/>
      <c r="GZ476" s="542"/>
      <c r="HA476" s="542"/>
      <c r="HB476" s="542"/>
      <c r="HC476" s="542"/>
      <c r="HD476" s="542"/>
      <c r="HE476" s="542"/>
      <c r="HF476" s="542"/>
      <c r="HG476" s="542"/>
      <c r="HH476" s="542"/>
      <c r="HI476" s="542"/>
      <c r="HJ476" s="542"/>
      <c r="HK476" s="542"/>
      <c r="HL476" s="542"/>
      <c r="HM476" s="542"/>
      <c r="HN476" s="542"/>
      <c r="HO476" s="542"/>
      <c r="HP476" s="542"/>
      <c r="HQ476" s="542"/>
      <c r="HR476" s="542"/>
      <c r="HS476" s="542"/>
      <c r="HT476" s="542"/>
      <c r="HU476" s="542"/>
      <c r="HV476" s="542"/>
      <c r="HW476" s="542"/>
      <c r="HX476" s="542"/>
      <c r="HY476" s="542"/>
      <c r="HZ476" s="542"/>
      <c r="IA476" s="542"/>
      <c r="IB476" s="542"/>
      <c r="IC476" s="542"/>
      <c r="ID476" s="542"/>
      <c r="IE476" s="542"/>
      <c r="IF476" s="542"/>
      <c r="IG476" s="542"/>
      <c r="IH476" s="542"/>
      <c r="II476" s="542"/>
      <c r="IJ476" s="542"/>
      <c r="IK476" s="542"/>
      <c r="IL476" s="542"/>
      <c r="IM476" s="542"/>
      <c r="IN476" s="542"/>
      <c r="IO476" s="542"/>
      <c r="IP476" s="542"/>
      <c r="IQ476" s="542"/>
      <c r="IR476" s="542"/>
      <c r="IS476" s="542"/>
      <c r="IT476" s="542"/>
      <c r="IU476" s="542"/>
      <c r="IV476" s="542"/>
      <c r="IW476" s="542"/>
      <c r="IX476" s="542"/>
      <c r="IY476" s="542"/>
      <c r="IZ476" s="542"/>
      <c r="JA476" s="542"/>
      <c r="JB476" s="542"/>
    </row>
    <row r="477" spans="104:262" ht="18.899999999999999" customHeight="1">
      <c r="CZ477" s="542"/>
      <c r="DA477" s="542"/>
      <c r="DB477" s="542"/>
      <c r="DC477" s="542"/>
      <c r="DD477" s="542"/>
      <c r="DE477" s="542"/>
      <c r="DF477" s="542"/>
      <c r="DG477" s="542"/>
      <c r="DH477" s="542"/>
      <c r="DI477" s="542"/>
      <c r="DJ477" s="542"/>
      <c r="DK477" s="542"/>
      <c r="DL477" s="542"/>
      <c r="DM477" s="542"/>
      <c r="DN477" s="542"/>
      <c r="DO477" s="542"/>
      <c r="DP477" s="542"/>
      <c r="DQ477" s="542"/>
      <c r="DR477" s="542"/>
      <c r="DS477" s="542"/>
      <c r="DT477" s="542"/>
      <c r="DU477" s="542"/>
      <c r="DV477" s="542"/>
      <c r="DW477" s="542"/>
      <c r="DX477" s="542"/>
      <c r="DY477" s="542"/>
      <c r="DZ477" s="542"/>
      <c r="EA477" s="542"/>
      <c r="EB477" s="542"/>
      <c r="EC477" s="542"/>
      <c r="ED477" s="542"/>
      <c r="EE477" s="542"/>
      <c r="EF477" s="542"/>
      <c r="EG477" s="542"/>
      <c r="EH477" s="542"/>
      <c r="EI477" s="542"/>
      <c r="EJ477" s="542"/>
      <c r="EK477" s="542"/>
      <c r="EL477" s="542"/>
      <c r="EM477" s="542"/>
      <c r="EN477" s="542"/>
      <c r="EO477" s="542"/>
      <c r="EP477" s="542"/>
      <c r="EQ477" s="542"/>
      <c r="ER477" s="542"/>
      <c r="ES477" s="542"/>
      <c r="ET477" s="542"/>
      <c r="EU477" s="542"/>
      <c r="EV477" s="542"/>
      <c r="EW477" s="542"/>
      <c r="EX477" s="542"/>
      <c r="EY477" s="542"/>
      <c r="EZ477" s="542"/>
      <c r="FA477" s="542"/>
      <c r="FB477" s="542"/>
      <c r="FC477" s="542"/>
      <c r="FD477" s="542"/>
      <c r="FE477" s="542"/>
      <c r="FF477" s="542"/>
      <c r="FG477" s="542"/>
      <c r="FH477" s="542"/>
      <c r="FI477" s="542"/>
      <c r="FJ477" s="542"/>
      <c r="FK477" s="542"/>
      <c r="FL477" s="542"/>
      <c r="FM477" s="542"/>
      <c r="FN477" s="542"/>
      <c r="FO477" s="542"/>
      <c r="FP477" s="542"/>
      <c r="FQ477" s="542"/>
      <c r="FR477" s="542"/>
      <c r="FS477" s="542"/>
      <c r="FT477" s="542"/>
      <c r="FU477" s="542"/>
      <c r="FV477" s="542"/>
      <c r="FW477" s="542"/>
      <c r="FX477" s="542"/>
      <c r="FY477" s="542"/>
      <c r="FZ477" s="542"/>
      <c r="GA477" s="542"/>
      <c r="GB477" s="542"/>
      <c r="GC477" s="542"/>
      <c r="GD477" s="542"/>
      <c r="GE477" s="542"/>
      <c r="GF477" s="542"/>
      <c r="GG477" s="542"/>
      <c r="GH477" s="542"/>
      <c r="GI477" s="542"/>
      <c r="GJ477" s="542"/>
      <c r="GK477" s="542"/>
      <c r="GL477" s="542"/>
      <c r="GM477" s="542"/>
      <c r="GN477" s="542"/>
      <c r="GO477" s="542"/>
      <c r="GP477" s="542"/>
      <c r="GQ477" s="542"/>
      <c r="GR477" s="542"/>
      <c r="GS477" s="542"/>
      <c r="GT477" s="542"/>
      <c r="GU477" s="542"/>
      <c r="GV477" s="542"/>
      <c r="GW477" s="542"/>
      <c r="GX477" s="542"/>
      <c r="GY477" s="542"/>
      <c r="GZ477" s="542"/>
      <c r="HA477" s="542"/>
      <c r="HB477" s="542"/>
      <c r="HC477" s="542"/>
      <c r="HD477" s="542"/>
      <c r="HE477" s="542"/>
      <c r="HF477" s="542"/>
      <c r="HG477" s="542"/>
      <c r="HH477" s="542"/>
      <c r="HI477" s="542"/>
      <c r="HJ477" s="542"/>
      <c r="HK477" s="542"/>
      <c r="HL477" s="542"/>
      <c r="HM477" s="542"/>
      <c r="HN477" s="542"/>
      <c r="HO477" s="542"/>
      <c r="HP477" s="542"/>
      <c r="HQ477" s="542"/>
      <c r="HR477" s="542"/>
      <c r="HS477" s="542"/>
      <c r="HT477" s="542"/>
      <c r="HU477" s="542"/>
      <c r="HV477" s="542"/>
      <c r="HW477" s="542"/>
      <c r="HX477" s="542"/>
      <c r="HY477" s="542"/>
      <c r="HZ477" s="542"/>
      <c r="IA477" s="542"/>
      <c r="IB477" s="542"/>
      <c r="IC477" s="542"/>
      <c r="ID477" s="542"/>
      <c r="IE477" s="542"/>
      <c r="IF477" s="542"/>
      <c r="IG477" s="542"/>
      <c r="IH477" s="542"/>
      <c r="II477" s="542"/>
      <c r="IJ477" s="542"/>
      <c r="IK477" s="542"/>
      <c r="IL477" s="542"/>
      <c r="IM477" s="542"/>
      <c r="IN477" s="542"/>
      <c r="IO477" s="542"/>
      <c r="IP477" s="542"/>
      <c r="IQ477" s="542"/>
      <c r="IR477" s="542"/>
      <c r="IS477" s="542"/>
      <c r="IT477" s="542"/>
      <c r="IU477" s="542"/>
      <c r="IV477" s="542"/>
      <c r="IW477" s="542"/>
      <c r="IX477" s="542"/>
      <c r="IY477" s="542"/>
      <c r="IZ477" s="542"/>
      <c r="JA477" s="542"/>
      <c r="JB477" s="542"/>
    </row>
    <row r="478" spans="104:262" ht="18.899999999999999" customHeight="1">
      <c r="CZ478" s="542"/>
      <c r="DA478" s="542"/>
      <c r="DB478" s="542"/>
      <c r="DC478" s="542"/>
      <c r="DD478" s="542"/>
      <c r="DE478" s="542"/>
      <c r="DF478" s="542"/>
      <c r="DG478" s="542"/>
      <c r="DH478" s="542"/>
      <c r="DI478" s="542"/>
      <c r="DJ478" s="542"/>
      <c r="DK478" s="542"/>
      <c r="DL478" s="542"/>
      <c r="DM478" s="542"/>
      <c r="DN478" s="542"/>
      <c r="DO478" s="542"/>
      <c r="DP478" s="542"/>
      <c r="DQ478" s="542"/>
      <c r="DR478" s="542"/>
      <c r="DS478" s="542"/>
      <c r="DT478" s="542"/>
      <c r="DU478" s="542"/>
      <c r="DV478" s="542"/>
      <c r="DW478" s="542"/>
      <c r="DX478" s="542"/>
      <c r="DY478" s="542"/>
      <c r="DZ478" s="542"/>
      <c r="EA478" s="542"/>
      <c r="EB478" s="542"/>
      <c r="EC478" s="542"/>
      <c r="ED478" s="542"/>
      <c r="EE478" s="542"/>
      <c r="EF478" s="542"/>
      <c r="EG478" s="542"/>
      <c r="EH478" s="542"/>
      <c r="EI478" s="542"/>
      <c r="EJ478" s="542"/>
      <c r="EK478" s="542"/>
      <c r="EL478" s="542"/>
      <c r="EM478" s="542"/>
      <c r="EN478" s="542"/>
      <c r="EO478" s="542"/>
      <c r="EP478" s="542"/>
      <c r="EQ478" s="542"/>
      <c r="ER478" s="542"/>
      <c r="ES478" s="542"/>
      <c r="ET478" s="542"/>
      <c r="EU478" s="542"/>
      <c r="EV478" s="542"/>
      <c r="EW478" s="542"/>
      <c r="EX478" s="542"/>
      <c r="EY478" s="542"/>
      <c r="EZ478" s="542"/>
      <c r="FA478" s="542"/>
      <c r="FB478" s="542"/>
      <c r="FC478" s="542"/>
      <c r="FD478" s="542"/>
      <c r="FE478" s="542"/>
      <c r="FF478" s="542"/>
      <c r="FG478" s="542"/>
      <c r="FH478" s="542"/>
      <c r="FI478" s="542"/>
      <c r="FJ478" s="542"/>
      <c r="FK478" s="542"/>
      <c r="FL478" s="542"/>
      <c r="FM478" s="542"/>
      <c r="FN478" s="542"/>
      <c r="FO478" s="542"/>
      <c r="FP478" s="542"/>
      <c r="FQ478" s="542"/>
      <c r="FR478" s="542"/>
      <c r="FS478" s="542"/>
      <c r="FT478" s="542"/>
      <c r="FU478" s="542"/>
      <c r="FV478" s="542"/>
      <c r="FW478" s="542"/>
      <c r="FX478" s="542"/>
      <c r="FY478" s="542"/>
      <c r="FZ478" s="542"/>
      <c r="GA478" s="542"/>
      <c r="GB478" s="542"/>
      <c r="GC478" s="542"/>
      <c r="GD478" s="542"/>
      <c r="GE478" s="542"/>
      <c r="GF478" s="542"/>
      <c r="GG478" s="542"/>
      <c r="GH478" s="542"/>
      <c r="GI478" s="542"/>
      <c r="GJ478" s="542"/>
      <c r="GK478" s="542"/>
      <c r="GL478" s="542"/>
      <c r="GM478" s="542"/>
      <c r="GN478" s="542"/>
      <c r="GO478" s="542"/>
      <c r="GP478" s="542"/>
      <c r="GQ478" s="542"/>
      <c r="GR478" s="542"/>
      <c r="GS478" s="542"/>
      <c r="GT478" s="542"/>
      <c r="GU478" s="542"/>
      <c r="GV478" s="542"/>
      <c r="GW478" s="542"/>
      <c r="GX478" s="542"/>
      <c r="GY478" s="542"/>
      <c r="GZ478" s="542"/>
      <c r="HA478" s="542"/>
      <c r="HB478" s="542"/>
      <c r="HC478" s="542"/>
      <c r="HD478" s="542"/>
      <c r="HE478" s="542"/>
      <c r="HF478" s="542"/>
      <c r="HG478" s="542"/>
      <c r="HH478" s="542"/>
      <c r="HI478" s="542"/>
      <c r="HJ478" s="542"/>
      <c r="HK478" s="542"/>
      <c r="HL478" s="542"/>
      <c r="HM478" s="542"/>
      <c r="HN478" s="542"/>
      <c r="HO478" s="542"/>
      <c r="HP478" s="542"/>
      <c r="HQ478" s="542"/>
      <c r="HR478" s="542"/>
      <c r="HS478" s="542"/>
      <c r="HT478" s="542"/>
      <c r="HU478" s="542"/>
      <c r="HV478" s="542"/>
      <c r="HW478" s="542"/>
      <c r="HX478" s="542"/>
      <c r="HY478" s="542"/>
      <c r="HZ478" s="542"/>
      <c r="IA478" s="542"/>
      <c r="IB478" s="542"/>
      <c r="IC478" s="542"/>
      <c r="ID478" s="542"/>
      <c r="IE478" s="542"/>
      <c r="IF478" s="542"/>
      <c r="IG478" s="542"/>
      <c r="IH478" s="542"/>
      <c r="II478" s="542"/>
      <c r="IJ478" s="542"/>
      <c r="IK478" s="542"/>
      <c r="IL478" s="542"/>
      <c r="IM478" s="542"/>
      <c r="IN478" s="542"/>
      <c r="IO478" s="542"/>
      <c r="IP478" s="542"/>
      <c r="IQ478" s="542"/>
      <c r="IR478" s="542"/>
      <c r="IS478" s="542"/>
      <c r="IT478" s="542"/>
      <c r="IU478" s="542"/>
      <c r="IV478" s="542"/>
      <c r="IW478" s="542"/>
      <c r="IX478" s="542"/>
      <c r="IY478" s="542"/>
      <c r="IZ478" s="542"/>
      <c r="JA478" s="542"/>
      <c r="JB478" s="542"/>
    </row>
    <row r="479" spans="104:262" ht="18.899999999999999" customHeight="1">
      <c r="CZ479" s="542"/>
      <c r="DA479" s="542"/>
      <c r="DB479" s="542"/>
      <c r="DC479" s="542"/>
      <c r="DD479" s="542"/>
      <c r="DE479" s="542"/>
      <c r="DF479" s="542"/>
      <c r="DG479" s="542"/>
      <c r="DH479" s="542"/>
      <c r="DI479" s="542"/>
      <c r="DJ479" s="542"/>
      <c r="DK479" s="542"/>
      <c r="DL479" s="542"/>
      <c r="DM479" s="542"/>
      <c r="DN479" s="542"/>
      <c r="DO479" s="542"/>
      <c r="DP479" s="542"/>
      <c r="DQ479" s="542"/>
      <c r="DR479" s="542"/>
      <c r="DS479" s="542"/>
      <c r="DT479" s="542"/>
      <c r="DU479" s="542"/>
      <c r="DV479" s="542"/>
      <c r="DW479" s="542"/>
      <c r="DX479" s="542"/>
      <c r="DY479" s="542"/>
      <c r="DZ479" s="542"/>
      <c r="EA479" s="542"/>
      <c r="EB479" s="542"/>
      <c r="EC479" s="542"/>
      <c r="ED479" s="542"/>
      <c r="EE479" s="542"/>
      <c r="EF479" s="542"/>
      <c r="EG479" s="542"/>
      <c r="EH479" s="542"/>
      <c r="EI479" s="542"/>
      <c r="EJ479" s="542"/>
      <c r="EK479" s="542"/>
      <c r="EL479" s="542"/>
      <c r="EM479" s="542"/>
      <c r="EN479" s="542"/>
      <c r="EO479" s="542"/>
      <c r="EP479" s="542"/>
      <c r="EQ479" s="542"/>
      <c r="ER479" s="542"/>
      <c r="ES479" s="542"/>
      <c r="ET479" s="542"/>
      <c r="EU479" s="542"/>
      <c r="EV479" s="542"/>
      <c r="EW479" s="542"/>
      <c r="EX479" s="542"/>
      <c r="EY479" s="542"/>
      <c r="EZ479" s="542"/>
      <c r="FA479" s="542"/>
      <c r="FB479" s="542"/>
      <c r="FC479" s="542"/>
      <c r="FD479" s="542"/>
      <c r="FE479" s="542"/>
      <c r="FF479" s="542"/>
      <c r="FG479" s="542"/>
      <c r="FH479" s="542"/>
      <c r="FI479" s="542"/>
      <c r="FJ479" s="542"/>
      <c r="FK479" s="542"/>
      <c r="FL479" s="542"/>
      <c r="FM479" s="542"/>
      <c r="FN479" s="542"/>
      <c r="FO479" s="542"/>
      <c r="FP479" s="542"/>
      <c r="FQ479" s="542"/>
      <c r="FR479" s="542"/>
      <c r="FS479" s="542"/>
      <c r="FT479" s="542"/>
      <c r="FU479" s="542"/>
      <c r="FV479" s="542"/>
      <c r="FW479" s="542"/>
      <c r="FX479" s="542"/>
      <c r="FY479" s="542"/>
      <c r="FZ479" s="542"/>
      <c r="GA479" s="542"/>
      <c r="GB479" s="542"/>
      <c r="GC479" s="542"/>
      <c r="GD479" s="542"/>
      <c r="GE479" s="542"/>
      <c r="GF479" s="542"/>
      <c r="GG479" s="542"/>
      <c r="GH479" s="542"/>
      <c r="GI479" s="542"/>
      <c r="GJ479" s="542"/>
      <c r="GK479" s="542"/>
      <c r="GL479" s="542"/>
      <c r="GM479" s="542"/>
      <c r="GN479" s="542"/>
      <c r="GO479" s="542"/>
      <c r="GP479" s="542"/>
      <c r="GQ479" s="542"/>
      <c r="GR479" s="542"/>
      <c r="GS479" s="542"/>
      <c r="GT479" s="542"/>
      <c r="GU479" s="542"/>
      <c r="GV479" s="542"/>
      <c r="GW479" s="542"/>
      <c r="GX479" s="542"/>
      <c r="GY479" s="542"/>
      <c r="GZ479" s="542"/>
      <c r="HA479" s="542"/>
      <c r="HB479" s="542"/>
      <c r="HC479" s="542"/>
      <c r="HD479" s="542"/>
      <c r="HE479" s="542"/>
      <c r="HF479" s="542"/>
      <c r="HG479" s="542"/>
      <c r="HH479" s="542"/>
      <c r="HI479" s="542"/>
      <c r="HJ479" s="542"/>
      <c r="HK479" s="542"/>
      <c r="HL479" s="542"/>
      <c r="HM479" s="542"/>
      <c r="HN479" s="542"/>
      <c r="HO479" s="542"/>
      <c r="HP479" s="542"/>
      <c r="HQ479" s="542"/>
      <c r="HR479" s="542"/>
      <c r="HS479" s="542"/>
      <c r="HT479" s="542"/>
      <c r="HU479" s="542"/>
      <c r="HV479" s="542"/>
      <c r="HW479" s="542"/>
      <c r="HX479" s="542"/>
      <c r="HY479" s="542"/>
      <c r="HZ479" s="542"/>
      <c r="IA479" s="542"/>
      <c r="IB479" s="542"/>
      <c r="IC479" s="542"/>
      <c r="ID479" s="542"/>
      <c r="IE479" s="542"/>
      <c r="IF479" s="542"/>
      <c r="IG479" s="542"/>
      <c r="IH479" s="542"/>
      <c r="II479" s="542"/>
      <c r="IJ479" s="542"/>
      <c r="IK479" s="542"/>
      <c r="IL479" s="542"/>
      <c r="IM479" s="542"/>
      <c r="IN479" s="542"/>
      <c r="IO479" s="542"/>
      <c r="IP479" s="542"/>
      <c r="IQ479" s="542"/>
      <c r="IR479" s="542"/>
      <c r="IS479" s="542"/>
      <c r="IT479" s="542"/>
      <c r="IU479" s="542"/>
      <c r="IV479" s="542"/>
      <c r="IW479" s="542"/>
      <c r="IX479" s="542"/>
      <c r="IY479" s="542"/>
      <c r="IZ479" s="542"/>
      <c r="JA479" s="542"/>
      <c r="JB479" s="542"/>
    </row>
    <row r="480" spans="104:262" ht="18.899999999999999" customHeight="1">
      <c r="CZ480" s="542"/>
      <c r="DA480" s="542"/>
      <c r="DB480" s="542"/>
      <c r="DC480" s="542"/>
      <c r="DD480" s="542"/>
      <c r="DE480" s="542"/>
      <c r="DF480" s="542"/>
      <c r="DG480" s="542"/>
      <c r="DH480" s="542"/>
      <c r="DI480" s="542"/>
      <c r="DJ480" s="542"/>
      <c r="DK480" s="542"/>
      <c r="DL480" s="542"/>
      <c r="DM480" s="542"/>
      <c r="DN480" s="542"/>
      <c r="DO480" s="542"/>
      <c r="DP480" s="542"/>
      <c r="DQ480" s="542"/>
      <c r="DR480" s="542"/>
      <c r="DS480" s="542"/>
      <c r="DT480" s="542"/>
      <c r="DU480" s="542"/>
      <c r="DV480" s="542"/>
      <c r="DW480" s="542"/>
      <c r="DX480" s="542"/>
      <c r="DY480" s="542"/>
      <c r="DZ480" s="542"/>
      <c r="EA480" s="542"/>
      <c r="EB480" s="542"/>
      <c r="EC480" s="542"/>
      <c r="ED480" s="542"/>
      <c r="EE480" s="542"/>
      <c r="EF480" s="542"/>
      <c r="EG480" s="542"/>
      <c r="EH480" s="542"/>
      <c r="EI480" s="542"/>
      <c r="EJ480" s="542"/>
      <c r="EK480" s="542"/>
      <c r="EL480" s="542"/>
      <c r="EM480" s="542"/>
      <c r="EN480" s="542"/>
      <c r="EO480" s="542"/>
      <c r="EP480" s="542"/>
      <c r="EQ480" s="542"/>
      <c r="ER480" s="542"/>
      <c r="ES480" s="542"/>
      <c r="ET480" s="542"/>
      <c r="EU480" s="542"/>
      <c r="EV480" s="542"/>
      <c r="EW480" s="542"/>
      <c r="EX480" s="542"/>
      <c r="EY480" s="542"/>
      <c r="EZ480" s="542"/>
      <c r="FA480" s="542"/>
      <c r="FB480" s="542"/>
      <c r="FC480" s="542"/>
      <c r="FD480" s="542"/>
      <c r="FE480" s="542"/>
      <c r="FF480" s="542"/>
      <c r="FG480" s="542"/>
      <c r="FH480" s="542"/>
      <c r="FI480" s="542"/>
      <c r="FJ480" s="542"/>
      <c r="FK480" s="542"/>
      <c r="FL480" s="542"/>
      <c r="FM480" s="542"/>
      <c r="FN480" s="542"/>
      <c r="FO480" s="542"/>
      <c r="FP480" s="542"/>
      <c r="FQ480" s="542"/>
      <c r="FR480" s="542"/>
      <c r="FS480" s="542"/>
      <c r="FT480" s="542"/>
      <c r="FU480" s="542"/>
      <c r="FV480" s="542"/>
      <c r="FW480" s="542"/>
      <c r="FX480" s="542"/>
      <c r="FY480" s="542"/>
      <c r="FZ480" s="542"/>
      <c r="GA480" s="542"/>
      <c r="GB480" s="542"/>
      <c r="GC480" s="542"/>
      <c r="GD480" s="542"/>
      <c r="GE480" s="542"/>
      <c r="GF480" s="542"/>
      <c r="GG480" s="542"/>
      <c r="GH480" s="542"/>
      <c r="GI480" s="542"/>
      <c r="GJ480" s="542"/>
      <c r="GK480" s="542"/>
      <c r="GL480" s="542"/>
      <c r="GM480" s="542"/>
      <c r="GN480" s="542"/>
      <c r="GO480" s="542"/>
      <c r="GP480" s="542"/>
      <c r="GQ480" s="542"/>
      <c r="GR480" s="542"/>
      <c r="GS480" s="542"/>
      <c r="GT480" s="542"/>
      <c r="GU480" s="542"/>
      <c r="GV480" s="542"/>
      <c r="GW480" s="542"/>
      <c r="GX480" s="542"/>
      <c r="GY480" s="542"/>
      <c r="GZ480" s="542"/>
      <c r="HA480" s="542"/>
      <c r="HB480" s="542"/>
      <c r="HC480" s="542"/>
      <c r="HD480" s="542"/>
      <c r="HE480" s="542"/>
      <c r="HF480" s="542"/>
      <c r="HG480" s="542"/>
      <c r="HH480" s="542"/>
      <c r="HI480" s="542"/>
      <c r="HJ480" s="542"/>
      <c r="HK480" s="542"/>
      <c r="HL480" s="542"/>
      <c r="HM480" s="542"/>
      <c r="HN480" s="542"/>
      <c r="HO480" s="542"/>
      <c r="HP480" s="542"/>
      <c r="HQ480" s="542"/>
      <c r="HR480" s="542"/>
      <c r="HS480" s="542"/>
      <c r="HT480" s="542"/>
      <c r="HU480" s="542"/>
      <c r="HV480" s="542"/>
      <c r="HW480" s="542"/>
      <c r="HX480" s="542"/>
      <c r="HY480" s="542"/>
      <c r="HZ480" s="542"/>
      <c r="IA480" s="542"/>
      <c r="IB480" s="542"/>
      <c r="IC480" s="542"/>
      <c r="ID480" s="542"/>
      <c r="IE480" s="542"/>
      <c r="IF480" s="542"/>
      <c r="IG480" s="542"/>
      <c r="IH480" s="542"/>
      <c r="II480" s="542"/>
      <c r="IJ480" s="542"/>
      <c r="IK480" s="542"/>
      <c r="IL480" s="542"/>
      <c r="IM480" s="542"/>
      <c r="IN480" s="542"/>
      <c r="IO480" s="542"/>
      <c r="IP480" s="542"/>
      <c r="IQ480" s="542"/>
      <c r="IR480" s="542"/>
      <c r="IS480" s="542"/>
      <c r="IT480" s="542"/>
      <c r="IU480" s="542"/>
      <c r="IV480" s="542"/>
      <c r="IW480" s="542"/>
      <c r="IX480" s="542"/>
      <c r="IY480" s="542"/>
      <c r="IZ480" s="542"/>
      <c r="JA480" s="542"/>
      <c r="JB480" s="542"/>
    </row>
    <row r="481" spans="104:262" ht="18.899999999999999" customHeight="1">
      <c r="CZ481" s="542"/>
      <c r="DA481" s="542"/>
      <c r="DB481" s="542"/>
      <c r="DC481" s="542"/>
      <c r="DD481" s="542"/>
      <c r="DE481" s="542"/>
      <c r="DF481" s="542"/>
      <c r="DG481" s="542"/>
      <c r="DH481" s="542"/>
      <c r="DI481" s="542"/>
      <c r="DJ481" s="542"/>
      <c r="DK481" s="542"/>
      <c r="DL481" s="542"/>
      <c r="DM481" s="542"/>
      <c r="DN481" s="542"/>
      <c r="DO481" s="542"/>
      <c r="DP481" s="542"/>
      <c r="DQ481" s="542"/>
      <c r="DR481" s="542"/>
      <c r="DS481" s="542"/>
      <c r="DT481" s="542"/>
      <c r="DU481" s="542"/>
      <c r="DV481" s="542"/>
      <c r="DW481" s="542"/>
      <c r="DX481" s="542"/>
      <c r="DY481" s="542"/>
      <c r="DZ481" s="542"/>
      <c r="EA481" s="542"/>
      <c r="EB481" s="542"/>
      <c r="EC481" s="542"/>
      <c r="ED481" s="542"/>
      <c r="EE481" s="542"/>
      <c r="EF481" s="542"/>
      <c r="EG481" s="542"/>
      <c r="EH481" s="542"/>
      <c r="EI481" s="542"/>
      <c r="EJ481" s="542"/>
      <c r="EK481" s="542"/>
      <c r="EL481" s="542"/>
      <c r="EM481" s="542"/>
      <c r="EN481" s="542"/>
      <c r="EO481" s="542"/>
      <c r="EP481" s="542"/>
      <c r="EQ481" s="542"/>
      <c r="ER481" s="542"/>
      <c r="ES481" s="542"/>
      <c r="ET481" s="542"/>
      <c r="EU481" s="542"/>
      <c r="EV481" s="542"/>
      <c r="EW481" s="542"/>
      <c r="EX481" s="542"/>
      <c r="EY481" s="542"/>
      <c r="EZ481" s="542"/>
      <c r="FA481" s="542"/>
      <c r="FB481" s="542"/>
      <c r="FC481" s="542"/>
      <c r="FD481" s="542"/>
      <c r="FE481" s="542"/>
      <c r="FF481" s="542"/>
      <c r="FG481" s="542"/>
      <c r="FH481" s="542"/>
      <c r="FI481" s="542"/>
      <c r="FJ481" s="542"/>
      <c r="FK481" s="542"/>
      <c r="FL481" s="542"/>
      <c r="FM481" s="542"/>
      <c r="FN481" s="542"/>
      <c r="FO481" s="542"/>
      <c r="FP481" s="542"/>
      <c r="FQ481" s="542"/>
      <c r="FR481" s="542"/>
      <c r="FS481" s="542"/>
      <c r="FT481" s="542"/>
      <c r="FU481" s="542"/>
      <c r="FV481" s="542"/>
      <c r="FW481" s="542"/>
      <c r="FX481" s="542"/>
      <c r="FY481" s="542"/>
      <c r="FZ481" s="542"/>
      <c r="GA481" s="542"/>
      <c r="GB481" s="542"/>
      <c r="GC481" s="542"/>
      <c r="GD481" s="542"/>
      <c r="GE481" s="542"/>
      <c r="GF481" s="542"/>
      <c r="GG481" s="542"/>
      <c r="GH481" s="542"/>
      <c r="GI481" s="542"/>
      <c r="GJ481" s="542"/>
      <c r="GK481" s="542"/>
      <c r="GL481" s="542"/>
      <c r="GM481" s="542"/>
      <c r="GN481" s="542"/>
      <c r="GO481" s="542"/>
      <c r="GP481" s="542"/>
      <c r="GQ481" s="542"/>
      <c r="GR481" s="542"/>
      <c r="GS481" s="542"/>
      <c r="GT481" s="542"/>
      <c r="GU481" s="542"/>
      <c r="GV481" s="542"/>
      <c r="GW481" s="542"/>
      <c r="GX481" s="542"/>
      <c r="GY481" s="542"/>
      <c r="GZ481" s="542"/>
      <c r="HA481" s="542"/>
      <c r="HB481" s="542"/>
      <c r="HC481" s="542"/>
      <c r="HD481" s="542"/>
      <c r="HE481" s="542"/>
      <c r="HF481" s="542"/>
      <c r="HG481" s="542"/>
      <c r="HH481" s="542"/>
      <c r="HI481" s="542"/>
      <c r="HJ481" s="542"/>
      <c r="HK481" s="542"/>
      <c r="HL481" s="542"/>
      <c r="HM481" s="542"/>
      <c r="HN481" s="542"/>
      <c r="HO481" s="542"/>
      <c r="HP481" s="542"/>
      <c r="HQ481" s="542"/>
      <c r="HR481" s="542"/>
      <c r="HS481" s="542"/>
      <c r="HT481" s="542"/>
      <c r="HU481" s="542"/>
      <c r="HV481" s="542"/>
      <c r="HW481" s="542"/>
      <c r="HX481" s="542"/>
      <c r="HY481" s="542"/>
      <c r="HZ481" s="542"/>
      <c r="IA481" s="542"/>
      <c r="IB481" s="542"/>
      <c r="IC481" s="542"/>
      <c r="ID481" s="542"/>
      <c r="IE481" s="542"/>
      <c r="IF481" s="542"/>
      <c r="IG481" s="542"/>
      <c r="IH481" s="542"/>
      <c r="II481" s="542"/>
      <c r="IJ481" s="542"/>
      <c r="IK481" s="542"/>
      <c r="IL481" s="542"/>
      <c r="IM481" s="542"/>
      <c r="IN481" s="542"/>
      <c r="IO481" s="542"/>
      <c r="IP481" s="542"/>
      <c r="IQ481" s="542"/>
      <c r="IR481" s="542"/>
      <c r="IS481" s="542"/>
      <c r="IT481" s="542"/>
      <c r="IU481" s="542"/>
      <c r="IV481" s="542"/>
      <c r="IW481" s="542"/>
      <c r="IX481" s="542"/>
      <c r="IY481" s="542"/>
      <c r="IZ481" s="542"/>
      <c r="JA481" s="542"/>
      <c r="JB481" s="542"/>
    </row>
    <row r="482" spans="104:262" ht="18.899999999999999" customHeight="1">
      <c r="CZ482" s="542"/>
      <c r="DA482" s="542"/>
      <c r="DB482" s="542"/>
      <c r="DC482" s="542"/>
      <c r="DD482" s="542"/>
      <c r="DE482" s="542"/>
      <c r="DF482" s="542"/>
      <c r="DG482" s="542"/>
      <c r="DH482" s="542"/>
      <c r="DI482" s="542"/>
      <c r="DJ482" s="542"/>
      <c r="DK482" s="542"/>
      <c r="DL482" s="542"/>
      <c r="DM482" s="542"/>
      <c r="DN482" s="542"/>
      <c r="DO482" s="542"/>
      <c r="DP482" s="542"/>
      <c r="DQ482" s="542"/>
      <c r="DR482" s="542"/>
      <c r="DS482" s="542"/>
      <c r="DT482" s="542"/>
      <c r="DU482" s="542"/>
      <c r="DV482" s="542"/>
      <c r="DW482" s="542"/>
      <c r="DX482" s="542"/>
      <c r="DY482" s="542"/>
      <c r="DZ482" s="542"/>
      <c r="EA482" s="542"/>
      <c r="EB482" s="542"/>
      <c r="EC482" s="542"/>
      <c r="ED482" s="542"/>
      <c r="EE482" s="542"/>
      <c r="EF482" s="542"/>
      <c r="EG482" s="542"/>
      <c r="EH482" s="542"/>
      <c r="EI482" s="542"/>
      <c r="EJ482" s="542"/>
      <c r="EK482" s="542"/>
      <c r="EL482" s="542"/>
      <c r="EM482" s="542"/>
      <c r="EN482" s="542"/>
      <c r="EO482" s="542"/>
      <c r="EP482" s="542"/>
      <c r="EQ482" s="542"/>
      <c r="ER482" s="542"/>
      <c r="ES482" s="542"/>
      <c r="ET482" s="542"/>
      <c r="EU482" s="542"/>
      <c r="EV482" s="542"/>
      <c r="EW482" s="542"/>
      <c r="EX482" s="542"/>
      <c r="EY482" s="542"/>
      <c r="EZ482" s="542"/>
      <c r="FA482" s="542"/>
      <c r="FB482" s="542"/>
      <c r="FC482" s="542"/>
      <c r="FD482" s="542"/>
      <c r="FE482" s="542"/>
      <c r="FF482" s="542"/>
      <c r="FG482" s="542"/>
      <c r="FH482" s="542"/>
      <c r="FI482" s="542"/>
      <c r="FJ482" s="542"/>
      <c r="FK482" s="542"/>
      <c r="FL482" s="542"/>
      <c r="FM482" s="542"/>
      <c r="FN482" s="542"/>
      <c r="FO482" s="542"/>
      <c r="FP482" s="542"/>
      <c r="FQ482" s="542"/>
      <c r="FR482" s="542"/>
      <c r="FS482" s="542"/>
      <c r="FT482" s="542"/>
      <c r="FU482" s="542"/>
      <c r="FV482" s="542"/>
      <c r="FW482" s="542"/>
      <c r="FX482" s="542"/>
      <c r="FY482" s="542"/>
      <c r="FZ482" s="542"/>
      <c r="GA482" s="542"/>
      <c r="GB482" s="542"/>
      <c r="GC482" s="542"/>
      <c r="GD482" s="542"/>
      <c r="GE482" s="542"/>
      <c r="GF482" s="542"/>
      <c r="GG482" s="542"/>
      <c r="GH482" s="542"/>
      <c r="GI482" s="542"/>
      <c r="GJ482" s="542"/>
      <c r="GK482" s="542"/>
      <c r="GL482" s="542"/>
      <c r="GM482" s="542"/>
      <c r="GN482" s="542"/>
      <c r="GO482" s="542"/>
      <c r="GP482" s="542"/>
      <c r="GQ482" s="542"/>
      <c r="GR482" s="542"/>
      <c r="GS482" s="542"/>
      <c r="GT482" s="542"/>
      <c r="GU482" s="542"/>
      <c r="GV482" s="542"/>
      <c r="GW482" s="542"/>
      <c r="GX482" s="542"/>
      <c r="GY482" s="542"/>
      <c r="GZ482" s="542"/>
      <c r="HA482" s="542"/>
      <c r="HB482" s="542"/>
      <c r="HC482" s="542"/>
      <c r="HD482" s="542"/>
      <c r="HE482" s="542"/>
      <c r="HF482" s="542"/>
      <c r="HG482" s="542"/>
      <c r="HH482" s="542"/>
      <c r="HI482" s="542"/>
      <c r="HJ482" s="542"/>
      <c r="HK482" s="542"/>
      <c r="HL482" s="542"/>
      <c r="HM482" s="542"/>
      <c r="HN482" s="542"/>
      <c r="HO482" s="542"/>
      <c r="HP482" s="542"/>
      <c r="HQ482" s="542"/>
      <c r="HR482" s="542"/>
      <c r="HS482" s="542"/>
      <c r="HT482" s="542"/>
      <c r="HU482" s="542"/>
      <c r="HV482" s="542"/>
      <c r="HW482" s="542"/>
      <c r="HX482" s="542"/>
      <c r="HY482" s="542"/>
      <c r="HZ482" s="542"/>
      <c r="IA482" s="542"/>
      <c r="IB482" s="542"/>
      <c r="IC482" s="542"/>
      <c r="ID482" s="542"/>
      <c r="IE482" s="542"/>
      <c r="IF482" s="542"/>
      <c r="IG482" s="542"/>
      <c r="IH482" s="542"/>
      <c r="II482" s="542"/>
      <c r="IJ482" s="542"/>
      <c r="IK482" s="542"/>
      <c r="IL482" s="542"/>
      <c r="IM482" s="542"/>
      <c r="IN482" s="542"/>
      <c r="IO482" s="542"/>
      <c r="IP482" s="542"/>
      <c r="IQ482" s="542"/>
      <c r="IR482" s="542"/>
      <c r="IS482" s="542"/>
      <c r="IT482" s="542"/>
      <c r="IU482" s="542"/>
      <c r="IV482" s="542"/>
      <c r="IW482" s="542"/>
      <c r="IX482" s="542"/>
      <c r="IY482" s="542"/>
      <c r="IZ482" s="542"/>
      <c r="JA482" s="542"/>
      <c r="JB482" s="542"/>
    </row>
    <row r="483" spans="104:262" ht="18.899999999999999" customHeight="1">
      <c r="CZ483" s="542"/>
      <c r="DA483" s="542"/>
      <c r="DB483" s="542"/>
      <c r="DC483" s="542"/>
      <c r="DD483" s="542"/>
      <c r="DE483" s="542"/>
      <c r="DF483" s="542"/>
      <c r="DG483" s="542"/>
      <c r="DH483" s="542"/>
      <c r="DI483" s="542"/>
      <c r="DJ483" s="542"/>
      <c r="DK483" s="542"/>
      <c r="DL483" s="542"/>
      <c r="DM483" s="542"/>
      <c r="DN483" s="542"/>
      <c r="DO483" s="542"/>
      <c r="DP483" s="542"/>
      <c r="DQ483" s="542"/>
      <c r="DR483" s="542"/>
      <c r="DS483" s="542"/>
      <c r="DT483" s="542"/>
      <c r="DU483" s="542"/>
      <c r="DV483" s="542"/>
      <c r="DW483" s="542"/>
      <c r="DX483" s="542"/>
      <c r="DY483" s="542"/>
      <c r="DZ483" s="542"/>
      <c r="EA483" s="542"/>
      <c r="EB483" s="542"/>
      <c r="EC483" s="542"/>
      <c r="ED483" s="542"/>
      <c r="EE483" s="542"/>
      <c r="EF483" s="542"/>
      <c r="EG483" s="542"/>
      <c r="EH483" s="542"/>
      <c r="EI483" s="542"/>
      <c r="EJ483" s="542"/>
      <c r="EK483" s="542"/>
      <c r="EL483" s="542"/>
      <c r="EM483" s="542"/>
      <c r="EN483" s="542"/>
      <c r="EO483" s="542"/>
      <c r="EP483" s="542"/>
      <c r="EQ483" s="542"/>
      <c r="ER483" s="542"/>
      <c r="ES483" s="542"/>
      <c r="ET483" s="542"/>
      <c r="EU483" s="542"/>
      <c r="EV483" s="542"/>
      <c r="EW483" s="542"/>
      <c r="EX483" s="542"/>
      <c r="EY483" s="542"/>
      <c r="EZ483" s="542"/>
      <c r="FA483" s="542"/>
      <c r="FB483" s="542"/>
      <c r="FC483" s="542"/>
      <c r="FD483" s="542"/>
      <c r="FE483" s="542"/>
      <c r="FF483" s="542"/>
      <c r="FG483" s="542"/>
      <c r="FH483" s="542"/>
      <c r="FI483" s="542"/>
      <c r="FJ483" s="542"/>
      <c r="FK483" s="542"/>
      <c r="FL483" s="542"/>
      <c r="FM483" s="542"/>
      <c r="FN483" s="542"/>
      <c r="FO483" s="542"/>
      <c r="FP483" s="542"/>
      <c r="FQ483" s="542"/>
      <c r="FR483" s="542"/>
      <c r="FS483" s="542"/>
      <c r="FT483" s="542"/>
      <c r="FU483" s="542"/>
      <c r="FV483" s="542"/>
      <c r="FW483" s="542"/>
      <c r="FX483" s="542"/>
      <c r="FY483" s="542"/>
      <c r="FZ483" s="542"/>
      <c r="GA483" s="542"/>
      <c r="GB483" s="542"/>
      <c r="GC483" s="542"/>
      <c r="GD483" s="542"/>
      <c r="GE483" s="542"/>
      <c r="GF483" s="542"/>
      <c r="GG483" s="542"/>
      <c r="GH483" s="542"/>
      <c r="GI483" s="542"/>
      <c r="GJ483" s="542"/>
      <c r="GK483" s="542"/>
      <c r="GL483" s="542"/>
      <c r="GM483" s="542"/>
      <c r="GN483" s="542"/>
      <c r="GO483" s="542"/>
      <c r="GP483" s="542"/>
      <c r="GQ483" s="542"/>
      <c r="GR483" s="542"/>
      <c r="GS483" s="542"/>
      <c r="GT483" s="542"/>
      <c r="GU483" s="542"/>
      <c r="GV483" s="542"/>
      <c r="GW483" s="542"/>
      <c r="GX483" s="542"/>
      <c r="GY483" s="542"/>
      <c r="GZ483" s="542"/>
      <c r="HA483" s="542"/>
      <c r="HB483" s="542"/>
      <c r="HC483" s="542"/>
      <c r="HD483" s="542"/>
      <c r="HE483" s="542"/>
      <c r="HF483" s="542"/>
      <c r="HG483" s="542"/>
      <c r="HH483" s="542"/>
      <c r="HI483" s="542"/>
      <c r="HJ483" s="542"/>
      <c r="HK483" s="542"/>
      <c r="HL483" s="542"/>
      <c r="HM483" s="542"/>
      <c r="HN483" s="542"/>
      <c r="HO483" s="542"/>
      <c r="HP483" s="542"/>
      <c r="HQ483" s="542"/>
      <c r="HR483" s="542"/>
      <c r="HS483" s="542"/>
      <c r="HT483" s="542"/>
      <c r="HU483" s="542"/>
      <c r="HV483" s="542"/>
      <c r="HW483" s="542"/>
      <c r="HX483" s="542"/>
      <c r="HY483" s="542"/>
      <c r="HZ483" s="542"/>
      <c r="IA483" s="542"/>
      <c r="IB483" s="542"/>
      <c r="IC483" s="542"/>
      <c r="ID483" s="542"/>
      <c r="IE483" s="542"/>
      <c r="IF483" s="542"/>
      <c r="IG483" s="542"/>
      <c r="IH483" s="542"/>
      <c r="II483" s="542"/>
      <c r="IJ483" s="542"/>
      <c r="IK483" s="542"/>
      <c r="IL483" s="542"/>
      <c r="IM483" s="542"/>
      <c r="IN483" s="542"/>
      <c r="IO483" s="542"/>
      <c r="IP483" s="542"/>
      <c r="IQ483" s="542"/>
      <c r="IR483" s="542"/>
      <c r="IS483" s="542"/>
      <c r="IT483" s="542"/>
      <c r="IU483" s="542"/>
      <c r="IV483" s="542"/>
      <c r="IW483" s="542"/>
      <c r="IX483" s="542"/>
      <c r="IY483" s="542"/>
      <c r="IZ483" s="542"/>
      <c r="JA483" s="542"/>
      <c r="JB483" s="542"/>
    </row>
    <row r="484" spans="104:262" ht="18.899999999999999" customHeight="1">
      <c r="CZ484" s="542"/>
      <c r="DA484" s="542"/>
      <c r="DB484" s="542"/>
      <c r="DC484" s="542"/>
      <c r="DD484" s="542"/>
      <c r="DE484" s="542"/>
      <c r="DF484" s="542"/>
      <c r="DG484" s="542"/>
      <c r="DH484" s="542"/>
      <c r="DI484" s="542"/>
      <c r="DJ484" s="542"/>
      <c r="DK484" s="542"/>
      <c r="DL484" s="542"/>
      <c r="DM484" s="542"/>
      <c r="DN484" s="542"/>
      <c r="DO484" s="542"/>
      <c r="DP484" s="542"/>
      <c r="DQ484" s="542"/>
      <c r="DR484" s="542"/>
      <c r="DS484" s="542"/>
      <c r="DT484" s="542"/>
      <c r="DU484" s="542"/>
      <c r="DV484" s="542"/>
      <c r="DW484" s="542"/>
      <c r="DX484" s="542"/>
      <c r="DY484" s="542"/>
      <c r="DZ484" s="542"/>
      <c r="EA484" s="542"/>
      <c r="EB484" s="542"/>
      <c r="EC484" s="542"/>
      <c r="ED484" s="542"/>
      <c r="EE484" s="542"/>
      <c r="EF484" s="542"/>
      <c r="EG484" s="542"/>
      <c r="EH484" s="542"/>
      <c r="EI484" s="542"/>
      <c r="EJ484" s="542"/>
      <c r="EK484" s="542"/>
      <c r="EL484" s="542"/>
      <c r="EM484" s="542"/>
      <c r="EN484" s="542"/>
      <c r="EO484" s="542"/>
      <c r="EP484" s="542"/>
      <c r="EQ484" s="542"/>
      <c r="ER484" s="542"/>
      <c r="ES484" s="542"/>
      <c r="ET484" s="542"/>
      <c r="EU484" s="542"/>
      <c r="EV484" s="542"/>
      <c r="EW484" s="542"/>
      <c r="EX484" s="542"/>
      <c r="EY484" s="542"/>
      <c r="EZ484" s="542"/>
      <c r="FA484" s="542"/>
      <c r="FB484" s="542"/>
      <c r="FC484" s="542"/>
      <c r="FD484" s="542"/>
      <c r="FE484" s="542"/>
      <c r="FF484" s="542"/>
      <c r="FG484" s="542"/>
      <c r="FH484" s="542"/>
      <c r="FI484" s="542"/>
      <c r="FJ484" s="542"/>
      <c r="FK484" s="542"/>
      <c r="FL484" s="542"/>
      <c r="FM484" s="542"/>
      <c r="FN484" s="542"/>
      <c r="FO484" s="542"/>
      <c r="FP484" s="542"/>
      <c r="FQ484" s="542"/>
      <c r="FR484" s="542"/>
      <c r="FS484" s="542"/>
      <c r="FT484" s="542"/>
      <c r="FU484" s="542"/>
      <c r="FV484" s="542"/>
      <c r="FW484" s="542"/>
      <c r="FX484" s="542"/>
      <c r="FY484" s="542"/>
      <c r="FZ484" s="542"/>
      <c r="GA484" s="542"/>
      <c r="GB484" s="542"/>
      <c r="GC484" s="542"/>
      <c r="GD484" s="542"/>
      <c r="GE484" s="542"/>
      <c r="GF484" s="542"/>
      <c r="GG484" s="542"/>
      <c r="GH484" s="542"/>
      <c r="GI484" s="542"/>
      <c r="GJ484" s="542"/>
      <c r="GK484" s="542"/>
      <c r="GL484" s="542"/>
      <c r="GM484" s="542"/>
      <c r="GN484" s="542"/>
      <c r="GO484" s="542"/>
      <c r="GP484" s="542"/>
      <c r="GQ484" s="542"/>
      <c r="GR484" s="542"/>
      <c r="GS484" s="542"/>
      <c r="GT484" s="542"/>
      <c r="GU484" s="542"/>
      <c r="GV484" s="542"/>
      <c r="GW484" s="542"/>
      <c r="GX484" s="542"/>
      <c r="GY484" s="542"/>
      <c r="GZ484" s="542"/>
      <c r="HA484" s="542"/>
      <c r="HB484" s="542"/>
      <c r="HC484" s="542"/>
      <c r="HD484" s="542"/>
      <c r="HE484" s="542"/>
      <c r="HF484" s="542"/>
      <c r="HG484" s="542"/>
      <c r="HH484" s="542"/>
      <c r="HI484" s="542"/>
      <c r="HJ484" s="542"/>
      <c r="HK484" s="542"/>
      <c r="HL484" s="542"/>
      <c r="HM484" s="542"/>
      <c r="HN484" s="542"/>
      <c r="HO484" s="542"/>
      <c r="HP484" s="542"/>
      <c r="HQ484" s="542"/>
      <c r="HR484" s="542"/>
      <c r="HS484" s="542"/>
      <c r="HT484" s="542"/>
      <c r="HU484" s="542"/>
      <c r="HV484" s="542"/>
      <c r="HW484" s="542"/>
      <c r="HX484" s="542"/>
      <c r="HY484" s="542"/>
      <c r="HZ484" s="542"/>
      <c r="IA484" s="542"/>
      <c r="IB484" s="542"/>
      <c r="IC484" s="542"/>
      <c r="ID484" s="542"/>
      <c r="IE484" s="542"/>
      <c r="IF484" s="542"/>
      <c r="IG484" s="542"/>
      <c r="IH484" s="542"/>
      <c r="II484" s="542"/>
      <c r="IJ484" s="542"/>
      <c r="IK484" s="542"/>
      <c r="IL484" s="542"/>
      <c r="IM484" s="542"/>
      <c r="IN484" s="542"/>
      <c r="IO484" s="542"/>
      <c r="IP484" s="542"/>
      <c r="IQ484" s="542"/>
      <c r="IR484" s="542"/>
      <c r="IS484" s="542"/>
      <c r="IT484" s="542"/>
      <c r="IU484" s="542"/>
      <c r="IV484" s="542"/>
      <c r="IW484" s="542"/>
      <c r="IX484" s="542"/>
      <c r="IY484" s="542"/>
      <c r="IZ484" s="542"/>
      <c r="JA484" s="542"/>
      <c r="JB484" s="542"/>
    </row>
    <row r="485" spans="104:262" ht="18.899999999999999" customHeight="1">
      <c r="CZ485" s="542"/>
      <c r="DA485" s="542"/>
      <c r="DB485" s="542"/>
      <c r="DC485" s="542"/>
      <c r="DD485" s="542"/>
      <c r="DE485" s="542"/>
      <c r="DF485" s="542"/>
      <c r="DG485" s="542"/>
      <c r="DH485" s="542"/>
      <c r="DI485" s="542"/>
      <c r="DJ485" s="542"/>
      <c r="DK485" s="542"/>
      <c r="DL485" s="542"/>
      <c r="DM485" s="542"/>
      <c r="DN485" s="542"/>
      <c r="DO485" s="542"/>
      <c r="DP485" s="542"/>
      <c r="DQ485" s="542"/>
      <c r="DR485" s="542"/>
      <c r="DS485" s="542"/>
      <c r="DT485" s="542"/>
      <c r="DU485" s="542"/>
      <c r="DV485" s="542"/>
      <c r="DW485" s="542"/>
      <c r="DX485" s="542"/>
      <c r="DY485" s="542"/>
      <c r="DZ485" s="542"/>
      <c r="EA485" s="542"/>
      <c r="EB485" s="542"/>
      <c r="EC485" s="542"/>
      <c r="ED485" s="542"/>
      <c r="EE485" s="542"/>
      <c r="EF485" s="542"/>
      <c r="EG485" s="542"/>
      <c r="EH485" s="542"/>
      <c r="EI485" s="542"/>
      <c r="EJ485" s="542"/>
      <c r="EK485" s="542"/>
      <c r="EL485" s="542"/>
      <c r="EM485" s="542"/>
      <c r="EN485" s="542"/>
      <c r="EO485" s="542"/>
      <c r="EP485" s="542"/>
      <c r="EQ485" s="542"/>
      <c r="ER485" s="542"/>
      <c r="ES485" s="542"/>
      <c r="ET485" s="542"/>
      <c r="EU485" s="542"/>
      <c r="EV485" s="542"/>
      <c r="EW485" s="542"/>
      <c r="EX485" s="542"/>
      <c r="EY485" s="542"/>
      <c r="EZ485" s="542"/>
      <c r="FA485" s="542"/>
      <c r="FB485" s="542"/>
      <c r="FC485" s="542"/>
      <c r="FD485" s="542"/>
      <c r="FE485" s="542"/>
      <c r="FF485" s="542"/>
      <c r="FG485" s="542"/>
      <c r="FH485" s="542"/>
      <c r="FI485" s="542"/>
      <c r="FJ485" s="542"/>
      <c r="FK485" s="542"/>
      <c r="FL485" s="542"/>
      <c r="FM485" s="542"/>
      <c r="FN485" s="542"/>
      <c r="FO485" s="542"/>
      <c r="FP485" s="542"/>
      <c r="FQ485" s="542"/>
      <c r="FR485" s="542"/>
      <c r="FS485" s="542"/>
      <c r="FT485" s="542"/>
      <c r="FU485" s="542"/>
      <c r="FV485" s="542"/>
      <c r="FW485" s="542"/>
      <c r="FX485" s="542"/>
      <c r="FY485" s="542"/>
      <c r="FZ485" s="542"/>
      <c r="GA485" s="542"/>
      <c r="GB485" s="542"/>
      <c r="GC485" s="542"/>
      <c r="GD485" s="542"/>
      <c r="GE485" s="542"/>
      <c r="GF485" s="542"/>
      <c r="GG485" s="542"/>
      <c r="GH485" s="542"/>
      <c r="GI485" s="542"/>
      <c r="GJ485" s="542"/>
      <c r="GK485" s="542"/>
      <c r="GL485" s="542"/>
      <c r="GM485" s="542"/>
      <c r="GN485" s="542"/>
      <c r="GO485" s="542"/>
      <c r="GP485" s="542"/>
      <c r="GQ485" s="542"/>
      <c r="GR485" s="542"/>
      <c r="GS485" s="542"/>
      <c r="GT485" s="542"/>
      <c r="GU485" s="542"/>
      <c r="GV485" s="542"/>
      <c r="GW485" s="542"/>
      <c r="GX485" s="542"/>
      <c r="GY485" s="542"/>
      <c r="GZ485" s="542"/>
      <c r="HA485" s="542"/>
      <c r="HB485" s="542"/>
      <c r="HC485" s="542"/>
      <c r="HD485" s="542"/>
      <c r="HE485" s="542"/>
      <c r="HF485" s="542"/>
      <c r="HG485" s="542"/>
      <c r="HH485" s="542"/>
      <c r="HI485" s="542"/>
      <c r="HJ485" s="542"/>
      <c r="HK485" s="542"/>
      <c r="HL485" s="542"/>
      <c r="HM485" s="542"/>
      <c r="HN485" s="542"/>
      <c r="HO485" s="542"/>
      <c r="HP485" s="542"/>
      <c r="HQ485" s="542"/>
      <c r="HR485" s="542"/>
      <c r="HS485" s="542"/>
      <c r="HT485" s="542"/>
      <c r="HU485" s="542"/>
      <c r="HV485" s="542"/>
      <c r="HW485" s="542"/>
      <c r="HX485" s="542"/>
      <c r="HY485" s="542"/>
      <c r="HZ485" s="542"/>
      <c r="IA485" s="542"/>
      <c r="IB485" s="542"/>
      <c r="IC485" s="542"/>
      <c r="ID485" s="542"/>
      <c r="IE485" s="542"/>
      <c r="IF485" s="542"/>
      <c r="IG485" s="542"/>
      <c r="IH485" s="542"/>
      <c r="II485" s="542"/>
      <c r="IJ485" s="542"/>
      <c r="IK485" s="542"/>
      <c r="IL485" s="542"/>
      <c r="IM485" s="542"/>
      <c r="IN485" s="542"/>
      <c r="IO485" s="542"/>
      <c r="IP485" s="542"/>
      <c r="IQ485" s="542"/>
      <c r="IR485" s="542"/>
      <c r="IS485" s="542"/>
      <c r="IT485" s="542"/>
      <c r="IU485" s="542"/>
      <c r="IV485" s="542"/>
      <c r="IW485" s="542"/>
      <c r="IX485" s="542"/>
      <c r="IY485" s="542"/>
      <c r="IZ485" s="542"/>
      <c r="JA485" s="542"/>
      <c r="JB485" s="542"/>
    </row>
    <row r="486" spans="104:262" ht="18.899999999999999" customHeight="1">
      <c r="CZ486" s="542"/>
      <c r="DA486" s="542"/>
      <c r="DB486" s="542"/>
      <c r="DC486" s="542"/>
      <c r="DD486" s="542"/>
      <c r="DE486" s="542"/>
      <c r="DF486" s="542"/>
      <c r="DG486" s="542"/>
      <c r="DH486" s="542"/>
      <c r="DI486" s="542"/>
      <c r="DJ486" s="542"/>
      <c r="DK486" s="542"/>
      <c r="DL486" s="542"/>
      <c r="DM486" s="542"/>
      <c r="DN486" s="542"/>
      <c r="DO486" s="542"/>
      <c r="DP486" s="542"/>
      <c r="DQ486" s="542"/>
      <c r="DR486" s="542"/>
      <c r="DS486" s="542"/>
      <c r="DT486" s="542"/>
      <c r="DU486" s="542"/>
      <c r="DV486" s="542"/>
      <c r="DW486" s="542"/>
      <c r="DX486" s="542"/>
      <c r="DY486" s="542"/>
      <c r="DZ486" s="542"/>
      <c r="EA486" s="542"/>
      <c r="EB486" s="542"/>
      <c r="EC486" s="542"/>
      <c r="ED486" s="542"/>
      <c r="EE486" s="542"/>
      <c r="EF486" s="542"/>
      <c r="EG486" s="542"/>
      <c r="EH486" s="542"/>
      <c r="EI486" s="542"/>
      <c r="EJ486" s="542"/>
      <c r="EK486" s="542"/>
      <c r="EL486" s="542"/>
      <c r="EM486" s="542"/>
      <c r="EN486" s="542"/>
      <c r="EO486" s="542"/>
      <c r="EP486" s="542"/>
      <c r="EQ486" s="542"/>
      <c r="ER486" s="542"/>
      <c r="ES486" s="542"/>
      <c r="ET486" s="542"/>
      <c r="EU486" s="542"/>
      <c r="EV486" s="542"/>
      <c r="EW486" s="542"/>
      <c r="EX486" s="542"/>
      <c r="EY486" s="542"/>
      <c r="EZ486" s="542"/>
      <c r="FA486" s="542"/>
      <c r="FB486" s="542"/>
      <c r="FC486" s="542"/>
      <c r="FD486" s="542"/>
      <c r="FE486" s="542"/>
      <c r="FF486" s="542"/>
      <c r="FG486" s="542"/>
      <c r="FH486" s="542"/>
      <c r="FI486" s="542"/>
      <c r="FJ486" s="542"/>
      <c r="FK486" s="542"/>
      <c r="FL486" s="542"/>
      <c r="FM486" s="542"/>
      <c r="FN486" s="542"/>
      <c r="FO486" s="542"/>
      <c r="FP486" s="542"/>
      <c r="FQ486" s="542"/>
      <c r="FR486" s="542"/>
      <c r="FS486" s="542"/>
      <c r="FT486" s="542"/>
      <c r="FU486" s="542"/>
      <c r="FV486" s="542"/>
      <c r="FW486" s="542"/>
      <c r="FX486" s="542"/>
      <c r="FY486" s="542"/>
      <c r="FZ486" s="542"/>
      <c r="GA486" s="542"/>
      <c r="GB486" s="542"/>
      <c r="GC486" s="542"/>
      <c r="GD486" s="542"/>
      <c r="GE486" s="542"/>
      <c r="GF486" s="542"/>
      <c r="GG486" s="542"/>
      <c r="GH486" s="542"/>
      <c r="GI486" s="542"/>
      <c r="GJ486" s="542"/>
      <c r="GK486" s="542"/>
      <c r="GL486" s="542"/>
      <c r="GM486" s="542"/>
      <c r="GN486" s="542"/>
      <c r="GO486" s="542"/>
      <c r="GP486" s="542"/>
      <c r="GQ486" s="542"/>
      <c r="GR486" s="542"/>
      <c r="GS486" s="542"/>
      <c r="GT486" s="542"/>
      <c r="GU486" s="542"/>
      <c r="GV486" s="542"/>
      <c r="GW486" s="542"/>
      <c r="GX486" s="542"/>
      <c r="GY486" s="542"/>
      <c r="GZ486" s="542"/>
      <c r="HA486" s="542"/>
      <c r="HB486" s="542"/>
      <c r="HC486" s="542"/>
      <c r="HD486" s="542"/>
      <c r="HE486" s="542"/>
      <c r="HF486" s="542"/>
      <c r="HG486" s="542"/>
      <c r="HH486" s="542"/>
      <c r="HI486" s="542"/>
      <c r="HJ486" s="542"/>
      <c r="HK486" s="542"/>
      <c r="HL486" s="542"/>
      <c r="HM486" s="542"/>
      <c r="HN486" s="542"/>
      <c r="HO486" s="542"/>
      <c r="HP486" s="542"/>
      <c r="HQ486" s="542"/>
      <c r="HR486" s="542"/>
      <c r="HS486" s="542"/>
      <c r="HT486" s="542"/>
      <c r="HU486" s="542"/>
      <c r="HV486" s="542"/>
      <c r="HW486" s="542"/>
      <c r="HX486" s="542"/>
      <c r="HY486" s="542"/>
      <c r="HZ486" s="542"/>
      <c r="IA486" s="542"/>
      <c r="IB486" s="542"/>
      <c r="IC486" s="542"/>
      <c r="ID486" s="542"/>
      <c r="IE486" s="542"/>
      <c r="IF486" s="542"/>
      <c r="IG486" s="542"/>
      <c r="IH486" s="542"/>
      <c r="II486" s="542"/>
      <c r="IJ486" s="542"/>
      <c r="IK486" s="542"/>
      <c r="IL486" s="542"/>
      <c r="IM486" s="542"/>
      <c r="IN486" s="542"/>
      <c r="IO486" s="542"/>
      <c r="IP486" s="542"/>
      <c r="IQ486" s="542"/>
      <c r="IR486" s="542"/>
      <c r="IS486" s="542"/>
      <c r="IT486" s="542"/>
      <c r="IU486" s="542"/>
      <c r="IV486" s="542"/>
      <c r="IW486" s="542"/>
      <c r="IX486" s="542"/>
      <c r="IY486" s="542"/>
      <c r="IZ486" s="542"/>
      <c r="JA486" s="542"/>
      <c r="JB486" s="542"/>
    </row>
    <row r="487" spans="104:262" ht="18.899999999999999" customHeight="1">
      <c r="CZ487" s="542"/>
      <c r="DA487" s="542"/>
      <c r="DB487" s="542"/>
      <c r="DC487" s="542"/>
      <c r="DD487" s="542"/>
      <c r="DE487" s="542"/>
      <c r="DF487" s="542"/>
      <c r="DG487" s="542"/>
      <c r="DH487" s="542"/>
      <c r="DI487" s="542"/>
      <c r="DJ487" s="542"/>
      <c r="DK487" s="542"/>
      <c r="DL487" s="542"/>
      <c r="DM487" s="542"/>
      <c r="DN487" s="542"/>
      <c r="DO487" s="542"/>
      <c r="DP487" s="542"/>
      <c r="DQ487" s="542"/>
      <c r="DR487" s="542"/>
      <c r="DS487" s="542"/>
      <c r="DT487" s="542"/>
      <c r="DU487" s="542"/>
      <c r="DV487" s="542"/>
      <c r="DW487" s="542"/>
      <c r="DX487" s="542"/>
      <c r="DY487" s="542"/>
      <c r="DZ487" s="542"/>
      <c r="EA487" s="542"/>
      <c r="EB487" s="542"/>
      <c r="EC487" s="542"/>
      <c r="ED487" s="542"/>
      <c r="EE487" s="542"/>
      <c r="EF487" s="542"/>
      <c r="EG487" s="542"/>
      <c r="EH487" s="542"/>
      <c r="EI487" s="542"/>
      <c r="EJ487" s="542"/>
      <c r="EK487" s="542"/>
      <c r="EL487" s="542"/>
      <c r="EM487" s="542"/>
      <c r="EN487" s="542"/>
      <c r="EO487" s="542"/>
      <c r="EP487" s="542"/>
      <c r="EQ487" s="542"/>
      <c r="ER487" s="542"/>
      <c r="ES487" s="542"/>
      <c r="ET487" s="542"/>
      <c r="EU487" s="542"/>
      <c r="EV487" s="542"/>
      <c r="EW487" s="542"/>
      <c r="EX487" s="542"/>
      <c r="EY487" s="542"/>
      <c r="EZ487" s="542"/>
      <c r="FA487" s="542"/>
      <c r="FB487" s="542"/>
      <c r="FC487" s="542"/>
      <c r="FD487" s="542"/>
      <c r="FE487" s="542"/>
      <c r="FF487" s="542"/>
      <c r="FG487" s="542"/>
      <c r="FH487" s="542"/>
      <c r="FI487" s="542"/>
      <c r="FJ487" s="542"/>
      <c r="FK487" s="542"/>
      <c r="FL487" s="542"/>
      <c r="FM487" s="542"/>
      <c r="FN487" s="542"/>
      <c r="FO487" s="542"/>
      <c r="FP487" s="542"/>
      <c r="FQ487" s="542"/>
      <c r="FR487" s="542"/>
      <c r="FS487" s="542"/>
      <c r="FT487" s="542"/>
      <c r="FU487" s="542"/>
      <c r="FV487" s="542"/>
      <c r="FW487" s="542"/>
      <c r="FX487" s="542"/>
      <c r="FY487" s="542"/>
      <c r="FZ487" s="542"/>
      <c r="GA487" s="542"/>
      <c r="GB487" s="542"/>
      <c r="GC487" s="542"/>
      <c r="GD487" s="542"/>
      <c r="GE487" s="542"/>
      <c r="GF487" s="542"/>
      <c r="GG487" s="542"/>
      <c r="GH487" s="542"/>
      <c r="GI487" s="542"/>
      <c r="GJ487" s="542"/>
      <c r="GK487" s="542"/>
      <c r="GL487" s="542"/>
      <c r="GM487" s="542"/>
      <c r="GN487" s="542"/>
      <c r="GO487" s="542"/>
      <c r="GP487" s="542"/>
      <c r="GQ487" s="542"/>
      <c r="GR487" s="542"/>
      <c r="GS487" s="542"/>
      <c r="GT487" s="542"/>
      <c r="GU487" s="542"/>
      <c r="GV487" s="542"/>
      <c r="GW487" s="542"/>
      <c r="GX487" s="542"/>
      <c r="GY487" s="542"/>
      <c r="GZ487" s="542"/>
      <c r="HA487" s="542"/>
      <c r="HB487" s="542"/>
      <c r="HC487" s="542"/>
      <c r="HD487" s="542"/>
      <c r="HE487" s="542"/>
      <c r="HF487" s="542"/>
      <c r="HG487" s="542"/>
      <c r="HH487" s="542"/>
      <c r="HI487" s="542"/>
      <c r="HJ487" s="542"/>
      <c r="HK487" s="542"/>
      <c r="HL487" s="542"/>
      <c r="HM487" s="542"/>
      <c r="HN487" s="542"/>
      <c r="HO487" s="542"/>
      <c r="HP487" s="542"/>
      <c r="HQ487" s="542"/>
      <c r="HR487" s="542"/>
      <c r="HS487" s="542"/>
      <c r="HT487" s="542"/>
      <c r="HU487" s="542"/>
      <c r="HV487" s="542"/>
      <c r="HW487" s="542"/>
      <c r="HX487" s="542"/>
      <c r="HY487" s="542"/>
      <c r="HZ487" s="542"/>
      <c r="IA487" s="542"/>
      <c r="IB487" s="542"/>
      <c r="IC487" s="542"/>
      <c r="ID487" s="542"/>
      <c r="IE487" s="542"/>
      <c r="IF487" s="542"/>
      <c r="IG487" s="542"/>
      <c r="IH487" s="542"/>
      <c r="II487" s="542"/>
      <c r="IJ487" s="542"/>
      <c r="IK487" s="542"/>
      <c r="IL487" s="542"/>
      <c r="IM487" s="542"/>
      <c r="IN487" s="542"/>
      <c r="IO487" s="542"/>
      <c r="IP487" s="542"/>
      <c r="IQ487" s="542"/>
      <c r="IR487" s="542"/>
      <c r="IS487" s="542"/>
      <c r="IT487" s="542"/>
      <c r="IU487" s="542"/>
      <c r="IV487" s="542"/>
      <c r="IW487" s="542"/>
      <c r="IX487" s="542"/>
      <c r="IY487" s="542"/>
      <c r="IZ487" s="542"/>
      <c r="JA487" s="542"/>
      <c r="JB487" s="542"/>
    </row>
    <row r="488" spans="104:262" ht="18.899999999999999" customHeight="1">
      <c r="CZ488" s="542"/>
      <c r="DA488" s="542"/>
      <c r="DB488" s="542"/>
      <c r="DC488" s="542"/>
      <c r="DD488" s="542"/>
      <c r="DE488" s="542"/>
      <c r="DF488" s="542"/>
      <c r="DG488" s="542"/>
      <c r="DH488" s="542"/>
      <c r="DI488" s="542"/>
      <c r="DJ488" s="542"/>
      <c r="DK488" s="542"/>
      <c r="DL488" s="542"/>
      <c r="DM488" s="542"/>
      <c r="DN488" s="542"/>
      <c r="DO488" s="542"/>
      <c r="DP488" s="542"/>
      <c r="DQ488" s="542"/>
      <c r="DR488" s="542"/>
      <c r="DS488" s="542"/>
      <c r="DT488" s="542"/>
      <c r="DU488" s="542"/>
      <c r="DV488" s="542"/>
      <c r="DW488" s="542"/>
      <c r="DX488" s="542"/>
      <c r="DY488" s="542"/>
      <c r="DZ488" s="542"/>
      <c r="EA488" s="542"/>
      <c r="EB488" s="542"/>
      <c r="EC488" s="542"/>
      <c r="ED488" s="542"/>
      <c r="EE488" s="542"/>
      <c r="EF488" s="542"/>
      <c r="EG488" s="542"/>
      <c r="EH488" s="542"/>
      <c r="EI488" s="542"/>
      <c r="EJ488" s="542"/>
      <c r="EK488" s="542"/>
      <c r="EL488" s="542"/>
      <c r="EM488" s="542"/>
      <c r="EN488" s="542"/>
      <c r="EO488" s="542"/>
      <c r="EP488" s="542"/>
      <c r="EQ488" s="542"/>
      <c r="ER488" s="542"/>
      <c r="ES488" s="542"/>
      <c r="ET488" s="542"/>
      <c r="EU488" s="542"/>
      <c r="EV488" s="542"/>
      <c r="EW488" s="542"/>
      <c r="EX488" s="542"/>
      <c r="EY488" s="542"/>
      <c r="EZ488" s="542"/>
      <c r="FA488" s="542"/>
      <c r="FB488" s="542"/>
      <c r="FC488" s="542"/>
      <c r="FD488" s="542"/>
      <c r="FE488" s="542"/>
      <c r="FF488" s="542"/>
      <c r="FG488" s="542"/>
      <c r="FH488" s="542"/>
      <c r="FI488" s="542"/>
      <c r="FJ488" s="542"/>
      <c r="FK488" s="542"/>
      <c r="FL488" s="542"/>
      <c r="FM488" s="542"/>
      <c r="FN488" s="542"/>
      <c r="FO488" s="542"/>
      <c r="FP488" s="542"/>
      <c r="FQ488" s="542"/>
      <c r="FR488" s="542"/>
      <c r="FS488" s="542"/>
      <c r="FT488" s="542"/>
      <c r="FU488" s="542"/>
      <c r="FV488" s="542"/>
      <c r="FW488" s="542"/>
      <c r="FX488" s="542"/>
      <c r="FY488" s="542"/>
      <c r="FZ488" s="542"/>
      <c r="GA488" s="542"/>
      <c r="GB488" s="542"/>
      <c r="GC488" s="542"/>
      <c r="GD488" s="542"/>
      <c r="GE488" s="542"/>
      <c r="GF488" s="542"/>
      <c r="GG488" s="542"/>
      <c r="GH488" s="542"/>
      <c r="GI488" s="542"/>
      <c r="GJ488" s="542"/>
      <c r="GK488" s="542"/>
      <c r="GL488" s="542"/>
      <c r="GM488" s="542"/>
      <c r="GN488" s="542"/>
      <c r="GO488" s="542"/>
      <c r="GP488" s="542"/>
      <c r="GQ488" s="542"/>
      <c r="GR488" s="542"/>
      <c r="GS488" s="542"/>
      <c r="GT488" s="542"/>
      <c r="GU488" s="542"/>
      <c r="GV488" s="542"/>
      <c r="GW488" s="542"/>
      <c r="GX488" s="542"/>
      <c r="GY488" s="542"/>
      <c r="GZ488" s="542"/>
      <c r="HA488" s="542"/>
      <c r="HB488" s="542"/>
      <c r="HC488" s="542"/>
      <c r="HD488" s="542"/>
      <c r="HE488" s="542"/>
      <c r="HF488" s="542"/>
      <c r="HG488" s="542"/>
      <c r="HH488" s="542"/>
      <c r="HI488" s="542"/>
      <c r="HJ488" s="542"/>
      <c r="HK488" s="542"/>
      <c r="HL488" s="542"/>
      <c r="HM488" s="542"/>
      <c r="HN488" s="542"/>
      <c r="HO488" s="542"/>
      <c r="HP488" s="542"/>
      <c r="HQ488" s="542"/>
      <c r="HR488" s="542"/>
      <c r="HS488" s="542"/>
      <c r="HT488" s="542"/>
      <c r="HU488" s="542"/>
      <c r="HV488" s="542"/>
      <c r="HW488" s="542"/>
      <c r="HX488" s="542"/>
      <c r="HY488" s="542"/>
      <c r="HZ488" s="542"/>
      <c r="IA488" s="542"/>
      <c r="IB488" s="542"/>
      <c r="IC488" s="542"/>
      <c r="ID488" s="542"/>
      <c r="IE488" s="542"/>
      <c r="IF488" s="542"/>
      <c r="IG488" s="542"/>
      <c r="IH488" s="542"/>
      <c r="II488" s="542"/>
      <c r="IJ488" s="542"/>
      <c r="IK488" s="542"/>
      <c r="IL488" s="542"/>
      <c r="IM488" s="542"/>
      <c r="IN488" s="542"/>
      <c r="IO488" s="542"/>
      <c r="IP488" s="542"/>
      <c r="IQ488" s="542"/>
      <c r="IR488" s="542"/>
      <c r="IS488" s="542"/>
      <c r="IT488" s="542"/>
      <c r="IU488" s="542"/>
      <c r="IV488" s="542"/>
      <c r="IW488" s="542"/>
      <c r="IX488" s="542"/>
      <c r="IY488" s="542"/>
      <c r="IZ488" s="542"/>
      <c r="JA488" s="542"/>
      <c r="JB488" s="542"/>
    </row>
    <row r="489" spans="104:262" ht="18.899999999999999" customHeight="1">
      <c r="CZ489" s="542"/>
      <c r="DA489" s="542"/>
      <c r="DB489" s="542"/>
      <c r="DC489" s="542"/>
      <c r="DD489" s="542"/>
      <c r="DE489" s="542"/>
      <c r="DF489" s="542"/>
      <c r="DG489" s="542"/>
      <c r="DH489" s="542"/>
      <c r="DI489" s="542"/>
      <c r="DJ489" s="542"/>
      <c r="DK489" s="542"/>
      <c r="DL489" s="542"/>
      <c r="DM489" s="542"/>
      <c r="DN489" s="542"/>
      <c r="DO489" s="542"/>
      <c r="DP489" s="542"/>
      <c r="DQ489" s="542"/>
      <c r="DR489" s="542"/>
      <c r="DS489" s="542"/>
      <c r="DT489" s="542"/>
      <c r="DU489" s="542"/>
      <c r="DV489" s="542"/>
      <c r="DW489" s="542"/>
      <c r="DX489" s="542"/>
      <c r="DY489" s="542"/>
      <c r="DZ489" s="542"/>
      <c r="EA489" s="542"/>
      <c r="EB489" s="542"/>
      <c r="EC489" s="542"/>
      <c r="ED489" s="542"/>
      <c r="EE489" s="542"/>
      <c r="EF489" s="542"/>
      <c r="EG489" s="542"/>
      <c r="EH489" s="542"/>
      <c r="EI489" s="542"/>
      <c r="EJ489" s="542"/>
      <c r="EK489" s="542"/>
      <c r="EL489" s="542"/>
      <c r="EM489" s="542"/>
      <c r="EN489" s="542"/>
      <c r="EO489" s="542"/>
      <c r="EP489" s="542"/>
      <c r="EQ489" s="542"/>
      <c r="ER489" s="542"/>
      <c r="ES489" s="542"/>
      <c r="ET489" s="542"/>
      <c r="EU489" s="542"/>
      <c r="EV489" s="542"/>
      <c r="EW489" s="542"/>
      <c r="EX489" s="542"/>
      <c r="EY489" s="542"/>
      <c r="EZ489" s="542"/>
      <c r="FA489" s="542"/>
      <c r="FB489" s="542"/>
      <c r="FC489" s="542"/>
      <c r="FD489" s="542"/>
      <c r="FE489" s="542"/>
      <c r="FF489" s="542"/>
      <c r="FG489" s="542"/>
      <c r="FH489" s="542"/>
      <c r="FI489" s="542"/>
      <c r="FJ489" s="542"/>
      <c r="FK489" s="542"/>
      <c r="FL489" s="542"/>
      <c r="FM489" s="542"/>
      <c r="FN489" s="542"/>
      <c r="FO489" s="542"/>
      <c r="FP489" s="542"/>
      <c r="FQ489" s="542"/>
      <c r="FR489" s="542"/>
      <c r="FS489" s="542"/>
      <c r="FT489" s="542"/>
      <c r="FU489" s="542"/>
      <c r="FV489" s="542"/>
      <c r="FW489" s="542"/>
      <c r="FX489" s="542"/>
      <c r="FY489" s="542"/>
      <c r="FZ489" s="542"/>
      <c r="GA489" s="542"/>
      <c r="GB489" s="542"/>
      <c r="GC489" s="542"/>
      <c r="GD489" s="542"/>
      <c r="GE489" s="542"/>
      <c r="GF489" s="542"/>
      <c r="GG489" s="542"/>
      <c r="GH489" s="542"/>
      <c r="GI489" s="542"/>
      <c r="GJ489" s="542"/>
      <c r="GK489" s="542"/>
      <c r="GL489" s="542"/>
      <c r="GM489" s="542"/>
      <c r="GN489" s="542"/>
      <c r="GO489" s="542"/>
      <c r="GP489" s="542"/>
      <c r="GQ489" s="542"/>
      <c r="GR489" s="542"/>
      <c r="GS489" s="542"/>
      <c r="GT489" s="542"/>
      <c r="GU489" s="542"/>
      <c r="GV489" s="542"/>
      <c r="GW489" s="542"/>
      <c r="GX489" s="542"/>
      <c r="GY489" s="542"/>
      <c r="GZ489" s="542"/>
      <c r="HA489" s="542"/>
      <c r="HB489" s="542"/>
      <c r="HC489" s="542"/>
      <c r="HD489" s="542"/>
      <c r="HE489" s="542"/>
      <c r="HF489" s="542"/>
      <c r="HG489" s="542"/>
      <c r="HH489" s="542"/>
      <c r="HI489" s="542"/>
      <c r="HJ489" s="542"/>
      <c r="HK489" s="542"/>
      <c r="HL489" s="542"/>
      <c r="HM489" s="542"/>
      <c r="HN489" s="542"/>
      <c r="HO489" s="542"/>
      <c r="HP489" s="542"/>
      <c r="HQ489" s="542"/>
      <c r="HR489" s="542"/>
      <c r="HS489" s="542"/>
      <c r="HT489" s="542"/>
      <c r="HU489" s="542"/>
      <c r="HV489" s="542"/>
      <c r="HW489" s="542"/>
      <c r="HX489" s="542"/>
      <c r="HY489" s="542"/>
      <c r="HZ489" s="542"/>
      <c r="IA489" s="542"/>
      <c r="IB489" s="542"/>
      <c r="IC489" s="542"/>
      <c r="ID489" s="542"/>
      <c r="IE489" s="542"/>
      <c r="IF489" s="542"/>
      <c r="IG489" s="542"/>
      <c r="IH489" s="542"/>
      <c r="II489" s="542"/>
      <c r="IJ489" s="542"/>
      <c r="IK489" s="542"/>
      <c r="IL489" s="542"/>
      <c r="IM489" s="542"/>
      <c r="IN489" s="542"/>
      <c r="IO489" s="542"/>
      <c r="IP489" s="542"/>
      <c r="IQ489" s="542"/>
      <c r="IR489" s="542"/>
      <c r="IS489" s="542"/>
      <c r="IT489" s="542"/>
      <c r="IU489" s="542"/>
      <c r="IV489" s="542"/>
      <c r="IW489" s="542"/>
      <c r="IX489" s="542"/>
      <c r="IY489" s="542"/>
      <c r="IZ489" s="542"/>
      <c r="JA489" s="542"/>
      <c r="JB489" s="542"/>
    </row>
    <row r="490" spans="104:262" ht="18.899999999999999" customHeight="1">
      <c r="CZ490" s="542"/>
      <c r="DA490" s="542"/>
      <c r="DB490" s="542"/>
      <c r="DC490" s="542"/>
      <c r="DD490" s="542"/>
      <c r="DE490" s="542"/>
      <c r="DF490" s="542"/>
      <c r="DG490" s="542"/>
      <c r="DH490" s="542"/>
      <c r="DI490" s="542"/>
      <c r="DJ490" s="542"/>
      <c r="DK490" s="542"/>
      <c r="DL490" s="542"/>
      <c r="DM490" s="542"/>
      <c r="DN490" s="542"/>
      <c r="DO490" s="542"/>
      <c r="DP490" s="542"/>
      <c r="DQ490" s="542"/>
      <c r="DR490" s="542"/>
      <c r="DS490" s="542"/>
      <c r="DT490" s="542"/>
      <c r="DU490" s="542"/>
      <c r="DV490" s="542"/>
      <c r="DW490" s="542"/>
      <c r="DX490" s="542"/>
      <c r="DY490" s="542"/>
      <c r="DZ490" s="542"/>
      <c r="EA490" s="542"/>
      <c r="EB490" s="542"/>
      <c r="EC490" s="542"/>
      <c r="ED490" s="542"/>
      <c r="EE490" s="542"/>
      <c r="EF490" s="542"/>
      <c r="EG490" s="542"/>
      <c r="EH490" s="542"/>
      <c r="EI490" s="542"/>
      <c r="EJ490" s="542"/>
      <c r="EK490" s="542"/>
      <c r="EL490" s="542"/>
      <c r="EM490" s="542"/>
      <c r="EN490" s="542"/>
      <c r="EO490" s="542"/>
      <c r="EP490" s="542"/>
      <c r="EQ490" s="542"/>
      <c r="ER490" s="542"/>
      <c r="ES490" s="542"/>
      <c r="ET490" s="542"/>
      <c r="EU490" s="542"/>
      <c r="EV490" s="542"/>
      <c r="EW490" s="542"/>
      <c r="EX490" s="542"/>
      <c r="EY490" s="542"/>
      <c r="EZ490" s="542"/>
      <c r="FA490" s="542"/>
      <c r="FB490" s="542"/>
      <c r="FC490" s="542"/>
      <c r="FD490" s="542"/>
      <c r="FE490" s="542"/>
      <c r="FF490" s="542"/>
      <c r="FG490" s="542"/>
      <c r="FH490" s="542"/>
      <c r="FI490" s="542"/>
      <c r="FJ490" s="542"/>
      <c r="FK490" s="542"/>
      <c r="FL490" s="542"/>
      <c r="FM490" s="542"/>
      <c r="FN490" s="542"/>
      <c r="FO490" s="542"/>
      <c r="FP490" s="542"/>
      <c r="FQ490" s="542"/>
      <c r="FR490" s="542"/>
      <c r="FS490" s="542"/>
      <c r="FT490" s="542"/>
      <c r="FU490" s="542"/>
      <c r="FV490" s="542"/>
      <c r="FW490" s="542"/>
      <c r="FX490" s="542"/>
      <c r="FY490" s="542"/>
      <c r="FZ490" s="542"/>
      <c r="GA490" s="542"/>
      <c r="GB490" s="542"/>
      <c r="GC490" s="542"/>
      <c r="GD490" s="542"/>
      <c r="GE490" s="542"/>
      <c r="GF490" s="542"/>
      <c r="GG490" s="542"/>
      <c r="GH490" s="542"/>
      <c r="GI490" s="542"/>
      <c r="GJ490" s="542"/>
      <c r="GK490" s="542"/>
      <c r="GL490" s="542"/>
      <c r="GM490" s="542"/>
      <c r="GN490" s="542"/>
      <c r="GO490" s="542"/>
      <c r="GP490" s="542"/>
      <c r="GQ490" s="542"/>
      <c r="GR490" s="542"/>
      <c r="GS490" s="542"/>
      <c r="GT490" s="542"/>
      <c r="GU490" s="542"/>
      <c r="GV490" s="542"/>
      <c r="GW490" s="542"/>
      <c r="GX490" s="542"/>
      <c r="GY490" s="542"/>
      <c r="GZ490" s="542"/>
      <c r="HA490" s="542"/>
      <c r="HB490" s="542"/>
      <c r="HC490" s="542"/>
      <c r="HD490" s="542"/>
      <c r="HE490" s="542"/>
      <c r="HF490" s="542"/>
      <c r="HG490" s="542"/>
      <c r="HH490" s="542"/>
      <c r="HI490" s="542"/>
      <c r="HJ490" s="542"/>
      <c r="HK490" s="542"/>
      <c r="HL490" s="542"/>
      <c r="HM490" s="542"/>
      <c r="HN490" s="542"/>
      <c r="HO490" s="542"/>
      <c r="HP490" s="542"/>
      <c r="HQ490" s="542"/>
      <c r="HR490" s="542"/>
      <c r="HS490" s="542"/>
      <c r="HT490" s="542"/>
      <c r="HU490" s="542"/>
      <c r="HV490" s="542"/>
      <c r="HW490" s="542"/>
      <c r="HX490" s="542"/>
      <c r="HY490" s="542"/>
      <c r="HZ490" s="542"/>
      <c r="IA490" s="542"/>
      <c r="IB490" s="542"/>
      <c r="IC490" s="542"/>
      <c r="ID490" s="542"/>
      <c r="IE490" s="542"/>
      <c r="IF490" s="542"/>
      <c r="IG490" s="542"/>
      <c r="IH490" s="542"/>
      <c r="II490" s="542"/>
      <c r="IJ490" s="542"/>
      <c r="IK490" s="542"/>
      <c r="IL490" s="542"/>
      <c r="IM490" s="542"/>
      <c r="IN490" s="542"/>
      <c r="IO490" s="542"/>
      <c r="IP490" s="542"/>
      <c r="IQ490" s="542"/>
      <c r="IR490" s="542"/>
      <c r="IS490" s="542"/>
      <c r="IT490" s="542"/>
      <c r="IU490" s="542"/>
      <c r="IV490" s="542"/>
      <c r="IW490" s="542"/>
      <c r="IX490" s="542"/>
      <c r="IY490" s="542"/>
      <c r="IZ490" s="542"/>
      <c r="JA490" s="542"/>
      <c r="JB490" s="542"/>
    </row>
    <row r="491" spans="104:262" ht="18.899999999999999" customHeight="1">
      <c r="CZ491" s="542"/>
      <c r="DA491" s="542"/>
      <c r="DB491" s="542"/>
      <c r="DC491" s="542"/>
      <c r="DD491" s="542"/>
      <c r="DE491" s="542"/>
      <c r="DF491" s="542"/>
      <c r="DG491" s="542"/>
      <c r="DH491" s="542"/>
      <c r="DI491" s="542"/>
      <c r="DJ491" s="542"/>
      <c r="DK491" s="542"/>
      <c r="DL491" s="542"/>
      <c r="DM491" s="542"/>
      <c r="DN491" s="542"/>
      <c r="DO491" s="542"/>
      <c r="DP491" s="542"/>
      <c r="DQ491" s="542"/>
      <c r="DR491" s="542"/>
      <c r="DS491" s="542"/>
      <c r="DT491" s="542"/>
      <c r="DU491" s="542"/>
      <c r="DV491" s="542"/>
      <c r="DW491" s="542"/>
      <c r="DX491" s="542"/>
      <c r="DY491" s="542"/>
      <c r="DZ491" s="542"/>
      <c r="EA491" s="542"/>
      <c r="EB491" s="542"/>
      <c r="EC491" s="542"/>
      <c r="ED491" s="542"/>
      <c r="EE491" s="542"/>
      <c r="EF491" s="542"/>
      <c r="EG491" s="542"/>
      <c r="EH491" s="542"/>
      <c r="EI491" s="542"/>
      <c r="EJ491" s="542"/>
      <c r="EK491" s="542"/>
      <c r="EL491" s="542"/>
      <c r="EM491" s="542"/>
      <c r="EN491" s="542"/>
      <c r="EO491" s="542"/>
      <c r="EP491" s="542"/>
      <c r="EQ491" s="542"/>
      <c r="ER491" s="542"/>
      <c r="ES491" s="542"/>
      <c r="ET491" s="542"/>
      <c r="EU491" s="542"/>
      <c r="EV491" s="542"/>
      <c r="EW491" s="542"/>
      <c r="EX491" s="542"/>
      <c r="EY491" s="542"/>
      <c r="EZ491" s="542"/>
      <c r="FA491" s="542"/>
      <c r="FB491" s="542"/>
      <c r="FC491" s="542"/>
      <c r="FD491" s="542"/>
      <c r="FE491" s="542"/>
      <c r="FF491" s="542"/>
      <c r="FG491" s="542"/>
      <c r="FH491" s="542"/>
      <c r="FI491" s="542"/>
      <c r="FJ491" s="542"/>
      <c r="FK491" s="542"/>
      <c r="FL491" s="542"/>
      <c r="FM491" s="542"/>
      <c r="FN491" s="542"/>
      <c r="FO491" s="542"/>
      <c r="FP491" s="542"/>
      <c r="FQ491" s="542"/>
      <c r="FR491" s="542"/>
      <c r="FS491" s="542"/>
      <c r="FT491" s="542"/>
      <c r="FU491" s="542"/>
      <c r="FV491" s="542"/>
      <c r="FW491" s="542"/>
      <c r="FX491" s="542"/>
      <c r="FY491" s="542"/>
      <c r="FZ491" s="542"/>
      <c r="GA491" s="542"/>
      <c r="GB491" s="542"/>
      <c r="GC491" s="542"/>
      <c r="GD491" s="542"/>
      <c r="GE491" s="542"/>
      <c r="GF491" s="542"/>
      <c r="GG491" s="542"/>
      <c r="GH491" s="542"/>
      <c r="GI491" s="542"/>
      <c r="GJ491" s="542"/>
      <c r="GK491" s="542"/>
      <c r="GL491" s="542"/>
      <c r="GM491" s="542"/>
      <c r="GN491" s="542"/>
      <c r="GO491" s="542"/>
      <c r="GP491" s="542"/>
      <c r="GQ491" s="542"/>
      <c r="GR491" s="542"/>
      <c r="GS491" s="542"/>
      <c r="GT491" s="542"/>
      <c r="GU491" s="542"/>
      <c r="GV491" s="542"/>
      <c r="GW491" s="542"/>
      <c r="GX491" s="542"/>
      <c r="GY491" s="542"/>
      <c r="GZ491" s="542"/>
      <c r="HA491" s="542"/>
      <c r="HB491" s="542"/>
      <c r="HC491" s="542"/>
      <c r="HD491" s="542"/>
      <c r="HE491" s="542"/>
      <c r="HF491" s="542"/>
      <c r="HG491" s="542"/>
      <c r="HH491" s="542"/>
      <c r="HI491" s="542"/>
      <c r="HJ491" s="542"/>
      <c r="HK491" s="542"/>
      <c r="HL491" s="542"/>
      <c r="HM491" s="542"/>
      <c r="HN491" s="542"/>
      <c r="HO491" s="542"/>
      <c r="HP491" s="542"/>
      <c r="HQ491" s="542"/>
      <c r="HR491" s="542"/>
      <c r="HS491" s="542"/>
      <c r="HT491" s="542"/>
      <c r="HU491" s="542"/>
      <c r="HV491" s="542"/>
      <c r="HW491" s="542"/>
      <c r="HX491" s="542"/>
      <c r="HY491" s="542"/>
      <c r="HZ491" s="542"/>
      <c r="IA491" s="542"/>
      <c r="IB491" s="542"/>
      <c r="IC491" s="542"/>
      <c r="ID491" s="542"/>
      <c r="IE491" s="542"/>
      <c r="IF491" s="542"/>
      <c r="IG491" s="542"/>
      <c r="IH491" s="542"/>
      <c r="II491" s="542"/>
      <c r="IJ491" s="542"/>
      <c r="IK491" s="542"/>
      <c r="IL491" s="542"/>
      <c r="IM491" s="542"/>
      <c r="IN491" s="542"/>
      <c r="IO491" s="542"/>
      <c r="IP491" s="542"/>
      <c r="IQ491" s="542"/>
      <c r="IR491" s="542"/>
      <c r="IS491" s="542"/>
      <c r="IT491" s="542"/>
      <c r="IU491" s="542"/>
      <c r="IV491" s="542"/>
      <c r="IW491" s="542"/>
      <c r="IX491" s="542"/>
      <c r="IY491" s="542"/>
      <c r="IZ491" s="542"/>
      <c r="JA491" s="542"/>
      <c r="JB491" s="542"/>
    </row>
    <row r="492" spans="104:262" ht="18.899999999999999" customHeight="1">
      <c r="CZ492" s="542"/>
      <c r="DA492" s="542"/>
      <c r="DB492" s="542"/>
      <c r="DC492" s="542"/>
      <c r="DD492" s="542"/>
      <c r="DE492" s="542"/>
      <c r="DF492" s="542"/>
      <c r="DG492" s="542"/>
      <c r="DH492" s="542"/>
      <c r="DI492" s="542"/>
      <c r="DJ492" s="542"/>
      <c r="DK492" s="542"/>
      <c r="DL492" s="542"/>
      <c r="DM492" s="542"/>
      <c r="DN492" s="542"/>
      <c r="DO492" s="542"/>
      <c r="DP492" s="542"/>
      <c r="DQ492" s="542"/>
      <c r="DR492" s="542"/>
      <c r="DS492" s="542"/>
      <c r="DT492" s="542"/>
      <c r="DU492" s="542"/>
      <c r="DV492" s="542"/>
      <c r="DW492" s="542"/>
      <c r="DX492" s="542"/>
      <c r="DY492" s="542"/>
      <c r="DZ492" s="542"/>
      <c r="EA492" s="542"/>
      <c r="EB492" s="542"/>
      <c r="EC492" s="542"/>
      <c r="ED492" s="542"/>
      <c r="EE492" s="542"/>
      <c r="EF492" s="542"/>
      <c r="EG492" s="542"/>
      <c r="EH492" s="542"/>
      <c r="EI492" s="542"/>
      <c r="EJ492" s="542"/>
      <c r="EK492" s="542"/>
      <c r="EL492" s="542"/>
      <c r="EM492" s="542"/>
      <c r="EN492" s="542"/>
      <c r="EO492" s="542"/>
      <c r="EP492" s="542"/>
      <c r="EQ492" s="542"/>
      <c r="ER492" s="542"/>
      <c r="ES492" s="542"/>
      <c r="ET492" s="542"/>
      <c r="EU492" s="542"/>
      <c r="EV492" s="542"/>
      <c r="EW492" s="542"/>
      <c r="EX492" s="542"/>
      <c r="EY492" s="542"/>
      <c r="EZ492" s="542"/>
      <c r="FA492" s="542"/>
      <c r="FB492" s="542"/>
      <c r="FC492" s="542"/>
      <c r="FD492" s="542"/>
      <c r="FE492" s="542"/>
      <c r="FF492" s="542"/>
      <c r="FG492" s="542"/>
      <c r="FH492" s="542"/>
      <c r="FI492" s="542"/>
      <c r="FJ492" s="542"/>
      <c r="FK492" s="542"/>
      <c r="FL492" s="542"/>
      <c r="FM492" s="542"/>
      <c r="FN492" s="542"/>
      <c r="FO492" s="542"/>
      <c r="FP492" s="542"/>
      <c r="FQ492" s="542"/>
      <c r="FR492" s="542"/>
      <c r="FS492" s="542"/>
      <c r="FT492" s="542"/>
      <c r="FU492" s="542"/>
      <c r="FV492" s="542"/>
      <c r="FW492" s="542"/>
      <c r="FX492" s="542"/>
      <c r="FY492" s="542"/>
      <c r="FZ492" s="542"/>
      <c r="GA492" s="542"/>
      <c r="GB492" s="542"/>
      <c r="GC492" s="542"/>
      <c r="GD492" s="542"/>
      <c r="GE492" s="542"/>
      <c r="GF492" s="542"/>
      <c r="GG492" s="542"/>
      <c r="GH492" s="542"/>
      <c r="GI492" s="542"/>
      <c r="GJ492" s="542"/>
      <c r="GK492" s="542"/>
      <c r="GL492" s="542"/>
      <c r="GM492" s="542"/>
      <c r="GN492" s="542"/>
      <c r="GO492" s="542"/>
      <c r="GP492" s="542"/>
      <c r="GQ492" s="542"/>
      <c r="GR492" s="542"/>
      <c r="GS492" s="542"/>
      <c r="GT492" s="542"/>
      <c r="GU492" s="542"/>
      <c r="GV492" s="542"/>
      <c r="GW492" s="542"/>
      <c r="GX492" s="542"/>
      <c r="GY492" s="542"/>
      <c r="GZ492" s="542"/>
      <c r="HA492" s="542"/>
      <c r="HB492" s="542"/>
      <c r="HC492" s="542"/>
      <c r="HD492" s="542"/>
      <c r="HE492" s="542"/>
      <c r="HF492" s="542"/>
      <c r="HG492" s="542"/>
      <c r="HH492" s="542"/>
      <c r="HI492" s="542"/>
      <c r="HJ492" s="542"/>
      <c r="HK492" s="542"/>
      <c r="HL492" s="542"/>
      <c r="HM492" s="542"/>
      <c r="HN492" s="542"/>
      <c r="HO492" s="542"/>
      <c r="HP492" s="542"/>
      <c r="HQ492" s="542"/>
      <c r="HR492" s="542"/>
      <c r="HS492" s="542"/>
      <c r="HT492" s="542"/>
      <c r="HU492" s="542"/>
      <c r="HV492" s="542"/>
      <c r="HW492" s="542"/>
      <c r="HX492" s="542"/>
      <c r="HY492" s="542"/>
      <c r="HZ492" s="542"/>
      <c r="IA492" s="542"/>
      <c r="IB492" s="542"/>
      <c r="IC492" s="542"/>
      <c r="ID492" s="542"/>
      <c r="IE492" s="542"/>
      <c r="IF492" s="542"/>
      <c r="IG492" s="542"/>
      <c r="IH492" s="542"/>
      <c r="II492" s="542"/>
      <c r="IJ492" s="542"/>
      <c r="IK492" s="542"/>
      <c r="IL492" s="542"/>
      <c r="IM492" s="542"/>
      <c r="IN492" s="542"/>
      <c r="IO492" s="542"/>
      <c r="IP492" s="542"/>
      <c r="IQ492" s="542"/>
      <c r="IR492" s="542"/>
      <c r="IS492" s="542"/>
      <c r="IT492" s="542"/>
      <c r="IU492" s="542"/>
      <c r="IV492" s="542"/>
      <c r="IW492" s="542"/>
      <c r="IX492" s="542"/>
      <c r="IY492" s="542"/>
      <c r="IZ492" s="542"/>
      <c r="JA492" s="542"/>
      <c r="JB492" s="542"/>
    </row>
    <row r="493" spans="104:262" ht="18.899999999999999" customHeight="1">
      <c r="CZ493" s="542"/>
      <c r="DA493" s="542"/>
      <c r="DB493" s="542"/>
      <c r="DC493" s="542"/>
      <c r="DD493" s="542"/>
      <c r="DE493" s="542"/>
      <c r="DF493" s="542"/>
      <c r="DG493" s="542"/>
      <c r="DH493" s="542"/>
      <c r="DI493" s="542"/>
      <c r="DJ493" s="542"/>
      <c r="DK493" s="542"/>
      <c r="DL493" s="542"/>
      <c r="DM493" s="542"/>
      <c r="DN493" s="542"/>
      <c r="DO493" s="542"/>
      <c r="DP493" s="542"/>
      <c r="DQ493" s="542"/>
      <c r="DR493" s="542"/>
      <c r="DS493" s="542"/>
      <c r="DT493" s="542"/>
      <c r="DU493" s="542"/>
      <c r="DV493" s="542"/>
      <c r="DW493" s="542"/>
      <c r="DX493" s="542"/>
      <c r="DY493" s="542"/>
      <c r="DZ493" s="542"/>
      <c r="EA493" s="542"/>
      <c r="EB493" s="542"/>
      <c r="EC493" s="542"/>
      <c r="ED493" s="542"/>
      <c r="EE493" s="542"/>
      <c r="EF493" s="542"/>
      <c r="EG493" s="542"/>
      <c r="EH493" s="542"/>
      <c r="EI493" s="542"/>
      <c r="EJ493" s="542"/>
      <c r="EK493" s="542"/>
      <c r="EL493" s="542"/>
      <c r="EM493" s="542"/>
      <c r="EN493" s="542"/>
      <c r="EO493" s="542"/>
      <c r="EP493" s="542"/>
      <c r="EQ493" s="542"/>
      <c r="ER493" s="542"/>
      <c r="ES493" s="542"/>
      <c r="ET493" s="542"/>
      <c r="EU493" s="542"/>
      <c r="EV493" s="542"/>
      <c r="EW493" s="542"/>
      <c r="EX493" s="542"/>
      <c r="EY493" s="542"/>
      <c r="EZ493" s="542"/>
      <c r="FA493" s="542"/>
      <c r="FB493" s="542"/>
      <c r="FC493" s="542"/>
      <c r="FD493" s="542"/>
      <c r="FE493" s="542"/>
      <c r="FF493" s="542"/>
      <c r="FG493" s="542"/>
      <c r="FH493" s="542"/>
      <c r="FI493" s="542"/>
      <c r="FJ493" s="542"/>
      <c r="FK493" s="542"/>
      <c r="FL493" s="542"/>
      <c r="FM493" s="542"/>
      <c r="FN493" s="542"/>
      <c r="FO493" s="542"/>
      <c r="FP493" s="542"/>
      <c r="FQ493" s="542"/>
      <c r="FR493" s="542"/>
      <c r="FS493" s="542"/>
      <c r="FT493" s="542"/>
      <c r="FU493" s="542"/>
      <c r="FV493" s="542"/>
      <c r="FW493" s="542"/>
      <c r="FX493" s="542"/>
      <c r="FY493" s="542"/>
      <c r="FZ493" s="542"/>
      <c r="GA493" s="542"/>
      <c r="GB493" s="542"/>
      <c r="GC493" s="542"/>
      <c r="GD493" s="542"/>
      <c r="GE493" s="542"/>
      <c r="GF493" s="542"/>
      <c r="GG493" s="542"/>
      <c r="GH493" s="542"/>
      <c r="GI493" s="542"/>
      <c r="GJ493" s="542"/>
      <c r="GK493" s="542"/>
      <c r="GL493" s="542"/>
      <c r="GM493" s="542"/>
      <c r="GN493" s="542"/>
      <c r="GO493" s="542"/>
      <c r="GP493" s="542"/>
      <c r="GQ493" s="542"/>
      <c r="GR493" s="542"/>
      <c r="GS493" s="542"/>
      <c r="GT493" s="542"/>
      <c r="GU493" s="542"/>
      <c r="GV493" s="542"/>
      <c r="GW493" s="542"/>
      <c r="GX493" s="542"/>
      <c r="GY493" s="542"/>
      <c r="GZ493" s="542"/>
      <c r="HA493" s="542"/>
      <c r="HB493" s="542"/>
      <c r="HC493" s="542"/>
      <c r="HD493" s="542"/>
      <c r="HE493" s="542"/>
      <c r="HF493" s="542"/>
      <c r="HG493" s="542"/>
      <c r="HH493" s="542"/>
      <c r="HI493" s="542"/>
      <c r="HJ493" s="542"/>
      <c r="HK493" s="542"/>
      <c r="HL493" s="542"/>
      <c r="HM493" s="542"/>
      <c r="HN493" s="542"/>
      <c r="HO493" s="542"/>
      <c r="HP493" s="542"/>
      <c r="HQ493" s="542"/>
      <c r="HR493" s="542"/>
      <c r="HS493" s="542"/>
      <c r="HT493" s="542"/>
      <c r="HU493" s="542"/>
      <c r="HV493" s="542"/>
      <c r="HW493" s="542"/>
      <c r="HX493" s="542"/>
      <c r="HY493" s="542"/>
      <c r="HZ493" s="542"/>
      <c r="IA493" s="542"/>
      <c r="IB493" s="542"/>
      <c r="IC493" s="542"/>
      <c r="ID493" s="542"/>
      <c r="IE493" s="542"/>
      <c r="IF493" s="542"/>
      <c r="IG493" s="542"/>
      <c r="IH493" s="542"/>
      <c r="II493" s="542"/>
      <c r="IJ493" s="542"/>
      <c r="IK493" s="542"/>
      <c r="IL493" s="542"/>
      <c r="IM493" s="542"/>
      <c r="IN493" s="542"/>
      <c r="IO493" s="542"/>
      <c r="IP493" s="542"/>
      <c r="IQ493" s="542"/>
      <c r="IR493" s="542"/>
      <c r="IS493" s="542"/>
      <c r="IT493" s="542"/>
      <c r="IU493" s="542"/>
      <c r="IV493" s="542"/>
      <c r="IW493" s="542"/>
      <c r="IX493" s="542"/>
      <c r="IY493" s="542"/>
      <c r="IZ493" s="542"/>
      <c r="JA493" s="542"/>
      <c r="JB493" s="542"/>
    </row>
    <row r="494" spans="104:262" ht="18.899999999999999" customHeight="1">
      <c r="CZ494" s="542"/>
      <c r="DA494" s="542"/>
      <c r="DB494" s="542"/>
      <c r="DC494" s="542"/>
      <c r="DD494" s="542"/>
      <c r="DE494" s="542"/>
      <c r="DF494" s="542"/>
      <c r="DG494" s="542"/>
      <c r="DH494" s="542"/>
      <c r="DI494" s="542"/>
      <c r="DJ494" s="542"/>
      <c r="DK494" s="542"/>
      <c r="DL494" s="542"/>
      <c r="DM494" s="542"/>
      <c r="DN494" s="542"/>
      <c r="DO494" s="542"/>
      <c r="DP494" s="542"/>
      <c r="DQ494" s="542"/>
      <c r="DR494" s="542"/>
      <c r="DS494" s="542"/>
      <c r="DT494" s="542"/>
      <c r="DU494" s="542"/>
      <c r="DV494" s="542"/>
      <c r="DW494" s="542"/>
      <c r="DX494" s="542"/>
      <c r="DY494" s="542"/>
      <c r="DZ494" s="542"/>
      <c r="EA494" s="542"/>
      <c r="EB494" s="542"/>
      <c r="EC494" s="542"/>
      <c r="ED494" s="542"/>
      <c r="EE494" s="542"/>
      <c r="EF494" s="542"/>
      <c r="EG494" s="542"/>
      <c r="EH494" s="542"/>
      <c r="EI494" s="542"/>
      <c r="EJ494" s="542"/>
      <c r="EK494" s="542"/>
      <c r="EL494" s="542"/>
      <c r="EM494" s="542"/>
      <c r="EN494" s="542"/>
      <c r="EO494" s="542"/>
      <c r="EP494" s="542"/>
      <c r="EQ494" s="542"/>
      <c r="ER494" s="542"/>
      <c r="ES494" s="542"/>
      <c r="ET494" s="542"/>
      <c r="EU494" s="542"/>
      <c r="EV494" s="542"/>
      <c r="EW494" s="542"/>
      <c r="EX494" s="542"/>
      <c r="EY494" s="542"/>
      <c r="EZ494" s="542"/>
      <c r="FA494" s="542"/>
      <c r="FB494" s="542"/>
      <c r="FC494" s="542"/>
      <c r="FD494" s="542"/>
      <c r="FE494" s="542"/>
      <c r="FF494" s="542"/>
      <c r="FG494" s="542"/>
      <c r="FH494" s="542"/>
      <c r="FI494" s="542"/>
      <c r="FJ494" s="542"/>
      <c r="FK494" s="542"/>
      <c r="FL494" s="542"/>
      <c r="FM494" s="542"/>
      <c r="FN494" s="542"/>
      <c r="FO494" s="542"/>
      <c r="FP494" s="542"/>
      <c r="FQ494" s="542"/>
      <c r="FR494" s="542"/>
      <c r="FS494" s="542"/>
      <c r="FT494" s="542"/>
      <c r="FU494" s="542"/>
      <c r="FV494" s="542"/>
      <c r="FW494" s="542"/>
      <c r="FX494" s="542"/>
      <c r="FY494" s="542"/>
      <c r="FZ494" s="542"/>
      <c r="GA494" s="542"/>
      <c r="GB494" s="542"/>
      <c r="GC494" s="542"/>
      <c r="GD494" s="542"/>
      <c r="GE494" s="542"/>
      <c r="GF494" s="542"/>
      <c r="GG494" s="542"/>
      <c r="GH494" s="542"/>
      <c r="GI494" s="542"/>
      <c r="GJ494" s="542"/>
      <c r="GK494" s="542"/>
      <c r="GL494" s="542"/>
      <c r="GM494" s="542"/>
      <c r="GN494" s="542"/>
      <c r="GO494" s="542"/>
      <c r="GP494" s="542"/>
      <c r="GQ494" s="542"/>
      <c r="GR494" s="542"/>
      <c r="GS494" s="542"/>
      <c r="GT494" s="542"/>
      <c r="GU494" s="542"/>
      <c r="GV494" s="542"/>
      <c r="GW494" s="542"/>
      <c r="GX494" s="542"/>
      <c r="GY494" s="542"/>
      <c r="GZ494" s="542"/>
      <c r="HA494" s="542"/>
      <c r="HB494" s="542"/>
      <c r="HC494" s="542"/>
      <c r="HD494" s="542"/>
      <c r="HE494" s="542"/>
      <c r="HF494" s="542"/>
      <c r="HG494" s="542"/>
      <c r="HH494" s="542"/>
      <c r="HI494" s="542"/>
      <c r="HJ494" s="542"/>
      <c r="HK494" s="542"/>
      <c r="HL494" s="542"/>
      <c r="HM494" s="542"/>
      <c r="HN494" s="542"/>
      <c r="HO494" s="542"/>
      <c r="HP494" s="542"/>
      <c r="HQ494" s="542"/>
      <c r="HR494" s="542"/>
      <c r="HS494" s="542"/>
      <c r="HT494" s="542"/>
      <c r="HU494" s="542"/>
      <c r="HV494" s="542"/>
      <c r="HW494" s="542"/>
      <c r="HX494" s="542"/>
      <c r="HY494" s="542"/>
      <c r="HZ494" s="542"/>
      <c r="IA494" s="542"/>
      <c r="IB494" s="542"/>
      <c r="IC494" s="542"/>
      <c r="ID494" s="542"/>
      <c r="IE494" s="542"/>
      <c r="IF494" s="542"/>
      <c r="IG494" s="542"/>
      <c r="IH494" s="542"/>
      <c r="II494" s="542"/>
      <c r="IJ494" s="542"/>
      <c r="IK494" s="542"/>
      <c r="IL494" s="542"/>
      <c r="IM494" s="542"/>
      <c r="IN494" s="542"/>
      <c r="IO494" s="542"/>
      <c r="IP494" s="542"/>
      <c r="IQ494" s="542"/>
      <c r="IR494" s="542"/>
      <c r="IS494" s="542"/>
      <c r="IT494" s="542"/>
      <c r="IU494" s="542"/>
      <c r="IV494" s="542"/>
      <c r="IW494" s="542"/>
      <c r="IX494" s="542"/>
      <c r="IY494" s="542"/>
      <c r="IZ494" s="542"/>
      <c r="JA494" s="542"/>
      <c r="JB494" s="542"/>
    </row>
    <row r="495" spans="104:262" ht="18.899999999999999" customHeight="1">
      <c r="CZ495" s="542"/>
      <c r="DA495" s="542"/>
      <c r="DB495" s="542"/>
      <c r="DC495" s="542"/>
      <c r="DD495" s="542"/>
      <c r="DE495" s="542"/>
      <c r="DF495" s="542"/>
      <c r="DG495" s="542"/>
      <c r="DH495" s="542"/>
      <c r="DI495" s="542"/>
      <c r="DJ495" s="542"/>
      <c r="DK495" s="542"/>
      <c r="DL495" s="542"/>
      <c r="DM495" s="542"/>
      <c r="DN495" s="542"/>
      <c r="DO495" s="542"/>
      <c r="DP495" s="542"/>
      <c r="DQ495" s="542"/>
      <c r="DR495" s="542"/>
      <c r="DS495" s="542"/>
      <c r="DT495" s="542"/>
      <c r="DU495" s="542"/>
      <c r="DV495" s="542"/>
      <c r="DW495" s="542"/>
      <c r="DX495" s="542"/>
      <c r="DY495" s="542"/>
      <c r="DZ495" s="542"/>
      <c r="EA495" s="542"/>
      <c r="EB495" s="542"/>
      <c r="EC495" s="542"/>
      <c r="ED495" s="542"/>
      <c r="EE495" s="542"/>
      <c r="EF495" s="542"/>
      <c r="EG495" s="542"/>
      <c r="EH495" s="542"/>
      <c r="EI495" s="542"/>
      <c r="EJ495" s="542"/>
      <c r="EK495" s="542"/>
      <c r="EL495" s="542"/>
      <c r="EM495" s="542"/>
      <c r="EN495" s="542"/>
      <c r="EO495" s="542"/>
      <c r="EP495" s="542"/>
      <c r="EQ495" s="542"/>
      <c r="ER495" s="542"/>
      <c r="ES495" s="542"/>
      <c r="ET495" s="542"/>
      <c r="EU495" s="542"/>
      <c r="EV495" s="542"/>
      <c r="EW495" s="542"/>
      <c r="EX495" s="542"/>
      <c r="EY495" s="542"/>
      <c r="EZ495" s="542"/>
      <c r="FA495" s="542"/>
      <c r="FB495" s="542"/>
      <c r="FC495" s="542"/>
      <c r="FD495" s="542"/>
      <c r="FE495" s="542"/>
      <c r="FF495" s="542"/>
      <c r="FG495" s="542"/>
      <c r="FH495" s="542"/>
      <c r="FI495" s="542"/>
      <c r="FJ495" s="542"/>
      <c r="FK495" s="542"/>
      <c r="FL495" s="542"/>
      <c r="FM495" s="542"/>
      <c r="FN495" s="542"/>
      <c r="FO495" s="542"/>
      <c r="FP495" s="542"/>
      <c r="FQ495" s="542"/>
      <c r="FR495" s="542"/>
      <c r="FS495" s="542"/>
      <c r="FT495" s="542"/>
      <c r="FU495" s="542"/>
      <c r="FV495" s="542"/>
      <c r="FW495" s="542"/>
      <c r="FX495" s="542"/>
      <c r="FY495" s="542"/>
      <c r="FZ495" s="542"/>
      <c r="GA495" s="542"/>
      <c r="GB495" s="542"/>
      <c r="GC495" s="542"/>
      <c r="GD495" s="542"/>
      <c r="GE495" s="542"/>
      <c r="GF495" s="542"/>
      <c r="GG495" s="542"/>
      <c r="GH495" s="542"/>
      <c r="GI495" s="542"/>
      <c r="GJ495" s="542"/>
      <c r="GK495" s="542"/>
      <c r="GL495" s="542"/>
      <c r="GM495" s="542"/>
      <c r="GN495" s="542"/>
      <c r="GO495" s="542"/>
      <c r="GP495" s="542"/>
      <c r="GQ495" s="542"/>
      <c r="GR495" s="542"/>
      <c r="GS495" s="542"/>
      <c r="GT495" s="542"/>
      <c r="GU495" s="542"/>
      <c r="GV495" s="542"/>
      <c r="GW495" s="542"/>
      <c r="GX495" s="542"/>
      <c r="GY495" s="542"/>
      <c r="GZ495" s="542"/>
      <c r="HA495" s="542"/>
      <c r="HB495" s="542"/>
      <c r="HC495" s="542"/>
      <c r="HD495" s="542"/>
      <c r="HE495" s="542"/>
      <c r="HF495" s="542"/>
      <c r="HG495" s="542"/>
      <c r="HH495" s="542"/>
      <c r="HI495" s="542"/>
      <c r="HJ495" s="542"/>
      <c r="HK495" s="542"/>
      <c r="HL495" s="542"/>
      <c r="HM495" s="542"/>
      <c r="HN495" s="542"/>
      <c r="HO495" s="542"/>
      <c r="HP495" s="542"/>
      <c r="HQ495" s="542"/>
      <c r="HR495" s="542"/>
      <c r="HS495" s="542"/>
      <c r="HT495" s="542"/>
      <c r="HU495" s="542"/>
      <c r="HV495" s="542"/>
      <c r="HW495" s="542"/>
      <c r="HX495" s="542"/>
      <c r="HY495" s="542"/>
      <c r="HZ495" s="542"/>
      <c r="IA495" s="542"/>
      <c r="IB495" s="542"/>
      <c r="IC495" s="542"/>
      <c r="ID495" s="542"/>
      <c r="IE495" s="542"/>
      <c r="IF495" s="542"/>
      <c r="IG495" s="542"/>
      <c r="IH495" s="542"/>
      <c r="II495" s="542"/>
      <c r="IJ495" s="542"/>
      <c r="IK495" s="542"/>
      <c r="IL495" s="542"/>
      <c r="IM495" s="542"/>
      <c r="IN495" s="542"/>
      <c r="IO495" s="542"/>
      <c r="IP495" s="542"/>
      <c r="IQ495" s="542"/>
      <c r="IR495" s="542"/>
      <c r="IS495" s="542"/>
      <c r="IT495" s="542"/>
      <c r="IU495" s="542"/>
      <c r="IV495" s="542"/>
      <c r="IW495" s="542"/>
      <c r="IX495" s="542"/>
      <c r="IY495" s="542"/>
      <c r="IZ495" s="542"/>
      <c r="JA495" s="542"/>
      <c r="JB495" s="542"/>
    </row>
    <row r="496" spans="104:262" ht="18.899999999999999" customHeight="1">
      <c r="CZ496" s="542"/>
      <c r="DA496" s="542"/>
      <c r="DB496" s="542"/>
      <c r="DC496" s="542"/>
      <c r="DD496" s="542"/>
      <c r="DE496" s="542"/>
      <c r="DF496" s="542"/>
      <c r="DG496" s="542"/>
      <c r="DH496" s="542"/>
      <c r="DI496" s="542"/>
      <c r="DJ496" s="542"/>
      <c r="DK496" s="542"/>
      <c r="DL496" s="542"/>
      <c r="DM496" s="542"/>
      <c r="DN496" s="542"/>
      <c r="DO496" s="542"/>
      <c r="DP496" s="542"/>
      <c r="DQ496" s="542"/>
      <c r="DR496" s="542"/>
      <c r="DS496" s="542"/>
      <c r="DT496" s="542"/>
      <c r="DU496" s="542"/>
      <c r="DV496" s="542"/>
      <c r="DW496" s="542"/>
      <c r="DX496" s="542"/>
      <c r="DY496" s="542"/>
      <c r="DZ496" s="542"/>
      <c r="EA496" s="542"/>
      <c r="EB496" s="542"/>
      <c r="EC496" s="542"/>
      <c r="ED496" s="542"/>
      <c r="EE496" s="542"/>
      <c r="EF496" s="542"/>
      <c r="EG496" s="542"/>
      <c r="EH496" s="542"/>
      <c r="EI496" s="542"/>
      <c r="EJ496" s="542"/>
      <c r="EK496" s="542"/>
      <c r="EL496" s="542"/>
      <c r="EM496" s="542"/>
      <c r="EN496" s="542"/>
      <c r="EO496" s="542"/>
      <c r="EP496" s="542"/>
      <c r="EQ496" s="542"/>
      <c r="ER496" s="542"/>
      <c r="ES496" s="542"/>
      <c r="ET496" s="542"/>
      <c r="EU496" s="542"/>
      <c r="EV496" s="542"/>
      <c r="EW496" s="542"/>
      <c r="EX496" s="542"/>
      <c r="EY496" s="542"/>
      <c r="EZ496" s="542"/>
      <c r="FA496" s="542"/>
      <c r="FB496" s="542"/>
      <c r="FC496" s="542"/>
      <c r="FD496" s="542"/>
      <c r="FE496" s="542"/>
      <c r="FF496" s="542"/>
      <c r="FG496" s="542"/>
      <c r="FH496" s="542"/>
      <c r="FI496" s="542"/>
      <c r="FJ496" s="542"/>
      <c r="FK496" s="542"/>
      <c r="FL496" s="542"/>
      <c r="FM496" s="542"/>
      <c r="FN496" s="542"/>
      <c r="FO496" s="542"/>
      <c r="FP496" s="542"/>
      <c r="FQ496" s="542"/>
      <c r="FR496" s="542"/>
      <c r="FS496" s="542"/>
      <c r="FT496" s="542"/>
      <c r="FU496" s="542"/>
      <c r="FV496" s="542"/>
      <c r="FW496" s="542"/>
      <c r="FX496" s="542"/>
      <c r="FY496" s="542"/>
      <c r="FZ496" s="542"/>
      <c r="GA496" s="542"/>
      <c r="GB496" s="542"/>
      <c r="GC496" s="542"/>
      <c r="GD496" s="542"/>
      <c r="GE496" s="542"/>
      <c r="GF496" s="542"/>
      <c r="GG496" s="542"/>
      <c r="GH496" s="542"/>
      <c r="GI496" s="542"/>
      <c r="GJ496" s="542"/>
      <c r="GK496" s="542"/>
      <c r="GL496" s="542"/>
      <c r="GM496" s="542"/>
      <c r="GN496" s="542"/>
      <c r="GO496" s="542"/>
      <c r="GP496" s="542"/>
      <c r="GQ496" s="542"/>
      <c r="GR496" s="542"/>
      <c r="GS496" s="542"/>
      <c r="GT496" s="542"/>
      <c r="GU496" s="542"/>
      <c r="GV496" s="542"/>
      <c r="GW496" s="542"/>
      <c r="GX496" s="542"/>
      <c r="GY496" s="542"/>
      <c r="GZ496" s="542"/>
      <c r="HA496" s="542"/>
      <c r="HB496" s="542"/>
      <c r="HC496" s="542"/>
      <c r="HD496" s="542"/>
      <c r="HE496" s="542"/>
      <c r="HF496" s="542"/>
      <c r="HG496" s="542"/>
      <c r="HH496" s="542"/>
      <c r="HI496" s="542"/>
      <c r="HJ496" s="542"/>
      <c r="HK496" s="542"/>
      <c r="HL496" s="542"/>
      <c r="HM496" s="542"/>
      <c r="HN496" s="542"/>
      <c r="HO496" s="542"/>
      <c r="HP496" s="542"/>
      <c r="HQ496" s="542"/>
      <c r="HR496" s="542"/>
      <c r="HS496" s="542"/>
      <c r="HT496" s="542"/>
      <c r="HU496" s="542"/>
      <c r="HV496" s="542"/>
      <c r="HW496" s="542"/>
      <c r="HX496" s="542"/>
      <c r="HY496" s="542"/>
      <c r="HZ496" s="542"/>
      <c r="IA496" s="542"/>
      <c r="IB496" s="542"/>
      <c r="IC496" s="542"/>
      <c r="ID496" s="542"/>
      <c r="IE496" s="542"/>
      <c r="IF496" s="542"/>
      <c r="IG496" s="542"/>
      <c r="IH496" s="542"/>
      <c r="II496" s="542"/>
      <c r="IJ496" s="542"/>
      <c r="IK496" s="542"/>
      <c r="IL496" s="542"/>
      <c r="IM496" s="542"/>
      <c r="IN496" s="542"/>
      <c r="IO496" s="542"/>
      <c r="IP496" s="542"/>
      <c r="IQ496" s="542"/>
      <c r="IR496" s="542"/>
      <c r="IS496" s="542"/>
      <c r="IT496" s="542"/>
      <c r="IU496" s="542"/>
      <c r="IV496" s="542"/>
      <c r="IW496" s="542"/>
      <c r="IX496" s="542"/>
      <c r="IY496" s="542"/>
      <c r="IZ496" s="542"/>
      <c r="JA496" s="542"/>
      <c r="JB496" s="542"/>
    </row>
    <row r="497" spans="104:262" ht="18.899999999999999" customHeight="1">
      <c r="CZ497" s="542"/>
      <c r="DA497" s="542"/>
      <c r="DB497" s="542"/>
      <c r="DC497" s="542"/>
      <c r="DD497" s="542"/>
      <c r="DE497" s="542"/>
      <c r="DF497" s="542"/>
      <c r="DG497" s="542"/>
      <c r="DH497" s="542"/>
      <c r="DI497" s="542"/>
      <c r="DJ497" s="542"/>
      <c r="DK497" s="542"/>
      <c r="DL497" s="542"/>
      <c r="DM497" s="542"/>
      <c r="DN497" s="542"/>
      <c r="DO497" s="542"/>
      <c r="DP497" s="542"/>
      <c r="DQ497" s="542"/>
      <c r="DR497" s="542"/>
      <c r="DS497" s="542"/>
      <c r="DT497" s="542"/>
      <c r="DU497" s="542"/>
      <c r="DV497" s="542"/>
      <c r="DW497" s="542"/>
      <c r="DX497" s="542"/>
      <c r="DY497" s="542"/>
      <c r="DZ497" s="542"/>
      <c r="EA497" s="542"/>
      <c r="EB497" s="542"/>
      <c r="EC497" s="542"/>
      <c r="ED497" s="542"/>
      <c r="EE497" s="542"/>
      <c r="EF497" s="542"/>
      <c r="EG497" s="542"/>
      <c r="EH497" s="542"/>
      <c r="EI497" s="542"/>
      <c r="EJ497" s="542"/>
      <c r="EK497" s="542"/>
      <c r="EL497" s="542"/>
      <c r="EM497" s="542"/>
      <c r="EN497" s="542"/>
      <c r="EO497" s="542"/>
      <c r="EP497" s="542"/>
      <c r="EQ497" s="542"/>
      <c r="ER497" s="542"/>
      <c r="ES497" s="542"/>
      <c r="ET497" s="542"/>
      <c r="EU497" s="542"/>
      <c r="EV497" s="542"/>
      <c r="EW497" s="542"/>
      <c r="EX497" s="542"/>
      <c r="EY497" s="542"/>
      <c r="EZ497" s="542"/>
      <c r="FA497" s="542"/>
      <c r="FB497" s="542"/>
      <c r="FC497" s="542"/>
      <c r="FD497" s="542"/>
      <c r="FE497" s="542"/>
      <c r="FF497" s="542"/>
      <c r="FG497" s="542"/>
      <c r="FH497" s="542"/>
      <c r="FI497" s="542"/>
      <c r="FJ497" s="542"/>
      <c r="FK497" s="542"/>
      <c r="FL497" s="542"/>
      <c r="FM497" s="542"/>
      <c r="FN497" s="542"/>
      <c r="FO497" s="542"/>
      <c r="FP497" s="542"/>
      <c r="FQ497" s="542"/>
      <c r="FR497" s="542"/>
      <c r="FS497" s="542"/>
      <c r="FT497" s="542"/>
      <c r="FU497" s="542"/>
      <c r="FV497" s="542"/>
      <c r="FW497" s="542"/>
      <c r="FX497" s="542"/>
      <c r="FY497" s="542"/>
      <c r="FZ497" s="542"/>
      <c r="GA497" s="542"/>
      <c r="GB497" s="542"/>
      <c r="GC497" s="542"/>
      <c r="GD497" s="542"/>
      <c r="GE497" s="542"/>
      <c r="GF497" s="542"/>
      <c r="GG497" s="542"/>
      <c r="GH497" s="542"/>
      <c r="GI497" s="542"/>
      <c r="GJ497" s="542"/>
      <c r="GK497" s="542"/>
      <c r="GL497" s="542"/>
      <c r="GM497" s="542"/>
      <c r="GN497" s="542"/>
      <c r="GO497" s="542"/>
      <c r="GP497" s="542"/>
      <c r="GQ497" s="542"/>
      <c r="GR497" s="542"/>
      <c r="GS497" s="542"/>
      <c r="GT497" s="542"/>
      <c r="GU497" s="542"/>
      <c r="GV497" s="542"/>
      <c r="GW497" s="542"/>
      <c r="GX497" s="542"/>
      <c r="GY497" s="542"/>
      <c r="GZ497" s="542"/>
      <c r="HA497" s="542"/>
      <c r="HB497" s="542"/>
      <c r="HC497" s="542"/>
      <c r="HD497" s="542"/>
      <c r="HE497" s="542"/>
      <c r="HF497" s="542"/>
      <c r="HG497" s="542"/>
      <c r="HH497" s="542"/>
      <c r="HI497" s="542"/>
      <c r="HJ497" s="542"/>
      <c r="HK497" s="542"/>
      <c r="HL497" s="542"/>
      <c r="HM497" s="542"/>
      <c r="HN497" s="542"/>
      <c r="HO497" s="542"/>
      <c r="HP497" s="542"/>
      <c r="HQ497" s="542"/>
      <c r="HR497" s="542"/>
      <c r="HS497" s="542"/>
      <c r="HT497" s="542"/>
      <c r="HU497" s="542"/>
      <c r="HV497" s="542"/>
      <c r="HW497" s="542"/>
      <c r="HX497" s="542"/>
      <c r="HY497" s="542"/>
      <c r="HZ497" s="542"/>
      <c r="IA497" s="542"/>
      <c r="IB497" s="542"/>
      <c r="IC497" s="542"/>
      <c r="ID497" s="542"/>
      <c r="IE497" s="542"/>
      <c r="IF497" s="542"/>
      <c r="IG497" s="542"/>
      <c r="IH497" s="542"/>
      <c r="II497" s="542"/>
      <c r="IJ497" s="542"/>
      <c r="IK497" s="542"/>
      <c r="IL497" s="542"/>
      <c r="IM497" s="542"/>
      <c r="IN497" s="542"/>
      <c r="IO497" s="542"/>
      <c r="IP497" s="542"/>
      <c r="IQ497" s="542"/>
      <c r="IR497" s="542"/>
      <c r="IS497" s="542"/>
      <c r="IT497" s="542"/>
      <c r="IU497" s="542"/>
      <c r="IV497" s="542"/>
      <c r="IW497" s="542"/>
      <c r="IX497" s="542"/>
      <c r="IY497" s="542"/>
      <c r="IZ497" s="542"/>
      <c r="JA497" s="542"/>
      <c r="JB497" s="542"/>
    </row>
    <row r="498" spans="104:262" ht="18.899999999999999" customHeight="1">
      <c r="CZ498" s="542"/>
      <c r="DA498" s="542"/>
      <c r="DB498" s="542"/>
      <c r="DC498" s="542"/>
      <c r="DD498" s="542"/>
      <c r="DE498" s="542"/>
      <c r="DF498" s="542"/>
      <c r="DG498" s="542"/>
      <c r="DH498" s="542"/>
      <c r="DI498" s="542"/>
      <c r="DJ498" s="542"/>
      <c r="DK498" s="542"/>
      <c r="DL498" s="542"/>
      <c r="DM498" s="542"/>
      <c r="DN498" s="542"/>
      <c r="DO498" s="542"/>
      <c r="DP498" s="542"/>
      <c r="DQ498" s="542"/>
      <c r="DR498" s="542"/>
      <c r="DS498" s="542"/>
      <c r="DT498" s="542"/>
      <c r="DU498" s="542"/>
      <c r="DV498" s="542"/>
      <c r="DW498" s="542"/>
      <c r="DX498" s="542"/>
      <c r="DY498" s="542"/>
      <c r="DZ498" s="542"/>
      <c r="EA498" s="542"/>
      <c r="EB498" s="542"/>
      <c r="EC498" s="542"/>
      <c r="ED498" s="542"/>
      <c r="EE498" s="542"/>
      <c r="EF498" s="542"/>
      <c r="EG498" s="542"/>
      <c r="EH498" s="542"/>
      <c r="EI498" s="542"/>
      <c r="EJ498" s="542"/>
      <c r="EK498" s="542"/>
      <c r="EL498" s="542"/>
      <c r="EM498" s="542"/>
      <c r="EN498" s="542"/>
      <c r="EO498" s="542"/>
      <c r="EP498" s="542"/>
      <c r="EQ498" s="542"/>
      <c r="ER498" s="542"/>
      <c r="ES498" s="542"/>
      <c r="ET498" s="542"/>
      <c r="EU498" s="542"/>
      <c r="EV498" s="542"/>
      <c r="EW498" s="542"/>
      <c r="EX498" s="542"/>
      <c r="EY498" s="542"/>
      <c r="EZ498" s="542"/>
      <c r="FA498" s="542"/>
      <c r="FB498" s="542"/>
      <c r="FC498" s="542"/>
      <c r="FD498" s="542"/>
      <c r="FE498" s="542"/>
      <c r="FF498" s="542"/>
      <c r="FG498" s="542"/>
      <c r="FH498" s="542"/>
      <c r="FI498" s="542"/>
      <c r="FJ498" s="542"/>
      <c r="FK498" s="542"/>
      <c r="FL498" s="542"/>
      <c r="FM498" s="542"/>
      <c r="FN498" s="542"/>
      <c r="FO498" s="542"/>
      <c r="FP498" s="542"/>
      <c r="FQ498" s="542"/>
      <c r="FR498" s="542"/>
      <c r="FS498" s="542"/>
      <c r="FT498" s="542"/>
      <c r="FU498" s="542"/>
      <c r="FV498" s="542"/>
      <c r="FW498" s="542"/>
      <c r="FX498" s="542"/>
      <c r="FY498" s="542"/>
      <c r="FZ498" s="542"/>
      <c r="GA498" s="542"/>
      <c r="GB498" s="542"/>
      <c r="GC498" s="542"/>
      <c r="GD498" s="542"/>
      <c r="GE498" s="542"/>
      <c r="GF498" s="542"/>
      <c r="GG498" s="542"/>
      <c r="GH498" s="542"/>
      <c r="GI498" s="542"/>
      <c r="GJ498" s="542"/>
      <c r="GK498" s="542"/>
      <c r="GL498" s="542"/>
      <c r="GM498" s="542"/>
      <c r="GN498" s="542"/>
      <c r="GO498" s="542"/>
      <c r="GP498" s="542"/>
      <c r="GQ498" s="542"/>
      <c r="GR498" s="542"/>
      <c r="GS498" s="542"/>
      <c r="GT498" s="542"/>
      <c r="GU498" s="542"/>
      <c r="GV498" s="542"/>
      <c r="GW498" s="542"/>
      <c r="GX498" s="542"/>
      <c r="GY498" s="542"/>
      <c r="GZ498" s="542"/>
      <c r="HA498" s="542"/>
      <c r="HB498" s="542"/>
      <c r="HC498" s="542"/>
      <c r="HD498" s="542"/>
      <c r="HE498" s="542"/>
      <c r="HF498" s="542"/>
      <c r="HG498" s="542"/>
      <c r="HH498" s="542"/>
      <c r="HI498" s="542"/>
      <c r="HJ498" s="542"/>
      <c r="HK498" s="542"/>
      <c r="HL498" s="542"/>
      <c r="HM498" s="542"/>
      <c r="HN498" s="542"/>
      <c r="HO498" s="542"/>
      <c r="HP498" s="542"/>
      <c r="HQ498" s="542"/>
      <c r="HR498" s="542"/>
      <c r="HS498" s="542"/>
      <c r="HT498" s="542"/>
      <c r="HU498" s="542"/>
      <c r="HV498" s="542"/>
      <c r="HW498" s="542"/>
      <c r="HX498" s="542"/>
      <c r="HY498" s="542"/>
      <c r="HZ498" s="542"/>
      <c r="IA498" s="542"/>
      <c r="IB498" s="542"/>
      <c r="IC498" s="542"/>
      <c r="ID498" s="542"/>
      <c r="IE498" s="542"/>
      <c r="IF498" s="542"/>
      <c r="IG498" s="542"/>
      <c r="IH498" s="542"/>
      <c r="II498" s="542"/>
      <c r="IJ498" s="542"/>
      <c r="IK498" s="542"/>
      <c r="IL498" s="542"/>
      <c r="IM498" s="542"/>
      <c r="IN498" s="542"/>
      <c r="IO498" s="542"/>
      <c r="IP498" s="542"/>
      <c r="IQ498" s="542"/>
      <c r="IR498" s="542"/>
      <c r="IS498" s="542"/>
      <c r="IT498" s="542"/>
      <c r="IU498" s="542"/>
      <c r="IV498" s="542"/>
      <c r="IW498" s="542"/>
      <c r="IX498" s="542"/>
      <c r="IY498" s="542"/>
      <c r="IZ498" s="542"/>
      <c r="JA498" s="542"/>
      <c r="JB498" s="542"/>
    </row>
    <row r="499" spans="104:262" ht="18.899999999999999" customHeight="1">
      <c r="CZ499" s="542"/>
      <c r="DA499" s="542"/>
      <c r="DB499" s="542"/>
      <c r="DC499" s="542"/>
      <c r="DD499" s="542"/>
      <c r="DE499" s="542"/>
      <c r="DF499" s="542"/>
      <c r="DG499" s="542"/>
      <c r="DH499" s="542"/>
      <c r="DI499" s="542"/>
      <c r="DJ499" s="542"/>
      <c r="DK499" s="542"/>
      <c r="DL499" s="542"/>
      <c r="DM499" s="542"/>
      <c r="DN499" s="542"/>
      <c r="DO499" s="542"/>
      <c r="DP499" s="542"/>
      <c r="DQ499" s="542"/>
      <c r="DR499" s="542"/>
      <c r="DS499" s="542"/>
      <c r="DT499" s="542"/>
      <c r="DU499" s="542"/>
      <c r="DV499" s="542"/>
      <c r="DW499" s="542"/>
      <c r="DX499" s="542"/>
      <c r="DY499" s="542"/>
      <c r="DZ499" s="542"/>
      <c r="EA499" s="542"/>
      <c r="EB499" s="542"/>
      <c r="EC499" s="542"/>
      <c r="ED499" s="542"/>
      <c r="EE499" s="542"/>
      <c r="EF499" s="542"/>
      <c r="EG499" s="542"/>
      <c r="EH499" s="542"/>
      <c r="EI499" s="542"/>
      <c r="EJ499" s="542"/>
      <c r="EK499" s="542"/>
      <c r="EL499" s="542"/>
      <c r="EM499" s="542"/>
      <c r="EN499" s="542"/>
      <c r="EO499" s="542"/>
      <c r="EP499" s="542"/>
      <c r="EQ499" s="542"/>
      <c r="ER499" s="542"/>
      <c r="ES499" s="542"/>
      <c r="ET499" s="542"/>
      <c r="EU499" s="542"/>
      <c r="EV499" s="542"/>
      <c r="EW499" s="542"/>
      <c r="EX499" s="542"/>
      <c r="EY499" s="542"/>
      <c r="EZ499" s="542"/>
      <c r="FA499" s="542"/>
      <c r="FB499" s="542"/>
      <c r="FC499" s="542"/>
      <c r="FD499" s="542"/>
      <c r="FE499" s="542"/>
      <c r="FF499" s="542"/>
      <c r="FG499" s="542"/>
      <c r="FH499" s="542"/>
      <c r="FI499" s="542"/>
      <c r="FJ499" s="542"/>
      <c r="FK499" s="542"/>
      <c r="FL499" s="542"/>
      <c r="FM499" s="542"/>
      <c r="FN499" s="542"/>
      <c r="FO499" s="542"/>
      <c r="FP499" s="542"/>
      <c r="FQ499" s="542"/>
      <c r="FR499" s="542"/>
      <c r="FS499" s="542"/>
      <c r="FT499" s="542"/>
      <c r="FU499" s="542"/>
      <c r="FV499" s="542"/>
      <c r="FW499" s="542"/>
      <c r="FX499" s="542"/>
      <c r="FY499" s="542"/>
      <c r="FZ499" s="542"/>
      <c r="GA499" s="542"/>
      <c r="GB499" s="542"/>
      <c r="GC499" s="542"/>
      <c r="GD499" s="542"/>
      <c r="GE499" s="542"/>
      <c r="GF499" s="542"/>
      <c r="GG499" s="542"/>
      <c r="GH499" s="542"/>
      <c r="GI499" s="542"/>
      <c r="GJ499" s="542"/>
      <c r="GK499" s="542"/>
      <c r="GL499" s="542"/>
      <c r="GM499" s="542"/>
      <c r="GN499" s="542"/>
      <c r="GO499" s="542"/>
      <c r="GP499" s="542"/>
      <c r="GQ499" s="542"/>
      <c r="GR499" s="542"/>
      <c r="GS499" s="542"/>
      <c r="GT499" s="542"/>
      <c r="GU499" s="542"/>
      <c r="GV499" s="542"/>
      <c r="GW499" s="542"/>
      <c r="GX499" s="542"/>
      <c r="GY499" s="542"/>
      <c r="GZ499" s="542"/>
      <c r="HA499" s="542"/>
      <c r="HB499" s="542"/>
      <c r="HC499" s="542"/>
      <c r="HD499" s="542"/>
      <c r="HE499" s="542"/>
      <c r="HF499" s="542"/>
      <c r="HG499" s="542"/>
      <c r="HH499" s="542"/>
      <c r="HI499" s="542"/>
      <c r="HJ499" s="542"/>
      <c r="HK499" s="542"/>
      <c r="HL499" s="542"/>
      <c r="HM499" s="542"/>
      <c r="HN499" s="542"/>
      <c r="HO499" s="542"/>
      <c r="HP499" s="542"/>
      <c r="HQ499" s="542"/>
      <c r="HR499" s="542"/>
      <c r="HS499" s="542"/>
      <c r="HT499" s="542"/>
      <c r="HU499" s="542"/>
      <c r="HV499" s="542"/>
      <c r="HW499" s="542"/>
      <c r="HX499" s="542"/>
      <c r="HY499" s="542"/>
      <c r="HZ499" s="542"/>
      <c r="IA499" s="542"/>
      <c r="IB499" s="542"/>
      <c r="IC499" s="542"/>
      <c r="ID499" s="542"/>
      <c r="IE499" s="542"/>
      <c r="IF499" s="542"/>
      <c r="IG499" s="542"/>
      <c r="IH499" s="542"/>
      <c r="II499" s="542"/>
      <c r="IJ499" s="542"/>
      <c r="IK499" s="542"/>
      <c r="IL499" s="542"/>
      <c r="IM499" s="542"/>
      <c r="IN499" s="542"/>
      <c r="IO499" s="542"/>
      <c r="IP499" s="542"/>
      <c r="IQ499" s="542"/>
      <c r="IR499" s="542"/>
      <c r="IS499" s="542"/>
      <c r="IT499" s="542"/>
      <c r="IU499" s="542"/>
      <c r="IV499" s="542"/>
      <c r="IW499" s="542"/>
      <c r="IX499" s="542"/>
      <c r="IY499" s="542"/>
      <c r="IZ499" s="542"/>
      <c r="JA499" s="542"/>
      <c r="JB499" s="542"/>
    </row>
    <row r="500" spans="104:262" ht="18.899999999999999" customHeight="1">
      <c r="CZ500" s="542"/>
      <c r="DA500" s="542"/>
      <c r="DB500" s="542"/>
      <c r="DC500" s="542"/>
      <c r="DD500" s="542"/>
      <c r="DE500" s="542"/>
      <c r="DF500" s="542"/>
      <c r="DG500" s="542"/>
      <c r="DH500" s="542"/>
      <c r="DI500" s="542"/>
      <c r="DJ500" s="542"/>
      <c r="DK500" s="542"/>
      <c r="DL500" s="542"/>
      <c r="DM500" s="542"/>
      <c r="DN500" s="542"/>
      <c r="DO500" s="542"/>
      <c r="DP500" s="542"/>
      <c r="DQ500" s="542"/>
      <c r="DR500" s="542"/>
      <c r="DS500" s="542"/>
      <c r="DT500" s="542"/>
      <c r="DU500" s="542"/>
      <c r="DV500" s="542"/>
      <c r="DW500" s="542"/>
      <c r="DX500" s="542"/>
      <c r="DY500" s="542"/>
      <c r="DZ500" s="542"/>
      <c r="EA500" s="542"/>
      <c r="EB500" s="542"/>
      <c r="EC500" s="542"/>
      <c r="ED500" s="542"/>
      <c r="EE500" s="542"/>
      <c r="EF500" s="542"/>
      <c r="EG500" s="542"/>
      <c r="EH500" s="542"/>
      <c r="EI500" s="542"/>
      <c r="EJ500" s="542"/>
      <c r="EK500" s="542"/>
      <c r="EL500" s="542"/>
      <c r="EM500" s="542"/>
      <c r="EN500" s="542"/>
      <c r="EO500" s="542"/>
      <c r="EP500" s="542"/>
      <c r="EQ500" s="542"/>
      <c r="ER500" s="542"/>
      <c r="ES500" s="542"/>
      <c r="ET500" s="542"/>
      <c r="EU500" s="542"/>
      <c r="EV500" s="542"/>
      <c r="EW500" s="542"/>
      <c r="EX500" s="542"/>
      <c r="EY500" s="542"/>
      <c r="EZ500" s="542"/>
      <c r="FA500" s="542"/>
      <c r="FB500" s="542"/>
      <c r="FC500" s="542"/>
      <c r="FD500" s="542"/>
      <c r="FE500" s="542"/>
      <c r="FF500" s="542"/>
      <c r="FG500" s="542"/>
      <c r="FH500" s="542"/>
      <c r="FI500" s="542"/>
      <c r="FJ500" s="542"/>
      <c r="FK500" s="542"/>
      <c r="FL500" s="542"/>
      <c r="FM500" s="542"/>
      <c r="FN500" s="542"/>
      <c r="FO500" s="542"/>
      <c r="FP500" s="542"/>
      <c r="FQ500" s="542"/>
      <c r="FR500" s="542"/>
      <c r="FS500" s="542"/>
      <c r="FT500" s="542"/>
      <c r="FU500" s="542"/>
      <c r="FV500" s="542"/>
      <c r="FW500" s="542"/>
      <c r="FX500" s="542"/>
      <c r="FY500" s="542"/>
      <c r="FZ500" s="542"/>
      <c r="GA500" s="542"/>
      <c r="GB500" s="542"/>
      <c r="GC500" s="542"/>
      <c r="GD500" s="542"/>
      <c r="GE500" s="542"/>
      <c r="GF500" s="542"/>
      <c r="GG500" s="542"/>
      <c r="GH500" s="542"/>
      <c r="GI500" s="542"/>
      <c r="GJ500" s="542"/>
      <c r="GK500" s="542"/>
      <c r="GL500" s="542"/>
      <c r="GM500" s="542"/>
      <c r="GN500" s="542"/>
      <c r="GO500" s="542"/>
      <c r="GP500" s="542"/>
      <c r="GQ500" s="542"/>
      <c r="GR500" s="542"/>
      <c r="GS500" s="542"/>
      <c r="GT500" s="542"/>
      <c r="GU500" s="542"/>
      <c r="GV500" s="542"/>
      <c r="GW500" s="542"/>
      <c r="GX500" s="542"/>
      <c r="GY500" s="542"/>
      <c r="GZ500" s="542"/>
      <c r="HA500" s="542"/>
      <c r="HB500" s="542"/>
      <c r="HC500" s="542"/>
      <c r="HD500" s="542"/>
      <c r="HE500" s="542"/>
      <c r="HF500" s="542"/>
      <c r="HG500" s="542"/>
      <c r="HH500" s="542"/>
      <c r="HI500" s="542"/>
      <c r="HJ500" s="542"/>
      <c r="HK500" s="542"/>
      <c r="HL500" s="542"/>
      <c r="HM500" s="542"/>
      <c r="HN500" s="542"/>
      <c r="HO500" s="542"/>
      <c r="HP500" s="542"/>
      <c r="HQ500" s="542"/>
      <c r="HR500" s="542"/>
      <c r="HS500" s="542"/>
      <c r="HT500" s="542"/>
      <c r="HU500" s="542"/>
      <c r="HV500" s="542"/>
      <c r="HW500" s="542"/>
      <c r="HX500" s="542"/>
      <c r="HY500" s="542"/>
      <c r="HZ500" s="542"/>
      <c r="IA500" s="542"/>
      <c r="IB500" s="542"/>
      <c r="IC500" s="542"/>
      <c r="ID500" s="542"/>
      <c r="IE500" s="542"/>
      <c r="IF500" s="542"/>
      <c r="IG500" s="542"/>
      <c r="IH500" s="542"/>
      <c r="II500" s="542"/>
      <c r="IJ500" s="542"/>
      <c r="IK500" s="542"/>
      <c r="IL500" s="542"/>
      <c r="IM500" s="542"/>
      <c r="IN500" s="542"/>
      <c r="IO500" s="542"/>
      <c r="IP500" s="542"/>
      <c r="IQ500" s="542"/>
      <c r="IR500" s="542"/>
      <c r="IS500" s="542"/>
      <c r="IT500" s="542"/>
      <c r="IU500" s="542"/>
      <c r="IV500" s="542"/>
      <c r="IW500" s="542"/>
      <c r="IX500" s="542"/>
      <c r="IY500" s="542"/>
      <c r="IZ500" s="542"/>
      <c r="JA500" s="542"/>
      <c r="JB500" s="542"/>
    </row>
    <row r="501" spans="104:262" ht="18.899999999999999" customHeight="1">
      <c r="CZ501" s="542"/>
      <c r="DA501" s="542"/>
      <c r="DB501" s="542"/>
      <c r="DC501" s="542"/>
      <c r="DD501" s="542"/>
      <c r="DE501" s="542"/>
      <c r="DF501" s="542"/>
      <c r="DG501" s="542"/>
      <c r="DH501" s="542"/>
      <c r="DI501" s="542"/>
      <c r="DJ501" s="542"/>
      <c r="DK501" s="542"/>
      <c r="DL501" s="542"/>
      <c r="DM501" s="542"/>
      <c r="DN501" s="542"/>
      <c r="DO501" s="542"/>
      <c r="DP501" s="542"/>
      <c r="DQ501" s="542"/>
      <c r="DR501" s="542"/>
      <c r="DS501" s="542"/>
      <c r="DT501" s="542"/>
      <c r="DU501" s="542"/>
      <c r="DV501" s="542"/>
      <c r="DW501" s="542"/>
      <c r="DX501" s="542"/>
      <c r="DY501" s="542"/>
      <c r="DZ501" s="542"/>
      <c r="EA501" s="542"/>
      <c r="EB501" s="542"/>
      <c r="EC501" s="542"/>
      <c r="ED501" s="542"/>
      <c r="EE501" s="542"/>
      <c r="EF501" s="542"/>
      <c r="EG501" s="542"/>
      <c r="EH501" s="542"/>
      <c r="EI501" s="542"/>
      <c r="EJ501" s="542"/>
      <c r="EK501" s="542"/>
      <c r="EL501" s="542"/>
      <c r="EM501" s="542"/>
      <c r="EN501" s="542"/>
      <c r="EO501" s="542"/>
      <c r="EP501" s="542"/>
      <c r="EQ501" s="542"/>
      <c r="ER501" s="542"/>
      <c r="ES501" s="542"/>
      <c r="ET501" s="542"/>
      <c r="EU501" s="542"/>
      <c r="EV501" s="542"/>
      <c r="EW501" s="542"/>
      <c r="EX501" s="542"/>
      <c r="EY501" s="542"/>
      <c r="EZ501" s="542"/>
      <c r="FA501" s="542"/>
      <c r="FB501" s="542"/>
      <c r="FC501" s="542"/>
      <c r="FD501" s="542"/>
      <c r="FE501" s="542"/>
      <c r="FF501" s="542"/>
      <c r="FG501" s="542"/>
      <c r="FH501" s="542"/>
      <c r="FI501" s="542"/>
      <c r="FJ501" s="542"/>
      <c r="FK501" s="542"/>
      <c r="FL501" s="542"/>
      <c r="FM501" s="542"/>
      <c r="FN501" s="542"/>
      <c r="FO501" s="542"/>
      <c r="FP501" s="542"/>
      <c r="FQ501" s="542"/>
      <c r="FR501" s="542"/>
      <c r="FS501" s="542"/>
      <c r="FT501" s="542"/>
      <c r="FU501" s="542"/>
      <c r="FV501" s="542"/>
      <c r="FW501" s="542"/>
      <c r="FX501" s="542"/>
      <c r="FY501" s="542"/>
      <c r="FZ501" s="542"/>
      <c r="GA501" s="542"/>
      <c r="GB501" s="542"/>
      <c r="GC501" s="542"/>
      <c r="GD501" s="542"/>
      <c r="GE501" s="542"/>
      <c r="GF501" s="542"/>
      <c r="GG501" s="542"/>
      <c r="GH501" s="542"/>
      <c r="GI501" s="542"/>
      <c r="GJ501" s="542"/>
      <c r="GK501" s="542"/>
      <c r="GL501" s="542"/>
      <c r="GM501" s="542"/>
      <c r="GN501" s="542"/>
      <c r="GO501" s="542"/>
      <c r="GP501" s="542"/>
      <c r="GQ501" s="542"/>
      <c r="GR501" s="542"/>
      <c r="GS501" s="542"/>
      <c r="GT501" s="542"/>
      <c r="GU501" s="542"/>
      <c r="GV501" s="542"/>
      <c r="GW501" s="542"/>
      <c r="GX501" s="542"/>
      <c r="GY501" s="542"/>
      <c r="GZ501" s="542"/>
      <c r="HA501" s="542"/>
      <c r="HB501" s="542"/>
      <c r="HC501" s="542"/>
      <c r="HD501" s="542"/>
      <c r="HE501" s="542"/>
      <c r="HF501" s="542"/>
      <c r="HG501" s="542"/>
      <c r="HH501" s="542"/>
      <c r="HI501" s="542"/>
      <c r="HJ501" s="542"/>
      <c r="HK501" s="542"/>
      <c r="HL501" s="542"/>
      <c r="HM501" s="542"/>
      <c r="HN501" s="542"/>
      <c r="HO501" s="542"/>
      <c r="HP501" s="542"/>
      <c r="HQ501" s="542"/>
      <c r="HR501" s="542"/>
      <c r="HS501" s="542"/>
      <c r="HT501" s="542"/>
      <c r="HU501" s="542"/>
      <c r="HV501" s="542"/>
      <c r="HW501" s="542"/>
      <c r="HX501" s="542"/>
      <c r="HY501" s="542"/>
      <c r="HZ501" s="542"/>
      <c r="IA501" s="542"/>
      <c r="IB501" s="542"/>
      <c r="IC501" s="542"/>
      <c r="ID501" s="542"/>
      <c r="IE501" s="542"/>
      <c r="IF501" s="542"/>
      <c r="IG501" s="542"/>
      <c r="IH501" s="542"/>
      <c r="II501" s="542"/>
      <c r="IJ501" s="542"/>
      <c r="IK501" s="542"/>
      <c r="IL501" s="542"/>
      <c r="IM501" s="542"/>
      <c r="IN501" s="542"/>
      <c r="IO501" s="542"/>
      <c r="IP501" s="542"/>
      <c r="IQ501" s="542"/>
      <c r="IR501" s="542"/>
      <c r="IS501" s="542"/>
      <c r="IT501" s="542"/>
      <c r="IU501" s="542"/>
      <c r="IV501" s="542"/>
      <c r="IW501" s="542"/>
      <c r="IX501" s="542"/>
      <c r="IY501" s="542"/>
      <c r="IZ501" s="542"/>
      <c r="JA501" s="542"/>
      <c r="JB501" s="542"/>
    </row>
    <row r="502" spans="104:262" ht="18.899999999999999" customHeight="1">
      <c r="CZ502" s="542"/>
      <c r="DA502" s="542"/>
      <c r="DB502" s="542"/>
      <c r="DC502" s="542"/>
      <c r="DD502" s="542"/>
      <c r="DE502" s="542"/>
      <c r="DF502" s="542"/>
      <c r="DG502" s="542"/>
      <c r="DH502" s="542"/>
      <c r="DI502" s="542"/>
      <c r="DJ502" s="542"/>
      <c r="DK502" s="542"/>
      <c r="DL502" s="542"/>
      <c r="DM502" s="542"/>
      <c r="DN502" s="542"/>
      <c r="DO502" s="542"/>
      <c r="DP502" s="542"/>
      <c r="DQ502" s="542"/>
      <c r="DR502" s="542"/>
      <c r="DS502" s="542"/>
      <c r="DT502" s="542"/>
      <c r="DU502" s="542"/>
      <c r="DV502" s="542"/>
      <c r="DW502" s="542"/>
      <c r="DX502" s="542"/>
      <c r="DY502" s="542"/>
      <c r="DZ502" s="542"/>
      <c r="EA502" s="542"/>
      <c r="EB502" s="542"/>
      <c r="EC502" s="542"/>
      <c r="ED502" s="542"/>
      <c r="EE502" s="542"/>
      <c r="EF502" s="542"/>
      <c r="EG502" s="542"/>
      <c r="EH502" s="542"/>
      <c r="EI502" s="542"/>
      <c r="EJ502" s="542"/>
      <c r="EK502" s="542"/>
      <c r="EL502" s="542"/>
      <c r="EM502" s="542"/>
      <c r="EN502" s="542"/>
      <c r="EO502" s="542"/>
      <c r="EP502" s="542"/>
      <c r="EQ502" s="542"/>
      <c r="ER502" s="542"/>
      <c r="ES502" s="542"/>
      <c r="ET502" s="542"/>
      <c r="EU502" s="542"/>
      <c r="EV502" s="542"/>
      <c r="EW502" s="542"/>
      <c r="EX502" s="542"/>
      <c r="EY502" s="542"/>
      <c r="EZ502" s="542"/>
      <c r="FA502" s="542"/>
      <c r="FB502" s="542"/>
      <c r="FC502" s="542"/>
      <c r="FD502" s="542"/>
      <c r="FE502" s="542"/>
      <c r="FF502" s="542"/>
      <c r="FG502" s="542"/>
      <c r="FH502" s="542"/>
      <c r="FI502" s="542"/>
      <c r="FJ502" s="542"/>
      <c r="FK502" s="542"/>
      <c r="FL502" s="542"/>
      <c r="FM502" s="542"/>
      <c r="FN502" s="542"/>
      <c r="FO502" s="542"/>
      <c r="FP502" s="542"/>
      <c r="FQ502" s="542"/>
      <c r="FR502" s="542"/>
      <c r="FS502" s="542"/>
      <c r="FT502" s="542"/>
      <c r="FU502" s="542"/>
      <c r="FV502" s="542"/>
      <c r="FW502" s="542"/>
      <c r="FX502" s="542"/>
      <c r="FY502" s="542"/>
      <c r="FZ502" s="542"/>
      <c r="GA502" s="542"/>
      <c r="GB502" s="542"/>
      <c r="GC502" s="542"/>
      <c r="GD502" s="542"/>
      <c r="GE502" s="542"/>
      <c r="GF502" s="542"/>
      <c r="GG502" s="542"/>
      <c r="GH502" s="542"/>
      <c r="GI502" s="542"/>
      <c r="GJ502" s="542"/>
      <c r="GK502" s="542"/>
      <c r="GL502" s="542"/>
      <c r="GM502" s="542"/>
      <c r="GN502" s="542"/>
      <c r="GO502" s="542"/>
      <c r="GP502" s="542"/>
      <c r="GQ502" s="542"/>
      <c r="GR502" s="542"/>
      <c r="GS502" s="542"/>
      <c r="GT502" s="542"/>
      <c r="GU502" s="542"/>
      <c r="GV502" s="542"/>
      <c r="GW502" s="542"/>
      <c r="GX502" s="542"/>
      <c r="GY502" s="542"/>
      <c r="GZ502" s="542"/>
      <c r="HA502" s="542"/>
      <c r="HB502" s="542"/>
      <c r="HC502" s="542"/>
      <c r="HD502" s="542"/>
      <c r="HE502" s="542"/>
      <c r="HF502" s="542"/>
      <c r="HG502" s="542"/>
      <c r="HH502" s="542"/>
      <c r="HI502" s="542"/>
      <c r="HJ502" s="542"/>
      <c r="HK502" s="542"/>
      <c r="HL502" s="542"/>
      <c r="HM502" s="542"/>
      <c r="HN502" s="542"/>
      <c r="HO502" s="542"/>
      <c r="HP502" s="542"/>
      <c r="HQ502" s="542"/>
      <c r="HR502" s="542"/>
      <c r="HS502" s="542"/>
      <c r="HT502" s="542"/>
      <c r="HU502" s="542"/>
      <c r="HV502" s="542"/>
      <c r="HW502" s="542"/>
      <c r="HX502" s="542"/>
      <c r="HY502" s="542"/>
      <c r="HZ502" s="542"/>
      <c r="IA502" s="542"/>
      <c r="IB502" s="542"/>
      <c r="IC502" s="542"/>
      <c r="ID502" s="542"/>
      <c r="IE502" s="542"/>
      <c r="IF502" s="542"/>
      <c r="IG502" s="542"/>
      <c r="IH502" s="542"/>
      <c r="II502" s="542"/>
      <c r="IJ502" s="542"/>
      <c r="IK502" s="542"/>
      <c r="IL502" s="542"/>
      <c r="IM502" s="542"/>
      <c r="IN502" s="542"/>
      <c r="IO502" s="542"/>
      <c r="IP502" s="542"/>
      <c r="IQ502" s="542"/>
      <c r="IR502" s="542"/>
      <c r="IS502" s="542"/>
      <c r="IT502" s="542"/>
      <c r="IU502" s="542"/>
      <c r="IV502" s="542"/>
      <c r="IW502" s="542"/>
      <c r="IX502" s="542"/>
      <c r="IY502" s="542"/>
      <c r="IZ502" s="542"/>
      <c r="JA502" s="542"/>
      <c r="JB502" s="542"/>
    </row>
    <row r="503" spans="104:262" ht="18.899999999999999" customHeight="1">
      <c r="CZ503" s="542"/>
      <c r="DA503" s="542"/>
      <c r="DB503" s="542"/>
      <c r="DC503" s="542"/>
      <c r="DD503" s="542"/>
      <c r="DE503" s="542"/>
      <c r="DF503" s="542"/>
      <c r="DG503" s="542"/>
      <c r="DH503" s="542"/>
      <c r="DI503" s="542"/>
      <c r="DJ503" s="542"/>
      <c r="DK503" s="542"/>
      <c r="DL503" s="542"/>
      <c r="DM503" s="542"/>
      <c r="DN503" s="542"/>
      <c r="DO503" s="542"/>
      <c r="DP503" s="542"/>
      <c r="DQ503" s="542"/>
      <c r="DR503" s="542"/>
      <c r="DS503" s="542"/>
      <c r="DT503" s="542"/>
      <c r="DU503" s="542"/>
      <c r="DV503" s="542"/>
      <c r="DW503" s="542"/>
      <c r="DX503" s="542"/>
      <c r="DY503" s="542"/>
      <c r="DZ503" s="542"/>
      <c r="EA503" s="542"/>
      <c r="EB503" s="542"/>
      <c r="EC503" s="542"/>
      <c r="ED503" s="542"/>
      <c r="EE503" s="542"/>
      <c r="EF503" s="542"/>
      <c r="EG503" s="542"/>
      <c r="EH503" s="542"/>
      <c r="EI503" s="542"/>
      <c r="EJ503" s="542"/>
      <c r="EK503" s="542"/>
      <c r="EL503" s="542"/>
      <c r="EM503" s="542"/>
      <c r="EN503" s="542"/>
      <c r="EO503" s="542"/>
      <c r="EP503" s="542"/>
      <c r="EQ503" s="542"/>
      <c r="ER503" s="542"/>
      <c r="ES503" s="542"/>
      <c r="ET503" s="542"/>
      <c r="EU503" s="542"/>
      <c r="EV503" s="542"/>
      <c r="EW503" s="542"/>
      <c r="EX503" s="542"/>
      <c r="EY503" s="542"/>
      <c r="EZ503" s="542"/>
      <c r="FA503" s="542"/>
      <c r="FB503" s="542"/>
      <c r="FC503" s="542"/>
      <c r="FD503" s="542"/>
      <c r="FE503" s="542"/>
      <c r="FF503" s="542"/>
      <c r="FG503" s="542"/>
      <c r="FH503" s="542"/>
      <c r="FI503" s="542"/>
      <c r="FJ503" s="542"/>
      <c r="FK503" s="542"/>
      <c r="FL503" s="542"/>
      <c r="FM503" s="542"/>
      <c r="FN503" s="542"/>
      <c r="FO503" s="542"/>
      <c r="FP503" s="542"/>
      <c r="FQ503" s="542"/>
      <c r="FR503" s="542"/>
      <c r="FS503" s="542"/>
      <c r="FT503" s="542"/>
      <c r="FU503" s="542"/>
      <c r="FV503" s="542"/>
      <c r="FW503" s="542"/>
      <c r="FX503" s="542"/>
      <c r="FY503" s="542"/>
      <c r="FZ503" s="542"/>
      <c r="GA503" s="542"/>
      <c r="GB503" s="542"/>
      <c r="GC503" s="542"/>
      <c r="GD503" s="542"/>
      <c r="GE503" s="542"/>
      <c r="GF503" s="542"/>
      <c r="GG503" s="542"/>
      <c r="GH503" s="542"/>
      <c r="GI503" s="542"/>
      <c r="GJ503" s="542"/>
      <c r="GK503" s="542"/>
      <c r="GL503" s="542"/>
      <c r="GM503" s="542"/>
      <c r="GN503" s="542"/>
      <c r="GO503" s="542"/>
      <c r="GP503" s="542"/>
      <c r="GQ503" s="542"/>
      <c r="GR503" s="542"/>
      <c r="GS503" s="542"/>
      <c r="GT503" s="542"/>
      <c r="GU503" s="542"/>
      <c r="GV503" s="542"/>
      <c r="GW503" s="542"/>
      <c r="GX503" s="542"/>
      <c r="GY503" s="542"/>
      <c r="GZ503" s="542"/>
      <c r="HA503" s="542"/>
      <c r="HB503" s="542"/>
      <c r="HC503" s="542"/>
      <c r="HD503" s="542"/>
      <c r="HE503" s="542"/>
      <c r="HF503" s="542"/>
      <c r="HG503" s="542"/>
      <c r="HH503" s="542"/>
      <c r="HI503" s="542"/>
      <c r="HJ503" s="542"/>
      <c r="HK503" s="542"/>
      <c r="HL503" s="542"/>
      <c r="HM503" s="542"/>
      <c r="HN503" s="542"/>
      <c r="HO503" s="542"/>
      <c r="HP503" s="542"/>
      <c r="HQ503" s="542"/>
      <c r="HR503" s="542"/>
      <c r="HS503" s="542"/>
      <c r="HT503" s="542"/>
      <c r="HU503" s="542"/>
      <c r="HV503" s="542"/>
      <c r="HW503" s="542"/>
      <c r="HX503" s="542"/>
      <c r="HY503" s="542"/>
      <c r="HZ503" s="542"/>
      <c r="IA503" s="542"/>
      <c r="IB503" s="542"/>
      <c r="IC503" s="542"/>
      <c r="ID503" s="542"/>
      <c r="IE503" s="542"/>
      <c r="IF503" s="542"/>
      <c r="IG503" s="542"/>
      <c r="IH503" s="542"/>
      <c r="II503" s="542"/>
      <c r="IJ503" s="542"/>
      <c r="IK503" s="542"/>
      <c r="IL503" s="542"/>
      <c r="IM503" s="542"/>
      <c r="IN503" s="542"/>
      <c r="IO503" s="542"/>
      <c r="IP503" s="542"/>
      <c r="IQ503" s="542"/>
      <c r="IR503" s="542"/>
      <c r="IS503" s="542"/>
      <c r="IT503" s="542"/>
      <c r="IU503" s="542"/>
      <c r="IV503" s="542"/>
      <c r="IW503" s="542"/>
      <c r="IX503" s="542"/>
      <c r="IY503" s="542"/>
      <c r="IZ503" s="542"/>
      <c r="JA503" s="542"/>
      <c r="JB503" s="542"/>
    </row>
    <row r="504" spans="104:262" ht="18.899999999999999" customHeight="1">
      <c r="CZ504" s="542"/>
      <c r="DA504" s="542"/>
      <c r="DB504" s="542"/>
      <c r="DC504" s="542"/>
      <c r="DD504" s="542"/>
      <c r="DE504" s="542"/>
      <c r="DF504" s="542"/>
      <c r="DG504" s="542"/>
      <c r="DH504" s="542"/>
      <c r="DI504" s="542"/>
      <c r="DJ504" s="542"/>
      <c r="DK504" s="542"/>
      <c r="DL504" s="542"/>
      <c r="DM504" s="542"/>
      <c r="DN504" s="542"/>
      <c r="DO504" s="542"/>
      <c r="DP504" s="542"/>
      <c r="DQ504" s="542"/>
      <c r="DR504" s="542"/>
      <c r="DS504" s="542"/>
      <c r="DT504" s="542"/>
      <c r="DU504" s="542"/>
      <c r="DV504" s="542"/>
      <c r="DW504" s="542"/>
      <c r="DX504" s="542"/>
      <c r="DY504" s="542"/>
      <c r="DZ504" s="542"/>
      <c r="EA504" s="542"/>
      <c r="EB504" s="542"/>
      <c r="EC504" s="542"/>
      <c r="ED504" s="542"/>
      <c r="EE504" s="542"/>
      <c r="EF504" s="542"/>
      <c r="EG504" s="542"/>
      <c r="EH504" s="542"/>
      <c r="EI504" s="542"/>
      <c r="EJ504" s="542"/>
      <c r="EK504" s="542"/>
      <c r="EL504" s="542"/>
      <c r="EM504" s="542"/>
      <c r="EN504" s="542"/>
      <c r="EO504" s="542"/>
      <c r="EP504" s="542"/>
      <c r="EQ504" s="542"/>
      <c r="ER504" s="542"/>
      <c r="ES504" s="542"/>
      <c r="ET504" s="542"/>
      <c r="EU504" s="542"/>
      <c r="EV504" s="542"/>
      <c r="EW504" s="542"/>
      <c r="EX504" s="542"/>
      <c r="EY504" s="542"/>
      <c r="EZ504" s="542"/>
      <c r="FA504" s="542"/>
      <c r="FB504" s="542"/>
      <c r="FC504" s="542"/>
      <c r="FD504" s="542"/>
      <c r="FE504" s="542"/>
      <c r="FF504" s="542"/>
      <c r="FG504" s="542"/>
      <c r="FH504" s="542"/>
      <c r="FI504" s="542"/>
      <c r="FJ504" s="542"/>
      <c r="FK504" s="542"/>
      <c r="FL504" s="542"/>
      <c r="FM504" s="542"/>
      <c r="FN504" s="542"/>
      <c r="FO504" s="542"/>
      <c r="FP504" s="542"/>
      <c r="FQ504" s="542"/>
      <c r="FR504" s="542"/>
      <c r="FS504" s="542"/>
      <c r="FT504" s="542"/>
      <c r="FU504" s="542"/>
      <c r="FV504" s="542"/>
      <c r="FW504" s="542"/>
      <c r="FX504" s="542"/>
      <c r="FY504" s="542"/>
      <c r="FZ504" s="542"/>
      <c r="GA504" s="542"/>
      <c r="GB504" s="542"/>
      <c r="GC504" s="542"/>
      <c r="GD504" s="542"/>
      <c r="GE504" s="542"/>
      <c r="GF504" s="542"/>
      <c r="GG504" s="542"/>
      <c r="GH504" s="542"/>
      <c r="GI504" s="542"/>
      <c r="GJ504" s="542"/>
      <c r="GK504" s="542"/>
      <c r="GL504" s="542"/>
      <c r="GM504" s="542"/>
      <c r="GN504" s="542"/>
      <c r="GO504" s="542"/>
      <c r="GP504" s="542"/>
      <c r="GQ504" s="542"/>
      <c r="GR504" s="542"/>
      <c r="GS504" s="542"/>
      <c r="GT504" s="542"/>
      <c r="GU504" s="542"/>
      <c r="GV504" s="542"/>
      <c r="GW504" s="542"/>
      <c r="GX504" s="542"/>
      <c r="GY504" s="542"/>
      <c r="GZ504" s="542"/>
      <c r="HA504" s="542"/>
      <c r="HB504" s="542"/>
      <c r="HC504" s="542"/>
      <c r="HD504" s="542"/>
      <c r="HE504" s="542"/>
      <c r="HF504" s="542"/>
      <c r="HG504" s="542"/>
      <c r="HH504" s="542"/>
      <c r="HI504" s="542"/>
      <c r="HJ504" s="542"/>
      <c r="HK504" s="542"/>
      <c r="HL504" s="542"/>
      <c r="HM504" s="542"/>
      <c r="HN504" s="542"/>
      <c r="HO504" s="542"/>
      <c r="HP504" s="542"/>
      <c r="HQ504" s="542"/>
      <c r="HR504" s="542"/>
      <c r="HS504" s="542"/>
      <c r="HT504" s="542"/>
      <c r="HU504" s="542"/>
      <c r="HV504" s="542"/>
      <c r="HW504" s="542"/>
      <c r="HX504" s="542"/>
      <c r="HY504" s="542"/>
      <c r="HZ504" s="542"/>
      <c r="IA504" s="542"/>
      <c r="IB504" s="542"/>
      <c r="IC504" s="542"/>
      <c r="ID504" s="542"/>
      <c r="IE504" s="542"/>
      <c r="IF504" s="542"/>
      <c r="IG504" s="542"/>
      <c r="IH504" s="542"/>
      <c r="II504" s="542"/>
      <c r="IJ504" s="542"/>
      <c r="IK504" s="542"/>
      <c r="IL504" s="542"/>
      <c r="IM504" s="542"/>
      <c r="IN504" s="542"/>
      <c r="IO504" s="542"/>
      <c r="IP504" s="542"/>
      <c r="IQ504" s="542"/>
      <c r="IR504" s="542"/>
      <c r="IS504" s="542"/>
      <c r="IT504" s="542"/>
      <c r="IU504" s="542"/>
      <c r="IV504" s="542"/>
      <c r="IW504" s="542"/>
      <c r="IX504" s="542"/>
      <c r="IY504" s="542"/>
      <c r="IZ504" s="542"/>
      <c r="JA504" s="542"/>
      <c r="JB504" s="542"/>
    </row>
    <row r="505" spans="104:262" ht="18.899999999999999" customHeight="1">
      <c r="CZ505" s="542"/>
      <c r="DA505" s="542"/>
      <c r="DB505" s="542"/>
      <c r="DC505" s="542"/>
      <c r="DD505" s="542"/>
      <c r="DE505" s="542"/>
      <c r="DF505" s="542"/>
      <c r="DG505" s="542"/>
      <c r="DH505" s="542"/>
      <c r="DI505" s="542"/>
      <c r="DJ505" s="542"/>
      <c r="DK505" s="542"/>
      <c r="DL505" s="542"/>
      <c r="DM505" s="542"/>
      <c r="DN505" s="542"/>
      <c r="DO505" s="542"/>
      <c r="DP505" s="542"/>
      <c r="DQ505" s="542"/>
      <c r="DR505" s="542"/>
      <c r="DS505" s="542"/>
      <c r="DT505" s="542"/>
      <c r="DU505" s="542"/>
      <c r="DV505" s="542"/>
      <c r="DW505" s="542"/>
      <c r="DX505" s="542"/>
      <c r="DY505" s="542"/>
      <c r="DZ505" s="542"/>
      <c r="EA505" s="542"/>
      <c r="EB505" s="542"/>
      <c r="EC505" s="542"/>
      <c r="ED505" s="542"/>
      <c r="EE505" s="542"/>
      <c r="EF505" s="542"/>
      <c r="EG505" s="542"/>
      <c r="EH505" s="542"/>
      <c r="EI505" s="542"/>
      <c r="EJ505" s="542"/>
      <c r="EK505" s="542"/>
      <c r="EL505" s="542"/>
      <c r="EM505" s="542"/>
      <c r="EN505" s="542"/>
      <c r="EO505" s="542"/>
      <c r="EP505" s="542"/>
      <c r="EQ505" s="542"/>
      <c r="ER505" s="542"/>
      <c r="ES505" s="542"/>
      <c r="ET505" s="542"/>
      <c r="EU505" s="542"/>
      <c r="EV505" s="542"/>
      <c r="EW505" s="542"/>
      <c r="EX505" s="542"/>
      <c r="EY505" s="542"/>
      <c r="EZ505" s="542"/>
      <c r="FA505" s="542"/>
      <c r="FB505" s="542"/>
      <c r="FC505" s="542"/>
      <c r="FD505" s="542"/>
      <c r="FE505" s="542"/>
      <c r="FF505" s="542"/>
      <c r="FG505" s="542"/>
      <c r="FH505" s="542"/>
      <c r="FI505" s="542"/>
      <c r="FJ505" s="542"/>
      <c r="FK505" s="542"/>
      <c r="FL505" s="542"/>
      <c r="FM505" s="542"/>
      <c r="FN505" s="542"/>
      <c r="FO505" s="542"/>
      <c r="FP505" s="542"/>
      <c r="FQ505" s="542"/>
      <c r="FR505" s="542"/>
      <c r="FS505" s="542"/>
      <c r="FT505" s="542"/>
      <c r="FU505" s="542"/>
      <c r="FV505" s="542"/>
      <c r="FW505" s="542"/>
      <c r="FX505" s="542"/>
      <c r="FY505" s="542"/>
      <c r="FZ505" s="542"/>
      <c r="GA505" s="542"/>
      <c r="GB505" s="542"/>
      <c r="GC505" s="542"/>
      <c r="GD505" s="542"/>
      <c r="GE505" s="542"/>
      <c r="GF505" s="542"/>
      <c r="GG505" s="542"/>
      <c r="GH505" s="542"/>
      <c r="GI505" s="542"/>
      <c r="GJ505" s="542"/>
      <c r="GK505" s="542"/>
      <c r="GL505" s="542"/>
      <c r="GM505" s="542"/>
      <c r="GN505" s="542"/>
      <c r="GO505" s="542"/>
      <c r="GP505" s="542"/>
      <c r="GQ505" s="542"/>
      <c r="GR505" s="542"/>
      <c r="GS505" s="542"/>
      <c r="GT505" s="542"/>
      <c r="GU505" s="542"/>
      <c r="GV505" s="542"/>
      <c r="GW505" s="542"/>
      <c r="GX505" s="542"/>
      <c r="GY505" s="542"/>
      <c r="GZ505" s="542"/>
      <c r="HA505" s="542"/>
      <c r="HB505" s="542"/>
      <c r="HC505" s="542"/>
      <c r="HD505" s="542"/>
      <c r="HE505" s="542"/>
      <c r="HF505" s="542"/>
      <c r="HG505" s="542"/>
      <c r="HH505" s="542"/>
      <c r="HI505" s="542"/>
      <c r="HJ505" s="542"/>
      <c r="HK505" s="542"/>
      <c r="HL505" s="542"/>
      <c r="HM505" s="542"/>
      <c r="HN505" s="542"/>
      <c r="HO505" s="542"/>
      <c r="HP505" s="542"/>
      <c r="HQ505" s="542"/>
      <c r="HR505" s="542"/>
      <c r="HS505" s="542"/>
      <c r="HT505" s="542"/>
      <c r="HU505" s="542"/>
      <c r="HV505" s="542"/>
      <c r="HW505" s="542"/>
      <c r="HX505" s="542"/>
      <c r="HY505" s="542"/>
      <c r="HZ505" s="542"/>
      <c r="IA505" s="542"/>
      <c r="IB505" s="542"/>
      <c r="IC505" s="542"/>
      <c r="ID505" s="542"/>
      <c r="IE505" s="542"/>
      <c r="IF505" s="542"/>
      <c r="IG505" s="542"/>
      <c r="IH505" s="542"/>
      <c r="II505" s="542"/>
      <c r="IJ505" s="542"/>
      <c r="IK505" s="542"/>
      <c r="IL505" s="542"/>
      <c r="IM505" s="542"/>
      <c r="IN505" s="542"/>
      <c r="IO505" s="542"/>
      <c r="IP505" s="542"/>
      <c r="IQ505" s="542"/>
      <c r="IR505" s="542"/>
      <c r="IS505" s="542"/>
      <c r="IT505" s="542"/>
      <c r="IU505" s="542"/>
      <c r="IV505" s="542"/>
      <c r="IW505" s="542"/>
      <c r="IX505" s="542"/>
      <c r="IY505" s="542"/>
      <c r="IZ505" s="542"/>
      <c r="JA505" s="542"/>
      <c r="JB505" s="542"/>
    </row>
    <row r="506" spans="104:262" ht="18.899999999999999" customHeight="1">
      <c r="CZ506" s="542"/>
      <c r="DA506" s="542"/>
      <c r="DB506" s="542"/>
      <c r="DC506" s="542"/>
      <c r="DD506" s="542"/>
      <c r="DE506" s="542"/>
      <c r="DF506" s="542"/>
      <c r="DG506" s="542"/>
      <c r="DH506" s="542"/>
      <c r="DI506" s="542"/>
      <c r="DJ506" s="542"/>
      <c r="DK506" s="542"/>
      <c r="DL506" s="542"/>
      <c r="DM506" s="542"/>
      <c r="DN506" s="542"/>
      <c r="DO506" s="542"/>
      <c r="DP506" s="542"/>
      <c r="DQ506" s="542"/>
      <c r="DR506" s="542"/>
      <c r="DS506" s="542"/>
      <c r="DT506" s="542"/>
      <c r="DU506" s="542"/>
      <c r="DV506" s="542"/>
      <c r="DW506" s="542"/>
      <c r="DX506" s="542"/>
      <c r="DY506" s="542"/>
      <c r="DZ506" s="542"/>
      <c r="EA506" s="542"/>
      <c r="EB506" s="542"/>
      <c r="EC506" s="542"/>
      <c r="ED506" s="542"/>
      <c r="EE506" s="542"/>
      <c r="EF506" s="542"/>
      <c r="EG506" s="542"/>
      <c r="EH506" s="542"/>
      <c r="EI506" s="542"/>
      <c r="EJ506" s="542"/>
      <c r="EK506" s="542"/>
      <c r="EL506" s="542"/>
      <c r="EM506" s="542"/>
      <c r="EN506" s="542"/>
      <c r="EO506" s="542"/>
      <c r="EP506" s="542"/>
      <c r="EQ506" s="542"/>
      <c r="ER506" s="542"/>
      <c r="ES506" s="542"/>
      <c r="ET506" s="542"/>
      <c r="EU506" s="542"/>
      <c r="EV506" s="542"/>
      <c r="EW506" s="542"/>
      <c r="EX506" s="542"/>
      <c r="EY506" s="542"/>
      <c r="EZ506" s="542"/>
      <c r="FA506" s="542"/>
      <c r="FB506" s="542"/>
      <c r="FC506" s="542"/>
      <c r="FD506" s="542"/>
      <c r="FE506" s="542"/>
      <c r="FF506" s="542"/>
      <c r="FG506" s="542"/>
      <c r="FH506" s="542"/>
      <c r="FI506" s="542"/>
      <c r="FJ506" s="542"/>
      <c r="FK506" s="542"/>
      <c r="FL506" s="542"/>
      <c r="FM506" s="542"/>
      <c r="FN506" s="542"/>
      <c r="FO506" s="542"/>
      <c r="FP506" s="542"/>
      <c r="FQ506" s="542"/>
      <c r="FR506" s="542"/>
      <c r="FS506" s="542"/>
      <c r="FT506" s="542"/>
      <c r="FU506" s="542"/>
      <c r="FV506" s="542"/>
      <c r="FW506" s="542"/>
      <c r="FX506" s="542"/>
      <c r="FY506" s="542"/>
      <c r="FZ506" s="542"/>
      <c r="GA506" s="542"/>
      <c r="GB506" s="542"/>
      <c r="GC506" s="542"/>
      <c r="GD506" s="542"/>
      <c r="GE506" s="542"/>
      <c r="GF506" s="542"/>
      <c r="GG506" s="542"/>
      <c r="GH506" s="542"/>
      <c r="GI506" s="542"/>
      <c r="GJ506" s="542"/>
      <c r="GK506" s="542"/>
      <c r="GL506" s="542"/>
      <c r="GM506" s="542"/>
      <c r="GN506" s="542"/>
      <c r="GO506" s="542"/>
      <c r="GP506" s="542"/>
      <c r="GQ506" s="542"/>
      <c r="GR506" s="542"/>
      <c r="GS506" s="542"/>
      <c r="GT506" s="542"/>
      <c r="GU506" s="542"/>
      <c r="GV506" s="542"/>
      <c r="GW506" s="542"/>
      <c r="GX506" s="542"/>
      <c r="GY506" s="542"/>
      <c r="GZ506" s="542"/>
      <c r="HA506" s="542"/>
      <c r="HB506" s="542"/>
      <c r="HC506" s="542"/>
      <c r="HD506" s="542"/>
      <c r="HE506" s="542"/>
      <c r="HF506" s="542"/>
      <c r="HG506" s="542"/>
      <c r="HH506" s="542"/>
      <c r="HI506" s="542"/>
      <c r="HJ506" s="542"/>
      <c r="HK506" s="542"/>
      <c r="HL506" s="542"/>
      <c r="HM506" s="542"/>
      <c r="HN506" s="542"/>
      <c r="HO506" s="542"/>
      <c r="HP506" s="542"/>
      <c r="HQ506" s="542"/>
      <c r="HR506" s="542"/>
      <c r="HS506" s="542"/>
      <c r="HT506" s="542"/>
      <c r="HU506" s="542"/>
      <c r="HV506" s="542"/>
      <c r="HW506" s="542"/>
      <c r="HX506" s="542"/>
      <c r="HY506" s="542"/>
      <c r="HZ506" s="542"/>
      <c r="IA506" s="542"/>
      <c r="IB506" s="542"/>
      <c r="IC506" s="542"/>
      <c r="ID506" s="542"/>
      <c r="IE506" s="542"/>
      <c r="IF506" s="542"/>
      <c r="IG506" s="542"/>
      <c r="IH506" s="542"/>
      <c r="II506" s="542"/>
      <c r="IJ506" s="542"/>
      <c r="IK506" s="542"/>
      <c r="IL506" s="542"/>
      <c r="IM506" s="542"/>
      <c r="IN506" s="542"/>
      <c r="IO506" s="542"/>
      <c r="IP506" s="542"/>
      <c r="IQ506" s="542"/>
      <c r="IR506" s="542"/>
      <c r="IS506" s="542"/>
      <c r="IT506" s="542"/>
      <c r="IU506" s="542"/>
      <c r="IV506" s="542"/>
      <c r="IW506" s="542"/>
      <c r="IX506" s="542"/>
      <c r="IY506" s="542"/>
      <c r="IZ506" s="542"/>
      <c r="JA506" s="542"/>
      <c r="JB506" s="542"/>
    </row>
    <row r="507" spans="104:262" ht="18.899999999999999" customHeight="1">
      <c r="CZ507" s="542"/>
      <c r="DA507" s="542"/>
      <c r="DB507" s="542"/>
      <c r="DC507" s="542"/>
      <c r="DD507" s="542"/>
      <c r="DE507" s="542"/>
      <c r="DF507" s="542"/>
      <c r="DG507" s="542"/>
      <c r="DH507" s="542"/>
      <c r="DI507" s="542"/>
      <c r="DJ507" s="542"/>
      <c r="DK507" s="542"/>
      <c r="DL507" s="542"/>
      <c r="DM507" s="542"/>
      <c r="DN507" s="542"/>
      <c r="DO507" s="542"/>
      <c r="DP507" s="542"/>
      <c r="DQ507" s="542"/>
      <c r="DR507" s="542"/>
      <c r="DS507" s="542"/>
      <c r="DT507" s="542"/>
      <c r="DU507" s="542"/>
      <c r="DV507" s="542"/>
      <c r="DW507" s="542"/>
      <c r="DX507" s="542"/>
      <c r="DY507" s="542"/>
      <c r="DZ507" s="542"/>
      <c r="EA507" s="542"/>
      <c r="EB507" s="542"/>
      <c r="EC507" s="542"/>
      <c r="ED507" s="542"/>
      <c r="EE507" s="542"/>
      <c r="EF507" s="542"/>
      <c r="EG507" s="542"/>
      <c r="EH507" s="542"/>
      <c r="EI507" s="542"/>
      <c r="EJ507" s="542"/>
      <c r="EK507" s="542"/>
      <c r="EL507" s="542"/>
      <c r="EM507" s="542"/>
      <c r="EN507" s="542"/>
      <c r="EO507" s="542"/>
      <c r="EP507" s="542"/>
      <c r="EQ507" s="542"/>
      <c r="ER507" s="542"/>
      <c r="ES507" s="542"/>
      <c r="ET507" s="542"/>
      <c r="EU507" s="542"/>
      <c r="EV507" s="542"/>
      <c r="EW507" s="542"/>
      <c r="EX507" s="542"/>
      <c r="EY507" s="542"/>
      <c r="EZ507" s="542"/>
      <c r="FA507" s="542"/>
      <c r="FB507" s="542"/>
      <c r="FC507" s="542"/>
      <c r="FD507" s="542"/>
      <c r="FE507" s="542"/>
      <c r="FF507" s="542"/>
      <c r="FG507" s="542"/>
      <c r="FH507" s="542"/>
      <c r="FI507" s="542"/>
      <c r="FJ507" s="542"/>
      <c r="FK507" s="542"/>
      <c r="FL507" s="542"/>
      <c r="FM507" s="542"/>
      <c r="FN507" s="542"/>
      <c r="FO507" s="542"/>
      <c r="FP507" s="542"/>
      <c r="FQ507" s="542"/>
      <c r="FR507" s="542"/>
      <c r="FS507" s="542"/>
      <c r="FT507" s="542"/>
      <c r="FU507" s="542"/>
      <c r="FV507" s="542"/>
      <c r="FW507" s="542"/>
      <c r="FX507" s="542"/>
      <c r="FY507" s="542"/>
      <c r="FZ507" s="542"/>
      <c r="GA507" s="542"/>
      <c r="GB507" s="542"/>
      <c r="GC507" s="542"/>
      <c r="GD507" s="542"/>
      <c r="GE507" s="542"/>
      <c r="GF507" s="542"/>
      <c r="GG507" s="542"/>
      <c r="GH507" s="542"/>
      <c r="GI507" s="542"/>
      <c r="GJ507" s="542"/>
      <c r="GK507" s="542"/>
      <c r="GL507" s="542"/>
      <c r="GM507" s="542"/>
      <c r="GN507" s="542"/>
      <c r="GO507" s="542"/>
      <c r="GP507" s="542"/>
      <c r="GQ507" s="542"/>
      <c r="GR507" s="542"/>
      <c r="GS507" s="542"/>
      <c r="GT507" s="542"/>
      <c r="GU507" s="542"/>
      <c r="GV507" s="542"/>
      <c r="GW507" s="542"/>
      <c r="GX507" s="542"/>
      <c r="GY507" s="542"/>
      <c r="GZ507" s="542"/>
      <c r="HA507" s="542"/>
      <c r="HB507" s="542"/>
      <c r="HC507" s="542"/>
      <c r="HD507" s="542"/>
      <c r="HE507" s="542"/>
      <c r="HF507" s="542"/>
      <c r="HG507" s="542"/>
      <c r="HH507" s="542"/>
      <c r="HI507" s="542"/>
      <c r="HJ507" s="542"/>
      <c r="HK507" s="542"/>
      <c r="HL507" s="542"/>
      <c r="HM507" s="542"/>
      <c r="HN507" s="542"/>
      <c r="HO507" s="542"/>
      <c r="HP507" s="542"/>
      <c r="HQ507" s="542"/>
      <c r="HR507" s="542"/>
      <c r="HS507" s="542"/>
      <c r="HT507" s="542"/>
      <c r="HU507" s="542"/>
      <c r="HV507" s="542"/>
      <c r="HW507" s="542"/>
      <c r="HX507" s="542"/>
      <c r="HY507" s="542"/>
      <c r="HZ507" s="542"/>
      <c r="IA507" s="542"/>
      <c r="IB507" s="542"/>
      <c r="IC507" s="542"/>
      <c r="ID507" s="542"/>
      <c r="IE507" s="542"/>
      <c r="IF507" s="542"/>
      <c r="IG507" s="542"/>
      <c r="IH507" s="542"/>
      <c r="II507" s="542"/>
      <c r="IJ507" s="542"/>
      <c r="IK507" s="542"/>
      <c r="IL507" s="542"/>
      <c r="IM507" s="542"/>
      <c r="IN507" s="542"/>
      <c r="IO507" s="542"/>
      <c r="IP507" s="542"/>
      <c r="IQ507" s="542"/>
      <c r="IR507" s="542"/>
      <c r="IS507" s="542"/>
      <c r="IT507" s="542"/>
      <c r="IU507" s="542"/>
      <c r="IV507" s="542"/>
      <c r="IW507" s="542"/>
      <c r="IX507" s="542"/>
      <c r="IY507" s="542"/>
      <c r="IZ507" s="542"/>
      <c r="JA507" s="542"/>
      <c r="JB507" s="542"/>
    </row>
    <row r="508" spans="104:262" ht="18.899999999999999" customHeight="1">
      <c r="CZ508" s="542"/>
      <c r="DA508" s="542"/>
      <c r="DB508" s="542"/>
      <c r="DC508" s="542"/>
      <c r="DD508" s="542"/>
      <c r="DE508" s="542"/>
      <c r="DF508" s="542"/>
      <c r="DG508" s="542"/>
      <c r="DH508" s="542"/>
      <c r="DI508" s="542"/>
      <c r="DJ508" s="542"/>
      <c r="DK508" s="542"/>
      <c r="DL508" s="542"/>
      <c r="DM508" s="542"/>
      <c r="DN508" s="542"/>
      <c r="DO508" s="542"/>
      <c r="DP508" s="542"/>
      <c r="DQ508" s="542"/>
      <c r="DR508" s="542"/>
      <c r="DS508" s="542"/>
      <c r="DT508" s="542"/>
      <c r="DU508" s="542"/>
      <c r="DV508" s="542"/>
      <c r="DW508" s="542"/>
      <c r="DX508" s="542"/>
      <c r="DY508" s="542"/>
      <c r="DZ508" s="542"/>
      <c r="EA508" s="542"/>
      <c r="EB508" s="542"/>
      <c r="EC508" s="542"/>
      <c r="ED508" s="542"/>
      <c r="EE508" s="542"/>
      <c r="EF508" s="542"/>
      <c r="EG508" s="542"/>
      <c r="EH508" s="542"/>
      <c r="EI508" s="542"/>
      <c r="EJ508" s="542"/>
      <c r="EK508" s="542"/>
      <c r="EL508" s="542"/>
      <c r="EM508" s="542"/>
      <c r="EN508" s="542"/>
      <c r="EO508" s="542"/>
      <c r="EP508" s="542"/>
      <c r="EQ508" s="542"/>
      <c r="ER508" s="542"/>
      <c r="ES508" s="542"/>
      <c r="ET508" s="542"/>
      <c r="EU508" s="542"/>
      <c r="EV508" s="542"/>
      <c r="EW508" s="542"/>
      <c r="EX508" s="542"/>
      <c r="EY508" s="542"/>
      <c r="EZ508" s="542"/>
      <c r="FA508" s="542"/>
      <c r="FB508" s="542"/>
      <c r="FC508" s="542"/>
      <c r="FD508" s="542"/>
      <c r="FE508" s="542"/>
      <c r="FF508" s="542"/>
      <c r="FG508" s="542"/>
      <c r="FH508" s="542"/>
      <c r="FI508" s="542"/>
      <c r="FJ508" s="542"/>
      <c r="FK508" s="542"/>
      <c r="FL508" s="542"/>
      <c r="FM508" s="542"/>
      <c r="FN508" s="542"/>
      <c r="FO508" s="542"/>
      <c r="FP508" s="542"/>
      <c r="FQ508" s="542"/>
      <c r="FR508" s="542"/>
      <c r="FS508" s="542"/>
      <c r="FT508" s="542"/>
      <c r="FU508" s="542"/>
      <c r="FV508" s="542"/>
      <c r="FW508" s="542"/>
      <c r="FX508" s="542"/>
      <c r="FY508" s="542"/>
      <c r="FZ508" s="542"/>
      <c r="GA508" s="542"/>
      <c r="GB508" s="542"/>
      <c r="GC508" s="542"/>
      <c r="GD508" s="542"/>
      <c r="GE508" s="542"/>
      <c r="GF508" s="542"/>
      <c r="GG508" s="542"/>
      <c r="GH508" s="542"/>
      <c r="GI508" s="542"/>
      <c r="GJ508" s="542"/>
      <c r="GK508" s="542"/>
      <c r="GL508" s="542"/>
      <c r="GM508" s="542"/>
      <c r="GN508" s="542"/>
      <c r="GO508" s="542"/>
      <c r="GP508" s="542"/>
      <c r="GQ508" s="542"/>
      <c r="GR508" s="542"/>
      <c r="GS508" s="542"/>
      <c r="GT508" s="542"/>
      <c r="GU508" s="542"/>
      <c r="GV508" s="542"/>
      <c r="GW508" s="542"/>
      <c r="GX508" s="542"/>
      <c r="GY508" s="542"/>
      <c r="GZ508" s="542"/>
      <c r="HA508" s="542"/>
      <c r="HB508" s="542"/>
      <c r="HC508" s="542"/>
      <c r="HD508" s="542"/>
      <c r="HE508" s="542"/>
      <c r="HF508" s="542"/>
      <c r="HG508" s="542"/>
      <c r="HH508" s="542"/>
      <c r="HI508" s="542"/>
      <c r="HJ508" s="542"/>
      <c r="HK508" s="542"/>
      <c r="HL508" s="542"/>
      <c r="HM508" s="542"/>
      <c r="HN508" s="542"/>
      <c r="HO508" s="542"/>
      <c r="HP508" s="542"/>
      <c r="HQ508" s="542"/>
      <c r="HR508" s="542"/>
      <c r="HS508" s="542"/>
      <c r="HT508" s="542"/>
      <c r="HU508" s="542"/>
      <c r="HV508" s="542"/>
      <c r="HW508" s="542"/>
      <c r="HX508" s="542"/>
      <c r="HY508" s="542"/>
      <c r="HZ508" s="542"/>
      <c r="IA508" s="542"/>
      <c r="IB508" s="542"/>
      <c r="IC508" s="542"/>
      <c r="ID508" s="542"/>
      <c r="IE508" s="542"/>
      <c r="IF508" s="542"/>
      <c r="IG508" s="542"/>
      <c r="IH508" s="542"/>
      <c r="II508" s="542"/>
      <c r="IJ508" s="542"/>
      <c r="IK508" s="542"/>
      <c r="IL508" s="542"/>
      <c r="IM508" s="542"/>
      <c r="IN508" s="542"/>
      <c r="IO508" s="542"/>
      <c r="IP508" s="542"/>
      <c r="IQ508" s="542"/>
      <c r="IR508" s="542"/>
      <c r="IS508" s="542"/>
      <c r="IT508" s="542"/>
      <c r="IU508" s="542"/>
      <c r="IV508" s="542"/>
      <c r="IW508" s="542"/>
      <c r="IX508" s="542"/>
      <c r="IY508" s="542"/>
      <c r="IZ508" s="542"/>
      <c r="JA508" s="542"/>
      <c r="JB508" s="542"/>
    </row>
    <row r="509" spans="104:262" ht="18.899999999999999" customHeight="1">
      <c r="CZ509" s="542"/>
      <c r="DA509" s="542"/>
      <c r="DB509" s="542"/>
      <c r="DC509" s="542"/>
      <c r="DD509" s="542"/>
      <c r="DE509" s="542"/>
      <c r="DF509" s="542"/>
      <c r="DG509" s="542"/>
      <c r="DH509" s="542"/>
      <c r="DI509" s="542"/>
      <c r="DJ509" s="542"/>
      <c r="DK509" s="542"/>
      <c r="DL509" s="542"/>
      <c r="DM509" s="542"/>
      <c r="DN509" s="542"/>
      <c r="DO509" s="542"/>
      <c r="DP509" s="542"/>
      <c r="DQ509" s="542"/>
      <c r="DR509" s="542"/>
      <c r="DS509" s="542"/>
      <c r="DT509" s="542"/>
      <c r="DU509" s="542"/>
      <c r="DV509" s="542"/>
      <c r="DW509" s="542"/>
      <c r="DX509" s="542"/>
      <c r="DY509" s="542"/>
      <c r="DZ509" s="542"/>
      <c r="EA509" s="542"/>
      <c r="EB509" s="542"/>
      <c r="EC509" s="542"/>
      <c r="ED509" s="542"/>
      <c r="EE509" s="542"/>
      <c r="EF509" s="542"/>
      <c r="EG509" s="542"/>
      <c r="EH509" s="542"/>
      <c r="EI509" s="542"/>
      <c r="EJ509" s="542"/>
      <c r="EK509" s="542"/>
      <c r="EL509" s="542"/>
      <c r="EM509" s="542"/>
      <c r="EN509" s="542"/>
      <c r="EO509" s="542"/>
      <c r="EP509" s="542"/>
      <c r="EQ509" s="542"/>
      <c r="ER509" s="542"/>
      <c r="ES509" s="542"/>
      <c r="ET509" s="542"/>
      <c r="EU509" s="542"/>
      <c r="EV509" s="542"/>
      <c r="EW509" s="542"/>
      <c r="EX509" s="542"/>
      <c r="EY509" s="542"/>
      <c r="EZ509" s="542"/>
      <c r="FA509" s="542"/>
      <c r="FB509" s="542"/>
      <c r="FC509" s="542"/>
      <c r="FD509" s="542"/>
      <c r="FE509" s="542"/>
      <c r="FF509" s="542"/>
      <c r="FG509" s="542"/>
      <c r="FH509" s="542"/>
      <c r="FI509" s="542"/>
      <c r="FJ509" s="542"/>
      <c r="FK509" s="542"/>
      <c r="FL509" s="542"/>
      <c r="FM509" s="542"/>
      <c r="FN509" s="542"/>
      <c r="FO509" s="542"/>
      <c r="FP509" s="542"/>
      <c r="FQ509" s="542"/>
      <c r="FR509" s="542"/>
      <c r="FS509" s="542"/>
      <c r="FT509" s="542"/>
      <c r="FU509" s="542"/>
      <c r="FV509" s="542"/>
      <c r="FW509" s="542"/>
      <c r="FX509" s="542"/>
      <c r="FY509" s="542"/>
      <c r="FZ509" s="542"/>
      <c r="GA509" s="542"/>
      <c r="GB509" s="542"/>
      <c r="GC509" s="542"/>
      <c r="GD509" s="542"/>
      <c r="GE509" s="542"/>
      <c r="GF509" s="542"/>
      <c r="GG509" s="542"/>
      <c r="GH509" s="542"/>
      <c r="GI509" s="542"/>
      <c r="GJ509" s="542"/>
      <c r="GK509" s="542"/>
      <c r="GL509" s="542"/>
      <c r="GM509" s="542"/>
      <c r="GN509" s="542"/>
      <c r="GO509" s="542"/>
      <c r="GP509" s="542"/>
      <c r="GQ509" s="542"/>
      <c r="GR509" s="542"/>
      <c r="GS509" s="542"/>
      <c r="GT509" s="542"/>
      <c r="GU509" s="542"/>
      <c r="GV509" s="542"/>
      <c r="GW509" s="542"/>
      <c r="GX509" s="542"/>
      <c r="GY509" s="542"/>
      <c r="GZ509" s="542"/>
      <c r="HA509" s="542"/>
      <c r="HB509" s="542"/>
      <c r="HC509" s="542"/>
      <c r="HD509" s="542"/>
      <c r="HE509" s="542"/>
      <c r="HF509" s="542"/>
      <c r="HG509" s="542"/>
      <c r="HH509" s="542"/>
      <c r="HI509" s="542"/>
      <c r="HJ509" s="542"/>
      <c r="HK509" s="542"/>
      <c r="HL509" s="542"/>
      <c r="HM509" s="542"/>
      <c r="HN509" s="542"/>
      <c r="HO509" s="542"/>
      <c r="HP509" s="542"/>
      <c r="HQ509" s="542"/>
      <c r="HR509" s="542"/>
      <c r="HS509" s="542"/>
      <c r="HT509" s="542"/>
      <c r="HU509" s="542"/>
      <c r="HV509" s="542"/>
      <c r="HW509" s="542"/>
      <c r="HX509" s="542"/>
      <c r="HY509" s="542"/>
      <c r="HZ509" s="542"/>
      <c r="IA509" s="542"/>
      <c r="IB509" s="542"/>
      <c r="IC509" s="542"/>
      <c r="ID509" s="542"/>
      <c r="IE509" s="542"/>
      <c r="IF509" s="542"/>
      <c r="IG509" s="542"/>
      <c r="IH509" s="542"/>
      <c r="II509" s="542"/>
      <c r="IJ509" s="542"/>
      <c r="IK509" s="542"/>
      <c r="IL509" s="542"/>
      <c r="IM509" s="542"/>
      <c r="IN509" s="542"/>
      <c r="IO509" s="542"/>
      <c r="IP509" s="542"/>
      <c r="IQ509" s="542"/>
      <c r="IR509" s="542"/>
      <c r="IS509" s="542"/>
      <c r="IT509" s="542"/>
      <c r="IU509" s="542"/>
      <c r="IV509" s="542"/>
      <c r="IW509" s="542"/>
      <c r="IX509" s="542"/>
      <c r="IY509" s="542"/>
      <c r="IZ509" s="542"/>
      <c r="JA509" s="542"/>
      <c r="JB509" s="542"/>
    </row>
    <row r="510" spans="104:262" ht="18.899999999999999" customHeight="1">
      <c r="CZ510" s="542"/>
      <c r="DA510" s="542"/>
      <c r="DB510" s="542"/>
      <c r="DC510" s="542"/>
      <c r="DD510" s="542"/>
      <c r="DE510" s="542"/>
      <c r="DF510" s="542"/>
      <c r="DG510" s="542"/>
      <c r="DH510" s="542"/>
      <c r="DI510" s="542"/>
      <c r="DJ510" s="542"/>
      <c r="DK510" s="542"/>
      <c r="DL510" s="542"/>
      <c r="DM510" s="542"/>
      <c r="DN510" s="542"/>
      <c r="DO510" s="542"/>
      <c r="DP510" s="542"/>
      <c r="DQ510" s="542"/>
      <c r="DR510" s="542"/>
      <c r="DS510" s="542"/>
      <c r="DT510" s="542"/>
      <c r="DU510" s="542"/>
      <c r="DV510" s="542"/>
      <c r="DW510" s="542"/>
      <c r="DX510" s="542"/>
      <c r="DY510" s="542"/>
      <c r="DZ510" s="542"/>
      <c r="EA510" s="542"/>
      <c r="EB510" s="542"/>
      <c r="EC510" s="542"/>
      <c r="ED510" s="542"/>
      <c r="EE510" s="542"/>
      <c r="EF510" s="542"/>
      <c r="EG510" s="542"/>
      <c r="EH510" s="542"/>
      <c r="EI510" s="542"/>
      <c r="EJ510" s="542"/>
      <c r="EK510" s="542"/>
      <c r="EL510" s="542"/>
      <c r="EM510" s="542"/>
      <c r="EN510" s="542"/>
      <c r="EO510" s="542"/>
      <c r="EP510" s="542"/>
      <c r="EQ510" s="542"/>
      <c r="ER510" s="542"/>
      <c r="ES510" s="542"/>
      <c r="ET510" s="542"/>
      <c r="EU510" s="542"/>
      <c r="EV510" s="542"/>
      <c r="EW510" s="542"/>
      <c r="EX510" s="542"/>
      <c r="EY510" s="542"/>
      <c r="EZ510" s="542"/>
      <c r="FA510" s="542"/>
      <c r="FB510" s="542"/>
      <c r="FC510" s="542"/>
      <c r="FD510" s="542"/>
      <c r="FE510" s="542"/>
      <c r="FF510" s="542"/>
      <c r="FG510" s="542"/>
      <c r="FH510" s="542"/>
      <c r="FI510" s="542"/>
      <c r="FJ510" s="542"/>
      <c r="FK510" s="542"/>
      <c r="FL510" s="542"/>
      <c r="FM510" s="542"/>
      <c r="FN510" s="542"/>
      <c r="FO510" s="542"/>
      <c r="FP510" s="542"/>
      <c r="FQ510" s="542"/>
      <c r="FR510" s="542"/>
      <c r="FS510" s="542"/>
      <c r="FT510" s="542"/>
      <c r="FU510" s="542"/>
      <c r="FV510" s="542"/>
      <c r="FW510" s="542"/>
      <c r="FX510" s="542"/>
      <c r="FY510" s="542"/>
      <c r="FZ510" s="542"/>
      <c r="GA510" s="542"/>
      <c r="GB510" s="542"/>
      <c r="GC510" s="542"/>
      <c r="GD510" s="542"/>
      <c r="GE510" s="542"/>
      <c r="GF510" s="542"/>
      <c r="GG510" s="542"/>
      <c r="GH510" s="542"/>
      <c r="GI510" s="542"/>
      <c r="GJ510" s="542"/>
      <c r="GK510" s="542"/>
      <c r="GL510" s="542"/>
      <c r="GM510" s="542"/>
      <c r="GN510" s="542"/>
      <c r="GO510" s="542"/>
      <c r="GP510" s="542"/>
      <c r="GQ510" s="542"/>
      <c r="GR510" s="542"/>
      <c r="GS510" s="542"/>
      <c r="GT510" s="542"/>
      <c r="GU510" s="542"/>
      <c r="GV510" s="542"/>
      <c r="GW510" s="542"/>
      <c r="GX510" s="542"/>
      <c r="GY510" s="542"/>
      <c r="GZ510" s="542"/>
      <c r="HA510" s="542"/>
      <c r="HB510" s="542"/>
      <c r="HC510" s="542"/>
      <c r="HD510" s="542"/>
      <c r="HE510" s="542"/>
      <c r="HF510" s="542"/>
      <c r="HG510" s="542"/>
      <c r="HH510" s="542"/>
      <c r="HI510" s="542"/>
      <c r="HJ510" s="542"/>
      <c r="HK510" s="542"/>
      <c r="HL510" s="542"/>
      <c r="HM510" s="542"/>
      <c r="HN510" s="542"/>
      <c r="HO510" s="542"/>
      <c r="HP510" s="542"/>
      <c r="HQ510" s="542"/>
      <c r="HR510" s="542"/>
      <c r="HS510" s="542"/>
      <c r="HT510" s="542"/>
      <c r="HU510" s="542"/>
      <c r="HV510" s="542"/>
      <c r="HW510" s="542"/>
      <c r="HX510" s="542"/>
      <c r="HY510" s="542"/>
      <c r="HZ510" s="542"/>
      <c r="IA510" s="542"/>
      <c r="IB510" s="542"/>
      <c r="IC510" s="542"/>
      <c r="ID510" s="542"/>
      <c r="IE510" s="542"/>
      <c r="IF510" s="542"/>
      <c r="IG510" s="542"/>
      <c r="IH510" s="542"/>
      <c r="II510" s="542"/>
      <c r="IJ510" s="542"/>
      <c r="IK510" s="542"/>
      <c r="IL510" s="542"/>
      <c r="IM510" s="542"/>
      <c r="IN510" s="542"/>
      <c r="IO510" s="542"/>
      <c r="IP510" s="542"/>
      <c r="IQ510" s="542"/>
      <c r="IR510" s="542"/>
      <c r="IS510" s="542"/>
      <c r="IT510" s="542"/>
      <c r="IU510" s="542"/>
      <c r="IV510" s="542"/>
      <c r="IW510" s="542"/>
      <c r="IX510" s="542"/>
      <c r="IY510" s="542"/>
      <c r="IZ510" s="542"/>
      <c r="JA510" s="542"/>
      <c r="JB510" s="542"/>
    </row>
    <row r="511" spans="104:262" ht="18.899999999999999" customHeight="1">
      <c r="CZ511" s="542"/>
      <c r="DA511" s="542"/>
      <c r="DB511" s="542"/>
      <c r="DC511" s="542"/>
      <c r="DD511" s="542"/>
      <c r="DE511" s="542"/>
      <c r="DF511" s="542"/>
      <c r="DG511" s="542"/>
      <c r="DH511" s="542"/>
      <c r="DI511" s="542"/>
      <c r="DJ511" s="542"/>
      <c r="DK511" s="542"/>
      <c r="DL511" s="542"/>
      <c r="DM511" s="542"/>
      <c r="DN511" s="542"/>
      <c r="DO511" s="542"/>
      <c r="DP511" s="542"/>
      <c r="DQ511" s="542"/>
      <c r="DR511" s="542"/>
      <c r="DS511" s="542"/>
      <c r="DT511" s="542"/>
      <c r="DU511" s="542"/>
      <c r="DV511" s="542"/>
      <c r="DW511" s="542"/>
      <c r="DX511" s="542"/>
      <c r="DY511" s="542"/>
      <c r="DZ511" s="542"/>
      <c r="EA511" s="542"/>
      <c r="EB511" s="542"/>
      <c r="EC511" s="542"/>
      <c r="ED511" s="542"/>
      <c r="EE511" s="542"/>
      <c r="EF511" s="542"/>
      <c r="EG511" s="542"/>
      <c r="EH511" s="542"/>
      <c r="EI511" s="542"/>
      <c r="EJ511" s="542"/>
      <c r="EK511" s="542"/>
      <c r="EL511" s="542"/>
      <c r="EM511" s="542"/>
      <c r="EN511" s="542"/>
      <c r="EO511" s="542"/>
      <c r="EP511" s="542"/>
      <c r="EQ511" s="542"/>
      <c r="ER511" s="542"/>
      <c r="ES511" s="542"/>
      <c r="ET511" s="542"/>
      <c r="EU511" s="542"/>
      <c r="EV511" s="542"/>
      <c r="EW511" s="542"/>
      <c r="EX511" s="542"/>
      <c r="EY511" s="542"/>
      <c r="EZ511" s="542"/>
      <c r="FA511" s="542"/>
      <c r="FB511" s="542"/>
      <c r="FC511" s="542"/>
      <c r="FD511" s="542"/>
      <c r="FE511" s="542"/>
      <c r="FF511" s="542"/>
      <c r="FG511" s="542"/>
      <c r="FH511" s="542"/>
      <c r="FI511" s="542"/>
      <c r="FJ511" s="542"/>
      <c r="FK511" s="542"/>
      <c r="FL511" s="542"/>
      <c r="FM511" s="542"/>
      <c r="FN511" s="542"/>
      <c r="FO511" s="542"/>
      <c r="FP511" s="542"/>
      <c r="FQ511" s="542"/>
      <c r="FR511" s="542"/>
      <c r="FS511" s="542"/>
      <c r="FT511" s="542"/>
      <c r="FU511" s="542"/>
      <c r="FV511" s="542"/>
      <c r="FW511" s="542"/>
      <c r="FX511" s="542"/>
      <c r="FY511" s="542"/>
      <c r="FZ511" s="542"/>
      <c r="GA511" s="542"/>
      <c r="GB511" s="542"/>
      <c r="GC511" s="542"/>
      <c r="GD511" s="542"/>
      <c r="GE511" s="542"/>
      <c r="GF511" s="542"/>
      <c r="GG511" s="542"/>
      <c r="GH511" s="542"/>
      <c r="GI511" s="542"/>
      <c r="GJ511" s="542"/>
      <c r="GK511" s="542"/>
      <c r="GL511" s="542"/>
      <c r="GM511" s="542"/>
      <c r="GN511" s="542"/>
      <c r="GO511" s="542"/>
      <c r="GP511" s="542"/>
      <c r="GQ511" s="542"/>
      <c r="GR511" s="542"/>
      <c r="GS511" s="542"/>
      <c r="GT511" s="542"/>
      <c r="GU511" s="542"/>
      <c r="GV511" s="542"/>
      <c r="GW511" s="542"/>
      <c r="GX511" s="542"/>
      <c r="GY511" s="542"/>
      <c r="GZ511" s="542"/>
      <c r="HA511" s="542"/>
      <c r="HB511" s="542"/>
      <c r="HC511" s="542"/>
      <c r="HD511" s="542"/>
      <c r="HE511" s="542"/>
      <c r="HF511" s="542"/>
      <c r="HG511" s="542"/>
      <c r="HH511" s="542"/>
      <c r="HI511" s="542"/>
      <c r="HJ511" s="542"/>
      <c r="HK511" s="542"/>
      <c r="HL511" s="542"/>
      <c r="HM511" s="542"/>
      <c r="HN511" s="542"/>
      <c r="HO511" s="542"/>
      <c r="HP511" s="542"/>
      <c r="HQ511" s="542"/>
      <c r="HR511" s="542"/>
      <c r="HS511" s="542"/>
      <c r="HT511" s="542"/>
      <c r="HU511" s="542"/>
      <c r="HV511" s="542"/>
      <c r="HW511" s="542"/>
      <c r="HX511" s="542"/>
      <c r="HY511" s="542"/>
      <c r="HZ511" s="542"/>
      <c r="IA511" s="542"/>
      <c r="IB511" s="542"/>
      <c r="IC511" s="542"/>
      <c r="ID511" s="542"/>
      <c r="IE511" s="542"/>
      <c r="IF511" s="542"/>
      <c r="IG511" s="542"/>
      <c r="IH511" s="542"/>
      <c r="II511" s="542"/>
      <c r="IJ511" s="542"/>
      <c r="IK511" s="542"/>
      <c r="IL511" s="542"/>
      <c r="IM511" s="542"/>
      <c r="IN511" s="542"/>
      <c r="IO511" s="542"/>
      <c r="IP511" s="542"/>
      <c r="IQ511" s="542"/>
      <c r="IR511" s="542"/>
      <c r="IS511" s="542"/>
      <c r="IT511" s="542"/>
      <c r="IU511" s="542"/>
      <c r="IV511" s="542"/>
      <c r="IW511" s="542"/>
      <c r="IX511" s="542"/>
      <c r="IY511" s="542"/>
      <c r="IZ511" s="542"/>
      <c r="JA511" s="542"/>
      <c r="JB511" s="542"/>
    </row>
    <row r="512" spans="104:262" ht="18.899999999999999" customHeight="1">
      <c r="CZ512" s="542"/>
      <c r="DA512" s="542"/>
      <c r="DB512" s="542"/>
      <c r="DC512" s="542"/>
      <c r="DD512" s="542"/>
      <c r="DE512" s="542"/>
      <c r="DF512" s="542"/>
      <c r="DG512" s="542"/>
      <c r="DH512" s="542"/>
      <c r="DI512" s="542"/>
      <c r="DJ512" s="542"/>
      <c r="DK512" s="542"/>
      <c r="DL512" s="542"/>
      <c r="DM512" s="542"/>
      <c r="DN512" s="542"/>
      <c r="DO512" s="542"/>
      <c r="DP512" s="542"/>
      <c r="DQ512" s="542"/>
      <c r="DR512" s="542"/>
      <c r="DS512" s="542"/>
      <c r="DT512" s="542"/>
      <c r="DU512" s="542"/>
      <c r="DV512" s="542"/>
      <c r="DW512" s="542"/>
      <c r="DX512" s="542"/>
      <c r="DY512" s="542"/>
      <c r="DZ512" s="542"/>
      <c r="EA512" s="542"/>
      <c r="EB512" s="542"/>
      <c r="EC512" s="542"/>
      <c r="ED512" s="542"/>
      <c r="EE512" s="542"/>
      <c r="EF512" s="542"/>
      <c r="EG512" s="542"/>
      <c r="EH512" s="542"/>
      <c r="EI512" s="542"/>
      <c r="EJ512" s="542"/>
      <c r="EK512" s="542"/>
      <c r="EL512" s="542"/>
      <c r="EM512" s="542"/>
      <c r="EN512" s="542"/>
      <c r="EO512" s="542"/>
      <c r="EP512" s="542"/>
      <c r="EQ512" s="542"/>
      <c r="ER512" s="542"/>
      <c r="ES512" s="542"/>
      <c r="ET512" s="542"/>
      <c r="EU512" s="542"/>
      <c r="EV512" s="542"/>
      <c r="EW512" s="542"/>
      <c r="EX512" s="542"/>
      <c r="EY512" s="542"/>
      <c r="EZ512" s="542"/>
      <c r="FA512" s="542"/>
      <c r="FB512" s="542"/>
      <c r="FC512" s="542"/>
      <c r="FD512" s="542"/>
      <c r="FE512" s="542"/>
      <c r="FF512" s="542"/>
      <c r="FG512" s="542"/>
      <c r="FH512" s="542"/>
      <c r="FI512" s="542"/>
      <c r="FJ512" s="542"/>
      <c r="FK512" s="542"/>
      <c r="FL512" s="542"/>
      <c r="FM512" s="542"/>
      <c r="FN512" s="542"/>
      <c r="FO512" s="542"/>
      <c r="FP512" s="542"/>
      <c r="FQ512" s="542"/>
      <c r="FR512" s="542"/>
      <c r="FS512" s="542"/>
      <c r="FT512" s="542"/>
      <c r="FU512" s="542"/>
      <c r="FV512" s="542"/>
      <c r="FW512" s="542"/>
      <c r="FX512" s="542"/>
      <c r="FY512" s="542"/>
      <c r="FZ512" s="542"/>
      <c r="GA512" s="542"/>
      <c r="GB512" s="542"/>
      <c r="GC512" s="542"/>
      <c r="GD512" s="542"/>
      <c r="GE512" s="542"/>
      <c r="GF512" s="542"/>
      <c r="GG512" s="542"/>
      <c r="GH512" s="542"/>
      <c r="GI512" s="542"/>
      <c r="GJ512" s="542"/>
      <c r="GK512" s="542"/>
      <c r="GL512" s="542"/>
      <c r="GM512" s="542"/>
      <c r="GN512" s="542"/>
      <c r="GO512" s="542"/>
      <c r="GP512" s="542"/>
      <c r="GQ512" s="542"/>
      <c r="GR512" s="542"/>
      <c r="GS512" s="542"/>
      <c r="GT512" s="542"/>
      <c r="GU512" s="542"/>
      <c r="GV512" s="542"/>
      <c r="GW512" s="542"/>
      <c r="GX512" s="542"/>
      <c r="GY512" s="542"/>
      <c r="GZ512" s="542"/>
      <c r="HA512" s="542"/>
      <c r="HB512" s="542"/>
      <c r="HC512" s="542"/>
      <c r="HD512" s="542"/>
      <c r="HE512" s="542"/>
      <c r="HF512" s="542"/>
      <c r="HG512" s="542"/>
      <c r="HH512" s="542"/>
      <c r="HI512" s="542"/>
      <c r="HJ512" s="542"/>
      <c r="HK512" s="542"/>
      <c r="HL512" s="542"/>
      <c r="HM512" s="542"/>
      <c r="HN512" s="542"/>
      <c r="HO512" s="542"/>
      <c r="HP512" s="542"/>
      <c r="HQ512" s="542"/>
      <c r="HR512" s="542"/>
      <c r="HS512" s="542"/>
      <c r="HT512" s="542"/>
      <c r="HU512" s="542"/>
      <c r="HV512" s="542"/>
      <c r="HW512" s="542"/>
      <c r="HX512" s="542"/>
      <c r="HY512" s="542"/>
      <c r="HZ512" s="542"/>
      <c r="IA512" s="542"/>
      <c r="IB512" s="542"/>
      <c r="IC512" s="542"/>
      <c r="ID512" s="542"/>
      <c r="IE512" s="542"/>
      <c r="IF512" s="542"/>
      <c r="IG512" s="542"/>
      <c r="IH512" s="542"/>
      <c r="II512" s="542"/>
      <c r="IJ512" s="542"/>
      <c r="IK512" s="542"/>
      <c r="IL512" s="542"/>
      <c r="IM512" s="542"/>
      <c r="IN512" s="542"/>
      <c r="IO512" s="542"/>
      <c r="IP512" s="542"/>
      <c r="IQ512" s="542"/>
      <c r="IR512" s="542"/>
      <c r="IS512" s="542"/>
      <c r="IT512" s="542"/>
      <c r="IU512" s="542"/>
      <c r="IV512" s="542"/>
      <c r="IW512" s="542"/>
      <c r="IX512" s="542"/>
      <c r="IY512" s="542"/>
      <c r="IZ512" s="542"/>
      <c r="JA512" s="542"/>
      <c r="JB512" s="542"/>
    </row>
    <row r="513" spans="104:262" ht="18.899999999999999" customHeight="1">
      <c r="CZ513" s="542"/>
      <c r="DA513" s="542"/>
      <c r="DB513" s="542"/>
      <c r="DC513" s="542"/>
      <c r="DD513" s="542"/>
      <c r="DE513" s="542"/>
      <c r="DF513" s="542"/>
      <c r="DG513" s="542"/>
      <c r="DH513" s="542"/>
      <c r="DI513" s="542"/>
      <c r="DJ513" s="542"/>
      <c r="DK513" s="542"/>
      <c r="DL513" s="542"/>
      <c r="DM513" s="542"/>
      <c r="DN513" s="542"/>
      <c r="DO513" s="542"/>
      <c r="DP513" s="542"/>
      <c r="DQ513" s="542"/>
      <c r="DR513" s="542"/>
      <c r="DS513" s="542"/>
      <c r="DT513" s="542"/>
      <c r="DU513" s="542"/>
      <c r="DV513" s="542"/>
      <c r="DW513" s="542"/>
      <c r="DX513" s="542"/>
      <c r="DY513" s="542"/>
      <c r="DZ513" s="542"/>
      <c r="EA513" s="542"/>
      <c r="EB513" s="542"/>
      <c r="EC513" s="542"/>
      <c r="ED513" s="542"/>
      <c r="EE513" s="542"/>
      <c r="EF513" s="542"/>
      <c r="EG513" s="542"/>
      <c r="EH513" s="542"/>
      <c r="EI513" s="542"/>
      <c r="EJ513" s="542"/>
      <c r="EK513" s="542"/>
      <c r="EL513" s="542"/>
      <c r="EM513" s="542"/>
      <c r="EN513" s="542"/>
      <c r="EO513" s="542"/>
      <c r="EP513" s="542"/>
      <c r="EQ513" s="542"/>
      <c r="ER513" s="542"/>
      <c r="ES513" s="542"/>
      <c r="ET513" s="542"/>
      <c r="EU513" s="542"/>
      <c r="EV513" s="542"/>
      <c r="EW513" s="542"/>
      <c r="EX513" s="542"/>
      <c r="EY513" s="542"/>
      <c r="EZ513" s="542"/>
      <c r="FA513" s="542"/>
      <c r="FB513" s="542"/>
      <c r="FC513" s="542"/>
      <c r="FD513" s="542"/>
      <c r="FE513" s="542"/>
      <c r="FF513" s="542"/>
      <c r="FG513" s="542"/>
      <c r="FH513" s="542"/>
      <c r="FI513" s="542"/>
      <c r="FJ513" s="542"/>
      <c r="FK513" s="542"/>
      <c r="FL513" s="542"/>
      <c r="FM513" s="542"/>
      <c r="FN513" s="542"/>
      <c r="FO513" s="542"/>
      <c r="FP513" s="542"/>
      <c r="FQ513" s="542"/>
      <c r="FR513" s="542"/>
      <c r="FS513" s="542"/>
      <c r="FT513" s="542"/>
      <c r="FU513" s="542"/>
      <c r="FV513" s="542"/>
      <c r="FW513" s="542"/>
      <c r="FX513" s="542"/>
      <c r="FY513" s="542"/>
      <c r="FZ513" s="542"/>
      <c r="GA513" s="542"/>
      <c r="GB513" s="542"/>
      <c r="GC513" s="542"/>
      <c r="GD513" s="542"/>
      <c r="GE513" s="542"/>
      <c r="GF513" s="542"/>
      <c r="GG513" s="542"/>
      <c r="GH513" s="542"/>
      <c r="GI513" s="542"/>
      <c r="GJ513" s="542"/>
      <c r="GK513" s="542"/>
      <c r="GL513" s="542"/>
      <c r="GM513" s="542"/>
      <c r="GN513" s="542"/>
      <c r="GO513" s="542"/>
      <c r="GP513" s="542"/>
      <c r="GQ513" s="542"/>
      <c r="GR513" s="542"/>
      <c r="GS513" s="542"/>
      <c r="GT513" s="542"/>
      <c r="GU513" s="542"/>
      <c r="GV513" s="542"/>
      <c r="GW513" s="542"/>
      <c r="GX513" s="542"/>
      <c r="GY513" s="542"/>
      <c r="GZ513" s="542"/>
      <c r="HA513" s="542"/>
      <c r="HB513" s="542"/>
      <c r="HC513" s="542"/>
      <c r="HD513" s="542"/>
      <c r="HE513" s="542"/>
      <c r="HF513" s="542"/>
      <c r="HG513" s="542"/>
      <c r="HH513" s="542"/>
      <c r="HI513" s="542"/>
      <c r="HJ513" s="542"/>
      <c r="HK513" s="542"/>
      <c r="HL513" s="542"/>
      <c r="HM513" s="542"/>
      <c r="HN513" s="542"/>
      <c r="HO513" s="542"/>
      <c r="HP513" s="542"/>
      <c r="HQ513" s="542"/>
      <c r="HR513" s="542"/>
      <c r="HS513" s="542"/>
      <c r="HT513" s="542"/>
      <c r="HU513" s="542"/>
      <c r="HV513" s="542"/>
      <c r="HW513" s="542"/>
      <c r="HX513" s="542"/>
      <c r="HY513" s="542"/>
      <c r="HZ513" s="542"/>
      <c r="IA513" s="542"/>
      <c r="IB513" s="542"/>
      <c r="IC513" s="542"/>
      <c r="ID513" s="542"/>
      <c r="IE513" s="542"/>
      <c r="IF513" s="542"/>
      <c r="IG513" s="542"/>
      <c r="IH513" s="542"/>
      <c r="II513" s="542"/>
      <c r="IJ513" s="542"/>
      <c r="IK513" s="542"/>
      <c r="IL513" s="542"/>
      <c r="IM513" s="542"/>
      <c r="IN513" s="542"/>
      <c r="IO513" s="542"/>
      <c r="IP513" s="542"/>
      <c r="IQ513" s="542"/>
      <c r="IR513" s="542"/>
      <c r="IS513" s="542"/>
      <c r="IT513" s="542"/>
      <c r="IU513" s="542"/>
      <c r="IV513" s="542"/>
      <c r="IW513" s="542"/>
      <c r="IX513" s="542"/>
      <c r="IY513" s="542"/>
      <c r="IZ513" s="542"/>
      <c r="JA513" s="542"/>
      <c r="JB513" s="542"/>
    </row>
    <row r="514" spans="104:262" ht="18.899999999999999" customHeight="1">
      <c r="CZ514" s="542"/>
      <c r="DA514" s="542"/>
      <c r="DB514" s="542"/>
      <c r="DC514" s="542"/>
      <c r="DD514" s="542"/>
      <c r="DE514" s="542"/>
      <c r="DF514" s="542"/>
      <c r="DG514" s="542"/>
      <c r="DH514" s="542"/>
      <c r="DI514" s="542"/>
      <c r="DJ514" s="542"/>
      <c r="DK514" s="542"/>
      <c r="DL514" s="542"/>
      <c r="DM514" s="542"/>
      <c r="DN514" s="542"/>
      <c r="DO514" s="542"/>
      <c r="DP514" s="542"/>
      <c r="DQ514" s="542"/>
      <c r="DR514" s="542"/>
      <c r="DS514" s="542"/>
      <c r="DT514" s="542"/>
      <c r="DU514" s="542"/>
      <c r="DV514" s="542"/>
      <c r="DW514" s="542"/>
      <c r="DX514" s="542"/>
      <c r="DY514" s="542"/>
      <c r="DZ514" s="542"/>
      <c r="EA514" s="542"/>
      <c r="EB514" s="542"/>
      <c r="EC514" s="542"/>
      <c r="ED514" s="542"/>
      <c r="EE514" s="542"/>
      <c r="EF514" s="542"/>
      <c r="EG514" s="542"/>
      <c r="EH514" s="542"/>
      <c r="EI514" s="542"/>
      <c r="EJ514" s="542"/>
      <c r="EK514" s="542"/>
      <c r="EL514" s="542"/>
      <c r="EM514" s="542"/>
      <c r="EN514" s="542"/>
      <c r="EO514" s="542"/>
      <c r="EP514" s="542"/>
      <c r="EQ514" s="542"/>
      <c r="ER514" s="542"/>
      <c r="ES514" s="542"/>
      <c r="ET514" s="542"/>
      <c r="EU514" s="542"/>
      <c r="EV514" s="542"/>
      <c r="EW514" s="542"/>
      <c r="EX514" s="542"/>
      <c r="EY514" s="542"/>
      <c r="EZ514" s="542"/>
      <c r="FA514" s="542"/>
      <c r="FB514" s="542"/>
      <c r="FC514" s="542"/>
      <c r="FD514" s="542"/>
      <c r="FE514" s="542"/>
      <c r="FF514" s="542"/>
      <c r="FG514" s="542"/>
      <c r="FH514" s="542"/>
      <c r="FI514" s="542"/>
      <c r="FJ514" s="542"/>
      <c r="FK514" s="542"/>
      <c r="FL514" s="542"/>
      <c r="FM514" s="542"/>
      <c r="FN514" s="542"/>
      <c r="FO514" s="542"/>
      <c r="FP514" s="542"/>
      <c r="FQ514" s="542"/>
      <c r="FR514" s="542"/>
      <c r="FS514" s="542"/>
      <c r="FT514" s="542"/>
      <c r="FU514" s="542"/>
      <c r="FV514" s="542"/>
      <c r="FW514" s="542"/>
      <c r="FX514" s="542"/>
      <c r="FY514" s="542"/>
      <c r="FZ514" s="542"/>
      <c r="GA514" s="542"/>
      <c r="GB514" s="542"/>
      <c r="GC514" s="542"/>
      <c r="GD514" s="542"/>
      <c r="GE514" s="542"/>
      <c r="GF514" s="542"/>
      <c r="GG514" s="542"/>
      <c r="GH514" s="542"/>
      <c r="GI514" s="542"/>
      <c r="GJ514" s="542"/>
      <c r="GK514" s="542"/>
      <c r="GL514" s="542"/>
      <c r="GM514" s="542"/>
      <c r="GN514" s="542"/>
      <c r="GO514" s="542"/>
      <c r="GP514" s="542"/>
      <c r="GQ514" s="542"/>
      <c r="GR514" s="542"/>
      <c r="GS514" s="542"/>
      <c r="GT514" s="542"/>
      <c r="GU514" s="542"/>
      <c r="GV514" s="542"/>
      <c r="GW514" s="542"/>
      <c r="GX514" s="542"/>
      <c r="GY514" s="542"/>
      <c r="GZ514" s="542"/>
      <c r="HA514" s="542"/>
      <c r="HB514" s="542"/>
      <c r="HC514" s="542"/>
      <c r="HD514" s="542"/>
      <c r="HE514" s="542"/>
      <c r="HF514" s="542"/>
      <c r="HG514" s="542"/>
      <c r="HH514" s="542"/>
      <c r="HI514" s="542"/>
      <c r="HJ514" s="542"/>
      <c r="HK514" s="542"/>
      <c r="HL514" s="542"/>
      <c r="HM514" s="542"/>
      <c r="HN514" s="542"/>
      <c r="HO514" s="542"/>
      <c r="HP514" s="542"/>
      <c r="HQ514" s="542"/>
      <c r="HR514" s="542"/>
      <c r="HS514" s="542"/>
      <c r="HT514" s="542"/>
      <c r="HU514" s="542"/>
      <c r="HV514" s="542"/>
      <c r="HW514" s="542"/>
      <c r="HX514" s="542"/>
      <c r="HY514" s="542"/>
      <c r="HZ514" s="542"/>
      <c r="IA514" s="542"/>
      <c r="IB514" s="542"/>
      <c r="IC514" s="542"/>
      <c r="ID514" s="542"/>
      <c r="IE514" s="542"/>
      <c r="IF514" s="542"/>
      <c r="IG514" s="542"/>
      <c r="IH514" s="542"/>
      <c r="II514" s="542"/>
      <c r="IJ514" s="542"/>
      <c r="IK514" s="542"/>
      <c r="IL514" s="542"/>
      <c r="IM514" s="542"/>
      <c r="IN514" s="542"/>
      <c r="IO514" s="542"/>
      <c r="IP514" s="542"/>
      <c r="IQ514" s="542"/>
      <c r="IR514" s="542"/>
      <c r="IS514" s="542"/>
      <c r="IT514" s="542"/>
      <c r="IU514" s="542"/>
      <c r="IV514" s="542"/>
      <c r="IW514" s="542"/>
      <c r="IX514" s="542"/>
      <c r="IY514" s="542"/>
      <c r="IZ514" s="542"/>
      <c r="JA514" s="542"/>
      <c r="JB514" s="542"/>
    </row>
    <row r="515" spans="104:262" ht="18.899999999999999" customHeight="1">
      <c r="CZ515" s="542"/>
      <c r="DA515" s="542"/>
      <c r="DB515" s="542"/>
      <c r="DC515" s="542"/>
      <c r="DD515" s="542"/>
      <c r="DE515" s="542"/>
      <c r="DF515" s="542"/>
      <c r="DG515" s="542"/>
      <c r="DH515" s="542"/>
      <c r="DI515" s="542"/>
      <c r="DJ515" s="542"/>
      <c r="DK515" s="542"/>
      <c r="DL515" s="542"/>
      <c r="DM515" s="542"/>
      <c r="DN515" s="542"/>
      <c r="DO515" s="542"/>
      <c r="DP515" s="542"/>
      <c r="DQ515" s="542"/>
      <c r="DR515" s="542"/>
      <c r="DS515" s="542"/>
      <c r="DT515" s="542"/>
      <c r="DU515" s="542"/>
      <c r="DV515" s="542"/>
      <c r="DW515" s="542"/>
      <c r="DX515" s="542"/>
      <c r="DY515" s="542"/>
      <c r="DZ515" s="542"/>
      <c r="EA515" s="542"/>
      <c r="EB515" s="542"/>
      <c r="EC515" s="542"/>
      <c r="ED515" s="542"/>
      <c r="EE515" s="542"/>
      <c r="EF515" s="542"/>
      <c r="EG515" s="542"/>
      <c r="EH515" s="542"/>
      <c r="EI515" s="542"/>
      <c r="EJ515" s="542"/>
      <c r="EK515" s="542"/>
      <c r="EL515" s="542"/>
      <c r="EM515" s="542"/>
      <c r="EN515" s="542"/>
      <c r="EO515" s="542"/>
      <c r="EP515" s="542"/>
      <c r="EQ515" s="542"/>
      <c r="ER515" s="542"/>
      <c r="ES515" s="542"/>
      <c r="ET515" s="542"/>
      <c r="EU515" s="542"/>
      <c r="EV515" s="542"/>
      <c r="EW515" s="542"/>
      <c r="EX515" s="542"/>
      <c r="EY515" s="542"/>
      <c r="EZ515" s="542"/>
      <c r="FA515" s="542"/>
      <c r="FB515" s="542"/>
      <c r="FC515" s="542"/>
      <c r="FD515" s="542"/>
      <c r="FE515" s="542"/>
      <c r="FF515" s="542"/>
      <c r="FG515" s="542"/>
      <c r="FH515" s="542"/>
      <c r="FI515" s="542"/>
      <c r="FJ515" s="542"/>
      <c r="FK515" s="542"/>
      <c r="FL515" s="542"/>
      <c r="FM515" s="542"/>
      <c r="FN515" s="542"/>
      <c r="FO515" s="542"/>
      <c r="FP515" s="542"/>
      <c r="FQ515" s="542"/>
      <c r="FR515" s="542"/>
      <c r="FS515" s="542"/>
      <c r="FT515" s="542"/>
      <c r="FU515" s="542"/>
      <c r="FV515" s="542"/>
      <c r="FW515" s="542"/>
      <c r="FX515" s="542"/>
      <c r="FY515" s="542"/>
      <c r="FZ515" s="542"/>
      <c r="GA515" s="542"/>
      <c r="GB515" s="542"/>
      <c r="GC515" s="542"/>
      <c r="GD515" s="542"/>
      <c r="GE515" s="542"/>
      <c r="GF515" s="542"/>
      <c r="GG515" s="542"/>
      <c r="GH515" s="542"/>
      <c r="GI515" s="542"/>
      <c r="GJ515" s="542"/>
      <c r="GK515" s="542"/>
      <c r="GL515" s="542"/>
      <c r="GM515" s="542"/>
      <c r="GN515" s="542"/>
      <c r="GO515" s="542"/>
      <c r="GP515" s="542"/>
      <c r="GQ515" s="542"/>
      <c r="GR515" s="542"/>
      <c r="GS515" s="542"/>
      <c r="GT515" s="542"/>
      <c r="GU515" s="542"/>
      <c r="GV515" s="542"/>
      <c r="GW515" s="542"/>
      <c r="GX515" s="542"/>
      <c r="GY515" s="542"/>
      <c r="GZ515" s="542"/>
      <c r="HA515" s="542"/>
      <c r="HB515" s="542"/>
      <c r="HC515" s="542"/>
      <c r="HD515" s="542"/>
      <c r="HE515" s="542"/>
      <c r="HF515" s="542"/>
      <c r="HG515" s="542"/>
      <c r="HH515" s="542"/>
      <c r="HI515" s="542"/>
      <c r="HJ515" s="542"/>
      <c r="HK515" s="542"/>
      <c r="HL515" s="542"/>
      <c r="HM515" s="542"/>
      <c r="HN515" s="542"/>
      <c r="HO515" s="542"/>
      <c r="HP515" s="542"/>
      <c r="HQ515" s="542"/>
      <c r="HR515" s="542"/>
      <c r="HS515" s="542"/>
      <c r="HT515" s="542"/>
      <c r="HU515" s="542"/>
      <c r="HV515" s="542"/>
      <c r="HW515" s="542"/>
      <c r="HX515" s="542"/>
      <c r="HY515" s="542"/>
      <c r="HZ515" s="542"/>
      <c r="IA515" s="542"/>
      <c r="IB515" s="542"/>
      <c r="IC515" s="542"/>
      <c r="ID515" s="542"/>
      <c r="IE515" s="542"/>
      <c r="IF515" s="542"/>
      <c r="IG515" s="542"/>
      <c r="IH515" s="542"/>
      <c r="II515" s="542"/>
      <c r="IJ515" s="542"/>
      <c r="IK515" s="542"/>
      <c r="IL515" s="542"/>
      <c r="IM515" s="542"/>
      <c r="IN515" s="542"/>
      <c r="IO515" s="542"/>
      <c r="IP515" s="542"/>
      <c r="IQ515" s="542"/>
      <c r="IR515" s="542"/>
      <c r="IS515" s="542"/>
      <c r="IT515" s="542"/>
      <c r="IU515" s="542"/>
      <c r="IV515" s="542"/>
      <c r="IW515" s="542"/>
      <c r="IX515" s="542"/>
      <c r="IY515" s="542"/>
      <c r="IZ515" s="542"/>
      <c r="JA515" s="542"/>
      <c r="JB515" s="542"/>
    </row>
    <row r="516" spans="104:262" ht="18.899999999999999" customHeight="1">
      <c r="CZ516" s="542"/>
      <c r="DA516" s="542"/>
      <c r="DB516" s="542"/>
      <c r="DC516" s="542"/>
      <c r="DD516" s="542"/>
      <c r="DE516" s="542"/>
      <c r="DF516" s="542"/>
      <c r="DG516" s="542"/>
      <c r="DH516" s="542"/>
      <c r="DI516" s="542"/>
      <c r="DJ516" s="542"/>
      <c r="DK516" s="542"/>
      <c r="DL516" s="542"/>
      <c r="DM516" s="542"/>
      <c r="DN516" s="542"/>
      <c r="DO516" s="542"/>
      <c r="DP516" s="542"/>
      <c r="DQ516" s="542"/>
      <c r="DR516" s="542"/>
      <c r="DS516" s="542"/>
      <c r="DT516" s="542"/>
      <c r="DU516" s="542"/>
      <c r="DV516" s="542"/>
      <c r="DW516" s="542"/>
      <c r="DX516" s="542"/>
      <c r="DY516" s="542"/>
      <c r="DZ516" s="542"/>
      <c r="EA516" s="542"/>
      <c r="EB516" s="542"/>
      <c r="EC516" s="542"/>
      <c r="ED516" s="542"/>
      <c r="EE516" s="542"/>
      <c r="EF516" s="542"/>
      <c r="EG516" s="542"/>
      <c r="EH516" s="542"/>
      <c r="EI516" s="542"/>
      <c r="EJ516" s="542"/>
      <c r="EK516" s="542"/>
      <c r="EL516" s="542"/>
      <c r="EM516" s="542"/>
      <c r="EN516" s="542"/>
      <c r="EO516" s="542"/>
      <c r="EP516" s="542"/>
      <c r="EQ516" s="542"/>
      <c r="ER516" s="542"/>
      <c r="ES516" s="542"/>
      <c r="ET516" s="542"/>
      <c r="EU516" s="542"/>
      <c r="EV516" s="542"/>
      <c r="EW516" s="542"/>
      <c r="EX516" s="542"/>
      <c r="EY516" s="542"/>
      <c r="EZ516" s="542"/>
      <c r="FA516" s="542"/>
      <c r="FB516" s="542"/>
      <c r="FC516" s="542"/>
      <c r="FD516" s="542"/>
      <c r="FE516" s="542"/>
      <c r="FF516" s="542"/>
      <c r="FG516" s="542"/>
      <c r="FH516" s="542"/>
      <c r="FI516" s="542"/>
      <c r="FJ516" s="542"/>
      <c r="FK516" s="542"/>
      <c r="FL516" s="542"/>
      <c r="FM516" s="542"/>
      <c r="FN516" s="542"/>
      <c r="FO516" s="542"/>
      <c r="FP516" s="542"/>
      <c r="FQ516" s="542"/>
      <c r="FR516" s="542"/>
      <c r="FS516" s="542"/>
      <c r="FT516" s="542"/>
      <c r="FU516" s="542"/>
      <c r="FV516" s="542"/>
      <c r="FW516" s="542"/>
      <c r="FX516" s="542"/>
      <c r="FY516" s="542"/>
      <c r="FZ516" s="542"/>
      <c r="GA516" s="542"/>
      <c r="GB516" s="542"/>
      <c r="GC516" s="542"/>
      <c r="GD516" s="542"/>
      <c r="GE516" s="542"/>
      <c r="GF516" s="542"/>
      <c r="GG516" s="542"/>
      <c r="GH516" s="542"/>
      <c r="GI516" s="542"/>
      <c r="GJ516" s="542"/>
      <c r="GK516" s="542"/>
      <c r="GL516" s="542"/>
      <c r="GM516" s="542"/>
      <c r="GN516" s="542"/>
      <c r="GO516" s="542"/>
      <c r="GP516" s="542"/>
      <c r="GQ516" s="542"/>
      <c r="GR516" s="542"/>
      <c r="GS516" s="542"/>
      <c r="GT516" s="542"/>
      <c r="GU516" s="542"/>
      <c r="GV516" s="542"/>
      <c r="GW516" s="542"/>
      <c r="GX516" s="542"/>
      <c r="GY516" s="542"/>
      <c r="GZ516" s="542"/>
      <c r="HA516" s="542"/>
      <c r="HB516" s="542"/>
      <c r="HC516" s="542"/>
      <c r="HD516" s="542"/>
      <c r="HE516" s="542"/>
      <c r="HF516" s="542"/>
      <c r="HG516" s="542"/>
      <c r="HH516" s="542"/>
      <c r="HI516" s="542"/>
      <c r="HJ516" s="542"/>
      <c r="HK516" s="542"/>
      <c r="HL516" s="542"/>
      <c r="HM516" s="542"/>
      <c r="HN516" s="542"/>
      <c r="HO516" s="542"/>
      <c r="HP516" s="542"/>
      <c r="HQ516" s="542"/>
      <c r="HR516" s="542"/>
      <c r="HS516" s="542"/>
      <c r="HT516" s="542"/>
      <c r="HU516" s="542"/>
      <c r="HV516" s="542"/>
      <c r="HW516" s="542"/>
      <c r="HX516" s="542"/>
      <c r="HY516" s="542"/>
      <c r="HZ516" s="542"/>
      <c r="IA516" s="542"/>
      <c r="IB516" s="542"/>
      <c r="IC516" s="542"/>
      <c r="ID516" s="542"/>
      <c r="IE516" s="542"/>
      <c r="IF516" s="542"/>
      <c r="IG516" s="542"/>
      <c r="IH516" s="542"/>
      <c r="II516" s="542"/>
      <c r="IJ516" s="542"/>
      <c r="IK516" s="542"/>
      <c r="IL516" s="542"/>
      <c r="IM516" s="542"/>
      <c r="IN516" s="542"/>
      <c r="IO516" s="542"/>
      <c r="IP516" s="542"/>
      <c r="IQ516" s="542"/>
      <c r="IR516" s="542"/>
      <c r="IS516" s="542"/>
      <c r="IT516" s="542"/>
      <c r="IU516" s="542"/>
      <c r="IV516" s="542"/>
      <c r="IW516" s="542"/>
      <c r="IX516" s="542"/>
      <c r="IY516" s="542"/>
      <c r="IZ516" s="542"/>
      <c r="JA516" s="542"/>
      <c r="JB516" s="542"/>
    </row>
    <row r="517" spans="104:262" ht="18.899999999999999" customHeight="1">
      <c r="CZ517" s="542"/>
      <c r="DA517" s="542"/>
      <c r="DB517" s="542"/>
      <c r="DC517" s="542"/>
      <c r="DD517" s="542"/>
      <c r="DE517" s="542"/>
      <c r="DF517" s="542"/>
      <c r="DG517" s="542"/>
      <c r="DH517" s="542"/>
      <c r="DI517" s="542"/>
      <c r="DJ517" s="542"/>
      <c r="DK517" s="542"/>
      <c r="DL517" s="542"/>
      <c r="DM517" s="542"/>
      <c r="DN517" s="542"/>
      <c r="DO517" s="542"/>
      <c r="DP517" s="542"/>
      <c r="DQ517" s="542"/>
      <c r="DR517" s="542"/>
      <c r="DS517" s="542"/>
      <c r="DT517" s="542"/>
      <c r="DU517" s="542"/>
      <c r="DV517" s="542"/>
      <c r="DW517" s="542"/>
      <c r="DX517" s="542"/>
      <c r="DY517" s="542"/>
      <c r="DZ517" s="542"/>
      <c r="EA517" s="542"/>
      <c r="EB517" s="542"/>
      <c r="EC517" s="542"/>
      <c r="ED517" s="542"/>
      <c r="EE517" s="542"/>
      <c r="EF517" s="542"/>
      <c r="EG517" s="542"/>
      <c r="EH517" s="542"/>
      <c r="EI517" s="542"/>
      <c r="EJ517" s="542"/>
      <c r="EK517" s="542"/>
      <c r="EL517" s="542"/>
      <c r="EM517" s="542"/>
      <c r="EN517" s="542"/>
      <c r="EO517" s="542"/>
      <c r="EP517" s="542"/>
      <c r="EQ517" s="542"/>
      <c r="ER517" s="542"/>
      <c r="ES517" s="542"/>
      <c r="ET517" s="542"/>
      <c r="EU517" s="542"/>
      <c r="EV517" s="542"/>
      <c r="EW517" s="542"/>
      <c r="EX517" s="542"/>
      <c r="EY517" s="542"/>
      <c r="EZ517" s="542"/>
      <c r="FA517" s="542"/>
      <c r="FB517" s="542"/>
      <c r="FC517" s="542"/>
      <c r="FD517" s="542"/>
      <c r="FE517" s="542"/>
      <c r="FF517" s="542"/>
      <c r="FG517" s="542"/>
      <c r="FH517" s="542"/>
      <c r="FI517" s="542"/>
      <c r="FJ517" s="542"/>
      <c r="FK517" s="542"/>
      <c r="FL517" s="542"/>
      <c r="FM517" s="542"/>
      <c r="FN517" s="542"/>
      <c r="FO517" s="542"/>
      <c r="FP517" s="542"/>
      <c r="FQ517" s="542"/>
      <c r="FR517" s="542"/>
      <c r="FS517" s="542"/>
      <c r="FT517" s="542"/>
      <c r="FU517" s="542"/>
      <c r="FV517" s="542"/>
      <c r="FW517" s="542"/>
      <c r="FX517" s="542"/>
      <c r="FY517" s="542"/>
      <c r="FZ517" s="542"/>
      <c r="GA517" s="542"/>
      <c r="GB517" s="542"/>
      <c r="GC517" s="542"/>
      <c r="GD517" s="542"/>
      <c r="GE517" s="542"/>
      <c r="GF517" s="542"/>
      <c r="GG517" s="542"/>
      <c r="GH517" s="542"/>
      <c r="GI517" s="542"/>
      <c r="GJ517" s="542"/>
      <c r="GK517" s="542"/>
      <c r="GL517" s="542"/>
      <c r="GM517" s="542"/>
      <c r="GN517" s="542"/>
      <c r="GO517" s="542"/>
      <c r="GP517" s="542"/>
      <c r="GQ517" s="542"/>
      <c r="GR517" s="542"/>
      <c r="GS517" s="542"/>
      <c r="GT517" s="542"/>
      <c r="GU517" s="542"/>
      <c r="GV517" s="542"/>
      <c r="GW517" s="542"/>
      <c r="GX517" s="542"/>
      <c r="GY517" s="542"/>
      <c r="GZ517" s="542"/>
      <c r="HA517" s="542"/>
      <c r="HB517" s="542"/>
      <c r="HC517" s="542"/>
      <c r="HD517" s="542"/>
      <c r="HE517" s="542"/>
      <c r="HF517" s="542"/>
      <c r="HG517" s="542"/>
      <c r="HH517" s="542"/>
      <c r="HI517" s="542"/>
      <c r="HJ517" s="542"/>
      <c r="HK517" s="542"/>
      <c r="HL517" s="542"/>
      <c r="HM517" s="542"/>
      <c r="HN517" s="542"/>
      <c r="HO517" s="542"/>
      <c r="HP517" s="542"/>
      <c r="HQ517" s="542"/>
      <c r="HR517" s="542"/>
      <c r="HS517" s="542"/>
      <c r="HT517" s="542"/>
      <c r="HU517" s="542"/>
      <c r="HV517" s="542"/>
      <c r="HW517" s="542"/>
      <c r="HX517" s="542"/>
      <c r="HY517" s="542"/>
      <c r="HZ517" s="542"/>
      <c r="IA517" s="542"/>
      <c r="IB517" s="542"/>
      <c r="IC517" s="542"/>
      <c r="ID517" s="542"/>
      <c r="IE517" s="542"/>
      <c r="IF517" s="542"/>
      <c r="IG517" s="542"/>
      <c r="IH517" s="542"/>
      <c r="II517" s="542"/>
      <c r="IJ517" s="542"/>
      <c r="IK517" s="542"/>
      <c r="IL517" s="542"/>
      <c r="IM517" s="542"/>
      <c r="IN517" s="542"/>
      <c r="IO517" s="542"/>
      <c r="IP517" s="542"/>
      <c r="IQ517" s="542"/>
      <c r="IR517" s="542"/>
      <c r="IS517" s="542"/>
      <c r="IT517" s="542"/>
      <c r="IU517" s="542"/>
      <c r="IV517" s="542"/>
      <c r="IW517" s="542"/>
      <c r="IX517" s="542"/>
      <c r="IY517" s="542"/>
      <c r="IZ517" s="542"/>
      <c r="JA517" s="542"/>
      <c r="JB517" s="542"/>
    </row>
    <row r="518" spans="104:262" ht="18.899999999999999" customHeight="1">
      <c r="CZ518" s="542"/>
      <c r="DA518" s="542"/>
      <c r="DB518" s="542"/>
      <c r="DC518" s="542"/>
      <c r="DD518" s="542"/>
      <c r="DE518" s="542"/>
      <c r="DF518" s="542"/>
      <c r="DG518" s="542"/>
      <c r="DH518" s="542"/>
      <c r="DI518" s="542"/>
      <c r="DJ518" s="542"/>
      <c r="DK518" s="542"/>
      <c r="DL518" s="542"/>
      <c r="DM518" s="542"/>
      <c r="DN518" s="542"/>
      <c r="DO518" s="542"/>
      <c r="DP518" s="542"/>
      <c r="DQ518" s="542"/>
      <c r="DR518" s="542"/>
      <c r="DS518" s="542"/>
      <c r="DT518" s="542"/>
      <c r="DU518" s="542"/>
      <c r="DV518" s="542"/>
      <c r="DW518" s="542"/>
      <c r="DX518" s="542"/>
      <c r="DY518" s="542"/>
      <c r="DZ518" s="542"/>
      <c r="EA518" s="542"/>
      <c r="EB518" s="542"/>
      <c r="EC518" s="542"/>
      <c r="ED518" s="542"/>
      <c r="EE518" s="542"/>
      <c r="EF518" s="542"/>
      <c r="EG518" s="542"/>
      <c r="EH518" s="542"/>
      <c r="EI518" s="542"/>
      <c r="EJ518" s="542"/>
      <c r="EK518" s="542"/>
      <c r="EL518" s="542"/>
      <c r="EM518" s="542"/>
      <c r="EN518" s="542"/>
      <c r="EO518" s="542"/>
      <c r="EP518" s="542"/>
      <c r="EQ518" s="542"/>
      <c r="ER518" s="542"/>
      <c r="ES518" s="542"/>
      <c r="ET518" s="542"/>
      <c r="EU518" s="542"/>
      <c r="EV518" s="542"/>
      <c r="EW518" s="542"/>
      <c r="EX518" s="542"/>
      <c r="EY518" s="542"/>
      <c r="EZ518" s="542"/>
      <c r="FA518" s="542"/>
      <c r="FB518" s="542"/>
      <c r="FC518" s="542"/>
      <c r="FD518" s="542"/>
      <c r="FE518" s="542"/>
      <c r="FF518" s="542"/>
      <c r="FG518" s="542"/>
      <c r="FH518" s="542"/>
      <c r="FI518" s="542"/>
      <c r="FJ518" s="542"/>
      <c r="FK518" s="542"/>
      <c r="FL518" s="542"/>
      <c r="FM518" s="542"/>
      <c r="FN518" s="542"/>
      <c r="FO518" s="542"/>
      <c r="FP518" s="542"/>
      <c r="FQ518" s="542"/>
      <c r="FR518" s="542"/>
      <c r="FS518" s="542"/>
      <c r="FT518" s="542"/>
      <c r="FU518" s="542"/>
      <c r="FV518" s="542"/>
      <c r="FW518" s="542"/>
      <c r="FX518" s="542"/>
      <c r="FY518" s="542"/>
      <c r="FZ518" s="542"/>
      <c r="GA518" s="542"/>
      <c r="GB518" s="542"/>
      <c r="GC518" s="542"/>
      <c r="GD518" s="542"/>
      <c r="GE518" s="542"/>
      <c r="GF518" s="542"/>
      <c r="GG518" s="542"/>
      <c r="GH518" s="542"/>
      <c r="GI518" s="542"/>
      <c r="GJ518" s="542"/>
      <c r="GK518" s="542"/>
      <c r="GL518" s="542"/>
      <c r="GM518" s="542"/>
      <c r="GN518" s="542"/>
      <c r="GO518" s="542"/>
      <c r="GP518" s="542"/>
      <c r="GQ518" s="542"/>
      <c r="GR518" s="542"/>
      <c r="GS518" s="542"/>
      <c r="GT518" s="542"/>
      <c r="GU518" s="542"/>
      <c r="GV518" s="542"/>
      <c r="GW518" s="542"/>
      <c r="GX518" s="542"/>
      <c r="GY518" s="542"/>
      <c r="GZ518" s="542"/>
      <c r="HA518" s="542"/>
      <c r="HB518" s="542"/>
      <c r="HC518" s="542"/>
      <c r="HD518" s="542"/>
      <c r="HE518" s="542"/>
      <c r="HF518" s="542"/>
      <c r="HG518" s="542"/>
      <c r="HH518" s="542"/>
      <c r="HI518" s="542"/>
      <c r="HJ518" s="542"/>
      <c r="HK518" s="542"/>
      <c r="HL518" s="542"/>
      <c r="HM518" s="542"/>
      <c r="HN518" s="542"/>
      <c r="HO518" s="542"/>
      <c r="HP518" s="542"/>
      <c r="HQ518" s="542"/>
      <c r="HR518" s="542"/>
      <c r="HS518" s="542"/>
      <c r="HT518" s="542"/>
      <c r="HU518" s="542"/>
      <c r="HV518" s="542"/>
      <c r="HW518" s="542"/>
      <c r="HX518" s="542"/>
      <c r="HY518" s="542"/>
      <c r="HZ518" s="542"/>
      <c r="IA518" s="542"/>
      <c r="IB518" s="542"/>
      <c r="IC518" s="542"/>
      <c r="ID518" s="542"/>
      <c r="IE518" s="542"/>
      <c r="IF518" s="542"/>
      <c r="IG518" s="542"/>
      <c r="IH518" s="542"/>
      <c r="II518" s="542"/>
      <c r="IJ518" s="542"/>
      <c r="IK518" s="542"/>
      <c r="IL518" s="542"/>
      <c r="IM518" s="542"/>
      <c r="IN518" s="542"/>
      <c r="IO518" s="542"/>
      <c r="IP518" s="542"/>
      <c r="IQ518" s="542"/>
      <c r="IR518" s="542"/>
      <c r="IS518" s="542"/>
      <c r="IT518" s="542"/>
      <c r="IU518" s="542"/>
      <c r="IV518" s="542"/>
      <c r="IW518" s="542"/>
      <c r="IX518" s="542"/>
      <c r="IY518" s="542"/>
      <c r="IZ518" s="542"/>
      <c r="JA518" s="542"/>
      <c r="JB518" s="542"/>
    </row>
    <row r="519" spans="104:262" ht="18.899999999999999" customHeight="1">
      <c r="CZ519" s="542"/>
      <c r="DA519" s="542"/>
      <c r="DB519" s="542"/>
      <c r="DC519" s="542"/>
      <c r="DD519" s="542"/>
      <c r="DE519" s="542"/>
      <c r="DF519" s="542"/>
      <c r="DG519" s="542"/>
      <c r="DH519" s="542"/>
      <c r="DI519" s="542"/>
      <c r="DJ519" s="542"/>
      <c r="DK519" s="542"/>
      <c r="DL519" s="542"/>
      <c r="DM519" s="542"/>
      <c r="DN519" s="542"/>
      <c r="DO519" s="542"/>
      <c r="DP519" s="542"/>
      <c r="DQ519" s="542"/>
      <c r="DR519" s="542"/>
      <c r="DS519" s="542"/>
      <c r="DT519" s="542"/>
      <c r="DU519" s="542"/>
      <c r="DV519" s="542"/>
      <c r="DW519" s="542"/>
      <c r="DX519" s="542"/>
      <c r="DY519" s="542"/>
      <c r="DZ519" s="542"/>
      <c r="EA519" s="542"/>
      <c r="EB519" s="542"/>
      <c r="EC519" s="542"/>
      <c r="ED519" s="542"/>
      <c r="EE519" s="542"/>
      <c r="EF519" s="542"/>
      <c r="EG519" s="542"/>
      <c r="EH519" s="542"/>
      <c r="EI519" s="542"/>
      <c r="EJ519" s="542"/>
      <c r="EK519" s="542"/>
      <c r="EL519" s="542"/>
      <c r="EM519" s="542"/>
      <c r="EN519" s="542"/>
      <c r="EO519" s="542"/>
      <c r="EP519" s="542"/>
      <c r="EQ519" s="542"/>
      <c r="ER519" s="542"/>
      <c r="ES519" s="542"/>
      <c r="ET519" s="542"/>
      <c r="EU519" s="542"/>
      <c r="EV519" s="542"/>
      <c r="EW519" s="542"/>
      <c r="EX519" s="542"/>
      <c r="EY519" s="542"/>
      <c r="EZ519" s="542"/>
      <c r="FA519" s="542"/>
      <c r="FB519" s="542"/>
      <c r="FC519" s="542"/>
      <c r="FD519" s="542"/>
      <c r="FE519" s="542"/>
      <c r="FF519" s="542"/>
      <c r="FG519" s="542"/>
      <c r="FH519" s="542"/>
      <c r="FI519" s="542"/>
      <c r="FJ519" s="542"/>
      <c r="FK519" s="542"/>
      <c r="FL519" s="542"/>
      <c r="FM519" s="542"/>
      <c r="FN519" s="542"/>
      <c r="FO519" s="542"/>
      <c r="FP519" s="542"/>
      <c r="FQ519" s="542"/>
      <c r="FR519" s="542"/>
      <c r="FS519" s="542"/>
      <c r="FT519" s="542"/>
      <c r="FU519" s="542"/>
      <c r="FV519" s="542"/>
      <c r="FW519" s="542"/>
      <c r="FX519" s="542"/>
      <c r="FY519" s="542"/>
      <c r="FZ519" s="542"/>
      <c r="GA519" s="542"/>
      <c r="GB519" s="542"/>
      <c r="GC519" s="542"/>
      <c r="GD519" s="542"/>
      <c r="GE519" s="542"/>
      <c r="GF519" s="542"/>
      <c r="GG519" s="542"/>
      <c r="GH519" s="542"/>
      <c r="GI519" s="542"/>
      <c r="GJ519" s="542"/>
      <c r="GK519" s="542"/>
      <c r="GL519" s="542"/>
      <c r="GM519" s="542"/>
      <c r="GN519" s="542"/>
      <c r="GO519" s="542"/>
      <c r="GP519" s="542"/>
      <c r="GQ519" s="542"/>
      <c r="GR519" s="542"/>
      <c r="GS519" s="542"/>
      <c r="GT519" s="542"/>
      <c r="GU519" s="542"/>
      <c r="GV519" s="542"/>
      <c r="GW519" s="542"/>
      <c r="GX519" s="542"/>
      <c r="GY519" s="542"/>
      <c r="GZ519" s="542"/>
      <c r="HA519" s="542"/>
      <c r="HB519" s="542"/>
      <c r="HC519" s="542"/>
      <c r="HD519" s="542"/>
      <c r="HE519" s="542"/>
      <c r="HF519" s="542"/>
      <c r="HG519" s="542"/>
      <c r="HH519" s="542"/>
      <c r="HI519" s="542"/>
      <c r="HJ519" s="542"/>
      <c r="HK519" s="542"/>
      <c r="HL519" s="542"/>
      <c r="HM519" s="542"/>
      <c r="HN519" s="542"/>
      <c r="HO519" s="542"/>
      <c r="HP519" s="542"/>
      <c r="HQ519" s="542"/>
      <c r="HR519" s="542"/>
      <c r="HS519" s="542"/>
      <c r="HT519" s="542"/>
      <c r="HU519" s="542"/>
      <c r="HV519" s="542"/>
      <c r="HW519" s="542"/>
      <c r="HX519" s="542"/>
      <c r="HY519" s="542"/>
      <c r="HZ519" s="542"/>
      <c r="IA519" s="542"/>
      <c r="IB519" s="542"/>
      <c r="IC519" s="542"/>
      <c r="ID519" s="542"/>
      <c r="IE519" s="542"/>
      <c r="IF519" s="542"/>
      <c r="IG519" s="542"/>
      <c r="IH519" s="542"/>
      <c r="II519" s="542"/>
      <c r="IJ519" s="542"/>
      <c r="IK519" s="542"/>
      <c r="IL519" s="542"/>
      <c r="IM519" s="542"/>
      <c r="IN519" s="542"/>
      <c r="IO519" s="542"/>
      <c r="IP519" s="542"/>
      <c r="IQ519" s="542"/>
      <c r="IR519" s="542"/>
      <c r="IS519" s="542"/>
      <c r="IT519" s="542"/>
      <c r="IU519" s="542"/>
      <c r="IV519" s="542"/>
      <c r="IW519" s="542"/>
      <c r="IX519" s="542"/>
      <c r="IY519" s="542"/>
      <c r="IZ519" s="542"/>
      <c r="JA519" s="542"/>
      <c r="JB519" s="542"/>
    </row>
    <row r="520" spans="104:262" ht="18.899999999999999" customHeight="1">
      <c r="CZ520" s="542"/>
      <c r="DA520" s="542"/>
      <c r="DB520" s="542"/>
      <c r="DC520" s="542"/>
      <c r="DD520" s="542"/>
      <c r="DE520" s="542"/>
      <c r="DF520" s="542"/>
      <c r="DG520" s="542"/>
      <c r="DH520" s="542"/>
      <c r="DI520" s="542"/>
      <c r="DJ520" s="542"/>
      <c r="DK520" s="542"/>
      <c r="DL520" s="542"/>
      <c r="DM520" s="542"/>
      <c r="DN520" s="542"/>
      <c r="DO520" s="542"/>
      <c r="DP520" s="542"/>
      <c r="DQ520" s="542"/>
      <c r="DR520" s="542"/>
      <c r="DS520" s="542"/>
      <c r="DT520" s="542"/>
      <c r="DU520" s="542"/>
      <c r="DV520" s="542"/>
      <c r="DW520" s="542"/>
      <c r="DX520" s="542"/>
      <c r="DY520" s="542"/>
      <c r="DZ520" s="542"/>
      <c r="EA520" s="542"/>
      <c r="EB520" s="542"/>
      <c r="EC520" s="542"/>
      <c r="ED520" s="542"/>
      <c r="EE520" s="542"/>
      <c r="EF520" s="542"/>
      <c r="EG520" s="542"/>
      <c r="EH520" s="542"/>
      <c r="EI520" s="542"/>
      <c r="EJ520" s="542"/>
      <c r="EK520" s="542"/>
      <c r="EL520" s="542"/>
      <c r="EM520" s="542"/>
      <c r="EN520" s="542"/>
      <c r="EO520" s="542"/>
      <c r="EP520" s="542"/>
      <c r="EQ520" s="542"/>
      <c r="ER520" s="542"/>
      <c r="ES520" s="542"/>
      <c r="ET520" s="542"/>
      <c r="EU520" s="542"/>
      <c r="EV520" s="542"/>
      <c r="EW520" s="542"/>
      <c r="EX520" s="542"/>
      <c r="EY520" s="542"/>
      <c r="EZ520" s="542"/>
      <c r="FA520" s="542"/>
      <c r="FB520" s="542"/>
      <c r="FC520" s="542"/>
      <c r="FD520" s="542"/>
      <c r="FE520" s="542"/>
      <c r="FF520" s="542"/>
      <c r="FG520" s="542"/>
      <c r="FH520" s="542"/>
      <c r="FI520" s="542"/>
      <c r="FJ520" s="542"/>
      <c r="FK520" s="542"/>
      <c r="FL520" s="542"/>
      <c r="FM520" s="542"/>
      <c r="FN520" s="542"/>
      <c r="FO520" s="542"/>
      <c r="FP520" s="542"/>
      <c r="FQ520" s="542"/>
      <c r="FR520" s="542"/>
      <c r="FS520" s="542"/>
      <c r="FT520" s="542"/>
      <c r="FU520" s="542"/>
      <c r="FV520" s="542"/>
      <c r="FW520" s="542"/>
      <c r="FX520" s="542"/>
      <c r="FY520" s="542"/>
      <c r="FZ520" s="542"/>
      <c r="GA520" s="542"/>
      <c r="GB520" s="542"/>
      <c r="GC520" s="542"/>
      <c r="GD520" s="542"/>
      <c r="GE520" s="542"/>
      <c r="GF520" s="542"/>
      <c r="GG520" s="542"/>
      <c r="GH520" s="542"/>
      <c r="GI520" s="542"/>
      <c r="GJ520" s="542"/>
      <c r="GK520" s="542"/>
      <c r="GL520" s="542"/>
      <c r="GM520" s="542"/>
      <c r="GN520" s="542"/>
      <c r="GO520" s="542"/>
      <c r="GP520" s="542"/>
      <c r="GQ520" s="542"/>
      <c r="GR520" s="542"/>
      <c r="GS520" s="542"/>
      <c r="GT520" s="542"/>
      <c r="GU520" s="542"/>
      <c r="GV520" s="542"/>
      <c r="GW520" s="542"/>
      <c r="GX520" s="542"/>
      <c r="GY520" s="542"/>
      <c r="GZ520" s="542"/>
      <c r="HA520" s="542"/>
      <c r="HB520" s="542"/>
      <c r="HC520" s="542"/>
      <c r="HD520" s="542"/>
      <c r="HE520" s="542"/>
      <c r="HF520" s="542"/>
      <c r="HG520" s="542"/>
      <c r="HH520" s="542"/>
      <c r="HI520" s="542"/>
      <c r="HJ520" s="542"/>
      <c r="HK520" s="542"/>
      <c r="HL520" s="542"/>
      <c r="HM520" s="542"/>
      <c r="HN520" s="542"/>
      <c r="HO520" s="542"/>
      <c r="HP520" s="542"/>
      <c r="HQ520" s="542"/>
      <c r="HR520" s="542"/>
      <c r="HS520" s="542"/>
      <c r="HT520" s="542"/>
      <c r="HU520" s="542"/>
      <c r="HV520" s="542"/>
      <c r="HW520" s="542"/>
      <c r="HX520" s="542"/>
      <c r="HY520" s="542"/>
      <c r="HZ520" s="542"/>
      <c r="IA520" s="542"/>
      <c r="IB520" s="542"/>
      <c r="IC520" s="542"/>
      <c r="ID520" s="542"/>
      <c r="IE520" s="542"/>
      <c r="IF520" s="542"/>
      <c r="IG520" s="542"/>
      <c r="IH520" s="542"/>
      <c r="II520" s="542"/>
      <c r="IJ520" s="542"/>
      <c r="IK520" s="542"/>
      <c r="IL520" s="542"/>
      <c r="IM520" s="542"/>
      <c r="IN520" s="542"/>
      <c r="IO520" s="542"/>
      <c r="IP520" s="542"/>
      <c r="IQ520" s="542"/>
      <c r="IR520" s="542"/>
      <c r="IS520" s="542"/>
      <c r="IT520" s="542"/>
      <c r="IU520" s="542"/>
      <c r="IV520" s="542"/>
      <c r="IW520" s="542"/>
      <c r="IX520" s="542"/>
      <c r="IY520" s="542"/>
      <c r="IZ520" s="542"/>
      <c r="JA520" s="542"/>
      <c r="JB520" s="542"/>
    </row>
    <row r="521" spans="104:262" ht="18.899999999999999" customHeight="1">
      <c r="CZ521" s="542"/>
      <c r="DA521" s="542"/>
      <c r="DB521" s="542"/>
      <c r="DC521" s="542"/>
      <c r="DD521" s="542"/>
      <c r="DE521" s="542"/>
      <c r="DF521" s="542"/>
      <c r="DG521" s="542"/>
      <c r="DH521" s="542"/>
      <c r="DI521" s="542"/>
      <c r="DJ521" s="542"/>
      <c r="DK521" s="542"/>
      <c r="DL521" s="542"/>
      <c r="DM521" s="542"/>
      <c r="DN521" s="542"/>
      <c r="DO521" s="542"/>
      <c r="DP521" s="542"/>
      <c r="DQ521" s="542"/>
      <c r="DR521" s="542"/>
      <c r="DS521" s="542"/>
      <c r="DT521" s="542"/>
      <c r="DU521" s="542"/>
      <c r="DV521" s="542"/>
      <c r="DW521" s="542"/>
      <c r="DX521" s="542"/>
      <c r="DY521" s="542"/>
      <c r="DZ521" s="542"/>
      <c r="EA521" s="542"/>
      <c r="EB521" s="542"/>
      <c r="EC521" s="542"/>
      <c r="ED521" s="542"/>
      <c r="EE521" s="542"/>
      <c r="EF521" s="542"/>
      <c r="EG521" s="542"/>
      <c r="EH521" s="542"/>
      <c r="EI521" s="542"/>
      <c r="EJ521" s="542"/>
      <c r="EK521" s="542"/>
      <c r="EL521" s="542"/>
      <c r="EM521" s="542"/>
      <c r="EN521" s="542"/>
      <c r="EO521" s="542"/>
      <c r="EP521" s="542"/>
      <c r="EQ521" s="542"/>
      <c r="ER521" s="542"/>
      <c r="ES521" s="542"/>
      <c r="ET521" s="542"/>
      <c r="EU521" s="542"/>
      <c r="EV521" s="542"/>
      <c r="EW521" s="542"/>
      <c r="EX521" s="542"/>
      <c r="EY521" s="542"/>
      <c r="EZ521" s="542"/>
      <c r="FA521" s="542"/>
      <c r="FB521" s="542"/>
      <c r="FC521" s="542"/>
      <c r="FD521" s="542"/>
      <c r="FE521" s="542"/>
      <c r="FF521" s="542"/>
      <c r="FG521" s="542"/>
      <c r="FH521" s="542"/>
      <c r="FI521" s="542"/>
      <c r="FJ521" s="542"/>
      <c r="FK521" s="542"/>
      <c r="FL521" s="542"/>
      <c r="FM521" s="542"/>
      <c r="FN521" s="542"/>
      <c r="FO521" s="542"/>
      <c r="FP521" s="542"/>
      <c r="FQ521" s="542"/>
      <c r="FR521" s="542"/>
      <c r="FS521" s="542"/>
      <c r="FT521" s="542"/>
      <c r="FU521" s="542"/>
      <c r="FV521" s="542"/>
      <c r="FW521" s="542"/>
      <c r="FX521" s="542"/>
      <c r="FY521" s="542"/>
      <c r="FZ521" s="542"/>
      <c r="GA521" s="542"/>
      <c r="GB521" s="542"/>
      <c r="GC521" s="542"/>
      <c r="GD521" s="542"/>
      <c r="GE521" s="542"/>
      <c r="GF521" s="542"/>
      <c r="GG521" s="542"/>
      <c r="GH521" s="542"/>
      <c r="GI521" s="542"/>
      <c r="GJ521" s="542"/>
      <c r="GK521" s="542"/>
      <c r="GL521" s="542"/>
      <c r="GM521" s="542"/>
      <c r="GN521" s="542"/>
      <c r="GO521" s="542"/>
      <c r="GP521" s="542"/>
      <c r="GQ521" s="542"/>
      <c r="GR521" s="542"/>
      <c r="GS521" s="542"/>
      <c r="GT521" s="542"/>
      <c r="GU521" s="542"/>
      <c r="GV521" s="542"/>
      <c r="GW521" s="542"/>
      <c r="GX521" s="542"/>
      <c r="GY521" s="542"/>
      <c r="GZ521" s="542"/>
      <c r="HA521" s="542"/>
      <c r="HB521" s="542"/>
      <c r="HC521" s="542"/>
      <c r="HD521" s="542"/>
      <c r="HE521" s="542"/>
      <c r="HF521" s="542"/>
      <c r="HG521" s="542"/>
      <c r="HH521" s="542"/>
      <c r="HI521" s="542"/>
      <c r="HJ521" s="542"/>
      <c r="HK521" s="542"/>
      <c r="HL521" s="542"/>
      <c r="HM521" s="542"/>
      <c r="HN521" s="542"/>
      <c r="HO521" s="542"/>
      <c r="HP521" s="542"/>
      <c r="HQ521" s="542"/>
      <c r="HR521" s="542"/>
      <c r="HS521" s="542"/>
      <c r="HT521" s="542"/>
      <c r="HU521" s="542"/>
      <c r="HV521" s="542"/>
      <c r="HW521" s="542"/>
      <c r="HX521" s="542"/>
      <c r="HY521" s="542"/>
      <c r="HZ521" s="542"/>
      <c r="IA521" s="542"/>
      <c r="IB521" s="542"/>
      <c r="IC521" s="542"/>
      <c r="ID521" s="542"/>
      <c r="IE521" s="542"/>
      <c r="IF521" s="542"/>
      <c r="IG521" s="542"/>
      <c r="IH521" s="542"/>
      <c r="II521" s="542"/>
      <c r="IJ521" s="542"/>
      <c r="IK521" s="542"/>
      <c r="IL521" s="542"/>
      <c r="IM521" s="542"/>
      <c r="IN521" s="542"/>
      <c r="IO521" s="542"/>
      <c r="IP521" s="542"/>
      <c r="IQ521" s="542"/>
      <c r="IR521" s="542"/>
      <c r="IS521" s="542"/>
      <c r="IT521" s="542"/>
      <c r="IU521" s="542"/>
      <c r="IV521" s="542"/>
      <c r="IW521" s="542"/>
      <c r="IX521" s="542"/>
      <c r="IY521" s="542"/>
      <c r="IZ521" s="542"/>
      <c r="JA521" s="542"/>
      <c r="JB521" s="542"/>
    </row>
    <row r="522" spans="104:262" ht="18.899999999999999" customHeight="1">
      <c r="CZ522" s="542"/>
      <c r="DA522" s="542"/>
      <c r="DB522" s="542"/>
      <c r="DC522" s="542"/>
      <c r="DD522" s="542"/>
      <c r="DE522" s="542"/>
      <c r="DF522" s="542"/>
      <c r="DG522" s="542"/>
      <c r="DH522" s="542"/>
      <c r="DI522" s="542"/>
      <c r="DJ522" s="542"/>
      <c r="DK522" s="542"/>
      <c r="DL522" s="542"/>
      <c r="DM522" s="542"/>
      <c r="DN522" s="542"/>
      <c r="DO522" s="542"/>
      <c r="DP522" s="542"/>
      <c r="DQ522" s="542"/>
      <c r="DR522" s="542"/>
      <c r="DS522" s="542"/>
      <c r="DT522" s="542"/>
      <c r="DU522" s="542"/>
      <c r="DV522" s="542"/>
      <c r="DW522" s="542"/>
      <c r="DX522" s="542"/>
      <c r="DY522" s="542"/>
      <c r="DZ522" s="542"/>
      <c r="EA522" s="542"/>
      <c r="EB522" s="542"/>
      <c r="EC522" s="542"/>
      <c r="ED522" s="542"/>
      <c r="EE522" s="542"/>
      <c r="EF522" s="542"/>
      <c r="EG522" s="542"/>
      <c r="EH522" s="542"/>
      <c r="EI522" s="542"/>
      <c r="EJ522" s="542"/>
      <c r="EK522" s="542"/>
      <c r="EL522" s="542"/>
      <c r="EM522" s="542"/>
      <c r="EN522" s="542"/>
      <c r="EO522" s="542"/>
      <c r="EP522" s="542"/>
      <c r="EQ522" s="542"/>
      <c r="ER522" s="542"/>
      <c r="ES522" s="542"/>
      <c r="ET522" s="542"/>
      <c r="EU522" s="542"/>
      <c r="EV522" s="542"/>
      <c r="EW522" s="542"/>
      <c r="EX522" s="542"/>
      <c r="EY522" s="542"/>
      <c r="EZ522" s="542"/>
      <c r="FA522" s="542"/>
      <c r="FB522" s="542"/>
      <c r="FC522" s="542"/>
      <c r="FD522" s="542"/>
      <c r="FE522" s="542"/>
      <c r="FF522" s="542"/>
      <c r="FG522" s="542"/>
      <c r="FH522" s="542"/>
      <c r="FI522" s="542"/>
      <c r="FJ522" s="542"/>
      <c r="FK522" s="542"/>
      <c r="FL522" s="542"/>
      <c r="FM522" s="542"/>
      <c r="FN522" s="542"/>
      <c r="FO522" s="542"/>
      <c r="FP522" s="542"/>
      <c r="FQ522" s="542"/>
      <c r="FR522" s="542"/>
      <c r="FS522" s="542"/>
      <c r="FT522" s="542"/>
      <c r="FU522" s="542"/>
      <c r="FV522" s="542"/>
      <c r="FW522" s="542"/>
      <c r="FX522" s="542"/>
      <c r="FY522" s="542"/>
      <c r="FZ522" s="542"/>
      <c r="GA522" s="542"/>
      <c r="GB522" s="542"/>
      <c r="GC522" s="542"/>
      <c r="GD522" s="542"/>
      <c r="GE522" s="542"/>
      <c r="GF522" s="542"/>
      <c r="GG522" s="542"/>
      <c r="GH522" s="542"/>
      <c r="GI522" s="542"/>
      <c r="GJ522" s="542"/>
      <c r="GK522" s="542"/>
      <c r="GL522" s="542"/>
      <c r="GM522" s="542"/>
      <c r="GN522" s="542"/>
      <c r="GO522" s="542"/>
      <c r="GP522" s="542"/>
      <c r="GQ522" s="542"/>
      <c r="GR522" s="542"/>
      <c r="GS522" s="542"/>
      <c r="GT522" s="542"/>
      <c r="GU522" s="542"/>
      <c r="GV522" s="542"/>
      <c r="GW522" s="542"/>
      <c r="GX522" s="542"/>
      <c r="GY522" s="542"/>
      <c r="GZ522" s="542"/>
      <c r="HA522" s="542"/>
      <c r="HB522" s="542"/>
      <c r="HC522" s="542"/>
      <c r="HD522" s="542"/>
      <c r="HE522" s="542"/>
      <c r="HF522" s="542"/>
      <c r="HG522" s="542"/>
      <c r="HH522" s="542"/>
      <c r="HI522" s="542"/>
      <c r="HJ522" s="542"/>
      <c r="HK522" s="542"/>
      <c r="HL522" s="542"/>
      <c r="HM522" s="542"/>
      <c r="HN522" s="542"/>
      <c r="HO522" s="542"/>
      <c r="HP522" s="542"/>
      <c r="HQ522" s="542"/>
      <c r="HR522" s="542"/>
      <c r="HS522" s="542"/>
      <c r="HT522" s="542"/>
      <c r="HU522" s="542"/>
      <c r="HV522" s="542"/>
      <c r="HW522" s="542"/>
      <c r="HX522" s="542"/>
      <c r="HY522" s="542"/>
      <c r="HZ522" s="542"/>
      <c r="IA522" s="542"/>
      <c r="IB522" s="542"/>
      <c r="IC522" s="542"/>
      <c r="ID522" s="542"/>
      <c r="IE522" s="542"/>
      <c r="IF522" s="542"/>
      <c r="IG522" s="542"/>
      <c r="IH522" s="542"/>
      <c r="II522" s="542"/>
      <c r="IJ522" s="542"/>
      <c r="IK522" s="542"/>
      <c r="IL522" s="542"/>
      <c r="IM522" s="542"/>
      <c r="IN522" s="542"/>
      <c r="IO522" s="542"/>
      <c r="IP522" s="542"/>
      <c r="IQ522" s="542"/>
      <c r="IR522" s="542"/>
      <c r="IS522" s="542"/>
      <c r="IT522" s="542"/>
      <c r="IU522" s="542"/>
      <c r="IV522" s="542"/>
      <c r="IW522" s="542"/>
      <c r="IX522" s="542"/>
      <c r="IY522" s="542"/>
      <c r="IZ522" s="542"/>
      <c r="JA522" s="542"/>
      <c r="JB522" s="542"/>
    </row>
    <row r="523" spans="104:262" ht="18.899999999999999" customHeight="1">
      <c r="CZ523" s="542"/>
      <c r="DA523" s="542"/>
      <c r="DB523" s="542"/>
      <c r="DC523" s="542"/>
      <c r="DD523" s="542"/>
      <c r="DE523" s="542"/>
      <c r="DF523" s="542"/>
      <c r="DG523" s="542"/>
      <c r="DH523" s="542"/>
      <c r="DI523" s="542"/>
      <c r="DJ523" s="542"/>
      <c r="DK523" s="542"/>
      <c r="DL523" s="542"/>
      <c r="DM523" s="542"/>
      <c r="DN523" s="542"/>
      <c r="DO523" s="542"/>
      <c r="DP523" s="542"/>
      <c r="DQ523" s="542"/>
      <c r="DR523" s="542"/>
      <c r="DS523" s="542"/>
      <c r="DT523" s="542"/>
      <c r="DU523" s="542"/>
      <c r="DV523" s="542"/>
      <c r="DW523" s="542"/>
      <c r="DX523" s="542"/>
      <c r="DY523" s="542"/>
      <c r="DZ523" s="542"/>
      <c r="EA523" s="542"/>
      <c r="EB523" s="542"/>
      <c r="EC523" s="542"/>
      <c r="ED523" s="542"/>
      <c r="EE523" s="542"/>
      <c r="EF523" s="542"/>
      <c r="EG523" s="542"/>
      <c r="EH523" s="542"/>
      <c r="EI523" s="542"/>
      <c r="EJ523" s="542"/>
      <c r="EK523" s="542"/>
      <c r="EL523" s="542"/>
      <c r="EM523" s="542"/>
      <c r="EN523" s="542"/>
      <c r="EO523" s="542"/>
      <c r="EP523" s="542"/>
      <c r="EQ523" s="542"/>
      <c r="ER523" s="542"/>
      <c r="ES523" s="542"/>
      <c r="ET523" s="542"/>
      <c r="EU523" s="542"/>
      <c r="EV523" s="542"/>
      <c r="EW523" s="542"/>
      <c r="EX523" s="542"/>
      <c r="EY523" s="542"/>
      <c r="EZ523" s="542"/>
      <c r="FA523" s="542"/>
      <c r="FB523" s="542"/>
      <c r="FC523" s="542"/>
      <c r="FD523" s="542"/>
      <c r="FE523" s="542"/>
      <c r="FF523" s="542"/>
      <c r="FG523" s="542"/>
      <c r="FH523" s="542"/>
      <c r="FI523" s="542"/>
      <c r="FJ523" s="542"/>
      <c r="FK523" s="542"/>
      <c r="FL523" s="542"/>
      <c r="FM523" s="542"/>
      <c r="FN523" s="542"/>
      <c r="FO523" s="542"/>
      <c r="FP523" s="542"/>
      <c r="FQ523" s="542"/>
      <c r="FR523" s="542"/>
      <c r="FS523" s="542"/>
      <c r="FT523" s="542"/>
      <c r="FU523" s="542"/>
      <c r="FV523" s="542"/>
      <c r="FW523" s="542"/>
      <c r="FX523" s="542"/>
      <c r="FY523" s="542"/>
      <c r="FZ523" s="542"/>
      <c r="GA523" s="542"/>
      <c r="GB523" s="542"/>
      <c r="GC523" s="542"/>
      <c r="GD523" s="542"/>
      <c r="GE523" s="542"/>
      <c r="GF523" s="542"/>
      <c r="GG523" s="542"/>
      <c r="GH523" s="542"/>
      <c r="GI523" s="542"/>
      <c r="GJ523" s="542"/>
      <c r="GK523" s="542"/>
      <c r="GL523" s="542"/>
      <c r="GM523" s="542"/>
      <c r="GN523" s="542"/>
      <c r="GO523" s="542"/>
      <c r="GP523" s="542"/>
      <c r="GQ523" s="542"/>
      <c r="GR523" s="542"/>
      <c r="GS523" s="542"/>
      <c r="GT523" s="542"/>
      <c r="GU523" s="542"/>
      <c r="GV523" s="542"/>
      <c r="GW523" s="542"/>
      <c r="GX523" s="542"/>
      <c r="GY523" s="542"/>
      <c r="GZ523" s="542"/>
      <c r="HA523" s="542"/>
      <c r="HB523" s="542"/>
      <c r="HC523" s="542"/>
      <c r="HD523" s="542"/>
      <c r="HE523" s="542"/>
      <c r="HF523" s="542"/>
      <c r="HG523" s="542"/>
      <c r="HH523" s="542"/>
      <c r="HI523" s="542"/>
      <c r="HJ523" s="542"/>
      <c r="HK523" s="542"/>
      <c r="HL523" s="542"/>
      <c r="HM523" s="542"/>
      <c r="HN523" s="542"/>
      <c r="HO523" s="542"/>
      <c r="HP523" s="542"/>
      <c r="HQ523" s="542"/>
      <c r="HR523" s="542"/>
      <c r="HS523" s="542"/>
      <c r="HT523" s="542"/>
      <c r="HU523" s="542"/>
      <c r="HV523" s="542"/>
      <c r="HW523" s="542"/>
      <c r="HX523" s="542"/>
      <c r="HY523" s="542"/>
      <c r="HZ523" s="542"/>
      <c r="IA523" s="542"/>
      <c r="IB523" s="542"/>
      <c r="IC523" s="542"/>
      <c r="ID523" s="542"/>
      <c r="IE523" s="542"/>
      <c r="IF523" s="542"/>
      <c r="IG523" s="542"/>
      <c r="IH523" s="542"/>
      <c r="II523" s="542"/>
      <c r="IJ523" s="542"/>
      <c r="IK523" s="542"/>
      <c r="IL523" s="542"/>
      <c r="IM523" s="542"/>
      <c r="IN523" s="542"/>
      <c r="IO523" s="542"/>
      <c r="IP523" s="542"/>
      <c r="IQ523" s="542"/>
      <c r="IR523" s="542"/>
      <c r="IS523" s="542"/>
      <c r="IT523" s="542"/>
      <c r="IU523" s="542"/>
      <c r="IV523" s="542"/>
      <c r="IW523" s="542"/>
      <c r="IX523" s="542"/>
      <c r="IY523" s="542"/>
      <c r="IZ523" s="542"/>
      <c r="JA523" s="542"/>
      <c r="JB523" s="542"/>
    </row>
  </sheetData>
  <autoFilter ref="A10:CX92" xr:uid="{00000000-0009-0000-0000-00000D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2" customWidth="1"/>
    <col min="2" max="2" width="3.453125" style="530" hidden="1" customWidth="1"/>
    <col min="3" max="3" width="8.81640625" style="530" customWidth="1"/>
    <col min="4" max="5" width="4.453125" style="530" hidden="1" customWidth="1"/>
    <col min="6" max="6" width="8.453125" style="530" hidden="1" customWidth="1"/>
    <col min="7" max="7" width="6.36328125" style="530" customWidth="1"/>
    <col min="8" max="10" width="4.453125" style="530" hidden="1" customWidth="1"/>
    <col min="11" max="11" width="5.08984375" style="530" hidden="1" customWidth="1"/>
    <col min="12" max="12" width="7.453125" style="530" customWidth="1"/>
    <col min="13" max="25" width="4.453125" style="530" hidden="1" customWidth="1"/>
    <col min="26" max="27" width="4.453125" style="530" customWidth="1"/>
    <col min="28" max="29" width="4.453125" style="530" hidden="1" customWidth="1"/>
    <col min="30" max="30" width="4.453125" style="530" customWidth="1"/>
    <col min="31" max="34" width="4.453125" style="531" hidden="1" customWidth="1"/>
    <col min="35" max="37" width="4.453125" style="530" hidden="1" customWidth="1"/>
    <col min="38" max="40" width="4.08984375" style="530" hidden="1" customWidth="1"/>
    <col min="41" max="41" width="4.08984375" style="530" customWidth="1"/>
    <col min="42" max="53" width="4.08984375" style="530" hidden="1" customWidth="1"/>
    <col min="54" max="54" width="4.36328125" style="530" customWidth="1"/>
    <col min="55" max="55" width="5.08984375" style="530" customWidth="1"/>
    <col min="56" max="56" width="4.36328125" style="530" customWidth="1"/>
    <col min="57" max="57" width="5.08984375" style="530" customWidth="1"/>
    <col min="58" max="58" width="4.90625" style="530" customWidth="1"/>
    <col min="59" max="59" width="5.1796875" style="530" customWidth="1"/>
    <col min="60" max="62" width="4.1796875" style="530" customWidth="1"/>
    <col min="63" max="63" width="3.90625" style="530" customWidth="1"/>
    <col min="64" max="65" width="4.453125" style="530" hidden="1" customWidth="1"/>
    <col min="66" max="66" width="12.36328125" style="532" customWidth="1"/>
    <col min="67" max="16384" width="8.90625" style="530"/>
  </cols>
  <sheetData>
    <row r="1" spans="1:209" ht="13.8"/>
    <row r="2" spans="1:209" s="538" customFormat="1" ht="17.399999999999999">
      <c r="A2" s="564" t="s">
        <v>3938</v>
      </c>
      <c r="B2" s="573"/>
      <c r="C2" s="533"/>
      <c r="D2" s="533"/>
      <c r="E2" s="533"/>
      <c r="F2" s="533"/>
      <c r="G2" s="533"/>
      <c r="H2" s="533"/>
      <c r="I2" s="533"/>
      <c r="J2" s="533"/>
      <c r="K2" s="533"/>
      <c r="L2" s="533"/>
      <c r="M2" s="533"/>
      <c r="N2" s="533"/>
      <c r="O2" s="533"/>
      <c r="P2" s="533"/>
      <c r="Q2" s="533"/>
      <c r="R2" s="533"/>
      <c r="S2" s="533"/>
      <c r="T2" s="533"/>
      <c r="U2" s="539"/>
      <c r="V2" s="533"/>
      <c r="W2" s="539"/>
      <c r="X2" s="533"/>
      <c r="Y2" s="533"/>
      <c r="Z2" s="533"/>
      <c r="AA2" s="533"/>
      <c r="AB2" s="533"/>
      <c r="AC2" s="533"/>
      <c r="AD2" s="533"/>
      <c r="AE2" s="536"/>
      <c r="AF2" s="536"/>
      <c r="AG2" s="536"/>
      <c r="AH2" s="536"/>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7"/>
    </row>
    <row r="3" spans="1:209" s="538" customFormat="1" ht="24.75" customHeight="1" thickBot="1">
      <c r="A3" s="574" t="str">
        <f>Solieu!C6&amp;Solieu!C7</f>
        <v>0004</v>
      </c>
      <c r="B3" s="539"/>
      <c r="C3" s="539"/>
      <c r="D3" s="539"/>
      <c r="E3" s="539"/>
      <c r="F3" s="539"/>
      <c r="G3" s="539"/>
      <c r="H3" s="539"/>
      <c r="I3" s="539"/>
      <c r="J3" s="539"/>
      <c r="K3" s="539"/>
      <c r="L3" s="539"/>
      <c r="M3" s="539"/>
      <c r="N3" s="539"/>
      <c r="O3" s="539"/>
      <c r="P3" s="539"/>
      <c r="Q3" s="539"/>
      <c r="R3" s="539"/>
      <c r="S3" s="539"/>
      <c r="T3" s="539"/>
      <c r="U3" s="575"/>
      <c r="V3" s="539"/>
      <c r="W3" s="575"/>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40"/>
    </row>
    <row r="4" spans="1:209" s="542" customFormat="1" ht="18" customHeight="1" thickTop="1">
      <c r="A4" s="3092" t="s">
        <v>3939</v>
      </c>
      <c r="B4" s="3086" t="s">
        <v>3940</v>
      </c>
      <c r="C4" s="3086" t="s">
        <v>3785</v>
      </c>
      <c r="D4" s="3037" t="s">
        <v>2025</v>
      </c>
      <c r="E4" s="3037" t="s">
        <v>507</v>
      </c>
      <c r="F4" s="3037" t="s">
        <v>505</v>
      </c>
      <c r="G4" s="3037" t="s">
        <v>830</v>
      </c>
      <c r="H4" s="3037" t="s">
        <v>506</v>
      </c>
      <c r="I4" s="3037" t="s">
        <v>1149</v>
      </c>
      <c r="J4" s="3037" t="s">
        <v>3793</v>
      </c>
      <c r="K4" s="3037" t="s">
        <v>3926</v>
      </c>
      <c r="L4" s="3073" t="s">
        <v>3941</v>
      </c>
      <c r="M4" s="3075" t="s">
        <v>2283</v>
      </c>
      <c r="N4" s="3047"/>
      <c r="O4" s="3047"/>
      <c r="P4" s="3047"/>
      <c r="Q4" s="3047"/>
      <c r="R4" s="3076" t="s">
        <v>3897</v>
      </c>
      <c r="S4" s="3077"/>
      <c r="T4" s="3077"/>
      <c r="U4" s="3077"/>
      <c r="V4" s="3077"/>
      <c r="W4" s="3077"/>
      <c r="X4" s="3077"/>
      <c r="Y4" s="3077"/>
      <c r="Z4" s="565" t="s">
        <v>2603</v>
      </c>
      <c r="AA4" s="576"/>
      <c r="AB4" s="576"/>
      <c r="AC4" s="577"/>
      <c r="AD4" s="3037" t="s">
        <v>3942</v>
      </c>
      <c r="AE4" s="3037" t="s">
        <v>2390</v>
      </c>
      <c r="AF4" s="3037" t="s">
        <v>2393</v>
      </c>
      <c r="AG4" s="3037" t="s">
        <v>2396</v>
      </c>
      <c r="AH4" s="3037" t="s">
        <v>2397</v>
      </c>
      <c r="AI4" s="3078" t="s">
        <v>3943</v>
      </c>
      <c r="AJ4" s="578" t="s">
        <v>2181</v>
      </c>
      <c r="AK4" s="579"/>
      <c r="AL4" s="3071" t="s">
        <v>3944</v>
      </c>
      <c r="AM4" s="3071" t="s">
        <v>3945</v>
      </c>
      <c r="AN4" s="3071" t="s">
        <v>3946</v>
      </c>
      <c r="AO4" s="3071" t="s">
        <v>3947</v>
      </c>
      <c r="AP4" s="3071" t="s">
        <v>3948</v>
      </c>
      <c r="AQ4" s="3071" t="s">
        <v>3949</v>
      </c>
      <c r="AR4" s="3080" t="s">
        <v>3950</v>
      </c>
      <c r="AS4" s="3081"/>
      <c r="AT4" s="3081"/>
      <c r="AU4" s="3081"/>
      <c r="AV4" s="3081"/>
      <c r="AW4" s="3082"/>
      <c r="AX4" s="3083" t="s">
        <v>3951</v>
      </c>
      <c r="AY4" s="3083"/>
      <c r="AZ4" s="3083"/>
      <c r="BA4" s="3083"/>
      <c r="BB4" s="566" t="s">
        <v>3952</v>
      </c>
      <c r="BC4" s="580"/>
      <c r="BD4" s="566"/>
      <c r="BE4" s="567" t="s">
        <v>2602</v>
      </c>
      <c r="BF4" s="580"/>
      <c r="BG4" s="566"/>
      <c r="BH4" s="3071" t="s">
        <v>3953</v>
      </c>
      <c r="BI4" s="3071" t="s">
        <v>3954</v>
      </c>
      <c r="BJ4" s="3071" t="s">
        <v>3955</v>
      </c>
      <c r="BK4" s="3071" t="s">
        <v>2859</v>
      </c>
      <c r="BL4" s="3086" t="s">
        <v>3956</v>
      </c>
      <c r="BM4" s="3086" t="s">
        <v>3957</v>
      </c>
      <c r="BN4" s="3084" t="s">
        <v>2607</v>
      </c>
    </row>
    <row r="5" spans="1:209" s="542" customFormat="1" ht="142.5" customHeight="1">
      <c r="A5" s="3093"/>
      <c r="B5" s="3034"/>
      <c r="C5" s="3034"/>
      <c r="D5" s="3038"/>
      <c r="E5" s="3038"/>
      <c r="F5" s="3038"/>
      <c r="G5" s="3038"/>
      <c r="H5" s="3038"/>
      <c r="I5" s="3038"/>
      <c r="J5" s="3038"/>
      <c r="K5" s="3038"/>
      <c r="L5" s="3074"/>
      <c r="M5" s="528" t="s">
        <v>318</v>
      </c>
      <c r="N5" s="528" t="s">
        <v>504</v>
      </c>
      <c r="O5" s="528" t="s">
        <v>233</v>
      </c>
      <c r="P5" s="528" t="s">
        <v>519</v>
      </c>
      <c r="Q5" s="528" t="s">
        <v>300</v>
      </c>
      <c r="R5" s="581" t="s">
        <v>87</v>
      </c>
      <c r="S5" s="581" t="s">
        <v>958</v>
      </c>
      <c r="T5" s="581" t="s">
        <v>2182</v>
      </c>
      <c r="U5" s="581" t="s">
        <v>234</v>
      </c>
      <c r="V5" s="568" t="s">
        <v>2321</v>
      </c>
      <c r="W5" s="568" t="s">
        <v>2319</v>
      </c>
      <c r="X5" s="581" t="s">
        <v>695</v>
      </c>
      <c r="Y5" s="582" t="s">
        <v>994</v>
      </c>
      <c r="Z5" s="568" t="s">
        <v>3958</v>
      </c>
      <c r="AA5" s="568" t="s">
        <v>3959</v>
      </c>
      <c r="AB5" s="568" t="s">
        <v>3960</v>
      </c>
      <c r="AC5" s="568" t="s">
        <v>3961</v>
      </c>
      <c r="AD5" s="3038"/>
      <c r="AE5" s="3038"/>
      <c r="AF5" s="3038"/>
      <c r="AG5" s="3038"/>
      <c r="AH5" s="3038"/>
      <c r="AI5" s="3079"/>
      <c r="AJ5" s="569" t="s">
        <v>3962</v>
      </c>
      <c r="AK5" s="569" t="s">
        <v>3963</v>
      </c>
      <c r="AL5" s="3058"/>
      <c r="AM5" s="3058"/>
      <c r="AN5" s="3058"/>
      <c r="AO5" s="3058"/>
      <c r="AP5" s="3058"/>
      <c r="AQ5" s="3058"/>
      <c r="AR5" s="570" t="s">
        <v>3964</v>
      </c>
      <c r="AS5" s="570" t="s">
        <v>3965</v>
      </c>
      <c r="AT5" s="570" t="s">
        <v>3966</v>
      </c>
      <c r="AU5" s="570" t="s">
        <v>3967</v>
      </c>
      <c r="AV5" s="570" t="s">
        <v>3968</v>
      </c>
      <c r="AW5" s="570" t="s">
        <v>3969</v>
      </c>
      <c r="AX5" s="570" t="s">
        <v>3970</v>
      </c>
      <c r="AY5" s="570" t="s">
        <v>3971</v>
      </c>
      <c r="AZ5" s="570" t="s">
        <v>3972</v>
      </c>
      <c r="BA5" s="570" t="s">
        <v>3973</v>
      </c>
      <c r="BB5" s="570" t="s">
        <v>3974</v>
      </c>
      <c r="BC5" s="570" t="s">
        <v>3975</v>
      </c>
      <c r="BD5" s="570" t="s">
        <v>3976</v>
      </c>
      <c r="BE5" s="570" t="s">
        <v>3977</v>
      </c>
      <c r="BF5" s="570" t="s">
        <v>3978</v>
      </c>
      <c r="BG5" s="570" t="s">
        <v>3979</v>
      </c>
      <c r="BH5" s="3058"/>
      <c r="BI5" s="3058"/>
      <c r="BJ5" s="3058"/>
      <c r="BK5" s="3058"/>
      <c r="BL5" s="3087"/>
      <c r="BM5" s="3087"/>
      <c r="BN5" s="3085"/>
    </row>
    <row r="6" spans="1:209" ht="18" customHeight="1">
      <c r="A6" s="583"/>
      <c r="B6" s="584"/>
      <c r="C6" s="584"/>
      <c r="D6" s="584"/>
      <c r="E6" s="584"/>
      <c r="F6" s="584"/>
      <c r="G6" s="584"/>
      <c r="H6" s="584"/>
      <c r="I6" s="584"/>
      <c r="J6" s="585"/>
      <c r="K6" s="585"/>
      <c r="L6" s="585"/>
      <c r="M6" s="585"/>
      <c r="N6" s="585"/>
      <c r="O6" s="585"/>
      <c r="P6" s="585"/>
      <c r="Q6" s="585"/>
      <c r="R6" s="585"/>
      <c r="S6" s="585"/>
      <c r="T6" s="585"/>
      <c r="U6" s="585"/>
      <c r="V6" s="585"/>
      <c r="W6" s="585"/>
      <c r="X6" s="585"/>
      <c r="Y6" s="585"/>
      <c r="Z6" s="585"/>
      <c r="AA6" s="585"/>
      <c r="AB6" s="585"/>
      <c r="AC6" s="585"/>
      <c r="AD6" s="585"/>
      <c r="AE6" s="585"/>
      <c r="AF6" s="585"/>
      <c r="AG6" s="585"/>
      <c r="AH6" s="585"/>
      <c r="AI6" s="585"/>
      <c r="AJ6" s="585"/>
      <c r="AK6" s="585"/>
      <c r="AL6" s="585"/>
      <c r="AM6" s="585"/>
      <c r="AN6" s="585"/>
      <c r="AO6" s="585"/>
      <c r="AP6" s="585"/>
      <c r="AQ6" s="585"/>
      <c r="AR6" s="585"/>
      <c r="AS6" s="585"/>
      <c r="AT6" s="585"/>
      <c r="AU6" s="585"/>
      <c r="AV6" s="585"/>
      <c r="AW6" s="585"/>
      <c r="AX6" s="585"/>
      <c r="AY6" s="585"/>
      <c r="AZ6" s="585"/>
      <c r="BA6" s="585"/>
      <c r="BB6" s="585"/>
      <c r="BC6" s="585"/>
      <c r="BD6" s="585"/>
      <c r="BE6" s="585"/>
      <c r="BF6" s="585"/>
      <c r="BG6" s="585"/>
      <c r="BH6" s="585"/>
      <c r="BI6" s="585"/>
      <c r="BJ6" s="585"/>
      <c r="BK6" s="585"/>
      <c r="BL6" s="585"/>
      <c r="BM6" s="585"/>
      <c r="BN6" s="586"/>
    </row>
    <row r="7" spans="1:209" s="590" customFormat="1" ht="18.899999999999999" customHeight="1">
      <c r="A7" s="571" t="s">
        <v>2604</v>
      </c>
      <c r="B7" s="546"/>
      <c r="C7" s="587"/>
      <c r="D7" s="587"/>
      <c r="E7" s="587"/>
      <c r="F7" s="587"/>
      <c r="G7" s="587"/>
      <c r="H7" s="546"/>
      <c r="I7" s="546"/>
      <c r="J7" s="546"/>
      <c r="K7" s="546"/>
      <c r="L7" s="588"/>
      <c r="M7" s="546"/>
      <c r="N7" s="546"/>
      <c r="O7" s="546"/>
      <c r="P7" s="546"/>
      <c r="Q7" s="546"/>
      <c r="R7" s="546"/>
      <c r="S7" s="546"/>
      <c r="T7" s="546"/>
      <c r="U7" s="546"/>
      <c r="V7" s="546"/>
      <c r="W7" s="546"/>
      <c r="X7" s="546"/>
      <c r="Y7" s="546"/>
      <c r="Z7" s="546"/>
      <c r="AA7" s="546"/>
      <c r="AB7" s="546"/>
      <c r="AC7" s="546"/>
      <c r="AD7" s="546"/>
      <c r="AE7" s="546"/>
      <c r="AF7" s="546"/>
      <c r="AG7" s="546"/>
      <c r="AH7" s="546"/>
      <c r="AI7" s="546"/>
      <c r="AJ7" s="546"/>
      <c r="AK7" s="546"/>
      <c r="AL7" s="546"/>
      <c r="AM7" s="546"/>
      <c r="AN7" s="546"/>
      <c r="AO7" s="546"/>
      <c r="AP7" s="546"/>
      <c r="AQ7" s="546"/>
      <c r="AR7" s="546"/>
      <c r="AS7" s="546"/>
      <c r="AT7" s="546"/>
      <c r="AU7" s="546"/>
      <c r="AV7" s="546"/>
      <c r="AW7" s="546"/>
      <c r="AX7" s="546"/>
      <c r="AY7" s="546"/>
      <c r="AZ7" s="546"/>
      <c r="BA7" s="546"/>
      <c r="BB7" s="72"/>
      <c r="BC7" s="546"/>
      <c r="BD7" s="546"/>
      <c r="BE7" s="71"/>
      <c r="BF7" s="546"/>
      <c r="BG7" s="546"/>
      <c r="BH7" s="546"/>
      <c r="BI7" s="546"/>
      <c r="BJ7" s="71"/>
      <c r="BK7" s="546"/>
      <c r="BL7" s="546"/>
      <c r="BM7" s="546"/>
      <c r="BN7" s="589"/>
    </row>
    <row r="8" spans="1:209" s="590" customFormat="1" ht="16.8">
      <c r="A8" s="591" t="s">
        <v>458</v>
      </c>
      <c r="B8" s="550"/>
      <c r="C8" s="75"/>
      <c r="D8" s="592"/>
      <c r="E8" s="592"/>
      <c r="F8" s="592">
        <f t="shared" ref="F8:F13" si="0">C8+F7</f>
        <v>0</v>
      </c>
      <c r="G8" s="593"/>
      <c r="H8" s="550"/>
      <c r="I8" s="550"/>
      <c r="J8" s="439"/>
      <c r="K8" s="439"/>
      <c r="L8" s="594" t="s">
        <v>974</v>
      </c>
      <c r="M8" s="595"/>
      <c r="N8" s="595"/>
      <c r="O8" s="595"/>
      <c r="P8" s="595"/>
      <c r="Q8" s="595"/>
      <c r="R8" s="595"/>
      <c r="S8" s="595"/>
      <c r="T8" s="595"/>
      <c r="U8" s="595"/>
      <c r="V8" s="595"/>
      <c r="W8" s="595"/>
      <c r="X8" s="595"/>
      <c r="Y8" s="595"/>
      <c r="Z8" s="595"/>
      <c r="AA8" s="595"/>
      <c r="AB8" s="595"/>
      <c r="AC8" s="595"/>
      <c r="AD8" s="595"/>
      <c r="AE8" s="595"/>
      <c r="AF8" s="595"/>
      <c r="AG8" s="595"/>
      <c r="AH8" s="595"/>
      <c r="AI8" s="595"/>
      <c r="AJ8" s="595"/>
      <c r="AK8" s="595"/>
      <c r="AL8" s="595"/>
      <c r="AM8" s="595"/>
      <c r="AN8" s="595"/>
      <c r="AO8" s="73"/>
      <c r="AP8" s="595"/>
      <c r="AQ8" s="595"/>
      <c r="AR8" s="595"/>
      <c r="AS8" s="595"/>
      <c r="AT8" s="595"/>
      <c r="AU8" s="595"/>
      <c r="AV8" s="595"/>
      <c r="AW8" s="595"/>
      <c r="AX8" s="595"/>
      <c r="AY8" s="595"/>
      <c r="AZ8" s="595"/>
      <c r="BA8" s="595"/>
      <c r="BB8" s="73"/>
      <c r="BC8" s="595"/>
      <c r="BD8" s="595"/>
      <c r="BE8" s="73"/>
      <c r="BF8" s="595"/>
      <c r="BG8" s="595"/>
      <c r="BH8" s="595"/>
      <c r="BI8" s="595"/>
      <c r="BJ8" s="73"/>
      <c r="BK8" s="73"/>
      <c r="BL8" s="595"/>
      <c r="BM8" s="595"/>
      <c r="BN8" s="596"/>
    </row>
    <row r="9" spans="1:209" s="590" customFormat="1" ht="18.899999999999999" customHeight="1">
      <c r="A9" s="591" t="s">
        <v>459</v>
      </c>
      <c r="B9" s="597"/>
      <c r="C9" s="598"/>
      <c r="D9" s="592"/>
      <c r="E9" s="592"/>
      <c r="F9" s="592">
        <f t="shared" si="0"/>
        <v>0</v>
      </c>
      <c r="G9" s="592">
        <f>C9+G8</f>
        <v>0</v>
      </c>
      <c r="H9" s="550"/>
      <c r="I9" s="550"/>
      <c r="J9" s="439"/>
      <c r="K9" s="439"/>
      <c r="L9" s="594" t="s">
        <v>501</v>
      </c>
      <c r="M9" s="595"/>
      <c r="N9" s="595"/>
      <c r="O9" s="595"/>
      <c r="P9" s="595"/>
      <c r="Q9" s="595"/>
      <c r="R9" s="595"/>
      <c r="S9" s="595"/>
      <c r="T9" s="595"/>
      <c r="U9" s="595"/>
      <c r="V9" s="595"/>
      <c r="W9" s="595"/>
      <c r="X9" s="595"/>
      <c r="Y9" s="595"/>
      <c r="Z9" s="595"/>
      <c r="AA9" s="75"/>
      <c r="AB9" s="595"/>
      <c r="AC9" s="595"/>
      <c r="AD9" s="595"/>
      <c r="AE9" s="595"/>
      <c r="AF9" s="595"/>
      <c r="AG9" s="595"/>
      <c r="AH9" s="595"/>
      <c r="AI9" s="595"/>
      <c r="AJ9" s="595"/>
      <c r="AK9" s="595"/>
      <c r="AL9" s="595"/>
      <c r="AM9" s="595"/>
      <c r="AN9" s="595"/>
      <c r="AO9" s="74"/>
      <c r="AP9" s="595"/>
      <c r="AQ9" s="595"/>
      <c r="AR9" s="595"/>
      <c r="AS9" s="595"/>
      <c r="AT9" s="595"/>
      <c r="AU9" s="595"/>
      <c r="AV9" s="595"/>
      <c r="AW9" s="595"/>
      <c r="AX9" s="595"/>
      <c r="AY9" s="595"/>
      <c r="AZ9" s="595"/>
      <c r="BA9" s="595"/>
      <c r="BB9" s="74"/>
      <c r="BC9" s="595"/>
      <c r="BD9" s="595"/>
      <c r="BE9" s="74"/>
      <c r="BF9" s="595"/>
      <c r="BG9" s="595"/>
      <c r="BH9" s="595"/>
      <c r="BI9" s="595"/>
      <c r="BJ9" s="74"/>
      <c r="BK9" s="74"/>
      <c r="BL9" s="595"/>
      <c r="BM9" s="595"/>
      <c r="BN9" s="596"/>
    </row>
    <row r="10" spans="1:209" s="590" customFormat="1" ht="16.8">
      <c r="A10" s="591" t="s">
        <v>460</v>
      </c>
      <c r="B10" s="550"/>
      <c r="C10" s="598"/>
      <c r="D10" s="592"/>
      <c r="E10" s="592"/>
      <c r="F10" s="592">
        <f t="shared" si="0"/>
        <v>0</v>
      </c>
      <c r="G10" s="592">
        <f t="shared" ref="G10:G16" si="1">C10+G9</f>
        <v>0</v>
      </c>
      <c r="H10" s="550"/>
      <c r="I10" s="550"/>
      <c r="J10" s="439"/>
      <c r="K10" s="439"/>
      <c r="L10" s="594" t="s">
        <v>501</v>
      </c>
      <c r="M10" s="595"/>
      <c r="N10" s="595"/>
      <c r="O10" s="595"/>
      <c r="P10" s="595"/>
      <c r="Q10" s="595"/>
      <c r="R10" s="595"/>
      <c r="S10" s="595"/>
      <c r="T10" s="595"/>
      <c r="U10" s="595"/>
      <c r="V10" s="595"/>
      <c r="W10" s="595"/>
      <c r="X10" s="595"/>
      <c r="Y10" s="595"/>
      <c r="Z10" s="595"/>
      <c r="AA10" s="75"/>
      <c r="AB10" s="595"/>
      <c r="AC10" s="595"/>
      <c r="AD10" s="595"/>
      <c r="AE10" s="595"/>
      <c r="AF10" s="595"/>
      <c r="AG10" s="595"/>
      <c r="AH10" s="595"/>
      <c r="AI10" s="595"/>
      <c r="AJ10" s="595"/>
      <c r="AK10" s="595"/>
      <c r="AL10" s="595"/>
      <c r="AM10" s="595"/>
      <c r="AN10" s="595"/>
      <c r="AO10" s="74"/>
      <c r="AP10" s="595"/>
      <c r="AQ10" s="595"/>
      <c r="AR10" s="595"/>
      <c r="AS10" s="595"/>
      <c r="AT10" s="595"/>
      <c r="AU10" s="595"/>
      <c r="AV10" s="595"/>
      <c r="AW10" s="595"/>
      <c r="AX10" s="595"/>
      <c r="AY10" s="595"/>
      <c r="AZ10" s="595"/>
      <c r="BA10" s="595"/>
      <c r="BB10" s="74"/>
      <c r="BC10" s="595"/>
      <c r="BD10" s="595"/>
      <c r="BE10" s="74"/>
      <c r="BF10" s="595"/>
      <c r="BG10" s="595"/>
      <c r="BH10" s="595"/>
      <c r="BI10" s="595"/>
      <c r="BJ10" s="74"/>
      <c r="BK10" s="74"/>
      <c r="BL10" s="595"/>
      <c r="BM10" s="595"/>
      <c r="BN10" s="596"/>
    </row>
    <row r="11" spans="1:209" s="590" customFormat="1" ht="18.899999999999999" customHeight="1">
      <c r="A11" s="591" t="s">
        <v>461</v>
      </c>
      <c r="B11" s="550"/>
      <c r="C11" s="598"/>
      <c r="D11" s="592"/>
      <c r="E11" s="592"/>
      <c r="F11" s="592">
        <f t="shared" si="0"/>
        <v>0</v>
      </c>
      <c r="G11" s="592">
        <f t="shared" si="1"/>
        <v>0</v>
      </c>
      <c r="H11" s="550"/>
      <c r="I11" s="550"/>
      <c r="J11" s="439"/>
      <c r="K11" s="439"/>
      <c r="L11" s="594" t="s">
        <v>501</v>
      </c>
      <c r="M11" s="595"/>
      <c r="N11" s="595"/>
      <c r="O11" s="595"/>
      <c r="P11" s="595"/>
      <c r="Q11" s="595"/>
      <c r="R11" s="595"/>
      <c r="S11" s="595"/>
      <c r="T11" s="595"/>
      <c r="U11" s="595"/>
      <c r="V11" s="595"/>
      <c r="W11" s="595"/>
      <c r="X11" s="595"/>
      <c r="Y11" s="595"/>
      <c r="Z11" s="595"/>
      <c r="AA11" s="75"/>
      <c r="AB11" s="595"/>
      <c r="AC11" s="595"/>
      <c r="AD11" s="595"/>
      <c r="AE11" s="595"/>
      <c r="AF11" s="595"/>
      <c r="AG11" s="595"/>
      <c r="AH11" s="595"/>
      <c r="AI11" s="595"/>
      <c r="AJ11" s="595"/>
      <c r="AK11" s="595"/>
      <c r="AL11" s="595"/>
      <c r="AM11" s="595"/>
      <c r="AN11" s="595"/>
      <c r="AO11" s="74"/>
      <c r="AP11" s="595"/>
      <c r="AQ11" s="595"/>
      <c r="AR11" s="595"/>
      <c r="AS11" s="595"/>
      <c r="AT11" s="595"/>
      <c r="AU11" s="595"/>
      <c r="AV11" s="595"/>
      <c r="AW11" s="595"/>
      <c r="AX11" s="595"/>
      <c r="AY11" s="595"/>
      <c r="AZ11" s="595"/>
      <c r="BA11" s="595"/>
      <c r="BB11" s="74"/>
      <c r="BC11" s="595"/>
      <c r="BD11" s="595"/>
      <c r="BE11" s="74"/>
      <c r="BF11" s="595"/>
      <c r="BG11" s="595"/>
      <c r="BH11" s="595"/>
      <c r="BI11" s="595"/>
      <c r="BJ11" s="74"/>
      <c r="BK11" s="74"/>
      <c r="BL11" s="595"/>
      <c r="BM11" s="595"/>
      <c r="BN11" s="596"/>
      <c r="GJ11" s="599"/>
      <c r="GK11" s="599"/>
      <c r="GL11" s="599"/>
      <c r="GM11" s="599"/>
      <c r="GN11" s="599"/>
      <c r="GO11" s="599"/>
      <c r="GP11" s="599"/>
      <c r="GQ11" s="599"/>
      <c r="GR11" s="599"/>
      <c r="GS11" s="599"/>
      <c r="GT11" s="599"/>
      <c r="GU11" s="599"/>
      <c r="GV11" s="599"/>
      <c r="GW11" s="599"/>
      <c r="GX11" s="599"/>
      <c r="GY11" s="599"/>
      <c r="GZ11" s="599"/>
      <c r="HA11" s="599"/>
    </row>
    <row r="12" spans="1:209" s="590" customFormat="1" ht="18.899999999999999" customHeight="1">
      <c r="A12" s="591" t="s">
        <v>462</v>
      </c>
      <c r="B12" s="550"/>
      <c r="C12" s="598"/>
      <c r="D12" s="592"/>
      <c r="E12" s="592"/>
      <c r="F12" s="592">
        <f t="shared" si="0"/>
        <v>0</v>
      </c>
      <c r="G12" s="592">
        <f t="shared" si="1"/>
        <v>0</v>
      </c>
      <c r="H12" s="550"/>
      <c r="I12" s="550"/>
      <c r="J12" s="439"/>
      <c r="K12" s="439"/>
      <c r="L12" s="594" t="s">
        <v>405</v>
      </c>
      <c r="M12" s="595"/>
      <c r="N12" s="595"/>
      <c r="O12" s="595"/>
      <c r="P12" s="595"/>
      <c r="Q12" s="595"/>
      <c r="R12" s="595"/>
      <c r="S12" s="595"/>
      <c r="T12" s="595"/>
      <c r="U12" s="595"/>
      <c r="V12" s="595"/>
      <c r="W12" s="595"/>
      <c r="X12" s="595"/>
      <c r="Y12" s="595"/>
      <c r="Z12" s="595"/>
      <c r="AA12" s="75"/>
      <c r="AB12" s="595"/>
      <c r="AC12" s="595"/>
      <c r="AD12" s="595"/>
      <c r="AE12" s="595"/>
      <c r="AF12" s="595"/>
      <c r="AG12" s="595"/>
      <c r="AH12" s="595"/>
      <c r="AI12" s="595"/>
      <c r="AJ12" s="595"/>
      <c r="AK12" s="595"/>
      <c r="AL12" s="595"/>
      <c r="AM12" s="595"/>
      <c r="AN12" s="595"/>
      <c r="AO12" s="74"/>
      <c r="AP12" s="595"/>
      <c r="AQ12" s="595"/>
      <c r="AR12" s="595"/>
      <c r="AS12" s="595"/>
      <c r="AT12" s="595"/>
      <c r="AU12" s="595"/>
      <c r="AV12" s="595"/>
      <c r="AW12" s="595"/>
      <c r="AX12" s="595"/>
      <c r="AY12" s="595"/>
      <c r="AZ12" s="595"/>
      <c r="BA12" s="595"/>
      <c r="BB12" s="74"/>
      <c r="BC12" s="595"/>
      <c r="BD12" s="595"/>
      <c r="BE12" s="74"/>
      <c r="BF12" s="595"/>
      <c r="BG12" s="595"/>
      <c r="BH12" s="595"/>
      <c r="BI12" s="595"/>
      <c r="BJ12" s="74"/>
      <c r="BK12" s="74"/>
      <c r="BL12" s="595"/>
      <c r="BM12" s="595"/>
      <c r="BN12" s="596"/>
    </row>
    <row r="13" spans="1:209" s="590" customFormat="1" ht="18.899999999999999" customHeight="1">
      <c r="A13" s="591" t="s">
        <v>463</v>
      </c>
      <c r="B13" s="550"/>
      <c r="C13" s="598"/>
      <c r="D13" s="592"/>
      <c r="E13" s="592"/>
      <c r="F13" s="592">
        <f t="shared" si="0"/>
        <v>0</v>
      </c>
      <c r="G13" s="592">
        <f t="shared" si="1"/>
        <v>0</v>
      </c>
      <c r="H13" s="550"/>
      <c r="I13" s="550"/>
      <c r="J13" s="439"/>
      <c r="K13" s="439"/>
      <c r="L13" s="594" t="s">
        <v>405</v>
      </c>
      <c r="M13" s="595"/>
      <c r="N13" s="595"/>
      <c r="O13" s="595"/>
      <c r="P13" s="595"/>
      <c r="Q13" s="595"/>
      <c r="R13" s="595"/>
      <c r="S13" s="595"/>
      <c r="T13" s="595"/>
      <c r="U13" s="595"/>
      <c r="V13" s="595"/>
      <c r="W13" s="595"/>
      <c r="X13" s="595"/>
      <c r="Y13" s="595"/>
      <c r="Z13" s="595"/>
      <c r="AA13" s="75"/>
      <c r="AB13" s="595"/>
      <c r="AC13" s="595"/>
      <c r="AD13" s="595"/>
      <c r="AE13" s="595"/>
      <c r="AF13" s="595"/>
      <c r="AG13" s="595"/>
      <c r="AH13" s="595"/>
      <c r="AI13" s="595"/>
      <c r="AJ13" s="595"/>
      <c r="AK13" s="595"/>
      <c r="AL13" s="595"/>
      <c r="AM13" s="595"/>
      <c r="AN13" s="595"/>
      <c r="AO13" s="74"/>
      <c r="AP13" s="595"/>
      <c r="AQ13" s="595"/>
      <c r="AR13" s="595"/>
      <c r="AS13" s="595"/>
      <c r="AT13" s="595"/>
      <c r="AU13" s="595"/>
      <c r="AV13" s="595"/>
      <c r="AW13" s="595"/>
      <c r="AX13" s="595"/>
      <c r="AY13" s="595"/>
      <c r="AZ13" s="595"/>
      <c r="BA13" s="595"/>
      <c r="BB13" s="74"/>
      <c r="BC13" s="595"/>
      <c r="BD13" s="595"/>
      <c r="BE13" s="74"/>
      <c r="BF13" s="595"/>
      <c r="BG13" s="595"/>
      <c r="BH13" s="595"/>
      <c r="BI13" s="595"/>
      <c r="BJ13" s="74"/>
      <c r="BK13" s="74"/>
      <c r="BL13" s="595"/>
      <c r="BM13" s="595"/>
      <c r="BN13" s="596"/>
    </row>
    <row r="14" spans="1:209" s="590" customFormat="1" ht="16.8">
      <c r="A14" s="591" t="s">
        <v>464</v>
      </c>
      <c r="B14" s="550"/>
      <c r="C14" s="598"/>
      <c r="D14" s="592"/>
      <c r="E14" s="592"/>
      <c r="F14" s="592">
        <f t="shared" ref="F14:F34" si="2">C14+F13</f>
        <v>0</v>
      </c>
      <c r="G14" s="592">
        <f t="shared" si="1"/>
        <v>0</v>
      </c>
      <c r="H14" s="550"/>
      <c r="I14" s="550"/>
      <c r="J14" s="439"/>
      <c r="K14" s="439"/>
      <c r="L14" s="594" t="s">
        <v>1107</v>
      </c>
      <c r="M14" s="595"/>
      <c r="N14" s="595"/>
      <c r="O14" s="595"/>
      <c r="P14" s="595"/>
      <c r="Q14" s="595"/>
      <c r="R14" s="595"/>
      <c r="S14" s="595"/>
      <c r="T14" s="595"/>
      <c r="U14" s="595"/>
      <c r="V14" s="595"/>
      <c r="W14" s="595"/>
      <c r="X14" s="595"/>
      <c r="Y14" s="595"/>
      <c r="Z14" s="595"/>
      <c r="AA14" s="75"/>
      <c r="AB14" s="595"/>
      <c r="AC14" s="595"/>
      <c r="AD14" s="595"/>
      <c r="AE14" s="595"/>
      <c r="AF14" s="595"/>
      <c r="AG14" s="595"/>
      <c r="AH14" s="595"/>
      <c r="AI14" s="595"/>
      <c r="AJ14" s="595"/>
      <c r="AK14" s="595"/>
      <c r="AL14" s="595"/>
      <c r="AM14" s="595"/>
      <c r="AN14" s="595"/>
      <c r="AO14" s="74"/>
      <c r="AP14" s="595"/>
      <c r="AQ14" s="595"/>
      <c r="AR14" s="595"/>
      <c r="AS14" s="595"/>
      <c r="AT14" s="595"/>
      <c r="AU14" s="595"/>
      <c r="AV14" s="595"/>
      <c r="AW14" s="595"/>
      <c r="AX14" s="595"/>
      <c r="AY14" s="595"/>
      <c r="AZ14" s="595"/>
      <c r="BA14" s="595"/>
      <c r="BB14" s="74"/>
      <c r="BC14" s="595"/>
      <c r="BD14" s="595"/>
      <c r="BE14" s="74"/>
      <c r="BF14" s="595"/>
      <c r="BG14" s="595"/>
      <c r="BH14" s="595"/>
      <c r="BI14" s="595"/>
      <c r="BJ14" s="74"/>
      <c r="BK14" s="74"/>
      <c r="BL14" s="595"/>
      <c r="BM14" s="595"/>
      <c r="BN14" s="596"/>
    </row>
    <row r="15" spans="1:209" s="590" customFormat="1" ht="18.899999999999999" customHeight="1">
      <c r="A15" s="591">
        <v>15</v>
      </c>
      <c r="B15" s="550"/>
      <c r="C15" s="598"/>
      <c r="D15" s="592"/>
      <c r="E15" s="592"/>
      <c r="F15" s="592">
        <f t="shared" si="2"/>
        <v>0</v>
      </c>
      <c r="G15" s="592">
        <f t="shared" si="1"/>
        <v>0</v>
      </c>
      <c r="H15" s="550"/>
      <c r="I15" s="550"/>
      <c r="J15" s="439"/>
      <c r="K15" s="439"/>
      <c r="L15" s="594" t="s">
        <v>405</v>
      </c>
      <c r="M15" s="595"/>
      <c r="N15" s="595"/>
      <c r="O15" s="595"/>
      <c r="P15" s="595"/>
      <c r="Q15" s="595"/>
      <c r="R15" s="595"/>
      <c r="S15" s="595"/>
      <c r="T15" s="595"/>
      <c r="U15" s="595"/>
      <c r="V15" s="595"/>
      <c r="W15" s="595"/>
      <c r="X15" s="595"/>
      <c r="Y15" s="595"/>
      <c r="Z15" s="595"/>
      <c r="AA15" s="75"/>
      <c r="AB15" s="595"/>
      <c r="AC15" s="595"/>
      <c r="AD15" s="595"/>
      <c r="AE15" s="595"/>
      <c r="AF15" s="595"/>
      <c r="AG15" s="595"/>
      <c r="AH15" s="595"/>
      <c r="AI15" s="595"/>
      <c r="AJ15" s="595"/>
      <c r="AK15" s="595"/>
      <c r="AL15" s="595"/>
      <c r="AM15" s="595"/>
      <c r="AN15" s="595"/>
      <c r="AO15" s="74"/>
      <c r="AP15" s="595"/>
      <c r="AQ15" s="595"/>
      <c r="AR15" s="595"/>
      <c r="AS15" s="595"/>
      <c r="AT15" s="595"/>
      <c r="AU15" s="595"/>
      <c r="AV15" s="595"/>
      <c r="AW15" s="595"/>
      <c r="AX15" s="595"/>
      <c r="AY15" s="595"/>
      <c r="AZ15" s="595"/>
      <c r="BA15" s="595"/>
      <c r="BB15" s="74"/>
      <c r="BC15" s="595"/>
      <c r="BD15" s="595"/>
      <c r="BE15" s="74"/>
      <c r="BF15" s="595"/>
      <c r="BG15" s="595"/>
      <c r="BH15" s="595"/>
      <c r="BI15" s="595"/>
      <c r="BJ15" s="74"/>
      <c r="BK15" s="74"/>
      <c r="BL15" s="595"/>
      <c r="BM15" s="595"/>
      <c r="BN15" s="596"/>
      <c r="GJ15" s="599"/>
      <c r="GK15" s="599"/>
      <c r="GL15" s="599"/>
      <c r="GM15" s="599"/>
      <c r="GN15" s="599"/>
      <c r="GO15" s="599"/>
      <c r="GP15" s="599"/>
      <c r="GQ15" s="599"/>
      <c r="GR15" s="599"/>
      <c r="GS15" s="599"/>
      <c r="GT15" s="599"/>
      <c r="GU15" s="599"/>
      <c r="GV15" s="599"/>
      <c r="GW15" s="599"/>
      <c r="GX15" s="599"/>
      <c r="GY15" s="599"/>
      <c r="GZ15" s="599"/>
      <c r="HA15" s="599"/>
    </row>
    <row r="16" spans="1:209" s="590" customFormat="1" ht="18.899999999999999" customHeight="1">
      <c r="A16" s="591">
        <v>16</v>
      </c>
      <c r="B16" s="550"/>
      <c r="C16" s="598"/>
      <c r="D16" s="592"/>
      <c r="E16" s="592"/>
      <c r="F16" s="592">
        <f t="shared" si="2"/>
        <v>0</v>
      </c>
      <c r="G16" s="592">
        <f t="shared" si="1"/>
        <v>0</v>
      </c>
      <c r="H16" s="550"/>
      <c r="I16" s="550"/>
      <c r="J16" s="439"/>
      <c r="K16" s="439"/>
      <c r="L16" s="594" t="s">
        <v>1107</v>
      </c>
      <c r="M16" s="595"/>
      <c r="N16" s="595"/>
      <c r="O16" s="595"/>
      <c r="P16" s="595"/>
      <c r="Q16" s="595"/>
      <c r="R16" s="595"/>
      <c r="S16" s="595"/>
      <c r="T16" s="595"/>
      <c r="U16" s="595"/>
      <c r="V16" s="595"/>
      <c r="W16" s="595"/>
      <c r="X16" s="595"/>
      <c r="Y16" s="595"/>
      <c r="Z16" s="595"/>
      <c r="AA16" s="75"/>
      <c r="AB16" s="595"/>
      <c r="AC16" s="595"/>
      <c r="AD16" s="595"/>
      <c r="AE16" s="595"/>
      <c r="AF16" s="595"/>
      <c r="AG16" s="595"/>
      <c r="AH16" s="595"/>
      <c r="AI16" s="595"/>
      <c r="AJ16" s="595"/>
      <c r="AK16" s="595"/>
      <c r="AL16" s="595"/>
      <c r="AM16" s="595"/>
      <c r="AN16" s="595"/>
      <c r="AO16" s="74"/>
      <c r="AP16" s="595"/>
      <c r="AQ16" s="595"/>
      <c r="AR16" s="595"/>
      <c r="AS16" s="595"/>
      <c r="AT16" s="595"/>
      <c r="AU16" s="595"/>
      <c r="AV16" s="595"/>
      <c r="AW16" s="595"/>
      <c r="AX16" s="595"/>
      <c r="AY16" s="595"/>
      <c r="AZ16" s="595"/>
      <c r="BA16" s="595"/>
      <c r="BB16" s="74"/>
      <c r="BC16" s="595"/>
      <c r="BD16" s="595"/>
      <c r="BE16" s="74"/>
      <c r="BF16" s="595"/>
      <c r="BG16" s="595"/>
      <c r="BH16" s="595"/>
      <c r="BI16" s="595"/>
      <c r="BJ16" s="74"/>
      <c r="BK16" s="74"/>
      <c r="BL16" s="595"/>
      <c r="BM16" s="595"/>
      <c r="BN16" s="596"/>
    </row>
    <row r="17" spans="1:209" s="610" customFormat="1" ht="18.899999999999999" customHeight="1">
      <c r="A17" s="600">
        <v>15</v>
      </c>
      <c r="B17" s="601"/>
      <c r="C17" s="602"/>
      <c r="D17" s="603"/>
      <c r="E17" s="603"/>
      <c r="F17" s="603">
        <f t="shared" si="2"/>
        <v>0</v>
      </c>
      <c r="G17" s="604"/>
      <c r="H17" s="601"/>
      <c r="I17" s="601"/>
      <c r="J17" s="605"/>
      <c r="K17" s="605"/>
      <c r="L17" s="605" t="s">
        <v>405</v>
      </c>
      <c r="M17" s="606"/>
      <c r="N17" s="606"/>
      <c r="O17" s="606"/>
      <c r="P17" s="606"/>
      <c r="Q17" s="606"/>
      <c r="R17" s="606"/>
      <c r="S17" s="606"/>
      <c r="T17" s="606"/>
      <c r="U17" s="606"/>
      <c r="V17" s="606"/>
      <c r="W17" s="606"/>
      <c r="X17" s="606"/>
      <c r="Y17" s="606"/>
      <c r="Z17" s="606"/>
      <c r="AA17" s="607"/>
      <c r="AB17" s="606"/>
      <c r="AC17" s="606"/>
      <c r="AD17" s="606"/>
      <c r="AE17" s="606"/>
      <c r="AF17" s="606"/>
      <c r="AG17" s="606"/>
      <c r="AH17" s="606"/>
      <c r="AI17" s="606"/>
      <c r="AJ17" s="606"/>
      <c r="AK17" s="606"/>
      <c r="AL17" s="606"/>
      <c r="AM17" s="606"/>
      <c r="AN17" s="606"/>
      <c r="AO17" s="608"/>
      <c r="AP17" s="606"/>
      <c r="AQ17" s="606"/>
      <c r="AR17" s="606"/>
      <c r="AS17" s="606"/>
      <c r="AT17" s="606"/>
      <c r="AU17" s="606"/>
      <c r="AV17" s="606"/>
      <c r="AW17" s="606"/>
      <c r="AX17" s="606"/>
      <c r="AY17" s="606"/>
      <c r="AZ17" s="606"/>
      <c r="BA17" s="606"/>
      <c r="BB17" s="608"/>
      <c r="BC17" s="606"/>
      <c r="BD17" s="606"/>
      <c r="BE17" s="608"/>
      <c r="BF17" s="606"/>
      <c r="BG17" s="606"/>
      <c r="BH17" s="606"/>
      <c r="BI17" s="606"/>
      <c r="BJ17" s="608"/>
      <c r="BK17" s="608"/>
      <c r="BL17" s="606"/>
      <c r="BM17" s="606"/>
      <c r="BN17" s="609"/>
    </row>
    <row r="18" spans="1:209" s="590" customFormat="1" ht="16.8">
      <c r="A18" s="591">
        <v>14</v>
      </c>
      <c r="B18" s="550"/>
      <c r="C18" s="598"/>
      <c r="D18" s="592"/>
      <c r="E18" s="592"/>
      <c r="F18" s="592">
        <f t="shared" si="2"/>
        <v>0</v>
      </c>
      <c r="G18" s="592">
        <f>C18+G16</f>
        <v>0</v>
      </c>
      <c r="H18" s="550"/>
      <c r="I18" s="550"/>
      <c r="J18" s="439"/>
      <c r="K18" s="439"/>
      <c r="L18" s="611" t="s">
        <v>405</v>
      </c>
      <c r="M18" s="595"/>
      <c r="N18" s="595"/>
      <c r="O18" s="595"/>
      <c r="P18" s="595"/>
      <c r="Q18" s="595"/>
      <c r="R18" s="595"/>
      <c r="S18" s="595"/>
      <c r="T18" s="595"/>
      <c r="U18" s="595"/>
      <c r="V18" s="595"/>
      <c r="W18" s="595"/>
      <c r="X18" s="595"/>
      <c r="Y18" s="595"/>
      <c r="Z18" s="595"/>
      <c r="AA18" s="75"/>
      <c r="AB18" s="595"/>
      <c r="AC18" s="595"/>
      <c r="AD18" s="595"/>
      <c r="AE18" s="595"/>
      <c r="AF18" s="595"/>
      <c r="AG18" s="595"/>
      <c r="AH18" s="595"/>
      <c r="AI18" s="595"/>
      <c r="AJ18" s="595"/>
      <c r="AK18" s="595"/>
      <c r="AL18" s="595"/>
      <c r="AM18" s="595"/>
      <c r="AN18" s="595"/>
      <c r="AO18" s="74"/>
      <c r="AP18" s="595"/>
      <c r="AQ18" s="595"/>
      <c r="AR18" s="595"/>
      <c r="AS18" s="595"/>
      <c r="AT18" s="595"/>
      <c r="AU18" s="595"/>
      <c r="AV18" s="595"/>
      <c r="AW18" s="595"/>
      <c r="AX18" s="595"/>
      <c r="AY18" s="595"/>
      <c r="AZ18" s="595"/>
      <c r="BA18" s="595"/>
      <c r="BB18" s="74"/>
      <c r="BC18" s="595"/>
      <c r="BD18" s="595"/>
      <c r="BE18" s="74"/>
      <c r="BF18" s="595"/>
      <c r="BG18" s="595"/>
      <c r="BH18" s="595"/>
      <c r="BI18" s="595"/>
      <c r="BJ18" s="74"/>
      <c r="BK18" s="74"/>
      <c r="BL18" s="595"/>
      <c r="BM18" s="595"/>
      <c r="BN18" s="596"/>
    </row>
    <row r="19" spans="1:209" s="590" customFormat="1" ht="18.899999999999999" customHeight="1">
      <c r="A19" s="591">
        <v>12</v>
      </c>
      <c r="B19" s="550"/>
      <c r="C19" s="598"/>
      <c r="D19" s="592"/>
      <c r="E19" s="592"/>
      <c r="F19" s="592">
        <f t="shared" si="2"/>
        <v>0</v>
      </c>
      <c r="G19" s="592">
        <f t="shared" ref="G19:G34" si="3">C19+G18</f>
        <v>0</v>
      </c>
      <c r="H19" s="550"/>
      <c r="I19" s="550"/>
      <c r="J19" s="439"/>
      <c r="K19" s="439"/>
      <c r="L19" s="611" t="s">
        <v>658</v>
      </c>
      <c r="M19" s="595"/>
      <c r="N19" s="595"/>
      <c r="O19" s="595"/>
      <c r="P19" s="595"/>
      <c r="Q19" s="595"/>
      <c r="R19" s="595"/>
      <c r="S19" s="595"/>
      <c r="T19" s="595"/>
      <c r="U19" s="595"/>
      <c r="V19" s="595"/>
      <c r="W19" s="595"/>
      <c r="X19" s="595"/>
      <c r="Y19" s="595"/>
      <c r="Z19" s="595"/>
      <c r="AA19" s="75"/>
      <c r="AB19" s="595"/>
      <c r="AC19" s="595"/>
      <c r="AD19" s="595"/>
      <c r="AE19" s="595"/>
      <c r="AF19" s="595"/>
      <c r="AG19" s="595"/>
      <c r="AH19" s="595"/>
      <c r="AI19" s="595"/>
      <c r="AJ19" s="595"/>
      <c r="AK19" s="595"/>
      <c r="AL19" s="595"/>
      <c r="AM19" s="595"/>
      <c r="AN19" s="595"/>
      <c r="AO19" s="74"/>
      <c r="AP19" s="595"/>
      <c r="AQ19" s="595"/>
      <c r="AR19" s="595"/>
      <c r="AS19" s="595"/>
      <c r="AT19" s="595"/>
      <c r="AU19" s="595"/>
      <c r="AV19" s="595"/>
      <c r="AW19" s="595"/>
      <c r="AX19" s="595"/>
      <c r="AY19" s="595"/>
      <c r="AZ19" s="595"/>
      <c r="BA19" s="595"/>
      <c r="BB19" s="74"/>
      <c r="BC19" s="595"/>
      <c r="BD19" s="595"/>
      <c r="BE19" s="74"/>
      <c r="BF19" s="595"/>
      <c r="BG19" s="595"/>
      <c r="BH19" s="595"/>
      <c r="BI19" s="595"/>
      <c r="BJ19" s="74"/>
      <c r="BK19" s="74"/>
      <c r="BL19" s="595"/>
      <c r="BM19" s="595"/>
      <c r="BN19" s="596"/>
      <c r="GJ19" s="599"/>
      <c r="GK19" s="599"/>
      <c r="GL19" s="599"/>
      <c r="GM19" s="599"/>
      <c r="GN19" s="599"/>
      <c r="GO19" s="599"/>
      <c r="GP19" s="599"/>
      <c r="GQ19" s="599"/>
      <c r="GR19" s="599"/>
      <c r="GS19" s="599"/>
      <c r="GT19" s="599"/>
      <c r="GU19" s="599"/>
      <c r="GV19" s="599"/>
      <c r="GW19" s="599"/>
      <c r="GX19" s="599"/>
      <c r="GY19" s="599"/>
      <c r="GZ19" s="599"/>
      <c r="HA19" s="599"/>
    </row>
    <row r="20" spans="1:209" s="590" customFormat="1" ht="18.899999999999999" customHeight="1">
      <c r="A20" s="591">
        <v>11</v>
      </c>
      <c r="B20" s="550"/>
      <c r="C20" s="598"/>
      <c r="D20" s="592"/>
      <c r="E20" s="592"/>
      <c r="F20" s="592">
        <f t="shared" si="2"/>
        <v>0</v>
      </c>
      <c r="G20" s="592">
        <f t="shared" si="3"/>
        <v>0</v>
      </c>
      <c r="H20" s="550"/>
      <c r="I20" s="550"/>
      <c r="J20" s="439"/>
      <c r="K20" s="439"/>
      <c r="L20" s="611" t="s">
        <v>405</v>
      </c>
      <c r="M20" s="595"/>
      <c r="N20" s="595"/>
      <c r="O20" s="595"/>
      <c r="P20" s="595"/>
      <c r="Q20" s="595"/>
      <c r="R20" s="595"/>
      <c r="S20" s="595"/>
      <c r="T20" s="595"/>
      <c r="U20" s="595"/>
      <c r="V20" s="595"/>
      <c r="W20" s="595"/>
      <c r="X20" s="595"/>
      <c r="Y20" s="595"/>
      <c r="Z20" s="595"/>
      <c r="AA20" s="75"/>
      <c r="AB20" s="595"/>
      <c r="AC20" s="595"/>
      <c r="AD20" s="595"/>
      <c r="AE20" s="595"/>
      <c r="AF20" s="595"/>
      <c r="AG20" s="595"/>
      <c r="AH20" s="595"/>
      <c r="AI20" s="595"/>
      <c r="AJ20" s="595"/>
      <c r="AK20" s="595"/>
      <c r="AL20" s="595"/>
      <c r="AM20" s="595"/>
      <c r="AN20" s="595"/>
      <c r="AO20" s="74"/>
      <c r="AP20" s="595"/>
      <c r="AQ20" s="595"/>
      <c r="AR20" s="595"/>
      <c r="AS20" s="595"/>
      <c r="AT20" s="595"/>
      <c r="AU20" s="595"/>
      <c r="AV20" s="595"/>
      <c r="AW20" s="595"/>
      <c r="AX20" s="595"/>
      <c r="AY20" s="595"/>
      <c r="AZ20" s="595"/>
      <c r="BA20" s="595"/>
      <c r="BB20" s="74"/>
      <c r="BC20" s="595"/>
      <c r="BD20" s="595"/>
      <c r="BE20" s="74"/>
      <c r="BF20" s="595"/>
      <c r="BG20" s="595"/>
      <c r="BH20" s="595"/>
      <c r="BI20" s="595"/>
      <c r="BJ20" s="74"/>
      <c r="BK20" s="74"/>
      <c r="BL20" s="595"/>
      <c r="BM20" s="595"/>
      <c r="BN20" s="596"/>
    </row>
    <row r="21" spans="1:209" s="590" customFormat="1" ht="18.899999999999999" customHeight="1">
      <c r="A21" s="591">
        <v>10</v>
      </c>
      <c r="B21" s="550"/>
      <c r="C21" s="598"/>
      <c r="D21" s="592"/>
      <c r="E21" s="592"/>
      <c r="F21" s="592">
        <f t="shared" si="2"/>
        <v>0</v>
      </c>
      <c r="G21" s="592">
        <f t="shared" si="3"/>
        <v>0</v>
      </c>
      <c r="H21" s="550"/>
      <c r="I21" s="550"/>
      <c r="J21" s="439"/>
      <c r="K21" s="439"/>
      <c r="L21" s="611" t="s">
        <v>501</v>
      </c>
      <c r="M21" s="595"/>
      <c r="N21" s="595"/>
      <c r="O21" s="595"/>
      <c r="P21" s="595"/>
      <c r="Q21" s="595"/>
      <c r="R21" s="595"/>
      <c r="S21" s="595"/>
      <c r="T21" s="595"/>
      <c r="U21" s="595"/>
      <c r="V21" s="595"/>
      <c r="W21" s="595"/>
      <c r="X21" s="595"/>
      <c r="Y21" s="595"/>
      <c r="Z21" s="595"/>
      <c r="AA21" s="75"/>
      <c r="AB21" s="595"/>
      <c r="AC21" s="595"/>
      <c r="AD21" s="595"/>
      <c r="AE21" s="595"/>
      <c r="AF21" s="595"/>
      <c r="AG21" s="595"/>
      <c r="AH21" s="595"/>
      <c r="AI21" s="595"/>
      <c r="AJ21" s="595"/>
      <c r="AK21" s="595"/>
      <c r="AL21" s="595"/>
      <c r="AM21" s="595"/>
      <c r="AN21" s="595"/>
      <c r="AO21" s="74"/>
      <c r="AP21" s="595"/>
      <c r="AQ21" s="595"/>
      <c r="AR21" s="595"/>
      <c r="AS21" s="595"/>
      <c r="AT21" s="595"/>
      <c r="AU21" s="595"/>
      <c r="AV21" s="595"/>
      <c r="AW21" s="595"/>
      <c r="AX21" s="595"/>
      <c r="AY21" s="595"/>
      <c r="AZ21" s="595"/>
      <c r="BA21" s="595"/>
      <c r="BB21" s="74"/>
      <c r="BC21" s="595"/>
      <c r="BD21" s="595"/>
      <c r="BE21" s="74"/>
      <c r="BF21" s="595"/>
      <c r="BG21" s="595"/>
      <c r="BH21" s="595"/>
      <c r="BI21" s="595"/>
      <c r="BJ21" s="74"/>
      <c r="BK21" s="74"/>
      <c r="BL21" s="595"/>
      <c r="BM21" s="595"/>
      <c r="BN21" s="596"/>
    </row>
    <row r="22" spans="1:209" s="590" customFormat="1" ht="18.899999999999999" customHeight="1">
      <c r="A22" s="591" t="s">
        <v>466</v>
      </c>
      <c r="B22" s="550"/>
      <c r="C22" s="598"/>
      <c r="D22" s="592"/>
      <c r="E22" s="592"/>
      <c r="F22" s="592">
        <f t="shared" si="2"/>
        <v>0</v>
      </c>
      <c r="G22" s="592">
        <f t="shared" si="3"/>
        <v>0</v>
      </c>
      <c r="H22" s="550"/>
      <c r="I22" s="550"/>
      <c r="J22" s="439"/>
      <c r="K22" s="439"/>
      <c r="L22" s="611" t="s">
        <v>405</v>
      </c>
      <c r="M22" s="595"/>
      <c r="N22" s="595"/>
      <c r="O22" s="595"/>
      <c r="P22" s="595"/>
      <c r="Q22" s="595"/>
      <c r="R22" s="595"/>
      <c r="S22" s="595"/>
      <c r="T22" s="595"/>
      <c r="U22" s="595"/>
      <c r="V22" s="595"/>
      <c r="W22" s="595"/>
      <c r="X22" s="595"/>
      <c r="Y22" s="595"/>
      <c r="Z22" s="595"/>
      <c r="AA22" s="75"/>
      <c r="AB22" s="595"/>
      <c r="AC22" s="595"/>
      <c r="AD22" s="595"/>
      <c r="AE22" s="595"/>
      <c r="AF22" s="595"/>
      <c r="AG22" s="595"/>
      <c r="AH22" s="595"/>
      <c r="AI22" s="595"/>
      <c r="AJ22" s="595"/>
      <c r="AK22" s="595"/>
      <c r="AL22" s="595"/>
      <c r="AM22" s="595"/>
      <c r="AN22" s="595"/>
      <c r="AO22" s="74"/>
      <c r="AP22" s="595"/>
      <c r="AQ22" s="595"/>
      <c r="AR22" s="595"/>
      <c r="AS22" s="595"/>
      <c r="AT22" s="595"/>
      <c r="AU22" s="595"/>
      <c r="AV22" s="595"/>
      <c r="AW22" s="595"/>
      <c r="AX22" s="595"/>
      <c r="AY22" s="595"/>
      <c r="AZ22" s="595"/>
      <c r="BA22" s="595"/>
      <c r="BB22" s="74"/>
      <c r="BC22" s="595"/>
      <c r="BD22" s="595"/>
      <c r="BE22" s="74"/>
      <c r="BF22" s="595"/>
      <c r="BG22" s="595"/>
      <c r="BH22" s="595"/>
      <c r="BI22" s="595"/>
      <c r="BJ22" s="595"/>
      <c r="BK22" s="74"/>
      <c r="BL22" s="595"/>
      <c r="BM22" s="595"/>
      <c r="BN22" s="596"/>
      <c r="GJ22" s="599"/>
      <c r="GK22" s="599"/>
      <c r="GL22" s="599"/>
      <c r="GM22" s="599"/>
      <c r="GN22" s="599"/>
      <c r="GO22" s="599"/>
      <c r="GP22" s="599"/>
      <c r="GQ22" s="599"/>
      <c r="GR22" s="599"/>
      <c r="GS22" s="599"/>
      <c r="GT22" s="599"/>
      <c r="GU22" s="599"/>
      <c r="GV22" s="599"/>
      <c r="GW22" s="599"/>
      <c r="GX22" s="599"/>
      <c r="GY22" s="599"/>
      <c r="GZ22" s="599"/>
      <c r="HA22" s="599"/>
    </row>
    <row r="23" spans="1:209" s="590" customFormat="1" ht="18.899999999999999" hidden="1" customHeight="1">
      <c r="A23" s="591"/>
      <c r="B23" s="550"/>
      <c r="C23" s="598"/>
      <c r="D23" s="592"/>
      <c r="E23" s="592"/>
      <c r="F23" s="592">
        <f t="shared" si="2"/>
        <v>0</v>
      </c>
      <c r="G23" s="592">
        <f t="shared" si="3"/>
        <v>0</v>
      </c>
      <c r="H23" s="550"/>
      <c r="I23" s="550"/>
      <c r="J23" s="439"/>
      <c r="K23" s="439"/>
      <c r="L23" s="611" t="s">
        <v>405</v>
      </c>
      <c r="M23" s="595"/>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595"/>
      <c r="BG23" s="595"/>
      <c r="BH23" s="595"/>
      <c r="BI23" s="595"/>
      <c r="BJ23" s="595"/>
      <c r="BK23" s="595"/>
      <c r="BL23" s="595"/>
      <c r="BM23" s="595"/>
      <c r="BN23" s="596"/>
    </row>
    <row r="24" spans="1:209" s="590" customFormat="1" ht="18.899999999999999" hidden="1" customHeight="1">
      <c r="A24" s="591"/>
      <c r="B24" s="550"/>
      <c r="C24" s="598"/>
      <c r="D24" s="592"/>
      <c r="E24" s="592"/>
      <c r="F24" s="592">
        <f t="shared" si="2"/>
        <v>0</v>
      </c>
      <c r="G24" s="592">
        <f t="shared" si="3"/>
        <v>0</v>
      </c>
      <c r="H24" s="550"/>
      <c r="I24" s="550"/>
      <c r="J24" s="439"/>
      <c r="K24" s="439"/>
      <c r="L24" s="611" t="s">
        <v>405</v>
      </c>
      <c r="M24" s="595"/>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6"/>
    </row>
    <row r="25" spans="1:209" s="590" customFormat="1" ht="18.899999999999999" hidden="1" customHeight="1">
      <c r="A25" s="591"/>
      <c r="B25" s="550"/>
      <c r="C25" s="598"/>
      <c r="D25" s="592"/>
      <c r="E25" s="592"/>
      <c r="F25" s="592">
        <f t="shared" si="2"/>
        <v>0</v>
      </c>
      <c r="G25" s="592">
        <f t="shared" si="3"/>
        <v>0</v>
      </c>
      <c r="H25" s="550"/>
      <c r="I25" s="550"/>
      <c r="J25" s="439"/>
      <c r="K25" s="439"/>
      <c r="L25" s="611" t="s">
        <v>501</v>
      </c>
      <c r="M25" s="595"/>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6"/>
    </row>
    <row r="26" spans="1:209" s="590" customFormat="1" ht="18.899999999999999" hidden="1" customHeight="1">
      <c r="A26" s="591"/>
      <c r="B26" s="550"/>
      <c r="C26" s="598"/>
      <c r="D26" s="592"/>
      <c r="E26" s="592"/>
      <c r="F26" s="592">
        <f t="shared" si="2"/>
        <v>0</v>
      </c>
      <c r="G26" s="592">
        <f t="shared" si="3"/>
        <v>0</v>
      </c>
      <c r="H26" s="550"/>
      <c r="I26" s="550"/>
      <c r="J26" s="439"/>
      <c r="K26" s="439"/>
      <c r="L26" s="611" t="s">
        <v>501</v>
      </c>
      <c r="M26" s="595"/>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6"/>
      <c r="GJ26" s="599"/>
      <c r="GK26" s="599"/>
      <c r="GL26" s="599"/>
      <c r="GM26" s="599"/>
      <c r="GN26" s="599"/>
      <c r="GO26" s="599"/>
      <c r="GP26" s="599"/>
      <c r="GQ26" s="599"/>
      <c r="GR26" s="599"/>
      <c r="GS26" s="599"/>
      <c r="GT26" s="599"/>
      <c r="GU26" s="599"/>
      <c r="GV26" s="599"/>
      <c r="GW26" s="599"/>
      <c r="GX26" s="599"/>
      <c r="GY26" s="599"/>
      <c r="GZ26" s="599"/>
      <c r="HA26" s="599"/>
    </row>
    <row r="27" spans="1:209" s="590" customFormat="1" ht="18.899999999999999" hidden="1" customHeight="1">
      <c r="A27" s="591"/>
      <c r="B27" s="550"/>
      <c r="C27" s="598"/>
      <c r="D27" s="592"/>
      <c r="E27" s="592"/>
      <c r="F27" s="592">
        <f t="shared" si="2"/>
        <v>0</v>
      </c>
      <c r="G27" s="592">
        <f t="shared" si="3"/>
        <v>0</v>
      </c>
      <c r="H27" s="550"/>
      <c r="I27" s="550"/>
      <c r="J27" s="439"/>
      <c r="K27" s="439"/>
      <c r="L27" s="611" t="s">
        <v>501</v>
      </c>
      <c r="M27" s="595"/>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6"/>
    </row>
    <row r="28" spans="1:209" s="590" customFormat="1" ht="18.899999999999999" hidden="1" customHeight="1">
      <c r="A28" s="591"/>
      <c r="B28" s="550"/>
      <c r="C28" s="598"/>
      <c r="D28" s="592"/>
      <c r="E28" s="592"/>
      <c r="F28" s="592">
        <f t="shared" si="2"/>
        <v>0</v>
      </c>
      <c r="G28" s="592">
        <f t="shared" si="3"/>
        <v>0</v>
      </c>
      <c r="H28" s="550"/>
      <c r="I28" s="550"/>
      <c r="J28" s="439"/>
      <c r="K28" s="439"/>
      <c r="L28" s="611" t="s">
        <v>1818</v>
      </c>
      <c r="M28" s="595"/>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6"/>
    </row>
    <row r="29" spans="1:209" s="590" customFormat="1" ht="18.899999999999999" hidden="1" customHeight="1">
      <c r="A29" s="591"/>
      <c r="B29" s="550"/>
      <c r="C29" s="598"/>
      <c r="D29" s="592"/>
      <c r="E29" s="592"/>
      <c r="F29" s="592">
        <f t="shared" si="2"/>
        <v>0</v>
      </c>
      <c r="G29" s="592">
        <f t="shared" si="3"/>
        <v>0</v>
      </c>
      <c r="H29" s="550"/>
      <c r="I29" s="550"/>
      <c r="J29" s="439"/>
      <c r="K29" s="439"/>
      <c r="L29" s="611" t="s">
        <v>501</v>
      </c>
      <c r="M29" s="595"/>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6"/>
      <c r="GJ29" s="599"/>
      <c r="GK29" s="599"/>
      <c r="GL29" s="599"/>
      <c r="GM29" s="599"/>
      <c r="GN29" s="599"/>
      <c r="GO29" s="599"/>
      <c r="GP29" s="599"/>
      <c r="GQ29" s="599"/>
      <c r="GR29" s="599"/>
      <c r="GS29" s="599"/>
      <c r="GT29" s="599"/>
      <c r="GU29" s="599"/>
      <c r="GV29" s="599"/>
      <c r="GW29" s="599"/>
      <c r="GX29" s="599"/>
      <c r="GY29" s="599"/>
      <c r="GZ29" s="599"/>
      <c r="HA29" s="599"/>
    </row>
    <row r="30" spans="1:209" s="590" customFormat="1" ht="18.899999999999999" hidden="1" customHeight="1">
      <c r="A30" s="591"/>
      <c r="B30" s="550"/>
      <c r="C30" s="598"/>
      <c r="D30" s="592"/>
      <c r="E30" s="592"/>
      <c r="F30" s="592">
        <f t="shared" si="2"/>
        <v>0</v>
      </c>
      <c r="G30" s="592">
        <f t="shared" si="3"/>
        <v>0</v>
      </c>
      <c r="H30" s="550"/>
      <c r="I30" s="550"/>
      <c r="J30" s="439"/>
      <c r="K30" s="439"/>
      <c r="L30" s="611" t="s">
        <v>501</v>
      </c>
      <c r="M30" s="595"/>
      <c r="N30" s="595"/>
      <c r="O30" s="595"/>
      <c r="P30" s="595"/>
      <c r="Q30" s="595"/>
      <c r="R30" s="595"/>
      <c r="S30" s="595"/>
      <c r="T30" s="595"/>
      <c r="U30" s="595"/>
      <c r="V30" s="595"/>
      <c r="W30" s="595"/>
      <c r="X30" s="595"/>
      <c r="Y30" s="595"/>
      <c r="Z30" s="595"/>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6"/>
    </row>
    <row r="31" spans="1:209" s="590" customFormat="1" ht="18.899999999999999" hidden="1" customHeight="1">
      <c r="A31" s="591"/>
      <c r="B31" s="550"/>
      <c r="C31" s="598"/>
      <c r="D31" s="592"/>
      <c r="E31" s="592"/>
      <c r="F31" s="592">
        <f t="shared" si="2"/>
        <v>0</v>
      </c>
      <c r="G31" s="592">
        <f t="shared" si="3"/>
        <v>0</v>
      </c>
      <c r="H31" s="550"/>
      <c r="I31" s="550"/>
      <c r="J31" s="439"/>
      <c r="K31" s="439"/>
      <c r="L31" s="611" t="s">
        <v>501</v>
      </c>
      <c r="M31" s="595"/>
      <c r="N31" s="595"/>
      <c r="O31" s="595"/>
      <c r="P31" s="595"/>
      <c r="Q31" s="595"/>
      <c r="R31" s="595"/>
      <c r="S31" s="595"/>
      <c r="T31" s="595"/>
      <c r="U31" s="595"/>
      <c r="V31" s="595"/>
      <c r="W31" s="595"/>
      <c r="X31" s="595"/>
      <c r="Y31" s="595"/>
      <c r="Z31" s="595"/>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6"/>
    </row>
    <row r="32" spans="1:209" s="590" customFormat="1" ht="18.899999999999999" hidden="1" customHeight="1">
      <c r="A32" s="591"/>
      <c r="B32" s="550"/>
      <c r="C32" s="598"/>
      <c r="D32" s="592"/>
      <c r="E32" s="592"/>
      <c r="F32" s="592">
        <f t="shared" si="2"/>
        <v>0</v>
      </c>
      <c r="G32" s="592">
        <f t="shared" si="3"/>
        <v>0</v>
      </c>
      <c r="H32" s="550"/>
      <c r="I32" s="550"/>
      <c r="J32" s="439"/>
      <c r="K32" s="439"/>
      <c r="L32" s="611" t="s">
        <v>501</v>
      </c>
      <c r="M32" s="595"/>
      <c r="N32" s="595"/>
      <c r="O32" s="595"/>
      <c r="P32" s="595"/>
      <c r="Q32" s="595"/>
      <c r="R32" s="595"/>
      <c r="S32" s="595"/>
      <c r="T32" s="595"/>
      <c r="U32" s="595"/>
      <c r="V32" s="595"/>
      <c r="W32" s="595"/>
      <c r="X32" s="595"/>
      <c r="Y32" s="595"/>
      <c r="Z32" s="595"/>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6"/>
      <c r="GJ32" s="599"/>
      <c r="GK32" s="599"/>
      <c r="GL32" s="599"/>
      <c r="GM32" s="599"/>
      <c r="GN32" s="599"/>
      <c r="GO32" s="599"/>
      <c r="GP32" s="599"/>
      <c r="GQ32" s="599"/>
      <c r="GR32" s="599"/>
      <c r="GS32" s="599"/>
      <c r="GT32" s="599"/>
      <c r="GU32" s="599"/>
      <c r="GV32" s="599"/>
      <c r="GW32" s="599"/>
      <c r="GX32" s="599"/>
      <c r="GY32" s="599"/>
      <c r="GZ32" s="599"/>
      <c r="HA32" s="599"/>
    </row>
    <row r="33" spans="1:209" s="590" customFormat="1" ht="18.899999999999999" hidden="1" customHeight="1">
      <c r="A33" s="591"/>
      <c r="B33" s="550"/>
      <c r="C33" s="598"/>
      <c r="D33" s="592"/>
      <c r="E33" s="592"/>
      <c r="F33" s="592">
        <f t="shared" si="2"/>
        <v>0</v>
      </c>
      <c r="G33" s="592">
        <f t="shared" si="3"/>
        <v>0</v>
      </c>
      <c r="H33" s="550"/>
      <c r="I33" s="550"/>
      <c r="J33" s="439"/>
      <c r="K33" s="439"/>
      <c r="L33" s="611" t="s">
        <v>501</v>
      </c>
      <c r="M33" s="595"/>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6"/>
    </row>
    <row r="34" spans="1:209" s="590" customFormat="1" ht="18.899999999999999" customHeight="1">
      <c r="A34" s="591" t="s">
        <v>465</v>
      </c>
      <c r="B34" s="550"/>
      <c r="C34" s="598"/>
      <c r="D34" s="612"/>
      <c r="E34" s="612"/>
      <c r="F34" s="592">
        <f t="shared" si="2"/>
        <v>0</v>
      </c>
      <c r="G34" s="592">
        <f t="shared" si="3"/>
        <v>0</v>
      </c>
      <c r="H34" s="550"/>
      <c r="I34" s="613"/>
      <c r="J34" s="614"/>
      <c r="K34" s="614"/>
      <c r="L34" s="611" t="s">
        <v>405</v>
      </c>
      <c r="M34" s="615"/>
      <c r="N34" s="615"/>
      <c r="O34" s="615"/>
      <c r="P34" s="615"/>
      <c r="Q34" s="615"/>
      <c r="R34" s="615"/>
      <c r="S34" s="615"/>
      <c r="T34" s="595"/>
      <c r="U34" s="615"/>
      <c r="V34" s="615"/>
      <c r="W34" s="615"/>
      <c r="X34" s="615"/>
      <c r="Y34" s="615"/>
      <c r="Z34" s="615"/>
      <c r="AA34" s="615"/>
      <c r="AB34" s="595"/>
      <c r="AC34" s="615"/>
      <c r="AD34" s="595"/>
      <c r="AE34" s="615"/>
      <c r="AF34" s="595"/>
      <c r="AG34" s="615"/>
      <c r="AH34" s="615"/>
      <c r="AI34" s="615"/>
      <c r="AJ34" s="615"/>
      <c r="AK34" s="615"/>
      <c r="AL34" s="615"/>
      <c r="AM34" s="615"/>
      <c r="AN34" s="615"/>
      <c r="AO34" s="595"/>
      <c r="AP34" s="615"/>
      <c r="AQ34" s="615"/>
      <c r="AR34" s="615"/>
      <c r="AS34" s="615"/>
      <c r="AT34" s="615"/>
      <c r="AU34" s="615"/>
      <c r="AV34" s="595"/>
      <c r="AW34" s="615"/>
      <c r="AX34" s="615"/>
      <c r="AY34" s="615"/>
      <c r="AZ34" s="615"/>
      <c r="BA34" s="595"/>
      <c r="BB34" s="615"/>
      <c r="BC34" s="615"/>
      <c r="BD34" s="615"/>
      <c r="BE34" s="615"/>
      <c r="BF34" s="615"/>
      <c r="BG34" s="615"/>
      <c r="BH34" s="615"/>
      <c r="BI34" s="615"/>
      <c r="BJ34" s="615"/>
      <c r="BK34" s="615"/>
      <c r="BL34" s="615"/>
      <c r="BM34" s="615"/>
      <c r="BN34" s="559"/>
    </row>
    <row r="35" spans="1:209" s="619" customFormat="1" ht="13.8">
      <c r="A35" s="3088" t="s">
        <v>3980</v>
      </c>
      <c r="B35" s="3089"/>
      <c r="C35" s="616">
        <f>SUM(C7:C34)</f>
        <v>0</v>
      </c>
      <c r="D35" s="616">
        <f t="shared" ref="D35:K35" si="4">D34</f>
        <v>0</v>
      </c>
      <c r="E35" s="616">
        <f t="shared" si="4"/>
        <v>0</v>
      </c>
      <c r="F35" s="616">
        <f>F34*0</f>
        <v>0</v>
      </c>
      <c r="G35" s="616">
        <f t="shared" si="4"/>
        <v>0</v>
      </c>
      <c r="H35" s="617">
        <f t="shared" si="4"/>
        <v>0</v>
      </c>
      <c r="I35" s="617">
        <f t="shared" si="4"/>
        <v>0</v>
      </c>
      <c r="J35" s="617">
        <f t="shared" si="4"/>
        <v>0</v>
      </c>
      <c r="K35" s="617">
        <f t="shared" si="4"/>
        <v>0</v>
      </c>
      <c r="L35" s="617"/>
      <c r="M35" s="617">
        <f>SUM(M7:M34)</f>
        <v>0</v>
      </c>
      <c r="N35" s="617"/>
      <c r="O35" s="617"/>
      <c r="P35" s="617">
        <f t="shared" ref="P35:Y35" si="5">SUM(P7:P34)</f>
        <v>0</v>
      </c>
      <c r="Q35" s="617">
        <f t="shared" si="5"/>
        <v>0</v>
      </c>
      <c r="R35" s="617">
        <f t="shared" si="5"/>
        <v>0</v>
      </c>
      <c r="S35" s="617">
        <f t="shared" si="5"/>
        <v>0</v>
      </c>
      <c r="T35" s="617">
        <f t="shared" si="5"/>
        <v>0</v>
      </c>
      <c r="U35" s="617">
        <f t="shared" si="5"/>
        <v>0</v>
      </c>
      <c r="V35" s="617">
        <f t="shared" si="5"/>
        <v>0</v>
      </c>
      <c r="W35" s="617">
        <f t="shared" si="5"/>
        <v>0</v>
      </c>
      <c r="X35" s="617">
        <f t="shared" si="5"/>
        <v>0</v>
      </c>
      <c r="Y35" s="617">
        <f t="shared" si="5"/>
        <v>0</v>
      </c>
      <c r="Z35" s="617">
        <f t="shared" ref="Z35:AE35" si="6">SUM(Z7:Z34)</f>
        <v>0</v>
      </c>
      <c r="AA35" s="617">
        <f t="shared" si="6"/>
        <v>0</v>
      </c>
      <c r="AB35" s="617">
        <f t="shared" si="6"/>
        <v>0</v>
      </c>
      <c r="AC35" s="617">
        <f t="shared" si="6"/>
        <v>0</v>
      </c>
      <c r="AD35" s="617">
        <f t="shared" si="6"/>
        <v>0</v>
      </c>
      <c r="AE35" s="617">
        <f t="shared" si="6"/>
        <v>0</v>
      </c>
      <c r="AF35" s="617">
        <f t="shared" ref="AF35:BM35" si="7">SUM(AF7:AF34)</f>
        <v>0</v>
      </c>
      <c r="AG35" s="617">
        <f t="shared" si="7"/>
        <v>0</v>
      </c>
      <c r="AH35" s="617">
        <f t="shared" si="7"/>
        <v>0</v>
      </c>
      <c r="AI35" s="617">
        <f t="shared" si="7"/>
        <v>0</v>
      </c>
      <c r="AJ35" s="617">
        <f t="shared" si="7"/>
        <v>0</v>
      </c>
      <c r="AK35" s="617">
        <f t="shared" si="7"/>
        <v>0</v>
      </c>
      <c r="AL35" s="617">
        <f t="shared" si="7"/>
        <v>0</v>
      </c>
      <c r="AM35" s="617">
        <f t="shared" si="7"/>
        <v>0</v>
      </c>
      <c r="AN35" s="617">
        <f t="shared" si="7"/>
        <v>0</v>
      </c>
      <c r="AO35" s="617">
        <f t="shared" si="7"/>
        <v>0</v>
      </c>
      <c r="AP35" s="617">
        <f t="shared" si="7"/>
        <v>0</v>
      </c>
      <c r="AQ35" s="617">
        <f t="shared" si="7"/>
        <v>0</v>
      </c>
      <c r="AR35" s="617">
        <f t="shared" si="7"/>
        <v>0</v>
      </c>
      <c r="AS35" s="617">
        <f t="shared" si="7"/>
        <v>0</v>
      </c>
      <c r="AT35" s="617">
        <f t="shared" si="7"/>
        <v>0</v>
      </c>
      <c r="AU35" s="617">
        <f t="shared" si="7"/>
        <v>0</v>
      </c>
      <c r="AV35" s="617">
        <f t="shared" si="7"/>
        <v>0</v>
      </c>
      <c r="AW35" s="617">
        <f t="shared" si="7"/>
        <v>0</v>
      </c>
      <c r="AX35" s="617">
        <f t="shared" si="7"/>
        <v>0</v>
      </c>
      <c r="AY35" s="617">
        <f t="shared" si="7"/>
        <v>0</v>
      </c>
      <c r="AZ35" s="617">
        <f t="shared" si="7"/>
        <v>0</v>
      </c>
      <c r="BA35" s="617">
        <f t="shared" si="7"/>
        <v>0</v>
      </c>
      <c r="BB35" s="617">
        <f t="shared" si="7"/>
        <v>0</v>
      </c>
      <c r="BC35" s="617">
        <f t="shared" si="7"/>
        <v>0</v>
      </c>
      <c r="BD35" s="617">
        <f t="shared" si="7"/>
        <v>0</v>
      </c>
      <c r="BE35" s="617">
        <f t="shared" si="7"/>
        <v>0</v>
      </c>
      <c r="BF35" s="617">
        <f t="shared" si="7"/>
        <v>0</v>
      </c>
      <c r="BG35" s="617">
        <f t="shared" si="7"/>
        <v>0</v>
      </c>
      <c r="BH35" s="617">
        <f t="shared" si="7"/>
        <v>0</v>
      </c>
      <c r="BI35" s="617">
        <f t="shared" si="7"/>
        <v>0</v>
      </c>
      <c r="BJ35" s="617">
        <f t="shared" si="7"/>
        <v>0</v>
      </c>
      <c r="BK35" s="617">
        <f t="shared" si="7"/>
        <v>0</v>
      </c>
      <c r="BL35" s="617">
        <f t="shared" si="7"/>
        <v>0</v>
      </c>
      <c r="BM35" s="617">
        <f t="shared" si="7"/>
        <v>0</v>
      </c>
      <c r="BN35" s="618"/>
      <c r="BO35" s="553"/>
      <c r="BP35" s="553"/>
      <c r="BQ35" s="553"/>
      <c r="BR35" s="553"/>
      <c r="BS35" s="553"/>
      <c r="BT35" s="553"/>
      <c r="BU35" s="553"/>
      <c r="BV35" s="553"/>
      <c r="BW35" s="553"/>
      <c r="BX35" s="553"/>
      <c r="BY35" s="553"/>
      <c r="BZ35" s="553"/>
      <c r="CA35" s="553"/>
      <c r="CB35" s="553"/>
      <c r="CC35" s="553"/>
      <c r="CD35" s="553"/>
      <c r="CE35" s="553"/>
      <c r="CF35" s="553"/>
      <c r="CG35" s="553"/>
      <c r="CH35" s="553"/>
      <c r="CI35" s="553"/>
      <c r="CJ35" s="553"/>
      <c r="CK35" s="553"/>
      <c r="CL35" s="553"/>
      <c r="CM35" s="553"/>
      <c r="CN35" s="553"/>
      <c r="CO35" s="553"/>
      <c r="CP35" s="553"/>
      <c r="CQ35" s="553"/>
      <c r="CR35" s="553"/>
      <c r="CS35" s="553"/>
      <c r="CT35" s="553"/>
      <c r="CU35" s="553"/>
      <c r="CV35" s="553"/>
      <c r="CW35" s="553"/>
      <c r="CX35" s="553"/>
      <c r="CY35" s="553"/>
      <c r="CZ35" s="553"/>
      <c r="DA35" s="553"/>
      <c r="DB35" s="553"/>
      <c r="DC35" s="553"/>
      <c r="DD35" s="553"/>
      <c r="DE35" s="553"/>
      <c r="DF35" s="553"/>
      <c r="DG35" s="553"/>
      <c r="DH35" s="553"/>
      <c r="DI35" s="553"/>
      <c r="DJ35" s="553"/>
      <c r="DK35" s="553"/>
      <c r="DL35" s="553"/>
      <c r="DM35" s="553"/>
      <c r="DN35" s="553"/>
      <c r="DO35" s="553"/>
      <c r="DP35" s="553"/>
      <c r="DQ35" s="553"/>
      <c r="DR35" s="553"/>
      <c r="DS35" s="553"/>
      <c r="DT35" s="553"/>
      <c r="DU35" s="553"/>
      <c r="DV35" s="553"/>
      <c r="DW35" s="553"/>
      <c r="DX35" s="553"/>
      <c r="DY35" s="553"/>
      <c r="DZ35" s="553"/>
      <c r="EA35" s="553"/>
      <c r="EB35" s="553"/>
      <c r="EC35" s="553"/>
      <c r="ED35" s="553"/>
      <c r="EE35" s="553"/>
      <c r="EF35" s="553"/>
      <c r="EG35" s="553"/>
      <c r="EH35" s="553"/>
      <c r="EI35" s="553"/>
      <c r="EJ35" s="553"/>
      <c r="EK35" s="553"/>
      <c r="EL35" s="553"/>
      <c r="EM35" s="553"/>
      <c r="EN35" s="553"/>
      <c r="EO35" s="553"/>
      <c r="EP35" s="553"/>
      <c r="EQ35" s="553"/>
      <c r="ER35" s="553"/>
      <c r="ES35" s="553"/>
      <c r="ET35" s="553"/>
      <c r="EU35" s="553"/>
      <c r="EV35" s="553"/>
      <c r="EW35" s="553"/>
      <c r="EX35" s="553"/>
      <c r="EY35" s="553"/>
      <c r="EZ35" s="553"/>
      <c r="FA35" s="553"/>
      <c r="FB35" s="553"/>
      <c r="FC35" s="553"/>
      <c r="FD35" s="553"/>
      <c r="FE35" s="553"/>
      <c r="FF35" s="553"/>
      <c r="FG35" s="553"/>
      <c r="FH35" s="553"/>
      <c r="FI35" s="553"/>
      <c r="FJ35" s="553"/>
      <c r="FK35" s="553"/>
      <c r="FL35" s="553"/>
      <c r="FM35" s="553"/>
      <c r="FN35" s="553"/>
      <c r="FO35" s="553"/>
      <c r="FP35" s="553"/>
      <c r="FQ35" s="553"/>
      <c r="FR35" s="553"/>
      <c r="FS35" s="553"/>
      <c r="FT35" s="553"/>
      <c r="FU35" s="553"/>
      <c r="FV35" s="553"/>
      <c r="FW35" s="553"/>
      <c r="FX35" s="553"/>
      <c r="FY35" s="553"/>
      <c r="FZ35" s="553"/>
      <c r="GA35" s="553"/>
      <c r="GB35" s="553"/>
      <c r="GC35" s="553"/>
      <c r="GD35" s="553"/>
      <c r="GE35" s="553"/>
      <c r="GF35" s="553"/>
      <c r="GG35" s="553"/>
      <c r="GH35" s="553"/>
      <c r="GI35" s="553"/>
      <c r="GJ35" s="530"/>
      <c r="GK35" s="530"/>
      <c r="GL35" s="530"/>
      <c r="GM35" s="530"/>
      <c r="GN35" s="530"/>
      <c r="GO35" s="530"/>
      <c r="GP35" s="530"/>
      <c r="GQ35" s="530"/>
      <c r="GR35" s="530"/>
      <c r="GS35" s="530"/>
      <c r="GT35" s="530"/>
      <c r="GU35" s="530"/>
      <c r="GV35" s="530"/>
      <c r="GW35" s="530"/>
      <c r="GX35" s="530"/>
      <c r="GY35" s="530"/>
      <c r="GZ35" s="530"/>
      <c r="HA35" s="530"/>
    </row>
    <row r="36" spans="1:209" ht="13.8" hidden="1">
      <c r="A36" s="583"/>
      <c r="B36" s="584"/>
      <c r="C36" s="620"/>
      <c r="D36" s="620"/>
      <c r="E36" s="620"/>
      <c r="F36" s="620"/>
      <c r="G36" s="620"/>
      <c r="H36" s="584"/>
      <c r="I36" s="584"/>
      <c r="J36" s="585"/>
      <c r="K36" s="585"/>
      <c r="L36" s="585"/>
      <c r="M36" s="585"/>
      <c r="N36" s="585"/>
      <c r="O36" s="585"/>
      <c r="P36" s="585"/>
      <c r="Q36" s="585"/>
      <c r="R36" s="585"/>
      <c r="S36" s="585"/>
      <c r="T36" s="585"/>
      <c r="U36" s="585"/>
      <c r="V36" s="585"/>
      <c r="W36" s="585"/>
      <c r="X36" s="585"/>
      <c r="Y36" s="585"/>
      <c r="Z36" s="585"/>
      <c r="AA36" s="585"/>
      <c r="AB36" s="585"/>
      <c r="AC36" s="585"/>
      <c r="AD36" s="585"/>
      <c r="AE36" s="585"/>
      <c r="AF36" s="585"/>
      <c r="AG36" s="585"/>
      <c r="AH36" s="585"/>
      <c r="AI36" s="585"/>
      <c r="AJ36" s="585"/>
      <c r="AK36" s="585"/>
      <c r="AL36" s="585"/>
      <c r="AM36" s="585"/>
      <c r="AN36" s="585"/>
      <c r="AO36" s="585"/>
      <c r="AP36" s="585"/>
      <c r="AQ36" s="585"/>
      <c r="AR36" s="585"/>
      <c r="AS36" s="585"/>
      <c r="AT36" s="585"/>
      <c r="AU36" s="585"/>
      <c r="AV36" s="585"/>
      <c r="AW36" s="585"/>
      <c r="AX36" s="585"/>
      <c r="AY36" s="585"/>
      <c r="AZ36" s="585"/>
      <c r="BA36" s="585"/>
      <c r="BB36" s="585"/>
      <c r="BC36" s="585"/>
      <c r="BD36" s="585"/>
      <c r="BE36" s="585"/>
      <c r="BF36" s="585"/>
      <c r="BG36" s="585"/>
      <c r="BH36" s="585"/>
      <c r="BI36" s="585"/>
      <c r="BJ36" s="585"/>
      <c r="BK36" s="585"/>
      <c r="BL36" s="585"/>
      <c r="BM36" s="585"/>
      <c r="BN36" s="586"/>
    </row>
    <row r="37" spans="1:209" ht="13.8" hidden="1">
      <c r="A37" s="621"/>
      <c r="B37" s="546"/>
      <c r="C37" s="546"/>
      <c r="D37" s="546"/>
      <c r="E37" s="546"/>
      <c r="F37" s="546"/>
      <c r="G37" s="546"/>
      <c r="H37" s="546"/>
      <c r="I37" s="546"/>
      <c r="J37" s="546"/>
      <c r="K37" s="546"/>
      <c r="L37" s="588"/>
      <c r="M37" s="546"/>
      <c r="N37" s="546"/>
      <c r="O37" s="546"/>
      <c r="P37" s="546"/>
      <c r="Q37" s="546"/>
      <c r="R37" s="546"/>
      <c r="S37" s="546"/>
      <c r="T37" s="546"/>
      <c r="U37" s="546"/>
      <c r="V37" s="546"/>
      <c r="W37" s="546"/>
      <c r="X37" s="546"/>
      <c r="Y37" s="546"/>
      <c r="Z37" s="546"/>
      <c r="AA37" s="546"/>
      <c r="AB37" s="546"/>
      <c r="AC37" s="546"/>
      <c r="AD37" s="546"/>
      <c r="AE37" s="546"/>
      <c r="AF37" s="546"/>
      <c r="AG37" s="546"/>
      <c r="AH37" s="546"/>
      <c r="AI37" s="546"/>
      <c r="AJ37" s="546"/>
      <c r="AK37" s="546"/>
      <c r="AL37" s="546"/>
      <c r="AM37" s="546"/>
      <c r="AN37" s="546"/>
      <c r="AO37" s="546"/>
      <c r="AP37" s="546"/>
      <c r="AQ37" s="546"/>
      <c r="AR37" s="546"/>
      <c r="AS37" s="546"/>
      <c r="AT37" s="546"/>
      <c r="AU37" s="546"/>
      <c r="AV37" s="546"/>
      <c r="AW37" s="546"/>
      <c r="AX37" s="546"/>
      <c r="AY37" s="546"/>
      <c r="AZ37" s="546"/>
      <c r="BA37" s="546"/>
      <c r="BB37" s="546"/>
      <c r="BC37" s="546"/>
      <c r="BD37" s="546"/>
      <c r="BE37" s="546"/>
      <c r="BF37" s="546"/>
      <c r="BG37" s="546"/>
      <c r="BH37" s="546"/>
      <c r="BI37" s="546"/>
      <c r="BJ37" s="546"/>
      <c r="BK37" s="546"/>
      <c r="BL37" s="546"/>
      <c r="BM37" s="546"/>
      <c r="BN37" s="589"/>
    </row>
    <row r="38" spans="1:209" ht="13.8" hidden="1">
      <c r="A38" s="622"/>
      <c r="B38" s="550"/>
      <c r="C38" s="598"/>
      <c r="D38" s="598"/>
      <c r="E38" s="598"/>
      <c r="F38" s="598">
        <f t="shared" ref="F38:F51" si="8">C38+F37</f>
        <v>0</v>
      </c>
      <c r="G38" s="550"/>
      <c r="H38" s="550"/>
      <c r="I38" s="550"/>
      <c r="J38" s="439"/>
      <c r="K38" s="439"/>
      <c r="L38" s="594" t="s">
        <v>405</v>
      </c>
      <c r="M38" s="623"/>
      <c r="N38" s="623"/>
      <c r="O38" s="623"/>
      <c r="P38" s="623"/>
      <c r="Q38" s="623"/>
      <c r="R38" s="623"/>
      <c r="S38" s="623"/>
      <c r="T38" s="623"/>
      <c r="U38" s="623"/>
      <c r="V38" s="623"/>
      <c r="W38" s="623"/>
      <c r="X38" s="623"/>
      <c r="Y38" s="623"/>
      <c r="Z38" s="623"/>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4"/>
    </row>
    <row r="39" spans="1:209" ht="13.8" hidden="1">
      <c r="A39" s="591"/>
      <c r="B39" s="625"/>
      <c r="C39" s="626"/>
      <c r="D39" s="598"/>
      <c r="E39" s="598"/>
      <c r="F39" s="598">
        <f t="shared" si="8"/>
        <v>0</v>
      </c>
      <c r="G39" s="550"/>
      <c r="H39" s="550"/>
      <c r="I39" s="550"/>
      <c r="J39" s="439"/>
      <c r="K39" s="439"/>
      <c r="L39" s="611" t="s">
        <v>501</v>
      </c>
      <c r="M39" s="623"/>
      <c r="N39" s="623"/>
      <c r="O39" s="623"/>
      <c r="P39" s="623"/>
      <c r="Q39" s="623"/>
      <c r="R39" s="623"/>
      <c r="S39" s="623"/>
      <c r="T39" s="623"/>
      <c r="U39" s="623"/>
      <c r="V39" s="623"/>
      <c r="W39" s="623"/>
      <c r="X39" s="623"/>
      <c r="Y39" s="623"/>
      <c r="Z39" s="623"/>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4"/>
    </row>
    <row r="40" spans="1:209" ht="13.8" hidden="1">
      <c r="A40" s="622"/>
      <c r="B40" s="550"/>
      <c r="C40" s="626"/>
      <c r="D40" s="598"/>
      <c r="E40" s="598"/>
      <c r="F40" s="598">
        <f t="shared" si="8"/>
        <v>0</v>
      </c>
      <c r="G40" s="550"/>
      <c r="H40" s="550"/>
      <c r="I40" s="550"/>
      <c r="J40" s="439"/>
      <c r="K40" s="439"/>
      <c r="L40" s="611" t="s">
        <v>501</v>
      </c>
      <c r="M40" s="623"/>
      <c r="N40" s="623"/>
      <c r="O40" s="623"/>
      <c r="P40" s="623"/>
      <c r="Q40" s="623"/>
      <c r="R40" s="623"/>
      <c r="S40" s="623"/>
      <c r="T40" s="623"/>
      <c r="U40" s="623"/>
      <c r="V40" s="623"/>
      <c r="W40" s="623"/>
      <c r="X40" s="623"/>
      <c r="Y40" s="623"/>
      <c r="Z40" s="623"/>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23"/>
      <c r="BG40" s="623"/>
      <c r="BH40" s="623"/>
      <c r="BI40" s="623"/>
      <c r="BJ40" s="623"/>
      <c r="BK40" s="623"/>
      <c r="BL40" s="623"/>
      <c r="BM40" s="623"/>
      <c r="BN40" s="624"/>
    </row>
    <row r="41" spans="1:209" ht="13.8" hidden="1">
      <c r="A41" s="591"/>
      <c r="B41" s="550"/>
      <c r="C41" s="626"/>
      <c r="D41" s="598"/>
      <c r="E41" s="598"/>
      <c r="F41" s="598">
        <f t="shared" si="8"/>
        <v>0</v>
      </c>
      <c r="G41" s="550"/>
      <c r="H41" s="550"/>
      <c r="I41" s="550"/>
      <c r="J41" s="439"/>
      <c r="K41" s="439"/>
      <c r="L41" s="611" t="s">
        <v>501</v>
      </c>
      <c r="M41" s="623"/>
      <c r="N41" s="623"/>
      <c r="O41" s="623"/>
      <c r="P41" s="623"/>
      <c r="Q41" s="623"/>
      <c r="R41" s="623"/>
      <c r="S41" s="623"/>
      <c r="T41" s="623"/>
      <c r="U41" s="623"/>
      <c r="V41" s="623"/>
      <c r="W41" s="623"/>
      <c r="X41" s="623"/>
      <c r="Y41" s="623"/>
      <c r="Z41" s="623"/>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23"/>
      <c r="BG41" s="623"/>
      <c r="BH41" s="623"/>
      <c r="BI41" s="623"/>
      <c r="BJ41" s="623"/>
      <c r="BK41" s="623"/>
      <c r="BL41" s="623"/>
      <c r="BM41" s="623"/>
      <c r="BN41" s="624"/>
      <c r="GJ41" s="542"/>
      <c r="GK41" s="542"/>
      <c r="GL41" s="542"/>
      <c r="GM41" s="542"/>
      <c r="GN41" s="542"/>
      <c r="GO41" s="542"/>
      <c r="GP41" s="542"/>
      <c r="GQ41" s="542"/>
      <c r="GR41" s="542"/>
      <c r="GS41" s="542"/>
      <c r="GT41" s="542"/>
      <c r="GU41" s="542"/>
      <c r="GV41" s="542"/>
      <c r="GW41" s="542"/>
      <c r="GX41" s="542"/>
      <c r="GY41" s="542"/>
      <c r="GZ41" s="542"/>
      <c r="HA41" s="542"/>
    </row>
    <row r="42" spans="1:209" ht="13.8" hidden="1">
      <c r="A42" s="622"/>
      <c r="B42" s="550"/>
      <c r="C42" s="626"/>
      <c r="D42" s="598"/>
      <c r="E42" s="598"/>
      <c r="F42" s="598">
        <f t="shared" si="8"/>
        <v>0</v>
      </c>
      <c r="G42" s="550"/>
      <c r="H42" s="550"/>
      <c r="I42" s="550"/>
      <c r="J42" s="439"/>
      <c r="K42" s="439"/>
      <c r="L42" s="611" t="s">
        <v>405</v>
      </c>
      <c r="M42" s="623"/>
      <c r="N42" s="623"/>
      <c r="O42" s="623"/>
      <c r="P42" s="623"/>
      <c r="Q42" s="623"/>
      <c r="R42" s="623"/>
      <c r="S42" s="623"/>
      <c r="T42" s="623"/>
      <c r="U42" s="623"/>
      <c r="V42" s="623"/>
      <c r="W42" s="623"/>
      <c r="X42" s="623"/>
      <c r="Y42" s="623"/>
      <c r="Z42" s="623"/>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23"/>
      <c r="BG42" s="623"/>
      <c r="BH42" s="623"/>
      <c r="BI42" s="623"/>
      <c r="BJ42" s="623"/>
      <c r="BK42" s="623"/>
      <c r="BL42" s="623"/>
      <c r="BM42" s="623"/>
      <c r="BN42" s="624"/>
    </row>
    <row r="43" spans="1:209" ht="13.8" hidden="1">
      <c r="A43" s="591"/>
      <c r="B43" s="550"/>
      <c r="C43" s="626"/>
      <c r="D43" s="598"/>
      <c r="E43" s="598"/>
      <c r="F43" s="598">
        <f t="shared" si="8"/>
        <v>0</v>
      </c>
      <c r="G43" s="550"/>
      <c r="H43" s="550"/>
      <c r="I43" s="550"/>
      <c r="J43" s="439"/>
      <c r="K43" s="439"/>
      <c r="L43" s="611" t="s">
        <v>405</v>
      </c>
      <c r="M43" s="623"/>
      <c r="N43" s="623"/>
      <c r="O43" s="623"/>
      <c r="P43" s="623"/>
      <c r="Q43" s="623"/>
      <c r="R43" s="623"/>
      <c r="S43" s="623"/>
      <c r="T43" s="623"/>
      <c r="U43" s="623"/>
      <c r="V43" s="623"/>
      <c r="W43" s="623"/>
      <c r="X43" s="623"/>
      <c r="Y43" s="623"/>
      <c r="Z43" s="623"/>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4"/>
    </row>
    <row r="44" spans="1:209" ht="13.8" hidden="1">
      <c r="A44" s="622"/>
      <c r="B44" s="550"/>
      <c r="C44" s="626"/>
      <c r="D44" s="598"/>
      <c r="E44" s="598"/>
      <c r="F44" s="598">
        <f t="shared" si="8"/>
        <v>0</v>
      </c>
      <c r="G44" s="550"/>
      <c r="H44" s="550"/>
      <c r="I44" s="550"/>
      <c r="J44" s="439"/>
      <c r="K44" s="439"/>
      <c r="L44" s="611" t="s">
        <v>501</v>
      </c>
      <c r="M44" s="623"/>
      <c r="N44" s="623"/>
      <c r="O44" s="623"/>
      <c r="P44" s="623"/>
      <c r="Q44" s="623"/>
      <c r="R44" s="623"/>
      <c r="S44" s="623"/>
      <c r="T44" s="623"/>
      <c r="U44" s="623"/>
      <c r="V44" s="623"/>
      <c r="W44" s="623"/>
      <c r="X44" s="623"/>
      <c r="Y44" s="623"/>
      <c r="Z44" s="623"/>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23"/>
      <c r="BG44" s="623"/>
      <c r="BH44" s="623"/>
      <c r="BI44" s="623"/>
      <c r="BJ44" s="623"/>
      <c r="BK44" s="623"/>
      <c r="BL44" s="623"/>
      <c r="BM44" s="623"/>
      <c r="BN44" s="624"/>
    </row>
    <row r="45" spans="1:209" ht="13.8" hidden="1">
      <c r="A45" s="591"/>
      <c r="B45" s="550"/>
      <c r="C45" s="626"/>
      <c r="D45" s="598"/>
      <c r="E45" s="598"/>
      <c r="F45" s="598">
        <f t="shared" si="8"/>
        <v>0</v>
      </c>
      <c r="G45" s="550"/>
      <c r="H45" s="550"/>
      <c r="I45" s="550"/>
      <c r="J45" s="439"/>
      <c r="K45" s="439"/>
      <c r="L45" s="611" t="s">
        <v>501</v>
      </c>
      <c r="M45" s="623"/>
      <c r="N45" s="623"/>
      <c r="O45" s="623"/>
      <c r="P45" s="623"/>
      <c r="Q45" s="623"/>
      <c r="R45" s="623"/>
      <c r="S45" s="623"/>
      <c r="T45" s="623"/>
      <c r="U45" s="623"/>
      <c r="V45" s="623"/>
      <c r="W45" s="623"/>
      <c r="X45" s="623"/>
      <c r="Y45" s="623"/>
      <c r="Z45" s="623"/>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23"/>
      <c r="BG45" s="623"/>
      <c r="BH45" s="623"/>
      <c r="BI45" s="623"/>
      <c r="BJ45" s="623"/>
      <c r="BK45" s="623"/>
      <c r="BL45" s="623"/>
      <c r="BM45" s="623"/>
      <c r="BN45" s="624"/>
      <c r="GJ45" s="542"/>
      <c r="GK45" s="542"/>
      <c r="GL45" s="542"/>
      <c r="GM45" s="542"/>
      <c r="GN45" s="542"/>
      <c r="GO45" s="542"/>
      <c r="GP45" s="542"/>
      <c r="GQ45" s="542"/>
      <c r="GR45" s="542"/>
      <c r="GS45" s="542"/>
      <c r="GT45" s="542"/>
      <c r="GU45" s="542"/>
      <c r="GV45" s="542"/>
      <c r="GW45" s="542"/>
      <c r="GX45" s="542"/>
      <c r="GY45" s="542"/>
      <c r="GZ45" s="542"/>
      <c r="HA45" s="542"/>
    </row>
    <row r="46" spans="1:209" ht="13.8" hidden="1">
      <c r="A46" s="622"/>
      <c r="B46" s="550"/>
      <c r="C46" s="626"/>
      <c r="D46" s="598"/>
      <c r="E46" s="598"/>
      <c r="F46" s="598">
        <f t="shared" si="8"/>
        <v>0</v>
      </c>
      <c r="G46" s="550"/>
      <c r="H46" s="550"/>
      <c r="I46" s="550"/>
      <c r="J46" s="439"/>
      <c r="K46" s="439"/>
      <c r="L46" s="611" t="s">
        <v>501</v>
      </c>
      <c r="M46" s="623"/>
      <c r="N46" s="623"/>
      <c r="O46" s="623"/>
      <c r="P46" s="623"/>
      <c r="Q46" s="623"/>
      <c r="R46" s="623"/>
      <c r="S46" s="623"/>
      <c r="T46" s="623"/>
      <c r="U46" s="623"/>
      <c r="V46" s="623"/>
      <c r="W46" s="623"/>
      <c r="X46" s="623"/>
      <c r="Y46" s="623"/>
      <c r="Z46" s="623"/>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23"/>
      <c r="BG46" s="623"/>
      <c r="BH46" s="623"/>
      <c r="BI46" s="623"/>
      <c r="BJ46" s="623"/>
      <c r="BK46" s="623"/>
      <c r="BL46" s="623"/>
      <c r="BM46" s="623"/>
      <c r="BN46" s="624"/>
    </row>
    <row r="47" spans="1:209" ht="13.8" hidden="1">
      <c r="A47" s="591"/>
      <c r="B47" s="550"/>
      <c r="C47" s="626"/>
      <c r="D47" s="598"/>
      <c r="E47" s="598"/>
      <c r="F47" s="598">
        <f t="shared" si="8"/>
        <v>0</v>
      </c>
      <c r="G47" s="550"/>
      <c r="H47" s="550"/>
      <c r="I47" s="550"/>
      <c r="J47" s="439"/>
      <c r="K47" s="439"/>
      <c r="L47" s="611" t="s">
        <v>501</v>
      </c>
      <c r="M47" s="623"/>
      <c r="N47" s="623"/>
      <c r="O47" s="623"/>
      <c r="P47" s="623"/>
      <c r="Q47" s="623"/>
      <c r="R47" s="623"/>
      <c r="S47" s="623"/>
      <c r="T47" s="623"/>
      <c r="U47" s="623"/>
      <c r="V47" s="623"/>
      <c r="W47" s="623"/>
      <c r="X47" s="623"/>
      <c r="Y47" s="623"/>
      <c r="Z47" s="623"/>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4"/>
    </row>
    <row r="48" spans="1:209" ht="13.8" hidden="1">
      <c r="A48" s="622"/>
      <c r="B48" s="550"/>
      <c r="C48" s="626"/>
      <c r="D48" s="598"/>
      <c r="E48" s="598"/>
      <c r="F48" s="598">
        <f t="shared" si="8"/>
        <v>0</v>
      </c>
      <c r="G48" s="550"/>
      <c r="H48" s="550"/>
      <c r="I48" s="550"/>
      <c r="J48" s="439"/>
      <c r="K48" s="439"/>
      <c r="L48" s="611" t="s">
        <v>501</v>
      </c>
      <c r="M48" s="623"/>
      <c r="N48" s="623"/>
      <c r="O48" s="623"/>
      <c r="P48" s="623"/>
      <c r="Q48" s="623"/>
      <c r="R48" s="623"/>
      <c r="S48" s="623"/>
      <c r="T48" s="623"/>
      <c r="U48" s="623"/>
      <c r="V48" s="623"/>
      <c r="W48" s="623"/>
      <c r="X48" s="623"/>
      <c r="Y48" s="623"/>
      <c r="Z48" s="623"/>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4"/>
    </row>
    <row r="49" spans="1:209" ht="13.8" hidden="1">
      <c r="A49" s="591"/>
      <c r="B49" s="550"/>
      <c r="C49" s="626"/>
      <c r="D49" s="598"/>
      <c r="E49" s="598"/>
      <c r="F49" s="598">
        <f t="shared" si="8"/>
        <v>0</v>
      </c>
      <c r="G49" s="550"/>
      <c r="H49" s="550"/>
      <c r="I49" s="550"/>
      <c r="J49" s="439"/>
      <c r="K49" s="439"/>
      <c r="L49" s="611" t="s">
        <v>501</v>
      </c>
      <c r="M49" s="623"/>
      <c r="N49" s="623"/>
      <c r="O49" s="623"/>
      <c r="P49" s="623"/>
      <c r="Q49" s="623"/>
      <c r="R49" s="623"/>
      <c r="S49" s="623"/>
      <c r="T49" s="623"/>
      <c r="U49" s="623"/>
      <c r="V49" s="623"/>
      <c r="W49" s="623"/>
      <c r="X49" s="623"/>
      <c r="Y49" s="623"/>
      <c r="Z49" s="623"/>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4"/>
      <c r="GJ49" s="542"/>
      <c r="GK49" s="542"/>
      <c r="GL49" s="542"/>
      <c r="GM49" s="542"/>
      <c r="GN49" s="542"/>
      <c r="GO49" s="542"/>
      <c r="GP49" s="542"/>
      <c r="GQ49" s="542"/>
      <c r="GR49" s="542"/>
      <c r="GS49" s="542"/>
      <c r="GT49" s="542"/>
      <c r="GU49" s="542"/>
      <c r="GV49" s="542"/>
      <c r="GW49" s="542"/>
      <c r="GX49" s="542"/>
      <c r="GY49" s="542"/>
      <c r="GZ49" s="542"/>
      <c r="HA49" s="542"/>
    </row>
    <row r="50" spans="1:209" ht="13.8" hidden="1">
      <c r="A50" s="622"/>
      <c r="B50" s="550"/>
      <c r="C50" s="626"/>
      <c r="D50" s="598"/>
      <c r="E50" s="598"/>
      <c r="F50" s="598">
        <f t="shared" si="8"/>
        <v>0</v>
      </c>
      <c r="G50" s="550"/>
      <c r="H50" s="550"/>
      <c r="I50" s="550"/>
      <c r="J50" s="439"/>
      <c r="K50" s="439"/>
      <c r="L50" s="611" t="s">
        <v>501</v>
      </c>
      <c r="M50" s="623"/>
      <c r="N50" s="623"/>
      <c r="O50" s="623"/>
      <c r="P50" s="623"/>
      <c r="Q50" s="623"/>
      <c r="R50" s="623"/>
      <c r="S50" s="623"/>
      <c r="T50" s="623"/>
      <c r="U50" s="623"/>
      <c r="V50" s="623"/>
      <c r="W50" s="623"/>
      <c r="X50" s="623"/>
      <c r="Y50" s="623"/>
      <c r="Z50" s="623"/>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4"/>
    </row>
    <row r="51" spans="1:209" ht="13.8" hidden="1">
      <c r="A51" s="591"/>
      <c r="B51" s="550"/>
      <c r="C51" s="626"/>
      <c r="D51" s="598"/>
      <c r="E51" s="598"/>
      <c r="F51" s="598">
        <f t="shared" si="8"/>
        <v>0</v>
      </c>
      <c r="G51" s="550"/>
      <c r="H51" s="550"/>
      <c r="I51" s="550"/>
      <c r="J51" s="439"/>
      <c r="K51" s="439"/>
      <c r="L51" s="611" t="s">
        <v>405</v>
      </c>
      <c r="M51" s="623"/>
      <c r="N51" s="623"/>
      <c r="O51" s="623"/>
      <c r="P51" s="623"/>
      <c r="Q51" s="623"/>
      <c r="R51" s="623"/>
      <c r="S51" s="623"/>
      <c r="T51" s="623"/>
      <c r="U51" s="623"/>
      <c r="V51" s="623"/>
      <c r="W51" s="623"/>
      <c r="X51" s="623"/>
      <c r="Y51" s="623"/>
      <c r="Z51" s="623"/>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4"/>
    </row>
    <row r="52" spans="1:209" ht="13.8" hidden="1">
      <c r="A52" s="591"/>
      <c r="B52" s="550"/>
      <c r="C52" s="626"/>
      <c r="D52" s="598"/>
      <c r="E52" s="598"/>
      <c r="F52" s="598">
        <f>C52+F51</f>
        <v>0</v>
      </c>
      <c r="G52" s="550"/>
      <c r="H52" s="550"/>
      <c r="I52" s="550"/>
      <c r="J52" s="439"/>
      <c r="K52" s="439"/>
      <c r="L52" s="611" t="s">
        <v>501</v>
      </c>
      <c r="M52" s="623"/>
      <c r="N52" s="623"/>
      <c r="O52" s="623"/>
      <c r="P52" s="623"/>
      <c r="Q52" s="623"/>
      <c r="R52" s="623"/>
      <c r="S52" s="623"/>
      <c r="T52" s="623"/>
      <c r="U52" s="623"/>
      <c r="V52" s="623"/>
      <c r="W52" s="623"/>
      <c r="X52" s="623"/>
      <c r="Y52" s="623"/>
      <c r="Z52" s="623"/>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4"/>
    </row>
    <row r="53" spans="1:209" ht="13.8" hidden="1">
      <c r="A53" s="591"/>
      <c r="B53" s="550"/>
      <c r="C53" s="626"/>
      <c r="D53" s="598"/>
      <c r="E53" s="598"/>
      <c r="F53" s="598">
        <f>C53+F52</f>
        <v>0</v>
      </c>
      <c r="G53" s="550"/>
      <c r="H53" s="550"/>
      <c r="I53" s="550"/>
      <c r="J53" s="439"/>
      <c r="K53" s="439"/>
      <c r="L53" s="611" t="s">
        <v>501</v>
      </c>
      <c r="M53" s="623"/>
      <c r="N53" s="623"/>
      <c r="O53" s="623"/>
      <c r="P53" s="623"/>
      <c r="Q53" s="623"/>
      <c r="R53" s="623"/>
      <c r="S53" s="623"/>
      <c r="T53" s="623"/>
      <c r="U53" s="623"/>
      <c r="V53" s="623"/>
      <c r="W53" s="623"/>
      <c r="X53" s="623"/>
      <c r="Y53" s="623"/>
      <c r="Z53" s="623"/>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4"/>
      <c r="GJ53" s="542"/>
      <c r="GK53" s="542"/>
      <c r="GL53" s="542"/>
      <c r="GM53" s="542"/>
      <c r="GN53" s="542"/>
      <c r="GO53" s="542"/>
      <c r="GP53" s="542"/>
      <c r="GQ53" s="542"/>
      <c r="GR53" s="542"/>
      <c r="GS53" s="542"/>
      <c r="GT53" s="542"/>
      <c r="GU53" s="542"/>
      <c r="GV53" s="542"/>
      <c r="GW53" s="542"/>
      <c r="GX53" s="542"/>
      <c r="GY53" s="542"/>
      <c r="GZ53" s="542"/>
      <c r="HA53" s="542"/>
    </row>
    <row r="54" spans="1:209" ht="13.8" hidden="1">
      <c r="A54" s="591"/>
      <c r="B54" s="550"/>
      <c r="C54" s="626"/>
      <c r="D54" s="598"/>
      <c r="E54" s="598"/>
      <c r="F54" s="598">
        <f>C54+F53</f>
        <v>0</v>
      </c>
      <c r="G54" s="550"/>
      <c r="H54" s="550"/>
      <c r="I54" s="550"/>
      <c r="J54" s="439"/>
      <c r="K54" s="439"/>
      <c r="L54" s="611" t="s">
        <v>501</v>
      </c>
      <c r="M54" s="623"/>
      <c r="N54" s="623"/>
      <c r="O54" s="623"/>
      <c r="P54" s="623"/>
      <c r="Q54" s="623"/>
      <c r="R54" s="623"/>
      <c r="S54" s="623"/>
      <c r="T54" s="623"/>
      <c r="U54" s="623"/>
      <c r="V54" s="623"/>
      <c r="W54" s="623"/>
      <c r="X54" s="623"/>
      <c r="Y54" s="623"/>
      <c r="Z54" s="623"/>
      <c r="AA54" s="623"/>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4"/>
    </row>
    <row r="55" spans="1:209" ht="13.8" hidden="1">
      <c r="A55" s="591"/>
      <c r="B55" s="550"/>
      <c r="C55" s="626"/>
      <c r="D55" s="598"/>
      <c r="E55" s="598"/>
      <c r="F55" s="598">
        <f t="shared" ref="F55:F62" si="9">C55+F54</f>
        <v>0</v>
      </c>
      <c r="G55" s="550"/>
      <c r="H55" s="550"/>
      <c r="I55" s="550"/>
      <c r="J55" s="439"/>
      <c r="K55" s="439"/>
      <c r="L55" s="611" t="s">
        <v>501</v>
      </c>
      <c r="M55" s="623"/>
      <c r="N55" s="623"/>
      <c r="O55" s="623"/>
      <c r="P55" s="623"/>
      <c r="Q55" s="623"/>
      <c r="R55" s="623"/>
      <c r="S55" s="623"/>
      <c r="T55" s="623"/>
      <c r="U55" s="623"/>
      <c r="V55" s="623"/>
      <c r="W55" s="623"/>
      <c r="X55" s="623"/>
      <c r="Y55" s="623"/>
      <c r="Z55" s="623"/>
      <c r="AA55" s="623"/>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4"/>
    </row>
    <row r="56" spans="1:209" ht="13.8" hidden="1">
      <c r="A56" s="591"/>
      <c r="B56" s="550"/>
      <c r="C56" s="626"/>
      <c r="D56" s="598"/>
      <c r="E56" s="598"/>
      <c r="F56" s="598">
        <f t="shared" si="9"/>
        <v>0</v>
      </c>
      <c r="G56" s="550"/>
      <c r="H56" s="550"/>
      <c r="I56" s="550"/>
      <c r="J56" s="439"/>
      <c r="K56" s="439"/>
      <c r="L56" s="611" t="s">
        <v>501</v>
      </c>
      <c r="M56" s="623"/>
      <c r="N56" s="623"/>
      <c r="O56" s="623"/>
      <c r="P56" s="623"/>
      <c r="Q56" s="623"/>
      <c r="R56" s="623"/>
      <c r="S56" s="623"/>
      <c r="T56" s="623"/>
      <c r="U56" s="623"/>
      <c r="V56" s="623"/>
      <c r="W56" s="623"/>
      <c r="X56" s="623"/>
      <c r="Y56" s="623"/>
      <c r="Z56" s="623"/>
      <c r="AA56" s="623"/>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4"/>
    </row>
    <row r="57" spans="1:209" ht="13.8" hidden="1">
      <c r="A57" s="591"/>
      <c r="B57" s="550"/>
      <c r="C57" s="626"/>
      <c r="D57" s="598"/>
      <c r="E57" s="598"/>
      <c r="F57" s="598">
        <f t="shared" si="9"/>
        <v>0</v>
      </c>
      <c r="G57" s="550"/>
      <c r="H57" s="550"/>
      <c r="I57" s="550"/>
      <c r="J57" s="439"/>
      <c r="K57" s="439"/>
      <c r="L57" s="611" t="s">
        <v>501</v>
      </c>
      <c r="M57" s="623"/>
      <c r="N57" s="623"/>
      <c r="O57" s="623"/>
      <c r="P57" s="623"/>
      <c r="Q57" s="623"/>
      <c r="R57" s="623"/>
      <c r="S57" s="623"/>
      <c r="T57" s="623"/>
      <c r="U57" s="623"/>
      <c r="V57" s="623"/>
      <c r="W57" s="623"/>
      <c r="X57" s="623"/>
      <c r="Y57" s="623"/>
      <c r="Z57" s="623"/>
      <c r="AA57" s="623"/>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4"/>
      <c r="GJ57" s="542"/>
      <c r="GK57" s="542"/>
      <c r="GL57" s="542"/>
      <c r="GM57" s="542"/>
      <c r="GN57" s="542"/>
      <c r="GO57" s="542"/>
      <c r="GP57" s="542"/>
      <c r="GQ57" s="542"/>
      <c r="GR57" s="542"/>
      <c r="GS57" s="542"/>
      <c r="GT57" s="542"/>
      <c r="GU57" s="542"/>
      <c r="GV57" s="542"/>
      <c r="GW57" s="542"/>
      <c r="GX57" s="542"/>
      <c r="GY57" s="542"/>
      <c r="GZ57" s="542"/>
      <c r="HA57" s="542"/>
    </row>
    <row r="58" spans="1:209" ht="13.8" hidden="1">
      <c r="A58" s="591"/>
      <c r="B58" s="550"/>
      <c r="C58" s="626"/>
      <c r="D58" s="598"/>
      <c r="E58" s="598"/>
      <c r="F58" s="598">
        <f t="shared" si="9"/>
        <v>0</v>
      </c>
      <c r="G58" s="550"/>
      <c r="H58" s="550"/>
      <c r="I58" s="550"/>
      <c r="J58" s="439"/>
      <c r="K58" s="439"/>
      <c r="L58" s="611" t="s">
        <v>501</v>
      </c>
      <c r="M58" s="623"/>
      <c r="N58" s="623"/>
      <c r="O58" s="623"/>
      <c r="P58" s="623"/>
      <c r="Q58" s="623"/>
      <c r="R58" s="623"/>
      <c r="S58" s="623"/>
      <c r="T58" s="623"/>
      <c r="U58" s="623"/>
      <c r="V58" s="623"/>
      <c r="W58" s="623"/>
      <c r="X58" s="623"/>
      <c r="Y58" s="623"/>
      <c r="Z58" s="623"/>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4"/>
    </row>
    <row r="59" spans="1:209" ht="13.8" hidden="1">
      <c r="A59" s="591"/>
      <c r="B59" s="550"/>
      <c r="C59" s="626"/>
      <c r="D59" s="598"/>
      <c r="E59" s="598"/>
      <c r="F59" s="598">
        <f t="shared" si="9"/>
        <v>0</v>
      </c>
      <c r="G59" s="550"/>
      <c r="H59" s="550"/>
      <c r="I59" s="550"/>
      <c r="J59" s="439"/>
      <c r="K59" s="439"/>
      <c r="L59" s="611" t="s">
        <v>501</v>
      </c>
      <c r="M59" s="623"/>
      <c r="N59" s="623"/>
      <c r="O59" s="623"/>
      <c r="P59" s="623"/>
      <c r="Q59" s="623"/>
      <c r="R59" s="623"/>
      <c r="S59" s="623"/>
      <c r="T59" s="623"/>
      <c r="U59" s="623"/>
      <c r="V59" s="623"/>
      <c r="W59" s="623"/>
      <c r="X59" s="623"/>
      <c r="Y59" s="623"/>
      <c r="Z59" s="623"/>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4"/>
    </row>
    <row r="60" spans="1:209" ht="13.8" hidden="1">
      <c r="A60" s="591"/>
      <c r="B60" s="550"/>
      <c r="C60" s="626"/>
      <c r="D60" s="598"/>
      <c r="E60" s="598"/>
      <c r="F60" s="598">
        <f t="shared" si="9"/>
        <v>0</v>
      </c>
      <c r="G60" s="550"/>
      <c r="H60" s="550"/>
      <c r="I60" s="550"/>
      <c r="J60" s="439"/>
      <c r="K60" s="439"/>
      <c r="L60" s="611" t="s">
        <v>501</v>
      </c>
      <c r="M60" s="623"/>
      <c r="N60" s="623"/>
      <c r="O60" s="623"/>
      <c r="P60" s="623"/>
      <c r="Q60" s="623"/>
      <c r="R60" s="623"/>
      <c r="S60" s="623"/>
      <c r="T60" s="623"/>
      <c r="U60" s="623"/>
      <c r="V60" s="623"/>
      <c r="W60" s="623"/>
      <c r="X60" s="623"/>
      <c r="Y60" s="623"/>
      <c r="Z60" s="623"/>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4"/>
    </row>
    <row r="61" spans="1:209" ht="13.8" hidden="1">
      <c r="A61" s="591"/>
      <c r="B61" s="550"/>
      <c r="C61" s="626"/>
      <c r="D61" s="598"/>
      <c r="E61" s="598"/>
      <c r="F61" s="598">
        <f t="shared" si="9"/>
        <v>0</v>
      </c>
      <c r="G61" s="550"/>
      <c r="H61" s="550"/>
      <c r="I61" s="550"/>
      <c r="J61" s="439"/>
      <c r="K61" s="439"/>
      <c r="L61" s="611" t="s">
        <v>501</v>
      </c>
      <c r="M61" s="623"/>
      <c r="N61" s="623"/>
      <c r="O61" s="623"/>
      <c r="P61" s="623"/>
      <c r="Q61" s="623"/>
      <c r="R61" s="623"/>
      <c r="S61" s="623"/>
      <c r="T61" s="623"/>
      <c r="U61" s="623"/>
      <c r="V61" s="623"/>
      <c r="W61" s="623"/>
      <c r="X61" s="623"/>
      <c r="Y61" s="623"/>
      <c r="Z61" s="623"/>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4"/>
      <c r="GJ61" s="542"/>
      <c r="GK61" s="542"/>
      <c r="GL61" s="542"/>
      <c r="GM61" s="542"/>
      <c r="GN61" s="542"/>
      <c r="GO61" s="542"/>
      <c r="GP61" s="542"/>
      <c r="GQ61" s="542"/>
      <c r="GR61" s="542"/>
      <c r="GS61" s="542"/>
      <c r="GT61" s="542"/>
      <c r="GU61" s="542"/>
      <c r="GV61" s="542"/>
      <c r="GW61" s="542"/>
      <c r="GX61" s="542"/>
      <c r="GY61" s="542"/>
      <c r="GZ61" s="542"/>
      <c r="HA61" s="542"/>
    </row>
    <row r="62" spans="1:209" ht="13.8" hidden="1">
      <c r="A62" s="591"/>
      <c r="B62" s="550"/>
      <c r="C62" s="626"/>
      <c r="D62" s="598"/>
      <c r="E62" s="598"/>
      <c r="F62" s="598">
        <f t="shared" si="9"/>
        <v>0</v>
      </c>
      <c r="G62" s="550"/>
      <c r="H62" s="550"/>
      <c r="I62" s="550"/>
      <c r="J62" s="439"/>
      <c r="K62" s="439"/>
      <c r="L62" s="611" t="s">
        <v>501</v>
      </c>
      <c r="M62" s="623"/>
      <c r="N62" s="623"/>
      <c r="O62" s="623"/>
      <c r="P62" s="623"/>
      <c r="Q62" s="623"/>
      <c r="R62" s="623"/>
      <c r="S62" s="623"/>
      <c r="T62" s="623"/>
      <c r="U62" s="623"/>
      <c r="V62" s="623"/>
      <c r="W62" s="623"/>
      <c r="X62" s="623"/>
      <c r="Y62" s="623"/>
      <c r="Z62" s="623"/>
      <c r="AA62" s="623"/>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4"/>
    </row>
    <row r="63" spans="1:209" ht="13.8" hidden="1">
      <c r="A63" s="591"/>
      <c r="B63" s="550"/>
      <c r="C63" s="626"/>
      <c r="D63" s="598"/>
      <c r="E63" s="598"/>
      <c r="F63" s="598">
        <f>C63+F62</f>
        <v>0</v>
      </c>
      <c r="G63" s="550"/>
      <c r="H63" s="550"/>
      <c r="I63" s="550"/>
      <c r="J63" s="439"/>
      <c r="K63" s="439"/>
      <c r="L63" s="611" t="s">
        <v>501</v>
      </c>
      <c r="M63" s="623"/>
      <c r="N63" s="623"/>
      <c r="O63" s="623"/>
      <c r="P63" s="623"/>
      <c r="Q63" s="623"/>
      <c r="R63" s="623"/>
      <c r="S63" s="623"/>
      <c r="T63" s="623"/>
      <c r="U63" s="623"/>
      <c r="V63" s="623"/>
      <c r="W63" s="623"/>
      <c r="X63" s="623"/>
      <c r="Y63" s="623"/>
      <c r="Z63" s="623"/>
      <c r="AA63" s="623"/>
      <c r="AB63" s="623"/>
      <c r="AC63" s="623"/>
      <c r="AD63" s="623"/>
      <c r="AE63" s="623"/>
      <c r="AF63" s="623"/>
      <c r="AG63" s="623"/>
      <c r="AH63" s="623"/>
      <c r="AI63" s="623"/>
      <c r="AJ63" s="623"/>
      <c r="AK63" s="623"/>
      <c r="AL63" s="623"/>
      <c r="AM63" s="623"/>
      <c r="AN63" s="623"/>
      <c r="AO63" s="623"/>
      <c r="AP63" s="623"/>
      <c r="AQ63" s="623"/>
      <c r="AR63" s="623"/>
      <c r="AS63" s="623"/>
      <c r="AT63" s="623"/>
      <c r="AU63" s="623"/>
      <c r="AV63" s="623"/>
      <c r="AW63" s="623"/>
      <c r="AX63" s="623"/>
      <c r="AY63" s="623"/>
      <c r="AZ63" s="623"/>
      <c r="BA63" s="623"/>
      <c r="BB63" s="623"/>
      <c r="BC63" s="623"/>
      <c r="BD63" s="623"/>
      <c r="BE63" s="623"/>
      <c r="BF63" s="623"/>
      <c r="BG63" s="623"/>
      <c r="BH63" s="623"/>
      <c r="BI63" s="623"/>
      <c r="BJ63" s="623"/>
      <c r="BK63" s="623"/>
      <c r="BL63" s="623"/>
      <c r="BM63" s="623"/>
      <c r="BN63" s="624"/>
    </row>
    <row r="64" spans="1:209" ht="13.8" hidden="1">
      <c r="A64" s="591"/>
      <c r="B64" s="550"/>
      <c r="C64" s="626"/>
      <c r="D64" s="598"/>
      <c r="E64" s="598"/>
      <c r="F64" s="598">
        <f>C64+F63</f>
        <v>0</v>
      </c>
      <c r="G64" s="550"/>
      <c r="H64" s="550"/>
      <c r="I64" s="550"/>
      <c r="J64" s="439"/>
      <c r="K64" s="439"/>
      <c r="L64" s="611" t="s">
        <v>501</v>
      </c>
      <c r="M64" s="623"/>
      <c r="N64" s="623"/>
      <c r="O64" s="623"/>
      <c r="P64" s="623"/>
      <c r="Q64" s="623"/>
      <c r="R64" s="623"/>
      <c r="S64" s="623"/>
      <c r="T64" s="623"/>
      <c r="U64" s="623"/>
      <c r="V64" s="623"/>
      <c r="W64" s="623"/>
      <c r="X64" s="623"/>
      <c r="Y64" s="623"/>
      <c r="Z64" s="623"/>
      <c r="AA64" s="623"/>
      <c r="AB64" s="623"/>
      <c r="AC64" s="623"/>
      <c r="AD64" s="623"/>
      <c r="AE64" s="623"/>
      <c r="AF64" s="623"/>
      <c r="AG64" s="623"/>
      <c r="AH64" s="623"/>
      <c r="AI64" s="623"/>
      <c r="AJ64" s="623"/>
      <c r="AK64" s="623"/>
      <c r="AL64" s="623"/>
      <c r="AM64" s="623"/>
      <c r="AN64" s="623"/>
      <c r="AO64" s="623"/>
      <c r="AP64" s="623"/>
      <c r="AQ64" s="623"/>
      <c r="AR64" s="623"/>
      <c r="AS64" s="623"/>
      <c r="AT64" s="623"/>
      <c r="AU64" s="623"/>
      <c r="AV64" s="623"/>
      <c r="AW64" s="623"/>
      <c r="AX64" s="623"/>
      <c r="AY64" s="623"/>
      <c r="AZ64" s="623"/>
      <c r="BA64" s="623"/>
      <c r="BB64" s="623"/>
      <c r="BC64" s="623"/>
      <c r="BD64" s="623"/>
      <c r="BE64" s="623"/>
      <c r="BF64" s="623"/>
      <c r="BG64" s="623"/>
      <c r="BH64" s="623"/>
      <c r="BI64" s="623"/>
      <c r="BJ64" s="623"/>
      <c r="BK64" s="623"/>
      <c r="BL64" s="623"/>
      <c r="BM64" s="623"/>
      <c r="BN64" s="624"/>
    </row>
    <row r="65" spans="1:209" ht="13.8" hidden="1">
      <c r="A65" s="591"/>
      <c r="B65" s="550"/>
      <c r="C65" s="626"/>
      <c r="D65" s="598"/>
      <c r="E65" s="598"/>
      <c r="F65" s="598">
        <f>C65+F64</f>
        <v>0</v>
      </c>
      <c r="G65" s="550"/>
      <c r="H65" s="550"/>
      <c r="I65" s="550"/>
      <c r="J65" s="439"/>
      <c r="K65" s="439"/>
      <c r="L65" s="611" t="s">
        <v>501</v>
      </c>
      <c r="M65" s="623"/>
      <c r="N65" s="623"/>
      <c r="O65" s="623"/>
      <c r="P65" s="623"/>
      <c r="Q65" s="623"/>
      <c r="R65" s="623"/>
      <c r="S65" s="623"/>
      <c r="T65" s="623"/>
      <c r="U65" s="623"/>
      <c r="V65" s="623"/>
      <c r="W65" s="623"/>
      <c r="X65" s="623"/>
      <c r="Y65" s="623"/>
      <c r="Z65" s="623"/>
      <c r="AA65" s="623"/>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4"/>
      <c r="GJ65" s="542"/>
      <c r="GK65" s="542"/>
      <c r="GL65" s="542"/>
      <c r="GM65" s="542"/>
      <c r="GN65" s="542"/>
      <c r="GO65" s="542"/>
      <c r="GP65" s="542"/>
      <c r="GQ65" s="542"/>
      <c r="GR65" s="542"/>
      <c r="GS65" s="542"/>
      <c r="GT65" s="542"/>
      <c r="GU65" s="542"/>
      <c r="GV65" s="542"/>
      <c r="GW65" s="542"/>
      <c r="GX65" s="542"/>
      <c r="GY65" s="542"/>
      <c r="GZ65" s="542"/>
      <c r="HA65" s="542"/>
    </row>
    <row r="66" spans="1:209" ht="13.8" hidden="1">
      <c r="A66" s="591"/>
      <c r="B66" s="550"/>
      <c r="C66" s="626"/>
      <c r="D66" s="598"/>
      <c r="E66" s="598"/>
      <c r="F66" s="598">
        <f>C66+F65</f>
        <v>0</v>
      </c>
      <c r="G66" s="550"/>
      <c r="H66" s="550"/>
      <c r="I66" s="550"/>
      <c r="J66" s="439"/>
      <c r="K66" s="439"/>
      <c r="L66" s="611" t="s">
        <v>1107</v>
      </c>
      <c r="M66" s="623"/>
      <c r="N66" s="623"/>
      <c r="O66" s="623"/>
      <c r="P66" s="623"/>
      <c r="Q66" s="623"/>
      <c r="R66" s="623"/>
      <c r="S66" s="623"/>
      <c r="T66" s="623"/>
      <c r="U66" s="623"/>
      <c r="V66" s="623"/>
      <c r="W66" s="623"/>
      <c r="X66" s="623"/>
      <c r="Y66" s="623"/>
      <c r="Z66" s="623"/>
      <c r="AA66" s="623"/>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4"/>
    </row>
    <row r="67" spans="1:209" s="619" customFormat="1" ht="13.8" hidden="1">
      <c r="A67" s="3088" t="s">
        <v>3980</v>
      </c>
      <c r="B67" s="3089"/>
      <c r="C67" s="627">
        <f>SUM(C37:C66)</f>
        <v>0</v>
      </c>
      <c r="D67" s="616">
        <f t="shared" ref="D67:I67" si="10">D66</f>
        <v>0</v>
      </c>
      <c r="E67" s="616">
        <f t="shared" si="10"/>
        <v>0</v>
      </c>
      <c r="F67" s="616">
        <f t="shared" si="10"/>
        <v>0</v>
      </c>
      <c r="G67" s="616">
        <f t="shared" si="10"/>
        <v>0</v>
      </c>
      <c r="H67" s="616">
        <f t="shared" si="10"/>
        <v>0</v>
      </c>
      <c r="I67" s="616">
        <f t="shared" si="10"/>
        <v>0</v>
      </c>
      <c r="J67" s="616"/>
      <c r="K67" s="616"/>
      <c r="L67" s="617"/>
      <c r="M67" s="617">
        <f>SUM(M37:M66)</f>
        <v>0</v>
      </c>
      <c r="N67" s="617"/>
      <c r="O67" s="617"/>
      <c r="P67" s="617">
        <f t="shared" ref="P67:AT67" si="11">SUM(P37:P66)</f>
        <v>0</v>
      </c>
      <c r="Q67" s="617">
        <f t="shared" si="11"/>
        <v>0</v>
      </c>
      <c r="R67" s="617">
        <f t="shared" si="11"/>
        <v>0</v>
      </c>
      <c r="S67" s="617">
        <f t="shared" si="11"/>
        <v>0</v>
      </c>
      <c r="T67" s="617">
        <f t="shared" si="11"/>
        <v>0</v>
      </c>
      <c r="U67" s="617">
        <f t="shared" si="11"/>
        <v>0</v>
      </c>
      <c r="V67" s="617">
        <f t="shared" si="11"/>
        <v>0</v>
      </c>
      <c r="W67" s="617">
        <f t="shared" si="11"/>
        <v>0</v>
      </c>
      <c r="X67" s="617">
        <f t="shared" si="11"/>
        <v>0</v>
      </c>
      <c r="Y67" s="617">
        <f t="shared" si="11"/>
        <v>0</v>
      </c>
      <c r="Z67" s="617">
        <f t="shared" si="11"/>
        <v>0</v>
      </c>
      <c r="AA67" s="617">
        <f t="shared" si="11"/>
        <v>0</v>
      </c>
      <c r="AB67" s="617">
        <f t="shared" si="11"/>
        <v>0</v>
      </c>
      <c r="AC67" s="617">
        <f t="shared" si="11"/>
        <v>0</v>
      </c>
      <c r="AD67" s="617">
        <f t="shared" si="11"/>
        <v>0</v>
      </c>
      <c r="AE67" s="617">
        <f t="shared" si="11"/>
        <v>0</v>
      </c>
      <c r="AF67" s="617">
        <f t="shared" si="11"/>
        <v>0</v>
      </c>
      <c r="AG67" s="617">
        <f t="shared" si="11"/>
        <v>0</v>
      </c>
      <c r="AH67" s="617">
        <f t="shared" si="11"/>
        <v>0</v>
      </c>
      <c r="AI67" s="617">
        <f t="shared" si="11"/>
        <v>0</v>
      </c>
      <c r="AJ67" s="617">
        <f t="shared" si="11"/>
        <v>0</v>
      </c>
      <c r="AK67" s="617">
        <f t="shared" si="11"/>
        <v>0</v>
      </c>
      <c r="AL67" s="617">
        <f t="shared" si="11"/>
        <v>0</v>
      </c>
      <c r="AM67" s="617">
        <f t="shared" si="11"/>
        <v>0</v>
      </c>
      <c r="AN67" s="617">
        <f t="shared" si="11"/>
        <v>0</v>
      </c>
      <c r="AO67" s="617">
        <f t="shared" si="11"/>
        <v>0</v>
      </c>
      <c r="AP67" s="617">
        <f t="shared" si="11"/>
        <v>0</v>
      </c>
      <c r="AQ67" s="617">
        <f t="shared" si="11"/>
        <v>0</v>
      </c>
      <c r="AR67" s="617">
        <f t="shared" si="11"/>
        <v>0</v>
      </c>
      <c r="AS67" s="617">
        <f t="shared" si="11"/>
        <v>0</v>
      </c>
      <c r="AT67" s="617">
        <f t="shared" si="11"/>
        <v>0</v>
      </c>
      <c r="AU67" s="617">
        <f t="shared" ref="AU67:BM67" si="12">SUM(AU37:AU66)</f>
        <v>0</v>
      </c>
      <c r="AV67" s="617">
        <f t="shared" si="12"/>
        <v>0</v>
      </c>
      <c r="AW67" s="617">
        <f t="shared" si="12"/>
        <v>0</v>
      </c>
      <c r="AX67" s="617">
        <f t="shared" si="12"/>
        <v>0</v>
      </c>
      <c r="AY67" s="617">
        <f t="shared" si="12"/>
        <v>0</v>
      </c>
      <c r="AZ67" s="617">
        <f t="shared" si="12"/>
        <v>0</v>
      </c>
      <c r="BA67" s="617">
        <f t="shared" si="12"/>
        <v>0</v>
      </c>
      <c r="BB67" s="617">
        <f t="shared" si="12"/>
        <v>0</v>
      </c>
      <c r="BC67" s="617">
        <f t="shared" si="12"/>
        <v>0</v>
      </c>
      <c r="BD67" s="617">
        <f t="shared" si="12"/>
        <v>0</v>
      </c>
      <c r="BE67" s="617">
        <f t="shared" si="12"/>
        <v>0</v>
      </c>
      <c r="BF67" s="617">
        <f t="shared" si="12"/>
        <v>0</v>
      </c>
      <c r="BG67" s="617">
        <f t="shared" si="12"/>
        <v>0</v>
      </c>
      <c r="BH67" s="617">
        <f t="shared" si="12"/>
        <v>0</v>
      </c>
      <c r="BI67" s="617">
        <f t="shared" si="12"/>
        <v>0</v>
      </c>
      <c r="BJ67" s="617">
        <f t="shared" si="12"/>
        <v>0</v>
      </c>
      <c r="BK67" s="617">
        <f t="shared" si="12"/>
        <v>0</v>
      </c>
      <c r="BL67" s="617">
        <f t="shared" si="12"/>
        <v>0</v>
      </c>
      <c r="BM67" s="617">
        <f t="shared" si="12"/>
        <v>0</v>
      </c>
      <c r="BN67" s="618"/>
      <c r="BO67" s="553"/>
      <c r="BP67" s="553"/>
      <c r="BQ67" s="553"/>
      <c r="BR67" s="553"/>
      <c r="BS67" s="553"/>
      <c r="BT67" s="553"/>
      <c r="BU67" s="553"/>
      <c r="BV67" s="553"/>
      <c r="BW67" s="553"/>
      <c r="BX67" s="553"/>
      <c r="BY67" s="553"/>
      <c r="BZ67" s="553"/>
      <c r="CA67" s="553"/>
      <c r="CB67" s="553"/>
      <c r="CC67" s="553"/>
      <c r="CD67" s="553"/>
      <c r="CE67" s="553"/>
      <c r="CF67" s="553"/>
      <c r="CG67" s="553"/>
      <c r="CH67" s="553"/>
      <c r="CI67" s="553"/>
      <c r="CJ67" s="553"/>
      <c r="CK67" s="553"/>
      <c r="CL67" s="553"/>
      <c r="CM67" s="553"/>
      <c r="CN67" s="553"/>
      <c r="CO67" s="553"/>
      <c r="CP67" s="553"/>
      <c r="CQ67" s="553"/>
      <c r="CR67" s="553"/>
      <c r="CS67" s="553"/>
      <c r="CT67" s="553"/>
      <c r="CU67" s="553"/>
      <c r="CV67" s="553"/>
      <c r="CW67" s="553"/>
      <c r="CX67" s="553"/>
      <c r="CY67" s="553"/>
      <c r="CZ67" s="553"/>
      <c r="DA67" s="553"/>
      <c r="DB67" s="553"/>
      <c r="DC67" s="553"/>
      <c r="DD67" s="553"/>
      <c r="DE67" s="553"/>
      <c r="DF67" s="553"/>
      <c r="DG67" s="553"/>
      <c r="DH67" s="553"/>
      <c r="DI67" s="553"/>
      <c r="DJ67" s="553"/>
      <c r="DK67" s="553"/>
      <c r="DL67" s="553"/>
      <c r="DM67" s="553"/>
      <c r="DN67" s="553"/>
      <c r="DO67" s="553"/>
      <c r="DP67" s="553"/>
      <c r="DQ67" s="553"/>
      <c r="DR67" s="553"/>
      <c r="DS67" s="553"/>
      <c r="DT67" s="553"/>
      <c r="DU67" s="553"/>
      <c r="DV67" s="553"/>
      <c r="DW67" s="553"/>
      <c r="DX67" s="553"/>
      <c r="DY67" s="553"/>
      <c r="DZ67" s="553"/>
      <c r="EA67" s="553"/>
      <c r="EB67" s="553"/>
      <c r="EC67" s="553"/>
      <c r="ED67" s="553"/>
      <c r="EE67" s="553"/>
      <c r="EF67" s="553"/>
      <c r="EG67" s="553"/>
      <c r="EH67" s="553"/>
      <c r="EI67" s="553"/>
      <c r="EJ67" s="553"/>
      <c r="EK67" s="553"/>
      <c r="EL67" s="553"/>
      <c r="EM67" s="553"/>
      <c r="EN67" s="553"/>
      <c r="EO67" s="553"/>
      <c r="EP67" s="553"/>
      <c r="EQ67" s="553"/>
      <c r="ER67" s="553"/>
      <c r="ES67" s="553"/>
      <c r="ET67" s="553"/>
      <c r="EU67" s="553"/>
      <c r="EV67" s="553"/>
      <c r="EW67" s="553"/>
      <c r="EX67" s="553"/>
      <c r="EY67" s="553"/>
      <c r="EZ67" s="553"/>
      <c r="FA67" s="553"/>
      <c r="FB67" s="553"/>
      <c r="FC67" s="553"/>
      <c r="FD67" s="553"/>
      <c r="FE67" s="553"/>
      <c r="FF67" s="553"/>
      <c r="FG67" s="553"/>
      <c r="FH67" s="553"/>
      <c r="FI67" s="553"/>
      <c r="FJ67" s="553"/>
      <c r="FK67" s="553"/>
      <c r="FL67" s="553"/>
      <c r="FM67" s="553"/>
      <c r="FN67" s="553"/>
      <c r="FO67" s="553"/>
      <c r="FP67" s="553"/>
      <c r="FQ67" s="553"/>
      <c r="FR67" s="553"/>
      <c r="FS67" s="553"/>
      <c r="FT67" s="553"/>
      <c r="FU67" s="553"/>
      <c r="FV67" s="553"/>
      <c r="FW67" s="553"/>
      <c r="FX67" s="553"/>
      <c r="FY67" s="553"/>
      <c r="FZ67" s="553"/>
      <c r="GA67" s="553"/>
      <c r="GB67" s="553"/>
      <c r="GC67" s="553"/>
      <c r="GD67" s="553"/>
      <c r="GE67" s="553"/>
      <c r="GF67" s="553"/>
      <c r="GG67" s="553"/>
      <c r="GH67" s="553"/>
      <c r="GI67" s="553"/>
      <c r="GJ67" s="530"/>
      <c r="GK67" s="530"/>
      <c r="GL67" s="530"/>
      <c r="GM67" s="530"/>
      <c r="GN67" s="530"/>
      <c r="GO67" s="530"/>
      <c r="GP67" s="530"/>
      <c r="GQ67" s="530"/>
      <c r="GR67" s="530"/>
      <c r="GS67" s="530"/>
      <c r="GT67" s="530"/>
      <c r="GU67" s="530"/>
      <c r="GV67" s="530"/>
      <c r="GW67" s="530"/>
      <c r="GX67" s="530"/>
      <c r="GY67" s="530"/>
      <c r="GZ67" s="530"/>
      <c r="HA67" s="530"/>
    </row>
    <row r="68" spans="1:209" ht="13.8">
      <c r="A68" s="628"/>
      <c r="B68" s="620"/>
      <c r="C68" s="620"/>
      <c r="D68" s="620"/>
      <c r="E68" s="620"/>
      <c r="F68" s="620"/>
      <c r="G68" s="620"/>
      <c r="H68" s="620"/>
      <c r="I68" s="620"/>
      <c r="J68" s="599"/>
      <c r="K68" s="599"/>
      <c r="L68" s="599"/>
      <c r="M68" s="620"/>
      <c r="N68" s="620"/>
      <c r="O68" s="620"/>
      <c r="P68" s="620"/>
      <c r="Q68" s="620"/>
      <c r="R68" s="599"/>
      <c r="S68" s="599"/>
      <c r="T68" s="599"/>
      <c r="U68" s="599"/>
      <c r="V68" s="599"/>
      <c r="W68" s="599"/>
      <c r="X68" s="599"/>
      <c r="Y68" s="599"/>
      <c r="Z68" s="599"/>
      <c r="AA68" s="599"/>
      <c r="AB68" s="599"/>
      <c r="AC68" s="599"/>
      <c r="AD68" s="599"/>
      <c r="AE68" s="629"/>
      <c r="AF68" s="629"/>
      <c r="AG68" s="629"/>
      <c r="AH68" s="629"/>
      <c r="AI68" s="620"/>
      <c r="AJ68" s="620"/>
      <c r="AK68" s="620"/>
      <c r="AL68" s="620"/>
      <c r="AM68" s="620"/>
      <c r="AN68" s="620"/>
      <c r="AO68" s="620"/>
      <c r="AP68" s="620"/>
      <c r="AQ68" s="620"/>
      <c r="AR68" s="620"/>
      <c r="AS68" s="620"/>
      <c r="AT68" s="620"/>
      <c r="AU68" s="620"/>
      <c r="AV68" s="620"/>
      <c r="AW68" s="620"/>
      <c r="AX68" s="620"/>
      <c r="AY68" s="620"/>
      <c r="AZ68" s="620"/>
      <c r="BA68" s="620"/>
      <c r="BB68" s="620"/>
      <c r="BC68" s="620"/>
      <c r="BD68" s="620"/>
      <c r="BE68" s="620"/>
      <c r="BF68" s="620"/>
      <c r="BG68" s="620"/>
      <c r="BH68" s="620"/>
      <c r="BI68" s="620"/>
      <c r="BJ68" s="620"/>
      <c r="BK68" s="620"/>
      <c r="BL68" s="620"/>
      <c r="BM68" s="620"/>
      <c r="BN68" s="630"/>
    </row>
    <row r="69" spans="1:209" s="553" customFormat="1" ht="18.899999999999999" customHeight="1" thickBot="1">
      <c r="A69" s="3090" t="s">
        <v>3922</v>
      </c>
      <c r="B69" s="3091"/>
      <c r="C69" s="631">
        <f t="shared" ref="C69:I69" si="13">C35+C67</f>
        <v>0</v>
      </c>
      <c r="D69" s="631">
        <f t="shared" si="13"/>
        <v>0</v>
      </c>
      <c r="E69" s="631">
        <f t="shared" si="13"/>
        <v>0</v>
      </c>
      <c r="F69" s="631">
        <f t="shared" si="13"/>
        <v>0</v>
      </c>
      <c r="G69" s="631">
        <f>G35+G67</f>
        <v>0</v>
      </c>
      <c r="H69" s="631">
        <f t="shared" si="13"/>
        <v>0</v>
      </c>
      <c r="I69" s="631">
        <f t="shared" si="13"/>
        <v>0</v>
      </c>
      <c r="J69" s="631"/>
      <c r="K69" s="631"/>
      <c r="L69" s="631"/>
      <c r="M69" s="632">
        <f t="shared" ref="M69:AQ69" si="14">M35+M67</f>
        <v>0</v>
      </c>
      <c r="N69" s="632">
        <f t="shared" si="14"/>
        <v>0</v>
      </c>
      <c r="O69" s="632">
        <f t="shared" si="14"/>
        <v>0</v>
      </c>
      <c r="P69" s="632">
        <f t="shared" si="14"/>
        <v>0</v>
      </c>
      <c r="Q69" s="632">
        <f t="shared" si="14"/>
        <v>0</v>
      </c>
      <c r="R69" s="632">
        <f t="shared" si="14"/>
        <v>0</v>
      </c>
      <c r="S69" s="632">
        <f t="shared" si="14"/>
        <v>0</v>
      </c>
      <c r="T69" s="632">
        <f t="shared" si="14"/>
        <v>0</v>
      </c>
      <c r="U69" s="632">
        <f t="shared" si="14"/>
        <v>0</v>
      </c>
      <c r="V69" s="632">
        <f t="shared" si="14"/>
        <v>0</v>
      </c>
      <c r="W69" s="632">
        <f t="shared" si="14"/>
        <v>0</v>
      </c>
      <c r="X69" s="632">
        <f t="shared" si="14"/>
        <v>0</v>
      </c>
      <c r="Y69" s="632">
        <f t="shared" si="14"/>
        <v>0</v>
      </c>
      <c r="Z69" s="632">
        <f t="shared" si="14"/>
        <v>0</v>
      </c>
      <c r="AA69" s="632">
        <f t="shared" si="14"/>
        <v>0</v>
      </c>
      <c r="AB69" s="632">
        <f t="shared" si="14"/>
        <v>0</v>
      </c>
      <c r="AC69" s="632">
        <f t="shared" si="14"/>
        <v>0</v>
      </c>
      <c r="AD69" s="632">
        <f t="shared" si="14"/>
        <v>0</v>
      </c>
      <c r="AE69" s="632">
        <f t="shared" si="14"/>
        <v>0</v>
      </c>
      <c r="AF69" s="632">
        <f t="shared" si="14"/>
        <v>0</v>
      </c>
      <c r="AG69" s="632">
        <f t="shared" si="14"/>
        <v>0</v>
      </c>
      <c r="AH69" s="632">
        <f t="shared" si="14"/>
        <v>0</v>
      </c>
      <c r="AI69" s="632">
        <f t="shared" si="14"/>
        <v>0</v>
      </c>
      <c r="AJ69" s="632">
        <f t="shared" si="14"/>
        <v>0</v>
      </c>
      <c r="AK69" s="632">
        <f t="shared" si="14"/>
        <v>0</v>
      </c>
      <c r="AL69" s="632">
        <f t="shared" si="14"/>
        <v>0</v>
      </c>
      <c r="AM69" s="632">
        <f t="shared" si="14"/>
        <v>0</v>
      </c>
      <c r="AN69" s="632">
        <f t="shared" si="14"/>
        <v>0</v>
      </c>
      <c r="AO69" s="632">
        <f t="shared" si="14"/>
        <v>0</v>
      </c>
      <c r="AP69" s="632">
        <f t="shared" si="14"/>
        <v>0</v>
      </c>
      <c r="AQ69" s="632">
        <f t="shared" si="14"/>
        <v>0</v>
      </c>
      <c r="AR69" s="632">
        <f t="shared" ref="AR69:BM69" si="15">AR35+AR67</f>
        <v>0</v>
      </c>
      <c r="AS69" s="632">
        <f t="shared" si="15"/>
        <v>0</v>
      </c>
      <c r="AT69" s="632">
        <f t="shared" si="15"/>
        <v>0</v>
      </c>
      <c r="AU69" s="632">
        <f t="shared" si="15"/>
        <v>0</v>
      </c>
      <c r="AV69" s="632">
        <f t="shared" si="15"/>
        <v>0</v>
      </c>
      <c r="AW69" s="632">
        <f t="shared" si="15"/>
        <v>0</v>
      </c>
      <c r="AX69" s="632">
        <f t="shared" si="15"/>
        <v>0</v>
      </c>
      <c r="AY69" s="632">
        <f t="shared" si="15"/>
        <v>0</v>
      </c>
      <c r="AZ69" s="632">
        <f t="shared" si="15"/>
        <v>0</v>
      </c>
      <c r="BA69" s="632">
        <f t="shared" si="15"/>
        <v>0</v>
      </c>
      <c r="BB69" s="632">
        <f t="shared" si="15"/>
        <v>0</v>
      </c>
      <c r="BC69" s="632">
        <f t="shared" si="15"/>
        <v>0</v>
      </c>
      <c r="BD69" s="632">
        <f t="shared" si="15"/>
        <v>0</v>
      </c>
      <c r="BE69" s="632">
        <f t="shared" si="15"/>
        <v>0</v>
      </c>
      <c r="BF69" s="632">
        <f t="shared" si="15"/>
        <v>0</v>
      </c>
      <c r="BG69" s="632">
        <f t="shared" si="15"/>
        <v>0</v>
      </c>
      <c r="BH69" s="632">
        <f t="shared" si="15"/>
        <v>0</v>
      </c>
      <c r="BI69" s="632">
        <f t="shared" si="15"/>
        <v>0</v>
      </c>
      <c r="BJ69" s="632">
        <f t="shared" si="15"/>
        <v>0</v>
      </c>
      <c r="BK69" s="632">
        <f t="shared" si="15"/>
        <v>0</v>
      </c>
      <c r="BL69" s="632">
        <f t="shared" si="15"/>
        <v>0</v>
      </c>
      <c r="BM69" s="632">
        <f t="shared" si="15"/>
        <v>0</v>
      </c>
      <c r="BN69" s="633"/>
      <c r="GJ69" s="530"/>
      <c r="GK69" s="530"/>
      <c r="GL69" s="530"/>
      <c r="GM69" s="530"/>
      <c r="GN69" s="530"/>
      <c r="GO69" s="530"/>
      <c r="GP69" s="530"/>
      <c r="GQ69" s="530"/>
      <c r="GR69" s="530"/>
      <c r="GS69" s="530"/>
      <c r="GT69" s="530"/>
      <c r="GU69" s="530"/>
      <c r="GV69" s="530"/>
      <c r="GW69" s="530"/>
      <c r="GX69" s="530"/>
      <c r="GY69" s="530"/>
      <c r="GZ69" s="530"/>
      <c r="HA69" s="530"/>
    </row>
    <row r="70" spans="1:209" s="635" customFormat="1" ht="18.899999999999999" customHeight="1" thickTop="1">
      <c r="A70" s="634"/>
      <c r="I70" s="636"/>
      <c r="J70" s="636"/>
      <c r="K70" s="636"/>
      <c r="L70" s="637"/>
      <c r="M70" s="636"/>
      <c r="N70" s="636"/>
      <c r="O70" s="636"/>
      <c r="P70" s="636"/>
      <c r="Q70" s="636"/>
      <c r="R70" s="636"/>
      <c r="S70" s="636"/>
      <c r="T70" s="636"/>
      <c r="U70" s="636"/>
      <c r="V70" s="636"/>
      <c r="W70" s="636"/>
      <c r="X70" s="636"/>
      <c r="Y70" s="636"/>
      <c r="Z70" s="636"/>
      <c r="AA70" s="636"/>
      <c r="AB70" s="636"/>
      <c r="AC70" s="636"/>
      <c r="AD70" s="636"/>
      <c r="AE70" s="636"/>
      <c r="AF70" s="636"/>
      <c r="AG70" s="636"/>
      <c r="AH70" s="636"/>
      <c r="AI70" s="636"/>
      <c r="AJ70" s="636"/>
      <c r="AK70" s="636"/>
      <c r="AL70" s="636"/>
      <c r="AM70" s="636"/>
      <c r="AN70" s="636"/>
      <c r="AO70" s="636"/>
      <c r="AP70" s="636"/>
      <c r="AQ70" s="636"/>
      <c r="AR70" s="636"/>
      <c r="AS70" s="636"/>
      <c r="AT70" s="636"/>
      <c r="AU70" s="636"/>
      <c r="AV70" s="636"/>
      <c r="AW70" s="636"/>
      <c r="AX70" s="636"/>
      <c r="AY70" s="636"/>
      <c r="AZ70" s="636"/>
      <c r="BA70" s="636"/>
      <c r="BB70" s="636"/>
      <c r="BC70" s="636"/>
      <c r="BD70" s="636"/>
      <c r="BE70" s="636"/>
      <c r="BF70" s="636"/>
      <c r="BG70" s="636"/>
      <c r="BH70" s="636"/>
      <c r="BI70" s="636"/>
      <c r="BJ70" s="636"/>
      <c r="BK70" s="636"/>
      <c r="BL70" s="636"/>
      <c r="BM70" s="636"/>
      <c r="BN70" s="638"/>
      <c r="GJ70" s="530"/>
      <c r="GK70" s="530"/>
      <c r="GL70" s="530"/>
      <c r="GM70" s="530"/>
      <c r="GN70" s="530"/>
      <c r="GO70" s="530"/>
      <c r="GP70" s="530"/>
      <c r="GQ70" s="530"/>
      <c r="GR70" s="530"/>
      <c r="GS70" s="530"/>
      <c r="GT70" s="530"/>
      <c r="GU70" s="530"/>
      <c r="GV70" s="530"/>
      <c r="GW70" s="530"/>
      <c r="GX70" s="530"/>
      <c r="GY70" s="530"/>
      <c r="GZ70" s="530"/>
      <c r="HA70" s="530"/>
    </row>
    <row r="71" spans="1:209" ht="18.899999999999999" customHeight="1">
      <c r="A71" s="3072" t="s">
        <v>3981</v>
      </c>
      <c r="B71" s="3072"/>
      <c r="C71" s="639">
        <f>D69*3+E69*3</f>
        <v>0</v>
      </c>
      <c r="D71" s="639"/>
      <c r="E71" s="639"/>
      <c r="F71" s="639"/>
      <c r="G71" s="639"/>
      <c r="H71" s="639"/>
      <c r="R71" s="640"/>
      <c r="AE71" s="530"/>
      <c r="AF71" s="530"/>
      <c r="AG71" s="530"/>
      <c r="AH71" s="530"/>
      <c r="AN71" s="641"/>
      <c r="AO71" s="641"/>
      <c r="AP71" s="641"/>
      <c r="AQ71" s="641"/>
      <c r="AR71" s="641"/>
      <c r="AS71" s="641"/>
      <c r="AT71" s="641"/>
      <c r="AU71" s="641"/>
      <c r="AV71" s="641"/>
      <c r="AW71" s="641"/>
      <c r="AX71" s="641"/>
      <c r="AY71" s="641"/>
      <c r="AZ71" s="641"/>
      <c r="BA71" s="641"/>
      <c r="BB71" s="641"/>
      <c r="BC71" s="641"/>
      <c r="BD71" s="641"/>
      <c r="BE71" s="641"/>
      <c r="BF71" s="641"/>
      <c r="BG71" s="641"/>
      <c r="BH71" s="641"/>
      <c r="BI71" s="641"/>
      <c r="BJ71" s="641"/>
      <c r="BK71" s="641"/>
      <c r="BL71" s="641"/>
      <c r="BM71" s="641"/>
      <c r="GJ71" s="542"/>
      <c r="GK71" s="542"/>
      <c r="GL71" s="542"/>
      <c r="GM71" s="542"/>
      <c r="GN71" s="542"/>
      <c r="GO71" s="542"/>
      <c r="GP71" s="542"/>
      <c r="GQ71" s="542"/>
      <c r="GR71" s="542"/>
      <c r="GS71" s="542"/>
      <c r="GT71" s="542"/>
      <c r="GU71" s="542"/>
      <c r="GV71" s="542"/>
      <c r="GW71" s="542"/>
      <c r="GX71" s="542"/>
      <c r="GY71" s="542"/>
      <c r="GZ71" s="542"/>
      <c r="HA71" s="542"/>
    </row>
    <row r="72" spans="1:209" ht="18.899999999999999" customHeight="1">
      <c r="A72" s="3072" t="s">
        <v>3982</v>
      </c>
      <c r="B72" s="3072"/>
      <c r="C72" s="642">
        <f>D69</f>
        <v>0</v>
      </c>
      <c r="D72" s="639"/>
      <c r="E72" s="639"/>
      <c r="F72" s="639"/>
      <c r="G72" s="639"/>
      <c r="H72" s="639"/>
      <c r="R72" s="413"/>
      <c r="S72" s="643"/>
      <c r="T72" s="643"/>
      <c r="V72" s="643"/>
      <c r="AE72" s="530"/>
      <c r="AF72" s="530"/>
      <c r="AG72" s="530"/>
      <c r="AH72" s="530"/>
      <c r="AN72" s="641"/>
      <c r="AO72" s="641"/>
      <c r="AP72" s="641"/>
      <c r="AQ72" s="641"/>
      <c r="AR72" s="641"/>
      <c r="AS72" s="641"/>
      <c r="AT72" s="641"/>
      <c r="AU72" s="641"/>
      <c r="AV72" s="641"/>
      <c r="AW72" s="641"/>
      <c r="AX72" s="641"/>
      <c r="AY72" s="641"/>
      <c r="AZ72" s="641"/>
      <c r="BA72" s="641"/>
      <c r="BB72" s="641"/>
      <c r="BC72" s="641"/>
      <c r="BD72" s="641"/>
      <c r="BE72" s="641"/>
      <c r="BF72" s="641"/>
      <c r="BG72" s="641"/>
      <c r="BH72" s="641"/>
      <c r="BI72" s="641"/>
      <c r="BJ72" s="641"/>
      <c r="BK72" s="641"/>
      <c r="BL72" s="641"/>
      <c r="BM72" s="641"/>
    </row>
    <row r="73" spans="1:209" ht="18.899999999999999" customHeight="1">
      <c r="A73" s="3072" t="s">
        <v>3983</v>
      </c>
      <c r="B73" s="3072"/>
      <c r="C73" s="644">
        <f>E69</f>
        <v>0</v>
      </c>
      <c r="D73" s="645"/>
      <c r="E73" s="645"/>
      <c r="F73" s="645"/>
      <c r="G73" s="645"/>
      <c r="H73" s="645"/>
      <c r="R73" s="646"/>
      <c r="U73" s="640"/>
      <c r="W73" s="640"/>
      <c r="AE73" s="530"/>
      <c r="AF73" s="530"/>
      <c r="AG73" s="530"/>
      <c r="AH73" s="530"/>
    </row>
    <row r="74" spans="1:209" ht="18.899999999999999" customHeight="1">
      <c r="A74" s="3072" t="s">
        <v>3984</v>
      </c>
      <c r="B74" s="3072"/>
      <c r="C74" s="644">
        <f>F69</f>
        <v>0</v>
      </c>
      <c r="D74" s="645"/>
      <c r="E74" s="645"/>
      <c r="F74" s="645"/>
      <c r="G74" s="645"/>
      <c r="H74" s="645"/>
      <c r="R74" s="646"/>
      <c r="U74" s="640"/>
      <c r="W74" s="640"/>
      <c r="AE74" s="530"/>
      <c r="AF74" s="530"/>
      <c r="AG74" s="530"/>
      <c r="AH74" s="530"/>
    </row>
    <row r="75" spans="1:209" ht="18.899999999999999" customHeight="1">
      <c r="A75" s="3072" t="s">
        <v>3985</v>
      </c>
      <c r="B75" s="3072"/>
      <c r="C75" s="644">
        <f>G69</f>
        <v>0</v>
      </c>
      <c r="D75" s="645"/>
      <c r="E75" s="645"/>
      <c r="F75" s="645"/>
      <c r="G75" s="645"/>
      <c r="H75" s="645"/>
      <c r="R75" s="646"/>
      <c r="U75" s="640"/>
      <c r="W75" s="640"/>
      <c r="AE75" s="530"/>
      <c r="AF75" s="530"/>
      <c r="AG75" s="530"/>
      <c r="AH75" s="530"/>
    </row>
    <row r="76" spans="1:209" ht="18.899999999999999" customHeight="1">
      <c r="A76" s="3072" t="s">
        <v>3986</v>
      </c>
      <c r="B76" s="3072"/>
      <c r="C76" s="642">
        <f>H69</f>
        <v>0</v>
      </c>
      <c r="D76" s="639"/>
      <c r="E76" s="639"/>
      <c r="F76" s="639"/>
      <c r="G76" s="639"/>
      <c r="H76" s="639"/>
      <c r="K76" s="647"/>
      <c r="M76" s="553"/>
      <c r="N76" s="553"/>
      <c r="O76" s="553"/>
      <c r="R76" s="648"/>
      <c r="U76" s="640"/>
      <c r="W76" s="640"/>
      <c r="AE76" s="530"/>
      <c r="AF76" s="530"/>
      <c r="AG76" s="530"/>
      <c r="AH76" s="530"/>
    </row>
    <row r="77" spans="1:209" ht="18.899999999999999" customHeight="1">
      <c r="A77" s="3072" t="s">
        <v>3987</v>
      </c>
      <c r="B77" s="3072"/>
      <c r="C77" s="644">
        <f>I69</f>
        <v>0</v>
      </c>
      <c r="D77" s="645"/>
      <c r="E77" s="645"/>
      <c r="F77" s="645"/>
      <c r="G77" s="645"/>
      <c r="H77" s="645"/>
      <c r="M77" s="553"/>
      <c r="N77" s="553"/>
      <c r="O77" s="553"/>
      <c r="R77" s="646"/>
      <c r="U77" s="640"/>
      <c r="W77" s="640"/>
      <c r="AE77" s="530"/>
      <c r="AF77" s="530"/>
      <c r="AG77" s="530"/>
      <c r="AH77" s="530"/>
    </row>
    <row r="78" spans="1:209" ht="18.899999999999999" customHeight="1">
      <c r="B78" s="640"/>
      <c r="C78" s="649"/>
      <c r="D78" s="649"/>
      <c r="E78" s="649"/>
      <c r="F78" s="649"/>
      <c r="G78" s="649"/>
      <c r="H78" s="649"/>
      <c r="U78" s="640"/>
      <c r="W78" s="640"/>
      <c r="AE78" s="530"/>
      <c r="AF78" s="530"/>
      <c r="AG78" s="530"/>
      <c r="AH78" s="530"/>
    </row>
    <row r="79" spans="1:209" ht="18.899999999999999" customHeight="1">
      <c r="AE79" s="530"/>
      <c r="AF79" s="530"/>
      <c r="AG79" s="530"/>
      <c r="AH79" s="530"/>
      <c r="GJ79" s="542"/>
      <c r="GK79" s="542"/>
      <c r="GL79" s="542"/>
      <c r="GM79" s="542"/>
      <c r="GN79" s="542"/>
      <c r="GO79" s="542"/>
      <c r="GP79" s="542"/>
      <c r="GQ79" s="542"/>
      <c r="GR79" s="542"/>
      <c r="GS79" s="542"/>
      <c r="GT79" s="542"/>
      <c r="GU79" s="542"/>
      <c r="GV79" s="542"/>
      <c r="GW79" s="542"/>
      <c r="GX79" s="542"/>
      <c r="GY79" s="542"/>
      <c r="GZ79" s="542"/>
      <c r="HA79" s="542"/>
    </row>
    <row r="80" spans="1:209" ht="18.899999999999999" customHeight="1">
      <c r="AE80" s="530"/>
      <c r="AF80" s="530"/>
      <c r="AG80" s="530"/>
      <c r="AH80" s="530"/>
    </row>
    <row r="81" spans="31:209" ht="18.899999999999999" customHeight="1">
      <c r="AE81" s="530"/>
      <c r="AF81" s="530"/>
      <c r="AG81" s="530"/>
      <c r="AH81" s="530"/>
    </row>
    <row r="82" spans="31:209" ht="18.899999999999999" customHeight="1">
      <c r="AE82" s="530"/>
      <c r="AF82" s="530"/>
      <c r="AG82" s="530"/>
      <c r="AH82" s="530"/>
    </row>
    <row r="83" spans="31:209" ht="18.899999999999999" customHeight="1">
      <c r="AE83" s="530"/>
      <c r="AF83" s="530"/>
      <c r="AG83" s="530"/>
      <c r="AH83" s="530"/>
    </row>
    <row r="84" spans="31:209" ht="18.899999999999999" customHeight="1">
      <c r="AE84" s="530"/>
      <c r="AF84" s="530"/>
      <c r="AG84" s="530"/>
      <c r="AH84" s="530"/>
    </row>
    <row r="85" spans="31:209" ht="18.899999999999999" customHeight="1">
      <c r="AE85" s="530"/>
      <c r="AF85" s="530"/>
      <c r="AG85" s="530"/>
      <c r="AH85" s="530"/>
    </row>
    <row r="86" spans="31:209" ht="18.899999999999999" customHeight="1">
      <c r="AE86" s="530"/>
      <c r="AF86" s="530"/>
      <c r="AG86" s="530"/>
      <c r="AH86" s="530"/>
      <c r="GJ86" s="542"/>
      <c r="GK86" s="542"/>
      <c r="GL86" s="542"/>
      <c r="GM86" s="542"/>
      <c r="GN86" s="542"/>
      <c r="GO86" s="542"/>
      <c r="GP86" s="542"/>
      <c r="GQ86" s="542"/>
      <c r="GR86" s="542"/>
      <c r="GS86" s="542"/>
      <c r="GT86" s="542"/>
      <c r="GU86" s="542"/>
      <c r="GV86" s="542"/>
      <c r="GW86" s="542"/>
      <c r="GX86" s="542"/>
      <c r="GY86" s="542"/>
      <c r="GZ86" s="542"/>
      <c r="HA86" s="542"/>
    </row>
    <row r="87" spans="31:209" ht="18.899999999999999" customHeight="1">
      <c r="AE87" s="530"/>
      <c r="AF87" s="530"/>
      <c r="AG87" s="530"/>
      <c r="AH87" s="530"/>
    </row>
    <row r="88" spans="31:209" ht="18.899999999999999" customHeight="1">
      <c r="AE88" s="530"/>
      <c r="AF88" s="530"/>
      <c r="AG88" s="530"/>
      <c r="AH88" s="530"/>
    </row>
    <row r="89" spans="31:209" ht="18.899999999999999" customHeight="1">
      <c r="AE89" s="530"/>
      <c r="AF89" s="530"/>
      <c r="AG89" s="530"/>
      <c r="AH89" s="530"/>
    </row>
    <row r="90" spans="31:209" ht="18.899999999999999" customHeight="1">
      <c r="AE90" s="530"/>
      <c r="AF90" s="530"/>
      <c r="AG90" s="530"/>
      <c r="AH90" s="530"/>
    </row>
    <row r="91" spans="31:209" ht="18.899999999999999" customHeight="1">
      <c r="AE91" s="530"/>
      <c r="AF91" s="530"/>
      <c r="AG91" s="530"/>
      <c r="AH91" s="530"/>
    </row>
    <row r="92" spans="31:209" ht="18.899999999999999" customHeight="1">
      <c r="AE92" s="530"/>
      <c r="AF92" s="530"/>
      <c r="AG92" s="530"/>
      <c r="AH92" s="530"/>
    </row>
    <row r="93" spans="31:209" ht="18.899999999999999" customHeight="1">
      <c r="AE93" s="530"/>
      <c r="AF93" s="530"/>
      <c r="AG93" s="530"/>
      <c r="AH93" s="530"/>
      <c r="GJ93" s="542"/>
      <c r="GK93" s="542"/>
      <c r="GL93" s="542"/>
      <c r="GM93" s="542"/>
      <c r="GN93" s="542"/>
      <c r="GO93" s="542"/>
      <c r="GP93" s="542"/>
      <c r="GQ93" s="542"/>
      <c r="GR93" s="542"/>
      <c r="GS93" s="542"/>
      <c r="GT93" s="542"/>
      <c r="GU93" s="542"/>
      <c r="GV93" s="542"/>
      <c r="GW93" s="542"/>
      <c r="GX93" s="542"/>
      <c r="GY93" s="542"/>
      <c r="GZ93" s="542"/>
      <c r="HA93" s="542"/>
    </row>
    <row r="94" spans="31:209" ht="18.899999999999999" customHeight="1">
      <c r="AE94" s="530"/>
      <c r="AF94" s="530"/>
      <c r="AG94" s="530"/>
      <c r="AH94" s="530"/>
    </row>
    <row r="95" spans="31:209" ht="18.899999999999999" customHeight="1">
      <c r="AE95" s="530"/>
      <c r="AF95" s="530"/>
      <c r="AG95" s="530"/>
      <c r="AH95" s="530"/>
    </row>
    <row r="96" spans="31:209" ht="18.899999999999999" customHeight="1">
      <c r="AE96" s="530"/>
      <c r="AF96" s="530"/>
      <c r="AG96" s="530"/>
      <c r="AH96" s="530"/>
    </row>
    <row r="97" spans="31:209" ht="18.899999999999999" customHeight="1">
      <c r="AE97" s="530"/>
      <c r="AF97" s="530"/>
      <c r="AG97" s="530"/>
      <c r="AH97" s="530"/>
    </row>
    <row r="98" spans="31:209" ht="18.899999999999999" customHeight="1">
      <c r="AE98" s="530"/>
      <c r="AF98" s="530"/>
      <c r="AG98" s="530"/>
      <c r="AH98" s="530"/>
    </row>
    <row r="99" spans="31:209" ht="18.899999999999999" customHeight="1">
      <c r="AE99" s="530"/>
      <c r="AF99" s="530"/>
      <c r="AG99" s="530"/>
      <c r="AH99" s="530"/>
    </row>
    <row r="100" spans="31:209" ht="18.899999999999999" customHeight="1">
      <c r="AE100" s="530"/>
      <c r="AF100" s="530"/>
      <c r="AG100" s="530"/>
      <c r="AH100" s="530"/>
      <c r="GJ100" s="542"/>
      <c r="GK100" s="542"/>
      <c r="GL100" s="542"/>
      <c r="GM100" s="542"/>
      <c r="GN100" s="542"/>
      <c r="GO100" s="542"/>
      <c r="GP100" s="542"/>
      <c r="GQ100" s="542"/>
      <c r="GR100" s="542"/>
      <c r="GS100" s="542"/>
      <c r="GT100" s="542"/>
      <c r="GU100" s="542"/>
      <c r="GV100" s="542"/>
      <c r="GW100" s="542"/>
      <c r="GX100" s="542"/>
      <c r="GY100" s="542"/>
      <c r="GZ100" s="542"/>
      <c r="HA100" s="542"/>
    </row>
    <row r="101" spans="31:209" ht="18.899999999999999" customHeight="1">
      <c r="AE101" s="530"/>
      <c r="AF101" s="530"/>
      <c r="AG101" s="530"/>
      <c r="AH101" s="530"/>
    </row>
    <row r="102" spans="31:209" ht="18.899999999999999" customHeight="1">
      <c r="AE102" s="530"/>
      <c r="AF102" s="530"/>
      <c r="AG102" s="530"/>
      <c r="AH102" s="530"/>
    </row>
    <row r="103" spans="31:209" ht="18.899999999999999" customHeight="1">
      <c r="AE103" s="530"/>
      <c r="AF103" s="530"/>
      <c r="AG103" s="530"/>
      <c r="AH103" s="530"/>
    </row>
    <row r="104" spans="31:209" ht="18.899999999999999" customHeight="1">
      <c r="AE104" s="530"/>
      <c r="AF104" s="530"/>
      <c r="AG104" s="530"/>
      <c r="AH104" s="530"/>
    </row>
    <row r="105" spans="31:209" ht="18.899999999999999" customHeight="1">
      <c r="AE105" s="530"/>
      <c r="AF105" s="530"/>
      <c r="AG105" s="530"/>
      <c r="AH105" s="530"/>
    </row>
    <row r="106" spans="31:209" ht="18.899999999999999" customHeight="1">
      <c r="AE106" s="530"/>
      <c r="AF106" s="530"/>
      <c r="AG106" s="530"/>
      <c r="AH106" s="530"/>
    </row>
    <row r="107" spans="31:209" ht="18.899999999999999" customHeight="1">
      <c r="AE107" s="530"/>
      <c r="AF107" s="530"/>
      <c r="AG107" s="530"/>
      <c r="AH107" s="530"/>
    </row>
    <row r="108" spans="31:209" ht="18.899999999999999" customHeight="1">
      <c r="AE108" s="530"/>
      <c r="AF108" s="530"/>
      <c r="AG108" s="530"/>
      <c r="AH108" s="530"/>
    </row>
    <row r="109" spans="31:209" ht="18.899999999999999" customHeight="1">
      <c r="AE109" s="530"/>
      <c r="AF109" s="530"/>
      <c r="AG109" s="530"/>
      <c r="AH109" s="530"/>
    </row>
    <row r="110" spans="31:209" ht="18.899999999999999" customHeight="1">
      <c r="AE110" s="530"/>
      <c r="AF110" s="530"/>
      <c r="AG110" s="530"/>
      <c r="AH110" s="530"/>
    </row>
    <row r="111" spans="31:209" ht="18.899999999999999" customHeight="1">
      <c r="AE111" s="530"/>
      <c r="AF111" s="530"/>
      <c r="AG111" s="530"/>
      <c r="AH111" s="530"/>
    </row>
    <row r="112" spans="31:209" ht="18.899999999999999" customHeight="1">
      <c r="AE112" s="530"/>
      <c r="AF112" s="530"/>
      <c r="AG112" s="530"/>
      <c r="AH112" s="530"/>
    </row>
    <row r="113" spans="31:34" ht="18.899999999999999" customHeight="1">
      <c r="AE113" s="530"/>
      <c r="AF113" s="530"/>
      <c r="AG113" s="530"/>
      <c r="AH113" s="530"/>
    </row>
    <row r="114" spans="31:34" ht="18.899999999999999" customHeight="1">
      <c r="AE114" s="530"/>
      <c r="AF114" s="530"/>
      <c r="AG114" s="530"/>
      <c r="AH114" s="530"/>
    </row>
    <row r="115" spans="31:34" ht="18.899999999999999" customHeight="1">
      <c r="AE115" s="530"/>
      <c r="AF115" s="530"/>
      <c r="AG115" s="530"/>
      <c r="AH115" s="530"/>
    </row>
    <row r="116" spans="31:34" ht="18.899999999999999" customHeight="1">
      <c r="AE116" s="530"/>
      <c r="AF116" s="530"/>
      <c r="AG116" s="530"/>
      <c r="AH116" s="530"/>
    </row>
    <row r="117" spans="31:34" ht="18.899999999999999" customHeight="1">
      <c r="AE117" s="530"/>
      <c r="AF117" s="530"/>
      <c r="AG117" s="530"/>
      <c r="AH117" s="530"/>
    </row>
    <row r="118" spans="31:34" ht="18.899999999999999" customHeight="1">
      <c r="AE118" s="530"/>
      <c r="AF118" s="530"/>
      <c r="AG118" s="530"/>
      <c r="AH118" s="530"/>
    </row>
    <row r="119" spans="31:34" ht="18.899999999999999" customHeight="1">
      <c r="AE119" s="530"/>
      <c r="AF119" s="530"/>
      <c r="AG119" s="530"/>
      <c r="AH119" s="530"/>
    </row>
    <row r="120" spans="31:34" ht="18.899999999999999" customHeight="1">
      <c r="AE120" s="530"/>
      <c r="AF120" s="530"/>
      <c r="AG120" s="530"/>
      <c r="AH120" s="530"/>
    </row>
    <row r="121" spans="31:34" ht="18.899999999999999" customHeight="1">
      <c r="AE121" s="530"/>
      <c r="AF121" s="530"/>
      <c r="AG121" s="530"/>
      <c r="AH121" s="530"/>
    </row>
    <row r="122" spans="31:34" ht="18.899999999999999" customHeight="1">
      <c r="AE122" s="530"/>
      <c r="AF122" s="530"/>
      <c r="AG122" s="530"/>
      <c r="AH122" s="530"/>
    </row>
    <row r="123" spans="31:34" ht="18.899999999999999" customHeight="1">
      <c r="AE123" s="530"/>
      <c r="AF123" s="530"/>
      <c r="AG123" s="530"/>
      <c r="AH123" s="530"/>
    </row>
    <row r="124" spans="31:34" ht="18.899999999999999" customHeight="1">
      <c r="AE124" s="530"/>
      <c r="AF124" s="530"/>
      <c r="AG124" s="530"/>
      <c r="AH124" s="530"/>
    </row>
    <row r="125" spans="31:34" ht="18.899999999999999" customHeight="1">
      <c r="AE125" s="530"/>
      <c r="AF125" s="530"/>
      <c r="AG125" s="530"/>
      <c r="AH125" s="530"/>
    </row>
    <row r="126" spans="31:34" ht="18.899999999999999" customHeight="1">
      <c r="AE126" s="530"/>
      <c r="AF126" s="530"/>
      <c r="AG126" s="530"/>
      <c r="AH126" s="530"/>
    </row>
    <row r="127" spans="31:34" ht="18.899999999999999" customHeight="1">
      <c r="AE127" s="530"/>
      <c r="AF127" s="530"/>
      <c r="AG127" s="530"/>
      <c r="AH127" s="530"/>
    </row>
    <row r="128" spans="31:34" ht="18.899999999999999" customHeight="1">
      <c r="AE128" s="530"/>
      <c r="AF128" s="530"/>
      <c r="AG128" s="530"/>
      <c r="AH128" s="530"/>
    </row>
    <row r="129" spans="31:34" ht="18.899999999999999" customHeight="1">
      <c r="AE129" s="530"/>
      <c r="AF129" s="530"/>
      <c r="AG129" s="530"/>
      <c r="AH129" s="530"/>
    </row>
    <row r="130" spans="31:34" ht="18.899999999999999" customHeight="1">
      <c r="AE130" s="530"/>
      <c r="AF130" s="530"/>
      <c r="AG130" s="530"/>
      <c r="AH130" s="530"/>
    </row>
    <row r="131" spans="31:34" ht="18.899999999999999" customHeight="1">
      <c r="AE131" s="530"/>
      <c r="AF131" s="530"/>
      <c r="AG131" s="530"/>
      <c r="AH131" s="530"/>
    </row>
    <row r="132" spans="31:34" ht="18.899999999999999" customHeight="1">
      <c r="AE132" s="530"/>
      <c r="AF132" s="530"/>
      <c r="AG132" s="530"/>
      <c r="AH132" s="530"/>
    </row>
    <row r="133" spans="31:34" ht="18.899999999999999" customHeight="1">
      <c r="AE133" s="530"/>
      <c r="AF133" s="530"/>
      <c r="AG133" s="530"/>
      <c r="AH133" s="530"/>
    </row>
    <row r="134" spans="31:34" ht="18.899999999999999" customHeight="1">
      <c r="AE134" s="530"/>
      <c r="AF134" s="530"/>
      <c r="AG134" s="530"/>
      <c r="AH134" s="530"/>
    </row>
    <row r="135" spans="31:34" ht="18.899999999999999" customHeight="1">
      <c r="AE135" s="530"/>
      <c r="AF135" s="530"/>
      <c r="AG135" s="530"/>
      <c r="AH135" s="530"/>
    </row>
    <row r="136" spans="31:34" ht="18.899999999999999" customHeight="1">
      <c r="AE136" s="530"/>
      <c r="AF136" s="530"/>
      <c r="AG136" s="530"/>
      <c r="AH136" s="530"/>
    </row>
    <row r="137" spans="31:34" ht="18.899999999999999" customHeight="1">
      <c r="AE137" s="530"/>
      <c r="AF137" s="530"/>
      <c r="AG137" s="530"/>
      <c r="AH137" s="530"/>
    </row>
    <row r="138" spans="31:34" ht="18.899999999999999" customHeight="1">
      <c r="AE138" s="530"/>
      <c r="AF138" s="530"/>
      <c r="AG138" s="530"/>
      <c r="AH138" s="530"/>
    </row>
    <row r="139" spans="31:34" ht="18.899999999999999" customHeight="1">
      <c r="AE139" s="530"/>
      <c r="AF139" s="530"/>
      <c r="AG139" s="530"/>
      <c r="AH139" s="530"/>
    </row>
    <row r="140" spans="31:34" ht="18.899999999999999" customHeight="1">
      <c r="AE140" s="530"/>
      <c r="AF140" s="530"/>
      <c r="AG140" s="530"/>
      <c r="AH140" s="530"/>
    </row>
    <row r="141" spans="31:34" ht="18.899999999999999" customHeight="1">
      <c r="AE141" s="530"/>
      <c r="AF141" s="530"/>
      <c r="AG141" s="530"/>
      <c r="AH141" s="530"/>
    </row>
    <row r="142" spans="31:34" ht="18.899999999999999" customHeight="1">
      <c r="AE142" s="530"/>
      <c r="AF142" s="530"/>
      <c r="AG142" s="530"/>
      <c r="AH142" s="530"/>
    </row>
    <row r="143" spans="31:34" ht="18.899999999999999" customHeight="1">
      <c r="AE143" s="530"/>
      <c r="AF143" s="530"/>
      <c r="AG143" s="530"/>
      <c r="AH143" s="530"/>
    </row>
    <row r="144" spans="31:34" ht="18.899999999999999" customHeight="1">
      <c r="AE144" s="530"/>
      <c r="AF144" s="530"/>
      <c r="AG144" s="530"/>
      <c r="AH144" s="530"/>
    </row>
    <row r="145" spans="31:34" ht="18.899999999999999" customHeight="1">
      <c r="AE145" s="530"/>
      <c r="AF145" s="530"/>
      <c r="AG145" s="530"/>
      <c r="AH145" s="530"/>
    </row>
    <row r="146" spans="31:34" ht="18.899999999999999" customHeight="1">
      <c r="AE146" s="530"/>
      <c r="AF146" s="530"/>
      <c r="AG146" s="530"/>
      <c r="AH146" s="530"/>
    </row>
    <row r="147" spans="31:34" ht="18.899999999999999" customHeight="1">
      <c r="AE147" s="530"/>
      <c r="AF147" s="530"/>
      <c r="AG147" s="530"/>
      <c r="AH147" s="530"/>
    </row>
    <row r="148" spans="31:34" ht="18.899999999999999" customHeight="1">
      <c r="AE148" s="530"/>
      <c r="AF148" s="530"/>
      <c r="AG148" s="530"/>
      <c r="AH148" s="530"/>
    </row>
    <row r="149" spans="31:34" ht="18.899999999999999" customHeight="1">
      <c r="AE149" s="530"/>
      <c r="AF149" s="530"/>
      <c r="AG149" s="530"/>
      <c r="AH149" s="530"/>
    </row>
    <row r="150" spans="31:34" ht="18.899999999999999" customHeight="1">
      <c r="AE150" s="530"/>
      <c r="AF150" s="530"/>
      <c r="AG150" s="530"/>
      <c r="AH150" s="530"/>
    </row>
    <row r="151" spans="31:34" ht="18.899999999999999" customHeight="1">
      <c r="AE151" s="530"/>
      <c r="AF151" s="530"/>
      <c r="AG151" s="530"/>
      <c r="AH151" s="530"/>
    </row>
    <row r="152" spans="31:34" ht="18.899999999999999" customHeight="1">
      <c r="AE152" s="530"/>
      <c r="AF152" s="530"/>
      <c r="AG152" s="530"/>
      <c r="AH152" s="530"/>
    </row>
    <row r="153" spans="31:34" ht="18.899999999999999" customHeight="1">
      <c r="AE153" s="530"/>
      <c r="AF153" s="530"/>
      <c r="AG153" s="530"/>
      <c r="AH153" s="530"/>
    </row>
    <row r="154" spans="31:34" ht="18.899999999999999" customHeight="1">
      <c r="AE154" s="530"/>
      <c r="AF154" s="530"/>
      <c r="AG154" s="530"/>
      <c r="AH154" s="530"/>
    </row>
    <row r="155" spans="31:34" ht="18.899999999999999" customHeight="1">
      <c r="AE155" s="530"/>
      <c r="AF155" s="530"/>
      <c r="AG155" s="530"/>
      <c r="AH155" s="530"/>
    </row>
    <row r="156" spans="31:34" ht="18.899999999999999" customHeight="1">
      <c r="AE156" s="530"/>
      <c r="AF156" s="530"/>
      <c r="AG156" s="530"/>
      <c r="AH156" s="530"/>
    </row>
    <row r="157" spans="31:34" ht="18.899999999999999" customHeight="1">
      <c r="AE157" s="530"/>
      <c r="AF157" s="530"/>
      <c r="AG157" s="530"/>
      <c r="AH157" s="530"/>
    </row>
    <row r="158" spans="31:34" ht="18.899999999999999" customHeight="1">
      <c r="AE158" s="530"/>
      <c r="AF158" s="530"/>
      <c r="AG158" s="530"/>
      <c r="AH158" s="530"/>
    </row>
    <row r="159" spans="31:34" ht="18.899999999999999" customHeight="1">
      <c r="AE159" s="530"/>
      <c r="AF159" s="530"/>
      <c r="AG159" s="530"/>
      <c r="AH159" s="530"/>
    </row>
    <row r="160" spans="31:34" ht="18.899999999999999" customHeight="1">
      <c r="AE160" s="530"/>
      <c r="AF160" s="530"/>
      <c r="AG160" s="530"/>
      <c r="AH160" s="530"/>
    </row>
    <row r="161" spans="31:34" ht="18.899999999999999" customHeight="1">
      <c r="AE161" s="530"/>
      <c r="AF161" s="530"/>
      <c r="AG161" s="530"/>
      <c r="AH161" s="530"/>
    </row>
    <row r="162" spans="31:34" ht="18.899999999999999" customHeight="1">
      <c r="AE162" s="530"/>
      <c r="AF162" s="530"/>
      <c r="AG162" s="530"/>
      <c r="AH162" s="530"/>
    </row>
    <row r="163" spans="31:34" ht="18.899999999999999" customHeight="1">
      <c r="AE163" s="530"/>
      <c r="AF163" s="530"/>
      <c r="AG163" s="530"/>
      <c r="AH163" s="530"/>
    </row>
    <row r="164" spans="31:34" ht="18.899999999999999" customHeight="1">
      <c r="AE164" s="530"/>
      <c r="AF164" s="530"/>
      <c r="AG164" s="530"/>
      <c r="AH164" s="530"/>
    </row>
    <row r="165" spans="31:34" ht="18.899999999999999" customHeight="1">
      <c r="AE165" s="530"/>
      <c r="AF165" s="530"/>
      <c r="AG165" s="530"/>
      <c r="AH165" s="530"/>
    </row>
    <row r="166" spans="31:34" ht="18.899999999999999" customHeight="1">
      <c r="AE166" s="530"/>
      <c r="AF166" s="530"/>
      <c r="AG166" s="530"/>
      <c r="AH166" s="530"/>
    </row>
    <row r="167" spans="31:34" ht="18.899999999999999" customHeight="1">
      <c r="AE167" s="530"/>
      <c r="AF167" s="530"/>
      <c r="AG167" s="530"/>
      <c r="AH167" s="530"/>
    </row>
    <row r="168" spans="31:34" ht="18.899999999999999" customHeight="1">
      <c r="AE168" s="530"/>
      <c r="AF168" s="530"/>
      <c r="AG168" s="530"/>
      <c r="AH168" s="530"/>
    </row>
    <row r="169" spans="31:34" ht="18.899999999999999" customHeight="1">
      <c r="AE169" s="530"/>
      <c r="AF169" s="530"/>
      <c r="AG169" s="530"/>
      <c r="AH169" s="530"/>
    </row>
    <row r="170" spans="31:34" ht="18.899999999999999" customHeight="1">
      <c r="AE170" s="530"/>
      <c r="AF170" s="530"/>
      <c r="AG170" s="530"/>
      <c r="AH170" s="530"/>
    </row>
    <row r="171" spans="31:34" ht="18.899999999999999" customHeight="1">
      <c r="AE171" s="530"/>
      <c r="AF171" s="530"/>
      <c r="AG171" s="530"/>
      <c r="AH171" s="530"/>
    </row>
    <row r="172" spans="31:34" ht="18.899999999999999" customHeight="1">
      <c r="AE172" s="530"/>
      <c r="AF172" s="530"/>
      <c r="AG172" s="530"/>
      <c r="AH172" s="530"/>
    </row>
    <row r="173" spans="31:34" ht="18.899999999999999" customHeight="1">
      <c r="AE173" s="530"/>
      <c r="AF173" s="530"/>
      <c r="AG173" s="530"/>
      <c r="AH173" s="530"/>
    </row>
    <row r="174" spans="31:34" ht="18.899999999999999" customHeight="1">
      <c r="AE174" s="530"/>
      <c r="AF174" s="530"/>
      <c r="AG174" s="530"/>
      <c r="AH174" s="530"/>
    </row>
    <row r="175" spans="31:34" ht="18.899999999999999" customHeight="1">
      <c r="AE175" s="530"/>
      <c r="AF175" s="530"/>
      <c r="AG175" s="530"/>
      <c r="AH175" s="530"/>
    </row>
    <row r="176" spans="31:34" ht="18.899999999999999" customHeight="1">
      <c r="AE176" s="530"/>
      <c r="AF176" s="530"/>
      <c r="AG176" s="530"/>
      <c r="AH176" s="530"/>
    </row>
    <row r="177" spans="31:34" ht="18.899999999999999" customHeight="1">
      <c r="AE177" s="530"/>
      <c r="AF177" s="530"/>
      <c r="AG177" s="530"/>
      <c r="AH177" s="530"/>
    </row>
    <row r="178" spans="31:34" ht="18.899999999999999" customHeight="1">
      <c r="AE178" s="530"/>
      <c r="AF178" s="530"/>
      <c r="AG178" s="530"/>
      <c r="AH178" s="530"/>
    </row>
    <row r="179" spans="31:34" ht="18.899999999999999" customHeight="1">
      <c r="AE179" s="530"/>
      <c r="AF179" s="530"/>
      <c r="AG179" s="530"/>
      <c r="AH179" s="530"/>
    </row>
    <row r="180" spans="31:34" ht="18.899999999999999" customHeight="1">
      <c r="AE180" s="530"/>
      <c r="AF180" s="530"/>
      <c r="AG180" s="530"/>
      <c r="AH180" s="530"/>
    </row>
    <row r="181" spans="31:34" ht="18.899999999999999" customHeight="1">
      <c r="AE181" s="530"/>
      <c r="AF181" s="530"/>
      <c r="AG181" s="530"/>
      <c r="AH181" s="530"/>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8" customWidth="1"/>
    <col min="8" max="16384" width="8.90625" style="67"/>
  </cols>
  <sheetData>
    <row r="3" spans="1:13" ht="16.8">
      <c r="B3" s="100" t="s">
        <v>3988</v>
      </c>
      <c r="C3" s="85"/>
      <c r="D3" s="85"/>
      <c r="E3" s="85"/>
    </row>
    <row r="4" spans="1:13">
      <c r="F4" s="103"/>
      <c r="G4" s="102"/>
      <c r="H4" s="103"/>
      <c r="I4" s="103"/>
    </row>
    <row r="5" spans="1:13" ht="13.8">
      <c r="A5" s="104"/>
      <c r="B5" s="91" t="s">
        <v>1712</v>
      </c>
      <c r="C5" s="91" t="s">
        <v>2287</v>
      </c>
      <c r="D5" s="91" t="s">
        <v>2288</v>
      </c>
      <c r="E5" s="91" t="s">
        <v>2289</v>
      </c>
      <c r="F5" s="105">
        <f>pp_NC!GV5</f>
        <v>0</v>
      </c>
      <c r="G5" s="105" t="str">
        <f>'pp3p2m '!ED6</f>
        <v>B</v>
      </c>
      <c r="H5" s="105" t="s">
        <v>1038</v>
      </c>
      <c r="I5" s="105" t="s">
        <v>1038</v>
      </c>
      <c r="J5" s="106"/>
      <c r="K5" s="102"/>
      <c r="L5" s="102"/>
      <c r="M5" s="102"/>
    </row>
    <row r="6" spans="1:13" ht="13.8">
      <c r="A6" s="92" t="s">
        <v>2290</v>
      </c>
      <c r="B6" s="93"/>
      <c r="C6" s="136"/>
      <c r="D6" s="93" t="s">
        <v>2291</v>
      </c>
      <c r="E6" s="93" t="s">
        <v>2292</v>
      </c>
      <c r="F6" s="94" t="s">
        <v>2293</v>
      </c>
      <c r="G6" s="107"/>
      <c r="H6" s="104"/>
      <c r="I6" s="104"/>
      <c r="J6" s="104"/>
    </row>
    <row r="7" spans="1:13" ht="13.8">
      <c r="A7" s="108"/>
      <c r="B7" s="137">
        <v>1</v>
      </c>
      <c r="C7" s="137">
        <v>2</v>
      </c>
      <c r="D7" s="137">
        <v>3</v>
      </c>
      <c r="E7" s="137">
        <v>4</v>
      </c>
      <c r="F7" s="104"/>
      <c r="G7" s="107"/>
      <c r="H7" s="104"/>
      <c r="I7" s="104"/>
      <c r="J7" s="104"/>
    </row>
    <row r="8" spans="1:13" ht="13.8">
      <c r="A8" s="108"/>
      <c r="B8" s="138" t="s">
        <v>501</v>
      </c>
      <c r="C8" s="135" t="s">
        <v>2294</v>
      </c>
      <c r="D8" s="139"/>
      <c r="E8" s="650"/>
      <c r="F8" s="104"/>
      <c r="G8" s="112">
        <v>1</v>
      </c>
      <c r="H8" s="104"/>
      <c r="I8" s="104"/>
      <c r="J8" s="104"/>
    </row>
    <row r="9" spans="1:13" ht="13.8">
      <c r="A9" s="108" t="e">
        <f>#REF!</f>
        <v>#REF!</v>
      </c>
      <c r="B9" s="113" t="e">
        <f>IF(E9=0,"",COUNTIF($E$8:$E9,"&gt;0"))</f>
        <v>#REF!</v>
      </c>
      <c r="C9" s="114" t="e">
        <v>#REF!</v>
      </c>
      <c r="D9" s="97" t="e">
        <v>#REF!</v>
      </c>
      <c r="E9" s="115" t="e">
        <v>#REF!</v>
      </c>
      <c r="F9" s="104"/>
      <c r="G9" s="112" t="e">
        <f t="shared" ref="G9:G23" si="0">IF(E9&lt;&gt;0,1,0)</f>
        <v>#REF!</v>
      </c>
      <c r="H9" s="104"/>
      <c r="I9" s="104"/>
      <c r="J9" s="104"/>
    </row>
    <row r="10" spans="1:13" ht="13.8" hidden="1">
      <c r="A10" s="108" t="e">
        <f>#REF!</f>
        <v>#REF!</v>
      </c>
      <c r="B10" s="113" t="e">
        <f>IF(E10=0,"",COUNTIF($E$10:$E10,"&gt;0"))</f>
        <v>#REF!</v>
      </c>
      <c r="C10" s="114" t="e">
        <v>#REF!</v>
      </c>
      <c r="D10" s="97" t="e">
        <v>#REF!</v>
      </c>
      <c r="E10" s="115" t="e">
        <v>#REF!</v>
      </c>
      <c r="F10" s="104"/>
      <c r="G10" s="112" t="e">
        <f t="shared" si="0"/>
        <v>#REF!</v>
      </c>
      <c r="H10" s="104"/>
      <c r="I10" s="104"/>
      <c r="J10" s="104"/>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108" t="e">
        <f>#REF!</f>
        <v>#REF!</v>
      </c>
      <c r="B15" s="113" t="e">
        <f>IF(E15=0,"",COUNTIF($E$10:$E15,"&gt;0"))</f>
        <v>#REF!</v>
      </c>
      <c r="C15" s="114" t="e">
        <v>#REF!</v>
      </c>
      <c r="D15" s="97" t="e">
        <v>#REF!</v>
      </c>
      <c r="E15" s="115" t="e">
        <v>#REF!</v>
      </c>
      <c r="F15" s="104"/>
      <c r="G15" s="112" t="e">
        <f t="shared" si="0"/>
        <v>#REF!</v>
      </c>
      <c r="H15" s="104"/>
      <c r="I15" s="104"/>
      <c r="J15" s="104"/>
    </row>
    <row r="16" spans="1:13" ht="13.8" hidden="1">
      <c r="A16" s="108" t="e">
        <f>#REF!</f>
        <v>#REF!</v>
      </c>
      <c r="B16" s="113" t="e">
        <f>IF(E16=0,"",COUNTIF($E$10:$E16,"&gt;0"))</f>
        <v>#REF!</v>
      </c>
      <c r="C16" s="114" t="e">
        <v>#REF!</v>
      </c>
      <c r="D16" s="97" t="e">
        <v>#REF!</v>
      </c>
      <c r="E16" s="115" t="e">
        <v>#REF!</v>
      </c>
      <c r="F16" s="104"/>
      <c r="G16" s="112" t="e">
        <f t="shared" si="0"/>
        <v>#REF!</v>
      </c>
      <c r="H16" s="104"/>
      <c r="I16" s="104"/>
      <c r="J16" s="104"/>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108" t="e">
        <f>#REF!</f>
        <v>#REF!</v>
      </c>
      <c r="B18" s="113" t="e">
        <f>IF(E18=0,"",COUNTIF($E$10:$E18,"&gt;0"))</f>
        <v>#REF!</v>
      </c>
      <c r="C18" s="114" t="e">
        <v>#REF!</v>
      </c>
      <c r="D18" s="97" t="e">
        <v>#REF!</v>
      </c>
      <c r="E18" s="115" t="e">
        <v>#REF!</v>
      </c>
      <c r="F18" s="104"/>
      <c r="G18" s="112" t="e">
        <f t="shared" si="0"/>
        <v>#REF!</v>
      </c>
      <c r="H18" s="104"/>
      <c r="I18" s="104"/>
      <c r="J18" s="104"/>
    </row>
    <row r="19" spans="1:10" ht="13.8" hidden="1">
      <c r="A19" s="108" t="e">
        <f>#REF!</f>
        <v>#REF!</v>
      </c>
      <c r="B19" s="113" t="e">
        <f>IF(E19=0,"",COUNTIF($E$10:$E19,"&gt;0"))</f>
        <v>#REF!</v>
      </c>
      <c r="C19" s="114" t="e">
        <v>#REF!</v>
      </c>
      <c r="D19" s="97" t="e">
        <v>#REF!</v>
      </c>
      <c r="E19" s="115" t="e">
        <v>#REF!</v>
      </c>
      <c r="F19" s="104"/>
      <c r="G19" s="112" t="e">
        <f>IF(E19&lt;&gt;0,1,0)</f>
        <v>#REF!</v>
      </c>
      <c r="H19" s="104"/>
      <c r="I19" s="104"/>
      <c r="J19" s="104"/>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108" t="e">
        <f>#REF!</f>
        <v>#REF!</v>
      </c>
      <c r="B23" s="113" t="e">
        <f>IF(E23=0,"",COUNTIF($E$10:$E23,"&gt;0"))</f>
        <v>#REF!</v>
      </c>
      <c r="C23" s="114" t="e">
        <v>#REF!</v>
      </c>
      <c r="D23" s="97" t="e">
        <v>#REF!</v>
      </c>
      <c r="E23" s="115" t="e">
        <v>#REF!</v>
      </c>
      <c r="F23" s="104"/>
      <c r="G23" s="112" t="e">
        <f t="shared" si="0"/>
        <v>#REF!</v>
      </c>
      <c r="H23" s="104"/>
      <c r="I23" s="104"/>
      <c r="J23" s="104"/>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108" t="e">
        <f>#REF!</f>
        <v>#REF!</v>
      </c>
      <c r="B40" s="113">
        <v>7</v>
      </c>
      <c r="C40" s="114" t="e">
        <v>#REF!</v>
      </c>
      <c r="D40" s="97" t="e">
        <v>#REF!</v>
      </c>
      <c r="E40" s="115" t="e">
        <v>#REF!</v>
      </c>
      <c r="F40" s="104"/>
      <c r="G40" s="112" t="e">
        <f t="shared" si="1"/>
        <v>#REF!</v>
      </c>
      <c r="H40" s="104"/>
      <c r="I40" s="104"/>
      <c r="J40" s="104"/>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108" t="e">
        <f>#REF!</f>
        <v>#REF!</v>
      </c>
      <c r="B43" s="113">
        <v>8</v>
      </c>
      <c r="C43" s="114" t="e">
        <v>#REF!</v>
      </c>
      <c r="D43" s="97" t="e">
        <v>#REF!</v>
      </c>
      <c r="E43" s="115" t="e">
        <v>#REF!</v>
      </c>
      <c r="F43" s="104"/>
      <c r="G43" s="112" t="e">
        <f>IF(E43&lt;&gt;0,1,0)</f>
        <v>#REF!</v>
      </c>
      <c r="H43" s="104"/>
      <c r="I43" s="104"/>
      <c r="J43" s="104"/>
    </row>
    <row r="44" spans="1:10" ht="13.8">
      <c r="A44" s="108"/>
      <c r="B44" s="117" t="s">
        <v>939</v>
      </c>
      <c r="C44" s="96" t="s">
        <v>2320</v>
      </c>
      <c r="D44" s="114"/>
      <c r="E44" s="115"/>
      <c r="F44" s="104"/>
      <c r="G44" s="112">
        <v>1</v>
      </c>
      <c r="H44" s="104"/>
      <c r="I44" s="104"/>
      <c r="J44" s="104"/>
    </row>
    <row r="45" spans="1:10" ht="13.8">
      <c r="A45" s="108" t="e">
        <f>#REF!</f>
        <v>#REF!</v>
      </c>
      <c r="B45" s="113" t="e">
        <f>IF(E45=0,"",COUNTIF($E$45:$E45,"&gt;0"))</f>
        <v>#REF!</v>
      </c>
      <c r="C45" s="114" t="e">
        <v>#REF!</v>
      </c>
      <c r="D45" s="97" t="e">
        <v>#REF!</v>
      </c>
      <c r="E45" s="115" t="e">
        <v>#REF!</v>
      </c>
      <c r="F45" s="104"/>
      <c r="G45" s="112" t="e">
        <f t="shared" ref="G45:G66" si="2">IF(E45&lt;&gt;0,1,0)</f>
        <v>#REF!</v>
      </c>
      <c r="H45" s="104"/>
      <c r="I45" s="104"/>
      <c r="J45" s="104"/>
    </row>
    <row r="46" spans="1:10" ht="13.8" hidden="1">
      <c r="A46" s="108" t="e">
        <f>#REF!</f>
        <v>#REF!</v>
      </c>
      <c r="B46" s="113" t="e">
        <f>IF(E46=0,"",COUNTIF($E$45:$E46,"&gt;0"))</f>
        <v>#REF!</v>
      </c>
      <c r="C46" s="114" t="e">
        <v>#REF!</v>
      </c>
      <c r="D46" s="97" t="e">
        <v>#REF!</v>
      </c>
      <c r="E46" s="115" t="e">
        <v>#REF!</v>
      </c>
      <c r="F46" s="104"/>
      <c r="G46" s="112" t="e">
        <f t="shared" si="2"/>
        <v>#REF!</v>
      </c>
      <c r="H46" s="104"/>
      <c r="I46" s="104"/>
      <c r="J46" s="104"/>
    </row>
    <row r="47" spans="1:10" ht="13.8" hidden="1">
      <c r="A47" s="108" t="e">
        <f>#REF!</f>
        <v>#REF!</v>
      </c>
      <c r="B47" s="113" t="e">
        <f>IF(E47=0,"",COUNTIF($E$45:$E47,"&gt;0"))</f>
        <v>#REF!</v>
      </c>
      <c r="C47" s="114" t="e">
        <v>#REF!</v>
      </c>
      <c r="D47" s="97" t="e">
        <v>#REF!</v>
      </c>
      <c r="E47" s="115" t="e">
        <v>#REF!</v>
      </c>
      <c r="F47" s="104"/>
      <c r="G47" s="112" t="e">
        <f t="shared" si="2"/>
        <v>#REF!</v>
      </c>
      <c r="H47" s="104"/>
      <c r="I47" s="104"/>
      <c r="J47" s="104"/>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108" t="e">
        <f>#REF!</f>
        <v>#REF!</v>
      </c>
      <c r="B49" s="113" t="e">
        <f>IF(E49=0,"",COUNTIF($E$45:$E49,"&gt;0"))</f>
        <v>#REF!</v>
      </c>
      <c r="C49" s="114" t="e">
        <v>#REF!</v>
      </c>
      <c r="D49" s="97" t="e">
        <v>#REF!</v>
      </c>
      <c r="E49" s="115" t="e">
        <v>#REF!</v>
      </c>
      <c r="F49" s="104"/>
      <c r="G49" s="112" t="e">
        <f t="shared" si="2"/>
        <v>#REF!</v>
      </c>
      <c r="H49" s="104"/>
      <c r="I49" s="104"/>
      <c r="J49" s="104"/>
    </row>
    <row r="50" spans="1:10" ht="13.8" hidden="1">
      <c r="A50" s="108" t="e">
        <f>#REF!</f>
        <v>#REF!</v>
      </c>
      <c r="B50" s="113" t="e">
        <f>IF(E50=0,"",COUNTIF($E$45:$E50,"&gt;0"))</f>
        <v>#REF!</v>
      </c>
      <c r="C50" s="114" t="e">
        <v>#REF!</v>
      </c>
      <c r="D50" s="97" t="e">
        <v>#REF!</v>
      </c>
      <c r="E50" s="115" t="e">
        <v>#REF!</v>
      </c>
      <c r="F50" s="104"/>
      <c r="G50" s="112" t="e">
        <f t="shared" si="2"/>
        <v>#REF!</v>
      </c>
      <c r="H50" s="104"/>
      <c r="I50" s="104"/>
      <c r="J50" s="104"/>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44" customFormat="1" ht="13.8" hidden="1">
      <c r="A57" s="140" t="e">
        <f>#REF!</f>
        <v>#REF!</v>
      </c>
      <c r="B57" s="141" t="e">
        <f>IF(E57=0,"",COUNTIF($E$45:$E57,"&gt;0"))</f>
        <v>#REF!</v>
      </c>
      <c r="C57" s="114" t="e">
        <v>#REF!</v>
      </c>
      <c r="D57" s="97" t="e">
        <v>#REF!</v>
      </c>
      <c r="E57" s="115" t="e">
        <v>#REF!</v>
      </c>
      <c r="F57" s="142"/>
      <c r="G57" s="143" t="e">
        <f t="shared" si="2"/>
        <v>#REF!</v>
      </c>
      <c r="H57" s="142"/>
      <c r="I57" s="142"/>
      <c r="J57" s="142"/>
    </row>
    <row r="58" spans="1:10" ht="13.8" hidden="1">
      <c r="A58" s="108" t="e">
        <f>#REF!</f>
        <v>#REF!</v>
      </c>
      <c r="B58" s="113">
        <v>7</v>
      </c>
      <c r="C58" s="114" t="e">
        <v>#REF!</v>
      </c>
      <c r="D58" s="97" t="e">
        <v>#REF!</v>
      </c>
      <c r="E58" s="115" t="e">
        <v>#REF!</v>
      </c>
      <c r="F58" s="104"/>
      <c r="G58" s="112" t="e">
        <f t="shared" si="2"/>
        <v>#REF!</v>
      </c>
      <c r="H58" s="104"/>
      <c r="I58" s="104"/>
      <c r="J58" s="104"/>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108" t="s">
        <v>1358</v>
      </c>
      <c r="B67" s="117" t="s">
        <v>1618</v>
      </c>
      <c r="C67" s="96" t="s">
        <v>2306</v>
      </c>
      <c r="D67" s="97" t="s">
        <v>2307</v>
      </c>
      <c r="E67" s="118"/>
      <c r="F67" s="104"/>
      <c r="G67" s="112">
        <v>1</v>
      </c>
      <c r="H67" s="104"/>
      <c r="I67" s="104"/>
      <c r="J67" s="104"/>
    </row>
    <row r="68" spans="1:10" s="1" customFormat="1" ht="13.8" hidden="1">
      <c r="A68" s="9" t="str">
        <f>chitiet!B2054</f>
        <v>AV95</v>
      </c>
      <c r="B68" s="25"/>
      <c r="C68" s="16" t="s">
        <v>2778</v>
      </c>
      <c r="D68" s="19" t="s">
        <v>2538</v>
      </c>
      <c r="E68" s="24">
        <v>0</v>
      </c>
      <c r="F68" s="10">
        <f>chitiet!E2054</f>
        <v>0</v>
      </c>
      <c r="G68" s="7">
        <f>IF(E68&lt;&gt;0,1,0)</f>
        <v>0</v>
      </c>
      <c r="H68" s="4"/>
      <c r="I68" s="4"/>
      <c r="J68" s="4"/>
    </row>
    <row r="69" spans="1:10" s="1" customFormat="1" ht="13.8" hidden="1">
      <c r="A69" s="9" t="str">
        <f>chitiet!B2055</f>
        <v>AV50</v>
      </c>
      <c r="B69" s="28" t="str">
        <f>IF(E69=0,"",COUNTIF($E$68:$E69,"&gt;0"))</f>
        <v/>
      </c>
      <c r="C69" s="16" t="s">
        <v>5065</v>
      </c>
      <c r="D69" s="19" t="s">
        <v>2538</v>
      </c>
      <c r="E69" s="24">
        <v>0</v>
      </c>
      <c r="F69" s="10">
        <f>chitiet!E2056</f>
        <v>0</v>
      </c>
      <c r="G69" s="7">
        <f t="shared" ref="G69:G137" si="3">IF(E69&lt;&gt;0,1,0)</f>
        <v>0</v>
      </c>
      <c r="H69" s="4"/>
      <c r="I69" s="4"/>
      <c r="J69" s="4"/>
    </row>
    <row r="70" spans="1:10" s="1" customFormat="1" ht="13.8" hidden="1">
      <c r="A70" s="9" t="str">
        <f>chitiet!B2056</f>
        <v>AC50</v>
      </c>
      <c r="B70" s="28" t="str">
        <f>IF(E70=0,"",COUNTIF($E$68:$E70,"&gt;0"))</f>
        <v/>
      </c>
      <c r="C70" s="16" t="s">
        <v>2768</v>
      </c>
      <c r="D70" s="19" t="s">
        <v>2254</v>
      </c>
      <c r="E70" s="24">
        <v>0</v>
      </c>
      <c r="F70" s="4"/>
      <c r="G70" s="7">
        <f t="shared" si="3"/>
        <v>0</v>
      </c>
      <c r="H70" s="4"/>
      <c r="I70" s="4"/>
      <c r="J70" s="4"/>
    </row>
    <row r="71" spans="1:10" s="1" customFormat="1" ht="13.8" hidden="1">
      <c r="A71" s="9" t="str">
        <f>chitiet!B2057</f>
        <v>ABC3x50</v>
      </c>
      <c r="B71" s="28" t="e">
        <f>IF(E71=0,"",COUNTIF($E$68:$E71,"&gt;0"))</f>
        <v>#N/A</v>
      </c>
      <c r="C71" s="16" t="e">
        <v>#N/A</v>
      </c>
      <c r="D71" s="19" t="e">
        <v>#N/A</v>
      </c>
      <c r="E71" s="24" t="e">
        <v>#N/A</v>
      </c>
      <c r="F71" s="4"/>
      <c r="G71" s="7" t="e">
        <f>IF(E71&lt;&gt;0,1,0)</f>
        <v>#N/A</v>
      </c>
      <c r="H71" s="4"/>
      <c r="I71" s="4"/>
      <c r="J71" s="4"/>
    </row>
    <row r="72" spans="1:10" ht="13.8" hidden="1">
      <c r="A72" s="119" t="str">
        <f>chitiet!B2058</f>
        <v>ABC3x70</v>
      </c>
      <c r="B72" s="141" t="e">
        <f>IF(E72=0,"",COUNTIF($E$68:$E72,"&gt;0"))</f>
        <v>#N/A</v>
      </c>
      <c r="C72" s="114" t="e">
        <v>#N/A</v>
      </c>
      <c r="D72" s="97" t="e">
        <v>#N/A</v>
      </c>
      <c r="E72" s="145" t="e">
        <v>#N/A</v>
      </c>
      <c r="F72" s="104"/>
      <c r="G72" s="112" t="e">
        <f>IF(E72&lt;&gt;0,1,0)</f>
        <v>#N/A</v>
      </c>
      <c r="H72" s="104"/>
      <c r="I72" s="104"/>
      <c r="J72" s="104"/>
    </row>
    <row r="73" spans="1:10" s="1" customFormat="1" ht="13.8" hidden="1">
      <c r="A73" s="9" t="str">
        <f>chitiet!B2059</f>
        <v>ABC4x50</v>
      </c>
      <c r="B73" s="28" t="str">
        <f>IF(E73=0,"",COUNTIF($E$68:$E73,"&gt;0"))</f>
        <v/>
      </c>
      <c r="C73" s="16" t="s">
        <v>2786</v>
      </c>
      <c r="D73" s="19" t="s">
        <v>2538</v>
      </c>
      <c r="E73" s="24">
        <v>0</v>
      </c>
      <c r="F73" s="4"/>
      <c r="G73" s="7">
        <f t="shared" si="3"/>
        <v>0</v>
      </c>
      <c r="H73" s="4"/>
      <c r="I73" s="4"/>
      <c r="J73" s="4"/>
    </row>
    <row r="74" spans="1:10" ht="13.8">
      <c r="A74" s="119" t="str">
        <f>chitiet!B2060</f>
        <v>ABC4x70</v>
      </c>
      <c r="B74" s="141" t="str">
        <f>IF(E74=0,"",COUNTIF($E$68:$E74,"&gt;0"))</f>
        <v/>
      </c>
      <c r="C74" s="114" t="s">
        <v>2787</v>
      </c>
      <c r="D74" s="97" t="s">
        <v>2538</v>
      </c>
      <c r="E74" s="145">
        <v>0</v>
      </c>
      <c r="F74" s="104"/>
      <c r="G74" s="112">
        <f t="shared" si="3"/>
        <v>0</v>
      </c>
      <c r="H74" s="104"/>
      <c r="I74" s="104"/>
      <c r="J74" s="104"/>
    </row>
    <row r="75" spans="1:10" s="1" customFormat="1" ht="13.8" hidden="1">
      <c r="A75" s="9" t="str">
        <f>chitiet!B2061</f>
        <v>ABC4x95</v>
      </c>
      <c r="B75" s="28" t="str">
        <f>IF(E75=0,"",COUNTIF($E$68:$E75,"&gt;0"))</f>
        <v/>
      </c>
      <c r="C75" s="16" t="s">
        <v>4508</v>
      </c>
      <c r="D75" s="19" t="s">
        <v>2538</v>
      </c>
      <c r="E75" s="24">
        <v>0</v>
      </c>
      <c r="F75" s="4"/>
      <c r="G75" s="7">
        <f t="shared" si="3"/>
        <v>0</v>
      </c>
      <c r="H75" s="4"/>
      <c r="I75" s="4"/>
      <c r="J75" s="4"/>
    </row>
    <row r="76" spans="1:10" s="1" customFormat="1" ht="13.8" hidden="1">
      <c r="A76" s="9" t="str">
        <f>chitiet!B2062</f>
        <v>ABC4x150</v>
      </c>
      <c r="B76" s="28" t="str">
        <f>IF(E76=0,"",COUNTIF($E$68:$E76,"&gt;0"))</f>
        <v/>
      </c>
      <c r="C76" s="16" t="s">
        <v>2789</v>
      </c>
      <c r="D76" s="19" t="s">
        <v>2538</v>
      </c>
      <c r="E76" s="24">
        <v>0</v>
      </c>
      <c r="F76" s="4"/>
      <c r="G76" s="7">
        <f t="shared" si="3"/>
        <v>0</v>
      </c>
      <c r="H76" s="4"/>
      <c r="I76" s="4"/>
      <c r="J76" s="4"/>
    </row>
    <row r="77" spans="1:10" s="1" customFormat="1" ht="13.8" hidden="1">
      <c r="A77" s="9" t="str">
        <f>chitiet!B2063</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chitiet!B2065</f>
        <v>ON95</v>
      </c>
      <c r="B78" s="28" t="str">
        <f>IF(E78=0,"",COUNTIF($E$68:$E78,"&gt;0"))</f>
        <v/>
      </c>
      <c r="C78" s="16" t="s">
        <v>2942</v>
      </c>
      <c r="D78" s="19" t="s">
        <v>2563</v>
      </c>
      <c r="E78" s="24">
        <v>0</v>
      </c>
      <c r="F78" s="4"/>
      <c r="G78" s="7">
        <f t="shared" si="4"/>
        <v>0</v>
      </c>
      <c r="H78" s="4"/>
      <c r="I78" s="4"/>
      <c r="J78" s="4"/>
    </row>
    <row r="79" spans="1:10" s="1" customFormat="1" ht="13.8" hidden="1">
      <c r="A79" s="9" t="str">
        <f>chitiet!B2066</f>
        <v>COSE50</v>
      </c>
      <c r="B79" s="28" t="e">
        <f>IF(E79=0,"",COUNTIF($E$68:$E79,"&gt;0"))</f>
        <v>#N/A</v>
      </c>
      <c r="C79" s="16" t="e">
        <v>#N/A</v>
      </c>
      <c r="D79" s="19" t="e">
        <v>#N/A</v>
      </c>
      <c r="E79" s="24" t="e">
        <v>#N/A</v>
      </c>
      <c r="F79" s="4"/>
      <c r="G79" s="7" t="e">
        <f t="shared" si="4"/>
        <v>#N/A</v>
      </c>
      <c r="H79" s="4"/>
      <c r="I79" s="4"/>
      <c r="J79" s="4"/>
    </row>
    <row r="80" spans="1:10" s="1" customFormat="1" ht="13.8" hidden="1">
      <c r="A80" s="9" t="str">
        <f>chitiet!B2067</f>
        <v>COSE70</v>
      </c>
      <c r="B80" s="28" t="str">
        <f>IF(E80=0,"",COUNTIF($E$68:$E80,"&gt;0"))</f>
        <v/>
      </c>
      <c r="C80" s="16" t="s">
        <v>5066</v>
      </c>
      <c r="D80" s="19" t="s">
        <v>2563</v>
      </c>
      <c r="E80" s="24">
        <v>0</v>
      </c>
      <c r="F80" s="4"/>
      <c r="G80" s="7">
        <f t="shared" si="4"/>
        <v>0</v>
      </c>
      <c r="H80" s="4"/>
      <c r="I80" s="4"/>
      <c r="J80" s="4"/>
    </row>
    <row r="81" spans="1:10" s="1" customFormat="1" ht="13.8" hidden="1">
      <c r="A81" s="9" t="str">
        <f>chitiet!B2068</f>
        <v>B1250TH</v>
      </c>
      <c r="B81" s="28" t="e">
        <f>IF(E81=0,"",COUNTIF($E$68:$E81,"&gt;0"))</f>
        <v>#N/A</v>
      </c>
      <c r="C81" s="16" t="e">
        <v>#N/A</v>
      </c>
      <c r="D81" s="19" t="e">
        <v>#N/A</v>
      </c>
      <c r="E81" s="24" t="e">
        <v>#N/A</v>
      </c>
      <c r="F81" s="4"/>
      <c r="G81" s="7" t="e">
        <f t="shared" si="4"/>
        <v>#N/A</v>
      </c>
      <c r="H81" s="4"/>
      <c r="I81" s="4"/>
      <c r="J81" s="4"/>
    </row>
    <row r="82" spans="1:10" s="1" customFormat="1" ht="13.8" hidden="1">
      <c r="A82" s="9" t="str">
        <f>chitiet!B2069</f>
        <v>CTD+K</v>
      </c>
      <c r="B82" s="28" t="e">
        <f>IF(E82=0,"",COUNTIF($E$68:$E82,"&gt;0"))</f>
        <v>#N/A</v>
      </c>
      <c r="C82" s="16" t="e">
        <v>#N/A</v>
      </c>
      <c r="D82" s="19" t="e">
        <v>#N/A</v>
      </c>
      <c r="E82" s="24" t="e">
        <v>#N/A</v>
      </c>
      <c r="F82" s="4"/>
      <c r="G82" s="7" t="e">
        <f t="shared" si="4"/>
        <v>#N/A</v>
      </c>
      <c r="H82" s="4"/>
      <c r="I82" s="4"/>
      <c r="J82" s="4"/>
    </row>
    <row r="83" spans="1:10" s="1" customFormat="1" ht="13.8" hidden="1">
      <c r="A83" s="9" t="str">
        <f>chitiet!B2070</f>
        <v>M25</v>
      </c>
      <c r="B83" s="28" t="e">
        <f>IF(E83=0,"",COUNTIF($E$68:$E83,"&gt;0"))</f>
        <v>#N/A</v>
      </c>
      <c r="C83" s="16" t="e">
        <v>#N/A</v>
      </c>
      <c r="D83" s="19" t="e">
        <v>#N/A</v>
      </c>
      <c r="E83" s="24" t="e">
        <v>#N/A</v>
      </c>
      <c r="F83" s="4"/>
      <c r="G83" s="7" t="e">
        <f t="shared" si="4"/>
        <v>#N/A</v>
      </c>
      <c r="H83" s="4"/>
      <c r="I83" s="4"/>
      <c r="J83" s="4"/>
    </row>
    <row r="84" spans="1:10" ht="13.8">
      <c r="A84" s="119" t="str">
        <f>chitiet!B2073</f>
        <v>GIP70-35</v>
      </c>
      <c r="B84" s="141" t="str">
        <f>IF(E84=0,"",COUNTIF($E$68:$E84,"&gt;0"))</f>
        <v/>
      </c>
      <c r="C84" s="114" t="s">
        <v>5067</v>
      </c>
      <c r="D84" s="97" t="s">
        <v>2563</v>
      </c>
      <c r="E84" s="145">
        <v>0</v>
      </c>
      <c r="F84" s="104"/>
      <c r="G84" s="112">
        <f t="shared" si="3"/>
        <v>0</v>
      </c>
      <c r="H84" s="104"/>
      <c r="I84" s="104"/>
      <c r="J84" s="104"/>
    </row>
    <row r="85" spans="1:10" ht="13.8">
      <c r="A85" s="119" t="str">
        <f>chitiet!B2074</f>
        <v>GIP70-70</v>
      </c>
      <c r="B85" s="141" t="str">
        <f>IF(E85=0,"",COUNTIF($E$68:$E85,"&gt;0"))</f>
        <v/>
      </c>
      <c r="C85" s="114" t="s">
        <v>5068</v>
      </c>
      <c r="D85" s="97" t="s">
        <v>2563</v>
      </c>
      <c r="E85" s="145">
        <v>0</v>
      </c>
      <c r="F85" s="104"/>
      <c r="G85" s="112">
        <f>IF(E85&lt;&gt;0,1,0)</f>
        <v>0</v>
      </c>
      <c r="H85" s="104"/>
      <c r="I85" s="104"/>
      <c r="J85" s="104"/>
    </row>
    <row r="86" spans="1:10" s="1" customFormat="1" ht="13.8" hidden="1">
      <c r="A86" s="9" t="str">
        <f>chitiet!B2075</f>
        <v>GIP95-70</v>
      </c>
      <c r="B86" s="28" t="str">
        <f>IF(E86=0,"",COUNTIF($E$68:$E86,"&gt;0"))</f>
        <v/>
      </c>
      <c r="C86" s="16" t="s">
        <v>5069</v>
      </c>
      <c r="D86" s="19" t="s">
        <v>2563</v>
      </c>
      <c r="E86" s="24">
        <v>0</v>
      </c>
      <c r="F86" s="4"/>
      <c r="G86" s="7">
        <f t="shared" si="3"/>
        <v>0</v>
      </c>
      <c r="H86" s="4"/>
      <c r="I86" s="4"/>
      <c r="J86" s="4"/>
    </row>
    <row r="87" spans="1:10" s="1" customFormat="1" ht="13.8" hidden="1">
      <c r="A87" s="9" t="str">
        <f>chitiet!B2076</f>
        <v>GIP150-70</v>
      </c>
      <c r="B87" s="28" t="str">
        <f>IF(E87=0,"",COUNTIF($E$68:$E87,"&gt;0"))</f>
        <v/>
      </c>
      <c r="C87" s="16" t="s">
        <v>5070</v>
      </c>
      <c r="D87" s="19" t="s">
        <v>2563</v>
      </c>
      <c r="E87" s="24">
        <v>0</v>
      </c>
      <c r="F87" s="4"/>
      <c r="G87" s="7">
        <f>IF(E87&lt;&gt;0,1,0)</f>
        <v>0</v>
      </c>
      <c r="H87" s="4"/>
      <c r="I87" s="4"/>
      <c r="J87" s="4"/>
    </row>
    <row r="88" spans="1:10" s="1" customFormat="1" ht="13.8" hidden="1">
      <c r="A88" s="9" t="str">
        <f>chitiet!B2077</f>
        <v>GIP95-150</v>
      </c>
      <c r="B88" s="28" t="str">
        <f>IF(E88=0,"",COUNTIF($E$68:$E88,"&gt;0"))</f>
        <v/>
      </c>
      <c r="C88" s="16" t="s">
        <v>5071</v>
      </c>
      <c r="D88" s="19" t="s">
        <v>2563</v>
      </c>
      <c r="E88" s="24">
        <v>0</v>
      </c>
      <c r="F88" s="4"/>
      <c r="G88" s="7">
        <f t="shared" si="3"/>
        <v>0</v>
      </c>
      <c r="H88" s="4"/>
      <c r="I88" s="4"/>
      <c r="J88" s="4"/>
    </row>
    <row r="89" spans="1:10" s="1" customFormat="1" ht="13.8" hidden="1">
      <c r="A89" s="9" t="str">
        <f>chitiet!B2080</f>
        <v>GIP95-50</v>
      </c>
      <c r="B89" s="28" t="str">
        <f>IF(E89=0,"",COUNTIF($E$68:$E89,"&gt;0"))</f>
        <v/>
      </c>
      <c r="C89" s="16" t="s">
        <v>5072</v>
      </c>
      <c r="D89" s="19" t="s">
        <v>2563</v>
      </c>
      <c r="E89" s="24">
        <v>0</v>
      </c>
      <c r="F89" s="4"/>
      <c r="G89" s="7">
        <f t="shared" si="3"/>
        <v>0</v>
      </c>
      <c r="H89" s="4"/>
      <c r="I89" s="4"/>
      <c r="J89" s="4"/>
    </row>
    <row r="90" spans="1:10" ht="13.8">
      <c r="A90" s="119" t="str">
        <f>chitiet!B2081</f>
        <v>ke95</v>
      </c>
      <c r="B90" s="141" t="str">
        <f>IF(E90=0,"",COUNTIF($E$68:$E90,"&gt;0"))</f>
        <v/>
      </c>
      <c r="C90" s="114" t="s">
        <v>2891</v>
      </c>
      <c r="D90" s="97" t="s">
        <v>2563</v>
      </c>
      <c r="E90" s="145">
        <v>0</v>
      </c>
      <c r="F90" s="104"/>
      <c r="G90" s="112">
        <f t="shared" si="3"/>
        <v>0</v>
      </c>
      <c r="H90" s="104"/>
      <c r="I90" s="104"/>
      <c r="J90" s="104"/>
    </row>
    <row r="91" spans="1:10" s="1" customFormat="1" ht="13.8" hidden="1">
      <c r="A91" s="9" t="str">
        <f>chitiet!B2078</f>
        <v>GIP95-25</v>
      </c>
      <c r="B91" s="28" t="e">
        <f>IF(E91=0,"",COUNTIF($E$68:$E91,"&gt;0"))</f>
        <v>#N/A</v>
      </c>
      <c r="C91" s="16" t="e">
        <v>#N/A</v>
      </c>
      <c r="D91" s="19" t="e">
        <v>#N/A</v>
      </c>
      <c r="E91" s="24" t="e">
        <v>#N/A</v>
      </c>
      <c r="F91" s="4"/>
      <c r="G91" s="7" t="e">
        <f t="shared" si="3"/>
        <v>#N/A</v>
      </c>
      <c r="H91" s="4"/>
      <c r="I91" s="4"/>
      <c r="J91" s="4"/>
    </row>
    <row r="92" spans="1:10" s="1" customFormat="1" ht="13.8" hidden="1">
      <c r="A92" s="9" t="str">
        <f>chitiet!B2082</f>
        <v>GIP50-35</v>
      </c>
      <c r="B92" s="28" t="str">
        <f>IF(E92=0,"",COUNTIF($E$68:$E92,"&gt;0"))</f>
        <v/>
      </c>
      <c r="C92" s="16" t="s">
        <v>5073</v>
      </c>
      <c r="D92" s="19" t="s">
        <v>2563</v>
      </c>
      <c r="E92" s="24">
        <v>0</v>
      </c>
      <c r="F92" s="4"/>
      <c r="G92" s="7">
        <f t="shared" si="3"/>
        <v>0</v>
      </c>
      <c r="H92" s="4"/>
      <c r="I92" s="4"/>
      <c r="J92" s="4"/>
    </row>
    <row r="93" spans="1:10" ht="13.8">
      <c r="A93" s="119" t="str">
        <f>chitiet!B2087</f>
        <v>HOP9C</v>
      </c>
      <c r="B93" s="141" t="str">
        <f>IF(E93=0,"",COUNTIF($E$68:$E93,"&gt;0"))</f>
        <v/>
      </c>
      <c r="C93" s="114" t="s">
        <v>5074</v>
      </c>
      <c r="D93" s="97" t="s">
        <v>2563</v>
      </c>
      <c r="E93" s="145">
        <v>0</v>
      </c>
      <c r="F93" s="104"/>
      <c r="G93" s="112">
        <f t="shared" si="3"/>
        <v>0</v>
      </c>
      <c r="H93" s="104"/>
      <c r="I93" s="104"/>
      <c r="J93" s="104"/>
    </row>
    <row r="94" spans="1:10" s="1" customFormat="1" ht="13.8" hidden="1">
      <c r="A94" s="9" t="str">
        <f>chitiet!B2085</f>
        <v>HOP6C</v>
      </c>
      <c r="B94" s="28" t="str">
        <f>IF(E94=0,"",COUNTIF($E$68:$E94,"&gt;0"))</f>
        <v/>
      </c>
      <c r="C94" s="16" t="s">
        <v>5075</v>
      </c>
      <c r="D94" s="19" t="s">
        <v>2563</v>
      </c>
      <c r="E94" s="24">
        <v>0</v>
      </c>
      <c r="F94" s="4"/>
      <c r="G94" s="7">
        <f t="shared" si="3"/>
        <v>0</v>
      </c>
      <c r="H94" s="4"/>
      <c r="I94" s="4"/>
      <c r="J94" s="4"/>
    </row>
    <row r="95" spans="1:10" ht="13.8">
      <c r="A95" s="119" t="str">
        <f>chitiet!B2086</f>
        <v>CV25</v>
      </c>
      <c r="B95" s="141" t="str">
        <f>IF(E95=0,"",COUNTIF($E$68:$E95,"&gt;0"))</f>
        <v/>
      </c>
      <c r="C95" s="114" t="s">
        <v>2798</v>
      </c>
      <c r="D95" s="97" t="s">
        <v>2538</v>
      </c>
      <c r="E95" s="145">
        <v>0</v>
      </c>
      <c r="F95" s="104"/>
      <c r="G95" s="112">
        <f t="shared" si="3"/>
        <v>0</v>
      </c>
      <c r="H95" s="104"/>
      <c r="I95" s="104"/>
      <c r="J95" s="104"/>
    </row>
    <row r="96" spans="1:10" s="1" customFormat="1" ht="13.8" hidden="1">
      <c r="A96" s="9" t="str">
        <f>chitiet!B2088</f>
        <v>KTREO120</v>
      </c>
      <c r="B96" s="28" t="str">
        <f>IF(E96=0,"",COUNTIF($E$68:$E96,"&gt;0"))</f>
        <v/>
      </c>
      <c r="C96" s="16" t="s">
        <v>2857</v>
      </c>
      <c r="D96" s="19" t="s">
        <v>2563</v>
      </c>
      <c r="E96" s="24">
        <v>0</v>
      </c>
      <c r="F96" s="4"/>
      <c r="G96" s="7">
        <f t="shared" si="3"/>
        <v>0</v>
      </c>
      <c r="H96" s="4"/>
      <c r="I96" s="4"/>
      <c r="J96" s="4"/>
    </row>
    <row r="97" spans="1:10" s="1" customFormat="1" ht="13.8" hidden="1">
      <c r="A97" s="9" t="str">
        <f>chitiet!B2089</f>
        <v>KTREO95</v>
      </c>
      <c r="B97" s="28" t="str">
        <f>IF(E97=0,"",COUNTIF($E$68:$E97,"&gt;0"))</f>
        <v/>
      </c>
      <c r="C97" s="16" t="s">
        <v>4916</v>
      </c>
      <c r="D97" s="19" t="s">
        <v>2563</v>
      </c>
      <c r="E97" s="24">
        <v>0</v>
      </c>
      <c r="F97" s="4"/>
      <c r="G97" s="7">
        <f t="shared" si="3"/>
        <v>0</v>
      </c>
      <c r="H97" s="4"/>
      <c r="I97" s="4"/>
      <c r="J97" s="4"/>
    </row>
    <row r="98" spans="1:10" ht="13.8">
      <c r="A98" s="119" t="str">
        <f>chitiet!B2090</f>
        <v>KTREO70</v>
      </c>
      <c r="B98" s="141" t="str">
        <f>IF(E98=0,"",COUNTIF($E$68:$E98,"&gt;0"))</f>
        <v/>
      </c>
      <c r="C98" s="114" t="s">
        <v>2856</v>
      </c>
      <c r="D98" s="97" t="s">
        <v>2563</v>
      </c>
      <c r="E98" s="145">
        <v>0</v>
      </c>
      <c r="F98" s="104"/>
      <c r="G98" s="112">
        <f t="shared" si="3"/>
        <v>0</v>
      </c>
      <c r="H98" s="104"/>
      <c r="I98" s="104"/>
      <c r="J98" s="104"/>
    </row>
    <row r="99" spans="1:10" s="1" customFormat="1" ht="13.8" hidden="1">
      <c r="A99" s="9" t="str">
        <f>chitiet!B2091</f>
        <v>KTREO50</v>
      </c>
      <c r="B99" s="28" t="str">
        <f>IF(E99=0,"",COUNTIF($E$68:$E99,"&gt;0"))</f>
        <v/>
      </c>
      <c r="C99" s="16" t="s">
        <v>2855</v>
      </c>
      <c r="D99" s="19" t="s">
        <v>2563</v>
      </c>
      <c r="E99" s="24">
        <v>0</v>
      </c>
      <c r="F99" s="4"/>
      <c r="G99" s="7">
        <f t="shared" si="3"/>
        <v>0</v>
      </c>
      <c r="H99" s="4"/>
      <c r="I99" s="4"/>
      <c r="J99" s="4"/>
    </row>
    <row r="100" spans="1:10" ht="13.8" hidden="1">
      <c r="A100" s="119" t="str">
        <f>chitiet!B2092</f>
        <v>MTREO A</v>
      </c>
      <c r="B100" s="141" t="str">
        <f>IF(E100=0,"",COUNTIF($E$68:$E100,"&gt;0"))</f>
        <v/>
      </c>
      <c r="C100" s="114" t="s">
        <v>2859</v>
      </c>
      <c r="D100" s="97" t="s">
        <v>2563</v>
      </c>
      <c r="E100" s="145">
        <v>0</v>
      </c>
      <c r="F100" s="104"/>
      <c r="G100" s="112">
        <f t="shared" si="3"/>
        <v>0</v>
      </c>
      <c r="H100" s="104"/>
      <c r="I100" s="104"/>
      <c r="J100" s="104"/>
    </row>
    <row r="101" spans="1:10" s="1" customFormat="1" ht="13.8" hidden="1">
      <c r="A101" s="9" t="str">
        <f>chitiet!B2093</f>
        <v>KNGUNG150</v>
      </c>
      <c r="B101" s="28" t="str">
        <f>IF(E101=0,"",COUNTIF($E$68:$E101,"&gt;0"))</f>
        <v/>
      </c>
      <c r="C101" s="16" t="s">
        <v>2869</v>
      </c>
      <c r="D101" s="19" t="s">
        <v>2563</v>
      </c>
      <c r="E101" s="24">
        <v>0</v>
      </c>
      <c r="F101" s="4"/>
      <c r="G101" s="7">
        <f t="shared" si="3"/>
        <v>0</v>
      </c>
      <c r="H101" s="4"/>
      <c r="I101" s="4"/>
      <c r="J101" s="4"/>
    </row>
    <row r="102" spans="1:10" s="1" customFormat="1" ht="13.8" hidden="1">
      <c r="A102" s="9" t="str">
        <f>chitiet!B2094</f>
        <v>KNGUNG95</v>
      </c>
      <c r="B102" s="28" t="str">
        <f>IF(E102=0,"",COUNTIF($E$68:$E102,"&gt;0"))</f>
        <v/>
      </c>
      <c r="C102" s="16" t="s">
        <v>4797</v>
      </c>
      <c r="D102" s="19" t="s">
        <v>2563</v>
      </c>
      <c r="E102" s="24">
        <v>0</v>
      </c>
      <c r="F102" s="4"/>
      <c r="G102" s="7">
        <f t="shared" si="3"/>
        <v>0</v>
      </c>
      <c r="H102" s="4"/>
      <c r="I102" s="4"/>
      <c r="J102" s="4"/>
    </row>
    <row r="103" spans="1:10" ht="13.8">
      <c r="A103" s="119" t="str">
        <f>chitiet!B2095</f>
        <v>KNGUNG70</v>
      </c>
      <c r="B103" s="141" t="str">
        <f>IF(E103=0,"",COUNTIF($E$68:$E103,"&gt;0"))</f>
        <v/>
      </c>
      <c r="C103" s="114" t="s">
        <v>2867</v>
      </c>
      <c r="D103" s="97" t="s">
        <v>2563</v>
      </c>
      <c r="E103" s="145">
        <v>0</v>
      </c>
      <c r="F103" s="104"/>
      <c r="G103" s="112">
        <f t="shared" si="3"/>
        <v>0</v>
      </c>
      <c r="H103" s="104"/>
      <c r="I103" s="104"/>
      <c r="J103" s="104"/>
    </row>
    <row r="104" spans="1:10" s="1" customFormat="1" ht="13.8" hidden="1">
      <c r="A104" s="9" t="str">
        <f>chitiet!B2096</f>
        <v>KNGUNG50</v>
      </c>
      <c r="B104" s="28" t="str">
        <f>IF(E104=0,"",COUNTIF($E$68:$E104,"&gt;0"))</f>
        <v/>
      </c>
      <c r="C104" s="16" t="s">
        <v>2866</v>
      </c>
      <c r="D104" s="19" t="s">
        <v>2563</v>
      </c>
      <c r="E104" s="24">
        <v>0</v>
      </c>
      <c r="F104" s="4"/>
      <c r="G104" s="7">
        <f t="shared" si="3"/>
        <v>0</v>
      </c>
      <c r="H104" s="4"/>
      <c r="I104" s="4"/>
      <c r="J104" s="4"/>
    </row>
    <row r="105" spans="1:10" s="1" customFormat="1" ht="13.8" hidden="1">
      <c r="A105" s="9" t="str">
        <f>chitiet!B2097</f>
        <v>BIT150</v>
      </c>
      <c r="B105" s="28" t="str">
        <f>IF(E105=0,"",COUNTIF($E$68:$E105,"&gt;0"))</f>
        <v/>
      </c>
      <c r="C105" s="16" t="s">
        <v>2882</v>
      </c>
      <c r="D105" s="19" t="s">
        <v>2563</v>
      </c>
      <c r="E105" s="24">
        <v>0</v>
      </c>
      <c r="F105" s="4"/>
      <c r="G105" s="7">
        <f t="shared" si="3"/>
        <v>0</v>
      </c>
      <c r="H105" s="4"/>
      <c r="I105" s="4"/>
      <c r="J105" s="4"/>
    </row>
    <row r="106" spans="1:10" s="1" customFormat="1" ht="13.8" hidden="1">
      <c r="A106" s="9" t="str">
        <f>chitiet!B2098</f>
        <v>BIT95</v>
      </c>
      <c r="B106" s="28" t="str">
        <f>IF(E106=0,"",COUNTIF($E$68:$E106,"&gt;0"))</f>
        <v/>
      </c>
      <c r="C106" s="16" t="s">
        <v>2884</v>
      </c>
      <c r="D106" s="19" t="s">
        <v>2563</v>
      </c>
      <c r="E106" s="24">
        <v>0</v>
      </c>
      <c r="F106" s="4"/>
      <c r="G106" s="7">
        <f t="shared" si="3"/>
        <v>0</v>
      </c>
      <c r="H106" s="4"/>
      <c r="I106" s="4"/>
      <c r="J106" s="4"/>
    </row>
    <row r="107" spans="1:10" ht="13.8" hidden="1">
      <c r="A107" s="119" t="str">
        <f>chitiet!B2099</f>
        <v>BIT70</v>
      </c>
      <c r="B107" s="141" t="str">
        <f>IF(E107=0,"",COUNTIF($E$68:$E107,"&gt;0"))</f>
        <v/>
      </c>
      <c r="C107" s="114" t="s">
        <v>2885</v>
      </c>
      <c r="D107" s="97" t="s">
        <v>2563</v>
      </c>
      <c r="E107" s="145">
        <v>0</v>
      </c>
      <c r="F107" s="104"/>
      <c r="G107" s="112">
        <f t="shared" si="3"/>
        <v>0</v>
      </c>
      <c r="H107" s="104"/>
      <c r="I107" s="104"/>
      <c r="J107" s="104"/>
    </row>
    <row r="108" spans="1:10" ht="13.8">
      <c r="A108" s="119" t="str">
        <f>chitiet!B2101</f>
        <v>BIT35</v>
      </c>
      <c r="B108" s="141" t="e">
        <f>IF(E108=0,"",COUNTIF($E$68:$E108,"&gt;0"))</f>
        <v>#N/A</v>
      </c>
      <c r="C108" s="114" t="e">
        <v>#N/A</v>
      </c>
      <c r="D108" s="97" t="e">
        <v>#N/A</v>
      </c>
      <c r="E108" s="145" t="e">
        <v>#N/A</v>
      </c>
      <c r="F108" s="104"/>
      <c r="G108" s="112" t="e">
        <f t="shared" si="3"/>
        <v>#N/A</v>
      </c>
      <c r="H108" s="104"/>
      <c r="I108" s="104"/>
      <c r="J108" s="104"/>
    </row>
    <row r="109" spans="1:10" s="1" customFormat="1" ht="13.8" hidden="1">
      <c r="A109" s="9" t="str">
        <f>chitiet!B2109</f>
        <v>r2</v>
      </c>
      <c r="B109" s="28" t="str">
        <f>IF(E109=0,"",COUNTIF($E$68:$E109,"&gt;0"))</f>
        <v/>
      </c>
      <c r="C109" s="16" t="s">
        <v>4006</v>
      </c>
      <c r="D109" s="19" t="s">
        <v>2445</v>
      </c>
      <c r="E109" s="24">
        <v>0</v>
      </c>
      <c r="F109" s="4"/>
      <c r="G109" s="7">
        <f t="shared" si="3"/>
        <v>0</v>
      </c>
      <c r="H109" s="4"/>
      <c r="I109" s="4"/>
      <c r="J109" s="4"/>
    </row>
    <row r="110" spans="1:10" s="1" customFormat="1" ht="13.8" hidden="1">
      <c r="A110" s="9" t="str">
        <f>chitiet!B2110</f>
        <v>r3</v>
      </c>
      <c r="B110" s="28" t="str">
        <f>IF(E110=0,"",COUNTIF($E$68:$E110,"&gt;0"))</f>
        <v/>
      </c>
      <c r="C110" s="16" t="s">
        <v>3962</v>
      </c>
      <c r="D110" s="19" t="s">
        <v>2445</v>
      </c>
      <c r="E110" s="24">
        <v>0</v>
      </c>
      <c r="F110" s="4"/>
      <c r="G110" s="7">
        <f t="shared" si="3"/>
        <v>0</v>
      </c>
      <c r="H110" s="4"/>
      <c r="I110" s="4"/>
      <c r="J110" s="4"/>
    </row>
    <row r="111" spans="1:10" s="1" customFormat="1" ht="13.8" hidden="1">
      <c r="A111" s="9" t="str">
        <f>chitiet!B2111</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chitiet!B2112</f>
        <v>TUPP</v>
      </c>
      <c r="B112" s="28" t="str">
        <f>IF(E112=0,"",COUNTIF($E$68:$E112,"&gt;0"))</f>
        <v/>
      </c>
      <c r="C112" s="16" t="s">
        <v>3416</v>
      </c>
      <c r="D112" s="19" t="s">
        <v>2563</v>
      </c>
      <c r="E112" s="24">
        <v>0</v>
      </c>
      <c r="F112" s="4"/>
      <c r="G112" s="7">
        <f t="shared" ref="G112:G120" si="5">IF(E112&lt;&gt;0,1,0)</f>
        <v>0</v>
      </c>
      <c r="H112" s="4"/>
      <c r="I112" s="4"/>
      <c r="J112" s="4"/>
    </row>
    <row r="113" spans="1:10" s="1" customFormat="1" ht="13.8" hidden="1">
      <c r="A113" s="9" t="str">
        <f>chitiet!B2113</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chitiet!B2114</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chitiet!B2115</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chitiet!B2116</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chitiet!B2117</f>
        <v>abc4x150</v>
      </c>
      <c r="B117" s="28" t="str">
        <f>IF(E117=0,"",COUNTIF($E$68:$E117,"&gt;0"))</f>
        <v/>
      </c>
      <c r="C117" s="16" t="s">
        <v>2789</v>
      </c>
      <c r="D117" s="19" t="s">
        <v>2538</v>
      </c>
      <c r="E117" s="24">
        <v>0</v>
      </c>
      <c r="F117" s="4"/>
      <c r="G117" s="7">
        <f t="shared" si="5"/>
        <v>0</v>
      </c>
      <c r="H117" s="4"/>
      <c r="I117" s="4"/>
      <c r="J117" s="4"/>
    </row>
    <row r="118" spans="1:10" s="1" customFormat="1" ht="13.8" hidden="1">
      <c r="A118" s="9" t="str">
        <f>chitiet!B2118</f>
        <v>pvc114</v>
      </c>
      <c r="B118" s="28" t="str">
        <f>IF(E118=0,"",COUNTIF($E$68:$E118,"&gt;0"))</f>
        <v/>
      </c>
      <c r="C118" s="16" t="s">
        <v>5056</v>
      </c>
      <c r="D118" s="19" t="s">
        <v>1827</v>
      </c>
      <c r="E118" s="24">
        <v>0</v>
      </c>
      <c r="F118" s="4"/>
      <c r="G118" s="7">
        <f t="shared" si="5"/>
        <v>0</v>
      </c>
      <c r="H118" s="4"/>
      <c r="I118" s="4"/>
      <c r="J118" s="4"/>
    </row>
    <row r="119" spans="1:10" s="1" customFormat="1" ht="13.8" hidden="1">
      <c r="A119" s="9" t="str">
        <f>chitiet!B2119</f>
        <v>cut114t</v>
      </c>
      <c r="B119" s="28" t="str">
        <f>IF(E119=0,"",COUNTIF($E$68:$E119,"&gt;0"))</f>
        <v/>
      </c>
      <c r="C119" s="16" t="s">
        <v>5057</v>
      </c>
      <c r="D119" s="19" t="s">
        <v>2563</v>
      </c>
      <c r="E119" s="24">
        <v>0</v>
      </c>
      <c r="F119" s="4"/>
      <c r="G119" s="7">
        <f t="shared" si="5"/>
        <v>0</v>
      </c>
      <c r="H119" s="4"/>
      <c r="I119" s="4"/>
      <c r="J119" s="4"/>
    </row>
    <row r="120" spans="1:10" s="1" customFormat="1" ht="13.8" hidden="1">
      <c r="A120" s="9" t="str">
        <f>chitiet!B2120</f>
        <v>CD114</v>
      </c>
      <c r="B120" s="28" t="str">
        <f>IF(E120=0,"",COUNTIF($E$68:$E120,"&gt;0"))</f>
        <v/>
      </c>
      <c r="C120" s="16" t="s">
        <v>5076</v>
      </c>
      <c r="D120" s="19" t="s">
        <v>2445</v>
      </c>
      <c r="E120" s="24">
        <v>0</v>
      </c>
      <c r="F120" s="4"/>
      <c r="G120" s="7">
        <f t="shared" si="5"/>
        <v>0</v>
      </c>
      <c r="H120" s="4"/>
      <c r="I120" s="4"/>
      <c r="J120" s="4"/>
    </row>
    <row r="121" spans="1:10" s="1" customFormat="1" ht="13.8" hidden="1">
      <c r="A121" s="9" t="str">
        <f>chitiet!B2121</f>
        <v>B1650</v>
      </c>
      <c r="B121" s="28" t="e">
        <f>IF(E121=0,"",COUNTIF($E$68:$E121,"&gt;0"))</f>
        <v>#N/A</v>
      </c>
      <c r="C121" s="16" t="e">
        <v>#N/A</v>
      </c>
      <c r="D121" s="19" t="e">
        <v>#N/A</v>
      </c>
      <c r="E121" s="24" t="e">
        <v>#N/A</v>
      </c>
      <c r="F121" s="4"/>
      <c r="G121" s="7" t="e">
        <f t="shared" si="3"/>
        <v>#N/A</v>
      </c>
      <c r="H121" s="4"/>
      <c r="I121" s="4"/>
      <c r="J121" s="4"/>
    </row>
    <row r="122" spans="1:10" ht="13.8">
      <c r="A122" s="119" t="str">
        <f>chitiet!B2122</f>
        <v>B16250</v>
      </c>
      <c r="B122" s="141" t="str">
        <f>IF(E122=0,"",COUNTIF($E$68:$E122,"&gt;0"))</f>
        <v/>
      </c>
      <c r="C122" s="114" t="s">
        <v>2653</v>
      </c>
      <c r="D122" s="97" t="s">
        <v>2445</v>
      </c>
      <c r="E122" s="145">
        <v>0</v>
      </c>
      <c r="F122" s="104"/>
      <c r="G122" s="112">
        <f>IF(E122&lt;&gt;0,1,0)</f>
        <v>0</v>
      </c>
      <c r="H122" s="104"/>
      <c r="I122" s="104"/>
      <c r="J122" s="104"/>
    </row>
    <row r="123" spans="1:10" ht="13.8" hidden="1">
      <c r="A123" s="119" t="str">
        <f>chitiet!B2123</f>
        <v>B16300</v>
      </c>
      <c r="B123" s="141" t="str">
        <f>IF(E123=0,"",COUNTIF($E$68:$E123,"&gt;0"))</f>
        <v/>
      </c>
      <c r="C123" s="114" t="s">
        <v>2657</v>
      </c>
      <c r="D123" s="97" t="s">
        <v>2445</v>
      </c>
      <c r="E123" s="145">
        <v>0</v>
      </c>
      <c r="F123" s="104"/>
      <c r="G123" s="112">
        <f t="shared" si="3"/>
        <v>0</v>
      </c>
      <c r="H123" s="104"/>
      <c r="I123" s="104"/>
      <c r="J123" s="104"/>
    </row>
    <row r="124" spans="1:10" s="1" customFormat="1" ht="13.8" hidden="1">
      <c r="A124" s="9" t="str">
        <f>chitiet!B2124</f>
        <v>B16350</v>
      </c>
      <c r="B124" s="28" t="str">
        <f>IF(E124=0,"",COUNTIF($E$68:$E124,"&gt;0"))</f>
        <v/>
      </c>
      <c r="C124" s="16" t="s">
        <v>2659</v>
      </c>
      <c r="D124" s="19" t="s">
        <v>2445</v>
      </c>
      <c r="E124" s="24">
        <v>0</v>
      </c>
      <c r="F124" s="4"/>
      <c r="G124" s="7">
        <f t="shared" si="3"/>
        <v>0</v>
      </c>
      <c r="H124" s="4"/>
      <c r="I124" s="4"/>
      <c r="J124" s="4"/>
    </row>
    <row r="125" spans="1:10" ht="13.8">
      <c r="A125" s="119" t="str">
        <f>chitiet!B2127</f>
        <v>B16500V</v>
      </c>
      <c r="B125" s="141" t="e">
        <f>IF(E125=0,"",COUNTIF($E$68:$E125,"&gt;0"))</f>
        <v>#N/A</v>
      </c>
      <c r="C125" s="114" t="e">
        <v>#N/A</v>
      </c>
      <c r="D125" s="97" t="e">
        <v>#N/A</v>
      </c>
      <c r="E125" s="145" t="e">
        <v>#N/A</v>
      </c>
      <c r="F125" s="104"/>
      <c r="G125" s="112" t="e">
        <f t="shared" si="3"/>
        <v>#N/A</v>
      </c>
      <c r="H125" s="104"/>
      <c r="I125" s="104"/>
      <c r="J125" s="104"/>
    </row>
    <row r="126" spans="1:10" ht="13.8" hidden="1">
      <c r="A126" s="119" t="str">
        <f>chitiet!B2126</f>
        <v>BMoc16300</v>
      </c>
      <c r="B126" s="141" t="str">
        <f>IF(E126=0,"",COUNTIF($E$68:$E126,"&gt;0"))</f>
        <v/>
      </c>
      <c r="C126" s="114" t="s">
        <v>5027</v>
      </c>
      <c r="D126" s="97" t="s">
        <v>2445</v>
      </c>
      <c r="E126" s="145">
        <v>0</v>
      </c>
      <c r="F126" s="104"/>
      <c r="G126" s="112">
        <f t="shared" si="3"/>
        <v>0</v>
      </c>
      <c r="H126" s="104"/>
      <c r="I126" s="104"/>
      <c r="J126" s="104"/>
    </row>
    <row r="127" spans="1:10" ht="13.8">
      <c r="A127" s="119" t="str">
        <f>chitiet!B2125</f>
        <v>BMoc16250</v>
      </c>
      <c r="B127" s="141" t="str">
        <f>IF(E127=0,"",COUNTIF($E$68:$E127,"&gt;0"))</f>
        <v/>
      </c>
      <c r="C127" s="114" t="s">
        <v>5026</v>
      </c>
      <c r="D127" s="97" t="s">
        <v>2445</v>
      </c>
      <c r="E127" s="145">
        <v>0</v>
      </c>
      <c r="F127" s="104"/>
      <c r="G127" s="112">
        <f t="shared" si="3"/>
        <v>0</v>
      </c>
      <c r="H127" s="104"/>
      <c r="I127" s="104"/>
      <c r="J127" s="104"/>
    </row>
    <row r="128" spans="1:10" ht="13.8" hidden="1">
      <c r="A128" s="119" t="str">
        <f>chitiet!B2126</f>
        <v>BMoc16300</v>
      </c>
      <c r="B128" s="141" t="str">
        <f>IF(E128=0,"",COUNTIF($E$68:$E128,"&gt;0"))</f>
        <v/>
      </c>
      <c r="C128" s="114" t="s">
        <v>5027</v>
      </c>
      <c r="D128" s="97" t="s">
        <v>2445</v>
      </c>
      <c r="E128" s="145">
        <v>0</v>
      </c>
      <c r="F128" s="104"/>
      <c r="G128" s="112">
        <f>IF(E128&lt;&gt;0,1,0)</f>
        <v>0</v>
      </c>
      <c r="H128" s="104"/>
      <c r="I128" s="104"/>
      <c r="J128" s="104"/>
    </row>
    <row r="129" spans="1:10" s="1" customFormat="1" ht="13.8" hidden="1">
      <c r="A129" s="9" t="str">
        <f>chitiet!B2128</f>
        <v>cdtrudoiHT</v>
      </c>
      <c r="B129" s="28" t="str">
        <f>IF(E129=0,"",COUNTIF($E$68:$E129,"&gt;0"))</f>
        <v/>
      </c>
      <c r="C129" s="16" t="s">
        <v>5088</v>
      </c>
      <c r="D129" s="19" t="s">
        <v>2445</v>
      </c>
      <c r="E129" s="24">
        <v>0</v>
      </c>
      <c r="F129" s="4"/>
      <c r="G129" s="7">
        <f>IF(E129&lt;&gt;0,1,0)</f>
        <v>0</v>
      </c>
      <c r="H129" s="4"/>
      <c r="I129" s="4"/>
      <c r="J129" s="4"/>
    </row>
    <row r="130" spans="1:10" s="1" customFormat="1" ht="13.8" hidden="1">
      <c r="A130" s="9" t="str">
        <f>chitiet!B2107</f>
        <v>mocdung</v>
      </c>
      <c r="B130" s="28" t="str">
        <f>IF(E130=0,"",COUNTIF($E$68:$E130,"&gt;0"))</f>
        <v/>
      </c>
      <c r="C130" s="16" t="s">
        <v>3954</v>
      </c>
      <c r="D130" s="19" t="s">
        <v>2563</v>
      </c>
      <c r="E130" s="24">
        <v>0</v>
      </c>
      <c r="F130" s="4"/>
      <c r="G130" s="7">
        <f>IF(E130&lt;&gt;0,1,0)</f>
        <v>0</v>
      </c>
      <c r="H130" s="4"/>
      <c r="I130" s="4"/>
      <c r="J130" s="4"/>
    </row>
    <row r="131" spans="1:10" s="1" customFormat="1" ht="13.8" hidden="1">
      <c r="A131" s="9" t="str">
        <f>chitiet!B2108</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chitiet!B2129</f>
        <v>c3/8</v>
      </c>
      <c r="B132" s="28" t="str">
        <f>IF(E132=0,"",COUNTIF($E$68:$E132,"&gt;0"))</f>
        <v/>
      </c>
      <c r="C132" s="16" t="s">
        <v>2827</v>
      </c>
      <c r="D132" s="19" t="s">
        <v>2538</v>
      </c>
      <c r="E132" s="24">
        <v>0</v>
      </c>
      <c r="F132" s="4"/>
      <c r="G132" s="7">
        <f t="shared" si="3"/>
        <v>0</v>
      </c>
      <c r="H132" s="4"/>
      <c r="I132" s="4"/>
      <c r="J132" s="4"/>
    </row>
    <row r="133" spans="1:10" s="1" customFormat="1" ht="13.8" hidden="1">
      <c r="A133" s="9" t="str">
        <f>chitiet!B2130</f>
        <v>ON50</v>
      </c>
      <c r="B133" s="28" t="str">
        <f>IF(E133=0,"",COUNTIF($E$68:$E133,"&gt;0"))</f>
        <v/>
      </c>
      <c r="C133" s="16" t="s">
        <v>2940</v>
      </c>
      <c r="D133" s="19" t="s">
        <v>2563</v>
      </c>
      <c r="E133" s="24">
        <v>0</v>
      </c>
      <c r="F133" s="4"/>
      <c r="G133" s="7">
        <f t="shared" si="3"/>
        <v>0</v>
      </c>
      <c r="H133" s="4"/>
      <c r="I133" s="4"/>
      <c r="J133" s="4"/>
    </row>
    <row r="134" spans="1:10" s="1" customFormat="1" ht="13.8" hidden="1">
      <c r="A134" s="9" t="str">
        <f>chitiet!B2131</f>
        <v>ON70</v>
      </c>
      <c r="B134" s="28" t="str">
        <f>IF(E134=0,"",COUNTIF($E$68:$E134,"&gt;0"))</f>
        <v/>
      </c>
      <c r="C134" s="16" t="s">
        <v>2941</v>
      </c>
      <c r="D134" s="19" t="s">
        <v>2563</v>
      </c>
      <c r="E134" s="24">
        <v>0</v>
      </c>
      <c r="F134" s="4"/>
      <c r="G134" s="7">
        <f t="shared" si="3"/>
        <v>0</v>
      </c>
      <c r="H134" s="4"/>
      <c r="I134" s="4"/>
      <c r="J134" s="4"/>
    </row>
    <row r="135" spans="1:10" s="1" customFormat="1" ht="13.8" hidden="1">
      <c r="A135" s="9" t="str">
        <f>chitiet!B2132</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chitiet!B2133</f>
        <v>DAYA</v>
      </c>
      <c r="B136" s="28" t="str">
        <f>IF(E136=0,"",COUNTIF($E$68:$E136,"&gt;0"))</f>
        <v/>
      </c>
      <c r="C136" s="16" t="s">
        <v>5053</v>
      </c>
      <c r="D136" s="19" t="s">
        <v>2254</v>
      </c>
      <c r="E136" s="24">
        <v>0</v>
      </c>
      <c r="F136" s="4"/>
      <c r="G136" s="7">
        <f t="shared" si="3"/>
        <v>0</v>
      </c>
      <c r="H136" s="4"/>
      <c r="I136" s="4"/>
      <c r="J136" s="4"/>
    </row>
    <row r="137" spans="1:10" s="1" customFormat="1" ht="13.8" hidden="1">
      <c r="A137" s="9" t="str">
        <f>chitiet!B2135</f>
        <v>TUN</v>
      </c>
      <c r="B137" s="28" t="e">
        <f>IF(E137=0,"",COUNTIF($E$68:$E137,"&gt;0"))</f>
        <v>#N/A</v>
      </c>
      <c r="C137" s="16" t="e">
        <v>#N/A</v>
      </c>
      <c r="D137" s="19" t="e">
        <v>#N/A</v>
      </c>
      <c r="E137" s="24" t="e">
        <v>#N/A</v>
      </c>
      <c r="F137" s="4"/>
      <c r="G137" s="7" t="e">
        <f t="shared" si="3"/>
        <v>#N/A</v>
      </c>
      <c r="H137" s="4"/>
      <c r="I137" s="4"/>
      <c r="J137" s="4"/>
    </row>
    <row r="138" spans="1:10" ht="13.8">
      <c r="A138" s="108"/>
      <c r="B138" s="147"/>
      <c r="C138" s="147"/>
      <c r="D138" s="147"/>
      <c r="E138" s="147"/>
      <c r="F138" s="104"/>
      <c r="G138" s="107">
        <v>1</v>
      </c>
      <c r="H138" s="104"/>
      <c r="I138" s="104"/>
      <c r="J138" s="104"/>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4"/>
      <c r="B141" s="104"/>
      <c r="C141" s="104"/>
      <c r="D141" s="104"/>
      <c r="E141" s="104"/>
      <c r="F141" s="104"/>
      <c r="G141" s="107"/>
      <c r="H141" s="104"/>
      <c r="I141" s="104"/>
      <c r="J141" s="104"/>
    </row>
    <row r="142" spans="1:10" ht="13.8">
      <c r="A142" s="104"/>
      <c r="B142" s="104"/>
      <c r="C142" s="104"/>
      <c r="D142" s="104"/>
      <c r="E142" s="104"/>
      <c r="F142" s="104"/>
      <c r="G142" s="107"/>
      <c r="H142" s="104"/>
      <c r="I142" s="104"/>
      <c r="J142" s="104"/>
    </row>
    <row r="143" spans="1:10" ht="13.8">
      <c r="A143" s="104"/>
      <c r="B143" s="104"/>
      <c r="C143" s="104"/>
      <c r="D143" s="104"/>
      <c r="E143" s="104"/>
      <c r="F143" s="104"/>
      <c r="G143" s="107"/>
      <c r="H143" s="104"/>
      <c r="I143" s="104"/>
      <c r="J143" s="104"/>
    </row>
    <row r="144" spans="1:10" ht="13.8">
      <c r="A144" s="104"/>
      <c r="B144" s="104"/>
      <c r="C144" s="104"/>
      <c r="D144" s="104"/>
      <c r="E144" s="104"/>
      <c r="F144" s="104"/>
      <c r="G144" s="107"/>
      <c r="H144" s="104"/>
      <c r="I144" s="104"/>
      <c r="J144" s="104"/>
    </row>
    <row r="145" spans="1:10" ht="13.8">
      <c r="A145" s="104"/>
      <c r="B145" s="104"/>
      <c r="C145" s="104"/>
      <c r="D145" s="104"/>
      <c r="E145" s="104"/>
      <c r="F145" s="104"/>
      <c r="G145" s="107"/>
      <c r="H145" s="104"/>
      <c r="I145" s="104"/>
      <c r="J145" s="104"/>
    </row>
    <row r="146" spans="1:10" ht="13.8">
      <c r="A146" s="104"/>
      <c r="B146" s="104"/>
      <c r="C146" s="104"/>
      <c r="D146" s="104"/>
      <c r="E146" s="104"/>
      <c r="F146" s="104"/>
      <c r="G146" s="107"/>
      <c r="H146" s="104"/>
      <c r="I146" s="104"/>
      <c r="J146" s="104"/>
    </row>
    <row r="147" spans="1:10" ht="13.8">
      <c r="A147" s="104"/>
      <c r="B147" s="104"/>
      <c r="C147" s="104"/>
      <c r="D147" s="104"/>
      <c r="E147" s="104"/>
      <c r="F147" s="104"/>
      <c r="G147" s="107"/>
      <c r="H147" s="104"/>
      <c r="I147" s="104"/>
      <c r="J147" s="104"/>
    </row>
    <row r="148" spans="1:10" ht="13.8">
      <c r="A148" s="104"/>
      <c r="B148" s="104"/>
      <c r="C148" s="104"/>
      <c r="D148" s="104"/>
      <c r="E148" s="104"/>
      <c r="F148" s="104"/>
      <c r="G148" s="107"/>
      <c r="H148" s="104"/>
      <c r="I148" s="104"/>
      <c r="J148" s="104"/>
    </row>
    <row r="149" spans="1:10" ht="13.8">
      <c r="A149" s="104"/>
      <c r="B149" s="104"/>
      <c r="C149" s="104"/>
      <c r="D149" s="104"/>
      <c r="E149" s="104"/>
      <c r="F149" s="104"/>
      <c r="G149" s="107"/>
      <c r="H149" s="104"/>
      <c r="I149" s="104"/>
      <c r="J149" s="104"/>
    </row>
    <row r="150" spans="1:10" ht="13.8">
      <c r="A150" s="104"/>
      <c r="B150" s="104"/>
      <c r="C150" s="104"/>
      <c r="D150" s="104"/>
      <c r="E150" s="104"/>
      <c r="F150" s="104"/>
      <c r="G150" s="107"/>
      <c r="H150" s="104"/>
      <c r="I150" s="104"/>
      <c r="J150" s="104"/>
    </row>
    <row r="151" spans="1:10" ht="13.8">
      <c r="A151" s="104"/>
      <c r="B151" s="104"/>
      <c r="C151" s="104"/>
      <c r="D151" s="104"/>
      <c r="E151" s="104"/>
      <c r="F151" s="104"/>
      <c r="G151" s="107"/>
      <c r="H151" s="104"/>
      <c r="I151" s="104"/>
      <c r="J151" s="104"/>
    </row>
    <row r="152" spans="1:10" ht="13.8">
      <c r="A152" s="104"/>
      <c r="B152" s="104"/>
      <c r="C152" s="104"/>
      <c r="D152" s="104"/>
      <c r="E152" s="104"/>
      <c r="F152" s="104"/>
      <c r="G152" s="107"/>
      <c r="H152" s="104"/>
      <c r="I152" s="104"/>
      <c r="J152" s="104"/>
    </row>
    <row r="165" spans="3:4">
      <c r="C165" s="134"/>
      <c r="D165" s="134"/>
    </row>
    <row r="166" spans="3:4">
      <c r="C166" s="134"/>
      <c r="D166" s="134"/>
    </row>
    <row r="167" spans="3:4">
      <c r="C167" s="134"/>
      <c r="D167" s="134"/>
    </row>
    <row r="168" spans="3:4">
      <c r="C168" s="134"/>
      <c r="D168" s="134"/>
    </row>
    <row r="169" spans="3:4">
      <c r="C169" s="134"/>
      <c r="D169" s="134"/>
    </row>
    <row r="170" spans="3:4">
      <c r="C170" s="134"/>
      <c r="D170" s="134"/>
    </row>
    <row r="171" spans="3:4">
      <c r="C171" s="134"/>
      <c r="D171" s="134"/>
    </row>
    <row r="172" spans="3:4">
      <c r="C172" s="134"/>
      <c r="D172" s="134"/>
    </row>
    <row r="173" spans="3:4">
      <c r="C173" s="134"/>
      <c r="D173" s="134"/>
    </row>
    <row r="174" spans="3:4">
      <c r="C174" s="134"/>
      <c r="D174" s="134"/>
    </row>
    <row r="175" spans="3:4">
      <c r="C175" s="134"/>
      <c r="D175" s="134"/>
    </row>
    <row r="176" spans="3:4">
      <c r="C176" s="134"/>
      <c r="D176" s="134"/>
    </row>
    <row r="177" spans="3:4">
      <c r="C177" s="134"/>
      <c r="D177" s="134"/>
    </row>
    <row r="178" spans="3:4">
      <c r="C178" s="134"/>
      <c r="D178" s="134"/>
    </row>
    <row r="179" spans="3:4">
      <c r="C179" s="134"/>
      <c r="D179" s="134"/>
    </row>
    <row r="180" spans="3:4">
      <c r="C180" s="134"/>
      <c r="D180" s="134"/>
    </row>
    <row r="181" spans="3:4">
      <c r="C181" s="134"/>
      <c r="D181" s="134"/>
    </row>
    <row r="182" spans="3:4">
      <c r="C182" s="134"/>
      <c r="D182" s="13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sheetData>
  <autoFilter ref="G7:G140" xr:uid="{00000000-0009-0000-0000-00000F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2" customWidth="1"/>
    <col min="2" max="3" width="9.08984375" style="530" customWidth="1"/>
    <col min="4" max="4" width="6.453125" style="530" customWidth="1"/>
    <col min="5" max="5" width="6.36328125" style="530" customWidth="1"/>
    <col min="6" max="9" width="3.90625" style="530" customWidth="1"/>
    <col min="10" max="10" width="6.36328125" style="530" customWidth="1"/>
    <col min="11" max="11" width="4.453125" style="530" customWidth="1"/>
    <col min="12" max="12" width="3.90625" style="530" customWidth="1"/>
    <col min="13" max="13" width="6.453125" style="530" customWidth="1"/>
    <col min="14" max="14" width="9.08984375" style="530" customWidth="1"/>
    <col min="15" max="16" width="3.90625" style="530" customWidth="1"/>
    <col min="17" max="17" width="8.08984375" style="530" customWidth="1"/>
    <col min="18" max="19" width="4.453125" style="530" customWidth="1"/>
    <col min="20" max="22" width="3.90625" style="530" customWidth="1"/>
    <col min="23" max="23" width="4.453125" style="530" customWidth="1"/>
    <col min="24" max="25" width="3.90625" style="530" customWidth="1"/>
    <col min="26" max="26" width="4.453125" style="530" customWidth="1"/>
    <col min="27" max="33" width="3.90625" style="530" customWidth="1"/>
    <col min="34" max="48" width="4.36328125" style="530" customWidth="1"/>
    <col min="49" max="67" width="3.90625" style="530" customWidth="1"/>
    <col min="68" max="70" width="3.90625" style="531" customWidth="1"/>
    <col min="71" max="71" width="4.453125" style="531" customWidth="1"/>
    <col min="72" max="72" width="5.453125" style="531" customWidth="1"/>
    <col min="73" max="73" width="4.453125" style="531" customWidth="1"/>
    <col min="74" max="78" width="3.90625" style="530" customWidth="1"/>
    <col min="79" max="79" width="4.453125" style="530" customWidth="1"/>
    <col min="80" max="80" width="5.453125" style="530" customWidth="1"/>
    <col min="81" max="89" width="4.08984375" style="530" customWidth="1"/>
    <col min="90" max="90" width="6.08984375" style="530" customWidth="1"/>
    <col min="91" max="91" width="4.453125" style="530" customWidth="1"/>
    <col min="92" max="92" width="8.90625" style="530" customWidth="1"/>
    <col min="93" max="93" width="33.90625" style="530" customWidth="1"/>
    <col min="94" max="94" width="12.90625" style="530" customWidth="1"/>
    <col min="95" max="95" width="24.90625" style="530" customWidth="1"/>
    <col min="96" max="96" width="4.1796875" style="530" customWidth="1"/>
    <col min="97" max="97" width="3.90625" style="530" customWidth="1"/>
    <col min="98" max="98" width="4.453125" style="530" customWidth="1"/>
    <col min="99" max="99" width="6.453125" style="530" customWidth="1"/>
    <col min="100" max="100" width="4.453125" style="530" customWidth="1"/>
    <col min="101" max="101" width="4.36328125" style="530" customWidth="1"/>
    <col min="102" max="102" width="7.08984375" style="530" customWidth="1"/>
    <col min="103" max="103" width="7.81640625" style="532" customWidth="1"/>
    <col min="104" max="16384" width="8.90625" style="530"/>
  </cols>
  <sheetData>
    <row r="2" spans="1:234" s="538" customFormat="1" ht="17.399999999999999">
      <c r="A2" s="651" t="s">
        <v>3989</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9"/>
      <c r="AB2" s="533"/>
      <c r="AC2" s="539"/>
      <c r="AD2" s="533"/>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6"/>
      <c r="BQ2" s="536"/>
      <c r="BR2" s="536"/>
      <c r="BS2" s="536"/>
      <c r="BT2" s="536"/>
      <c r="BU2" s="536"/>
      <c r="BV2" s="533"/>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537"/>
    </row>
    <row r="3" spans="1:234" s="538" customFormat="1" ht="20.2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75"/>
      <c r="AB3" s="539"/>
      <c r="AC3" s="575"/>
      <c r="AD3" s="539"/>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540"/>
    </row>
    <row r="4" spans="1:234" s="542" customFormat="1" ht="16.5" customHeight="1" thickTop="1">
      <c r="A4" s="3092" t="s">
        <v>3939</v>
      </c>
      <c r="B4" s="3086" t="s">
        <v>3990</v>
      </c>
      <c r="C4" s="3086" t="s">
        <v>3785</v>
      </c>
      <c r="D4" s="3037" t="s">
        <v>3991</v>
      </c>
      <c r="E4" s="3037" t="s">
        <v>3992</v>
      </c>
      <c r="F4" s="3037" t="s">
        <v>2025</v>
      </c>
      <c r="G4" s="3037" t="s">
        <v>2208</v>
      </c>
      <c r="H4" s="3037" t="s">
        <v>116</v>
      </c>
      <c r="I4" s="3037" t="s">
        <v>1151</v>
      </c>
      <c r="J4" s="3037" t="s">
        <v>1150</v>
      </c>
      <c r="K4" s="3037" t="s">
        <v>1149</v>
      </c>
      <c r="L4" s="3037" t="s">
        <v>2268</v>
      </c>
      <c r="M4" s="3037" t="s">
        <v>2267</v>
      </c>
      <c r="N4" s="3037" t="s">
        <v>2266</v>
      </c>
      <c r="O4" s="3037" t="s">
        <v>3793</v>
      </c>
      <c r="P4" s="3037" t="s">
        <v>3926</v>
      </c>
      <c r="Q4" s="3073" t="s">
        <v>3795</v>
      </c>
      <c r="R4" s="3075" t="s">
        <v>3993</v>
      </c>
      <c r="S4" s="3047"/>
      <c r="T4" s="3047"/>
      <c r="U4" s="3099"/>
      <c r="V4" s="3076" t="s">
        <v>3897</v>
      </c>
      <c r="W4" s="3077"/>
      <c r="X4" s="3077"/>
      <c r="Y4" s="3077"/>
      <c r="Z4" s="3077"/>
      <c r="AA4" s="3077"/>
      <c r="AB4" s="3077"/>
      <c r="AC4" s="3077"/>
      <c r="AD4" s="3077"/>
      <c r="AE4" s="3077"/>
      <c r="AF4" s="3077"/>
      <c r="AG4" s="3077"/>
      <c r="AH4" s="3077"/>
      <c r="AI4" s="3077"/>
      <c r="AJ4" s="3077"/>
      <c r="AK4" s="3077"/>
      <c r="AL4" s="3077"/>
      <c r="AM4" s="3077"/>
      <c r="AN4" s="3077"/>
      <c r="AO4" s="3077"/>
      <c r="AP4" s="3077"/>
      <c r="AQ4" s="3077"/>
      <c r="AR4" s="3077"/>
      <c r="AS4" s="3077"/>
      <c r="AT4" s="3077"/>
      <c r="AU4" s="3100"/>
      <c r="AV4" s="664"/>
      <c r="AW4" s="524" t="s">
        <v>3994</v>
      </c>
      <c r="AX4" s="664"/>
      <c r="AY4" s="664"/>
      <c r="AZ4" s="664"/>
      <c r="BA4" s="541"/>
      <c r="BB4" s="664"/>
      <c r="BC4" s="541"/>
      <c r="BD4" s="664"/>
      <c r="BE4" s="664"/>
      <c r="BF4" s="652" t="s">
        <v>3900</v>
      </c>
      <c r="BG4" s="664"/>
      <c r="BH4" s="664"/>
      <c r="BI4" s="664"/>
      <c r="BJ4" s="664"/>
      <c r="BK4" s="664"/>
      <c r="BL4" s="664"/>
      <c r="BM4" s="664"/>
      <c r="BN4" s="664"/>
      <c r="BO4" s="664"/>
      <c r="BP4" s="3037" t="s">
        <v>2390</v>
      </c>
      <c r="BQ4" s="3037" t="s">
        <v>2395</v>
      </c>
      <c r="BR4" s="3037" t="s">
        <v>2394</v>
      </c>
      <c r="BS4" s="3037" t="s">
        <v>2393</v>
      </c>
      <c r="BT4" s="3037" t="s">
        <v>3995</v>
      </c>
      <c r="BU4" s="3037" t="s">
        <v>3996</v>
      </c>
      <c r="BV4" s="3078" t="s">
        <v>3943</v>
      </c>
      <c r="BW4" s="578" t="s">
        <v>3997</v>
      </c>
      <c r="BX4" s="665"/>
      <c r="BY4" s="665"/>
      <c r="BZ4" s="579"/>
      <c r="CA4" s="3094" t="s">
        <v>3998</v>
      </c>
      <c r="CB4" s="3094" t="s">
        <v>3945</v>
      </c>
      <c r="CC4" s="3097" t="s">
        <v>3950</v>
      </c>
      <c r="CD4" s="3098"/>
      <c r="CE4" s="3098"/>
      <c r="CF4" s="3098"/>
      <c r="CG4" s="3098"/>
      <c r="CH4" s="3098"/>
      <c r="CI4" s="3098"/>
      <c r="CJ4" s="3098"/>
      <c r="CK4" s="3098"/>
      <c r="CL4" s="666" t="s">
        <v>475</v>
      </c>
      <c r="CM4" s="667"/>
      <c r="CN4" s="3071" t="s">
        <v>3999</v>
      </c>
      <c r="CO4" s="3071" t="s">
        <v>3953</v>
      </c>
      <c r="CP4" s="3071" t="s">
        <v>3954</v>
      </c>
      <c r="CQ4" s="3071" t="s">
        <v>3955</v>
      </c>
      <c r="CR4" s="3071" t="s">
        <v>2859</v>
      </c>
      <c r="CS4" s="3086" t="s">
        <v>3956</v>
      </c>
      <c r="CT4" s="3086" t="s">
        <v>4000</v>
      </c>
      <c r="CU4" s="3086" t="s">
        <v>3416</v>
      </c>
      <c r="CV4" s="3086" t="s">
        <v>4001</v>
      </c>
      <c r="CW4" s="3086" t="s">
        <v>4002</v>
      </c>
      <c r="CX4" s="3096" t="s">
        <v>4003</v>
      </c>
      <c r="CY4" s="3084" t="s">
        <v>2607</v>
      </c>
    </row>
    <row r="5" spans="1:234" s="542" customFormat="1" ht="142.5" customHeight="1">
      <c r="A5" s="3093"/>
      <c r="B5" s="3034"/>
      <c r="C5" s="3034"/>
      <c r="D5" s="3038"/>
      <c r="E5" s="3038"/>
      <c r="F5" s="3038"/>
      <c r="G5" s="3038"/>
      <c r="H5" s="3038"/>
      <c r="I5" s="3038"/>
      <c r="J5" s="3038"/>
      <c r="K5" s="3038"/>
      <c r="L5" s="3038"/>
      <c r="M5" s="3038"/>
      <c r="N5" s="3038"/>
      <c r="O5" s="3038"/>
      <c r="P5" s="3038"/>
      <c r="Q5" s="3074"/>
      <c r="R5" s="528" t="s">
        <v>233</v>
      </c>
      <c r="S5" s="528" t="s">
        <v>519</v>
      </c>
      <c r="T5" s="528" t="s">
        <v>300</v>
      </c>
      <c r="U5" s="528" t="s">
        <v>301</v>
      </c>
      <c r="V5" s="581" t="s">
        <v>87</v>
      </c>
      <c r="W5" s="581" t="s">
        <v>958</v>
      </c>
      <c r="X5" s="581" t="s">
        <v>762</v>
      </c>
      <c r="Y5" s="581" t="s">
        <v>761</v>
      </c>
      <c r="Z5" s="581" t="s">
        <v>2182</v>
      </c>
      <c r="AA5" s="581" t="s">
        <v>234</v>
      </c>
      <c r="AB5" s="568" t="s">
        <v>2321</v>
      </c>
      <c r="AC5" s="568" t="s">
        <v>2319</v>
      </c>
      <c r="AD5" s="581" t="s">
        <v>2183</v>
      </c>
      <c r="AE5" s="581" t="s">
        <v>932</v>
      </c>
      <c r="AF5" s="581" t="s">
        <v>933</v>
      </c>
      <c r="AG5" s="581" t="s">
        <v>2184</v>
      </c>
      <c r="AH5" s="581" t="s">
        <v>695</v>
      </c>
      <c r="AI5" s="581" t="s">
        <v>994</v>
      </c>
      <c r="AJ5" s="581" t="s">
        <v>100</v>
      </c>
      <c r="AK5" s="581" t="s">
        <v>833</v>
      </c>
      <c r="AL5" s="581" t="s">
        <v>834</v>
      </c>
      <c r="AM5" s="581" t="s">
        <v>832</v>
      </c>
      <c r="AN5" s="581" t="s">
        <v>760</v>
      </c>
      <c r="AO5" s="581" t="s">
        <v>286</v>
      </c>
      <c r="AP5" s="581" t="s">
        <v>303</v>
      </c>
      <c r="AQ5" s="581" t="s">
        <v>2269</v>
      </c>
      <c r="AR5" s="581" t="s">
        <v>304</v>
      </c>
      <c r="AS5" s="581" t="s">
        <v>638</v>
      </c>
      <c r="AT5" s="581" t="s">
        <v>647</v>
      </c>
      <c r="AU5" s="568" t="s">
        <v>903</v>
      </c>
      <c r="AV5" s="581" t="s">
        <v>511</v>
      </c>
      <c r="AW5" s="653" t="s">
        <v>633</v>
      </c>
      <c r="AX5" s="653" t="s">
        <v>632</v>
      </c>
      <c r="AY5" s="653" t="s">
        <v>835</v>
      </c>
      <c r="AZ5" s="653" t="s">
        <v>836</v>
      </c>
      <c r="BA5" s="653" t="s">
        <v>663</v>
      </c>
      <c r="BB5" s="653" t="s">
        <v>664</v>
      </c>
      <c r="BC5" s="653" t="s">
        <v>749</v>
      </c>
      <c r="BD5" s="653" t="s">
        <v>748</v>
      </c>
      <c r="BE5" s="653" t="s">
        <v>4004</v>
      </c>
      <c r="BF5" s="668" t="s">
        <v>1495</v>
      </c>
      <c r="BG5" s="668" t="s">
        <v>1496</v>
      </c>
      <c r="BH5" s="668" t="s">
        <v>1575</v>
      </c>
      <c r="BI5" s="668" t="s">
        <v>1091</v>
      </c>
      <c r="BJ5" s="668" t="s">
        <v>2152</v>
      </c>
      <c r="BK5" s="668" t="s">
        <v>1092</v>
      </c>
      <c r="BL5" s="668" t="s">
        <v>2153</v>
      </c>
      <c r="BM5" s="668" t="s">
        <v>1093</v>
      </c>
      <c r="BN5" s="668" t="s">
        <v>2050</v>
      </c>
      <c r="BO5" s="668" t="s">
        <v>1094</v>
      </c>
      <c r="BP5" s="3038"/>
      <c r="BQ5" s="3038"/>
      <c r="BR5" s="3038"/>
      <c r="BS5" s="3038"/>
      <c r="BT5" s="3038"/>
      <c r="BU5" s="3038"/>
      <c r="BV5" s="3079"/>
      <c r="BW5" s="569" t="s">
        <v>4005</v>
      </c>
      <c r="BX5" s="569" t="s">
        <v>4006</v>
      </c>
      <c r="BY5" s="569" t="s">
        <v>2038</v>
      </c>
      <c r="BZ5" s="569" t="s">
        <v>1450</v>
      </c>
      <c r="CA5" s="3095"/>
      <c r="CB5" s="3095"/>
      <c r="CC5" s="570" t="s">
        <v>3964</v>
      </c>
      <c r="CD5" s="570" t="s">
        <v>4007</v>
      </c>
      <c r="CE5" s="570" t="s">
        <v>3965</v>
      </c>
      <c r="CF5" s="570" t="s">
        <v>4008</v>
      </c>
      <c r="CG5" s="570" t="s">
        <v>4009</v>
      </c>
      <c r="CH5" s="570" t="s">
        <v>3966</v>
      </c>
      <c r="CI5" s="570" t="s">
        <v>3967</v>
      </c>
      <c r="CJ5" s="570" t="s">
        <v>4010</v>
      </c>
      <c r="CK5" s="570" t="s">
        <v>4011</v>
      </c>
      <c r="CL5" s="570" t="s">
        <v>4012</v>
      </c>
      <c r="CM5" s="570" t="s">
        <v>4013</v>
      </c>
      <c r="CN5" s="3058"/>
      <c r="CO5" s="3058"/>
      <c r="CP5" s="3058"/>
      <c r="CQ5" s="3058"/>
      <c r="CR5" s="3058"/>
      <c r="CS5" s="3087"/>
      <c r="CT5" s="3087"/>
      <c r="CU5" s="3087"/>
      <c r="CV5" s="3087"/>
      <c r="CW5" s="3087"/>
      <c r="CX5" s="3070"/>
      <c r="CY5" s="3085"/>
    </row>
    <row r="6" spans="1:234" s="545" customFormat="1" ht="18" customHeight="1">
      <c r="A6" s="654" t="s">
        <v>4014</v>
      </c>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669"/>
      <c r="CZ6" s="530"/>
      <c r="DA6" s="530"/>
      <c r="DB6" s="530"/>
      <c r="DC6" s="530"/>
      <c r="DD6" s="530"/>
      <c r="DE6" s="530"/>
      <c r="DF6" s="530"/>
      <c r="DG6" s="530"/>
      <c r="DH6" s="530"/>
      <c r="DI6" s="530"/>
      <c r="DJ6" s="530"/>
      <c r="DK6" s="530"/>
      <c r="DL6" s="530"/>
      <c r="DM6" s="530"/>
      <c r="DN6" s="530"/>
      <c r="DO6" s="530"/>
      <c r="DP6" s="530"/>
      <c r="DQ6" s="530"/>
      <c r="DR6" s="530"/>
      <c r="DS6" s="530"/>
      <c r="DT6" s="530"/>
      <c r="DU6" s="530"/>
      <c r="DV6" s="530"/>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row>
    <row r="7" spans="1:234" s="545" customFormat="1" ht="18" customHeight="1">
      <c r="A7" s="655" t="s">
        <v>4015</v>
      </c>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669"/>
      <c r="CZ7" s="530"/>
      <c r="DA7" s="530"/>
      <c r="DB7" s="530"/>
      <c r="DC7" s="530"/>
      <c r="DD7" s="530"/>
      <c r="DE7" s="530"/>
      <c r="DF7" s="530"/>
      <c r="DG7" s="530"/>
      <c r="DH7" s="530"/>
      <c r="DI7" s="530"/>
      <c r="DJ7" s="530"/>
      <c r="DK7" s="530"/>
      <c r="DL7" s="530"/>
      <c r="DM7" s="530"/>
      <c r="DN7" s="530"/>
      <c r="DO7" s="530"/>
      <c r="DP7" s="530"/>
      <c r="DQ7" s="530"/>
      <c r="DR7" s="530"/>
      <c r="DS7" s="530"/>
      <c r="DT7" s="530"/>
      <c r="DU7" s="530"/>
      <c r="DV7" s="530"/>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row>
    <row r="8" spans="1:234" ht="13.8">
      <c r="A8" s="591"/>
      <c r="B8" s="670">
        <v>18</v>
      </c>
      <c r="C8" s="550"/>
      <c r="D8" s="550"/>
      <c r="E8" s="550">
        <f>+C8</f>
        <v>0</v>
      </c>
      <c r="F8" s="550"/>
      <c r="G8" s="550"/>
      <c r="H8" s="550"/>
      <c r="I8" s="550"/>
      <c r="J8" s="550"/>
      <c r="K8" s="550"/>
      <c r="L8" s="550"/>
      <c r="M8" s="550"/>
      <c r="N8" s="555">
        <f>C8</f>
        <v>0</v>
      </c>
      <c r="O8" s="439"/>
      <c r="P8" s="439"/>
      <c r="Q8" s="658"/>
      <c r="R8" s="671"/>
      <c r="S8" s="671"/>
      <c r="T8" s="671"/>
      <c r="U8" s="671"/>
      <c r="V8" s="671"/>
      <c r="W8" s="671"/>
      <c r="X8" s="671"/>
      <c r="Y8" s="671"/>
      <c r="Z8" s="671"/>
      <c r="AA8" s="623"/>
      <c r="AB8" s="623"/>
      <c r="AC8" s="623"/>
      <c r="AD8" s="623"/>
      <c r="AE8" s="623"/>
      <c r="AF8" s="623"/>
      <c r="AG8" s="623"/>
      <c r="AH8" s="623"/>
      <c r="AI8" s="623"/>
      <c r="AJ8" s="623"/>
      <c r="AK8" s="623"/>
      <c r="AL8" s="623"/>
      <c r="AM8" s="623"/>
      <c r="AN8" s="623"/>
      <c r="AO8" s="623"/>
      <c r="AP8" s="623"/>
      <c r="AQ8" s="623"/>
      <c r="AR8" s="623"/>
      <c r="AS8" s="623"/>
      <c r="AT8" s="623"/>
      <c r="AU8" s="623"/>
      <c r="AV8" s="623"/>
      <c r="AW8" s="623"/>
      <c r="AX8" s="623"/>
      <c r="AY8" s="623"/>
      <c r="AZ8" s="623"/>
      <c r="BA8" s="623"/>
      <c r="BB8" s="623"/>
      <c r="BC8" s="623"/>
      <c r="BD8" s="623"/>
      <c r="BE8" s="623"/>
      <c r="BF8" s="672">
        <f>AW8</f>
        <v>0</v>
      </c>
      <c r="BG8" s="672">
        <f>AX8</f>
        <v>0</v>
      </c>
      <c r="BH8" s="623"/>
      <c r="BI8" s="623"/>
      <c r="BJ8" s="623"/>
      <c r="BK8" s="623"/>
      <c r="BL8" s="623"/>
      <c r="BM8" s="623"/>
      <c r="BN8" s="623"/>
      <c r="BO8" s="623"/>
      <c r="BP8" s="623"/>
      <c r="BQ8" s="623"/>
      <c r="BR8" s="623"/>
      <c r="BS8" s="623"/>
      <c r="BT8" s="623">
        <v>1</v>
      </c>
      <c r="BU8" s="623"/>
      <c r="BV8" s="623">
        <v>1</v>
      </c>
      <c r="BW8" s="623"/>
      <c r="BX8" s="623"/>
      <c r="BY8" s="623">
        <v>1</v>
      </c>
      <c r="BZ8" s="623"/>
      <c r="CA8" s="623"/>
      <c r="CB8" s="623">
        <v>2</v>
      </c>
      <c r="CC8" s="623"/>
      <c r="CD8" s="623"/>
      <c r="CE8" s="623"/>
      <c r="CF8" s="623"/>
      <c r="CG8" s="623"/>
      <c r="CH8" s="623"/>
      <c r="CI8" s="623"/>
      <c r="CJ8" s="623"/>
      <c r="CK8" s="623"/>
      <c r="CL8" s="623"/>
      <c r="CM8" s="623"/>
      <c r="CN8" s="623"/>
      <c r="CO8" s="623"/>
      <c r="CP8" s="623"/>
      <c r="CQ8" s="623"/>
      <c r="CR8" s="623"/>
      <c r="CS8" s="623"/>
      <c r="CT8" s="623"/>
      <c r="CU8" s="623"/>
      <c r="CV8" s="623"/>
      <c r="CW8" s="623"/>
      <c r="CX8" s="673"/>
      <c r="CY8" s="557"/>
    </row>
    <row r="9" spans="1:234" ht="13.8">
      <c r="A9" s="591" t="s">
        <v>428</v>
      </c>
      <c r="B9" s="670"/>
      <c r="C9" s="550">
        <v>37</v>
      </c>
      <c r="D9" s="550"/>
      <c r="E9" s="550">
        <f t="shared" ref="E9:E54" si="0">+E8+C9</f>
        <v>37</v>
      </c>
      <c r="F9" s="550"/>
      <c r="G9" s="550"/>
      <c r="H9" s="550"/>
      <c r="I9" s="550"/>
      <c r="J9" s="550"/>
      <c r="K9" s="550"/>
      <c r="L9" s="550"/>
      <c r="M9" s="550"/>
      <c r="N9" s="555"/>
      <c r="O9" s="439"/>
      <c r="P9" s="439"/>
      <c r="Q9" s="658"/>
      <c r="R9" s="671"/>
      <c r="S9" s="671"/>
      <c r="T9" s="671"/>
      <c r="U9" s="671"/>
      <c r="V9" s="671"/>
      <c r="W9" s="671"/>
      <c r="X9" s="671"/>
      <c r="Y9" s="671"/>
      <c r="Z9" s="671"/>
      <c r="AA9" s="623"/>
      <c r="AB9" s="623"/>
      <c r="AC9" s="623"/>
      <c r="AD9" s="623"/>
      <c r="AE9" s="623"/>
      <c r="AF9" s="623"/>
      <c r="AG9" s="623"/>
      <c r="AH9" s="623"/>
      <c r="AI9" s="623"/>
      <c r="AJ9" s="623"/>
      <c r="AK9" s="623"/>
      <c r="AL9" s="623"/>
      <c r="AM9" s="623"/>
      <c r="AN9" s="623"/>
      <c r="AO9" s="623"/>
      <c r="AP9" s="623"/>
      <c r="AQ9" s="623"/>
      <c r="AR9" s="623"/>
      <c r="AS9" s="623"/>
      <c r="AT9" s="623"/>
      <c r="AU9" s="623"/>
      <c r="AV9" s="623"/>
      <c r="AW9" s="623"/>
      <c r="AX9" s="623"/>
      <c r="AY9" s="623"/>
      <c r="AZ9" s="623"/>
      <c r="BA9" s="623"/>
      <c r="BB9" s="623"/>
      <c r="BC9" s="623"/>
      <c r="BD9" s="623"/>
      <c r="BE9" s="623"/>
      <c r="BF9" s="672"/>
      <c r="BG9" s="672"/>
      <c r="BH9" s="623"/>
      <c r="BI9" s="623"/>
      <c r="BJ9" s="623"/>
      <c r="BK9" s="623"/>
      <c r="BL9" s="623"/>
      <c r="BM9" s="623"/>
      <c r="BN9" s="623"/>
      <c r="BO9" s="623"/>
      <c r="BP9" s="623"/>
      <c r="BQ9" s="623"/>
      <c r="BR9" s="623"/>
      <c r="BS9" s="623"/>
      <c r="BT9" s="623">
        <v>1</v>
      </c>
      <c r="BU9" s="623"/>
      <c r="BV9" s="623">
        <v>1</v>
      </c>
      <c r="BW9" s="623"/>
      <c r="BX9" s="623"/>
      <c r="BY9" s="623"/>
      <c r="BZ9" s="623">
        <v>1</v>
      </c>
      <c r="CA9" s="623">
        <v>3</v>
      </c>
      <c r="CB9" s="623"/>
      <c r="CC9" s="623"/>
      <c r="CD9" s="623"/>
      <c r="CE9" s="623"/>
      <c r="CF9" s="623"/>
      <c r="CG9" s="623"/>
      <c r="CH9" s="623"/>
      <c r="CI9" s="623"/>
      <c r="CJ9" s="623"/>
      <c r="CK9" s="623"/>
      <c r="CL9" s="623"/>
      <c r="CM9" s="623"/>
      <c r="CN9" s="623"/>
      <c r="CO9" s="623"/>
      <c r="CP9" s="623"/>
      <c r="CQ9" s="623"/>
      <c r="CR9" s="623"/>
      <c r="CS9" s="623"/>
      <c r="CT9" s="623"/>
      <c r="CU9" s="623"/>
      <c r="CV9" s="623"/>
      <c r="CW9" s="623"/>
      <c r="CX9" s="673"/>
      <c r="CY9" s="557"/>
    </row>
    <row r="10" spans="1:234" ht="13.8">
      <c r="A10" s="591"/>
      <c r="B10" s="670">
        <v>19</v>
      </c>
      <c r="C10" s="550">
        <v>41</v>
      </c>
      <c r="D10" s="550"/>
      <c r="E10" s="550">
        <f t="shared" si="0"/>
        <v>78</v>
      </c>
      <c r="F10" s="550"/>
      <c r="G10" s="550"/>
      <c r="H10" s="550"/>
      <c r="I10" s="550"/>
      <c r="J10" s="550"/>
      <c r="K10" s="550"/>
      <c r="L10" s="550"/>
      <c r="M10" s="550"/>
      <c r="N10" s="555"/>
      <c r="O10" s="439"/>
      <c r="P10" s="439"/>
      <c r="Q10" s="658"/>
      <c r="R10" s="671"/>
      <c r="S10" s="671"/>
      <c r="T10" s="671"/>
      <c r="U10" s="671"/>
      <c r="V10" s="671"/>
      <c r="W10" s="671"/>
      <c r="X10" s="671"/>
      <c r="Y10" s="671"/>
      <c r="Z10" s="671"/>
      <c r="AA10" s="623"/>
      <c r="AB10" s="623"/>
      <c r="AC10" s="623"/>
      <c r="AD10" s="623"/>
      <c r="AE10" s="623"/>
      <c r="AF10" s="623"/>
      <c r="AG10" s="623"/>
      <c r="AH10" s="623"/>
      <c r="AI10" s="623"/>
      <c r="AJ10" s="623"/>
      <c r="AK10" s="623"/>
      <c r="AL10" s="623"/>
      <c r="AM10" s="623"/>
      <c r="AN10" s="623"/>
      <c r="AO10" s="623"/>
      <c r="AP10" s="623"/>
      <c r="AQ10" s="623"/>
      <c r="AR10" s="623"/>
      <c r="AS10" s="623"/>
      <c r="AT10" s="623"/>
      <c r="AU10" s="623"/>
      <c r="AV10" s="623"/>
      <c r="AW10" s="623"/>
      <c r="AX10" s="623"/>
      <c r="AY10" s="623"/>
      <c r="AZ10" s="623"/>
      <c r="BA10" s="623"/>
      <c r="BB10" s="623"/>
      <c r="BC10" s="623"/>
      <c r="BD10" s="623"/>
      <c r="BE10" s="623"/>
      <c r="BF10" s="672"/>
      <c r="BG10" s="672"/>
      <c r="BH10" s="623"/>
      <c r="BI10" s="623"/>
      <c r="BJ10" s="623"/>
      <c r="BK10" s="623"/>
      <c r="BL10" s="623"/>
      <c r="BM10" s="623"/>
      <c r="BN10" s="623"/>
      <c r="BO10" s="623"/>
      <c r="BP10" s="623"/>
      <c r="BQ10" s="623"/>
      <c r="BR10" s="623"/>
      <c r="BS10" s="623"/>
      <c r="BT10" s="623">
        <v>1</v>
      </c>
      <c r="BU10" s="623"/>
      <c r="BV10" s="623">
        <v>1</v>
      </c>
      <c r="BW10" s="623"/>
      <c r="BX10" s="623"/>
      <c r="BY10" s="623">
        <v>1</v>
      </c>
      <c r="BZ10" s="623"/>
      <c r="CA10" s="623"/>
      <c r="CB10" s="623">
        <v>2</v>
      </c>
      <c r="CC10" s="623"/>
      <c r="CD10" s="623"/>
      <c r="CE10" s="623"/>
      <c r="CF10" s="623"/>
      <c r="CG10" s="623"/>
      <c r="CH10" s="623"/>
      <c r="CI10" s="623"/>
      <c r="CJ10" s="623"/>
      <c r="CK10" s="623"/>
      <c r="CL10" s="623"/>
      <c r="CM10" s="623"/>
      <c r="CN10" s="623"/>
      <c r="CO10" s="623"/>
      <c r="CP10" s="623"/>
      <c r="CQ10" s="623"/>
      <c r="CR10" s="623"/>
      <c r="CS10" s="623"/>
      <c r="CT10" s="623"/>
      <c r="CU10" s="623"/>
      <c r="CV10" s="623"/>
      <c r="CW10" s="623"/>
      <c r="CX10" s="673"/>
      <c r="CY10" s="557"/>
    </row>
    <row r="11" spans="1:234" ht="13.8">
      <c r="A11" s="591" t="s">
        <v>429</v>
      </c>
      <c r="B11" s="670"/>
      <c r="C11" s="550">
        <v>43</v>
      </c>
      <c r="D11" s="550"/>
      <c r="E11" s="550">
        <f t="shared" si="0"/>
        <v>121</v>
      </c>
      <c r="F11" s="550"/>
      <c r="G11" s="550"/>
      <c r="H11" s="550"/>
      <c r="I11" s="550"/>
      <c r="J11" s="550"/>
      <c r="K11" s="550"/>
      <c r="L11" s="550"/>
      <c r="M11" s="550"/>
      <c r="N11" s="555"/>
      <c r="O11" s="439"/>
      <c r="P11" s="439"/>
      <c r="Q11" s="658"/>
      <c r="R11" s="671"/>
      <c r="S11" s="671"/>
      <c r="T11" s="671"/>
      <c r="U11" s="671"/>
      <c r="V11" s="671"/>
      <c r="W11" s="671"/>
      <c r="X11" s="671"/>
      <c r="Y11" s="671"/>
      <c r="Z11" s="671"/>
      <c r="AA11" s="623"/>
      <c r="AB11" s="623"/>
      <c r="AC11" s="623"/>
      <c r="AD11" s="623"/>
      <c r="AE11" s="623"/>
      <c r="AF11" s="623"/>
      <c r="AG11" s="623"/>
      <c r="AH11" s="623"/>
      <c r="AI11" s="623"/>
      <c r="AJ11" s="623"/>
      <c r="AK11" s="623"/>
      <c r="AL11" s="623"/>
      <c r="AM11" s="623"/>
      <c r="AN11" s="623"/>
      <c r="AO11" s="623"/>
      <c r="AP11" s="623"/>
      <c r="AQ11" s="623"/>
      <c r="AR11" s="623"/>
      <c r="AS11" s="623"/>
      <c r="AT11" s="623"/>
      <c r="AU11" s="623"/>
      <c r="AV11" s="623"/>
      <c r="AW11" s="623"/>
      <c r="AX11" s="623"/>
      <c r="AY11" s="623"/>
      <c r="AZ11" s="623"/>
      <c r="BA11" s="623"/>
      <c r="BB11" s="623"/>
      <c r="BC11" s="623"/>
      <c r="BD11" s="623"/>
      <c r="BE11" s="623"/>
      <c r="BF11" s="672"/>
      <c r="BG11" s="672"/>
      <c r="BH11" s="623"/>
      <c r="BI11" s="623"/>
      <c r="BJ11" s="623"/>
      <c r="BK11" s="623"/>
      <c r="BL11" s="623"/>
      <c r="BM11" s="623"/>
      <c r="BN11" s="623"/>
      <c r="BO11" s="623"/>
      <c r="BP11" s="623"/>
      <c r="BQ11" s="623"/>
      <c r="BR11" s="623"/>
      <c r="BS11" s="623"/>
      <c r="BT11" s="623">
        <v>1</v>
      </c>
      <c r="BU11" s="623"/>
      <c r="BV11" s="623">
        <v>1</v>
      </c>
      <c r="BW11" s="623"/>
      <c r="BX11" s="623"/>
      <c r="BY11" s="623"/>
      <c r="BZ11" s="623">
        <v>1</v>
      </c>
      <c r="CA11" s="623">
        <v>3</v>
      </c>
      <c r="CB11" s="623"/>
      <c r="CC11" s="623"/>
      <c r="CD11" s="623"/>
      <c r="CE11" s="623"/>
      <c r="CF11" s="623"/>
      <c r="CG11" s="623"/>
      <c r="CH11" s="623"/>
      <c r="CI11" s="623"/>
      <c r="CJ11" s="623"/>
      <c r="CK11" s="623"/>
      <c r="CL11" s="623"/>
      <c r="CM11" s="623"/>
      <c r="CN11" s="623"/>
      <c r="CO11" s="623"/>
      <c r="CP11" s="623"/>
      <c r="CQ11" s="623"/>
      <c r="CR11" s="623"/>
      <c r="CS11" s="623"/>
      <c r="CT11" s="623"/>
      <c r="CU11" s="623"/>
      <c r="CV11" s="623"/>
      <c r="CW11" s="623"/>
      <c r="CX11" s="673"/>
      <c r="CY11" s="557"/>
    </row>
    <row r="12" spans="1:234" ht="13.8">
      <c r="A12" s="591"/>
      <c r="B12" s="670">
        <v>20</v>
      </c>
      <c r="C12" s="550">
        <v>32</v>
      </c>
      <c r="D12" s="550"/>
      <c r="E12" s="550">
        <f t="shared" si="0"/>
        <v>153</v>
      </c>
      <c r="F12" s="550"/>
      <c r="G12" s="550"/>
      <c r="H12" s="550"/>
      <c r="I12" s="550"/>
      <c r="J12" s="550"/>
      <c r="K12" s="550"/>
      <c r="L12" s="550"/>
      <c r="M12" s="550"/>
      <c r="N12" s="555"/>
      <c r="O12" s="439"/>
      <c r="P12" s="439"/>
      <c r="Q12" s="658"/>
      <c r="R12" s="671"/>
      <c r="S12" s="671"/>
      <c r="T12" s="671"/>
      <c r="U12" s="671"/>
      <c r="V12" s="671"/>
      <c r="W12" s="671"/>
      <c r="X12" s="671"/>
      <c r="Y12" s="671"/>
      <c r="Z12" s="671"/>
      <c r="AA12" s="623"/>
      <c r="AB12" s="623"/>
      <c r="AC12" s="623"/>
      <c r="AD12" s="623"/>
      <c r="AE12" s="623"/>
      <c r="AF12" s="623"/>
      <c r="AG12" s="623"/>
      <c r="AH12" s="623"/>
      <c r="AI12" s="623"/>
      <c r="AJ12" s="623"/>
      <c r="AK12" s="623"/>
      <c r="AL12" s="623"/>
      <c r="AM12" s="623"/>
      <c r="AN12" s="623"/>
      <c r="AO12" s="623"/>
      <c r="AP12" s="623"/>
      <c r="AQ12" s="623"/>
      <c r="AR12" s="623"/>
      <c r="AS12" s="623"/>
      <c r="AT12" s="623"/>
      <c r="AU12" s="623"/>
      <c r="AV12" s="623"/>
      <c r="AW12" s="623"/>
      <c r="AX12" s="623"/>
      <c r="AY12" s="623"/>
      <c r="AZ12" s="623"/>
      <c r="BA12" s="623"/>
      <c r="BB12" s="623"/>
      <c r="BC12" s="623"/>
      <c r="BD12" s="623"/>
      <c r="BE12" s="623"/>
      <c r="BF12" s="672"/>
      <c r="BG12" s="672"/>
      <c r="BH12" s="623"/>
      <c r="BI12" s="623"/>
      <c r="BJ12" s="623"/>
      <c r="BK12" s="623"/>
      <c r="BL12" s="623"/>
      <c r="BM12" s="623"/>
      <c r="BN12" s="623"/>
      <c r="BO12" s="623"/>
      <c r="BP12" s="623"/>
      <c r="BQ12" s="623"/>
      <c r="BR12" s="623"/>
      <c r="BS12" s="623"/>
      <c r="BT12" s="623">
        <v>1</v>
      </c>
      <c r="BU12" s="623"/>
      <c r="BV12" s="623">
        <v>1</v>
      </c>
      <c r="BW12" s="623"/>
      <c r="BX12" s="623"/>
      <c r="BY12" s="623">
        <v>1</v>
      </c>
      <c r="BZ12" s="623"/>
      <c r="CA12" s="623"/>
      <c r="CB12" s="623">
        <v>2</v>
      </c>
      <c r="CC12" s="623"/>
      <c r="CD12" s="623"/>
      <c r="CE12" s="623"/>
      <c r="CF12" s="623"/>
      <c r="CG12" s="623"/>
      <c r="CH12" s="623"/>
      <c r="CI12" s="623"/>
      <c r="CJ12" s="623"/>
      <c r="CK12" s="623"/>
      <c r="CL12" s="623"/>
      <c r="CM12" s="623"/>
      <c r="CN12" s="623"/>
      <c r="CO12" s="623"/>
      <c r="CP12" s="623"/>
      <c r="CQ12" s="623"/>
      <c r="CR12" s="623"/>
      <c r="CS12" s="623"/>
      <c r="CT12" s="623"/>
      <c r="CU12" s="623"/>
      <c r="CV12" s="623"/>
      <c r="CW12" s="623"/>
      <c r="CX12" s="673"/>
      <c r="CY12" s="557"/>
    </row>
    <row r="13" spans="1:234" ht="13.8">
      <c r="A13" s="591" t="s">
        <v>430</v>
      </c>
      <c r="B13" s="670"/>
      <c r="C13" s="550">
        <v>44</v>
      </c>
      <c r="D13" s="550"/>
      <c r="E13" s="550">
        <f t="shared" si="0"/>
        <v>197</v>
      </c>
      <c r="F13" s="550"/>
      <c r="G13" s="550"/>
      <c r="H13" s="550"/>
      <c r="I13" s="550"/>
      <c r="J13" s="550"/>
      <c r="K13" s="550"/>
      <c r="L13" s="550"/>
      <c r="M13" s="550"/>
      <c r="N13" s="555"/>
      <c r="O13" s="439"/>
      <c r="P13" s="439"/>
      <c r="Q13" s="658"/>
      <c r="R13" s="671"/>
      <c r="S13" s="671"/>
      <c r="T13" s="671"/>
      <c r="U13" s="671"/>
      <c r="V13" s="671"/>
      <c r="W13" s="671"/>
      <c r="X13" s="671"/>
      <c r="Y13" s="671"/>
      <c r="Z13" s="671"/>
      <c r="AA13" s="623"/>
      <c r="AB13" s="623"/>
      <c r="AC13" s="623"/>
      <c r="AD13" s="623"/>
      <c r="AE13" s="623"/>
      <c r="AF13" s="623"/>
      <c r="AG13" s="623"/>
      <c r="AH13" s="623"/>
      <c r="AI13" s="623"/>
      <c r="AJ13" s="623"/>
      <c r="AK13" s="623"/>
      <c r="AL13" s="623"/>
      <c r="AM13" s="623"/>
      <c r="AN13" s="623"/>
      <c r="AO13" s="623"/>
      <c r="AP13" s="623"/>
      <c r="AQ13" s="623"/>
      <c r="AR13" s="623"/>
      <c r="AS13" s="623"/>
      <c r="AT13" s="623"/>
      <c r="AU13" s="623"/>
      <c r="AV13" s="623"/>
      <c r="AW13" s="623"/>
      <c r="AX13" s="623"/>
      <c r="AY13" s="623"/>
      <c r="AZ13" s="623"/>
      <c r="BA13" s="623"/>
      <c r="BB13" s="623"/>
      <c r="BC13" s="623"/>
      <c r="BD13" s="623"/>
      <c r="BE13" s="623"/>
      <c r="BF13" s="672"/>
      <c r="BG13" s="672"/>
      <c r="BH13" s="623"/>
      <c r="BI13" s="623"/>
      <c r="BJ13" s="623"/>
      <c r="BK13" s="623"/>
      <c r="BL13" s="623"/>
      <c r="BM13" s="623"/>
      <c r="BN13" s="623"/>
      <c r="BO13" s="623"/>
      <c r="BP13" s="623"/>
      <c r="BQ13" s="623"/>
      <c r="BR13" s="623"/>
      <c r="BS13" s="623"/>
      <c r="BT13" s="623">
        <v>1</v>
      </c>
      <c r="BU13" s="623"/>
      <c r="BV13" s="623">
        <v>1</v>
      </c>
      <c r="BW13" s="623"/>
      <c r="BX13" s="623"/>
      <c r="BY13" s="623"/>
      <c r="BZ13" s="623">
        <v>1</v>
      </c>
      <c r="CA13" s="623">
        <v>3</v>
      </c>
      <c r="CB13" s="623"/>
      <c r="CC13" s="623"/>
      <c r="CD13" s="623"/>
      <c r="CE13" s="623"/>
      <c r="CF13" s="623"/>
      <c r="CG13" s="623"/>
      <c r="CH13" s="623"/>
      <c r="CI13" s="623"/>
      <c r="CJ13" s="623"/>
      <c r="CK13" s="623"/>
      <c r="CL13" s="623"/>
      <c r="CM13" s="623"/>
      <c r="CN13" s="623"/>
      <c r="CO13" s="623"/>
      <c r="CP13" s="623"/>
      <c r="CQ13" s="623"/>
      <c r="CR13" s="623"/>
      <c r="CS13" s="623"/>
      <c r="CT13" s="623"/>
      <c r="CU13" s="623"/>
      <c r="CV13" s="623"/>
      <c r="CW13" s="623"/>
      <c r="CX13" s="673"/>
      <c r="CY13" s="557"/>
    </row>
    <row r="14" spans="1:234" ht="13.8">
      <c r="A14" s="591"/>
      <c r="B14" s="670">
        <v>21</v>
      </c>
      <c r="C14" s="550">
        <v>32</v>
      </c>
      <c r="D14" s="550"/>
      <c r="E14" s="550">
        <f t="shared" si="0"/>
        <v>229</v>
      </c>
      <c r="F14" s="550"/>
      <c r="G14" s="550"/>
      <c r="H14" s="550"/>
      <c r="I14" s="550"/>
      <c r="J14" s="550"/>
      <c r="K14" s="550"/>
      <c r="L14" s="550"/>
      <c r="M14" s="550"/>
      <c r="N14" s="555"/>
      <c r="O14" s="439"/>
      <c r="P14" s="439"/>
      <c r="Q14" s="658"/>
      <c r="R14" s="671"/>
      <c r="S14" s="671"/>
      <c r="T14" s="671"/>
      <c r="U14" s="671"/>
      <c r="V14" s="671"/>
      <c r="W14" s="671"/>
      <c r="X14" s="671"/>
      <c r="Y14" s="671"/>
      <c r="Z14" s="671"/>
      <c r="AA14" s="623"/>
      <c r="AB14" s="623"/>
      <c r="AC14" s="623"/>
      <c r="AD14" s="623"/>
      <c r="AE14" s="623"/>
      <c r="AF14" s="623"/>
      <c r="AG14" s="623"/>
      <c r="AH14" s="623"/>
      <c r="AI14" s="623"/>
      <c r="AJ14" s="623"/>
      <c r="AK14" s="623"/>
      <c r="AL14" s="623"/>
      <c r="AM14" s="623"/>
      <c r="AN14" s="623"/>
      <c r="AO14" s="623"/>
      <c r="AP14" s="623"/>
      <c r="AQ14" s="623"/>
      <c r="AR14" s="623"/>
      <c r="AS14" s="623"/>
      <c r="AT14" s="623"/>
      <c r="AU14" s="623"/>
      <c r="AV14" s="623"/>
      <c r="AW14" s="623"/>
      <c r="AX14" s="623"/>
      <c r="AY14" s="623"/>
      <c r="AZ14" s="623"/>
      <c r="BA14" s="623"/>
      <c r="BB14" s="623"/>
      <c r="BC14" s="623"/>
      <c r="BD14" s="623"/>
      <c r="BE14" s="623"/>
      <c r="BF14" s="672"/>
      <c r="BG14" s="672"/>
      <c r="BH14" s="623"/>
      <c r="BI14" s="623"/>
      <c r="BJ14" s="623"/>
      <c r="BK14" s="623"/>
      <c r="BL14" s="623"/>
      <c r="BM14" s="623"/>
      <c r="BN14" s="623"/>
      <c r="BO14" s="623"/>
      <c r="BP14" s="623"/>
      <c r="BQ14" s="623"/>
      <c r="BR14" s="623"/>
      <c r="BS14" s="623"/>
      <c r="BT14" s="623">
        <v>1</v>
      </c>
      <c r="BU14" s="623"/>
      <c r="BV14" s="623">
        <v>1</v>
      </c>
      <c r="BW14" s="623"/>
      <c r="BX14" s="623"/>
      <c r="BY14" s="623">
        <v>1</v>
      </c>
      <c r="BZ14" s="623"/>
      <c r="CA14" s="623"/>
      <c r="CB14" s="623">
        <v>2</v>
      </c>
      <c r="CC14" s="623"/>
      <c r="CD14" s="623"/>
      <c r="CE14" s="623"/>
      <c r="CF14" s="623"/>
      <c r="CG14" s="623"/>
      <c r="CH14" s="623"/>
      <c r="CI14" s="623"/>
      <c r="CJ14" s="623"/>
      <c r="CK14" s="623"/>
      <c r="CL14" s="623"/>
      <c r="CM14" s="623"/>
      <c r="CN14" s="623"/>
      <c r="CO14" s="623"/>
      <c r="CP14" s="623"/>
      <c r="CQ14" s="623"/>
      <c r="CR14" s="623"/>
      <c r="CS14" s="623"/>
      <c r="CT14" s="623"/>
      <c r="CU14" s="623"/>
      <c r="CV14" s="623"/>
      <c r="CW14" s="623"/>
      <c r="CX14" s="673"/>
      <c r="CY14" s="557"/>
    </row>
    <row r="15" spans="1:234" ht="13.8">
      <c r="A15" s="591" t="s">
        <v>1683</v>
      </c>
      <c r="B15" s="670"/>
      <c r="C15" s="550">
        <v>37</v>
      </c>
      <c r="D15" s="550"/>
      <c r="E15" s="550">
        <f t="shared" si="0"/>
        <v>266</v>
      </c>
      <c r="F15" s="550"/>
      <c r="G15" s="550"/>
      <c r="H15" s="550"/>
      <c r="I15" s="550"/>
      <c r="J15" s="550"/>
      <c r="K15" s="550"/>
      <c r="L15" s="550"/>
      <c r="M15" s="550"/>
      <c r="N15" s="555"/>
      <c r="O15" s="439"/>
      <c r="P15" s="439"/>
      <c r="Q15" s="658"/>
      <c r="R15" s="671"/>
      <c r="S15" s="671"/>
      <c r="T15" s="671"/>
      <c r="U15" s="671"/>
      <c r="V15" s="671"/>
      <c r="W15" s="671"/>
      <c r="X15" s="671"/>
      <c r="Y15" s="671"/>
      <c r="Z15" s="671"/>
      <c r="AA15" s="623"/>
      <c r="AB15" s="623"/>
      <c r="AC15" s="623"/>
      <c r="AD15" s="623"/>
      <c r="AE15" s="623"/>
      <c r="AF15" s="623"/>
      <c r="AG15" s="623"/>
      <c r="AH15" s="623"/>
      <c r="AI15" s="623"/>
      <c r="AJ15" s="623"/>
      <c r="AK15" s="623"/>
      <c r="AL15" s="623"/>
      <c r="AM15" s="623"/>
      <c r="AN15" s="623"/>
      <c r="AO15" s="623"/>
      <c r="AP15" s="623"/>
      <c r="AQ15" s="623"/>
      <c r="AR15" s="623"/>
      <c r="AS15" s="623"/>
      <c r="AT15" s="623"/>
      <c r="AU15" s="623"/>
      <c r="AV15" s="623"/>
      <c r="AW15" s="623"/>
      <c r="AX15" s="623"/>
      <c r="AY15" s="623"/>
      <c r="AZ15" s="623"/>
      <c r="BA15" s="623"/>
      <c r="BB15" s="623"/>
      <c r="BC15" s="623"/>
      <c r="BD15" s="623"/>
      <c r="BE15" s="623"/>
      <c r="BF15" s="672"/>
      <c r="BG15" s="672"/>
      <c r="BH15" s="623"/>
      <c r="BI15" s="623"/>
      <c r="BJ15" s="623"/>
      <c r="BK15" s="623"/>
      <c r="BL15" s="623"/>
      <c r="BM15" s="623"/>
      <c r="BN15" s="623"/>
      <c r="BO15" s="623"/>
      <c r="BP15" s="623"/>
      <c r="BQ15" s="623"/>
      <c r="BR15" s="623"/>
      <c r="BS15" s="623"/>
      <c r="BT15" s="623">
        <v>1</v>
      </c>
      <c r="BU15" s="623"/>
      <c r="BV15" s="623">
        <v>1</v>
      </c>
      <c r="BW15" s="623"/>
      <c r="BX15" s="623"/>
      <c r="BY15" s="623"/>
      <c r="BZ15" s="623">
        <v>1</v>
      </c>
      <c r="CA15" s="623">
        <v>3</v>
      </c>
      <c r="CB15" s="623"/>
      <c r="CC15" s="623"/>
      <c r="CD15" s="623"/>
      <c r="CE15" s="623"/>
      <c r="CF15" s="623"/>
      <c r="CG15" s="623"/>
      <c r="CH15" s="623"/>
      <c r="CI15" s="623"/>
      <c r="CJ15" s="623"/>
      <c r="CK15" s="623"/>
      <c r="CL15" s="623"/>
      <c r="CM15" s="623"/>
      <c r="CN15" s="623"/>
      <c r="CO15" s="623"/>
      <c r="CP15" s="623"/>
      <c r="CQ15" s="623"/>
      <c r="CR15" s="623"/>
      <c r="CS15" s="623"/>
      <c r="CT15" s="623"/>
      <c r="CU15" s="623"/>
      <c r="CV15" s="623"/>
      <c r="CW15" s="623"/>
      <c r="CX15" s="673"/>
      <c r="CY15" s="557"/>
    </row>
    <row r="16" spans="1:234" ht="13.8">
      <c r="A16" s="591"/>
      <c r="B16" s="670">
        <v>22</v>
      </c>
      <c r="C16" s="550">
        <v>33</v>
      </c>
      <c r="D16" s="550"/>
      <c r="E16" s="550">
        <f t="shared" si="0"/>
        <v>299</v>
      </c>
      <c r="F16" s="550"/>
      <c r="G16" s="550"/>
      <c r="H16" s="550"/>
      <c r="I16" s="550"/>
      <c r="J16" s="550"/>
      <c r="K16" s="550"/>
      <c r="L16" s="550"/>
      <c r="M16" s="550"/>
      <c r="N16" s="555"/>
      <c r="O16" s="439"/>
      <c r="P16" s="439"/>
      <c r="Q16" s="658"/>
      <c r="R16" s="671"/>
      <c r="S16" s="671"/>
      <c r="T16" s="671"/>
      <c r="U16" s="671"/>
      <c r="V16" s="671"/>
      <c r="W16" s="671"/>
      <c r="X16" s="671"/>
      <c r="Y16" s="671"/>
      <c r="Z16" s="671"/>
      <c r="AA16" s="623"/>
      <c r="AB16" s="623"/>
      <c r="AC16" s="623"/>
      <c r="AD16" s="623"/>
      <c r="AE16" s="623"/>
      <c r="AF16" s="623"/>
      <c r="AG16" s="623"/>
      <c r="AH16" s="623"/>
      <c r="AI16" s="623"/>
      <c r="AJ16" s="623"/>
      <c r="AK16" s="623"/>
      <c r="AL16" s="623"/>
      <c r="AM16" s="623"/>
      <c r="AN16" s="623"/>
      <c r="AO16" s="623"/>
      <c r="AP16" s="623"/>
      <c r="AQ16" s="623"/>
      <c r="AR16" s="623"/>
      <c r="AS16" s="623"/>
      <c r="AT16" s="623"/>
      <c r="AU16" s="623"/>
      <c r="AV16" s="623"/>
      <c r="AW16" s="623"/>
      <c r="AX16" s="623"/>
      <c r="AY16" s="623"/>
      <c r="AZ16" s="623"/>
      <c r="BA16" s="623"/>
      <c r="BB16" s="623"/>
      <c r="BC16" s="623"/>
      <c r="BD16" s="623"/>
      <c r="BE16" s="623"/>
      <c r="BF16" s="672"/>
      <c r="BG16" s="672"/>
      <c r="BH16" s="623"/>
      <c r="BI16" s="623"/>
      <c r="BJ16" s="623"/>
      <c r="BK16" s="623"/>
      <c r="BL16" s="623"/>
      <c r="BM16" s="623"/>
      <c r="BN16" s="623"/>
      <c r="BO16" s="623"/>
      <c r="BP16" s="623"/>
      <c r="BQ16" s="623"/>
      <c r="BR16" s="623"/>
      <c r="BS16" s="623"/>
      <c r="BT16" s="623">
        <v>1</v>
      </c>
      <c r="BU16" s="623"/>
      <c r="BV16" s="623">
        <v>1</v>
      </c>
      <c r="BW16" s="623"/>
      <c r="BX16" s="623"/>
      <c r="BY16" s="623">
        <v>1</v>
      </c>
      <c r="BZ16" s="623"/>
      <c r="CA16" s="623"/>
      <c r="CB16" s="623">
        <v>2</v>
      </c>
      <c r="CC16" s="623"/>
      <c r="CD16" s="623"/>
      <c r="CE16" s="623"/>
      <c r="CF16" s="623"/>
      <c r="CG16" s="623"/>
      <c r="CH16" s="623"/>
      <c r="CI16" s="623"/>
      <c r="CJ16" s="623"/>
      <c r="CK16" s="623"/>
      <c r="CL16" s="623"/>
      <c r="CM16" s="623"/>
      <c r="CN16" s="623"/>
      <c r="CO16" s="623"/>
      <c r="CP16" s="623"/>
      <c r="CQ16" s="623"/>
      <c r="CR16" s="623"/>
      <c r="CS16" s="623"/>
      <c r="CT16" s="623"/>
      <c r="CU16" s="623"/>
      <c r="CV16" s="623"/>
      <c r="CW16" s="623"/>
      <c r="CX16" s="673"/>
      <c r="CY16" s="557"/>
    </row>
    <row r="17" spans="1:103" ht="13.8">
      <c r="A17" s="591" t="s">
        <v>1684</v>
      </c>
      <c r="B17" s="670"/>
      <c r="C17" s="550">
        <v>27</v>
      </c>
      <c r="D17" s="550"/>
      <c r="E17" s="550">
        <f t="shared" si="0"/>
        <v>326</v>
      </c>
      <c r="F17" s="550"/>
      <c r="G17" s="550"/>
      <c r="H17" s="550"/>
      <c r="I17" s="550"/>
      <c r="J17" s="550"/>
      <c r="K17" s="550"/>
      <c r="L17" s="550"/>
      <c r="M17" s="550"/>
      <c r="N17" s="555"/>
      <c r="O17" s="439"/>
      <c r="P17" s="439"/>
      <c r="Q17" s="658"/>
      <c r="R17" s="671"/>
      <c r="S17" s="671"/>
      <c r="T17" s="671"/>
      <c r="U17" s="671"/>
      <c r="V17" s="671"/>
      <c r="W17" s="671"/>
      <c r="X17" s="671"/>
      <c r="Y17" s="671"/>
      <c r="Z17" s="671"/>
      <c r="AA17" s="623"/>
      <c r="AB17" s="623"/>
      <c r="AC17" s="623"/>
      <c r="AD17" s="623"/>
      <c r="AE17" s="623"/>
      <c r="AF17" s="623"/>
      <c r="AG17" s="623"/>
      <c r="AH17" s="623"/>
      <c r="AI17" s="623"/>
      <c r="AJ17" s="623"/>
      <c r="AK17" s="623"/>
      <c r="AL17" s="623"/>
      <c r="AM17" s="623"/>
      <c r="AN17" s="623"/>
      <c r="AO17" s="623"/>
      <c r="AP17" s="623"/>
      <c r="AQ17" s="623"/>
      <c r="AR17" s="623"/>
      <c r="AS17" s="623"/>
      <c r="AT17" s="623"/>
      <c r="AU17" s="623"/>
      <c r="AV17" s="623"/>
      <c r="AW17" s="623"/>
      <c r="AX17" s="623"/>
      <c r="AY17" s="623"/>
      <c r="AZ17" s="623"/>
      <c r="BA17" s="623"/>
      <c r="BB17" s="623"/>
      <c r="BC17" s="623"/>
      <c r="BD17" s="623"/>
      <c r="BE17" s="623"/>
      <c r="BF17" s="672"/>
      <c r="BG17" s="672"/>
      <c r="BH17" s="623"/>
      <c r="BI17" s="623"/>
      <c r="BJ17" s="623"/>
      <c r="BK17" s="623"/>
      <c r="BL17" s="623"/>
      <c r="BM17" s="623"/>
      <c r="BN17" s="623"/>
      <c r="BO17" s="623"/>
      <c r="BP17" s="623"/>
      <c r="BQ17" s="623"/>
      <c r="BR17" s="623"/>
      <c r="BS17" s="623"/>
      <c r="BT17" s="623">
        <v>1</v>
      </c>
      <c r="BU17" s="623"/>
      <c r="BV17" s="623">
        <v>1</v>
      </c>
      <c r="BW17" s="623"/>
      <c r="BX17" s="623"/>
      <c r="BY17" s="623"/>
      <c r="BZ17" s="623">
        <v>1</v>
      </c>
      <c r="CA17" s="623">
        <v>3</v>
      </c>
      <c r="CB17" s="623"/>
      <c r="CC17" s="623"/>
      <c r="CD17" s="623"/>
      <c r="CE17" s="623"/>
      <c r="CF17" s="623"/>
      <c r="CG17" s="623"/>
      <c r="CH17" s="623"/>
      <c r="CI17" s="623"/>
      <c r="CJ17" s="623"/>
      <c r="CK17" s="623"/>
      <c r="CL17" s="623"/>
      <c r="CM17" s="623"/>
      <c r="CN17" s="623"/>
      <c r="CO17" s="623"/>
      <c r="CP17" s="623"/>
      <c r="CQ17" s="623"/>
      <c r="CR17" s="623"/>
      <c r="CS17" s="623"/>
      <c r="CT17" s="623"/>
      <c r="CU17" s="623"/>
      <c r="CV17" s="623"/>
      <c r="CW17" s="623"/>
      <c r="CX17" s="673"/>
      <c r="CY17" s="557"/>
    </row>
    <row r="18" spans="1:103" ht="13.8">
      <c r="A18" s="591"/>
      <c r="B18" s="670">
        <v>23</v>
      </c>
      <c r="C18" s="550">
        <v>36</v>
      </c>
      <c r="D18" s="550"/>
      <c r="E18" s="550">
        <f t="shared" si="0"/>
        <v>362</v>
      </c>
      <c r="F18" s="550"/>
      <c r="G18" s="550"/>
      <c r="H18" s="550"/>
      <c r="I18" s="550"/>
      <c r="J18" s="550"/>
      <c r="K18" s="550"/>
      <c r="L18" s="550"/>
      <c r="M18" s="550"/>
      <c r="N18" s="555"/>
      <c r="O18" s="439"/>
      <c r="P18" s="439"/>
      <c r="Q18" s="658"/>
      <c r="R18" s="671"/>
      <c r="S18" s="671"/>
      <c r="T18" s="671"/>
      <c r="U18" s="671"/>
      <c r="V18" s="671"/>
      <c r="W18" s="671"/>
      <c r="X18" s="671"/>
      <c r="Y18" s="671"/>
      <c r="Z18" s="671"/>
      <c r="AA18" s="623"/>
      <c r="AB18" s="623"/>
      <c r="AC18" s="623"/>
      <c r="AD18" s="623"/>
      <c r="AE18" s="623"/>
      <c r="AF18" s="623"/>
      <c r="AG18" s="623"/>
      <c r="AH18" s="623"/>
      <c r="AI18" s="623"/>
      <c r="AJ18" s="623"/>
      <c r="AK18" s="623"/>
      <c r="AL18" s="623"/>
      <c r="AM18" s="623"/>
      <c r="AN18" s="623"/>
      <c r="AO18" s="623"/>
      <c r="AP18" s="623"/>
      <c r="AQ18" s="623"/>
      <c r="AR18" s="623"/>
      <c r="AS18" s="623"/>
      <c r="AT18" s="623"/>
      <c r="AU18" s="623"/>
      <c r="AV18" s="623"/>
      <c r="AW18" s="623"/>
      <c r="AX18" s="623"/>
      <c r="AY18" s="623"/>
      <c r="AZ18" s="623"/>
      <c r="BA18" s="623"/>
      <c r="BB18" s="623"/>
      <c r="BC18" s="623"/>
      <c r="BD18" s="623"/>
      <c r="BE18" s="623"/>
      <c r="BF18" s="672"/>
      <c r="BG18" s="672"/>
      <c r="BH18" s="623"/>
      <c r="BI18" s="623"/>
      <c r="BJ18" s="623"/>
      <c r="BK18" s="623"/>
      <c r="BL18" s="623"/>
      <c r="BM18" s="623"/>
      <c r="BN18" s="623"/>
      <c r="BO18" s="623"/>
      <c r="BP18" s="623"/>
      <c r="BQ18" s="623"/>
      <c r="BR18" s="623"/>
      <c r="BS18" s="623"/>
      <c r="BT18" s="623">
        <v>1</v>
      </c>
      <c r="BU18" s="623"/>
      <c r="BV18" s="623">
        <v>1</v>
      </c>
      <c r="BW18" s="623"/>
      <c r="BX18" s="623"/>
      <c r="BY18" s="623">
        <v>1</v>
      </c>
      <c r="BZ18" s="623"/>
      <c r="CA18" s="623"/>
      <c r="CB18" s="623">
        <v>2</v>
      </c>
      <c r="CC18" s="623"/>
      <c r="CD18" s="623"/>
      <c r="CE18" s="623"/>
      <c r="CF18" s="623"/>
      <c r="CG18" s="623"/>
      <c r="CH18" s="623"/>
      <c r="CI18" s="623"/>
      <c r="CJ18" s="623"/>
      <c r="CK18" s="623"/>
      <c r="CL18" s="623"/>
      <c r="CM18" s="623"/>
      <c r="CN18" s="623"/>
      <c r="CO18" s="623"/>
      <c r="CP18" s="623"/>
      <c r="CQ18" s="623"/>
      <c r="CR18" s="623"/>
      <c r="CS18" s="623"/>
      <c r="CT18" s="623"/>
      <c r="CU18" s="623"/>
      <c r="CV18" s="623"/>
      <c r="CW18" s="623"/>
      <c r="CX18" s="673"/>
      <c r="CY18" s="557"/>
    </row>
    <row r="19" spans="1:103" ht="13.8">
      <c r="A19" s="591" t="s">
        <v>1685</v>
      </c>
      <c r="B19" s="670"/>
      <c r="C19" s="550">
        <v>37</v>
      </c>
      <c r="D19" s="550"/>
      <c r="E19" s="550">
        <f t="shared" si="0"/>
        <v>399</v>
      </c>
      <c r="F19" s="550"/>
      <c r="G19" s="550"/>
      <c r="H19" s="550"/>
      <c r="I19" s="550"/>
      <c r="J19" s="550"/>
      <c r="K19" s="550"/>
      <c r="L19" s="550"/>
      <c r="M19" s="550"/>
      <c r="N19" s="555"/>
      <c r="O19" s="439"/>
      <c r="P19" s="439"/>
      <c r="Q19" s="658"/>
      <c r="R19" s="671"/>
      <c r="S19" s="671"/>
      <c r="T19" s="671"/>
      <c r="U19" s="671"/>
      <c r="V19" s="671"/>
      <c r="W19" s="671"/>
      <c r="X19" s="671"/>
      <c r="Y19" s="671"/>
      <c r="Z19" s="671"/>
      <c r="AA19" s="623"/>
      <c r="AB19" s="623"/>
      <c r="AC19" s="623"/>
      <c r="AD19" s="623"/>
      <c r="AE19" s="623"/>
      <c r="AF19" s="623"/>
      <c r="AG19" s="623"/>
      <c r="AH19" s="623"/>
      <c r="AI19" s="623"/>
      <c r="AJ19" s="623"/>
      <c r="AK19" s="623"/>
      <c r="AL19" s="623"/>
      <c r="AM19" s="623"/>
      <c r="AN19" s="623"/>
      <c r="AO19" s="623"/>
      <c r="AP19" s="623"/>
      <c r="AQ19" s="623"/>
      <c r="AR19" s="623"/>
      <c r="AS19" s="623"/>
      <c r="AT19" s="623"/>
      <c r="AU19" s="623"/>
      <c r="AV19" s="623"/>
      <c r="AW19" s="623"/>
      <c r="AX19" s="623"/>
      <c r="AY19" s="623"/>
      <c r="AZ19" s="623"/>
      <c r="BA19" s="623"/>
      <c r="BB19" s="623"/>
      <c r="BC19" s="623"/>
      <c r="BD19" s="623"/>
      <c r="BE19" s="623"/>
      <c r="BF19" s="672"/>
      <c r="BG19" s="672"/>
      <c r="BH19" s="623"/>
      <c r="BI19" s="623"/>
      <c r="BJ19" s="623"/>
      <c r="BK19" s="623"/>
      <c r="BL19" s="623"/>
      <c r="BM19" s="623"/>
      <c r="BN19" s="623"/>
      <c r="BO19" s="623"/>
      <c r="BP19" s="623"/>
      <c r="BQ19" s="623"/>
      <c r="BR19" s="623"/>
      <c r="BS19" s="623"/>
      <c r="BT19" s="623">
        <v>1</v>
      </c>
      <c r="BU19" s="623"/>
      <c r="BV19" s="623">
        <v>1</v>
      </c>
      <c r="BW19" s="623"/>
      <c r="BX19" s="623"/>
      <c r="BY19" s="623"/>
      <c r="BZ19" s="623">
        <v>1</v>
      </c>
      <c r="CA19" s="623">
        <v>3</v>
      </c>
      <c r="CB19" s="623"/>
      <c r="CC19" s="623"/>
      <c r="CD19" s="623"/>
      <c r="CE19" s="623"/>
      <c r="CF19" s="623"/>
      <c r="CG19" s="623"/>
      <c r="CH19" s="623"/>
      <c r="CI19" s="623"/>
      <c r="CJ19" s="623"/>
      <c r="CK19" s="623"/>
      <c r="CL19" s="623"/>
      <c r="CM19" s="623"/>
      <c r="CN19" s="623"/>
      <c r="CO19" s="623"/>
      <c r="CP19" s="623"/>
      <c r="CQ19" s="623"/>
      <c r="CR19" s="623"/>
      <c r="CS19" s="623"/>
      <c r="CT19" s="623"/>
      <c r="CU19" s="623"/>
      <c r="CV19" s="623"/>
      <c r="CW19" s="623"/>
      <c r="CX19" s="673"/>
      <c r="CY19" s="557"/>
    </row>
    <row r="20" spans="1:103" ht="13.8">
      <c r="A20" s="591"/>
      <c r="B20" s="670">
        <v>24</v>
      </c>
      <c r="C20" s="550">
        <v>33</v>
      </c>
      <c r="D20" s="550"/>
      <c r="E20" s="550">
        <f t="shared" si="0"/>
        <v>432</v>
      </c>
      <c r="F20" s="550"/>
      <c r="G20" s="550"/>
      <c r="H20" s="550"/>
      <c r="I20" s="550"/>
      <c r="J20" s="550"/>
      <c r="K20" s="550"/>
      <c r="L20" s="550"/>
      <c r="M20" s="550"/>
      <c r="N20" s="555"/>
      <c r="O20" s="439"/>
      <c r="P20" s="439"/>
      <c r="Q20" s="658"/>
      <c r="R20" s="671"/>
      <c r="S20" s="671"/>
      <c r="T20" s="671"/>
      <c r="U20" s="671"/>
      <c r="V20" s="671"/>
      <c r="W20" s="671"/>
      <c r="X20" s="671"/>
      <c r="Y20" s="671"/>
      <c r="Z20" s="671"/>
      <c r="AA20" s="623"/>
      <c r="AB20" s="623"/>
      <c r="AC20" s="623"/>
      <c r="AD20" s="623"/>
      <c r="AE20" s="623"/>
      <c r="AF20" s="623"/>
      <c r="AG20" s="623"/>
      <c r="AH20" s="623"/>
      <c r="AI20" s="623"/>
      <c r="AJ20" s="623"/>
      <c r="AK20" s="623"/>
      <c r="AL20" s="623"/>
      <c r="AM20" s="623"/>
      <c r="AN20" s="623"/>
      <c r="AO20" s="623"/>
      <c r="AP20" s="623"/>
      <c r="AQ20" s="623"/>
      <c r="AR20" s="623"/>
      <c r="AS20" s="623"/>
      <c r="AT20" s="623"/>
      <c r="AU20" s="623"/>
      <c r="AV20" s="623"/>
      <c r="AW20" s="623"/>
      <c r="AX20" s="623"/>
      <c r="AY20" s="623"/>
      <c r="AZ20" s="623"/>
      <c r="BA20" s="623"/>
      <c r="BB20" s="623"/>
      <c r="BC20" s="623"/>
      <c r="BD20" s="623"/>
      <c r="BE20" s="623"/>
      <c r="BF20" s="672"/>
      <c r="BG20" s="672"/>
      <c r="BH20" s="623"/>
      <c r="BI20" s="623"/>
      <c r="BJ20" s="623"/>
      <c r="BK20" s="623"/>
      <c r="BL20" s="623"/>
      <c r="BM20" s="623"/>
      <c r="BN20" s="623"/>
      <c r="BO20" s="623"/>
      <c r="BP20" s="623"/>
      <c r="BQ20" s="623"/>
      <c r="BR20" s="623"/>
      <c r="BS20" s="623"/>
      <c r="BT20" s="623">
        <v>1</v>
      </c>
      <c r="BU20" s="623"/>
      <c r="BV20" s="623">
        <v>1</v>
      </c>
      <c r="BW20" s="623"/>
      <c r="BX20" s="623"/>
      <c r="BY20" s="623">
        <v>1</v>
      </c>
      <c r="BZ20" s="623"/>
      <c r="CA20" s="623"/>
      <c r="CB20" s="623">
        <v>2</v>
      </c>
      <c r="CC20" s="623"/>
      <c r="CD20" s="623"/>
      <c r="CE20" s="623"/>
      <c r="CF20" s="623"/>
      <c r="CG20" s="623"/>
      <c r="CH20" s="623"/>
      <c r="CI20" s="623"/>
      <c r="CJ20" s="623"/>
      <c r="CK20" s="623"/>
      <c r="CL20" s="623"/>
      <c r="CM20" s="623"/>
      <c r="CN20" s="623"/>
      <c r="CO20" s="623"/>
      <c r="CP20" s="623"/>
      <c r="CQ20" s="623"/>
      <c r="CR20" s="623"/>
      <c r="CS20" s="623"/>
      <c r="CT20" s="623"/>
      <c r="CU20" s="623"/>
      <c r="CV20" s="623"/>
      <c r="CW20" s="623"/>
      <c r="CX20" s="673"/>
      <c r="CY20" s="557"/>
    </row>
    <row r="21" spans="1:103" ht="13.8">
      <c r="A21" s="591" t="s">
        <v>172</v>
      </c>
      <c r="B21" s="670"/>
      <c r="C21" s="550">
        <v>29</v>
      </c>
      <c r="D21" s="550"/>
      <c r="E21" s="550">
        <f t="shared" si="0"/>
        <v>461</v>
      </c>
      <c r="F21" s="550"/>
      <c r="G21" s="550"/>
      <c r="H21" s="550"/>
      <c r="I21" s="550"/>
      <c r="J21" s="550"/>
      <c r="K21" s="550"/>
      <c r="L21" s="550"/>
      <c r="M21" s="550"/>
      <c r="N21" s="555"/>
      <c r="O21" s="439"/>
      <c r="P21" s="439"/>
      <c r="Q21" s="658"/>
      <c r="R21" s="671"/>
      <c r="S21" s="671"/>
      <c r="T21" s="671"/>
      <c r="U21" s="671"/>
      <c r="V21" s="671"/>
      <c r="W21" s="671"/>
      <c r="X21" s="671"/>
      <c r="Y21" s="671"/>
      <c r="Z21" s="671"/>
      <c r="AA21" s="623"/>
      <c r="AB21" s="623"/>
      <c r="AC21" s="623"/>
      <c r="AD21" s="623"/>
      <c r="AE21" s="623"/>
      <c r="AF21" s="623"/>
      <c r="AG21" s="623"/>
      <c r="AH21" s="623"/>
      <c r="AI21" s="623"/>
      <c r="AJ21" s="623"/>
      <c r="AK21" s="623"/>
      <c r="AL21" s="623"/>
      <c r="AM21" s="623"/>
      <c r="AN21" s="623"/>
      <c r="AO21" s="623"/>
      <c r="AP21" s="623"/>
      <c r="AQ21" s="623"/>
      <c r="AR21" s="623"/>
      <c r="AS21" s="623"/>
      <c r="AT21" s="623"/>
      <c r="AU21" s="623"/>
      <c r="AV21" s="623"/>
      <c r="AW21" s="623"/>
      <c r="AX21" s="623"/>
      <c r="AY21" s="623"/>
      <c r="AZ21" s="623"/>
      <c r="BA21" s="623"/>
      <c r="BB21" s="623"/>
      <c r="BC21" s="623"/>
      <c r="BD21" s="623"/>
      <c r="BE21" s="623"/>
      <c r="BF21" s="672"/>
      <c r="BG21" s="672"/>
      <c r="BH21" s="623"/>
      <c r="BI21" s="623"/>
      <c r="BJ21" s="623"/>
      <c r="BK21" s="623"/>
      <c r="BL21" s="623"/>
      <c r="BM21" s="623"/>
      <c r="BN21" s="623"/>
      <c r="BO21" s="623"/>
      <c r="BP21" s="623"/>
      <c r="BQ21" s="623"/>
      <c r="BR21" s="623"/>
      <c r="BS21" s="623"/>
      <c r="BT21" s="623">
        <v>1</v>
      </c>
      <c r="BU21" s="623"/>
      <c r="BV21" s="623">
        <v>1</v>
      </c>
      <c r="BW21" s="623"/>
      <c r="BX21" s="623"/>
      <c r="BY21" s="623"/>
      <c r="BZ21" s="623">
        <v>1</v>
      </c>
      <c r="CA21" s="623">
        <v>3</v>
      </c>
      <c r="CB21" s="623"/>
      <c r="CC21" s="623"/>
      <c r="CD21" s="623"/>
      <c r="CE21" s="623"/>
      <c r="CF21" s="623"/>
      <c r="CG21" s="623"/>
      <c r="CH21" s="623"/>
      <c r="CI21" s="623"/>
      <c r="CJ21" s="623"/>
      <c r="CK21" s="623"/>
      <c r="CL21" s="623"/>
      <c r="CM21" s="623"/>
      <c r="CN21" s="623"/>
      <c r="CO21" s="623"/>
      <c r="CP21" s="623"/>
      <c r="CQ21" s="623"/>
      <c r="CR21" s="623"/>
      <c r="CS21" s="623"/>
      <c r="CT21" s="623"/>
      <c r="CU21" s="623"/>
      <c r="CV21" s="623"/>
      <c r="CW21" s="623"/>
      <c r="CX21" s="673"/>
      <c r="CY21" s="557"/>
    </row>
    <row r="22" spans="1:103" ht="13.8">
      <c r="A22" s="591"/>
      <c r="B22" s="670">
        <v>25</v>
      </c>
      <c r="C22" s="550">
        <v>39</v>
      </c>
      <c r="D22" s="550"/>
      <c r="E22" s="550">
        <f t="shared" si="0"/>
        <v>500</v>
      </c>
      <c r="F22" s="550"/>
      <c r="G22" s="550"/>
      <c r="H22" s="550"/>
      <c r="I22" s="550"/>
      <c r="J22" s="550"/>
      <c r="K22" s="550"/>
      <c r="L22" s="550"/>
      <c r="M22" s="550"/>
      <c r="N22" s="555"/>
      <c r="O22" s="439"/>
      <c r="P22" s="439"/>
      <c r="Q22" s="658"/>
      <c r="R22" s="671"/>
      <c r="S22" s="671"/>
      <c r="T22" s="671"/>
      <c r="U22" s="671"/>
      <c r="V22" s="671"/>
      <c r="W22" s="671"/>
      <c r="X22" s="671"/>
      <c r="Y22" s="671"/>
      <c r="Z22" s="671"/>
      <c r="AA22" s="623"/>
      <c r="AB22" s="623"/>
      <c r="AC22" s="623"/>
      <c r="AD22" s="623"/>
      <c r="AE22" s="623"/>
      <c r="AF22" s="623"/>
      <c r="AG22" s="623"/>
      <c r="AH22" s="623"/>
      <c r="AI22" s="623"/>
      <c r="AJ22" s="623"/>
      <c r="AK22" s="623"/>
      <c r="AL22" s="623"/>
      <c r="AM22" s="623"/>
      <c r="AN22" s="623"/>
      <c r="AO22" s="623"/>
      <c r="AP22" s="623"/>
      <c r="AQ22" s="623"/>
      <c r="AR22" s="623"/>
      <c r="AS22" s="623"/>
      <c r="AT22" s="623"/>
      <c r="AU22" s="623"/>
      <c r="AV22" s="623"/>
      <c r="AW22" s="623"/>
      <c r="AX22" s="623"/>
      <c r="AY22" s="623"/>
      <c r="AZ22" s="623"/>
      <c r="BA22" s="623"/>
      <c r="BB22" s="623"/>
      <c r="BC22" s="623"/>
      <c r="BD22" s="623"/>
      <c r="BE22" s="623"/>
      <c r="BF22" s="672"/>
      <c r="BG22" s="672"/>
      <c r="BH22" s="623"/>
      <c r="BI22" s="623"/>
      <c r="BJ22" s="623"/>
      <c r="BK22" s="623"/>
      <c r="BL22" s="623"/>
      <c r="BM22" s="623"/>
      <c r="BN22" s="623"/>
      <c r="BO22" s="623"/>
      <c r="BP22" s="623"/>
      <c r="BQ22" s="623"/>
      <c r="BR22" s="623"/>
      <c r="BS22" s="623"/>
      <c r="BT22" s="623">
        <v>1</v>
      </c>
      <c r="BU22" s="623"/>
      <c r="BV22" s="623">
        <v>1</v>
      </c>
      <c r="BW22" s="623"/>
      <c r="BX22" s="623"/>
      <c r="BY22" s="623">
        <v>1</v>
      </c>
      <c r="BZ22" s="623"/>
      <c r="CA22" s="623"/>
      <c r="CB22" s="623">
        <v>2</v>
      </c>
      <c r="CC22" s="623"/>
      <c r="CD22" s="623"/>
      <c r="CE22" s="623"/>
      <c r="CF22" s="623"/>
      <c r="CG22" s="623"/>
      <c r="CH22" s="623"/>
      <c r="CI22" s="623"/>
      <c r="CJ22" s="623"/>
      <c r="CK22" s="623"/>
      <c r="CL22" s="623"/>
      <c r="CM22" s="623"/>
      <c r="CN22" s="623"/>
      <c r="CO22" s="623"/>
      <c r="CP22" s="623"/>
      <c r="CQ22" s="623"/>
      <c r="CR22" s="623"/>
      <c r="CS22" s="623"/>
      <c r="CT22" s="623"/>
      <c r="CU22" s="623"/>
      <c r="CV22" s="623"/>
      <c r="CW22" s="623"/>
      <c r="CX22" s="673"/>
      <c r="CY22" s="557"/>
    </row>
    <row r="23" spans="1:103" ht="13.8">
      <c r="A23" s="591" t="s">
        <v>173</v>
      </c>
      <c r="B23" s="670"/>
      <c r="C23" s="550">
        <v>39</v>
      </c>
      <c r="D23" s="550"/>
      <c r="E23" s="550">
        <f t="shared" si="0"/>
        <v>539</v>
      </c>
      <c r="F23" s="550"/>
      <c r="G23" s="550"/>
      <c r="H23" s="550"/>
      <c r="I23" s="550"/>
      <c r="J23" s="550"/>
      <c r="K23" s="550"/>
      <c r="L23" s="550"/>
      <c r="M23" s="550"/>
      <c r="N23" s="555"/>
      <c r="O23" s="439"/>
      <c r="P23" s="439"/>
      <c r="Q23" s="658"/>
      <c r="R23" s="671"/>
      <c r="S23" s="671"/>
      <c r="T23" s="671"/>
      <c r="U23" s="671"/>
      <c r="V23" s="671"/>
      <c r="W23" s="671"/>
      <c r="X23" s="671"/>
      <c r="Y23" s="671"/>
      <c r="Z23" s="671"/>
      <c r="AA23" s="623"/>
      <c r="AB23" s="623"/>
      <c r="AC23" s="623"/>
      <c r="AD23" s="623"/>
      <c r="AE23" s="623"/>
      <c r="AF23" s="623"/>
      <c r="AG23" s="623"/>
      <c r="AH23" s="623"/>
      <c r="AI23" s="623"/>
      <c r="AJ23" s="623"/>
      <c r="AK23" s="623"/>
      <c r="AL23" s="623"/>
      <c r="AM23" s="623"/>
      <c r="AN23" s="623"/>
      <c r="AO23" s="623"/>
      <c r="AP23" s="623"/>
      <c r="AQ23" s="623"/>
      <c r="AR23" s="623"/>
      <c r="AS23" s="623"/>
      <c r="AT23" s="623"/>
      <c r="AU23" s="623"/>
      <c r="AV23" s="623"/>
      <c r="AW23" s="623"/>
      <c r="AX23" s="623"/>
      <c r="AY23" s="623"/>
      <c r="AZ23" s="623"/>
      <c r="BA23" s="623"/>
      <c r="BB23" s="623"/>
      <c r="BC23" s="623"/>
      <c r="BD23" s="623"/>
      <c r="BE23" s="623"/>
      <c r="BF23" s="672"/>
      <c r="BG23" s="672"/>
      <c r="BH23" s="623"/>
      <c r="BI23" s="623"/>
      <c r="BJ23" s="623"/>
      <c r="BK23" s="623"/>
      <c r="BL23" s="623"/>
      <c r="BM23" s="623"/>
      <c r="BN23" s="623"/>
      <c r="BO23" s="623"/>
      <c r="BP23" s="623"/>
      <c r="BQ23" s="623"/>
      <c r="BR23" s="623"/>
      <c r="BS23" s="623"/>
      <c r="BT23" s="623">
        <v>1</v>
      </c>
      <c r="BU23" s="623"/>
      <c r="BV23" s="623">
        <v>1</v>
      </c>
      <c r="BW23" s="623"/>
      <c r="BX23" s="623"/>
      <c r="BY23" s="623"/>
      <c r="BZ23" s="623">
        <v>1</v>
      </c>
      <c r="CA23" s="623">
        <v>3</v>
      </c>
      <c r="CB23" s="623"/>
      <c r="CC23" s="623"/>
      <c r="CD23" s="623"/>
      <c r="CE23" s="623"/>
      <c r="CF23" s="623"/>
      <c r="CG23" s="623"/>
      <c r="CH23" s="623"/>
      <c r="CI23" s="623"/>
      <c r="CJ23" s="623"/>
      <c r="CK23" s="623"/>
      <c r="CL23" s="623"/>
      <c r="CM23" s="623"/>
      <c r="CN23" s="623"/>
      <c r="CO23" s="623"/>
      <c r="CP23" s="623"/>
      <c r="CQ23" s="623"/>
      <c r="CR23" s="623"/>
      <c r="CS23" s="623"/>
      <c r="CT23" s="623"/>
      <c r="CU23" s="623"/>
      <c r="CV23" s="623"/>
      <c r="CW23" s="623"/>
      <c r="CX23" s="673"/>
      <c r="CY23" s="557"/>
    </row>
    <row r="24" spans="1:103" ht="13.8">
      <c r="A24" s="591"/>
      <c r="B24" s="670">
        <v>26</v>
      </c>
      <c r="C24" s="550">
        <v>43</v>
      </c>
      <c r="D24" s="550"/>
      <c r="E24" s="550">
        <f t="shared" si="0"/>
        <v>582</v>
      </c>
      <c r="F24" s="550"/>
      <c r="G24" s="550"/>
      <c r="H24" s="550"/>
      <c r="I24" s="550"/>
      <c r="J24" s="550"/>
      <c r="K24" s="550"/>
      <c r="L24" s="550"/>
      <c r="M24" s="550"/>
      <c r="N24" s="550"/>
      <c r="O24" s="439"/>
      <c r="P24" s="439"/>
      <c r="Q24" s="674"/>
      <c r="R24" s="671"/>
      <c r="S24" s="671"/>
      <c r="T24" s="671"/>
      <c r="U24" s="671"/>
      <c r="V24" s="671"/>
      <c r="W24" s="671"/>
      <c r="X24" s="671"/>
      <c r="Y24" s="671"/>
      <c r="Z24" s="671"/>
      <c r="AA24" s="623"/>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72">
        <f>AW24</f>
        <v>0</v>
      </c>
      <c r="BG24" s="672">
        <f>AX24</f>
        <v>0</v>
      </c>
      <c r="BH24" s="623"/>
      <c r="BI24" s="623"/>
      <c r="BJ24" s="623"/>
      <c r="BK24" s="623"/>
      <c r="BL24" s="623"/>
      <c r="BM24" s="623"/>
      <c r="BN24" s="623"/>
      <c r="BO24" s="623"/>
      <c r="BP24" s="623"/>
      <c r="BQ24" s="623"/>
      <c r="BR24" s="623"/>
      <c r="BS24" s="623"/>
      <c r="BT24" s="623">
        <v>1</v>
      </c>
      <c r="BU24" s="623"/>
      <c r="BV24" s="623">
        <v>1</v>
      </c>
      <c r="BW24" s="623"/>
      <c r="BX24" s="623"/>
      <c r="BY24" s="623">
        <v>1</v>
      </c>
      <c r="BZ24" s="623"/>
      <c r="CA24" s="623"/>
      <c r="CB24" s="623">
        <v>2</v>
      </c>
      <c r="CC24" s="623"/>
      <c r="CD24" s="623"/>
      <c r="CE24" s="623"/>
      <c r="CF24" s="623"/>
      <c r="CG24" s="623"/>
      <c r="CH24" s="623"/>
      <c r="CI24" s="623"/>
      <c r="CJ24" s="623"/>
      <c r="CK24" s="623"/>
      <c r="CL24" s="623"/>
      <c r="CM24" s="623"/>
      <c r="CN24" s="623"/>
      <c r="CO24" s="623"/>
      <c r="CP24" s="623"/>
      <c r="CQ24" s="623"/>
      <c r="CR24" s="623"/>
      <c r="CS24" s="623"/>
      <c r="CT24" s="623"/>
      <c r="CU24" s="623"/>
      <c r="CV24" s="623"/>
      <c r="CW24" s="623"/>
      <c r="CX24" s="673"/>
      <c r="CY24" s="557"/>
    </row>
    <row r="25" spans="1:103" ht="13.8">
      <c r="A25" s="591" t="s">
        <v>174</v>
      </c>
      <c r="B25" s="670"/>
      <c r="C25" s="550">
        <v>34</v>
      </c>
      <c r="D25" s="550"/>
      <c r="E25" s="550">
        <f t="shared" si="0"/>
        <v>616</v>
      </c>
      <c r="F25" s="550"/>
      <c r="G25" s="550"/>
      <c r="H25" s="550"/>
      <c r="I25" s="550"/>
      <c r="J25" s="550"/>
      <c r="K25" s="550"/>
      <c r="L25" s="550"/>
      <c r="M25" s="550"/>
      <c r="N25" s="550"/>
      <c r="O25" s="439"/>
      <c r="P25" s="439"/>
      <c r="Q25" s="674"/>
      <c r="R25" s="671"/>
      <c r="S25" s="671"/>
      <c r="T25" s="671"/>
      <c r="U25" s="671"/>
      <c r="V25" s="671"/>
      <c r="W25" s="671"/>
      <c r="X25" s="671"/>
      <c r="Y25" s="671"/>
      <c r="Z25" s="671"/>
      <c r="AA25" s="623"/>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72"/>
      <c r="BG25" s="672"/>
      <c r="BH25" s="623"/>
      <c r="BI25" s="623"/>
      <c r="BJ25" s="623"/>
      <c r="BK25" s="623"/>
      <c r="BL25" s="623"/>
      <c r="BM25" s="623"/>
      <c r="BN25" s="623"/>
      <c r="BO25" s="623"/>
      <c r="BP25" s="623"/>
      <c r="BQ25" s="623"/>
      <c r="BR25" s="623"/>
      <c r="BS25" s="623"/>
      <c r="BT25" s="623">
        <v>1</v>
      </c>
      <c r="BU25" s="623"/>
      <c r="BV25" s="623">
        <v>1</v>
      </c>
      <c r="BW25" s="623"/>
      <c r="BX25" s="623"/>
      <c r="BY25" s="623"/>
      <c r="BZ25" s="623">
        <v>1</v>
      </c>
      <c r="CA25" s="623">
        <v>3</v>
      </c>
      <c r="CB25" s="623"/>
      <c r="CC25" s="623"/>
      <c r="CD25" s="623"/>
      <c r="CE25" s="623"/>
      <c r="CF25" s="623"/>
      <c r="CG25" s="623"/>
      <c r="CH25" s="623"/>
      <c r="CI25" s="623"/>
      <c r="CJ25" s="623"/>
      <c r="CK25" s="623"/>
      <c r="CL25" s="623"/>
      <c r="CM25" s="623"/>
      <c r="CN25" s="623"/>
      <c r="CO25" s="623"/>
      <c r="CP25" s="623"/>
      <c r="CQ25" s="623"/>
      <c r="CR25" s="623"/>
      <c r="CS25" s="623"/>
      <c r="CT25" s="623"/>
      <c r="CU25" s="623"/>
      <c r="CV25" s="623"/>
      <c r="CW25" s="623"/>
      <c r="CX25" s="673"/>
      <c r="CY25" s="557"/>
    </row>
    <row r="26" spans="1:103" ht="13.8">
      <c r="A26" s="591"/>
      <c r="B26" s="670">
        <v>27</v>
      </c>
      <c r="C26" s="550">
        <v>44</v>
      </c>
      <c r="D26" s="550"/>
      <c r="E26" s="550">
        <f t="shared" si="0"/>
        <v>660</v>
      </c>
      <c r="F26" s="550"/>
      <c r="G26" s="550"/>
      <c r="H26" s="550"/>
      <c r="I26" s="550"/>
      <c r="J26" s="550"/>
      <c r="K26" s="550"/>
      <c r="L26" s="550"/>
      <c r="M26" s="550"/>
      <c r="N26" s="550"/>
      <c r="O26" s="439"/>
      <c r="P26" s="439"/>
      <c r="Q26" s="674"/>
      <c r="R26" s="671"/>
      <c r="S26" s="671"/>
      <c r="T26" s="671"/>
      <c r="U26" s="671"/>
      <c r="V26" s="671"/>
      <c r="W26" s="671"/>
      <c r="X26" s="671"/>
      <c r="Y26" s="671"/>
      <c r="Z26" s="671"/>
      <c r="AA26" s="623"/>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72"/>
      <c r="BG26" s="672"/>
      <c r="BH26" s="623"/>
      <c r="BI26" s="623"/>
      <c r="BJ26" s="623"/>
      <c r="BK26" s="623"/>
      <c r="BL26" s="623"/>
      <c r="BM26" s="623"/>
      <c r="BN26" s="623"/>
      <c r="BO26" s="623"/>
      <c r="BP26" s="623"/>
      <c r="BQ26" s="623"/>
      <c r="BR26" s="623"/>
      <c r="BS26" s="623"/>
      <c r="BT26" s="623">
        <v>1</v>
      </c>
      <c r="BU26" s="623"/>
      <c r="BV26" s="623">
        <v>1</v>
      </c>
      <c r="BW26" s="623"/>
      <c r="BX26" s="623"/>
      <c r="BY26" s="623">
        <v>1</v>
      </c>
      <c r="BZ26" s="623"/>
      <c r="CA26" s="623"/>
      <c r="CB26" s="623">
        <v>2</v>
      </c>
      <c r="CC26" s="623"/>
      <c r="CD26" s="623"/>
      <c r="CE26" s="623"/>
      <c r="CF26" s="623"/>
      <c r="CG26" s="623"/>
      <c r="CH26" s="623"/>
      <c r="CI26" s="623"/>
      <c r="CJ26" s="623"/>
      <c r="CK26" s="623"/>
      <c r="CL26" s="623"/>
      <c r="CM26" s="623"/>
      <c r="CN26" s="623"/>
      <c r="CO26" s="623"/>
      <c r="CP26" s="623"/>
      <c r="CQ26" s="623"/>
      <c r="CR26" s="623"/>
      <c r="CS26" s="623"/>
      <c r="CT26" s="623"/>
      <c r="CU26" s="623"/>
      <c r="CV26" s="623"/>
      <c r="CW26" s="623"/>
      <c r="CX26" s="673"/>
      <c r="CY26" s="557"/>
    </row>
    <row r="27" spans="1:103" ht="13.8">
      <c r="A27" s="591" t="s">
        <v>175</v>
      </c>
      <c r="B27" s="670"/>
      <c r="C27" s="550">
        <v>37</v>
      </c>
      <c r="D27" s="550"/>
      <c r="E27" s="550">
        <f t="shared" si="0"/>
        <v>697</v>
      </c>
      <c r="F27" s="550"/>
      <c r="G27" s="550"/>
      <c r="H27" s="550"/>
      <c r="I27" s="550"/>
      <c r="J27" s="550"/>
      <c r="K27" s="550"/>
      <c r="L27" s="550"/>
      <c r="M27" s="550"/>
      <c r="N27" s="550"/>
      <c r="O27" s="439"/>
      <c r="P27" s="439"/>
      <c r="Q27" s="674"/>
      <c r="R27" s="671"/>
      <c r="S27" s="671"/>
      <c r="T27" s="671"/>
      <c r="U27" s="671"/>
      <c r="V27" s="671"/>
      <c r="W27" s="671"/>
      <c r="X27" s="671"/>
      <c r="Y27" s="671"/>
      <c r="Z27" s="671"/>
      <c r="AA27" s="623"/>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72"/>
      <c r="BG27" s="672"/>
      <c r="BH27" s="623"/>
      <c r="BI27" s="623"/>
      <c r="BJ27" s="623"/>
      <c r="BK27" s="623"/>
      <c r="BL27" s="623"/>
      <c r="BM27" s="623"/>
      <c r="BN27" s="623"/>
      <c r="BO27" s="623"/>
      <c r="BP27" s="623"/>
      <c r="BQ27" s="623"/>
      <c r="BR27" s="623"/>
      <c r="BS27" s="623"/>
      <c r="BT27" s="623">
        <v>1</v>
      </c>
      <c r="BU27" s="623"/>
      <c r="BV27" s="623">
        <v>1</v>
      </c>
      <c r="BW27" s="623"/>
      <c r="BX27" s="623"/>
      <c r="BY27" s="623"/>
      <c r="BZ27" s="623">
        <v>1</v>
      </c>
      <c r="CA27" s="623">
        <v>3</v>
      </c>
      <c r="CB27" s="623"/>
      <c r="CC27" s="623"/>
      <c r="CD27" s="623"/>
      <c r="CE27" s="623"/>
      <c r="CF27" s="623"/>
      <c r="CG27" s="623"/>
      <c r="CH27" s="623"/>
      <c r="CI27" s="623"/>
      <c r="CJ27" s="623"/>
      <c r="CK27" s="623"/>
      <c r="CL27" s="623"/>
      <c r="CM27" s="623"/>
      <c r="CN27" s="623"/>
      <c r="CO27" s="623"/>
      <c r="CP27" s="623"/>
      <c r="CQ27" s="623"/>
      <c r="CR27" s="623"/>
      <c r="CS27" s="623"/>
      <c r="CT27" s="623"/>
      <c r="CU27" s="623"/>
      <c r="CV27" s="623"/>
      <c r="CW27" s="623"/>
      <c r="CX27" s="673"/>
      <c r="CY27" s="557"/>
    </row>
    <row r="28" spans="1:103" ht="13.8">
      <c r="A28" s="591"/>
      <c r="B28" s="670">
        <v>28</v>
      </c>
      <c r="C28" s="550">
        <v>37</v>
      </c>
      <c r="D28" s="550"/>
      <c r="E28" s="550">
        <f t="shared" si="0"/>
        <v>734</v>
      </c>
      <c r="F28" s="550"/>
      <c r="G28" s="550"/>
      <c r="H28" s="550"/>
      <c r="I28" s="550"/>
      <c r="J28" s="550"/>
      <c r="K28" s="550"/>
      <c r="L28" s="550"/>
      <c r="M28" s="550"/>
      <c r="N28" s="550"/>
      <c r="O28" s="439"/>
      <c r="P28" s="439"/>
      <c r="Q28" s="674"/>
      <c r="R28" s="671"/>
      <c r="S28" s="671"/>
      <c r="T28" s="671"/>
      <c r="U28" s="671"/>
      <c r="V28" s="671"/>
      <c r="W28" s="671"/>
      <c r="X28" s="671"/>
      <c r="Y28" s="671"/>
      <c r="Z28" s="671"/>
      <c r="AA28" s="623"/>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72"/>
      <c r="BG28" s="672"/>
      <c r="BH28" s="623"/>
      <c r="BI28" s="623"/>
      <c r="BJ28" s="623"/>
      <c r="BK28" s="623"/>
      <c r="BL28" s="623"/>
      <c r="BM28" s="623"/>
      <c r="BN28" s="623"/>
      <c r="BO28" s="623"/>
      <c r="BP28" s="623"/>
      <c r="BQ28" s="623"/>
      <c r="BR28" s="623"/>
      <c r="BS28" s="623"/>
      <c r="BT28" s="623">
        <v>1</v>
      </c>
      <c r="BU28" s="623"/>
      <c r="BV28" s="623">
        <v>1</v>
      </c>
      <c r="BW28" s="623"/>
      <c r="BX28" s="623"/>
      <c r="BY28" s="623">
        <v>1</v>
      </c>
      <c r="BZ28" s="623"/>
      <c r="CA28" s="623"/>
      <c r="CB28" s="623">
        <v>2</v>
      </c>
      <c r="CC28" s="623"/>
      <c r="CD28" s="623"/>
      <c r="CE28" s="623"/>
      <c r="CF28" s="623"/>
      <c r="CG28" s="623"/>
      <c r="CH28" s="623"/>
      <c r="CI28" s="623"/>
      <c r="CJ28" s="623"/>
      <c r="CK28" s="623"/>
      <c r="CL28" s="623"/>
      <c r="CM28" s="623"/>
      <c r="CN28" s="623"/>
      <c r="CO28" s="623"/>
      <c r="CP28" s="623"/>
      <c r="CQ28" s="623"/>
      <c r="CR28" s="623"/>
      <c r="CS28" s="623"/>
      <c r="CT28" s="623"/>
      <c r="CU28" s="623"/>
      <c r="CV28" s="623"/>
      <c r="CW28" s="623"/>
      <c r="CX28" s="673"/>
      <c r="CY28" s="557"/>
    </row>
    <row r="29" spans="1:103" ht="13.8">
      <c r="A29" s="591" t="s">
        <v>176</v>
      </c>
      <c r="B29" s="670"/>
      <c r="C29" s="550">
        <v>35</v>
      </c>
      <c r="D29" s="550"/>
      <c r="E29" s="550">
        <f t="shared" si="0"/>
        <v>769</v>
      </c>
      <c r="F29" s="550"/>
      <c r="G29" s="550"/>
      <c r="H29" s="550"/>
      <c r="I29" s="550"/>
      <c r="J29" s="550"/>
      <c r="K29" s="550"/>
      <c r="L29" s="550"/>
      <c r="M29" s="550"/>
      <c r="N29" s="550"/>
      <c r="O29" s="439"/>
      <c r="P29" s="439"/>
      <c r="Q29" s="674"/>
      <c r="R29" s="671"/>
      <c r="S29" s="671"/>
      <c r="T29" s="671"/>
      <c r="U29" s="671"/>
      <c r="V29" s="671"/>
      <c r="W29" s="671"/>
      <c r="X29" s="671"/>
      <c r="Y29" s="671"/>
      <c r="Z29" s="671"/>
      <c r="AA29" s="623"/>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72"/>
      <c r="BG29" s="672"/>
      <c r="BH29" s="623"/>
      <c r="BI29" s="623"/>
      <c r="BJ29" s="623"/>
      <c r="BK29" s="623"/>
      <c r="BL29" s="623"/>
      <c r="BM29" s="623"/>
      <c r="BN29" s="623"/>
      <c r="BO29" s="623"/>
      <c r="BP29" s="623"/>
      <c r="BQ29" s="623"/>
      <c r="BR29" s="623"/>
      <c r="BS29" s="623"/>
      <c r="BT29" s="623">
        <v>1</v>
      </c>
      <c r="BU29" s="623"/>
      <c r="BV29" s="623">
        <v>1</v>
      </c>
      <c r="BW29" s="623"/>
      <c r="BX29" s="623"/>
      <c r="BY29" s="623"/>
      <c r="BZ29" s="623">
        <v>1</v>
      </c>
      <c r="CA29" s="623">
        <v>3</v>
      </c>
      <c r="CB29" s="623"/>
      <c r="CC29" s="623"/>
      <c r="CD29" s="623"/>
      <c r="CE29" s="623"/>
      <c r="CF29" s="623"/>
      <c r="CG29" s="623"/>
      <c r="CH29" s="623"/>
      <c r="CI29" s="623"/>
      <c r="CJ29" s="623"/>
      <c r="CK29" s="623"/>
      <c r="CL29" s="623"/>
      <c r="CM29" s="623"/>
      <c r="CN29" s="623"/>
      <c r="CO29" s="623"/>
      <c r="CP29" s="623"/>
      <c r="CQ29" s="623"/>
      <c r="CR29" s="623"/>
      <c r="CS29" s="623"/>
      <c r="CT29" s="623"/>
      <c r="CU29" s="623"/>
      <c r="CV29" s="623"/>
      <c r="CW29" s="623"/>
      <c r="CX29" s="673"/>
      <c r="CY29" s="557"/>
    </row>
    <row r="30" spans="1:103" ht="13.8">
      <c r="A30" s="591"/>
      <c r="B30" s="670">
        <v>29</v>
      </c>
      <c r="C30" s="550">
        <v>40</v>
      </c>
      <c r="D30" s="550"/>
      <c r="E30" s="550">
        <f t="shared" si="0"/>
        <v>809</v>
      </c>
      <c r="F30" s="550"/>
      <c r="G30" s="550"/>
      <c r="H30" s="550"/>
      <c r="I30" s="550"/>
      <c r="J30" s="550"/>
      <c r="K30" s="550"/>
      <c r="L30" s="550"/>
      <c r="M30" s="550"/>
      <c r="N30" s="550"/>
      <c r="O30" s="439"/>
      <c r="P30" s="439"/>
      <c r="Q30" s="674"/>
      <c r="R30" s="671"/>
      <c r="S30" s="671"/>
      <c r="T30" s="671"/>
      <c r="U30" s="671"/>
      <c r="V30" s="671"/>
      <c r="W30" s="671"/>
      <c r="X30" s="671"/>
      <c r="Y30" s="671"/>
      <c r="Z30" s="671"/>
      <c r="AA30" s="623"/>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72"/>
      <c r="BG30" s="672"/>
      <c r="BH30" s="623"/>
      <c r="BI30" s="623"/>
      <c r="BJ30" s="623"/>
      <c r="BK30" s="623"/>
      <c r="BL30" s="623"/>
      <c r="BM30" s="623"/>
      <c r="BN30" s="623"/>
      <c r="BO30" s="623"/>
      <c r="BP30" s="623"/>
      <c r="BQ30" s="623"/>
      <c r="BR30" s="623"/>
      <c r="BS30" s="623"/>
      <c r="BT30" s="623">
        <v>1</v>
      </c>
      <c r="BU30" s="623"/>
      <c r="BV30" s="623">
        <v>1</v>
      </c>
      <c r="BW30" s="623"/>
      <c r="BX30" s="623"/>
      <c r="BY30" s="623">
        <v>1</v>
      </c>
      <c r="BZ30" s="623"/>
      <c r="CA30" s="623"/>
      <c r="CB30" s="623">
        <v>2</v>
      </c>
      <c r="CC30" s="623"/>
      <c r="CD30" s="623"/>
      <c r="CE30" s="623"/>
      <c r="CF30" s="623"/>
      <c r="CG30" s="623"/>
      <c r="CH30" s="623"/>
      <c r="CI30" s="623"/>
      <c r="CJ30" s="623"/>
      <c r="CK30" s="623"/>
      <c r="CL30" s="623"/>
      <c r="CM30" s="623"/>
      <c r="CN30" s="623"/>
      <c r="CO30" s="623"/>
      <c r="CP30" s="623"/>
      <c r="CQ30" s="623"/>
      <c r="CR30" s="623"/>
      <c r="CS30" s="623"/>
      <c r="CT30" s="623"/>
      <c r="CU30" s="623"/>
      <c r="CV30" s="623"/>
      <c r="CW30" s="623"/>
      <c r="CX30" s="673"/>
      <c r="CY30" s="557"/>
    </row>
    <row r="31" spans="1:103" ht="13.8">
      <c r="A31" s="591"/>
      <c r="B31" s="670">
        <v>30</v>
      </c>
      <c r="C31" s="550">
        <v>50</v>
      </c>
      <c r="D31" s="550"/>
      <c r="E31" s="550">
        <f t="shared" si="0"/>
        <v>859</v>
      </c>
      <c r="F31" s="550"/>
      <c r="G31" s="550"/>
      <c r="H31" s="550"/>
      <c r="I31" s="550"/>
      <c r="J31" s="550"/>
      <c r="K31" s="550"/>
      <c r="L31" s="550"/>
      <c r="M31" s="550"/>
      <c r="N31" s="550"/>
      <c r="O31" s="439"/>
      <c r="P31" s="439"/>
      <c r="Q31" s="674"/>
      <c r="R31" s="671"/>
      <c r="S31" s="671"/>
      <c r="T31" s="671"/>
      <c r="U31" s="671"/>
      <c r="V31" s="671"/>
      <c r="W31" s="671"/>
      <c r="X31" s="671"/>
      <c r="Y31" s="671"/>
      <c r="Z31" s="671"/>
      <c r="AA31" s="623"/>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72"/>
      <c r="BG31" s="672"/>
      <c r="BH31" s="623"/>
      <c r="BI31" s="623"/>
      <c r="BJ31" s="623"/>
      <c r="BK31" s="623"/>
      <c r="BL31" s="623"/>
      <c r="BM31" s="623"/>
      <c r="BN31" s="623"/>
      <c r="BO31" s="623"/>
      <c r="BP31" s="623"/>
      <c r="BQ31" s="623"/>
      <c r="BR31" s="623"/>
      <c r="BS31" s="623"/>
      <c r="BT31" s="623">
        <v>1</v>
      </c>
      <c r="BU31" s="623"/>
      <c r="BV31" s="623">
        <v>1</v>
      </c>
      <c r="BW31" s="623"/>
      <c r="BX31" s="623"/>
      <c r="BY31" s="623">
        <v>1</v>
      </c>
      <c r="BZ31" s="623"/>
      <c r="CA31" s="623"/>
      <c r="CB31" s="623">
        <v>2</v>
      </c>
      <c r="CC31" s="623"/>
      <c r="CD31" s="623"/>
      <c r="CE31" s="623"/>
      <c r="CF31" s="623"/>
      <c r="CG31" s="623"/>
      <c r="CH31" s="623"/>
      <c r="CI31" s="623"/>
      <c r="CJ31" s="623"/>
      <c r="CK31" s="623"/>
      <c r="CL31" s="623"/>
      <c r="CM31" s="623"/>
      <c r="CN31" s="623"/>
      <c r="CO31" s="623"/>
      <c r="CP31" s="623"/>
      <c r="CQ31" s="623"/>
      <c r="CR31" s="623"/>
      <c r="CS31" s="623"/>
      <c r="CT31" s="623"/>
      <c r="CU31" s="623"/>
      <c r="CV31" s="623"/>
      <c r="CW31" s="623"/>
      <c r="CX31" s="673"/>
      <c r="CY31" s="557"/>
    </row>
    <row r="32" spans="1:103" ht="13.8">
      <c r="A32" s="591" t="s">
        <v>177</v>
      </c>
      <c r="B32" s="670"/>
      <c r="C32" s="550">
        <v>51</v>
      </c>
      <c r="D32" s="550"/>
      <c r="E32" s="550">
        <f t="shared" si="0"/>
        <v>910</v>
      </c>
      <c r="F32" s="550"/>
      <c r="G32" s="550"/>
      <c r="H32" s="550"/>
      <c r="I32" s="550"/>
      <c r="J32" s="550"/>
      <c r="K32" s="550"/>
      <c r="L32" s="550"/>
      <c r="M32" s="550"/>
      <c r="N32" s="550"/>
      <c r="O32" s="439"/>
      <c r="P32" s="439"/>
      <c r="Q32" s="674"/>
      <c r="R32" s="671"/>
      <c r="S32" s="671"/>
      <c r="T32" s="671"/>
      <c r="U32" s="671"/>
      <c r="V32" s="671"/>
      <c r="W32" s="671"/>
      <c r="X32" s="671"/>
      <c r="Y32" s="671"/>
      <c r="Z32" s="671"/>
      <c r="AA32" s="623"/>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72"/>
      <c r="BG32" s="672"/>
      <c r="BH32" s="623"/>
      <c r="BI32" s="623"/>
      <c r="BJ32" s="623"/>
      <c r="BK32" s="623"/>
      <c r="BL32" s="623"/>
      <c r="BM32" s="623"/>
      <c r="BN32" s="623"/>
      <c r="BO32" s="623"/>
      <c r="BP32" s="623"/>
      <c r="BQ32" s="623"/>
      <c r="BR32" s="623"/>
      <c r="BS32" s="623"/>
      <c r="BT32" s="623">
        <v>1</v>
      </c>
      <c r="BU32" s="623"/>
      <c r="BV32" s="623">
        <v>1</v>
      </c>
      <c r="BW32" s="623"/>
      <c r="BX32" s="623"/>
      <c r="BY32" s="623"/>
      <c r="BZ32" s="623">
        <v>1</v>
      </c>
      <c r="CA32" s="623">
        <v>3</v>
      </c>
      <c r="CB32" s="623"/>
      <c r="CC32" s="623"/>
      <c r="CD32" s="623"/>
      <c r="CE32" s="623"/>
      <c r="CF32" s="623"/>
      <c r="CG32" s="623"/>
      <c r="CH32" s="623"/>
      <c r="CI32" s="623"/>
      <c r="CJ32" s="623"/>
      <c r="CK32" s="623"/>
      <c r="CL32" s="623"/>
      <c r="CM32" s="623"/>
      <c r="CN32" s="623"/>
      <c r="CO32" s="623"/>
      <c r="CP32" s="623"/>
      <c r="CQ32" s="623"/>
      <c r="CR32" s="623"/>
      <c r="CS32" s="623"/>
      <c r="CT32" s="623"/>
      <c r="CU32" s="623"/>
      <c r="CV32" s="623"/>
      <c r="CW32" s="623"/>
      <c r="CX32" s="673"/>
      <c r="CY32" s="557"/>
    </row>
    <row r="33" spans="1:234" ht="13.8">
      <c r="A33" s="591"/>
      <c r="B33" s="675" t="s">
        <v>458</v>
      </c>
      <c r="C33" s="550">
        <v>22</v>
      </c>
      <c r="D33" s="550"/>
      <c r="E33" s="550">
        <f t="shared" si="0"/>
        <v>932</v>
      </c>
      <c r="F33" s="550"/>
      <c r="G33" s="550"/>
      <c r="H33" s="550"/>
      <c r="I33" s="550"/>
      <c r="J33" s="550"/>
      <c r="K33" s="550"/>
      <c r="L33" s="550"/>
      <c r="M33" s="550"/>
      <c r="N33" s="550"/>
      <c r="O33" s="439"/>
      <c r="P33" s="439"/>
      <c r="Q33" s="674"/>
      <c r="R33" s="671"/>
      <c r="S33" s="671"/>
      <c r="T33" s="671"/>
      <c r="U33" s="671"/>
      <c r="V33" s="671"/>
      <c r="W33" s="671"/>
      <c r="X33" s="671"/>
      <c r="Y33" s="671"/>
      <c r="Z33" s="671"/>
      <c r="AA33" s="623"/>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72"/>
      <c r="BG33" s="672"/>
      <c r="BH33" s="623"/>
      <c r="BI33" s="623"/>
      <c r="BJ33" s="623"/>
      <c r="BK33" s="623"/>
      <c r="BL33" s="623"/>
      <c r="BM33" s="623"/>
      <c r="BN33" s="623"/>
      <c r="BO33" s="623"/>
      <c r="BP33" s="623"/>
      <c r="BQ33" s="623"/>
      <c r="BR33" s="623"/>
      <c r="BS33" s="623"/>
      <c r="BT33" s="623">
        <v>1</v>
      </c>
      <c r="BU33" s="623"/>
      <c r="BV33" s="623">
        <v>1</v>
      </c>
      <c r="BW33" s="623"/>
      <c r="BX33" s="623"/>
      <c r="BY33" s="623">
        <v>1</v>
      </c>
      <c r="BZ33" s="623"/>
      <c r="CA33" s="623"/>
      <c r="CB33" s="623">
        <v>2</v>
      </c>
      <c r="CC33" s="623"/>
      <c r="CD33" s="623"/>
      <c r="CE33" s="623"/>
      <c r="CF33" s="623"/>
      <c r="CG33" s="623"/>
      <c r="CH33" s="623"/>
      <c r="CI33" s="623"/>
      <c r="CJ33" s="623"/>
      <c r="CK33" s="623"/>
      <c r="CL33" s="623"/>
      <c r="CM33" s="623"/>
      <c r="CN33" s="623"/>
      <c r="CO33" s="623"/>
      <c r="CP33" s="623"/>
      <c r="CQ33" s="623"/>
      <c r="CR33" s="623"/>
      <c r="CS33" s="623"/>
      <c r="CT33" s="623"/>
      <c r="CU33" s="623"/>
      <c r="CV33" s="623"/>
      <c r="CW33" s="623"/>
      <c r="CX33" s="673"/>
      <c r="CY33" s="557"/>
    </row>
    <row r="34" spans="1:234" ht="13.8">
      <c r="A34" s="591" t="s">
        <v>2245</v>
      </c>
      <c r="B34" s="670"/>
      <c r="C34" s="550">
        <v>30</v>
      </c>
      <c r="D34" s="550"/>
      <c r="E34" s="550">
        <f t="shared" si="0"/>
        <v>962</v>
      </c>
      <c r="F34" s="550"/>
      <c r="G34" s="550"/>
      <c r="H34" s="550"/>
      <c r="I34" s="550"/>
      <c r="J34" s="550"/>
      <c r="K34" s="550"/>
      <c r="L34" s="550"/>
      <c r="M34" s="550"/>
      <c r="N34" s="550"/>
      <c r="O34" s="439"/>
      <c r="P34" s="439"/>
      <c r="Q34" s="674"/>
      <c r="R34" s="671"/>
      <c r="S34" s="671"/>
      <c r="T34" s="671"/>
      <c r="U34" s="671"/>
      <c r="V34" s="671"/>
      <c r="W34" s="671"/>
      <c r="X34" s="671"/>
      <c r="Y34" s="671"/>
      <c r="Z34" s="671"/>
      <c r="AA34" s="623"/>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72"/>
      <c r="BG34" s="672"/>
      <c r="BH34" s="623"/>
      <c r="BI34" s="623"/>
      <c r="BJ34" s="623"/>
      <c r="BK34" s="623"/>
      <c r="BL34" s="623"/>
      <c r="BM34" s="623"/>
      <c r="BN34" s="623"/>
      <c r="BO34" s="623"/>
      <c r="BP34" s="623"/>
      <c r="BQ34" s="623"/>
      <c r="BR34" s="623"/>
      <c r="BS34" s="623"/>
      <c r="BT34" s="623">
        <v>1</v>
      </c>
      <c r="BU34" s="623"/>
      <c r="BV34" s="623">
        <v>1</v>
      </c>
      <c r="BW34" s="623"/>
      <c r="BX34" s="623"/>
      <c r="BY34" s="623"/>
      <c r="BZ34" s="623">
        <v>1</v>
      </c>
      <c r="CA34" s="623"/>
      <c r="CB34" s="623"/>
      <c r="CC34" s="623"/>
      <c r="CD34" s="623"/>
      <c r="CE34" s="623"/>
      <c r="CF34" s="623"/>
      <c r="CG34" s="623"/>
      <c r="CH34" s="623"/>
      <c r="CI34" s="623"/>
      <c r="CJ34" s="623"/>
      <c r="CK34" s="623"/>
      <c r="CL34" s="623"/>
      <c r="CM34" s="623"/>
      <c r="CN34" s="623"/>
      <c r="CO34" s="623"/>
      <c r="CP34" s="623"/>
      <c r="CQ34" s="623"/>
      <c r="CR34" s="623"/>
      <c r="CS34" s="623"/>
      <c r="CT34" s="623"/>
      <c r="CU34" s="623"/>
      <c r="CV34" s="623"/>
      <c r="CW34" s="623"/>
      <c r="CX34" s="673"/>
      <c r="CY34" s="557"/>
    </row>
    <row r="35" spans="1:234" ht="13.8">
      <c r="A35" s="591"/>
      <c r="B35" s="675" t="s">
        <v>459</v>
      </c>
      <c r="C35" s="550">
        <v>34</v>
      </c>
      <c r="D35" s="550"/>
      <c r="E35" s="550">
        <f t="shared" si="0"/>
        <v>996</v>
      </c>
      <c r="F35" s="550"/>
      <c r="G35" s="550"/>
      <c r="H35" s="550"/>
      <c r="I35" s="550"/>
      <c r="J35" s="550"/>
      <c r="K35" s="550"/>
      <c r="L35" s="550"/>
      <c r="M35" s="550"/>
      <c r="N35" s="550"/>
      <c r="O35" s="439"/>
      <c r="P35" s="439"/>
      <c r="Q35" s="674"/>
      <c r="R35" s="671"/>
      <c r="S35" s="671"/>
      <c r="T35" s="671"/>
      <c r="U35" s="671"/>
      <c r="V35" s="671"/>
      <c r="W35" s="671"/>
      <c r="X35" s="671"/>
      <c r="Y35" s="671"/>
      <c r="Z35" s="671"/>
      <c r="AA35" s="623"/>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72"/>
      <c r="BG35" s="672"/>
      <c r="BH35" s="623"/>
      <c r="BI35" s="623"/>
      <c r="BJ35" s="623"/>
      <c r="BK35" s="623"/>
      <c r="BL35" s="623"/>
      <c r="BM35" s="623"/>
      <c r="BN35" s="623"/>
      <c r="BO35" s="623"/>
      <c r="BP35" s="623"/>
      <c r="BQ35" s="623"/>
      <c r="BR35" s="623"/>
      <c r="BS35" s="623"/>
      <c r="BT35" s="623">
        <v>1</v>
      </c>
      <c r="BU35" s="623"/>
      <c r="BV35" s="623">
        <v>1</v>
      </c>
      <c r="BW35" s="623"/>
      <c r="BX35" s="623"/>
      <c r="BY35" s="623">
        <v>1</v>
      </c>
      <c r="BZ35" s="623"/>
      <c r="CA35" s="623"/>
      <c r="CB35" s="623">
        <v>2</v>
      </c>
      <c r="CC35" s="623"/>
      <c r="CD35" s="623"/>
      <c r="CE35" s="623"/>
      <c r="CF35" s="623"/>
      <c r="CG35" s="623"/>
      <c r="CH35" s="623"/>
      <c r="CI35" s="623"/>
      <c r="CJ35" s="623"/>
      <c r="CK35" s="623"/>
      <c r="CL35" s="623"/>
      <c r="CM35" s="623"/>
      <c r="CN35" s="623"/>
      <c r="CO35" s="623"/>
      <c r="CP35" s="623"/>
      <c r="CQ35" s="623"/>
      <c r="CR35" s="623"/>
      <c r="CS35" s="623"/>
      <c r="CT35" s="623"/>
      <c r="CU35" s="623"/>
      <c r="CV35" s="623"/>
      <c r="CW35" s="623"/>
      <c r="CX35" s="673"/>
      <c r="CY35" s="557"/>
    </row>
    <row r="36" spans="1:234" ht="13.8">
      <c r="A36" s="591" t="s">
        <v>948</v>
      </c>
      <c r="B36" s="670"/>
      <c r="C36" s="550">
        <v>9</v>
      </c>
      <c r="D36" s="550"/>
      <c r="E36" s="550">
        <f t="shared" si="0"/>
        <v>1005</v>
      </c>
      <c r="F36" s="550"/>
      <c r="G36" s="550"/>
      <c r="H36" s="550"/>
      <c r="I36" s="550"/>
      <c r="J36" s="550"/>
      <c r="K36" s="550"/>
      <c r="L36" s="550"/>
      <c r="M36" s="550"/>
      <c r="N36" s="550"/>
      <c r="O36" s="439"/>
      <c r="P36" s="439"/>
      <c r="Q36" s="674"/>
      <c r="R36" s="671"/>
      <c r="S36" s="671"/>
      <c r="T36" s="671"/>
      <c r="U36" s="671"/>
      <c r="V36" s="671"/>
      <c r="W36" s="671"/>
      <c r="X36" s="671"/>
      <c r="Y36" s="671"/>
      <c r="Z36" s="671"/>
      <c r="AA36" s="623"/>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72"/>
      <c r="BG36" s="672"/>
      <c r="BH36" s="623"/>
      <c r="BI36" s="623"/>
      <c r="BJ36" s="623"/>
      <c r="BK36" s="623"/>
      <c r="BL36" s="623"/>
      <c r="BM36" s="623"/>
      <c r="BN36" s="623"/>
      <c r="BO36" s="623"/>
      <c r="BP36" s="623"/>
      <c r="BQ36" s="623"/>
      <c r="BR36" s="623"/>
      <c r="BS36" s="623"/>
      <c r="BT36" s="623">
        <v>1</v>
      </c>
      <c r="BU36" s="623"/>
      <c r="BV36" s="623">
        <v>1</v>
      </c>
      <c r="BW36" s="623"/>
      <c r="BX36" s="623"/>
      <c r="BY36" s="623"/>
      <c r="BZ36" s="623">
        <v>1</v>
      </c>
      <c r="CA36" s="623">
        <v>3</v>
      </c>
      <c r="CB36" s="623"/>
      <c r="CC36" s="623"/>
      <c r="CD36" s="623"/>
      <c r="CE36" s="623"/>
      <c r="CF36" s="623"/>
      <c r="CG36" s="623"/>
      <c r="CH36" s="623"/>
      <c r="CI36" s="623"/>
      <c r="CJ36" s="623"/>
      <c r="CK36" s="623"/>
      <c r="CL36" s="623"/>
      <c r="CM36" s="623"/>
      <c r="CN36" s="623"/>
      <c r="CO36" s="623"/>
      <c r="CP36" s="623"/>
      <c r="CQ36" s="623"/>
      <c r="CR36" s="623"/>
      <c r="CS36" s="623"/>
      <c r="CT36" s="623"/>
      <c r="CU36" s="623"/>
      <c r="CV36" s="623"/>
      <c r="CW36" s="623"/>
      <c r="CX36" s="673"/>
      <c r="CY36" s="557"/>
    </row>
    <row r="37" spans="1:234" ht="13.8">
      <c r="A37" s="591" t="s">
        <v>980</v>
      </c>
      <c r="B37" s="670"/>
      <c r="C37" s="550">
        <v>10</v>
      </c>
      <c r="D37" s="550"/>
      <c r="E37" s="550">
        <f t="shared" si="0"/>
        <v>1015</v>
      </c>
      <c r="F37" s="550"/>
      <c r="G37" s="550"/>
      <c r="H37" s="550"/>
      <c r="I37" s="550"/>
      <c r="J37" s="550"/>
      <c r="K37" s="550"/>
      <c r="L37" s="550"/>
      <c r="M37" s="550"/>
      <c r="N37" s="550"/>
      <c r="O37" s="439"/>
      <c r="P37" s="439"/>
      <c r="Q37" s="674"/>
      <c r="R37" s="671"/>
      <c r="S37" s="671"/>
      <c r="T37" s="671"/>
      <c r="U37" s="671"/>
      <c r="V37" s="671"/>
      <c r="W37" s="671"/>
      <c r="X37" s="671"/>
      <c r="Y37" s="671"/>
      <c r="Z37" s="671"/>
      <c r="AA37" s="623"/>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72"/>
      <c r="BG37" s="672"/>
      <c r="BH37" s="623"/>
      <c r="BI37" s="623"/>
      <c r="BJ37" s="623"/>
      <c r="BK37" s="623"/>
      <c r="BL37" s="623"/>
      <c r="BM37" s="623"/>
      <c r="BN37" s="623"/>
      <c r="BO37" s="623"/>
      <c r="BP37" s="623"/>
      <c r="BQ37" s="623"/>
      <c r="BR37" s="623"/>
      <c r="BS37" s="623"/>
      <c r="BT37" s="623">
        <v>1</v>
      </c>
      <c r="BU37" s="623"/>
      <c r="BV37" s="623">
        <v>1</v>
      </c>
      <c r="BW37" s="623"/>
      <c r="BX37" s="623"/>
      <c r="BY37" s="623"/>
      <c r="BZ37" s="623">
        <v>1</v>
      </c>
      <c r="CA37" s="623">
        <v>3</v>
      </c>
      <c r="CB37" s="623"/>
      <c r="CC37" s="623"/>
      <c r="CD37" s="623"/>
      <c r="CE37" s="623"/>
      <c r="CF37" s="623"/>
      <c r="CG37" s="623"/>
      <c r="CH37" s="623"/>
      <c r="CI37" s="623"/>
      <c r="CJ37" s="623"/>
      <c r="CK37" s="623"/>
      <c r="CL37" s="623"/>
      <c r="CM37" s="623"/>
      <c r="CN37" s="623"/>
      <c r="CO37" s="623"/>
      <c r="CP37" s="623"/>
      <c r="CQ37" s="623"/>
      <c r="CR37" s="623"/>
      <c r="CS37" s="623"/>
      <c r="CT37" s="623"/>
      <c r="CU37" s="623"/>
      <c r="CV37" s="623"/>
      <c r="CW37" s="623"/>
      <c r="CX37" s="673"/>
      <c r="CY37" s="557"/>
    </row>
    <row r="38" spans="1:234" ht="13.8">
      <c r="A38" s="591" t="s">
        <v>178</v>
      </c>
      <c r="B38" s="670"/>
      <c r="C38" s="550">
        <v>43</v>
      </c>
      <c r="D38" s="550"/>
      <c r="E38" s="550">
        <f t="shared" si="0"/>
        <v>1058</v>
      </c>
      <c r="F38" s="550"/>
      <c r="G38" s="550"/>
      <c r="H38" s="550"/>
      <c r="I38" s="550"/>
      <c r="J38" s="550"/>
      <c r="K38" s="550"/>
      <c r="L38" s="550"/>
      <c r="M38" s="550"/>
      <c r="N38" s="550"/>
      <c r="O38" s="439"/>
      <c r="P38" s="439"/>
      <c r="Q38" s="674"/>
      <c r="R38" s="671"/>
      <c r="S38" s="671"/>
      <c r="T38" s="671"/>
      <c r="U38" s="671"/>
      <c r="V38" s="671"/>
      <c r="W38" s="671"/>
      <c r="X38" s="671"/>
      <c r="Y38" s="671"/>
      <c r="Z38" s="671"/>
      <c r="AA38" s="623"/>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72"/>
      <c r="BG38" s="672"/>
      <c r="BH38" s="623"/>
      <c r="BI38" s="623"/>
      <c r="BJ38" s="623"/>
      <c r="BK38" s="623"/>
      <c r="BL38" s="623"/>
      <c r="BM38" s="623"/>
      <c r="BN38" s="623"/>
      <c r="BO38" s="623"/>
      <c r="BP38" s="623"/>
      <c r="BQ38" s="623"/>
      <c r="BR38" s="623"/>
      <c r="BS38" s="623"/>
      <c r="BT38" s="623">
        <v>1</v>
      </c>
      <c r="BU38" s="623"/>
      <c r="BV38" s="623">
        <v>1</v>
      </c>
      <c r="BW38" s="623"/>
      <c r="BX38" s="623"/>
      <c r="BY38" s="623"/>
      <c r="BZ38" s="623">
        <v>1</v>
      </c>
      <c r="CA38" s="623">
        <v>3</v>
      </c>
      <c r="CB38" s="623"/>
      <c r="CC38" s="623"/>
      <c r="CD38" s="623"/>
      <c r="CE38" s="623"/>
      <c r="CF38" s="623"/>
      <c r="CG38" s="623"/>
      <c r="CH38" s="623"/>
      <c r="CI38" s="623"/>
      <c r="CJ38" s="623"/>
      <c r="CK38" s="623"/>
      <c r="CL38" s="623"/>
      <c r="CM38" s="623"/>
      <c r="CN38" s="623"/>
      <c r="CO38" s="623"/>
      <c r="CP38" s="623"/>
      <c r="CQ38" s="623"/>
      <c r="CR38" s="623"/>
      <c r="CS38" s="623"/>
      <c r="CT38" s="623"/>
      <c r="CU38" s="623"/>
      <c r="CV38" s="623"/>
      <c r="CW38" s="623"/>
      <c r="CX38" s="673"/>
      <c r="CY38" s="557"/>
    </row>
    <row r="39" spans="1:234" ht="13.8">
      <c r="A39" s="591"/>
      <c r="B39" s="675" t="s">
        <v>460</v>
      </c>
      <c r="C39" s="550">
        <v>24</v>
      </c>
      <c r="D39" s="550"/>
      <c r="E39" s="550">
        <f t="shared" si="0"/>
        <v>1082</v>
      </c>
      <c r="F39" s="550"/>
      <c r="G39" s="550"/>
      <c r="H39" s="550"/>
      <c r="I39" s="550"/>
      <c r="J39" s="550"/>
      <c r="K39" s="550"/>
      <c r="L39" s="550"/>
      <c r="M39" s="550"/>
      <c r="N39" s="550"/>
      <c r="O39" s="439"/>
      <c r="P39" s="439"/>
      <c r="Q39" s="674"/>
      <c r="R39" s="671"/>
      <c r="S39" s="671"/>
      <c r="T39" s="671"/>
      <c r="U39" s="671"/>
      <c r="V39" s="671"/>
      <c r="W39" s="671"/>
      <c r="X39" s="671"/>
      <c r="Y39" s="671"/>
      <c r="Z39" s="671"/>
      <c r="AA39" s="623"/>
      <c r="AB39" s="623"/>
      <c r="AC39" s="623"/>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72"/>
      <c r="BG39" s="672"/>
      <c r="BH39" s="623"/>
      <c r="BI39" s="623"/>
      <c r="BJ39" s="623"/>
      <c r="BK39" s="623"/>
      <c r="BL39" s="623"/>
      <c r="BM39" s="623"/>
      <c r="BN39" s="623"/>
      <c r="BO39" s="623"/>
      <c r="BP39" s="623"/>
      <c r="BQ39" s="623"/>
      <c r="BR39" s="623"/>
      <c r="BS39" s="623"/>
      <c r="BT39" s="623">
        <v>1</v>
      </c>
      <c r="BU39" s="623"/>
      <c r="BV39" s="623">
        <v>1</v>
      </c>
      <c r="BW39" s="623"/>
      <c r="BX39" s="623"/>
      <c r="BY39" s="623">
        <v>1</v>
      </c>
      <c r="BZ39" s="623"/>
      <c r="CA39" s="623"/>
      <c r="CB39" s="623">
        <v>2</v>
      </c>
      <c r="CC39" s="623"/>
      <c r="CD39" s="623"/>
      <c r="CE39" s="623"/>
      <c r="CF39" s="623"/>
      <c r="CG39" s="623"/>
      <c r="CH39" s="623"/>
      <c r="CI39" s="623"/>
      <c r="CJ39" s="623"/>
      <c r="CK39" s="623"/>
      <c r="CL39" s="623"/>
      <c r="CM39" s="623"/>
      <c r="CN39" s="623"/>
      <c r="CO39" s="623"/>
      <c r="CP39" s="623"/>
      <c r="CQ39" s="623"/>
      <c r="CR39" s="623"/>
      <c r="CS39" s="623"/>
      <c r="CT39" s="623"/>
      <c r="CU39" s="623"/>
      <c r="CV39" s="623"/>
      <c r="CW39" s="623"/>
      <c r="CX39" s="673"/>
      <c r="CY39" s="557"/>
    </row>
    <row r="40" spans="1:234" ht="13.8">
      <c r="A40" s="591" t="s">
        <v>949</v>
      </c>
      <c r="B40" s="670"/>
      <c r="C40" s="550">
        <v>25</v>
      </c>
      <c r="D40" s="550"/>
      <c r="E40" s="550">
        <f t="shared" si="0"/>
        <v>1107</v>
      </c>
      <c r="F40" s="550"/>
      <c r="G40" s="550"/>
      <c r="H40" s="550"/>
      <c r="I40" s="550"/>
      <c r="J40" s="550"/>
      <c r="K40" s="550"/>
      <c r="L40" s="550"/>
      <c r="M40" s="550"/>
      <c r="N40" s="550"/>
      <c r="O40" s="439"/>
      <c r="P40" s="439"/>
      <c r="Q40" s="674"/>
      <c r="R40" s="671"/>
      <c r="S40" s="671"/>
      <c r="T40" s="671"/>
      <c r="U40" s="671"/>
      <c r="V40" s="671"/>
      <c r="W40" s="671"/>
      <c r="X40" s="671"/>
      <c r="Y40" s="671"/>
      <c r="Z40" s="671"/>
      <c r="AA40" s="623"/>
      <c r="AB40" s="623"/>
      <c r="AC40" s="623"/>
      <c r="AD40" s="623"/>
      <c r="AE40" s="623"/>
      <c r="AF40" s="623"/>
      <c r="AG40" s="623"/>
      <c r="AH40" s="623"/>
      <c r="AI40" s="623"/>
      <c r="AJ40" s="623"/>
      <c r="AK40" s="623"/>
      <c r="AL40" s="623"/>
      <c r="AM40" s="623"/>
      <c r="AN40" s="623"/>
      <c r="AO40" s="623"/>
      <c r="AP40" s="623"/>
      <c r="AQ40" s="623"/>
      <c r="AR40" s="623"/>
      <c r="AS40" s="623"/>
      <c r="AT40" s="623"/>
      <c r="AU40" s="623"/>
      <c r="AV40" s="623"/>
      <c r="AW40" s="623"/>
      <c r="AX40" s="623"/>
      <c r="AY40" s="623"/>
      <c r="AZ40" s="623"/>
      <c r="BA40" s="623"/>
      <c r="BB40" s="623"/>
      <c r="BC40" s="623"/>
      <c r="BD40" s="623"/>
      <c r="BE40" s="623"/>
      <c r="BF40" s="672"/>
      <c r="BG40" s="672"/>
      <c r="BH40" s="623"/>
      <c r="BI40" s="623"/>
      <c r="BJ40" s="623"/>
      <c r="BK40" s="623"/>
      <c r="BL40" s="623"/>
      <c r="BM40" s="623"/>
      <c r="BN40" s="623"/>
      <c r="BO40" s="623"/>
      <c r="BP40" s="623"/>
      <c r="BQ40" s="623"/>
      <c r="BR40" s="623"/>
      <c r="BS40" s="623"/>
      <c r="BT40" s="623">
        <v>1</v>
      </c>
      <c r="BU40" s="623"/>
      <c r="BV40" s="623">
        <v>1</v>
      </c>
      <c r="BW40" s="623"/>
      <c r="BX40" s="623"/>
      <c r="BY40" s="623"/>
      <c r="BZ40" s="623">
        <v>1</v>
      </c>
      <c r="CA40" s="623">
        <v>3</v>
      </c>
      <c r="CB40" s="623"/>
      <c r="CC40" s="623"/>
      <c r="CD40" s="623"/>
      <c r="CE40" s="623"/>
      <c r="CF40" s="623"/>
      <c r="CG40" s="623"/>
      <c r="CH40" s="623"/>
      <c r="CI40" s="623"/>
      <c r="CJ40" s="623"/>
      <c r="CK40" s="623"/>
      <c r="CL40" s="623"/>
      <c r="CM40" s="623"/>
      <c r="CN40" s="623"/>
      <c r="CO40" s="623"/>
      <c r="CP40" s="623"/>
      <c r="CQ40" s="623"/>
      <c r="CR40" s="623"/>
      <c r="CS40" s="623"/>
      <c r="CT40" s="623"/>
      <c r="CU40" s="623"/>
      <c r="CV40" s="623"/>
      <c r="CW40" s="623"/>
      <c r="CX40" s="673"/>
      <c r="CY40" s="557"/>
    </row>
    <row r="41" spans="1:234" ht="13.8">
      <c r="A41" s="591"/>
      <c r="B41" s="675" t="s">
        <v>461</v>
      </c>
      <c r="C41" s="550">
        <v>43</v>
      </c>
      <c r="D41" s="550"/>
      <c r="E41" s="550">
        <f t="shared" si="0"/>
        <v>1150</v>
      </c>
      <c r="F41" s="550"/>
      <c r="G41" s="550"/>
      <c r="H41" s="550"/>
      <c r="I41" s="550"/>
      <c r="J41" s="550"/>
      <c r="K41" s="550"/>
      <c r="L41" s="550"/>
      <c r="M41" s="550"/>
      <c r="N41" s="550"/>
      <c r="O41" s="439"/>
      <c r="P41" s="439"/>
      <c r="Q41" s="674"/>
      <c r="R41" s="671"/>
      <c r="S41" s="671"/>
      <c r="T41" s="671"/>
      <c r="U41" s="671"/>
      <c r="V41" s="671"/>
      <c r="W41" s="671"/>
      <c r="X41" s="671"/>
      <c r="Y41" s="671"/>
      <c r="Z41" s="671"/>
      <c r="AA41" s="623"/>
      <c r="AB41" s="623"/>
      <c r="AC41" s="623"/>
      <c r="AD41" s="623"/>
      <c r="AE41" s="623"/>
      <c r="AF41" s="623"/>
      <c r="AG41" s="623"/>
      <c r="AH41" s="623"/>
      <c r="AI41" s="623"/>
      <c r="AJ41" s="623"/>
      <c r="AK41" s="623"/>
      <c r="AL41" s="623"/>
      <c r="AM41" s="623"/>
      <c r="AN41" s="623"/>
      <c r="AO41" s="623"/>
      <c r="AP41" s="623"/>
      <c r="AQ41" s="623"/>
      <c r="AR41" s="623"/>
      <c r="AS41" s="623"/>
      <c r="AT41" s="623"/>
      <c r="AU41" s="623"/>
      <c r="AV41" s="623"/>
      <c r="AW41" s="623"/>
      <c r="AX41" s="623"/>
      <c r="AY41" s="623"/>
      <c r="AZ41" s="623"/>
      <c r="BA41" s="623"/>
      <c r="BB41" s="623"/>
      <c r="BC41" s="623"/>
      <c r="BD41" s="623"/>
      <c r="BE41" s="623"/>
      <c r="BF41" s="672">
        <f>AW41</f>
        <v>0</v>
      </c>
      <c r="BG41" s="672">
        <f>AX41</f>
        <v>0</v>
      </c>
      <c r="BH41" s="623"/>
      <c r="BI41" s="623"/>
      <c r="BJ41" s="623"/>
      <c r="BK41" s="623"/>
      <c r="BL41" s="623"/>
      <c r="BM41" s="623"/>
      <c r="BN41" s="623"/>
      <c r="BO41" s="623"/>
      <c r="BP41" s="623"/>
      <c r="BQ41" s="623"/>
      <c r="BR41" s="623"/>
      <c r="BS41" s="623"/>
      <c r="BT41" s="623">
        <v>1</v>
      </c>
      <c r="BU41" s="623"/>
      <c r="BV41" s="623">
        <v>1</v>
      </c>
      <c r="BW41" s="623"/>
      <c r="BX41" s="623"/>
      <c r="BY41" s="623">
        <v>1</v>
      </c>
      <c r="BZ41" s="623"/>
      <c r="CA41" s="623"/>
      <c r="CB41" s="623">
        <v>2</v>
      </c>
      <c r="CC41" s="623"/>
      <c r="CD41" s="623"/>
      <c r="CE41" s="623"/>
      <c r="CF41" s="623"/>
      <c r="CG41" s="623"/>
      <c r="CH41" s="623"/>
      <c r="CI41" s="623"/>
      <c r="CJ41" s="623"/>
      <c r="CK41" s="623"/>
      <c r="CL41" s="623"/>
      <c r="CM41" s="623"/>
      <c r="CN41" s="623"/>
      <c r="CO41" s="623"/>
      <c r="CP41" s="623"/>
      <c r="CQ41" s="623"/>
      <c r="CR41" s="623"/>
      <c r="CS41" s="623"/>
      <c r="CT41" s="623"/>
      <c r="CU41" s="623"/>
      <c r="CV41" s="623"/>
      <c r="CW41" s="623"/>
      <c r="CX41" s="673"/>
      <c r="CY41" s="557"/>
    </row>
    <row r="42" spans="1:234" ht="13.8">
      <c r="A42" s="591" t="s">
        <v>950</v>
      </c>
      <c r="B42" s="675"/>
      <c r="C42" s="550">
        <v>7</v>
      </c>
      <c r="D42" s="550"/>
      <c r="E42" s="550">
        <f t="shared" si="0"/>
        <v>1157</v>
      </c>
      <c r="F42" s="550"/>
      <c r="G42" s="550"/>
      <c r="H42" s="550"/>
      <c r="I42" s="550"/>
      <c r="J42" s="550"/>
      <c r="K42" s="550"/>
      <c r="L42" s="550"/>
      <c r="M42" s="550"/>
      <c r="N42" s="550"/>
      <c r="O42" s="439"/>
      <c r="P42" s="439"/>
      <c r="Q42" s="674"/>
      <c r="R42" s="671"/>
      <c r="S42" s="671"/>
      <c r="T42" s="671"/>
      <c r="U42" s="671"/>
      <c r="V42" s="671"/>
      <c r="W42" s="671"/>
      <c r="X42" s="671"/>
      <c r="Y42" s="671"/>
      <c r="Z42" s="671"/>
      <c r="AA42" s="623"/>
      <c r="AB42" s="623"/>
      <c r="AC42" s="623"/>
      <c r="AD42" s="623"/>
      <c r="AE42" s="623"/>
      <c r="AF42" s="623"/>
      <c r="AG42" s="623"/>
      <c r="AH42" s="623"/>
      <c r="AI42" s="623"/>
      <c r="AJ42" s="623"/>
      <c r="AK42" s="623"/>
      <c r="AL42" s="623"/>
      <c r="AM42" s="623"/>
      <c r="AN42" s="623"/>
      <c r="AO42" s="623"/>
      <c r="AP42" s="623"/>
      <c r="AQ42" s="623"/>
      <c r="AR42" s="623"/>
      <c r="AS42" s="623"/>
      <c r="AT42" s="623"/>
      <c r="AU42" s="623"/>
      <c r="AV42" s="623"/>
      <c r="AW42" s="623"/>
      <c r="AX42" s="623"/>
      <c r="AY42" s="623"/>
      <c r="AZ42" s="623"/>
      <c r="BA42" s="623"/>
      <c r="BB42" s="623"/>
      <c r="BC42" s="623"/>
      <c r="BD42" s="623"/>
      <c r="BE42" s="623"/>
      <c r="BF42" s="672"/>
      <c r="BG42" s="672"/>
      <c r="BH42" s="623"/>
      <c r="BI42" s="623"/>
      <c r="BJ42" s="623"/>
      <c r="BK42" s="623"/>
      <c r="BL42" s="623"/>
      <c r="BM42" s="623"/>
      <c r="BN42" s="623"/>
      <c r="BO42" s="623"/>
      <c r="BP42" s="623"/>
      <c r="BQ42" s="623"/>
      <c r="BR42" s="623"/>
      <c r="BS42" s="623"/>
      <c r="BT42" s="623">
        <v>1</v>
      </c>
      <c r="BU42" s="623"/>
      <c r="BV42" s="623">
        <v>1</v>
      </c>
      <c r="BW42" s="623"/>
      <c r="BX42" s="623"/>
      <c r="BY42" s="623"/>
      <c r="BZ42" s="623">
        <v>1</v>
      </c>
      <c r="CA42" s="623">
        <v>3</v>
      </c>
      <c r="CB42" s="623"/>
      <c r="CC42" s="623"/>
      <c r="CD42" s="623"/>
      <c r="CE42" s="623"/>
      <c r="CF42" s="623"/>
      <c r="CG42" s="623"/>
      <c r="CH42" s="623"/>
      <c r="CI42" s="623"/>
      <c r="CJ42" s="623"/>
      <c r="CK42" s="623"/>
      <c r="CL42" s="623"/>
      <c r="CM42" s="623"/>
      <c r="CN42" s="623"/>
      <c r="CO42" s="623"/>
      <c r="CP42" s="623"/>
      <c r="CQ42" s="623"/>
      <c r="CR42" s="623"/>
      <c r="CS42" s="623"/>
      <c r="CT42" s="623"/>
      <c r="CU42" s="623"/>
      <c r="CV42" s="623"/>
      <c r="CW42" s="623"/>
      <c r="CX42" s="673"/>
      <c r="CY42" s="557"/>
    </row>
    <row r="43" spans="1:234" s="678" customFormat="1" ht="13.8">
      <c r="A43" s="591" t="s">
        <v>982</v>
      </c>
      <c r="B43" s="670"/>
      <c r="C43" s="550">
        <v>50</v>
      </c>
      <c r="D43" s="550"/>
      <c r="E43" s="550">
        <f t="shared" si="0"/>
        <v>1207</v>
      </c>
      <c r="F43" s="550"/>
      <c r="G43" s="550"/>
      <c r="H43" s="550"/>
      <c r="I43" s="550"/>
      <c r="J43" s="676"/>
      <c r="K43" s="550"/>
      <c r="L43" s="550"/>
      <c r="M43" s="550"/>
      <c r="N43" s="550"/>
      <c r="O43" s="439"/>
      <c r="P43" s="439"/>
      <c r="Q43" s="674"/>
      <c r="R43" s="671"/>
      <c r="S43" s="671"/>
      <c r="T43" s="671"/>
      <c r="U43" s="671"/>
      <c r="V43" s="671"/>
      <c r="W43" s="671"/>
      <c r="X43" s="671"/>
      <c r="Y43" s="671"/>
      <c r="Z43" s="671"/>
      <c r="AA43" s="623"/>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72">
        <f>AW43</f>
        <v>0</v>
      </c>
      <c r="BG43" s="672">
        <f>AX43</f>
        <v>0</v>
      </c>
      <c r="BH43" s="623"/>
      <c r="BI43" s="623"/>
      <c r="BJ43" s="623"/>
      <c r="BK43" s="623"/>
      <c r="BL43" s="623"/>
      <c r="BM43" s="623"/>
      <c r="BN43" s="623"/>
      <c r="BO43" s="623"/>
      <c r="BP43" s="623"/>
      <c r="BQ43" s="623"/>
      <c r="BR43" s="623"/>
      <c r="BS43" s="623"/>
      <c r="BT43" s="623">
        <v>1</v>
      </c>
      <c r="BU43" s="623"/>
      <c r="BV43" s="623">
        <v>1</v>
      </c>
      <c r="BW43" s="623"/>
      <c r="BX43" s="623"/>
      <c r="BY43" s="623"/>
      <c r="BZ43" s="623">
        <v>1</v>
      </c>
      <c r="CA43" s="623">
        <v>3</v>
      </c>
      <c r="CB43" s="623"/>
      <c r="CC43" s="623"/>
      <c r="CD43" s="623"/>
      <c r="CE43" s="623"/>
      <c r="CF43" s="623"/>
      <c r="CG43" s="623"/>
      <c r="CH43" s="623"/>
      <c r="CI43" s="623"/>
      <c r="CJ43" s="623"/>
      <c r="CK43" s="623"/>
      <c r="CL43" s="623"/>
      <c r="CM43" s="623"/>
      <c r="CN43" s="623"/>
      <c r="CO43" s="623"/>
      <c r="CP43" s="623"/>
      <c r="CQ43" s="623"/>
      <c r="CR43" s="623"/>
      <c r="CS43" s="623"/>
      <c r="CT43" s="623"/>
      <c r="CU43" s="623"/>
      <c r="CV43" s="623"/>
      <c r="CW43" s="623"/>
      <c r="CX43" s="673"/>
      <c r="CY43" s="557"/>
      <c r="CZ43" s="677"/>
      <c r="DA43" s="530"/>
      <c r="DB43" s="530"/>
      <c r="DC43" s="530"/>
      <c r="DD43" s="530"/>
      <c r="DE43" s="530"/>
      <c r="DF43" s="530"/>
      <c r="DG43" s="530"/>
      <c r="DH43" s="530"/>
      <c r="DI43" s="530"/>
      <c r="DJ43" s="530"/>
      <c r="DK43" s="530"/>
      <c r="DL43" s="530"/>
      <c r="DM43" s="530"/>
      <c r="DN43" s="530"/>
      <c r="DO43" s="530"/>
      <c r="DP43" s="530"/>
      <c r="DQ43" s="530"/>
      <c r="DR43" s="530"/>
      <c r="DS43" s="530"/>
      <c r="DT43" s="530"/>
      <c r="DU43" s="530"/>
      <c r="DV43" s="530"/>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row>
    <row r="44" spans="1:234" ht="13.8">
      <c r="A44" s="591"/>
      <c r="B44" s="675" t="s">
        <v>462</v>
      </c>
      <c r="C44" s="550">
        <v>17</v>
      </c>
      <c r="D44" s="550"/>
      <c r="E44" s="550">
        <f>+E43+C44</f>
        <v>1224</v>
      </c>
      <c r="F44" s="550"/>
      <c r="G44" s="550"/>
      <c r="H44" s="550"/>
      <c r="I44" s="550"/>
      <c r="J44" s="676"/>
      <c r="K44" s="550"/>
      <c r="L44" s="550"/>
      <c r="M44" s="550"/>
      <c r="N44" s="550"/>
      <c r="O44" s="439"/>
      <c r="P44" s="439"/>
      <c r="Q44" s="674"/>
      <c r="R44" s="671"/>
      <c r="S44" s="671"/>
      <c r="T44" s="671"/>
      <c r="U44" s="671"/>
      <c r="V44" s="671"/>
      <c r="W44" s="671"/>
      <c r="X44" s="671"/>
      <c r="Y44" s="671"/>
      <c r="Z44" s="671"/>
      <c r="AA44" s="623"/>
      <c r="AB44" s="623"/>
      <c r="AC44" s="623"/>
      <c r="AD44" s="623"/>
      <c r="AE44" s="623"/>
      <c r="AF44" s="623"/>
      <c r="AG44" s="623"/>
      <c r="AH44" s="623"/>
      <c r="AI44" s="623"/>
      <c r="AJ44" s="623"/>
      <c r="AK44" s="623"/>
      <c r="AL44" s="623"/>
      <c r="AM44" s="623"/>
      <c r="AN44" s="623"/>
      <c r="AO44" s="623"/>
      <c r="AP44" s="623"/>
      <c r="AQ44" s="623"/>
      <c r="AR44" s="623"/>
      <c r="AS44" s="623"/>
      <c r="AT44" s="623"/>
      <c r="AU44" s="623"/>
      <c r="AV44" s="623"/>
      <c r="AW44" s="623"/>
      <c r="AX44" s="623"/>
      <c r="AY44" s="623"/>
      <c r="AZ44" s="623"/>
      <c r="BA44" s="623"/>
      <c r="BB44" s="623"/>
      <c r="BC44" s="623"/>
      <c r="BD44" s="623"/>
      <c r="BE44" s="623"/>
      <c r="BF44" s="672"/>
      <c r="BG44" s="672"/>
      <c r="BH44" s="623"/>
      <c r="BI44" s="623"/>
      <c r="BJ44" s="623"/>
      <c r="BK44" s="623"/>
      <c r="BL44" s="623"/>
      <c r="BM44" s="623"/>
      <c r="BN44" s="623"/>
      <c r="BO44" s="623"/>
      <c r="BP44" s="623"/>
      <c r="BQ44" s="623"/>
      <c r="BR44" s="623"/>
      <c r="BS44" s="623"/>
      <c r="BT44" s="623">
        <v>1</v>
      </c>
      <c r="BU44" s="623"/>
      <c r="BV44" s="623">
        <v>1</v>
      </c>
      <c r="BW44" s="623"/>
      <c r="BX44" s="623"/>
      <c r="BY44" s="623">
        <v>1</v>
      </c>
      <c r="BZ44" s="623"/>
      <c r="CA44" s="623"/>
      <c r="CB44" s="623">
        <v>2</v>
      </c>
      <c r="CC44" s="623"/>
      <c r="CD44" s="623"/>
      <c r="CE44" s="623"/>
      <c r="CF44" s="623"/>
      <c r="CG44" s="623"/>
      <c r="CH44" s="623"/>
      <c r="CI44" s="623"/>
      <c r="CJ44" s="623"/>
      <c r="CK44" s="623"/>
      <c r="CL44" s="623"/>
      <c r="CM44" s="623"/>
      <c r="CN44" s="623"/>
      <c r="CO44" s="623"/>
      <c r="CP44" s="623"/>
      <c r="CQ44" s="623"/>
      <c r="CR44" s="623"/>
      <c r="CS44" s="623"/>
      <c r="CT44" s="623"/>
      <c r="CU44" s="623"/>
      <c r="CV44" s="623"/>
      <c r="CW44" s="623"/>
      <c r="CX44" s="673"/>
      <c r="CY44" s="557"/>
    </row>
    <row r="45" spans="1:234" ht="13.8">
      <c r="A45" s="591" t="s">
        <v>951</v>
      </c>
      <c r="B45" s="670"/>
      <c r="C45" s="550">
        <v>30</v>
      </c>
      <c r="D45" s="550"/>
      <c r="E45" s="550">
        <f t="shared" si="0"/>
        <v>1254</v>
      </c>
      <c r="F45" s="550"/>
      <c r="G45" s="550"/>
      <c r="H45" s="550"/>
      <c r="I45" s="550"/>
      <c r="J45" s="676"/>
      <c r="K45" s="550"/>
      <c r="L45" s="550"/>
      <c r="M45" s="550"/>
      <c r="N45" s="550"/>
      <c r="O45" s="439"/>
      <c r="P45" s="439"/>
      <c r="Q45" s="674"/>
      <c r="R45" s="671"/>
      <c r="S45" s="671"/>
      <c r="T45" s="671"/>
      <c r="U45" s="671"/>
      <c r="V45" s="671"/>
      <c r="W45" s="671"/>
      <c r="X45" s="671"/>
      <c r="Y45" s="671"/>
      <c r="Z45" s="671"/>
      <c r="AA45" s="623"/>
      <c r="AB45" s="623"/>
      <c r="AC45" s="623"/>
      <c r="AD45" s="623"/>
      <c r="AE45" s="623"/>
      <c r="AF45" s="623"/>
      <c r="AG45" s="623"/>
      <c r="AH45" s="623"/>
      <c r="AI45" s="623"/>
      <c r="AJ45" s="623"/>
      <c r="AK45" s="623"/>
      <c r="AL45" s="623"/>
      <c r="AM45" s="623"/>
      <c r="AN45" s="623"/>
      <c r="AO45" s="623"/>
      <c r="AP45" s="623"/>
      <c r="AQ45" s="623"/>
      <c r="AR45" s="623"/>
      <c r="AS45" s="623"/>
      <c r="AT45" s="623"/>
      <c r="AU45" s="623"/>
      <c r="AV45" s="623"/>
      <c r="AW45" s="623"/>
      <c r="AX45" s="623"/>
      <c r="AY45" s="623"/>
      <c r="AZ45" s="623"/>
      <c r="BA45" s="623"/>
      <c r="BB45" s="623"/>
      <c r="BC45" s="623"/>
      <c r="BD45" s="623"/>
      <c r="BE45" s="623"/>
      <c r="BF45" s="672"/>
      <c r="BG45" s="672"/>
      <c r="BH45" s="623"/>
      <c r="BI45" s="623"/>
      <c r="BJ45" s="623"/>
      <c r="BK45" s="623"/>
      <c r="BL45" s="623"/>
      <c r="BM45" s="623"/>
      <c r="BN45" s="623"/>
      <c r="BO45" s="623"/>
      <c r="BP45" s="623"/>
      <c r="BQ45" s="623"/>
      <c r="BR45" s="623"/>
      <c r="BS45" s="623"/>
      <c r="BT45" s="623">
        <v>1</v>
      </c>
      <c r="BU45" s="623"/>
      <c r="BV45" s="623">
        <v>1</v>
      </c>
      <c r="BW45" s="623"/>
      <c r="BX45" s="623"/>
      <c r="BY45" s="623"/>
      <c r="BZ45" s="623">
        <v>1</v>
      </c>
      <c r="CA45" s="623">
        <v>3</v>
      </c>
      <c r="CB45" s="623"/>
      <c r="CC45" s="623"/>
      <c r="CD45" s="623"/>
      <c r="CE45" s="623"/>
      <c r="CF45" s="623"/>
      <c r="CG45" s="623"/>
      <c r="CH45" s="623"/>
      <c r="CI45" s="623"/>
      <c r="CJ45" s="623"/>
      <c r="CK45" s="623"/>
      <c r="CL45" s="623"/>
      <c r="CM45" s="623"/>
      <c r="CN45" s="623"/>
      <c r="CO45" s="623"/>
      <c r="CP45" s="623"/>
      <c r="CQ45" s="623"/>
      <c r="CR45" s="623"/>
      <c r="CS45" s="623"/>
      <c r="CT45" s="623"/>
      <c r="CU45" s="623"/>
      <c r="CV45" s="623"/>
      <c r="CW45" s="623"/>
      <c r="CX45" s="673"/>
      <c r="CY45" s="557"/>
    </row>
    <row r="46" spans="1:234" ht="13.8">
      <c r="A46" s="591"/>
      <c r="B46" s="675" t="s">
        <v>463</v>
      </c>
      <c r="C46" s="550">
        <v>41</v>
      </c>
      <c r="D46" s="550"/>
      <c r="E46" s="550">
        <f t="shared" si="0"/>
        <v>1295</v>
      </c>
      <c r="F46" s="550"/>
      <c r="G46" s="550"/>
      <c r="H46" s="550"/>
      <c r="I46" s="550"/>
      <c r="J46" s="676"/>
      <c r="K46" s="550"/>
      <c r="L46" s="550"/>
      <c r="M46" s="550"/>
      <c r="N46" s="550"/>
      <c r="O46" s="439"/>
      <c r="P46" s="439"/>
      <c r="Q46" s="674"/>
      <c r="R46" s="671"/>
      <c r="S46" s="671"/>
      <c r="T46" s="671"/>
      <c r="U46" s="671"/>
      <c r="V46" s="671"/>
      <c r="W46" s="671"/>
      <c r="X46" s="671"/>
      <c r="Y46" s="671"/>
      <c r="Z46" s="671"/>
      <c r="AA46" s="623"/>
      <c r="AB46" s="623"/>
      <c r="AC46" s="623"/>
      <c r="AD46" s="623"/>
      <c r="AE46" s="623"/>
      <c r="AF46" s="623"/>
      <c r="AG46" s="623"/>
      <c r="AH46" s="623"/>
      <c r="AI46" s="623"/>
      <c r="AJ46" s="623"/>
      <c r="AK46" s="623"/>
      <c r="AL46" s="623"/>
      <c r="AM46" s="623"/>
      <c r="AN46" s="623"/>
      <c r="AO46" s="623"/>
      <c r="AP46" s="623"/>
      <c r="AQ46" s="623"/>
      <c r="AR46" s="623"/>
      <c r="AS46" s="623"/>
      <c r="AT46" s="623"/>
      <c r="AU46" s="623"/>
      <c r="AV46" s="623"/>
      <c r="AW46" s="623"/>
      <c r="AX46" s="623"/>
      <c r="AY46" s="623"/>
      <c r="AZ46" s="623"/>
      <c r="BA46" s="623"/>
      <c r="BB46" s="623"/>
      <c r="BC46" s="623"/>
      <c r="BD46" s="623"/>
      <c r="BE46" s="623"/>
      <c r="BF46" s="672"/>
      <c r="BG46" s="672"/>
      <c r="BH46" s="623"/>
      <c r="BI46" s="623"/>
      <c r="BJ46" s="623"/>
      <c r="BK46" s="623"/>
      <c r="BL46" s="623"/>
      <c r="BM46" s="623"/>
      <c r="BN46" s="623"/>
      <c r="BO46" s="623"/>
      <c r="BP46" s="623"/>
      <c r="BQ46" s="623"/>
      <c r="BR46" s="623"/>
      <c r="BS46" s="623"/>
      <c r="BT46" s="623">
        <v>1</v>
      </c>
      <c r="BU46" s="623"/>
      <c r="BV46" s="623">
        <v>1</v>
      </c>
      <c r="BW46" s="623"/>
      <c r="BX46" s="623"/>
      <c r="BY46" s="623">
        <v>1</v>
      </c>
      <c r="BZ46" s="623"/>
      <c r="CA46" s="623"/>
      <c r="CB46" s="623">
        <v>2</v>
      </c>
      <c r="CC46" s="623"/>
      <c r="CD46" s="623"/>
      <c r="CE46" s="623"/>
      <c r="CF46" s="623"/>
      <c r="CG46" s="623"/>
      <c r="CH46" s="623"/>
      <c r="CI46" s="623"/>
      <c r="CJ46" s="623"/>
      <c r="CK46" s="623"/>
      <c r="CL46" s="623"/>
      <c r="CM46" s="623"/>
      <c r="CN46" s="623"/>
      <c r="CO46" s="623"/>
      <c r="CP46" s="623"/>
      <c r="CQ46" s="623"/>
      <c r="CR46" s="623"/>
      <c r="CS46" s="623"/>
      <c r="CT46" s="623"/>
      <c r="CU46" s="623"/>
      <c r="CV46" s="623"/>
      <c r="CW46" s="623"/>
      <c r="CX46" s="673"/>
      <c r="CY46" s="557"/>
    </row>
    <row r="47" spans="1:234" ht="13.8">
      <c r="A47" s="591" t="s">
        <v>952</v>
      </c>
      <c r="B47" s="670"/>
      <c r="C47" s="550">
        <v>12</v>
      </c>
      <c r="D47" s="550"/>
      <c r="E47" s="550">
        <f t="shared" si="0"/>
        <v>1307</v>
      </c>
      <c r="F47" s="550"/>
      <c r="G47" s="550"/>
      <c r="H47" s="550"/>
      <c r="I47" s="550"/>
      <c r="J47" s="676"/>
      <c r="K47" s="550"/>
      <c r="L47" s="550"/>
      <c r="M47" s="550"/>
      <c r="N47" s="550"/>
      <c r="O47" s="439"/>
      <c r="P47" s="439"/>
      <c r="Q47" s="674"/>
      <c r="R47" s="671"/>
      <c r="S47" s="671"/>
      <c r="T47" s="671"/>
      <c r="U47" s="671"/>
      <c r="V47" s="671"/>
      <c r="W47" s="671"/>
      <c r="X47" s="671"/>
      <c r="Y47" s="671"/>
      <c r="Z47" s="671"/>
      <c r="AA47" s="623"/>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72"/>
      <c r="BG47" s="672"/>
      <c r="BH47" s="623"/>
      <c r="BI47" s="623"/>
      <c r="BJ47" s="623"/>
      <c r="BK47" s="623"/>
      <c r="BL47" s="623"/>
      <c r="BM47" s="623"/>
      <c r="BN47" s="623"/>
      <c r="BO47" s="623"/>
      <c r="BP47" s="623"/>
      <c r="BQ47" s="623"/>
      <c r="BR47" s="623"/>
      <c r="BS47" s="623"/>
      <c r="BT47" s="623">
        <v>1</v>
      </c>
      <c r="BU47" s="623"/>
      <c r="BV47" s="623">
        <v>1</v>
      </c>
      <c r="BW47" s="623"/>
      <c r="BX47" s="623"/>
      <c r="BY47" s="623"/>
      <c r="BZ47" s="623">
        <v>1</v>
      </c>
      <c r="CA47" s="623">
        <v>3</v>
      </c>
      <c r="CB47" s="623"/>
      <c r="CC47" s="623"/>
      <c r="CD47" s="623"/>
      <c r="CE47" s="623"/>
      <c r="CF47" s="623"/>
      <c r="CG47" s="623"/>
      <c r="CH47" s="623"/>
      <c r="CI47" s="623"/>
      <c r="CJ47" s="623"/>
      <c r="CK47" s="623"/>
      <c r="CL47" s="623"/>
      <c r="CM47" s="623"/>
      <c r="CN47" s="623"/>
      <c r="CO47" s="623"/>
      <c r="CP47" s="623"/>
      <c r="CQ47" s="623"/>
      <c r="CR47" s="623"/>
      <c r="CS47" s="623"/>
      <c r="CT47" s="623"/>
      <c r="CU47" s="623"/>
      <c r="CV47" s="623"/>
      <c r="CW47" s="623"/>
      <c r="CX47" s="673"/>
      <c r="CY47" s="557"/>
    </row>
    <row r="48" spans="1:234" ht="13.8">
      <c r="A48" s="591"/>
      <c r="B48" s="675" t="s">
        <v>464</v>
      </c>
      <c r="C48" s="550">
        <v>56</v>
      </c>
      <c r="D48" s="550"/>
      <c r="E48" s="550">
        <f t="shared" si="0"/>
        <v>1363</v>
      </c>
      <c r="F48" s="550"/>
      <c r="G48" s="550"/>
      <c r="H48" s="550"/>
      <c r="I48" s="550"/>
      <c r="J48" s="676"/>
      <c r="K48" s="550"/>
      <c r="L48" s="550"/>
      <c r="M48" s="550"/>
      <c r="N48" s="550"/>
      <c r="O48" s="439"/>
      <c r="P48" s="439"/>
      <c r="Q48" s="674"/>
      <c r="R48" s="671"/>
      <c r="S48" s="671"/>
      <c r="T48" s="671"/>
      <c r="U48" s="671"/>
      <c r="V48" s="671"/>
      <c r="W48" s="671"/>
      <c r="X48" s="671"/>
      <c r="Y48" s="671"/>
      <c r="Z48" s="671"/>
      <c r="AA48" s="623"/>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72"/>
      <c r="BG48" s="672"/>
      <c r="BH48" s="623"/>
      <c r="BI48" s="623"/>
      <c r="BJ48" s="623"/>
      <c r="BK48" s="623"/>
      <c r="BL48" s="623"/>
      <c r="BM48" s="623"/>
      <c r="BN48" s="623"/>
      <c r="BO48" s="623"/>
      <c r="BP48" s="623"/>
      <c r="BQ48" s="623"/>
      <c r="BR48" s="623"/>
      <c r="BS48" s="623"/>
      <c r="BT48" s="623">
        <v>1</v>
      </c>
      <c r="BU48" s="623"/>
      <c r="BV48" s="623">
        <v>1</v>
      </c>
      <c r="BW48" s="623"/>
      <c r="BX48" s="623"/>
      <c r="BY48" s="623">
        <v>1</v>
      </c>
      <c r="BZ48" s="623"/>
      <c r="CA48" s="623"/>
      <c r="CB48" s="623">
        <v>2</v>
      </c>
      <c r="CC48" s="623"/>
      <c r="CD48" s="623"/>
      <c r="CE48" s="623"/>
      <c r="CF48" s="623"/>
      <c r="CG48" s="623"/>
      <c r="CH48" s="623"/>
      <c r="CI48" s="623"/>
      <c r="CJ48" s="623"/>
      <c r="CK48" s="623"/>
      <c r="CL48" s="623"/>
      <c r="CM48" s="623"/>
      <c r="CN48" s="623"/>
      <c r="CO48" s="623"/>
      <c r="CP48" s="623"/>
      <c r="CQ48" s="623"/>
      <c r="CR48" s="623"/>
      <c r="CS48" s="623"/>
      <c r="CT48" s="623"/>
      <c r="CU48" s="623"/>
      <c r="CV48" s="623"/>
      <c r="CW48" s="623"/>
      <c r="CX48" s="673"/>
      <c r="CY48" s="557"/>
    </row>
    <row r="49" spans="1:234" ht="13.8">
      <c r="A49" s="591" t="s">
        <v>2029</v>
      </c>
      <c r="B49" s="670"/>
      <c r="C49" s="550">
        <v>39</v>
      </c>
      <c r="D49" s="550"/>
      <c r="E49" s="550">
        <f t="shared" si="0"/>
        <v>1402</v>
      </c>
      <c r="F49" s="550"/>
      <c r="G49" s="550"/>
      <c r="H49" s="550"/>
      <c r="I49" s="550"/>
      <c r="J49" s="676"/>
      <c r="K49" s="550"/>
      <c r="L49" s="550"/>
      <c r="M49" s="550"/>
      <c r="N49" s="550"/>
      <c r="O49" s="439"/>
      <c r="P49" s="439"/>
      <c r="Q49" s="674"/>
      <c r="R49" s="671"/>
      <c r="S49" s="671"/>
      <c r="T49" s="671"/>
      <c r="U49" s="671"/>
      <c r="V49" s="671"/>
      <c r="W49" s="671"/>
      <c r="X49" s="671"/>
      <c r="Y49" s="671"/>
      <c r="Z49" s="671"/>
      <c r="AA49" s="623"/>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72"/>
      <c r="BG49" s="672"/>
      <c r="BH49" s="623"/>
      <c r="BI49" s="623"/>
      <c r="BJ49" s="623"/>
      <c r="BK49" s="623"/>
      <c r="BL49" s="623"/>
      <c r="BM49" s="623"/>
      <c r="BN49" s="623"/>
      <c r="BO49" s="623"/>
      <c r="BP49" s="623"/>
      <c r="BQ49" s="623"/>
      <c r="BR49" s="623"/>
      <c r="BS49" s="623"/>
      <c r="BT49" s="623">
        <v>1</v>
      </c>
      <c r="BU49" s="623"/>
      <c r="BV49" s="623">
        <v>1</v>
      </c>
      <c r="BW49" s="623"/>
      <c r="BX49" s="623"/>
      <c r="BY49" s="623"/>
      <c r="BZ49" s="623">
        <v>1</v>
      </c>
      <c r="CA49" s="623">
        <v>3</v>
      </c>
      <c r="CB49" s="623"/>
      <c r="CC49" s="623"/>
      <c r="CD49" s="623"/>
      <c r="CE49" s="623"/>
      <c r="CF49" s="623"/>
      <c r="CG49" s="623"/>
      <c r="CH49" s="623"/>
      <c r="CI49" s="623"/>
      <c r="CJ49" s="623"/>
      <c r="CK49" s="623"/>
      <c r="CL49" s="623"/>
      <c r="CM49" s="623"/>
      <c r="CN49" s="623"/>
      <c r="CO49" s="623"/>
      <c r="CP49" s="623"/>
      <c r="CQ49" s="623"/>
      <c r="CR49" s="623"/>
      <c r="CS49" s="623"/>
      <c r="CT49" s="623"/>
      <c r="CU49" s="623"/>
      <c r="CV49" s="623"/>
      <c r="CW49" s="623"/>
      <c r="CX49" s="673"/>
      <c r="CY49" s="557"/>
    </row>
    <row r="50" spans="1:234" ht="13.8">
      <c r="A50" s="591"/>
      <c r="B50" s="675" t="s">
        <v>465</v>
      </c>
      <c r="C50" s="550">
        <v>34</v>
      </c>
      <c r="D50" s="550"/>
      <c r="E50" s="550">
        <f t="shared" si="0"/>
        <v>1436</v>
      </c>
      <c r="F50" s="550"/>
      <c r="G50" s="550"/>
      <c r="H50" s="550"/>
      <c r="I50" s="550"/>
      <c r="J50" s="676"/>
      <c r="K50" s="550"/>
      <c r="L50" s="550"/>
      <c r="M50" s="550"/>
      <c r="N50" s="550"/>
      <c r="O50" s="439"/>
      <c r="P50" s="439"/>
      <c r="Q50" s="674"/>
      <c r="R50" s="671"/>
      <c r="S50" s="671"/>
      <c r="T50" s="671"/>
      <c r="U50" s="671"/>
      <c r="V50" s="671"/>
      <c r="W50" s="671"/>
      <c r="X50" s="671"/>
      <c r="Y50" s="671"/>
      <c r="Z50" s="671"/>
      <c r="AA50" s="623"/>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72"/>
      <c r="BG50" s="672"/>
      <c r="BH50" s="623"/>
      <c r="BI50" s="623"/>
      <c r="BJ50" s="623"/>
      <c r="BK50" s="623"/>
      <c r="BL50" s="623"/>
      <c r="BM50" s="623"/>
      <c r="BN50" s="623"/>
      <c r="BO50" s="623"/>
      <c r="BP50" s="623"/>
      <c r="BQ50" s="623"/>
      <c r="BR50" s="623"/>
      <c r="BS50" s="623"/>
      <c r="BT50" s="623">
        <v>1</v>
      </c>
      <c r="BU50" s="623"/>
      <c r="BV50" s="623">
        <v>1</v>
      </c>
      <c r="BW50" s="623"/>
      <c r="BX50" s="623"/>
      <c r="BY50" s="623">
        <v>1</v>
      </c>
      <c r="BZ50" s="623"/>
      <c r="CA50" s="623"/>
      <c r="CB50" s="623">
        <v>2</v>
      </c>
      <c r="CC50" s="623"/>
      <c r="CD50" s="623"/>
      <c r="CE50" s="623"/>
      <c r="CF50" s="623"/>
      <c r="CG50" s="623"/>
      <c r="CH50" s="623"/>
      <c r="CI50" s="623"/>
      <c r="CJ50" s="623"/>
      <c r="CK50" s="623"/>
      <c r="CL50" s="623"/>
      <c r="CM50" s="623"/>
      <c r="CN50" s="623"/>
      <c r="CO50" s="623"/>
      <c r="CP50" s="623"/>
      <c r="CQ50" s="623"/>
      <c r="CR50" s="623"/>
      <c r="CS50" s="623"/>
      <c r="CT50" s="623"/>
      <c r="CU50" s="623"/>
      <c r="CV50" s="623"/>
      <c r="CW50" s="623"/>
      <c r="CX50" s="673"/>
      <c r="CY50" s="557"/>
    </row>
    <row r="51" spans="1:234" ht="13.8">
      <c r="A51" s="591" t="s">
        <v>2030</v>
      </c>
      <c r="B51" s="675"/>
      <c r="C51" s="550">
        <v>10</v>
      </c>
      <c r="D51" s="550"/>
      <c r="E51" s="550">
        <f t="shared" si="0"/>
        <v>1446</v>
      </c>
      <c r="F51" s="550"/>
      <c r="G51" s="550"/>
      <c r="H51" s="550"/>
      <c r="I51" s="550"/>
      <c r="J51" s="676"/>
      <c r="K51" s="550"/>
      <c r="L51" s="550"/>
      <c r="M51" s="550"/>
      <c r="N51" s="550"/>
      <c r="O51" s="439"/>
      <c r="P51" s="439"/>
      <c r="Q51" s="674"/>
      <c r="R51" s="671"/>
      <c r="S51" s="671"/>
      <c r="T51" s="671"/>
      <c r="U51" s="671"/>
      <c r="V51" s="671"/>
      <c r="W51" s="671"/>
      <c r="X51" s="671"/>
      <c r="Y51" s="671"/>
      <c r="Z51" s="671"/>
      <c r="AA51" s="623"/>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72"/>
      <c r="BG51" s="672"/>
      <c r="BH51" s="623"/>
      <c r="BI51" s="623"/>
      <c r="BJ51" s="623"/>
      <c r="BK51" s="623"/>
      <c r="BL51" s="623"/>
      <c r="BM51" s="623"/>
      <c r="BN51" s="623"/>
      <c r="BO51" s="623"/>
      <c r="BP51" s="623"/>
      <c r="BQ51" s="623"/>
      <c r="BR51" s="623"/>
      <c r="BS51" s="623"/>
      <c r="BT51" s="623">
        <v>1</v>
      </c>
      <c r="BU51" s="623"/>
      <c r="BV51" s="623">
        <v>1</v>
      </c>
      <c r="BW51" s="623"/>
      <c r="BX51" s="623"/>
      <c r="BY51" s="623"/>
      <c r="BZ51" s="623">
        <v>1</v>
      </c>
      <c r="CA51" s="623">
        <v>3</v>
      </c>
      <c r="CB51" s="623"/>
      <c r="CC51" s="623"/>
      <c r="CD51" s="623"/>
      <c r="CE51" s="623"/>
      <c r="CF51" s="623"/>
      <c r="CG51" s="623"/>
      <c r="CH51" s="623"/>
      <c r="CI51" s="623"/>
      <c r="CJ51" s="623"/>
      <c r="CK51" s="623"/>
      <c r="CL51" s="623"/>
      <c r="CM51" s="623"/>
      <c r="CN51" s="623"/>
      <c r="CO51" s="623"/>
      <c r="CP51" s="623"/>
      <c r="CQ51" s="623"/>
      <c r="CR51" s="623"/>
      <c r="CS51" s="623"/>
      <c r="CT51" s="623"/>
      <c r="CU51" s="623"/>
      <c r="CV51" s="623"/>
      <c r="CW51" s="623"/>
      <c r="CX51" s="673"/>
      <c r="CY51" s="557"/>
    </row>
    <row r="52" spans="1:234" ht="13.8">
      <c r="A52" s="591" t="s">
        <v>1006</v>
      </c>
      <c r="B52" s="670"/>
      <c r="C52" s="550">
        <v>35</v>
      </c>
      <c r="D52" s="550"/>
      <c r="E52" s="550">
        <f t="shared" si="0"/>
        <v>1481</v>
      </c>
      <c r="F52" s="550"/>
      <c r="G52" s="550"/>
      <c r="H52" s="550"/>
      <c r="I52" s="550"/>
      <c r="J52" s="676"/>
      <c r="K52" s="550"/>
      <c r="L52" s="550"/>
      <c r="M52" s="550"/>
      <c r="N52" s="550"/>
      <c r="O52" s="439"/>
      <c r="P52" s="439"/>
      <c r="Q52" s="674"/>
      <c r="R52" s="671"/>
      <c r="S52" s="671"/>
      <c r="T52" s="671"/>
      <c r="U52" s="671"/>
      <c r="V52" s="671"/>
      <c r="W52" s="671"/>
      <c r="X52" s="671"/>
      <c r="Y52" s="671"/>
      <c r="Z52" s="671"/>
      <c r="AA52" s="623"/>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72"/>
      <c r="BG52" s="672"/>
      <c r="BH52" s="623"/>
      <c r="BI52" s="623"/>
      <c r="BJ52" s="623"/>
      <c r="BK52" s="623"/>
      <c r="BL52" s="623"/>
      <c r="BM52" s="623"/>
      <c r="BN52" s="623"/>
      <c r="BO52" s="623"/>
      <c r="BP52" s="623"/>
      <c r="BQ52" s="623"/>
      <c r="BR52" s="623"/>
      <c r="BS52" s="623"/>
      <c r="BT52" s="623">
        <v>1</v>
      </c>
      <c r="BU52" s="623"/>
      <c r="BV52" s="623">
        <v>1</v>
      </c>
      <c r="BW52" s="623"/>
      <c r="BX52" s="623"/>
      <c r="BY52" s="623"/>
      <c r="BZ52" s="623">
        <v>1</v>
      </c>
      <c r="CA52" s="623">
        <v>3</v>
      </c>
      <c r="CB52" s="623"/>
      <c r="CC52" s="623"/>
      <c r="CD52" s="623"/>
      <c r="CE52" s="623"/>
      <c r="CF52" s="623"/>
      <c r="CG52" s="623"/>
      <c r="CH52" s="623"/>
      <c r="CI52" s="623"/>
      <c r="CJ52" s="623"/>
      <c r="CK52" s="623"/>
      <c r="CL52" s="623"/>
      <c r="CM52" s="623"/>
      <c r="CN52" s="623"/>
      <c r="CO52" s="623"/>
      <c r="CP52" s="623"/>
      <c r="CQ52" s="623"/>
      <c r="CR52" s="623"/>
      <c r="CS52" s="623"/>
      <c r="CT52" s="623"/>
      <c r="CU52" s="623"/>
      <c r="CV52" s="623"/>
      <c r="CW52" s="623"/>
      <c r="CX52" s="673"/>
      <c r="CY52" s="557"/>
    </row>
    <row r="53" spans="1:234" ht="13.8">
      <c r="A53" s="591"/>
      <c r="B53" s="675" t="s">
        <v>466</v>
      </c>
      <c r="C53" s="550">
        <v>23</v>
      </c>
      <c r="D53" s="550"/>
      <c r="E53" s="550">
        <f t="shared" si="0"/>
        <v>1504</v>
      </c>
      <c r="F53" s="550"/>
      <c r="G53" s="550"/>
      <c r="H53" s="550"/>
      <c r="I53" s="550"/>
      <c r="J53" s="676"/>
      <c r="K53" s="550"/>
      <c r="L53" s="550"/>
      <c r="M53" s="550"/>
      <c r="N53" s="550"/>
      <c r="O53" s="439"/>
      <c r="P53" s="439"/>
      <c r="Q53" s="674"/>
      <c r="R53" s="671"/>
      <c r="S53" s="671"/>
      <c r="T53" s="671"/>
      <c r="U53" s="671"/>
      <c r="V53" s="671"/>
      <c r="W53" s="671"/>
      <c r="X53" s="671"/>
      <c r="Y53" s="671"/>
      <c r="Z53" s="671"/>
      <c r="AA53" s="623"/>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72"/>
      <c r="BG53" s="672"/>
      <c r="BH53" s="623"/>
      <c r="BI53" s="623"/>
      <c r="BJ53" s="623"/>
      <c r="BK53" s="623"/>
      <c r="BL53" s="623"/>
      <c r="BM53" s="623"/>
      <c r="BN53" s="623"/>
      <c r="BO53" s="623"/>
      <c r="BP53" s="623"/>
      <c r="BQ53" s="623"/>
      <c r="BR53" s="623"/>
      <c r="BS53" s="623"/>
      <c r="BT53" s="623">
        <v>1</v>
      </c>
      <c r="BU53" s="623"/>
      <c r="BV53" s="623">
        <v>1</v>
      </c>
      <c r="BW53" s="623"/>
      <c r="BX53" s="623"/>
      <c r="BY53" s="623">
        <v>1</v>
      </c>
      <c r="BZ53" s="623"/>
      <c r="CA53" s="623"/>
      <c r="CB53" s="623">
        <v>2</v>
      </c>
      <c r="CC53" s="623"/>
      <c r="CD53" s="623"/>
      <c r="CE53" s="623"/>
      <c r="CF53" s="623"/>
      <c r="CG53" s="623"/>
      <c r="CH53" s="623"/>
      <c r="CI53" s="623"/>
      <c r="CJ53" s="623"/>
      <c r="CK53" s="623"/>
      <c r="CL53" s="623"/>
      <c r="CM53" s="623"/>
      <c r="CN53" s="623"/>
      <c r="CO53" s="623"/>
      <c r="CP53" s="623"/>
      <c r="CQ53" s="623"/>
      <c r="CR53" s="623"/>
      <c r="CS53" s="623"/>
      <c r="CT53" s="623"/>
      <c r="CU53" s="623"/>
      <c r="CV53" s="623"/>
      <c r="CW53" s="623"/>
      <c r="CX53" s="673"/>
      <c r="CY53" s="557"/>
    </row>
    <row r="54" spans="1:234" s="678" customFormat="1" ht="13.8">
      <c r="A54" s="591" t="s">
        <v>2031</v>
      </c>
      <c r="B54" s="613"/>
      <c r="C54" s="550">
        <v>16</v>
      </c>
      <c r="D54" s="550"/>
      <c r="E54" s="550">
        <f t="shared" si="0"/>
        <v>1520</v>
      </c>
      <c r="F54" s="613"/>
      <c r="G54" s="613"/>
      <c r="H54" s="613"/>
      <c r="I54" s="613"/>
      <c r="J54" s="679"/>
      <c r="K54" s="613"/>
      <c r="L54" s="613"/>
      <c r="M54" s="550"/>
      <c r="N54" s="550"/>
      <c r="O54" s="614"/>
      <c r="P54" s="614"/>
      <c r="Q54" s="680"/>
      <c r="R54" s="681"/>
      <c r="S54" s="681"/>
      <c r="T54" s="681"/>
      <c r="U54" s="681"/>
      <c r="V54" s="681"/>
      <c r="W54" s="681"/>
      <c r="X54" s="681"/>
      <c r="Y54" s="681"/>
      <c r="Z54" s="681"/>
      <c r="AA54" s="682"/>
      <c r="AB54" s="682"/>
      <c r="AC54" s="682"/>
      <c r="AD54" s="682"/>
      <c r="AE54" s="682"/>
      <c r="AF54" s="682"/>
      <c r="AG54" s="682"/>
      <c r="AH54" s="682"/>
      <c r="AI54" s="682"/>
      <c r="AJ54" s="682"/>
      <c r="AK54" s="682"/>
      <c r="AL54" s="682"/>
      <c r="AM54" s="682"/>
      <c r="AN54" s="682"/>
      <c r="AO54" s="682"/>
      <c r="AP54" s="682"/>
      <c r="AQ54" s="682"/>
      <c r="AR54" s="682"/>
      <c r="AS54" s="682"/>
      <c r="AT54" s="682"/>
      <c r="AU54" s="682"/>
      <c r="AV54" s="682"/>
      <c r="AW54" s="682"/>
      <c r="AX54" s="682"/>
      <c r="AY54" s="682"/>
      <c r="AZ54" s="682"/>
      <c r="BA54" s="682"/>
      <c r="BB54" s="682"/>
      <c r="BC54" s="682"/>
      <c r="BD54" s="682"/>
      <c r="BE54" s="682"/>
      <c r="BF54" s="672"/>
      <c r="BG54" s="672"/>
      <c r="BH54" s="682"/>
      <c r="BI54" s="682"/>
      <c r="BJ54" s="682"/>
      <c r="BK54" s="682"/>
      <c r="BL54" s="682"/>
      <c r="BM54" s="682"/>
      <c r="BN54" s="682"/>
      <c r="BO54" s="682"/>
      <c r="BP54" s="682"/>
      <c r="BQ54" s="682"/>
      <c r="BR54" s="682"/>
      <c r="BS54" s="682"/>
      <c r="BT54" s="682">
        <v>1</v>
      </c>
      <c r="BU54" s="682"/>
      <c r="BV54" s="682">
        <v>1</v>
      </c>
      <c r="BW54" s="682"/>
      <c r="BX54" s="682"/>
      <c r="BY54" s="682"/>
      <c r="BZ54" s="682">
        <v>1</v>
      </c>
      <c r="CA54" s="682">
        <v>3</v>
      </c>
      <c r="CB54" s="682"/>
      <c r="CC54" s="682"/>
      <c r="CD54" s="682"/>
      <c r="CE54" s="682"/>
      <c r="CF54" s="682"/>
      <c r="CG54" s="682"/>
      <c r="CH54" s="682"/>
      <c r="CI54" s="682"/>
      <c r="CJ54" s="682"/>
      <c r="CK54" s="682"/>
      <c r="CL54" s="682"/>
      <c r="CM54" s="682"/>
      <c r="CN54" s="682"/>
      <c r="CO54" s="682"/>
      <c r="CP54" s="682"/>
      <c r="CQ54" s="682"/>
      <c r="CR54" s="682"/>
      <c r="CS54" s="682"/>
      <c r="CT54" s="682"/>
      <c r="CU54" s="682"/>
      <c r="CV54" s="682"/>
      <c r="CW54" s="682"/>
      <c r="CX54" s="683"/>
      <c r="CY54" s="557"/>
      <c r="CZ54" s="677"/>
      <c r="DA54" s="530"/>
      <c r="DB54" s="530"/>
      <c r="DC54" s="530"/>
      <c r="DD54" s="530"/>
      <c r="DE54" s="530"/>
      <c r="DF54" s="530"/>
      <c r="DG54" s="530"/>
      <c r="DH54" s="530"/>
      <c r="DI54" s="530"/>
      <c r="DJ54" s="530"/>
      <c r="DK54" s="530"/>
      <c r="DL54" s="530"/>
      <c r="DM54" s="530"/>
      <c r="DN54" s="530"/>
      <c r="DO54" s="530"/>
      <c r="DP54" s="530"/>
      <c r="DQ54" s="530"/>
      <c r="DR54" s="530"/>
      <c r="DS54" s="530"/>
      <c r="DT54" s="530"/>
      <c r="DU54" s="530"/>
      <c r="DV54" s="530"/>
      <c r="DW54" s="530"/>
      <c r="DX54" s="530"/>
      <c r="DY54" s="530"/>
      <c r="DZ54" s="530"/>
      <c r="EA54" s="530"/>
      <c r="EB54" s="530"/>
      <c r="EC54" s="530"/>
      <c r="ED54" s="530"/>
      <c r="EE54" s="530"/>
      <c r="EF54" s="530"/>
      <c r="EG54" s="530"/>
      <c r="EH54" s="530"/>
      <c r="EI54" s="530"/>
      <c r="EJ54" s="530"/>
      <c r="EK54" s="530"/>
      <c r="EL54" s="530"/>
      <c r="EM54" s="530"/>
      <c r="EN54" s="530"/>
      <c r="EO54" s="530"/>
      <c r="EP54" s="530"/>
      <c r="EQ54" s="530"/>
      <c r="ER54" s="530"/>
      <c r="ES54" s="530"/>
      <c r="ET54" s="530"/>
      <c r="EU54" s="530"/>
      <c r="EV54" s="530"/>
      <c r="EW54" s="530"/>
      <c r="EX54" s="530"/>
      <c r="EY54" s="530"/>
      <c r="EZ54" s="530"/>
      <c r="FA54" s="530"/>
      <c r="FB54" s="530"/>
      <c r="FC54" s="530"/>
      <c r="FD54" s="530"/>
      <c r="FE54" s="530"/>
      <c r="FF54" s="530"/>
      <c r="FG54" s="530"/>
      <c r="FH54" s="530"/>
      <c r="FI54" s="530"/>
      <c r="FJ54" s="530"/>
      <c r="FK54" s="530"/>
      <c r="FL54" s="530"/>
      <c r="FM54" s="530"/>
      <c r="FN54" s="530"/>
      <c r="FO54" s="530"/>
      <c r="FP54" s="530"/>
      <c r="FQ54" s="530"/>
      <c r="FR54" s="530"/>
      <c r="FS54" s="530"/>
      <c r="FT54" s="530"/>
      <c r="FU54" s="530"/>
      <c r="FV54" s="530"/>
      <c r="FW54" s="530"/>
      <c r="FX54" s="530"/>
      <c r="FY54" s="530"/>
      <c r="FZ54" s="530"/>
      <c r="GA54" s="530"/>
      <c r="GB54" s="530"/>
      <c r="GC54" s="530"/>
      <c r="GD54" s="530"/>
      <c r="GE54" s="530"/>
      <c r="GF54" s="530"/>
      <c r="GG54" s="530"/>
      <c r="GH54" s="530"/>
      <c r="GI54" s="530"/>
      <c r="GJ54" s="530"/>
      <c r="GK54" s="530"/>
      <c r="GL54" s="530"/>
      <c r="GM54" s="530"/>
      <c r="GN54" s="530"/>
      <c r="GO54" s="530"/>
      <c r="GP54" s="530"/>
      <c r="GQ54" s="530"/>
      <c r="GR54" s="530"/>
      <c r="GS54" s="530"/>
      <c r="GT54" s="530"/>
      <c r="GU54" s="530"/>
      <c r="GV54" s="530"/>
      <c r="GW54" s="530"/>
      <c r="GX54" s="530"/>
      <c r="GY54" s="530"/>
      <c r="GZ54" s="530"/>
      <c r="HA54" s="530"/>
      <c r="HB54" s="530"/>
      <c r="HC54" s="530"/>
      <c r="HD54" s="530"/>
      <c r="HE54" s="530"/>
      <c r="HF54" s="530"/>
      <c r="HG54" s="530"/>
      <c r="HH54" s="530"/>
      <c r="HI54" s="530"/>
      <c r="HJ54" s="530"/>
      <c r="HK54" s="530"/>
      <c r="HL54" s="530"/>
      <c r="HM54" s="530"/>
      <c r="HN54" s="530"/>
      <c r="HO54" s="530"/>
      <c r="HP54" s="530"/>
      <c r="HQ54" s="530"/>
      <c r="HR54" s="530"/>
      <c r="HS54" s="530"/>
      <c r="HT54" s="530"/>
      <c r="HU54" s="530"/>
      <c r="HV54" s="530"/>
      <c r="HW54" s="530"/>
      <c r="HX54" s="530"/>
      <c r="HY54" s="530"/>
      <c r="HZ54" s="530"/>
    </row>
    <row r="55" spans="1:234" s="688" customFormat="1" ht="13.8">
      <c r="A55" s="656" t="s">
        <v>4016</v>
      </c>
      <c r="B55" s="684"/>
      <c r="C55" s="685">
        <f>SUM(C8:C54)</f>
        <v>1520</v>
      </c>
      <c r="D55" s="685">
        <f t="shared" ref="D55:N55" si="1">D54</f>
        <v>0</v>
      </c>
      <c r="E55" s="685">
        <f t="shared" si="1"/>
        <v>1520</v>
      </c>
      <c r="F55" s="685">
        <f t="shared" si="1"/>
        <v>0</v>
      </c>
      <c r="G55" s="685">
        <f t="shared" si="1"/>
        <v>0</v>
      </c>
      <c r="H55" s="685">
        <f t="shared" si="1"/>
        <v>0</v>
      </c>
      <c r="I55" s="685">
        <f t="shared" si="1"/>
        <v>0</v>
      </c>
      <c r="J55" s="685">
        <f t="shared" si="1"/>
        <v>0</v>
      </c>
      <c r="K55" s="685">
        <f t="shared" si="1"/>
        <v>0</v>
      </c>
      <c r="L55" s="685">
        <f t="shared" si="1"/>
        <v>0</v>
      </c>
      <c r="M55" s="685">
        <f t="shared" si="1"/>
        <v>0</v>
      </c>
      <c r="N55" s="685">
        <f t="shared" si="1"/>
        <v>0</v>
      </c>
      <c r="O55" s="685">
        <f>SUM(O54:O54)</f>
        <v>0</v>
      </c>
      <c r="P55" s="685">
        <f>SUM(P54:P54)</f>
        <v>0</v>
      </c>
      <c r="Q55" s="685"/>
      <c r="R55" s="685">
        <f>SUM(R54:R54)</f>
        <v>0</v>
      </c>
      <c r="S55" s="685">
        <f t="shared" ref="S55:AX55" si="2">SUM(S8:S54)</f>
        <v>0</v>
      </c>
      <c r="T55" s="685">
        <f t="shared" si="2"/>
        <v>0</v>
      </c>
      <c r="U55" s="685">
        <f t="shared" si="2"/>
        <v>0</v>
      </c>
      <c r="V55" s="685">
        <f t="shared" si="2"/>
        <v>0</v>
      </c>
      <c r="W55" s="685">
        <f t="shared" si="2"/>
        <v>0</v>
      </c>
      <c r="X55" s="685">
        <f t="shared" si="2"/>
        <v>0</v>
      </c>
      <c r="Y55" s="685">
        <f t="shared" si="2"/>
        <v>0</v>
      </c>
      <c r="Z55" s="685">
        <f t="shared" si="2"/>
        <v>0</v>
      </c>
      <c r="AA55" s="685">
        <f t="shared" si="2"/>
        <v>0</v>
      </c>
      <c r="AB55" s="685">
        <f t="shared" si="2"/>
        <v>0</v>
      </c>
      <c r="AC55" s="685">
        <f t="shared" si="2"/>
        <v>0</v>
      </c>
      <c r="AD55" s="685">
        <f t="shared" si="2"/>
        <v>0</v>
      </c>
      <c r="AE55" s="685">
        <f t="shared" si="2"/>
        <v>0</v>
      </c>
      <c r="AF55" s="685">
        <f t="shared" si="2"/>
        <v>0</v>
      </c>
      <c r="AG55" s="685">
        <f t="shared" si="2"/>
        <v>0</v>
      </c>
      <c r="AH55" s="685">
        <f t="shared" si="2"/>
        <v>0</v>
      </c>
      <c r="AI55" s="685">
        <f t="shared" si="2"/>
        <v>0</v>
      </c>
      <c r="AJ55" s="685">
        <f t="shared" si="2"/>
        <v>0</v>
      </c>
      <c r="AK55" s="685">
        <f t="shared" si="2"/>
        <v>0</v>
      </c>
      <c r="AL55" s="685">
        <f t="shared" si="2"/>
        <v>0</v>
      </c>
      <c r="AM55" s="685">
        <f t="shared" si="2"/>
        <v>0</v>
      </c>
      <c r="AN55" s="685">
        <f t="shared" si="2"/>
        <v>0</v>
      </c>
      <c r="AO55" s="685">
        <f t="shared" si="2"/>
        <v>0</v>
      </c>
      <c r="AP55" s="685">
        <f t="shared" si="2"/>
        <v>0</v>
      </c>
      <c r="AQ55" s="685">
        <f t="shared" si="2"/>
        <v>0</v>
      </c>
      <c r="AR55" s="685">
        <f t="shared" si="2"/>
        <v>0</v>
      </c>
      <c r="AS55" s="685">
        <f t="shared" si="2"/>
        <v>0</v>
      </c>
      <c r="AT55" s="685">
        <f t="shared" si="2"/>
        <v>0</v>
      </c>
      <c r="AU55" s="685">
        <f t="shared" si="2"/>
        <v>0</v>
      </c>
      <c r="AV55" s="685">
        <f t="shared" si="2"/>
        <v>0</v>
      </c>
      <c r="AW55" s="685">
        <f t="shared" si="2"/>
        <v>0</v>
      </c>
      <c r="AX55" s="685">
        <f t="shared" si="2"/>
        <v>0</v>
      </c>
      <c r="AY55" s="685">
        <f t="shared" ref="AY55:CB55" si="3">SUM(AY8:AY54)</f>
        <v>0</v>
      </c>
      <c r="AZ55" s="685">
        <f t="shared" si="3"/>
        <v>0</v>
      </c>
      <c r="BA55" s="685">
        <f t="shared" si="3"/>
        <v>0</v>
      </c>
      <c r="BB55" s="685">
        <f t="shared" si="3"/>
        <v>0</v>
      </c>
      <c r="BC55" s="685">
        <f t="shared" si="3"/>
        <v>0</v>
      </c>
      <c r="BD55" s="685">
        <f t="shared" si="3"/>
        <v>0</v>
      </c>
      <c r="BE55" s="685">
        <f t="shared" si="3"/>
        <v>0</v>
      </c>
      <c r="BF55" s="685">
        <f t="shared" si="3"/>
        <v>0</v>
      </c>
      <c r="BG55" s="685">
        <f t="shared" si="3"/>
        <v>0</v>
      </c>
      <c r="BH55" s="685">
        <f t="shared" si="3"/>
        <v>0</v>
      </c>
      <c r="BI55" s="685">
        <f t="shared" si="3"/>
        <v>0</v>
      </c>
      <c r="BJ55" s="685">
        <f t="shared" si="3"/>
        <v>0</v>
      </c>
      <c r="BK55" s="685">
        <f t="shared" si="3"/>
        <v>0</v>
      </c>
      <c r="BL55" s="685">
        <f t="shared" si="3"/>
        <v>0</v>
      </c>
      <c r="BM55" s="685">
        <f t="shared" si="3"/>
        <v>0</v>
      </c>
      <c r="BN55" s="685">
        <f t="shared" si="3"/>
        <v>0</v>
      </c>
      <c r="BO55" s="685">
        <f t="shared" si="3"/>
        <v>0</v>
      </c>
      <c r="BP55" s="685">
        <f t="shared" si="3"/>
        <v>0</v>
      </c>
      <c r="BQ55" s="685">
        <f t="shared" si="3"/>
        <v>0</v>
      </c>
      <c r="BR55" s="685">
        <f t="shared" si="3"/>
        <v>0</v>
      </c>
      <c r="BS55" s="685">
        <f t="shared" si="3"/>
        <v>0</v>
      </c>
      <c r="BT55" s="685">
        <f t="shared" si="3"/>
        <v>47</v>
      </c>
      <c r="BU55" s="685">
        <f t="shared" si="3"/>
        <v>0</v>
      </c>
      <c r="BV55" s="685">
        <f t="shared" si="3"/>
        <v>47</v>
      </c>
      <c r="BW55" s="685">
        <f t="shared" si="3"/>
        <v>0</v>
      </c>
      <c r="BX55" s="685">
        <f t="shared" si="3"/>
        <v>0</v>
      </c>
      <c r="BY55" s="685">
        <f t="shared" si="3"/>
        <v>22</v>
      </c>
      <c r="BZ55" s="685">
        <f t="shared" si="3"/>
        <v>25</v>
      </c>
      <c r="CA55" s="685">
        <f t="shared" si="3"/>
        <v>72</v>
      </c>
      <c r="CB55" s="685">
        <f t="shared" si="3"/>
        <v>44</v>
      </c>
      <c r="CC55" s="685">
        <f t="shared" ref="CC55:CN55" si="4">SUM(CC8:CC54)</f>
        <v>0</v>
      </c>
      <c r="CD55" s="685">
        <f t="shared" si="4"/>
        <v>0</v>
      </c>
      <c r="CE55" s="685">
        <f t="shared" si="4"/>
        <v>0</v>
      </c>
      <c r="CF55" s="685">
        <f t="shared" si="4"/>
        <v>0</v>
      </c>
      <c r="CG55" s="685">
        <f t="shared" si="4"/>
        <v>0</v>
      </c>
      <c r="CH55" s="685">
        <f t="shared" si="4"/>
        <v>0</v>
      </c>
      <c r="CI55" s="685">
        <f t="shared" si="4"/>
        <v>0</v>
      </c>
      <c r="CJ55" s="685">
        <f t="shared" si="4"/>
        <v>0</v>
      </c>
      <c r="CK55" s="685">
        <f t="shared" si="4"/>
        <v>0</v>
      </c>
      <c r="CL55" s="685">
        <f t="shared" si="4"/>
        <v>0</v>
      </c>
      <c r="CM55" s="685">
        <f t="shared" si="4"/>
        <v>0</v>
      </c>
      <c r="CN55" s="685">
        <f t="shared" si="4"/>
        <v>0</v>
      </c>
      <c r="CO55" s="685">
        <f t="shared" ref="CO55:CW55" si="5">SUM(CO8:CO54)</f>
        <v>0</v>
      </c>
      <c r="CP55" s="685">
        <f t="shared" si="5"/>
        <v>0</v>
      </c>
      <c r="CQ55" s="685">
        <f t="shared" si="5"/>
        <v>0</v>
      </c>
      <c r="CR55" s="685">
        <f t="shared" si="5"/>
        <v>0</v>
      </c>
      <c r="CS55" s="685">
        <f t="shared" si="5"/>
        <v>0</v>
      </c>
      <c r="CT55" s="685">
        <f t="shared" si="5"/>
        <v>0</v>
      </c>
      <c r="CU55" s="685">
        <f t="shared" si="5"/>
        <v>0</v>
      </c>
      <c r="CV55" s="685">
        <f t="shared" si="5"/>
        <v>0</v>
      </c>
      <c r="CW55" s="685">
        <f t="shared" si="5"/>
        <v>0</v>
      </c>
      <c r="CX55" s="686"/>
      <c r="CY55" s="687"/>
    </row>
    <row r="56" spans="1:234" s="545" customFormat="1" ht="18" customHeight="1">
      <c r="A56" s="654" t="s">
        <v>4017</v>
      </c>
      <c r="B56" s="544"/>
      <c r="C56" s="544"/>
      <c r="D56" s="544"/>
      <c r="E56" s="544"/>
      <c r="F56" s="544"/>
      <c r="G56" s="544"/>
      <c r="H56" s="544"/>
      <c r="I56" s="544"/>
      <c r="J56" s="544"/>
      <c r="K56" s="544"/>
      <c r="L56" s="544"/>
      <c r="M56" s="544"/>
      <c r="N56" s="544"/>
      <c r="O56" s="544"/>
      <c r="P56" s="544"/>
      <c r="Q56" s="544"/>
      <c r="R56" s="544"/>
      <c r="S56" s="544"/>
      <c r="T56" s="544"/>
      <c r="U56" s="544"/>
      <c r="V56" s="544"/>
      <c r="W56" s="544"/>
      <c r="X56" s="544"/>
      <c r="Y56" s="544"/>
      <c r="Z56" s="544"/>
      <c r="AA56" s="544"/>
      <c r="AB56" s="544"/>
      <c r="AC56" s="544"/>
      <c r="AD56" s="544"/>
      <c r="AE56" s="544"/>
      <c r="AF56" s="544"/>
      <c r="AG56" s="544"/>
      <c r="AH56" s="544"/>
      <c r="AI56" s="544"/>
      <c r="AJ56" s="544"/>
      <c r="AK56" s="544"/>
      <c r="AL56" s="544"/>
      <c r="AM56" s="544"/>
      <c r="AN56" s="544"/>
      <c r="AO56" s="544"/>
      <c r="AP56" s="544"/>
      <c r="AQ56" s="544"/>
      <c r="AR56" s="544"/>
      <c r="AS56" s="544"/>
      <c r="AT56" s="544"/>
      <c r="AU56" s="544"/>
      <c r="AV56" s="544"/>
      <c r="AW56" s="544"/>
      <c r="AX56" s="544"/>
      <c r="AY56" s="544"/>
      <c r="AZ56" s="544"/>
      <c r="BA56" s="544"/>
      <c r="BB56" s="544"/>
      <c r="BC56" s="544"/>
      <c r="BD56" s="544"/>
      <c r="BE56" s="544"/>
      <c r="BF56" s="544"/>
      <c r="BG56" s="544"/>
      <c r="BH56" s="544"/>
      <c r="BI56" s="544"/>
      <c r="BJ56" s="544"/>
      <c r="BK56" s="544"/>
      <c r="BL56" s="544"/>
      <c r="BM56" s="544"/>
      <c r="BN56" s="544"/>
      <c r="BO56" s="544"/>
      <c r="BP56" s="544"/>
      <c r="BQ56" s="544"/>
      <c r="BR56" s="544"/>
      <c r="BS56" s="544"/>
      <c r="BT56" s="544"/>
      <c r="BU56" s="544"/>
      <c r="BV56" s="544"/>
      <c r="BW56" s="544"/>
      <c r="BX56" s="544"/>
      <c r="BY56" s="544"/>
      <c r="BZ56" s="544"/>
      <c r="CA56" s="544"/>
      <c r="CB56" s="544"/>
      <c r="CC56" s="544"/>
      <c r="CD56" s="544"/>
      <c r="CE56" s="544"/>
      <c r="CF56" s="544"/>
      <c r="CG56" s="544"/>
      <c r="CH56" s="544"/>
      <c r="CI56" s="544"/>
      <c r="CJ56" s="544"/>
      <c r="CK56" s="544"/>
      <c r="CL56" s="544"/>
      <c r="CM56" s="544"/>
      <c r="CN56" s="544"/>
      <c r="CO56" s="544"/>
      <c r="CP56" s="544"/>
      <c r="CQ56" s="544"/>
      <c r="CR56" s="544"/>
      <c r="CS56" s="544"/>
      <c r="CT56" s="544"/>
      <c r="CU56" s="544"/>
      <c r="CV56" s="544"/>
      <c r="CW56" s="544"/>
      <c r="CX56" s="544"/>
      <c r="CY56" s="669"/>
      <c r="CZ56" s="530"/>
      <c r="DA56" s="530"/>
      <c r="DB56" s="530"/>
      <c r="DC56" s="530"/>
      <c r="DD56" s="530"/>
      <c r="DE56" s="530"/>
      <c r="DF56" s="530"/>
      <c r="DG56" s="530"/>
      <c r="DH56" s="530"/>
      <c r="DI56" s="530"/>
      <c r="DJ56" s="530"/>
      <c r="DK56" s="530"/>
      <c r="DL56" s="530"/>
      <c r="DM56" s="530"/>
      <c r="DN56" s="530"/>
      <c r="DO56" s="530"/>
      <c r="DP56" s="530"/>
      <c r="DQ56" s="530"/>
      <c r="DR56" s="530"/>
      <c r="DS56" s="530"/>
      <c r="DT56" s="530"/>
      <c r="DU56" s="530"/>
      <c r="DV56" s="530"/>
      <c r="DW56" s="530"/>
      <c r="DX56" s="530"/>
      <c r="DY56" s="530"/>
      <c r="DZ56" s="530"/>
      <c r="EA56" s="530"/>
      <c r="EB56" s="530"/>
      <c r="EC56" s="530"/>
      <c r="ED56" s="530"/>
      <c r="EE56" s="530"/>
      <c r="EF56" s="530"/>
      <c r="EG56" s="530"/>
      <c r="EH56" s="530"/>
      <c r="EI56" s="530"/>
      <c r="EJ56" s="530"/>
      <c r="EK56" s="530"/>
      <c r="EL56" s="530"/>
      <c r="EM56" s="530"/>
      <c r="EN56" s="530"/>
      <c r="EO56" s="530"/>
      <c r="EP56" s="530"/>
      <c r="EQ56" s="530"/>
      <c r="ER56" s="530"/>
      <c r="ES56" s="530"/>
      <c r="ET56" s="530"/>
      <c r="EU56" s="530"/>
      <c r="EV56" s="530"/>
      <c r="EW56" s="530"/>
      <c r="EX56" s="530"/>
      <c r="EY56" s="530"/>
      <c r="EZ56" s="530"/>
      <c r="FA56" s="530"/>
      <c r="FB56" s="530"/>
      <c r="FC56" s="530"/>
      <c r="FD56" s="530"/>
      <c r="FE56" s="530"/>
      <c r="FF56" s="530"/>
      <c r="FG56" s="530"/>
      <c r="FH56" s="530"/>
      <c r="FI56" s="530"/>
      <c r="FJ56" s="530"/>
      <c r="FK56" s="530"/>
      <c r="FL56" s="530"/>
      <c r="FM56" s="530"/>
      <c r="FN56" s="530"/>
      <c r="FO56" s="530"/>
      <c r="FP56" s="530"/>
      <c r="FQ56" s="530"/>
      <c r="FR56" s="530"/>
      <c r="FS56" s="530"/>
      <c r="FT56" s="530"/>
      <c r="FU56" s="530"/>
      <c r="FV56" s="530"/>
      <c r="FW56" s="530"/>
      <c r="FX56" s="530"/>
      <c r="FY56" s="530"/>
      <c r="FZ56" s="530"/>
      <c r="GA56" s="530"/>
      <c r="GB56" s="530"/>
      <c r="GC56" s="530"/>
      <c r="GD56" s="530"/>
      <c r="GE56" s="530"/>
      <c r="GF56" s="530"/>
      <c r="GG56" s="530"/>
      <c r="GH56" s="530"/>
      <c r="GI56" s="530"/>
      <c r="GJ56" s="530"/>
      <c r="GK56" s="530"/>
      <c r="GL56" s="530"/>
      <c r="GM56" s="530"/>
      <c r="GN56" s="530"/>
      <c r="GO56" s="530"/>
      <c r="GP56" s="530"/>
      <c r="GQ56" s="530"/>
      <c r="GR56" s="530"/>
      <c r="GS56" s="530"/>
      <c r="GT56" s="530"/>
      <c r="GU56" s="530"/>
      <c r="GV56" s="530"/>
      <c r="GW56" s="530"/>
      <c r="GX56" s="530"/>
      <c r="GY56" s="530"/>
      <c r="GZ56" s="530"/>
      <c r="HA56" s="530"/>
      <c r="HB56" s="530"/>
      <c r="HC56" s="530"/>
      <c r="HD56" s="530"/>
      <c r="HE56" s="530"/>
      <c r="HF56" s="530"/>
      <c r="HG56" s="530"/>
      <c r="HH56" s="530"/>
      <c r="HI56" s="530"/>
      <c r="HJ56" s="530"/>
      <c r="HK56" s="530"/>
      <c r="HL56" s="530"/>
      <c r="HM56" s="530"/>
      <c r="HN56" s="530"/>
      <c r="HO56" s="530"/>
      <c r="HP56" s="530"/>
      <c r="HQ56" s="530"/>
      <c r="HR56" s="530"/>
      <c r="HS56" s="530"/>
      <c r="HT56" s="530"/>
      <c r="HU56" s="530"/>
      <c r="HV56" s="530"/>
      <c r="HW56" s="530"/>
      <c r="HX56" s="530"/>
      <c r="HY56" s="530"/>
      <c r="HZ56" s="530"/>
    </row>
    <row r="57" spans="1:234" s="545" customFormat="1" ht="18" customHeight="1">
      <c r="A57" s="655" t="s">
        <v>4018</v>
      </c>
      <c r="B57" s="544"/>
      <c r="C57" s="544"/>
      <c r="D57" s="544"/>
      <c r="E57" s="544"/>
      <c r="F57" s="544"/>
      <c r="G57" s="544"/>
      <c r="H57" s="544"/>
      <c r="I57" s="544"/>
      <c r="J57" s="544"/>
      <c r="K57" s="544"/>
      <c r="L57" s="544"/>
      <c r="M57" s="544"/>
      <c r="N57" s="544"/>
      <c r="O57" s="544"/>
      <c r="P57" s="544"/>
      <c r="Q57" s="544"/>
      <c r="R57" s="544"/>
      <c r="S57" s="544"/>
      <c r="T57" s="544"/>
      <c r="U57" s="544"/>
      <c r="V57" s="544"/>
      <c r="W57" s="544"/>
      <c r="X57" s="544"/>
      <c r="Y57" s="544"/>
      <c r="Z57" s="544"/>
      <c r="AA57" s="544"/>
      <c r="AB57" s="544"/>
      <c r="AC57" s="544"/>
      <c r="AD57" s="544"/>
      <c r="AE57" s="544"/>
      <c r="AF57" s="544"/>
      <c r="AG57" s="544"/>
      <c r="AH57" s="544"/>
      <c r="AI57" s="544"/>
      <c r="AJ57" s="544"/>
      <c r="AK57" s="544"/>
      <c r="AL57" s="544"/>
      <c r="AM57" s="544"/>
      <c r="AN57" s="544"/>
      <c r="AO57" s="544"/>
      <c r="AP57" s="544"/>
      <c r="AQ57" s="544"/>
      <c r="AR57" s="544"/>
      <c r="AS57" s="544"/>
      <c r="AT57" s="544"/>
      <c r="AU57" s="544"/>
      <c r="AV57" s="544"/>
      <c r="AW57" s="544"/>
      <c r="AX57" s="544"/>
      <c r="AY57" s="544"/>
      <c r="AZ57" s="544"/>
      <c r="BA57" s="544"/>
      <c r="BB57" s="544"/>
      <c r="BC57" s="544"/>
      <c r="BD57" s="544"/>
      <c r="BE57" s="544"/>
      <c r="BF57" s="544"/>
      <c r="BG57" s="544"/>
      <c r="BH57" s="544"/>
      <c r="BI57" s="544"/>
      <c r="BJ57" s="544"/>
      <c r="BK57" s="544"/>
      <c r="BL57" s="544"/>
      <c r="BM57" s="544"/>
      <c r="BN57" s="544"/>
      <c r="BO57" s="544"/>
      <c r="BP57" s="544"/>
      <c r="BQ57" s="544"/>
      <c r="BR57" s="544"/>
      <c r="BS57" s="544"/>
      <c r="BT57" s="544"/>
      <c r="BU57" s="544"/>
      <c r="BV57" s="544"/>
      <c r="BW57" s="544"/>
      <c r="BX57" s="544"/>
      <c r="BY57" s="544"/>
      <c r="BZ57" s="544"/>
      <c r="CA57" s="544"/>
      <c r="CB57" s="544"/>
      <c r="CC57" s="544"/>
      <c r="CD57" s="544"/>
      <c r="CE57" s="544"/>
      <c r="CF57" s="544"/>
      <c r="CG57" s="544"/>
      <c r="CH57" s="544"/>
      <c r="CI57" s="544"/>
      <c r="CJ57" s="544"/>
      <c r="CK57" s="544"/>
      <c r="CL57" s="544"/>
      <c r="CM57" s="544"/>
      <c r="CN57" s="544"/>
      <c r="CO57" s="544"/>
      <c r="CP57" s="544"/>
      <c r="CQ57" s="544"/>
      <c r="CR57" s="544"/>
      <c r="CS57" s="544"/>
      <c r="CT57" s="544"/>
      <c r="CU57" s="544"/>
      <c r="CV57" s="544"/>
      <c r="CW57" s="544"/>
      <c r="CX57" s="544"/>
      <c r="CY57" s="669"/>
      <c r="CZ57" s="530"/>
      <c r="DA57" s="530"/>
      <c r="DB57" s="530"/>
      <c r="DC57" s="530"/>
      <c r="DD57" s="530"/>
      <c r="DE57" s="530"/>
      <c r="DF57" s="530"/>
      <c r="DG57" s="530"/>
      <c r="DH57" s="530"/>
      <c r="DI57" s="530"/>
      <c r="DJ57" s="530"/>
      <c r="DK57" s="530"/>
      <c r="DL57" s="530"/>
      <c r="DM57" s="530"/>
      <c r="DN57" s="530"/>
      <c r="DO57" s="530"/>
      <c r="DP57" s="530"/>
      <c r="DQ57" s="530"/>
      <c r="DR57" s="530"/>
      <c r="DS57" s="530"/>
      <c r="DT57" s="530"/>
      <c r="DU57" s="530"/>
      <c r="DV57" s="530"/>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row>
    <row r="58" spans="1:234" ht="13.8">
      <c r="A58" s="591"/>
      <c r="B58" s="670">
        <v>217</v>
      </c>
      <c r="C58" s="550"/>
      <c r="D58" s="550"/>
      <c r="E58" s="550">
        <f>+C58</f>
        <v>0</v>
      </c>
      <c r="F58" s="550"/>
      <c r="G58" s="550"/>
      <c r="H58" s="550"/>
      <c r="I58" s="550"/>
      <c r="J58" s="550"/>
      <c r="K58" s="550"/>
      <c r="L58" s="550"/>
      <c r="M58" s="550"/>
      <c r="N58" s="555"/>
      <c r="O58" s="439"/>
      <c r="P58" s="439"/>
      <c r="Q58" s="658"/>
      <c r="R58" s="671"/>
      <c r="S58" s="671"/>
      <c r="T58" s="671"/>
      <c r="U58" s="671"/>
      <c r="V58" s="671"/>
      <c r="W58" s="671"/>
      <c r="X58" s="671"/>
      <c r="Y58" s="671"/>
      <c r="Z58" s="671"/>
      <c r="AA58" s="623"/>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72">
        <f t="shared" ref="BF58:BG61" si="6">AW58</f>
        <v>0</v>
      </c>
      <c r="BG58" s="672">
        <f t="shared" si="6"/>
        <v>0</v>
      </c>
      <c r="BH58" s="623"/>
      <c r="BI58" s="623"/>
      <c r="BJ58" s="623"/>
      <c r="BK58" s="623"/>
      <c r="BL58" s="623"/>
      <c r="BM58" s="623"/>
      <c r="BN58" s="623"/>
      <c r="BO58" s="623"/>
      <c r="BP58" s="623"/>
      <c r="BQ58" s="623"/>
      <c r="BR58" s="623"/>
      <c r="BS58" s="623"/>
      <c r="BT58" s="623"/>
      <c r="BU58" s="623"/>
      <c r="BV58" s="623"/>
      <c r="BW58" s="623"/>
      <c r="BX58" s="623"/>
      <c r="BY58" s="623"/>
      <c r="BZ58" s="623"/>
      <c r="CA58" s="623"/>
      <c r="CB58" s="623"/>
      <c r="CC58" s="623"/>
      <c r="CD58" s="623"/>
      <c r="CE58" s="623"/>
      <c r="CF58" s="623"/>
      <c r="CG58" s="623"/>
      <c r="CH58" s="623"/>
      <c r="CI58" s="623"/>
      <c r="CJ58" s="623"/>
      <c r="CK58" s="623"/>
      <c r="CL58" s="623"/>
      <c r="CM58" s="623"/>
      <c r="CN58" s="623"/>
      <c r="CO58" s="623"/>
      <c r="CP58" s="623"/>
      <c r="CQ58" s="623"/>
      <c r="CR58" s="623"/>
      <c r="CS58" s="623"/>
      <c r="CT58" s="623"/>
      <c r="CU58" s="623"/>
      <c r="CV58" s="623"/>
      <c r="CW58" s="623"/>
      <c r="CX58" s="673"/>
      <c r="CY58" s="557"/>
    </row>
    <row r="59" spans="1:234" ht="13.8">
      <c r="A59" s="591"/>
      <c r="B59" s="675" t="s">
        <v>166</v>
      </c>
      <c r="C59" s="550">
        <v>28</v>
      </c>
      <c r="D59" s="550"/>
      <c r="E59" s="550">
        <f t="shared" ref="E59:E71" si="7">+E58+C59</f>
        <v>28</v>
      </c>
      <c r="F59" s="550"/>
      <c r="G59" s="550"/>
      <c r="H59" s="550"/>
      <c r="I59" s="550"/>
      <c r="J59" s="550"/>
      <c r="K59" s="550"/>
      <c r="L59" s="550"/>
      <c r="M59" s="550"/>
      <c r="N59" s="550"/>
      <c r="O59" s="439"/>
      <c r="P59" s="439"/>
      <c r="Q59" s="674"/>
      <c r="R59" s="671"/>
      <c r="S59" s="671"/>
      <c r="T59" s="671"/>
      <c r="U59" s="671"/>
      <c r="V59" s="671"/>
      <c r="W59" s="671"/>
      <c r="X59" s="671"/>
      <c r="Y59" s="671"/>
      <c r="Z59" s="671"/>
      <c r="AA59" s="623"/>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72">
        <f t="shared" si="6"/>
        <v>0</v>
      </c>
      <c r="BG59" s="672">
        <f t="shared" si="6"/>
        <v>0</v>
      </c>
      <c r="BH59" s="623"/>
      <c r="BI59" s="623"/>
      <c r="BJ59" s="623"/>
      <c r="BK59" s="623"/>
      <c r="BL59" s="623"/>
      <c r="BM59" s="623"/>
      <c r="BN59" s="623"/>
      <c r="BO59" s="623"/>
      <c r="BP59" s="623"/>
      <c r="BQ59" s="623"/>
      <c r="BR59" s="623"/>
      <c r="BS59" s="623"/>
      <c r="BT59" s="623">
        <v>1</v>
      </c>
      <c r="BU59" s="623"/>
      <c r="BV59" s="623">
        <v>1</v>
      </c>
      <c r="BW59" s="623"/>
      <c r="BX59" s="623"/>
      <c r="BY59" s="623"/>
      <c r="BZ59" s="623">
        <v>1</v>
      </c>
      <c r="CA59" s="623"/>
      <c r="CB59" s="623">
        <v>2</v>
      </c>
      <c r="CC59" s="623"/>
      <c r="CD59" s="623"/>
      <c r="CE59" s="623"/>
      <c r="CF59" s="623"/>
      <c r="CG59" s="623"/>
      <c r="CH59" s="623"/>
      <c r="CI59" s="623"/>
      <c r="CJ59" s="623"/>
      <c r="CK59" s="623"/>
      <c r="CL59" s="623"/>
      <c r="CM59" s="623"/>
      <c r="CN59" s="623"/>
      <c r="CO59" s="623"/>
      <c r="CP59" s="623"/>
      <c r="CQ59" s="623"/>
      <c r="CR59" s="623"/>
      <c r="CS59" s="623"/>
      <c r="CT59" s="623"/>
      <c r="CU59" s="623"/>
      <c r="CV59" s="623"/>
      <c r="CW59" s="623"/>
      <c r="CX59" s="673"/>
      <c r="CY59" s="557"/>
    </row>
    <row r="60" spans="1:234" ht="13.8">
      <c r="A60" s="591" t="s">
        <v>2245</v>
      </c>
      <c r="B60" s="670"/>
      <c r="C60" s="550">
        <v>39</v>
      </c>
      <c r="D60" s="550"/>
      <c r="E60" s="550">
        <f t="shared" si="7"/>
        <v>67</v>
      </c>
      <c r="F60" s="550"/>
      <c r="G60" s="550"/>
      <c r="H60" s="550"/>
      <c r="I60" s="550"/>
      <c r="J60" s="550"/>
      <c r="K60" s="550"/>
      <c r="L60" s="550"/>
      <c r="M60" s="550"/>
      <c r="N60" s="550"/>
      <c r="O60" s="439"/>
      <c r="P60" s="439"/>
      <c r="Q60" s="674"/>
      <c r="R60" s="671"/>
      <c r="S60" s="671"/>
      <c r="T60" s="671"/>
      <c r="U60" s="671"/>
      <c r="V60" s="671"/>
      <c r="W60" s="671"/>
      <c r="X60" s="671"/>
      <c r="Y60" s="671"/>
      <c r="Z60" s="671"/>
      <c r="AA60" s="623"/>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72">
        <f t="shared" si="6"/>
        <v>0</v>
      </c>
      <c r="BG60" s="672">
        <f t="shared" si="6"/>
        <v>0</v>
      </c>
      <c r="BH60" s="623"/>
      <c r="BI60" s="623"/>
      <c r="BJ60" s="623"/>
      <c r="BK60" s="623"/>
      <c r="BL60" s="623"/>
      <c r="BM60" s="623"/>
      <c r="BN60" s="623"/>
      <c r="BO60" s="623"/>
      <c r="BP60" s="623"/>
      <c r="BQ60" s="623"/>
      <c r="BR60" s="623"/>
      <c r="BS60" s="623"/>
      <c r="BT60" s="623">
        <v>1</v>
      </c>
      <c r="BU60" s="623"/>
      <c r="BV60" s="623">
        <v>1</v>
      </c>
      <c r="BW60" s="623"/>
      <c r="BX60" s="623"/>
      <c r="BY60" s="623"/>
      <c r="BZ60" s="623">
        <v>1</v>
      </c>
      <c r="CA60" s="623">
        <v>2</v>
      </c>
      <c r="CB60" s="623"/>
      <c r="CC60" s="623"/>
      <c r="CD60" s="623"/>
      <c r="CE60" s="623"/>
      <c r="CF60" s="623"/>
      <c r="CG60" s="623"/>
      <c r="CH60" s="623"/>
      <c r="CI60" s="623"/>
      <c r="CJ60" s="623"/>
      <c r="CK60" s="623"/>
      <c r="CL60" s="623"/>
      <c r="CM60" s="623"/>
      <c r="CN60" s="623"/>
      <c r="CO60" s="623"/>
      <c r="CP60" s="623"/>
      <c r="CQ60" s="623"/>
      <c r="CR60" s="623"/>
      <c r="CS60" s="623"/>
      <c r="CT60" s="623"/>
      <c r="CU60" s="623"/>
      <c r="CV60" s="623"/>
      <c r="CW60" s="623"/>
      <c r="CX60" s="673"/>
      <c r="CY60" s="557"/>
    </row>
    <row r="61" spans="1:234" s="678" customFormat="1" ht="13.8">
      <c r="A61" s="591"/>
      <c r="B61" s="675" t="s">
        <v>167</v>
      </c>
      <c r="C61" s="550">
        <v>42</v>
      </c>
      <c r="D61" s="550"/>
      <c r="E61" s="550">
        <f t="shared" si="7"/>
        <v>109</v>
      </c>
      <c r="F61" s="550"/>
      <c r="G61" s="550"/>
      <c r="H61" s="550"/>
      <c r="I61" s="550"/>
      <c r="J61" s="676"/>
      <c r="K61" s="550"/>
      <c r="L61" s="550"/>
      <c r="M61" s="550"/>
      <c r="N61" s="550"/>
      <c r="O61" s="439"/>
      <c r="P61" s="439"/>
      <c r="Q61" s="674"/>
      <c r="R61" s="671"/>
      <c r="S61" s="671"/>
      <c r="T61" s="671"/>
      <c r="U61" s="671"/>
      <c r="V61" s="671"/>
      <c r="W61" s="671"/>
      <c r="X61" s="671"/>
      <c r="Y61" s="671"/>
      <c r="Z61" s="671"/>
      <c r="AA61" s="623"/>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72">
        <f t="shared" si="6"/>
        <v>0</v>
      </c>
      <c r="BG61" s="672">
        <f t="shared" si="6"/>
        <v>0</v>
      </c>
      <c r="BH61" s="623"/>
      <c r="BI61" s="623"/>
      <c r="BJ61" s="623"/>
      <c r="BK61" s="623"/>
      <c r="BL61" s="623"/>
      <c r="BM61" s="623"/>
      <c r="BN61" s="623"/>
      <c r="BO61" s="623"/>
      <c r="BP61" s="623"/>
      <c r="BQ61" s="623"/>
      <c r="BR61" s="623"/>
      <c r="BS61" s="623"/>
      <c r="BT61" s="623">
        <v>1</v>
      </c>
      <c r="BU61" s="623"/>
      <c r="BV61" s="623">
        <v>1</v>
      </c>
      <c r="BW61" s="623"/>
      <c r="BX61" s="623"/>
      <c r="BY61" s="623"/>
      <c r="BZ61" s="623">
        <v>1</v>
      </c>
      <c r="CA61" s="623"/>
      <c r="CB61" s="623">
        <v>2</v>
      </c>
      <c r="CC61" s="623"/>
      <c r="CD61" s="623"/>
      <c r="CE61" s="623"/>
      <c r="CF61" s="623"/>
      <c r="CG61" s="623"/>
      <c r="CH61" s="623"/>
      <c r="CI61" s="623"/>
      <c r="CJ61" s="623"/>
      <c r="CK61" s="623"/>
      <c r="CL61" s="623"/>
      <c r="CM61" s="623"/>
      <c r="CN61" s="623"/>
      <c r="CO61" s="623"/>
      <c r="CP61" s="623"/>
      <c r="CQ61" s="623"/>
      <c r="CR61" s="623"/>
      <c r="CS61" s="623"/>
      <c r="CT61" s="623"/>
      <c r="CU61" s="623"/>
      <c r="CV61" s="623"/>
      <c r="CW61" s="623"/>
      <c r="CX61" s="673"/>
      <c r="CY61" s="557"/>
      <c r="CZ61" s="677"/>
      <c r="DA61" s="530"/>
      <c r="DB61" s="530"/>
      <c r="DC61" s="530"/>
      <c r="DD61" s="530"/>
      <c r="DE61" s="530"/>
      <c r="DF61" s="530"/>
      <c r="DG61" s="530"/>
      <c r="DH61" s="530"/>
      <c r="DI61" s="530"/>
      <c r="DJ61" s="530"/>
      <c r="DK61" s="530"/>
      <c r="DL61" s="530"/>
      <c r="DM61" s="530"/>
      <c r="DN61" s="530"/>
      <c r="DO61" s="530"/>
      <c r="DP61" s="530"/>
      <c r="DQ61" s="530"/>
      <c r="DR61" s="530"/>
      <c r="DS61" s="530"/>
      <c r="DT61" s="530"/>
      <c r="DU61" s="530"/>
      <c r="DV61" s="530"/>
      <c r="DW61" s="530"/>
      <c r="DX61" s="530"/>
      <c r="DY61" s="530"/>
      <c r="DZ61" s="530"/>
      <c r="EA61" s="530"/>
      <c r="EB61" s="530"/>
      <c r="EC61" s="530"/>
      <c r="ED61" s="530"/>
      <c r="EE61" s="530"/>
      <c r="EF61" s="530"/>
      <c r="EG61" s="530"/>
      <c r="EH61" s="530"/>
      <c r="EI61" s="530"/>
      <c r="EJ61" s="530"/>
      <c r="EK61" s="530"/>
      <c r="EL61" s="530"/>
      <c r="EM61" s="530"/>
      <c r="EN61" s="530"/>
      <c r="EO61" s="530"/>
      <c r="EP61" s="530"/>
      <c r="EQ61" s="530"/>
      <c r="ER61" s="530"/>
      <c r="ES61" s="530"/>
      <c r="ET61" s="530"/>
      <c r="EU61" s="530"/>
      <c r="EV61" s="530"/>
      <c r="EW61" s="530"/>
      <c r="EX61" s="530"/>
      <c r="EY61" s="530"/>
      <c r="EZ61" s="530"/>
      <c r="FA61" s="530"/>
      <c r="FB61" s="530"/>
      <c r="FC61" s="530"/>
      <c r="FD61" s="530"/>
      <c r="FE61" s="530"/>
      <c r="FF61" s="530"/>
      <c r="FG61" s="530"/>
      <c r="FH61" s="530"/>
      <c r="FI61" s="530"/>
      <c r="FJ61" s="530"/>
      <c r="FK61" s="530"/>
      <c r="FL61" s="530"/>
      <c r="FM61" s="530"/>
      <c r="FN61" s="530"/>
      <c r="FO61" s="530"/>
      <c r="FP61" s="530"/>
      <c r="FQ61" s="530"/>
      <c r="FR61" s="530"/>
      <c r="FS61" s="530"/>
      <c r="FT61" s="530"/>
      <c r="FU61" s="530"/>
      <c r="FV61" s="530"/>
      <c r="FW61" s="530"/>
      <c r="FX61" s="530"/>
      <c r="FY61" s="530"/>
      <c r="FZ61" s="530"/>
      <c r="GA61" s="530"/>
      <c r="GB61" s="530"/>
      <c r="GC61" s="530"/>
      <c r="GD61" s="530"/>
      <c r="GE61" s="530"/>
      <c r="GF61" s="530"/>
      <c r="GG61" s="530"/>
      <c r="GH61" s="530"/>
      <c r="GI61" s="530"/>
      <c r="GJ61" s="530"/>
      <c r="GK61" s="530"/>
      <c r="GL61" s="530"/>
      <c r="GM61" s="530"/>
      <c r="GN61" s="530"/>
      <c r="GO61" s="530"/>
      <c r="GP61" s="530"/>
      <c r="GQ61" s="530"/>
      <c r="GR61" s="530"/>
      <c r="GS61" s="530"/>
      <c r="GT61" s="530"/>
      <c r="GU61" s="530"/>
      <c r="GV61" s="530"/>
      <c r="GW61" s="530"/>
      <c r="GX61" s="530"/>
      <c r="GY61" s="530"/>
      <c r="GZ61" s="530"/>
      <c r="HA61" s="530"/>
      <c r="HB61" s="530"/>
      <c r="HC61" s="530"/>
      <c r="HD61" s="530"/>
      <c r="HE61" s="530"/>
      <c r="HF61" s="530"/>
      <c r="HG61" s="530"/>
      <c r="HH61" s="530"/>
      <c r="HI61" s="530"/>
      <c r="HJ61" s="530"/>
      <c r="HK61" s="530"/>
      <c r="HL61" s="530"/>
      <c r="HM61" s="530"/>
      <c r="HN61" s="530"/>
      <c r="HO61" s="530"/>
      <c r="HP61" s="530"/>
      <c r="HQ61" s="530"/>
      <c r="HR61" s="530"/>
      <c r="HS61" s="530"/>
      <c r="HT61" s="530"/>
      <c r="HU61" s="530"/>
      <c r="HV61" s="530"/>
      <c r="HW61" s="530"/>
      <c r="HX61" s="530"/>
      <c r="HY61" s="530"/>
      <c r="HZ61" s="530"/>
    </row>
    <row r="62" spans="1:234" ht="13.8">
      <c r="A62" s="591" t="s">
        <v>948</v>
      </c>
      <c r="B62" s="670"/>
      <c r="C62" s="550">
        <v>43</v>
      </c>
      <c r="D62" s="550"/>
      <c r="E62" s="550">
        <f t="shared" si="7"/>
        <v>152</v>
      </c>
      <c r="F62" s="550"/>
      <c r="G62" s="550"/>
      <c r="H62" s="550"/>
      <c r="I62" s="550"/>
      <c r="J62" s="550"/>
      <c r="K62" s="550"/>
      <c r="L62" s="550"/>
      <c r="M62" s="550"/>
      <c r="N62" s="550"/>
      <c r="O62" s="550"/>
      <c r="P62" s="550"/>
      <c r="Q62" s="550"/>
      <c r="R62" s="550"/>
      <c r="S62" s="550"/>
      <c r="T62" s="550"/>
      <c r="U62" s="550"/>
      <c r="V62" s="550"/>
      <c r="W62" s="550"/>
      <c r="X62" s="550"/>
      <c r="Y62" s="550"/>
      <c r="Z62" s="550"/>
      <c r="AA62" s="550"/>
      <c r="AB62" s="550"/>
      <c r="AC62" s="550"/>
      <c r="AD62" s="550"/>
      <c r="AE62" s="550"/>
      <c r="AF62" s="550"/>
      <c r="AG62" s="550"/>
      <c r="AH62" s="550"/>
      <c r="AI62" s="550"/>
      <c r="AJ62" s="550"/>
      <c r="AK62" s="550"/>
      <c r="AL62" s="550"/>
      <c r="AM62" s="550"/>
      <c r="AN62" s="550"/>
      <c r="AO62" s="550"/>
      <c r="AP62" s="550"/>
      <c r="AQ62" s="550"/>
      <c r="AR62" s="550"/>
      <c r="AS62" s="550"/>
      <c r="AT62" s="550"/>
      <c r="AU62" s="550"/>
      <c r="AV62" s="550"/>
      <c r="AW62" s="550"/>
      <c r="AX62" s="550"/>
      <c r="AY62" s="550"/>
      <c r="AZ62" s="550"/>
      <c r="BA62" s="550"/>
      <c r="BB62" s="550"/>
      <c r="BC62" s="550"/>
      <c r="BD62" s="550"/>
      <c r="BE62" s="550"/>
      <c r="BF62" s="672"/>
      <c r="BG62" s="672">
        <f t="shared" ref="BG62:BG71" si="8">AX62</f>
        <v>0</v>
      </c>
      <c r="BH62" s="623"/>
      <c r="BI62" s="623"/>
      <c r="BJ62" s="623"/>
      <c r="BK62" s="623"/>
      <c r="BL62" s="623"/>
      <c r="BM62" s="623"/>
      <c r="BN62" s="623"/>
      <c r="BO62" s="623"/>
      <c r="BP62" s="623"/>
      <c r="BQ62" s="623"/>
      <c r="BR62" s="623"/>
      <c r="BS62" s="623"/>
      <c r="BT62" s="623">
        <v>1</v>
      </c>
      <c r="BU62" s="623"/>
      <c r="BV62" s="623">
        <v>1</v>
      </c>
      <c r="BW62" s="623"/>
      <c r="BX62" s="623"/>
      <c r="BY62" s="623"/>
      <c r="BZ62" s="623">
        <v>1</v>
      </c>
      <c r="CA62" s="623">
        <v>2</v>
      </c>
      <c r="CB62" s="623"/>
      <c r="CC62" s="623"/>
      <c r="CD62" s="623"/>
      <c r="CE62" s="623"/>
      <c r="CF62" s="623"/>
      <c r="CG62" s="623"/>
      <c r="CH62" s="623"/>
      <c r="CI62" s="623"/>
      <c r="CJ62" s="623"/>
      <c r="CK62" s="623"/>
      <c r="CL62" s="623"/>
      <c r="CM62" s="623"/>
      <c r="CN62" s="623"/>
      <c r="CO62" s="623"/>
      <c r="CP62" s="623"/>
      <c r="CQ62" s="623"/>
      <c r="CR62" s="623"/>
      <c r="CS62" s="623"/>
      <c r="CT62" s="623"/>
      <c r="CU62" s="623"/>
      <c r="CV62" s="623"/>
      <c r="CW62" s="623"/>
      <c r="CX62" s="673"/>
      <c r="CY62" s="557"/>
    </row>
    <row r="63" spans="1:234" ht="13.8">
      <c r="A63" s="591"/>
      <c r="B63" s="675" t="s">
        <v>168</v>
      </c>
      <c r="C63" s="550">
        <v>35</v>
      </c>
      <c r="D63" s="550"/>
      <c r="E63" s="550">
        <f t="shared" si="7"/>
        <v>187</v>
      </c>
      <c r="F63" s="550"/>
      <c r="G63" s="550"/>
      <c r="H63" s="550"/>
      <c r="I63" s="550"/>
      <c r="J63" s="550"/>
      <c r="K63" s="550"/>
      <c r="L63" s="550"/>
      <c r="M63" s="550"/>
      <c r="N63" s="550"/>
      <c r="O63" s="550"/>
      <c r="P63" s="550"/>
      <c r="Q63" s="550"/>
      <c r="R63" s="550"/>
      <c r="S63" s="550"/>
      <c r="T63" s="550"/>
      <c r="U63" s="550"/>
      <c r="V63" s="550"/>
      <c r="W63" s="550"/>
      <c r="X63" s="550"/>
      <c r="Y63" s="550"/>
      <c r="Z63" s="550"/>
      <c r="AA63" s="550"/>
      <c r="AB63" s="550"/>
      <c r="AC63" s="550"/>
      <c r="AD63" s="550"/>
      <c r="AE63" s="550"/>
      <c r="AF63" s="550"/>
      <c r="AG63" s="550"/>
      <c r="AH63" s="550"/>
      <c r="AI63" s="550"/>
      <c r="AJ63" s="550"/>
      <c r="AK63" s="550"/>
      <c r="AL63" s="550"/>
      <c r="AM63" s="550"/>
      <c r="AN63" s="550"/>
      <c r="AO63" s="550"/>
      <c r="AP63" s="550"/>
      <c r="AQ63" s="550"/>
      <c r="AR63" s="550"/>
      <c r="AS63" s="550"/>
      <c r="AT63" s="550"/>
      <c r="AU63" s="550"/>
      <c r="AV63" s="550"/>
      <c r="AW63" s="550"/>
      <c r="AX63" s="550"/>
      <c r="AY63" s="550"/>
      <c r="AZ63" s="550"/>
      <c r="BA63" s="550"/>
      <c r="BB63" s="550"/>
      <c r="BC63" s="550"/>
      <c r="BD63" s="550"/>
      <c r="BE63" s="550"/>
      <c r="BF63" s="672"/>
      <c r="BG63" s="672">
        <f t="shared" si="8"/>
        <v>0</v>
      </c>
      <c r="BH63" s="623"/>
      <c r="BI63" s="623"/>
      <c r="BJ63" s="623"/>
      <c r="BK63" s="623"/>
      <c r="BL63" s="623"/>
      <c r="BM63" s="623"/>
      <c r="BN63" s="623"/>
      <c r="BO63" s="623"/>
      <c r="BP63" s="623"/>
      <c r="BQ63" s="623"/>
      <c r="BR63" s="623"/>
      <c r="BS63" s="623"/>
      <c r="BT63" s="623">
        <v>1</v>
      </c>
      <c r="BU63" s="623"/>
      <c r="BV63" s="623">
        <v>1</v>
      </c>
      <c r="BW63" s="623"/>
      <c r="BX63" s="623"/>
      <c r="BY63" s="623"/>
      <c r="BZ63" s="623">
        <v>1</v>
      </c>
      <c r="CA63" s="623"/>
      <c r="CB63" s="623">
        <v>2</v>
      </c>
      <c r="CC63" s="623"/>
      <c r="CD63" s="623"/>
      <c r="CE63" s="623"/>
      <c r="CF63" s="623"/>
      <c r="CG63" s="623"/>
      <c r="CH63" s="623"/>
      <c r="CI63" s="623"/>
      <c r="CJ63" s="623"/>
      <c r="CK63" s="623"/>
      <c r="CL63" s="623">
        <v>1</v>
      </c>
      <c r="CM63" s="623"/>
      <c r="CN63" s="623"/>
      <c r="CO63" s="623"/>
      <c r="CP63" s="623"/>
      <c r="CQ63" s="623"/>
      <c r="CR63" s="623"/>
      <c r="CS63" s="623"/>
      <c r="CT63" s="623"/>
      <c r="CU63" s="623"/>
      <c r="CV63" s="623"/>
      <c r="CW63" s="623"/>
      <c r="CX63" s="673"/>
      <c r="CY63" s="557"/>
    </row>
    <row r="64" spans="1:234" ht="13.8">
      <c r="A64" s="591" t="s">
        <v>949</v>
      </c>
      <c r="B64" s="670"/>
      <c r="C64" s="550">
        <v>37</v>
      </c>
      <c r="D64" s="550"/>
      <c r="E64" s="550">
        <f t="shared" si="7"/>
        <v>224</v>
      </c>
      <c r="F64" s="550"/>
      <c r="G64" s="550"/>
      <c r="H64" s="550"/>
      <c r="I64" s="550"/>
      <c r="J64" s="550"/>
      <c r="K64" s="550"/>
      <c r="L64" s="550"/>
      <c r="M64" s="550"/>
      <c r="N64" s="550"/>
      <c r="O64" s="550"/>
      <c r="P64" s="550"/>
      <c r="Q64" s="550"/>
      <c r="R64" s="550"/>
      <c r="S64" s="550"/>
      <c r="T64" s="550"/>
      <c r="U64" s="550"/>
      <c r="V64" s="550"/>
      <c r="W64" s="550"/>
      <c r="X64" s="550"/>
      <c r="Y64" s="550"/>
      <c r="Z64" s="550"/>
      <c r="AA64" s="550"/>
      <c r="AB64" s="550"/>
      <c r="AC64" s="550"/>
      <c r="AD64" s="550"/>
      <c r="AE64" s="550"/>
      <c r="AF64" s="550"/>
      <c r="AG64" s="550"/>
      <c r="AH64" s="550"/>
      <c r="AI64" s="550"/>
      <c r="AJ64" s="550"/>
      <c r="AK64" s="550"/>
      <c r="AL64" s="550"/>
      <c r="AM64" s="550"/>
      <c r="AN64" s="550"/>
      <c r="AO64" s="550"/>
      <c r="AP64" s="550"/>
      <c r="AQ64" s="550"/>
      <c r="AR64" s="550"/>
      <c r="AS64" s="550"/>
      <c r="AT64" s="550"/>
      <c r="AU64" s="550"/>
      <c r="AV64" s="550"/>
      <c r="AW64" s="550"/>
      <c r="AX64" s="550"/>
      <c r="AY64" s="550"/>
      <c r="AZ64" s="550"/>
      <c r="BA64" s="550"/>
      <c r="BB64" s="550"/>
      <c r="BC64" s="550"/>
      <c r="BD64" s="550"/>
      <c r="BE64" s="550"/>
      <c r="BF64" s="672"/>
      <c r="BG64" s="672">
        <f t="shared" si="8"/>
        <v>0</v>
      </c>
      <c r="BH64" s="623"/>
      <c r="BI64" s="623"/>
      <c r="BJ64" s="623"/>
      <c r="BK64" s="623"/>
      <c r="BL64" s="623"/>
      <c r="BM64" s="623"/>
      <c r="BN64" s="623"/>
      <c r="BO64" s="623"/>
      <c r="BP64" s="623"/>
      <c r="BQ64" s="623"/>
      <c r="BR64" s="623"/>
      <c r="BS64" s="623"/>
      <c r="BT64" s="623">
        <v>1</v>
      </c>
      <c r="BU64" s="623"/>
      <c r="BV64" s="623">
        <v>1</v>
      </c>
      <c r="BW64" s="623"/>
      <c r="BX64" s="623"/>
      <c r="BY64" s="623"/>
      <c r="BZ64" s="623">
        <v>1</v>
      </c>
      <c r="CA64" s="623">
        <v>2</v>
      </c>
      <c r="CB64" s="623"/>
      <c r="CC64" s="623"/>
      <c r="CD64" s="623"/>
      <c r="CE64" s="623"/>
      <c r="CF64" s="623"/>
      <c r="CG64" s="623"/>
      <c r="CH64" s="623"/>
      <c r="CI64" s="623"/>
      <c r="CJ64" s="623"/>
      <c r="CK64" s="623"/>
      <c r="CL64" s="623">
        <v>1</v>
      </c>
      <c r="CM64" s="623"/>
      <c r="CN64" s="623"/>
      <c r="CO64" s="623"/>
      <c r="CP64" s="623"/>
      <c r="CQ64" s="623"/>
      <c r="CR64" s="623"/>
      <c r="CS64" s="623"/>
      <c r="CT64" s="623"/>
      <c r="CU64" s="623"/>
      <c r="CV64" s="623"/>
      <c r="CW64" s="623"/>
      <c r="CX64" s="673"/>
      <c r="CY64" s="557"/>
    </row>
    <row r="65" spans="1:234" ht="13.8">
      <c r="A65" s="591"/>
      <c r="B65" s="675" t="s">
        <v>165</v>
      </c>
      <c r="C65" s="550">
        <v>43</v>
      </c>
      <c r="D65" s="550"/>
      <c r="E65" s="550">
        <f t="shared" si="7"/>
        <v>267</v>
      </c>
      <c r="F65" s="550"/>
      <c r="G65" s="550"/>
      <c r="H65" s="550"/>
      <c r="I65" s="550"/>
      <c r="J65" s="550"/>
      <c r="K65" s="550"/>
      <c r="L65" s="550"/>
      <c r="M65" s="550"/>
      <c r="N65" s="550"/>
      <c r="O65" s="550"/>
      <c r="P65" s="550"/>
      <c r="Q65" s="550"/>
      <c r="R65" s="550"/>
      <c r="S65" s="550"/>
      <c r="T65" s="550"/>
      <c r="U65" s="550"/>
      <c r="V65" s="550"/>
      <c r="W65" s="550"/>
      <c r="X65" s="550"/>
      <c r="Y65" s="550"/>
      <c r="Z65" s="550"/>
      <c r="AA65" s="550"/>
      <c r="AB65" s="550"/>
      <c r="AC65" s="550"/>
      <c r="AD65" s="550"/>
      <c r="AE65" s="550"/>
      <c r="AF65" s="550"/>
      <c r="AG65" s="550"/>
      <c r="AH65" s="550"/>
      <c r="AI65" s="550"/>
      <c r="AJ65" s="550"/>
      <c r="AK65" s="550"/>
      <c r="AL65" s="550"/>
      <c r="AM65" s="550"/>
      <c r="AN65" s="550"/>
      <c r="AO65" s="550"/>
      <c r="AP65" s="550"/>
      <c r="AQ65" s="550"/>
      <c r="AR65" s="550"/>
      <c r="AS65" s="550"/>
      <c r="AT65" s="550"/>
      <c r="AU65" s="550"/>
      <c r="AV65" s="550"/>
      <c r="AW65" s="550"/>
      <c r="AX65" s="550"/>
      <c r="AY65" s="550"/>
      <c r="AZ65" s="550"/>
      <c r="BA65" s="550"/>
      <c r="BB65" s="550"/>
      <c r="BC65" s="550"/>
      <c r="BD65" s="550"/>
      <c r="BE65" s="550"/>
      <c r="BF65" s="672"/>
      <c r="BG65" s="672">
        <f t="shared" si="8"/>
        <v>0</v>
      </c>
      <c r="BH65" s="623"/>
      <c r="BI65" s="623"/>
      <c r="BJ65" s="623"/>
      <c r="BK65" s="623"/>
      <c r="BL65" s="623"/>
      <c r="BM65" s="623"/>
      <c r="BN65" s="623"/>
      <c r="BO65" s="623"/>
      <c r="BP65" s="623"/>
      <c r="BQ65" s="623"/>
      <c r="BR65" s="623"/>
      <c r="BS65" s="623"/>
      <c r="BT65" s="623">
        <v>1</v>
      </c>
      <c r="BU65" s="623"/>
      <c r="BV65" s="623">
        <v>1</v>
      </c>
      <c r="BW65" s="623"/>
      <c r="BX65" s="623"/>
      <c r="BY65" s="623"/>
      <c r="BZ65" s="623">
        <v>1</v>
      </c>
      <c r="CA65" s="623"/>
      <c r="CB65" s="623">
        <v>2</v>
      </c>
      <c r="CC65" s="623"/>
      <c r="CD65" s="623"/>
      <c r="CE65" s="623"/>
      <c r="CF65" s="623"/>
      <c r="CG65" s="623"/>
      <c r="CH65" s="623"/>
      <c r="CI65" s="623"/>
      <c r="CJ65" s="623"/>
      <c r="CK65" s="623"/>
      <c r="CL65" s="623">
        <v>1</v>
      </c>
      <c r="CM65" s="623"/>
      <c r="CN65" s="623"/>
      <c r="CO65" s="623"/>
      <c r="CP65" s="623"/>
      <c r="CQ65" s="623"/>
      <c r="CR65" s="623"/>
      <c r="CS65" s="623"/>
      <c r="CT65" s="623"/>
      <c r="CU65" s="623"/>
      <c r="CV65" s="623"/>
      <c r="CW65" s="623"/>
      <c r="CX65" s="673"/>
      <c r="CY65" s="557"/>
    </row>
    <row r="66" spans="1:234" ht="13.8">
      <c r="A66" s="591" t="s">
        <v>950</v>
      </c>
      <c r="B66" s="670"/>
      <c r="C66" s="550">
        <v>51</v>
      </c>
      <c r="D66" s="550"/>
      <c r="E66" s="550">
        <f t="shared" si="7"/>
        <v>318</v>
      </c>
      <c r="F66" s="550"/>
      <c r="G66" s="550"/>
      <c r="H66" s="550"/>
      <c r="I66" s="550"/>
      <c r="J66" s="550"/>
      <c r="K66" s="550"/>
      <c r="L66" s="550"/>
      <c r="M66" s="550"/>
      <c r="N66" s="550"/>
      <c r="O66" s="550"/>
      <c r="P66" s="550"/>
      <c r="Q66" s="550"/>
      <c r="R66" s="550"/>
      <c r="S66" s="550"/>
      <c r="T66" s="550"/>
      <c r="U66" s="550"/>
      <c r="V66" s="550"/>
      <c r="W66" s="550"/>
      <c r="X66" s="550"/>
      <c r="Y66" s="550"/>
      <c r="Z66" s="550"/>
      <c r="AA66" s="550"/>
      <c r="AB66" s="550"/>
      <c r="AC66" s="550"/>
      <c r="AD66" s="550"/>
      <c r="AE66" s="550"/>
      <c r="AF66" s="550"/>
      <c r="AG66" s="550"/>
      <c r="AH66" s="550"/>
      <c r="AI66" s="550"/>
      <c r="AJ66" s="550"/>
      <c r="AK66" s="550"/>
      <c r="AL66" s="550"/>
      <c r="AM66" s="550"/>
      <c r="AN66" s="550"/>
      <c r="AO66" s="550"/>
      <c r="AP66" s="550"/>
      <c r="AQ66" s="550"/>
      <c r="AR66" s="550"/>
      <c r="AS66" s="550"/>
      <c r="AT66" s="550"/>
      <c r="AU66" s="550"/>
      <c r="AV66" s="550"/>
      <c r="AW66" s="550"/>
      <c r="AX66" s="550"/>
      <c r="AY66" s="550"/>
      <c r="AZ66" s="550"/>
      <c r="BA66" s="550"/>
      <c r="BB66" s="550"/>
      <c r="BC66" s="550"/>
      <c r="BD66" s="550"/>
      <c r="BE66" s="550"/>
      <c r="BF66" s="672"/>
      <c r="BG66" s="672">
        <f t="shared" si="8"/>
        <v>0</v>
      </c>
      <c r="BH66" s="623"/>
      <c r="BI66" s="623"/>
      <c r="BJ66" s="623"/>
      <c r="BK66" s="623"/>
      <c r="BL66" s="623"/>
      <c r="BM66" s="623"/>
      <c r="BN66" s="623"/>
      <c r="BO66" s="623"/>
      <c r="BP66" s="623"/>
      <c r="BQ66" s="623"/>
      <c r="BR66" s="623"/>
      <c r="BS66" s="623"/>
      <c r="BT66" s="623">
        <v>1</v>
      </c>
      <c r="BU66" s="623"/>
      <c r="BV66" s="623">
        <v>1</v>
      </c>
      <c r="BW66" s="623"/>
      <c r="BX66" s="623"/>
      <c r="BY66" s="623"/>
      <c r="BZ66" s="623">
        <v>1</v>
      </c>
      <c r="CA66" s="623">
        <v>2</v>
      </c>
      <c r="CB66" s="623"/>
      <c r="CC66" s="623"/>
      <c r="CD66" s="623"/>
      <c r="CE66" s="623"/>
      <c r="CF66" s="623"/>
      <c r="CG66" s="623"/>
      <c r="CH66" s="623"/>
      <c r="CI66" s="623"/>
      <c r="CJ66" s="623"/>
      <c r="CK66" s="623"/>
      <c r="CL66" s="623">
        <v>1</v>
      </c>
      <c r="CM66" s="623"/>
      <c r="CN66" s="623"/>
      <c r="CO66" s="623"/>
      <c r="CP66" s="623"/>
      <c r="CQ66" s="623"/>
      <c r="CR66" s="623"/>
      <c r="CS66" s="623"/>
      <c r="CT66" s="623"/>
      <c r="CU66" s="623"/>
      <c r="CV66" s="623"/>
      <c r="CW66" s="623"/>
      <c r="CX66" s="673"/>
      <c r="CY66" s="557"/>
    </row>
    <row r="67" spans="1:234" ht="13.8">
      <c r="A67" s="591"/>
      <c r="B67" s="675" t="s">
        <v>169</v>
      </c>
      <c r="C67" s="550">
        <v>34</v>
      </c>
      <c r="D67" s="550"/>
      <c r="E67" s="550">
        <f t="shared" si="7"/>
        <v>352</v>
      </c>
      <c r="F67" s="550"/>
      <c r="G67" s="550"/>
      <c r="H67" s="550"/>
      <c r="I67" s="550"/>
      <c r="J67" s="550"/>
      <c r="K67" s="550"/>
      <c r="L67" s="550"/>
      <c r="M67" s="550"/>
      <c r="N67" s="550"/>
      <c r="O67" s="550"/>
      <c r="P67" s="550"/>
      <c r="Q67" s="550"/>
      <c r="R67" s="550"/>
      <c r="S67" s="550"/>
      <c r="T67" s="550"/>
      <c r="U67" s="550"/>
      <c r="V67" s="550"/>
      <c r="W67" s="550"/>
      <c r="X67" s="550"/>
      <c r="Y67" s="550"/>
      <c r="Z67" s="550"/>
      <c r="AA67" s="550"/>
      <c r="AB67" s="550"/>
      <c r="AC67" s="550"/>
      <c r="AD67" s="550"/>
      <c r="AE67" s="550"/>
      <c r="AF67" s="550"/>
      <c r="AG67" s="550"/>
      <c r="AH67" s="550"/>
      <c r="AI67" s="550"/>
      <c r="AJ67" s="550"/>
      <c r="AK67" s="550"/>
      <c r="AL67" s="550"/>
      <c r="AM67" s="550"/>
      <c r="AN67" s="550"/>
      <c r="AO67" s="550"/>
      <c r="AP67" s="550"/>
      <c r="AQ67" s="550"/>
      <c r="AR67" s="550"/>
      <c r="AS67" s="550"/>
      <c r="AT67" s="550"/>
      <c r="AU67" s="550"/>
      <c r="AV67" s="550"/>
      <c r="AW67" s="550"/>
      <c r="AX67" s="550"/>
      <c r="AY67" s="550"/>
      <c r="AZ67" s="550"/>
      <c r="BA67" s="550"/>
      <c r="BB67" s="550"/>
      <c r="BC67" s="550"/>
      <c r="BD67" s="550"/>
      <c r="BE67" s="550"/>
      <c r="BF67" s="672"/>
      <c r="BG67" s="672">
        <f t="shared" si="8"/>
        <v>0</v>
      </c>
      <c r="BH67" s="623"/>
      <c r="BI67" s="623"/>
      <c r="BJ67" s="623"/>
      <c r="BK67" s="623"/>
      <c r="BL67" s="623"/>
      <c r="BM67" s="623"/>
      <c r="BN67" s="623"/>
      <c r="BO67" s="623"/>
      <c r="BP67" s="623"/>
      <c r="BQ67" s="623"/>
      <c r="BR67" s="623"/>
      <c r="BS67" s="623"/>
      <c r="BT67" s="623">
        <v>1</v>
      </c>
      <c r="BU67" s="623"/>
      <c r="BV67" s="623">
        <v>1</v>
      </c>
      <c r="BW67" s="623"/>
      <c r="BX67" s="623"/>
      <c r="BY67" s="623"/>
      <c r="BZ67" s="623">
        <v>1</v>
      </c>
      <c r="CA67" s="623"/>
      <c r="CB67" s="623">
        <v>2</v>
      </c>
      <c r="CC67" s="623"/>
      <c r="CD67" s="623"/>
      <c r="CE67" s="623"/>
      <c r="CF67" s="623"/>
      <c r="CG67" s="623"/>
      <c r="CH67" s="623"/>
      <c r="CI67" s="623"/>
      <c r="CJ67" s="623"/>
      <c r="CK67" s="623"/>
      <c r="CL67" s="623"/>
      <c r="CM67" s="623"/>
      <c r="CN67" s="623"/>
      <c r="CO67" s="623"/>
      <c r="CP67" s="623"/>
      <c r="CQ67" s="623"/>
      <c r="CR67" s="623"/>
      <c r="CS67" s="623"/>
      <c r="CT67" s="623"/>
      <c r="CU67" s="623"/>
      <c r="CV67" s="623"/>
      <c r="CW67" s="623"/>
      <c r="CX67" s="673"/>
      <c r="CY67" s="557"/>
    </row>
    <row r="68" spans="1:234" ht="13.8">
      <c r="A68" s="591" t="s">
        <v>951</v>
      </c>
      <c r="B68" s="670"/>
      <c r="C68" s="550">
        <v>43</v>
      </c>
      <c r="D68" s="550"/>
      <c r="E68" s="550">
        <f t="shared" si="7"/>
        <v>395</v>
      </c>
      <c r="F68" s="550"/>
      <c r="G68" s="550"/>
      <c r="H68" s="550"/>
      <c r="I68" s="550"/>
      <c r="J68" s="550"/>
      <c r="K68" s="550"/>
      <c r="L68" s="550"/>
      <c r="M68" s="550"/>
      <c r="N68" s="550"/>
      <c r="O68" s="550"/>
      <c r="P68" s="550"/>
      <c r="Q68" s="550"/>
      <c r="R68" s="550"/>
      <c r="S68" s="550"/>
      <c r="T68" s="550"/>
      <c r="U68" s="550"/>
      <c r="V68" s="550"/>
      <c r="W68" s="550"/>
      <c r="X68" s="550"/>
      <c r="Y68" s="550"/>
      <c r="Z68" s="550"/>
      <c r="AA68" s="550"/>
      <c r="AB68" s="550"/>
      <c r="AC68" s="550"/>
      <c r="AD68" s="550"/>
      <c r="AE68" s="550"/>
      <c r="AF68" s="550"/>
      <c r="AG68" s="550"/>
      <c r="AH68" s="550"/>
      <c r="AI68" s="550"/>
      <c r="AJ68" s="550"/>
      <c r="AK68" s="550"/>
      <c r="AL68" s="550"/>
      <c r="AM68" s="550"/>
      <c r="AN68" s="550"/>
      <c r="AO68" s="550"/>
      <c r="AP68" s="550"/>
      <c r="AQ68" s="550"/>
      <c r="AR68" s="550"/>
      <c r="AS68" s="550"/>
      <c r="AT68" s="550"/>
      <c r="AU68" s="550"/>
      <c r="AV68" s="550"/>
      <c r="AW68" s="550"/>
      <c r="AX68" s="550"/>
      <c r="AY68" s="550"/>
      <c r="AZ68" s="550"/>
      <c r="BA68" s="550"/>
      <c r="BB68" s="550"/>
      <c r="BC68" s="550"/>
      <c r="BD68" s="550"/>
      <c r="BE68" s="550"/>
      <c r="BF68" s="672"/>
      <c r="BG68" s="672">
        <f t="shared" si="8"/>
        <v>0</v>
      </c>
      <c r="BH68" s="623"/>
      <c r="BI68" s="623"/>
      <c r="BJ68" s="623"/>
      <c r="BK68" s="623"/>
      <c r="BL68" s="623"/>
      <c r="BM68" s="623"/>
      <c r="BN68" s="623"/>
      <c r="BO68" s="623"/>
      <c r="BP68" s="623"/>
      <c r="BQ68" s="623"/>
      <c r="BR68" s="623"/>
      <c r="BS68" s="623"/>
      <c r="BT68" s="623">
        <v>1</v>
      </c>
      <c r="BU68" s="623"/>
      <c r="BV68" s="623">
        <v>1</v>
      </c>
      <c r="BW68" s="623"/>
      <c r="BX68" s="623"/>
      <c r="BY68" s="623"/>
      <c r="BZ68" s="623">
        <v>1</v>
      </c>
      <c r="CA68" s="623">
        <v>2</v>
      </c>
      <c r="CB68" s="623"/>
      <c r="CC68" s="623"/>
      <c r="CD68" s="623"/>
      <c r="CE68" s="623"/>
      <c r="CF68" s="623"/>
      <c r="CG68" s="623"/>
      <c r="CH68" s="623"/>
      <c r="CI68" s="623"/>
      <c r="CJ68" s="623"/>
      <c r="CK68" s="623"/>
      <c r="CL68" s="623"/>
      <c r="CM68" s="623"/>
      <c r="CN68" s="623"/>
      <c r="CO68" s="623"/>
      <c r="CP68" s="623"/>
      <c r="CQ68" s="623"/>
      <c r="CR68" s="623"/>
      <c r="CS68" s="623"/>
      <c r="CT68" s="623"/>
      <c r="CU68" s="623"/>
      <c r="CV68" s="623"/>
      <c r="CW68" s="623"/>
      <c r="CX68" s="673"/>
      <c r="CY68" s="557"/>
    </row>
    <row r="69" spans="1:234" ht="13.8">
      <c r="A69" s="591"/>
      <c r="B69" s="675" t="s">
        <v>170</v>
      </c>
      <c r="C69" s="550">
        <v>37</v>
      </c>
      <c r="D69" s="550"/>
      <c r="E69" s="550">
        <f t="shared" si="7"/>
        <v>432</v>
      </c>
      <c r="F69" s="550"/>
      <c r="G69" s="550"/>
      <c r="H69" s="550"/>
      <c r="I69" s="550"/>
      <c r="J69" s="550"/>
      <c r="K69" s="550"/>
      <c r="L69" s="550"/>
      <c r="M69" s="550"/>
      <c r="N69" s="550"/>
      <c r="O69" s="550"/>
      <c r="P69" s="550"/>
      <c r="Q69" s="550"/>
      <c r="R69" s="550"/>
      <c r="S69" s="550"/>
      <c r="T69" s="550"/>
      <c r="U69" s="550"/>
      <c r="V69" s="550"/>
      <c r="W69" s="550"/>
      <c r="X69" s="550"/>
      <c r="Y69" s="550"/>
      <c r="Z69" s="550"/>
      <c r="AA69" s="550"/>
      <c r="AB69" s="550"/>
      <c r="AC69" s="550"/>
      <c r="AD69" s="550"/>
      <c r="AE69" s="550"/>
      <c r="AF69" s="550"/>
      <c r="AG69" s="550"/>
      <c r="AH69" s="550"/>
      <c r="AI69" s="550"/>
      <c r="AJ69" s="550"/>
      <c r="AK69" s="550"/>
      <c r="AL69" s="550"/>
      <c r="AM69" s="550"/>
      <c r="AN69" s="550"/>
      <c r="AO69" s="550"/>
      <c r="AP69" s="550"/>
      <c r="AQ69" s="550"/>
      <c r="AR69" s="550"/>
      <c r="AS69" s="550"/>
      <c r="AT69" s="550"/>
      <c r="AU69" s="550"/>
      <c r="AV69" s="550"/>
      <c r="AW69" s="550"/>
      <c r="AX69" s="550"/>
      <c r="AY69" s="550"/>
      <c r="AZ69" s="550"/>
      <c r="BA69" s="550"/>
      <c r="BB69" s="550"/>
      <c r="BC69" s="550"/>
      <c r="BD69" s="550"/>
      <c r="BE69" s="550"/>
      <c r="BF69" s="672"/>
      <c r="BG69" s="672">
        <f t="shared" si="8"/>
        <v>0</v>
      </c>
      <c r="BH69" s="623"/>
      <c r="BI69" s="623"/>
      <c r="BJ69" s="623"/>
      <c r="BK69" s="623"/>
      <c r="BL69" s="623"/>
      <c r="BM69" s="623"/>
      <c r="BN69" s="623"/>
      <c r="BO69" s="623"/>
      <c r="BP69" s="623"/>
      <c r="BQ69" s="623"/>
      <c r="BR69" s="623"/>
      <c r="BS69" s="623"/>
      <c r="BT69" s="623">
        <v>1</v>
      </c>
      <c r="BU69" s="623"/>
      <c r="BV69" s="623">
        <v>1</v>
      </c>
      <c r="BW69" s="623"/>
      <c r="BX69" s="623"/>
      <c r="BY69" s="623"/>
      <c r="BZ69" s="623">
        <v>1</v>
      </c>
      <c r="CA69" s="623"/>
      <c r="CB69" s="623">
        <v>2</v>
      </c>
      <c r="CC69" s="623"/>
      <c r="CD69" s="623"/>
      <c r="CE69" s="623"/>
      <c r="CF69" s="623"/>
      <c r="CG69" s="623"/>
      <c r="CH69" s="623"/>
      <c r="CI69" s="623"/>
      <c r="CJ69" s="623"/>
      <c r="CK69" s="623"/>
      <c r="CL69" s="623"/>
      <c r="CM69" s="623"/>
      <c r="CN69" s="623"/>
      <c r="CO69" s="623"/>
      <c r="CP69" s="623"/>
      <c r="CQ69" s="623"/>
      <c r="CR69" s="623"/>
      <c r="CS69" s="623"/>
      <c r="CT69" s="623"/>
      <c r="CU69" s="623"/>
      <c r="CV69" s="623"/>
      <c r="CW69" s="623"/>
      <c r="CX69" s="673"/>
      <c r="CY69" s="557"/>
    </row>
    <row r="70" spans="1:234" ht="13.8">
      <c r="A70" s="591" t="s">
        <v>952</v>
      </c>
      <c r="B70" s="670"/>
      <c r="C70" s="550">
        <v>38</v>
      </c>
      <c r="D70" s="550"/>
      <c r="E70" s="550">
        <f t="shared" si="7"/>
        <v>470</v>
      </c>
      <c r="F70" s="550"/>
      <c r="G70" s="550"/>
      <c r="H70" s="550"/>
      <c r="I70" s="550"/>
      <c r="J70" s="550"/>
      <c r="K70" s="550"/>
      <c r="L70" s="550"/>
      <c r="M70" s="550"/>
      <c r="N70" s="550"/>
      <c r="O70" s="550"/>
      <c r="P70" s="550"/>
      <c r="Q70" s="550"/>
      <c r="R70" s="550"/>
      <c r="S70" s="550"/>
      <c r="T70" s="550"/>
      <c r="U70" s="550"/>
      <c r="V70" s="550"/>
      <c r="W70" s="550"/>
      <c r="X70" s="550"/>
      <c r="Y70" s="550"/>
      <c r="Z70" s="550"/>
      <c r="AA70" s="550"/>
      <c r="AB70" s="550"/>
      <c r="AC70" s="550"/>
      <c r="AD70" s="550"/>
      <c r="AE70" s="550"/>
      <c r="AF70" s="550"/>
      <c r="AG70" s="550"/>
      <c r="AH70" s="550"/>
      <c r="AI70" s="550"/>
      <c r="AJ70" s="550"/>
      <c r="AK70" s="550"/>
      <c r="AL70" s="550"/>
      <c r="AM70" s="550"/>
      <c r="AN70" s="550"/>
      <c r="AO70" s="550"/>
      <c r="AP70" s="550"/>
      <c r="AQ70" s="550"/>
      <c r="AR70" s="550"/>
      <c r="AS70" s="550"/>
      <c r="AT70" s="550"/>
      <c r="AU70" s="550"/>
      <c r="AV70" s="550"/>
      <c r="AW70" s="550"/>
      <c r="AX70" s="550"/>
      <c r="AY70" s="550"/>
      <c r="AZ70" s="550"/>
      <c r="BA70" s="550"/>
      <c r="BB70" s="550"/>
      <c r="BC70" s="550"/>
      <c r="BD70" s="550"/>
      <c r="BE70" s="550"/>
      <c r="BF70" s="672"/>
      <c r="BG70" s="672">
        <f t="shared" si="8"/>
        <v>0</v>
      </c>
      <c r="BH70" s="623"/>
      <c r="BI70" s="623"/>
      <c r="BJ70" s="623"/>
      <c r="BK70" s="623"/>
      <c r="BL70" s="623"/>
      <c r="BM70" s="623"/>
      <c r="BN70" s="623"/>
      <c r="BO70" s="623"/>
      <c r="BP70" s="623"/>
      <c r="BQ70" s="623"/>
      <c r="BR70" s="623"/>
      <c r="BS70" s="623"/>
      <c r="BT70" s="623">
        <v>1</v>
      </c>
      <c r="BU70" s="623"/>
      <c r="BV70" s="623">
        <v>1</v>
      </c>
      <c r="BW70" s="623"/>
      <c r="BX70" s="623"/>
      <c r="BY70" s="623"/>
      <c r="BZ70" s="623">
        <v>1</v>
      </c>
      <c r="CA70" s="623">
        <v>2</v>
      </c>
      <c r="CB70" s="623"/>
      <c r="CC70" s="623"/>
      <c r="CD70" s="623"/>
      <c r="CE70" s="623"/>
      <c r="CF70" s="623"/>
      <c r="CG70" s="623"/>
      <c r="CH70" s="623"/>
      <c r="CI70" s="623"/>
      <c r="CJ70" s="623"/>
      <c r="CK70" s="623"/>
      <c r="CL70" s="623"/>
      <c r="CM70" s="623"/>
      <c r="CN70" s="623"/>
      <c r="CO70" s="623"/>
      <c r="CP70" s="623"/>
      <c r="CQ70" s="623"/>
      <c r="CR70" s="623"/>
      <c r="CS70" s="623"/>
      <c r="CT70" s="623"/>
      <c r="CU70" s="623"/>
      <c r="CV70" s="623"/>
      <c r="CW70" s="623"/>
      <c r="CX70" s="673"/>
      <c r="CY70" s="557"/>
    </row>
    <row r="71" spans="1:234" s="678" customFormat="1" ht="13.8">
      <c r="A71" s="591"/>
      <c r="B71" s="689" t="s">
        <v>171</v>
      </c>
      <c r="C71" s="550">
        <v>39</v>
      </c>
      <c r="D71" s="550"/>
      <c r="E71" s="550">
        <f t="shared" si="7"/>
        <v>509</v>
      </c>
      <c r="F71" s="613"/>
      <c r="G71" s="613"/>
      <c r="H71" s="613"/>
      <c r="I71" s="613"/>
      <c r="J71" s="679"/>
      <c r="K71" s="613"/>
      <c r="L71" s="613"/>
      <c r="M71" s="550"/>
      <c r="N71" s="550"/>
      <c r="O71" s="614"/>
      <c r="P71" s="614"/>
      <c r="Q71" s="680"/>
      <c r="R71" s="681"/>
      <c r="S71" s="681"/>
      <c r="T71" s="681"/>
      <c r="U71" s="681"/>
      <c r="V71" s="681"/>
      <c r="W71" s="681"/>
      <c r="X71" s="681"/>
      <c r="Y71" s="681"/>
      <c r="Z71" s="681"/>
      <c r="AA71" s="682"/>
      <c r="AB71" s="682"/>
      <c r="AC71" s="682"/>
      <c r="AD71" s="682"/>
      <c r="AE71" s="682"/>
      <c r="AF71" s="682"/>
      <c r="AG71" s="682"/>
      <c r="AH71" s="682"/>
      <c r="AI71" s="682"/>
      <c r="AJ71" s="682"/>
      <c r="AK71" s="682"/>
      <c r="AL71" s="682"/>
      <c r="AM71" s="682"/>
      <c r="AN71" s="682"/>
      <c r="AO71" s="682"/>
      <c r="AP71" s="682"/>
      <c r="AQ71" s="682"/>
      <c r="AR71" s="682"/>
      <c r="AS71" s="682"/>
      <c r="AT71" s="682"/>
      <c r="AU71" s="682"/>
      <c r="AV71" s="682"/>
      <c r="AW71" s="682"/>
      <c r="AX71" s="682"/>
      <c r="AY71" s="682"/>
      <c r="AZ71" s="682"/>
      <c r="BA71" s="682"/>
      <c r="BB71" s="682"/>
      <c r="BC71" s="682"/>
      <c r="BD71" s="682"/>
      <c r="BE71" s="682"/>
      <c r="BF71" s="672"/>
      <c r="BG71" s="672">
        <f t="shared" si="8"/>
        <v>0</v>
      </c>
      <c r="BH71" s="682"/>
      <c r="BI71" s="682"/>
      <c r="BJ71" s="682"/>
      <c r="BK71" s="682"/>
      <c r="BL71" s="682"/>
      <c r="BM71" s="682"/>
      <c r="BN71" s="682"/>
      <c r="BO71" s="682"/>
      <c r="BP71" s="682"/>
      <c r="BQ71" s="682"/>
      <c r="BR71" s="682"/>
      <c r="BS71" s="682"/>
      <c r="BT71" s="682">
        <v>1</v>
      </c>
      <c r="BU71" s="682"/>
      <c r="BV71" s="682">
        <v>1</v>
      </c>
      <c r="BW71" s="682"/>
      <c r="BX71" s="682"/>
      <c r="BY71" s="682"/>
      <c r="BZ71" s="682">
        <v>1</v>
      </c>
      <c r="CA71" s="682"/>
      <c r="CB71" s="682">
        <v>2</v>
      </c>
      <c r="CC71" s="682"/>
      <c r="CD71" s="682"/>
      <c r="CE71" s="682"/>
      <c r="CF71" s="682"/>
      <c r="CG71" s="682"/>
      <c r="CH71" s="682"/>
      <c r="CI71" s="682"/>
      <c r="CJ71" s="682"/>
      <c r="CK71" s="682"/>
      <c r="CL71" s="682"/>
      <c r="CM71" s="682"/>
      <c r="CN71" s="682"/>
      <c r="CO71" s="682"/>
      <c r="CP71" s="682"/>
      <c r="CQ71" s="682"/>
      <c r="CR71" s="682"/>
      <c r="CS71" s="682"/>
      <c r="CT71" s="682"/>
      <c r="CU71" s="682"/>
      <c r="CV71" s="682"/>
      <c r="CW71" s="682"/>
      <c r="CX71" s="683"/>
      <c r="CY71" s="557"/>
      <c r="CZ71" s="677"/>
      <c r="DA71" s="530"/>
      <c r="DB71" s="530"/>
      <c r="DC71" s="530"/>
      <c r="DD71" s="530"/>
      <c r="DE71" s="530"/>
      <c r="DF71" s="530"/>
      <c r="DG71" s="530"/>
      <c r="DH71" s="530"/>
      <c r="DI71" s="530"/>
      <c r="DJ71" s="530"/>
      <c r="DK71" s="530"/>
      <c r="DL71" s="530"/>
      <c r="DM71" s="530"/>
      <c r="DN71" s="530"/>
      <c r="DO71" s="530"/>
      <c r="DP71" s="530"/>
      <c r="DQ71" s="530"/>
      <c r="DR71" s="530"/>
      <c r="DS71" s="530"/>
      <c r="DT71" s="530"/>
      <c r="DU71" s="530"/>
      <c r="DV71" s="530"/>
      <c r="DW71" s="530"/>
      <c r="DX71" s="530"/>
      <c r="DY71" s="530"/>
      <c r="DZ71" s="530"/>
      <c r="EA71" s="530"/>
      <c r="EB71" s="530"/>
      <c r="EC71" s="530"/>
      <c r="ED71" s="530"/>
      <c r="EE71" s="530"/>
      <c r="EF71" s="530"/>
      <c r="EG71" s="530"/>
      <c r="EH71" s="530"/>
      <c r="EI71" s="530"/>
      <c r="EJ71" s="530"/>
      <c r="EK71" s="530"/>
      <c r="EL71" s="530"/>
      <c r="EM71" s="530"/>
      <c r="EN71" s="530"/>
      <c r="EO71" s="530"/>
      <c r="EP71" s="530"/>
      <c r="EQ71" s="530"/>
      <c r="ER71" s="530"/>
      <c r="ES71" s="530"/>
      <c r="ET71" s="530"/>
      <c r="EU71" s="530"/>
      <c r="EV71" s="530"/>
      <c r="EW71" s="530"/>
      <c r="EX71" s="530"/>
      <c r="EY71" s="530"/>
      <c r="EZ71" s="530"/>
      <c r="FA71" s="530"/>
      <c r="FB71" s="530"/>
      <c r="FC71" s="530"/>
      <c r="FD71" s="530"/>
      <c r="FE71" s="530"/>
      <c r="FF71" s="530"/>
      <c r="FG71" s="530"/>
      <c r="FH71" s="530"/>
      <c r="FI71" s="530"/>
      <c r="FJ71" s="530"/>
      <c r="FK71" s="530"/>
      <c r="FL71" s="530"/>
      <c r="FM71" s="530"/>
      <c r="FN71" s="530"/>
      <c r="FO71" s="530"/>
      <c r="FP71" s="530"/>
      <c r="FQ71" s="530"/>
      <c r="FR71" s="530"/>
      <c r="FS71" s="530"/>
      <c r="FT71" s="530"/>
      <c r="FU71" s="530"/>
      <c r="FV71" s="530"/>
      <c r="FW71" s="530"/>
      <c r="FX71" s="530"/>
      <c r="FY71" s="530"/>
      <c r="FZ71" s="530"/>
      <c r="GA71" s="530"/>
      <c r="GB71" s="530"/>
      <c r="GC71" s="530"/>
      <c r="GD71" s="530"/>
      <c r="GE71" s="530"/>
      <c r="GF71" s="530"/>
      <c r="GG71" s="530"/>
      <c r="GH71" s="530"/>
      <c r="GI71" s="530"/>
      <c r="GJ71" s="530"/>
      <c r="GK71" s="530"/>
      <c r="GL71" s="530"/>
      <c r="GM71" s="530"/>
      <c r="GN71" s="530"/>
      <c r="GO71" s="530"/>
      <c r="GP71" s="530"/>
      <c r="GQ71" s="530"/>
      <c r="GR71" s="530"/>
      <c r="GS71" s="530"/>
      <c r="GT71" s="530"/>
      <c r="GU71" s="530"/>
      <c r="GV71" s="530"/>
      <c r="GW71" s="530"/>
      <c r="GX71" s="530"/>
      <c r="GY71" s="530"/>
      <c r="GZ71" s="530"/>
      <c r="HA71" s="530"/>
      <c r="HB71" s="530"/>
      <c r="HC71" s="530"/>
      <c r="HD71" s="530"/>
      <c r="HE71" s="530"/>
      <c r="HF71" s="530"/>
      <c r="HG71" s="530"/>
      <c r="HH71" s="530"/>
      <c r="HI71" s="530"/>
      <c r="HJ71" s="530"/>
      <c r="HK71" s="530"/>
      <c r="HL71" s="530"/>
      <c r="HM71" s="530"/>
      <c r="HN71" s="530"/>
      <c r="HO71" s="530"/>
      <c r="HP71" s="530"/>
      <c r="HQ71" s="530"/>
      <c r="HR71" s="530"/>
      <c r="HS71" s="530"/>
      <c r="HT71" s="530"/>
      <c r="HU71" s="530"/>
      <c r="HV71" s="530"/>
      <c r="HW71" s="530"/>
      <c r="HX71" s="530"/>
      <c r="HY71" s="530"/>
      <c r="HZ71" s="530"/>
    </row>
    <row r="72" spans="1:234" s="688" customFormat="1" ht="13.8">
      <c r="A72" s="656" t="s">
        <v>4019</v>
      </c>
      <c r="B72" s="684"/>
      <c r="C72" s="685">
        <f>SUM(C58:C71)</f>
        <v>509</v>
      </c>
      <c r="D72" s="685">
        <f>SUM(D58:D71)</f>
        <v>0</v>
      </c>
      <c r="E72" s="685">
        <f>+E71</f>
        <v>509</v>
      </c>
      <c r="F72" s="685">
        <f t="shared" ref="F72:AK72" si="9">SUM(F58:F71)</f>
        <v>0</v>
      </c>
      <c r="G72" s="685">
        <f t="shared" si="9"/>
        <v>0</v>
      </c>
      <c r="H72" s="685">
        <f t="shared" si="9"/>
        <v>0</v>
      </c>
      <c r="I72" s="685">
        <f t="shared" si="9"/>
        <v>0</v>
      </c>
      <c r="J72" s="685">
        <f t="shared" si="9"/>
        <v>0</v>
      </c>
      <c r="K72" s="685">
        <f t="shared" si="9"/>
        <v>0</v>
      </c>
      <c r="L72" s="685">
        <f t="shared" si="9"/>
        <v>0</v>
      </c>
      <c r="M72" s="685">
        <f t="shared" si="9"/>
        <v>0</v>
      </c>
      <c r="N72" s="685">
        <f t="shared" si="9"/>
        <v>0</v>
      </c>
      <c r="O72" s="685">
        <f t="shared" si="9"/>
        <v>0</v>
      </c>
      <c r="P72" s="685">
        <f t="shared" si="9"/>
        <v>0</v>
      </c>
      <c r="Q72" s="685">
        <f t="shared" si="9"/>
        <v>0</v>
      </c>
      <c r="R72" s="685">
        <f t="shared" si="9"/>
        <v>0</v>
      </c>
      <c r="S72" s="685">
        <f t="shared" si="9"/>
        <v>0</v>
      </c>
      <c r="T72" s="685">
        <f t="shared" si="9"/>
        <v>0</v>
      </c>
      <c r="U72" s="685">
        <f t="shared" si="9"/>
        <v>0</v>
      </c>
      <c r="V72" s="685">
        <f t="shared" si="9"/>
        <v>0</v>
      </c>
      <c r="W72" s="685">
        <f t="shared" si="9"/>
        <v>0</v>
      </c>
      <c r="X72" s="685">
        <f t="shared" si="9"/>
        <v>0</v>
      </c>
      <c r="Y72" s="685">
        <f t="shared" si="9"/>
        <v>0</v>
      </c>
      <c r="Z72" s="685">
        <f t="shared" si="9"/>
        <v>0</v>
      </c>
      <c r="AA72" s="685">
        <f t="shared" si="9"/>
        <v>0</v>
      </c>
      <c r="AB72" s="685">
        <f t="shared" si="9"/>
        <v>0</v>
      </c>
      <c r="AC72" s="685">
        <f t="shared" si="9"/>
        <v>0</v>
      </c>
      <c r="AD72" s="685">
        <f t="shared" si="9"/>
        <v>0</v>
      </c>
      <c r="AE72" s="685">
        <f t="shared" si="9"/>
        <v>0</v>
      </c>
      <c r="AF72" s="685">
        <f t="shared" si="9"/>
        <v>0</v>
      </c>
      <c r="AG72" s="685">
        <f t="shared" si="9"/>
        <v>0</v>
      </c>
      <c r="AH72" s="685">
        <f t="shared" si="9"/>
        <v>0</v>
      </c>
      <c r="AI72" s="685">
        <f t="shared" si="9"/>
        <v>0</v>
      </c>
      <c r="AJ72" s="685">
        <f t="shared" si="9"/>
        <v>0</v>
      </c>
      <c r="AK72" s="685">
        <f t="shared" si="9"/>
        <v>0</v>
      </c>
      <c r="AL72" s="685">
        <f t="shared" ref="AL72:BQ72" si="10">SUM(AL58:AL71)</f>
        <v>0</v>
      </c>
      <c r="AM72" s="685">
        <f t="shared" si="10"/>
        <v>0</v>
      </c>
      <c r="AN72" s="685">
        <f t="shared" si="10"/>
        <v>0</v>
      </c>
      <c r="AO72" s="685">
        <f t="shared" si="10"/>
        <v>0</v>
      </c>
      <c r="AP72" s="685">
        <f t="shared" si="10"/>
        <v>0</v>
      </c>
      <c r="AQ72" s="685">
        <f t="shared" si="10"/>
        <v>0</v>
      </c>
      <c r="AR72" s="685">
        <f t="shared" si="10"/>
        <v>0</v>
      </c>
      <c r="AS72" s="685">
        <f t="shared" si="10"/>
        <v>0</v>
      </c>
      <c r="AT72" s="685">
        <f t="shared" si="10"/>
        <v>0</v>
      </c>
      <c r="AU72" s="685">
        <f t="shared" si="10"/>
        <v>0</v>
      </c>
      <c r="AV72" s="685">
        <f t="shared" si="10"/>
        <v>0</v>
      </c>
      <c r="AW72" s="685">
        <f t="shared" si="10"/>
        <v>0</v>
      </c>
      <c r="AX72" s="685">
        <f t="shared" si="10"/>
        <v>0</v>
      </c>
      <c r="AY72" s="685">
        <f t="shared" si="10"/>
        <v>0</v>
      </c>
      <c r="AZ72" s="685">
        <f t="shared" si="10"/>
        <v>0</v>
      </c>
      <c r="BA72" s="685">
        <f t="shared" si="10"/>
        <v>0</v>
      </c>
      <c r="BB72" s="685">
        <f t="shared" si="10"/>
        <v>0</v>
      </c>
      <c r="BC72" s="685">
        <f t="shared" si="10"/>
        <v>0</v>
      </c>
      <c r="BD72" s="685">
        <f t="shared" si="10"/>
        <v>0</v>
      </c>
      <c r="BE72" s="685">
        <f t="shared" si="10"/>
        <v>0</v>
      </c>
      <c r="BF72" s="685">
        <f t="shared" si="10"/>
        <v>0</v>
      </c>
      <c r="BG72" s="685">
        <f t="shared" si="10"/>
        <v>0</v>
      </c>
      <c r="BH72" s="685">
        <f t="shared" si="10"/>
        <v>0</v>
      </c>
      <c r="BI72" s="685">
        <f t="shared" si="10"/>
        <v>0</v>
      </c>
      <c r="BJ72" s="685">
        <f t="shared" si="10"/>
        <v>0</v>
      </c>
      <c r="BK72" s="685">
        <f t="shared" si="10"/>
        <v>0</v>
      </c>
      <c r="BL72" s="685">
        <f t="shared" si="10"/>
        <v>0</v>
      </c>
      <c r="BM72" s="685">
        <f t="shared" si="10"/>
        <v>0</v>
      </c>
      <c r="BN72" s="685">
        <f t="shared" si="10"/>
        <v>0</v>
      </c>
      <c r="BO72" s="685">
        <f t="shared" si="10"/>
        <v>0</v>
      </c>
      <c r="BP72" s="685">
        <f t="shared" si="10"/>
        <v>0</v>
      </c>
      <c r="BQ72" s="685">
        <f t="shared" si="10"/>
        <v>0</v>
      </c>
      <c r="BR72" s="685">
        <f t="shared" ref="BR72:CK72" si="11">SUM(BR58:BR71)</f>
        <v>0</v>
      </c>
      <c r="BS72" s="685">
        <f t="shared" si="11"/>
        <v>0</v>
      </c>
      <c r="BT72" s="685">
        <f t="shared" si="11"/>
        <v>13</v>
      </c>
      <c r="BU72" s="685">
        <f t="shared" si="11"/>
        <v>0</v>
      </c>
      <c r="BV72" s="685">
        <f t="shared" si="11"/>
        <v>13</v>
      </c>
      <c r="BW72" s="685">
        <f t="shared" si="11"/>
        <v>0</v>
      </c>
      <c r="BX72" s="685">
        <f t="shared" si="11"/>
        <v>0</v>
      </c>
      <c r="BY72" s="685">
        <f t="shared" si="11"/>
        <v>0</v>
      </c>
      <c r="BZ72" s="685">
        <f t="shared" si="11"/>
        <v>13</v>
      </c>
      <c r="CA72" s="685">
        <f t="shared" si="11"/>
        <v>12</v>
      </c>
      <c r="CB72" s="685">
        <f t="shared" si="11"/>
        <v>14</v>
      </c>
      <c r="CC72" s="685">
        <f t="shared" si="11"/>
        <v>0</v>
      </c>
      <c r="CD72" s="685">
        <f t="shared" si="11"/>
        <v>0</v>
      </c>
      <c r="CE72" s="685">
        <f t="shared" si="11"/>
        <v>0</v>
      </c>
      <c r="CF72" s="685">
        <f t="shared" si="11"/>
        <v>0</v>
      </c>
      <c r="CG72" s="685">
        <f t="shared" si="11"/>
        <v>0</v>
      </c>
      <c r="CH72" s="685">
        <f t="shared" si="11"/>
        <v>0</v>
      </c>
      <c r="CI72" s="685">
        <f t="shared" si="11"/>
        <v>0</v>
      </c>
      <c r="CJ72" s="685">
        <f t="shared" si="11"/>
        <v>0</v>
      </c>
      <c r="CK72" s="685">
        <f t="shared" si="11"/>
        <v>0</v>
      </c>
      <c r="CL72" s="685">
        <f t="shared" ref="CL72:CX72" si="12">SUM(CL58:CL71)</f>
        <v>4</v>
      </c>
      <c r="CM72" s="685">
        <f t="shared" si="12"/>
        <v>0</v>
      </c>
      <c r="CN72" s="685">
        <f t="shared" si="12"/>
        <v>0</v>
      </c>
      <c r="CO72" s="685">
        <f t="shared" si="12"/>
        <v>0</v>
      </c>
      <c r="CP72" s="685">
        <f t="shared" si="12"/>
        <v>0</v>
      </c>
      <c r="CQ72" s="685">
        <f t="shared" si="12"/>
        <v>0</v>
      </c>
      <c r="CR72" s="685">
        <f t="shared" si="12"/>
        <v>0</v>
      </c>
      <c r="CS72" s="685">
        <f t="shared" si="12"/>
        <v>0</v>
      </c>
      <c r="CT72" s="685">
        <f t="shared" si="12"/>
        <v>0</v>
      </c>
      <c r="CU72" s="685">
        <f t="shared" si="12"/>
        <v>0</v>
      </c>
      <c r="CV72" s="685">
        <f t="shared" si="12"/>
        <v>0</v>
      </c>
      <c r="CW72" s="685">
        <f t="shared" si="12"/>
        <v>0</v>
      </c>
      <c r="CX72" s="685">
        <f t="shared" si="12"/>
        <v>0</v>
      </c>
      <c r="CY72" s="687"/>
    </row>
    <row r="73" spans="1:234" s="545" customFormat="1" ht="18" customHeight="1">
      <c r="A73" s="655" t="s">
        <v>4020</v>
      </c>
      <c r="B73" s="544"/>
      <c r="C73" s="544"/>
      <c r="D73" s="544"/>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4"/>
      <c r="BB73" s="544"/>
      <c r="BC73" s="544"/>
      <c r="BD73" s="544"/>
      <c r="BE73" s="544"/>
      <c r="BF73" s="544"/>
      <c r="BG73" s="544"/>
      <c r="BH73" s="544"/>
      <c r="BI73" s="544"/>
      <c r="BJ73" s="544"/>
      <c r="BK73" s="544"/>
      <c r="BL73" s="544"/>
      <c r="BM73" s="544"/>
      <c r="BN73" s="544"/>
      <c r="BO73" s="544"/>
      <c r="BP73" s="544"/>
      <c r="BQ73" s="544"/>
      <c r="BR73" s="544"/>
      <c r="BS73" s="544"/>
      <c r="BT73" s="544"/>
      <c r="BU73" s="544"/>
      <c r="BV73" s="544"/>
      <c r="BW73" s="544"/>
      <c r="BX73" s="544"/>
      <c r="BY73" s="544"/>
      <c r="BZ73" s="544"/>
      <c r="CA73" s="544"/>
      <c r="CB73" s="544"/>
      <c r="CC73" s="544"/>
      <c r="CD73" s="544"/>
      <c r="CE73" s="544"/>
      <c r="CF73" s="544"/>
      <c r="CG73" s="544"/>
      <c r="CH73" s="544"/>
      <c r="CI73" s="544"/>
      <c r="CJ73" s="544"/>
      <c r="CK73" s="544"/>
      <c r="CL73" s="544"/>
      <c r="CM73" s="544"/>
      <c r="CN73" s="544"/>
      <c r="CO73" s="544"/>
      <c r="CP73" s="544"/>
      <c r="CQ73" s="544"/>
      <c r="CR73" s="544"/>
      <c r="CS73" s="544"/>
      <c r="CT73" s="544"/>
      <c r="CU73" s="544"/>
      <c r="CV73" s="544"/>
      <c r="CW73" s="544"/>
      <c r="CX73" s="544"/>
      <c r="CY73" s="669"/>
      <c r="CZ73" s="530"/>
      <c r="DA73" s="530"/>
      <c r="DB73" s="530"/>
      <c r="DC73" s="530"/>
      <c r="DD73" s="530"/>
      <c r="DE73" s="530"/>
      <c r="DF73" s="530"/>
      <c r="DG73" s="530"/>
      <c r="DH73" s="530"/>
      <c r="DI73" s="530"/>
      <c r="DJ73" s="530"/>
      <c r="DK73" s="530"/>
      <c r="DL73" s="530"/>
      <c r="DM73" s="530"/>
      <c r="DN73" s="530"/>
      <c r="DO73" s="530"/>
      <c r="DP73" s="530"/>
      <c r="DQ73" s="530"/>
      <c r="DR73" s="530"/>
      <c r="DS73" s="530"/>
      <c r="DT73" s="530"/>
      <c r="DU73" s="530"/>
      <c r="DV73" s="530"/>
      <c r="DW73" s="530"/>
      <c r="DX73" s="530"/>
      <c r="DY73" s="530"/>
      <c r="DZ73" s="530"/>
      <c r="EA73" s="530"/>
      <c r="EB73" s="530"/>
      <c r="EC73" s="530"/>
      <c r="ED73" s="530"/>
      <c r="EE73" s="530"/>
      <c r="EF73" s="530"/>
      <c r="EG73" s="530"/>
      <c r="EH73" s="530"/>
      <c r="EI73" s="530"/>
      <c r="EJ73" s="530"/>
      <c r="EK73" s="530"/>
      <c r="EL73" s="530"/>
      <c r="EM73" s="530"/>
      <c r="EN73" s="530"/>
      <c r="EO73" s="530"/>
      <c r="EP73" s="530"/>
      <c r="EQ73" s="530"/>
      <c r="ER73" s="530"/>
      <c r="ES73" s="530"/>
      <c r="ET73" s="530"/>
      <c r="EU73" s="530"/>
      <c r="EV73" s="530"/>
      <c r="EW73" s="530"/>
      <c r="EX73" s="530"/>
      <c r="EY73" s="530"/>
      <c r="EZ73" s="530"/>
      <c r="FA73" s="530"/>
      <c r="FB73" s="530"/>
      <c r="FC73" s="530"/>
      <c r="FD73" s="530"/>
      <c r="FE73" s="530"/>
      <c r="FF73" s="530"/>
      <c r="FG73" s="530"/>
      <c r="FH73" s="530"/>
      <c r="FI73" s="530"/>
      <c r="FJ73" s="530"/>
      <c r="FK73" s="530"/>
      <c r="FL73" s="530"/>
      <c r="FM73" s="530"/>
      <c r="FN73" s="530"/>
      <c r="FO73" s="530"/>
      <c r="FP73" s="530"/>
      <c r="FQ73" s="530"/>
      <c r="FR73" s="530"/>
      <c r="FS73" s="530"/>
      <c r="FT73" s="530"/>
      <c r="FU73" s="530"/>
      <c r="FV73" s="530"/>
      <c r="FW73" s="530"/>
      <c r="FX73" s="530"/>
      <c r="FY73" s="530"/>
      <c r="FZ73" s="530"/>
      <c r="GA73" s="530"/>
      <c r="GB73" s="530"/>
      <c r="GC73" s="530"/>
      <c r="GD73" s="530"/>
      <c r="GE73" s="530"/>
      <c r="GF73" s="530"/>
      <c r="GG73" s="530"/>
      <c r="GH73" s="530"/>
      <c r="GI73" s="530"/>
      <c r="GJ73" s="530"/>
      <c r="GK73" s="530"/>
      <c r="GL73" s="530"/>
      <c r="GM73" s="530"/>
      <c r="GN73" s="530"/>
      <c r="GO73" s="530"/>
      <c r="GP73" s="530"/>
      <c r="GQ73" s="530"/>
      <c r="GR73" s="530"/>
      <c r="GS73" s="530"/>
      <c r="GT73" s="530"/>
      <c r="GU73" s="530"/>
      <c r="GV73" s="530"/>
      <c r="GW73" s="530"/>
      <c r="GX73" s="530"/>
      <c r="GY73" s="530"/>
      <c r="GZ73" s="530"/>
      <c r="HA73" s="530"/>
      <c r="HB73" s="530"/>
      <c r="HC73" s="530"/>
      <c r="HD73" s="530"/>
      <c r="HE73" s="530"/>
      <c r="HF73" s="530"/>
      <c r="HG73" s="530"/>
      <c r="HH73" s="530"/>
      <c r="HI73" s="530"/>
      <c r="HJ73" s="530"/>
      <c r="HK73" s="530"/>
      <c r="HL73" s="530"/>
      <c r="HM73" s="530"/>
      <c r="HN73" s="530"/>
      <c r="HO73" s="530"/>
      <c r="HP73" s="530"/>
      <c r="HQ73" s="530"/>
      <c r="HR73" s="530"/>
      <c r="HS73" s="530"/>
      <c r="HT73" s="530"/>
      <c r="HU73" s="530"/>
      <c r="HV73" s="530"/>
      <c r="HW73" s="530"/>
      <c r="HX73" s="530"/>
      <c r="HY73" s="530"/>
      <c r="HZ73" s="530"/>
    </row>
    <row r="74" spans="1:234" ht="13.8">
      <c r="A74" s="591" t="s">
        <v>950</v>
      </c>
      <c r="B74" s="670"/>
      <c r="C74" s="550"/>
      <c r="D74" s="550">
        <f>+C74</f>
        <v>0</v>
      </c>
      <c r="E74" s="550"/>
      <c r="F74" s="550"/>
      <c r="G74" s="550"/>
      <c r="H74" s="550"/>
      <c r="I74" s="550"/>
      <c r="J74" s="550"/>
      <c r="K74" s="550"/>
      <c r="L74" s="550"/>
      <c r="M74" s="550"/>
      <c r="N74" s="555"/>
      <c r="O74" s="439"/>
      <c r="P74" s="439"/>
      <c r="Q74" s="658" t="s">
        <v>658</v>
      </c>
      <c r="R74" s="671"/>
      <c r="S74" s="671"/>
      <c r="T74" s="671"/>
      <c r="U74" s="671"/>
      <c r="V74" s="671"/>
      <c r="W74" s="671"/>
      <c r="X74" s="671"/>
      <c r="Y74" s="671"/>
      <c r="Z74" s="671"/>
      <c r="AA74" s="623"/>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72">
        <f t="shared" ref="BF74:BG77" si="13">AW74</f>
        <v>0</v>
      </c>
      <c r="BG74" s="672">
        <f t="shared" si="13"/>
        <v>0</v>
      </c>
      <c r="BH74" s="623"/>
      <c r="BI74" s="623"/>
      <c r="BJ74" s="623"/>
      <c r="BK74" s="623"/>
      <c r="BL74" s="623"/>
      <c r="BM74" s="623"/>
      <c r="BN74" s="623"/>
      <c r="BO74" s="623"/>
      <c r="BP74" s="623"/>
      <c r="BQ74" s="623"/>
      <c r="BR74" s="623"/>
      <c r="BS74" s="623"/>
      <c r="BT74" s="623"/>
      <c r="BU74" s="623"/>
      <c r="BV74" s="623">
        <v>1</v>
      </c>
      <c r="BW74" s="623">
        <v>1</v>
      </c>
      <c r="BX74" s="623"/>
      <c r="BY74" s="623"/>
      <c r="BZ74" s="623"/>
      <c r="CA74" s="623">
        <v>1</v>
      </c>
      <c r="CB74" s="623"/>
      <c r="CC74" s="623"/>
      <c r="CD74" s="623"/>
      <c r="CE74" s="623"/>
      <c r="CF74" s="623"/>
      <c r="CG74" s="623"/>
      <c r="CH74" s="623"/>
      <c r="CI74" s="623"/>
      <c r="CJ74" s="623"/>
      <c r="CK74" s="623"/>
      <c r="CL74" s="623"/>
      <c r="CM74" s="623"/>
      <c r="CN74" s="623"/>
      <c r="CO74" s="623"/>
      <c r="CP74" s="623"/>
      <c r="CQ74" s="623"/>
      <c r="CR74" s="623"/>
      <c r="CS74" s="623"/>
      <c r="CT74" s="623"/>
      <c r="CU74" s="623"/>
      <c r="CV74" s="623">
        <v>2</v>
      </c>
      <c r="CW74" s="623"/>
      <c r="CX74" s="673"/>
      <c r="CY74" s="557"/>
    </row>
    <row r="75" spans="1:234" ht="13.8">
      <c r="A75" s="591" t="s">
        <v>180</v>
      </c>
      <c r="B75" s="675"/>
      <c r="C75" s="550">
        <v>12</v>
      </c>
      <c r="D75" s="550">
        <f t="shared" ref="D75:D90" si="14">+D74+C75</f>
        <v>12</v>
      </c>
      <c r="E75" s="550"/>
      <c r="F75" s="550"/>
      <c r="G75" s="550"/>
      <c r="H75" s="550"/>
      <c r="I75" s="550"/>
      <c r="J75" s="550"/>
      <c r="K75" s="550"/>
      <c r="L75" s="550"/>
      <c r="M75" s="550"/>
      <c r="N75" s="550"/>
      <c r="O75" s="439"/>
      <c r="P75" s="439"/>
      <c r="Q75" s="674" t="s">
        <v>546</v>
      </c>
      <c r="R75" s="671"/>
      <c r="S75" s="671"/>
      <c r="T75" s="671"/>
      <c r="U75" s="671"/>
      <c r="V75" s="671"/>
      <c r="W75" s="671"/>
      <c r="X75" s="671"/>
      <c r="Y75" s="671"/>
      <c r="Z75" s="671"/>
      <c r="AA75" s="623"/>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72">
        <f t="shared" si="13"/>
        <v>0</v>
      </c>
      <c r="BG75" s="672">
        <f t="shared" si="13"/>
        <v>0</v>
      </c>
      <c r="BH75" s="623"/>
      <c r="BI75" s="623"/>
      <c r="BJ75" s="623"/>
      <c r="BK75" s="623"/>
      <c r="BL75" s="623"/>
      <c r="BM75" s="623"/>
      <c r="BN75" s="623"/>
      <c r="BO75" s="623"/>
      <c r="BP75" s="623"/>
      <c r="BQ75" s="623"/>
      <c r="BR75" s="623"/>
      <c r="BS75" s="623"/>
      <c r="BT75" s="623"/>
      <c r="BU75" s="623"/>
      <c r="BV75" s="623">
        <v>2</v>
      </c>
      <c r="BW75" s="623">
        <v>2</v>
      </c>
      <c r="BX75" s="623"/>
      <c r="BY75" s="623"/>
      <c r="BZ75" s="623"/>
      <c r="CA75" s="623">
        <v>2</v>
      </c>
      <c r="CB75" s="623"/>
      <c r="CC75" s="623"/>
      <c r="CD75" s="623"/>
      <c r="CE75" s="623"/>
      <c r="CF75" s="623"/>
      <c r="CG75" s="623"/>
      <c r="CH75" s="623"/>
      <c r="CI75" s="623"/>
      <c r="CJ75" s="623"/>
      <c r="CK75" s="623"/>
      <c r="CL75" s="623"/>
      <c r="CM75" s="623"/>
      <c r="CN75" s="623"/>
      <c r="CO75" s="623"/>
      <c r="CP75" s="623"/>
      <c r="CQ75" s="623"/>
      <c r="CR75" s="623"/>
      <c r="CS75" s="623"/>
      <c r="CT75" s="623"/>
      <c r="CU75" s="623"/>
      <c r="CV75" s="623">
        <v>4</v>
      </c>
      <c r="CW75" s="623"/>
      <c r="CX75" s="673"/>
      <c r="CY75" s="557"/>
    </row>
    <row r="76" spans="1:234" ht="13.8">
      <c r="A76" s="591" t="s">
        <v>181</v>
      </c>
      <c r="B76" s="670"/>
      <c r="C76" s="550">
        <v>40</v>
      </c>
      <c r="D76" s="550">
        <f t="shared" si="14"/>
        <v>52</v>
      </c>
      <c r="E76" s="550"/>
      <c r="F76" s="550"/>
      <c r="G76" s="550"/>
      <c r="H76" s="550"/>
      <c r="I76" s="550"/>
      <c r="J76" s="550"/>
      <c r="K76" s="550"/>
      <c r="L76" s="550"/>
      <c r="M76" s="550"/>
      <c r="N76" s="550"/>
      <c r="O76" s="439"/>
      <c r="P76" s="439"/>
      <c r="Q76" s="674" t="s">
        <v>501</v>
      </c>
      <c r="R76" s="671"/>
      <c r="S76" s="671"/>
      <c r="T76" s="671"/>
      <c r="U76" s="671"/>
      <c r="V76" s="671"/>
      <c r="W76" s="671"/>
      <c r="X76" s="671"/>
      <c r="Y76" s="671"/>
      <c r="Z76" s="671"/>
      <c r="AA76" s="623"/>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72">
        <f t="shared" si="13"/>
        <v>0</v>
      </c>
      <c r="BG76" s="672">
        <f t="shared" si="13"/>
        <v>0</v>
      </c>
      <c r="BH76" s="623"/>
      <c r="BI76" s="623"/>
      <c r="BJ76" s="623"/>
      <c r="BK76" s="623"/>
      <c r="BL76" s="623"/>
      <c r="BM76" s="623"/>
      <c r="BN76" s="623"/>
      <c r="BO76" s="623"/>
      <c r="BP76" s="623"/>
      <c r="BQ76" s="623"/>
      <c r="BR76" s="623"/>
      <c r="BS76" s="623"/>
      <c r="BT76" s="623"/>
      <c r="BU76" s="623"/>
      <c r="BV76" s="623">
        <v>1</v>
      </c>
      <c r="BW76" s="623">
        <v>1</v>
      </c>
      <c r="BX76" s="623"/>
      <c r="BY76" s="623"/>
      <c r="BZ76" s="623"/>
      <c r="CA76" s="623">
        <v>1</v>
      </c>
      <c r="CB76" s="623"/>
      <c r="CC76" s="623"/>
      <c r="CD76" s="623"/>
      <c r="CE76" s="623"/>
      <c r="CF76" s="623"/>
      <c r="CG76" s="623"/>
      <c r="CH76" s="623"/>
      <c r="CI76" s="623"/>
      <c r="CJ76" s="623"/>
      <c r="CK76" s="623"/>
      <c r="CL76" s="623"/>
      <c r="CM76" s="623"/>
      <c r="CN76" s="623"/>
      <c r="CO76" s="623"/>
      <c r="CP76" s="623"/>
      <c r="CQ76" s="623"/>
      <c r="CR76" s="623"/>
      <c r="CS76" s="623"/>
      <c r="CT76" s="623"/>
      <c r="CU76" s="623"/>
      <c r="CV76" s="623"/>
      <c r="CW76" s="623"/>
      <c r="CX76" s="673"/>
      <c r="CY76" s="557"/>
    </row>
    <row r="77" spans="1:234" s="678" customFormat="1" ht="13.8">
      <c r="A77" s="591" t="s">
        <v>182</v>
      </c>
      <c r="B77" s="675"/>
      <c r="C77" s="550">
        <v>40</v>
      </c>
      <c r="D77" s="550">
        <f t="shared" si="14"/>
        <v>92</v>
      </c>
      <c r="E77" s="550"/>
      <c r="F77" s="550"/>
      <c r="G77" s="550"/>
      <c r="H77" s="550"/>
      <c r="I77" s="550"/>
      <c r="J77" s="676"/>
      <c r="K77" s="550"/>
      <c r="L77" s="550"/>
      <c r="M77" s="550"/>
      <c r="N77" s="550"/>
      <c r="O77" s="439"/>
      <c r="P77" s="439"/>
      <c r="Q77" s="674" t="s">
        <v>501</v>
      </c>
      <c r="R77" s="671"/>
      <c r="S77" s="671"/>
      <c r="T77" s="671"/>
      <c r="U77" s="671"/>
      <c r="V77" s="671"/>
      <c r="W77" s="671"/>
      <c r="X77" s="671"/>
      <c r="Y77" s="671"/>
      <c r="Z77" s="671"/>
      <c r="AA77" s="623"/>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72">
        <f t="shared" si="13"/>
        <v>0</v>
      </c>
      <c r="BG77" s="672">
        <f t="shared" si="13"/>
        <v>0</v>
      </c>
      <c r="BH77" s="623"/>
      <c r="BI77" s="623"/>
      <c r="BJ77" s="623"/>
      <c r="BK77" s="623"/>
      <c r="BL77" s="623"/>
      <c r="BM77" s="623"/>
      <c r="BN77" s="623"/>
      <c r="BO77" s="623"/>
      <c r="BP77" s="623"/>
      <c r="BQ77" s="623"/>
      <c r="BR77" s="623"/>
      <c r="BS77" s="623"/>
      <c r="BT77" s="623"/>
      <c r="BU77" s="623"/>
      <c r="BV77" s="623">
        <v>1</v>
      </c>
      <c r="BW77" s="623">
        <v>1</v>
      </c>
      <c r="BX77" s="623"/>
      <c r="BY77" s="623"/>
      <c r="BZ77" s="623"/>
      <c r="CA77" s="623">
        <v>1</v>
      </c>
      <c r="CB77" s="623"/>
      <c r="CC77" s="623"/>
      <c r="CD77" s="623"/>
      <c r="CE77" s="623"/>
      <c r="CF77" s="623"/>
      <c r="CG77" s="623"/>
      <c r="CH77" s="623"/>
      <c r="CI77" s="623"/>
      <c r="CJ77" s="623"/>
      <c r="CK77" s="623"/>
      <c r="CL77" s="623"/>
      <c r="CM77" s="623"/>
      <c r="CN77" s="623"/>
      <c r="CO77" s="623"/>
      <c r="CP77" s="623"/>
      <c r="CQ77" s="623"/>
      <c r="CR77" s="623"/>
      <c r="CS77" s="623"/>
      <c r="CT77" s="623"/>
      <c r="CU77" s="623"/>
      <c r="CV77" s="623"/>
      <c r="CW77" s="623"/>
      <c r="CX77" s="673"/>
      <c r="CY77" s="557"/>
      <c r="CZ77" s="677"/>
      <c r="DA77" s="530"/>
      <c r="DB77" s="530"/>
      <c r="DC77" s="530"/>
      <c r="DD77" s="530"/>
      <c r="DE77" s="530"/>
      <c r="DF77" s="530"/>
      <c r="DG77" s="530"/>
      <c r="DH77" s="530"/>
      <c r="DI77" s="530"/>
      <c r="DJ77" s="530"/>
      <c r="DK77" s="530"/>
      <c r="DL77" s="530"/>
      <c r="DM77" s="530"/>
      <c r="DN77" s="530"/>
      <c r="DO77" s="530"/>
      <c r="DP77" s="530"/>
      <c r="DQ77" s="530"/>
      <c r="DR77" s="530"/>
      <c r="DS77" s="530"/>
      <c r="DT77" s="530"/>
      <c r="DU77" s="530"/>
      <c r="DV77" s="530"/>
      <c r="DW77" s="530"/>
      <c r="DX77" s="530"/>
      <c r="DY77" s="530"/>
      <c r="DZ77" s="530"/>
      <c r="EA77" s="530"/>
      <c r="EB77" s="530"/>
      <c r="EC77" s="530"/>
      <c r="ED77" s="530"/>
      <c r="EE77" s="530"/>
      <c r="EF77" s="530"/>
      <c r="EG77" s="530"/>
      <c r="EH77" s="530"/>
      <c r="EI77" s="530"/>
      <c r="EJ77" s="530"/>
      <c r="EK77" s="530"/>
      <c r="EL77" s="530"/>
      <c r="EM77" s="530"/>
      <c r="EN77" s="530"/>
      <c r="EO77" s="530"/>
      <c r="EP77" s="530"/>
      <c r="EQ77" s="530"/>
      <c r="ER77" s="530"/>
      <c r="ES77" s="530"/>
      <c r="ET77" s="530"/>
      <c r="EU77" s="530"/>
      <c r="EV77" s="530"/>
      <c r="EW77" s="530"/>
      <c r="EX77" s="530"/>
      <c r="EY77" s="530"/>
      <c r="EZ77" s="530"/>
      <c r="FA77" s="530"/>
      <c r="FB77" s="530"/>
      <c r="FC77" s="530"/>
      <c r="FD77" s="530"/>
      <c r="FE77" s="530"/>
      <c r="FF77" s="530"/>
      <c r="FG77" s="530"/>
      <c r="FH77" s="530"/>
      <c r="FI77" s="530"/>
      <c r="FJ77" s="530"/>
      <c r="FK77" s="530"/>
      <c r="FL77" s="530"/>
      <c r="FM77" s="530"/>
      <c r="FN77" s="530"/>
      <c r="FO77" s="530"/>
      <c r="FP77" s="530"/>
      <c r="FQ77" s="530"/>
      <c r="FR77" s="530"/>
      <c r="FS77" s="530"/>
      <c r="FT77" s="530"/>
      <c r="FU77" s="530"/>
      <c r="FV77" s="530"/>
      <c r="FW77" s="530"/>
      <c r="FX77" s="530"/>
      <c r="FY77" s="530"/>
      <c r="FZ77" s="530"/>
      <c r="GA77" s="530"/>
      <c r="GB77" s="530"/>
      <c r="GC77" s="530"/>
      <c r="GD77" s="530"/>
      <c r="GE77" s="530"/>
      <c r="GF77" s="530"/>
      <c r="GG77" s="530"/>
      <c r="GH77" s="530"/>
      <c r="GI77" s="530"/>
      <c r="GJ77" s="530"/>
      <c r="GK77" s="530"/>
      <c r="GL77" s="530"/>
      <c r="GM77" s="530"/>
      <c r="GN77" s="530"/>
      <c r="GO77" s="530"/>
      <c r="GP77" s="530"/>
      <c r="GQ77" s="530"/>
      <c r="GR77" s="530"/>
      <c r="GS77" s="530"/>
      <c r="GT77" s="530"/>
      <c r="GU77" s="530"/>
      <c r="GV77" s="530"/>
      <c r="GW77" s="530"/>
      <c r="GX77" s="530"/>
      <c r="GY77" s="530"/>
      <c r="GZ77" s="530"/>
      <c r="HA77" s="530"/>
      <c r="HB77" s="530"/>
      <c r="HC77" s="530"/>
      <c r="HD77" s="530"/>
      <c r="HE77" s="530"/>
      <c r="HF77" s="530"/>
      <c r="HG77" s="530"/>
      <c r="HH77" s="530"/>
      <c r="HI77" s="530"/>
      <c r="HJ77" s="530"/>
      <c r="HK77" s="530"/>
      <c r="HL77" s="530"/>
      <c r="HM77" s="530"/>
      <c r="HN77" s="530"/>
      <c r="HO77" s="530"/>
      <c r="HP77" s="530"/>
      <c r="HQ77" s="530"/>
      <c r="HR77" s="530"/>
      <c r="HS77" s="530"/>
      <c r="HT77" s="530"/>
      <c r="HU77" s="530"/>
      <c r="HV77" s="530"/>
      <c r="HW77" s="530"/>
      <c r="HX77" s="530"/>
      <c r="HY77" s="530"/>
      <c r="HZ77" s="530"/>
    </row>
    <row r="78" spans="1:234" ht="13.8">
      <c r="A78" s="591" t="s">
        <v>183</v>
      </c>
      <c r="B78" s="670"/>
      <c r="C78" s="550">
        <v>40</v>
      </c>
      <c r="D78" s="550">
        <f t="shared" si="14"/>
        <v>132</v>
      </c>
      <c r="E78" s="550"/>
      <c r="F78" s="550"/>
      <c r="G78" s="550"/>
      <c r="H78" s="550"/>
      <c r="I78" s="550"/>
      <c r="J78" s="550"/>
      <c r="K78" s="550"/>
      <c r="L78" s="550"/>
      <c r="M78" s="550"/>
      <c r="N78" s="550"/>
      <c r="O78" s="550"/>
      <c r="P78" s="550"/>
      <c r="Q78" s="550" t="s">
        <v>501</v>
      </c>
      <c r="R78" s="550"/>
      <c r="S78" s="550"/>
      <c r="T78" s="550"/>
      <c r="U78" s="550"/>
      <c r="V78" s="550"/>
      <c r="W78" s="550"/>
      <c r="X78" s="550"/>
      <c r="Y78" s="550"/>
      <c r="Z78" s="550"/>
      <c r="AA78" s="550"/>
      <c r="AB78" s="550"/>
      <c r="AC78" s="550"/>
      <c r="AD78" s="550"/>
      <c r="AE78" s="550"/>
      <c r="AF78" s="550"/>
      <c r="AG78" s="550"/>
      <c r="AH78" s="550"/>
      <c r="AI78" s="550"/>
      <c r="AJ78" s="550"/>
      <c r="AK78" s="550"/>
      <c r="AL78" s="550"/>
      <c r="AM78" s="550"/>
      <c r="AN78" s="550"/>
      <c r="AO78" s="550"/>
      <c r="AP78" s="550"/>
      <c r="AQ78" s="550"/>
      <c r="AR78" s="550"/>
      <c r="AS78" s="550"/>
      <c r="AT78" s="550"/>
      <c r="AU78" s="550"/>
      <c r="AV78" s="550"/>
      <c r="AW78" s="550"/>
      <c r="AX78" s="550"/>
      <c r="AY78" s="550"/>
      <c r="AZ78" s="550"/>
      <c r="BA78" s="550"/>
      <c r="BB78" s="550"/>
      <c r="BC78" s="550"/>
      <c r="BD78" s="550"/>
      <c r="BE78" s="550"/>
      <c r="BF78" s="672"/>
      <c r="BG78" s="672">
        <f t="shared" ref="BG78:BG83" si="15">AX78</f>
        <v>0</v>
      </c>
      <c r="BH78" s="623"/>
      <c r="BI78" s="623"/>
      <c r="BJ78" s="623"/>
      <c r="BK78" s="623"/>
      <c r="BL78" s="623"/>
      <c r="BM78" s="623"/>
      <c r="BN78" s="623"/>
      <c r="BO78" s="623"/>
      <c r="BP78" s="623"/>
      <c r="BQ78" s="623"/>
      <c r="BR78" s="623"/>
      <c r="BS78" s="623"/>
      <c r="BT78" s="623"/>
      <c r="BU78" s="623"/>
      <c r="BV78" s="623">
        <v>1</v>
      </c>
      <c r="BW78" s="623">
        <v>1</v>
      </c>
      <c r="BX78" s="623"/>
      <c r="BY78" s="623"/>
      <c r="BZ78" s="623"/>
      <c r="CA78" s="623">
        <v>1</v>
      </c>
      <c r="CB78" s="623"/>
      <c r="CC78" s="623"/>
      <c r="CD78" s="623"/>
      <c r="CE78" s="623"/>
      <c r="CF78" s="623"/>
      <c r="CG78" s="623"/>
      <c r="CH78" s="623"/>
      <c r="CI78" s="623"/>
      <c r="CJ78" s="623"/>
      <c r="CK78" s="623"/>
      <c r="CL78" s="623"/>
      <c r="CM78" s="623"/>
      <c r="CN78" s="623"/>
      <c r="CO78" s="623"/>
      <c r="CP78" s="623"/>
      <c r="CQ78" s="623"/>
      <c r="CR78" s="623"/>
      <c r="CS78" s="623"/>
      <c r="CT78" s="623"/>
      <c r="CU78" s="623"/>
      <c r="CV78" s="623"/>
      <c r="CW78" s="623"/>
      <c r="CX78" s="673"/>
      <c r="CY78" s="557"/>
    </row>
    <row r="79" spans="1:234" ht="13.8">
      <c r="A79" s="591" t="s">
        <v>179</v>
      </c>
      <c r="B79" s="675"/>
      <c r="C79" s="550">
        <v>40</v>
      </c>
      <c r="D79" s="550">
        <f t="shared" si="14"/>
        <v>172</v>
      </c>
      <c r="E79" s="550"/>
      <c r="F79" s="550"/>
      <c r="G79" s="550"/>
      <c r="H79" s="550"/>
      <c r="I79" s="550"/>
      <c r="J79" s="550"/>
      <c r="K79" s="550"/>
      <c r="L79" s="550"/>
      <c r="M79" s="550"/>
      <c r="N79" s="550"/>
      <c r="O79" s="550"/>
      <c r="P79" s="550"/>
      <c r="Q79" s="550" t="s">
        <v>658</v>
      </c>
      <c r="R79" s="550"/>
      <c r="S79" s="550"/>
      <c r="T79" s="550"/>
      <c r="U79" s="550"/>
      <c r="V79" s="550"/>
      <c r="W79" s="550"/>
      <c r="X79" s="550"/>
      <c r="Y79" s="550"/>
      <c r="Z79" s="550"/>
      <c r="AA79" s="550"/>
      <c r="AB79" s="550"/>
      <c r="AC79" s="550"/>
      <c r="AD79" s="550"/>
      <c r="AE79" s="550"/>
      <c r="AF79" s="550"/>
      <c r="AG79" s="550"/>
      <c r="AH79" s="550"/>
      <c r="AI79" s="550"/>
      <c r="AJ79" s="550"/>
      <c r="AK79" s="550"/>
      <c r="AL79" s="550"/>
      <c r="AM79" s="550"/>
      <c r="AN79" s="550"/>
      <c r="AO79" s="550"/>
      <c r="AP79" s="550"/>
      <c r="AQ79" s="550"/>
      <c r="AR79" s="550"/>
      <c r="AS79" s="550"/>
      <c r="AT79" s="550"/>
      <c r="AU79" s="550"/>
      <c r="AV79" s="550"/>
      <c r="AW79" s="550"/>
      <c r="AX79" s="550"/>
      <c r="AY79" s="550"/>
      <c r="AZ79" s="550"/>
      <c r="BA79" s="550"/>
      <c r="BB79" s="550"/>
      <c r="BC79" s="550"/>
      <c r="BD79" s="550"/>
      <c r="BE79" s="550"/>
      <c r="BF79" s="672"/>
      <c r="BG79" s="672">
        <f t="shared" si="15"/>
        <v>0</v>
      </c>
      <c r="BH79" s="623"/>
      <c r="BI79" s="623"/>
      <c r="BJ79" s="623"/>
      <c r="BK79" s="623"/>
      <c r="BL79" s="623"/>
      <c r="BM79" s="623"/>
      <c r="BN79" s="623"/>
      <c r="BO79" s="623"/>
      <c r="BP79" s="623"/>
      <c r="BQ79" s="623"/>
      <c r="BR79" s="623"/>
      <c r="BS79" s="623"/>
      <c r="BT79" s="623"/>
      <c r="BU79" s="623"/>
      <c r="BV79" s="623">
        <v>2</v>
      </c>
      <c r="BW79" s="623">
        <v>2</v>
      </c>
      <c r="BX79" s="623"/>
      <c r="BY79" s="623"/>
      <c r="BZ79" s="623"/>
      <c r="CA79" s="623">
        <v>2</v>
      </c>
      <c r="CB79" s="623"/>
      <c r="CC79" s="623"/>
      <c r="CD79" s="623"/>
      <c r="CE79" s="623"/>
      <c r="CF79" s="623"/>
      <c r="CG79" s="623"/>
      <c r="CH79" s="623"/>
      <c r="CI79" s="623"/>
      <c r="CJ79" s="623"/>
      <c r="CK79" s="623"/>
      <c r="CL79" s="623"/>
      <c r="CM79" s="623"/>
      <c r="CN79" s="623"/>
      <c r="CO79" s="623"/>
      <c r="CP79" s="623"/>
      <c r="CQ79" s="623"/>
      <c r="CR79" s="623"/>
      <c r="CS79" s="623"/>
      <c r="CT79" s="623"/>
      <c r="CU79" s="623"/>
      <c r="CV79" s="623">
        <v>2</v>
      </c>
      <c r="CW79" s="623"/>
      <c r="CX79" s="673"/>
      <c r="CY79" s="557"/>
    </row>
    <row r="80" spans="1:234" ht="13.8">
      <c r="A80" s="591" t="s">
        <v>184</v>
      </c>
      <c r="B80" s="670"/>
      <c r="C80" s="550">
        <v>43</v>
      </c>
      <c r="D80" s="550">
        <f t="shared" si="14"/>
        <v>215</v>
      </c>
      <c r="E80" s="550"/>
      <c r="F80" s="550"/>
      <c r="G80" s="550"/>
      <c r="H80" s="550"/>
      <c r="I80" s="550"/>
      <c r="J80" s="550"/>
      <c r="K80" s="550"/>
      <c r="L80" s="550"/>
      <c r="M80" s="550"/>
      <c r="N80" s="550"/>
      <c r="O80" s="550"/>
      <c r="P80" s="550"/>
      <c r="Q80" s="550" t="s">
        <v>501</v>
      </c>
      <c r="R80" s="550"/>
      <c r="S80" s="550"/>
      <c r="T80" s="550"/>
      <c r="U80" s="550"/>
      <c r="V80" s="550"/>
      <c r="W80" s="550"/>
      <c r="X80" s="550"/>
      <c r="Y80" s="550"/>
      <c r="Z80" s="550"/>
      <c r="AA80" s="550"/>
      <c r="AB80" s="550"/>
      <c r="AC80" s="550"/>
      <c r="AD80" s="550"/>
      <c r="AE80" s="550"/>
      <c r="AF80" s="550"/>
      <c r="AG80" s="550"/>
      <c r="AH80" s="550"/>
      <c r="AI80" s="550"/>
      <c r="AJ80" s="550"/>
      <c r="AK80" s="550"/>
      <c r="AL80" s="550"/>
      <c r="AM80" s="550"/>
      <c r="AN80" s="550"/>
      <c r="AO80" s="550"/>
      <c r="AP80" s="550"/>
      <c r="AQ80" s="550"/>
      <c r="AR80" s="550"/>
      <c r="AS80" s="550"/>
      <c r="AT80" s="550"/>
      <c r="AU80" s="550"/>
      <c r="AV80" s="550"/>
      <c r="AW80" s="550"/>
      <c r="AX80" s="550"/>
      <c r="AY80" s="550"/>
      <c r="AZ80" s="550"/>
      <c r="BA80" s="550"/>
      <c r="BB80" s="550"/>
      <c r="BC80" s="550"/>
      <c r="BD80" s="550"/>
      <c r="BE80" s="550"/>
      <c r="BF80" s="672"/>
      <c r="BG80" s="672">
        <f t="shared" si="15"/>
        <v>0</v>
      </c>
      <c r="BH80" s="623"/>
      <c r="BI80" s="623"/>
      <c r="BJ80" s="623"/>
      <c r="BK80" s="623"/>
      <c r="BL80" s="623"/>
      <c r="BM80" s="623"/>
      <c r="BN80" s="623"/>
      <c r="BO80" s="623"/>
      <c r="BP80" s="623"/>
      <c r="BQ80" s="623"/>
      <c r="BR80" s="623"/>
      <c r="BS80" s="623"/>
      <c r="BT80" s="623"/>
      <c r="BU80" s="623"/>
      <c r="BV80" s="623">
        <v>1</v>
      </c>
      <c r="BW80" s="623">
        <v>1</v>
      </c>
      <c r="BX80" s="623"/>
      <c r="BY80" s="623"/>
      <c r="BZ80" s="623"/>
      <c r="CA80" s="623">
        <v>1</v>
      </c>
      <c r="CB80" s="623"/>
      <c r="CC80" s="623"/>
      <c r="CD80" s="623"/>
      <c r="CE80" s="623"/>
      <c r="CF80" s="623"/>
      <c r="CG80" s="623"/>
      <c r="CH80" s="623"/>
      <c r="CI80" s="623"/>
      <c r="CJ80" s="623"/>
      <c r="CK80" s="623"/>
      <c r="CL80" s="623"/>
      <c r="CM80" s="623"/>
      <c r="CN80" s="623"/>
      <c r="CO80" s="623"/>
      <c r="CP80" s="623"/>
      <c r="CQ80" s="623"/>
      <c r="CR80" s="623"/>
      <c r="CS80" s="623"/>
      <c r="CT80" s="623"/>
      <c r="CU80" s="623"/>
      <c r="CV80" s="623"/>
      <c r="CW80" s="623"/>
      <c r="CX80" s="673"/>
      <c r="CY80" s="557"/>
    </row>
    <row r="81" spans="1:234" ht="13.8">
      <c r="A81" s="591" t="s">
        <v>1309</v>
      </c>
      <c r="B81" s="675"/>
      <c r="C81" s="550">
        <v>42</v>
      </c>
      <c r="D81" s="550">
        <f t="shared" si="14"/>
        <v>257</v>
      </c>
      <c r="E81" s="550"/>
      <c r="F81" s="550"/>
      <c r="G81" s="550"/>
      <c r="H81" s="550"/>
      <c r="I81" s="550"/>
      <c r="J81" s="550"/>
      <c r="K81" s="550"/>
      <c r="L81" s="550"/>
      <c r="M81" s="550"/>
      <c r="N81" s="550"/>
      <c r="O81" s="550"/>
      <c r="P81" s="550"/>
      <c r="Q81" s="550" t="s">
        <v>404</v>
      </c>
      <c r="R81" s="550"/>
      <c r="S81" s="550"/>
      <c r="T81" s="550"/>
      <c r="U81" s="550"/>
      <c r="V81" s="550"/>
      <c r="W81" s="550"/>
      <c r="X81" s="550"/>
      <c r="Y81" s="550"/>
      <c r="Z81" s="550"/>
      <c r="AA81" s="550"/>
      <c r="AB81" s="550"/>
      <c r="AC81" s="550"/>
      <c r="AD81" s="550"/>
      <c r="AE81" s="550"/>
      <c r="AF81" s="550"/>
      <c r="AG81" s="550"/>
      <c r="AH81" s="550"/>
      <c r="AI81" s="550"/>
      <c r="AJ81" s="550"/>
      <c r="AK81" s="550"/>
      <c r="AL81" s="550"/>
      <c r="AM81" s="550"/>
      <c r="AN81" s="550"/>
      <c r="AO81" s="550"/>
      <c r="AP81" s="550"/>
      <c r="AQ81" s="550"/>
      <c r="AR81" s="550"/>
      <c r="AS81" s="550"/>
      <c r="AT81" s="550"/>
      <c r="AU81" s="550"/>
      <c r="AV81" s="550"/>
      <c r="AW81" s="550"/>
      <c r="AX81" s="550"/>
      <c r="AY81" s="550"/>
      <c r="AZ81" s="550"/>
      <c r="BA81" s="550"/>
      <c r="BB81" s="550"/>
      <c r="BC81" s="550"/>
      <c r="BD81" s="550"/>
      <c r="BE81" s="550"/>
      <c r="BF81" s="672"/>
      <c r="BG81" s="672">
        <f t="shared" si="15"/>
        <v>0</v>
      </c>
      <c r="BH81" s="623"/>
      <c r="BI81" s="623"/>
      <c r="BJ81" s="623"/>
      <c r="BK81" s="623"/>
      <c r="BL81" s="623"/>
      <c r="BM81" s="623"/>
      <c r="BN81" s="623"/>
      <c r="BO81" s="623"/>
      <c r="BP81" s="623"/>
      <c r="BQ81" s="623"/>
      <c r="BR81" s="623"/>
      <c r="BS81" s="623"/>
      <c r="BT81" s="623"/>
      <c r="BU81" s="623"/>
      <c r="BV81" s="623">
        <v>2</v>
      </c>
      <c r="BW81" s="623">
        <v>2</v>
      </c>
      <c r="BX81" s="623"/>
      <c r="BY81" s="623"/>
      <c r="BZ81" s="623"/>
      <c r="CA81" s="623">
        <v>2</v>
      </c>
      <c r="CB81" s="623"/>
      <c r="CC81" s="623"/>
      <c r="CD81" s="623"/>
      <c r="CE81" s="623"/>
      <c r="CF81" s="623"/>
      <c r="CG81" s="623"/>
      <c r="CH81" s="623"/>
      <c r="CI81" s="623"/>
      <c r="CJ81" s="623"/>
      <c r="CK81" s="623"/>
      <c r="CL81" s="623"/>
      <c r="CM81" s="623"/>
      <c r="CN81" s="623"/>
      <c r="CO81" s="623"/>
      <c r="CP81" s="623"/>
      <c r="CQ81" s="623"/>
      <c r="CR81" s="623"/>
      <c r="CS81" s="623"/>
      <c r="CT81" s="623"/>
      <c r="CU81" s="623"/>
      <c r="CV81" s="623">
        <v>2</v>
      </c>
      <c r="CW81" s="623"/>
      <c r="CX81" s="673"/>
      <c r="CY81" s="557"/>
    </row>
    <row r="82" spans="1:234" ht="13.8">
      <c r="A82" s="591" t="s">
        <v>1310</v>
      </c>
      <c r="B82" s="670"/>
      <c r="C82" s="550">
        <v>15</v>
      </c>
      <c r="D82" s="550">
        <f t="shared" si="14"/>
        <v>272</v>
      </c>
      <c r="E82" s="550"/>
      <c r="F82" s="550"/>
      <c r="G82" s="550"/>
      <c r="H82" s="550"/>
      <c r="I82" s="550"/>
      <c r="J82" s="550"/>
      <c r="K82" s="550"/>
      <c r="L82" s="550"/>
      <c r="M82" s="550"/>
      <c r="N82" s="550"/>
      <c r="O82" s="550"/>
      <c r="P82" s="550"/>
      <c r="Q82" s="550" t="s">
        <v>546</v>
      </c>
      <c r="R82" s="550"/>
      <c r="S82" s="550"/>
      <c r="T82" s="550"/>
      <c r="U82" s="550"/>
      <c r="V82" s="550"/>
      <c r="W82" s="550"/>
      <c r="X82" s="550"/>
      <c r="Y82" s="550"/>
      <c r="Z82" s="550"/>
      <c r="AA82" s="550"/>
      <c r="AB82" s="550"/>
      <c r="AC82" s="550"/>
      <c r="AD82" s="550"/>
      <c r="AE82" s="550"/>
      <c r="AF82" s="550"/>
      <c r="AG82" s="550"/>
      <c r="AH82" s="550"/>
      <c r="AI82" s="550"/>
      <c r="AJ82" s="550"/>
      <c r="AK82" s="550"/>
      <c r="AL82" s="550"/>
      <c r="AM82" s="550"/>
      <c r="AN82" s="550"/>
      <c r="AO82" s="550"/>
      <c r="AP82" s="550"/>
      <c r="AQ82" s="550"/>
      <c r="AR82" s="550"/>
      <c r="AS82" s="550"/>
      <c r="AT82" s="550"/>
      <c r="AU82" s="550"/>
      <c r="AV82" s="550"/>
      <c r="AW82" s="550"/>
      <c r="AX82" s="550"/>
      <c r="AY82" s="550"/>
      <c r="AZ82" s="550"/>
      <c r="BA82" s="550"/>
      <c r="BB82" s="550"/>
      <c r="BC82" s="550"/>
      <c r="BD82" s="550"/>
      <c r="BE82" s="550"/>
      <c r="BF82" s="672"/>
      <c r="BG82" s="672">
        <f t="shared" si="15"/>
        <v>0</v>
      </c>
      <c r="BH82" s="623"/>
      <c r="BI82" s="623"/>
      <c r="BJ82" s="623"/>
      <c r="BK82" s="623"/>
      <c r="BL82" s="623"/>
      <c r="BM82" s="623"/>
      <c r="BN82" s="623"/>
      <c r="BO82" s="623"/>
      <c r="BP82" s="623"/>
      <c r="BQ82" s="623"/>
      <c r="BR82" s="623"/>
      <c r="BS82" s="623"/>
      <c r="BT82" s="623"/>
      <c r="BU82" s="623"/>
      <c r="BV82" s="623">
        <v>2</v>
      </c>
      <c r="BW82" s="623">
        <v>2</v>
      </c>
      <c r="BX82" s="623"/>
      <c r="BY82" s="623"/>
      <c r="BZ82" s="623"/>
      <c r="CA82" s="623">
        <v>2</v>
      </c>
      <c r="CB82" s="623"/>
      <c r="CC82" s="623"/>
      <c r="CD82" s="623"/>
      <c r="CE82" s="623"/>
      <c r="CF82" s="623"/>
      <c r="CG82" s="623"/>
      <c r="CH82" s="623"/>
      <c r="CI82" s="623"/>
      <c r="CJ82" s="623"/>
      <c r="CK82" s="623"/>
      <c r="CL82" s="623"/>
      <c r="CM82" s="623"/>
      <c r="CN82" s="623"/>
      <c r="CO82" s="623"/>
      <c r="CP82" s="623"/>
      <c r="CQ82" s="623"/>
      <c r="CR82" s="623"/>
      <c r="CS82" s="623"/>
      <c r="CT82" s="623"/>
      <c r="CU82" s="623"/>
      <c r="CV82" s="623">
        <v>4</v>
      </c>
      <c r="CW82" s="623"/>
      <c r="CX82" s="673"/>
      <c r="CY82" s="557"/>
    </row>
    <row r="83" spans="1:234" ht="13.8">
      <c r="A83" s="591" t="s">
        <v>1311</v>
      </c>
      <c r="B83" s="675"/>
      <c r="C83" s="550">
        <v>40</v>
      </c>
      <c r="D83" s="550">
        <f t="shared" si="14"/>
        <v>312</v>
      </c>
      <c r="E83" s="550"/>
      <c r="F83" s="550"/>
      <c r="G83" s="550"/>
      <c r="H83" s="550"/>
      <c r="I83" s="550"/>
      <c r="J83" s="550"/>
      <c r="K83" s="550"/>
      <c r="L83" s="550"/>
      <c r="M83" s="550"/>
      <c r="N83" s="550"/>
      <c r="O83" s="550"/>
      <c r="P83" s="550"/>
      <c r="Q83" s="550" t="s">
        <v>1107</v>
      </c>
      <c r="R83" s="550"/>
      <c r="S83" s="550"/>
      <c r="T83" s="550"/>
      <c r="U83" s="550"/>
      <c r="V83" s="550"/>
      <c r="W83" s="550"/>
      <c r="X83" s="550"/>
      <c r="Y83" s="550"/>
      <c r="Z83" s="550"/>
      <c r="AA83" s="550"/>
      <c r="AB83" s="550"/>
      <c r="AC83" s="550"/>
      <c r="AD83" s="550"/>
      <c r="AE83" s="550"/>
      <c r="AF83" s="550"/>
      <c r="AG83" s="550"/>
      <c r="AH83" s="550"/>
      <c r="AI83" s="550"/>
      <c r="AJ83" s="550"/>
      <c r="AK83" s="550"/>
      <c r="AL83" s="550"/>
      <c r="AM83" s="550"/>
      <c r="AN83" s="550"/>
      <c r="AO83" s="550"/>
      <c r="AP83" s="550"/>
      <c r="AQ83" s="550"/>
      <c r="AR83" s="550"/>
      <c r="AS83" s="550"/>
      <c r="AT83" s="550"/>
      <c r="AU83" s="550"/>
      <c r="AV83" s="550"/>
      <c r="AW83" s="550"/>
      <c r="AX83" s="550"/>
      <c r="AY83" s="550"/>
      <c r="AZ83" s="550"/>
      <c r="BA83" s="550"/>
      <c r="BB83" s="550"/>
      <c r="BC83" s="550"/>
      <c r="BD83" s="550"/>
      <c r="BE83" s="550"/>
      <c r="BF83" s="672"/>
      <c r="BG83" s="672">
        <f t="shared" si="15"/>
        <v>0</v>
      </c>
      <c r="BH83" s="623"/>
      <c r="BI83" s="623"/>
      <c r="BJ83" s="623"/>
      <c r="BK83" s="623"/>
      <c r="BL83" s="623"/>
      <c r="BM83" s="623"/>
      <c r="BN83" s="623"/>
      <c r="BO83" s="623"/>
      <c r="BP83" s="623"/>
      <c r="BQ83" s="623"/>
      <c r="BR83" s="623"/>
      <c r="BS83" s="623"/>
      <c r="BT83" s="623"/>
      <c r="BU83" s="623"/>
      <c r="BV83" s="623">
        <v>1</v>
      </c>
      <c r="BW83" s="623">
        <v>1</v>
      </c>
      <c r="BX83" s="623"/>
      <c r="BY83" s="623"/>
      <c r="BZ83" s="623"/>
      <c r="CA83" s="623">
        <v>1</v>
      </c>
      <c r="CB83" s="623"/>
      <c r="CC83" s="623"/>
      <c r="CD83" s="623"/>
      <c r="CE83" s="623"/>
      <c r="CF83" s="623"/>
      <c r="CG83" s="623"/>
      <c r="CH83" s="623"/>
      <c r="CI83" s="623"/>
      <c r="CJ83" s="623"/>
      <c r="CK83" s="623"/>
      <c r="CL83" s="623"/>
      <c r="CM83" s="623"/>
      <c r="CN83" s="623"/>
      <c r="CO83" s="623"/>
      <c r="CP83" s="623"/>
      <c r="CQ83" s="623"/>
      <c r="CR83" s="623"/>
      <c r="CS83" s="623"/>
      <c r="CT83" s="623"/>
      <c r="CU83" s="623"/>
      <c r="CV83" s="623">
        <v>2</v>
      </c>
      <c r="CW83" s="623"/>
      <c r="CX83" s="673"/>
      <c r="CY83" s="557"/>
    </row>
    <row r="84" spans="1:234" ht="13.8">
      <c r="A84" s="690" t="s">
        <v>179</v>
      </c>
      <c r="B84" s="675"/>
      <c r="C84" s="550"/>
      <c r="D84" s="550">
        <f t="shared" si="14"/>
        <v>312</v>
      </c>
      <c r="E84" s="550"/>
      <c r="F84" s="550"/>
      <c r="G84" s="550"/>
      <c r="H84" s="550"/>
      <c r="I84" s="550"/>
      <c r="J84" s="550"/>
      <c r="K84" s="550"/>
      <c r="L84" s="550"/>
      <c r="M84" s="550"/>
      <c r="N84" s="550"/>
      <c r="O84" s="550"/>
      <c r="P84" s="550"/>
      <c r="Q84" s="550"/>
      <c r="R84" s="550"/>
      <c r="S84" s="550"/>
      <c r="T84" s="550"/>
      <c r="U84" s="550"/>
      <c r="V84" s="550"/>
      <c r="W84" s="550"/>
      <c r="X84" s="550"/>
      <c r="Y84" s="550"/>
      <c r="Z84" s="550"/>
      <c r="AA84" s="550"/>
      <c r="AB84" s="550"/>
      <c r="AC84" s="550"/>
      <c r="AD84" s="550"/>
      <c r="AE84" s="550"/>
      <c r="AF84" s="550"/>
      <c r="AG84" s="550"/>
      <c r="AH84" s="550"/>
      <c r="AI84" s="550"/>
      <c r="AJ84" s="550"/>
      <c r="AK84" s="550"/>
      <c r="AL84" s="550"/>
      <c r="AM84" s="550"/>
      <c r="AN84" s="550"/>
      <c r="AO84" s="550"/>
      <c r="AP84" s="550"/>
      <c r="AQ84" s="550"/>
      <c r="AR84" s="550"/>
      <c r="AS84" s="550"/>
      <c r="AT84" s="550"/>
      <c r="AU84" s="550"/>
      <c r="AV84" s="550"/>
      <c r="AW84" s="550"/>
      <c r="AX84" s="550"/>
      <c r="AY84" s="550"/>
      <c r="AZ84" s="550"/>
      <c r="BA84" s="550"/>
      <c r="BB84" s="550"/>
      <c r="BC84" s="550"/>
      <c r="BD84" s="550"/>
      <c r="BE84" s="550"/>
      <c r="BF84" s="672"/>
      <c r="BG84" s="672"/>
      <c r="BH84" s="623"/>
      <c r="BI84" s="623"/>
      <c r="BJ84" s="623"/>
      <c r="BK84" s="623"/>
      <c r="BL84" s="623"/>
      <c r="BM84" s="623"/>
      <c r="BN84" s="623"/>
      <c r="BO84" s="623"/>
      <c r="BP84" s="623"/>
      <c r="BQ84" s="623"/>
      <c r="BR84" s="623"/>
      <c r="BS84" s="623"/>
      <c r="BT84" s="623"/>
      <c r="BU84" s="623"/>
      <c r="BV84" s="623"/>
      <c r="BW84" s="623"/>
      <c r="BX84" s="623"/>
      <c r="BY84" s="623"/>
      <c r="BZ84" s="623"/>
      <c r="CA84" s="623"/>
      <c r="CB84" s="623"/>
      <c r="CC84" s="623"/>
      <c r="CD84" s="623"/>
      <c r="CE84" s="623"/>
      <c r="CF84" s="623"/>
      <c r="CG84" s="623"/>
      <c r="CH84" s="623"/>
      <c r="CI84" s="623"/>
      <c r="CJ84" s="623"/>
      <c r="CK84" s="623"/>
      <c r="CL84" s="623"/>
      <c r="CM84" s="623"/>
      <c r="CN84" s="623"/>
      <c r="CO84" s="623"/>
      <c r="CP84" s="623"/>
      <c r="CQ84" s="623"/>
      <c r="CR84" s="623"/>
      <c r="CS84" s="623"/>
      <c r="CT84" s="623"/>
      <c r="CU84" s="623"/>
      <c r="CV84" s="623"/>
      <c r="CW84" s="623"/>
      <c r="CX84" s="673"/>
      <c r="CY84" s="557"/>
    </row>
    <row r="85" spans="1:234" ht="13.8">
      <c r="A85" s="591" t="s">
        <v>1312</v>
      </c>
      <c r="B85" s="675"/>
      <c r="C85" s="550">
        <v>40</v>
      </c>
      <c r="D85" s="550">
        <f t="shared" si="14"/>
        <v>352</v>
      </c>
      <c r="E85" s="550"/>
      <c r="F85" s="550"/>
      <c r="G85" s="550"/>
      <c r="H85" s="550"/>
      <c r="I85" s="550"/>
      <c r="J85" s="550"/>
      <c r="K85" s="550"/>
      <c r="L85" s="550"/>
      <c r="M85" s="550"/>
      <c r="N85" s="550"/>
      <c r="O85" s="550"/>
      <c r="P85" s="550"/>
      <c r="Q85" s="550" t="s">
        <v>501</v>
      </c>
      <c r="R85" s="550"/>
      <c r="S85" s="550"/>
      <c r="T85" s="550"/>
      <c r="U85" s="550"/>
      <c r="V85" s="550"/>
      <c r="W85" s="550"/>
      <c r="X85" s="550"/>
      <c r="Y85" s="550"/>
      <c r="Z85" s="550"/>
      <c r="AA85" s="550"/>
      <c r="AB85" s="550"/>
      <c r="AC85" s="550"/>
      <c r="AD85" s="550"/>
      <c r="AE85" s="550"/>
      <c r="AF85" s="550"/>
      <c r="AG85" s="550"/>
      <c r="AH85" s="550"/>
      <c r="AI85" s="550"/>
      <c r="AJ85" s="550"/>
      <c r="AK85" s="550"/>
      <c r="AL85" s="550"/>
      <c r="AM85" s="550"/>
      <c r="AN85" s="550"/>
      <c r="AO85" s="550"/>
      <c r="AP85" s="550"/>
      <c r="AQ85" s="550"/>
      <c r="AR85" s="550"/>
      <c r="AS85" s="550"/>
      <c r="AT85" s="550"/>
      <c r="AU85" s="550"/>
      <c r="AV85" s="550"/>
      <c r="AW85" s="550"/>
      <c r="AX85" s="550"/>
      <c r="AY85" s="550"/>
      <c r="AZ85" s="550"/>
      <c r="BA85" s="550"/>
      <c r="BB85" s="550"/>
      <c r="BC85" s="550"/>
      <c r="BD85" s="550"/>
      <c r="BE85" s="550"/>
      <c r="BF85" s="672"/>
      <c r="BG85" s="672"/>
      <c r="BH85" s="623"/>
      <c r="BI85" s="623"/>
      <c r="BJ85" s="623"/>
      <c r="BK85" s="623"/>
      <c r="BL85" s="623"/>
      <c r="BM85" s="623"/>
      <c r="BN85" s="623"/>
      <c r="BO85" s="623"/>
      <c r="BP85" s="623"/>
      <c r="BQ85" s="623"/>
      <c r="BR85" s="623"/>
      <c r="BS85" s="623"/>
      <c r="BT85" s="623"/>
      <c r="BU85" s="623"/>
      <c r="BV85" s="623">
        <v>1</v>
      </c>
      <c r="BW85" s="623">
        <v>1</v>
      </c>
      <c r="BX85" s="623"/>
      <c r="BY85" s="623"/>
      <c r="BZ85" s="623"/>
      <c r="CA85" s="623">
        <v>1</v>
      </c>
      <c r="CB85" s="623"/>
      <c r="CC85" s="623"/>
      <c r="CD85" s="623"/>
      <c r="CE85" s="623"/>
      <c r="CF85" s="623"/>
      <c r="CG85" s="623"/>
      <c r="CH85" s="623"/>
      <c r="CI85" s="623"/>
      <c r="CJ85" s="623"/>
      <c r="CK85" s="623"/>
      <c r="CL85" s="623"/>
      <c r="CM85" s="623"/>
      <c r="CN85" s="623"/>
      <c r="CO85" s="623"/>
      <c r="CP85" s="623"/>
      <c r="CQ85" s="623"/>
      <c r="CR85" s="623"/>
      <c r="CS85" s="623"/>
      <c r="CT85" s="623"/>
      <c r="CU85" s="623"/>
      <c r="CV85" s="623"/>
      <c r="CW85" s="623"/>
      <c r="CX85" s="673"/>
      <c r="CY85" s="557"/>
    </row>
    <row r="86" spans="1:234" ht="13.8">
      <c r="A86" s="591" t="s">
        <v>1313</v>
      </c>
      <c r="B86" s="675"/>
      <c r="C86" s="550">
        <v>40</v>
      </c>
      <c r="D86" s="550">
        <f t="shared" si="14"/>
        <v>392</v>
      </c>
      <c r="E86" s="550"/>
      <c r="F86" s="550"/>
      <c r="G86" s="550"/>
      <c r="H86" s="550"/>
      <c r="I86" s="550"/>
      <c r="J86" s="550"/>
      <c r="K86" s="550"/>
      <c r="L86" s="550"/>
      <c r="M86" s="550"/>
      <c r="N86" s="550"/>
      <c r="O86" s="550"/>
      <c r="P86" s="550"/>
      <c r="Q86" s="550" t="s">
        <v>1818</v>
      </c>
      <c r="R86" s="550"/>
      <c r="S86" s="550"/>
      <c r="T86" s="550"/>
      <c r="U86" s="550"/>
      <c r="V86" s="550"/>
      <c r="W86" s="550"/>
      <c r="X86" s="550"/>
      <c r="Y86" s="550"/>
      <c r="Z86" s="550"/>
      <c r="AA86" s="550"/>
      <c r="AB86" s="550"/>
      <c r="AC86" s="550"/>
      <c r="AD86" s="550"/>
      <c r="AE86" s="550"/>
      <c r="AF86" s="550"/>
      <c r="AG86" s="550"/>
      <c r="AH86" s="550"/>
      <c r="AI86" s="550"/>
      <c r="AJ86" s="550"/>
      <c r="AK86" s="550"/>
      <c r="AL86" s="550"/>
      <c r="AM86" s="550"/>
      <c r="AN86" s="550"/>
      <c r="AO86" s="550"/>
      <c r="AP86" s="550"/>
      <c r="AQ86" s="550"/>
      <c r="AR86" s="550"/>
      <c r="AS86" s="550"/>
      <c r="AT86" s="550"/>
      <c r="AU86" s="550"/>
      <c r="AV86" s="550"/>
      <c r="AW86" s="550"/>
      <c r="AX86" s="550"/>
      <c r="AY86" s="550"/>
      <c r="AZ86" s="550"/>
      <c r="BA86" s="550"/>
      <c r="BB86" s="550"/>
      <c r="BC86" s="550"/>
      <c r="BD86" s="550"/>
      <c r="BE86" s="550"/>
      <c r="BF86" s="672"/>
      <c r="BG86" s="672"/>
      <c r="BH86" s="623"/>
      <c r="BI86" s="623"/>
      <c r="BJ86" s="623"/>
      <c r="BK86" s="623"/>
      <c r="BL86" s="623"/>
      <c r="BM86" s="623"/>
      <c r="BN86" s="623"/>
      <c r="BO86" s="623"/>
      <c r="BP86" s="623"/>
      <c r="BQ86" s="623"/>
      <c r="BR86" s="623"/>
      <c r="BS86" s="623"/>
      <c r="BT86" s="623"/>
      <c r="BU86" s="623"/>
      <c r="BV86" s="623">
        <v>1</v>
      </c>
      <c r="BW86" s="623">
        <v>1</v>
      </c>
      <c r="BX86" s="623"/>
      <c r="BY86" s="623"/>
      <c r="BZ86" s="623"/>
      <c r="CA86" s="623">
        <v>1</v>
      </c>
      <c r="CB86" s="623"/>
      <c r="CC86" s="623"/>
      <c r="CD86" s="623"/>
      <c r="CE86" s="623"/>
      <c r="CF86" s="623"/>
      <c r="CG86" s="623"/>
      <c r="CH86" s="623"/>
      <c r="CI86" s="623"/>
      <c r="CJ86" s="623"/>
      <c r="CK86" s="623"/>
      <c r="CL86" s="623"/>
      <c r="CM86" s="623"/>
      <c r="CN86" s="623"/>
      <c r="CO86" s="623"/>
      <c r="CP86" s="623"/>
      <c r="CQ86" s="623"/>
      <c r="CR86" s="623"/>
      <c r="CS86" s="623"/>
      <c r="CT86" s="623"/>
      <c r="CU86" s="623"/>
      <c r="CV86" s="623"/>
      <c r="CW86" s="623"/>
      <c r="CX86" s="673"/>
      <c r="CY86" s="557"/>
    </row>
    <row r="87" spans="1:234" ht="13.8">
      <c r="A87" s="591" t="s">
        <v>1314</v>
      </c>
      <c r="B87" s="670"/>
      <c r="C87" s="550">
        <v>32</v>
      </c>
      <c r="D87" s="550">
        <f t="shared" si="14"/>
        <v>424</v>
      </c>
      <c r="E87" s="550"/>
      <c r="F87" s="550"/>
      <c r="G87" s="550"/>
      <c r="H87" s="550"/>
      <c r="I87" s="550"/>
      <c r="J87" s="550"/>
      <c r="K87" s="550"/>
      <c r="L87" s="550"/>
      <c r="M87" s="550"/>
      <c r="N87" s="550"/>
      <c r="O87" s="550"/>
      <c r="P87" s="550"/>
      <c r="Q87" s="550" t="s">
        <v>1107</v>
      </c>
      <c r="R87" s="550"/>
      <c r="S87" s="550"/>
      <c r="T87" s="550"/>
      <c r="U87" s="550"/>
      <c r="V87" s="550"/>
      <c r="W87" s="550"/>
      <c r="X87" s="550"/>
      <c r="Y87" s="550"/>
      <c r="Z87" s="550"/>
      <c r="AA87" s="550"/>
      <c r="AB87" s="550"/>
      <c r="AC87" s="550"/>
      <c r="AD87" s="550"/>
      <c r="AE87" s="550"/>
      <c r="AF87" s="550"/>
      <c r="AG87" s="550"/>
      <c r="AH87" s="550"/>
      <c r="AI87" s="550"/>
      <c r="AJ87" s="550"/>
      <c r="AK87" s="550"/>
      <c r="AL87" s="550"/>
      <c r="AM87" s="550"/>
      <c r="AN87" s="550"/>
      <c r="AO87" s="550"/>
      <c r="AP87" s="550"/>
      <c r="AQ87" s="550"/>
      <c r="AR87" s="550"/>
      <c r="AS87" s="550"/>
      <c r="AT87" s="550"/>
      <c r="AU87" s="550"/>
      <c r="AV87" s="550"/>
      <c r="AW87" s="550"/>
      <c r="AX87" s="550"/>
      <c r="AY87" s="550"/>
      <c r="AZ87" s="550"/>
      <c r="BA87" s="550"/>
      <c r="BB87" s="550"/>
      <c r="BC87" s="550"/>
      <c r="BD87" s="550"/>
      <c r="BE87" s="550"/>
      <c r="BF87" s="672"/>
      <c r="BG87" s="672">
        <f>AX87</f>
        <v>0</v>
      </c>
      <c r="BH87" s="623"/>
      <c r="BI87" s="623"/>
      <c r="BJ87" s="623"/>
      <c r="BK87" s="623"/>
      <c r="BL87" s="623"/>
      <c r="BM87" s="623"/>
      <c r="BN87" s="623"/>
      <c r="BO87" s="623"/>
      <c r="BP87" s="623"/>
      <c r="BQ87" s="623"/>
      <c r="BR87" s="623"/>
      <c r="BS87" s="623"/>
      <c r="BT87" s="623"/>
      <c r="BU87" s="623"/>
      <c r="BV87" s="623">
        <v>1</v>
      </c>
      <c r="BW87" s="623">
        <v>1</v>
      </c>
      <c r="BX87" s="623"/>
      <c r="BY87" s="623"/>
      <c r="BZ87" s="623"/>
      <c r="CA87" s="623">
        <v>1</v>
      </c>
      <c r="CB87" s="623"/>
      <c r="CC87" s="623"/>
      <c r="CD87" s="623"/>
      <c r="CE87" s="623"/>
      <c r="CF87" s="623"/>
      <c r="CG87" s="623"/>
      <c r="CH87" s="623"/>
      <c r="CI87" s="623"/>
      <c r="CJ87" s="623"/>
      <c r="CK87" s="623"/>
      <c r="CL87" s="623"/>
      <c r="CM87" s="623"/>
      <c r="CN87" s="623"/>
      <c r="CO87" s="623"/>
      <c r="CP87" s="623"/>
      <c r="CQ87" s="623"/>
      <c r="CR87" s="623"/>
      <c r="CS87" s="623"/>
      <c r="CT87" s="623"/>
      <c r="CU87" s="623"/>
      <c r="CV87" s="623">
        <v>2</v>
      </c>
      <c r="CW87" s="623"/>
      <c r="CX87" s="673"/>
      <c r="CY87" s="557"/>
    </row>
    <row r="88" spans="1:234" ht="13.8">
      <c r="A88" s="690" t="s">
        <v>1309</v>
      </c>
      <c r="B88" s="675"/>
      <c r="C88" s="550"/>
      <c r="D88" s="550">
        <f t="shared" si="14"/>
        <v>424</v>
      </c>
      <c r="E88" s="550"/>
      <c r="F88" s="550"/>
      <c r="G88" s="550"/>
      <c r="H88" s="550"/>
      <c r="I88" s="550"/>
      <c r="J88" s="550"/>
      <c r="K88" s="550"/>
      <c r="L88" s="550"/>
      <c r="M88" s="550"/>
      <c r="N88" s="550"/>
      <c r="O88" s="550"/>
      <c r="P88" s="550"/>
      <c r="Q88" s="550"/>
      <c r="R88" s="550"/>
      <c r="S88" s="550"/>
      <c r="T88" s="550"/>
      <c r="U88" s="550"/>
      <c r="V88" s="550"/>
      <c r="W88" s="550"/>
      <c r="X88" s="550"/>
      <c r="Y88" s="550"/>
      <c r="Z88" s="550"/>
      <c r="AA88" s="550"/>
      <c r="AB88" s="550"/>
      <c r="AC88" s="550"/>
      <c r="AD88" s="550"/>
      <c r="AE88" s="550"/>
      <c r="AF88" s="550"/>
      <c r="AG88" s="550"/>
      <c r="AH88" s="550"/>
      <c r="AI88" s="550"/>
      <c r="AJ88" s="550"/>
      <c r="AK88" s="550"/>
      <c r="AL88" s="550"/>
      <c r="AM88" s="550"/>
      <c r="AN88" s="550"/>
      <c r="AO88" s="550"/>
      <c r="AP88" s="550"/>
      <c r="AQ88" s="550"/>
      <c r="AR88" s="550"/>
      <c r="AS88" s="550"/>
      <c r="AT88" s="550"/>
      <c r="AU88" s="550"/>
      <c r="AV88" s="550"/>
      <c r="AW88" s="550"/>
      <c r="AX88" s="550"/>
      <c r="AY88" s="550"/>
      <c r="AZ88" s="550"/>
      <c r="BA88" s="550"/>
      <c r="BB88" s="550"/>
      <c r="BC88" s="550"/>
      <c r="BD88" s="550"/>
      <c r="BE88" s="550"/>
      <c r="BF88" s="672"/>
      <c r="BG88" s="672">
        <f>AX88</f>
        <v>0</v>
      </c>
      <c r="BH88" s="623"/>
      <c r="BI88" s="623"/>
      <c r="BJ88" s="623"/>
      <c r="BK88" s="623"/>
      <c r="BL88" s="623"/>
      <c r="BM88" s="623"/>
      <c r="BN88" s="623"/>
      <c r="BO88" s="623"/>
      <c r="BP88" s="623"/>
      <c r="BQ88" s="623"/>
      <c r="BR88" s="623"/>
      <c r="BS88" s="623"/>
      <c r="BT88" s="623"/>
      <c r="BU88" s="623"/>
      <c r="BV88" s="623"/>
      <c r="BW88" s="623"/>
      <c r="BX88" s="623"/>
      <c r="BY88" s="623"/>
      <c r="BZ88" s="623"/>
      <c r="CA88" s="623"/>
      <c r="CB88" s="623"/>
      <c r="CC88" s="623"/>
      <c r="CD88" s="623"/>
      <c r="CE88" s="623"/>
      <c r="CF88" s="623"/>
      <c r="CG88" s="623"/>
      <c r="CH88" s="623"/>
      <c r="CI88" s="623"/>
      <c r="CJ88" s="623"/>
      <c r="CK88" s="623"/>
      <c r="CL88" s="623"/>
      <c r="CM88" s="623"/>
      <c r="CN88" s="623"/>
      <c r="CO88" s="623"/>
      <c r="CP88" s="623"/>
      <c r="CQ88" s="623"/>
      <c r="CR88" s="623"/>
      <c r="CS88" s="623"/>
      <c r="CT88" s="623"/>
      <c r="CU88" s="623"/>
      <c r="CV88" s="623"/>
      <c r="CW88" s="623"/>
      <c r="CX88" s="673"/>
      <c r="CY88" s="557"/>
    </row>
    <row r="89" spans="1:234" ht="13.8">
      <c r="A89" s="591" t="s">
        <v>1315</v>
      </c>
      <c r="B89" s="670"/>
      <c r="C89" s="550">
        <v>40</v>
      </c>
      <c r="D89" s="550">
        <f t="shared" si="14"/>
        <v>464</v>
      </c>
      <c r="E89" s="550"/>
      <c r="F89" s="550"/>
      <c r="G89" s="550"/>
      <c r="H89" s="550"/>
      <c r="I89" s="550"/>
      <c r="J89" s="550"/>
      <c r="K89" s="550"/>
      <c r="L89" s="550"/>
      <c r="M89" s="550"/>
      <c r="N89" s="550"/>
      <c r="O89" s="550"/>
      <c r="P89" s="550"/>
      <c r="Q89" s="550" t="s">
        <v>501</v>
      </c>
      <c r="R89" s="550"/>
      <c r="S89" s="550"/>
      <c r="T89" s="550"/>
      <c r="U89" s="550"/>
      <c r="V89" s="550"/>
      <c r="W89" s="550"/>
      <c r="X89" s="550"/>
      <c r="Y89" s="550"/>
      <c r="Z89" s="550"/>
      <c r="AA89" s="550"/>
      <c r="AB89" s="550"/>
      <c r="AC89" s="550"/>
      <c r="AD89" s="550"/>
      <c r="AE89" s="550"/>
      <c r="AF89" s="550"/>
      <c r="AG89" s="550"/>
      <c r="AH89" s="550"/>
      <c r="AI89" s="550"/>
      <c r="AJ89" s="550"/>
      <c r="AK89" s="550"/>
      <c r="AL89" s="550"/>
      <c r="AM89" s="550"/>
      <c r="AN89" s="550"/>
      <c r="AO89" s="550"/>
      <c r="AP89" s="550"/>
      <c r="AQ89" s="550"/>
      <c r="AR89" s="550"/>
      <c r="AS89" s="550"/>
      <c r="AT89" s="550"/>
      <c r="AU89" s="550"/>
      <c r="AV89" s="550"/>
      <c r="AW89" s="550"/>
      <c r="AX89" s="550"/>
      <c r="AY89" s="550"/>
      <c r="AZ89" s="550"/>
      <c r="BA89" s="550"/>
      <c r="BB89" s="550"/>
      <c r="BC89" s="550"/>
      <c r="BD89" s="550"/>
      <c r="BE89" s="550"/>
      <c r="BF89" s="672"/>
      <c r="BG89" s="672">
        <f>AX89</f>
        <v>0</v>
      </c>
      <c r="BH89" s="623"/>
      <c r="BI89" s="623"/>
      <c r="BJ89" s="623"/>
      <c r="BK89" s="623"/>
      <c r="BL89" s="623"/>
      <c r="BM89" s="623"/>
      <c r="BN89" s="623"/>
      <c r="BO89" s="623"/>
      <c r="BP89" s="623"/>
      <c r="BQ89" s="623"/>
      <c r="BR89" s="623"/>
      <c r="BS89" s="623"/>
      <c r="BT89" s="623"/>
      <c r="BU89" s="623"/>
      <c r="BV89" s="623">
        <v>1</v>
      </c>
      <c r="BW89" s="623">
        <v>1</v>
      </c>
      <c r="BX89" s="623"/>
      <c r="BY89" s="623"/>
      <c r="BZ89" s="623"/>
      <c r="CA89" s="623">
        <v>1</v>
      </c>
      <c r="CB89" s="623"/>
      <c r="CC89" s="623"/>
      <c r="CD89" s="623"/>
      <c r="CE89" s="623"/>
      <c r="CF89" s="623"/>
      <c r="CG89" s="623"/>
      <c r="CH89" s="623"/>
      <c r="CI89" s="623"/>
      <c r="CJ89" s="623"/>
      <c r="CK89" s="623"/>
      <c r="CL89" s="623"/>
      <c r="CM89" s="623"/>
      <c r="CN89" s="623"/>
      <c r="CO89" s="623"/>
      <c r="CP89" s="623"/>
      <c r="CQ89" s="623"/>
      <c r="CR89" s="623"/>
      <c r="CS89" s="623"/>
      <c r="CT89" s="623"/>
      <c r="CU89" s="623"/>
      <c r="CV89" s="623"/>
      <c r="CW89" s="623"/>
      <c r="CX89" s="673"/>
      <c r="CY89" s="557"/>
    </row>
    <row r="90" spans="1:234" s="678" customFormat="1" ht="13.8">
      <c r="A90" s="591" t="s">
        <v>1316</v>
      </c>
      <c r="B90" s="689"/>
      <c r="C90" s="550">
        <v>40</v>
      </c>
      <c r="D90" s="550">
        <f t="shared" si="14"/>
        <v>504</v>
      </c>
      <c r="E90" s="613"/>
      <c r="F90" s="613"/>
      <c r="G90" s="613"/>
      <c r="H90" s="613"/>
      <c r="I90" s="613"/>
      <c r="J90" s="679"/>
      <c r="K90" s="613"/>
      <c r="L90" s="613"/>
      <c r="M90" s="550"/>
      <c r="N90" s="550"/>
      <c r="O90" s="614"/>
      <c r="P90" s="614"/>
      <c r="Q90" s="680" t="s">
        <v>1107</v>
      </c>
      <c r="R90" s="681"/>
      <c r="S90" s="681"/>
      <c r="T90" s="681"/>
      <c r="U90" s="681"/>
      <c r="V90" s="681"/>
      <c r="W90" s="681"/>
      <c r="X90" s="681"/>
      <c r="Y90" s="681"/>
      <c r="Z90" s="681"/>
      <c r="AA90" s="682"/>
      <c r="AB90" s="682"/>
      <c r="AC90" s="682"/>
      <c r="AD90" s="682"/>
      <c r="AE90" s="682"/>
      <c r="AF90" s="682"/>
      <c r="AG90" s="682"/>
      <c r="AH90" s="682"/>
      <c r="AI90" s="682"/>
      <c r="AJ90" s="682"/>
      <c r="AK90" s="682"/>
      <c r="AL90" s="682"/>
      <c r="AM90" s="682"/>
      <c r="AN90" s="682"/>
      <c r="AO90" s="682"/>
      <c r="AP90" s="682"/>
      <c r="AQ90" s="682"/>
      <c r="AR90" s="682"/>
      <c r="AS90" s="682"/>
      <c r="AT90" s="682"/>
      <c r="AU90" s="682"/>
      <c r="AV90" s="682"/>
      <c r="AW90" s="682"/>
      <c r="AX90" s="682"/>
      <c r="AY90" s="682"/>
      <c r="AZ90" s="682"/>
      <c r="BA90" s="682"/>
      <c r="BB90" s="682"/>
      <c r="BC90" s="682"/>
      <c r="BD90" s="682"/>
      <c r="BE90" s="682"/>
      <c r="BF90" s="672"/>
      <c r="BG90" s="672">
        <f>AX90</f>
        <v>0</v>
      </c>
      <c r="BH90" s="682"/>
      <c r="BI90" s="682"/>
      <c r="BJ90" s="682"/>
      <c r="BK90" s="682"/>
      <c r="BL90" s="682"/>
      <c r="BM90" s="682"/>
      <c r="BN90" s="682"/>
      <c r="BO90" s="682"/>
      <c r="BP90" s="682"/>
      <c r="BQ90" s="682"/>
      <c r="BR90" s="682"/>
      <c r="BS90" s="682"/>
      <c r="BT90" s="682"/>
      <c r="BU90" s="682"/>
      <c r="BV90" s="682">
        <v>1</v>
      </c>
      <c r="BW90" s="682">
        <v>1</v>
      </c>
      <c r="BX90" s="682"/>
      <c r="BY90" s="682"/>
      <c r="BZ90" s="682"/>
      <c r="CA90" s="682">
        <v>1</v>
      </c>
      <c r="CB90" s="682"/>
      <c r="CC90" s="682"/>
      <c r="CD90" s="682"/>
      <c r="CE90" s="682"/>
      <c r="CF90" s="682"/>
      <c r="CG90" s="682"/>
      <c r="CH90" s="682"/>
      <c r="CI90" s="682"/>
      <c r="CJ90" s="682"/>
      <c r="CK90" s="682"/>
      <c r="CL90" s="682"/>
      <c r="CM90" s="682"/>
      <c r="CN90" s="682"/>
      <c r="CO90" s="682"/>
      <c r="CP90" s="682"/>
      <c r="CQ90" s="682"/>
      <c r="CR90" s="682"/>
      <c r="CS90" s="682"/>
      <c r="CT90" s="682"/>
      <c r="CU90" s="682"/>
      <c r="CV90" s="682">
        <v>2</v>
      </c>
      <c r="CW90" s="682"/>
      <c r="CX90" s="683"/>
      <c r="CY90" s="557"/>
      <c r="CZ90" s="677"/>
      <c r="DA90" s="530"/>
      <c r="DB90" s="530"/>
      <c r="DC90" s="530"/>
      <c r="DD90" s="530"/>
      <c r="DE90" s="530"/>
      <c r="DF90" s="530"/>
      <c r="DG90" s="530"/>
      <c r="DH90" s="530"/>
      <c r="DI90" s="530"/>
      <c r="DJ90" s="530"/>
      <c r="DK90" s="530"/>
      <c r="DL90" s="530"/>
      <c r="DM90" s="530"/>
      <c r="DN90" s="530"/>
      <c r="DO90" s="530"/>
      <c r="DP90" s="530"/>
      <c r="DQ90" s="530"/>
      <c r="DR90" s="530"/>
      <c r="DS90" s="530"/>
      <c r="DT90" s="530"/>
      <c r="DU90" s="530"/>
      <c r="DV90" s="530"/>
      <c r="DW90" s="530"/>
      <c r="DX90" s="530"/>
      <c r="DY90" s="530"/>
      <c r="DZ90" s="530"/>
      <c r="EA90" s="530"/>
      <c r="EB90" s="530"/>
      <c r="EC90" s="530"/>
      <c r="ED90" s="530"/>
      <c r="EE90" s="530"/>
      <c r="EF90" s="530"/>
      <c r="EG90" s="530"/>
      <c r="EH90" s="530"/>
      <c r="EI90" s="530"/>
      <c r="EJ90" s="530"/>
      <c r="EK90" s="530"/>
      <c r="EL90" s="530"/>
      <c r="EM90" s="530"/>
      <c r="EN90" s="530"/>
      <c r="EO90" s="530"/>
      <c r="EP90" s="530"/>
      <c r="EQ90" s="530"/>
      <c r="ER90" s="530"/>
      <c r="ES90" s="530"/>
      <c r="ET90" s="530"/>
      <c r="EU90" s="530"/>
      <c r="EV90" s="530"/>
      <c r="EW90" s="530"/>
      <c r="EX90" s="530"/>
      <c r="EY90" s="530"/>
      <c r="EZ90" s="530"/>
      <c r="FA90" s="530"/>
      <c r="FB90" s="530"/>
      <c r="FC90" s="530"/>
      <c r="FD90" s="530"/>
      <c r="FE90" s="530"/>
      <c r="FF90" s="530"/>
      <c r="FG90" s="530"/>
      <c r="FH90" s="530"/>
      <c r="FI90" s="530"/>
      <c r="FJ90" s="530"/>
      <c r="FK90" s="530"/>
      <c r="FL90" s="530"/>
      <c r="FM90" s="530"/>
      <c r="FN90" s="530"/>
      <c r="FO90" s="530"/>
      <c r="FP90" s="530"/>
      <c r="FQ90" s="530"/>
      <c r="FR90" s="530"/>
      <c r="FS90" s="530"/>
      <c r="FT90" s="530"/>
      <c r="FU90" s="530"/>
      <c r="FV90" s="530"/>
      <c r="FW90" s="530"/>
      <c r="FX90" s="530"/>
      <c r="FY90" s="530"/>
      <c r="FZ90" s="530"/>
      <c r="GA90" s="530"/>
      <c r="GB90" s="530"/>
      <c r="GC90" s="530"/>
      <c r="GD90" s="530"/>
      <c r="GE90" s="530"/>
      <c r="GF90" s="530"/>
      <c r="GG90" s="530"/>
      <c r="GH90" s="530"/>
      <c r="GI90" s="530"/>
      <c r="GJ90" s="530"/>
      <c r="GK90" s="530"/>
      <c r="GL90" s="530"/>
      <c r="GM90" s="530"/>
      <c r="GN90" s="530"/>
      <c r="GO90" s="530"/>
      <c r="GP90" s="530"/>
      <c r="GQ90" s="530"/>
      <c r="GR90" s="530"/>
      <c r="GS90" s="530"/>
      <c r="GT90" s="530"/>
      <c r="GU90" s="530"/>
      <c r="GV90" s="530"/>
      <c r="GW90" s="530"/>
      <c r="GX90" s="530"/>
      <c r="GY90" s="530"/>
      <c r="GZ90" s="530"/>
      <c r="HA90" s="530"/>
      <c r="HB90" s="530"/>
      <c r="HC90" s="530"/>
      <c r="HD90" s="530"/>
      <c r="HE90" s="530"/>
      <c r="HF90" s="530"/>
      <c r="HG90" s="530"/>
      <c r="HH90" s="530"/>
      <c r="HI90" s="530"/>
      <c r="HJ90" s="530"/>
      <c r="HK90" s="530"/>
      <c r="HL90" s="530"/>
      <c r="HM90" s="530"/>
      <c r="HN90" s="530"/>
      <c r="HO90" s="530"/>
      <c r="HP90" s="530"/>
      <c r="HQ90" s="530"/>
      <c r="HR90" s="530"/>
      <c r="HS90" s="530"/>
      <c r="HT90" s="530"/>
      <c r="HU90" s="530"/>
      <c r="HV90" s="530"/>
      <c r="HW90" s="530"/>
      <c r="HX90" s="530"/>
      <c r="HY90" s="530"/>
      <c r="HZ90" s="530"/>
    </row>
    <row r="91" spans="1:234" s="688" customFormat="1" ht="13.8">
      <c r="A91" s="656" t="s">
        <v>4016</v>
      </c>
      <c r="B91" s="684"/>
      <c r="C91" s="685">
        <f>SUM(C74:C90)</f>
        <v>504</v>
      </c>
      <c r="D91" s="685">
        <f>+D90</f>
        <v>504</v>
      </c>
      <c r="E91" s="685"/>
      <c r="F91" s="685">
        <f t="shared" ref="F91:N91" si="16">F71</f>
        <v>0</v>
      </c>
      <c r="G91" s="685">
        <f t="shared" si="16"/>
        <v>0</v>
      </c>
      <c r="H91" s="685">
        <f t="shared" si="16"/>
        <v>0</v>
      </c>
      <c r="I91" s="685">
        <f t="shared" si="16"/>
        <v>0</v>
      </c>
      <c r="J91" s="685">
        <f t="shared" si="16"/>
        <v>0</v>
      </c>
      <c r="K91" s="685">
        <f t="shared" si="16"/>
        <v>0</v>
      </c>
      <c r="L91" s="685">
        <f t="shared" si="16"/>
        <v>0</v>
      </c>
      <c r="M91" s="685">
        <f t="shared" si="16"/>
        <v>0</v>
      </c>
      <c r="N91" s="685">
        <f t="shared" si="16"/>
        <v>0</v>
      </c>
      <c r="O91" s="685">
        <f>SUM(O71:O71)</f>
        <v>0</v>
      </c>
      <c r="P91" s="685">
        <f>SUM(P71:P71)</f>
        <v>0</v>
      </c>
      <c r="Q91" s="685"/>
      <c r="R91" s="685">
        <f t="shared" ref="R91:AW91" si="17">+SUM(R74:R90)</f>
        <v>0</v>
      </c>
      <c r="S91" s="685">
        <f t="shared" si="17"/>
        <v>0</v>
      </c>
      <c r="T91" s="685">
        <f t="shared" si="17"/>
        <v>0</v>
      </c>
      <c r="U91" s="685">
        <f t="shared" si="17"/>
        <v>0</v>
      </c>
      <c r="V91" s="685">
        <f t="shared" si="17"/>
        <v>0</v>
      </c>
      <c r="W91" s="685">
        <f t="shared" si="17"/>
        <v>0</v>
      </c>
      <c r="X91" s="685">
        <f t="shared" si="17"/>
        <v>0</v>
      </c>
      <c r="Y91" s="685">
        <f t="shared" si="17"/>
        <v>0</v>
      </c>
      <c r="Z91" s="685">
        <f t="shared" si="17"/>
        <v>0</v>
      </c>
      <c r="AA91" s="685">
        <f t="shared" si="17"/>
        <v>0</v>
      </c>
      <c r="AB91" s="685">
        <f t="shared" si="17"/>
        <v>0</v>
      </c>
      <c r="AC91" s="685">
        <f t="shared" si="17"/>
        <v>0</v>
      </c>
      <c r="AD91" s="685">
        <f t="shared" si="17"/>
        <v>0</v>
      </c>
      <c r="AE91" s="685">
        <f t="shared" si="17"/>
        <v>0</v>
      </c>
      <c r="AF91" s="685">
        <f t="shared" si="17"/>
        <v>0</v>
      </c>
      <c r="AG91" s="685">
        <f t="shared" si="17"/>
        <v>0</v>
      </c>
      <c r="AH91" s="685">
        <f t="shared" si="17"/>
        <v>0</v>
      </c>
      <c r="AI91" s="685">
        <f t="shared" si="17"/>
        <v>0</v>
      </c>
      <c r="AJ91" s="685">
        <f t="shared" si="17"/>
        <v>0</v>
      </c>
      <c r="AK91" s="685">
        <f t="shared" si="17"/>
        <v>0</v>
      </c>
      <c r="AL91" s="685">
        <f t="shared" si="17"/>
        <v>0</v>
      </c>
      <c r="AM91" s="685">
        <f t="shared" si="17"/>
        <v>0</v>
      </c>
      <c r="AN91" s="685">
        <f t="shared" si="17"/>
        <v>0</v>
      </c>
      <c r="AO91" s="685">
        <f t="shared" si="17"/>
        <v>0</v>
      </c>
      <c r="AP91" s="685">
        <f t="shared" si="17"/>
        <v>0</v>
      </c>
      <c r="AQ91" s="685">
        <f t="shared" si="17"/>
        <v>0</v>
      </c>
      <c r="AR91" s="685">
        <f t="shared" si="17"/>
        <v>0</v>
      </c>
      <c r="AS91" s="685">
        <f t="shared" si="17"/>
        <v>0</v>
      </c>
      <c r="AT91" s="685">
        <f t="shared" si="17"/>
        <v>0</v>
      </c>
      <c r="AU91" s="685">
        <f t="shared" si="17"/>
        <v>0</v>
      </c>
      <c r="AV91" s="685">
        <f t="shared" si="17"/>
        <v>0</v>
      </c>
      <c r="AW91" s="685">
        <f t="shared" si="17"/>
        <v>0</v>
      </c>
      <c r="AX91" s="685">
        <f t="shared" ref="AX91:CB91" si="18">+SUM(AX74:AX90)</f>
        <v>0</v>
      </c>
      <c r="AY91" s="685">
        <f t="shared" si="18"/>
        <v>0</v>
      </c>
      <c r="AZ91" s="685">
        <f t="shared" si="18"/>
        <v>0</v>
      </c>
      <c r="BA91" s="685">
        <f t="shared" si="18"/>
        <v>0</v>
      </c>
      <c r="BB91" s="685">
        <f t="shared" si="18"/>
        <v>0</v>
      </c>
      <c r="BC91" s="685">
        <f t="shared" si="18"/>
        <v>0</v>
      </c>
      <c r="BD91" s="685">
        <f t="shared" si="18"/>
        <v>0</v>
      </c>
      <c r="BE91" s="685">
        <f t="shared" si="18"/>
        <v>0</v>
      </c>
      <c r="BF91" s="685">
        <f t="shared" si="18"/>
        <v>0</v>
      </c>
      <c r="BG91" s="685">
        <f t="shared" si="18"/>
        <v>0</v>
      </c>
      <c r="BH91" s="685">
        <f t="shared" si="18"/>
        <v>0</v>
      </c>
      <c r="BI91" s="685">
        <f t="shared" si="18"/>
        <v>0</v>
      </c>
      <c r="BJ91" s="685">
        <f t="shared" si="18"/>
        <v>0</v>
      </c>
      <c r="BK91" s="685">
        <f t="shared" si="18"/>
        <v>0</v>
      </c>
      <c r="BL91" s="685">
        <f t="shared" si="18"/>
        <v>0</v>
      </c>
      <c r="BM91" s="685">
        <f t="shared" si="18"/>
        <v>0</v>
      </c>
      <c r="BN91" s="685">
        <f t="shared" si="18"/>
        <v>0</v>
      </c>
      <c r="BO91" s="685">
        <f t="shared" si="18"/>
        <v>0</v>
      </c>
      <c r="BP91" s="685">
        <f t="shared" si="18"/>
        <v>0</v>
      </c>
      <c r="BQ91" s="685">
        <f t="shared" si="18"/>
        <v>0</v>
      </c>
      <c r="BR91" s="685">
        <f t="shared" si="18"/>
        <v>0</v>
      </c>
      <c r="BS91" s="685">
        <f t="shared" si="18"/>
        <v>0</v>
      </c>
      <c r="BT91" s="685">
        <f t="shared" si="18"/>
        <v>0</v>
      </c>
      <c r="BU91" s="685">
        <f t="shared" si="18"/>
        <v>0</v>
      </c>
      <c r="BV91" s="685">
        <f t="shared" si="18"/>
        <v>19</v>
      </c>
      <c r="BW91" s="685">
        <f t="shared" si="18"/>
        <v>19</v>
      </c>
      <c r="BX91" s="685">
        <f t="shared" si="18"/>
        <v>0</v>
      </c>
      <c r="BY91" s="685">
        <f t="shared" si="18"/>
        <v>0</v>
      </c>
      <c r="BZ91" s="685">
        <f t="shared" si="18"/>
        <v>0</v>
      </c>
      <c r="CA91" s="685">
        <f t="shared" si="18"/>
        <v>19</v>
      </c>
      <c r="CB91" s="685">
        <f t="shared" si="18"/>
        <v>0</v>
      </c>
      <c r="CC91" s="685">
        <f t="shared" ref="CC91:CM91" si="19">+SUM(CC74:CC90)</f>
        <v>0</v>
      </c>
      <c r="CD91" s="685">
        <f t="shared" si="19"/>
        <v>0</v>
      </c>
      <c r="CE91" s="685">
        <f t="shared" si="19"/>
        <v>0</v>
      </c>
      <c r="CF91" s="685">
        <f t="shared" si="19"/>
        <v>0</v>
      </c>
      <c r="CG91" s="685">
        <f t="shared" si="19"/>
        <v>0</v>
      </c>
      <c r="CH91" s="685">
        <f t="shared" si="19"/>
        <v>0</v>
      </c>
      <c r="CI91" s="685">
        <f t="shared" si="19"/>
        <v>0</v>
      </c>
      <c r="CJ91" s="685">
        <f t="shared" si="19"/>
        <v>0</v>
      </c>
      <c r="CK91" s="685">
        <f t="shared" si="19"/>
        <v>0</v>
      </c>
      <c r="CL91" s="685">
        <f t="shared" si="19"/>
        <v>0</v>
      </c>
      <c r="CM91" s="685">
        <f t="shared" si="19"/>
        <v>0</v>
      </c>
      <c r="CN91" s="685">
        <f t="shared" ref="CN91:CX91" si="20">+SUM(CN74:CN90)</f>
        <v>0</v>
      </c>
      <c r="CO91" s="685">
        <f t="shared" si="20"/>
        <v>0</v>
      </c>
      <c r="CP91" s="685">
        <f t="shared" si="20"/>
        <v>0</v>
      </c>
      <c r="CQ91" s="685">
        <f t="shared" si="20"/>
        <v>0</v>
      </c>
      <c r="CR91" s="685">
        <f t="shared" si="20"/>
        <v>0</v>
      </c>
      <c r="CS91" s="685">
        <f t="shared" si="20"/>
        <v>0</v>
      </c>
      <c r="CT91" s="685">
        <f t="shared" si="20"/>
        <v>0</v>
      </c>
      <c r="CU91" s="685">
        <f t="shared" si="20"/>
        <v>0</v>
      </c>
      <c r="CV91" s="685">
        <f t="shared" si="20"/>
        <v>20</v>
      </c>
      <c r="CW91" s="685">
        <f t="shared" si="20"/>
        <v>0</v>
      </c>
      <c r="CX91" s="685">
        <f t="shared" si="20"/>
        <v>0</v>
      </c>
      <c r="CY91" s="687"/>
    </row>
    <row r="92" spans="1:234" s="545" customFormat="1" ht="18" customHeight="1">
      <c r="A92" s="655" t="s">
        <v>4021</v>
      </c>
      <c r="B92" s="544"/>
      <c r="C92" s="544"/>
      <c r="D92" s="544"/>
      <c r="E92" s="544"/>
      <c r="F92" s="544"/>
      <c r="G92" s="544"/>
      <c r="H92" s="544"/>
      <c r="I92" s="544"/>
      <c r="J92" s="544"/>
      <c r="K92" s="544"/>
      <c r="L92" s="544"/>
      <c r="M92" s="544"/>
      <c r="N92" s="544"/>
      <c r="O92" s="544"/>
      <c r="P92" s="544"/>
      <c r="Q92" s="544"/>
      <c r="R92" s="544"/>
      <c r="S92" s="544"/>
      <c r="T92" s="544"/>
      <c r="U92" s="544"/>
      <c r="V92" s="544"/>
      <c r="W92" s="544"/>
      <c r="X92" s="544"/>
      <c r="Y92" s="544"/>
      <c r="Z92" s="544"/>
      <c r="AA92" s="544"/>
      <c r="AB92" s="544"/>
      <c r="AC92" s="544"/>
      <c r="AD92" s="544"/>
      <c r="AE92" s="544"/>
      <c r="AF92" s="544"/>
      <c r="AG92" s="544"/>
      <c r="AH92" s="544"/>
      <c r="AI92" s="544"/>
      <c r="AJ92" s="544"/>
      <c r="AK92" s="544"/>
      <c r="AL92" s="544"/>
      <c r="AM92" s="544"/>
      <c r="AN92" s="544"/>
      <c r="AO92" s="544"/>
      <c r="AP92" s="544"/>
      <c r="AQ92" s="544"/>
      <c r="AR92" s="544"/>
      <c r="AS92" s="544"/>
      <c r="AT92" s="544"/>
      <c r="AU92" s="544"/>
      <c r="AV92" s="544"/>
      <c r="AW92" s="544"/>
      <c r="AX92" s="544"/>
      <c r="AY92" s="544"/>
      <c r="AZ92" s="544"/>
      <c r="BA92" s="544"/>
      <c r="BB92" s="544"/>
      <c r="BC92" s="544"/>
      <c r="BD92" s="544"/>
      <c r="BE92" s="544"/>
      <c r="BF92" s="544"/>
      <c r="BG92" s="544"/>
      <c r="BH92" s="544"/>
      <c r="BI92" s="544"/>
      <c r="BJ92" s="544"/>
      <c r="BK92" s="544"/>
      <c r="BL92" s="544"/>
      <c r="BM92" s="544"/>
      <c r="BN92" s="544"/>
      <c r="BO92" s="544"/>
      <c r="BP92" s="544"/>
      <c r="BQ92" s="544"/>
      <c r="BR92" s="544"/>
      <c r="BS92" s="544"/>
      <c r="BT92" s="544"/>
      <c r="BU92" s="544"/>
      <c r="BV92" s="544"/>
      <c r="BW92" s="544"/>
      <c r="BX92" s="544"/>
      <c r="BY92" s="544"/>
      <c r="BZ92" s="544"/>
      <c r="CA92" s="544"/>
      <c r="CB92" s="544"/>
      <c r="CC92" s="544"/>
      <c r="CD92" s="544"/>
      <c r="CE92" s="544"/>
      <c r="CF92" s="544"/>
      <c r="CG92" s="544"/>
      <c r="CH92" s="544"/>
      <c r="CI92" s="544"/>
      <c r="CJ92" s="544"/>
      <c r="CK92" s="544"/>
      <c r="CL92" s="544"/>
      <c r="CM92" s="544"/>
      <c r="CN92" s="544"/>
      <c r="CO92" s="544"/>
      <c r="CP92" s="544"/>
      <c r="CQ92" s="544"/>
      <c r="CR92" s="544"/>
      <c r="CS92" s="544"/>
      <c r="CT92" s="544"/>
      <c r="CU92" s="544"/>
      <c r="CV92" s="544"/>
      <c r="CW92" s="544"/>
      <c r="CX92" s="544"/>
      <c r="CY92" s="669"/>
      <c r="CZ92" s="530"/>
      <c r="DA92" s="530"/>
      <c r="DB92" s="530"/>
      <c r="DC92" s="530"/>
      <c r="DD92" s="530"/>
      <c r="DE92" s="530"/>
      <c r="DF92" s="530"/>
      <c r="DG92" s="530"/>
      <c r="DH92" s="530"/>
      <c r="DI92" s="530"/>
      <c r="DJ92" s="530"/>
      <c r="DK92" s="530"/>
      <c r="DL92" s="530"/>
      <c r="DM92" s="530"/>
      <c r="DN92" s="530"/>
      <c r="DO92" s="530"/>
      <c r="DP92" s="530"/>
      <c r="DQ92" s="530"/>
      <c r="DR92" s="530"/>
      <c r="DS92" s="530"/>
      <c r="DT92" s="530"/>
      <c r="DU92" s="530"/>
      <c r="DV92" s="530"/>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row>
    <row r="93" spans="1:234" ht="13.8">
      <c r="A93" s="591"/>
      <c r="B93" s="675" t="s">
        <v>170</v>
      </c>
      <c r="C93" s="550"/>
      <c r="D93" s="550">
        <f>+C93</f>
        <v>0</v>
      </c>
      <c r="E93" s="550"/>
      <c r="F93" s="550"/>
      <c r="G93" s="550"/>
      <c r="H93" s="550"/>
      <c r="I93" s="550"/>
      <c r="J93" s="550"/>
      <c r="K93" s="550"/>
      <c r="L93" s="550"/>
      <c r="M93" s="550"/>
      <c r="N93" s="555"/>
      <c r="O93" s="439"/>
      <c r="P93" s="439"/>
      <c r="Q93" s="658" t="s">
        <v>658</v>
      </c>
      <c r="R93" s="671"/>
      <c r="S93" s="671"/>
      <c r="T93" s="671"/>
      <c r="U93" s="671"/>
      <c r="V93" s="671"/>
      <c r="W93" s="671"/>
      <c r="X93" s="671"/>
      <c r="Y93" s="671"/>
      <c r="Z93" s="671"/>
      <c r="AA93" s="623"/>
      <c r="AB93" s="623"/>
      <c r="AC93" s="623"/>
      <c r="AD93" s="623"/>
      <c r="AE93" s="623"/>
      <c r="AF93" s="623"/>
      <c r="AG93" s="623"/>
      <c r="AH93" s="623"/>
      <c r="AI93" s="623"/>
      <c r="AJ93" s="623"/>
      <c r="AK93" s="623"/>
      <c r="AL93" s="623"/>
      <c r="AM93" s="623"/>
      <c r="AN93" s="623"/>
      <c r="AO93" s="623"/>
      <c r="AP93" s="623"/>
      <c r="AQ93" s="623"/>
      <c r="AR93" s="623"/>
      <c r="AS93" s="623"/>
      <c r="AT93" s="623"/>
      <c r="AU93" s="623"/>
      <c r="AV93" s="623"/>
      <c r="AW93" s="623"/>
      <c r="AX93" s="623"/>
      <c r="AY93" s="623"/>
      <c r="AZ93" s="623"/>
      <c r="BA93" s="623"/>
      <c r="BB93" s="623"/>
      <c r="BC93" s="623"/>
      <c r="BD93" s="623"/>
      <c r="BE93" s="623"/>
      <c r="BF93" s="672">
        <f t="shared" ref="BF93:BG96" si="21">AW93</f>
        <v>0</v>
      </c>
      <c r="BG93" s="672">
        <f t="shared" si="21"/>
        <v>0</v>
      </c>
      <c r="BH93" s="623"/>
      <c r="BI93" s="623"/>
      <c r="BJ93" s="623"/>
      <c r="BK93" s="623"/>
      <c r="BL93" s="623"/>
      <c r="BM93" s="623"/>
      <c r="BN93" s="623"/>
      <c r="BO93" s="623"/>
      <c r="BP93" s="623"/>
      <c r="BQ93" s="623"/>
      <c r="BR93" s="623"/>
      <c r="BS93" s="623"/>
      <c r="BT93" s="623"/>
      <c r="BU93" s="623"/>
      <c r="BV93" s="623">
        <v>1</v>
      </c>
      <c r="BW93" s="623">
        <v>1</v>
      </c>
      <c r="BX93" s="623"/>
      <c r="BY93" s="623"/>
      <c r="BZ93" s="623"/>
      <c r="CA93" s="623">
        <v>1</v>
      </c>
      <c r="CB93" s="623"/>
      <c r="CC93" s="623"/>
      <c r="CD93" s="623"/>
      <c r="CE93" s="623"/>
      <c r="CF93" s="623"/>
      <c r="CG93" s="623"/>
      <c r="CH93" s="623"/>
      <c r="CI93" s="623"/>
      <c r="CJ93" s="623"/>
      <c r="CK93" s="623"/>
      <c r="CL93" s="623"/>
      <c r="CM93" s="623"/>
      <c r="CN93" s="623"/>
      <c r="CO93" s="623"/>
      <c r="CP93" s="623"/>
      <c r="CQ93" s="623"/>
      <c r="CR93" s="623"/>
      <c r="CS93" s="623"/>
      <c r="CT93" s="623"/>
      <c r="CU93" s="623"/>
      <c r="CV93" s="623">
        <v>2</v>
      </c>
      <c r="CW93" s="623"/>
      <c r="CX93" s="673"/>
      <c r="CY93" s="557"/>
    </row>
    <row r="94" spans="1:234" ht="13.8">
      <c r="A94" s="591" t="s">
        <v>1317</v>
      </c>
      <c r="B94" s="675"/>
      <c r="C94" s="550">
        <v>14</v>
      </c>
      <c r="D94" s="550">
        <f t="shared" ref="D94:D122" si="22">+D93+C94</f>
        <v>14</v>
      </c>
      <c r="E94" s="550"/>
      <c r="F94" s="550"/>
      <c r="G94" s="550"/>
      <c r="H94" s="550"/>
      <c r="I94" s="550"/>
      <c r="J94" s="550"/>
      <c r="K94" s="550"/>
      <c r="L94" s="550"/>
      <c r="M94" s="550"/>
      <c r="N94" s="550"/>
      <c r="O94" s="439"/>
      <c r="P94" s="439"/>
      <c r="Q94" s="674" t="s">
        <v>546</v>
      </c>
      <c r="R94" s="671"/>
      <c r="S94" s="671"/>
      <c r="T94" s="671"/>
      <c r="U94" s="671"/>
      <c r="V94" s="671"/>
      <c r="W94" s="671"/>
      <c r="X94" s="671"/>
      <c r="Y94" s="671"/>
      <c r="Z94" s="671"/>
      <c r="AA94" s="623"/>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72">
        <f t="shared" si="21"/>
        <v>0</v>
      </c>
      <c r="BG94" s="672">
        <f t="shared" si="21"/>
        <v>0</v>
      </c>
      <c r="BH94" s="623"/>
      <c r="BI94" s="623"/>
      <c r="BJ94" s="623"/>
      <c r="BK94" s="623"/>
      <c r="BL94" s="623"/>
      <c r="BM94" s="623"/>
      <c r="BN94" s="623"/>
      <c r="BO94" s="623"/>
      <c r="BP94" s="623"/>
      <c r="BQ94" s="623"/>
      <c r="BR94" s="623"/>
      <c r="BS94" s="623"/>
      <c r="BT94" s="623"/>
      <c r="BU94" s="623"/>
      <c r="BV94" s="623">
        <v>2</v>
      </c>
      <c r="BW94" s="623">
        <v>2</v>
      </c>
      <c r="BX94" s="623"/>
      <c r="BY94" s="623"/>
      <c r="BZ94" s="623"/>
      <c r="CA94" s="623">
        <v>2</v>
      </c>
      <c r="CB94" s="623"/>
      <c r="CC94" s="623"/>
      <c r="CD94" s="623"/>
      <c r="CE94" s="623"/>
      <c r="CF94" s="623"/>
      <c r="CG94" s="623"/>
      <c r="CH94" s="623"/>
      <c r="CI94" s="623"/>
      <c r="CJ94" s="623"/>
      <c r="CK94" s="623"/>
      <c r="CL94" s="623"/>
      <c r="CM94" s="623"/>
      <c r="CN94" s="623"/>
      <c r="CO94" s="623"/>
      <c r="CP94" s="623"/>
      <c r="CQ94" s="623"/>
      <c r="CR94" s="623"/>
      <c r="CS94" s="623"/>
      <c r="CT94" s="623"/>
      <c r="CU94" s="623"/>
      <c r="CV94" s="623">
        <v>4</v>
      </c>
      <c r="CW94" s="623"/>
      <c r="CX94" s="673"/>
      <c r="CY94" s="557"/>
    </row>
    <row r="95" spans="1:234" ht="13.8">
      <c r="A95" s="591" t="s">
        <v>1318</v>
      </c>
      <c r="B95" s="670"/>
      <c r="C95" s="550">
        <v>40</v>
      </c>
      <c r="D95" s="550">
        <f t="shared" si="22"/>
        <v>54</v>
      </c>
      <c r="E95" s="550"/>
      <c r="F95" s="550"/>
      <c r="G95" s="550"/>
      <c r="H95" s="550"/>
      <c r="I95" s="550"/>
      <c r="J95" s="550"/>
      <c r="K95" s="550"/>
      <c r="L95" s="550"/>
      <c r="M95" s="550"/>
      <c r="N95" s="550"/>
      <c r="O95" s="439"/>
      <c r="P95" s="439"/>
      <c r="Q95" s="674" t="s">
        <v>501</v>
      </c>
      <c r="R95" s="671"/>
      <c r="S95" s="671"/>
      <c r="T95" s="671"/>
      <c r="U95" s="671"/>
      <c r="V95" s="671"/>
      <c r="W95" s="671"/>
      <c r="X95" s="671"/>
      <c r="Y95" s="671"/>
      <c r="Z95" s="671"/>
      <c r="AA95" s="623"/>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72">
        <f t="shared" si="21"/>
        <v>0</v>
      </c>
      <c r="BG95" s="672">
        <f t="shared" si="21"/>
        <v>0</v>
      </c>
      <c r="BH95" s="623"/>
      <c r="BI95" s="623"/>
      <c r="BJ95" s="623"/>
      <c r="BK95" s="623"/>
      <c r="BL95" s="623"/>
      <c r="BM95" s="623"/>
      <c r="BN95" s="623"/>
      <c r="BO95" s="623"/>
      <c r="BP95" s="623"/>
      <c r="BQ95" s="623"/>
      <c r="BR95" s="623"/>
      <c r="BS95" s="623"/>
      <c r="BT95" s="623"/>
      <c r="BU95" s="623"/>
      <c r="BV95" s="623">
        <v>1</v>
      </c>
      <c r="BW95" s="623">
        <v>1</v>
      </c>
      <c r="BX95" s="623"/>
      <c r="BY95" s="623"/>
      <c r="BZ95" s="623"/>
      <c r="CA95" s="623">
        <v>1</v>
      </c>
      <c r="CB95" s="623"/>
      <c r="CC95" s="623"/>
      <c r="CD95" s="623"/>
      <c r="CE95" s="623"/>
      <c r="CF95" s="623"/>
      <c r="CG95" s="623"/>
      <c r="CH95" s="623"/>
      <c r="CI95" s="623"/>
      <c r="CJ95" s="623"/>
      <c r="CK95" s="623"/>
      <c r="CL95" s="623"/>
      <c r="CM95" s="623"/>
      <c r="CN95" s="623"/>
      <c r="CO95" s="623"/>
      <c r="CP95" s="623"/>
      <c r="CQ95" s="623"/>
      <c r="CR95" s="623"/>
      <c r="CS95" s="623"/>
      <c r="CT95" s="623"/>
      <c r="CU95" s="623"/>
      <c r="CV95" s="623"/>
      <c r="CW95" s="623"/>
      <c r="CX95" s="673"/>
      <c r="CY95" s="557"/>
    </row>
    <row r="96" spans="1:234" s="678" customFormat="1" ht="13.8">
      <c r="A96" s="591" t="s">
        <v>1319</v>
      </c>
      <c r="B96" s="675"/>
      <c r="C96" s="550">
        <v>40</v>
      </c>
      <c r="D96" s="550">
        <f t="shared" si="22"/>
        <v>94</v>
      </c>
      <c r="E96" s="550"/>
      <c r="F96" s="550"/>
      <c r="G96" s="550"/>
      <c r="H96" s="550"/>
      <c r="I96" s="550"/>
      <c r="J96" s="676"/>
      <c r="K96" s="550"/>
      <c r="L96" s="550"/>
      <c r="M96" s="550"/>
      <c r="N96" s="550"/>
      <c r="O96" s="439"/>
      <c r="P96" s="439"/>
      <c r="Q96" s="674" t="s">
        <v>501</v>
      </c>
      <c r="R96" s="671"/>
      <c r="S96" s="671"/>
      <c r="T96" s="671"/>
      <c r="U96" s="671"/>
      <c r="V96" s="671"/>
      <c r="W96" s="671"/>
      <c r="X96" s="671"/>
      <c r="Y96" s="671"/>
      <c r="Z96" s="671"/>
      <c r="AA96" s="623"/>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72">
        <f t="shared" si="21"/>
        <v>0</v>
      </c>
      <c r="BG96" s="672">
        <f t="shared" si="21"/>
        <v>0</v>
      </c>
      <c r="BH96" s="623"/>
      <c r="BI96" s="623"/>
      <c r="BJ96" s="623"/>
      <c r="BK96" s="623"/>
      <c r="BL96" s="623"/>
      <c r="BM96" s="623"/>
      <c r="BN96" s="623"/>
      <c r="BO96" s="623"/>
      <c r="BP96" s="623"/>
      <c r="BQ96" s="623"/>
      <c r="BR96" s="623"/>
      <c r="BS96" s="623"/>
      <c r="BT96" s="623"/>
      <c r="BU96" s="623"/>
      <c r="BV96" s="623">
        <v>1</v>
      </c>
      <c r="BW96" s="623">
        <v>1</v>
      </c>
      <c r="BX96" s="623"/>
      <c r="BY96" s="623"/>
      <c r="BZ96" s="623"/>
      <c r="CA96" s="623">
        <v>1</v>
      </c>
      <c r="CB96" s="623"/>
      <c r="CC96" s="623"/>
      <c r="CD96" s="623"/>
      <c r="CE96" s="623"/>
      <c r="CF96" s="623"/>
      <c r="CG96" s="623"/>
      <c r="CH96" s="623"/>
      <c r="CI96" s="623"/>
      <c r="CJ96" s="623"/>
      <c r="CK96" s="623"/>
      <c r="CL96" s="623"/>
      <c r="CM96" s="623"/>
      <c r="CN96" s="623"/>
      <c r="CO96" s="623"/>
      <c r="CP96" s="623"/>
      <c r="CQ96" s="623"/>
      <c r="CR96" s="623"/>
      <c r="CS96" s="623"/>
      <c r="CT96" s="623"/>
      <c r="CU96" s="623"/>
      <c r="CV96" s="623"/>
      <c r="CW96" s="623"/>
      <c r="CX96" s="673"/>
      <c r="CY96" s="557"/>
      <c r="CZ96" s="677"/>
      <c r="DA96" s="530"/>
      <c r="DB96" s="530"/>
      <c r="DC96" s="530"/>
      <c r="DD96" s="530"/>
      <c r="DE96" s="530"/>
      <c r="DF96" s="530"/>
      <c r="DG96" s="530"/>
      <c r="DH96" s="530"/>
      <c r="DI96" s="530"/>
      <c r="DJ96" s="530"/>
      <c r="DK96" s="530"/>
      <c r="DL96" s="530"/>
      <c r="DM96" s="530"/>
      <c r="DN96" s="530"/>
      <c r="DO96" s="530"/>
      <c r="DP96" s="530"/>
      <c r="DQ96" s="530"/>
      <c r="DR96" s="530"/>
      <c r="DS96" s="530"/>
      <c r="DT96" s="530"/>
      <c r="DU96" s="530"/>
      <c r="DV96" s="530"/>
      <c r="DW96" s="530"/>
      <c r="DX96" s="530"/>
      <c r="DY96" s="530"/>
      <c r="DZ96" s="530"/>
      <c r="EA96" s="530"/>
      <c r="EB96" s="530"/>
      <c r="EC96" s="530"/>
      <c r="ED96" s="530"/>
      <c r="EE96" s="530"/>
      <c r="EF96" s="530"/>
      <c r="EG96" s="530"/>
      <c r="EH96" s="530"/>
      <c r="EI96" s="530"/>
      <c r="EJ96" s="530"/>
      <c r="EK96" s="530"/>
      <c r="EL96" s="530"/>
      <c r="EM96" s="530"/>
      <c r="EN96" s="530"/>
      <c r="EO96" s="530"/>
      <c r="EP96" s="530"/>
      <c r="EQ96" s="530"/>
      <c r="ER96" s="530"/>
      <c r="ES96" s="530"/>
      <c r="ET96" s="530"/>
      <c r="EU96" s="530"/>
      <c r="EV96" s="530"/>
      <c r="EW96" s="530"/>
      <c r="EX96" s="530"/>
      <c r="EY96" s="530"/>
      <c r="EZ96" s="530"/>
      <c r="FA96" s="530"/>
      <c r="FB96" s="530"/>
      <c r="FC96" s="530"/>
      <c r="FD96" s="530"/>
      <c r="FE96" s="530"/>
      <c r="FF96" s="530"/>
      <c r="FG96" s="530"/>
      <c r="FH96" s="530"/>
      <c r="FI96" s="530"/>
      <c r="FJ96" s="530"/>
      <c r="FK96" s="530"/>
      <c r="FL96" s="530"/>
      <c r="FM96" s="530"/>
      <c r="FN96" s="530"/>
      <c r="FO96" s="530"/>
      <c r="FP96" s="530"/>
      <c r="FQ96" s="530"/>
      <c r="FR96" s="530"/>
      <c r="FS96" s="530"/>
      <c r="FT96" s="530"/>
      <c r="FU96" s="530"/>
      <c r="FV96" s="530"/>
      <c r="FW96" s="530"/>
      <c r="FX96" s="530"/>
      <c r="FY96" s="530"/>
      <c r="FZ96" s="530"/>
      <c r="GA96" s="530"/>
      <c r="GB96" s="530"/>
      <c r="GC96" s="530"/>
      <c r="GD96" s="530"/>
      <c r="GE96" s="530"/>
      <c r="GF96" s="530"/>
      <c r="GG96" s="530"/>
      <c r="GH96" s="530"/>
      <c r="GI96" s="530"/>
      <c r="GJ96" s="530"/>
      <c r="GK96" s="530"/>
      <c r="GL96" s="530"/>
      <c r="GM96" s="530"/>
      <c r="GN96" s="530"/>
      <c r="GO96" s="530"/>
      <c r="GP96" s="530"/>
      <c r="GQ96" s="530"/>
      <c r="GR96" s="530"/>
      <c r="GS96" s="530"/>
      <c r="GT96" s="530"/>
      <c r="GU96" s="530"/>
      <c r="GV96" s="530"/>
      <c r="GW96" s="530"/>
      <c r="GX96" s="530"/>
      <c r="GY96" s="530"/>
      <c r="GZ96" s="530"/>
      <c r="HA96" s="530"/>
      <c r="HB96" s="530"/>
      <c r="HC96" s="530"/>
      <c r="HD96" s="530"/>
      <c r="HE96" s="530"/>
      <c r="HF96" s="530"/>
      <c r="HG96" s="530"/>
      <c r="HH96" s="530"/>
      <c r="HI96" s="530"/>
      <c r="HJ96" s="530"/>
      <c r="HK96" s="530"/>
      <c r="HL96" s="530"/>
      <c r="HM96" s="530"/>
      <c r="HN96" s="530"/>
      <c r="HO96" s="530"/>
      <c r="HP96" s="530"/>
      <c r="HQ96" s="530"/>
      <c r="HR96" s="530"/>
      <c r="HS96" s="530"/>
      <c r="HT96" s="530"/>
      <c r="HU96" s="530"/>
      <c r="HV96" s="530"/>
      <c r="HW96" s="530"/>
      <c r="HX96" s="530"/>
      <c r="HY96" s="530"/>
      <c r="HZ96" s="530"/>
    </row>
    <row r="97" spans="1:103" ht="13.8">
      <c r="A97" s="591" t="s">
        <v>1320</v>
      </c>
      <c r="B97" s="670"/>
      <c r="C97" s="550">
        <v>35</v>
      </c>
      <c r="D97" s="550">
        <f t="shared" si="22"/>
        <v>129</v>
      </c>
      <c r="E97" s="550"/>
      <c r="F97" s="550"/>
      <c r="G97" s="550"/>
      <c r="H97" s="550"/>
      <c r="I97" s="550"/>
      <c r="J97" s="550"/>
      <c r="K97" s="550"/>
      <c r="L97" s="550"/>
      <c r="M97" s="550"/>
      <c r="N97" s="550"/>
      <c r="O97" s="550"/>
      <c r="P97" s="550"/>
      <c r="Q97" s="550" t="s">
        <v>501</v>
      </c>
      <c r="R97" s="550"/>
      <c r="S97" s="550"/>
      <c r="T97" s="550"/>
      <c r="U97" s="550"/>
      <c r="V97" s="550"/>
      <c r="W97" s="550"/>
      <c r="X97" s="550"/>
      <c r="Y97" s="550"/>
      <c r="Z97" s="550"/>
      <c r="AA97" s="550"/>
      <c r="AB97" s="550"/>
      <c r="AC97" s="550"/>
      <c r="AD97" s="550"/>
      <c r="AE97" s="550"/>
      <c r="AF97" s="550"/>
      <c r="AG97" s="550"/>
      <c r="AH97" s="550"/>
      <c r="AI97" s="550"/>
      <c r="AJ97" s="550"/>
      <c r="AK97" s="550"/>
      <c r="AL97" s="550"/>
      <c r="AM97" s="550"/>
      <c r="AN97" s="550"/>
      <c r="AO97" s="550"/>
      <c r="AP97" s="550"/>
      <c r="AQ97" s="550"/>
      <c r="AR97" s="550"/>
      <c r="AS97" s="550"/>
      <c r="AT97" s="550"/>
      <c r="AU97" s="550"/>
      <c r="AV97" s="550"/>
      <c r="AW97" s="550"/>
      <c r="AX97" s="550"/>
      <c r="AY97" s="550"/>
      <c r="AZ97" s="550"/>
      <c r="BA97" s="550"/>
      <c r="BB97" s="550"/>
      <c r="BC97" s="550"/>
      <c r="BD97" s="550"/>
      <c r="BE97" s="550"/>
      <c r="BF97" s="672"/>
      <c r="BG97" s="672">
        <f t="shared" ref="BG97:BG102" si="23">AX97</f>
        <v>0</v>
      </c>
      <c r="BH97" s="623"/>
      <c r="BI97" s="623"/>
      <c r="BJ97" s="623"/>
      <c r="BK97" s="623"/>
      <c r="BL97" s="623"/>
      <c r="BM97" s="623"/>
      <c r="BN97" s="623"/>
      <c r="BO97" s="623"/>
      <c r="BP97" s="623"/>
      <c r="BQ97" s="623"/>
      <c r="BR97" s="623"/>
      <c r="BS97" s="623"/>
      <c r="BT97" s="623"/>
      <c r="BU97" s="623"/>
      <c r="BV97" s="623">
        <v>1</v>
      </c>
      <c r="BW97" s="623">
        <v>1</v>
      </c>
      <c r="BX97" s="623"/>
      <c r="BY97" s="623"/>
      <c r="BZ97" s="623"/>
      <c r="CA97" s="623">
        <v>1</v>
      </c>
      <c r="CB97" s="623"/>
      <c r="CC97" s="623"/>
      <c r="CD97" s="623"/>
      <c r="CE97" s="623"/>
      <c r="CF97" s="623"/>
      <c r="CG97" s="623"/>
      <c r="CH97" s="623"/>
      <c r="CI97" s="623"/>
      <c r="CJ97" s="623"/>
      <c r="CK97" s="623"/>
      <c r="CL97" s="623"/>
      <c r="CM97" s="623"/>
      <c r="CN97" s="623"/>
      <c r="CO97" s="623"/>
      <c r="CP97" s="623"/>
      <c r="CQ97" s="623"/>
      <c r="CR97" s="623"/>
      <c r="CS97" s="623"/>
      <c r="CT97" s="623"/>
      <c r="CU97" s="623"/>
      <c r="CV97" s="623"/>
      <c r="CW97" s="623"/>
      <c r="CX97" s="673"/>
      <c r="CY97" s="557"/>
    </row>
    <row r="98" spans="1:103" ht="13.8">
      <c r="A98" s="591" t="s">
        <v>1321</v>
      </c>
      <c r="B98" s="675"/>
      <c r="C98" s="550">
        <v>40</v>
      </c>
      <c r="D98" s="550">
        <f t="shared" si="22"/>
        <v>169</v>
      </c>
      <c r="E98" s="550"/>
      <c r="F98" s="550"/>
      <c r="G98" s="550"/>
      <c r="H98" s="550"/>
      <c r="I98" s="550"/>
      <c r="J98" s="550"/>
      <c r="K98" s="550"/>
      <c r="L98" s="550"/>
      <c r="M98" s="550"/>
      <c r="N98" s="550"/>
      <c r="O98" s="550"/>
      <c r="P98" s="550"/>
      <c r="Q98" s="550" t="s">
        <v>501</v>
      </c>
      <c r="R98" s="550"/>
      <c r="S98" s="550"/>
      <c r="T98" s="550"/>
      <c r="U98" s="550"/>
      <c r="V98" s="550"/>
      <c r="W98" s="550"/>
      <c r="X98" s="550"/>
      <c r="Y98" s="550"/>
      <c r="Z98" s="550"/>
      <c r="AA98" s="550"/>
      <c r="AB98" s="550"/>
      <c r="AC98" s="550"/>
      <c r="AD98" s="550"/>
      <c r="AE98" s="550"/>
      <c r="AF98" s="550"/>
      <c r="AG98" s="550"/>
      <c r="AH98" s="550"/>
      <c r="AI98" s="550"/>
      <c r="AJ98" s="550"/>
      <c r="AK98" s="550"/>
      <c r="AL98" s="550"/>
      <c r="AM98" s="550"/>
      <c r="AN98" s="550"/>
      <c r="AO98" s="550"/>
      <c r="AP98" s="550"/>
      <c r="AQ98" s="550"/>
      <c r="AR98" s="550"/>
      <c r="AS98" s="550"/>
      <c r="AT98" s="550"/>
      <c r="AU98" s="550"/>
      <c r="AV98" s="550"/>
      <c r="AW98" s="550"/>
      <c r="AX98" s="550"/>
      <c r="AY98" s="550"/>
      <c r="AZ98" s="550"/>
      <c r="BA98" s="550"/>
      <c r="BB98" s="550"/>
      <c r="BC98" s="550"/>
      <c r="BD98" s="550"/>
      <c r="BE98" s="550"/>
      <c r="BF98" s="672"/>
      <c r="BG98" s="672">
        <f t="shared" si="23"/>
        <v>0</v>
      </c>
      <c r="BH98" s="623"/>
      <c r="BI98" s="623"/>
      <c r="BJ98" s="623"/>
      <c r="BK98" s="623"/>
      <c r="BL98" s="623"/>
      <c r="BM98" s="623"/>
      <c r="BN98" s="623"/>
      <c r="BO98" s="623"/>
      <c r="BP98" s="623"/>
      <c r="BQ98" s="623"/>
      <c r="BR98" s="623"/>
      <c r="BS98" s="623"/>
      <c r="BT98" s="623"/>
      <c r="BU98" s="623"/>
      <c r="BV98" s="623">
        <v>1</v>
      </c>
      <c r="BW98" s="623">
        <v>1</v>
      </c>
      <c r="BX98" s="623"/>
      <c r="BY98" s="623"/>
      <c r="BZ98" s="623"/>
      <c r="CA98" s="623">
        <v>1</v>
      </c>
      <c r="CB98" s="623"/>
      <c r="CC98" s="623"/>
      <c r="CD98" s="623"/>
      <c r="CE98" s="623"/>
      <c r="CF98" s="623"/>
      <c r="CG98" s="623"/>
      <c r="CH98" s="623"/>
      <c r="CI98" s="623"/>
      <c r="CJ98" s="623"/>
      <c r="CK98" s="623"/>
      <c r="CL98" s="623"/>
      <c r="CM98" s="623"/>
      <c r="CN98" s="623"/>
      <c r="CO98" s="623"/>
      <c r="CP98" s="623"/>
      <c r="CQ98" s="623"/>
      <c r="CR98" s="623"/>
      <c r="CS98" s="623"/>
      <c r="CT98" s="623"/>
      <c r="CU98" s="623"/>
      <c r="CV98" s="623"/>
      <c r="CW98" s="623"/>
      <c r="CX98" s="673"/>
      <c r="CY98" s="557"/>
    </row>
    <row r="99" spans="1:103" ht="13.8">
      <c r="A99" s="591" t="s">
        <v>1322</v>
      </c>
      <c r="B99" s="670"/>
      <c r="C99" s="550">
        <v>40</v>
      </c>
      <c r="D99" s="550">
        <f t="shared" si="22"/>
        <v>209</v>
      </c>
      <c r="E99" s="550"/>
      <c r="F99" s="550"/>
      <c r="G99" s="550"/>
      <c r="H99" s="550"/>
      <c r="I99" s="550"/>
      <c r="J99" s="550"/>
      <c r="K99" s="550"/>
      <c r="L99" s="550"/>
      <c r="M99" s="550"/>
      <c r="N99" s="550"/>
      <c r="O99" s="550"/>
      <c r="P99" s="550"/>
      <c r="Q99" s="550" t="s">
        <v>501</v>
      </c>
      <c r="R99" s="550"/>
      <c r="S99" s="550"/>
      <c r="T99" s="550"/>
      <c r="U99" s="550"/>
      <c r="V99" s="550"/>
      <c r="W99" s="550"/>
      <c r="X99" s="550"/>
      <c r="Y99" s="550"/>
      <c r="Z99" s="550"/>
      <c r="AA99" s="550"/>
      <c r="AB99" s="550"/>
      <c r="AC99" s="550"/>
      <c r="AD99" s="550"/>
      <c r="AE99" s="550"/>
      <c r="AF99" s="550"/>
      <c r="AG99" s="550"/>
      <c r="AH99" s="550"/>
      <c r="AI99" s="550"/>
      <c r="AJ99" s="550"/>
      <c r="AK99" s="550"/>
      <c r="AL99" s="550"/>
      <c r="AM99" s="550"/>
      <c r="AN99" s="550"/>
      <c r="AO99" s="550"/>
      <c r="AP99" s="550"/>
      <c r="AQ99" s="550"/>
      <c r="AR99" s="550"/>
      <c r="AS99" s="550"/>
      <c r="AT99" s="550"/>
      <c r="AU99" s="550"/>
      <c r="AV99" s="550"/>
      <c r="AW99" s="550"/>
      <c r="AX99" s="550"/>
      <c r="AY99" s="550"/>
      <c r="AZ99" s="550"/>
      <c r="BA99" s="550"/>
      <c r="BB99" s="550"/>
      <c r="BC99" s="550"/>
      <c r="BD99" s="550"/>
      <c r="BE99" s="550"/>
      <c r="BF99" s="672"/>
      <c r="BG99" s="672">
        <f t="shared" si="23"/>
        <v>0</v>
      </c>
      <c r="BH99" s="623"/>
      <c r="BI99" s="623"/>
      <c r="BJ99" s="623"/>
      <c r="BK99" s="623"/>
      <c r="BL99" s="623"/>
      <c r="BM99" s="623"/>
      <c r="BN99" s="623"/>
      <c r="BO99" s="623"/>
      <c r="BP99" s="623"/>
      <c r="BQ99" s="623"/>
      <c r="BR99" s="623"/>
      <c r="BS99" s="623"/>
      <c r="BT99" s="623"/>
      <c r="BU99" s="623"/>
      <c r="BV99" s="623">
        <v>1</v>
      </c>
      <c r="BW99" s="623">
        <v>1</v>
      </c>
      <c r="BX99" s="623"/>
      <c r="BY99" s="623"/>
      <c r="BZ99" s="623"/>
      <c r="CA99" s="623">
        <v>1</v>
      </c>
      <c r="CB99" s="623"/>
      <c r="CC99" s="623"/>
      <c r="CD99" s="623"/>
      <c r="CE99" s="623"/>
      <c r="CF99" s="623"/>
      <c r="CG99" s="623"/>
      <c r="CH99" s="623"/>
      <c r="CI99" s="623"/>
      <c r="CJ99" s="623"/>
      <c r="CK99" s="623"/>
      <c r="CL99" s="623"/>
      <c r="CM99" s="623"/>
      <c r="CN99" s="623"/>
      <c r="CO99" s="623"/>
      <c r="CP99" s="623"/>
      <c r="CQ99" s="623"/>
      <c r="CR99" s="623"/>
      <c r="CS99" s="623"/>
      <c r="CT99" s="623"/>
      <c r="CU99" s="623"/>
      <c r="CV99" s="623"/>
      <c r="CW99" s="623"/>
      <c r="CX99" s="673"/>
      <c r="CY99" s="557"/>
    </row>
    <row r="100" spans="1:103" ht="13.8">
      <c r="A100" s="591" t="s">
        <v>1323</v>
      </c>
      <c r="B100" s="675"/>
      <c r="C100" s="550">
        <v>40</v>
      </c>
      <c r="D100" s="550">
        <f t="shared" si="22"/>
        <v>249</v>
      </c>
      <c r="E100" s="550"/>
      <c r="F100" s="550"/>
      <c r="G100" s="550"/>
      <c r="H100" s="550"/>
      <c r="I100" s="550"/>
      <c r="J100" s="550"/>
      <c r="K100" s="550"/>
      <c r="L100" s="550"/>
      <c r="M100" s="550"/>
      <c r="N100" s="550"/>
      <c r="O100" s="550"/>
      <c r="P100" s="550"/>
      <c r="Q100" s="550" t="s">
        <v>501</v>
      </c>
      <c r="R100" s="550"/>
      <c r="S100" s="550"/>
      <c r="T100" s="550"/>
      <c r="U100" s="550"/>
      <c r="V100" s="550"/>
      <c r="W100" s="550"/>
      <c r="X100" s="550"/>
      <c r="Y100" s="550"/>
      <c r="Z100" s="550"/>
      <c r="AA100" s="550"/>
      <c r="AB100" s="550"/>
      <c r="AC100" s="550"/>
      <c r="AD100" s="550"/>
      <c r="AE100" s="550"/>
      <c r="AF100" s="550"/>
      <c r="AG100" s="550"/>
      <c r="AH100" s="550"/>
      <c r="AI100" s="550"/>
      <c r="AJ100" s="550"/>
      <c r="AK100" s="550"/>
      <c r="AL100" s="550"/>
      <c r="AM100" s="550"/>
      <c r="AN100" s="550"/>
      <c r="AO100" s="550"/>
      <c r="AP100" s="550"/>
      <c r="AQ100" s="550"/>
      <c r="AR100" s="550"/>
      <c r="AS100" s="550"/>
      <c r="AT100" s="550"/>
      <c r="AU100" s="550"/>
      <c r="AV100" s="550"/>
      <c r="AW100" s="550"/>
      <c r="AX100" s="550"/>
      <c r="AY100" s="550"/>
      <c r="AZ100" s="550"/>
      <c r="BA100" s="550"/>
      <c r="BB100" s="550"/>
      <c r="BC100" s="550"/>
      <c r="BD100" s="550"/>
      <c r="BE100" s="550"/>
      <c r="BF100" s="672"/>
      <c r="BG100" s="672">
        <f t="shared" si="23"/>
        <v>0</v>
      </c>
      <c r="BH100" s="623"/>
      <c r="BI100" s="623"/>
      <c r="BJ100" s="623"/>
      <c r="BK100" s="623"/>
      <c r="BL100" s="623"/>
      <c r="BM100" s="623"/>
      <c r="BN100" s="623"/>
      <c r="BO100" s="623"/>
      <c r="BP100" s="623"/>
      <c r="BQ100" s="623"/>
      <c r="BR100" s="623"/>
      <c r="BS100" s="623"/>
      <c r="BT100" s="623"/>
      <c r="BU100" s="623"/>
      <c r="BV100" s="623">
        <v>1</v>
      </c>
      <c r="BW100" s="623">
        <v>1</v>
      </c>
      <c r="BX100" s="623"/>
      <c r="BY100" s="623"/>
      <c r="BZ100" s="623"/>
      <c r="CA100" s="623">
        <v>1</v>
      </c>
      <c r="CB100" s="623"/>
      <c r="CC100" s="623"/>
      <c r="CD100" s="623"/>
      <c r="CE100" s="623"/>
      <c r="CF100" s="623"/>
      <c r="CG100" s="623"/>
      <c r="CH100" s="623"/>
      <c r="CI100" s="623"/>
      <c r="CJ100" s="623"/>
      <c r="CK100" s="623"/>
      <c r="CL100" s="623"/>
      <c r="CM100" s="623"/>
      <c r="CN100" s="623"/>
      <c r="CO100" s="623"/>
      <c r="CP100" s="623"/>
      <c r="CQ100" s="623"/>
      <c r="CR100" s="623"/>
      <c r="CS100" s="623"/>
      <c r="CT100" s="623"/>
      <c r="CU100" s="623"/>
      <c r="CV100" s="623"/>
      <c r="CW100" s="623"/>
      <c r="CX100" s="673"/>
      <c r="CY100" s="557"/>
    </row>
    <row r="101" spans="1:103" ht="13.8">
      <c r="A101" s="591" t="s">
        <v>1324</v>
      </c>
      <c r="B101" s="670"/>
      <c r="C101" s="550">
        <v>42</v>
      </c>
      <c r="D101" s="550">
        <f t="shared" si="22"/>
        <v>291</v>
      </c>
      <c r="E101" s="550"/>
      <c r="F101" s="550"/>
      <c r="G101" s="550"/>
      <c r="H101" s="550"/>
      <c r="I101" s="550"/>
      <c r="J101" s="550"/>
      <c r="K101" s="550"/>
      <c r="L101" s="550"/>
      <c r="M101" s="550"/>
      <c r="N101" s="550"/>
      <c r="O101" s="550"/>
      <c r="P101" s="550"/>
      <c r="Q101" s="550" t="s">
        <v>501</v>
      </c>
      <c r="R101" s="550"/>
      <c r="S101" s="550"/>
      <c r="T101" s="550"/>
      <c r="U101" s="550"/>
      <c r="V101" s="550"/>
      <c r="W101" s="550"/>
      <c r="X101" s="550"/>
      <c r="Y101" s="550"/>
      <c r="Z101" s="550"/>
      <c r="AA101" s="550"/>
      <c r="AB101" s="550"/>
      <c r="AC101" s="550"/>
      <c r="AD101" s="550"/>
      <c r="AE101" s="550"/>
      <c r="AF101" s="550"/>
      <c r="AG101" s="550"/>
      <c r="AH101" s="550"/>
      <c r="AI101" s="550"/>
      <c r="AJ101" s="550"/>
      <c r="AK101" s="550"/>
      <c r="AL101" s="550"/>
      <c r="AM101" s="550"/>
      <c r="AN101" s="550"/>
      <c r="AO101" s="550"/>
      <c r="AP101" s="550"/>
      <c r="AQ101" s="550"/>
      <c r="AR101" s="550"/>
      <c r="AS101" s="550"/>
      <c r="AT101" s="550"/>
      <c r="AU101" s="550"/>
      <c r="AV101" s="550"/>
      <c r="AW101" s="550"/>
      <c r="AX101" s="550"/>
      <c r="AY101" s="550"/>
      <c r="AZ101" s="550"/>
      <c r="BA101" s="550"/>
      <c r="BB101" s="550"/>
      <c r="BC101" s="550"/>
      <c r="BD101" s="550"/>
      <c r="BE101" s="550"/>
      <c r="BF101" s="672"/>
      <c r="BG101" s="672">
        <f t="shared" si="23"/>
        <v>0</v>
      </c>
      <c r="BH101" s="623"/>
      <c r="BI101" s="623"/>
      <c r="BJ101" s="623"/>
      <c r="BK101" s="623"/>
      <c r="BL101" s="623"/>
      <c r="BM101" s="623"/>
      <c r="BN101" s="623"/>
      <c r="BO101" s="623"/>
      <c r="BP101" s="623"/>
      <c r="BQ101" s="623"/>
      <c r="BR101" s="623"/>
      <c r="BS101" s="623"/>
      <c r="BT101" s="623"/>
      <c r="BU101" s="623"/>
      <c r="BV101" s="623">
        <v>1</v>
      </c>
      <c r="BW101" s="623">
        <v>1</v>
      </c>
      <c r="BX101" s="623"/>
      <c r="BY101" s="623"/>
      <c r="BZ101" s="623"/>
      <c r="CA101" s="623">
        <v>1</v>
      </c>
      <c r="CB101" s="623"/>
      <c r="CC101" s="623"/>
      <c r="CD101" s="623"/>
      <c r="CE101" s="623"/>
      <c r="CF101" s="623"/>
      <c r="CG101" s="623"/>
      <c r="CH101" s="623"/>
      <c r="CI101" s="623"/>
      <c r="CJ101" s="623"/>
      <c r="CK101" s="623"/>
      <c r="CL101" s="623"/>
      <c r="CM101" s="623"/>
      <c r="CN101" s="623"/>
      <c r="CO101" s="623"/>
      <c r="CP101" s="623"/>
      <c r="CQ101" s="623"/>
      <c r="CR101" s="623"/>
      <c r="CS101" s="623"/>
      <c r="CT101" s="623"/>
      <c r="CU101" s="623"/>
      <c r="CV101" s="623"/>
      <c r="CW101" s="623"/>
      <c r="CX101" s="673"/>
      <c r="CY101" s="557"/>
    </row>
    <row r="102" spans="1:103" ht="13.8">
      <c r="A102" s="591" t="s">
        <v>1325</v>
      </c>
      <c r="B102" s="675"/>
      <c r="C102" s="550">
        <v>36</v>
      </c>
      <c r="D102" s="550">
        <f t="shared" si="22"/>
        <v>327</v>
      </c>
      <c r="E102" s="550"/>
      <c r="F102" s="550"/>
      <c r="G102" s="550"/>
      <c r="H102" s="550"/>
      <c r="I102" s="550"/>
      <c r="J102" s="550"/>
      <c r="K102" s="550"/>
      <c r="L102" s="550"/>
      <c r="M102" s="550"/>
      <c r="N102" s="550"/>
      <c r="O102" s="550"/>
      <c r="P102" s="550"/>
      <c r="Q102" s="550" t="s">
        <v>658</v>
      </c>
      <c r="R102" s="550"/>
      <c r="S102" s="550"/>
      <c r="T102" s="550"/>
      <c r="U102" s="550"/>
      <c r="V102" s="550"/>
      <c r="W102" s="550"/>
      <c r="X102" s="550"/>
      <c r="Y102" s="550"/>
      <c r="Z102" s="550"/>
      <c r="AA102" s="550"/>
      <c r="AB102" s="550"/>
      <c r="AC102" s="550"/>
      <c r="AD102" s="550"/>
      <c r="AE102" s="550"/>
      <c r="AF102" s="550"/>
      <c r="AG102" s="550"/>
      <c r="AH102" s="550"/>
      <c r="AI102" s="550"/>
      <c r="AJ102" s="550"/>
      <c r="AK102" s="550"/>
      <c r="AL102" s="550"/>
      <c r="AM102" s="550"/>
      <c r="AN102" s="550"/>
      <c r="AO102" s="550"/>
      <c r="AP102" s="550"/>
      <c r="AQ102" s="550"/>
      <c r="AR102" s="550"/>
      <c r="AS102" s="550"/>
      <c r="AT102" s="550"/>
      <c r="AU102" s="550"/>
      <c r="AV102" s="550"/>
      <c r="AW102" s="550"/>
      <c r="AX102" s="550"/>
      <c r="AY102" s="550"/>
      <c r="AZ102" s="550"/>
      <c r="BA102" s="550"/>
      <c r="BB102" s="550"/>
      <c r="BC102" s="550"/>
      <c r="BD102" s="550"/>
      <c r="BE102" s="550"/>
      <c r="BF102" s="672"/>
      <c r="BG102" s="672">
        <f t="shared" si="23"/>
        <v>0</v>
      </c>
      <c r="BH102" s="623"/>
      <c r="BI102" s="623"/>
      <c r="BJ102" s="623"/>
      <c r="BK102" s="623"/>
      <c r="BL102" s="623"/>
      <c r="BM102" s="623"/>
      <c r="BN102" s="623"/>
      <c r="BO102" s="623"/>
      <c r="BP102" s="623"/>
      <c r="BQ102" s="623"/>
      <c r="BR102" s="623"/>
      <c r="BS102" s="623"/>
      <c r="BT102" s="623"/>
      <c r="BU102" s="623"/>
      <c r="BV102" s="623">
        <v>2</v>
      </c>
      <c r="BW102" s="623">
        <v>2</v>
      </c>
      <c r="BX102" s="623"/>
      <c r="BY102" s="623"/>
      <c r="BZ102" s="623"/>
      <c r="CA102" s="623">
        <v>2</v>
      </c>
      <c r="CB102" s="623"/>
      <c r="CC102" s="623"/>
      <c r="CD102" s="623"/>
      <c r="CE102" s="623"/>
      <c r="CF102" s="623"/>
      <c r="CG102" s="623"/>
      <c r="CH102" s="623"/>
      <c r="CI102" s="623"/>
      <c r="CJ102" s="623"/>
      <c r="CK102" s="623"/>
      <c r="CL102" s="623"/>
      <c r="CM102" s="623"/>
      <c r="CN102" s="623"/>
      <c r="CO102" s="623"/>
      <c r="CP102" s="623"/>
      <c r="CQ102" s="623"/>
      <c r="CR102" s="623"/>
      <c r="CS102" s="623"/>
      <c r="CT102" s="623"/>
      <c r="CU102" s="623"/>
      <c r="CV102" s="623">
        <v>2</v>
      </c>
      <c r="CW102" s="623"/>
      <c r="CX102" s="673"/>
      <c r="CY102" s="557"/>
    </row>
    <row r="103" spans="1:103" ht="13.8">
      <c r="A103" s="591" t="s">
        <v>1326</v>
      </c>
      <c r="B103" s="675"/>
      <c r="C103" s="550">
        <v>32</v>
      </c>
      <c r="D103" s="550">
        <f t="shared" si="22"/>
        <v>359</v>
      </c>
      <c r="E103" s="550"/>
      <c r="F103" s="550"/>
      <c r="G103" s="550"/>
      <c r="H103" s="550"/>
      <c r="I103" s="550"/>
      <c r="J103" s="550"/>
      <c r="K103" s="550"/>
      <c r="L103" s="550"/>
      <c r="M103" s="550"/>
      <c r="N103" s="550"/>
      <c r="O103" s="550"/>
      <c r="P103" s="550"/>
      <c r="Q103" s="550" t="s">
        <v>501</v>
      </c>
      <c r="R103" s="550"/>
      <c r="S103" s="550"/>
      <c r="T103" s="550"/>
      <c r="U103" s="550"/>
      <c r="V103" s="550"/>
      <c r="W103" s="550"/>
      <c r="X103" s="550"/>
      <c r="Y103" s="550"/>
      <c r="Z103" s="550"/>
      <c r="AA103" s="550"/>
      <c r="AB103" s="550"/>
      <c r="AC103" s="550"/>
      <c r="AD103" s="550"/>
      <c r="AE103" s="550"/>
      <c r="AF103" s="550"/>
      <c r="AG103" s="550"/>
      <c r="AH103" s="550"/>
      <c r="AI103" s="550"/>
      <c r="AJ103" s="550"/>
      <c r="AK103" s="550"/>
      <c r="AL103" s="550"/>
      <c r="AM103" s="550"/>
      <c r="AN103" s="550"/>
      <c r="AO103" s="550"/>
      <c r="AP103" s="550"/>
      <c r="AQ103" s="550"/>
      <c r="AR103" s="550"/>
      <c r="AS103" s="550"/>
      <c r="AT103" s="550"/>
      <c r="AU103" s="550"/>
      <c r="AV103" s="550"/>
      <c r="AW103" s="550"/>
      <c r="AX103" s="550"/>
      <c r="AY103" s="550"/>
      <c r="AZ103" s="550"/>
      <c r="BA103" s="550"/>
      <c r="BB103" s="550"/>
      <c r="BC103" s="550"/>
      <c r="BD103" s="550"/>
      <c r="BE103" s="550"/>
      <c r="BF103" s="672"/>
      <c r="BG103" s="672"/>
      <c r="BH103" s="623"/>
      <c r="BI103" s="623"/>
      <c r="BJ103" s="623"/>
      <c r="BK103" s="623"/>
      <c r="BL103" s="623"/>
      <c r="BM103" s="623"/>
      <c r="BN103" s="623"/>
      <c r="BO103" s="623"/>
      <c r="BP103" s="623"/>
      <c r="BQ103" s="623"/>
      <c r="BR103" s="623"/>
      <c r="BS103" s="623"/>
      <c r="BT103" s="623"/>
      <c r="BU103" s="623"/>
      <c r="BV103" s="623">
        <v>1</v>
      </c>
      <c r="BW103" s="623">
        <v>1</v>
      </c>
      <c r="BX103" s="623"/>
      <c r="BY103" s="623"/>
      <c r="BZ103" s="623"/>
      <c r="CA103" s="623">
        <v>1</v>
      </c>
      <c r="CB103" s="623"/>
      <c r="CC103" s="623"/>
      <c r="CD103" s="623"/>
      <c r="CE103" s="623"/>
      <c r="CF103" s="623"/>
      <c r="CG103" s="623"/>
      <c r="CH103" s="623"/>
      <c r="CI103" s="623"/>
      <c r="CJ103" s="623"/>
      <c r="CK103" s="623"/>
      <c r="CL103" s="623"/>
      <c r="CM103" s="623"/>
      <c r="CN103" s="623"/>
      <c r="CO103" s="623"/>
      <c r="CP103" s="623"/>
      <c r="CQ103" s="623"/>
      <c r="CR103" s="623"/>
      <c r="CS103" s="623"/>
      <c r="CT103" s="623"/>
      <c r="CU103" s="623"/>
      <c r="CV103" s="623"/>
      <c r="CW103" s="623"/>
      <c r="CX103" s="673"/>
      <c r="CY103" s="557"/>
    </row>
    <row r="104" spans="1:103" ht="13.8">
      <c r="A104" s="591" t="s">
        <v>1327</v>
      </c>
      <c r="B104" s="675"/>
      <c r="C104" s="550">
        <v>32</v>
      </c>
      <c r="D104" s="550">
        <f t="shared" si="22"/>
        <v>391</v>
      </c>
      <c r="E104" s="550"/>
      <c r="F104" s="550"/>
      <c r="G104" s="550"/>
      <c r="H104" s="550"/>
      <c r="I104" s="550"/>
      <c r="J104" s="550"/>
      <c r="K104" s="550"/>
      <c r="L104" s="550"/>
      <c r="M104" s="550"/>
      <c r="N104" s="550"/>
      <c r="O104" s="550"/>
      <c r="P104" s="550"/>
      <c r="Q104" s="550" t="s">
        <v>501</v>
      </c>
      <c r="R104" s="550"/>
      <c r="S104" s="550"/>
      <c r="T104" s="550"/>
      <c r="U104" s="550"/>
      <c r="V104" s="550"/>
      <c r="W104" s="550"/>
      <c r="X104" s="550"/>
      <c r="Y104" s="550"/>
      <c r="Z104" s="550"/>
      <c r="AA104" s="550"/>
      <c r="AB104" s="550"/>
      <c r="AC104" s="550"/>
      <c r="AD104" s="550"/>
      <c r="AE104" s="550"/>
      <c r="AF104" s="550"/>
      <c r="AG104" s="550"/>
      <c r="AH104" s="550"/>
      <c r="AI104" s="550"/>
      <c r="AJ104" s="550"/>
      <c r="AK104" s="550"/>
      <c r="AL104" s="550"/>
      <c r="AM104" s="550"/>
      <c r="AN104" s="550"/>
      <c r="AO104" s="550"/>
      <c r="AP104" s="550"/>
      <c r="AQ104" s="550"/>
      <c r="AR104" s="550"/>
      <c r="AS104" s="550"/>
      <c r="AT104" s="550"/>
      <c r="AU104" s="550"/>
      <c r="AV104" s="550"/>
      <c r="AW104" s="550"/>
      <c r="AX104" s="550"/>
      <c r="AY104" s="550"/>
      <c r="AZ104" s="550"/>
      <c r="BA104" s="550"/>
      <c r="BB104" s="550"/>
      <c r="BC104" s="550"/>
      <c r="BD104" s="550"/>
      <c r="BE104" s="550"/>
      <c r="BF104" s="672"/>
      <c r="BG104" s="672"/>
      <c r="BH104" s="623"/>
      <c r="BI104" s="623"/>
      <c r="BJ104" s="623"/>
      <c r="BK104" s="623"/>
      <c r="BL104" s="623"/>
      <c r="BM104" s="623"/>
      <c r="BN104" s="623"/>
      <c r="BO104" s="623"/>
      <c r="BP104" s="623"/>
      <c r="BQ104" s="623"/>
      <c r="BR104" s="623"/>
      <c r="BS104" s="623"/>
      <c r="BT104" s="623"/>
      <c r="BU104" s="623"/>
      <c r="BV104" s="623">
        <v>1</v>
      </c>
      <c r="BW104" s="623">
        <v>1</v>
      </c>
      <c r="BX104" s="623"/>
      <c r="BY104" s="623"/>
      <c r="BZ104" s="623"/>
      <c r="CA104" s="623">
        <v>1</v>
      </c>
      <c r="CB104" s="623"/>
      <c r="CC104" s="623"/>
      <c r="CD104" s="623"/>
      <c r="CE104" s="623"/>
      <c r="CF104" s="623"/>
      <c r="CG104" s="623"/>
      <c r="CH104" s="623"/>
      <c r="CI104" s="623"/>
      <c r="CJ104" s="623"/>
      <c r="CK104" s="623"/>
      <c r="CL104" s="623"/>
      <c r="CM104" s="623"/>
      <c r="CN104" s="623"/>
      <c r="CO104" s="623"/>
      <c r="CP104" s="623"/>
      <c r="CQ104" s="623"/>
      <c r="CR104" s="623"/>
      <c r="CS104" s="623"/>
      <c r="CT104" s="623"/>
      <c r="CU104" s="623"/>
      <c r="CV104" s="623"/>
      <c r="CW104" s="623"/>
      <c r="CX104" s="673"/>
      <c r="CY104" s="557"/>
    </row>
    <row r="105" spans="1:103" ht="13.8">
      <c r="A105" s="591" t="s">
        <v>1328</v>
      </c>
      <c r="B105" s="675"/>
      <c r="C105" s="550">
        <v>40</v>
      </c>
      <c r="D105" s="550">
        <f t="shared" si="22"/>
        <v>431</v>
      </c>
      <c r="E105" s="550"/>
      <c r="F105" s="550"/>
      <c r="G105" s="550"/>
      <c r="H105" s="550"/>
      <c r="I105" s="550"/>
      <c r="J105" s="550"/>
      <c r="K105" s="550"/>
      <c r="L105" s="550"/>
      <c r="M105" s="550"/>
      <c r="N105" s="550"/>
      <c r="O105" s="550"/>
      <c r="P105" s="550"/>
      <c r="Q105" s="550" t="s">
        <v>501</v>
      </c>
      <c r="R105" s="550"/>
      <c r="S105" s="550"/>
      <c r="T105" s="550"/>
      <c r="U105" s="550"/>
      <c r="V105" s="550"/>
      <c r="W105" s="550"/>
      <c r="X105" s="550"/>
      <c r="Y105" s="550"/>
      <c r="Z105" s="550"/>
      <c r="AA105" s="550"/>
      <c r="AB105" s="550"/>
      <c r="AC105" s="550"/>
      <c r="AD105" s="550"/>
      <c r="AE105" s="550"/>
      <c r="AF105" s="550"/>
      <c r="AG105" s="550"/>
      <c r="AH105" s="550"/>
      <c r="AI105" s="550"/>
      <c r="AJ105" s="550"/>
      <c r="AK105" s="550"/>
      <c r="AL105" s="550"/>
      <c r="AM105" s="550"/>
      <c r="AN105" s="550"/>
      <c r="AO105" s="550"/>
      <c r="AP105" s="550"/>
      <c r="AQ105" s="550"/>
      <c r="AR105" s="550"/>
      <c r="AS105" s="550"/>
      <c r="AT105" s="550"/>
      <c r="AU105" s="550"/>
      <c r="AV105" s="550"/>
      <c r="AW105" s="550"/>
      <c r="AX105" s="550"/>
      <c r="AY105" s="550"/>
      <c r="AZ105" s="550"/>
      <c r="BA105" s="550"/>
      <c r="BB105" s="550"/>
      <c r="BC105" s="550"/>
      <c r="BD105" s="550"/>
      <c r="BE105" s="550"/>
      <c r="BF105" s="672"/>
      <c r="BG105" s="672"/>
      <c r="BH105" s="623"/>
      <c r="BI105" s="623"/>
      <c r="BJ105" s="623"/>
      <c r="BK105" s="623"/>
      <c r="BL105" s="623"/>
      <c r="BM105" s="623"/>
      <c r="BN105" s="623"/>
      <c r="BO105" s="623"/>
      <c r="BP105" s="623"/>
      <c r="BQ105" s="623"/>
      <c r="BR105" s="623"/>
      <c r="BS105" s="623"/>
      <c r="BT105" s="623"/>
      <c r="BU105" s="623"/>
      <c r="BV105" s="623">
        <v>1</v>
      </c>
      <c r="BW105" s="623">
        <v>1</v>
      </c>
      <c r="BX105" s="623"/>
      <c r="BY105" s="623"/>
      <c r="BZ105" s="623"/>
      <c r="CA105" s="623">
        <v>1</v>
      </c>
      <c r="CB105" s="623"/>
      <c r="CC105" s="623"/>
      <c r="CD105" s="623"/>
      <c r="CE105" s="623"/>
      <c r="CF105" s="623"/>
      <c r="CG105" s="623"/>
      <c r="CH105" s="623"/>
      <c r="CI105" s="623"/>
      <c r="CJ105" s="623"/>
      <c r="CK105" s="623"/>
      <c r="CL105" s="623"/>
      <c r="CM105" s="623"/>
      <c r="CN105" s="623"/>
      <c r="CO105" s="623"/>
      <c r="CP105" s="623"/>
      <c r="CQ105" s="623"/>
      <c r="CR105" s="623"/>
      <c r="CS105" s="623"/>
      <c r="CT105" s="623"/>
      <c r="CU105" s="623"/>
      <c r="CV105" s="623"/>
      <c r="CW105" s="623"/>
      <c r="CX105" s="673"/>
      <c r="CY105" s="557"/>
    </row>
    <row r="106" spans="1:103" ht="13.8">
      <c r="A106" s="591" t="s">
        <v>1329</v>
      </c>
      <c r="B106" s="675"/>
      <c r="C106" s="550">
        <v>40</v>
      </c>
      <c r="D106" s="550">
        <f t="shared" si="22"/>
        <v>471</v>
      </c>
      <c r="E106" s="550"/>
      <c r="F106" s="550"/>
      <c r="G106" s="550"/>
      <c r="H106" s="550"/>
      <c r="I106" s="550"/>
      <c r="J106" s="550"/>
      <c r="K106" s="550"/>
      <c r="L106" s="550"/>
      <c r="M106" s="550"/>
      <c r="N106" s="550"/>
      <c r="O106" s="550"/>
      <c r="P106" s="550"/>
      <c r="Q106" s="550" t="s">
        <v>501</v>
      </c>
      <c r="R106" s="550"/>
      <c r="S106" s="550"/>
      <c r="T106" s="550"/>
      <c r="U106" s="550"/>
      <c r="V106" s="550"/>
      <c r="W106" s="550"/>
      <c r="X106" s="550"/>
      <c r="Y106" s="550"/>
      <c r="Z106" s="550"/>
      <c r="AA106" s="550"/>
      <c r="AB106" s="550"/>
      <c r="AC106" s="550"/>
      <c r="AD106" s="550"/>
      <c r="AE106" s="550"/>
      <c r="AF106" s="550"/>
      <c r="AG106" s="550"/>
      <c r="AH106" s="550"/>
      <c r="AI106" s="550"/>
      <c r="AJ106" s="550"/>
      <c r="AK106" s="550"/>
      <c r="AL106" s="550"/>
      <c r="AM106" s="550"/>
      <c r="AN106" s="550"/>
      <c r="AO106" s="550"/>
      <c r="AP106" s="550"/>
      <c r="AQ106" s="550"/>
      <c r="AR106" s="550"/>
      <c r="AS106" s="550"/>
      <c r="AT106" s="550"/>
      <c r="AU106" s="550"/>
      <c r="AV106" s="550"/>
      <c r="AW106" s="550"/>
      <c r="AX106" s="550"/>
      <c r="AY106" s="550"/>
      <c r="AZ106" s="550"/>
      <c r="BA106" s="550"/>
      <c r="BB106" s="550"/>
      <c r="BC106" s="550"/>
      <c r="BD106" s="550"/>
      <c r="BE106" s="550"/>
      <c r="BF106" s="672"/>
      <c r="BG106" s="672"/>
      <c r="BH106" s="623"/>
      <c r="BI106" s="623"/>
      <c r="BJ106" s="623"/>
      <c r="BK106" s="623"/>
      <c r="BL106" s="623"/>
      <c r="BM106" s="623"/>
      <c r="BN106" s="623"/>
      <c r="BO106" s="623"/>
      <c r="BP106" s="623"/>
      <c r="BQ106" s="623"/>
      <c r="BR106" s="623"/>
      <c r="BS106" s="623"/>
      <c r="BT106" s="623"/>
      <c r="BU106" s="623"/>
      <c r="BV106" s="623">
        <v>1</v>
      </c>
      <c r="BW106" s="623">
        <v>1</v>
      </c>
      <c r="BX106" s="623"/>
      <c r="BY106" s="623"/>
      <c r="BZ106" s="623"/>
      <c r="CA106" s="623">
        <v>1</v>
      </c>
      <c r="CB106" s="623"/>
      <c r="CC106" s="623"/>
      <c r="CD106" s="623"/>
      <c r="CE106" s="623"/>
      <c r="CF106" s="623"/>
      <c r="CG106" s="623"/>
      <c r="CH106" s="623"/>
      <c r="CI106" s="623"/>
      <c r="CJ106" s="623"/>
      <c r="CK106" s="623"/>
      <c r="CL106" s="623"/>
      <c r="CM106" s="623"/>
      <c r="CN106" s="623"/>
      <c r="CO106" s="623"/>
      <c r="CP106" s="623"/>
      <c r="CQ106" s="623"/>
      <c r="CR106" s="623"/>
      <c r="CS106" s="623"/>
      <c r="CT106" s="623"/>
      <c r="CU106" s="623"/>
      <c r="CV106" s="623"/>
      <c r="CW106" s="623"/>
      <c r="CX106" s="673"/>
      <c r="CY106" s="557"/>
    </row>
    <row r="107" spans="1:103" ht="13.8">
      <c r="A107" s="591" t="s">
        <v>1330</v>
      </c>
      <c r="B107" s="675"/>
      <c r="C107" s="550">
        <v>43</v>
      </c>
      <c r="D107" s="550">
        <f t="shared" si="22"/>
        <v>514</v>
      </c>
      <c r="E107" s="550"/>
      <c r="F107" s="550"/>
      <c r="G107" s="550"/>
      <c r="H107" s="550"/>
      <c r="I107" s="550"/>
      <c r="J107" s="550"/>
      <c r="K107" s="550"/>
      <c r="L107" s="550"/>
      <c r="M107" s="550"/>
      <c r="N107" s="550"/>
      <c r="O107" s="550"/>
      <c r="P107" s="550"/>
      <c r="Q107" s="550" t="s">
        <v>29</v>
      </c>
      <c r="R107" s="550"/>
      <c r="S107" s="550"/>
      <c r="T107" s="550"/>
      <c r="U107" s="550"/>
      <c r="V107" s="550"/>
      <c r="W107" s="550"/>
      <c r="X107" s="550"/>
      <c r="Y107" s="550"/>
      <c r="Z107" s="550"/>
      <c r="AA107" s="550"/>
      <c r="AB107" s="550"/>
      <c r="AC107" s="550"/>
      <c r="AD107" s="550"/>
      <c r="AE107" s="550"/>
      <c r="AF107" s="550"/>
      <c r="AG107" s="550"/>
      <c r="AH107" s="550"/>
      <c r="AI107" s="550"/>
      <c r="AJ107" s="550"/>
      <c r="AK107" s="550"/>
      <c r="AL107" s="550"/>
      <c r="AM107" s="550"/>
      <c r="AN107" s="550"/>
      <c r="AO107" s="550"/>
      <c r="AP107" s="550"/>
      <c r="AQ107" s="550"/>
      <c r="AR107" s="550"/>
      <c r="AS107" s="550"/>
      <c r="AT107" s="550"/>
      <c r="AU107" s="550"/>
      <c r="AV107" s="550"/>
      <c r="AW107" s="550"/>
      <c r="AX107" s="550"/>
      <c r="AY107" s="550"/>
      <c r="AZ107" s="550"/>
      <c r="BA107" s="550"/>
      <c r="BB107" s="550"/>
      <c r="BC107" s="550"/>
      <c r="BD107" s="550"/>
      <c r="BE107" s="550"/>
      <c r="BF107" s="672"/>
      <c r="BG107" s="672"/>
      <c r="BH107" s="623"/>
      <c r="BI107" s="623"/>
      <c r="BJ107" s="623"/>
      <c r="BK107" s="623"/>
      <c r="BL107" s="623"/>
      <c r="BM107" s="623"/>
      <c r="BN107" s="623"/>
      <c r="BO107" s="623"/>
      <c r="BP107" s="623"/>
      <c r="BQ107" s="623"/>
      <c r="BR107" s="623"/>
      <c r="BS107" s="623"/>
      <c r="BT107" s="623"/>
      <c r="BU107" s="623"/>
      <c r="BV107" s="623">
        <v>1</v>
      </c>
      <c r="BW107" s="623">
        <v>1</v>
      </c>
      <c r="BX107" s="623"/>
      <c r="BY107" s="623"/>
      <c r="BZ107" s="623"/>
      <c r="CA107" s="623">
        <v>1</v>
      </c>
      <c r="CB107" s="623"/>
      <c r="CC107" s="623"/>
      <c r="CD107" s="623"/>
      <c r="CE107" s="623"/>
      <c r="CF107" s="623"/>
      <c r="CG107" s="623"/>
      <c r="CH107" s="623"/>
      <c r="CI107" s="623"/>
      <c r="CJ107" s="623"/>
      <c r="CK107" s="623"/>
      <c r="CL107" s="623"/>
      <c r="CM107" s="623"/>
      <c r="CN107" s="623"/>
      <c r="CO107" s="623"/>
      <c r="CP107" s="623"/>
      <c r="CQ107" s="623"/>
      <c r="CR107" s="623"/>
      <c r="CS107" s="623"/>
      <c r="CT107" s="623"/>
      <c r="CU107" s="623"/>
      <c r="CV107" s="623"/>
      <c r="CW107" s="623"/>
      <c r="CX107" s="673"/>
      <c r="CY107" s="557"/>
    </row>
    <row r="108" spans="1:103" ht="13.8">
      <c r="A108" s="591" t="s">
        <v>1331</v>
      </c>
      <c r="B108" s="675"/>
      <c r="C108" s="550">
        <v>40</v>
      </c>
      <c r="D108" s="550">
        <f t="shared" si="22"/>
        <v>554</v>
      </c>
      <c r="E108" s="550"/>
      <c r="F108" s="550"/>
      <c r="G108" s="550"/>
      <c r="H108" s="550"/>
      <c r="I108" s="550"/>
      <c r="J108" s="550"/>
      <c r="K108" s="550"/>
      <c r="L108" s="550"/>
      <c r="M108" s="550"/>
      <c r="N108" s="550"/>
      <c r="O108" s="550"/>
      <c r="P108" s="550"/>
      <c r="Q108" s="550" t="s">
        <v>501</v>
      </c>
      <c r="R108" s="550"/>
      <c r="S108" s="550"/>
      <c r="T108" s="550"/>
      <c r="U108" s="550"/>
      <c r="V108" s="550"/>
      <c r="W108" s="550"/>
      <c r="X108" s="550"/>
      <c r="Y108" s="550"/>
      <c r="Z108" s="550"/>
      <c r="AA108" s="550"/>
      <c r="AB108" s="550"/>
      <c r="AC108" s="550"/>
      <c r="AD108" s="550"/>
      <c r="AE108" s="550"/>
      <c r="AF108" s="550"/>
      <c r="AG108" s="550"/>
      <c r="AH108" s="550"/>
      <c r="AI108" s="550"/>
      <c r="AJ108" s="550"/>
      <c r="AK108" s="550"/>
      <c r="AL108" s="550"/>
      <c r="AM108" s="550"/>
      <c r="AN108" s="550"/>
      <c r="AO108" s="550"/>
      <c r="AP108" s="550"/>
      <c r="AQ108" s="550"/>
      <c r="AR108" s="550"/>
      <c r="AS108" s="550"/>
      <c r="AT108" s="550"/>
      <c r="AU108" s="550"/>
      <c r="AV108" s="550"/>
      <c r="AW108" s="550"/>
      <c r="AX108" s="550"/>
      <c r="AY108" s="550"/>
      <c r="AZ108" s="550"/>
      <c r="BA108" s="550"/>
      <c r="BB108" s="550"/>
      <c r="BC108" s="550"/>
      <c r="BD108" s="550"/>
      <c r="BE108" s="550"/>
      <c r="BF108" s="672"/>
      <c r="BG108" s="672"/>
      <c r="BH108" s="623"/>
      <c r="BI108" s="623"/>
      <c r="BJ108" s="623"/>
      <c r="BK108" s="623"/>
      <c r="BL108" s="623"/>
      <c r="BM108" s="623"/>
      <c r="BN108" s="623"/>
      <c r="BO108" s="623"/>
      <c r="BP108" s="623"/>
      <c r="BQ108" s="623"/>
      <c r="BR108" s="623"/>
      <c r="BS108" s="623"/>
      <c r="BT108" s="623"/>
      <c r="BU108" s="623"/>
      <c r="BV108" s="623">
        <v>1</v>
      </c>
      <c r="BW108" s="623">
        <v>1</v>
      </c>
      <c r="BX108" s="623"/>
      <c r="BY108" s="623"/>
      <c r="BZ108" s="623"/>
      <c r="CA108" s="623">
        <v>1</v>
      </c>
      <c r="CB108" s="623"/>
      <c r="CC108" s="623"/>
      <c r="CD108" s="623"/>
      <c r="CE108" s="623"/>
      <c r="CF108" s="623"/>
      <c r="CG108" s="623"/>
      <c r="CH108" s="623"/>
      <c r="CI108" s="623"/>
      <c r="CJ108" s="623"/>
      <c r="CK108" s="623"/>
      <c r="CL108" s="623"/>
      <c r="CM108" s="623"/>
      <c r="CN108" s="623"/>
      <c r="CO108" s="623"/>
      <c r="CP108" s="623"/>
      <c r="CQ108" s="623"/>
      <c r="CR108" s="623"/>
      <c r="CS108" s="623"/>
      <c r="CT108" s="623"/>
      <c r="CU108" s="623"/>
      <c r="CV108" s="623"/>
      <c r="CW108" s="623"/>
      <c r="CX108" s="673"/>
      <c r="CY108" s="557"/>
    </row>
    <row r="109" spans="1:103" ht="13.8">
      <c r="A109" s="591" t="s">
        <v>1332</v>
      </c>
      <c r="B109" s="675"/>
      <c r="C109" s="550">
        <v>32</v>
      </c>
      <c r="D109" s="550">
        <f t="shared" si="22"/>
        <v>586</v>
      </c>
      <c r="E109" s="550"/>
      <c r="F109" s="550"/>
      <c r="G109" s="550"/>
      <c r="H109" s="550"/>
      <c r="I109" s="550"/>
      <c r="J109" s="550"/>
      <c r="K109" s="550"/>
      <c r="L109" s="550"/>
      <c r="M109" s="550"/>
      <c r="N109" s="550"/>
      <c r="O109" s="550"/>
      <c r="P109" s="550"/>
      <c r="Q109" s="550" t="s">
        <v>1107</v>
      </c>
      <c r="R109" s="550"/>
      <c r="S109" s="550"/>
      <c r="T109" s="550"/>
      <c r="U109" s="550"/>
      <c r="V109" s="550"/>
      <c r="W109" s="550"/>
      <c r="X109" s="550"/>
      <c r="Y109" s="550"/>
      <c r="Z109" s="550"/>
      <c r="AA109" s="550"/>
      <c r="AB109" s="550"/>
      <c r="AC109" s="550"/>
      <c r="AD109" s="550"/>
      <c r="AE109" s="550"/>
      <c r="AF109" s="550"/>
      <c r="AG109" s="550"/>
      <c r="AH109" s="550"/>
      <c r="AI109" s="550"/>
      <c r="AJ109" s="550"/>
      <c r="AK109" s="550"/>
      <c r="AL109" s="550"/>
      <c r="AM109" s="550"/>
      <c r="AN109" s="550"/>
      <c r="AO109" s="550"/>
      <c r="AP109" s="550"/>
      <c r="AQ109" s="550"/>
      <c r="AR109" s="550"/>
      <c r="AS109" s="550"/>
      <c r="AT109" s="550"/>
      <c r="AU109" s="550"/>
      <c r="AV109" s="550"/>
      <c r="AW109" s="550"/>
      <c r="AX109" s="550"/>
      <c r="AY109" s="550"/>
      <c r="AZ109" s="550"/>
      <c r="BA109" s="550"/>
      <c r="BB109" s="550"/>
      <c r="BC109" s="550"/>
      <c r="BD109" s="550"/>
      <c r="BE109" s="550"/>
      <c r="BF109" s="672"/>
      <c r="BG109" s="672"/>
      <c r="BH109" s="623"/>
      <c r="BI109" s="623"/>
      <c r="BJ109" s="623"/>
      <c r="BK109" s="623"/>
      <c r="BL109" s="623"/>
      <c r="BM109" s="623"/>
      <c r="BN109" s="623"/>
      <c r="BO109" s="623"/>
      <c r="BP109" s="623"/>
      <c r="BQ109" s="623"/>
      <c r="BR109" s="623"/>
      <c r="BS109" s="623"/>
      <c r="BT109" s="623"/>
      <c r="BU109" s="623"/>
      <c r="BV109" s="623">
        <v>1</v>
      </c>
      <c r="BW109" s="623">
        <v>1</v>
      </c>
      <c r="BX109" s="623"/>
      <c r="BY109" s="623"/>
      <c r="BZ109" s="623"/>
      <c r="CA109" s="623">
        <v>1</v>
      </c>
      <c r="CB109" s="623"/>
      <c r="CC109" s="623"/>
      <c r="CD109" s="623"/>
      <c r="CE109" s="623"/>
      <c r="CF109" s="623"/>
      <c r="CG109" s="623"/>
      <c r="CH109" s="623"/>
      <c r="CI109" s="623"/>
      <c r="CJ109" s="623"/>
      <c r="CK109" s="623"/>
      <c r="CL109" s="623"/>
      <c r="CM109" s="623"/>
      <c r="CN109" s="623"/>
      <c r="CO109" s="623"/>
      <c r="CP109" s="623"/>
      <c r="CQ109" s="623"/>
      <c r="CR109" s="623"/>
      <c r="CS109" s="623"/>
      <c r="CT109" s="623"/>
      <c r="CU109" s="623"/>
      <c r="CV109" s="623">
        <v>2</v>
      </c>
      <c r="CW109" s="623"/>
      <c r="CX109" s="673"/>
      <c r="CY109" s="557"/>
    </row>
    <row r="110" spans="1:103" ht="13.8">
      <c r="A110" s="690" t="s">
        <v>1325</v>
      </c>
      <c r="B110" s="675"/>
      <c r="C110" s="550"/>
      <c r="D110" s="550">
        <f t="shared" si="22"/>
        <v>586</v>
      </c>
      <c r="E110" s="550"/>
      <c r="F110" s="550"/>
      <c r="G110" s="550"/>
      <c r="H110" s="550"/>
      <c r="I110" s="550"/>
      <c r="J110" s="550"/>
      <c r="K110" s="550"/>
      <c r="L110" s="550"/>
      <c r="M110" s="550"/>
      <c r="N110" s="550"/>
      <c r="O110" s="550"/>
      <c r="P110" s="550"/>
      <c r="Q110" s="550"/>
      <c r="R110" s="550"/>
      <c r="S110" s="550"/>
      <c r="T110" s="550"/>
      <c r="U110" s="550"/>
      <c r="V110" s="550"/>
      <c r="W110" s="550"/>
      <c r="X110" s="550"/>
      <c r="Y110" s="550"/>
      <c r="Z110" s="550"/>
      <c r="AA110" s="550"/>
      <c r="AB110" s="550"/>
      <c r="AC110" s="550"/>
      <c r="AD110" s="550"/>
      <c r="AE110" s="550"/>
      <c r="AF110" s="550"/>
      <c r="AG110" s="550"/>
      <c r="AH110" s="550"/>
      <c r="AI110" s="550"/>
      <c r="AJ110" s="550"/>
      <c r="AK110" s="550"/>
      <c r="AL110" s="550"/>
      <c r="AM110" s="550"/>
      <c r="AN110" s="550"/>
      <c r="AO110" s="550"/>
      <c r="AP110" s="550"/>
      <c r="AQ110" s="550"/>
      <c r="AR110" s="550"/>
      <c r="AS110" s="550"/>
      <c r="AT110" s="550"/>
      <c r="AU110" s="550"/>
      <c r="AV110" s="550"/>
      <c r="AW110" s="550"/>
      <c r="AX110" s="550"/>
      <c r="AY110" s="550"/>
      <c r="AZ110" s="550"/>
      <c r="BA110" s="550"/>
      <c r="BB110" s="550"/>
      <c r="BC110" s="550"/>
      <c r="BD110" s="550"/>
      <c r="BE110" s="550"/>
      <c r="BF110" s="672"/>
      <c r="BG110" s="672"/>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623"/>
      <c r="CC110" s="623"/>
      <c r="CD110" s="623"/>
      <c r="CE110" s="623"/>
      <c r="CF110" s="623"/>
      <c r="CG110" s="623"/>
      <c r="CH110" s="623"/>
      <c r="CI110" s="623"/>
      <c r="CJ110" s="623"/>
      <c r="CK110" s="623"/>
      <c r="CL110" s="623"/>
      <c r="CM110" s="623"/>
      <c r="CN110" s="623"/>
      <c r="CO110" s="623"/>
      <c r="CP110" s="623"/>
      <c r="CQ110" s="623"/>
      <c r="CR110" s="623"/>
      <c r="CS110" s="623"/>
      <c r="CT110" s="623"/>
      <c r="CU110" s="623"/>
      <c r="CV110" s="623"/>
      <c r="CW110" s="623"/>
      <c r="CX110" s="673"/>
      <c r="CY110" s="557"/>
    </row>
    <row r="111" spans="1:103" ht="13.8">
      <c r="A111" s="591" t="s">
        <v>1333</v>
      </c>
      <c r="B111" s="675"/>
      <c r="C111" s="550">
        <v>40</v>
      </c>
      <c r="D111" s="550">
        <f t="shared" si="22"/>
        <v>626</v>
      </c>
      <c r="E111" s="550"/>
      <c r="F111" s="550"/>
      <c r="G111" s="550"/>
      <c r="H111" s="550"/>
      <c r="I111" s="550"/>
      <c r="J111" s="550"/>
      <c r="K111" s="550"/>
      <c r="L111" s="550"/>
      <c r="M111" s="550"/>
      <c r="N111" s="550"/>
      <c r="O111" s="550"/>
      <c r="P111" s="550"/>
      <c r="Q111" s="550" t="s">
        <v>501</v>
      </c>
      <c r="R111" s="550"/>
      <c r="S111" s="550"/>
      <c r="T111" s="550"/>
      <c r="U111" s="550"/>
      <c r="V111" s="550"/>
      <c r="W111" s="550"/>
      <c r="X111" s="550"/>
      <c r="Y111" s="550"/>
      <c r="Z111" s="550"/>
      <c r="AA111" s="550"/>
      <c r="AB111" s="550"/>
      <c r="AC111" s="550"/>
      <c r="AD111" s="550"/>
      <c r="AE111" s="550"/>
      <c r="AF111" s="550"/>
      <c r="AG111" s="550"/>
      <c r="AH111" s="550"/>
      <c r="AI111" s="550"/>
      <c r="AJ111" s="550"/>
      <c r="AK111" s="550"/>
      <c r="AL111" s="550"/>
      <c r="AM111" s="550"/>
      <c r="AN111" s="550"/>
      <c r="AO111" s="550"/>
      <c r="AP111" s="550"/>
      <c r="AQ111" s="550"/>
      <c r="AR111" s="550"/>
      <c r="AS111" s="550"/>
      <c r="AT111" s="550"/>
      <c r="AU111" s="550"/>
      <c r="AV111" s="550"/>
      <c r="AW111" s="550"/>
      <c r="AX111" s="550"/>
      <c r="AY111" s="550"/>
      <c r="AZ111" s="550"/>
      <c r="BA111" s="550"/>
      <c r="BB111" s="550"/>
      <c r="BC111" s="550"/>
      <c r="BD111" s="550"/>
      <c r="BE111" s="550"/>
      <c r="BF111" s="672"/>
      <c r="BG111" s="672"/>
      <c r="BH111" s="623"/>
      <c r="BI111" s="623"/>
      <c r="BJ111" s="623"/>
      <c r="BK111" s="623"/>
      <c r="BL111" s="623"/>
      <c r="BM111" s="623"/>
      <c r="BN111" s="623"/>
      <c r="BO111" s="623"/>
      <c r="BP111" s="623"/>
      <c r="BQ111" s="623"/>
      <c r="BR111" s="623"/>
      <c r="BS111" s="623"/>
      <c r="BT111" s="623"/>
      <c r="BU111" s="623"/>
      <c r="BV111" s="623">
        <v>1</v>
      </c>
      <c r="BW111" s="623">
        <v>1</v>
      </c>
      <c r="BX111" s="623"/>
      <c r="BY111" s="623"/>
      <c r="BZ111" s="623"/>
      <c r="CA111" s="623">
        <v>1</v>
      </c>
      <c r="CB111" s="623"/>
      <c r="CC111" s="623"/>
      <c r="CD111" s="623"/>
      <c r="CE111" s="623"/>
      <c r="CF111" s="623"/>
      <c r="CG111" s="623"/>
      <c r="CH111" s="623"/>
      <c r="CI111" s="623"/>
      <c r="CJ111" s="623"/>
      <c r="CK111" s="623"/>
      <c r="CL111" s="623"/>
      <c r="CM111" s="623"/>
      <c r="CN111" s="623"/>
      <c r="CO111" s="623"/>
      <c r="CP111" s="623"/>
      <c r="CQ111" s="623"/>
      <c r="CR111" s="623"/>
      <c r="CS111" s="623"/>
      <c r="CT111" s="623"/>
      <c r="CU111" s="623"/>
      <c r="CV111" s="623"/>
      <c r="CW111" s="623"/>
      <c r="CX111" s="673"/>
      <c r="CY111" s="557"/>
    </row>
    <row r="112" spans="1:103" ht="13.8">
      <c r="A112" s="591" t="s">
        <v>1334</v>
      </c>
      <c r="B112" s="675"/>
      <c r="C112" s="550">
        <v>43</v>
      </c>
      <c r="D112" s="550">
        <f t="shared" si="22"/>
        <v>669</v>
      </c>
      <c r="E112" s="550"/>
      <c r="F112" s="550"/>
      <c r="G112" s="550"/>
      <c r="H112" s="550"/>
      <c r="I112" s="550"/>
      <c r="J112" s="550"/>
      <c r="K112" s="550"/>
      <c r="L112" s="550"/>
      <c r="M112" s="550"/>
      <c r="N112" s="550"/>
      <c r="O112" s="550"/>
      <c r="P112" s="550"/>
      <c r="Q112" s="550" t="s">
        <v>501</v>
      </c>
      <c r="R112" s="550"/>
      <c r="S112" s="550"/>
      <c r="T112" s="550"/>
      <c r="U112" s="550"/>
      <c r="V112" s="550"/>
      <c r="W112" s="550"/>
      <c r="X112" s="550"/>
      <c r="Y112" s="550"/>
      <c r="Z112" s="550"/>
      <c r="AA112" s="550"/>
      <c r="AB112" s="550"/>
      <c r="AC112" s="550"/>
      <c r="AD112" s="550"/>
      <c r="AE112" s="550"/>
      <c r="AF112" s="550"/>
      <c r="AG112" s="550"/>
      <c r="AH112" s="550"/>
      <c r="AI112" s="550"/>
      <c r="AJ112" s="550"/>
      <c r="AK112" s="550"/>
      <c r="AL112" s="550"/>
      <c r="AM112" s="550"/>
      <c r="AN112" s="550"/>
      <c r="AO112" s="550"/>
      <c r="AP112" s="550"/>
      <c r="AQ112" s="550"/>
      <c r="AR112" s="550"/>
      <c r="AS112" s="550"/>
      <c r="AT112" s="550"/>
      <c r="AU112" s="550"/>
      <c r="AV112" s="550"/>
      <c r="AW112" s="550"/>
      <c r="AX112" s="550"/>
      <c r="AY112" s="550"/>
      <c r="AZ112" s="550"/>
      <c r="BA112" s="550"/>
      <c r="BB112" s="550"/>
      <c r="BC112" s="550"/>
      <c r="BD112" s="550"/>
      <c r="BE112" s="550"/>
      <c r="BF112" s="672"/>
      <c r="BG112" s="672"/>
      <c r="BH112" s="623"/>
      <c r="BI112" s="623"/>
      <c r="BJ112" s="623"/>
      <c r="BK112" s="623"/>
      <c r="BL112" s="623"/>
      <c r="BM112" s="623"/>
      <c r="BN112" s="623"/>
      <c r="BO112" s="623"/>
      <c r="BP112" s="623"/>
      <c r="BQ112" s="623"/>
      <c r="BR112" s="623"/>
      <c r="BS112" s="623"/>
      <c r="BT112" s="623"/>
      <c r="BU112" s="623"/>
      <c r="BV112" s="623">
        <v>1</v>
      </c>
      <c r="BW112" s="623">
        <v>1</v>
      </c>
      <c r="BX112" s="623"/>
      <c r="BY112" s="623"/>
      <c r="BZ112" s="623"/>
      <c r="CA112" s="623">
        <v>1</v>
      </c>
      <c r="CB112" s="623"/>
      <c r="CC112" s="623"/>
      <c r="CD112" s="623"/>
      <c r="CE112" s="623"/>
      <c r="CF112" s="623"/>
      <c r="CG112" s="623"/>
      <c r="CH112" s="623"/>
      <c r="CI112" s="623"/>
      <c r="CJ112" s="623"/>
      <c r="CK112" s="623"/>
      <c r="CL112" s="623"/>
      <c r="CM112" s="623"/>
      <c r="CN112" s="623"/>
      <c r="CO112" s="623"/>
      <c r="CP112" s="623"/>
      <c r="CQ112" s="623"/>
      <c r="CR112" s="623"/>
      <c r="CS112" s="623"/>
      <c r="CT112" s="623"/>
      <c r="CU112" s="623"/>
      <c r="CV112" s="623"/>
      <c r="CW112" s="623"/>
      <c r="CX112" s="673"/>
      <c r="CY112" s="557"/>
    </row>
    <row r="113" spans="1:234" ht="13.8">
      <c r="A113" s="591" t="s">
        <v>1335</v>
      </c>
      <c r="B113" s="675"/>
      <c r="C113" s="550">
        <v>41</v>
      </c>
      <c r="D113" s="550">
        <f t="shared" si="22"/>
        <v>710</v>
      </c>
      <c r="E113" s="550"/>
      <c r="F113" s="550"/>
      <c r="G113" s="550"/>
      <c r="H113" s="550"/>
      <c r="I113" s="550"/>
      <c r="J113" s="550"/>
      <c r="K113" s="550"/>
      <c r="L113" s="550"/>
      <c r="M113" s="550"/>
      <c r="N113" s="550"/>
      <c r="O113" s="550"/>
      <c r="P113" s="550"/>
      <c r="Q113" s="550" t="s">
        <v>1107</v>
      </c>
      <c r="R113" s="550"/>
      <c r="S113" s="550"/>
      <c r="T113" s="550"/>
      <c r="U113" s="550"/>
      <c r="V113" s="550"/>
      <c r="W113" s="550"/>
      <c r="X113" s="550"/>
      <c r="Y113" s="550"/>
      <c r="Z113" s="550"/>
      <c r="AA113" s="550"/>
      <c r="AB113" s="550"/>
      <c r="AC113" s="550"/>
      <c r="AD113" s="550"/>
      <c r="AE113" s="550"/>
      <c r="AF113" s="550"/>
      <c r="AG113" s="550"/>
      <c r="AH113" s="550"/>
      <c r="AI113" s="550"/>
      <c r="AJ113" s="550"/>
      <c r="AK113" s="550"/>
      <c r="AL113" s="550"/>
      <c r="AM113" s="550"/>
      <c r="AN113" s="550"/>
      <c r="AO113" s="550"/>
      <c r="AP113" s="550"/>
      <c r="AQ113" s="550"/>
      <c r="AR113" s="550"/>
      <c r="AS113" s="550"/>
      <c r="AT113" s="550"/>
      <c r="AU113" s="550"/>
      <c r="AV113" s="550"/>
      <c r="AW113" s="550"/>
      <c r="AX113" s="550"/>
      <c r="AY113" s="550"/>
      <c r="AZ113" s="550"/>
      <c r="BA113" s="550"/>
      <c r="BB113" s="550"/>
      <c r="BC113" s="550"/>
      <c r="BD113" s="550"/>
      <c r="BE113" s="550"/>
      <c r="BF113" s="672"/>
      <c r="BG113" s="672"/>
      <c r="BH113" s="623"/>
      <c r="BI113" s="623"/>
      <c r="BJ113" s="623"/>
      <c r="BK113" s="623"/>
      <c r="BL113" s="623"/>
      <c r="BM113" s="623"/>
      <c r="BN113" s="623"/>
      <c r="BO113" s="623"/>
      <c r="BP113" s="623"/>
      <c r="BQ113" s="623"/>
      <c r="BR113" s="623"/>
      <c r="BS113" s="623"/>
      <c r="BT113" s="623"/>
      <c r="BU113" s="623"/>
      <c r="BV113" s="623">
        <v>1</v>
      </c>
      <c r="BW113" s="623">
        <v>1</v>
      </c>
      <c r="BX113" s="623"/>
      <c r="BY113" s="623"/>
      <c r="BZ113" s="623"/>
      <c r="CA113" s="623">
        <v>1</v>
      </c>
      <c r="CB113" s="623"/>
      <c r="CC113" s="623"/>
      <c r="CD113" s="623"/>
      <c r="CE113" s="623"/>
      <c r="CF113" s="623"/>
      <c r="CG113" s="623"/>
      <c r="CH113" s="623"/>
      <c r="CI113" s="623"/>
      <c r="CJ113" s="623"/>
      <c r="CK113" s="623"/>
      <c r="CL113" s="623"/>
      <c r="CM113" s="623"/>
      <c r="CN113" s="623"/>
      <c r="CO113" s="623"/>
      <c r="CP113" s="623"/>
      <c r="CQ113" s="623"/>
      <c r="CR113" s="623"/>
      <c r="CS113" s="623"/>
      <c r="CT113" s="623"/>
      <c r="CU113" s="623"/>
      <c r="CV113" s="623">
        <v>2</v>
      </c>
      <c r="CW113" s="623"/>
      <c r="CX113" s="673"/>
      <c r="CY113" s="557"/>
    </row>
    <row r="114" spans="1:234" ht="13.8">
      <c r="A114" s="690" t="s">
        <v>1330</v>
      </c>
      <c r="B114" s="675"/>
      <c r="C114" s="550"/>
      <c r="D114" s="550">
        <f t="shared" si="22"/>
        <v>710</v>
      </c>
      <c r="E114" s="550"/>
      <c r="F114" s="550"/>
      <c r="G114" s="550"/>
      <c r="H114" s="550"/>
      <c r="I114" s="550"/>
      <c r="J114" s="550"/>
      <c r="K114" s="550"/>
      <c r="L114" s="550"/>
      <c r="M114" s="550"/>
      <c r="N114" s="550"/>
      <c r="O114" s="550"/>
      <c r="P114" s="550"/>
      <c r="Q114" s="550"/>
      <c r="R114" s="550"/>
      <c r="S114" s="550"/>
      <c r="T114" s="550"/>
      <c r="U114" s="550"/>
      <c r="V114" s="550"/>
      <c r="W114" s="550"/>
      <c r="X114" s="550"/>
      <c r="Y114" s="550"/>
      <c r="Z114" s="550"/>
      <c r="AA114" s="550"/>
      <c r="AB114" s="550"/>
      <c r="AC114" s="550"/>
      <c r="AD114" s="550"/>
      <c r="AE114" s="550"/>
      <c r="AF114" s="550"/>
      <c r="AG114" s="550"/>
      <c r="AH114" s="550"/>
      <c r="AI114" s="550"/>
      <c r="AJ114" s="550"/>
      <c r="AK114" s="550"/>
      <c r="AL114" s="550"/>
      <c r="AM114" s="550"/>
      <c r="AN114" s="550"/>
      <c r="AO114" s="550"/>
      <c r="AP114" s="550"/>
      <c r="AQ114" s="550"/>
      <c r="AR114" s="550"/>
      <c r="AS114" s="550"/>
      <c r="AT114" s="550"/>
      <c r="AU114" s="550"/>
      <c r="AV114" s="550"/>
      <c r="AW114" s="550"/>
      <c r="AX114" s="550"/>
      <c r="AY114" s="550"/>
      <c r="AZ114" s="550"/>
      <c r="BA114" s="550"/>
      <c r="BB114" s="550"/>
      <c r="BC114" s="550"/>
      <c r="BD114" s="550"/>
      <c r="BE114" s="550"/>
      <c r="BF114" s="672"/>
      <c r="BG114" s="672"/>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623"/>
      <c r="CC114" s="623"/>
      <c r="CD114" s="623"/>
      <c r="CE114" s="623"/>
      <c r="CF114" s="623"/>
      <c r="CG114" s="623"/>
      <c r="CH114" s="623"/>
      <c r="CI114" s="623"/>
      <c r="CJ114" s="623"/>
      <c r="CK114" s="623"/>
      <c r="CL114" s="623"/>
      <c r="CM114" s="623"/>
      <c r="CN114" s="623"/>
      <c r="CO114" s="623"/>
      <c r="CP114" s="623"/>
      <c r="CQ114" s="623"/>
      <c r="CR114" s="623"/>
      <c r="CS114" s="623"/>
      <c r="CT114" s="623"/>
      <c r="CU114" s="623"/>
      <c r="CV114" s="623"/>
      <c r="CW114" s="623"/>
      <c r="CX114" s="673"/>
      <c r="CY114" s="557"/>
    </row>
    <row r="115" spans="1:234" ht="13.8">
      <c r="A115" s="591" t="s">
        <v>1336</v>
      </c>
      <c r="B115" s="675"/>
      <c r="C115" s="550">
        <v>40</v>
      </c>
      <c r="D115" s="550">
        <f t="shared" si="22"/>
        <v>750</v>
      </c>
      <c r="E115" s="550"/>
      <c r="F115" s="550"/>
      <c r="G115" s="550"/>
      <c r="H115" s="550"/>
      <c r="I115" s="550"/>
      <c r="J115" s="550"/>
      <c r="K115" s="550"/>
      <c r="L115" s="550"/>
      <c r="M115" s="550"/>
      <c r="N115" s="550"/>
      <c r="O115" s="550"/>
      <c r="P115" s="550"/>
      <c r="Q115" s="550" t="s">
        <v>501</v>
      </c>
      <c r="R115" s="550"/>
      <c r="S115" s="550"/>
      <c r="T115" s="550"/>
      <c r="U115" s="550"/>
      <c r="V115" s="550"/>
      <c r="W115" s="550"/>
      <c r="X115" s="550"/>
      <c r="Y115" s="550"/>
      <c r="Z115" s="550"/>
      <c r="AA115" s="550"/>
      <c r="AB115" s="550"/>
      <c r="AC115" s="550"/>
      <c r="AD115" s="550"/>
      <c r="AE115" s="550"/>
      <c r="AF115" s="550"/>
      <c r="AG115" s="550"/>
      <c r="AH115" s="550"/>
      <c r="AI115" s="550"/>
      <c r="AJ115" s="550"/>
      <c r="AK115" s="550"/>
      <c r="AL115" s="550"/>
      <c r="AM115" s="550"/>
      <c r="AN115" s="550"/>
      <c r="AO115" s="550"/>
      <c r="AP115" s="550"/>
      <c r="AQ115" s="550"/>
      <c r="AR115" s="550"/>
      <c r="AS115" s="550"/>
      <c r="AT115" s="550"/>
      <c r="AU115" s="550"/>
      <c r="AV115" s="550"/>
      <c r="AW115" s="550"/>
      <c r="AX115" s="550"/>
      <c r="AY115" s="550"/>
      <c r="AZ115" s="550"/>
      <c r="BA115" s="550"/>
      <c r="BB115" s="550"/>
      <c r="BC115" s="550"/>
      <c r="BD115" s="550"/>
      <c r="BE115" s="550"/>
      <c r="BF115" s="672"/>
      <c r="BG115" s="672"/>
      <c r="BH115" s="623"/>
      <c r="BI115" s="623"/>
      <c r="BJ115" s="623"/>
      <c r="BK115" s="623"/>
      <c r="BL115" s="623"/>
      <c r="BM115" s="623"/>
      <c r="BN115" s="623"/>
      <c r="BO115" s="623"/>
      <c r="BP115" s="623"/>
      <c r="BQ115" s="623"/>
      <c r="BR115" s="623"/>
      <c r="BS115" s="623"/>
      <c r="BT115" s="623"/>
      <c r="BU115" s="623"/>
      <c r="BV115" s="623">
        <v>1</v>
      </c>
      <c r="BW115" s="623">
        <v>1</v>
      </c>
      <c r="BX115" s="623"/>
      <c r="BY115" s="623"/>
      <c r="BZ115" s="623"/>
      <c r="CA115" s="623">
        <v>1</v>
      </c>
      <c r="CB115" s="623"/>
      <c r="CC115" s="623"/>
      <c r="CD115" s="623"/>
      <c r="CE115" s="623"/>
      <c r="CF115" s="623"/>
      <c r="CG115" s="623"/>
      <c r="CH115" s="623"/>
      <c r="CI115" s="623"/>
      <c r="CJ115" s="623"/>
      <c r="CK115" s="623"/>
      <c r="CL115" s="623"/>
      <c r="CM115" s="623"/>
      <c r="CN115" s="623"/>
      <c r="CO115" s="623"/>
      <c r="CP115" s="623"/>
      <c r="CQ115" s="623"/>
      <c r="CR115" s="623"/>
      <c r="CS115" s="623"/>
      <c r="CT115" s="623"/>
      <c r="CU115" s="623"/>
      <c r="CV115" s="623"/>
      <c r="CW115" s="623"/>
      <c r="CX115" s="673"/>
      <c r="CY115" s="557"/>
    </row>
    <row r="116" spans="1:234" ht="13.8">
      <c r="A116" s="591" t="s">
        <v>1337</v>
      </c>
      <c r="B116" s="675"/>
      <c r="C116" s="550">
        <v>40</v>
      </c>
      <c r="D116" s="550">
        <f t="shared" si="22"/>
        <v>790</v>
      </c>
      <c r="E116" s="550"/>
      <c r="F116" s="550"/>
      <c r="G116" s="550"/>
      <c r="H116" s="550"/>
      <c r="I116" s="550"/>
      <c r="J116" s="550"/>
      <c r="K116" s="550"/>
      <c r="L116" s="550"/>
      <c r="M116" s="550"/>
      <c r="N116" s="550"/>
      <c r="O116" s="550"/>
      <c r="P116" s="550"/>
      <c r="Q116" s="550" t="s">
        <v>1107</v>
      </c>
      <c r="R116" s="550"/>
      <c r="S116" s="550"/>
      <c r="T116" s="550"/>
      <c r="U116" s="550"/>
      <c r="V116" s="550"/>
      <c r="W116" s="550"/>
      <c r="X116" s="550"/>
      <c r="Y116" s="550"/>
      <c r="Z116" s="550"/>
      <c r="AA116" s="550"/>
      <c r="AB116" s="550"/>
      <c r="AC116" s="550"/>
      <c r="AD116" s="550"/>
      <c r="AE116" s="550"/>
      <c r="AF116" s="550"/>
      <c r="AG116" s="550"/>
      <c r="AH116" s="550"/>
      <c r="AI116" s="550"/>
      <c r="AJ116" s="550"/>
      <c r="AK116" s="550"/>
      <c r="AL116" s="550"/>
      <c r="AM116" s="550"/>
      <c r="AN116" s="550"/>
      <c r="AO116" s="550"/>
      <c r="AP116" s="550"/>
      <c r="AQ116" s="550"/>
      <c r="AR116" s="550"/>
      <c r="AS116" s="550"/>
      <c r="AT116" s="550"/>
      <c r="AU116" s="550"/>
      <c r="AV116" s="550"/>
      <c r="AW116" s="550"/>
      <c r="AX116" s="550"/>
      <c r="AY116" s="550"/>
      <c r="AZ116" s="550"/>
      <c r="BA116" s="550"/>
      <c r="BB116" s="550"/>
      <c r="BC116" s="550"/>
      <c r="BD116" s="550"/>
      <c r="BE116" s="550"/>
      <c r="BF116" s="672"/>
      <c r="BG116" s="672"/>
      <c r="BH116" s="623"/>
      <c r="BI116" s="623"/>
      <c r="BJ116" s="623"/>
      <c r="BK116" s="623"/>
      <c r="BL116" s="623"/>
      <c r="BM116" s="623"/>
      <c r="BN116" s="623"/>
      <c r="BO116" s="623"/>
      <c r="BP116" s="623"/>
      <c r="BQ116" s="623"/>
      <c r="BR116" s="623"/>
      <c r="BS116" s="623"/>
      <c r="BT116" s="623"/>
      <c r="BU116" s="623"/>
      <c r="BV116" s="623">
        <v>1</v>
      </c>
      <c r="BW116" s="623">
        <v>1</v>
      </c>
      <c r="BX116" s="623"/>
      <c r="BY116" s="623"/>
      <c r="BZ116" s="623"/>
      <c r="CA116" s="623">
        <v>1</v>
      </c>
      <c r="CB116" s="623"/>
      <c r="CC116" s="623"/>
      <c r="CD116" s="623"/>
      <c r="CE116" s="623"/>
      <c r="CF116" s="623"/>
      <c r="CG116" s="623"/>
      <c r="CH116" s="623"/>
      <c r="CI116" s="623"/>
      <c r="CJ116" s="623"/>
      <c r="CK116" s="623"/>
      <c r="CL116" s="623"/>
      <c r="CM116" s="623"/>
      <c r="CN116" s="623"/>
      <c r="CO116" s="623"/>
      <c r="CP116" s="623"/>
      <c r="CQ116" s="623"/>
      <c r="CR116" s="623"/>
      <c r="CS116" s="623"/>
      <c r="CT116" s="623"/>
      <c r="CU116" s="623"/>
      <c r="CV116" s="623">
        <v>2</v>
      </c>
      <c r="CW116" s="623"/>
      <c r="CX116" s="673"/>
      <c r="CY116" s="557"/>
    </row>
    <row r="117" spans="1:234" ht="13.8">
      <c r="A117" s="591" t="s">
        <v>1330</v>
      </c>
      <c r="B117" s="675"/>
      <c r="C117" s="550"/>
      <c r="D117" s="550">
        <f t="shared" si="22"/>
        <v>790</v>
      </c>
      <c r="E117" s="550"/>
      <c r="F117" s="550"/>
      <c r="G117" s="550"/>
      <c r="H117" s="550"/>
      <c r="I117" s="550"/>
      <c r="J117" s="550"/>
      <c r="K117" s="550"/>
      <c r="L117" s="550"/>
      <c r="M117" s="550"/>
      <c r="N117" s="550"/>
      <c r="O117" s="550"/>
      <c r="P117" s="550"/>
      <c r="Q117" s="550"/>
      <c r="R117" s="550"/>
      <c r="S117" s="550"/>
      <c r="T117" s="550"/>
      <c r="U117" s="550"/>
      <c r="V117" s="550"/>
      <c r="W117" s="550"/>
      <c r="X117" s="550"/>
      <c r="Y117" s="550"/>
      <c r="Z117" s="550"/>
      <c r="AA117" s="550"/>
      <c r="AB117" s="550"/>
      <c r="AC117" s="550"/>
      <c r="AD117" s="550"/>
      <c r="AE117" s="550"/>
      <c r="AF117" s="550"/>
      <c r="AG117" s="550"/>
      <c r="AH117" s="550"/>
      <c r="AI117" s="550"/>
      <c r="AJ117" s="550"/>
      <c r="AK117" s="550"/>
      <c r="AL117" s="550"/>
      <c r="AM117" s="550"/>
      <c r="AN117" s="550"/>
      <c r="AO117" s="550"/>
      <c r="AP117" s="550"/>
      <c r="AQ117" s="550"/>
      <c r="AR117" s="550"/>
      <c r="AS117" s="550"/>
      <c r="AT117" s="550"/>
      <c r="AU117" s="550"/>
      <c r="AV117" s="550"/>
      <c r="AW117" s="550"/>
      <c r="AX117" s="550"/>
      <c r="AY117" s="550"/>
      <c r="AZ117" s="550"/>
      <c r="BA117" s="550"/>
      <c r="BB117" s="550"/>
      <c r="BC117" s="550"/>
      <c r="BD117" s="550"/>
      <c r="BE117" s="550"/>
      <c r="BF117" s="672"/>
      <c r="BG117" s="672"/>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623"/>
      <c r="CC117" s="623"/>
      <c r="CD117" s="623"/>
      <c r="CE117" s="623"/>
      <c r="CF117" s="623"/>
      <c r="CG117" s="623"/>
      <c r="CH117" s="623"/>
      <c r="CI117" s="623"/>
      <c r="CJ117" s="623"/>
      <c r="CK117" s="623"/>
      <c r="CL117" s="623"/>
      <c r="CM117" s="623"/>
      <c r="CN117" s="623"/>
      <c r="CO117" s="623"/>
      <c r="CP117" s="623"/>
      <c r="CQ117" s="623"/>
      <c r="CR117" s="623"/>
      <c r="CS117" s="623"/>
      <c r="CT117" s="623"/>
      <c r="CU117" s="623"/>
      <c r="CV117" s="623"/>
      <c r="CW117" s="623"/>
      <c r="CX117" s="673"/>
      <c r="CY117" s="557"/>
    </row>
    <row r="118" spans="1:234" ht="13.8">
      <c r="A118" s="591" t="s">
        <v>1338</v>
      </c>
      <c r="B118" s="675"/>
      <c r="C118" s="550">
        <v>40</v>
      </c>
      <c r="D118" s="550">
        <f t="shared" si="22"/>
        <v>830</v>
      </c>
      <c r="E118" s="550"/>
      <c r="F118" s="550"/>
      <c r="G118" s="550"/>
      <c r="H118" s="550"/>
      <c r="I118" s="550"/>
      <c r="J118" s="550"/>
      <c r="K118" s="550"/>
      <c r="L118" s="550"/>
      <c r="M118" s="550"/>
      <c r="N118" s="550"/>
      <c r="O118" s="550"/>
      <c r="P118" s="550"/>
      <c r="Q118" s="550" t="s">
        <v>501</v>
      </c>
      <c r="R118" s="550"/>
      <c r="S118" s="550"/>
      <c r="T118" s="550"/>
      <c r="U118" s="550"/>
      <c r="V118" s="550"/>
      <c r="W118" s="550"/>
      <c r="X118" s="550"/>
      <c r="Y118" s="550"/>
      <c r="Z118" s="550"/>
      <c r="AA118" s="550"/>
      <c r="AB118" s="550"/>
      <c r="AC118" s="550"/>
      <c r="AD118" s="550"/>
      <c r="AE118" s="550"/>
      <c r="AF118" s="550"/>
      <c r="AG118" s="550"/>
      <c r="AH118" s="550"/>
      <c r="AI118" s="550"/>
      <c r="AJ118" s="550"/>
      <c r="AK118" s="550"/>
      <c r="AL118" s="550"/>
      <c r="AM118" s="550"/>
      <c r="AN118" s="550"/>
      <c r="AO118" s="550"/>
      <c r="AP118" s="550"/>
      <c r="AQ118" s="550"/>
      <c r="AR118" s="550"/>
      <c r="AS118" s="550"/>
      <c r="AT118" s="550"/>
      <c r="AU118" s="550"/>
      <c r="AV118" s="550"/>
      <c r="AW118" s="550"/>
      <c r="AX118" s="550"/>
      <c r="AY118" s="550"/>
      <c r="AZ118" s="550"/>
      <c r="BA118" s="550"/>
      <c r="BB118" s="550"/>
      <c r="BC118" s="550"/>
      <c r="BD118" s="550"/>
      <c r="BE118" s="550"/>
      <c r="BF118" s="672"/>
      <c r="BG118" s="672"/>
      <c r="BH118" s="623"/>
      <c r="BI118" s="623"/>
      <c r="BJ118" s="623"/>
      <c r="BK118" s="623"/>
      <c r="BL118" s="623"/>
      <c r="BM118" s="623"/>
      <c r="BN118" s="623"/>
      <c r="BO118" s="623"/>
      <c r="BP118" s="623"/>
      <c r="BQ118" s="623"/>
      <c r="BR118" s="623"/>
      <c r="BS118" s="623"/>
      <c r="BT118" s="623"/>
      <c r="BU118" s="623"/>
      <c r="BV118" s="623">
        <v>1</v>
      </c>
      <c r="BW118" s="623">
        <v>1</v>
      </c>
      <c r="BX118" s="623"/>
      <c r="BY118" s="623"/>
      <c r="BZ118" s="623"/>
      <c r="CA118" s="623">
        <v>1</v>
      </c>
      <c r="CB118" s="623"/>
      <c r="CC118" s="623"/>
      <c r="CD118" s="623"/>
      <c r="CE118" s="623"/>
      <c r="CF118" s="623"/>
      <c r="CG118" s="623"/>
      <c r="CH118" s="623"/>
      <c r="CI118" s="623"/>
      <c r="CJ118" s="623"/>
      <c r="CK118" s="623"/>
      <c r="CL118" s="623"/>
      <c r="CM118" s="623"/>
      <c r="CN118" s="623"/>
      <c r="CO118" s="623"/>
      <c r="CP118" s="623"/>
      <c r="CQ118" s="623"/>
      <c r="CR118" s="623"/>
      <c r="CS118" s="623"/>
      <c r="CT118" s="623"/>
      <c r="CU118" s="623"/>
      <c r="CV118" s="623"/>
      <c r="CW118" s="623"/>
      <c r="CX118" s="673"/>
      <c r="CY118" s="557"/>
    </row>
    <row r="119" spans="1:234" ht="13.8">
      <c r="A119" s="591" t="s">
        <v>1339</v>
      </c>
      <c r="B119" s="675"/>
      <c r="C119" s="550">
        <v>40</v>
      </c>
      <c r="D119" s="550">
        <f t="shared" si="22"/>
        <v>870</v>
      </c>
      <c r="E119" s="550"/>
      <c r="F119" s="550"/>
      <c r="G119" s="550"/>
      <c r="H119" s="550"/>
      <c r="I119" s="550"/>
      <c r="J119" s="550"/>
      <c r="K119" s="550"/>
      <c r="L119" s="550"/>
      <c r="M119" s="550"/>
      <c r="N119" s="550"/>
      <c r="O119" s="550"/>
      <c r="P119" s="550"/>
      <c r="Q119" s="550" t="s">
        <v>1818</v>
      </c>
      <c r="R119" s="550"/>
      <c r="S119" s="550"/>
      <c r="T119" s="550"/>
      <c r="U119" s="550"/>
      <c r="V119" s="550"/>
      <c r="W119" s="550"/>
      <c r="X119" s="550"/>
      <c r="Y119" s="550"/>
      <c r="Z119" s="550"/>
      <c r="AA119" s="550"/>
      <c r="AB119" s="550"/>
      <c r="AC119" s="550"/>
      <c r="AD119" s="550"/>
      <c r="AE119" s="550"/>
      <c r="AF119" s="550"/>
      <c r="AG119" s="550"/>
      <c r="AH119" s="550"/>
      <c r="AI119" s="550"/>
      <c r="AJ119" s="550"/>
      <c r="AK119" s="550"/>
      <c r="AL119" s="550"/>
      <c r="AM119" s="550"/>
      <c r="AN119" s="550"/>
      <c r="AO119" s="550"/>
      <c r="AP119" s="550"/>
      <c r="AQ119" s="550"/>
      <c r="AR119" s="550"/>
      <c r="AS119" s="550"/>
      <c r="AT119" s="550"/>
      <c r="AU119" s="550"/>
      <c r="AV119" s="550"/>
      <c r="AW119" s="550"/>
      <c r="AX119" s="550"/>
      <c r="AY119" s="550"/>
      <c r="AZ119" s="550"/>
      <c r="BA119" s="550"/>
      <c r="BB119" s="550"/>
      <c r="BC119" s="550"/>
      <c r="BD119" s="550"/>
      <c r="BE119" s="550"/>
      <c r="BF119" s="672"/>
      <c r="BG119" s="672"/>
      <c r="BH119" s="623"/>
      <c r="BI119" s="623"/>
      <c r="BJ119" s="623"/>
      <c r="BK119" s="623"/>
      <c r="BL119" s="623"/>
      <c r="BM119" s="623"/>
      <c r="BN119" s="623"/>
      <c r="BO119" s="623"/>
      <c r="BP119" s="623"/>
      <c r="BQ119" s="623"/>
      <c r="BR119" s="623"/>
      <c r="BS119" s="623"/>
      <c r="BT119" s="623"/>
      <c r="BU119" s="623"/>
      <c r="BV119" s="623">
        <v>1</v>
      </c>
      <c r="BW119" s="623">
        <v>1</v>
      </c>
      <c r="BX119" s="623"/>
      <c r="BY119" s="623"/>
      <c r="BZ119" s="623"/>
      <c r="CA119" s="623">
        <v>1</v>
      </c>
      <c r="CB119" s="623"/>
      <c r="CC119" s="623"/>
      <c r="CD119" s="623"/>
      <c r="CE119" s="623"/>
      <c r="CF119" s="623"/>
      <c r="CG119" s="623"/>
      <c r="CH119" s="623"/>
      <c r="CI119" s="623"/>
      <c r="CJ119" s="623"/>
      <c r="CK119" s="623"/>
      <c r="CL119" s="623"/>
      <c r="CM119" s="623"/>
      <c r="CN119" s="623"/>
      <c r="CO119" s="623"/>
      <c r="CP119" s="623"/>
      <c r="CQ119" s="623"/>
      <c r="CR119" s="623"/>
      <c r="CS119" s="623"/>
      <c r="CT119" s="623"/>
      <c r="CU119" s="623"/>
      <c r="CV119" s="623"/>
      <c r="CW119" s="623"/>
      <c r="CX119" s="673"/>
      <c r="CY119" s="557"/>
    </row>
    <row r="120" spans="1:234" ht="13.8">
      <c r="A120" s="591" t="s">
        <v>1340</v>
      </c>
      <c r="B120" s="675"/>
      <c r="C120" s="550">
        <v>40</v>
      </c>
      <c r="D120" s="550">
        <f t="shared" si="22"/>
        <v>910</v>
      </c>
      <c r="E120" s="550"/>
      <c r="F120" s="550"/>
      <c r="G120" s="550"/>
      <c r="H120" s="550"/>
      <c r="I120" s="550"/>
      <c r="J120" s="550"/>
      <c r="K120" s="550"/>
      <c r="L120" s="550"/>
      <c r="M120" s="550"/>
      <c r="N120" s="550"/>
      <c r="O120" s="550"/>
      <c r="P120" s="550"/>
      <c r="Q120" s="550" t="s">
        <v>501</v>
      </c>
      <c r="R120" s="550"/>
      <c r="S120" s="550"/>
      <c r="T120" s="550"/>
      <c r="U120" s="550"/>
      <c r="V120" s="550"/>
      <c r="W120" s="550"/>
      <c r="X120" s="550"/>
      <c r="Y120" s="550"/>
      <c r="Z120" s="550"/>
      <c r="AA120" s="550"/>
      <c r="AB120" s="550"/>
      <c r="AC120" s="550"/>
      <c r="AD120" s="550"/>
      <c r="AE120" s="550"/>
      <c r="AF120" s="550"/>
      <c r="AG120" s="550"/>
      <c r="AH120" s="550"/>
      <c r="AI120" s="550"/>
      <c r="AJ120" s="550"/>
      <c r="AK120" s="550"/>
      <c r="AL120" s="550"/>
      <c r="AM120" s="550"/>
      <c r="AN120" s="550"/>
      <c r="AO120" s="550"/>
      <c r="AP120" s="550"/>
      <c r="AQ120" s="550"/>
      <c r="AR120" s="550"/>
      <c r="AS120" s="550"/>
      <c r="AT120" s="550"/>
      <c r="AU120" s="550"/>
      <c r="AV120" s="550"/>
      <c r="AW120" s="550"/>
      <c r="AX120" s="550"/>
      <c r="AY120" s="550"/>
      <c r="AZ120" s="550"/>
      <c r="BA120" s="550"/>
      <c r="BB120" s="550"/>
      <c r="BC120" s="550"/>
      <c r="BD120" s="550"/>
      <c r="BE120" s="550"/>
      <c r="BF120" s="672"/>
      <c r="BG120" s="672"/>
      <c r="BH120" s="623"/>
      <c r="BI120" s="623"/>
      <c r="BJ120" s="623"/>
      <c r="BK120" s="623"/>
      <c r="BL120" s="623"/>
      <c r="BM120" s="623"/>
      <c r="BN120" s="623"/>
      <c r="BO120" s="623"/>
      <c r="BP120" s="623"/>
      <c r="BQ120" s="623"/>
      <c r="BR120" s="623"/>
      <c r="BS120" s="623"/>
      <c r="BT120" s="623"/>
      <c r="BU120" s="623"/>
      <c r="BV120" s="623">
        <v>1</v>
      </c>
      <c r="BW120" s="623">
        <v>1</v>
      </c>
      <c r="BX120" s="623"/>
      <c r="BY120" s="623"/>
      <c r="BZ120" s="623"/>
      <c r="CA120" s="623">
        <v>1</v>
      </c>
      <c r="CB120" s="623"/>
      <c r="CC120" s="623"/>
      <c r="CD120" s="623"/>
      <c r="CE120" s="623"/>
      <c r="CF120" s="623"/>
      <c r="CG120" s="623"/>
      <c r="CH120" s="623"/>
      <c r="CI120" s="623"/>
      <c r="CJ120" s="623"/>
      <c r="CK120" s="623"/>
      <c r="CL120" s="623"/>
      <c r="CM120" s="623"/>
      <c r="CN120" s="623"/>
      <c r="CO120" s="623"/>
      <c r="CP120" s="623"/>
      <c r="CQ120" s="623"/>
      <c r="CR120" s="623"/>
      <c r="CS120" s="623"/>
      <c r="CT120" s="623"/>
      <c r="CU120" s="623"/>
      <c r="CV120" s="623"/>
      <c r="CW120" s="623"/>
      <c r="CX120" s="673"/>
      <c r="CY120" s="557"/>
    </row>
    <row r="121" spans="1:234" ht="13.8">
      <c r="A121" s="591" t="s">
        <v>1341</v>
      </c>
      <c r="B121" s="675"/>
      <c r="C121" s="550">
        <v>40</v>
      </c>
      <c r="D121" s="550">
        <f t="shared" si="22"/>
        <v>950</v>
      </c>
      <c r="E121" s="550"/>
      <c r="F121" s="550"/>
      <c r="G121" s="550"/>
      <c r="H121" s="550"/>
      <c r="I121" s="550"/>
      <c r="J121" s="550"/>
      <c r="K121" s="550"/>
      <c r="L121" s="550"/>
      <c r="M121" s="550"/>
      <c r="N121" s="550"/>
      <c r="O121" s="550"/>
      <c r="P121" s="550"/>
      <c r="Q121" s="550" t="s">
        <v>501</v>
      </c>
      <c r="R121" s="550"/>
      <c r="S121" s="550"/>
      <c r="T121" s="550"/>
      <c r="U121" s="550"/>
      <c r="V121" s="550"/>
      <c r="W121" s="550"/>
      <c r="X121" s="550"/>
      <c r="Y121" s="550"/>
      <c r="Z121" s="550"/>
      <c r="AA121" s="550"/>
      <c r="AB121" s="550"/>
      <c r="AC121" s="550"/>
      <c r="AD121" s="550"/>
      <c r="AE121" s="550"/>
      <c r="AF121" s="550"/>
      <c r="AG121" s="550"/>
      <c r="AH121" s="550"/>
      <c r="AI121" s="550"/>
      <c r="AJ121" s="550"/>
      <c r="AK121" s="550"/>
      <c r="AL121" s="550"/>
      <c r="AM121" s="550"/>
      <c r="AN121" s="550"/>
      <c r="AO121" s="550"/>
      <c r="AP121" s="550"/>
      <c r="AQ121" s="550"/>
      <c r="AR121" s="550"/>
      <c r="AS121" s="550"/>
      <c r="AT121" s="550"/>
      <c r="AU121" s="550"/>
      <c r="AV121" s="550"/>
      <c r="AW121" s="550"/>
      <c r="AX121" s="550"/>
      <c r="AY121" s="550"/>
      <c r="AZ121" s="550"/>
      <c r="BA121" s="550"/>
      <c r="BB121" s="550"/>
      <c r="BC121" s="550"/>
      <c r="BD121" s="550"/>
      <c r="BE121" s="550"/>
      <c r="BF121" s="672"/>
      <c r="BG121" s="672"/>
      <c r="BH121" s="623"/>
      <c r="BI121" s="623"/>
      <c r="BJ121" s="623"/>
      <c r="BK121" s="623"/>
      <c r="BL121" s="623"/>
      <c r="BM121" s="623"/>
      <c r="BN121" s="623"/>
      <c r="BO121" s="623"/>
      <c r="BP121" s="623"/>
      <c r="BQ121" s="623"/>
      <c r="BR121" s="623"/>
      <c r="BS121" s="623"/>
      <c r="BT121" s="623"/>
      <c r="BU121" s="623"/>
      <c r="BV121" s="623">
        <v>1</v>
      </c>
      <c r="BW121" s="623">
        <v>1</v>
      </c>
      <c r="BX121" s="623"/>
      <c r="BY121" s="623"/>
      <c r="BZ121" s="623"/>
      <c r="CA121" s="623">
        <v>1</v>
      </c>
      <c r="CB121" s="623"/>
      <c r="CC121" s="623"/>
      <c r="CD121" s="623"/>
      <c r="CE121" s="623"/>
      <c r="CF121" s="623"/>
      <c r="CG121" s="623"/>
      <c r="CH121" s="623"/>
      <c r="CI121" s="623"/>
      <c r="CJ121" s="623"/>
      <c r="CK121" s="623"/>
      <c r="CL121" s="623"/>
      <c r="CM121" s="623"/>
      <c r="CN121" s="623"/>
      <c r="CO121" s="623"/>
      <c r="CP121" s="623"/>
      <c r="CQ121" s="623"/>
      <c r="CR121" s="623"/>
      <c r="CS121" s="623"/>
      <c r="CT121" s="623"/>
      <c r="CU121" s="623"/>
      <c r="CV121" s="623"/>
      <c r="CW121" s="623"/>
      <c r="CX121" s="673"/>
      <c r="CY121" s="557"/>
    </row>
    <row r="122" spans="1:234" s="678" customFormat="1" ht="13.8">
      <c r="A122" s="591" t="s">
        <v>1342</v>
      </c>
      <c r="B122" s="689"/>
      <c r="C122" s="550">
        <v>40</v>
      </c>
      <c r="D122" s="550">
        <f t="shared" si="22"/>
        <v>990</v>
      </c>
      <c r="E122" s="613"/>
      <c r="F122" s="613"/>
      <c r="G122" s="613"/>
      <c r="H122" s="613"/>
      <c r="I122" s="613"/>
      <c r="J122" s="679"/>
      <c r="K122" s="613"/>
      <c r="L122" s="613"/>
      <c r="M122" s="550"/>
      <c r="N122" s="550"/>
      <c r="O122" s="614"/>
      <c r="P122" s="614"/>
      <c r="Q122" s="680" t="s">
        <v>1107</v>
      </c>
      <c r="R122" s="681"/>
      <c r="S122" s="681"/>
      <c r="T122" s="681"/>
      <c r="U122" s="681"/>
      <c r="V122" s="681"/>
      <c r="W122" s="681"/>
      <c r="X122" s="681"/>
      <c r="Y122" s="681"/>
      <c r="Z122" s="681"/>
      <c r="AA122" s="682"/>
      <c r="AB122" s="682"/>
      <c r="AC122" s="682"/>
      <c r="AD122" s="682"/>
      <c r="AE122" s="682"/>
      <c r="AF122" s="682"/>
      <c r="AG122" s="682"/>
      <c r="AH122" s="682"/>
      <c r="AI122" s="682"/>
      <c r="AJ122" s="682"/>
      <c r="AK122" s="682"/>
      <c r="AL122" s="682"/>
      <c r="AM122" s="682"/>
      <c r="AN122" s="682"/>
      <c r="AO122" s="682"/>
      <c r="AP122" s="682"/>
      <c r="AQ122" s="682"/>
      <c r="AR122" s="682"/>
      <c r="AS122" s="682"/>
      <c r="AT122" s="682"/>
      <c r="AU122" s="682"/>
      <c r="AV122" s="682"/>
      <c r="AW122" s="682"/>
      <c r="AX122" s="682"/>
      <c r="AY122" s="682"/>
      <c r="AZ122" s="682"/>
      <c r="BA122" s="682"/>
      <c r="BB122" s="682"/>
      <c r="BC122" s="682"/>
      <c r="BD122" s="682"/>
      <c r="BE122" s="682"/>
      <c r="BF122" s="672"/>
      <c r="BG122" s="672">
        <f>AX122</f>
        <v>0</v>
      </c>
      <c r="BH122" s="682"/>
      <c r="BI122" s="682"/>
      <c r="BJ122" s="682"/>
      <c r="BK122" s="682"/>
      <c r="BL122" s="682"/>
      <c r="BM122" s="682"/>
      <c r="BN122" s="682"/>
      <c r="BO122" s="682"/>
      <c r="BP122" s="682"/>
      <c r="BQ122" s="682"/>
      <c r="BR122" s="682"/>
      <c r="BS122" s="682"/>
      <c r="BT122" s="682"/>
      <c r="BU122" s="682"/>
      <c r="BV122" s="682">
        <v>1</v>
      </c>
      <c r="BW122" s="682">
        <v>1</v>
      </c>
      <c r="BX122" s="682"/>
      <c r="BY122" s="682"/>
      <c r="BZ122" s="682"/>
      <c r="CA122" s="682">
        <v>1</v>
      </c>
      <c r="CB122" s="682"/>
      <c r="CC122" s="682"/>
      <c r="CD122" s="682"/>
      <c r="CE122" s="682"/>
      <c r="CF122" s="682"/>
      <c r="CG122" s="682"/>
      <c r="CH122" s="682"/>
      <c r="CI122" s="682"/>
      <c r="CJ122" s="682"/>
      <c r="CK122" s="682"/>
      <c r="CL122" s="682"/>
      <c r="CM122" s="682"/>
      <c r="CN122" s="682"/>
      <c r="CO122" s="682"/>
      <c r="CP122" s="682"/>
      <c r="CQ122" s="682"/>
      <c r="CR122" s="682"/>
      <c r="CS122" s="682"/>
      <c r="CT122" s="682"/>
      <c r="CU122" s="682"/>
      <c r="CV122" s="682">
        <v>2</v>
      </c>
      <c r="CW122" s="682"/>
      <c r="CX122" s="683"/>
      <c r="CY122" s="557"/>
      <c r="CZ122" s="677"/>
      <c r="DA122" s="530"/>
      <c r="DB122" s="530"/>
      <c r="DC122" s="530"/>
      <c r="DD122" s="530"/>
      <c r="DE122" s="530"/>
      <c r="DF122" s="530"/>
      <c r="DG122" s="530"/>
      <c r="DH122" s="530"/>
      <c r="DI122" s="530"/>
      <c r="DJ122" s="530"/>
      <c r="DK122" s="530"/>
      <c r="DL122" s="530"/>
      <c r="DM122" s="530"/>
      <c r="DN122" s="530"/>
      <c r="DO122" s="530"/>
      <c r="DP122" s="530"/>
      <c r="DQ122" s="530"/>
      <c r="DR122" s="530"/>
      <c r="DS122" s="530"/>
      <c r="DT122" s="530"/>
      <c r="DU122" s="530"/>
      <c r="DV122" s="530"/>
      <c r="DW122" s="530"/>
      <c r="DX122" s="530"/>
      <c r="DY122" s="530"/>
      <c r="DZ122" s="530"/>
      <c r="EA122" s="530"/>
      <c r="EB122" s="530"/>
      <c r="EC122" s="530"/>
      <c r="ED122" s="530"/>
      <c r="EE122" s="530"/>
      <c r="EF122" s="530"/>
      <c r="EG122" s="530"/>
      <c r="EH122" s="530"/>
      <c r="EI122" s="530"/>
      <c r="EJ122" s="530"/>
      <c r="EK122" s="530"/>
      <c r="EL122" s="530"/>
      <c r="EM122" s="530"/>
      <c r="EN122" s="530"/>
      <c r="EO122" s="530"/>
      <c r="EP122" s="530"/>
      <c r="EQ122" s="530"/>
      <c r="ER122" s="530"/>
      <c r="ES122" s="530"/>
      <c r="ET122" s="530"/>
      <c r="EU122" s="530"/>
      <c r="EV122" s="530"/>
      <c r="EW122" s="530"/>
      <c r="EX122" s="530"/>
      <c r="EY122" s="530"/>
      <c r="EZ122" s="530"/>
      <c r="FA122" s="530"/>
      <c r="FB122" s="530"/>
      <c r="FC122" s="530"/>
      <c r="FD122" s="530"/>
      <c r="FE122" s="530"/>
      <c r="FF122" s="530"/>
      <c r="FG122" s="530"/>
      <c r="FH122" s="530"/>
      <c r="FI122" s="530"/>
      <c r="FJ122" s="530"/>
      <c r="FK122" s="530"/>
      <c r="FL122" s="530"/>
      <c r="FM122" s="530"/>
      <c r="FN122" s="530"/>
      <c r="FO122" s="530"/>
      <c r="FP122" s="530"/>
      <c r="FQ122" s="530"/>
      <c r="FR122" s="530"/>
      <c r="FS122" s="530"/>
      <c r="FT122" s="530"/>
      <c r="FU122" s="530"/>
      <c r="FV122" s="530"/>
      <c r="FW122" s="530"/>
      <c r="FX122" s="530"/>
      <c r="FY122" s="530"/>
      <c r="FZ122" s="530"/>
      <c r="GA122" s="530"/>
      <c r="GB122" s="530"/>
      <c r="GC122" s="530"/>
      <c r="GD122" s="530"/>
      <c r="GE122" s="530"/>
      <c r="GF122" s="530"/>
      <c r="GG122" s="530"/>
      <c r="GH122" s="530"/>
      <c r="GI122" s="530"/>
      <c r="GJ122" s="530"/>
      <c r="GK122" s="530"/>
      <c r="GL122" s="530"/>
      <c r="GM122" s="530"/>
      <c r="GN122" s="530"/>
      <c r="GO122" s="530"/>
      <c r="GP122" s="530"/>
      <c r="GQ122" s="530"/>
      <c r="GR122" s="530"/>
      <c r="GS122" s="530"/>
      <c r="GT122" s="530"/>
      <c r="GU122" s="530"/>
      <c r="GV122" s="530"/>
      <c r="GW122" s="530"/>
      <c r="GX122" s="530"/>
      <c r="GY122" s="530"/>
      <c r="GZ122" s="530"/>
      <c r="HA122" s="530"/>
      <c r="HB122" s="530"/>
      <c r="HC122" s="530"/>
      <c r="HD122" s="530"/>
      <c r="HE122" s="530"/>
      <c r="HF122" s="530"/>
      <c r="HG122" s="530"/>
      <c r="HH122" s="530"/>
      <c r="HI122" s="530"/>
      <c r="HJ122" s="530"/>
      <c r="HK122" s="530"/>
      <c r="HL122" s="530"/>
      <c r="HM122" s="530"/>
      <c r="HN122" s="530"/>
      <c r="HO122" s="530"/>
      <c r="HP122" s="530"/>
      <c r="HQ122" s="530"/>
      <c r="HR122" s="530"/>
      <c r="HS122" s="530"/>
      <c r="HT122" s="530"/>
      <c r="HU122" s="530"/>
      <c r="HV122" s="530"/>
      <c r="HW122" s="530"/>
      <c r="HX122" s="530"/>
      <c r="HY122" s="530"/>
      <c r="HZ122" s="530"/>
    </row>
    <row r="123" spans="1:234" s="688" customFormat="1" ht="13.8">
      <c r="A123" s="656" t="s">
        <v>4022</v>
      </c>
      <c r="B123" s="684"/>
      <c r="C123" s="685">
        <f>SUM(C93:C122)</f>
        <v>990</v>
      </c>
      <c r="D123" s="685">
        <f>+D122</f>
        <v>990</v>
      </c>
      <c r="E123" s="685">
        <f t="shared" ref="E123:N123" si="24">E91</f>
        <v>0</v>
      </c>
      <c r="F123" s="685">
        <f t="shared" si="24"/>
        <v>0</v>
      </c>
      <c r="G123" s="685">
        <f t="shared" si="24"/>
        <v>0</v>
      </c>
      <c r="H123" s="685">
        <f t="shared" si="24"/>
        <v>0</v>
      </c>
      <c r="I123" s="685">
        <f t="shared" si="24"/>
        <v>0</v>
      </c>
      <c r="J123" s="685">
        <f t="shared" si="24"/>
        <v>0</v>
      </c>
      <c r="K123" s="685">
        <f t="shared" si="24"/>
        <v>0</v>
      </c>
      <c r="L123" s="685">
        <f t="shared" si="24"/>
        <v>0</v>
      </c>
      <c r="M123" s="685">
        <f t="shared" si="24"/>
        <v>0</v>
      </c>
      <c r="N123" s="685">
        <f t="shared" si="24"/>
        <v>0</v>
      </c>
      <c r="O123" s="685">
        <f>SUM(O91:O91)</f>
        <v>0</v>
      </c>
      <c r="P123" s="685">
        <f>SUM(P91:P91)</f>
        <v>0</v>
      </c>
      <c r="Q123" s="685"/>
      <c r="R123" s="685">
        <f t="shared" ref="R123:AW123" si="25">+SUM(R93:R122)</f>
        <v>0</v>
      </c>
      <c r="S123" s="685">
        <f t="shared" si="25"/>
        <v>0</v>
      </c>
      <c r="T123" s="685">
        <f t="shared" si="25"/>
        <v>0</v>
      </c>
      <c r="U123" s="685">
        <f t="shared" si="25"/>
        <v>0</v>
      </c>
      <c r="V123" s="685">
        <f t="shared" si="25"/>
        <v>0</v>
      </c>
      <c r="W123" s="685">
        <f t="shared" si="25"/>
        <v>0</v>
      </c>
      <c r="X123" s="685">
        <f t="shared" si="25"/>
        <v>0</v>
      </c>
      <c r="Y123" s="685">
        <f t="shared" si="25"/>
        <v>0</v>
      </c>
      <c r="Z123" s="685">
        <f t="shared" si="25"/>
        <v>0</v>
      </c>
      <c r="AA123" s="685">
        <f t="shared" si="25"/>
        <v>0</v>
      </c>
      <c r="AB123" s="685">
        <f t="shared" si="25"/>
        <v>0</v>
      </c>
      <c r="AC123" s="685">
        <f t="shared" si="25"/>
        <v>0</v>
      </c>
      <c r="AD123" s="685">
        <f t="shared" si="25"/>
        <v>0</v>
      </c>
      <c r="AE123" s="685">
        <f t="shared" si="25"/>
        <v>0</v>
      </c>
      <c r="AF123" s="685">
        <f t="shared" si="25"/>
        <v>0</v>
      </c>
      <c r="AG123" s="685">
        <f t="shared" si="25"/>
        <v>0</v>
      </c>
      <c r="AH123" s="685">
        <f t="shared" si="25"/>
        <v>0</v>
      </c>
      <c r="AI123" s="685">
        <f t="shared" si="25"/>
        <v>0</v>
      </c>
      <c r="AJ123" s="685">
        <f t="shared" si="25"/>
        <v>0</v>
      </c>
      <c r="AK123" s="685">
        <f t="shared" si="25"/>
        <v>0</v>
      </c>
      <c r="AL123" s="685">
        <f t="shared" si="25"/>
        <v>0</v>
      </c>
      <c r="AM123" s="685">
        <f t="shared" si="25"/>
        <v>0</v>
      </c>
      <c r="AN123" s="685">
        <f t="shared" si="25"/>
        <v>0</v>
      </c>
      <c r="AO123" s="685">
        <f t="shared" si="25"/>
        <v>0</v>
      </c>
      <c r="AP123" s="685">
        <f t="shared" si="25"/>
        <v>0</v>
      </c>
      <c r="AQ123" s="685">
        <f t="shared" si="25"/>
        <v>0</v>
      </c>
      <c r="AR123" s="685">
        <f t="shared" si="25"/>
        <v>0</v>
      </c>
      <c r="AS123" s="685">
        <f t="shared" si="25"/>
        <v>0</v>
      </c>
      <c r="AT123" s="685">
        <f t="shared" si="25"/>
        <v>0</v>
      </c>
      <c r="AU123" s="685">
        <f t="shared" si="25"/>
        <v>0</v>
      </c>
      <c r="AV123" s="685">
        <f t="shared" si="25"/>
        <v>0</v>
      </c>
      <c r="AW123" s="685">
        <f t="shared" si="25"/>
        <v>0</v>
      </c>
      <c r="AX123" s="685">
        <f t="shared" ref="AX123:CB123" si="26">+SUM(AX93:AX122)</f>
        <v>0</v>
      </c>
      <c r="AY123" s="685">
        <f t="shared" si="26"/>
        <v>0</v>
      </c>
      <c r="AZ123" s="685">
        <f t="shared" si="26"/>
        <v>0</v>
      </c>
      <c r="BA123" s="685">
        <f t="shared" si="26"/>
        <v>0</v>
      </c>
      <c r="BB123" s="685">
        <f t="shared" si="26"/>
        <v>0</v>
      </c>
      <c r="BC123" s="685">
        <f t="shared" si="26"/>
        <v>0</v>
      </c>
      <c r="BD123" s="685">
        <f t="shared" si="26"/>
        <v>0</v>
      </c>
      <c r="BE123" s="685">
        <f t="shared" si="26"/>
        <v>0</v>
      </c>
      <c r="BF123" s="685">
        <f t="shared" si="26"/>
        <v>0</v>
      </c>
      <c r="BG123" s="685">
        <f t="shared" si="26"/>
        <v>0</v>
      </c>
      <c r="BH123" s="685">
        <f t="shared" si="26"/>
        <v>0</v>
      </c>
      <c r="BI123" s="685">
        <f t="shared" si="26"/>
        <v>0</v>
      </c>
      <c r="BJ123" s="685">
        <f t="shared" si="26"/>
        <v>0</v>
      </c>
      <c r="BK123" s="685">
        <f t="shared" si="26"/>
        <v>0</v>
      </c>
      <c r="BL123" s="685">
        <f t="shared" si="26"/>
        <v>0</v>
      </c>
      <c r="BM123" s="685">
        <f t="shared" si="26"/>
        <v>0</v>
      </c>
      <c r="BN123" s="685">
        <f t="shared" si="26"/>
        <v>0</v>
      </c>
      <c r="BO123" s="685">
        <f t="shared" si="26"/>
        <v>0</v>
      </c>
      <c r="BP123" s="685">
        <f t="shared" si="26"/>
        <v>0</v>
      </c>
      <c r="BQ123" s="685">
        <f t="shared" si="26"/>
        <v>0</v>
      </c>
      <c r="BR123" s="685">
        <f t="shared" si="26"/>
        <v>0</v>
      </c>
      <c r="BS123" s="685">
        <f t="shared" si="26"/>
        <v>0</v>
      </c>
      <c r="BT123" s="685">
        <f t="shared" si="26"/>
        <v>0</v>
      </c>
      <c r="BU123" s="685">
        <f t="shared" si="26"/>
        <v>0</v>
      </c>
      <c r="BV123" s="685">
        <f t="shared" si="26"/>
        <v>29</v>
      </c>
      <c r="BW123" s="685">
        <f t="shared" si="26"/>
        <v>29</v>
      </c>
      <c r="BX123" s="685">
        <f t="shared" si="26"/>
        <v>0</v>
      </c>
      <c r="BY123" s="685">
        <f t="shared" si="26"/>
        <v>0</v>
      </c>
      <c r="BZ123" s="685">
        <f t="shared" si="26"/>
        <v>0</v>
      </c>
      <c r="CA123" s="685">
        <f t="shared" si="26"/>
        <v>29</v>
      </c>
      <c r="CB123" s="685">
        <f t="shared" si="26"/>
        <v>0</v>
      </c>
      <c r="CC123" s="685">
        <f t="shared" ref="CC123:CM123" si="27">+SUM(CC93:CC122)</f>
        <v>0</v>
      </c>
      <c r="CD123" s="685">
        <f t="shared" si="27"/>
        <v>0</v>
      </c>
      <c r="CE123" s="685">
        <f t="shared" si="27"/>
        <v>0</v>
      </c>
      <c r="CF123" s="685">
        <f t="shared" si="27"/>
        <v>0</v>
      </c>
      <c r="CG123" s="685">
        <f t="shared" si="27"/>
        <v>0</v>
      </c>
      <c r="CH123" s="685">
        <f t="shared" si="27"/>
        <v>0</v>
      </c>
      <c r="CI123" s="685">
        <f t="shared" si="27"/>
        <v>0</v>
      </c>
      <c r="CJ123" s="685">
        <f t="shared" si="27"/>
        <v>0</v>
      </c>
      <c r="CK123" s="685">
        <f t="shared" si="27"/>
        <v>0</v>
      </c>
      <c r="CL123" s="685">
        <f t="shared" si="27"/>
        <v>0</v>
      </c>
      <c r="CM123" s="685">
        <f t="shared" si="27"/>
        <v>0</v>
      </c>
      <c r="CN123" s="685">
        <f t="shared" ref="CN123:CX123" si="28">+SUM(CN93:CN122)</f>
        <v>0</v>
      </c>
      <c r="CO123" s="685">
        <f t="shared" si="28"/>
        <v>0</v>
      </c>
      <c r="CP123" s="685">
        <f t="shared" si="28"/>
        <v>0</v>
      </c>
      <c r="CQ123" s="685">
        <f t="shared" si="28"/>
        <v>0</v>
      </c>
      <c r="CR123" s="685">
        <f t="shared" si="28"/>
        <v>0</v>
      </c>
      <c r="CS123" s="685">
        <f t="shared" si="28"/>
        <v>0</v>
      </c>
      <c r="CT123" s="685">
        <f t="shared" si="28"/>
        <v>0</v>
      </c>
      <c r="CU123" s="685">
        <f t="shared" si="28"/>
        <v>0</v>
      </c>
      <c r="CV123" s="685">
        <f t="shared" si="28"/>
        <v>16</v>
      </c>
      <c r="CW123" s="685">
        <f t="shared" si="28"/>
        <v>0</v>
      </c>
      <c r="CX123" s="685">
        <f t="shared" si="28"/>
        <v>0</v>
      </c>
      <c r="CY123" s="687"/>
    </row>
    <row r="124" spans="1:234" s="545" customFormat="1" ht="18" customHeight="1">
      <c r="A124" s="655" t="s">
        <v>4023</v>
      </c>
      <c r="B124" s="544"/>
      <c r="C124" s="544"/>
      <c r="D124" s="544"/>
      <c r="E124" s="544"/>
      <c r="F124" s="544"/>
      <c r="G124" s="544"/>
      <c r="H124" s="544"/>
      <c r="I124" s="544"/>
      <c r="J124" s="544"/>
      <c r="K124" s="544"/>
      <c r="L124" s="544"/>
      <c r="M124" s="544"/>
      <c r="N124" s="544"/>
      <c r="O124" s="544"/>
      <c r="P124" s="544"/>
      <c r="Q124" s="544"/>
      <c r="R124" s="544"/>
      <c r="S124" s="544"/>
      <c r="T124" s="544"/>
      <c r="U124" s="544"/>
      <c r="V124" s="544"/>
      <c r="W124" s="544"/>
      <c r="X124" s="544"/>
      <c r="Y124" s="544"/>
      <c r="Z124" s="544"/>
      <c r="AA124" s="544"/>
      <c r="AB124" s="544"/>
      <c r="AC124" s="544"/>
      <c r="AD124" s="544"/>
      <c r="AE124" s="544"/>
      <c r="AF124" s="544"/>
      <c r="AG124" s="544"/>
      <c r="AH124" s="544"/>
      <c r="AI124" s="544"/>
      <c r="AJ124" s="544"/>
      <c r="AK124" s="544"/>
      <c r="AL124" s="544"/>
      <c r="AM124" s="544"/>
      <c r="AN124" s="544"/>
      <c r="AO124" s="544"/>
      <c r="AP124" s="544"/>
      <c r="AQ124" s="544"/>
      <c r="AR124" s="544"/>
      <c r="AS124" s="544"/>
      <c r="AT124" s="544"/>
      <c r="AU124" s="544"/>
      <c r="AV124" s="544"/>
      <c r="AW124" s="544"/>
      <c r="AX124" s="544"/>
      <c r="AY124" s="544"/>
      <c r="AZ124" s="544"/>
      <c r="BA124" s="544"/>
      <c r="BB124" s="544"/>
      <c r="BC124" s="544"/>
      <c r="BD124" s="544"/>
      <c r="BE124" s="544"/>
      <c r="BF124" s="544"/>
      <c r="BG124" s="544"/>
      <c r="BH124" s="544"/>
      <c r="BI124" s="544"/>
      <c r="BJ124" s="544"/>
      <c r="BK124" s="544"/>
      <c r="BL124" s="544"/>
      <c r="BM124" s="544"/>
      <c r="BN124" s="544"/>
      <c r="BO124" s="544"/>
      <c r="BP124" s="544"/>
      <c r="BQ124" s="544"/>
      <c r="BR124" s="544"/>
      <c r="BS124" s="544"/>
      <c r="BT124" s="544"/>
      <c r="BU124" s="544"/>
      <c r="BV124" s="544"/>
      <c r="BW124" s="544"/>
      <c r="BX124" s="544"/>
      <c r="BY124" s="544"/>
      <c r="BZ124" s="544"/>
      <c r="CA124" s="544"/>
      <c r="CB124" s="544"/>
      <c r="CC124" s="544"/>
      <c r="CD124" s="544"/>
      <c r="CE124" s="544"/>
      <c r="CF124" s="544"/>
      <c r="CG124" s="544"/>
      <c r="CH124" s="544"/>
      <c r="CI124" s="544"/>
      <c r="CJ124" s="544"/>
      <c r="CK124" s="544"/>
      <c r="CL124" s="544"/>
      <c r="CM124" s="544"/>
      <c r="CN124" s="544"/>
      <c r="CO124" s="544"/>
      <c r="CP124" s="544"/>
      <c r="CQ124" s="544"/>
      <c r="CR124" s="544"/>
      <c r="CS124" s="544"/>
      <c r="CT124" s="544"/>
      <c r="CU124" s="544"/>
      <c r="CV124" s="544"/>
      <c r="CW124" s="544"/>
      <c r="CX124" s="544"/>
      <c r="CY124" s="669"/>
      <c r="CZ124" s="530"/>
      <c r="DA124" s="530"/>
      <c r="DB124" s="530"/>
      <c r="DC124" s="530"/>
      <c r="DD124" s="530"/>
      <c r="DE124" s="530"/>
      <c r="DF124" s="530"/>
      <c r="DG124" s="530"/>
      <c r="DH124" s="530"/>
      <c r="DI124" s="530"/>
      <c r="DJ124" s="530"/>
      <c r="DK124" s="530"/>
      <c r="DL124" s="530"/>
      <c r="DM124" s="530"/>
      <c r="DN124" s="530"/>
      <c r="DO124" s="530"/>
      <c r="DP124" s="530"/>
      <c r="DQ124" s="530"/>
      <c r="DR124" s="530"/>
      <c r="DS124" s="530"/>
      <c r="DT124" s="530"/>
      <c r="DU124" s="530"/>
      <c r="DV124" s="530"/>
      <c r="DW124" s="530"/>
      <c r="DX124" s="530"/>
      <c r="DY124" s="530"/>
      <c r="DZ124" s="530"/>
      <c r="EA124" s="530"/>
      <c r="EB124" s="530"/>
      <c r="EC124" s="530"/>
      <c r="ED124" s="530"/>
      <c r="EE124" s="530"/>
      <c r="EF124" s="530"/>
      <c r="EG124" s="530"/>
      <c r="EH124" s="530"/>
      <c r="EI124" s="530"/>
      <c r="EJ124" s="530"/>
      <c r="EK124" s="530"/>
      <c r="EL124" s="530"/>
      <c r="EM124" s="530"/>
      <c r="EN124" s="530"/>
      <c r="EO124" s="530"/>
      <c r="EP124" s="530"/>
      <c r="EQ124" s="530"/>
      <c r="ER124" s="530"/>
      <c r="ES124" s="530"/>
      <c r="ET124" s="530"/>
      <c r="EU124" s="530"/>
      <c r="EV124" s="530"/>
      <c r="EW124" s="530"/>
      <c r="EX124" s="530"/>
      <c r="EY124" s="530"/>
      <c r="EZ124" s="530"/>
      <c r="FA124" s="530"/>
      <c r="FB124" s="530"/>
      <c r="FC124" s="530"/>
      <c r="FD124" s="530"/>
      <c r="FE124" s="530"/>
      <c r="FF124" s="530"/>
      <c r="FG124" s="530"/>
      <c r="FH124" s="530"/>
      <c r="FI124" s="530"/>
      <c r="FJ124" s="530"/>
      <c r="FK124" s="530"/>
      <c r="FL124" s="530"/>
      <c r="FM124" s="530"/>
      <c r="FN124" s="530"/>
      <c r="FO124" s="530"/>
      <c r="FP124" s="530"/>
      <c r="FQ124" s="530"/>
      <c r="FR124" s="530"/>
      <c r="FS124" s="530"/>
      <c r="FT124" s="530"/>
      <c r="FU124" s="530"/>
      <c r="FV124" s="530"/>
      <c r="FW124" s="530"/>
      <c r="FX124" s="530"/>
      <c r="FY124" s="530"/>
      <c r="FZ124" s="530"/>
      <c r="GA124" s="530"/>
      <c r="GB124" s="530"/>
      <c r="GC124" s="530"/>
      <c r="GD124" s="530"/>
      <c r="GE124" s="530"/>
      <c r="GF124" s="530"/>
      <c r="GG124" s="530"/>
      <c r="GH124" s="530"/>
      <c r="GI124" s="530"/>
      <c r="GJ124" s="530"/>
      <c r="GK124" s="530"/>
      <c r="GL124" s="530"/>
      <c r="GM124" s="530"/>
      <c r="GN124" s="530"/>
      <c r="GO124" s="530"/>
      <c r="GP124" s="530"/>
      <c r="GQ124" s="530"/>
      <c r="GR124" s="530"/>
      <c r="GS124" s="530"/>
      <c r="GT124" s="530"/>
      <c r="GU124" s="530"/>
      <c r="GV124" s="530"/>
      <c r="GW124" s="530"/>
      <c r="GX124" s="530"/>
      <c r="GY124" s="530"/>
      <c r="GZ124" s="530"/>
      <c r="HA124" s="530"/>
      <c r="HB124" s="530"/>
      <c r="HC124" s="530"/>
      <c r="HD124" s="530"/>
      <c r="HE124" s="530"/>
      <c r="HF124" s="530"/>
      <c r="HG124" s="530"/>
      <c r="HH124" s="530"/>
      <c r="HI124" s="530"/>
      <c r="HJ124" s="530"/>
      <c r="HK124" s="530"/>
      <c r="HL124" s="530"/>
      <c r="HM124" s="530"/>
      <c r="HN124" s="530"/>
      <c r="HO124" s="530"/>
      <c r="HP124" s="530"/>
      <c r="HQ124" s="530"/>
      <c r="HR124" s="530"/>
      <c r="HS124" s="530"/>
      <c r="HT124" s="530"/>
      <c r="HU124" s="530"/>
      <c r="HV124" s="530"/>
      <c r="HW124" s="530"/>
      <c r="HX124" s="530"/>
      <c r="HY124" s="530"/>
      <c r="HZ124" s="530"/>
    </row>
    <row r="125" spans="1:234" ht="13.8">
      <c r="A125" s="591" t="s">
        <v>1343</v>
      </c>
      <c r="B125" s="670"/>
      <c r="C125" s="550"/>
      <c r="D125" s="550">
        <f>+C125</f>
        <v>0</v>
      </c>
      <c r="E125" s="550"/>
      <c r="F125" s="550"/>
      <c r="G125" s="550"/>
      <c r="H125" s="550"/>
      <c r="I125" s="550"/>
      <c r="J125" s="550"/>
      <c r="K125" s="550"/>
      <c r="L125" s="550"/>
      <c r="M125" s="550"/>
      <c r="N125" s="555"/>
      <c r="O125" s="439"/>
      <c r="P125" s="439"/>
      <c r="Q125" s="658" t="s">
        <v>658</v>
      </c>
      <c r="R125" s="671"/>
      <c r="S125" s="671"/>
      <c r="T125" s="671"/>
      <c r="U125" s="671"/>
      <c r="V125" s="671"/>
      <c r="W125" s="671"/>
      <c r="X125" s="671"/>
      <c r="Y125" s="671"/>
      <c r="Z125" s="671"/>
      <c r="AA125" s="623"/>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72">
        <f t="shared" ref="BF125:BG128" si="29">AW125</f>
        <v>0</v>
      </c>
      <c r="BG125" s="672">
        <f t="shared" si="29"/>
        <v>0</v>
      </c>
      <c r="BH125" s="623"/>
      <c r="BI125" s="623"/>
      <c r="BJ125" s="623"/>
      <c r="BK125" s="623"/>
      <c r="BL125" s="623"/>
      <c r="BM125" s="623"/>
      <c r="BN125" s="623"/>
      <c r="BO125" s="623"/>
      <c r="BP125" s="623"/>
      <c r="BQ125" s="623"/>
      <c r="BR125" s="623"/>
      <c r="BS125" s="623"/>
      <c r="BT125" s="623"/>
      <c r="BU125" s="623"/>
      <c r="BV125" s="623">
        <v>1</v>
      </c>
      <c r="BW125" s="623"/>
      <c r="BX125" s="623"/>
      <c r="BY125" s="623"/>
      <c r="BZ125" s="623">
        <v>1</v>
      </c>
      <c r="CA125" s="623">
        <v>2</v>
      </c>
      <c r="CB125" s="623"/>
      <c r="CC125" s="623"/>
      <c r="CD125" s="623"/>
      <c r="CE125" s="623"/>
      <c r="CF125" s="623"/>
      <c r="CG125" s="623"/>
      <c r="CH125" s="623"/>
      <c r="CI125" s="623"/>
      <c r="CJ125" s="623"/>
      <c r="CK125" s="623"/>
      <c r="CL125" s="623"/>
      <c r="CM125" s="623"/>
      <c r="CN125" s="623"/>
      <c r="CO125" s="623"/>
      <c r="CP125" s="623"/>
      <c r="CQ125" s="623"/>
      <c r="CR125" s="623"/>
      <c r="CS125" s="623"/>
      <c r="CT125" s="623"/>
      <c r="CU125" s="623"/>
      <c r="CV125" s="623">
        <v>8</v>
      </c>
      <c r="CW125" s="623"/>
      <c r="CX125" s="673"/>
      <c r="CY125" s="557"/>
    </row>
    <row r="126" spans="1:234" ht="13.8">
      <c r="A126" s="591" t="s">
        <v>2209</v>
      </c>
      <c r="B126" s="675"/>
      <c r="C126" s="550">
        <v>32</v>
      </c>
      <c r="D126" s="550">
        <f t="shared" ref="D126:D132" si="30">+D125+C126</f>
        <v>32</v>
      </c>
      <c r="E126" s="550"/>
      <c r="F126" s="550"/>
      <c r="G126" s="550"/>
      <c r="H126" s="550"/>
      <c r="I126" s="550"/>
      <c r="J126" s="550"/>
      <c r="K126" s="550"/>
      <c r="L126" s="550"/>
      <c r="M126" s="550"/>
      <c r="N126" s="550"/>
      <c r="O126" s="439"/>
      <c r="P126" s="439"/>
      <c r="Q126" s="674" t="s">
        <v>501</v>
      </c>
      <c r="R126" s="671"/>
      <c r="S126" s="671"/>
      <c r="T126" s="671"/>
      <c r="U126" s="671"/>
      <c r="V126" s="671"/>
      <c r="W126" s="671"/>
      <c r="X126" s="671"/>
      <c r="Y126" s="671"/>
      <c r="Z126" s="671"/>
      <c r="AA126" s="623"/>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72">
        <f t="shared" si="29"/>
        <v>0</v>
      </c>
      <c r="BG126" s="672">
        <f t="shared" si="29"/>
        <v>0</v>
      </c>
      <c r="BH126" s="623"/>
      <c r="BI126" s="623"/>
      <c r="BJ126" s="623"/>
      <c r="BK126" s="623"/>
      <c r="BL126" s="623"/>
      <c r="BM126" s="623"/>
      <c r="BN126" s="623"/>
      <c r="BO126" s="623"/>
      <c r="BP126" s="623"/>
      <c r="BQ126" s="623"/>
      <c r="BR126" s="623"/>
      <c r="BS126" s="623"/>
      <c r="BT126" s="623">
        <v>1</v>
      </c>
      <c r="BU126" s="623"/>
      <c r="BV126" s="623">
        <v>1</v>
      </c>
      <c r="BW126" s="623"/>
      <c r="BX126" s="623"/>
      <c r="BY126" s="623"/>
      <c r="BZ126" s="623">
        <v>1</v>
      </c>
      <c r="CA126" s="623">
        <v>2</v>
      </c>
      <c r="CB126" s="623"/>
      <c r="CC126" s="623"/>
      <c r="CD126" s="623"/>
      <c r="CE126" s="623"/>
      <c r="CF126" s="623"/>
      <c r="CG126" s="623"/>
      <c r="CH126" s="623"/>
      <c r="CI126" s="623"/>
      <c r="CJ126" s="623"/>
      <c r="CK126" s="623"/>
      <c r="CL126" s="623"/>
      <c r="CM126" s="623"/>
      <c r="CN126" s="623"/>
      <c r="CO126" s="623"/>
      <c r="CP126" s="623"/>
      <c r="CQ126" s="623"/>
      <c r="CR126" s="623"/>
      <c r="CS126" s="623"/>
      <c r="CT126" s="623"/>
      <c r="CU126" s="623"/>
      <c r="CV126" s="623"/>
      <c r="CW126" s="623"/>
      <c r="CX126" s="673"/>
      <c r="CY126" s="557"/>
    </row>
    <row r="127" spans="1:234" ht="13.8">
      <c r="A127" s="591" t="s">
        <v>2210</v>
      </c>
      <c r="B127" s="670"/>
      <c r="C127" s="550">
        <v>32</v>
      </c>
      <c r="D127" s="550">
        <f t="shared" si="30"/>
        <v>64</v>
      </c>
      <c r="E127" s="550"/>
      <c r="F127" s="550"/>
      <c r="G127" s="550"/>
      <c r="H127" s="550"/>
      <c r="I127" s="550"/>
      <c r="J127" s="550"/>
      <c r="K127" s="550"/>
      <c r="L127" s="550"/>
      <c r="M127" s="550"/>
      <c r="N127" s="550"/>
      <c r="O127" s="439"/>
      <c r="P127" s="439"/>
      <c r="Q127" s="674" t="s">
        <v>501</v>
      </c>
      <c r="R127" s="671"/>
      <c r="S127" s="671"/>
      <c r="T127" s="671"/>
      <c r="U127" s="671"/>
      <c r="V127" s="671"/>
      <c r="W127" s="671"/>
      <c r="X127" s="671"/>
      <c r="Y127" s="671"/>
      <c r="Z127" s="671"/>
      <c r="AA127" s="623"/>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72">
        <f t="shared" si="29"/>
        <v>0</v>
      </c>
      <c r="BG127" s="672">
        <f t="shared" si="29"/>
        <v>0</v>
      </c>
      <c r="BH127" s="623"/>
      <c r="BI127" s="623"/>
      <c r="BJ127" s="623"/>
      <c r="BK127" s="623"/>
      <c r="BL127" s="623"/>
      <c r="BM127" s="623"/>
      <c r="BN127" s="623"/>
      <c r="BO127" s="623"/>
      <c r="BP127" s="623"/>
      <c r="BQ127" s="623"/>
      <c r="BR127" s="623"/>
      <c r="BS127" s="623"/>
      <c r="BT127" s="623">
        <v>1</v>
      </c>
      <c r="BU127" s="623"/>
      <c r="BV127" s="623">
        <v>1</v>
      </c>
      <c r="BW127" s="623"/>
      <c r="BX127" s="623"/>
      <c r="BY127" s="623"/>
      <c r="BZ127" s="623">
        <v>1</v>
      </c>
      <c r="CA127" s="623">
        <v>2</v>
      </c>
      <c r="CB127" s="623"/>
      <c r="CC127" s="623"/>
      <c r="CD127" s="623"/>
      <c r="CE127" s="623"/>
      <c r="CF127" s="623"/>
      <c r="CG127" s="623"/>
      <c r="CH127" s="623"/>
      <c r="CI127" s="623"/>
      <c r="CJ127" s="623"/>
      <c r="CK127" s="623"/>
      <c r="CL127" s="623"/>
      <c r="CM127" s="623"/>
      <c r="CN127" s="623"/>
      <c r="CO127" s="623"/>
      <c r="CP127" s="623"/>
      <c r="CQ127" s="623"/>
      <c r="CR127" s="623"/>
      <c r="CS127" s="623"/>
      <c r="CT127" s="623"/>
      <c r="CU127" s="623"/>
      <c r="CV127" s="623"/>
      <c r="CW127" s="623"/>
      <c r="CX127" s="673"/>
      <c r="CY127" s="557"/>
    </row>
    <row r="128" spans="1:234" s="678" customFormat="1" ht="13.8">
      <c r="A128" s="591" t="s">
        <v>2211</v>
      </c>
      <c r="B128" s="675"/>
      <c r="C128" s="550">
        <v>28</v>
      </c>
      <c r="D128" s="550">
        <f t="shared" si="30"/>
        <v>92</v>
      </c>
      <c r="E128" s="550"/>
      <c r="F128" s="550"/>
      <c r="G128" s="550"/>
      <c r="H128" s="550"/>
      <c r="I128" s="550"/>
      <c r="J128" s="676"/>
      <c r="K128" s="550"/>
      <c r="L128" s="550"/>
      <c r="M128" s="550"/>
      <c r="N128" s="550"/>
      <c r="O128" s="439"/>
      <c r="P128" s="439"/>
      <c r="Q128" s="674" t="s">
        <v>1107</v>
      </c>
      <c r="R128" s="671"/>
      <c r="S128" s="671"/>
      <c r="T128" s="671"/>
      <c r="U128" s="671"/>
      <c r="V128" s="671"/>
      <c r="W128" s="671"/>
      <c r="X128" s="671"/>
      <c r="Y128" s="671"/>
      <c r="Z128" s="671"/>
      <c r="AA128" s="623"/>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72">
        <f t="shared" si="29"/>
        <v>0</v>
      </c>
      <c r="BG128" s="672">
        <f t="shared" si="29"/>
        <v>0</v>
      </c>
      <c r="BH128" s="623"/>
      <c r="BI128" s="623"/>
      <c r="BJ128" s="623"/>
      <c r="BK128" s="623"/>
      <c r="BL128" s="623"/>
      <c r="BM128" s="623"/>
      <c r="BN128" s="623"/>
      <c r="BO128" s="623"/>
      <c r="BP128" s="623"/>
      <c r="BQ128" s="623"/>
      <c r="BR128" s="623"/>
      <c r="BS128" s="623"/>
      <c r="BT128" s="623">
        <v>1</v>
      </c>
      <c r="BU128" s="623"/>
      <c r="BV128" s="623">
        <v>1</v>
      </c>
      <c r="BW128" s="623"/>
      <c r="BX128" s="623"/>
      <c r="BY128" s="623"/>
      <c r="BZ128" s="623">
        <v>1</v>
      </c>
      <c r="CA128" s="623">
        <v>2</v>
      </c>
      <c r="CB128" s="623"/>
      <c r="CC128" s="623"/>
      <c r="CD128" s="623"/>
      <c r="CE128" s="623"/>
      <c r="CF128" s="623"/>
      <c r="CG128" s="623"/>
      <c r="CH128" s="623"/>
      <c r="CI128" s="623"/>
      <c r="CJ128" s="623"/>
      <c r="CK128" s="623"/>
      <c r="CL128" s="623"/>
      <c r="CM128" s="623"/>
      <c r="CN128" s="623"/>
      <c r="CO128" s="623"/>
      <c r="CP128" s="623"/>
      <c r="CQ128" s="623"/>
      <c r="CR128" s="623"/>
      <c r="CS128" s="623"/>
      <c r="CT128" s="623"/>
      <c r="CU128" s="623"/>
      <c r="CV128" s="623">
        <v>8</v>
      </c>
      <c r="CW128" s="623"/>
      <c r="CX128" s="673"/>
      <c r="CY128" s="557"/>
      <c r="CZ128" s="677"/>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0"/>
      <c r="DW128" s="530"/>
      <c r="DX128" s="530"/>
      <c r="DY128" s="530"/>
      <c r="DZ128" s="530"/>
      <c r="EA128" s="530"/>
      <c r="EB128" s="530"/>
      <c r="EC128" s="530"/>
      <c r="ED128" s="530"/>
      <c r="EE128" s="530"/>
      <c r="EF128" s="530"/>
      <c r="EG128" s="530"/>
      <c r="EH128" s="530"/>
      <c r="EI128" s="530"/>
      <c r="EJ128" s="530"/>
      <c r="EK128" s="530"/>
      <c r="EL128" s="530"/>
      <c r="EM128" s="530"/>
      <c r="EN128" s="530"/>
      <c r="EO128" s="530"/>
      <c r="EP128" s="530"/>
      <c r="EQ128" s="530"/>
      <c r="ER128" s="530"/>
      <c r="ES128" s="530"/>
      <c r="ET128" s="530"/>
      <c r="EU128" s="530"/>
      <c r="EV128" s="530"/>
      <c r="EW128" s="530"/>
      <c r="EX128" s="530"/>
      <c r="EY128" s="530"/>
      <c r="EZ128" s="530"/>
      <c r="FA128" s="530"/>
      <c r="FB128" s="530"/>
      <c r="FC128" s="530"/>
      <c r="FD128" s="530"/>
      <c r="FE128" s="530"/>
      <c r="FF128" s="530"/>
      <c r="FG128" s="530"/>
      <c r="FH128" s="530"/>
      <c r="FI128" s="530"/>
      <c r="FJ128" s="530"/>
      <c r="FK128" s="530"/>
      <c r="FL128" s="530"/>
      <c r="FM128" s="530"/>
      <c r="FN128" s="530"/>
      <c r="FO128" s="530"/>
      <c r="FP128" s="530"/>
      <c r="FQ128" s="530"/>
      <c r="FR128" s="530"/>
      <c r="FS128" s="530"/>
      <c r="FT128" s="530"/>
      <c r="FU128" s="530"/>
      <c r="FV128" s="530"/>
      <c r="FW128" s="530"/>
      <c r="FX128" s="530"/>
      <c r="FY128" s="530"/>
      <c r="FZ128" s="530"/>
      <c r="GA128" s="530"/>
      <c r="GB128" s="530"/>
      <c r="GC128" s="530"/>
      <c r="GD128" s="530"/>
      <c r="GE128" s="530"/>
      <c r="GF128" s="530"/>
      <c r="GG128" s="530"/>
      <c r="GH128" s="530"/>
      <c r="GI128" s="530"/>
      <c r="GJ128" s="530"/>
      <c r="GK128" s="530"/>
      <c r="GL128" s="530"/>
      <c r="GM128" s="530"/>
      <c r="GN128" s="530"/>
      <c r="GO128" s="530"/>
      <c r="GP128" s="530"/>
      <c r="GQ128" s="530"/>
      <c r="GR128" s="530"/>
      <c r="GS128" s="530"/>
      <c r="GT128" s="530"/>
      <c r="GU128" s="530"/>
      <c r="GV128" s="530"/>
      <c r="GW128" s="530"/>
      <c r="GX128" s="530"/>
      <c r="GY128" s="530"/>
      <c r="GZ128" s="530"/>
      <c r="HA128" s="530"/>
      <c r="HB128" s="530"/>
      <c r="HC128" s="530"/>
      <c r="HD128" s="530"/>
      <c r="HE128" s="530"/>
      <c r="HF128" s="530"/>
      <c r="HG128" s="530"/>
      <c r="HH128" s="530"/>
      <c r="HI128" s="530"/>
      <c r="HJ128" s="530"/>
      <c r="HK128" s="530"/>
      <c r="HL128" s="530"/>
      <c r="HM128" s="530"/>
      <c r="HN128" s="530"/>
      <c r="HO128" s="530"/>
      <c r="HP128" s="530"/>
      <c r="HQ128" s="530"/>
      <c r="HR128" s="530"/>
      <c r="HS128" s="530"/>
      <c r="HT128" s="530"/>
      <c r="HU128" s="530"/>
      <c r="HV128" s="530"/>
      <c r="HW128" s="530"/>
      <c r="HX128" s="530"/>
      <c r="HY128" s="530"/>
      <c r="HZ128" s="530"/>
    </row>
    <row r="129" spans="1:234" ht="13.8">
      <c r="A129" s="591" t="s">
        <v>1344</v>
      </c>
      <c r="B129" s="670"/>
      <c r="C129" s="550"/>
      <c r="D129" s="550">
        <f t="shared" si="30"/>
        <v>92</v>
      </c>
      <c r="E129" s="550"/>
      <c r="F129" s="550"/>
      <c r="G129" s="550"/>
      <c r="H129" s="550"/>
      <c r="I129" s="550"/>
      <c r="J129" s="550"/>
      <c r="K129" s="550"/>
      <c r="L129" s="550"/>
      <c r="M129" s="550"/>
      <c r="N129" s="550"/>
      <c r="O129" s="550"/>
      <c r="P129" s="550"/>
      <c r="Q129" s="550" t="s">
        <v>658</v>
      </c>
      <c r="R129" s="550"/>
      <c r="S129" s="550"/>
      <c r="T129" s="550"/>
      <c r="U129" s="550"/>
      <c r="V129" s="550"/>
      <c r="W129" s="550"/>
      <c r="X129" s="550"/>
      <c r="Y129" s="550"/>
      <c r="Z129" s="550"/>
      <c r="AA129" s="550"/>
      <c r="AB129" s="550"/>
      <c r="AC129" s="550"/>
      <c r="AD129" s="550"/>
      <c r="AE129" s="550"/>
      <c r="AF129" s="550"/>
      <c r="AG129" s="550"/>
      <c r="AH129" s="550"/>
      <c r="AI129" s="550"/>
      <c r="AJ129" s="550"/>
      <c r="AK129" s="550"/>
      <c r="AL129" s="550"/>
      <c r="AM129" s="550"/>
      <c r="AN129" s="550"/>
      <c r="AO129" s="550"/>
      <c r="AP129" s="550"/>
      <c r="AQ129" s="550"/>
      <c r="AR129" s="550"/>
      <c r="AS129" s="550"/>
      <c r="AT129" s="550"/>
      <c r="AU129" s="550"/>
      <c r="AV129" s="550"/>
      <c r="AW129" s="550"/>
      <c r="AX129" s="550"/>
      <c r="AY129" s="550"/>
      <c r="AZ129" s="550"/>
      <c r="BA129" s="550"/>
      <c r="BB129" s="550"/>
      <c r="BC129" s="550"/>
      <c r="BD129" s="550"/>
      <c r="BE129" s="550"/>
      <c r="BF129" s="672"/>
      <c r="BG129" s="672">
        <f>AX129</f>
        <v>0</v>
      </c>
      <c r="BH129" s="623"/>
      <c r="BI129" s="623"/>
      <c r="BJ129" s="623"/>
      <c r="BK129" s="623"/>
      <c r="BL129" s="623"/>
      <c r="BM129" s="623"/>
      <c r="BN129" s="623"/>
      <c r="BO129" s="623"/>
      <c r="BP129" s="623"/>
      <c r="BQ129" s="623"/>
      <c r="BR129" s="623"/>
      <c r="BS129" s="623"/>
      <c r="BT129" s="623">
        <v>1</v>
      </c>
      <c r="BU129" s="623"/>
      <c r="BV129" s="623">
        <v>1</v>
      </c>
      <c r="BW129" s="623"/>
      <c r="BX129" s="623"/>
      <c r="BY129" s="623"/>
      <c r="BZ129" s="623">
        <v>1</v>
      </c>
      <c r="CA129" s="623">
        <v>2</v>
      </c>
      <c r="CB129" s="623"/>
      <c r="CC129" s="623"/>
      <c r="CD129" s="623"/>
      <c r="CE129" s="623"/>
      <c r="CF129" s="623"/>
      <c r="CG129" s="623"/>
      <c r="CH129" s="623"/>
      <c r="CI129" s="623"/>
      <c r="CJ129" s="623"/>
      <c r="CK129" s="623"/>
      <c r="CL129" s="623"/>
      <c r="CM129" s="623"/>
      <c r="CN129" s="623"/>
      <c r="CO129" s="623"/>
      <c r="CP129" s="623"/>
      <c r="CQ129" s="623"/>
      <c r="CR129" s="623"/>
      <c r="CS129" s="623"/>
      <c r="CT129" s="623"/>
      <c r="CU129" s="623"/>
      <c r="CV129" s="623">
        <v>8</v>
      </c>
      <c r="CW129" s="623"/>
      <c r="CX129" s="673"/>
      <c r="CY129" s="557"/>
    </row>
    <row r="130" spans="1:234" ht="13.8">
      <c r="A130" s="591" t="s">
        <v>2212</v>
      </c>
      <c r="B130" s="675"/>
      <c r="C130" s="550">
        <v>32</v>
      </c>
      <c r="D130" s="550">
        <f t="shared" si="30"/>
        <v>124</v>
      </c>
      <c r="E130" s="550"/>
      <c r="F130" s="550"/>
      <c r="G130" s="550"/>
      <c r="H130" s="550"/>
      <c r="I130" s="550"/>
      <c r="J130" s="550"/>
      <c r="K130" s="550"/>
      <c r="L130" s="550"/>
      <c r="M130" s="550"/>
      <c r="N130" s="550"/>
      <c r="O130" s="550"/>
      <c r="P130" s="550"/>
      <c r="Q130" s="550" t="s">
        <v>501</v>
      </c>
      <c r="R130" s="550"/>
      <c r="S130" s="550"/>
      <c r="T130" s="550"/>
      <c r="U130" s="550"/>
      <c r="V130" s="550"/>
      <c r="W130" s="550"/>
      <c r="X130" s="550"/>
      <c r="Y130" s="550"/>
      <c r="Z130" s="550"/>
      <c r="AA130" s="550"/>
      <c r="AB130" s="550"/>
      <c r="AC130" s="550"/>
      <c r="AD130" s="550"/>
      <c r="AE130" s="550"/>
      <c r="AF130" s="550"/>
      <c r="AG130" s="550"/>
      <c r="AH130" s="550"/>
      <c r="AI130" s="550"/>
      <c r="AJ130" s="550"/>
      <c r="AK130" s="550"/>
      <c r="AL130" s="550"/>
      <c r="AM130" s="550"/>
      <c r="AN130" s="550"/>
      <c r="AO130" s="550"/>
      <c r="AP130" s="550"/>
      <c r="AQ130" s="550"/>
      <c r="AR130" s="550"/>
      <c r="AS130" s="550"/>
      <c r="AT130" s="550"/>
      <c r="AU130" s="550"/>
      <c r="AV130" s="550"/>
      <c r="AW130" s="550"/>
      <c r="AX130" s="550"/>
      <c r="AY130" s="550"/>
      <c r="AZ130" s="550"/>
      <c r="BA130" s="550"/>
      <c r="BB130" s="550"/>
      <c r="BC130" s="550"/>
      <c r="BD130" s="550"/>
      <c r="BE130" s="550"/>
      <c r="BF130" s="672"/>
      <c r="BG130" s="672">
        <f>AX130</f>
        <v>0</v>
      </c>
      <c r="BH130" s="623"/>
      <c r="BI130" s="623"/>
      <c r="BJ130" s="623"/>
      <c r="BK130" s="623"/>
      <c r="BL130" s="623"/>
      <c r="BM130" s="623"/>
      <c r="BN130" s="623"/>
      <c r="BO130" s="623"/>
      <c r="BP130" s="623"/>
      <c r="BQ130" s="623"/>
      <c r="BR130" s="623"/>
      <c r="BS130" s="623"/>
      <c r="BT130" s="623">
        <v>1</v>
      </c>
      <c r="BU130" s="623"/>
      <c r="BV130" s="623">
        <v>1</v>
      </c>
      <c r="BW130" s="623"/>
      <c r="BX130" s="623"/>
      <c r="BY130" s="623"/>
      <c r="BZ130" s="623">
        <v>1</v>
      </c>
      <c r="CA130" s="623">
        <v>2</v>
      </c>
      <c r="CB130" s="623"/>
      <c r="CC130" s="623"/>
      <c r="CD130" s="623"/>
      <c r="CE130" s="623"/>
      <c r="CF130" s="623"/>
      <c r="CG130" s="623"/>
      <c r="CH130" s="623"/>
      <c r="CI130" s="623"/>
      <c r="CJ130" s="623"/>
      <c r="CK130" s="623"/>
      <c r="CL130" s="623"/>
      <c r="CM130" s="623"/>
      <c r="CN130" s="623"/>
      <c r="CO130" s="623"/>
      <c r="CP130" s="623"/>
      <c r="CQ130" s="623"/>
      <c r="CR130" s="623"/>
      <c r="CS130" s="623"/>
      <c r="CT130" s="623"/>
      <c r="CU130" s="623"/>
      <c r="CV130" s="623"/>
      <c r="CW130" s="623"/>
      <c r="CX130" s="673"/>
      <c r="CY130" s="557"/>
    </row>
    <row r="131" spans="1:234" ht="13.8">
      <c r="A131" s="591" t="s">
        <v>2213</v>
      </c>
      <c r="B131" s="670"/>
      <c r="C131" s="550">
        <v>27</v>
      </c>
      <c r="D131" s="550">
        <f t="shared" si="30"/>
        <v>151</v>
      </c>
      <c r="E131" s="550"/>
      <c r="F131" s="550"/>
      <c r="G131" s="550"/>
      <c r="H131" s="550"/>
      <c r="I131" s="550"/>
      <c r="J131" s="550"/>
      <c r="K131" s="550"/>
      <c r="L131" s="550"/>
      <c r="M131" s="550"/>
      <c r="N131" s="550"/>
      <c r="O131" s="550"/>
      <c r="P131" s="550"/>
      <c r="Q131" s="550" t="s">
        <v>501</v>
      </c>
      <c r="R131" s="550"/>
      <c r="S131" s="550"/>
      <c r="T131" s="550"/>
      <c r="U131" s="550"/>
      <c r="V131" s="550"/>
      <c r="W131" s="550"/>
      <c r="X131" s="550"/>
      <c r="Y131" s="550"/>
      <c r="Z131" s="550"/>
      <c r="AA131" s="550"/>
      <c r="AB131" s="550"/>
      <c r="AC131" s="550"/>
      <c r="AD131" s="550"/>
      <c r="AE131" s="550"/>
      <c r="AF131" s="550"/>
      <c r="AG131" s="550"/>
      <c r="AH131" s="550"/>
      <c r="AI131" s="550"/>
      <c r="AJ131" s="550"/>
      <c r="AK131" s="550"/>
      <c r="AL131" s="550"/>
      <c r="AM131" s="550"/>
      <c r="AN131" s="550"/>
      <c r="AO131" s="550"/>
      <c r="AP131" s="550"/>
      <c r="AQ131" s="550"/>
      <c r="AR131" s="550"/>
      <c r="AS131" s="550"/>
      <c r="AT131" s="550"/>
      <c r="AU131" s="550"/>
      <c r="AV131" s="550"/>
      <c r="AW131" s="550"/>
      <c r="AX131" s="550"/>
      <c r="AY131" s="550"/>
      <c r="AZ131" s="550"/>
      <c r="BA131" s="550"/>
      <c r="BB131" s="550"/>
      <c r="BC131" s="550"/>
      <c r="BD131" s="550"/>
      <c r="BE131" s="550"/>
      <c r="BF131" s="672"/>
      <c r="BG131" s="672">
        <f>AX131</f>
        <v>0</v>
      </c>
      <c r="BH131" s="623"/>
      <c r="BI131" s="623"/>
      <c r="BJ131" s="623"/>
      <c r="BK131" s="623"/>
      <c r="BL131" s="623"/>
      <c r="BM131" s="623"/>
      <c r="BN131" s="623"/>
      <c r="BO131" s="623"/>
      <c r="BP131" s="623"/>
      <c r="BQ131" s="623"/>
      <c r="BR131" s="623"/>
      <c r="BS131" s="623"/>
      <c r="BT131" s="623">
        <v>1</v>
      </c>
      <c r="BU131" s="623"/>
      <c r="BV131" s="623">
        <v>1</v>
      </c>
      <c r="BW131" s="623"/>
      <c r="BX131" s="623"/>
      <c r="BY131" s="623"/>
      <c r="BZ131" s="623">
        <v>1</v>
      </c>
      <c r="CA131" s="623">
        <v>2</v>
      </c>
      <c r="CB131" s="623"/>
      <c r="CC131" s="623"/>
      <c r="CD131" s="623"/>
      <c r="CE131" s="623"/>
      <c r="CF131" s="623"/>
      <c r="CG131" s="623"/>
      <c r="CH131" s="623"/>
      <c r="CI131" s="623"/>
      <c r="CJ131" s="623"/>
      <c r="CK131" s="623"/>
      <c r="CL131" s="623"/>
      <c r="CM131" s="623"/>
      <c r="CN131" s="623"/>
      <c r="CO131" s="623"/>
      <c r="CP131" s="623"/>
      <c r="CQ131" s="623"/>
      <c r="CR131" s="623"/>
      <c r="CS131" s="623"/>
      <c r="CT131" s="623"/>
      <c r="CU131" s="623"/>
      <c r="CV131" s="623"/>
      <c r="CW131" s="623"/>
      <c r="CX131" s="673"/>
      <c r="CY131" s="557"/>
    </row>
    <row r="132" spans="1:234" ht="13.8">
      <c r="A132" s="591" t="s">
        <v>1345</v>
      </c>
      <c r="B132" s="675"/>
      <c r="C132" s="550">
        <v>31</v>
      </c>
      <c r="D132" s="550">
        <f t="shared" si="30"/>
        <v>182</v>
      </c>
      <c r="E132" s="550"/>
      <c r="F132" s="550"/>
      <c r="G132" s="550"/>
      <c r="H132" s="550"/>
      <c r="I132" s="550"/>
      <c r="J132" s="550"/>
      <c r="K132" s="550"/>
      <c r="L132" s="550"/>
      <c r="M132" s="550"/>
      <c r="N132" s="550"/>
      <c r="O132" s="550"/>
      <c r="P132" s="550"/>
      <c r="Q132" s="550" t="s">
        <v>1107</v>
      </c>
      <c r="R132" s="550"/>
      <c r="S132" s="550"/>
      <c r="T132" s="550"/>
      <c r="U132" s="550"/>
      <c r="V132" s="550"/>
      <c r="W132" s="550"/>
      <c r="X132" s="550"/>
      <c r="Y132" s="550"/>
      <c r="Z132" s="550"/>
      <c r="AA132" s="550"/>
      <c r="AB132" s="550"/>
      <c r="AC132" s="550"/>
      <c r="AD132" s="550"/>
      <c r="AE132" s="550"/>
      <c r="AF132" s="550"/>
      <c r="AG132" s="550"/>
      <c r="AH132" s="550"/>
      <c r="AI132" s="550"/>
      <c r="AJ132" s="550"/>
      <c r="AK132" s="550"/>
      <c r="AL132" s="550"/>
      <c r="AM132" s="550"/>
      <c r="AN132" s="550"/>
      <c r="AO132" s="550"/>
      <c r="AP132" s="550"/>
      <c r="AQ132" s="550"/>
      <c r="AR132" s="550"/>
      <c r="AS132" s="550"/>
      <c r="AT132" s="550"/>
      <c r="AU132" s="550"/>
      <c r="AV132" s="550"/>
      <c r="AW132" s="550"/>
      <c r="AX132" s="550"/>
      <c r="AY132" s="550"/>
      <c r="AZ132" s="550"/>
      <c r="BA132" s="550"/>
      <c r="BB132" s="550"/>
      <c r="BC132" s="550"/>
      <c r="BD132" s="550"/>
      <c r="BE132" s="550"/>
      <c r="BF132" s="672"/>
      <c r="BG132" s="672">
        <f>AX132</f>
        <v>0</v>
      </c>
      <c r="BH132" s="623"/>
      <c r="BI132" s="623"/>
      <c r="BJ132" s="623"/>
      <c r="BK132" s="623"/>
      <c r="BL132" s="623"/>
      <c r="BM132" s="623"/>
      <c r="BN132" s="623"/>
      <c r="BO132" s="623"/>
      <c r="BP132" s="623"/>
      <c r="BQ132" s="623"/>
      <c r="BR132" s="623"/>
      <c r="BS132" s="623"/>
      <c r="BT132" s="623">
        <v>1</v>
      </c>
      <c r="BU132" s="623"/>
      <c r="BV132" s="623">
        <v>1</v>
      </c>
      <c r="BW132" s="623"/>
      <c r="BX132" s="623"/>
      <c r="BY132" s="623"/>
      <c r="BZ132" s="623">
        <v>1</v>
      </c>
      <c r="CA132" s="623">
        <v>2</v>
      </c>
      <c r="CB132" s="623"/>
      <c r="CC132" s="623"/>
      <c r="CD132" s="623"/>
      <c r="CE132" s="623"/>
      <c r="CF132" s="623"/>
      <c r="CG132" s="623"/>
      <c r="CH132" s="623"/>
      <c r="CI132" s="623"/>
      <c r="CJ132" s="623"/>
      <c r="CK132" s="623"/>
      <c r="CL132" s="623"/>
      <c r="CM132" s="623"/>
      <c r="CN132" s="623"/>
      <c r="CO132" s="623"/>
      <c r="CP132" s="623"/>
      <c r="CQ132" s="623"/>
      <c r="CR132" s="623"/>
      <c r="CS132" s="623"/>
      <c r="CT132" s="623"/>
      <c r="CU132" s="623"/>
      <c r="CV132" s="623">
        <v>8</v>
      </c>
      <c r="CW132" s="623"/>
      <c r="CX132" s="673"/>
      <c r="CY132" s="557"/>
    </row>
    <row r="133" spans="1:234" s="688" customFormat="1" ht="13.8">
      <c r="A133" s="656" t="s">
        <v>4024</v>
      </c>
      <c r="B133" s="684"/>
      <c r="C133" s="685">
        <f>+SUM(C125:C132)</f>
        <v>182</v>
      </c>
      <c r="D133" s="685">
        <f>+D132</f>
        <v>182</v>
      </c>
      <c r="E133" s="685">
        <f t="shared" ref="E133:N133" si="31">E123</f>
        <v>0</v>
      </c>
      <c r="F133" s="685">
        <f t="shared" si="31"/>
        <v>0</v>
      </c>
      <c r="G133" s="685">
        <f t="shared" si="31"/>
        <v>0</v>
      </c>
      <c r="H133" s="685">
        <f t="shared" si="31"/>
        <v>0</v>
      </c>
      <c r="I133" s="685">
        <f t="shared" si="31"/>
        <v>0</v>
      </c>
      <c r="J133" s="685">
        <f t="shared" si="31"/>
        <v>0</v>
      </c>
      <c r="K133" s="685">
        <f t="shared" si="31"/>
        <v>0</v>
      </c>
      <c r="L133" s="685">
        <f t="shared" si="31"/>
        <v>0</v>
      </c>
      <c r="M133" s="685">
        <f t="shared" si="31"/>
        <v>0</v>
      </c>
      <c r="N133" s="685">
        <f t="shared" si="31"/>
        <v>0</v>
      </c>
      <c r="O133" s="685">
        <f>SUM(O123:O123)</f>
        <v>0</v>
      </c>
      <c r="P133" s="685">
        <f>SUM(P123:P123)</f>
        <v>0</v>
      </c>
      <c r="Q133" s="685"/>
      <c r="R133" s="685">
        <f t="shared" ref="R133:AW133" si="32">+SUM(R125:R132)</f>
        <v>0</v>
      </c>
      <c r="S133" s="685">
        <f t="shared" si="32"/>
        <v>0</v>
      </c>
      <c r="T133" s="685">
        <f t="shared" si="32"/>
        <v>0</v>
      </c>
      <c r="U133" s="685">
        <f t="shared" si="32"/>
        <v>0</v>
      </c>
      <c r="V133" s="685">
        <f t="shared" si="32"/>
        <v>0</v>
      </c>
      <c r="W133" s="685">
        <f t="shared" si="32"/>
        <v>0</v>
      </c>
      <c r="X133" s="685">
        <f t="shared" si="32"/>
        <v>0</v>
      </c>
      <c r="Y133" s="685">
        <f t="shared" si="32"/>
        <v>0</v>
      </c>
      <c r="Z133" s="685">
        <f t="shared" si="32"/>
        <v>0</v>
      </c>
      <c r="AA133" s="685">
        <f t="shared" si="32"/>
        <v>0</v>
      </c>
      <c r="AB133" s="685">
        <f t="shared" si="32"/>
        <v>0</v>
      </c>
      <c r="AC133" s="685">
        <f t="shared" si="32"/>
        <v>0</v>
      </c>
      <c r="AD133" s="685">
        <f t="shared" si="32"/>
        <v>0</v>
      </c>
      <c r="AE133" s="685">
        <f t="shared" si="32"/>
        <v>0</v>
      </c>
      <c r="AF133" s="685">
        <f t="shared" si="32"/>
        <v>0</v>
      </c>
      <c r="AG133" s="685">
        <f t="shared" si="32"/>
        <v>0</v>
      </c>
      <c r="AH133" s="685">
        <f t="shared" si="32"/>
        <v>0</v>
      </c>
      <c r="AI133" s="685">
        <f t="shared" si="32"/>
        <v>0</v>
      </c>
      <c r="AJ133" s="685">
        <f t="shared" si="32"/>
        <v>0</v>
      </c>
      <c r="AK133" s="685">
        <f t="shared" si="32"/>
        <v>0</v>
      </c>
      <c r="AL133" s="685">
        <f t="shared" si="32"/>
        <v>0</v>
      </c>
      <c r="AM133" s="685">
        <f t="shared" si="32"/>
        <v>0</v>
      </c>
      <c r="AN133" s="685">
        <f t="shared" si="32"/>
        <v>0</v>
      </c>
      <c r="AO133" s="685">
        <f t="shared" si="32"/>
        <v>0</v>
      </c>
      <c r="AP133" s="685">
        <f t="shared" si="32"/>
        <v>0</v>
      </c>
      <c r="AQ133" s="685">
        <f t="shared" si="32"/>
        <v>0</v>
      </c>
      <c r="AR133" s="685">
        <f t="shared" si="32"/>
        <v>0</v>
      </c>
      <c r="AS133" s="685">
        <f t="shared" si="32"/>
        <v>0</v>
      </c>
      <c r="AT133" s="685">
        <f t="shared" si="32"/>
        <v>0</v>
      </c>
      <c r="AU133" s="685">
        <f t="shared" si="32"/>
        <v>0</v>
      </c>
      <c r="AV133" s="685">
        <f t="shared" si="32"/>
        <v>0</v>
      </c>
      <c r="AW133" s="685">
        <f t="shared" si="32"/>
        <v>0</v>
      </c>
      <c r="AX133" s="685">
        <f t="shared" ref="AX133:CB133" si="33">+SUM(AX125:AX132)</f>
        <v>0</v>
      </c>
      <c r="AY133" s="685">
        <f t="shared" si="33"/>
        <v>0</v>
      </c>
      <c r="AZ133" s="685">
        <f t="shared" si="33"/>
        <v>0</v>
      </c>
      <c r="BA133" s="685">
        <f t="shared" si="33"/>
        <v>0</v>
      </c>
      <c r="BB133" s="685">
        <f t="shared" si="33"/>
        <v>0</v>
      </c>
      <c r="BC133" s="685">
        <f t="shared" si="33"/>
        <v>0</v>
      </c>
      <c r="BD133" s="685">
        <f t="shared" si="33"/>
        <v>0</v>
      </c>
      <c r="BE133" s="685">
        <f t="shared" si="33"/>
        <v>0</v>
      </c>
      <c r="BF133" s="685">
        <f t="shared" si="33"/>
        <v>0</v>
      </c>
      <c r="BG133" s="685">
        <f t="shared" si="33"/>
        <v>0</v>
      </c>
      <c r="BH133" s="685">
        <f t="shared" si="33"/>
        <v>0</v>
      </c>
      <c r="BI133" s="685">
        <f t="shared" si="33"/>
        <v>0</v>
      </c>
      <c r="BJ133" s="685">
        <f t="shared" si="33"/>
        <v>0</v>
      </c>
      <c r="BK133" s="685">
        <f t="shared" si="33"/>
        <v>0</v>
      </c>
      <c r="BL133" s="685">
        <f t="shared" si="33"/>
        <v>0</v>
      </c>
      <c r="BM133" s="685">
        <f t="shared" si="33"/>
        <v>0</v>
      </c>
      <c r="BN133" s="685">
        <f t="shared" si="33"/>
        <v>0</v>
      </c>
      <c r="BO133" s="685">
        <f t="shared" si="33"/>
        <v>0</v>
      </c>
      <c r="BP133" s="685">
        <f t="shared" si="33"/>
        <v>0</v>
      </c>
      <c r="BQ133" s="685">
        <f t="shared" si="33"/>
        <v>0</v>
      </c>
      <c r="BR133" s="685">
        <f t="shared" si="33"/>
        <v>0</v>
      </c>
      <c r="BS133" s="685">
        <f t="shared" si="33"/>
        <v>0</v>
      </c>
      <c r="BT133" s="685">
        <f t="shared" si="33"/>
        <v>7</v>
      </c>
      <c r="BU133" s="685">
        <f t="shared" si="33"/>
        <v>0</v>
      </c>
      <c r="BV133" s="685">
        <f t="shared" si="33"/>
        <v>8</v>
      </c>
      <c r="BW133" s="685">
        <f t="shared" si="33"/>
        <v>0</v>
      </c>
      <c r="BX133" s="685">
        <f t="shared" si="33"/>
        <v>0</v>
      </c>
      <c r="BY133" s="685">
        <f t="shared" si="33"/>
        <v>0</v>
      </c>
      <c r="BZ133" s="685">
        <f t="shared" si="33"/>
        <v>8</v>
      </c>
      <c r="CA133" s="685">
        <f t="shared" si="33"/>
        <v>16</v>
      </c>
      <c r="CB133" s="685">
        <f t="shared" si="33"/>
        <v>0</v>
      </c>
      <c r="CC133" s="685">
        <f t="shared" ref="CC133:CM133" si="34">+SUM(CC125:CC132)</f>
        <v>0</v>
      </c>
      <c r="CD133" s="685">
        <f t="shared" si="34"/>
        <v>0</v>
      </c>
      <c r="CE133" s="685">
        <f t="shared" si="34"/>
        <v>0</v>
      </c>
      <c r="CF133" s="685">
        <f t="shared" si="34"/>
        <v>0</v>
      </c>
      <c r="CG133" s="685">
        <f t="shared" si="34"/>
        <v>0</v>
      </c>
      <c r="CH133" s="685">
        <f t="shared" si="34"/>
        <v>0</v>
      </c>
      <c r="CI133" s="685">
        <f t="shared" si="34"/>
        <v>0</v>
      </c>
      <c r="CJ133" s="685">
        <f t="shared" si="34"/>
        <v>0</v>
      </c>
      <c r="CK133" s="685">
        <f t="shared" si="34"/>
        <v>0</v>
      </c>
      <c r="CL133" s="685">
        <f t="shared" si="34"/>
        <v>0</v>
      </c>
      <c r="CM133" s="685">
        <f t="shared" si="34"/>
        <v>0</v>
      </c>
      <c r="CN133" s="685">
        <f t="shared" ref="CN133:CX133" si="35">+SUM(CN125:CN132)</f>
        <v>0</v>
      </c>
      <c r="CO133" s="685">
        <f t="shared" si="35"/>
        <v>0</v>
      </c>
      <c r="CP133" s="685">
        <f t="shared" si="35"/>
        <v>0</v>
      </c>
      <c r="CQ133" s="685">
        <f t="shared" si="35"/>
        <v>0</v>
      </c>
      <c r="CR133" s="685">
        <f t="shared" si="35"/>
        <v>0</v>
      </c>
      <c r="CS133" s="685">
        <f t="shared" si="35"/>
        <v>0</v>
      </c>
      <c r="CT133" s="685">
        <f t="shared" si="35"/>
        <v>0</v>
      </c>
      <c r="CU133" s="685">
        <f t="shared" si="35"/>
        <v>0</v>
      </c>
      <c r="CV133" s="685">
        <f t="shared" si="35"/>
        <v>32</v>
      </c>
      <c r="CW133" s="685">
        <f t="shared" si="35"/>
        <v>0</v>
      </c>
      <c r="CX133" s="685">
        <f t="shared" si="35"/>
        <v>0</v>
      </c>
      <c r="CY133" s="687"/>
    </row>
    <row r="134" spans="1:234" s="688" customFormat="1" ht="13.8">
      <c r="A134" s="657" t="s">
        <v>4025</v>
      </c>
      <c r="B134" s="691"/>
      <c r="C134" s="692">
        <f>C72+C91+C123+C133</f>
        <v>2185</v>
      </c>
      <c r="D134" s="692">
        <f t="shared" ref="D134:M134" si="36">D72+D91+D123+D133</f>
        <v>1676</v>
      </c>
      <c r="E134" s="692">
        <f t="shared" si="36"/>
        <v>509</v>
      </c>
      <c r="F134" s="692">
        <f t="shared" si="36"/>
        <v>0</v>
      </c>
      <c r="G134" s="692">
        <f t="shared" si="36"/>
        <v>0</v>
      </c>
      <c r="H134" s="692">
        <f t="shared" si="36"/>
        <v>0</v>
      </c>
      <c r="I134" s="692">
        <f t="shared" si="36"/>
        <v>0</v>
      </c>
      <c r="J134" s="692">
        <f t="shared" si="36"/>
        <v>0</v>
      </c>
      <c r="K134" s="692">
        <f t="shared" si="36"/>
        <v>0</v>
      </c>
      <c r="L134" s="692">
        <f t="shared" si="36"/>
        <v>0</v>
      </c>
      <c r="M134" s="692">
        <f t="shared" si="36"/>
        <v>0</v>
      </c>
      <c r="N134" s="692">
        <f t="shared" ref="N134:AS134" si="37">N72+N91+N123+N133</f>
        <v>0</v>
      </c>
      <c r="O134" s="692">
        <f t="shared" si="37"/>
        <v>0</v>
      </c>
      <c r="P134" s="692">
        <f t="shared" si="37"/>
        <v>0</v>
      </c>
      <c r="Q134" s="692">
        <f t="shared" si="37"/>
        <v>0</v>
      </c>
      <c r="R134" s="692">
        <f t="shared" si="37"/>
        <v>0</v>
      </c>
      <c r="S134" s="692">
        <f t="shared" si="37"/>
        <v>0</v>
      </c>
      <c r="T134" s="692">
        <f t="shared" si="37"/>
        <v>0</v>
      </c>
      <c r="U134" s="692">
        <f t="shared" si="37"/>
        <v>0</v>
      </c>
      <c r="V134" s="692">
        <f t="shared" si="37"/>
        <v>0</v>
      </c>
      <c r="W134" s="692">
        <f t="shared" si="37"/>
        <v>0</v>
      </c>
      <c r="X134" s="692">
        <f t="shared" si="37"/>
        <v>0</v>
      </c>
      <c r="Y134" s="692">
        <f t="shared" si="37"/>
        <v>0</v>
      </c>
      <c r="Z134" s="692">
        <f t="shared" si="37"/>
        <v>0</v>
      </c>
      <c r="AA134" s="692">
        <f t="shared" si="37"/>
        <v>0</v>
      </c>
      <c r="AB134" s="692">
        <f t="shared" si="37"/>
        <v>0</v>
      </c>
      <c r="AC134" s="692">
        <f t="shared" si="37"/>
        <v>0</v>
      </c>
      <c r="AD134" s="692">
        <f t="shared" si="37"/>
        <v>0</v>
      </c>
      <c r="AE134" s="692">
        <f t="shared" si="37"/>
        <v>0</v>
      </c>
      <c r="AF134" s="692">
        <f t="shared" si="37"/>
        <v>0</v>
      </c>
      <c r="AG134" s="692">
        <f t="shared" si="37"/>
        <v>0</v>
      </c>
      <c r="AH134" s="692">
        <f t="shared" si="37"/>
        <v>0</v>
      </c>
      <c r="AI134" s="692">
        <f t="shared" si="37"/>
        <v>0</v>
      </c>
      <c r="AJ134" s="692">
        <f t="shared" si="37"/>
        <v>0</v>
      </c>
      <c r="AK134" s="692">
        <f t="shared" si="37"/>
        <v>0</v>
      </c>
      <c r="AL134" s="692">
        <f t="shared" si="37"/>
        <v>0</v>
      </c>
      <c r="AM134" s="692">
        <f t="shared" si="37"/>
        <v>0</v>
      </c>
      <c r="AN134" s="692">
        <f t="shared" si="37"/>
        <v>0</v>
      </c>
      <c r="AO134" s="692">
        <f t="shared" si="37"/>
        <v>0</v>
      </c>
      <c r="AP134" s="692">
        <f t="shared" si="37"/>
        <v>0</v>
      </c>
      <c r="AQ134" s="692">
        <f t="shared" si="37"/>
        <v>0</v>
      </c>
      <c r="AR134" s="692">
        <f t="shared" si="37"/>
        <v>0</v>
      </c>
      <c r="AS134" s="692">
        <f t="shared" si="37"/>
        <v>0</v>
      </c>
      <c r="AT134" s="692">
        <f t="shared" ref="AT134:BY134" si="38">AT72+AT91+AT123+AT133</f>
        <v>0</v>
      </c>
      <c r="AU134" s="692">
        <f t="shared" si="38"/>
        <v>0</v>
      </c>
      <c r="AV134" s="692">
        <f t="shared" si="38"/>
        <v>0</v>
      </c>
      <c r="AW134" s="692">
        <f t="shared" si="38"/>
        <v>0</v>
      </c>
      <c r="AX134" s="692">
        <f t="shared" si="38"/>
        <v>0</v>
      </c>
      <c r="AY134" s="692">
        <f t="shared" si="38"/>
        <v>0</v>
      </c>
      <c r="AZ134" s="692">
        <f t="shared" si="38"/>
        <v>0</v>
      </c>
      <c r="BA134" s="692">
        <f t="shared" si="38"/>
        <v>0</v>
      </c>
      <c r="BB134" s="692">
        <f t="shared" si="38"/>
        <v>0</v>
      </c>
      <c r="BC134" s="692">
        <f t="shared" si="38"/>
        <v>0</v>
      </c>
      <c r="BD134" s="692">
        <f t="shared" si="38"/>
        <v>0</v>
      </c>
      <c r="BE134" s="692">
        <f t="shared" si="38"/>
        <v>0</v>
      </c>
      <c r="BF134" s="692">
        <f t="shared" si="38"/>
        <v>0</v>
      </c>
      <c r="BG134" s="692">
        <f t="shared" si="38"/>
        <v>0</v>
      </c>
      <c r="BH134" s="692">
        <f t="shared" si="38"/>
        <v>0</v>
      </c>
      <c r="BI134" s="692">
        <f t="shared" si="38"/>
        <v>0</v>
      </c>
      <c r="BJ134" s="692">
        <f t="shared" si="38"/>
        <v>0</v>
      </c>
      <c r="BK134" s="692">
        <f t="shared" si="38"/>
        <v>0</v>
      </c>
      <c r="BL134" s="692">
        <f t="shared" si="38"/>
        <v>0</v>
      </c>
      <c r="BM134" s="692">
        <f t="shared" si="38"/>
        <v>0</v>
      </c>
      <c r="BN134" s="692">
        <f t="shared" si="38"/>
        <v>0</v>
      </c>
      <c r="BO134" s="692">
        <f t="shared" si="38"/>
        <v>0</v>
      </c>
      <c r="BP134" s="692">
        <f t="shared" si="38"/>
        <v>0</v>
      </c>
      <c r="BQ134" s="692">
        <f t="shared" si="38"/>
        <v>0</v>
      </c>
      <c r="BR134" s="692">
        <f t="shared" si="38"/>
        <v>0</v>
      </c>
      <c r="BS134" s="692">
        <f t="shared" si="38"/>
        <v>0</v>
      </c>
      <c r="BT134" s="692">
        <f t="shared" si="38"/>
        <v>20</v>
      </c>
      <c r="BU134" s="692">
        <f t="shared" si="38"/>
        <v>0</v>
      </c>
      <c r="BV134" s="692">
        <f t="shared" si="38"/>
        <v>69</v>
      </c>
      <c r="BW134" s="692">
        <f t="shared" si="38"/>
        <v>48</v>
      </c>
      <c r="BX134" s="692">
        <f t="shared" si="38"/>
        <v>0</v>
      </c>
      <c r="BY134" s="692">
        <f t="shared" si="38"/>
        <v>0</v>
      </c>
      <c r="BZ134" s="692">
        <f t="shared" ref="BZ134:CX134" si="39">BZ72+BZ91+BZ123+BZ133</f>
        <v>21</v>
      </c>
      <c r="CA134" s="692">
        <f t="shared" si="39"/>
        <v>76</v>
      </c>
      <c r="CB134" s="692">
        <f t="shared" si="39"/>
        <v>14</v>
      </c>
      <c r="CC134" s="692">
        <f t="shared" si="39"/>
        <v>0</v>
      </c>
      <c r="CD134" s="692">
        <f t="shared" si="39"/>
        <v>0</v>
      </c>
      <c r="CE134" s="692">
        <f t="shared" si="39"/>
        <v>0</v>
      </c>
      <c r="CF134" s="692">
        <f t="shared" si="39"/>
        <v>0</v>
      </c>
      <c r="CG134" s="692">
        <f t="shared" si="39"/>
        <v>0</v>
      </c>
      <c r="CH134" s="692">
        <f t="shared" si="39"/>
        <v>0</v>
      </c>
      <c r="CI134" s="692">
        <f t="shared" si="39"/>
        <v>0</v>
      </c>
      <c r="CJ134" s="692">
        <f t="shared" si="39"/>
        <v>0</v>
      </c>
      <c r="CK134" s="692">
        <f t="shared" si="39"/>
        <v>0</v>
      </c>
      <c r="CL134" s="692">
        <f t="shared" si="39"/>
        <v>4</v>
      </c>
      <c r="CM134" s="692">
        <f t="shared" si="39"/>
        <v>0</v>
      </c>
      <c r="CN134" s="692">
        <f t="shared" si="39"/>
        <v>0</v>
      </c>
      <c r="CO134" s="692">
        <f t="shared" si="39"/>
        <v>0</v>
      </c>
      <c r="CP134" s="692">
        <f t="shared" si="39"/>
        <v>0</v>
      </c>
      <c r="CQ134" s="692">
        <f t="shared" si="39"/>
        <v>0</v>
      </c>
      <c r="CR134" s="692">
        <f t="shared" si="39"/>
        <v>0</v>
      </c>
      <c r="CS134" s="692">
        <f t="shared" si="39"/>
        <v>0</v>
      </c>
      <c r="CT134" s="692">
        <f t="shared" si="39"/>
        <v>0</v>
      </c>
      <c r="CU134" s="692">
        <f t="shared" si="39"/>
        <v>0</v>
      </c>
      <c r="CV134" s="692">
        <f t="shared" si="39"/>
        <v>68</v>
      </c>
      <c r="CW134" s="692">
        <f t="shared" si="39"/>
        <v>0</v>
      </c>
      <c r="CX134" s="692">
        <f t="shared" si="39"/>
        <v>0</v>
      </c>
      <c r="CY134" s="693"/>
    </row>
    <row r="135" spans="1:234" s="553" customFormat="1" ht="13.8">
      <c r="A135" s="694"/>
      <c r="B135" s="695"/>
      <c r="C135" s="696"/>
      <c r="D135" s="696"/>
      <c r="E135" s="696"/>
      <c r="F135" s="696"/>
      <c r="G135" s="696"/>
      <c r="H135" s="696"/>
      <c r="I135" s="696"/>
      <c r="J135" s="696"/>
      <c r="K135" s="696"/>
      <c r="L135" s="696"/>
      <c r="M135" s="696"/>
      <c r="N135" s="696"/>
      <c r="O135" s="696"/>
      <c r="P135" s="696"/>
      <c r="Q135" s="696"/>
      <c r="R135" s="696"/>
      <c r="S135" s="697"/>
      <c r="T135" s="697"/>
      <c r="U135" s="697"/>
      <c r="V135" s="697"/>
      <c r="W135" s="697"/>
      <c r="X135" s="697"/>
      <c r="Y135" s="697"/>
      <c r="Z135" s="697"/>
      <c r="AA135" s="697"/>
      <c r="AB135" s="697"/>
      <c r="AC135" s="697"/>
      <c r="AD135" s="697"/>
      <c r="AE135" s="697"/>
      <c r="AF135" s="697"/>
      <c r="AG135" s="697"/>
      <c r="AH135" s="697"/>
      <c r="AI135" s="697"/>
      <c r="AJ135" s="697"/>
      <c r="AK135" s="697"/>
      <c r="AL135" s="697"/>
      <c r="AM135" s="697"/>
      <c r="AN135" s="697"/>
      <c r="AO135" s="697"/>
      <c r="AP135" s="697"/>
      <c r="AQ135" s="697"/>
      <c r="AR135" s="697"/>
      <c r="AS135" s="697"/>
      <c r="AT135" s="697"/>
      <c r="AU135" s="697"/>
      <c r="AV135" s="697"/>
      <c r="AW135" s="697"/>
      <c r="AX135" s="697"/>
      <c r="AY135" s="697"/>
      <c r="AZ135" s="697"/>
      <c r="BA135" s="697"/>
      <c r="BB135" s="697"/>
      <c r="BC135" s="697"/>
      <c r="BD135" s="697"/>
      <c r="BE135" s="697"/>
      <c r="BF135" s="697"/>
      <c r="BG135" s="697"/>
      <c r="BH135" s="697"/>
      <c r="BI135" s="697"/>
      <c r="BJ135" s="697"/>
      <c r="BK135" s="697"/>
      <c r="BL135" s="697"/>
      <c r="BM135" s="697"/>
      <c r="BN135" s="697"/>
      <c r="BO135" s="697"/>
      <c r="BP135" s="697"/>
      <c r="BQ135" s="697"/>
      <c r="BR135" s="697"/>
      <c r="BS135" s="697"/>
      <c r="BT135" s="697"/>
      <c r="BU135" s="697"/>
      <c r="BV135" s="697"/>
      <c r="BW135" s="697"/>
      <c r="BX135" s="697"/>
      <c r="BY135" s="697"/>
      <c r="BZ135" s="697"/>
      <c r="CA135" s="697"/>
      <c r="CB135" s="697"/>
      <c r="CC135" s="697"/>
      <c r="CD135" s="697"/>
      <c r="CE135" s="697"/>
      <c r="CF135" s="697"/>
      <c r="CG135" s="697"/>
      <c r="CH135" s="697"/>
      <c r="CI135" s="697"/>
      <c r="CJ135" s="697"/>
      <c r="CK135" s="697"/>
      <c r="CL135" s="697"/>
      <c r="CM135" s="697"/>
      <c r="CN135" s="697"/>
      <c r="CO135" s="697"/>
      <c r="CP135" s="697"/>
      <c r="CQ135" s="697"/>
      <c r="CR135" s="697"/>
      <c r="CS135" s="697"/>
      <c r="CT135" s="697"/>
      <c r="CU135" s="697"/>
      <c r="CV135" s="697"/>
      <c r="CW135" s="697"/>
      <c r="CX135" s="697"/>
      <c r="CY135" s="698"/>
      <c r="HU135" s="530"/>
      <c r="HV135" s="530"/>
      <c r="HW135" s="530"/>
      <c r="HX135" s="530"/>
      <c r="HY135" s="530"/>
      <c r="HZ135" s="530"/>
    </row>
    <row r="136" spans="1:234" ht="13.8">
      <c r="A136" s="628"/>
      <c r="B136" s="620"/>
      <c r="C136" s="620"/>
      <c r="D136" s="620"/>
      <c r="E136" s="620"/>
      <c r="F136" s="620"/>
      <c r="G136" s="620"/>
      <c r="H136" s="620"/>
      <c r="I136" s="620"/>
      <c r="J136" s="620"/>
      <c r="K136" s="620"/>
      <c r="L136" s="620"/>
      <c r="M136" s="620"/>
      <c r="N136" s="620"/>
      <c r="O136" s="599"/>
      <c r="P136" s="599"/>
      <c r="Q136" s="599"/>
      <c r="R136" s="620"/>
      <c r="S136" s="620"/>
      <c r="T136" s="620"/>
      <c r="U136" s="620"/>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629"/>
      <c r="BQ136" s="629"/>
      <c r="BR136" s="629"/>
      <c r="BS136" s="629"/>
      <c r="BT136" s="629"/>
      <c r="BU136" s="629"/>
      <c r="BV136" s="620"/>
      <c r="BW136" s="620"/>
      <c r="BX136" s="620"/>
      <c r="BY136" s="620"/>
      <c r="BZ136" s="620"/>
      <c r="CA136" s="620"/>
      <c r="CB136" s="620"/>
      <c r="CC136" s="620"/>
      <c r="CD136" s="620"/>
      <c r="CE136" s="620"/>
      <c r="CF136" s="620"/>
      <c r="CG136" s="620"/>
      <c r="CH136" s="620"/>
      <c r="CI136" s="620"/>
      <c r="CJ136" s="620"/>
      <c r="CK136" s="620"/>
      <c r="CL136" s="620"/>
      <c r="CM136" s="620"/>
      <c r="CN136" s="620"/>
      <c r="CO136" s="620"/>
      <c r="CP136" s="620"/>
      <c r="CQ136" s="620"/>
      <c r="CR136" s="620"/>
      <c r="CS136" s="620"/>
      <c r="CT136" s="620"/>
      <c r="CU136" s="620"/>
      <c r="CV136" s="620"/>
      <c r="CW136" s="620"/>
      <c r="CX136" s="620"/>
      <c r="CY136" s="557"/>
      <c r="HU136" s="542"/>
      <c r="HV136" s="542"/>
      <c r="HW136" s="542"/>
      <c r="HX136" s="542"/>
      <c r="HY136" s="542"/>
      <c r="HZ136" s="542"/>
    </row>
    <row r="137" spans="1:234" ht="13.8">
      <c r="A137" s="699"/>
      <c r="B137" s="700"/>
      <c r="C137" s="701"/>
      <c r="D137" s="701"/>
      <c r="E137" s="701"/>
      <c r="F137" s="701"/>
      <c r="G137" s="701"/>
      <c r="H137" s="701"/>
      <c r="I137" s="701"/>
      <c r="J137" s="701"/>
      <c r="K137" s="701"/>
      <c r="L137" s="701"/>
      <c r="M137" s="701"/>
      <c r="N137" s="701"/>
      <c r="O137" s="701"/>
      <c r="P137" s="701"/>
      <c r="Q137" s="701"/>
      <c r="R137" s="701"/>
      <c r="S137" s="701"/>
      <c r="T137" s="701"/>
      <c r="U137" s="701"/>
      <c r="V137" s="701"/>
      <c r="W137" s="701"/>
      <c r="X137" s="701"/>
      <c r="Y137" s="701"/>
      <c r="Z137" s="701"/>
      <c r="AA137" s="701"/>
      <c r="AB137" s="701"/>
      <c r="AC137" s="701"/>
      <c r="AD137" s="701"/>
      <c r="AE137" s="701"/>
      <c r="AF137" s="701"/>
      <c r="AG137" s="701"/>
      <c r="AH137" s="701"/>
      <c r="AI137" s="701"/>
      <c r="AJ137" s="701"/>
      <c r="AK137" s="701"/>
      <c r="AL137" s="701"/>
      <c r="AM137" s="701"/>
      <c r="AN137" s="701"/>
      <c r="AO137" s="701"/>
      <c r="AP137" s="701"/>
      <c r="AQ137" s="701"/>
      <c r="AR137" s="701"/>
      <c r="AS137" s="701"/>
      <c r="AT137" s="701"/>
      <c r="AU137" s="701"/>
      <c r="AV137" s="701"/>
      <c r="AW137" s="701"/>
      <c r="AX137" s="701"/>
      <c r="AY137" s="701"/>
      <c r="AZ137" s="701"/>
      <c r="BA137" s="701"/>
      <c r="BB137" s="701"/>
      <c r="BC137" s="701"/>
      <c r="BD137" s="701"/>
      <c r="BE137" s="701"/>
      <c r="BF137" s="701"/>
      <c r="BG137" s="701"/>
      <c r="BH137" s="701"/>
      <c r="BI137" s="701"/>
      <c r="BJ137" s="701"/>
      <c r="BK137" s="701"/>
      <c r="BL137" s="701"/>
      <c r="BM137" s="701"/>
      <c r="BN137" s="701"/>
      <c r="BO137" s="701"/>
      <c r="BP137" s="701"/>
      <c r="BQ137" s="701"/>
      <c r="BR137" s="701"/>
      <c r="BS137" s="701"/>
      <c r="BT137" s="701"/>
      <c r="BU137" s="701"/>
      <c r="BV137" s="701"/>
      <c r="BW137" s="701"/>
      <c r="BX137" s="701"/>
      <c r="BY137" s="701"/>
      <c r="BZ137" s="701"/>
      <c r="CA137" s="701"/>
      <c r="CB137" s="701"/>
      <c r="CC137" s="701"/>
      <c r="CD137" s="701"/>
      <c r="CE137" s="701"/>
      <c r="CF137" s="701"/>
      <c r="CG137" s="701"/>
      <c r="CH137" s="701"/>
      <c r="CI137" s="701"/>
      <c r="CJ137" s="701"/>
      <c r="CK137" s="701"/>
      <c r="CL137" s="701"/>
      <c r="CM137" s="701"/>
      <c r="CN137" s="701"/>
      <c r="CO137" s="701"/>
      <c r="CP137" s="701"/>
      <c r="CQ137" s="701"/>
      <c r="CR137" s="701"/>
      <c r="CS137" s="701"/>
      <c r="CT137" s="701"/>
      <c r="CU137" s="701"/>
      <c r="CV137" s="701"/>
      <c r="CW137" s="701"/>
      <c r="CX137" s="701"/>
      <c r="CY137" s="698"/>
    </row>
    <row r="138" spans="1:234" s="545" customFormat="1" ht="18" hidden="1" customHeight="1">
      <c r="A138" s="654" t="s">
        <v>4026</v>
      </c>
      <c r="B138" s="544"/>
      <c r="C138" s="544"/>
      <c r="D138" s="544"/>
      <c r="E138" s="544"/>
      <c r="F138" s="544"/>
      <c r="G138" s="544"/>
      <c r="H138" s="544"/>
      <c r="I138" s="544"/>
      <c r="J138" s="544"/>
      <c r="K138" s="544"/>
      <c r="L138" s="544"/>
      <c r="M138" s="544"/>
      <c r="N138" s="544"/>
      <c r="O138" s="544"/>
      <c r="P138" s="544"/>
      <c r="Q138" s="544"/>
      <c r="R138" s="544"/>
      <c r="S138" s="544"/>
      <c r="T138" s="544"/>
      <c r="U138" s="544"/>
      <c r="V138" s="544"/>
      <c r="W138" s="544"/>
      <c r="X138" s="544"/>
      <c r="Y138" s="544"/>
      <c r="Z138" s="544"/>
      <c r="AA138" s="544"/>
      <c r="AB138" s="544"/>
      <c r="AC138" s="544"/>
      <c r="AD138" s="544"/>
      <c r="AE138" s="544"/>
      <c r="AF138" s="544"/>
      <c r="AG138" s="544"/>
      <c r="AH138" s="544"/>
      <c r="AI138" s="544"/>
      <c r="AJ138" s="544"/>
      <c r="AK138" s="544"/>
      <c r="AL138" s="544"/>
      <c r="AM138" s="544"/>
      <c r="AN138" s="544"/>
      <c r="AO138" s="544"/>
      <c r="AP138" s="544"/>
      <c r="AQ138" s="544"/>
      <c r="AR138" s="544"/>
      <c r="AS138" s="544"/>
      <c r="AT138" s="544"/>
      <c r="AU138" s="544"/>
      <c r="AV138" s="544"/>
      <c r="AW138" s="544"/>
      <c r="AX138" s="544"/>
      <c r="AY138" s="544"/>
      <c r="AZ138" s="544"/>
      <c r="BA138" s="544"/>
      <c r="BB138" s="544"/>
      <c r="BC138" s="544"/>
      <c r="BD138" s="544"/>
      <c r="BE138" s="544"/>
      <c r="BF138" s="544"/>
      <c r="BG138" s="544"/>
      <c r="BH138" s="544"/>
      <c r="BI138" s="544"/>
      <c r="BJ138" s="544"/>
      <c r="BK138" s="544"/>
      <c r="BL138" s="544"/>
      <c r="BM138" s="544"/>
      <c r="BN138" s="544"/>
      <c r="BO138" s="544"/>
      <c r="BP138" s="544"/>
      <c r="BQ138" s="544"/>
      <c r="BR138" s="544"/>
      <c r="BS138" s="544"/>
      <c r="BT138" s="544"/>
      <c r="BU138" s="544"/>
      <c r="BV138" s="544"/>
      <c r="BW138" s="544"/>
      <c r="BX138" s="544"/>
      <c r="BY138" s="544"/>
      <c r="BZ138" s="544"/>
      <c r="CA138" s="544"/>
      <c r="CB138" s="544"/>
      <c r="CC138" s="544"/>
      <c r="CD138" s="544"/>
      <c r="CE138" s="544"/>
      <c r="CF138" s="544"/>
      <c r="CG138" s="544"/>
      <c r="CH138" s="544"/>
      <c r="CI138" s="544"/>
      <c r="CJ138" s="544"/>
      <c r="CK138" s="544"/>
      <c r="CL138" s="544"/>
      <c r="CM138" s="544"/>
      <c r="CN138" s="544"/>
      <c r="CO138" s="544"/>
      <c r="CP138" s="544"/>
      <c r="CQ138" s="544"/>
      <c r="CR138" s="544"/>
      <c r="CS138" s="544"/>
      <c r="CT138" s="544"/>
      <c r="CU138" s="544"/>
      <c r="CV138" s="544"/>
      <c r="CW138" s="544"/>
      <c r="CX138" s="544"/>
      <c r="CY138" s="669"/>
      <c r="CZ138" s="530"/>
      <c r="DA138" s="530"/>
      <c r="DB138" s="530"/>
      <c r="DC138" s="530"/>
      <c r="DD138" s="530"/>
      <c r="DE138" s="530"/>
      <c r="DF138" s="530"/>
      <c r="DG138" s="530"/>
      <c r="DH138" s="530"/>
      <c r="DI138" s="530"/>
      <c r="DJ138" s="530"/>
      <c r="DK138" s="530"/>
      <c r="DL138" s="530"/>
      <c r="DM138" s="530"/>
      <c r="DN138" s="530"/>
      <c r="DO138" s="530"/>
      <c r="DP138" s="530"/>
      <c r="DQ138" s="530"/>
      <c r="DR138" s="530"/>
      <c r="DS138" s="530"/>
      <c r="DT138" s="530"/>
      <c r="DU138" s="530"/>
      <c r="DV138" s="530"/>
      <c r="DW138" s="530"/>
      <c r="DX138" s="530"/>
      <c r="DY138" s="530"/>
      <c r="DZ138" s="530"/>
      <c r="EA138" s="530"/>
      <c r="EB138" s="530"/>
      <c r="EC138" s="530"/>
      <c r="ED138" s="530"/>
      <c r="EE138" s="530"/>
      <c r="EF138" s="530"/>
      <c r="EG138" s="530"/>
      <c r="EH138" s="530"/>
      <c r="EI138" s="530"/>
      <c r="EJ138" s="530"/>
      <c r="EK138" s="530"/>
      <c r="EL138" s="530"/>
      <c r="EM138" s="530"/>
      <c r="EN138" s="530"/>
      <c r="EO138" s="530"/>
      <c r="EP138" s="530"/>
      <c r="EQ138" s="530"/>
      <c r="ER138" s="530"/>
      <c r="ES138" s="530"/>
      <c r="ET138" s="530"/>
      <c r="EU138" s="530"/>
      <c r="EV138" s="530"/>
      <c r="EW138" s="530"/>
      <c r="EX138" s="530"/>
      <c r="EY138" s="530"/>
      <c r="EZ138" s="530"/>
      <c r="FA138" s="530"/>
      <c r="FB138" s="530"/>
      <c r="FC138" s="530"/>
      <c r="FD138" s="530"/>
      <c r="FE138" s="530"/>
      <c r="FF138" s="530"/>
      <c r="FG138" s="530"/>
      <c r="FH138" s="530"/>
      <c r="FI138" s="530"/>
      <c r="FJ138" s="530"/>
      <c r="FK138" s="530"/>
      <c r="FL138" s="530"/>
      <c r="FM138" s="530"/>
      <c r="FN138" s="530"/>
      <c r="FO138" s="530"/>
      <c r="FP138" s="530"/>
      <c r="FQ138" s="530"/>
      <c r="FR138" s="530"/>
      <c r="FS138" s="530"/>
      <c r="FT138" s="530"/>
      <c r="FU138" s="530"/>
      <c r="FV138" s="530"/>
      <c r="FW138" s="530"/>
      <c r="FX138" s="530"/>
      <c r="FY138" s="530"/>
      <c r="FZ138" s="530"/>
      <c r="GA138" s="530"/>
      <c r="GB138" s="530"/>
      <c r="GC138" s="530"/>
      <c r="GD138" s="530"/>
      <c r="GE138" s="530"/>
      <c r="GF138" s="530"/>
      <c r="GG138" s="530"/>
      <c r="GH138" s="530"/>
      <c r="GI138" s="530"/>
      <c r="GJ138" s="530"/>
      <c r="GK138" s="530"/>
      <c r="GL138" s="530"/>
      <c r="GM138" s="530"/>
      <c r="GN138" s="530"/>
      <c r="GO138" s="530"/>
      <c r="GP138" s="530"/>
      <c r="GQ138" s="530"/>
      <c r="GR138" s="530"/>
      <c r="GS138" s="530"/>
      <c r="GT138" s="530"/>
      <c r="GU138" s="530"/>
      <c r="GV138" s="530"/>
      <c r="GW138" s="530"/>
      <c r="GX138" s="530"/>
      <c r="GY138" s="530"/>
      <c r="GZ138" s="530"/>
      <c r="HA138" s="530"/>
      <c r="HB138" s="530"/>
      <c r="HC138" s="530"/>
      <c r="HD138" s="530"/>
      <c r="HE138" s="530"/>
      <c r="HF138" s="530"/>
      <c r="HG138" s="530"/>
      <c r="HH138" s="530"/>
      <c r="HI138" s="530"/>
      <c r="HJ138" s="530"/>
      <c r="HK138" s="530"/>
      <c r="HL138" s="530"/>
      <c r="HM138" s="530"/>
      <c r="HN138" s="530"/>
      <c r="HO138" s="530"/>
      <c r="HP138" s="530"/>
      <c r="HQ138" s="530"/>
      <c r="HR138" s="530"/>
      <c r="HS138" s="530"/>
      <c r="HT138" s="530"/>
      <c r="HU138" s="530"/>
      <c r="HV138" s="530"/>
      <c r="HW138" s="530"/>
      <c r="HX138" s="530"/>
      <c r="HY138" s="530"/>
      <c r="HZ138" s="530"/>
    </row>
    <row r="139" spans="1:234" s="545" customFormat="1" ht="18" hidden="1" customHeight="1">
      <c r="A139" s="583" t="s">
        <v>4027</v>
      </c>
      <c r="B139" s="544"/>
      <c r="C139" s="544"/>
      <c r="D139" s="544"/>
      <c r="E139" s="544"/>
      <c r="F139" s="544"/>
      <c r="G139" s="544"/>
      <c r="H139" s="544"/>
      <c r="I139" s="544"/>
      <c r="J139" s="544"/>
      <c r="K139" s="544"/>
      <c r="L139" s="544"/>
      <c r="M139" s="544"/>
      <c r="N139" s="544"/>
      <c r="O139" s="544"/>
      <c r="P139" s="544"/>
      <c r="Q139" s="544"/>
      <c r="R139" s="544"/>
      <c r="S139" s="544"/>
      <c r="T139" s="544"/>
      <c r="U139" s="544"/>
      <c r="V139" s="544"/>
      <c r="W139" s="544"/>
      <c r="X139" s="544"/>
      <c r="Y139" s="544"/>
      <c r="Z139" s="544"/>
      <c r="AA139" s="544"/>
      <c r="AB139" s="544"/>
      <c r="AC139" s="544"/>
      <c r="AD139" s="544"/>
      <c r="AE139" s="544"/>
      <c r="AF139" s="544"/>
      <c r="AG139" s="544"/>
      <c r="AH139" s="544"/>
      <c r="AI139" s="544"/>
      <c r="AJ139" s="544"/>
      <c r="AK139" s="544"/>
      <c r="AL139" s="544"/>
      <c r="AM139" s="544"/>
      <c r="AN139" s="544"/>
      <c r="AO139" s="544"/>
      <c r="AP139" s="544"/>
      <c r="AQ139" s="544"/>
      <c r="AR139" s="544"/>
      <c r="AS139" s="544"/>
      <c r="AT139" s="544"/>
      <c r="AU139" s="544"/>
      <c r="AV139" s="544"/>
      <c r="AW139" s="544"/>
      <c r="AX139" s="544"/>
      <c r="AY139" s="544"/>
      <c r="AZ139" s="544"/>
      <c r="BA139" s="544"/>
      <c r="BB139" s="544"/>
      <c r="BC139" s="544"/>
      <c r="BD139" s="544"/>
      <c r="BE139" s="544"/>
      <c r="BF139" s="544"/>
      <c r="BG139" s="544"/>
      <c r="BH139" s="544"/>
      <c r="BI139" s="544"/>
      <c r="BJ139" s="544"/>
      <c r="BK139" s="544"/>
      <c r="BL139" s="544"/>
      <c r="BM139" s="544"/>
      <c r="BN139" s="544"/>
      <c r="BO139" s="544"/>
      <c r="BP139" s="544"/>
      <c r="BQ139" s="544"/>
      <c r="BR139" s="544"/>
      <c r="BS139" s="544"/>
      <c r="BT139" s="544"/>
      <c r="BU139" s="544"/>
      <c r="BV139" s="544"/>
      <c r="BW139" s="544"/>
      <c r="BX139" s="544"/>
      <c r="BY139" s="544"/>
      <c r="BZ139" s="544"/>
      <c r="CA139" s="544"/>
      <c r="CB139" s="544"/>
      <c r="CC139" s="544"/>
      <c r="CD139" s="544"/>
      <c r="CE139" s="544"/>
      <c r="CF139" s="544"/>
      <c r="CG139" s="544"/>
      <c r="CH139" s="544"/>
      <c r="CI139" s="544"/>
      <c r="CJ139" s="544"/>
      <c r="CK139" s="544"/>
      <c r="CL139" s="544"/>
      <c r="CM139" s="544"/>
      <c r="CN139" s="544"/>
      <c r="CO139" s="544"/>
      <c r="CP139" s="544"/>
      <c r="CQ139" s="544"/>
      <c r="CR139" s="544"/>
      <c r="CS139" s="544"/>
      <c r="CT139" s="544"/>
      <c r="CU139" s="544"/>
      <c r="CV139" s="544"/>
      <c r="CW139" s="544"/>
      <c r="CX139" s="544"/>
      <c r="CY139" s="669"/>
      <c r="CZ139" s="530"/>
      <c r="DA139" s="530"/>
      <c r="DB139" s="530"/>
      <c r="DC139" s="530"/>
      <c r="DD139" s="530"/>
      <c r="DE139" s="530"/>
      <c r="DF139" s="530"/>
      <c r="DG139" s="530"/>
      <c r="DH139" s="530"/>
      <c r="DI139" s="530"/>
      <c r="DJ139" s="530"/>
      <c r="DK139" s="530"/>
      <c r="DL139" s="530"/>
      <c r="DM139" s="530"/>
      <c r="DN139" s="530"/>
      <c r="DO139" s="530"/>
      <c r="DP139" s="530"/>
      <c r="DQ139" s="530"/>
      <c r="DR139" s="530"/>
      <c r="DS139" s="530"/>
      <c r="DT139" s="530"/>
      <c r="DU139" s="530"/>
      <c r="DV139" s="530"/>
      <c r="DW139" s="530"/>
      <c r="DX139" s="530"/>
      <c r="DY139" s="530"/>
      <c r="DZ139" s="530"/>
      <c r="EA139" s="530"/>
      <c r="EB139" s="530"/>
      <c r="EC139" s="530"/>
      <c r="ED139" s="530"/>
      <c r="EE139" s="530"/>
      <c r="EF139" s="530"/>
      <c r="EG139" s="530"/>
      <c r="EH139" s="530"/>
      <c r="EI139" s="530"/>
      <c r="EJ139" s="530"/>
      <c r="EK139" s="530"/>
      <c r="EL139" s="530"/>
      <c r="EM139" s="530"/>
      <c r="EN139" s="530"/>
      <c r="EO139" s="530"/>
      <c r="EP139" s="530"/>
      <c r="EQ139" s="530"/>
      <c r="ER139" s="530"/>
      <c r="ES139" s="530"/>
      <c r="ET139" s="530"/>
      <c r="EU139" s="530"/>
      <c r="EV139" s="530"/>
      <c r="EW139" s="530"/>
      <c r="EX139" s="530"/>
      <c r="EY139" s="530"/>
      <c r="EZ139" s="530"/>
      <c r="FA139" s="530"/>
      <c r="FB139" s="530"/>
      <c r="FC139" s="530"/>
      <c r="FD139" s="530"/>
      <c r="FE139" s="530"/>
      <c r="FF139" s="530"/>
      <c r="FG139" s="530"/>
      <c r="FH139" s="530"/>
      <c r="FI139" s="530"/>
      <c r="FJ139" s="530"/>
      <c r="FK139" s="530"/>
      <c r="FL139" s="530"/>
      <c r="FM139" s="530"/>
      <c r="FN139" s="530"/>
      <c r="FO139" s="530"/>
      <c r="FP139" s="530"/>
      <c r="FQ139" s="530"/>
      <c r="FR139" s="530"/>
      <c r="FS139" s="530"/>
      <c r="FT139" s="530"/>
      <c r="FU139" s="530"/>
      <c r="FV139" s="530"/>
      <c r="FW139" s="530"/>
      <c r="FX139" s="530"/>
      <c r="FY139" s="530"/>
      <c r="FZ139" s="530"/>
      <c r="GA139" s="530"/>
      <c r="GB139" s="530"/>
      <c r="GC139" s="530"/>
      <c r="GD139" s="530"/>
      <c r="GE139" s="530"/>
      <c r="GF139" s="530"/>
      <c r="GG139" s="530"/>
      <c r="GH139" s="530"/>
      <c r="GI139" s="530"/>
      <c r="GJ139" s="530"/>
      <c r="GK139" s="530"/>
      <c r="GL139" s="530"/>
      <c r="GM139" s="530"/>
      <c r="GN139" s="530"/>
      <c r="GO139" s="530"/>
      <c r="GP139" s="530"/>
      <c r="GQ139" s="530"/>
      <c r="GR139" s="530"/>
      <c r="GS139" s="530"/>
      <c r="GT139" s="530"/>
      <c r="GU139" s="530"/>
      <c r="GV139" s="530"/>
      <c r="GW139" s="530"/>
      <c r="GX139" s="530"/>
      <c r="GY139" s="530"/>
      <c r="GZ139" s="530"/>
      <c r="HA139" s="530"/>
      <c r="HB139" s="530"/>
      <c r="HC139" s="530"/>
      <c r="HD139" s="530"/>
      <c r="HE139" s="530"/>
      <c r="HF139" s="530"/>
      <c r="HG139" s="530"/>
      <c r="HH139" s="530"/>
      <c r="HI139" s="530"/>
      <c r="HJ139" s="530"/>
      <c r="HK139" s="530"/>
      <c r="HL139" s="530"/>
      <c r="HM139" s="530"/>
      <c r="HN139" s="530"/>
      <c r="HO139" s="530"/>
      <c r="HP139" s="530"/>
      <c r="HQ139" s="530"/>
      <c r="HR139" s="530"/>
      <c r="HS139" s="530"/>
      <c r="HT139" s="530"/>
      <c r="HU139" s="530"/>
      <c r="HV139" s="530"/>
      <c r="HW139" s="530"/>
      <c r="HX139" s="530"/>
      <c r="HY139" s="530"/>
      <c r="HZ139" s="530"/>
    </row>
    <row r="140" spans="1:234" s="545" customFormat="1" ht="18" hidden="1" customHeight="1">
      <c r="A140" s="655" t="s">
        <v>4028</v>
      </c>
      <c r="B140" s="544"/>
      <c r="C140" s="544"/>
      <c r="D140" s="544"/>
      <c r="E140" s="544"/>
      <c r="F140" s="544"/>
      <c r="G140" s="544"/>
      <c r="H140" s="544"/>
      <c r="I140" s="544"/>
      <c r="J140" s="544"/>
      <c r="K140" s="544"/>
      <c r="L140" s="544"/>
      <c r="M140" s="544"/>
      <c r="N140" s="544"/>
      <c r="O140" s="544"/>
      <c r="P140" s="544"/>
      <c r="Q140" s="544"/>
      <c r="R140" s="544"/>
      <c r="S140" s="544"/>
      <c r="T140" s="544"/>
      <c r="U140" s="544"/>
      <c r="V140" s="544"/>
      <c r="W140" s="544"/>
      <c r="X140" s="544"/>
      <c r="Y140" s="544"/>
      <c r="Z140" s="544"/>
      <c r="AA140" s="544"/>
      <c r="AB140" s="544"/>
      <c r="AC140" s="544"/>
      <c r="AD140" s="544"/>
      <c r="AE140" s="544"/>
      <c r="AF140" s="544"/>
      <c r="AG140" s="544"/>
      <c r="AH140" s="544"/>
      <c r="AI140" s="544"/>
      <c r="AJ140" s="544"/>
      <c r="AK140" s="544"/>
      <c r="AL140" s="544"/>
      <c r="AM140" s="544"/>
      <c r="AN140" s="544"/>
      <c r="AO140" s="544"/>
      <c r="AP140" s="544"/>
      <c r="AQ140" s="544"/>
      <c r="AR140" s="544"/>
      <c r="AS140" s="544"/>
      <c r="AT140" s="544"/>
      <c r="AU140" s="544"/>
      <c r="AV140" s="544"/>
      <c r="AW140" s="544"/>
      <c r="AX140" s="544"/>
      <c r="AY140" s="544"/>
      <c r="AZ140" s="544"/>
      <c r="BA140" s="544"/>
      <c r="BB140" s="544"/>
      <c r="BC140" s="544"/>
      <c r="BD140" s="544"/>
      <c r="BE140" s="544"/>
      <c r="BF140" s="544"/>
      <c r="BG140" s="544"/>
      <c r="BH140" s="544"/>
      <c r="BI140" s="544"/>
      <c r="BJ140" s="544"/>
      <c r="BK140" s="544"/>
      <c r="BL140" s="544"/>
      <c r="BM140" s="544"/>
      <c r="BN140" s="544"/>
      <c r="BO140" s="544"/>
      <c r="BP140" s="544"/>
      <c r="BQ140" s="544"/>
      <c r="BR140" s="544"/>
      <c r="BS140" s="544"/>
      <c r="BT140" s="544"/>
      <c r="BU140" s="544"/>
      <c r="BV140" s="544"/>
      <c r="BW140" s="544"/>
      <c r="BX140" s="544"/>
      <c r="BY140" s="544"/>
      <c r="BZ140" s="544"/>
      <c r="CA140" s="544"/>
      <c r="CB140" s="544"/>
      <c r="CC140" s="544"/>
      <c r="CD140" s="544"/>
      <c r="CE140" s="544"/>
      <c r="CF140" s="544"/>
      <c r="CG140" s="544"/>
      <c r="CH140" s="544"/>
      <c r="CI140" s="544"/>
      <c r="CJ140" s="544"/>
      <c r="CK140" s="544"/>
      <c r="CL140" s="544"/>
      <c r="CM140" s="544"/>
      <c r="CN140" s="544"/>
      <c r="CO140" s="544"/>
      <c r="CP140" s="544"/>
      <c r="CQ140" s="544"/>
      <c r="CR140" s="544"/>
      <c r="CS140" s="544"/>
      <c r="CT140" s="544"/>
      <c r="CU140" s="544"/>
      <c r="CV140" s="544"/>
      <c r="CW140" s="544"/>
      <c r="CX140" s="544"/>
      <c r="CY140" s="669"/>
      <c r="CZ140" s="530"/>
      <c r="DA140" s="530"/>
      <c r="DB140" s="530"/>
      <c r="DC140" s="530"/>
      <c r="DD140" s="530"/>
      <c r="DE140" s="530"/>
      <c r="DF140" s="530"/>
      <c r="DG140" s="530"/>
      <c r="DH140" s="530"/>
      <c r="DI140" s="530"/>
      <c r="DJ140" s="530"/>
      <c r="DK140" s="530"/>
      <c r="DL140" s="530"/>
      <c r="DM140" s="530"/>
      <c r="DN140" s="530"/>
      <c r="DO140" s="530"/>
      <c r="DP140" s="530"/>
      <c r="DQ140" s="530"/>
      <c r="DR140" s="530"/>
      <c r="DS140" s="530"/>
      <c r="DT140" s="530"/>
      <c r="DU140" s="530"/>
      <c r="DV140" s="530"/>
      <c r="DW140" s="530"/>
      <c r="DX140" s="530"/>
      <c r="DY140" s="530"/>
      <c r="DZ140" s="530"/>
      <c r="EA140" s="530"/>
      <c r="EB140" s="530"/>
      <c r="EC140" s="530"/>
      <c r="ED140" s="530"/>
      <c r="EE140" s="530"/>
      <c r="EF140" s="530"/>
      <c r="EG140" s="530"/>
      <c r="EH140" s="530"/>
      <c r="EI140" s="530"/>
      <c r="EJ140" s="530"/>
      <c r="EK140" s="530"/>
      <c r="EL140" s="530"/>
      <c r="EM140" s="530"/>
      <c r="EN140" s="530"/>
      <c r="EO140" s="530"/>
      <c r="EP140" s="530"/>
      <c r="EQ140" s="530"/>
      <c r="ER140" s="530"/>
      <c r="ES140" s="530"/>
      <c r="ET140" s="530"/>
      <c r="EU140" s="530"/>
      <c r="EV140" s="530"/>
      <c r="EW140" s="530"/>
      <c r="EX140" s="530"/>
      <c r="EY140" s="530"/>
      <c r="EZ140" s="530"/>
      <c r="FA140" s="530"/>
      <c r="FB140" s="530"/>
      <c r="FC140" s="530"/>
      <c r="FD140" s="530"/>
      <c r="FE140" s="530"/>
      <c r="FF140" s="530"/>
      <c r="FG140" s="530"/>
      <c r="FH140" s="530"/>
      <c r="FI140" s="530"/>
      <c r="FJ140" s="530"/>
      <c r="FK140" s="530"/>
      <c r="FL140" s="530"/>
      <c r="FM140" s="530"/>
      <c r="FN140" s="530"/>
      <c r="FO140" s="530"/>
      <c r="FP140" s="530"/>
      <c r="FQ140" s="530"/>
      <c r="FR140" s="530"/>
      <c r="FS140" s="530"/>
      <c r="FT140" s="530"/>
      <c r="FU140" s="530"/>
      <c r="FV140" s="530"/>
      <c r="FW140" s="530"/>
      <c r="FX140" s="530"/>
      <c r="FY140" s="530"/>
      <c r="FZ140" s="530"/>
      <c r="GA140" s="530"/>
      <c r="GB140" s="530"/>
      <c r="GC140" s="530"/>
      <c r="GD140" s="530"/>
      <c r="GE140" s="530"/>
      <c r="GF140" s="530"/>
      <c r="GG140" s="530"/>
      <c r="GH140" s="530"/>
      <c r="GI140" s="530"/>
      <c r="GJ140" s="530"/>
      <c r="GK140" s="530"/>
      <c r="GL140" s="530"/>
      <c r="GM140" s="530"/>
      <c r="GN140" s="530"/>
      <c r="GO140" s="530"/>
      <c r="GP140" s="530"/>
      <c r="GQ140" s="530"/>
      <c r="GR140" s="530"/>
      <c r="GS140" s="530"/>
      <c r="GT140" s="530"/>
      <c r="GU140" s="530"/>
      <c r="GV140" s="530"/>
      <c r="GW140" s="530"/>
      <c r="GX140" s="530"/>
      <c r="GY140" s="530"/>
      <c r="GZ140" s="530"/>
      <c r="HA140" s="530"/>
      <c r="HB140" s="530"/>
      <c r="HC140" s="530"/>
      <c r="HD140" s="530"/>
      <c r="HE140" s="530"/>
      <c r="HF140" s="530"/>
      <c r="HG140" s="530"/>
      <c r="HH140" s="530"/>
      <c r="HI140" s="530"/>
      <c r="HJ140" s="530"/>
      <c r="HK140" s="530"/>
      <c r="HL140" s="530"/>
      <c r="HM140" s="530"/>
      <c r="HN140" s="530"/>
      <c r="HO140" s="530"/>
      <c r="HP140" s="530"/>
      <c r="HQ140" s="530"/>
      <c r="HR140" s="530"/>
      <c r="HS140" s="530"/>
      <c r="HT140" s="530"/>
      <c r="HU140" s="530"/>
      <c r="HV140" s="530"/>
      <c r="HW140" s="530"/>
      <c r="HX140" s="530"/>
      <c r="HY140" s="530"/>
      <c r="HZ140" s="530"/>
    </row>
    <row r="141" spans="1:234" ht="13.8" hidden="1">
      <c r="A141" s="591" t="s">
        <v>4029</v>
      </c>
      <c r="B141" s="702"/>
      <c r="C141" s="555"/>
      <c r="D141" s="555"/>
      <c r="E141" s="555"/>
      <c r="F141" s="555"/>
      <c r="G141" s="555"/>
      <c r="H141" s="555"/>
      <c r="I141" s="555"/>
      <c r="J141" s="555"/>
      <c r="K141" s="555"/>
      <c r="L141" s="555"/>
      <c r="M141" s="555"/>
      <c r="N141" s="555">
        <f>C141</f>
        <v>0</v>
      </c>
      <c r="O141" s="556"/>
      <c r="P141" s="556"/>
      <c r="Q141" s="703" t="s">
        <v>586</v>
      </c>
      <c r="R141" s="672"/>
      <c r="S141" s="672"/>
      <c r="T141" s="672"/>
      <c r="U141" s="672"/>
      <c r="V141" s="672"/>
      <c r="W141" s="672"/>
      <c r="X141" s="672"/>
      <c r="Y141" s="672"/>
      <c r="Z141" s="672"/>
      <c r="AA141" s="672"/>
      <c r="AB141" s="672"/>
      <c r="AC141" s="672"/>
      <c r="AD141" s="672"/>
      <c r="AE141" s="672"/>
      <c r="AF141" s="672"/>
      <c r="AG141" s="672"/>
      <c r="AH141" s="672"/>
      <c r="AI141" s="672"/>
      <c r="AJ141" s="672"/>
      <c r="AK141" s="672"/>
      <c r="AL141" s="672"/>
      <c r="AM141" s="672"/>
      <c r="AN141" s="672"/>
      <c r="AO141" s="672"/>
      <c r="AP141" s="672"/>
      <c r="AQ141" s="672"/>
      <c r="AR141" s="672"/>
      <c r="AS141" s="672"/>
      <c r="AT141" s="672"/>
      <c r="AU141" s="672"/>
      <c r="AV141" s="672"/>
      <c r="AW141" s="672"/>
      <c r="AX141" s="672">
        <v>1</v>
      </c>
      <c r="AY141" s="672"/>
      <c r="AZ141" s="672"/>
      <c r="BA141" s="672"/>
      <c r="BB141" s="672"/>
      <c r="BC141" s="672"/>
      <c r="BD141" s="672"/>
      <c r="BE141" s="672"/>
      <c r="BF141" s="672">
        <f t="shared" ref="BF141:BF149" si="40">AW141</f>
        <v>0</v>
      </c>
      <c r="BG141" s="672">
        <f t="shared" ref="BG141:BG149" si="41">AX141</f>
        <v>1</v>
      </c>
      <c r="BH141" s="672"/>
      <c r="BI141" s="672"/>
      <c r="BJ141" s="672"/>
      <c r="BK141" s="672"/>
      <c r="BL141" s="672"/>
      <c r="BM141" s="672"/>
      <c r="BN141" s="672"/>
      <c r="BO141" s="672"/>
      <c r="BP141" s="672"/>
      <c r="BQ141" s="672"/>
      <c r="BR141" s="672">
        <v>1</v>
      </c>
      <c r="BS141" s="672"/>
      <c r="BT141" s="672"/>
      <c r="BU141" s="672"/>
      <c r="BV141" s="672"/>
      <c r="BW141" s="672"/>
      <c r="BX141" s="672"/>
      <c r="BY141" s="672"/>
      <c r="BZ141" s="672"/>
      <c r="CA141" s="672"/>
      <c r="CB141" s="672"/>
      <c r="CC141" s="672"/>
      <c r="CD141" s="672"/>
      <c r="CE141" s="672"/>
      <c r="CF141" s="672"/>
      <c r="CG141" s="672"/>
      <c r="CH141" s="672"/>
      <c r="CI141" s="672"/>
      <c r="CJ141" s="672"/>
      <c r="CK141" s="672"/>
      <c r="CL141" s="672"/>
      <c r="CM141" s="672"/>
      <c r="CN141" s="672">
        <f t="shared" ref="CN141:CN149" si="42">+CM141*3.6</f>
        <v>0</v>
      </c>
      <c r="CO141" s="672"/>
      <c r="CP141" s="672"/>
      <c r="CQ141" s="672"/>
      <c r="CR141" s="672"/>
      <c r="CS141" s="672"/>
      <c r="CT141" s="672"/>
      <c r="CU141" s="672"/>
      <c r="CV141" s="672"/>
      <c r="CW141" s="672"/>
      <c r="CX141" s="704"/>
      <c r="CY141" s="705"/>
      <c r="HU141" s="542"/>
      <c r="HV141" s="542"/>
      <c r="HW141" s="542"/>
      <c r="HX141" s="542"/>
      <c r="HY141" s="542"/>
      <c r="HZ141" s="542"/>
    </row>
    <row r="142" spans="1:234" ht="13.8" hidden="1">
      <c r="A142" s="591" t="s">
        <v>458</v>
      </c>
      <c r="B142" s="670"/>
      <c r="C142" s="550">
        <v>35</v>
      </c>
      <c r="D142" s="550">
        <f t="shared" ref="D142:D149" si="43">D141+C142</f>
        <v>35</v>
      </c>
      <c r="E142" s="550"/>
      <c r="F142" s="550"/>
      <c r="G142" s="550"/>
      <c r="H142" s="550"/>
      <c r="I142" s="550"/>
      <c r="J142" s="550"/>
      <c r="K142" s="550"/>
      <c r="L142" s="550"/>
      <c r="M142" s="550"/>
      <c r="N142" s="550">
        <f t="shared" ref="N142:N149" si="44">+N141+C142</f>
        <v>35</v>
      </c>
      <c r="O142" s="439"/>
      <c r="P142" s="439"/>
      <c r="Q142" s="674" t="s">
        <v>1818</v>
      </c>
      <c r="R142" s="623"/>
      <c r="S142" s="671">
        <v>1</v>
      </c>
      <c r="T142" s="623"/>
      <c r="U142" s="623"/>
      <c r="V142" s="623"/>
      <c r="W142" s="623"/>
      <c r="X142" s="623"/>
      <c r="Y142" s="623"/>
      <c r="Z142" s="671">
        <v>1</v>
      </c>
      <c r="AA142" s="623"/>
      <c r="AB142" s="623"/>
      <c r="AC142" s="623"/>
      <c r="AD142" s="623"/>
      <c r="AE142" s="623"/>
      <c r="AF142" s="623"/>
      <c r="AG142" s="623"/>
      <c r="AH142" s="623"/>
      <c r="AI142" s="623"/>
      <c r="AJ142" s="623"/>
      <c r="AK142" s="623"/>
      <c r="AL142" s="623"/>
      <c r="AM142" s="623"/>
      <c r="AN142" s="623"/>
      <c r="AO142" s="623"/>
      <c r="AP142" s="623"/>
      <c r="AQ142" s="623"/>
      <c r="AR142" s="623"/>
      <c r="AS142" s="623"/>
      <c r="AT142" s="623"/>
      <c r="AU142" s="623"/>
      <c r="AV142" s="623"/>
      <c r="AW142" s="623"/>
      <c r="AX142" s="623">
        <v>1</v>
      </c>
      <c r="AY142" s="623"/>
      <c r="AZ142" s="623"/>
      <c r="BA142" s="623"/>
      <c r="BB142" s="623"/>
      <c r="BC142" s="623"/>
      <c r="BD142" s="623"/>
      <c r="BE142" s="623"/>
      <c r="BF142" s="672">
        <f t="shared" si="40"/>
        <v>0</v>
      </c>
      <c r="BG142" s="672">
        <f t="shared" si="41"/>
        <v>1</v>
      </c>
      <c r="BH142" s="623"/>
      <c r="BI142" s="623"/>
      <c r="BJ142" s="623"/>
      <c r="BK142" s="623"/>
      <c r="BL142" s="623"/>
      <c r="BM142" s="623"/>
      <c r="BN142" s="623"/>
      <c r="BO142" s="623"/>
      <c r="BP142" s="623"/>
      <c r="BQ142" s="623"/>
      <c r="BR142" s="623"/>
      <c r="BS142" s="623"/>
      <c r="BT142" s="623"/>
      <c r="BU142" s="623"/>
      <c r="BV142" s="623"/>
      <c r="BW142" s="623"/>
      <c r="BX142" s="623"/>
      <c r="BY142" s="623"/>
      <c r="BZ142" s="623"/>
      <c r="CA142" s="623">
        <v>1</v>
      </c>
      <c r="CB142" s="623"/>
      <c r="CC142" s="623"/>
      <c r="CD142" s="623"/>
      <c r="CE142" s="623"/>
      <c r="CF142" s="623"/>
      <c r="CG142" s="623"/>
      <c r="CH142" s="623"/>
      <c r="CI142" s="623"/>
      <c r="CJ142" s="623"/>
      <c r="CK142" s="623"/>
      <c r="CL142" s="623"/>
      <c r="CM142" s="623">
        <v>1</v>
      </c>
      <c r="CN142" s="623">
        <f t="shared" si="42"/>
        <v>3.6</v>
      </c>
      <c r="CO142" s="623"/>
      <c r="CP142" s="623"/>
      <c r="CQ142" s="623"/>
      <c r="CR142" s="623">
        <v>1</v>
      </c>
      <c r="CS142" s="623"/>
      <c r="CT142" s="623"/>
      <c r="CU142" s="623"/>
      <c r="CV142" s="623"/>
      <c r="CW142" s="623"/>
      <c r="CX142" s="673"/>
      <c r="CY142" s="557"/>
    </row>
    <row r="143" spans="1:234" ht="13.8" hidden="1">
      <c r="A143" s="591" t="s">
        <v>459</v>
      </c>
      <c r="B143" s="670"/>
      <c r="C143" s="550">
        <v>40</v>
      </c>
      <c r="D143" s="550">
        <f t="shared" si="43"/>
        <v>75</v>
      </c>
      <c r="E143" s="550"/>
      <c r="F143" s="550"/>
      <c r="G143" s="550"/>
      <c r="H143" s="550"/>
      <c r="I143" s="550"/>
      <c r="J143" s="550"/>
      <c r="K143" s="550"/>
      <c r="L143" s="550"/>
      <c r="M143" s="550"/>
      <c r="N143" s="550">
        <f t="shared" si="44"/>
        <v>75</v>
      </c>
      <c r="O143" s="439"/>
      <c r="P143" s="439"/>
      <c r="Q143" s="674" t="s">
        <v>1818</v>
      </c>
      <c r="R143" s="623"/>
      <c r="S143" s="671">
        <v>1</v>
      </c>
      <c r="T143" s="623"/>
      <c r="U143" s="623"/>
      <c r="V143" s="623"/>
      <c r="W143" s="623"/>
      <c r="X143" s="623"/>
      <c r="Y143" s="623"/>
      <c r="Z143" s="671">
        <v>1</v>
      </c>
      <c r="AA143" s="623"/>
      <c r="AB143" s="623"/>
      <c r="AC143" s="623"/>
      <c r="AD143" s="623"/>
      <c r="AE143" s="623"/>
      <c r="AF143" s="623"/>
      <c r="AG143" s="623"/>
      <c r="AH143" s="623"/>
      <c r="AI143" s="623"/>
      <c r="AJ143" s="623"/>
      <c r="AK143" s="623"/>
      <c r="AL143" s="623"/>
      <c r="AM143" s="623"/>
      <c r="AN143" s="623"/>
      <c r="AO143" s="623"/>
      <c r="AP143" s="623"/>
      <c r="AQ143" s="623"/>
      <c r="AR143" s="623"/>
      <c r="AS143" s="623"/>
      <c r="AT143" s="623"/>
      <c r="AU143" s="623"/>
      <c r="AV143" s="623"/>
      <c r="AW143" s="623"/>
      <c r="AX143" s="623">
        <v>1</v>
      </c>
      <c r="AY143" s="623"/>
      <c r="AZ143" s="623"/>
      <c r="BA143" s="623"/>
      <c r="BB143" s="623"/>
      <c r="BC143" s="623"/>
      <c r="BD143" s="623"/>
      <c r="BE143" s="623"/>
      <c r="BF143" s="672">
        <f t="shared" si="40"/>
        <v>0</v>
      </c>
      <c r="BG143" s="672">
        <f t="shared" si="41"/>
        <v>1</v>
      </c>
      <c r="BH143" s="623"/>
      <c r="BI143" s="623"/>
      <c r="BJ143" s="623"/>
      <c r="BK143" s="623"/>
      <c r="BL143" s="623"/>
      <c r="BM143" s="623"/>
      <c r="BN143" s="623"/>
      <c r="BO143" s="623"/>
      <c r="BP143" s="623"/>
      <c r="BQ143" s="623"/>
      <c r="BR143" s="623"/>
      <c r="BS143" s="623"/>
      <c r="BT143" s="623"/>
      <c r="BU143" s="623"/>
      <c r="BV143" s="623"/>
      <c r="BW143" s="623"/>
      <c r="BX143" s="623"/>
      <c r="BY143" s="623"/>
      <c r="BZ143" s="623"/>
      <c r="CA143" s="623">
        <v>1</v>
      </c>
      <c r="CB143" s="623"/>
      <c r="CC143" s="623"/>
      <c r="CD143" s="623"/>
      <c r="CE143" s="623"/>
      <c r="CF143" s="623"/>
      <c r="CG143" s="623"/>
      <c r="CH143" s="623"/>
      <c r="CI143" s="623"/>
      <c r="CJ143" s="623"/>
      <c r="CK143" s="623"/>
      <c r="CL143" s="623"/>
      <c r="CM143" s="623">
        <v>1</v>
      </c>
      <c r="CN143" s="623">
        <f t="shared" si="42"/>
        <v>3.6</v>
      </c>
      <c r="CO143" s="623"/>
      <c r="CP143" s="623"/>
      <c r="CQ143" s="623"/>
      <c r="CR143" s="623">
        <v>1</v>
      </c>
      <c r="CS143" s="623"/>
      <c r="CT143" s="623"/>
      <c r="CU143" s="623"/>
      <c r="CV143" s="623"/>
      <c r="CW143" s="623"/>
      <c r="CX143" s="673"/>
      <c r="CY143" s="557"/>
    </row>
    <row r="144" spans="1:234" ht="13.8" hidden="1">
      <c r="A144" s="591" t="s">
        <v>460</v>
      </c>
      <c r="B144" s="670"/>
      <c r="C144" s="550">
        <v>15</v>
      </c>
      <c r="D144" s="550">
        <f t="shared" si="43"/>
        <v>90</v>
      </c>
      <c r="E144" s="550"/>
      <c r="F144" s="550"/>
      <c r="G144" s="550"/>
      <c r="H144" s="550"/>
      <c r="I144" s="550"/>
      <c r="J144" s="550"/>
      <c r="K144" s="550"/>
      <c r="L144" s="550"/>
      <c r="M144" s="550"/>
      <c r="N144" s="550">
        <f t="shared" si="44"/>
        <v>90</v>
      </c>
      <c r="O144" s="439"/>
      <c r="P144" s="439"/>
      <c r="Q144" s="674" t="s">
        <v>658</v>
      </c>
      <c r="R144" s="623"/>
      <c r="S144" s="671">
        <v>1</v>
      </c>
      <c r="T144" s="623"/>
      <c r="U144" s="623"/>
      <c r="V144" s="623"/>
      <c r="W144" s="623"/>
      <c r="X144" s="623"/>
      <c r="Y144" s="623"/>
      <c r="Z144" s="671">
        <v>1</v>
      </c>
      <c r="AA144" s="623"/>
      <c r="AB144" s="623"/>
      <c r="AC144" s="623"/>
      <c r="AD144" s="623"/>
      <c r="AE144" s="623"/>
      <c r="AF144" s="623"/>
      <c r="AG144" s="623"/>
      <c r="AH144" s="623"/>
      <c r="AI144" s="623"/>
      <c r="AJ144" s="623"/>
      <c r="AK144" s="623"/>
      <c r="AL144" s="623"/>
      <c r="AM144" s="623"/>
      <c r="AN144" s="623"/>
      <c r="AO144" s="623"/>
      <c r="AP144" s="623"/>
      <c r="AQ144" s="623"/>
      <c r="AR144" s="623"/>
      <c r="AS144" s="623"/>
      <c r="AT144" s="623"/>
      <c r="AU144" s="623"/>
      <c r="AV144" s="623"/>
      <c r="AW144" s="623">
        <v>1</v>
      </c>
      <c r="AX144" s="623"/>
      <c r="AY144" s="623"/>
      <c r="AZ144" s="623"/>
      <c r="BA144" s="623"/>
      <c r="BB144" s="623"/>
      <c r="BC144" s="623"/>
      <c r="BD144" s="623"/>
      <c r="BE144" s="623"/>
      <c r="BF144" s="672">
        <f t="shared" si="40"/>
        <v>1</v>
      </c>
      <c r="BG144" s="672">
        <f t="shared" si="41"/>
        <v>0</v>
      </c>
      <c r="BH144" s="623"/>
      <c r="BI144" s="623"/>
      <c r="BJ144" s="623"/>
      <c r="BK144" s="623"/>
      <c r="BL144" s="623"/>
      <c r="BM144" s="623"/>
      <c r="BN144" s="623"/>
      <c r="BO144" s="623"/>
      <c r="BP144" s="623"/>
      <c r="BQ144" s="623"/>
      <c r="BR144" s="623"/>
      <c r="BS144" s="623"/>
      <c r="BT144" s="623"/>
      <c r="BU144" s="623"/>
      <c r="BV144" s="623"/>
      <c r="BW144" s="623"/>
      <c r="BX144" s="623"/>
      <c r="BY144" s="623"/>
      <c r="BZ144" s="623"/>
      <c r="CA144" s="623">
        <v>1</v>
      </c>
      <c r="CB144" s="623"/>
      <c r="CC144" s="623"/>
      <c r="CD144" s="623"/>
      <c r="CE144" s="623"/>
      <c r="CF144" s="623"/>
      <c r="CG144" s="623"/>
      <c r="CH144" s="623"/>
      <c r="CI144" s="623"/>
      <c r="CJ144" s="623"/>
      <c r="CK144" s="623"/>
      <c r="CL144" s="623"/>
      <c r="CM144" s="623">
        <v>1</v>
      </c>
      <c r="CN144" s="623">
        <f t="shared" si="42"/>
        <v>3.6</v>
      </c>
      <c r="CO144" s="623"/>
      <c r="CP144" s="623"/>
      <c r="CQ144" s="623"/>
      <c r="CR144" s="623"/>
      <c r="CS144" s="623"/>
      <c r="CT144" s="623"/>
      <c r="CU144" s="623"/>
      <c r="CV144" s="623"/>
      <c r="CW144" s="623"/>
      <c r="CX144" s="673"/>
      <c r="CY144" s="557"/>
    </row>
    <row r="145" spans="1:234" ht="13.8" hidden="1">
      <c r="A145" s="706" t="s">
        <v>461</v>
      </c>
      <c r="B145" s="707"/>
      <c r="C145" s="558">
        <v>25</v>
      </c>
      <c r="D145" s="550">
        <f t="shared" si="43"/>
        <v>115</v>
      </c>
      <c r="E145" s="558"/>
      <c r="F145" s="558"/>
      <c r="G145" s="558"/>
      <c r="H145" s="558"/>
      <c r="I145" s="558"/>
      <c r="J145" s="558"/>
      <c r="K145" s="558"/>
      <c r="L145" s="558"/>
      <c r="M145" s="558"/>
      <c r="N145" s="550">
        <f t="shared" si="44"/>
        <v>115</v>
      </c>
      <c r="O145" s="708"/>
      <c r="P145" s="708"/>
      <c r="Q145" s="658" t="s">
        <v>1818</v>
      </c>
      <c r="R145" s="709"/>
      <c r="S145" s="710">
        <v>1</v>
      </c>
      <c r="T145" s="709"/>
      <c r="U145" s="709"/>
      <c r="V145" s="709"/>
      <c r="W145" s="709"/>
      <c r="X145" s="709"/>
      <c r="Y145" s="709"/>
      <c r="Z145" s="710">
        <v>1</v>
      </c>
      <c r="AA145" s="709"/>
      <c r="AB145" s="709"/>
      <c r="AC145" s="709"/>
      <c r="AD145" s="709"/>
      <c r="AE145" s="709"/>
      <c r="AF145" s="709"/>
      <c r="AG145" s="709"/>
      <c r="AH145" s="709"/>
      <c r="AI145" s="709"/>
      <c r="AJ145" s="709"/>
      <c r="AK145" s="709"/>
      <c r="AL145" s="709"/>
      <c r="AM145" s="709"/>
      <c r="AN145" s="709"/>
      <c r="AO145" s="709"/>
      <c r="AP145" s="709"/>
      <c r="AQ145" s="709"/>
      <c r="AR145" s="709"/>
      <c r="AS145" s="709"/>
      <c r="AT145" s="709"/>
      <c r="AU145" s="709"/>
      <c r="AV145" s="709"/>
      <c r="AW145" s="709"/>
      <c r="AX145" s="709">
        <v>1</v>
      </c>
      <c r="AY145" s="709"/>
      <c r="AZ145" s="709"/>
      <c r="BA145" s="709"/>
      <c r="BB145" s="709"/>
      <c r="BC145" s="709"/>
      <c r="BD145" s="709"/>
      <c r="BE145" s="709"/>
      <c r="BF145" s="672">
        <f t="shared" si="40"/>
        <v>0</v>
      </c>
      <c r="BG145" s="672">
        <f t="shared" si="41"/>
        <v>1</v>
      </c>
      <c r="BH145" s="709"/>
      <c r="BI145" s="709"/>
      <c r="BJ145" s="709"/>
      <c r="BK145" s="709"/>
      <c r="BL145" s="709"/>
      <c r="BM145" s="709"/>
      <c r="BN145" s="709"/>
      <c r="BO145" s="709"/>
      <c r="BP145" s="709"/>
      <c r="BQ145" s="709"/>
      <c r="BR145" s="709"/>
      <c r="BS145" s="709"/>
      <c r="BT145" s="709"/>
      <c r="BU145" s="709"/>
      <c r="BV145" s="709"/>
      <c r="BW145" s="709"/>
      <c r="BX145" s="709"/>
      <c r="BY145" s="709"/>
      <c r="BZ145" s="709"/>
      <c r="CA145" s="709">
        <v>1</v>
      </c>
      <c r="CB145" s="709"/>
      <c r="CC145" s="709"/>
      <c r="CD145" s="709"/>
      <c r="CE145" s="709"/>
      <c r="CF145" s="709"/>
      <c r="CG145" s="709"/>
      <c r="CH145" s="709"/>
      <c r="CI145" s="709"/>
      <c r="CJ145" s="709"/>
      <c r="CK145" s="709"/>
      <c r="CL145" s="709"/>
      <c r="CM145" s="709">
        <v>1</v>
      </c>
      <c r="CN145" s="709">
        <f t="shared" si="42"/>
        <v>3.6</v>
      </c>
      <c r="CO145" s="709"/>
      <c r="CP145" s="709"/>
      <c r="CQ145" s="709"/>
      <c r="CR145" s="709">
        <v>1</v>
      </c>
      <c r="CS145" s="709"/>
      <c r="CT145" s="709"/>
      <c r="CU145" s="709"/>
      <c r="CV145" s="709"/>
      <c r="CW145" s="709"/>
      <c r="CX145" s="683"/>
      <c r="CY145" s="711"/>
    </row>
    <row r="146" spans="1:234" ht="13.8" hidden="1">
      <c r="A146" s="706" t="s">
        <v>462</v>
      </c>
      <c r="B146" s="707"/>
      <c r="C146" s="558">
        <v>40</v>
      </c>
      <c r="D146" s="550">
        <f t="shared" si="43"/>
        <v>155</v>
      </c>
      <c r="E146" s="558"/>
      <c r="F146" s="558"/>
      <c r="G146" s="558"/>
      <c r="H146" s="558"/>
      <c r="I146" s="558"/>
      <c r="J146" s="558"/>
      <c r="K146" s="558"/>
      <c r="L146" s="558"/>
      <c r="M146" s="558"/>
      <c r="N146" s="550">
        <f t="shared" si="44"/>
        <v>155</v>
      </c>
      <c r="O146" s="708"/>
      <c r="P146" s="708"/>
      <c r="Q146" s="658" t="s">
        <v>1107</v>
      </c>
      <c r="R146" s="709"/>
      <c r="S146" s="710">
        <v>1</v>
      </c>
      <c r="T146" s="709"/>
      <c r="U146" s="709"/>
      <c r="V146" s="709"/>
      <c r="W146" s="709"/>
      <c r="X146" s="709"/>
      <c r="Y146" s="709"/>
      <c r="Z146" s="710">
        <v>1</v>
      </c>
      <c r="AA146" s="709"/>
      <c r="AB146" s="709"/>
      <c r="AC146" s="709"/>
      <c r="AD146" s="709"/>
      <c r="AE146" s="709"/>
      <c r="AF146" s="709"/>
      <c r="AG146" s="709"/>
      <c r="AH146" s="709"/>
      <c r="AI146" s="709"/>
      <c r="AJ146" s="709"/>
      <c r="AK146" s="709"/>
      <c r="AL146" s="709"/>
      <c r="AM146" s="709"/>
      <c r="AN146" s="709"/>
      <c r="AO146" s="709"/>
      <c r="AP146" s="709"/>
      <c r="AQ146" s="709"/>
      <c r="AR146" s="709"/>
      <c r="AS146" s="709"/>
      <c r="AT146" s="709"/>
      <c r="AU146" s="709"/>
      <c r="AV146" s="709"/>
      <c r="AW146" s="709">
        <v>1</v>
      </c>
      <c r="AX146" s="709"/>
      <c r="AY146" s="709"/>
      <c r="AZ146" s="709"/>
      <c r="BA146" s="709"/>
      <c r="BB146" s="709"/>
      <c r="BC146" s="709"/>
      <c r="BD146" s="709"/>
      <c r="BE146" s="709"/>
      <c r="BF146" s="672">
        <f t="shared" si="40"/>
        <v>1</v>
      </c>
      <c r="BG146" s="672">
        <f t="shared" si="41"/>
        <v>0</v>
      </c>
      <c r="BH146" s="709"/>
      <c r="BI146" s="709"/>
      <c r="BJ146" s="709"/>
      <c r="BK146" s="709"/>
      <c r="BL146" s="709"/>
      <c r="BM146" s="709"/>
      <c r="BN146" s="709"/>
      <c r="BO146" s="709"/>
      <c r="BP146" s="709"/>
      <c r="BQ146" s="709"/>
      <c r="BR146" s="709">
        <v>1</v>
      </c>
      <c r="BS146" s="709"/>
      <c r="BT146" s="709"/>
      <c r="BU146" s="709"/>
      <c r="BV146" s="709"/>
      <c r="BW146" s="709"/>
      <c r="BX146" s="709"/>
      <c r="BY146" s="709"/>
      <c r="BZ146" s="709"/>
      <c r="CA146" s="709">
        <v>1</v>
      </c>
      <c r="CB146" s="709"/>
      <c r="CC146" s="709"/>
      <c r="CD146" s="709"/>
      <c r="CE146" s="709"/>
      <c r="CF146" s="709"/>
      <c r="CG146" s="709"/>
      <c r="CH146" s="709"/>
      <c r="CI146" s="709"/>
      <c r="CJ146" s="709"/>
      <c r="CK146" s="709"/>
      <c r="CL146" s="709"/>
      <c r="CM146" s="709">
        <v>1</v>
      </c>
      <c r="CN146" s="709">
        <f t="shared" si="42"/>
        <v>3.6</v>
      </c>
      <c r="CO146" s="709"/>
      <c r="CP146" s="709"/>
      <c r="CQ146" s="709"/>
      <c r="CR146" s="709"/>
      <c r="CS146" s="709"/>
      <c r="CT146" s="709"/>
      <c r="CU146" s="709"/>
      <c r="CV146" s="709"/>
      <c r="CW146" s="709"/>
      <c r="CX146" s="683"/>
      <c r="CY146" s="711"/>
    </row>
    <row r="147" spans="1:234" ht="13.8" hidden="1">
      <c r="A147" s="706" t="s">
        <v>460</v>
      </c>
      <c r="B147" s="707"/>
      <c r="C147" s="558"/>
      <c r="D147" s="550">
        <f t="shared" si="43"/>
        <v>155</v>
      </c>
      <c r="E147" s="558"/>
      <c r="F147" s="558"/>
      <c r="G147" s="558"/>
      <c r="H147" s="558"/>
      <c r="I147" s="558"/>
      <c r="J147" s="558"/>
      <c r="K147" s="558"/>
      <c r="L147" s="558"/>
      <c r="M147" s="558"/>
      <c r="N147" s="550">
        <f t="shared" si="44"/>
        <v>155</v>
      </c>
      <c r="O147" s="708"/>
      <c r="P147" s="708"/>
      <c r="Q147" s="658" t="s">
        <v>4030</v>
      </c>
      <c r="R147" s="709"/>
      <c r="S147" s="710"/>
      <c r="T147" s="709"/>
      <c r="U147" s="709"/>
      <c r="V147" s="709"/>
      <c r="W147" s="709"/>
      <c r="X147" s="709"/>
      <c r="Y147" s="709"/>
      <c r="Z147" s="710"/>
      <c r="AA147" s="709"/>
      <c r="AB147" s="709"/>
      <c r="AC147" s="709"/>
      <c r="AD147" s="709"/>
      <c r="AE147" s="709"/>
      <c r="AF147" s="709"/>
      <c r="AG147" s="709"/>
      <c r="AH147" s="709"/>
      <c r="AI147" s="709"/>
      <c r="AJ147" s="709"/>
      <c r="AK147" s="709"/>
      <c r="AL147" s="709"/>
      <c r="AM147" s="709"/>
      <c r="AN147" s="709"/>
      <c r="AO147" s="709"/>
      <c r="AP147" s="709"/>
      <c r="AQ147" s="709"/>
      <c r="AR147" s="709"/>
      <c r="AS147" s="709"/>
      <c r="AT147" s="709"/>
      <c r="AU147" s="709"/>
      <c r="AV147" s="709"/>
      <c r="AW147" s="709"/>
      <c r="AX147" s="709"/>
      <c r="AY147" s="709"/>
      <c r="AZ147" s="709"/>
      <c r="BA147" s="709"/>
      <c r="BB147" s="709"/>
      <c r="BC147" s="709"/>
      <c r="BD147" s="709"/>
      <c r="BE147" s="709"/>
      <c r="BF147" s="672">
        <f t="shared" si="40"/>
        <v>0</v>
      </c>
      <c r="BG147" s="672">
        <f t="shared" si="41"/>
        <v>0</v>
      </c>
      <c r="BH147" s="709"/>
      <c r="BI147" s="709"/>
      <c r="BJ147" s="709"/>
      <c r="BK147" s="709"/>
      <c r="BL147" s="709"/>
      <c r="BM147" s="709"/>
      <c r="BN147" s="709"/>
      <c r="BO147" s="709"/>
      <c r="BP147" s="709"/>
      <c r="BQ147" s="709"/>
      <c r="BR147" s="709"/>
      <c r="BS147" s="709"/>
      <c r="BT147" s="709"/>
      <c r="BU147" s="709"/>
      <c r="BV147" s="709"/>
      <c r="BW147" s="709"/>
      <c r="BX147" s="709"/>
      <c r="BY147" s="709"/>
      <c r="BZ147" s="709"/>
      <c r="CA147" s="709"/>
      <c r="CB147" s="709"/>
      <c r="CC147" s="709"/>
      <c r="CD147" s="709"/>
      <c r="CE147" s="709"/>
      <c r="CF147" s="709"/>
      <c r="CG147" s="709"/>
      <c r="CH147" s="709"/>
      <c r="CI147" s="709"/>
      <c r="CJ147" s="709"/>
      <c r="CK147" s="709"/>
      <c r="CL147" s="709"/>
      <c r="CM147" s="709"/>
      <c r="CN147" s="709">
        <f t="shared" si="42"/>
        <v>0</v>
      </c>
      <c r="CO147" s="709"/>
      <c r="CP147" s="709"/>
      <c r="CQ147" s="709"/>
      <c r="CR147" s="709"/>
      <c r="CS147" s="709"/>
      <c r="CT147" s="709"/>
      <c r="CU147" s="709"/>
      <c r="CV147" s="709"/>
      <c r="CW147" s="709"/>
      <c r="CX147" s="683"/>
      <c r="CY147" s="711"/>
    </row>
    <row r="148" spans="1:234" ht="13.8" hidden="1">
      <c r="A148" s="706" t="s">
        <v>2209</v>
      </c>
      <c r="B148" s="707"/>
      <c r="C148" s="558">
        <v>29</v>
      </c>
      <c r="D148" s="550">
        <f t="shared" si="43"/>
        <v>184</v>
      </c>
      <c r="E148" s="558"/>
      <c r="F148" s="558"/>
      <c r="G148" s="558"/>
      <c r="H148" s="558"/>
      <c r="I148" s="558"/>
      <c r="J148" s="558"/>
      <c r="K148" s="558"/>
      <c r="L148" s="558"/>
      <c r="M148" s="558"/>
      <c r="N148" s="550">
        <f t="shared" si="44"/>
        <v>184</v>
      </c>
      <c r="O148" s="708"/>
      <c r="P148" s="708"/>
      <c r="Q148" s="658" t="s">
        <v>1818</v>
      </c>
      <c r="R148" s="709"/>
      <c r="S148" s="710">
        <v>1</v>
      </c>
      <c r="T148" s="709"/>
      <c r="U148" s="709"/>
      <c r="V148" s="709"/>
      <c r="W148" s="709"/>
      <c r="X148" s="709"/>
      <c r="Y148" s="709"/>
      <c r="Z148" s="710">
        <v>1</v>
      </c>
      <c r="AA148" s="709"/>
      <c r="AB148" s="709"/>
      <c r="AC148" s="709"/>
      <c r="AD148" s="709"/>
      <c r="AE148" s="709"/>
      <c r="AF148" s="709"/>
      <c r="AG148" s="709"/>
      <c r="AH148" s="709"/>
      <c r="AI148" s="709"/>
      <c r="AJ148" s="709"/>
      <c r="AK148" s="709"/>
      <c r="AL148" s="709"/>
      <c r="AM148" s="709"/>
      <c r="AN148" s="709"/>
      <c r="AO148" s="709"/>
      <c r="AP148" s="709"/>
      <c r="AQ148" s="709"/>
      <c r="AR148" s="709"/>
      <c r="AS148" s="709"/>
      <c r="AT148" s="709"/>
      <c r="AU148" s="709"/>
      <c r="AV148" s="709"/>
      <c r="AW148" s="709">
        <v>1</v>
      </c>
      <c r="AX148" s="709"/>
      <c r="AY148" s="709"/>
      <c r="AZ148" s="709"/>
      <c r="BA148" s="709"/>
      <c r="BB148" s="709"/>
      <c r="BC148" s="709"/>
      <c r="BD148" s="709"/>
      <c r="BE148" s="709"/>
      <c r="BF148" s="672">
        <f t="shared" si="40"/>
        <v>1</v>
      </c>
      <c r="BG148" s="672">
        <f t="shared" si="41"/>
        <v>0</v>
      </c>
      <c r="BH148" s="709"/>
      <c r="BI148" s="709"/>
      <c r="BJ148" s="709"/>
      <c r="BK148" s="709"/>
      <c r="BL148" s="709"/>
      <c r="BM148" s="709"/>
      <c r="BN148" s="709"/>
      <c r="BO148" s="709"/>
      <c r="BP148" s="709"/>
      <c r="BQ148" s="709"/>
      <c r="BR148" s="709"/>
      <c r="BS148" s="709"/>
      <c r="BT148" s="709"/>
      <c r="BU148" s="709"/>
      <c r="BV148" s="709"/>
      <c r="BW148" s="709"/>
      <c r="BX148" s="709"/>
      <c r="BY148" s="709"/>
      <c r="BZ148" s="709"/>
      <c r="CA148" s="709">
        <v>1</v>
      </c>
      <c r="CB148" s="709"/>
      <c r="CC148" s="709"/>
      <c r="CD148" s="709"/>
      <c r="CE148" s="709"/>
      <c r="CF148" s="709"/>
      <c r="CG148" s="709"/>
      <c r="CH148" s="709"/>
      <c r="CI148" s="709"/>
      <c r="CJ148" s="709"/>
      <c r="CK148" s="709"/>
      <c r="CL148" s="709"/>
      <c r="CM148" s="709">
        <v>1</v>
      </c>
      <c r="CN148" s="709">
        <f t="shared" si="42"/>
        <v>3.6</v>
      </c>
      <c r="CO148" s="709"/>
      <c r="CP148" s="709"/>
      <c r="CQ148" s="709"/>
      <c r="CR148" s="709">
        <v>1</v>
      </c>
      <c r="CS148" s="709"/>
      <c r="CT148" s="709"/>
      <c r="CU148" s="709"/>
      <c r="CV148" s="709"/>
      <c r="CW148" s="709"/>
      <c r="CX148" s="683"/>
      <c r="CY148" s="711"/>
    </row>
    <row r="149" spans="1:234" s="678" customFormat="1" ht="13.8" hidden="1">
      <c r="A149" s="712" t="s">
        <v>2210</v>
      </c>
      <c r="B149" s="613"/>
      <c r="C149" s="613">
        <v>30</v>
      </c>
      <c r="D149" s="550">
        <f t="shared" si="43"/>
        <v>214</v>
      </c>
      <c r="E149" s="613"/>
      <c r="F149" s="613"/>
      <c r="G149" s="613"/>
      <c r="H149" s="613"/>
      <c r="I149" s="613"/>
      <c r="J149" s="679"/>
      <c r="K149" s="613"/>
      <c r="L149" s="613"/>
      <c r="M149" s="613"/>
      <c r="N149" s="550">
        <f t="shared" si="44"/>
        <v>214</v>
      </c>
      <c r="O149" s="614"/>
      <c r="P149" s="614"/>
      <c r="Q149" s="680" t="s">
        <v>1107</v>
      </c>
      <c r="R149" s="682"/>
      <c r="S149" s="681">
        <v>1</v>
      </c>
      <c r="T149" s="682"/>
      <c r="U149" s="682"/>
      <c r="V149" s="682"/>
      <c r="W149" s="682"/>
      <c r="X149" s="682"/>
      <c r="Y149" s="682"/>
      <c r="Z149" s="681">
        <v>1</v>
      </c>
      <c r="AA149" s="682"/>
      <c r="AB149" s="682"/>
      <c r="AC149" s="682"/>
      <c r="AD149" s="682"/>
      <c r="AE149" s="682"/>
      <c r="AF149" s="682"/>
      <c r="AG149" s="682"/>
      <c r="AH149" s="682"/>
      <c r="AI149" s="682"/>
      <c r="AJ149" s="682"/>
      <c r="AK149" s="682"/>
      <c r="AL149" s="682"/>
      <c r="AM149" s="682"/>
      <c r="AN149" s="682"/>
      <c r="AO149" s="682"/>
      <c r="AP149" s="682"/>
      <c r="AQ149" s="682"/>
      <c r="AR149" s="682"/>
      <c r="AS149" s="682"/>
      <c r="AT149" s="682"/>
      <c r="AU149" s="682"/>
      <c r="AV149" s="682"/>
      <c r="AW149" s="682">
        <v>1</v>
      </c>
      <c r="AX149" s="682"/>
      <c r="AY149" s="682"/>
      <c r="AZ149" s="682"/>
      <c r="BA149" s="682"/>
      <c r="BB149" s="682"/>
      <c r="BC149" s="682"/>
      <c r="BD149" s="682"/>
      <c r="BE149" s="682"/>
      <c r="BF149" s="672">
        <f t="shared" si="40"/>
        <v>1</v>
      </c>
      <c r="BG149" s="672">
        <f t="shared" si="41"/>
        <v>0</v>
      </c>
      <c r="BH149" s="682"/>
      <c r="BI149" s="682"/>
      <c r="BJ149" s="682"/>
      <c r="BK149" s="682"/>
      <c r="BL149" s="682"/>
      <c r="BM149" s="682"/>
      <c r="BN149" s="682"/>
      <c r="BO149" s="682"/>
      <c r="BP149" s="682"/>
      <c r="BQ149" s="682"/>
      <c r="BR149" s="682">
        <v>1</v>
      </c>
      <c r="BS149" s="682"/>
      <c r="BT149" s="682"/>
      <c r="BU149" s="682"/>
      <c r="BV149" s="682"/>
      <c r="BW149" s="682"/>
      <c r="BX149" s="682"/>
      <c r="BY149" s="682"/>
      <c r="BZ149" s="682"/>
      <c r="CA149" s="682">
        <v>1</v>
      </c>
      <c r="CB149" s="682"/>
      <c r="CC149" s="682"/>
      <c r="CD149" s="682"/>
      <c r="CE149" s="682"/>
      <c r="CF149" s="682"/>
      <c r="CG149" s="682"/>
      <c r="CH149" s="682"/>
      <c r="CI149" s="682"/>
      <c r="CJ149" s="682"/>
      <c r="CK149" s="682"/>
      <c r="CL149" s="682"/>
      <c r="CM149" s="682">
        <v>1</v>
      </c>
      <c r="CN149" s="682">
        <f t="shared" si="42"/>
        <v>3.6</v>
      </c>
      <c r="CO149" s="682"/>
      <c r="CP149" s="682"/>
      <c r="CQ149" s="682"/>
      <c r="CR149" s="682"/>
      <c r="CS149" s="682"/>
      <c r="CT149" s="682"/>
      <c r="CU149" s="682"/>
      <c r="CV149" s="682"/>
      <c r="CW149" s="682"/>
      <c r="CX149" s="683"/>
      <c r="CY149" s="711"/>
      <c r="CZ149" s="677"/>
      <c r="DA149" s="530"/>
      <c r="DB149" s="530"/>
      <c r="DC149" s="530"/>
      <c r="DD149" s="530"/>
      <c r="DE149" s="530"/>
      <c r="DF149" s="530"/>
      <c r="DG149" s="530"/>
      <c r="DH149" s="530"/>
      <c r="DI149" s="530"/>
      <c r="DJ149" s="530"/>
      <c r="DK149" s="530"/>
      <c r="DL149" s="530"/>
      <c r="DM149" s="530"/>
      <c r="DN149" s="530"/>
      <c r="DO149" s="530"/>
      <c r="DP149" s="530"/>
      <c r="DQ149" s="530"/>
      <c r="DR149" s="530"/>
      <c r="DS149" s="530"/>
      <c r="DT149" s="530"/>
      <c r="DU149" s="530"/>
      <c r="DV149" s="530"/>
      <c r="DW149" s="530"/>
      <c r="DX149" s="530"/>
      <c r="DY149" s="530"/>
      <c r="DZ149" s="530"/>
      <c r="EA149" s="530"/>
      <c r="EB149" s="530"/>
      <c r="EC149" s="530"/>
      <c r="ED149" s="530"/>
      <c r="EE149" s="530"/>
      <c r="EF149" s="530"/>
      <c r="EG149" s="530"/>
      <c r="EH149" s="530"/>
      <c r="EI149" s="530"/>
      <c r="EJ149" s="530"/>
      <c r="EK149" s="530"/>
      <c r="EL149" s="530"/>
      <c r="EM149" s="530"/>
      <c r="EN149" s="530"/>
      <c r="EO149" s="530"/>
      <c r="EP149" s="530"/>
      <c r="EQ149" s="530"/>
      <c r="ER149" s="530"/>
      <c r="ES149" s="530"/>
      <c r="ET149" s="530"/>
      <c r="EU149" s="530"/>
      <c r="EV149" s="530"/>
      <c r="EW149" s="530"/>
      <c r="EX149" s="530"/>
      <c r="EY149" s="530"/>
      <c r="EZ149" s="530"/>
      <c r="FA149" s="530"/>
      <c r="FB149" s="530"/>
      <c r="FC149" s="530"/>
      <c r="FD149" s="530"/>
      <c r="FE149" s="530"/>
      <c r="FF149" s="530"/>
      <c r="FG149" s="530"/>
      <c r="FH149" s="530"/>
      <c r="FI149" s="530"/>
      <c r="FJ149" s="530"/>
      <c r="FK149" s="530"/>
      <c r="FL149" s="530"/>
      <c r="FM149" s="530"/>
      <c r="FN149" s="530"/>
      <c r="FO149" s="530"/>
      <c r="FP149" s="530"/>
      <c r="FQ149" s="530"/>
      <c r="FR149" s="530"/>
      <c r="FS149" s="530"/>
      <c r="FT149" s="530"/>
      <c r="FU149" s="530"/>
      <c r="FV149" s="530"/>
      <c r="FW149" s="530"/>
      <c r="FX149" s="530"/>
      <c r="FY149" s="530"/>
      <c r="FZ149" s="530"/>
      <c r="GA149" s="530"/>
      <c r="GB149" s="530"/>
      <c r="GC149" s="530"/>
      <c r="GD149" s="530"/>
      <c r="GE149" s="530"/>
      <c r="GF149" s="530"/>
      <c r="GG149" s="530"/>
      <c r="GH149" s="530"/>
      <c r="GI149" s="530"/>
      <c r="GJ149" s="530"/>
      <c r="GK149" s="530"/>
      <c r="GL149" s="530"/>
      <c r="GM149" s="530"/>
      <c r="GN149" s="530"/>
      <c r="GO149" s="530"/>
      <c r="GP149" s="530"/>
      <c r="GQ149" s="530"/>
      <c r="GR149" s="530"/>
      <c r="GS149" s="530"/>
      <c r="GT149" s="530"/>
      <c r="GU149" s="530"/>
      <c r="GV149" s="530"/>
      <c r="GW149" s="530"/>
      <c r="GX149" s="530"/>
      <c r="GY149" s="530"/>
      <c r="GZ149" s="530"/>
      <c r="HA149" s="530"/>
      <c r="HB149" s="530"/>
      <c r="HC149" s="530"/>
      <c r="HD149" s="530"/>
      <c r="HE149" s="530"/>
      <c r="HF149" s="530"/>
      <c r="HG149" s="530"/>
      <c r="HH149" s="530"/>
      <c r="HI149" s="530"/>
      <c r="HJ149" s="530"/>
      <c r="HK149" s="530"/>
      <c r="HL149" s="530"/>
      <c r="HM149" s="530"/>
      <c r="HN149" s="530"/>
      <c r="HO149" s="530"/>
      <c r="HP149" s="530"/>
      <c r="HQ149" s="530"/>
      <c r="HR149" s="530"/>
      <c r="HS149" s="530"/>
      <c r="HT149" s="530"/>
      <c r="HU149" s="530"/>
      <c r="HV149" s="530"/>
      <c r="HW149" s="530"/>
      <c r="HX149" s="530"/>
      <c r="HY149" s="530"/>
      <c r="HZ149" s="530"/>
    </row>
    <row r="150" spans="1:234" s="717" customFormat="1" ht="13.8" hidden="1">
      <c r="A150" s="659" t="s">
        <v>4031</v>
      </c>
      <c r="B150" s="713"/>
      <c r="C150" s="714">
        <f>SUM(C141:C149)</f>
        <v>214</v>
      </c>
      <c r="D150" s="714">
        <f t="shared" ref="D150:N150" si="45">D149</f>
        <v>214</v>
      </c>
      <c r="E150" s="714">
        <f t="shared" si="45"/>
        <v>0</v>
      </c>
      <c r="F150" s="714">
        <f t="shared" si="45"/>
        <v>0</v>
      </c>
      <c r="G150" s="714">
        <f t="shared" si="45"/>
        <v>0</v>
      </c>
      <c r="H150" s="714">
        <f t="shared" si="45"/>
        <v>0</v>
      </c>
      <c r="I150" s="714">
        <f t="shared" si="45"/>
        <v>0</v>
      </c>
      <c r="J150" s="714">
        <f t="shared" si="45"/>
        <v>0</v>
      </c>
      <c r="K150" s="714">
        <f t="shared" si="45"/>
        <v>0</v>
      </c>
      <c r="L150" s="714">
        <f t="shared" si="45"/>
        <v>0</v>
      </c>
      <c r="M150" s="714">
        <f t="shared" si="45"/>
        <v>0</v>
      </c>
      <c r="N150" s="714">
        <f t="shared" si="45"/>
        <v>214</v>
      </c>
      <c r="O150" s="714"/>
      <c r="P150" s="714">
        <f>SUM(O141:O149)</f>
        <v>0</v>
      </c>
      <c r="Q150" s="714">
        <f>SUM(P141:P149)</f>
        <v>0</v>
      </c>
      <c r="R150" s="714">
        <f>SUM(Q141:Q149)</f>
        <v>0</v>
      </c>
      <c r="S150" s="714">
        <f t="shared" ref="S150:AX150" si="46">SUM(S141:S149)</f>
        <v>7</v>
      </c>
      <c r="T150" s="714">
        <f t="shared" si="46"/>
        <v>0</v>
      </c>
      <c r="U150" s="714">
        <f t="shared" si="46"/>
        <v>0</v>
      </c>
      <c r="V150" s="714">
        <f t="shared" si="46"/>
        <v>0</v>
      </c>
      <c r="W150" s="714">
        <f t="shared" si="46"/>
        <v>0</v>
      </c>
      <c r="X150" s="714">
        <f t="shared" si="46"/>
        <v>0</v>
      </c>
      <c r="Y150" s="714">
        <f t="shared" si="46"/>
        <v>0</v>
      </c>
      <c r="Z150" s="714">
        <f t="shared" si="46"/>
        <v>7</v>
      </c>
      <c r="AA150" s="714">
        <f t="shared" si="46"/>
        <v>0</v>
      </c>
      <c r="AB150" s="714">
        <f t="shared" si="46"/>
        <v>0</v>
      </c>
      <c r="AC150" s="714">
        <f t="shared" si="46"/>
        <v>0</v>
      </c>
      <c r="AD150" s="714">
        <f t="shared" si="46"/>
        <v>0</v>
      </c>
      <c r="AE150" s="714">
        <f t="shared" si="46"/>
        <v>0</v>
      </c>
      <c r="AF150" s="714">
        <f t="shared" si="46"/>
        <v>0</v>
      </c>
      <c r="AG150" s="714">
        <f t="shared" si="46"/>
        <v>0</v>
      </c>
      <c r="AH150" s="714">
        <f t="shared" si="46"/>
        <v>0</v>
      </c>
      <c r="AI150" s="714">
        <f t="shared" si="46"/>
        <v>0</v>
      </c>
      <c r="AJ150" s="714">
        <f t="shared" si="46"/>
        <v>0</v>
      </c>
      <c r="AK150" s="714">
        <f t="shared" si="46"/>
        <v>0</v>
      </c>
      <c r="AL150" s="714">
        <f t="shared" si="46"/>
        <v>0</v>
      </c>
      <c r="AM150" s="714">
        <f t="shared" si="46"/>
        <v>0</v>
      </c>
      <c r="AN150" s="714">
        <f t="shared" si="46"/>
        <v>0</v>
      </c>
      <c r="AO150" s="714">
        <f t="shared" si="46"/>
        <v>0</v>
      </c>
      <c r="AP150" s="714">
        <f t="shared" si="46"/>
        <v>0</v>
      </c>
      <c r="AQ150" s="714">
        <f t="shared" si="46"/>
        <v>0</v>
      </c>
      <c r="AR150" s="714">
        <f t="shared" si="46"/>
        <v>0</v>
      </c>
      <c r="AS150" s="714">
        <f t="shared" si="46"/>
        <v>0</v>
      </c>
      <c r="AT150" s="714">
        <f t="shared" si="46"/>
        <v>0</v>
      </c>
      <c r="AU150" s="714">
        <f t="shared" si="46"/>
        <v>0</v>
      </c>
      <c r="AV150" s="714">
        <f t="shared" si="46"/>
        <v>0</v>
      </c>
      <c r="AW150" s="714">
        <f t="shared" si="46"/>
        <v>4</v>
      </c>
      <c r="AX150" s="714">
        <f t="shared" si="46"/>
        <v>4</v>
      </c>
      <c r="AY150" s="714">
        <f t="shared" ref="AY150:CB150" si="47">SUM(AY141:AY149)</f>
        <v>0</v>
      </c>
      <c r="AZ150" s="714">
        <f t="shared" si="47"/>
        <v>0</v>
      </c>
      <c r="BA150" s="714">
        <f t="shared" si="47"/>
        <v>0</v>
      </c>
      <c r="BB150" s="714">
        <f t="shared" si="47"/>
        <v>0</v>
      </c>
      <c r="BC150" s="714">
        <f t="shared" si="47"/>
        <v>0</v>
      </c>
      <c r="BD150" s="714">
        <f t="shared" si="47"/>
        <v>0</v>
      </c>
      <c r="BE150" s="714">
        <f t="shared" si="47"/>
        <v>0</v>
      </c>
      <c r="BF150" s="714">
        <f t="shared" si="47"/>
        <v>4</v>
      </c>
      <c r="BG150" s="714">
        <f t="shared" si="47"/>
        <v>4</v>
      </c>
      <c r="BH150" s="714">
        <f t="shared" si="47"/>
        <v>0</v>
      </c>
      <c r="BI150" s="714">
        <f t="shared" si="47"/>
        <v>0</v>
      </c>
      <c r="BJ150" s="714">
        <f t="shared" si="47"/>
        <v>0</v>
      </c>
      <c r="BK150" s="714">
        <f t="shared" si="47"/>
        <v>0</v>
      </c>
      <c r="BL150" s="714">
        <f t="shared" si="47"/>
        <v>0</v>
      </c>
      <c r="BM150" s="714">
        <f t="shared" si="47"/>
        <v>0</v>
      </c>
      <c r="BN150" s="714">
        <f t="shared" si="47"/>
        <v>0</v>
      </c>
      <c r="BO150" s="714">
        <f t="shared" si="47"/>
        <v>0</v>
      </c>
      <c r="BP150" s="714">
        <f t="shared" si="47"/>
        <v>0</v>
      </c>
      <c r="BQ150" s="714">
        <f t="shared" si="47"/>
        <v>0</v>
      </c>
      <c r="BR150" s="714">
        <f t="shared" si="47"/>
        <v>3</v>
      </c>
      <c r="BS150" s="714">
        <f t="shared" si="47"/>
        <v>0</v>
      </c>
      <c r="BT150" s="714">
        <f t="shared" si="47"/>
        <v>0</v>
      </c>
      <c r="BU150" s="714">
        <f t="shared" si="47"/>
        <v>0</v>
      </c>
      <c r="BV150" s="714">
        <f t="shared" si="47"/>
        <v>0</v>
      </c>
      <c r="BW150" s="714">
        <f t="shared" si="47"/>
        <v>0</v>
      </c>
      <c r="BX150" s="714">
        <f t="shared" si="47"/>
        <v>0</v>
      </c>
      <c r="BY150" s="714">
        <f t="shared" si="47"/>
        <v>0</v>
      </c>
      <c r="BZ150" s="714">
        <f t="shared" si="47"/>
        <v>0</v>
      </c>
      <c r="CA150" s="714">
        <f t="shared" si="47"/>
        <v>7</v>
      </c>
      <c r="CB150" s="714">
        <f t="shared" si="47"/>
        <v>0</v>
      </c>
      <c r="CC150" s="714">
        <f t="shared" ref="CC150:CN150" si="48">SUM(CC141:CC149)</f>
        <v>0</v>
      </c>
      <c r="CD150" s="714">
        <f t="shared" si="48"/>
        <v>0</v>
      </c>
      <c r="CE150" s="714">
        <f t="shared" si="48"/>
        <v>0</v>
      </c>
      <c r="CF150" s="714">
        <f t="shared" si="48"/>
        <v>0</v>
      </c>
      <c r="CG150" s="714">
        <f t="shared" si="48"/>
        <v>0</v>
      </c>
      <c r="CH150" s="714">
        <f t="shared" si="48"/>
        <v>0</v>
      </c>
      <c r="CI150" s="714">
        <f t="shared" si="48"/>
        <v>0</v>
      </c>
      <c r="CJ150" s="714">
        <f t="shared" si="48"/>
        <v>0</v>
      </c>
      <c r="CK150" s="714">
        <f t="shared" si="48"/>
        <v>0</v>
      </c>
      <c r="CL150" s="714">
        <f t="shared" si="48"/>
        <v>0</v>
      </c>
      <c r="CM150" s="714">
        <f t="shared" si="48"/>
        <v>7</v>
      </c>
      <c r="CN150" s="714">
        <f t="shared" si="48"/>
        <v>25.200000000000003</v>
      </c>
      <c r="CO150" s="714">
        <f t="shared" ref="CO150:CW150" si="49">SUM(CO141:CO149)</f>
        <v>0</v>
      </c>
      <c r="CP150" s="714">
        <f t="shared" si="49"/>
        <v>0</v>
      </c>
      <c r="CQ150" s="714">
        <f t="shared" si="49"/>
        <v>0</v>
      </c>
      <c r="CR150" s="714">
        <f t="shared" si="49"/>
        <v>4</v>
      </c>
      <c r="CS150" s="714">
        <f t="shared" si="49"/>
        <v>0</v>
      </c>
      <c r="CT150" s="714">
        <f t="shared" si="49"/>
        <v>0</v>
      </c>
      <c r="CU150" s="714">
        <f t="shared" si="49"/>
        <v>0</v>
      </c>
      <c r="CV150" s="714">
        <f t="shared" si="49"/>
        <v>0</v>
      </c>
      <c r="CW150" s="714">
        <f t="shared" si="49"/>
        <v>0</v>
      </c>
      <c r="CX150" s="715">
        <v>9</v>
      </c>
      <c r="CY150" s="716"/>
    </row>
    <row r="151" spans="1:234" s="545" customFormat="1" ht="18" hidden="1" customHeight="1">
      <c r="A151" s="655" t="s">
        <v>4032</v>
      </c>
      <c r="B151" s="544"/>
      <c r="C151" s="544"/>
      <c r="D151" s="544"/>
      <c r="E151" s="544"/>
      <c r="F151" s="544"/>
      <c r="G151" s="544"/>
      <c r="H151" s="544"/>
      <c r="I151" s="544"/>
      <c r="J151" s="544"/>
      <c r="K151" s="544"/>
      <c r="L151" s="544"/>
      <c r="M151" s="544"/>
      <c r="N151" s="544"/>
      <c r="O151" s="544"/>
      <c r="P151" s="544"/>
      <c r="Q151" s="544"/>
      <c r="R151" s="544"/>
      <c r="S151" s="544"/>
      <c r="T151" s="544"/>
      <c r="U151" s="544"/>
      <c r="V151" s="544"/>
      <c r="W151" s="544"/>
      <c r="X151" s="544"/>
      <c r="Y151" s="544"/>
      <c r="Z151" s="544"/>
      <c r="AA151" s="544"/>
      <c r="AB151" s="544"/>
      <c r="AC151" s="544"/>
      <c r="AD151" s="544"/>
      <c r="AE151" s="544"/>
      <c r="AF151" s="544"/>
      <c r="AG151" s="544"/>
      <c r="AH151" s="544"/>
      <c r="AI151" s="544"/>
      <c r="AJ151" s="544"/>
      <c r="AK151" s="544"/>
      <c r="AL151" s="544"/>
      <c r="AM151" s="544"/>
      <c r="AN151" s="544"/>
      <c r="AO151" s="544"/>
      <c r="AP151" s="544"/>
      <c r="AQ151" s="544"/>
      <c r="AR151" s="544"/>
      <c r="AS151" s="544"/>
      <c r="AT151" s="544"/>
      <c r="AU151" s="544"/>
      <c r="AV151" s="544"/>
      <c r="AW151" s="544"/>
      <c r="AX151" s="544"/>
      <c r="AY151" s="544"/>
      <c r="AZ151" s="544"/>
      <c r="BA151" s="544"/>
      <c r="BB151" s="544"/>
      <c r="BC151" s="544"/>
      <c r="BD151" s="544"/>
      <c r="BE151" s="544"/>
      <c r="BF151" s="544"/>
      <c r="BG151" s="544"/>
      <c r="BH151" s="544"/>
      <c r="BI151" s="544"/>
      <c r="BJ151" s="544"/>
      <c r="BK151" s="544"/>
      <c r="BL151" s="544"/>
      <c r="BM151" s="544"/>
      <c r="BN151" s="544"/>
      <c r="BO151" s="544"/>
      <c r="BP151" s="544"/>
      <c r="BQ151" s="544"/>
      <c r="BR151" s="544"/>
      <c r="BS151" s="544"/>
      <c r="BT151" s="544"/>
      <c r="BU151" s="544"/>
      <c r="BV151" s="544"/>
      <c r="BW151" s="544"/>
      <c r="BX151" s="544"/>
      <c r="BY151" s="544"/>
      <c r="BZ151" s="544"/>
      <c r="CA151" s="544"/>
      <c r="CB151" s="544"/>
      <c r="CC151" s="544"/>
      <c r="CD151" s="544"/>
      <c r="CE151" s="544"/>
      <c r="CF151" s="544"/>
      <c r="CG151" s="544"/>
      <c r="CH151" s="544"/>
      <c r="CI151" s="544"/>
      <c r="CJ151" s="544"/>
      <c r="CK151" s="544"/>
      <c r="CL151" s="544"/>
      <c r="CM151" s="544"/>
      <c r="CN151" s="544"/>
      <c r="CO151" s="544"/>
      <c r="CP151" s="544"/>
      <c r="CQ151" s="544"/>
      <c r="CR151" s="544"/>
      <c r="CS151" s="544"/>
      <c r="CT151" s="544"/>
      <c r="CU151" s="544"/>
      <c r="CV151" s="544"/>
      <c r="CW151" s="544"/>
      <c r="CX151" s="544"/>
      <c r="CY151" s="669"/>
      <c r="CZ151" s="530"/>
      <c r="DA151" s="530"/>
      <c r="DB151" s="530"/>
      <c r="DC151" s="530"/>
      <c r="DD151" s="530"/>
      <c r="DE151" s="530"/>
      <c r="DF151" s="530"/>
      <c r="DG151" s="530"/>
      <c r="DH151" s="530"/>
      <c r="DI151" s="530"/>
      <c r="DJ151" s="530"/>
      <c r="DK151" s="530"/>
      <c r="DL151" s="530"/>
      <c r="DM151" s="530"/>
      <c r="DN151" s="530"/>
      <c r="DO151" s="530"/>
      <c r="DP151" s="530"/>
      <c r="DQ151" s="530"/>
      <c r="DR151" s="530"/>
      <c r="DS151" s="530"/>
      <c r="DT151" s="530"/>
      <c r="DU151" s="530"/>
      <c r="DV151" s="530"/>
      <c r="DW151" s="530"/>
      <c r="DX151" s="530"/>
      <c r="DY151" s="530"/>
      <c r="DZ151" s="530"/>
      <c r="EA151" s="530"/>
      <c r="EB151" s="530"/>
      <c r="EC151" s="530"/>
      <c r="ED151" s="530"/>
      <c r="EE151" s="530"/>
      <c r="EF151" s="530"/>
      <c r="EG151" s="530"/>
      <c r="EH151" s="530"/>
      <c r="EI151" s="530"/>
      <c r="EJ151" s="530"/>
      <c r="EK151" s="530"/>
      <c r="EL151" s="530"/>
      <c r="EM151" s="530"/>
      <c r="EN151" s="530"/>
      <c r="EO151" s="530"/>
      <c r="EP151" s="530"/>
      <c r="EQ151" s="530"/>
      <c r="ER151" s="530"/>
      <c r="ES151" s="530"/>
      <c r="ET151" s="530"/>
      <c r="EU151" s="530"/>
      <c r="EV151" s="530"/>
      <c r="EW151" s="530"/>
      <c r="EX151" s="530"/>
      <c r="EY151" s="530"/>
      <c r="EZ151" s="530"/>
      <c r="FA151" s="530"/>
      <c r="FB151" s="530"/>
      <c r="FC151" s="530"/>
      <c r="FD151" s="530"/>
      <c r="FE151" s="530"/>
      <c r="FF151" s="530"/>
      <c r="FG151" s="530"/>
      <c r="FH151" s="530"/>
      <c r="FI151" s="530"/>
      <c r="FJ151" s="530"/>
      <c r="FK151" s="530"/>
      <c r="FL151" s="530"/>
      <c r="FM151" s="530"/>
      <c r="FN151" s="530"/>
      <c r="FO151" s="530"/>
      <c r="FP151" s="530"/>
      <c r="FQ151" s="530"/>
      <c r="FR151" s="530"/>
      <c r="FS151" s="530"/>
      <c r="FT151" s="530"/>
      <c r="FU151" s="530"/>
      <c r="FV151" s="530"/>
      <c r="FW151" s="530"/>
      <c r="FX151" s="530"/>
      <c r="FY151" s="530"/>
      <c r="FZ151" s="530"/>
      <c r="GA151" s="530"/>
      <c r="GB151" s="530"/>
      <c r="GC151" s="530"/>
      <c r="GD151" s="530"/>
      <c r="GE151" s="530"/>
      <c r="GF151" s="530"/>
      <c r="GG151" s="530"/>
      <c r="GH151" s="530"/>
      <c r="GI151" s="530"/>
      <c r="GJ151" s="530"/>
      <c r="GK151" s="530"/>
      <c r="GL151" s="530"/>
      <c r="GM151" s="530"/>
      <c r="GN151" s="530"/>
      <c r="GO151" s="530"/>
      <c r="GP151" s="530"/>
      <c r="GQ151" s="530"/>
      <c r="GR151" s="530"/>
      <c r="GS151" s="530"/>
      <c r="GT151" s="530"/>
      <c r="GU151" s="530"/>
      <c r="GV151" s="530"/>
      <c r="GW151" s="530"/>
      <c r="GX151" s="530"/>
      <c r="GY151" s="530"/>
      <c r="GZ151" s="530"/>
      <c r="HA151" s="530"/>
      <c r="HB151" s="530"/>
      <c r="HC151" s="530"/>
      <c r="HD151" s="530"/>
      <c r="HE151" s="530"/>
      <c r="HF151" s="530"/>
      <c r="HG151" s="530"/>
      <c r="HH151" s="530"/>
      <c r="HI151" s="530"/>
      <c r="HJ151" s="530"/>
      <c r="HK151" s="530"/>
      <c r="HL151" s="530"/>
      <c r="HM151" s="530"/>
      <c r="HN151" s="530"/>
      <c r="HO151" s="530"/>
      <c r="HP151" s="530"/>
      <c r="HQ151" s="530"/>
      <c r="HR151" s="530"/>
      <c r="HS151" s="530"/>
      <c r="HT151" s="530"/>
      <c r="HU151" s="530"/>
      <c r="HV151" s="530"/>
      <c r="HW151" s="530"/>
      <c r="HX151" s="530"/>
      <c r="HY151" s="530"/>
      <c r="HZ151" s="530"/>
    </row>
    <row r="152" spans="1:234" ht="13.8" hidden="1">
      <c r="A152" s="591"/>
      <c r="B152" s="702" t="s">
        <v>1927</v>
      </c>
      <c r="C152" s="555"/>
      <c r="D152" s="555"/>
      <c r="E152" s="555"/>
      <c r="F152" s="555"/>
      <c r="G152" s="555"/>
      <c r="H152" s="555"/>
      <c r="I152" s="555"/>
      <c r="J152" s="555"/>
      <c r="K152" s="555"/>
      <c r="L152" s="555"/>
      <c r="M152" s="555"/>
      <c r="N152" s="555">
        <f>C152</f>
        <v>0</v>
      </c>
      <c r="O152" s="556"/>
      <c r="P152" s="556"/>
      <c r="Q152" s="703" t="s">
        <v>1621</v>
      </c>
      <c r="R152" s="718"/>
      <c r="S152" s="718"/>
      <c r="T152" s="718"/>
      <c r="U152" s="718"/>
      <c r="V152" s="718"/>
      <c r="W152" s="718"/>
      <c r="X152" s="718"/>
      <c r="Y152" s="718"/>
      <c r="Z152" s="718"/>
      <c r="AA152" s="672"/>
      <c r="AB152" s="672"/>
      <c r="AC152" s="672"/>
      <c r="AD152" s="672"/>
      <c r="AE152" s="672"/>
      <c r="AF152" s="672"/>
      <c r="AG152" s="672"/>
      <c r="AH152" s="672"/>
      <c r="AI152" s="672"/>
      <c r="AJ152" s="672"/>
      <c r="AK152" s="672"/>
      <c r="AL152" s="672"/>
      <c r="AM152" s="672"/>
      <c r="AN152" s="672"/>
      <c r="AO152" s="672"/>
      <c r="AP152" s="672"/>
      <c r="AQ152" s="672"/>
      <c r="AR152" s="672"/>
      <c r="AS152" s="672"/>
      <c r="AT152" s="672"/>
      <c r="AU152" s="672"/>
      <c r="AV152" s="672"/>
      <c r="AW152" s="672"/>
      <c r="AX152" s="672"/>
      <c r="AY152" s="672"/>
      <c r="AZ152" s="672"/>
      <c r="BA152" s="672"/>
      <c r="BB152" s="672"/>
      <c r="BC152" s="672"/>
      <c r="BD152" s="672"/>
      <c r="BE152" s="672"/>
      <c r="BF152" s="672">
        <f t="shared" ref="BF152:BG159" si="50">AW152</f>
        <v>0</v>
      </c>
      <c r="BG152" s="672">
        <f t="shared" si="50"/>
        <v>0</v>
      </c>
      <c r="BH152" s="672"/>
      <c r="BI152" s="672"/>
      <c r="BJ152" s="672"/>
      <c r="BK152" s="672"/>
      <c r="BL152" s="672"/>
      <c r="BM152" s="672"/>
      <c r="BN152" s="672"/>
      <c r="BO152" s="672"/>
      <c r="BP152" s="672"/>
      <c r="BQ152" s="672"/>
      <c r="BR152" s="672"/>
      <c r="BS152" s="672"/>
      <c r="BT152" s="672"/>
      <c r="BU152" s="672"/>
      <c r="BV152" s="672"/>
      <c r="BW152" s="672"/>
      <c r="BX152" s="672"/>
      <c r="BY152" s="672"/>
      <c r="BZ152" s="672"/>
      <c r="CA152" s="672"/>
      <c r="CB152" s="672"/>
      <c r="CC152" s="672"/>
      <c r="CD152" s="672"/>
      <c r="CE152" s="672"/>
      <c r="CF152" s="672"/>
      <c r="CG152" s="672"/>
      <c r="CH152" s="672"/>
      <c r="CI152" s="672"/>
      <c r="CJ152" s="672"/>
      <c r="CK152" s="672"/>
      <c r="CL152" s="672"/>
      <c r="CM152" s="672"/>
      <c r="CN152" s="672">
        <f t="shared" ref="CN152:CN159" si="51">+CM152*3.6</f>
        <v>0</v>
      </c>
      <c r="CO152" s="672"/>
      <c r="CP152" s="672"/>
      <c r="CQ152" s="672"/>
      <c r="CR152" s="672"/>
      <c r="CS152" s="672"/>
      <c r="CT152" s="672"/>
      <c r="CU152" s="672"/>
      <c r="CV152" s="672"/>
      <c r="CW152" s="672"/>
      <c r="CX152" s="704"/>
      <c r="CY152" s="705"/>
      <c r="HU152" s="542"/>
      <c r="HV152" s="542"/>
      <c r="HW152" s="542"/>
      <c r="HX152" s="542"/>
      <c r="HY152" s="542"/>
      <c r="HZ152" s="542"/>
    </row>
    <row r="153" spans="1:234" ht="13.8" hidden="1">
      <c r="A153" s="591" t="s">
        <v>2116</v>
      </c>
      <c r="B153" s="670"/>
      <c r="C153" s="550">
        <v>23</v>
      </c>
      <c r="D153" s="550">
        <f t="shared" ref="D153:D159" si="52">D152+C153</f>
        <v>23</v>
      </c>
      <c r="E153" s="550"/>
      <c r="F153" s="550"/>
      <c r="G153" s="550"/>
      <c r="H153" s="550"/>
      <c r="I153" s="550"/>
      <c r="J153" s="550"/>
      <c r="K153" s="550"/>
      <c r="L153" s="550"/>
      <c r="M153" s="550"/>
      <c r="N153" s="550">
        <f t="shared" ref="N153:N159" si="53">+N152+C153</f>
        <v>23</v>
      </c>
      <c r="O153" s="439"/>
      <c r="P153" s="439"/>
      <c r="Q153" s="674" t="s">
        <v>586</v>
      </c>
      <c r="R153" s="671"/>
      <c r="S153" s="671">
        <v>1</v>
      </c>
      <c r="T153" s="671"/>
      <c r="U153" s="671"/>
      <c r="V153" s="671"/>
      <c r="W153" s="671"/>
      <c r="X153" s="671"/>
      <c r="Y153" s="671"/>
      <c r="Z153" s="671">
        <v>1</v>
      </c>
      <c r="AA153" s="623"/>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v>1</v>
      </c>
      <c r="AX153" s="623"/>
      <c r="AY153" s="623"/>
      <c r="AZ153" s="623"/>
      <c r="BA153" s="623"/>
      <c r="BB153" s="623"/>
      <c r="BC153" s="623"/>
      <c r="BD153" s="623"/>
      <c r="BE153" s="623"/>
      <c r="BF153" s="672">
        <f t="shared" si="50"/>
        <v>1</v>
      </c>
      <c r="BG153" s="672">
        <f t="shared" si="50"/>
        <v>0</v>
      </c>
      <c r="BH153" s="623"/>
      <c r="BI153" s="623"/>
      <c r="BJ153" s="623"/>
      <c r="BK153" s="623"/>
      <c r="BL153" s="623"/>
      <c r="BM153" s="623"/>
      <c r="BN153" s="623"/>
      <c r="BO153" s="623"/>
      <c r="BP153" s="623"/>
      <c r="BQ153" s="623"/>
      <c r="BR153" s="623">
        <v>1</v>
      </c>
      <c r="BS153" s="623"/>
      <c r="BT153" s="623"/>
      <c r="BU153" s="623"/>
      <c r="BV153" s="623"/>
      <c r="BW153" s="623"/>
      <c r="BX153" s="623"/>
      <c r="BY153" s="623"/>
      <c r="BZ153" s="623"/>
      <c r="CA153" s="623">
        <v>1</v>
      </c>
      <c r="CB153" s="623"/>
      <c r="CC153" s="623"/>
      <c r="CD153" s="623"/>
      <c r="CE153" s="623"/>
      <c r="CF153" s="623"/>
      <c r="CG153" s="623"/>
      <c r="CH153" s="623"/>
      <c r="CI153" s="623"/>
      <c r="CJ153" s="623"/>
      <c r="CK153" s="623"/>
      <c r="CL153" s="623"/>
      <c r="CM153" s="623">
        <v>1</v>
      </c>
      <c r="CN153" s="623">
        <f t="shared" si="51"/>
        <v>3.6</v>
      </c>
      <c r="CO153" s="623"/>
      <c r="CP153" s="623"/>
      <c r="CQ153" s="623"/>
      <c r="CR153" s="623"/>
      <c r="CS153" s="623"/>
      <c r="CT153" s="623"/>
      <c r="CU153" s="623"/>
      <c r="CV153" s="623"/>
      <c r="CW153" s="623"/>
      <c r="CX153" s="673"/>
      <c r="CY153" s="557"/>
    </row>
    <row r="154" spans="1:234" ht="13.8" hidden="1">
      <c r="A154" s="591" t="s">
        <v>2117</v>
      </c>
      <c r="B154" s="670"/>
      <c r="C154" s="550">
        <v>31</v>
      </c>
      <c r="D154" s="550">
        <f t="shared" si="52"/>
        <v>54</v>
      </c>
      <c r="E154" s="550"/>
      <c r="F154" s="550"/>
      <c r="G154" s="550"/>
      <c r="H154" s="550"/>
      <c r="I154" s="550"/>
      <c r="J154" s="550"/>
      <c r="K154" s="550"/>
      <c r="L154" s="550"/>
      <c r="M154" s="550"/>
      <c r="N154" s="550">
        <f t="shared" si="53"/>
        <v>54</v>
      </c>
      <c r="O154" s="439"/>
      <c r="P154" s="439"/>
      <c r="Q154" s="674" t="s">
        <v>1818</v>
      </c>
      <c r="R154" s="671"/>
      <c r="S154" s="671">
        <v>1</v>
      </c>
      <c r="T154" s="671"/>
      <c r="U154" s="671"/>
      <c r="V154" s="671"/>
      <c r="W154" s="671"/>
      <c r="X154" s="671"/>
      <c r="Y154" s="671"/>
      <c r="Z154" s="671">
        <v>1</v>
      </c>
      <c r="AA154" s="623"/>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v>1</v>
      </c>
      <c r="AY154" s="623"/>
      <c r="AZ154" s="623"/>
      <c r="BA154" s="623"/>
      <c r="BB154" s="623"/>
      <c r="BC154" s="623"/>
      <c r="BD154" s="623"/>
      <c r="BE154" s="623"/>
      <c r="BF154" s="672">
        <f t="shared" si="50"/>
        <v>0</v>
      </c>
      <c r="BG154" s="672">
        <f t="shared" si="50"/>
        <v>1</v>
      </c>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v>1</v>
      </c>
      <c r="CB154" s="623"/>
      <c r="CC154" s="623"/>
      <c r="CD154" s="623"/>
      <c r="CE154" s="623"/>
      <c r="CF154" s="623"/>
      <c r="CG154" s="623"/>
      <c r="CH154" s="623"/>
      <c r="CI154" s="623"/>
      <c r="CJ154" s="623"/>
      <c r="CK154" s="623"/>
      <c r="CL154" s="623"/>
      <c r="CM154" s="623">
        <v>1</v>
      </c>
      <c r="CN154" s="623">
        <f t="shared" si="51"/>
        <v>3.6</v>
      </c>
      <c r="CO154" s="623"/>
      <c r="CP154" s="623"/>
      <c r="CQ154" s="623"/>
      <c r="CR154" s="623">
        <v>1</v>
      </c>
      <c r="CS154" s="623"/>
      <c r="CT154" s="623"/>
      <c r="CU154" s="623"/>
      <c r="CV154" s="623"/>
      <c r="CW154" s="623"/>
      <c r="CX154" s="673"/>
      <c r="CY154" s="557"/>
    </row>
    <row r="155" spans="1:234" ht="13.8" hidden="1">
      <c r="A155" s="591" t="s">
        <v>2118</v>
      </c>
      <c r="B155" s="670"/>
      <c r="C155" s="550">
        <v>43</v>
      </c>
      <c r="D155" s="550">
        <f t="shared" si="52"/>
        <v>97</v>
      </c>
      <c r="E155" s="550"/>
      <c r="F155" s="550"/>
      <c r="G155" s="550"/>
      <c r="H155" s="550"/>
      <c r="I155" s="550"/>
      <c r="J155" s="550"/>
      <c r="K155" s="550"/>
      <c r="L155" s="550"/>
      <c r="M155" s="550"/>
      <c r="N155" s="550">
        <f t="shared" si="53"/>
        <v>97</v>
      </c>
      <c r="O155" s="439"/>
      <c r="P155" s="439"/>
      <c r="Q155" s="674" t="s">
        <v>586</v>
      </c>
      <c r="R155" s="671"/>
      <c r="S155" s="671">
        <v>1</v>
      </c>
      <c r="T155" s="671"/>
      <c r="U155" s="671"/>
      <c r="V155" s="671"/>
      <c r="W155" s="671"/>
      <c r="X155" s="671"/>
      <c r="Y155" s="671"/>
      <c r="Z155" s="671">
        <v>1</v>
      </c>
      <c r="AA155" s="623"/>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v>2</v>
      </c>
      <c r="AX155" s="623"/>
      <c r="AY155" s="623"/>
      <c r="AZ155" s="623"/>
      <c r="BA155" s="623"/>
      <c r="BB155" s="623"/>
      <c r="BC155" s="623"/>
      <c r="BD155" s="623"/>
      <c r="BE155" s="623"/>
      <c r="BF155" s="672">
        <f t="shared" si="50"/>
        <v>2</v>
      </c>
      <c r="BG155" s="672">
        <f t="shared" si="50"/>
        <v>0</v>
      </c>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v>1</v>
      </c>
      <c r="CB155" s="623"/>
      <c r="CC155" s="623"/>
      <c r="CD155" s="623"/>
      <c r="CE155" s="623"/>
      <c r="CF155" s="623"/>
      <c r="CG155" s="623"/>
      <c r="CH155" s="623"/>
      <c r="CI155" s="623"/>
      <c r="CJ155" s="623"/>
      <c r="CK155" s="623"/>
      <c r="CL155" s="623"/>
      <c r="CM155" s="623">
        <v>1</v>
      </c>
      <c r="CN155" s="623">
        <f t="shared" si="51"/>
        <v>3.6</v>
      </c>
      <c r="CO155" s="623"/>
      <c r="CP155" s="623"/>
      <c r="CQ155" s="623"/>
      <c r="CR155" s="623"/>
      <c r="CS155" s="623"/>
      <c r="CT155" s="623"/>
      <c r="CU155" s="623"/>
      <c r="CV155" s="623"/>
      <c r="CW155" s="623"/>
      <c r="CX155" s="673"/>
      <c r="CY155" s="557"/>
    </row>
    <row r="156" spans="1:234" ht="13.8" hidden="1">
      <c r="A156" s="706" t="s">
        <v>921</v>
      </c>
      <c r="B156" s="707"/>
      <c r="C156" s="558">
        <v>19</v>
      </c>
      <c r="D156" s="550">
        <f t="shared" si="52"/>
        <v>116</v>
      </c>
      <c r="E156" s="558"/>
      <c r="F156" s="558"/>
      <c r="G156" s="558"/>
      <c r="H156" s="558"/>
      <c r="I156" s="558"/>
      <c r="J156" s="558"/>
      <c r="K156" s="558"/>
      <c r="L156" s="558"/>
      <c r="M156" s="558"/>
      <c r="N156" s="550">
        <f t="shared" si="53"/>
        <v>116</v>
      </c>
      <c r="O156" s="708"/>
      <c r="P156" s="708"/>
      <c r="Q156" s="658" t="s">
        <v>658</v>
      </c>
      <c r="R156" s="710"/>
      <c r="S156" s="710">
        <v>1</v>
      </c>
      <c r="T156" s="710"/>
      <c r="U156" s="710"/>
      <c r="V156" s="710"/>
      <c r="W156" s="710"/>
      <c r="X156" s="710"/>
      <c r="Y156" s="710"/>
      <c r="Z156" s="710">
        <v>1</v>
      </c>
      <c r="AA156" s="709"/>
      <c r="AB156" s="709"/>
      <c r="AC156" s="709"/>
      <c r="AD156" s="709"/>
      <c r="AE156" s="709"/>
      <c r="AF156" s="709"/>
      <c r="AG156" s="709"/>
      <c r="AH156" s="709"/>
      <c r="AI156" s="709"/>
      <c r="AJ156" s="709"/>
      <c r="AK156" s="709"/>
      <c r="AL156" s="709"/>
      <c r="AM156" s="709"/>
      <c r="AN156" s="709"/>
      <c r="AO156" s="709"/>
      <c r="AP156" s="709"/>
      <c r="AQ156" s="709"/>
      <c r="AR156" s="709"/>
      <c r="AS156" s="709"/>
      <c r="AT156" s="709"/>
      <c r="AU156" s="709"/>
      <c r="AV156" s="709"/>
      <c r="AW156" s="709"/>
      <c r="AX156" s="709"/>
      <c r="AY156" s="709"/>
      <c r="AZ156" s="709"/>
      <c r="BA156" s="709"/>
      <c r="BB156" s="709"/>
      <c r="BC156" s="709"/>
      <c r="BD156" s="709"/>
      <c r="BE156" s="709"/>
      <c r="BF156" s="672">
        <f t="shared" si="50"/>
        <v>0</v>
      </c>
      <c r="BG156" s="672">
        <f t="shared" si="50"/>
        <v>0</v>
      </c>
      <c r="BH156" s="709"/>
      <c r="BI156" s="709"/>
      <c r="BJ156" s="709"/>
      <c r="BK156" s="709"/>
      <c r="BL156" s="709"/>
      <c r="BM156" s="709"/>
      <c r="BN156" s="709"/>
      <c r="BO156" s="709"/>
      <c r="BP156" s="709"/>
      <c r="BQ156" s="709"/>
      <c r="BR156" s="709"/>
      <c r="BS156" s="709"/>
      <c r="BT156" s="709"/>
      <c r="BU156" s="709"/>
      <c r="BV156" s="709"/>
      <c r="BW156" s="709"/>
      <c r="BX156" s="709"/>
      <c r="BY156" s="709"/>
      <c r="BZ156" s="709"/>
      <c r="CA156" s="709">
        <v>1</v>
      </c>
      <c r="CB156" s="709"/>
      <c r="CC156" s="709"/>
      <c r="CD156" s="709"/>
      <c r="CE156" s="709"/>
      <c r="CF156" s="709"/>
      <c r="CG156" s="709"/>
      <c r="CH156" s="709"/>
      <c r="CI156" s="709"/>
      <c r="CJ156" s="709"/>
      <c r="CK156" s="709"/>
      <c r="CL156" s="709"/>
      <c r="CM156" s="709">
        <v>1</v>
      </c>
      <c r="CN156" s="709">
        <f t="shared" si="51"/>
        <v>3.6</v>
      </c>
      <c r="CO156" s="709"/>
      <c r="CP156" s="709"/>
      <c r="CQ156" s="709"/>
      <c r="CR156" s="709"/>
      <c r="CS156" s="709"/>
      <c r="CT156" s="709"/>
      <c r="CU156" s="709"/>
      <c r="CV156" s="709"/>
      <c r="CW156" s="709"/>
      <c r="CX156" s="683"/>
      <c r="CY156" s="711"/>
    </row>
    <row r="157" spans="1:234" ht="13.8" hidden="1">
      <c r="A157" s="706" t="s">
        <v>1226</v>
      </c>
      <c r="B157" s="707"/>
      <c r="C157" s="558">
        <v>37</v>
      </c>
      <c r="D157" s="550">
        <f t="shared" si="52"/>
        <v>153</v>
      </c>
      <c r="E157" s="558"/>
      <c r="F157" s="558"/>
      <c r="G157" s="558"/>
      <c r="H157" s="558"/>
      <c r="I157" s="558"/>
      <c r="J157" s="558"/>
      <c r="K157" s="558"/>
      <c r="L157" s="558"/>
      <c r="M157" s="558"/>
      <c r="N157" s="550">
        <f t="shared" si="53"/>
        <v>153</v>
      </c>
      <c r="O157" s="708"/>
      <c r="P157" s="708"/>
      <c r="Q157" s="658" t="s">
        <v>1107</v>
      </c>
      <c r="R157" s="710"/>
      <c r="S157" s="710">
        <v>1</v>
      </c>
      <c r="T157" s="710"/>
      <c r="U157" s="710"/>
      <c r="V157" s="710"/>
      <c r="W157" s="710"/>
      <c r="X157" s="710"/>
      <c r="Y157" s="710"/>
      <c r="Z157" s="710">
        <v>1</v>
      </c>
      <c r="AA157" s="709"/>
      <c r="AB157" s="709"/>
      <c r="AC157" s="709"/>
      <c r="AD157" s="709"/>
      <c r="AE157" s="709"/>
      <c r="AF157" s="709"/>
      <c r="AG157" s="709"/>
      <c r="AH157" s="709"/>
      <c r="AI157" s="709"/>
      <c r="AJ157" s="709"/>
      <c r="AK157" s="709"/>
      <c r="AL157" s="709"/>
      <c r="AM157" s="709"/>
      <c r="AN157" s="709"/>
      <c r="AO157" s="709"/>
      <c r="AP157" s="709"/>
      <c r="AQ157" s="709"/>
      <c r="AR157" s="709"/>
      <c r="AS157" s="709"/>
      <c r="AT157" s="709"/>
      <c r="AU157" s="709"/>
      <c r="AV157" s="709"/>
      <c r="AW157" s="709">
        <v>1</v>
      </c>
      <c r="AX157" s="709"/>
      <c r="AY157" s="709"/>
      <c r="AZ157" s="709"/>
      <c r="BA157" s="709"/>
      <c r="BB157" s="709"/>
      <c r="BC157" s="709"/>
      <c r="BD157" s="709"/>
      <c r="BE157" s="709"/>
      <c r="BF157" s="672">
        <f t="shared" si="50"/>
        <v>1</v>
      </c>
      <c r="BG157" s="672">
        <f t="shared" si="50"/>
        <v>0</v>
      </c>
      <c r="BH157" s="709"/>
      <c r="BI157" s="709"/>
      <c r="BJ157" s="709"/>
      <c r="BK157" s="709"/>
      <c r="BL157" s="709"/>
      <c r="BM157" s="709"/>
      <c r="BN157" s="709"/>
      <c r="BO157" s="709"/>
      <c r="BP157" s="709"/>
      <c r="BQ157" s="709"/>
      <c r="BR157" s="709">
        <v>1</v>
      </c>
      <c r="BS157" s="709"/>
      <c r="BT157" s="709"/>
      <c r="BU157" s="709"/>
      <c r="BV157" s="709"/>
      <c r="BW157" s="709"/>
      <c r="BX157" s="709"/>
      <c r="BY157" s="709"/>
      <c r="BZ157" s="709"/>
      <c r="CA157" s="709">
        <v>1</v>
      </c>
      <c r="CB157" s="709"/>
      <c r="CC157" s="709"/>
      <c r="CD157" s="709"/>
      <c r="CE157" s="709"/>
      <c r="CF157" s="709"/>
      <c r="CG157" s="709"/>
      <c r="CH157" s="709"/>
      <c r="CI157" s="709"/>
      <c r="CJ157" s="709"/>
      <c r="CK157" s="709"/>
      <c r="CL157" s="709"/>
      <c r="CM157" s="709">
        <v>1</v>
      </c>
      <c r="CN157" s="709">
        <f t="shared" si="51"/>
        <v>3.6</v>
      </c>
      <c r="CO157" s="709"/>
      <c r="CP157" s="709"/>
      <c r="CQ157" s="709"/>
      <c r="CR157" s="709"/>
      <c r="CS157" s="709"/>
      <c r="CT157" s="709"/>
      <c r="CU157" s="709"/>
      <c r="CV157" s="709"/>
      <c r="CW157" s="709"/>
      <c r="CX157" s="683"/>
      <c r="CY157" s="711"/>
    </row>
    <row r="158" spans="1:234" ht="13.8" hidden="1">
      <c r="A158" s="706" t="s">
        <v>921</v>
      </c>
      <c r="B158" s="707"/>
      <c r="C158" s="558"/>
      <c r="D158" s="550">
        <f t="shared" si="52"/>
        <v>153</v>
      </c>
      <c r="E158" s="558"/>
      <c r="F158" s="558"/>
      <c r="G158" s="558"/>
      <c r="H158" s="558"/>
      <c r="I158" s="558"/>
      <c r="J158" s="558"/>
      <c r="K158" s="558"/>
      <c r="L158" s="558"/>
      <c r="M158" s="558"/>
      <c r="N158" s="550">
        <f t="shared" si="53"/>
        <v>153</v>
      </c>
      <c r="O158" s="708"/>
      <c r="P158" s="708"/>
      <c r="Q158" s="658" t="s">
        <v>4030</v>
      </c>
      <c r="R158" s="710"/>
      <c r="S158" s="710"/>
      <c r="T158" s="710"/>
      <c r="U158" s="710"/>
      <c r="V158" s="710"/>
      <c r="W158" s="710"/>
      <c r="X158" s="710"/>
      <c r="Y158" s="710"/>
      <c r="Z158" s="710"/>
      <c r="AA158" s="709"/>
      <c r="AB158" s="709"/>
      <c r="AC158" s="709"/>
      <c r="AD158" s="709"/>
      <c r="AE158" s="709"/>
      <c r="AF158" s="709"/>
      <c r="AG158" s="709"/>
      <c r="AH158" s="709"/>
      <c r="AI158" s="709"/>
      <c r="AJ158" s="709"/>
      <c r="AK158" s="709"/>
      <c r="AL158" s="709"/>
      <c r="AM158" s="709"/>
      <c r="AN158" s="709"/>
      <c r="AO158" s="709"/>
      <c r="AP158" s="709"/>
      <c r="AQ158" s="709"/>
      <c r="AR158" s="709"/>
      <c r="AS158" s="709"/>
      <c r="AT158" s="709"/>
      <c r="AU158" s="709"/>
      <c r="AV158" s="709"/>
      <c r="AW158" s="709"/>
      <c r="AX158" s="709"/>
      <c r="AY158" s="709"/>
      <c r="AZ158" s="709"/>
      <c r="BA158" s="709"/>
      <c r="BB158" s="709"/>
      <c r="BC158" s="709"/>
      <c r="BD158" s="709"/>
      <c r="BE158" s="709"/>
      <c r="BF158" s="672">
        <f t="shared" si="50"/>
        <v>0</v>
      </c>
      <c r="BG158" s="672">
        <f t="shared" si="50"/>
        <v>0</v>
      </c>
      <c r="BH158" s="709"/>
      <c r="BI158" s="709"/>
      <c r="BJ158" s="709"/>
      <c r="BK158" s="709"/>
      <c r="BL158" s="709"/>
      <c r="BM158" s="709"/>
      <c r="BN158" s="709"/>
      <c r="BO158" s="709"/>
      <c r="BP158" s="709"/>
      <c r="BQ158" s="709"/>
      <c r="BR158" s="709"/>
      <c r="BS158" s="709"/>
      <c r="BT158" s="709"/>
      <c r="BU158" s="709"/>
      <c r="BV158" s="709"/>
      <c r="BW158" s="709"/>
      <c r="BX158" s="709"/>
      <c r="BY158" s="709"/>
      <c r="BZ158" s="709"/>
      <c r="CA158" s="709"/>
      <c r="CB158" s="709"/>
      <c r="CC158" s="709"/>
      <c r="CD158" s="709"/>
      <c r="CE158" s="709"/>
      <c r="CF158" s="709"/>
      <c r="CG158" s="709"/>
      <c r="CH158" s="709"/>
      <c r="CI158" s="709"/>
      <c r="CJ158" s="709"/>
      <c r="CK158" s="709"/>
      <c r="CL158" s="709"/>
      <c r="CM158" s="709"/>
      <c r="CN158" s="709">
        <f t="shared" si="51"/>
        <v>0</v>
      </c>
      <c r="CO158" s="709"/>
      <c r="CP158" s="709"/>
      <c r="CQ158" s="709"/>
      <c r="CR158" s="709"/>
      <c r="CS158" s="709"/>
      <c r="CT158" s="709"/>
      <c r="CU158" s="709"/>
      <c r="CV158" s="709"/>
      <c r="CW158" s="709"/>
      <c r="CX158" s="683"/>
      <c r="CY158" s="711"/>
    </row>
    <row r="159" spans="1:234" s="678" customFormat="1" ht="13.8" hidden="1">
      <c r="A159" s="712" t="s">
        <v>1928</v>
      </c>
      <c r="B159" s="613"/>
      <c r="C159" s="613">
        <v>29</v>
      </c>
      <c r="D159" s="550">
        <f t="shared" si="52"/>
        <v>182</v>
      </c>
      <c r="E159" s="613"/>
      <c r="F159" s="613"/>
      <c r="G159" s="613"/>
      <c r="H159" s="613"/>
      <c r="I159" s="613"/>
      <c r="J159" s="679"/>
      <c r="K159" s="613"/>
      <c r="L159" s="613"/>
      <c r="M159" s="613"/>
      <c r="N159" s="550">
        <f t="shared" si="53"/>
        <v>182</v>
      </c>
      <c r="O159" s="614"/>
      <c r="P159" s="614"/>
      <c r="Q159" s="680" t="s">
        <v>1107</v>
      </c>
      <c r="R159" s="681"/>
      <c r="S159" s="681">
        <v>1</v>
      </c>
      <c r="T159" s="681"/>
      <c r="U159" s="681"/>
      <c r="V159" s="681"/>
      <c r="W159" s="681"/>
      <c r="X159" s="681"/>
      <c r="Y159" s="681"/>
      <c r="Z159" s="681">
        <v>1</v>
      </c>
      <c r="AA159" s="682"/>
      <c r="AB159" s="682"/>
      <c r="AC159" s="682"/>
      <c r="AD159" s="682"/>
      <c r="AE159" s="682"/>
      <c r="AF159" s="682"/>
      <c r="AG159" s="682"/>
      <c r="AH159" s="682"/>
      <c r="AI159" s="682"/>
      <c r="AJ159" s="682"/>
      <c r="AK159" s="682"/>
      <c r="AL159" s="682"/>
      <c r="AM159" s="682"/>
      <c r="AN159" s="682"/>
      <c r="AO159" s="682"/>
      <c r="AP159" s="682"/>
      <c r="AQ159" s="682"/>
      <c r="AR159" s="682"/>
      <c r="AS159" s="682"/>
      <c r="AT159" s="682"/>
      <c r="AU159" s="682"/>
      <c r="AV159" s="682"/>
      <c r="AW159" s="682"/>
      <c r="AX159" s="682"/>
      <c r="AY159" s="682"/>
      <c r="AZ159" s="682"/>
      <c r="BA159" s="682"/>
      <c r="BB159" s="682"/>
      <c r="BC159" s="682"/>
      <c r="BD159" s="682"/>
      <c r="BE159" s="682"/>
      <c r="BF159" s="672">
        <f t="shared" si="50"/>
        <v>0</v>
      </c>
      <c r="BG159" s="672">
        <f t="shared" si="50"/>
        <v>0</v>
      </c>
      <c r="BH159" s="682"/>
      <c r="BI159" s="682"/>
      <c r="BJ159" s="682"/>
      <c r="BK159" s="682"/>
      <c r="BL159" s="682"/>
      <c r="BM159" s="682"/>
      <c r="BN159" s="682"/>
      <c r="BO159" s="682"/>
      <c r="BP159" s="682"/>
      <c r="BQ159" s="682"/>
      <c r="BR159" s="682">
        <v>1</v>
      </c>
      <c r="BS159" s="682"/>
      <c r="BT159" s="682"/>
      <c r="BU159" s="682"/>
      <c r="BV159" s="682"/>
      <c r="BW159" s="682"/>
      <c r="BX159" s="682"/>
      <c r="BY159" s="682"/>
      <c r="BZ159" s="682"/>
      <c r="CA159" s="682">
        <v>1</v>
      </c>
      <c r="CB159" s="682"/>
      <c r="CC159" s="682"/>
      <c r="CD159" s="682"/>
      <c r="CE159" s="682"/>
      <c r="CF159" s="682"/>
      <c r="CG159" s="682"/>
      <c r="CH159" s="682"/>
      <c r="CI159" s="682"/>
      <c r="CJ159" s="682"/>
      <c r="CK159" s="682"/>
      <c r="CL159" s="682"/>
      <c r="CM159" s="682">
        <v>1</v>
      </c>
      <c r="CN159" s="682">
        <f t="shared" si="51"/>
        <v>3.6</v>
      </c>
      <c r="CO159" s="682"/>
      <c r="CP159" s="682"/>
      <c r="CQ159" s="682"/>
      <c r="CR159" s="682"/>
      <c r="CS159" s="682"/>
      <c r="CT159" s="682"/>
      <c r="CU159" s="682"/>
      <c r="CV159" s="682"/>
      <c r="CW159" s="682"/>
      <c r="CX159" s="683"/>
      <c r="CY159" s="711"/>
      <c r="CZ159" s="677"/>
      <c r="DA159" s="530"/>
      <c r="DB159" s="530"/>
      <c r="DC159" s="530"/>
      <c r="DD159" s="530"/>
      <c r="DE159" s="530"/>
      <c r="DF159" s="530"/>
      <c r="DG159" s="530"/>
      <c r="DH159" s="530"/>
      <c r="DI159" s="530"/>
      <c r="DJ159" s="530"/>
      <c r="DK159" s="530"/>
      <c r="DL159" s="530"/>
      <c r="DM159" s="530"/>
      <c r="DN159" s="530"/>
      <c r="DO159" s="530"/>
      <c r="DP159" s="530"/>
      <c r="DQ159" s="530"/>
      <c r="DR159" s="530"/>
      <c r="DS159" s="530"/>
      <c r="DT159" s="530"/>
      <c r="DU159" s="530"/>
      <c r="DV159" s="530"/>
      <c r="DW159" s="530"/>
      <c r="DX159" s="530"/>
      <c r="DY159" s="530"/>
      <c r="DZ159" s="530"/>
      <c r="EA159" s="530"/>
      <c r="EB159" s="530"/>
      <c r="EC159" s="530"/>
      <c r="ED159" s="530"/>
      <c r="EE159" s="530"/>
      <c r="EF159" s="530"/>
      <c r="EG159" s="530"/>
      <c r="EH159" s="530"/>
      <c r="EI159" s="530"/>
      <c r="EJ159" s="530"/>
      <c r="EK159" s="530"/>
      <c r="EL159" s="530"/>
      <c r="EM159" s="530"/>
      <c r="EN159" s="530"/>
      <c r="EO159" s="530"/>
      <c r="EP159" s="530"/>
      <c r="EQ159" s="530"/>
      <c r="ER159" s="530"/>
      <c r="ES159" s="530"/>
      <c r="ET159" s="530"/>
      <c r="EU159" s="530"/>
      <c r="EV159" s="530"/>
      <c r="EW159" s="530"/>
      <c r="EX159" s="530"/>
      <c r="EY159" s="530"/>
      <c r="EZ159" s="530"/>
      <c r="FA159" s="530"/>
      <c r="FB159" s="530"/>
      <c r="FC159" s="530"/>
      <c r="FD159" s="530"/>
      <c r="FE159" s="530"/>
      <c r="FF159" s="530"/>
      <c r="FG159" s="530"/>
      <c r="FH159" s="530"/>
      <c r="FI159" s="530"/>
      <c r="FJ159" s="530"/>
      <c r="FK159" s="530"/>
      <c r="FL159" s="530"/>
      <c r="FM159" s="530"/>
      <c r="FN159" s="530"/>
      <c r="FO159" s="530"/>
      <c r="FP159" s="530"/>
      <c r="FQ159" s="530"/>
      <c r="FR159" s="530"/>
      <c r="FS159" s="530"/>
      <c r="FT159" s="530"/>
      <c r="FU159" s="530"/>
      <c r="FV159" s="530"/>
      <c r="FW159" s="530"/>
      <c r="FX159" s="530"/>
      <c r="FY159" s="530"/>
      <c r="FZ159" s="530"/>
      <c r="GA159" s="530"/>
      <c r="GB159" s="530"/>
      <c r="GC159" s="530"/>
      <c r="GD159" s="530"/>
      <c r="GE159" s="530"/>
      <c r="GF159" s="530"/>
      <c r="GG159" s="530"/>
      <c r="GH159" s="530"/>
      <c r="GI159" s="530"/>
      <c r="GJ159" s="530"/>
      <c r="GK159" s="530"/>
      <c r="GL159" s="530"/>
      <c r="GM159" s="530"/>
      <c r="GN159" s="530"/>
      <c r="GO159" s="530"/>
      <c r="GP159" s="530"/>
      <c r="GQ159" s="530"/>
      <c r="GR159" s="530"/>
      <c r="GS159" s="530"/>
      <c r="GT159" s="530"/>
      <c r="GU159" s="530"/>
      <c r="GV159" s="530"/>
      <c r="GW159" s="530"/>
      <c r="GX159" s="530"/>
      <c r="GY159" s="530"/>
      <c r="GZ159" s="530"/>
      <c r="HA159" s="530"/>
      <c r="HB159" s="530"/>
      <c r="HC159" s="530"/>
      <c r="HD159" s="530"/>
      <c r="HE159" s="530"/>
      <c r="HF159" s="530"/>
      <c r="HG159" s="530"/>
      <c r="HH159" s="530"/>
      <c r="HI159" s="530"/>
      <c r="HJ159" s="530"/>
      <c r="HK159" s="530"/>
      <c r="HL159" s="530"/>
      <c r="HM159" s="530"/>
      <c r="HN159" s="530"/>
      <c r="HO159" s="530"/>
      <c r="HP159" s="530"/>
      <c r="HQ159" s="530"/>
      <c r="HR159" s="530"/>
      <c r="HS159" s="530"/>
      <c r="HT159" s="530"/>
      <c r="HU159" s="530"/>
      <c r="HV159" s="530"/>
      <c r="HW159" s="530"/>
      <c r="HX159" s="530"/>
      <c r="HY159" s="530"/>
      <c r="HZ159" s="530"/>
    </row>
    <row r="160" spans="1:234" s="717" customFormat="1" ht="13.8" hidden="1">
      <c r="A160" s="659" t="s">
        <v>4033</v>
      </c>
      <c r="B160" s="713"/>
      <c r="C160" s="714">
        <f>SUM(C152:C159)</f>
        <v>182</v>
      </c>
      <c r="D160" s="714">
        <f t="shared" ref="D160:N160" si="54">D159</f>
        <v>182</v>
      </c>
      <c r="E160" s="714">
        <f t="shared" si="54"/>
        <v>0</v>
      </c>
      <c r="F160" s="714">
        <f t="shared" si="54"/>
        <v>0</v>
      </c>
      <c r="G160" s="714">
        <f t="shared" si="54"/>
        <v>0</v>
      </c>
      <c r="H160" s="714">
        <f t="shared" si="54"/>
        <v>0</v>
      </c>
      <c r="I160" s="714">
        <f t="shared" si="54"/>
        <v>0</v>
      </c>
      <c r="J160" s="714">
        <f t="shared" si="54"/>
        <v>0</v>
      </c>
      <c r="K160" s="714">
        <f t="shared" si="54"/>
        <v>0</v>
      </c>
      <c r="L160" s="714">
        <f t="shared" si="54"/>
        <v>0</v>
      </c>
      <c r="M160" s="714">
        <f t="shared" si="54"/>
        <v>0</v>
      </c>
      <c r="N160" s="714">
        <f t="shared" si="54"/>
        <v>182</v>
      </c>
      <c r="O160" s="714"/>
      <c r="P160" s="714">
        <f>SUM(O152:O159)</f>
        <v>0</v>
      </c>
      <c r="Q160" s="714">
        <f>SUM(P152:P159)</f>
        <v>0</v>
      </c>
      <c r="R160" s="714">
        <f>SUM(Q152:Q159)</f>
        <v>0</v>
      </c>
      <c r="S160" s="714">
        <f t="shared" ref="S160:AX160" si="55">SUM(S152:S159)</f>
        <v>6</v>
      </c>
      <c r="T160" s="714">
        <f t="shared" si="55"/>
        <v>0</v>
      </c>
      <c r="U160" s="714">
        <f t="shared" si="55"/>
        <v>0</v>
      </c>
      <c r="V160" s="714">
        <f t="shared" si="55"/>
        <v>0</v>
      </c>
      <c r="W160" s="714">
        <f t="shared" si="55"/>
        <v>0</v>
      </c>
      <c r="X160" s="714">
        <f t="shared" si="55"/>
        <v>0</v>
      </c>
      <c r="Y160" s="714">
        <f t="shared" si="55"/>
        <v>0</v>
      </c>
      <c r="Z160" s="714">
        <f t="shared" si="55"/>
        <v>6</v>
      </c>
      <c r="AA160" s="714">
        <f t="shared" si="55"/>
        <v>0</v>
      </c>
      <c r="AB160" s="714">
        <f t="shared" si="55"/>
        <v>0</v>
      </c>
      <c r="AC160" s="714">
        <f t="shared" si="55"/>
        <v>0</v>
      </c>
      <c r="AD160" s="714">
        <f t="shared" si="55"/>
        <v>0</v>
      </c>
      <c r="AE160" s="714">
        <f t="shared" si="55"/>
        <v>0</v>
      </c>
      <c r="AF160" s="714">
        <f t="shared" si="55"/>
        <v>0</v>
      </c>
      <c r="AG160" s="714">
        <f t="shared" si="55"/>
        <v>0</v>
      </c>
      <c r="AH160" s="714">
        <f t="shared" si="55"/>
        <v>0</v>
      </c>
      <c r="AI160" s="714">
        <f t="shared" si="55"/>
        <v>0</v>
      </c>
      <c r="AJ160" s="714">
        <f t="shared" si="55"/>
        <v>0</v>
      </c>
      <c r="AK160" s="714">
        <f t="shared" si="55"/>
        <v>0</v>
      </c>
      <c r="AL160" s="714">
        <f t="shared" si="55"/>
        <v>0</v>
      </c>
      <c r="AM160" s="714">
        <f t="shared" si="55"/>
        <v>0</v>
      </c>
      <c r="AN160" s="714">
        <f t="shared" si="55"/>
        <v>0</v>
      </c>
      <c r="AO160" s="714">
        <f t="shared" si="55"/>
        <v>0</v>
      </c>
      <c r="AP160" s="714">
        <f t="shared" si="55"/>
        <v>0</v>
      </c>
      <c r="AQ160" s="714">
        <f t="shared" si="55"/>
        <v>0</v>
      </c>
      <c r="AR160" s="714">
        <f t="shared" si="55"/>
        <v>0</v>
      </c>
      <c r="AS160" s="714">
        <f t="shared" si="55"/>
        <v>0</v>
      </c>
      <c r="AT160" s="714">
        <f t="shared" si="55"/>
        <v>0</v>
      </c>
      <c r="AU160" s="714">
        <f t="shared" si="55"/>
        <v>0</v>
      </c>
      <c r="AV160" s="714">
        <f t="shared" si="55"/>
        <v>0</v>
      </c>
      <c r="AW160" s="714">
        <f t="shared" si="55"/>
        <v>4</v>
      </c>
      <c r="AX160" s="714">
        <f t="shared" si="55"/>
        <v>1</v>
      </c>
      <c r="AY160" s="714">
        <f t="shared" ref="AY160:CB160" si="56">SUM(AY152:AY159)</f>
        <v>0</v>
      </c>
      <c r="AZ160" s="714">
        <f t="shared" si="56"/>
        <v>0</v>
      </c>
      <c r="BA160" s="714">
        <f t="shared" si="56"/>
        <v>0</v>
      </c>
      <c r="BB160" s="714">
        <f t="shared" si="56"/>
        <v>0</v>
      </c>
      <c r="BC160" s="714">
        <f t="shared" si="56"/>
        <v>0</v>
      </c>
      <c r="BD160" s="714">
        <f t="shared" si="56"/>
        <v>0</v>
      </c>
      <c r="BE160" s="714">
        <f t="shared" si="56"/>
        <v>0</v>
      </c>
      <c r="BF160" s="714">
        <f t="shared" si="56"/>
        <v>4</v>
      </c>
      <c r="BG160" s="714">
        <f t="shared" si="56"/>
        <v>1</v>
      </c>
      <c r="BH160" s="714">
        <f t="shared" si="56"/>
        <v>0</v>
      </c>
      <c r="BI160" s="714">
        <f t="shared" si="56"/>
        <v>0</v>
      </c>
      <c r="BJ160" s="714">
        <f t="shared" si="56"/>
        <v>0</v>
      </c>
      <c r="BK160" s="714">
        <f t="shared" si="56"/>
        <v>0</v>
      </c>
      <c r="BL160" s="714">
        <f t="shared" si="56"/>
        <v>0</v>
      </c>
      <c r="BM160" s="714">
        <f t="shared" si="56"/>
        <v>0</v>
      </c>
      <c r="BN160" s="714">
        <f t="shared" si="56"/>
        <v>0</v>
      </c>
      <c r="BO160" s="714">
        <f t="shared" si="56"/>
        <v>0</v>
      </c>
      <c r="BP160" s="714">
        <f t="shared" si="56"/>
        <v>0</v>
      </c>
      <c r="BQ160" s="714">
        <f t="shared" si="56"/>
        <v>0</v>
      </c>
      <c r="BR160" s="714">
        <f t="shared" si="56"/>
        <v>3</v>
      </c>
      <c r="BS160" s="714">
        <f t="shared" si="56"/>
        <v>0</v>
      </c>
      <c r="BT160" s="714">
        <f t="shared" si="56"/>
        <v>0</v>
      </c>
      <c r="BU160" s="714">
        <f t="shared" si="56"/>
        <v>0</v>
      </c>
      <c r="BV160" s="714">
        <f t="shared" si="56"/>
        <v>0</v>
      </c>
      <c r="BW160" s="714">
        <f t="shared" si="56"/>
        <v>0</v>
      </c>
      <c r="BX160" s="714">
        <f t="shared" si="56"/>
        <v>0</v>
      </c>
      <c r="BY160" s="714">
        <f t="shared" si="56"/>
        <v>0</v>
      </c>
      <c r="BZ160" s="714">
        <f t="shared" si="56"/>
        <v>0</v>
      </c>
      <c r="CA160" s="714">
        <f t="shared" si="56"/>
        <v>6</v>
      </c>
      <c r="CB160" s="714">
        <f t="shared" si="56"/>
        <v>0</v>
      </c>
      <c r="CC160" s="714">
        <f t="shared" ref="CC160:CN160" si="57">SUM(CC152:CC159)</f>
        <v>0</v>
      </c>
      <c r="CD160" s="714">
        <f t="shared" si="57"/>
        <v>0</v>
      </c>
      <c r="CE160" s="714">
        <f t="shared" si="57"/>
        <v>0</v>
      </c>
      <c r="CF160" s="714">
        <f t="shared" si="57"/>
        <v>0</v>
      </c>
      <c r="CG160" s="714">
        <f t="shared" si="57"/>
        <v>0</v>
      </c>
      <c r="CH160" s="714">
        <f t="shared" si="57"/>
        <v>0</v>
      </c>
      <c r="CI160" s="714">
        <f t="shared" si="57"/>
        <v>0</v>
      </c>
      <c r="CJ160" s="714">
        <f t="shared" si="57"/>
        <v>0</v>
      </c>
      <c r="CK160" s="714">
        <f t="shared" si="57"/>
        <v>0</v>
      </c>
      <c r="CL160" s="714">
        <f t="shared" si="57"/>
        <v>0</v>
      </c>
      <c r="CM160" s="714">
        <f t="shared" si="57"/>
        <v>6</v>
      </c>
      <c r="CN160" s="714">
        <f t="shared" si="57"/>
        <v>21.6</v>
      </c>
      <c r="CO160" s="714">
        <f t="shared" ref="CO160:CW160" si="58">SUM(CO152:CO159)</f>
        <v>0</v>
      </c>
      <c r="CP160" s="714">
        <f t="shared" si="58"/>
        <v>0</v>
      </c>
      <c r="CQ160" s="714">
        <f t="shared" si="58"/>
        <v>0</v>
      </c>
      <c r="CR160" s="714">
        <f t="shared" si="58"/>
        <v>1</v>
      </c>
      <c r="CS160" s="714">
        <f t="shared" si="58"/>
        <v>0</v>
      </c>
      <c r="CT160" s="714">
        <f t="shared" si="58"/>
        <v>0</v>
      </c>
      <c r="CU160" s="714">
        <f t="shared" si="58"/>
        <v>0</v>
      </c>
      <c r="CV160" s="714">
        <f t="shared" si="58"/>
        <v>0</v>
      </c>
      <c r="CW160" s="714">
        <f t="shared" si="58"/>
        <v>0</v>
      </c>
      <c r="CX160" s="715">
        <v>22</v>
      </c>
      <c r="CY160" s="716"/>
    </row>
    <row r="161" spans="1:234" s="545" customFormat="1" ht="18" hidden="1" customHeight="1">
      <c r="A161" s="655" t="s">
        <v>4034</v>
      </c>
      <c r="B161" s="544"/>
      <c r="C161" s="544"/>
      <c r="D161" s="544"/>
      <c r="E161" s="544"/>
      <c r="F161" s="544"/>
      <c r="G161" s="544"/>
      <c r="H161" s="544"/>
      <c r="I161" s="544"/>
      <c r="J161" s="544"/>
      <c r="K161" s="544"/>
      <c r="L161" s="544"/>
      <c r="M161" s="544"/>
      <c r="N161" s="544"/>
      <c r="O161" s="544"/>
      <c r="P161" s="544"/>
      <c r="Q161" s="544"/>
      <c r="R161" s="544"/>
      <c r="S161" s="544"/>
      <c r="T161" s="544"/>
      <c r="U161" s="544"/>
      <c r="V161" s="544"/>
      <c r="W161" s="544"/>
      <c r="X161" s="544"/>
      <c r="Y161" s="544"/>
      <c r="Z161" s="544"/>
      <c r="AA161" s="544"/>
      <c r="AB161" s="544"/>
      <c r="AC161" s="544"/>
      <c r="AD161" s="544"/>
      <c r="AE161" s="544"/>
      <c r="AF161" s="544"/>
      <c r="AG161" s="544"/>
      <c r="AH161" s="544"/>
      <c r="AI161" s="544"/>
      <c r="AJ161" s="544"/>
      <c r="AK161" s="544"/>
      <c r="AL161" s="544"/>
      <c r="AM161" s="544"/>
      <c r="AN161" s="544"/>
      <c r="AO161" s="544"/>
      <c r="AP161" s="544"/>
      <c r="AQ161" s="544"/>
      <c r="AR161" s="544"/>
      <c r="AS161" s="544"/>
      <c r="AT161" s="544"/>
      <c r="AU161" s="544"/>
      <c r="AV161" s="544"/>
      <c r="AW161" s="544"/>
      <c r="AX161" s="544"/>
      <c r="AY161" s="544"/>
      <c r="AZ161" s="544"/>
      <c r="BA161" s="544"/>
      <c r="BB161" s="544"/>
      <c r="BC161" s="544"/>
      <c r="BD161" s="544"/>
      <c r="BE161" s="544"/>
      <c r="BF161" s="544"/>
      <c r="BG161" s="544"/>
      <c r="BH161" s="544"/>
      <c r="BI161" s="544"/>
      <c r="BJ161" s="544"/>
      <c r="BK161" s="544"/>
      <c r="BL161" s="544"/>
      <c r="BM161" s="544"/>
      <c r="BN161" s="544"/>
      <c r="BO161" s="544"/>
      <c r="BP161" s="544"/>
      <c r="BQ161" s="544"/>
      <c r="BR161" s="544"/>
      <c r="BS161" s="544"/>
      <c r="BT161" s="544"/>
      <c r="BU161" s="544"/>
      <c r="BV161" s="544"/>
      <c r="BW161" s="544"/>
      <c r="BX161" s="544"/>
      <c r="BY161" s="544"/>
      <c r="BZ161" s="544"/>
      <c r="CA161" s="544"/>
      <c r="CB161" s="544"/>
      <c r="CC161" s="544"/>
      <c r="CD161" s="544"/>
      <c r="CE161" s="544"/>
      <c r="CF161" s="544"/>
      <c r="CG161" s="544"/>
      <c r="CH161" s="544"/>
      <c r="CI161" s="544"/>
      <c r="CJ161" s="544"/>
      <c r="CK161" s="544"/>
      <c r="CL161" s="544"/>
      <c r="CM161" s="544"/>
      <c r="CN161" s="544"/>
      <c r="CO161" s="544"/>
      <c r="CP161" s="544"/>
      <c r="CQ161" s="544"/>
      <c r="CR161" s="544"/>
      <c r="CS161" s="544"/>
      <c r="CT161" s="544"/>
      <c r="CU161" s="544"/>
      <c r="CV161" s="544"/>
      <c r="CW161" s="544"/>
      <c r="CX161" s="544"/>
      <c r="CY161" s="669"/>
      <c r="CZ161" s="530"/>
      <c r="DA161" s="530"/>
      <c r="DB161" s="530"/>
      <c r="DC161" s="530"/>
      <c r="DD161" s="530"/>
      <c r="DE161" s="530"/>
      <c r="DF161" s="530"/>
      <c r="DG161" s="530"/>
      <c r="DH161" s="530"/>
      <c r="DI161" s="530"/>
      <c r="DJ161" s="530"/>
      <c r="DK161" s="530"/>
      <c r="DL161" s="530"/>
      <c r="DM161" s="530"/>
      <c r="DN161" s="530"/>
      <c r="DO161" s="530"/>
      <c r="DP161" s="530"/>
      <c r="DQ161" s="530"/>
      <c r="DR161" s="530"/>
      <c r="DS161" s="530"/>
      <c r="DT161" s="530"/>
      <c r="DU161" s="530"/>
      <c r="DV161" s="530"/>
      <c r="DW161" s="530"/>
      <c r="DX161" s="530"/>
      <c r="DY161" s="530"/>
      <c r="DZ161" s="530"/>
      <c r="EA161" s="530"/>
      <c r="EB161" s="530"/>
      <c r="EC161" s="530"/>
      <c r="ED161" s="530"/>
      <c r="EE161" s="530"/>
      <c r="EF161" s="530"/>
      <c r="EG161" s="530"/>
      <c r="EH161" s="530"/>
      <c r="EI161" s="530"/>
      <c r="EJ161" s="530"/>
      <c r="EK161" s="530"/>
      <c r="EL161" s="530"/>
      <c r="EM161" s="530"/>
      <c r="EN161" s="530"/>
      <c r="EO161" s="530"/>
      <c r="EP161" s="530"/>
      <c r="EQ161" s="530"/>
      <c r="ER161" s="530"/>
      <c r="ES161" s="530"/>
      <c r="ET161" s="530"/>
      <c r="EU161" s="530"/>
      <c r="EV161" s="530"/>
      <c r="EW161" s="530"/>
      <c r="EX161" s="530"/>
      <c r="EY161" s="530"/>
      <c r="EZ161" s="530"/>
      <c r="FA161" s="530"/>
      <c r="FB161" s="530"/>
      <c r="FC161" s="530"/>
      <c r="FD161" s="530"/>
      <c r="FE161" s="530"/>
      <c r="FF161" s="530"/>
      <c r="FG161" s="530"/>
      <c r="FH161" s="530"/>
      <c r="FI161" s="530"/>
      <c r="FJ161" s="530"/>
      <c r="FK161" s="530"/>
      <c r="FL161" s="530"/>
      <c r="FM161" s="530"/>
      <c r="FN161" s="530"/>
      <c r="FO161" s="530"/>
      <c r="FP161" s="530"/>
      <c r="FQ161" s="530"/>
      <c r="FR161" s="530"/>
      <c r="FS161" s="530"/>
      <c r="FT161" s="530"/>
      <c r="FU161" s="530"/>
      <c r="FV161" s="530"/>
      <c r="FW161" s="530"/>
      <c r="FX161" s="530"/>
      <c r="FY161" s="530"/>
      <c r="FZ161" s="530"/>
      <c r="GA161" s="530"/>
      <c r="GB161" s="530"/>
      <c r="GC161" s="530"/>
      <c r="GD161" s="530"/>
      <c r="GE161" s="530"/>
      <c r="GF161" s="530"/>
      <c r="GG161" s="530"/>
      <c r="GH161" s="530"/>
      <c r="GI161" s="530"/>
      <c r="GJ161" s="530"/>
      <c r="GK161" s="530"/>
      <c r="GL161" s="530"/>
      <c r="GM161" s="530"/>
      <c r="GN161" s="530"/>
      <c r="GO161" s="530"/>
      <c r="GP161" s="530"/>
      <c r="GQ161" s="530"/>
      <c r="GR161" s="530"/>
      <c r="GS161" s="530"/>
      <c r="GT161" s="530"/>
      <c r="GU161" s="530"/>
      <c r="GV161" s="530"/>
      <c r="GW161" s="530"/>
      <c r="GX161" s="530"/>
      <c r="GY161" s="530"/>
      <c r="GZ161" s="530"/>
      <c r="HA161" s="530"/>
      <c r="HB161" s="530"/>
      <c r="HC161" s="530"/>
      <c r="HD161" s="530"/>
      <c r="HE161" s="530"/>
      <c r="HF161" s="530"/>
      <c r="HG161" s="530"/>
      <c r="HH161" s="530"/>
      <c r="HI161" s="530"/>
      <c r="HJ161" s="530"/>
      <c r="HK161" s="530"/>
      <c r="HL161" s="530"/>
      <c r="HM161" s="530"/>
      <c r="HN161" s="530"/>
      <c r="HO161" s="530"/>
      <c r="HP161" s="530"/>
      <c r="HQ161" s="530"/>
      <c r="HR161" s="530"/>
      <c r="HS161" s="530"/>
      <c r="HT161" s="530"/>
      <c r="HU161" s="530"/>
      <c r="HV161" s="530"/>
      <c r="HW161" s="530"/>
      <c r="HX161" s="530"/>
      <c r="HY161" s="530"/>
      <c r="HZ161" s="530"/>
    </row>
    <row r="162" spans="1:234" ht="13.8" hidden="1">
      <c r="A162" s="591"/>
      <c r="B162" s="702" t="s">
        <v>1929</v>
      </c>
      <c r="C162" s="555"/>
      <c r="D162" s="555"/>
      <c r="E162" s="555"/>
      <c r="F162" s="555"/>
      <c r="G162" s="555"/>
      <c r="H162" s="555"/>
      <c r="I162" s="555"/>
      <c r="J162" s="555"/>
      <c r="K162" s="555"/>
      <c r="L162" s="555"/>
      <c r="M162" s="555"/>
      <c r="N162" s="555">
        <f>C162</f>
        <v>0</v>
      </c>
      <c r="O162" s="556"/>
      <c r="P162" s="556"/>
      <c r="Q162" s="703" t="s">
        <v>1622</v>
      </c>
      <c r="R162" s="718"/>
      <c r="S162" s="718"/>
      <c r="T162" s="718"/>
      <c r="U162" s="718"/>
      <c r="V162" s="718"/>
      <c r="W162" s="718"/>
      <c r="X162" s="718"/>
      <c r="Y162" s="718"/>
      <c r="Z162" s="718"/>
      <c r="AA162" s="672"/>
      <c r="AB162" s="672"/>
      <c r="AC162" s="672"/>
      <c r="AD162" s="672"/>
      <c r="AE162" s="672"/>
      <c r="AF162" s="672"/>
      <c r="AG162" s="672"/>
      <c r="AH162" s="672"/>
      <c r="AI162" s="672"/>
      <c r="AJ162" s="672"/>
      <c r="AK162" s="672"/>
      <c r="AL162" s="672"/>
      <c r="AM162" s="672"/>
      <c r="AN162" s="672"/>
      <c r="AO162" s="672"/>
      <c r="AP162" s="672"/>
      <c r="AQ162" s="672"/>
      <c r="AR162" s="672"/>
      <c r="AS162" s="672"/>
      <c r="AT162" s="672"/>
      <c r="AU162" s="672"/>
      <c r="AV162" s="672"/>
      <c r="AW162" s="672"/>
      <c r="AX162" s="672"/>
      <c r="AY162" s="672"/>
      <c r="AZ162" s="672"/>
      <c r="BA162" s="672"/>
      <c r="BB162" s="672"/>
      <c r="BC162" s="672"/>
      <c r="BD162" s="672"/>
      <c r="BE162" s="672"/>
      <c r="BF162" s="672">
        <f t="shared" ref="BF162:BG168" si="59">AW162</f>
        <v>0</v>
      </c>
      <c r="BG162" s="672">
        <f t="shared" si="59"/>
        <v>0</v>
      </c>
      <c r="BH162" s="672"/>
      <c r="BI162" s="672"/>
      <c r="BJ162" s="672"/>
      <c r="BK162" s="672"/>
      <c r="BL162" s="672"/>
      <c r="BM162" s="672"/>
      <c r="BN162" s="672"/>
      <c r="BO162" s="672"/>
      <c r="BP162" s="672"/>
      <c r="BQ162" s="672"/>
      <c r="BR162" s="672"/>
      <c r="BS162" s="672"/>
      <c r="BT162" s="672"/>
      <c r="BU162" s="672"/>
      <c r="BV162" s="672"/>
      <c r="BW162" s="672"/>
      <c r="BX162" s="672"/>
      <c r="BY162" s="672"/>
      <c r="BZ162" s="672"/>
      <c r="CA162" s="672"/>
      <c r="CB162" s="672"/>
      <c r="CC162" s="672"/>
      <c r="CD162" s="672"/>
      <c r="CE162" s="672"/>
      <c r="CF162" s="672"/>
      <c r="CG162" s="672"/>
      <c r="CH162" s="672"/>
      <c r="CI162" s="672"/>
      <c r="CJ162" s="672"/>
      <c r="CK162" s="672"/>
      <c r="CL162" s="672"/>
      <c r="CM162" s="672"/>
      <c r="CN162" s="672">
        <f t="shared" ref="CN162:CN168" si="60">+CM162*3.6</f>
        <v>0</v>
      </c>
      <c r="CO162" s="672"/>
      <c r="CP162" s="672"/>
      <c r="CQ162" s="672"/>
      <c r="CR162" s="672"/>
      <c r="CS162" s="672"/>
      <c r="CT162" s="672"/>
      <c r="CU162" s="672"/>
      <c r="CV162" s="672"/>
      <c r="CW162" s="672"/>
      <c r="CX162" s="704"/>
      <c r="CY162" s="705"/>
      <c r="HU162" s="542"/>
      <c r="HV162" s="542"/>
      <c r="HW162" s="542"/>
      <c r="HX162" s="542"/>
      <c r="HY162" s="542"/>
      <c r="HZ162" s="542"/>
    </row>
    <row r="163" spans="1:234" ht="13.8" hidden="1">
      <c r="A163" s="591" t="s">
        <v>2119</v>
      </c>
      <c r="B163" s="670"/>
      <c r="C163" s="550">
        <v>19</v>
      </c>
      <c r="D163" s="550">
        <f t="shared" ref="D163:D168" si="61">D162+C163</f>
        <v>19</v>
      </c>
      <c r="E163" s="550"/>
      <c r="F163" s="550"/>
      <c r="G163" s="550"/>
      <c r="H163" s="550"/>
      <c r="I163" s="550"/>
      <c r="J163" s="550"/>
      <c r="K163" s="550"/>
      <c r="L163" s="550"/>
      <c r="M163" s="550"/>
      <c r="N163" s="550">
        <f t="shared" ref="N163:N168" si="62">+N162+C163</f>
        <v>19</v>
      </c>
      <c r="O163" s="439"/>
      <c r="P163" s="439"/>
      <c r="Q163" s="674" t="s">
        <v>586</v>
      </c>
      <c r="R163" s="671"/>
      <c r="S163" s="671">
        <v>1</v>
      </c>
      <c r="T163" s="671"/>
      <c r="U163" s="671"/>
      <c r="V163" s="671"/>
      <c r="W163" s="671"/>
      <c r="X163" s="671"/>
      <c r="Y163" s="671"/>
      <c r="Z163" s="671">
        <v>1</v>
      </c>
      <c r="AA163" s="623"/>
      <c r="AB163" s="623"/>
      <c r="AC163" s="623"/>
      <c r="AD163" s="623"/>
      <c r="AE163" s="623"/>
      <c r="AF163" s="623"/>
      <c r="AG163" s="623"/>
      <c r="AH163" s="623"/>
      <c r="AI163" s="623"/>
      <c r="AJ163" s="623"/>
      <c r="AK163" s="623"/>
      <c r="AL163" s="623"/>
      <c r="AM163" s="623"/>
      <c r="AN163" s="623"/>
      <c r="AO163" s="623"/>
      <c r="AP163" s="623"/>
      <c r="AQ163" s="623"/>
      <c r="AR163" s="623"/>
      <c r="AS163" s="623"/>
      <c r="AT163" s="623"/>
      <c r="AU163" s="623"/>
      <c r="AV163" s="623"/>
      <c r="AW163" s="623">
        <v>1</v>
      </c>
      <c r="AX163" s="623"/>
      <c r="AY163" s="623"/>
      <c r="AZ163" s="623"/>
      <c r="BA163" s="623"/>
      <c r="BB163" s="623"/>
      <c r="BC163" s="623"/>
      <c r="BD163" s="623"/>
      <c r="BE163" s="623"/>
      <c r="BF163" s="672">
        <f t="shared" si="59"/>
        <v>1</v>
      </c>
      <c r="BG163" s="672">
        <f t="shared" si="59"/>
        <v>0</v>
      </c>
      <c r="BH163" s="623"/>
      <c r="BI163" s="623"/>
      <c r="BJ163" s="623"/>
      <c r="BK163" s="623"/>
      <c r="BL163" s="623"/>
      <c r="BM163" s="623"/>
      <c r="BN163" s="623"/>
      <c r="BO163" s="623"/>
      <c r="BP163" s="623"/>
      <c r="BQ163" s="623"/>
      <c r="BR163" s="623">
        <v>1</v>
      </c>
      <c r="BS163" s="623"/>
      <c r="BT163" s="623"/>
      <c r="BU163" s="623"/>
      <c r="BV163" s="623"/>
      <c r="BW163" s="623"/>
      <c r="BX163" s="623"/>
      <c r="BY163" s="623"/>
      <c r="BZ163" s="623"/>
      <c r="CA163" s="623">
        <v>1</v>
      </c>
      <c r="CB163" s="623"/>
      <c r="CC163" s="623"/>
      <c r="CD163" s="623"/>
      <c r="CE163" s="623"/>
      <c r="CF163" s="623"/>
      <c r="CG163" s="623"/>
      <c r="CH163" s="623"/>
      <c r="CI163" s="623"/>
      <c r="CJ163" s="623"/>
      <c r="CK163" s="623"/>
      <c r="CL163" s="623"/>
      <c r="CM163" s="623">
        <v>1</v>
      </c>
      <c r="CN163" s="623">
        <f t="shared" si="60"/>
        <v>3.6</v>
      </c>
      <c r="CO163" s="623"/>
      <c r="CP163" s="623"/>
      <c r="CQ163" s="623"/>
      <c r="CR163" s="623"/>
      <c r="CS163" s="623"/>
      <c r="CT163" s="623"/>
      <c r="CU163" s="623"/>
      <c r="CV163" s="623"/>
      <c r="CW163" s="623"/>
      <c r="CX163" s="673"/>
      <c r="CY163" s="557"/>
    </row>
    <row r="164" spans="1:234" ht="13.8" hidden="1">
      <c r="A164" s="591" t="s">
        <v>2120</v>
      </c>
      <c r="B164" s="670"/>
      <c r="C164" s="550">
        <v>29</v>
      </c>
      <c r="D164" s="550">
        <f t="shared" si="61"/>
        <v>48</v>
      </c>
      <c r="E164" s="550"/>
      <c r="F164" s="550"/>
      <c r="G164" s="550"/>
      <c r="H164" s="550"/>
      <c r="I164" s="550"/>
      <c r="J164" s="550"/>
      <c r="K164" s="550"/>
      <c r="L164" s="550"/>
      <c r="M164" s="550"/>
      <c r="N164" s="550">
        <f t="shared" si="62"/>
        <v>48</v>
      </c>
      <c r="O164" s="439"/>
      <c r="P164" s="439"/>
      <c r="Q164" s="674" t="s">
        <v>404</v>
      </c>
      <c r="R164" s="671"/>
      <c r="S164" s="671">
        <v>1</v>
      </c>
      <c r="T164" s="671"/>
      <c r="U164" s="671"/>
      <c r="V164" s="671"/>
      <c r="W164" s="671"/>
      <c r="X164" s="671"/>
      <c r="Y164" s="671"/>
      <c r="Z164" s="671">
        <v>1</v>
      </c>
      <c r="AA164" s="623"/>
      <c r="AB164" s="623"/>
      <c r="AC164" s="623"/>
      <c r="AD164" s="623"/>
      <c r="AE164" s="623"/>
      <c r="AF164" s="623"/>
      <c r="AG164" s="623"/>
      <c r="AH164" s="623"/>
      <c r="AI164" s="623"/>
      <c r="AJ164" s="623"/>
      <c r="AK164" s="623"/>
      <c r="AL164" s="623"/>
      <c r="AM164" s="623"/>
      <c r="AN164" s="623"/>
      <c r="AO164" s="623"/>
      <c r="AP164" s="623"/>
      <c r="AQ164" s="623"/>
      <c r="AR164" s="623"/>
      <c r="AS164" s="623"/>
      <c r="AT164" s="623"/>
      <c r="AU164" s="623"/>
      <c r="AV164" s="623"/>
      <c r="AW164" s="623"/>
      <c r="AX164" s="623"/>
      <c r="AY164" s="623"/>
      <c r="AZ164" s="623"/>
      <c r="BA164" s="623"/>
      <c r="BB164" s="623"/>
      <c r="BC164" s="623"/>
      <c r="BD164" s="623"/>
      <c r="BE164" s="623"/>
      <c r="BF164" s="672">
        <f t="shared" si="59"/>
        <v>0</v>
      </c>
      <c r="BG164" s="672">
        <f t="shared" si="59"/>
        <v>0</v>
      </c>
      <c r="BH164" s="623"/>
      <c r="BI164" s="623"/>
      <c r="BJ164" s="623"/>
      <c r="BK164" s="623"/>
      <c r="BL164" s="623"/>
      <c r="BM164" s="623"/>
      <c r="BN164" s="623"/>
      <c r="BO164" s="623"/>
      <c r="BP164" s="623"/>
      <c r="BQ164" s="623"/>
      <c r="BR164" s="623"/>
      <c r="BS164" s="623"/>
      <c r="BT164" s="623"/>
      <c r="BU164" s="623"/>
      <c r="BV164" s="623"/>
      <c r="BW164" s="623"/>
      <c r="BX164" s="623"/>
      <c r="BY164" s="623"/>
      <c r="BZ164" s="623"/>
      <c r="CA164" s="623">
        <v>1</v>
      </c>
      <c r="CB164" s="623"/>
      <c r="CC164" s="623"/>
      <c r="CD164" s="623"/>
      <c r="CE164" s="623"/>
      <c r="CF164" s="623"/>
      <c r="CG164" s="623"/>
      <c r="CH164" s="623"/>
      <c r="CI164" s="623"/>
      <c r="CJ164" s="623"/>
      <c r="CK164" s="623"/>
      <c r="CL164" s="623"/>
      <c r="CM164" s="623">
        <v>1</v>
      </c>
      <c r="CN164" s="623">
        <f t="shared" si="60"/>
        <v>3.6</v>
      </c>
      <c r="CO164" s="623"/>
      <c r="CP164" s="623"/>
      <c r="CQ164" s="623"/>
      <c r="CR164" s="623">
        <v>1</v>
      </c>
      <c r="CS164" s="623"/>
      <c r="CT164" s="623"/>
      <c r="CU164" s="623"/>
      <c r="CV164" s="623"/>
      <c r="CW164" s="623"/>
      <c r="CX164" s="673"/>
      <c r="CY164" s="557"/>
    </row>
    <row r="165" spans="1:234" ht="13.8" hidden="1">
      <c r="A165" s="591" t="s">
        <v>919</v>
      </c>
      <c r="B165" s="670"/>
      <c r="C165" s="550">
        <v>29</v>
      </c>
      <c r="D165" s="550">
        <f t="shared" si="61"/>
        <v>77</v>
      </c>
      <c r="E165" s="550"/>
      <c r="F165" s="550"/>
      <c r="G165" s="550"/>
      <c r="H165" s="550"/>
      <c r="I165" s="550"/>
      <c r="J165" s="550"/>
      <c r="K165" s="550"/>
      <c r="L165" s="550"/>
      <c r="M165" s="550"/>
      <c r="N165" s="550">
        <f t="shared" si="62"/>
        <v>77</v>
      </c>
      <c r="O165" s="439"/>
      <c r="P165" s="439"/>
      <c r="Q165" s="674" t="s">
        <v>586</v>
      </c>
      <c r="R165" s="671"/>
      <c r="S165" s="671">
        <v>1</v>
      </c>
      <c r="T165" s="671"/>
      <c r="U165" s="671"/>
      <c r="V165" s="671"/>
      <c r="W165" s="671"/>
      <c r="X165" s="671"/>
      <c r="Y165" s="671"/>
      <c r="Z165" s="671">
        <v>1</v>
      </c>
      <c r="AA165" s="623"/>
      <c r="AB165" s="623"/>
      <c r="AC165" s="623"/>
      <c r="AD165" s="623"/>
      <c r="AE165" s="623"/>
      <c r="AF165" s="623"/>
      <c r="AG165" s="623"/>
      <c r="AH165" s="623"/>
      <c r="AI165" s="623"/>
      <c r="AJ165" s="623"/>
      <c r="AK165" s="623"/>
      <c r="AL165" s="623"/>
      <c r="AM165" s="623"/>
      <c r="AN165" s="623"/>
      <c r="AO165" s="623"/>
      <c r="AP165" s="623"/>
      <c r="AQ165" s="623"/>
      <c r="AR165" s="623"/>
      <c r="AS165" s="623"/>
      <c r="AT165" s="623"/>
      <c r="AU165" s="623"/>
      <c r="AV165" s="623"/>
      <c r="AW165" s="623">
        <v>2</v>
      </c>
      <c r="AX165" s="623"/>
      <c r="AY165" s="623"/>
      <c r="AZ165" s="623"/>
      <c r="BA165" s="623"/>
      <c r="BB165" s="623"/>
      <c r="BC165" s="623"/>
      <c r="BD165" s="623"/>
      <c r="BE165" s="623"/>
      <c r="BF165" s="672">
        <f t="shared" si="59"/>
        <v>2</v>
      </c>
      <c r="BG165" s="672">
        <f t="shared" si="59"/>
        <v>0</v>
      </c>
      <c r="BH165" s="623"/>
      <c r="BI165" s="623"/>
      <c r="BJ165" s="623"/>
      <c r="BK165" s="623"/>
      <c r="BL165" s="623"/>
      <c r="BM165" s="623"/>
      <c r="BN165" s="623"/>
      <c r="BO165" s="623"/>
      <c r="BP165" s="623"/>
      <c r="BQ165" s="623"/>
      <c r="BR165" s="623"/>
      <c r="BS165" s="623"/>
      <c r="BT165" s="623"/>
      <c r="BU165" s="623"/>
      <c r="BV165" s="623"/>
      <c r="BW165" s="623"/>
      <c r="BX165" s="623"/>
      <c r="BY165" s="623"/>
      <c r="BZ165" s="623"/>
      <c r="CA165" s="623">
        <v>1</v>
      </c>
      <c r="CB165" s="623"/>
      <c r="CC165" s="623"/>
      <c r="CD165" s="623"/>
      <c r="CE165" s="623"/>
      <c r="CF165" s="623"/>
      <c r="CG165" s="623"/>
      <c r="CH165" s="623"/>
      <c r="CI165" s="623"/>
      <c r="CJ165" s="623"/>
      <c r="CK165" s="623"/>
      <c r="CL165" s="623"/>
      <c r="CM165" s="623">
        <v>1</v>
      </c>
      <c r="CN165" s="623">
        <f t="shared" si="60"/>
        <v>3.6</v>
      </c>
      <c r="CO165" s="623"/>
      <c r="CP165" s="623"/>
      <c r="CQ165" s="623"/>
      <c r="CR165" s="623"/>
      <c r="CS165" s="623"/>
      <c r="CT165" s="623"/>
      <c r="CU165" s="623"/>
      <c r="CV165" s="623"/>
      <c r="CW165" s="623"/>
      <c r="CX165" s="673"/>
      <c r="CY165" s="557"/>
    </row>
    <row r="166" spans="1:234" ht="13.8" hidden="1">
      <c r="A166" s="706" t="s">
        <v>920</v>
      </c>
      <c r="B166" s="707"/>
      <c r="C166" s="558">
        <v>26</v>
      </c>
      <c r="D166" s="550">
        <f t="shared" si="61"/>
        <v>103</v>
      </c>
      <c r="E166" s="558"/>
      <c r="F166" s="558"/>
      <c r="G166" s="558"/>
      <c r="H166" s="558"/>
      <c r="I166" s="558"/>
      <c r="J166" s="558"/>
      <c r="K166" s="558"/>
      <c r="L166" s="558"/>
      <c r="M166" s="558"/>
      <c r="N166" s="550">
        <f t="shared" si="62"/>
        <v>103</v>
      </c>
      <c r="O166" s="708"/>
      <c r="P166" s="708"/>
      <c r="Q166" s="658" t="s">
        <v>1107</v>
      </c>
      <c r="R166" s="710"/>
      <c r="S166" s="710">
        <v>1</v>
      </c>
      <c r="T166" s="710"/>
      <c r="U166" s="710"/>
      <c r="V166" s="710"/>
      <c r="W166" s="710"/>
      <c r="X166" s="710"/>
      <c r="Y166" s="710"/>
      <c r="Z166" s="710">
        <v>1</v>
      </c>
      <c r="AA166" s="709"/>
      <c r="AB166" s="709"/>
      <c r="AC166" s="709"/>
      <c r="AD166" s="709"/>
      <c r="AE166" s="709"/>
      <c r="AF166" s="709"/>
      <c r="AG166" s="709"/>
      <c r="AH166" s="709"/>
      <c r="AI166" s="709"/>
      <c r="AJ166" s="709"/>
      <c r="AK166" s="709"/>
      <c r="AL166" s="709"/>
      <c r="AM166" s="709"/>
      <c r="AN166" s="709"/>
      <c r="AO166" s="709"/>
      <c r="AP166" s="709"/>
      <c r="AQ166" s="709"/>
      <c r="AR166" s="709"/>
      <c r="AS166" s="709"/>
      <c r="AT166" s="709"/>
      <c r="AU166" s="709"/>
      <c r="AV166" s="709"/>
      <c r="AW166" s="709">
        <v>1</v>
      </c>
      <c r="AX166" s="709"/>
      <c r="AY166" s="709"/>
      <c r="AZ166" s="709"/>
      <c r="BA166" s="709"/>
      <c r="BB166" s="709"/>
      <c r="BC166" s="709"/>
      <c r="BD166" s="709"/>
      <c r="BE166" s="709"/>
      <c r="BF166" s="672">
        <f t="shared" si="59"/>
        <v>1</v>
      </c>
      <c r="BG166" s="672">
        <f t="shared" si="59"/>
        <v>0</v>
      </c>
      <c r="BH166" s="709"/>
      <c r="BI166" s="709"/>
      <c r="BJ166" s="709"/>
      <c r="BK166" s="709"/>
      <c r="BL166" s="709"/>
      <c r="BM166" s="709"/>
      <c r="BN166" s="709"/>
      <c r="BO166" s="709"/>
      <c r="BP166" s="709"/>
      <c r="BQ166" s="709"/>
      <c r="BR166" s="709">
        <v>1</v>
      </c>
      <c r="BS166" s="709"/>
      <c r="BT166" s="709"/>
      <c r="BU166" s="709"/>
      <c r="BV166" s="709"/>
      <c r="BW166" s="709"/>
      <c r="BX166" s="709"/>
      <c r="BY166" s="709"/>
      <c r="BZ166" s="709"/>
      <c r="CA166" s="709">
        <v>1</v>
      </c>
      <c r="CB166" s="709"/>
      <c r="CC166" s="709"/>
      <c r="CD166" s="709"/>
      <c r="CE166" s="709"/>
      <c r="CF166" s="709"/>
      <c r="CG166" s="709"/>
      <c r="CH166" s="709"/>
      <c r="CI166" s="709"/>
      <c r="CJ166" s="709"/>
      <c r="CK166" s="709"/>
      <c r="CL166" s="709"/>
      <c r="CM166" s="709">
        <v>1</v>
      </c>
      <c r="CN166" s="709">
        <f t="shared" si="60"/>
        <v>3.6</v>
      </c>
      <c r="CO166" s="709"/>
      <c r="CP166" s="709"/>
      <c r="CQ166" s="709"/>
      <c r="CR166" s="709"/>
      <c r="CS166" s="709"/>
      <c r="CT166" s="709"/>
      <c r="CU166" s="709"/>
      <c r="CV166" s="709"/>
      <c r="CW166" s="709"/>
      <c r="CX166" s="683"/>
      <c r="CY166" s="711"/>
    </row>
    <row r="167" spans="1:234" ht="13.8" hidden="1">
      <c r="A167" s="706" t="s">
        <v>2120</v>
      </c>
      <c r="B167" s="707"/>
      <c r="C167" s="558"/>
      <c r="D167" s="550">
        <f t="shared" si="61"/>
        <v>103</v>
      </c>
      <c r="E167" s="558"/>
      <c r="F167" s="558"/>
      <c r="G167" s="558"/>
      <c r="H167" s="558"/>
      <c r="I167" s="558"/>
      <c r="J167" s="558"/>
      <c r="K167" s="558"/>
      <c r="L167" s="558"/>
      <c r="M167" s="558"/>
      <c r="N167" s="550">
        <f t="shared" si="62"/>
        <v>103</v>
      </c>
      <c r="O167" s="708"/>
      <c r="P167" s="708"/>
      <c r="Q167" s="658" t="s">
        <v>4030</v>
      </c>
      <c r="R167" s="710"/>
      <c r="S167" s="710"/>
      <c r="T167" s="710"/>
      <c r="U167" s="710"/>
      <c r="V167" s="710"/>
      <c r="W167" s="710"/>
      <c r="X167" s="710"/>
      <c r="Y167" s="710"/>
      <c r="Z167" s="710"/>
      <c r="AA167" s="709"/>
      <c r="AB167" s="709"/>
      <c r="AC167" s="709"/>
      <c r="AD167" s="709"/>
      <c r="AE167" s="709"/>
      <c r="AF167" s="709"/>
      <c r="AG167" s="709"/>
      <c r="AH167" s="709"/>
      <c r="AI167" s="709"/>
      <c r="AJ167" s="709"/>
      <c r="AK167" s="709"/>
      <c r="AL167" s="709"/>
      <c r="AM167" s="709"/>
      <c r="AN167" s="709"/>
      <c r="AO167" s="709"/>
      <c r="AP167" s="709"/>
      <c r="AQ167" s="709"/>
      <c r="AR167" s="709"/>
      <c r="AS167" s="709"/>
      <c r="AT167" s="709"/>
      <c r="AU167" s="709"/>
      <c r="AV167" s="709"/>
      <c r="AW167" s="709"/>
      <c r="AX167" s="709"/>
      <c r="AY167" s="709"/>
      <c r="AZ167" s="709"/>
      <c r="BA167" s="709"/>
      <c r="BB167" s="709"/>
      <c r="BC167" s="709"/>
      <c r="BD167" s="709"/>
      <c r="BE167" s="709"/>
      <c r="BF167" s="672">
        <f t="shared" si="59"/>
        <v>0</v>
      </c>
      <c r="BG167" s="672">
        <f t="shared" si="59"/>
        <v>0</v>
      </c>
      <c r="BH167" s="709"/>
      <c r="BI167" s="709"/>
      <c r="BJ167" s="709"/>
      <c r="BK167" s="709"/>
      <c r="BL167" s="709"/>
      <c r="BM167" s="709"/>
      <c r="BN167" s="709"/>
      <c r="BO167" s="709"/>
      <c r="BP167" s="709"/>
      <c r="BQ167" s="709"/>
      <c r="BR167" s="709"/>
      <c r="BS167" s="709"/>
      <c r="BT167" s="709"/>
      <c r="BU167" s="709"/>
      <c r="BV167" s="709"/>
      <c r="BW167" s="709"/>
      <c r="BX167" s="709"/>
      <c r="BY167" s="709"/>
      <c r="BZ167" s="709"/>
      <c r="CA167" s="709"/>
      <c r="CB167" s="709"/>
      <c r="CC167" s="709"/>
      <c r="CD167" s="709"/>
      <c r="CE167" s="709"/>
      <c r="CF167" s="709"/>
      <c r="CG167" s="709"/>
      <c r="CH167" s="709"/>
      <c r="CI167" s="709"/>
      <c r="CJ167" s="709"/>
      <c r="CK167" s="709"/>
      <c r="CL167" s="709"/>
      <c r="CM167" s="709"/>
      <c r="CN167" s="709">
        <f t="shared" si="60"/>
        <v>0</v>
      </c>
      <c r="CO167" s="709"/>
      <c r="CP167" s="709"/>
      <c r="CQ167" s="709"/>
      <c r="CR167" s="709"/>
      <c r="CS167" s="709"/>
      <c r="CT167" s="709"/>
      <c r="CU167" s="709"/>
      <c r="CV167" s="709"/>
      <c r="CW167" s="709"/>
      <c r="CX167" s="683"/>
      <c r="CY167" s="711"/>
    </row>
    <row r="168" spans="1:234" s="678" customFormat="1" ht="13.8" hidden="1">
      <c r="A168" s="712" t="s">
        <v>1930</v>
      </c>
      <c r="B168" s="613"/>
      <c r="C168" s="613">
        <v>36</v>
      </c>
      <c r="D168" s="550">
        <f t="shared" si="61"/>
        <v>139</v>
      </c>
      <c r="E168" s="613"/>
      <c r="F168" s="613"/>
      <c r="G168" s="613"/>
      <c r="H168" s="613"/>
      <c r="I168" s="613"/>
      <c r="J168" s="679"/>
      <c r="K168" s="613"/>
      <c r="L168" s="613"/>
      <c r="M168" s="613"/>
      <c r="N168" s="550">
        <f t="shared" si="62"/>
        <v>139</v>
      </c>
      <c r="O168" s="614"/>
      <c r="P168" s="614"/>
      <c r="Q168" s="680" t="s">
        <v>1107</v>
      </c>
      <c r="R168" s="681"/>
      <c r="S168" s="681">
        <v>1</v>
      </c>
      <c r="T168" s="681"/>
      <c r="U168" s="681"/>
      <c r="V168" s="681"/>
      <c r="W168" s="681"/>
      <c r="X168" s="681"/>
      <c r="Y168" s="681"/>
      <c r="Z168" s="681">
        <v>1</v>
      </c>
      <c r="AA168" s="682"/>
      <c r="AB168" s="682"/>
      <c r="AC168" s="682"/>
      <c r="AD168" s="682"/>
      <c r="AE168" s="682"/>
      <c r="AF168" s="682"/>
      <c r="AG168" s="682"/>
      <c r="AH168" s="682"/>
      <c r="AI168" s="682"/>
      <c r="AJ168" s="682"/>
      <c r="AK168" s="682"/>
      <c r="AL168" s="682"/>
      <c r="AM168" s="682"/>
      <c r="AN168" s="682"/>
      <c r="AO168" s="682"/>
      <c r="AP168" s="682"/>
      <c r="AQ168" s="682"/>
      <c r="AR168" s="682"/>
      <c r="AS168" s="682"/>
      <c r="AT168" s="682"/>
      <c r="AU168" s="682"/>
      <c r="AV168" s="682"/>
      <c r="AW168" s="682">
        <v>1</v>
      </c>
      <c r="AX168" s="682"/>
      <c r="AY168" s="682"/>
      <c r="AZ168" s="682"/>
      <c r="BA168" s="682"/>
      <c r="BB168" s="682"/>
      <c r="BC168" s="682"/>
      <c r="BD168" s="682"/>
      <c r="BE168" s="682"/>
      <c r="BF168" s="672">
        <f t="shared" si="59"/>
        <v>1</v>
      </c>
      <c r="BG168" s="672">
        <f t="shared" si="59"/>
        <v>0</v>
      </c>
      <c r="BH168" s="682"/>
      <c r="BI168" s="682"/>
      <c r="BJ168" s="682"/>
      <c r="BK168" s="682"/>
      <c r="BL168" s="682"/>
      <c r="BM168" s="682"/>
      <c r="BN168" s="682"/>
      <c r="BO168" s="682"/>
      <c r="BP168" s="682"/>
      <c r="BQ168" s="682"/>
      <c r="BR168" s="682">
        <v>1</v>
      </c>
      <c r="BS168" s="682"/>
      <c r="BT168" s="682"/>
      <c r="BU168" s="682"/>
      <c r="BV168" s="682"/>
      <c r="BW168" s="682"/>
      <c r="BX168" s="682"/>
      <c r="BY168" s="682"/>
      <c r="BZ168" s="682"/>
      <c r="CA168" s="682">
        <v>1</v>
      </c>
      <c r="CB168" s="682"/>
      <c r="CC168" s="682"/>
      <c r="CD168" s="682"/>
      <c r="CE168" s="682"/>
      <c r="CF168" s="682"/>
      <c r="CG168" s="682"/>
      <c r="CH168" s="682"/>
      <c r="CI168" s="682"/>
      <c r="CJ168" s="682"/>
      <c r="CK168" s="682"/>
      <c r="CL168" s="682"/>
      <c r="CM168" s="682">
        <v>1</v>
      </c>
      <c r="CN168" s="682">
        <f t="shared" si="60"/>
        <v>3.6</v>
      </c>
      <c r="CO168" s="682"/>
      <c r="CP168" s="682"/>
      <c r="CQ168" s="682"/>
      <c r="CR168" s="682"/>
      <c r="CS168" s="682"/>
      <c r="CT168" s="682"/>
      <c r="CU168" s="682"/>
      <c r="CV168" s="682"/>
      <c r="CW168" s="682"/>
      <c r="CX168" s="683"/>
      <c r="CY168" s="711"/>
      <c r="CZ168" s="677"/>
      <c r="DA168" s="530"/>
      <c r="DB168" s="530"/>
      <c r="DC168" s="530"/>
      <c r="DD168" s="530"/>
      <c r="DE168" s="530"/>
      <c r="DF168" s="530"/>
      <c r="DG168" s="530"/>
      <c r="DH168" s="530"/>
      <c r="DI168" s="530"/>
      <c r="DJ168" s="530"/>
      <c r="DK168" s="530"/>
      <c r="DL168" s="530"/>
      <c r="DM168" s="530"/>
      <c r="DN168" s="530"/>
      <c r="DO168" s="530"/>
      <c r="DP168" s="530"/>
      <c r="DQ168" s="530"/>
      <c r="DR168" s="530"/>
      <c r="DS168" s="530"/>
      <c r="DT168" s="530"/>
      <c r="DU168" s="530"/>
      <c r="DV168" s="530"/>
      <c r="DW168" s="530"/>
      <c r="DX168" s="530"/>
      <c r="DY168" s="530"/>
      <c r="DZ168" s="530"/>
      <c r="EA168" s="530"/>
      <c r="EB168" s="530"/>
      <c r="EC168" s="530"/>
      <c r="ED168" s="530"/>
      <c r="EE168" s="530"/>
      <c r="EF168" s="530"/>
      <c r="EG168" s="530"/>
      <c r="EH168" s="530"/>
      <c r="EI168" s="530"/>
      <c r="EJ168" s="530"/>
      <c r="EK168" s="530"/>
      <c r="EL168" s="530"/>
      <c r="EM168" s="530"/>
      <c r="EN168" s="530"/>
      <c r="EO168" s="530"/>
      <c r="EP168" s="530"/>
      <c r="EQ168" s="530"/>
      <c r="ER168" s="530"/>
      <c r="ES168" s="530"/>
      <c r="ET168" s="530"/>
      <c r="EU168" s="530"/>
      <c r="EV168" s="530"/>
      <c r="EW168" s="530"/>
      <c r="EX168" s="530"/>
      <c r="EY168" s="530"/>
      <c r="EZ168" s="530"/>
      <c r="FA168" s="530"/>
      <c r="FB168" s="530"/>
      <c r="FC168" s="530"/>
      <c r="FD168" s="530"/>
      <c r="FE168" s="530"/>
      <c r="FF168" s="530"/>
      <c r="FG168" s="530"/>
      <c r="FH168" s="530"/>
      <c r="FI168" s="530"/>
      <c r="FJ168" s="530"/>
      <c r="FK168" s="530"/>
      <c r="FL168" s="530"/>
      <c r="FM168" s="530"/>
      <c r="FN168" s="530"/>
      <c r="FO168" s="530"/>
      <c r="FP168" s="530"/>
      <c r="FQ168" s="530"/>
      <c r="FR168" s="530"/>
      <c r="FS168" s="530"/>
      <c r="FT168" s="530"/>
      <c r="FU168" s="530"/>
      <c r="FV168" s="530"/>
      <c r="FW168" s="530"/>
      <c r="FX168" s="530"/>
      <c r="FY168" s="530"/>
      <c r="FZ168" s="530"/>
      <c r="GA168" s="530"/>
      <c r="GB168" s="530"/>
      <c r="GC168" s="530"/>
      <c r="GD168" s="530"/>
      <c r="GE168" s="530"/>
      <c r="GF168" s="530"/>
      <c r="GG168" s="530"/>
      <c r="GH168" s="530"/>
      <c r="GI168" s="530"/>
      <c r="GJ168" s="530"/>
      <c r="GK168" s="530"/>
      <c r="GL168" s="530"/>
      <c r="GM168" s="530"/>
      <c r="GN168" s="530"/>
      <c r="GO168" s="530"/>
      <c r="GP168" s="530"/>
      <c r="GQ168" s="530"/>
      <c r="GR168" s="530"/>
      <c r="GS168" s="530"/>
      <c r="GT168" s="530"/>
      <c r="GU168" s="530"/>
      <c r="GV168" s="530"/>
      <c r="GW168" s="530"/>
      <c r="GX168" s="530"/>
      <c r="GY168" s="530"/>
      <c r="GZ168" s="530"/>
      <c r="HA168" s="530"/>
      <c r="HB168" s="530"/>
      <c r="HC168" s="530"/>
      <c r="HD168" s="530"/>
      <c r="HE168" s="530"/>
      <c r="HF168" s="530"/>
      <c r="HG168" s="530"/>
      <c r="HH168" s="530"/>
      <c r="HI168" s="530"/>
      <c r="HJ168" s="530"/>
      <c r="HK168" s="530"/>
      <c r="HL168" s="530"/>
      <c r="HM168" s="530"/>
      <c r="HN168" s="530"/>
      <c r="HO168" s="530"/>
      <c r="HP168" s="530"/>
      <c r="HQ168" s="530"/>
      <c r="HR168" s="530"/>
      <c r="HS168" s="530"/>
      <c r="HT168" s="530"/>
      <c r="HU168" s="530"/>
      <c r="HV168" s="530"/>
      <c r="HW168" s="530"/>
      <c r="HX168" s="530"/>
      <c r="HY168" s="530"/>
      <c r="HZ168" s="530"/>
    </row>
    <row r="169" spans="1:234" s="717" customFormat="1" ht="13.8" hidden="1">
      <c r="A169" s="659" t="s">
        <v>4019</v>
      </c>
      <c r="B169" s="713"/>
      <c r="C169" s="714">
        <f>SUM(C162:C168)</f>
        <v>139</v>
      </c>
      <c r="D169" s="714">
        <f t="shared" ref="D169:N169" si="63">D168</f>
        <v>139</v>
      </c>
      <c r="E169" s="714">
        <f t="shared" si="63"/>
        <v>0</v>
      </c>
      <c r="F169" s="714">
        <f t="shared" si="63"/>
        <v>0</v>
      </c>
      <c r="G169" s="714">
        <f t="shared" si="63"/>
        <v>0</v>
      </c>
      <c r="H169" s="714">
        <f t="shared" si="63"/>
        <v>0</v>
      </c>
      <c r="I169" s="714">
        <f t="shared" si="63"/>
        <v>0</v>
      </c>
      <c r="J169" s="714">
        <f t="shared" si="63"/>
        <v>0</v>
      </c>
      <c r="K169" s="714">
        <f t="shared" si="63"/>
        <v>0</v>
      </c>
      <c r="L169" s="714">
        <f t="shared" si="63"/>
        <v>0</v>
      </c>
      <c r="M169" s="714">
        <f t="shared" si="63"/>
        <v>0</v>
      </c>
      <c r="N169" s="714">
        <f t="shared" si="63"/>
        <v>139</v>
      </c>
      <c r="O169" s="714"/>
      <c r="P169" s="714">
        <f>SUM(O162:O168)</f>
        <v>0</v>
      </c>
      <c r="Q169" s="714">
        <f>SUM(P162:P168)</f>
        <v>0</v>
      </c>
      <c r="R169" s="714">
        <f>SUM(Q162:Q168)</f>
        <v>0</v>
      </c>
      <c r="S169" s="714">
        <f t="shared" ref="S169:AX169" si="64">SUM(S162:S168)</f>
        <v>5</v>
      </c>
      <c r="T169" s="714">
        <f t="shared" si="64"/>
        <v>0</v>
      </c>
      <c r="U169" s="714">
        <f t="shared" si="64"/>
        <v>0</v>
      </c>
      <c r="V169" s="714">
        <f t="shared" si="64"/>
        <v>0</v>
      </c>
      <c r="W169" s="714">
        <f t="shared" si="64"/>
        <v>0</v>
      </c>
      <c r="X169" s="714">
        <f t="shared" si="64"/>
        <v>0</v>
      </c>
      <c r="Y169" s="714">
        <f t="shared" si="64"/>
        <v>0</v>
      </c>
      <c r="Z169" s="714">
        <f t="shared" si="64"/>
        <v>5</v>
      </c>
      <c r="AA169" s="714">
        <f t="shared" si="64"/>
        <v>0</v>
      </c>
      <c r="AB169" s="714">
        <f t="shared" si="64"/>
        <v>0</v>
      </c>
      <c r="AC169" s="714">
        <f t="shared" si="64"/>
        <v>0</v>
      </c>
      <c r="AD169" s="714">
        <f t="shared" si="64"/>
        <v>0</v>
      </c>
      <c r="AE169" s="714">
        <f t="shared" si="64"/>
        <v>0</v>
      </c>
      <c r="AF169" s="714">
        <f t="shared" si="64"/>
        <v>0</v>
      </c>
      <c r="AG169" s="714">
        <f t="shared" si="64"/>
        <v>0</v>
      </c>
      <c r="AH169" s="714">
        <f t="shared" si="64"/>
        <v>0</v>
      </c>
      <c r="AI169" s="714">
        <f t="shared" si="64"/>
        <v>0</v>
      </c>
      <c r="AJ169" s="714">
        <f t="shared" si="64"/>
        <v>0</v>
      </c>
      <c r="AK169" s="714">
        <f t="shared" si="64"/>
        <v>0</v>
      </c>
      <c r="AL169" s="714">
        <f t="shared" si="64"/>
        <v>0</v>
      </c>
      <c r="AM169" s="714">
        <f t="shared" si="64"/>
        <v>0</v>
      </c>
      <c r="AN169" s="714">
        <f t="shared" si="64"/>
        <v>0</v>
      </c>
      <c r="AO169" s="714">
        <f t="shared" si="64"/>
        <v>0</v>
      </c>
      <c r="AP169" s="714">
        <f t="shared" si="64"/>
        <v>0</v>
      </c>
      <c r="AQ169" s="714">
        <f t="shared" si="64"/>
        <v>0</v>
      </c>
      <c r="AR169" s="714">
        <f t="shared" si="64"/>
        <v>0</v>
      </c>
      <c r="AS169" s="714">
        <f t="shared" si="64"/>
        <v>0</v>
      </c>
      <c r="AT169" s="714">
        <f t="shared" si="64"/>
        <v>0</v>
      </c>
      <c r="AU169" s="714">
        <f t="shared" si="64"/>
        <v>0</v>
      </c>
      <c r="AV169" s="714">
        <f t="shared" si="64"/>
        <v>0</v>
      </c>
      <c r="AW169" s="714">
        <f t="shared" si="64"/>
        <v>5</v>
      </c>
      <c r="AX169" s="714">
        <f t="shared" si="64"/>
        <v>0</v>
      </c>
      <c r="AY169" s="714">
        <f t="shared" ref="AY169:CB169" si="65">SUM(AY162:AY168)</f>
        <v>0</v>
      </c>
      <c r="AZ169" s="714">
        <f t="shared" si="65"/>
        <v>0</v>
      </c>
      <c r="BA169" s="714">
        <f t="shared" si="65"/>
        <v>0</v>
      </c>
      <c r="BB169" s="714">
        <f t="shared" si="65"/>
        <v>0</v>
      </c>
      <c r="BC169" s="714">
        <f t="shared" si="65"/>
        <v>0</v>
      </c>
      <c r="BD169" s="714">
        <f t="shared" si="65"/>
        <v>0</v>
      </c>
      <c r="BE169" s="714">
        <f t="shared" si="65"/>
        <v>0</v>
      </c>
      <c r="BF169" s="714">
        <f t="shared" si="65"/>
        <v>5</v>
      </c>
      <c r="BG169" s="714">
        <f t="shared" si="65"/>
        <v>0</v>
      </c>
      <c r="BH169" s="714">
        <f t="shared" si="65"/>
        <v>0</v>
      </c>
      <c r="BI169" s="714">
        <f t="shared" si="65"/>
        <v>0</v>
      </c>
      <c r="BJ169" s="714">
        <f t="shared" si="65"/>
        <v>0</v>
      </c>
      <c r="BK169" s="714">
        <f t="shared" si="65"/>
        <v>0</v>
      </c>
      <c r="BL169" s="714">
        <f t="shared" si="65"/>
        <v>0</v>
      </c>
      <c r="BM169" s="714">
        <f t="shared" si="65"/>
        <v>0</v>
      </c>
      <c r="BN169" s="714">
        <f t="shared" si="65"/>
        <v>0</v>
      </c>
      <c r="BO169" s="714">
        <f t="shared" si="65"/>
        <v>0</v>
      </c>
      <c r="BP169" s="714">
        <f t="shared" si="65"/>
        <v>0</v>
      </c>
      <c r="BQ169" s="714">
        <f t="shared" si="65"/>
        <v>0</v>
      </c>
      <c r="BR169" s="714">
        <f t="shared" si="65"/>
        <v>3</v>
      </c>
      <c r="BS169" s="714">
        <f t="shared" si="65"/>
        <v>0</v>
      </c>
      <c r="BT169" s="714">
        <f t="shared" si="65"/>
        <v>0</v>
      </c>
      <c r="BU169" s="714">
        <f t="shared" si="65"/>
        <v>0</v>
      </c>
      <c r="BV169" s="714">
        <f t="shared" si="65"/>
        <v>0</v>
      </c>
      <c r="BW169" s="714">
        <f t="shared" si="65"/>
        <v>0</v>
      </c>
      <c r="BX169" s="714">
        <f t="shared" si="65"/>
        <v>0</v>
      </c>
      <c r="BY169" s="714">
        <f t="shared" si="65"/>
        <v>0</v>
      </c>
      <c r="BZ169" s="714">
        <f t="shared" si="65"/>
        <v>0</v>
      </c>
      <c r="CA169" s="714">
        <f t="shared" si="65"/>
        <v>5</v>
      </c>
      <c r="CB169" s="714">
        <f t="shared" si="65"/>
        <v>0</v>
      </c>
      <c r="CC169" s="714">
        <f t="shared" ref="CC169:CN169" si="66">SUM(CC162:CC168)</f>
        <v>0</v>
      </c>
      <c r="CD169" s="714">
        <f t="shared" si="66"/>
        <v>0</v>
      </c>
      <c r="CE169" s="714">
        <f t="shared" si="66"/>
        <v>0</v>
      </c>
      <c r="CF169" s="714">
        <f t="shared" si="66"/>
        <v>0</v>
      </c>
      <c r="CG169" s="714">
        <f t="shared" si="66"/>
        <v>0</v>
      </c>
      <c r="CH169" s="714">
        <f t="shared" si="66"/>
        <v>0</v>
      </c>
      <c r="CI169" s="714">
        <f t="shared" si="66"/>
        <v>0</v>
      </c>
      <c r="CJ169" s="714">
        <f t="shared" si="66"/>
        <v>0</v>
      </c>
      <c r="CK169" s="714">
        <f t="shared" si="66"/>
        <v>0</v>
      </c>
      <c r="CL169" s="714">
        <f t="shared" si="66"/>
        <v>0</v>
      </c>
      <c r="CM169" s="714">
        <f t="shared" si="66"/>
        <v>5</v>
      </c>
      <c r="CN169" s="714">
        <f t="shared" si="66"/>
        <v>18</v>
      </c>
      <c r="CO169" s="714">
        <f t="shared" ref="CO169:CW169" si="67">SUM(CO162:CO168)</f>
        <v>0</v>
      </c>
      <c r="CP169" s="714">
        <f t="shared" si="67"/>
        <v>0</v>
      </c>
      <c r="CQ169" s="714">
        <f t="shared" si="67"/>
        <v>0</v>
      </c>
      <c r="CR169" s="714">
        <f t="shared" si="67"/>
        <v>1</v>
      </c>
      <c r="CS169" s="714">
        <f t="shared" si="67"/>
        <v>0</v>
      </c>
      <c r="CT169" s="714">
        <f t="shared" si="67"/>
        <v>0</v>
      </c>
      <c r="CU169" s="714">
        <f t="shared" si="67"/>
        <v>0</v>
      </c>
      <c r="CV169" s="714">
        <f t="shared" si="67"/>
        <v>0</v>
      </c>
      <c r="CW169" s="714">
        <f t="shared" si="67"/>
        <v>0</v>
      </c>
      <c r="CX169" s="715">
        <v>14</v>
      </c>
      <c r="CY169" s="716"/>
    </row>
    <row r="170" spans="1:234" s="545" customFormat="1" ht="18" hidden="1" customHeight="1">
      <c r="A170" s="655" t="s">
        <v>4035</v>
      </c>
      <c r="B170" s="544"/>
      <c r="C170" s="544"/>
      <c r="D170" s="544"/>
      <c r="E170" s="544"/>
      <c r="F170" s="544"/>
      <c r="G170" s="544"/>
      <c r="H170" s="544"/>
      <c r="I170" s="544"/>
      <c r="J170" s="544"/>
      <c r="K170" s="544"/>
      <c r="L170" s="544"/>
      <c r="M170" s="544"/>
      <c r="N170" s="544"/>
      <c r="O170" s="544"/>
      <c r="P170" s="544"/>
      <c r="Q170" s="544"/>
      <c r="R170" s="544"/>
      <c r="S170" s="544"/>
      <c r="T170" s="544"/>
      <c r="U170" s="544"/>
      <c r="V170" s="544"/>
      <c r="W170" s="544"/>
      <c r="X170" s="544"/>
      <c r="Y170" s="544"/>
      <c r="Z170" s="544"/>
      <c r="AA170" s="544"/>
      <c r="AB170" s="544"/>
      <c r="AC170" s="544"/>
      <c r="AD170" s="544"/>
      <c r="AE170" s="544"/>
      <c r="AF170" s="544"/>
      <c r="AG170" s="544"/>
      <c r="AH170" s="544"/>
      <c r="AI170" s="544"/>
      <c r="AJ170" s="544"/>
      <c r="AK170" s="544"/>
      <c r="AL170" s="544"/>
      <c r="AM170" s="544"/>
      <c r="AN170" s="544"/>
      <c r="AO170" s="544"/>
      <c r="AP170" s="544"/>
      <c r="AQ170" s="544"/>
      <c r="AR170" s="544"/>
      <c r="AS170" s="544"/>
      <c r="AT170" s="544"/>
      <c r="AU170" s="544"/>
      <c r="AV170" s="544"/>
      <c r="AW170" s="544"/>
      <c r="AX170" s="544"/>
      <c r="AY170" s="544"/>
      <c r="AZ170" s="544"/>
      <c r="BA170" s="544"/>
      <c r="BB170" s="544"/>
      <c r="BC170" s="544"/>
      <c r="BD170" s="544"/>
      <c r="BE170" s="544"/>
      <c r="BF170" s="544"/>
      <c r="BG170" s="544"/>
      <c r="BH170" s="544"/>
      <c r="BI170" s="544"/>
      <c r="BJ170" s="544"/>
      <c r="BK170" s="544"/>
      <c r="BL170" s="544"/>
      <c r="BM170" s="544"/>
      <c r="BN170" s="544"/>
      <c r="BO170" s="544"/>
      <c r="BP170" s="544"/>
      <c r="BQ170" s="544"/>
      <c r="BR170" s="544"/>
      <c r="BS170" s="544"/>
      <c r="BT170" s="544"/>
      <c r="BU170" s="544"/>
      <c r="BV170" s="544"/>
      <c r="BW170" s="544"/>
      <c r="BX170" s="544"/>
      <c r="BY170" s="544"/>
      <c r="BZ170" s="544"/>
      <c r="CA170" s="544"/>
      <c r="CB170" s="544"/>
      <c r="CC170" s="544"/>
      <c r="CD170" s="544"/>
      <c r="CE170" s="544"/>
      <c r="CF170" s="544"/>
      <c r="CG170" s="544"/>
      <c r="CH170" s="544"/>
      <c r="CI170" s="544"/>
      <c r="CJ170" s="544"/>
      <c r="CK170" s="544"/>
      <c r="CL170" s="544"/>
      <c r="CM170" s="544"/>
      <c r="CN170" s="544"/>
      <c r="CO170" s="544"/>
      <c r="CP170" s="544"/>
      <c r="CQ170" s="544"/>
      <c r="CR170" s="544"/>
      <c r="CS170" s="544"/>
      <c r="CT170" s="544"/>
      <c r="CU170" s="544"/>
      <c r="CV170" s="544"/>
      <c r="CW170" s="544"/>
      <c r="CX170" s="544"/>
      <c r="CY170" s="669"/>
      <c r="CZ170" s="530"/>
      <c r="DA170" s="530"/>
      <c r="DB170" s="530"/>
      <c r="DC170" s="530"/>
      <c r="DD170" s="530"/>
      <c r="DE170" s="530"/>
      <c r="DF170" s="530"/>
      <c r="DG170" s="530"/>
      <c r="DH170" s="530"/>
      <c r="DI170" s="530"/>
      <c r="DJ170" s="530"/>
      <c r="DK170" s="530"/>
      <c r="DL170" s="530"/>
      <c r="DM170" s="530"/>
      <c r="DN170" s="530"/>
      <c r="DO170" s="530"/>
      <c r="DP170" s="530"/>
      <c r="DQ170" s="530"/>
      <c r="DR170" s="530"/>
      <c r="DS170" s="530"/>
      <c r="DT170" s="530"/>
      <c r="DU170" s="530"/>
      <c r="DV170" s="530"/>
      <c r="DW170" s="530"/>
      <c r="DX170" s="530"/>
      <c r="DY170" s="530"/>
      <c r="DZ170" s="530"/>
      <c r="EA170" s="530"/>
      <c r="EB170" s="530"/>
      <c r="EC170" s="530"/>
      <c r="ED170" s="530"/>
      <c r="EE170" s="530"/>
      <c r="EF170" s="530"/>
      <c r="EG170" s="530"/>
      <c r="EH170" s="530"/>
      <c r="EI170" s="530"/>
      <c r="EJ170" s="530"/>
      <c r="EK170" s="530"/>
      <c r="EL170" s="530"/>
      <c r="EM170" s="530"/>
      <c r="EN170" s="530"/>
      <c r="EO170" s="530"/>
      <c r="EP170" s="530"/>
      <c r="EQ170" s="530"/>
      <c r="ER170" s="530"/>
      <c r="ES170" s="530"/>
      <c r="ET170" s="530"/>
      <c r="EU170" s="530"/>
      <c r="EV170" s="530"/>
      <c r="EW170" s="530"/>
      <c r="EX170" s="530"/>
      <c r="EY170" s="530"/>
      <c r="EZ170" s="530"/>
      <c r="FA170" s="530"/>
      <c r="FB170" s="530"/>
      <c r="FC170" s="530"/>
      <c r="FD170" s="530"/>
      <c r="FE170" s="530"/>
      <c r="FF170" s="530"/>
      <c r="FG170" s="530"/>
      <c r="FH170" s="530"/>
      <c r="FI170" s="530"/>
      <c r="FJ170" s="530"/>
      <c r="FK170" s="530"/>
      <c r="FL170" s="530"/>
      <c r="FM170" s="530"/>
      <c r="FN170" s="530"/>
      <c r="FO170" s="530"/>
      <c r="FP170" s="530"/>
      <c r="FQ170" s="530"/>
      <c r="FR170" s="530"/>
      <c r="FS170" s="530"/>
      <c r="FT170" s="530"/>
      <c r="FU170" s="530"/>
      <c r="FV170" s="530"/>
      <c r="FW170" s="530"/>
      <c r="FX170" s="530"/>
      <c r="FY170" s="530"/>
      <c r="FZ170" s="530"/>
      <c r="GA170" s="530"/>
      <c r="GB170" s="530"/>
      <c r="GC170" s="530"/>
      <c r="GD170" s="530"/>
      <c r="GE170" s="530"/>
      <c r="GF170" s="530"/>
      <c r="GG170" s="530"/>
      <c r="GH170" s="530"/>
      <c r="GI170" s="530"/>
      <c r="GJ170" s="530"/>
      <c r="GK170" s="530"/>
      <c r="GL170" s="530"/>
      <c r="GM170" s="530"/>
      <c r="GN170" s="530"/>
      <c r="GO170" s="530"/>
      <c r="GP170" s="530"/>
      <c r="GQ170" s="530"/>
      <c r="GR170" s="530"/>
      <c r="GS170" s="530"/>
      <c r="GT170" s="530"/>
      <c r="GU170" s="530"/>
      <c r="GV170" s="530"/>
      <c r="GW170" s="530"/>
      <c r="GX170" s="530"/>
      <c r="GY170" s="530"/>
      <c r="GZ170" s="530"/>
      <c r="HA170" s="530"/>
      <c r="HB170" s="530"/>
      <c r="HC170" s="530"/>
      <c r="HD170" s="530"/>
      <c r="HE170" s="530"/>
      <c r="HF170" s="530"/>
      <c r="HG170" s="530"/>
      <c r="HH170" s="530"/>
      <c r="HI170" s="530"/>
      <c r="HJ170" s="530"/>
      <c r="HK170" s="530"/>
      <c r="HL170" s="530"/>
      <c r="HM170" s="530"/>
      <c r="HN170" s="530"/>
      <c r="HO170" s="530"/>
      <c r="HP170" s="530"/>
      <c r="HQ170" s="530"/>
      <c r="HR170" s="530"/>
      <c r="HS170" s="530"/>
      <c r="HT170" s="530"/>
      <c r="HU170" s="530"/>
      <c r="HV170" s="530"/>
      <c r="HW170" s="530"/>
      <c r="HX170" s="530"/>
      <c r="HY170" s="530"/>
      <c r="HZ170" s="530"/>
    </row>
    <row r="171" spans="1:234" ht="13.8" hidden="1">
      <c r="A171" s="591"/>
      <c r="B171" s="702" t="s">
        <v>1929</v>
      </c>
      <c r="C171" s="555"/>
      <c r="D171" s="555"/>
      <c r="E171" s="555"/>
      <c r="F171" s="555"/>
      <c r="G171" s="555"/>
      <c r="H171" s="555"/>
      <c r="I171" s="555"/>
      <c r="J171" s="555"/>
      <c r="K171" s="555"/>
      <c r="L171" s="555"/>
      <c r="M171" s="555"/>
      <c r="N171" s="555">
        <f>C171</f>
        <v>0</v>
      </c>
      <c r="O171" s="556"/>
      <c r="P171" s="556"/>
      <c r="Q171" s="703" t="s">
        <v>1622</v>
      </c>
      <c r="R171" s="718"/>
      <c r="S171" s="718"/>
      <c r="T171" s="718"/>
      <c r="U171" s="718"/>
      <c r="V171" s="718"/>
      <c r="W171" s="718"/>
      <c r="X171" s="718"/>
      <c r="Y171" s="718"/>
      <c r="Z171" s="718"/>
      <c r="AA171" s="672"/>
      <c r="AB171" s="672"/>
      <c r="AC171" s="672"/>
      <c r="AD171" s="672"/>
      <c r="AE171" s="672"/>
      <c r="AF171" s="672"/>
      <c r="AG171" s="672"/>
      <c r="AH171" s="672"/>
      <c r="AI171" s="672"/>
      <c r="AJ171" s="672"/>
      <c r="AK171" s="672"/>
      <c r="AL171" s="672"/>
      <c r="AM171" s="672"/>
      <c r="AN171" s="672"/>
      <c r="AO171" s="672"/>
      <c r="AP171" s="672"/>
      <c r="AQ171" s="672"/>
      <c r="AR171" s="672"/>
      <c r="AS171" s="672"/>
      <c r="AT171" s="672"/>
      <c r="AU171" s="672"/>
      <c r="AV171" s="672"/>
      <c r="AW171" s="672">
        <v>1</v>
      </c>
      <c r="AX171" s="672"/>
      <c r="AY171" s="672"/>
      <c r="AZ171" s="672"/>
      <c r="BA171" s="672"/>
      <c r="BB171" s="672"/>
      <c r="BC171" s="672"/>
      <c r="BD171" s="672"/>
      <c r="BE171" s="672"/>
      <c r="BF171" s="672">
        <f t="shared" ref="BF171:BF181" si="68">AW171</f>
        <v>1</v>
      </c>
      <c r="BG171" s="672">
        <f t="shared" ref="BG171:BG181" si="69">AX171</f>
        <v>0</v>
      </c>
      <c r="BH171" s="672"/>
      <c r="BI171" s="672"/>
      <c r="BJ171" s="672"/>
      <c r="BK171" s="672"/>
      <c r="BL171" s="672"/>
      <c r="BM171" s="672"/>
      <c r="BN171" s="672"/>
      <c r="BO171" s="672"/>
      <c r="BP171" s="672"/>
      <c r="BQ171" s="672"/>
      <c r="BR171" s="672"/>
      <c r="BS171" s="672"/>
      <c r="BT171" s="672"/>
      <c r="BU171" s="672"/>
      <c r="BV171" s="672"/>
      <c r="BW171" s="672"/>
      <c r="BX171" s="672"/>
      <c r="BY171" s="672"/>
      <c r="BZ171" s="672"/>
      <c r="CA171" s="672"/>
      <c r="CB171" s="672"/>
      <c r="CC171" s="672"/>
      <c r="CD171" s="672"/>
      <c r="CE171" s="672"/>
      <c r="CF171" s="672"/>
      <c r="CG171" s="672"/>
      <c r="CH171" s="672"/>
      <c r="CI171" s="672"/>
      <c r="CJ171" s="672"/>
      <c r="CK171" s="672"/>
      <c r="CL171" s="672"/>
      <c r="CM171" s="672"/>
      <c r="CN171" s="672">
        <f t="shared" ref="CN171:CN181" si="70">+CM171*3.6</f>
        <v>0</v>
      </c>
      <c r="CO171" s="672"/>
      <c r="CP171" s="672"/>
      <c r="CQ171" s="672"/>
      <c r="CR171" s="672"/>
      <c r="CS171" s="672"/>
      <c r="CT171" s="672"/>
      <c r="CU171" s="672"/>
      <c r="CV171" s="672"/>
      <c r="CW171" s="672"/>
      <c r="CX171" s="704"/>
      <c r="CY171" s="705"/>
      <c r="HU171" s="542"/>
      <c r="HV171" s="542"/>
      <c r="HW171" s="542"/>
      <c r="HX171" s="542"/>
      <c r="HY171" s="542"/>
      <c r="HZ171" s="542"/>
    </row>
    <row r="172" spans="1:234" ht="13.8" hidden="1">
      <c r="A172" s="591" t="s">
        <v>736</v>
      </c>
      <c r="B172" s="670"/>
      <c r="C172" s="550">
        <v>22</v>
      </c>
      <c r="D172" s="550">
        <f t="shared" ref="D172:D181" si="71">D171+C172</f>
        <v>22</v>
      </c>
      <c r="E172" s="550"/>
      <c r="F172" s="550"/>
      <c r="G172" s="550"/>
      <c r="H172" s="550"/>
      <c r="I172" s="550"/>
      <c r="J172" s="550"/>
      <c r="K172" s="550"/>
      <c r="L172" s="550"/>
      <c r="M172" s="550"/>
      <c r="N172" s="550">
        <f t="shared" ref="N172:N181" si="72">+N171+C172</f>
        <v>22</v>
      </c>
      <c r="O172" s="439"/>
      <c r="P172" s="439"/>
      <c r="Q172" s="674" t="s">
        <v>1818</v>
      </c>
      <c r="R172" s="671"/>
      <c r="S172" s="671">
        <v>1</v>
      </c>
      <c r="T172" s="671"/>
      <c r="U172" s="671"/>
      <c r="V172" s="671"/>
      <c r="W172" s="671"/>
      <c r="X172" s="671"/>
      <c r="Y172" s="671"/>
      <c r="Z172" s="671">
        <v>1</v>
      </c>
      <c r="AA172" s="623"/>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v>1</v>
      </c>
      <c r="AY172" s="623"/>
      <c r="AZ172" s="623"/>
      <c r="BA172" s="623"/>
      <c r="BB172" s="623"/>
      <c r="BC172" s="623"/>
      <c r="BD172" s="623"/>
      <c r="BE172" s="623"/>
      <c r="BF172" s="672">
        <f t="shared" si="68"/>
        <v>0</v>
      </c>
      <c r="BG172" s="672">
        <f t="shared" si="69"/>
        <v>1</v>
      </c>
      <c r="BH172" s="623"/>
      <c r="BI172" s="623"/>
      <c r="BJ172" s="623"/>
      <c r="BK172" s="623"/>
      <c r="BL172" s="623"/>
      <c r="BM172" s="623"/>
      <c r="BN172" s="623"/>
      <c r="BO172" s="623"/>
      <c r="BP172" s="623"/>
      <c r="BQ172" s="623"/>
      <c r="BR172" s="623">
        <v>1</v>
      </c>
      <c r="BS172" s="623"/>
      <c r="BT172" s="623"/>
      <c r="BU172" s="623"/>
      <c r="BV172" s="623"/>
      <c r="BW172" s="623"/>
      <c r="BX172" s="623"/>
      <c r="BY172" s="623"/>
      <c r="BZ172" s="623"/>
      <c r="CA172" s="623">
        <v>1</v>
      </c>
      <c r="CB172" s="623"/>
      <c r="CC172" s="623"/>
      <c r="CD172" s="623"/>
      <c r="CE172" s="623"/>
      <c r="CF172" s="623"/>
      <c r="CG172" s="623"/>
      <c r="CH172" s="623"/>
      <c r="CI172" s="623"/>
      <c r="CJ172" s="623"/>
      <c r="CK172" s="623"/>
      <c r="CL172" s="623"/>
      <c r="CM172" s="623">
        <v>1</v>
      </c>
      <c r="CN172" s="623">
        <f t="shared" si="70"/>
        <v>3.6</v>
      </c>
      <c r="CO172" s="623"/>
      <c r="CP172" s="623"/>
      <c r="CQ172" s="623"/>
      <c r="CR172" s="623">
        <v>1</v>
      </c>
      <c r="CS172" s="623"/>
      <c r="CT172" s="623"/>
      <c r="CU172" s="623"/>
      <c r="CV172" s="623"/>
      <c r="CW172" s="623"/>
      <c r="CX172" s="673"/>
      <c r="CY172" s="557"/>
    </row>
    <row r="173" spans="1:234" ht="13.8" hidden="1">
      <c r="A173" s="591" t="s">
        <v>737</v>
      </c>
      <c r="B173" s="670"/>
      <c r="C173" s="550">
        <v>30</v>
      </c>
      <c r="D173" s="550">
        <f t="shared" si="71"/>
        <v>52</v>
      </c>
      <c r="E173" s="550"/>
      <c r="F173" s="550"/>
      <c r="G173" s="550"/>
      <c r="H173" s="550"/>
      <c r="I173" s="550"/>
      <c r="J173" s="550"/>
      <c r="K173" s="550"/>
      <c r="L173" s="550"/>
      <c r="M173" s="550"/>
      <c r="N173" s="550">
        <f t="shared" si="72"/>
        <v>52</v>
      </c>
      <c r="O173" s="439"/>
      <c r="P173" s="439"/>
      <c r="Q173" s="674" t="s">
        <v>1818</v>
      </c>
      <c r="R173" s="671"/>
      <c r="S173" s="671">
        <v>1</v>
      </c>
      <c r="T173" s="671"/>
      <c r="U173" s="671"/>
      <c r="V173" s="671"/>
      <c r="W173" s="671"/>
      <c r="X173" s="671"/>
      <c r="Y173" s="671"/>
      <c r="Z173" s="671">
        <v>1</v>
      </c>
      <c r="AA173" s="623"/>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v>1</v>
      </c>
      <c r="AY173" s="623"/>
      <c r="AZ173" s="623"/>
      <c r="BA173" s="623"/>
      <c r="BB173" s="623"/>
      <c r="BC173" s="623"/>
      <c r="BD173" s="623"/>
      <c r="BE173" s="623"/>
      <c r="BF173" s="672">
        <f t="shared" si="68"/>
        <v>0</v>
      </c>
      <c r="BG173" s="672">
        <f t="shared" si="69"/>
        <v>1</v>
      </c>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v>1</v>
      </c>
      <c r="CB173" s="623"/>
      <c r="CC173" s="623"/>
      <c r="CD173" s="623"/>
      <c r="CE173" s="623"/>
      <c r="CF173" s="623"/>
      <c r="CG173" s="623"/>
      <c r="CH173" s="623"/>
      <c r="CI173" s="623"/>
      <c r="CJ173" s="623"/>
      <c r="CK173" s="623"/>
      <c r="CL173" s="623"/>
      <c r="CM173" s="623">
        <v>1</v>
      </c>
      <c r="CN173" s="623">
        <f t="shared" si="70"/>
        <v>3.6</v>
      </c>
      <c r="CO173" s="623"/>
      <c r="CP173" s="623"/>
      <c r="CQ173" s="623"/>
      <c r="CR173" s="623">
        <v>1</v>
      </c>
      <c r="CS173" s="623"/>
      <c r="CT173" s="623"/>
      <c r="CU173" s="623"/>
      <c r="CV173" s="623"/>
      <c r="CW173" s="623"/>
      <c r="CX173" s="673"/>
      <c r="CY173" s="557"/>
    </row>
    <row r="174" spans="1:234" ht="13.8" hidden="1">
      <c r="A174" s="591" t="s">
        <v>738</v>
      </c>
      <c r="B174" s="670"/>
      <c r="C174" s="550">
        <v>40</v>
      </c>
      <c r="D174" s="550">
        <f t="shared" si="71"/>
        <v>92</v>
      </c>
      <c r="E174" s="550"/>
      <c r="F174" s="550"/>
      <c r="G174" s="550"/>
      <c r="H174" s="550"/>
      <c r="I174" s="550"/>
      <c r="J174" s="550"/>
      <c r="K174" s="550"/>
      <c r="L174" s="550"/>
      <c r="M174" s="550"/>
      <c r="N174" s="550">
        <f t="shared" si="72"/>
        <v>92</v>
      </c>
      <c r="O174" s="439"/>
      <c r="P174" s="439"/>
      <c r="Q174" s="674" t="s">
        <v>1818</v>
      </c>
      <c r="R174" s="671"/>
      <c r="S174" s="671">
        <v>1</v>
      </c>
      <c r="T174" s="671"/>
      <c r="U174" s="671"/>
      <c r="V174" s="671"/>
      <c r="W174" s="671"/>
      <c r="X174" s="671"/>
      <c r="Y174" s="671"/>
      <c r="Z174" s="671">
        <v>1</v>
      </c>
      <c r="AA174" s="623"/>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v>1</v>
      </c>
      <c r="AX174" s="623"/>
      <c r="AY174" s="623"/>
      <c r="AZ174" s="623"/>
      <c r="BA174" s="623"/>
      <c r="BB174" s="623"/>
      <c r="BC174" s="623"/>
      <c r="BD174" s="623"/>
      <c r="BE174" s="623"/>
      <c r="BF174" s="672">
        <f t="shared" si="68"/>
        <v>1</v>
      </c>
      <c r="BG174" s="672">
        <f t="shared" si="69"/>
        <v>0</v>
      </c>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v>1</v>
      </c>
      <c r="CB174" s="623"/>
      <c r="CC174" s="623"/>
      <c r="CD174" s="623"/>
      <c r="CE174" s="623"/>
      <c r="CF174" s="623"/>
      <c r="CG174" s="623"/>
      <c r="CH174" s="623"/>
      <c r="CI174" s="623"/>
      <c r="CJ174" s="623"/>
      <c r="CK174" s="623"/>
      <c r="CL174" s="623"/>
      <c r="CM174" s="623">
        <v>1</v>
      </c>
      <c r="CN174" s="623">
        <f t="shared" si="70"/>
        <v>3.6</v>
      </c>
      <c r="CO174" s="623"/>
      <c r="CP174" s="623"/>
      <c r="CQ174" s="623"/>
      <c r="CR174" s="623">
        <v>1</v>
      </c>
      <c r="CS174" s="623"/>
      <c r="CT174" s="623"/>
      <c r="CU174" s="623"/>
      <c r="CV174" s="623"/>
      <c r="CW174" s="623"/>
      <c r="CX174" s="673"/>
      <c r="CY174" s="557"/>
    </row>
    <row r="175" spans="1:234" ht="13.8" hidden="1">
      <c r="A175" s="706" t="s">
        <v>739</v>
      </c>
      <c r="B175" s="707"/>
      <c r="C175" s="558">
        <v>38</v>
      </c>
      <c r="D175" s="550">
        <f t="shared" si="71"/>
        <v>130</v>
      </c>
      <c r="E175" s="558"/>
      <c r="F175" s="558"/>
      <c r="G175" s="558"/>
      <c r="H175" s="558"/>
      <c r="I175" s="558"/>
      <c r="J175" s="558"/>
      <c r="K175" s="558"/>
      <c r="L175" s="558"/>
      <c r="M175" s="558"/>
      <c r="N175" s="550">
        <f t="shared" si="72"/>
        <v>130</v>
      </c>
      <c r="O175" s="708"/>
      <c r="P175" s="708"/>
      <c r="Q175" s="658" t="s">
        <v>1818</v>
      </c>
      <c r="R175" s="710"/>
      <c r="S175" s="710">
        <v>1</v>
      </c>
      <c r="T175" s="710"/>
      <c r="U175" s="710"/>
      <c r="V175" s="710"/>
      <c r="W175" s="710"/>
      <c r="X175" s="710"/>
      <c r="Y175" s="710"/>
      <c r="Z175" s="710">
        <v>1</v>
      </c>
      <c r="AA175" s="709"/>
      <c r="AB175" s="709"/>
      <c r="AC175" s="709"/>
      <c r="AD175" s="709"/>
      <c r="AE175" s="709"/>
      <c r="AF175" s="709"/>
      <c r="AG175" s="709"/>
      <c r="AH175" s="709"/>
      <c r="AI175" s="709"/>
      <c r="AJ175" s="709"/>
      <c r="AK175" s="709"/>
      <c r="AL175" s="709"/>
      <c r="AM175" s="709"/>
      <c r="AN175" s="709"/>
      <c r="AO175" s="709"/>
      <c r="AP175" s="709"/>
      <c r="AQ175" s="709"/>
      <c r="AR175" s="709"/>
      <c r="AS175" s="709"/>
      <c r="AT175" s="709"/>
      <c r="AU175" s="709"/>
      <c r="AV175" s="709"/>
      <c r="AW175" s="709"/>
      <c r="AX175" s="709">
        <v>1</v>
      </c>
      <c r="AY175" s="709"/>
      <c r="AZ175" s="709"/>
      <c r="BA175" s="709"/>
      <c r="BB175" s="709"/>
      <c r="BC175" s="709"/>
      <c r="BD175" s="709"/>
      <c r="BE175" s="709"/>
      <c r="BF175" s="672">
        <f t="shared" si="68"/>
        <v>0</v>
      </c>
      <c r="BG175" s="672">
        <f t="shared" si="69"/>
        <v>1</v>
      </c>
      <c r="BH175" s="709"/>
      <c r="BI175" s="709"/>
      <c r="BJ175" s="709"/>
      <c r="BK175" s="709"/>
      <c r="BL175" s="709"/>
      <c r="BM175" s="709"/>
      <c r="BN175" s="709"/>
      <c r="BO175" s="709"/>
      <c r="BP175" s="709"/>
      <c r="BQ175" s="709"/>
      <c r="BR175" s="709"/>
      <c r="BS175" s="709"/>
      <c r="BT175" s="709"/>
      <c r="BU175" s="709"/>
      <c r="BV175" s="709"/>
      <c r="BW175" s="709"/>
      <c r="BX175" s="709"/>
      <c r="BY175" s="709"/>
      <c r="BZ175" s="709"/>
      <c r="CA175" s="709">
        <v>1</v>
      </c>
      <c r="CB175" s="709"/>
      <c r="CC175" s="709"/>
      <c r="CD175" s="709"/>
      <c r="CE175" s="709"/>
      <c r="CF175" s="709"/>
      <c r="CG175" s="709"/>
      <c r="CH175" s="709"/>
      <c r="CI175" s="709"/>
      <c r="CJ175" s="709"/>
      <c r="CK175" s="709"/>
      <c r="CL175" s="709"/>
      <c r="CM175" s="709">
        <v>1</v>
      </c>
      <c r="CN175" s="709">
        <f t="shared" si="70"/>
        <v>3.6</v>
      </c>
      <c r="CO175" s="709"/>
      <c r="CP175" s="709"/>
      <c r="CQ175" s="709"/>
      <c r="CR175" s="709">
        <v>1</v>
      </c>
      <c r="CS175" s="709"/>
      <c r="CT175" s="709"/>
      <c r="CU175" s="709"/>
      <c r="CV175" s="709"/>
      <c r="CW175" s="709"/>
      <c r="CX175" s="683"/>
      <c r="CY175" s="711"/>
    </row>
    <row r="176" spans="1:234" ht="13.8" hidden="1">
      <c r="A176" s="706" t="s">
        <v>740</v>
      </c>
      <c r="B176" s="707"/>
      <c r="C176" s="558">
        <v>44</v>
      </c>
      <c r="D176" s="550">
        <f t="shared" si="71"/>
        <v>174</v>
      </c>
      <c r="E176" s="558"/>
      <c r="F176" s="558"/>
      <c r="G176" s="558"/>
      <c r="H176" s="558"/>
      <c r="I176" s="558"/>
      <c r="J176" s="558"/>
      <c r="K176" s="558"/>
      <c r="L176" s="558"/>
      <c r="M176" s="558"/>
      <c r="N176" s="550">
        <f t="shared" si="72"/>
        <v>174</v>
      </c>
      <c r="O176" s="708"/>
      <c r="P176" s="708"/>
      <c r="Q176" s="658" t="s">
        <v>1818</v>
      </c>
      <c r="R176" s="710"/>
      <c r="S176" s="710">
        <v>1</v>
      </c>
      <c r="T176" s="710"/>
      <c r="U176" s="710"/>
      <c r="V176" s="710"/>
      <c r="W176" s="710"/>
      <c r="X176" s="710"/>
      <c r="Y176" s="710"/>
      <c r="Z176" s="710">
        <v>1</v>
      </c>
      <c r="AA176" s="709"/>
      <c r="AB176" s="709"/>
      <c r="AC176" s="709"/>
      <c r="AD176" s="709"/>
      <c r="AE176" s="709"/>
      <c r="AF176" s="709"/>
      <c r="AG176" s="709"/>
      <c r="AH176" s="709"/>
      <c r="AI176" s="709"/>
      <c r="AJ176" s="709"/>
      <c r="AK176" s="709"/>
      <c r="AL176" s="709"/>
      <c r="AM176" s="709"/>
      <c r="AN176" s="709"/>
      <c r="AO176" s="709"/>
      <c r="AP176" s="709"/>
      <c r="AQ176" s="709"/>
      <c r="AR176" s="709"/>
      <c r="AS176" s="709"/>
      <c r="AT176" s="709"/>
      <c r="AU176" s="709"/>
      <c r="AV176" s="709"/>
      <c r="AW176" s="709"/>
      <c r="AX176" s="709">
        <v>1</v>
      </c>
      <c r="AY176" s="709"/>
      <c r="AZ176" s="709"/>
      <c r="BA176" s="709"/>
      <c r="BB176" s="709"/>
      <c r="BC176" s="709"/>
      <c r="BD176" s="709"/>
      <c r="BE176" s="709"/>
      <c r="BF176" s="672">
        <f t="shared" si="68"/>
        <v>0</v>
      </c>
      <c r="BG176" s="672">
        <f t="shared" si="69"/>
        <v>1</v>
      </c>
      <c r="BH176" s="709"/>
      <c r="BI176" s="709"/>
      <c r="BJ176" s="709"/>
      <c r="BK176" s="709"/>
      <c r="BL176" s="709"/>
      <c r="BM176" s="709"/>
      <c r="BN176" s="709"/>
      <c r="BO176" s="709"/>
      <c r="BP176" s="709"/>
      <c r="BQ176" s="709"/>
      <c r="BR176" s="709">
        <v>1</v>
      </c>
      <c r="BS176" s="709"/>
      <c r="BT176" s="709"/>
      <c r="BU176" s="709"/>
      <c r="BV176" s="709"/>
      <c r="BW176" s="709"/>
      <c r="BX176" s="709"/>
      <c r="BY176" s="709"/>
      <c r="BZ176" s="709"/>
      <c r="CA176" s="709">
        <v>1</v>
      </c>
      <c r="CB176" s="709"/>
      <c r="CC176" s="709"/>
      <c r="CD176" s="709"/>
      <c r="CE176" s="709"/>
      <c r="CF176" s="709"/>
      <c r="CG176" s="709"/>
      <c r="CH176" s="709"/>
      <c r="CI176" s="709"/>
      <c r="CJ176" s="709"/>
      <c r="CK176" s="709"/>
      <c r="CL176" s="709"/>
      <c r="CM176" s="709">
        <v>1</v>
      </c>
      <c r="CN176" s="709">
        <f t="shared" si="70"/>
        <v>3.6</v>
      </c>
      <c r="CO176" s="709"/>
      <c r="CP176" s="709"/>
      <c r="CQ176" s="709"/>
      <c r="CR176" s="709">
        <v>1</v>
      </c>
      <c r="CS176" s="709"/>
      <c r="CT176" s="709"/>
      <c r="CU176" s="709"/>
      <c r="CV176" s="709"/>
      <c r="CW176" s="709"/>
      <c r="CX176" s="683"/>
      <c r="CY176" s="711"/>
    </row>
    <row r="177" spans="1:234" ht="13.8" hidden="1">
      <c r="A177" s="706" t="s">
        <v>1931</v>
      </c>
      <c r="B177" s="707"/>
      <c r="C177" s="558">
        <v>28</v>
      </c>
      <c r="D177" s="550">
        <f t="shared" si="71"/>
        <v>202</v>
      </c>
      <c r="E177" s="558"/>
      <c r="F177" s="558"/>
      <c r="G177" s="558"/>
      <c r="H177" s="558"/>
      <c r="I177" s="558"/>
      <c r="J177" s="558"/>
      <c r="K177" s="558"/>
      <c r="L177" s="558"/>
      <c r="M177" s="558"/>
      <c r="N177" s="550">
        <f t="shared" si="72"/>
        <v>202</v>
      </c>
      <c r="O177" s="708"/>
      <c r="P177" s="708"/>
      <c r="Q177" s="658" t="s">
        <v>1818</v>
      </c>
      <c r="R177" s="710"/>
      <c r="S177" s="710">
        <v>1</v>
      </c>
      <c r="T177" s="710"/>
      <c r="U177" s="710"/>
      <c r="V177" s="710"/>
      <c r="W177" s="710"/>
      <c r="X177" s="710"/>
      <c r="Y177" s="710"/>
      <c r="Z177" s="710">
        <v>1</v>
      </c>
      <c r="AA177" s="709"/>
      <c r="AB177" s="709"/>
      <c r="AC177" s="709"/>
      <c r="AD177" s="709"/>
      <c r="AE177" s="709"/>
      <c r="AF177" s="709"/>
      <c r="AG177" s="709"/>
      <c r="AH177" s="709"/>
      <c r="AI177" s="709"/>
      <c r="AJ177" s="709"/>
      <c r="AK177" s="709"/>
      <c r="AL177" s="709"/>
      <c r="AM177" s="709"/>
      <c r="AN177" s="709"/>
      <c r="AO177" s="709"/>
      <c r="AP177" s="709"/>
      <c r="AQ177" s="709"/>
      <c r="AR177" s="709"/>
      <c r="AS177" s="709"/>
      <c r="AT177" s="709"/>
      <c r="AU177" s="709"/>
      <c r="AV177" s="709"/>
      <c r="AW177" s="709"/>
      <c r="AX177" s="709">
        <v>1</v>
      </c>
      <c r="AY177" s="709"/>
      <c r="AZ177" s="709"/>
      <c r="BA177" s="709"/>
      <c r="BB177" s="709"/>
      <c r="BC177" s="709"/>
      <c r="BD177" s="709"/>
      <c r="BE177" s="709"/>
      <c r="BF177" s="672">
        <f t="shared" si="68"/>
        <v>0</v>
      </c>
      <c r="BG177" s="672">
        <f t="shared" si="69"/>
        <v>1</v>
      </c>
      <c r="BH177" s="709"/>
      <c r="BI177" s="709"/>
      <c r="BJ177" s="709"/>
      <c r="BK177" s="709"/>
      <c r="BL177" s="709"/>
      <c r="BM177" s="709"/>
      <c r="BN177" s="709"/>
      <c r="BO177" s="709"/>
      <c r="BP177" s="709"/>
      <c r="BQ177" s="709"/>
      <c r="BR177" s="709"/>
      <c r="BS177" s="709"/>
      <c r="BT177" s="709"/>
      <c r="BU177" s="709"/>
      <c r="BV177" s="709"/>
      <c r="BW177" s="709"/>
      <c r="BX177" s="709"/>
      <c r="BY177" s="709"/>
      <c r="BZ177" s="709"/>
      <c r="CA177" s="709">
        <v>1</v>
      </c>
      <c r="CB177" s="709"/>
      <c r="CC177" s="709"/>
      <c r="CD177" s="709"/>
      <c r="CE177" s="709"/>
      <c r="CF177" s="709"/>
      <c r="CG177" s="709"/>
      <c r="CH177" s="709"/>
      <c r="CI177" s="709"/>
      <c r="CJ177" s="709"/>
      <c r="CK177" s="709"/>
      <c r="CL177" s="709"/>
      <c r="CM177" s="709">
        <v>1</v>
      </c>
      <c r="CN177" s="709">
        <f t="shared" si="70"/>
        <v>3.6</v>
      </c>
      <c r="CO177" s="709"/>
      <c r="CP177" s="709"/>
      <c r="CQ177" s="709"/>
      <c r="CR177" s="709">
        <v>1</v>
      </c>
      <c r="CS177" s="709"/>
      <c r="CT177" s="709"/>
      <c r="CU177" s="709"/>
      <c r="CV177" s="709"/>
      <c r="CW177" s="709"/>
      <c r="CX177" s="683"/>
      <c r="CY177" s="711"/>
    </row>
    <row r="178" spans="1:234" ht="13.8" hidden="1">
      <c r="A178" s="706" t="s">
        <v>1932</v>
      </c>
      <c r="B178" s="707"/>
      <c r="C178" s="558">
        <v>26</v>
      </c>
      <c r="D178" s="550">
        <f t="shared" si="71"/>
        <v>228</v>
      </c>
      <c r="E178" s="558"/>
      <c r="F178" s="558"/>
      <c r="G178" s="558"/>
      <c r="H178" s="558"/>
      <c r="I178" s="558"/>
      <c r="J178" s="558"/>
      <c r="K178" s="558"/>
      <c r="L178" s="558"/>
      <c r="M178" s="558"/>
      <c r="N178" s="550">
        <f t="shared" si="72"/>
        <v>228</v>
      </c>
      <c r="O178" s="708"/>
      <c r="P178" s="708"/>
      <c r="Q178" s="658" t="s">
        <v>1818</v>
      </c>
      <c r="R178" s="710"/>
      <c r="S178" s="710">
        <v>1</v>
      </c>
      <c r="T178" s="710"/>
      <c r="U178" s="710"/>
      <c r="V178" s="710"/>
      <c r="W178" s="710"/>
      <c r="X178" s="710"/>
      <c r="Y178" s="710"/>
      <c r="Z178" s="710">
        <v>1</v>
      </c>
      <c r="AA178" s="709"/>
      <c r="AB178" s="709"/>
      <c r="AC178" s="709"/>
      <c r="AD178" s="709"/>
      <c r="AE178" s="709"/>
      <c r="AF178" s="709"/>
      <c r="AG178" s="709"/>
      <c r="AH178" s="709"/>
      <c r="AI178" s="709"/>
      <c r="AJ178" s="709"/>
      <c r="AK178" s="709"/>
      <c r="AL178" s="709"/>
      <c r="AM178" s="709"/>
      <c r="AN178" s="709"/>
      <c r="AO178" s="709"/>
      <c r="AP178" s="709"/>
      <c r="AQ178" s="709"/>
      <c r="AR178" s="709"/>
      <c r="AS178" s="709"/>
      <c r="AT178" s="709"/>
      <c r="AU178" s="709"/>
      <c r="AV178" s="709"/>
      <c r="AW178" s="709"/>
      <c r="AX178" s="709">
        <v>1</v>
      </c>
      <c r="AY178" s="709"/>
      <c r="AZ178" s="709"/>
      <c r="BA178" s="709"/>
      <c r="BB178" s="709"/>
      <c r="BC178" s="709"/>
      <c r="BD178" s="709"/>
      <c r="BE178" s="709"/>
      <c r="BF178" s="672">
        <f t="shared" si="68"/>
        <v>0</v>
      </c>
      <c r="BG178" s="672">
        <f t="shared" si="69"/>
        <v>1</v>
      </c>
      <c r="BH178" s="709"/>
      <c r="BI178" s="709"/>
      <c r="BJ178" s="709"/>
      <c r="BK178" s="709"/>
      <c r="BL178" s="709"/>
      <c r="BM178" s="709"/>
      <c r="BN178" s="709"/>
      <c r="BO178" s="709"/>
      <c r="BP178" s="709"/>
      <c r="BQ178" s="709"/>
      <c r="BR178" s="709"/>
      <c r="BS178" s="709"/>
      <c r="BT178" s="709"/>
      <c r="BU178" s="709"/>
      <c r="BV178" s="709"/>
      <c r="BW178" s="709"/>
      <c r="BX178" s="709"/>
      <c r="BY178" s="709"/>
      <c r="BZ178" s="709"/>
      <c r="CA178" s="709">
        <v>1</v>
      </c>
      <c r="CB178" s="709"/>
      <c r="CC178" s="709"/>
      <c r="CD178" s="709"/>
      <c r="CE178" s="709"/>
      <c r="CF178" s="709"/>
      <c r="CG178" s="709"/>
      <c r="CH178" s="709"/>
      <c r="CI178" s="709"/>
      <c r="CJ178" s="709"/>
      <c r="CK178" s="709"/>
      <c r="CL178" s="709"/>
      <c r="CM178" s="709">
        <v>1</v>
      </c>
      <c r="CN178" s="709">
        <f t="shared" si="70"/>
        <v>3.6</v>
      </c>
      <c r="CO178" s="709"/>
      <c r="CP178" s="709"/>
      <c r="CQ178" s="709"/>
      <c r="CR178" s="709">
        <v>1</v>
      </c>
      <c r="CS178" s="709"/>
      <c r="CT178" s="709"/>
      <c r="CU178" s="709"/>
      <c r="CV178" s="709"/>
      <c r="CW178" s="709"/>
      <c r="CX178" s="683"/>
      <c r="CY178" s="711"/>
    </row>
    <row r="179" spans="1:234" ht="13.8" hidden="1">
      <c r="A179" s="706" t="s">
        <v>1933</v>
      </c>
      <c r="B179" s="707"/>
      <c r="C179" s="558">
        <v>40</v>
      </c>
      <c r="D179" s="550">
        <f t="shared" si="71"/>
        <v>268</v>
      </c>
      <c r="E179" s="558"/>
      <c r="F179" s="558"/>
      <c r="G179" s="558"/>
      <c r="H179" s="558"/>
      <c r="I179" s="558"/>
      <c r="J179" s="558"/>
      <c r="K179" s="558"/>
      <c r="L179" s="558"/>
      <c r="M179" s="558"/>
      <c r="N179" s="550">
        <f t="shared" si="72"/>
        <v>268</v>
      </c>
      <c r="O179" s="708"/>
      <c r="P179" s="708"/>
      <c r="Q179" s="658" t="s">
        <v>586</v>
      </c>
      <c r="R179" s="710"/>
      <c r="S179" s="710">
        <v>1</v>
      </c>
      <c r="T179" s="710"/>
      <c r="U179" s="710"/>
      <c r="V179" s="710"/>
      <c r="W179" s="710"/>
      <c r="X179" s="710"/>
      <c r="Y179" s="710"/>
      <c r="Z179" s="710">
        <v>1</v>
      </c>
      <c r="AA179" s="709"/>
      <c r="AB179" s="709"/>
      <c r="AC179" s="709"/>
      <c r="AD179" s="709"/>
      <c r="AE179" s="709"/>
      <c r="AF179" s="709"/>
      <c r="AG179" s="709"/>
      <c r="AH179" s="709"/>
      <c r="AI179" s="709"/>
      <c r="AJ179" s="709"/>
      <c r="AK179" s="709"/>
      <c r="AL179" s="709"/>
      <c r="AM179" s="709"/>
      <c r="AN179" s="709"/>
      <c r="AO179" s="709"/>
      <c r="AP179" s="709"/>
      <c r="AQ179" s="709"/>
      <c r="AR179" s="709"/>
      <c r="AS179" s="709"/>
      <c r="AT179" s="709"/>
      <c r="AU179" s="709"/>
      <c r="AV179" s="709"/>
      <c r="AW179" s="709">
        <v>1</v>
      </c>
      <c r="AX179" s="709"/>
      <c r="AY179" s="709"/>
      <c r="AZ179" s="709"/>
      <c r="BA179" s="709"/>
      <c r="BB179" s="709"/>
      <c r="BC179" s="709"/>
      <c r="BD179" s="709"/>
      <c r="BE179" s="709"/>
      <c r="BF179" s="672">
        <f t="shared" si="68"/>
        <v>1</v>
      </c>
      <c r="BG179" s="672">
        <f t="shared" si="69"/>
        <v>0</v>
      </c>
      <c r="BH179" s="709"/>
      <c r="BI179" s="709"/>
      <c r="BJ179" s="709"/>
      <c r="BK179" s="709"/>
      <c r="BL179" s="709"/>
      <c r="BM179" s="709"/>
      <c r="BN179" s="709"/>
      <c r="BO179" s="709"/>
      <c r="BP179" s="709"/>
      <c r="BQ179" s="709"/>
      <c r="BR179" s="709"/>
      <c r="BS179" s="709"/>
      <c r="BT179" s="709"/>
      <c r="BU179" s="709"/>
      <c r="BV179" s="709"/>
      <c r="BW179" s="709"/>
      <c r="BX179" s="709"/>
      <c r="BY179" s="709"/>
      <c r="BZ179" s="709"/>
      <c r="CA179" s="709">
        <v>1</v>
      </c>
      <c r="CB179" s="709"/>
      <c r="CC179" s="709"/>
      <c r="CD179" s="709"/>
      <c r="CE179" s="709"/>
      <c r="CF179" s="709"/>
      <c r="CG179" s="709"/>
      <c r="CH179" s="709"/>
      <c r="CI179" s="709"/>
      <c r="CJ179" s="709"/>
      <c r="CK179" s="709"/>
      <c r="CL179" s="709"/>
      <c r="CM179" s="709">
        <v>1</v>
      </c>
      <c r="CN179" s="709">
        <f t="shared" si="70"/>
        <v>3.6</v>
      </c>
      <c r="CO179" s="709"/>
      <c r="CP179" s="709"/>
      <c r="CQ179" s="709"/>
      <c r="CR179" s="709"/>
      <c r="CS179" s="709"/>
      <c r="CT179" s="709"/>
      <c r="CU179" s="709"/>
      <c r="CV179" s="709"/>
      <c r="CW179" s="709"/>
      <c r="CX179" s="683"/>
      <c r="CY179" s="711"/>
    </row>
    <row r="180" spans="1:234" ht="13.8" hidden="1">
      <c r="A180" s="706" t="s">
        <v>1934</v>
      </c>
      <c r="B180" s="707"/>
      <c r="C180" s="558">
        <v>15</v>
      </c>
      <c r="D180" s="550">
        <f t="shared" si="71"/>
        <v>283</v>
      </c>
      <c r="E180" s="558"/>
      <c r="F180" s="558"/>
      <c r="G180" s="558"/>
      <c r="H180" s="558"/>
      <c r="I180" s="558"/>
      <c r="J180" s="558"/>
      <c r="K180" s="558"/>
      <c r="L180" s="558"/>
      <c r="M180" s="558"/>
      <c r="N180" s="550">
        <f t="shared" si="72"/>
        <v>283</v>
      </c>
      <c r="O180" s="708"/>
      <c r="P180" s="708"/>
      <c r="Q180" s="658" t="s">
        <v>586</v>
      </c>
      <c r="R180" s="710"/>
      <c r="S180" s="710">
        <v>1</v>
      </c>
      <c r="T180" s="710"/>
      <c r="U180" s="710"/>
      <c r="V180" s="710"/>
      <c r="W180" s="710"/>
      <c r="X180" s="710"/>
      <c r="Y180" s="710"/>
      <c r="Z180" s="710">
        <v>1</v>
      </c>
      <c r="AA180" s="709"/>
      <c r="AB180" s="709"/>
      <c r="AC180" s="709"/>
      <c r="AD180" s="709"/>
      <c r="AE180" s="709"/>
      <c r="AF180" s="709"/>
      <c r="AG180" s="709"/>
      <c r="AH180" s="709"/>
      <c r="AI180" s="709"/>
      <c r="AJ180" s="709"/>
      <c r="AK180" s="709"/>
      <c r="AL180" s="709"/>
      <c r="AM180" s="709"/>
      <c r="AN180" s="709"/>
      <c r="AO180" s="709"/>
      <c r="AP180" s="709"/>
      <c r="AQ180" s="709"/>
      <c r="AR180" s="709"/>
      <c r="AS180" s="709"/>
      <c r="AT180" s="709"/>
      <c r="AU180" s="709"/>
      <c r="AV180" s="709"/>
      <c r="AW180" s="709">
        <v>1</v>
      </c>
      <c r="AX180" s="709"/>
      <c r="AY180" s="709"/>
      <c r="AZ180" s="709"/>
      <c r="BA180" s="709"/>
      <c r="BB180" s="709"/>
      <c r="BC180" s="709"/>
      <c r="BD180" s="709"/>
      <c r="BE180" s="709"/>
      <c r="BF180" s="672">
        <f t="shared" si="68"/>
        <v>1</v>
      </c>
      <c r="BG180" s="672">
        <f t="shared" si="69"/>
        <v>0</v>
      </c>
      <c r="BH180" s="709"/>
      <c r="BI180" s="709"/>
      <c r="BJ180" s="709"/>
      <c r="BK180" s="709"/>
      <c r="BL180" s="709"/>
      <c r="BM180" s="709"/>
      <c r="BN180" s="709"/>
      <c r="BO180" s="709"/>
      <c r="BP180" s="709"/>
      <c r="BQ180" s="709"/>
      <c r="BR180" s="709"/>
      <c r="BS180" s="709"/>
      <c r="BT180" s="709"/>
      <c r="BU180" s="709"/>
      <c r="BV180" s="709"/>
      <c r="BW180" s="709"/>
      <c r="BX180" s="709"/>
      <c r="BY180" s="709"/>
      <c r="BZ180" s="709"/>
      <c r="CA180" s="709">
        <v>1</v>
      </c>
      <c r="CB180" s="709"/>
      <c r="CC180" s="709"/>
      <c r="CD180" s="709"/>
      <c r="CE180" s="709"/>
      <c r="CF180" s="709"/>
      <c r="CG180" s="709"/>
      <c r="CH180" s="709"/>
      <c r="CI180" s="709"/>
      <c r="CJ180" s="709"/>
      <c r="CK180" s="709"/>
      <c r="CL180" s="709"/>
      <c r="CM180" s="709">
        <v>1</v>
      </c>
      <c r="CN180" s="709">
        <f t="shared" si="70"/>
        <v>3.6</v>
      </c>
      <c r="CO180" s="709"/>
      <c r="CP180" s="709"/>
      <c r="CQ180" s="709"/>
      <c r="CR180" s="709"/>
      <c r="CS180" s="709"/>
      <c r="CT180" s="709"/>
      <c r="CU180" s="709"/>
      <c r="CV180" s="709"/>
      <c r="CW180" s="709"/>
      <c r="CX180" s="683"/>
      <c r="CY180" s="711"/>
    </row>
    <row r="181" spans="1:234" s="678" customFormat="1" ht="13.8" hidden="1">
      <c r="A181" s="712" t="s">
        <v>1935</v>
      </c>
      <c r="B181" s="613"/>
      <c r="C181" s="613">
        <v>40</v>
      </c>
      <c r="D181" s="550">
        <f t="shared" si="71"/>
        <v>323</v>
      </c>
      <c r="E181" s="613"/>
      <c r="F181" s="613"/>
      <c r="G181" s="613"/>
      <c r="H181" s="613"/>
      <c r="I181" s="613"/>
      <c r="J181" s="679"/>
      <c r="K181" s="613"/>
      <c r="L181" s="613"/>
      <c r="M181" s="613"/>
      <c r="N181" s="550">
        <f t="shared" si="72"/>
        <v>323</v>
      </c>
      <c r="O181" s="614"/>
      <c r="P181" s="614"/>
      <c r="Q181" s="680" t="s">
        <v>1107</v>
      </c>
      <c r="R181" s="681"/>
      <c r="S181" s="681">
        <v>1</v>
      </c>
      <c r="T181" s="681"/>
      <c r="U181" s="681"/>
      <c r="V181" s="681"/>
      <c r="W181" s="681"/>
      <c r="X181" s="681"/>
      <c r="Y181" s="681"/>
      <c r="Z181" s="681">
        <v>1</v>
      </c>
      <c r="AA181" s="682"/>
      <c r="AB181" s="682"/>
      <c r="AC181" s="682"/>
      <c r="AD181" s="682"/>
      <c r="AE181" s="682"/>
      <c r="AF181" s="682"/>
      <c r="AG181" s="682"/>
      <c r="AH181" s="682"/>
      <c r="AI181" s="682"/>
      <c r="AJ181" s="682"/>
      <c r="AK181" s="682"/>
      <c r="AL181" s="682"/>
      <c r="AM181" s="682"/>
      <c r="AN181" s="682"/>
      <c r="AO181" s="682"/>
      <c r="AP181" s="682"/>
      <c r="AQ181" s="682"/>
      <c r="AR181" s="682"/>
      <c r="AS181" s="682"/>
      <c r="AT181" s="682"/>
      <c r="AU181" s="682"/>
      <c r="AV181" s="682"/>
      <c r="AW181" s="682">
        <v>1</v>
      </c>
      <c r="AX181" s="682"/>
      <c r="AY181" s="682"/>
      <c r="AZ181" s="682"/>
      <c r="BA181" s="682"/>
      <c r="BB181" s="682"/>
      <c r="BC181" s="682"/>
      <c r="BD181" s="682"/>
      <c r="BE181" s="682"/>
      <c r="BF181" s="672">
        <f t="shared" si="68"/>
        <v>1</v>
      </c>
      <c r="BG181" s="672">
        <f t="shared" si="69"/>
        <v>0</v>
      </c>
      <c r="BH181" s="682"/>
      <c r="BI181" s="682"/>
      <c r="BJ181" s="682"/>
      <c r="BK181" s="682"/>
      <c r="BL181" s="682"/>
      <c r="BM181" s="682"/>
      <c r="BN181" s="682"/>
      <c r="BO181" s="682"/>
      <c r="BP181" s="682"/>
      <c r="BQ181" s="682"/>
      <c r="BR181" s="682">
        <v>1</v>
      </c>
      <c r="BS181" s="682"/>
      <c r="BT181" s="682"/>
      <c r="BU181" s="682"/>
      <c r="BV181" s="682"/>
      <c r="BW181" s="682"/>
      <c r="BX181" s="682"/>
      <c r="BY181" s="682"/>
      <c r="BZ181" s="682"/>
      <c r="CA181" s="682">
        <v>1</v>
      </c>
      <c r="CB181" s="682"/>
      <c r="CC181" s="682"/>
      <c r="CD181" s="682"/>
      <c r="CE181" s="682"/>
      <c r="CF181" s="682"/>
      <c r="CG181" s="682"/>
      <c r="CH181" s="682"/>
      <c r="CI181" s="682"/>
      <c r="CJ181" s="682"/>
      <c r="CK181" s="682"/>
      <c r="CL181" s="682"/>
      <c r="CM181" s="682">
        <v>1</v>
      </c>
      <c r="CN181" s="682">
        <f t="shared" si="70"/>
        <v>3.6</v>
      </c>
      <c r="CO181" s="682"/>
      <c r="CP181" s="682"/>
      <c r="CQ181" s="682"/>
      <c r="CR181" s="682"/>
      <c r="CS181" s="682"/>
      <c r="CT181" s="682"/>
      <c r="CU181" s="682"/>
      <c r="CV181" s="682"/>
      <c r="CW181" s="682"/>
      <c r="CX181" s="683"/>
      <c r="CY181" s="711"/>
      <c r="CZ181" s="677"/>
      <c r="DA181" s="530"/>
      <c r="DB181" s="530"/>
      <c r="DC181" s="530"/>
      <c r="DD181" s="530"/>
      <c r="DE181" s="530"/>
      <c r="DF181" s="530"/>
      <c r="DG181" s="530"/>
      <c r="DH181" s="530"/>
      <c r="DI181" s="530"/>
      <c r="DJ181" s="530"/>
      <c r="DK181" s="530"/>
      <c r="DL181" s="530"/>
      <c r="DM181" s="530"/>
      <c r="DN181" s="530"/>
      <c r="DO181" s="530"/>
      <c r="DP181" s="530"/>
      <c r="DQ181" s="530"/>
      <c r="DR181" s="530"/>
      <c r="DS181" s="530"/>
      <c r="DT181" s="530"/>
      <c r="DU181" s="530"/>
      <c r="DV181" s="530"/>
      <c r="DW181" s="530"/>
      <c r="DX181" s="530"/>
      <c r="DY181" s="530"/>
      <c r="DZ181" s="530"/>
      <c r="EA181" s="530"/>
      <c r="EB181" s="530"/>
      <c r="EC181" s="530"/>
      <c r="ED181" s="530"/>
      <c r="EE181" s="530"/>
      <c r="EF181" s="530"/>
      <c r="EG181" s="530"/>
      <c r="EH181" s="530"/>
      <c r="EI181" s="530"/>
      <c r="EJ181" s="530"/>
      <c r="EK181" s="530"/>
      <c r="EL181" s="530"/>
      <c r="EM181" s="530"/>
      <c r="EN181" s="530"/>
      <c r="EO181" s="530"/>
      <c r="EP181" s="530"/>
      <c r="EQ181" s="530"/>
      <c r="ER181" s="530"/>
      <c r="ES181" s="530"/>
      <c r="ET181" s="530"/>
      <c r="EU181" s="530"/>
      <c r="EV181" s="530"/>
      <c r="EW181" s="530"/>
      <c r="EX181" s="530"/>
      <c r="EY181" s="530"/>
      <c r="EZ181" s="530"/>
      <c r="FA181" s="530"/>
      <c r="FB181" s="530"/>
      <c r="FC181" s="530"/>
      <c r="FD181" s="530"/>
      <c r="FE181" s="530"/>
      <c r="FF181" s="530"/>
      <c r="FG181" s="530"/>
      <c r="FH181" s="530"/>
      <c r="FI181" s="530"/>
      <c r="FJ181" s="530"/>
      <c r="FK181" s="530"/>
      <c r="FL181" s="530"/>
      <c r="FM181" s="530"/>
      <c r="FN181" s="530"/>
      <c r="FO181" s="530"/>
      <c r="FP181" s="530"/>
      <c r="FQ181" s="530"/>
      <c r="FR181" s="530"/>
      <c r="FS181" s="530"/>
      <c r="FT181" s="530"/>
      <c r="FU181" s="530"/>
      <c r="FV181" s="530"/>
      <c r="FW181" s="530"/>
      <c r="FX181" s="530"/>
      <c r="FY181" s="530"/>
      <c r="FZ181" s="530"/>
      <c r="GA181" s="530"/>
      <c r="GB181" s="530"/>
      <c r="GC181" s="530"/>
      <c r="GD181" s="530"/>
      <c r="GE181" s="530"/>
      <c r="GF181" s="530"/>
      <c r="GG181" s="530"/>
      <c r="GH181" s="530"/>
      <c r="GI181" s="530"/>
      <c r="GJ181" s="530"/>
      <c r="GK181" s="530"/>
      <c r="GL181" s="530"/>
      <c r="GM181" s="530"/>
      <c r="GN181" s="530"/>
      <c r="GO181" s="530"/>
      <c r="GP181" s="530"/>
      <c r="GQ181" s="530"/>
      <c r="GR181" s="530"/>
      <c r="GS181" s="530"/>
      <c r="GT181" s="530"/>
      <c r="GU181" s="530"/>
      <c r="GV181" s="530"/>
      <c r="GW181" s="530"/>
      <c r="GX181" s="530"/>
      <c r="GY181" s="530"/>
      <c r="GZ181" s="530"/>
      <c r="HA181" s="530"/>
      <c r="HB181" s="530"/>
      <c r="HC181" s="530"/>
      <c r="HD181" s="530"/>
      <c r="HE181" s="530"/>
      <c r="HF181" s="530"/>
      <c r="HG181" s="530"/>
      <c r="HH181" s="530"/>
      <c r="HI181" s="530"/>
      <c r="HJ181" s="530"/>
      <c r="HK181" s="530"/>
      <c r="HL181" s="530"/>
      <c r="HM181" s="530"/>
      <c r="HN181" s="530"/>
      <c r="HO181" s="530"/>
      <c r="HP181" s="530"/>
      <c r="HQ181" s="530"/>
      <c r="HR181" s="530"/>
      <c r="HS181" s="530"/>
      <c r="HT181" s="530"/>
      <c r="HU181" s="530"/>
      <c r="HV181" s="530"/>
      <c r="HW181" s="530"/>
      <c r="HX181" s="530"/>
      <c r="HY181" s="530"/>
      <c r="HZ181" s="530"/>
    </row>
    <row r="182" spans="1:234" s="717" customFormat="1" ht="13.8" hidden="1">
      <c r="A182" s="659" t="s">
        <v>4016</v>
      </c>
      <c r="B182" s="713"/>
      <c r="C182" s="714">
        <f>SUM(C171:C181)</f>
        <v>323</v>
      </c>
      <c r="D182" s="714">
        <f t="shared" ref="D182:N182" si="73">D181</f>
        <v>323</v>
      </c>
      <c r="E182" s="714">
        <f t="shared" si="73"/>
        <v>0</v>
      </c>
      <c r="F182" s="714">
        <f t="shared" si="73"/>
        <v>0</v>
      </c>
      <c r="G182" s="714">
        <f t="shared" si="73"/>
        <v>0</v>
      </c>
      <c r="H182" s="714">
        <f t="shared" si="73"/>
        <v>0</v>
      </c>
      <c r="I182" s="714">
        <f t="shared" si="73"/>
        <v>0</v>
      </c>
      <c r="J182" s="714">
        <f t="shared" si="73"/>
        <v>0</v>
      </c>
      <c r="K182" s="714">
        <f t="shared" si="73"/>
        <v>0</v>
      </c>
      <c r="L182" s="714">
        <f t="shared" si="73"/>
        <v>0</v>
      </c>
      <c r="M182" s="714">
        <f t="shared" si="73"/>
        <v>0</v>
      </c>
      <c r="N182" s="714">
        <f t="shared" si="73"/>
        <v>323</v>
      </c>
      <c r="O182" s="714"/>
      <c r="P182" s="714">
        <f>SUM(O171:O181)</f>
        <v>0</v>
      </c>
      <c r="Q182" s="714">
        <f>SUM(P171:P181)</f>
        <v>0</v>
      </c>
      <c r="R182" s="714">
        <f>SUM(Q171:Q181)</f>
        <v>0</v>
      </c>
      <c r="S182" s="714">
        <f t="shared" ref="S182:AX182" si="74">SUM(S171:S181)</f>
        <v>10</v>
      </c>
      <c r="T182" s="714">
        <f t="shared" si="74"/>
        <v>0</v>
      </c>
      <c r="U182" s="714">
        <f t="shared" si="74"/>
        <v>0</v>
      </c>
      <c r="V182" s="714">
        <f t="shared" si="74"/>
        <v>0</v>
      </c>
      <c r="W182" s="714">
        <f t="shared" si="74"/>
        <v>0</v>
      </c>
      <c r="X182" s="714">
        <f t="shared" si="74"/>
        <v>0</v>
      </c>
      <c r="Y182" s="714">
        <f t="shared" si="74"/>
        <v>0</v>
      </c>
      <c r="Z182" s="714">
        <f t="shared" si="74"/>
        <v>10</v>
      </c>
      <c r="AA182" s="714">
        <f t="shared" si="74"/>
        <v>0</v>
      </c>
      <c r="AB182" s="714">
        <f t="shared" si="74"/>
        <v>0</v>
      </c>
      <c r="AC182" s="714">
        <f t="shared" si="74"/>
        <v>0</v>
      </c>
      <c r="AD182" s="714">
        <f t="shared" si="74"/>
        <v>0</v>
      </c>
      <c r="AE182" s="714">
        <f t="shared" si="74"/>
        <v>0</v>
      </c>
      <c r="AF182" s="714">
        <f t="shared" si="74"/>
        <v>0</v>
      </c>
      <c r="AG182" s="714">
        <f t="shared" si="74"/>
        <v>0</v>
      </c>
      <c r="AH182" s="714">
        <f t="shared" si="74"/>
        <v>0</v>
      </c>
      <c r="AI182" s="714">
        <f t="shared" si="74"/>
        <v>0</v>
      </c>
      <c r="AJ182" s="714">
        <f t="shared" si="74"/>
        <v>0</v>
      </c>
      <c r="AK182" s="714">
        <f t="shared" si="74"/>
        <v>0</v>
      </c>
      <c r="AL182" s="714">
        <f t="shared" si="74"/>
        <v>0</v>
      </c>
      <c r="AM182" s="714">
        <f t="shared" si="74"/>
        <v>0</v>
      </c>
      <c r="AN182" s="714">
        <f t="shared" si="74"/>
        <v>0</v>
      </c>
      <c r="AO182" s="714">
        <f t="shared" si="74"/>
        <v>0</v>
      </c>
      <c r="AP182" s="714">
        <f t="shared" si="74"/>
        <v>0</v>
      </c>
      <c r="AQ182" s="714">
        <f t="shared" si="74"/>
        <v>0</v>
      </c>
      <c r="AR182" s="714">
        <f t="shared" si="74"/>
        <v>0</v>
      </c>
      <c r="AS182" s="714">
        <f t="shared" si="74"/>
        <v>0</v>
      </c>
      <c r="AT182" s="714">
        <f t="shared" si="74"/>
        <v>0</v>
      </c>
      <c r="AU182" s="714">
        <f t="shared" si="74"/>
        <v>0</v>
      </c>
      <c r="AV182" s="714">
        <f t="shared" si="74"/>
        <v>0</v>
      </c>
      <c r="AW182" s="714">
        <f t="shared" si="74"/>
        <v>5</v>
      </c>
      <c r="AX182" s="714">
        <f t="shared" si="74"/>
        <v>6</v>
      </c>
      <c r="AY182" s="714">
        <f t="shared" ref="AY182:CB182" si="75">SUM(AY171:AY181)</f>
        <v>0</v>
      </c>
      <c r="AZ182" s="714">
        <f t="shared" si="75"/>
        <v>0</v>
      </c>
      <c r="BA182" s="714">
        <f t="shared" si="75"/>
        <v>0</v>
      </c>
      <c r="BB182" s="714">
        <f t="shared" si="75"/>
        <v>0</v>
      </c>
      <c r="BC182" s="714">
        <f t="shared" si="75"/>
        <v>0</v>
      </c>
      <c r="BD182" s="714">
        <f t="shared" si="75"/>
        <v>0</v>
      </c>
      <c r="BE182" s="714">
        <f t="shared" si="75"/>
        <v>0</v>
      </c>
      <c r="BF182" s="714">
        <f t="shared" si="75"/>
        <v>5</v>
      </c>
      <c r="BG182" s="714">
        <f t="shared" si="75"/>
        <v>6</v>
      </c>
      <c r="BH182" s="714">
        <f t="shared" si="75"/>
        <v>0</v>
      </c>
      <c r="BI182" s="714">
        <f t="shared" si="75"/>
        <v>0</v>
      </c>
      <c r="BJ182" s="714">
        <f t="shared" si="75"/>
        <v>0</v>
      </c>
      <c r="BK182" s="714">
        <f t="shared" si="75"/>
        <v>0</v>
      </c>
      <c r="BL182" s="714">
        <f t="shared" si="75"/>
        <v>0</v>
      </c>
      <c r="BM182" s="714">
        <f t="shared" si="75"/>
        <v>0</v>
      </c>
      <c r="BN182" s="714">
        <f t="shared" si="75"/>
        <v>0</v>
      </c>
      <c r="BO182" s="714">
        <f t="shared" si="75"/>
        <v>0</v>
      </c>
      <c r="BP182" s="714">
        <f t="shared" si="75"/>
        <v>0</v>
      </c>
      <c r="BQ182" s="714">
        <f t="shared" si="75"/>
        <v>0</v>
      </c>
      <c r="BR182" s="714">
        <f t="shared" si="75"/>
        <v>3</v>
      </c>
      <c r="BS182" s="714">
        <f t="shared" si="75"/>
        <v>0</v>
      </c>
      <c r="BT182" s="714">
        <f t="shared" si="75"/>
        <v>0</v>
      </c>
      <c r="BU182" s="714">
        <f t="shared" si="75"/>
        <v>0</v>
      </c>
      <c r="BV182" s="714">
        <f t="shared" si="75"/>
        <v>0</v>
      </c>
      <c r="BW182" s="714">
        <f t="shared" si="75"/>
        <v>0</v>
      </c>
      <c r="BX182" s="714">
        <f t="shared" si="75"/>
        <v>0</v>
      </c>
      <c r="BY182" s="714">
        <f t="shared" si="75"/>
        <v>0</v>
      </c>
      <c r="BZ182" s="714">
        <f t="shared" si="75"/>
        <v>0</v>
      </c>
      <c r="CA182" s="714">
        <f t="shared" si="75"/>
        <v>10</v>
      </c>
      <c r="CB182" s="714">
        <f t="shared" si="75"/>
        <v>0</v>
      </c>
      <c r="CC182" s="714">
        <f t="shared" ref="CC182:CN182" si="76">SUM(CC171:CC181)</f>
        <v>0</v>
      </c>
      <c r="CD182" s="714">
        <f t="shared" si="76"/>
        <v>0</v>
      </c>
      <c r="CE182" s="714">
        <f t="shared" si="76"/>
        <v>0</v>
      </c>
      <c r="CF182" s="714">
        <f t="shared" si="76"/>
        <v>0</v>
      </c>
      <c r="CG182" s="714">
        <f t="shared" si="76"/>
        <v>0</v>
      </c>
      <c r="CH182" s="714">
        <f t="shared" si="76"/>
        <v>0</v>
      </c>
      <c r="CI182" s="714">
        <f t="shared" si="76"/>
        <v>0</v>
      </c>
      <c r="CJ182" s="714">
        <f t="shared" si="76"/>
        <v>0</v>
      </c>
      <c r="CK182" s="714">
        <f t="shared" si="76"/>
        <v>0</v>
      </c>
      <c r="CL182" s="714">
        <f t="shared" si="76"/>
        <v>0</v>
      </c>
      <c r="CM182" s="714">
        <f t="shared" si="76"/>
        <v>10</v>
      </c>
      <c r="CN182" s="714">
        <f t="shared" si="76"/>
        <v>36.000000000000007</v>
      </c>
      <c r="CO182" s="714">
        <f t="shared" ref="CO182:CW182" si="77">SUM(CO171:CO181)</f>
        <v>0</v>
      </c>
      <c r="CP182" s="714">
        <f t="shared" si="77"/>
        <v>0</v>
      </c>
      <c r="CQ182" s="714">
        <f t="shared" si="77"/>
        <v>0</v>
      </c>
      <c r="CR182" s="714">
        <f t="shared" si="77"/>
        <v>7</v>
      </c>
      <c r="CS182" s="714">
        <f t="shared" si="77"/>
        <v>0</v>
      </c>
      <c r="CT182" s="714">
        <f t="shared" si="77"/>
        <v>0</v>
      </c>
      <c r="CU182" s="714">
        <f t="shared" si="77"/>
        <v>0</v>
      </c>
      <c r="CV182" s="714">
        <f t="shared" si="77"/>
        <v>0</v>
      </c>
      <c r="CW182" s="714">
        <f t="shared" si="77"/>
        <v>0</v>
      </c>
      <c r="CX182" s="715">
        <v>21</v>
      </c>
      <c r="CY182" s="716"/>
    </row>
    <row r="183" spans="1:234" s="545" customFormat="1" ht="18" hidden="1" customHeight="1">
      <c r="A183" s="655" t="s">
        <v>4036</v>
      </c>
      <c r="B183" s="544"/>
      <c r="C183" s="544"/>
      <c r="D183" s="544"/>
      <c r="E183" s="544"/>
      <c r="F183" s="544"/>
      <c r="G183" s="544"/>
      <c r="H183" s="544"/>
      <c r="I183" s="544"/>
      <c r="J183" s="544"/>
      <c r="K183" s="544"/>
      <c r="L183" s="544"/>
      <c r="M183" s="544"/>
      <c r="N183" s="544"/>
      <c r="O183" s="544"/>
      <c r="P183" s="544"/>
      <c r="Q183" s="544"/>
      <c r="R183" s="544"/>
      <c r="S183" s="544"/>
      <c r="T183" s="544"/>
      <c r="U183" s="544"/>
      <c r="V183" s="544"/>
      <c r="W183" s="544"/>
      <c r="X183" s="544"/>
      <c r="Y183" s="544"/>
      <c r="Z183" s="544"/>
      <c r="AA183" s="544"/>
      <c r="AB183" s="544"/>
      <c r="AC183" s="544"/>
      <c r="AD183" s="544"/>
      <c r="AE183" s="544"/>
      <c r="AF183" s="544"/>
      <c r="AG183" s="544"/>
      <c r="AH183" s="544"/>
      <c r="AI183" s="544"/>
      <c r="AJ183" s="544"/>
      <c r="AK183" s="544"/>
      <c r="AL183" s="544"/>
      <c r="AM183" s="544"/>
      <c r="AN183" s="544"/>
      <c r="AO183" s="544"/>
      <c r="AP183" s="544"/>
      <c r="AQ183" s="544"/>
      <c r="AR183" s="544"/>
      <c r="AS183" s="544"/>
      <c r="AT183" s="544"/>
      <c r="AU183" s="544"/>
      <c r="AV183" s="544"/>
      <c r="AW183" s="544"/>
      <c r="AX183" s="544"/>
      <c r="AY183" s="544"/>
      <c r="AZ183" s="544"/>
      <c r="BA183" s="544"/>
      <c r="BB183" s="544"/>
      <c r="BC183" s="544"/>
      <c r="BD183" s="544"/>
      <c r="BE183" s="544"/>
      <c r="BF183" s="544"/>
      <c r="BG183" s="544"/>
      <c r="BH183" s="544"/>
      <c r="BI183" s="544"/>
      <c r="BJ183" s="544"/>
      <c r="BK183" s="544"/>
      <c r="BL183" s="544"/>
      <c r="BM183" s="544"/>
      <c r="BN183" s="544"/>
      <c r="BO183" s="544"/>
      <c r="BP183" s="544"/>
      <c r="BQ183" s="544"/>
      <c r="BR183" s="544"/>
      <c r="BS183" s="544"/>
      <c r="BT183" s="544"/>
      <c r="BU183" s="544"/>
      <c r="BV183" s="544"/>
      <c r="BW183" s="544"/>
      <c r="BX183" s="544"/>
      <c r="BY183" s="544"/>
      <c r="BZ183" s="544"/>
      <c r="CA183" s="544"/>
      <c r="CB183" s="544"/>
      <c r="CC183" s="544"/>
      <c r="CD183" s="544"/>
      <c r="CE183" s="544"/>
      <c r="CF183" s="544"/>
      <c r="CG183" s="544"/>
      <c r="CH183" s="544"/>
      <c r="CI183" s="544"/>
      <c r="CJ183" s="544"/>
      <c r="CK183" s="544"/>
      <c r="CL183" s="544"/>
      <c r="CM183" s="544"/>
      <c r="CN183" s="544"/>
      <c r="CO183" s="544"/>
      <c r="CP183" s="544"/>
      <c r="CQ183" s="544"/>
      <c r="CR183" s="544"/>
      <c r="CS183" s="544"/>
      <c r="CT183" s="544"/>
      <c r="CU183" s="544"/>
      <c r="CV183" s="544"/>
      <c r="CW183" s="544"/>
      <c r="CX183" s="544"/>
      <c r="CY183" s="669"/>
      <c r="CZ183" s="530"/>
      <c r="DA183" s="530"/>
      <c r="DB183" s="530"/>
      <c r="DC183" s="530"/>
      <c r="DD183" s="530"/>
      <c r="DE183" s="530"/>
      <c r="DF183" s="530"/>
      <c r="DG183" s="530"/>
      <c r="DH183" s="530"/>
      <c r="DI183" s="530"/>
      <c r="DJ183" s="530"/>
      <c r="DK183" s="530"/>
      <c r="DL183" s="530"/>
      <c r="DM183" s="530"/>
      <c r="DN183" s="530"/>
      <c r="DO183" s="530"/>
      <c r="DP183" s="530"/>
      <c r="DQ183" s="530"/>
      <c r="DR183" s="530"/>
      <c r="DS183" s="530"/>
      <c r="DT183" s="530"/>
      <c r="DU183" s="530"/>
      <c r="DV183" s="530"/>
      <c r="DW183" s="530"/>
      <c r="DX183" s="530"/>
      <c r="DY183" s="530"/>
      <c r="DZ183" s="530"/>
      <c r="EA183" s="530"/>
      <c r="EB183" s="530"/>
      <c r="EC183" s="530"/>
      <c r="ED183" s="530"/>
      <c r="EE183" s="530"/>
      <c r="EF183" s="530"/>
      <c r="EG183" s="530"/>
      <c r="EH183" s="530"/>
      <c r="EI183" s="530"/>
      <c r="EJ183" s="530"/>
      <c r="EK183" s="530"/>
      <c r="EL183" s="530"/>
      <c r="EM183" s="530"/>
      <c r="EN183" s="530"/>
      <c r="EO183" s="530"/>
      <c r="EP183" s="530"/>
      <c r="EQ183" s="530"/>
      <c r="ER183" s="530"/>
      <c r="ES183" s="530"/>
      <c r="ET183" s="530"/>
      <c r="EU183" s="530"/>
      <c r="EV183" s="530"/>
      <c r="EW183" s="530"/>
      <c r="EX183" s="530"/>
      <c r="EY183" s="530"/>
      <c r="EZ183" s="530"/>
      <c r="FA183" s="530"/>
      <c r="FB183" s="530"/>
      <c r="FC183" s="530"/>
      <c r="FD183" s="530"/>
      <c r="FE183" s="530"/>
      <c r="FF183" s="530"/>
      <c r="FG183" s="530"/>
      <c r="FH183" s="530"/>
      <c r="FI183" s="530"/>
      <c r="FJ183" s="530"/>
      <c r="FK183" s="530"/>
      <c r="FL183" s="530"/>
      <c r="FM183" s="530"/>
      <c r="FN183" s="530"/>
      <c r="FO183" s="530"/>
      <c r="FP183" s="530"/>
      <c r="FQ183" s="530"/>
      <c r="FR183" s="530"/>
      <c r="FS183" s="530"/>
      <c r="FT183" s="530"/>
      <c r="FU183" s="530"/>
      <c r="FV183" s="530"/>
      <c r="FW183" s="530"/>
      <c r="FX183" s="530"/>
      <c r="FY183" s="530"/>
      <c r="FZ183" s="530"/>
      <c r="GA183" s="530"/>
      <c r="GB183" s="530"/>
      <c r="GC183" s="530"/>
      <c r="GD183" s="530"/>
      <c r="GE183" s="530"/>
      <c r="GF183" s="530"/>
      <c r="GG183" s="530"/>
      <c r="GH183" s="530"/>
      <c r="GI183" s="530"/>
      <c r="GJ183" s="530"/>
      <c r="GK183" s="530"/>
      <c r="GL183" s="530"/>
      <c r="GM183" s="530"/>
      <c r="GN183" s="530"/>
      <c r="GO183" s="530"/>
      <c r="GP183" s="530"/>
      <c r="GQ183" s="530"/>
      <c r="GR183" s="530"/>
      <c r="GS183" s="530"/>
      <c r="GT183" s="530"/>
      <c r="GU183" s="530"/>
      <c r="GV183" s="530"/>
      <c r="GW183" s="530"/>
      <c r="GX183" s="530"/>
      <c r="GY183" s="530"/>
      <c r="GZ183" s="530"/>
      <c r="HA183" s="530"/>
      <c r="HB183" s="530"/>
      <c r="HC183" s="530"/>
      <c r="HD183" s="530"/>
      <c r="HE183" s="530"/>
      <c r="HF183" s="530"/>
      <c r="HG183" s="530"/>
      <c r="HH183" s="530"/>
      <c r="HI183" s="530"/>
      <c r="HJ183" s="530"/>
      <c r="HK183" s="530"/>
      <c r="HL183" s="530"/>
      <c r="HM183" s="530"/>
      <c r="HN183" s="530"/>
      <c r="HO183" s="530"/>
      <c r="HP183" s="530"/>
      <c r="HQ183" s="530"/>
      <c r="HR183" s="530"/>
      <c r="HS183" s="530"/>
      <c r="HT183" s="530"/>
      <c r="HU183" s="530"/>
      <c r="HV183" s="530"/>
      <c r="HW183" s="530"/>
      <c r="HX183" s="530"/>
      <c r="HY183" s="530"/>
      <c r="HZ183" s="530"/>
    </row>
    <row r="184" spans="1:234" ht="13.8" hidden="1">
      <c r="A184" s="591"/>
      <c r="B184" s="702" t="s">
        <v>1936</v>
      </c>
      <c r="C184" s="555"/>
      <c r="D184" s="555"/>
      <c r="E184" s="555"/>
      <c r="F184" s="555"/>
      <c r="G184" s="555"/>
      <c r="H184" s="555"/>
      <c r="I184" s="555"/>
      <c r="J184" s="555"/>
      <c r="K184" s="555"/>
      <c r="L184" s="555"/>
      <c r="M184" s="555"/>
      <c r="N184" s="555">
        <f>C184</f>
        <v>0</v>
      </c>
      <c r="O184" s="556"/>
      <c r="P184" s="556"/>
      <c r="Q184" s="556" t="s">
        <v>658</v>
      </c>
      <c r="R184" s="672"/>
      <c r="S184" s="672"/>
      <c r="T184" s="672"/>
      <c r="U184" s="672"/>
      <c r="V184" s="672"/>
      <c r="W184" s="672"/>
      <c r="X184" s="672"/>
      <c r="Y184" s="672"/>
      <c r="Z184" s="672"/>
      <c r="AA184" s="672"/>
      <c r="AB184" s="672"/>
      <c r="AC184" s="672"/>
      <c r="AD184" s="672"/>
      <c r="AE184" s="672"/>
      <c r="AF184" s="672"/>
      <c r="AG184" s="672"/>
      <c r="AH184" s="672"/>
      <c r="AI184" s="672"/>
      <c r="AJ184" s="672"/>
      <c r="AK184" s="672"/>
      <c r="AL184" s="672"/>
      <c r="AM184" s="672"/>
      <c r="AN184" s="672"/>
      <c r="AO184" s="672"/>
      <c r="AP184" s="672"/>
      <c r="AQ184" s="672"/>
      <c r="AR184" s="672"/>
      <c r="AS184" s="672"/>
      <c r="AT184" s="672"/>
      <c r="AU184" s="672"/>
      <c r="AV184" s="672"/>
      <c r="AW184" s="672"/>
      <c r="AX184" s="672"/>
      <c r="AY184" s="672"/>
      <c r="AZ184" s="672"/>
      <c r="BA184" s="672"/>
      <c r="BB184" s="672"/>
      <c r="BC184" s="672"/>
      <c r="BD184" s="672"/>
      <c r="BE184" s="672"/>
      <c r="BF184" s="672">
        <f t="shared" ref="BF184:BG188" si="78">AW184</f>
        <v>0</v>
      </c>
      <c r="BG184" s="672">
        <f t="shared" si="78"/>
        <v>0</v>
      </c>
      <c r="BH184" s="672"/>
      <c r="BI184" s="672"/>
      <c r="BJ184" s="672"/>
      <c r="BK184" s="672"/>
      <c r="BL184" s="672"/>
      <c r="BM184" s="672"/>
      <c r="BN184" s="672"/>
      <c r="BO184" s="672"/>
      <c r="BP184" s="672"/>
      <c r="BQ184" s="672"/>
      <c r="BR184" s="672"/>
      <c r="BS184" s="672"/>
      <c r="BT184" s="672"/>
      <c r="BU184" s="672"/>
      <c r="BV184" s="672"/>
      <c r="BW184" s="672"/>
      <c r="BX184" s="672"/>
      <c r="BY184" s="672"/>
      <c r="BZ184" s="672"/>
      <c r="CA184" s="672"/>
      <c r="CB184" s="672"/>
      <c r="CC184" s="672"/>
      <c r="CD184" s="672"/>
      <c r="CE184" s="672"/>
      <c r="CF184" s="672"/>
      <c r="CG184" s="672"/>
      <c r="CH184" s="672"/>
      <c r="CI184" s="672"/>
      <c r="CJ184" s="672"/>
      <c r="CK184" s="672"/>
      <c r="CL184" s="672"/>
      <c r="CM184" s="672"/>
      <c r="CN184" s="672">
        <f>+CM184*3.6</f>
        <v>0</v>
      </c>
      <c r="CO184" s="672"/>
      <c r="CP184" s="672"/>
      <c r="CQ184" s="672"/>
      <c r="CR184" s="672"/>
      <c r="CS184" s="672"/>
      <c r="CT184" s="672"/>
      <c r="CU184" s="672"/>
      <c r="CV184" s="672"/>
      <c r="CW184" s="672"/>
      <c r="CX184" s="704"/>
      <c r="CY184" s="705"/>
      <c r="HU184" s="542"/>
      <c r="HV184" s="542"/>
      <c r="HW184" s="542"/>
      <c r="HX184" s="542"/>
      <c r="HY184" s="542"/>
      <c r="HZ184" s="542"/>
    </row>
    <row r="185" spans="1:234" ht="13.8" hidden="1">
      <c r="A185" s="591" t="s">
        <v>1937</v>
      </c>
      <c r="B185" s="670"/>
      <c r="C185" s="550">
        <v>22</v>
      </c>
      <c r="D185" s="550">
        <f>D184+C185</f>
        <v>22</v>
      </c>
      <c r="E185" s="550"/>
      <c r="F185" s="550"/>
      <c r="G185" s="550"/>
      <c r="H185" s="550"/>
      <c r="I185" s="550"/>
      <c r="J185" s="550"/>
      <c r="K185" s="550"/>
      <c r="L185" s="550"/>
      <c r="M185" s="550"/>
      <c r="N185" s="550">
        <f>+N184+C185</f>
        <v>22</v>
      </c>
      <c r="O185" s="439"/>
      <c r="P185" s="439"/>
      <c r="Q185" s="674" t="s">
        <v>546</v>
      </c>
      <c r="R185" s="671"/>
      <c r="S185" s="671">
        <v>1</v>
      </c>
      <c r="T185" s="671"/>
      <c r="U185" s="671"/>
      <c r="V185" s="671"/>
      <c r="W185" s="671"/>
      <c r="X185" s="671"/>
      <c r="Y185" s="671"/>
      <c r="Z185" s="671">
        <v>1</v>
      </c>
      <c r="AA185" s="623"/>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v>1</v>
      </c>
      <c r="AX185" s="623"/>
      <c r="AY185" s="623"/>
      <c r="AZ185" s="623"/>
      <c r="BA185" s="623"/>
      <c r="BB185" s="623"/>
      <c r="BC185" s="623"/>
      <c r="BD185" s="623"/>
      <c r="BE185" s="623"/>
      <c r="BF185" s="672">
        <f t="shared" si="78"/>
        <v>1</v>
      </c>
      <c r="BG185" s="672">
        <f t="shared" si="78"/>
        <v>0</v>
      </c>
      <c r="BH185" s="623"/>
      <c r="BI185" s="623"/>
      <c r="BJ185" s="623"/>
      <c r="BK185" s="623"/>
      <c r="BL185" s="623"/>
      <c r="BM185" s="623"/>
      <c r="BN185" s="623"/>
      <c r="BO185" s="623"/>
      <c r="BP185" s="623"/>
      <c r="BQ185" s="623"/>
      <c r="BR185" s="623">
        <v>1</v>
      </c>
      <c r="BS185" s="623"/>
      <c r="BT185" s="623"/>
      <c r="BU185" s="623"/>
      <c r="BV185" s="623"/>
      <c r="BW185" s="623"/>
      <c r="BX185" s="623"/>
      <c r="BY185" s="623"/>
      <c r="BZ185" s="623"/>
      <c r="CA185" s="623">
        <v>1</v>
      </c>
      <c r="CB185" s="623"/>
      <c r="CC185" s="623"/>
      <c r="CD185" s="623"/>
      <c r="CE185" s="623"/>
      <c r="CF185" s="623"/>
      <c r="CG185" s="623"/>
      <c r="CH185" s="623"/>
      <c r="CI185" s="623"/>
      <c r="CJ185" s="623"/>
      <c r="CK185" s="623"/>
      <c r="CL185" s="623"/>
      <c r="CM185" s="623">
        <v>1</v>
      </c>
      <c r="CN185" s="623">
        <f>+CM185*3.6</f>
        <v>3.6</v>
      </c>
      <c r="CO185" s="623"/>
      <c r="CP185" s="623"/>
      <c r="CQ185" s="623"/>
      <c r="CR185" s="623"/>
      <c r="CS185" s="623"/>
      <c r="CT185" s="623"/>
      <c r="CU185" s="623"/>
      <c r="CV185" s="623"/>
      <c r="CW185" s="623"/>
      <c r="CX185" s="673"/>
      <c r="CY185" s="557"/>
    </row>
    <row r="186" spans="1:234" ht="13.8" hidden="1">
      <c r="A186" s="591" t="s">
        <v>1938</v>
      </c>
      <c r="B186" s="670"/>
      <c r="C186" s="550">
        <v>35</v>
      </c>
      <c r="D186" s="550">
        <f>D185+C186</f>
        <v>57</v>
      </c>
      <c r="E186" s="550"/>
      <c r="F186" s="550"/>
      <c r="G186" s="550"/>
      <c r="H186" s="550"/>
      <c r="I186" s="550"/>
      <c r="J186" s="550"/>
      <c r="K186" s="550"/>
      <c r="L186" s="550"/>
      <c r="M186" s="550"/>
      <c r="N186" s="550">
        <f>+N185+C186</f>
        <v>57</v>
      </c>
      <c r="O186" s="439"/>
      <c r="P186" s="439"/>
      <c r="Q186" s="674" t="s">
        <v>501</v>
      </c>
      <c r="R186" s="671"/>
      <c r="S186" s="671">
        <v>1</v>
      </c>
      <c r="T186" s="671"/>
      <c r="U186" s="671"/>
      <c r="V186" s="671"/>
      <c r="W186" s="671"/>
      <c r="X186" s="671"/>
      <c r="Y186" s="671"/>
      <c r="Z186" s="671">
        <v>1</v>
      </c>
      <c r="AA186" s="623"/>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72">
        <f t="shared" si="78"/>
        <v>0</v>
      </c>
      <c r="BG186" s="672">
        <f t="shared" si="78"/>
        <v>0</v>
      </c>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v>1</v>
      </c>
      <c r="CB186" s="623"/>
      <c r="CC186" s="623"/>
      <c r="CD186" s="623"/>
      <c r="CE186" s="623"/>
      <c r="CF186" s="623"/>
      <c r="CG186" s="623"/>
      <c r="CH186" s="623"/>
      <c r="CI186" s="623"/>
      <c r="CJ186" s="623"/>
      <c r="CK186" s="623"/>
      <c r="CL186" s="623"/>
      <c r="CM186" s="623">
        <v>1</v>
      </c>
      <c r="CN186" s="623">
        <f>+CM186*3.6</f>
        <v>3.6</v>
      </c>
      <c r="CO186" s="623"/>
      <c r="CP186" s="623"/>
      <c r="CQ186" s="623"/>
      <c r="CR186" s="623"/>
      <c r="CS186" s="623"/>
      <c r="CT186" s="623"/>
      <c r="CU186" s="623"/>
      <c r="CV186" s="623"/>
      <c r="CW186" s="623"/>
      <c r="CX186" s="673"/>
      <c r="CY186" s="557"/>
    </row>
    <row r="187" spans="1:234" ht="13.8" hidden="1">
      <c r="A187" s="706" t="s">
        <v>1939</v>
      </c>
      <c r="B187" s="707"/>
      <c r="C187" s="558">
        <v>35</v>
      </c>
      <c r="D187" s="550">
        <f>D186+C187</f>
        <v>92</v>
      </c>
      <c r="E187" s="558"/>
      <c r="F187" s="558"/>
      <c r="G187" s="558"/>
      <c r="H187" s="558"/>
      <c r="I187" s="558"/>
      <c r="J187" s="558"/>
      <c r="K187" s="558"/>
      <c r="L187" s="558"/>
      <c r="M187" s="558"/>
      <c r="N187" s="550">
        <f>+N186+C187</f>
        <v>92</v>
      </c>
      <c r="O187" s="708"/>
      <c r="P187" s="708"/>
      <c r="Q187" s="658" t="s">
        <v>501</v>
      </c>
      <c r="R187" s="710"/>
      <c r="S187" s="710">
        <v>1</v>
      </c>
      <c r="T187" s="710"/>
      <c r="U187" s="710"/>
      <c r="V187" s="710"/>
      <c r="W187" s="710"/>
      <c r="X187" s="710"/>
      <c r="Y187" s="710"/>
      <c r="Z187" s="710">
        <v>1</v>
      </c>
      <c r="AA187" s="709"/>
      <c r="AB187" s="709"/>
      <c r="AC187" s="709"/>
      <c r="AD187" s="709"/>
      <c r="AE187" s="709"/>
      <c r="AF187" s="709"/>
      <c r="AG187" s="709"/>
      <c r="AH187" s="709"/>
      <c r="AI187" s="709"/>
      <c r="AJ187" s="709"/>
      <c r="AK187" s="709"/>
      <c r="AL187" s="709"/>
      <c r="AM187" s="709"/>
      <c r="AN187" s="709"/>
      <c r="AO187" s="709"/>
      <c r="AP187" s="709"/>
      <c r="AQ187" s="709"/>
      <c r="AR187" s="709"/>
      <c r="AS187" s="709"/>
      <c r="AT187" s="709"/>
      <c r="AU187" s="709"/>
      <c r="AV187" s="709"/>
      <c r="AW187" s="709"/>
      <c r="AX187" s="709"/>
      <c r="AY187" s="709"/>
      <c r="AZ187" s="709"/>
      <c r="BA187" s="709"/>
      <c r="BB187" s="709"/>
      <c r="BC187" s="709"/>
      <c r="BD187" s="709"/>
      <c r="BE187" s="709"/>
      <c r="BF187" s="672">
        <f t="shared" si="78"/>
        <v>0</v>
      </c>
      <c r="BG187" s="672">
        <f t="shared" si="78"/>
        <v>0</v>
      </c>
      <c r="BH187" s="709"/>
      <c r="BI187" s="709"/>
      <c r="BJ187" s="709"/>
      <c r="BK187" s="709"/>
      <c r="BL187" s="709"/>
      <c r="BM187" s="709"/>
      <c r="BN187" s="709"/>
      <c r="BO187" s="709"/>
      <c r="BP187" s="709"/>
      <c r="BQ187" s="709"/>
      <c r="BR187" s="709"/>
      <c r="BS187" s="709"/>
      <c r="BT187" s="709"/>
      <c r="BU187" s="709"/>
      <c r="BV187" s="709"/>
      <c r="BW187" s="709"/>
      <c r="BX187" s="709"/>
      <c r="BY187" s="709"/>
      <c r="BZ187" s="709"/>
      <c r="CA187" s="709">
        <v>1</v>
      </c>
      <c r="CB187" s="709"/>
      <c r="CC187" s="709"/>
      <c r="CD187" s="709"/>
      <c r="CE187" s="709"/>
      <c r="CF187" s="709"/>
      <c r="CG187" s="709"/>
      <c r="CH187" s="709"/>
      <c r="CI187" s="709"/>
      <c r="CJ187" s="709"/>
      <c r="CK187" s="709"/>
      <c r="CL187" s="709"/>
      <c r="CM187" s="709">
        <v>1</v>
      </c>
      <c r="CN187" s="709">
        <f>+CM187*3.6</f>
        <v>3.6</v>
      </c>
      <c r="CO187" s="709"/>
      <c r="CP187" s="709"/>
      <c r="CQ187" s="709"/>
      <c r="CR187" s="709"/>
      <c r="CS187" s="709"/>
      <c r="CT187" s="709"/>
      <c r="CU187" s="709"/>
      <c r="CV187" s="709"/>
      <c r="CW187" s="709"/>
      <c r="CX187" s="683"/>
      <c r="CY187" s="711"/>
    </row>
    <row r="188" spans="1:234" s="678" customFormat="1" ht="13.8" hidden="1">
      <c r="A188" s="712" t="s">
        <v>1940</v>
      </c>
      <c r="B188" s="613"/>
      <c r="C188" s="613">
        <v>35</v>
      </c>
      <c r="D188" s="550">
        <f>D187+C188</f>
        <v>127</v>
      </c>
      <c r="E188" s="613"/>
      <c r="F188" s="613"/>
      <c r="G188" s="613"/>
      <c r="H188" s="613"/>
      <c r="I188" s="613"/>
      <c r="J188" s="679"/>
      <c r="K188" s="613"/>
      <c r="L188" s="613"/>
      <c r="M188" s="613"/>
      <c r="N188" s="550">
        <f>+N187+C188</f>
        <v>127</v>
      </c>
      <c r="O188" s="614"/>
      <c r="P188" s="614"/>
      <c r="Q188" s="680" t="s">
        <v>1107</v>
      </c>
      <c r="R188" s="681"/>
      <c r="S188" s="681">
        <v>1</v>
      </c>
      <c r="T188" s="681"/>
      <c r="U188" s="681"/>
      <c r="V188" s="681"/>
      <c r="W188" s="681"/>
      <c r="X188" s="681"/>
      <c r="Y188" s="681"/>
      <c r="Z188" s="681">
        <v>1</v>
      </c>
      <c r="AA188" s="682"/>
      <c r="AB188" s="682"/>
      <c r="AC188" s="682"/>
      <c r="AD188" s="682"/>
      <c r="AE188" s="682"/>
      <c r="AF188" s="682"/>
      <c r="AG188" s="682"/>
      <c r="AH188" s="682"/>
      <c r="AI188" s="682"/>
      <c r="AJ188" s="682"/>
      <c r="AK188" s="682"/>
      <c r="AL188" s="682"/>
      <c r="AM188" s="682"/>
      <c r="AN188" s="682"/>
      <c r="AO188" s="682"/>
      <c r="AP188" s="682"/>
      <c r="AQ188" s="682"/>
      <c r="AR188" s="682"/>
      <c r="AS188" s="682"/>
      <c r="AT188" s="682"/>
      <c r="AU188" s="682"/>
      <c r="AV188" s="682"/>
      <c r="AW188" s="682">
        <v>1</v>
      </c>
      <c r="AX188" s="682"/>
      <c r="AY188" s="682"/>
      <c r="AZ188" s="682"/>
      <c r="BA188" s="682"/>
      <c r="BB188" s="682"/>
      <c r="BC188" s="682"/>
      <c r="BD188" s="682"/>
      <c r="BE188" s="682"/>
      <c r="BF188" s="672">
        <f t="shared" si="78"/>
        <v>1</v>
      </c>
      <c r="BG188" s="672">
        <f t="shared" si="78"/>
        <v>0</v>
      </c>
      <c r="BH188" s="682"/>
      <c r="BI188" s="682"/>
      <c r="BJ188" s="682"/>
      <c r="BK188" s="682"/>
      <c r="BL188" s="682"/>
      <c r="BM188" s="682"/>
      <c r="BN188" s="682"/>
      <c r="BO188" s="682"/>
      <c r="BP188" s="682"/>
      <c r="BQ188" s="682"/>
      <c r="BR188" s="682">
        <v>1</v>
      </c>
      <c r="BS188" s="682"/>
      <c r="BT188" s="682"/>
      <c r="BU188" s="682"/>
      <c r="BV188" s="682"/>
      <c r="BW188" s="682"/>
      <c r="BX188" s="682"/>
      <c r="BY188" s="682"/>
      <c r="BZ188" s="682"/>
      <c r="CA188" s="682">
        <v>1</v>
      </c>
      <c r="CB188" s="682"/>
      <c r="CC188" s="682"/>
      <c r="CD188" s="682"/>
      <c r="CE188" s="682"/>
      <c r="CF188" s="682"/>
      <c r="CG188" s="682"/>
      <c r="CH188" s="682"/>
      <c r="CI188" s="682"/>
      <c r="CJ188" s="682"/>
      <c r="CK188" s="682"/>
      <c r="CL188" s="682"/>
      <c r="CM188" s="682">
        <v>1</v>
      </c>
      <c r="CN188" s="682">
        <f>+CM188*3.6</f>
        <v>3.6</v>
      </c>
      <c r="CO188" s="682"/>
      <c r="CP188" s="682"/>
      <c r="CQ188" s="682"/>
      <c r="CR188" s="682"/>
      <c r="CS188" s="682"/>
      <c r="CT188" s="682"/>
      <c r="CU188" s="682"/>
      <c r="CV188" s="682"/>
      <c r="CW188" s="682"/>
      <c r="CX188" s="683"/>
      <c r="CY188" s="711"/>
      <c r="CZ188" s="677"/>
      <c r="DA188" s="530"/>
      <c r="DB188" s="530"/>
      <c r="DC188" s="530"/>
      <c r="DD188" s="530"/>
      <c r="DE188" s="530"/>
      <c r="DF188" s="530"/>
      <c r="DG188" s="530"/>
      <c r="DH188" s="530"/>
      <c r="DI188" s="530"/>
      <c r="DJ188" s="530"/>
      <c r="DK188" s="530"/>
      <c r="DL188" s="530"/>
      <c r="DM188" s="530"/>
      <c r="DN188" s="530"/>
      <c r="DO188" s="530"/>
      <c r="DP188" s="530"/>
      <c r="DQ188" s="530"/>
      <c r="DR188" s="530"/>
      <c r="DS188" s="530"/>
      <c r="DT188" s="530"/>
      <c r="DU188" s="530"/>
      <c r="DV188" s="530"/>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row>
    <row r="189" spans="1:234" s="717" customFormat="1" ht="13.8" hidden="1">
      <c r="A189" s="659" t="s">
        <v>4022</v>
      </c>
      <c r="B189" s="713"/>
      <c r="C189" s="714">
        <f>SUM(C184:C188)</f>
        <v>127</v>
      </c>
      <c r="D189" s="714">
        <f t="shared" ref="D189:N189" si="79">D188</f>
        <v>127</v>
      </c>
      <c r="E189" s="714">
        <f t="shared" si="79"/>
        <v>0</v>
      </c>
      <c r="F189" s="714">
        <f t="shared" si="79"/>
        <v>0</v>
      </c>
      <c r="G189" s="714">
        <f t="shared" si="79"/>
        <v>0</v>
      </c>
      <c r="H189" s="714">
        <f t="shared" si="79"/>
        <v>0</v>
      </c>
      <c r="I189" s="714">
        <f t="shared" si="79"/>
        <v>0</v>
      </c>
      <c r="J189" s="714">
        <f t="shared" si="79"/>
        <v>0</v>
      </c>
      <c r="K189" s="714">
        <f t="shared" si="79"/>
        <v>0</v>
      </c>
      <c r="L189" s="714">
        <f t="shared" si="79"/>
        <v>0</v>
      </c>
      <c r="M189" s="714">
        <f t="shared" si="79"/>
        <v>0</v>
      </c>
      <c r="N189" s="714">
        <f t="shared" si="79"/>
        <v>127</v>
      </c>
      <c r="O189" s="714"/>
      <c r="P189" s="714">
        <f>SUM(O184:O188)</f>
        <v>0</v>
      </c>
      <c r="Q189" s="714">
        <f>SUM(P184:P188)</f>
        <v>0</v>
      </c>
      <c r="R189" s="714">
        <f>SUM(Q184:Q188)</f>
        <v>0</v>
      </c>
      <c r="S189" s="714">
        <f t="shared" ref="S189:AX189" si="80">SUM(S184:S188)</f>
        <v>4</v>
      </c>
      <c r="T189" s="714">
        <f t="shared" si="80"/>
        <v>0</v>
      </c>
      <c r="U189" s="714">
        <f t="shared" si="80"/>
        <v>0</v>
      </c>
      <c r="V189" s="714">
        <f t="shared" si="80"/>
        <v>0</v>
      </c>
      <c r="W189" s="714">
        <f t="shared" si="80"/>
        <v>0</v>
      </c>
      <c r="X189" s="714">
        <f t="shared" si="80"/>
        <v>0</v>
      </c>
      <c r="Y189" s="714">
        <f t="shared" si="80"/>
        <v>0</v>
      </c>
      <c r="Z189" s="714">
        <f t="shared" si="80"/>
        <v>4</v>
      </c>
      <c r="AA189" s="714">
        <f t="shared" si="80"/>
        <v>0</v>
      </c>
      <c r="AB189" s="714">
        <f t="shared" si="80"/>
        <v>0</v>
      </c>
      <c r="AC189" s="714">
        <f t="shared" si="80"/>
        <v>0</v>
      </c>
      <c r="AD189" s="714">
        <f t="shared" si="80"/>
        <v>0</v>
      </c>
      <c r="AE189" s="714">
        <f t="shared" si="80"/>
        <v>0</v>
      </c>
      <c r="AF189" s="714">
        <f t="shared" si="80"/>
        <v>0</v>
      </c>
      <c r="AG189" s="714">
        <f t="shared" si="80"/>
        <v>0</v>
      </c>
      <c r="AH189" s="714">
        <f t="shared" si="80"/>
        <v>0</v>
      </c>
      <c r="AI189" s="714">
        <f t="shared" si="80"/>
        <v>0</v>
      </c>
      <c r="AJ189" s="714">
        <f t="shared" si="80"/>
        <v>0</v>
      </c>
      <c r="AK189" s="714">
        <f t="shared" si="80"/>
        <v>0</v>
      </c>
      <c r="AL189" s="714">
        <f t="shared" si="80"/>
        <v>0</v>
      </c>
      <c r="AM189" s="714">
        <f t="shared" si="80"/>
        <v>0</v>
      </c>
      <c r="AN189" s="714">
        <f t="shared" si="80"/>
        <v>0</v>
      </c>
      <c r="AO189" s="714">
        <f t="shared" si="80"/>
        <v>0</v>
      </c>
      <c r="AP189" s="714">
        <f t="shared" si="80"/>
        <v>0</v>
      </c>
      <c r="AQ189" s="714">
        <f t="shared" si="80"/>
        <v>0</v>
      </c>
      <c r="AR189" s="714">
        <f t="shared" si="80"/>
        <v>0</v>
      </c>
      <c r="AS189" s="714">
        <f t="shared" si="80"/>
        <v>0</v>
      </c>
      <c r="AT189" s="714">
        <f t="shared" si="80"/>
        <v>0</v>
      </c>
      <c r="AU189" s="714">
        <f t="shared" si="80"/>
        <v>0</v>
      </c>
      <c r="AV189" s="714">
        <f t="shared" si="80"/>
        <v>0</v>
      </c>
      <c r="AW189" s="714">
        <f t="shared" si="80"/>
        <v>2</v>
      </c>
      <c r="AX189" s="714">
        <f t="shared" si="80"/>
        <v>0</v>
      </c>
      <c r="AY189" s="714">
        <f t="shared" ref="AY189:CB189" si="81">SUM(AY184:AY188)</f>
        <v>0</v>
      </c>
      <c r="AZ189" s="714">
        <f t="shared" si="81"/>
        <v>0</v>
      </c>
      <c r="BA189" s="714">
        <f t="shared" si="81"/>
        <v>0</v>
      </c>
      <c r="BB189" s="714">
        <f t="shared" si="81"/>
        <v>0</v>
      </c>
      <c r="BC189" s="714">
        <f t="shared" si="81"/>
        <v>0</v>
      </c>
      <c r="BD189" s="714">
        <f t="shared" si="81"/>
        <v>0</v>
      </c>
      <c r="BE189" s="714">
        <f t="shared" si="81"/>
        <v>0</v>
      </c>
      <c r="BF189" s="714">
        <f t="shared" si="81"/>
        <v>2</v>
      </c>
      <c r="BG189" s="714">
        <f t="shared" si="81"/>
        <v>0</v>
      </c>
      <c r="BH189" s="714">
        <f t="shared" si="81"/>
        <v>0</v>
      </c>
      <c r="BI189" s="714">
        <f t="shared" si="81"/>
        <v>0</v>
      </c>
      <c r="BJ189" s="714">
        <f t="shared" si="81"/>
        <v>0</v>
      </c>
      <c r="BK189" s="714">
        <f t="shared" si="81"/>
        <v>0</v>
      </c>
      <c r="BL189" s="714">
        <f t="shared" si="81"/>
        <v>0</v>
      </c>
      <c r="BM189" s="714">
        <f t="shared" si="81"/>
        <v>0</v>
      </c>
      <c r="BN189" s="714">
        <f t="shared" si="81"/>
        <v>0</v>
      </c>
      <c r="BO189" s="714">
        <f t="shared" si="81"/>
        <v>0</v>
      </c>
      <c r="BP189" s="714">
        <f t="shared" si="81"/>
        <v>0</v>
      </c>
      <c r="BQ189" s="714">
        <f t="shared" si="81"/>
        <v>0</v>
      </c>
      <c r="BR189" s="714">
        <f t="shared" si="81"/>
        <v>2</v>
      </c>
      <c r="BS189" s="714">
        <f t="shared" si="81"/>
        <v>0</v>
      </c>
      <c r="BT189" s="714">
        <f t="shared" si="81"/>
        <v>0</v>
      </c>
      <c r="BU189" s="714">
        <f t="shared" si="81"/>
        <v>0</v>
      </c>
      <c r="BV189" s="714">
        <f t="shared" si="81"/>
        <v>0</v>
      </c>
      <c r="BW189" s="714">
        <f t="shared" si="81"/>
        <v>0</v>
      </c>
      <c r="BX189" s="714">
        <f t="shared" si="81"/>
        <v>0</v>
      </c>
      <c r="BY189" s="714">
        <f t="shared" si="81"/>
        <v>0</v>
      </c>
      <c r="BZ189" s="714">
        <f t="shared" si="81"/>
        <v>0</v>
      </c>
      <c r="CA189" s="714">
        <f t="shared" si="81"/>
        <v>4</v>
      </c>
      <c r="CB189" s="714">
        <f t="shared" si="81"/>
        <v>0</v>
      </c>
      <c r="CC189" s="714">
        <f t="shared" ref="CC189:CN189" si="82">SUM(CC184:CC188)</f>
        <v>0</v>
      </c>
      <c r="CD189" s="714">
        <f t="shared" si="82"/>
        <v>0</v>
      </c>
      <c r="CE189" s="714">
        <f t="shared" si="82"/>
        <v>0</v>
      </c>
      <c r="CF189" s="714">
        <f t="shared" si="82"/>
        <v>0</v>
      </c>
      <c r="CG189" s="714">
        <f t="shared" si="82"/>
        <v>0</v>
      </c>
      <c r="CH189" s="714">
        <f t="shared" si="82"/>
        <v>0</v>
      </c>
      <c r="CI189" s="714">
        <f t="shared" si="82"/>
        <v>0</v>
      </c>
      <c r="CJ189" s="714">
        <f t="shared" si="82"/>
        <v>0</v>
      </c>
      <c r="CK189" s="714">
        <f t="shared" si="82"/>
        <v>0</v>
      </c>
      <c r="CL189" s="714">
        <f t="shared" si="82"/>
        <v>0</v>
      </c>
      <c r="CM189" s="714">
        <f t="shared" si="82"/>
        <v>4</v>
      </c>
      <c r="CN189" s="714">
        <f t="shared" si="82"/>
        <v>14.4</v>
      </c>
      <c r="CO189" s="714">
        <f t="shared" ref="CO189:CW189" si="83">SUM(CO184:CO188)</f>
        <v>0</v>
      </c>
      <c r="CP189" s="714">
        <f t="shared" si="83"/>
        <v>0</v>
      </c>
      <c r="CQ189" s="714">
        <f t="shared" si="83"/>
        <v>0</v>
      </c>
      <c r="CR189" s="714">
        <f t="shared" si="83"/>
        <v>0</v>
      </c>
      <c r="CS189" s="714">
        <f t="shared" si="83"/>
        <v>0</v>
      </c>
      <c r="CT189" s="714">
        <f t="shared" si="83"/>
        <v>0</v>
      </c>
      <c r="CU189" s="714">
        <f t="shared" si="83"/>
        <v>0</v>
      </c>
      <c r="CV189" s="714">
        <f t="shared" si="83"/>
        <v>0</v>
      </c>
      <c r="CW189" s="714">
        <f t="shared" si="83"/>
        <v>0</v>
      </c>
      <c r="CX189" s="715">
        <v>7</v>
      </c>
      <c r="CY189" s="716"/>
    </row>
    <row r="190" spans="1:234" s="545" customFormat="1" ht="18" hidden="1" customHeight="1">
      <c r="A190" s="655" t="s">
        <v>4037</v>
      </c>
      <c r="B190" s="544"/>
      <c r="C190" s="544"/>
      <c r="D190" s="544"/>
      <c r="E190" s="544"/>
      <c r="F190" s="544"/>
      <c r="G190" s="544"/>
      <c r="H190" s="544"/>
      <c r="I190" s="544"/>
      <c r="J190" s="544"/>
      <c r="K190" s="544"/>
      <c r="L190" s="544"/>
      <c r="M190" s="544"/>
      <c r="N190" s="544"/>
      <c r="O190" s="544"/>
      <c r="P190" s="544"/>
      <c r="Q190" s="544"/>
      <c r="R190" s="544"/>
      <c r="S190" s="544"/>
      <c r="T190" s="544"/>
      <c r="U190" s="544"/>
      <c r="V190" s="544"/>
      <c r="W190" s="544"/>
      <c r="X190" s="544"/>
      <c r="Y190" s="544"/>
      <c r="Z190" s="544"/>
      <c r="AA190" s="544"/>
      <c r="AB190" s="544"/>
      <c r="AC190" s="544"/>
      <c r="AD190" s="544"/>
      <c r="AE190" s="544"/>
      <c r="AF190" s="544"/>
      <c r="AG190" s="544"/>
      <c r="AH190" s="544"/>
      <c r="AI190" s="544"/>
      <c r="AJ190" s="544"/>
      <c r="AK190" s="544"/>
      <c r="AL190" s="544"/>
      <c r="AM190" s="544"/>
      <c r="AN190" s="544"/>
      <c r="AO190" s="544"/>
      <c r="AP190" s="544"/>
      <c r="AQ190" s="544"/>
      <c r="AR190" s="544"/>
      <c r="AS190" s="544"/>
      <c r="AT190" s="544"/>
      <c r="AU190" s="544"/>
      <c r="AV190" s="544"/>
      <c r="AW190" s="544"/>
      <c r="AX190" s="544"/>
      <c r="AY190" s="544"/>
      <c r="AZ190" s="544"/>
      <c r="BA190" s="544"/>
      <c r="BB190" s="544"/>
      <c r="BC190" s="544"/>
      <c r="BD190" s="544"/>
      <c r="BE190" s="544"/>
      <c r="BF190" s="544"/>
      <c r="BG190" s="544"/>
      <c r="BH190" s="544"/>
      <c r="BI190" s="544"/>
      <c r="BJ190" s="544"/>
      <c r="BK190" s="544"/>
      <c r="BL190" s="544"/>
      <c r="BM190" s="544"/>
      <c r="BN190" s="544"/>
      <c r="BO190" s="544"/>
      <c r="BP190" s="544"/>
      <c r="BQ190" s="544"/>
      <c r="BR190" s="544"/>
      <c r="BS190" s="544"/>
      <c r="BT190" s="544"/>
      <c r="BU190" s="544"/>
      <c r="BV190" s="544"/>
      <c r="BW190" s="544"/>
      <c r="BX190" s="544"/>
      <c r="BY190" s="544"/>
      <c r="BZ190" s="544"/>
      <c r="CA190" s="544"/>
      <c r="CB190" s="544"/>
      <c r="CC190" s="544"/>
      <c r="CD190" s="544"/>
      <c r="CE190" s="544"/>
      <c r="CF190" s="544"/>
      <c r="CG190" s="544"/>
      <c r="CH190" s="544"/>
      <c r="CI190" s="544"/>
      <c r="CJ190" s="544"/>
      <c r="CK190" s="544"/>
      <c r="CL190" s="544"/>
      <c r="CM190" s="544"/>
      <c r="CN190" s="544"/>
      <c r="CO190" s="544"/>
      <c r="CP190" s="544"/>
      <c r="CQ190" s="544"/>
      <c r="CR190" s="544"/>
      <c r="CS190" s="544"/>
      <c r="CT190" s="544"/>
      <c r="CU190" s="544"/>
      <c r="CV190" s="544"/>
      <c r="CW190" s="544"/>
      <c r="CX190" s="544"/>
      <c r="CY190" s="669"/>
      <c r="CZ190" s="530"/>
      <c r="DA190" s="530"/>
      <c r="DB190" s="530"/>
      <c r="DC190" s="530"/>
      <c r="DD190" s="530"/>
      <c r="DE190" s="530"/>
      <c r="DF190" s="530"/>
      <c r="DG190" s="530"/>
      <c r="DH190" s="530"/>
      <c r="DI190" s="530"/>
      <c r="DJ190" s="530"/>
      <c r="DK190" s="530"/>
      <c r="DL190" s="530"/>
      <c r="DM190" s="530"/>
      <c r="DN190" s="530"/>
      <c r="DO190" s="530"/>
      <c r="DP190" s="530"/>
      <c r="DQ190" s="530"/>
      <c r="DR190" s="530"/>
      <c r="DS190" s="530"/>
      <c r="DT190" s="530"/>
      <c r="DU190" s="530"/>
      <c r="DV190" s="530"/>
      <c r="DW190" s="530"/>
      <c r="DX190" s="530"/>
      <c r="DY190" s="530"/>
      <c r="DZ190" s="530"/>
      <c r="EA190" s="530"/>
      <c r="EB190" s="530"/>
      <c r="EC190" s="530"/>
      <c r="ED190" s="530"/>
      <c r="EE190" s="530"/>
      <c r="EF190" s="530"/>
      <c r="EG190" s="530"/>
      <c r="EH190" s="530"/>
      <c r="EI190" s="530"/>
      <c r="EJ190" s="530"/>
      <c r="EK190" s="530"/>
      <c r="EL190" s="530"/>
      <c r="EM190" s="530"/>
      <c r="EN190" s="530"/>
      <c r="EO190" s="530"/>
      <c r="EP190" s="530"/>
      <c r="EQ190" s="530"/>
      <c r="ER190" s="530"/>
      <c r="ES190" s="530"/>
      <c r="ET190" s="530"/>
      <c r="EU190" s="530"/>
      <c r="EV190" s="530"/>
      <c r="EW190" s="530"/>
      <c r="EX190" s="530"/>
      <c r="EY190" s="530"/>
      <c r="EZ190" s="530"/>
      <c r="FA190" s="530"/>
      <c r="FB190" s="530"/>
      <c r="FC190" s="530"/>
      <c r="FD190" s="530"/>
      <c r="FE190" s="530"/>
      <c r="FF190" s="530"/>
      <c r="FG190" s="530"/>
      <c r="FH190" s="530"/>
      <c r="FI190" s="530"/>
      <c r="FJ190" s="530"/>
      <c r="FK190" s="530"/>
      <c r="FL190" s="530"/>
      <c r="FM190" s="530"/>
      <c r="FN190" s="530"/>
      <c r="FO190" s="530"/>
      <c r="FP190" s="530"/>
      <c r="FQ190" s="530"/>
      <c r="FR190" s="530"/>
      <c r="FS190" s="530"/>
      <c r="FT190" s="530"/>
      <c r="FU190" s="530"/>
      <c r="FV190" s="530"/>
      <c r="FW190" s="530"/>
      <c r="FX190" s="530"/>
      <c r="FY190" s="530"/>
      <c r="FZ190" s="530"/>
      <c r="GA190" s="530"/>
      <c r="GB190" s="530"/>
      <c r="GC190" s="530"/>
      <c r="GD190" s="530"/>
      <c r="GE190" s="530"/>
      <c r="GF190" s="530"/>
      <c r="GG190" s="530"/>
      <c r="GH190" s="530"/>
      <c r="GI190" s="530"/>
      <c r="GJ190" s="530"/>
      <c r="GK190" s="530"/>
      <c r="GL190" s="530"/>
      <c r="GM190" s="530"/>
      <c r="GN190" s="530"/>
      <c r="GO190" s="530"/>
      <c r="GP190" s="530"/>
      <c r="GQ190" s="530"/>
      <c r="GR190" s="530"/>
      <c r="GS190" s="530"/>
      <c r="GT190" s="530"/>
      <c r="GU190" s="530"/>
      <c r="GV190" s="530"/>
      <c r="GW190" s="530"/>
      <c r="GX190" s="530"/>
      <c r="GY190" s="530"/>
      <c r="GZ190" s="530"/>
      <c r="HA190" s="530"/>
      <c r="HB190" s="530"/>
      <c r="HC190" s="530"/>
      <c r="HD190" s="530"/>
      <c r="HE190" s="530"/>
      <c r="HF190" s="530"/>
      <c r="HG190" s="530"/>
      <c r="HH190" s="530"/>
      <c r="HI190" s="530"/>
      <c r="HJ190" s="530"/>
      <c r="HK190" s="530"/>
      <c r="HL190" s="530"/>
      <c r="HM190" s="530"/>
      <c r="HN190" s="530"/>
      <c r="HO190" s="530"/>
      <c r="HP190" s="530"/>
      <c r="HQ190" s="530"/>
      <c r="HR190" s="530"/>
      <c r="HS190" s="530"/>
      <c r="HT190" s="530"/>
      <c r="HU190" s="530"/>
      <c r="HV190" s="530"/>
      <c r="HW190" s="530"/>
      <c r="HX190" s="530"/>
      <c r="HY190" s="530"/>
      <c r="HZ190" s="530"/>
    </row>
    <row r="191" spans="1:234" ht="13.8" hidden="1">
      <c r="A191" s="591" t="s">
        <v>458</v>
      </c>
      <c r="B191" s="702"/>
      <c r="C191" s="555"/>
      <c r="D191" s="555"/>
      <c r="E191" s="555"/>
      <c r="F191" s="555"/>
      <c r="G191" s="555"/>
      <c r="H191" s="555"/>
      <c r="I191" s="555"/>
      <c r="J191" s="555"/>
      <c r="K191" s="555"/>
      <c r="L191" s="555"/>
      <c r="M191" s="555"/>
      <c r="N191" s="555">
        <f>C191</f>
        <v>0</v>
      </c>
      <c r="O191" s="556"/>
      <c r="P191" s="556"/>
      <c r="Q191" s="556" t="s">
        <v>658</v>
      </c>
      <c r="R191" s="672"/>
      <c r="S191" s="718">
        <v>1</v>
      </c>
      <c r="T191" s="718"/>
      <c r="U191" s="718"/>
      <c r="V191" s="718"/>
      <c r="W191" s="718"/>
      <c r="X191" s="718"/>
      <c r="Y191" s="718"/>
      <c r="Z191" s="718">
        <v>1</v>
      </c>
      <c r="AA191" s="672"/>
      <c r="AB191" s="672"/>
      <c r="AC191" s="672"/>
      <c r="AD191" s="672"/>
      <c r="AE191" s="672"/>
      <c r="AF191" s="672"/>
      <c r="AG191" s="672"/>
      <c r="AH191" s="672"/>
      <c r="AI191" s="672"/>
      <c r="AJ191" s="672"/>
      <c r="AK191" s="672"/>
      <c r="AL191" s="672"/>
      <c r="AM191" s="672"/>
      <c r="AN191" s="672"/>
      <c r="AO191" s="672"/>
      <c r="AP191" s="672"/>
      <c r="AQ191" s="672"/>
      <c r="AR191" s="672"/>
      <c r="AS191" s="672"/>
      <c r="AT191" s="672"/>
      <c r="AU191" s="672"/>
      <c r="AV191" s="672"/>
      <c r="AW191" s="672"/>
      <c r="AX191" s="672">
        <v>1</v>
      </c>
      <c r="AY191" s="672"/>
      <c r="AZ191" s="672"/>
      <c r="BA191" s="672"/>
      <c r="BB191" s="672"/>
      <c r="BC191" s="672"/>
      <c r="BD191" s="672"/>
      <c r="BE191" s="672"/>
      <c r="BF191" s="672">
        <f t="shared" ref="BF191:BG195" si="84">AW191</f>
        <v>0</v>
      </c>
      <c r="BG191" s="672">
        <f t="shared" si="84"/>
        <v>1</v>
      </c>
      <c r="BH191" s="672"/>
      <c r="BI191" s="672"/>
      <c r="BJ191" s="672"/>
      <c r="BK191" s="672"/>
      <c r="BL191" s="672"/>
      <c r="BM191" s="672"/>
      <c r="BN191" s="672"/>
      <c r="BO191" s="672"/>
      <c r="BP191" s="672"/>
      <c r="BQ191" s="672"/>
      <c r="BR191" s="672">
        <v>1</v>
      </c>
      <c r="BS191" s="672"/>
      <c r="BT191" s="672"/>
      <c r="BU191" s="672"/>
      <c r="BV191" s="672"/>
      <c r="BW191" s="672"/>
      <c r="BX191" s="672"/>
      <c r="BY191" s="672"/>
      <c r="BZ191" s="672"/>
      <c r="CA191" s="672"/>
      <c r="CB191" s="672"/>
      <c r="CC191" s="672"/>
      <c r="CD191" s="672"/>
      <c r="CE191" s="672"/>
      <c r="CF191" s="672"/>
      <c r="CG191" s="672"/>
      <c r="CH191" s="672"/>
      <c r="CI191" s="672"/>
      <c r="CJ191" s="672"/>
      <c r="CK191" s="672"/>
      <c r="CL191" s="672"/>
      <c r="CM191" s="672"/>
      <c r="CN191" s="672">
        <f>+CM191*3.6</f>
        <v>0</v>
      </c>
      <c r="CO191" s="672"/>
      <c r="CP191" s="672"/>
      <c r="CQ191" s="672"/>
      <c r="CR191" s="672"/>
      <c r="CS191" s="672"/>
      <c r="CT191" s="672"/>
      <c r="CU191" s="672"/>
      <c r="CV191" s="672"/>
      <c r="CW191" s="672"/>
      <c r="CX191" s="704"/>
      <c r="CY191" s="705"/>
      <c r="HU191" s="542"/>
      <c r="HV191" s="542"/>
      <c r="HW191" s="542"/>
      <c r="HX191" s="542"/>
      <c r="HY191" s="542"/>
      <c r="HZ191" s="542"/>
    </row>
    <row r="192" spans="1:234" ht="13.8" hidden="1">
      <c r="A192" s="591" t="s">
        <v>459</v>
      </c>
      <c r="B192" s="670"/>
      <c r="C192" s="550">
        <v>30</v>
      </c>
      <c r="D192" s="550">
        <f>D191+C192</f>
        <v>30</v>
      </c>
      <c r="E192" s="550"/>
      <c r="F192" s="550"/>
      <c r="G192" s="550"/>
      <c r="H192" s="550"/>
      <c r="I192" s="550"/>
      <c r="J192" s="550"/>
      <c r="K192" s="550"/>
      <c r="L192" s="550"/>
      <c r="M192" s="550"/>
      <c r="N192" s="550">
        <f>+N191+C192</f>
        <v>30</v>
      </c>
      <c r="O192" s="439"/>
      <c r="P192" s="439"/>
      <c r="Q192" s="439" t="s">
        <v>501</v>
      </c>
      <c r="R192" s="623"/>
      <c r="S192" s="671">
        <v>1</v>
      </c>
      <c r="T192" s="671"/>
      <c r="U192" s="671"/>
      <c r="V192" s="671"/>
      <c r="W192" s="671"/>
      <c r="X192" s="671"/>
      <c r="Y192" s="671"/>
      <c r="Z192" s="671">
        <v>1</v>
      </c>
      <c r="AA192" s="623"/>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72">
        <f t="shared" si="84"/>
        <v>0</v>
      </c>
      <c r="BG192" s="672">
        <f t="shared" si="84"/>
        <v>0</v>
      </c>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v>1</v>
      </c>
      <c r="CB192" s="623"/>
      <c r="CC192" s="623"/>
      <c r="CD192" s="623"/>
      <c r="CE192" s="623"/>
      <c r="CF192" s="623"/>
      <c r="CG192" s="623"/>
      <c r="CH192" s="623"/>
      <c r="CI192" s="623"/>
      <c r="CJ192" s="623"/>
      <c r="CK192" s="623"/>
      <c r="CL192" s="623"/>
      <c r="CM192" s="623">
        <v>1</v>
      </c>
      <c r="CN192" s="623">
        <f>+CM192*3.6</f>
        <v>3.6</v>
      </c>
      <c r="CO192" s="623"/>
      <c r="CP192" s="623"/>
      <c r="CQ192" s="623"/>
      <c r="CR192" s="623"/>
      <c r="CS192" s="623"/>
      <c r="CT192" s="623"/>
      <c r="CU192" s="623"/>
      <c r="CV192" s="623"/>
      <c r="CW192" s="623"/>
      <c r="CX192" s="673"/>
      <c r="CY192" s="557"/>
    </row>
    <row r="193" spans="1:234" ht="13.8" hidden="1">
      <c r="A193" s="591" t="s">
        <v>460</v>
      </c>
      <c r="B193" s="670"/>
      <c r="C193" s="550">
        <v>31</v>
      </c>
      <c r="D193" s="550">
        <f>D192+C193</f>
        <v>61</v>
      </c>
      <c r="E193" s="550"/>
      <c r="F193" s="550"/>
      <c r="G193" s="550"/>
      <c r="H193" s="550"/>
      <c r="I193" s="550"/>
      <c r="J193" s="550"/>
      <c r="K193" s="550"/>
      <c r="L193" s="550"/>
      <c r="M193" s="550"/>
      <c r="N193" s="550">
        <f>+N192+C193</f>
        <v>61</v>
      </c>
      <c r="O193" s="439"/>
      <c r="P193" s="439"/>
      <c r="Q193" s="439" t="s">
        <v>546</v>
      </c>
      <c r="R193" s="623"/>
      <c r="S193" s="671">
        <v>1</v>
      </c>
      <c r="T193" s="671"/>
      <c r="U193" s="671"/>
      <c r="V193" s="671"/>
      <c r="W193" s="671"/>
      <c r="X193" s="671"/>
      <c r="Y193" s="671"/>
      <c r="Z193" s="671">
        <v>1</v>
      </c>
      <c r="AA193" s="623"/>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v>1</v>
      </c>
      <c r="AX193" s="623"/>
      <c r="AY193" s="623"/>
      <c r="AZ193" s="623"/>
      <c r="BA193" s="623"/>
      <c r="BB193" s="623"/>
      <c r="BC193" s="623"/>
      <c r="BD193" s="623"/>
      <c r="BE193" s="623"/>
      <c r="BF193" s="672">
        <f t="shared" si="84"/>
        <v>1</v>
      </c>
      <c r="BG193" s="672">
        <f t="shared" si="84"/>
        <v>0</v>
      </c>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v>1</v>
      </c>
      <c r="CB193" s="623"/>
      <c r="CC193" s="623"/>
      <c r="CD193" s="623"/>
      <c r="CE193" s="623"/>
      <c r="CF193" s="623"/>
      <c r="CG193" s="623"/>
      <c r="CH193" s="623"/>
      <c r="CI193" s="623"/>
      <c r="CJ193" s="623"/>
      <c r="CK193" s="623"/>
      <c r="CL193" s="623"/>
      <c r="CM193" s="623">
        <v>1</v>
      </c>
      <c r="CN193" s="623">
        <f>+CM193*3.6</f>
        <v>3.6</v>
      </c>
      <c r="CO193" s="623"/>
      <c r="CP193" s="623"/>
      <c r="CQ193" s="623"/>
      <c r="CR193" s="623"/>
      <c r="CS193" s="623"/>
      <c r="CT193" s="623"/>
      <c r="CU193" s="623"/>
      <c r="CV193" s="623"/>
      <c r="CW193" s="623"/>
      <c r="CX193" s="673"/>
      <c r="CY193" s="557"/>
    </row>
    <row r="194" spans="1:234" ht="13.8" hidden="1">
      <c r="A194" s="706" t="s">
        <v>461</v>
      </c>
      <c r="B194" s="707"/>
      <c r="C194" s="558">
        <v>20</v>
      </c>
      <c r="D194" s="550">
        <f>D193+C194</f>
        <v>81</v>
      </c>
      <c r="E194" s="558"/>
      <c r="F194" s="558"/>
      <c r="G194" s="558"/>
      <c r="H194" s="558"/>
      <c r="I194" s="558"/>
      <c r="J194" s="558"/>
      <c r="K194" s="558"/>
      <c r="L194" s="558"/>
      <c r="M194" s="558"/>
      <c r="N194" s="550">
        <f>+N193+C194</f>
        <v>81</v>
      </c>
      <c r="O194" s="708"/>
      <c r="P194" s="708"/>
      <c r="Q194" s="708" t="s">
        <v>1818</v>
      </c>
      <c r="R194" s="709"/>
      <c r="S194" s="710">
        <v>1</v>
      </c>
      <c r="T194" s="710"/>
      <c r="U194" s="710"/>
      <c r="V194" s="710"/>
      <c r="W194" s="710"/>
      <c r="X194" s="710"/>
      <c r="Y194" s="710"/>
      <c r="Z194" s="710">
        <v>1</v>
      </c>
      <c r="AA194" s="709"/>
      <c r="AB194" s="709"/>
      <c r="AC194" s="709"/>
      <c r="AD194" s="709"/>
      <c r="AE194" s="709"/>
      <c r="AF194" s="709"/>
      <c r="AG194" s="709"/>
      <c r="AH194" s="709"/>
      <c r="AI194" s="709"/>
      <c r="AJ194" s="709"/>
      <c r="AK194" s="709"/>
      <c r="AL194" s="709"/>
      <c r="AM194" s="709"/>
      <c r="AN194" s="709"/>
      <c r="AO194" s="709"/>
      <c r="AP194" s="709"/>
      <c r="AQ194" s="709"/>
      <c r="AR194" s="709"/>
      <c r="AS194" s="709"/>
      <c r="AT194" s="709"/>
      <c r="AU194" s="709"/>
      <c r="AV194" s="709"/>
      <c r="AW194" s="709">
        <v>1</v>
      </c>
      <c r="AX194" s="709"/>
      <c r="AY194" s="709"/>
      <c r="AZ194" s="709"/>
      <c r="BA194" s="709"/>
      <c r="BB194" s="709"/>
      <c r="BC194" s="709"/>
      <c r="BD194" s="709"/>
      <c r="BE194" s="709"/>
      <c r="BF194" s="672">
        <f t="shared" si="84"/>
        <v>1</v>
      </c>
      <c r="BG194" s="672">
        <f t="shared" si="84"/>
        <v>0</v>
      </c>
      <c r="BH194" s="709"/>
      <c r="BI194" s="709"/>
      <c r="BJ194" s="709"/>
      <c r="BK194" s="709"/>
      <c r="BL194" s="709"/>
      <c r="BM194" s="709"/>
      <c r="BN194" s="709"/>
      <c r="BO194" s="709"/>
      <c r="BP194" s="709"/>
      <c r="BQ194" s="709"/>
      <c r="BR194" s="709"/>
      <c r="BS194" s="709"/>
      <c r="BT194" s="709"/>
      <c r="BU194" s="709"/>
      <c r="BV194" s="709"/>
      <c r="BW194" s="709"/>
      <c r="BX194" s="709"/>
      <c r="BY194" s="709"/>
      <c r="BZ194" s="709"/>
      <c r="CA194" s="709">
        <v>1</v>
      </c>
      <c r="CB194" s="709"/>
      <c r="CC194" s="709"/>
      <c r="CD194" s="709"/>
      <c r="CE194" s="709"/>
      <c r="CF194" s="709"/>
      <c r="CG194" s="709"/>
      <c r="CH194" s="709"/>
      <c r="CI194" s="709"/>
      <c r="CJ194" s="709"/>
      <c r="CK194" s="709"/>
      <c r="CL194" s="709"/>
      <c r="CM194" s="709">
        <v>1</v>
      </c>
      <c r="CN194" s="709">
        <f>+CM194*3.6</f>
        <v>3.6</v>
      </c>
      <c r="CO194" s="709"/>
      <c r="CP194" s="709"/>
      <c r="CQ194" s="709"/>
      <c r="CR194" s="709">
        <v>1</v>
      </c>
      <c r="CS194" s="709"/>
      <c r="CT194" s="709"/>
      <c r="CU194" s="709"/>
      <c r="CV194" s="709"/>
      <c r="CW194" s="709"/>
      <c r="CX194" s="683"/>
      <c r="CY194" s="711"/>
    </row>
    <row r="195" spans="1:234" s="678" customFormat="1" ht="13.8" hidden="1">
      <c r="A195" s="712" t="s">
        <v>462</v>
      </c>
      <c r="B195" s="613"/>
      <c r="C195" s="613">
        <v>28</v>
      </c>
      <c r="D195" s="550">
        <f>D194+C195</f>
        <v>109</v>
      </c>
      <c r="E195" s="613"/>
      <c r="F195" s="613"/>
      <c r="G195" s="613"/>
      <c r="H195" s="613"/>
      <c r="I195" s="613"/>
      <c r="J195" s="679"/>
      <c r="K195" s="613"/>
      <c r="L195" s="613"/>
      <c r="M195" s="613"/>
      <c r="N195" s="550">
        <f>+N194+C195</f>
        <v>109</v>
      </c>
      <c r="O195" s="614"/>
      <c r="P195" s="614"/>
      <c r="Q195" s="614" t="s">
        <v>1107</v>
      </c>
      <c r="R195" s="682"/>
      <c r="S195" s="681">
        <v>1</v>
      </c>
      <c r="T195" s="681"/>
      <c r="U195" s="681"/>
      <c r="V195" s="681"/>
      <c r="W195" s="681"/>
      <c r="X195" s="681"/>
      <c r="Y195" s="681"/>
      <c r="Z195" s="681">
        <v>1</v>
      </c>
      <c r="AA195" s="682"/>
      <c r="AB195" s="682"/>
      <c r="AC195" s="682"/>
      <c r="AD195" s="682"/>
      <c r="AE195" s="682"/>
      <c r="AF195" s="682"/>
      <c r="AG195" s="682"/>
      <c r="AH195" s="682"/>
      <c r="AI195" s="682"/>
      <c r="AJ195" s="682"/>
      <c r="AK195" s="682"/>
      <c r="AL195" s="682"/>
      <c r="AM195" s="682"/>
      <c r="AN195" s="682"/>
      <c r="AO195" s="682"/>
      <c r="AP195" s="682"/>
      <c r="AQ195" s="682"/>
      <c r="AR195" s="682"/>
      <c r="AS195" s="682"/>
      <c r="AT195" s="682"/>
      <c r="AU195" s="682"/>
      <c r="AV195" s="682"/>
      <c r="AW195" s="682">
        <v>1</v>
      </c>
      <c r="AX195" s="682"/>
      <c r="AY195" s="682"/>
      <c r="AZ195" s="682"/>
      <c r="BA195" s="682"/>
      <c r="BB195" s="682"/>
      <c r="BC195" s="682"/>
      <c r="BD195" s="682"/>
      <c r="BE195" s="682"/>
      <c r="BF195" s="672">
        <f t="shared" si="84"/>
        <v>1</v>
      </c>
      <c r="BG195" s="672">
        <f t="shared" si="84"/>
        <v>0</v>
      </c>
      <c r="BH195" s="682"/>
      <c r="BI195" s="682"/>
      <c r="BJ195" s="682"/>
      <c r="BK195" s="682"/>
      <c r="BL195" s="682"/>
      <c r="BM195" s="682"/>
      <c r="BN195" s="682"/>
      <c r="BO195" s="682"/>
      <c r="BP195" s="682"/>
      <c r="BQ195" s="682"/>
      <c r="BR195" s="682">
        <v>1</v>
      </c>
      <c r="BS195" s="682"/>
      <c r="BT195" s="682"/>
      <c r="BU195" s="682"/>
      <c r="BV195" s="682"/>
      <c r="BW195" s="682"/>
      <c r="BX195" s="682"/>
      <c r="BY195" s="682"/>
      <c r="BZ195" s="682"/>
      <c r="CA195" s="682">
        <v>1</v>
      </c>
      <c r="CB195" s="682"/>
      <c r="CC195" s="682"/>
      <c r="CD195" s="682"/>
      <c r="CE195" s="682"/>
      <c r="CF195" s="682"/>
      <c r="CG195" s="682"/>
      <c r="CH195" s="682"/>
      <c r="CI195" s="682"/>
      <c r="CJ195" s="682"/>
      <c r="CK195" s="682"/>
      <c r="CL195" s="682"/>
      <c r="CM195" s="682">
        <v>1</v>
      </c>
      <c r="CN195" s="682">
        <f>+CM195*3.6</f>
        <v>3.6</v>
      </c>
      <c r="CO195" s="682"/>
      <c r="CP195" s="682"/>
      <c r="CQ195" s="682"/>
      <c r="CR195" s="682"/>
      <c r="CS195" s="682"/>
      <c r="CT195" s="682"/>
      <c r="CU195" s="682"/>
      <c r="CV195" s="682"/>
      <c r="CW195" s="682"/>
      <c r="CX195" s="683"/>
      <c r="CY195" s="711"/>
      <c r="CZ195" s="677"/>
      <c r="DA195" s="530"/>
      <c r="DB195" s="530"/>
      <c r="DC195" s="530"/>
      <c r="DD195" s="530"/>
      <c r="DE195" s="530"/>
      <c r="DF195" s="530"/>
      <c r="DG195" s="530"/>
      <c r="DH195" s="530"/>
      <c r="DI195" s="530"/>
      <c r="DJ195" s="530"/>
      <c r="DK195" s="530"/>
      <c r="DL195" s="530"/>
      <c r="DM195" s="530"/>
      <c r="DN195" s="530"/>
      <c r="DO195" s="530"/>
      <c r="DP195" s="530"/>
      <c r="DQ195" s="530"/>
      <c r="DR195" s="530"/>
      <c r="DS195" s="530"/>
      <c r="DT195" s="530"/>
      <c r="DU195" s="530"/>
      <c r="DV195" s="530"/>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row>
    <row r="196" spans="1:234" s="717" customFormat="1" ht="13.8" hidden="1">
      <c r="A196" s="659" t="s">
        <v>4024</v>
      </c>
      <c r="B196" s="713"/>
      <c r="C196" s="714">
        <f>SUM(C191:C195)</f>
        <v>109</v>
      </c>
      <c r="D196" s="714">
        <f t="shared" ref="D196:N196" si="85">D195</f>
        <v>109</v>
      </c>
      <c r="E196" s="714">
        <f t="shared" si="85"/>
        <v>0</v>
      </c>
      <c r="F196" s="714">
        <f t="shared" si="85"/>
        <v>0</v>
      </c>
      <c r="G196" s="714">
        <f t="shared" si="85"/>
        <v>0</v>
      </c>
      <c r="H196" s="714">
        <f t="shared" si="85"/>
        <v>0</v>
      </c>
      <c r="I196" s="714">
        <f t="shared" si="85"/>
        <v>0</v>
      </c>
      <c r="J196" s="714">
        <f t="shared" si="85"/>
        <v>0</v>
      </c>
      <c r="K196" s="714">
        <f t="shared" si="85"/>
        <v>0</v>
      </c>
      <c r="L196" s="714">
        <f t="shared" si="85"/>
        <v>0</v>
      </c>
      <c r="M196" s="714">
        <f t="shared" si="85"/>
        <v>0</v>
      </c>
      <c r="N196" s="714">
        <f t="shared" si="85"/>
        <v>109</v>
      </c>
      <c r="O196" s="714"/>
      <c r="P196" s="714">
        <f>SUM(O191:O195)</f>
        <v>0</v>
      </c>
      <c r="Q196" s="714">
        <f>SUM(P191:P195)</f>
        <v>0</v>
      </c>
      <c r="R196" s="714">
        <f>SUM(Q191:Q195)</f>
        <v>0</v>
      </c>
      <c r="S196" s="714">
        <f t="shared" ref="S196:AX196" si="86">SUM(S191:S195)</f>
        <v>5</v>
      </c>
      <c r="T196" s="714">
        <f t="shared" si="86"/>
        <v>0</v>
      </c>
      <c r="U196" s="714">
        <f t="shared" si="86"/>
        <v>0</v>
      </c>
      <c r="V196" s="714">
        <f t="shared" si="86"/>
        <v>0</v>
      </c>
      <c r="W196" s="714">
        <f t="shared" si="86"/>
        <v>0</v>
      </c>
      <c r="X196" s="714">
        <f t="shared" si="86"/>
        <v>0</v>
      </c>
      <c r="Y196" s="714">
        <f t="shared" si="86"/>
        <v>0</v>
      </c>
      <c r="Z196" s="714">
        <f t="shared" si="86"/>
        <v>5</v>
      </c>
      <c r="AA196" s="714">
        <f t="shared" si="86"/>
        <v>0</v>
      </c>
      <c r="AB196" s="714">
        <f t="shared" si="86"/>
        <v>0</v>
      </c>
      <c r="AC196" s="714">
        <f t="shared" si="86"/>
        <v>0</v>
      </c>
      <c r="AD196" s="714">
        <f t="shared" si="86"/>
        <v>0</v>
      </c>
      <c r="AE196" s="714">
        <f t="shared" si="86"/>
        <v>0</v>
      </c>
      <c r="AF196" s="714">
        <f t="shared" si="86"/>
        <v>0</v>
      </c>
      <c r="AG196" s="714">
        <f t="shared" si="86"/>
        <v>0</v>
      </c>
      <c r="AH196" s="714">
        <f t="shared" si="86"/>
        <v>0</v>
      </c>
      <c r="AI196" s="714">
        <f t="shared" si="86"/>
        <v>0</v>
      </c>
      <c r="AJ196" s="714">
        <f t="shared" si="86"/>
        <v>0</v>
      </c>
      <c r="AK196" s="714">
        <f t="shared" si="86"/>
        <v>0</v>
      </c>
      <c r="AL196" s="714">
        <f t="shared" si="86"/>
        <v>0</v>
      </c>
      <c r="AM196" s="714">
        <f t="shared" si="86"/>
        <v>0</v>
      </c>
      <c r="AN196" s="714">
        <f t="shared" si="86"/>
        <v>0</v>
      </c>
      <c r="AO196" s="714">
        <f t="shared" si="86"/>
        <v>0</v>
      </c>
      <c r="AP196" s="714">
        <f t="shared" si="86"/>
        <v>0</v>
      </c>
      <c r="AQ196" s="714">
        <f t="shared" si="86"/>
        <v>0</v>
      </c>
      <c r="AR196" s="714">
        <f t="shared" si="86"/>
        <v>0</v>
      </c>
      <c r="AS196" s="714">
        <f t="shared" si="86"/>
        <v>0</v>
      </c>
      <c r="AT196" s="714">
        <f t="shared" si="86"/>
        <v>0</v>
      </c>
      <c r="AU196" s="714">
        <f t="shared" si="86"/>
        <v>0</v>
      </c>
      <c r="AV196" s="714">
        <f t="shared" si="86"/>
        <v>0</v>
      </c>
      <c r="AW196" s="714">
        <f t="shared" si="86"/>
        <v>3</v>
      </c>
      <c r="AX196" s="714">
        <f t="shared" si="86"/>
        <v>1</v>
      </c>
      <c r="AY196" s="714">
        <f t="shared" ref="AY196:CB196" si="87">SUM(AY191:AY195)</f>
        <v>0</v>
      </c>
      <c r="AZ196" s="714">
        <f t="shared" si="87"/>
        <v>0</v>
      </c>
      <c r="BA196" s="714">
        <f t="shared" si="87"/>
        <v>0</v>
      </c>
      <c r="BB196" s="714">
        <f t="shared" si="87"/>
        <v>0</v>
      </c>
      <c r="BC196" s="714">
        <f t="shared" si="87"/>
        <v>0</v>
      </c>
      <c r="BD196" s="714">
        <f t="shared" si="87"/>
        <v>0</v>
      </c>
      <c r="BE196" s="714">
        <f t="shared" si="87"/>
        <v>0</v>
      </c>
      <c r="BF196" s="714">
        <f t="shared" si="87"/>
        <v>3</v>
      </c>
      <c r="BG196" s="714">
        <f t="shared" si="87"/>
        <v>1</v>
      </c>
      <c r="BH196" s="714">
        <f t="shared" si="87"/>
        <v>0</v>
      </c>
      <c r="BI196" s="714">
        <f t="shared" si="87"/>
        <v>0</v>
      </c>
      <c r="BJ196" s="714">
        <f t="shared" si="87"/>
        <v>0</v>
      </c>
      <c r="BK196" s="714">
        <f t="shared" si="87"/>
        <v>0</v>
      </c>
      <c r="BL196" s="714">
        <f t="shared" si="87"/>
        <v>0</v>
      </c>
      <c r="BM196" s="714">
        <f t="shared" si="87"/>
        <v>0</v>
      </c>
      <c r="BN196" s="714">
        <f t="shared" si="87"/>
        <v>0</v>
      </c>
      <c r="BO196" s="714">
        <f t="shared" si="87"/>
        <v>0</v>
      </c>
      <c r="BP196" s="714">
        <f t="shared" si="87"/>
        <v>0</v>
      </c>
      <c r="BQ196" s="714">
        <f t="shared" si="87"/>
        <v>0</v>
      </c>
      <c r="BR196" s="714">
        <f t="shared" si="87"/>
        <v>2</v>
      </c>
      <c r="BS196" s="714">
        <f t="shared" si="87"/>
        <v>0</v>
      </c>
      <c r="BT196" s="714">
        <f t="shared" si="87"/>
        <v>0</v>
      </c>
      <c r="BU196" s="714">
        <f t="shared" si="87"/>
        <v>0</v>
      </c>
      <c r="BV196" s="714">
        <f t="shared" si="87"/>
        <v>0</v>
      </c>
      <c r="BW196" s="714">
        <f t="shared" si="87"/>
        <v>0</v>
      </c>
      <c r="BX196" s="714">
        <f t="shared" si="87"/>
        <v>0</v>
      </c>
      <c r="BY196" s="714">
        <f t="shared" si="87"/>
        <v>0</v>
      </c>
      <c r="BZ196" s="714">
        <f t="shared" si="87"/>
        <v>0</v>
      </c>
      <c r="CA196" s="714">
        <f t="shared" si="87"/>
        <v>4</v>
      </c>
      <c r="CB196" s="714">
        <f t="shared" si="87"/>
        <v>0</v>
      </c>
      <c r="CC196" s="714">
        <f t="shared" ref="CC196:CN196" si="88">SUM(CC191:CC195)</f>
        <v>0</v>
      </c>
      <c r="CD196" s="714">
        <f t="shared" si="88"/>
        <v>0</v>
      </c>
      <c r="CE196" s="714">
        <f t="shared" si="88"/>
        <v>0</v>
      </c>
      <c r="CF196" s="714">
        <f t="shared" si="88"/>
        <v>0</v>
      </c>
      <c r="CG196" s="714">
        <f t="shared" si="88"/>
        <v>0</v>
      </c>
      <c r="CH196" s="714">
        <f t="shared" si="88"/>
        <v>0</v>
      </c>
      <c r="CI196" s="714">
        <f t="shared" si="88"/>
        <v>0</v>
      </c>
      <c r="CJ196" s="714">
        <f t="shared" si="88"/>
        <v>0</v>
      </c>
      <c r="CK196" s="714">
        <f t="shared" si="88"/>
        <v>0</v>
      </c>
      <c r="CL196" s="714">
        <f t="shared" si="88"/>
        <v>0</v>
      </c>
      <c r="CM196" s="714">
        <f t="shared" si="88"/>
        <v>4</v>
      </c>
      <c r="CN196" s="714">
        <f t="shared" si="88"/>
        <v>14.4</v>
      </c>
      <c r="CO196" s="714">
        <f t="shared" ref="CO196:CW196" si="89">SUM(CO191:CO195)</f>
        <v>0</v>
      </c>
      <c r="CP196" s="714">
        <f t="shared" si="89"/>
        <v>0</v>
      </c>
      <c r="CQ196" s="714">
        <f t="shared" si="89"/>
        <v>0</v>
      </c>
      <c r="CR196" s="714">
        <f t="shared" si="89"/>
        <v>1</v>
      </c>
      <c r="CS196" s="714">
        <f t="shared" si="89"/>
        <v>0</v>
      </c>
      <c r="CT196" s="714">
        <f t="shared" si="89"/>
        <v>0</v>
      </c>
      <c r="CU196" s="714">
        <f t="shared" si="89"/>
        <v>0</v>
      </c>
      <c r="CV196" s="714">
        <f t="shared" si="89"/>
        <v>0</v>
      </c>
      <c r="CW196" s="714">
        <f t="shared" si="89"/>
        <v>0</v>
      </c>
      <c r="CX196" s="715">
        <v>5</v>
      </c>
      <c r="CY196" s="716"/>
    </row>
    <row r="197" spans="1:234" s="545" customFormat="1" ht="18" hidden="1" customHeight="1">
      <c r="A197" s="655" t="s">
        <v>4038</v>
      </c>
      <c r="B197" s="544"/>
      <c r="C197" s="544"/>
      <c r="D197" s="544"/>
      <c r="E197" s="544"/>
      <c r="F197" s="544"/>
      <c r="G197" s="544"/>
      <c r="H197" s="544"/>
      <c r="I197" s="544"/>
      <c r="J197" s="544"/>
      <c r="K197" s="544"/>
      <c r="L197" s="544"/>
      <c r="M197" s="544"/>
      <c r="N197" s="544"/>
      <c r="O197" s="544"/>
      <c r="P197" s="544"/>
      <c r="Q197" s="544"/>
      <c r="R197" s="544"/>
      <c r="S197" s="544"/>
      <c r="T197" s="544"/>
      <c r="U197" s="544"/>
      <c r="V197" s="544"/>
      <c r="W197" s="544"/>
      <c r="X197" s="544"/>
      <c r="Y197" s="544"/>
      <c r="Z197" s="544"/>
      <c r="AA197" s="544"/>
      <c r="AB197" s="544"/>
      <c r="AC197" s="544"/>
      <c r="AD197" s="544"/>
      <c r="AE197" s="544"/>
      <c r="AF197" s="544"/>
      <c r="AG197" s="544"/>
      <c r="AH197" s="544"/>
      <c r="AI197" s="544"/>
      <c r="AJ197" s="544"/>
      <c r="AK197" s="544"/>
      <c r="AL197" s="544"/>
      <c r="AM197" s="544"/>
      <c r="AN197" s="544"/>
      <c r="AO197" s="544"/>
      <c r="AP197" s="544"/>
      <c r="AQ197" s="544"/>
      <c r="AR197" s="544"/>
      <c r="AS197" s="544"/>
      <c r="AT197" s="544"/>
      <c r="AU197" s="544"/>
      <c r="AV197" s="544"/>
      <c r="AW197" s="544"/>
      <c r="AX197" s="544"/>
      <c r="AY197" s="544"/>
      <c r="AZ197" s="544"/>
      <c r="BA197" s="544"/>
      <c r="BB197" s="544"/>
      <c r="BC197" s="544"/>
      <c r="BD197" s="544"/>
      <c r="BE197" s="544"/>
      <c r="BF197" s="544"/>
      <c r="BG197" s="544"/>
      <c r="BH197" s="544"/>
      <c r="BI197" s="544"/>
      <c r="BJ197" s="544"/>
      <c r="BK197" s="544"/>
      <c r="BL197" s="544"/>
      <c r="BM197" s="544"/>
      <c r="BN197" s="544"/>
      <c r="BO197" s="544"/>
      <c r="BP197" s="544"/>
      <c r="BQ197" s="544"/>
      <c r="BR197" s="544"/>
      <c r="BS197" s="544"/>
      <c r="BT197" s="544"/>
      <c r="BU197" s="544"/>
      <c r="BV197" s="544"/>
      <c r="BW197" s="544"/>
      <c r="BX197" s="544"/>
      <c r="BY197" s="544"/>
      <c r="BZ197" s="544"/>
      <c r="CA197" s="544"/>
      <c r="CB197" s="544"/>
      <c r="CC197" s="544"/>
      <c r="CD197" s="544"/>
      <c r="CE197" s="544"/>
      <c r="CF197" s="544"/>
      <c r="CG197" s="544"/>
      <c r="CH197" s="544"/>
      <c r="CI197" s="544"/>
      <c r="CJ197" s="544"/>
      <c r="CK197" s="544"/>
      <c r="CL197" s="544"/>
      <c r="CM197" s="544"/>
      <c r="CN197" s="544"/>
      <c r="CO197" s="544"/>
      <c r="CP197" s="544"/>
      <c r="CQ197" s="544"/>
      <c r="CR197" s="544"/>
      <c r="CS197" s="544"/>
      <c r="CT197" s="544"/>
      <c r="CU197" s="544"/>
      <c r="CV197" s="544"/>
      <c r="CW197" s="544"/>
      <c r="CX197" s="544"/>
      <c r="CY197" s="669"/>
      <c r="CZ197" s="530"/>
      <c r="DA197" s="530"/>
      <c r="DB197" s="530"/>
      <c r="DC197" s="530"/>
      <c r="DD197" s="530"/>
      <c r="DE197" s="530"/>
      <c r="DF197" s="530"/>
      <c r="DG197" s="530"/>
      <c r="DH197" s="530"/>
      <c r="DI197" s="530"/>
      <c r="DJ197" s="530"/>
      <c r="DK197" s="530"/>
      <c r="DL197" s="530"/>
      <c r="DM197" s="530"/>
      <c r="DN197" s="530"/>
      <c r="DO197" s="530"/>
      <c r="DP197" s="530"/>
      <c r="DQ197" s="530"/>
      <c r="DR197" s="530"/>
      <c r="DS197" s="530"/>
      <c r="DT197" s="530"/>
      <c r="DU197" s="530"/>
      <c r="DV197" s="530"/>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row>
    <row r="198" spans="1:234" ht="13.8" hidden="1">
      <c r="A198" s="591" t="s">
        <v>4039</v>
      </c>
      <c r="B198" s="702"/>
      <c r="C198" s="555"/>
      <c r="D198" s="555"/>
      <c r="E198" s="555"/>
      <c r="F198" s="555"/>
      <c r="G198" s="555"/>
      <c r="H198" s="555"/>
      <c r="I198" s="555"/>
      <c r="J198" s="555"/>
      <c r="K198" s="555"/>
      <c r="L198" s="555"/>
      <c r="M198" s="555"/>
      <c r="N198" s="555">
        <f>C198</f>
        <v>0</v>
      </c>
      <c r="O198" s="556"/>
      <c r="P198" s="556"/>
      <c r="Q198" s="703" t="s">
        <v>658</v>
      </c>
      <c r="R198" s="718"/>
      <c r="S198" s="718"/>
      <c r="T198" s="718"/>
      <c r="U198" s="718"/>
      <c r="V198" s="718"/>
      <c r="W198" s="718"/>
      <c r="X198" s="718"/>
      <c r="Y198" s="718"/>
      <c r="Z198" s="718"/>
      <c r="AA198" s="718"/>
      <c r="AB198" s="718"/>
      <c r="AC198" s="718"/>
      <c r="AD198" s="672"/>
      <c r="AE198" s="672"/>
      <c r="AF198" s="672"/>
      <c r="AG198" s="672"/>
      <c r="AH198" s="672"/>
      <c r="AI198" s="672"/>
      <c r="AJ198" s="672"/>
      <c r="AK198" s="672"/>
      <c r="AL198" s="672"/>
      <c r="AM198" s="672"/>
      <c r="AN198" s="672"/>
      <c r="AO198" s="672"/>
      <c r="AP198" s="672"/>
      <c r="AQ198" s="672"/>
      <c r="AR198" s="672"/>
      <c r="AS198" s="672"/>
      <c r="AT198" s="672"/>
      <c r="AU198" s="672"/>
      <c r="AV198" s="672"/>
      <c r="AW198" s="672"/>
      <c r="AX198" s="672"/>
      <c r="AY198" s="672"/>
      <c r="AZ198" s="672"/>
      <c r="BA198" s="672"/>
      <c r="BB198" s="672"/>
      <c r="BC198" s="672"/>
      <c r="BD198" s="672"/>
      <c r="BE198" s="672"/>
      <c r="BF198" s="672">
        <f t="shared" ref="BF198:BF208" si="90">AW198</f>
        <v>0</v>
      </c>
      <c r="BG198" s="672">
        <f t="shared" ref="BG198:BG208" si="91">AX198</f>
        <v>0</v>
      </c>
      <c r="BH198" s="672"/>
      <c r="BI198" s="672"/>
      <c r="BJ198" s="672"/>
      <c r="BK198" s="672"/>
      <c r="BL198" s="672"/>
      <c r="BM198" s="672"/>
      <c r="BN198" s="672"/>
      <c r="BO198" s="672"/>
      <c r="BP198" s="672"/>
      <c r="BQ198" s="672"/>
      <c r="BR198" s="672"/>
      <c r="BS198" s="672"/>
      <c r="BT198" s="672"/>
      <c r="BU198" s="672"/>
      <c r="BV198" s="672"/>
      <c r="BW198" s="672"/>
      <c r="BX198" s="672"/>
      <c r="BY198" s="672"/>
      <c r="BZ198" s="672"/>
      <c r="CA198" s="672"/>
      <c r="CB198" s="672"/>
      <c r="CC198" s="672"/>
      <c r="CD198" s="672"/>
      <c r="CE198" s="672"/>
      <c r="CF198" s="672"/>
      <c r="CG198" s="672"/>
      <c r="CH198" s="672"/>
      <c r="CI198" s="672"/>
      <c r="CJ198" s="672"/>
      <c r="CK198" s="672"/>
      <c r="CL198" s="672"/>
      <c r="CM198" s="672"/>
      <c r="CN198" s="672">
        <f t="shared" ref="CN198:CN208" si="92">+CM198*3.6</f>
        <v>0</v>
      </c>
      <c r="CO198" s="672"/>
      <c r="CP198" s="672"/>
      <c r="CQ198" s="672"/>
      <c r="CR198" s="672"/>
      <c r="CS198" s="672"/>
      <c r="CT198" s="672"/>
      <c r="CU198" s="672"/>
      <c r="CV198" s="672"/>
      <c r="CW198" s="672"/>
      <c r="CX198" s="704"/>
      <c r="CY198" s="705"/>
      <c r="HU198" s="542"/>
      <c r="HV198" s="542"/>
      <c r="HW198" s="542"/>
      <c r="HX198" s="542"/>
      <c r="HY198" s="542"/>
      <c r="HZ198" s="542"/>
    </row>
    <row r="199" spans="1:234" ht="13.8" hidden="1">
      <c r="A199" s="591" t="s">
        <v>2116</v>
      </c>
      <c r="B199" s="670"/>
      <c r="C199" s="550">
        <v>12</v>
      </c>
      <c r="D199" s="550">
        <f t="shared" ref="D199:D208" si="93">D198+C199</f>
        <v>12</v>
      </c>
      <c r="E199" s="550"/>
      <c r="F199" s="550"/>
      <c r="G199" s="550"/>
      <c r="H199" s="550"/>
      <c r="I199" s="550"/>
      <c r="J199" s="550"/>
      <c r="K199" s="550"/>
      <c r="L199" s="550"/>
      <c r="M199" s="550"/>
      <c r="N199" s="550">
        <f t="shared" ref="N199:N208" si="94">+N198+C199</f>
        <v>12</v>
      </c>
      <c r="O199" s="439"/>
      <c r="P199" s="439"/>
      <c r="Q199" s="674" t="s">
        <v>546</v>
      </c>
      <c r="R199" s="671"/>
      <c r="S199" s="671">
        <v>1</v>
      </c>
      <c r="T199" s="671"/>
      <c r="U199" s="671"/>
      <c r="V199" s="671"/>
      <c r="W199" s="671"/>
      <c r="X199" s="671"/>
      <c r="Y199" s="671"/>
      <c r="Z199" s="671">
        <v>1</v>
      </c>
      <c r="AA199" s="671"/>
      <c r="AB199" s="671"/>
      <c r="AC199" s="671"/>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v>1</v>
      </c>
      <c r="AX199" s="623"/>
      <c r="AY199" s="623"/>
      <c r="AZ199" s="623"/>
      <c r="BA199" s="623"/>
      <c r="BB199" s="623"/>
      <c r="BC199" s="623"/>
      <c r="BD199" s="623"/>
      <c r="BE199" s="623"/>
      <c r="BF199" s="672">
        <f t="shared" si="90"/>
        <v>1</v>
      </c>
      <c r="BG199" s="672">
        <f t="shared" si="91"/>
        <v>0</v>
      </c>
      <c r="BH199" s="623"/>
      <c r="BI199" s="623"/>
      <c r="BJ199" s="623"/>
      <c r="BK199" s="623"/>
      <c r="BL199" s="623"/>
      <c r="BM199" s="623"/>
      <c r="BN199" s="623"/>
      <c r="BO199" s="623"/>
      <c r="BP199" s="623"/>
      <c r="BQ199" s="623"/>
      <c r="BR199" s="623">
        <v>1</v>
      </c>
      <c r="BS199" s="623"/>
      <c r="BT199" s="623"/>
      <c r="BU199" s="623"/>
      <c r="BV199" s="623"/>
      <c r="BW199" s="623"/>
      <c r="BX199" s="623"/>
      <c r="BY199" s="623"/>
      <c r="BZ199" s="623"/>
      <c r="CA199" s="623">
        <v>1</v>
      </c>
      <c r="CB199" s="623"/>
      <c r="CC199" s="623"/>
      <c r="CD199" s="623"/>
      <c r="CE199" s="623"/>
      <c r="CF199" s="623"/>
      <c r="CG199" s="623"/>
      <c r="CH199" s="623"/>
      <c r="CI199" s="623"/>
      <c r="CJ199" s="623"/>
      <c r="CK199" s="623"/>
      <c r="CL199" s="623"/>
      <c r="CM199" s="623">
        <v>1</v>
      </c>
      <c r="CN199" s="623">
        <f t="shared" si="92"/>
        <v>3.6</v>
      </c>
      <c r="CO199" s="623"/>
      <c r="CP199" s="623"/>
      <c r="CQ199" s="623"/>
      <c r="CR199" s="623"/>
      <c r="CS199" s="623"/>
      <c r="CT199" s="623"/>
      <c r="CU199" s="623"/>
      <c r="CV199" s="623"/>
      <c r="CW199" s="623"/>
      <c r="CX199" s="673"/>
      <c r="CY199" s="557"/>
    </row>
    <row r="200" spans="1:234" ht="13.8" hidden="1">
      <c r="A200" s="591" t="s">
        <v>2117</v>
      </c>
      <c r="B200" s="670"/>
      <c r="C200" s="550">
        <v>22</v>
      </c>
      <c r="D200" s="550">
        <f t="shared" si="93"/>
        <v>34</v>
      </c>
      <c r="E200" s="550"/>
      <c r="F200" s="550"/>
      <c r="G200" s="550"/>
      <c r="H200" s="550"/>
      <c r="I200" s="550"/>
      <c r="J200" s="550"/>
      <c r="K200" s="550"/>
      <c r="L200" s="550"/>
      <c r="M200" s="550"/>
      <c r="N200" s="550">
        <f t="shared" si="94"/>
        <v>34</v>
      </c>
      <c r="O200" s="439"/>
      <c r="P200" s="439"/>
      <c r="Q200" s="674" t="s">
        <v>404</v>
      </c>
      <c r="R200" s="671"/>
      <c r="S200" s="671">
        <v>1</v>
      </c>
      <c r="T200" s="671"/>
      <c r="U200" s="671"/>
      <c r="V200" s="671"/>
      <c r="W200" s="671"/>
      <c r="X200" s="671"/>
      <c r="Y200" s="671"/>
      <c r="Z200" s="671">
        <v>1</v>
      </c>
      <c r="AA200" s="671"/>
      <c r="AB200" s="671"/>
      <c r="AC200" s="671"/>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72">
        <f t="shared" si="90"/>
        <v>0</v>
      </c>
      <c r="BG200" s="672">
        <f t="shared" si="91"/>
        <v>0</v>
      </c>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v>1</v>
      </c>
      <c r="CB200" s="623"/>
      <c r="CC200" s="623"/>
      <c r="CD200" s="623"/>
      <c r="CE200" s="623"/>
      <c r="CF200" s="623"/>
      <c r="CG200" s="623"/>
      <c r="CH200" s="623"/>
      <c r="CI200" s="623"/>
      <c r="CJ200" s="623"/>
      <c r="CK200" s="623"/>
      <c r="CL200" s="623"/>
      <c r="CM200" s="623">
        <v>1</v>
      </c>
      <c r="CN200" s="623">
        <f t="shared" si="92"/>
        <v>3.6</v>
      </c>
      <c r="CO200" s="623"/>
      <c r="CP200" s="623"/>
      <c r="CQ200" s="623"/>
      <c r="CR200" s="623">
        <v>1</v>
      </c>
      <c r="CS200" s="623"/>
      <c r="CT200" s="623"/>
      <c r="CU200" s="623"/>
      <c r="CV200" s="623"/>
      <c r="CW200" s="623"/>
      <c r="CX200" s="673"/>
      <c r="CY200" s="557"/>
    </row>
    <row r="201" spans="1:234" ht="13.8" hidden="1">
      <c r="A201" s="591" t="s">
        <v>2118</v>
      </c>
      <c r="B201" s="670"/>
      <c r="C201" s="550">
        <v>42</v>
      </c>
      <c r="D201" s="550">
        <f t="shared" si="93"/>
        <v>76</v>
      </c>
      <c r="E201" s="550"/>
      <c r="F201" s="550"/>
      <c r="G201" s="550"/>
      <c r="H201" s="550"/>
      <c r="I201" s="550"/>
      <c r="J201" s="550"/>
      <c r="K201" s="550"/>
      <c r="L201" s="550"/>
      <c r="M201" s="550"/>
      <c r="N201" s="550">
        <f t="shared" si="94"/>
        <v>76</v>
      </c>
      <c r="O201" s="439"/>
      <c r="P201" s="439"/>
      <c r="Q201" s="674" t="s">
        <v>586</v>
      </c>
      <c r="R201" s="671"/>
      <c r="S201" s="671">
        <v>2</v>
      </c>
      <c r="T201" s="671"/>
      <c r="U201" s="671"/>
      <c r="V201" s="671"/>
      <c r="W201" s="671"/>
      <c r="X201" s="671"/>
      <c r="Y201" s="671"/>
      <c r="Z201" s="671"/>
      <c r="AA201" s="671"/>
      <c r="AB201" s="671"/>
      <c r="AC201" s="671">
        <v>1</v>
      </c>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v>1</v>
      </c>
      <c r="AX201" s="623"/>
      <c r="AY201" s="623"/>
      <c r="AZ201" s="623"/>
      <c r="BA201" s="623"/>
      <c r="BB201" s="623"/>
      <c r="BC201" s="623"/>
      <c r="BD201" s="623"/>
      <c r="BE201" s="623"/>
      <c r="BF201" s="672">
        <f t="shared" si="90"/>
        <v>1</v>
      </c>
      <c r="BG201" s="672">
        <f t="shared" si="91"/>
        <v>0</v>
      </c>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v>1</v>
      </c>
      <c r="CB201" s="623"/>
      <c r="CC201" s="623"/>
      <c r="CD201" s="623"/>
      <c r="CE201" s="623"/>
      <c r="CF201" s="623"/>
      <c r="CG201" s="623"/>
      <c r="CH201" s="623"/>
      <c r="CI201" s="623"/>
      <c r="CJ201" s="623"/>
      <c r="CK201" s="623"/>
      <c r="CL201" s="623"/>
      <c r="CM201" s="623">
        <v>1</v>
      </c>
      <c r="CN201" s="623">
        <f t="shared" si="92"/>
        <v>3.6</v>
      </c>
      <c r="CO201" s="623"/>
      <c r="CP201" s="623"/>
      <c r="CQ201" s="623"/>
      <c r="CR201" s="623"/>
      <c r="CS201" s="623"/>
      <c r="CT201" s="623"/>
      <c r="CU201" s="623"/>
      <c r="CV201" s="623"/>
      <c r="CW201" s="623"/>
      <c r="CX201" s="673"/>
      <c r="CY201" s="557"/>
    </row>
    <row r="202" spans="1:234" ht="13.8" hidden="1">
      <c r="A202" s="706" t="s">
        <v>921</v>
      </c>
      <c r="B202" s="707"/>
      <c r="C202" s="558">
        <v>43</v>
      </c>
      <c r="D202" s="550">
        <f t="shared" si="93"/>
        <v>119</v>
      </c>
      <c r="E202" s="558"/>
      <c r="F202" s="558"/>
      <c r="G202" s="558"/>
      <c r="H202" s="558"/>
      <c r="I202" s="558"/>
      <c r="J202" s="558"/>
      <c r="K202" s="558"/>
      <c r="L202" s="558"/>
      <c r="M202" s="558"/>
      <c r="N202" s="550">
        <f t="shared" si="94"/>
        <v>119</v>
      </c>
      <c r="O202" s="708"/>
      <c r="P202" s="708"/>
      <c r="Q202" s="658" t="s">
        <v>658</v>
      </c>
      <c r="R202" s="710"/>
      <c r="S202" s="710">
        <v>1</v>
      </c>
      <c r="T202" s="710"/>
      <c r="U202" s="710"/>
      <c r="V202" s="710"/>
      <c r="W202" s="710"/>
      <c r="X202" s="710"/>
      <c r="Y202" s="710"/>
      <c r="Z202" s="710">
        <v>1</v>
      </c>
      <c r="AA202" s="710"/>
      <c r="AB202" s="710"/>
      <c r="AC202" s="710"/>
      <c r="AD202" s="709"/>
      <c r="AE202" s="709"/>
      <c r="AF202" s="709"/>
      <c r="AG202" s="709"/>
      <c r="AH202" s="709"/>
      <c r="AI202" s="709"/>
      <c r="AJ202" s="709"/>
      <c r="AK202" s="709"/>
      <c r="AL202" s="709"/>
      <c r="AM202" s="709"/>
      <c r="AN202" s="709"/>
      <c r="AO202" s="709"/>
      <c r="AP202" s="709"/>
      <c r="AQ202" s="709"/>
      <c r="AR202" s="709"/>
      <c r="AS202" s="709"/>
      <c r="AT202" s="709"/>
      <c r="AU202" s="709"/>
      <c r="AV202" s="709"/>
      <c r="AW202" s="709">
        <v>1</v>
      </c>
      <c r="AX202" s="709"/>
      <c r="AY202" s="709"/>
      <c r="AZ202" s="709"/>
      <c r="BA202" s="709"/>
      <c r="BB202" s="709"/>
      <c r="BC202" s="709"/>
      <c r="BD202" s="709"/>
      <c r="BE202" s="709"/>
      <c r="BF202" s="672">
        <f t="shared" si="90"/>
        <v>1</v>
      </c>
      <c r="BG202" s="672">
        <f t="shared" si="91"/>
        <v>0</v>
      </c>
      <c r="BH202" s="709"/>
      <c r="BI202" s="709"/>
      <c r="BJ202" s="709"/>
      <c r="BK202" s="709"/>
      <c r="BL202" s="709"/>
      <c r="BM202" s="709"/>
      <c r="BN202" s="709"/>
      <c r="BO202" s="709"/>
      <c r="BP202" s="709"/>
      <c r="BQ202" s="709"/>
      <c r="BR202" s="709"/>
      <c r="BS202" s="709"/>
      <c r="BT202" s="709"/>
      <c r="BU202" s="709"/>
      <c r="BV202" s="709"/>
      <c r="BW202" s="709"/>
      <c r="BX202" s="709"/>
      <c r="BY202" s="709"/>
      <c r="BZ202" s="709"/>
      <c r="CA202" s="709">
        <v>1</v>
      </c>
      <c r="CB202" s="709"/>
      <c r="CC202" s="709"/>
      <c r="CD202" s="709"/>
      <c r="CE202" s="709"/>
      <c r="CF202" s="709"/>
      <c r="CG202" s="709"/>
      <c r="CH202" s="709"/>
      <c r="CI202" s="709"/>
      <c r="CJ202" s="709"/>
      <c r="CK202" s="709"/>
      <c r="CL202" s="709"/>
      <c r="CM202" s="709">
        <v>1</v>
      </c>
      <c r="CN202" s="709">
        <f t="shared" si="92"/>
        <v>3.6</v>
      </c>
      <c r="CO202" s="709"/>
      <c r="CP202" s="709"/>
      <c r="CQ202" s="709"/>
      <c r="CR202" s="709"/>
      <c r="CS202" s="709"/>
      <c r="CT202" s="709"/>
      <c r="CU202" s="709"/>
      <c r="CV202" s="709"/>
      <c r="CW202" s="709"/>
      <c r="CX202" s="683"/>
      <c r="CY202" s="711"/>
    </row>
    <row r="203" spans="1:234" ht="13.8" hidden="1">
      <c r="A203" s="706" t="s">
        <v>1226</v>
      </c>
      <c r="B203" s="707"/>
      <c r="C203" s="558">
        <v>25</v>
      </c>
      <c r="D203" s="550">
        <f t="shared" si="93"/>
        <v>144</v>
      </c>
      <c r="E203" s="558"/>
      <c r="F203" s="558"/>
      <c r="G203" s="558"/>
      <c r="H203" s="558"/>
      <c r="I203" s="558"/>
      <c r="J203" s="558"/>
      <c r="K203" s="558"/>
      <c r="L203" s="558"/>
      <c r="M203" s="558"/>
      <c r="N203" s="550">
        <f t="shared" si="94"/>
        <v>144</v>
      </c>
      <c r="O203" s="708"/>
      <c r="P203" s="708"/>
      <c r="Q203" s="658" t="s">
        <v>1107</v>
      </c>
      <c r="R203" s="710"/>
      <c r="S203" s="710">
        <v>1</v>
      </c>
      <c r="T203" s="710"/>
      <c r="U203" s="710"/>
      <c r="V203" s="710"/>
      <c r="W203" s="710"/>
      <c r="X203" s="710"/>
      <c r="Y203" s="710"/>
      <c r="Z203" s="710">
        <v>1</v>
      </c>
      <c r="AA203" s="710"/>
      <c r="AB203" s="710"/>
      <c r="AC203" s="710"/>
      <c r="AD203" s="709"/>
      <c r="AE203" s="709"/>
      <c r="AF203" s="709"/>
      <c r="AG203" s="709"/>
      <c r="AH203" s="709"/>
      <c r="AI203" s="709"/>
      <c r="AJ203" s="709"/>
      <c r="AK203" s="709"/>
      <c r="AL203" s="709"/>
      <c r="AM203" s="709"/>
      <c r="AN203" s="709"/>
      <c r="AO203" s="709"/>
      <c r="AP203" s="709"/>
      <c r="AQ203" s="709"/>
      <c r="AR203" s="709"/>
      <c r="AS203" s="709"/>
      <c r="AT203" s="709"/>
      <c r="AU203" s="709"/>
      <c r="AV203" s="709"/>
      <c r="AW203" s="709">
        <v>1</v>
      </c>
      <c r="AX203" s="709"/>
      <c r="AY203" s="709"/>
      <c r="AZ203" s="709"/>
      <c r="BA203" s="709"/>
      <c r="BB203" s="709"/>
      <c r="BC203" s="709"/>
      <c r="BD203" s="709"/>
      <c r="BE203" s="709"/>
      <c r="BF203" s="672">
        <f t="shared" si="90"/>
        <v>1</v>
      </c>
      <c r="BG203" s="672">
        <f t="shared" si="91"/>
        <v>0</v>
      </c>
      <c r="BH203" s="709"/>
      <c r="BI203" s="709"/>
      <c r="BJ203" s="709"/>
      <c r="BK203" s="709"/>
      <c r="BL203" s="709"/>
      <c r="BM203" s="709"/>
      <c r="BN203" s="709"/>
      <c r="BO203" s="709"/>
      <c r="BP203" s="709"/>
      <c r="BQ203" s="709"/>
      <c r="BR203" s="709">
        <v>1</v>
      </c>
      <c r="BS203" s="709"/>
      <c r="BT203" s="709"/>
      <c r="BU203" s="709"/>
      <c r="BV203" s="709"/>
      <c r="BW203" s="709"/>
      <c r="BX203" s="709"/>
      <c r="BY203" s="709"/>
      <c r="BZ203" s="709"/>
      <c r="CA203" s="709">
        <v>1</v>
      </c>
      <c r="CB203" s="709"/>
      <c r="CC203" s="709"/>
      <c r="CD203" s="709"/>
      <c r="CE203" s="709"/>
      <c r="CF203" s="709"/>
      <c r="CG203" s="709"/>
      <c r="CH203" s="709"/>
      <c r="CI203" s="709"/>
      <c r="CJ203" s="709"/>
      <c r="CK203" s="709"/>
      <c r="CL203" s="709"/>
      <c r="CM203" s="709">
        <v>1</v>
      </c>
      <c r="CN203" s="709">
        <f t="shared" si="92"/>
        <v>3.6</v>
      </c>
      <c r="CO203" s="709"/>
      <c r="CP203" s="709"/>
      <c r="CQ203" s="709"/>
      <c r="CR203" s="709"/>
      <c r="CS203" s="709"/>
      <c r="CT203" s="709"/>
      <c r="CU203" s="709"/>
      <c r="CV203" s="709"/>
      <c r="CW203" s="709"/>
      <c r="CX203" s="683"/>
      <c r="CY203" s="711"/>
    </row>
    <row r="204" spans="1:234" ht="13.8" hidden="1">
      <c r="A204" s="706" t="s">
        <v>2117</v>
      </c>
      <c r="B204" s="707"/>
      <c r="C204" s="558"/>
      <c r="D204" s="550">
        <f t="shared" si="93"/>
        <v>144</v>
      </c>
      <c r="E204" s="558"/>
      <c r="F204" s="558"/>
      <c r="G204" s="558"/>
      <c r="H204" s="558"/>
      <c r="I204" s="558"/>
      <c r="J204" s="558"/>
      <c r="K204" s="558"/>
      <c r="L204" s="558"/>
      <c r="M204" s="558"/>
      <c r="N204" s="550">
        <f t="shared" si="94"/>
        <v>144</v>
      </c>
      <c r="O204" s="708"/>
      <c r="P204" s="708"/>
      <c r="Q204" s="658" t="s">
        <v>4030</v>
      </c>
      <c r="R204" s="710"/>
      <c r="S204" s="710"/>
      <c r="T204" s="710"/>
      <c r="U204" s="710"/>
      <c r="V204" s="710"/>
      <c r="W204" s="710"/>
      <c r="X204" s="710"/>
      <c r="Y204" s="710"/>
      <c r="Z204" s="710"/>
      <c r="AA204" s="710"/>
      <c r="AB204" s="710"/>
      <c r="AC204" s="710"/>
      <c r="AD204" s="709"/>
      <c r="AE204" s="709"/>
      <c r="AF204" s="709"/>
      <c r="AG204" s="709"/>
      <c r="AH204" s="709"/>
      <c r="AI204" s="709"/>
      <c r="AJ204" s="709"/>
      <c r="AK204" s="709"/>
      <c r="AL204" s="709"/>
      <c r="AM204" s="709"/>
      <c r="AN204" s="709"/>
      <c r="AO204" s="709"/>
      <c r="AP204" s="709"/>
      <c r="AQ204" s="709"/>
      <c r="AR204" s="709"/>
      <c r="AS204" s="709"/>
      <c r="AT204" s="709"/>
      <c r="AU204" s="709"/>
      <c r="AV204" s="709"/>
      <c r="AW204" s="709"/>
      <c r="AX204" s="709"/>
      <c r="AY204" s="709"/>
      <c r="AZ204" s="709"/>
      <c r="BA204" s="709"/>
      <c r="BB204" s="709"/>
      <c r="BC204" s="709"/>
      <c r="BD204" s="709"/>
      <c r="BE204" s="709"/>
      <c r="BF204" s="672">
        <f t="shared" si="90"/>
        <v>0</v>
      </c>
      <c r="BG204" s="672">
        <f t="shared" si="91"/>
        <v>0</v>
      </c>
      <c r="BH204" s="709"/>
      <c r="BI204" s="709"/>
      <c r="BJ204" s="709"/>
      <c r="BK204" s="709"/>
      <c r="BL204" s="709"/>
      <c r="BM204" s="709"/>
      <c r="BN204" s="709"/>
      <c r="BO204" s="709"/>
      <c r="BP204" s="709"/>
      <c r="BQ204" s="709"/>
      <c r="BR204" s="709"/>
      <c r="BS204" s="709"/>
      <c r="BT204" s="709"/>
      <c r="BU204" s="709"/>
      <c r="BV204" s="709"/>
      <c r="BW204" s="709"/>
      <c r="BX204" s="709"/>
      <c r="BY204" s="709"/>
      <c r="BZ204" s="709"/>
      <c r="CA204" s="709"/>
      <c r="CB204" s="709"/>
      <c r="CC204" s="709"/>
      <c r="CD204" s="709"/>
      <c r="CE204" s="709"/>
      <c r="CF204" s="709"/>
      <c r="CG204" s="709"/>
      <c r="CH204" s="709"/>
      <c r="CI204" s="709"/>
      <c r="CJ204" s="709"/>
      <c r="CK204" s="709"/>
      <c r="CL204" s="709"/>
      <c r="CM204" s="709"/>
      <c r="CN204" s="709">
        <f t="shared" si="92"/>
        <v>0</v>
      </c>
      <c r="CO204" s="709"/>
      <c r="CP204" s="709"/>
      <c r="CQ204" s="709"/>
      <c r="CR204" s="709"/>
      <c r="CS204" s="709"/>
      <c r="CT204" s="709"/>
      <c r="CU204" s="709"/>
      <c r="CV204" s="709"/>
      <c r="CW204" s="709"/>
      <c r="CX204" s="683"/>
      <c r="CY204" s="711"/>
    </row>
    <row r="205" spans="1:234" ht="13.8" hidden="1">
      <c r="A205" s="706" t="s">
        <v>1941</v>
      </c>
      <c r="B205" s="707"/>
      <c r="C205" s="558">
        <v>43</v>
      </c>
      <c r="D205" s="550">
        <f t="shared" si="93"/>
        <v>187</v>
      </c>
      <c r="E205" s="558"/>
      <c r="F205" s="558"/>
      <c r="G205" s="558"/>
      <c r="H205" s="558"/>
      <c r="I205" s="558"/>
      <c r="J205" s="558"/>
      <c r="K205" s="558"/>
      <c r="L205" s="558"/>
      <c r="M205" s="558"/>
      <c r="N205" s="550">
        <f t="shared" si="94"/>
        <v>187</v>
      </c>
      <c r="O205" s="708"/>
      <c r="P205" s="708"/>
      <c r="Q205" s="658" t="s">
        <v>501</v>
      </c>
      <c r="R205" s="710"/>
      <c r="S205" s="710">
        <v>1</v>
      </c>
      <c r="T205" s="710"/>
      <c r="U205" s="710"/>
      <c r="V205" s="710"/>
      <c r="W205" s="710"/>
      <c r="X205" s="710"/>
      <c r="Y205" s="710"/>
      <c r="Z205" s="710">
        <v>1</v>
      </c>
      <c r="AA205" s="710"/>
      <c r="AB205" s="710"/>
      <c r="AC205" s="710"/>
      <c r="AD205" s="709"/>
      <c r="AE205" s="709"/>
      <c r="AF205" s="709"/>
      <c r="AG205" s="709"/>
      <c r="AH205" s="709"/>
      <c r="AI205" s="709"/>
      <c r="AJ205" s="709"/>
      <c r="AK205" s="709"/>
      <c r="AL205" s="709"/>
      <c r="AM205" s="709"/>
      <c r="AN205" s="709"/>
      <c r="AO205" s="709"/>
      <c r="AP205" s="709"/>
      <c r="AQ205" s="709"/>
      <c r="AR205" s="709"/>
      <c r="AS205" s="709"/>
      <c r="AT205" s="709"/>
      <c r="AU205" s="709"/>
      <c r="AV205" s="709"/>
      <c r="AW205" s="709"/>
      <c r="AX205" s="709"/>
      <c r="AY205" s="709"/>
      <c r="AZ205" s="709"/>
      <c r="BA205" s="709"/>
      <c r="BB205" s="709"/>
      <c r="BC205" s="709"/>
      <c r="BD205" s="709"/>
      <c r="BE205" s="709"/>
      <c r="BF205" s="672">
        <f t="shared" si="90"/>
        <v>0</v>
      </c>
      <c r="BG205" s="672">
        <f t="shared" si="91"/>
        <v>0</v>
      </c>
      <c r="BH205" s="709"/>
      <c r="BI205" s="709"/>
      <c r="BJ205" s="709"/>
      <c r="BK205" s="709"/>
      <c r="BL205" s="709"/>
      <c r="BM205" s="709"/>
      <c r="BN205" s="709"/>
      <c r="BO205" s="709"/>
      <c r="BP205" s="709"/>
      <c r="BQ205" s="709"/>
      <c r="BR205" s="709"/>
      <c r="BS205" s="709"/>
      <c r="BT205" s="709"/>
      <c r="BU205" s="709"/>
      <c r="BV205" s="709"/>
      <c r="BW205" s="709"/>
      <c r="BX205" s="709"/>
      <c r="BY205" s="709"/>
      <c r="BZ205" s="709"/>
      <c r="CA205" s="709">
        <v>1</v>
      </c>
      <c r="CB205" s="709"/>
      <c r="CC205" s="709"/>
      <c r="CD205" s="709"/>
      <c r="CE205" s="709"/>
      <c r="CF205" s="709"/>
      <c r="CG205" s="709"/>
      <c r="CH205" s="709"/>
      <c r="CI205" s="709"/>
      <c r="CJ205" s="709"/>
      <c r="CK205" s="709"/>
      <c r="CL205" s="709"/>
      <c r="CM205" s="709">
        <v>1</v>
      </c>
      <c r="CN205" s="709">
        <f t="shared" si="92"/>
        <v>3.6</v>
      </c>
      <c r="CO205" s="709"/>
      <c r="CP205" s="709"/>
      <c r="CQ205" s="709"/>
      <c r="CR205" s="709"/>
      <c r="CS205" s="709"/>
      <c r="CT205" s="709"/>
      <c r="CU205" s="709"/>
      <c r="CV205" s="709"/>
      <c r="CW205" s="709"/>
      <c r="CX205" s="683"/>
      <c r="CY205" s="711"/>
    </row>
    <row r="206" spans="1:234" ht="13.8" hidden="1">
      <c r="A206" s="706" t="s">
        <v>1942</v>
      </c>
      <c r="B206" s="707"/>
      <c r="C206" s="558">
        <v>25</v>
      </c>
      <c r="D206" s="550">
        <f t="shared" si="93"/>
        <v>212</v>
      </c>
      <c r="E206" s="558"/>
      <c r="F206" s="558"/>
      <c r="G206" s="558"/>
      <c r="H206" s="558"/>
      <c r="I206" s="558"/>
      <c r="J206" s="558"/>
      <c r="K206" s="558"/>
      <c r="L206" s="558"/>
      <c r="M206" s="558"/>
      <c r="N206" s="550">
        <f t="shared" si="94"/>
        <v>212</v>
      </c>
      <c r="O206" s="708"/>
      <c r="P206" s="708"/>
      <c r="Q206" s="658" t="s">
        <v>501</v>
      </c>
      <c r="R206" s="710"/>
      <c r="S206" s="710">
        <v>1</v>
      </c>
      <c r="T206" s="710"/>
      <c r="U206" s="710"/>
      <c r="V206" s="710"/>
      <c r="W206" s="710"/>
      <c r="X206" s="710"/>
      <c r="Y206" s="710"/>
      <c r="Z206" s="710">
        <v>1</v>
      </c>
      <c r="AA206" s="710"/>
      <c r="AB206" s="710"/>
      <c r="AC206" s="710"/>
      <c r="AD206" s="709"/>
      <c r="AE206" s="709"/>
      <c r="AF206" s="709"/>
      <c r="AG206" s="709"/>
      <c r="AH206" s="709"/>
      <c r="AI206" s="709"/>
      <c r="AJ206" s="709"/>
      <c r="AK206" s="709"/>
      <c r="AL206" s="709"/>
      <c r="AM206" s="709"/>
      <c r="AN206" s="709"/>
      <c r="AO206" s="709"/>
      <c r="AP206" s="709"/>
      <c r="AQ206" s="709"/>
      <c r="AR206" s="709"/>
      <c r="AS206" s="709"/>
      <c r="AT206" s="709"/>
      <c r="AU206" s="709"/>
      <c r="AV206" s="709"/>
      <c r="AW206" s="709"/>
      <c r="AX206" s="709"/>
      <c r="AY206" s="709"/>
      <c r="AZ206" s="709"/>
      <c r="BA206" s="709"/>
      <c r="BB206" s="709"/>
      <c r="BC206" s="709"/>
      <c r="BD206" s="709"/>
      <c r="BE206" s="709"/>
      <c r="BF206" s="672">
        <f t="shared" si="90"/>
        <v>0</v>
      </c>
      <c r="BG206" s="672">
        <f t="shared" si="91"/>
        <v>0</v>
      </c>
      <c r="BH206" s="709"/>
      <c r="BI206" s="709"/>
      <c r="BJ206" s="709"/>
      <c r="BK206" s="709"/>
      <c r="BL206" s="709"/>
      <c r="BM206" s="709"/>
      <c r="BN206" s="709"/>
      <c r="BO206" s="709"/>
      <c r="BP206" s="709"/>
      <c r="BQ206" s="709"/>
      <c r="BR206" s="709"/>
      <c r="BS206" s="709"/>
      <c r="BT206" s="709"/>
      <c r="BU206" s="709"/>
      <c r="BV206" s="709"/>
      <c r="BW206" s="709"/>
      <c r="BX206" s="709"/>
      <c r="BY206" s="709"/>
      <c r="BZ206" s="709"/>
      <c r="CA206" s="709">
        <v>1</v>
      </c>
      <c r="CB206" s="709"/>
      <c r="CC206" s="709"/>
      <c r="CD206" s="709"/>
      <c r="CE206" s="709"/>
      <c r="CF206" s="709"/>
      <c r="CG206" s="709"/>
      <c r="CH206" s="709"/>
      <c r="CI206" s="709"/>
      <c r="CJ206" s="709"/>
      <c r="CK206" s="709"/>
      <c r="CL206" s="709"/>
      <c r="CM206" s="709">
        <v>1</v>
      </c>
      <c r="CN206" s="709">
        <f t="shared" si="92"/>
        <v>3.6</v>
      </c>
      <c r="CO206" s="709"/>
      <c r="CP206" s="709"/>
      <c r="CQ206" s="709"/>
      <c r="CR206" s="709"/>
      <c r="CS206" s="709"/>
      <c r="CT206" s="709"/>
      <c r="CU206" s="709"/>
      <c r="CV206" s="709"/>
      <c r="CW206" s="709"/>
      <c r="CX206" s="683"/>
      <c r="CY206" s="711"/>
    </row>
    <row r="207" spans="1:234" ht="13.8" hidden="1">
      <c r="A207" s="706" t="s">
        <v>921</v>
      </c>
      <c r="B207" s="707"/>
      <c r="C207" s="558"/>
      <c r="D207" s="550">
        <f t="shared" si="93"/>
        <v>212</v>
      </c>
      <c r="E207" s="558"/>
      <c r="F207" s="558"/>
      <c r="G207" s="558"/>
      <c r="H207" s="558"/>
      <c r="I207" s="558"/>
      <c r="J207" s="558"/>
      <c r="K207" s="558"/>
      <c r="L207" s="558"/>
      <c r="M207" s="558"/>
      <c r="N207" s="550">
        <f t="shared" si="94"/>
        <v>212</v>
      </c>
      <c r="O207" s="708"/>
      <c r="P207" s="708"/>
      <c r="Q207" s="658" t="s">
        <v>4030</v>
      </c>
      <c r="R207" s="710"/>
      <c r="S207" s="710"/>
      <c r="T207" s="710"/>
      <c r="U207" s="710"/>
      <c r="V207" s="710"/>
      <c r="W207" s="710"/>
      <c r="X207" s="710"/>
      <c r="Y207" s="710"/>
      <c r="Z207" s="710"/>
      <c r="AA207" s="710"/>
      <c r="AB207" s="710"/>
      <c r="AC207" s="710"/>
      <c r="AD207" s="709"/>
      <c r="AE207" s="709"/>
      <c r="AF207" s="709"/>
      <c r="AG207" s="709"/>
      <c r="AH207" s="709"/>
      <c r="AI207" s="709"/>
      <c r="AJ207" s="709"/>
      <c r="AK207" s="709"/>
      <c r="AL207" s="709"/>
      <c r="AM207" s="709"/>
      <c r="AN207" s="709"/>
      <c r="AO207" s="709"/>
      <c r="AP207" s="709"/>
      <c r="AQ207" s="709"/>
      <c r="AR207" s="709"/>
      <c r="AS207" s="709"/>
      <c r="AT207" s="709"/>
      <c r="AU207" s="709"/>
      <c r="AV207" s="709"/>
      <c r="AW207" s="709"/>
      <c r="AX207" s="709"/>
      <c r="AY207" s="709"/>
      <c r="AZ207" s="709"/>
      <c r="BA207" s="709"/>
      <c r="BB207" s="709"/>
      <c r="BC207" s="709"/>
      <c r="BD207" s="709"/>
      <c r="BE207" s="709"/>
      <c r="BF207" s="672">
        <f t="shared" si="90"/>
        <v>0</v>
      </c>
      <c r="BG207" s="672">
        <f t="shared" si="91"/>
        <v>0</v>
      </c>
      <c r="BH207" s="709"/>
      <c r="BI207" s="709"/>
      <c r="BJ207" s="709"/>
      <c r="BK207" s="709"/>
      <c r="BL207" s="709"/>
      <c r="BM207" s="709"/>
      <c r="BN207" s="709"/>
      <c r="BO207" s="709"/>
      <c r="BP207" s="709"/>
      <c r="BQ207" s="709"/>
      <c r="BR207" s="709"/>
      <c r="BS207" s="709"/>
      <c r="BT207" s="709"/>
      <c r="BU207" s="709"/>
      <c r="BV207" s="709"/>
      <c r="BW207" s="709"/>
      <c r="BX207" s="709"/>
      <c r="BY207" s="709"/>
      <c r="BZ207" s="709"/>
      <c r="CA207" s="709"/>
      <c r="CB207" s="709"/>
      <c r="CC207" s="709"/>
      <c r="CD207" s="709"/>
      <c r="CE207" s="709"/>
      <c r="CF207" s="709"/>
      <c r="CG207" s="709"/>
      <c r="CH207" s="709"/>
      <c r="CI207" s="709"/>
      <c r="CJ207" s="709"/>
      <c r="CK207" s="709"/>
      <c r="CL207" s="709"/>
      <c r="CM207" s="709"/>
      <c r="CN207" s="709">
        <f t="shared" si="92"/>
        <v>0</v>
      </c>
      <c r="CO207" s="709"/>
      <c r="CP207" s="709"/>
      <c r="CQ207" s="709"/>
      <c r="CR207" s="709"/>
      <c r="CS207" s="709"/>
      <c r="CT207" s="709"/>
      <c r="CU207" s="709"/>
      <c r="CV207" s="709"/>
      <c r="CW207" s="709"/>
      <c r="CX207" s="683"/>
      <c r="CY207" s="711"/>
    </row>
    <row r="208" spans="1:234" s="678" customFormat="1" ht="13.8" hidden="1">
      <c r="A208" s="712" t="s">
        <v>1928</v>
      </c>
      <c r="B208" s="613"/>
      <c r="C208" s="613">
        <v>35</v>
      </c>
      <c r="D208" s="550">
        <f t="shared" si="93"/>
        <v>247</v>
      </c>
      <c r="E208" s="613"/>
      <c r="F208" s="613"/>
      <c r="G208" s="613"/>
      <c r="H208" s="613"/>
      <c r="I208" s="613"/>
      <c r="J208" s="679"/>
      <c r="K208" s="613"/>
      <c r="L208" s="613"/>
      <c r="M208" s="613"/>
      <c r="N208" s="550">
        <f t="shared" si="94"/>
        <v>247</v>
      </c>
      <c r="O208" s="614"/>
      <c r="P208" s="614"/>
      <c r="Q208" s="680" t="s">
        <v>1107</v>
      </c>
      <c r="R208" s="681"/>
      <c r="S208" s="681">
        <v>1</v>
      </c>
      <c r="T208" s="681"/>
      <c r="U208" s="681"/>
      <c r="V208" s="681"/>
      <c r="W208" s="681"/>
      <c r="X208" s="681"/>
      <c r="Y208" s="681"/>
      <c r="Z208" s="681">
        <v>1</v>
      </c>
      <c r="AA208" s="681"/>
      <c r="AB208" s="681"/>
      <c r="AC208" s="681"/>
      <c r="AD208" s="682"/>
      <c r="AE208" s="682"/>
      <c r="AF208" s="682"/>
      <c r="AG208" s="682"/>
      <c r="AH208" s="682"/>
      <c r="AI208" s="682"/>
      <c r="AJ208" s="682"/>
      <c r="AK208" s="682"/>
      <c r="AL208" s="682"/>
      <c r="AM208" s="682"/>
      <c r="AN208" s="682"/>
      <c r="AO208" s="682"/>
      <c r="AP208" s="682"/>
      <c r="AQ208" s="682"/>
      <c r="AR208" s="682"/>
      <c r="AS208" s="682"/>
      <c r="AT208" s="682"/>
      <c r="AU208" s="682"/>
      <c r="AV208" s="682"/>
      <c r="AW208" s="682">
        <v>1</v>
      </c>
      <c r="AX208" s="682"/>
      <c r="AY208" s="682"/>
      <c r="AZ208" s="682"/>
      <c r="BA208" s="682"/>
      <c r="BB208" s="682"/>
      <c r="BC208" s="682"/>
      <c r="BD208" s="682"/>
      <c r="BE208" s="682"/>
      <c r="BF208" s="672">
        <f t="shared" si="90"/>
        <v>1</v>
      </c>
      <c r="BG208" s="672">
        <f t="shared" si="91"/>
        <v>0</v>
      </c>
      <c r="BH208" s="682"/>
      <c r="BI208" s="682"/>
      <c r="BJ208" s="682"/>
      <c r="BK208" s="682"/>
      <c r="BL208" s="682"/>
      <c r="BM208" s="682"/>
      <c r="BN208" s="682"/>
      <c r="BO208" s="682"/>
      <c r="BP208" s="682"/>
      <c r="BQ208" s="682"/>
      <c r="BR208" s="682">
        <v>1</v>
      </c>
      <c r="BS208" s="682"/>
      <c r="BT208" s="682"/>
      <c r="BU208" s="682"/>
      <c r="BV208" s="682"/>
      <c r="BW208" s="682"/>
      <c r="BX208" s="682"/>
      <c r="BY208" s="682"/>
      <c r="BZ208" s="682"/>
      <c r="CA208" s="682">
        <v>1</v>
      </c>
      <c r="CB208" s="682"/>
      <c r="CC208" s="682"/>
      <c r="CD208" s="682"/>
      <c r="CE208" s="682"/>
      <c r="CF208" s="682"/>
      <c r="CG208" s="682"/>
      <c r="CH208" s="682"/>
      <c r="CI208" s="682"/>
      <c r="CJ208" s="682"/>
      <c r="CK208" s="682"/>
      <c r="CL208" s="682"/>
      <c r="CM208" s="682">
        <v>1</v>
      </c>
      <c r="CN208" s="682">
        <f t="shared" si="92"/>
        <v>3.6</v>
      </c>
      <c r="CO208" s="682"/>
      <c r="CP208" s="682"/>
      <c r="CQ208" s="682"/>
      <c r="CR208" s="682"/>
      <c r="CS208" s="682"/>
      <c r="CT208" s="682"/>
      <c r="CU208" s="682"/>
      <c r="CV208" s="682"/>
      <c r="CW208" s="682"/>
      <c r="CX208" s="683"/>
      <c r="CY208" s="711"/>
      <c r="CZ208" s="677"/>
      <c r="DA208" s="530"/>
      <c r="DB208" s="530"/>
      <c r="DC208" s="530"/>
      <c r="DD208" s="530"/>
      <c r="DE208" s="530"/>
      <c r="DF208" s="530"/>
      <c r="DG208" s="530"/>
      <c r="DH208" s="530"/>
      <c r="DI208" s="530"/>
      <c r="DJ208" s="530"/>
      <c r="DK208" s="530"/>
      <c r="DL208" s="530"/>
      <c r="DM208" s="530"/>
      <c r="DN208" s="530"/>
      <c r="DO208" s="530"/>
      <c r="DP208" s="530"/>
      <c r="DQ208" s="530"/>
      <c r="DR208" s="530"/>
      <c r="DS208" s="530"/>
      <c r="DT208" s="530"/>
      <c r="DU208" s="530"/>
      <c r="DV208" s="530"/>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row>
    <row r="209" spans="1:234" s="717" customFormat="1" ht="13.8" hidden="1">
      <c r="A209" s="659" t="s">
        <v>4040</v>
      </c>
      <c r="B209" s="713"/>
      <c r="C209" s="714">
        <f>SUM(C198:C208)</f>
        <v>247</v>
      </c>
      <c r="D209" s="714">
        <f t="shared" ref="D209:N209" si="95">D208</f>
        <v>247</v>
      </c>
      <c r="E209" s="714">
        <f t="shared" si="95"/>
        <v>0</v>
      </c>
      <c r="F209" s="714">
        <f t="shared" si="95"/>
        <v>0</v>
      </c>
      <c r="G209" s="714">
        <f t="shared" si="95"/>
        <v>0</v>
      </c>
      <c r="H209" s="714">
        <f t="shared" si="95"/>
        <v>0</v>
      </c>
      <c r="I209" s="714">
        <f t="shared" si="95"/>
        <v>0</v>
      </c>
      <c r="J209" s="714">
        <f t="shared" si="95"/>
        <v>0</v>
      </c>
      <c r="K209" s="714">
        <f t="shared" si="95"/>
        <v>0</v>
      </c>
      <c r="L209" s="714">
        <f t="shared" si="95"/>
        <v>0</v>
      </c>
      <c r="M209" s="714">
        <f t="shared" si="95"/>
        <v>0</v>
      </c>
      <c r="N209" s="714">
        <f t="shared" si="95"/>
        <v>247</v>
      </c>
      <c r="O209" s="714"/>
      <c r="P209" s="714">
        <f>SUM(O198:O208)</f>
        <v>0</v>
      </c>
      <c r="Q209" s="714">
        <f>SUM(P198:P208)</f>
        <v>0</v>
      </c>
      <c r="R209" s="714">
        <f>SUM(Q198:Q208)</f>
        <v>0</v>
      </c>
      <c r="S209" s="714">
        <f t="shared" ref="S209:AX209" si="96">SUM(S198:S208)</f>
        <v>9</v>
      </c>
      <c r="T209" s="714">
        <f t="shared" si="96"/>
        <v>0</v>
      </c>
      <c r="U209" s="714">
        <f t="shared" si="96"/>
        <v>0</v>
      </c>
      <c r="V209" s="714">
        <f t="shared" si="96"/>
        <v>0</v>
      </c>
      <c r="W209" s="714">
        <f t="shared" si="96"/>
        <v>0</v>
      </c>
      <c r="X209" s="714">
        <f t="shared" si="96"/>
        <v>0</v>
      </c>
      <c r="Y209" s="714">
        <f t="shared" si="96"/>
        <v>0</v>
      </c>
      <c r="Z209" s="714">
        <f t="shared" si="96"/>
        <v>7</v>
      </c>
      <c r="AA209" s="714">
        <f t="shared" si="96"/>
        <v>0</v>
      </c>
      <c r="AB209" s="714">
        <f t="shared" si="96"/>
        <v>0</v>
      </c>
      <c r="AC209" s="714">
        <f t="shared" si="96"/>
        <v>1</v>
      </c>
      <c r="AD209" s="714">
        <f t="shared" si="96"/>
        <v>0</v>
      </c>
      <c r="AE209" s="714">
        <f t="shared" si="96"/>
        <v>0</v>
      </c>
      <c r="AF209" s="714">
        <f t="shared" si="96"/>
        <v>0</v>
      </c>
      <c r="AG209" s="714">
        <f t="shared" si="96"/>
        <v>0</v>
      </c>
      <c r="AH209" s="714">
        <f t="shared" si="96"/>
        <v>0</v>
      </c>
      <c r="AI209" s="714">
        <f t="shared" si="96"/>
        <v>0</v>
      </c>
      <c r="AJ209" s="714">
        <f t="shared" si="96"/>
        <v>0</v>
      </c>
      <c r="AK209" s="714">
        <f t="shared" si="96"/>
        <v>0</v>
      </c>
      <c r="AL209" s="714">
        <f t="shared" si="96"/>
        <v>0</v>
      </c>
      <c r="AM209" s="714">
        <f t="shared" si="96"/>
        <v>0</v>
      </c>
      <c r="AN209" s="714">
        <f t="shared" si="96"/>
        <v>0</v>
      </c>
      <c r="AO209" s="714">
        <f t="shared" si="96"/>
        <v>0</v>
      </c>
      <c r="AP209" s="714">
        <f t="shared" si="96"/>
        <v>0</v>
      </c>
      <c r="AQ209" s="714">
        <f t="shared" si="96"/>
        <v>0</v>
      </c>
      <c r="AR209" s="714">
        <f t="shared" si="96"/>
        <v>0</v>
      </c>
      <c r="AS209" s="714">
        <f t="shared" si="96"/>
        <v>0</v>
      </c>
      <c r="AT209" s="714">
        <f t="shared" si="96"/>
        <v>0</v>
      </c>
      <c r="AU209" s="714">
        <f t="shared" si="96"/>
        <v>0</v>
      </c>
      <c r="AV209" s="714">
        <f t="shared" si="96"/>
        <v>0</v>
      </c>
      <c r="AW209" s="714">
        <f t="shared" si="96"/>
        <v>5</v>
      </c>
      <c r="AX209" s="714">
        <f t="shared" si="96"/>
        <v>0</v>
      </c>
      <c r="AY209" s="714">
        <f t="shared" ref="AY209:CB209" si="97">SUM(AY198:AY208)</f>
        <v>0</v>
      </c>
      <c r="AZ209" s="714">
        <f t="shared" si="97"/>
        <v>0</v>
      </c>
      <c r="BA209" s="714">
        <f t="shared" si="97"/>
        <v>0</v>
      </c>
      <c r="BB209" s="714">
        <f t="shared" si="97"/>
        <v>0</v>
      </c>
      <c r="BC209" s="714">
        <f t="shared" si="97"/>
        <v>0</v>
      </c>
      <c r="BD209" s="714">
        <f t="shared" si="97"/>
        <v>0</v>
      </c>
      <c r="BE209" s="714">
        <f t="shared" si="97"/>
        <v>0</v>
      </c>
      <c r="BF209" s="714">
        <f t="shared" si="97"/>
        <v>5</v>
      </c>
      <c r="BG209" s="714">
        <f t="shared" si="97"/>
        <v>0</v>
      </c>
      <c r="BH209" s="714">
        <f t="shared" si="97"/>
        <v>0</v>
      </c>
      <c r="BI209" s="714">
        <f t="shared" si="97"/>
        <v>0</v>
      </c>
      <c r="BJ209" s="714">
        <f t="shared" si="97"/>
        <v>0</v>
      </c>
      <c r="BK209" s="714">
        <f t="shared" si="97"/>
        <v>0</v>
      </c>
      <c r="BL209" s="714">
        <f t="shared" si="97"/>
        <v>0</v>
      </c>
      <c r="BM209" s="714">
        <f t="shared" si="97"/>
        <v>0</v>
      </c>
      <c r="BN209" s="714">
        <f t="shared" si="97"/>
        <v>0</v>
      </c>
      <c r="BO209" s="714">
        <f t="shared" si="97"/>
        <v>0</v>
      </c>
      <c r="BP209" s="714">
        <f t="shared" si="97"/>
        <v>0</v>
      </c>
      <c r="BQ209" s="714">
        <f t="shared" si="97"/>
        <v>0</v>
      </c>
      <c r="BR209" s="714">
        <f t="shared" si="97"/>
        <v>3</v>
      </c>
      <c r="BS209" s="714">
        <f t="shared" si="97"/>
        <v>0</v>
      </c>
      <c r="BT209" s="714">
        <f t="shared" si="97"/>
        <v>0</v>
      </c>
      <c r="BU209" s="714">
        <f t="shared" si="97"/>
        <v>0</v>
      </c>
      <c r="BV209" s="714">
        <f t="shared" si="97"/>
        <v>0</v>
      </c>
      <c r="BW209" s="714">
        <f t="shared" si="97"/>
        <v>0</v>
      </c>
      <c r="BX209" s="714">
        <f t="shared" si="97"/>
        <v>0</v>
      </c>
      <c r="BY209" s="714">
        <f t="shared" si="97"/>
        <v>0</v>
      </c>
      <c r="BZ209" s="714">
        <f t="shared" si="97"/>
        <v>0</v>
      </c>
      <c r="CA209" s="714">
        <f t="shared" si="97"/>
        <v>8</v>
      </c>
      <c r="CB209" s="714">
        <f t="shared" si="97"/>
        <v>0</v>
      </c>
      <c r="CC209" s="714">
        <f t="shared" ref="CC209:CN209" si="98">SUM(CC198:CC208)</f>
        <v>0</v>
      </c>
      <c r="CD209" s="714">
        <f t="shared" si="98"/>
        <v>0</v>
      </c>
      <c r="CE209" s="714">
        <f t="shared" si="98"/>
        <v>0</v>
      </c>
      <c r="CF209" s="714">
        <f t="shared" si="98"/>
        <v>0</v>
      </c>
      <c r="CG209" s="714">
        <f t="shared" si="98"/>
        <v>0</v>
      </c>
      <c r="CH209" s="714">
        <f t="shared" si="98"/>
        <v>0</v>
      </c>
      <c r="CI209" s="714">
        <f t="shared" si="98"/>
        <v>0</v>
      </c>
      <c r="CJ209" s="714">
        <f t="shared" si="98"/>
        <v>0</v>
      </c>
      <c r="CK209" s="714">
        <f t="shared" si="98"/>
        <v>0</v>
      </c>
      <c r="CL209" s="714">
        <f t="shared" si="98"/>
        <v>0</v>
      </c>
      <c r="CM209" s="714">
        <f t="shared" si="98"/>
        <v>8</v>
      </c>
      <c r="CN209" s="714">
        <f t="shared" si="98"/>
        <v>28.800000000000004</v>
      </c>
      <c r="CO209" s="714">
        <f t="shared" ref="CO209:CW209" si="99">SUM(CO198:CO208)</f>
        <v>0</v>
      </c>
      <c r="CP209" s="714">
        <f t="shared" si="99"/>
        <v>0</v>
      </c>
      <c r="CQ209" s="714">
        <f t="shared" si="99"/>
        <v>0</v>
      </c>
      <c r="CR209" s="714">
        <f t="shared" si="99"/>
        <v>1</v>
      </c>
      <c r="CS209" s="714">
        <f t="shared" si="99"/>
        <v>0</v>
      </c>
      <c r="CT209" s="714">
        <f t="shared" si="99"/>
        <v>0</v>
      </c>
      <c r="CU209" s="714">
        <f t="shared" si="99"/>
        <v>0</v>
      </c>
      <c r="CV209" s="714">
        <f t="shared" si="99"/>
        <v>0</v>
      </c>
      <c r="CW209" s="714">
        <f t="shared" si="99"/>
        <v>0</v>
      </c>
      <c r="CX209" s="715">
        <v>34</v>
      </c>
      <c r="CY209" s="716"/>
    </row>
    <row r="210" spans="1:234" s="545" customFormat="1" ht="18" hidden="1" customHeight="1">
      <c r="A210" s="655" t="s">
        <v>4041</v>
      </c>
      <c r="B210" s="544"/>
      <c r="C210" s="544"/>
      <c r="D210" s="544"/>
      <c r="E210" s="544"/>
      <c r="F210" s="544"/>
      <c r="G210" s="544"/>
      <c r="H210" s="544"/>
      <c r="I210" s="544"/>
      <c r="J210" s="544"/>
      <c r="K210" s="544"/>
      <c r="L210" s="544"/>
      <c r="M210" s="544"/>
      <c r="N210" s="544"/>
      <c r="O210" s="544"/>
      <c r="P210" s="544"/>
      <c r="Q210" s="544"/>
      <c r="R210" s="544"/>
      <c r="S210" s="544"/>
      <c r="T210" s="544"/>
      <c r="U210" s="544"/>
      <c r="V210" s="544"/>
      <c r="W210" s="544"/>
      <c r="X210" s="544"/>
      <c r="Y210" s="544"/>
      <c r="Z210" s="544"/>
      <c r="AA210" s="544"/>
      <c r="AB210" s="544"/>
      <c r="AC210" s="544"/>
      <c r="AD210" s="544"/>
      <c r="AE210" s="544"/>
      <c r="AF210" s="544"/>
      <c r="AG210" s="544"/>
      <c r="AH210" s="544"/>
      <c r="AI210" s="544"/>
      <c r="AJ210" s="544"/>
      <c r="AK210" s="544"/>
      <c r="AL210" s="544"/>
      <c r="AM210" s="544"/>
      <c r="AN210" s="544"/>
      <c r="AO210" s="544"/>
      <c r="AP210" s="544"/>
      <c r="AQ210" s="544"/>
      <c r="AR210" s="544"/>
      <c r="AS210" s="544"/>
      <c r="AT210" s="544"/>
      <c r="AU210" s="544"/>
      <c r="AV210" s="544"/>
      <c r="AW210" s="544"/>
      <c r="AX210" s="544"/>
      <c r="AY210" s="544"/>
      <c r="AZ210" s="544"/>
      <c r="BA210" s="544"/>
      <c r="BB210" s="544"/>
      <c r="BC210" s="544"/>
      <c r="BD210" s="544"/>
      <c r="BE210" s="544"/>
      <c r="BF210" s="544"/>
      <c r="BG210" s="544"/>
      <c r="BH210" s="544"/>
      <c r="BI210" s="544"/>
      <c r="BJ210" s="544"/>
      <c r="BK210" s="544"/>
      <c r="BL210" s="544"/>
      <c r="BM210" s="544"/>
      <c r="BN210" s="544"/>
      <c r="BO210" s="544"/>
      <c r="BP210" s="544"/>
      <c r="BQ210" s="544"/>
      <c r="BR210" s="544"/>
      <c r="BS210" s="544"/>
      <c r="BT210" s="544"/>
      <c r="BU210" s="544"/>
      <c r="BV210" s="544"/>
      <c r="BW210" s="544"/>
      <c r="BX210" s="544"/>
      <c r="BY210" s="544"/>
      <c r="BZ210" s="544"/>
      <c r="CA210" s="544"/>
      <c r="CB210" s="544"/>
      <c r="CC210" s="544"/>
      <c r="CD210" s="544"/>
      <c r="CE210" s="544"/>
      <c r="CF210" s="544"/>
      <c r="CG210" s="544"/>
      <c r="CH210" s="544"/>
      <c r="CI210" s="544"/>
      <c r="CJ210" s="544"/>
      <c r="CK210" s="544"/>
      <c r="CL210" s="544"/>
      <c r="CM210" s="544"/>
      <c r="CN210" s="544"/>
      <c r="CO210" s="544"/>
      <c r="CP210" s="544"/>
      <c r="CQ210" s="544"/>
      <c r="CR210" s="544"/>
      <c r="CS210" s="544"/>
      <c r="CT210" s="544"/>
      <c r="CU210" s="544"/>
      <c r="CV210" s="544"/>
      <c r="CW210" s="544"/>
      <c r="CX210" s="544"/>
      <c r="CY210" s="669"/>
      <c r="CZ210" s="530"/>
      <c r="DA210" s="530"/>
      <c r="DB210" s="530"/>
      <c r="DC210" s="530"/>
      <c r="DD210" s="530"/>
      <c r="DE210" s="530"/>
      <c r="DF210" s="530"/>
      <c r="DG210" s="530"/>
      <c r="DH210" s="530"/>
      <c r="DI210" s="530"/>
      <c r="DJ210" s="530"/>
      <c r="DK210" s="530"/>
      <c r="DL210" s="530"/>
      <c r="DM210" s="530"/>
      <c r="DN210" s="530"/>
      <c r="DO210" s="530"/>
      <c r="DP210" s="530"/>
      <c r="DQ210" s="530"/>
      <c r="DR210" s="530"/>
      <c r="DS210" s="530"/>
      <c r="DT210" s="530"/>
      <c r="DU210" s="530"/>
      <c r="DV210" s="530"/>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row>
    <row r="211" spans="1:234" ht="13.8" hidden="1">
      <c r="A211" s="591" t="s">
        <v>4042</v>
      </c>
      <c r="B211" s="702"/>
      <c r="C211" s="555"/>
      <c r="D211" s="555"/>
      <c r="E211" s="555"/>
      <c r="F211" s="555"/>
      <c r="G211" s="555"/>
      <c r="H211" s="555"/>
      <c r="I211" s="555"/>
      <c r="J211" s="555"/>
      <c r="K211" s="555"/>
      <c r="L211" s="555"/>
      <c r="M211" s="555"/>
      <c r="N211" s="555">
        <f>C211</f>
        <v>0</v>
      </c>
      <c r="O211" s="556"/>
      <c r="P211" s="556"/>
      <c r="Q211" s="703" t="s">
        <v>658</v>
      </c>
      <c r="R211" s="718"/>
      <c r="S211" s="718"/>
      <c r="T211" s="718"/>
      <c r="U211" s="718"/>
      <c r="V211" s="718"/>
      <c r="W211" s="718"/>
      <c r="X211" s="718"/>
      <c r="Y211" s="718"/>
      <c r="Z211" s="718"/>
      <c r="AA211" s="672"/>
      <c r="AB211" s="672"/>
      <c r="AC211" s="672"/>
      <c r="AD211" s="672"/>
      <c r="AE211" s="672"/>
      <c r="AF211" s="672"/>
      <c r="AG211" s="672"/>
      <c r="AH211" s="672"/>
      <c r="AI211" s="672"/>
      <c r="AJ211" s="672"/>
      <c r="AK211" s="672"/>
      <c r="AL211" s="672"/>
      <c r="AM211" s="672"/>
      <c r="AN211" s="672"/>
      <c r="AO211" s="672"/>
      <c r="AP211" s="672"/>
      <c r="AQ211" s="672"/>
      <c r="AR211" s="672"/>
      <c r="AS211" s="672"/>
      <c r="AT211" s="672"/>
      <c r="AU211" s="672"/>
      <c r="AV211" s="672"/>
      <c r="AW211" s="672"/>
      <c r="AX211" s="672"/>
      <c r="AY211" s="672"/>
      <c r="AZ211" s="672"/>
      <c r="BA211" s="672"/>
      <c r="BB211" s="672"/>
      <c r="BC211" s="672"/>
      <c r="BD211" s="672"/>
      <c r="BE211" s="672"/>
      <c r="BF211" s="672">
        <f t="shared" ref="BF211:BF227" si="100">AW211</f>
        <v>0</v>
      </c>
      <c r="BG211" s="672">
        <f t="shared" ref="BG211:BG227" si="101">AX211</f>
        <v>0</v>
      </c>
      <c r="BH211" s="672"/>
      <c r="BI211" s="672"/>
      <c r="BJ211" s="672"/>
      <c r="BK211" s="672"/>
      <c r="BL211" s="672"/>
      <c r="BM211" s="672"/>
      <c r="BN211" s="672"/>
      <c r="BO211" s="672"/>
      <c r="BP211" s="672"/>
      <c r="BQ211" s="672"/>
      <c r="BR211" s="672"/>
      <c r="BS211" s="672"/>
      <c r="BT211" s="672"/>
      <c r="BU211" s="672"/>
      <c r="BV211" s="672"/>
      <c r="BW211" s="672"/>
      <c r="BX211" s="672"/>
      <c r="BY211" s="672"/>
      <c r="BZ211" s="672"/>
      <c r="CA211" s="672"/>
      <c r="CB211" s="672"/>
      <c r="CC211" s="672"/>
      <c r="CD211" s="672"/>
      <c r="CE211" s="672"/>
      <c r="CF211" s="672"/>
      <c r="CG211" s="672"/>
      <c r="CH211" s="672"/>
      <c r="CI211" s="672"/>
      <c r="CJ211" s="672"/>
      <c r="CK211" s="672"/>
      <c r="CL211" s="672"/>
      <c r="CM211" s="672"/>
      <c r="CN211" s="672">
        <f t="shared" ref="CN211:CN227" si="102">+CM211*3.6</f>
        <v>0</v>
      </c>
      <c r="CO211" s="672"/>
      <c r="CP211" s="672"/>
      <c r="CQ211" s="672"/>
      <c r="CR211" s="672"/>
      <c r="CS211" s="672"/>
      <c r="CT211" s="672"/>
      <c r="CU211" s="672"/>
      <c r="CV211" s="672"/>
      <c r="CW211" s="672"/>
      <c r="CX211" s="704"/>
      <c r="CY211" s="705"/>
      <c r="HU211" s="542"/>
      <c r="HV211" s="542"/>
      <c r="HW211" s="542"/>
      <c r="HX211" s="542"/>
      <c r="HY211" s="542"/>
      <c r="HZ211" s="542"/>
    </row>
    <row r="212" spans="1:234" ht="13.8" hidden="1">
      <c r="A212" s="591" t="s">
        <v>2119</v>
      </c>
      <c r="B212" s="670"/>
      <c r="C212" s="550">
        <v>10</v>
      </c>
      <c r="D212" s="550">
        <f t="shared" ref="D212:D227" si="103">D211+C212</f>
        <v>10</v>
      </c>
      <c r="E212" s="550"/>
      <c r="F212" s="550"/>
      <c r="G212" s="550"/>
      <c r="H212" s="550"/>
      <c r="I212" s="550"/>
      <c r="J212" s="550"/>
      <c r="K212" s="550"/>
      <c r="L212" s="550"/>
      <c r="M212" s="550"/>
      <c r="N212" s="550">
        <f t="shared" ref="N212:N227" si="104">+N211+C212</f>
        <v>10</v>
      </c>
      <c r="O212" s="439"/>
      <c r="P212" s="439"/>
      <c r="Q212" s="674" t="s">
        <v>546</v>
      </c>
      <c r="R212" s="671"/>
      <c r="S212" s="671">
        <v>1</v>
      </c>
      <c r="T212" s="671"/>
      <c r="U212" s="671"/>
      <c r="V212" s="671"/>
      <c r="W212" s="671"/>
      <c r="X212" s="671"/>
      <c r="Y212" s="671"/>
      <c r="Z212" s="671">
        <v>1</v>
      </c>
      <c r="AA212" s="623"/>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v>1</v>
      </c>
      <c r="AX212" s="623"/>
      <c r="AY212" s="623"/>
      <c r="AZ212" s="623"/>
      <c r="BA212" s="623"/>
      <c r="BB212" s="623"/>
      <c r="BC212" s="623"/>
      <c r="BD212" s="623"/>
      <c r="BE212" s="623"/>
      <c r="BF212" s="672">
        <f t="shared" si="100"/>
        <v>1</v>
      </c>
      <c r="BG212" s="672">
        <f t="shared" si="101"/>
        <v>0</v>
      </c>
      <c r="BH212" s="623"/>
      <c r="BI212" s="623"/>
      <c r="BJ212" s="623"/>
      <c r="BK212" s="623"/>
      <c r="BL212" s="623"/>
      <c r="BM212" s="623"/>
      <c r="BN212" s="623"/>
      <c r="BO212" s="623"/>
      <c r="BP212" s="623"/>
      <c r="BQ212" s="623"/>
      <c r="BR212" s="623">
        <v>1</v>
      </c>
      <c r="BS212" s="623"/>
      <c r="BT212" s="623"/>
      <c r="BU212" s="623"/>
      <c r="BV212" s="623"/>
      <c r="BW212" s="623"/>
      <c r="BX212" s="623"/>
      <c r="BY212" s="623"/>
      <c r="BZ212" s="623"/>
      <c r="CA212" s="623">
        <v>1</v>
      </c>
      <c r="CB212" s="623"/>
      <c r="CC212" s="623"/>
      <c r="CD212" s="623"/>
      <c r="CE212" s="623"/>
      <c r="CF212" s="623"/>
      <c r="CG212" s="623"/>
      <c r="CH212" s="623"/>
      <c r="CI212" s="623"/>
      <c r="CJ212" s="623"/>
      <c r="CK212" s="623"/>
      <c r="CL212" s="623"/>
      <c r="CM212" s="623">
        <v>1</v>
      </c>
      <c r="CN212" s="623">
        <f t="shared" si="102"/>
        <v>3.6</v>
      </c>
      <c r="CO212" s="623"/>
      <c r="CP212" s="623"/>
      <c r="CQ212" s="623"/>
      <c r="CR212" s="623"/>
      <c r="CS212" s="623"/>
      <c r="CT212" s="623"/>
      <c r="CU212" s="623"/>
      <c r="CV212" s="623"/>
      <c r="CW212" s="623"/>
      <c r="CX212" s="673"/>
      <c r="CY212" s="557"/>
    </row>
    <row r="213" spans="1:234" ht="13.8" hidden="1">
      <c r="A213" s="591" t="s">
        <v>2120</v>
      </c>
      <c r="B213" s="670"/>
      <c r="C213" s="550">
        <v>40</v>
      </c>
      <c r="D213" s="550">
        <f t="shared" si="103"/>
        <v>50</v>
      </c>
      <c r="E213" s="550"/>
      <c r="F213" s="550"/>
      <c r="G213" s="550"/>
      <c r="H213" s="550"/>
      <c r="I213" s="550"/>
      <c r="J213" s="550"/>
      <c r="K213" s="550"/>
      <c r="L213" s="550"/>
      <c r="M213" s="550"/>
      <c r="N213" s="550">
        <f t="shared" si="104"/>
        <v>50</v>
      </c>
      <c r="O213" s="439"/>
      <c r="P213" s="439"/>
      <c r="Q213" s="674" t="s">
        <v>1818</v>
      </c>
      <c r="R213" s="671"/>
      <c r="S213" s="671">
        <v>1</v>
      </c>
      <c r="T213" s="671"/>
      <c r="U213" s="671"/>
      <c r="V213" s="671"/>
      <c r="W213" s="671"/>
      <c r="X213" s="671"/>
      <c r="Y213" s="671"/>
      <c r="Z213" s="671">
        <v>1</v>
      </c>
      <c r="AA213" s="623"/>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v>1</v>
      </c>
      <c r="AY213" s="623"/>
      <c r="AZ213" s="623"/>
      <c r="BA213" s="623"/>
      <c r="BB213" s="623"/>
      <c r="BC213" s="623"/>
      <c r="BD213" s="623"/>
      <c r="BE213" s="623"/>
      <c r="BF213" s="672">
        <f t="shared" si="100"/>
        <v>0</v>
      </c>
      <c r="BG213" s="672">
        <f t="shared" si="101"/>
        <v>1</v>
      </c>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v>1</v>
      </c>
      <c r="CB213" s="623"/>
      <c r="CC213" s="623"/>
      <c r="CD213" s="623"/>
      <c r="CE213" s="623"/>
      <c r="CF213" s="623"/>
      <c r="CG213" s="623"/>
      <c r="CH213" s="623"/>
      <c r="CI213" s="623"/>
      <c r="CJ213" s="623"/>
      <c r="CK213" s="623"/>
      <c r="CL213" s="623"/>
      <c r="CM213" s="623">
        <v>1</v>
      </c>
      <c r="CN213" s="623">
        <f t="shared" si="102"/>
        <v>3.6</v>
      </c>
      <c r="CO213" s="623"/>
      <c r="CP213" s="623"/>
      <c r="CQ213" s="623"/>
      <c r="CR213" s="623">
        <v>1</v>
      </c>
      <c r="CS213" s="623"/>
      <c r="CT213" s="623"/>
      <c r="CU213" s="623"/>
      <c r="CV213" s="623"/>
      <c r="CW213" s="623"/>
      <c r="CX213" s="673"/>
      <c r="CY213" s="557"/>
    </row>
    <row r="214" spans="1:234" ht="13.8" hidden="1">
      <c r="A214" s="591" t="s">
        <v>919</v>
      </c>
      <c r="B214" s="670"/>
      <c r="C214" s="550">
        <v>35</v>
      </c>
      <c r="D214" s="550">
        <f t="shared" si="103"/>
        <v>85</v>
      </c>
      <c r="E214" s="550"/>
      <c r="F214" s="550"/>
      <c r="G214" s="550"/>
      <c r="H214" s="550"/>
      <c r="I214" s="550"/>
      <c r="J214" s="550"/>
      <c r="K214" s="550"/>
      <c r="L214" s="550"/>
      <c r="M214" s="550"/>
      <c r="N214" s="550">
        <f t="shared" si="104"/>
        <v>85</v>
      </c>
      <c r="O214" s="439"/>
      <c r="P214" s="439"/>
      <c r="Q214" s="674" t="s">
        <v>501</v>
      </c>
      <c r="R214" s="671"/>
      <c r="S214" s="671">
        <v>1</v>
      </c>
      <c r="T214" s="671"/>
      <c r="U214" s="671"/>
      <c r="V214" s="671"/>
      <c r="W214" s="671"/>
      <c r="X214" s="671"/>
      <c r="Y214" s="671"/>
      <c r="Z214" s="671">
        <v>1</v>
      </c>
      <c r="AA214" s="623"/>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72">
        <f t="shared" si="100"/>
        <v>0</v>
      </c>
      <c r="BG214" s="672">
        <f t="shared" si="101"/>
        <v>0</v>
      </c>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v>1</v>
      </c>
      <c r="CB214" s="623"/>
      <c r="CC214" s="623"/>
      <c r="CD214" s="623"/>
      <c r="CE214" s="623"/>
      <c r="CF214" s="623"/>
      <c r="CG214" s="623"/>
      <c r="CH214" s="623"/>
      <c r="CI214" s="623"/>
      <c r="CJ214" s="623"/>
      <c r="CK214" s="623"/>
      <c r="CL214" s="623"/>
      <c r="CM214" s="623">
        <v>1</v>
      </c>
      <c r="CN214" s="623">
        <f t="shared" si="102"/>
        <v>3.6</v>
      </c>
      <c r="CO214" s="623"/>
      <c r="CP214" s="623"/>
      <c r="CQ214" s="623"/>
      <c r="CR214" s="623"/>
      <c r="CS214" s="623"/>
      <c r="CT214" s="623"/>
      <c r="CU214" s="623"/>
      <c r="CV214" s="623"/>
      <c r="CW214" s="623"/>
      <c r="CX214" s="673"/>
      <c r="CY214" s="557"/>
    </row>
    <row r="215" spans="1:234" ht="13.8" hidden="1">
      <c r="A215" s="591" t="s">
        <v>920</v>
      </c>
      <c r="B215" s="670"/>
      <c r="C215" s="550">
        <v>33</v>
      </c>
      <c r="D215" s="550">
        <f t="shared" si="103"/>
        <v>118</v>
      </c>
      <c r="E215" s="550"/>
      <c r="F215" s="550"/>
      <c r="G215" s="550"/>
      <c r="H215" s="550"/>
      <c r="I215" s="550"/>
      <c r="J215" s="550"/>
      <c r="K215" s="550"/>
      <c r="L215" s="550"/>
      <c r="M215" s="550"/>
      <c r="N215" s="550">
        <f t="shared" si="104"/>
        <v>118</v>
      </c>
      <c r="O215" s="439"/>
      <c r="P215" s="439"/>
      <c r="Q215" s="674" t="s">
        <v>501</v>
      </c>
      <c r="R215" s="671"/>
      <c r="S215" s="671">
        <v>1</v>
      </c>
      <c r="T215" s="671"/>
      <c r="U215" s="671"/>
      <c r="V215" s="671"/>
      <c r="W215" s="671"/>
      <c r="X215" s="671"/>
      <c r="Y215" s="671"/>
      <c r="Z215" s="671">
        <v>1</v>
      </c>
      <c r="AA215" s="623"/>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72">
        <f t="shared" si="100"/>
        <v>0</v>
      </c>
      <c r="BG215" s="672">
        <f t="shared" si="101"/>
        <v>0</v>
      </c>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v>1</v>
      </c>
      <c r="CB215" s="623"/>
      <c r="CC215" s="623"/>
      <c r="CD215" s="623"/>
      <c r="CE215" s="623"/>
      <c r="CF215" s="623"/>
      <c r="CG215" s="623"/>
      <c r="CH215" s="623"/>
      <c r="CI215" s="623"/>
      <c r="CJ215" s="623"/>
      <c r="CK215" s="623"/>
      <c r="CL215" s="623"/>
      <c r="CM215" s="623">
        <v>1</v>
      </c>
      <c r="CN215" s="623">
        <f t="shared" si="102"/>
        <v>3.6</v>
      </c>
      <c r="CO215" s="623"/>
      <c r="CP215" s="623"/>
      <c r="CQ215" s="623"/>
      <c r="CR215" s="623"/>
      <c r="CS215" s="623"/>
      <c r="CT215" s="623"/>
      <c r="CU215" s="623"/>
      <c r="CV215" s="623"/>
      <c r="CW215" s="623"/>
      <c r="CX215" s="673"/>
      <c r="CY215" s="557"/>
    </row>
    <row r="216" spans="1:234" ht="13.8" hidden="1">
      <c r="A216" s="591" t="s">
        <v>922</v>
      </c>
      <c r="B216" s="670"/>
      <c r="C216" s="550">
        <v>33</v>
      </c>
      <c r="D216" s="550">
        <f t="shared" si="103"/>
        <v>151</v>
      </c>
      <c r="E216" s="550"/>
      <c r="F216" s="550"/>
      <c r="G216" s="550"/>
      <c r="H216" s="550"/>
      <c r="I216" s="550"/>
      <c r="J216" s="550"/>
      <c r="K216" s="550"/>
      <c r="L216" s="550"/>
      <c r="M216" s="550"/>
      <c r="N216" s="550">
        <f t="shared" si="104"/>
        <v>151</v>
      </c>
      <c r="O216" s="439"/>
      <c r="P216" s="439"/>
      <c r="Q216" s="674" t="s">
        <v>658</v>
      </c>
      <c r="R216" s="671"/>
      <c r="S216" s="671">
        <v>1</v>
      </c>
      <c r="T216" s="671"/>
      <c r="U216" s="671"/>
      <c r="V216" s="671"/>
      <c r="W216" s="671"/>
      <c r="X216" s="671"/>
      <c r="Y216" s="671"/>
      <c r="Z216" s="671">
        <v>1</v>
      </c>
      <c r="AA216" s="623"/>
      <c r="AB216" s="623"/>
      <c r="AC216" s="623"/>
      <c r="AD216" s="623"/>
      <c r="AE216" s="623"/>
      <c r="AF216" s="623"/>
      <c r="AG216" s="623"/>
      <c r="AH216" s="623"/>
      <c r="AI216" s="623"/>
      <c r="AJ216" s="623"/>
      <c r="AK216" s="623"/>
      <c r="AL216" s="623"/>
      <c r="AM216" s="623"/>
      <c r="AN216" s="623"/>
      <c r="AO216" s="623"/>
      <c r="AP216" s="623"/>
      <c r="AQ216" s="623"/>
      <c r="AR216" s="623"/>
      <c r="AS216" s="623"/>
      <c r="AT216" s="623"/>
      <c r="AU216" s="623"/>
      <c r="AV216" s="623"/>
      <c r="AW216" s="623">
        <v>1</v>
      </c>
      <c r="AX216" s="623"/>
      <c r="AY216" s="623"/>
      <c r="AZ216" s="623"/>
      <c r="BA216" s="623"/>
      <c r="BB216" s="623"/>
      <c r="BC216" s="623"/>
      <c r="BD216" s="623"/>
      <c r="BE216" s="623"/>
      <c r="BF216" s="672">
        <f t="shared" si="100"/>
        <v>1</v>
      </c>
      <c r="BG216" s="672">
        <f t="shared" si="101"/>
        <v>0</v>
      </c>
      <c r="BH216" s="623"/>
      <c r="BI216" s="623"/>
      <c r="BJ216" s="623"/>
      <c r="BK216" s="623"/>
      <c r="BL216" s="623"/>
      <c r="BM216" s="623"/>
      <c r="BN216" s="623"/>
      <c r="BO216" s="623"/>
      <c r="BP216" s="623"/>
      <c r="BQ216" s="623"/>
      <c r="BR216" s="623">
        <v>1</v>
      </c>
      <c r="BS216" s="623"/>
      <c r="BT216" s="623"/>
      <c r="BU216" s="623"/>
      <c r="BV216" s="623"/>
      <c r="BW216" s="623"/>
      <c r="BX216" s="623"/>
      <c r="BY216" s="623"/>
      <c r="BZ216" s="623"/>
      <c r="CA216" s="623">
        <v>1</v>
      </c>
      <c r="CB216" s="623"/>
      <c r="CC216" s="623"/>
      <c r="CD216" s="623"/>
      <c r="CE216" s="623"/>
      <c r="CF216" s="623"/>
      <c r="CG216" s="623"/>
      <c r="CH216" s="623"/>
      <c r="CI216" s="623"/>
      <c r="CJ216" s="623"/>
      <c r="CK216" s="623"/>
      <c r="CL216" s="623"/>
      <c r="CM216" s="623">
        <v>1</v>
      </c>
      <c r="CN216" s="623">
        <f t="shared" si="102"/>
        <v>3.6</v>
      </c>
      <c r="CO216" s="623"/>
      <c r="CP216" s="623"/>
      <c r="CQ216" s="623"/>
      <c r="CR216" s="623"/>
      <c r="CS216" s="623"/>
      <c r="CT216" s="623"/>
      <c r="CU216" s="623"/>
      <c r="CV216" s="623"/>
      <c r="CW216" s="623"/>
      <c r="CX216" s="673"/>
      <c r="CY216" s="557"/>
    </row>
    <row r="217" spans="1:234" ht="13.8" hidden="1">
      <c r="A217" s="591" t="s">
        <v>254</v>
      </c>
      <c r="B217" s="670"/>
      <c r="C217" s="550">
        <v>40</v>
      </c>
      <c r="D217" s="550">
        <f t="shared" si="103"/>
        <v>191</v>
      </c>
      <c r="E217" s="550"/>
      <c r="F217" s="550"/>
      <c r="G217" s="550"/>
      <c r="H217" s="550"/>
      <c r="I217" s="550"/>
      <c r="J217" s="550"/>
      <c r="K217" s="550"/>
      <c r="L217" s="550"/>
      <c r="M217" s="550"/>
      <c r="N217" s="550">
        <f t="shared" si="104"/>
        <v>191</v>
      </c>
      <c r="O217" s="439"/>
      <c r="P217" s="439"/>
      <c r="Q217" s="674" t="s">
        <v>501</v>
      </c>
      <c r="R217" s="671"/>
      <c r="S217" s="671">
        <v>1</v>
      </c>
      <c r="T217" s="671"/>
      <c r="U217" s="671"/>
      <c r="V217" s="671"/>
      <c r="W217" s="671"/>
      <c r="X217" s="671"/>
      <c r="Y217" s="671"/>
      <c r="Z217" s="671">
        <v>1</v>
      </c>
      <c r="AA217" s="623"/>
      <c r="AB217" s="623"/>
      <c r="AC217" s="623"/>
      <c r="AD217" s="623"/>
      <c r="AE217" s="623"/>
      <c r="AF217" s="623"/>
      <c r="AG217" s="623"/>
      <c r="AH217" s="623"/>
      <c r="AI217" s="623"/>
      <c r="AJ217" s="623"/>
      <c r="AK217" s="623"/>
      <c r="AL217" s="623"/>
      <c r="AM217" s="623"/>
      <c r="AN217" s="623"/>
      <c r="AO217" s="623"/>
      <c r="AP217" s="623"/>
      <c r="AQ217" s="623"/>
      <c r="AR217" s="623"/>
      <c r="AS217" s="623"/>
      <c r="AT217" s="623"/>
      <c r="AU217" s="623"/>
      <c r="AV217" s="623"/>
      <c r="AW217" s="623"/>
      <c r="AX217" s="623"/>
      <c r="AY217" s="623"/>
      <c r="AZ217" s="623"/>
      <c r="BA217" s="623"/>
      <c r="BB217" s="623"/>
      <c r="BC217" s="623"/>
      <c r="BD217" s="623"/>
      <c r="BE217" s="623"/>
      <c r="BF217" s="672">
        <f t="shared" si="100"/>
        <v>0</v>
      </c>
      <c r="BG217" s="672">
        <f t="shared" si="101"/>
        <v>0</v>
      </c>
      <c r="BH217" s="623"/>
      <c r="BI217" s="623"/>
      <c r="BJ217" s="623"/>
      <c r="BK217" s="623"/>
      <c r="BL217" s="623"/>
      <c r="BM217" s="623"/>
      <c r="BN217" s="623"/>
      <c r="BO217" s="623"/>
      <c r="BP217" s="623"/>
      <c r="BQ217" s="623"/>
      <c r="BR217" s="623"/>
      <c r="BS217" s="623"/>
      <c r="BT217" s="623"/>
      <c r="BU217" s="623"/>
      <c r="BV217" s="623"/>
      <c r="BW217" s="623"/>
      <c r="BX217" s="623"/>
      <c r="BY217" s="623"/>
      <c r="BZ217" s="623"/>
      <c r="CA217" s="623">
        <v>1</v>
      </c>
      <c r="CB217" s="623"/>
      <c r="CC217" s="623"/>
      <c r="CD217" s="623"/>
      <c r="CE217" s="623"/>
      <c r="CF217" s="623"/>
      <c r="CG217" s="623"/>
      <c r="CH217" s="623"/>
      <c r="CI217" s="623"/>
      <c r="CJ217" s="623"/>
      <c r="CK217" s="623"/>
      <c r="CL217" s="623"/>
      <c r="CM217" s="623">
        <v>1</v>
      </c>
      <c r="CN217" s="623">
        <f t="shared" si="102"/>
        <v>3.6</v>
      </c>
      <c r="CO217" s="623"/>
      <c r="CP217" s="623"/>
      <c r="CQ217" s="623"/>
      <c r="CR217" s="623"/>
      <c r="CS217" s="623"/>
      <c r="CT217" s="623"/>
      <c r="CU217" s="623"/>
      <c r="CV217" s="623"/>
      <c r="CW217" s="623"/>
      <c r="CX217" s="673"/>
      <c r="CY217" s="557"/>
    </row>
    <row r="218" spans="1:234" ht="13.8" hidden="1">
      <c r="A218" s="591" t="s">
        <v>255</v>
      </c>
      <c r="B218" s="670"/>
      <c r="C218" s="550">
        <v>40</v>
      </c>
      <c r="D218" s="550">
        <f t="shared" si="103"/>
        <v>231</v>
      </c>
      <c r="E218" s="550"/>
      <c r="F218" s="550"/>
      <c r="G218" s="550"/>
      <c r="H218" s="550"/>
      <c r="I218" s="550"/>
      <c r="J218" s="550"/>
      <c r="K218" s="550"/>
      <c r="L218" s="550"/>
      <c r="M218" s="550"/>
      <c r="N218" s="550">
        <f t="shared" si="104"/>
        <v>231</v>
      </c>
      <c r="O218" s="439"/>
      <c r="P218" s="439"/>
      <c r="Q218" s="674" t="s">
        <v>501</v>
      </c>
      <c r="R218" s="671"/>
      <c r="S218" s="671">
        <v>1</v>
      </c>
      <c r="T218" s="671"/>
      <c r="U218" s="671"/>
      <c r="V218" s="671"/>
      <c r="W218" s="671"/>
      <c r="X218" s="671"/>
      <c r="Y218" s="671"/>
      <c r="Z218" s="671">
        <v>1</v>
      </c>
      <c r="AA218" s="623"/>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72">
        <f t="shared" si="100"/>
        <v>0</v>
      </c>
      <c r="BG218" s="672">
        <f t="shared" si="101"/>
        <v>0</v>
      </c>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v>1</v>
      </c>
      <c r="CB218" s="623"/>
      <c r="CC218" s="623"/>
      <c r="CD218" s="623"/>
      <c r="CE218" s="623"/>
      <c r="CF218" s="623"/>
      <c r="CG218" s="623"/>
      <c r="CH218" s="623"/>
      <c r="CI218" s="623"/>
      <c r="CJ218" s="623"/>
      <c r="CK218" s="623"/>
      <c r="CL218" s="623"/>
      <c r="CM218" s="623">
        <v>1</v>
      </c>
      <c r="CN218" s="623">
        <f t="shared" si="102"/>
        <v>3.6</v>
      </c>
      <c r="CO218" s="623"/>
      <c r="CP218" s="623"/>
      <c r="CQ218" s="623"/>
      <c r="CR218" s="623"/>
      <c r="CS218" s="623"/>
      <c r="CT218" s="623"/>
      <c r="CU218" s="623"/>
      <c r="CV218" s="623"/>
      <c r="CW218" s="623"/>
      <c r="CX218" s="673"/>
      <c r="CY218" s="557"/>
    </row>
    <row r="219" spans="1:234" ht="13.8" hidden="1">
      <c r="A219" s="591" t="s">
        <v>256</v>
      </c>
      <c r="B219" s="670"/>
      <c r="C219" s="550">
        <v>40</v>
      </c>
      <c r="D219" s="550">
        <f t="shared" si="103"/>
        <v>271</v>
      </c>
      <c r="E219" s="550"/>
      <c r="F219" s="550"/>
      <c r="G219" s="550"/>
      <c r="H219" s="550"/>
      <c r="I219" s="550"/>
      <c r="J219" s="550"/>
      <c r="K219" s="550"/>
      <c r="L219" s="550"/>
      <c r="M219" s="550"/>
      <c r="N219" s="550">
        <f t="shared" si="104"/>
        <v>271</v>
      </c>
      <c r="O219" s="439"/>
      <c r="P219" s="439"/>
      <c r="Q219" s="674" t="s">
        <v>501</v>
      </c>
      <c r="R219" s="671"/>
      <c r="S219" s="671">
        <v>1</v>
      </c>
      <c r="T219" s="671"/>
      <c r="U219" s="671"/>
      <c r="V219" s="671"/>
      <c r="W219" s="671"/>
      <c r="X219" s="671"/>
      <c r="Y219" s="671"/>
      <c r="Z219" s="671">
        <v>1</v>
      </c>
      <c r="AA219" s="623"/>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72">
        <f t="shared" si="100"/>
        <v>0</v>
      </c>
      <c r="BG219" s="672">
        <f t="shared" si="101"/>
        <v>0</v>
      </c>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v>1</v>
      </c>
      <c r="CB219" s="623"/>
      <c r="CC219" s="623"/>
      <c r="CD219" s="623"/>
      <c r="CE219" s="623"/>
      <c r="CF219" s="623"/>
      <c r="CG219" s="623"/>
      <c r="CH219" s="623"/>
      <c r="CI219" s="623"/>
      <c r="CJ219" s="623"/>
      <c r="CK219" s="623"/>
      <c r="CL219" s="623"/>
      <c r="CM219" s="623">
        <v>1</v>
      </c>
      <c r="CN219" s="623">
        <f t="shared" si="102"/>
        <v>3.6</v>
      </c>
      <c r="CO219" s="623"/>
      <c r="CP219" s="623"/>
      <c r="CQ219" s="623"/>
      <c r="CR219" s="623"/>
      <c r="CS219" s="623"/>
      <c r="CT219" s="623"/>
      <c r="CU219" s="623"/>
      <c r="CV219" s="623"/>
      <c r="CW219" s="623"/>
      <c r="CX219" s="673"/>
      <c r="CY219" s="557"/>
    </row>
    <row r="220" spans="1:234" ht="13.8" hidden="1">
      <c r="A220" s="591" t="s">
        <v>257</v>
      </c>
      <c r="B220" s="670"/>
      <c r="C220" s="550">
        <v>35</v>
      </c>
      <c r="D220" s="550">
        <f t="shared" si="103"/>
        <v>306</v>
      </c>
      <c r="E220" s="550"/>
      <c r="F220" s="550"/>
      <c r="G220" s="550"/>
      <c r="H220" s="550"/>
      <c r="I220" s="550"/>
      <c r="J220" s="550"/>
      <c r="K220" s="550"/>
      <c r="L220" s="550"/>
      <c r="M220" s="550"/>
      <c r="N220" s="550">
        <f t="shared" si="104"/>
        <v>306</v>
      </c>
      <c r="O220" s="439"/>
      <c r="P220" s="439"/>
      <c r="Q220" s="674" t="s">
        <v>501</v>
      </c>
      <c r="R220" s="671"/>
      <c r="S220" s="671">
        <v>1</v>
      </c>
      <c r="T220" s="671"/>
      <c r="U220" s="671"/>
      <c r="V220" s="671"/>
      <c r="W220" s="671"/>
      <c r="X220" s="671"/>
      <c r="Y220" s="671"/>
      <c r="Z220" s="671">
        <v>1</v>
      </c>
      <c r="AA220" s="623"/>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72">
        <f t="shared" si="100"/>
        <v>0</v>
      </c>
      <c r="BG220" s="672">
        <f t="shared" si="101"/>
        <v>0</v>
      </c>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v>1</v>
      </c>
      <c r="CB220" s="623"/>
      <c r="CC220" s="623"/>
      <c r="CD220" s="623"/>
      <c r="CE220" s="623"/>
      <c r="CF220" s="623"/>
      <c r="CG220" s="623"/>
      <c r="CH220" s="623"/>
      <c r="CI220" s="623"/>
      <c r="CJ220" s="623"/>
      <c r="CK220" s="623"/>
      <c r="CL220" s="623"/>
      <c r="CM220" s="623">
        <v>1</v>
      </c>
      <c r="CN220" s="623">
        <f t="shared" si="102"/>
        <v>3.6</v>
      </c>
      <c r="CO220" s="623"/>
      <c r="CP220" s="623"/>
      <c r="CQ220" s="623"/>
      <c r="CR220" s="623"/>
      <c r="CS220" s="623"/>
      <c r="CT220" s="623"/>
      <c r="CU220" s="623"/>
      <c r="CV220" s="623"/>
      <c r="CW220" s="623"/>
      <c r="CX220" s="673"/>
      <c r="CY220" s="557"/>
    </row>
    <row r="221" spans="1:234" ht="13.8" hidden="1">
      <c r="A221" s="706" t="s">
        <v>258</v>
      </c>
      <c r="B221" s="707"/>
      <c r="C221" s="558">
        <v>40</v>
      </c>
      <c r="D221" s="550">
        <f t="shared" si="103"/>
        <v>346</v>
      </c>
      <c r="E221" s="558"/>
      <c r="F221" s="558"/>
      <c r="G221" s="558"/>
      <c r="H221" s="558"/>
      <c r="I221" s="558"/>
      <c r="J221" s="558"/>
      <c r="K221" s="558"/>
      <c r="L221" s="558"/>
      <c r="M221" s="558"/>
      <c r="N221" s="550">
        <f t="shared" si="104"/>
        <v>346</v>
      </c>
      <c r="O221" s="708"/>
      <c r="P221" s="708"/>
      <c r="Q221" s="658" t="s">
        <v>1107</v>
      </c>
      <c r="R221" s="710"/>
      <c r="S221" s="710">
        <v>1</v>
      </c>
      <c r="T221" s="710"/>
      <c r="U221" s="710"/>
      <c r="V221" s="710"/>
      <c r="W221" s="710"/>
      <c r="X221" s="710"/>
      <c r="Y221" s="710"/>
      <c r="Z221" s="710">
        <v>1</v>
      </c>
      <c r="AA221" s="709"/>
      <c r="AB221" s="709"/>
      <c r="AC221" s="709"/>
      <c r="AD221" s="709"/>
      <c r="AE221" s="709"/>
      <c r="AF221" s="709"/>
      <c r="AG221" s="709"/>
      <c r="AH221" s="709"/>
      <c r="AI221" s="709"/>
      <c r="AJ221" s="709"/>
      <c r="AK221" s="709"/>
      <c r="AL221" s="709"/>
      <c r="AM221" s="709"/>
      <c r="AN221" s="709"/>
      <c r="AO221" s="709"/>
      <c r="AP221" s="709"/>
      <c r="AQ221" s="709"/>
      <c r="AR221" s="709"/>
      <c r="AS221" s="709"/>
      <c r="AT221" s="709"/>
      <c r="AU221" s="709"/>
      <c r="AV221" s="709"/>
      <c r="AW221" s="709">
        <v>1</v>
      </c>
      <c r="AX221" s="709"/>
      <c r="AY221" s="709"/>
      <c r="AZ221" s="709"/>
      <c r="BA221" s="709"/>
      <c r="BB221" s="709"/>
      <c r="BC221" s="709"/>
      <c r="BD221" s="709"/>
      <c r="BE221" s="709"/>
      <c r="BF221" s="672">
        <f t="shared" si="100"/>
        <v>1</v>
      </c>
      <c r="BG221" s="672">
        <f t="shared" si="101"/>
        <v>0</v>
      </c>
      <c r="BH221" s="709"/>
      <c r="BI221" s="709"/>
      <c r="BJ221" s="709"/>
      <c r="BK221" s="709"/>
      <c r="BL221" s="709"/>
      <c r="BM221" s="709"/>
      <c r="BN221" s="709"/>
      <c r="BO221" s="709"/>
      <c r="BP221" s="709"/>
      <c r="BQ221" s="709"/>
      <c r="BR221" s="709">
        <v>1</v>
      </c>
      <c r="BS221" s="709"/>
      <c r="BT221" s="709"/>
      <c r="BU221" s="709"/>
      <c r="BV221" s="709"/>
      <c r="BW221" s="709"/>
      <c r="BX221" s="709"/>
      <c r="BY221" s="709"/>
      <c r="BZ221" s="709"/>
      <c r="CA221" s="709">
        <v>1</v>
      </c>
      <c r="CB221" s="709"/>
      <c r="CC221" s="709"/>
      <c r="CD221" s="709"/>
      <c r="CE221" s="709"/>
      <c r="CF221" s="709"/>
      <c r="CG221" s="709"/>
      <c r="CH221" s="709"/>
      <c r="CI221" s="709"/>
      <c r="CJ221" s="709"/>
      <c r="CK221" s="709"/>
      <c r="CL221" s="709"/>
      <c r="CM221" s="709">
        <v>1</v>
      </c>
      <c r="CN221" s="709">
        <f t="shared" si="102"/>
        <v>3.6</v>
      </c>
      <c r="CO221" s="709"/>
      <c r="CP221" s="709"/>
      <c r="CQ221" s="709"/>
      <c r="CR221" s="709"/>
      <c r="CS221" s="709"/>
      <c r="CT221" s="709"/>
      <c r="CU221" s="709"/>
      <c r="CV221" s="709"/>
      <c r="CW221" s="709"/>
      <c r="CX221" s="683"/>
      <c r="CY221" s="711"/>
    </row>
    <row r="222" spans="1:234" ht="13.8" hidden="1">
      <c r="A222" s="706" t="s">
        <v>922</v>
      </c>
      <c r="B222" s="707"/>
      <c r="C222" s="558"/>
      <c r="D222" s="550">
        <f t="shared" si="103"/>
        <v>346</v>
      </c>
      <c r="E222" s="558"/>
      <c r="F222" s="558"/>
      <c r="G222" s="558"/>
      <c r="H222" s="558"/>
      <c r="I222" s="558"/>
      <c r="J222" s="558"/>
      <c r="K222" s="558"/>
      <c r="L222" s="558"/>
      <c r="M222" s="558"/>
      <c r="N222" s="550">
        <f t="shared" si="104"/>
        <v>346</v>
      </c>
      <c r="O222" s="708"/>
      <c r="P222" s="708"/>
      <c r="Q222" s="658" t="s">
        <v>4030</v>
      </c>
      <c r="R222" s="710"/>
      <c r="S222" s="710"/>
      <c r="T222" s="710"/>
      <c r="U222" s="710"/>
      <c r="V222" s="710"/>
      <c r="W222" s="710"/>
      <c r="X222" s="710"/>
      <c r="Y222" s="710"/>
      <c r="Z222" s="710"/>
      <c r="AA222" s="709"/>
      <c r="AB222" s="709"/>
      <c r="AC222" s="709"/>
      <c r="AD222" s="709"/>
      <c r="AE222" s="709"/>
      <c r="AF222" s="709"/>
      <c r="AG222" s="709"/>
      <c r="AH222" s="709"/>
      <c r="AI222" s="709"/>
      <c r="AJ222" s="709"/>
      <c r="AK222" s="709"/>
      <c r="AL222" s="709"/>
      <c r="AM222" s="709"/>
      <c r="AN222" s="709"/>
      <c r="AO222" s="709"/>
      <c r="AP222" s="709"/>
      <c r="AQ222" s="709"/>
      <c r="AR222" s="709"/>
      <c r="AS222" s="709"/>
      <c r="AT222" s="709"/>
      <c r="AU222" s="709"/>
      <c r="AV222" s="709"/>
      <c r="AW222" s="709"/>
      <c r="AX222" s="709"/>
      <c r="AY222" s="709"/>
      <c r="AZ222" s="709"/>
      <c r="BA222" s="709"/>
      <c r="BB222" s="709"/>
      <c r="BC222" s="709"/>
      <c r="BD222" s="709"/>
      <c r="BE222" s="709"/>
      <c r="BF222" s="672">
        <f t="shared" si="100"/>
        <v>0</v>
      </c>
      <c r="BG222" s="672">
        <f t="shared" si="101"/>
        <v>0</v>
      </c>
      <c r="BH222" s="709"/>
      <c r="BI222" s="709"/>
      <c r="BJ222" s="709"/>
      <c r="BK222" s="709"/>
      <c r="BL222" s="709"/>
      <c r="BM222" s="709"/>
      <c r="BN222" s="709"/>
      <c r="BO222" s="709"/>
      <c r="BP222" s="709"/>
      <c r="BQ222" s="709"/>
      <c r="BR222" s="709"/>
      <c r="BS222" s="709"/>
      <c r="BT222" s="709"/>
      <c r="BU222" s="709"/>
      <c r="BV222" s="709"/>
      <c r="BW222" s="709"/>
      <c r="BX222" s="709"/>
      <c r="BY222" s="709"/>
      <c r="BZ222" s="709"/>
      <c r="CA222" s="709"/>
      <c r="CB222" s="709"/>
      <c r="CC222" s="709"/>
      <c r="CD222" s="709"/>
      <c r="CE222" s="709"/>
      <c r="CF222" s="709"/>
      <c r="CG222" s="709"/>
      <c r="CH222" s="709"/>
      <c r="CI222" s="709"/>
      <c r="CJ222" s="709"/>
      <c r="CK222" s="709"/>
      <c r="CL222" s="709"/>
      <c r="CM222" s="709"/>
      <c r="CN222" s="709">
        <f t="shared" si="102"/>
        <v>0</v>
      </c>
      <c r="CO222" s="709"/>
      <c r="CP222" s="709"/>
      <c r="CQ222" s="709"/>
      <c r="CR222" s="709"/>
      <c r="CS222" s="709"/>
      <c r="CT222" s="709"/>
      <c r="CU222" s="709"/>
      <c r="CV222" s="709"/>
      <c r="CW222" s="709"/>
      <c r="CX222" s="683"/>
      <c r="CY222" s="711"/>
    </row>
    <row r="223" spans="1:234" ht="13.8" hidden="1">
      <c r="A223" s="706" t="s">
        <v>1943</v>
      </c>
      <c r="B223" s="707"/>
      <c r="C223" s="558">
        <v>40</v>
      </c>
      <c r="D223" s="550">
        <f t="shared" si="103"/>
        <v>386</v>
      </c>
      <c r="E223" s="558"/>
      <c r="F223" s="558"/>
      <c r="G223" s="558"/>
      <c r="H223" s="558"/>
      <c r="I223" s="558"/>
      <c r="J223" s="558"/>
      <c r="K223" s="558"/>
      <c r="L223" s="558"/>
      <c r="M223" s="558"/>
      <c r="N223" s="550">
        <f t="shared" si="104"/>
        <v>386</v>
      </c>
      <c r="O223" s="708"/>
      <c r="P223" s="708"/>
      <c r="Q223" s="658" t="s">
        <v>501</v>
      </c>
      <c r="R223" s="710"/>
      <c r="S223" s="710">
        <v>1</v>
      </c>
      <c r="T223" s="710"/>
      <c r="U223" s="710"/>
      <c r="V223" s="710"/>
      <c r="W223" s="710"/>
      <c r="X223" s="710"/>
      <c r="Y223" s="710"/>
      <c r="Z223" s="710">
        <v>1</v>
      </c>
      <c r="AA223" s="709"/>
      <c r="AB223" s="709"/>
      <c r="AC223" s="709"/>
      <c r="AD223" s="709"/>
      <c r="AE223" s="709"/>
      <c r="AF223" s="709"/>
      <c r="AG223" s="709"/>
      <c r="AH223" s="709"/>
      <c r="AI223" s="709"/>
      <c r="AJ223" s="709"/>
      <c r="AK223" s="709"/>
      <c r="AL223" s="709"/>
      <c r="AM223" s="709"/>
      <c r="AN223" s="709"/>
      <c r="AO223" s="709"/>
      <c r="AP223" s="709"/>
      <c r="AQ223" s="709"/>
      <c r="AR223" s="709"/>
      <c r="AS223" s="709"/>
      <c r="AT223" s="709"/>
      <c r="AU223" s="709"/>
      <c r="AV223" s="709"/>
      <c r="AW223" s="709"/>
      <c r="AX223" s="709"/>
      <c r="AY223" s="709"/>
      <c r="AZ223" s="709"/>
      <c r="BA223" s="709"/>
      <c r="BB223" s="709"/>
      <c r="BC223" s="709"/>
      <c r="BD223" s="709"/>
      <c r="BE223" s="709"/>
      <c r="BF223" s="672">
        <f t="shared" si="100"/>
        <v>0</v>
      </c>
      <c r="BG223" s="672">
        <f t="shared" si="101"/>
        <v>0</v>
      </c>
      <c r="BH223" s="709"/>
      <c r="BI223" s="709"/>
      <c r="BJ223" s="709"/>
      <c r="BK223" s="709"/>
      <c r="BL223" s="709"/>
      <c r="BM223" s="709"/>
      <c r="BN223" s="709"/>
      <c r="BO223" s="709"/>
      <c r="BP223" s="709"/>
      <c r="BQ223" s="709"/>
      <c r="BR223" s="709"/>
      <c r="BS223" s="709"/>
      <c r="BT223" s="709"/>
      <c r="BU223" s="709"/>
      <c r="BV223" s="709"/>
      <c r="BW223" s="709"/>
      <c r="BX223" s="709"/>
      <c r="BY223" s="709"/>
      <c r="BZ223" s="709"/>
      <c r="CA223" s="709">
        <v>1</v>
      </c>
      <c r="CB223" s="709"/>
      <c r="CC223" s="709"/>
      <c r="CD223" s="709"/>
      <c r="CE223" s="709"/>
      <c r="CF223" s="709"/>
      <c r="CG223" s="709"/>
      <c r="CH223" s="709"/>
      <c r="CI223" s="709"/>
      <c r="CJ223" s="709"/>
      <c r="CK223" s="709"/>
      <c r="CL223" s="709"/>
      <c r="CM223" s="709">
        <v>1</v>
      </c>
      <c r="CN223" s="709">
        <f t="shared" si="102"/>
        <v>3.6</v>
      </c>
      <c r="CO223" s="709"/>
      <c r="CP223" s="709"/>
      <c r="CQ223" s="709"/>
      <c r="CR223" s="709"/>
      <c r="CS223" s="709"/>
      <c r="CT223" s="709"/>
      <c r="CU223" s="709"/>
      <c r="CV223" s="709"/>
      <c r="CW223" s="709"/>
      <c r="CX223" s="683"/>
      <c r="CY223" s="711"/>
    </row>
    <row r="224" spans="1:234" ht="13.8" hidden="1">
      <c r="A224" s="706" t="s">
        <v>1944</v>
      </c>
      <c r="B224" s="707"/>
      <c r="C224" s="558">
        <v>35</v>
      </c>
      <c r="D224" s="550">
        <f t="shared" si="103"/>
        <v>421</v>
      </c>
      <c r="E224" s="558"/>
      <c r="F224" s="558"/>
      <c r="G224" s="558"/>
      <c r="H224" s="558"/>
      <c r="I224" s="558"/>
      <c r="J224" s="558"/>
      <c r="K224" s="558"/>
      <c r="L224" s="558"/>
      <c r="M224" s="558"/>
      <c r="N224" s="550">
        <f t="shared" si="104"/>
        <v>421</v>
      </c>
      <c r="O224" s="708"/>
      <c r="P224" s="708"/>
      <c r="Q224" s="658" t="s">
        <v>501</v>
      </c>
      <c r="R224" s="710"/>
      <c r="S224" s="710">
        <v>1</v>
      </c>
      <c r="T224" s="710"/>
      <c r="U224" s="710"/>
      <c r="V224" s="710"/>
      <c r="W224" s="710"/>
      <c r="X224" s="710"/>
      <c r="Y224" s="710"/>
      <c r="Z224" s="710">
        <v>1</v>
      </c>
      <c r="AA224" s="709"/>
      <c r="AB224" s="709"/>
      <c r="AC224" s="709"/>
      <c r="AD224" s="709"/>
      <c r="AE224" s="709"/>
      <c r="AF224" s="709"/>
      <c r="AG224" s="709"/>
      <c r="AH224" s="709"/>
      <c r="AI224" s="709"/>
      <c r="AJ224" s="709"/>
      <c r="AK224" s="709"/>
      <c r="AL224" s="709"/>
      <c r="AM224" s="709"/>
      <c r="AN224" s="709"/>
      <c r="AO224" s="709"/>
      <c r="AP224" s="709"/>
      <c r="AQ224" s="709"/>
      <c r="AR224" s="709"/>
      <c r="AS224" s="709"/>
      <c r="AT224" s="709"/>
      <c r="AU224" s="709"/>
      <c r="AV224" s="709"/>
      <c r="AW224" s="709"/>
      <c r="AX224" s="709"/>
      <c r="AY224" s="709"/>
      <c r="AZ224" s="709"/>
      <c r="BA224" s="709"/>
      <c r="BB224" s="709"/>
      <c r="BC224" s="709"/>
      <c r="BD224" s="709"/>
      <c r="BE224" s="709"/>
      <c r="BF224" s="672">
        <f t="shared" si="100"/>
        <v>0</v>
      </c>
      <c r="BG224" s="672">
        <f t="shared" si="101"/>
        <v>0</v>
      </c>
      <c r="BH224" s="709"/>
      <c r="BI224" s="709"/>
      <c r="BJ224" s="709"/>
      <c r="BK224" s="709"/>
      <c r="BL224" s="709"/>
      <c r="BM224" s="709"/>
      <c r="BN224" s="709"/>
      <c r="BO224" s="709"/>
      <c r="BP224" s="709"/>
      <c r="BQ224" s="709"/>
      <c r="BR224" s="709"/>
      <c r="BS224" s="709"/>
      <c r="BT224" s="709"/>
      <c r="BU224" s="709"/>
      <c r="BV224" s="709"/>
      <c r="BW224" s="709"/>
      <c r="BX224" s="709"/>
      <c r="BY224" s="709"/>
      <c r="BZ224" s="709"/>
      <c r="CA224" s="709">
        <v>1</v>
      </c>
      <c r="CB224" s="709"/>
      <c r="CC224" s="709"/>
      <c r="CD224" s="709"/>
      <c r="CE224" s="709"/>
      <c r="CF224" s="709"/>
      <c r="CG224" s="709"/>
      <c r="CH224" s="709"/>
      <c r="CI224" s="709"/>
      <c r="CJ224" s="709"/>
      <c r="CK224" s="709"/>
      <c r="CL224" s="709"/>
      <c r="CM224" s="709">
        <v>1</v>
      </c>
      <c r="CN224" s="709">
        <f t="shared" si="102"/>
        <v>3.6</v>
      </c>
      <c r="CO224" s="709"/>
      <c r="CP224" s="709"/>
      <c r="CQ224" s="709"/>
      <c r="CR224" s="709"/>
      <c r="CS224" s="709"/>
      <c r="CT224" s="709"/>
      <c r="CU224" s="709"/>
      <c r="CV224" s="709"/>
      <c r="CW224" s="709"/>
      <c r="CX224" s="683"/>
      <c r="CY224" s="711"/>
    </row>
    <row r="225" spans="1:234" ht="13.8" hidden="1">
      <c r="A225" s="706" t="s">
        <v>1945</v>
      </c>
      <c r="B225" s="707"/>
      <c r="C225" s="558">
        <v>35</v>
      </c>
      <c r="D225" s="550">
        <f t="shared" si="103"/>
        <v>456</v>
      </c>
      <c r="E225" s="558"/>
      <c r="F225" s="558"/>
      <c r="G225" s="558"/>
      <c r="H225" s="558"/>
      <c r="I225" s="558"/>
      <c r="J225" s="558"/>
      <c r="K225" s="558"/>
      <c r="L225" s="558"/>
      <c r="M225" s="558"/>
      <c r="N225" s="550">
        <f t="shared" si="104"/>
        <v>456</v>
      </c>
      <c r="O225" s="708"/>
      <c r="P225" s="708"/>
      <c r="Q225" s="658" t="s">
        <v>501</v>
      </c>
      <c r="R225" s="710"/>
      <c r="S225" s="710">
        <v>1</v>
      </c>
      <c r="T225" s="710"/>
      <c r="U225" s="710"/>
      <c r="V225" s="710"/>
      <c r="W225" s="710"/>
      <c r="X225" s="710"/>
      <c r="Y225" s="710"/>
      <c r="Z225" s="710">
        <v>1</v>
      </c>
      <c r="AA225" s="709"/>
      <c r="AB225" s="709"/>
      <c r="AC225" s="709"/>
      <c r="AD225" s="709"/>
      <c r="AE225" s="709"/>
      <c r="AF225" s="709"/>
      <c r="AG225" s="709"/>
      <c r="AH225" s="709"/>
      <c r="AI225" s="709"/>
      <c r="AJ225" s="709"/>
      <c r="AK225" s="709"/>
      <c r="AL225" s="709"/>
      <c r="AM225" s="709"/>
      <c r="AN225" s="709"/>
      <c r="AO225" s="709"/>
      <c r="AP225" s="709"/>
      <c r="AQ225" s="709"/>
      <c r="AR225" s="709"/>
      <c r="AS225" s="709"/>
      <c r="AT225" s="709"/>
      <c r="AU225" s="709"/>
      <c r="AV225" s="709"/>
      <c r="AW225" s="709"/>
      <c r="AX225" s="709"/>
      <c r="AY225" s="709"/>
      <c r="AZ225" s="709"/>
      <c r="BA225" s="709"/>
      <c r="BB225" s="709"/>
      <c r="BC225" s="709"/>
      <c r="BD225" s="709"/>
      <c r="BE225" s="709"/>
      <c r="BF225" s="672">
        <f t="shared" si="100"/>
        <v>0</v>
      </c>
      <c r="BG225" s="672">
        <f t="shared" si="101"/>
        <v>0</v>
      </c>
      <c r="BH225" s="709"/>
      <c r="BI225" s="709"/>
      <c r="BJ225" s="709"/>
      <c r="BK225" s="709"/>
      <c r="BL225" s="709"/>
      <c r="BM225" s="709"/>
      <c r="BN225" s="709"/>
      <c r="BO225" s="709"/>
      <c r="BP225" s="709"/>
      <c r="BQ225" s="709"/>
      <c r="BR225" s="709"/>
      <c r="BS225" s="709"/>
      <c r="BT225" s="709"/>
      <c r="BU225" s="709"/>
      <c r="BV225" s="709"/>
      <c r="BW225" s="709"/>
      <c r="BX225" s="709"/>
      <c r="BY225" s="709"/>
      <c r="BZ225" s="709"/>
      <c r="CA225" s="709">
        <v>1</v>
      </c>
      <c r="CB225" s="709"/>
      <c r="CC225" s="709"/>
      <c r="CD225" s="709"/>
      <c r="CE225" s="709"/>
      <c r="CF225" s="709"/>
      <c r="CG225" s="709"/>
      <c r="CH225" s="709"/>
      <c r="CI225" s="709"/>
      <c r="CJ225" s="709"/>
      <c r="CK225" s="709"/>
      <c r="CL225" s="709"/>
      <c r="CM225" s="709">
        <v>1</v>
      </c>
      <c r="CN225" s="709">
        <f t="shared" si="102"/>
        <v>3.6</v>
      </c>
      <c r="CO225" s="709"/>
      <c r="CP225" s="709"/>
      <c r="CQ225" s="709"/>
      <c r="CR225" s="709"/>
      <c r="CS225" s="709"/>
      <c r="CT225" s="709"/>
      <c r="CU225" s="709"/>
      <c r="CV225" s="709"/>
      <c r="CW225" s="709"/>
      <c r="CX225" s="683"/>
      <c r="CY225" s="711"/>
    </row>
    <row r="226" spans="1:234" ht="13.8" hidden="1">
      <c r="A226" s="706" t="s">
        <v>1946</v>
      </c>
      <c r="B226" s="707"/>
      <c r="C226" s="558">
        <v>40</v>
      </c>
      <c r="D226" s="550">
        <f t="shared" si="103"/>
        <v>496</v>
      </c>
      <c r="E226" s="558"/>
      <c r="F226" s="558"/>
      <c r="G226" s="558"/>
      <c r="H226" s="558"/>
      <c r="I226" s="558"/>
      <c r="J226" s="558"/>
      <c r="K226" s="558"/>
      <c r="L226" s="558"/>
      <c r="M226" s="558"/>
      <c r="N226" s="550">
        <f t="shared" si="104"/>
        <v>496</v>
      </c>
      <c r="O226" s="708"/>
      <c r="P226" s="708"/>
      <c r="Q226" s="658" t="s">
        <v>501</v>
      </c>
      <c r="R226" s="710"/>
      <c r="S226" s="710">
        <v>1</v>
      </c>
      <c r="T226" s="710"/>
      <c r="U226" s="710"/>
      <c r="V226" s="710"/>
      <c r="W226" s="710"/>
      <c r="X226" s="710"/>
      <c r="Y226" s="710"/>
      <c r="Z226" s="710">
        <v>1</v>
      </c>
      <c r="AA226" s="709"/>
      <c r="AB226" s="709"/>
      <c r="AC226" s="709"/>
      <c r="AD226" s="709"/>
      <c r="AE226" s="709"/>
      <c r="AF226" s="709"/>
      <c r="AG226" s="709"/>
      <c r="AH226" s="709"/>
      <c r="AI226" s="709"/>
      <c r="AJ226" s="709"/>
      <c r="AK226" s="709"/>
      <c r="AL226" s="709"/>
      <c r="AM226" s="709"/>
      <c r="AN226" s="709"/>
      <c r="AO226" s="709"/>
      <c r="AP226" s="709"/>
      <c r="AQ226" s="709"/>
      <c r="AR226" s="709"/>
      <c r="AS226" s="709"/>
      <c r="AT226" s="709"/>
      <c r="AU226" s="709"/>
      <c r="AV226" s="709"/>
      <c r="AW226" s="709"/>
      <c r="AX226" s="709"/>
      <c r="AY226" s="709"/>
      <c r="AZ226" s="709"/>
      <c r="BA226" s="709"/>
      <c r="BB226" s="709"/>
      <c r="BC226" s="709"/>
      <c r="BD226" s="709"/>
      <c r="BE226" s="709"/>
      <c r="BF226" s="672">
        <f t="shared" si="100"/>
        <v>0</v>
      </c>
      <c r="BG226" s="672">
        <f t="shared" si="101"/>
        <v>0</v>
      </c>
      <c r="BH226" s="709"/>
      <c r="BI226" s="709"/>
      <c r="BJ226" s="709"/>
      <c r="BK226" s="709"/>
      <c r="BL226" s="709"/>
      <c r="BM226" s="709"/>
      <c r="BN226" s="709"/>
      <c r="BO226" s="709"/>
      <c r="BP226" s="709"/>
      <c r="BQ226" s="709"/>
      <c r="BR226" s="709"/>
      <c r="BS226" s="709"/>
      <c r="BT226" s="709"/>
      <c r="BU226" s="709"/>
      <c r="BV226" s="709"/>
      <c r="BW226" s="709"/>
      <c r="BX226" s="709"/>
      <c r="BY226" s="709"/>
      <c r="BZ226" s="709"/>
      <c r="CA226" s="709">
        <v>1</v>
      </c>
      <c r="CB226" s="709"/>
      <c r="CC226" s="709"/>
      <c r="CD226" s="709"/>
      <c r="CE226" s="709"/>
      <c r="CF226" s="709"/>
      <c r="CG226" s="709"/>
      <c r="CH226" s="709"/>
      <c r="CI226" s="709"/>
      <c r="CJ226" s="709"/>
      <c r="CK226" s="709"/>
      <c r="CL226" s="709"/>
      <c r="CM226" s="709">
        <v>1</v>
      </c>
      <c r="CN226" s="709">
        <f t="shared" si="102"/>
        <v>3.6</v>
      </c>
      <c r="CO226" s="709"/>
      <c r="CP226" s="709"/>
      <c r="CQ226" s="709"/>
      <c r="CR226" s="709"/>
      <c r="CS226" s="709"/>
      <c r="CT226" s="709"/>
      <c r="CU226" s="709"/>
      <c r="CV226" s="709"/>
      <c r="CW226" s="709"/>
      <c r="CX226" s="683"/>
      <c r="CY226" s="711"/>
    </row>
    <row r="227" spans="1:234" s="678" customFormat="1" ht="13.8" hidden="1">
      <c r="A227" s="712" t="s">
        <v>1947</v>
      </c>
      <c r="B227" s="613"/>
      <c r="C227" s="613">
        <v>40</v>
      </c>
      <c r="D227" s="550">
        <f t="shared" si="103"/>
        <v>536</v>
      </c>
      <c r="E227" s="613"/>
      <c r="F227" s="613"/>
      <c r="G227" s="613"/>
      <c r="H227" s="613"/>
      <c r="I227" s="613"/>
      <c r="J227" s="679"/>
      <c r="K227" s="613"/>
      <c r="L227" s="613"/>
      <c r="M227" s="613"/>
      <c r="N227" s="550">
        <f t="shared" si="104"/>
        <v>536</v>
      </c>
      <c r="O227" s="614"/>
      <c r="P227" s="614"/>
      <c r="Q227" s="680" t="s">
        <v>1107</v>
      </c>
      <c r="R227" s="681"/>
      <c r="S227" s="681">
        <v>1</v>
      </c>
      <c r="T227" s="681"/>
      <c r="U227" s="681"/>
      <c r="V227" s="681"/>
      <c r="W227" s="681"/>
      <c r="X227" s="681"/>
      <c r="Y227" s="681"/>
      <c r="Z227" s="681">
        <v>1</v>
      </c>
      <c r="AA227" s="682"/>
      <c r="AB227" s="682"/>
      <c r="AC227" s="682"/>
      <c r="AD227" s="682"/>
      <c r="AE227" s="682"/>
      <c r="AF227" s="682"/>
      <c r="AG227" s="682"/>
      <c r="AH227" s="682"/>
      <c r="AI227" s="682"/>
      <c r="AJ227" s="682"/>
      <c r="AK227" s="682"/>
      <c r="AL227" s="682"/>
      <c r="AM227" s="682"/>
      <c r="AN227" s="682"/>
      <c r="AO227" s="682"/>
      <c r="AP227" s="682"/>
      <c r="AQ227" s="682"/>
      <c r="AR227" s="682"/>
      <c r="AS227" s="682"/>
      <c r="AT227" s="682"/>
      <c r="AU227" s="682"/>
      <c r="AV227" s="682"/>
      <c r="AW227" s="682">
        <v>1</v>
      </c>
      <c r="AX227" s="682"/>
      <c r="AY227" s="682"/>
      <c r="AZ227" s="682"/>
      <c r="BA227" s="682"/>
      <c r="BB227" s="682"/>
      <c r="BC227" s="682"/>
      <c r="BD227" s="682"/>
      <c r="BE227" s="682"/>
      <c r="BF227" s="672">
        <f t="shared" si="100"/>
        <v>1</v>
      </c>
      <c r="BG227" s="672">
        <f t="shared" si="101"/>
        <v>0</v>
      </c>
      <c r="BH227" s="682"/>
      <c r="BI227" s="682"/>
      <c r="BJ227" s="682"/>
      <c r="BK227" s="682"/>
      <c r="BL227" s="682"/>
      <c r="BM227" s="682"/>
      <c r="BN227" s="682"/>
      <c r="BO227" s="682"/>
      <c r="BP227" s="682"/>
      <c r="BQ227" s="682"/>
      <c r="BR227" s="682">
        <v>1</v>
      </c>
      <c r="BS227" s="682"/>
      <c r="BT227" s="682"/>
      <c r="BU227" s="682"/>
      <c r="BV227" s="682"/>
      <c r="BW227" s="682"/>
      <c r="BX227" s="682"/>
      <c r="BY227" s="682"/>
      <c r="BZ227" s="682"/>
      <c r="CA227" s="682">
        <v>1</v>
      </c>
      <c r="CB227" s="682"/>
      <c r="CC227" s="682"/>
      <c r="CD227" s="682"/>
      <c r="CE227" s="682"/>
      <c r="CF227" s="682"/>
      <c r="CG227" s="682"/>
      <c r="CH227" s="682"/>
      <c r="CI227" s="682"/>
      <c r="CJ227" s="682"/>
      <c r="CK227" s="682"/>
      <c r="CL227" s="682"/>
      <c r="CM227" s="682">
        <v>1</v>
      </c>
      <c r="CN227" s="682">
        <f t="shared" si="102"/>
        <v>3.6</v>
      </c>
      <c r="CO227" s="682"/>
      <c r="CP227" s="682"/>
      <c r="CQ227" s="682"/>
      <c r="CR227" s="682"/>
      <c r="CS227" s="682"/>
      <c r="CT227" s="682"/>
      <c r="CU227" s="682"/>
      <c r="CV227" s="682"/>
      <c r="CW227" s="682"/>
      <c r="CX227" s="683"/>
      <c r="CY227" s="711"/>
      <c r="CZ227" s="677"/>
      <c r="DA227" s="530"/>
      <c r="DB227" s="530"/>
      <c r="DC227" s="530"/>
      <c r="DD227" s="530"/>
      <c r="DE227" s="530"/>
      <c r="DF227" s="530"/>
      <c r="DG227" s="530"/>
      <c r="DH227" s="530"/>
      <c r="DI227" s="530"/>
      <c r="DJ227" s="530"/>
      <c r="DK227" s="530"/>
      <c r="DL227" s="530"/>
      <c r="DM227" s="530"/>
      <c r="DN227" s="530"/>
      <c r="DO227" s="530"/>
      <c r="DP227" s="530"/>
      <c r="DQ227" s="530"/>
      <c r="DR227" s="530"/>
      <c r="DS227" s="530"/>
      <c r="DT227" s="530"/>
      <c r="DU227" s="530"/>
      <c r="DV227" s="530"/>
      <c r="DW227" s="530"/>
      <c r="DX227" s="530"/>
      <c r="DY227" s="530"/>
      <c r="DZ227" s="530"/>
      <c r="EA227" s="530"/>
      <c r="EB227" s="530"/>
      <c r="EC227" s="530"/>
      <c r="ED227" s="530"/>
      <c r="EE227" s="530"/>
      <c r="EF227" s="530"/>
      <c r="EG227" s="530"/>
      <c r="EH227" s="530"/>
      <c r="EI227" s="530"/>
      <c r="EJ227" s="530"/>
      <c r="EK227" s="530"/>
      <c r="EL227" s="530"/>
      <c r="EM227" s="530"/>
      <c r="EN227" s="530"/>
      <c r="EO227" s="530"/>
      <c r="EP227" s="530"/>
      <c r="EQ227" s="530"/>
      <c r="ER227" s="530"/>
      <c r="ES227" s="530"/>
      <c r="ET227" s="530"/>
      <c r="EU227" s="530"/>
      <c r="EV227" s="530"/>
      <c r="EW227" s="530"/>
      <c r="EX227" s="530"/>
      <c r="EY227" s="530"/>
      <c r="EZ227" s="530"/>
      <c r="FA227" s="530"/>
      <c r="FB227" s="530"/>
      <c r="FC227" s="530"/>
      <c r="FD227" s="530"/>
      <c r="FE227" s="530"/>
      <c r="FF227" s="530"/>
      <c r="FG227" s="530"/>
      <c r="FH227" s="530"/>
      <c r="FI227" s="530"/>
      <c r="FJ227" s="530"/>
      <c r="FK227" s="530"/>
      <c r="FL227" s="530"/>
      <c r="FM227" s="530"/>
      <c r="FN227" s="530"/>
      <c r="FO227" s="530"/>
      <c r="FP227" s="530"/>
      <c r="FQ227" s="530"/>
      <c r="FR227" s="530"/>
      <c r="FS227" s="530"/>
      <c r="FT227" s="530"/>
      <c r="FU227" s="530"/>
      <c r="FV227" s="530"/>
      <c r="FW227" s="530"/>
      <c r="FX227" s="530"/>
      <c r="FY227" s="530"/>
      <c r="FZ227" s="530"/>
      <c r="GA227" s="530"/>
      <c r="GB227" s="530"/>
      <c r="GC227" s="530"/>
      <c r="GD227" s="530"/>
      <c r="GE227" s="530"/>
      <c r="GF227" s="530"/>
      <c r="GG227" s="530"/>
      <c r="GH227" s="530"/>
      <c r="GI227" s="530"/>
      <c r="GJ227" s="530"/>
      <c r="GK227" s="530"/>
      <c r="GL227" s="530"/>
      <c r="GM227" s="530"/>
      <c r="GN227" s="530"/>
      <c r="GO227" s="530"/>
      <c r="GP227" s="530"/>
      <c r="GQ227" s="530"/>
      <c r="GR227" s="530"/>
      <c r="GS227" s="530"/>
      <c r="GT227" s="530"/>
      <c r="GU227" s="530"/>
      <c r="GV227" s="530"/>
      <c r="GW227" s="530"/>
      <c r="GX227" s="530"/>
      <c r="GY227" s="530"/>
      <c r="GZ227" s="530"/>
      <c r="HA227" s="530"/>
      <c r="HB227" s="530"/>
      <c r="HC227" s="530"/>
      <c r="HD227" s="530"/>
      <c r="HE227" s="530"/>
      <c r="HF227" s="530"/>
      <c r="HG227" s="530"/>
      <c r="HH227" s="530"/>
      <c r="HI227" s="530"/>
      <c r="HJ227" s="530"/>
      <c r="HK227" s="530"/>
      <c r="HL227" s="530"/>
      <c r="HM227" s="530"/>
      <c r="HN227" s="530"/>
      <c r="HO227" s="530"/>
      <c r="HP227" s="530"/>
      <c r="HQ227" s="530"/>
      <c r="HR227" s="530"/>
      <c r="HS227" s="530"/>
      <c r="HT227" s="530"/>
      <c r="HU227" s="530"/>
      <c r="HV227" s="530"/>
      <c r="HW227" s="530"/>
      <c r="HX227" s="530"/>
      <c r="HY227" s="530"/>
      <c r="HZ227" s="530"/>
    </row>
    <row r="228" spans="1:234" s="717" customFormat="1" ht="13.8" hidden="1">
      <c r="A228" s="659" t="s">
        <v>4043</v>
      </c>
      <c r="B228" s="713"/>
      <c r="C228" s="714">
        <f>SUM(C211:C227)</f>
        <v>536</v>
      </c>
      <c r="D228" s="714">
        <f t="shared" ref="D228:N228" si="105">D227</f>
        <v>536</v>
      </c>
      <c r="E228" s="714">
        <f t="shared" si="105"/>
        <v>0</v>
      </c>
      <c r="F228" s="714">
        <f t="shared" si="105"/>
        <v>0</v>
      </c>
      <c r="G228" s="714">
        <f t="shared" si="105"/>
        <v>0</v>
      </c>
      <c r="H228" s="714">
        <f t="shared" si="105"/>
        <v>0</v>
      </c>
      <c r="I228" s="714">
        <f t="shared" si="105"/>
        <v>0</v>
      </c>
      <c r="J228" s="714">
        <f t="shared" si="105"/>
        <v>0</v>
      </c>
      <c r="K228" s="714">
        <f t="shared" si="105"/>
        <v>0</v>
      </c>
      <c r="L228" s="714">
        <f t="shared" si="105"/>
        <v>0</v>
      </c>
      <c r="M228" s="714">
        <f t="shared" si="105"/>
        <v>0</v>
      </c>
      <c r="N228" s="714">
        <f t="shared" si="105"/>
        <v>536</v>
      </c>
      <c r="O228" s="714"/>
      <c r="P228" s="714">
        <f>SUM(O211:O227)</f>
        <v>0</v>
      </c>
      <c r="Q228" s="714">
        <f>SUM(P211:P227)</f>
        <v>0</v>
      </c>
      <c r="R228" s="714">
        <f>SUM(Q211:Q227)</f>
        <v>0</v>
      </c>
      <c r="S228" s="714">
        <f t="shared" ref="S228:AX228" si="106">SUM(S211:S227)</f>
        <v>15</v>
      </c>
      <c r="T228" s="714">
        <f t="shared" si="106"/>
        <v>0</v>
      </c>
      <c r="U228" s="714">
        <f t="shared" si="106"/>
        <v>0</v>
      </c>
      <c r="V228" s="714">
        <f t="shared" si="106"/>
        <v>0</v>
      </c>
      <c r="W228" s="714">
        <f t="shared" si="106"/>
        <v>0</v>
      </c>
      <c r="X228" s="714">
        <f t="shared" si="106"/>
        <v>0</v>
      </c>
      <c r="Y228" s="714">
        <f t="shared" si="106"/>
        <v>0</v>
      </c>
      <c r="Z228" s="714">
        <f t="shared" si="106"/>
        <v>15</v>
      </c>
      <c r="AA228" s="714">
        <f t="shared" si="106"/>
        <v>0</v>
      </c>
      <c r="AB228" s="714">
        <f t="shared" si="106"/>
        <v>0</v>
      </c>
      <c r="AC228" s="714">
        <f t="shared" si="106"/>
        <v>0</v>
      </c>
      <c r="AD228" s="714">
        <f t="shared" si="106"/>
        <v>0</v>
      </c>
      <c r="AE228" s="714">
        <f t="shared" si="106"/>
        <v>0</v>
      </c>
      <c r="AF228" s="714">
        <f t="shared" si="106"/>
        <v>0</v>
      </c>
      <c r="AG228" s="714">
        <f t="shared" si="106"/>
        <v>0</v>
      </c>
      <c r="AH228" s="714">
        <f t="shared" si="106"/>
        <v>0</v>
      </c>
      <c r="AI228" s="714">
        <f t="shared" si="106"/>
        <v>0</v>
      </c>
      <c r="AJ228" s="714">
        <f t="shared" si="106"/>
        <v>0</v>
      </c>
      <c r="AK228" s="714">
        <f t="shared" si="106"/>
        <v>0</v>
      </c>
      <c r="AL228" s="714">
        <f t="shared" si="106"/>
        <v>0</v>
      </c>
      <c r="AM228" s="714">
        <f t="shared" si="106"/>
        <v>0</v>
      </c>
      <c r="AN228" s="714">
        <f t="shared" si="106"/>
        <v>0</v>
      </c>
      <c r="AO228" s="714">
        <f t="shared" si="106"/>
        <v>0</v>
      </c>
      <c r="AP228" s="714">
        <f t="shared" si="106"/>
        <v>0</v>
      </c>
      <c r="AQ228" s="714">
        <f t="shared" si="106"/>
        <v>0</v>
      </c>
      <c r="AR228" s="714">
        <f t="shared" si="106"/>
        <v>0</v>
      </c>
      <c r="AS228" s="714">
        <f t="shared" si="106"/>
        <v>0</v>
      </c>
      <c r="AT228" s="714">
        <f t="shared" si="106"/>
        <v>0</v>
      </c>
      <c r="AU228" s="714">
        <f t="shared" si="106"/>
        <v>0</v>
      </c>
      <c r="AV228" s="714">
        <f t="shared" si="106"/>
        <v>0</v>
      </c>
      <c r="AW228" s="714">
        <f t="shared" si="106"/>
        <v>4</v>
      </c>
      <c r="AX228" s="714">
        <f t="shared" si="106"/>
        <v>1</v>
      </c>
      <c r="AY228" s="714">
        <f t="shared" ref="AY228:CB228" si="107">SUM(AY211:AY227)</f>
        <v>0</v>
      </c>
      <c r="AZ228" s="714">
        <f t="shared" si="107"/>
        <v>0</v>
      </c>
      <c r="BA228" s="714">
        <f t="shared" si="107"/>
        <v>0</v>
      </c>
      <c r="BB228" s="714">
        <f t="shared" si="107"/>
        <v>0</v>
      </c>
      <c r="BC228" s="714">
        <f t="shared" si="107"/>
        <v>0</v>
      </c>
      <c r="BD228" s="714">
        <f t="shared" si="107"/>
        <v>0</v>
      </c>
      <c r="BE228" s="714">
        <f t="shared" si="107"/>
        <v>0</v>
      </c>
      <c r="BF228" s="714">
        <f t="shared" si="107"/>
        <v>4</v>
      </c>
      <c r="BG228" s="714">
        <f t="shared" si="107"/>
        <v>1</v>
      </c>
      <c r="BH228" s="714">
        <f t="shared" si="107"/>
        <v>0</v>
      </c>
      <c r="BI228" s="714">
        <f t="shared" si="107"/>
        <v>0</v>
      </c>
      <c r="BJ228" s="714">
        <f t="shared" si="107"/>
        <v>0</v>
      </c>
      <c r="BK228" s="714">
        <f t="shared" si="107"/>
        <v>0</v>
      </c>
      <c r="BL228" s="714">
        <f t="shared" si="107"/>
        <v>0</v>
      </c>
      <c r="BM228" s="714">
        <f t="shared" si="107"/>
        <v>0</v>
      </c>
      <c r="BN228" s="714">
        <f t="shared" si="107"/>
        <v>0</v>
      </c>
      <c r="BO228" s="714">
        <f t="shared" si="107"/>
        <v>0</v>
      </c>
      <c r="BP228" s="714">
        <f t="shared" si="107"/>
        <v>0</v>
      </c>
      <c r="BQ228" s="714">
        <f t="shared" si="107"/>
        <v>0</v>
      </c>
      <c r="BR228" s="714">
        <f t="shared" si="107"/>
        <v>4</v>
      </c>
      <c r="BS228" s="714">
        <f t="shared" si="107"/>
        <v>0</v>
      </c>
      <c r="BT228" s="714">
        <f t="shared" si="107"/>
        <v>0</v>
      </c>
      <c r="BU228" s="714">
        <f t="shared" si="107"/>
        <v>0</v>
      </c>
      <c r="BV228" s="714">
        <f t="shared" si="107"/>
        <v>0</v>
      </c>
      <c r="BW228" s="714">
        <f t="shared" si="107"/>
        <v>0</v>
      </c>
      <c r="BX228" s="714">
        <f t="shared" si="107"/>
        <v>0</v>
      </c>
      <c r="BY228" s="714">
        <f t="shared" si="107"/>
        <v>0</v>
      </c>
      <c r="BZ228" s="714">
        <f t="shared" si="107"/>
        <v>0</v>
      </c>
      <c r="CA228" s="714">
        <f t="shared" si="107"/>
        <v>15</v>
      </c>
      <c r="CB228" s="714">
        <f t="shared" si="107"/>
        <v>0</v>
      </c>
      <c r="CC228" s="714">
        <f t="shared" ref="CC228:CN228" si="108">SUM(CC211:CC227)</f>
        <v>0</v>
      </c>
      <c r="CD228" s="714">
        <f t="shared" si="108"/>
        <v>0</v>
      </c>
      <c r="CE228" s="714">
        <f t="shared" si="108"/>
        <v>0</v>
      </c>
      <c r="CF228" s="714">
        <f t="shared" si="108"/>
        <v>0</v>
      </c>
      <c r="CG228" s="714">
        <f t="shared" si="108"/>
        <v>0</v>
      </c>
      <c r="CH228" s="714">
        <f t="shared" si="108"/>
        <v>0</v>
      </c>
      <c r="CI228" s="714">
        <f t="shared" si="108"/>
        <v>0</v>
      </c>
      <c r="CJ228" s="714">
        <f t="shared" si="108"/>
        <v>0</v>
      </c>
      <c r="CK228" s="714">
        <f t="shared" si="108"/>
        <v>0</v>
      </c>
      <c r="CL228" s="714">
        <f t="shared" si="108"/>
        <v>0</v>
      </c>
      <c r="CM228" s="714">
        <f t="shared" si="108"/>
        <v>15</v>
      </c>
      <c r="CN228" s="714">
        <f t="shared" si="108"/>
        <v>54.000000000000014</v>
      </c>
      <c r="CO228" s="714">
        <f t="shared" ref="CO228:CW228" si="109">SUM(CO211:CO227)</f>
        <v>0</v>
      </c>
      <c r="CP228" s="714">
        <f t="shared" si="109"/>
        <v>0</v>
      </c>
      <c r="CQ228" s="714">
        <f t="shared" si="109"/>
        <v>0</v>
      </c>
      <c r="CR228" s="714">
        <f t="shared" si="109"/>
        <v>1</v>
      </c>
      <c r="CS228" s="714">
        <f t="shared" si="109"/>
        <v>0</v>
      </c>
      <c r="CT228" s="714">
        <f t="shared" si="109"/>
        <v>0</v>
      </c>
      <c r="CU228" s="714">
        <f t="shared" si="109"/>
        <v>0</v>
      </c>
      <c r="CV228" s="714">
        <f t="shared" si="109"/>
        <v>0</v>
      </c>
      <c r="CW228" s="714">
        <f t="shared" si="109"/>
        <v>0</v>
      </c>
      <c r="CX228" s="715">
        <v>26</v>
      </c>
      <c r="CY228" s="716"/>
    </row>
    <row r="229" spans="1:234" s="553" customFormat="1" ht="13.8" hidden="1">
      <c r="A229" s="660" t="s">
        <v>4044</v>
      </c>
      <c r="B229" s="696"/>
      <c r="C229" s="696">
        <f t="shared" ref="C229:AH229" si="110">C228+C209+C196+C189+C182+C169+C160+C150</f>
        <v>1877</v>
      </c>
      <c r="D229" s="696">
        <f t="shared" si="110"/>
        <v>1877</v>
      </c>
      <c r="E229" s="696">
        <f t="shared" si="110"/>
        <v>0</v>
      </c>
      <c r="F229" s="696">
        <f t="shared" si="110"/>
        <v>0</v>
      </c>
      <c r="G229" s="696">
        <f t="shared" si="110"/>
        <v>0</v>
      </c>
      <c r="H229" s="696">
        <f t="shared" si="110"/>
        <v>0</v>
      </c>
      <c r="I229" s="696">
        <f t="shared" si="110"/>
        <v>0</v>
      </c>
      <c r="J229" s="696">
        <f t="shared" si="110"/>
        <v>0</v>
      </c>
      <c r="K229" s="696">
        <f t="shared" si="110"/>
        <v>0</v>
      </c>
      <c r="L229" s="696">
        <f t="shared" si="110"/>
        <v>0</v>
      </c>
      <c r="M229" s="696">
        <f t="shared" si="110"/>
        <v>0</v>
      </c>
      <c r="N229" s="696">
        <f t="shared" si="110"/>
        <v>1877</v>
      </c>
      <c r="O229" s="696">
        <f t="shared" si="110"/>
        <v>0</v>
      </c>
      <c r="P229" s="696">
        <f t="shared" si="110"/>
        <v>0</v>
      </c>
      <c r="Q229" s="696">
        <f t="shared" si="110"/>
        <v>0</v>
      </c>
      <c r="R229" s="696">
        <f t="shared" si="110"/>
        <v>0</v>
      </c>
      <c r="S229" s="696">
        <f t="shared" si="110"/>
        <v>61</v>
      </c>
      <c r="T229" s="696">
        <f t="shared" si="110"/>
        <v>0</v>
      </c>
      <c r="U229" s="696">
        <f t="shared" si="110"/>
        <v>0</v>
      </c>
      <c r="V229" s="696">
        <f t="shared" si="110"/>
        <v>0</v>
      </c>
      <c r="W229" s="696">
        <f t="shared" si="110"/>
        <v>0</v>
      </c>
      <c r="X229" s="696">
        <f t="shared" si="110"/>
        <v>0</v>
      </c>
      <c r="Y229" s="696">
        <f t="shared" si="110"/>
        <v>0</v>
      </c>
      <c r="Z229" s="696">
        <f t="shared" si="110"/>
        <v>59</v>
      </c>
      <c r="AA229" s="696">
        <f t="shared" si="110"/>
        <v>0</v>
      </c>
      <c r="AB229" s="696">
        <f t="shared" si="110"/>
        <v>0</v>
      </c>
      <c r="AC229" s="696">
        <f t="shared" si="110"/>
        <v>1</v>
      </c>
      <c r="AD229" s="696">
        <f t="shared" si="110"/>
        <v>0</v>
      </c>
      <c r="AE229" s="696">
        <f t="shared" si="110"/>
        <v>0</v>
      </c>
      <c r="AF229" s="696">
        <f t="shared" si="110"/>
        <v>0</v>
      </c>
      <c r="AG229" s="696">
        <f t="shared" si="110"/>
        <v>0</v>
      </c>
      <c r="AH229" s="696">
        <f t="shared" si="110"/>
        <v>0</v>
      </c>
      <c r="AI229" s="696">
        <f t="shared" ref="AI229:BN229" si="111">AI228+AI209+AI196+AI189+AI182+AI169+AI160+AI150</f>
        <v>0</v>
      </c>
      <c r="AJ229" s="696">
        <f t="shared" si="111"/>
        <v>0</v>
      </c>
      <c r="AK229" s="696">
        <f t="shared" si="111"/>
        <v>0</v>
      </c>
      <c r="AL229" s="696">
        <f t="shared" si="111"/>
        <v>0</v>
      </c>
      <c r="AM229" s="696">
        <f t="shared" si="111"/>
        <v>0</v>
      </c>
      <c r="AN229" s="696">
        <f t="shared" si="111"/>
        <v>0</v>
      </c>
      <c r="AO229" s="696">
        <f t="shared" si="111"/>
        <v>0</v>
      </c>
      <c r="AP229" s="696">
        <f t="shared" si="111"/>
        <v>0</v>
      </c>
      <c r="AQ229" s="696">
        <f t="shared" si="111"/>
        <v>0</v>
      </c>
      <c r="AR229" s="696">
        <f t="shared" si="111"/>
        <v>0</v>
      </c>
      <c r="AS229" s="696">
        <f t="shared" si="111"/>
        <v>0</v>
      </c>
      <c r="AT229" s="696">
        <f t="shared" si="111"/>
        <v>0</v>
      </c>
      <c r="AU229" s="696">
        <f t="shared" si="111"/>
        <v>0</v>
      </c>
      <c r="AV229" s="696">
        <f t="shared" si="111"/>
        <v>0</v>
      </c>
      <c r="AW229" s="696">
        <f t="shared" si="111"/>
        <v>32</v>
      </c>
      <c r="AX229" s="696">
        <f t="shared" si="111"/>
        <v>13</v>
      </c>
      <c r="AY229" s="696">
        <f t="shared" si="111"/>
        <v>0</v>
      </c>
      <c r="AZ229" s="696">
        <f t="shared" si="111"/>
        <v>0</v>
      </c>
      <c r="BA229" s="696">
        <f t="shared" si="111"/>
        <v>0</v>
      </c>
      <c r="BB229" s="696">
        <f t="shared" si="111"/>
        <v>0</v>
      </c>
      <c r="BC229" s="696">
        <f t="shared" si="111"/>
        <v>0</v>
      </c>
      <c r="BD229" s="696">
        <f t="shared" si="111"/>
        <v>0</v>
      </c>
      <c r="BE229" s="696">
        <f t="shared" si="111"/>
        <v>0</v>
      </c>
      <c r="BF229" s="696">
        <f t="shared" si="111"/>
        <v>32</v>
      </c>
      <c r="BG229" s="696">
        <f t="shared" si="111"/>
        <v>13</v>
      </c>
      <c r="BH229" s="696">
        <f t="shared" si="111"/>
        <v>0</v>
      </c>
      <c r="BI229" s="696">
        <f t="shared" si="111"/>
        <v>0</v>
      </c>
      <c r="BJ229" s="696">
        <f t="shared" si="111"/>
        <v>0</v>
      </c>
      <c r="BK229" s="696">
        <f t="shared" si="111"/>
        <v>0</v>
      </c>
      <c r="BL229" s="696">
        <f t="shared" si="111"/>
        <v>0</v>
      </c>
      <c r="BM229" s="696">
        <f t="shared" si="111"/>
        <v>0</v>
      </c>
      <c r="BN229" s="696">
        <f t="shared" si="111"/>
        <v>0</v>
      </c>
      <c r="BO229" s="696">
        <f t="shared" ref="BO229:CK229" si="112">BO228+BO209+BO196+BO189+BO182+BO169+BO160+BO150</f>
        <v>0</v>
      </c>
      <c r="BP229" s="696">
        <f t="shared" si="112"/>
        <v>0</v>
      </c>
      <c r="BQ229" s="696">
        <f t="shared" si="112"/>
        <v>0</v>
      </c>
      <c r="BR229" s="696">
        <f t="shared" si="112"/>
        <v>23</v>
      </c>
      <c r="BS229" s="696">
        <f t="shared" si="112"/>
        <v>0</v>
      </c>
      <c r="BT229" s="696">
        <f t="shared" si="112"/>
        <v>0</v>
      </c>
      <c r="BU229" s="696">
        <f t="shared" si="112"/>
        <v>0</v>
      </c>
      <c r="BV229" s="696">
        <f t="shared" si="112"/>
        <v>0</v>
      </c>
      <c r="BW229" s="696">
        <f t="shared" si="112"/>
        <v>0</v>
      </c>
      <c r="BX229" s="696">
        <f t="shared" si="112"/>
        <v>0</v>
      </c>
      <c r="BY229" s="696">
        <f t="shared" si="112"/>
        <v>0</v>
      </c>
      <c r="BZ229" s="696">
        <f t="shared" si="112"/>
        <v>0</v>
      </c>
      <c r="CA229" s="696">
        <f t="shared" si="112"/>
        <v>59</v>
      </c>
      <c r="CB229" s="696">
        <f t="shared" si="112"/>
        <v>0</v>
      </c>
      <c r="CC229" s="696">
        <f t="shared" si="112"/>
        <v>0</v>
      </c>
      <c r="CD229" s="696">
        <f t="shared" si="112"/>
        <v>0</v>
      </c>
      <c r="CE229" s="696">
        <f t="shared" si="112"/>
        <v>0</v>
      </c>
      <c r="CF229" s="696">
        <f t="shared" si="112"/>
        <v>0</v>
      </c>
      <c r="CG229" s="696">
        <f t="shared" si="112"/>
        <v>0</v>
      </c>
      <c r="CH229" s="696">
        <f t="shared" si="112"/>
        <v>0</v>
      </c>
      <c r="CI229" s="696">
        <f t="shared" si="112"/>
        <v>0</v>
      </c>
      <c r="CJ229" s="696">
        <f t="shared" si="112"/>
        <v>0</v>
      </c>
      <c r="CK229" s="696">
        <f t="shared" si="112"/>
        <v>0</v>
      </c>
      <c r="CL229" s="696">
        <f t="shared" ref="CL229:CX229" si="113">CL228+CL209+CL196+CL189+CL182+CL169+CL160+CL150</f>
        <v>0</v>
      </c>
      <c r="CM229" s="696">
        <f t="shared" si="113"/>
        <v>59</v>
      </c>
      <c r="CN229" s="696">
        <f t="shared" si="113"/>
        <v>212.40000000000003</v>
      </c>
      <c r="CO229" s="696">
        <f t="shared" si="113"/>
        <v>0</v>
      </c>
      <c r="CP229" s="696">
        <f t="shared" si="113"/>
        <v>0</v>
      </c>
      <c r="CQ229" s="696">
        <f t="shared" si="113"/>
        <v>0</v>
      </c>
      <c r="CR229" s="696">
        <f t="shared" si="113"/>
        <v>16</v>
      </c>
      <c r="CS229" s="696">
        <f t="shared" si="113"/>
        <v>0</v>
      </c>
      <c r="CT229" s="696">
        <f t="shared" si="113"/>
        <v>0</v>
      </c>
      <c r="CU229" s="696">
        <f t="shared" si="113"/>
        <v>0</v>
      </c>
      <c r="CV229" s="696">
        <f t="shared" si="113"/>
        <v>0</v>
      </c>
      <c r="CW229" s="696">
        <f t="shared" si="113"/>
        <v>0</v>
      </c>
      <c r="CX229" s="696">
        <f t="shared" si="113"/>
        <v>138</v>
      </c>
      <c r="CY229" s="698"/>
      <c r="HU229" s="530"/>
      <c r="HV229" s="530"/>
      <c r="HW229" s="530"/>
      <c r="HX229" s="530"/>
      <c r="HY229" s="530"/>
      <c r="HZ229" s="530"/>
    </row>
    <row r="230" spans="1:234" s="545" customFormat="1" ht="18" hidden="1" customHeight="1">
      <c r="A230" s="583" t="s">
        <v>4045</v>
      </c>
      <c r="B230" s="544"/>
      <c r="C230" s="544"/>
      <c r="D230" s="544"/>
      <c r="E230" s="544"/>
      <c r="F230" s="544"/>
      <c r="G230" s="544"/>
      <c r="H230" s="544"/>
      <c r="I230" s="544"/>
      <c r="J230" s="544"/>
      <c r="K230" s="544"/>
      <c r="L230" s="544"/>
      <c r="M230" s="544"/>
      <c r="N230" s="544"/>
      <c r="O230" s="544"/>
      <c r="P230" s="544"/>
      <c r="Q230" s="544"/>
      <c r="R230" s="544"/>
      <c r="S230" s="544"/>
      <c r="T230" s="544"/>
      <c r="U230" s="544"/>
      <c r="V230" s="544"/>
      <c r="W230" s="544"/>
      <c r="X230" s="544"/>
      <c r="Y230" s="544"/>
      <c r="Z230" s="544"/>
      <c r="AA230" s="544"/>
      <c r="AB230" s="544"/>
      <c r="AC230" s="544"/>
      <c r="AD230" s="544"/>
      <c r="AE230" s="544"/>
      <c r="AF230" s="544"/>
      <c r="AG230" s="544"/>
      <c r="AH230" s="544"/>
      <c r="AI230" s="544"/>
      <c r="AJ230" s="544"/>
      <c r="AK230" s="544"/>
      <c r="AL230" s="544"/>
      <c r="AM230" s="544"/>
      <c r="AN230" s="544"/>
      <c r="AO230" s="544"/>
      <c r="AP230" s="544"/>
      <c r="AQ230" s="544"/>
      <c r="AR230" s="544"/>
      <c r="AS230" s="544"/>
      <c r="AT230" s="544"/>
      <c r="AU230" s="544"/>
      <c r="AV230" s="544"/>
      <c r="AW230" s="544"/>
      <c r="AX230" s="544"/>
      <c r="AY230" s="544"/>
      <c r="AZ230" s="544"/>
      <c r="BA230" s="544"/>
      <c r="BB230" s="544"/>
      <c r="BC230" s="544"/>
      <c r="BD230" s="544"/>
      <c r="BE230" s="544"/>
      <c r="BF230" s="544"/>
      <c r="BG230" s="544"/>
      <c r="BH230" s="544"/>
      <c r="BI230" s="544"/>
      <c r="BJ230" s="544"/>
      <c r="BK230" s="544"/>
      <c r="BL230" s="544"/>
      <c r="BM230" s="544"/>
      <c r="BN230" s="544"/>
      <c r="BO230" s="544"/>
      <c r="BP230" s="544"/>
      <c r="BQ230" s="544"/>
      <c r="BR230" s="544"/>
      <c r="BS230" s="544"/>
      <c r="BT230" s="544"/>
      <c r="BU230" s="544"/>
      <c r="BV230" s="544"/>
      <c r="BW230" s="544"/>
      <c r="BX230" s="544"/>
      <c r="BY230" s="544"/>
      <c r="BZ230" s="544"/>
      <c r="CA230" s="544"/>
      <c r="CB230" s="544"/>
      <c r="CC230" s="544"/>
      <c r="CD230" s="544"/>
      <c r="CE230" s="544"/>
      <c r="CF230" s="544"/>
      <c r="CG230" s="544"/>
      <c r="CH230" s="544"/>
      <c r="CI230" s="544"/>
      <c r="CJ230" s="544"/>
      <c r="CK230" s="544"/>
      <c r="CL230" s="544"/>
      <c r="CM230" s="544"/>
      <c r="CN230" s="544"/>
      <c r="CO230" s="544"/>
      <c r="CP230" s="544"/>
      <c r="CQ230" s="544"/>
      <c r="CR230" s="544"/>
      <c r="CS230" s="544"/>
      <c r="CT230" s="544"/>
      <c r="CU230" s="544"/>
      <c r="CV230" s="544"/>
      <c r="CW230" s="544"/>
      <c r="CX230" s="544"/>
      <c r="CY230" s="669"/>
      <c r="CZ230" s="530"/>
      <c r="DA230" s="530"/>
      <c r="DB230" s="530"/>
      <c r="DC230" s="530"/>
      <c r="DD230" s="530"/>
      <c r="DE230" s="530"/>
      <c r="DF230" s="530"/>
      <c r="DG230" s="530"/>
      <c r="DH230" s="530"/>
      <c r="DI230" s="530"/>
      <c r="DJ230" s="530"/>
      <c r="DK230" s="530"/>
      <c r="DL230" s="530"/>
      <c r="DM230" s="530"/>
      <c r="DN230" s="530"/>
      <c r="DO230" s="530"/>
      <c r="DP230" s="530"/>
      <c r="DQ230" s="530"/>
      <c r="DR230" s="530"/>
      <c r="DS230" s="530"/>
      <c r="DT230" s="530"/>
      <c r="DU230" s="530"/>
      <c r="DV230" s="530"/>
      <c r="DW230" s="530"/>
      <c r="DX230" s="530"/>
      <c r="DY230" s="530"/>
      <c r="DZ230" s="530"/>
      <c r="EA230" s="530"/>
      <c r="EB230" s="530"/>
      <c r="EC230" s="530"/>
      <c r="ED230" s="530"/>
      <c r="EE230" s="530"/>
      <c r="EF230" s="530"/>
      <c r="EG230" s="530"/>
      <c r="EH230" s="530"/>
      <c r="EI230" s="530"/>
      <c r="EJ230" s="530"/>
      <c r="EK230" s="530"/>
      <c r="EL230" s="530"/>
      <c r="EM230" s="530"/>
      <c r="EN230" s="530"/>
      <c r="EO230" s="530"/>
      <c r="EP230" s="530"/>
      <c r="EQ230" s="530"/>
      <c r="ER230" s="530"/>
      <c r="ES230" s="530"/>
      <c r="ET230" s="530"/>
      <c r="EU230" s="530"/>
      <c r="EV230" s="530"/>
      <c r="EW230" s="530"/>
      <c r="EX230" s="530"/>
      <c r="EY230" s="530"/>
      <c r="EZ230" s="530"/>
      <c r="FA230" s="530"/>
      <c r="FB230" s="530"/>
      <c r="FC230" s="530"/>
      <c r="FD230" s="530"/>
      <c r="FE230" s="530"/>
      <c r="FF230" s="530"/>
      <c r="FG230" s="530"/>
      <c r="FH230" s="530"/>
      <c r="FI230" s="530"/>
      <c r="FJ230" s="530"/>
      <c r="FK230" s="530"/>
      <c r="FL230" s="530"/>
      <c r="FM230" s="530"/>
      <c r="FN230" s="530"/>
      <c r="FO230" s="530"/>
      <c r="FP230" s="530"/>
      <c r="FQ230" s="530"/>
      <c r="FR230" s="530"/>
      <c r="FS230" s="530"/>
      <c r="FT230" s="530"/>
      <c r="FU230" s="530"/>
      <c r="FV230" s="530"/>
      <c r="FW230" s="530"/>
      <c r="FX230" s="530"/>
      <c r="FY230" s="530"/>
      <c r="FZ230" s="530"/>
      <c r="GA230" s="530"/>
      <c r="GB230" s="530"/>
      <c r="GC230" s="530"/>
      <c r="GD230" s="530"/>
      <c r="GE230" s="530"/>
      <c r="GF230" s="530"/>
      <c r="GG230" s="530"/>
      <c r="GH230" s="530"/>
      <c r="GI230" s="530"/>
      <c r="GJ230" s="530"/>
      <c r="GK230" s="530"/>
      <c r="GL230" s="530"/>
      <c r="GM230" s="530"/>
      <c r="GN230" s="530"/>
      <c r="GO230" s="530"/>
      <c r="GP230" s="530"/>
      <c r="GQ230" s="530"/>
      <c r="GR230" s="530"/>
      <c r="GS230" s="530"/>
      <c r="GT230" s="530"/>
      <c r="GU230" s="530"/>
      <c r="GV230" s="530"/>
      <c r="GW230" s="530"/>
      <c r="GX230" s="530"/>
      <c r="GY230" s="530"/>
      <c r="GZ230" s="530"/>
      <c r="HA230" s="530"/>
      <c r="HB230" s="530"/>
      <c r="HC230" s="530"/>
      <c r="HD230" s="530"/>
      <c r="HE230" s="530"/>
      <c r="HF230" s="530"/>
      <c r="HG230" s="530"/>
      <c r="HH230" s="530"/>
      <c r="HI230" s="530"/>
      <c r="HJ230" s="530"/>
      <c r="HK230" s="530"/>
      <c r="HL230" s="530"/>
      <c r="HM230" s="530"/>
      <c r="HN230" s="530"/>
      <c r="HO230" s="530"/>
      <c r="HP230" s="530"/>
      <c r="HQ230" s="530"/>
      <c r="HR230" s="530"/>
      <c r="HS230" s="530"/>
      <c r="HT230" s="530"/>
      <c r="HU230" s="530"/>
      <c r="HV230" s="530"/>
      <c r="HW230" s="530"/>
      <c r="HX230" s="530"/>
      <c r="HY230" s="530"/>
      <c r="HZ230" s="530"/>
    </row>
    <row r="231" spans="1:234" s="545" customFormat="1" ht="18" hidden="1" customHeight="1">
      <c r="A231" s="655" t="s">
        <v>4046</v>
      </c>
      <c r="B231" s="544"/>
      <c r="C231" s="544"/>
      <c r="D231" s="544"/>
      <c r="E231" s="544"/>
      <c r="F231" s="544"/>
      <c r="G231" s="544"/>
      <c r="H231" s="544"/>
      <c r="I231" s="544"/>
      <c r="J231" s="544"/>
      <c r="K231" s="544"/>
      <c r="L231" s="544"/>
      <c r="M231" s="544"/>
      <c r="N231" s="544"/>
      <c r="O231" s="544"/>
      <c r="P231" s="544"/>
      <c r="Q231" s="544"/>
      <c r="R231" s="544"/>
      <c r="S231" s="544"/>
      <c r="T231" s="544"/>
      <c r="U231" s="544"/>
      <c r="V231" s="544"/>
      <c r="W231" s="544"/>
      <c r="X231" s="544"/>
      <c r="Y231" s="544"/>
      <c r="Z231" s="544"/>
      <c r="AA231" s="544"/>
      <c r="AB231" s="544"/>
      <c r="AC231" s="544"/>
      <c r="AD231" s="544"/>
      <c r="AE231" s="544"/>
      <c r="AF231" s="544"/>
      <c r="AG231" s="544"/>
      <c r="AH231" s="544"/>
      <c r="AI231" s="544"/>
      <c r="AJ231" s="544"/>
      <c r="AK231" s="544"/>
      <c r="AL231" s="544"/>
      <c r="AM231" s="544"/>
      <c r="AN231" s="544"/>
      <c r="AO231" s="544"/>
      <c r="AP231" s="544"/>
      <c r="AQ231" s="544"/>
      <c r="AR231" s="544"/>
      <c r="AS231" s="544"/>
      <c r="AT231" s="544"/>
      <c r="AU231" s="544"/>
      <c r="AV231" s="544"/>
      <c r="AW231" s="544"/>
      <c r="AX231" s="544"/>
      <c r="AY231" s="544"/>
      <c r="AZ231" s="544"/>
      <c r="BA231" s="544"/>
      <c r="BB231" s="544"/>
      <c r="BC231" s="544"/>
      <c r="BD231" s="544"/>
      <c r="BE231" s="544"/>
      <c r="BF231" s="544"/>
      <c r="BG231" s="544"/>
      <c r="BH231" s="544"/>
      <c r="BI231" s="544"/>
      <c r="BJ231" s="544"/>
      <c r="BK231" s="544"/>
      <c r="BL231" s="544"/>
      <c r="BM231" s="544"/>
      <c r="BN231" s="544"/>
      <c r="BO231" s="544"/>
      <c r="BP231" s="544"/>
      <c r="BQ231" s="544"/>
      <c r="BR231" s="544"/>
      <c r="BS231" s="544"/>
      <c r="BT231" s="544"/>
      <c r="BU231" s="544"/>
      <c r="BV231" s="544"/>
      <c r="BW231" s="544"/>
      <c r="BX231" s="544"/>
      <c r="BY231" s="544"/>
      <c r="BZ231" s="544"/>
      <c r="CA231" s="544"/>
      <c r="CB231" s="544"/>
      <c r="CC231" s="544"/>
      <c r="CD231" s="544"/>
      <c r="CE231" s="544"/>
      <c r="CF231" s="544"/>
      <c r="CG231" s="544"/>
      <c r="CH231" s="544"/>
      <c r="CI231" s="544"/>
      <c r="CJ231" s="544"/>
      <c r="CK231" s="544"/>
      <c r="CL231" s="544"/>
      <c r="CM231" s="544"/>
      <c r="CN231" s="544"/>
      <c r="CO231" s="544"/>
      <c r="CP231" s="544"/>
      <c r="CQ231" s="544"/>
      <c r="CR231" s="544"/>
      <c r="CS231" s="544"/>
      <c r="CT231" s="544"/>
      <c r="CU231" s="544"/>
      <c r="CV231" s="544"/>
      <c r="CW231" s="544"/>
      <c r="CX231" s="544"/>
      <c r="CY231" s="669"/>
      <c r="CZ231" s="530"/>
      <c r="DA231" s="530"/>
      <c r="DB231" s="530"/>
      <c r="DC231" s="530"/>
      <c r="DD231" s="530"/>
      <c r="DE231" s="530"/>
      <c r="DF231" s="530"/>
      <c r="DG231" s="530"/>
      <c r="DH231" s="530"/>
      <c r="DI231" s="530"/>
      <c r="DJ231" s="530"/>
      <c r="DK231" s="530"/>
      <c r="DL231" s="530"/>
      <c r="DM231" s="530"/>
      <c r="DN231" s="530"/>
      <c r="DO231" s="530"/>
      <c r="DP231" s="530"/>
      <c r="DQ231" s="530"/>
      <c r="DR231" s="530"/>
      <c r="DS231" s="530"/>
      <c r="DT231" s="530"/>
      <c r="DU231" s="530"/>
      <c r="DV231" s="530"/>
      <c r="DW231" s="530"/>
      <c r="DX231" s="530"/>
      <c r="DY231" s="530"/>
      <c r="DZ231" s="530"/>
      <c r="EA231" s="530"/>
      <c r="EB231" s="530"/>
      <c r="EC231" s="530"/>
      <c r="ED231" s="530"/>
      <c r="EE231" s="530"/>
      <c r="EF231" s="530"/>
      <c r="EG231" s="530"/>
      <c r="EH231" s="530"/>
      <c r="EI231" s="530"/>
      <c r="EJ231" s="530"/>
      <c r="EK231" s="530"/>
      <c r="EL231" s="530"/>
      <c r="EM231" s="530"/>
      <c r="EN231" s="530"/>
      <c r="EO231" s="530"/>
      <c r="EP231" s="530"/>
      <c r="EQ231" s="530"/>
      <c r="ER231" s="530"/>
      <c r="ES231" s="530"/>
      <c r="ET231" s="530"/>
      <c r="EU231" s="530"/>
      <c r="EV231" s="530"/>
      <c r="EW231" s="530"/>
      <c r="EX231" s="530"/>
      <c r="EY231" s="530"/>
      <c r="EZ231" s="530"/>
      <c r="FA231" s="530"/>
      <c r="FB231" s="530"/>
      <c r="FC231" s="530"/>
      <c r="FD231" s="530"/>
      <c r="FE231" s="530"/>
      <c r="FF231" s="530"/>
      <c r="FG231" s="530"/>
      <c r="FH231" s="530"/>
      <c r="FI231" s="530"/>
      <c r="FJ231" s="530"/>
      <c r="FK231" s="530"/>
      <c r="FL231" s="530"/>
      <c r="FM231" s="530"/>
      <c r="FN231" s="530"/>
      <c r="FO231" s="530"/>
      <c r="FP231" s="530"/>
      <c r="FQ231" s="530"/>
      <c r="FR231" s="530"/>
      <c r="FS231" s="530"/>
      <c r="FT231" s="530"/>
      <c r="FU231" s="530"/>
      <c r="FV231" s="530"/>
      <c r="FW231" s="530"/>
      <c r="FX231" s="530"/>
      <c r="FY231" s="530"/>
      <c r="FZ231" s="530"/>
      <c r="GA231" s="530"/>
      <c r="GB231" s="530"/>
      <c r="GC231" s="530"/>
      <c r="GD231" s="530"/>
      <c r="GE231" s="530"/>
      <c r="GF231" s="530"/>
      <c r="GG231" s="530"/>
      <c r="GH231" s="530"/>
      <c r="GI231" s="530"/>
      <c r="GJ231" s="530"/>
      <c r="GK231" s="530"/>
      <c r="GL231" s="530"/>
      <c r="GM231" s="530"/>
      <c r="GN231" s="530"/>
      <c r="GO231" s="530"/>
      <c r="GP231" s="530"/>
      <c r="GQ231" s="530"/>
      <c r="GR231" s="530"/>
      <c r="GS231" s="530"/>
      <c r="GT231" s="530"/>
      <c r="GU231" s="530"/>
      <c r="GV231" s="530"/>
      <c r="GW231" s="530"/>
      <c r="GX231" s="530"/>
      <c r="GY231" s="530"/>
      <c r="GZ231" s="530"/>
      <c r="HA231" s="530"/>
      <c r="HB231" s="530"/>
      <c r="HC231" s="530"/>
      <c r="HD231" s="530"/>
      <c r="HE231" s="530"/>
      <c r="HF231" s="530"/>
      <c r="HG231" s="530"/>
      <c r="HH231" s="530"/>
      <c r="HI231" s="530"/>
      <c r="HJ231" s="530"/>
      <c r="HK231" s="530"/>
      <c r="HL231" s="530"/>
      <c r="HM231" s="530"/>
      <c r="HN231" s="530"/>
      <c r="HO231" s="530"/>
      <c r="HP231" s="530"/>
      <c r="HQ231" s="530"/>
      <c r="HR231" s="530"/>
      <c r="HS231" s="530"/>
      <c r="HT231" s="530"/>
      <c r="HU231" s="530"/>
      <c r="HV231" s="530"/>
      <c r="HW231" s="530"/>
      <c r="HX231" s="530"/>
      <c r="HY231" s="530"/>
      <c r="HZ231" s="530"/>
    </row>
    <row r="232" spans="1:234" ht="13.8" hidden="1">
      <c r="A232" s="591" t="s">
        <v>4047</v>
      </c>
      <c r="B232" s="702"/>
      <c r="C232" s="555"/>
      <c r="D232" s="555"/>
      <c r="E232" s="555"/>
      <c r="F232" s="555"/>
      <c r="G232" s="555"/>
      <c r="H232" s="555"/>
      <c r="I232" s="555"/>
      <c r="J232" s="555"/>
      <c r="K232" s="555"/>
      <c r="L232" s="555"/>
      <c r="M232" s="555"/>
      <c r="N232" s="555">
        <f>C232</f>
        <v>0</v>
      </c>
      <c r="O232" s="556"/>
      <c r="P232" s="556"/>
      <c r="Q232" s="703" t="s">
        <v>658</v>
      </c>
      <c r="R232" s="718"/>
      <c r="S232" s="718"/>
      <c r="T232" s="718"/>
      <c r="U232" s="718"/>
      <c r="V232" s="718"/>
      <c r="W232" s="718"/>
      <c r="X232" s="718"/>
      <c r="Y232" s="718"/>
      <c r="Z232" s="718"/>
      <c r="AA232" s="718"/>
      <c r="AB232" s="718"/>
      <c r="AC232" s="718"/>
      <c r="AD232" s="672"/>
      <c r="AE232" s="672"/>
      <c r="AF232" s="672"/>
      <c r="AG232" s="672"/>
      <c r="AH232" s="672"/>
      <c r="AI232" s="672"/>
      <c r="AJ232" s="672"/>
      <c r="AK232" s="672"/>
      <c r="AL232" s="672"/>
      <c r="AM232" s="672"/>
      <c r="AN232" s="672"/>
      <c r="AO232" s="672"/>
      <c r="AP232" s="672"/>
      <c r="AQ232" s="672"/>
      <c r="AR232" s="672"/>
      <c r="AS232" s="672"/>
      <c r="AT232" s="672"/>
      <c r="AU232" s="672"/>
      <c r="AV232" s="672"/>
      <c r="AW232" s="672"/>
      <c r="AX232" s="672"/>
      <c r="AY232" s="672"/>
      <c r="AZ232" s="672"/>
      <c r="BA232" s="672"/>
      <c r="BB232" s="672"/>
      <c r="BC232" s="672"/>
      <c r="BD232" s="672"/>
      <c r="BE232" s="672"/>
      <c r="BF232" s="672">
        <f t="shared" ref="BF232:BF247" si="114">AW232</f>
        <v>0</v>
      </c>
      <c r="BG232" s="672">
        <f t="shared" ref="BG232:BG247" si="115">AX232</f>
        <v>0</v>
      </c>
      <c r="BH232" s="672"/>
      <c r="BI232" s="672"/>
      <c r="BJ232" s="672"/>
      <c r="BK232" s="672"/>
      <c r="BL232" s="672"/>
      <c r="BM232" s="672"/>
      <c r="BN232" s="672"/>
      <c r="BO232" s="672"/>
      <c r="BP232" s="672"/>
      <c r="BQ232" s="672"/>
      <c r="BR232" s="672"/>
      <c r="BS232" s="672"/>
      <c r="BT232" s="672"/>
      <c r="BU232" s="672"/>
      <c r="BV232" s="672"/>
      <c r="BW232" s="672"/>
      <c r="BX232" s="672"/>
      <c r="BY232" s="672"/>
      <c r="BZ232" s="672"/>
      <c r="CA232" s="672"/>
      <c r="CB232" s="672"/>
      <c r="CC232" s="672"/>
      <c r="CD232" s="672"/>
      <c r="CE232" s="672"/>
      <c r="CF232" s="672"/>
      <c r="CG232" s="672"/>
      <c r="CH232" s="672"/>
      <c r="CI232" s="672"/>
      <c r="CJ232" s="672"/>
      <c r="CK232" s="672"/>
      <c r="CL232" s="672"/>
      <c r="CM232" s="672"/>
      <c r="CN232" s="672">
        <f t="shared" ref="CN232:CN247" si="116">+CM232*3.6</f>
        <v>0</v>
      </c>
      <c r="CO232" s="672"/>
      <c r="CP232" s="672"/>
      <c r="CQ232" s="672"/>
      <c r="CR232" s="672"/>
      <c r="CS232" s="672"/>
      <c r="CT232" s="672"/>
      <c r="CU232" s="672"/>
      <c r="CV232" s="672"/>
      <c r="CW232" s="672"/>
      <c r="CX232" s="704"/>
      <c r="CY232" s="705"/>
      <c r="HU232" s="542"/>
      <c r="HV232" s="542"/>
      <c r="HW232" s="542"/>
      <c r="HX232" s="542"/>
      <c r="HY232" s="542"/>
      <c r="HZ232" s="542"/>
    </row>
    <row r="233" spans="1:234" ht="13.8" hidden="1">
      <c r="A233" s="591" t="s">
        <v>736</v>
      </c>
      <c r="B233" s="670"/>
      <c r="C233" s="550">
        <v>20</v>
      </c>
      <c r="D233" s="550">
        <f t="shared" ref="D233:D247" si="117">D232+C233</f>
        <v>20</v>
      </c>
      <c r="E233" s="550"/>
      <c r="F233" s="550"/>
      <c r="G233" s="550"/>
      <c r="H233" s="550"/>
      <c r="I233" s="550"/>
      <c r="J233" s="550"/>
      <c r="K233" s="550"/>
      <c r="L233" s="550"/>
      <c r="M233" s="550"/>
      <c r="N233" s="550">
        <f t="shared" ref="N233:N247" si="118">+N232+C233</f>
        <v>20</v>
      </c>
      <c r="O233" s="439"/>
      <c r="P233" s="439"/>
      <c r="Q233" s="674" t="s">
        <v>546</v>
      </c>
      <c r="R233" s="671"/>
      <c r="S233" s="671">
        <v>1</v>
      </c>
      <c r="T233" s="671"/>
      <c r="U233" s="671"/>
      <c r="V233" s="671"/>
      <c r="W233" s="671"/>
      <c r="X233" s="671"/>
      <c r="Y233" s="671"/>
      <c r="Z233" s="671">
        <v>1</v>
      </c>
      <c r="AA233" s="671"/>
      <c r="AB233" s="671"/>
      <c r="AC233" s="671"/>
      <c r="AD233" s="623"/>
      <c r="AE233" s="623"/>
      <c r="AF233" s="623"/>
      <c r="AG233" s="623"/>
      <c r="AH233" s="623"/>
      <c r="AI233" s="623"/>
      <c r="AJ233" s="623"/>
      <c r="AK233" s="623"/>
      <c r="AL233" s="623"/>
      <c r="AM233" s="623"/>
      <c r="AN233" s="623"/>
      <c r="AO233" s="623"/>
      <c r="AP233" s="623"/>
      <c r="AQ233" s="623"/>
      <c r="AR233" s="623"/>
      <c r="AS233" s="623"/>
      <c r="AT233" s="623"/>
      <c r="AU233" s="623"/>
      <c r="AV233" s="623"/>
      <c r="AW233" s="623">
        <v>1</v>
      </c>
      <c r="AX233" s="623"/>
      <c r="AY233" s="623"/>
      <c r="AZ233" s="623"/>
      <c r="BA233" s="623"/>
      <c r="BB233" s="623"/>
      <c r="BC233" s="623"/>
      <c r="BD233" s="623"/>
      <c r="BE233" s="623"/>
      <c r="BF233" s="672">
        <f t="shared" si="114"/>
        <v>1</v>
      </c>
      <c r="BG233" s="672">
        <f t="shared" si="115"/>
        <v>0</v>
      </c>
      <c r="BH233" s="623"/>
      <c r="BI233" s="623"/>
      <c r="BJ233" s="623"/>
      <c r="BK233" s="623"/>
      <c r="BL233" s="623"/>
      <c r="BM233" s="623"/>
      <c r="BN233" s="623"/>
      <c r="BO233" s="623"/>
      <c r="BP233" s="623"/>
      <c r="BQ233" s="623"/>
      <c r="BR233" s="623">
        <v>1</v>
      </c>
      <c r="BS233" s="623"/>
      <c r="BT233" s="623"/>
      <c r="BU233" s="623"/>
      <c r="BV233" s="623"/>
      <c r="BW233" s="623"/>
      <c r="BX233" s="623"/>
      <c r="BY233" s="623"/>
      <c r="BZ233" s="623"/>
      <c r="CA233" s="623">
        <v>1</v>
      </c>
      <c r="CB233" s="623"/>
      <c r="CC233" s="623"/>
      <c r="CD233" s="623"/>
      <c r="CE233" s="623"/>
      <c r="CF233" s="623"/>
      <c r="CG233" s="623"/>
      <c r="CH233" s="623"/>
      <c r="CI233" s="623"/>
      <c r="CJ233" s="623"/>
      <c r="CK233" s="623"/>
      <c r="CL233" s="623"/>
      <c r="CM233" s="623">
        <v>1</v>
      </c>
      <c r="CN233" s="623">
        <f t="shared" si="116"/>
        <v>3.6</v>
      </c>
      <c r="CO233" s="623"/>
      <c r="CP233" s="623"/>
      <c r="CQ233" s="623"/>
      <c r="CR233" s="623"/>
      <c r="CS233" s="623"/>
      <c r="CT233" s="623"/>
      <c r="CU233" s="623"/>
      <c r="CV233" s="623"/>
      <c r="CW233" s="623"/>
      <c r="CX233" s="673"/>
      <c r="CY233" s="557"/>
    </row>
    <row r="234" spans="1:234" ht="13.8" hidden="1">
      <c r="A234" s="591" t="s">
        <v>737</v>
      </c>
      <c r="B234" s="670"/>
      <c r="C234" s="550">
        <v>38</v>
      </c>
      <c r="D234" s="550">
        <f t="shared" si="117"/>
        <v>58</v>
      </c>
      <c r="E234" s="550"/>
      <c r="F234" s="550"/>
      <c r="G234" s="550"/>
      <c r="H234" s="550"/>
      <c r="I234" s="550"/>
      <c r="J234" s="550"/>
      <c r="K234" s="550"/>
      <c r="L234" s="550"/>
      <c r="M234" s="550"/>
      <c r="N234" s="550">
        <f t="shared" si="118"/>
        <v>58</v>
      </c>
      <c r="O234" s="439"/>
      <c r="P234" s="439"/>
      <c r="Q234" s="674" t="s">
        <v>501</v>
      </c>
      <c r="R234" s="671"/>
      <c r="S234" s="671">
        <v>1</v>
      </c>
      <c r="T234" s="671"/>
      <c r="U234" s="671"/>
      <c r="V234" s="671"/>
      <c r="W234" s="671"/>
      <c r="X234" s="671"/>
      <c r="Y234" s="671"/>
      <c r="Z234" s="671">
        <v>1</v>
      </c>
      <c r="AA234" s="671"/>
      <c r="AB234" s="671"/>
      <c r="AC234" s="671"/>
      <c r="AD234" s="623"/>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72">
        <f t="shared" si="114"/>
        <v>0</v>
      </c>
      <c r="BG234" s="672">
        <f t="shared" si="115"/>
        <v>0</v>
      </c>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v>1</v>
      </c>
      <c r="CB234" s="623"/>
      <c r="CC234" s="623"/>
      <c r="CD234" s="623"/>
      <c r="CE234" s="623"/>
      <c r="CF234" s="623"/>
      <c r="CG234" s="623"/>
      <c r="CH234" s="623"/>
      <c r="CI234" s="623"/>
      <c r="CJ234" s="623"/>
      <c r="CK234" s="623"/>
      <c r="CL234" s="623"/>
      <c r="CM234" s="623">
        <v>1</v>
      </c>
      <c r="CN234" s="623">
        <f t="shared" si="116"/>
        <v>3.6</v>
      </c>
      <c r="CO234" s="623"/>
      <c r="CP234" s="623"/>
      <c r="CQ234" s="623"/>
      <c r="CR234" s="623"/>
      <c r="CS234" s="623"/>
      <c r="CT234" s="623"/>
      <c r="CU234" s="623"/>
      <c r="CV234" s="623"/>
      <c r="CW234" s="623"/>
      <c r="CX234" s="673"/>
      <c r="CY234" s="557"/>
    </row>
    <row r="235" spans="1:234" ht="13.8" hidden="1">
      <c r="A235" s="591" t="s">
        <v>738</v>
      </c>
      <c r="B235" s="670"/>
      <c r="C235" s="550">
        <v>39</v>
      </c>
      <c r="D235" s="550">
        <f t="shared" si="117"/>
        <v>97</v>
      </c>
      <c r="E235" s="550"/>
      <c r="F235" s="550"/>
      <c r="G235" s="550"/>
      <c r="H235" s="550"/>
      <c r="I235" s="550"/>
      <c r="J235" s="550"/>
      <c r="K235" s="550"/>
      <c r="L235" s="550"/>
      <c r="M235" s="550"/>
      <c r="N235" s="550">
        <f t="shared" si="118"/>
        <v>97</v>
      </c>
      <c r="O235" s="439"/>
      <c r="P235" s="439"/>
      <c r="Q235" s="674" t="s">
        <v>586</v>
      </c>
      <c r="R235" s="671"/>
      <c r="S235" s="671">
        <v>1</v>
      </c>
      <c r="T235" s="671"/>
      <c r="U235" s="671"/>
      <c r="V235" s="671"/>
      <c r="W235" s="671"/>
      <c r="X235" s="671"/>
      <c r="Y235" s="671"/>
      <c r="Z235" s="671">
        <v>1</v>
      </c>
      <c r="AA235" s="671"/>
      <c r="AB235" s="671"/>
      <c r="AC235" s="671"/>
      <c r="AD235" s="623"/>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v>1</v>
      </c>
      <c r="AY235" s="623"/>
      <c r="AZ235" s="623"/>
      <c r="BA235" s="623"/>
      <c r="BB235" s="623"/>
      <c r="BC235" s="623"/>
      <c r="BD235" s="623"/>
      <c r="BE235" s="623"/>
      <c r="BF235" s="672">
        <f t="shared" si="114"/>
        <v>0</v>
      </c>
      <c r="BG235" s="672">
        <f t="shared" si="115"/>
        <v>1</v>
      </c>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v>1</v>
      </c>
      <c r="CB235" s="623"/>
      <c r="CC235" s="623"/>
      <c r="CD235" s="623"/>
      <c r="CE235" s="623"/>
      <c r="CF235" s="623"/>
      <c r="CG235" s="623"/>
      <c r="CH235" s="623"/>
      <c r="CI235" s="623"/>
      <c r="CJ235" s="623"/>
      <c r="CK235" s="623"/>
      <c r="CL235" s="623"/>
      <c r="CM235" s="623">
        <v>1</v>
      </c>
      <c r="CN235" s="623">
        <f t="shared" si="116"/>
        <v>3.6</v>
      </c>
      <c r="CO235" s="623"/>
      <c r="CP235" s="623"/>
      <c r="CQ235" s="623"/>
      <c r="CR235" s="623"/>
      <c r="CS235" s="623"/>
      <c r="CT235" s="623"/>
      <c r="CU235" s="623"/>
      <c r="CV235" s="623"/>
      <c r="CW235" s="623"/>
      <c r="CX235" s="673"/>
      <c r="CY235" s="557"/>
    </row>
    <row r="236" spans="1:234" ht="13.8" hidden="1">
      <c r="A236" s="591" t="s">
        <v>739</v>
      </c>
      <c r="B236" s="670"/>
      <c r="C236" s="550">
        <v>14</v>
      </c>
      <c r="D236" s="550">
        <f t="shared" si="117"/>
        <v>111</v>
      </c>
      <c r="E236" s="550"/>
      <c r="F236" s="550"/>
      <c r="G236" s="550"/>
      <c r="H236" s="550"/>
      <c r="I236" s="550"/>
      <c r="J236" s="550"/>
      <c r="K236" s="550"/>
      <c r="L236" s="550"/>
      <c r="M236" s="550"/>
      <c r="N236" s="550">
        <f t="shared" si="118"/>
        <v>111</v>
      </c>
      <c r="O236" s="439"/>
      <c r="P236" s="439"/>
      <c r="Q236" s="674" t="s">
        <v>586</v>
      </c>
      <c r="R236" s="671"/>
      <c r="S236" s="671">
        <v>1</v>
      </c>
      <c r="T236" s="671"/>
      <c r="U236" s="671"/>
      <c r="V236" s="671"/>
      <c r="W236" s="671"/>
      <c r="X236" s="671"/>
      <c r="Y236" s="671"/>
      <c r="Z236" s="671"/>
      <c r="AA236" s="671"/>
      <c r="AB236" s="671">
        <v>1</v>
      </c>
      <c r="AC236" s="671"/>
      <c r="AD236" s="623"/>
      <c r="AE236" s="623"/>
      <c r="AF236" s="623"/>
      <c r="AG236" s="623"/>
      <c r="AH236" s="623"/>
      <c r="AI236" s="623"/>
      <c r="AJ236" s="623"/>
      <c r="AK236" s="623"/>
      <c r="AL236" s="623"/>
      <c r="AM236" s="623"/>
      <c r="AN236" s="623"/>
      <c r="AO236" s="623"/>
      <c r="AP236" s="623"/>
      <c r="AQ236" s="623"/>
      <c r="AR236" s="623"/>
      <c r="AS236" s="623"/>
      <c r="AT236" s="623"/>
      <c r="AU236" s="623"/>
      <c r="AV236" s="623"/>
      <c r="AW236" s="623"/>
      <c r="AX236" s="623"/>
      <c r="AY236" s="623"/>
      <c r="AZ236" s="623"/>
      <c r="BA236" s="623"/>
      <c r="BB236" s="623"/>
      <c r="BC236" s="623"/>
      <c r="BD236" s="623"/>
      <c r="BE236" s="623"/>
      <c r="BF236" s="672">
        <f t="shared" si="114"/>
        <v>0</v>
      </c>
      <c r="BG236" s="672">
        <f t="shared" si="115"/>
        <v>0</v>
      </c>
      <c r="BH236" s="623"/>
      <c r="BI236" s="623"/>
      <c r="BJ236" s="623"/>
      <c r="BK236" s="623"/>
      <c r="BL236" s="623"/>
      <c r="BM236" s="623"/>
      <c r="BN236" s="623"/>
      <c r="BO236" s="623"/>
      <c r="BP236" s="623"/>
      <c r="BQ236" s="623"/>
      <c r="BR236" s="623"/>
      <c r="BS236" s="623"/>
      <c r="BT236" s="623"/>
      <c r="BU236" s="623"/>
      <c r="BV236" s="623"/>
      <c r="BW236" s="623"/>
      <c r="BX236" s="623"/>
      <c r="BY236" s="623"/>
      <c r="BZ236" s="623"/>
      <c r="CA236" s="623">
        <v>1</v>
      </c>
      <c r="CB236" s="623"/>
      <c r="CC236" s="623"/>
      <c r="CD236" s="623"/>
      <c r="CE236" s="623"/>
      <c r="CF236" s="623"/>
      <c r="CG236" s="623"/>
      <c r="CH236" s="623"/>
      <c r="CI236" s="623"/>
      <c r="CJ236" s="623"/>
      <c r="CK236" s="623"/>
      <c r="CL236" s="623"/>
      <c r="CM236" s="623">
        <v>1</v>
      </c>
      <c r="CN236" s="623">
        <f t="shared" si="116"/>
        <v>3.6</v>
      </c>
      <c r="CO236" s="623"/>
      <c r="CP236" s="623"/>
      <c r="CQ236" s="623"/>
      <c r="CR236" s="623"/>
      <c r="CS236" s="623"/>
      <c r="CT236" s="623"/>
      <c r="CU236" s="623"/>
      <c r="CV236" s="623"/>
      <c r="CW236" s="623"/>
      <c r="CX236" s="673"/>
      <c r="CY236" s="557"/>
    </row>
    <row r="237" spans="1:234" ht="13.8" hidden="1">
      <c r="A237" s="591" t="s">
        <v>740</v>
      </c>
      <c r="B237" s="670"/>
      <c r="C237" s="550">
        <v>32</v>
      </c>
      <c r="D237" s="550">
        <f t="shared" si="117"/>
        <v>143</v>
      </c>
      <c r="E237" s="550"/>
      <c r="F237" s="550"/>
      <c r="G237" s="550"/>
      <c r="H237" s="550"/>
      <c r="I237" s="550"/>
      <c r="J237" s="550"/>
      <c r="K237" s="550"/>
      <c r="L237" s="550"/>
      <c r="M237" s="550"/>
      <c r="N237" s="550">
        <f t="shared" si="118"/>
        <v>143</v>
      </c>
      <c r="O237" s="439"/>
      <c r="P237" s="439"/>
      <c r="Q237" s="674" t="s">
        <v>586</v>
      </c>
      <c r="R237" s="671"/>
      <c r="S237" s="671">
        <v>1</v>
      </c>
      <c r="T237" s="671"/>
      <c r="U237" s="671"/>
      <c r="V237" s="671"/>
      <c r="W237" s="671"/>
      <c r="X237" s="671"/>
      <c r="Y237" s="671"/>
      <c r="Z237" s="671"/>
      <c r="AA237" s="671"/>
      <c r="AB237" s="671">
        <v>1</v>
      </c>
      <c r="AC237" s="671"/>
      <c r="AD237" s="623"/>
      <c r="AE237" s="623"/>
      <c r="AF237" s="623"/>
      <c r="AG237" s="623"/>
      <c r="AH237" s="623"/>
      <c r="AI237" s="623"/>
      <c r="AJ237" s="623"/>
      <c r="AK237" s="623"/>
      <c r="AL237" s="623"/>
      <c r="AM237" s="623"/>
      <c r="AN237" s="623"/>
      <c r="AO237" s="623"/>
      <c r="AP237" s="623"/>
      <c r="AQ237" s="623"/>
      <c r="AR237" s="623"/>
      <c r="AS237" s="623"/>
      <c r="AT237" s="623"/>
      <c r="AU237" s="623"/>
      <c r="AV237" s="623"/>
      <c r="AW237" s="623"/>
      <c r="AX237" s="623"/>
      <c r="AY237" s="623"/>
      <c r="AZ237" s="623"/>
      <c r="BA237" s="623"/>
      <c r="BB237" s="623"/>
      <c r="BC237" s="623"/>
      <c r="BD237" s="623"/>
      <c r="BE237" s="623"/>
      <c r="BF237" s="672">
        <f t="shared" si="114"/>
        <v>0</v>
      </c>
      <c r="BG237" s="672">
        <f t="shared" si="115"/>
        <v>0</v>
      </c>
      <c r="BH237" s="623"/>
      <c r="BI237" s="623"/>
      <c r="BJ237" s="623"/>
      <c r="BK237" s="623"/>
      <c r="BL237" s="623"/>
      <c r="BM237" s="623"/>
      <c r="BN237" s="623"/>
      <c r="BO237" s="623"/>
      <c r="BP237" s="623"/>
      <c r="BQ237" s="623"/>
      <c r="BR237" s="623"/>
      <c r="BS237" s="623"/>
      <c r="BT237" s="623"/>
      <c r="BU237" s="623"/>
      <c r="BV237" s="623"/>
      <c r="BW237" s="623"/>
      <c r="BX237" s="623"/>
      <c r="BY237" s="623"/>
      <c r="BZ237" s="623"/>
      <c r="CA237" s="623">
        <v>1</v>
      </c>
      <c r="CB237" s="623"/>
      <c r="CC237" s="623"/>
      <c r="CD237" s="623"/>
      <c r="CE237" s="623"/>
      <c r="CF237" s="623"/>
      <c r="CG237" s="623"/>
      <c r="CH237" s="623"/>
      <c r="CI237" s="623"/>
      <c r="CJ237" s="623"/>
      <c r="CK237" s="623"/>
      <c r="CL237" s="623"/>
      <c r="CM237" s="623">
        <v>1</v>
      </c>
      <c r="CN237" s="623">
        <f t="shared" si="116"/>
        <v>3.6</v>
      </c>
      <c r="CO237" s="623"/>
      <c r="CP237" s="623"/>
      <c r="CQ237" s="623"/>
      <c r="CR237" s="623"/>
      <c r="CS237" s="623"/>
      <c r="CT237" s="623"/>
      <c r="CU237" s="623"/>
      <c r="CV237" s="623"/>
      <c r="CW237" s="623"/>
      <c r="CX237" s="673"/>
      <c r="CY237" s="557"/>
    </row>
    <row r="238" spans="1:234" ht="13.8" hidden="1">
      <c r="A238" s="591" t="s">
        <v>1931</v>
      </c>
      <c r="B238" s="670"/>
      <c r="C238" s="550">
        <v>14</v>
      </c>
      <c r="D238" s="550">
        <f t="shared" si="117"/>
        <v>157</v>
      </c>
      <c r="E238" s="550"/>
      <c r="F238" s="550"/>
      <c r="G238" s="550"/>
      <c r="H238" s="550"/>
      <c r="I238" s="550"/>
      <c r="J238" s="550"/>
      <c r="K238" s="550"/>
      <c r="L238" s="550"/>
      <c r="M238" s="550"/>
      <c r="N238" s="550">
        <f t="shared" si="118"/>
        <v>157</v>
      </c>
      <c r="O238" s="439"/>
      <c r="P238" s="439"/>
      <c r="Q238" s="674" t="s">
        <v>586</v>
      </c>
      <c r="R238" s="671"/>
      <c r="S238" s="671">
        <v>1</v>
      </c>
      <c r="T238" s="671"/>
      <c r="U238" s="671"/>
      <c r="V238" s="671"/>
      <c r="W238" s="671"/>
      <c r="X238" s="671"/>
      <c r="Y238" s="671"/>
      <c r="Z238" s="671">
        <v>1</v>
      </c>
      <c r="AA238" s="671"/>
      <c r="AB238" s="671"/>
      <c r="AC238" s="671"/>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v>1</v>
      </c>
      <c r="AY238" s="623"/>
      <c r="AZ238" s="623"/>
      <c r="BA238" s="623"/>
      <c r="BB238" s="623"/>
      <c r="BC238" s="623"/>
      <c r="BD238" s="623"/>
      <c r="BE238" s="623"/>
      <c r="BF238" s="672">
        <f t="shared" si="114"/>
        <v>0</v>
      </c>
      <c r="BG238" s="672">
        <f t="shared" si="115"/>
        <v>1</v>
      </c>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v>1</v>
      </c>
      <c r="CB238" s="623"/>
      <c r="CC238" s="623"/>
      <c r="CD238" s="623"/>
      <c r="CE238" s="623"/>
      <c r="CF238" s="623"/>
      <c r="CG238" s="623"/>
      <c r="CH238" s="623"/>
      <c r="CI238" s="623"/>
      <c r="CJ238" s="623"/>
      <c r="CK238" s="623"/>
      <c r="CL238" s="623"/>
      <c r="CM238" s="623">
        <v>1</v>
      </c>
      <c r="CN238" s="623">
        <f t="shared" si="116"/>
        <v>3.6</v>
      </c>
      <c r="CO238" s="623"/>
      <c r="CP238" s="623"/>
      <c r="CQ238" s="623"/>
      <c r="CR238" s="623"/>
      <c r="CS238" s="623"/>
      <c r="CT238" s="623"/>
      <c r="CU238" s="623"/>
      <c r="CV238" s="623"/>
      <c r="CW238" s="623"/>
      <c r="CX238" s="673"/>
      <c r="CY238" s="557"/>
    </row>
    <row r="239" spans="1:234" ht="13.8" hidden="1">
      <c r="A239" s="591" t="s">
        <v>1932</v>
      </c>
      <c r="B239" s="670"/>
      <c r="C239" s="550">
        <v>36</v>
      </c>
      <c r="D239" s="550">
        <f t="shared" si="117"/>
        <v>193</v>
      </c>
      <c r="E239" s="550"/>
      <c r="F239" s="550"/>
      <c r="G239" s="550"/>
      <c r="H239" s="550"/>
      <c r="I239" s="550"/>
      <c r="J239" s="550"/>
      <c r="K239" s="550"/>
      <c r="L239" s="550"/>
      <c r="M239" s="550"/>
      <c r="N239" s="550">
        <f t="shared" si="118"/>
        <v>193</v>
      </c>
      <c r="O239" s="439"/>
      <c r="P239" s="439"/>
      <c r="Q239" s="674" t="s">
        <v>501</v>
      </c>
      <c r="R239" s="671"/>
      <c r="S239" s="671">
        <v>1</v>
      </c>
      <c r="T239" s="671"/>
      <c r="U239" s="671"/>
      <c r="V239" s="671"/>
      <c r="W239" s="671"/>
      <c r="X239" s="671"/>
      <c r="Y239" s="671"/>
      <c r="Z239" s="671">
        <v>1</v>
      </c>
      <c r="AA239" s="671"/>
      <c r="AB239" s="671"/>
      <c r="AC239" s="671"/>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72">
        <f t="shared" si="114"/>
        <v>0</v>
      </c>
      <c r="BG239" s="672">
        <f t="shared" si="115"/>
        <v>0</v>
      </c>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v>1</v>
      </c>
      <c r="CB239" s="623"/>
      <c r="CC239" s="623"/>
      <c r="CD239" s="623"/>
      <c r="CE239" s="623"/>
      <c r="CF239" s="623"/>
      <c r="CG239" s="623"/>
      <c r="CH239" s="623"/>
      <c r="CI239" s="623"/>
      <c r="CJ239" s="623"/>
      <c r="CK239" s="623"/>
      <c r="CL239" s="623"/>
      <c r="CM239" s="623">
        <v>1</v>
      </c>
      <c r="CN239" s="623">
        <f t="shared" si="116"/>
        <v>3.6</v>
      </c>
      <c r="CO239" s="623"/>
      <c r="CP239" s="623"/>
      <c r="CQ239" s="623"/>
      <c r="CR239" s="623"/>
      <c r="CS239" s="623"/>
      <c r="CT239" s="623"/>
      <c r="CU239" s="623"/>
      <c r="CV239" s="623"/>
      <c r="CW239" s="623"/>
      <c r="CX239" s="673"/>
      <c r="CY239" s="557"/>
    </row>
    <row r="240" spans="1:234" ht="13.8" hidden="1">
      <c r="A240" s="591" t="s">
        <v>1933</v>
      </c>
      <c r="B240" s="670"/>
      <c r="C240" s="550">
        <v>33</v>
      </c>
      <c r="D240" s="550">
        <f t="shared" si="117"/>
        <v>226</v>
      </c>
      <c r="E240" s="550"/>
      <c r="F240" s="550"/>
      <c r="G240" s="550"/>
      <c r="H240" s="550"/>
      <c r="I240" s="550"/>
      <c r="J240" s="550"/>
      <c r="K240" s="550"/>
      <c r="L240" s="550"/>
      <c r="M240" s="550"/>
      <c r="N240" s="550">
        <f t="shared" si="118"/>
        <v>226</v>
      </c>
      <c r="O240" s="439"/>
      <c r="P240" s="439"/>
      <c r="Q240" s="674" t="s">
        <v>1818</v>
      </c>
      <c r="R240" s="671"/>
      <c r="S240" s="671">
        <v>1</v>
      </c>
      <c r="T240" s="671"/>
      <c r="U240" s="671"/>
      <c r="V240" s="671"/>
      <c r="W240" s="671"/>
      <c r="X240" s="671"/>
      <c r="Y240" s="671"/>
      <c r="Z240" s="671">
        <v>1</v>
      </c>
      <c r="AA240" s="671"/>
      <c r="AB240" s="671"/>
      <c r="AC240" s="671"/>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v>1</v>
      </c>
      <c r="AX240" s="623"/>
      <c r="AY240" s="623"/>
      <c r="AZ240" s="623"/>
      <c r="BA240" s="623"/>
      <c r="BB240" s="623"/>
      <c r="BC240" s="623"/>
      <c r="BD240" s="623"/>
      <c r="BE240" s="623"/>
      <c r="BF240" s="672">
        <f t="shared" si="114"/>
        <v>1</v>
      </c>
      <c r="BG240" s="672">
        <f t="shared" si="115"/>
        <v>0</v>
      </c>
      <c r="BH240" s="623"/>
      <c r="BI240" s="623"/>
      <c r="BJ240" s="623"/>
      <c r="BK240" s="623"/>
      <c r="BL240" s="623"/>
      <c r="BM240" s="623"/>
      <c r="BN240" s="623"/>
      <c r="BO240" s="623"/>
      <c r="BP240" s="623"/>
      <c r="BQ240" s="623"/>
      <c r="BR240" s="623">
        <v>1</v>
      </c>
      <c r="BS240" s="623"/>
      <c r="BT240" s="623"/>
      <c r="BU240" s="623"/>
      <c r="BV240" s="623"/>
      <c r="BW240" s="623"/>
      <c r="BX240" s="623"/>
      <c r="BY240" s="623"/>
      <c r="BZ240" s="623"/>
      <c r="CA240" s="623">
        <v>1</v>
      </c>
      <c r="CB240" s="623"/>
      <c r="CC240" s="623"/>
      <c r="CD240" s="623"/>
      <c r="CE240" s="623"/>
      <c r="CF240" s="623"/>
      <c r="CG240" s="623"/>
      <c r="CH240" s="623"/>
      <c r="CI240" s="623"/>
      <c r="CJ240" s="623"/>
      <c r="CK240" s="623"/>
      <c r="CL240" s="623"/>
      <c r="CM240" s="623">
        <v>1</v>
      </c>
      <c r="CN240" s="623">
        <f t="shared" si="116"/>
        <v>3.6</v>
      </c>
      <c r="CO240" s="623"/>
      <c r="CP240" s="623"/>
      <c r="CQ240" s="623"/>
      <c r="CR240" s="623">
        <v>1</v>
      </c>
      <c r="CS240" s="623"/>
      <c r="CT240" s="623"/>
      <c r="CU240" s="623"/>
      <c r="CV240" s="623"/>
      <c r="CW240" s="623"/>
      <c r="CX240" s="673"/>
      <c r="CY240" s="557"/>
    </row>
    <row r="241" spans="1:234" ht="13.8" hidden="1">
      <c r="A241" s="591" t="s">
        <v>1934</v>
      </c>
      <c r="B241" s="670"/>
      <c r="C241" s="550">
        <v>21</v>
      </c>
      <c r="D241" s="550">
        <f t="shared" si="117"/>
        <v>247</v>
      </c>
      <c r="E241" s="550"/>
      <c r="F241" s="550"/>
      <c r="G241" s="550"/>
      <c r="H241" s="550"/>
      <c r="I241" s="550"/>
      <c r="J241" s="550"/>
      <c r="K241" s="550"/>
      <c r="L241" s="550"/>
      <c r="M241" s="550"/>
      <c r="N241" s="550">
        <f t="shared" si="118"/>
        <v>247</v>
      </c>
      <c r="O241" s="439"/>
      <c r="P241" s="439"/>
      <c r="Q241" s="674" t="s">
        <v>1818</v>
      </c>
      <c r="R241" s="671"/>
      <c r="S241" s="671">
        <v>1</v>
      </c>
      <c r="T241" s="671"/>
      <c r="U241" s="671"/>
      <c r="V241" s="671"/>
      <c r="W241" s="671"/>
      <c r="X241" s="671"/>
      <c r="Y241" s="671"/>
      <c r="Z241" s="671">
        <v>1</v>
      </c>
      <c r="AA241" s="671"/>
      <c r="AB241" s="671"/>
      <c r="AC241" s="671"/>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v>1</v>
      </c>
      <c r="AX241" s="623"/>
      <c r="AY241" s="623"/>
      <c r="AZ241" s="623"/>
      <c r="BA241" s="623"/>
      <c r="BB241" s="623"/>
      <c r="BC241" s="623"/>
      <c r="BD241" s="623"/>
      <c r="BE241" s="623"/>
      <c r="BF241" s="672">
        <f t="shared" si="114"/>
        <v>1</v>
      </c>
      <c r="BG241" s="672">
        <f t="shared" si="115"/>
        <v>0</v>
      </c>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v>1</v>
      </c>
      <c r="CB241" s="623"/>
      <c r="CC241" s="623"/>
      <c r="CD241" s="623"/>
      <c r="CE241" s="623"/>
      <c r="CF241" s="623"/>
      <c r="CG241" s="623"/>
      <c r="CH241" s="623"/>
      <c r="CI241" s="623"/>
      <c r="CJ241" s="623"/>
      <c r="CK241" s="623"/>
      <c r="CL241" s="623"/>
      <c r="CM241" s="623">
        <v>1</v>
      </c>
      <c r="CN241" s="623">
        <f t="shared" si="116"/>
        <v>3.6</v>
      </c>
      <c r="CO241" s="623"/>
      <c r="CP241" s="623"/>
      <c r="CQ241" s="623"/>
      <c r="CR241" s="623">
        <v>1</v>
      </c>
      <c r="CS241" s="623"/>
      <c r="CT241" s="623"/>
      <c r="CU241" s="623"/>
      <c r="CV241" s="623"/>
      <c r="CW241" s="623"/>
      <c r="CX241" s="673"/>
      <c r="CY241" s="557"/>
    </row>
    <row r="242" spans="1:234" ht="13.8" hidden="1">
      <c r="A242" s="706" t="s">
        <v>1935</v>
      </c>
      <c r="B242" s="707"/>
      <c r="C242" s="558">
        <v>42</v>
      </c>
      <c r="D242" s="550">
        <f t="shared" si="117"/>
        <v>289</v>
      </c>
      <c r="E242" s="558"/>
      <c r="F242" s="558"/>
      <c r="G242" s="558"/>
      <c r="H242" s="558"/>
      <c r="I242" s="558"/>
      <c r="J242" s="558"/>
      <c r="K242" s="558"/>
      <c r="L242" s="558"/>
      <c r="M242" s="558"/>
      <c r="N242" s="550">
        <f t="shared" si="118"/>
        <v>289</v>
      </c>
      <c r="O242" s="708"/>
      <c r="P242" s="708"/>
      <c r="Q242" s="674" t="s">
        <v>586</v>
      </c>
      <c r="R242" s="710"/>
      <c r="S242" s="710">
        <v>2</v>
      </c>
      <c r="T242" s="710"/>
      <c r="U242" s="710"/>
      <c r="V242" s="710"/>
      <c r="W242" s="710"/>
      <c r="X242" s="710"/>
      <c r="Y242" s="710"/>
      <c r="Z242" s="710"/>
      <c r="AA242" s="710"/>
      <c r="AB242" s="710"/>
      <c r="AC242" s="710">
        <v>2</v>
      </c>
      <c r="AD242" s="709"/>
      <c r="AE242" s="709"/>
      <c r="AF242" s="709"/>
      <c r="AG242" s="709"/>
      <c r="AH242" s="709"/>
      <c r="AI242" s="709"/>
      <c r="AJ242" s="709"/>
      <c r="AK242" s="709"/>
      <c r="AL242" s="709"/>
      <c r="AM242" s="709"/>
      <c r="AN242" s="709"/>
      <c r="AO242" s="709"/>
      <c r="AP242" s="709"/>
      <c r="AQ242" s="709"/>
      <c r="AR242" s="709"/>
      <c r="AS242" s="709"/>
      <c r="AT242" s="709"/>
      <c r="AU242" s="709"/>
      <c r="AV242" s="709"/>
      <c r="AW242" s="709"/>
      <c r="AX242" s="709"/>
      <c r="AY242" s="709"/>
      <c r="AZ242" s="709"/>
      <c r="BA242" s="709"/>
      <c r="BB242" s="709"/>
      <c r="BC242" s="709"/>
      <c r="BD242" s="709"/>
      <c r="BE242" s="709"/>
      <c r="BF242" s="672">
        <f t="shared" si="114"/>
        <v>0</v>
      </c>
      <c r="BG242" s="672">
        <f t="shared" si="115"/>
        <v>0</v>
      </c>
      <c r="BH242" s="709"/>
      <c r="BI242" s="709"/>
      <c r="BJ242" s="709"/>
      <c r="BK242" s="709"/>
      <c r="BL242" s="709"/>
      <c r="BM242" s="709"/>
      <c r="BN242" s="709"/>
      <c r="BO242" s="709"/>
      <c r="BP242" s="709"/>
      <c r="BQ242" s="709"/>
      <c r="BR242" s="709"/>
      <c r="BS242" s="709"/>
      <c r="BT242" s="709"/>
      <c r="BU242" s="709"/>
      <c r="BV242" s="709"/>
      <c r="BW242" s="709"/>
      <c r="BX242" s="709"/>
      <c r="BY242" s="709"/>
      <c r="BZ242" s="709"/>
      <c r="CA242" s="709">
        <v>1</v>
      </c>
      <c r="CB242" s="709"/>
      <c r="CC242" s="709"/>
      <c r="CD242" s="709"/>
      <c r="CE242" s="709"/>
      <c r="CF242" s="709"/>
      <c r="CG242" s="709"/>
      <c r="CH242" s="709"/>
      <c r="CI242" s="709"/>
      <c r="CJ242" s="709"/>
      <c r="CK242" s="709"/>
      <c r="CL242" s="709"/>
      <c r="CM242" s="709">
        <v>1</v>
      </c>
      <c r="CN242" s="709">
        <f t="shared" si="116"/>
        <v>3.6</v>
      </c>
      <c r="CO242" s="709"/>
      <c r="CP242" s="709"/>
      <c r="CQ242" s="709"/>
      <c r="CR242" s="709"/>
      <c r="CS242" s="709"/>
      <c r="CT242" s="709"/>
      <c r="CU242" s="709"/>
      <c r="CV242" s="709"/>
      <c r="CW242" s="709"/>
      <c r="CX242" s="683"/>
      <c r="CY242" s="711"/>
    </row>
    <row r="243" spans="1:234" ht="13.8" hidden="1">
      <c r="A243" s="706" t="s">
        <v>1948</v>
      </c>
      <c r="B243" s="707"/>
      <c r="C243" s="558">
        <v>42</v>
      </c>
      <c r="D243" s="550">
        <f t="shared" si="117"/>
        <v>331</v>
      </c>
      <c r="E243" s="558"/>
      <c r="F243" s="558"/>
      <c r="G243" s="558"/>
      <c r="H243" s="558"/>
      <c r="I243" s="558"/>
      <c r="J243" s="558"/>
      <c r="K243" s="558"/>
      <c r="L243" s="558"/>
      <c r="M243" s="558"/>
      <c r="N243" s="550">
        <f t="shared" si="118"/>
        <v>331</v>
      </c>
      <c r="O243" s="708"/>
      <c r="P243" s="708"/>
      <c r="Q243" s="658" t="s">
        <v>501</v>
      </c>
      <c r="R243" s="710"/>
      <c r="S243" s="710">
        <v>1</v>
      </c>
      <c r="T243" s="710"/>
      <c r="U243" s="710"/>
      <c r="V243" s="710"/>
      <c r="W243" s="710"/>
      <c r="X243" s="710"/>
      <c r="Y243" s="710"/>
      <c r="Z243" s="710">
        <v>1</v>
      </c>
      <c r="AA243" s="710"/>
      <c r="AB243" s="710"/>
      <c r="AC243" s="710"/>
      <c r="AD243" s="709"/>
      <c r="AE243" s="709"/>
      <c r="AF243" s="709"/>
      <c r="AG243" s="709"/>
      <c r="AH243" s="709"/>
      <c r="AI243" s="709"/>
      <c r="AJ243" s="709"/>
      <c r="AK243" s="709"/>
      <c r="AL243" s="709"/>
      <c r="AM243" s="709"/>
      <c r="AN243" s="709"/>
      <c r="AO243" s="709"/>
      <c r="AP243" s="709"/>
      <c r="AQ243" s="709"/>
      <c r="AR243" s="709"/>
      <c r="AS243" s="709"/>
      <c r="AT243" s="709"/>
      <c r="AU243" s="709"/>
      <c r="AV243" s="709"/>
      <c r="AW243" s="709"/>
      <c r="AX243" s="709"/>
      <c r="AY243" s="709"/>
      <c r="AZ243" s="709"/>
      <c r="BA243" s="709"/>
      <c r="BB243" s="709"/>
      <c r="BC243" s="709"/>
      <c r="BD243" s="709"/>
      <c r="BE243" s="709"/>
      <c r="BF243" s="672">
        <f t="shared" si="114"/>
        <v>0</v>
      </c>
      <c r="BG243" s="672">
        <f t="shared" si="115"/>
        <v>0</v>
      </c>
      <c r="BH243" s="709"/>
      <c r="BI243" s="709"/>
      <c r="BJ243" s="709"/>
      <c r="BK243" s="709"/>
      <c r="BL243" s="709"/>
      <c r="BM243" s="709"/>
      <c r="BN243" s="709"/>
      <c r="BO243" s="709"/>
      <c r="BP243" s="709"/>
      <c r="BQ243" s="709"/>
      <c r="BR243" s="709"/>
      <c r="BS243" s="709"/>
      <c r="BT243" s="709"/>
      <c r="BU243" s="709"/>
      <c r="BV243" s="709"/>
      <c r="BW243" s="709"/>
      <c r="BX243" s="709"/>
      <c r="BY243" s="709"/>
      <c r="BZ243" s="709"/>
      <c r="CA243" s="709">
        <v>1</v>
      </c>
      <c r="CB243" s="709"/>
      <c r="CC243" s="709"/>
      <c r="CD243" s="709"/>
      <c r="CE243" s="709"/>
      <c r="CF243" s="709"/>
      <c r="CG243" s="709"/>
      <c r="CH243" s="709"/>
      <c r="CI243" s="709"/>
      <c r="CJ243" s="709"/>
      <c r="CK243" s="709"/>
      <c r="CL243" s="709"/>
      <c r="CM243" s="709">
        <v>1</v>
      </c>
      <c r="CN243" s="709">
        <f t="shared" si="116"/>
        <v>3.6</v>
      </c>
      <c r="CO243" s="709"/>
      <c r="CP243" s="709"/>
      <c r="CQ243" s="709"/>
      <c r="CR243" s="709"/>
      <c r="CS243" s="709"/>
      <c r="CT243" s="709"/>
      <c r="CU243" s="709"/>
      <c r="CV243" s="709"/>
      <c r="CW243" s="709"/>
      <c r="CX243" s="683"/>
      <c r="CY243" s="711"/>
    </row>
    <row r="244" spans="1:234" ht="13.8" hidden="1">
      <c r="A244" s="706" t="s">
        <v>1949</v>
      </c>
      <c r="B244" s="707"/>
      <c r="C244" s="558">
        <v>35</v>
      </c>
      <c r="D244" s="550">
        <f t="shared" si="117"/>
        <v>366</v>
      </c>
      <c r="E244" s="558"/>
      <c r="F244" s="558"/>
      <c r="G244" s="558"/>
      <c r="H244" s="558"/>
      <c r="I244" s="558"/>
      <c r="J244" s="558"/>
      <c r="K244" s="558"/>
      <c r="L244" s="558"/>
      <c r="M244" s="558"/>
      <c r="N244" s="550">
        <f t="shared" si="118"/>
        <v>366</v>
      </c>
      <c r="O244" s="708"/>
      <c r="P244" s="708"/>
      <c r="Q244" s="658" t="s">
        <v>1818</v>
      </c>
      <c r="R244" s="710"/>
      <c r="S244" s="710">
        <v>1</v>
      </c>
      <c r="T244" s="710"/>
      <c r="U244" s="710"/>
      <c r="V244" s="710"/>
      <c r="W244" s="710"/>
      <c r="X244" s="710"/>
      <c r="Y244" s="710"/>
      <c r="Z244" s="710">
        <v>1</v>
      </c>
      <c r="AA244" s="710"/>
      <c r="AB244" s="710"/>
      <c r="AC244" s="710"/>
      <c r="AD244" s="709"/>
      <c r="AE244" s="709"/>
      <c r="AF244" s="709"/>
      <c r="AG244" s="709"/>
      <c r="AH244" s="709"/>
      <c r="AI244" s="709"/>
      <c r="AJ244" s="709"/>
      <c r="AK244" s="709"/>
      <c r="AL244" s="709"/>
      <c r="AM244" s="709"/>
      <c r="AN244" s="709"/>
      <c r="AO244" s="709"/>
      <c r="AP244" s="709"/>
      <c r="AQ244" s="709"/>
      <c r="AR244" s="709"/>
      <c r="AS244" s="709"/>
      <c r="AT244" s="709"/>
      <c r="AU244" s="709"/>
      <c r="AV244" s="709"/>
      <c r="AW244" s="709">
        <v>1</v>
      </c>
      <c r="AX244" s="709"/>
      <c r="AY244" s="709"/>
      <c r="AZ244" s="709"/>
      <c r="BA244" s="709"/>
      <c r="BB244" s="709"/>
      <c r="BC244" s="709"/>
      <c r="BD244" s="709"/>
      <c r="BE244" s="709"/>
      <c r="BF244" s="672">
        <f t="shared" si="114"/>
        <v>1</v>
      </c>
      <c r="BG244" s="672">
        <f t="shared" si="115"/>
        <v>0</v>
      </c>
      <c r="BH244" s="709"/>
      <c r="BI244" s="709"/>
      <c r="BJ244" s="709"/>
      <c r="BK244" s="709"/>
      <c r="BL244" s="709"/>
      <c r="BM244" s="709"/>
      <c r="BN244" s="709"/>
      <c r="BO244" s="709"/>
      <c r="BP244" s="709"/>
      <c r="BQ244" s="709"/>
      <c r="BR244" s="709"/>
      <c r="BS244" s="709"/>
      <c r="BT244" s="709"/>
      <c r="BU244" s="709"/>
      <c r="BV244" s="709"/>
      <c r="BW244" s="709"/>
      <c r="BX244" s="709"/>
      <c r="BY244" s="709"/>
      <c r="BZ244" s="709"/>
      <c r="CA244" s="709">
        <v>1</v>
      </c>
      <c r="CB244" s="709"/>
      <c r="CC244" s="709"/>
      <c r="CD244" s="709"/>
      <c r="CE244" s="709"/>
      <c r="CF244" s="709"/>
      <c r="CG244" s="709"/>
      <c r="CH244" s="709"/>
      <c r="CI244" s="709"/>
      <c r="CJ244" s="709"/>
      <c r="CK244" s="709"/>
      <c r="CL244" s="709"/>
      <c r="CM244" s="709">
        <v>1</v>
      </c>
      <c r="CN244" s="709">
        <f t="shared" si="116"/>
        <v>3.6</v>
      </c>
      <c r="CO244" s="709"/>
      <c r="CP244" s="709"/>
      <c r="CQ244" s="709"/>
      <c r="CR244" s="709">
        <v>1</v>
      </c>
      <c r="CS244" s="709"/>
      <c r="CT244" s="709"/>
      <c r="CU244" s="709"/>
      <c r="CV244" s="709"/>
      <c r="CW244" s="709"/>
      <c r="CX244" s="683"/>
      <c r="CY244" s="711"/>
    </row>
    <row r="245" spans="1:234" ht="13.8" hidden="1">
      <c r="A245" s="706" t="s">
        <v>1950</v>
      </c>
      <c r="B245" s="707"/>
      <c r="C245" s="558">
        <v>38</v>
      </c>
      <c r="D245" s="550">
        <f t="shared" si="117"/>
        <v>404</v>
      </c>
      <c r="E245" s="558"/>
      <c r="F245" s="558"/>
      <c r="G245" s="558"/>
      <c r="H245" s="558"/>
      <c r="I245" s="558"/>
      <c r="J245" s="558"/>
      <c r="K245" s="558"/>
      <c r="L245" s="558"/>
      <c r="M245" s="558"/>
      <c r="N245" s="550">
        <f t="shared" si="118"/>
        <v>404</v>
      </c>
      <c r="O245" s="708"/>
      <c r="P245" s="708"/>
      <c r="Q245" s="658" t="s">
        <v>586</v>
      </c>
      <c r="R245" s="710"/>
      <c r="S245" s="710">
        <v>1</v>
      </c>
      <c r="T245" s="710"/>
      <c r="U245" s="710"/>
      <c r="V245" s="710"/>
      <c r="W245" s="710"/>
      <c r="X245" s="710"/>
      <c r="Y245" s="710"/>
      <c r="Z245" s="710">
        <v>1</v>
      </c>
      <c r="AA245" s="710"/>
      <c r="AB245" s="710"/>
      <c r="AC245" s="710"/>
      <c r="AD245" s="709"/>
      <c r="AE245" s="709"/>
      <c r="AF245" s="709"/>
      <c r="AG245" s="709"/>
      <c r="AH245" s="709"/>
      <c r="AI245" s="709"/>
      <c r="AJ245" s="709"/>
      <c r="AK245" s="709"/>
      <c r="AL245" s="709"/>
      <c r="AM245" s="709"/>
      <c r="AN245" s="709"/>
      <c r="AO245" s="709"/>
      <c r="AP245" s="709"/>
      <c r="AQ245" s="709"/>
      <c r="AR245" s="709"/>
      <c r="AS245" s="709"/>
      <c r="AT245" s="709"/>
      <c r="AU245" s="709"/>
      <c r="AV245" s="709"/>
      <c r="AW245" s="709">
        <v>1</v>
      </c>
      <c r="AX245" s="709"/>
      <c r="AY245" s="709"/>
      <c r="AZ245" s="709"/>
      <c r="BA245" s="709"/>
      <c r="BB245" s="709"/>
      <c r="BC245" s="709"/>
      <c r="BD245" s="709"/>
      <c r="BE245" s="709"/>
      <c r="BF245" s="672">
        <f t="shared" si="114"/>
        <v>1</v>
      </c>
      <c r="BG245" s="672">
        <f t="shared" si="115"/>
        <v>0</v>
      </c>
      <c r="BH245" s="709"/>
      <c r="BI245" s="709"/>
      <c r="BJ245" s="709"/>
      <c r="BK245" s="709"/>
      <c r="BL245" s="709"/>
      <c r="BM245" s="709"/>
      <c r="BN245" s="709"/>
      <c r="BO245" s="709"/>
      <c r="BP245" s="709"/>
      <c r="BQ245" s="709"/>
      <c r="BR245" s="709"/>
      <c r="BS245" s="709"/>
      <c r="BT245" s="709"/>
      <c r="BU245" s="709"/>
      <c r="BV245" s="709"/>
      <c r="BW245" s="709"/>
      <c r="BX245" s="709"/>
      <c r="BY245" s="709"/>
      <c r="BZ245" s="709"/>
      <c r="CA245" s="709">
        <v>1</v>
      </c>
      <c r="CB245" s="709"/>
      <c r="CC245" s="709"/>
      <c r="CD245" s="709"/>
      <c r="CE245" s="709"/>
      <c r="CF245" s="709"/>
      <c r="CG245" s="709"/>
      <c r="CH245" s="709"/>
      <c r="CI245" s="709"/>
      <c r="CJ245" s="709"/>
      <c r="CK245" s="709"/>
      <c r="CL245" s="709"/>
      <c r="CM245" s="709">
        <v>1</v>
      </c>
      <c r="CN245" s="709">
        <f t="shared" si="116"/>
        <v>3.6</v>
      </c>
      <c r="CO245" s="709"/>
      <c r="CP245" s="709"/>
      <c r="CQ245" s="709"/>
      <c r="CR245" s="709"/>
      <c r="CS245" s="709"/>
      <c r="CT245" s="709"/>
      <c r="CU245" s="709"/>
      <c r="CV245" s="709"/>
      <c r="CW245" s="709"/>
      <c r="CX245" s="683"/>
      <c r="CY245" s="711"/>
    </row>
    <row r="246" spans="1:234" ht="13.8" hidden="1">
      <c r="A246" s="706" t="s">
        <v>1951</v>
      </c>
      <c r="B246" s="707"/>
      <c r="C246" s="558">
        <v>40</v>
      </c>
      <c r="D246" s="550">
        <f t="shared" si="117"/>
        <v>444</v>
      </c>
      <c r="E246" s="558"/>
      <c r="F246" s="558"/>
      <c r="G246" s="558"/>
      <c r="H246" s="558"/>
      <c r="I246" s="558"/>
      <c r="J246" s="558"/>
      <c r="K246" s="558"/>
      <c r="L246" s="558"/>
      <c r="M246" s="558"/>
      <c r="N246" s="550">
        <f t="shared" si="118"/>
        <v>444</v>
      </c>
      <c r="O246" s="708"/>
      <c r="P246" s="708"/>
      <c r="Q246" s="658" t="s">
        <v>1818</v>
      </c>
      <c r="R246" s="710"/>
      <c r="S246" s="710">
        <v>1</v>
      </c>
      <c r="T246" s="710"/>
      <c r="U246" s="710"/>
      <c r="V246" s="710"/>
      <c r="W246" s="710"/>
      <c r="X246" s="710"/>
      <c r="Y246" s="710"/>
      <c r="Z246" s="710">
        <v>1</v>
      </c>
      <c r="AA246" s="710"/>
      <c r="AB246" s="710"/>
      <c r="AC246" s="710"/>
      <c r="AD246" s="709"/>
      <c r="AE246" s="709"/>
      <c r="AF246" s="709"/>
      <c r="AG246" s="709"/>
      <c r="AH246" s="709"/>
      <c r="AI246" s="709"/>
      <c r="AJ246" s="709"/>
      <c r="AK246" s="709"/>
      <c r="AL246" s="709"/>
      <c r="AM246" s="709"/>
      <c r="AN246" s="709"/>
      <c r="AO246" s="709"/>
      <c r="AP246" s="709"/>
      <c r="AQ246" s="709"/>
      <c r="AR246" s="709"/>
      <c r="AS246" s="709"/>
      <c r="AT246" s="709"/>
      <c r="AU246" s="709"/>
      <c r="AV246" s="709"/>
      <c r="AW246" s="709">
        <v>1</v>
      </c>
      <c r="AX246" s="709"/>
      <c r="AY246" s="709"/>
      <c r="AZ246" s="709"/>
      <c r="BA246" s="709"/>
      <c r="BB246" s="709"/>
      <c r="BC246" s="709"/>
      <c r="BD246" s="709"/>
      <c r="BE246" s="709"/>
      <c r="BF246" s="672">
        <f t="shared" si="114"/>
        <v>1</v>
      </c>
      <c r="BG246" s="672">
        <f t="shared" si="115"/>
        <v>0</v>
      </c>
      <c r="BH246" s="709"/>
      <c r="BI246" s="709"/>
      <c r="BJ246" s="709"/>
      <c r="BK246" s="709"/>
      <c r="BL246" s="709"/>
      <c r="BM246" s="709"/>
      <c r="BN246" s="709"/>
      <c r="BO246" s="709"/>
      <c r="BP246" s="709"/>
      <c r="BQ246" s="709"/>
      <c r="BR246" s="709"/>
      <c r="BS246" s="709"/>
      <c r="BT246" s="709"/>
      <c r="BU246" s="709"/>
      <c r="BV246" s="709"/>
      <c r="BW246" s="709"/>
      <c r="BX246" s="709"/>
      <c r="BY246" s="709"/>
      <c r="BZ246" s="709"/>
      <c r="CA246" s="709">
        <v>1</v>
      </c>
      <c r="CB246" s="709"/>
      <c r="CC246" s="709"/>
      <c r="CD246" s="709"/>
      <c r="CE246" s="709"/>
      <c r="CF246" s="709"/>
      <c r="CG246" s="709"/>
      <c r="CH246" s="709"/>
      <c r="CI246" s="709"/>
      <c r="CJ246" s="709"/>
      <c r="CK246" s="709"/>
      <c r="CL246" s="709"/>
      <c r="CM246" s="709">
        <v>1</v>
      </c>
      <c r="CN246" s="709">
        <f t="shared" si="116"/>
        <v>3.6</v>
      </c>
      <c r="CO246" s="709"/>
      <c r="CP246" s="709"/>
      <c r="CQ246" s="709"/>
      <c r="CR246" s="709">
        <v>1</v>
      </c>
      <c r="CS246" s="709"/>
      <c r="CT246" s="709"/>
      <c r="CU246" s="709"/>
      <c r="CV246" s="709"/>
      <c r="CW246" s="709"/>
      <c r="CX246" s="683"/>
      <c r="CY246" s="711"/>
    </row>
    <row r="247" spans="1:234" s="678" customFormat="1" ht="13.8" hidden="1">
      <c r="A247" s="712" t="s">
        <v>1952</v>
      </c>
      <c r="B247" s="613"/>
      <c r="C247" s="613">
        <v>42</v>
      </c>
      <c r="D247" s="550">
        <f t="shared" si="117"/>
        <v>486</v>
      </c>
      <c r="E247" s="613"/>
      <c r="F247" s="613"/>
      <c r="G247" s="613"/>
      <c r="H247" s="613"/>
      <c r="I247" s="613"/>
      <c r="J247" s="679"/>
      <c r="K247" s="613"/>
      <c r="L247" s="613"/>
      <c r="M247" s="613"/>
      <c r="N247" s="550">
        <f t="shared" si="118"/>
        <v>486</v>
      </c>
      <c r="O247" s="614"/>
      <c r="P247" s="614"/>
      <c r="Q247" s="680" t="s">
        <v>1107</v>
      </c>
      <c r="R247" s="681"/>
      <c r="S247" s="681">
        <v>1</v>
      </c>
      <c r="T247" s="681"/>
      <c r="U247" s="681"/>
      <c r="V247" s="681"/>
      <c r="W247" s="681"/>
      <c r="X247" s="681"/>
      <c r="Y247" s="681"/>
      <c r="Z247" s="681">
        <v>1</v>
      </c>
      <c r="AA247" s="681"/>
      <c r="AB247" s="681"/>
      <c r="AC247" s="681"/>
      <c r="AD247" s="682"/>
      <c r="AE247" s="682"/>
      <c r="AF247" s="682"/>
      <c r="AG247" s="682"/>
      <c r="AH247" s="682"/>
      <c r="AI247" s="682"/>
      <c r="AJ247" s="682"/>
      <c r="AK247" s="682"/>
      <c r="AL247" s="682"/>
      <c r="AM247" s="682"/>
      <c r="AN247" s="682"/>
      <c r="AO247" s="682"/>
      <c r="AP247" s="682"/>
      <c r="AQ247" s="682"/>
      <c r="AR247" s="682"/>
      <c r="AS247" s="682"/>
      <c r="AT247" s="682"/>
      <c r="AU247" s="682"/>
      <c r="AV247" s="682"/>
      <c r="AW247" s="682">
        <v>1</v>
      </c>
      <c r="AX247" s="682"/>
      <c r="AY247" s="682"/>
      <c r="AZ247" s="682"/>
      <c r="BA247" s="682"/>
      <c r="BB247" s="682"/>
      <c r="BC247" s="682"/>
      <c r="BD247" s="682"/>
      <c r="BE247" s="682"/>
      <c r="BF247" s="672">
        <f t="shared" si="114"/>
        <v>1</v>
      </c>
      <c r="BG247" s="672">
        <f t="shared" si="115"/>
        <v>0</v>
      </c>
      <c r="BH247" s="682"/>
      <c r="BI247" s="682"/>
      <c r="BJ247" s="682"/>
      <c r="BK247" s="682"/>
      <c r="BL247" s="682"/>
      <c r="BM247" s="682"/>
      <c r="BN247" s="682"/>
      <c r="BO247" s="682"/>
      <c r="BP247" s="682"/>
      <c r="BQ247" s="682"/>
      <c r="BR247" s="682">
        <v>1</v>
      </c>
      <c r="BS247" s="682"/>
      <c r="BT247" s="682"/>
      <c r="BU247" s="682"/>
      <c r="BV247" s="682"/>
      <c r="BW247" s="682"/>
      <c r="BX247" s="682"/>
      <c r="BY247" s="682"/>
      <c r="BZ247" s="682"/>
      <c r="CA247" s="682">
        <v>1</v>
      </c>
      <c r="CB247" s="682"/>
      <c r="CC247" s="682"/>
      <c r="CD247" s="682"/>
      <c r="CE247" s="682"/>
      <c r="CF247" s="682"/>
      <c r="CG247" s="682"/>
      <c r="CH247" s="682"/>
      <c r="CI247" s="682"/>
      <c r="CJ247" s="682"/>
      <c r="CK247" s="682"/>
      <c r="CL247" s="682"/>
      <c r="CM247" s="682">
        <v>1</v>
      </c>
      <c r="CN247" s="682">
        <f t="shared" si="116"/>
        <v>3.6</v>
      </c>
      <c r="CO247" s="682"/>
      <c r="CP247" s="682"/>
      <c r="CQ247" s="682"/>
      <c r="CR247" s="682"/>
      <c r="CS247" s="682"/>
      <c r="CT247" s="682"/>
      <c r="CU247" s="682"/>
      <c r="CV247" s="682"/>
      <c r="CW247" s="682"/>
      <c r="CX247" s="683"/>
      <c r="CY247" s="711"/>
      <c r="CZ247" s="677"/>
      <c r="DA247" s="530"/>
      <c r="DB247" s="530"/>
      <c r="DC247" s="530"/>
      <c r="DD247" s="530"/>
      <c r="DE247" s="530"/>
      <c r="DF247" s="530"/>
      <c r="DG247" s="530"/>
      <c r="DH247" s="530"/>
      <c r="DI247" s="530"/>
      <c r="DJ247" s="530"/>
      <c r="DK247" s="530"/>
      <c r="DL247" s="530"/>
      <c r="DM247" s="530"/>
      <c r="DN247" s="530"/>
      <c r="DO247" s="530"/>
      <c r="DP247" s="530"/>
      <c r="DQ247" s="530"/>
      <c r="DR247" s="530"/>
      <c r="DS247" s="530"/>
      <c r="DT247" s="530"/>
      <c r="DU247" s="530"/>
      <c r="DV247" s="530"/>
      <c r="DW247" s="530"/>
      <c r="DX247" s="530"/>
      <c r="DY247" s="530"/>
      <c r="DZ247" s="530"/>
      <c r="EA247" s="530"/>
      <c r="EB247" s="530"/>
      <c r="EC247" s="530"/>
      <c r="ED247" s="530"/>
      <c r="EE247" s="530"/>
      <c r="EF247" s="530"/>
      <c r="EG247" s="530"/>
      <c r="EH247" s="530"/>
      <c r="EI247" s="530"/>
      <c r="EJ247" s="530"/>
      <c r="EK247" s="530"/>
      <c r="EL247" s="530"/>
      <c r="EM247" s="530"/>
      <c r="EN247" s="530"/>
      <c r="EO247" s="530"/>
      <c r="EP247" s="530"/>
      <c r="EQ247" s="530"/>
      <c r="ER247" s="530"/>
      <c r="ES247" s="530"/>
      <c r="ET247" s="530"/>
      <c r="EU247" s="530"/>
      <c r="EV247" s="530"/>
      <c r="EW247" s="530"/>
      <c r="EX247" s="530"/>
      <c r="EY247" s="530"/>
      <c r="EZ247" s="530"/>
      <c r="FA247" s="530"/>
      <c r="FB247" s="530"/>
      <c r="FC247" s="530"/>
      <c r="FD247" s="530"/>
      <c r="FE247" s="530"/>
      <c r="FF247" s="530"/>
      <c r="FG247" s="530"/>
      <c r="FH247" s="530"/>
      <c r="FI247" s="530"/>
      <c r="FJ247" s="530"/>
      <c r="FK247" s="530"/>
      <c r="FL247" s="530"/>
      <c r="FM247" s="530"/>
      <c r="FN247" s="530"/>
      <c r="FO247" s="530"/>
      <c r="FP247" s="530"/>
      <c r="FQ247" s="530"/>
      <c r="FR247" s="530"/>
      <c r="FS247" s="530"/>
      <c r="FT247" s="530"/>
      <c r="FU247" s="530"/>
      <c r="FV247" s="530"/>
      <c r="FW247" s="530"/>
      <c r="FX247" s="530"/>
      <c r="FY247" s="530"/>
      <c r="FZ247" s="530"/>
      <c r="GA247" s="530"/>
      <c r="GB247" s="530"/>
      <c r="GC247" s="530"/>
      <c r="GD247" s="530"/>
      <c r="GE247" s="530"/>
      <c r="GF247" s="530"/>
      <c r="GG247" s="530"/>
      <c r="GH247" s="530"/>
      <c r="GI247" s="530"/>
      <c r="GJ247" s="530"/>
      <c r="GK247" s="530"/>
      <c r="GL247" s="530"/>
      <c r="GM247" s="530"/>
      <c r="GN247" s="530"/>
      <c r="GO247" s="530"/>
      <c r="GP247" s="530"/>
      <c r="GQ247" s="530"/>
      <c r="GR247" s="530"/>
      <c r="GS247" s="530"/>
      <c r="GT247" s="530"/>
      <c r="GU247" s="530"/>
      <c r="GV247" s="530"/>
      <c r="GW247" s="530"/>
      <c r="GX247" s="530"/>
      <c r="GY247" s="530"/>
      <c r="GZ247" s="530"/>
      <c r="HA247" s="530"/>
      <c r="HB247" s="530"/>
      <c r="HC247" s="530"/>
      <c r="HD247" s="530"/>
      <c r="HE247" s="530"/>
      <c r="HF247" s="530"/>
      <c r="HG247" s="530"/>
      <c r="HH247" s="530"/>
      <c r="HI247" s="530"/>
      <c r="HJ247" s="530"/>
      <c r="HK247" s="530"/>
      <c r="HL247" s="530"/>
      <c r="HM247" s="530"/>
      <c r="HN247" s="530"/>
      <c r="HO247" s="530"/>
      <c r="HP247" s="530"/>
      <c r="HQ247" s="530"/>
      <c r="HR247" s="530"/>
      <c r="HS247" s="530"/>
      <c r="HT247" s="530"/>
      <c r="HU247" s="530"/>
      <c r="HV247" s="530"/>
      <c r="HW247" s="530"/>
      <c r="HX247" s="530"/>
      <c r="HY247" s="530"/>
      <c r="HZ247" s="530"/>
    </row>
    <row r="248" spans="1:234" s="717" customFormat="1" ht="13.8" hidden="1">
      <c r="A248" s="659" t="s">
        <v>4031</v>
      </c>
      <c r="B248" s="713"/>
      <c r="C248" s="714">
        <f>SUM(C232:C247)</f>
        <v>486</v>
      </c>
      <c r="D248" s="714">
        <f t="shared" ref="D248:N248" si="119">D247</f>
        <v>486</v>
      </c>
      <c r="E248" s="714">
        <f t="shared" si="119"/>
        <v>0</v>
      </c>
      <c r="F248" s="714">
        <f t="shared" si="119"/>
        <v>0</v>
      </c>
      <c r="G248" s="714">
        <f t="shared" si="119"/>
        <v>0</v>
      </c>
      <c r="H248" s="714">
        <f t="shared" si="119"/>
        <v>0</v>
      </c>
      <c r="I248" s="714">
        <f t="shared" si="119"/>
        <v>0</v>
      </c>
      <c r="J248" s="714">
        <f t="shared" si="119"/>
        <v>0</v>
      </c>
      <c r="K248" s="714">
        <f t="shared" si="119"/>
        <v>0</v>
      </c>
      <c r="L248" s="714">
        <f t="shared" si="119"/>
        <v>0</v>
      </c>
      <c r="M248" s="714">
        <f t="shared" si="119"/>
        <v>0</v>
      </c>
      <c r="N248" s="714">
        <f t="shared" si="119"/>
        <v>486</v>
      </c>
      <c r="O248" s="714"/>
      <c r="P248" s="714">
        <f>SUM(O232:O247)</f>
        <v>0</v>
      </c>
      <c r="Q248" s="714">
        <f>SUM(P232:P247)</f>
        <v>0</v>
      </c>
      <c r="R248" s="714">
        <f>SUM(Q232:Q247)</f>
        <v>0</v>
      </c>
      <c r="S248" s="714">
        <f t="shared" ref="S248:AX248" si="120">SUM(S232:S247)</f>
        <v>16</v>
      </c>
      <c r="T248" s="714">
        <f t="shared" si="120"/>
        <v>0</v>
      </c>
      <c r="U248" s="714">
        <f t="shared" si="120"/>
        <v>0</v>
      </c>
      <c r="V248" s="714">
        <f t="shared" si="120"/>
        <v>0</v>
      </c>
      <c r="W248" s="714">
        <f t="shared" si="120"/>
        <v>0</v>
      </c>
      <c r="X248" s="714">
        <f t="shared" si="120"/>
        <v>0</v>
      </c>
      <c r="Y248" s="714">
        <f t="shared" si="120"/>
        <v>0</v>
      </c>
      <c r="Z248" s="714">
        <f t="shared" si="120"/>
        <v>12</v>
      </c>
      <c r="AA248" s="714">
        <f t="shared" si="120"/>
        <v>0</v>
      </c>
      <c r="AB248" s="714">
        <f t="shared" si="120"/>
        <v>2</v>
      </c>
      <c r="AC248" s="714">
        <f t="shared" si="120"/>
        <v>2</v>
      </c>
      <c r="AD248" s="714">
        <f t="shared" si="120"/>
        <v>0</v>
      </c>
      <c r="AE248" s="714">
        <f t="shared" si="120"/>
        <v>0</v>
      </c>
      <c r="AF248" s="714">
        <f t="shared" si="120"/>
        <v>0</v>
      </c>
      <c r="AG248" s="714">
        <f t="shared" si="120"/>
        <v>0</v>
      </c>
      <c r="AH248" s="714">
        <f t="shared" si="120"/>
        <v>0</v>
      </c>
      <c r="AI248" s="714">
        <f t="shared" si="120"/>
        <v>0</v>
      </c>
      <c r="AJ248" s="714">
        <f t="shared" si="120"/>
        <v>0</v>
      </c>
      <c r="AK248" s="714">
        <f t="shared" si="120"/>
        <v>0</v>
      </c>
      <c r="AL248" s="714">
        <f t="shared" si="120"/>
        <v>0</v>
      </c>
      <c r="AM248" s="714">
        <f t="shared" si="120"/>
        <v>0</v>
      </c>
      <c r="AN248" s="714">
        <f t="shared" si="120"/>
        <v>0</v>
      </c>
      <c r="AO248" s="714">
        <f t="shared" si="120"/>
        <v>0</v>
      </c>
      <c r="AP248" s="714">
        <f t="shared" si="120"/>
        <v>0</v>
      </c>
      <c r="AQ248" s="714">
        <f t="shared" si="120"/>
        <v>0</v>
      </c>
      <c r="AR248" s="714">
        <f t="shared" si="120"/>
        <v>0</v>
      </c>
      <c r="AS248" s="714">
        <f t="shared" si="120"/>
        <v>0</v>
      </c>
      <c r="AT248" s="714">
        <f t="shared" si="120"/>
        <v>0</v>
      </c>
      <c r="AU248" s="714">
        <f t="shared" si="120"/>
        <v>0</v>
      </c>
      <c r="AV248" s="714">
        <f t="shared" si="120"/>
        <v>0</v>
      </c>
      <c r="AW248" s="714">
        <f t="shared" si="120"/>
        <v>7</v>
      </c>
      <c r="AX248" s="714">
        <f t="shared" si="120"/>
        <v>2</v>
      </c>
      <c r="AY248" s="714">
        <f t="shared" ref="AY248:CB248" si="121">SUM(AY232:AY247)</f>
        <v>0</v>
      </c>
      <c r="AZ248" s="714">
        <f t="shared" si="121"/>
        <v>0</v>
      </c>
      <c r="BA248" s="714">
        <f t="shared" si="121"/>
        <v>0</v>
      </c>
      <c r="BB248" s="714">
        <f t="shared" si="121"/>
        <v>0</v>
      </c>
      <c r="BC248" s="714">
        <f t="shared" si="121"/>
        <v>0</v>
      </c>
      <c r="BD248" s="714">
        <f t="shared" si="121"/>
        <v>0</v>
      </c>
      <c r="BE248" s="714">
        <f t="shared" si="121"/>
        <v>0</v>
      </c>
      <c r="BF248" s="714">
        <f t="shared" si="121"/>
        <v>7</v>
      </c>
      <c r="BG248" s="714">
        <f t="shared" si="121"/>
        <v>2</v>
      </c>
      <c r="BH248" s="714">
        <f t="shared" si="121"/>
        <v>0</v>
      </c>
      <c r="BI248" s="714">
        <f t="shared" si="121"/>
        <v>0</v>
      </c>
      <c r="BJ248" s="714">
        <f t="shared" si="121"/>
        <v>0</v>
      </c>
      <c r="BK248" s="714">
        <f t="shared" si="121"/>
        <v>0</v>
      </c>
      <c r="BL248" s="714">
        <f t="shared" si="121"/>
        <v>0</v>
      </c>
      <c r="BM248" s="714">
        <f t="shared" si="121"/>
        <v>0</v>
      </c>
      <c r="BN248" s="714">
        <f t="shared" si="121"/>
        <v>0</v>
      </c>
      <c r="BO248" s="714">
        <f t="shared" si="121"/>
        <v>0</v>
      </c>
      <c r="BP248" s="714">
        <f t="shared" si="121"/>
        <v>0</v>
      </c>
      <c r="BQ248" s="714">
        <f t="shared" si="121"/>
        <v>0</v>
      </c>
      <c r="BR248" s="714">
        <f t="shared" si="121"/>
        <v>3</v>
      </c>
      <c r="BS248" s="714">
        <f t="shared" si="121"/>
        <v>0</v>
      </c>
      <c r="BT248" s="714">
        <f t="shared" si="121"/>
        <v>0</v>
      </c>
      <c r="BU248" s="714">
        <f t="shared" si="121"/>
        <v>0</v>
      </c>
      <c r="BV248" s="714">
        <f t="shared" si="121"/>
        <v>0</v>
      </c>
      <c r="BW248" s="714">
        <f t="shared" si="121"/>
        <v>0</v>
      </c>
      <c r="BX248" s="714">
        <f t="shared" si="121"/>
        <v>0</v>
      </c>
      <c r="BY248" s="714">
        <f t="shared" si="121"/>
        <v>0</v>
      </c>
      <c r="BZ248" s="714">
        <f t="shared" si="121"/>
        <v>0</v>
      </c>
      <c r="CA248" s="714">
        <f t="shared" si="121"/>
        <v>15</v>
      </c>
      <c r="CB248" s="714">
        <f t="shared" si="121"/>
        <v>0</v>
      </c>
      <c r="CC248" s="714">
        <f t="shared" ref="CC248:CN248" si="122">SUM(CC232:CC247)</f>
        <v>0</v>
      </c>
      <c r="CD248" s="714">
        <f t="shared" si="122"/>
        <v>0</v>
      </c>
      <c r="CE248" s="714">
        <f t="shared" si="122"/>
        <v>0</v>
      </c>
      <c r="CF248" s="714">
        <f t="shared" si="122"/>
        <v>0</v>
      </c>
      <c r="CG248" s="714">
        <f t="shared" si="122"/>
        <v>0</v>
      </c>
      <c r="CH248" s="714">
        <f t="shared" si="122"/>
        <v>0</v>
      </c>
      <c r="CI248" s="714">
        <f t="shared" si="122"/>
        <v>0</v>
      </c>
      <c r="CJ248" s="714">
        <f t="shared" si="122"/>
        <v>0</v>
      </c>
      <c r="CK248" s="714">
        <f t="shared" si="122"/>
        <v>0</v>
      </c>
      <c r="CL248" s="714">
        <f t="shared" si="122"/>
        <v>0</v>
      </c>
      <c r="CM248" s="714">
        <f t="shared" si="122"/>
        <v>15</v>
      </c>
      <c r="CN248" s="714">
        <f t="shared" si="122"/>
        <v>54.000000000000014</v>
      </c>
      <c r="CO248" s="714">
        <f t="shared" ref="CO248:CW248" si="123">SUM(CO232:CO247)</f>
        <v>0</v>
      </c>
      <c r="CP248" s="714">
        <f t="shared" si="123"/>
        <v>0</v>
      </c>
      <c r="CQ248" s="714">
        <f t="shared" si="123"/>
        <v>0</v>
      </c>
      <c r="CR248" s="714">
        <f t="shared" si="123"/>
        <v>4</v>
      </c>
      <c r="CS248" s="714">
        <f t="shared" si="123"/>
        <v>0</v>
      </c>
      <c r="CT248" s="714">
        <f t="shared" si="123"/>
        <v>0</v>
      </c>
      <c r="CU248" s="714">
        <f t="shared" si="123"/>
        <v>0</v>
      </c>
      <c r="CV248" s="714">
        <f t="shared" si="123"/>
        <v>0</v>
      </c>
      <c r="CW248" s="714">
        <f t="shared" si="123"/>
        <v>0</v>
      </c>
      <c r="CX248" s="715">
        <v>19</v>
      </c>
      <c r="CY248" s="716"/>
    </row>
    <row r="249" spans="1:234" s="545" customFormat="1" ht="18" hidden="1" customHeight="1">
      <c r="A249" s="655" t="s">
        <v>4048</v>
      </c>
      <c r="B249" s="544"/>
      <c r="C249" s="544"/>
      <c r="D249" s="544"/>
      <c r="E249" s="544"/>
      <c r="F249" s="544"/>
      <c r="G249" s="544"/>
      <c r="H249" s="544"/>
      <c r="I249" s="544"/>
      <c r="J249" s="544"/>
      <c r="K249" s="544"/>
      <c r="L249" s="544"/>
      <c r="M249" s="544"/>
      <c r="N249" s="544"/>
      <c r="O249" s="544"/>
      <c r="P249" s="544"/>
      <c r="Q249" s="544"/>
      <c r="R249" s="544"/>
      <c r="S249" s="544"/>
      <c r="T249" s="544"/>
      <c r="U249" s="544"/>
      <c r="V249" s="544"/>
      <c r="W249" s="544"/>
      <c r="X249" s="544"/>
      <c r="Y249" s="544"/>
      <c r="Z249" s="544"/>
      <c r="AA249" s="544"/>
      <c r="AB249" s="544"/>
      <c r="AC249" s="544"/>
      <c r="AD249" s="544"/>
      <c r="AE249" s="544"/>
      <c r="AF249" s="544"/>
      <c r="AG249" s="544"/>
      <c r="AH249" s="544"/>
      <c r="AI249" s="544"/>
      <c r="AJ249" s="544"/>
      <c r="AK249" s="544"/>
      <c r="AL249" s="544"/>
      <c r="AM249" s="544"/>
      <c r="AN249" s="544"/>
      <c r="AO249" s="544"/>
      <c r="AP249" s="544"/>
      <c r="AQ249" s="544"/>
      <c r="AR249" s="544"/>
      <c r="AS249" s="544"/>
      <c r="AT249" s="544"/>
      <c r="AU249" s="544"/>
      <c r="AV249" s="544"/>
      <c r="AW249" s="544"/>
      <c r="AX249" s="544"/>
      <c r="AY249" s="544"/>
      <c r="AZ249" s="544"/>
      <c r="BA249" s="544"/>
      <c r="BB249" s="544"/>
      <c r="BC249" s="544"/>
      <c r="BD249" s="544"/>
      <c r="BE249" s="544"/>
      <c r="BF249" s="544"/>
      <c r="BG249" s="544"/>
      <c r="BH249" s="544"/>
      <c r="BI249" s="544"/>
      <c r="BJ249" s="544"/>
      <c r="BK249" s="544"/>
      <c r="BL249" s="544"/>
      <c r="BM249" s="544"/>
      <c r="BN249" s="544"/>
      <c r="BO249" s="544"/>
      <c r="BP249" s="544"/>
      <c r="BQ249" s="544"/>
      <c r="BR249" s="544"/>
      <c r="BS249" s="544"/>
      <c r="BT249" s="544"/>
      <c r="BU249" s="544"/>
      <c r="BV249" s="544"/>
      <c r="BW249" s="544"/>
      <c r="BX249" s="544"/>
      <c r="BY249" s="544"/>
      <c r="BZ249" s="544"/>
      <c r="CA249" s="544"/>
      <c r="CB249" s="544"/>
      <c r="CC249" s="544"/>
      <c r="CD249" s="544"/>
      <c r="CE249" s="544"/>
      <c r="CF249" s="544"/>
      <c r="CG249" s="544"/>
      <c r="CH249" s="544"/>
      <c r="CI249" s="544"/>
      <c r="CJ249" s="544"/>
      <c r="CK249" s="544"/>
      <c r="CL249" s="544"/>
      <c r="CM249" s="544"/>
      <c r="CN249" s="544"/>
      <c r="CO249" s="544"/>
      <c r="CP249" s="544"/>
      <c r="CQ249" s="544"/>
      <c r="CR249" s="544"/>
      <c r="CS249" s="544"/>
      <c r="CT249" s="544"/>
      <c r="CU249" s="544"/>
      <c r="CV249" s="544"/>
      <c r="CW249" s="544"/>
      <c r="CX249" s="544"/>
      <c r="CY249" s="669"/>
      <c r="CZ249" s="530"/>
      <c r="DA249" s="530"/>
      <c r="DB249" s="530"/>
      <c r="DC249" s="530"/>
      <c r="DD249" s="530"/>
      <c r="DE249" s="530"/>
      <c r="DF249" s="530"/>
      <c r="DG249" s="530"/>
      <c r="DH249" s="530"/>
      <c r="DI249" s="530"/>
      <c r="DJ249" s="530"/>
      <c r="DK249" s="530"/>
      <c r="DL249" s="530"/>
      <c r="DM249" s="530"/>
      <c r="DN249" s="530"/>
      <c r="DO249" s="530"/>
      <c r="DP249" s="530"/>
      <c r="DQ249" s="530"/>
      <c r="DR249" s="530"/>
      <c r="DS249" s="530"/>
      <c r="DT249" s="530"/>
      <c r="DU249" s="530"/>
      <c r="DV249" s="530"/>
      <c r="DW249" s="530"/>
      <c r="DX249" s="530"/>
      <c r="DY249" s="530"/>
      <c r="DZ249" s="530"/>
      <c r="EA249" s="530"/>
      <c r="EB249" s="530"/>
      <c r="EC249" s="530"/>
      <c r="ED249" s="530"/>
      <c r="EE249" s="530"/>
      <c r="EF249" s="530"/>
      <c r="EG249" s="530"/>
      <c r="EH249" s="530"/>
      <c r="EI249" s="530"/>
      <c r="EJ249" s="530"/>
      <c r="EK249" s="530"/>
      <c r="EL249" s="530"/>
      <c r="EM249" s="530"/>
      <c r="EN249" s="530"/>
      <c r="EO249" s="530"/>
      <c r="EP249" s="530"/>
      <c r="EQ249" s="530"/>
      <c r="ER249" s="530"/>
      <c r="ES249" s="530"/>
      <c r="ET249" s="530"/>
      <c r="EU249" s="530"/>
      <c r="EV249" s="530"/>
      <c r="EW249" s="530"/>
      <c r="EX249" s="530"/>
      <c r="EY249" s="530"/>
      <c r="EZ249" s="530"/>
      <c r="FA249" s="530"/>
      <c r="FB249" s="530"/>
      <c r="FC249" s="530"/>
      <c r="FD249" s="530"/>
      <c r="FE249" s="530"/>
      <c r="FF249" s="530"/>
      <c r="FG249" s="530"/>
      <c r="FH249" s="530"/>
      <c r="FI249" s="530"/>
      <c r="FJ249" s="530"/>
      <c r="FK249" s="530"/>
      <c r="FL249" s="530"/>
      <c r="FM249" s="530"/>
      <c r="FN249" s="530"/>
      <c r="FO249" s="530"/>
      <c r="FP249" s="530"/>
      <c r="FQ249" s="530"/>
      <c r="FR249" s="530"/>
      <c r="FS249" s="530"/>
      <c r="FT249" s="530"/>
      <c r="FU249" s="530"/>
      <c r="FV249" s="530"/>
      <c r="FW249" s="530"/>
      <c r="FX249" s="530"/>
      <c r="FY249" s="530"/>
      <c r="FZ249" s="530"/>
      <c r="GA249" s="530"/>
      <c r="GB249" s="530"/>
      <c r="GC249" s="530"/>
      <c r="GD249" s="530"/>
      <c r="GE249" s="530"/>
      <c r="GF249" s="530"/>
      <c r="GG249" s="530"/>
      <c r="GH249" s="530"/>
      <c r="GI249" s="530"/>
      <c r="GJ249" s="530"/>
      <c r="GK249" s="530"/>
      <c r="GL249" s="530"/>
      <c r="GM249" s="530"/>
      <c r="GN249" s="530"/>
      <c r="GO249" s="530"/>
      <c r="GP249" s="530"/>
      <c r="GQ249" s="530"/>
      <c r="GR249" s="530"/>
      <c r="GS249" s="530"/>
      <c r="GT249" s="530"/>
      <c r="GU249" s="530"/>
      <c r="GV249" s="530"/>
      <c r="GW249" s="530"/>
      <c r="GX249" s="530"/>
      <c r="GY249" s="530"/>
      <c r="GZ249" s="530"/>
      <c r="HA249" s="530"/>
      <c r="HB249" s="530"/>
      <c r="HC249" s="530"/>
      <c r="HD249" s="530"/>
      <c r="HE249" s="530"/>
      <c r="HF249" s="530"/>
      <c r="HG249" s="530"/>
      <c r="HH249" s="530"/>
      <c r="HI249" s="530"/>
      <c r="HJ249" s="530"/>
      <c r="HK249" s="530"/>
      <c r="HL249" s="530"/>
      <c r="HM249" s="530"/>
      <c r="HN249" s="530"/>
      <c r="HO249" s="530"/>
      <c r="HP249" s="530"/>
      <c r="HQ249" s="530"/>
      <c r="HR249" s="530"/>
      <c r="HS249" s="530"/>
      <c r="HT249" s="530"/>
      <c r="HU249" s="530"/>
      <c r="HV249" s="530"/>
      <c r="HW249" s="530"/>
      <c r="HX249" s="530"/>
      <c r="HY249" s="530"/>
      <c r="HZ249" s="530"/>
    </row>
    <row r="250" spans="1:234" ht="13.8" hidden="1">
      <c r="A250" s="591" t="s">
        <v>2116</v>
      </c>
      <c r="B250" s="702"/>
      <c r="C250" s="555"/>
      <c r="D250" s="555"/>
      <c r="E250" s="555"/>
      <c r="F250" s="555"/>
      <c r="G250" s="555"/>
      <c r="H250" s="555"/>
      <c r="I250" s="555"/>
      <c r="J250" s="555"/>
      <c r="K250" s="555"/>
      <c r="L250" s="555"/>
      <c r="M250" s="555"/>
      <c r="N250" s="555">
        <f>C250</f>
        <v>0</v>
      </c>
      <c r="O250" s="556"/>
      <c r="P250" s="556"/>
      <c r="Q250" s="703" t="s">
        <v>658</v>
      </c>
      <c r="R250" s="718"/>
      <c r="S250" s="718">
        <v>1</v>
      </c>
      <c r="T250" s="718"/>
      <c r="U250" s="718"/>
      <c r="V250" s="718"/>
      <c r="W250" s="718"/>
      <c r="X250" s="718"/>
      <c r="Y250" s="718"/>
      <c r="Z250" s="718">
        <v>1</v>
      </c>
      <c r="AA250" s="718"/>
      <c r="AB250" s="718"/>
      <c r="AC250" s="718"/>
      <c r="AD250" s="672"/>
      <c r="AE250" s="672"/>
      <c r="AF250" s="672"/>
      <c r="AG250" s="672"/>
      <c r="AH250" s="672"/>
      <c r="AI250" s="672"/>
      <c r="AJ250" s="672"/>
      <c r="AK250" s="672"/>
      <c r="AL250" s="672"/>
      <c r="AM250" s="672"/>
      <c r="AN250" s="672"/>
      <c r="AO250" s="672"/>
      <c r="AP250" s="672"/>
      <c r="AQ250" s="672"/>
      <c r="AR250" s="672"/>
      <c r="AS250" s="672"/>
      <c r="AT250" s="672"/>
      <c r="AU250" s="672"/>
      <c r="AV250" s="672"/>
      <c r="AW250" s="672"/>
      <c r="AX250" s="672">
        <v>1</v>
      </c>
      <c r="AY250" s="672"/>
      <c r="AZ250" s="672"/>
      <c r="BA250" s="672"/>
      <c r="BB250" s="672"/>
      <c r="BC250" s="672"/>
      <c r="BD250" s="672"/>
      <c r="BE250" s="672"/>
      <c r="BF250" s="672">
        <f t="shared" ref="BF250:BG254" si="124">AW250</f>
        <v>0</v>
      </c>
      <c r="BG250" s="672">
        <f t="shared" si="124"/>
        <v>1</v>
      </c>
      <c r="BH250" s="672"/>
      <c r="BI250" s="672"/>
      <c r="BJ250" s="672"/>
      <c r="BK250" s="672"/>
      <c r="BL250" s="672"/>
      <c r="BM250" s="672"/>
      <c r="BN250" s="672"/>
      <c r="BO250" s="672"/>
      <c r="BP250" s="672"/>
      <c r="BQ250" s="672"/>
      <c r="BR250" s="672">
        <v>1</v>
      </c>
      <c r="BS250" s="672"/>
      <c r="BT250" s="672"/>
      <c r="BU250" s="672"/>
      <c r="BV250" s="672"/>
      <c r="BW250" s="672"/>
      <c r="BX250" s="672"/>
      <c r="BY250" s="672"/>
      <c r="BZ250" s="672"/>
      <c r="CA250" s="672"/>
      <c r="CB250" s="672"/>
      <c r="CC250" s="672"/>
      <c r="CD250" s="672"/>
      <c r="CE250" s="672"/>
      <c r="CF250" s="672"/>
      <c r="CG250" s="672"/>
      <c r="CH250" s="672"/>
      <c r="CI250" s="672"/>
      <c r="CJ250" s="672"/>
      <c r="CK250" s="672"/>
      <c r="CL250" s="672"/>
      <c r="CM250" s="672"/>
      <c r="CN250" s="672">
        <f>+CM250*3.6</f>
        <v>0</v>
      </c>
      <c r="CO250" s="672"/>
      <c r="CP250" s="672"/>
      <c r="CQ250" s="672"/>
      <c r="CR250" s="672"/>
      <c r="CS250" s="672"/>
      <c r="CT250" s="672"/>
      <c r="CU250" s="672"/>
      <c r="CV250" s="672"/>
      <c r="CW250" s="672"/>
      <c r="CX250" s="704"/>
      <c r="CY250" s="705"/>
      <c r="HU250" s="542"/>
      <c r="HV250" s="542"/>
      <c r="HW250" s="542"/>
      <c r="HX250" s="542"/>
      <c r="HY250" s="542"/>
      <c r="HZ250" s="542"/>
    </row>
    <row r="251" spans="1:234" ht="13.8" hidden="1">
      <c r="A251" s="591" t="s">
        <v>2117</v>
      </c>
      <c r="B251" s="670"/>
      <c r="C251" s="550">
        <v>43</v>
      </c>
      <c r="D251" s="550">
        <f>D250+C251</f>
        <v>43</v>
      </c>
      <c r="E251" s="550"/>
      <c r="F251" s="550"/>
      <c r="G251" s="550"/>
      <c r="H251" s="550"/>
      <c r="I251" s="550"/>
      <c r="J251" s="550"/>
      <c r="K251" s="550"/>
      <c r="L251" s="550"/>
      <c r="M251" s="550"/>
      <c r="N251" s="550">
        <f>+N250+C251</f>
        <v>43</v>
      </c>
      <c r="O251" s="439"/>
      <c r="P251" s="439"/>
      <c r="Q251" s="674" t="s">
        <v>501</v>
      </c>
      <c r="R251" s="671"/>
      <c r="S251" s="671">
        <v>1</v>
      </c>
      <c r="T251" s="671"/>
      <c r="U251" s="671"/>
      <c r="V251" s="671"/>
      <c r="W251" s="671"/>
      <c r="X251" s="671"/>
      <c r="Y251" s="671"/>
      <c r="Z251" s="671">
        <v>1</v>
      </c>
      <c r="AA251" s="671"/>
      <c r="AB251" s="671"/>
      <c r="AC251" s="671"/>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72">
        <f t="shared" si="124"/>
        <v>0</v>
      </c>
      <c r="BG251" s="672">
        <f t="shared" si="124"/>
        <v>0</v>
      </c>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v>1</v>
      </c>
      <c r="CB251" s="623"/>
      <c r="CC251" s="623"/>
      <c r="CD251" s="623"/>
      <c r="CE251" s="623"/>
      <c r="CF251" s="623"/>
      <c r="CG251" s="623"/>
      <c r="CH251" s="623"/>
      <c r="CI251" s="623"/>
      <c r="CJ251" s="623"/>
      <c r="CK251" s="623"/>
      <c r="CL251" s="623"/>
      <c r="CM251" s="623">
        <v>1</v>
      </c>
      <c r="CN251" s="623">
        <f>+CM251*3.6</f>
        <v>3.6</v>
      </c>
      <c r="CO251" s="623"/>
      <c r="CP251" s="623"/>
      <c r="CQ251" s="623"/>
      <c r="CR251" s="623"/>
      <c r="CS251" s="623"/>
      <c r="CT251" s="623"/>
      <c r="CU251" s="623"/>
      <c r="CV251" s="623"/>
      <c r="CW251" s="623"/>
      <c r="CX251" s="673"/>
      <c r="CY251" s="557"/>
    </row>
    <row r="252" spans="1:234" ht="13.8" hidden="1">
      <c r="A252" s="591" t="s">
        <v>2118</v>
      </c>
      <c r="B252" s="670"/>
      <c r="C252" s="550">
        <v>40</v>
      </c>
      <c r="D252" s="550">
        <f>D251+C252</f>
        <v>83</v>
      </c>
      <c r="E252" s="550"/>
      <c r="F252" s="550"/>
      <c r="G252" s="550"/>
      <c r="H252" s="550"/>
      <c r="I252" s="550"/>
      <c r="J252" s="550"/>
      <c r="K252" s="550"/>
      <c r="L252" s="550"/>
      <c r="M252" s="550"/>
      <c r="N252" s="550">
        <f>+N251+C252</f>
        <v>83</v>
      </c>
      <c r="O252" s="439"/>
      <c r="P252" s="439"/>
      <c r="Q252" s="674" t="s">
        <v>501</v>
      </c>
      <c r="R252" s="671"/>
      <c r="S252" s="671">
        <v>1</v>
      </c>
      <c r="T252" s="671"/>
      <c r="U252" s="671"/>
      <c r="V252" s="671"/>
      <c r="W252" s="671"/>
      <c r="X252" s="671"/>
      <c r="Y252" s="671"/>
      <c r="Z252" s="671">
        <v>1</v>
      </c>
      <c r="AA252" s="671"/>
      <c r="AB252" s="671"/>
      <c r="AC252" s="671"/>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72">
        <f t="shared" si="124"/>
        <v>0</v>
      </c>
      <c r="BG252" s="672">
        <f t="shared" si="124"/>
        <v>0</v>
      </c>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v>1</v>
      </c>
      <c r="CB252" s="623"/>
      <c r="CC252" s="623"/>
      <c r="CD252" s="623"/>
      <c r="CE252" s="623"/>
      <c r="CF252" s="623"/>
      <c r="CG252" s="623"/>
      <c r="CH252" s="623"/>
      <c r="CI252" s="623"/>
      <c r="CJ252" s="623"/>
      <c r="CK252" s="623"/>
      <c r="CL252" s="623"/>
      <c r="CM252" s="623">
        <v>1</v>
      </c>
      <c r="CN252" s="623">
        <f>+CM252*3.6</f>
        <v>3.6</v>
      </c>
      <c r="CO252" s="623"/>
      <c r="CP252" s="623"/>
      <c r="CQ252" s="623"/>
      <c r="CR252" s="623"/>
      <c r="CS252" s="623"/>
      <c r="CT252" s="623"/>
      <c r="CU252" s="623"/>
      <c r="CV252" s="623"/>
      <c r="CW252" s="623"/>
      <c r="CX252" s="673"/>
      <c r="CY252" s="557"/>
    </row>
    <row r="253" spans="1:234" ht="13.8" hidden="1">
      <c r="A253" s="591" t="s">
        <v>921</v>
      </c>
      <c r="B253" s="670"/>
      <c r="C253" s="550">
        <v>40</v>
      </c>
      <c r="D253" s="550">
        <f>D252+C253</f>
        <v>123</v>
      </c>
      <c r="E253" s="550"/>
      <c r="F253" s="550"/>
      <c r="G253" s="550"/>
      <c r="H253" s="550"/>
      <c r="I253" s="550"/>
      <c r="J253" s="550"/>
      <c r="K253" s="550"/>
      <c r="L253" s="550"/>
      <c r="M253" s="550"/>
      <c r="N253" s="550">
        <f>+N252+C253</f>
        <v>123</v>
      </c>
      <c r="O253" s="439"/>
      <c r="P253" s="439"/>
      <c r="Q253" s="674" t="s">
        <v>501</v>
      </c>
      <c r="R253" s="671"/>
      <c r="S253" s="671">
        <v>1</v>
      </c>
      <c r="T253" s="671"/>
      <c r="U253" s="671"/>
      <c r="V253" s="671"/>
      <c r="W253" s="671"/>
      <c r="X253" s="671"/>
      <c r="Y253" s="671"/>
      <c r="Z253" s="671">
        <v>1</v>
      </c>
      <c r="AA253" s="671"/>
      <c r="AB253" s="671"/>
      <c r="AC253" s="671"/>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72">
        <f t="shared" si="124"/>
        <v>0</v>
      </c>
      <c r="BG253" s="672">
        <f t="shared" si="124"/>
        <v>0</v>
      </c>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v>1</v>
      </c>
      <c r="CB253" s="623"/>
      <c r="CC253" s="623"/>
      <c r="CD253" s="623"/>
      <c r="CE253" s="623"/>
      <c r="CF253" s="623"/>
      <c r="CG253" s="623"/>
      <c r="CH253" s="623"/>
      <c r="CI253" s="623"/>
      <c r="CJ253" s="623"/>
      <c r="CK253" s="623"/>
      <c r="CL253" s="623"/>
      <c r="CM253" s="623">
        <v>1</v>
      </c>
      <c r="CN253" s="623">
        <f>+CM253*3.6</f>
        <v>3.6</v>
      </c>
      <c r="CO253" s="623"/>
      <c r="CP253" s="623"/>
      <c r="CQ253" s="623"/>
      <c r="CR253" s="623"/>
      <c r="CS253" s="623"/>
      <c r="CT253" s="623"/>
      <c r="CU253" s="623"/>
      <c r="CV253" s="623"/>
      <c r="CW253" s="623"/>
      <c r="CX253" s="673"/>
      <c r="CY253" s="557"/>
    </row>
    <row r="254" spans="1:234" s="678" customFormat="1" ht="13.8" hidden="1">
      <c r="A254" s="712" t="s">
        <v>1226</v>
      </c>
      <c r="B254" s="613"/>
      <c r="C254" s="613">
        <v>38</v>
      </c>
      <c r="D254" s="550">
        <f>D253+C254</f>
        <v>161</v>
      </c>
      <c r="E254" s="613"/>
      <c r="F254" s="613"/>
      <c r="G254" s="613"/>
      <c r="H254" s="613"/>
      <c r="I254" s="613"/>
      <c r="J254" s="679"/>
      <c r="K254" s="613"/>
      <c r="L254" s="613"/>
      <c r="M254" s="613"/>
      <c r="N254" s="550">
        <f>+N253+C254</f>
        <v>161</v>
      </c>
      <c r="O254" s="614"/>
      <c r="P254" s="614"/>
      <c r="Q254" s="680" t="s">
        <v>1107</v>
      </c>
      <c r="R254" s="681"/>
      <c r="S254" s="681">
        <v>1</v>
      </c>
      <c r="T254" s="681"/>
      <c r="U254" s="681"/>
      <c r="V254" s="681"/>
      <c r="W254" s="681"/>
      <c r="X254" s="681"/>
      <c r="Y254" s="681"/>
      <c r="Z254" s="681">
        <v>1</v>
      </c>
      <c r="AA254" s="681"/>
      <c r="AB254" s="681"/>
      <c r="AC254" s="681"/>
      <c r="AD254" s="682"/>
      <c r="AE254" s="682"/>
      <c r="AF254" s="682"/>
      <c r="AG254" s="682"/>
      <c r="AH254" s="682"/>
      <c r="AI254" s="682"/>
      <c r="AJ254" s="682"/>
      <c r="AK254" s="682"/>
      <c r="AL254" s="682"/>
      <c r="AM254" s="682"/>
      <c r="AN254" s="682"/>
      <c r="AO254" s="682"/>
      <c r="AP254" s="682"/>
      <c r="AQ254" s="682"/>
      <c r="AR254" s="682"/>
      <c r="AS254" s="682"/>
      <c r="AT254" s="682"/>
      <c r="AU254" s="682"/>
      <c r="AV254" s="682"/>
      <c r="AW254" s="682">
        <v>1</v>
      </c>
      <c r="AX254" s="682"/>
      <c r="AY254" s="682"/>
      <c r="AZ254" s="682"/>
      <c r="BA254" s="682"/>
      <c r="BB254" s="682"/>
      <c r="BC254" s="682"/>
      <c r="BD254" s="682"/>
      <c r="BE254" s="682"/>
      <c r="BF254" s="672">
        <f t="shared" si="124"/>
        <v>1</v>
      </c>
      <c r="BG254" s="672">
        <f t="shared" si="124"/>
        <v>0</v>
      </c>
      <c r="BH254" s="682"/>
      <c r="BI254" s="682"/>
      <c r="BJ254" s="682"/>
      <c r="BK254" s="682"/>
      <c r="BL254" s="682"/>
      <c r="BM254" s="682"/>
      <c r="BN254" s="682"/>
      <c r="BO254" s="682"/>
      <c r="BP254" s="682"/>
      <c r="BQ254" s="682"/>
      <c r="BR254" s="682">
        <v>1</v>
      </c>
      <c r="BS254" s="682"/>
      <c r="BT254" s="682"/>
      <c r="BU254" s="682"/>
      <c r="BV254" s="682"/>
      <c r="BW254" s="682"/>
      <c r="BX254" s="682"/>
      <c r="BY254" s="682"/>
      <c r="BZ254" s="682"/>
      <c r="CA254" s="682">
        <v>1</v>
      </c>
      <c r="CB254" s="682"/>
      <c r="CC254" s="682"/>
      <c r="CD254" s="682"/>
      <c r="CE254" s="682"/>
      <c r="CF254" s="682"/>
      <c r="CG254" s="682"/>
      <c r="CH254" s="682"/>
      <c r="CI254" s="682"/>
      <c r="CJ254" s="682"/>
      <c r="CK254" s="682"/>
      <c r="CL254" s="682"/>
      <c r="CM254" s="682">
        <v>1</v>
      </c>
      <c r="CN254" s="682">
        <f>+CM254*3.6</f>
        <v>3.6</v>
      </c>
      <c r="CO254" s="682"/>
      <c r="CP254" s="682"/>
      <c r="CQ254" s="682"/>
      <c r="CR254" s="682"/>
      <c r="CS254" s="682"/>
      <c r="CT254" s="682"/>
      <c r="CU254" s="682"/>
      <c r="CV254" s="682"/>
      <c r="CW254" s="682"/>
      <c r="CX254" s="683"/>
      <c r="CY254" s="711"/>
      <c r="CZ254" s="677"/>
      <c r="DA254" s="530"/>
      <c r="DB254" s="530"/>
      <c r="DC254" s="530"/>
      <c r="DD254" s="530"/>
      <c r="DE254" s="530"/>
      <c r="DF254" s="530"/>
      <c r="DG254" s="530"/>
      <c r="DH254" s="530"/>
      <c r="DI254" s="530"/>
      <c r="DJ254" s="530"/>
      <c r="DK254" s="530"/>
      <c r="DL254" s="530"/>
      <c r="DM254" s="530"/>
      <c r="DN254" s="530"/>
      <c r="DO254" s="530"/>
      <c r="DP254" s="530"/>
      <c r="DQ254" s="530"/>
      <c r="DR254" s="530"/>
      <c r="DS254" s="530"/>
      <c r="DT254" s="530"/>
      <c r="DU254" s="530"/>
      <c r="DV254" s="530"/>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row>
    <row r="255" spans="1:234" s="717" customFormat="1" ht="13.8" hidden="1">
      <c r="A255" s="659" t="s">
        <v>4033</v>
      </c>
      <c r="B255" s="713"/>
      <c r="C255" s="714">
        <f>SUM(C250:C254)</f>
        <v>161</v>
      </c>
      <c r="D255" s="714">
        <f t="shared" ref="D255:N255" si="125">D254</f>
        <v>161</v>
      </c>
      <c r="E255" s="714">
        <f t="shared" si="125"/>
        <v>0</v>
      </c>
      <c r="F255" s="714">
        <f t="shared" si="125"/>
        <v>0</v>
      </c>
      <c r="G255" s="714">
        <f t="shared" si="125"/>
        <v>0</v>
      </c>
      <c r="H255" s="714">
        <f t="shared" si="125"/>
        <v>0</v>
      </c>
      <c r="I255" s="714">
        <f t="shared" si="125"/>
        <v>0</v>
      </c>
      <c r="J255" s="714">
        <f t="shared" si="125"/>
        <v>0</v>
      </c>
      <c r="K255" s="714">
        <f t="shared" si="125"/>
        <v>0</v>
      </c>
      <c r="L255" s="714">
        <f t="shared" si="125"/>
        <v>0</v>
      </c>
      <c r="M255" s="714">
        <f t="shared" si="125"/>
        <v>0</v>
      </c>
      <c r="N255" s="714">
        <f t="shared" si="125"/>
        <v>161</v>
      </c>
      <c r="O255" s="714"/>
      <c r="P255" s="714">
        <f>SUM(O250:O254)</f>
        <v>0</v>
      </c>
      <c r="Q255" s="714">
        <f>SUM(P250:P254)</f>
        <v>0</v>
      </c>
      <c r="R255" s="714">
        <f>SUM(Q250:Q254)</f>
        <v>0</v>
      </c>
      <c r="S255" s="714">
        <f t="shared" ref="S255:AX255" si="126">SUM(S250:S254)</f>
        <v>5</v>
      </c>
      <c r="T255" s="714">
        <f t="shared" si="126"/>
        <v>0</v>
      </c>
      <c r="U255" s="714">
        <f t="shared" si="126"/>
        <v>0</v>
      </c>
      <c r="V255" s="714">
        <f t="shared" si="126"/>
        <v>0</v>
      </c>
      <c r="W255" s="714">
        <f t="shared" si="126"/>
        <v>0</v>
      </c>
      <c r="X255" s="714">
        <f t="shared" si="126"/>
        <v>0</v>
      </c>
      <c r="Y255" s="714">
        <f t="shared" si="126"/>
        <v>0</v>
      </c>
      <c r="Z255" s="714">
        <f t="shared" si="126"/>
        <v>5</v>
      </c>
      <c r="AA255" s="714">
        <f t="shared" si="126"/>
        <v>0</v>
      </c>
      <c r="AB255" s="714">
        <f t="shared" si="126"/>
        <v>0</v>
      </c>
      <c r="AC255" s="714">
        <f t="shared" si="126"/>
        <v>0</v>
      </c>
      <c r="AD255" s="714">
        <f t="shared" si="126"/>
        <v>0</v>
      </c>
      <c r="AE255" s="714">
        <f t="shared" si="126"/>
        <v>0</v>
      </c>
      <c r="AF255" s="714">
        <f t="shared" si="126"/>
        <v>0</v>
      </c>
      <c r="AG255" s="714">
        <f t="shared" si="126"/>
        <v>0</v>
      </c>
      <c r="AH255" s="714">
        <f t="shared" si="126"/>
        <v>0</v>
      </c>
      <c r="AI255" s="714">
        <f t="shared" si="126"/>
        <v>0</v>
      </c>
      <c r="AJ255" s="714">
        <f t="shared" si="126"/>
        <v>0</v>
      </c>
      <c r="AK255" s="714">
        <f t="shared" si="126"/>
        <v>0</v>
      </c>
      <c r="AL255" s="714">
        <f t="shared" si="126"/>
        <v>0</v>
      </c>
      <c r="AM255" s="714">
        <f t="shared" si="126"/>
        <v>0</v>
      </c>
      <c r="AN255" s="714">
        <f t="shared" si="126"/>
        <v>0</v>
      </c>
      <c r="AO255" s="714">
        <f t="shared" si="126"/>
        <v>0</v>
      </c>
      <c r="AP255" s="714">
        <f t="shared" si="126"/>
        <v>0</v>
      </c>
      <c r="AQ255" s="714">
        <f t="shared" si="126"/>
        <v>0</v>
      </c>
      <c r="AR255" s="714">
        <f t="shared" si="126"/>
        <v>0</v>
      </c>
      <c r="AS255" s="714">
        <f t="shared" si="126"/>
        <v>0</v>
      </c>
      <c r="AT255" s="714">
        <f t="shared" si="126"/>
        <v>0</v>
      </c>
      <c r="AU255" s="714">
        <f t="shared" si="126"/>
        <v>0</v>
      </c>
      <c r="AV255" s="714">
        <f t="shared" si="126"/>
        <v>0</v>
      </c>
      <c r="AW255" s="714">
        <f t="shared" si="126"/>
        <v>1</v>
      </c>
      <c r="AX255" s="714">
        <f t="shared" si="126"/>
        <v>1</v>
      </c>
      <c r="AY255" s="714">
        <f t="shared" ref="AY255:CB255" si="127">SUM(AY250:AY254)</f>
        <v>0</v>
      </c>
      <c r="AZ255" s="714">
        <f t="shared" si="127"/>
        <v>0</v>
      </c>
      <c r="BA255" s="714">
        <f t="shared" si="127"/>
        <v>0</v>
      </c>
      <c r="BB255" s="714">
        <f t="shared" si="127"/>
        <v>0</v>
      </c>
      <c r="BC255" s="714">
        <f t="shared" si="127"/>
        <v>0</v>
      </c>
      <c r="BD255" s="714">
        <f t="shared" si="127"/>
        <v>0</v>
      </c>
      <c r="BE255" s="714">
        <f t="shared" si="127"/>
        <v>0</v>
      </c>
      <c r="BF255" s="714">
        <f t="shared" si="127"/>
        <v>1</v>
      </c>
      <c r="BG255" s="714">
        <f t="shared" si="127"/>
        <v>1</v>
      </c>
      <c r="BH255" s="714">
        <f t="shared" si="127"/>
        <v>0</v>
      </c>
      <c r="BI255" s="714">
        <f t="shared" si="127"/>
        <v>0</v>
      </c>
      <c r="BJ255" s="714">
        <f t="shared" si="127"/>
        <v>0</v>
      </c>
      <c r="BK255" s="714">
        <f t="shared" si="127"/>
        <v>0</v>
      </c>
      <c r="BL255" s="714">
        <f t="shared" si="127"/>
        <v>0</v>
      </c>
      <c r="BM255" s="714">
        <f t="shared" si="127"/>
        <v>0</v>
      </c>
      <c r="BN255" s="714">
        <f t="shared" si="127"/>
        <v>0</v>
      </c>
      <c r="BO255" s="714">
        <f t="shared" si="127"/>
        <v>0</v>
      </c>
      <c r="BP255" s="714">
        <f t="shared" si="127"/>
        <v>0</v>
      </c>
      <c r="BQ255" s="714">
        <f t="shared" si="127"/>
        <v>0</v>
      </c>
      <c r="BR255" s="714">
        <f t="shared" si="127"/>
        <v>2</v>
      </c>
      <c r="BS255" s="714">
        <f t="shared" si="127"/>
        <v>0</v>
      </c>
      <c r="BT255" s="714">
        <f t="shared" si="127"/>
        <v>0</v>
      </c>
      <c r="BU255" s="714">
        <f t="shared" si="127"/>
        <v>0</v>
      </c>
      <c r="BV255" s="714">
        <f t="shared" si="127"/>
        <v>0</v>
      </c>
      <c r="BW255" s="714">
        <f t="shared" si="127"/>
        <v>0</v>
      </c>
      <c r="BX255" s="714">
        <f t="shared" si="127"/>
        <v>0</v>
      </c>
      <c r="BY255" s="714">
        <f t="shared" si="127"/>
        <v>0</v>
      </c>
      <c r="BZ255" s="714">
        <f t="shared" si="127"/>
        <v>0</v>
      </c>
      <c r="CA255" s="714">
        <f t="shared" si="127"/>
        <v>4</v>
      </c>
      <c r="CB255" s="714">
        <f t="shared" si="127"/>
        <v>0</v>
      </c>
      <c r="CC255" s="714">
        <f t="shared" ref="CC255:CN255" si="128">SUM(CC250:CC254)</f>
        <v>0</v>
      </c>
      <c r="CD255" s="714">
        <f t="shared" si="128"/>
        <v>0</v>
      </c>
      <c r="CE255" s="714">
        <f t="shared" si="128"/>
        <v>0</v>
      </c>
      <c r="CF255" s="714">
        <f t="shared" si="128"/>
        <v>0</v>
      </c>
      <c r="CG255" s="714">
        <f t="shared" si="128"/>
        <v>0</v>
      </c>
      <c r="CH255" s="714">
        <f t="shared" si="128"/>
        <v>0</v>
      </c>
      <c r="CI255" s="714">
        <f t="shared" si="128"/>
        <v>0</v>
      </c>
      <c r="CJ255" s="714">
        <f t="shared" si="128"/>
        <v>0</v>
      </c>
      <c r="CK255" s="714">
        <f t="shared" si="128"/>
        <v>0</v>
      </c>
      <c r="CL255" s="714">
        <f t="shared" si="128"/>
        <v>0</v>
      </c>
      <c r="CM255" s="714">
        <f t="shared" si="128"/>
        <v>4</v>
      </c>
      <c r="CN255" s="714">
        <f t="shared" si="128"/>
        <v>14.4</v>
      </c>
      <c r="CO255" s="714">
        <f t="shared" ref="CO255:CW255" si="129">SUM(CO250:CO254)</f>
        <v>0</v>
      </c>
      <c r="CP255" s="714">
        <f t="shared" si="129"/>
        <v>0</v>
      </c>
      <c r="CQ255" s="714">
        <f t="shared" si="129"/>
        <v>0</v>
      </c>
      <c r="CR255" s="714">
        <f t="shared" si="129"/>
        <v>0</v>
      </c>
      <c r="CS255" s="714">
        <f t="shared" si="129"/>
        <v>0</v>
      </c>
      <c r="CT255" s="714">
        <f t="shared" si="129"/>
        <v>0</v>
      </c>
      <c r="CU255" s="714">
        <f t="shared" si="129"/>
        <v>0</v>
      </c>
      <c r="CV255" s="714">
        <f t="shared" si="129"/>
        <v>0</v>
      </c>
      <c r="CW255" s="714">
        <f t="shared" si="129"/>
        <v>0</v>
      </c>
      <c r="CX255" s="715">
        <v>7</v>
      </c>
      <c r="CY255" s="716"/>
    </row>
    <row r="256" spans="1:234" s="545" customFormat="1" ht="18" hidden="1" customHeight="1">
      <c r="A256" s="655" t="s">
        <v>4049</v>
      </c>
      <c r="B256" s="544"/>
      <c r="C256" s="544"/>
      <c r="D256" s="544"/>
      <c r="E256" s="544"/>
      <c r="F256" s="544"/>
      <c r="G256" s="544"/>
      <c r="H256" s="544"/>
      <c r="I256" s="544"/>
      <c r="J256" s="544"/>
      <c r="K256" s="544"/>
      <c r="L256" s="544"/>
      <c r="M256" s="544"/>
      <c r="N256" s="544"/>
      <c r="O256" s="544"/>
      <c r="P256" s="544"/>
      <c r="Q256" s="544"/>
      <c r="R256" s="544"/>
      <c r="S256" s="544"/>
      <c r="T256" s="544"/>
      <c r="U256" s="544"/>
      <c r="V256" s="544"/>
      <c r="W256" s="544"/>
      <c r="X256" s="544"/>
      <c r="Y256" s="544"/>
      <c r="Z256" s="544"/>
      <c r="AA256" s="544"/>
      <c r="AB256" s="544"/>
      <c r="AC256" s="544"/>
      <c r="AD256" s="544"/>
      <c r="AE256" s="544"/>
      <c r="AF256" s="544"/>
      <c r="AG256" s="544"/>
      <c r="AH256" s="544"/>
      <c r="AI256" s="544"/>
      <c r="AJ256" s="544"/>
      <c r="AK256" s="544"/>
      <c r="AL256" s="544"/>
      <c r="AM256" s="544"/>
      <c r="AN256" s="544"/>
      <c r="AO256" s="544"/>
      <c r="AP256" s="544"/>
      <c r="AQ256" s="544"/>
      <c r="AR256" s="544"/>
      <c r="AS256" s="544"/>
      <c r="AT256" s="544"/>
      <c r="AU256" s="544"/>
      <c r="AV256" s="544"/>
      <c r="AW256" s="544"/>
      <c r="AX256" s="544"/>
      <c r="AY256" s="544"/>
      <c r="AZ256" s="544"/>
      <c r="BA256" s="544"/>
      <c r="BB256" s="544"/>
      <c r="BC256" s="544"/>
      <c r="BD256" s="544"/>
      <c r="BE256" s="544"/>
      <c r="BF256" s="544"/>
      <c r="BG256" s="544"/>
      <c r="BH256" s="544"/>
      <c r="BI256" s="544"/>
      <c r="BJ256" s="544"/>
      <c r="BK256" s="544"/>
      <c r="BL256" s="544"/>
      <c r="BM256" s="544"/>
      <c r="BN256" s="544"/>
      <c r="BO256" s="544"/>
      <c r="BP256" s="544"/>
      <c r="BQ256" s="544"/>
      <c r="BR256" s="544"/>
      <c r="BS256" s="544"/>
      <c r="BT256" s="544"/>
      <c r="BU256" s="544"/>
      <c r="BV256" s="544"/>
      <c r="BW256" s="544"/>
      <c r="BX256" s="544"/>
      <c r="BY256" s="544"/>
      <c r="BZ256" s="544"/>
      <c r="CA256" s="544"/>
      <c r="CB256" s="544"/>
      <c r="CC256" s="544"/>
      <c r="CD256" s="544"/>
      <c r="CE256" s="544"/>
      <c r="CF256" s="544"/>
      <c r="CG256" s="544"/>
      <c r="CH256" s="544"/>
      <c r="CI256" s="544"/>
      <c r="CJ256" s="544"/>
      <c r="CK256" s="544"/>
      <c r="CL256" s="544"/>
      <c r="CM256" s="544"/>
      <c r="CN256" s="544"/>
      <c r="CO256" s="544"/>
      <c r="CP256" s="544"/>
      <c r="CQ256" s="544"/>
      <c r="CR256" s="544"/>
      <c r="CS256" s="544"/>
      <c r="CT256" s="544"/>
      <c r="CU256" s="544"/>
      <c r="CV256" s="544"/>
      <c r="CW256" s="544"/>
      <c r="CX256" s="544"/>
      <c r="CY256" s="669"/>
      <c r="CZ256" s="530"/>
      <c r="DA256" s="530"/>
      <c r="DB256" s="530"/>
      <c r="DC256" s="530"/>
      <c r="DD256" s="530"/>
      <c r="DE256" s="530"/>
      <c r="DF256" s="530"/>
      <c r="DG256" s="530"/>
      <c r="DH256" s="530"/>
      <c r="DI256" s="530"/>
      <c r="DJ256" s="530"/>
      <c r="DK256" s="530"/>
      <c r="DL256" s="530"/>
      <c r="DM256" s="530"/>
      <c r="DN256" s="530"/>
      <c r="DO256" s="530"/>
      <c r="DP256" s="530"/>
      <c r="DQ256" s="530"/>
      <c r="DR256" s="530"/>
      <c r="DS256" s="530"/>
      <c r="DT256" s="530"/>
      <c r="DU256" s="530"/>
      <c r="DV256" s="530"/>
      <c r="DW256" s="530"/>
      <c r="DX256" s="530"/>
      <c r="DY256" s="530"/>
      <c r="DZ256" s="530"/>
      <c r="EA256" s="530"/>
      <c r="EB256" s="530"/>
      <c r="EC256" s="530"/>
      <c r="ED256" s="530"/>
      <c r="EE256" s="530"/>
      <c r="EF256" s="530"/>
      <c r="EG256" s="530"/>
      <c r="EH256" s="530"/>
      <c r="EI256" s="530"/>
      <c r="EJ256" s="530"/>
      <c r="EK256" s="530"/>
      <c r="EL256" s="530"/>
      <c r="EM256" s="530"/>
      <c r="EN256" s="530"/>
      <c r="EO256" s="530"/>
      <c r="EP256" s="530"/>
      <c r="EQ256" s="530"/>
      <c r="ER256" s="530"/>
      <c r="ES256" s="530"/>
      <c r="ET256" s="530"/>
      <c r="EU256" s="530"/>
      <c r="EV256" s="530"/>
      <c r="EW256" s="530"/>
      <c r="EX256" s="530"/>
      <c r="EY256" s="530"/>
      <c r="EZ256" s="530"/>
      <c r="FA256" s="530"/>
      <c r="FB256" s="530"/>
      <c r="FC256" s="530"/>
      <c r="FD256" s="530"/>
      <c r="FE256" s="530"/>
      <c r="FF256" s="530"/>
      <c r="FG256" s="530"/>
      <c r="FH256" s="530"/>
      <c r="FI256" s="530"/>
      <c r="FJ256" s="530"/>
      <c r="FK256" s="530"/>
      <c r="FL256" s="530"/>
      <c r="FM256" s="530"/>
      <c r="FN256" s="530"/>
      <c r="FO256" s="530"/>
      <c r="FP256" s="530"/>
      <c r="FQ256" s="530"/>
      <c r="FR256" s="530"/>
      <c r="FS256" s="530"/>
      <c r="FT256" s="530"/>
      <c r="FU256" s="530"/>
      <c r="FV256" s="530"/>
      <c r="FW256" s="530"/>
      <c r="FX256" s="530"/>
      <c r="FY256" s="530"/>
      <c r="FZ256" s="530"/>
      <c r="GA256" s="530"/>
      <c r="GB256" s="530"/>
      <c r="GC256" s="530"/>
      <c r="GD256" s="530"/>
      <c r="GE256" s="530"/>
      <c r="GF256" s="530"/>
      <c r="GG256" s="530"/>
      <c r="GH256" s="530"/>
      <c r="GI256" s="530"/>
      <c r="GJ256" s="530"/>
      <c r="GK256" s="530"/>
      <c r="GL256" s="530"/>
      <c r="GM256" s="530"/>
      <c r="GN256" s="530"/>
      <c r="GO256" s="530"/>
      <c r="GP256" s="530"/>
      <c r="GQ256" s="530"/>
      <c r="GR256" s="530"/>
      <c r="GS256" s="530"/>
      <c r="GT256" s="530"/>
      <c r="GU256" s="530"/>
      <c r="GV256" s="530"/>
      <c r="GW256" s="530"/>
      <c r="GX256" s="530"/>
      <c r="GY256" s="530"/>
      <c r="GZ256" s="530"/>
      <c r="HA256" s="530"/>
      <c r="HB256" s="530"/>
      <c r="HC256" s="530"/>
      <c r="HD256" s="530"/>
      <c r="HE256" s="530"/>
      <c r="HF256" s="530"/>
      <c r="HG256" s="530"/>
      <c r="HH256" s="530"/>
      <c r="HI256" s="530"/>
      <c r="HJ256" s="530"/>
      <c r="HK256" s="530"/>
      <c r="HL256" s="530"/>
      <c r="HM256" s="530"/>
      <c r="HN256" s="530"/>
      <c r="HO256" s="530"/>
      <c r="HP256" s="530"/>
      <c r="HQ256" s="530"/>
      <c r="HR256" s="530"/>
      <c r="HS256" s="530"/>
      <c r="HT256" s="530"/>
      <c r="HU256" s="530"/>
      <c r="HV256" s="530"/>
      <c r="HW256" s="530"/>
      <c r="HX256" s="530"/>
      <c r="HY256" s="530"/>
      <c r="HZ256" s="530"/>
    </row>
    <row r="257" spans="1:234" ht="13.8" hidden="1">
      <c r="A257" s="591" t="s">
        <v>4050</v>
      </c>
      <c r="B257" s="702"/>
      <c r="C257" s="555"/>
      <c r="D257" s="555"/>
      <c r="E257" s="555"/>
      <c r="F257" s="555"/>
      <c r="G257" s="555"/>
      <c r="H257" s="555"/>
      <c r="I257" s="555"/>
      <c r="J257" s="555"/>
      <c r="K257" s="555"/>
      <c r="L257" s="555"/>
      <c r="M257" s="555"/>
      <c r="N257" s="555">
        <f>C257</f>
        <v>0</v>
      </c>
      <c r="O257" s="556"/>
      <c r="P257" s="556"/>
      <c r="Q257" s="703" t="s">
        <v>281</v>
      </c>
      <c r="R257" s="718"/>
      <c r="S257" s="718"/>
      <c r="T257" s="718"/>
      <c r="U257" s="718"/>
      <c r="V257" s="718"/>
      <c r="W257" s="718"/>
      <c r="X257" s="718"/>
      <c r="Y257" s="718"/>
      <c r="Z257" s="718"/>
      <c r="AA257" s="718"/>
      <c r="AB257" s="718"/>
      <c r="AC257" s="718"/>
      <c r="AD257" s="672"/>
      <c r="AE257" s="672"/>
      <c r="AF257" s="672"/>
      <c r="AG257" s="672"/>
      <c r="AH257" s="672"/>
      <c r="AI257" s="672"/>
      <c r="AJ257" s="672"/>
      <c r="AK257" s="672"/>
      <c r="AL257" s="672"/>
      <c r="AM257" s="672"/>
      <c r="AN257" s="672"/>
      <c r="AO257" s="672"/>
      <c r="AP257" s="672"/>
      <c r="AQ257" s="672"/>
      <c r="AR257" s="672"/>
      <c r="AS257" s="672"/>
      <c r="AT257" s="672"/>
      <c r="AU257" s="672"/>
      <c r="AV257" s="672"/>
      <c r="AW257" s="672"/>
      <c r="AX257" s="672"/>
      <c r="AY257" s="672"/>
      <c r="AZ257" s="672"/>
      <c r="BA257" s="672"/>
      <c r="BB257" s="672"/>
      <c r="BC257" s="672"/>
      <c r="BD257" s="672"/>
      <c r="BE257" s="672"/>
      <c r="BF257" s="672">
        <f t="shared" ref="BF257:BF273" si="130">AW257</f>
        <v>0</v>
      </c>
      <c r="BG257" s="672">
        <f t="shared" ref="BG257:BG273" si="131">AX257</f>
        <v>0</v>
      </c>
      <c r="BH257" s="672"/>
      <c r="BI257" s="672"/>
      <c r="BJ257" s="672"/>
      <c r="BK257" s="672"/>
      <c r="BL257" s="672"/>
      <c r="BM257" s="672"/>
      <c r="BN257" s="672"/>
      <c r="BO257" s="672"/>
      <c r="BP257" s="672"/>
      <c r="BQ257" s="672"/>
      <c r="BR257" s="672">
        <v>1</v>
      </c>
      <c r="BS257" s="672"/>
      <c r="BT257" s="672"/>
      <c r="BU257" s="672"/>
      <c r="BV257" s="672"/>
      <c r="BW257" s="672"/>
      <c r="BX257" s="672"/>
      <c r="BY257" s="672"/>
      <c r="BZ257" s="672"/>
      <c r="CA257" s="672"/>
      <c r="CB257" s="672"/>
      <c r="CC257" s="672"/>
      <c r="CD257" s="672"/>
      <c r="CE257" s="672"/>
      <c r="CF257" s="672"/>
      <c r="CG257" s="672"/>
      <c r="CH257" s="672"/>
      <c r="CI257" s="672"/>
      <c r="CJ257" s="672"/>
      <c r="CK257" s="672"/>
      <c r="CL257" s="672"/>
      <c r="CM257" s="672"/>
      <c r="CN257" s="672">
        <f t="shared" ref="CN257:CN273" si="132">+CM257*3.6</f>
        <v>0</v>
      </c>
      <c r="CO257" s="672"/>
      <c r="CP257" s="672"/>
      <c r="CQ257" s="672"/>
      <c r="CR257" s="672"/>
      <c r="CS257" s="672"/>
      <c r="CT257" s="672"/>
      <c r="CU257" s="672"/>
      <c r="CV257" s="672"/>
      <c r="CW257" s="672"/>
      <c r="CX257" s="704"/>
      <c r="CY257" s="705"/>
      <c r="HU257" s="542"/>
      <c r="HV257" s="542"/>
      <c r="HW257" s="542"/>
      <c r="HX257" s="542"/>
      <c r="HY257" s="542"/>
      <c r="HZ257" s="542"/>
    </row>
    <row r="258" spans="1:234" ht="13.8" hidden="1">
      <c r="A258" s="591" t="s">
        <v>2119</v>
      </c>
      <c r="B258" s="670"/>
      <c r="C258" s="550">
        <v>35</v>
      </c>
      <c r="D258" s="550">
        <f t="shared" ref="D258:D273" si="133">D257+C258</f>
        <v>35</v>
      </c>
      <c r="E258" s="550"/>
      <c r="F258" s="550"/>
      <c r="G258" s="550"/>
      <c r="H258" s="550"/>
      <c r="I258" s="550"/>
      <c r="J258" s="550"/>
      <c r="K258" s="550"/>
      <c r="L258" s="550"/>
      <c r="M258" s="550"/>
      <c r="N258" s="550">
        <f t="shared" ref="N258:N273" si="134">+N257+C258</f>
        <v>35</v>
      </c>
      <c r="O258" s="439"/>
      <c r="P258" s="439"/>
      <c r="Q258" s="674" t="s">
        <v>1818</v>
      </c>
      <c r="R258" s="671"/>
      <c r="S258" s="671">
        <v>1</v>
      </c>
      <c r="T258" s="671"/>
      <c r="U258" s="671"/>
      <c r="V258" s="671"/>
      <c r="W258" s="671"/>
      <c r="X258" s="671"/>
      <c r="Y258" s="671"/>
      <c r="Z258" s="671">
        <v>1</v>
      </c>
      <c r="AA258" s="671"/>
      <c r="AB258" s="671"/>
      <c r="AC258" s="671"/>
      <c r="AD258" s="623"/>
      <c r="AE258" s="623"/>
      <c r="AF258" s="623"/>
      <c r="AG258" s="623"/>
      <c r="AH258" s="623"/>
      <c r="AI258" s="623"/>
      <c r="AJ258" s="623"/>
      <c r="AK258" s="623"/>
      <c r="AL258" s="623"/>
      <c r="AM258" s="623"/>
      <c r="AN258" s="623"/>
      <c r="AO258" s="623"/>
      <c r="AP258" s="623"/>
      <c r="AQ258" s="623"/>
      <c r="AR258" s="623"/>
      <c r="AS258" s="623"/>
      <c r="AT258" s="623"/>
      <c r="AU258" s="623"/>
      <c r="AV258" s="623"/>
      <c r="AW258" s="623">
        <v>1</v>
      </c>
      <c r="AX258" s="623"/>
      <c r="AY258" s="623"/>
      <c r="AZ258" s="623"/>
      <c r="BA258" s="623"/>
      <c r="BB258" s="623"/>
      <c r="BC258" s="623"/>
      <c r="BD258" s="623"/>
      <c r="BE258" s="623"/>
      <c r="BF258" s="672">
        <f t="shared" si="130"/>
        <v>1</v>
      </c>
      <c r="BG258" s="672">
        <f t="shared" si="131"/>
        <v>0</v>
      </c>
      <c r="BH258" s="623"/>
      <c r="BI258" s="623"/>
      <c r="BJ258" s="623"/>
      <c r="BK258" s="623"/>
      <c r="BL258" s="623"/>
      <c r="BM258" s="623"/>
      <c r="BN258" s="623"/>
      <c r="BO258" s="623"/>
      <c r="BP258" s="623"/>
      <c r="BQ258" s="623"/>
      <c r="BR258" s="623"/>
      <c r="BS258" s="623"/>
      <c r="BT258" s="623"/>
      <c r="BU258" s="623"/>
      <c r="BV258" s="623"/>
      <c r="BW258" s="623"/>
      <c r="BX258" s="623"/>
      <c r="BY258" s="623"/>
      <c r="BZ258" s="623"/>
      <c r="CA258" s="623">
        <v>1</v>
      </c>
      <c r="CB258" s="623"/>
      <c r="CC258" s="623"/>
      <c r="CD258" s="623"/>
      <c r="CE258" s="623"/>
      <c r="CF258" s="623"/>
      <c r="CG258" s="623"/>
      <c r="CH258" s="623"/>
      <c r="CI258" s="623"/>
      <c r="CJ258" s="623"/>
      <c r="CK258" s="623"/>
      <c r="CL258" s="623"/>
      <c r="CM258" s="623">
        <v>1</v>
      </c>
      <c r="CN258" s="623">
        <f t="shared" si="132"/>
        <v>3.6</v>
      </c>
      <c r="CO258" s="623"/>
      <c r="CP258" s="623"/>
      <c r="CQ258" s="623"/>
      <c r="CR258" s="623">
        <v>1</v>
      </c>
      <c r="CS258" s="623"/>
      <c r="CT258" s="623"/>
      <c r="CU258" s="623"/>
      <c r="CV258" s="623"/>
      <c r="CW258" s="623"/>
      <c r="CX258" s="673"/>
      <c r="CY258" s="557"/>
    </row>
    <row r="259" spans="1:234" ht="13.8" hidden="1">
      <c r="A259" s="591" t="s">
        <v>2120</v>
      </c>
      <c r="B259" s="670"/>
      <c r="C259" s="550">
        <v>40</v>
      </c>
      <c r="D259" s="550">
        <f t="shared" si="133"/>
        <v>75</v>
      </c>
      <c r="E259" s="550"/>
      <c r="F259" s="550"/>
      <c r="G259" s="550"/>
      <c r="H259" s="550"/>
      <c r="I259" s="550"/>
      <c r="J259" s="550"/>
      <c r="K259" s="550"/>
      <c r="L259" s="550"/>
      <c r="M259" s="550"/>
      <c r="N259" s="550">
        <f t="shared" si="134"/>
        <v>75</v>
      </c>
      <c r="O259" s="439"/>
      <c r="P259" s="439"/>
      <c r="Q259" s="674" t="s">
        <v>501</v>
      </c>
      <c r="R259" s="671"/>
      <c r="S259" s="671">
        <v>1</v>
      </c>
      <c r="T259" s="671"/>
      <c r="U259" s="671"/>
      <c r="V259" s="671"/>
      <c r="W259" s="671"/>
      <c r="X259" s="671"/>
      <c r="Y259" s="671"/>
      <c r="Z259" s="671">
        <v>1</v>
      </c>
      <c r="AA259" s="671"/>
      <c r="AB259" s="671"/>
      <c r="AC259" s="671"/>
      <c r="AD259" s="623"/>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72">
        <f t="shared" si="130"/>
        <v>0</v>
      </c>
      <c r="BG259" s="672">
        <f t="shared" si="131"/>
        <v>0</v>
      </c>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v>1</v>
      </c>
      <c r="CB259" s="623"/>
      <c r="CC259" s="623"/>
      <c r="CD259" s="623"/>
      <c r="CE259" s="623"/>
      <c r="CF259" s="623"/>
      <c r="CG259" s="623"/>
      <c r="CH259" s="623"/>
      <c r="CI259" s="623"/>
      <c r="CJ259" s="623"/>
      <c r="CK259" s="623"/>
      <c r="CL259" s="623"/>
      <c r="CM259" s="623">
        <v>1</v>
      </c>
      <c r="CN259" s="623">
        <f t="shared" si="132"/>
        <v>3.6</v>
      </c>
      <c r="CO259" s="623"/>
      <c r="CP259" s="623"/>
      <c r="CQ259" s="623"/>
      <c r="CR259" s="623"/>
      <c r="CS259" s="623"/>
      <c r="CT259" s="623"/>
      <c r="CU259" s="623"/>
      <c r="CV259" s="623"/>
      <c r="CW259" s="623"/>
      <c r="CX259" s="673"/>
      <c r="CY259" s="557"/>
    </row>
    <row r="260" spans="1:234" ht="13.8" hidden="1">
      <c r="A260" s="591" t="s">
        <v>919</v>
      </c>
      <c r="B260" s="670"/>
      <c r="C260" s="550">
        <v>40</v>
      </c>
      <c r="D260" s="550">
        <f t="shared" si="133"/>
        <v>115</v>
      </c>
      <c r="E260" s="550"/>
      <c r="F260" s="550"/>
      <c r="G260" s="550"/>
      <c r="H260" s="550"/>
      <c r="I260" s="550"/>
      <c r="J260" s="550"/>
      <c r="K260" s="550"/>
      <c r="L260" s="550"/>
      <c r="M260" s="550"/>
      <c r="N260" s="550">
        <f t="shared" si="134"/>
        <v>115</v>
      </c>
      <c r="O260" s="439"/>
      <c r="P260" s="439"/>
      <c r="Q260" s="674" t="s">
        <v>1818</v>
      </c>
      <c r="R260" s="671"/>
      <c r="S260" s="671">
        <v>1</v>
      </c>
      <c r="T260" s="671"/>
      <c r="U260" s="671"/>
      <c r="V260" s="671"/>
      <c r="W260" s="671"/>
      <c r="X260" s="671"/>
      <c r="Y260" s="671"/>
      <c r="Z260" s="671">
        <v>1</v>
      </c>
      <c r="AA260" s="671"/>
      <c r="AB260" s="671"/>
      <c r="AC260" s="671"/>
      <c r="AD260" s="623"/>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v>1</v>
      </c>
      <c r="AY260" s="623"/>
      <c r="AZ260" s="623"/>
      <c r="BA260" s="623"/>
      <c r="BB260" s="623"/>
      <c r="BC260" s="623"/>
      <c r="BD260" s="623"/>
      <c r="BE260" s="623"/>
      <c r="BF260" s="672">
        <f t="shared" si="130"/>
        <v>0</v>
      </c>
      <c r="BG260" s="672">
        <f t="shared" si="131"/>
        <v>1</v>
      </c>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v>1</v>
      </c>
      <c r="CB260" s="623"/>
      <c r="CC260" s="623"/>
      <c r="CD260" s="623"/>
      <c r="CE260" s="623"/>
      <c r="CF260" s="623"/>
      <c r="CG260" s="623"/>
      <c r="CH260" s="623"/>
      <c r="CI260" s="623"/>
      <c r="CJ260" s="623"/>
      <c r="CK260" s="623"/>
      <c r="CL260" s="623"/>
      <c r="CM260" s="623">
        <v>1</v>
      </c>
      <c r="CN260" s="623">
        <f t="shared" si="132"/>
        <v>3.6</v>
      </c>
      <c r="CO260" s="623"/>
      <c r="CP260" s="623"/>
      <c r="CQ260" s="623"/>
      <c r="CR260" s="623">
        <v>1</v>
      </c>
      <c r="CS260" s="623"/>
      <c r="CT260" s="623"/>
      <c r="CU260" s="623"/>
      <c r="CV260" s="623"/>
      <c r="CW260" s="623"/>
      <c r="CX260" s="673"/>
      <c r="CY260" s="557"/>
    </row>
    <row r="261" spans="1:234" ht="13.8" hidden="1">
      <c r="A261" s="591" t="s">
        <v>920</v>
      </c>
      <c r="B261" s="670"/>
      <c r="C261" s="550">
        <v>35</v>
      </c>
      <c r="D261" s="550">
        <f t="shared" si="133"/>
        <v>150</v>
      </c>
      <c r="E261" s="550"/>
      <c r="F261" s="550"/>
      <c r="G261" s="550"/>
      <c r="H261" s="550"/>
      <c r="I261" s="550"/>
      <c r="J261" s="550"/>
      <c r="K261" s="550"/>
      <c r="L261" s="550"/>
      <c r="M261" s="550"/>
      <c r="N261" s="550">
        <f t="shared" si="134"/>
        <v>150</v>
      </c>
      <c r="O261" s="439"/>
      <c r="P261" s="439"/>
      <c r="Q261" s="674" t="s">
        <v>1818</v>
      </c>
      <c r="R261" s="671"/>
      <c r="S261" s="671">
        <v>1</v>
      </c>
      <c r="T261" s="671"/>
      <c r="U261" s="671"/>
      <c r="V261" s="671"/>
      <c r="W261" s="671"/>
      <c r="X261" s="671"/>
      <c r="Y261" s="671"/>
      <c r="Z261" s="671">
        <v>1</v>
      </c>
      <c r="AA261" s="671"/>
      <c r="AB261" s="671"/>
      <c r="AC261" s="671"/>
      <c r="AD261" s="623"/>
      <c r="AE261" s="623"/>
      <c r="AF261" s="623"/>
      <c r="AG261" s="623"/>
      <c r="AH261" s="623"/>
      <c r="AI261" s="623"/>
      <c r="AJ261" s="623"/>
      <c r="AK261" s="623"/>
      <c r="AL261" s="623"/>
      <c r="AM261" s="623"/>
      <c r="AN261" s="623"/>
      <c r="AO261" s="623"/>
      <c r="AP261" s="623"/>
      <c r="AQ261" s="623"/>
      <c r="AR261" s="623"/>
      <c r="AS261" s="623"/>
      <c r="AT261" s="623"/>
      <c r="AU261" s="623"/>
      <c r="AV261" s="623"/>
      <c r="AW261" s="623">
        <v>1</v>
      </c>
      <c r="AX261" s="623"/>
      <c r="AY261" s="623"/>
      <c r="AZ261" s="623"/>
      <c r="BA261" s="623"/>
      <c r="BB261" s="623"/>
      <c r="BC261" s="623"/>
      <c r="BD261" s="623"/>
      <c r="BE261" s="623"/>
      <c r="BF261" s="672">
        <f t="shared" si="130"/>
        <v>1</v>
      </c>
      <c r="BG261" s="672">
        <f t="shared" si="131"/>
        <v>0</v>
      </c>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v>1</v>
      </c>
      <c r="CB261" s="623"/>
      <c r="CC261" s="623"/>
      <c r="CD261" s="623"/>
      <c r="CE261" s="623"/>
      <c r="CF261" s="623"/>
      <c r="CG261" s="623"/>
      <c r="CH261" s="623"/>
      <c r="CI261" s="623"/>
      <c r="CJ261" s="623"/>
      <c r="CK261" s="623"/>
      <c r="CL261" s="623"/>
      <c r="CM261" s="623">
        <v>1</v>
      </c>
      <c r="CN261" s="623">
        <f t="shared" si="132"/>
        <v>3.6</v>
      </c>
      <c r="CO261" s="623"/>
      <c r="CP261" s="623"/>
      <c r="CQ261" s="623"/>
      <c r="CR261" s="623">
        <v>1</v>
      </c>
      <c r="CS261" s="623"/>
      <c r="CT261" s="623"/>
      <c r="CU261" s="623"/>
      <c r="CV261" s="623"/>
      <c r="CW261" s="623"/>
      <c r="CX261" s="673"/>
      <c r="CY261" s="557"/>
    </row>
    <row r="262" spans="1:234" ht="13.8" hidden="1">
      <c r="A262" s="591" t="s">
        <v>922</v>
      </c>
      <c r="B262" s="670"/>
      <c r="C262" s="550">
        <v>44</v>
      </c>
      <c r="D262" s="550">
        <f t="shared" si="133"/>
        <v>194</v>
      </c>
      <c r="E262" s="550"/>
      <c r="F262" s="550"/>
      <c r="G262" s="550"/>
      <c r="H262" s="550"/>
      <c r="I262" s="550"/>
      <c r="J262" s="550"/>
      <c r="K262" s="550"/>
      <c r="L262" s="550"/>
      <c r="M262" s="550"/>
      <c r="N262" s="550">
        <f t="shared" si="134"/>
        <v>194</v>
      </c>
      <c r="O262" s="439"/>
      <c r="P262" s="439"/>
      <c r="Q262" s="674" t="s">
        <v>1818</v>
      </c>
      <c r="R262" s="671"/>
      <c r="S262" s="671">
        <v>1</v>
      </c>
      <c r="T262" s="671"/>
      <c r="U262" s="671"/>
      <c r="V262" s="671"/>
      <c r="W262" s="671"/>
      <c r="X262" s="671"/>
      <c r="Y262" s="671"/>
      <c r="Z262" s="671">
        <v>1</v>
      </c>
      <c r="AA262" s="671"/>
      <c r="AB262" s="671"/>
      <c r="AC262" s="671"/>
      <c r="AD262" s="623"/>
      <c r="AE262" s="623"/>
      <c r="AF262" s="623"/>
      <c r="AG262" s="623"/>
      <c r="AH262" s="623"/>
      <c r="AI262" s="623"/>
      <c r="AJ262" s="623"/>
      <c r="AK262" s="623"/>
      <c r="AL262" s="623"/>
      <c r="AM262" s="623"/>
      <c r="AN262" s="623"/>
      <c r="AO262" s="623"/>
      <c r="AP262" s="623"/>
      <c r="AQ262" s="623"/>
      <c r="AR262" s="623"/>
      <c r="AS262" s="623"/>
      <c r="AT262" s="623"/>
      <c r="AU262" s="623"/>
      <c r="AV262" s="623"/>
      <c r="AW262" s="623">
        <v>1</v>
      </c>
      <c r="AX262" s="623"/>
      <c r="AY262" s="623"/>
      <c r="AZ262" s="623"/>
      <c r="BA262" s="623"/>
      <c r="BB262" s="623"/>
      <c r="BC262" s="623"/>
      <c r="BD262" s="623"/>
      <c r="BE262" s="623"/>
      <c r="BF262" s="672">
        <f t="shared" si="130"/>
        <v>1</v>
      </c>
      <c r="BG262" s="672">
        <f t="shared" si="131"/>
        <v>0</v>
      </c>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v>1</v>
      </c>
      <c r="CB262" s="623"/>
      <c r="CC262" s="623"/>
      <c r="CD262" s="623"/>
      <c r="CE262" s="623"/>
      <c r="CF262" s="623"/>
      <c r="CG262" s="623"/>
      <c r="CH262" s="623"/>
      <c r="CI262" s="623"/>
      <c r="CJ262" s="623"/>
      <c r="CK262" s="623"/>
      <c r="CL262" s="623"/>
      <c r="CM262" s="623">
        <v>1</v>
      </c>
      <c r="CN262" s="623">
        <f t="shared" si="132"/>
        <v>3.6</v>
      </c>
      <c r="CO262" s="623"/>
      <c r="CP262" s="623"/>
      <c r="CQ262" s="623"/>
      <c r="CR262" s="623">
        <v>1</v>
      </c>
      <c r="CS262" s="623"/>
      <c r="CT262" s="623"/>
      <c r="CU262" s="623"/>
      <c r="CV262" s="623"/>
      <c r="CW262" s="623"/>
      <c r="CX262" s="673"/>
      <c r="CY262" s="557"/>
    </row>
    <row r="263" spans="1:234" ht="13.8" hidden="1">
      <c r="A263" s="591" t="s">
        <v>254</v>
      </c>
      <c r="B263" s="670"/>
      <c r="C263" s="550">
        <v>39</v>
      </c>
      <c r="D263" s="550">
        <f t="shared" si="133"/>
        <v>233</v>
      </c>
      <c r="E263" s="550"/>
      <c r="F263" s="550"/>
      <c r="G263" s="550"/>
      <c r="H263" s="550"/>
      <c r="I263" s="550"/>
      <c r="J263" s="550"/>
      <c r="K263" s="550"/>
      <c r="L263" s="550"/>
      <c r="M263" s="550"/>
      <c r="N263" s="550">
        <f t="shared" si="134"/>
        <v>233</v>
      </c>
      <c r="O263" s="439"/>
      <c r="P263" s="439"/>
      <c r="Q263" s="674" t="s">
        <v>404</v>
      </c>
      <c r="R263" s="671"/>
      <c r="S263" s="671">
        <v>1</v>
      </c>
      <c r="T263" s="671"/>
      <c r="U263" s="671"/>
      <c r="V263" s="671"/>
      <c r="W263" s="671"/>
      <c r="X263" s="671"/>
      <c r="Y263" s="671"/>
      <c r="Z263" s="671">
        <v>1</v>
      </c>
      <c r="AA263" s="671"/>
      <c r="AB263" s="671"/>
      <c r="AC263" s="671"/>
      <c r="AD263" s="623"/>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72">
        <f t="shared" si="130"/>
        <v>0</v>
      </c>
      <c r="BG263" s="672">
        <f t="shared" si="131"/>
        <v>0</v>
      </c>
      <c r="BH263" s="623"/>
      <c r="BI263" s="623"/>
      <c r="BJ263" s="623"/>
      <c r="BK263" s="623"/>
      <c r="BL263" s="623"/>
      <c r="BM263" s="623"/>
      <c r="BN263" s="623"/>
      <c r="BO263" s="623"/>
      <c r="BP263" s="623"/>
      <c r="BQ263" s="623"/>
      <c r="BR263" s="623">
        <v>1</v>
      </c>
      <c r="BS263" s="623"/>
      <c r="BT263" s="623"/>
      <c r="BU263" s="623"/>
      <c r="BV263" s="623"/>
      <c r="BW263" s="623"/>
      <c r="BX263" s="623"/>
      <c r="BY263" s="623"/>
      <c r="BZ263" s="623"/>
      <c r="CA263" s="623">
        <v>1</v>
      </c>
      <c r="CB263" s="623"/>
      <c r="CC263" s="623"/>
      <c r="CD263" s="623"/>
      <c r="CE263" s="623"/>
      <c r="CF263" s="623"/>
      <c r="CG263" s="623"/>
      <c r="CH263" s="623"/>
      <c r="CI263" s="623"/>
      <c r="CJ263" s="623"/>
      <c r="CK263" s="623"/>
      <c r="CL263" s="623"/>
      <c r="CM263" s="623">
        <v>1</v>
      </c>
      <c r="CN263" s="623">
        <f t="shared" si="132"/>
        <v>3.6</v>
      </c>
      <c r="CO263" s="623"/>
      <c r="CP263" s="623"/>
      <c r="CQ263" s="623"/>
      <c r="CR263" s="623">
        <v>1</v>
      </c>
      <c r="CS263" s="623"/>
      <c r="CT263" s="623"/>
      <c r="CU263" s="623"/>
      <c r="CV263" s="623"/>
      <c r="CW263" s="623"/>
      <c r="CX263" s="673"/>
      <c r="CY263" s="557"/>
    </row>
    <row r="264" spans="1:234" ht="13.8" hidden="1">
      <c r="A264" s="591" t="s">
        <v>255</v>
      </c>
      <c r="B264" s="670"/>
      <c r="C264" s="550">
        <v>40</v>
      </c>
      <c r="D264" s="550">
        <f t="shared" si="133"/>
        <v>273</v>
      </c>
      <c r="E264" s="550"/>
      <c r="F264" s="550"/>
      <c r="G264" s="550"/>
      <c r="H264" s="550"/>
      <c r="I264" s="550"/>
      <c r="J264" s="550"/>
      <c r="K264" s="550"/>
      <c r="L264" s="550"/>
      <c r="M264" s="550"/>
      <c r="N264" s="550">
        <f t="shared" si="134"/>
        <v>273</v>
      </c>
      <c r="O264" s="439"/>
      <c r="P264" s="439"/>
      <c r="Q264" s="674" t="s">
        <v>1818</v>
      </c>
      <c r="R264" s="671"/>
      <c r="S264" s="671">
        <v>1</v>
      </c>
      <c r="T264" s="671"/>
      <c r="U264" s="671"/>
      <c r="V264" s="671"/>
      <c r="W264" s="671"/>
      <c r="X264" s="671"/>
      <c r="Y264" s="671"/>
      <c r="Z264" s="671">
        <v>1</v>
      </c>
      <c r="AA264" s="671"/>
      <c r="AB264" s="671"/>
      <c r="AC264" s="671"/>
      <c r="AD264" s="623"/>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v>1</v>
      </c>
      <c r="AY264" s="623"/>
      <c r="AZ264" s="623"/>
      <c r="BA264" s="623"/>
      <c r="BB264" s="623"/>
      <c r="BC264" s="623"/>
      <c r="BD264" s="623"/>
      <c r="BE264" s="623"/>
      <c r="BF264" s="672">
        <f t="shared" si="130"/>
        <v>0</v>
      </c>
      <c r="BG264" s="672">
        <f t="shared" si="131"/>
        <v>1</v>
      </c>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v>1</v>
      </c>
      <c r="CB264" s="623"/>
      <c r="CC264" s="623"/>
      <c r="CD264" s="623"/>
      <c r="CE264" s="623"/>
      <c r="CF264" s="623"/>
      <c r="CG264" s="623"/>
      <c r="CH264" s="623"/>
      <c r="CI264" s="623"/>
      <c r="CJ264" s="623"/>
      <c r="CK264" s="623"/>
      <c r="CL264" s="623"/>
      <c r="CM264" s="623">
        <v>1</v>
      </c>
      <c r="CN264" s="623">
        <f t="shared" si="132"/>
        <v>3.6</v>
      </c>
      <c r="CO264" s="623"/>
      <c r="CP264" s="623"/>
      <c r="CQ264" s="623"/>
      <c r="CR264" s="623">
        <v>1</v>
      </c>
      <c r="CS264" s="623"/>
      <c r="CT264" s="623"/>
      <c r="CU264" s="623"/>
      <c r="CV264" s="623"/>
      <c r="CW264" s="623"/>
      <c r="CX264" s="673"/>
      <c r="CY264" s="557"/>
    </row>
    <row r="265" spans="1:234" ht="13.8" hidden="1">
      <c r="A265" s="591" t="s">
        <v>256</v>
      </c>
      <c r="B265" s="670"/>
      <c r="C265" s="550">
        <v>40</v>
      </c>
      <c r="D265" s="550">
        <f t="shared" si="133"/>
        <v>313</v>
      </c>
      <c r="E265" s="550"/>
      <c r="F265" s="550"/>
      <c r="G265" s="550"/>
      <c r="H265" s="550"/>
      <c r="I265" s="550"/>
      <c r="J265" s="550"/>
      <c r="K265" s="550"/>
      <c r="L265" s="550"/>
      <c r="M265" s="550"/>
      <c r="N265" s="550">
        <f t="shared" si="134"/>
        <v>313</v>
      </c>
      <c r="O265" s="439"/>
      <c r="P265" s="439"/>
      <c r="Q265" s="674" t="s">
        <v>501</v>
      </c>
      <c r="R265" s="671"/>
      <c r="S265" s="671">
        <v>1</v>
      </c>
      <c r="T265" s="671"/>
      <c r="U265" s="671"/>
      <c r="V265" s="671"/>
      <c r="W265" s="671"/>
      <c r="X265" s="671"/>
      <c r="Y265" s="671"/>
      <c r="Z265" s="671">
        <v>1</v>
      </c>
      <c r="AA265" s="671"/>
      <c r="AB265" s="671"/>
      <c r="AC265" s="671"/>
      <c r="AD265" s="623"/>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72">
        <f t="shared" si="130"/>
        <v>0</v>
      </c>
      <c r="BG265" s="672">
        <f t="shared" si="131"/>
        <v>0</v>
      </c>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v>1</v>
      </c>
      <c r="CB265" s="623"/>
      <c r="CC265" s="623"/>
      <c r="CD265" s="623"/>
      <c r="CE265" s="623"/>
      <c r="CF265" s="623"/>
      <c r="CG265" s="623"/>
      <c r="CH265" s="623"/>
      <c r="CI265" s="623"/>
      <c r="CJ265" s="623"/>
      <c r="CK265" s="623"/>
      <c r="CL265" s="623"/>
      <c r="CM265" s="623">
        <v>1</v>
      </c>
      <c r="CN265" s="623">
        <f t="shared" si="132"/>
        <v>3.6</v>
      </c>
      <c r="CO265" s="623"/>
      <c r="CP265" s="623"/>
      <c r="CQ265" s="623"/>
      <c r="CR265" s="623"/>
      <c r="CS265" s="623"/>
      <c r="CT265" s="623"/>
      <c r="CU265" s="623"/>
      <c r="CV265" s="623"/>
      <c r="CW265" s="623"/>
      <c r="CX265" s="673"/>
      <c r="CY265" s="557"/>
    </row>
    <row r="266" spans="1:234" ht="13.8" hidden="1">
      <c r="A266" s="591" t="s">
        <v>257</v>
      </c>
      <c r="B266" s="670"/>
      <c r="C266" s="550">
        <v>40</v>
      </c>
      <c r="D266" s="550">
        <f t="shared" si="133"/>
        <v>353</v>
      </c>
      <c r="E266" s="550"/>
      <c r="F266" s="550"/>
      <c r="G266" s="550"/>
      <c r="H266" s="550"/>
      <c r="I266" s="550"/>
      <c r="J266" s="550"/>
      <c r="K266" s="550"/>
      <c r="L266" s="550"/>
      <c r="M266" s="550"/>
      <c r="N266" s="550">
        <f t="shared" si="134"/>
        <v>353</v>
      </c>
      <c r="O266" s="439"/>
      <c r="P266" s="439"/>
      <c r="Q266" s="674" t="s">
        <v>1818</v>
      </c>
      <c r="R266" s="671"/>
      <c r="S266" s="671">
        <v>1</v>
      </c>
      <c r="T266" s="671"/>
      <c r="U266" s="671"/>
      <c r="V266" s="671"/>
      <c r="W266" s="671"/>
      <c r="X266" s="671"/>
      <c r="Y266" s="671"/>
      <c r="Z266" s="671">
        <v>1</v>
      </c>
      <c r="AA266" s="671"/>
      <c r="AB266" s="671"/>
      <c r="AC266" s="671"/>
      <c r="AD266" s="623"/>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v>1</v>
      </c>
      <c r="AY266" s="623"/>
      <c r="AZ266" s="623"/>
      <c r="BA266" s="623"/>
      <c r="BB266" s="623"/>
      <c r="BC266" s="623"/>
      <c r="BD266" s="623"/>
      <c r="BE266" s="623"/>
      <c r="BF266" s="672">
        <f t="shared" si="130"/>
        <v>0</v>
      </c>
      <c r="BG266" s="672">
        <f t="shared" si="131"/>
        <v>1</v>
      </c>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v>1</v>
      </c>
      <c r="CB266" s="623"/>
      <c r="CC266" s="623"/>
      <c r="CD266" s="623"/>
      <c r="CE266" s="623"/>
      <c r="CF266" s="623"/>
      <c r="CG266" s="623"/>
      <c r="CH266" s="623"/>
      <c r="CI266" s="623"/>
      <c r="CJ266" s="623"/>
      <c r="CK266" s="623"/>
      <c r="CL266" s="623"/>
      <c r="CM266" s="623">
        <v>1</v>
      </c>
      <c r="CN266" s="623">
        <f t="shared" si="132"/>
        <v>3.6</v>
      </c>
      <c r="CO266" s="623"/>
      <c r="CP266" s="623"/>
      <c r="CQ266" s="623"/>
      <c r="CR266" s="623">
        <v>1</v>
      </c>
      <c r="CS266" s="623"/>
      <c r="CT266" s="623"/>
      <c r="CU266" s="623"/>
      <c r="CV266" s="623"/>
      <c r="CW266" s="623"/>
      <c r="CX266" s="673"/>
      <c r="CY266" s="557"/>
    </row>
    <row r="267" spans="1:234" ht="13.8" hidden="1">
      <c r="A267" s="706" t="s">
        <v>258</v>
      </c>
      <c r="B267" s="707"/>
      <c r="C267" s="558">
        <v>40</v>
      </c>
      <c r="D267" s="550">
        <f t="shared" si="133"/>
        <v>393</v>
      </c>
      <c r="E267" s="558"/>
      <c r="F267" s="558"/>
      <c r="G267" s="558"/>
      <c r="H267" s="558"/>
      <c r="I267" s="558"/>
      <c r="J267" s="558"/>
      <c r="K267" s="558"/>
      <c r="L267" s="558"/>
      <c r="M267" s="558"/>
      <c r="N267" s="550">
        <f t="shared" si="134"/>
        <v>393</v>
      </c>
      <c r="O267" s="708"/>
      <c r="P267" s="708"/>
      <c r="Q267" s="674" t="s">
        <v>1818</v>
      </c>
      <c r="R267" s="710"/>
      <c r="S267" s="710">
        <v>1</v>
      </c>
      <c r="T267" s="710"/>
      <c r="U267" s="710"/>
      <c r="V267" s="710"/>
      <c r="W267" s="710"/>
      <c r="X267" s="710"/>
      <c r="Y267" s="710"/>
      <c r="Z267" s="710">
        <v>1</v>
      </c>
      <c r="AA267" s="710"/>
      <c r="AB267" s="710"/>
      <c r="AC267" s="710"/>
      <c r="AD267" s="709"/>
      <c r="AE267" s="709"/>
      <c r="AF267" s="709"/>
      <c r="AG267" s="709"/>
      <c r="AH267" s="709"/>
      <c r="AI267" s="709"/>
      <c r="AJ267" s="709"/>
      <c r="AK267" s="709"/>
      <c r="AL267" s="709"/>
      <c r="AM267" s="709"/>
      <c r="AN267" s="709"/>
      <c r="AO267" s="709"/>
      <c r="AP267" s="709"/>
      <c r="AQ267" s="709"/>
      <c r="AR267" s="709"/>
      <c r="AS267" s="709"/>
      <c r="AT267" s="709"/>
      <c r="AU267" s="709"/>
      <c r="AV267" s="709"/>
      <c r="AW267" s="709"/>
      <c r="AX267" s="709">
        <v>1</v>
      </c>
      <c r="AY267" s="709"/>
      <c r="AZ267" s="709"/>
      <c r="BA267" s="709"/>
      <c r="BB267" s="709"/>
      <c r="BC267" s="709"/>
      <c r="BD267" s="709"/>
      <c r="BE267" s="709"/>
      <c r="BF267" s="672">
        <f t="shared" si="130"/>
        <v>0</v>
      </c>
      <c r="BG267" s="672">
        <f t="shared" si="131"/>
        <v>1</v>
      </c>
      <c r="BH267" s="709"/>
      <c r="BI267" s="709"/>
      <c r="BJ267" s="709"/>
      <c r="BK267" s="709"/>
      <c r="BL267" s="709"/>
      <c r="BM267" s="709"/>
      <c r="BN267" s="709"/>
      <c r="BO267" s="709"/>
      <c r="BP267" s="709"/>
      <c r="BQ267" s="709"/>
      <c r="BR267" s="709"/>
      <c r="BS267" s="709"/>
      <c r="BT267" s="709"/>
      <c r="BU267" s="709"/>
      <c r="BV267" s="709"/>
      <c r="BW267" s="709"/>
      <c r="BX267" s="709"/>
      <c r="BY267" s="709"/>
      <c r="BZ267" s="709"/>
      <c r="CA267" s="709">
        <v>1</v>
      </c>
      <c r="CB267" s="709"/>
      <c r="CC267" s="709"/>
      <c r="CD267" s="709"/>
      <c r="CE267" s="709"/>
      <c r="CF267" s="709"/>
      <c r="CG267" s="709"/>
      <c r="CH267" s="709"/>
      <c r="CI267" s="709"/>
      <c r="CJ267" s="709"/>
      <c r="CK267" s="709"/>
      <c r="CL267" s="709"/>
      <c r="CM267" s="709">
        <v>1</v>
      </c>
      <c r="CN267" s="709">
        <f t="shared" si="132"/>
        <v>3.6</v>
      </c>
      <c r="CO267" s="709"/>
      <c r="CP267" s="709"/>
      <c r="CQ267" s="709"/>
      <c r="CR267" s="709">
        <v>1</v>
      </c>
      <c r="CS267" s="709"/>
      <c r="CT267" s="709"/>
      <c r="CU267" s="709"/>
      <c r="CV267" s="709"/>
      <c r="CW267" s="709"/>
      <c r="CX267" s="683"/>
      <c r="CY267" s="711"/>
    </row>
    <row r="268" spans="1:234" ht="13.8" hidden="1">
      <c r="A268" s="706" t="s">
        <v>259</v>
      </c>
      <c r="B268" s="707"/>
      <c r="C268" s="558">
        <v>40</v>
      </c>
      <c r="D268" s="550">
        <f t="shared" si="133"/>
        <v>433</v>
      </c>
      <c r="E268" s="558"/>
      <c r="F268" s="558"/>
      <c r="G268" s="558"/>
      <c r="H268" s="558"/>
      <c r="I268" s="558"/>
      <c r="J268" s="558"/>
      <c r="K268" s="558"/>
      <c r="L268" s="558"/>
      <c r="M268" s="558"/>
      <c r="N268" s="550">
        <f t="shared" si="134"/>
        <v>433</v>
      </c>
      <c r="O268" s="708"/>
      <c r="P268" s="708"/>
      <c r="Q268" s="658" t="s">
        <v>1818</v>
      </c>
      <c r="R268" s="710"/>
      <c r="S268" s="710">
        <v>1</v>
      </c>
      <c r="T268" s="710"/>
      <c r="U268" s="710"/>
      <c r="V268" s="710"/>
      <c r="W268" s="710"/>
      <c r="X268" s="710"/>
      <c r="Y268" s="710"/>
      <c r="Z268" s="710">
        <v>1</v>
      </c>
      <c r="AA268" s="710"/>
      <c r="AB268" s="710"/>
      <c r="AC268" s="710"/>
      <c r="AD268" s="709"/>
      <c r="AE268" s="709"/>
      <c r="AF268" s="709"/>
      <c r="AG268" s="709"/>
      <c r="AH268" s="709"/>
      <c r="AI268" s="709"/>
      <c r="AJ268" s="709"/>
      <c r="AK268" s="709"/>
      <c r="AL268" s="709"/>
      <c r="AM268" s="709"/>
      <c r="AN268" s="709"/>
      <c r="AO268" s="709"/>
      <c r="AP268" s="709"/>
      <c r="AQ268" s="709"/>
      <c r="AR268" s="709"/>
      <c r="AS268" s="709"/>
      <c r="AT268" s="709"/>
      <c r="AU268" s="709"/>
      <c r="AV268" s="709"/>
      <c r="AW268" s="709"/>
      <c r="AX268" s="709">
        <v>1</v>
      </c>
      <c r="AY268" s="709"/>
      <c r="AZ268" s="709"/>
      <c r="BA268" s="709"/>
      <c r="BB268" s="709"/>
      <c r="BC268" s="709"/>
      <c r="BD268" s="709"/>
      <c r="BE268" s="709"/>
      <c r="BF268" s="672">
        <f t="shared" si="130"/>
        <v>0</v>
      </c>
      <c r="BG268" s="672">
        <f t="shared" si="131"/>
        <v>1</v>
      </c>
      <c r="BH268" s="709"/>
      <c r="BI268" s="709"/>
      <c r="BJ268" s="709"/>
      <c r="BK268" s="709"/>
      <c r="BL268" s="709"/>
      <c r="BM268" s="709"/>
      <c r="BN268" s="709"/>
      <c r="BO268" s="709"/>
      <c r="BP268" s="709"/>
      <c r="BQ268" s="709"/>
      <c r="BR268" s="709"/>
      <c r="BS268" s="709"/>
      <c r="BT268" s="709"/>
      <c r="BU268" s="709"/>
      <c r="BV268" s="709"/>
      <c r="BW268" s="709"/>
      <c r="BX268" s="709"/>
      <c r="BY268" s="709"/>
      <c r="BZ268" s="709"/>
      <c r="CA268" s="709">
        <v>1</v>
      </c>
      <c r="CB268" s="709"/>
      <c r="CC268" s="709"/>
      <c r="CD268" s="709"/>
      <c r="CE268" s="709"/>
      <c r="CF268" s="709"/>
      <c r="CG268" s="709"/>
      <c r="CH268" s="709"/>
      <c r="CI268" s="709"/>
      <c r="CJ268" s="709"/>
      <c r="CK268" s="709"/>
      <c r="CL268" s="709"/>
      <c r="CM268" s="709">
        <v>1</v>
      </c>
      <c r="CN268" s="709">
        <f t="shared" si="132"/>
        <v>3.6</v>
      </c>
      <c r="CO268" s="709"/>
      <c r="CP268" s="709"/>
      <c r="CQ268" s="709"/>
      <c r="CR268" s="709">
        <v>1</v>
      </c>
      <c r="CS268" s="709"/>
      <c r="CT268" s="709"/>
      <c r="CU268" s="709"/>
      <c r="CV268" s="709"/>
      <c r="CW268" s="709"/>
      <c r="CX268" s="683"/>
      <c r="CY268" s="711"/>
    </row>
    <row r="269" spans="1:234" ht="13.8" hidden="1">
      <c r="A269" s="706" t="s">
        <v>260</v>
      </c>
      <c r="B269" s="707"/>
      <c r="C269" s="558">
        <v>40</v>
      </c>
      <c r="D269" s="550">
        <f t="shared" si="133"/>
        <v>473</v>
      </c>
      <c r="E269" s="558"/>
      <c r="F269" s="558"/>
      <c r="G269" s="558"/>
      <c r="H269" s="558"/>
      <c r="I269" s="558"/>
      <c r="J269" s="558"/>
      <c r="K269" s="558"/>
      <c r="L269" s="558"/>
      <c r="M269" s="558"/>
      <c r="N269" s="550">
        <f t="shared" si="134"/>
        <v>473</v>
      </c>
      <c r="O269" s="708"/>
      <c r="P269" s="708"/>
      <c r="Q269" s="658" t="s">
        <v>1107</v>
      </c>
      <c r="R269" s="710"/>
      <c r="S269" s="710">
        <v>1</v>
      </c>
      <c r="T269" s="710"/>
      <c r="U269" s="710"/>
      <c r="V269" s="710"/>
      <c r="W269" s="710"/>
      <c r="X269" s="710"/>
      <c r="Y269" s="710"/>
      <c r="Z269" s="710">
        <v>1</v>
      </c>
      <c r="AA269" s="710"/>
      <c r="AB269" s="710"/>
      <c r="AC269" s="710"/>
      <c r="AD269" s="709"/>
      <c r="AE269" s="709"/>
      <c r="AF269" s="709"/>
      <c r="AG269" s="709"/>
      <c r="AH269" s="709"/>
      <c r="AI269" s="709"/>
      <c r="AJ269" s="709"/>
      <c r="AK269" s="709"/>
      <c r="AL269" s="709"/>
      <c r="AM269" s="709"/>
      <c r="AN269" s="709"/>
      <c r="AO269" s="709"/>
      <c r="AP269" s="709"/>
      <c r="AQ269" s="709"/>
      <c r="AR269" s="709"/>
      <c r="AS269" s="709"/>
      <c r="AT269" s="709"/>
      <c r="AU269" s="709"/>
      <c r="AV269" s="709"/>
      <c r="AW269" s="709">
        <v>1</v>
      </c>
      <c r="AX269" s="709"/>
      <c r="AY269" s="709"/>
      <c r="AZ269" s="709"/>
      <c r="BA269" s="709"/>
      <c r="BB269" s="709"/>
      <c r="BC269" s="709"/>
      <c r="BD269" s="709"/>
      <c r="BE269" s="709"/>
      <c r="BF269" s="672">
        <f t="shared" si="130"/>
        <v>1</v>
      </c>
      <c r="BG269" s="672">
        <f t="shared" si="131"/>
        <v>0</v>
      </c>
      <c r="BH269" s="709"/>
      <c r="BI269" s="709"/>
      <c r="BJ269" s="709"/>
      <c r="BK269" s="709"/>
      <c r="BL269" s="709"/>
      <c r="BM269" s="709"/>
      <c r="BN269" s="709"/>
      <c r="BO269" s="709"/>
      <c r="BP269" s="709"/>
      <c r="BQ269" s="709"/>
      <c r="BR269" s="709">
        <v>1</v>
      </c>
      <c r="BS269" s="709"/>
      <c r="BT269" s="709"/>
      <c r="BU269" s="709"/>
      <c r="BV269" s="709"/>
      <c r="BW269" s="709"/>
      <c r="BX269" s="709"/>
      <c r="BY269" s="709"/>
      <c r="BZ269" s="709"/>
      <c r="CA269" s="709">
        <v>1</v>
      </c>
      <c r="CB269" s="709"/>
      <c r="CC269" s="709"/>
      <c r="CD269" s="709"/>
      <c r="CE269" s="709"/>
      <c r="CF269" s="709"/>
      <c r="CG269" s="709"/>
      <c r="CH269" s="709"/>
      <c r="CI269" s="709"/>
      <c r="CJ269" s="709"/>
      <c r="CK269" s="709"/>
      <c r="CL269" s="709"/>
      <c r="CM269" s="709">
        <v>1</v>
      </c>
      <c r="CN269" s="709">
        <f t="shared" si="132"/>
        <v>3.6</v>
      </c>
      <c r="CO269" s="709"/>
      <c r="CP269" s="709"/>
      <c r="CQ269" s="709"/>
      <c r="CR269" s="709"/>
      <c r="CS269" s="709"/>
      <c r="CT269" s="709"/>
      <c r="CU269" s="709"/>
      <c r="CV269" s="709"/>
      <c r="CW269" s="709"/>
      <c r="CX269" s="683"/>
      <c r="CY269" s="711"/>
    </row>
    <row r="270" spans="1:234" ht="13.8" hidden="1">
      <c r="A270" s="706" t="s">
        <v>254</v>
      </c>
      <c r="B270" s="707"/>
      <c r="C270" s="558"/>
      <c r="D270" s="550">
        <f t="shared" si="133"/>
        <v>473</v>
      </c>
      <c r="E270" s="558"/>
      <c r="F270" s="558"/>
      <c r="G270" s="558"/>
      <c r="H270" s="558"/>
      <c r="I270" s="558"/>
      <c r="J270" s="558"/>
      <c r="K270" s="558"/>
      <c r="L270" s="558"/>
      <c r="M270" s="558"/>
      <c r="N270" s="550">
        <f t="shared" si="134"/>
        <v>473</v>
      </c>
      <c r="O270" s="708"/>
      <c r="P270" s="708"/>
      <c r="Q270" s="658" t="s">
        <v>4030</v>
      </c>
      <c r="R270" s="710"/>
      <c r="S270" s="710"/>
      <c r="T270" s="710"/>
      <c r="U270" s="710"/>
      <c r="V270" s="710"/>
      <c r="W270" s="710"/>
      <c r="X270" s="710"/>
      <c r="Y270" s="710"/>
      <c r="Z270" s="710"/>
      <c r="AA270" s="710"/>
      <c r="AB270" s="710"/>
      <c r="AC270" s="710"/>
      <c r="AD270" s="709"/>
      <c r="AE270" s="709"/>
      <c r="AF270" s="709"/>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09"/>
      <c r="BF270" s="672">
        <f t="shared" si="130"/>
        <v>0</v>
      </c>
      <c r="BG270" s="672">
        <f t="shared" si="131"/>
        <v>0</v>
      </c>
      <c r="BH270" s="709"/>
      <c r="BI270" s="709"/>
      <c r="BJ270" s="709"/>
      <c r="BK270" s="709"/>
      <c r="BL270" s="709"/>
      <c r="BM270" s="709"/>
      <c r="BN270" s="709"/>
      <c r="BO270" s="709"/>
      <c r="BP270" s="709"/>
      <c r="BQ270" s="709"/>
      <c r="BR270" s="709"/>
      <c r="BS270" s="709"/>
      <c r="BT270" s="709"/>
      <c r="BU270" s="709"/>
      <c r="BV270" s="709"/>
      <c r="BW270" s="709"/>
      <c r="BX270" s="709"/>
      <c r="BY270" s="709"/>
      <c r="BZ270" s="709"/>
      <c r="CA270" s="709"/>
      <c r="CB270" s="709"/>
      <c r="CC270" s="709"/>
      <c r="CD270" s="709"/>
      <c r="CE270" s="709"/>
      <c r="CF270" s="709"/>
      <c r="CG270" s="709"/>
      <c r="CH270" s="709"/>
      <c r="CI270" s="709"/>
      <c r="CJ270" s="709"/>
      <c r="CK270" s="709"/>
      <c r="CL270" s="709"/>
      <c r="CM270" s="709"/>
      <c r="CN270" s="709">
        <f t="shared" si="132"/>
        <v>0</v>
      </c>
      <c r="CO270" s="709"/>
      <c r="CP270" s="709"/>
      <c r="CQ270" s="709"/>
      <c r="CR270" s="709"/>
      <c r="CS270" s="709"/>
      <c r="CT270" s="709"/>
      <c r="CU270" s="709"/>
      <c r="CV270" s="709"/>
      <c r="CW270" s="709"/>
      <c r="CX270" s="683"/>
      <c r="CY270" s="711"/>
    </row>
    <row r="271" spans="1:234" ht="13.8" hidden="1">
      <c r="A271" s="706" t="s">
        <v>1953</v>
      </c>
      <c r="B271" s="707"/>
      <c r="C271" s="558">
        <v>35</v>
      </c>
      <c r="D271" s="550">
        <f t="shared" si="133"/>
        <v>508</v>
      </c>
      <c r="E271" s="558"/>
      <c r="F271" s="558"/>
      <c r="G271" s="558"/>
      <c r="H271" s="558"/>
      <c r="I271" s="558"/>
      <c r="J271" s="558"/>
      <c r="K271" s="558"/>
      <c r="L271" s="558"/>
      <c r="M271" s="558"/>
      <c r="N271" s="550">
        <f t="shared" si="134"/>
        <v>508</v>
      </c>
      <c r="O271" s="708"/>
      <c r="P271" s="708"/>
      <c r="Q271" s="658" t="s">
        <v>501</v>
      </c>
      <c r="R271" s="710"/>
      <c r="S271" s="710">
        <v>1</v>
      </c>
      <c r="T271" s="710"/>
      <c r="U271" s="710"/>
      <c r="V271" s="710"/>
      <c r="W271" s="710"/>
      <c r="X271" s="710"/>
      <c r="Y271" s="710"/>
      <c r="Z271" s="710">
        <v>1</v>
      </c>
      <c r="AA271" s="710"/>
      <c r="AB271" s="710"/>
      <c r="AC271" s="710"/>
      <c r="AD271" s="709"/>
      <c r="AE271" s="709"/>
      <c r="AF271" s="709"/>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09"/>
      <c r="BF271" s="672">
        <f t="shared" si="130"/>
        <v>0</v>
      </c>
      <c r="BG271" s="672">
        <f t="shared" si="131"/>
        <v>0</v>
      </c>
      <c r="BH271" s="709"/>
      <c r="BI271" s="709"/>
      <c r="BJ271" s="709"/>
      <c r="BK271" s="709"/>
      <c r="BL271" s="709"/>
      <c r="BM271" s="709"/>
      <c r="BN271" s="709"/>
      <c r="BO271" s="709"/>
      <c r="BP271" s="709"/>
      <c r="BQ271" s="709"/>
      <c r="BR271" s="709"/>
      <c r="BS271" s="709"/>
      <c r="BT271" s="709"/>
      <c r="BU271" s="709"/>
      <c r="BV271" s="709"/>
      <c r="BW271" s="709"/>
      <c r="BX271" s="709"/>
      <c r="BY271" s="709"/>
      <c r="BZ271" s="709"/>
      <c r="CA271" s="709">
        <v>1</v>
      </c>
      <c r="CB271" s="709"/>
      <c r="CC271" s="709"/>
      <c r="CD271" s="709"/>
      <c r="CE271" s="709"/>
      <c r="CF271" s="709"/>
      <c r="CG271" s="709"/>
      <c r="CH271" s="709"/>
      <c r="CI271" s="709"/>
      <c r="CJ271" s="709"/>
      <c r="CK271" s="709"/>
      <c r="CL271" s="709"/>
      <c r="CM271" s="709">
        <v>1</v>
      </c>
      <c r="CN271" s="709">
        <f t="shared" si="132"/>
        <v>3.6</v>
      </c>
      <c r="CO271" s="709"/>
      <c r="CP271" s="709"/>
      <c r="CQ271" s="709"/>
      <c r="CR271" s="709"/>
      <c r="CS271" s="709"/>
      <c r="CT271" s="709"/>
      <c r="CU271" s="709"/>
      <c r="CV271" s="709"/>
      <c r="CW271" s="709"/>
      <c r="CX271" s="683"/>
      <c r="CY271" s="711"/>
    </row>
    <row r="272" spans="1:234" ht="13.8" hidden="1">
      <c r="A272" s="706" t="s">
        <v>1954</v>
      </c>
      <c r="B272" s="707"/>
      <c r="C272" s="558">
        <v>35</v>
      </c>
      <c r="D272" s="550">
        <f t="shared" si="133"/>
        <v>543</v>
      </c>
      <c r="E272" s="558"/>
      <c r="F272" s="558"/>
      <c r="G272" s="558"/>
      <c r="H272" s="558"/>
      <c r="I272" s="558"/>
      <c r="J272" s="558"/>
      <c r="K272" s="558"/>
      <c r="L272" s="558"/>
      <c r="M272" s="558"/>
      <c r="N272" s="550">
        <f t="shared" si="134"/>
        <v>543</v>
      </c>
      <c r="O272" s="708"/>
      <c r="P272" s="708"/>
      <c r="Q272" s="658" t="s">
        <v>586</v>
      </c>
      <c r="R272" s="710"/>
      <c r="S272" s="710">
        <v>1</v>
      </c>
      <c r="T272" s="710"/>
      <c r="U272" s="710"/>
      <c r="V272" s="710"/>
      <c r="W272" s="710"/>
      <c r="X272" s="710"/>
      <c r="Y272" s="710"/>
      <c r="Z272" s="710">
        <v>1</v>
      </c>
      <c r="AA272" s="710"/>
      <c r="AB272" s="710"/>
      <c r="AC272" s="710"/>
      <c r="AD272" s="709"/>
      <c r="AE272" s="709"/>
      <c r="AF272" s="709"/>
      <c r="AG272" s="709"/>
      <c r="AH272" s="709"/>
      <c r="AI272" s="709"/>
      <c r="AJ272" s="709"/>
      <c r="AK272" s="709"/>
      <c r="AL272" s="709"/>
      <c r="AM272" s="709"/>
      <c r="AN272" s="709"/>
      <c r="AO272" s="709"/>
      <c r="AP272" s="709"/>
      <c r="AQ272" s="709"/>
      <c r="AR272" s="709"/>
      <c r="AS272" s="709"/>
      <c r="AT272" s="709"/>
      <c r="AU272" s="709"/>
      <c r="AV272" s="709"/>
      <c r="AW272" s="709"/>
      <c r="AX272" s="709">
        <v>1</v>
      </c>
      <c r="AY272" s="709"/>
      <c r="AZ272" s="709"/>
      <c r="BA272" s="709"/>
      <c r="BB272" s="709"/>
      <c r="BC272" s="709"/>
      <c r="BD272" s="709"/>
      <c r="BE272" s="709"/>
      <c r="BF272" s="672">
        <f t="shared" si="130"/>
        <v>0</v>
      </c>
      <c r="BG272" s="672">
        <f t="shared" si="131"/>
        <v>1</v>
      </c>
      <c r="BH272" s="709"/>
      <c r="BI272" s="709"/>
      <c r="BJ272" s="709"/>
      <c r="BK272" s="709"/>
      <c r="BL272" s="709"/>
      <c r="BM272" s="709"/>
      <c r="BN272" s="709"/>
      <c r="BO272" s="709"/>
      <c r="BP272" s="709"/>
      <c r="BQ272" s="709"/>
      <c r="BR272" s="709"/>
      <c r="BS272" s="709"/>
      <c r="BT272" s="709"/>
      <c r="BU272" s="709"/>
      <c r="BV272" s="709"/>
      <c r="BW272" s="709"/>
      <c r="BX272" s="709"/>
      <c r="BY272" s="709"/>
      <c r="BZ272" s="709"/>
      <c r="CA272" s="709">
        <v>1</v>
      </c>
      <c r="CB272" s="709"/>
      <c r="CC272" s="709"/>
      <c r="CD272" s="709"/>
      <c r="CE272" s="709"/>
      <c r="CF272" s="709"/>
      <c r="CG272" s="709"/>
      <c r="CH272" s="709"/>
      <c r="CI272" s="709"/>
      <c r="CJ272" s="709"/>
      <c r="CK272" s="709"/>
      <c r="CL272" s="709"/>
      <c r="CM272" s="709">
        <v>1</v>
      </c>
      <c r="CN272" s="709">
        <f t="shared" si="132"/>
        <v>3.6</v>
      </c>
      <c r="CO272" s="709"/>
      <c r="CP272" s="709"/>
      <c r="CQ272" s="709"/>
      <c r="CR272" s="709"/>
      <c r="CS272" s="709"/>
      <c r="CT272" s="709"/>
      <c r="CU272" s="709"/>
      <c r="CV272" s="709"/>
      <c r="CW272" s="709"/>
      <c r="CX272" s="683"/>
      <c r="CY272" s="711"/>
    </row>
    <row r="273" spans="1:234" s="678" customFormat="1" ht="13.8" hidden="1">
      <c r="A273" s="712" t="s">
        <v>1955</v>
      </c>
      <c r="B273" s="613"/>
      <c r="C273" s="613">
        <v>19</v>
      </c>
      <c r="D273" s="550">
        <f t="shared" si="133"/>
        <v>562</v>
      </c>
      <c r="E273" s="613"/>
      <c r="F273" s="613"/>
      <c r="G273" s="613"/>
      <c r="H273" s="613"/>
      <c r="I273" s="613"/>
      <c r="J273" s="679"/>
      <c r="K273" s="613"/>
      <c r="L273" s="613"/>
      <c r="M273" s="613"/>
      <c r="N273" s="550">
        <f t="shared" si="134"/>
        <v>562</v>
      </c>
      <c r="O273" s="614"/>
      <c r="P273" s="614"/>
      <c r="Q273" s="680" t="s">
        <v>1107</v>
      </c>
      <c r="R273" s="681"/>
      <c r="S273" s="681">
        <v>1</v>
      </c>
      <c r="T273" s="681"/>
      <c r="U273" s="681"/>
      <c r="V273" s="681"/>
      <c r="W273" s="681"/>
      <c r="X273" s="681"/>
      <c r="Y273" s="681"/>
      <c r="Z273" s="681">
        <v>1</v>
      </c>
      <c r="AA273" s="681"/>
      <c r="AB273" s="681"/>
      <c r="AC273" s="681"/>
      <c r="AD273" s="682"/>
      <c r="AE273" s="682"/>
      <c r="AF273" s="682"/>
      <c r="AG273" s="682"/>
      <c r="AH273" s="682"/>
      <c r="AI273" s="682"/>
      <c r="AJ273" s="682"/>
      <c r="AK273" s="682"/>
      <c r="AL273" s="682"/>
      <c r="AM273" s="682"/>
      <c r="AN273" s="682"/>
      <c r="AO273" s="682"/>
      <c r="AP273" s="682"/>
      <c r="AQ273" s="682"/>
      <c r="AR273" s="682"/>
      <c r="AS273" s="682"/>
      <c r="AT273" s="682"/>
      <c r="AU273" s="682"/>
      <c r="AV273" s="682"/>
      <c r="AW273" s="682"/>
      <c r="AX273" s="682"/>
      <c r="AY273" s="682"/>
      <c r="AZ273" s="682"/>
      <c r="BA273" s="682"/>
      <c r="BB273" s="682"/>
      <c r="BC273" s="682"/>
      <c r="BD273" s="682"/>
      <c r="BE273" s="682"/>
      <c r="BF273" s="672">
        <f t="shared" si="130"/>
        <v>0</v>
      </c>
      <c r="BG273" s="672">
        <f t="shared" si="131"/>
        <v>0</v>
      </c>
      <c r="BH273" s="682"/>
      <c r="BI273" s="682"/>
      <c r="BJ273" s="682"/>
      <c r="BK273" s="682"/>
      <c r="BL273" s="682"/>
      <c r="BM273" s="682"/>
      <c r="BN273" s="682"/>
      <c r="BO273" s="682"/>
      <c r="BP273" s="682"/>
      <c r="BQ273" s="682"/>
      <c r="BR273" s="682">
        <v>1</v>
      </c>
      <c r="BS273" s="682"/>
      <c r="BT273" s="682"/>
      <c r="BU273" s="682"/>
      <c r="BV273" s="682"/>
      <c r="BW273" s="682"/>
      <c r="BX273" s="682"/>
      <c r="BY273" s="682"/>
      <c r="BZ273" s="682"/>
      <c r="CA273" s="682">
        <v>1</v>
      </c>
      <c r="CB273" s="682"/>
      <c r="CC273" s="682"/>
      <c r="CD273" s="682"/>
      <c r="CE273" s="682"/>
      <c r="CF273" s="682"/>
      <c r="CG273" s="682"/>
      <c r="CH273" s="682"/>
      <c r="CI273" s="682"/>
      <c r="CJ273" s="682"/>
      <c r="CK273" s="682"/>
      <c r="CL273" s="682"/>
      <c r="CM273" s="682">
        <v>1</v>
      </c>
      <c r="CN273" s="682">
        <f t="shared" si="132"/>
        <v>3.6</v>
      </c>
      <c r="CO273" s="682"/>
      <c r="CP273" s="682"/>
      <c r="CQ273" s="682"/>
      <c r="CR273" s="682"/>
      <c r="CS273" s="682"/>
      <c r="CT273" s="682"/>
      <c r="CU273" s="682"/>
      <c r="CV273" s="682"/>
      <c r="CW273" s="682"/>
      <c r="CX273" s="683"/>
      <c r="CY273" s="711"/>
      <c r="CZ273" s="677"/>
      <c r="DA273" s="530"/>
      <c r="DB273" s="530"/>
      <c r="DC273" s="530"/>
      <c r="DD273" s="530"/>
      <c r="DE273" s="530"/>
      <c r="DF273" s="530"/>
      <c r="DG273" s="530"/>
      <c r="DH273" s="530"/>
      <c r="DI273" s="530"/>
      <c r="DJ273" s="530"/>
      <c r="DK273" s="530"/>
      <c r="DL273" s="530"/>
      <c r="DM273" s="530"/>
      <c r="DN273" s="530"/>
      <c r="DO273" s="530"/>
      <c r="DP273" s="530"/>
      <c r="DQ273" s="530"/>
      <c r="DR273" s="530"/>
      <c r="DS273" s="530"/>
      <c r="DT273" s="530"/>
      <c r="DU273" s="530"/>
      <c r="DV273" s="530"/>
      <c r="DW273" s="530"/>
      <c r="DX273" s="530"/>
      <c r="DY273" s="530"/>
      <c r="DZ273" s="530"/>
      <c r="EA273" s="530"/>
      <c r="EB273" s="530"/>
      <c r="EC273" s="530"/>
      <c r="ED273" s="530"/>
      <c r="EE273" s="530"/>
      <c r="EF273" s="530"/>
      <c r="EG273" s="530"/>
      <c r="EH273" s="530"/>
      <c r="EI273" s="530"/>
      <c r="EJ273" s="530"/>
      <c r="EK273" s="530"/>
      <c r="EL273" s="530"/>
      <c r="EM273" s="530"/>
      <c r="EN273" s="530"/>
      <c r="EO273" s="530"/>
      <c r="EP273" s="530"/>
      <c r="EQ273" s="530"/>
      <c r="ER273" s="530"/>
      <c r="ES273" s="530"/>
      <c r="ET273" s="530"/>
      <c r="EU273" s="530"/>
      <c r="EV273" s="530"/>
      <c r="EW273" s="530"/>
      <c r="EX273" s="530"/>
      <c r="EY273" s="530"/>
      <c r="EZ273" s="530"/>
      <c r="FA273" s="530"/>
      <c r="FB273" s="530"/>
      <c r="FC273" s="530"/>
      <c r="FD273" s="530"/>
      <c r="FE273" s="530"/>
      <c r="FF273" s="530"/>
      <c r="FG273" s="530"/>
      <c r="FH273" s="530"/>
      <c r="FI273" s="530"/>
      <c r="FJ273" s="530"/>
      <c r="FK273" s="530"/>
      <c r="FL273" s="530"/>
      <c r="FM273" s="530"/>
      <c r="FN273" s="530"/>
      <c r="FO273" s="530"/>
      <c r="FP273" s="530"/>
      <c r="FQ273" s="530"/>
      <c r="FR273" s="530"/>
      <c r="FS273" s="530"/>
      <c r="FT273" s="530"/>
      <c r="FU273" s="530"/>
      <c r="FV273" s="530"/>
      <c r="FW273" s="530"/>
      <c r="FX273" s="530"/>
      <c r="FY273" s="530"/>
      <c r="FZ273" s="530"/>
      <c r="GA273" s="530"/>
      <c r="GB273" s="530"/>
      <c r="GC273" s="530"/>
      <c r="GD273" s="530"/>
      <c r="GE273" s="530"/>
      <c r="GF273" s="530"/>
      <c r="GG273" s="530"/>
      <c r="GH273" s="530"/>
      <c r="GI273" s="530"/>
      <c r="GJ273" s="530"/>
      <c r="GK273" s="530"/>
      <c r="GL273" s="530"/>
      <c r="GM273" s="530"/>
      <c r="GN273" s="530"/>
      <c r="GO273" s="530"/>
      <c r="GP273" s="530"/>
      <c r="GQ273" s="530"/>
      <c r="GR273" s="530"/>
      <c r="GS273" s="530"/>
      <c r="GT273" s="530"/>
      <c r="GU273" s="530"/>
      <c r="GV273" s="530"/>
      <c r="GW273" s="530"/>
      <c r="GX273" s="530"/>
      <c r="GY273" s="530"/>
      <c r="GZ273" s="530"/>
      <c r="HA273" s="530"/>
      <c r="HB273" s="530"/>
      <c r="HC273" s="530"/>
      <c r="HD273" s="530"/>
      <c r="HE273" s="530"/>
      <c r="HF273" s="530"/>
      <c r="HG273" s="530"/>
      <c r="HH273" s="530"/>
      <c r="HI273" s="530"/>
      <c r="HJ273" s="530"/>
      <c r="HK273" s="530"/>
      <c r="HL273" s="530"/>
      <c r="HM273" s="530"/>
      <c r="HN273" s="530"/>
      <c r="HO273" s="530"/>
      <c r="HP273" s="530"/>
      <c r="HQ273" s="530"/>
      <c r="HR273" s="530"/>
      <c r="HS273" s="530"/>
      <c r="HT273" s="530"/>
      <c r="HU273" s="530"/>
      <c r="HV273" s="530"/>
      <c r="HW273" s="530"/>
      <c r="HX273" s="530"/>
      <c r="HY273" s="530"/>
      <c r="HZ273" s="530"/>
    </row>
    <row r="274" spans="1:234" s="717" customFormat="1" ht="13.8" hidden="1">
      <c r="A274" s="659" t="s">
        <v>4019</v>
      </c>
      <c r="B274" s="713"/>
      <c r="C274" s="714">
        <f>SUM(C257:C273)</f>
        <v>562</v>
      </c>
      <c r="D274" s="714">
        <f t="shared" ref="D274:N274" si="135">D273</f>
        <v>562</v>
      </c>
      <c r="E274" s="714">
        <f t="shared" si="135"/>
        <v>0</v>
      </c>
      <c r="F274" s="714">
        <f t="shared" si="135"/>
        <v>0</v>
      </c>
      <c r="G274" s="714">
        <f t="shared" si="135"/>
        <v>0</v>
      </c>
      <c r="H274" s="714">
        <f t="shared" si="135"/>
        <v>0</v>
      </c>
      <c r="I274" s="714">
        <f t="shared" si="135"/>
        <v>0</v>
      </c>
      <c r="J274" s="714">
        <f t="shared" si="135"/>
        <v>0</v>
      </c>
      <c r="K274" s="714">
        <f t="shared" si="135"/>
        <v>0</v>
      </c>
      <c r="L274" s="714">
        <f t="shared" si="135"/>
        <v>0</v>
      </c>
      <c r="M274" s="714">
        <f t="shared" si="135"/>
        <v>0</v>
      </c>
      <c r="N274" s="714">
        <f t="shared" si="135"/>
        <v>562</v>
      </c>
      <c r="O274" s="714"/>
      <c r="P274" s="714">
        <f>SUM(O257:O273)</f>
        <v>0</v>
      </c>
      <c r="Q274" s="714">
        <f>SUM(P257:P273)</f>
        <v>0</v>
      </c>
      <c r="R274" s="714">
        <f>SUM(Q257:Q273)</f>
        <v>0</v>
      </c>
      <c r="S274" s="714">
        <f t="shared" ref="S274:AX274" si="136">SUM(S257:S273)</f>
        <v>15</v>
      </c>
      <c r="T274" s="714">
        <f t="shared" si="136"/>
        <v>0</v>
      </c>
      <c r="U274" s="714">
        <f t="shared" si="136"/>
        <v>0</v>
      </c>
      <c r="V274" s="714">
        <f t="shared" si="136"/>
        <v>0</v>
      </c>
      <c r="W274" s="714">
        <f t="shared" si="136"/>
        <v>0</v>
      </c>
      <c r="X274" s="714">
        <f t="shared" si="136"/>
        <v>0</v>
      </c>
      <c r="Y274" s="714">
        <f t="shared" si="136"/>
        <v>0</v>
      </c>
      <c r="Z274" s="714">
        <f t="shared" si="136"/>
        <v>15</v>
      </c>
      <c r="AA274" s="714">
        <f t="shared" si="136"/>
        <v>0</v>
      </c>
      <c r="AB274" s="714">
        <f t="shared" si="136"/>
        <v>0</v>
      </c>
      <c r="AC274" s="714">
        <f t="shared" si="136"/>
        <v>0</v>
      </c>
      <c r="AD274" s="714">
        <f t="shared" si="136"/>
        <v>0</v>
      </c>
      <c r="AE274" s="714">
        <f t="shared" si="136"/>
        <v>0</v>
      </c>
      <c r="AF274" s="714">
        <f t="shared" si="136"/>
        <v>0</v>
      </c>
      <c r="AG274" s="714">
        <f t="shared" si="136"/>
        <v>0</v>
      </c>
      <c r="AH274" s="714">
        <f t="shared" si="136"/>
        <v>0</v>
      </c>
      <c r="AI274" s="714">
        <f t="shared" si="136"/>
        <v>0</v>
      </c>
      <c r="AJ274" s="714">
        <f t="shared" si="136"/>
        <v>0</v>
      </c>
      <c r="AK274" s="714">
        <f t="shared" si="136"/>
        <v>0</v>
      </c>
      <c r="AL274" s="714">
        <f t="shared" si="136"/>
        <v>0</v>
      </c>
      <c r="AM274" s="714">
        <f t="shared" si="136"/>
        <v>0</v>
      </c>
      <c r="AN274" s="714">
        <f t="shared" si="136"/>
        <v>0</v>
      </c>
      <c r="AO274" s="714">
        <f t="shared" si="136"/>
        <v>0</v>
      </c>
      <c r="AP274" s="714">
        <f t="shared" si="136"/>
        <v>0</v>
      </c>
      <c r="AQ274" s="714">
        <f t="shared" si="136"/>
        <v>0</v>
      </c>
      <c r="AR274" s="714">
        <f t="shared" si="136"/>
        <v>0</v>
      </c>
      <c r="AS274" s="714">
        <f t="shared" si="136"/>
        <v>0</v>
      </c>
      <c r="AT274" s="714">
        <f t="shared" si="136"/>
        <v>0</v>
      </c>
      <c r="AU274" s="714">
        <f t="shared" si="136"/>
        <v>0</v>
      </c>
      <c r="AV274" s="714">
        <f t="shared" si="136"/>
        <v>0</v>
      </c>
      <c r="AW274" s="714">
        <f t="shared" si="136"/>
        <v>4</v>
      </c>
      <c r="AX274" s="714">
        <f t="shared" si="136"/>
        <v>6</v>
      </c>
      <c r="AY274" s="714">
        <f t="shared" ref="AY274:CB274" si="137">SUM(AY257:AY273)</f>
        <v>0</v>
      </c>
      <c r="AZ274" s="714">
        <f t="shared" si="137"/>
        <v>0</v>
      </c>
      <c r="BA274" s="714">
        <f t="shared" si="137"/>
        <v>0</v>
      </c>
      <c r="BB274" s="714">
        <f t="shared" si="137"/>
        <v>0</v>
      </c>
      <c r="BC274" s="714">
        <f t="shared" si="137"/>
        <v>0</v>
      </c>
      <c r="BD274" s="714">
        <f t="shared" si="137"/>
        <v>0</v>
      </c>
      <c r="BE274" s="714">
        <f t="shared" si="137"/>
        <v>0</v>
      </c>
      <c r="BF274" s="714">
        <f t="shared" si="137"/>
        <v>4</v>
      </c>
      <c r="BG274" s="714">
        <f t="shared" si="137"/>
        <v>6</v>
      </c>
      <c r="BH274" s="714">
        <f t="shared" si="137"/>
        <v>0</v>
      </c>
      <c r="BI274" s="714">
        <f t="shared" si="137"/>
        <v>0</v>
      </c>
      <c r="BJ274" s="714">
        <f t="shared" si="137"/>
        <v>0</v>
      </c>
      <c r="BK274" s="714">
        <f t="shared" si="137"/>
        <v>0</v>
      </c>
      <c r="BL274" s="714">
        <f t="shared" si="137"/>
        <v>0</v>
      </c>
      <c r="BM274" s="714">
        <f t="shared" si="137"/>
        <v>0</v>
      </c>
      <c r="BN274" s="714">
        <f t="shared" si="137"/>
        <v>0</v>
      </c>
      <c r="BO274" s="714">
        <f t="shared" si="137"/>
        <v>0</v>
      </c>
      <c r="BP274" s="714">
        <f t="shared" si="137"/>
        <v>0</v>
      </c>
      <c r="BQ274" s="714">
        <f t="shared" si="137"/>
        <v>0</v>
      </c>
      <c r="BR274" s="714">
        <f t="shared" si="137"/>
        <v>4</v>
      </c>
      <c r="BS274" s="714">
        <f t="shared" si="137"/>
        <v>0</v>
      </c>
      <c r="BT274" s="714">
        <f t="shared" si="137"/>
        <v>0</v>
      </c>
      <c r="BU274" s="714">
        <f t="shared" si="137"/>
        <v>0</v>
      </c>
      <c r="BV274" s="714">
        <f t="shared" si="137"/>
        <v>0</v>
      </c>
      <c r="BW274" s="714">
        <f t="shared" si="137"/>
        <v>0</v>
      </c>
      <c r="BX274" s="714">
        <f t="shared" si="137"/>
        <v>0</v>
      </c>
      <c r="BY274" s="714">
        <f t="shared" si="137"/>
        <v>0</v>
      </c>
      <c r="BZ274" s="714">
        <f t="shared" si="137"/>
        <v>0</v>
      </c>
      <c r="CA274" s="714">
        <f t="shared" si="137"/>
        <v>15</v>
      </c>
      <c r="CB274" s="714">
        <f t="shared" si="137"/>
        <v>0</v>
      </c>
      <c r="CC274" s="714">
        <f t="shared" ref="CC274:CN274" si="138">SUM(CC257:CC273)</f>
        <v>0</v>
      </c>
      <c r="CD274" s="714">
        <f t="shared" si="138"/>
        <v>0</v>
      </c>
      <c r="CE274" s="714">
        <f t="shared" si="138"/>
        <v>0</v>
      </c>
      <c r="CF274" s="714">
        <f t="shared" si="138"/>
        <v>0</v>
      </c>
      <c r="CG274" s="714">
        <f t="shared" si="138"/>
        <v>0</v>
      </c>
      <c r="CH274" s="714">
        <f t="shared" si="138"/>
        <v>0</v>
      </c>
      <c r="CI274" s="714">
        <f t="shared" si="138"/>
        <v>0</v>
      </c>
      <c r="CJ274" s="714">
        <f t="shared" si="138"/>
        <v>0</v>
      </c>
      <c r="CK274" s="714">
        <f t="shared" si="138"/>
        <v>0</v>
      </c>
      <c r="CL274" s="714">
        <f t="shared" si="138"/>
        <v>0</v>
      </c>
      <c r="CM274" s="714">
        <f t="shared" si="138"/>
        <v>15</v>
      </c>
      <c r="CN274" s="714">
        <f t="shared" si="138"/>
        <v>54.000000000000014</v>
      </c>
      <c r="CO274" s="714">
        <f t="shared" ref="CO274:CW274" si="139">SUM(CO257:CO273)</f>
        <v>0</v>
      </c>
      <c r="CP274" s="714">
        <f t="shared" si="139"/>
        <v>0</v>
      </c>
      <c r="CQ274" s="714">
        <f t="shared" si="139"/>
        <v>0</v>
      </c>
      <c r="CR274" s="714">
        <f t="shared" si="139"/>
        <v>9</v>
      </c>
      <c r="CS274" s="714">
        <f t="shared" si="139"/>
        <v>0</v>
      </c>
      <c r="CT274" s="714">
        <f t="shared" si="139"/>
        <v>0</v>
      </c>
      <c r="CU274" s="714">
        <f t="shared" si="139"/>
        <v>0</v>
      </c>
      <c r="CV274" s="714">
        <f t="shared" si="139"/>
        <v>0</v>
      </c>
      <c r="CW274" s="714">
        <f t="shared" si="139"/>
        <v>0</v>
      </c>
      <c r="CX274" s="715">
        <v>23</v>
      </c>
      <c r="CY274" s="716"/>
    </row>
    <row r="275" spans="1:234" s="545" customFormat="1" ht="18" hidden="1" customHeight="1">
      <c r="A275" s="655" t="s">
        <v>4051</v>
      </c>
      <c r="B275" s="544"/>
      <c r="C275" s="544"/>
      <c r="D275" s="544"/>
      <c r="E275" s="544"/>
      <c r="F275" s="544"/>
      <c r="G275" s="544"/>
      <c r="H275" s="544"/>
      <c r="I275" s="544"/>
      <c r="J275" s="544"/>
      <c r="K275" s="544"/>
      <c r="L275" s="544"/>
      <c r="M275" s="544"/>
      <c r="N275" s="544"/>
      <c r="O275" s="544"/>
      <c r="P275" s="544"/>
      <c r="Q275" s="544"/>
      <c r="R275" s="544"/>
      <c r="S275" s="544"/>
      <c r="T275" s="544"/>
      <c r="U275" s="544"/>
      <c r="V275" s="544"/>
      <c r="W275" s="544"/>
      <c r="X275" s="544"/>
      <c r="Y275" s="544"/>
      <c r="Z275" s="544"/>
      <c r="AA275" s="544"/>
      <c r="AB275" s="544"/>
      <c r="AC275" s="544"/>
      <c r="AD275" s="544"/>
      <c r="AE275" s="544"/>
      <c r="AF275" s="544"/>
      <c r="AG275" s="544"/>
      <c r="AH275" s="544"/>
      <c r="AI275" s="544"/>
      <c r="AJ275" s="544"/>
      <c r="AK275" s="544"/>
      <c r="AL275" s="544"/>
      <c r="AM275" s="544"/>
      <c r="AN275" s="544"/>
      <c r="AO275" s="544"/>
      <c r="AP275" s="544"/>
      <c r="AQ275" s="544"/>
      <c r="AR275" s="544"/>
      <c r="AS275" s="544"/>
      <c r="AT275" s="544"/>
      <c r="AU275" s="544"/>
      <c r="AV275" s="544"/>
      <c r="AW275" s="544"/>
      <c r="AX275" s="544"/>
      <c r="AY275" s="544"/>
      <c r="AZ275" s="544"/>
      <c r="BA275" s="544"/>
      <c r="BB275" s="544"/>
      <c r="BC275" s="544"/>
      <c r="BD275" s="544"/>
      <c r="BE275" s="544"/>
      <c r="BF275" s="544"/>
      <c r="BG275" s="544"/>
      <c r="BH275" s="544"/>
      <c r="BI275" s="544"/>
      <c r="BJ275" s="544"/>
      <c r="BK275" s="544"/>
      <c r="BL275" s="544"/>
      <c r="BM275" s="544"/>
      <c r="BN275" s="544"/>
      <c r="BO275" s="544"/>
      <c r="BP275" s="544"/>
      <c r="BQ275" s="544"/>
      <c r="BR275" s="544"/>
      <c r="BS275" s="544"/>
      <c r="BT275" s="544"/>
      <c r="BU275" s="544"/>
      <c r="BV275" s="544"/>
      <c r="BW275" s="544"/>
      <c r="BX275" s="544"/>
      <c r="BY275" s="544"/>
      <c r="BZ275" s="544"/>
      <c r="CA275" s="544"/>
      <c r="CB275" s="544"/>
      <c r="CC275" s="544"/>
      <c r="CD275" s="544"/>
      <c r="CE275" s="544"/>
      <c r="CF275" s="544"/>
      <c r="CG275" s="544"/>
      <c r="CH275" s="544"/>
      <c r="CI275" s="544"/>
      <c r="CJ275" s="544"/>
      <c r="CK275" s="544"/>
      <c r="CL275" s="544"/>
      <c r="CM275" s="544"/>
      <c r="CN275" s="544"/>
      <c r="CO275" s="544"/>
      <c r="CP275" s="544"/>
      <c r="CQ275" s="544"/>
      <c r="CR275" s="544"/>
      <c r="CS275" s="544"/>
      <c r="CT275" s="544"/>
      <c r="CU275" s="544"/>
      <c r="CV275" s="544"/>
      <c r="CW275" s="544"/>
      <c r="CX275" s="544"/>
      <c r="CY275" s="669"/>
      <c r="CZ275" s="530"/>
      <c r="DA275" s="530"/>
      <c r="DB275" s="530"/>
      <c r="DC275" s="530"/>
      <c r="DD275" s="530"/>
      <c r="DE275" s="530"/>
      <c r="DF275" s="530"/>
      <c r="DG275" s="530"/>
      <c r="DH275" s="530"/>
      <c r="DI275" s="530"/>
      <c r="DJ275" s="530"/>
      <c r="DK275" s="530"/>
      <c r="DL275" s="530"/>
      <c r="DM275" s="530"/>
      <c r="DN275" s="530"/>
      <c r="DO275" s="530"/>
      <c r="DP275" s="530"/>
      <c r="DQ275" s="530"/>
      <c r="DR275" s="530"/>
      <c r="DS275" s="530"/>
      <c r="DT275" s="530"/>
      <c r="DU275" s="530"/>
      <c r="DV275" s="530"/>
      <c r="DW275" s="530"/>
      <c r="DX275" s="530"/>
      <c r="DY275" s="530"/>
      <c r="DZ275" s="530"/>
      <c r="EA275" s="530"/>
      <c r="EB275" s="530"/>
      <c r="EC275" s="530"/>
      <c r="ED275" s="530"/>
      <c r="EE275" s="530"/>
      <c r="EF275" s="530"/>
      <c r="EG275" s="530"/>
      <c r="EH275" s="530"/>
      <c r="EI275" s="530"/>
      <c r="EJ275" s="530"/>
      <c r="EK275" s="530"/>
      <c r="EL275" s="530"/>
      <c r="EM275" s="530"/>
      <c r="EN275" s="530"/>
      <c r="EO275" s="530"/>
      <c r="EP275" s="530"/>
      <c r="EQ275" s="530"/>
      <c r="ER275" s="530"/>
      <c r="ES275" s="530"/>
      <c r="ET275" s="530"/>
      <c r="EU275" s="530"/>
      <c r="EV275" s="530"/>
      <c r="EW275" s="530"/>
      <c r="EX275" s="530"/>
      <c r="EY275" s="530"/>
      <c r="EZ275" s="530"/>
      <c r="FA275" s="530"/>
      <c r="FB275" s="530"/>
      <c r="FC275" s="530"/>
      <c r="FD275" s="530"/>
      <c r="FE275" s="530"/>
      <c r="FF275" s="530"/>
      <c r="FG275" s="530"/>
      <c r="FH275" s="530"/>
      <c r="FI275" s="530"/>
      <c r="FJ275" s="530"/>
      <c r="FK275" s="530"/>
      <c r="FL275" s="530"/>
      <c r="FM275" s="530"/>
      <c r="FN275" s="530"/>
      <c r="FO275" s="530"/>
      <c r="FP275" s="530"/>
      <c r="FQ275" s="530"/>
      <c r="FR275" s="530"/>
      <c r="FS275" s="530"/>
      <c r="FT275" s="530"/>
      <c r="FU275" s="530"/>
      <c r="FV275" s="530"/>
      <c r="FW275" s="530"/>
      <c r="FX275" s="530"/>
      <c r="FY275" s="530"/>
      <c r="FZ275" s="530"/>
      <c r="GA275" s="530"/>
      <c r="GB275" s="530"/>
      <c r="GC275" s="530"/>
      <c r="GD275" s="530"/>
      <c r="GE275" s="530"/>
      <c r="GF275" s="530"/>
      <c r="GG275" s="530"/>
      <c r="GH275" s="530"/>
      <c r="GI275" s="530"/>
      <c r="GJ275" s="530"/>
      <c r="GK275" s="530"/>
      <c r="GL275" s="530"/>
      <c r="GM275" s="530"/>
      <c r="GN275" s="530"/>
      <c r="GO275" s="530"/>
      <c r="GP275" s="530"/>
      <c r="GQ275" s="530"/>
      <c r="GR275" s="530"/>
      <c r="GS275" s="530"/>
      <c r="GT275" s="530"/>
      <c r="GU275" s="530"/>
      <c r="GV275" s="530"/>
      <c r="GW275" s="530"/>
      <c r="GX275" s="530"/>
      <c r="GY275" s="530"/>
      <c r="GZ275" s="530"/>
      <c r="HA275" s="530"/>
      <c r="HB275" s="530"/>
      <c r="HC275" s="530"/>
      <c r="HD275" s="530"/>
      <c r="HE275" s="530"/>
      <c r="HF275" s="530"/>
      <c r="HG275" s="530"/>
      <c r="HH275" s="530"/>
      <c r="HI275" s="530"/>
      <c r="HJ275" s="530"/>
      <c r="HK275" s="530"/>
      <c r="HL275" s="530"/>
      <c r="HM275" s="530"/>
      <c r="HN275" s="530"/>
      <c r="HO275" s="530"/>
      <c r="HP275" s="530"/>
      <c r="HQ275" s="530"/>
      <c r="HR275" s="530"/>
      <c r="HS275" s="530"/>
      <c r="HT275" s="530"/>
      <c r="HU275" s="530"/>
      <c r="HV275" s="530"/>
      <c r="HW275" s="530"/>
      <c r="HX275" s="530"/>
      <c r="HY275" s="530"/>
      <c r="HZ275" s="530"/>
    </row>
    <row r="276" spans="1:234" ht="13.8" hidden="1">
      <c r="A276" s="591" t="s">
        <v>4050</v>
      </c>
      <c r="B276" s="702"/>
      <c r="C276" s="555"/>
      <c r="D276" s="555"/>
      <c r="E276" s="555"/>
      <c r="F276" s="555"/>
      <c r="G276" s="555"/>
      <c r="H276" s="555"/>
      <c r="I276" s="555"/>
      <c r="J276" s="555"/>
      <c r="K276" s="555"/>
      <c r="L276" s="555"/>
      <c r="M276" s="555"/>
      <c r="N276" s="555">
        <f>C276</f>
        <v>0</v>
      </c>
      <c r="O276" s="556"/>
      <c r="P276" s="556"/>
      <c r="Q276" s="703" t="s">
        <v>281</v>
      </c>
      <c r="R276" s="718"/>
      <c r="S276" s="718"/>
      <c r="T276" s="718"/>
      <c r="U276" s="718"/>
      <c r="V276" s="718"/>
      <c r="W276" s="718"/>
      <c r="X276" s="718"/>
      <c r="Y276" s="718"/>
      <c r="Z276" s="718"/>
      <c r="AA276" s="718"/>
      <c r="AB276" s="718"/>
      <c r="AC276" s="718"/>
      <c r="AD276" s="672"/>
      <c r="AE276" s="672"/>
      <c r="AF276" s="672"/>
      <c r="AG276" s="672"/>
      <c r="AH276" s="672"/>
      <c r="AI276" s="672"/>
      <c r="AJ276" s="672"/>
      <c r="AK276" s="672"/>
      <c r="AL276" s="672"/>
      <c r="AM276" s="672"/>
      <c r="AN276" s="672"/>
      <c r="AO276" s="672"/>
      <c r="AP276" s="672"/>
      <c r="AQ276" s="672"/>
      <c r="AR276" s="672"/>
      <c r="AS276" s="672"/>
      <c r="AT276" s="672"/>
      <c r="AU276" s="672"/>
      <c r="AV276" s="672"/>
      <c r="AW276" s="672"/>
      <c r="AX276" s="672"/>
      <c r="AY276" s="672"/>
      <c r="AZ276" s="672"/>
      <c r="BA276" s="672"/>
      <c r="BB276" s="672"/>
      <c r="BC276" s="672"/>
      <c r="BD276" s="672"/>
      <c r="BE276" s="672"/>
      <c r="BF276" s="672">
        <f t="shared" ref="BF276:BF285" si="140">AW276</f>
        <v>0</v>
      </c>
      <c r="BG276" s="672">
        <f t="shared" ref="BG276:BG285" si="141">AX276</f>
        <v>0</v>
      </c>
      <c r="BH276" s="672"/>
      <c r="BI276" s="672"/>
      <c r="BJ276" s="672"/>
      <c r="BK276" s="672"/>
      <c r="BL276" s="672"/>
      <c r="BM276" s="672"/>
      <c r="BN276" s="672"/>
      <c r="BO276" s="672"/>
      <c r="BP276" s="672"/>
      <c r="BQ276" s="672"/>
      <c r="BR276" s="672"/>
      <c r="BS276" s="672"/>
      <c r="BT276" s="672"/>
      <c r="BU276" s="672"/>
      <c r="BV276" s="672"/>
      <c r="BW276" s="672"/>
      <c r="BX276" s="672"/>
      <c r="BY276" s="672"/>
      <c r="BZ276" s="672"/>
      <c r="CA276" s="672"/>
      <c r="CB276" s="672"/>
      <c r="CC276" s="672"/>
      <c r="CD276" s="672"/>
      <c r="CE276" s="672"/>
      <c r="CF276" s="672"/>
      <c r="CG276" s="672"/>
      <c r="CH276" s="672"/>
      <c r="CI276" s="672"/>
      <c r="CJ276" s="672"/>
      <c r="CK276" s="672"/>
      <c r="CL276" s="672"/>
      <c r="CM276" s="672"/>
      <c r="CN276" s="672">
        <f t="shared" ref="CN276:CN285" si="142">+CM276*3.6</f>
        <v>0</v>
      </c>
      <c r="CO276" s="672"/>
      <c r="CP276" s="672"/>
      <c r="CQ276" s="672"/>
      <c r="CR276" s="672"/>
      <c r="CS276" s="672"/>
      <c r="CT276" s="672"/>
      <c r="CU276" s="672"/>
      <c r="CV276" s="672"/>
      <c r="CW276" s="672"/>
      <c r="CX276" s="704"/>
      <c r="CY276" s="705"/>
      <c r="HU276" s="542"/>
      <c r="HV276" s="542"/>
      <c r="HW276" s="542"/>
      <c r="HX276" s="542"/>
      <c r="HY276" s="542"/>
      <c r="HZ276" s="542"/>
    </row>
    <row r="277" spans="1:234" ht="13.8" hidden="1">
      <c r="A277" s="591" t="s">
        <v>736</v>
      </c>
      <c r="B277" s="670"/>
      <c r="C277" s="550">
        <v>40</v>
      </c>
      <c r="D277" s="550">
        <f t="shared" ref="D277:D285" si="143">D276+C277</f>
        <v>40</v>
      </c>
      <c r="E277" s="550"/>
      <c r="F277" s="550"/>
      <c r="G277" s="550"/>
      <c r="H277" s="550"/>
      <c r="I277" s="550"/>
      <c r="J277" s="550"/>
      <c r="K277" s="550"/>
      <c r="L277" s="550"/>
      <c r="M277" s="550"/>
      <c r="N277" s="550">
        <f t="shared" ref="N277:N285" si="144">+N276+C277</f>
        <v>40</v>
      </c>
      <c r="O277" s="439"/>
      <c r="P277" s="439"/>
      <c r="Q277" s="674" t="s">
        <v>501</v>
      </c>
      <c r="R277" s="671"/>
      <c r="S277" s="671">
        <v>1</v>
      </c>
      <c r="T277" s="671"/>
      <c r="U277" s="671"/>
      <c r="V277" s="671"/>
      <c r="W277" s="671"/>
      <c r="X277" s="671"/>
      <c r="Y277" s="671"/>
      <c r="Z277" s="671">
        <v>1</v>
      </c>
      <c r="AA277" s="671"/>
      <c r="AB277" s="671"/>
      <c r="AC277" s="671"/>
      <c r="AD277" s="623"/>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72">
        <f t="shared" si="140"/>
        <v>0</v>
      </c>
      <c r="BG277" s="672">
        <f t="shared" si="141"/>
        <v>0</v>
      </c>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v>1</v>
      </c>
      <c r="CB277" s="623"/>
      <c r="CC277" s="623"/>
      <c r="CD277" s="623"/>
      <c r="CE277" s="623"/>
      <c r="CF277" s="623"/>
      <c r="CG277" s="623"/>
      <c r="CH277" s="623"/>
      <c r="CI277" s="623"/>
      <c r="CJ277" s="623"/>
      <c r="CK277" s="623"/>
      <c r="CL277" s="623"/>
      <c r="CM277" s="623">
        <v>1</v>
      </c>
      <c r="CN277" s="623">
        <f t="shared" si="142"/>
        <v>3.6</v>
      </c>
      <c r="CO277" s="623"/>
      <c r="CP277" s="623"/>
      <c r="CQ277" s="623"/>
      <c r="CR277" s="623"/>
      <c r="CS277" s="623"/>
      <c r="CT277" s="623"/>
      <c r="CU277" s="623"/>
      <c r="CV277" s="623"/>
      <c r="CW277" s="623"/>
      <c r="CX277" s="673"/>
      <c r="CY277" s="557"/>
    </row>
    <row r="278" spans="1:234" ht="13.8" hidden="1">
      <c r="A278" s="591" t="s">
        <v>737</v>
      </c>
      <c r="B278" s="670"/>
      <c r="C278" s="550">
        <v>40</v>
      </c>
      <c r="D278" s="550">
        <f t="shared" si="143"/>
        <v>80</v>
      </c>
      <c r="E278" s="550"/>
      <c r="F278" s="550"/>
      <c r="G278" s="550"/>
      <c r="H278" s="550"/>
      <c r="I278" s="550"/>
      <c r="J278" s="550"/>
      <c r="K278" s="550"/>
      <c r="L278" s="550"/>
      <c r="M278" s="550"/>
      <c r="N278" s="550">
        <f t="shared" si="144"/>
        <v>80</v>
      </c>
      <c r="O278" s="439"/>
      <c r="P278" s="439"/>
      <c r="Q278" s="674" t="s">
        <v>501</v>
      </c>
      <c r="R278" s="671"/>
      <c r="S278" s="671">
        <v>1</v>
      </c>
      <c r="T278" s="671"/>
      <c r="U278" s="671"/>
      <c r="V278" s="671"/>
      <c r="W278" s="671"/>
      <c r="X278" s="671"/>
      <c r="Y278" s="671"/>
      <c r="Z278" s="671">
        <v>1</v>
      </c>
      <c r="AA278" s="671"/>
      <c r="AB278" s="671"/>
      <c r="AC278" s="671"/>
      <c r="AD278" s="623"/>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72">
        <f t="shared" si="140"/>
        <v>0</v>
      </c>
      <c r="BG278" s="672">
        <f t="shared" si="141"/>
        <v>0</v>
      </c>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v>1</v>
      </c>
      <c r="CB278" s="623"/>
      <c r="CC278" s="623"/>
      <c r="CD278" s="623"/>
      <c r="CE278" s="623"/>
      <c r="CF278" s="623"/>
      <c r="CG278" s="623"/>
      <c r="CH278" s="623"/>
      <c r="CI278" s="623"/>
      <c r="CJ278" s="623"/>
      <c r="CK278" s="623"/>
      <c r="CL278" s="623"/>
      <c r="CM278" s="623">
        <v>1</v>
      </c>
      <c r="CN278" s="623">
        <f t="shared" si="142"/>
        <v>3.6</v>
      </c>
      <c r="CO278" s="623"/>
      <c r="CP278" s="623"/>
      <c r="CQ278" s="623"/>
      <c r="CR278" s="623"/>
      <c r="CS278" s="623"/>
      <c r="CT278" s="623"/>
      <c r="CU278" s="623"/>
      <c r="CV278" s="623"/>
      <c r="CW278" s="623"/>
      <c r="CX278" s="673"/>
      <c r="CY278" s="557"/>
    </row>
    <row r="279" spans="1:234" ht="13.8" hidden="1">
      <c r="A279" s="591" t="s">
        <v>738</v>
      </c>
      <c r="B279" s="670"/>
      <c r="C279" s="550">
        <v>40</v>
      </c>
      <c r="D279" s="550">
        <f t="shared" si="143"/>
        <v>120</v>
      </c>
      <c r="E279" s="550"/>
      <c r="F279" s="550"/>
      <c r="G279" s="550"/>
      <c r="H279" s="550"/>
      <c r="I279" s="550"/>
      <c r="J279" s="550"/>
      <c r="K279" s="550"/>
      <c r="L279" s="550"/>
      <c r="M279" s="550"/>
      <c r="N279" s="550">
        <f t="shared" si="144"/>
        <v>120</v>
      </c>
      <c r="O279" s="439"/>
      <c r="P279" s="439"/>
      <c r="Q279" s="674" t="s">
        <v>501</v>
      </c>
      <c r="R279" s="671"/>
      <c r="S279" s="671">
        <v>1</v>
      </c>
      <c r="T279" s="671"/>
      <c r="U279" s="671"/>
      <c r="V279" s="671"/>
      <c r="W279" s="671"/>
      <c r="X279" s="671"/>
      <c r="Y279" s="671"/>
      <c r="Z279" s="671">
        <v>1</v>
      </c>
      <c r="AA279" s="671"/>
      <c r="AB279" s="671"/>
      <c r="AC279" s="671"/>
      <c r="AD279" s="623"/>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72">
        <f t="shared" si="140"/>
        <v>0</v>
      </c>
      <c r="BG279" s="672">
        <f t="shared" si="141"/>
        <v>0</v>
      </c>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v>1</v>
      </c>
      <c r="CB279" s="623"/>
      <c r="CC279" s="623"/>
      <c r="CD279" s="623"/>
      <c r="CE279" s="623"/>
      <c r="CF279" s="623"/>
      <c r="CG279" s="623"/>
      <c r="CH279" s="623"/>
      <c r="CI279" s="623"/>
      <c r="CJ279" s="623"/>
      <c r="CK279" s="623"/>
      <c r="CL279" s="623"/>
      <c r="CM279" s="623">
        <v>1</v>
      </c>
      <c r="CN279" s="623">
        <f t="shared" si="142"/>
        <v>3.6</v>
      </c>
      <c r="CO279" s="623"/>
      <c r="CP279" s="623"/>
      <c r="CQ279" s="623"/>
      <c r="CR279" s="623"/>
      <c r="CS279" s="623"/>
      <c r="CT279" s="623"/>
      <c r="CU279" s="623"/>
      <c r="CV279" s="623"/>
      <c r="CW279" s="623"/>
      <c r="CX279" s="673"/>
      <c r="CY279" s="557"/>
    </row>
    <row r="280" spans="1:234" ht="13.8" hidden="1">
      <c r="A280" s="591" t="s">
        <v>739</v>
      </c>
      <c r="B280" s="670"/>
      <c r="C280" s="550">
        <v>40</v>
      </c>
      <c r="D280" s="550">
        <f t="shared" si="143"/>
        <v>160</v>
      </c>
      <c r="E280" s="550"/>
      <c r="F280" s="550"/>
      <c r="G280" s="550"/>
      <c r="H280" s="550"/>
      <c r="I280" s="550"/>
      <c r="J280" s="550"/>
      <c r="K280" s="550"/>
      <c r="L280" s="550"/>
      <c r="M280" s="550"/>
      <c r="N280" s="550">
        <f t="shared" si="144"/>
        <v>160</v>
      </c>
      <c r="O280" s="439"/>
      <c r="P280" s="439"/>
      <c r="Q280" s="674" t="s">
        <v>501</v>
      </c>
      <c r="R280" s="671"/>
      <c r="S280" s="671">
        <v>1</v>
      </c>
      <c r="T280" s="671"/>
      <c r="U280" s="671"/>
      <c r="V280" s="671"/>
      <c r="W280" s="671"/>
      <c r="X280" s="671"/>
      <c r="Y280" s="671"/>
      <c r="Z280" s="671">
        <v>1</v>
      </c>
      <c r="AA280" s="671"/>
      <c r="AB280" s="671"/>
      <c r="AC280" s="671"/>
      <c r="AD280" s="623"/>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72">
        <f t="shared" si="140"/>
        <v>0</v>
      </c>
      <c r="BG280" s="672">
        <f t="shared" si="141"/>
        <v>0</v>
      </c>
      <c r="BH280" s="623"/>
      <c r="BI280" s="623"/>
      <c r="BJ280" s="623"/>
      <c r="BK280" s="623"/>
      <c r="BL280" s="623"/>
      <c r="BM280" s="623"/>
      <c r="BN280" s="623"/>
      <c r="BO280" s="623"/>
      <c r="BP280" s="623"/>
      <c r="BQ280" s="623"/>
      <c r="BR280" s="623">
        <v>1</v>
      </c>
      <c r="BS280" s="623"/>
      <c r="BT280" s="623"/>
      <c r="BU280" s="623"/>
      <c r="BV280" s="623"/>
      <c r="BW280" s="623"/>
      <c r="BX280" s="623"/>
      <c r="BY280" s="623"/>
      <c r="BZ280" s="623"/>
      <c r="CA280" s="623">
        <v>1</v>
      </c>
      <c r="CB280" s="623"/>
      <c r="CC280" s="623"/>
      <c r="CD280" s="623"/>
      <c r="CE280" s="623"/>
      <c r="CF280" s="623"/>
      <c r="CG280" s="623"/>
      <c r="CH280" s="623"/>
      <c r="CI280" s="623"/>
      <c r="CJ280" s="623"/>
      <c r="CK280" s="623"/>
      <c r="CL280" s="623"/>
      <c r="CM280" s="623">
        <v>1</v>
      </c>
      <c r="CN280" s="623">
        <f t="shared" si="142"/>
        <v>3.6</v>
      </c>
      <c r="CO280" s="623"/>
      <c r="CP280" s="623"/>
      <c r="CQ280" s="623"/>
      <c r="CR280" s="623"/>
      <c r="CS280" s="623"/>
      <c r="CT280" s="623"/>
      <c r="CU280" s="623"/>
      <c r="CV280" s="623"/>
      <c r="CW280" s="623"/>
      <c r="CX280" s="673"/>
      <c r="CY280" s="557"/>
    </row>
    <row r="281" spans="1:234" ht="13.8" hidden="1">
      <c r="A281" s="591" t="s">
        <v>740</v>
      </c>
      <c r="B281" s="670"/>
      <c r="C281" s="550">
        <v>40</v>
      </c>
      <c r="D281" s="550">
        <f t="shared" si="143"/>
        <v>200</v>
      </c>
      <c r="E281" s="550"/>
      <c r="F281" s="550"/>
      <c r="G281" s="550"/>
      <c r="H281" s="550"/>
      <c r="I281" s="550"/>
      <c r="J281" s="550"/>
      <c r="K281" s="550"/>
      <c r="L281" s="550"/>
      <c r="M281" s="550"/>
      <c r="N281" s="550">
        <f t="shared" si="144"/>
        <v>200</v>
      </c>
      <c r="O281" s="439"/>
      <c r="P281" s="439"/>
      <c r="Q281" s="674" t="s">
        <v>1818</v>
      </c>
      <c r="R281" s="671"/>
      <c r="S281" s="671">
        <v>1</v>
      </c>
      <c r="T281" s="671"/>
      <c r="U281" s="671"/>
      <c r="V281" s="671"/>
      <c r="W281" s="671"/>
      <c r="X281" s="671"/>
      <c r="Y281" s="671"/>
      <c r="Z281" s="671">
        <v>1</v>
      </c>
      <c r="AA281" s="671"/>
      <c r="AB281" s="671"/>
      <c r="AC281" s="671"/>
      <c r="AD281" s="623"/>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v>1</v>
      </c>
      <c r="AY281" s="623"/>
      <c r="AZ281" s="623"/>
      <c r="BA281" s="623"/>
      <c r="BB281" s="623"/>
      <c r="BC281" s="623"/>
      <c r="BD281" s="623"/>
      <c r="BE281" s="623"/>
      <c r="BF281" s="672">
        <f t="shared" si="140"/>
        <v>0</v>
      </c>
      <c r="BG281" s="672">
        <f t="shared" si="141"/>
        <v>1</v>
      </c>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v>1</v>
      </c>
      <c r="CB281" s="623"/>
      <c r="CC281" s="623"/>
      <c r="CD281" s="623"/>
      <c r="CE281" s="623"/>
      <c r="CF281" s="623"/>
      <c r="CG281" s="623"/>
      <c r="CH281" s="623"/>
      <c r="CI281" s="623"/>
      <c r="CJ281" s="623"/>
      <c r="CK281" s="623"/>
      <c r="CL281" s="623"/>
      <c r="CM281" s="623">
        <v>1</v>
      </c>
      <c r="CN281" s="623">
        <f t="shared" si="142"/>
        <v>3.6</v>
      </c>
      <c r="CO281" s="623"/>
      <c r="CP281" s="623"/>
      <c r="CQ281" s="623"/>
      <c r="CR281" s="623">
        <v>1</v>
      </c>
      <c r="CS281" s="623"/>
      <c r="CT281" s="623"/>
      <c r="CU281" s="623"/>
      <c r="CV281" s="623"/>
      <c r="CW281" s="623"/>
      <c r="CX281" s="673"/>
      <c r="CY281" s="557"/>
    </row>
    <row r="282" spans="1:234" ht="13.8" hidden="1">
      <c r="A282" s="591" t="s">
        <v>1931</v>
      </c>
      <c r="B282" s="670"/>
      <c r="C282" s="550">
        <v>40</v>
      </c>
      <c r="D282" s="550">
        <f t="shared" si="143"/>
        <v>240</v>
      </c>
      <c r="E282" s="550"/>
      <c r="F282" s="550"/>
      <c r="G282" s="550"/>
      <c r="H282" s="550"/>
      <c r="I282" s="550"/>
      <c r="J282" s="550"/>
      <c r="K282" s="550"/>
      <c r="L282" s="550"/>
      <c r="M282" s="550"/>
      <c r="N282" s="550">
        <f t="shared" si="144"/>
        <v>240</v>
      </c>
      <c r="O282" s="439"/>
      <c r="P282" s="439"/>
      <c r="Q282" s="674" t="s">
        <v>1818</v>
      </c>
      <c r="R282" s="671"/>
      <c r="S282" s="671">
        <v>1</v>
      </c>
      <c r="T282" s="671"/>
      <c r="U282" s="671"/>
      <c r="V282" s="671"/>
      <c r="W282" s="671"/>
      <c r="X282" s="671"/>
      <c r="Y282" s="671"/>
      <c r="Z282" s="671">
        <v>1</v>
      </c>
      <c r="AA282" s="671"/>
      <c r="AB282" s="671"/>
      <c r="AC282" s="671"/>
      <c r="AD282" s="623"/>
      <c r="AE282" s="623"/>
      <c r="AF282" s="623"/>
      <c r="AG282" s="623"/>
      <c r="AH282" s="623"/>
      <c r="AI282" s="623"/>
      <c r="AJ282" s="623"/>
      <c r="AK282" s="623"/>
      <c r="AL282" s="623"/>
      <c r="AM282" s="623"/>
      <c r="AN282" s="623"/>
      <c r="AO282" s="623"/>
      <c r="AP282" s="623"/>
      <c r="AQ282" s="623"/>
      <c r="AR282" s="623"/>
      <c r="AS282" s="623"/>
      <c r="AT282" s="623"/>
      <c r="AU282" s="623"/>
      <c r="AV282" s="623"/>
      <c r="AW282" s="623"/>
      <c r="AX282" s="623">
        <v>1</v>
      </c>
      <c r="AY282" s="623"/>
      <c r="AZ282" s="623"/>
      <c r="BA282" s="623"/>
      <c r="BB282" s="623"/>
      <c r="BC282" s="623"/>
      <c r="BD282" s="623"/>
      <c r="BE282" s="623"/>
      <c r="BF282" s="672">
        <f t="shared" si="140"/>
        <v>0</v>
      </c>
      <c r="BG282" s="672">
        <f t="shared" si="141"/>
        <v>1</v>
      </c>
      <c r="BH282" s="623"/>
      <c r="BI282" s="623"/>
      <c r="BJ282" s="623"/>
      <c r="BK282" s="623"/>
      <c r="BL282" s="623"/>
      <c r="BM282" s="623"/>
      <c r="BN282" s="623"/>
      <c r="BO282" s="623"/>
      <c r="BP282" s="623"/>
      <c r="BQ282" s="623"/>
      <c r="BR282" s="623"/>
      <c r="BS282" s="623"/>
      <c r="BT282" s="623"/>
      <c r="BU282" s="623"/>
      <c r="BV282" s="623"/>
      <c r="BW282" s="623"/>
      <c r="BX282" s="623"/>
      <c r="BY282" s="623"/>
      <c r="BZ282" s="623"/>
      <c r="CA282" s="623">
        <v>1</v>
      </c>
      <c r="CB282" s="623"/>
      <c r="CC282" s="623"/>
      <c r="CD282" s="623"/>
      <c r="CE282" s="623"/>
      <c r="CF282" s="623"/>
      <c r="CG282" s="623"/>
      <c r="CH282" s="623"/>
      <c r="CI282" s="623"/>
      <c r="CJ282" s="623"/>
      <c r="CK282" s="623"/>
      <c r="CL282" s="623"/>
      <c r="CM282" s="623">
        <v>1</v>
      </c>
      <c r="CN282" s="623">
        <f t="shared" si="142"/>
        <v>3.6</v>
      </c>
      <c r="CO282" s="623"/>
      <c r="CP282" s="623"/>
      <c r="CQ282" s="623"/>
      <c r="CR282" s="623">
        <v>1</v>
      </c>
      <c r="CS282" s="623"/>
      <c r="CT282" s="623"/>
      <c r="CU282" s="623"/>
      <c r="CV282" s="623"/>
      <c r="CW282" s="623"/>
      <c r="CX282" s="673"/>
      <c r="CY282" s="557"/>
    </row>
    <row r="283" spans="1:234" ht="13.8" hidden="1">
      <c r="A283" s="591" t="s">
        <v>1932</v>
      </c>
      <c r="B283" s="670"/>
      <c r="C283" s="550">
        <v>40</v>
      </c>
      <c r="D283" s="550">
        <f t="shared" si="143"/>
        <v>280</v>
      </c>
      <c r="E283" s="550"/>
      <c r="F283" s="550"/>
      <c r="G283" s="550"/>
      <c r="H283" s="550"/>
      <c r="I283" s="550"/>
      <c r="J283" s="550"/>
      <c r="K283" s="550"/>
      <c r="L283" s="550"/>
      <c r="M283" s="550"/>
      <c r="N283" s="550">
        <f t="shared" si="144"/>
        <v>280</v>
      </c>
      <c r="O283" s="439"/>
      <c r="P283" s="439"/>
      <c r="Q283" s="674" t="s">
        <v>501</v>
      </c>
      <c r="R283" s="671"/>
      <c r="S283" s="671">
        <v>1</v>
      </c>
      <c r="T283" s="671"/>
      <c r="U283" s="671"/>
      <c r="V283" s="671"/>
      <c r="W283" s="671"/>
      <c r="X283" s="671"/>
      <c r="Y283" s="671"/>
      <c r="Z283" s="671">
        <v>1</v>
      </c>
      <c r="AA283" s="671"/>
      <c r="AB283" s="671"/>
      <c r="AC283" s="671"/>
      <c r="AD283" s="623"/>
      <c r="AE283" s="623"/>
      <c r="AF283" s="623"/>
      <c r="AG283" s="623"/>
      <c r="AH283" s="623"/>
      <c r="AI283" s="623"/>
      <c r="AJ283" s="623"/>
      <c r="AK283" s="623"/>
      <c r="AL283" s="623"/>
      <c r="AM283" s="623"/>
      <c r="AN283" s="623"/>
      <c r="AO283" s="623"/>
      <c r="AP283" s="623"/>
      <c r="AQ283" s="623"/>
      <c r="AR283" s="623"/>
      <c r="AS283" s="623"/>
      <c r="AT283" s="623"/>
      <c r="AU283" s="623"/>
      <c r="AV283" s="623"/>
      <c r="AW283" s="623"/>
      <c r="AX283" s="623"/>
      <c r="AY283" s="623"/>
      <c r="AZ283" s="623"/>
      <c r="BA283" s="623"/>
      <c r="BB283" s="623"/>
      <c r="BC283" s="623"/>
      <c r="BD283" s="623"/>
      <c r="BE283" s="623"/>
      <c r="BF283" s="672">
        <f t="shared" si="140"/>
        <v>0</v>
      </c>
      <c r="BG283" s="672">
        <f t="shared" si="141"/>
        <v>0</v>
      </c>
      <c r="BH283" s="623"/>
      <c r="BI283" s="623"/>
      <c r="BJ283" s="623"/>
      <c r="BK283" s="623"/>
      <c r="BL283" s="623"/>
      <c r="BM283" s="623"/>
      <c r="BN283" s="623"/>
      <c r="BO283" s="623"/>
      <c r="BP283" s="623"/>
      <c r="BQ283" s="623"/>
      <c r="BR283" s="623"/>
      <c r="BS283" s="623"/>
      <c r="BT283" s="623"/>
      <c r="BU283" s="623"/>
      <c r="BV283" s="623"/>
      <c r="BW283" s="623"/>
      <c r="BX283" s="623"/>
      <c r="BY283" s="623"/>
      <c r="BZ283" s="623"/>
      <c r="CA283" s="623">
        <v>1</v>
      </c>
      <c r="CB283" s="623"/>
      <c r="CC283" s="623"/>
      <c r="CD283" s="623"/>
      <c r="CE283" s="623"/>
      <c r="CF283" s="623"/>
      <c r="CG283" s="623"/>
      <c r="CH283" s="623"/>
      <c r="CI283" s="623"/>
      <c r="CJ283" s="623"/>
      <c r="CK283" s="623"/>
      <c r="CL283" s="623"/>
      <c r="CM283" s="623">
        <v>1</v>
      </c>
      <c r="CN283" s="623">
        <f t="shared" si="142"/>
        <v>3.6</v>
      </c>
      <c r="CO283" s="623"/>
      <c r="CP283" s="623"/>
      <c r="CQ283" s="623"/>
      <c r="CR283" s="623"/>
      <c r="CS283" s="623"/>
      <c r="CT283" s="623"/>
      <c r="CU283" s="623"/>
      <c r="CV283" s="623"/>
      <c r="CW283" s="623"/>
      <c r="CX283" s="673"/>
      <c r="CY283" s="557"/>
    </row>
    <row r="284" spans="1:234" ht="13.8" hidden="1">
      <c r="A284" s="591" t="s">
        <v>1933</v>
      </c>
      <c r="B284" s="670"/>
      <c r="C284" s="550">
        <v>40</v>
      </c>
      <c r="D284" s="550">
        <f t="shared" si="143"/>
        <v>320</v>
      </c>
      <c r="E284" s="550"/>
      <c r="F284" s="550"/>
      <c r="G284" s="550"/>
      <c r="H284" s="550"/>
      <c r="I284" s="550"/>
      <c r="J284" s="550"/>
      <c r="K284" s="550"/>
      <c r="L284" s="550"/>
      <c r="M284" s="550"/>
      <c r="N284" s="550">
        <f t="shared" si="144"/>
        <v>320</v>
      </c>
      <c r="O284" s="439"/>
      <c r="P284" s="439"/>
      <c r="Q284" s="674" t="s">
        <v>501</v>
      </c>
      <c r="R284" s="671"/>
      <c r="S284" s="671">
        <v>1</v>
      </c>
      <c r="T284" s="671"/>
      <c r="U284" s="671"/>
      <c r="V284" s="671"/>
      <c r="W284" s="671"/>
      <c r="X284" s="671"/>
      <c r="Y284" s="671"/>
      <c r="Z284" s="671">
        <v>1</v>
      </c>
      <c r="AA284" s="671"/>
      <c r="AB284" s="671"/>
      <c r="AC284" s="671"/>
      <c r="AD284" s="623"/>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72">
        <f t="shared" si="140"/>
        <v>0</v>
      </c>
      <c r="BG284" s="672">
        <f t="shared" si="141"/>
        <v>0</v>
      </c>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v>1</v>
      </c>
      <c r="CB284" s="623"/>
      <c r="CC284" s="623"/>
      <c r="CD284" s="623"/>
      <c r="CE284" s="623"/>
      <c r="CF284" s="623"/>
      <c r="CG284" s="623"/>
      <c r="CH284" s="623"/>
      <c r="CI284" s="623"/>
      <c r="CJ284" s="623"/>
      <c r="CK284" s="623"/>
      <c r="CL284" s="623"/>
      <c r="CM284" s="623">
        <v>1</v>
      </c>
      <c r="CN284" s="623">
        <f t="shared" si="142"/>
        <v>3.6</v>
      </c>
      <c r="CO284" s="623"/>
      <c r="CP284" s="623"/>
      <c r="CQ284" s="623"/>
      <c r="CR284" s="623"/>
      <c r="CS284" s="623"/>
      <c r="CT284" s="623"/>
      <c r="CU284" s="623"/>
      <c r="CV284" s="623"/>
      <c r="CW284" s="623"/>
      <c r="CX284" s="673"/>
      <c r="CY284" s="557"/>
    </row>
    <row r="285" spans="1:234" s="678" customFormat="1" ht="13.8" hidden="1">
      <c r="A285" s="712" t="s">
        <v>1934</v>
      </c>
      <c r="B285" s="613"/>
      <c r="C285" s="613">
        <v>40</v>
      </c>
      <c r="D285" s="550">
        <f t="shared" si="143"/>
        <v>360</v>
      </c>
      <c r="E285" s="613"/>
      <c r="F285" s="613"/>
      <c r="G285" s="613"/>
      <c r="H285" s="613"/>
      <c r="I285" s="613"/>
      <c r="J285" s="679"/>
      <c r="K285" s="613"/>
      <c r="L285" s="613"/>
      <c r="M285" s="613"/>
      <c r="N285" s="550">
        <f t="shared" si="144"/>
        <v>360</v>
      </c>
      <c r="O285" s="614"/>
      <c r="P285" s="614"/>
      <c r="Q285" s="680" t="s">
        <v>1107</v>
      </c>
      <c r="R285" s="681"/>
      <c r="S285" s="681">
        <v>1</v>
      </c>
      <c r="T285" s="681"/>
      <c r="U285" s="681"/>
      <c r="V285" s="681"/>
      <c r="W285" s="681"/>
      <c r="X285" s="681"/>
      <c r="Y285" s="681"/>
      <c r="Z285" s="681">
        <v>1</v>
      </c>
      <c r="AA285" s="681"/>
      <c r="AB285" s="681"/>
      <c r="AC285" s="681"/>
      <c r="AD285" s="682"/>
      <c r="AE285" s="682"/>
      <c r="AF285" s="682"/>
      <c r="AG285" s="682"/>
      <c r="AH285" s="682"/>
      <c r="AI285" s="682"/>
      <c r="AJ285" s="682"/>
      <c r="AK285" s="682"/>
      <c r="AL285" s="682"/>
      <c r="AM285" s="682"/>
      <c r="AN285" s="682"/>
      <c r="AO285" s="682"/>
      <c r="AP285" s="682"/>
      <c r="AQ285" s="682"/>
      <c r="AR285" s="682"/>
      <c r="AS285" s="682"/>
      <c r="AT285" s="682"/>
      <c r="AU285" s="682"/>
      <c r="AV285" s="682"/>
      <c r="AW285" s="682">
        <v>1</v>
      </c>
      <c r="AX285" s="682"/>
      <c r="AY285" s="682"/>
      <c r="AZ285" s="682"/>
      <c r="BA285" s="682"/>
      <c r="BB285" s="682"/>
      <c r="BC285" s="682"/>
      <c r="BD285" s="682"/>
      <c r="BE285" s="682"/>
      <c r="BF285" s="672">
        <f t="shared" si="140"/>
        <v>1</v>
      </c>
      <c r="BG285" s="672">
        <f t="shared" si="141"/>
        <v>0</v>
      </c>
      <c r="BH285" s="682"/>
      <c r="BI285" s="682"/>
      <c r="BJ285" s="682"/>
      <c r="BK285" s="682"/>
      <c r="BL285" s="682"/>
      <c r="BM285" s="682"/>
      <c r="BN285" s="682"/>
      <c r="BO285" s="682"/>
      <c r="BP285" s="682"/>
      <c r="BQ285" s="682"/>
      <c r="BR285" s="682">
        <v>1</v>
      </c>
      <c r="BS285" s="682"/>
      <c r="BT285" s="682"/>
      <c r="BU285" s="682"/>
      <c r="BV285" s="682"/>
      <c r="BW285" s="682"/>
      <c r="BX285" s="682"/>
      <c r="BY285" s="682"/>
      <c r="BZ285" s="682"/>
      <c r="CA285" s="682">
        <v>1</v>
      </c>
      <c r="CB285" s="682"/>
      <c r="CC285" s="682"/>
      <c r="CD285" s="682"/>
      <c r="CE285" s="682"/>
      <c r="CF285" s="682"/>
      <c r="CG285" s="682"/>
      <c r="CH285" s="682"/>
      <c r="CI285" s="682"/>
      <c r="CJ285" s="682"/>
      <c r="CK285" s="682"/>
      <c r="CL285" s="682"/>
      <c r="CM285" s="682">
        <v>1</v>
      </c>
      <c r="CN285" s="682">
        <f t="shared" si="142"/>
        <v>3.6</v>
      </c>
      <c r="CO285" s="682"/>
      <c r="CP285" s="682"/>
      <c r="CQ285" s="682"/>
      <c r="CR285" s="682"/>
      <c r="CS285" s="682"/>
      <c r="CT285" s="682"/>
      <c r="CU285" s="682"/>
      <c r="CV285" s="682"/>
      <c r="CW285" s="682"/>
      <c r="CX285" s="683"/>
      <c r="CY285" s="711"/>
      <c r="CZ285" s="677"/>
      <c r="DA285" s="530"/>
      <c r="DB285" s="530"/>
      <c r="DC285" s="530"/>
      <c r="DD285" s="530"/>
      <c r="DE285" s="530"/>
      <c r="DF285" s="530"/>
      <c r="DG285" s="530"/>
      <c r="DH285" s="530"/>
      <c r="DI285" s="530"/>
      <c r="DJ285" s="530"/>
      <c r="DK285" s="530"/>
      <c r="DL285" s="530"/>
      <c r="DM285" s="530"/>
      <c r="DN285" s="530"/>
      <c r="DO285" s="530"/>
      <c r="DP285" s="530"/>
      <c r="DQ285" s="530"/>
      <c r="DR285" s="530"/>
      <c r="DS285" s="530"/>
      <c r="DT285" s="530"/>
      <c r="DU285" s="530"/>
      <c r="DV285" s="530"/>
      <c r="DW285" s="530"/>
      <c r="DX285" s="530"/>
      <c r="DY285" s="530"/>
      <c r="DZ285" s="530"/>
      <c r="EA285" s="530"/>
      <c r="EB285" s="530"/>
      <c r="EC285" s="530"/>
      <c r="ED285" s="530"/>
      <c r="EE285" s="530"/>
      <c r="EF285" s="530"/>
      <c r="EG285" s="530"/>
      <c r="EH285" s="530"/>
      <c r="EI285" s="530"/>
      <c r="EJ285" s="530"/>
      <c r="EK285" s="530"/>
      <c r="EL285" s="530"/>
      <c r="EM285" s="530"/>
      <c r="EN285" s="530"/>
      <c r="EO285" s="530"/>
      <c r="EP285" s="530"/>
      <c r="EQ285" s="530"/>
      <c r="ER285" s="530"/>
      <c r="ES285" s="530"/>
      <c r="ET285" s="530"/>
      <c r="EU285" s="530"/>
      <c r="EV285" s="530"/>
      <c r="EW285" s="530"/>
      <c r="EX285" s="530"/>
      <c r="EY285" s="530"/>
      <c r="EZ285" s="530"/>
      <c r="FA285" s="530"/>
      <c r="FB285" s="530"/>
      <c r="FC285" s="530"/>
      <c r="FD285" s="530"/>
      <c r="FE285" s="530"/>
      <c r="FF285" s="530"/>
      <c r="FG285" s="530"/>
      <c r="FH285" s="530"/>
      <c r="FI285" s="530"/>
      <c r="FJ285" s="530"/>
      <c r="FK285" s="530"/>
      <c r="FL285" s="530"/>
      <c r="FM285" s="530"/>
      <c r="FN285" s="530"/>
      <c r="FO285" s="530"/>
      <c r="FP285" s="530"/>
      <c r="FQ285" s="530"/>
      <c r="FR285" s="530"/>
      <c r="FS285" s="530"/>
      <c r="FT285" s="530"/>
      <c r="FU285" s="530"/>
      <c r="FV285" s="530"/>
      <c r="FW285" s="530"/>
      <c r="FX285" s="530"/>
      <c r="FY285" s="530"/>
      <c r="FZ285" s="530"/>
      <c r="GA285" s="530"/>
      <c r="GB285" s="530"/>
      <c r="GC285" s="530"/>
      <c r="GD285" s="530"/>
      <c r="GE285" s="530"/>
      <c r="GF285" s="530"/>
      <c r="GG285" s="530"/>
      <c r="GH285" s="530"/>
      <c r="GI285" s="530"/>
      <c r="GJ285" s="530"/>
      <c r="GK285" s="530"/>
      <c r="GL285" s="530"/>
      <c r="GM285" s="530"/>
      <c r="GN285" s="530"/>
      <c r="GO285" s="530"/>
      <c r="GP285" s="530"/>
      <c r="GQ285" s="530"/>
      <c r="GR285" s="530"/>
      <c r="GS285" s="530"/>
      <c r="GT285" s="530"/>
      <c r="GU285" s="530"/>
      <c r="GV285" s="530"/>
      <c r="GW285" s="530"/>
      <c r="GX285" s="530"/>
      <c r="GY285" s="530"/>
      <c r="GZ285" s="530"/>
      <c r="HA285" s="530"/>
      <c r="HB285" s="530"/>
      <c r="HC285" s="530"/>
      <c r="HD285" s="530"/>
      <c r="HE285" s="530"/>
      <c r="HF285" s="530"/>
      <c r="HG285" s="530"/>
      <c r="HH285" s="530"/>
      <c r="HI285" s="530"/>
      <c r="HJ285" s="530"/>
      <c r="HK285" s="530"/>
      <c r="HL285" s="530"/>
      <c r="HM285" s="530"/>
      <c r="HN285" s="530"/>
      <c r="HO285" s="530"/>
      <c r="HP285" s="530"/>
      <c r="HQ285" s="530"/>
      <c r="HR285" s="530"/>
      <c r="HS285" s="530"/>
      <c r="HT285" s="530"/>
      <c r="HU285" s="530"/>
      <c r="HV285" s="530"/>
      <c r="HW285" s="530"/>
      <c r="HX285" s="530"/>
      <c r="HY285" s="530"/>
      <c r="HZ285" s="530"/>
    </row>
    <row r="286" spans="1:234" s="717" customFormat="1" ht="13.8" hidden="1">
      <c r="A286" s="659" t="s">
        <v>4016</v>
      </c>
      <c r="B286" s="713"/>
      <c r="C286" s="714">
        <f>SUM(C276:C285)</f>
        <v>360</v>
      </c>
      <c r="D286" s="714">
        <f t="shared" ref="D286:N286" si="145">D285</f>
        <v>360</v>
      </c>
      <c r="E286" s="714">
        <f t="shared" si="145"/>
        <v>0</v>
      </c>
      <c r="F286" s="714">
        <f t="shared" si="145"/>
        <v>0</v>
      </c>
      <c r="G286" s="714">
        <f t="shared" si="145"/>
        <v>0</v>
      </c>
      <c r="H286" s="714">
        <f t="shared" si="145"/>
        <v>0</v>
      </c>
      <c r="I286" s="714">
        <f t="shared" si="145"/>
        <v>0</v>
      </c>
      <c r="J286" s="714">
        <f t="shared" si="145"/>
        <v>0</v>
      </c>
      <c r="K286" s="714">
        <f t="shared" si="145"/>
        <v>0</v>
      </c>
      <c r="L286" s="714">
        <f t="shared" si="145"/>
        <v>0</v>
      </c>
      <c r="M286" s="714">
        <f t="shared" si="145"/>
        <v>0</v>
      </c>
      <c r="N286" s="714">
        <f t="shared" si="145"/>
        <v>360</v>
      </c>
      <c r="O286" s="714"/>
      <c r="P286" s="714">
        <f>SUM(O276:O285)</f>
        <v>0</v>
      </c>
      <c r="Q286" s="714">
        <f>SUM(P276:P285)</f>
        <v>0</v>
      </c>
      <c r="R286" s="714">
        <f>SUM(Q276:Q285)</f>
        <v>0</v>
      </c>
      <c r="S286" s="714">
        <f t="shared" ref="S286:AX286" si="146">SUM(S276:S285)</f>
        <v>9</v>
      </c>
      <c r="T286" s="714">
        <f t="shared" si="146"/>
        <v>0</v>
      </c>
      <c r="U286" s="714">
        <f t="shared" si="146"/>
        <v>0</v>
      </c>
      <c r="V286" s="714">
        <f t="shared" si="146"/>
        <v>0</v>
      </c>
      <c r="W286" s="714">
        <f t="shared" si="146"/>
        <v>0</v>
      </c>
      <c r="X286" s="714">
        <f t="shared" si="146"/>
        <v>0</v>
      </c>
      <c r="Y286" s="714">
        <f t="shared" si="146"/>
        <v>0</v>
      </c>
      <c r="Z286" s="714">
        <f t="shared" si="146"/>
        <v>9</v>
      </c>
      <c r="AA286" s="714">
        <f t="shared" si="146"/>
        <v>0</v>
      </c>
      <c r="AB286" s="714">
        <f t="shared" si="146"/>
        <v>0</v>
      </c>
      <c r="AC286" s="714">
        <f t="shared" si="146"/>
        <v>0</v>
      </c>
      <c r="AD286" s="714">
        <f t="shared" si="146"/>
        <v>0</v>
      </c>
      <c r="AE286" s="714">
        <f t="shared" si="146"/>
        <v>0</v>
      </c>
      <c r="AF286" s="714">
        <f t="shared" si="146"/>
        <v>0</v>
      </c>
      <c r="AG286" s="714">
        <f t="shared" si="146"/>
        <v>0</v>
      </c>
      <c r="AH286" s="714">
        <f t="shared" si="146"/>
        <v>0</v>
      </c>
      <c r="AI286" s="714">
        <f t="shared" si="146"/>
        <v>0</v>
      </c>
      <c r="AJ286" s="714">
        <f t="shared" si="146"/>
        <v>0</v>
      </c>
      <c r="AK286" s="714">
        <f t="shared" si="146"/>
        <v>0</v>
      </c>
      <c r="AL286" s="714">
        <f t="shared" si="146"/>
        <v>0</v>
      </c>
      <c r="AM286" s="714">
        <f t="shared" si="146"/>
        <v>0</v>
      </c>
      <c r="AN286" s="714">
        <f t="shared" si="146"/>
        <v>0</v>
      </c>
      <c r="AO286" s="714">
        <f t="shared" si="146"/>
        <v>0</v>
      </c>
      <c r="AP286" s="714">
        <f t="shared" si="146"/>
        <v>0</v>
      </c>
      <c r="AQ286" s="714">
        <f t="shared" si="146"/>
        <v>0</v>
      </c>
      <c r="AR286" s="714">
        <f t="shared" si="146"/>
        <v>0</v>
      </c>
      <c r="AS286" s="714">
        <f t="shared" si="146"/>
        <v>0</v>
      </c>
      <c r="AT286" s="714">
        <f t="shared" si="146"/>
        <v>0</v>
      </c>
      <c r="AU286" s="714">
        <f t="shared" si="146"/>
        <v>0</v>
      </c>
      <c r="AV286" s="714">
        <f t="shared" si="146"/>
        <v>0</v>
      </c>
      <c r="AW286" s="714">
        <f t="shared" si="146"/>
        <v>1</v>
      </c>
      <c r="AX286" s="714">
        <f t="shared" si="146"/>
        <v>2</v>
      </c>
      <c r="AY286" s="714">
        <f t="shared" ref="AY286:CB286" si="147">SUM(AY276:AY285)</f>
        <v>0</v>
      </c>
      <c r="AZ286" s="714">
        <f t="shared" si="147"/>
        <v>0</v>
      </c>
      <c r="BA286" s="714">
        <f t="shared" si="147"/>
        <v>0</v>
      </c>
      <c r="BB286" s="714">
        <f t="shared" si="147"/>
        <v>0</v>
      </c>
      <c r="BC286" s="714">
        <f t="shared" si="147"/>
        <v>0</v>
      </c>
      <c r="BD286" s="714">
        <f t="shared" si="147"/>
        <v>0</v>
      </c>
      <c r="BE286" s="714">
        <f t="shared" si="147"/>
        <v>0</v>
      </c>
      <c r="BF286" s="714">
        <f t="shared" si="147"/>
        <v>1</v>
      </c>
      <c r="BG286" s="714">
        <f t="shared" si="147"/>
        <v>2</v>
      </c>
      <c r="BH286" s="714">
        <f t="shared" si="147"/>
        <v>0</v>
      </c>
      <c r="BI286" s="714">
        <f t="shared" si="147"/>
        <v>0</v>
      </c>
      <c r="BJ286" s="714">
        <f t="shared" si="147"/>
        <v>0</v>
      </c>
      <c r="BK286" s="714">
        <f t="shared" si="147"/>
        <v>0</v>
      </c>
      <c r="BL286" s="714">
        <f t="shared" si="147"/>
        <v>0</v>
      </c>
      <c r="BM286" s="714">
        <f t="shared" si="147"/>
        <v>0</v>
      </c>
      <c r="BN286" s="714">
        <f t="shared" si="147"/>
        <v>0</v>
      </c>
      <c r="BO286" s="714">
        <f t="shared" si="147"/>
        <v>0</v>
      </c>
      <c r="BP286" s="714">
        <f t="shared" si="147"/>
        <v>0</v>
      </c>
      <c r="BQ286" s="714">
        <f t="shared" si="147"/>
        <v>0</v>
      </c>
      <c r="BR286" s="714">
        <f t="shared" si="147"/>
        <v>2</v>
      </c>
      <c r="BS286" s="714">
        <f t="shared" si="147"/>
        <v>0</v>
      </c>
      <c r="BT286" s="714">
        <f t="shared" si="147"/>
        <v>0</v>
      </c>
      <c r="BU286" s="714">
        <f t="shared" si="147"/>
        <v>0</v>
      </c>
      <c r="BV286" s="714">
        <f t="shared" si="147"/>
        <v>0</v>
      </c>
      <c r="BW286" s="714">
        <f t="shared" si="147"/>
        <v>0</v>
      </c>
      <c r="BX286" s="714">
        <f t="shared" si="147"/>
        <v>0</v>
      </c>
      <c r="BY286" s="714">
        <f t="shared" si="147"/>
        <v>0</v>
      </c>
      <c r="BZ286" s="714">
        <f t="shared" si="147"/>
        <v>0</v>
      </c>
      <c r="CA286" s="714">
        <f t="shared" si="147"/>
        <v>9</v>
      </c>
      <c r="CB286" s="714">
        <f t="shared" si="147"/>
        <v>0</v>
      </c>
      <c r="CC286" s="714">
        <f t="shared" ref="CC286:CN286" si="148">SUM(CC276:CC285)</f>
        <v>0</v>
      </c>
      <c r="CD286" s="714">
        <f t="shared" si="148"/>
        <v>0</v>
      </c>
      <c r="CE286" s="714">
        <f t="shared" si="148"/>
        <v>0</v>
      </c>
      <c r="CF286" s="714">
        <f t="shared" si="148"/>
        <v>0</v>
      </c>
      <c r="CG286" s="714">
        <f t="shared" si="148"/>
        <v>0</v>
      </c>
      <c r="CH286" s="714">
        <f t="shared" si="148"/>
        <v>0</v>
      </c>
      <c r="CI286" s="714">
        <f t="shared" si="148"/>
        <v>0</v>
      </c>
      <c r="CJ286" s="714">
        <f t="shared" si="148"/>
        <v>0</v>
      </c>
      <c r="CK286" s="714">
        <f t="shared" si="148"/>
        <v>0</v>
      </c>
      <c r="CL286" s="714">
        <f t="shared" si="148"/>
        <v>0</v>
      </c>
      <c r="CM286" s="714">
        <f t="shared" si="148"/>
        <v>9</v>
      </c>
      <c r="CN286" s="714">
        <f t="shared" si="148"/>
        <v>32.400000000000006</v>
      </c>
      <c r="CO286" s="714">
        <f t="shared" ref="CO286:CW286" si="149">SUM(CO276:CO285)</f>
        <v>0</v>
      </c>
      <c r="CP286" s="714">
        <f t="shared" si="149"/>
        <v>0</v>
      </c>
      <c r="CQ286" s="714">
        <f t="shared" si="149"/>
        <v>0</v>
      </c>
      <c r="CR286" s="714">
        <f t="shared" si="149"/>
        <v>2</v>
      </c>
      <c r="CS286" s="714">
        <f t="shared" si="149"/>
        <v>0</v>
      </c>
      <c r="CT286" s="714">
        <f t="shared" si="149"/>
        <v>0</v>
      </c>
      <c r="CU286" s="714">
        <f t="shared" si="149"/>
        <v>0</v>
      </c>
      <c r="CV286" s="714">
        <f t="shared" si="149"/>
        <v>0</v>
      </c>
      <c r="CW286" s="714">
        <f t="shared" si="149"/>
        <v>0</v>
      </c>
      <c r="CX286" s="715">
        <v>19</v>
      </c>
      <c r="CY286" s="716"/>
    </row>
    <row r="287" spans="1:234" s="545" customFormat="1" ht="18" hidden="1" customHeight="1">
      <c r="A287" s="655" t="s">
        <v>4052</v>
      </c>
      <c r="B287" s="544"/>
      <c r="C287" s="544"/>
      <c r="D287" s="544"/>
      <c r="E287" s="544"/>
      <c r="F287" s="544"/>
      <c r="G287" s="544"/>
      <c r="H287" s="544"/>
      <c r="I287" s="544"/>
      <c r="J287" s="544"/>
      <c r="K287" s="544"/>
      <c r="L287" s="544"/>
      <c r="M287" s="544"/>
      <c r="N287" s="544"/>
      <c r="O287" s="544"/>
      <c r="P287" s="544"/>
      <c r="Q287" s="544"/>
      <c r="R287" s="544"/>
      <c r="S287" s="544"/>
      <c r="T287" s="544"/>
      <c r="U287" s="544"/>
      <c r="V287" s="544"/>
      <c r="W287" s="544"/>
      <c r="X287" s="544"/>
      <c r="Y287" s="544"/>
      <c r="Z287" s="544"/>
      <c r="AA287" s="544"/>
      <c r="AB287" s="544"/>
      <c r="AC287" s="544"/>
      <c r="AD287" s="544"/>
      <c r="AE287" s="544"/>
      <c r="AF287" s="544"/>
      <c r="AG287" s="544"/>
      <c r="AH287" s="544"/>
      <c r="AI287" s="544"/>
      <c r="AJ287" s="544"/>
      <c r="AK287" s="544"/>
      <c r="AL287" s="544"/>
      <c r="AM287" s="544"/>
      <c r="AN287" s="544"/>
      <c r="AO287" s="544"/>
      <c r="AP287" s="544"/>
      <c r="AQ287" s="544"/>
      <c r="AR287" s="544"/>
      <c r="AS287" s="544"/>
      <c r="AT287" s="544"/>
      <c r="AU287" s="544"/>
      <c r="AV287" s="544"/>
      <c r="AW287" s="544"/>
      <c r="AX287" s="544"/>
      <c r="AY287" s="544"/>
      <c r="AZ287" s="544"/>
      <c r="BA287" s="544"/>
      <c r="BB287" s="544"/>
      <c r="BC287" s="544"/>
      <c r="BD287" s="544"/>
      <c r="BE287" s="544"/>
      <c r="BF287" s="544"/>
      <c r="BG287" s="544"/>
      <c r="BH287" s="544"/>
      <c r="BI287" s="544"/>
      <c r="BJ287" s="544"/>
      <c r="BK287" s="544"/>
      <c r="BL287" s="544"/>
      <c r="BM287" s="544"/>
      <c r="BN287" s="544"/>
      <c r="BO287" s="544"/>
      <c r="BP287" s="544"/>
      <c r="BQ287" s="544"/>
      <c r="BR287" s="544"/>
      <c r="BS287" s="544"/>
      <c r="BT287" s="544"/>
      <c r="BU287" s="544"/>
      <c r="BV287" s="544"/>
      <c r="BW287" s="544"/>
      <c r="BX287" s="544"/>
      <c r="BY287" s="544"/>
      <c r="BZ287" s="544"/>
      <c r="CA287" s="544"/>
      <c r="CB287" s="544"/>
      <c r="CC287" s="544"/>
      <c r="CD287" s="544"/>
      <c r="CE287" s="544"/>
      <c r="CF287" s="544"/>
      <c r="CG287" s="544"/>
      <c r="CH287" s="544"/>
      <c r="CI287" s="544"/>
      <c r="CJ287" s="544"/>
      <c r="CK287" s="544"/>
      <c r="CL287" s="544"/>
      <c r="CM287" s="544"/>
      <c r="CN287" s="544"/>
      <c r="CO287" s="544"/>
      <c r="CP287" s="544"/>
      <c r="CQ287" s="544"/>
      <c r="CR287" s="544"/>
      <c r="CS287" s="544"/>
      <c r="CT287" s="544"/>
      <c r="CU287" s="544"/>
      <c r="CV287" s="544"/>
      <c r="CW287" s="544"/>
      <c r="CX287" s="544"/>
      <c r="CY287" s="669"/>
      <c r="CZ287" s="530"/>
      <c r="DA287" s="530"/>
      <c r="DB287" s="530"/>
      <c r="DC287" s="530"/>
      <c r="DD287" s="530"/>
      <c r="DE287" s="530"/>
      <c r="DF287" s="530"/>
      <c r="DG287" s="530"/>
      <c r="DH287" s="530"/>
      <c r="DI287" s="530"/>
      <c r="DJ287" s="530"/>
      <c r="DK287" s="530"/>
      <c r="DL287" s="530"/>
      <c r="DM287" s="530"/>
      <c r="DN287" s="530"/>
      <c r="DO287" s="530"/>
      <c r="DP287" s="530"/>
      <c r="DQ287" s="530"/>
      <c r="DR287" s="530"/>
      <c r="DS287" s="530"/>
      <c r="DT287" s="530"/>
      <c r="DU287" s="530"/>
      <c r="DV287" s="530"/>
      <c r="DW287" s="530"/>
      <c r="DX287" s="530"/>
      <c r="DY287" s="530"/>
      <c r="DZ287" s="530"/>
      <c r="EA287" s="530"/>
      <c r="EB287" s="530"/>
      <c r="EC287" s="530"/>
      <c r="ED287" s="530"/>
      <c r="EE287" s="530"/>
      <c r="EF287" s="530"/>
      <c r="EG287" s="530"/>
      <c r="EH287" s="530"/>
      <c r="EI287" s="530"/>
      <c r="EJ287" s="530"/>
      <c r="EK287" s="530"/>
      <c r="EL287" s="530"/>
      <c r="EM287" s="530"/>
      <c r="EN287" s="530"/>
      <c r="EO287" s="530"/>
      <c r="EP287" s="530"/>
      <c r="EQ287" s="530"/>
      <c r="ER287" s="530"/>
      <c r="ES287" s="530"/>
      <c r="ET287" s="530"/>
      <c r="EU287" s="530"/>
      <c r="EV287" s="530"/>
      <c r="EW287" s="530"/>
      <c r="EX287" s="530"/>
      <c r="EY287" s="530"/>
      <c r="EZ287" s="530"/>
      <c r="FA287" s="530"/>
      <c r="FB287" s="530"/>
      <c r="FC287" s="530"/>
      <c r="FD287" s="530"/>
      <c r="FE287" s="530"/>
      <c r="FF287" s="530"/>
      <c r="FG287" s="530"/>
      <c r="FH287" s="530"/>
      <c r="FI287" s="530"/>
      <c r="FJ287" s="530"/>
      <c r="FK287" s="530"/>
      <c r="FL287" s="530"/>
      <c r="FM287" s="530"/>
      <c r="FN287" s="530"/>
      <c r="FO287" s="530"/>
      <c r="FP287" s="530"/>
      <c r="FQ287" s="530"/>
      <c r="FR287" s="530"/>
      <c r="FS287" s="530"/>
      <c r="FT287" s="530"/>
      <c r="FU287" s="530"/>
      <c r="FV287" s="530"/>
      <c r="FW287" s="530"/>
      <c r="FX287" s="530"/>
      <c r="FY287" s="530"/>
      <c r="FZ287" s="530"/>
      <c r="GA287" s="530"/>
      <c r="GB287" s="530"/>
      <c r="GC287" s="530"/>
      <c r="GD287" s="530"/>
      <c r="GE287" s="530"/>
      <c r="GF287" s="530"/>
      <c r="GG287" s="530"/>
      <c r="GH287" s="530"/>
      <c r="GI287" s="530"/>
      <c r="GJ287" s="530"/>
      <c r="GK287" s="530"/>
      <c r="GL287" s="530"/>
      <c r="GM287" s="530"/>
      <c r="GN287" s="530"/>
      <c r="GO287" s="530"/>
      <c r="GP287" s="530"/>
      <c r="GQ287" s="530"/>
      <c r="GR287" s="530"/>
      <c r="GS287" s="530"/>
      <c r="GT287" s="530"/>
      <c r="GU287" s="530"/>
      <c r="GV287" s="530"/>
      <c r="GW287" s="530"/>
      <c r="GX287" s="530"/>
      <c r="GY287" s="530"/>
      <c r="GZ287" s="530"/>
      <c r="HA287" s="530"/>
      <c r="HB287" s="530"/>
      <c r="HC287" s="530"/>
      <c r="HD287" s="530"/>
      <c r="HE287" s="530"/>
      <c r="HF287" s="530"/>
      <c r="HG287" s="530"/>
      <c r="HH287" s="530"/>
      <c r="HI287" s="530"/>
      <c r="HJ287" s="530"/>
      <c r="HK287" s="530"/>
      <c r="HL287" s="530"/>
      <c r="HM287" s="530"/>
      <c r="HN287" s="530"/>
      <c r="HO287" s="530"/>
      <c r="HP287" s="530"/>
      <c r="HQ287" s="530"/>
      <c r="HR287" s="530"/>
      <c r="HS287" s="530"/>
      <c r="HT287" s="530"/>
      <c r="HU287" s="530"/>
      <c r="HV287" s="530"/>
      <c r="HW287" s="530"/>
      <c r="HX287" s="530"/>
      <c r="HY287" s="530"/>
      <c r="HZ287" s="530"/>
    </row>
    <row r="288" spans="1:234" ht="13.8" hidden="1">
      <c r="A288" s="591" t="s">
        <v>4053</v>
      </c>
      <c r="B288" s="702"/>
      <c r="C288" s="555"/>
      <c r="D288" s="555"/>
      <c r="E288" s="555"/>
      <c r="F288" s="555"/>
      <c r="G288" s="555"/>
      <c r="H288" s="555"/>
      <c r="I288" s="555"/>
      <c r="J288" s="555"/>
      <c r="K288" s="555"/>
      <c r="L288" s="555"/>
      <c r="M288" s="555"/>
      <c r="N288" s="555">
        <f>C288</f>
        <v>0</v>
      </c>
      <c r="O288" s="556"/>
      <c r="P288" s="556"/>
      <c r="Q288" s="703" t="s">
        <v>546</v>
      </c>
      <c r="R288" s="718"/>
      <c r="S288" s="718"/>
      <c r="T288" s="718"/>
      <c r="U288" s="718"/>
      <c r="V288" s="718"/>
      <c r="W288" s="718"/>
      <c r="X288" s="718"/>
      <c r="Y288" s="718"/>
      <c r="Z288" s="718">
        <v>1</v>
      </c>
      <c r="AA288" s="718"/>
      <c r="AB288" s="718"/>
      <c r="AC288" s="718"/>
      <c r="AD288" s="672"/>
      <c r="AE288" s="672"/>
      <c r="AF288" s="672"/>
      <c r="AG288" s="672"/>
      <c r="AH288" s="672"/>
      <c r="AI288" s="672"/>
      <c r="AJ288" s="672"/>
      <c r="AK288" s="672"/>
      <c r="AL288" s="672"/>
      <c r="AM288" s="672"/>
      <c r="AN288" s="672"/>
      <c r="AO288" s="672"/>
      <c r="AP288" s="672"/>
      <c r="AQ288" s="672"/>
      <c r="AR288" s="672"/>
      <c r="AS288" s="672"/>
      <c r="AT288" s="672"/>
      <c r="AU288" s="672"/>
      <c r="AV288" s="672"/>
      <c r="AW288" s="672"/>
      <c r="AX288" s="672"/>
      <c r="AY288" s="672"/>
      <c r="AZ288" s="672"/>
      <c r="BA288" s="672"/>
      <c r="BB288" s="672"/>
      <c r="BC288" s="672"/>
      <c r="BD288" s="672"/>
      <c r="BE288" s="672"/>
      <c r="BF288" s="672">
        <f t="shared" ref="BF288:BG292" si="150">AW288</f>
        <v>0</v>
      </c>
      <c r="BG288" s="672">
        <f t="shared" si="150"/>
        <v>0</v>
      </c>
      <c r="BH288" s="672"/>
      <c r="BI288" s="672"/>
      <c r="BJ288" s="672"/>
      <c r="BK288" s="672"/>
      <c r="BL288" s="672"/>
      <c r="BM288" s="672"/>
      <c r="BN288" s="672"/>
      <c r="BO288" s="672"/>
      <c r="BP288" s="672"/>
      <c r="BQ288" s="672"/>
      <c r="BR288" s="672"/>
      <c r="BS288" s="672"/>
      <c r="BT288" s="672"/>
      <c r="BU288" s="672"/>
      <c r="BV288" s="672"/>
      <c r="BW288" s="672"/>
      <c r="BX288" s="672"/>
      <c r="BY288" s="672"/>
      <c r="BZ288" s="672"/>
      <c r="CA288" s="672"/>
      <c r="CB288" s="672"/>
      <c r="CC288" s="672"/>
      <c r="CD288" s="672"/>
      <c r="CE288" s="672"/>
      <c r="CF288" s="672"/>
      <c r="CG288" s="672"/>
      <c r="CH288" s="672"/>
      <c r="CI288" s="672"/>
      <c r="CJ288" s="672"/>
      <c r="CK288" s="672"/>
      <c r="CL288" s="672"/>
      <c r="CM288" s="672"/>
      <c r="CN288" s="672">
        <f>+CM288*3.6</f>
        <v>0</v>
      </c>
      <c r="CO288" s="672"/>
      <c r="CP288" s="672"/>
      <c r="CQ288" s="672"/>
      <c r="CR288" s="672"/>
      <c r="CS288" s="672"/>
      <c r="CT288" s="672"/>
      <c r="CU288" s="672"/>
      <c r="CV288" s="672"/>
      <c r="CW288" s="672"/>
      <c r="CX288" s="704"/>
      <c r="CY288" s="705"/>
      <c r="HU288" s="542"/>
      <c r="HV288" s="542"/>
      <c r="HW288" s="542"/>
      <c r="HX288" s="542"/>
      <c r="HY288" s="542"/>
      <c r="HZ288" s="542"/>
    </row>
    <row r="289" spans="1:234" ht="13.8" hidden="1">
      <c r="A289" s="591" t="s">
        <v>1937</v>
      </c>
      <c r="B289" s="670"/>
      <c r="C289" s="550">
        <v>19</v>
      </c>
      <c r="D289" s="550">
        <f>D288+C289</f>
        <v>19</v>
      </c>
      <c r="E289" s="550"/>
      <c r="F289" s="550"/>
      <c r="G289" s="550"/>
      <c r="H289" s="550"/>
      <c r="I289" s="550"/>
      <c r="J289" s="550"/>
      <c r="K289" s="550"/>
      <c r="L289" s="550"/>
      <c r="M289" s="550"/>
      <c r="N289" s="550">
        <f>+N288+C289</f>
        <v>19</v>
      </c>
      <c r="O289" s="439"/>
      <c r="P289" s="439"/>
      <c r="Q289" s="674" t="s">
        <v>586</v>
      </c>
      <c r="R289" s="671"/>
      <c r="S289" s="671">
        <v>1</v>
      </c>
      <c r="T289" s="671"/>
      <c r="U289" s="671"/>
      <c r="V289" s="671"/>
      <c r="W289" s="671"/>
      <c r="X289" s="671"/>
      <c r="Y289" s="671"/>
      <c r="Z289" s="671">
        <v>1</v>
      </c>
      <c r="AA289" s="671"/>
      <c r="AB289" s="671"/>
      <c r="AC289" s="671"/>
      <c r="AD289" s="623"/>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v>1</v>
      </c>
      <c r="AY289" s="623"/>
      <c r="AZ289" s="623"/>
      <c r="BA289" s="623"/>
      <c r="BB289" s="623"/>
      <c r="BC289" s="623"/>
      <c r="BD289" s="623"/>
      <c r="BE289" s="623"/>
      <c r="BF289" s="672">
        <f t="shared" si="150"/>
        <v>0</v>
      </c>
      <c r="BG289" s="672">
        <f t="shared" si="150"/>
        <v>1</v>
      </c>
      <c r="BH289" s="623"/>
      <c r="BI289" s="623"/>
      <c r="BJ289" s="623"/>
      <c r="BK289" s="623"/>
      <c r="BL289" s="623"/>
      <c r="BM289" s="623"/>
      <c r="BN289" s="623"/>
      <c r="BO289" s="623"/>
      <c r="BP289" s="623"/>
      <c r="BQ289" s="623"/>
      <c r="BR289" s="623">
        <v>1</v>
      </c>
      <c r="BS289" s="623"/>
      <c r="BT289" s="623"/>
      <c r="BU289" s="623"/>
      <c r="BV289" s="623"/>
      <c r="BW289" s="623"/>
      <c r="BX289" s="623"/>
      <c r="BY289" s="623"/>
      <c r="BZ289" s="623"/>
      <c r="CA289" s="623">
        <v>1</v>
      </c>
      <c r="CB289" s="623"/>
      <c r="CC289" s="623"/>
      <c r="CD289" s="623"/>
      <c r="CE289" s="623"/>
      <c r="CF289" s="623"/>
      <c r="CG289" s="623"/>
      <c r="CH289" s="623"/>
      <c r="CI289" s="623"/>
      <c r="CJ289" s="623"/>
      <c r="CK289" s="623"/>
      <c r="CL289" s="623"/>
      <c r="CM289" s="623">
        <v>1</v>
      </c>
      <c r="CN289" s="623">
        <f>+CM289*3.6</f>
        <v>3.6</v>
      </c>
      <c r="CO289" s="623"/>
      <c r="CP289" s="623"/>
      <c r="CQ289" s="623"/>
      <c r="CR289" s="623"/>
      <c r="CS289" s="623"/>
      <c r="CT289" s="623"/>
      <c r="CU289" s="623"/>
      <c r="CV289" s="623"/>
      <c r="CW289" s="623"/>
      <c r="CX289" s="673"/>
      <c r="CY289" s="557"/>
    </row>
    <row r="290" spans="1:234" ht="13.8" hidden="1">
      <c r="A290" s="591" t="s">
        <v>1938</v>
      </c>
      <c r="B290" s="670"/>
      <c r="C290" s="550">
        <v>22</v>
      </c>
      <c r="D290" s="550">
        <f>D289+C290</f>
        <v>41</v>
      </c>
      <c r="E290" s="550"/>
      <c r="F290" s="550"/>
      <c r="G290" s="550"/>
      <c r="H290" s="550"/>
      <c r="I290" s="550"/>
      <c r="J290" s="550"/>
      <c r="K290" s="550"/>
      <c r="L290" s="550"/>
      <c r="M290" s="550"/>
      <c r="N290" s="550">
        <f>+N289+C290</f>
        <v>41</v>
      </c>
      <c r="O290" s="439"/>
      <c r="P290" s="439"/>
      <c r="Q290" s="674" t="s">
        <v>1818</v>
      </c>
      <c r="R290" s="671"/>
      <c r="S290" s="671">
        <v>1</v>
      </c>
      <c r="T290" s="671"/>
      <c r="U290" s="671"/>
      <c r="V290" s="671"/>
      <c r="W290" s="671"/>
      <c r="X290" s="671"/>
      <c r="Y290" s="671"/>
      <c r="Z290" s="671"/>
      <c r="AA290" s="671"/>
      <c r="AB290" s="671">
        <v>1</v>
      </c>
      <c r="AC290" s="671"/>
      <c r="AD290" s="623"/>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72">
        <f t="shared" si="150"/>
        <v>0</v>
      </c>
      <c r="BG290" s="672">
        <f t="shared" si="150"/>
        <v>0</v>
      </c>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v>1</v>
      </c>
      <c r="CB290" s="623"/>
      <c r="CC290" s="623"/>
      <c r="CD290" s="623"/>
      <c r="CE290" s="623"/>
      <c r="CF290" s="623"/>
      <c r="CG290" s="623"/>
      <c r="CH290" s="623"/>
      <c r="CI290" s="623"/>
      <c r="CJ290" s="623"/>
      <c r="CK290" s="623"/>
      <c r="CL290" s="623"/>
      <c r="CM290" s="623">
        <v>1</v>
      </c>
      <c r="CN290" s="623">
        <f>+CM290*3.6</f>
        <v>3.6</v>
      </c>
      <c r="CO290" s="623"/>
      <c r="CP290" s="623"/>
      <c r="CQ290" s="623"/>
      <c r="CR290" s="623">
        <v>1</v>
      </c>
      <c r="CS290" s="623"/>
      <c r="CT290" s="623"/>
      <c r="CU290" s="623"/>
      <c r="CV290" s="623"/>
      <c r="CW290" s="623"/>
      <c r="CX290" s="673"/>
      <c r="CY290" s="557"/>
    </row>
    <row r="291" spans="1:234" ht="13.8" hidden="1">
      <c r="A291" s="591" t="s">
        <v>1939</v>
      </c>
      <c r="B291" s="670"/>
      <c r="C291" s="550">
        <v>17</v>
      </c>
      <c r="D291" s="550">
        <f>D290+C291</f>
        <v>58</v>
      </c>
      <c r="E291" s="550"/>
      <c r="F291" s="550"/>
      <c r="G291" s="550"/>
      <c r="H291" s="550"/>
      <c r="I291" s="550"/>
      <c r="J291" s="550"/>
      <c r="K291" s="550"/>
      <c r="L291" s="550"/>
      <c r="M291" s="550"/>
      <c r="N291" s="550">
        <f>+N290+C291</f>
        <v>58</v>
      </c>
      <c r="O291" s="439"/>
      <c r="P291" s="439"/>
      <c r="Q291" s="674" t="s">
        <v>1818</v>
      </c>
      <c r="R291" s="671"/>
      <c r="S291" s="671">
        <v>1</v>
      </c>
      <c r="T291" s="671"/>
      <c r="U291" s="671"/>
      <c r="V291" s="671"/>
      <c r="W291" s="671"/>
      <c r="X291" s="671"/>
      <c r="Y291" s="671"/>
      <c r="Z291" s="671"/>
      <c r="AA291" s="671"/>
      <c r="AB291" s="671">
        <v>1</v>
      </c>
      <c r="AC291" s="671"/>
      <c r="AD291" s="623"/>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72">
        <f t="shared" si="150"/>
        <v>0</v>
      </c>
      <c r="BG291" s="672">
        <f t="shared" si="150"/>
        <v>0</v>
      </c>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v>1</v>
      </c>
      <c r="CB291" s="623"/>
      <c r="CC291" s="623"/>
      <c r="CD291" s="623"/>
      <c r="CE291" s="623"/>
      <c r="CF291" s="623"/>
      <c r="CG291" s="623"/>
      <c r="CH291" s="623"/>
      <c r="CI291" s="623"/>
      <c r="CJ291" s="623"/>
      <c r="CK291" s="623"/>
      <c r="CL291" s="623"/>
      <c r="CM291" s="623">
        <v>1</v>
      </c>
      <c r="CN291" s="623">
        <f>+CM291*3.6</f>
        <v>3.6</v>
      </c>
      <c r="CO291" s="623"/>
      <c r="CP291" s="623"/>
      <c r="CQ291" s="623"/>
      <c r="CR291" s="623">
        <v>1</v>
      </c>
      <c r="CS291" s="623"/>
      <c r="CT291" s="623"/>
      <c r="CU291" s="623"/>
      <c r="CV291" s="623"/>
      <c r="CW291" s="623"/>
      <c r="CX291" s="673"/>
      <c r="CY291" s="557"/>
    </row>
    <row r="292" spans="1:234" s="678" customFormat="1" ht="13.8" hidden="1">
      <c r="A292" s="712" t="s">
        <v>1940</v>
      </c>
      <c r="B292" s="613"/>
      <c r="C292" s="613">
        <v>37</v>
      </c>
      <c r="D292" s="550">
        <f>D291+C292</f>
        <v>95</v>
      </c>
      <c r="E292" s="613"/>
      <c r="F292" s="613"/>
      <c r="G292" s="613"/>
      <c r="H292" s="613"/>
      <c r="I292" s="613"/>
      <c r="J292" s="679"/>
      <c r="K292" s="613"/>
      <c r="L292" s="613"/>
      <c r="M292" s="613"/>
      <c r="N292" s="550">
        <f>+N291+C292</f>
        <v>95</v>
      </c>
      <c r="O292" s="614"/>
      <c r="P292" s="614"/>
      <c r="Q292" s="680" t="s">
        <v>1107</v>
      </c>
      <c r="R292" s="681"/>
      <c r="S292" s="681">
        <v>2</v>
      </c>
      <c r="T292" s="681"/>
      <c r="U292" s="681"/>
      <c r="V292" s="681"/>
      <c r="W292" s="681"/>
      <c r="X292" s="681"/>
      <c r="Y292" s="681"/>
      <c r="Z292" s="681"/>
      <c r="AA292" s="681"/>
      <c r="AB292" s="681"/>
      <c r="AC292" s="681">
        <v>1</v>
      </c>
      <c r="AD292" s="682"/>
      <c r="AE292" s="682"/>
      <c r="AF292" s="682"/>
      <c r="AG292" s="682"/>
      <c r="AH292" s="682"/>
      <c r="AI292" s="682"/>
      <c r="AJ292" s="682"/>
      <c r="AK292" s="682"/>
      <c r="AL292" s="682"/>
      <c r="AM292" s="682"/>
      <c r="AN292" s="682"/>
      <c r="AO292" s="682"/>
      <c r="AP292" s="682"/>
      <c r="AQ292" s="682"/>
      <c r="AR292" s="682"/>
      <c r="AS292" s="682"/>
      <c r="AT292" s="682"/>
      <c r="AU292" s="682"/>
      <c r="AV292" s="682"/>
      <c r="AW292" s="682"/>
      <c r="AX292" s="682"/>
      <c r="AY292" s="682"/>
      <c r="AZ292" s="682"/>
      <c r="BA292" s="682"/>
      <c r="BB292" s="682"/>
      <c r="BC292" s="682"/>
      <c r="BD292" s="682"/>
      <c r="BE292" s="682"/>
      <c r="BF292" s="672">
        <f t="shared" si="150"/>
        <v>0</v>
      </c>
      <c r="BG292" s="672">
        <f t="shared" si="150"/>
        <v>0</v>
      </c>
      <c r="BH292" s="682"/>
      <c r="BI292" s="682"/>
      <c r="BJ292" s="682"/>
      <c r="BK292" s="682"/>
      <c r="BL292" s="682"/>
      <c r="BM292" s="682"/>
      <c r="BN292" s="682"/>
      <c r="BO292" s="682"/>
      <c r="BP292" s="682"/>
      <c r="BQ292" s="682"/>
      <c r="BR292" s="682">
        <v>1</v>
      </c>
      <c r="BS292" s="682"/>
      <c r="BT292" s="682"/>
      <c r="BU292" s="682"/>
      <c r="BV292" s="682"/>
      <c r="BW292" s="682"/>
      <c r="BX292" s="682"/>
      <c r="BY292" s="682"/>
      <c r="BZ292" s="682"/>
      <c r="CA292" s="682">
        <v>1</v>
      </c>
      <c r="CB292" s="682"/>
      <c r="CC292" s="682"/>
      <c r="CD292" s="682"/>
      <c r="CE292" s="682"/>
      <c r="CF292" s="682"/>
      <c r="CG292" s="682"/>
      <c r="CH292" s="682"/>
      <c r="CI292" s="682"/>
      <c r="CJ292" s="682"/>
      <c r="CK292" s="682"/>
      <c r="CL292" s="682"/>
      <c r="CM292" s="682">
        <v>1</v>
      </c>
      <c r="CN292" s="682">
        <f>+CM292*3.6</f>
        <v>3.6</v>
      </c>
      <c r="CO292" s="682"/>
      <c r="CP292" s="682"/>
      <c r="CQ292" s="682"/>
      <c r="CR292" s="682"/>
      <c r="CS292" s="682"/>
      <c r="CT292" s="682"/>
      <c r="CU292" s="682"/>
      <c r="CV292" s="682"/>
      <c r="CW292" s="682"/>
      <c r="CX292" s="683"/>
      <c r="CY292" s="711"/>
      <c r="CZ292" s="677"/>
      <c r="DA292" s="530"/>
      <c r="DB292" s="530"/>
      <c r="DC292" s="530"/>
      <c r="DD292" s="530"/>
      <c r="DE292" s="530"/>
      <c r="DF292" s="530"/>
      <c r="DG292" s="530"/>
      <c r="DH292" s="530"/>
      <c r="DI292" s="530"/>
      <c r="DJ292" s="530"/>
      <c r="DK292" s="530"/>
      <c r="DL292" s="530"/>
      <c r="DM292" s="530"/>
      <c r="DN292" s="530"/>
      <c r="DO292" s="530"/>
      <c r="DP292" s="530"/>
      <c r="DQ292" s="530"/>
      <c r="DR292" s="530"/>
      <c r="DS292" s="530"/>
      <c r="DT292" s="530"/>
      <c r="DU292" s="530"/>
      <c r="DV292" s="530"/>
      <c r="DW292" s="530"/>
      <c r="DX292" s="530"/>
      <c r="DY292" s="530"/>
      <c r="DZ292" s="530"/>
      <c r="EA292" s="530"/>
      <c r="EB292" s="530"/>
      <c r="EC292" s="530"/>
      <c r="ED292" s="530"/>
      <c r="EE292" s="530"/>
      <c r="EF292" s="530"/>
      <c r="EG292" s="530"/>
      <c r="EH292" s="530"/>
      <c r="EI292" s="530"/>
      <c r="EJ292" s="530"/>
      <c r="EK292" s="530"/>
      <c r="EL292" s="530"/>
      <c r="EM292" s="530"/>
      <c r="EN292" s="530"/>
      <c r="EO292" s="530"/>
      <c r="EP292" s="530"/>
      <c r="EQ292" s="530"/>
      <c r="ER292" s="530"/>
      <c r="ES292" s="530"/>
      <c r="ET292" s="530"/>
      <c r="EU292" s="530"/>
      <c r="EV292" s="530"/>
      <c r="EW292" s="530"/>
      <c r="EX292" s="530"/>
      <c r="EY292" s="530"/>
      <c r="EZ292" s="530"/>
      <c r="FA292" s="530"/>
      <c r="FB292" s="530"/>
      <c r="FC292" s="530"/>
      <c r="FD292" s="530"/>
      <c r="FE292" s="530"/>
      <c r="FF292" s="530"/>
      <c r="FG292" s="530"/>
      <c r="FH292" s="530"/>
      <c r="FI292" s="530"/>
      <c r="FJ292" s="530"/>
      <c r="FK292" s="530"/>
      <c r="FL292" s="530"/>
      <c r="FM292" s="530"/>
      <c r="FN292" s="530"/>
      <c r="FO292" s="530"/>
      <c r="FP292" s="530"/>
      <c r="FQ292" s="530"/>
      <c r="FR292" s="530"/>
      <c r="FS292" s="530"/>
      <c r="FT292" s="530"/>
      <c r="FU292" s="530"/>
      <c r="FV292" s="530"/>
      <c r="FW292" s="530"/>
      <c r="FX292" s="530"/>
      <c r="FY292" s="530"/>
      <c r="FZ292" s="530"/>
      <c r="GA292" s="530"/>
      <c r="GB292" s="530"/>
      <c r="GC292" s="530"/>
      <c r="GD292" s="530"/>
      <c r="GE292" s="530"/>
      <c r="GF292" s="530"/>
      <c r="GG292" s="530"/>
      <c r="GH292" s="530"/>
      <c r="GI292" s="530"/>
      <c r="GJ292" s="530"/>
      <c r="GK292" s="530"/>
      <c r="GL292" s="530"/>
      <c r="GM292" s="530"/>
      <c r="GN292" s="530"/>
      <c r="GO292" s="530"/>
      <c r="GP292" s="530"/>
      <c r="GQ292" s="530"/>
      <c r="GR292" s="530"/>
      <c r="GS292" s="530"/>
      <c r="GT292" s="530"/>
      <c r="GU292" s="530"/>
      <c r="GV292" s="530"/>
      <c r="GW292" s="530"/>
      <c r="GX292" s="530"/>
      <c r="GY292" s="530"/>
      <c r="GZ292" s="530"/>
      <c r="HA292" s="530"/>
      <c r="HB292" s="530"/>
      <c r="HC292" s="530"/>
      <c r="HD292" s="530"/>
      <c r="HE292" s="530"/>
      <c r="HF292" s="530"/>
      <c r="HG292" s="530"/>
      <c r="HH292" s="530"/>
      <c r="HI292" s="530"/>
      <c r="HJ292" s="530"/>
      <c r="HK292" s="530"/>
      <c r="HL292" s="530"/>
      <c r="HM292" s="530"/>
      <c r="HN292" s="530"/>
      <c r="HO292" s="530"/>
      <c r="HP292" s="530"/>
      <c r="HQ292" s="530"/>
      <c r="HR292" s="530"/>
      <c r="HS292" s="530"/>
      <c r="HT292" s="530"/>
      <c r="HU292" s="530"/>
      <c r="HV292" s="530"/>
      <c r="HW292" s="530"/>
      <c r="HX292" s="530"/>
      <c r="HY292" s="530"/>
      <c r="HZ292" s="530"/>
    </row>
    <row r="293" spans="1:234" s="717" customFormat="1" ht="13.8" hidden="1">
      <c r="A293" s="659" t="s">
        <v>4022</v>
      </c>
      <c r="B293" s="713"/>
      <c r="C293" s="714">
        <f>SUM(C288:C292)</f>
        <v>95</v>
      </c>
      <c r="D293" s="714">
        <f t="shared" ref="D293:N293" si="151">D292</f>
        <v>95</v>
      </c>
      <c r="E293" s="714">
        <f t="shared" si="151"/>
        <v>0</v>
      </c>
      <c r="F293" s="714">
        <f t="shared" si="151"/>
        <v>0</v>
      </c>
      <c r="G293" s="714">
        <f t="shared" si="151"/>
        <v>0</v>
      </c>
      <c r="H293" s="714">
        <f t="shared" si="151"/>
        <v>0</v>
      </c>
      <c r="I293" s="714">
        <f t="shared" si="151"/>
        <v>0</v>
      </c>
      <c r="J293" s="714">
        <f t="shared" si="151"/>
        <v>0</v>
      </c>
      <c r="K293" s="714">
        <f t="shared" si="151"/>
        <v>0</v>
      </c>
      <c r="L293" s="714">
        <f t="shared" si="151"/>
        <v>0</v>
      </c>
      <c r="M293" s="714">
        <f t="shared" si="151"/>
        <v>0</v>
      </c>
      <c r="N293" s="714">
        <f t="shared" si="151"/>
        <v>95</v>
      </c>
      <c r="O293" s="714"/>
      <c r="P293" s="714">
        <f>SUM(O288:O292)</f>
        <v>0</v>
      </c>
      <c r="Q293" s="714">
        <f>SUM(P288:P292)</f>
        <v>0</v>
      </c>
      <c r="R293" s="714">
        <f>SUM(Q288:Q292)</f>
        <v>0</v>
      </c>
      <c r="S293" s="714">
        <f t="shared" ref="S293:AX293" si="152">SUM(S288:S292)</f>
        <v>5</v>
      </c>
      <c r="T293" s="714">
        <f t="shared" si="152"/>
        <v>0</v>
      </c>
      <c r="U293" s="714">
        <f t="shared" si="152"/>
        <v>0</v>
      </c>
      <c r="V293" s="714">
        <f t="shared" si="152"/>
        <v>0</v>
      </c>
      <c r="W293" s="714">
        <f t="shared" si="152"/>
        <v>0</v>
      </c>
      <c r="X293" s="714">
        <f t="shared" si="152"/>
        <v>0</v>
      </c>
      <c r="Y293" s="714">
        <f t="shared" si="152"/>
        <v>0</v>
      </c>
      <c r="Z293" s="714">
        <f t="shared" si="152"/>
        <v>2</v>
      </c>
      <c r="AA293" s="714">
        <f t="shared" si="152"/>
        <v>0</v>
      </c>
      <c r="AB293" s="714">
        <f t="shared" si="152"/>
        <v>2</v>
      </c>
      <c r="AC293" s="714">
        <f t="shared" si="152"/>
        <v>1</v>
      </c>
      <c r="AD293" s="714">
        <f t="shared" si="152"/>
        <v>0</v>
      </c>
      <c r="AE293" s="714">
        <f t="shared" si="152"/>
        <v>0</v>
      </c>
      <c r="AF293" s="714">
        <f t="shared" si="152"/>
        <v>0</v>
      </c>
      <c r="AG293" s="714">
        <f t="shared" si="152"/>
        <v>0</v>
      </c>
      <c r="AH293" s="714">
        <f t="shared" si="152"/>
        <v>0</v>
      </c>
      <c r="AI293" s="714">
        <f t="shared" si="152"/>
        <v>0</v>
      </c>
      <c r="AJ293" s="714">
        <f t="shared" si="152"/>
        <v>0</v>
      </c>
      <c r="AK293" s="714">
        <f t="shared" si="152"/>
        <v>0</v>
      </c>
      <c r="AL293" s="714">
        <f t="shared" si="152"/>
        <v>0</v>
      </c>
      <c r="AM293" s="714">
        <f t="shared" si="152"/>
        <v>0</v>
      </c>
      <c r="AN293" s="714">
        <f t="shared" si="152"/>
        <v>0</v>
      </c>
      <c r="AO293" s="714">
        <f t="shared" si="152"/>
        <v>0</v>
      </c>
      <c r="AP293" s="714">
        <f t="shared" si="152"/>
        <v>0</v>
      </c>
      <c r="AQ293" s="714">
        <f t="shared" si="152"/>
        <v>0</v>
      </c>
      <c r="AR293" s="714">
        <f t="shared" si="152"/>
        <v>0</v>
      </c>
      <c r="AS293" s="714">
        <f t="shared" si="152"/>
        <v>0</v>
      </c>
      <c r="AT293" s="714">
        <f t="shared" si="152"/>
        <v>0</v>
      </c>
      <c r="AU293" s="714">
        <f t="shared" si="152"/>
        <v>0</v>
      </c>
      <c r="AV293" s="714">
        <f t="shared" si="152"/>
        <v>0</v>
      </c>
      <c r="AW293" s="714">
        <f t="shared" si="152"/>
        <v>0</v>
      </c>
      <c r="AX293" s="714">
        <f t="shared" si="152"/>
        <v>1</v>
      </c>
      <c r="AY293" s="714">
        <f t="shared" ref="AY293:CB293" si="153">SUM(AY288:AY292)</f>
        <v>0</v>
      </c>
      <c r="AZ293" s="714">
        <f t="shared" si="153"/>
        <v>0</v>
      </c>
      <c r="BA293" s="714">
        <f t="shared" si="153"/>
        <v>0</v>
      </c>
      <c r="BB293" s="714">
        <f t="shared" si="153"/>
        <v>0</v>
      </c>
      <c r="BC293" s="714">
        <f t="shared" si="153"/>
        <v>0</v>
      </c>
      <c r="BD293" s="714">
        <f t="shared" si="153"/>
        <v>0</v>
      </c>
      <c r="BE293" s="714">
        <f t="shared" si="153"/>
        <v>0</v>
      </c>
      <c r="BF293" s="714">
        <f t="shared" si="153"/>
        <v>0</v>
      </c>
      <c r="BG293" s="714">
        <f t="shared" si="153"/>
        <v>1</v>
      </c>
      <c r="BH293" s="714">
        <f t="shared" si="153"/>
        <v>0</v>
      </c>
      <c r="BI293" s="714">
        <f t="shared" si="153"/>
        <v>0</v>
      </c>
      <c r="BJ293" s="714">
        <f t="shared" si="153"/>
        <v>0</v>
      </c>
      <c r="BK293" s="714">
        <f t="shared" si="153"/>
        <v>0</v>
      </c>
      <c r="BL293" s="714">
        <f t="shared" si="153"/>
        <v>0</v>
      </c>
      <c r="BM293" s="714">
        <f t="shared" si="153"/>
        <v>0</v>
      </c>
      <c r="BN293" s="714">
        <f t="shared" si="153"/>
        <v>0</v>
      </c>
      <c r="BO293" s="714">
        <f t="shared" si="153"/>
        <v>0</v>
      </c>
      <c r="BP293" s="714">
        <f t="shared" si="153"/>
        <v>0</v>
      </c>
      <c r="BQ293" s="714">
        <f t="shared" si="153"/>
        <v>0</v>
      </c>
      <c r="BR293" s="714">
        <f t="shared" si="153"/>
        <v>2</v>
      </c>
      <c r="BS293" s="714">
        <f t="shared" si="153"/>
        <v>0</v>
      </c>
      <c r="BT293" s="714">
        <f t="shared" si="153"/>
        <v>0</v>
      </c>
      <c r="BU293" s="714">
        <f t="shared" si="153"/>
        <v>0</v>
      </c>
      <c r="BV293" s="714">
        <f t="shared" si="153"/>
        <v>0</v>
      </c>
      <c r="BW293" s="714">
        <f t="shared" si="153"/>
        <v>0</v>
      </c>
      <c r="BX293" s="714">
        <f t="shared" si="153"/>
        <v>0</v>
      </c>
      <c r="BY293" s="714">
        <f t="shared" si="153"/>
        <v>0</v>
      </c>
      <c r="BZ293" s="714">
        <f t="shared" si="153"/>
        <v>0</v>
      </c>
      <c r="CA293" s="714">
        <f t="shared" si="153"/>
        <v>4</v>
      </c>
      <c r="CB293" s="714">
        <f t="shared" si="153"/>
        <v>0</v>
      </c>
      <c r="CC293" s="714">
        <f t="shared" ref="CC293:CN293" si="154">SUM(CC288:CC292)</f>
        <v>0</v>
      </c>
      <c r="CD293" s="714">
        <f t="shared" si="154"/>
        <v>0</v>
      </c>
      <c r="CE293" s="714">
        <f t="shared" si="154"/>
        <v>0</v>
      </c>
      <c r="CF293" s="714">
        <f t="shared" si="154"/>
        <v>0</v>
      </c>
      <c r="CG293" s="714">
        <f t="shared" si="154"/>
        <v>0</v>
      </c>
      <c r="CH293" s="714">
        <f t="shared" si="154"/>
        <v>0</v>
      </c>
      <c r="CI293" s="714">
        <f t="shared" si="154"/>
        <v>0</v>
      </c>
      <c r="CJ293" s="714">
        <f t="shared" si="154"/>
        <v>0</v>
      </c>
      <c r="CK293" s="714">
        <f t="shared" si="154"/>
        <v>0</v>
      </c>
      <c r="CL293" s="714">
        <f t="shared" si="154"/>
        <v>0</v>
      </c>
      <c r="CM293" s="714">
        <f t="shared" si="154"/>
        <v>4</v>
      </c>
      <c r="CN293" s="714">
        <f t="shared" si="154"/>
        <v>14.4</v>
      </c>
      <c r="CO293" s="714">
        <f t="shared" ref="CO293:CW293" si="155">SUM(CO288:CO292)</f>
        <v>0</v>
      </c>
      <c r="CP293" s="714">
        <f t="shared" si="155"/>
        <v>0</v>
      </c>
      <c r="CQ293" s="714">
        <f t="shared" si="155"/>
        <v>0</v>
      </c>
      <c r="CR293" s="714">
        <f t="shared" si="155"/>
        <v>2</v>
      </c>
      <c r="CS293" s="714">
        <f t="shared" si="155"/>
        <v>0</v>
      </c>
      <c r="CT293" s="714">
        <f t="shared" si="155"/>
        <v>0</v>
      </c>
      <c r="CU293" s="714">
        <f t="shared" si="155"/>
        <v>0</v>
      </c>
      <c r="CV293" s="714">
        <f t="shared" si="155"/>
        <v>0</v>
      </c>
      <c r="CW293" s="714">
        <f t="shared" si="155"/>
        <v>0</v>
      </c>
      <c r="CX293" s="715">
        <v>15</v>
      </c>
      <c r="CY293" s="716"/>
    </row>
    <row r="294" spans="1:234" s="545" customFormat="1" ht="18" hidden="1" customHeight="1">
      <c r="A294" s="655" t="s">
        <v>4054</v>
      </c>
      <c r="B294" s="544"/>
      <c r="C294" s="544"/>
      <c r="D294" s="544"/>
      <c r="E294" s="544"/>
      <c r="F294" s="544"/>
      <c r="G294" s="544"/>
      <c r="H294" s="544"/>
      <c r="I294" s="544"/>
      <c r="J294" s="544"/>
      <c r="K294" s="544"/>
      <c r="L294" s="544"/>
      <c r="M294" s="544"/>
      <c r="N294" s="544"/>
      <c r="O294" s="544"/>
      <c r="P294" s="544"/>
      <c r="Q294" s="544"/>
      <c r="R294" s="544"/>
      <c r="S294" s="544"/>
      <c r="T294" s="544"/>
      <c r="U294" s="544"/>
      <c r="V294" s="544"/>
      <c r="W294" s="544"/>
      <c r="X294" s="544"/>
      <c r="Y294" s="544"/>
      <c r="Z294" s="544"/>
      <c r="AA294" s="544"/>
      <c r="AB294" s="544"/>
      <c r="AC294" s="544"/>
      <c r="AD294" s="544"/>
      <c r="AE294" s="544"/>
      <c r="AF294" s="544"/>
      <c r="AG294" s="544"/>
      <c r="AH294" s="544"/>
      <c r="AI294" s="544"/>
      <c r="AJ294" s="544"/>
      <c r="AK294" s="544"/>
      <c r="AL294" s="544"/>
      <c r="AM294" s="544"/>
      <c r="AN294" s="544"/>
      <c r="AO294" s="544"/>
      <c r="AP294" s="544"/>
      <c r="AQ294" s="544"/>
      <c r="AR294" s="544"/>
      <c r="AS294" s="544"/>
      <c r="AT294" s="544"/>
      <c r="AU294" s="544"/>
      <c r="AV294" s="544"/>
      <c r="AW294" s="544"/>
      <c r="AX294" s="544"/>
      <c r="AY294" s="544"/>
      <c r="AZ294" s="544"/>
      <c r="BA294" s="544"/>
      <c r="BB294" s="544"/>
      <c r="BC294" s="544"/>
      <c r="BD294" s="544"/>
      <c r="BE294" s="544"/>
      <c r="BF294" s="544"/>
      <c r="BG294" s="544"/>
      <c r="BH294" s="544"/>
      <c r="BI294" s="544"/>
      <c r="BJ294" s="544"/>
      <c r="BK294" s="544"/>
      <c r="BL294" s="544"/>
      <c r="BM294" s="544"/>
      <c r="BN294" s="544"/>
      <c r="BO294" s="544"/>
      <c r="BP294" s="544"/>
      <c r="BQ294" s="544"/>
      <c r="BR294" s="544"/>
      <c r="BS294" s="544"/>
      <c r="BT294" s="544"/>
      <c r="BU294" s="544"/>
      <c r="BV294" s="544"/>
      <c r="BW294" s="544"/>
      <c r="BX294" s="544"/>
      <c r="BY294" s="544"/>
      <c r="BZ294" s="544"/>
      <c r="CA294" s="544"/>
      <c r="CB294" s="544"/>
      <c r="CC294" s="544"/>
      <c r="CD294" s="544"/>
      <c r="CE294" s="544"/>
      <c r="CF294" s="544"/>
      <c r="CG294" s="544"/>
      <c r="CH294" s="544"/>
      <c r="CI294" s="544"/>
      <c r="CJ294" s="544"/>
      <c r="CK294" s="544"/>
      <c r="CL294" s="544"/>
      <c r="CM294" s="544"/>
      <c r="CN294" s="544"/>
      <c r="CO294" s="544"/>
      <c r="CP294" s="544"/>
      <c r="CQ294" s="544"/>
      <c r="CR294" s="544"/>
      <c r="CS294" s="544"/>
      <c r="CT294" s="544"/>
      <c r="CU294" s="544"/>
      <c r="CV294" s="544"/>
      <c r="CW294" s="544"/>
      <c r="CX294" s="544"/>
      <c r="CY294" s="669"/>
      <c r="CZ294" s="530"/>
      <c r="DA294" s="530"/>
      <c r="DB294" s="530"/>
      <c r="DC294" s="530"/>
      <c r="DD294" s="530"/>
      <c r="DE294" s="530"/>
      <c r="DF294" s="530"/>
      <c r="DG294" s="530"/>
      <c r="DH294" s="530"/>
      <c r="DI294" s="530"/>
      <c r="DJ294" s="530"/>
      <c r="DK294" s="530"/>
      <c r="DL294" s="530"/>
      <c r="DM294" s="530"/>
      <c r="DN294" s="530"/>
      <c r="DO294" s="530"/>
      <c r="DP294" s="530"/>
      <c r="DQ294" s="530"/>
      <c r="DR294" s="530"/>
      <c r="DS294" s="530"/>
      <c r="DT294" s="530"/>
      <c r="DU294" s="530"/>
      <c r="DV294" s="530"/>
      <c r="DW294" s="530"/>
      <c r="DX294" s="530"/>
      <c r="DY294" s="530"/>
      <c r="DZ294" s="530"/>
      <c r="EA294" s="530"/>
      <c r="EB294" s="530"/>
      <c r="EC294" s="530"/>
      <c r="ED294" s="530"/>
      <c r="EE294" s="530"/>
      <c r="EF294" s="530"/>
      <c r="EG294" s="530"/>
      <c r="EH294" s="530"/>
      <c r="EI294" s="530"/>
      <c r="EJ294" s="530"/>
      <c r="EK294" s="530"/>
      <c r="EL294" s="530"/>
      <c r="EM294" s="530"/>
      <c r="EN294" s="530"/>
      <c r="EO294" s="530"/>
      <c r="EP294" s="530"/>
      <c r="EQ294" s="530"/>
      <c r="ER294" s="530"/>
      <c r="ES294" s="530"/>
      <c r="ET294" s="530"/>
      <c r="EU294" s="530"/>
      <c r="EV294" s="530"/>
      <c r="EW294" s="530"/>
      <c r="EX294" s="530"/>
      <c r="EY294" s="530"/>
      <c r="EZ294" s="530"/>
      <c r="FA294" s="530"/>
      <c r="FB294" s="530"/>
      <c r="FC294" s="530"/>
      <c r="FD294" s="530"/>
      <c r="FE294" s="530"/>
      <c r="FF294" s="530"/>
      <c r="FG294" s="530"/>
      <c r="FH294" s="530"/>
      <c r="FI294" s="530"/>
      <c r="FJ294" s="530"/>
      <c r="FK294" s="530"/>
      <c r="FL294" s="530"/>
      <c r="FM294" s="530"/>
      <c r="FN294" s="530"/>
      <c r="FO294" s="530"/>
      <c r="FP294" s="530"/>
      <c r="FQ294" s="530"/>
      <c r="FR294" s="530"/>
      <c r="FS294" s="530"/>
      <c r="FT294" s="530"/>
      <c r="FU294" s="530"/>
      <c r="FV294" s="530"/>
      <c r="FW294" s="530"/>
      <c r="FX294" s="530"/>
      <c r="FY294" s="530"/>
      <c r="FZ294" s="530"/>
      <c r="GA294" s="530"/>
      <c r="GB294" s="530"/>
      <c r="GC294" s="530"/>
      <c r="GD294" s="530"/>
      <c r="GE294" s="530"/>
      <c r="GF294" s="530"/>
      <c r="GG294" s="530"/>
      <c r="GH294" s="530"/>
      <c r="GI294" s="530"/>
      <c r="GJ294" s="530"/>
      <c r="GK294" s="530"/>
      <c r="GL294" s="530"/>
      <c r="GM294" s="530"/>
      <c r="GN294" s="530"/>
      <c r="GO294" s="530"/>
      <c r="GP294" s="530"/>
      <c r="GQ294" s="530"/>
      <c r="GR294" s="530"/>
      <c r="GS294" s="530"/>
      <c r="GT294" s="530"/>
      <c r="GU294" s="530"/>
      <c r="GV294" s="530"/>
      <c r="GW294" s="530"/>
      <c r="GX294" s="530"/>
      <c r="GY294" s="530"/>
      <c r="GZ294" s="530"/>
      <c r="HA294" s="530"/>
      <c r="HB294" s="530"/>
      <c r="HC294" s="530"/>
      <c r="HD294" s="530"/>
      <c r="HE294" s="530"/>
      <c r="HF294" s="530"/>
      <c r="HG294" s="530"/>
      <c r="HH294" s="530"/>
      <c r="HI294" s="530"/>
      <c r="HJ294" s="530"/>
      <c r="HK294" s="530"/>
      <c r="HL294" s="530"/>
      <c r="HM294" s="530"/>
      <c r="HN294" s="530"/>
      <c r="HO294" s="530"/>
      <c r="HP294" s="530"/>
      <c r="HQ294" s="530"/>
      <c r="HR294" s="530"/>
      <c r="HS294" s="530"/>
      <c r="HT294" s="530"/>
      <c r="HU294" s="530"/>
      <c r="HV294" s="530"/>
      <c r="HW294" s="530"/>
      <c r="HX294" s="530"/>
      <c r="HY294" s="530"/>
      <c r="HZ294" s="530"/>
    </row>
    <row r="295" spans="1:234" ht="13.8" hidden="1">
      <c r="A295" s="591" t="s">
        <v>4055</v>
      </c>
      <c r="B295" s="702"/>
      <c r="C295" s="555"/>
      <c r="D295" s="555"/>
      <c r="E295" s="555"/>
      <c r="F295" s="555"/>
      <c r="G295" s="555"/>
      <c r="H295" s="555"/>
      <c r="I295" s="555"/>
      <c r="J295" s="555"/>
      <c r="K295" s="555"/>
      <c r="L295" s="555"/>
      <c r="M295" s="555"/>
      <c r="N295" s="555">
        <f>C295</f>
        <v>0</v>
      </c>
      <c r="O295" s="556"/>
      <c r="P295" s="556"/>
      <c r="Q295" s="703" t="s">
        <v>1621</v>
      </c>
      <c r="R295" s="718"/>
      <c r="S295" s="718">
        <v>1</v>
      </c>
      <c r="T295" s="718"/>
      <c r="U295" s="718"/>
      <c r="V295" s="718"/>
      <c r="W295" s="718"/>
      <c r="X295" s="718"/>
      <c r="Y295" s="718"/>
      <c r="Z295" s="718"/>
      <c r="AA295" s="718"/>
      <c r="AB295" s="718"/>
      <c r="AC295" s="718">
        <v>1</v>
      </c>
      <c r="AD295" s="672"/>
      <c r="AE295" s="672"/>
      <c r="AF295" s="672"/>
      <c r="AG295" s="672"/>
      <c r="AH295" s="672"/>
      <c r="AI295" s="672"/>
      <c r="AJ295" s="672"/>
      <c r="AK295" s="672"/>
      <c r="AL295" s="672"/>
      <c r="AM295" s="672"/>
      <c r="AN295" s="672"/>
      <c r="AO295" s="672"/>
      <c r="AP295" s="672"/>
      <c r="AQ295" s="672"/>
      <c r="AR295" s="672"/>
      <c r="AS295" s="672"/>
      <c r="AT295" s="672"/>
      <c r="AU295" s="672"/>
      <c r="AV295" s="672"/>
      <c r="AW295" s="672"/>
      <c r="AX295" s="672"/>
      <c r="AY295" s="672"/>
      <c r="AZ295" s="672"/>
      <c r="BA295" s="672"/>
      <c r="BB295" s="672"/>
      <c r="BC295" s="672"/>
      <c r="BD295" s="672"/>
      <c r="BE295" s="672"/>
      <c r="BF295" s="672">
        <f t="shared" ref="BF295:BG297" si="156">AW295</f>
        <v>0</v>
      </c>
      <c r="BG295" s="672">
        <f t="shared" si="156"/>
        <v>0</v>
      </c>
      <c r="BH295" s="672"/>
      <c r="BI295" s="672"/>
      <c r="BJ295" s="672"/>
      <c r="BK295" s="672"/>
      <c r="BL295" s="672"/>
      <c r="BM295" s="672"/>
      <c r="BN295" s="672"/>
      <c r="BO295" s="672"/>
      <c r="BP295" s="672"/>
      <c r="BQ295" s="672"/>
      <c r="BR295" s="672">
        <v>1</v>
      </c>
      <c r="BS295" s="672"/>
      <c r="BT295" s="672"/>
      <c r="BU295" s="672"/>
      <c r="BV295" s="672"/>
      <c r="BW295" s="672"/>
      <c r="BX295" s="672"/>
      <c r="BY295" s="672"/>
      <c r="BZ295" s="672"/>
      <c r="CA295" s="672"/>
      <c r="CB295" s="672"/>
      <c r="CC295" s="672"/>
      <c r="CD295" s="672"/>
      <c r="CE295" s="672"/>
      <c r="CF295" s="672"/>
      <c r="CG295" s="672"/>
      <c r="CH295" s="672"/>
      <c r="CI295" s="672"/>
      <c r="CJ295" s="672"/>
      <c r="CK295" s="672"/>
      <c r="CL295" s="672"/>
      <c r="CM295" s="672"/>
      <c r="CN295" s="672">
        <f>+CM295*3.6</f>
        <v>0</v>
      </c>
      <c r="CO295" s="672"/>
      <c r="CP295" s="672"/>
      <c r="CQ295" s="672"/>
      <c r="CR295" s="672"/>
      <c r="CS295" s="672"/>
      <c r="CT295" s="672"/>
      <c r="CU295" s="672"/>
      <c r="CV295" s="672"/>
      <c r="CW295" s="672"/>
      <c r="CX295" s="704"/>
      <c r="CY295" s="705"/>
      <c r="HU295" s="542"/>
      <c r="HV295" s="542"/>
      <c r="HW295" s="542"/>
      <c r="HX295" s="542"/>
      <c r="HY295" s="542"/>
      <c r="HZ295" s="542"/>
    </row>
    <row r="296" spans="1:234" ht="13.8" hidden="1">
      <c r="A296" s="591" t="s">
        <v>765</v>
      </c>
      <c r="B296" s="670"/>
      <c r="C296" s="550">
        <v>40</v>
      </c>
      <c r="D296" s="550">
        <f>D295+C296</f>
        <v>40</v>
      </c>
      <c r="E296" s="550"/>
      <c r="F296" s="550"/>
      <c r="G296" s="550"/>
      <c r="H296" s="550"/>
      <c r="I296" s="550"/>
      <c r="J296" s="550"/>
      <c r="K296" s="550"/>
      <c r="L296" s="550"/>
      <c r="M296" s="550"/>
      <c r="N296" s="550">
        <f>+N295+C296</f>
        <v>40</v>
      </c>
      <c r="O296" s="439"/>
      <c r="P296" s="439"/>
      <c r="Q296" s="674" t="s">
        <v>501</v>
      </c>
      <c r="R296" s="671"/>
      <c r="S296" s="671">
        <v>1</v>
      </c>
      <c r="T296" s="671"/>
      <c r="U296" s="671"/>
      <c r="V296" s="671"/>
      <c r="W296" s="671"/>
      <c r="X296" s="671"/>
      <c r="Y296" s="671"/>
      <c r="Z296" s="671">
        <v>1</v>
      </c>
      <c r="AA296" s="671"/>
      <c r="AB296" s="671"/>
      <c r="AC296" s="671"/>
      <c r="AD296" s="623"/>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72">
        <f t="shared" si="156"/>
        <v>0</v>
      </c>
      <c r="BG296" s="672">
        <f t="shared" si="156"/>
        <v>0</v>
      </c>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v>1</v>
      </c>
      <c r="CB296" s="623"/>
      <c r="CC296" s="623"/>
      <c r="CD296" s="623"/>
      <c r="CE296" s="623"/>
      <c r="CF296" s="623"/>
      <c r="CG296" s="623"/>
      <c r="CH296" s="623"/>
      <c r="CI296" s="623"/>
      <c r="CJ296" s="623"/>
      <c r="CK296" s="623"/>
      <c r="CL296" s="623"/>
      <c r="CM296" s="623">
        <v>1</v>
      </c>
      <c r="CN296" s="623">
        <f>+CM296*3.6</f>
        <v>3.6</v>
      </c>
      <c r="CO296" s="623"/>
      <c r="CP296" s="623"/>
      <c r="CQ296" s="623"/>
      <c r="CR296" s="623"/>
      <c r="CS296" s="623"/>
      <c r="CT296" s="623"/>
      <c r="CU296" s="623"/>
      <c r="CV296" s="623"/>
      <c r="CW296" s="623"/>
      <c r="CX296" s="673"/>
      <c r="CY296" s="557"/>
    </row>
    <row r="297" spans="1:234" s="678" customFormat="1" ht="13.8" hidden="1">
      <c r="A297" s="712" t="s">
        <v>766</v>
      </c>
      <c r="B297" s="613"/>
      <c r="C297" s="613">
        <v>40</v>
      </c>
      <c r="D297" s="550">
        <f>D296+C297</f>
        <v>80</v>
      </c>
      <c r="E297" s="613"/>
      <c r="F297" s="613"/>
      <c r="G297" s="613"/>
      <c r="H297" s="613"/>
      <c r="I297" s="613"/>
      <c r="J297" s="679"/>
      <c r="K297" s="613"/>
      <c r="L297" s="613"/>
      <c r="M297" s="613"/>
      <c r="N297" s="550">
        <f>+N296+C297</f>
        <v>80</v>
      </c>
      <c r="O297" s="614"/>
      <c r="P297" s="614"/>
      <c r="Q297" s="680" t="s">
        <v>1107</v>
      </c>
      <c r="R297" s="681"/>
      <c r="S297" s="681">
        <v>1</v>
      </c>
      <c r="T297" s="681"/>
      <c r="U297" s="681"/>
      <c r="V297" s="681"/>
      <c r="W297" s="681"/>
      <c r="X297" s="681"/>
      <c r="Y297" s="681"/>
      <c r="Z297" s="681">
        <v>1</v>
      </c>
      <c r="AA297" s="681"/>
      <c r="AB297" s="681"/>
      <c r="AC297" s="681"/>
      <c r="AD297" s="682"/>
      <c r="AE297" s="682"/>
      <c r="AF297" s="682"/>
      <c r="AG297" s="682"/>
      <c r="AH297" s="682"/>
      <c r="AI297" s="682"/>
      <c r="AJ297" s="682"/>
      <c r="AK297" s="682"/>
      <c r="AL297" s="682"/>
      <c r="AM297" s="682"/>
      <c r="AN297" s="682"/>
      <c r="AO297" s="682"/>
      <c r="AP297" s="682"/>
      <c r="AQ297" s="682"/>
      <c r="AR297" s="682"/>
      <c r="AS297" s="682"/>
      <c r="AT297" s="682"/>
      <c r="AU297" s="682"/>
      <c r="AV297" s="682"/>
      <c r="AW297" s="682">
        <v>1</v>
      </c>
      <c r="AX297" s="682"/>
      <c r="AY297" s="682"/>
      <c r="AZ297" s="682"/>
      <c r="BA297" s="682"/>
      <c r="BB297" s="682"/>
      <c r="BC297" s="682"/>
      <c r="BD297" s="682"/>
      <c r="BE297" s="682"/>
      <c r="BF297" s="672">
        <f t="shared" si="156"/>
        <v>1</v>
      </c>
      <c r="BG297" s="672">
        <f t="shared" si="156"/>
        <v>0</v>
      </c>
      <c r="BH297" s="682"/>
      <c r="BI297" s="682"/>
      <c r="BJ297" s="682"/>
      <c r="BK297" s="682"/>
      <c r="BL297" s="682"/>
      <c r="BM297" s="682"/>
      <c r="BN297" s="682"/>
      <c r="BO297" s="682"/>
      <c r="BP297" s="682"/>
      <c r="BQ297" s="682"/>
      <c r="BR297" s="682">
        <v>1</v>
      </c>
      <c r="BS297" s="682"/>
      <c r="BT297" s="682"/>
      <c r="BU297" s="682"/>
      <c r="BV297" s="682"/>
      <c r="BW297" s="682"/>
      <c r="BX297" s="682"/>
      <c r="BY297" s="682"/>
      <c r="BZ297" s="682"/>
      <c r="CA297" s="682">
        <v>1</v>
      </c>
      <c r="CB297" s="682"/>
      <c r="CC297" s="682"/>
      <c r="CD297" s="682"/>
      <c r="CE297" s="682"/>
      <c r="CF297" s="682"/>
      <c r="CG297" s="682"/>
      <c r="CH297" s="682"/>
      <c r="CI297" s="682"/>
      <c r="CJ297" s="682"/>
      <c r="CK297" s="682"/>
      <c r="CL297" s="682"/>
      <c r="CM297" s="682">
        <v>1</v>
      </c>
      <c r="CN297" s="682">
        <f>+CM297*3.6</f>
        <v>3.6</v>
      </c>
      <c r="CO297" s="682"/>
      <c r="CP297" s="682"/>
      <c r="CQ297" s="682"/>
      <c r="CR297" s="682"/>
      <c r="CS297" s="682"/>
      <c r="CT297" s="682"/>
      <c r="CU297" s="682"/>
      <c r="CV297" s="682"/>
      <c r="CW297" s="682"/>
      <c r="CX297" s="683"/>
      <c r="CY297" s="711"/>
      <c r="CZ297" s="677"/>
      <c r="DA297" s="530"/>
      <c r="DB297" s="530"/>
      <c r="DC297" s="530"/>
      <c r="DD297" s="530"/>
      <c r="DE297" s="530"/>
      <c r="DF297" s="530"/>
      <c r="DG297" s="530"/>
      <c r="DH297" s="530"/>
      <c r="DI297" s="530"/>
      <c r="DJ297" s="530"/>
      <c r="DK297" s="530"/>
      <c r="DL297" s="530"/>
      <c r="DM297" s="530"/>
      <c r="DN297" s="530"/>
      <c r="DO297" s="530"/>
      <c r="DP297" s="530"/>
      <c r="DQ297" s="530"/>
      <c r="DR297" s="530"/>
      <c r="DS297" s="530"/>
      <c r="DT297" s="530"/>
      <c r="DU297" s="530"/>
      <c r="DV297" s="530"/>
      <c r="DW297" s="530"/>
      <c r="DX297" s="530"/>
      <c r="DY297" s="530"/>
      <c r="DZ297" s="530"/>
      <c r="EA297" s="530"/>
      <c r="EB297" s="530"/>
      <c r="EC297" s="530"/>
      <c r="ED297" s="530"/>
      <c r="EE297" s="530"/>
      <c r="EF297" s="530"/>
      <c r="EG297" s="530"/>
      <c r="EH297" s="530"/>
      <c r="EI297" s="530"/>
      <c r="EJ297" s="530"/>
      <c r="EK297" s="530"/>
      <c r="EL297" s="530"/>
      <c r="EM297" s="530"/>
      <c r="EN297" s="530"/>
      <c r="EO297" s="530"/>
      <c r="EP297" s="530"/>
      <c r="EQ297" s="530"/>
      <c r="ER297" s="530"/>
      <c r="ES297" s="530"/>
      <c r="ET297" s="530"/>
      <c r="EU297" s="530"/>
      <c r="EV297" s="530"/>
      <c r="EW297" s="530"/>
      <c r="EX297" s="530"/>
      <c r="EY297" s="530"/>
      <c r="EZ297" s="530"/>
      <c r="FA297" s="530"/>
      <c r="FB297" s="530"/>
      <c r="FC297" s="530"/>
      <c r="FD297" s="530"/>
      <c r="FE297" s="530"/>
      <c r="FF297" s="530"/>
      <c r="FG297" s="530"/>
      <c r="FH297" s="530"/>
      <c r="FI297" s="530"/>
      <c r="FJ297" s="530"/>
      <c r="FK297" s="530"/>
      <c r="FL297" s="530"/>
      <c r="FM297" s="530"/>
      <c r="FN297" s="530"/>
      <c r="FO297" s="530"/>
      <c r="FP297" s="530"/>
      <c r="FQ297" s="530"/>
      <c r="FR297" s="530"/>
      <c r="FS297" s="530"/>
      <c r="FT297" s="530"/>
      <c r="FU297" s="530"/>
      <c r="FV297" s="530"/>
      <c r="FW297" s="530"/>
      <c r="FX297" s="530"/>
      <c r="FY297" s="530"/>
      <c r="FZ297" s="530"/>
      <c r="GA297" s="530"/>
      <c r="GB297" s="530"/>
      <c r="GC297" s="530"/>
      <c r="GD297" s="530"/>
      <c r="GE297" s="530"/>
      <c r="GF297" s="530"/>
      <c r="GG297" s="530"/>
      <c r="GH297" s="530"/>
      <c r="GI297" s="530"/>
      <c r="GJ297" s="530"/>
      <c r="GK297" s="530"/>
      <c r="GL297" s="530"/>
      <c r="GM297" s="530"/>
      <c r="GN297" s="530"/>
      <c r="GO297" s="530"/>
      <c r="GP297" s="530"/>
      <c r="GQ297" s="530"/>
      <c r="GR297" s="530"/>
      <c r="GS297" s="530"/>
      <c r="GT297" s="530"/>
      <c r="GU297" s="530"/>
      <c r="GV297" s="530"/>
      <c r="GW297" s="530"/>
      <c r="GX297" s="530"/>
      <c r="GY297" s="530"/>
      <c r="GZ297" s="530"/>
      <c r="HA297" s="530"/>
      <c r="HB297" s="530"/>
      <c r="HC297" s="530"/>
      <c r="HD297" s="530"/>
      <c r="HE297" s="530"/>
      <c r="HF297" s="530"/>
      <c r="HG297" s="530"/>
      <c r="HH297" s="530"/>
      <c r="HI297" s="530"/>
      <c r="HJ297" s="530"/>
      <c r="HK297" s="530"/>
      <c r="HL297" s="530"/>
      <c r="HM297" s="530"/>
      <c r="HN297" s="530"/>
      <c r="HO297" s="530"/>
      <c r="HP297" s="530"/>
      <c r="HQ297" s="530"/>
      <c r="HR297" s="530"/>
      <c r="HS297" s="530"/>
      <c r="HT297" s="530"/>
      <c r="HU297" s="530"/>
      <c r="HV297" s="530"/>
      <c r="HW297" s="530"/>
      <c r="HX297" s="530"/>
      <c r="HY297" s="530"/>
      <c r="HZ297" s="530"/>
    </row>
    <row r="298" spans="1:234" s="717" customFormat="1" ht="13.8" hidden="1">
      <c r="A298" s="659" t="s">
        <v>4024</v>
      </c>
      <c r="B298" s="713"/>
      <c r="C298" s="714">
        <f>SUM(C295:C297)</f>
        <v>80</v>
      </c>
      <c r="D298" s="714">
        <f t="shared" ref="D298:N298" si="157">D297</f>
        <v>80</v>
      </c>
      <c r="E298" s="714">
        <f t="shared" si="157"/>
        <v>0</v>
      </c>
      <c r="F298" s="714">
        <f t="shared" si="157"/>
        <v>0</v>
      </c>
      <c r="G298" s="714">
        <f t="shared" si="157"/>
        <v>0</v>
      </c>
      <c r="H298" s="714">
        <f t="shared" si="157"/>
        <v>0</v>
      </c>
      <c r="I298" s="714">
        <f t="shared" si="157"/>
        <v>0</v>
      </c>
      <c r="J298" s="714">
        <f t="shared" si="157"/>
        <v>0</v>
      </c>
      <c r="K298" s="714">
        <f t="shared" si="157"/>
        <v>0</v>
      </c>
      <c r="L298" s="714">
        <f t="shared" si="157"/>
        <v>0</v>
      </c>
      <c r="M298" s="714">
        <f t="shared" si="157"/>
        <v>0</v>
      </c>
      <c r="N298" s="714">
        <f t="shared" si="157"/>
        <v>80</v>
      </c>
      <c r="O298" s="714"/>
      <c r="P298" s="714">
        <f>SUM(O295:O297)</f>
        <v>0</v>
      </c>
      <c r="Q298" s="714">
        <f>SUM(P295:P297)</f>
        <v>0</v>
      </c>
      <c r="R298" s="714">
        <f>SUM(Q295:Q297)</f>
        <v>0</v>
      </c>
      <c r="S298" s="714">
        <f t="shared" ref="S298:AX298" si="158">SUM(S295:S297)</f>
        <v>3</v>
      </c>
      <c r="T298" s="714">
        <f t="shared" si="158"/>
        <v>0</v>
      </c>
      <c r="U298" s="714">
        <f t="shared" si="158"/>
        <v>0</v>
      </c>
      <c r="V298" s="714">
        <f t="shared" si="158"/>
        <v>0</v>
      </c>
      <c r="W298" s="714">
        <f t="shared" si="158"/>
        <v>0</v>
      </c>
      <c r="X298" s="714">
        <f t="shared" si="158"/>
        <v>0</v>
      </c>
      <c r="Y298" s="714">
        <f t="shared" si="158"/>
        <v>0</v>
      </c>
      <c r="Z298" s="714">
        <f t="shared" si="158"/>
        <v>2</v>
      </c>
      <c r="AA298" s="714">
        <f t="shared" si="158"/>
        <v>0</v>
      </c>
      <c r="AB298" s="714">
        <f t="shared" si="158"/>
        <v>0</v>
      </c>
      <c r="AC298" s="714">
        <f t="shared" si="158"/>
        <v>1</v>
      </c>
      <c r="AD298" s="714">
        <f t="shared" si="158"/>
        <v>0</v>
      </c>
      <c r="AE298" s="714">
        <f t="shared" si="158"/>
        <v>0</v>
      </c>
      <c r="AF298" s="714">
        <f t="shared" si="158"/>
        <v>0</v>
      </c>
      <c r="AG298" s="714">
        <f t="shared" si="158"/>
        <v>0</v>
      </c>
      <c r="AH298" s="714">
        <f t="shared" si="158"/>
        <v>0</v>
      </c>
      <c r="AI298" s="714">
        <f t="shared" si="158"/>
        <v>0</v>
      </c>
      <c r="AJ298" s="714">
        <f t="shared" si="158"/>
        <v>0</v>
      </c>
      <c r="AK298" s="714">
        <f t="shared" si="158"/>
        <v>0</v>
      </c>
      <c r="AL298" s="714">
        <f t="shared" si="158"/>
        <v>0</v>
      </c>
      <c r="AM298" s="714">
        <f t="shared" si="158"/>
        <v>0</v>
      </c>
      <c r="AN298" s="714">
        <f t="shared" si="158"/>
        <v>0</v>
      </c>
      <c r="AO298" s="714">
        <f t="shared" si="158"/>
        <v>0</v>
      </c>
      <c r="AP298" s="714">
        <f t="shared" si="158"/>
        <v>0</v>
      </c>
      <c r="AQ298" s="714">
        <f t="shared" si="158"/>
        <v>0</v>
      </c>
      <c r="AR298" s="714">
        <f t="shared" si="158"/>
        <v>0</v>
      </c>
      <c r="AS298" s="714">
        <f t="shared" si="158"/>
        <v>0</v>
      </c>
      <c r="AT298" s="714">
        <f t="shared" si="158"/>
        <v>0</v>
      </c>
      <c r="AU298" s="714">
        <f t="shared" si="158"/>
        <v>0</v>
      </c>
      <c r="AV298" s="714">
        <f t="shared" si="158"/>
        <v>0</v>
      </c>
      <c r="AW298" s="714">
        <f t="shared" si="158"/>
        <v>1</v>
      </c>
      <c r="AX298" s="714">
        <f t="shared" si="158"/>
        <v>0</v>
      </c>
      <c r="AY298" s="714">
        <f t="shared" ref="AY298:CB298" si="159">SUM(AY295:AY297)</f>
        <v>0</v>
      </c>
      <c r="AZ298" s="714">
        <f t="shared" si="159"/>
        <v>0</v>
      </c>
      <c r="BA298" s="714">
        <f t="shared" si="159"/>
        <v>0</v>
      </c>
      <c r="BB298" s="714">
        <f t="shared" si="159"/>
        <v>0</v>
      </c>
      <c r="BC298" s="714">
        <f t="shared" si="159"/>
        <v>0</v>
      </c>
      <c r="BD298" s="714">
        <f t="shared" si="159"/>
        <v>0</v>
      </c>
      <c r="BE298" s="714">
        <f t="shared" si="159"/>
        <v>0</v>
      </c>
      <c r="BF298" s="714">
        <f t="shared" si="159"/>
        <v>1</v>
      </c>
      <c r="BG298" s="714">
        <f t="shared" si="159"/>
        <v>0</v>
      </c>
      <c r="BH298" s="714">
        <f t="shared" si="159"/>
        <v>0</v>
      </c>
      <c r="BI298" s="714">
        <f t="shared" si="159"/>
        <v>0</v>
      </c>
      <c r="BJ298" s="714">
        <f t="shared" si="159"/>
        <v>0</v>
      </c>
      <c r="BK298" s="714">
        <f t="shared" si="159"/>
        <v>0</v>
      </c>
      <c r="BL298" s="714">
        <f t="shared" si="159"/>
        <v>0</v>
      </c>
      <c r="BM298" s="714">
        <f t="shared" si="159"/>
        <v>0</v>
      </c>
      <c r="BN298" s="714">
        <f t="shared" si="159"/>
        <v>0</v>
      </c>
      <c r="BO298" s="714">
        <f t="shared" si="159"/>
        <v>0</v>
      </c>
      <c r="BP298" s="714">
        <f t="shared" si="159"/>
        <v>0</v>
      </c>
      <c r="BQ298" s="714">
        <f t="shared" si="159"/>
        <v>0</v>
      </c>
      <c r="BR298" s="714">
        <f t="shared" si="159"/>
        <v>2</v>
      </c>
      <c r="BS298" s="714">
        <f t="shared" si="159"/>
        <v>0</v>
      </c>
      <c r="BT298" s="714">
        <f t="shared" si="159"/>
        <v>0</v>
      </c>
      <c r="BU298" s="714">
        <f t="shared" si="159"/>
        <v>0</v>
      </c>
      <c r="BV298" s="714">
        <f t="shared" si="159"/>
        <v>0</v>
      </c>
      <c r="BW298" s="714">
        <f t="shared" si="159"/>
        <v>0</v>
      </c>
      <c r="BX298" s="714">
        <f t="shared" si="159"/>
        <v>0</v>
      </c>
      <c r="BY298" s="714">
        <f t="shared" si="159"/>
        <v>0</v>
      </c>
      <c r="BZ298" s="714">
        <f t="shared" si="159"/>
        <v>0</v>
      </c>
      <c r="CA298" s="714">
        <f t="shared" si="159"/>
        <v>2</v>
      </c>
      <c r="CB298" s="714">
        <f t="shared" si="159"/>
        <v>0</v>
      </c>
      <c r="CC298" s="714">
        <f t="shared" ref="CC298:CN298" si="160">SUM(CC295:CC297)</f>
        <v>0</v>
      </c>
      <c r="CD298" s="714">
        <f t="shared" si="160"/>
        <v>0</v>
      </c>
      <c r="CE298" s="714">
        <f t="shared" si="160"/>
        <v>0</v>
      </c>
      <c r="CF298" s="714">
        <f t="shared" si="160"/>
        <v>0</v>
      </c>
      <c r="CG298" s="714">
        <f t="shared" si="160"/>
        <v>0</v>
      </c>
      <c r="CH298" s="714">
        <f t="shared" si="160"/>
        <v>0</v>
      </c>
      <c r="CI298" s="714">
        <f t="shared" si="160"/>
        <v>0</v>
      </c>
      <c r="CJ298" s="714">
        <f t="shared" si="160"/>
        <v>0</v>
      </c>
      <c r="CK298" s="714">
        <f t="shared" si="160"/>
        <v>0</v>
      </c>
      <c r="CL298" s="714">
        <f t="shared" si="160"/>
        <v>0</v>
      </c>
      <c r="CM298" s="714">
        <f t="shared" si="160"/>
        <v>2</v>
      </c>
      <c r="CN298" s="714">
        <f t="shared" si="160"/>
        <v>7.2</v>
      </c>
      <c r="CO298" s="714">
        <f t="shared" ref="CO298:CW298" si="161">SUM(CO295:CO297)</f>
        <v>0</v>
      </c>
      <c r="CP298" s="714">
        <f t="shared" si="161"/>
        <v>0</v>
      </c>
      <c r="CQ298" s="714">
        <f t="shared" si="161"/>
        <v>0</v>
      </c>
      <c r="CR298" s="714">
        <f t="shared" si="161"/>
        <v>0</v>
      </c>
      <c r="CS298" s="714">
        <f t="shared" si="161"/>
        <v>0</v>
      </c>
      <c r="CT298" s="714">
        <f t="shared" si="161"/>
        <v>0</v>
      </c>
      <c r="CU298" s="714">
        <f t="shared" si="161"/>
        <v>0</v>
      </c>
      <c r="CV298" s="714">
        <f t="shared" si="161"/>
        <v>0</v>
      </c>
      <c r="CW298" s="714">
        <f t="shared" si="161"/>
        <v>0</v>
      </c>
      <c r="CX298" s="715">
        <v>10</v>
      </c>
      <c r="CY298" s="716"/>
    </row>
    <row r="299" spans="1:234" s="545" customFormat="1" ht="18" hidden="1" customHeight="1">
      <c r="A299" s="655" t="s">
        <v>4056</v>
      </c>
      <c r="B299" s="544"/>
      <c r="C299" s="544"/>
      <c r="D299" s="544"/>
      <c r="E299" s="544"/>
      <c r="F299" s="544"/>
      <c r="G299" s="544"/>
      <c r="H299" s="544"/>
      <c r="I299" s="544"/>
      <c r="J299" s="544"/>
      <c r="K299" s="544"/>
      <c r="L299" s="544"/>
      <c r="M299" s="544"/>
      <c r="N299" s="544"/>
      <c r="O299" s="544"/>
      <c r="P299" s="544"/>
      <c r="Q299" s="544"/>
      <c r="R299" s="544"/>
      <c r="S299" s="544"/>
      <c r="T299" s="544"/>
      <c r="U299" s="544"/>
      <c r="V299" s="544"/>
      <c r="W299" s="544"/>
      <c r="X299" s="544"/>
      <c r="Y299" s="544"/>
      <c r="Z299" s="544"/>
      <c r="AA299" s="544"/>
      <c r="AB299" s="544"/>
      <c r="AC299" s="544"/>
      <c r="AD299" s="544"/>
      <c r="AE299" s="544"/>
      <c r="AF299" s="544"/>
      <c r="AG299" s="544"/>
      <c r="AH299" s="544"/>
      <c r="AI299" s="544"/>
      <c r="AJ299" s="544"/>
      <c r="AK299" s="544"/>
      <c r="AL299" s="544"/>
      <c r="AM299" s="544"/>
      <c r="AN299" s="544"/>
      <c r="AO299" s="544"/>
      <c r="AP299" s="544"/>
      <c r="AQ299" s="544"/>
      <c r="AR299" s="544"/>
      <c r="AS299" s="544"/>
      <c r="AT299" s="544"/>
      <c r="AU299" s="544"/>
      <c r="AV299" s="544"/>
      <c r="AW299" s="544"/>
      <c r="AX299" s="544"/>
      <c r="AY299" s="544"/>
      <c r="AZ299" s="544"/>
      <c r="BA299" s="544"/>
      <c r="BB299" s="544"/>
      <c r="BC299" s="544"/>
      <c r="BD299" s="544"/>
      <c r="BE299" s="544"/>
      <c r="BF299" s="544"/>
      <c r="BG299" s="544"/>
      <c r="BH299" s="544"/>
      <c r="BI299" s="544"/>
      <c r="BJ299" s="544"/>
      <c r="BK299" s="544"/>
      <c r="BL299" s="544"/>
      <c r="BM299" s="544"/>
      <c r="BN299" s="544"/>
      <c r="BO299" s="544"/>
      <c r="BP299" s="544"/>
      <c r="BQ299" s="544"/>
      <c r="BR299" s="544"/>
      <c r="BS299" s="544"/>
      <c r="BT299" s="544"/>
      <c r="BU299" s="544"/>
      <c r="BV299" s="544"/>
      <c r="BW299" s="544"/>
      <c r="BX299" s="544"/>
      <c r="BY299" s="544"/>
      <c r="BZ299" s="544"/>
      <c r="CA299" s="544"/>
      <c r="CB299" s="544"/>
      <c r="CC299" s="544"/>
      <c r="CD299" s="544"/>
      <c r="CE299" s="544"/>
      <c r="CF299" s="544"/>
      <c r="CG299" s="544"/>
      <c r="CH299" s="544"/>
      <c r="CI299" s="544"/>
      <c r="CJ299" s="544"/>
      <c r="CK299" s="544"/>
      <c r="CL299" s="544"/>
      <c r="CM299" s="544"/>
      <c r="CN299" s="544"/>
      <c r="CO299" s="544"/>
      <c r="CP299" s="544"/>
      <c r="CQ299" s="544"/>
      <c r="CR299" s="544"/>
      <c r="CS299" s="544"/>
      <c r="CT299" s="544"/>
      <c r="CU299" s="544"/>
      <c r="CV299" s="544"/>
      <c r="CW299" s="544"/>
      <c r="CX299" s="544"/>
      <c r="CY299" s="669"/>
      <c r="CZ299" s="530"/>
      <c r="DA299" s="530"/>
      <c r="DB299" s="530"/>
      <c r="DC299" s="530"/>
      <c r="DD299" s="530"/>
      <c r="DE299" s="530"/>
      <c r="DF299" s="530"/>
      <c r="DG299" s="530"/>
      <c r="DH299" s="530"/>
      <c r="DI299" s="530"/>
      <c r="DJ299" s="530"/>
      <c r="DK299" s="530"/>
      <c r="DL299" s="530"/>
      <c r="DM299" s="530"/>
      <c r="DN299" s="530"/>
      <c r="DO299" s="530"/>
      <c r="DP299" s="530"/>
      <c r="DQ299" s="530"/>
      <c r="DR299" s="530"/>
      <c r="DS299" s="530"/>
      <c r="DT299" s="530"/>
      <c r="DU299" s="530"/>
      <c r="DV299" s="530"/>
      <c r="DW299" s="530"/>
      <c r="DX299" s="530"/>
      <c r="DY299" s="530"/>
      <c r="DZ299" s="530"/>
      <c r="EA299" s="530"/>
      <c r="EB299" s="530"/>
      <c r="EC299" s="530"/>
      <c r="ED299" s="530"/>
      <c r="EE299" s="530"/>
      <c r="EF299" s="530"/>
      <c r="EG299" s="530"/>
      <c r="EH299" s="530"/>
      <c r="EI299" s="530"/>
      <c r="EJ299" s="530"/>
      <c r="EK299" s="530"/>
      <c r="EL299" s="530"/>
      <c r="EM299" s="530"/>
      <c r="EN299" s="530"/>
      <c r="EO299" s="530"/>
      <c r="EP299" s="530"/>
      <c r="EQ299" s="530"/>
      <c r="ER299" s="530"/>
      <c r="ES299" s="530"/>
      <c r="ET299" s="530"/>
      <c r="EU299" s="530"/>
      <c r="EV299" s="530"/>
      <c r="EW299" s="530"/>
      <c r="EX299" s="530"/>
      <c r="EY299" s="530"/>
      <c r="EZ299" s="530"/>
      <c r="FA299" s="530"/>
      <c r="FB299" s="530"/>
      <c r="FC299" s="530"/>
      <c r="FD299" s="530"/>
      <c r="FE299" s="530"/>
      <c r="FF299" s="530"/>
      <c r="FG299" s="530"/>
      <c r="FH299" s="530"/>
      <c r="FI299" s="530"/>
      <c r="FJ299" s="530"/>
      <c r="FK299" s="530"/>
      <c r="FL299" s="530"/>
      <c r="FM299" s="530"/>
      <c r="FN299" s="530"/>
      <c r="FO299" s="530"/>
      <c r="FP299" s="530"/>
      <c r="FQ299" s="530"/>
      <c r="FR299" s="530"/>
      <c r="FS299" s="530"/>
      <c r="FT299" s="530"/>
      <c r="FU299" s="530"/>
      <c r="FV299" s="530"/>
      <c r="FW299" s="530"/>
      <c r="FX299" s="530"/>
      <c r="FY299" s="530"/>
      <c r="FZ299" s="530"/>
      <c r="GA299" s="530"/>
      <c r="GB299" s="530"/>
      <c r="GC299" s="530"/>
      <c r="GD299" s="530"/>
      <c r="GE299" s="530"/>
      <c r="GF299" s="530"/>
      <c r="GG299" s="530"/>
      <c r="GH299" s="530"/>
      <c r="GI299" s="530"/>
      <c r="GJ299" s="530"/>
      <c r="GK299" s="530"/>
      <c r="GL299" s="530"/>
      <c r="GM299" s="530"/>
      <c r="GN299" s="530"/>
      <c r="GO299" s="530"/>
      <c r="GP299" s="530"/>
      <c r="GQ299" s="530"/>
      <c r="GR299" s="530"/>
      <c r="GS299" s="530"/>
      <c r="GT299" s="530"/>
      <c r="GU299" s="530"/>
      <c r="GV299" s="530"/>
      <c r="GW299" s="530"/>
      <c r="GX299" s="530"/>
      <c r="GY299" s="530"/>
      <c r="GZ299" s="530"/>
      <c r="HA299" s="530"/>
      <c r="HB299" s="530"/>
      <c r="HC299" s="530"/>
      <c r="HD299" s="530"/>
      <c r="HE299" s="530"/>
      <c r="HF299" s="530"/>
      <c r="HG299" s="530"/>
      <c r="HH299" s="530"/>
      <c r="HI299" s="530"/>
      <c r="HJ299" s="530"/>
      <c r="HK299" s="530"/>
      <c r="HL299" s="530"/>
      <c r="HM299" s="530"/>
      <c r="HN299" s="530"/>
      <c r="HO299" s="530"/>
      <c r="HP299" s="530"/>
      <c r="HQ299" s="530"/>
      <c r="HR299" s="530"/>
      <c r="HS299" s="530"/>
      <c r="HT299" s="530"/>
      <c r="HU299" s="530"/>
      <c r="HV299" s="530"/>
      <c r="HW299" s="530"/>
      <c r="HX299" s="530"/>
      <c r="HY299" s="530"/>
      <c r="HZ299" s="530"/>
    </row>
    <row r="300" spans="1:234" ht="13.8" hidden="1">
      <c r="A300" s="591" t="s">
        <v>4055</v>
      </c>
      <c r="B300" s="702"/>
      <c r="C300" s="555"/>
      <c r="D300" s="555"/>
      <c r="E300" s="555"/>
      <c r="F300" s="555"/>
      <c r="G300" s="555"/>
      <c r="H300" s="555"/>
      <c r="I300" s="555"/>
      <c r="J300" s="555"/>
      <c r="K300" s="555"/>
      <c r="L300" s="555"/>
      <c r="M300" s="555"/>
      <c r="N300" s="555">
        <f>C300</f>
        <v>0</v>
      </c>
      <c r="O300" s="556"/>
      <c r="P300" s="556"/>
      <c r="Q300" s="703" t="s">
        <v>1621</v>
      </c>
      <c r="R300" s="718"/>
      <c r="S300" s="718"/>
      <c r="T300" s="718"/>
      <c r="U300" s="718"/>
      <c r="V300" s="718"/>
      <c r="W300" s="718"/>
      <c r="X300" s="718"/>
      <c r="Y300" s="718"/>
      <c r="Z300" s="718"/>
      <c r="AA300" s="718"/>
      <c r="AB300" s="718"/>
      <c r="AC300" s="718"/>
      <c r="AD300" s="672"/>
      <c r="AE300" s="672"/>
      <c r="AF300" s="672"/>
      <c r="AG300" s="672"/>
      <c r="AH300" s="672"/>
      <c r="AI300" s="672"/>
      <c r="AJ300" s="672"/>
      <c r="AK300" s="672"/>
      <c r="AL300" s="672"/>
      <c r="AM300" s="672"/>
      <c r="AN300" s="672"/>
      <c r="AO300" s="672"/>
      <c r="AP300" s="672"/>
      <c r="AQ300" s="672"/>
      <c r="AR300" s="672"/>
      <c r="AS300" s="672"/>
      <c r="AT300" s="672"/>
      <c r="AU300" s="672"/>
      <c r="AV300" s="672"/>
      <c r="AW300" s="672"/>
      <c r="AX300" s="672"/>
      <c r="AY300" s="672"/>
      <c r="AZ300" s="672"/>
      <c r="BA300" s="672"/>
      <c r="BB300" s="672"/>
      <c r="BC300" s="672"/>
      <c r="BD300" s="672"/>
      <c r="BE300" s="672"/>
      <c r="BF300" s="672">
        <f t="shared" ref="BF300:BG305" si="162">AW300</f>
        <v>0</v>
      </c>
      <c r="BG300" s="672">
        <f t="shared" si="162"/>
        <v>0</v>
      </c>
      <c r="BH300" s="672"/>
      <c r="BI300" s="672"/>
      <c r="BJ300" s="672"/>
      <c r="BK300" s="672"/>
      <c r="BL300" s="672"/>
      <c r="BM300" s="672"/>
      <c r="BN300" s="672"/>
      <c r="BO300" s="672"/>
      <c r="BP300" s="672"/>
      <c r="BQ300" s="672"/>
      <c r="BR300" s="672"/>
      <c r="BS300" s="672"/>
      <c r="BT300" s="672"/>
      <c r="BU300" s="672"/>
      <c r="BV300" s="672"/>
      <c r="BW300" s="672"/>
      <c r="BX300" s="672"/>
      <c r="BY300" s="672"/>
      <c r="BZ300" s="672"/>
      <c r="CA300" s="672"/>
      <c r="CB300" s="672"/>
      <c r="CC300" s="672"/>
      <c r="CD300" s="672"/>
      <c r="CE300" s="672"/>
      <c r="CF300" s="672"/>
      <c r="CG300" s="672"/>
      <c r="CH300" s="672"/>
      <c r="CI300" s="672"/>
      <c r="CJ300" s="672"/>
      <c r="CK300" s="672"/>
      <c r="CL300" s="672"/>
      <c r="CM300" s="672"/>
      <c r="CN300" s="672">
        <f t="shared" ref="CN300:CN305" si="163">+CM300*3.6</f>
        <v>0</v>
      </c>
      <c r="CO300" s="672"/>
      <c r="CP300" s="672"/>
      <c r="CQ300" s="672"/>
      <c r="CR300" s="672"/>
      <c r="CS300" s="672"/>
      <c r="CT300" s="672"/>
      <c r="CU300" s="672"/>
      <c r="CV300" s="672"/>
      <c r="CW300" s="672"/>
      <c r="CX300" s="704"/>
      <c r="CY300" s="705"/>
      <c r="HU300" s="542"/>
      <c r="HV300" s="542"/>
      <c r="HW300" s="542"/>
      <c r="HX300" s="542"/>
      <c r="HY300" s="542"/>
      <c r="HZ300" s="542"/>
    </row>
    <row r="301" spans="1:234" ht="13.8" hidden="1">
      <c r="A301" s="591" t="s">
        <v>767</v>
      </c>
      <c r="B301" s="670"/>
      <c r="C301" s="550">
        <v>40</v>
      </c>
      <c r="D301" s="550">
        <f>D300+C301</f>
        <v>40</v>
      </c>
      <c r="E301" s="550"/>
      <c r="F301" s="550"/>
      <c r="G301" s="550"/>
      <c r="H301" s="550"/>
      <c r="I301" s="550"/>
      <c r="J301" s="550"/>
      <c r="K301" s="550"/>
      <c r="L301" s="550"/>
      <c r="M301" s="550"/>
      <c r="N301" s="550">
        <f>+N300+C301</f>
        <v>40</v>
      </c>
      <c r="O301" s="439"/>
      <c r="P301" s="439"/>
      <c r="Q301" s="674" t="s">
        <v>501</v>
      </c>
      <c r="R301" s="671"/>
      <c r="S301" s="671">
        <v>1</v>
      </c>
      <c r="T301" s="671"/>
      <c r="U301" s="671"/>
      <c r="V301" s="671"/>
      <c r="W301" s="671"/>
      <c r="X301" s="671"/>
      <c r="Y301" s="671"/>
      <c r="Z301" s="671">
        <v>1</v>
      </c>
      <c r="AA301" s="671"/>
      <c r="AB301" s="671"/>
      <c r="AC301" s="671"/>
      <c r="AD301" s="623"/>
      <c r="AE301" s="623"/>
      <c r="AF301" s="623"/>
      <c r="AG301" s="623"/>
      <c r="AH301" s="623"/>
      <c r="AI301" s="623"/>
      <c r="AJ301" s="623"/>
      <c r="AK301" s="623"/>
      <c r="AL301" s="623"/>
      <c r="AM301" s="623"/>
      <c r="AN301" s="623"/>
      <c r="AO301" s="623"/>
      <c r="AP301" s="623"/>
      <c r="AQ301" s="623"/>
      <c r="AR301" s="623"/>
      <c r="AS301" s="623"/>
      <c r="AT301" s="623"/>
      <c r="AU301" s="623"/>
      <c r="AV301" s="623"/>
      <c r="AW301" s="623"/>
      <c r="AX301" s="623"/>
      <c r="AY301" s="623"/>
      <c r="AZ301" s="623"/>
      <c r="BA301" s="623"/>
      <c r="BB301" s="623"/>
      <c r="BC301" s="623"/>
      <c r="BD301" s="623"/>
      <c r="BE301" s="623"/>
      <c r="BF301" s="672">
        <f t="shared" si="162"/>
        <v>0</v>
      </c>
      <c r="BG301" s="672">
        <f t="shared" si="162"/>
        <v>0</v>
      </c>
      <c r="BH301" s="623"/>
      <c r="BI301" s="623"/>
      <c r="BJ301" s="623"/>
      <c r="BK301" s="623"/>
      <c r="BL301" s="623"/>
      <c r="BM301" s="623"/>
      <c r="BN301" s="623"/>
      <c r="BO301" s="623"/>
      <c r="BP301" s="623"/>
      <c r="BQ301" s="623"/>
      <c r="BR301" s="623"/>
      <c r="BS301" s="623"/>
      <c r="BT301" s="623"/>
      <c r="BU301" s="623"/>
      <c r="BV301" s="623"/>
      <c r="BW301" s="623"/>
      <c r="BX301" s="623"/>
      <c r="BY301" s="623"/>
      <c r="BZ301" s="623"/>
      <c r="CA301" s="623">
        <v>1</v>
      </c>
      <c r="CB301" s="623"/>
      <c r="CC301" s="623"/>
      <c r="CD301" s="623"/>
      <c r="CE301" s="623"/>
      <c r="CF301" s="623"/>
      <c r="CG301" s="623"/>
      <c r="CH301" s="623"/>
      <c r="CI301" s="623"/>
      <c r="CJ301" s="623"/>
      <c r="CK301" s="623"/>
      <c r="CL301" s="623"/>
      <c r="CM301" s="623">
        <v>1</v>
      </c>
      <c r="CN301" s="623">
        <f t="shared" si="163"/>
        <v>3.6</v>
      </c>
      <c r="CO301" s="623"/>
      <c r="CP301" s="623"/>
      <c r="CQ301" s="623"/>
      <c r="CR301" s="623"/>
      <c r="CS301" s="623"/>
      <c r="CT301" s="623"/>
      <c r="CU301" s="623"/>
      <c r="CV301" s="623"/>
      <c r="CW301" s="623"/>
      <c r="CX301" s="673"/>
      <c r="CY301" s="557"/>
    </row>
    <row r="302" spans="1:234" ht="13.8" hidden="1">
      <c r="A302" s="591" t="s">
        <v>768</v>
      </c>
      <c r="B302" s="670"/>
      <c r="C302" s="550">
        <v>38</v>
      </c>
      <c r="D302" s="550">
        <f>D301+C302</f>
        <v>78</v>
      </c>
      <c r="E302" s="550"/>
      <c r="F302" s="550"/>
      <c r="G302" s="550"/>
      <c r="H302" s="550"/>
      <c r="I302" s="550"/>
      <c r="J302" s="550"/>
      <c r="K302" s="550"/>
      <c r="L302" s="550"/>
      <c r="M302" s="550"/>
      <c r="N302" s="550">
        <f>+N301+C302</f>
        <v>78</v>
      </c>
      <c r="O302" s="439"/>
      <c r="P302" s="439"/>
      <c r="Q302" s="674" t="s">
        <v>586</v>
      </c>
      <c r="R302" s="671"/>
      <c r="S302" s="671">
        <v>2</v>
      </c>
      <c r="T302" s="671"/>
      <c r="U302" s="671"/>
      <c r="V302" s="671"/>
      <c r="W302" s="671"/>
      <c r="X302" s="671"/>
      <c r="Y302" s="671"/>
      <c r="Z302" s="671"/>
      <c r="AA302" s="671"/>
      <c r="AB302" s="671"/>
      <c r="AC302" s="671">
        <v>1</v>
      </c>
      <c r="AD302" s="623"/>
      <c r="AE302" s="623"/>
      <c r="AF302" s="623"/>
      <c r="AG302" s="623"/>
      <c r="AH302" s="623"/>
      <c r="AI302" s="623"/>
      <c r="AJ302" s="623"/>
      <c r="AK302" s="623"/>
      <c r="AL302" s="623"/>
      <c r="AM302" s="623"/>
      <c r="AN302" s="623"/>
      <c r="AO302" s="623"/>
      <c r="AP302" s="623"/>
      <c r="AQ302" s="623"/>
      <c r="AR302" s="623"/>
      <c r="AS302" s="623"/>
      <c r="AT302" s="623"/>
      <c r="AU302" s="623"/>
      <c r="AV302" s="623"/>
      <c r="AW302" s="623"/>
      <c r="AX302" s="623"/>
      <c r="AY302" s="623"/>
      <c r="AZ302" s="623"/>
      <c r="BA302" s="623"/>
      <c r="BB302" s="623"/>
      <c r="BC302" s="623"/>
      <c r="BD302" s="623"/>
      <c r="BE302" s="623"/>
      <c r="BF302" s="672">
        <f t="shared" si="162"/>
        <v>0</v>
      </c>
      <c r="BG302" s="672">
        <f t="shared" si="162"/>
        <v>0</v>
      </c>
      <c r="BH302" s="623"/>
      <c r="BI302" s="623"/>
      <c r="BJ302" s="623"/>
      <c r="BK302" s="623"/>
      <c r="BL302" s="623"/>
      <c r="BM302" s="623"/>
      <c r="BN302" s="623"/>
      <c r="BO302" s="623"/>
      <c r="BP302" s="623"/>
      <c r="BQ302" s="623"/>
      <c r="BR302" s="623"/>
      <c r="BS302" s="623"/>
      <c r="BT302" s="623"/>
      <c r="BU302" s="623"/>
      <c r="BV302" s="623"/>
      <c r="BW302" s="623"/>
      <c r="BX302" s="623"/>
      <c r="BY302" s="623"/>
      <c r="BZ302" s="623"/>
      <c r="CA302" s="623">
        <v>1</v>
      </c>
      <c r="CB302" s="623"/>
      <c r="CC302" s="623"/>
      <c r="CD302" s="623"/>
      <c r="CE302" s="623"/>
      <c r="CF302" s="623"/>
      <c r="CG302" s="623"/>
      <c r="CH302" s="623"/>
      <c r="CI302" s="623"/>
      <c r="CJ302" s="623"/>
      <c r="CK302" s="623"/>
      <c r="CL302" s="623"/>
      <c r="CM302" s="623">
        <v>1</v>
      </c>
      <c r="CN302" s="623">
        <f t="shared" si="163"/>
        <v>3.6</v>
      </c>
      <c r="CO302" s="623"/>
      <c r="CP302" s="623"/>
      <c r="CQ302" s="623"/>
      <c r="CR302" s="623"/>
      <c r="CS302" s="623"/>
      <c r="CT302" s="623"/>
      <c r="CU302" s="623"/>
      <c r="CV302" s="623"/>
      <c r="CW302" s="623"/>
      <c r="CX302" s="673"/>
      <c r="CY302" s="557"/>
    </row>
    <row r="303" spans="1:234" ht="13.8" hidden="1">
      <c r="A303" s="591" t="s">
        <v>769</v>
      </c>
      <c r="B303" s="670"/>
      <c r="C303" s="550">
        <v>38</v>
      </c>
      <c r="D303" s="550">
        <f>D302+C303</f>
        <v>116</v>
      </c>
      <c r="E303" s="550"/>
      <c r="F303" s="550"/>
      <c r="G303" s="550"/>
      <c r="H303" s="550"/>
      <c r="I303" s="550"/>
      <c r="J303" s="550"/>
      <c r="K303" s="550"/>
      <c r="L303" s="550"/>
      <c r="M303" s="550"/>
      <c r="N303" s="550">
        <f>+N302+C303</f>
        <v>116</v>
      </c>
      <c r="O303" s="439"/>
      <c r="P303" s="439"/>
      <c r="Q303" s="674" t="s">
        <v>501</v>
      </c>
      <c r="R303" s="671"/>
      <c r="S303" s="671">
        <v>1</v>
      </c>
      <c r="T303" s="671"/>
      <c r="U303" s="671"/>
      <c r="V303" s="671"/>
      <c r="W303" s="671"/>
      <c r="X303" s="671"/>
      <c r="Y303" s="671"/>
      <c r="Z303" s="671">
        <v>1</v>
      </c>
      <c r="AA303" s="671"/>
      <c r="AB303" s="671"/>
      <c r="AC303" s="671"/>
      <c r="AD303" s="623"/>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72">
        <f t="shared" si="162"/>
        <v>0</v>
      </c>
      <c r="BG303" s="672">
        <f t="shared" si="162"/>
        <v>0</v>
      </c>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v>1</v>
      </c>
      <c r="CB303" s="623"/>
      <c r="CC303" s="623"/>
      <c r="CD303" s="623"/>
      <c r="CE303" s="623"/>
      <c r="CF303" s="623"/>
      <c r="CG303" s="623"/>
      <c r="CH303" s="623"/>
      <c r="CI303" s="623"/>
      <c r="CJ303" s="623"/>
      <c r="CK303" s="623"/>
      <c r="CL303" s="623"/>
      <c r="CM303" s="623">
        <v>1</v>
      </c>
      <c r="CN303" s="623">
        <f t="shared" si="163"/>
        <v>3.6</v>
      </c>
      <c r="CO303" s="623"/>
      <c r="CP303" s="623"/>
      <c r="CQ303" s="623"/>
      <c r="CR303" s="623"/>
      <c r="CS303" s="623"/>
      <c r="CT303" s="623"/>
      <c r="CU303" s="623"/>
      <c r="CV303" s="623"/>
      <c r="CW303" s="623"/>
      <c r="CX303" s="673"/>
      <c r="CY303" s="557"/>
    </row>
    <row r="304" spans="1:234" ht="13.8" hidden="1">
      <c r="A304" s="591" t="s">
        <v>770</v>
      </c>
      <c r="B304" s="670"/>
      <c r="C304" s="550">
        <v>30</v>
      </c>
      <c r="D304" s="550">
        <f>D303+C304</f>
        <v>146</v>
      </c>
      <c r="E304" s="550"/>
      <c r="F304" s="550"/>
      <c r="G304" s="550"/>
      <c r="H304" s="550"/>
      <c r="I304" s="550"/>
      <c r="J304" s="550"/>
      <c r="K304" s="550"/>
      <c r="L304" s="550"/>
      <c r="M304" s="550"/>
      <c r="N304" s="550">
        <f>+N303+C304</f>
        <v>146</v>
      </c>
      <c r="O304" s="439"/>
      <c r="P304" s="439"/>
      <c r="Q304" s="674" t="s">
        <v>501</v>
      </c>
      <c r="R304" s="671"/>
      <c r="S304" s="671">
        <v>1</v>
      </c>
      <c r="T304" s="671"/>
      <c r="U304" s="671"/>
      <c r="V304" s="671"/>
      <c r="W304" s="671"/>
      <c r="X304" s="671"/>
      <c r="Y304" s="671"/>
      <c r="Z304" s="671">
        <v>1</v>
      </c>
      <c r="AA304" s="671"/>
      <c r="AB304" s="671"/>
      <c r="AC304" s="671"/>
      <c r="AD304" s="623"/>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72">
        <f t="shared" si="162"/>
        <v>0</v>
      </c>
      <c r="BG304" s="672">
        <f t="shared" si="162"/>
        <v>0</v>
      </c>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v>1</v>
      </c>
      <c r="CB304" s="623"/>
      <c r="CC304" s="623"/>
      <c r="CD304" s="623"/>
      <c r="CE304" s="623"/>
      <c r="CF304" s="623"/>
      <c r="CG304" s="623"/>
      <c r="CH304" s="623"/>
      <c r="CI304" s="623"/>
      <c r="CJ304" s="623"/>
      <c r="CK304" s="623"/>
      <c r="CL304" s="623"/>
      <c r="CM304" s="623">
        <v>1</v>
      </c>
      <c r="CN304" s="623">
        <f t="shared" si="163"/>
        <v>3.6</v>
      </c>
      <c r="CO304" s="623"/>
      <c r="CP304" s="623"/>
      <c r="CQ304" s="623"/>
      <c r="CR304" s="623"/>
      <c r="CS304" s="623"/>
      <c r="CT304" s="623"/>
      <c r="CU304" s="623"/>
      <c r="CV304" s="623"/>
      <c r="CW304" s="623"/>
      <c r="CX304" s="673"/>
      <c r="CY304" s="557"/>
    </row>
    <row r="305" spans="1:234" s="678" customFormat="1" ht="13.8" hidden="1">
      <c r="A305" s="712" t="s">
        <v>771</v>
      </c>
      <c r="B305" s="613"/>
      <c r="C305" s="613">
        <v>34</v>
      </c>
      <c r="D305" s="550">
        <f>D304+C305</f>
        <v>180</v>
      </c>
      <c r="E305" s="613"/>
      <c r="F305" s="613"/>
      <c r="G305" s="613"/>
      <c r="H305" s="613"/>
      <c r="I305" s="613"/>
      <c r="J305" s="679"/>
      <c r="K305" s="613"/>
      <c r="L305" s="613"/>
      <c r="M305" s="613"/>
      <c r="N305" s="550">
        <f>+N304+C305</f>
        <v>180</v>
      </c>
      <c r="O305" s="614"/>
      <c r="P305" s="614"/>
      <c r="Q305" s="680" t="s">
        <v>1107</v>
      </c>
      <c r="R305" s="681"/>
      <c r="S305" s="681">
        <v>1</v>
      </c>
      <c r="T305" s="681"/>
      <c r="U305" s="681"/>
      <c r="V305" s="681"/>
      <c r="W305" s="681"/>
      <c r="X305" s="681"/>
      <c r="Y305" s="681"/>
      <c r="Z305" s="681">
        <v>1</v>
      </c>
      <c r="AA305" s="681"/>
      <c r="AB305" s="681"/>
      <c r="AC305" s="681"/>
      <c r="AD305" s="682"/>
      <c r="AE305" s="682"/>
      <c r="AF305" s="682"/>
      <c r="AG305" s="682"/>
      <c r="AH305" s="682"/>
      <c r="AI305" s="682"/>
      <c r="AJ305" s="682"/>
      <c r="AK305" s="682"/>
      <c r="AL305" s="682"/>
      <c r="AM305" s="682"/>
      <c r="AN305" s="682"/>
      <c r="AO305" s="682"/>
      <c r="AP305" s="682"/>
      <c r="AQ305" s="682"/>
      <c r="AR305" s="682"/>
      <c r="AS305" s="682"/>
      <c r="AT305" s="682"/>
      <c r="AU305" s="682"/>
      <c r="AV305" s="682"/>
      <c r="AW305" s="682">
        <v>1</v>
      </c>
      <c r="AX305" s="682"/>
      <c r="AY305" s="682"/>
      <c r="AZ305" s="682"/>
      <c r="BA305" s="682"/>
      <c r="BB305" s="682"/>
      <c r="BC305" s="682"/>
      <c r="BD305" s="682"/>
      <c r="BE305" s="682"/>
      <c r="BF305" s="672">
        <f t="shared" si="162"/>
        <v>1</v>
      </c>
      <c r="BG305" s="672">
        <f t="shared" si="162"/>
        <v>0</v>
      </c>
      <c r="BH305" s="682"/>
      <c r="BI305" s="682"/>
      <c r="BJ305" s="682"/>
      <c r="BK305" s="682"/>
      <c r="BL305" s="682"/>
      <c r="BM305" s="682"/>
      <c r="BN305" s="682"/>
      <c r="BO305" s="682"/>
      <c r="BP305" s="682"/>
      <c r="BQ305" s="682"/>
      <c r="BR305" s="682">
        <v>1</v>
      </c>
      <c r="BS305" s="682"/>
      <c r="BT305" s="682"/>
      <c r="BU305" s="682"/>
      <c r="BV305" s="682"/>
      <c r="BW305" s="682"/>
      <c r="BX305" s="682"/>
      <c r="BY305" s="682"/>
      <c r="BZ305" s="682"/>
      <c r="CA305" s="682">
        <v>1</v>
      </c>
      <c r="CB305" s="682"/>
      <c r="CC305" s="682"/>
      <c r="CD305" s="682"/>
      <c r="CE305" s="682"/>
      <c r="CF305" s="682"/>
      <c r="CG305" s="682"/>
      <c r="CH305" s="682"/>
      <c r="CI305" s="682"/>
      <c r="CJ305" s="682"/>
      <c r="CK305" s="682"/>
      <c r="CL305" s="682"/>
      <c r="CM305" s="682">
        <v>1</v>
      </c>
      <c r="CN305" s="682">
        <f t="shared" si="163"/>
        <v>3.6</v>
      </c>
      <c r="CO305" s="682"/>
      <c r="CP305" s="682"/>
      <c r="CQ305" s="682"/>
      <c r="CR305" s="682"/>
      <c r="CS305" s="682"/>
      <c r="CT305" s="682"/>
      <c r="CU305" s="682"/>
      <c r="CV305" s="682"/>
      <c r="CW305" s="682"/>
      <c r="CX305" s="683"/>
      <c r="CY305" s="711"/>
      <c r="CZ305" s="677"/>
      <c r="DA305" s="530"/>
      <c r="DB305" s="530"/>
      <c r="DC305" s="530"/>
      <c r="DD305" s="530"/>
      <c r="DE305" s="530"/>
      <c r="DF305" s="530"/>
      <c r="DG305" s="530"/>
      <c r="DH305" s="530"/>
      <c r="DI305" s="530"/>
      <c r="DJ305" s="530"/>
      <c r="DK305" s="530"/>
      <c r="DL305" s="530"/>
      <c r="DM305" s="530"/>
      <c r="DN305" s="530"/>
      <c r="DO305" s="530"/>
      <c r="DP305" s="530"/>
      <c r="DQ305" s="530"/>
      <c r="DR305" s="530"/>
      <c r="DS305" s="530"/>
      <c r="DT305" s="530"/>
      <c r="DU305" s="530"/>
      <c r="DV305" s="530"/>
      <c r="DW305" s="530"/>
      <c r="DX305" s="530"/>
      <c r="DY305" s="530"/>
      <c r="DZ305" s="530"/>
      <c r="EA305" s="530"/>
      <c r="EB305" s="530"/>
      <c r="EC305" s="530"/>
      <c r="ED305" s="530"/>
      <c r="EE305" s="530"/>
      <c r="EF305" s="530"/>
      <c r="EG305" s="530"/>
      <c r="EH305" s="530"/>
      <c r="EI305" s="530"/>
      <c r="EJ305" s="530"/>
      <c r="EK305" s="530"/>
      <c r="EL305" s="530"/>
      <c r="EM305" s="530"/>
      <c r="EN305" s="530"/>
      <c r="EO305" s="530"/>
      <c r="EP305" s="530"/>
      <c r="EQ305" s="530"/>
      <c r="ER305" s="530"/>
      <c r="ES305" s="530"/>
      <c r="ET305" s="530"/>
      <c r="EU305" s="530"/>
      <c r="EV305" s="530"/>
      <c r="EW305" s="530"/>
      <c r="EX305" s="530"/>
      <c r="EY305" s="530"/>
      <c r="EZ305" s="530"/>
      <c r="FA305" s="530"/>
      <c r="FB305" s="530"/>
      <c r="FC305" s="530"/>
      <c r="FD305" s="530"/>
      <c r="FE305" s="530"/>
      <c r="FF305" s="530"/>
      <c r="FG305" s="530"/>
      <c r="FH305" s="530"/>
      <c r="FI305" s="530"/>
      <c r="FJ305" s="530"/>
      <c r="FK305" s="530"/>
      <c r="FL305" s="530"/>
      <c r="FM305" s="530"/>
      <c r="FN305" s="530"/>
      <c r="FO305" s="530"/>
      <c r="FP305" s="530"/>
      <c r="FQ305" s="530"/>
      <c r="FR305" s="530"/>
      <c r="FS305" s="530"/>
      <c r="FT305" s="530"/>
      <c r="FU305" s="530"/>
      <c r="FV305" s="530"/>
      <c r="FW305" s="530"/>
      <c r="FX305" s="530"/>
      <c r="FY305" s="530"/>
      <c r="FZ305" s="530"/>
      <c r="GA305" s="530"/>
      <c r="GB305" s="530"/>
      <c r="GC305" s="530"/>
      <c r="GD305" s="530"/>
      <c r="GE305" s="530"/>
      <c r="GF305" s="530"/>
      <c r="GG305" s="530"/>
      <c r="GH305" s="530"/>
      <c r="GI305" s="530"/>
      <c r="GJ305" s="530"/>
      <c r="GK305" s="530"/>
      <c r="GL305" s="530"/>
      <c r="GM305" s="530"/>
      <c r="GN305" s="530"/>
      <c r="GO305" s="530"/>
      <c r="GP305" s="530"/>
      <c r="GQ305" s="530"/>
      <c r="GR305" s="530"/>
      <c r="GS305" s="530"/>
      <c r="GT305" s="530"/>
      <c r="GU305" s="530"/>
      <c r="GV305" s="530"/>
      <c r="GW305" s="530"/>
      <c r="GX305" s="530"/>
      <c r="GY305" s="530"/>
      <c r="GZ305" s="530"/>
      <c r="HA305" s="530"/>
      <c r="HB305" s="530"/>
      <c r="HC305" s="530"/>
      <c r="HD305" s="530"/>
      <c r="HE305" s="530"/>
      <c r="HF305" s="530"/>
      <c r="HG305" s="530"/>
      <c r="HH305" s="530"/>
      <c r="HI305" s="530"/>
      <c r="HJ305" s="530"/>
      <c r="HK305" s="530"/>
      <c r="HL305" s="530"/>
      <c r="HM305" s="530"/>
      <c r="HN305" s="530"/>
      <c r="HO305" s="530"/>
      <c r="HP305" s="530"/>
      <c r="HQ305" s="530"/>
      <c r="HR305" s="530"/>
      <c r="HS305" s="530"/>
      <c r="HT305" s="530"/>
      <c r="HU305" s="530"/>
      <c r="HV305" s="530"/>
      <c r="HW305" s="530"/>
      <c r="HX305" s="530"/>
      <c r="HY305" s="530"/>
      <c r="HZ305" s="530"/>
    </row>
    <row r="306" spans="1:234" s="717" customFormat="1" ht="13.8" hidden="1">
      <c r="A306" s="659" t="s">
        <v>4040</v>
      </c>
      <c r="B306" s="713"/>
      <c r="C306" s="714">
        <f>SUM(C300:C305)</f>
        <v>180</v>
      </c>
      <c r="D306" s="714">
        <f t="shared" ref="D306:N306" si="164">D305</f>
        <v>180</v>
      </c>
      <c r="E306" s="714">
        <f t="shared" si="164"/>
        <v>0</v>
      </c>
      <c r="F306" s="714">
        <f t="shared" si="164"/>
        <v>0</v>
      </c>
      <c r="G306" s="714">
        <f t="shared" si="164"/>
        <v>0</v>
      </c>
      <c r="H306" s="714">
        <f t="shared" si="164"/>
        <v>0</v>
      </c>
      <c r="I306" s="714">
        <f t="shared" si="164"/>
        <v>0</v>
      </c>
      <c r="J306" s="714">
        <f t="shared" si="164"/>
        <v>0</v>
      </c>
      <c r="K306" s="714">
        <f t="shared" si="164"/>
        <v>0</v>
      </c>
      <c r="L306" s="714">
        <f t="shared" si="164"/>
        <v>0</v>
      </c>
      <c r="M306" s="714">
        <f t="shared" si="164"/>
        <v>0</v>
      </c>
      <c r="N306" s="714">
        <f t="shared" si="164"/>
        <v>180</v>
      </c>
      <c r="O306" s="714"/>
      <c r="P306" s="714">
        <f>SUM(O300:O305)</f>
        <v>0</v>
      </c>
      <c r="Q306" s="714">
        <f>SUM(P300:P305)</f>
        <v>0</v>
      </c>
      <c r="R306" s="714">
        <f>SUM(Q300:Q305)</f>
        <v>0</v>
      </c>
      <c r="S306" s="714">
        <f t="shared" ref="S306:AX306" si="165">SUM(S300:S305)</f>
        <v>6</v>
      </c>
      <c r="T306" s="714">
        <f t="shared" si="165"/>
        <v>0</v>
      </c>
      <c r="U306" s="714">
        <f t="shared" si="165"/>
        <v>0</v>
      </c>
      <c r="V306" s="714">
        <f t="shared" si="165"/>
        <v>0</v>
      </c>
      <c r="W306" s="714">
        <f t="shared" si="165"/>
        <v>0</v>
      </c>
      <c r="X306" s="714">
        <f t="shared" si="165"/>
        <v>0</v>
      </c>
      <c r="Y306" s="714">
        <f t="shared" si="165"/>
        <v>0</v>
      </c>
      <c r="Z306" s="714">
        <f t="shared" si="165"/>
        <v>4</v>
      </c>
      <c r="AA306" s="714">
        <f t="shared" si="165"/>
        <v>0</v>
      </c>
      <c r="AB306" s="714">
        <f t="shared" si="165"/>
        <v>0</v>
      </c>
      <c r="AC306" s="714">
        <f t="shared" si="165"/>
        <v>1</v>
      </c>
      <c r="AD306" s="714">
        <f t="shared" si="165"/>
        <v>0</v>
      </c>
      <c r="AE306" s="714">
        <f t="shared" si="165"/>
        <v>0</v>
      </c>
      <c r="AF306" s="714">
        <f t="shared" si="165"/>
        <v>0</v>
      </c>
      <c r="AG306" s="714">
        <f t="shared" si="165"/>
        <v>0</v>
      </c>
      <c r="AH306" s="714">
        <f t="shared" si="165"/>
        <v>0</v>
      </c>
      <c r="AI306" s="714">
        <f t="shared" si="165"/>
        <v>0</v>
      </c>
      <c r="AJ306" s="714">
        <f t="shared" si="165"/>
        <v>0</v>
      </c>
      <c r="AK306" s="714">
        <f t="shared" si="165"/>
        <v>0</v>
      </c>
      <c r="AL306" s="714">
        <f t="shared" si="165"/>
        <v>0</v>
      </c>
      <c r="AM306" s="714">
        <f t="shared" si="165"/>
        <v>0</v>
      </c>
      <c r="AN306" s="714">
        <f t="shared" si="165"/>
        <v>0</v>
      </c>
      <c r="AO306" s="714">
        <f t="shared" si="165"/>
        <v>0</v>
      </c>
      <c r="AP306" s="714">
        <f t="shared" si="165"/>
        <v>0</v>
      </c>
      <c r="AQ306" s="714">
        <f t="shared" si="165"/>
        <v>0</v>
      </c>
      <c r="AR306" s="714">
        <f t="shared" si="165"/>
        <v>0</v>
      </c>
      <c r="AS306" s="714">
        <f t="shared" si="165"/>
        <v>0</v>
      </c>
      <c r="AT306" s="714">
        <f t="shared" si="165"/>
        <v>0</v>
      </c>
      <c r="AU306" s="714">
        <f t="shared" si="165"/>
        <v>0</v>
      </c>
      <c r="AV306" s="714">
        <f t="shared" si="165"/>
        <v>0</v>
      </c>
      <c r="AW306" s="714">
        <f t="shared" si="165"/>
        <v>1</v>
      </c>
      <c r="AX306" s="714">
        <f t="shared" si="165"/>
        <v>0</v>
      </c>
      <c r="AY306" s="714">
        <f t="shared" ref="AY306:CB306" si="166">SUM(AY300:AY305)</f>
        <v>0</v>
      </c>
      <c r="AZ306" s="714">
        <f t="shared" si="166"/>
        <v>0</v>
      </c>
      <c r="BA306" s="714">
        <f t="shared" si="166"/>
        <v>0</v>
      </c>
      <c r="BB306" s="714">
        <f t="shared" si="166"/>
        <v>0</v>
      </c>
      <c r="BC306" s="714">
        <f t="shared" si="166"/>
        <v>0</v>
      </c>
      <c r="BD306" s="714">
        <f t="shared" si="166"/>
        <v>0</v>
      </c>
      <c r="BE306" s="714">
        <f t="shared" si="166"/>
        <v>0</v>
      </c>
      <c r="BF306" s="714">
        <f t="shared" si="166"/>
        <v>1</v>
      </c>
      <c r="BG306" s="714">
        <f t="shared" si="166"/>
        <v>0</v>
      </c>
      <c r="BH306" s="714">
        <f t="shared" si="166"/>
        <v>0</v>
      </c>
      <c r="BI306" s="714">
        <f t="shared" si="166"/>
        <v>0</v>
      </c>
      <c r="BJ306" s="714">
        <f t="shared" si="166"/>
        <v>0</v>
      </c>
      <c r="BK306" s="714">
        <f t="shared" si="166"/>
        <v>0</v>
      </c>
      <c r="BL306" s="714">
        <f t="shared" si="166"/>
        <v>0</v>
      </c>
      <c r="BM306" s="714">
        <f t="shared" si="166"/>
        <v>0</v>
      </c>
      <c r="BN306" s="714">
        <f t="shared" si="166"/>
        <v>0</v>
      </c>
      <c r="BO306" s="714">
        <f t="shared" si="166"/>
        <v>0</v>
      </c>
      <c r="BP306" s="714">
        <f t="shared" si="166"/>
        <v>0</v>
      </c>
      <c r="BQ306" s="714">
        <f t="shared" si="166"/>
        <v>0</v>
      </c>
      <c r="BR306" s="714">
        <f t="shared" si="166"/>
        <v>1</v>
      </c>
      <c r="BS306" s="714">
        <f t="shared" si="166"/>
        <v>0</v>
      </c>
      <c r="BT306" s="714">
        <f t="shared" si="166"/>
        <v>0</v>
      </c>
      <c r="BU306" s="714">
        <f t="shared" si="166"/>
        <v>0</v>
      </c>
      <c r="BV306" s="714">
        <f t="shared" si="166"/>
        <v>0</v>
      </c>
      <c r="BW306" s="714">
        <f t="shared" si="166"/>
        <v>0</v>
      </c>
      <c r="BX306" s="714">
        <f t="shared" si="166"/>
        <v>0</v>
      </c>
      <c r="BY306" s="714">
        <f t="shared" si="166"/>
        <v>0</v>
      </c>
      <c r="BZ306" s="714">
        <f t="shared" si="166"/>
        <v>0</v>
      </c>
      <c r="CA306" s="714">
        <f t="shared" si="166"/>
        <v>5</v>
      </c>
      <c r="CB306" s="714">
        <f t="shared" si="166"/>
        <v>0</v>
      </c>
      <c r="CC306" s="714">
        <f t="shared" ref="CC306:CN306" si="167">SUM(CC300:CC305)</f>
        <v>0</v>
      </c>
      <c r="CD306" s="714">
        <f t="shared" si="167"/>
        <v>0</v>
      </c>
      <c r="CE306" s="714">
        <f t="shared" si="167"/>
        <v>0</v>
      </c>
      <c r="CF306" s="714">
        <f t="shared" si="167"/>
        <v>0</v>
      </c>
      <c r="CG306" s="714">
        <f t="shared" si="167"/>
        <v>0</v>
      </c>
      <c r="CH306" s="714">
        <f t="shared" si="167"/>
        <v>0</v>
      </c>
      <c r="CI306" s="714">
        <f t="shared" si="167"/>
        <v>0</v>
      </c>
      <c r="CJ306" s="714">
        <f t="shared" si="167"/>
        <v>0</v>
      </c>
      <c r="CK306" s="714">
        <f t="shared" si="167"/>
        <v>0</v>
      </c>
      <c r="CL306" s="714">
        <f t="shared" si="167"/>
        <v>0</v>
      </c>
      <c r="CM306" s="714">
        <f t="shared" si="167"/>
        <v>5</v>
      </c>
      <c r="CN306" s="714">
        <f t="shared" si="167"/>
        <v>18</v>
      </c>
      <c r="CO306" s="714">
        <f t="shared" ref="CO306:CW306" si="168">SUM(CO300:CO305)</f>
        <v>0</v>
      </c>
      <c r="CP306" s="714">
        <f t="shared" si="168"/>
        <v>0</v>
      </c>
      <c r="CQ306" s="714">
        <f t="shared" si="168"/>
        <v>0</v>
      </c>
      <c r="CR306" s="714">
        <f t="shared" si="168"/>
        <v>0</v>
      </c>
      <c r="CS306" s="714">
        <f t="shared" si="168"/>
        <v>0</v>
      </c>
      <c r="CT306" s="714">
        <f t="shared" si="168"/>
        <v>0</v>
      </c>
      <c r="CU306" s="714">
        <f t="shared" si="168"/>
        <v>0</v>
      </c>
      <c r="CV306" s="714">
        <f t="shared" si="168"/>
        <v>0</v>
      </c>
      <c r="CW306" s="714">
        <f t="shared" si="168"/>
        <v>0</v>
      </c>
      <c r="CX306" s="715">
        <v>18</v>
      </c>
      <c r="CY306" s="716"/>
    </row>
    <row r="307" spans="1:234" s="553" customFormat="1" ht="13.8" hidden="1">
      <c r="A307" s="661" t="s">
        <v>4057</v>
      </c>
      <c r="B307" s="719"/>
      <c r="C307" s="696">
        <f t="shared" ref="C307:AH307" si="169">C306+C298+C293+C286+C274+C255+C248</f>
        <v>1924</v>
      </c>
      <c r="D307" s="696">
        <f t="shared" si="169"/>
        <v>1924</v>
      </c>
      <c r="E307" s="696">
        <f t="shared" si="169"/>
        <v>0</v>
      </c>
      <c r="F307" s="696">
        <f t="shared" si="169"/>
        <v>0</v>
      </c>
      <c r="G307" s="696">
        <f t="shared" si="169"/>
        <v>0</v>
      </c>
      <c r="H307" s="696">
        <f t="shared" si="169"/>
        <v>0</v>
      </c>
      <c r="I307" s="696">
        <f t="shared" si="169"/>
        <v>0</v>
      </c>
      <c r="J307" s="696">
        <f t="shared" si="169"/>
        <v>0</v>
      </c>
      <c r="K307" s="696">
        <f t="shared" si="169"/>
        <v>0</v>
      </c>
      <c r="L307" s="696">
        <f t="shared" si="169"/>
        <v>0</v>
      </c>
      <c r="M307" s="696">
        <f t="shared" si="169"/>
        <v>0</v>
      </c>
      <c r="N307" s="696">
        <f t="shared" si="169"/>
        <v>1924</v>
      </c>
      <c r="O307" s="696">
        <f t="shared" si="169"/>
        <v>0</v>
      </c>
      <c r="P307" s="696">
        <f t="shared" si="169"/>
        <v>0</v>
      </c>
      <c r="Q307" s="696">
        <f t="shared" si="169"/>
        <v>0</v>
      </c>
      <c r="R307" s="696">
        <f t="shared" si="169"/>
        <v>0</v>
      </c>
      <c r="S307" s="696">
        <f t="shared" si="169"/>
        <v>59</v>
      </c>
      <c r="T307" s="696">
        <f t="shared" si="169"/>
        <v>0</v>
      </c>
      <c r="U307" s="696">
        <f t="shared" si="169"/>
        <v>0</v>
      </c>
      <c r="V307" s="696">
        <f t="shared" si="169"/>
        <v>0</v>
      </c>
      <c r="W307" s="696">
        <f t="shared" si="169"/>
        <v>0</v>
      </c>
      <c r="X307" s="696">
        <f t="shared" si="169"/>
        <v>0</v>
      </c>
      <c r="Y307" s="696">
        <f t="shared" si="169"/>
        <v>0</v>
      </c>
      <c r="Z307" s="696">
        <f t="shared" si="169"/>
        <v>49</v>
      </c>
      <c r="AA307" s="696">
        <f t="shared" si="169"/>
        <v>0</v>
      </c>
      <c r="AB307" s="696">
        <f t="shared" si="169"/>
        <v>4</v>
      </c>
      <c r="AC307" s="696">
        <f t="shared" si="169"/>
        <v>5</v>
      </c>
      <c r="AD307" s="696">
        <f t="shared" si="169"/>
        <v>0</v>
      </c>
      <c r="AE307" s="696">
        <f t="shared" si="169"/>
        <v>0</v>
      </c>
      <c r="AF307" s="696">
        <f t="shared" si="169"/>
        <v>0</v>
      </c>
      <c r="AG307" s="696">
        <f t="shared" si="169"/>
        <v>0</v>
      </c>
      <c r="AH307" s="696">
        <f t="shared" si="169"/>
        <v>0</v>
      </c>
      <c r="AI307" s="696">
        <f t="shared" ref="AI307:BN307" si="170">AI306+AI298+AI293+AI286+AI274+AI255+AI248</f>
        <v>0</v>
      </c>
      <c r="AJ307" s="696">
        <f t="shared" si="170"/>
        <v>0</v>
      </c>
      <c r="AK307" s="696">
        <f t="shared" si="170"/>
        <v>0</v>
      </c>
      <c r="AL307" s="696">
        <f t="shared" si="170"/>
        <v>0</v>
      </c>
      <c r="AM307" s="696">
        <f t="shared" si="170"/>
        <v>0</v>
      </c>
      <c r="AN307" s="696">
        <f t="shared" si="170"/>
        <v>0</v>
      </c>
      <c r="AO307" s="696">
        <f t="shared" si="170"/>
        <v>0</v>
      </c>
      <c r="AP307" s="696">
        <f t="shared" si="170"/>
        <v>0</v>
      </c>
      <c r="AQ307" s="696">
        <f t="shared" si="170"/>
        <v>0</v>
      </c>
      <c r="AR307" s="696">
        <f t="shared" si="170"/>
        <v>0</v>
      </c>
      <c r="AS307" s="696">
        <f t="shared" si="170"/>
        <v>0</v>
      </c>
      <c r="AT307" s="696">
        <f t="shared" si="170"/>
        <v>0</v>
      </c>
      <c r="AU307" s="696">
        <f t="shared" si="170"/>
        <v>0</v>
      </c>
      <c r="AV307" s="696">
        <f t="shared" si="170"/>
        <v>0</v>
      </c>
      <c r="AW307" s="696">
        <f t="shared" si="170"/>
        <v>15</v>
      </c>
      <c r="AX307" s="696">
        <f t="shared" si="170"/>
        <v>12</v>
      </c>
      <c r="AY307" s="696">
        <f t="shared" si="170"/>
        <v>0</v>
      </c>
      <c r="AZ307" s="696">
        <f t="shared" si="170"/>
        <v>0</v>
      </c>
      <c r="BA307" s="696">
        <f t="shared" si="170"/>
        <v>0</v>
      </c>
      <c r="BB307" s="696">
        <f t="shared" si="170"/>
        <v>0</v>
      </c>
      <c r="BC307" s="696">
        <f t="shared" si="170"/>
        <v>0</v>
      </c>
      <c r="BD307" s="696">
        <f t="shared" si="170"/>
        <v>0</v>
      </c>
      <c r="BE307" s="696">
        <f t="shared" si="170"/>
        <v>0</v>
      </c>
      <c r="BF307" s="696">
        <f t="shared" si="170"/>
        <v>15</v>
      </c>
      <c r="BG307" s="696">
        <f t="shared" si="170"/>
        <v>12</v>
      </c>
      <c r="BH307" s="696">
        <f t="shared" si="170"/>
        <v>0</v>
      </c>
      <c r="BI307" s="696">
        <f t="shared" si="170"/>
        <v>0</v>
      </c>
      <c r="BJ307" s="696">
        <f t="shared" si="170"/>
        <v>0</v>
      </c>
      <c r="BK307" s="696">
        <f t="shared" si="170"/>
        <v>0</v>
      </c>
      <c r="BL307" s="696">
        <f t="shared" si="170"/>
        <v>0</v>
      </c>
      <c r="BM307" s="696">
        <f t="shared" si="170"/>
        <v>0</v>
      </c>
      <c r="BN307" s="696">
        <f t="shared" si="170"/>
        <v>0</v>
      </c>
      <c r="BO307" s="696">
        <f t="shared" ref="BO307:CK307" si="171">BO306+BO298+BO293+BO286+BO274+BO255+BO248</f>
        <v>0</v>
      </c>
      <c r="BP307" s="696">
        <f t="shared" si="171"/>
        <v>0</v>
      </c>
      <c r="BQ307" s="696">
        <f t="shared" si="171"/>
        <v>0</v>
      </c>
      <c r="BR307" s="696">
        <f t="shared" si="171"/>
        <v>16</v>
      </c>
      <c r="BS307" s="696">
        <f t="shared" si="171"/>
        <v>0</v>
      </c>
      <c r="BT307" s="696">
        <f t="shared" si="171"/>
        <v>0</v>
      </c>
      <c r="BU307" s="696">
        <f t="shared" si="171"/>
        <v>0</v>
      </c>
      <c r="BV307" s="696">
        <f t="shared" si="171"/>
        <v>0</v>
      </c>
      <c r="BW307" s="696">
        <f t="shared" si="171"/>
        <v>0</v>
      </c>
      <c r="BX307" s="696">
        <f t="shared" si="171"/>
        <v>0</v>
      </c>
      <c r="BY307" s="696">
        <f t="shared" si="171"/>
        <v>0</v>
      </c>
      <c r="BZ307" s="696">
        <f t="shared" si="171"/>
        <v>0</v>
      </c>
      <c r="CA307" s="696">
        <f t="shared" si="171"/>
        <v>54</v>
      </c>
      <c r="CB307" s="696">
        <f t="shared" si="171"/>
        <v>0</v>
      </c>
      <c r="CC307" s="696">
        <f t="shared" si="171"/>
        <v>0</v>
      </c>
      <c r="CD307" s="696">
        <f t="shared" si="171"/>
        <v>0</v>
      </c>
      <c r="CE307" s="696">
        <f t="shared" si="171"/>
        <v>0</v>
      </c>
      <c r="CF307" s="696">
        <f t="shared" si="171"/>
        <v>0</v>
      </c>
      <c r="CG307" s="696">
        <f t="shared" si="171"/>
        <v>0</v>
      </c>
      <c r="CH307" s="696">
        <f t="shared" si="171"/>
        <v>0</v>
      </c>
      <c r="CI307" s="696">
        <f t="shared" si="171"/>
        <v>0</v>
      </c>
      <c r="CJ307" s="696">
        <f t="shared" si="171"/>
        <v>0</v>
      </c>
      <c r="CK307" s="696">
        <f t="shared" si="171"/>
        <v>0</v>
      </c>
      <c r="CL307" s="696">
        <f t="shared" ref="CL307:CX307" si="172">CL306+CL298+CL293+CL286+CL274+CL255+CL248</f>
        <v>0</v>
      </c>
      <c r="CM307" s="696">
        <f t="shared" si="172"/>
        <v>54</v>
      </c>
      <c r="CN307" s="696">
        <f t="shared" si="172"/>
        <v>194.40000000000003</v>
      </c>
      <c r="CO307" s="696">
        <f t="shared" si="172"/>
        <v>0</v>
      </c>
      <c r="CP307" s="696">
        <f t="shared" si="172"/>
        <v>0</v>
      </c>
      <c r="CQ307" s="696">
        <f t="shared" si="172"/>
        <v>0</v>
      </c>
      <c r="CR307" s="696">
        <f t="shared" si="172"/>
        <v>17</v>
      </c>
      <c r="CS307" s="696">
        <f t="shared" si="172"/>
        <v>0</v>
      </c>
      <c r="CT307" s="696">
        <f t="shared" si="172"/>
        <v>0</v>
      </c>
      <c r="CU307" s="696">
        <f t="shared" si="172"/>
        <v>0</v>
      </c>
      <c r="CV307" s="696">
        <f t="shared" si="172"/>
        <v>0</v>
      </c>
      <c r="CW307" s="696">
        <f t="shared" si="172"/>
        <v>0</v>
      </c>
      <c r="CX307" s="696">
        <f t="shared" si="172"/>
        <v>111</v>
      </c>
      <c r="CY307" s="698"/>
      <c r="HU307" s="530"/>
      <c r="HV307" s="530"/>
      <c r="HW307" s="530"/>
      <c r="HX307" s="530"/>
      <c r="HY307" s="530"/>
      <c r="HZ307" s="530"/>
    </row>
    <row r="308" spans="1:234" ht="13.8" hidden="1">
      <c r="A308" s="699"/>
      <c r="B308" s="700"/>
      <c r="C308" s="701"/>
      <c r="D308" s="701"/>
      <c r="E308" s="701"/>
      <c r="F308" s="701"/>
      <c r="G308" s="701"/>
      <c r="H308" s="701"/>
      <c r="I308" s="701"/>
      <c r="J308" s="701"/>
      <c r="K308" s="701"/>
      <c r="L308" s="701"/>
      <c r="M308" s="701"/>
      <c r="N308" s="701"/>
      <c r="O308" s="701"/>
      <c r="P308" s="701"/>
      <c r="Q308" s="701"/>
      <c r="R308" s="701"/>
      <c r="S308" s="701"/>
      <c r="T308" s="701"/>
      <c r="U308" s="701"/>
      <c r="V308" s="701"/>
      <c r="W308" s="701"/>
      <c r="X308" s="701"/>
      <c r="Y308" s="701"/>
      <c r="Z308" s="701"/>
      <c r="AA308" s="701"/>
      <c r="AB308" s="701"/>
      <c r="AC308" s="701"/>
      <c r="AD308" s="701"/>
      <c r="AE308" s="701"/>
      <c r="AF308" s="701"/>
      <c r="AG308" s="701"/>
      <c r="AH308" s="701"/>
      <c r="AI308" s="701"/>
      <c r="AJ308" s="701"/>
      <c r="AK308" s="701"/>
      <c r="AL308" s="701"/>
      <c r="AM308" s="701"/>
      <c r="AN308" s="701"/>
      <c r="AO308" s="701"/>
      <c r="AP308" s="701"/>
      <c r="AQ308" s="701"/>
      <c r="AR308" s="701"/>
      <c r="AS308" s="701"/>
      <c r="AT308" s="701"/>
      <c r="AU308" s="701"/>
      <c r="AV308" s="701"/>
      <c r="AW308" s="701"/>
      <c r="AX308" s="701"/>
      <c r="AY308" s="701"/>
      <c r="AZ308" s="701"/>
      <c r="BA308" s="701"/>
      <c r="BB308" s="701"/>
      <c r="BC308" s="701"/>
      <c r="BD308" s="701"/>
      <c r="BE308" s="701"/>
      <c r="BF308" s="701"/>
      <c r="BG308" s="701"/>
      <c r="BH308" s="701"/>
      <c r="BI308" s="701"/>
      <c r="BJ308" s="701"/>
      <c r="BK308" s="701"/>
      <c r="BL308" s="701"/>
      <c r="BM308" s="701"/>
      <c r="BN308" s="701"/>
      <c r="BO308" s="701"/>
      <c r="BP308" s="701"/>
      <c r="BQ308" s="701"/>
      <c r="BR308" s="701"/>
      <c r="BS308" s="701"/>
      <c r="BT308" s="701"/>
      <c r="BU308" s="701"/>
      <c r="BV308" s="701"/>
      <c r="BW308" s="701"/>
      <c r="BX308" s="701"/>
      <c r="BY308" s="701"/>
      <c r="BZ308" s="701"/>
      <c r="CA308" s="701"/>
      <c r="CB308" s="701"/>
      <c r="CC308" s="701"/>
      <c r="CD308" s="701"/>
      <c r="CE308" s="701"/>
      <c r="CF308" s="701"/>
      <c r="CG308" s="701"/>
      <c r="CH308" s="701"/>
      <c r="CI308" s="701"/>
      <c r="CJ308" s="701"/>
      <c r="CK308" s="701"/>
      <c r="CL308" s="701"/>
      <c r="CM308" s="701"/>
      <c r="CN308" s="701"/>
      <c r="CO308" s="701"/>
      <c r="CP308" s="701"/>
      <c r="CQ308" s="701"/>
      <c r="CR308" s="701"/>
      <c r="CS308" s="701"/>
      <c r="CT308" s="701"/>
      <c r="CU308" s="701"/>
      <c r="CV308" s="701"/>
      <c r="CW308" s="701"/>
      <c r="CX308" s="701"/>
      <c r="CY308" s="698"/>
    </row>
    <row r="309" spans="1:234" ht="13.8">
      <c r="A309" s="720"/>
      <c r="B309" s="721"/>
      <c r="C309" s="722"/>
      <c r="D309" s="723"/>
      <c r="E309" s="723"/>
      <c r="F309" s="723"/>
      <c r="G309" s="723"/>
      <c r="H309" s="723"/>
      <c r="I309" s="723"/>
      <c r="J309" s="723"/>
      <c r="K309" s="723"/>
      <c r="L309" s="723"/>
      <c r="M309" s="723"/>
      <c r="N309" s="723"/>
      <c r="O309" s="723"/>
      <c r="P309" s="723"/>
      <c r="Q309" s="723"/>
      <c r="R309" s="723"/>
      <c r="S309" s="723"/>
      <c r="T309" s="723"/>
      <c r="U309" s="723"/>
      <c r="V309" s="723"/>
      <c r="W309" s="723"/>
      <c r="X309" s="723"/>
      <c r="Y309" s="723"/>
      <c r="Z309" s="723"/>
      <c r="AA309" s="723"/>
      <c r="AB309" s="723"/>
      <c r="AC309" s="723"/>
      <c r="AD309" s="723"/>
      <c r="AE309" s="723"/>
      <c r="AF309" s="723"/>
      <c r="AG309" s="723"/>
      <c r="AH309" s="723"/>
      <c r="AI309" s="723"/>
      <c r="AJ309" s="723"/>
      <c r="AK309" s="723"/>
      <c r="AL309" s="723"/>
      <c r="AM309" s="723"/>
      <c r="AN309" s="723"/>
      <c r="AO309" s="723"/>
      <c r="AP309" s="723"/>
      <c r="AQ309" s="723"/>
      <c r="AR309" s="723"/>
      <c r="AS309" s="723"/>
      <c r="AT309" s="723"/>
      <c r="AU309" s="723"/>
      <c r="AV309" s="723"/>
      <c r="AW309" s="723"/>
      <c r="AX309" s="723"/>
      <c r="AY309" s="723"/>
      <c r="AZ309" s="723"/>
      <c r="BA309" s="723"/>
      <c r="BB309" s="723"/>
      <c r="BC309" s="723"/>
      <c r="BD309" s="723"/>
      <c r="BE309" s="723"/>
      <c r="BF309" s="723"/>
      <c r="BG309" s="723"/>
      <c r="BH309" s="723"/>
      <c r="BI309" s="723"/>
      <c r="BJ309" s="723"/>
      <c r="BK309" s="723"/>
      <c r="BL309" s="723"/>
      <c r="BM309" s="723"/>
      <c r="BN309" s="723"/>
      <c r="BO309" s="723"/>
      <c r="BP309" s="723"/>
      <c r="BQ309" s="723"/>
      <c r="BR309" s="723"/>
      <c r="BS309" s="723"/>
      <c r="BT309" s="723"/>
      <c r="BU309" s="723"/>
      <c r="BV309" s="723"/>
      <c r="BW309" s="723"/>
      <c r="BX309" s="723"/>
      <c r="BY309" s="723"/>
      <c r="BZ309" s="723"/>
      <c r="CA309" s="723"/>
      <c r="CB309" s="723"/>
      <c r="CC309" s="723"/>
      <c r="CD309" s="723"/>
      <c r="CE309" s="723"/>
      <c r="CF309" s="723"/>
      <c r="CG309" s="723"/>
      <c r="CH309" s="723"/>
      <c r="CI309" s="723"/>
      <c r="CJ309" s="723"/>
      <c r="CK309" s="723"/>
      <c r="CL309" s="723"/>
      <c r="CM309" s="723"/>
      <c r="CN309" s="723"/>
      <c r="CO309" s="723"/>
      <c r="CP309" s="723"/>
      <c r="CQ309" s="723"/>
      <c r="CR309" s="723"/>
      <c r="CS309" s="723"/>
      <c r="CT309" s="723"/>
      <c r="CU309" s="723"/>
      <c r="CV309" s="723"/>
      <c r="CW309" s="723"/>
      <c r="CX309" s="723"/>
      <c r="CY309" s="557"/>
    </row>
    <row r="310" spans="1:234" ht="13.8">
      <c r="A310" s="724"/>
      <c r="B310" s="725"/>
      <c r="C310" s="726"/>
      <c r="D310" s="726"/>
      <c r="E310" s="726"/>
      <c r="F310" s="726"/>
      <c r="G310" s="726"/>
      <c r="H310" s="726"/>
      <c r="I310" s="726"/>
      <c r="J310" s="726"/>
      <c r="K310" s="726"/>
      <c r="L310" s="726"/>
      <c r="M310" s="726"/>
      <c r="N310" s="726"/>
      <c r="O310" s="726"/>
      <c r="P310" s="726"/>
      <c r="Q310" s="727"/>
      <c r="R310" s="727"/>
      <c r="S310" s="727"/>
      <c r="T310" s="727"/>
      <c r="U310" s="727"/>
      <c r="V310" s="727"/>
      <c r="W310" s="727"/>
      <c r="X310" s="727"/>
      <c r="Y310" s="727"/>
      <c r="Z310" s="727"/>
      <c r="AA310" s="727"/>
      <c r="AB310" s="727"/>
      <c r="AC310" s="727"/>
      <c r="AD310" s="727"/>
      <c r="AE310" s="727"/>
      <c r="AF310" s="727"/>
      <c r="AG310" s="727"/>
      <c r="AH310" s="727"/>
      <c r="AI310" s="727"/>
      <c r="AJ310" s="727"/>
      <c r="AK310" s="727"/>
      <c r="AL310" s="727"/>
      <c r="AM310" s="727"/>
      <c r="AN310" s="727"/>
      <c r="AO310" s="727"/>
      <c r="AP310" s="727"/>
      <c r="AQ310" s="727"/>
      <c r="AR310" s="727"/>
      <c r="AS310" s="727"/>
      <c r="AT310" s="727"/>
      <c r="AU310" s="727"/>
      <c r="AV310" s="727"/>
      <c r="AW310" s="727"/>
      <c r="AX310" s="727"/>
      <c r="AY310" s="727"/>
      <c r="AZ310" s="727"/>
      <c r="BA310" s="727"/>
      <c r="BB310" s="727"/>
      <c r="BC310" s="727"/>
      <c r="BD310" s="727"/>
      <c r="BE310" s="727"/>
      <c r="BF310" s="727"/>
      <c r="BG310" s="727"/>
      <c r="BH310" s="727"/>
      <c r="BI310" s="727"/>
      <c r="BJ310" s="727"/>
      <c r="BK310" s="727"/>
      <c r="BL310" s="727"/>
      <c r="BM310" s="727"/>
      <c r="BN310" s="727"/>
      <c r="BO310" s="727"/>
      <c r="BP310" s="727"/>
      <c r="BQ310" s="727"/>
      <c r="BR310" s="727"/>
      <c r="BS310" s="727"/>
      <c r="BT310" s="727"/>
      <c r="BU310" s="727"/>
      <c r="BV310" s="727"/>
      <c r="BW310" s="727"/>
      <c r="BX310" s="727"/>
      <c r="BY310" s="727"/>
      <c r="BZ310" s="727"/>
      <c r="CA310" s="727"/>
      <c r="CB310" s="727"/>
      <c r="CC310" s="727"/>
      <c r="CD310" s="727"/>
      <c r="CE310" s="727"/>
      <c r="CF310" s="727"/>
      <c r="CG310" s="727"/>
      <c r="CH310" s="727"/>
      <c r="CI310" s="727"/>
      <c r="CJ310" s="727"/>
      <c r="CK310" s="727"/>
      <c r="CL310" s="727"/>
      <c r="CM310" s="727"/>
      <c r="CN310" s="727"/>
      <c r="CO310" s="727"/>
      <c r="CP310" s="727"/>
      <c r="CQ310" s="727"/>
      <c r="CR310" s="727"/>
      <c r="CS310" s="727"/>
      <c r="CT310" s="727"/>
      <c r="CU310" s="727"/>
      <c r="CV310" s="727"/>
      <c r="CW310" s="727"/>
      <c r="CX310" s="727"/>
      <c r="CY310" s="728"/>
    </row>
    <row r="311" spans="1:234" s="590" customFormat="1" ht="13.8">
      <c r="A311" s="729"/>
      <c r="B311" s="730"/>
      <c r="C311" s="731"/>
      <c r="D311" s="732"/>
      <c r="E311" s="732"/>
      <c r="F311" s="732"/>
      <c r="G311" s="732"/>
      <c r="H311" s="732"/>
      <c r="I311" s="732"/>
      <c r="J311" s="732"/>
      <c r="K311" s="732"/>
      <c r="L311" s="732"/>
      <c r="M311" s="732"/>
      <c r="N311" s="732"/>
      <c r="O311" s="730"/>
      <c r="P311" s="730"/>
      <c r="Q311" s="730"/>
      <c r="R311" s="733"/>
      <c r="S311" s="733"/>
      <c r="T311" s="733"/>
      <c r="U311" s="733"/>
      <c r="V311" s="734"/>
      <c r="W311" s="734"/>
      <c r="X311" s="734"/>
      <c r="Y311" s="734"/>
      <c r="Z311" s="734"/>
      <c r="AA311" s="734"/>
      <c r="AB311" s="734"/>
      <c r="AC311" s="734"/>
      <c r="AD311" s="734"/>
      <c r="AE311" s="734"/>
      <c r="AF311" s="734"/>
      <c r="AG311" s="734"/>
      <c r="AH311" s="734"/>
      <c r="AI311" s="734"/>
      <c r="AJ311" s="734"/>
      <c r="AK311" s="734"/>
      <c r="AL311" s="734"/>
      <c r="AM311" s="734"/>
      <c r="AN311" s="734"/>
      <c r="AO311" s="734"/>
      <c r="AP311" s="734"/>
      <c r="AQ311" s="734"/>
      <c r="AR311" s="734"/>
      <c r="AS311" s="734"/>
      <c r="AT311" s="734"/>
      <c r="AU311" s="734"/>
      <c r="AV311" s="734"/>
      <c r="AW311" s="734"/>
      <c r="AX311" s="734"/>
      <c r="AY311" s="734"/>
      <c r="AZ311" s="734"/>
      <c r="BA311" s="734"/>
      <c r="BB311" s="734"/>
      <c r="BC311" s="734"/>
      <c r="BD311" s="734"/>
      <c r="BE311" s="734"/>
      <c r="BF311" s="734"/>
      <c r="BG311" s="734"/>
      <c r="BH311" s="734"/>
      <c r="BI311" s="734"/>
      <c r="BJ311" s="734"/>
      <c r="BK311" s="734"/>
      <c r="BL311" s="734"/>
      <c r="BM311" s="734"/>
      <c r="BN311" s="734"/>
      <c r="BO311" s="734"/>
      <c r="BP311" s="734"/>
      <c r="BQ311" s="734"/>
      <c r="BR311" s="734"/>
      <c r="BS311" s="734"/>
      <c r="BT311" s="734"/>
      <c r="BU311" s="734"/>
      <c r="BV311" s="733"/>
      <c r="BW311" s="733"/>
      <c r="BX311" s="733"/>
      <c r="BY311" s="733"/>
      <c r="BZ311" s="733"/>
      <c r="CA311" s="733"/>
      <c r="CB311" s="733"/>
      <c r="CC311" s="733"/>
      <c r="CD311" s="733"/>
      <c r="CE311" s="733"/>
      <c r="CF311" s="733"/>
      <c r="CG311" s="733"/>
      <c r="CH311" s="733"/>
      <c r="CI311" s="733"/>
      <c r="CJ311" s="733"/>
      <c r="CK311" s="733"/>
      <c r="CL311" s="733"/>
      <c r="CM311" s="733"/>
      <c r="CN311" s="733"/>
      <c r="CO311" s="733"/>
      <c r="CP311" s="733"/>
      <c r="CQ311" s="733"/>
      <c r="CR311" s="733"/>
      <c r="CS311" s="733"/>
      <c r="CT311" s="733"/>
      <c r="CU311" s="733"/>
      <c r="CV311" s="733"/>
      <c r="CW311" s="733"/>
      <c r="CX311" s="733"/>
      <c r="CY311" s="705"/>
      <c r="HU311" s="530"/>
      <c r="HV311" s="530"/>
      <c r="HW311" s="530"/>
      <c r="HX311" s="530"/>
      <c r="HY311" s="530"/>
      <c r="HZ311" s="530"/>
    </row>
    <row r="312" spans="1:234" ht="18.75" hidden="1" customHeight="1">
      <c r="A312" s="662" t="s">
        <v>4058</v>
      </c>
      <c r="B312" s="735"/>
      <c r="C312" s="736"/>
      <c r="D312" s="737"/>
      <c r="E312" s="737"/>
      <c r="F312" s="737"/>
      <c r="G312" s="737"/>
      <c r="H312" s="737"/>
      <c r="I312" s="737"/>
      <c r="J312" s="737"/>
      <c r="K312" s="738"/>
      <c r="L312" s="738"/>
      <c r="M312" s="738"/>
      <c r="N312" s="738"/>
      <c r="O312" s="738"/>
      <c r="P312" s="738"/>
      <c r="Q312" s="738"/>
      <c r="R312" s="739"/>
      <c r="S312" s="739"/>
      <c r="T312" s="739"/>
      <c r="U312" s="739"/>
      <c r="V312" s="739"/>
      <c r="W312" s="739"/>
      <c r="X312" s="739"/>
      <c r="Y312" s="739"/>
      <c r="Z312" s="739"/>
      <c r="AA312" s="739"/>
      <c r="AB312" s="739"/>
      <c r="AC312" s="739"/>
      <c r="AD312" s="739"/>
      <c r="AE312" s="739"/>
      <c r="AF312" s="739"/>
      <c r="AG312" s="739"/>
      <c r="AH312" s="739"/>
      <c r="AI312" s="739"/>
      <c r="AJ312" s="739"/>
      <c r="AK312" s="739"/>
      <c r="AL312" s="739"/>
      <c r="AM312" s="739"/>
      <c r="AN312" s="739"/>
      <c r="AO312" s="739"/>
      <c r="AP312" s="739"/>
      <c r="AQ312" s="739"/>
      <c r="AR312" s="739"/>
      <c r="AS312" s="739"/>
      <c r="AT312" s="739"/>
      <c r="AU312" s="739"/>
      <c r="AV312" s="739"/>
      <c r="AW312" s="739"/>
      <c r="AX312" s="739"/>
      <c r="AY312" s="739"/>
      <c r="AZ312" s="739"/>
      <c r="BA312" s="739"/>
      <c r="BB312" s="739"/>
      <c r="BC312" s="739"/>
      <c r="BD312" s="739"/>
      <c r="BE312" s="739"/>
      <c r="BF312" s="739"/>
      <c r="BG312" s="739"/>
      <c r="BH312" s="739"/>
      <c r="BI312" s="739"/>
      <c r="BJ312" s="739"/>
      <c r="BK312" s="739"/>
      <c r="BL312" s="739"/>
      <c r="BM312" s="739"/>
      <c r="BN312" s="739"/>
      <c r="BO312" s="739"/>
      <c r="BP312" s="739"/>
      <c r="BQ312" s="739"/>
      <c r="BR312" s="739"/>
      <c r="BS312" s="739"/>
      <c r="BT312" s="739"/>
      <c r="BU312" s="739"/>
      <c r="BV312" s="739"/>
      <c r="BW312" s="739"/>
      <c r="BX312" s="739"/>
      <c r="BY312" s="739"/>
      <c r="BZ312" s="739"/>
      <c r="CA312" s="739"/>
      <c r="CB312" s="739"/>
      <c r="CC312" s="739"/>
      <c r="CD312" s="739"/>
      <c r="CE312" s="739"/>
      <c r="CF312" s="739"/>
      <c r="CG312" s="739"/>
      <c r="CH312" s="739"/>
      <c r="CI312" s="739"/>
      <c r="CJ312" s="739"/>
      <c r="CK312" s="739"/>
      <c r="CL312" s="739"/>
      <c r="CM312" s="739"/>
      <c r="CN312" s="739"/>
      <c r="CO312" s="739"/>
      <c r="CP312" s="739"/>
      <c r="CQ312" s="739"/>
      <c r="CR312" s="739"/>
      <c r="CS312" s="739"/>
      <c r="CT312" s="739"/>
      <c r="CU312" s="739"/>
      <c r="CV312" s="739"/>
      <c r="CW312" s="738"/>
      <c r="CX312" s="738"/>
      <c r="CY312" s="740"/>
    </row>
    <row r="313" spans="1:234" ht="17.25" hidden="1" customHeight="1">
      <c r="A313" s="628"/>
      <c r="B313" s="620"/>
      <c r="C313" s="620"/>
      <c r="D313" s="620"/>
      <c r="E313" s="620"/>
      <c r="F313" s="620"/>
      <c r="G313" s="620"/>
      <c r="H313" s="620"/>
      <c r="I313" s="620"/>
      <c r="J313" s="620"/>
      <c r="K313" s="620"/>
      <c r="L313" s="620"/>
      <c r="M313" s="620"/>
      <c r="N313" s="620"/>
      <c r="O313" s="599"/>
      <c r="P313" s="599"/>
      <c r="Q313" s="599"/>
      <c r="R313" s="620"/>
      <c r="S313" s="620"/>
      <c r="T313" s="620"/>
      <c r="U313" s="620"/>
      <c r="V313" s="599"/>
      <c r="W313" s="599"/>
      <c r="X313" s="599"/>
      <c r="Y313" s="599"/>
      <c r="Z313" s="599"/>
      <c r="AA313" s="599"/>
      <c r="AB313" s="599"/>
      <c r="AC313" s="599"/>
      <c r="AD313" s="599"/>
      <c r="AE313" s="599"/>
      <c r="AF313" s="599"/>
      <c r="AG313" s="599"/>
      <c r="AH313" s="599"/>
      <c r="AI313" s="599"/>
      <c r="AJ313" s="599"/>
      <c r="AK313" s="599"/>
      <c r="AL313" s="599"/>
      <c r="AM313" s="599"/>
      <c r="AN313" s="599"/>
      <c r="AO313" s="599"/>
      <c r="AP313" s="599"/>
      <c r="AQ313" s="599"/>
      <c r="AR313" s="599"/>
      <c r="AS313" s="599"/>
      <c r="AT313" s="599"/>
      <c r="AU313" s="599"/>
      <c r="AV313" s="599"/>
      <c r="AW313" s="599"/>
      <c r="AX313" s="599"/>
      <c r="AY313" s="599"/>
      <c r="AZ313" s="599"/>
      <c r="BA313" s="599"/>
      <c r="BB313" s="599"/>
      <c r="BC313" s="599"/>
      <c r="BD313" s="599"/>
      <c r="BE313" s="599"/>
      <c r="BF313" s="599"/>
      <c r="BG313" s="599"/>
      <c r="BH313" s="599"/>
      <c r="BI313" s="599"/>
      <c r="BJ313" s="599"/>
      <c r="BK313" s="599"/>
      <c r="BL313" s="599"/>
      <c r="BM313" s="599"/>
      <c r="BN313" s="599"/>
      <c r="BO313" s="599"/>
      <c r="BP313" s="629"/>
      <c r="BQ313" s="629"/>
      <c r="BR313" s="629"/>
      <c r="BS313" s="629"/>
      <c r="BT313" s="629"/>
      <c r="BU313" s="629"/>
      <c r="BV313" s="620"/>
      <c r="BW313" s="620"/>
      <c r="BX313" s="620"/>
      <c r="BY313" s="620"/>
      <c r="BZ313" s="620"/>
      <c r="CA313" s="620"/>
      <c r="CB313" s="620"/>
      <c r="CC313" s="620"/>
      <c r="CD313" s="620"/>
      <c r="CE313" s="620"/>
      <c r="CF313" s="620"/>
      <c r="CG313" s="620"/>
      <c r="CH313" s="620"/>
      <c r="CI313" s="620"/>
      <c r="CJ313" s="620"/>
      <c r="CK313" s="620"/>
      <c r="CL313" s="620"/>
      <c r="CM313" s="620"/>
      <c r="CN313" s="620"/>
      <c r="CO313" s="620"/>
      <c r="CP313" s="620"/>
      <c r="CQ313" s="620"/>
      <c r="CR313" s="620"/>
      <c r="CS313" s="620"/>
      <c r="CT313" s="620"/>
      <c r="CU313" s="620"/>
      <c r="CV313" s="620"/>
      <c r="CW313" s="620"/>
      <c r="CX313" s="620"/>
      <c r="CY313" s="557"/>
    </row>
    <row r="314" spans="1:234" s="553" customFormat="1" ht="18.899999999999999" customHeight="1" thickBot="1">
      <c r="A314" s="741"/>
      <c r="B314" s="742"/>
      <c r="C314" s="743"/>
      <c r="D314" s="743"/>
      <c r="E314" s="743"/>
      <c r="F314" s="743"/>
      <c r="G314" s="743"/>
      <c r="H314" s="743"/>
      <c r="I314" s="743"/>
      <c r="J314" s="743"/>
      <c r="K314" s="743"/>
      <c r="L314" s="743"/>
      <c r="M314" s="743"/>
      <c r="N314" s="743"/>
      <c r="O314" s="743"/>
      <c r="P314" s="743"/>
      <c r="Q314" s="743"/>
      <c r="R314" s="743"/>
      <c r="S314" s="743"/>
      <c r="T314" s="743"/>
      <c r="U314" s="743"/>
      <c r="V314" s="743"/>
      <c r="W314" s="743"/>
      <c r="X314" s="743"/>
      <c r="Y314" s="743"/>
      <c r="Z314" s="743"/>
      <c r="AA314" s="743"/>
      <c r="AB314" s="743"/>
      <c r="AC314" s="743"/>
      <c r="AD314" s="743"/>
      <c r="AE314" s="743"/>
      <c r="AF314" s="743"/>
      <c r="AG314" s="743"/>
      <c r="AH314" s="743"/>
      <c r="AI314" s="743"/>
      <c r="AJ314" s="743"/>
      <c r="AK314" s="743"/>
      <c r="AL314" s="743"/>
      <c r="AM314" s="743"/>
      <c r="AN314" s="743"/>
      <c r="AO314" s="743"/>
      <c r="AP314" s="743"/>
      <c r="AQ314" s="743"/>
      <c r="AR314" s="743"/>
      <c r="AS314" s="743"/>
      <c r="AT314" s="743"/>
      <c r="AU314" s="743"/>
      <c r="AV314" s="743"/>
      <c r="AW314" s="743"/>
      <c r="AX314" s="743"/>
      <c r="AY314" s="743"/>
      <c r="AZ314" s="743"/>
      <c r="BA314" s="743"/>
      <c r="BB314" s="743"/>
      <c r="BC314" s="743"/>
      <c r="BD314" s="743"/>
      <c r="BE314" s="743"/>
      <c r="BF314" s="743"/>
      <c r="BG314" s="743"/>
      <c r="BH314" s="743"/>
      <c r="BI314" s="743"/>
      <c r="BJ314" s="743"/>
      <c r="BK314" s="743"/>
      <c r="BL314" s="743"/>
      <c r="BM314" s="743"/>
      <c r="BN314" s="743"/>
      <c r="BO314" s="743"/>
      <c r="BP314" s="743"/>
      <c r="BQ314" s="743"/>
      <c r="BR314" s="743"/>
      <c r="BS314" s="743"/>
      <c r="BT314" s="743"/>
      <c r="BU314" s="743"/>
      <c r="BV314" s="743"/>
      <c r="BW314" s="743"/>
      <c r="BX314" s="743"/>
      <c r="BY314" s="743"/>
      <c r="BZ314" s="743"/>
      <c r="CA314" s="743"/>
      <c r="CB314" s="743"/>
      <c r="CC314" s="743"/>
      <c r="CD314" s="743"/>
      <c r="CE314" s="743"/>
      <c r="CF314" s="743"/>
      <c r="CG314" s="743"/>
      <c r="CH314" s="743"/>
      <c r="CI314" s="743"/>
      <c r="CJ314" s="743"/>
      <c r="CK314" s="743"/>
      <c r="CL314" s="743"/>
      <c r="CM314" s="743"/>
      <c r="CN314" s="743"/>
      <c r="CO314" s="743"/>
      <c r="CP314" s="743"/>
      <c r="CQ314" s="743"/>
      <c r="CR314" s="743"/>
      <c r="CS314" s="743"/>
      <c r="CT314" s="743"/>
      <c r="CU314" s="743"/>
      <c r="CV314" s="743"/>
      <c r="CW314" s="743"/>
      <c r="CX314" s="743"/>
      <c r="CY314" s="744"/>
      <c r="HU314" s="530"/>
      <c r="HV314" s="530"/>
      <c r="HW314" s="530"/>
      <c r="HX314" s="530"/>
      <c r="HY314" s="530"/>
      <c r="HZ314" s="530"/>
    </row>
    <row r="315" spans="1:234" s="635" customFormat="1" ht="18.899999999999999" customHeight="1" thickTop="1">
      <c r="A315" s="634"/>
      <c r="C315" s="745">
        <v>1</v>
      </c>
      <c r="D315" s="745">
        <v>1</v>
      </c>
      <c r="E315" s="745">
        <v>1</v>
      </c>
      <c r="F315" s="745"/>
      <c r="G315" s="745"/>
      <c r="H315" s="745"/>
      <c r="I315" s="745"/>
      <c r="J315" s="745"/>
      <c r="K315" s="746"/>
      <c r="L315" s="746"/>
      <c r="M315" s="746"/>
      <c r="N315" s="746"/>
      <c r="O315" s="636"/>
      <c r="P315" s="636"/>
      <c r="Q315" s="637"/>
      <c r="R315" s="636"/>
      <c r="S315" s="636"/>
      <c r="T315" s="636"/>
      <c r="U315" s="636"/>
      <c r="V315" s="636"/>
      <c r="W315" s="636"/>
      <c r="X315" s="636"/>
      <c r="Y315" s="636"/>
      <c r="Z315" s="636"/>
      <c r="AA315" s="636"/>
      <c r="AB315" s="636"/>
      <c r="AC315" s="636"/>
      <c r="AD315" s="636"/>
      <c r="AE315" s="636"/>
      <c r="AF315" s="636"/>
      <c r="AG315" s="636"/>
      <c r="AH315" s="636"/>
      <c r="AI315" s="636"/>
      <c r="AJ315" s="636"/>
      <c r="AK315" s="636"/>
      <c r="AL315" s="636"/>
      <c r="AM315" s="636"/>
      <c r="AN315" s="636"/>
      <c r="AO315" s="636"/>
      <c r="AP315" s="636"/>
      <c r="AQ315" s="636"/>
      <c r="AR315" s="636"/>
      <c r="AS315" s="636"/>
      <c r="AT315" s="636"/>
      <c r="AU315" s="636"/>
      <c r="AV315" s="636"/>
      <c r="AW315" s="636"/>
      <c r="AX315" s="636"/>
      <c r="AY315" s="636"/>
      <c r="AZ315" s="636"/>
      <c r="BA315" s="636"/>
      <c r="BB315" s="636"/>
      <c r="BC315" s="636"/>
      <c r="BD315" s="636"/>
      <c r="BE315" s="636"/>
      <c r="BF315" s="636"/>
      <c r="BG315" s="636"/>
      <c r="BH315" s="636"/>
      <c r="BI315" s="636"/>
      <c r="BJ315" s="636"/>
      <c r="BK315" s="636"/>
      <c r="BL315" s="636"/>
      <c r="BM315" s="636"/>
      <c r="BN315" s="636"/>
      <c r="BO315" s="636"/>
      <c r="BP315" s="636"/>
      <c r="BQ315" s="636"/>
      <c r="BR315" s="636"/>
      <c r="BS315" s="636"/>
      <c r="BT315" s="636"/>
      <c r="BU315" s="636"/>
      <c r="BV315" s="636"/>
      <c r="BW315" s="636"/>
      <c r="BX315" s="636"/>
      <c r="BY315" s="636"/>
      <c r="BZ315" s="636"/>
      <c r="CA315" s="636"/>
      <c r="CB315" s="636"/>
      <c r="CC315" s="636"/>
      <c r="CD315" s="636"/>
      <c r="CE315" s="636"/>
      <c r="CF315" s="636"/>
      <c r="CG315" s="636"/>
      <c r="CH315" s="636"/>
      <c r="CI315" s="636"/>
      <c r="CJ315" s="636"/>
      <c r="CK315" s="636"/>
      <c r="CL315" s="636"/>
      <c r="CM315" s="636"/>
      <c r="CN315" s="636"/>
      <c r="CO315" s="636"/>
      <c r="CP315" s="636"/>
      <c r="CQ315" s="636"/>
      <c r="CR315" s="636"/>
      <c r="CS315" s="636"/>
      <c r="CT315" s="636"/>
      <c r="CU315" s="636"/>
      <c r="CV315" s="636"/>
      <c r="CW315" s="636"/>
      <c r="CX315" s="636"/>
      <c r="CY315" s="638"/>
      <c r="HU315" s="530"/>
      <c r="HV315" s="530"/>
      <c r="HW315" s="530"/>
      <c r="HX315" s="530"/>
      <c r="HY315" s="530"/>
      <c r="HZ315" s="530"/>
    </row>
    <row r="316" spans="1:234" ht="18.899999999999999" customHeight="1">
      <c r="A316" s="3072" t="s">
        <v>3981</v>
      </c>
      <c r="B316" s="3072"/>
      <c r="C316" s="642">
        <f>D314</f>
        <v>0</v>
      </c>
      <c r="D316" s="639"/>
      <c r="E316" s="639"/>
      <c r="F316" s="639"/>
      <c r="G316" s="639"/>
      <c r="H316" s="639"/>
      <c r="I316" s="639"/>
      <c r="J316" s="639"/>
      <c r="U316" s="641"/>
      <c r="V316" s="640"/>
      <c r="BF316" s="747"/>
      <c r="BP316" s="530"/>
      <c r="BQ316" s="530"/>
      <c r="BR316" s="530"/>
      <c r="BS316" s="530"/>
      <c r="BT316" s="530"/>
      <c r="BU316" s="530"/>
      <c r="CA316" s="641"/>
      <c r="CC316" s="641"/>
      <c r="CD316" s="641"/>
      <c r="CE316" s="641"/>
      <c r="CF316" s="641"/>
      <c r="CG316" s="641"/>
      <c r="CH316" s="641"/>
      <c r="CI316" s="641"/>
      <c r="CJ316" s="641"/>
      <c r="CK316" s="641"/>
      <c r="CL316" s="641"/>
      <c r="CM316" s="641"/>
      <c r="CN316" s="641"/>
      <c r="CO316" s="641"/>
      <c r="CP316" s="641"/>
      <c r="CQ316" s="641"/>
      <c r="CR316" s="641"/>
      <c r="CS316" s="641"/>
      <c r="CT316" s="641"/>
      <c r="CU316" s="641"/>
      <c r="CV316" s="640"/>
      <c r="CX316" s="530">
        <f>+CX314*0.45*0.8</f>
        <v>0</v>
      </c>
      <c r="HU316" s="542"/>
      <c r="HV316" s="542"/>
      <c r="HW316" s="542"/>
      <c r="HX316" s="542"/>
      <c r="HY316" s="542"/>
      <c r="HZ316" s="542"/>
    </row>
    <row r="317" spans="1:234" ht="18.899999999999999" customHeight="1">
      <c r="A317" s="3072" t="s">
        <v>4059</v>
      </c>
      <c r="B317" s="3072"/>
      <c r="C317" s="642">
        <f>+E314</f>
        <v>0</v>
      </c>
      <c r="D317" s="639"/>
      <c r="E317" s="639"/>
      <c r="F317" s="639"/>
      <c r="G317" s="639"/>
      <c r="H317" s="639"/>
      <c r="I317" s="639"/>
      <c r="J317" s="639"/>
      <c r="U317" s="641"/>
      <c r="V317" s="413"/>
      <c r="W317" s="643"/>
      <c r="X317" s="643"/>
      <c r="Y317" s="643"/>
      <c r="Z317" s="643"/>
      <c r="AB317" s="643"/>
      <c r="BP317" s="530"/>
      <c r="BQ317" s="530"/>
      <c r="BR317" s="530"/>
      <c r="BS317" s="530"/>
      <c r="BT317" s="530"/>
      <c r="BU317" s="530"/>
      <c r="CA317" s="641"/>
      <c r="CC317" s="641"/>
      <c r="CD317" s="641"/>
      <c r="CE317" s="641"/>
      <c r="CF317" s="641"/>
      <c r="CG317" s="641"/>
      <c r="CH317" s="641"/>
      <c r="CI317" s="641"/>
      <c r="CJ317" s="641"/>
      <c r="CK317" s="641"/>
      <c r="CL317" s="641"/>
      <c r="CM317" s="641"/>
      <c r="CN317" s="641"/>
      <c r="CO317" s="641"/>
      <c r="CP317" s="641"/>
      <c r="CQ317" s="641"/>
      <c r="CR317" s="641"/>
      <c r="CS317" s="641"/>
      <c r="CT317" s="641"/>
      <c r="CU317" s="641"/>
      <c r="CV317" s="640"/>
      <c r="CX317" s="530">
        <f>+CX316/0.85</f>
        <v>0</v>
      </c>
      <c r="CY317" s="530">
        <f t="shared" ref="CY317:DD317" si="173">+CX317*1.142</f>
        <v>0</v>
      </c>
      <c r="CZ317" s="530">
        <f t="shared" si="173"/>
        <v>0</v>
      </c>
      <c r="DA317" s="530">
        <f t="shared" si="173"/>
        <v>0</v>
      </c>
      <c r="DB317" s="530">
        <f t="shared" si="173"/>
        <v>0</v>
      </c>
      <c r="DC317" s="530">
        <f t="shared" si="173"/>
        <v>0</v>
      </c>
      <c r="DD317" s="530">
        <f t="shared" si="173"/>
        <v>0</v>
      </c>
    </row>
    <row r="318" spans="1:234" ht="18.899999999999999" customHeight="1">
      <c r="A318" s="3072" t="s">
        <v>3983</v>
      </c>
      <c r="B318" s="3072"/>
      <c r="C318" s="644">
        <f>H314</f>
        <v>0</v>
      </c>
      <c r="D318" s="645"/>
      <c r="E318" s="645"/>
      <c r="F318" s="645"/>
      <c r="G318" s="645"/>
      <c r="H318" s="645"/>
      <c r="I318" s="645"/>
      <c r="J318" s="645"/>
      <c r="V318" s="646"/>
      <c r="AA318" s="640"/>
      <c r="AC318" s="640"/>
      <c r="AD318" s="748"/>
      <c r="AE318" s="641"/>
      <c r="AF318" s="641"/>
      <c r="BP318" s="530"/>
      <c r="BQ318" s="530"/>
      <c r="BR318" s="530"/>
      <c r="BS318" s="530"/>
      <c r="BT318" s="530"/>
      <c r="BU318" s="530"/>
    </row>
    <row r="319" spans="1:234" ht="18.899999999999999" customHeight="1">
      <c r="A319" s="3072" t="s">
        <v>4060</v>
      </c>
      <c r="B319" s="3072"/>
      <c r="C319" s="644">
        <f>I314</f>
        <v>0</v>
      </c>
      <c r="D319" s="645"/>
      <c r="E319" s="645"/>
      <c r="F319" s="645"/>
      <c r="G319" s="645"/>
      <c r="H319" s="645"/>
      <c r="I319" s="645"/>
      <c r="J319" s="645"/>
      <c r="V319" s="646"/>
      <c r="AA319" s="640"/>
      <c r="AC319" s="640"/>
      <c r="AD319" s="748"/>
      <c r="AE319" s="641"/>
      <c r="AF319" s="641"/>
      <c r="BP319" s="530"/>
      <c r="BQ319" s="530"/>
      <c r="BR319" s="530"/>
      <c r="BS319" s="530"/>
      <c r="BT319" s="530"/>
      <c r="BU319" s="530"/>
      <c r="CX319" s="530">
        <v>2008</v>
      </c>
      <c r="CY319" s="532">
        <v>2009</v>
      </c>
      <c r="CZ319" s="530">
        <v>2010</v>
      </c>
      <c r="DA319" s="532">
        <v>2011</v>
      </c>
      <c r="DB319" s="530">
        <v>2012</v>
      </c>
      <c r="DC319" s="532">
        <v>2013</v>
      </c>
      <c r="DD319" s="530">
        <v>2014</v>
      </c>
    </row>
    <row r="320" spans="1:234" ht="18.899999999999999" customHeight="1">
      <c r="A320" s="3072" t="s">
        <v>4061</v>
      </c>
      <c r="B320" s="3072"/>
      <c r="C320" s="642">
        <f>J314</f>
        <v>0</v>
      </c>
      <c r="D320" s="639"/>
      <c r="E320" s="639"/>
      <c r="F320" s="639"/>
      <c r="G320" s="639"/>
      <c r="H320" s="639"/>
      <c r="I320" s="639"/>
      <c r="J320" s="639"/>
      <c r="P320" s="647"/>
      <c r="R320" s="553"/>
      <c r="V320" s="648"/>
      <c r="AA320" s="640"/>
      <c r="AC320" s="640"/>
      <c r="AE320" s="641"/>
      <c r="AF320" s="641"/>
      <c r="AW320" s="749"/>
      <c r="AX320" s="750"/>
      <c r="AY320" s="750"/>
      <c r="AZ320" s="750"/>
      <c r="BP320" s="530"/>
      <c r="BQ320" s="530"/>
      <c r="BR320" s="530"/>
      <c r="BS320" s="530"/>
      <c r="BT320" s="530"/>
      <c r="BU320" s="530"/>
    </row>
    <row r="321" spans="1:234" ht="18.899999999999999" customHeight="1">
      <c r="A321" s="3072" t="s">
        <v>3987</v>
      </c>
      <c r="B321" s="3072"/>
      <c r="C321" s="644">
        <f>K314</f>
        <v>0</v>
      </c>
      <c r="D321" s="645"/>
      <c r="E321" s="645"/>
      <c r="F321" s="645"/>
      <c r="G321" s="645"/>
      <c r="H321" s="645"/>
      <c r="I321" s="645"/>
      <c r="J321" s="645"/>
      <c r="R321" s="553"/>
      <c r="V321" s="646"/>
      <c r="AA321" s="640"/>
      <c r="AC321" s="640"/>
      <c r="AD321" s="748"/>
      <c r="AE321" s="641"/>
      <c r="AF321" s="641"/>
      <c r="AW321" s="749"/>
      <c r="AX321" s="641"/>
      <c r="AY321" s="641"/>
      <c r="AZ321" s="641"/>
      <c r="BP321" s="530"/>
      <c r="BQ321" s="530"/>
      <c r="BR321" s="530"/>
      <c r="BS321" s="530"/>
      <c r="BT321" s="530"/>
      <c r="BU321" s="530"/>
    </row>
    <row r="322" spans="1:234" ht="18.899999999999999" customHeight="1">
      <c r="A322" s="572" t="s">
        <v>4062</v>
      </c>
      <c r="B322" s="640"/>
      <c r="C322" s="644">
        <f>+M314</f>
        <v>0</v>
      </c>
      <c r="D322" s="649"/>
      <c r="E322" s="649"/>
      <c r="F322" s="649"/>
      <c r="G322" s="649"/>
      <c r="H322" s="649"/>
      <c r="I322" s="649"/>
      <c r="J322" s="649"/>
      <c r="AA322" s="640"/>
      <c r="AC322" s="640"/>
      <c r="AE322" s="641"/>
      <c r="BP322" s="530"/>
      <c r="BQ322" s="530"/>
      <c r="BR322" s="530"/>
      <c r="BS322" s="530"/>
      <c r="BT322" s="530"/>
      <c r="BU322" s="530"/>
    </row>
    <row r="323" spans="1:234" ht="18.899999999999999" customHeight="1">
      <c r="A323" s="572" t="s">
        <v>4063</v>
      </c>
      <c r="C323" s="644">
        <f>+N314</f>
        <v>0</v>
      </c>
      <c r="BP323" s="530"/>
      <c r="BQ323" s="530"/>
      <c r="BR323" s="530"/>
      <c r="BS323" s="530"/>
      <c r="BT323" s="530"/>
      <c r="BU323" s="530"/>
      <c r="HU323" s="542"/>
      <c r="HV323" s="542"/>
      <c r="HW323" s="542"/>
      <c r="HX323" s="542"/>
      <c r="HY323" s="542"/>
      <c r="HZ323" s="542"/>
    </row>
    <row r="324" spans="1:234" ht="18.899999999999999" customHeight="1">
      <c r="BP324" s="530"/>
      <c r="BQ324" s="530"/>
      <c r="BR324" s="530"/>
      <c r="BS324" s="530"/>
      <c r="BT324" s="530"/>
      <c r="BU324" s="530"/>
    </row>
    <row r="325" spans="1:234" ht="18.899999999999999" customHeight="1">
      <c r="BP325" s="530"/>
      <c r="BQ325" s="530"/>
      <c r="BR325" s="530"/>
      <c r="BS325" s="530"/>
      <c r="BT325" s="530"/>
      <c r="BU325" s="530"/>
    </row>
    <row r="326" spans="1:234" ht="18.899999999999999" customHeight="1">
      <c r="BP326" s="530"/>
      <c r="BQ326" s="530"/>
      <c r="BR326" s="530"/>
      <c r="BS326" s="530"/>
      <c r="BT326" s="530"/>
      <c r="BU326" s="530"/>
    </row>
    <row r="327" spans="1:234" ht="18.899999999999999" customHeight="1">
      <c r="BP327" s="530"/>
      <c r="BQ327" s="530"/>
      <c r="BR327" s="530"/>
      <c r="BS327" s="530"/>
      <c r="BT327" s="530"/>
      <c r="BU327" s="530"/>
    </row>
    <row r="328" spans="1:234" ht="18.899999999999999" customHeight="1">
      <c r="BP328" s="530"/>
      <c r="BQ328" s="530"/>
      <c r="BR328" s="530"/>
      <c r="BS328" s="530"/>
      <c r="BT328" s="530"/>
      <c r="BU328" s="530"/>
    </row>
    <row r="329" spans="1:234" ht="18.899999999999999" customHeight="1">
      <c r="BP329" s="530"/>
      <c r="BQ329" s="530"/>
      <c r="BR329" s="530"/>
      <c r="BS329" s="530"/>
      <c r="BT329" s="530"/>
      <c r="BU329" s="530"/>
    </row>
    <row r="330" spans="1:234" ht="18.899999999999999" customHeight="1">
      <c r="BP330" s="530"/>
      <c r="BQ330" s="530"/>
      <c r="BR330" s="530"/>
      <c r="BS330" s="530"/>
      <c r="BT330" s="530"/>
      <c r="BU330" s="530"/>
      <c r="HU330" s="542"/>
      <c r="HV330" s="542"/>
      <c r="HW330" s="542"/>
      <c r="HX330" s="542"/>
      <c r="HY330" s="542"/>
      <c r="HZ330" s="542"/>
    </row>
    <row r="331" spans="1:234" ht="18.899999999999999" customHeight="1">
      <c r="BP331" s="530"/>
      <c r="BQ331" s="530"/>
      <c r="BR331" s="530"/>
      <c r="BS331" s="530"/>
      <c r="BT331" s="530"/>
      <c r="BU331" s="530"/>
    </row>
    <row r="332" spans="1:234" ht="18.899999999999999" customHeight="1">
      <c r="BP332" s="530"/>
      <c r="BQ332" s="530"/>
      <c r="BR332" s="530"/>
      <c r="BS332" s="530"/>
      <c r="BT332" s="530"/>
      <c r="BU332" s="530"/>
    </row>
    <row r="333" spans="1:234" ht="18.899999999999999" customHeight="1">
      <c r="BP333" s="530"/>
      <c r="BQ333" s="530"/>
      <c r="BR333" s="530"/>
      <c r="BS333" s="530"/>
      <c r="BT333" s="530"/>
      <c r="BU333" s="530"/>
    </row>
    <row r="334" spans="1:234" ht="18.899999999999999" customHeight="1">
      <c r="BP334" s="530"/>
      <c r="BQ334" s="530"/>
      <c r="BR334" s="530"/>
      <c r="BS334" s="530"/>
      <c r="BT334" s="530"/>
      <c r="BU334" s="530"/>
    </row>
    <row r="335" spans="1:234" ht="18.899999999999999" customHeight="1">
      <c r="BP335" s="530"/>
      <c r="BQ335" s="530"/>
      <c r="BR335" s="530"/>
      <c r="BS335" s="530"/>
      <c r="BT335" s="530"/>
      <c r="BU335" s="530"/>
    </row>
    <row r="336" spans="1:234" ht="18.899999999999999" customHeight="1">
      <c r="BP336" s="530"/>
      <c r="BQ336" s="530"/>
      <c r="BR336" s="530"/>
      <c r="BS336" s="530"/>
      <c r="BT336" s="530"/>
      <c r="BU336" s="530"/>
    </row>
    <row r="337" spans="68:234" ht="18.899999999999999" customHeight="1">
      <c r="BP337" s="530"/>
      <c r="BQ337" s="530"/>
      <c r="BR337" s="530"/>
      <c r="BS337" s="530"/>
      <c r="BT337" s="530"/>
      <c r="BU337" s="530"/>
      <c r="HU337" s="542"/>
      <c r="HV337" s="542"/>
      <c r="HW337" s="542"/>
      <c r="HX337" s="542"/>
      <c r="HY337" s="542"/>
      <c r="HZ337" s="542"/>
    </row>
    <row r="338" spans="68:234" ht="18.899999999999999" customHeight="1">
      <c r="BP338" s="530"/>
      <c r="BQ338" s="530"/>
      <c r="BR338" s="530"/>
      <c r="BS338" s="530"/>
      <c r="BT338" s="530"/>
      <c r="BU338" s="530"/>
    </row>
    <row r="339" spans="68:234" ht="18.899999999999999" customHeight="1">
      <c r="BP339" s="530"/>
      <c r="BQ339" s="530"/>
      <c r="BR339" s="530"/>
      <c r="BS339" s="530"/>
      <c r="BT339" s="530"/>
      <c r="BU339" s="530"/>
    </row>
    <row r="340" spans="68:234" ht="18.899999999999999" customHeight="1">
      <c r="BP340" s="530"/>
      <c r="BQ340" s="530"/>
      <c r="BR340" s="530"/>
      <c r="BS340" s="530"/>
      <c r="BT340" s="530"/>
      <c r="BU340" s="530"/>
    </row>
    <row r="341" spans="68:234" ht="18.899999999999999" customHeight="1">
      <c r="BP341" s="530"/>
      <c r="BQ341" s="530"/>
      <c r="BR341" s="530"/>
      <c r="BS341" s="530"/>
      <c r="BT341" s="530"/>
      <c r="BU341" s="530"/>
    </row>
    <row r="342" spans="68:234" ht="18.899999999999999" customHeight="1">
      <c r="BP342" s="530"/>
      <c r="BQ342" s="530"/>
      <c r="BR342" s="530"/>
      <c r="BS342" s="530"/>
      <c r="BT342" s="530"/>
      <c r="BU342" s="530"/>
    </row>
    <row r="343" spans="68:234" ht="18.899999999999999" customHeight="1">
      <c r="BP343" s="530"/>
      <c r="BQ343" s="530"/>
      <c r="BR343" s="530"/>
      <c r="BS343" s="530"/>
      <c r="BT343" s="530"/>
      <c r="BU343" s="530"/>
    </row>
    <row r="344" spans="68:234" ht="18.899999999999999" customHeight="1">
      <c r="BP344" s="530"/>
      <c r="BQ344" s="530"/>
      <c r="BR344" s="530"/>
      <c r="BS344" s="530"/>
      <c r="BT344" s="530"/>
      <c r="BU344" s="530"/>
      <c r="HU344" s="542"/>
      <c r="HV344" s="542"/>
      <c r="HW344" s="542"/>
      <c r="HX344" s="542"/>
      <c r="HY344" s="542"/>
      <c r="HZ344" s="542"/>
    </row>
    <row r="345" spans="68:234" ht="18.899999999999999" customHeight="1">
      <c r="BP345" s="530"/>
      <c r="BQ345" s="530"/>
      <c r="BR345" s="530"/>
      <c r="BS345" s="530"/>
      <c r="BT345" s="530"/>
      <c r="BU345" s="530"/>
    </row>
    <row r="346" spans="68:234" ht="18.899999999999999" customHeight="1">
      <c r="BP346" s="530"/>
      <c r="BQ346" s="530"/>
      <c r="BR346" s="530"/>
      <c r="BS346" s="530"/>
      <c r="BT346" s="530"/>
      <c r="BU346" s="530"/>
    </row>
    <row r="347" spans="68:234" ht="18.899999999999999" customHeight="1">
      <c r="BP347" s="530"/>
      <c r="BQ347" s="530"/>
      <c r="BR347" s="530"/>
      <c r="BS347" s="530"/>
      <c r="BT347" s="530"/>
      <c r="BU347" s="530"/>
    </row>
    <row r="348" spans="68:234" ht="18.899999999999999" customHeight="1">
      <c r="BP348" s="530"/>
      <c r="BQ348" s="530"/>
      <c r="BR348" s="530"/>
      <c r="BS348" s="530"/>
      <c r="BT348" s="530"/>
      <c r="BU348" s="530"/>
    </row>
    <row r="349" spans="68:234" ht="18.899999999999999" customHeight="1">
      <c r="BP349" s="530"/>
      <c r="BQ349" s="530"/>
      <c r="BR349" s="530"/>
      <c r="BS349" s="530"/>
      <c r="BT349" s="530"/>
      <c r="BU349" s="530"/>
    </row>
    <row r="350" spans="68:234" ht="18.899999999999999" customHeight="1">
      <c r="BP350" s="530"/>
      <c r="BQ350" s="530"/>
      <c r="BR350" s="530"/>
      <c r="BS350" s="530"/>
      <c r="BT350" s="530"/>
      <c r="BU350" s="530"/>
    </row>
    <row r="351" spans="68:234" ht="18.899999999999999" customHeight="1">
      <c r="BP351" s="530"/>
      <c r="BQ351" s="530"/>
      <c r="BR351" s="530"/>
      <c r="BS351" s="530"/>
      <c r="BT351" s="530"/>
      <c r="BU351" s="530"/>
    </row>
    <row r="352" spans="68:234" ht="18.899999999999999" customHeight="1">
      <c r="BP352" s="530"/>
      <c r="BQ352" s="530"/>
      <c r="BR352" s="530"/>
      <c r="BS352" s="530"/>
      <c r="BT352" s="530"/>
      <c r="BU352" s="530"/>
    </row>
    <row r="353" spans="68:73" ht="18.899999999999999" customHeight="1">
      <c r="BP353" s="530"/>
      <c r="BQ353" s="530"/>
      <c r="BR353" s="530"/>
      <c r="BS353" s="530"/>
      <c r="BT353" s="530"/>
      <c r="BU353" s="530"/>
    </row>
    <row r="354" spans="68:73" ht="18.899999999999999" customHeight="1">
      <c r="BP354" s="530"/>
      <c r="BQ354" s="530"/>
      <c r="BR354" s="530"/>
      <c r="BS354" s="530"/>
      <c r="BT354" s="530"/>
      <c r="BU354" s="530"/>
    </row>
    <row r="355" spans="68:73" ht="18.899999999999999" customHeight="1">
      <c r="BP355" s="530"/>
      <c r="BQ355" s="530"/>
      <c r="BR355" s="530"/>
      <c r="BS355" s="530"/>
      <c r="BT355" s="530"/>
      <c r="BU355" s="530"/>
    </row>
    <row r="356" spans="68:73" ht="18.899999999999999" customHeight="1">
      <c r="BP356" s="530"/>
      <c r="BQ356" s="530"/>
      <c r="BR356" s="530"/>
      <c r="BS356" s="530"/>
      <c r="BT356" s="530"/>
      <c r="BU356" s="530"/>
    </row>
    <row r="357" spans="68:73" ht="18.899999999999999" customHeight="1">
      <c r="BP357" s="530"/>
      <c r="BQ357" s="530"/>
      <c r="BR357" s="530"/>
      <c r="BS357" s="530"/>
      <c r="BT357" s="530"/>
      <c r="BU357" s="530"/>
    </row>
    <row r="358" spans="68:73" ht="18.899999999999999" customHeight="1">
      <c r="BP358" s="530"/>
      <c r="BQ358" s="530"/>
      <c r="BR358" s="530"/>
      <c r="BS358" s="530"/>
      <c r="BT358" s="530"/>
      <c r="BU358" s="530"/>
    </row>
    <row r="359" spans="68:73" ht="18.899999999999999" customHeight="1">
      <c r="BP359" s="530"/>
      <c r="BQ359" s="530"/>
      <c r="BR359" s="530"/>
      <c r="BS359" s="530"/>
      <c r="BT359" s="530"/>
      <c r="BU359" s="530"/>
    </row>
    <row r="360" spans="68:73" ht="18.899999999999999" customHeight="1">
      <c r="BP360" s="530"/>
      <c r="BQ360" s="530"/>
      <c r="BR360" s="530"/>
      <c r="BS360" s="530"/>
      <c r="BT360" s="530"/>
      <c r="BU360" s="530"/>
    </row>
    <row r="361" spans="68:73" ht="18.899999999999999" customHeight="1">
      <c r="BP361" s="530"/>
      <c r="BQ361" s="530"/>
      <c r="BR361" s="530"/>
      <c r="BS361" s="530"/>
      <c r="BT361" s="530"/>
      <c r="BU361" s="530"/>
    </row>
    <row r="362" spans="68:73" ht="18.899999999999999" customHeight="1">
      <c r="BP362" s="530"/>
      <c r="BQ362" s="530"/>
      <c r="BR362" s="530"/>
      <c r="BS362" s="530"/>
      <c r="BT362" s="530"/>
      <c r="BU362" s="530"/>
    </row>
    <row r="363" spans="68:73" ht="18.899999999999999" customHeight="1">
      <c r="BP363" s="530"/>
      <c r="BQ363" s="530"/>
      <c r="BR363" s="530"/>
      <c r="BS363" s="530"/>
      <c r="BT363" s="530"/>
      <c r="BU363" s="530"/>
    </row>
    <row r="364" spans="68:73" ht="18.899999999999999" customHeight="1">
      <c r="BP364" s="530"/>
      <c r="BQ364" s="530"/>
      <c r="BR364" s="530"/>
      <c r="BS364" s="530"/>
      <c r="BT364" s="530"/>
      <c r="BU364" s="530"/>
    </row>
    <row r="365" spans="68:73" ht="18.899999999999999" customHeight="1">
      <c r="BP365" s="530"/>
      <c r="BQ365" s="530"/>
      <c r="BR365" s="530"/>
      <c r="BS365" s="530"/>
      <c r="BT365" s="530"/>
      <c r="BU365" s="530"/>
    </row>
    <row r="366" spans="68:73" ht="18.899999999999999" customHeight="1">
      <c r="BP366" s="530"/>
      <c r="BQ366" s="530"/>
      <c r="BR366" s="530"/>
      <c r="BS366" s="530"/>
      <c r="BT366" s="530"/>
      <c r="BU366" s="530"/>
    </row>
    <row r="367" spans="68:73" ht="18.899999999999999" customHeight="1">
      <c r="BP367" s="530"/>
      <c r="BQ367" s="530"/>
      <c r="BR367" s="530"/>
      <c r="BS367" s="530"/>
      <c r="BT367" s="530"/>
      <c r="BU367" s="530"/>
    </row>
    <row r="368" spans="68:73" ht="18.899999999999999" customHeight="1">
      <c r="BP368" s="530"/>
      <c r="BQ368" s="530"/>
      <c r="BR368" s="530"/>
      <c r="BS368" s="530"/>
      <c r="BT368" s="530"/>
      <c r="BU368" s="530"/>
    </row>
    <row r="369" spans="68:73" ht="18.899999999999999" customHeight="1">
      <c r="BP369" s="530"/>
      <c r="BQ369" s="530"/>
      <c r="BR369" s="530"/>
      <c r="BS369" s="530"/>
      <c r="BT369" s="530"/>
      <c r="BU369" s="530"/>
    </row>
    <row r="370" spans="68:73" ht="18.899999999999999" customHeight="1">
      <c r="BP370" s="530"/>
      <c r="BQ370" s="530"/>
      <c r="BR370" s="530"/>
      <c r="BS370" s="530"/>
      <c r="BT370" s="530"/>
      <c r="BU370" s="530"/>
    </row>
    <row r="371" spans="68:73" ht="18.899999999999999" customHeight="1">
      <c r="BP371" s="530"/>
      <c r="BQ371" s="530"/>
      <c r="BR371" s="530"/>
      <c r="BS371" s="530"/>
      <c r="BT371" s="530"/>
      <c r="BU371" s="530"/>
    </row>
    <row r="372" spans="68:73" ht="18.899999999999999" customHeight="1">
      <c r="BP372" s="530"/>
      <c r="BQ372" s="530"/>
      <c r="BR372" s="530"/>
      <c r="BS372" s="530"/>
      <c r="BT372" s="530"/>
      <c r="BU372" s="530"/>
    </row>
    <row r="373" spans="68:73" ht="18.899999999999999" customHeight="1">
      <c r="BP373" s="530"/>
      <c r="BQ373" s="530"/>
      <c r="BR373" s="530"/>
      <c r="BS373" s="530"/>
      <c r="BT373" s="530"/>
      <c r="BU373" s="530"/>
    </row>
    <row r="374" spans="68:73" ht="18.899999999999999" customHeight="1">
      <c r="BP374" s="530"/>
      <c r="BQ374" s="530"/>
      <c r="BR374" s="530"/>
      <c r="BS374" s="530"/>
      <c r="BT374" s="530"/>
      <c r="BU374" s="530"/>
    </row>
    <row r="375" spans="68:73" ht="18.899999999999999" customHeight="1">
      <c r="BP375" s="530"/>
      <c r="BQ375" s="530"/>
      <c r="BR375" s="530"/>
      <c r="BS375" s="530"/>
      <c r="BT375" s="530"/>
      <c r="BU375" s="530"/>
    </row>
    <row r="376" spans="68:73" ht="18.899999999999999" customHeight="1">
      <c r="BP376" s="530"/>
      <c r="BQ376" s="530"/>
      <c r="BR376" s="530"/>
      <c r="BS376" s="530"/>
      <c r="BT376" s="530"/>
      <c r="BU376" s="530"/>
    </row>
    <row r="377" spans="68:73" ht="18.899999999999999" customHeight="1">
      <c r="BP377" s="530"/>
      <c r="BQ377" s="530"/>
      <c r="BR377" s="530"/>
      <c r="BS377" s="530"/>
      <c r="BT377" s="530"/>
      <c r="BU377" s="530"/>
    </row>
    <row r="378" spans="68:73" ht="18.899999999999999" customHeight="1">
      <c r="BP378" s="530"/>
      <c r="BQ378" s="530"/>
      <c r="BR378" s="530"/>
      <c r="BS378" s="530"/>
      <c r="BT378" s="530"/>
      <c r="BU378" s="530"/>
    </row>
    <row r="379" spans="68:73" ht="18.899999999999999" customHeight="1">
      <c r="BP379" s="530"/>
      <c r="BQ379" s="530"/>
      <c r="BR379" s="530"/>
      <c r="BS379" s="530"/>
      <c r="BT379" s="530"/>
      <c r="BU379" s="530"/>
    </row>
    <row r="380" spans="68:73" ht="18.899999999999999" customHeight="1">
      <c r="BP380" s="530"/>
      <c r="BQ380" s="530"/>
      <c r="BR380" s="530"/>
      <c r="BS380" s="530"/>
      <c r="BT380" s="530"/>
      <c r="BU380" s="530"/>
    </row>
    <row r="381" spans="68:73" ht="18.899999999999999" customHeight="1">
      <c r="BP381" s="530"/>
      <c r="BQ381" s="530"/>
      <c r="BR381" s="530"/>
      <c r="BS381" s="530"/>
      <c r="BT381" s="530"/>
      <c r="BU381" s="530"/>
    </row>
    <row r="382" spans="68:73" ht="18.899999999999999" customHeight="1">
      <c r="BP382" s="530"/>
      <c r="BQ382" s="530"/>
      <c r="BR382" s="530"/>
      <c r="BS382" s="530"/>
      <c r="BT382" s="530"/>
      <c r="BU382" s="530"/>
    </row>
    <row r="383" spans="68:73" ht="18.899999999999999" customHeight="1">
      <c r="BP383" s="530"/>
      <c r="BQ383" s="530"/>
      <c r="BR383" s="530"/>
      <c r="BS383" s="530"/>
      <c r="BT383" s="530"/>
      <c r="BU383" s="530"/>
    </row>
    <row r="384" spans="68:73" ht="18.899999999999999" customHeight="1">
      <c r="BP384" s="530"/>
      <c r="BQ384" s="530"/>
      <c r="BR384" s="530"/>
      <c r="BS384" s="530"/>
      <c r="BT384" s="530"/>
      <c r="BU384" s="530"/>
    </row>
    <row r="385" spans="68:73" ht="18.899999999999999" customHeight="1">
      <c r="BP385" s="530"/>
      <c r="BQ385" s="530"/>
      <c r="BR385" s="530"/>
      <c r="BS385" s="530"/>
      <c r="BT385" s="530"/>
      <c r="BU385" s="530"/>
    </row>
    <row r="386" spans="68:73" ht="18.899999999999999" customHeight="1">
      <c r="BP386" s="530"/>
      <c r="BQ386" s="530"/>
      <c r="BR386" s="530"/>
      <c r="BS386" s="530"/>
      <c r="BT386" s="530"/>
      <c r="BU386" s="530"/>
    </row>
    <row r="387" spans="68:73" ht="18.899999999999999" customHeight="1">
      <c r="BP387" s="530"/>
      <c r="BQ387" s="530"/>
      <c r="BR387" s="530"/>
      <c r="BS387" s="530"/>
      <c r="BT387" s="530"/>
      <c r="BU387" s="530"/>
    </row>
    <row r="388" spans="68:73" ht="18.899999999999999" customHeight="1">
      <c r="BP388" s="530"/>
      <c r="BQ388" s="530"/>
      <c r="BR388" s="530"/>
      <c r="BS388" s="530"/>
      <c r="BT388" s="530"/>
      <c r="BU388" s="530"/>
    </row>
    <row r="389" spans="68:73" ht="18.899999999999999" customHeight="1">
      <c r="BP389" s="530"/>
      <c r="BQ389" s="530"/>
      <c r="BR389" s="530"/>
      <c r="BS389" s="530"/>
      <c r="BT389" s="530"/>
      <c r="BU389" s="530"/>
    </row>
    <row r="390" spans="68:73" ht="18.899999999999999" customHeight="1">
      <c r="BP390" s="530"/>
      <c r="BQ390" s="530"/>
      <c r="BR390" s="530"/>
      <c r="BS390" s="530"/>
      <c r="BT390" s="530"/>
      <c r="BU390" s="530"/>
    </row>
    <row r="391" spans="68:73" ht="18.899999999999999" customHeight="1">
      <c r="BP391" s="530"/>
      <c r="BQ391" s="530"/>
      <c r="BR391" s="530"/>
      <c r="BS391" s="530"/>
      <c r="BT391" s="530"/>
      <c r="BU391" s="530"/>
    </row>
    <row r="392" spans="68:73" ht="18.899999999999999" customHeight="1">
      <c r="BP392" s="530"/>
      <c r="BQ392" s="530"/>
      <c r="BR392" s="530"/>
      <c r="BS392" s="530"/>
      <c r="BT392" s="530"/>
      <c r="BU392" s="530"/>
    </row>
    <row r="393" spans="68:73" ht="18.899999999999999" customHeight="1">
      <c r="BP393" s="530"/>
      <c r="BQ393" s="530"/>
      <c r="BR393" s="530"/>
      <c r="BS393" s="530"/>
      <c r="BT393" s="530"/>
      <c r="BU393" s="530"/>
    </row>
    <row r="394" spans="68:73" ht="18.899999999999999" customHeight="1">
      <c r="BP394" s="530"/>
      <c r="BQ394" s="530"/>
      <c r="BR394" s="530"/>
      <c r="BS394" s="530"/>
      <c r="BT394" s="530"/>
      <c r="BU394" s="530"/>
    </row>
    <row r="395" spans="68:73" ht="18.899999999999999" customHeight="1">
      <c r="BP395" s="530"/>
      <c r="BQ395" s="530"/>
      <c r="BR395" s="530"/>
      <c r="BS395" s="530"/>
      <c r="BT395" s="530"/>
      <c r="BU395" s="530"/>
    </row>
    <row r="396" spans="68:73" ht="18.899999999999999" customHeight="1">
      <c r="BP396" s="530"/>
      <c r="BQ396" s="530"/>
      <c r="BR396" s="530"/>
      <c r="BS396" s="530"/>
      <c r="BT396" s="530"/>
      <c r="BU396" s="530"/>
    </row>
    <row r="397" spans="68:73" ht="18.899999999999999" customHeight="1">
      <c r="BP397" s="530"/>
      <c r="BQ397" s="530"/>
      <c r="BR397" s="530"/>
      <c r="BS397" s="530"/>
      <c r="BT397" s="530"/>
      <c r="BU397" s="530"/>
    </row>
    <row r="398" spans="68:73" ht="18.899999999999999" customHeight="1">
      <c r="BP398" s="530"/>
      <c r="BQ398" s="530"/>
      <c r="BR398" s="530"/>
      <c r="BS398" s="530"/>
      <c r="BT398" s="530"/>
      <c r="BU398" s="530"/>
    </row>
    <row r="399" spans="68:73" ht="18.899999999999999" customHeight="1">
      <c r="BP399" s="530"/>
      <c r="BQ399" s="530"/>
      <c r="BR399" s="530"/>
      <c r="BS399" s="530"/>
      <c r="BT399" s="530"/>
      <c r="BU399" s="530"/>
    </row>
    <row r="400" spans="68:73" ht="18.899999999999999" customHeight="1">
      <c r="BP400" s="530"/>
      <c r="BQ400" s="530"/>
      <c r="BR400" s="530"/>
      <c r="BS400" s="530"/>
      <c r="BT400" s="530"/>
      <c r="BU400" s="530"/>
    </row>
    <row r="401" spans="68:73" ht="18.899999999999999" customHeight="1">
      <c r="BP401" s="530"/>
      <c r="BQ401" s="530"/>
      <c r="BR401" s="530"/>
      <c r="BS401" s="530"/>
      <c r="BT401" s="530"/>
      <c r="BU401" s="530"/>
    </row>
    <row r="402" spans="68:73" ht="18.899999999999999" customHeight="1">
      <c r="BP402" s="530"/>
      <c r="BQ402" s="530"/>
      <c r="BR402" s="530"/>
      <c r="BS402" s="530"/>
      <c r="BT402" s="530"/>
      <c r="BU402" s="530"/>
    </row>
    <row r="403" spans="68:73" ht="18.899999999999999" customHeight="1">
      <c r="BP403" s="530"/>
      <c r="BQ403" s="530"/>
      <c r="BR403" s="530"/>
      <c r="BS403" s="530"/>
      <c r="BT403" s="530"/>
      <c r="BU403" s="530"/>
    </row>
    <row r="404" spans="68:73" ht="18.899999999999999" customHeight="1">
      <c r="BP404" s="530"/>
      <c r="BQ404" s="530"/>
      <c r="BR404" s="530"/>
      <c r="BS404" s="530"/>
      <c r="BT404" s="530"/>
      <c r="BU404" s="530"/>
    </row>
    <row r="405" spans="68:73" ht="18.899999999999999" customHeight="1">
      <c r="BP405" s="530"/>
      <c r="BQ405" s="530"/>
      <c r="BR405" s="530"/>
      <c r="BS405" s="530"/>
      <c r="BT405" s="530"/>
      <c r="BU405" s="530"/>
    </row>
    <row r="406" spans="68:73" ht="18.899999999999999" customHeight="1">
      <c r="BP406" s="530"/>
      <c r="BQ406" s="530"/>
      <c r="BR406" s="530"/>
      <c r="BS406" s="530"/>
      <c r="BT406" s="530"/>
      <c r="BU406" s="530"/>
    </row>
    <row r="407" spans="68:73" ht="18.899999999999999" customHeight="1">
      <c r="BP407" s="530"/>
      <c r="BQ407" s="530"/>
      <c r="BR407" s="530"/>
      <c r="BS407" s="530"/>
      <c r="BT407" s="530"/>
      <c r="BU407" s="530"/>
    </row>
    <row r="408" spans="68:73" ht="18.899999999999999" customHeight="1">
      <c r="BP408" s="530"/>
      <c r="BQ408" s="530"/>
      <c r="BR408" s="530"/>
      <c r="BS408" s="530"/>
      <c r="BT408" s="530"/>
      <c r="BU408" s="530"/>
    </row>
    <row r="409" spans="68:73" ht="18.899999999999999" customHeight="1">
      <c r="BP409" s="530"/>
      <c r="BQ409" s="530"/>
      <c r="BR409" s="530"/>
      <c r="BS409" s="530"/>
      <c r="BT409" s="530"/>
      <c r="BU409" s="530"/>
    </row>
    <row r="410" spans="68:73" ht="18.899999999999999" customHeight="1">
      <c r="BP410" s="530"/>
      <c r="BQ410" s="530"/>
      <c r="BR410" s="530"/>
      <c r="BS410" s="530"/>
      <c r="BT410" s="530"/>
      <c r="BU410" s="530"/>
    </row>
    <row r="411" spans="68:73" ht="18.899999999999999" customHeight="1">
      <c r="BP411" s="530"/>
      <c r="BQ411" s="530"/>
      <c r="BR411" s="530"/>
      <c r="BS411" s="530"/>
      <c r="BT411" s="530"/>
      <c r="BU411" s="530"/>
    </row>
    <row r="412" spans="68:73" ht="18.899999999999999" customHeight="1">
      <c r="BP412" s="530"/>
      <c r="BQ412" s="530"/>
      <c r="BR412" s="530"/>
      <c r="BS412" s="530"/>
      <c r="BT412" s="530"/>
      <c r="BU412" s="530"/>
    </row>
    <row r="413" spans="68:73" ht="18.899999999999999" customHeight="1">
      <c r="BP413" s="530"/>
      <c r="BQ413" s="530"/>
      <c r="BR413" s="530"/>
      <c r="BS413" s="530"/>
      <c r="BT413" s="530"/>
      <c r="BU413" s="530"/>
    </row>
    <row r="414" spans="68:73" ht="18.899999999999999" customHeight="1">
      <c r="BP414" s="530"/>
      <c r="BQ414" s="530"/>
      <c r="BR414" s="530"/>
      <c r="BS414" s="530"/>
      <c r="BT414" s="530"/>
      <c r="BU414" s="530"/>
    </row>
    <row r="415" spans="68:73" ht="18.899999999999999" customHeight="1">
      <c r="BP415" s="530"/>
      <c r="BQ415" s="530"/>
      <c r="BR415" s="530"/>
      <c r="BS415" s="530"/>
      <c r="BT415" s="530"/>
      <c r="BU415" s="530"/>
    </row>
    <row r="416" spans="68:73" ht="18.899999999999999" customHeight="1">
      <c r="BP416" s="530"/>
      <c r="BQ416" s="530"/>
      <c r="BR416" s="530"/>
      <c r="BS416" s="530"/>
      <c r="BT416" s="530"/>
      <c r="BU416" s="530"/>
    </row>
    <row r="417" spans="68:73" ht="18.899999999999999" customHeight="1">
      <c r="BP417" s="530"/>
      <c r="BQ417" s="530"/>
      <c r="BR417" s="530"/>
      <c r="BS417" s="530"/>
      <c r="BT417" s="530"/>
      <c r="BU417" s="530"/>
    </row>
    <row r="418" spans="68:73" ht="18.899999999999999" customHeight="1">
      <c r="BP418" s="530"/>
      <c r="BQ418" s="530"/>
      <c r="BR418" s="530"/>
      <c r="BS418" s="530"/>
      <c r="BT418" s="530"/>
      <c r="BU418" s="530"/>
    </row>
    <row r="419" spans="68:73" ht="18.899999999999999" customHeight="1">
      <c r="BP419" s="530"/>
      <c r="BQ419" s="530"/>
      <c r="BR419" s="530"/>
      <c r="BS419" s="530"/>
      <c r="BT419" s="530"/>
      <c r="BU419" s="530"/>
    </row>
    <row r="420" spans="68:73" ht="18.899999999999999" customHeight="1">
      <c r="BP420" s="530"/>
      <c r="BQ420" s="530"/>
      <c r="BR420" s="530"/>
      <c r="BS420" s="530"/>
      <c r="BT420" s="530"/>
      <c r="BU420" s="530"/>
    </row>
    <row r="421" spans="68:73" ht="18.899999999999999" customHeight="1">
      <c r="BP421" s="530"/>
      <c r="BQ421" s="530"/>
      <c r="BR421" s="530"/>
      <c r="BS421" s="530"/>
      <c r="BT421" s="530"/>
      <c r="BU421" s="530"/>
    </row>
    <row r="422" spans="68:73" ht="18.899999999999999" customHeight="1">
      <c r="BP422" s="530"/>
      <c r="BQ422" s="530"/>
      <c r="BR422" s="530"/>
      <c r="BS422" s="530"/>
      <c r="BT422" s="530"/>
      <c r="BU422" s="530"/>
    </row>
    <row r="423" spans="68:73" ht="18.899999999999999" customHeight="1">
      <c r="BP423" s="530"/>
      <c r="BQ423" s="530"/>
      <c r="BR423" s="530"/>
      <c r="BS423" s="530"/>
      <c r="BT423" s="530"/>
      <c r="BU423" s="530"/>
    </row>
    <row r="424" spans="68:73" ht="18.899999999999999" customHeight="1">
      <c r="BP424" s="530"/>
      <c r="BQ424" s="530"/>
      <c r="BR424" s="530"/>
      <c r="BS424" s="530"/>
      <c r="BT424" s="530"/>
      <c r="BU424" s="530"/>
    </row>
    <row r="425" spans="68:73" ht="18.899999999999999" customHeight="1">
      <c r="BP425" s="530"/>
      <c r="BQ425" s="530"/>
      <c r="BR425" s="530"/>
      <c r="BS425" s="530"/>
      <c r="BT425" s="530"/>
      <c r="BU425" s="530"/>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72" customWidth="1"/>
    <col min="2" max="2" width="13.08984375" style="530" customWidth="1"/>
    <col min="3" max="3" width="5" style="530" customWidth="1"/>
    <col min="4" max="9" width="6.453125" style="530" customWidth="1"/>
    <col min="10" max="10" width="4.90625" style="530" customWidth="1"/>
    <col min="11" max="13" width="6.453125" style="530" customWidth="1"/>
    <col min="14" max="14" width="6.36328125" style="530" customWidth="1"/>
    <col min="15" max="15" width="3.90625" style="530" customWidth="1"/>
    <col min="16" max="16" width="6.453125" style="530" customWidth="1"/>
    <col min="17" max="18" width="4.81640625" style="530" customWidth="1"/>
    <col min="19" max="20" width="4.453125" style="530" customWidth="1"/>
    <col min="21" max="22" width="3.90625" style="530" customWidth="1"/>
    <col min="23" max="23" width="6.6328125" style="530" customWidth="1"/>
    <col min="24" max="24" width="4.453125" style="530" customWidth="1"/>
    <col min="25" max="28" width="4.36328125" style="530" customWidth="1"/>
    <col min="29" max="29" width="3.90625" style="530" customWidth="1"/>
    <col min="30" max="30" width="4.6328125" style="530" customWidth="1"/>
    <col min="31" max="49" width="4.36328125" style="530" customWidth="1"/>
    <col min="50" max="50" width="5.08984375" style="530" customWidth="1"/>
    <col min="51" max="58" width="3.90625" style="530" customWidth="1"/>
    <col min="59" max="59" width="5.1796875" style="530" customWidth="1"/>
    <col min="60" max="68" width="3.90625" style="530" customWidth="1"/>
    <col min="69" max="69" width="3.90625" style="531" customWidth="1"/>
    <col min="70" max="70" width="6.453125" style="531" customWidth="1"/>
    <col min="71" max="71" width="3.81640625" style="531" customWidth="1"/>
    <col min="72" max="74" width="4.36328125" style="531" customWidth="1"/>
    <col min="75" max="75" width="4.36328125" style="530" customWidth="1"/>
    <col min="76" max="76" width="4.81640625" style="530" customWidth="1"/>
    <col min="77" max="77" width="4.36328125" style="530" customWidth="1"/>
    <col min="78" max="78" width="4.453125" style="530" customWidth="1"/>
    <col min="79" max="79" width="4.36328125" style="530" customWidth="1"/>
    <col min="80" max="80" width="4.81640625" style="530" customWidth="1"/>
    <col min="81" max="82" width="4.36328125" style="530" customWidth="1"/>
    <col min="83" max="83" width="4.81640625" style="530" customWidth="1"/>
    <col min="84" max="84" width="4.08984375" style="530" customWidth="1"/>
    <col min="85" max="85" width="4.90625" style="530" customWidth="1"/>
    <col min="86" max="86" width="3.90625" style="530" customWidth="1"/>
    <col min="87" max="87" width="5.453125" style="530" customWidth="1"/>
    <col min="88" max="88" width="3.90625" style="530" customWidth="1"/>
    <col min="89" max="94" width="4.08984375" style="530" customWidth="1"/>
    <col min="95" max="95" width="6.6328125" style="530" customWidth="1"/>
    <col min="96" max="97" width="4.453125" style="530" customWidth="1"/>
    <col min="98" max="98" width="4.08984375" style="530" customWidth="1"/>
    <col min="99" max="99" width="4.453125" style="530" customWidth="1"/>
    <col min="100" max="100" width="4.08984375" style="530" customWidth="1"/>
    <col min="101" max="101" width="6.453125" style="530" customWidth="1"/>
    <col min="102" max="102" width="4.1796875" style="530" customWidth="1"/>
    <col min="103" max="103" width="6.1796875" style="822" customWidth="1"/>
    <col min="104" max="104" width="4.453125" style="530" customWidth="1"/>
    <col min="105" max="105" width="3.90625" style="530" customWidth="1"/>
    <col min="106" max="106" width="4.81640625" style="530" customWidth="1"/>
    <col min="107" max="107" width="6.6328125" style="530" customWidth="1"/>
    <col min="108" max="108" width="4.453125" style="530" customWidth="1"/>
    <col min="109" max="109" width="4.08984375" style="530" customWidth="1"/>
    <col min="110" max="110" width="5.90625" style="530" customWidth="1"/>
    <col min="111" max="111" width="4.81640625" style="530" customWidth="1"/>
    <col min="112" max="112" width="4.08984375" style="530" customWidth="1"/>
    <col min="113" max="113" width="6.36328125" style="530" customWidth="1"/>
    <col min="114" max="114" width="4.08984375" style="530" customWidth="1"/>
    <col min="115" max="115" width="4.81640625" style="530" customWidth="1"/>
    <col min="116" max="116" width="5.81640625" style="530" customWidth="1"/>
    <col min="117" max="117" width="3.36328125" style="530" customWidth="1"/>
    <col min="118" max="118" width="5.81640625" style="530" customWidth="1"/>
    <col min="119" max="119" width="4.1796875" style="530" customWidth="1"/>
    <col min="120" max="124" width="4.36328125" style="530" customWidth="1"/>
    <col min="125" max="125" width="5.453125" style="530" customWidth="1"/>
    <col min="126" max="126" width="6" style="532" customWidth="1"/>
    <col min="127" max="16384" width="8.90625" style="530"/>
  </cols>
  <sheetData>
    <row r="2" spans="1:256" s="538" customFormat="1" ht="17.399999999999999">
      <c r="A2" s="564" t="s">
        <v>4064</v>
      </c>
      <c r="B2" s="573"/>
      <c r="C2" s="533"/>
      <c r="D2" s="533"/>
      <c r="E2" s="533"/>
      <c r="F2" s="533"/>
      <c r="G2" s="533"/>
      <c r="H2" s="533"/>
      <c r="I2" s="533"/>
      <c r="J2" s="533"/>
      <c r="K2" s="533"/>
      <c r="L2" s="533"/>
      <c r="M2" s="533"/>
      <c r="N2" s="533"/>
      <c r="O2" s="533"/>
      <c r="P2" s="533"/>
      <c r="Q2" s="533"/>
      <c r="R2" s="533"/>
      <c r="S2" s="533"/>
      <c r="T2" s="533"/>
      <c r="U2" s="533"/>
      <c r="V2" s="533"/>
      <c r="W2" s="533"/>
      <c r="X2" s="533"/>
      <c r="Y2" s="533"/>
      <c r="Z2" s="533"/>
      <c r="AA2" s="533"/>
      <c r="AB2" s="539"/>
      <c r="AC2" s="533"/>
      <c r="AD2" s="539"/>
      <c r="AE2" s="533"/>
      <c r="AF2" s="533"/>
      <c r="AG2" s="533"/>
      <c r="AH2" s="533"/>
      <c r="AI2" s="533"/>
      <c r="AJ2" s="533"/>
      <c r="AK2" s="533"/>
      <c r="AL2" s="533"/>
      <c r="AM2" s="533"/>
      <c r="AN2" s="533"/>
      <c r="AO2" s="533"/>
      <c r="AP2" s="533"/>
      <c r="AQ2" s="533"/>
      <c r="AR2" s="533"/>
      <c r="AS2" s="533"/>
      <c r="AT2" s="533"/>
      <c r="AU2" s="533"/>
      <c r="AV2" s="533"/>
      <c r="AW2" s="533"/>
      <c r="AX2" s="533"/>
      <c r="AY2" s="533"/>
      <c r="AZ2" s="533"/>
      <c r="BA2" s="533"/>
      <c r="BB2" s="533"/>
      <c r="BC2" s="533"/>
      <c r="BD2" s="533"/>
      <c r="BE2" s="533"/>
      <c r="BF2" s="533"/>
      <c r="BG2" s="533"/>
      <c r="BH2" s="533"/>
      <c r="BI2" s="533"/>
      <c r="BJ2" s="533"/>
      <c r="BK2" s="533"/>
      <c r="BL2" s="533"/>
      <c r="BM2" s="533"/>
      <c r="BN2" s="533"/>
      <c r="BO2" s="533"/>
      <c r="BP2" s="533"/>
      <c r="BQ2" s="536"/>
      <c r="BR2" s="536"/>
      <c r="BS2" s="536"/>
      <c r="BT2" s="536"/>
      <c r="BU2" s="536"/>
      <c r="BV2" s="536"/>
      <c r="BW2" s="533"/>
      <c r="BX2" s="533"/>
      <c r="BY2" s="533"/>
      <c r="BZ2" s="533"/>
      <c r="CA2" s="533"/>
      <c r="CB2" s="533"/>
      <c r="CC2" s="533"/>
      <c r="CD2" s="533"/>
      <c r="CE2" s="533"/>
      <c r="CF2" s="533"/>
      <c r="CG2" s="533"/>
      <c r="CH2" s="533"/>
      <c r="CI2" s="533"/>
      <c r="CJ2" s="533"/>
      <c r="CK2" s="533"/>
      <c r="CL2" s="533"/>
      <c r="CM2" s="533"/>
      <c r="CN2" s="533"/>
      <c r="CO2" s="533"/>
      <c r="CP2" s="533"/>
      <c r="CQ2" s="533"/>
      <c r="CR2" s="533"/>
      <c r="CS2" s="533"/>
      <c r="CT2" s="533"/>
      <c r="CU2" s="533"/>
      <c r="CV2" s="533"/>
      <c r="CW2" s="533"/>
      <c r="CX2" s="533"/>
      <c r="CY2" s="814"/>
      <c r="CZ2" s="533"/>
      <c r="DA2" s="533"/>
      <c r="DB2" s="533"/>
      <c r="DC2" s="533"/>
      <c r="DD2" s="533"/>
      <c r="DE2" s="533"/>
      <c r="DF2" s="533"/>
      <c r="DG2" s="533"/>
      <c r="DH2" s="533"/>
      <c r="DI2" s="533"/>
      <c r="DJ2" s="533"/>
      <c r="DK2" s="533"/>
      <c r="DL2" s="533"/>
      <c r="DM2" s="533"/>
      <c r="DN2" s="533"/>
      <c r="DO2" s="533"/>
      <c r="DP2" s="533"/>
      <c r="DQ2" s="533"/>
      <c r="DR2" s="533"/>
      <c r="DS2" s="533"/>
      <c r="DT2" s="533"/>
      <c r="DU2" s="533"/>
      <c r="DV2" s="537"/>
    </row>
    <row r="3" spans="1:256" s="538" customFormat="1" ht="1.5" customHeight="1" thickBot="1">
      <c r="A3" s="663"/>
      <c r="B3" s="539"/>
      <c r="C3" s="539"/>
      <c r="D3" s="539"/>
      <c r="E3" s="539"/>
      <c r="F3" s="539"/>
      <c r="G3" s="539"/>
      <c r="H3" s="539"/>
      <c r="I3" s="539"/>
      <c r="J3" s="539"/>
      <c r="K3" s="539"/>
      <c r="L3" s="539"/>
      <c r="M3" s="539"/>
      <c r="N3" s="539"/>
      <c r="O3" s="539"/>
      <c r="P3" s="539"/>
      <c r="Q3" s="539"/>
      <c r="R3" s="539"/>
      <c r="S3" s="539"/>
      <c r="T3" s="539"/>
      <c r="U3" s="539"/>
      <c r="V3" s="539"/>
      <c r="W3" s="539"/>
      <c r="X3" s="539"/>
      <c r="Y3" s="539"/>
      <c r="Z3" s="539"/>
      <c r="AA3" s="539"/>
      <c r="AB3" s="575"/>
      <c r="AC3" s="539"/>
      <c r="AD3" s="575"/>
      <c r="AE3" s="539"/>
      <c r="AF3" s="539"/>
      <c r="AG3" s="539"/>
      <c r="AH3" s="539"/>
      <c r="AI3" s="539"/>
      <c r="AJ3" s="539"/>
      <c r="AK3" s="539"/>
      <c r="AL3" s="539"/>
      <c r="AM3" s="539"/>
      <c r="AN3" s="539"/>
      <c r="AO3" s="539"/>
      <c r="AP3" s="539"/>
      <c r="AQ3" s="539"/>
      <c r="AR3" s="539"/>
      <c r="AS3" s="539"/>
      <c r="AT3" s="539"/>
      <c r="AU3" s="539"/>
      <c r="AV3" s="539"/>
      <c r="AW3" s="539"/>
      <c r="AX3" s="539"/>
      <c r="AY3" s="539"/>
      <c r="AZ3" s="539"/>
      <c r="BA3" s="539"/>
      <c r="BB3" s="539"/>
      <c r="BC3" s="539"/>
      <c r="BD3" s="539"/>
      <c r="BE3" s="539"/>
      <c r="BF3" s="539"/>
      <c r="BG3" s="539"/>
      <c r="BH3" s="539"/>
      <c r="BI3" s="539"/>
      <c r="BJ3" s="539"/>
      <c r="BK3" s="539"/>
      <c r="BL3" s="539"/>
      <c r="BM3" s="539"/>
      <c r="BN3" s="539"/>
      <c r="BO3" s="539"/>
      <c r="BP3" s="539"/>
      <c r="BQ3" s="539"/>
      <c r="BR3" s="539"/>
      <c r="BS3" s="539"/>
      <c r="BT3" s="539"/>
      <c r="BU3" s="539"/>
      <c r="BV3" s="539"/>
      <c r="BW3" s="539"/>
      <c r="BX3" s="539"/>
      <c r="BY3" s="539"/>
      <c r="BZ3" s="539"/>
      <c r="CA3" s="539"/>
      <c r="CB3" s="539"/>
      <c r="CC3" s="539"/>
      <c r="CD3" s="539"/>
      <c r="CE3" s="539"/>
      <c r="CF3" s="539"/>
      <c r="CG3" s="539"/>
      <c r="CH3" s="539"/>
      <c r="CI3" s="539"/>
      <c r="CJ3" s="539"/>
      <c r="CK3" s="539"/>
      <c r="CL3" s="539"/>
      <c r="CM3" s="539"/>
      <c r="CN3" s="539"/>
      <c r="CO3" s="539"/>
      <c r="CP3" s="539"/>
      <c r="CQ3" s="539"/>
      <c r="CR3" s="539"/>
      <c r="CS3" s="539"/>
      <c r="CT3" s="539"/>
      <c r="CU3" s="539"/>
      <c r="CV3" s="539"/>
      <c r="CW3" s="539"/>
      <c r="CX3" s="539"/>
      <c r="CY3" s="815"/>
      <c r="CZ3" s="539"/>
      <c r="DA3" s="539"/>
      <c r="DB3" s="539"/>
      <c r="DC3" s="539"/>
      <c r="DD3" s="539"/>
      <c r="DE3" s="539"/>
      <c r="DF3" s="539"/>
      <c r="DG3" s="539"/>
      <c r="DH3" s="539"/>
      <c r="DI3" s="539"/>
      <c r="DJ3" s="539"/>
      <c r="DK3" s="539"/>
      <c r="DL3" s="539"/>
      <c r="DM3" s="539"/>
      <c r="DN3" s="539"/>
      <c r="DO3" s="539"/>
      <c r="DP3" s="539"/>
      <c r="DQ3" s="539"/>
      <c r="DR3" s="539"/>
      <c r="DS3" s="539"/>
      <c r="DT3" s="539"/>
      <c r="DU3" s="539"/>
      <c r="DV3" s="540"/>
    </row>
    <row r="4" spans="1:256" s="554" customFormat="1" ht="42.75" customHeight="1" thickTop="1">
      <c r="A4" s="3104" t="s">
        <v>3939</v>
      </c>
      <c r="B4" s="3106" t="s">
        <v>3990</v>
      </c>
      <c r="C4" s="3106" t="s">
        <v>3785</v>
      </c>
      <c r="D4" s="3102" t="s">
        <v>1034</v>
      </c>
      <c r="E4" s="3102" t="s">
        <v>187</v>
      </c>
      <c r="F4" s="3102" t="s">
        <v>2025</v>
      </c>
      <c r="G4" s="3102" t="s">
        <v>2208</v>
      </c>
      <c r="H4" s="3102" t="s">
        <v>116</v>
      </c>
      <c r="I4" s="3102" t="s">
        <v>1151</v>
      </c>
      <c r="J4" s="3102" t="s">
        <v>1150</v>
      </c>
      <c r="K4" s="3102" t="s">
        <v>1149</v>
      </c>
      <c r="L4" s="3102" t="s">
        <v>2268</v>
      </c>
      <c r="M4" s="3102" t="s">
        <v>2267</v>
      </c>
      <c r="N4" s="3102" t="s">
        <v>2266</v>
      </c>
      <c r="O4" s="3102" t="s">
        <v>3793</v>
      </c>
      <c r="P4" s="3102" t="s">
        <v>3926</v>
      </c>
      <c r="Q4" s="3102" t="s">
        <v>3795</v>
      </c>
      <c r="R4" s="3116" t="s">
        <v>3993</v>
      </c>
      <c r="S4" s="3117"/>
      <c r="T4" s="3117"/>
      <c r="U4" s="3117"/>
      <c r="V4" s="3118"/>
      <c r="W4" s="3116" t="s">
        <v>3897</v>
      </c>
      <c r="X4" s="3117"/>
      <c r="Y4" s="3117"/>
      <c r="Z4" s="3117"/>
      <c r="AA4" s="3117"/>
      <c r="AB4" s="3117"/>
      <c r="AC4" s="3117"/>
      <c r="AD4" s="3117"/>
      <c r="AE4" s="3117"/>
      <c r="AF4" s="3117"/>
      <c r="AG4" s="3117"/>
      <c r="AH4" s="3117"/>
      <c r="AI4" s="3117"/>
      <c r="AJ4" s="3117"/>
      <c r="AK4" s="3117"/>
      <c r="AL4" s="3117"/>
      <c r="AM4" s="3117"/>
      <c r="AN4" s="3117"/>
      <c r="AO4" s="3117"/>
      <c r="AP4" s="3117"/>
      <c r="AQ4" s="3117"/>
      <c r="AR4" s="3117"/>
      <c r="AS4" s="3117"/>
      <c r="AT4" s="3117"/>
      <c r="AU4" s="3117"/>
      <c r="AV4" s="3118"/>
      <c r="AW4" s="943"/>
      <c r="AX4" s="946" t="s">
        <v>3797</v>
      </c>
      <c r="AY4" s="943"/>
      <c r="AZ4" s="943"/>
      <c r="BA4" s="943"/>
      <c r="BB4" s="943"/>
      <c r="BC4" s="943"/>
      <c r="BD4" s="943"/>
      <c r="BE4" s="943"/>
      <c r="BF4" s="943"/>
      <c r="BG4" s="943" t="s">
        <v>3900</v>
      </c>
      <c r="BH4" s="652"/>
      <c r="BI4" s="652"/>
      <c r="BJ4" s="652"/>
      <c r="BK4" s="652"/>
      <c r="BL4" s="652"/>
      <c r="BM4" s="652"/>
      <c r="BN4" s="652"/>
      <c r="BO4" s="652"/>
      <c r="BP4" s="652"/>
      <c r="BQ4" s="3102" t="s">
        <v>2390</v>
      </c>
      <c r="BR4" s="3102" t="s">
        <v>2395</v>
      </c>
      <c r="BS4" s="3102" t="s">
        <v>4578</v>
      </c>
      <c r="BT4" s="3102" t="s">
        <v>2390</v>
      </c>
      <c r="BU4" s="3102" t="s">
        <v>2396</v>
      </c>
      <c r="BV4" s="3102" t="s">
        <v>2397</v>
      </c>
      <c r="BW4" s="3106" t="s">
        <v>3943</v>
      </c>
      <c r="BX4" s="565" t="s">
        <v>2181</v>
      </c>
      <c r="BY4" s="576"/>
      <c r="BZ4" s="576"/>
      <c r="CA4" s="577"/>
      <c r="CB4" s="3108" t="s">
        <v>3998</v>
      </c>
      <c r="CC4" s="3108" t="s">
        <v>3945</v>
      </c>
      <c r="CD4" s="3108" t="s">
        <v>3946</v>
      </c>
      <c r="CE4" s="3108" t="s">
        <v>3947</v>
      </c>
      <c r="CF4" s="3108" t="s">
        <v>3948</v>
      </c>
      <c r="CG4" s="3108" t="s">
        <v>4065</v>
      </c>
      <c r="CH4" s="3111" t="s">
        <v>3950</v>
      </c>
      <c r="CI4" s="3112"/>
      <c r="CJ4" s="3112"/>
      <c r="CK4" s="3112"/>
      <c r="CL4" s="3112"/>
      <c r="CM4" s="3112"/>
      <c r="CN4" s="3112"/>
      <c r="CO4" s="3112"/>
      <c r="CP4" s="3112"/>
      <c r="CQ4" s="3112"/>
      <c r="CR4" s="3112"/>
      <c r="CS4" s="3112"/>
      <c r="CT4" s="3112"/>
      <c r="CU4" s="3113"/>
      <c r="CV4" s="3111" t="s">
        <v>3951</v>
      </c>
      <c r="CW4" s="3112"/>
      <c r="CX4" s="3112"/>
      <c r="CY4" s="3112"/>
      <c r="CZ4" s="3113"/>
      <c r="DA4" s="3111" t="s">
        <v>3952</v>
      </c>
      <c r="DB4" s="3112"/>
      <c r="DC4" s="3112"/>
      <c r="DD4" s="3113"/>
      <c r="DE4" s="3111" t="s">
        <v>2602</v>
      </c>
      <c r="DF4" s="3112"/>
      <c r="DG4" s="3112"/>
      <c r="DH4" s="3113"/>
      <c r="DI4" s="3111" t="s">
        <v>475</v>
      </c>
      <c r="DJ4" s="3113"/>
      <c r="DK4" s="3108" t="s">
        <v>3999</v>
      </c>
      <c r="DL4" s="3108" t="s">
        <v>3953</v>
      </c>
      <c r="DM4" s="3108" t="s">
        <v>3954</v>
      </c>
      <c r="DN4" s="3108" t="s">
        <v>3955</v>
      </c>
      <c r="DO4" s="3108" t="s">
        <v>2859</v>
      </c>
      <c r="DP4" s="3106" t="s">
        <v>4066</v>
      </c>
      <c r="DQ4" s="3106" t="s">
        <v>4574</v>
      </c>
      <c r="DR4" s="3106" t="s">
        <v>4575</v>
      </c>
      <c r="DS4" s="3106" t="s">
        <v>4576</v>
      </c>
      <c r="DT4" s="3106" t="s">
        <v>4002</v>
      </c>
      <c r="DU4" s="3106" t="s">
        <v>4155</v>
      </c>
      <c r="DV4" s="3114" t="s">
        <v>2607</v>
      </c>
    </row>
    <row r="5" spans="1:256" s="542" customFormat="1" ht="100.2">
      <c r="A5" s="3105"/>
      <c r="B5" s="3107"/>
      <c r="C5" s="3107"/>
      <c r="D5" s="3103"/>
      <c r="E5" s="3103"/>
      <c r="F5" s="3103"/>
      <c r="G5" s="3103"/>
      <c r="H5" s="3103"/>
      <c r="I5" s="3103"/>
      <c r="J5" s="3103"/>
      <c r="K5" s="3103"/>
      <c r="L5" s="3103"/>
      <c r="M5" s="3103"/>
      <c r="N5" s="3103"/>
      <c r="O5" s="3103"/>
      <c r="P5" s="3103"/>
      <c r="Q5" s="3103"/>
      <c r="R5" s="824" t="s">
        <v>301</v>
      </c>
      <c r="S5" s="824" t="s">
        <v>232</v>
      </c>
      <c r="T5" s="824" t="s">
        <v>185</v>
      </c>
      <c r="U5" s="824" t="s">
        <v>300</v>
      </c>
      <c r="V5" s="944" t="s">
        <v>4345</v>
      </c>
      <c r="W5" s="812" t="s">
        <v>87</v>
      </c>
      <c r="X5" s="812" t="s">
        <v>958</v>
      </c>
      <c r="Y5" s="812" t="s">
        <v>762</v>
      </c>
      <c r="Z5" s="812" t="s">
        <v>102</v>
      </c>
      <c r="AA5" s="812" t="s">
        <v>2182</v>
      </c>
      <c r="AB5" s="812" t="s">
        <v>234</v>
      </c>
      <c r="AC5" s="824" t="s">
        <v>2321</v>
      </c>
      <c r="AD5" s="824" t="s">
        <v>4154</v>
      </c>
      <c r="AE5" s="812" t="s">
        <v>2183</v>
      </c>
      <c r="AF5" s="812" t="s">
        <v>932</v>
      </c>
      <c r="AG5" s="812" t="s">
        <v>933</v>
      </c>
      <c r="AH5" s="812" t="s">
        <v>2184</v>
      </c>
      <c r="AI5" s="812" t="s">
        <v>695</v>
      </c>
      <c r="AJ5" s="812" t="s">
        <v>994</v>
      </c>
      <c r="AK5" s="812" t="s">
        <v>100</v>
      </c>
      <c r="AL5" s="812" t="s">
        <v>833</v>
      </c>
      <c r="AM5" s="812" t="s">
        <v>834</v>
      </c>
      <c r="AN5" s="812" t="s">
        <v>832</v>
      </c>
      <c r="AO5" s="812" t="s">
        <v>760</v>
      </c>
      <c r="AP5" s="812" t="s">
        <v>286</v>
      </c>
      <c r="AQ5" s="812" t="s">
        <v>303</v>
      </c>
      <c r="AR5" s="812" t="s">
        <v>2269</v>
      </c>
      <c r="AS5" s="812" t="s">
        <v>304</v>
      </c>
      <c r="AT5" s="812" t="s">
        <v>638</v>
      </c>
      <c r="AU5" s="812" t="s">
        <v>647</v>
      </c>
      <c r="AV5" s="824" t="s">
        <v>903</v>
      </c>
      <c r="AW5" s="812" t="s">
        <v>511</v>
      </c>
      <c r="AX5" s="811" t="s">
        <v>633</v>
      </c>
      <c r="AY5" s="811" t="s">
        <v>632</v>
      </c>
      <c r="AZ5" s="811" t="s">
        <v>835</v>
      </c>
      <c r="BA5" s="811" t="s">
        <v>836</v>
      </c>
      <c r="BB5" s="811" t="s">
        <v>663</v>
      </c>
      <c r="BC5" s="811" t="s">
        <v>664</v>
      </c>
      <c r="BD5" s="811" t="s">
        <v>749</v>
      </c>
      <c r="BE5" s="811" t="s">
        <v>748</v>
      </c>
      <c r="BF5" s="811" t="s">
        <v>4004</v>
      </c>
      <c r="BG5" s="824" t="s">
        <v>1495</v>
      </c>
      <c r="BH5" s="824" t="s">
        <v>1496</v>
      </c>
      <c r="BI5" s="824" t="s">
        <v>1575</v>
      </c>
      <c r="BJ5" s="824" t="s">
        <v>1091</v>
      </c>
      <c r="BK5" s="824" t="s">
        <v>2152</v>
      </c>
      <c r="BL5" s="824" t="s">
        <v>1092</v>
      </c>
      <c r="BM5" s="824" t="s">
        <v>2153</v>
      </c>
      <c r="BN5" s="824" t="s">
        <v>1093</v>
      </c>
      <c r="BO5" s="824" t="s">
        <v>2050</v>
      </c>
      <c r="BP5" s="824" t="s">
        <v>1094</v>
      </c>
      <c r="BQ5" s="3103"/>
      <c r="BR5" s="3103"/>
      <c r="BS5" s="3103"/>
      <c r="BT5" s="3103"/>
      <c r="BU5" s="3103"/>
      <c r="BV5" s="3103"/>
      <c r="BW5" s="3110"/>
      <c r="BX5" s="824" t="s">
        <v>4005</v>
      </c>
      <c r="BY5" s="824" t="s">
        <v>4006</v>
      </c>
      <c r="BZ5" s="824" t="s">
        <v>3962</v>
      </c>
      <c r="CA5" s="824" t="s">
        <v>4572</v>
      </c>
      <c r="CB5" s="3109"/>
      <c r="CC5" s="3109"/>
      <c r="CD5" s="3109"/>
      <c r="CE5" s="3109"/>
      <c r="CF5" s="3109"/>
      <c r="CG5" s="3109"/>
      <c r="CH5" s="813" t="s">
        <v>3964</v>
      </c>
      <c r="CI5" s="813" t="s">
        <v>3969</v>
      </c>
      <c r="CJ5" s="813" t="s">
        <v>3965</v>
      </c>
      <c r="CK5" s="813" t="s">
        <v>4008</v>
      </c>
      <c r="CL5" s="813" t="s">
        <v>4009</v>
      </c>
      <c r="CM5" s="813" t="s">
        <v>4346</v>
      </c>
      <c r="CN5" s="813" t="s">
        <v>3967</v>
      </c>
      <c r="CO5" s="813" t="s">
        <v>4010</v>
      </c>
      <c r="CP5" s="813" t="s">
        <v>4011</v>
      </c>
      <c r="CQ5" s="813" t="s">
        <v>4067</v>
      </c>
      <c r="CR5" s="813" t="s">
        <v>4068</v>
      </c>
      <c r="CS5" s="813" t="s">
        <v>4069</v>
      </c>
      <c r="CT5" s="813" t="s">
        <v>3968</v>
      </c>
      <c r="CU5" s="813" t="s">
        <v>3969</v>
      </c>
      <c r="CV5" s="813" t="s">
        <v>3970</v>
      </c>
      <c r="CW5" s="813" t="s">
        <v>3971</v>
      </c>
      <c r="CX5" s="813" t="s">
        <v>3972</v>
      </c>
      <c r="CY5" s="813" t="s">
        <v>4318</v>
      </c>
      <c r="CZ5" s="813" t="s">
        <v>3973</v>
      </c>
      <c r="DA5" s="813" t="s">
        <v>4070</v>
      </c>
      <c r="DB5" s="813" t="s">
        <v>4071</v>
      </c>
      <c r="DC5" s="813" t="s">
        <v>3976</v>
      </c>
      <c r="DD5" s="813" t="s">
        <v>3975</v>
      </c>
      <c r="DE5" s="813" t="s">
        <v>4072</v>
      </c>
      <c r="DF5" s="813" t="s">
        <v>4073</v>
      </c>
      <c r="DG5" s="813" t="s">
        <v>3979</v>
      </c>
      <c r="DH5" s="813" t="s">
        <v>3978</v>
      </c>
      <c r="DI5" s="813" t="s">
        <v>4156</v>
      </c>
      <c r="DJ5" s="813" t="s">
        <v>4573</v>
      </c>
      <c r="DK5" s="3109"/>
      <c r="DL5" s="3109"/>
      <c r="DM5" s="3109"/>
      <c r="DN5" s="3109"/>
      <c r="DO5" s="3109"/>
      <c r="DP5" s="3110"/>
      <c r="DQ5" s="3110"/>
      <c r="DR5" s="3110"/>
      <c r="DS5" s="3110"/>
      <c r="DT5" s="3110"/>
      <c r="DU5" s="3110"/>
      <c r="DV5" s="3115"/>
    </row>
    <row r="6" spans="1:256" s="545" customFormat="1" ht="24.6" customHeight="1">
      <c r="A6" s="654"/>
      <c r="B6" s="544"/>
      <c r="C6" s="544"/>
      <c r="D6" s="544"/>
      <c r="E6" s="544"/>
      <c r="F6" s="544"/>
      <c r="G6" s="544"/>
      <c r="H6" s="544"/>
      <c r="I6" s="544"/>
      <c r="J6" s="544"/>
      <c r="K6" s="544"/>
      <c r="L6" s="544"/>
      <c r="M6" s="544"/>
      <c r="N6" s="544"/>
      <c r="O6" s="544"/>
      <c r="P6" s="544"/>
      <c r="Q6" s="544"/>
      <c r="R6" s="544"/>
      <c r="S6" s="544"/>
      <c r="T6" s="544"/>
      <c r="U6" s="544"/>
      <c r="V6" s="544"/>
      <c r="W6" s="544"/>
      <c r="X6" s="544"/>
      <c r="Y6" s="544"/>
      <c r="Z6" s="544"/>
      <c r="AA6" s="544"/>
      <c r="AB6" s="544"/>
      <c r="AC6" s="544"/>
      <c r="AD6" s="544"/>
      <c r="AE6" s="544"/>
      <c r="AF6" s="544"/>
      <c r="AG6" s="544"/>
      <c r="AH6" s="544"/>
      <c r="AI6" s="544"/>
      <c r="AJ6" s="544"/>
      <c r="AK6" s="544"/>
      <c r="AL6" s="544"/>
      <c r="AM6" s="544"/>
      <c r="AN6" s="544"/>
      <c r="AO6" s="544"/>
      <c r="AP6" s="544"/>
      <c r="AQ6" s="544"/>
      <c r="AR6" s="544"/>
      <c r="AS6" s="544"/>
      <c r="AT6" s="544"/>
      <c r="AU6" s="544"/>
      <c r="AV6" s="544"/>
      <c r="AW6" s="544"/>
      <c r="AX6" s="544"/>
      <c r="AY6" s="544"/>
      <c r="AZ6" s="544"/>
      <c r="BA6" s="544"/>
      <c r="BB6" s="544"/>
      <c r="BC6" s="544"/>
      <c r="BD6" s="544"/>
      <c r="BE6" s="544"/>
      <c r="BF6" s="544"/>
      <c r="BG6" s="544"/>
      <c r="BH6" s="544"/>
      <c r="BI6" s="544"/>
      <c r="BJ6" s="544"/>
      <c r="BK6" s="544"/>
      <c r="BL6" s="544"/>
      <c r="BM6" s="544"/>
      <c r="BN6" s="544"/>
      <c r="BO6" s="544"/>
      <c r="BP6" s="544"/>
      <c r="BQ6" s="544"/>
      <c r="BR6" s="544"/>
      <c r="BS6" s="544"/>
      <c r="BT6" s="544"/>
      <c r="BU6" s="544"/>
      <c r="BV6" s="544"/>
      <c r="BW6" s="544"/>
      <c r="BX6" s="544"/>
      <c r="BY6" s="544"/>
      <c r="BZ6" s="544"/>
      <c r="CA6" s="544"/>
      <c r="CB6" s="544"/>
      <c r="CC6" s="544"/>
      <c r="CD6" s="544"/>
      <c r="CE6" s="544"/>
      <c r="CF6" s="544"/>
      <c r="CG6" s="544"/>
      <c r="CH6" s="544"/>
      <c r="CI6" s="544"/>
      <c r="CJ6" s="544"/>
      <c r="CK6" s="544"/>
      <c r="CL6" s="544"/>
      <c r="CM6" s="544"/>
      <c r="CN6" s="544"/>
      <c r="CO6" s="544"/>
      <c r="CP6" s="544"/>
      <c r="CQ6" s="544"/>
      <c r="CR6" s="544"/>
      <c r="CS6" s="544"/>
      <c r="CT6" s="544"/>
      <c r="CU6" s="544"/>
      <c r="CV6" s="544"/>
      <c r="CW6" s="544"/>
      <c r="CX6" s="544"/>
      <c r="CY6" s="816"/>
      <c r="CZ6" s="544"/>
      <c r="DA6" s="544"/>
      <c r="DB6" s="544"/>
      <c r="DC6" s="544"/>
      <c r="DD6" s="544"/>
      <c r="DE6" s="544"/>
      <c r="DF6" s="544"/>
      <c r="DG6" s="544"/>
      <c r="DH6" s="544"/>
      <c r="DI6" s="544"/>
      <c r="DJ6" s="544"/>
      <c r="DK6" s="544"/>
      <c r="DL6" s="544"/>
      <c r="DM6" s="544"/>
      <c r="DN6" s="544"/>
      <c r="DO6" s="544"/>
      <c r="DP6" s="544"/>
      <c r="DQ6" s="544"/>
      <c r="DR6" s="544"/>
      <c r="DS6" s="544"/>
      <c r="DT6" s="544"/>
      <c r="DU6" s="544"/>
      <c r="DV6" s="669"/>
      <c r="DW6" s="530"/>
      <c r="DX6" s="530"/>
      <c r="DY6" s="530"/>
      <c r="DZ6" s="530"/>
      <c r="EA6" s="530"/>
      <c r="EB6" s="530"/>
      <c r="EC6" s="530"/>
      <c r="ED6" s="530"/>
      <c r="EE6" s="530"/>
      <c r="EF6" s="530"/>
      <c r="EG6" s="530"/>
      <c r="EH6" s="530"/>
      <c r="EI6" s="530"/>
      <c r="EJ6" s="530"/>
      <c r="EK6" s="530"/>
      <c r="EL6" s="530"/>
      <c r="EM6" s="530"/>
      <c r="EN6" s="530"/>
      <c r="EO6" s="530"/>
      <c r="EP6" s="530"/>
      <c r="EQ6" s="530"/>
      <c r="ER6" s="530"/>
      <c r="ES6" s="530"/>
      <c r="ET6" s="530"/>
      <c r="EU6" s="530"/>
      <c r="EV6" s="530"/>
      <c r="EW6" s="530"/>
      <c r="EX6" s="530"/>
      <c r="EY6" s="530"/>
      <c r="EZ6" s="530"/>
      <c r="FA6" s="530"/>
      <c r="FB6" s="530"/>
      <c r="FC6" s="530"/>
      <c r="FD6" s="530"/>
      <c r="FE6" s="530"/>
      <c r="FF6" s="530"/>
      <c r="FG6" s="530"/>
      <c r="FH6" s="530"/>
      <c r="FI6" s="530"/>
      <c r="FJ6" s="530"/>
      <c r="FK6" s="530"/>
      <c r="FL6" s="530"/>
      <c r="FM6" s="530"/>
      <c r="FN6" s="530"/>
      <c r="FO6" s="530"/>
      <c r="FP6" s="530"/>
      <c r="FQ6" s="530"/>
      <c r="FR6" s="530"/>
      <c r="FS6" s="530"/>
      <c r="FT6" s="530"/>
      <c r="FU6" s="530"/>
      <c r="FV6" s="530"/>
      <c r="FW6" s="530"/>
      <c r="FX6" s="530"/>
      <c r="FY6" s="530"/>
      <c r="FZ6" s="530"/>
      <c r="GA6" s="530"/>
      <c r="GB6" s="530"/>
      <c r="GC6" s="530"/>
      <c r="GD6" s="530"/>
      <c r="GE6" s="530"/>
      <c r="GF6" s="530"/>
      <c r="GG6" s="530"/>
      <c r="GH6" s="530"/>
      <c r="GI6" s="530"/>
      <c r="GJ6" s="530"/>
      <c r="GK6" s="530"/>
      <c r="GL6" s="530"/>
      <c r="GM6" s="530"/>
      <c r="GN6" s="530"/>
      <c r="GO6" s="530"/>
      <c r="GP6" s="530"/>
      <c r="GQ6" s="530"/>
      <c r="GR6" s="530"/>
      <c r="GS6" s="530"/>
      <c r="GT6" s="530"/>
      <c r="GU6" s="530"/>
      <c r="GV6" s="530"/>
      <c r="GW6" s="530"/>
      <c r="GX6" s="530"/>
      <c r="GY6" s="530"/>
      <c r="GZ6" s="530"/>
      <c r="HA6" s="530"/>
      <c r="HB6" s="530"/>
      <c r="HC6" s="530"/>
      <c r="HD6" s="530"/>
      <c r="HE6" s="530"/>
      <c r="HF6" s="530"/>
      <c r="HG6" s="530"/>
      <c r="HH6" s="530"/>
      <c r="HI6" s="530"/>
      <c r="HJ6" s="530"/>
      <c r="HK6" s="530"/>
      <c r="HL6" s="530"/>
      <c r="HM6" s="530"/>
      <c r="HN6" s="530"/>
      <c r="HO6" s="530"/>
      <c r="HP6" s="530"/>
      <c r="HQ6" s="530"/>
      <c r="HR6" s="530"/>
      <c r="HS6" s="530"/>
      <c r="HT6" s="530"/>
      <c r="HU6" s="530"/>
      <c r="HV6" s="530"/>
      <c r="HW6" s="530"/>
      <c r="HX6" s="530"/>
      <c r="HY6" s="530"/>
      <c r="HZ6" s="530"/>
      <c r="IA6" s="530"/>
      <c r="IB6" s="530"/>
      <c r="IC6" s="530"/>
      <c r="ID6" s="530"/>
      <c r="IE6" s="530"/>
      <c r="IF6" s="530"/>
      <c r="IG6" s="530"/>
      <c r="IH6" s="530"/>
      <c r="II6" s="530"/>
      <c r="IJ6" s="530"/>
      <c r="IK6" s="530"/>
      <c r="IL6" s="530"/>
      <c r="IM6" s="530"/>
      <c r="IN6" s="530"/>
      <c r="IO6" s="530"/>
      <c r="IP6" s="530"/>
      <c r="IQ6" s="530"/>
      <c r="IR6" s="530"/>
      <c r="IS6" s="530"/>
      <c r="IT6" s="530"/>
      <c r="IU6" s="530"/>
      <c r="IV6" s="530"/>
    </row>
    <row r="7" spans="1:256" s="545" customFormat="1" ht="13.8" hidden="1">
      <c r="A7" s="938"/>
      <c r="B7" s="544"/>
      <c r="C7" s="544"/>
      <c r="D7" s="544"/>
      <c r="E7" s="544"/>
      <c r="F7" s="544"/>
      <c r="G7" s="544"/>
      <c r="H7" s="544"/>
      <c r="I7" s="544"/>
      <c r="J7" s="544"/>
      <c r="K7" s="544"/>
      <c r="L7" s="544"/>
      <c r="M7" s="544"/>
      <c r="N7" s="544"/>
      <c r="O7" s="544"/>
      <c r="P7" s="544"/>
      <c r="Q7" s="544"/>
      <c r="R7" s="544"/>
      <c r="S7" s="544"/>
      <c r="T7" s="544"/>
      <c r="U7" s="544"/>
      <c r="V7" s="544"/>
      <c r="W7" s="544"/>
      <c r="X7" s="544"/>
      <c r="Y7" s="544"/>
      <c r="Z7" s="544"/>
      <c r="AA7" s="544"/>
      <c r="AB7" s="544"/>
      <c r="AC7" s="544"/>
      <c r="AD7" s="544"/>
      <c r="AE7" s="544"/>
      <c r="AF7" s="544"/>
      <c r="AG7" s="544"/>
      <c r="AH7" s="544"/>
      <c r="AI7" s="544"/>
      <c r="AJ7" s="544"/>
      <c r="AK7" s="544"/>
      <c r="AL7" s="544"/>
      <c r="AM7" s="544"/>
      <c r="AN7" s="544"/>
      <c r="AO7" s="544"/>
      <c r="AP7" s="544"/>
      <c r="AQ7" s="544"/>
      <c r="AR7" s="544"/>
      <c r="AS7" s="544"/>
      <c r="AT7" s="544"/>
      <c r="AU7" s="544"/>
      <c r="AV7" s="544"/>
      <c r="AW7" s="544"/>
      <c r="AX7" s="544"/>
      <c r="AY7" s="544"/>
      <c r="AZ7" s="544"/>
      <c r="BA7" s="544"/>
      <c r="BB7" s="544"/>
      <c r="BC7" s="544"/>
      <c r="BD7" s="544"/>
      <c r="BE7" s="544"/>
      <c r="BF7" s="544"/>
      <c r="BG7" s="544"/>
      <c r="BH7" s="544"/>
      <c r="BI7" s="544"/>
      <c r="BJ7" s="544"/>
      <c r="BK7" s="544"/>
      <c r="BL7" s="544"/>
      <c r="BM7" s="544"/>
      <c r="BN7" s="544"/>
      <c r="BO7" s="544"/>
      <c r="BP7" s="544"/>
      <c r="BQ7" s="544"/>
      <c r="BR7" s="544"/>
      <c r="BS7" s="544"/>
      <c r="BT7" s="544"/>
      <c r="BU7" s="544"/>
      <c r="BV7" s="544"/>
      <c r="BW7" s="544"/>
      <c r="BX7" s="544"/>
      <c r="BY7" s="544"/>
      <c r="BZ7" s="544"/>
      <c r="CA7" s="544"/>
      <c r="CB7" s="544"/>
      <c r="CC7" s="544"/>
      <c r="CD7" s="544"/>
      <c r="CE7" s="544"/>
      <c r="CF7" s="544"/>
      <c r="CG7" s="544"/>
      <c r="CH7" s="544"/>
      <c r="CI7" s="544"/>
      <c r="CJ7" s="544"/>
      <c r="CK7" s="544"/>
      <c r="CL7" s="544"/>
      <c r="CM7" s="544"/>
      <c r="CN7" s="544"/>
      <c r="CO7" s="544"/>
      <c r="CP7" s="544"/>
      <c r="CQ7" s="544"/>
      <c r="CR7" s="544"/>
      <c r="CS7" s="544"/>
      <c r="CT7" s="544"/>
      <c r="CU7" s="544"/>
      <c r="CV7" s="544"/>
      <c r="CW7" s="544"/>
      <c r="CX7" s="544"/>
      <c r="CY7" s="816"/>
      <c r="CZ7" s="544"/>
      <c r="DA7" s="544"/>
      <c r="DB7" s="544"/>
      <c r="DC7" s="544"/>
      <c r="DD7" s="544"/>
      <c r="DE7" s="544"/>
      <c r="DF7" s="544"/>
      <c r="DG7" s="544"/>
      <c r="DH7" s="544"/>
      <c r="DI7" s="544"/>
      <c r="DJ7" s="544"/>
      <c r="DK7" s="544"/>
      <c r="DL7" s="544"/>
      <c r="DM7" s="544"/>
      <c r="DN7" s="544"/>
      <c r="DO7" s="544"/>
      <c r="DP7" s="544"/>
      <c r="DQ7" s="544"/>
      <c r="DR7" s="544"/>
      <c r="DS7" s="544"/>
      <c r="DT7" s="544"/>
      <c r="DU7" s="544"/>
      <c r="DV7" s="669"/>
      <c r="DW7" s="530"/>
      <c r="DX7" s="530"/>
      <c r="DY7" s="530"/>
      <c r="DZ7" s="530"/>
      <c r="EA7" s="530"/>
      <c r="EB7" s="530"/>
      <c r="EC7" s="530"/>
      <c r="ED7" s="530"/>
      <c r="EE7" s="530"/>
      <c r="EF7" s="530"/>
      <c r="EG7" s="530"/>
      <c r="EH7" s="530"/>
      <c r="EI7" s="530"/>
      <c r="EJ7" s="530"/>
      <c r="EK7" s="530"/>
      <c r="EL7" s="530"/>
      <c r="EM7" s="530"/>
      <c r="EN7" s="530"/>
      <c r="EO7" s="530"/>
      <c r="EP7" s="530"/>
      <c r="EQ7" s="530"/>
      <c r="ER7" s="530"/>
      <c r="ES7" s="530"/>
      <c r="ET7" s="530"/>
      <c r="EU7" s="530"/>
      <c r="EV7" s="530"/>
      <c r="EW7" s="530"/>
      <c r="EX7" s="530"/>
      <c r="EY7" s="530"/>
      <c r="EZ7" s="530"/>
      <c r="FA7" s="530"/>
      <c r="FB7" s="530"/>
      <c r="FC7" s="530"/>
      <c r="FD7" s="530"/>
      <c r="FE7" s="530"/>
      <c r="FF7" s="530"/>
      <c r="FG7" s="530"/>
      <c r="FH7" s="530"/>
      <c r="FI7" s="530"/>
      <c r="FJ7" s="530"/>
      <c r="FK7" s="530"/>
      <c r="FL7" s="530"/>
      <c r="FM7" s="530"/>
      <c r="FN7" s="530"/>
      <c r="FO7" s="530"/>
      <c r="FP7" s="530"/>
      <c r="FQ7" s="530"/>
      <c r="FR7" s="530"/>
      <c r="FS7" s="530"/>
      <c r="FT7" s="530"/>
      <c r="FU7" s="530"/>
      <c r="FV7" s="530"/>
      <c r="FW7" s="530"/>
      <c r="FX7" s="530"/>
      <c r="FY7" s="530"/>
      <c r="FZ7" s="530"/>
      <c r="GA7" s="530"/>
      <c r="GB7" s="530"/>
      <c r="GC7" s="530"/>
      <c r="GD7" s="530"/>
      <c r="GE7" s="530"/>
      <c r="GF7" s="530"/>
      <c r="GG7" s="530"/>
      <c r="GH7" s="530"/>
      <c r="GI7" s="530"/>
      <c r="GJ7" s="530"/>
      <c r="GK7" s="530"/>
      <c r="GL7" s="530"/>
      <c r="GM7" s="530"/>
      <c r="GN7" s="530"/>
      <c r="GO7" s="530"/>
      <c r="GP7" s="530"/>
      <c r="GQ7" s="530"/>
      <c r="GR7" s="530"/>
      <c r="GS7" s="530"/>
      <c r="GT7" s="530"/>
      <c r="GU7" s="530"/>
      <c r="GV7" s="530"/>
      <c r="GW7" s="530"/>
      <c r="GX7" s="530"/>
      <c r="GY7" s="530"/>
      <c r="GZ7" s="530"/>
      <c r="HA7" s="530"/>
      <c r="HB7" s="530"/>
      <c r="HC7" s="530"/>
      <c r="HD7" s="530"/>
      <c r="HE7" s="530"/>
      <c r="HF7" s="530"/>
      <c r="HG7" s="530"/>
      <c r="HH7" s="530"/>
      <c r="HI7" s="530"/>
      <c r="HJ7" s="530"/>
      <c r="HK7" s="530"/>
      <c r="HL7" s="530"/>
      <c r="HM7" s="530"/>
      <c r="HN7" s="530"/>
      <c r="HO7" s="530"/>
      <c r="HP7" s="530"/>
      <c r="HQ7" s="530"/>
      <c r="HR7" s="530"/>
      <c r="HS7" s="530"/>
      <c r="HT7" s="530"/>
      <c r="HU7" s="530"/>
      <c r="HV7" s="530"/>
      <c r="HW7" s="530"/>
      <c r="HX7" s="530"/>
      <c r="HY7" s="530"/>
      <c r="HZ7" s="530"/>
      <c r="IA7" s="530"/>
      <c r="IB7" s="530"/>
      <c r="IC7" s="530"/>
      <c r="ID7" s="530"/>
      <c r="IE7" s="530"/>
      <c r="IF7" s="530"/>
      <c r="IG7" s="530"/>
      <c r="IH7" s="530"/>
      <c r="II7" s="530"/>
      <c r="IJ7" s="530"/>
      <c r="IK7" s="530"/>
      <c r="IL7" s="530"/>
      <c r="IM7" s="530"/>
      <c r="IN7" s="530"/>
      <c r="IO7" s="530"/>
      <c r="IP7" s="530"/>
      <c r="IQ7" s="530"/>
      <c r="IR7" s="530"/>
      <c r="IS7" s="530"/>
      <c r="IT7" s="530"/>
      <c r="IU7" s="530"/>
      <c r="IV7" s="530"/>
    </row>
    <row r="8" spans="1:256" s="754" customFormat="1" ht="13.8">
      <c r="A8" s="941" t="s">
        <v>4787</v>
      </c>
      <c r="B8" s="1662"/>
      <c r="C8" s="1662"/>
      <c r="D8" s="1663"/>
      <c r="E8" s="1662"/>
      <c r="F8" s="1662"/>
      <c r="G8" s="1662"/>
      <c r="H8" s="1663"/>
      <c r="I8" s="1662"/>
      <c r="J8" s="1662"/>
      <c r="K8" s="1662"/>
      <c r="L8" s="1663"/>
      <c r="M8" s="1664"/>
      <c r="N8" s="1664"/>
      <c r="O8" s="1662"/>
      <c r="P8" s="1662"/>
      <c r="Q8" s="1662"/>
      <c r="R8" s="1663"/>
      <c r="S8" s="1663"/>
      <c r="T8" s="1663"/>
      <c r="U8" s="1663"/>
      <c r="V8" s="1663"/>
      <c r="W8" s="1663"/>
      <c r="X8" s="1663"/>
      <c r="Y8" s="1663"/>
      <c r="Z8" s="1663"/>
      <c r="AA8" s="1663"/>
      <c r="AB8" s="1663"/>
      <c r="AC8" s="1663"/>
      <c r="AD8" s="1663"/>
      <c r="AE8" s="1663"/>
      <c r="AF8" s="1663"/>
      <c r="AG8" s="1663"/>
      <c r="AH8" s="1663"/>
      <c r="AI8" s="1663"/>
      <c r="AJ8" s="1663"/>
      <c r="AK8" s="1663"/>
      <c r="AL8" s="1663"/>
      <c r="AM8" s="1663"/>
      <c r="AN8" s="1663"/>
      <c r="AO8" s="1663"/>
      <c r="AP8" s="1663"/>
      <c r="AQ8" s="1663"/>
      <c r="AR8" s="1663"/>
      <c r="AS8" s="1663"/>
      <c r="AT8" s="1663"/>
      <c r="AU8" s="1663"/>
      <c r="AV8" s="1663"/>
      <c r="AW8" s="1663"/>
      <c r="AX8" s="1663"/>
      <c r="AY8" s="1663"/>
      <c r="AZ8" s="1663"/>
      <c r="BA8" s="1663"/>
      <c r="BB8" s="1663"/>
      <c r="BC8" s="1663"/>
      <c r="BD8" s="1663"/>
      <c r="BE8" s="1663"/>
      <c r="BF8" s="1663"/>
      <c r="BG8" s="1663"/>
      <c r="BH8" s="1663"/>
      <c r="BI8" s="1663"/>
      <c r="BJ8" s="1663"/>
      <c r="BK8" s="1663"/>
      <c r="BL8" s="1663"/>
      <c r="BM8" s="1663"/>
      <c r="BN8" s="1663"/>
      <c r="BO8" s="1663"/>
      <c r="BP8" s="1663"/>
      <c r="BQ8" s="1663"/>
      <c r="BR8" s="1663"/>
      <c r="BS8" s="1663"/>
      <c r="BT8" s="1663"/>
      <c r="BU8" s="1663"/>
      <c r="BV8" s="1663"/>
      <c r="BW8" s="1663"/>
      <c r="BX8" s="1663"/>
      <c r="BY8" s="1663"/>
      <c r="BZ8" s="1663"/>
      <c r="CA8" s="1663"/>
      <c r="CB8" s="1663"/>
      <c r="CC8" s="1663"/>
      <c r="CD8" s="1663"/>
      <c r="CE8" s="1669"/>
      <c r="CF8" s="1663"/>
      <c r="CG8" s="1663"/>
      <c r="CH8" s="1663"/>
      <c r="CI8" s="1663"/>
      <c r="CJ8" s="1663"/>
      <c r="CK8" s="1663"/>
      <c r="CL8" s="1663"/>
      <c r="CM8" s="1663"/>
      <c r="CN8" s="1663"/>
      <c r="CO8" s="1663"/>
      <c r="CP8" s="1663"/>
      <c r="CQ8" s="1663"/>
      <c r="CR8" s="1663"/>
      <c r="CS8" s="1663"/>
      <c r="CT8" s="1663"/>
      <c r="CU8" s="1663"/>
      <c r="CV8" s="1663"/>
      <c r="CW8" s="1663"/>
      <c r="CX8" s="1663"/>
      <c r="CY8" s="1665"/>
      <c r="CZ8" s="1663"/>
      <c r="DA8" s="1663"/>
      <c r="DB8" s="1663"/>
      <c r="DC8" s="1663"/>
      <c r="DD8" s="1663"/>
      <c r="DE8" s="1663"/>
      <c r="DF8" s="1663"/>
      <c r="DG8" s="1663"/>
      <c r="DH8" s="1663"/>
      <c r="DI8" s="1663"/>
      <c r="DJ8" s="1663"/>
      <c r="DK8" s="1663"/>
      <c r="DL8" s="1663"/>
      <c r="DM8" s="1663"/>
      <c r="DN8" s="1663"/>
      <c r="DO8" s="1663"/>
      <c r="DP8" s="1663"/>
      <c r="DQ8" s="1663"/>
      <c r="DR8" s="1663"/>
      <c r="DS8" s="1663"/>
      <c r="DT8" s="1663"/>
      <c r="DU8" s="1663"/>
      <c r="DV8" s="1666"/>
      <c r="IR8" s="755"/>
      <c r="IS8" s="755"/>
      <c r="IT8" s="755"/>
      <c r="IU8" s="755"/>
      <c r="IV8" s="755"/>
    </row>
    <row r="9" spans="1:256" s="754" customFormat="1" ht="13.8">
      <c r="A9" s="1667" t="s">
        <v>4926</v>
      </c>
      <c r="B9" s="1668"/>
      <c r="C9" s="1668"/>
      <c r="D9" s="1669"/>
      <c r="E9" s="1668"/>
      <c r="F9" s="1668"/>
      <c r="G9" s="1668"/>
      <c r="H9" s="1669"/>
      <c r="I9" s="1668"/>
      <c r="J9" s="1668"/>
      <c r="K9" s="1668"/>
      <c r="L9" s="1669"/>
      <c r="M9" s="1670"/>
      <c r="N9" s="1670"/>
      <c r="O9" s="1668"/>
      <c r="P9" s="1668"/>
      <c r="Q9" s="1668"/>
      <c r="R9" s="1669"/>
      <c r="S9" s="1669"/>
      <c r="T9" s="1669"/>
      <c r="U9" s="1669"/>
      <c r="V9" s="1669"/>
      <c r="W9" s="1669"/>
      <c r="X9" s="1669"/>
      <c r="Y9" s="1669"/>
      <c r="Z9" s="1669"/>
      <c r="AA9" s="1669"/>
      <c r="AB9" s="1669"/>
      <c r="AC9" s="1669"/>
      <c r="AD9" s="1669"/>
      <c r="AE9" s="1669"/>
      <c r="AF9" s="1669"/>
      <c r="AG9" s="1669"/>
      <c r="AH9" s="1669"/>
      <c r="AI9" s="1669"/>
      <c r="AJ9" s="1669"/>
      <c r="AK9" s="1669"/>
      <c r="AL9" s="1669"/>
      <c r="AM9" s="1669"/>
      <c r="AN9" s="1669"/>
      <c r="AO9" s="1669"/>
      <c r="AP9" s="1669"/>
      <c r="AQ9" s="1669"/>
      <c r="AR9" s="1669"/>
      <c r="AS9" s="1669"/>
      <c r="AT9" s="1669"/>
      <c r="AU9" s="1669"/>
      <c r="AV9" s="1669"/>
      <c r="AW9" s="1669"/>
      <c r="AX9" s="1669"/>
      <c r="AY9" s="1669"/>
      <c r="AZ9" s="1669"/>
      <c r="BA9" s="1669"/>
      <c r="BB9" s="1669"/>
      <c r="BC9" s="1669"/>
      <c r="BD9" s="1669"/>
      <c r="BE9" s="1669"/>
      <c r="BF9" s="1669"/>
      <c r="BG9" s="1669"/>
      <c r="BH9" s="1669"/>
      <c r="BI9" s="1669"/>
      <c r="BJ9" s="1669"/>
      <c r="BK9" s="1669"/>
      <c r="BL9" s="1669"/>
      <c r="BM9" s="1669"/>
      <c r="BN9" s="1669"/>
      <c r="BO9" s="1669"/>
      <c r="BP9" s="1669"/>
      <c r="BQ9" s="1669"/>
      <c r="BR9" s="1669"/>
      <c r="BS9" s="1669"/>
      <c r="BT9" s="1669"/>
      <c r="BU9" s="1669"/>
      <c r="BV9" s="1669"/>
      <c r="BW9" s="1669"/>
      <c r="BX9" s="1669"/>
      <c r="BY9" s="1669"/>
      <c r="BZ9" s="1669"/>
      <c r="CA9" s="1669"/>
      <c r="CB9" s="1669"/>
      <c r="CC9" s="1669"/>
      <c r="CD9" s="1669"/>
      <c r="CE9" s="1669"/>
      <c r="CF9" s="1669"/>
      <c r="CG9" s="1669"/>
      <c r="CH9" s="1669"/>
      <c r="CI9" s="1669"/>
      <c r="CJ9" s="1669"/>
      <c r="CK9" s="1669"/>
      <c r="CL9" s="1669"/>
      <c r="CM9" s="1669"/>
      <c r="CN9" s="1669"/>
      <c r="CO9" s="1669"/>
      <c r="CP9" s="1669"/>
      <c r="CQ9" s="1669"/>
      <c r="CR9" s="1669"/>
      <c r="CS9" s="1669"/>
      <c r="CT9" s="1669"/>
      <c r="CU9" s="1669"/>
      <c r="CV9" s="1669"/>
      <c r="CW9" s="1669"/>
      <c r="CX9" s="1669"/>
      <c r="CY9" s="817"/>
      <c r="CZ9" s="1669"/>
      <c r="DA9" s="1669"/>
      <c r="DB9" s="1669"/>
      <c r="DC9" s="1669"/>
      <c r="DD9" s="1669"/>
      <c r="DE9" s="1669"/>
      <c r="DF9" s="1669"/>
      <c r="DG9" s="1669"/>
      <c r="DH9" s="1669"/>
      <c r="DI9" s="1669"/>
      <c r="DJ9" s="1669"/>
      <c r="DK9" s="1669"/>
      <c r="DL9" s="1669"/>
      <c r="DM9" s="1669"/>
      <c r="DN9" s="1669"/>
      <c r="DO9" s="767"/>
      <c r="DP9" s="1669"/>
      <c r="DQ9" s="1669"/>
      <c r="DR9" s="1669"/>
      <c r="DS9" s="1669"/>
      <c r="DT9" s="1669"/>
      <c r="DU9" s="1669"/>
      <c r="DV9" s="1671"/>
      <c r="IR9" s="755"/>
      <c r="IS9" s="755"/>
      <c r="IT9" s="755"/>
      <c r="IU9" s="755"/>
      <c r="IV9" s="755"/>
    </row>
    <row r="10" spans="1:256" s="754" customFormat="1" ht="13.8">
      <c r="A10" s="1667" t="s">
        <v>4927</v>
      </c>
      <c r="B10" s="1668"/>
      <c r="C10" s="1668"/>
      <c r="D10" s="1669"/>
      <c r="E10" s="1668"/>
      <c r="F10" s="1668"/>
      <c r="G10" s="1668"/>
      <c r="H10" s="1669"/>
      <c r="I10" s="1668"/>
      <c r="J10" s="1668"/>
      <c r="K10" s="1668"/>
      <c r="L10" s="1669"/>
      <c r="M10" s="1670"/>
      <c r="N10" s="1670"/>
      <c r="O10" s="1668"/>
      <c r="P10" s="1668"/>
      <c r="Q10" s="1668"/>
      <c r="R10" s="1669"/>
      <c r="S10" s="1669"/>
      <c r="T10" s="1669"/>
      <c r="U10" s="1669"/>
      <c r="V10" s="1669"/>
      <c r="W10" s="1669"/>
      <c r="X10" s="1669"/>
      <c r="Y10" s="1669"/>
      <c r="Z10" s="1669"/>
      <c r="AA10" s="1669"/>
      <c r="AB10" s="1669"/>
      <c r="AC10" s="1669"/>
      <c r="AD10" s="1669"/>
      <c r="AE10" s="1669"/>
      <c r="AF10" s="1669"/>
      <c r="AG10" s="1669"/>
      <c r="AH10" s="1669"/>
      <c r="AI10" s="1669"/>
      <c r="AJ10" s="1669"/>
      <c r="AK10" s="1669"/>
      <c r="AL10" s="1669"/>
      <c r="AM10" s="1669"/>
      <c r="AN10" s="1669"/>
      <c r="AO10" s="1669"/>
      <c r="AP10" s="1669"/>
      <c r="AQ10" s="1669"/>
      <c r="AR10" s="1669"/>
      <c r="AS10" s="1669"/>
      <c r="AT10" s="1669"/>
      <c r="AU10" s="1669"/>
      <c r="AV10" s="1669"/>
      <c r="AW10" s="1669"/>
      <c r="AX10" s="1669"/>
      <c r="AY10" s="1669"/>
      <c r="AZ10" s="1669"/>
      <c r="BA10" s="1669"/>
      <c r="BB10" s="1669"/>
      <c r="BC10" s="1669"/>
      <c r="BD10" s="1669"/>
      <c r="BE10" s="1669"/>
      <c r="BF10" s="1669"/>
      <c r="BG10" s="1669"/>
      <c r="BH10" s="1669"/>
      <c r="BI10" s="1669"/>
      <c r="BJ10" s="1669"/>
      <c r="BK10" s="1669"/>
      <c r="BL10" s="1669"/>
      <c r="BM10" s="1669"/>
      <c r="BN10" s="1669"/>
      <c r="BO10" s="1669"/>
      <c r="BP10" s="1669"/>
      <c r="BQ10" s="1669"/>
      <c r="BR10" s="1669"/>
      <c r="BS10" s="1669"/>
      <c r="BT10" s="1669"/>
      <c r="BU10" s="1669"/>
      <c r="BV10" s="1669"/>
      <c r="BW10" s="1669"/>
      <c r="BX10" s="1669"/>
      <c r="BY10" s="1669"/>
      <c r="BZ10" s="1669"/>
      <c r="CA10" s="1669"/>
      <c r="CB10" s="1669"/>
      <c r="CC10" s="1669"/>
      <c r="CD10" s="1669"/>
      <c r="CE10" s="1669"/>
      <c r="CF10" s="1669"/>
      <c r="CG10" s="1669"/>
      <c r="CH10" s="1669"/>
      <c r="CI10" s="1669"/>
      <c r="CJ10" s="1669"/>
      <c r="CK10" s="1669"/>
      <c r="CL10" s="1669"/>
      <c r="CM10" s="1669"/>
      <c r="CN10" s="1669"/>
      <c r="CO10" s="1669"/>
      <c r="CP10" s="1669"/>
      <c r="CQ10" s="1669"/>
      <c r="CR10" s="1669"/>
      <c r="CS10" s="1669"/>
      <c r="CT10" s="1669"/>
      <c r="CU10" s="1669"/>
      <c r="CV10" s="1669"/>
      <c r="CW10" s="1669"/>
      <c r="CX10" s="1669"/>
      <c r="CY10" s="817"/>
      <c r="CZ10" s="1669"/>
      <c r="DA10" s="1669"/>
      <c r="DB10" s="1669"/>
      <c r="DC10" s="1669"/>
      <c r="DD10" s="1669"/>
      <c r="DE10" s="1669"/>
      <c r="DF10" s="1669"/>
      <c r="DG10" s="1669"/>
      <c r="DH10" s="1669"/>
      <c r="DI10" s="1669"/>
      <c r="DJ10" s="1669"/>
      <c r="DK10" s="1669"/>
      <c r="DL10" s="1669"/>
      <c r="DM10" s="1669"/>
      <c r="DN10" s="1669"/>
      <c r="DO10" s="767"/>
      <c r="DP10" s="1669"/>
      <c r="DQ10" s="1669"/>
      <c r="DR10" s="1669"/>
      <c r="DS10" s="1669"/>
      <c r="DT10" s="1669"/>
      <c r="DU10" s="1669"/>
      <c r="DV10" s="1671"/>
      <c r="IR10" s="755"/>
      <c r="IS10" s="755"/>
      <c r="IT10" s="755"/>
      <c r="IU10" s="755"/>
      <c r="IV10" s="755"/>
    </row>
    <row r="11" spans="1:256" s="754" customFormat="1" ht="13.8">
      <c r="A11" s="1667" t="s">
        <v>4928</v>
      </c>
      <c r="B11" s="1672"/>
      <c r="C11" s="1670"/>
      <c r="D11" s="1670"/>
      <c r="E11" s="1670"/>
      <c r="F11" s="1670"/>
      <c r="G11" s="1670"/>
      <c r="H11" s="1670"/>
      <c r="I11" s="1670"/>
      <c r="J11" s="1668"/>
      <c r="K11" s="1668"/>
      <c r="L11" s="1670"/>
      <c r="M11" s="1670"/>
      <c r="N11" s="1670"/>
      <c r="O11" s="1668"/>
      <c r="P11" s="1668"/>
      <c r="Q11" s="1668"/>
      <c r="R11" s="1669"/>
      <c r="S11" s="1669"/>
      <c r="T11" s="1669"/>
      <c r="U11" s="1669"/>
      <c r="V11" s="1669"/>
      <c r="W11" s="1669"/>
      <c r="X11" s="1669"/>
      <c r="Y11" s="1669"/>
      <c r="Z11" s="1669"/>
      <c r="AA11" s="1669"/>
      <c r="AB11" s="1669"/>
      <c r="AC11" s="1669"/>
      <c r="AD11" s="1669"/>
      <c r="AE11" s="1669"/>
      <c r="AF11" s="1669"/>
      <c r="AG11" s="1669"/>
      <c r="AH11" s="1669"/>
      <c r="AI11" s="1669"/>
      <c r="AJ11" s="1669"/>
      <c r="AK11" s="1669"/>
      <c r="AL11" s="1669"/>
      <c r="AM11" s="1669"/>
      <c r="AN11" s="1669"/>
      <c r="AO11" s="1669"/>
      <c r="AP11" s="1669"/>
      <c r="AQ11" s="1669"/>
      <c r="AR11" s="1669"/>
      <c r="AS11" s="1669"/>
      <c r="AT11" s="1669"/>
      <c r="AU11" s="1669"/>
      <c r="AV11" s="1669"/>
      <c r="AW11" s="1669"/>
      <c r="AX11" s="1669"/>
      <c r="AY11" s="1669"/>
      <c r="AZ11" s="1669"/>
      <c r="BA11" s="1669"/>
      <c r="BB11" s="1669"/>
      <c r="BC11" s="1669"/>
      <c r="BD11" s="1669"/>
      <c r="BE11" s="1669"/>
      <c r="BF11" s="1669"/>
      <c r="BG11" s="1669"/>
      <c r="BH11" s="1669"/>
      <c r="BI11" s="1669"/>
      <c r="BJ11" s="1669"/>
      <c r="BK11" s="1669"/>
      <c r="BL11" s="1669"/>
      <c r="BM11" s="1669"/>
      <c r="BN11" s="1669"/>
      <c r="BO11" s="1669"/>
      <c r="BP11" s="1669"/>
      <c r="BQ11" s="1669"/>
      <c r="BR11" s="1669"/>
      <c r="BS11" s="1669"/>
      <c r="BT11" s="1669"/>
      <c r="BU11" s="1669"/>
      <c r="BV11" s="1669"/>
      <c r="BW11" s="1669"/>
      <c r="BX11" s="1669"/>
      <c r="BY11" s="1669"/>
      <c r="BZ11" s="1669"/>
      <c r="CA11" s="1669"/>
      <c r="CB11" s="1669"/>
      <c r="CC11" s="1669"/>
      <c r="CD11" s="1669"/>
      <c r="CE11" s="1669"/>
      <c r="CF11" s="1669"/>
      <c r="CG11" s="1669"/>
      <c r="CH11" s="1669"/>
      <c r="CI11" s="1669"/>
      <c r="CJ11" s="1669"/>
      <c r="CK11" s="1669"/>
      <c r="CL11" s="1669"/>
      <c r="CM11" s="1669"/>
      <c r="CN11" s="1669"/>
      <c r="CO11" s="1669"/>
      <c r="CP11" s="1669"/>
      <c r="CQ11" s="1669"/>
      <c r="CR11" s="1669"/>
      <c r="CS11" s="1669"/>
      <c r="CT11" s="1669"/>
      <c r="CU11" s="1669"/>
      <c r="CV11" s="1669"/>
      <c r="CW11" s="1669"/>
      <c r="CX11" s="1669"/>
      <c r="CY11" s="817"/>
      <c r="CZ11" s="1669"/>
      <c r="DA11" s="1669"/>
      <c r="DB11" s="1669"/>
      <c r="DC11" s="1669"/>
      <c r="DD11" s="1669"/>
      <c r="DE11" s="1669"/>
      <c r="DF11" s="1669"/>
      <c r="DG11" s="1669"/>
      <c r="DH11" s="1669"/>
      <c r="DI11" s="1669"/>
      <c r="DJ11" s="1669"/>
      <c r="DK11" s="1669"/>
      <c r="DL11" s="1669"/>
      <c r="DM11" s="1669"/>
      <c r="DN11" s="1669"/>
      <c r="DO11" s="767"/>
      <c r="DP11" s="1669"/>
      <c r="DQ11" s="1669"/>
      <c r="DR11" s="1669"/>
      <c r="DS11" s="1669"/>
      <c r="DT11" s="1669"/>
      <c r="DU11" s="1669"/>
      <c r="DV11" s="1671"/>
      <c r="IR11" s="755"/>
      <c r="IS11" s="755"/>
      <c r="IT11" s="755"/>
      <c r="IU11" s="755"/>
      <c r="IV11" s="755"/>
    </row>
    <row r="12" spans="1:256" s="754" customFormat="1" ht="13.8">
      <c r="A12" s="1667" t="s">
        <v>4929</v>
      </c>
      <c r="B12" s="1670"/>
      <c r="C12" s="1670"/>
      <c r="D12" s="1670"/>
      <c r="E12" s="1670"/>
      <c r="F12" s="1670"/>
      <c r="G12" s="1670"/>
      <c r="H12" s="1670"/>
      <c r="I12" s="1670"/>
      <c r="J12" s="1668"/>
      <c r="K12" s="1668"/>
      <c r="L12" s="1670"/>
      <c r="M12" s="1670"/>
      <c r="N12" s="1670"/>
      <c r="O12" s="1668"/>
      <c r="P12" s="1668"/>
      <c r="Q12" s="1668"/>
      <c r="R12" s="1669"/>
      <c r="S12" s="1669"/>
      <c r="T12" s="1669"/>
      <c r="U12" s="1669"/>
      <c r="V12" s="1669"/>
      <c r="W12" s="1669"/>
      <c r="X12" s="1669"/>
      <c r="Y12" s="1669"/>
      <c r="Z12" s="1669"/>
      <c r="AA12" s="1669"/>
      <c r="AB12" s="1669"/>
      <c r="AC12" s="1669"/>
      <c r="AD12" s="1669"/>
      <c r="AE12" s="1669"/>
      <c r="AF12" s="1669"/>
      <c r="AG12" s="1669"/>
      <c r="AH12" s="1669"/>
      <c r="AI12" s="1669"/>
      <c r="AJ12" s="1669"/>
      <c r="AK12" s="1669"/>
      <c r="AL12" s="1669"/>
      <c r="AM12" s="1669"/>
      <c r="AN12" s="1669"/>
      <c r="AO12" s="1669"/>
      <c r="AP12" s="1669"/>
      <c r="AQ12" s="1669"/>
      <c r="AR12" s="1669"/>
      <c r="AS12" s="1669"/>
      <c r="AT12" s="1669"/>
      <c r="AU12" s="1669"/>
      <c r="AV12" s="1669"/>
      <c r="AW12" s="1669"/>
      <c r="AX12" s="1669"/>
      <c r="AY12" s="1669"/>
      <c r="AZ12" s="1669"/>
      <c r="BA12" s="1669"/>
      <c r="BB12" s="1669"/>
      <c r="BC12" s="1669"/>
      <c r="BD12" s="1669"/>
      <c r="BE12" s="1669"/>
      <c r="BF12" s="1669"/>
      <c r="BG12" s="1669"/>
      <c r="BH12" s="1669"/>
      <c r="BI12" s="1669"/>
      <c r="BJ12" s="1669"/>
      <c r="BK12" s="1669"/>
      <c r="BL12" s="1669"/>
      <c r="BM12" s="1669"/>
      <c r="BN12" s="1669"/>
      <c r="BO12" s="1669"/>
      <c r="BP12" s="1669"/>
      <c r="BQ12" s="1669"/>
      <c r="BR12" s="1669"/>
      <c r="BS12" s="1669"/>
      <c r="BT12" s="1669"/>
      <c r="BU12" s="1669"/>
      <c r="BV12" s="1669"/>
      <c r="BW12" s="1669"/>
      <c r="BX12" s="1669"/>
      <c r="BY12" s="1669"/>
      <c r="BZ12" s="1669"/>
      <c r="CA12" s="1669"/>
      <c r="CB12" s="1669"/>
      <c r="CC12" s="1669"/>
      <c r="CD12" s="1669"/>
      <c r="CE12" s="1669"/>
      <c r="CF12" s="1669"/>
      <c r="CG12" s="1669"/>
      <c r="CH12" s="1669"/>
      <c r="CI12" s="1669"/>
      <c r="CJ12" s="1669"/>
      <c r="CK12" s="1669"/>
      <c r="CL12" s="1669"/>
      <c r="CM12" s="1669"/>
      <c r="CN12" s="1669"/>
      <c r="CO12" s="1669"/>
      <c r="CP12" s="1669"/>
      <c r="CQ12" s="1669"/>
      <c r="CR12" s="1669"/>
      <c r="CS12" s="1669"/>
      <c r="CT12" s="1669"/>
      <c r="CU12" s="1669"/>
      <c r="CV12" s="1669"/>
      <c r="CW12" s="1669"/>
      <c r="CX12" s="1669"/>
      <c r="CY12" s="817"/>
      <c r="CZ12" s="1669"/>
      <c r="DA12" s="1669"/>
      <c r="DB12" s="1669"/>
      <c r="DC12" s="1669"/>
      <c r="DD12" s="1669"/>
      <c r="DE12" s="1669"/>
      <c r="DF12" s="1669"/>
      <c r="DG12" s="1669"/>
      <c r="DH12" s="1669"/>
      <c r="DI12" s="1669"/>
      <c r="DJ12" s="1669"/>
      <c r="DK12" s="1669"/>
      <c r="DL12" s="1669"/>
      <c r="DM12" s="1669"/>
      <c r="DN12" s="1669"/>
      <c r="DO12" s="767"/>
      <c r="DP12" s="1669"/>
      <c r="DQ12" s="1669"/>
      <c r="DR12" s="1669"/>
      <c r="DS12" s="1669"/>
      <c r="DT12" s="1669"/>
      <c r="DU12" s="1669"/>
      <c r="DV12" s="1671"/>
      <c r="IR12" s="755"/>
      <c r="IS12" s="755"/>
      <c r="IT12" s="755"/>
      <c r="IU12" s="755"/>
      <c r="IV12" s="755"/>
    </row>
    <row r="13" spans="1:256" s="754" customFormat="1" ht="13.8">
      <c r="A13" s="1667" t="s">
        <v>4930</v>
      </c>
      <c r="B13" s="1672"/>
      <c r="C13" s="1670"/>
      <c r="D13" s="1670"/>
      <c r="E13" s="1670"/>
      <c r="F13" s="1670"/>
      <c r="G13" s="1670"/>
      <c r="H13" s="1670"/>
      <c r="I13" s="1670"/>
      <c r="J13" s="1668"/>
      <c r="K13" s="1670"/>
      <c r="L13" s="1670"/>
      <c r="M13" s="1670"/>
      <c r="N13" s="1670"/>
      <c r="O13" s="1668"/>
      <c r="P13" s="1668"/>
      <c r="Q13" s="1668"/>
      <c r="R13" s="1669"/>
      <c r="S13" s="1669"/>
      <c r="T13" s="1669"/>
      <c r="U13" s="1669"/>
      <c r="V13" s="1669"/>
      <c r="W13" s="1669"/>
      <c r="X13" s="1669"/>
      <c r="Y13" s="1669"/>
      <c r="Z13" s="1669"/>
      <c r="AA13" s="1669"/>
      <c r="AB13" s="1669"/>
      <c r="AC13" s="1669"/>
      <c r="AD13" s="1669"/>
      <c r="AE13" s="1669"/>
      <c r="AF13" s="1669"/>
      <c r="AG13" s="1669"/>
      <c r="AH13" s="1669"/>
      <c r="AI13" s="1669"/>
      <c r="AJ13" s="1669"/>
      <c r="AK13" s="1669"/>
      <c r="AL13" s="1669"/>
      <c r="AM13" s="1669"/>
      <c r="AN13" s="1669"/>
      <c r="AO13" s="1669"/>
      <c r="AP13" s="1669"/>
      <c r="AQ13" s="1669"/>
      <c r="AR13" s="1669"/>
      <c r="AS13" s="1669"/>
      <c r="AT13" s="1669"/>
      <c r="AU13" s="1669"/>
      <c r="AV13" s="1669"/>
      <c r="AW13" s="1669"/>
      <c r="AX13" s="1669"/>
      <c r="AY13" s="1669"/>
      <c r="AZ13" s="1669"/>
      <c r="BA13" s="1669"/>
      <c r="BB13" s="1669"/>
      <c r="BC13" s="1669"/>
      <c r="BD13" s="1669"/>
      <c r="BE13" s="1669"/>
      <c r="BF13" s="1669"/>
      <c r="BG13" s="1669"/>
      <c r="BH13" s="1669"/>
      <c r="BI13" s="1669"/>
      <c r="BJ13" s="1669"/>
      <c r="BK13" s="1669"/>
      <c r="BL13" s="1669"/>
      <c r="BM13" s="1669"/>
      <c r="BN13" s="1669"/>
      <c r="BO13" s="1669"/>
      <c r="BP13" s="1669"/>
      <c r="BQ13" s="1669"/>
      <c r="BR13" s="1669"/>
      <c r="BS13" s="1669"/>
      <c r="BT13" s="1669"/>
      <c r="BU13" s="1669"/>
      <c r="BV13" s="1669"/>
      <c r="BW13" s="1669"/>
      <c r="BX13" s="1669"/>
      <c r="BY13" s="1669"/>
      <c r="BZ13" s="1669"/>
      <c r="CA13" s="1669"/>
      <c r="CB13" s="1669"/>
      <c r="CC13" s="1669"/>
      <c r="CD13" s="1669"/>
      <c r="CE13" s="1669"/>
      <c r="CF13" s="1669"/>
      <c r="CG13" s="1669"/>
      <c r="CH13" s="1669"/>
      <c r="CI13" s="1669"/>
      <c r="CJ13" s="1669"/>
      <c r="CK13" s="1669"/>
      <c r="CL13" s="1669"/>
      <c r="CM13" s="1669"/>
      <c r="CN13" s="1669"/>
      <c r="CO13" s="1669"/>
      <c r="CP13" s="1669"/>
      <c r="CQ13" s="1669"/>
      <c r="CR13" s="1669"/>
      <c r="CS13" s="1669"/>
      <c r="CT13" s="1669"/>
      <c r="CU13" s="1669"/>
      <c r="CV13" s="1669"/>
      <c r="CW13" s="1669"/>
      <c r="CX13" s="1669"/>
      <c r="CY13" s="817"/>
      <c r="CZ13" s="1669"/>
      <c r="DA13" s="1669"/>
      <c r="DB13" s="1669"/>
      <c r="DC13" s="1669"/>
      <c r="DD13" s="1669"/>
      <c r="DE13" s="1669"/>
      <c r="DF13" s="1669"/>
      <c r="DG13" s="1669"/>
      <c r="DH13" s="1669"/>
      <c r="DI13" s="1669"/>
      <c r="DJ13" s="1669"/>
      <c r="DK13" s="1669"/>
      <c r="DL13" s="1669"/>
      <c r="DM13" s="1669"/>
      <c r="DN13" s="1669"/>
      <c r="DO13" s="767"/>
      <c r="DP13" s="1669"/>
      <c r="DQ13" s="1669"/>
      <c r="DR13" s="1669"/>
      <c r="DS13" s="1669"/>
      <c r="DT13" s="1669"/>
      <c r="DU13" s="1669"/>
      <c r="DV13" s="1671"/>
      <c r="IR13" s="755"/>
      <c r="IS13" s="755"/>
      <c r="IT13" s="755"/>
      <c r="IU13" s="755"/>
      <c r="IV13" s="755"/>
    </row>
    <row r="14" spans="1:256" s="754" customFormat="1" ht="13.8">
      <c r="A14" s="1667" t="s">
        <v>4931</v>
      </c>
      <c r="B14" s="1670"/>
      <c r="C14" s="1670"/>
      <c r="D14" s="1670"/>
      <c r="E14" s="1670"/>
      <c r="F14" s="1670"/>
      <c r="G14" s="1670"/>
      <c r="H14" s="1670"/>
      <c r="I14" s="1670"/>
      <c r="J14" s="1668"/>
      <c r="K14" s="1670"/>
      <c r="L14" s="1670"/>
      <c r="M14" s="1670"/>
      <c r="N14" s="1670"/>
      <c r="O14" s="1668"/>
      <c r="P14" s="1668"/>
      <c r="Q14" s="1668"/>
      <c r="R14" s="1669"/>
      <c r="S14" s="1669"/>
      <c r="T14" s="1669"/>
      <c r="U14" s="1669"/>
      <c r="V14" s="1669"/>
      <c r="W14" s="1669"/>
      <c r="X14" s="1669"/>
      <c r="Y14" s="1669"/>
      <c r="Z14" s="1669"/>
      <c r="AA14" s="1669"/>
      <c r="AB14" s="1669"/>
      <c r="AC14" s="1669"/>
      <c r="AD14" s="1669"/>
      <c r="AE14" s="1669"/>
      <c r="AF14" s="1669"/>
      <c r="AG14" s="1669"/>
      <c r="AH14" s="1669"/>
      <c r="AI14" s="1669"/>
      <c r="AJ14" s="1669"/>
      <c r="AK14" s="1669"/>
      <c r="AL14" s="1669"/>
      <c r="AM14" s="1669"/>
      <c r="AN14" s="1669"/>
      <c r="AO14" s="1669"/>
      <c r="AP14" s="1669"/>
      <c r="AQ14" s="1669"/>
      <c r="AR14" s="1669"/>
      <c r="AS14" s="1669"/>
      <c r="AT14" s="1669"/>
      <c r="AU14" s="1669"/>
      <c r="AV14" s="1669"/>
      <c r="AW14" s="1669"/>
      <c r="AX14" s="1669"/>
      <c r="AY14" s="1669"/>
      <c r="AZ14" s="1669"/>
      <c r="BA14" s="1669"/>
      <c r="BB14" s="1669"/>
      <c r="BC14" s="1669"/>
      <c r="BD14" s="1669"/>
      <c r="BE14" s="1669"/>
      <c r="BF14" s="1669"/>
      <c r="BG14" s="1669"/>
      <c r="BH14" s="1669"/>
      <c r="BI14" s="1669"/>
      <c r="BJ14" s="1669"/>
      <c r="BK14" s="1669"/>
      <c r="BL14" s="1669"/>
      <c r="BM14" s="1669"/>
      <c r="BN14" s="1669"/>
      <c r="BO14" s="1669"/>
      <c r="BP14" s="1669"/>
      <c r="BQ14" s="1669"/>
      <c r="BR14" s="1669"/>
      <c r="BS14" s="1669"/>
      <c r="BT14" s="1669"/>
      <c r="BU14" s="1669"/>
      <c r="BV14" s="1669"/>
      <c r="BW14" s="1669"/>
      <c r="BX14" s="1669"/>
      <c r="BY14" s="1669"/>
      <c r="BZ14" s="1669"/>
      <c r="CA14" s="1669"/>
      <c r="CB14" s="1669"/>
      <c r="CC14" s="1669"/>
      <c r="CD14" s="1669"/>
      <c r="CE14" s="1669"/>
      <c r="CF14" s="1669"/>
      <c r="CG14" s="1669"/>
      <c r="CH14" s="1669"/>
      <c r="CI14" s="1669"/>
      <c r="CJ14" s="1669"/>
      <c r="CK14" s="1669"/>
      <c r="CL14" s="1669"/>
      <c r="CM14" s="1669"/>
      <c r="CN14" s="1669"/>
      <c r="CO14" s="1669"/>
      <c r="CP14" s="1669"/>
      <c r="CQ14" s="1669"/>
      <c r="CR14" s="1669"/>
      <c r="CS14" s="1669"/>
      <c r="CT14" s="1669"/>
      <c r="CU14" s="1669"/>
      <c r="CV14" s="1669"/>
      <c r="CW14" s="1669"/>
      <c r="CX14" s="1669"/>
      <c r="CY14" s="817"/>
      <c r="CZ14" s="1669"/>
      <c r="DA14" s="1669"/>
      <c r="DB14" s="1669"/>
      <c r="DC14" s="1669"/>
      <c r="DD14" s="1669"/>
      <c r="DE14" s="1669"/>
      <c r="DF14" s="1669"/>
      <c r="DG14" s="1669"/>
      <c r="DH14" s="1669"/>
      <c r="DI14" s="1669"/>
      <c r="DJ14" s="1669"/>
      <c r="DK14" s="1669"/>
      <c r="DL14" s="1669"/>
      <c r="DM14" s="1669"/>
      <c r="DN14" s="1669"/>
      <c r="DO14" s="767"/>
      <c r="DP14" s="1669"/>
      <c r="DQ14" s="1669"/>
      <c r="DR14" s="1669"/>
      <c r="DS14" s="1669"/>
      <c r="DT14" s="1669"/>
      <c r="DU14" s="1669"/>
      <c r="DV14" s="1671"/>
      <c r="IR14" s="755"/>
      <c r="IS14" s="755"/>
      <c r="IT14" s="755"/>
      <c r="IU14" s="755"/>
      <c r="IV14" s="755"/>
    </row>
    <row r="15" spans="1:256" s="754" customFormat="1" ht="13.8">
      <c r="A15" s="1667" t="s">
        <v>4932</v>
      </c>
      <c r="B15" s="1672"/>
      <c r="C15" s="1670"/>
      <c r="D15" s="1670"/>
      <c r="E15" s="1670"/>
      <c r="F15" s="1670"/>
      <c r="G15" s="1670"/>
      <c r="H15" s="1670"/>
      <c r="I15" s="1670"/>
      <c r="J15" s="1668"/>
      <c r="K15" s="1670"/>
      <c r="L15" s="1670"/>
      <c r="M15" s="1670"/>
      <c r="N15" s="1670"/>
      <c r="O15" s="1668"/>
      <c r="P15" s="1668"/>
      <c r="Q15" s="1668"/>
      <c r="R15" s="1669"/>
      <c r="S15" s="1669"/>
      <c r="T15" s="1669"/>
      <c r="U15" s="1669"/>
      <c r="V15" s="1669"/>
      <c r="W15" s="1669"/>
      <c r="X15" s="1669"/>
      <c r="Y15" s="1669"/>
      <c r="Z15" s="1669"/>
      <c r="AA15" s="1669"/>
      <c r="AB15" s="1669"/>
      <c r="AC15" s="1669"/>
      <c r="AD15" s="1669"/>
      <c r="AE15" s="1669"/>
      <c r="AF15" s="1669"/>
      <c r="AG15" s="1669"/>
      <c r="AH15" s="1669"/>
      <c r="AI15" s="1669"/>
      <c r="AJ15" s="1669"/>
      <c r="AK15" s="1669"/>
      <c r="AL15" s="1669"/>
      <c r="AM15" s="1669"/>
      <c r="AN15" s="1669"/>
      <c r="AO15" s="1669"/>
      <c r="AP15" s="1669"/>
      <c r="AQ15" s="1669"/>
      <c r="AR15" s="1669"/>
      <c r="AS15" s="1669"/>
      <c r="AT15" s="1669"/>
      <c r="AU15" s="1669"/>
      <c r="AV15" s="1669"/>
      <c r="AW15" s="1669"/>
      <c r="AX15" s="1669"/>
      <c r="AY15" s="1669"/>
      <c r="AZ15" s="1669"/>
      <c r="BA15" s="1669"/>
      <c r="BB15" s="1669"/>
      <c r="BC15" s="1669"/>
      <c r="BD15" s="1669"/>
      <c r="BE15" s="1669"/>
      <c r="BF15" s="1669"/>
      <c r="BG15" s="1669"/>
      <c r="BH15" s="1669"/>
      <c r="BI15" s="1669"/>
      <c r="BJ15" s="1669"/>
      <c r="BK15" s="1669"/>
      <c r="BL15" s="1669"/>
      <c r="BM15" s="1669"/>
      <c r="BN15" s="1669"/>
      <c r="BO15" s="1669"/>
      <c r="BP15" s="1669"/>
      <c r="BQ15" s="1669"/>
      <c r="BR15" s="1669"/>
      <c r="BS15" s="1669"/>
      <c r="BT15" s="1669"/>
      <c r="BU15" s="1669"/>
      <c r="BV15" s="1669"/>
      <c r="BW15" s="1669"/>
      <c r="BX15" s="1669"/>
      <c r="BY15" s="1669"/>
      <c r="BZ15" s="1669"/>
      <c r="CA15" s="1669"/>
      <c r="CB15" s="1669"/>
      <c r="CC15" s="1669"/>
      <c r="CD15" s="1669"/>
      <c r="CE15" s="1669"/>
      <c r="CF15" s="1669"/>
      <c r="CG15" s="1669"/>
      <c r="CH15" s="1669"/>
      <c r="CI15" s="1669"/>
      <c r="CJ15" s="1669"/>
      <c r="CK15" s="1669"/>
      <c r="CL15" s="1669"/>
      <c r="CM15" s="1669"/>
      <c r="CN15" s="1669"/>
      <c r="CO15" s="1669"/>
      <c r="CP15" s="1669"/>
      <c r="CQ15" s="1669"/>
      <c r="CR15" s="1669"/>
      <c r="CS15" s="1669"/>
      <c r="CT15" s="1669"/>
      <c r="CU15" s="1669"/>
      <c r="CV15" s="1669"/>
      <c r="CW15" s="1669"/>
      <c r="CX15" s="1669"/>
      <c r="CY15" s="817"/>
      <c r="CZ15" s="1669"/>
      <c r="DA15" s="1669"/>
      <c r="DB15" s="1669"/>
      <c r="DC15" s="1669"/>
      <c r="DD15" s="1669"/>
      <c r="DE15" s="1669"/>
      <c r="DF15" s="1669"/>
      <c r="DG15" s="1669"/>
      <c r="DH15" s="1669"/>
      <c r="DI15" s="1669"/>
      <c r="DJ15" s="1669"/>
      <c r="DK15" s="1669"/>
      <c r="DL15" s="1669"/>
      <c r="DM15" s="1669"/>
      <c r="DN15" s="1669"/>
      <c r="DO15" s="767"/>
      <c r="DP15" s="1669"/>
      <c r="DQ15" s="1669"/>
      <c r="DR15" s="1669"/>
      <c r="DS15" s="1669"/>
      <c r="DT15" s="1669"/>
      <c r="DU15" s="1669"/>
      <c r="DV15" s="1671"/>
      <c r="IR15" s="755"/>
      <c r="IS15" s="755"/>
      <c r="IT15" s="755"/>
      <c r="IU15" s="755"/>
      <c r="IV15" s="755"/>
    </row>
    <row r="16" spans="1:256" s="754" customFormat="1" ht="13.8">
      <c r="A16" s="1667" t="s">
        <v>4933</v>
      </c>
      <c r="B16" s="1670"/>
      <c r="C16" s="1670"/>
      <c r="D16" s="1670"/>
      <c r="E16" s="1670"/>
      <c r="F16" s="1670"/>
      <c r="G16" s="1670"/>
      <c r="H16" s="1670"/>
      <c r="I16" s="1670"/>
      <c r="J16" s="1668"/>
      <c r="K16" s="1670"/>
      <c r="L16" s="1670"/>
      <c r="M16" s="1670"/>
      <c r="N16" s="1670"/>
      <c r="O16" s="1668"/>
      <c r="P16" s="1668"/>
      <c r="Q16" s="1668"/>
      <c r="R16" s="1669"/>
      <c r="S16" s="1669"/>
      <c r="T16" s="1669"/>
      <c r="U16" s="1669"/>
      <c r="V16" s="1669"/>
      <c r="W16" s="1669"/>
      <c r="X16" s="1669"/>
      <c r="Y16" s="1669"/>
      <c r="Z16" s="1669"/>
      <c r="AA16" s="1669"/>
      <c r="AB16" s="1669"/>
      <c r="AC16" s="1669"/>
      <c r="AD16" s="1669"/>
      <c r="AE16" s="1669"/>
      <c r="AF16" s="1669"/>
      <c r="AG16" s="1669"/>
      <c r="AH16" s="1669"/>
      <c r="AI16" s="1669"/>
      <c r="AJ16" s="1669"/>
      <c r="AK16" s="1669"/>
      <c r="AL16" s="1669"/>
      <c r="AM16" s="1669"/>
      <c r="AN16" s="1669"/>
      <c r="AO16" s="1669"/>
      <c r="AP16" s="1669"/>
      <c r="AQ16" s="1669"/>
      <c r="AR16" s="1669"/>
      <c r="AS16" s="1669"/>
      <c r="AT16" s="1669"/>
      <c r="AU16" s="1669"/>
      <c r="AV16" s="1669"/>
      <c r="AW16" s="1669"/>
      <c r="AX16" s="1669"/>
      <c r="AY16" s="1669"/>
      <c r="AZ16" s="1669"/>
      <c r="BA16" s="1669"/>
      <c r="BB16" s="1669"/>
      <c r="BC16" s="1669"/>
      <c r="BD16" s="1669"/>
      <c r="BE16" s="1669"/>
      <c r="BF16" s="1669"/>
      <c r="BG16" s="1669"/>
      <c r="BH16" s="1669"/>
      <c r="BI16" s="1669"/>
      <c r="BJ16" s="1669"/>
      <c r="BK16" s="1669"/>
      <c r="BL16" s="1669"/>
      <c r="BM16" s="1669"/>
      <c r="BN16" s="1669"/>
      <c r="BO16" s="1669"/>
      <c r="BP16" s="1669"/>
      <c r="BQ16" s="1669"/>
      <c r="BR16" s="1669"/>
      <c r="BS16" s="1669"/>
      <c r="BT16" s="1669"/>
      <c r="BU16" s="1669"/>
      <c r="BV16" s="1669"/>
      <c r="BW16" s="1669"/>
      <c r="BX16" s="1669"/>
      <c r="BY16" s="1669"/>
      <c r="BZ16" s="1669"/>
      <c r="CA16" s="1669"/>
      <c r="CB16" s="1669"/>
      <c r="CC16" s="1669"/>
      <c r="CD16" s="1669"/>
      <c r="CE16" s="1669"/>
      <c r="CF16" s="1669"/>
      <c r="CG16" s="1669"/>
      <c r="CH16" s="1669"/>
      <c r="CI16" s="1669"/>
      <c r="CJ16" s="1669"/>
      <c r="CK16" s="1669"/>
      <c r="CL16" s="1669"/>
      <c r="CM16" s="1669"/>
      <c r="CN16" s="1669"/>
      <c r="CO16" s="1669"/>
      <c r="CP16" s="1669"/>
      <c r="CQ16" s="1669"/>
      <c r="CR16" s="1669"/>
      <c r="CS16" s="1669"/>
      <c r="CT16" s="1669"/>
      <c r="CU16" s="1669"/>
      <c r="CV16" s="1669"/>
      <c r="CW16" s="1669"/>
      <c r="CX16" s="1669"/>
      <c r="CY16" s="817"/>
      <c r="CZ16" s="1669"/>
      <c r="DA16" s="1669"/>
      <c r="DB16" s="1669"/>
      <c r="DC16" s="1669"/>
      <c r="DD16" s="1669"/>
      <c r="DE16" s="1669"/>
      <c r="DF16" s="1669"/>
      <c r="DG16" s="1669"/>
      <c r="DH16" s="1669"/>
      <c r="DI16" s="1669"/>
      <c r="DJ16" s="1669"/>
      <c r="DK16" s="1669"/>
      <c r="DL16" s="1669"/>
      <c r="DM16" s="1669"/>
      <c r="DN16" s="1669"/>
      <c r="DO16" s="767"/>
      <c r="DP16" s="1669"/>
      <c r="DQ16" s="1669"/>
      <c r="DR16" s="1669"/>
      <c r="DS16" s="1669"/>
      <c r="DT16" s="1669"/>
      <c r="DU16" s="1669"/>
      <c r="DV16" s="1671"/>
      <c r="IR16" s="755"/>
      <c r="IS16" s="755"/>
      <c r="IT16" s="755"/>
      <c r="IU16" s="755"/>
      <c r="IV16" s="755"/>
    </row>
    <row r="17" spans="1:256" s="754" customFormat="1" ht="13.8">
      <c r="A17" s="1667" t="s">
        <v>4934</v>
      </c>
      <c r="B17" s="1672"/>
      <c r="C17" s="1670"/>
      <c r="D17" s="1670"/>
      <c r="E17" s="1670"/>
      <c r="F17" s="1670"/>
      <c r="G17" s="1670"/>
      <c r="H17" s="1670"/>
      <c r="I17" s="1670"/>
      <c r="J17" s="1668"/>
      <c r="K17" s="1670"/>
      <c r="L17" s="1670"/>
      <c r="M17" s="1670"/>
      <c r="N17" s="1670"/>
      <c r="O17" s="1668"/>
      <c r="P17" s="1668"/>
      <c r="Q17" s="1668"/>
      <c r="R17" s="1669"/>
      <c r="S17" s="1669"/>
      <c r="T17" s="1669"/>
      <c r="U17" s="1669"/>
      <c r="V17" s="1669"/>
      <c r="W17" s="1669"/>
      <c r="X17" s="1669"/>
      <c r="Y17" s="1669"/>
      <c r="Z17" s="1669"/>
      <c r="AA17" s="1669"/>
      <c r="AB17" s="1669"/>
      <c r="AC17" s="1669"/>
      <c r="AD17" s="1669"/>
      <c r="AE17" s="1669"/>
      <c r="AF17" s="1669"/>
      <c r="AG17" s="1669"/>
      <c r="AH17" s="1669"/>
      <c r="AI17" s="1669"/>
      <c r="AJ17" s="1669"/>
      <c r="AK17" s="1669"/>
      <c r="AL17" s="1669"/>
      <c r="AM17" s="1669"/>
      <c r="AN17" s="1669"/>
      <c r="AO17" s="1669"/>
      <c r="AP17" s="1669"/>
      <c r="AQ17" s="1669"/>
      <c r="AR17" s="1669"/>
      <c r="AS17" s="1669"/>
      <c r="AT17" s="1669"/>
      <c r="AU17" s="1669"/>
      <c r="AV17" s="1669"/>
      <c r="AW17" s="1669"/>
      <c r="AX17" s="1669"/>
      <c r="AY17" s="1669"/>
      <c r="AZ17" s="1669"/>
      <c r="BA17" s="1669"/>
      <c r="BB17" s="1669"/>
      <c r="BC17" s="1669"/>
      <c r="BD17" s="1669"/>
      <c r="BE17" s="1669"/>
      <c r="BF17" s="1669"/>
      <c r="BG17" s="1669"/>
      <c r="BH17" s="1669"/>
      <c r="BI17" s="1669"/>
      <c r="BJ17" s="1669"/>
      <c r="BK17" s="1669"/>
      <c r="BL17" s="1669"/>
      <c r="BM17" s="1669"/>
      <c r="BN17" s="1669"/>
      <c r="BO17" s="1669"/>
      <c r="BP17" s="1669"/>
      <c r="BQ17" s="1669"/>
      <c r="BR17" s="1669"/>
      <c r="BS17" s="1669"/>
      <c r="BT17" s="1669"/>
      <c r="BU17" s="1669"/>
      <c r="BV17" s="1669"/>
      <c r="BW17" s="1669"/>
      <c r="BX17" s="1669"/>
      <c r="BY17" s="1669"/>
      <c r="BZ17" s="1669"/>
      <c r="CA17" s="1669"/>
      <c r="CB17" s="1669"/>
      <c r="CC17" s="1669"/>
      <c r="CD17" s="1669"/>
      <c r="CE17" s="1669"/>
      <c r="CF17" s="1669"/>
      <c r="CG17" s="1669"/>
      <c r="CH17" s="1669"/>
      <c r="CI17" s="1669"/>
      <c r="CJ17" s="1669"/>
      <c r="CK17" s="1669"/>
      <c r="CL17" s="1669"/>
      <c r="CM17" s="1669"/>
      <c r="CN17" s="1669"/>
      <c r="CO17" s="1669"/>
      <c r="CP17" s="1669"/>
      <c r="CQ17" s="1669"/>
      <c r="CR17" s="1669"/>
      <c r="CS17" s="1669"/>
      <c r="CT17" s="1669"/>
      <c r="CU17" s="1669"/>
      <c r="CV17" s="1669"/>
      <c r="CW17" s="1669"/>
      <c r="CX17" s="1669"/>
      <c r="CY17" s="817"/>
      <c r="CZ17" s="1669"/>
      <c r="DA17" s="1669"/>
      <c r="DB17" s="1669"/>
      <c r="DC17" s="1669"/>
      <c r="DD17" s="1669"/>
      <c r="DE17" s="1669"/>
      <c r="DF17" s="1669"/>
      <c r="DG17" s="1669"/>
      <c r="DH17" s="1669"/>
      <c r="DI17" s="1669"/>
      <c r="DJ17" s="1669"/>
      <c r="DK17" s="1669"/>
      <c r="DL17" s="1669"/>
      <c r="DM17" s="1669"/>
      <c r="DN17" s="1669"/>
      <c r="DO17" s="767"/>
      <c r="DP17" s="1669"/>
      <c r="DQ17" s="1669"/>
      <c r="DR17" s="1669"/>
      <c r="DS17" s="1669"/>
      <c r="DT17" s="1669"/>
      <c r="DU17" s="1669"/>
      <c r="DV17" s="1671"/>
      <c r="IR17" s="755"/>
      <c r="IS17" s="755"/>
      <c r="IT17" s="755"/>
      <c r="IU17" s="755"/>
      <c r="IV17" s="755"/>
    </row>
    <row r="18" spans="1:256" s="754" customFormat="1" ht="13.8">
      <c r="A18" s="1667" t="s">
        <v>4935</v>
      </c>
      <c r="B18" s="1670"/>
      <c r="C18" s="1670"/>
      <c r="D18" s="1670"/>
      <c r="E18" s="1670"/>
      <c r="F18" s="1670"/>
      <c r="G18" s="1670"/>
      <c r="H18" s="1670"/>
      <c r="I18" s="1670"/>
      <c r="J18" s="1668"/>
      <c r="K18" s="1670"/>
      <c r="L18" s="1670"/>
      <c r="M18" s="1670"/>
      <c r="N18" s="1670"/>
      <c r="O18" s="1668"/>
      <c r="P18" s="1668"/>
      <c r="Q18" s="1668"/>
      <c r="R18" s="1669"/>
      <c r="S18" s="1669"/>
      <c r="T18" s="1669"/>
      <c r="U18" s="1669"/>
      <c r="V18" s="1669"/>
      <c r="W18" s="1669"/>
      <c r="X18" s="1669"/>
      <c r="Y18" s="1669"/>
      <c r="Z18" s="1669"/>
      <c r="AA18" s="1669"/>
      <c r="AB18" s="1669"/>
      <c r="AC18" s="1669"/>
      <c r="AD18" s="1669"/>
      <c r="AE18" s="1669"/>
      <c r="AF18" s="1669"/>
      <c r="AG18" s="1669"/>
      <c r="AH18" s="1669"/>
      <c r="AI18" s="1669"/>
      <c r="AJ18" s="1669"/>
      <c r="AK18" s="1669"/>
      <c r="AL18" s="1669"/>
      <c r="AM18" s="1669"/>
      <c r="AN18" s="1669"/>
      <c r="AO18" s="1669"/>
      <c r="AP18" s="1669"/>
      <c r="AQ18" s="1669"/>
      <c r="AR18" s="1669"/>
      <c r="AS18" s="1669"/>
      <c r="AT18" s="1669"/>
      <c r="AU18" s="1669"/>
      <c r="AV18" s="1669"/>
      <c r="AW18" s="1669"/>
      <c r="AX18" s="1669"/>
      <c r="AY18" s="1669"/>
      <c r="AZ18" s="1669"/>
      <c r="BA18" s="1669"/>
      <c r="BB18" s="1669"/>
      <c r="BC18" s="1669"/>
      <c r="BD18" s="1669"/>
      <c r="BE18" s="1669"/>
      <c r="BF18" s="1669"/>
      <c r="BG18" s="1669"/>
      <c r="BH18" s="1669"/>
      <c r="BI18" s="1669"/>
      <c r="BJ18" s="1669"/>
      <c r="BK18" s="1669"/>
      <c r="BL18" s="1669"/>
      <c r="BM18" s="1669"/>
      <c r="BN18" s="1669"/>
      <c r="BO18" s="1669"/>
      <c r="BP18" s="1669"/>
      <c r="BQ18" s="1669"/>
      <c r="BR18" s="1669"/>
      <c r="BS18" s="1669"/>
      <c r="BT18" s="1669"/>
      <c r="BU18" s="1669"/>
      <c r="BV18" s="1669"/>
      <c r="BW18" s="1669"/>
      <c r="BX18" s="1669"/>
      <c r="BY18" s="1669"/>
      <c r="BZ18" s="1669"/>
      <c r="CA18" s="1669"/>
      <c r="CB18" s="1669"/>
      <c r="CC18" s="1669"/>
      <c r="CD18" s="1669"/>
      <c r="CE18" s="1669"/>
      <c r="CF18" s="1669"/>
      <c r="CG18" s="1669"/>
      <c r="CH18" s="1669"/>
      <c r="CI18" s="1669"/>
      <c r="CJ18" s="1669"/>
      <c r="CK18" s="1669"/>
      <c r="CL18" s="1669"/>
      <c r="CM18" s="1669"/>
      <c r="CN18" s="1669"/>
      <c r="CO18" s="1669"/>
      <c r="CP18" s="1669"/>
      <c r="CQ18" s="1669"/>
      <c r="CR18" s="1669"/>
      <c r="CS18" s="1669"/>
      <c r="CT18" s="1669"/>
      <c r="CU18" s="1669"/>
      <c r="CV18" s="1669"/>
      <c r="CW18" s="1669"/>
      <c r="CX18" s="1669"/>
      <c r="CY18" s="817"/>
      <c r="CZ18" s="1669"/>
      <c r="DA18" s="1669"/>
      <c r="DB18" s="1669"/>
      <c r="DC18" s="1669"/>
      <c r="DD18" s="1669"/>
      <c r="DE18" s="1669"/>
      <c r="DF18" s="1669"/>
      <c r="DG18" s="1669"/>
      <c r="DH18" s="1669"/>
      <c r="DI18" s="1669"/>
      <c r="DJ18" s="1669"/>
      <c r="DK18" s="1669"/>
      <c r="DL18" s="1669"/>
      <c r="DM18" s="1669"/>
      <c r="DN18" s="1669"/>
      <c r="DO18" s="767"/>
      <c r="DP18" s="1669"/>
      <c r="DQ18" s="1669"/>
      <c r="DR18" s="1669"/>
      <c r="DS18" s="1669"/>
      <c r="DT18" s="1669"/>
      <c r="DU18" s="1669"/>
      <c r="DV18" s="1671"/>
      <c r="IR18" s="755"/>
      <c r="IS18" s="755"/>
      <c r="IT18" s="755"/>
      <c r="IU18" s="755"/>
      <c r="IV18" s="755"/>
    </row>
    <row r="19" spans="1:256" s="754" customFormat="1" ht="13.8">
      <c r="A19" s="1667" t="s">
        <v>4936</v>
      </c>
      <c r="B19" s="1672"/>
      <c r="C19" s="1670"/>
      <c r="D19" s="1670"/>
      <c r="E19" s="1670"/>
      <c r="F19" s="1670"/>
      <c r="G19" s="1670"/>
      <c r="H19" s="1670"/>
      <c r="I19" s="1670"/>
      <c r="J19" s="1668"/>
      <c r="K19" s="1670"/>
      <c r="L19" s="1670"/>
      <c r="M19" s="1670"/>
      <c r="N19" s="1670"/>
      <c r="O19" s="1668"/>
      <c r="P19" s="1668"/>
      <c r="Q19" s="1668"/>
      <c r="R19" s="1669"/>
      <c r="S19" s="1669"/>
      <c r="T19" s="1669"/>
      <c r="U19" s="1669"/>
      <c r="V19" s="1669"/>
      <c r="W19" s="1669"/>
      <c r="X19" s="1669"/>
      <c r="Y19" s="1669"/>
      <c r="Z19" s="1669"/>
      <c r="AA19" s="1669"/>
      <c r="AB19" s="1669"/>
      <c r="AC19" s="1669"/>
      <c r="AD19" s="1669"/>
      <c r="AE19" s="1669"/>
      <c r="AF19" s="1669"/>
      <c r="AG19" s="1669"/>
      <c r="AH19" s="1669"/>
      <c r="AI19" s="1669"/>
      <c r="AJ19" s="1669"/>
      <c r="AK19" s="1669"/>
      <c r="AL19" s="1669"/>
      <c r="AM19" s="1669"/>
      <c r="AN19" s="1669"/>
      <c r="AO19" s="1669"/>
      <c r="AP19" s="1669"/>
      <c r="AQ19" s="1669"/>
      <c r="AR19" s="1669"/>
      <c r="AS19" s="1669"/>
      <c r="AT19" s="1669"/>
      <c r="AU19" s="1669"/>
      <c r="AV19" s="1669"/>
      <c r="AW19" s="1669"/>
      <c r="AX19" s="1669"/>
      <c r="AY19" s="1669"/>
      <c r="AZ19" s="1669"/>
      <c r="BA19" s="1669"/>
      <c r="BB19" s="1669"/>
      <c r="BC19" s="1669"/>
      <c r="BD19" s="1669"/>
      <c r="BE19" s="1669"/>
      <c r="BF19" s="1669"/>
      <c r="BG19" s="1669"/>
      <c r="BH19" s="1669"/>
      <c r="BI19" s="1669"/>
      <c r="BJ19" s="1669"/>
      <c r="BK19" s="1669"/>
      <c r="BL19" s="1669"/>
      <c r="BM19" s="1669"/>
      <c r="BN19" s="1669"/>
      <c r="BO19" s="1669"/>
      <c r="BP19" s="1669"/>
      <c r="BQ19" s="1669"/>
      <c r="BR19" s="1669"/>
      <c r="BS19" s="1669"/>
      <c r="BT19" s="1669"/>
      <c r="BU19" s="1669"/>
      <c r="BV19" s="1669"/>
      <c r="BW19" s="1669"/>
      <c r="BX19" s="1669"/>
      <c r="BY19" s="1669"/>
      <c r="BZ19" s="1669"/>
      <c r="CA19" s="1669"/>
      <c r="CB19" s="1669"/>
      <c r="CC19" s="1669"/>
      <c r="CD19" s="1669"/>
      <c r="CE19" s="1669"/>
      <c r="CF19" s="1669"/>
      <c r="CG19" s="1669"/>
      <c r="CH19" s="1669"/>
      <c r="CI19" s="1669"/>
      <c r="CJ19" s="1669"/>
      <c r="CK19" s="1669"/>
      <c r="CL19" s="1669"/>
      <c r="CM19" s="1669"/>
      <c r="CN19" s="1669"/>
      <c r="CO19" s="1669"/>
      <c r="CP19" s="1669"/>
      <c r="CQ19" s="1669"/>
      <c r="CR19" s="1669"/>
      <c r="CS19" s="1669"/>
      <c r="CT19" s="1669"/>
      <c r="CU19" s="1669"/>
      <c r="CV19" s="1669"/>
      <c r="CW19" s="1669"/>
      <c r="CX19" s="1669"/>
      <c r="CY19" s="1669"/>
      <c r="CZ19" s="1669"/>
      <c r="DA19" s="1669"/>
      <c r="DB19" s="1669"/>
      <c r="DC19" s="1669"/>
      <c r="DD19" s="1669"/>
      <c r="DE19" s="1669"/>
      <c r="DF19" s="1669"/>
      <c r="DG19" s="1669"/>
      <c r="DH19" s="1669"/>
      <c r="DI19" s="1669"/>
      <c r="DJ19" s="1669"/>
      <c r="DK19" s="1669"/>
      <c r="DL19" s="1669"/>
      <c r="DM19" s="1669"/>
      <c r="DN19" s="1669"/>
      <c r="DO19" s="1669"/>
      <c r="DP19" s="1669"/>
      <c r="DQ19" s="1669"/>
      <c r="DR19" s="1669"/>
      <c r="DS19" s="1669"/>
      <c r="DT19" s="1669"/>
      <c r="DU19" s="1669"/>
      <c r="DV19" s="1671"/>
      <c r="IR19" s="755"/>
      <c r="IS19" s="755"/>
      <c r="IT19" s="755"/>
      <c r="IU19" s="755"/>
      <c r="IV19" s="755"/>
    </row>
    <row r="20" spans="1:256" s="754" customFormat="1" ht="13.8">
      <c r="A20" s="1667" t="s">
        <v>4937</v>
      </c>
      <c r="B20" s="1672"/>
      <c r="C20" s="1670"/>
      <c r="D20" s="1670"/>
      <c r="E20" s="1670"/>
      <c r="F20" s="1670"/>
      <c r="G20" s="1670"/>
      <c r="H20" s="1670"/>
      <c r="I20" s="1670"/>
      <c r="J20" s="1668"/>
      <c r="K20" s="1670"/>
      <c r="L20" s="1670"/>
      <c r="M20" s="1670"/>
      <c r="N20" s="1670"/>
      <c r="O20" s="1668"/>
      <c r="P20" s="1668"/>
      <c r="Q20" s="1668"/>
      <c r="R20" s="1669"/>
      <c r="S20" s="1669"/>
      <c r="T20" s="1669"/>
      <c r="U20" s="1669"/>
      <c r="V20" s="1669"/>
      <c r="W20" s="1669"/>
      <c r="X20" s="1669"/>
      <c r="Y20" s="1669"/>
      <c r="Z20" s="1669"/>
      <c r="AA20" s="1669"/>
      <c r="AB20" s="1669"/>
      <c r="AC20" s="1669"/>
      <c r="AD20" s="1669"/>
      <c r="AE20" s="1669"/>
      <c r="AF20" s="1669"/>
      <c r="AG20" s="1669"/>
      <c r="AH20" s="1669"/>
      <c r="AI20" s="1669"/>
      <c r="AJ20" s="1669"/>
      <c r="AK20" s="1669"/>
      <c r="AL20" s="1669"/>
      <c r="AM20" s="1669"/>
      <c r="AN20" s="1669"/>
      <c r="AO20" s="1669"/>
      <c r="AP20" s="1669"/>
      <c r="AQ20" s="1669"/>
      <c r="AR20" s="1669"/>
      <c r="AS20" s="1669"/>
      <c r="AT20" s="1669"/>
      <c r="AU20" s="1669"/>
      <c r="AV20" s="1669"/>
      <c r="AW20" s="1669"/>
      <c r="AX20" s="1669"/>
      <c r="AY20" s="1669"/>
      <c r="AZ20" s="1669"/>
      <c r="BA20" s="1669"/>
      <c r="BB20" s="1669"/>
      <c r="BC20" s="1669"/>
      <c r="BD20" s="1669"/>
      <c r="BE20" s="1669"/>
      <c r="BF20" s="1669"/>
      <c r="BG20" s="1669"/>
      <c r="BH20" s="1669"/>
      <c r="BI20" s="1669"/>
      <c r="BJ20" s="1669"/>
      <c r="BK20" s="1669"/>
      <c r="BL20" s="1669"/>
      <c r="BM20" s="1669"/>
      <c r="BN20" s="1669"/>
      <c r="BO20" s="1669"/>
      <c r="BP20" s="1669"/>
      <c r="BQ20" s="1669"/>
      <c r="BR20" s="1669"/>
      <c r="BS20" s="1669"/>
      <c r="BT20" s="1669"/>
      <c r="BU20" s="1669"/>
      <c r="BV20" s="1669"/>
      <c r="BW20" s="1669"/>
      <c r="BX20" s="1669"/>
      <c r="BY20" s="1669"/>
      <c r="BZ20" s="1669"/>
      <c r="CA20" s="1669"/>
      <c r="CB20" s="1669"/>
      <c r="CC20" s="1669"/>
      <c r="CD20" s="1669"/>
      <c r="CE20" s="1669"/>
      <c r="CF20" s="1669"/>
      <c r="CG20" s="1669"/>
      <c r="CH20" s="1669"/>
      <c r="CI20" s="1669"/>
      <c r="CJ20" s="1669"/>
      <c r="CK20" s="1669"/>
      <c r="CL20" s="1669"/>
      <c r="CM20" s="1669"/>
      <c r="CN20" s="1669"/>
      <c r="CO20" s="1669"/>
      <c r="CP20" s="1669"/>
      <c r="CQ20" s="1669"/>
      <c r="CR20" s="1669"/>
      <c r="CS20" s="1669"/>
      <c r="CT20" s="1669"/>
      <c r="CU20" s="1669"/>
      <c r="CV20" s="1669"/>
      <c r="CW20" s="1669"/>
      <c r="CX20" s="1669"/>
      <c r="CY20" s="1669"/>
      <c r="CZ20" s="1669"/>
      <c r="DA20" s="1669"/>
      <c r="DB20" s="1669"/>
      <c r="DC20" s="1669"/>
      <c r="DD20" s="1669"/>
      <c r="DE20" s="1669"/>
      <c r="DF20" s="1669"/>
      <c r="DG20" s="1669"/>
      <c r="DH20" s="1669"/>
      <c r="DI20" s="1669"/>
      <c r="DJ20" s="1669"/>
      <c r="DK20" s="1669"/>
      <c r="DL20" s="1669"/>
      <c r="DM20" s="1669"/>
      <c r="DN20" s="1669"/>
      <c r="DO20" s="1669"/>
      <c r="DP20" s="1669"/>
      <c r="DQ20" s="1669"/>
      <c r="DR20" s="1669"/>
      <c r="DS20" s="1669"/>
      <c r="DT20" s="1669"/>
      <c r="DU20" s="1669"/>
      <c r="DV20" s="1671"/>
      <c r="IR20" s="755"/>
      <c r="IS20" s="755"/>
      <c r="IT20" s="755"/>
      <c r="IU20" s="755"/>
      <c r="IV20" s="755"/>
    </row>
    <row r="21" spans="1:256" s="756" customFormat="1" ht="13.8">
      <c r="A21" s="1667" t="s">
        <v>4938</v>
      </c>
      <c r="B21" s="1670"/>
      <c r="C21" s="1670"/>
      <c r="D21" s="1670"/>
      <c r="E21" s="1670"/>
      <c r="F21" s="1670"/>
      <c r="G21" s="1670"/>
      <c r="H21" s="1670"/>
      <c r="I21" s="1670"/>
      <c r="J21" s="1668"/>
      <c r="K21" s="1670"/>
      <c r="L21" s="1670"/>
      <c r="M21" s="1673"/>
      <c r="N21" s="1673"/>
      <c r="O21" s="1673"/>
      <c r="P21" s="1673"/>
      <c r="Q21" s="1668"/>
      <c r="R21" s="1669"/>
      <c r="S21" s="1669"/>
      <c r="T21" s="1669"/>
      <c r="U21" s="1669"/>
      <c r="V21" s="1669"/>
      <c r="W21" s="1669"/>
      <c r="X21" s="1669"/>
      <c r="Y21" s="1669"/>
      <c r="Z21" s="1669"/>
      <c r="AA21" s="1669"/>
      <c r="AB21" s="1669"/>
      <c r="AC21" s="1669"/>
      <c r="AD21" s="1669"/>
      <c r="AE21" s="1669"/>
      <c r="AF21" s="1669"/>
      <c r="AG21" s="1669"/>
      <c r="AH21" s="1669"/>
      <c r="AI21" s="1669"/>
      <c r="AJ21" s="1669"/>
      <c r="AK21" s="1669"/>
      <c r="AL21" s="1669"/>
      <c r="AM21" s="1669"/>
      <c r="AN21" s="1669"/>
      <c r="AO21" s="1669"/>
      <c r="AP21" s="1669"/>
      <c r="AQ21" s="1669"/>
      <c r="AR21" s="1669"/>
      <c r="AS21" s="1669"/>
      <c r="AT21" s="1669"/>
      <c r="AU21" s="1669"/>
      <c r="AV21" s="1669"/>
      <c r="AW21" s="1669"/>
      <c r="AX21" s="1669"/>
      <c r="AY21" s="1669"/>
      <c r="AZ21" s="1669"/>
      <c r="BA21" s="1669"/>
      <c r="BB21" s="1669"/>
      <c r="BC21" s="1669"/>
      <c r="BD21" s="1669"/>
      <c r="BE21" s="1669"/>
      <c r="BF21" s="1669"/>
      <c r="BG21" s="1669"/>
      <c r="BH21" s="1669"/>
      <c r="BI21" s="1669"/>
      <c r="BJ21" s="1669"/>
      <c r="BK21" s="1669"/>
      <c r="BL21" s="1669"/>
      <c r="BM21" s="1669"/>
      <c r="BN21" s="1669"/>
      <c r="BO21" s="1669"/>
      <c r="BP21" s="1669"/>
      <c r="BQ21" s="1669"/>
      <c r="BR21" s="1669"/>
      <c r="BS21" s="1669"/>
      <c r="BT21" s="1669"/>
      <c r="BU21" s="1669"/>
      <c r="BV21" s="1669"/>
      <c r="BW21" s="1669"/>
      <c r="BX21" s="1669"/>
      <c r="BY21" s="1669"/>
      <c r="BZ21" s="1669"/>
      <c r="CA21" s="1669"/>
      <c r="CB21" s="1669"/>
      <c r="CC21" s="1669"/>
      <c r="CD21" s="1669"/>
      <c r="CE21" s="1669"/>
      <c r="CF21" s="1669"/>
      <c r="CG21" s="1669"/>
      <c r="CH21" s="1669"/>
      <c r="CI21" s="1669"/>
      <c r="CJ21" s="1669"/>
      <c r="CK21" s="1669"/>
      <c r="CL21" s="1669"/>
      <c r="CM21" s="1669"/>
      <c r="CN21" s="1669"/>
      <c r="CO21" s="1669"/>
      <c r="CP21" s="1669"/>
      <c r="CQ21" s="1669"/>
      <c r="CR21" s="1669"/>
      <c r="CS21" s="1669"/>
      <c r="CT21" s="1669"/>
      <c r="CU21" s="1669"/>
      <c r="CV21" s="1669"/>
      <c r="CW21" s="1669"/>
      <c r="CX21" s="1669"/>
      <c r="CY21" s="1669"/>
      <c r="CZ21" s="1669"/>
      <c r="DA21" s="1669"/>
      <c r="DB21" s="1669"/>
      <c r="DC21" s="1669"/>
      <c r="DD21" s="1669"/>
      <c r="DE21" s="1669"/>
      <c r="DF21" s="1669"/>
      <c r="DG21" s="1669"/>
      <c r="DH21" s="1669"/>
      <c r="DI21" s="1669"/>
      <c r="DJ21" s="1669"/>
      <c r="DK21" s="1669"/>
      <c r="DL21" s="1669"/>
      <c r="DM21" s="1669"/>
      <c r="DN21" s="1669"/>
      <c r="DO21" s="1669"/>
      <c r="DP21" s="1669"/>
      <c r="DQ21" s="1669"/>
      <c r="DR21" s="1669"/>
      <c r="DS21" s="1669"/>
      <c r="DT21" s="1669"/>
      <c r="DU21" s="1669"/>
      <c r="DV21" s="1671"/>
      <c r="DW21" s="756">
        <f>+DU21*0.4</f>
        <v>0</v>
      </c>
      <c r="DX21" s="756">
        <f>+DW21/0.22</f>
        <v>0</v>
      </c>
    </row>
    <row r="22" spans="1:256" s="545" customFormat="1" ht="13.8">
      <c r="A22" s="1667" t="s">
        <v>4939</v>
      </c>
      <c r="B22" s="1674"/>
      <c r="C22" s="1670"/>
      <c r="D22" s="1673"/>
      <c r="E22" s="1673"/>
      <c r="F22" s="1673"/>
      <c r="G22" s="1673"/>
      <c r="H22" s="1673"/>
      <c r="I22" s="1673"/>
      <c r="J22" s="1673"/>
      <c r="K22" s="1673"/>
      <c r="L22" s="1670"/>
      <c r="M22" s="1023"/>
      <c r="N22" s="1023"/>
      <c r="O22" s="1023"/>
      <c r="P22" s="1023"/>
      <c r="Q22" s="1669"/>
      <c r="R22" s="1669"/>
      <c r="S22" s="1669"/>
      <c r="T22" s="1669"/>
      <c r="U22" s="1669"/>
      <c r="V22" s="1669"/>
      <c r="W22" s="1669"/>
      <c r="X22" s="1669"/>
      <c r="Y22" s="1669"/>
      <c r="Z22" s="1669"/>
      <c r="AA22" s="1669"/>
      <c r="AB22" s="1669"/>
      <c r="AC22" s="1669"/>
      <c r="AD22" s="1669"/>
      <c r="AE22" s="1669"/>
      <c r="AF22" s="1669"/>
      <c r="AG22" s="1669"/>
      <c r="AH22" s="1669"/>
      <c r="AI22" s="1669"/>
      <c r="AJ22" s="1669"/>
      <c r="AK22" s="1669"/>
      <c r="AL22" s="1669"/>
      <c r="AM22" s="1669"/>
      <c r="AN22" s="1669"/>
      <c r="AO22" s="1669"/>
      <c r="AP22" s="1669"/>
      <c r="AQ22" s="1669"/>
      <c r="AR22" s="1669"/>
      <c r="AS22" s="1669"/>
      <c r="AT22" s="1669"/>
      <c r="AU22" s="1669"/>
      <c r="AV22" s="1669"/>
      <c r="AW22" s="1669"/>
      <c r="AX22" s="1669"/>
      <c r="AY22" s="1669"/>
      <c r="AZ22" s="1669"/>
      <c r="BA22" s="1669"/>
      <c r="BB22" s="1669"/>
      <c r="BC22" s="1669"/>
      <c r="BD22" s="1669"/>
      <c r="BE22" s="1669"/>
      <c r="BF22" s="1669"/>
      <c r="BG22" s="1669"/>
      <c r="BH22" s="1669"/>
      <c r="BI22" s="1669"/>
      <c r="BJ22" s="1669"/>
      <c r="BK22" s="1669"/>
      <c r="BL22" s="1669"/>
      <c r="BM22" s="1669"/>
      <c r="BN22" s="1669"/>
      <c r="BO22" s="1669"/>
      <c r="BP22" s="1669"/>
      <c r="BQ22" s="1669"/>
      <c r="BR22" s="1669"/>
      <c r="BS22" s="1669"/>
      <c r="BT22" s="1669"/>
      <c r="BU22" s="1669"/>
      <c r="BV22" s="1669"/>
      <c r="BW22" s="1669"/>
      <c r="BX22" s="1669"/>
      <c r="BY22" s="1669"/>
      <c r="BZ22" s="1669"/>
      <c r="CA22" s="1669"/>
      <c r="CB22" s="1669"/>
      <c r="CC22" s="1669"/>
      <c r="CD22" s="1669"/>
      <c r="CE22" s="1669"/>
      <c r="CF22" s="1669"/>
      <c r="CG22" s="1669"/>
      <c r="CH22" s="1669"/>
      <c r="CI22" s="1669"/>
      <c r="CJ22" s="1669"/>
      <c r="CK22" s="1669"/>
      <c r="CL22" s="1669"/>
      <c r="CM22" s="1669"/>
      <c r="CN22" s="1669"/>
      <c r="CO22" s="1669"/>
      <c r="CP22" s="1669"/>
      <c r="CQ22" s="1669"/>
      <c r="CR22" s="1669"/>
      <c r="CS22" s="1669"/>
      <c r="CT22" s="1669"/>
      <c r="CU22" s="1669"/>
      <c r="CV22" s="1669"/>
      <c r="CW22" s="1669"/>
      <c r="CX22" s="1669"/>
      <c r="CY22" s="1669"/>
      <c r="CZ22" s="1669"/>
      <c r="DA22" s="1669"/>
      <c r="DB22" s="1669"/>
      <c r="DC22" s="1669"/>
      <c r="DD22" s="1669"/>
      <c r="DE22" s="1669"/>
      <c r="DF22" s="1669"/>
      <c r="DG22" s="1669"/>
      <c r="DH22" s="1669"/>
      <c r="DI22" s="1669"/>
      <c r="DJ22" s="1669"/>
      <c r="DK22" s="1669"/>
      <c r="DL22" s="1669"/>
      <c r="DM22" s="1669"/>
      <c r="DN22" s="1669"/>
      <c r="DO22" s="1669"/>
      <c r="DP22" s="1669"/>
      <c r="DQ22" s="1669"/>
      <c r="DR22" s="1669"/>
      <c r="DS22" s="1669"/>
      <c r="DT22" s="1669"/>
      <c r="DU22" s="1669"/>
      <c r="DV22" s="1671"/>
      <c r="DW22" s="530"/>
      <c r="DX22" s="530"/>
      <c r="DY22" s="530"/>
      <c r="DZ22" s="530"/>
      <c r="EA22" s="530"/>
      <c r="EB22" s="530"/>
      <c r="EC22" s="530"/>
      <c r="ED22" s="530"/>
      <c r="EE22" s="530"/>
      <c r="EF22" s="530"/>
      <c r="EG22" s="530"/>
      <c r="EH22" s="530"/>
      <c r="EI22" s="530"/>
      <c r="EJ22" s="530"/>
      <c r="EK22" s="530"/>
      <c r="EL22" s="530"/>
      <c r="EM22" s="530"/>
      <c r="EN22" s="530"/>
      <c r="EO22" s="530"/>
      <c r="EP22" s="530"/>
      <c r="EQ22" s="530"/>
      <c r="ER22" s="530"/>
      <c r="ES22" s="530"/>
      <c r="ET22" s="530"/>
      <c r="EU22" s="530"/>
      <c r="EV22" s="530"/>
      <c r="EW22" s="530"/>
      <c r="EX22" s="530"/>
      <c r="EY22" s="530"/>
      <c r="EZ22" s="530"/>
      <c r="FA22" s="530"/>
      <c r="FB22" s="530"/>
      <c r="FC22" s="530"/>
      <c r="FD22" s="530"/>
      <c r="FE22" s="530"/>
      <c r="FF22" s="530"/>
      <c r="FG22" s="530"/>
      <c r="FH22" s="530"/>
      <c r="FI22" s="530"/>
      <c r="FJ22" s="530"/>
      <c r="FK22" s="530"/>
      <c r="FL22" s="530"/>
      <c r="FM22" s="530"/>
      <c r="FN22" s="530"/>
      <c r="FO22" s="530"/>
      <c r="FP22" s="530"/>
      <c r="FQ22" s="530"/>
      <c r="FR22" s="530"/>
      <c r="FS22" s="530"/>
      <c r="FT22" s="530"/>
      <c r="FU22" s="530"/>
      <c r="FV22" s="530"/>
      <c r="FW22" s="530"/>
      <c r="FX22" s="530"/>
      <c r="FY22" s="530"/>
      <c r="FZ22" s="530"/>
      <c r="GA22" s="530"/>
      <c r="GB22" s="530"/>
      <c r="GC22" s="530"/>
      <c r="GD22" s="530"/>
      <c r="GE22" s="530"/>
      <c r="GF22" s="530"/>
      <c r="GG22" s="530"/>
      <c r="GH22" s="530"/>
      <c r="GI22" s="530"/>
      <c r="GJ22" s="530"/>
      <c r="GK22" s="530"/>
      <c r="GL22" s="530"/>
      <c r="GM22" s="530"/>
      <c r="GN22" s="530"/>
      <c r="GO22" s="530"/>
      <c r="GP22" s="530"/>
      <c r="GQ22" s="530"/>
      <c r="GR22" s="530"/>
      <c r="GS22" s="530"/>
      <c r="GT22" s="530"/>
      <c r="GU22" s="530"/>
      <c r="GV22" s="530"/>
      <c r="GW22" s="530"/>
      <c r="GX22" s="530"/>
      <c r="GY22" s="530"/>
      <c r="GZ22" s="530"/>
      <c r="HA22" s="530"/>
      <c r="HB22" s="530"/>
      <c r="HC22" s="530"/>
      <c r="HD22" s="530"/>
      <c r="HE22" s="530"/>
      <c r="HF22" s="530"/>
      <c r="HG22" s="530"/>
      <c r="HH22" s="530"/>
      <c r="HI22" s="530"/>
      <c r="HJ22" s="530"/>
      <c r="HK22" s="530"/>
      <c r="HL22" s="530"/>
      <c r="HM22" s="530"/>
      <c r="HN22" s="530"/>
      <c r="HO22" s="530"/>
      <c r="HP22" s="530"/>
      <c r="HQ22" s="530"/>
      <c r="HR22" s="530"/>
      <c r="HS22" s="530"/>
      <c r="HT22" s="530"/>
      <c r="HU22" s="530"/>
      <c r="HV22" s="530"/>
      <c r="HW22" s="530"/>
      <c r="HX22" s="530"/>
      <c r="HY22" s="530"/>
      <c r="HZ22" s="530"/>
      <c r="IA22" s="530"/>
      <c r="IB22" s="530"/>
      <c r="IC22" s="530"/>
      <c r="ID22" s="530"/>
      <c r="IE22" s="530"/>
      <c r="IF22" s="530"/>
      <c r="IG22" s="530"/>
      <c r="IH22" s="530"/>
      <c r="II22" s="530"/>
      <c r="IJ22" s="530"/>
      <c r="IK22" s="530"/>
      <c r="IL22" s="530"/>
      <c r="IM22" s="530"/>
      <c r="IN22" s="530"/>
      <c r="IO22" s="530"/>
      <c r="IP22" s="530"/>
      <c r="IQ22" s="530"/>
      <c r="IR22" s="530"/>
      <c r="IS22" s="530"/>
      <c r="IT22" s="530"/>
      <c r="IU22" s="530"/>
      <c r="IV22" s="530"/>
    </row>
    <row r="23" spans="1:256" s="545" customFormat="1" ht="13.8">
      <c r="A23" s="1667" t="s">
        <v>4940</v>
      </c>
      <c r="B23" s="1023"/>
      <c r="C23" s="1670"/>
      <c r="D23" s="1670"/>
      <c r="E23" s="1670"/>
      <c r="F23" s="1670"/>
      <c r="G23" s="1670"/>
      <c r="H23" s="1023"/>
      <c r="I23" s="1023"/>
      <c r="J23" s="1023"/>
      <c r="K23" s="1023"/>
      <c r="L23" s="1670"/>
      <c r="M23" s="1023"/>
      <c r="N23" s="1023"/>
      <c r="O23" s="1023"/>
      <c r="P23" s="1023"/>
      <c r="Q23" s="1669"/>
      <c r="R23" s="1669"/>
      <c r="S23" s="1669"/>
      <c r="T23" s="1669"/>
      <c r="U23" s="1669"/>
      <c r="V23" s="1669"/>
      <c r="W23" s="1669"/>
      <c r="X23" s="1669"/>
      <c r="Y23" s="1669"/>
      <c r="Z23" s="1669"/>
      <c r="AA23" s="1669"/>
      <c r="AB23" s="1669"/>
      <c r="AC23" s="1669"/>
      <c r="AD23" s="1669"/>
      <c r="AE23" s="1669"/>
      <c r="AF23" s="1669"/>
      <c r="AG23" s="1669"/>
      <c r="AH23" s="1669"/>
      <c r="AI23" s="1669"/>
      <c r="AJ23" s="1669"/>
      <c r="AK23" s="1669"/>
      <c r="AL23" s="1669"/>
      <c r="AM23" s="1669"/>
      <c r="AN23" s="1669"/>
      <c r="AO23" s="1669"/>
      <c r="AP23" s="1669"/>
      <c r="AQ23" s="1669"/>
      <c r="AR23" s="1669"/>
      <c r="AS23" s="1669"/>
      <c r="AT23" s="1669"/>
      <c r="AU23" s="1669"/>
      <c r="AV23" s="1669"/>
      <c r="AW23" s="1669"/>
      <c r="AX23" s="1669"/>
      <c r="AY23" s="1669"/>
      <c r="AZ23" s="1669"/>
      <c r="BA23" s="1669"/>
      <c r="BB23" s="1669"/>
      <c r="BC23" s="1669"/>
      <c r="BD23" s="1669"/>
      <c r="BE23" s="1669"/>
      <c r="BF23" s="1669"/>
      <c r="BG23" s="1669"/>
      <c r="BH23" s="1669"/>
      <c r="BI23" s="1669"/>
      <c r="BJ23" s="1669"/>
      <c r="BK23" s="1669"/>
      <c r="BL23" s="1669"/>
      <c r="BM23" s="1669"/>
      <c r="BN23" s="1669"/>
      <c r="BO23" s="1669"/>
      <c r="BP23" s="1669"/>
      <c r="BQ23" s="1669"/>
      <c r="BR23" s="1669"/>
      <c r="BS23" s="1669"/>
      <c r="BT23" s="1669"/>
      <c r="BU23" s="1669"/>
      <c r="BV23" s="1669"/>
      <c r="BW23" s="1669"/>
      <c r="BX23" s="1669"/>
      <c r="BY23" s="1669"/>
      <c r="BZ23" s="1669"/>
      <c r="CA23" s="1669"/>
      <c r="CB23" s="1669"/>
      <c r="CC23" s="1669"/>
      <c r="CD23" s="1669"/>
      <c r="CE23" s="1669"/>
      <c r="CF23" s="1669"/>
      <c r="CG23" s="1669"/>
      <c r="CH23" s="1669"/>
      <c r="CI23" s="1669"/>
      <c r="CJ23" s="1669"/>
      <c r="CK23" s="1669"/>
      <c r="CL23" s="1669"/>
      <c r="CM23" s="1669"/>
      <c r="CN23" s="1669"/>
      <c r="CO23" s="1669"/>
      <c r="CP23" s="1669"/>
      <c r="CQ23" s="1669"/>
      <c r="CR23" s="1669"/>
      <c r="CS23" s="1669"/>
      <c r="CT23" s="1669"/>
      <c r="CU23" s="1669"/>
      <c r="CV23" s="1669"/>
      <c r="CW23" s="1669"/>
      <c r="CX23" s="1669"/>
      <c r="CY23" s="1669"/>
      <c r="CZ23" s="1669"/>
      <c r="DA23" s="1669"/>
      <c r="DB23" s="1669"/>
      <c r="DC23" s="1669"/>
      <c r="DD23" s="1669"/>
      <c r="DE23" s="1669"/>
      <c r="DF23" s="1669"/>
      <c r="DG23" s="1669"/>
      <c r="DH23" s="1669"/>
      <c r="DI23" s="1669"/>
      <c r="DJ23" s="1669"/>
      <c r="DK23" s="1669"/>
      <c r="DL23" s="1669"/>
      <c r="DM23" s="1669"/>
      <c r="DN23" s="1669"/>
      <c r="DO23" s="1669"/>
      <c r="DP23" s="1669"/>
      <c r="DQ23" s="1669"/>
      <c r="DR23" s="1669"/>
      <c r="DS23" s="1669"/>
      <c r="DT23" s="1669"/>
      <c r="DU23" s="1669"/>
      <c r="DV23" s="1671"/>
      <c r="DW23" s="530"/>
      <c r="DX23" s="530"/>
      <c r="DY23" s="530"/>
      <c r="DZ23" s="530"/>
      <c r="EA23" s="530"/>
      <c r="EB23" s="530"/>
      <c r="EC23" s="530"/>
      <c r="ED23" s="530"/>
      <c r="EE23" s="530"/>
      <c r="EF23" s="530"/>
      <c r="EG23" s="530"/>
      <c r="EH23" s="530"/>
      <c r="EI23" s="530"/>
      <c r="EJ23" s="530"/>
      <c r="EK23" s="530"/>
      <c r="EL23" s="530"/>
      <c r="EM23" s="530"/>
      <c r="EN23" s="530"/>
      <c r="EO23" s="530"/>
      <c r="EP23" s="530"/>
      <c r="EQ23" s="530"/>
      <c r="ER23" s="530"/>
      <c r="ES23" s="530"/>
      <c r="ET23" s="530"/>
      <c r="EU23" s="530"/>
      <c r="EV23" s="530"/>
      <c r="EW23" s="530"/>
      <c r="EX23" s="530"/>
      <c r="EY23" s="530"/>
      <c r="EZ23" s="530"/>
      <c r="FA23" s="530"/>
      <c r="FB23" s="530"/>
      <c r="FC23" s="530"/>
      <c r="FD23" s="530"/>
      <c r="FE23" s="530"/>
      <c r="FF23" s="530"/>
      <c r="FG23" s="530"/>
      <c r="FH23" s="530"/>
      <c r="FI23" s="530"/>
      <c r="FJ23" s="530"/>
      <c r="FK23" s="530"/>
      <c r="FL23" s="530"/>
      <c r="FM23" s="530"/>
      <c r="FN23" s="530"/>
      <c r="FO23" s="530"/>
      <c r="FP23" s="530"/>
      <c r="FQ23" s="530"/>
      <c r="FR23" s="530"/>
      <c r="FS23" s="530"/>
      <c r="FT23" s="530"/>
      <c r="FU23" s="530"/>
      <c r="FV23" s="530"/>
      <c r="FW23" s="530"/>
      <c r="FX23" s="530"/>
      <c r="FY23" s="530"/>
      <c r="FZ23" s="530"/>
      <c r="GA23" s="530"/>
      <c r="GB23" s="530"/>
      <c r="GC23" s="530"/>
      <c r="GD23" s="530"/>
      <c r="GE23" s="530"/>
      <c r="GF23" s="530"/>
      <c r="GG23" s="530"/>
      <c r="GH23" s="530"/>
      <c r="GI23" s="530"/>
      <c r="GJ23" s="530"/>
      <c r="GK23" s="530"/>
      <c r="GL23" s="530"/>
      <c r="GM23" s="530"/>
      <c r="GN23" s="530"/>
      <c r="GO23" s="530"/>
      <c r="GP23" s="530"/>
      <c r="GQ23" s="530"/>
      <c r="GR23" s="530"/>
      <c r="GS23" s="530"/>
      <c r="GT23" s="530"/>
      <c r="GU23" s="530"/>
      <c r="GV23" s="530"/>
      <c r="GW23" s="530"/>
      <c r="GX23" s="530"/>
      <c r="GY23" s="530"/>
      <c r="GZ23" s="530"/>
      <c r="HA23" s="530"/>
      <c r="HB23" s="530"/>
      <c r="HC23" s="530"/>
      <c r="HD23" s="530"/>
      <c r="HE23" s="530"/>
      <c r="HF23" s="530"/>
      <c r="HG23" s="530"/>
      <c r="HH23" s="530"/>
      <c r="HI23" s="530"/>
      <c r="HJ23" s="530"/>
      <c r="HK23" s="530"/>
      <c r="HL23" s="530"/>
      <c r="HM23" s="530"/>
      <c r="HN23" s="530"/>
      <c r="HO23" s="530"/>
      <c r="HP23" s="530"/>
      <c r="HQ23" s="530"/>
      <c r="HR23" s="530"/>
      <c r="HS23" s="530"/>
      <c r="HT23" s="530"/>
      <c r="HU23" s="530"/>
      <c r="HV23" s="530"/>
      <c r="HW23" s="530"/>
      <c r="HX23" s="530"/>
      <c r="HY23" s="530"/>
      <c r="HZ23" s="530"/>
      <c r="IA23" s="530"/>
      <c r="IB23" s="530"/>
      <c r="IC23" s="530"/>
      <c r="ID23" s="530"/>
      <c r="IE23" s="530"/>
      <c r="IF23" s="530"/>
      <c r="IG23" s="530"/>
      <c r="IH23" s="530"/>
      <c r="II23" s="530"/>
      <c r="IJ23" s="530"/>
      <c r="IK23" s="530"/>
      <c r="IL23" s="530"/>
      <c r="IM23" s="530"/>
      <c r="IN23" s="530"/>
      <c r="IO23" s="530"/>
      <c r="IP23" s="530"/>
      <c r="IQ23" s="530"/>
      <c r="IR23" s="530"/>
      <c r="IS23" s="530"/>
      <c r="IT23" s="530"/>
      <c r="IU23" s="530"/>
      <c r="IV23" s="530"/>
    </row>
    <row r="24" spans="1:256" ht="13.8">
      <c r="A24" s="1667" t="s">
        <v>4941</v>
      </c>
      <c r="B24" s="1023"/>
      <c r="C24" s="1670"/>
      <c r="D24" s="1670"/>
      <c r="E24" s="1670"/>
      <c r="F24" s="1670"/>
      <c r="G24" s="1670"/>
      <c r="H24" s="1023"/>
      <c r="I24" s="1023"/>
      <c r="J24" s="1023"/>
      <c r="K24" s="1023"/>
      <c r="L24" s="1670"/>
      <c r="M24" s="550"/>
      <c r="N24" s="550"/>
      <c r="O24" s="439"/>
      <c r="P24" s="439"/>
      <c r="Q24" s="674"/>
      <c r="R24" s="1669"/>
      <c r="S24" s="671"/>
      <c r="T24" s="671"/>
      <c r="U24" s="671"/>
      <c r="V24" s="671"/>
      <c r="W24" s="1669"/>
      <c r="X24" s="671"/>
      <c r="Y24" s="671"/>
      <c r="Z24" s="671"/>
      <c r="AA24" s="671"/>
      <c r="AB24" s="623"/>
      <c r="AC24" s="623"/>
      <c r="AD24" s="623"/>
      <c r="AE24" s="623"/>
      <c r="AF24" s="623"/>
      <c r="AG24" s="623"/>
      <c r="AH24" s="623"/>
      <c r="AI24" s="623"/>
      <c r="AJ24" s="623"/>
      <c r="AK24" s="623"/>
      <c r="AL24" s="623"/>
      <c r="AM24" s="623"/>
      <c r="AN24" s="623"/>
      <c r="AO24" s="623"/>
      <c r="AP24" s="623"/>
      <c r="AQ24" s="623"/>
      <c r="AR24" s="623"/>
      <c r="AS24" s="623"/>
      <c r="AT24" s="623"/>
      <c r="AU24" s="623"/>
      <c r="AV24" s="623"/>
      <c r="AW24" s="623"/>
      <c r="AX24" s="623"/>
      <c r="AY24" s="623"/>
      <c r="AZ24" s="623"/>
      <c r="BA24" s="623"/>
      <c r="BB24" s="623"/>
      <c r="BC24" s="623"/>
      <c r="BD24" s="623"/>
      <c r="BE24" s="623"/>
      <c r="BF24" s="623"/>
      <c r="BG24" s="623"/>
      <c r="BH24" s="623"/>
      <c r="BI24" s="623"/>
      <c r="BJ24" s="623"/>
      <c r="BK24" s="623"/>
      <c r="BL24" s="623"/>
      <c r="BM24" s="623"/>
      <c r="BN24" s="623"/>
      <c r="BO24" s="623"/>
      <c r="BP24" s="623"/>
      <c r="BQ24" s="623"/>
      <c r="BR24" s="623"/>
      <c r="BS24" s="623"/>
      <c r="BT24" s="623"/>
      <c r="BU24" s="623"/>
      <c r="BV24" s="623"/>
      <c r="BW24" s="623"/>
      <c r="BX24" s="623"/>
      <c r="BY24" s="623"/>
      <c r="BZ24" s="623"/>
      <c r="CA24" s="623"/>
      <c r="CB24" s="623"/>
      <c r="CC24" s="623"/>
      <c r="CD24" s="623"/>
      <c r="CE24" s="1669"/>
      <c r="CF24" s="623"/>
      <c r="CG24" s="623"/>
      <c r="CH24" s="623"/>
      <c r="CI24" s="623"/>
      <c r="CJ24" s="623"/>
      <c r="CK24" s="623"/>
      <c r="CL24" s="623"/>
      <c r="CM24" s="623"/>
      <c r="CN24" s="623"/>
      <c r="CO24" s="623"/>
      <c r="CP24" s="623"/>
      <c r="CQ24" s="623"/>
      <c r="CR24" s="623"/>
      <c r="CS24" s="623"/>
      <c r="CT24" s="623"/>
      <c r="CU24" s="767"/>
      <c r="CV24" s="767"/>
      <c r="CW24" s="767"/>
      <c r="CX24" s="1669"/>
      <c r="CY24" s="817"/>
      <c r="CZ24" s="767"/>
      <c r="DA24" s="623"/>
      <c r="DB24" s="623"/>
      <c r="DC24" s="623"/>
      <c r="DD24" s="623"/>
      <c r="DE24" s="623"/>
      <c r="DF24" s="623"/>
      <c r="DG24" s="623"/>
      <c r="DH24" s="623"/>
      <c r="DI24" s="623"/>
      <c r="DJ24" s="623"/>
      <c r="DK24" s="623"/>
      <c r="DL24" s="623"/>
      <c r="DM24" s="623"/>
      <c r="DN24" s="623"/>
      <c r="DO24" s="623"/>
      <c r="DP24" s="623"/>
      <c r="DQ24" s="623"/>
      <c r="DR24" s="623"/>
      <c r="DS24" s="623"/>
      <c r="DT24" s="623"/>
      <c r="DU24" s="623"/>
      <c r="DV24" s="1675"/>
    </row>
    <row r="25" spans="1:256" ht="13.8">
      <c r="A25" s="1667" t="s">
        <v>4942</v>
      </c>
      <c r="B25" s="550"/>
      <c r="C25" s="550"/>
      <c r="D25" s="550"/>
      <c r="E25" s="550"/>
      <c r="F25" s="550"/>
      <c r="G25" s="550"/>
      <c r="H25" s="550"/>
      <c r="I25" s="550"/>
      <c r="J25" s="550"/>
      <c r="K25" s="550"/>
      <c r="L25" s="1670"/>
      <c r="M25" s="1670"/>
      <c r="N25" s="1670"/>
      <c r="O25" s="1670"/>
      <c r="P25" s="439"/>
      <c r="Q25" s="674"/>
      <c r="R25" s="1669"/>
      <c r="S25" s="671"/>
      <c r="T25" s="671"/>
      <c r="U25" s="671"/>
      <c r="V25" s="671"/>
      <c r="W25" s="1669"/>
      <c r="X25" s="767"/>
      <c r="Y25" s="671"/>
      <c r="Z25" s="671"/>
      <c r="AA25" s="767"/>
      <c r="AB25" s="623"/>
      <c r="AC25" s="623"/>
      <c r="AD25" s="623"/>
      <c r="AE25" s="623"/>
      <c r="AF25" s="623"/>
      <c r="AG25" s="623"/>
      <c r="AH25" s="623"/>
      <c r="AI25" s="623"/>
      <c r="AJ25" s="623"/>
      <c r="AK25" s="623"/>
      <c r="AL25" s="623"/>
      <c r="AM25" s="623"/>
      <c r="AN25" s="623"/>
      <c r="AO25" s="623"/>
      <c r="AP25" s="623"/>
      <c r="AQ25" s="623"/>
      <c r="AR25" s="623"/>
      <c r="AS25" s="623"/>
      <c r="AT25" s="623"/>
      <c r="AU25" s="623"/>
      <c r="AV25" s="623"/>
      <c r="AW25" s="623"/>
      <c r="AX25" s="623"/>
      <c r="AY25" s="623"/>
      <c r="AZ25" s="623"/>
      <c r="BA25" s="623"/>
      <c r="BB25" s="623"/>
      <c r="BC25" s="623"/>
      <c r="BD25" s="623"/>
      <c r="BE25" s="623"/>
      <c r="BF25" s="623"/>
      <c r="BG25" s="623"/>
      <c r="BH25" s="623"/>
      <c r="BI25" s="623"/>
      <c r="BJ25" s="623"/>
      <c r="BK25" s="623"/>
      <c r="BL25" s="623"/>
      <c r="BM25" s="623"/>
      <c r="BN25" s="623"/>
      <c r="BO25" s="623"/>
      <c r="BP25" s="623"/>
      <c r="BQ25" s="623"/>
      <c r="BR25" s="623"/>
      <c r="BS25" s="623"/>
      <c r="BT25" s="623"/>
      <c r="BU25" s="623"/>
      <c r="BV25" s="623"/>
      <c r="BW25" s="623"/>
      <c r="BX25" s="623"/>
      <c r="BY25" s="623"/>
      <c r="BZ25" s="623"/>
      <c r="CA25" s="623"/>
      <c r="CB25" s="1669"/>
      <c r="CC25" s="1669"/>
      <c r="CD25" s="1669"/>
      <c r="CE25" s="1669"/>
      <c r="CF25" s="1669"/>
      <c r="CG25" s="1669"/>
      <c r="CH25" s="1669"/>
      <c r="CI25" s="1669"/>
      <c r="CJ25" s="1669"/>
      <c r="CK25" s="1669"/>
      <c r="CL25" s="1669"/>
      <c r="CM25" s="1669"/>
      <c r="CN25" s="1669"/>
      <c r="CO25" s="1669"/>
      <c r="CP25" s="1669"/>
      <c r="CQ25" s="1669"/>
      <c r="CR25" s="1669"/>
      <c r="CS25" s="1669"/>
      <c r="CT25" s="1669"/>
      <c r="CU25" s="1669"/>
      <c r="CV25" s="1669"/>
      <c r="CW25" s="1669"/>
      <c r="CX25" s="1669"/>
      <c r="CY25" s="817"/>
      <c r="CZ25" s="1669"/>
      <c r="DA25" s="1669"/>
      <c r="DB25" s="1669"/>
      <c r="DC25" s="767"/>
      <c r="DD25" s="1669"/>
      <c r="DE25" s="1669"/>
      <c r="DF25" s="1669"/>
      <c r="DG25" s="1669"/>
      <c r="DH25" s="1669"/>
      <c r="DI25" s="1669"/>
      <c r="DJ25" s="1669"/>
      <c r="DK25" s="1669"/>
      <c r="DL25" s="1669"/>
      <c r="DM25" s="1669"/>
      <c r="DN25" s="1669"/>
      <c r="DO25" s="767"/>
      <c r="DP25" s="1669"/>
      <c r="DQ25" s="1669"/>
      <c r="DR25" s="623"/>
      <c r="DS25" s="623"/>
      <c r="DT25" s="623"/>
      <c r="DU25" s="623"/>
      <c r="DV25" s="1675"/>
    </row>
    <row r="26" spans="1:256" ht="13.8" hidden="1">
      <c r="A26" s="1667"/>
      <c r="B26" s="550"/>
      <c r="C26" s="550"/>
      <c r="D26" s="550"/>
      <c r="E26" s="550"/>
      <c r="F26" s="550"/>
      <c r="G26" s="550"/>
      <c r="H26" s="550"/>
      <c r="I26" s="550"/>
      <c r="J26" s="550"/>
      <c r="K26" s="1670"/>
      <c r="L26" s="1670"/>
      <c r="M26" s="1670"/>
      <c r="N26" s="1670"/>
      <c r="O26" s="1670"/>
      <c r="P26" s="439"/>
      <c r="Q26" s="674"/>
      <c r="R26" s="1669"/>
      <c r="S26" s="671"/>
      <c r="T26" s="671"/>
      <c r="U26" s="671"/>
      <c r="V26" s="671"/>
      <c r="W26" s="1669"/>
      <c r="X26" s="767"/>
      <c r="Y26" s="671"/>
      <c r="Z26" s="671"/>
      <c r="AA26" s="767"/>
      <c r="AB26" s="623"/>
      <c r="AC26" s="623"/>
      <c r="AD26" s="623"/>
      <c r="AE26" s="623"/>
      <c r="AF26" s="623"/>
      <c r="AG26" s="623"/>
      <c r="AH26" s="623"/>
      <c r="AI26" s="623"/>
      <c r="AJ26" s="623"/>
      <c r="AK26" s="623"/>
      <c r="AL26" s="623"/>
      <c r="AM26" s="623"/>
      <c r="AN26" s="623"/>
      <c r="AO26" s="623"/>
      <c r="AP26" s="623"/>
      <c r="AQ26" s="623"/>
      <c r="AR26" s="623"/>
      <c r="AS26" s="623"/>
      <c r="AT26" s="623"/>
      <c r="AU26" s="623"/>
      <c r="AV26" s="623"/>
      <c r="AW26" s="623"/>
      <c r="AX26" s="623"/>
      <c r="AY26" s="623"/>
      <c r="AZ26" s="623"/>
      <c r="BA26" s="623"/>
      <c r="BB26" s="623"/>
      <c r="BC26" s="623"/>
      <c r="BD26" s="623"/>
      <c r="BE26" s="623"/>
      <c r="BF26" s="623"/>
      <c r="BG26" s="623"/>
      <c r="BH26" s="623"/>
      <c r="BI26" s="623"/>
      <c r="BJ26" s="623"/>
      <c r="BK26" s="623"/>
      <c r="BL26" s="623"/>
      <c r="BM26" s="623"/>
      <c r="BN26" s="623"/>
      <c r="BO26" s="623"/>
      <c r="BP26" s="623"/>
      <c r="BQ26" s="623"/>
      <c r="BR26" s="623"/>
      <c r="BS26" s="623"/>
      <c r="BT26" s="623"/>
      <c r="BU26" s="623"/>
      <c r="BV26" s="623"/>
      <c r="BW26" s="623"/>
      <c r="BX26" s="623"/>
      <c r="BY26" s="623"/>
      <c r="BZ26" s="623"/>
      <c r="CA26" s="623"/>
      <c r="CB26" s="1669"/>
      <c r="CC26" s="1669"/>
      <c r="CD26" s="1669"/>
      <c r="CE26" s="1669"/>
      <c r="CF26" s="1669"/>
      <c r="CG26" s="1669"/>
      <c r="CH26" s="1669"/>
      <c r="CI26" s="1669"/>
      <c r="CJ26" s="1669"/>
      <c r="CK26" s="1669"/>
      <c r="CL26" s="1669"/>
      <c r="CM26" s="1669"/>
      <c r="CN26" s="1669"/>
      <c r="CO26" s="1669"/>
      <c r="CP26" s="1669"/>
      <c r="CQ26" s="1669"/>
      <c r="CR26" s="1669"/>
      <c r="CS26" s="1669"/>
      <c r="CT26" s="1669"/>
      <c r="CU26" s="1669"/>
      <c r="CV26" s="1669"/>
      <c r="CW26" s="1669"/>
      <c r="CX26" s="1669"/>
      <c r="CY26" s="817"/>
      <c r="CZ26" s="1669"/>
      <c r="DA26" s="1669"/>
      <c r="DB26" s="1669"/>
      <c r="DC26" s="767"/>
      <c r="DD26" s="1669"/>
      <c r="DE26" s="1669"/>
      <c r="DF26" s="1669"/>
      <c r="DG26" s="1669"/>
      <c r="DH26" s="1669"/>
      <c r="DI26" s="1669"/>
      <c r="DJ26" s="1669"/>
      <c r="DK26" s="1669"/>
      <c r="DL26" s="1669"/>
      <c r="DM26" s="1669"/>
      <c r="DN26" s="1669"/>
      <c r="DO26" s="767"/>
      <c r="DP26" s="1669"/>
      <c r="DQ26" s="1669"/>
      <c r="DR26" s="623"/>
      <c r="DS26" s="623"/>
      <c r="DT26" s="623"/>
      <c r="DU26" s="623"/>
      <c r="DV26" s="1675"/>
    </row>
    <row r="27" spans="1:256" ht="13.8" hidden="1">
      <c r="A27" s="1667"/>
      <c r="B27" s="550"/>
      <c r="C27" s="550"/>
      <c r="D27" s="550"/>
      <c r="E27" s="550"/>
      <c r="F27" s="550"/>
      <c r="G27" s="550"/>
      <c r="H27" s="550"/>
      <c r="I27" s="550"/>
      <c r="J27" s="550"/>
      <c r="K27" s="1670"/>
      <c r="L27" s="1670"/>
      <c r="M27" s="550"/>
      <c r="N27" s="550"/>
      <c r="O27" s="439"/>
      <c r="P27" s="1670"/>
      <c r="Q27" s="1670"/>
      <c r="R27" s="1669"/>
      <c r="S27" s="1670"/>
      <c r="T27" s="1670"/>
      <c r="U27" s="671"/>
      <c r="V27" s="671"/>
      <c r="W27" s="1669"/>
      <c r="X27" s="767"/>
      <c r="Y27" s="671"/>
      <c r="Z27" s="671"/>
      <c r="AA27" s="767"/>
      <c r="AB27" s="623"/>
      <c r="AC27" s="623"/>
      <c r="AD27" s="623"/>
      <c r="AE27" s="623"/>
      <c r="AF27" s="623"/>
      <c r="AG27" s="623"/>
      <c r="AH27" s="623"/>
      <c r="AI27" s="623"/>
      <c r="AJ27" s="623"/>
      <c r="AK27" s="623"/>
      <c r="AL27" s="623"/>
      <c r="AM27" s="623"/>
      <c r="AN27" s="623"/>
      <c r="AO27" s="623"/>
      <c r="AP27" s="623"/>
      <c r="AQ27" s="623"/>
      <c r="AR27" s="623"/>
      <c r="AS27" s="623"/>
      <c r="AT27" s="623"/>
      <c r="AU27" s="623"/>
      <c r="AV27" s="623"/>
      <c r="AW27" s="623"/>
      <c r="AX27" s="623"/>
      <c r="AY27" s="623"/>
      <c r="AZ27" s="623"/>
      <c r="BA27" s="623"/>
      <c r="BB27" s="623"/>
      <c r="BC27" s="623"/>
      <c r="BD27" s="623"/>
      <c r="BE27" s="623"/>
      <c r="BF27" s="623"/>
      <c r="BG27" s="623"/>
      <c r="BH27" s="623"/>
      <c r="BI27" s="623"/>
      <c r="BJ27" s="623"/>
      <c r="BK27" s="623"/>
      <c r="BL27" s="623"/>
      <c r="BM27" s="623"/>
      <c r="BN27" s="623"/>
      <c r="BO27" s="623"/>
      <c r="BP27" s="623"/>
      <c r="BQ27" s="623"/>
      <c r="BR27" s="623"/>
      <c r="BS27" s="623"/>
      <c r="BT27" s="623"/>
      <c r="BU27" s="623"/>
      <c r="BV27" s="623"/>
      <c r="BW27" s="623"/>
      <c r="BX27" s="623"/>
      <c r="BY27" s="623"/>
      <c r="BZ27" s="623"/>
      <c r="CA27" s="623"/>
      <c r="CB27" s="1669"/>
      <c r="CC27" s="1669"/>
      <c r="CD27" s="1669"/>
      <c r="CE27" s="1669"/>
      <c r="CF27" s="1669"/>
      <c r="CG27" s="1669"/>
      <c r="CH27" s="1669"/>
      <c r="CI27" s="1669"/>
      <c r="CJ27" s="1669"/>
      <c r="CK27" s="1669"/>
      <c r="CL27" s="1669"/>
      <c r="CM27" s="1669"/>
      <c r="CN27" s="1669"/>
      <c r="CO27" s="1669"/>
      <c r="CP27" s="1669"/>
      <c r="CQ27" s="1669"/>
      <c r="CR27" s="1669"/>
      <c r="CS27" s="1669"/>
      <c r="CT27" s="1669"/>
      <c r="CU27" s="1669"/>
      <c r="CV27" s="1669"/>
      <c r="CW27" s="1669"/>
      <c r="CX27" s="1669"/>
      <c r="CY27" s="817"/>
      <c r="CZ27" s="1669"/>
      <c r="DA27" s="1669"/>
      <c r="DB27" s="1669"/>
      <c r="DC27" s="767"/>
      <c r="DD27" s="1669"/>
      <c r="DE27" s="1669"/>
      <c r="DF27" s="1669"/>
      <c r="DG27" s="1669"/>
      <c r="DH27" s="1669"/>
      <c r="DI27" s="1669"/>
      <c r="DJ27" s="1669"/>
      <c r="DK27" s="1669"/>
      <c r="DL27" s="1669"/>
      <c r="DM27" s="1669"/>
      <c r="DN27" s="1669"/>
      <c r="DO27" s="767"/>
      <c r="DP27" s="1669"/>
      <c r="DQ27" s="1669"/>
      <c r="DR27" s="623"/>
      <c r="DS27" s="623"/>
      <c r="DT27" s="623"/>
      <c r="DU27" s="623"/>
      <c r="DV27" s="1675"/>
    </row>
    <row r="28" spans="1:256" ht="13.8" hidden="1">
      <c r="A28" s="1667"/>
      <c r="B28" s="550"/>
      <c r="C28" s="550"/>
      <c r="D28" s="550"/>
      <c r="E28" s="550"/>
      <c r="F28" s="550"/>
      <c r="G28" s="550"/>
      <c r="H28" s="1670"/>
      <c r="I28" s="1670"/>
      <c r="J28" s="1670"/>
      <c r="K28" s="1670"/>
      <c r="L28" s="1670"/>
      <c r="M28" s="550"/>
      <c r="N28" s="550"/>
      <c r="O28" s="439"/>
      <c r="P28" s="1670"/>
      <c r="Q28" s="1670"/>
      <c r="R28" s="1670"/>
      <c r="S28" s="1670"/>
      <c r="T28" s="1670"/>
      <c r="U28" s="671"/>
      <c r="V28" s="671"/>
      <c r="W28" s="671"/>
      <c r="X28" s="767"/>
      <c r="Y28" s="671"/>
      <c r="Z28" s="671"/>
      <c r="AA28" s="767"/>
      <c r="AB28" s="623"/>
      <c r="AC28" s="623"/>
      <c r="AD28" s="623"/>
      <c r="AE28" s="623"/>
      <c r="AF28" s="623"/>
      <c r="AG28" s="623"/>
      <c r="AH28" s="623"/>
      <c r="AI28" s="623"/>
      <c r="AJ28" s="623"/>
      <c r="AK28" s="623"/>
      <c r="AL28" s="623"/>
      <c r="AM28" s="623"/>
      <c r="AN28" s="623"/>
      <c r="AO28" s="623"/>
      <c r="AP28" s="623"/>
      <c r="AQ28" s="623"/>
      <c r="AR28" s="623"/>
      <c r="AS28" s="623"/>
      <c r="AT28" s="623"/>
      <c r="AU28" s="623"/>
      <c r="AV28" s="623"/>
      <c r="AW28" s="623"/>
      <c r="AX28" s="623"/>
      <c r="AY28" s="623"/>
      <c r="AZ28" s="623"/>
      <c r="BA28" s="623"/>
      <c r="BB28" s="623"/>
      <c r="BC28" s="623"/>
      <c r="BD28" s="623"/>
      <c r="BE28" s="623"/>
      <c r="BF28" s="623"/>
      <c r="BG28" s="623"/>
      <c r="BH28" s="623"/>
      <c r="BI28" s="623"/>
      <c r="BJ28" s="623"/>
      <c r="BK28" s="623"/>
      <c r="BL28" s="623"/>
      <c r="BM28" s="623"/>
      <c r="BN28" s="623"/>
      <c r="BO28" s="623"/>
      <c r="BP28" s="623"/>
      <c r="BQ28" s="623"/>
      <c r="BR28" s="623"/>
      <c r="BS28" s="623"/>
      <c r="BT28" s="623"/>
      <c r="BU28" s="623"/>
      <c r="BV28" s="623"/>
      <c r="BW28" s="623"/>
      <c r="BX28" s="623"/>
      <c r="BY28" s="623"/>
      <c r="BZ28" s="623"/>
      <c r="CA28" s="623"/>
      <c r="CB28" s="1669"/>
      <c r="CC28" s="1669"/>
      <c r="CD28" s="1669"/>
      <c r="CE28" s="1669"/>
      <c r="CF28" s="1669"/>
      <c r="CG28" s="1669"/>
      <c r="CH28" s="1669"/>
      <c r="CI28" s="1669"/>
      <c r="CJ28" s="1669"/>
      <c r="CK28" s="1669"/>
      <c r="CL28" s="1669"/>
      <c r="CM28" s="1669"/>
      <c r="CN28" s="1669"/>
      <c r="CO28" s="1669"/>
      <c r="CP28" s="1669"/>
      <c r="CQ28" s="1669"/>
      <c r="CR28" s="1669"/>
      <c r="CS28" s="1669"/>
      <c r="CT28" s="1669"/>
      <c r="CU28" s="1669"/>
      <c r="CV28" s="1669"/>
      <c r="CW28" s="1669"/>
      <c r="CX28" s="1669"/>
      <c r="CY28" s="817"/>
      <c r="CZ28" s="1669"/>
      <c r="DA28" s="1669"/>
      <c r="DB28" s="1669"/>
      <c r="DC28" s="767"/>
      <c r="DD28" s="1669"/>
      <c r="DE28" s="1669"/>
      <c r="DF28" s="1669"/>
      <c r="DG28" s="1669"/>
      <c r="DH28" s="1669"/>
      <c r="DI28" s="1669"/>
      <c r="DJ28" s="1669"/>
      <c r="DK28" s="1669"/>
      <c r="DL28" s="1669"/>
      <c r="DM28" s="1669"/>
      <c r="DN28" s="1669"/>
      <c r="DO28" s="767"/>
      <c r="DP28" s="1669"/>
      <c r="DQ28" s="1669"/>
      <c r="DR28" s="623"/>
      <c r="DS28" s="623"/>
      <c r="DT28" s="623"/>
      <c r="DU28" s="623"/>
      <c r="DV28" s="1675"/>
    </row>
    <row r="29" spans="1:256" ht="13.8" hidden="1">
      <c r="A29" s="1667"/>
      <c r="B29" s="550"/>
      <c r="C29" s="550"/>
      <c r="D29" s="550"/>
      <c r="E29" s="550"/>
      <c r="F29" s="550"/>
      <c r="G29" s="550"/>
      <c r="H29" s="1670"/>
      <c r="I29" s="1670"/>
      <c r="J29" s="1670"/>
      <c r="K29" s="1670"/>
      <c r="L29" s="1670"/>
      <c r="M29" s="550"/>
      <c r="N29" s="550"/>
      <c r="O29" s="439"/>
      <c r="P29" s="439"/>
      <c r="Q29" s="674"/>
      <c r="R29" s="671"/>
      <c r="S29" s="671"/>
      <c r="T29" s="671"/>
      <c r="U29" s="671"/>
      <c r="V29" s="671"/>
      <c r="W29" s="671"/>
      <c r="X29" s="767"/>
      <c r="Y29" s="671"/>
      <c r="Z29" s="671"/>
      <c r="AA29" s="767"/>
      <c r="AB29" s="623"/>
      <c r="AC29" s="623"/>
      <c r="AD29" s="623"/>
      <c r="AE29" s="623"/>
      <c r="AF29" s="623"/>
      <c r="AG29" s="623"/>
      <c r="AH29" s="623"/>
      <c r="AI29" s="623"/>
      <c r="AJ29" s="623"/>
      <c r="AK29" s="623"/>
      <c r="AL29" s="623"/>
      <c r="AM29" s="623"/>
      <c r="AN29" s="623"/>
      <c r="AO29" s="623"/>
      <c r="AP29" s="623"/>
      <c r="AQ29" s="623"/>
      <c r="AR29" s="623"/>
      <c r="AS29" s="623"/>
      <c r="AT29" s="623"/>
      <c r="AU29" s="623"/>
      <c r="AV29" s="623"/>
      <c r="AW29" s="623"/>
      <c r="AX29" s="623"/>
      <c r="AY29" s="623"/>
      <c r="AZ29" s="623"/>
      <c r="BA29" s="623"/>
      <c r="BB29" s="623"/>
      <c r="BC29" s="623"/>
      <c r="BD29" s="623"/>
      <c r="BE29" s="623"/>
      <c r="BF29" s="623"/>
      <c r="BG29" s="623"/>
      <c r="BH29" s="623"/>
      <c r="BI29" s="623"/>
      <c r="BJ29" s="623"/>
      <c r="BK29" s="623"/>
      <c r="BL29" s="623"/>
      <c r="BM29" s="623"/>
      <c r="BN29" s="623"/>
      <c r="BO29" s="623"/>
      <c r="BP29" s="623"/>
      <c r="BQ29" s="623"/>
      <c r="BR29" s="623"/>
      <c r="BS29" s="623"/>
      <c r="BT29" s="623"/>
      <c r="BU29" s="623"/>
      <c r="BV29" s="623"/>
      <c r="BW29" s="623"/>
      <c r="BX29" s="623"/>
      <c r="BY29" s="623"/>
      <c r="BZ29" s="623"/>
      <c r="CA29" s="623"/>
      <c r="CB29" s="1669"/>
      <c r="CC29" s="1669"/>
      <c r="CD29" s="1669"/>
      <c r="CE29" s="1669"/>
      <c r="CF29" s="1669"/>
      <c r="CG29" s="1669"/>
      <c r="CH29" s="1669"/>
      <c r="CI29" s="1669"/>
      <c r="CJ29" s="1669"/>
      <c r="CK29" s="1669"/>
      <c r="CL29" s="1669"/>
      <c r="CM29" s="1669"/>
      <c r="CN29" s="1669"/>
      <c r="CO29" s="1669"/>
      <c r="CP29" s="1669"/>
      <c r="CQ29" s="1669"/>
      <c r="CR29" s="1669"/>
      <c r="CS29" s="1669"/>
      <c r="CT29" s="1669"/>
      <c r="CU29" s="1669"/>
      <c r="CV29" s="1669"/>
      <c r="CW29" s="1669"/>
      <c r="CX29" s="1669"/>
      <c r="CY29" s="817"/>
      <c r="CZ29" s="1669"/>
      <c r="DA29" s="1669"/>
      <c r="DB29" s="1669"/>
      <c r="DC29" s="767"/>
      <c r="DD29" s="1669"/>
      <c r="DE29" s="1669"/>
      <c r="DF29" s="1669"/>
      <c r="DG29" s="1669"/>
      <c r="DH29" s="1669"/>
      <c r="DI29" s="1669"/>
      <c r="DJ29" s="1669"/>
      <c r="DK29" s="1669"/>
      <c r="DL29" s="1669"/>
      <c r="DM29" s="1669"/>
      <c r="DN29" s="1669"/>
      <c r="DO29" s="767"/>
      <c r="DP29" s="1669"/>
      <c r="DQ29" s="1669"/>
      <c r="DR29" s="623"/>
      <c r="DS29" s="623"/>
      <c r="DT29" s="623"/>
      <c r="DU29" s="623"/>
      <c r="DV29" s="1675"/>
    </row>
    <row r="30" spans="1:256" ht="13.8" hidden="1">
      <c r="A30" s="1667"/>
      <c r="B30" s="550"/>
      <c r="C30" s="550"/>
      <c r="D30" s="550"/>
      <c r="E30" s="550"/>
      <c r="F30" s="550"/>
      <c r="G30" s="550"/>
      <c r="H30" s="550"/>
      <c r="I30" s="550"/>
      <c r="J30" s="550"/>
      <c r="K30" s="550"/>
      <c r="L30" s="550"/>
      <c r="M30" s="550"/>
      <c r="N30" s="550"/>
      <c r="O30" s="439"/>
      <c r="P30" s="439"/>
      <c r="Q30" s="674"/>
      <c r="R30" s="671"/>
      <c r="S30" s="671"/>
      <c r="T30" s="671"/>
      <c r="U30" s="671"/>
      <c r="V30" s="671"/>
      <c r="W30" s="671"/>
      <c r="X30" s="767"/>
      <c r="Y30" s="671"/>
      <c r="Z30" s="671"/>
      <c r="AA30" s="767"/>
      <c r="AB30" s="623"/>
      <c r="AC30" s="623"/>
      <c r="AD30" s="623"/>
      <c r="AE30" s="623"/>
      <c r="AF30" s="623"/>
      <c r="AG30" s="623"/>
      <c r="AH30" s="623"/>
      <c r="AI30" s="623"/>
      <c r="AJ30" s="623"/>
      <c r="AK30" s="623"/>
      <c r="AL30" s="623"/>
      <c r="AM30" s="623"/>
      <c r="AN30" s="623"/>
      <c r="AO30" s="623"/>
      <c r="AP30" s="623"/>
      <c r="AQ30" s="623"/>
      <c r="AR30" s="623"/>
      <c r="AS30" s="623"/>
      <c r="AT30" s="623"/>
      <c r="AU30" s="623"/>
      <c r="AV30" s="623"/>
      <c r="AW30" s="623"/>
      <c r="AX30" s="623"/>
      <c r="AY30" s="623"/>
      <c r="AZ30" s="623"/>
      <c r="BA30" s="623"/>
      <c r="BB30" s="623"/>
      <c r="BC30" s="623"/>
      <c r="BD30" s="623"/>
      <c r="BE30" s="623"/>
      <c r="BF30" s="623"/>
      <c r="BG30" s="623"/>
      <c r="BH30" s="623"/>
      <c r="BI30" s="623"/>
      <c r="BJ30" s="623"/>
      <c r="BK30" s="623"/>
      <c r="BL30" s="623"/>
      <c r="BM30" s="623"/>
      <c r="BN30" s="623"/>
      <c r="BO30" s="623"/>
      <c r="BP30" s="623"/>
      <c r="BQ30" s="623"/>
      <c r="BR30" s="623"/>
      <c r="BS30" s="623"/>
      <c r="BT30" s="623"/>
      <c r="BU30" s="623"/>
      <c r="BV30" s="623"/>
      <c r="BW30" s="623"/>
      <c r="BX30" s="623"/>
      <c r="BY30" s="623"/>
      <c r="BZ30" s="623"/>
      <c r="CA30" s="623"/>
      <c r="CB30" s="1669"/>
      <c r="CC30" s="1669"/>
      <c r="CD30" s="1669"/>
      <c r="CE30" s="1669"/>
      <c r="CF30" s="1669"/>
      <c r="CG30" s="1669"/>
      <c r="CH30" s="1669"/>
      <c r="CI30" s="1669"/>
      <c r="CJ30" s="1669"/>
      <c r="CK30" s="1669"/>
      <c r="CL30" s="1669"/>
      <c r="CM30" s="1669"/>
      <c r="CN30" s="1669"/>
      <c r="CO30" s="1669"/>
      <c r="CP30" s="1669"/>
      <c r="CQ30" s="1669"/>
      <c r="CR30" s="1669"/>
      <c r="CS30" s="1669"/>
      <c r="CT30" s="1669"/>
      <c r="CU30" s="1669"/>
      <c r="CV30" s="1669"/>
      <c r="CW30" s="1669"/>
      <c r="CX30" s="1669"/>
      <c r="CY30" s="817"/>
      <c r="CZ30" s="1669"/>
      <c r="DA30" s="1669"/>
      <c r="DB30" s="1669"/>
      <c r="DC30" s="767"/>
      <c r="DD30" s="1669"/>
      <c r="DE30" s="1669"/>
      <c r="DF30" s="1669"/>
      <c r="DG30" s="1669"/>
      <c r="DH30" s="1669"/>
      <c r="DI30" s="1669"/>
      <c r="DJ30" s="1669"/>
      <c r="DK30" s="1669"/>
      <c r="DL30" s="1669"/>
      <c r="DM30" s="1669"/>
      <c r="DN30" s="1669"/>
      <c r="DO30" s="767"/>
      <c r="DP30" s="1669"/>
      <c r="DQ30" s="1669"/>
      <c r="DR30" s="623"/>
      <c r="DS30" s="623"/>
      <c r="DT30" s="623"/>
      <c r="DU30" s="623"/>
      <c r="DV30" s="1675"/>
    </row>
    <row r="31" spans="1:256" ht="13.8" hidden="1">
      <c r="A31" s="1667"/>
      <c r="B31" s="550"/>
      <c r="C31" s="550"/>
      <c r="D31" s="550"/>
      <c r="E31" s="550"/>
      <c r="F31" s="550"/>
      <c r="G31" s="550"/>
      <c r="H31" s="550"/>
      <c r="I31" s="550"/>
      <c r="J31" s="550"/>
      <c r="K31" s="550"/>
      <c r="L31" s="550"/>
      <c r="M31" s="550"/>
      <c r="N31" s="550"/>
      <c r="O31" s="439"/>
      <c r="P31" s="439"/>
      <c r="Q31" s="674"/>
      <c r="R31" s="671"/>
      <c r="S31" s="671"/>
      <c r="T31" s="671"/>
      <c r="U31" s="671"/>
      <c r="V31" s="671"/>
      <c r="W31" s="671"/>
      <c r="X31" s="767"/>
      <c r="Y31" s="671"/>
      <c r="Z31" s="671"/>
      <c r="AA31" s="767"/>
      <c r="AB31" s="623"/>
      <c r="AC31" s="623"/>
      <c r="AD31" s="623"/>
      <c r="AE31" s="623"/>
      <c r="AF31" s="623"/>
      <c r="AG31" s="623"/>
      <c r="AH31" s="623"/>
      <c r="AI31" s="623"/>
      <c r="AJ31" s="623"/>
      <c r="AK31" s="623"/>
      <c r="AL31" s="623"/>
      <c r="AM31" s="623"/>
      <c r="AN31" s="623"/>
      <c r="AO31" s="623"/>
      <c r="AP31" s="623"/>
      <c r="AQ31" s="623"/>
      <c r="AR31" s="623"/>
      <c r="AS31" s="623"/>
      <c r="AT31" s="623"/>
      <c r="AU31" s="623"/>
      <c r="AV31" s="623"/>
      <c r="AW31" s="623"/>
      <c r="AX31" s="623"/>
      <c r="AY31" s="623"/>
      <c r="AZ31" s="623"/>
      <c r="BA31" s="623"/>
      <c r="BB31" s="623"/>
      <c r="BC31" s="623"/>
      <c r="BD31" s="623"/>
      <c r="BE31" s="623"/>
      <c r="BF31" s="623"/>
      <c r="BG31" s="623"/>
      <c r="BH31" s="623"/>
      <c r="BI31" s="623"/>
      <c r="BJ31" s="623"/>
      <c r="BK31" s="623"/>
      <c r="BL31" s="623"/>
      <c r="BM31" s="623"/>
      <c r="BN31" s="623"/>
      <c r="BO31" s="623"/>
      <c r="BP31" s="623"/>
      <c r="BQ31" s="623"/>
      <c r="BR31" s="623"/>
      <c r="BS31" s="623"/>
      <c r="BT31" s="623"/>
      <c r="BU31" s="623"/>
      <c r="BV31" s="623"/>
      <c r="BW31" s="623"/>
      <c r="BX31" s="623"/>
      <c r="BY31" s="623"/>
      <c r="BZ31" s="623"/>
      <c r="CA31" s="623"/>
      <c r="CB31" s="1669"/>
      <c r="CC31" s="1669"/>
      <c r="CD31" s="1669"/>
      <c r="CE31" s="1669"/>
      <c r="CF31" s="1669"/>
      <c r="CG31" s="1669"/>
      <c r="CH31" s="1669"/>
      <c r="CI31" s="1669"/>
      <c r="CJ31" s="1669"/>
      <c r="CK31" s="1669"/>
      <c r="CL31" s="1669"/>
      <c r="CM31" s="1669"/>
      <c r="CN31" s="1669"/>
      <c r="CO31" s="1669"/>
      <c r="CP31" s="1669"/>
      <c r="CQ31" s="1669"/>
      <c r="CR31" s="1669"/>
      <c r="CS31" s="1669"/>
      <c r="CT31" s="1669"/>
      <c r="CU31" s="1669"/>
      <c r="CV31" s="1669"/>
      <c r="CW31" s="1669"/>
      <c r="CX31" s="1669"/>
      <c r="CY31" s="817"/>
      <c r="CZ31" s="1669"/>
      <c r="DA31" s="1669"/>
      <c r="DB31" s="1669"/>
      <c r="DC31" s="767"/>
      <c r="DD31" s="1669"/>
      <c r="DE31" s="1669"/>
      <c r="DF31" s="1669"/>
      <c r="DG31" s="1669"/>
      <c r="DH31" s="1669"/>
      <c r="DI31" s="1669"/>
      <c r="DJ31" s="1669"/>
      <c r="DK31" s="1669"/>
      <c r="DL31" s="1669"/>
      <c r="DM31" s="1669"/>
      <c r="DN31" s="1669"/>
      <c r="DO31" s="767"/>
      <c r="DP31" s="1669"/>
      <c r="DQ31" s="1669"/>
      <c r="DR31" s="623"/>
      <c r="DS31" s="623"/>
      <c r="DT31" s="623"/>
      <c r="DU31" s="623"/>
      <c r="DV31" s="1675"/>
    </row>
    <row r="32" spans="1:256" ht="13.8" hidden="1">
      <c r="A32" s="1667"/>
      <c r="B32" s="550"/>
      <c r="C32" s="550"/>
      <c r="D32" s="550"/>
      <c r="E32" s="550"/>
      <c r="F32" s="550"/>
      <c r="G32" s="550"/>
      <c r="H32" s="550"/>
      <c r="I32" s="550"/>
      <c r="J32" s="550"/>
      <c r="K32" s="550"/>
      <c r="L32" s="550"/>
      <c r="M32" s="550"/>
      <c r="N32" s="550"/>
      <c r="O32" s="439"/>
      <c r="P32" s="439"/>
      <c r="Q32" s="674"/>
      <c r="R32" s="671"/>
      <c r="S32" s="671"/>
      <c r="T32" s="671"/>
      <c r="U32" s="671"/>
      <c r="V32" s="671"/>
      <c r="W32" s="671"/>
      <c r="X32" s="767"/>
      <c r="Y32" s="671"/>
      <c r="Z32" s="671"/>
      <c r="AA32" s="767"/>
      <c r="AB32" s="623"/>
      <c r="AC32" s="623"/>
      <c r="AD32" s="623"/>
      <c r="AE32" s="623"/>
      <c r="AF32" s="623"/>
      <c r="AG32" s="623"/>
      <c r="AH32" s="623"/>
      <c r="AI32" s="623"/>
      <c r="AJ32" s="623"/>
      <c r="AK32" s="623"/>
      <c r="AL32" s="623"/>
      <c r="AM32" s="623"/>
      <c r="AN32" s="623"/>
      <c r="AO32" s="623"/>
      <c r="AP32" s="623"/>
      <c r="AQ32" s="623"/>
      <c r="AR32" s="623"/>
      <c r="AS32" s="623"/>
      <c r="AT32" s="623"/>
      <c r="AU32" s="623"/>
      <c r="AV32" s="623"/>
      <c r="AW32" s="623"/>
      <c r="AX32" s="623"/>
      <c r="AY32" s="623"/>
      <c r="AZ32" s="623"/>
      <c r="BA32" s="623"/>
      <c r="BB32" s="623"/>
      <c r="BC32" s="623"/>
      <c r="BD32" s="623"/>
      <c r="BE32" s="623"/>
      <c r="BF32" s="623"/>
      <c r="BG32" s="623"/>
      <c r="BH32" s="623"/>
      <c r="BI32" s="623"/>
      <c r="BJ32" s="623"/>
      <c r="BK32" s="623"/>
      <c r="BL32" s="623"/>
      <c r="BM32" s="623"/>
      <c r="BN32" s="623"/>
      <c r="BO32" s="623"/>
      <c r="BP32" s="623"/>
      <c r="BQ32" s="623"/>
      <c r="BR32" s="623"/>
      <c r="BS32" s="623"/>
      <c r="BT32" s="623"/>
      <c r="BU32" s="623"/>
      <c r="BV32" s="623"/>
      <c r="BW32" s="623"/>
      <c r="BX32" s="623"/>
      <c r="BY32" s="623"/>
      <c r="BZ32" s="623"/>
      <c r="CA32" s="623"/>
      <c r="CB32" s="1669"/>
      <c r="CC32" s="1669"/>
      <c r="CD32" s="1669"/>
      <c r="CE32" s="1669"/>
      <c r="CF32" s="1669"/>
      <c r="CG32" s="1669"/>
      <c r="CH32" s="1669"/>
      <c r="CI32" s="1669"/>
      <c r="CJ32" s="1669"/>
      <c r="CK32" s="1669"/>
      <c r="CL32" s="1669"/>
      <c r="CM32" s="1669"/>
      <c r="CN32" s="1669"/>
      <c r="CO32" s="1669"/>
      <c r="CP32" s="1669"/>
      <c r="CQ32" s="1669"/>
      <c r="CR32" s="1669"/>
      <c r="CS32" s="1669"/>
      <c r="CT32" s="1669"/>
      <c r="CU32" s="1669"/>
      <c r="CV32" s="1669"/>
      <c r="CW32" s="1669"/>
      <c r="CX32" s="1669"/>
      <c r="CY32" s="817"/>
      <c r="CZ32" s="1669"/>
      <c r="DA32" s="1669"/>
      <c r="DB32" s="1669"/>
      <c r="DC32" s="767"/>
      <c r="DD32" s="1669"/>
      <c r="DE32" s="1669"/>
      <c r="DF32" s="1669"/>
      <c r="DG32" s="1669"/>
      <c r="DH32" s="1669"/>
      <c r="DI32" s="1669"/>
      <c r="DJ32" s="1669"/>
      <c r="DK32" s="1669"/>
      <c r="DL32" s="1669"/>
      <c r="DM32" s="1669"/>
      <c r="DN32" s="1669"/>
      <c r="DO32" s="767"/>
      <c r="DP32" s="1669"/>
      <c r="DQ32" s="1669"/>
      <c r="DR32" s="623"/>
      <c r="DS32" s="623"/>
      <c r="DT32" s="623"/>
      <c r="DU32" s="623"/>
      <c r="DV32" s="1675"/>
    </row>
    <row r="33" spans="1:256" ht="13.8" hidden="1">
      <c r="A33" s="1667"/>
      <c r="B33" s="550"/>
      <c r="C33" s="550"/>
      <c r="D33" s="550"/>
      <c r="E33" s="550"/>
      <c r="F33" s="550"/>
      <c r="G33" s="550"/>
      <c r="H33" s="550"/>
      <c r="I33" s="550"/>
      <c r="J33" s="550"/>
      <c r="K33" s="550"/>
      <c r="L33" s="550"/>
      <c r="M33" s="550"/>
      <c r="N33" s="550"/>
      <c r="O33" s="439"/>
      <c r="P33" s="439"/>
      <c r="Q33" s="674"/>
      <c r="R33" s="671"/>
      <c r="S33" s="671"/>
      <c r="T33" s="671"/>
      <c r="U33" s="671"/>
      <c r="V33" s="671"/>
      <c r="W33" s="671"/>
      <c r="X33" s="767"/>
      <c r="Y33" s="671"/>
      <c r="Z33" s="671"/>
      <c r="AA33" s="767"/>
      <c r="AB33" s="623"/>
      <c r="AC33" s="623"/>
      <c r="AD33" s="623"/>
      <c r="AE33" s="623"/>
      <c r="AF33" s="623"/>
      <c r="AG33" s="623"/>
      <c r="AH33" s="623"/>
      <c r="AI33" s="623"/>
      <c r="AJ33" s="623"/>
      <c r="AK33" s="623"/>
      <c r="AL33" s="623"/>
      <c r="AM33" s="623"/>
      <c r="AN33" s="623"/>
      <c r="AO33" s="623"/>
      <c r="AP33" s="623"/>
      <c r="AQ33" s="623"/>
      <c r="AR33" s="623"/>
      <c r="AS33" s="623"/>
      <c r="AT33" s="623"/>
      <c r="AU33" s="623"/>
      <c r="AV33" s="623"/>
      <c r="AW33" s="623"/>
      <c r="AX33" s="623"/>
      <c r="AY33" s="623"/>
      <c r="AZ33" s="623"/>
      <c r="BA33" s="623"/>
      <c r="BB33" s="623"/>
      <c r="BC33" s="623"/>
      <c r="BD33" s="623"/>
      <c r="BE33" s="623"/>
      <c r="BF33" s="623"/>
      <c r="BG33" s="623"/>
      <c r="BH33" s="623"/>
      <c r="BI33" s="623"/>
      <c r="BJ33" s="623"/>
      <c r="BK33" s="623"/>
      <c r="BL33" s="623"/>
      <c r="BM33" s="623"/>
      <c r="BN33" s="623"/>
      <c r="BO33" s="623"/>
      <c r="BP33" s="623"/>
      <c r="BQ33" s="623"/>
      <c r="BR33" s="623"/>
      <c r="BS33" s="623"/>
      <c r="BT33" s="623"/>
      <c r="BU33" s="623"/>
      <c r="BV33" s="623"/>
      <c r="BW33" s="623"/>
      <c r="BX33" s="623"/>
      <c r="BY33" s="623"/>
      <c r="BZ33" s="623"/>
      <c r="CA33" s="623"/>
      <c r="CB33" s="1669"/>
      <c r="CC33" s="1669"/>
      <c r="CD33" s="1669"/>
      <c r="CE33" s="1669"/>
      <c r="CF33" s="1669"/>
      <c r="CG33" s="1669"/>
      <c r="CH33" s="1669"/>
      <c r="CI33" s="1669"/>
      <c r="CJ33" s="1669"/>
      <c r="CK33" s="1669"/>
      <c r="CL33" s="1669"/>
      <c r="CM33" s="1669"/>
      <c r="CN33" s="1669"/>
      <c r="CO33" s="1669"/>
      <c r="CP33" s="1669"/>
      <c r="CQ33" s="1669"/>
      <c r="CR33" s="1669"/>
      <c r="CS33" s="1669"/>
      <c r="CT33" s="1669"/>
      <c r="CU33" s="1669"/>
      <c r="CV33" s="1669"/>
      <c r="CW33" s="1669"/>
      <c r="CX33" s="1669"/>
      <c r="CY33" s="817"/>
      <c r="CZ33" s="1669"/>
      <c r="DA33" s="1669"/>
      <c r="DB33" s="1669"/>
      <c r="DC33" s="767"/>
      <c r="DD33" s="1669"/>
      <c r="DE33" s="1669"/>
      <c r="DF33" s="1669"/>
      <c r="DG33" s="1669"/>
      <c r="DH33" s="1669"/>
      <c r="DI33" s="1669"/>
      <c r="DJ33" s="1669"/>
      <c r="DK33" s="1669"/>
      <c r="DL33" s="1669"/>
      <c r="DM33" s="1669"/>
      <c r="DN33" s="1669"/>
      <c r="DO33" s="767"/>
      <c r="DP33" s="1669"/>
      <c r="DQ33" s="1669"/>
      <c r="DR33" s="623"/>
      <c r="DS33" s="623"/>
      <c r="DT33" s="623"/>
      <c r="DU33" s="623"/>
      <c r="DV33" s="1675"/>
    </row>
    <row r="34" spans="1:256" ht="13.8" hidden="1">
      <c r="A34" s="1667"/>
      <c r="B34" s="550"/>
      <c r="C34" s="550"/>
      <c r="D34" s="550"/>
      <c r="E34" s="550"/>
      <c r="F34" s="550"/>
      <c r="G34" s="550"/>
      <c r="H34" s="550"/>
      <c r="I34" s="550"/>
      <c r="J34" s="550"/>
      <c r="K34" s="550"/>
      <c r="L34" s="550"/>
      <c r="M34" s="550"/>
      <c r="N34" s="550"/>
      <c r="O34" s="439"/>
      <c r="P34" s="439"/>
      <c r="Q34" s="674"/>
      <c r="R34" s="671"/>
      <c r="S34" s="671"/>
      <c r="T34" s="671"/>
      <c r="U34" s="671"/>
      <c r="V34" s="671"/>
      <c r="W34" s="671"/>
      <c r="X34" s="767"/>
      <c r="Y34" s="671"/>
      <c r="Z34" s="671"/>
      <c r="AA34" s="767"/>
      <c r="AB34" s="623"/>
      <c r="AC34" s="623"/>
      <c r="AD34" s="623"/>
      <c r="AE34" s="623"/>
      <c r="AF34" s="623"/>
      <c r="AG34" s="623"/>
      <c r="AH34" s="623"/>
      <c r="AI34" s="623"/>
      <c r="AJ34" s="623"/>
      <c r="AK34" s="623"/>
      <c r="AL34" s="623"/>
      <c r="AM34" s="623"/>
      <c r="AN34" s="623"/>
      <c r="AO34" s="623"/>
      <c r="AP34" s="623"/>
      <c r="AQ34" s="623"/>
      <c r="AR34" s="623"/>
      <c r="AS34" s="623"/>
      <c r="AT34" s="623"/>
      <c r="AU34" s="623"/>
      <c r="AV34" s="623"/>
      <c r="AW34" s="623"/>
      <c r="AX34" s="623"/>
      <c r="AY34" s="623"/>
      <c r="AZ34" s="623"/>
      <c r="BA34" s="623"/>
      <c r="BB34" s="623"/>
      <c r="BC34" s="623"/>
      <c r="BD34" s="623"/>
      <c r="BE34" s="623"/>
      <c r="BF34" s="623"/>
      <c r="BG34" s="623"/>
      <c r="BH34" s="623"/>
      <c r="BI34" s="623"/>
      <c r="BJ34" s="623"/>
      <c r="BK34" s="623"/>
      <c r="BL34" s="623"/>
      <c r="BM34" s="623"/>
      <c r="BN34" s="623"/>
      <c r="BO34" s="623"/>
      <c r="BP34" s="623"/>
      <c r="BQ34" s="623"/>
      <c r="BR34" s="623"/>
      <c r="BS34" s="623"/>
      <c r="BT34" s="623"/>
      <c r="BU34" s="623"/>
      <c r="BV34" s="623"/>
      <c r="BW34" s="623"/>
      <c r="BX34" s="623"/>
      <c r="BY34" s="623"/>
      <c r="BZ34" s="623"/>
      <c r="CA34" s="623"/>
      <c r="CB34" s="1669"/>
      <c r="CC34" s="1669"/>
      <c r="CD34" s="1669"/>
      <c r="CE34" s="1669"/>
      <c r="CF34" s="1669"/>
      <c r="CG34" s="1669"/>
      <c r="CH34" s="1669"/>
      <c r="CI34" s="1669"/>
      <c r="CJ34" s="1669"/>
      <c r="CK34" s="1669"/>
      <c r="CL34" s="1669"/>
      <c r="CM34" s="1669"/>
      <c r="CN34" s="1669"/>
      <c r="CO34" s="1669"/>
      <c r="CP34" s="1669"/>
      <c r="CQ34" s="1669"/>
      <c r="CR34" s="1669"/>
      <c r="CS34" s="1669"/>
      <c r="CT34" s="1669"/>
      <c r="CU34" s="1669"/>
      <c r="CV34" s="1669"/>
      <c r="CW34" s="1669"/>
      <c r="CX34" s="1669"/>
      <c r="CY34" s="817"/>
      <c r="CZ34" s="1669"/>
      <c r="DA34" s="1669"/>
      <c r="DB34" s="1669"/>
      <c r="DC34" s="767"/>
      <c r="DD34" s="1669"/>
      <c r="DE34" s="1669"/>
      <c r="DF34" s="1669"/>
      <c r="DG34" s="1669"/>
      <c r="DH34" s="1669"/>
      <c r="DI34" s="1669"/>
      <c r="DJ34" s="1669"/>
      <c r="DK34" s="1669"/>
      <c r="DL34" s="1669"/>
      <c r="DM34" s="1669"/>
      <c r="DN34" s="1669"/>
      <c r="DO34" s="767"/>
      <c r="DP34" s="1669"/>
      <c r="DQ34" s="1669"/>
      <c r="DR34" s="623"/>
      <c r="DS34" s="623"/>
      <c r="DT34" s="623"/>
      <c r="DU34" s="623"/>
      <c r="DV34" s="1675"/>
    </row>
    <row r="35" spans="1:256" ht="13.8" hidden="1">
      <c r="A35" s="1667"/>
      <c r="B35" s="550"/>
      <c r="C35" s="550"/>
      <c r="D35" s="550"/>
      <c r="E35" s="550"/>
      <c r="F35" s="550"/>
      <c r="G35" s="550"/>
      <c r="H35" s="550"/>
      <c r="I35" s="550"/>
      <c r="J35" s="550"/>
      <c r="K35" s="550"/>
      <c r="L35" s="550"/>
      <c r="M35" s="550"/>
      <c r="N35" s="550"/>
      <c r="O35" s="439"/>
      <c r="P35" s="439"/>
      <c r="Q35" s="674"/>
      <c r="R35" s="671"/>
      <c r="S35" s="671"/>
      <c r="T35" s="671"/>
      <c r="U35" s="671"/>
      <c r="V35" s="671"/>
      <c r="W35" s="671"/>
      <c r="X35" s="767"/>
      <c r="Y35" s="671"/>
      <c r="Z35" s="671"/>
      <c r="AA35" s="767"/>
      <c r="AB35" s="623"/>
      <c r="AC35" s="623"/>
      <c r="AD35" s="623"/>
      <c r="AE35" s="623"/>
      <c r="AF35" s="623"/>
      <c r="AG35" s="623"/>
      <c r="AH35" s="623"/>
      <c r="AI35" s="623"/>
      <c r="AJ35" s="623"/>
      <c r="AK35" s="623"/>
      <c r="AL35" s="623"/>
      <c r="AM35" s="623"/>
      <c r="AN35" s="623"/>
      <c r="AO35" s="623"/>
      <c r="AP35" s="623"/>
      <c r="AQ35" s="623"/>
      <c r="AR35" s="623"/>
      <c r="AS35" s="623"/>
      <c r="AT35" s="623"/>
      <c r="AU35" s="623"/>
      <c r="AV35" s="623"/>
      <c r="AW35" s="623"/>
      <c r="AX35" s="623"/>
      <c r="AY35" s="623"/>
      <c r="AZ35" s="623"/>
      <c r="BA35" s="623"/>
      <c r="BB35" s="623"/>
      <c r="BC35" s="623"/>
      <c r="BD35" s="623"/>
      <c r="BE35" s="623"/>
      <c r="BF35" s="623"/>
      <c r="BG35" s="623"/>
      <c r="BH35" s="623"/>
      <c r="BI35" s="623"/>
      <c r="BJ35" s="623"/>
      <c r="BK35" s="623"/>
      <c r="BL35" s="623"/>
      <c r="BM35" s="623"/>
      <c r="BN35" s="623"/>
      <c r="BO35" s="623"/>
      <c r="BP35" s="623"/>
      <c r="BQ35" s="623"/>
      <c r="BR35" s="623"/>
      <c r="BS35" s="623"/>
      <c r="BT35" s="623"/>
      <c r="BU35" s="623"/>
      <c r="BV35" s="623"/>
      <c r="BW35" s="623"/>
      <c r="BX35" s="623"/>
      <c r="BY35" s="623"/>
      <c r="BZ35" s="623"/>
      <c r="CA35" s="623"/>
      <c r="CB35" s="1669"/>
      <c r="CC35" s="1669"/>
      <c r="CD35" s="1669"/>
      <c r="CE35" s="1669"/>
      <c r="CF35" s="1669"/>
      <c r="CG35" s="1669"/>
      <c r="CH35" s="1669"/>
      <c r="CI35" s="1669"/>
      <c r="CJ35" s="1669"/>
      <c r="CK35" s="1669"/>
      <c r="CL35" s="1669"/>
      <c r="CM35" s="1669"/>
      <c r="CN35" s="1669"/>
      <c r="CO35" s="1669"/>
      <c r="CP35" s="1669"/>
      <c r="CQ35" s="1669"/>
      <c r="CR35" s="1669"/>
      <c r="CS35" s="1669"/>
      <c r="CT35" s="1669"/>
      <c r="CU35" s="1669"/>
      <c r="CV35" s="1669"/>
      <c r="CW35" s="1669"/>
      <c r="CX35" s="1669"/>
      <c r="CY35" s="817"/>
      <c r="CZ35" s="1669"/>
      <c r="DA35" s="1669"/>
      <c r="DB35" s="1669"/>
      <c r="DC35" s="767"/>
      <c r="DD35" s="1669"/>
      <c r="DE35" s="1669"/>
      <c r="DF35" s="1669"/>
      <c r="DG35" s="1669"/>
      <c r="DH35" s="1669"/>
      <c r="DI35" s="1669"/>
      <c r="DJ35" s="1669"/>
      <c r="DK35" s="1669"/>
      <c r="DL35" s="1669"/>
      <c r="DM35" s="1669"/>
      <c r="DN35" s="1669"/>
      <c r="DO35" s="767"/>
      <c r="DP35" s="1669"/>
      <c r="DQ35" s="1669"/>
      <c r="DR35" s="623"/>
      <c r="DS35" s="623"/>
      <c r="DT35" s="623"/>
      <c r="DU35" s="623"/>
      <c r="DV35" s="1675"/>
    </row>
    <row r="36" spans="1:256" ht="13.8" hidden="1">
      <c r="A36" s="1667"/>
      <c r="B36" s="550"/>
      <c r="C36" s="550"/>
      <c r="D36" s="550"/>
      <c r="E36" s="550"/>
      <c r="F36" s="550"/>
      <c r="G36" s="550"/>
      <c r="H36" s="550"/>
      <c r="I36" s="550"/>
      <c r="J36" s="550"/>
      <c r="K36" s="550"/>
      <c r="L36" s="550"/>
      <c r="M36" s="550"/>
      <c r="N36" s="550"/>
      <c r="O36" s="439"/>
      <c r="P36" s="439"/>
      <c r="Q36" s="674"/>
      <c r="R36" s="671"/>
      <c r="S36" s="671"/>
      <c r="T36" s="671"/>
      <c r="U36" s="671"/>
      <c r="V36" s="671"/>
      <c r="W36" s="671"/>
      <c r="X36" s="767"/>
      <c r="Y36" s="671"/>
      <c r="Z36" s="671"/>
      <c r="AA36" s="767"/>
      <c r="AB36" s="623"/>
      <c r="AC36" s="623"/>
      <c r="AD36" s="623"/>
      <c r="AE36" s="623"/>
      <c r="AF36" s="623"/>
      <c r="AG36" s="623"/>
      <c r="AH36" s="623"/>
      <c r="AI36" s="623"/>
      <c r="AJ36" s="623"/>
      <c r="AK36" s="623"/>
      <c r="AL36" s="623"/>
      <c r="AM36" s="623"/>
      <c r="AN36" s="623"/>
      <c r="AO36" s="623"/>
      <c r="AP36" s="623"/>
      <c r="AQ36" s="623"/>
      <c r="AR36" s="623"/>
      <c r="AS36" s="623"/>
      <c r="AT36" s="623"/>
      <c r="AU36" s="623"/>
      <c r="AV36" s="623"/>
      <c r="AW36" s="623"/>
      <c r="AX36" s="623"/>
      <c r="AY36" s="623"/>
      <c r="AZ36" s="623"/>
      <c r="BA36" s="623"/>
      <c r="BB36" s="623"/>
      <c r="BC36" s="623"/>
      <c r="BD36" s="623"/>
      <c r="BE36" s="623"/>
      <c r="BF36" s="623"/>
      <c r="BG36" s="623"/>
      <c r="BH36" s="623"/>
      <c r="BI36" s="623"/>
      <c r="BJ36" s="623"/>
      <c r="BK36" s="623"/>
      <c r="BL36" s="623"/>
      <c r="BM36" s="623"/>
      <c r="BN36" s="623"/>
      <c r="BO36" s="623"/>
      <c r="BP36" s="623"/>
      <c r="BQ36" s="623"/>
      <c r="BR36" s="623"/>
      <c r="BS36" s="623"/>
      <c r="BT36" s="623"/>
      <c r="BU36" s="623"/>
      <c r="BV36" s="623"/>
      <c r="BW36" s="623"/>
      <c r="BX36" s="623"/>
      <c r="BY36" s="623"/>
      <c r="BZ36" s="623"/>
      <c r="CA36" s="623"/>
      <c r="CB36" s="1669"/>
      <c r="CC36" s="1669"/>
      <c r="CD36" s="1669"/>
      <c r="CE36" s="1669"/>
      <c r="CF36" s="1669"/>
      <c r="CG36" s="1669"/>
      <c r="CH36" s="1669"/>
      <c r="CI36" s="1669"/>
      <c r="CJ36" s="1669"/>
      <c r="CK36" s="1669"/>
      <c r="CL36" s="1669"/>
      <c r="CM36" s="1669"/>
      <c r="CN36" s="1669"/>
      <c r="CO36" s="1669"/>
      <c r="CP36" s="1669"/>
      <c r="CQ36" s="1669"/>
      <c r="CR36" s="1669"/>
      <c r="CS36" s="1669"/>
      <c r="CT36" s="1669"/>
      <c r="CU36" s="1669"/>
      <c r="CV36" s="1669"/>
      <c r="CW36" s="1669"/>
      <c r="CX36" s="1669"/>
      <c r="CY36" s="817"/>
      <c r="CZ36" s="1669"/>
      <c r="DA36" s="1669"/>
      <c r="DB36" s="1669"/>
      <c r="DC36" s="767"/>
      <c r="DD36" s="1669"/>
      <c r="DE36" s="1669"/>
      <c r="DF36" s="1669"/>
      <c r="DG36" s="1669"/>
      <c r="DH36" s="1669"/>
      <c r="DI36" s="1669"/>
      <c r="DJ36" s="1669"/>
      <c r="DK36" s="1669"/>
      <c r="DL36" s="1669"/>
      <c r="DM36" s="1669"/>
      <c r="DN36" s="1669"/>
      <c r="DO36" s="767"/>
      <c r="DP36" s="1669"/>
      <c r="DQ36" s="1669"/>
      <c r="DR36" s="623"/>
      <c r="DS36" s="623"/>
      <c r="DT36" s="623"/>
      <c r="DU36" s="623"/>
      <c r="DV36" s="1675"/>
    </row>
    <row r="37" spans="1:256" ht="13.8" hidden="1">
      <c r="A37" s="1667"/>
      <c r="B37" s="550"/>
      <c r="C37" s="550"/>
      <c r="D37" s="550"/>
      <c r="E37" s="550"/>
      <c r="F37" s="550"/>
      <c r="G37" s="550"/>
      <c r="H37" s="550"/>
      <c r="I37" s="550"/>
      <c r="J37" s="550"/>
      <c r="K37" s="550"/>
      <c r="L37" s="550"/>
      <c r="M37" s="550"/>
      <c r="N37" s="550"/>
      <c r="O37" s="439"/>
      <c r="P37" s="439"/>
      <c r="Q37" s="674"/>
      <c r="R37" s="671"/>
      <c r="S37" s="671"/>
      <c r="T37" s="671"/>
      <c r="U37" s="671"/>
      <c r="V37" s="671"/>
      <c r="W37" s="671"/>
      <c r="X37" s="767"/>
      <c r="Y37" s="671"/>
      <c r="Z37" s="671"/>
      <c r="AA37" s="767"/>
      <c r="AB37" s="623"/>
      <c r="AC37" s="623"/>
      <c r="AD37" s="623"/>
      <c r="AE37" s="623"/>
      <c r="AF37" s="623"/>
      <c r="AG37" s="623"/>
      <c r="AH37" s="623"/>
      <c r="AI37" s="623"/>
      <c r="AJ37" s="623"/>
      <c r="AK37" s="623"/>
      <c r="AL37" s="623"/>
      <c r="AM37" s="623"/>
      <c r="AN37" s="623"/>
      <c r="AO37" s="623"/>
      <c r="AP37" s="623"/>
      <c r="AQ37" s="623"/>
      <c r="AR37" s="623"/>
      <c r="AS37" s="623"/>
      <c r="AT37" s="623"/>
      <c r="AU37" s="623"/>
      <c r="AV37" s="623"/>
      <c r="AW37" s="623"/>
      <c r="AX37" s="623"/>
      <c r="AY37" s="623"/>
      <c r="AZ37" s="623"/>
      <c r="BA37" s="623"/>
      <c r="BB37" s="623"/>
      <c r="BC37" s="623"/>
      <c r="BD37" s="623"/>
      <c r="BE37" s="623"/>
      <c r="BF37" s="623"/>
      <c r="BG37" s="623"/>
      <c r="BH37" s="623"/>
      <c r="BI37" s="623"/>
      <c r="BJ37" s="623"/>
      <c r="BK37" s="623"/>
      <c r="BL37" s="623"/>
      <c r="BM37" s="623"/>
      <c r="BN37" s="623"/>
      <c r="BO37" s="623"/>
      <c r="BP37" s="623"/>
      <c r="BQ37" s="623"/>
      <c r="BR37" s="623"/>
      <c r="BS37" s="623"/>
      <c r="BT37" s="623"/>
      <c r="BU37" s="623"/>
      <c r="BV37" s="623"/>
      <c r="BW37" s="623"/>
      <c r="BX37" s="623"/>
      <c r="BY37" s="623"/>
      <c r="BZ37" s="623"/>
      <c r="CA37" s="623"/>
      <c r="CB37" s="1669"/>
      <c r="CC37" s="1669"/>
      <c r="CD37" s="1669"/>
      <c r="CE37" s="1669"/>
      <c r="CF37" s="1669"/>
      <c r="CG37" s="1669"/>
      <c r="CH37" s="1669"/>
      <c r="CI37" s="1669"/>
      <c r="CJ37" s="1669"/>
      <c r="CK37" s="1669"/>
      <c r="CL37" s="1669"/>
      <c r="CM37" s="1669"/>
      <c r="CN37" s="1669"/>
      <c r="CO37" s="1669"/>
      <c r="CP37" s="1669"/>
      <c r="CQ37" s="1669"/>
      <c r="CR37" s="1669"/>
      <c r="CS37" s="1669"/>
      <c r="CT37" s="1669"/>
      <c r="CU37" s="1669"/>
      <c r="CV37" s="1669"/>
      <c r="CW37" s="1669"/>
      <c r="CX37" s="1669"/>
      <c r="CY37" s="817"/>
      <c r="CZ37" s="1669"/>
      <c r="DA37" s="1669"/>
      <c r="DB37" s="1669"/>
      <c r="DC37" s="767"/>
      <c r="DD37" s="1669"/>
      <c r="DE37" s="1669"/>
      <c r="DF37" s="1669"/>
      <c r="DG37" s="1669"/>
      <c r="DH37" s="1669"/>
      <c r="DI37" s="1669"/>
      <c r="DJ37" s="1669"/>
      <c r="DK37" s="1669"/>
      <c r="DL37" s="1669"/>
      <c r="DM37" s="1669"/>
      <c r="DN37" s="1669"/>
      <c r="DO37" s="767"/>
      <c r="DP37" s="1669"/>
      <c r="DQ37" s="1669"/>
      <c r="DR37" s="623"/>
      <c r="DS37" s="623"/>
      <c r="DT37" s="623"/>
      <c r="DU37" s="623"/>
      <c r="DV37" s="1675"/>
    </row>
    <row r="38" spans="1:256" s="678" customFormat="1" ht="13.8" hidden="1">
      <c r="A38" s="1667"/>
      <c r="B38" s="550"/>
      <c r="C38" s="550"/>
      <c r="D38" s="550"/>
      <c r="E38" s="550"/>
      <c r="F38" s="550"/>
      <c r="G38" s="550"/>
      <c r="H38" s="550"/>
      <c r="I38" s="550"/>
      <c r="J38" s="550"/>
      <c r="K38" s="550"/>
      <c r="L38" s="550"/>
      <c r="M38" s="550"/>
      <c r="N38" s="550"/>
      <c r="O38" s="439"/>
      <c r="P38" s="439"/>
      <c r="Q38" s="674"/>
      <c r="R38" s="671"/>
      <c r="S38" s="671"/>
      <c r="T38" s="671"/>
      <c r="U38" s="671"/>
      <c r="V38" s="671"/>
      <c r="W38" s="671"/>
      <c r="X38" s="767"/>
      <c r="Y38" s="671"/>
      <c r="Z38" s="671"/>
      <c r="AA38" s="767"/>
      <c r="AB38" s="623"/>
      <c r="AC38" s="623"/>
      <c r="AD38" s="623"/>
      <c r="AE38" s="623"/>
      <c r="AF38" s="623"/>
      <c r="AG38" s="623"/>
      <c r="AH38" s="623"/>
      <c r="AI38" s="623"/>
      <c r="AJ38" s="623"/>
      <c r="AK38" s="623"/>
      <c r="AL38" s="623"/>
      <c r="AM38" s="623"/>
      <c r="AN38" s="623"/>
      <c r="AO38" s="623"/>
      <c r="AP38" s="623"/>
      <c r="AQ38" s="623"/>
      <c r="AR38" s="623"/>
      <c r="AS38" s="623"/>
      <c r="AT38" s="623"/>
      <c r="AU38" s="623"/>
      <c r="AV38" s="623"/>
      <c r="AW38" s="623"/>
      <c r="AX38" s="623"/>
      <c r="AY38" s="623"/>
      <c r="AZ38" s="623"/>
      <c r="BA38" s="623"/>
      <c r="BB38" s="623"/>
      <c r="BC38" s="623"/>
      <c r="BD38" s="623"/>
      <c r="BE38" s="623"/>
      <c r="BF38" s="623"/>
      <c r="BG38" s="623"/>
      <c r="BH38" s="623"/>
      <c r="BI38" s="623"/>
      <c r="BJ38" s="623"/>
      <c r="BK38" s="623"/>
      <c r="BL38" s="623"/>
      <c r="BM38" s="623"/>
      <c r="BN38" s="623"/>
      <c r="BO38" s="623"/>
      <c r="BP38" s="623"/>
      <c r="BQ38" s="623"/>
      <c r="BR38" s="623"/>
      <c r="BS38" s="623"/>
      <c r="BT38" s="623"/>
      <c r="BU38" s="623"/>
      <c r="BV38" s="623"/>
      <c r="BW38" s="623"/>
      <c r="BX38" s="623"/>
      <c r="BY38" s="623"/>
      <c r="BZ38" s="623"/>
      <c r="CA38" s="623"/>
      <c r="CB38" s="1669"/>
      <c r="CC38" s="1669"/>
      <c r="CD38" s="1669"/>
      <c r="CE38" s="1669"/>
      <c r="CF38" s="1669"/>
      <c r="CG38" s="1669"/>
      <c r="CH38" s="1669"/>
      <c r="CI38" s="1669"/>
      <c r="CJ38" s="1669"/>
      <c r="CK38" s="1669"/>
      <c r="CL38" s="1669"/>
      <c r="CM38" s="1669"/>
      <c r="CN38" s="1669"/>
      <c r="CO38" s="1669"/>
      <c r="CP38" s="1669"/>
      <c r="CQ38" s="1669"/>
      <c r="CR38" s="1669"/>
      <c r="CS38" s="1669"/>
      <c r="CT38" s="1669"/>
      <c r="CU38" s="1669"/>
      <c r="CV38" s="1669"/>
      <c r="CW38" s="1669"/>
      <c r="CX38" s="1669"/>
      <c r="CY38" s="817"/>
      <c r="CZ38" s="1669"/>
      <c r="DA38" s="1669"/>
      <c r="DB38" s="1669"/>
      <c r="DC38" s="767"/>
      <c r="DD38" s="1669"/>
      <c r="DE38" s="1669"/>
      <c r="DF38" s="1669"/>
      <c r="DG38" s="1669"/>
      <c r="DH38" s="1669"/>
      <c r="DI38" s="1669"/>
      <c r="DJ38" s="1669"/>
      <c r="DK38" s="1669"/>
      <c r="DL38" s="1669"/>
      <c r="DM38" s="1669"/>
      <c r="DN38" s="1669"/>
      <c r="DO38" s="767"/>
      <c r="DP38" s="1669"/>
      <c r="DQ38" s="1669"/>
      <c r="DR38" s="623"/>
      <c r="DS38" s="623"/>
      <c r="DT38" s="623"/>
      <c r="DU38" s="623"/>
      <c r="DV38" s="1675"/>
      <c r="DW38" s="530"/>
      <c r="DX38" s="530"/>
      <c r="DY38" s="530"/>
      <c r="DZ38" s="530"/>
      <c r="EA38" s="530"/>
      <c r="EB38" s="530"/>
      <c r="EC38" s="530"/>
      <c r="ED38" s="530"/>
      <c r="EE38" s="530"/>
      <c r="EF38" s="530"/>
      <c r="EG38" s="530"/>
      <c r="EH38" s="530"/>
      <c r="EI38" s="530"/>
      <c r="EJ38" s="530"/>
      <c r="EK38" s="530"/>
      <c r="EL38" s="530"/>
      <c r="EM38" s="530"/>
      <c r="EN38" s="530"/>
      <c r="EO38" s="530"/>
      <c r="EP38" s="530"/>
      <c r="EQ38" s="530"/>
      <c r="ER38" s="530"/>
      <c r="ES38" s="530"/>
      <c r="ET38" s="530"/>
      <c r="EU38" s="530"/>
      <c r="EV38" s="530"/>
      <c r="EW38" s="530"/>
      <c r="EX38" s="530"/>
      <c r="EY38" s="530"/>
      <c r="EZ38" s="530"/>
      <c r="FA38" s="530"/>
      <c r="FB38" s="530"/>
      <c r="FC38" s="530"/>
      <c r="FD38" s="530"/>
      <c r="FE38" s="530"/>
      <c r="FF38" s="530"/>
      <c r="FG38" s="530"/>
      <c r="FH38" s="530"/>
      <c r="FI38" s="530"/>
      <c r="FJ38" s="530"/>
      <c r="FK38" s="530"/>
      <c r="FL38" s="530"/>
      <c r="FM38" s="530"/>
      <c r="FN38" s="530"/>
      <c r="FO38" s="530"/>
      <c r="FP38" s="530"/>
      <c r="FQ38" s="530"/>
      <c r="FR38" s="530"/>
      <c r="FS38" s="530"/>
      <c r="FT38" s="530"/>
      <c r="FU38" s="530"/>
      <c r="FV38" s="530"/>
      <c r="FW38" s="530"/>
      <c r="FX38" s="530"/>
      <c r="FY38" s="530"/>
      <c r="FZ38" s="530"/>
      <c r="GA38" s="530"/>
      <c r="GB38" s="530"/>
      <c r="GC38" s="530"/>
      <c r="GD38" s="530"/>
      <c r="GE38" s="530"/>
      <c r="GF38" s="530"/>
      <c r="GG38" s="530"/>
      <c r="GH38" s="530"/>
      <c r="GI38" s="530"/>
      <c r="GJ38" s="530"/>
      <c r="GK38" s="530"/>
      <c r="GL38" s="530"/>
      <c r="GM38" s="530"/>
      <c r="GN38" s="530"/>
      <c r="GO38" s="530"/>
      <c r="GP38" s="530"/>
      <c r="GQ38" s="530"/>
      <c r="GR38" s="530"/>
      <c r="GS38" s="530"/>
      <c r="GT38" s="530"/>
      <c r="GU38" s="530"/>
      <c r="GV38" s="530"/>
      <c r="GW38" s="530"/>
      <c r="GX38" s="530"/>
      <c r="GY38" s="530"/>
      <c r="GZ38" s="530"/>
      <c r="HA38" s="530"/>
      <c r="HB38" s="530"/>
      <c r="HC38" s="530"/>
      <c r="HD38" s="530"/>
      <c r="HE38" s="530"/>
      <c r="HF38" s="530"/>
      <c r="HG38" s="530"/>
      <c r="HH38" s="530"/>
      <c r="HI38" s="530"/>
      <c r="HJ38" s="530"/>
      <c r="HK38" s="530"/>
      <c r="HL38" s="530"/>
      <c r="HM38" s="530"/>
      <c r="HN38" s="530"/>
      <c r="HO38" s="530"/>
      <c r="HP38" s="530"/>
      <c r="HQ38" s="530"/>
      <c r="HR38" s="530"/>
      <c r="HS38" s="530"/>
      <c r="HT38" s="530"/>
      <c r="HU38" s="530"/>
      <c r="HV38" s="530"/>
      <c r="HW38" s="530"/>
      <c r="HX38" s="530"/>
      <c r="HY38" s="530"/>
      <c r="HZ38" s="530"/>
      <c r="IA38" s="530"/>
      <c r="IB38" s="530"/>
      <c r="IC38" s="530"/>
      <c r="ID38" s="530"/>
      <c r="IE38" s="530"/>
      <c r="IF38" s="530"/>
      <c r="IG38" s="530"/>
      <c r="IH38" s="530"/>
      <c r="II38" s="530"/>
      <c r="IJ38" s="530"/>
      <c r="IK38" s="530"/>
      <c r="IL38" s="530"/>
      <c r="IM38" s="530"/>
      <c r="IN38" s="530"/>
      <c r="IO38" s="530"/>
      <c r="IP38" s="530"/>
      <c r="IQ38" s="530"/>
      <c r="IR38" s="530"/>
      <c r="IS38" s="530"/>
      <c r="IT38" s="530"/>
      <c r="IU38" s="530"/>
      <c r="IV38" s="530"/>
    </row>
    <row r="39" spans="1:256" ht="13.8" hidden="1">
      <c r="A39" s="1667"/>
      <c r="B39" s="550"/>
      <c r="C39" s="550"/>
      <c r="D39" s="550"/>
      <c r="E39" s="550"/>
      <c r="F39" s="550"/>
      <c r="G39" s="550"/>
      <c r="H39" s="550"/>
      <c r="I39" s="550"/>
      <c r="J39" s="550"/>
      <c r="K39" s="550"/>
      <c r="L39" s="550"/>
      <c r="M39" s="550"/>
      <c r="N39" s="550"/>
      <c r="O39" s="550"/>
      <c r="P39" s="550"/>
      <c r="Q39" s="550"/>
      <c r="R39" s="550"/>
      <c r="S39" s="550"/>
      <c r="T39" s="550"/>
      <c r="U39" s="550"/>
      <c r="V39" s="550"/>
      <c r="W39" s="550"/>
      <c r="X39" s="767"/>
      <c r="Y39" s="550"/>
      <c r="Z39" s="550"/>
      <c r="AA39" s="767"/>
      <c r="AB39" s="550"/>
      <c r="AC39" s="550"/>
      <c r="AD39" s="550"/>
      <c r="AE39" s="550"/>
      <c r="AF39" s="550"/>
      <c r="AG39" s="550"/>
      <c r="AH39" s="550"/>
      <c r="AI39" s="550"/>
      <c r="AJ39" s="550"/>
      <c r="AK39" s="550"/>
      <c r="AL39" s="550"/>
      <c r="AM39" s="550"/>
      <c r="AN39" s="550"/>
      <c r="AO39" s="550"/>
      <c r="AP39" s="550"/>
      <c r="AQ39" s="550"/>
      <c r="AR39" s="550"/>
      <c r="AS39" s="550"/>
      <c r="AT39" s="550"/>
      <c r="AU39" s="550"/>
      <c r="AV39" s="550"/>
      <c r="AW39" s="550"/>
      <c r="AX39" s="550"/>
      <c r="AY39" s="550"/>
      <c r="AZ39" s="550"/>
      <c r="BA39" s="550"/>
      <c r="BB39" s="550"/>
      <c r="BC39" s="550"/>
      <c r="BD39" s="550"/>
      <c r="BE39" s="550"/>
      <c r="BF39" s="550"/>
      <c r="BG39" s="623"/>
      <c r="BH39" s="623"/>
      <c r="BI39" s="623"/>
      <c r="BJ39" s="623"/>
      <c r="BK39" s="623"/>
      <c r="BL39" s="623"/>
      <c r="BM39" s="623"/>
      <c r="BN39" s="623"/>
      <c r="BO39" s="623"/>
      <c r="BP39" s="623"/>
      <c r="BQ39" s="623"/>
      <c r="BR39" s="623"/>
      <c r="BS39" s="623"/>
      <c r="BT39" s="623"/>
      <c r="BU39" s="623"/>
      <c r="BV39" s="623"/>
      <c r="BW39" s="623"/>
      <c r="BX39" s="623"/>
      <c r="BY39" s="623"/>
      <c r="BZ39" s="623"/>
      <c r="CA39" s="623"/>
      <c r="CB39" s="1669"/>
      <c r="CC39" s="1669"/>
      <c r="CD39" s="1669"/>
      <c r="CE39" s="1669"/>
      <c r="CF39" s="1669"/>
      <c r="CG39" s="1669"/>
      <c r="CH39" s="1669"/>
      <c r="CI39" s="1669"/>
      <c r="CJ39" s="1669"/>
      <c r="CK39" s="1669"/>
      <c r="CL39" s="1669"/>
      <c r="CM39" s="1669"/>
      <c r="CN39" s="1669"/>
      <c r="CO39" s="1669"/>
      <c r="CP39" s="1669"/>
      <c r="CQ39" s="1669"/>
      <c r="CR39" s="1669"/>
      <c r="CS39" s="1669"/>
      <c r="CT39" s="1669"/>
      <c r="CU39" s="1669"/>
      <c r="CV39" s="1669"/>
      <c r="CW39" s="1669"/>
      <c r="CX39" s="1669"/>
      <c r="CY39" s="817"/>
      <c r="CZ39" s="1669"/>
      <c r="DA39" s="1669"/>
      <c r="DB39" s="1669"/>
      <c r="DC39" s="767"/>
      <c r="DD39" s="1669"/>
      <c r="DE39" s="1669"/>
      <c r="DF39" s="1669"/>
      <c r="DG39" s="1669"/>
      <c r="DH39" s="1669"/>
      <c r="DI39" s="1669"/>
      <c r="DJ39" s="1669"/>
      <c r="DK39" s="1669"/>
      <c r="DL39" s="1669"/>
      <c r="DM39" s="1669"/>
      <c r="DN39" s="1669"/>
      <c r="DO39" s="767"/>
      <c r="DP39" s="1669"/>
      <c r="DQ39" s="1669"/>
      <c r="DR39" s="623"/>
      <c r="DS39" s="623"/>
      <c r="DT39" s="623"/>
      <c r="DU39" s="623"/>
      <c r="DV39" s="1675"/>
    </row>
    <row r="40" spans="1:256" ht="13.8" hidden="1">
      <c r="A40" s="1676"/>
      <c r="B40" s="550"/>
      <c r="C40" s="550"/>
      <c r="D40" s="550"/>
      <c r="E40" s="550"/>
      <c r="F40" s="550"/>
      <c r="G40" s="550"/>
      <c r="H40" s="550"/>
      <c r="I40" s="550"/>
      <c r="J40" s="550"/>
      <c r="K40" s="550"/>
      <c r="L40" s="550"/>
      <c r="M40" s="550"/>
      <c r="N40" s="550"/>
      <c r="O40" s="550"/>
      <c r="P40" s="550"/>
      <c r="Q40" s="550"/>
      <c r="R40" s="550"/>
      <c r="S40" s="550"/>
      <c r="T40" s="550"/>
      <c r="U40" s="550"/>
      <c r="V40" s="550"/>
      <c r="W40" s="550"/>
      <c r="X40" s="767"/>
      <c r="Y40" s="550"/>
      <c r="Z40" s="550"/>
      <c r="AA40" s="767"/>
      <c r="AB40" s="550"/>
      <c r="AC40" s="550"/>
      <c r="AD40" s="550"/>
      <c r="AE40" s="550"/>
      <c r="AF40" s="550"/>
      <c r="AG40" s="550"/>
      <c r="AH40" s="550"/>
      <c r="AI40" s="550"/>
      <c r="AJ40" s="550"/>
      <c r="AK40" s="550"/>
      <c r="AL40" s="550"/>
      <c r="AM40" s="550"/>
      <c r="AN40" s="550"/>
      <c r="AO40" s="550"/>
      <c r="AP40" s="550"/>
      <c r="AQ40" s="550"/>
      <c r="AR40" s="550"/>
      <c r="AS40" s="550"/>
      <c r="AT40" s="550"/>
      <c r="AU40" s="550"/>
      <c r="AV40" s="550"/>
      <c r="AW40" s="550"/>
      <c r="AX40" s="550"/>
      <c r="AY40" s="550"/>
      <c r="AZ40" s="550"/>
      <c r="BA40" s="550"/>
      <c r="BB40" s="550"/>
      <c r="BC40" s="550"/>
      <c r="BD40" s="550"/>
      <c r="BE40" s="550"/>
      <c r="BF40" s="550"/>
      <c r="BG40" s="623"/>
      <c r="BH40" s="623"/>
      <c r="BI40" s="623"/>
      <c r="BJ40" s="623"/>
      <c r="BK40" s="623"/>
      <c r="BL40" s="623"/>
      <c r="BM40" s="623"/>
      <c r="BN40" s="623"/>
      <c r="BO40" s="623"/>
      <c r="BP40" s="623"/>
      <c r="BQ40" s="623"/>
      <c r="BR40" s="623"/>
      <c r="BS40" s="623"/>
      <c r="BT40" s="623"/>
      <c r="BU40" s="623"/>
      <c r="BV40" s="623"/>
      <c r="BW40" s="623"/>
      <c r="BX40" s="623"/>
      <c r="BY40" s="623"/>
      <c r="BZ40" s="623"/>
      <c r="CA40" s="623"/>
      <c r="CB40" s="1669"/>
      <c r="CC40" s="1669"/>
      <c r="CD40" s="1669"/>
      <c r="CE40" s="1669"/>
      <c r="CF40" s="1669"/>
      <c r="CG40" s="1669"/>
      <c r="CH40" s="1669"/>
      <c r="CI40" s="1669"/>
      <c r="CJ40" s="1669"/>
      <c r="CK40" s="1669"/>
      <c r="CL40" s="1669"/>
      <c r="CM40" s="1669"/>
      <c r="CN40" s="1669"/>
      <c r="CO40" s="1669"/>
      <c r="CP40" s="1669"/>
      <c r="CQ40" s="1669"/>
      <c r="CR40" s="1669"/>
      <c r="CS40" s="1669"/>
      <c r="CT40" s="1669"/>
      <c r="CU40" s="1669"/>
      <c r="CV40" s="1669"/>
      <c r="CW40" s="1669"/>
      <c r="CX40" s="1669"/>
      <c r="CY40" s="817"/>
      <c r="CZ40" s="1669"/>
      <c r="DA40" s="1669"/>
      <c r="DB40" s="1669"/>
      <c r="DC40" s="767"/>
      <c r="DD40" s="1669"/>
      <c r="DE40" s="1669"/>
      <c r="DF40" s="1669"/>
      <c r="DG40" s="1669"/>
      <c r="DH40" s="1669"/>
      <c r="DI40" s="1669"/>
      <c r="DJ40" s="1669"/>
      <c r="DK40" s="1669"/>
      <c r="DL40" s="1669"/>
      <c r="DM40" s="1669"/>
      <c r="DN40" s="1669"/>
      <c r="DO40" s="767"/>
      <c r="DP40" s="1669"/>
      <c r="DQ40" s="1669"/>
      <c r="DR40" s="623"/>
      <c r="DS40" s="623"/>
      <c r="DT40" s="623"/>
      <c r="DU40" s="623"/>
      <c r="DV40" s="1675"/>
    </row>
    <row r="41" spans="1:256" ht="13.8" hidden="1">
      <c r="A41" s="1677"/>
      <c r="B41" s="550"/>
      <c r="C41" s="550"/>
      <c r="D41" s="550"/>
      <c r="E41" s="550"/>
      <c r="F41" s="550"/>
      <c r="G41" s="550"/>
      <c r="H41" s="550"/>
      <c r="I41" s="550"/>
      <c r="J41" s="550"/>
      <c r="K41" s="550"/>
      <c r="L41" s="550"/>
      <c r="M41" s="550"/>
      <c r="N41" s="550"/>
      <c r="O41" s="550"/>
      <c r="P41" s="550"/>
      <c r="Q41" s="550"/>
      <c r="R41" s="550"/>
      <c r="S41" s="550"/>
      <c r="T41" s="550"/>
      <c r="U41" s="550"/>
      <c r="V41" s="550"/>
      <c r="W41" s="550"/>
      <c r="X41" s="767"/>
      <c r="Y41" s="550"/>
      <c r="Z41" s="550"/>
      <c r="AA41" s="767"/>
      <c r="AB41" s="550"/>
      <c r="AC41" s="550"/>
      <c r="AD41" s="550"/>
      <c r="AE41" s="550"/>
      <c r="AF41" s="550"/>
      <c r="AG41" s="550"/>
      <c r="AH41" s="550"/>
      <c r="AI41" s="550"/>
      <c r="AJ41" s="550"/>
      <c r="AK41" s="550"/>
      <c r="AL41" s="550"/>
      <c r="AM41" s="550"/>
      <c r="AN41" s="550"/>
      <c r="AO41" s="550"/>
      <c r="AP41" s="550"/>
      <c r="AQ41" s="550"/>
      <c r="AR41" s="550"/>
      <c r="AS41" s="550"/>
      <c r="AT41" s="550"/>
      <c r="AU41" s="550"/>
      <c r="AV41" s="550"/>
      <c r="AW41" s="550"/>
      <c r="AX41" s="550"/>
      <c r="AY41" s="550"/>
      <c r="AZ41" s="550"/>
      <c r="BA41" s="550"/>
      <c r="BB41" s="550"/>
      <c r="BC41" s="550"/>
      <c r="BD41" s="550"/>
      <c r="BE41" s="550"/>
      <c r="BF41" s="550"/>
      <c r="BG41" s="623"/>
      <c r="BH41" s="623"/>
      <c r="BI41" s="623"/>
      <c r="BJ41" s="623"/>
      <c r="BK41" s="623"/>
      <c r="BL41" s="623"/>
      <c r="BM41" s="623"/>
      <c r="BN41" s="623"/>
      <c r="BO41" s="623"/>
      <c r="BP41" s="623"/>
      <c r="BQ41" s="623"/>
      <c r="BR41" s="623"/>
      <c r="BS41" s="623"/>
      <c r="BT41" s="623"/>
      <c r="BU41" s="623"/>
      <c r="BV41" s="623"/>
      <c r="BW41" s="623"/>
      <c r="BX41" s="623"/>
      <c r="BY41" s="623"/>
      <c r="BZ41" s="623"/>
      <c r="CA41" s="623"/>
      <c r="CB41" s="1669"/>
      <c r="CC41" s="1669"/>
      <c r="CD41" s="1669"/>
      <c r="CE41" s="1669"/>
      <c r="CF41" s="1669"/>
      <c r="CG41" s="1669"/>
      <c r="CH41" s="1669"/>
      <c r="CI41" s="1669"/>
      <c r="CJ41" s="1669"/>
      <c r="CK41" s="1669"/>
      <c r="CL41" s="1669"/>
      <c r="CM41" s="1669"/>
      <c r="CN41" s="1669"/>
      <c r="CO41" s="1669"/>
      <c r="CP41" s="1669"/>
      <c r="CQ41" s="1669"/>
      <c r="CR41" s="1669"/>
      <c r="CS41" s="1669"/>
      <c r="CT41" s="1669"/>
      <c r="CU41" s="1669"/>
      <c r="CV41" s="1669"/>
      <c r="CW41" s="1669"/>
      <c r="CX41" s="1669"/>
      <c r="CY41" s="817"/>
      <c r="CZ41" s="1669"/>
      <c r="DA41" s="1669"/>
      <c r="DB41" s="1669"/>
      <c r="DC41" s="767"/>
      <c r="DD41" s="1669"/>
      <c r="DE41" s="1669"/>
      <c r="DF41" s="1669"/>
      <c r="DG41" s="1669"/>
      <c r="DH41" s="1669"/>
      <c r="DI41" s="1669"/>
      <c r="DJ41" s="1669"/>
      <c r="DK41" s="1669"/>
      <c r="DL41" s="1669"/>
      <c r="DM41" s="1669"/>
      <c r="DN41" s="1669"/>
      <c r="DO41" s="767"/>
      <c r="DP41" s="1669"/>
      <c r="DQ41" s="1669"/>
      <c r="DR41" s="623"/>
      <c r="DS41" s="623"/>
      <c r="DT41" s="623"/>
      <c r="DU41" s="623"/>
      <c r="DV41" s="1675"/>
    </row>
    <row r="42" spans="1:256" ht="13.8" hidden="1">
      <c r="A42" s="1676"/>
      <c r="B42" s="550"/>
      <c r="C42" s="550"/>
      <c r="D42" s="550"/>
      <c r="E42" s="550"/>
      <c r="F42" s="550"/>
      <c r="G42" s="550"/>
      <c r="H42" s="550"/>
      <c r="I42" s="550"/>
      <c r="J42" s="550"/>
      <c r="K42" s="550"/>
      <c r="L42" s="550"/>
      <c r="M42" s="550"/>
      <c r="N42" s="550"/>
      <c r="O42" s="550"/>
      <c r="P42" s="550"/>
      <c r="Q42" s="550"/>
      <c r="R42" s="550"/>
      <c r="S42" s="550"/>
      <c r="T42" s="550"/>
      <c r="U42" s="550"/>
      <c r="V42" s="550"/>
      <c r="W42" s="550"/>
      <c r="X42" s="767"/>
      <c r="Y42" s="550"/>
      <c r="Z42" s="550"/>
      <c r="AA42" s="767"/>
      <c r="AB42" s="550"/>
      <c r="AC42" s="550"/>
      <c r="AD42" s="550"/>
      <c r="AE42" s="550"/>
      <c r="AF42" s="550"/>
      <c r="AG42" s="550"/>
      <c r="AH42" s="550"/>
      <c r="AI42" s="550"/>
      <c r="AJ42" s="550"/>
      <c r="AK42" s="550"/>
      <c r="AL42" s="550"/>
      <c r="AM42" s="550"/>
      <c r="AN42" s="550"/>
      <c r="AO42" s="550"/>
      <c r="AP42" s="550"/>
      <c r="AQ42" s="550"/>
      <c r="AR42" s="550"/>
      <c r="AS42" s="550"/>
      <c r="AT42" s="550"/>
      <c r="AU42" s="550"/>
      <c r="AV42" s="550"/>
      <c r="AW42" s="550"/>
      <c r="AX42" s="550"/>
      <c r="AY42" s="550"/>
      <c r="AZ42" s="550"/>
      <c r="BA42" s="550"/>
      <c r="BB42" s="550"/>
      <c r="BC42" s="550"/>
      <c r="BD42" s="550"/>
      <c r="BE42" s="550"/>
      <c r="BF42" s="550"/>
      <c r="BG42" s="623"/>
      <c r="BH42" s="623"/>
      <c r="BI42" s="623"/>
      <c r="BJ42" s="623"/>
      <c r="BK42" s="623"/>
      <c r="BL42" s="623"/>
      <c r="BM42" s="623"/>
      <c r="BN42" s="623"/>
      <c r="BO42" s="623"/>
      <c r="BP42" s="623"/>
      <c r="BQ42" s="623"/>
      <c r="BR42" s="623"/>
      <c r="BS42" s="623"/>
      <c r="BT42" s="623"/>
      <c r="BU42" s="623"/>
      <c r="BV42" s="623"/>
      <c r="BW42" s="623"/>
      <c r="BX42" s="623"/>
      <c r="BY42" s="623"/>
      <c r="BZ42" s="623"/>
      <c r="CA42" s="623"/>
      <c r="CB42" s="1669"/>
      <c r="CC42" s="1669"/>
      <c r="CD42" s="1669"/>
      <c r="CE42" s="1669"/>
      <c r="CF42" s="1669"/>
      <c r="CG42" s="1669"/>
      <c r="CH42" s="1669"/>
      <c r="CI42" s="1669"/>
      <c r="CJ42" s="1669"/>
      <c r="CK42" s="1669"/>
      <c r="CL42" s="1669"/>
      <c r="CM42" s="1669"/>
      <c r="CN42" s="1669"/>
      <c r="CO42" s="1669"/>
      <c r="CP42" s="1669"/>
      <c r="CQ42" s="1669"/>
      <c r="CR42" s="1669"/>
      <c r="CS42" s="1669"/>
      <c r="CT42" s="1669"/>
      <c r="CU42" s="1669"/>
      <c r="CV42" s="1669"/>
      <c r="CW42" s="1669"/>
      <c r="CX42" s="1669"/>
      <c r="CY42" s="817"/>
      <c r="CZ42" s="1669"/>
      <c r="DA42" s="1669"/>
      <c r="DB42" s="1669"/>
      <c r="DC42" s="767"/>
      <c r="DD42" s="1669"/>
      <c r="DE42" s="1669"/>
      <c r="DF42" s="1669"/>
      <c r="DG42" s="1669"/>
      <c r="DH42" s="1669"/>
      <c r="DI42" s="1669"/>
      <c r="DJ42" s="1669"/>
      <c r="DK42" s="1669"/>
      <c r="DL42" s="1669"/>
      <c r="DM42" s="1669"/>
      <c r="DN42" s="1669"/>
      <c r="DO42" s="767"/>
      <c r="DP42" s="1669"/>
      <c r="DQ42" s="1669"/>
      <c r="DR42" s="623"/>
      <c r="DS42" s="623"/>
      <c r="DT42" s="623"/>
      <c r="DU42" s="623"/>
      <c r="DV42" s="1675"/>
    </row>
    <row r="43" spans="1:256" s="678" customFormat="1" ht="13.8" hidden="1">
      <c r="A43" s="1676"/>
      <c r="B43" s="550"/>
      <c r="C43" s="550"/>
      <c r="D43" s="550"/>
      <c r="E43" s="550"/>
      <c r="F43" s="550"/>
      <c r="G43" s="550"/>
      <c r="H43" s="550"/>
      <c r="I43" s="550"/>
      <c r="J43" s="550"/>
      <c r="K43" s="550"/>
      <c r="L43" s="550"/>
      <c r="M43" s="550"/>
      <c r="N43" s="550"/>
      <c r="O43" s="439"/>
      <c r="P43" s="439"/>
      <c r="Q43" s="674"/>
      <c r="R43" s="671"/>
      <c r="S43" s="671"/>
      <c r="T43" s="671"/>
      <c r="U43" s="671"/>
      <c r="V43" s="671"/>
      <c r="W43" s="671"/>
      <c r="X43" s="767"/>
      <c r="Y43" s="671"/>
      <c r="Z43" s="671"/>
      <c r="AA43" s="767"/>
      <c r="AB43" s="623"/>
      <c r="AC43" s="623"/>
      <c r="AD43" s="623"/>
      <c r="AE43" s="623"/>
      <c r="AF43" s="623"/>
      <c r="AG43" s="623"/>
      <c r="AH43" s="623"/>
      <c r="AI43" s="623"/>
      <c r="AJ43" s="623"/>
      <c r="AK43" s="623"/>
      <c r="AL43" s="623"/>
      <c r="AM43" s="623"/>
      <c r="AN43" s="623"/>
      <c r="AO43" s="623"/>
      <c r="AP43" s="623"/>
      <c r="AQ43" s="623"/>
      <c r="AR43" s="623"/>
      <c r="AS43" s="623"/>
      <c r="AT43" s="623"/>
      <c r="AU43" s="623"/>
      <c r="AV43" s="623"/>
      <c r="AW43" s="623"/>
      <c r="AX43" s="623"/>
      <c r="AY43" s="623"/>
      <c r="AZ43" s="623"/>
      <c r="BA43" s="623"/>
      <c r="BB43" s="623"/>
      <c r="BC43" s="623"/>
      <c r="BD43" s="623"/>
      <c r="BE43" s="623"/>
      <c r="BF43" s="623"/>
      <c r="BG43" s="623"/>
      <c r="BH43" s="623"/>
      <c r="BI43" s="623"/>
      <c r="BJ43" s="623"/>
      <c r="BK43" s="623"/>
      <c r="BL43" s="623"/>
      <c r="BM43" s="623"/>
      <c r="BN43" s="623"/>
      <c r="BO43" s="623"/>
      <c r="BP43" s="623"/>
      <c r="BQ43" s="623"/>
      <c r="BR43" s="623"/>
      <c r="BS43" s="623"/>
      <c r="BT43" s="623"/>
      <c r="BU43" s="623"/>
      <c r="BV43" s="623"/>
      <c r="BW43" s="623"/>
      <c r="BX43" s="623"/>
      <c r="BY43" s="623"/>
      <c r="BZ43" s="623"/>
      <c r="CA43" s="623"/>
      <c r="CB43" s="1669"/>
      <c r="CC43" s="1669"/>
      <c r="CD43" s="1669"/>
      <c r="CE43" s="1669"/>
      <c r="CF43" s="1669"/>
      <c r="CG43" s="1669"/>
      <c r="CH43" s="1669"/>
      <c r="CI43" s="1669"/>
      <c r="CJ43" s="1669"/>
      <c r="CK43" s="1669"/>
      <c r="CL43" s="1669"/>
      <c r="CM43" s="1669"/>
      <c r="CN43" s="1669"/>
      <c r="CO43" s="1669"/>
      <c r="CP43" s="1669"/>
      <c r="CQ43" s="1669"/>
      <c r="CR43" s="1669"/>
      <c r="CS43" s="1669"/>
      <c r="CT43" s="1669"/>
      <c r="CU43" s="1669"/>
      <c r="CV43" s="1669"/>
      <c r="CW43" s="1669"/>
      <c r="CX43" s="1669"/>
      <c r="CY43" s="817"/>
      <c r="CZ43" s="1669"/>
      <c r="DA43" s="1669"/>
      <c r="DB43" s="1669"/>
      <c r="DC43" s="767"/>
      <c r="DD43" s="1669"/>
      <c r="DE43" s="1669"/>
      <c r="DF43" s="1669"/>
      <c r="DG43" s="1669"/>
      <c r="DH43" s="1669"/>
      <c r="DI43" s="1669"/>
      <c r="DJ43" s="1669"/>
      <c r="DK43" s="1669"/>
      <c r="DL43" s="1669"/>
      <c r="DM43" s="1669"/>
      <c r="DN43" s="1669"/>
      <c r="DO43" s="767"/>
      <c r="DP43" s="1669"/>
      <c r="DQ43" s="1669"/>
      <c r="DR43" s="623"/>
      <c r="DS43" s="623"/>
      <c r="DT43" s="623"/>
      <c r="DU43" s="623"/>
      <c r="DV43" s="1675"/>
      <c r="DW43" s="530"/>
      <c r="DX43" s="530"/>
      <c r="DY43" s="530"/>
      <c r="DZ43" s="530"/>
      <c r="EA43" s="530"/>
      <c r="EB43" s="530"/>
      <c r="EC43" s="530"/>
      <c r="ED43" s="530"/>
      <c r="EE43" s="530"/>
      <c r="EF43" s="530"/>
      <c r="EG43" s="530"/>
      <c r="EH43" s="530"/>
      <c r="EI43" s="530"/>
      <c r="EJ43" s="530"/>
      <c r="EK43" s="530"/>
      <c r="EL43" s="530"/>
      <c r="EM43" s="530"/>
      <c r="EN43" s="530"/>
      <c r="EO43" s="530"/>
      <c r="EP43" s="530"/>
      <c r="EQ43" s="530"/>
      <c r="ER43" s="530"/>
      <c r="ES43" s="530"/>
      <c r="ET43" s="530"/>
      <c r="EU43" s="530"/>
      <c r="EV43" s="530"/>
      <c r="EW43" s="530"/>
      <c r="EX43" s="530"/>
      <c r="EY43" s="530"/>
      <c r="EZ43" s="530"/>
      <c r="FA43" s="530"/>
      <c r="FB43" s="530"/>
      <c r="FC43" s="530"/>
      <c r="FD43" s="530"/>
      <c r="FE43" s="530"/>
      <c r="FF43" s="530"/>
      <c r="FG43" s="530"/>
      <c r="FH43" s="530"/>
      <c r="FI43" s="530"/>
      <c r="FJ43" s="530"/>
      <c r="FK43" s="530"/>
      <c r="FL43" s="530"/>
      <c r="FM43" s="530"/>
      <c r="FN43" s="530"/>
      <c r="FO43" s="530"/>
      <c r="FP43" s="530"/>
      <c r="FQ43" s="530"/>
      <c r="FR43" s="530"/>
      <c r="FS43" s="530"/>
      <c r="FT43" s="530"/>
      <c r="FU43" s="530"/>
      <c r="FV43" s="530"/>
      <c r="FW43" s="530"/>
      <c r="FX43" s="530"/>
      <c r="FY43" s="530"/>
      <c r="FZ43" s="530"/>
      <c r="GA43" s="530"/>
      <c r="GB43" s="530"/>
      <c r="GC43" s="530"/>
      <c r="GD43" s="530"/>
      <c r="GE43" s="530"/>
      <c r="GF43" s="530"/>
      <c r="GG43" s="530"/>
      <c r="GH43" s="530"/>
      <c r="GI43" s="530"/>
      <c r="GJ43" s="530"/>
      <c r="GK43" s="530"/>
      <c r="GL43" s="530"/>
      <c r="GM43" s="530"/>
      <c r="GN43" s="530"/>
      <c r="GO43" s="530"/>
      <c r="GP43" s="530"/>
      <c r="GQ43" s="530"/>
      <c r="GR43" s="530"/>
      <c r="GS43" s="530"/>
      <c r="GT43" s="530"/>
      <c r="GU43" s="530"/>
      <c r="GV43" s="530"/>
      <c r="GW43" s="530"/>
      <c r="GX43" s="530"/>
      <c r="GY43" s="530"/>
      <c r="GZ43" s="530"/>
      <c r="HA43" s="530"/>
      <c r="HB43" s="530"/>
      <c r="HC43" s="530"/>
      <c r="HD43" s="530"/>
      <c r="HE43" s="530"/>
      <c r="HF43" s="530"/>
      <c r="HG43" s="530"/>
      <c r="HH43" s="530"/>
      <c r="HI43" s="530"/>
      <c r="HJ43" s="530"/>
      <c r="HK43" s="530"/>
      <c r="HL43" s="530"/>
      <c r="HM43" s="530"/>
      <c r="HN43" s="530"/>
      <c r="HO43" s="530"/>
      <c r="HP43" s="530"/>
      <c r="HQ43" s="530"/>
      <c r="HR43" s="530"/>
      <c r="HS43" s="530"/>
      <c r="HT43" s="530"/>
      <c r="HU43" s="530"/>
      <c r="HV43" s="530"/>
      <c r="HW43" s="530"/>
      <c r="HX43" s="530"/>
      <c r="HY43" s="530"/>
      <c r="HZ43" s="530"/>
      <c r="IA43" s="530"/>
      <c r="IB43" s="530"/>
      <c r="IC43" s="530"/>
      <c r="ID43" s="530"/>
      <c r="IE43" s="530"/>
      <c r="IF43" s="530"/>
      <c r="IG43" s="530"/>
      <c r="IH43" s="530"/>
      <c r="II43" s="530"/>
      <c r="IJ43" s="530"/>
      <c r="IK43" s="530"/>
      <c r="IL43" s="530"/>
      <c r="IM43" s="530"/>
      <c r="IN43" s="530"/>
      <c r="IO43" s="530"/>
      <c r="IP43" s="530"/>
      <c r="IQ43" s="530"/>
      <c r="IR43" s="530"/>
      <c r="IS43" s="530"/>
      <c r="IT43" s="530"/>
      <c r="IU43" s="530"/>
      <c r="IV43" s="530"/>
    </row>
    <row r="44" spans="1:256" s="688" customFormat="1" ht="13.8" hidden="1">
      <c r="A44" s="1678"/>
      <c r="B44" s="1679"/>
      <c r="C44" s="1678"/>
      <c r="D44" s="1678"/>
      <c r="E44" s="1678"/>
      <c r="F44" s="1678"/>
      <c r="G44" s="1678"/>
      <c r="H44" s="1678"/>
      <c r="I44" s="1678"/>
      <c r="J44" s="1678"/>
      <c r="K44" s="1678"/>
      <c r="L44" s="1678"/>
      <c r="M44" s="1678"/>
      <c r="N44" s="1678"/>
      <c r="O44" s="1678"/>
      <c r="P44" s="1678"/>
      <c r="Q44" s="1678"/>
      <c r="R44" s="1678"/>
      <c r="S44" s="1678"/>
      <c r="T44" s="1678"/>
      <c r="U44" s="1678"/>
      <c r="V44" s="1678"/>
      <c r="W44" s="1678"/>
      <c r="X44" s="1678"/>
      <c r="Y44" s="1678"/>
      <c r="Z44" s="1678"/>
      <c r="AA44" s="1678"/>
      <c r="AB44" s="1678"/>
      <c r="AC44" s="1678"/>
      <c r="AD44" s="1678"/>
      <c r="AE44" s="1678"/>
      <c r="AF44" s="1678"/>
      <c r="AG44" s="1678"/>
      <c r="AH44" s="1678"/>
      <c r="AI44" s="1678"/>
      <c r="AJ44" s="1678"/>
      <c r="AK44" s="1678"/>
      <c r="AL44" s="1678"/>
      <c r="AM44" s="1678"/>
      <c r="AN44" s="1678"/>
      <c r="AO44" s="1678"/>
      <c r="AP44" s="1678"/>
      <c r="AQ44" s="1678"/>
      <c r="AR44" s="1678"/>
      <c r="AS44" s="1678"/>
      <c r="AT44" s="1678"/>
      <c r="AU44" s="1678"/>
      <c r="AV44" s="1678"/>
      <c r="AW44" s="1678"/>
      <c r="AX44" s="1678"/>
      <c r="AY44" s="1678"/>
      <c r="AZ44" s="1678"/>
      <c r="BA44" s="1678"/>
      <c r="BB44" s="1678"/>
      <c r="BC44" s="1678"/>
      <c r="BD44" s="1678"/>
      <c r="BE44" s="1678"/>
      <c r="BF44" s="1678"/>
      <c r="BG44" s="1678"/>
      <c r="BH44" s="1678"/>
      <c r="BI44" s="1678"/>
      <c r="BJ44" s="1678"/>
      <c r="BK44" s="1678"/>
      <c r="BL44" s="1678"/>
      <c r="BM44" s="1678"/>
      <c r="BN44" s="1678"/>
      <c r="BO44" s="1678"/>
      <c r="BP44" s="1678"/>
      <c r="BQ44" s="1678"/>
      <c r="BR44" s="1678"/>
      <c r="BS44" s="1678"/>
      <c r="BT44" s="1678"/>
      <c r="BU44" s="1678"/>
      <c r="BV44" s="1678"/>
      <c r="BW44" s="1678"/>
      <c r="BX44" s="1678"/>
      <c r="BY44" s="1678"/>
      <c r="BZ44" s="1678"/>
      <c r="CA44" s="1678"/>
      <c r="CB44" s="1678"/>
      <c r="CC44" s="1678"/>
      <c r="CD44" s="1678"/>
      <c r="CE44" s="1669"/>
      <c r="CF44" s="1678"/>
      <c r="CG44" s="1678"/>
      <c r="CH44" s="1678"/>
      <c r="CI44" s="1678"/>
      <c r="CJ44" s="1678"/>
      <c r="CK44" s="1678"/>
      <c r="CL44" s="1678"/>
      <c r="CM44" s="1678"/>
      <c r="CN44" s="1678"/>
      <c r="CO44" s="1678"/>
      <c r="CP44" s="1678"/>
      <c r="CQ44" s="1678"/>
      <c r="CR44" s="1678"/>
      <c r="CS44" s="1678"/>
      <c r="CT44" s="1678"/>
      <c r="CU44" s="1678"/>
      <c r="CV44" s="1678"/>
      <c r="CW44" s="1678"/>
      <c r="CX44" s="1678"/>
      <c r="CY44" s="1680"/>
      <c r="CZ44" s="1678"/>
      <c r="DA44" s="1678"/>
      <c r="DB44" s="1678"/>
      <c r="DC44" s="1678"/>
      <c r="DD44" s="1678"/>
      <c r="DE44" s="1678"/>
      <c r="DF44" s="1678"/>
      <c r="DG44" s="1678"/>
      <c r="DH44" s="1678"/>
      <c r="DI44" s="1678"/>
      <c r="DJ44" s="1678"/>
      <c r="DK44" s="1678"/>
      <c r="DL44" s="1678"/>
      <c r="DM44" s="1678"/>
      <c r="DN44" s="1678"/>
      <c r="DO44" s="1678"/>
      <c r="DP44" s="1678"/>
      <c r="DQ44" s="1678"/>
      <c r="DR44" s="1678"/>
      <c r="DS44" s="1678"/>
      <c r="DT44" s="1678"/>
      <c r="DU44" s="1678"/>
      <c r="DV44" s="1681"/>
    </row>
    <row r="45" spans="1:256" s="545" customFormat="1" ht="18" hidden="1" customHeight="1">
      <c r="A45" s="1682"/>
      <c r="B45" s="1023"/>
      <c r="C45" s="1023"/>
      <c r="D45" s="1023"/>
      <c r="E45" s="1023"/>
      <c r="F45" s="1023"/>
      <c r="G45" s="1023"/>
      <c r="H45" s="1023"/>
      <c r="I45" s="1023"/>
      <c r="J45" s="1023"/>
      <c r="K45" s="1023"/>
      <c r="L45" s="1023"/>
      <c r="M45" s="1023"/>
      <c r="N45" s="1023"/>
      <c r="O45" s="1023"/>
      <c r="P45" s="1023"/>
      <c r="Q45" s="1023"/>
      <c r="R45" s="1023"/>
      <c r="S45" s="1023"/>
      <c r="T45" s="1023"/>
      <c r="U45" s="1023"/>
      <c r="V45" s="1023"/>
      <c r="W45" s="1023"/>
      <c r="X45" s="1023"/>
      <c r="Y45" s="1023"/>
      <c r="Z45" s="1023"/>
      <c r="AA45" s="1023"/>
      <c r="AB45" s="1023"/>
      <c r="AC45" s="1023"/>
      <c r="AD45" s="1023"/>
      <c r="AE45" s="1023"/>
      <c r="AF45" s="1023"/>
      <c r="AG45" s="1023"/>
      <c r="AH45" s="1023"/>
      <c r="AI45" s="1023"/>
      <c r="AJ45" s="1023"/>
      <c r="AK45" s="1023"/>
      <c r="AL45" s="1023"/>
      <c r="AM45" s="1023"/>
      <c r="AN45" s="1023"/>
      <c r="AO45" s="1023"/>
      <c r="AP45" s="1023"/>
      <c r="AQ45" s="1023"/>
      <c r="AR45" s="1023"/>
      <c r="AS45" s="1023"/>
      <c r="AT45" s="1023"/>
      <c r="AU45" s="1023"/>
      <c r="AV45" s="1023"/>
      <c r="AW45" s="1023"/>
      <c r="AX45" s="1023"/>
      <c r="AY45" s="1023"/>
      <c r="AZ45" s="1023"/>
      <c r="BA45" s="1023"/>
      <c r="BB45" s="1023"/>
      <c r="BC45" s="1023"/>
      <c r="BD45" s="1023"/>
      <c r="BE45" s="1023"/>
      <c r="BF45" s="1023"/>
      <c r="BG45" s="1023"/>
      <c r="BH45" s="1023"/>
      <c r="BI45" s="1023"/>
      <c r="BJ45" s="1023"/>
      <c r="BK45" s="1023"/>
      <c r="BL45" s="1023"/>
      <c r="BM45" s="1023"/>
      <c r="BN45" s="1023"/>
      <c r="BO45" s="1023"/>
      <c r="BP45" s="1023"/>
      <c r="BQ45" s="1023"/>
      <c r="BR45" s="1023"/>
      <c r="BS45" s="1023"/>
      <c r="BT45" s="1023"/>
      <c r="BU45" s="1023"/>
      <c r="BV45" s="1023"/>
      <c r="BW45" s="1023"/>
      <c r="BX45" s="1023"/>
      <c r="BY45" s="1023"/>
      <c r="BZ45" s="1023"/>
      <c r="CA45" s="1023"/>
      <c r="CB45" s="1023"/>
      <c r="CC45" s="1023"/>
      <c r="CD45" s="1023"/>
      <c r="CE45" s="1669"/>
      <c r="CF45" s="1023"/>
      <c r="CG45" s="1023"/>
      <c r="CH45" s="1023"/>
      <c r="CI45" s="1023"/>
      <c r="CJ45" s="1023"/>
      <c r="CK45" s="1023"/>
      <c r="CL45" s="1023"/>
      <c r="CM45" s="1023"/>
      <c r="CN45" s="1023"/>
      <c r="CO45" s="1023"/>
      <c r="CP45" s="1023"/>
      <c r="CQ45" s="1023"/>
      <c r="CR45" s="1023"/>
      <c r="CS45" s="1023"/>
      <c r="CT45" s="1023"/>
      <c r="CU45" s="1023"/>
      <c r="CV45" s="1023"/>
      <c r="CW45" s="1023"/>
      <c r="CX45" s="1023"/>
      <c r="CY45" s="1683"/>
      <c r="CZ45" s="1023"/>
      <c r="DA45" s="1023"/>
      <c r="DB45" s="1023"/>
      <c r="DC45" s="1023"/>
      <c r="DD45" s="1023"/>
      <c r="DE45" s="1023"/>
      <c r="DF45" s="1023"/>
      <c r="DG45" s="1023"/>
      <c r="DH45" s="1023"/>
      <c r="DI45" s="1023"/>
      <c r="DJ45" s="1023"/>
      <c r="DK45" s="1023"/>
      <c r="DL45" s="1023"/>
      <c r="DM45" s="1023"/>
      <c r="DN45" s="1023"/>
      <c r="DO45" s="1023"/>
      <c r="DP45" s="1023"/>
      <c r="DQ45" s="1023"/>
      <c r="DR45" s="1023"/>
      <c r="DS45" s="1023"/>
      <c r="DT45" s="1023"/>
      <c r="DU45" s="1023"/>
      <c r="DV45" s="1684"/>
      <c r="DW45" s="530"/>
      <c r="DX45" s="530"/>
      <c r="DY45" s="530"/>
      <c r="DZ45" s="530"/>
      <c r="EA45" s="530"/>
      <c r="EB45" s="530"/>
      <c r="EC45" s="530"/>
      <c r="ED45" s="530"/>
      <c r="EE45" s="530"/>
      <c r="EF45" s="530"/>
      <c r="EG45" s="530"/>
      <c r="EH45" s="530"/>
      <c r="EI45" s="530"/>
      <c r="EJ45" s="530"/>
      <c r="EK45" s="530"/>
      <c r="EL45" s="530"/>
      <c r="EM45" s="530"/>
      <c r="EN45" s="530"/>
      <c r="EO45" s="530"/>
      <c r="EP45" s="530"/>
      <c r="EQ45" s="530"/>
      <c r="ER45" s="530"/>
      <c r="ES45" s="530"/>
      <c r="ET45" s="530"/>
      <c r="EU45" s="530"/>
      <c r="EV45" s="530"/>
      <c r="EW45" s="530"/>
      <c r="EX45" s="530"/>
      <c r="EY45" s="530"/>
      <c r="EZ45" s="530"/>
      <c r="FA45" s="530"/>
      <c r="FB45" s="530"/>
      <c r="FC45" s="530"/>
      <c r="FD45" s="530"/>
      <c r="FE45" s="530"/>
      <c r="FF45" s="530"/>
      <c r="FG45" s="530"/>
      <c r="FH45" s="530"/>
      <c r="FI45" s="530"/>
      <c r="FJ45" s="530"/>
      <c r="FK45" s="530"/>
      <c r="FL45" s="530"/>
      <c r="FM45" s="530"/>
      <c r="FN45" s="530"/>
      <c r="FO45" s="530"/>
      <c r="FP45" s="530"/>
      <c r="FQ45" s="530"/>
      <c r="FR45" s="530"/>
      <c r="FS45" s="530"/>
      <c r="FT45" s="530"/>
      <c r="FU45" s="530"/>
      <c r="FV45" s="530"/>
      <c r="FW45" s="530"/>
      <c r="FX45" s="530"/>
      <c r="FY45" s="530"/>
      <c r="FZ45" s="530"/>
      <c r="GA45" s="530"/>
      <c r="GB45" s="530"/>
      <c r="GC45" s="530"/>
      <c r="GD45" s="530"/>
      <c r="GE45" s="530"/>
      <c r="GF45" s="530"/>
      <c r="GG45" s="530"/>
      <c r="GH45" s="530"/>
      <c r="GI45" s="530"/>
      <c r="GJ45" s="530"/>
      <c r="GK45" s="530"/>
      <c r="GL45" s="530"/>
      <c r="GM45" s="530"/>
      <c r="GN45" s="530"/>
      <c r="GO45" s="530"/>
      <c r="GP45" s="530"/>
      <c r="GQ45" s="530"/>
      <c r="GR45" s="530"/>
      <c r="GS45" s="530"/>
      <c r="GT45" s="530"/>
      <c r="GU45" s="530"/>
      <c r="GV45" s="530"/>
      <c r="GW45" s="530"/>
      <c r="GX45" s="530"/>
      <c r="GY45" s="530"/>
      <c r="GZ45" s="530"/>
      <c r="HA45" s="530"/>
      <c r="HB45" s="530"/>
      <c r="HC45" s="530"/>
      <c r="HD45" s="530"/>
      <c r="HE45" s="530"/>
      <c r="HF45" s="530"/>
      <c r="HG45" s="530"/>
      <c r="HH45" s="530"/>
      <c r="HI45" s="530"/>
      <c r="HJ45" s="530"/>
      <c r="HK45" s="530"/>
      <c r="HL45" s="530"/>
      <c r="HM45" s="530"/>
      <c r="HN45" s="530"/>
      <c r="HO45" s="530"/>
      <c r="HP45" s="530"/>
      <c r="HQ45" s="530"/>
      <c r="HR45" s="530"/>
      <c r="HS45" s="530"/>
      <c r="HT45" s="530"/>
      <c r="HU45" s="530"/>
      <c r="HV45" s="530"/>
      <c r="HW45" s="530"/>
      <c r="HX45" s="530"/>
      <c r="HY45" s="530"/>
      <c r="HZ45" s="530"/>
      <c r="IA45" s="530"/>
      <c r="IB45" s="530"/>
      <c r="IC45" s="530"/>
      <c r="ID45" s="530"/>
      <c r="IE45" s="530"/>
      <c r="IF45" s="530"/>
      <c r="IG45" s="530"/>
      <c r="IH45" s="530"/>
      <c r="II45" s="530"/>
      <c r="IJ45" s="530"/>
      <c r="IK45" s="530"/>
      <c r="IL45" s="530"/>
      <c r="IM45" s="530"/>
      <c r="IN45" s="530"/>
      <c r="IO45" s="530"/>
      <c r="IP45" s="530"/>
      <c r="IQ45" s="530"/>
      <c r="IR45" s="530"/>
      <c r="IS45" s="530"/>
      <c r="IT45" s="530"/>
      <c r="IU45" s="530"/>
      <c r="IV45" s="530"/>
    </row>
    <row r="46" spans="1:256" s="545" customFormat="1" ht="18" hidden="1" customHeight="1">
      <c r="A46" s="1685"/>
      <c r="B46" s="1023"/>
      <c r="C46" s="1023"/>
      <c r="D46" s="1023"/>
      <c r="E46" s="1023"/>
      <c r="F46" s="1023"/>
      <c r="G46" s="1023"/>
      <c r="H46" s="1023"/>
      <c r="I46" s="1023"/>
      <c r="J46" s="1023"/>
      <c r="K46" s="1023"/>
      <c r="L46" s="1023"/>
      <c r="M46" s="1023"/>
      <c r="N46" s="1023"/>
      <c r="O46" s="1023"/>
      <c r="P46" s="1023"/>
      <c r="Q46" s="1023"/>
      <c r="R46" s="1023"/>
      <c r="S46" s="1023"/>
      <c r="T46" s="1023"/>
      <c r="U46" s="1023"/>
      <c r="V46" s="1023"/>
      <c r="W46" s="1023"/>
      <c r="X46" s="1023"/>
      <c r="Y46" s="1023"/>
      <c r="Z46" s="1023"/>
      <c r="AA46" s="1023"/>
      <c r="AB46" s="1023"/>
      <c r="AC46" s="1023"/>
      <c r="AD46" s="1023"/>
      <c r="AE46" s="1023"/>
      <c r="AF46" s="1023"/>
      <c r="AG46" s="1023"/>
      <c r="AH46" s="1023"/>
      <c r="AI46" s="1023"/>
      <c r="AJ46" s="1023"/>
      <c r="AK46" s="1023"/>
      <c r="AL46" s="1023"/>
      <c r="AM46" s="1023"/>
      <c r="AN46" s="1023"/>
      <c r="AO46" s="1023"/>
      <c r="AP46" s="1023"/>
      <c r="AQ46" s="1023"/>
      <c r="AR46" s="1023"/>
      <c r="AS46" s="1023"/>
      <c r="AT46" s="1023"/>
      <c r="AU46" s="1023"/>
      <c r="AV46" s="1023"/>
      <c r="AW46" s="1023"/>
      <c r="AX46" s="1023"/>
      <c r="AY46" s="1023"/>
      <c r="AZ46" s="1023"/>
      <c r="BA46" s="1023"/>
      <c r="BB46" s="1023"/>
      <c r="BC46" s="1023"/>
      <c r="BD46" s="1023"/>
      <c r="BE46" s="1023"/>
      <c r="BF46" s="1023"/>
      <c r="BG46" s="1023"/>
      <c r="BH46" s="1023"/>
      <c r="BI46" s="1023"/>
      <c r="BJ46" s="1023"/>
      <c r="BK46" s="1023"/>
      <c r="BL46" s="1023"/>
      <c r="BM46" s="1023"/>
      <c r="BN46" s="1023"/>
      <c r="BO46" s="1023"/>
      <c r="BP46" s="1023"/>
      <c r="BQ46" s="1023"/>
      <c r="BR46" s="1023"/>
      <c r="BS46" s="1023"/>
      <c r="BT46" s="1023"/>
      <c r="BU46" s="1023"/>
      <c r="BV46" s="1023"/>
      <c r="BW46" s="1023"/>
      <c r="BX46" s="1023"/>
      <c r="BY46" s="1023"/>
      <c r="BZ46" s="1023"/>
      <c r="CA46" s="1023"/>
      <c r="CB46" s="1023"/>
      <c r="CC46" s="1023"/>
      <c r="CD46" s="1023"/>
      <c r="CE46" s="1669"/>
      <c r="CF46" s="1023"/>
      <c r="CG46" s="1023"/>
      <c r="CH46" s="1023"/>
      <c r="CI46" s="1023"/>
      <c r="CJ46" s="1023"/>
      <c r="CK46" s="1023"/>
      <c r="CL46" s="1023"/>
      <c r="CM46" s="1023"/>
      <c r="CN46" s="1023"/>
      <c r="CO46" s="1023"/>
      <c r="CP46" s="1023"/>
      <c r="CQ46" s="1023"/>
      <c r="CR46" s="1023"/>
      <c r="CS46" s="1023"/>
      <c r="CT46" s="1023"/>
      <c r="CU46" s="1023"/>
      <c r="CV46" s="1023"/>
      <c r="CW46" s="1023"/>
      <c r="CX46" s="1023"/>
      <c r="CY46" s="1683"/>
      <c r="CZ46" s="1023"/>
      <c r="DA46" s="1023"/>
      <c r="DB46" s="1023"/>
      <c r="DC46" s="1023"/>
      <c r="DD46" s="1023"/>
      <c r="DE46" s="1023"/>
      <c r="DF46" s="1023"/>
      <c r="DG46" s="1023"/>
      <c r="DH46" s="1023"/>
      <c r="DI46" s="1023"/>
      <c r="DJ46" s="1023"/>
      <c r="DK46" s="1023"/>
      <c r="DL46" s="1023"/>
      <c r="DM46" s="1023"/>
      <c r="DN46" s="1023"/>
      <c r="DO46" s="1023"/>
      <c r="DP46" s="1023"/>
      <c r="DQ46" s="1023"/>
      <c r="DR46" s="1023"/>
      <c r="DS46" s="1023"/>
      <c r="DT46" s="1023"/>
      <c r="DU46" s="1023"/>
      <c r="DV46" s="1684"/>
      <c r="DW46" s="530"/>
      <c r="DX46" s="530"/>
      <c r="DY46" s="530"/>
      <c r="DZ46" s="530"/>
      <c r="EA46" s="530"/>
      <c r="EB46" s="530"/>
      <c r="EC46" s="530"/>
      <c r="ED46" s="530"/>
      <c r="EE46" s="530"/>
      <c r="EF46" s="530"/>
      <c r="EG46" s="530"/>
      <c r="EH46" s="530"/>
      <c r="EI46" s="530"/>
      <c r="EJ46" s="530"/>
      <c r="EK46" s="530"/>
      <c r="EL46" s="530"/>
      <c r="EM46" s="530"/>
      <c r="EN46" s="530"/>
      <c r="EO46" s="530"/>
      <c r="EP46" s="530"/>
      <c r="EQ46" s="530"/>
      <c r="ER46" s="530"/>
      <c r="ES46" s="530"/>
      <c r="ET46" s="530"/>
      <c r="EU46" s="530"/>
      <c r="EV46" s="530"/>
      <c r="EW46" s="530"/>
      <c r="EX46" s="530"/>
      <c r="EY46" s="530"/>
      <c r="EZ46" s="530"/>
      <c r="FA46" s="530"/>
      <c r="FB46" s="530"/>
      <c r="FC46" s="530"/>
      <c r="FD46" s="530"/>
      <c r="FE46" s="530"/>
      <c r="FF46" s="530"/>
      <c r="FG46" s="530"/>
      <c r="FH46" s="530"/>
      <c r="FI46" s="530"/>
      <c r="FJ46" s="530"/>
      <c r="FK46" s="530"/>
      <c r="FL46" s="530"/>
      <c r="FM46" s="530"/>
      <c r="FN46" s="530"/>
      <c r="FO46" s="530"/>
      <c r="FP46" s="530"/>
      <c r="FQ46" s="530"/>
      <c r="FR46" s="530"/>
      <c r="FS46" s="530"/>
      <c r="FT46" s="530"/>
      <c r="FU46" s="530"/>
      <c r="FV46" s="530"/>
      <c r="FW46" s="530"/>
      <c r="FX46" s="530"/>
      <c r="FY46" s="530"/>
      <c r="FZ46" s="530"/>
      <c r="GA46" s="530"/>
      <c r="GB46" s="530"/>
      <c r="GC46" s="530"/>
      <c r="GD46" s="530"/>
      <c r="GE46" s="530"/>
      <c r="GF46" s="530"/>
      <c r="GG46" s="530"/>
      <c r="GH46" s="530"/>
      <c r="GI46" s="530"/>
      <c r="GJ46" s="530"/>
      <c r="GK46" s="530"/>
      <c r="GL46" s="530"/>
      <c r="GM46" s="530"/>
      <c r="GN46" s="530"/>
      <c r="GO46" s="530"/>
      <c r="GP46" s="530"/>
      <c r="GQ46" s="530"/>
      <c r="GR46" s="530"/>
      <c r="GS46" s="530"/>
      <c r="GT46" s="530"/>
      <c r="GU46" s="530"/>
      <c r="GV46" s="530"/>
      <c r="GW46" s="530"/>
      <c r="GX46" s="530"/>
      <c r="GY46" s="530"/>
      <c r="GZ46" s="530"/>
      <c r="HA46" s="530"/>
      <c r="HB46" s="530"/>
      <c r="HC46" s="530"/>
      <c r="HD46" s="530"/>
      <c r="HE46" s="530"/>
      <c r="HF46" s="530"/>
      <c r="HG46" s="530"/>
      <c r="HH46" s="530"/>
      <c r="HI46" s="530"/>
      <c r="HJ46" s="530"/>
      <c r="HK46" s="530"/>
      <c r="HL46" s="530"/>
      <c r="HM46" s="530"/>
      <c r="HN46" s="530"/>
      <c r="HO46" s="530"/>
      <c r="HP46" s="530"/>
      <c r="HQ46" s="530"/>
      <c r="HR46" s="530"/>
      <c r="HS46" s="530"/>
      <c r="HT46" s="530"/>
      <c r="HU46" s="530"/>
      <c r="HV46" s="530"/>
      <c r="HW46" s="530"/>
      <c r="HX46" s="530"/>
      <c r="HY46" s="530"/>
      <c r="HZ46" s="530"/>
      <c r="IA46" s="530"/>
      <c r="IB46" s="530"/>
      <c r="IC46" s="530"/>
      <c r="ID46" s="530"/>
      <c r="IE46" s="530"/>
      <c r="IF46" s="530"/>
      <c r="IG46" s="530"/>
      <c r="IH46" s="530"/>
      <c r="II46" s="530"/>
      <c r="IJ46" s="530"/>
      <c r="IK46" s="530"/>
      <c r="IL46" s="530"/>
      <c r="IM46" s="530"/>
      <c r="IN46" s="530"/>
      <c r="IO46" s="530"/>
      <c r="IP46" s="530"/>
      <c r="IQ46" s="530"/>
      <c r="IR46" s="530"/>
      <c r="IS46" s="530"/>
      <c r="IT46" s="530"/>
      <c r="IU46" s="530"/>
      <c r="IV46" s="530"/>
    </row>
    <row r="47" spans="1:256" ht="13.8" hidden="1">
      <c r="A47" s="1676"/>
      <c r="B47" s="550"/>
      <c r="C47" s="550"/>
      <c r="D47" s="550"/>
      <c r="E47" s="550"/>
      <c r="F47" s="550"/>
      <c r="G47" s="550"/>
      <c r="H47" s="550"/>
      <c r="I47" s="550"/>
      <c r="J47" s="550"/>
      <c r="K47" s="550"/>
      <c r="L47" s="550"/>
      <c r="M47" s="550"/>
      <c r="N47" s="550"/>
      <c r="O47" s="439"/>
      <c r="P47" s="439"/>
      <c r="Q47" s="674"/>
      <c r="R47" s="671"/>
      <c r="S47" s="671"/>
      <c r="T47" s="671"/>
      <c r="U47" s="671"/>
      <c r="V47" s="671"/>
      <c r="W47" s="671"/>
      <c r="X47" s="671"/>
      <c r="Y47" s="671"/>
      <c r="Z47" s="671"/>
      <c r="AA47" s="671"/>
      <c r="AB47" s="623"/>
      <c r="AC47" s="623"/>
      <c r="AD47" s="623"/>
      <c r="AE47" s="623"/>
      <c r="AF47" s="623"/>
      <c r="AG47" s="623"/>
      <c r="AH47" s="623"/>
      <c r="AI47" s="623"/>
      <c r="AJ47" s="623"/>
      <c r="AK47" s="623"/>
      <c r="AL47" s="623"/>
      <c r="AM47" s="623"/>
      <c r="AN47" s="623"/>
      <c r="AO47" s="623"/>
      <c r="AP47" s="623"/>
      <c r="AQ47" s="623"/>
      <c r="AR47" s="623"/>
      <c r="AS47" s="623"/>
      <c r="AT47" s="623"/>
      <c r="AU47" s="623"/>
      <c r="AV47" s="623"/>
      <c r="AW47" s="623"/>
      <c r="AX47" s="623"/>
      <c r="AY47" s="623"/>
      <c r="AZ47" s="623"/>
      <c r="BA47" s="623"/>
      <c r="BB47" s="623"/>
      <c r="BC47" s="623"/>
      <c r="BD47" s="623"/>
      <c r="BE47" s="623"/>
      <c r="BF47" s="623"/>
      <c r="BG47" s="623"/>
      <c r="BH47" s="623"/>
      <c r="BI47" s="623"/>
      <c r="BJ47" s="623"/>
      <c r="BK47" s="623"/>
      <c r="BL47" s="623"/>
      <c r="BM47" s="623"/>
      <c r="BN47" s="623"/>
      <c r="BO47" s="623"/>
      <c r="BP47" s="623"/>
      <c r="BQ47" s="623"/>
      <c r="BR47" s="623"/>
      <c r="BS47" s="623"/>
      <c r="BT47" s="623"/>
      <c r="BU47" s="623"/>
      <c r="BV47" s="623"/>
      <c r="BW47" s="623"/>
      <c r="BX47" s="623"/>
      <c r="BY47" s="623"/>
      <c r="BZ47" s="623"/>
      <c r="CA47" s="623"/>
      <c r="CB47" s="623"/>
      <c r="CC47" s="623"/>
      <c r="CD47" s="623"/>
      <c r="CE47" s="1669"/>
      <c r="CF47" s="623"/>
      <c r="CG47" s="623"/>
      <c r="CH47" s="623"/>
      <c r="CI47" s="623"/>
      <c r="CJ47" s="623"/>
      <c r="CK47" s="623"/>
      <c r="CL47" s="623"/>
      <c r="CM47" s="623"/>
      <c r="CN47" s="623"/>
      <c r="CO47" s="623"/>
      <c r="CP47" s="623"/>
      <c r="CQ47" s="623"/>
      <c r="CR47" s="623"/>
      <c r="CS47" s="623"/>
      <c r="CT47" s="623"/>
      <c r="CU47" s="623"/>
      <c r="CV47" s="623"/>
      <c r="CW47" s="623"/>
      <c r="CX47" s="1669"/>
      <c r="CY47" s="817"/>
      <c r="CZ47" s="623"/>
      <c r="DA47" s="623"/>
      <c r="DB47" s="623"/>
      <c r="DC47" s="623"/>
      <c r="DD47" s="623"/>
      <c r="DE47" s="623"/>
      <c r="DF47" s="623"/>
      <c r="DG47" s="623"/>
      <c r="DH47" s="623"/>
      <c r="DI47" s="623"/>
      <c r="DJ47" s="623"/>
      <c r="DK47" s="623"/>
      <c r="DL47" s="623"/>
      <c r="DM47" s="623"/>
      <c r="DN47" s="623"/>
      <c r="DO47" s="623"/>
      <c r="DP47" s="623"/>
      <c r="DQ47" s="623"/>
      <c r="DR47" s="623"/>
      <c r="DS47" s="623"/>
      <c r="DT47" s="623"/>
      <c r="DU47" s="623"/>
      <c r="DV47" s="1675"/>
    </row>
    <row r="48" spans="1:256" ht="13.8" hidden="1">
      <c r="A48" s="1676"/>
      <c r="B48" s="550"/>
      <c r="C48" s="550"/>
      <c r="D48" s="550"/>
      <c r="E48" s="550"/>
      <c r="F48" s="550"/>
      <c r="G48" s="550"/>
      <c r="H48" s="550"/>
      <c r="I48" s="550"/>
      <c r="J48" s="550"/>
      <c r="K48" s="550"/>
      <c r="L48" s="550"/>
      <c r="M48" s="550"/>
      <c r="N48" s="550"/>
      <c r="O48" s="439"/>
      <c r="P48" s="439"/>
      <c r="Q48" s="674"/>
      <c r="R48" s="671"/>
      <c r="S48" s="671"/>
      <c r="T48" s="671"/>
      <c r="U48" s="671"/>
      <c r="V48" s="671"/>
      <c r="W48" s="671"/>
      <c r="X48" s="767"/>
      <c r="Y48" s="671"/>
      <c r="Z48" s="671"/>
      <c r="AA48" s="767"/>
      <c r="AB48" s="623"/>
      <c r="AC48" s="623"/>
      <c r="AD48" s="623"/>
      <c r="AE48" s="623"/>
      <c r="AF48" s="623"/>
      <c r="AG48" s="623"/>
      <c r="AH48" s="623"/>
      <c r="AI48" s="623"/>
      <c r="AJ48" s="623"/>
      <c r="AK48" s="623"/>
      <c r="AL48" s="623"/>
      <c r="AM48" s="623"/>
      <c r="AN48" s="623"/>
      <c r="AO48" s="623"/>
      <c r="AP48" s="623"/>
      <c r="AQ48" s="623"/>
      <c r="AR48" s="623"/>
      <c r="AS48" s="623"/>
      <c r="AT48" s="623"/>
      <c r="AU48" s="623"/>
      <c r="AV48" s="623"/>
      <c r="AW48" s="623"/>
      <c r="AX48" s="623"/>
      <c r="AY48" s="623"/>
      <c r="AZ48" s="623"/>
      <c r="BA48" s="623"/>
      <c r="BB48" s="623"/>
      <c r="BC48" s="623"/>
      <c r="BD48" s="623"/>
      <c r="BE48" s="623"/>
      <c r="BF48" s="623"/>
      <c r="BG48" s="623"/>
      <c r="BH48" s="623"/>
      <c r="BI48" s="623"/>
      <c r="BJ48" s="623"/>
      <c r="BK48" s="623"/>
      <c r="BL48" s="623"/>
      <c r="BM48" s="623"/>
      <c r="BN48" s="623"/>
      <c r="BO48" s="623"/>
      <c r="BP48" s="623"/>
      <c r="BQ48" s="623"/>
      <c r="BR48" s="623"/>
      <c r="BS48" s="623"/>
      <c r="BT48" s="623"/>
      <c r="BU48" s="623"/>
      <c r="BV48" s="623"/>
      <c r="BW48" s="623"/>
      <c r="BX48" s="623"/>
      <c r="BY48" s="623"/>
      <c r="BZ48" s="623"/>
      <c r="CA48" s="623"/>
      <c r="CB48" s="1669"/>
      <c r="CC48" s="1669"/>
      <c r="CD48" s="1669"/>
      <c r="CE48" s="1669"/>
      <c r="CF48" s="1669"/>
      <c r="CG48" s="1669"/>
      <c r="CH48" s="1669"/>
      <c r="CI48" s="1669"/>
      <c r="CJ48" s="1669"/>
      <c r="CK48" s="1669"/>
      <c r="CL48" s="1669"/>
      <c r="CM48" s="1669"/>
      <c r="CN48" s="1669"/>
      <c r="CO48" s="1669"/>
      <c r="CP48" s="1669"/>
      <c r="CQ48" s="1669"/>
      <c r="CR48" s="1669"/>
      <c r="CS48" s="1669"/>
      <c r="CT48" s="1669"/>
      <c r="CU48" s="1669"/>
      <c r="CV48" s="1669"/>
      <c r="CW48" s="1669"/>
      <c r="CX48" s="1669"/>
      <c r="CY48" s="817"/>
      <c r="CZ48" s="1669"/>
      <c r="DA48" s="1669"/>
      <c r="DB48" s="1669"/>
      <c r="DC48" s="767"/>
      <c r="DD48" s="1669"/>
      <c r="DE48" s="1669"/>
      <c r="DF48" s="1669"/>
      <c r="DG48" s="1669"/>
      <c r="DH48" s="1669"/>
      <c r="DI48" s="1669"/>
      <c r="DJ48" s="1669"/>
      <c r="DK48" s="1669"/>
      <c r="DL48" s="1669"/>
      <c r="DM48" s="1669"/>
      <c r="DN48" s="1669"/>
      <c r="DO48" s="767"/>
      <c r="DP48" s="1669"/>
      <c r="DQ48" s="1669"/>
      <c r="DR48" s="623"/>
      <c r="DS48" s="623"/>
      <c r="DT48" s="623"/>
      <c r="DU48" s="623"/>
      <c r="DV48" s="1675"/>
    </row>
    <row r="49" spans="1:256" ht="13.8" hidden="1">
      <c r="A49" s="1676"/>
      <c r="B49" s="550"/>
      <c r="C49" s="550"/>
      <c r="D49" s="550"/>
      <c r="E49" s="550"/>
      <c r="F49" s="550"/>
      <c r="G49" s="550"/>
      <c r="H49" s="550"/>
      <c r="I49" s="550"/>
      <c r="J49" s="550"/>
      <c r="K49" s="550"/>
      <c r="L49" s="550"/>
      <c r="M49" s="550"/>
      <c r="N49" s="550"/>
      <c r="O49" s="439"/>
      <c r="P49" s="439"/>
      <c r="Q49" s="674"/>
      <c r="R49" s="671"/>
      <c r="S49" s="671"/>
      <c r="T49" s="671"/>
      <c r="U49" s="671"/>
      <c r="V49" s="671"/>
      <c r="W49" s="671"/>
      <c r="X49" s="767"/>
      <c r="Y49" s="671"/>
      <c r="Z49" s="671"/>
      <c r="AA49" s="767"/>
      <c r="AB49" s="623"/>
      <c r="AC49" s="623"/>
      <c r="AD49" s="623"/>
      <c r="AE49" s="623"/>
      <c r="AF49" s="623"/>
      <c r="AG49" s="623"/>
      <c r="AH49" s="623"/>
      <c r="AI49" s="623"/>
      <c r="AJ49" s="623"/>
      <c r="AK49" s="623"/>
      <c r="AL49" s="623"/>
      <c r="AM49" s="623"/>
      <c r="AN49" s="623"/>
      <c r="AO49" s="623"/>
      <c r="AP49" s="623"/>
      <c r="AQ49" s="623"/>
      <c r="AR49" s="623"/>
      <c r="AS49" s="623"/>
      <c r="AT49" s="623"/>
      <c r="AU49" s="623"/>
      <c r="AV49" s="623"/>
      <c r="AW49" s="623"/>
      <c r="AX49" s="623"/>
      <c r="AY49" s="623"/>
      <c r="AZ49" s="623"/>
      <c r="BA49" s="623"/>
      <c r="BB49" s="623"/>
      <c r="BC49" s="623"/>
      <c r="BD49" s="623"/>
      <c r="BE49" s="623"/>
      <c r="BF49" s="623"/>
      <c r="BG49" s="623"/>
      <c r="BH49" s="623"/>
      <c r="BI49" s="623"/>
      <c r="BJ49" s="623"/>
      <c r="BK49" s="623"/>
      <c r="BL49" s="623"/>
      <c r="BM49" s="623"/>
      <c r="BN49" s="623"/>
      <c r="BO49" s="623"/>
      <c r="BP49" s="623"/>
      <c r="BQ49" s="623"/>
      <c r="BR49" s="623"/>
      <c r="BS49" s="623"/>
      <c r="BT49" s="623"/>
      <c r="BU49" s="623"/>
      <c r="BV49" s="623"/>
      <c r="BW49" s="623"/>
      <c r="BX49" s="623"/>
      <c r="BY49" s="623"/>
      <c r="BZ49" s="623"/>
      <c r="CA49" s="623"/>
      <c r="CB49" s="1669"/>
      <c r="CC49" s="1669"/>
      <c r="CD49" s="1669"/>
      <c r="CE49" s="1669"/>
      <c r="CF49" s="1669"/>
      <c r="CG49" s="1669"/>
      <c r="CH49" s="1669"/>
      <c r="CI49" s="1669"/>
      <c r="CJ49" s="1669"/>
      <c r="CK49" s="1669"/>
      <c r="CL49" s="1669"/>
      <c r="CM49" s="1669"/>
      <c r="CN49" s="1669"/>
      <c r="CO49" s="1669"/>
      <c r="CP49" s="1669"/>
      <c r="CQ49" s="1669"/>
      <c r="CR49" s="1669"/>
      <c r="CS49" s="1669"/>
      <c r="CT49" s="1669"/>
      <c r="CU49" s="1669"/>
      <c r="CV49" s="1669"/>
      <c r="CW49" s="1669"/>
      <c r="CX49" s="1669"/>
      <c r="CY49" s="817"/>
      <c r="CZ49" s="1669"/>
      <c r="DA49" s="1669"/>
      <c r="DB49" s="1669"/>
      <c r="DC49" s="767"/>
      <c r="DD49" s="1669"/>
      <c r="DE49" s="1669"/>
      <c r="DF49" s="1669"/>
      <c r="DG49" s="1669"/>
      <c r="DH49" s="1669"/>
      <c r="DI49" s="1669"/>
      <c r="DJ49" s="1669"/>
      <c r="DK49" s="1669"/>
      <c r="DL49" s="1669"/>
      <c r="DM49" s="1669"/>
      <c r="DN49" s="1669"/>
      <c r="DO49" s="767"/>
      <c r="DP49" s="1669"/>
      <c r="DQ49" s="1669"/>
      <c r="DR49" s="623"/>
      <c r="DS49" s="623"/>
      <c r="DT49" s="623"/>
      <c r="DU49" s="623"/>
      <c r="DV49" s="1675"/>
    </row>
    <row r="50" spans="1:256" ht="13.8" hidden="1">
      <c r="A50" s="1676"/>
      <c r="B50" s="550"/>
      <c r="C50" s="550"/>
      <c r="D50" s="550"/>
      <c r="E50" s="550"/>
      <c r="F50" s="550"/>
      <c r="G50" s="550"/>
      <c r="H50" s="550"/>
      <c r="I50" s="550"/>
      <c r="J50" s="550"/>
      <c r="K50" s="550"/>
      <c r="L50" s="550"/>
      <c r="M50" s="550"/>
      <c r="N50" s="550"/>
      <c r="O50" s="439"/>
      <c r="P50" s="439"/>
      <c r="Q50" s="674"/>
      <c r="R50" s="671"/>
      <c r="S50" s="671"/>
      <c r="T50" s="671"/>
      <c r="U50" s="671"/>
      <c r="V50" s="671"/>
      <c r="W50" s="671"/>
      <c r="X50" s="767"/>
      <c r="Y50" s="671"/>
      <c r="Z50" s="671"/>
      <c r="AA50" s="767"/>
      <c r="AB50" s="623"/>
      <c r="AC50" s="623"/>
      <c r="AD50" s="623"/>
      <c r="AE50" s="623"/>
      <c r="AF50" s="623"/>
      <c r="AG50" s="623"/>
      <c r="AH50" s="623"/>
      <c r="AI50" s="623"/>
      <c r="AJ50" s="623"/>
      <c r="AK50" s="623"/>
      <c r="AL50" s="623"/>
      <c r="AM50" s="623"/>
      <c r="AN50" s="623"/>
      <c r="AO50" s="623"/>
      <c r="AP50" s="623"/>
      <c r="AQ50" s="623"/>
      <c r="AR50" s="623"/>
      <c r="AS50" s="623"/>
      <c r="AT50" s="623"/>
      <c r="AU50" s="623"/>
      <c r="AV50" s="623"/>
      <c r="AW50" s="623"/>
      <c r="AX50" s="623"/>
      <c r="AY50" s="623"/>
      <c r="AZ50" s="623"/>
      <c r="BA50" s="623"/>
      <c r="BB50" s="623"/>
      <c r="BC50" s="623"/>
      <c r="BD50" s="623"/>
      <c r="BE50" s="623"/>
      <c r="BF50" s="623"/>
      <c r="BG50" s="623"/>
      <c r="BH50" s="623"/>
      <c r="BI50" s="623"/>
      <c r="BJ50" s="623"/>
      <c r="BK50" s="623"/>
      <c r="BL50" s="623"/>
      <c r="BM50" s="623"/>
      <c r="BN50" s="623"/>
      <c r="BO50" s="623"/>
      <c r="BP50" s="623"/>
      <c r="BQ50" s="623"/>
      <c r="BR50" s="623"/>
      <c r="BS50" s="623"/>
      <c r="BT50" s="623"/>
      <c r="BU50" s="623"/>
      <c r="BV50" s="623"/>
      <c r="BW50" s="623"/>
      <c r="BX50" s="623"/>
      <c r="BY50" s="623"/>
      <c r="BZ50" s="623"/>
      <c r="CA50" s="623"/>
      <c r="CB50" s="1669"/>
      <c r="CC50" s="1669"/>
      <c r="CD50" s="1669"/>
      <c r="CE50" s="1669"/>
      <c r="CF50" s="1669"/>
      <c r="CG50" s="1669"/>
      <c r="CH50" s="1669"/>
      <c r="CI50" s="1669"/>
      <c r="CJ50" s="1669"/>
      <c r="CK50" s="1669"/>
      <c r="CL50" s="1669"/>
      <c r="CM50" s="1669"/>
      <c r="CN50" s="1669"/>
      <c r="CO50" s="1669"/>
      <c r="CP50" s="1669"/>
      <c r="CQ50" s="1669"/>
      <c r="CR50" s="1669"/>
      <c r="CS50" s="1669"/>
      <c r="CT50" s="1669"/>
      <c r="CU50" s="1669"/>
      <c r="CV50" s="1669"/>
      <c r="CW50" s="1669"/>
      <c r="CX50" s="1669"/>
      <c r="CY50" s="817"/>
      <c r="CZ50" s="1669"/>
      <c r="DA50" s="1669"/>
      <c r="DB50" s="1669"/>
      <c r="DC50" s="767"/>
      <c r="DD50" s="1669"/>
      <c r="DE50" s="1669"/>
      <c r="DF50" s="1669"/>
      <c r="DG50" s="1669"/>
      <c r="DH50" s="1669"/>
      <c r="DI50" s="1669"/>
      <c r="DJ50" s="1669"/>
      <c r="DK50" s="1669"/>
      <c r="DL50" s="1669"/>
      <c r="DM50" s="1669"/>
      <c r="DN50" s="1669"/>
      <c r="DO50" s="767"/>
      <c r="DP50" s="1669"/>
      <c r="DQ50" s="1669"/>
      <c r="DR50" s="623"/>
      <c r="DS50" s="623"/>
      <c r="DT50" s="623"/>
      <c r="DU50" s="623"/>
      <c r="DV50" s="1675"/>
    </row>
    <row r="51" spans="1:256" ht="13.8" hidden="1">
      <c r="A51" s="1676"/>
      <c r="B51" s="550"/>
      <c r="C51" s="550"/>
      <c r="D51" s="550"/>
      <c r="E51" s="550"/>
      <c r="F51" s="550"/>
      <c r="G51" s="550"/>
      <c r="H51" s="550"/>
      <c r="I51" s="550"/>
      <c r="J51" s="550"/>
      <c r="K51" s="550"/>
      <c r="L51" s="550"/>
      <c r="M51" s="550"/>
      <c r="N51" s="550"/>
      <c r="O51" s="439"/>
      <c r="P51" s="439"/>
      <c r="Q51" s="674"/>
      <c r="R51" s="671"/>
      <c r="S51" s="671"/>
      <c r="T51" s="671"/>
      <c r="U51" s="671"/>
      <c r="V51" s="671"/>
      <c r="W51" s="671"/>
      <c r="X51" s="767"/>
      <c r="Y51" s="671"/>
      <c r="Z51" s="671"/>
      <c r="AA51" s="767"/>
      <c r="AB51" s="623"/>
      <c r="AC51" s="623"/>
      <c r="AD51" s="623"/>
      <c r="AE51" s="623"/>
      <c r="AF51" s="623"/>
      <c r="AG51" s="623"/>
      <c r="AH51" s="623"/>
      <c r="AI51" s="623"/>
      <c r="AJ51" s="623"/>
      <c r="AK51" s="623"/>
      <c r="AL51" s="623"/>
      <c r="AM51" s="623"/>
      <c r="AN51" s="623"/>
      <c r="AO51" s="623"/>
      <c r="AP51" s="623"/>
      <c r="AQ51" s="623"/>
      <c r="AR51" s="623"/>
      <c r="AS51" s="623"/>
      <c r="AT51" s="623"/>
      <c r="AU51" s="623"/>
      <c r="AV51" s="623"/>
      <c r="AW51" s="623"/>
      <c r="AX51" s="623"/>
      <c r="AY51" s="623"/>
      <c r="AZ51" s="623"/>
      <c r="BA51" s="623"/>
      <c r="BB51" s="623"/>
      <c r="BC51" s="623"/>
      <c r="BD51" s="623"/>
      <c r="BE51" s="623"/>
      <c r="BF51" s="623"/>
      <c r="BG51" s="623"/>
      <c r="BH51" s="623"/>
      <c r="BI51" s="623"/>
      <c r="BJ51" s="623"/>
      <c r="BK51" s="623"/>
      <c r="BL51" s="623"/>
      <c r="BM51" s="623"/>
      <c r="BN51" s="623"/>
      <c r="BO51" s="623"/>
      <c r="BP51" s="623"/>
      <c r="BQ51" s="623"/>
      <c r="BR51" s="623"/>
      <c r="BS51" s="623"/>
      <c r="BT51" s="623"/>
      <c r="BU51" s="623"/>
      <c r="BV51" s="623"/>
      <c r="BW51" s="623"/>
      <c r="BX51" s="623"/>
      <c r="BY51" s="623"/>
      <c r="BZ51" s="623"/>
      <c r="CA51" s="623"/>
      <c r="CB51" s="1669"/>
      <c r="CC51" s="1669"/>
      <c r="CD51" s="1669"/>
      <c r="CE51" s="1669"/>
      <c r="CF51" s="1669"/>
      <c r="CG51" s="1669"/>
      <c r="CH51" s="1669"/>
      <c r="CI51" s="1669"/>
      <c r="CJ51" s="1669"/>
      <c r="CK51" s="1669"/>
      <c r="CL51" s="1669"/>
      <c r="CM51" s="1669"/>
      <c r="CN51" s="1669"/>
      <c r="CO51" s="1669"/>
      <c r="CP51" s="1669"/>
      <c r="CQ51" s="1669"/>
      <c r="CR51" s="1669"/>
      <c r="CS51" s="1669"/>
      <c r="CT51" s="1669"/>
      <c r="CU51" s="1669"/>
      <c r="CV51" s="1669"/>
      <c r="CW51" s="1669"/>
      <c r="CX51" s="1669"/>
      <c r="CY51" s="817"/>
      <c r="CZ51" s="1669"/>
      <c r="DA51" s="1669"/>
      <c r="DB51" s="1669"/>
      <c r="DC51" s="767"/>
      <c r="DD51" s="1669"/>
      <c r="DE51" s="1669"/>
      <c r="DF51" s="1669"/>
      <c r="DG51" s="1669"/>
      <c r="DH51" s="1669"/>
      <c r="DI51" s="1669"/>
      <c r="DJ51" s="1669"/>
      <c r="DK51" s="1669"/>
      <c r="DL51" s="1669"/>
      <c r="DM51" s="1669"/>
      <c r="DN51" s="1669"/>
      <c r="DO51" s="767"/>
      <c r="DP51" s="1669"/>
      <c r="DQ51" s="1669"/>
      <c r="DR51" s="623"/>
      <c r="DS51" s="623"/>
      <c r="DT51" s="623"/>
      <c r="DU51" s="623"/>
      <c r="DV51" s="1675"/>
    </row>
    <row r="52" spans="1:256" ht="13.8" hidden="1">
      <c r="A52" s="1676"/>
      <c r="B52" s="550"/>
      <c r="C52" s="550"/>
      <c r="D52" s="550"/>
      <c r="E52" s="550"/>
      <c r="F52" s="550"/>
      <c r="G52" s="550"/>
      <c r="H52" s="550"/>
      <c r="I52" s="550"/>
      <c r="J52" s="550"/>
      <c r="K52" s="550"/>
      <c r="L52" s="550"/>
      <c r="M52" s="550"/>
      <c r="N52" s="550"/>
      <c r="O52" s="439"/>
      <c r="P52" s="439"/>
      <c r="Q52" s="674"/>
      <c r="R52" s="671"/>
      <c r="S52" s="671"/>
      <c r="T52" s="671"/>
      <c r="U52" s="671"/>
      <c r="V52" s="671"/>
      <c r="W52" s="671"/>
      <c r="X52" s="767"/>
      <c r="Y52" s="671"/>
      <c r="Z52" s="671"/>
      <c r="AA52" s="767"/>
      <c r="AB52" s="623"/>
      <c r="AC52" s="623"/>
      <c r="AD52" s="623"/>
      <c r="AE52" s="623"/>
      <c r="AF52" s="623"/>
      <c r="AG52" s="623"/>
      <c r="AH52" s="623"/>
      <c r="AI52" s="623"/>
      <c r="AJ52" s="623"/>
      <c r="AK52" s="623"/>
      <c r="AL52" s="623"/>
      <c r="AM52" s="623"/>
      <c r="AN52" s="623"/>
      <c r="AO52" s="623"/>
      <c r="AP52" s="623"/>
      <c r="AQ52" s="623"/>
      <c r="AR52" s="623"/>
      <c r="AS52" s="623"/>
      <c r="AT52" s="623"/>
      <c r="AU52" s="623"/>
      <c r="AV52" s="623"/>
      <c r="AW52" s="623"/>
      <c r="AX52" s="623"/>
      <c r="AY52" s="623"/>
      <c r="AZ52" s="623"/>
      <c r="BA52" s="623"/>
      <c r="BB52" s="623"/>
      <c r="BC52" s="623"/>
      <c r="BD52" s="623"/>
      <c r="BE52" s="623"/>
      <c r="BF52" s="623"/>
      <c r="BG52" s="623"/>
      <c r="BH52" s="623"/>
      <c r="BI52" s="623"/>
      <c r="BJ52" s="623"/>
      <c r="BK52" s="623"/>
      <c r="BL52" s="623"/>
      <c r="BM52" s="623"/>
      <c r="BN52" s="623"/>
      <c r="BO52" s="623"/>
      <c r="BP52" s="623"/>
      <c r="BQ52" s="623"/>
      <c r="BR52" s="623"/>
      <c r="BS52" s="623"/>
      <c r="BT52" s="623"/>
      <c r="BU52" s="623"/>
      <c r="BV52" s="623"/>
      <c r="BW52" s="623"/>
      <c r="BX52" s="623"/>
      <c r="BY52" s="623"/>
      <c r="BZ52" s="623"/>
      <c r="CA52" s="623"/>
      <c r="CB52" s="1669"/>
      <c r="CC52" s="1669"/>
      <c r="CD52" s="1669"/>
      <c r="CE52" s="1669"/>
      <c r="CF52" s="1669"/>
      <c r="CG52" s="1669"/>
      <c r="CH52" s="1669"/>
      <c r="CI52" s="1669"/>
      <c r="CJ52" s="1669"/>
      <c r="CK52" s="1669"/>
      <c r="CL52" s="1669"/>
      <c r="CM52" s="1669"/>
      <c r="CN52" s="1669"/>
      <c r="CO52" s="1669"/>
      <c r="CP52" s="1669"/>
      <c r="CQ52" s="1669"/>
      <c r="CR52" s="1669"/>
      <c r="CS52" s="1669"/>
      <c r="CT52" s="1669"/>
      <c r="CU52" s="1669"/>
      <c r="CV52" s="1669"/>
      <c r="CW52" s="1669"/>
      <c r="CX52" s="1669"/>
      <c r="CY52" s="817"/>
      <c r="CZ52" s="1669"/>
      <c r="DA52" s="1669"/>
      <c r="DB52" s="1669"/>
      <c r="DC52" s="767"/>
      <c r="DD52" s="1669"/>
      <c r="DE52" s="1669"/>
      <c r="DF52" s="1669"/>
      <c r="DG52" s="1669"/>
      <c r="DH52" s="1669"/>
      <c r="DI52" s="1669"/>
      <c r="DJ52" s="1669"/>
      <c r="DK52" s="1669"/>
      <c r="DL52" s="1669"/>
      <c r="DM52" s="1669"/>
      <c r="DN52" s="1669"/>
      <c r="DO52" s="767"/>
      <c r="DP52" s="1669"/>
      <c r="DQ52" s="1669"/>
      <c r="DR52" s="623"/>
      <c r="DS52" s="623"/>
      <c r="DT52" s="623"/>
      <c r="DU52" s="623"/>
      <c r="DV52" s="1675"/>
    </row>
    <row r="53" spans="1:256" ht="13.8" hidden="1">
      <c r="A53" s="1676"/>
      <c r="B53" s="550"/>
      <c r="C53" s="550"/>
      <c r="D53" s="550"/>
      <c r="E53" s="550"/>
      <c r="F53" s="550"/>
      <c r="G53" s="550"/>
      <c r="H53" s="550"/>
      <c r="I53" s="550"/>
      <c r="J53" s="550"/>
      <c r="K53" s="550"/>
      <c r="L53" s="550"/>
      <c r="M53" s="550"/>
      <c r="N53" s="550"/>
      <c r="O53" s="439"/>
      <c r="P53" s="439"/>
      <c r="Q53" s="674"/>
      <c r="R53" s="671"/>
      <c r="S53" s="671"/>
      <c r="T53" s="671"/>
      <c r="U53" s="671"/>
      <c r="V53" s="671"/>
      <c r="W53" s="671"/>
      <c r="X53" s="767"/>
      <c r="Y53" s="671"/>
      <c r="Z53" s="671"/>
      <c r="AA53" s="767"/>
      <c r="AB53" s="623"/>
      <c r="AC53" s="623"/>
      <c r="AD53" s="623"/>
      <c r="AE53" s="623"/>
      <c r="AF53" s="623"/>
      <c r="AG53" s="623"/>
      <c r="AH53" s="623"/>
      <c r="AI53" s="623"/>
      <c r="AJ53" s="623"/>
      <c r="AK53" s="623"/>
      <c r="AL53" s="623"/>
      <c r="AM53" s="623"/>
      <c r="AN53" s="623"/>
      <c r="AO53" s="623"/>
      <c r="AP53" s="623"/>
      <c r="AQ53" s="623"/>
      <c r="AR53" s="623"/>
      <c r="AS53" s="623"/>
      <c r="AT53" s="623"/>
      <c r="AU53" s="623"/>
      <c r="AV53" s="623"/>
      <c r="AW53" s="623"/>
      <c r="AX53" s="623"/>
      <c r="AY53" s="623"/>
      <c r="AZ53" s="623"/>
      <c r="BA53" s="623"/>
      <c r="BB53" s="623"/>
      <c r="BC53" s="623"/>
      <c r="BD53" s="623"/>
      <c r="BE53" s="623"/>
      <c r="BF53" s="623"/>
      <c r="BG53" s="623"/>
      <c r="BH53" s="623"/>
      <c r="BI53" s="623"/>
      <c r="BJ53" s="623"/>
      <c r="BK53" s="623"/>
      <c r="BL53" s="623"/>
      <c r="BM53" s="623"/>
      <c r="BN53" s="623"/>
      <c r="BO53" s="623"/>
      <c r="BP53" s="623"/>
      <c r="BQ53" s="623"/>
      <c r="BR53" s="623"/>
      <c r="BS53" s="623"/>
      <c r="BT53" s="623"/>
      <c r="BU53" s="623"/>
      <c r="BV53" s="623"/>
      <c r="BW53" s="623"/>
      <c r="BX53" s="623"/>
      <c r="BY53" s="623"/>
      <c r="BZ53" s="623"/>
      <c r="CA53" s="623"/>
      <c r="CB53" s="623"/>
      <c r="CC53" s="623"/>
      <c r="CD53" s="623"/>
      <c r="CE53" s="1669"/>
      <c r="CF53" s="623"/>
      <c r="CG53" s="623"/>
      <c r="CH53" s="623"/>
      <c r="CI53" s="623"/>
      <c r="CJ53" s="623"/>
      <c r="CK53" s="623"/>
      <c r="CL53" s="623"/>
      <c r="CM53" s="623"/>
      <c r="CN53" s="623"/>
      <c r="CO53" s="623"/>
      <c r="CP53" s="623"/>
      <c r="CQ53" s="623"/>
      <c r="CR53" s="623"/>
      <c r="CS53" s="623"/>
      <c r="CT53" s="623"/>
      <c r="CU53" s="623"/>
      <c r="CV53" s="623"/>
      <c r="CW53" s="623"/>
      <c r="CX53" s="1669"/>
      <c r="CY53" s="817"/>
      <c r="CZ53" s="623"/>
      <c r="DA53" s="623"/>
      <c r="DB53" s="623"/>
      <c r="DC53" s="623"/>
      <c r="DD53" s="623"/>
      <c r="DE53" s="623"/>
      <c r="DF53" s="623"/>
      <c r="DG53" s="623"/>
      <c r="DH53" s="623"/>
      <c r="DI53" s="623"/>
      <c r="DJ53" s="623"/>
      <c r="DK53" s="623"/>
      <c r="DL53" s="623"/>
      <c r="DM53" s="623"/>
      <c r="DN53" s="623"/>
      <c r="DO53" s="623"/>
      <c r="DP53" s="623"/>
      <c r="DQ53" s="623"/>
      <c r="DR53" s="623"/>
      <c r="DS53" s="623"/>
      <c r="DT53" s="623"/>
      <c r="DU53" s="623"/>
      <c r="DV53" s="1675"/>
    </row>
    <row r="54" spans="1:256" ht="13.8" hidden="1">
      <c r="A54" s="1676"/>
      <c r="B54" s="550"/>
      <c r="C54" s="550"/>
      <c r="D54" s="550"/>
      <c r="E54" s="550"/>
      <c r="F54" s="550"/>
      <c r="G54" s="550"/>
      <c r="H54" s="550"/>
      <c r="I54" s="550"/>
      <c r="J54" s="550"/>
      <c r="K54" s="550"/>
      <c r="L54" s="550"/>
      <c r="M54" s="550"/>
      <c r="N54" s="550"/>
      <c r="O54" s="439"/>
      <c r="P54" s="439"/>
      <c r="Q54" s="674"/>
      <c r="R54" s="671"/>
      <c r="S54" s="671"/>
      <c r="T54" s="671"/>
      <c r="U54" s="671"/>
      <c r="V54" s="671"/>
      <c r="W54" s="671"/>
      <c r="X54" s="767"/>
      <c r="Y54" s="671"/>
      <c r="Z54" s="671"/>
      <c r="AA54" s="767"/>
      <c r="AB54" s="623"/>
      <c r="AC54" s="623"/>
      <c r="AD54" s="623"/>
      <c r="AE54" s="623"/>
      <c r="AF54" s="623"/>
      <c r="AG54" s="623"/>
      <c r="AH54" s="623"/>
      <c r="AI54" s="623"/>
      <c r="AJ54" s="623"/>
      <c r="AK54" s="623"/>
      <c r="AL54" s="623"/>
      <c r="AM54" s="623"/>
      <c r="AN54" s="623"/>
      <c r="AO54" s="623"/>
      <c r="AP54" s="623"/>
      <c r="AQ54" s="623"/>
      <c r="AR54" s="623"/>
      <c r="AS54" s="623"/>
      <c r="AT54" s="623"/>
      <c r="AU54" s="623"/>
      <c r="AV54" s="623"/>
      <c r="AW54" s="623"/>
      <c r="AX54" s="623"/>
      <c r="AY54" s="623"/>
      <c r="AZ54" s="623"/>
      <c r="BA54" s="623"/>
      <c r="BB54" s="623"/>
      <c r="BC54" s="623"/>
      <c r="BD54" s="623"/>
      <c r="BE54" s="623"/>
      <c r="BF54" s="623"/>
      <c r="BG54" s="623"/>
      <c r="BH54" s="623"/>
      <c r="BI54" s="623"/>
      <c r="BJ54" s="623"/>
      <c r="BK54" s="623"/>
      <c r="BL54" s="623"/>
      <c r="BM54" s="623"/>
      <c r="BN54" s="623"/>
      <c r="BO54" s="623"/>
      <c r="BP54" s="623"/>
      <c r="BQ54" s="623"/>
      <c r="BR54" s="623"/>
      <c r="BS54" s="623"/>
      <c r="BT54" s="623"/>
      <c r="BU54" s="623"/>
      <c r="BV54" s="623"/>
      <c r="BW54" s="623"/>
      <c r="BX54" s="623"/>
      <c r="BY54" s="623"/>
      <c r="BZ54" s="623"/>
      <c r="CA54" s="623"/>
      <c r="CB54" s="1669"/>
      <c r="CC54" s="1669"/>
      <c r="CD54" s="1669"/>
      <c r="CE54" s="1669"/>
      <c r="CF54" s="1669"/>
      <c r="CG54" s="1669"/>
      <c r="CH54" s="1669"/>
      <c r="CI54" s="1669"/>
      <c r="CJ54" s="1669"/>
      <c r="CK54" s="1669"/>
      <c r="CL54" s="1669"/>
      <c r="CM54" s="1669"/>
      <c r="CN54" s="1669"/>
      <c r="CO54" s="1669"/>
      <c r="CP54" s="1669"/>
      <c r="CQ54" s="1669"/>
      <c r="CR54" s="1669"/>
      <c r="CS54" s="1669"/>
      <c r="CT54" s="1669"/>
      <c r="CU54" s="1669"/>
      <c r="CV54" s="1669"/>
      <c r="CW54" s="1669"/>
      <c r="CX54" s="1669"/>
      <c r="CY54" s="817"/>
      <c r="CZ54" s="1669"/>
      <c r="DA54" s="1669"/>
      <c r="DB54" s="1669"/>
      <c r="DC54" s="767"/>
      <c r="DD54" s="1669"/>
      <c r="DE54" s="1669"/>
      <c r="DF54" s="1669"/>
      <c r="DG54" s="1669"/>
      <c r="DH54" s="1669"/>
      <c r="DI54" s="1669"/>
      <c r="DJ54" s="1669"/>
      <c r="DK54" s="1669"/>
      <c r="DL54" s="1669"/>
      <c r="DM54" s="1669"/>
      <c r="DN54" s="1669"/>
      <c r="DO54" s="767"/>
      <c r="DP54" s="1669"/>
      <c r="DQ54" s="1669"/>
      <c r="DR54" s="623"/>
      <c r="DS54" s="623"/>
      <c r="DT54" s="623"/>
      <c r="DU54" s="623"/>
      <c r="DV54" s="1675"/>
    </row>
    <row r="55" spans="1:256" ht="13.8" hidden="1">
      <c r="A55" s="1676"/>
      <c r="B55" s="550"/>
      <c r="C55" s="550"/>
      <c r="D55" s="550"/>
      <c r="E55" s="550"/>
      <c r="F55" s="550"/>
      <c r="G55" s="550"/>
      <c r="H55" s="550"/>
      <c r="I55" s="550"/>
      <c r="J55" s="550"/>
      <c r="K55" s="550"/>
      <c r="L55" s="550"/>
      <c r="M55" s="550"/>
      <c r="N55" s="550"/>
      <c r="O55" s="439"/>
      <c r="P55" s="439"/>
      <c r="Q55" s="674"/>
      <c r="R55" s="671"/>
      <c r="S55" s="671"/>
      <c r="T55" s="671"/>
      <c r="U55" s="671"/>
      <c r="V55" s="671"/>
      <c r="W55" s="671"/>
      <c r="X55" s="767"/>
      <c r="Y55" s="671"/>
      <c r="Z55" s="671"/>
      <c r="AA55" s="767"/>
      <c r="AB55" s="623"/>
      <c r="AC55" s="623"/>
      <c r="AD55" s="623"/>
      <c r="AE55" s="623"/>
      <c r="AF55" s="623"/>
      <c r="AG55" s="623"/>
      <c r="AH55" s="623"/>
      <c r="AI55" s="623"/>
      <c r="AJ55" s="623"/>
      <c r="AK55" s="623"/>
      <c r="AL55" s="623"/>
      <c r="AM55" s="623"/>
      <c r="AN55" s="623"/>
      <c r="AO55" s="623"/>
      <c r="AP55" s="623"/>
      <c r="AQ55" s="623"/>
      <c r="AR55" s="623"/>
      <c r="AS55" s="623"/>
      <c r="AT55" s="623"/>
      <c r="AU55" s="623"/>
      <c r="AV55" s="623"/>
      <c r="AW55" s="623"/>
      <c r="AX55" s="623"/>
      <c r="AY55" s="623"/>
      <c r="AZ55" s="623"/>
      <c r="BA55" s="623"/>
      <c r="BB55" s="623"/>
      <c r="BC55" s="623"/>
      <c r="BD55" s="623"/>
      <c r="BE55" s="623"/>
      <c r="BF55" s="623"/>
      <c r="BG55" s="623"/>
      <c r="BH55" s="623"/>
      <c r="BI55" s="623"/>
      <c r="BJ55" s="623"/>
      <c r="BK55" s="623"/>
      <c r="BL55" s="623"/>
      <c r="BM55" s="623"/>
      <c r="BN55" s="623"/>
      <c r="BO55" s="623"/>
      <c r="BP55" s="623"/>
      <c r="BQ55" s="623"/>
      <c r="BR55" s="623"/>
      <c r="BS55" s="623"/>
      <c r="BT55" s="623"/>
      <c r="BU55" s="623"/>
      <c r="BV55" s="623"/>
      <c r="BW55" s="623"/>
      <c r="BX55" s="623"/>
      <c r="BY55" s="623"/>
      <c r="BZ55" s="623"/>
      <c r="CA55" s="623"/>
      <c r="CB55" s="1669"/>
      <c r="CC55" s="1669"/>
      <c r="CD55" s="1669"/>
      <c r="CE55" s="1669"/>
      <c r="CF55" s="1669"/>
      <c r="CG55" s="1669"/>
      <c r="CH55" s="1669"/>
      <c r="CI55" s="1669"/>
      <c r="CJ55" s="1669"/>
      <c r="CK55" s="1669"/>
      <c r="CL55" s="1669"/>
      <c r="CM55" s="1669"/>
      <c r="CN55" s="1669"/>
      <c r="CO55" s="1669"/>
      <c r="CP55" s="1669"/>
      <c r="CQ55" s="1669"/>
      <c r="CR55" s="1669"/>
      <c r="CS55" s="1669"/>
      <c r="CT55" s="1669"/>
      <c r="CU55" s="1669"/>
      <c r="CV55" s="1669"/>
      <c r="CW55" s="1669"/>
      <c r="CX55" s="1669"/>
      <c r="CY55" s="817"/>
      <c r="CZ55" s="1669"/>
      <c r="DA55" s="1669"/>
      <c r="DB55" s="1669"/>
      <c r="DC55" s="767"/>
      <c r="DD55" s="1669"/>
      <c r="DE55" s="1669"/>
      <c r="DF55" s="1669"/>
      <c r="DG55" s="1669"/>
      <c r="DH55" s="1669"/>
      <c r="DI55" s="1669"/>
      <c r="DJ55" s="1669"/>
      <c r="DK55" s="1669"/>
      <c r="DL55" s="1669"/>
      <c r="DM55" s="1669"/>
      <c r="DN55" s="1669"/>
      <c r="DO55" s="767"/>
      <c r="DP55" s="1669"/>
      <c r="DQ55" s="1669"/>
      <c r="DR55" s="623"/>
      <c r="DS55" s="623"/>
      <c r="DT55" s="623"/>
      <c r="DU55" s="623"/>
      <c r="DV55" s="1675"/>
    </row>
    <row r="56" spans="1:256" ht="13.8" hidden="1">
      <c r="A56" s="1676"/>
      <c r="B56" s="550"/>
      <c r="C56" s="550"/>
      <c r="D56" s="550"/>
      <c r="E56" s="550"/>
      <c r="F56" s="550"/>
      <c r="G56" s="550"/>
      <c r="H56" s="550"/>
      <c r="I56" s="550"/>
      <c r="J56" s="550"/>
      <c r="K56" s="550"/>
      <c r="L56" s="550"/>
      <c r="M56" s="550"/>
      <c r="N56" s="550"/>
      <c r="O56" s="439"/>
      <c r="P56" s="439"/>
      <c r="Q56" s="674"/>
      <c r="R56" s="671"/>
      <c r="S56" s="671"/>
      <c r="T56" s="671"/>
      <c r="U56" s="671"/>
      <c r="V56" s="671"/>
      <c r="W56" s="671"/>
      <c r="X56" s="767"/>
      <c r="Y56" s="671"/>
      <c r="Z56" s="671"/>
      <c r="AA56" s="767"/>
      <c r="AB56" s="623"/>
      <c r="AC56" s="623"/>
      <c r="AD56" s="623"/>
      <c r="AE56" s="623"/>
      <c r="AF56" s="623"/>
      <c r="AG56" s="623"/>
      <c r="AH56" s="623"/>
      <c r="AI56" s="623"/>
      <c r="AJ56" s="623"/>
      <c r="AK56" s="623"/>
      <c r="AL56" s="623"/>
      <c r="AM56" s="623"/>
      <c r="AN56" s="623"/>
      <c r="AO56" s="623"/>
      <c r="AP56" s="623"/>
      <c r="AQ56" s="623"/>
      <c r="AR56" s="623"/>
      <c r="AS56" s="623"/>
      <c r="AT56" s="623"/>
      <c r="AU56" s="623"/>
      <c r="AV56" s="623"/>
      <c r="AW56" s="623"/>
      <c r="AX56" s="623"/>
      <c r="AY56" s="623"/>
      <c r="AZ56" s="623"/>
      <c r="BA56" s="623"/>
      <c r="BB56" s="623"/>
      <c r="BC56" s="623"/>
      <c r="BD56" s="623"/>
      <c r="BE56" s="623"/>
      <c r="BF56" s="623"/>
      <c r="BG56" s="623"/>
      <c r="BH56" s="623"/>
      <c r="BI56" s="623"/>
      <c r="BJ56" s="623"/>
      <c r="BK56" s="623"/>
      <c r="BL56" s="623"/>
      <c r="BM56" s="623"/>
      <c r="BN56" s="623"/>
      <c r="BO56" s="623"/>
      <c r="BP56" s="623"/>
      <c r="BQ56" s="623"/>
      <c r="BR56" s="623"/>
      <c r="BS56" s="623"/>
      <c r="BT56" s="623"/>
      <c r="BU56" s="623"/>
      <c r="BV56" s="623"/>
      <c r="BW56" s="623"/>
      <c r="BX56" s="623"/>
      <c r="BY56" s="623"/>
      <c r="BZ56" s="623"/>
      <c r="CA56" s="623"/>
      <c r="CB56" s="1669"/>
      <c r="CC56" s="1669"/>
      <c r="CD56" s="1669"/>
      <c r="CE56" s="1669"/>
      <c r="CF56" s="1669"/>
      <c r="CG56" s="1669"/>
      <c r="CH56" s="1669"/>
      <c r="CI56" s="1669"/>
      <c r="CJ56" s="1669"/>
      <c r="CK56" s="1669"/>
      <c r="CL56" s="1669"/>
      <c r="CM56" s="1669"/>
      <c r="CN56" s="1669"/>
      <c r="CO56" s="1669"/>
      <c r="CP56" s="1669"/>
      <c r="CQ56" s="1669"/>
      <c r="CR56" s="1669"/>
      <c r="CS56" s="1669"/>
      <c r="CT56" s="1669"/>
      <c r="CU56" s="1669"/>
      <c r="CV56" s="1669"/>
      <c r="CW56" s="1669"/>
      <c r="CX56" s="1669"/>
      <c r="CY56" s="817"/>
      <c r="CZ56" s="1669"/>
      <c r="DA56" s="1669"/>
      <c r="DB56" s="1669"/>
      <c r="DC56" s="767"/>
      <c r="DD56" s="1669"/>
      <c r="DE56" s="1669"/>
      <c r="DF56" s="1669"/>
      <c r="DG56" s="1669"/>
      <c r="DH56" s="1669"/>
      <c r="DI56" s="1669"/>
      <c r="DJ56" s="1669"/>
      <c r="DK56" s="1669"/>
      <c r="DL56" s="1669"/>
      <c r="DM56" s="1669"/>
      <c r="DN56" s="1669"/>
      <c r="DO56" s="767"/>
      <c r="DP56" s="1669"/>
      <c r="DQ56" s="1669"/>
      <c r="DR56" s="623"/>
      <c r="DS56" s="623"/>
      <c r="DT56" s="623"/>
      <c r="DU56" s="623"/>
      <c r="DV56" s="1675"/>
    </row>
    <row r="57" spans="1:256" s="678" customFormat="1" ht="13.8" hidden="1">
      <c r="A57" s="1676"/>
      <c r="B57" s="550"/>
      <c r="C57" s="550"/>
      <c r="D57" s="550"/>
      <c r="E57" s="550"/>
      <c r="F57" s="550"/>
      <c r="G57" s="550"/>
      <c r="H57" s="550"/>
      <c r="I57" s="550"/>
      <c r="J57" s="676"/>
      <c r="K57" s="550"/>
      <c r="L57" s="550"/>
      <c r="M57" s="550"/>
      <c r="N57" s="550"/>
      <c r="O57" s="439"/>
      <c r="P57" s="439"/>
      <c r="Q57" s="674"/>
      <c r="R57" s="671"/>
      <c r="S57" s="671"/>
      <c r="T57" s="671"/>
      <c r="U57" s="671"/>
      <c r="V57" s="671"/>
      <c r="W57" s="671"/>
      <c r="X57" s="767"/>
      <c r="Y57" s="671"/>
      <c r="Z57" s="671"/>
      <c r="AA57" s="767"/>
      <c r="AB57" s="623"/>
      <c r="AC57" s="623"/>
      <c r="AD57" s="623"/>
      <c r="AE57" s="623"/>
      <c r="AF57" s="623"/>
      <c r="AG57" s="623"/>
      <c r="AH57" s="623"/>
      <c r="AI57" s="623"/>
      <c r="AJ57" s="623"/>
      <c r="AK57" s="623"/>
      <c r="AL57" s="623"/>
      <c r="AM57" s="623"/>
      <c r="AN57" s="623"/>
      <c r="AO57" s="623"/>
      <c r="AP57" s="623"/>
      <c r="AQ57" s="623"/>
      <c r="AR57" s="623"/>
      <c r="AS57" s="623"/>
      <c r="AT57" s="623"/>
      <c r="AU57" s="623"/>
      <c r="AV57" s="623"/>
      <c r="AW57" s="623"/>
      <c r="AX57" s="623"/>
      <c r="AY57" s="623"/>
      <c r="AZ57" s="623"/>
      <c r="BA57" s="623"/>
      <c r="BB57" s="623"/>
      <c r="BC57" s="623"/>
      <c r="BD57" s="623"/>
      <c r="BE57" s="623"/>
      <c r="BF57" s="623"/>
      <c r="BG57" s="623"/>
      <c r="BH57" s="623"/>
      <c r="BI57" s="623"/>
      <c r="BJ57" s="623"/>
      <c r="BK57" s="623"/>
      <c r="BL57" s="623"/>
      <c r="BM57" s="623"/>
      <c r="BN57" s="623"/>
      <c r="BO57" s="623"/>
      <c r="BP57" s="623"/>
      <c r="BQ57" s="623"/>
      <c r="BR57" s="623"/>
      <c r="BS57" s="623"/>
      <c r="BT57" s="623"/>
      <c r="BU57" s="623"/>
      <c r="BV57" s="623"/>
      <c r="BW57" s="623"/>
      <c r="BX57" s="623"/>
      <c r="BY57" s="623"/>
      <c r="BZ57" s="623"/>
      <c r="CA57" s="623"/>
      <c r="CB57" s="1669"/>
      <c r="CC57" s="1669"/>
      <c r="CD57" s="1669"/>
      <c r="CE57" s="1669"/>
      <c r="CF57" s="1669"/>
      <c r="CG57" s="1669"/>
      <c r="CH57" s="1669"/>
      <c r="CI57" s="1669"/>
      <c r="CJ57" s="1669"/>
      <c r="CK57" s="1669"/>
      <c r="CL57" s="1669"/>
      <c r="CM57" s="1669"/>
      <c r="CN57" s="1669"/>
      <c r="CO57" s="1669"/>
      <c r="CP57" s="1669"/>
      <c r="CQ57" s="1669"/>
      <c r="CR57" s="1669"/>
      <c r="CS57" s="1669"/>
      <c r="CT57" s="1669"/>
      <c r="CU57" s="1669"/>
      <c r="CV57" s="1669"/>
      <c r="CW57" s="1669"/>
      <c r="CX57" s="1669"/>
      <c r="CY57" s="817"/>
      <c r="CZ57" s="1669"/>
      <c r="DA57" s="1669"/>
      <c r="DB57" s="1669"/>
      <c r="DC57" s="767"/>
      <c r="DD57" s="1669"/>
      <c r="DE57" s="1669"/>
      <c r="DF57" s="1669"/>
      <c r="DG57" s="1669"/>
      <c r="DH57" s="1669"/>
      <c r="DI57" s="1669"/>
      <c r="DJ57" s="1669"/>
      <c r="DK57" s="1669"/>
      <c r="DL57" s="1669"/>
      <c r="DM57" s="1669"/>
      <c r="DN57" s="1669"/>
      <c r="DO57" s="767"/>
      <c r="DP57" s="1669"/>
      <c r="DQ57" s="1669"/>
      <c r="DR57" s="623"/>
      <c r="DS57" s="623"/>
      <c r="DT57" s="623"/>
      <c r="DU57" s="623"/>
      <c r="DV57" s="1675"/>
      <c r="DW57" s="530"/>
      <c r="DX57" s="530"/>
      <c r="DY57" s="530"/>
      <c r="DZ57" s="530"/>
      <c r="EA57" s="530"/>
      <c r="EB57" s="530"/>
      <c r="EC57" s="530"/>
      <c r="ED57" s="530"/>
      <c r="EE57" s="530"/>
      <c r="EF57" s="530"/>
      <c r="EG57" s="530"/>
      <c r="EH57" s="530"/>
      <c r="EI57" s="530"/>
      <c r="EJ57" s="530"/>
      <c r="EK57" s="530"/>
      <c r="EL57" s="530"/>
      <c r="EM57" s="530"/>
      <c r="EN57" s="530"/>
      <c r="EO57" s="530"/>
      <c r="EP57" s="530"/>
      <c r="EQ57" s="530"/>
      <c r="ER57" s="530"/>
      <c r="ES57" s="530"/>
      <c r="ET57" s="530"/>
      <c r="EU57" s="530"/>
      <c r="EV57" s="530"/>
      <c r="EW57" s="530"/>
      <c r="EX57" s="530"/>
      <c r="EY57" s="530"/>
      <c r="EZ57" s="530"/>
      <c r="FA57" s="530"/>
      <c r="FB57" s="530"/>
      <c r="FC57" s="530"/>
      <c r="FD57" s="530"/>
      <c r="FE57" s="530"/>
      <c r="FF57" s="530"/>
      <c r="FG57" s="530"/>
      <c r="FH57" s="530"/>
      <c r="FI57" s="530"/>
      <c r="FJ57" s="530"/>
      <c r="FK57" s="530"/>
      <c r="FL57" s="530"/>
      <c r="FM57" s="530"/>
      <c r="FN57" s="530"/>
      <c r="FO57" s="530"/>
      <c r="FP57" s="530"/>
      <c r="FQ57" s="530"/>
      <c r="FR57" s="530"/>
      <c r="FS57" s="530"/>
      <c r="FT57" s="530"/>
      <c r="FU57" s="530"/>
      <c r="FV57" s="530"/>
      <c r="FW57" s="530"/>
      <c r="FX57" s="530"/>
      <c r="FY57" s="530"/>
      <c r="FZ57" s="530"/>
      <c r="GA57" s="530"/>
      <c r="GB57" s="530"/>
      <c r="GC57" s="530"/>
      <c r="GD57" s="530"/>
      <c r="GE57" s="530"/>
      <c r="GF57" s="530"/>
      <c r="GG57" s="530"/>
      <c r="GH57" s="530"/>
      <c r="GI57" s="530"/>
      <c r="GJ57" s="530"/>
      <c r="GK57" s="530"/>
      <c r="GL57" s="530"/>
      <c r="GM57" s="530"/>
      <c r="GN57" s="530"/>
      <c r="GO57" s="530"/>
      <c r="GP57" s="530"/>
      <c r="GQ57" s="530"/>
      <c r="GR57" s="530"/>
      <c r="GS57" s="530"/>
      <c r="GT57" s="530"/>
      <c r="GU57" s="530"/>
      <c r="GV57" s="530"/>
      <c r="GW57" s="530"/>
      <c r="GX57" s="530"/>
      <c r="GY57" s="530"/>
      <c r="GZ57" s="530"/>
      <c r="HA57" s="530"/>
      <c r="HB57" s="530"/>
      <c r="HC57" s="530"/>
      <c r="HD57" s="530"/>
      <c r="HE57" s="530"/>
      <c r="HF57" s="530"/>
      <c r="HG57" s="530"/>
      <c r="HH57" s="530"/>
      <c r="HI57" s="530"/>
      <c r="HJ57" s="530"/>
      <c r="HK57" s="530"/>
      <c r="HL57" s="530"/>
      <c r="HM57" s="530"/>
      <c r="HN57" s="530"/>
      <c r="HO57" s="530"/>
      <c r="HP57" s="530"/>
      <c r="HQ57" s="530"/>
      <c r="HR57" s="530"/>
      <c r="HS57" s="530"/>
      <c r="HT57" s="530"/>
      <c r="HU57" s="530"/>
      <c r="HV57" s="530"/>
      <c r="HW57" s="530"/>
      <c r="HX57" s="530"/>
      <c r="HY57" s="530"/>
      <c r="HZ57" s="530"/>
      <c r="IA57" s="530"/>
      <c r="IB57" s="530"/>
      <c r="IC57" s="530"/>
      <c r="ID57" s="530"/>
      <c r="IE57" s="530"/>
      <c r="IF57" s="530"/>
      <c r="IG57" s="530"/>
      <c r="IH57" s="530"/>
      <c r="II57" s="530"/>
      <c r="IJ57" s="530"/>
      <c r="IK57" s="530"/>
      <c r="IL57" s="530"/>
      <c r="IM57" s="530"/>
      <c r="IN57" s="530"/>
      <c r="IO57" s="530"/>
      <c r="IP57" s="530"/>
      <c r="IQ57" s="530"/>
      <c r="IR57" s="530"/>
      <c r="IS57" s="530"/>
      <c r="IT57" s="530"/>
      <c r="IU57" s="530"/>
      <c r="IV57" s="530"/>
    </row>
    <row r="58" spans="1:256" ht="13.8" hidden="1">
      <c r="A58" s="1676"/>
      <c r="B58" s="550"/>
      <c r="C58" s="550"/>
      <c r="D58" s="550"/>
      <c r="E58" s="550"/>
      <c r="F58" s="550"/>
      <c r="G58" s="550"/>
      <c r="H58" s="550"/>
      <c r="I58" s="550"/>
      <c r="J58" s="550"/>
      <c r="K58" s="550"/>
      <c r="L58" s="550"/>
      <c r="M58" s="550"/>
      <c r="N58" s="550"/>
      <c r="O58" s="550"/>
      <c r="P58" s="550"/>
      <c r="Q58" s="550"/>
      <c r="R58" s="550"/>
      <c r="S58" s="550"/>
      <c r="T58" s="550"/>
      <c r="U58" s="550"/>
      <c r="V58" s="550"/>
      <c r="W58" s="550"/>
      <c r="X58" s="767"/>
      <c r="Y58" s="671"/>
      <c r="Z58" s="671"/>
      <c r="AA58" s="767"/>
      <c r="AB58" s="623"/>
      <c r="AC58" s="623"/>
      <c r="AD58" s="623"/>
      <c r="AE58" s="623"/>
      <c r="AF58" s="623"/>
      <c r="AG58" s="623"/>
      <c r="AH58" s="623"/>
      <c r="AI58" s="623"/>
      <c r="AJ58" s="623"/>
      <c r="AK58" s="623"/>
      <c r="AL58" s="623"/>
      <c r="AM58" s="623"/>
      <c r="AN58" s="623"/>
      <c r="AO58" s="623"/>
      <c r="AP58" s="623"/>
      <c r="AQ58" s="623"/>
      <c r="AR58" s="623"/>
      <c r="AS58" s="623"/>
      <c r="AT58" s="623"/>
      <c r="AU58" s="623"/>
      <c r="AV58" s="623"/>
      <c r="AW58" s="623"/>
      <c r="AX58" s="623"/>
      <c r="AY58" s="623"/>
      <c r="AZ58" s="623"/>
      <c r="BA58" s="623"/>
      <c r="BB58" s="623"/>
      <c r="BC58" s="623"/>
      <c r="BD58" s="623"/>
      <c r="BE58" s="623"/>
      <c r="BF58" s="623"/>
      <c r="BG58" s="623"/>
      <c r="BH58" s="623"/>
      <c r="BI58" s="623"/>
      <c r="BJ58" s="623"/>
      <c r="BK58" s="623"/>
      <c r="BL58" s="623"/>
      <c r="BM58" s="623"/>
      <c r="BN58" s="623"/>
      <c r="BO58" s="623"/>
      <c r="BP58" s="623"/>
      <c r="BQ58" s="623"/>
      <c r="BR58" s="623"/>
      <c r="BS58" s="623"/>
      <c r="BT58" s="623"/>
      <c r="BU58" s="623"/>
      <c r="BV58" s="623"/>
      <c r="BW58" s="623"/>
      <c r="BX58" s="623"/>
      <c r="BY58" s="623"/>
      <c r="BZ58" s="623"/>
      <c r="CA58" s="623"/>
      <c r="CB58" s="1669"/>
      <c r="CC58" s="1669"/>
      <c r="CD58" s="1669"/>
      <c r="CE58" s="1669"/>
      <c r="CF58" s="1669"/>
      <c r="CG58" s="1669"/>
      <c r="CH58" s="1669"/>
      <c r="CI58" s="1669"/>
      <c r="CJ58" s="1669"/>
      <c r="CK58" s="1669"/>
      <c r="CL58" s="1669"/>
      <c r="CM58" s="1669"/>
      <c r="CN58" s="1669"/>
      <c r="CO58" s="1669"/>
      <c r="CP58" s="1669"/>
      <c r="CQ58" s="1669"/>
      <c r="CR58" s="1669"/>
      <c r="CS58" s="1669"/>
      <c r="CT58" s="1669"/>
      <c r="CU58" s="1669"/>
      <c r="CV58" s="1669"/>
      <c r="CW58" s="1669"/>
      <c r="CX58" s="1669"/>
      <c r="CY58" s="817"/>
      <c r="CZ58" s="1669"/>
      <c r="DA58" s="1669"/>
      <c r="DB58" s="1669"/>
      <c r="DC58" s="767"/>
      <c r="DD58" s="1669"/>
      <c r="DE58" s="1669"/>
      <c r="DF58" s="1669"/>
      <c r="DG58" s="1669"/>
      <c r="DH58" s="1669"/>
      <c r="DI58" s="1669"/>
      <c r="DJ58" s="1669"/>
      <c r="DK58" s="1669"/>
      <c r="DL58" s="1669"/>
      <c r="DM58" s="1669"/>
      <c r="DN58" s="1669"/>
      <c r="DO58" s="767"/>
      <c r="DP58" s="1669"/>
      <c r="DQ58" s="1669"/>
      <c r="DR58" s="623"/>
      <c r="DS58" s="623"/>
      <c r="DT58" s="623"/>
      <c r="DU58" s="623"/>
      <c r="DV58" s="1675"/>
    </row>
    <row r="59" spans="1:256" ht="13.8" hidden="1">
      <c r="A59" s="1676"/>
      <c r="B59" s="550"/>
      <c r="C59" s="550"/>
      <c r="D59" s="550"/>
      <c r="E59" s="550"/>
      <c r="F59" s="550"/>
      <c r="G59" s="550"/>
      <c r="H59" s="550"/>
      <c r="I59" s="550"/>
      <c r="J59" s="550"/>
      <c r="K59" s="550"/>
      <c r="L59" s="550"/>
      <c r="M59" s="550"/>
      <c r="N59" s="550"/>
      <c r="O59" s="550"/>
      <c r="P59" s="550"/>
      <c r="Q59" s="550"/>
      <c r="R59" s="550"/>
      <c r="S59" s="550"/>
      <c r="T59" s="550"/>
      <c r="U59" s="550"/>
      <c r="V59" s="550"/>
      <c r="W59" s="550"/>
      <c r="X59" s="767"/>
      <c r="Y59" s="671"/>
      <c r="Z59" s="671"/>
      <c r="AA59" s="767"/>
      <c r="AB59" s="623"/>
      <c r="AC59" s="623"/>
      <c r="AD59" s="623"/>
      <c r="AE59" s="623"/>
      <c r="AF59" s="623"/>
      <c r="AG59" s="623"/>
      <c r="AH59" s="623"/>
      <c r="AI59" s="623"/>
      <c r="AJ59" s="623"/>
      <c r="AK59" s="623"/>
      <c r="AL59" s="623"/>
      <c r="AM59" s="623"/>
      <c r="AN59" s="623"/>
      <c r="AO59" s="623"/>
      <c r="AP59" s="623"/>
      <c r="AQ59" s="623"/>
      <c r="AR59" s="623"/>
      <c r="AS59" s="623"/>
      <c r="AT59" s="623"/>
      <c r="AU59" s="623"/>
      <c r="AV59" s="623"/>
      <c r="AW59" s="623"/>
      <c r="AX59" s="623"/>
      <c r="AY59" s="623"/>
      <c r="AZ59" s="623"/>
      <c r="BA59" s="623"/>
      <c r="BB59" s="623"/>
      <c r="BC59" s="623"/>
      <c r="BD59" s="623"/>
      <c r="BE59" s="623"/>
      <c r="BF59" s="623"/>
      <c r="BG59" s="623"/>
      <c r="BH59" s="623"/>
      <c r="BI59" s="623"/>
      <c r="BJ59" s="623"/>
      <c r="BK59" s="623"/>
      <c r="BL59" s="623"/>
      <c r="BM59" s="623"/>
      <c r="BN59" s="623"/>
      <c r="BO59" s="623"/>
      <c r="BP59" s="623"/>
      <c r="BQ59" s="623"/>
      <c r="BR59" s="623"/>
      <c r="BS59" s="623"/>
      <c r="BT59" s="623"/>
      <c r="BU59" s="623"/>
      <c r="BV59" s="623"/>
      <c r="BW59" s="623"/>
      <c r="BX59" s="623"/>
      <c r="BY59" s="623"/>
      <c r="BZ59" s="623"/>
      <c r="CA59" s="623"/>
      <c r="CB59" s="1669"/>
      <c r="CC59" s="1669"/>
      <c r="CD59" s="1669"/>
      <c r="CE59" s="1669"/>
      <c r="CF59" s="1669"/>
      <c r="CG59" s="1669"/>
      <c r="CH59" s="1669"/>
      <c r="CI59" s="1669"/>
      <c r="CJ59" s="1669"/>
      <c r="CK59" s="1669"/>
      <c r="CL59" s="1669"/>
      <c r="CM59" s="1669"/>
      <c r="CN59" s="1669"/>
      <c r="CO59" s="1669"/>
      <c r="CP59" s="1669"/>
      <c r="CQ59" s="1669"/>
      <c r="CR59" s="1669"/>
      <c r="CS59" s="1669"/>
      <c r="CT59" s="1669"/>
      <c r="CU59" s="1669"/>
      <c r="CV59" s="1669"/>
      <c r="CW59" s="1669"/>
      <c r="CX59" s="1669"/>
      <c r="CY59" s="817"/>
      <c r="CZ59" s="1669"/>
      <c r="DA59" s="1669"/>
      <c r="DB59" s="1669"/>
      <c r="DC59" s="767"/>
      <c r="DD59" s="1669"/>
      <c r="DE59" s="1669"/>
      <c r="DF59" s="1669"/>
      <c r="DG59" s="1669"/>
      <c r="DH59" s="1669"/>
      <c r="DI59" s="1669"/>
      <c r="DJ59" s="1669"/>
      <c r="DK59" s="1669"/>
      <c r="DL59" s="1669"/>
      <c r="DM59" s="1669"/>
      <c r="DN59" s="1669"/>
      <c r="DO59" s="767"/>
      <c r="DP59" s="1669"/>
      <c r="DQ59" s="1669"/>
      <c r="DR59" s="623"/>
      <c r="DS59" s="623"/>
      <c r="DT59" s="623"/>
      <c r="DU59" s="623"/>
      <c r="DV59" s="1675"/>
    </row>
    <row r="60" spans="1:256" ht="13.8" hidden="1">
      <c r="A60" s="1676"/>
      <c r="B60" s="550"/>
      <c r="C60" s="550"/>
      <c r="D60" s="550"/>
      <c r="E60" s="550"/>
      <c r="F60" s="550"/>
      <c r="G60" s="550"/>
      <c r="H60" s="550"/>
      <c r="I60" s="550"/>
      <c r="J60" s="550"/>
      <c r="K60" s="550"/>
      <c r="L60" s="550"/>
      <c r="M60" s="550"/>
      <c r="N60" s="550"/>
      <c r="O60" s="550"/>
      <c r="P60" s="550"/>
      <c r="Q60" s="550"/>
      <c r="R60" s="550"/>
      <c r="S60" s="550"/>
      <c r="T60" s="550"/>
      <c r="U60" s="550"/>
      <c r="V60" s="550"/>
      <c r="W60" s="550"/>
      <c r="X60" s="767"/>
      <c r="Y60" s="671"/>
      <c r="Z60" s="671"/>
      <c r="AA60" s="767"/>
      <c r="AB60" s="623"/>
      <c r="AC60" s="623"/>
      <c r="AD60" s="623"/>
      <c r="AE60" s="623"/>
      <c r="AF60" s="623"/>
      <c r="AG60" s="623"/>
      <c r="AH60" s="623"/>
      <c r="AI60" s="623"/>
      <c r="AJ60" s="623"/>
      <c r="AK60" s="623"/>
      <c r="AL60" s="623"/>
      <c r="AM60" s="623"/>
      <c r="AN60" s="623"/>
      <c r="AO60" s="623"/>
      <c r="AP60" s="623"/>
      <c r="AQ60" s="623"/>
      <c r="AR60" s="623"/>
      <c r="AS60" s="623"/>
      <c r="AT60" s="623"/>
      <c r="AU60" s="623"/>
      <c r="AV60" s="623"/>
      <c r="AW60" s="623"/>
      <c r="AX60" s="623"/>
      <c r="AY60" s="623"/>
      <c r="AZ60" s="623"/>
      <c r="BA60" s="623"/>
      <c r="BB60" s="623"/>
      <c r="BC60" s="623"/>
      <c r="BD60" s="623"/>
      <c r="BE60" s="623"/>
      <c r="BF60" s="623"/>
      <c r="BG60" s="623"/>
      <c r="BH60" s="623"/>
      <c r="BI60" s="623"/>
      <c r="BJ60" s="623"/>
      <c r="BK60" s="623"/>
      <c r="BL60" s="623"/>
      <c r="BM60" s="623"/>
      <c r="BN60" s="623"/>
      <c r="BO60" s="623"/>
      <c r="BP60" s="623"/>
      <c r="BQ60" s="623"/>
      <c r="BR60" s="623"/>
      <c r="BS60" s="623"/>
      <c r="BT60" s="623"/>
      <c r="BU60" s="623"/>
      <c r="BV60" s="623"/>
      <c r="BW60" s="623"/>
      <c r="BX60" s="623"/>
      <c r="BY60" s="623"/>
      <c r="BZ60" s="623"/>
      <c r="CA60" s="623"/>
      <c r="CB60" s="1669"/>
      <c r="CC60" s="1669"/>
      <c r="CD60" s="1669"/>
      <c r="CE60" s="1669"/>
      <c r="CF60" s="1669"/>
      <c r="CG60" s="1669"/>
      <c r="CH60" s="1669"/>
      <c r="CI60" s="1669"/>
      <c r="CJ60" s="1669"/>
      <c r="CK60" s="1669"/>
      <c r="CL60" s="1669"/>
      <c r="CM60" s="1669"/>
      <c r="CN60" s="1669"/>
      <c r="CO60" s="1669"/>
      <c r="CP60" s="1669"/>
      <c r="CQ60" s="1669"/>
      <c r="CR60" s="1669"/>
      <c r="CS60" s="1669"/>
      <c r="CT60" s="1669"/>
      <c r="CU60" s="1669"/>
      <c r="CV60" s="1669"/>
      <c r="CW60" s="1669"/>
      <c r="CX60" s="1669"/>
      <c r="CY60" s="817"/>
      <c r="CZ60" s="1669"/>
      <c r="DA60" s="1669"/>
      <c r="DB60" s="1669"/>
      <c r="DC60" s="767"/>
      <c r="DD60" s="1669"/>
      <c r="DE60" s="1669"/>
      <c r="DF60" s="1669"/>
      <c r="DG60" s="1669"/>
      <c r="DH60" s="1669"/>
      <c r="DI60" s="1669"/>
      <c r="DJ60" s="1669"/>
      <c r="DK60" s="1669"/>
      <c r="DL60" s="1669"/>
      <c r="DM60" s="1669"/>
      <c r="DN60" s="1669"/>
      <c r="DO60" s="767"/>
      <c r="DP60" s="1669"/>
      <c r="DQ60" s="1669"/>
      <c r="DR60" s="623"/>
      <c r="DS60" s="623"/>
      <c r="DT60" s="623"/>
      <c r="DU60" s="623"/>
      <c r="DV60" s="1675"/>
    </row>
    <row r="61" spans="1:256" ht="13.8" hidden="1">
      <c r="A61" s="1676"/>
      <c r="B61" s="550"/>
      <c r="C61" s="550"/>
      <c r="D61" s="550"/>
      <c r="E61" s="550"/>
      <c r="F61" s="550"/>
      <c r="G61" s="550"/>
      <c r="H61" s="550"/>
      <c r="I61" s="550"/>
      <c r="J61" s="550"/>
      <c r="K61" s="550"/>
      <c r="L61" s="550"/>
      <c r="M61" s="550"/>
      <c r="N61" s="550"/>
      <c r="O61" s="550"/>
      <c r="P61" s="550"/>
      <c r="Q61" s="550"/>
      <c r="R61" s="550"/>
      <c r="S61" s="550"/>
      <c r="T61" s="550"/>
      <c r="U61" s="550"/>
      <c r="V61" s="550"/>
      <c r="W61" s="550"/>
      <c r="X61" s="767"/>
      <c r="Y61" s="671"/>
      <c r="Z61" s="671"/>
      <c r="AA61" s="767"/>
      <c r="AB61" s="623"/>
      <c r="AC61" s="623"/>
      <c r="AD61" s="623"/>
      <c r="AE61" s="623"/>
      <c r="AF61" s="623"/>
      <c r="AG61" s="623"/>
      <c r="AH61" s="623"/>
      <c r="AI61" s="623"/>
      <c r="AJ61" s="623"/>
      <c r="AK61" s="623"/>
      <c r="AL61" s="623"/>
      <c r="AM61" s="623"/>
      <c r="AN61" s="623"/>
      <c r="AO61" s="623"/>
      <c r="AP61" s="623"/>
      <c r="AQ61" s="623"/>
      <c r="AR61" s="623"/>
      <c r="AS61" s="623"/>
      <c r="AT61" s="623"/>
      <c r="AU61" s="623"/>
      <c r="AV61" s="623"/>
      <c r="AW61" s="623"/>
      <c r="AX61" s="623"/>
      <c r="AY61" s="623"/>
      <c r="AZ61" s="623"/>
      <c r="BA61" s="623"/>
      <c r="BB61" s="623"/>
      <c r="BC61" s="623"/>
      <c r="BD61" s="623"/>
      <c r="BE61" s="623"/>
      <c r="BF61" s="623"/>
      <c r="BG61" s="623"/>
      <c r="BH61" s="623"/>
      <c r="BI61" s="623"/>
      <c r="BJ61" s="623"/>
      <c r="BK61" s="623"/>
      <c r="BL61" s="623"/>
      <c r="BM61" s="623"/>
      <c r="BN61" s="623"/>
      <c r="BO61" s="623"/>
      <c r="BP61" s="623"/>
      <c r="BQ61" s="623"/>
      <c r="BR61" s="623"/>
      <c r="BS61" s="623"/>
      <c r="BT61" s="623"/>
      <c r="BU61" s="623"/>
      <c r="BV61" s="623"/>
      <c r="BW61" s="623"/>
      <c r="BX61" s="623"/>
      <c r="BY61" s="623"/>
      <c r="BZ61" s="623"/>
      <c r="CA61" s="623"/>
      <c r="CB61" s="1669"/>
      <c r="CC61" s="1669"/>
      <c r="CD61" s="1669"/>
      <c r="CE61" s="1669"/>
      <c r="CF61" s="1669"/>
      <c r="CG61" s="1669"/>
      <c r="CH61" s="1669"/>
      <c r="CI61" s="1669"/>
      <c r="CJ61" s="1669"/>
      <c r="CK61" s="1669"/>
      <c r="CL61" s="1669"/>
      <c r="CM61" s="1669"/>
      <c r="CN61" s="1669"/>
      <c r="CO61" s="1669"/>
      <c r="CP61" s="1669"/>
      <c r="CQ61" s="1669"/>
      <c r="CR61" s="1669"/>
      <c r="CS61" s="1669"/>
      <c r="CT61" s="1669"/>
      <c r="CU61" s="1669"/>
      <c r="CV61" s="1669"/>
      <c r="CW61" s="1669"/>
      <c r="CX61" s="1669"/>
      <c r="CY61" s="817"/>
      <c r="CZ61" s="1669"/>
      <c r="DA61" s="1669"/>
      <c r="DB61" s="1669"/>
      <c r="DC61" s="767"/>
      <c r="DD61" s="1669"/>
      <c r="DE61" s="1669"/>
      <c r="DF61" s="1669"/>
      <c r="DG61" s="1669"/>
      <c r="DH61" s="1669"/>
      <c r="DI61" s="1669"/>
      <c r="DJ61" s="1669"/>
      <c r="DK61" s="1669"/>
      <c r="DL61" s="1669"/>
      <c r="DM61" s="1669"/>
      <c r="DN61" s="1669"/>
      <c r="DO61" s="767"/>
      <c r="DP61" s="1669"/>
      <c r="DQ61" s="1669"/>
      <c r="DR61" s="623"/>
      <c r="DS61" s="623"/>
      <c r="DT61" s="623"/>
      <c r="DU61" s="623"/>
      <c r="DV61" s="1675"/>
    </row>
    <row r="62" spans="1:256" s="678" customFormat="1" ht="13.8" hidden="1">
      <c r="A62" s="1676"/>
      <c r="B62" s="550"/>
      <c r="C62" s="550"/>
      <c r="D62" s="550"/>
      <c r="E62" s="550"/>
      <c r="F62" s="550"/>
      <c r="G62" s="550"/>
      <c r="H62" s="550"/>
      <c r="I62" s="550"/>
      <c r="J62" s="676"/>
      <c r="K62" s="550"/>
      <c r="L62" s="550"/>
      <c r="M62" s="550"/>
      <c r="N62" s="550"/>
      <c r="O62" s="439"/>
      <c r="P62" s="439"/>
      <c r="Q62" s="674"/>
      <c r="R62" s="671"/>
      <c r="S62" s="671"/>
      <c r="T62" s="671"/>
      <c r="U62" s="671"/>
      <c r="V62" s="671"/>
      <c r="W62" s="671"/>
      <c r="X62" s="671"/>
      <c r="Y62" s="671"/>
      <c r="Z62" s="671"/>
      <c r="AA62" s="767"/>
      <c r="AB62" s="623"/>
      <c r="AC62" s="623"/>
      <c r="AD62" s="623"/>
      <c r="AE62" s="623"/>
      <c r="AF62" s="623"/>
      <c r="AG62" s="623"/>
      <c r="AH62" s="623"/>
      <c r="AI62" s="623"/>
      <c r="AJ62" s="623"/>
      <c r="AK62" s="623"/>
      <c r="AL62" s="623"/>
      <c r="AM62" s="623"/>
      <c r="AN62" s="623"/>
      <c r="AO62" s="623"/>
      <c r="AP62" s="623"/>
      <c r="AQ62" s="623"/>
      <c r="AR62" s="623"/>
      <c r="AS62" s="623"/>
      <c r="AT62" s="623"/>
      <c r="AU62" s="623"/>
      <c r="AV62" s="623"/>
      <c r="AW62" s="623"/>
      <c r="AX62" s="623"/>
      <c r="AY62" s="623"/>
      <c r="AZ62" s="623"/>
      <c r="BA62" s="623"/>
      <c r="BB62" s="623"/>
      <c r="BC62" s="623"/>
      <c r="BD62" s="623"/>
      <c r="BE62" s="623"/>
      <c r="BF62" s="623"/>
      <c r="BG62" s="623"/>
      <c r="BH62" s="623"/>
      <c r="BI62" s="623"/>
      <c r="BJ62" s="623"/>
      <c r="BK62" s="623"/>
      <c r="BL62" s="623"/>
      <c r="BM62" s="623"/>
      <c r="BN62" s="623"/>
      <c r="BO62" s="623"/>
      <c r="BP62" s="623"/>
      <c r="BQ62" s="623"/>
      <c r="BR62" s="623"/>
      <c r="BS62" s="623"/>
      <c r="BT62" s="623"/>
      <c r="BU62" s="623"/>
      <c r="BV62" s="623"/>
      <c r="BW62" s="623"/>
      <c r="BX62" s="623"/>
      <c r="BY62" s="623"/>
      <c r="BZ62" s="623"/>
      <c r="CA62" s="623"/>
      <c r="CB62" s="623"/>
      <c r="CC62" s="623"/>
      <c r="CD62" s="623"/>
      <c r="CE62" s="1669"/>
      <c r="CF62" s="623"/>
      <c r="CG62" s="623"/>
      <c r="CH62" s="623"/>
      <c r="CI62" s="623"/>
      <c r="CJ62" s="623"/>
      <c r="CK62" s="623"/>
      <c r="CL62" s="623"/>
      <c r="CM62" s="623"/>
      <c r="CN62" s="623"/>
      <c r="CO62" s="623"/>
      <c r="CP62" s="623"/>
      <c r="CQ62" s="623"/>
      <c r="CR62" s="623"/>
      <c r="CS62" s="623"/>
      <c r="CT62" s="623"/>
      <c r="CU62" s="623"/>
      <c r="CV62" s="623"/>
      <c r="CW62" s="623"/>
      <c r="CX62" s="1669"/>
      <c r="CY62" s="817"/>
      <c r="CZ62" s="623"/>
      <c r="DA62" s="623"/>
      <c r="DB62" s="623"/>
      <c r="DC62" s="623"/>
      <c r="DD62" s="623"/>
      <c r="DE62" s="623"/>
      <c r="DF62" s="623"/>
      <c r="DG62" s="623"/>
      <c r="DH62" s="623"/>
      <c r="DI62" s="623"/>
      <c r="DJ62" s="623"/>
      <c r="DK62" s="623"/>
      <c r="DL62" s="623"/>
      <c r="DM62" s="623"/>
      <c r="DN62" s="623"/>
      <c r="DO62" s="623"/>
      <c r="DP62" s="623"/>
      <c r="DQ62" s="623"/>
      <c r="DR62" s="623"/>
      <c r="DS62" s="623"/>
      <c r="DT62" s="623"/>
      <c r="DU62" s="623"/>
      <c r="DV62" s="1675"/>
      <c r="DW62" s="530"/>
      <c r="DX62" s="530"/>
      <c r="DY62" s="530"/>
      <c r="DZ62" s="530"/>
      <c r="EA62" s="530"/>
      <c r="EB62" s="530"/>
      <c r="EC62" s="530"/>
      <c r="ED62" s="530"/>
      <c r="EE62" s="530"/>
      <c r="EF62" s="530"/>
      <c r="EG62" s="530"/>
      <c r="EH62" s="530"/>
      <c r="EI62" s="530"/>
      <c r="EJ62" s="530"/>
      <c r="EK62" s="530"/>
      <c r="EL62" s="530"/>
      <c r="EM62" s="530"/>
      <c r="EN62" s="530"/>
      <c r="EO62" s="530"/>
      <c r="EP62" s="530"/>
      <c r="EQ62" s="530"/>
      <c r="ER62" s="530"/>
      <c r="ES62" s="530"/>
      <c r="ET62" s="530"/>
      <c r="EU62" s="530"/>
      <c r="EV62" s="530"/>
      <c r="EW62" s="530"/>
      <c r="EX62" s="530"/>
      <c r="EY62" s="530"/>
      <c r="EZ62" s="530"/>
      <c r="FA62" s="530"/>
      <c r="FB62" s="530"/>
      <c r="FC62" s="530"/>
      <c r="FD62" s="530"/>
      <c r="FE62" s="530"/>
      <c r="FF62" s="530"/>
      <c r="FG62" s="530"/>
      <c r="FH62" s="530"/>
      <c r="FI62" s="530"/>
      <c r="FJ62" s="530"/>
      <c r="FK62" s="530"/>
      <c r="FL62" s="530"/>
      <c r="FM62" s="530"/>
      <c r="FN62" s="530"/>
      <c r="FO62" s="530"/>
      <c r="FP62" s="530"/>
      <c r="FQ62" s="530"/>
      <c r="FR62" s="530"/>
      <c r="FS62" s="530"/>
      <c r="FT62" s="530"/>
      <c r="FU62" s="530"/>
      <c r="FV62" s="530"/>
      <c r="FW62" s="530"/>
      <c r="FX62" s="530"/>
      <c r="FY62" s="530"/>
      <c r="FZ62" s="530"/>
      <c r="GA62" s="530"/>
      <c r="GB62" s="530"/>
      <c r="GC62" s="530"/>
      <c r="GD62" s="530"/>
      <c r="GE62" s="530"/>
      <c r="GF62" s="530"/>
      <c r="GG62" s="530"/>
      <c r="GH62" s="530"/>
      <c r="GI62" s="530"/>
      <c r="GJ62" s="530"/>
      <c r="GK62" s="530"/>
      <c r="GL62" s="530"/>
      <c r="GM62" s="530"/>
      <c r="GN62" s="530"/>
      <c r="GO62" s="530"/>
      <c r="GP62" s="530"/>
      <c r="GQ62" s="530"/>
      <c r="GR62" s="530"/>
      <c r="GS62" s="530"/>
      <c r="GT62" s="530"/>
      <c r="GU62" s="530"/>
      <c r="GV62" s="530"/>
      <c r="GW62" s="530"/>
      <c r="GX62" s="530"/>
      <c r="GY62" s="530"/>
      <c r="GZ62" s="530"/>
      <c r="HA62" s="530"/>
      <c r="HB62" s="530"/>
      <c r="HC62" s="530"/>
      <c r="HD62" s="530"/>
      <c r="HE62" s="530"/>
      <c r="HF62" s="530"/>
      <c r="HG62" s="530"/>
      <c r="HH62" s="530"/>
      <c r="HI62" s="530"/>
      <c r="HJ62" s="530"/>
      <c r="HK62" s="530"/>
      <c r="HL62" s="530"/>
      <c r="HM62" s="530"/>
      <c r="HN62" s="530"/>
      <c r="HO62" s="530"/>
      <c r="HP62" s="530"/>
      <c r="HQ62" s="530"/>
      <c r="HR62" s="530"/>
      <c r="HS62" s="530"/>
      <c r="HT62" s="530"/>
      <c r="HU62" s="530"/>
      <c r="HV62" s="530"/>
      <c r="HW62" s="530"/>
      <c r="HX62" s="530"/>
      <c r="HY62" s="530"/>
      <c r="HZ62" s="530"/>
      <c r="IA62" s="530"/>
      <c r="IB62" s="530"/>
      <c r="IC62" s="530"/>
      <c r="ID62" s="530"/>
      <c r="IE62" s="530"/>
      <c r="IF62" s="530"/>
      <c r="IG62" s="530"/>
      <c r="IH62" s="530"/>
      <c r="II62" s="530"/>
      <c r="IJ62" s="530"/>
      <c r="IK62" s="530"/>
      <c r="IL62" s="530"/>
      <c r="IM62" s="530"/>
      <c r="IN62" s="530"/>
      <c r="IO62" s="530"/>
      <c r="IP62" s="530"/>
      <c r="IQ62" s="530"/>
      <c r="IR62" s="530"/>
      <c r="IS62" s="530"/>
      <c r="IT62" s="530"/>
      <c r="IU62" s="530"/>
      <c r="IV62" s="530"/>
    </row>
    <row r="63" spans="1:256" s="688" customFormat="1" ht="13.8" hidden="1">
      <c r="A63" s="1678"/>
      <c r="B63" s="1679"/>
      <c r="C63" s="1678"/>
      <c r="D63" s="1678"/>
      <c r="E63" s="1678"/>
      <c r="F63" s="1678"/>
      <c r="G63" s="1678"/>
      <c r="H63" s="1678"/>
      <c r="I63" s="1678"/>
      <c r="J63" s="1678"/>
      <c r="K63" s="1678"/>
      <c r="L63" s="1678"/>
      <c r="M63" s="1678"/>
      <c r="N63" s="1678"/>
      <c r="O63" s="1678"/>
      <c r="P63" s="1678"/>
      <c r="Q63" s="1678"/>
      <c r="R63" s="1678"/>
      <c r="S63" s="1678"/>
      <c r="T63" s="1678"/>
      <c r="U63" s="1678"/>
      <c r="V63" s="1678"/>
      <c r="W63" s="1678"/>
      <c r="X63" s="1678"/>
      <c r="Y63" s="1678"/>
      <c r="Z63" s="1678"/>
      <c r="AA63" s="1678"/>
      <c r="AB63" s="1678"/>
      <c r="AC63" s="1678"/>
      <c r="AD63" s="1678"/>
      <c r="AE63" s="1678"/>
      <c r="AF63" s="1678"/>
      <c r="AG63" s="1678"/>
      <c r="AH63" s="1678"/>
      <c r="AI63" s="1678"/>
      <c r="AJ63" s="1678"/>
      <c r="AK63" s="1678"/>
      <c r="AL63" s="1678"/>
      <c r="AM63" s="1678"/>
      <c r="AN63" s="1678"/>
      <c r="AO63" s="1678"/>
      <c r="AP63" s="1678"/>
      <c r="AQ63" s="1678"/>
      <c r="AR63" s="1678"/>
      <c r="AS63" s="1678"/>
      <c r="AT63" s="1678"/>
      <c r="AU63" s="1678"/>
      <c r="AV63" s="1678"/>
      <c r="AW63" s="1678"/>
      <c r="AX63" s="1678"/>
      <c r="AY63" s="1678"/>
      <c r="AZ63" s="1678"/>
      <c r="BA63" s="1678"/>
      <c r="BB63" s="1678"/>
      <c r="BC63" s="1678"/>
      <c r="BD63" s="1678"/>
      <c r="BE63" s="1678"/>
      <c r="BF63" s="1678"/>
      <c r="BG63" s="1678"/>
      <c r="BH63" s="1678"/>
      <c r="BI63" s="1678"/>
      <c r="BJ63" s="1678"/>
      <c r="BK63" s="1678"/>
      <c r="BL63" s="1678"/>
      <c r="BM63" s="1678"/>
      <c r="BN63" s="1678"/>
      <c r="BO63" s="1678"/>
      <c r="BP63" s="1678"/>
      <c r="BQ63" s="1678"/>
      <c r="BR63" s="1678"/>
      <c r="BS63" s="1678"/>
      <c r="BT63" s="1678"/>
      <c r="BU63" s="1678"/>
      <c r="BV63" s="1678"/>
      <c r="BW63" s="1678"/>
      <c r="BX63" s="1678"/>
      <c r="BY63" s="1678"/>
      <c r="BZ63" s="1678"/>
      <c r="CA63" s="1678"/>
      <c r="CB63" s="1678"/>
      <c r="CC63" s="1678"/>
      <c r="CD63" s="1678"/>
      <c r="CE63" s="1669"/>
      <c r="CF63" s="1678"/>
      <c r="CG63" s="1678"/>
      <c r="CH63" s="1678"/>
      <c r="CI63" s="1678"/>
      <c r="CJ63" s="1678"/>
      <c r="CK63" s="1678"/>
      <c r="CL63" s="1678"/>
      <c r="CM63" s="1678"/>
      <c r="CN63" s="1678"/>
      <c r="CO63" s="1678"/>
      <c r="CP63" s="1678"/>
      <c r="CQ63" s="1678"/>
      <c r="CR63" s="1678"/>
      <c r="CS63" s="1678"/>
      <c r="CT63" s="1678"/>
      <c r="CU63" s="1678"/>
      <c r="CV63" s="1678"/>
      <c r="CW63" s="1678"/>
      <c r="CX63" s="1678"/>
      <c r="CY63" s="1680"/>
      <c r="CZ63" s="1678"/>
      <c r="DA63" s="1678"/>
      <c r="DB63" s="1678"/>
      <c r="DC63" s="1678"/>
      <c r="DD63" s="1678"/>
      <c r="DE63" s="1678"/>
      <c r="DF63" s="1678"/>
      <c r="DG63" s="1678"/>
      <c r="DH63" s="1678"/>
      <c r="DI63" s="1678"/>
      <c r="DJ63" s="1678"/>
      <c r="DK63" s="1678"/>
      <c r="DL63" s="1678"/>
      <c r="DM63" s="1678"/>
      <c r="DN63" s="1678"/>
      <c r="DO63" s="1678"/>
      <c r="DP63" s="1678"/>
      <c r="DQ63" s="1678"/>
      <c r="DR63" s="1678"/>
      <c r="DS63" s="1678"/>
      <c r="DT63" s="1678"/>
      <c r="DU63" s="1678"/>
      <c r="DV63" s="1681"/>
    </row>
    <row r="64" spans="1:256" s="545" customFormat="1" ht="18" hidden="1" customHeight="1">
      <c r="A64" s="1685"/>
      <c r="B64" s="1023"/>
      <c r="C64" s="1023"/>
      <c r="D64" s="1023"/>
      <c r="E64" s="1023"/>
      <c r="F64" s="1023"/>
      <c r="G64" s="1023"/>
      <c r="H64" s="1023"/>
      <c r="I64" s="1023"/>
      <c r="J64" s="1023"/>
      <c r="K64" s="1023"/>
      <c r="L64" s="1023"/>
      <c r="M64" s="1023"/>
      <c r="N64" s="1023"/>
      <c r="O64" s="1023"/>
      <c r="P64" s="1023"/>
      <c r="Q64" s="1023"/>
      <c r="R64" s="1023"/>
      <c r="S64" s="1023"/>
      <c r="T64" s="1023"/>
      <c r="U64" s="1023"/>
      <c r="V64" s="1023"/>
      <c r="W64" s="1023"/>
      <c r="X64" s="1023"/>
      <c r="Y64" s="1023"/>
      <c r="Z64" s="1023"/>
      <c r="AA64" s="1023"/>
      <c r="AB64" s="1023"/>
      <c r="AC64" s="1023"/>
      <c r="AD64" s="1023"/>
      <c r="AE64" s="1023"/>
      <c r="AF64" s="1023"/>
      <c r="AG64" s="1023"/>
      <c r="AH64" s="1023"/>
      <c r="AI64" s="1023"/>
      <c r="AJ64" s="1023"/>
      <c r="AK64" s="1023"/>
      <c r="AL64" s="1023"/>
      <c r="AM64" s="1023"/>
      <c r="AN64" s="1023"/>
      <c r="AO64" s="1023"/>
      <c r="AP64" s="1023"/>
      <c r="AQ64" s="1023"/>
      <c r="AR64" s="1023"/>
      <c r="AS64" s="1023"/>
      <c r="AT64" s="1023"/>
      <c r="AU64" s="1023"/>
      <c r="AV64" s="1023"/>
      <c r="AW64" s="1023"/>
      <c r="AX64" s="1023"/>
      <c r="AY64" s="1023"/>
      <c r="AZ64" s="1023"/>
      <c r="BA64" s="1023"/>
      <c r="BB64" s="1023"/>
      <c r="BC64" s="1023"/>
      <c r="BD64" s="1023"/>
      <c r="BE64" s="1023"/>
      <c r="BF64" s="1023"/>
      <c r="BG64" s="1023"/>
      <c r="BH64" s="1023"/>
      <c r="BI64" s="1023"/>
      <c r="BJ64" s="1023"/>
      <c r="BK64" s="1023"/>
      <c r="BL64" s="1023"/>
      <c r="BM64" s="1023"/>
      <c r="BN64" s="1023"/>
      <c r="BO64" s="1023"/>
      <c r="BP64" s="1023"/>
      <c r="BQ64" s="1023"/>
      <c r="BR64" s="1023"/>
      <c r="BS64" s="1023"/>
      <c r="BT64" s="1023"/>
      <c r="BU64" s="1023"/>
      <c r="BV64" s="1023"/>
      <c r="BW64" s="1023"/>
      <c r="BX64" s="1023"/>
      <c r="BY64" s="1023"/>
      <c r="BZ64" s="1023"/>
      <c r="CA64" s="1023"/>
      <c r="CB64" s="1023"/>
      <c r="CC64" s="1023"/>
      <c r="CD64" s="1023"/>
      <c r="CE64" s="1669"/>
      <c r="CF64" s="1023"/>
      <c r="CG64" s="1023"/>
      <c r="CH64" s="1023"/>
      <c r="CI64" s="1023"/>
      <c r="CJ64" s="1023"/>
      <c r="CK64" s="1023"/>
      <c r="CL64" s="1023"/>
      <c r="CM64" s="1023"/>
      <c r="CN64" s="1023"/>
      <c r="CO64" s="1023"/>
      <c r="CP64" s="1023"/>
      <c r="CQ64" s="1023"/>
      <c r="CR64" s="1023"/>
      <c r="CS64" s="1023"/>
      <c r="CT64" s="1023"/>
      <c r="CU64" s="1023"/>
      <c r="CV64" s="1023"/>
      <c r="CW64" s="1023"/>
      <c r="CX64" s="1023"/>
      <c r="CY64" s="1683"/>
      <c r="CZ64" s="1023"/>
      <c r="DA64" s="1023"/>
      <c r="DB64" s="1023"/>
      <c r="DC64" s="1023"/>
      <c r="DD64" s="1023"/>
      <c r="DE64" s="1023"/>
      <c r="DF64" s="1023"/>
      <c r="DG64" s="1023"/>
      <c r="DH64" s="1023"/>
      <c r="DI64" s="1023"/>
      <c r="DJ64" s="1023"/>
      <c r="DK64" s="1023"/>
      <c r="DL64" s="1023"/>
      <c r="DM64" s="1023"/>
      <c r="DN64" s="1023"/>
      <c r="DO64" s="1023"/>
      <c r="DP64" s="1023"/>
      <c r="DQ64" s="1023"/>
      <c r="DR64" s="1023"/>
      <c r="DS64" s="1023"/>
      <c r="DT64" s="1023"/>
      <c r="DU64" s="1023"/>
      <c r="DV64" s="1684"/>
      <c r="DW64" s="530"/>
      <c r="DX64" s="530"/>
      <c r="DY64" s="530"/>
      <c r="DZ64" s="530"/>
      <c r="EA64" s="530"/>
      <c r="EB64" s="530"/>
      <c r="EC64" s="530"/>
      <c r="ED64" s="530"/>
      <c r="EE64" s="530"/>
      <c r="EF64" s="530"/>
      <c r="EG64" s="530"/>
      <c r="EH64" s="530"/>
      <c r="EI64" s="530"/>
      <c r="EJ64" s="530"/>
      <c r="EK64" s="530"/>
      <c r="EL64" s="530"/>
      <c r="EM64" s="530"/>
      <c r="EN64" s="530"/>
      <c r="EO64" s="530"/>
      <c r="EP64" s="530"/>
      <c r="EQ64" s="530"/>
      <c r="ER64" s="530"/>
      <c r="ES64" s="530"/>
      <c r="ET64" s="530"/>
      <c r="EU64" s="530"/>
      <c r="EV64" s="530"/>
      <c r="EW64" s="530"/>
      <c r="EX64" s="530"/>
      <c r="EY64" s="530"/>
      <c r="EZ64" s="530"/>
      <c r="FA64" s="530"/>
      <c r="FB64" s="530"/>
      <c r="FC64" s="530"/>
      <c r="FD64" s="530"/>
      <c r="FE64" s="530"/>
      <c r="FF64" s="530"/>
      <c r="FG64" s="530"/>
      <c r="FH64" s="530"/>
      <c r="FI64" s="530"/>
      <c r="FJ64" s="530"/>
      <c r="FK64" s="530"/>
      <c r="FL64" s="530"/>
      <c r="FM64" s="530"/>
      <c r="FN64" s="530"/>
      <c r="FO64" s="530"/>
      <c r="FP64" s="530"/>
      <c r="FQ64" s="530"/>
      <c r="FR64" s="530"/>
      <c r="FS64" s="530"/>
      <c r="FT64" s="530"/>
      <c r="FU64" s="530"/>
      <c r="FV64" s="530"/>
      <c r="FW64" s="530"/>
      <c r="FX64" s="530"/>
      <c r="FY64" s="530"/>
      <c r="FZ64" s="530"/>
      <c r="GA64" s="530"/>
      <c r="GB64" s="530"/>
      <c r="GC64" s="530"/>
      <c r="GD64" s="530"/>
      <c r="GE64" s="530"/>
      <c r="GF64" s="530"/>
      <c r="GG64" s="530"/>
      <c r="GH64" s="530"/>
      <c r="GI64" s="530"/>
      <c r="GJ64" s="530"/>
      <c r="GK64" s="530"/>
      <c r="GL64" s="530"/>
      <c r="GM64" s="530"/>
      <c r="GN64" s="530"/>
      <c r="GO64" s="530"/>
      <c r="GP64" s="530"/>
      <c r="GQ64" s="530"/>
      <c r="GR64" s="530"/>
      <c r="GS64" s="530"/>
      <c r="GT64" s="530"/>
      <c r="GU64" s="530"/>
      <c r="GV64" s="530"/>
      <c r="GW64" s="530"/>
      <c r="GX64" s="530"/>
      <c r="GY64" s="530"/>
      <c r="GZ64" s="530"/>
      <c r="HA64" s="530"/>
      <c r="HB64" s="530"/>
      <c r="HC64" s="530"/>
      <c r="HD64" s="530"/>
      <c r="HE64" s="530"/>
      <c r="HF64" s="530"/>
      <c r="HG64" s="530"/>
      <c r="HH64" s="530"/>
      <c r="HI64" s="530"/>
      <c r="HJ64" s="530"/>
      <c r="HK64" s="530"/>
      <c r="HL64" s="530"/>
      <c r="HM64" s="530"/>
      <c r="HN64" s="530"/>
      <c r="HO64" s="530"/>
      <c r="HP64" s="530"/>
      <c r="HQ64" s="530"/>
      <c r="HR64" s="530"/>
      <c r="HS64" s="530"/>
      <c r="HT64" s="530"/>
      <c r="HU64" s="530"/>
      <c r="HV64" s="530"/>
      <c r="HW64" s="530"/>
      <c r="HX64" s="530"/>
      <c r="HY64" s="530"/>
      <c r="HZ64" s="530"/>
      <c r="IA64" s="530"/>
      <c r="IB64" s="530"/>
      <c r="IC64" s="530"/>
      <c r="ID64" s="530"/>
      <c r="IE64" s="530"/>
      <c r="IF64" s="530"/>
      <c r="IG64" s="530"/>
      <c r="IH64" s="530"/>
      <c r="II64" s="530"/>
      <c r="IJ64" s="530"/>
      <c r="IK64" s="530"/>
      <c r="IL64" s="530"/>
      <c r="IM64" s="530"/>
      <c r="IN64" s="530"/>
      <c r="IO64" s="530"/>
      <c r="IP64" s="530"/>
      <c r="IQ64" s="530"/>
      <c r="IR64" s="530"/>
      <c r="IS64" s="530"/>
      <c r="IT64" s="530"/>
      <c r="IU64" s="530"/>
      <c r="IV64" s="530"/>
    </row>
    <row r="65" spans="1:126" ht="13.8" hidden="1">
      <c r="A65" s="1676"/>
      <c r="B65" s="550"/>
      <c r="C65" s="550"/>
      <c r="D65" s="550"/>
      <c r="E65" s="550"/>
      <c r="F65" s="550"/>
      <c r="G65" s="550"/>
      <c r="H65" s="550"/>
      <c r="I65" s="550"/>
      <c r="J65" s="550"/>
      <c r="K65" s="550"/>
      <c r="L65" s="550"/>
      <c r="M65" s="550"/>
      <c r="N65" s="550"/>
      <c r="O65" s="439"/>
      <c r="P65" s="439"/>
      <c r="Q65" s="674"/>
      <c r="R65" s="671"/>
      <c r="S65" s="671"/>
      <c r="T65" s="671"/>
      <c r="U65" s="671"/>
      <c r="V65" s="671"/>
      <c r="W65" s="671"/>
      <c r="X65" s="671"/>
      <c r="Y65" s="671"/>
      <c r="Z65" s="671"/>
      <c r="AA65" s="671"/>
      <c r="AB65" s="623"/>
      <c r="AC65" s="623"/>
      <c r="AD65" s="623"/>
      <c r="AE65" s="623"/>
      <c r="AF65" s="623"/>
      <c r="AG65" s="623"/>
      <c r="AH65" s="623"/>
      <c r="AI65" s="623"/>
      <c r="AJ65" s="623"/>
      <c r="AK65" s="623"/>
      <c r="AL65" s="623"/>
      <c r="AM65" s="623"/>
      <c r="AN65" s="623"/>
      <c r="AO65" s="623"/>
      <c r="AP65" s="623"/>
      <c r="AQ65" s="623"/>
      <c r="AR65" s="623"/>
      <c r="AS65" s="623"/>
      <c r="AT65" s="623"/>
      <c r="AU65" s="623"/>
      <c r="AV65" s="623"/>
      <c r="AW65" s="623"/>
      <c r="AX65" s="623"/>
      <c r="AY65" s="623"/>
      <c r="AZ65" s="623"/>
      <c r="BA65" s="623"/>
      <c r="BB65" s="623"/>
      <c r="BC65" s="623"/>
      <c r="BD65" s="623"/>
      <c r="BE65" s="623"/>
      <c r="BF65" s="623"/>
      <c r="BG65" s="623"/>
      <c r="BH65" s="623"/>
      <c r="BI65" s="623"/>
      <c r="BJ65" s="623"/>
      <c r="BK65" s="623"/>
      <c r="BL65" s="623"/>
      <c r="BM65" s="623"/>
      <c r="BN65" s="623"/>
      <c r="BO65" s="623"/>
      <c r="BP65" s="623"/>
      <c r="BQ65" s="623"/>
      <c r="BR65" s="623"/>
      <c r="BS65" s="623"/>
      <c r="BT65" s="623"/>
      <c r="BU65" s="623"/>
      <c r="BV65" s="623"/>
      <c r="BW65" s="623"/>
      <c r="BX65" s="623"/>
      <c r="BY65" s="623"/>
      <c r="BZ65" s="623"/>
      <c r="CA65" s="623"/>
      <c r="CB65" s="623"/>
      <c r="CC65" s="623"/>
      <c r="CD65" s="623"/>
      <c r="CE65" s="1669"/>
      <c r="CF65" s="623"/>
      <c r="CG65" s="623"/>
      <c r="CH65" s="623"/>
      <c r="CI65" s="623"/>
      <c r="CJ65" s="623"/>
      <c r="CK65" s="623"/>
      <c r="CL65" s="623"/>
      <c r="CM65" s="623"/>
      <c r="CN65" s="623"/>
      <c r="CO65" s="623"/>
      <c r="CP65" s="623"/>
      <c r="CQ65" s="623"/>
      <c r="CR65" s="623"/>
      <c r="CS65" s="623"/>
      <c r="CT65" s="623"/>
      <c r="CU65" s="623"/>
      <c r="CV65" s="623"/>
      <c r="CW65" s="623"/>
      <c r="CX65" s="623"/>
      <c r="CY65" s="817"/>
      <c r="CZ65" s="623"/>
      <c r="DA65" s="623"/>
      <c r="DB65" s="623"/>
      <c r="DC65" s="623"/>
      <c r="DD65" s="623"/>
      <c r="DE65" s="623"/>
      <c r="DF65" s="623"/>
      <c r="DG65" s="623"/>
      <c r="DH65" s="623"/>
      <c r="DI65" s="623"/>
      <c r="DJ65" s="623"/>
      <c r="DK65" s="623"/>
      <c r="DL65" s="623"/>
      <c r="DM65" s="623"/>
      <c r="DN65" s="623"/>
      <c r="DO65" s="623"/>
      <c r="DP65" s="623"/>
      <c r="DQ65" s="623"/>
      <c r="DR65" s="623"/>
      <c r="DS65" s="623"/>
      <c r="DT65" s="623"/>
      <c r="DU65" s="623"/>
      <c r="DV65" s="1675"/>
    </row>
    <row r="66" spans="1:126" ht="13.8" hidden="1">
      <c r="A66" s="1676"/>
      <c r="B66" s="550"/>
      <c r="C66" s="550"/>
      <c r="D66" s="550"/>
      <c r="E66" s="550"/>
      <c r="F66" s="550"/>
      <c r="G66" s="550"/>
      <c r="H66" s="550"/>
      <c r="I66" s="550"/>
      <c r="J66" s="550"/>
      <c r="K66" s="550"/>
      <c r="L66" s="550"/>
      <c r="M66" s="550"/>
      <c r="N66" s="550"/>
      <c r="O66" s="439"/>
      <c r="P66" s="439"/>
      <c r="Q66" s="674"/>
      <c r="R66" s="671"/>
      <c r="S66" s="671"/>
      <c r="T66" s="671"/>
      <c r="U66" s="671"/>
      <c r="V66" s="671"/>
      <c r="W66" s="671"/>
      <c r="X66" s="767"/>
      <c r="Y66" s="671"/>
      <c r="Z66" s="671"/>
      <c r="AA66" s="767"/>
      <c r="AB66" s="623"/>
      <c r="AC66" s="623"/>
      <c r="AD66" s="623"/>
      <c r="AE66" s="623"/>
      <c r="AF66" s="623"/>
      <c r="AG66" s="623"/>
      <c r="AH66" s="623"/>
      <c r="AI66" s="623"/>
      <c r="AJ66" s="623"/>
      <c r="AK66" s="623"/>
      <c r="AL66" s="623"/>
      <c r="AM66" s="623"/>
      <c r="AN66" s="623"/>
      <c r="AO66" s="623"/>
      <c r="AP66" s="623"/>
      <c r="AQ66" s="623"/>
      <c r="AR66" s="623"/>
      <c r="AS66" s="623"/>
      <c r="AT66" s="623"/>
      <c r="AU66" s="623"/>
      <c r="AV66" s="623"/>
      <c r="AW66" s="623"/>
      <c r="AX66" s="623"/>
      <c r="AY66" s="623"/>
      <c r="AZ66" s="623"/>
      <c r="BA66" s="623"/>
      <c r="BB66" s="623"/>
      <c r="BC66" s="623"/>
      <c r="BD66" s="623"/>
      <c r="BE66" s="623"/>
      <c r="BF66" s="623"/>
      <c r="BG66" s="623"/>
      <c r="BH66" s="623"/>
      <c r="BI66" s="623"/>
      <c r="BJ66" s="623"/>
      <c r="BK66" s="623"/>
      <c r="BL66" s="623"/>
      <c r="BM66" s="623"/>
      <c r="BN66" s="623"/>
      <c r="BO66" s="623"/>
      <c r="BP66" s="623"/>
      <c r="BQ66" s="623"/>
      <c r="BR66" s="623"/>
      <c r="BS66" s="623"/>
      <c r="BT66" s="623"/>
      <c r="BU66" s="623"/>
      <c r="BV66" s="623"/>
      <c r="BW66" s="623"/>
      <c r="BX66" s="623"/>
      <c r="BY66" s="623"/>
      <c r="BZ66" s="623"/>
      <c r="CA66" s="623"/>
      <c r="CB66" s="1669"/>
      <c r="CC66" s="1669"/>
      <c r="CD66" s="1669"/>
      <c r="CE66" s="1669"/>
      <c r="CF66" s="1669"/>
      <c r="CG66" s="1669"/>
      <c r="CH66" s="1669"/>
      <c r="CI66" s="1669"/>
      <c r="CJ66" s="1669"/>
      <c r="CK66" s="1669"/>
      <c r="CL66" s="1669"/>
      <c r="CM66" s="1669"/>
      <c r="CN66" s="1669"/>
      <c r="CO66" s="1669"/>
      <c r="CP66" s="1669"/>
      <c r="CQ66" s="1669"/>
      <c r="CR66" s="1669"/>
      <c r="CS66" s="1669"/>
      <c r="CT66" s="1669"/>
      <c r="CU66" s="1669"/>
      <c r="CV66" s="1669"/>
      <c r="CW66" s="1669"/>
      <c r="CX66" s="1669"/>
      <c r="CY66" s="817"/>
      <c r="CZ66" s="1669"/>
      <c r="DA66" s="1669"/>
      <c r="DB66" s="1669"/>
      <c r="DC66" s="767"/>
      <c r="DD66" s="1669"/>
      <c r="DE66" s="1669"/>
      <c r="DF66" s="1669"/>
      <c r="DG66" s="1669"/>
      <c r="DH66" s="1669"/>
      <c r="DI66" s="1669"/>
      <c r="DJ66" s="1669"/>
      <c r="DK66" s="1669"/>
      <c r="DL66" s="1669"/>
      <c r="DM66" s="1669"/>
      <c r="DN66" s="1669"/>
      <c r="DO66" s="767"/>
      <c r="DP66" s="1669"/>
      <c r="DQ66" s="1669"/>
      <c r="DR66" s="623"/>
      <c r="DS66" s="623"/>
      <c r="DT66" s="623"/>
      <c r="DU66" s="623"/>
      <c r="DV66" s="1675"/>
    </row>
    <row r="67" spans="1:126" ht="13.8" hidden="1">
      <c r="A67" s="1676"/>
      <c r="B67" s="550"/>
      <c r="C67" s="550"/>
      <c r="D67" s="550"/>
      <c r="E67" s="550"/>
      <c r="F67" s="550"/>
      <c r="G67" s="550"/>
      <c r="H67" s="550"/>
      <c r="I67" s="550"/>
      <c r="J67" s="550"/>
      <c r="K67" s="550"/>
      <c r="L67" s="550"/>
      <c r="M67" s="550"/>
      <c r="N67" s="550"/>
      <c r="O67" s="439"/>
      <c r="P67" s="439"/>
      <c r="Q67" s="674"/>
      <c r="R67" s="671"/>
      <c r="S67" s="671"/>
      <c r="T67" s="671"/>
      <c r="U67" s="671"/>
      <c r="V67" s="671"/>
      <c r="W67" s="671"/>
      <c r="X67" s="767"/>
      <c r="Y67" s="671"/>
      <c r="Z67" s="671"/>
      <c r="AA67" s="767"/>
      <c r="AB67" s="623"/>
      <c r="AC67" s="623"/>
      <c r="AD67" s="623"/>
      <c r="AE67" s="623"/>
      <c r="AF67" s="623"/>
      <c r="AG67" s="623"/>
      <c r="AH67" s="623"/>
      <c r="AI67" s="623"/>
      <c r="AJ67" s="623"/>
      <c r="AK67" s="623"/>
      <c r="AL67" s="623"/>
      <c r="AM67" s="623"/>
      <c r="AN67" s="623"/>
      <c r="AO67" s="623"/>
      <c r="AP67" s="623"/>
      <c r="AQ67" s="623"/>
      <c r="AR67" s="623"/>
      <c r="AS67" s="623"/>
      <c r="AT67" s="623"/>
      <c r="AU67" s="623"/>
      <c r="AV67" s="623"/>
      <c r="AW67" s="623"/>
      <c r="AX67" s="623"/>
      <c r="AY67" s="623"/>
      <c r="AZ67" s="623"/>
      <c r="BA67" s="623"/>
      <c r="BB67" s="623"/>
      <c r="BC67" s="623"/>
      <c r="BD67" s="623"/>
      <c r="BE67" s="623"/>
      <c r="BF67" s="623"/>
      <c r="BG67" s="623"/>
      <c r="BH67" s="623"/>
      <c r="BI67" s="623"/>
      <c r="BJ67" s="623"/>
      <c r="BK67" s="623"/>
      <c r="BL67" s="623"/>
      <c r="BM67" s="623"/>
      <c r="BN67" s="623"/>
      <c r="BO67" s="623"/>
      <c r="BP67" s="623"/>
      <c r="BQ67" s="623"/>
      <c r="BR67" s="623"/>
      <c r="BS67" s="623"/>
      <c r="BT67" s="623"/>
      <c r="BU67" s="623"/>
      <c r="BV67" s="623"/>
      <c r="BW67" s="623"/>
      <c r="BX67" s="623"/>
      <c r="BY67" s="623"/>
      <c r="BZ67" s="623"/>
      <c r="CA67" s="623"/>
      <c r="CB67" s="1669"/>
      <c r="CC67" s="1669"/>
      <c r="CD67" s="1669"/>
      <c r="CE67" s="1669"/>
      <c r="CF67" s="1669"/>
      <c r="CG67" s="1669"/>
      <c r="CH67" s="1669"/>
      <c r="CI67" s="1669"/>
      <c r="CJ67" s="1669"/>
      <c r="CK67" s="1669"/>
      <c r="CL67" s="1669"/>
      <c r="CM67" s="1669"/>
      <c r="CN67" s="1669"/>
      <c r="CO67" s="1669"/>
      <c r="CP67" s="1669"/>
      <c r="CQ67" s="1669"/>
      <c r="CR67" s="1669"/>
      <c r="CS67" s="1669"/>
      <c r="CT67" s="1669"/>
      <c r="CU67" s="1669"/>
      <c r="CV67" s="1669"/>
      <c r="CW67" s="1669"/>
      <c r="CX67" s="1669"/>
      <c r="CY67" s="817"/>
      <c r="CZ67" s="1669"/>
      <c r="DA67" s="1669"/>
      <c r="DB67" s="1669"/>
      <c r="DC67" s="767"/>
      <c r="DD67" s="1669"/>
      <c r="DE67" s="1669"/>
      <c r="DF67" s="1669"/>
      <c r="DG67" s="1669"/>
      <c r="DH67" s="1669"/>
      <c r="DI67" s="1669"/>
      <c r="DJ67" s="1669"/>
      <c r="DK67" s="1669"/>
      <c r="DL67" s="1669"/>
      <c r="DM67" s="1669"/>
      <c r="DN67" s="1669"/>
      <c r="DO67" s="767"/>
      <c r="DP67" s="1669"/>
      <c r="DQ67" s="1669"/>
      <c r="DR67" s="623"/>
      <c r="DS67" s="623"/>
      <c r="DT67" s="623"/>
      <c r="DU67" s="623"/>
      <c r="DV67" s="1675"/>
    </row>
    <row r="68" spans="1:126" ht="13.8" hidden="1">
      <c r="A68" s="1676"/>
      <c r="B68" s="550"/>
      <c r="C68" s="550"/>
      <c r="D68" s="550"/>
      <c r="E68" s="550"/>
      <c r="F68" s="550"/>
      <c r="G68" s="550"/>
      <c r="H68" s="550"/>
      <c r="I68" s="550"/>
      <c r="J68" s="550"/>
      <c r="K68" s="550"/>
      <c r="L68" s="550"/>
      <c r="M68" s="550"/>
      <c r="N68" s="550"/>
      <c r="O68" s="439"/>
      <c r="P68" s="439"/>
      <c r="Q68" s="674"/>
      <c r="R68" s="671"/>
      <c r="S68" s="671"/>
      <c r="T68" s="671"/>
      <c r="U68" s="671"/>
      <c r="V68" s="671"/>
      <c r="W68" s="671"/>
      <c r="X68" s="767"/>
      <c r="Y68" s="671"/>
      <c r="Z68" s="671"/>
      <c r="AA68" s="767"/>
      <c r="AB68" s="623"/>
      <c r="AC68" s="623"/>
      <c r="AD68" s="623"/>
      <c r="AE68" s="623"/>
      <c r="AF68" s="623"/>
      <c r="AG68" s="623"/>
      <c r="AH68" s="623"/>
      <c r="AI68" s="623"/>
      <c r="AJ68" s="623"/>
      <c r="AK68" s="623"/>
      <c r="AL68" s="623"/>
      <c r="AM68" s="623"/>
      <c r="AN68" s="623"/>
      <c r="AO68" s="623"/>
      <c r="AP68" s="623"/>
      <c r="AQ68" s="623"/>
      <c r="AR68" s="623"/>
      <c r="AS68" s="623"/>
      <c r="AT68" s="623"/>
      <c r="AU68" s="623"/>
      <c r="AV68" s="623"/>
      <c r="AW68" s="623"/>
      <c r="AX68" s="623"/>
      <c r="AY68" s="623"/>
      <c r="AZ68" s="623"/>
      <c r="BA68" s="623"/>
      <c r="BB68" s="623"/>
      <c r="BC68" s="623"/>
      <c r="BD68" s="623"/>
      <c r="BE68" s="623"/>
      <c r="BF68" s="623"/>
      <c r="BG68" s="623"/>
      <c r="BH68" s="623"/>
      <c r="BI68" s="623"/>
      <c r="BJ68" s="623"/>
      <c r="BK68" s="623"/>
      <c r="BL68" s="623"/>
      <c r="BM68" s="623"/>
      <c r="BN68" s="623"/>
      <c r="BO68" s="623"/>
      <c r="BP68" s="623"/>
      <c r="BQ68" s="623"/>
      <c r="BR68" s="623"/>
      <c r="BS68" s="623"/>
      <c r="BT68" s="623"/>
      <c r="BU68" s="623"/>
      <c r="BV68" s="623"/>
      <c r="BW68" s="623"/>
      <c r="BX68" s="623"/>
      <c r="BY68" s="623"/>
      <c r="BZ68" s="623"/>
      <c r="CA68" s="623"/>
      <c r="CB68" s="1669"/>
      <c r="CC68" s="1669"/>
      <c r="CD68" s="1669"/>
      <c r="CE68" s="1669"/>
      <c r="CF68" s="1669"/>
      <c r="CG68" s="1669"/>
      <c r="CH68" s="1669"/>
      <c r="CI68" s="1669"/>
      <c r="CJ68" s="1669"/>
      <c r="CK68" s="1669"/>
      <c r="CL68" s="1669"/>
      <c r="CM68" s="1669"/>
      <c r="CN68" s="1669"/>
      <c r="CO68" s="1669"/>
      <c r="CP68" s="1669"/>
      <c r="CQ68" s="1669"/>
      <c r="CR68" s="1669"/>
      <c r="CS68" s="1669"/>
      <c r="CT68" s="1669"/>
      <c r="CU68" s="1669"/>
      <c r="CV68" s="1669"/>
      <c r="CW68" s="1669"/>
      <c r="CX68" s="1669"/>
      <c r="CY68" s="817"/>
      <c r="CZ68" s="1669"/>
      <c r="DA68" s="1669"/>
      <c r="DB68" s="1669"/>
      <c r="DC68" s="767"/>
      <c r="DD68" s="1669"/>
      <c r="DE68" s="1669"/>
      <c r="DF68" s="1669"/>
      <c r="DG68" s="1669"/>
      <c r="DH68" s="1669"/>
      <c r="DI68" s="1669"/>
      <c r="DJ68" s="1669"/>
      <c r="DK68" s="1669"/>
      <c r="DL68" s="1669"/>
      <c r="DM68" s="1669"/>
      <c r="DN68" s="1669"/>
      <c r="DO68" s="767"/>
      <c r="DP68" s="1669"/>
      <c r="DQ68" s="1669"/>
      <c r="DR68" s="623"/>
      <c r="DS68" s="623"/>
      <c r="DT68" s="623"/>
      <c r="DU68" s="623"/>
      <c r="DV68" s="1675"/>
    </row>
    <row r="69" spans="1:126" ht="13.8" hidden="1">
      <c r="A69" s="1676"/>
      <c r="B69" s="550"/>
      <c r="C69" s="550"/>
      <c r="D69" s="550"/>
      <c r="E69" s="550"/>
      <c r="F69" s="550"/>
      <c r="G69" s="550"/>
      <c r="H69" s="550"/>
      <c r="I69" s="550"/>
      <c r="J69" s="550"/>
      <c r="K69" s="550"/>
      <c r="L69" s="550"/>
      <c r="M69" s="550"/>
      <c r="N69" s="550"/>
      <c r="O69" s="439"/>
      <c r="P69" s="439"/>
      <c r="Q69" s="674"/>
      <c r="R69" s="671"/>
      <c r="S69" s="671"/>
      <c r="T69" s="671"/>
      <c r="U69" s="671"/>
      <c r="V69" s="671"/>
      <c r="W69" s="671"/>
      <c r="X69" s="767"/>
      <c r="Y69" s="671"/>
      <c r="Z69" s="671"/>
      <c r="AA69" s="767"/>
      <c r="AB69" s="623"/>
      <c r="AC69" s="623"/>
      <c r="AD69" s="623"/>
      <c r="AE69" s="623"/>
      <c r="AF69" s="623"/>
      <c r="AG69" s="623"/>
      <c r="AH69" s="623"/>
      <c r="AI69" s="623"/>
      <c r="AJ69" s="623"/>
      <c r="AK69" s="623"/>
      <c r="AL69" s="623"/>
      <c r="AM69" s="623"/>
      <c r="AN69" s="623"/>
      <c r="AO69" s="623"/>
      <c r="AP69" s="623"/>
      <c r="AQ69" s="623"/>
      <c r="AR69" s="623"/>
      <c r="AS69" s="623"/>
      <c r="AT69" s="623"/>
      <c r="AU69" s="623"/>
      <c r="AV69" s="623"/>
      <c r="AW69" s="623"/>
      <c r="AX69" s="623"/>
      <c r="AY69" s="623"/>
      <c r="AZ69" s="623"/>
      <c r="BA69" s="623"/>
      <c r="BB69" s="623"/>
      <c r="BC69" s="623"/>
      <c r="BD69" s="623"/>
      <c r="BE69" s="623"/>
      <c r="BF69" s="623"/>
      <c r="BG69" s="623"/>
      <c r="BH69" s="623"/>
      <c r="BI69" s="623"/>
      <c r="BJ69" s="623"/>
      <c r="BK69" s="623"/>
      <c r="BL69" s="623"/>
      <c r="BM69" s="623"/>
      <c r="BN69" s="623"/>
      <c r="BO69" s="623"/>
      <c r="BP69" s="623"/>
      <c r="BQ69" s="623"/>
      <c r="BR69" s="623"/>
      <c r="BS69" s="623"/>
      <c r="BT69" s="623"/>
      <c r="BU69" s="623"/>
      <c r="BV69" s="623"/>
      <c r="BW69" s="623"/>
      <c r="BX69" s="623"/>
      <c r="BY69" s="623"/>
      <c r="BZ69" s="623"/>
      <c r="CA69" s="623"/>
      <c r="CB69" s="1669"/>
      <c r="CC69" s="1669"/>
      <c r="CD69" s="1669"/>
      <c r="CE69" s="1669"/>
      <c r="CF69" s="1669"/>
      <c r="CG69" s="1669"/>
      <c r="CH69" s="1669"/>
      <c r="CI69" s="1669"/>
      <c r="CJ69" s="1669"/>
      <c r="CK69" s="1669"/>
      <c r="CL69" s="1669"/>
      <c r="CM69" s="1669"/>
      <c r="CN69" s="1669"/>
      <c r="CO69" s="1669"/>
      <c r="CP69" s="1669"/>
      <c r="CQ69" s="1669"/>
      <c r="CR69" s="1669"/>
      <c r="CS69" s="1669"/>
      <c r="CT69" s="1669"/>
      <c r="CU69" s="1669"/>
      <c r="CV69" s="1669"/>
      <c r="CW69" s="1669"/>
      <c r="CX69" s="1669"/>
      <c r="CY69" s="817"/>
      <c r="CZ69" s="1669"/>
      <c r="DA69" s="1669"/>
      <c r="DB69" s="1669"/>
      <c r="DC69" s="767"/>
      <c r="DD69" s="1669"/>
      <c r="DE69" s="1669"/>
      <c r="DF69" s="1669"/>
      <c r="DG69" s="1669"/>
      <c r="DH69" s="1669"/>
      <c r="DI69" s="1669"/>
      <c r="DJ69" s="1669"/>
      <c r="DK69" s="1669"/>
      <c r="DL69" s="1669"/>
      <c r="DM69" s="1669"/>
      <c r="DN69" s="1669"/>
      <c r="DO69" s="767"/>
      <c r="DP69" s="1669"/>
      <c r="DQ69" s="1669"/>
      <c r="DR69" s="623"/>
      <c r="DS69" s="623"/>
      <c r="DT69" s="623"/>
      <c r="DU69" s="623"/>
      <c r="DV69" s="1675"/>
    </row>
    <row r="70" spans="1:126" ht="13.8" hidden="1">
      <c r="A70" s="1676"/>
      <c r="B70" s="550"/>
      <c r="C70" s="550"/>
      <c r="D70" s="550"/>
      <c r="E70" s="550"/>
      <c r="F70" s="550"/>
      <c r="G70" s="550"/>
      <c r="H70" s="550"/>
      <c r="I70" s="550"/>
      <c r="J70" s="550"/>
      <c r="K70" s="550"/>
      <c r="L70" s="550"/>
      <c r="M70" s="550"/>
      <c r="N70" s="550"/>
      <c r="O70" s="439"/>
      <c r="P70" s="439"/>
      <c r="Q70" s="674"/>
      <c r="R70" s="671"/>
      <c r="S70" s="671"/>
      <c r="T70" s="671"/>
      <c r="U70" s="671"/>
      <c r="V70" s="671"/>
      <c r="W70" s="671"/>
      <c r="X70" s="767"/>
      <c r="Y70" s="671"/>
      <c r="Z70" s="671"/>
      <c r="AA70" s="767"/>
      <c r="AB70" s="623"/>
      <c r="AC70" s="623"/>
      <c r="AD70" s="623"/>
      <c r="AE70" s="623"/>
      <c r="AF70" s="623"/>
      <c r="AG70" s="623"/>
      <c r="AH70" s="623"/>
      <c r="AI70" s="623"/>
      <c r="AJ70" s="623"/>
      <c r="AK70" s="623"/>
      <c r="AL70" s="623"/>
      <c r="AM70" s="623"/>
      <c r="AN70" s="623"/>
      <c r="AO70" s="623"/>
      <c r="AP70" s="623"/>
      <c r="AQ70" s="623"/>
      <c r="AR70" s="623"/>
      <c r="AS70" s="623"/>
      <c r="AT70" s="623"/>
      <c r="AU70" s="623"/>
      <c r="AV70" s="623"/>
      <c r="AW70" s="623"/>
      <c r="AX70" s="623"/>
      <c r="AY70" s="623"/>
      <c r="AZ70" s="623"/>
      <c r="BA70" s="623"/>
      <c r="BB70" s="623"/>
      <c r="BC70" s="623"/>
      <c r="BD70" s="623"/>
      <c r="BE70" s="623"/>
      <c r="BF70" s="623"/>
      <c r="BG70" s="623"/>
      <c r="BH70" s="623"/>
      <c r="BI70" s="623"/>
      <c r="BJ70" s="623"/>
      <c r="BK70" s="623"/>
      <c r="BL70" s="623"/>
      <c r="BM70" s="623"/>
      <c r="BN70" s="623"/>
      <c r="BO70" s="623"/>
      <c r="BP70" s="623"/>
      <c r="BQ70" s="623"/>
      <c r="BR70" s="623"/>
      <c r="BS70" s="623"/>
      <c r="BT70" s="623"/>
      <c r="BU70" s="623"/>
      <c r="BV70" s="623"/>
      <c r="BW70" s="623"/>
      <c r="BX70" s="623"/>
      <c r="BY70" s="623"/>
      <c r="BZ70" s="623"/>
      <c r="CA70" s="623"/>
      <c r="CB70" s="1669"/>
      <c r="CC70" s="1669"/>
      <c r="CD70" s="1669"/>
      <c r="CE70" s="1669"/>
      <c r="CF70" s="1669"/>
      <c r="CG70" s="1669"/>
      <c r="CH70" s="1669"/>
      <c r="CI70" s="1669"/>
      <c r="CJ70" s="1669"/>
      <c r="CK70" s="1669"/>
      <c r="CL70" s="1669"/>
      <c r="CM70" s="1669"/>
      <c r="CN70" s="1669"/>
      <c r="CO70" s="1669"/>
      <c r="CP70" s="1669"/>
      <c r="CQ70" s="1669"/>
      <c r="CR70" s="1669"/>
      <c r="CS70" s="1669"/>
      <c r="CT70" s="1669"/>
      <c r="CU70" s="1669"/>
      <c r="CV70" s="1669"/>
      <c r="CW70" s="1669"/>
      <c r="CX70" s="1669"/>
      <c r="CY70" s="817"/>
      <c r="CZ70" s="1669"/>
      <c r="DA70" s="1669"/>
      <c r="DB70" s="1669"/>
      <c r="DC70" s="767"/>
      <c r="DD70" s="1669"/>
      <c r="DE70" s="1669"/>
      <c r="DF70" s="1669"/>
      <c r="DG70" s="1669"/>
      <c r="DH70" s="1669"/>
      <c r="DI70" s="1669"/>
      <c r="DJ70" s="1669"/>
      <c r="DK70" s="1669"/>
      <c r="DL70" s="1669"/>
      <c r="DM70" s="1669"/>
      <c r="DN70" s="1669"/>
      <c r="DO70" s="767"/>
      <c r="DP70" s="1669"/>
      <c r="DQ70" s="1669"/>
      <c r="DR70" s="623"/>
      <c r="DS70" s="623"/>
      <c r="DT70" s="623"/>
      <c r="DU70" s="623"/>
      <c r="DV70" s="1675"/>
    </row>
    <row r="71" spans="1:126" ht="13.8" hidden="1">
      <c r="A71" s="1676"/>
      <c r="B71" s="550"/>
      <c r="C71" s="550"/>
      <c r="D71" s="550"/>
      <c r="E71" s="550"/>
      <c r="F71" s="550"/>
      <c r="G71" s="550"/>
      <c r="H71" s="550"/>
      <c r="I71" s="550"/>
      <c r="J71" s="550"/>
      <c r="K71" s="550"/>
      <c r="L71" s="550"/>
      <c r="M71" s="550"/>
      <c r="N71" s="550"/>
      <c r="O71" s="439"/>
      <c r="P71" s="439"/>
      <c r="Q71" s="674"/>
      <c r="R71" s="671"/>
      <c r="S71" s="671"/>
      <c r="T71" s="671"/>
      <c r="U71" s="671"/>
      <c r="V71" s="671"/>
      <c r="W71" s="671"/>
      <c r="X71" s="767"/>
      <c r="Y71" s="671"/>
      <c r="Z71" s="671"/>
      <c r="AA71" s="767"/>
      <c r="AB71" s="623"/>
      <c r="AC71" s="623"/>
      <c r="AD71" s="623"/>
      <c r="AE71" s="623"/>
      <c r="AF71" s="623"/>
      <c r="AG71" s="623"/>
      <c r="AH71" s="623"/>
      <c r="AI71" s="623"/>
      <c r="AJ71" s="623"/>
      <c r="AK71" s="623"/>
      <c r="AL71" s="623"/>
      <c r="AM71" s="623"/>
      <c r="AN71" s="623"/>
      <c r="AO71" s="623"/>
      <c r="AP71" s="623"/>
      <c r="AQ71" s="623"/>
      <c r="AR71" s="623"/>
      <c r="AS71" s="623"/>
      <c r="AT71" s="623"/>
      <c r="AU71" s="623"/>
      <c r="AV71" s="623"/>
      <c r="AW71" s="623"/>
      <c r="AX71" s="623"/>
      <c r="AY71" s="623"/>
      <c r="AZ71" s="623"/>
      <c r="BA71" s="623"/>
      <c r="BB71" s="623"/>
      <c r="BC71" s="623"/>
      <c r="BD71" s="623"/>
      <c r="BE71" s="623"/>
      <c r="BF71" s="623"/>
      <c r="BG71" s="623"/>
      <c r="BH71" s="623"/>
      <c r="BI71" s="623"/>
      <c r="BJ71" s="623"/>
      <c r="BK71" s="623"/>
      <c r="BL71" s="623"/>
      <c r="BM71" s="623"/>
      <c r="BN71" s="623"/>
      <c r="BO71" s="623"/>
      <c r="BP71" s="623"/>
      <c r="BQ71" s="623"/>
      <c r="BR71" s="623"/>
      <c r="BS71" s="623"/>
      <c r="BT71" s="623"/>
      <c r="BU71" s="623"/>
      <c r="BV71" s="623"/>
      <c r="BW71" s="623"/>
      <c r="BX71" s="623"/>
      <c r="BY71" s="623"/>
      <c r="BZ71" s="623"/>
      <c r="CA71" s="623"/>
      <c r="CB71" s="1669"/>
      <c r="CC71" s="1669"/>
      <c r="CD71" s="1669"/>
      <c r="CE71" s="1669"/>
      <c r="CF71" s="1669"/>
      <c r="CG71" s="1669"/>
      <c r="CH71" s="1669"/>
      <c r="CI71" s="1669"/>
      <c r="CJ71" s="1669"/>
      <c r="CK71" s="1669"/>
      <c r="CL71" s="1669"/>
      <c r="CM71" s="1669"/>
      <c r="CN71" s="1669"/>
      <c r="CO71" s="1669"/>
      <c r="CP71" s="1669"/>
      <c r="CQ71" s="1669"/>
      <c r="CR71" s="1669"/>
      <c r="CS71" s="1669"/>
      <c r="CT71" s="1669"/>
      <c r="CU71" s="1669"/>
      <c r="CV71" s="1669"/>
      <c r="CW71" s="1669"/>
      <c r="CX71" s="1669"/>
      <c r="CY71" s="817"/>
      <c r="CZ71" s="1669"/>
      <c r="DA71" s="1669"/>
      <c r="DB71" s="1669"/>
      <c r="DC71" s="767"/>
      <c r="DD71" s="1669"/>
      <c r="DE71" s="1669"/>
      <c r="DF71" s="1669"/>
      <c r="DG71" s="1669"/>
      <c r="DH71" s="1669"/>
      <c r="DI71" s="1669"/>
      <c r="DJ71" s="1669"/>
      <c r="DK71" s="1669"/>
      <c r="DL71" s="1669"/>
      <c r="DM71" s="1669"/>
      <c r="DN71" s="1669"/>
      <c r="DO71" s="767"/>
      <c r="DP71" s="1669"/>
      <c r="DQ71" s="1669"/>
      <c r="DR71" s="623"/>
      <c r="DS71" s="623"/>
      <c r="DT71" s="623"/>
      <c r="DU71" s="623"/>
      <c r="DV71" s="1675"/>
    </row>
    <row r="72" spans="1:126" ht="13.8" hidden="1">
      <c r="A72" s="1676"/>
      <c r="B72" s="550"/>
      <c r="C72" s="550"/>
      <c r="D72" s="550"/>
      <c r="E72" s="550"/>
      <c r="F72" s="550"/>
      <c r="G72" s="550"/>
      <c r="H72" s="550"/>
      <c r="I72" s="550"/>
      <c r="J72" s="550"/>
      <c r="K72" s="550"/>
      <c r="L72" s="550"/>
      <c r="M72" s="550"/>
      <c r="N72" s="550"/>
      <c r="O72" s="439"/>
      <c r="P72" s="439"/>
      <c r="Q72" s="674"/>
      <c r="R72" s="671"/>
      <c r="S72" s="671"/>
      <c r="T72" s="671"/>
      <c r="U72" s="671"/>
      <c r="V72" s="671"/>
      <c r="W72" s="671"/>
      <c r="X72" s="767"/>
      <c r="Y72" s="671"/>
      <c r="Z72" s="671"/>
      <c r="AA72" s="767"/>
      <c r="AB72" s="623"/>
      <c r="AC72" s="623"/>
      <c r="AD72" s="623"/>
      <c r="AE72" s="623"/>
      <c r="AF72" s="623"/>
      <c r="AG72" s="623"/>
      <c r="AH72" s="623"/>
      <c r="AI72" s="623"/>
      <c r="AJ72" s="623"/>
      <c r="AK72" s="623"/>
      <c r="AL72" s="623"/>
      <c r="AM72" s="623"/>
      <c r="AN72" s="623"/>
      <c r="AO72" s="623"/>
      <c r="AP72" s="623"/>
      <c r="AQ72" s="623"/>
      <c r="AR72" s="623"/>
      <c r="AS72" s="623"/>
      <c r="AT72" s="623"/>
      <c r="AU72" s="623"/>
      <c r="AV72" s="623"/>
      <c r="AW72" s="623"/>
      <c r="AX72" s="623"/>
      <c r="AY72" s="623"/>
      <c r="AZ72" s="623"/>
      <c r="BA72" s="623"/>
      <c r="BB72" s="623"/>
      <c r="BC72" s="623"/>
      <c r="BD72" s="623"/>
      <c r="BE72" s="623"/>
      <c r="BF72" s="623"/>
      <c r="BG72" s="623"/>
      <c r="BH72" s="623"/>
      <c r="BI72" s="623"/>
      <c r="BJ72" s="623"/>
      <c r="BK72" s="623"/>
      <c r="BL72" s="623"/>
      <c r="BM72" s="623"/>
      <c r="BN72" s="623"/>
      <c r="BO72" s="623"/>
      <c r="BP72" s="623"/>
      <c r="BQ72" s="623"/>
      <c r="BR72" s="623"/>
      <c r="BS72" s="623"/>
      <c r="BT72" s="623"/>
      <c r="BU72" s="623"/>
      <c r="BV72" s="623"/>
      <c r="BW72" s="623"/>
      <c r="BX72" s="623"/>
      <c r="BY72" s="623"/>
      <c r="BZ72" s="623"/>
      <c r="CA72" s="623"/>
      <c r="CB72" s="1669"/>
      <c r="CC72" s="1669"/>
      <c r="CD72" s="1669"/>
      <c r="CE72" s="1669"/>
      <c r="CF72" s="1669"/>
      <c r="CG72" s="1669"/>
      <c r="CH72" s="1669"/>
      <c r="CI72" s="1669"/>
      <c r="CJ72" s="1669"/>
      <c r="CK72" s="1669"/>
      <c r="CL72" s="1669"/>
      <c r="CM72" s="1669"/>
      <c r="CN72" s="1669"/>
      <c r="CO72" s="1669"/>
      <c r="CP72" s="1669"/>
      <c r="CQ72" s="1669"/>
      <c r="CR72" s="1669"/>
      <c r="CS72" s="1669"/>
      <c r="CT72" s="1669"/>
      <c r="CU72" s="1669"/>
      <c r="CV72" s="1669"/>
      <c r="CW72" s="1669"/>
      <c r="CX72" s="1669"/>
      <c r="CY72" s="817"/>
      <c r="CZ72" s="1669"/>
      <c r="DA72" s="1669"/>
      <c r="DB72" s="1669"/>
      <c r="DC72" s="767"/>
      <c r="DD72" s="1669"/>
      <c r="DE72" s="1669"/>
      <c r="DF72" s="1669"/>
      <c r="DG72" s="1669"/>
      <c r="DH72" s="1669"/>
      <c r="DI72" s="1669"/>
      <c r="DJ72" s="1669"/>
      <c r="DK72" s="1669"/>
      <c r="DL72" s="1669"/>
      <c r="DM72" s="1669"/>
      <c r="DN72" s="1669"/>
      <c r="DO72" s="767"/>
      <c r="DP72" s="1669"/>
      <c r="DQ72" s="1669"/>
      <c r="DR72" s="623"/>
      <c r="DS72" s="623"/>
      <c r="DT72" s="623"/>
      <c r="DU72" s="623"/>
      <c r="DV72" s="1675"/>
    </row>
    <row r="73" spans="1:126" ht="13.8" hidden="1">
      <c r="A73" s="1676"/>
      <c r="B73" s="550"/>
      <c r="C73" s="550"/>
      <c r="D73" s="550"/>
      <c r="E73" s="550"/>
      <c r="F73" s="550"/>
      <c r="G73" s="550"/>
      <c r="H73" s="550"/>
      <c r="I73" s="550"/>
      <c r="J73" s="550"/>
      <c r="K73" s="550"/>
      <c r="L73" s="550"/>
      <c r="M73" s="550"/>
      <c r="N73" s="550"/>
      <c r="O73" s="439"/>
      <c r="P73" s="439"/>
      <c r="Q73" s="674"/>
      <c r="R73" s="671"/>
      <c r="S73" s="671"/>
      <c r="T73" s="671"/>
      <c r="U73" s="671"/>
      <c r="V73" s="671"/>
      <c r="W73" s="671"/>
      <c r="X73" s="767"/>
      <c r="Y73" s="671"/>
      <c r="Z73" s="671"/>
      <c r="AA73" s="767"/>
      <c r="AB73" s="623"/>
      <c r="AC73" s="623"/>
      <c r="AD73" s="623"/>
      <c r="AE73" s="623"/>
      <c r="AF73" s="623"/>
      <c r="AG73" s="623"/>
      <c r="AH73" s="623"/>
      <c r="AI73" s="623"/>
      <c r="AJ73" s="623"/>
      <c r="AK73" s="623"/>
      <c r="AL73" s="623"/>
      <c r="AM73" s="623"/>
      <c r="AN73" s="623"/>
      <c r="AO73" s="623"/>
      <c r="AP73" s="623"/>
      <c r="AQ73" s="623"/>
      <c r="AR73" s="623"/>
      <c r="AS73" s="623"/>
      <c r="AT73" s="623"/>
      <c r="AU73" s="623"/>
      <c r="AV73" s="623"/>
      <c r="AW73" s="623"/>
      <c r="AX73" s="623"/>
      <c r="AY73" s="623"/>
      <c r="AZ73" s="623"/>
      <c r="BA73" s="623"/>
      <c r="BB73" s="623"/>
      <c r="BC73" s="623"/>
      <c r="BD73" s="623"/>
      <c r="BE73" s="623"/>
      <c r="BF73" s="623"/>
      <c r="BG73" s="623"/>
      <c r="BH73" s="623"/>
      <c r="BI73" s="623"/>
      <c r="BJ73" s="623"/>
      <c r="BK73" s="623"/>
      <c r="BL73" s="623"/>
      <c r="BM73" s="623"/>
      <c r="BN73" s="623"/>
      <c r="BO73" s="623"/>
      <c r="BP73" s="623"/>
      <c r="BQ73" s="623"/>
      <c r="BR73" s="623"/>
      <c r="BS73" s="623"/>
      <c r="BT73" s="623"/>
      <c r="BU73" s="623"/>
      <c r="BV73" s="623"/>
      <c r="BW73" s="623"/>
      <c r="BX73" s="623"/>
      <c r="BY73" s="623"/>
      <c r="BZ73" s="623"/>
      <c r="CA73" s="623"/>
      <c r="CB73" s="1669"/>
      <c r="CC73" s="1669"/>
      <c r="CD73" s="1669"/>
      <c r="CE73" s="1669"/>
      <c r="CF73" s="1669"/>
      <c r="CG73" s="1669"/>
      <c r="CH73" s="1669"/>
      <c r="CI73" s="1669"/>
      <c r="CJ73" s="1669"/>
      <c r="CK73" s="1669"/>
      <c r="CL73" s="1669"/>
      <c r="CM73" s="1669"/>
      <c r="CN73" s="1669"/>
      <c r="CO73" s="1669"/>
      <c r="CP73" s="1669"/>
      <c r="CQ73" s="1669"/>
      <c r="CR73" s="1669"/>
      <c r="CS73" s="1669"/>
      <c r="CT73" s="1669"/>
      <c r="CU73" s="1669"/>
      <c r="CV73" s="1669"/>
      <c r="CW73" s="1669"/>
      <c r="CX73" s="1669"/>
      <c r="CY73" s="817"/>
      <c r="CZ73" s="1669"/>
      <c r="DA73" s="1669"/>
      <c r="DB73" s="1669"/>
      <c r="DC73" s="767"/>
      <c r="DD73" s="1669"/>
      <c r="DE73" s="1669"/>
      <c r="DF73" s="1669"/>
      <c r="DG73" s="1669"/>
      <c r="DH73" s="1669"/>
      <c r="DI73" s="1669"/>
      <c r="DJ73" s="1669"/>
      <c r="DK73" s="1669"/>
      <c r="DL73" s="1669"/>
      <c r="DM73" s="1669"/>
      <c r="DN73" s="1669"/>
      <c r="DO73" s="767"/>
      <c r="DP73" s="1669"/>
      <c r="DQ73" s="1669"/>
      <c r="DR73" s="623"/>
      <c r="DS73" s="623"/>
      <c r="DT73" s="623"/>
      <c r="DU73" s="623"/>
      <c r="DV73" s="1675"/>
    </row>
    <row r="74" spans="1:126" ht="13.8" hidden="1">
      <c r="A74" s="1676"/>
      <c r="B74" s="550"/>
      <c r="C74" s="550"/>
      <c r="D74" s="550"/>
      <c r="E74" s="550"/>
      <c r="F74" s="550"/>
      <c r="G74" s="550"/>
      <c r="H74" s="550"/>
      <c r="I74" s="550"/>
      <c r="J74" s="550"/>
      <c r="K74" s="550"/>
      <c r="L74" s="550"/>
      <c r="M74" s="550"/>
      <c r="N74" s="550"/>
      <c r="O74" s="439"/>
      <c r="P74" s="439"/>
      <c r="Q74" s="674"/>
      <c r="R74" s="671"/>
      <c r="S74" s="671"/>
      <c r="T74" s="671"/>
      <c r="U74" s="671"/>
      <c r="V74" s="671"/>
      <c r="W74" s="671"/>
      <c r="X74" s="767"/>
      <c r="Y74" s="671"/>
      <c r="Z74" s="671"/>
      <c r="AA74" s="767"/>
      <c r="AB74" s="623"/>
      <c r="AC74" s="623"/>
      <c r="AD74" s="623"/>
      <c r="AE74" s="623"/>
      <c r="AF74" s="623"/>
      <c r="AG74" s="623"/>
      <c r="AH74" s="623"/>
      <c r="AI74" s="623"/>
      <c r="AJ74" s="623"/>
      <c r="AK74" s="623"/>
      <c r="AL74" s="623"/>
      <c r="AM74" s="623"/>
      <c r="AN74" s="623"/>
      <c r="AO74" s="623"/>
      <c r="AP74" s="623"/>
      <c r="AQ74" s="623"/>
      <c r="AR74" s="623"/>
      <c r="AS74" s="623"/>
      <c r="AT74" s="623"/>
      <c r="AU74" s="623"/>
      <c r="AV74" s="623"/>
      <c r="AW74" s="623"/>
      <c r="AX74" s="623"/>
      <c r="AY74" s="623"/>
      <c r="AZ74" s="623"/>
      <c r="BA74" s="623"/>
      <c r="BB74" s="623"/>
      <c r="BC74" s="623"/>
      <c r="BD74" s="623"/>
      <c r="BE74" s="623"/>
      <c r="BF74" s="623"/>
      <c r="BG74" s="623"/>
      <c r="BH74" s="623"/>
      <c r="BI74" s="623"/>
      <c r="BJ74" s="623"/>
      <c r="BK74" s="623"/>
      <c r="BL74" s="623"/>
      <c r="BM74" s="623"/>
      <c r="BN74" s="623"/>
      <c r="BO74" s="623"/>
      <c r="BP74" s="623"/>
      <c r="BQ74" s="623"/>
      <c r="BR74" s="623"/>
      <c r="BS74" s="623"/>
      <c r="BT74" s="623"/>
      <c r="BU74" s="623"/>
      <c r="BV74" s="623"/>
      <c r="BW74" s="623"/>
      <c r="BX74" s="623"/>
      <c r="BY74" s="623"/>
      <c r="BZ74" s="623"/>
      <c r="CA74" s="623"/>
      <c r="CB74" s="1669"/>
      <c r="CC74" s="1669"/>
      <c r="CD74" s="1669"/>
      <c r="CE74" s="1669"/>
      <c r="CF74" s="1669"/>
      <c r="CG74" s="1669"/>
      <c r="CH74" s="1669"/>
      <c r="CI74" s="1669"/>
      <c r="CJ74" s="1669"/>
      <c r="CK74" s="1669"/>
      <c r="CL74" s="1669"/>
      <c r="CM74" s="1669"/>
      <c r="CN74" s="1669"/>
      <c r="CO74" s="1669"/>
      <c r="CP74" s="1669"/>
      <c r="CQ74" s="1669"/>
      <c r="CR74" s="1669"/>
      <c r="CS74" s="1669"/>
      <c r="CT74" s="1669"/>
      <c r="CU74" s="1669"/>
      <c r="CV74" s="1669"/>
      <c r="CW74" s="1669"/>
      <c r="CX74" s="1669"/>
      <c r="CY74" s="817"/>
      <c r="CZ74" s="1669"/>
      <c r="DA74" s="1669"/>
      <c r="DB74" s="1669"/>
      <c r="DC74" s="767"/>
      <c r="DD74" s="1669"/>
      <c r="DE74" s="1669"/>
      <c r="DF74" s="1669"/>
      <c r="DG74" s="1669"/>
      <c r="DH74" s="1669"/>
      <c r="DI74" s="1669"/>
      <c r="DJ74" s="1669"/>
      <c r="DK74" s="1669"/>
      <c r="DL74" s="1669"/>
      <c r="DM74" s="1669"/>
      <c r="DN74" s="1669"/>
      <c r="DO74" s="767"/>
      <c r="DP74" s="1669"/>
      <c r="DQ74" s="1669"/>
      <c r="DR74" s="623"/>
      <c r="DS74" s="623"/>
      <c r="DT74" s="623"/>
      <c r="DU74" s="623"/>
      <c r="DV74" s="1675"/>
    </row>
    <row r="75" spans="1:126" ht="13.8" hidden="1">
      <c r="A75" s="1676"/>
      <c r="B75" s="550"/>
      <c r="C75" s="550"/>
      <c r="D75" s="550"/>
      <c r="E75" s="550"/>
      <c r="F75" s="550"/>
      <c r="G75" s="550"/>
      <c r="H75" s="550"/>
      <c r="I75" s="550"/>
      <c r="J75" s="550"/>
      <c r="K75" s="550"/>
      <c r="L75" s="550"/>
      <c r="M75" s="550"/>
      <c r="N75" s="550"/>
      <c r="O75" s="439"/>
      <c r="P75" s="439"/>
      <c r="Q75" s="674"/>
      <c r="R75" s="671"/>
      <c r="S75" s="671"/>
      <c r="T75" s="671"/>
      <c r="U75" s="671"/>
      <c r="V75" s="671"/>
      <c r="W75" s="671"/>
      <c r="X75" s="767"/>
      <c r="Y75" s="671"/>
      <c r="Z75" s="671"/>
      <c r="AA75" s="767"/>
      <c r="AB75" s="623"/>
      <c r="AC75" s="623"/>
      <c r="AD75" s="623"/>
      <c r="AE75" s="623"/>
      <c r="AF75" s="623"/>
      <c r="AG75" s="623"/>
      <c r="AH75" s="623"/>
      <c r="AI75" s="623"/>
      <c r="AJ75" s="623"/>
      <c r="AK75" s="623"/>
      <c r="AL75" s="623"/>
      <c r="AM75" s="623"/>
      <c r="AN75" s="623"/>
      <c r="AO75" s="623"/>
      <c r="AP75" s="623"/>
      <c r="AQ75" s="623"/>
      <c r="AR75" s="623"/>
      <c r="AS75" s="623"/>
      <c r="AT75" s="623"/>
      <c r="AU75" s="623"/>
      <c r="AV75" s="623"/>
      <c r="AW75" s="623"/>
      <c r="AX75" s="623"/>
      <c r="AY75" s="623"/>
      <c r="AZ75" s="623"/>
      <c r="BA75" s="623"/>
      <c r="BB75" s="623"/>
      <c r="BC75" s="623"/>
      <c r="BD75" s="623"/>
      <c r="BE75" s="623"/>
      <c r="BF75" s="623"/>
      <c r="BG75" s="623"/>
      <c r="BH75" s="623"/>
      <c r="BI75" s="623"/>
      <c r="BJ75" s="623"/>
      <c r="BK75" s="623"/>
      <c r="BL75" s="623"/>
      <c r="BM75" s="623"/>
      <c r="BN75" s="623"/>
      <c r="BO75" s="623"/>
      <c r="BP75" s="623"/>
      <c r="BQ75" s="623"/>
      <c r="BR75" s="623"/>
      <c r="BS75" s="623"/>
      <c r="BT75" s="623"/>
      <c r="BU75" s="623"/>
      <c r="BV75" s="623"/>
      <c r="BW75" s="623"/>
      <c r="BX75" s="623"/>
      <c r="BY75" s="623"/>
      <c r="BZ75" s="623"/>
      <c r="CA75" s="623"/>
      <c r="CB75" s="1669"/>
      <c r="CC75" s="1669"/>
      <c r="CD75" s="1669"/>
      <c r="CE75" s="1669"/>
      <c r="CF75" s="1669"/>
      <c r="CG75" s="1669"/>
      <c r="CH75" s="1669"/>
      <c r="CI75" s="1669"/>
      <c r="CJ75" s="1669"/>
      <c r="CK75" s="1669"/>
      <c r="CL75" s="1669"/>
      <c r="CM75" s="1669"/>
      <c r="CN75" s="1669"/>
      <c r="CO75" s="1669"/>
      <c r="CP75" s="1669"/>
      <c r="CQ75" s="1669"/>
      <c r="CR75" s="1669"/>
      <c r="CS75" s="1669"/>
      <c r="CT75" s="1669"/>
      <c r="CU75" s="1669"/>
      <c r="CV75" s="1669"/>
      <c r="CW75" s="1669"/>
      <c r="CX75" s="1669"/>
      <c r="CY75" s="817"/>
      <c r="CZ75" s="1669"/>
      <c r="DA75" s="1669"/>
      <c r="DB75" s="1669"/>
      <c r="DC75" s="767"/>
      <c r="DD75" s="1669"/>
      <c r="DE75" s="1669"/>
      <c r="DF75" s="1669"/>
      <c r="DG75" s="1669"/>
      <c r="DH75" s="1669"/>
      <c r="DI75" s="1669"/>
      <c r="DJ75" s="1669"/>
      <c r="DK75" s="1669"/>
      <c r="DL75" s="1669"/>
      <c r="DM75" s="1669"/>
      <c r="DN75" s="1669"/>
      <c r="DO75" s="767"/>
      <c r="DP75" s="1669"/>
      <c r="DQ75" s="1669"/>
      <c r="DR75" s="623"/>
      <c r="DS75" s="623"/>
      <c r="DT75" s="623"/>
      <c r="DU75" s="623"/>
      <c r="DV75" s="1675"/>
    </row>
    <row r="76" spans="1:126" ht="13.8" hidden="1">
      <c r="A76" s="1676"/>
      <c r="B76" s="550"/>
      <c r="C76" s="550"/>
      <c r="D76" s="550"/>
      <c r="E76" s="550"/>
      <c r="F76" s="550"/>
      <c r="G76" s="550"/>
      <c r="H76" s="550"/>
      <c r="I76" s="550"/>
      <c r="J76" s="550"/>
      <c r="K76" s="550"/>
      <c r="L76" s="550"/>
      <c r="M76" s="550"/>
      <c r="N76" s="550"/>
      <c r="O76" s="439"/>
      <c r="P76" s="439"/>
      <c r="Q76" s="674"/>
      <c r="R76" s="671"/>
      <c r="S76" s="671"/>
      <c r="T76" s="671"/>
      <c r="U76" s="671"/>
      <c r="V76" s="671"/>
      <c r="W76" s="671"/>
      <c r="X76" s="767"/>
      <c r="Y76" s="671"/>
      <c r="Z76" s="671"/>
      <c r="AA76" s="767"/>
      <c r="AB76" s="623"/>
      <c r="AC76" s="623"/>
      <c r="AD76" s="623"/>
      <c r="AE76" s="623"/>
      <c r="AF76" s="623"/>
      <c r="AG76" s="623"/>
      <c r="AH76" s="623"/>
      <c r="AI76" s="623"/>
      <c r="AJ76" s="623"/>
      <c r="AK76" s="623"/>
      <c r="AL76" s="623"/>
      <c r="AM76" s="623"/>
      <c r="AN76" s="623"/>
      <c r="AO76" s="623"/>
      <c r="AP76" s="623"/>
      <c r="AQ76" s="623"/>
      <c r="AR76" s="623"/>
      <c r="AS76" s="623"/>
      <c r="AT76" s="623"/>
      <c r="AU76" s="623"/>
      <c r="AV76" s="623"/>
      <c r="AW76" s="623"/>
      <c r="AX76" s="623"/>
      <c r="AY76" s="623"/>
      <c r="AZ76" s="623"/>
      <c r="BA76" s="623"/>
      <c r="BB76" s="623"/>
      <c r="BC76" s="623"/>
      <c r="BD76" s="623"/>
      <c r="BE76" s="623"/>
      <c r="BF76" s="623"/>
      <c r="BG76" s="623"/>
      <c r="BH76" s="623"/>
      <c r="BI76" s="623"/>
      <c r="BJ76" s="623"/>
      <c r="BK76" s="623"/>
      <c r="BL76" s="623"/>
      <c r="BM76" s="623"/>
      <c r="BN76" s="623"/>
      <c r="BO76" s="623"/>
      <c r="BP76" s="623"/>
      <c r="BQ76" s="623"/>
      <c r="BR76" s="623"/>
      <c r="BS76" s="623"/>
      <c r="BT76" s="623"/>
      <c r="BU76" s="623"/>
      <c r="BV76" s="623"/>
      <c r="BW76" s="623"/>
      <c r="BX76" s="623"/>
      <c r="BY76" s="623"/>
      <c r="BZ76" s="623"/>
      <c r="CA76" s="623"/>
      <c r="CB76" s="1669"/>
      <c r="CC76" s="1669"/>
      <c r="CD76" s="1669"/>
      <c r="CE76" s="1669"/>
      <c r="CF76" s="1669"/>
      <c r="CG76" s="1669"/>
      <c r="CH76" s="1669"/>
      <c r="CI76" s="1669"/>
      <c r="CJ76" s="1669"/>
      <c r="CK76" s="1669"/>
      <c r="CL76" s="1669"/>
      <c r="CM76" s="1669"/>
      <c r="CN76" s="1669"/>
      <c r="CO76" s="1669"/>
      <c r="CP76" s="1669"/>
      <c r="CQ76" s="1669"/>
      <c r="CR76" s="1669"/>
      <c r="CS76" s="1669"/>
      <c r="CT76" s="1669"/>
      <c r="CU76" s="1669"/>
      <c r="CV76" s="1669"/>
      <c r="CW76" s="1669"/>
      <c r="CX76" s="1669"/>
      <c r="CY76" s="817"/>
      <c r="CZ76" s="1669"/>
      <c r="DA76" s="1669"/>
      <c r="DB76" s="1669"/>
      <c r="DC76" s="767"/>
      <c r="DD76" s="1669"/>
      <c r="DE76" s="1669"/>
      <c r="DF76" s="1669"/>
      <c r="DG76" s="1669"/>
      <c r="DH76" s="1669"/>
      <c r="DI76" s="1669"/>
      <c r="DJ76" s="1669"/>
      <c r="DK76" s="1669"/>
      <c r="DL76" s="1669"/>
      <c r="DM76" s="1669"/>
      <c r="DN76" s="1669"/>
      <c r="DO76" s="767"/>
      <c r="DP76" s="1669"/>
      <c r="DQ76" s="1669"/>
      <c r="DR76" s="623"/>
      <c r="DS76" s="623"/>
      <c r="DT76" s="623"/>
      <c r="DU76" s="623"/>
      <c r="DV76" s="1675"/>
    </row>
    <row r="77" spans="1:126" ht="13.8" hidden="1">
      <c r="A77" s="1676"/>
      <c r="B77" s="550"/>
      <c r="C77" s="550"/>
      <c r="D77" s="550"/>
      <c r="E77" s="550"/>
      <c r="F77" s="550"/>
      <c r="G77" s="550"/>
      <c r="H77" s="550"/>
      <c r="I77" s="550"/>
      <c r="J77" s="550"/>
      <c r="K77" s="550"/>
      <c r="L77" s="550"/>
      <c r="M77" s="550"/>
      <c r="N77" s="550"/>
      <c r="O77" s="439"/>
      <c r="P77" s="439"/>
      <c r="Q77" s="674"/>
      <c r="R77" s="671"/>
      <c r="S77" s="671"/>
      <c r="T77" s="671"/>
      <c r="U77" s="671"/>
      <c r="V77" s="671"/>
      <c r="W77" s="671"/>
      <c r="X77" s="767"/>
      <c r="Y77" s="671"/>
      <c r="Z77" s="671"/>
      <c r="AA77" s="767"/>
      <c r="AB77" s="623"/>
      <c r="AC77" s="623"/>
      <c r="AD77" s="623"/>
      <c r="AE77" s="623"/>
      <c r="AF77" s="623"/>
      <c r="AG77" s="623"/>
      <c r="AH77" s="623"/>
      <c r="AI77" s="623"/>
      <c r="AJ77" s="623"/>
      <c r="AK77" s="623"/>
      <c r="AL77" s="623"/>
      <c r="AM77" s="623"/>
      <c r="AN77" s="623"/>
      <c r="AO77" s="623"/>
      <c r="AP77" s="623"/>
      <c r="AQ77" s="623"/>
      <c r="AR77" s="623"/>
      <c r="AS77" s="623"/>
      <c r="AT77" s="623"/>
      <c r="AU77" s="623"/>
      <c r="AV77" s="623"/>
      <c r="AW77" s="623"/>
      <c r="AX77" s="623"/>
      <c r="AY77" s="623"/>
      <c r="AZ77" s="623"/>
      <c r="BA77" s="623"/>
      <c r="BB77" s="623"/>
      <c r="BC77" s="623"/>
      <c r="BD77" s="623"/>
      <c r="BE77" s="623"/>
      <c r="BF77" s="623"/>
      <c r="BG77" s="623"/>
      <c r="BH77" s="623"/>
      <c r="BI77" s="623"/>
      <c r="BJ77" s="623"/>
      <c r="BK77" s="623"/>
      <c r="BL77" s="623"/>
      <c r="BM77" s="623"/>
      <c r="BN77" s="623"/>
      <c r="BO77" s="623"/>
      <c r="BP77" s="623"/>
      <c r="BQ77" s="623"/>
      <c r="BR77" s="623"/>
      <c r="BS77" s="623"/>
      <c r="BT77" s="623"/>
      <c r="BU77" s="623"/>
      <c r="BV77" s="623"/>
      <c r="BW77" s="623"/>
      <c r="BX77" s="623"/>
      <c r="BY77" s="623"/>
      <c r="BZ77" s="623"/>
      <c r="CA77" s="623"/>
      <c r="CB77" s="1669"/>
      <c r="CC77" s="1669"/>
      <c r="CD77" s="1669"/>
      <c r="CE77" s="1669"/>
      <c r="CF77" s="1669"/>
      <c r="CG77" s="1669"/>
      <c r="CH77" s="1669"/>
      <c r="CI77" s="1669"/>
      <c r="CJ77" s="1669"/>
      <c r="CK77" s="1669"/>
      <c r="CL77" s="1669"/>
      <c r="CM77" s="1669"/>
      <c r="CN77" s="1669"/>
      <c r="CO77" s="1669"/>
      <c r="CP77" s="1669"/>
      <c r="CQ77" s="1669"/>
      <c r="CR77" s="1669"/>
      <c r="CS77" s="1669"/>
      <c r="CT77" s="1669"/>
      <c r="CU77" s="1669"/>
      <c r="CV77" s="1669"/>
      <c r="CW77" s="1669"/>
      <c r="CX77" s="1669"/>
      <c r="CY77" s="817"/>
      <c r="CZ77" s="1669"/>
      <c r="DA77" s="1669"/>
      <c r="DB77" s="1669"/>
      <c r="DC77" s="767"/>
      <c r="DD77" s="1669"/>
      <c r="DE77" s="1669"/>
      <c r="DF77" s="1669"/>
      <c r="DG77" s="1669"/>
      <c r="DH77" s="1669"/>
      <c r="DI77" s="1669"/>
      <c r="DJ77" s="1669"/>
      <c r="DK77" s="1669"/>
      <c r="DL77" s="1669"/>
      <c r="DM77" s="1669"/>
      <c r="DN77" s="1669"/>
      <c r="DO77" s="767"/>
      <c r="DP77" s="1669"/>
      <c r="DQ77" s="1669"/>
      <c r="DR77" s="623"/>
      <c r="DS77" s="623"/>
      <c r="DT77" s="623"/>
      <c r="DU77" s="623"/>
      <c r="DV77" s="1675"/>
    </row>
    <row r="78" spans="1:126" ht="13.8" hidden="1">
      <c r="A78" s="1676"/>
      <c r="B78" s="550"/>
      <c r="C78" s="550"/>
      <c r="D78" s="550"/>
      <c r="E78" s="550"/>
      <c r="F78" s="550"/>
      <c r="G78" s="550"/>
      <c r="H78" s="550"/>
      <c r="I78" s="550"/>
      <c r="J78" s="550"/>
      <c r="K78" s="550"/>
      <c r="L78" s="550"/>
      <c r="M78" s="550"/>
      <c r="N78" s="550"/>
      <c r="O78" s="439"/>
      <c r="P78" s="439"/>
      <c r="Q78" s="674"/>
      <c r="R78" s="671"/>
      <c r="S78" s="671"/>
      <c r="T78" s="671"/>
      <c r="U78" s="671"/>
      <c r="V78" s="671"/>
      <c r="W78" s="671"/>
      <c r="X78" s="767"/>
      <c r="Y78" s="671"/>
      <c r="Z78" s="671"/>
      <c r="AA78" s="767"/>
      <c r="AB78" s="623"/>
      <c r="AC78" s="623"/>
      <c r="AD78" s="623"/>
      <c r="AE78" s="623"/>
      <c r="AF78" s="623"/>
      <c r="AG78" s="623"/>
      <c r="AH78" s="623"/>
      <c r="AI78" s="623"/>
      <c r="AJ78" s="623"/>
      <c r="AK78" s="623"/>
      <c r="AL78" s="623"/>
      <c r="AM78" s="623"/>
      <c r="AN78" s="623"/>
      <c r="AO78" s="623"/>
      <c r="AP78" s="623"/>
      <c r="AQ78" s="623"/>
      <c r="AR78" s="623"/>
      <c r="AS78" s="623"/>
      <c r="AT78" s="623"/>
      <c r="AU78" s="623"/>
      <c r="AV78" s="623"/>
      <c r="AW78" s="623"/>
      <c r="AX78" s="623"/>
      <c r="AY78" s="623"/>
      <c r="AZ78" s="623"/>
      <c r="BA78" s="623"/>
      <c r="BB78" s="623"/>
      <c r="BC78" s="623"/>
      <c r="BD78" s="623"/>
      <c r="BE78" s="623"/>
      <c r="BF78" s="623"/>
      <c r="BG78" s="623"/>
      <c r="BH78" s="623"/>
      <c r="BI78" s="623"/>
      <c r="BJ78" s="623"/>
      <c r="BK78" s="623"/>
      <c r="BL78" s="623"/>
      <c r="BM78" s="623"/>
      <c r="BN78" s="623"/>
      <c r="BO78" s="623"/>
      <c r="BP78" s="623"/>
      <c r="BQ78" s="623"/>
      <c r="BR78" s="623"/>
      <c r="BS78" s="623"/>
      <c r="BT78" s="623"/>
      <c r="BU78" s="623"/>
      <c r="BV78" s="623"/>
      <c r="BW78" s="623"/>
      <c r="BX78" s="623"/>
      <c r="BY78" s="623"/>
      <c r="BZ78" s="623"/>
      <c r="CA78" s="623"/>
      <c r="CB78" s="1669"/>
      <c r="CC78" s="1669"/>
      <c r="CD78" s="1669"/>
      <c r="CE78" s="1669"/>
      <c r="CF78" s="1669"/>
      <c r="CG78" s="1669"/>
      <c r="CH78" s="1669"/>
      <c r="CI78" s="1669"/>
      <c r="CJ78" s="1669"/>
      <c r="CK78" s="1669"/>
      <c r="CL78" s="1669"/>
      <c r="CM78" s="1669"/>
      <c r="CN78" s="1669"/>
      <c r="CO78" s="1669"/>
      <c r="CP78" s="1669"/>
      <c r="CQ78" s="1669"/>
      <c r="CR78" s="1669"/>
      <c r="CS78" s="1669"/>
      <c r="CT78" s="1669"/>
      <c r="CU78" s="1669"/>
      <c r="CV78" s="1669"/>
      <c r="CW78" s="1669"/>
      <c r="CX78" s="1669"/>
      <c r="CY78" s="817"/>
      <c r="CZ78" s="1669"/>
      <c r="DA78" s="1669"/>
      <c r="DB78" s="1669"/>
      <c r="DC78" s="767"/>
      <c r="DD78" s="1669"/>
      <c r="DE78" s="1669"/>
      <c r="DF78" s="1669"/>
      <c r="DG78" s="1669"/>
      <c r="DH78" s="1669"/>
      <c r="DI78" s="1669"/>
      <c r="DJ78" s="1669"/>
      <c r="DK78" s="1669"/>
      <c r="DL78" s="1669"/>
      <c r="DM78" s="1669"/>
      <c r="DN78" s="1669"/>
      <c r="DO78" s="767"/>
      <c r="DP78" s="1669"/>
      <c r="DQ78" s="1669"/>
      <c r="DR78" s="623"/>
      <c r="DS78" s="623"/>
      <c r="DT78" s="623"/>
      <c r="DU78" s="623"/>
      <c r="DV78" s="1675"/>
    </row>
    <row r="79" spans="1:126" ht="13.8" hidden="1">
      <c r="A79" s="1676"/>
      <c r="B79" s="550"/>
      <c r="C79" s="550"/>
      <c r="D79" s="550"/>
      <c r="E79" s="550"/>
      <c r="F79" s="550"/>
      <c r="G79" s="550"/>
      <c r="H79" s="550"/>
      <c r="I79" s="550"/>
      <c r="J79" s="550"/>
      <c r="K79" s="550"/>
      <c r="L79" s="550"/>
      <c r="M79" s="550"/>
      <c r="N79" s="550"/>
      <c r="O79" s="439"/>
      <c r="P79" s="439"/>
      <c r="Q79" s="674"/>
      <c r="R79" s="671"/>
      <c r="S79" s="671"/>
      <c r="T79" s="671"/>
      <c r="U79" s="671"/>
      <c r="V79" s="671"/>
      <c r="W79" s="671"/>
      <c r="X79" s="767"/>
      <c r="Y79" s="671"/>
      <c r="Z79" s="671"/>
      <c r="AA79" s="767"/>
      <c r="AB79" s="623"/>
      <c r="AC79" s="623"/>
      <c r="AD79" s="623"/>
      <c r="AE79" s="623"/>
      <c r="AF79" s="623"/>
      <c r="AG79" s="623"/>
      <c r="AH79" s="623"/>
      <c r="AI79" s="623"/>
      <c r="AJ79" s="623"/>
      <c r="AK79" s="623"/>
      <c r="AL79" s="623"/>
      <c r="AM79" s="623"/>
      <c r="AN79" s="623"/>
      <c r="AO79" s="623"/>
      <c r="AP79" s="623"/>
      <c r="AQ79" s="623"/>
      <c r="AR79" s="623"/>
      <c r="AS79" s="623"/>
      <c r="AT79" s="623"/>
      <c r="AU79" s="623"/>
      <c r="AV79" s="623"/>
      <c r="AW79" s="623"/>
      <c r="AX79" s="623"/>
      <c r="AY79" s="623"/>
      <c r="AZ79" s="623"/>
      <c r="BA79" s="623"/>
      <c r="BB79" s="623"/>
      <c r="BC79" s="623"/>
      <c r="BD79" s="623"/>
      <c r="BE79" s="623"/>
      <c r="BF79" s="623"/>
      <c r="BG79" s="623"/>
      <c r="BH79" s="623"/>
      <c r="BI79" s="623"/>
      <c r="BJ79" s="623"/>
      <c r="BK79" s="623"/>
      <c r="BL79" s="623"/>
      <c r="BM79" s="623"/>
      <c r="BN79" s="623"/>
      <c r="BO79" s="623"/>
      <c r="BP79" s="623"/>
      <c r="BQ79" s="623"/>
      <c r="BR79" s="623"/>
      <c r="BS79" s="623"/>
      <c r="BT79" s="623"/>
      <c r="BU79" s="623"/>
      <c r="BV79" s="623"/>
      <c r="BW79" s="623"/>
      <c r="BX79" s="623"/>
      <c r="BY79" s="623"/>
      <c r="BZ79" s="623"/>
      <c r="CA79" s="623"/>
      <c r="CB79" s="1669"/>
      <c r="CC79" s="1669"/>
      <c r="CD79" s="1669"/>
      <c r="CE79" s="1669"/>
      <c r="CF79" s="1669"/>
      <c r="CG79" s="1669"/>
      <c r="CH79" s="1669"/>
      <c r="CI79" s="1669"/>
      <c r="CJ79" s="1669"/>
      <c r="CK79" s="1669"/>
      <c r="CL79" s="1669"/>
      <c r="CM79" s="1669"/>
      <c r="CN79" s="1669"/>
      <c r="CO79" s="1669"/>
      <c r="CP79" s="1669"/>
      <c r="CQ79" s="1669"/>
      <c r="CR79" s="1669"/>
      <c r="CS79" s="1669"/>
      <c r="CT79" s="1669"/>
      <c r="CU79" s="1669"/>
      <c r="CV79" s="1669"/>
      <c r="CW79" s="1669"/>
      <c r="CX79" s="1669"/>
      <c r="CY79" s="817"/>
      <c r="CZ79" s="1669"/>
      <c r="DA79" s="1669"/>
      <c r="DB79" s="1669"/>
      <c r="DC79" s="767"/>
      <c r="DD79" s="1669"/>
      <c r="DE79" s="1669"/>
      <c r="DF79" s="1669"/>
      <c r="DG79" s="1669"/>
      <c r="DH79" s="1669"/>
      <c r="DI79" s="1669"/>
      <c r="DJ79" s="1669"/>
      <c r="DK79" s="1669"/>
      <c r="DL79" s="1669"/>
      <c r="DM79" s="1669"/>
      <c r="DN79" s="1669"/>
      <c r="DO79" s="767"/>
      <c r="DP79" s="1669"/>
      <c r="DQ79" s="1669"/>
      <c r="DR79" s="623"/>
      <c r="DS79" s="623"/>
      <c r="DT79" s="623"/>
      <c r="DU79" s="623"/>
      <c r="DV79" s="1675"/>
    </row>
    <row r="80" spans="1:126" ht="13.8" hidden="1">
      <c r="A80" s="1676"/>
      <c r="B80" s="550"/>
      <c r="C80" s="550"/>
      <c r="D80" s="550"/>
      <c r="E80" s="550"/>
      <c r="F80" s="550"/>
      <c r="G80" s="550"/>
      <c r="H80" s="550"/>
      <c r="I80" s="550"/>
      <c r="J80" s="550"/>
      <c r="K80" s="550"/>
      <c r="L80" s="550"/>
      <c r="M80" s="550"/>
      <c r="N80" s="550"/>
      <c r="O80" s="439"/>
      <c r="P80" s="439"/>
      <c r="Q80" s="674"/>
      <c r="R80" s="671"/>
      <c r="S80" s="671"/>
      <c r="T80" s="671"/>
      <c r="U80" s="671"/>
      <c r="V80" s="671"/>
      <c r="W80" s="671"/>
      <c r="X80" s="767"/>
      <c r="Y80" s="671"/>
      <c r="Z80" s="671"/>
      <c r="AA80" s="767"/>
      <c r="AB80" s="623"/>
      <c r="AC80" s="623"/>
      <c r="AD80" s="623"/>
      <c r="AE80" s="623"/>
      <c r="AF80" s="623"/>
      <c r="AG80" s="623"/>
      <c r="AH80" s="623"/>
      <c r="AI80" s="623"/>
      <c r="AJ80" s="623"/>
      <c r="AK80" s="623"/>
      <c r="AL80" s="623"/>
      <c r="AM80" s="623"/>
      <c r="AN80" s="623"/>
      <c r="AO80" s="623"/>
      <c r="AP80" s="623"/>
      <c r="AQ80" s="623"/>
      <c r="AR80" s="623"/>
      <c r="AS80" s="623"/>
      <c r="AT80" s="623"/>
      <c r="AU80" s="623"/>
      <c r="AV80" s="623"/>
      <c r="AW80" s="623"/>
      <c r="AX80" s="623"/>
      <c r="AY80" s="623"/>
      <c r="AZ80" s="623"/>
      <c r="BA80" s="623"/>
      <c r="BB80" s="623"/>
      <c r="BC80" s="623"/>
      <c r="BD80" s="623"/>
      <c r="BE80" s="623"/>
      <c r="BF80" s="623"/>
      <c r="BG80" s="623"/>
      <c r="BH80" s="623"/>
      <c r="BI80" s="623"/>
      <c r="BJ80" s="623"/>
      <c r="BK80" s="623"/>
      <c r="BL80" s="623"/>
      <c r="BM80" s="623"/>
      <c r="BN80" s="623"/>
      <c r="BO80" s="623"/>
      <c r="BP80" s="623"/>
      <c r="BQ80" s="623"/>
      <c r="BR80" s="623"/>
      <c r="BS80" s="623"/>
      <c r="BT80" s="623"/>
      <c r="BU80" s="623"/>
      <c r="BV80" s="623"/>
      <c r="BW80" s="623"/>
      <c r="BX80" s="623"/>
      <c r="BY80" s="623"/>
      <c r="BZ80" s="623"/>
      <c r="CA80" s="623"/>
      <c r="CB80" s="1669"/>
      <c r="CC80" s="1669"/>
      <c r="CD80" s="1669"/>
      <c r="CE80" s="1669"/>
      <c r="CF80" s="1669"/>
      <c r="CG80" s="1669"/>
      <c r="CH80" s="1669"/>
      <c r="CI80" s="1669"/>
      <c r="CJ80" s="1669"/>
      <c r="CK80" s="1669"/>
      <c r="CL80" s="1669"/>
      <c r="CM80" s="1669"/>
      <c r="CN80" s="1669"/>
      <c r="CO80" s="1669"/>
      <c r="CP80" s="1669"/>
      <c r="CQ80" s="1669"/>
      <c r="CR80" s="1669"/>
      <c r="CS80" s="1669"/>
      <c r="CT80" s="1669"/>
      <c r="CU80" s="1669"/>
      <c r="CV80" s="1669"/>
      <c r="CW80" s="1669"/>
      <c r="CX80" s="1669"/>
      <c r="CY80" s="817"/>
      <c r="CZ80" s="1669"/>
      <c r="DA80" s="1669"/>
      <c r="DB80" s="1669"/>
      <c r="DC80" s="767"/>
      <c r="DD80" s="1669"/>
      <c r="DE80" s="1669"/>
      <c r="DF80" s="1669"/>
      <c r="DG80" s="1669"/>
      <c r="DH80" s="1669"/>
      <c r="DI80" s="1669"/>
      <c r="DJ80" s="1669"/>
      <c r="DK80" s="1669"/>
      <c r="DL80" s="1669"/>
      <c r="DM80" s="1669"/>
      <c r="DN80" s="1669"/>
      <c r="DO80" s="767"/>
      <c r="DP80" s="1669"/>
      <c r="DQ80" s="1669"/>
      <c r="DR80" s="623"/>
      <c r="DS80" s="623"/>
      <c r="DT80" s="623"/>
      <c r="DU80" s="623"/>
      <c r="DV80" s="1675"/>
    </row>
    <row r="81" spans="1:256" s="678" customFormat="1" ht="13.8" hidden="1">
      <c r="A81" s="1676"/>
      <c r="B81" s="550"/>
      <c r="C81" s="550"/>
      <c r="D81" s="550"/>
      <c r="E81" s="550"/>
      <c r="F81" s="550"/>
      <c r="G81" s="550"/>
      <c r="H81" s="550"/>
      <c r="I81" s="550"/>
      <c r="J81" s="676"/>
      <c r="K81" s="550"/>
      <c r="L81" s="550"/>
      <c r="M81" s="550"/>
      <c r="N81" s="550"/>
      <c r="O81" s="439"/>
      <c r="P81" s="439"/>
      <c r="Q81" s="674"/>
      <c r="R81" s="671"/>
      <c r="S81" s="671"/>
      <c r="T81" s="671"/>
      <c r="U81" s="671"/>
      <c r="V81" s="671"/>
      <c r="W81" s="671"/>
      <c r="X81" s="767"/>
      <c r="Y81" s="671"/>
      <c r="Z81" s="671"/>
      <c r="AA81" s="767"/>
      <c r="AB81" s="623"/>
      <c r="AC81" s="623"/>
      <c r="AD81" s="623"/>
      <c r="AE81" s="623"/>
      <c r="AF81" s="623"/>
      <c r="AG81" s="623"/>
      <c r="AH81" s="623"/>
      <c r="AI81" s="623"/>
      <c r="AJ81" s="623"/>
      <c r="AK81" s="623"/>
      <c r="AL81" s="623"/>
      <c r="AM81" s="623"/>
      <c r="AN81" s="623"/>
      <c r="AO81" s="623"/>
      <c r="AP81" s="623"/>
      <c r="AQ81" s="623"/>
      <c r="AR81" s="623"/>
      <c r="AS81" s="623"/>
      <c r="AT81" s="623"/>
      <c r="AU81" s="623"/>
      <c r="AV81" s="623"/>
      <c r="AW81" s="623"/>
      <c r="AX81" s="623"/>
      <c r="AY81" s="623"/>
      <c r="AZ81" s="623"/>
      <c r="BA81" s="623"/>
      <c r="BB81" s="623"/>
      <c r="BC81" s="623"/>
      <c r="BD81" s="623"/>
      <c r="BE81" s="623"/>
      <c r="BF81" s="623"/>
      <c r="BG81" s="623"/>
      <c r="BH81" s="623"/>
      <c r="BI81" s="623"/>
      <c r="BJ81" s="623"/>
      <c r="BK81" s="623"/>
      <c r="BL81" s="623"/>
      <c r="BM81" s="623"/>
      <c r="BN81" s="623"/>
      <c r="BO81" s="623"/>
      <c r="BP81" s="623"/>
      <c r="BQ81" s="623"/>
      <c r="BR81" s="623"/>
      <c r="BS81" s="623"/>
      <c r="BT81" s="623"/>
      <c r="BU81" s="623"/>
      <c r="BV81" s="623"/>
      <c r="BW81" s="623"/>
      <c r="BX81" s="623"/>
      <c r="BY81" s="623"/>
      <c r="BZ81" s="623"/>
      <c r="CA81" s="623"/>
      <c r="CB81" s="1669"/>
      <c r="CC81" s="1669"/>
      <c r="CD81" s="1669"/>
      <c r="CE81" s="1669"/>
      <c r="CF81" s="1669"/>
      <c r="CG81" s="1669"/>
      <c r="CH81" s="1669"/>
      <c r="CI81" s="1669"/>
      <c r="CJ81" s="1669"/>
      <c r="CK81" s="1669"/>
      <c r="CL81" s="1669"/>
      <c r="CM81" s="1669"/>
      <c r="CN81" s="1669"/>
      <c r="CO81" s="1669"/>
      <c r="CP81" s="1669"/>
      <c r="CQ81" s="1669"/>
      <c r="CR81" s="1669"/>
      <c r="CS81" s="1669"/>
      <c r="CT81" s="1669"/>
      <c r="CU81" s="1669"/>
      <c r="CV81" s="1669"/>
      <c r="CW81" s="1669"/>
      <c r="CX81" s="1669"/>
      <c r="CY81" s="817"/>
      <c r="CZ81" s="1669"/>
      <c r="DA81" s="1669"/>
      <c r="DB81" s="1669"/>
      <c r="DC81" s="767"/>
      <c r="DD81" s="1669"/>
      <c r="DE81" s="1669"/>
      <c r="DF81" s="1669"/>
      <c r="DG81" s="1669"/>
      <c r="DH81" s="1669"/>
      <c r="DI81" s="1669"/>
      <c r="DJ81" s="1669"/>
      <c r="DK81" s="1669"/>
      <c r="DL81" s="1669"/>
      <c r="DM81" s="1669"/>
      <c r="DN81" s="1669"/>
      <c r="DO81" s="767"/>
      <c r="DP81" s="1669"/>
      <c r="DQ81" s="1669"/>
      <c r="DR81" s="623"/>
      <c r="DS81" s="623"/>
      <c r="DT81" s="623"/>
      <c r="DU81" s="623"/>
      <c r="DV81" s="1675"/>
      <c r="DW81" s="530"/>
      <c r="DX81" s="530"/>
      <c r="DY81" s="530"/>
      <c r="DZ81" s="530"/>
      <c r="EA81" s="530"/>
      <c r="EB81" s="530"/>
      <c r="EC81" s="530"/>
      <c r="ED81" s="530"/>
      <c r="EE81" s="530"/>
      <c r="EF81" s="530"/>
      <c r="EG81" s="530"/>
      <c r="EH81" s="530"/>
      <c r="EI81" s="530"/>
      <c r="EJ81" s="530"/>
      <c r="EK81" s="530"/>
      <c r="EL81" s="530"/>
      <c r="EM81" s="530"/>
      <c r="EN81" s="530"/>
      <c r="EO81" s="530"/>
      <c r="EP81" s="530"/>
      <c r="EQ81" s="530"/>
      <c r="ER81" s="530"/>
      <c r="ES81" s="530"/>
      <c r="ET81" s="530"/>
      <c r="EU81" s="530"/>
      <c r="EV81" s="530"/>
      <c r="EW81" s="530"/>
      <c r="EX81" s="530"/>
      <c r="EY81" s="530"/>
      <c r="EZ81" s="530"/>
      <c r="FA81" s="530"/>
      <c r="FB81" s="530"/>
      <c r="FC81" s="530"/>
      <c r="FD81" s="530"/>
      <c r="FE81" s="530"/>
      <c r="FF81" s="530"/>
      <c r="FG81" s="530"/>
      <c r="FH81" s="530"/>
      <c r="FI81" s="530"/>
      <c r="FJ81" s="530"/>
      <c r="FK81" s="530"/>
      <c r="FL81" s="530"/>
      <c r="FM81" s="530"/>
      <c r="FN81" s="530"/>
      <c r="FO81" s="530"/>
      <c r="FP81" s="530"/>
      <c r="FQ81" s="530"/>
      <c r="FR81" s="530"/>
      <c r="FS81" s="530"/>
      <c r="FT81" s="530"/>
      <c r="FU81" s="530"/>
      <c r="FV81" s="530"/>
      <c r="FW81" s="530"/>
      <c r="FX81" s="530"/>
      <c r="FY81" s="530"/>
      <c r="FZ81" s="530"/>
      <c r="GA81" s="530"/>
      <c r="GB81" s="530"/>
      <c r="GC81" s="530"/>
      <c r="GD81" s="530"/>
      <c r="GE81" s="530"/>
      <c r="GF81" s="530"/>
      <c r="GG81" s="530"/>
      <c r="GH81" s="530"/>
      <c r="GI81" s="530"/>
      <c r="GJ81" s="530"/>
      <c r="GK81" s="530"/>
      <c r="GL81" s="530"/>
      <c r="GM81" s="530"/>
      <c r="GN81" s="530"/>
      <c r="GO81" s="530"/>
      <c r="GP81" s="530"/>
      <c r="GQ81" s="530"/>
      <c r="GR81" s="530"/>
      <c r="GS81" s="530"/>
      <c r="GT81" s="530"/>
      <c r="GU81" s="530"/>
      <c r="GV81" s="530"/>
      <c r="GW81" s="530"/>
      <c r="GX81" s="530"/>
      <c r="GY81" s="530"/>
      <c r="GZ81" s="530"/>
      <c r="HA81" s="530"/>
      <c r="HB81" s="530"/>
      <c r="HC81" s="530"/>
      <c r="HD81" s="530"/>
      <c r="HE81" s="530"/>
      <c r="HF81" s="530"/>
      <c r="HG81" s="530"/>
      <c r="HH81" s="530"/>
      <c r="HI81" s="530"/>
      <c r="HJ81" s="530"/>
      <c r="HK81" s="530"/>
      <c r="HL81" s="530"/>
      <c r="HM81" s="530"/>
      <c r="HN81" s="530"/>
      <c r="HO81" s="530"/>
      <c r="HP81" s="530"/>
      <c r="HQ81" s="530"/>
      <c r="HR81" s="530"/>
      <c r="HS81" s="530"/>
      <c r="HT81" s="530"/>
      <c r="HU81" s="530"/>
      <c r="HV81" s="530"/>
      <c r="HW81" s="530"/>
      <c r="HX81" s="530"/>
      <c r="HY81" s="530"/>
      <c r="HZ81" s="530"/>
      <c r="IA81" s="530"/>
      <c r="IB81" s="530"/>
      <c r="IC81" s="530"/>
      <c r="ID81" s="530"/>
      <c r="IE81" s="530"/>
      <c r="IF81" s="530"/>
      <c r="IG81" s="530"/>
      <c r="IH81" s="530"/>
      <c r="II81" s="530"/>
      <c r="IJ81" s="530"/>
      <c r="IK81" s="530"/>
      <c r="IL81" s="530"/>
      <c r="IM81" s="530"/>
      <c r="IN81" s="530"/>
      <c r="IO81" s="530"/>
      <c r="IP81" s="530"/>
      <c r="IQ81" s="530"/>
      <c r="IR81" s="530"/>
      <c r="IS81" s="530"/>
      <c r="IT81" s="530"/>
      <c r="IU81" s="530"/>
      <c r="IV81" s="530"/>
    </row>
    <row r="82" spans="1:256" ht="13.8" hidden="1">
      <c r="A82" s="1676"/>
      <c r="B82" s="550"/>
      <c r="C82" s="550"/>
      <c r="D82" s="550"/>
      <c r="E82" s="550"/>
      <c r="F82" s="550"/>
      <c r="G82" s="550"/>
      <c r="H82" s="550"/>
      <c r="I82" s="550"/>
      <c r="J82" s="550"/>
      <c r="K82" s="550"/>
      <c r="L82" s="550"/>
      <c r="M82" s="550"/>
      <c r="N82" s="550"/>
      <c r="O82" s="550"/>
      <c r="P82" s="550"/>
      <c r="Q82" s="550"/>
      <c r="R82" s="550"/>
      <c r="S82" s="550"/>
      <c r="T82" s="550"/>
      <c r="U82" s="550"/>
      <c r="V82" s="550"/>
      <c r="W82" s="550"/>
      <c r="X82" s="767"/>
      <c r="Y82" s="671"/>
      <c r="Z82" s="671"/>
      <c r="AA82" s="767"/>
      <c r="AB82" s="623"/>
      <c r="AC82" s="623"/>
      <c r="AD82" s="623"/>
      <c r="AE82" s="623"/>
      <c r="AF82" s="623"/>
      <c r="AG82" s="623"/>
      <c r="AH82" s="623"/>
      <c r="AI82" s="623"/>
      <c r="AJ82" s="623"/>
      <c r="AK82" s="623"/>
      <c r="AL82" s="623"/>
      <c r="AM82" s="623"/>
      <c r="AN82" s="623"/>
      <c r="AO82" s="623"/>
      <c r="AP82" s="623"/>
      <c r="AQ82" s="623"/>
      <c r="AR82" s="623"/>
      <c r="AS82" s="623"/>
      <c r="AT82" s="623"/>
      <c r="AU82" s="623"/>
      <c r="AV82" s="623"/>
      <c r="AW82" s="623"/>
      <c r="AX82" s="623"/>
      <c r="AY82" s="623"/>
      <c r="AZ82" s="623"/>
      <c r="BA82" s="623"/>
      <c r="BB82" s="623"/>
      <c r="BC82" s="623"/>
      <c r="BD82" s="623"/>
      <c r="BE82" s="623"/>
      <c r="BF82" s="623"/>
      <c r="BG82" s="623"/>
      <c r="BH82" s="623"/>
      <c r="BI82" s="623"/>
      <c r="BJ82" s="623"/>
      <c r="BK82" s="623"/>
      <c r="BL82" s="623"/>
      <c r="BM82" s="623"/>
      <c r="BN82" s="623"/>
      <c r="BO82" s="623"/>
      <c r="BP82" s="623"/>
      <c r="BQ82" s="623"/>
      <c r="BR82" s="623"/>
      <c r="BS82" s="623"/>
      <c r="BT82" s="623"/>
      <c r="BU82" s="623"/>
      <c r="BV82" s="623"/>
      <c r="BW82" s="623"/>
      <c r="BX82" s="623"/>
      <c r="BY82" s="623"/>
      <c r="BZ82" s="623"/>
      <c r="CA82" s="623"/>
      <c r="CB82" s="1669"/>
      <c r="CC82" s="1669"/>
      <c r="CD82" s="1669"/>
      <c r="CE82" s="1669"/>
      <c r="CF82" s="1669"/>
      <c r="CG82" s="1669"/>
      <c r="CH82" s="1669"/>
      <c r="CI82" s="1669"/>
      <c r="CJ82" s="1669"/>
      <c r="CK82" s="1669"/>
      <c r="CL82" s="1669"/>
      <c r="CM82" s="1669"/>
      <c r="CN82" s="1669"/>
      <c r="CO82" s="1669"/>
      <c r="CP82" s="1669"/>
      <c r="CQ82" s="1669"/>
      <c r="CR82" s="1669"/>
      <c r="CS82" s="1669"/>
      <c r="CT82" s="1669"/>
      <c r="CU82" s="1669"/>
      <c r="CV82" s="1669"/>
      <c r="CW82" s="1669"/>
      <c r="CX82" s="1669"/>
      <c r="CY82" s="817"/>
      <c r="CZ82" s="1669"/>
      <c r="DA82" s="1669"/>
      <c r="DB82" s="1669"/>
      <c r="DC82" s="767"/>
      <c r="DD82" s="1669"/>
      <c r="DE82" s="1669"/>
      <c r="DF82" s="1669"/>
      <c r="DG82" s="1669"/>
      <c r="DH82" s="1669"/>
      <c r="DI82" s="1669"/>
      <c r="DJ82" s="1669"/>
      <c r="DK82" s="1669"/>
      <c r="DL82" s="1669"/>
      <c r="DM82" s="1669"/>
      <c r="DN82" s="1669"/>
      <c r="DO82" s="767"/>
      <c r="DP82" s="1669"/>
      <c r="DQ82" s="1669"/>
      <c r="DR82" s="623"/>
      <c r="DS82" s="623"/>
      <c r="DT82" s="623"/>
      <c r="DU82" s="623"/>
      <c r="DV82" s="1675"/>
    </row>
    <row r="83" spans="1:256" ht="13.8" hidden="1">
      <c r="A83" s="1676"/>
      <c r="B83" s="550"/>
      <c r="C83" s="550"/>
      <c r="D83" s="550"/>
      <c r="E83" s="550"/>
      <c r="F83" s="550"/>
      <c r="G83" s="550"/>
      <c r="H83" s="550"/>
      <c r="I83" s="550"/>
      <c r="J83" s="550"/>
      <c r="K83" s="550"/>
      <c r="L83" s="550"/>
      <c r="M83" s="550"/>
      <c r="N83" s="550"/>
      <c r="O83" s="550"/>
      <c r="P83" s="550"/>
      <c r="Q83" s="550"/>
      <c r="R83" s="550"/>
      <c r="S83" s="550"/>
      <c r="T83" s="550"/>
      <c r="U83" s="550"/>
      <c r="V83" s="550"/>
      <c r="W83" s="550"/>
      <c r="X83" s="767"/>
      <c r="Y83" s="671"/>
      <c r="Z83" s="671"/>
      <c r="AA83" s="767"/>
      <c r="AB83" s="623"/>
      <c r="AC83" s="623"/>
      <c r="AD83" s="623"/>
      <c r="AE83" s="623"/>
      <c r="AF83" s="623"/>
      <c r="AG83" s="623"/>
      <c r="AH83" s="623"/>
      <c r="AI83" s="623"/>
      <c r="AJ83" s="623"/>
      <c r="AK83" s="623"/>
      <c r="AL83" s="623"/>
      <c r="AM83" s="623"/>
      <c r="AN83" s="623"/>
      <c r="AO83" s="623"/>
      <c r="AP83" s="623"/>
      <c r="AQ83" s="623"/>
      <c r="AR83" s="623"/>
      <c r="AS83" s="623"/>
      <c r="AT83" s="623"/>
      <c r="AU83" s="623"/>
      <c r="AV83" s="623"/>
      <c r="AW83" s="623"/>
      <c r="AX83" s="623"/>
      <c r="AY83" s="623"/>
      <c r="AZ83" s="623"/>
      <c r="BA83" s="623"/>
      <c r="BB83" s="623"/>
      <c r="BC83" s="623"/>
      <c r="BD83" s="623"/>
      <c r="BE83" s="623"/>
      <c r="BF83" s="623"/>
      <c r="BG83" s="623"/>
      <c r="BH83" s="623"/>
      <c r="BI83" s="623"/>
      <c r="BJ83" s="623"/>
      <c r="BK83" s="623"/>
      <c r="BL83" s="623"/>
      <c r="BM83" s="623"/>
      <c r="BN83" s="623"/>
      <c r="BO83" s="623"/>
      <c r="BP83" s="623"/>
      <c r="BQ83" s="623"/>
      <c r="BR83" s="623"/>
      <c r="BS83" s="623"/>
      <c r="BT83" s="623"/>
      <c r="BU83" s="623"/>
      <c r="BV83" s="623"/>
      <c r="BW83" s="623"/>
      <c r="BX83" s="623"/>
      <c r="BY83" s="623"/>
      <c r="BZ83" s="623"/>
      <c r="CA83" s="623"/>
      <c r="CB83" s="1669"/>
      <c r="CC83" s="1669"/>
      <c r="CD83" s="1669"/>
      <c r="CE83" s="1669"/>
      <c r="CF83" s="1669"/>
      <c r="CG83" s="1669"/>
      <c r="CH83" s="1669"/>
      <c r="CI83" s="1669"/>
      <c r="CJ83" s="1669"/>
      <c r="CK83" s="1669"/>
      <c r="CL83" s="1669"/>
      <c r="CM83" s="1669"/>
      <c r="CN83" s="1669"/>
      <c r="CO83" s="1669"/>
      <c r="CP83" s="1669"/>
      <c r="CQ83" s="1669"/>
      <c r="CR83" s="1669"/>
      <c r="CS83" s="1669"/>
      <c r="CT83" s="1669"/>
      <c r="CU83" s="1669"/>
      <c r="CV83" s="1669"/>
      <c r="CW83" s="1669"/>
      <c r="CX83" s="1669"/>
      <c r="CY83" s="817"/>
      <c r="CZ83" s="1669"/>
      <c r="DA83" s="1669"/>
      <c r="DB83" s="1669"/>
      <c r="DC83" s="767"/>
      <c r="DD83" s="1669"/>
      <c r="DE83" s="1669"/>
      <c r="DF83" s="1669"/>
      <c r="DG83" s="1669"/>
      <c r="DH83" s="1669"/>
      <c r="DI83" s="1669"/>
      <c r="DJ83" s="1669"/>
      <c r="DK83" s="1669"/>
      <c r="DL83" s="1669"/>
      <c r="DM83" s="1669"/>
      <c r="DN83" s="1669"/>
      <c r="DO83" s="767"/>
      <c r="DP83" s="1669"/>
      <c r="DQ83" s="1669"/>
      <c r="DR83" s="623"/>
      <c r="DS83" s="623"/>
      <c r="DT83" s="623"/>
      <c r="DU83" s="623"/>
      <c r="DV83" s="1675"/>
    </row>
    <row r="84" spans="1:256" ht="13.8" hidden="1">
      <c r="A84" s="1676"/>
      <c r="B84" s="550"/>
      <c r="C84" s="550"/>
      <c r="D84" s="550"/>
      <c r="E84" s="550"/>
      <c r="F84" s="550"/>
      <c r="G84" s="550"/>
      <c r="H84" s="550"/>
      <c r="I84" s="550"/>
      <c r="J84" s="550"/>
      <c r="K84" s="550"/>
      <c r="L84" s="550"/>
      <c r="M84" s="550"/>
      <c r="N84" s="550"/>
      <c r="O84" s="550"/>
      <c r="P84" s="550"/>
      <c r="Q84" s="550"/>
      <c r="R84" s="550"/>
      <c r="S84" s="550"/>
      <c r="T84" s="550"/>
      <c r="U84" s="550"/>
      <c r="V84" s="550"/>
      <c r="W84" s="550"/>
      <c r="X84" s="767"/>
      <c r="Y84" s="671"/>
      <c r="Z84" s="671"/>
      <c r="AA84" s="767"/>
      <c r="AB84" s="623"/>
      <c r="AC84" s="623"/>
      <c r="AD84" s="623"/>
      <c r="AE84" s="623"/>
      <c r="AF84" s="623"/>
      <c r="AG84" s="623"/>
      <c r="AH84" s="623"/>
      <c r="AI84" s="623"/>
      <c r="AJ84" s="623"/>
      <c r="AK84" s="623"/>
      <c r="AL84" s="623"/>
      <c r="AM84" s="623"/>
      <c r="AN84" s="623"/>
      <c r="AO84" s="623"/>
      <c r="AP84" s="623"/>
      <c r="AQ84" s="623"/>
      <c r="AR84" s="623"/>
      <c r="AS84" s="623"/>
      <c r="AT84" s="623"/>
      <c r="AU84" s="623"/>
      <c r="AV84" s="623"/>
      <c r="AW84" s="623"/>
      <c r="AX84" s="623"/>
      <c r="AY84" s="623"/>
      <c r="AZ84" s="623"/>
      <c r="BA84" s="623"/>
      <c r="BB84" s="623"/>
      <c r="BC84" s="623"/>
      <c r="BD84" s="623"/>
      <c r="BE84" s="623"/>
      <c r="BF84" s="623"/>
      <c r="BG84" s="623"/>
      <c r="BH84" s="623"/>
      <c r="BI84" s="623"/>
      <c r="BJ84" s="623"/>
      <c r="BK84" s="623"/>
      <c r="BL84" s="623"/>
      <c r="BM84" s="623"/>
      <c r="BN84" s="623"/>
      <c r="BO84" s="623"/>
      <c r="BP84" s="623"/>
      <c r="BQ84" s="623"/>
      <c r="BR84" s="623"/>
      <c r="BS84" s="623"/>
      <c r="BT84" s="623"/>
      <c r="BU84" s="623"/>
      <c r="BV84" s="623"/>
      <c r="BW84" s="623"/>
      <c r="BX84" s="623"/>
      <c r="BY84" s="623"/>
      <c r="BZ84" s="623"/>
      <c r="CA84" s="623"/>
      <c r="CB84" s="1669"/>
      <c r="CC84" s="1669"/>
      <c r="CD84" s="1669"/>
      <c r="CE84" s="1669"/>
      <c r="CF84" s="1669"/>
      <c r="CG84" s="1669"/>
      <c r="CH84" s="1669"/>
      <c r="CI84" s="1669"/>
      <c r="CJ84" s="1669"/>
      <c r="CK84" s="1669"/>
      <c r="CL84" s="1669"/>
      <c r="CM84" s="1669"/>
      <c r="CN84" s="1669"/>
      <c r="CO84" s="1669"/>
      <c r="CP84" s="1669"/>
      <c r="CQ84" s="1669"/>
      <c r="CR84" s="1669"/>
      <c r="CS84" s="1669"/>
      <c r="CT84" s="1669"/>
      <c r="CU84" s="1669"/>
      <c r="CV84" s="1669"/>
      <c r="CW84" s="1669"/>
      <c r="CX84" s="1669"/>
      <c r="CY84" s="817"/>
      <c r="CZ84" s="1669"/>
      <c r="DA84" s="1669"/>
      <c r="DB84" s="1669"/>
      <c r="DC84" s="767"/>
      <c r="DD84" s="1669"/>
      <c r="DE84" s="1669"/>
      <c r="DF84" s="1669"/>
      <c r="DG84" s="1669"/>
      <c r="DH84" s="1669"/>
      <c r="DI84" s="1669"/>
      <c r="DJ84" s="1669"/>
      <c r="DK84" s="1669"/>
      <c r="DL84" s="1669"/>
      <c r="DM84" s="1669"/>
      <c r="DN84" s="1669"/>
      <c r="DO84" s="767"/>
      <c r="DP84" s="1669"/>
      <c r="DQ84" s="1669"/>
      <c r="DR84" s="623"/>
      <c r="DS84" s="623"/>
      <c r="DT84" s="623"/>
      <c r="DU84" s="623"/>
      <c r="DV84" s="1675"/>
    </row>
    <row r="85" spans="1:256" ht="13.8" hidden="1">
      <c r="A85" s="1676"/>
      <c r="B85" s="550"/>
      <c r="C85" s="550"/>
      <c r="D85" s="550"/>
      <c r="E85" s="550"/>
      <c r="F85" s="550"/>
      <c r="G85" s="550"/>
      <c r="H85" s="550"/>
      <c r="I85" s="550"/>
      <c r="J85" s="550"/>
      <c r="K85" s="550"/>
      <c r="L85" s="550"/>
      <c r="M85" s="550"/>
      <c r="N85" s="550"/>
      <c r="O85" s="550"/>
      <c r="P85" s="550"/>
      <c r="Q85" s="550"/>
      <c r="R85" s="550"/>
      <c r="S85" s="550"/>
      <c r="T85" s="550"/>
      <c r="U85" s="550"/>
      <c r="V85" s="550"/>
      <c r="W85" s="550"/>
      <c r="X85" s="767"/>
      <c r="Y85" s="671"/>
      <c r="Z85" s="671"/>
      <c r="AA85" s="767"/>
      <c r="AB85" s="623"/>
      <c r="AC85" s="623"/>
      <c r="AD85" s="623"/>
      <c r="AE85" s="623"/>
      <c r="AF85" s="623"/>
      <c r="AG85" s="623"/>
      <c r="AH85" s="623"/>
      <c r="AI85" s="623"/>
      <c r="AJ85" s="623"/>
      <c r="AK85" s="623"/>
      <c r="AL85" s="623"/>
      <c r="AM85" s="623"/>
      <c r="AN85" s="623"/>
      <c r="AO85" s="623"/>
      <c r="AP85" s="623"/>
      <c r="AQ85" s="623"/>
      <c r="AR85" s="623"/>
      <c r="AS85" s="623"/>
      <c r="AT85" s="623"/>
      <c r="AU85" s="623"/>
      <c r="AV85" s="623"/>
      <c r="AW85" s="623"/>
      <c r="AX85" s="623"/>
      <c r="AY85" s="623"/>
      <c r="AZ85" s="623"/>
      <c r="BA85" s="623"/>
      <c r="BB85" s="623"/>
      <c r="BC85" s="623"/>
      <c r="BD85" s="623"/>
      <c r="BE85" s="623"/>
      <c r="BF85" s="623"/>
      <c r="BG85" s="623"/>
      <c r="BH85" s="623"/>
      <c r="BI85" s="623"/>
      <c r="BJ85" s="623"/>
      <c r="BK85" s="623"/>
      <c r="BL85" s="623"/>
      <c r="BM85" s="623"/>
      <c r="BN85" s="623"/>
      <c r="BO85" s="623"/>
      <c r="BP85" s="623"/>
      <c r="BQ85" s="623"/>
      <c r="BR85" s="623"/>
      <c r="BS85" s="623"/>
      <c r="BT85" s="623"/>
      <c r="BU85" s="623"/>
      <c r="BV85" s="623"/>
      <c r="BW85" s="623"/>
      <c r="BX85" s="623"/>
      <c r="BY85" s="623"/>
      <c r="BZ85" s="623"/>
      <c r="CA85" s="623"/>
      <c r="CB85" s="1669"/>
      <c r="CC85" s="1669"/>
      <c r="CD85" s="1669"/>
      <c r="CE85" s="1669"/>
      <c r="CF85" s="1669"/>
      <c r="CG85" s="1669"/>
      <c r="CH85" s="1669"/>
      <c r="CI85" s="1669"/>
      <c r="CJ85" s="1669"/>
      <c r="CK85" s="1669"/>
      <c r="CL85" s="1669"/>
      <c r="CM85" s="1669"/>
      <c r="CN85" s="1669"/>
      <c r="CO85" s="1669"/>
      <c r="CP85" s="1669"/>
      <c r="CQ85" s="1669"/>
      <c r="CR85" s="1669"/>
      <c r="CS85" s="1669"/>
      <c r="CT85" s="1669"/>
      <c r="CU85" s="1669"/>
      <c r="CV85" s="1669"/>
      <c r="CW85" s="1669"/>
      <c r="CX85" s="1669"/>
      <c r="CY85" s="817"/>
      <c r="CZ85" s="1669"/>
      <c r="DA85" s="1669"/>
      <c r="DB85" s="1669"/>
      <c r="DC85" s="767"/>
      <c r="DD85" s="1669"/>
      <c r="DE85" s="1669"/>
      <c r="DF85" s="1669"/>
      <c r="DG85" s="1669"/>
      <c r="DH85" s="1669"/>
      <c r="DI85" s="1669"/>
      <c r="DJ85" s="1669"/>
      <c r="DK85" s="1669"/>
      <c r="DL85" s="1669"/>
      <c r="DM85" s="1669"/>
      <c r="DN85" s="1669"/>
      <c r="DO85" s="767"/>
      <c r="DP85" s="1669"/>
      <c r="DQ85" s="1669"/>
      <c r="DR85" s="623"/>
      <c r="DS85" s="623"/>
      <c r="DT85" s="623"/>
      <c r="DU85" s="623"/>
      <c r="DV85" s="1675"/>
    </row>
    <row r="86" spans="1:256" ht="13.8" hidden="1">
      <c r="A86" s="1676"/>
      <c r="B86" s="550"/>
      <c r="C86" s="550"/>
      <c r="D86" s="550"/>
      <c r="E86" s="550"/>
      <c r="F86" s="550"/>
      <c r="G86" s="550"/>
      <c r="H86" s="550"/>
      <c r="I86" s="550"/>
      <c r="J86" s="550"/>
      <c r="K86" s="550"/>
      <c r="L86" s="550"/>
      <c r="M86" s="550"/>
      <c r="N86" s="550"/>
      <c r="O86" s="439"/>
      <c r="P86" s="439"/>
      <c r="Q86" s="674"/>
      <c r="R86" s="671"/>
      <c r="S86" s="671"/>
      <c r="T86" s="671"/>
      <c r="U86" s="671"/>
      <c r="V86" s="671"/>
      <c r="W86" s="671"/>
      <c r="X86" s="767"/>
      <c r="Y86" s="671"/>
      <c r="Z86" s="671"/>
      <c r="AA86" s="767"/>
      <c r="AB86" s="623"/>
      <c r="AC86" s="623"/>
      <c r="AD86" s="623"/>
      <c r="AE86" s="623"/>
      <c r="AF86" s="623"/>
      <c r="AG86" s="623"/>
      <c r="AH86" s="623"/>
      <c r="AI86" s="623"/>
      <c r="AJ86" s="623"/>
      <c r="AK86" s="623"/>
      <c r="AL86" s="623"/>
      <c r="AM86" s="623"/>
      <c r="AN86" s="623"/>
      <c r="AO86" s="623"/>
      <c r="AP86" s="623"/>
      <c r="AQ86" s="623"/>
      <c r="AR86" s="623"/>
      <c r="AS86" s="623"/>
      <c r="AT86" s="623"/>
      <c r="AU86" s="623"/>
      <c r="AV86" s="623"/>
      <c r="AW86" s="623"/>
      <c r="AX86" s="623"/>
      <c r="AY86" s="623"/>
      <c r="AZ86" s="623"/>
      <c r="BA86" s="623"/>
      <c r="BB86" s="623"/>
      <c r="BC86" s="623"/>
      <c r="BD86" s="623"/>
      <c r="BE86" s="623"/>
      <c r="BF86" s="623"/>
      <c r="BG86" s="623"/>
      <c r="BH86" s="623"/>
      <c r="BI86" s="623"/>
      <c r="BJ86" s="623"/>
      <c r="BK86" s="623"/>
      <c r="BL86" s="623"/>
      <c r="BM86" s="623"/>
      <c r="BN86" s="623"/>
      <c r="BO86" s="623"/>
      <c r="BP86" s="623"/>
      <c r="BQ86" s="623"/>
      <c r="BR86" s="623"/>
      <c r="BS86" s="623"/>
      <c r="BT86" s="623"/>
      <c r="BU86" s="623"/>
      <c r="BV86" s="623"/>
      <c r="BW86" s="623"/>
      <c r="BX86" s="623"/>
      <c r="BY86" s="623"/>
      <c r="BZ86" s="623"/>
      <c r="CA86" s="623"/>
      <c r="CB86" s="1669"/>
      <c r="CC86" s="1669"/>
      <c r="CD86" s="1669"/>
      <c r="CE86" s="1669"/>
      <c r="CF86" s="1669"/>
      <c r="CG86" s="1669"/>
      <c r="CH86" s="1669"/>
      <c r="CI86" s="1669"/>
      <c r="CJ86" s="1669"/>
      <c r="CK86" s="1669"/>
      <c r="CL86" s="1669"/>
      <c r="CM86" s="1669"/>
      <c r="CN86" s="1669"/>
      <c r="CO86" s="1669"/>
      <c r="CP86" s="1669"/>
      <c r="CQ86" s="1669"/>
      <c r="CR86" s="1669"/>
      <c r="CS86" s="1669"/>
      <c r="CT86" s="1669"/>
      <c r="CU86" s="1669"/>
      <c r="CV86" s="1669"/>
      <c r="CW86" s="1669"/>
      <c r="CX86" s="1669"/>
      <c r="CY86" s="817"/>
      <c r="CZ86" s="1669"/>
      <c r="DA86" s="1669"/>
      <c r="DB86" s="1669"/>
      <c r="DC86" s="767"/>
      <c r="DD86" s="1669"/>
      <c r="DE86" s="1669"/>
      <c r="DF86" s="1669"/>
      <c r="DG86" s="1669"/>
      <c r="DH86" s="1669"/>
      <c r="DI86" s="1669"/>
      <c r="DJ86" s="1669"/>
      <c r="DK86" s="1669"/>
      <c r="DL86" s="1669"/>
      <c r="DM86" s="1669"/>
      <c r="DN86" s="1669"/>
      <c r="DO86" s="767"/>
      <c r="DP86" s="1669"/>
      <c r="DQ86" s="1669"/>
      <c r="DR86" s="623"/>
      <c r="DS86" s="623"/>
      <c r="DT86" s="623"/>
      <c r="DU86" s="623"/>
      <c r="DV86" s="1675"/>
    </row>
    <row r="87" spans="1:256" ht="13.8" hidden="1">
      <c r="A87" s="1676"/>
      <c r="B87" s="550"/>
      <c r="C87" s="550"/>
      <c r="D87" s="550"/>
      <c r="E87" s="550"/>
      <c r="F87" s="550"/>
      <c r="G87" s="550"/>
      <c r="H87" s="550"/>
      <c r="I87" s="550"/>
      <c r="J87" s="550"/>
      <c r="K87" s="550"/>
      <c r="L87" s="550"/>
      <c r="M87" s="550"/>
      <c r="N87" s="550"/>
      <c r="O87" s="439"/>
      <c r="P87" s="439"/>
      <c r="Q87" s="674"/>
      <c r="R87" s="671"/>
      <c r="S87" s="671"/>
      <c r="T87" s="671"/>
      <c r="U87" s="671"/>
      <c r="V87" s="671"/>
      <c r="W87" s="671"/>
      <c r="X87" s="767"/>
      <c r="Y87" s="671"/>
      <c r="Z87" s="671"/>
      <c r="AA87" s="767"/>
      <c r="AB87" s="623"/>
      <c r="AC87" s="623"/>
      <c r="AD87" s="623"/>
      <c r="AE87" s="623"/>
      <c r="AF87" s="623"/>
      <c r="AG87" s="623"/>
      <c r="AH87" s="623"/>
      <c r="AI87" s="623"/>
      <c r="AJ87" s="623"/>
      <c r="AK87" s="623"/>
      <c r="AL87" s="623"/>
      <c r="AM87" s="623"/>
      <c r="AN87" s="623"/>
      <c r="AO87" s="623"/>
      <c r="AP87" s="623"/>
      <c r="AQ87" s="623"/>
      <c r="AR87" s="623"/>
      <c r="AS87" s="623"/>
      <c r="AT87" s="623"/>
      <c r="AU87" s="623"/>
      <c r="AV87" s="623"/>
      <c r="AW87" s="623"/>
      <c r="AX87" s="623"/>
      <c r="AY87" s="623"/>
      <c r="AZ87" s="623"/>
      <c r="BA87" s="623"/>
      <c r="BB87" s="623"/>
      <c r="BC87" s="623"/>
      <c r="BD87" s="623"/>
      <c r="BE87" s="623"/>
      <c r="BF87" s="623"/>
      <c r="BG87" s="623"/>
      <c r="BH87" s="623"/>
      <c r="BI87" s="623"/>
      <c r="BJ87" s="623"/>
      <c r="BK87" s="623"/>
      <c r="BL87" s="623"/>
      <c r="BM87" s="623"/>
      <c r="BN87" s="623"/>
      <c r="BO87" s="623"/>
      <c r="BP87" s="623"/>
      <c r="BQ87" s="623"/>
      <c r="BR87" s="623"/>
      <c r="BS87" s="623"/>
      <c r="BT87" s="623"/>
      <c r="BU87" s="623"/>
      <c r="BV87" s="623"/>
      <c r="BW87" s="623"/>
      <c r="BX87" s="623"/>
      <c r="BY87" s="623"/>
      <c r="BZ87" s="623"/>
      <c r="CA87" s="623"/>
      <c r="CB87" s="1669"/>
      <c r="CC87" s="1669"/>
      <c r="CD87" s="1669"/>
      <c r="CE87" s="1669"/>
      <c r="CF87" s="1669"/>
      <c r="CG87" s="1669"/>
      <c r="CH87" s="1669"/>
      <c r="CI87" s="1669"/>
      <c r="CJ87" s="1669"/>
      <c r="CK87" s="1669"/>
      <c r="CL87" s="1669"/>
      <c r="CM87" s="1669"/>
      <c r="CN87" s="1669"/>
      <c r="CO87" s="1669"/>
      <c r="CP87" s="1669"/>
      <c r="CQ87" s="1669"/>
      <c r="CR87" s="1669"/>
      <c r="CS87" s="1669"/>
      <c r="CT87" s="1669"/>
      <c r="CU87" s="1669"/>
      <c r="CV87" s="1669"/>
      <c r="CW87" s="1669"/>
      <c r="CX87" s="1669"/>
      <c r="CY87" s="817"/>
      <c r="CZ87" s="1669"/>
      <c r="DA87" s="1669"/>
      <c r="DB87" s="1669"/>
      <c r="DC87" s="767"/>
      <c r="DD87" s="1669"/>
      <c r="DE87" s="1669"/>
      <c r="DF87" s="1669"/>
      <c r="DG87" s="1669"/>
      <c r="DH87" s="1669"/>
      <c r="DI87" s="1669"/>
      <c r="DJ87" s="1669"/>
      <c r="DK87" s="1669"/>
      <c r="DL87" s="1669"/>
      <c r="DM87" s="1669"/>
      <c r="DN87" s="1669"/>
      <c r="DO87" s="767"/>
      <c r="DP87" s="1669"/>
      <c r="DQ87" s="1669"/>
      <c r="DR87" s="623"/>
      <c r="DS87" s="623"/>
      <c r="DT87" s="623"/>
      <c r="DU87" s="623"/>
      <c r="DV87" s="1675"/>
    </row>
    <row r="88" spans="1:256" s="678" customFormat="1" ht="13.8" hidden="1">
      <c r="A88" s="1676"/>
      <c r="B88" s="550"/>
      <c r="C88" s="550"/>
      <c r="D88" s="550"/>
      <c r="E88" s="550"/>
      <c r="F88" s="550"/>
      <c r="G88" s="550"/>
      <c r="H88" s="550"/>
      <c r="I88" s="550"/>
      <c r="J88" s="676"/>
      <c r="K88" s="550"/>
      <c r="L88" s="550"/>
      <c r="M88" s="550"/>
      <c r="N88" s="550"/>
      <c r="O88" s="439"/>
      <c r="P88" s="439"/>
      <c r="Q88" s="674"/>
      <c r="R88" s="671"/>
      <c r="S88" s="671"/>
      <c r="T88" s="671"/>
      <c r="U88" s="671"/>
      <c r="V88" s="671"/>
      <c r="W88" s="671"/>
      <c r="X88" s="767"/>
      <c r="Y88" s="671"/>
      <c r="Z88" s="671"/>
      <c r="AA88" s="767"/>
      <c r="AB88" s="623"/>
      <c r="AC88" s="623"/>
      <c r="AD88" s="623"/>
      <c r="AE88" s="623"/>
      <c r="AF88" s="623"/>
      <c r="AG88" s="623"/>
      <c r="AH88" s="623"/>
      <c r="AI88" s="623"/>
      <c r="AJ88" s="623"/>
      <c r="AK88" s="623"/>
      <c r="AL88" s="623"/>
      <c r="AM88" s="623"/>
      <c r="AN88" s="623"/>
      <c r="AO88" s="623"/>
      <c r="AP88" s="623"/>
      <c r="AQ88" s="623"/>
      <c r="AR88" s="623"/>
      <c r="AS88" s="623"/>
      <c r="AT88" s="623"/>
      <c r="AU88" s="623"/>
      <c r="AV88" s="623"/>
      <c r="AW88" s="623"/>
      <c r="AX88" s="623"/>
      <c r="AY88" s="623"/>
      <c r="AZ88" s="623"/>
      <c r="BA88" s="623"/>
      <c r="BB88" s="623"/>
      <c r="BC88" s="623"/>
      <c r="BD88" s="623"/>
      <c r="BE88" s="623"/>
      <c r="BF88" s="623"/>
      <c r="BG88" s="623"/>
      <c r="BH88" s="623"/>
      <c r="BI88" s="623"/>
      <c r="BJ88" s="623"/>
      <c r="BK88" s="623"/>
      <c r="BL88" s="623"/>
      <c r="BM88" s="623"/>
      <c r="BN88" s="623"/>
      <c r="BO88" s="623"/>
      <c r="BP88" s="623"/>
      <c r="BQ88" s="623"/>
      <c r="BR88" s="623"/>
      <c r="BS88" s="623"/>
      <c r="BT88" s="623"/>
      <c r="BU88" s="623"/>
      <c r="BV88" s="623"/>
      <c r="BW88" s="623"/>
      <c r="BX88" s="623"/>
      <c r="BY88" s="623"/>
      <c r="BZ88" s="623"/>
      <c r="CA88" s="623"/>
      <c r="CB88" s="1669"/>
      <c r="CC88" s="1669"/>
      <c r="CD88" s="1669"/>
      <c r="CE88" s="1669"/>
      <c r="CF88" s="1669"/>
      <c r="CG88" s="1669"/>
      <c r="CH88" s="1669"/>
      <c r="CI88" s="1669"/>
      <c r="CJ88" s="1669"/>
      <c r="CK88" s="1669"/>
      <c r="CL88" s="1669"/>
      <c r="CM88" s="1669"/>
      <c r="CN88" s="1669"/>
      <c r="CO88" s="1669"/>
      <c r="CP88" s="1669"/>
      <c r="CQ88" s="1669"/>
      <c r="CR88" s="1669"/>
      <c r="CS88" s="1669"/>
      <c r="CT88" s="1669"/>
      <c r="CU88" s="1669"/>
      <c r="CV88" s="1669"/>
      <c r="CW88" s="1669"/>
      <c r="CX88" s="1669"/>
      <c r="CY88" s="817"/>
      <c r="CZ88" s="1669"/>
      <c r="DA88" s="1669"/>
      <c r="DB88" s="1669"/>
      <c r="DC88" s="767"/>
      <c r="DD88" s="1669"/>
      <c r="DE88" s="1669"/>
      <c r="DF88" s="1669"/>
      <c r="DG88" s="1669"/>
      <c r="DH88" s="1669"/>
      <c r="DI88" s="1669"/>
      <c r="DJ88" s="1669"/>
      <c r="DK88" s="1669"/>
      <c r="DL88" s="1669"/>
      <c r="DM88" s="1669"/>
      <c r="DN88" s="1669"/>
      <c r="DO88" s="767"/>
      <c r="DP88" s="1669"/>
      <c r="DQ88" s="1669"/>
      <c r="DR88" s="623"/>
      <c r="DS88" s="623"/>
      <c r="DT88" s="623"/>
      <c r="DU88" s="623"/>
      <c r="DV88" s="1675"/>
      <c r="DW88" s="530"/>
      <c r="DX88" s="530"/>
      <c r="DY88" s="530"/>
      <c r="DZ88" s="530"/>
      <c r="EA88" s="530"/>
      <c r="EB88" s="530"/>
      <c r="EC88" s="530"/>
      <c r="ED88" s="530"/>
      <c r="EE88" s="530"/>
      <c r="EF88" s="530"/>
      <c r="EG88" s="530"/>
      <c r="EH88" s="530"/>
      <c r="EI88" s="530"/>
      <c r="EJ88" s="530"/>
      <c r="EK88" s="530"/>
      <c r="EL88" s="530"/>
      <c r="EM88" s="530"/>
      <c r="EN88" s="530"/>
      <c r="EO88" s="530"/>
      <c r="EP88" s="530"/>
      <c r="EQ88" s="530"/>
      <c r="ER88" s="530"/>
      <c r="ES88" s="530"/>
      <c r="ET88" s="530"/>
      <c r="EU88" s="530"/>
      <c r="EV88" s="530"/>
      <c r="EW88" s="530"/>
      <c r="EX88" s="530"/>
      <c r="EY88" s="530"/>
      <c r="EZ88" s="530"/>
      <c r="FA88" s="530"/>
      <c r="FB88" s="530"/>
      <c r="FC88" s="530"/>
      <c r="FD88" s="530"/>
      <c r="FE88" s="530"/>
      <c r="FF88" s="530"/>
      <c r="FG88" s="530"/>
      <c r="FH88" s="530"/>
      <c r="FI88" s="530"/>
      <c r="FJ88" s="530"/>
      <c r="FK88" s="530"/>
      <c r="FL88" s="530"/>
      <c r="FM88" s="530"/>
      <c r="FN88" s="530"/>
      <c r="FO88" s="530"/>
      <c r="FP88" s="530"/>
      <c r="FQ88" s="530"/>
      <c r="FR88" s="530"/>
      <c r="FS88" s="530"/>
      <c r="FT88" s="530"/>
      <c r="FU88" s="530"/>
      <c r="FV88" s="530"/>
      <c r="FW88" s="530"/>
      <c r="FX88" s="530"/>
      <c r="FY88" s="530"/>
      <c r="FZ88" s="530"/>
      <c r="GA88" s="530"/>
      <c r="GB88" s="530"/>
      <c r="GC88" s="530"/>
      <c r="GD88" s="530"/>
      <c r="GE88" s="530"/>
      <c r="GF88" s="530"/>
      <c r="GG88" s="530"/>
      <c r="GH88" s="530"/>
      <c r="GI88" s="530"/>
      <c r="GJ88" s="530"/>
      <c r="GK88" s="530"/>
      <c r="GL88" s="530"/>
      <c r="GM88" s="530"/>
      <c r="GN88" s="530"/>
      <c r="GO88" s="530"/>
      <c r="GP88" s="530"/>
      <c r="GQ88" s="530"/>
      <c r="GR88" s="530"/>
      <c r="GS88" s="530"/>
      <c r="GT88" s="530"/>
      <c r="GU88" s="530"/>
      <c r="GV88" s="530"/>
      <c r="GW88" s="530"/>
      <c r="GX88" s="530"/>
      <c r="GY88" s="530"/>
      <c r="GZ88" s="530"/>
      <c r="HA88" s="530"/>
      <c r="HB88" s="530"/>
      <c r="HC88" s="530"/>
      <c r="HD88" s="530"/>
      <c r="HE88" s="530"/>
      <c r="HF88" s="530"/>
      <c r="HG88" s="530"/>
      <c r="HH88" s="530"/>
      <c r="HI88" s="530"/>
      <c r="HJ88" s="530"/>
      <c r="HK88" s="530"/>
      <c r="HL88" s="530"/>
      <c r="HM88" s="530"/>
      <c r="HN88" s="530"/>
      <c r="HO88" s="530"/>
      <c r="HP88" s="530"/>
      <c r="HQ88" s="530"/>
      <c r="HR88" s="530"/>
      <c r="HS88" s="530"/>
      <c r="HT88" s="530"/>
      <c r="HU88" s="530"/>
      <c r="HV88" s="530"/>
      <c r="HW88" s="530"/>
      <c r="HX88" s="530"/>
      <c r="HY88" s="530"/>
      <c r="HZ88" s="530"/>
      <c r="IA88" s="530"/>
      <c r="IB88" s="530"/>
      <c r="IC88" s="530"/>
      <c r="ID88" s="530"/>
      <c r="IE88" s="530"/>
      <c r="IF88" s="530"/>
      <c r="IG88" s="530"/>
      <c r="IH88" s="530"/>
      <c r="II88" s="530"/>
      <c r="IJ88" s="530"/>
      <c r="IK88" s="530"/>
      <c r="IL88" s="530"/>
      <c r="IM88" s="530"/>
      <c r="IN88" s="530"/>
      <c r="IO88" s="530"/>
      <c r="IP88" s="530"/>
      <c r="IQ88" s="530"/>
      <c r="IR88" s="530"/>
      <c r="IS88" s="530"/>
      <c r="IT88" s="530"/>
      <c r="IU88" s="530"/>
      <c r="IV88" s="530"/>
    </row>
    <row r="89" spans="1:256" s="688" customFormat="1" ht="13.8" hidden="1">
      <c r="A89" s="1678"/>
      <c r="B89" s="1679"/>
      <c r="C89" s="1678"/>
      <c r="D89" s="1678"/>
      <c r="E89" s="1678"/>
      <c r="F89" s="1678"/>
      <c r="G89" s="1678"/>
      <c r="H89" s="1678"/>
      <c r="I89" s="1678"/>
      <c r="J89" s="1678"/>
      <c r="K89" s="1678"/>
      <c r="L89" s="1678"/>
      <c r="M89" s="1678"/>
      <c r="N89" s="1678"/>
      <c r="O89" s="1678"/>
      <c r="P89" s="1678"/>
      <c r="Q89" s="1678"/>
      <c r="R89" s="1678"/>
      <c r="S89" s="1678"/>
      <c r="T89" s="1678"/>
      <c r="U89" s="1678"/>
      <c r="V89" s="1678"/>
      <c r="W89" s="1678"/>
      <c r="X89" s="1678"/>
      <c r="Y89" s="1678"/>
      <c r="Z89" s="1678"/>
      <c r="AA89" s="1678"/>
      <c r="AB89" s="1678"/>
      <c r="AC89" s="1678"/>
      <c r="AD89" s="1678"/>
      <c r="AE89" s="1678"/>
      <c r="AF89" s="1678"/>
      <c r="AG89" s="1678"/>
      <c r="AH89" s="1678"/>
      <c r="AI89" s="1678"/>
      <c r="AJ89" s="1678"/>
      <c r="AK89" s="1678"/>
      <c r="AL89" s="1678"/>
      <c r="AM89" s="1678"/>
      <c r="AN89" s="1678"/>
      <c r="AO89" s="1678"/>
      <c r="AP89" s="1678"/>
      <c r="AQ89" s="1678"/>
      <c r="AR89" s="1678"/>
      <c r="AS89" s="1678"/>
      <c r="AT89" s="1678"/>
      <c r="AU89" s="1678"/>
      <c r="AV89" s="1678"/>
      <c r="AW89" s="1678"/>
      <c r="AX89" s="1678"/>
      <c r="AY89" s="1678"/>
      <c r="AZ89" s="1678"/>
      <c r="BA89" s="1678"/>
      <c r="BB89" s="1678"/>
      <c r="BC89" s="1678"/>
      <c r="BD89" s="1678"/>
      <c r="BE89" s="1678"/>
      <c r="BF89" s="1678"/>
      <c r="BG89" s="1678"/>
      <c r="BH89" s="1678"/>
      <c r="BI89" s="1678"/>
      <c r="BJ89" s="1678"/>
      <c r="BK89" s="1678"/>
      <c r="BL89" s="1678"/>
      <c r="BM89" s="1678"/>
      <c r="BN89" s="1678"/>
      <c r="BO89" s="1678"/>
      <c r="BP89" s="1678"/>
      <c r="BQ89" s="1678"/>
      <c r="BR89" s="1678"/>
      <c r="BS89" s="1678"/>
      <c r="BT89" s="1678"/>
      <c r="BU89" s="1678"/>
      <c r="BV89" s="1678"/>
      <c r="BW89" s="1678"/>
      <c r="BX89" s="1678"/>
      <c r="BY89" s="1678"/>
      <c r="BZ89" s="1678"/>
      <c r="CA89" s="1678"/>
      <c r="CB89" s="1678"/>
      <c r="CC89" s="1678"/>
      <c r="CD89" s="1678"/>
      <c r="CE89" s="1669"/>
      <c r="CF89" s="1678"/>
      <c r="CG89" s="1678"/>
      <c r="CH89" s="1678"/>
      <c r="CI89" s="1678"/>
      <c r="CJ89" s="1678"/>
      <c r="CK89" s="1678"/>
      <c r="CL89" s="1678"/>
      <c r="CM89" s="1678"/>
      <c r="CN89" s="1678"/>
      <c r="CO89" s="1678"/>
      <c r="CP89" s="1678"/>
      <c r="CQ89" s="1678"/>
      <c r="CR89" s="1678"/>
      <c r="CS89" s="1678"/>
      <c r="CT89" s="1678"/>
      <c r="CU89" s="1678"/>
      <c r="CV89" s="1678"/>
      <c r="CW89" s="1678"/>
      <c r="CX89" s="1678"/>
      <c r="CY89" s="1680"/>
      <c r="CZ89" s="1678"/>
      <c r="DA89" s="1678"/>
      <c r="DB89" s="1678"/>
      <c r="DC89" s="1678"/>
      <c r="DD89" s="1678"/>
      <c r="DE89" s="1678"/>
      <c r="DF89" s="1678"/>
      <c r="DG89" s="1678"/>
      <c r="DH89" s="1678"/>
      <c r="DI89" s="1678"/>
      <c r="DJ89" s="1678"/>
      <c r="DK89" s="1678"/>
      <c r="DL89" s="1678"/>
      <c r="DM89" s="1678"/>
      <c r="DN89" s="1678"/>
      <c r="DO89" s="1678"/>
      <c r="DP89" s="1678"/>
      <c r="DQ89" s="1678"/>
      <c r="DR89" s="1678"/>
      <c r="DS89" s="1678"/>
      <c r="DT89" s="1678"/>
      <c r="DU89" s="1678"/>
      <c r="DV89" s="1681"/>
    </row>
    <row r="90" spans="1:256" s="688" customFormat="1" ht="13.8" hidden="1">
      <c r="A90" s="1686"/>
      <c r="B90" s="1687"/>
      <c r="C90" s="1688"/>
      <c r="D90" s="1688"/>
      <c r="E90" s="1688"/>
      <c r="F90" s="1688"/>
      <c r="G90" s="1688"/>
      <c r="H90" s="1688"/>
      <c r="I90" s="1688"/>
      <c r="J90" s="1688"/>
      <c r="K90" s="1688"/>
      <c r="L90" s="1688"/>
      <c r="M90" s="1688"/>
      <c r="N90" s="1688"/>
      <c r="O90" s="1688"/>
      <c r="P90" s="1688"/>
      <c r="Q90" s="1688"/>
      <c r="R90" s="1688"/>
      <c r="S90" s="1688"/>
      <c r="T90" s="1688"/>
      <c r="U90" s="1688"/>
      <c r="V90" s="1688"/>
      <c r="W90" s="1688"/>
      <c r="X90" s="1688"/>
      <c r="Y90" s="1688"/>
      <c r="Z90" s="1688"/>
      <c r="AA90" s="1688"/>
      <c r="AB90" s="1688"/>
      <c r="AC90" s="1688"/>
      <c r="AD90" s="1688"/>
      <c r="AE90" s="1688"/>
      <c r="AF90" s="1688"/>
      <c r="AG90" s="1688"/>
      <c r="AH90" s="1688"/>
      <c r="AI90" s="1688"/>
      <c r="AJ90" s="1688"/>
      <c r="AK90" s="1688"/>
      <c r="AL90" s="1688"/>
      <c r="AM90" s="1688"/>
      <c r="AN90" s="1688"/>
      <c r="AO90" s="1688"/>
      <c r="AP90" s="1688"/>
      <c r="AQ90" s="1688"/>
      <c r="AR90" s="1688"/>
      <c r="AS90" s="1688"/>
      <c r="AT90" s="1688"/>
      <c r="AU90" s="1688"/>
      <c r="AV90" s="1688"/>
      <c r="AW90" s="1688"/>
      <c r="AX90" s="1688"/>
      <c r="AY90" s="1688"/>
      <c r="AZ90" s="1688"/>
      <c r="BA90" s="1688"/>
      <c r="BB90" s="1688"/>
      <c r="BC90" s="1688"/>
      <c r="BD90" s="1688"/>
      <c r="BE90" s="1688"/>
      <c r="BF90" s="1688"/>
      <c r="BG90" s="1688"/>
      <c r="BH90" s="1688"/>
      <c r="BI90" s="1688"/>
      <c r="BJ90" s="1688"/>
      <c r="BK90" s="1688"/>
      <c r="BL90" s="1688"/>
      <c r="BM90" s="1688"/>
      <c r="BN90" s="1688"/>
      <c r="BO90" s="1688"/>
      <c r="BP90" s="1688"/>
      <c r="BQ90" s="1688"/>
      <c r="BR90" s="1688"/>
      <c r="BS90" s="1688"/>
      <c r="BT90" s="1688"/>
      <c r="BU90" s="1688"/>
      <c r="BV90" s="1688"/>
      <c r="BW90" s="1688"/>
      <c r="BX90" s="1688"/>
      <c r="BY90" s="1688"/>
      <c r="BZ90" s="1688"/>
      <c r="CA90" s="1688"/>
      <c r="CB90" s="1688"/>
      <c r="CC90" s="1688"/>
      <c r="CD90" s="1688"/>
      <c r="CE90" s="1669"/>
      <c r="CF90" s="1688"/>
      <c r="CG90" s="1688"/>
      <c r="CH90" s="1688"/>
      <c r="CI90" s="1688"/>
      <c r="CJ90" s="1688"/>
      <c r="CK90" s="1688"/>
      <c r="CL90" s="1688"/>
      <c r="CM90" s="1688"/>
      <c r="CN90" s="1688"/>
      <c r="CO90" s="1688"/>
      <c r="CP90" s="1688"/>
      <c r="CQ90" s="1688"/>
      <c r="CR90" s="1688"/>
      <c r="CS90" s="1688"/>
      <c r="CT90" s="1688"/>
      <c r="CU90" s="1688"/>
      <c r="CV90" s="1688"/>
      <c r="CW90" s="1688"/>
      <c r="CX90" s="1688"/>
      <c r="CY90" s="1689"/>
      <c r="CZ90" s="1688"/>
      <c r="DA90" s="1688"/>
      <c r="DB90" s="1688"/>
      <c r="DC90" s="1688"/>
      <c r="DD90" s="1688"/>
      <c r="DE90" s="1688"/>
      <c r="DF90" s="1688"/>
      <c r="DG90" s="1688"/>
      <c r="DH90" s="1688"/>
      <c r="DI90" s="1688"/>
      <c r="DJ90" s="1688"/>
      <c r="DK90" s="1688"/>
      <c r="DL90" s="1688"/>
      <c r="DM90" s="1688"/>
      <c r="DN90" s="1688"/>
      <c r="DO90" s="1688"/>
      <c r="DP90" s="1688"/>
      <c r="DQ90" s="1688"/>
      <c r="DR90" s="1688"/>
      <c r="DS90" s="1688"/>
      <c r="DT90" s="1688"/>
      <c r="DU90" s="1688"/>
      <c r="DV90" s="1690"/>
      <c r="DW90" s="688">
        <f>+DU90*0.4</f>
        <v>0</v>
      </c>
      <c r="DX90" s="688">
        <f>+DW90/0.22</f>
        <v>0</v>
      </c>
    </row>
    <row r="91" spans="1:256" s="545" customFormat="1" ht="18" hidden="1" customHeight="1">
      <c r="A91" s="1682"/>
      <c r="B91" s="1023"/>
      <c r="C91" s="1023"/>
      <c r="D91" s="1023"/>
      <c r="E91" s="1023"/>
      <c r="F91" s="1023"/>
      <c r="G91" s="1023"/>
      <c r="H91" s="1023"/>
      <c r="I91" s="1023"/>
      <c r="J91" s="1023"/>
      <c r="K91" s="1023"/>
      <c r="L91" s="1023"/>
      <c r="M91" s="1023"/>
      <c r="N91" s="1023"/>
      <c r="O91" s="1023"/>
      <c r="P91" s="1023"/>
      <c r="Q91" s="1023"/>
      <c r="R91" s="1023"/>
      <c r="S91" s="1023"/>
      <c r="T91" s="1023"/>
      <c r="U91" s="1023"/>
      <c r="V91" s="1023"/>
      <c r="W91" s="1023"/>
      <c r="X91" s="1023"/>
      <c r="Y91" s="1023"/>
      <c r="Z91" s="1023"/>
      <c r="AA91" s="1023"/>
      <c r="AB91" s="1023"/>
      <c r="AC91" s="1023"/>
      <c r="AD91" s="1023"/>
      <c r="AE91" s="1023"/>
      <c r="AF91" s="1023"/>
      <c r="AG91" s="1023"/>
      <c r="AH91" s="1023"/>
      <c r="AI91" s="1023"/>
      <c r="AJ91" s="1023"/>
      <c r="AK91" s="1023"/>
      <c r="AL91" s="1023"/>
      <c r="AM91" s="1023"/>
      <c r="AN91" s="1023"/>
      <c r="AO91" s="1023"/>
      <c r="AP91" s="1023"/>
      <c r="AQ91" s="1023"/>
      <c r="AR91" s="1023"/>
      <c r="AS91" s="1023"/>
      <c r="AT91" s="1023"/>
      <c r="AU91" s="1023"/>
      <c r="AV91" s="1023"/>
      <c r="AW91" s="1023"/>
      <c r="AX91" s="1023"/>
      <c r="AY91" s="1023"/>
      <c r="AZ91" s="1023"/>
      <c r="BA91" s="1023"/>
      <c r="BB91" s="1023"/>
      <c r="BC91" s="1023"/>
      <c r="BD91" s="1023"/>
      <c r="BE91" s="1023"/>
      <c r="BF91" s="1023"/>
      <c r="BG91" s="1023"/>
      <c r="BH91" s="1023"/>
      <c r="BI91" s="1023"/>
      <c r="BJ91" s="1023"/>
      <c r="BK91" s="1023"/>
      <c r="BL91" s="1023"/>
      <c r="BM91" s="1023"/>
      <c r="BN91" s="1023"/>
      <c r="BO91" s="1023"/>
      <c r="BP91" s="1023"/>
      <c r="BQ91" s="1023"/>
      <c r="BR91" s="1023"/>
      <c r="BS91" s="1023"/>
      <c r="BT91" s="1023"/>
      <c r="BU91" s="1023"/>
      <c r="BV91" s="1023"/>
      <c r="BW91" s="1023"/>
      <c r="BX91" s="1023"/>
      <c r="BY91" s="1023"/>
      <c r="BZ91" s="1023"/>
      <c r="CA91" s="1023"/>
      <c r="CB91" s="1023"/>
      <c r="CC91" s="1023"/>
      <c r="CD91" s="1023"/>
      <c r="CE91" s="1669"/>
      <c r="CF91" s="1023"/>
      <c r="CG91" s="1023"/>
      <c r="CH91" s="1023"/>
      <c r="CI91" s="1023"/>
      <c r="CJ91" s="1023"/>
      <c r="CK91" s="1023"/>
      <c r="CL91" s="1023"/>
      <c r="CM91" s="1023"/>
      <c r="CN91" s="1023"/>
      <c r="CO91" s="1023"/>
      <c r="CP91" s="1023"/>
      <c r="CQ91" s="1023"/>
      <c r="CR91" s="1023"/>
      <c r="CS91" s="1023"/>
      <c r="CT91" s="1023"/>
      <c r="CU91" s="1023"/>
      <c r="CV91" s="1023"/>
      <c r="CW91" s="1023"/>
      <c r="CX91" s="1023"/>
      <c r="CY91" s="1683"/>
      <c r="CZ91" s="1023"/>
      <c r="DA91" s="1023"/>
      <c r="DB91" s="1023"/>
      <c r="DC91" s="1023"/>
      <c r="DD91" s="1023"/>
      <c r="DE91" s="1023"/>
      <c r="DF91" s="1023"/>
      <c r="DG91" s="1023"/>
      <c r="DH91" s="1023"/>
      <c r="DI91" s="1023"/>
      <c r="DJ91" s="1023"/>
      <c r="DK91" s="1023"/>
      <c r="DL91" s="1023"/>
      <c r="DM91" s="1023"/>
      <c r="DN91" s="1023"/>
      <c r="DO91" s="1023"/>
      <c r="DP91" s="1023"/>
      <c r="DQ91" s="1023"/>
      <c r="DR91" s="1023"/>
      <c r="DS91" s="1023"/>
      <c r="DT91" s="1023"/>
      <c r="DU91" s="1023"/>
      <c r="DV91" s="1684"/>
      <c r="DW91" s="530"/>
      <c r="DX91" s="530"/>
      <c r="DY91" s="530"/>
      <c r="DZ91" s="530"/>
      <c r="EA91" s="530"/>
      <c r="EB91" s="530"/>
      <c r="EC91" s="530"/>
      <c r="ED91" s="530"/>
      <c r="EE91" s="530"/>
      <c r="EF91" s="530"/>
      <c r="EG91" s="530"/>
      <c r="EH91" s="530"/>
      <c r="EI91" s="530"/>
      <c r="EJ91" s="530"/>
      <c r="EK91" s="530"/>
      <c r="EL91" s="530"/>
      <c r="EM91" s="530"/>
      <c r="EN91" s="530"/>
      <c r="EO91" s="530"/>
      <c r="EP91" s="530"/>
      <c r="EQ91" s="530"/>
      <c r="ER91" s="530"/>
      <c r="ES91" s="530"/>
      <c r="ET91" s="530"/>
      <c r="EU91" s="530"/>
      <c r="EV91" s="530"/>
      <c r="EW91" s="530"/>
      <c r="EX91" s="530"/>
      <c r="EY91" s="530"/>
      <c r="EZ91" s="530"/>
      <c r="FA91" s="530"/>
      <c r="FB91" s="530"/>
      <c r="FC91" s="530"/>
      <c r="FD91" s="530"/>
      <c r="FE91" s="530"/>
      <c r="FF91" s="530"/>
      <c r="FG91" s="530"/>
      <c r="FH91" s="530"/>
      <c r="FI91" s="530"/>
      <c r="FJ91" s="530"/>
      <c r="FK91" s="530"/>
      <c r="FL91" s="530"/>
      <c r="FM91" s="530"/>
      <c r="FN91" s="530"/>
      <c r="FO91" s="530"/>
      <c r="FP91" s="530"/>
      <c r="FQ91" s="530"/>
      <c r="FR91" s="530"/>
      <c r="FS91" s="530"/>
      <c r="FT91" s="530"/>
      <c r="FU91" s="530"/>
      <c r="FV91" s="530"/>
      <c r="FW91" s="530"/>
      <c r="FX91" s="530"/>
      <c r="FY91" s="530"/>
      <c r="FZ91" s="530"/>
      <c r="GA91" s="530"/>
      <c r="GB91" s="530"/>
      <c r="GC91" s="530"/>
      <c r="GD91" s="530"/>
      <c r="GE91" s="530"/>
      <c r="GF91" s="530"/>
      <c r="GG91" s="530"/>
      <c r="GH91" s="530"/>
      <c r="GI91" s="530"/>
      <c r="GJ91" s="530"/>
      <c r="GK91" s="530"/>
      <c r="GL91" s="530"/>
      <c r="GM91" s="530"/>
      <c r="GN91" s="530"/>
      <c r="GO91" s="530"/>
      <c r="GP91" s="530"/>
      <c r="GQ91" s="530"/>
      <c r="GR91" s="530"/>
      <c r="GS91" s="530"/>
      <c r="GT91" s="530"/>
      <c r="GU91" s="530"/>
      <c r="GV91" s="530"/>
      <c r="GW91" s="530"/>
      <c r="GX91" s="530"/>
      <c r="GY91" s="530"/>
      <c r="GZ91" s="530"/>
      <c r="HA91" s="530"/>
      <c r="HB91" s="530"/>
      <c r="HC91" s="530"/>
      <c r="HD91" s="530"/>
      <c r="HE91" s="530"/>
      <c r="HF91" s="530"/>
      <c r="HG91" s="530"/>
      <c r="HH91" s="530"/>
      <c r="HI91" s="530"/>
      <c r="HJ91" s="530"/>
      <c r="HK91" s="530"/>
      <c r="HL91" s="530"/>
      <c r="HM91" s="530"/>
      <c r="HN91" s="530"/>
      <c r="HO91" s="530"/>
      <c r="HP91" s="530"/>
      <c r="HQ91" s="530"/>
      <c r="HR91" s="530"/>
      <c r="HS91" s="530"/>
      <c r="HT91" s="530"/>
      <c r="HU91" s="530"/>
      <c r="HV91" s="530"/>
      <c r="HW91" s="530"/>
      <c r="HX91" s="530"/>
      <c r="HY91" s="530"/>
      <c r="HZ91" s="530"/>
      <c r="IA91" s="530"/>
      <c r="IB91" s="530"/>
      <c r="IC91" s="530"/>
      <c r="ID91" s="530"/>
      <c r="IE91" s="530"/>
      <c r="IF91" s="530"/>
      <c r="IG91" s="530"/>
      <c r="IH91" s="530"/>
      <c r="II91" s="530"/>
      <c r="IJ91" s="530"/>
      <c r="IK91" s="530"/>
      <c r="IL91" s="530"/>
      <c r="IM91" s="530"/>
      <c r="IN91" s="530"/>
      <c r="IO91" s="530"/>
      <c r="IP91" s="530"/>
      <c r="IQ91" s="530"/>
      <c r="IR91" s="530"/>
      <c r="IS91" s="530"/>
      <c r="IT91" s="530"/>
      <c r="IU91" s="530"/>
      <c r="IV91" s="530"/>
    </row>
    <row r="92" spans="1:256" s="545" customFormat="1" ht="18" hidden="1" customHeight="1">
      <c r="A92" s="1685"/>
      <c r="B92" s="1023"/>
      <c r="C92" s="1023"/>
      <c r="D92" s="1023"/>
      <c r="E92" s="1023"/>
      <c r="F92" s="1023"/>
      <c r="G92" s="1023"/>
      <c r="H92" s="1023"/>
      <c r="I92" s="1023"/>
      <c r="J92" s="1023"/>
      <c r="K92" s="1023"/>
      <c r="L92" s="1023"/>
      <c r="M92" s="1023"/>
      <c r="N92" s="1023"/>
      <c r="O92" s="1023"/>
      <c r="P92" s="1023"/>
      <c r="Q92" s="1023"/>
      <c r="R92" s="1023"/>
      <c r="S92" s="1023"/>
      <c r="T92" s="1023"/>
      <c r="U92" s="1023"/>
      <c r="V92" s="1023"/>
      <c r="W92" s="1023"/>
      <c r="X92" s="1023"/>
      <c r="Y92" s="1023"/>
      <c r="Z92" s="1023"/>
      <c r="AA92" s="1023"/>
      <c r="AB92" s="1023"/>
      <c r="AC92" s="1023"/>
      <c r="AD92" s="1023"/>
      <c r="AE92" s="1023"/>
      <c r="AF92" s="1023"/>
      <c r="AG92" s="1023"/>
      <c r="AH92" s="1023"/>
      <c r="AI92" s="1023"/>
      <c r="AJ92" s="1023"/>
      <c r="AK92" s="1023"/>
      <c r="AL92" s="1023"/>
      <c r="AM92" s="1023"/>
      <c r="AN92" s="1023"/>
      <c r="AO92" s="1023"/>
      <c r="AP92" s="1023"/>
      <c r="AQ92" s="1023"/>
      <c r="AR92" s="1023"/>
      <c r="AS92" s="1023"/>
      <c r="AT92" s="1023"/>
      <c r="AU92" s="1023"/>
      <c r="AV92" s="1023"/>
      <c r="AW92" s="1023"/>
      <c r="AX92" s="1023"/>
      <c r="AY92" s="1023"/>
      <c r="AZ92" s="1023"/>
      <c r="BA92" s="1023"/>
      <c r="BB92" s="1023"/>
      <c r="BC92" s="1023"/>
      <c r="BD92" s="1023"/>
      <c r="BE92" s="1023"/>
      <c r="BF92" s="1023"/>
      <c r="BG92" s="1023"/>
      <c r="BH92" s="1023"/>
      <c r="BI92" s="1023"/>
      <c r="BJ92" s="1023"/>
      <c r="BK92" s="1023"/>
      <c r="BL92" s="1023"/>
      <c r="BM92" s="1023"/>
      <c r="BN92" s="1023"/>
      <c r="BO92" s="1023"/>
      <c r="BP92" s="1023"/>
      <c r="BQ92" s="1023"/>
      <c r="BR92" s="1023"/>
      <c r="BS92" s="1023"/>
      <c r="BT92" s="1023"/>
      <c r="BU92" s="1023"/>
      <c r="BV92" s="1023"/>
      <c r="BW92" s="1023"/>
      <c r="BX92" s="1023"/>
      <c r="BY92" s="1023"/>
      <c r="BZ92" s="1023"/>
      <c r="CA92" s="1023"/>
      <c r="CB92" s="1023"/>
      <c r="CC92" s="1023"/>
      <c r="CD92" s="1023"/>
      <c r="CE92" s="1669"/>
      <c r="CF92" s="1023"/>
      <c r="CG92" s="1023"/>
      <c r="CH92" s="1023"/>
      <c r="CI92" s="1023"/>
      <c r="CJ92" s="1023"/>
      <c r="CK92" s="1023"/>
      <c r="CL92" s="1023"/>
      <c r="CM92" s="1023"/>
      <c r="CN92" s="1023"/>
      <c r="CO92" s="1023"/>
      <c r="CP92" s="1023"/>
      <c r="CQ92" s="1023"/>
      <c r="CR92" s="1023"/>
      <c r="CS92" s="1023"/>
      <c r="CT92" s="1023"/>
      <c r="CU92" s="1023"/>
      <c r="CV92" s="1023"/>
      <c r="CW92" s="1023"/>
      <c r="CX92" s="1023"/>
      <c r="CY92" s="1683"/>
      <c r="CZ92" s="1023"/>
      <c r="DA92" s="1023"/>
      <c r="DB92" s="1023"/>
      <c r="DC92" s="1023"/>
      <c r="DD92" s="1023"/>
      <c r="DE92" s="1023"/>
      <c r="DF92" s="1023"/>
      <c r="DG92" s="1023"/>
      <c r="DH92" s="1023"/>
      <c r="DI92" s="1023"/>
      <c r="DJ92" s="1023"/>
      <c r="DK92" s="1023"/>
      <c r="DL92" s="1023"/>
      <c r="DM92" s="1023"/>
      <c r="DN92" s="1023"/>
      <c r="DO92" s="1023"/>
      <c r="DP92" s="1023"/>
      <c r="DQ92" s="1023"/>
      <c r="DR92" s="1023"/>
      <c r="DS92" s="1023"/>
      <c r="DT92" s="1023"/>
      <c r="DU92" s="1023"/>
      <c r="DV92" s="1684"/>
      <c r="DW92" s="530"/>
      <c r="DX92" s="530"/>
      <c r="DY92" s="530"/>
      <c r="DZ92" s="530"/>
      <c r="EA92" s="530"/>
      <c r="EB92" s="530"/>
      <c r="EC92" s="530"/>
      <c r="ED92" s="530"/>
      <c r="EE92" s="530"/>
      <c r="EF92" s="530"/>
      <c r="EG92" s="530"/>
      <c r="EH92" s="530"/>
      <c r="EI92" s="530"/>
      <c r="EJ92" s="530"/>
      <c r="EK92" s="530"/>
      <c r="EL92" s="530"/>
      <c r="EM92" s="530"/>
      <c r="EN92" s="530"/>
      <c r="EO92" s="530"/>
      <c r="EP92" s="530"/>
      <c r="EQ92" s="530"/>
      <c r="ER92" s="530"/>
      <c r="ES92" s="530"/>
      <c r="ET92" s="530"/>
      <c r="EU92" s="530"/>
      <c r="EV92" s="530"/>
      <c r="EW92" s="530"/>
      <c r="EX92" s="530"/>
      <c r="EY92" s="530"/>
      <c r="EZ92" s="530"/>
      <c r="FA92" s="530"/>
      <c r="FB92" s="530"/>
      <c r="FC92" s="530"/>
      <c r="FD92" s="530"/>
      <c r="FE92" s="530"/>
      <c r="FF92" s="530"/>
      <c r="FG92" s="530"/>
      <c r="FH92" s="530"/>
      <c r="FI92" s="530"/>
      <c r="FJ92" s="530"/>
      <c r="FK92" s="530"/>
      <c r="FL92" s="530"/>
      <c r="FM92" s="530"/>
      <c r="FN92" s="530"/>
      <c r="FO92" s="530"/>
      <c r="FP92" s="530"/>
      <c r="FQ92" s="530"/>
      <c r="FR92" s="530"/>
      <c r="FS92" s="530"/>
      <c r="FT92" s="530"/>
      <c r="FU92" s="530"/>
      <c r="FV92" s="530"/>
      <c r="FW92" s="530"/>
      <c r="FX92" s="530"/>
      <c r="FY92" s="530"/>
      <c r="FZ92" s="530"/>
      <c r="GA92" s="530"/>
      <c r="GB92" s="530"/>
      <c r="GC92" s="530"/>
      <c r="GD92" s="530"/>
      <c r="GE92" s="530"/>
      <c r="GF92" s="530"/>
      <c r="GG92" s="530"/>
      <c r="GH92" s="530"/>
      <c r="GI92" s="530"/>
      <c r="GJ92" s="530"/>
      <c r="GK92" s="530"/>
      <c r="GL92" s="530"/>
      <c r="GM92" s="530"/>
      <c r="GN92" s="530"/>
      <c r="GO92" s="530"/>
      <c r="GP92" s="530"/>
      <c r="GQ92" s="530"/>
      <c r="GR92" s="530"/>
      <c r="GS92" s="530"/>
      <c r="GT92" s="530"/>
      <c r="GU92" s="530"/>
      <c r="GV92" s="530"/>
      <c r="GW92" s="530"/>
      <c r="GX92" s="530"/>
      <c r="GY92" s="530"/>
      <c r="GZ92" s="530"/>
      <c r="HA92" s="530"/>
      <c r="HB92" s="530"/>
      <c r="HC92" s="530"/>
      <c r="HD92" s="530"/>
      <c r="HE92" s="530"/>
      <c r="HF92" s="530"/>
      <c r="HG92" s="530"/>
      <c r="HH92" s="530"/>
      <c r="HI92" s="530"/>
      <c r="HJ92" s="530"/>
      <c r="HK92" s="530"/>
      <c r="HL92" s="530"/>
      <c r="HM92" s="530"/>
      <c r="HN92" s="530"/>
      <c r="HO92" s="530"/>
      <c r="HP92" s="530"/>
      <c r="HQ92" s="530"/>
      <c r="HR92" s="530"/>
      <c r="HS92" s="530"/>
      <c r="HT92" s="530"/>
      <c r="HU92" s="530"/>
      <c r="HV92" s="530"/>
      <c r="HW92" s="530"/>
      <c r="HX92" s="530"/>
      <c r="HY92" s="530"/>
      <c r="HZ92" s="530"/>
      <c r="IA92" s="530"/>
      <c r="IB92" s="530"/>
      <c r="IC92" s="530"/>
      <c r="ID92" s="530"/>
      <c r="IE92" s="530"/>
      <c r="IF92" s="530"/>
      <c r="IG92" s="530"/>
      <c r="IH92" s="530"/>
      <c r="II92" s="530"/>
      <c r="IJ92" s="530"/>
      <c r="IK92" s="530"/>
      <c r="IL92" s="530"/>
      <c r="IM92" s="530"/>
      <c r="IN92" s="530"/>
      <c r="IO92" s="530"/>
      <c r="IP92" s="530"/>
      <c r="IQ92" s="530"/>
      <c r="IR92" s="530"/>
      <c r="IS92" s="530"/>
      <c r="IT92" s="530"/>
      <c r="IU92" s="530"/>
      <c r="IV92" s="530"/>
    </row>
    <row r="93" spans="1:256" s="553" customFormat="1" ht="13.8" hidden="1">
      <c r="A93" s="1677"/>
      <c r="B93" s="625"/>
      <c r="C93" s="625"/>
      <c r="D93" s="625"/>
      <c r="E93" s="625"/>
      <c r="F93" s="625"/>
      <c r="G93" s="625"/>
      <c r="H93" s="625"/>
      <c r="I93" s="625"/>
      <c r="J93" s="625"/>
      <c r="K93" s="625"/>
      <c r="L93" s="625"/>
      <c r="M93" s="625"/>
      <c r="N93" s="625"/>
      <c r="O93" s="757"/>
      <c r="P93" s="757"/>
      <c r="Q93" s="760"/>
      <c r="R93" s="758"/>
      <c r="S93" s="758"/>
      <c r="T93" s="758"/>
      <c r="U93" s="758"/>
      <c r="V93" s="758"/>
      <c r="W93" s="758"/>
      <c r="X93" s="758"/>
      <c r="Y93" s="758"/>
      <c r="Z93" s="758"/>
      <c r="AA93" s="758"/>
      <c r="AB93" s="759"/>
      <c r="AC93" s="759"/>
      <c r="AD93" s="759"/>
      <c r="AE93" s="759"/>
      <c r="AF93" s="759"/>
      <c r="AG93" s="759"/>
      <c r="AH93" s="759"/>
      <c r="AI93" s="759"/>
      <c r="AJ93" s="759"/>
      <c r="AK93" s="759"/>
      <c r="AL93" s="759"/>
      <c r="AM93" s="759"/>
      <c r="AN93" s="759"/>
      <c r="AO93" s="759"/>
      <c r="AP93" s="759"/>
      <c r="AQ93" s="759"/>
      <c r="AR93" s="759"/>
      <c r="AS93" s="759"/>
      <c r="AT93" s="759"/>
      <c r="AU93" s="759"/>
      <c r="AV93" s="759"/>
      <c r="AW93" s="759"/>
      <c r="AX93" s="759"/>
      <c r="AY93" s="759"/>
      <c r="AZ93" s="759"/>
      <c r="BA93" s="759"/>
      <c r="BB93" s="759"/>
      <c r="BC93" s="759"/>
      <c r="BD93" s="759"/>
      <c r="BE93" s="759"/>
      <c r="BF93" s="759"/>
      <c r="BG93" s="759"/>
      <c r="BH93" s="759"/>
      <c r="BI93" s="759"/>
      <c r="BJ93" s="759"/>
      <c r="BK93" s="759"/>
      <c r="BL93" s="759"/>
      <c r="BM93" s="759"/>
      <c r="BN93" s="759"/>
      <c r="BO93" s="759"/>
      <c r="BP93" s="759"/>
      <c r="BQ93" s="759"/>
      <c r="BR93" s="759"/>
      <c r="BS93" s="759"/>
      <c r="BT93" s="759"/>
      <c r="BU93" s="759"/>
      <c r="BV93" s="759"/>
      <c r="BW93" s="759"/>
      <c r="BX93" s="759"/>
      <c r="BY93" s="759"/>
      <c r="BZ93" s="759"/>
      <c r="CA93" s="759"/>
      <c r="CB93" s="759"/>
      <c r="CC93" s="759"/>
      <c r="CD93" s="759"/>
      <c r="CE93" s="1669"/>
      <c r="CF93" s="759"/>
      <c r="CG93" s="759"/>
      <c r="CH93" s="759"/>
      <c r="CI93" s="759"/>
      <c r="CJ93" s="759"/>
      <c r="CK93" s="759"/>
      <c r="CL93" s="759"/>
      <c r="CM93" s="759"/>
      <c r="CN93" s="759"/>
      <c r="CO93" s="759"/>
      <c r="CP93" s="759"/>
      <c r="CQ93" s="759"/>
      <c r="CR93" s="759"/>
      <c r="CS93" s="759"/>
      <c r="CT93" s="759"/>
      <c r="CU93" s="759"/>
      <c r="CV93" s="759"/>
      <c r="CW93" s="759"/>
      <c r="CX93" s="759"/>
      <c r="CY93" s="818"/>
      <c r="CZ93" s="759"/>
      <c r="DA93" s="759"/>
      <c r="DB93" s="759"/>
      <c r="DC93" s="759"/>
      <c r="DD93" s="759"/>
      <c r="DE93" s="759"/>
      <c r="DF93" s="759"/>
      <c r="DG93" s="759"/>
      <c r="DH93" s="759"/>
      <c r="DI93" s="759"/>
      <c r="DJ93" s="759"/>
      <c r="DK93" s="759"/>
      <c r="DL93" s="759"/>
      <c r="DM93" s="759"/>
      <c r="DN93" s="759"/>
      <c r="DO93" s="759"/>
      <c r="DP93" s="759"/>
      <c r="DQ93" s="759"/>
      <c r="DR93" s="759"/>
      <c r="DS93" s="759"/>
      <c r="DT93" s="759"/>
      <c r="DU93" s="759"/>
      <c r="DV93" s="1691"/>
    </row>
    <row r="94" spans="1:256" ht="13.8" hidden="1">
      <c r="A94" s="1676"/>
      <c r="B94" s="550"/>
      <c r="C94" s="550"/>
      <c r="D94" s="550"/>
      <c r="E94" s="550"/>
      <c r="F94" s="550"/>
      <c r="G94" s="550"/>
      <c r="H94" s="550"/>
      <c r="I94" s="550"/>
      <c r="J94" s="550"/>
      <c r="K94" s="550"/>
      <c r="L94" s="550"/>
      <c r="M94" s="550"/>
      <c r="N94" s="550"/>
      <c r="O94" s="439"/>
      <c r="P94" s="439"/>
      <c r="Q94" s="674"/>
      <c r="R94" s="671"/>
      <c r="S94" s="671"/>
      <c r="T94" s="671"/>
      <c r="U94" s="671"/>
      <c r="V94" s="671"/>
      <c r="W94" s="671"/>
      <c r="X94" s="767"/>
      <c r="Y94" s="671"/>
      <c r="Z94" s="671"/>
      <c r="AA94" s="767"/>
      <c r="AB94" s="623"/>
      <c r="AC94" s="623"/>
      <c r="AD94" s="623"/>
      <c r="AE94" s="623"/>
      <c r="AF94" s="623"/>
      <c r="AG94" s="623"/>
      <c r="AH94" s="623"/>
      <c r="AI94" s="623"/>
      <c r="AJ94" s="623"/>
      <c r="AK94" s="623"/>
      <c r="AL94" s="623"/>
      <c r="AM94" s="623"/>
      <c r="AN94" s="623"/>
      <c r="AO94" s="623"/>
      <c r="AP94" s="623"/>
      <c r="AQ94" s="623"/>
      <c r="AR94" s="623"/>
      <c r="AS94" s="623"/>
      <c r="AT94" s="623"/>
      <c r="AU94" s="623"/>
      <c r="AV94" s="623"/>
      <c r="AW94" s="623"/>
      <c r="AX94" s="623"/>
      <c r="AY94" s="623"/>
      <c r="AZ94" s="623"/>
      <c r="BA94" s="623"/>
      <c r="BB94" s="623"/>
      <c r="BC94" s="623"/>
      <c r="BD94" s="623"/>
      <c r="BE94" s="623"/>
      <c r="BF94" s="623"/>
      <c r="BG94" s="623"/>
      <c r="BH94" s="623"/>
      <c r="BI94" s="623"/>
      <c r="BJ94" s="623"/>
      <c r="BK94" s="623"/>
      <c r="BL94" s="623"/>
      <c r="BM94" s="623"/>
      <c r="BN94" s="623"/>
      <c r="BO94" s="623"/>
      <c r="BP94" s="623"/>
      <c r="BQ94" s="623"/>
      <c r="BR94" s="623"/>
      <c r="BS94" s="623"/>
      <c r="BT94" s="623"/>
      <c r="BU94" s="623"/>
      <c r="BV94" s="623"/>
      <c r="BW94" s="623"/>
      <c r="BX94" s="623"/>
      <c r="BY94" s="623"/>
      <c r="BZ94" s="623"/>
      <c r="CA94" s="623"/>
      <c r="CB94" s="1669"/>
      <c r="CC94" s="1669"/>
      <c r="CD94" s="1669"/>
      <c r="CE94" s="1669"/>
      <c r="CF94" s="1669"/>
      <c r="CG94" s="1669"/>
      <c r="CH94" s="1669"/>
      <c r="CI94" s="1669"/>
      <c r="CJ94" s="1669"/>
      <c r="CK94" s="1669"/>
      <c r="CL94" s="1669"/>
      <c r="CM94" s="1669"/>
      <c r="CN94" s="1669"/>
      <c r="CO94" s="1669"/>
      <c r="CP94" s="1669"/>
      <c r="CQ94" s="1669"/>
      <c r="CR94" s="1669"/>
      <c r="CS94" s="1669"/>
      <c r="CT94" s="1669"/>
      <c r="CU94" s="1669"/>
      <c r="CV94" s="1669"/>
      <c r="CW94" s="1669"/>
      <c r="CX94" s="1669"/>
      <c r="CY94" s="817"/>
      <c r="CZ94" s="1669"/>
      <c r="DA94" s="1669"/>
      <c r="DB94" s="1669"/>
      <c r="DC94" s="767"/>
      <c r="DD94" s="1669"/>
      <c r="DE94" s="1669"/>
      <c r="DF94" s="1669"/>
      <c r="DG94" s="1669"/>
      <c r="DH94" s="1669"/>
      <c r="DI94" s="1669"/>
      <c r="DJ94" s="1669"/>
      <c r="DK94" s="1669"/>
      <c r="DL94" s="1669"/>
      <c r="DM94" s="1669"/>
      <c r="DN94" s="1669"/>
      <c r="DO94" s="767"/>
      <c r="DP94" s="1669"/>
      <c r="DQ94" s="1669"/>
      <c r="DR94" s="623"/>
      <c r="DS94" s="623"/>
      <c r="DT94" s="623"/>
      <c r="DU94" s="623"/>
      <c r="DV94" s="1675"/>
    </row>
    <row r="95" spans="1:256" ht="13.8" hidden="1">
      <c r="A95" s="1676"/>
      <c r="B95" s="550"/>
      <c r="C95" s="550"/>
      <c r="D95" s="550"/>
      <c r="E95" s="550"/>
      <c r="F95" s="550"/>
      <c r="G95" s="550"/>
      <c r="H95" s="550"/>
      <c r="I95" s="550"/>
      <c r="J95" s="550"/>
      <c r="K95" s="550"/>
      <c r="L95" s="550"/>
      <c r="M95" s="550"/>
      <c r="N95" s="550"/>
      <c r="O95" s="439"/>
      <c r="P95" s="439"/>
      <c r="Q95" s="674"/>
      <c r="R95" s="671"/>
      <c r="S95" s="671"/>
      <c r="T95" s="671"/>
      <c r="U95" s="671"/>
      <c r="V95" s="671"/>
      <c r="W95" s="671"/>
      <c r="X95" s="767"/>
      <c r="Y95" s="671"/>
      <c r="Z95" s="671"/>
      <c r="AA95" s="767"/>
      <c r="AB95" s="623"/>
      <c r="AC95" s="623"/>
      <c r="AD95" s="623"/>
      <c r="AE95" s="623"/>
      <c r="AF95" s="623"/>
      <c r="AG95" s="623"/>
      <c r="AH95" s="623"/>
      <c r="AI95" s="623"/>
      <c r="AJ95" s="623"/>
      <c r="AK95" s="623"/>
      <c r="AL95" s="623"/>
      <c r="AM95" s="623"/>
      <c r="AN95" s="623"/>
      <c r="AO95" s="623"/>
      <c r="AP95" s="623"/>
      <c r="AQ95" s="623"/>
      <c r="AR95" s="623"/>
      <c r="AS95" s="623"/>
      <c r="AT95" s="623"/>
      <c r="AU95" s="623"/>
      <c r="AV95" s="623"/>
      <c r="AW95" s="623"/>
      <c r="AX95" s="623"/>
      <c r="AY95" s="623"/>
      <c r="AZ95" s="623"/>
      <c r="BA95" s="623"/>
      <c r="BB95" s="623"/>
      <c r="BC95" s="623"/>
      <c r="BD95" s="623"/>
      <c r="BE95" s="623"/>
      <c r="BF95" s="623"/>
      <c r="BG95" s="623"/>
      <c r="BH95" s="623"/>
      <c r="BI95" s="623"/>
      <c r="BJ95" s="623"/>
      <c r="BK95" s="623"/>
      <c r="BL95" s="623"/>
      <c r="BM95" s="623"/>
      <c r="BN95" s="623"/>
      <c r="BO95" s="623"/>
      <c r="BP95" s="623"/>
      <c r="BQ95" s="623"/>
      <c r="BR95" s="623"/>
      <c r="BS95" s="623"/>
      <c r="BT95" s="623"/>
      <c r="BU95" s="623"/>
      <c r="BV95" s="623"/>
      <c r="BW95" s="623"/>
      <c r="BX95" s="623"/>
      <c r="BY95" s="623"/>
      <c r="BZ95" s="623"/>
      <c r="CA95" s="623"/>
      <c r="CB95" s="1669"/>
      <c r="CC95" s="1669"/>
      <c r="CD95" s="1669"/>
      <c r="CE95" s="1669"/>
      <c r="CF95" s="1669"/>
      <c r="CG95" s="1669"/>
      <c r="CH95" s="1669"/>
      <c r="CI95" s="1669"/>
      <c r="CJ95" s="1669"/>
      <c r="CK95" s="1669"/>
      <c r="CL95" s="1669"/>
      <c r="CM95" s="1669"/>
      <c r="CN95" s="1669"/>
      <c r="CO95" s="1669"/>
      <c r="CP95" s="1669"/>
      <c r="CQ95" s="1669"/>
      <c r="CR95" s="1669"/>
      <c r="CS95" s="1669"/>
      <c r="CT95" s="1669"/>
      <c r="CU95" s="1669"/>
      <c r="CV95" s="1669"/>
      <c r="CW95" s="1669"/>
      <c r="CX95" s="1669"/>
      <c r="CY95" s="817"/>
      <c r="CZ95" s="1669"/>
      <c r="DA95" s="1669"/>
      <c r="DB95" s="1669"/>
      <c r="DC95" s="767"/>
      <c r="DD95" s="1669"/>
      <c r="DE95" s="1669"/>
      <c r="DF95" s="1669"/>
      <c r="DG95" s="1669"/>
      <c r="DH95" s="1669"/>
      <c r="DI95" s="1669"/>
      <c r="DJ95" s="1669"/>
      <c r="DK95" s="1669"/>
      <c r="DL95" s="1669"/>
      <c r="DM95" s="1669"/>
      <c r="DN95" s="1669"/>
      <c r="DO95" s="767"/>
      <c r="DP95" s="1669"/>
      <c r="DQ95" s="1669"/>
      <c r="DR95" s="623"/>
      <c r="DS95" s="623"/>
      <c r="DT95" s="623"/>
      <c r="DU95" s="623"/>
      <c r="DV95" s="1675"/>
    </row>
    <row r="96" spans="1:256" ht="13.8" hidden="1">
      <c r="A96" s="1676"/>
      <c r="B96" s="550"/>
      <c r="C96" s="550"/>
      <c r="D96" s="550"/>
      <c r="E96" s="550"/>
      <c r="F96" s="550"/>
      <c r="G96" s="550"/>
      <c r="H96" s="550"/>
      <c r="I96" s="550"/>
      <c r="J96" s="550"/>
      <c r="K96" s="550"/>
      <c r="L96" s="550"/>
      <c r="M96" s="550"/>
      <c r="N96" s="550"/>
      <c r="O96" s="439"/>
      <c r="P96" s="439"/>
      <c r="Q96" s="674"/>
      <c r="R96" s="671"/>
      <c r="S96" s="671"/>
      <c r="T96" s="671"/>
      <c r="U96" s="671"/>
      <c r="V96" s="671"/>
      <c r="W96" s="671"/>
      <c r="X96" s="767"/>
      <c r="Y96" s="671"/>
      <c r="Z96" s="671"/>
      <c r="AA96" s="767"/>
      <c r="AB96" s="623"/>
      <c r="AC96" s="623"/>
      <c r="AD96" s="623"/>
      <c r="AE96" s="623"/>
      <c r="AF96" s="623"/>
      <c r="AG96" s="623"/>
      <c r="AH96" s="623"/>
      <c r="AI96" s="623"/>
      <c r="AJ96" s="623"/>
      <c r="AK96" s="623"/>
      <c r="AL96" s="623"/>
      <c r="AM96" s="623"/>
      <c r="AN96" s="623"/>
      <c r="AO96" s="623"/>
      <c r="AP96" s="623"/>
      <c r="AQ96" s="623"/>
      <c r="AR96" s="623"/>
      <c r="AS96" s="623"/>
      <c r="AT96" s="623"/>
      <c r="AU96" s="623"/>
      <c r="AV96" s="623"/>
      <c r="AW96" s="623"/>
      <c r="AX96" s="623"/>
      <c r="AY96" s="623"/>
      <c r="AZ96" s="623"/>
      <c r="BA96" s="623"/>
      <c r="BB96" s="623"/>
      <c r="BC96" s="623"/>
      <c r="BD96" s="623"/>
      <c r="BE96" s="623"/>
      <c r="BF96" s="623"/>
      <c r="BG96" s="623"/>
      <c r="BH96" s="623"/>
      <c r="BI96" s="623"/>
      <c r="BJ96" s="623"/>
      <c r="BK96" s="623"/>
      <c r="BL96" s="623"/>
      <c r="BM96" s="623"/>
      <c r="BN96" s="623"/>
      <c r="BO96" s="623"/>
      <c r="BP96" s="623"/>
      <c r="BQ96" s="623"/>
      <c r="BR96" s="623"/>
      <c r="BS96" s="623"/>
      <c r="BT96" s="623"/>
      <c r="BU96" s="623"/>
      <c r="BV96" s="623"/>
      <c r="BW96" s="623"/>
      <c r="BX96" s="623"/>
      <c r="BY96" s="623"/>
      <c r="BZ96" s="623"/>
      <c r="CA96" s="623"/>
      <c r="CB96" s="1669"/>
      <c r="CC96" s="1669"/>
      <c r="CD96" s="1669"/>
      <c r="CE96" s="1669"/>
      <c r="CF96" s="1669"/>
      <c r="CG96" s="1669"/>
      <c r="CH96" s="1669"/>
      <c r="CI96" s="1669"/>
      <c r="CJ96" s="1669"/>
      <c r="CK96" s="1669"/>
      <c r="CL96" s="1669"/>
      <c r="CM96" s="1669"/>
      <c r="CN96" s="1669"/>
      <c r="CO96" s="1669"/>
      <c r="CP96" s="1669"/>
      <c r="CQ96" s="1669"/>
      <c r="CR96" s="1669"/>
      <c r="CS96" s="1669"/>
      <c r="CT96" s="1669"/>
      <c r="CU96" s="1669"/>
      <c r="CV96" s="1669"/>
      <c r="CW96" s="1669"/>
      <c r="CX96" s="1669"/>
      <c r="CY96" s="817"/>
      <c r="CZ96" s="1669"/>
      <c r="DA96" s="1669"/>
      <c r="DB96" s="1669"/>
      <c r="DC96" s="767"/>
      <c r="DD96" s="1669"/>
      <c r="DE96" s="1669"/>
      <c r="DF96" s="1669"/>
      <c r="DG96" s="1669"/>
      <c r="DH96" s="1669"/>
      <c r="DI96" s="1669"/>
      <c r="DJ96" s="1669"/>
      <c r="DK96" s="1669"/>
      <c r="DL96" s="1669"/>
      <c r="DM96" s="1669"/>
      <c r="DN96" s="1669"/>
      <c r="DO96" s="767"/>
      <c r="DP96" s="1669"/>
      <c r="DQ96" s="1669"/>
      <c r="DR96" s="623"/>
      <c r="DS96" s="623"/>
      <c r="DT96" s="623"/>
      <c r="DU96" s="623"/>
      <c r="DV96" s="1675"/>
    </row>
    <row r="97" spans="1:256" ht="13.8" hidden="1">
      <c r="A97" s="1676"/>
      <c r="B97" s="550"/>
      <c r="C97" s="550"/>
      <c r="D97" s="550"/>
      <c r="E97" s="550"/>
      <c r="F97" s="550"/>
      <c r="G97" s="550"/>
      <c r="H97" s="550"/>
      <c r="I97" s="550"/>
      <c r="J97" s="550"/>
      <c r="K97" s="550"/>
      <c r="L97" s="550"/>
      <c r="M97" s="550"/>
      <c r="N97" s="550"/>
      <c r="O97" s="439"/>
      <c r="P97" s="439"/>
      <c r="Q97" s="674"/>
      <c r="R97" s="671"/>
      <c r="S97" s="671"/>
      <c r="T97" s="671"/>
      <c r="U97" s="671"/>
      <c r="V97" s="671"/>
      <c r="W97" s="671"/>
      <c r="X97" s="767"/>
      <c r="Y97" s="671"/>
      <c r="Z97" s="671"/>
      <c r="AA97" s="767"/>
      <c r="AB97" s="623"/>
      <c r="AC97" s="623"/>
      <c r="AD97" s="623"/>
      <c r="AE97" s="623"/>
      <c r="AF97" s="623"/>
      <c r="AG97" s="623"/>
      <c r="AH97" s="623"/>
      <c r="AI97" s="623"/>
      <c r="AJ97" s="623"/>
      <c r="AK97" s="623"/>
      <c r="AL97" s="623"/>
      <c r="AM97" s="623"/>
      <c r="AN97" s="623"/>
      <c r="AO97" s="623"/>
      <c r="AP97" s="623"/>
      <c r="AQ97" s="623"/>
      <c r="AR97" s="623"/>
      <c r="AS97" s="623"/>
      <c r="AT97" s="623"/>
      <c r="AU97" s="623"/>
      <c r="AV97" s="623"/>
      <c r="AW97" s="623"/>
      <c r="AX97" s="623"/>
      <c r="AY97" s="623"/>
      <c r="AZ97" s="623"/>
      <c r="BA97" s="623"/>
      <c r="BB97" s="623"/>
      <c r="BC97" s="623"/>
      <c r="BD97" s="623"/>
      <c r="BE97" s="623"/>
      <c r="BF97" s="623"/>
      <c r="BG97" s="623"/>
      <c r="BH97" s="623"/>
      <c r="BI97" s="623"/>
      <c r="BJ97" s="623"/>
      <c r="BK97" s="623"/>
      <c r="BL97" s="623"/>
      <c r="BM97" s="623"/>
      <c r="BN97" s="623"/>
      <c r="BO97" s="623"/>
      <c r="BP97" s="623"/>
      <c r="BQ97" s="623"/>
      <c r="BR97" s="623"/>
      <c r="BS97" s="623"/>
      <c r="BT97" s="623"/>
      <c r="BU97" s="623"/>
      <c r="BV97" s="623"/>
      <c r="BW97" s="623"/>
      <c r="BX97" s="623"/>
      <c r="BY97" s="623"/>
      <c r="BZ97" s="623"/>
      <c r="CA97" s="623"/>
      <c r="CB97" s="1669"/>
      <c r="CC97" s="1669"/>
      <c r="CD97" s="1669"/>
      <c r="CE97" s="1669"/>
      <c r="CF97" s="1669"/>
      <c r="CG97" s="1669"/>
      <c r="CH97" s="1669"/>
      <c r="CI97" s="1669"/>
      <c r="CJ97" s="1669"/>
      <c r="CK97" s="1669"/>
      <c r="CL97" s="1669"/>
      <c r="CM97" s="1669"/>
      <c r="CN97" s="1669"/>
      <c r="CO97" s="1669"/>
      <c r="CP97" s="1669"/>
      <c r="CQ97" s="1669"/>
      <c r="CR97" s="1669"/>
      <c r="CS97" s="1669"/>
      <c r="CT97" s="1669"/>
      <c r="CU97" s="1669"/>
      <c r="CV97" s="1669"/>
      <c r="CW97" s="1669"/>
      <c r="CX97" s="1669"/>
      <c r="CY97" s="817"/>
      <c r="CZ97" s="1669"/>
      <c r="DA97" s="1669"/>
      <c r="DB97" s="1669"/>
      <c r="DC97" s="767"/>
      <c r="DD97" s="1669"/>
      <c r="DE97" s="1669"/>
      <c r="DF97" s="1669"/>
      <c r="DG97" s="1669"/>
      <c r="DH97" s="1669"/>
      <c r="DI97" s="1669"/>
      <c r="DJ97" s="1669"/>
      <c r="DK97" s="1669"/>
      <c r="DL97" s="1669"/>
      <c r="DM97" s="1669"/>
      <c r="DN97" s="1669"/>
      <c r="DO97" s="767"/>
      <c r="DP97" s="1669"/>
      <c r="DQ97" s="1669"/>
      <c r="DR97" s="623"/>
      <c r="DS97" s="623"/>
      <c r="DT97" s="623"/>
      <c r="DU97" s="623"/>
      <c r="DV97" s="1675"/>
    </row>
    <row r="98" spans="1:256" ht="13.8" hidden="1">
      <c r="A98" s="1676"/>
      <c r="B98" s="550"/>
      <c r="C98" s="550"/>
      <c r="D98" s="550"/>
      <c r="E98" s="550"/>
      <c r="F98" s="550"/>
      <c r="G98" s="550"/>
      <c r="H98" s="550"/>
      <c r="I98" s="550"/>
      <c r="J98" s="550"/>
      <c r="K98" s="550"/>
      <c r="L98" s="550"/>
      <c r="M98" s="550"/>
      <c r="N98" s="550"/>
      <c r="O98" s="439"/>
      <c r="P98" s="439"/>
      <c r="Q98" s="674"/>
      <c r="R98" s="671"/>
      <c r="S98" s="671"/>
      <c r="T98" s="671"/>
      <c r="U98" s="671"/>
      <c r="V98" s="671"/>
      <c r="W98" s="671"/>
      <c r="X98" s="767"/>
      <c r="Y98" s="671"/>
      <c r="Z98" s="671"/>
      <c r="AA98" s="767"/>
      <c r="AB98" s="623"/>
      <c r="AC98" s="623"/>
      <c r="AD98" s="623"/>
      <c r="AE98" s="623"/>
      <c r="AF98" s="623"/>
      <c r="AG98" s="623"/>
      <c r="AH98" s="623"/>
      <c r="AI98" s="623"/>
      <c r="AJ98" s="623"/>
      <c r="AK98" s="623"/>
      <c r="AL98" s="623"/>
      <c r="AM98" s="623"/>
      <c r="AN98" s="623"/>
      <c r="AO98" s="623"/>
      <c r="AP98" s="623"/>
      <c r="AQ98" s="623"/>
      <c r="AR98" s="623"/>
      <c r="AS98" s="623"/>
      <c r="AT98" s="623"/>
      <c r="AU98" s="623"/>
      <c r="AV98" s="623"/>
      <c r="AW98" s="623"/>
      <c r="AX98" s="623"/>
      <c r="AY98" s="623"/>
      <c r="AZ98" s="623"/>
      <c r="BA98" s="623"/>
      <c r="BB98" s="623"/>
      <c r="BC98" s="623"/>
      <c r="BD98" s="623"/>
      <c r="BE98" s="623"/>
      <c r="BF98" s="623"/>
      <c r="BG98" s="623"/>
      <c r="BH98" s="623"/>
      <c r="BI98" s="623"/>
      <c r="BJ98" s="623"/>
      <c r="BK98" s="623"/>
      <c r="BL98" s="623"/>
      <c r="BM98" s="623"/>
      <c r="BN98" s="623"/>
      <c r="BO98" s="623"/>
      <c r="BP98" s="623"/>
      <c r="BQ98" s="623"/>
      <c r="BR98" s="623"/>
      <c r="BS98" s="623"/>
      <c r="BT98" s="623"/>
      <c r="BU98" s="623"/>
      <c r="BV98" s="623"/>
      <c r="BW98" s="623"/>
      <c r="BX98" s="623"/>
      <c r="BY98" s="623"/>
      <c r="BZ98" s="623"/>
      <c r="CA98" s="623"/>
      <c r="CB98" s="1669"/>
      <c r="CC98" s="1669"/>
      <c r="CD98" s="1669"/>
      <c r="CE98" s="1669"/>
      <c r="CF98" s="1669"/>
      <c r="CG98" s="1669"/>
      <c r="CH98" s="1669"/>
      <c r="CI98" s="1669"/>
      <c r="CJ98" s="1669"/>
      <c r="CK98" s="1669"/>
      <c r="CL98" s="1669"/>
      <c r="CM98" s="1669"/>
      <c r="CN98" s="1669"/>
      <c r="CO98" s="1669"/>
      <c r="CP98" s="1669"/>
      <c r="CQ98" s="1669"/>
      <c r="CR98" s="1669"/>
      <c r="CS98" s="1669"/>
      <c r="CT98" s="1669"/>
      <c r="CU98" s="1669"/>
      <c r="CV98" s="1669"/>
      <c r="CW98" s="1669"/>
      <c r="CX98" s="1669"/>
      <c r="CY98" s="817"/>
      <c r="CZ98" s="1669"/>
      <c r="DA98" s="1669"/>
      <c r="DB98" s="1669"/>
      <c r="DC98" s="767"/>
      <c r="DD98" s="1669"/>
      <c r="DE98" s="1669"/>
      <c r="DF98" s="1669"/>
      <c r="DG98" s="1669"/>
      <c r="DH98" s="1669"/>
      <c r="DI98" s="1669"/>
      <c r="DJ98" s="1669"/>
      <c r="DK98" s="1669"/>
      <c r="DL98" s="1669"/>
      <c r="DM98" s="1669"/>
      <c r="DN98" s="1669"/>
      <c r="DO98" s="767"/>
      <c r="DP98" s="1669"/>
      <c r="DQ98" s="1669"/>
      <c r="DR98" s="623"/>
      <c r="DS98" s="623"/>
      <c r="DT98" s="623"/>
      <c r="DU98" s="623"/>
      <c r="DV98" s="1675"/>
    </row>
    <row r="99" spans="1:256" ht="13.8" hidden="1">
      <c r="A99" s="1676"/>
      <c r="B99" s="550"/>
      <c r="C99" s="550"/>
      <c r="D99" s="550"/>
      <c r="E99" s="550"/>
      <c r="F99" s="550"/>
      <c r="G99" s="550"/>
      <c r="H99" s="550"/>
      <c r="I99" s="550"/>
      <c r="J99" s="550"/>
      <c r="K99" s="550"/>
      <c r="L99" s="550"/>
      <c r="M99" s="550"/>
      <c r="N99" s="550"/>
      <c r="O99" s="439"/>
      <c r="P99" s="439"/>
      <c r="Q99" s="674"/>
      <c r="R99" s="671"/>
      <c r="S99" s="671"/>
      <c r="T99" s="671"/>
      <c r="U99" s="671"/>
      <c r="V99" s="671"/>
      <c r="W99" s="671"/>
      <c r="X99" s="767"/>
      <c r="Y99" s="671"/>
      <c r="Z99" s="671"/>
      <c r="AA99" s="767"/>
      <c r="AB99" s="623"/>
      <c r="AC99" s="623"/>
      <c r="AD99" s="623"/>
      <c r="AE99" s="623"/>
      <c r="AF99" s="623"/>
      <c r="AG99" s="623"/>
      <c r="AH99" s="623"/>
      <c r="AI99" s="623"/>
      <c r="AJ99" s="623"/>
      <c r="AK99" s="623"/>
      <c r="AL99" s="623"/>
      <c r="AM99" s="623"/>
      <c r="AN99" s="623"/>
      <c r="AO99" s="623"/>
      <c r="AP99" s="623"/>
      <c r="AQ99" s="623"/>
      <c r="AR99" s="623"/>
      <c r="AS99" s="623"/>
      <c r="AT99" s="623"/>
      <c r="AU99" s="623"/>
      <c r="AV99" s="623"/>
      <c r="AW99" s="623"/>
      <c r="AX99" s="623"/>
      <c r="AY99" s="623"/>
      <c r="AZ99" s="623"/>
      <c r="BA99" s="623"/>
      <c r="BB99" s="623"/>
      <c r="BC99" s="623"/>
      <c r="BD99" s="623"/>
      <c r="BE99" s="623"/>
      <c r="BF99" s="623"/>
      <c r="BG99" s="623"/>
      <c r="BH99" s="623"/>
      <c r="BI99" s="623"/>
      <c r="BJ99" s="623"/>
      <c r="BK99" s="623"/>
      <c r="BL99" s="623"/>
      <c r="BM99" s="623"/>
      <c r="BN99" s="623"/>
      <c r="BO99" s="623"/>
      <c r="BP99" s="623"/>
      <c r="BQ99" s="623"/>
      <c r="BR99" s="623"/>
      <c r="BS99" s="623"/>
      <c r="BT99" s="623"/>
      <c r="BU99" s="623"/>
      <c r="BV99" s="623"/>
      <c r="BW99" s="623"/>
      <c r="BX99" s="623"/>
      <c r="BY99" s="623"/>
      <c r="BZ99" s="623"/>
      <c r="CA99" s="623"/>
      <c r="CB99" s="1669"/>
      <c r="CC99" s="1669"/>
      <c r="CD99" s="1669"/>
      <c r="CE99" s="1669"/>
      <c r="CF99" s="1669"/>
      <c r="CG99" s="1669"/>
      <c r="CH99" s="1669"/>
      <c r="CI99" s="1669"/>
      <c r="CJ99" s="1669"/>
      <c r="CK99" s="1669"/>
      <c r="CL99" s="1669"/>
      <c r="CM99" s="1669"/>
      <c r="CN99" s="1669"/>
      <c r="CO99" s="1669"/>
      <c r="CP99" s="1669"/>
      <c r="CQ99" s="1669"/>
      <c r="CR99" s="1669"/>
      <c r="CS99" s="1669"/>
      <c r="CT99" s="1669"/>
      <c r="CU99" s="1669"/>
      <c r="CV99" s="1669"/>
      <c r="CW99" s="1669"/>
      <c r="CX99" s="1669"/>
      <c r="CY99" s="817"/>
      <c r="CZ99" s="1669"/>
      <c r="DA99" s="1669"/>
      <c r="DB99" s="1669"/>
      <c r="DC99" s="767"/>
      <c r="DD99" s="1669"/>
      <c r="DE99" s="1669"/>
      <c r="DF99" s="1669"/>
      <c r="DG99" s="1669"/>
      <c r="DH99" s="1669"/>
      <c r="DI99" s="1669"/>
      <c r="DJ99" s="1669"/>
      <c r="DK99" s="1669"/>
      <c r="DL99" s="1669"/>
      <c r="DM99" s="1669"/>
      <c r="DN99" s="1669"/>
      <c r="DO99" s="767"/>
      <c r="DP99" s="1669"/>
      <c r="DQ99" s="1669"/>
      <c r="DR99" s="623"/>
      <c r="DS99" s="623"/>
      <c r="DT99" s="623"/>
      <c r="DU99" s="623"/>
      <c r="DV99" s="1675"/>
    </row>
    <row r="100" spans="1:256" ht="13.8" hidden="1">
      <c r="A100" s="1676"/>
      <c r="B100" s="550"/>
      <c r="C100" s="550"/>
      <c r="D100" s="550"/>
      <c r="E100" s="550"/>
      <c r="F100" s="550"/>
      <c r="G100" s="550"/>
      <c r="H100" s="550"/>
      <c r="I100" s="550"/>
      <c r="J100" s="550"/>
      <c r="K100" s="550"/>
      <c r="L100" s="550"/>
      <c r="M100" s="550"/>
      <c r="N100" s="550"/>
      <c r="O100" s="439"/>
      <c r="P100" s="439"/>
      <c r="Q100" s="674"/>
      <c r="R100" s="671"/>
      <c r="S100" s="671"/>
      <c r="T100" s="671"/>
      <c r="U100" s="671"/>
      <c r="V100" s="671"/>
      <c r="W100" s="671"/>
      <c r="X100" s="767"/>
      <c r="Y100" s="671"/>
      <c r="Z100" s="671"/>
      <c r="AA100" s="767"/>
      <c r="AB100" s="623"/>
      <c r="AC100" s="623"/>
      <c r="AD100" s="623"/>
      <c r="AE100" s="623"/>
      <c r="AF100" s="623"/>
      <c r="AG100" s="623"/>
      <c r="AH100" s="623"/>
      <c r="AI100" s="623"/>
      <c r="AJ100" s="623"/>
      <c r="AK100" s="623"/>
      <c r="AL100" s="623"/>
      <c r="AM100" s="623"/>
      <c r="AN100" s="623"/>
      <c r="AO100" s="623"/>
      <c r="AP100" s="623"/>
      <c r="AQ100" s="623"/>
      <c r="AR100" s="623"/>
      <c r="AS100" s="623"/>
      <c r="AT100" s="623"/>
      <c r="AU100" s="623"/>
      <c r="AV100" s="623"/>
      <c r="AW100" s="623"/>
      <c r="AX100" s="623"/>
      <c r="AY100" s="623"/>
      <c r="AZ100" s="623"/>
      <c r="BA100" s="623"/>
      <c r="BB100" s="623"/>
      <c r="BC100" s="623"/>
      <c r="BD100" s="623"/>
      <c r="BE100" s="623"/>
      <c r="BF100" s="623"/>
      <c r="BG100" s="623"/>
      <c r="BH100" s="623"/>
      <c r="BI100" s="623"/>
      <c r="BJ100" s="623"/>
      <c r="BK100" s="623"/>
      <c r="BL100" s="623"/>
      <c r="BM100" s="623"/>
      <c r="BN100" s="623"/>
      <c r="BO100" s="623"/>
      <c r="BP100" s="623"/>
      <c r="BQ100" s="623"/>
      <c r="BR100" s="623"/>
      <c r="BS100" s="623"/>
      <c r="BT100" s="623"/>
      <c r="BU100" s="623"/>
      <c r="BV100" s="623"/>
      <c r="BW100" s="623"/>
      <c r="BX100" s="623"/>
      <c r="BY100" s="623"/>
      <c r="BZ100" s="623"/>
      <c r="CA100" s="623"/>
      <c r="CB100" s="1669"/>
      <c r="CC100" s="1669"/>
      <c r="CD100" s="1669"/>
      <c r="CE100" s="1669"/>
      <c r="CF100" s="1669"/>
      <c r="CG100" s="1669"/>
      <c r="CH100" s="1669"/>
      <c r="CI100" s="1669"/>
      <c r="CJ100" s="1669"/>
      <c r="CK100" s="1669"/>
      <c r="CL100" s="1669"/>
      <c r="CM100" s="1669"/>
      <c r="CN100" s="1669"/>
      <c r="CO100" s="1669"/>
      <c r="CP100" s="1669"/>
      <c r="CQ100" s="1669"/>
      <c r="CR100" s="1669"/>
      <c r="CS100" s="1669"/>
      <c r="CT100" s="1669"/>
      <c r="CU100" s="1669"/>
      <c r="CV100" s="1669"/>
      <c r="CW100" s="1669"/>
      <c r="CX100" s="1669"/>
      <c r="CY100" s="817"/>
      <c r="CZ100" s="1669"/>
      <c r="DA100" s="1669"/>
      <c r="DB100" s="1669"/>
      <c r="DC100" s="767"/>
      <c r="DD100" s="1669"/>
      <c r="DE100" s="1669"/>
      <c r="DF100" s="1669"/>
      <c r="DG100" s="1669"/>
      <c r="DH100" s="1669"/>
      <c r="DI100" s="1669"/>
      <c r="DJ100" s="1669"/>
      <c r="DK100" s="1669"/>
      <c r="DL100" s="1669"/>
      <c r="DM100" s="1669"/>
      <c r="DN100" s="1669"/>
      <c r="DO100" s="767"/>
      <c r="DP100" s="1669"/>
      <c r="DQ100" s="1669"/>
      <c r="DR100" s="623"/>
      <c r="DS100" s="623"/>
      <c r="DT100" s="623"/>
      <c r="DU100" s="623"/>
      <c r="DV100" s="1675"/>
    </row>
    <row r="101" spans="1:256" ht="13.8" hidden="1">
      <c r="A101" s="1676"/>
      <c r="B101" s="550"/>
      <c r="C101" s="550"/>
      <c r="D101" s="550"/>
      <c r="E101" s="550"/>
      <c r="F101" s="550"/>
      <c r="G101" s="550"/>
      <c r="H101" s="550"/>
      <c r="I101" s="550"/>
      <c r="J101" s="550"/>
      <c r="K101" s="550"/>
      <c r="L101" s="550"/>
      <c r="M101" s="550"/>
      <c r="N101" s="550"/>
      <c r="O101" s="439"/>
      <c r="P101" s="439"/>
      <c r="Q101" s="674"/>
      <c r="R101" s="671"/>
      <c r="S101" s="671"/>
      <c r="T101" s="671"/>
      <c r="U101" s="671"/>
      <c r="V101" s="671"/>
      <c r="W101" s="671"/>
      <c r="X101" s="767"/>
      <c r="Y101" s="671"/>
      <c r="Z101" s="671"/>
      <c r="AA101" s="767"/>
      <c r="AB101" s="623"/>
      <c r="AC101" s="623"/>
      <c r="AD101" s="623"/>
      <c r="AE101" s="623"/>
      <c r="AF101" s="623"/>
      <c r="AG101" s="623"/>
      <c r="AH101" s="623"/>
      <c r="AI101" s="623"/>
      <c r="AJ101" s="623"/>
      <c r="AK101" s="623"/>
      <c r="AL101" s="623"/>
      <c r="AM101" s="623"/>
      <c r="AN101" s="623"/>
      <c r="AO101" s="623"/>
      <c r="AP101" s="623"/>
      <c r="AQ101" s="623"/>
      <c r="AR101" s="623"/>
      <c r="AS101" s="623"/>
      <c r="AT101" s="623"/>
      <c r="AU101" s="623"/>
      <c r="AV101" s="623"/>
      <c r="AW101" s="623"/>
      <c r="AX101" s="623"/>
      <c r="AY101" s="623"/>
      <c r="AZ101" s="623"/>
      <c r="BA101" s="623"/>
      <c r="BB101" s="623"/>
      <c r="BC101" s="623"/>
      <c r="BD101" s="623"/>
      <c r="BE101" s="623"/>
      <c r="BF101" s="623"/>
      <c r="BG101" s="623"/>
      <c r="BH101" s="623"/>
      <c r="BI101" s="623"/>
      <c r="BJ101" s="623"/>
      <c r="BK101" s="623"/>
      <c r="BL101" s="623"/>
      <c r="BM101" s="623"/>
      <c r="BN101" s="623"/>
      <c r="BO101" s="623"/>
      <c r="BP101" s="623"/>
      <c r="BQ101" s="623"/>
      <c r="BR101" s="623"/>
      <c r="BS101" s="623"/>
      <c r="BT101" s="623"/>
      <c r="BU101" s="623"/>
      <c r="BV101" s="623"/>
      <c r="BW101" s="623"/>
      <c r="BX101" s="623"/>
      <c r="BY101" s="623"/>
      <c r="BZ101" s="623"/>
      <c r="CA101" s="623"/>
      <c r="CB101" s="1669"/>
      <c r="CC101" s="1669"/>
      <c r="CD101" s="1669"/>
      <c r="CE101" s="1669"/>
      <c r="CF101" s="1669"/>
      <c r="CG101" s="1669"/>
      <c r="CH101" s="1669"/>
      <c r="CI101" s="1669"/>
      <c r="CJ101" s="1669"/>
      <c r="CK101" s="1669"/>
      <c r="CL101" s="1669"/>
      <c r="CM101" s="1669"/>
      <c r="CN101" s="1669"/>
      <c r="CO101" s="1669"/>
      <c r="CP101" s="1669"/>
      <c r="CQ101" s="1669"/>
      <c r="CR101" s="1669"/>
      <c r="CS101" s="1669"/>
      <c r="CT101" s="1669"/>
      <c r="CU101" s="1669"/>
      <c r="CV101" s="1669"/>
      <c r="CW101" s="1669"/>
      <c r="CX101" s="1669"/>
      <c r="CY101" s="817"/>
      <c r="CZ101" s="1669"/>
      <c r="DA101" s="1669"/>
      <c r="DB101" s="1669"/>
      <c r="DC101" s="767"/>
      <c r="DD101" s="1669"/>
      <c r="DE101" s="1669"/>
      <c r="DF101" s="1669"/>
      <c r="DG101" s="1669"/>
      <c r="DH101" s="1669"/>
      <c r="DI101" s="1669"/>
      <c r="DJ101" s="1669"/>
      <c r="DK101" s="1669"/>
      <c r="DL101" s="1669"/>
      <c r="DM101" s="1669"/>
      <c r="DN101" s="1669"/>
      <c r="DO101" s="767"/>
      <c r="DP101" s="1669"/>
      <c r="DQ101" s="1669"/>
      <c r="DR101" s="623"/>
      <c r="DS101" s="623"/>
      <c r="DT101" s="623"/>
      <c r="DU101" s="623"/>
      <c r="DV101" s="1675"/>
    </row>
    <row r="102" spans="1:256" ht="13.8" hidden="1">
      <c r="A102" s="1676"/>
      <c r="B102" s="550"/>
      <c r="C102" s="550"/>
      <c r="D102" s="550"/>
      <c r="E102" s="550"/>
      <c r="F102" s="550"/>
      <c r="G102" s="550"/>
      <c r="H102" s="550"/>
      <c r="I102" s="550"/>
      <c r="J102" s="550"/>
      <c r="K102" s="550"/>
      <c r="L102" s="550"/>
      <c r="M102" s="550"/>
      <c r="N102" s="550"/>
      <c r="O102" s="439"/>
      <c r="P102" s="439"/>
      <c r="Q102" s="674"/>
      <c r="R102" s="671"/>
      <c r="S102" s="671"/>
      <c r="T102" s="671"/>
      <c r="U102" s="671"/>
      <c r="V102" s="671"/>
      <c r="W102" s="671"/>
      <c r="X102" s="767"/>
      <c r="Y102" s="671"/>
      <c r="Z102" s="671"/>
      <c r="AA102" s="767"/>
      <c r="AB102" s="623"/>
      <c r="AC102" s="623"/>
      <c r="AD102" s="623"/>
      <c r="AE102" s="623"/>
      <c r="AF102" s="623"/>
      <c r="AG102" s="623"/>
      <c r="AH102" s="623"/>
      <c r="AI102" s="623"/>
      <c r="AJ102" s="623"/>
      <c r="AK102" s="623"/>
      <c r="AL102" s="623"/>
      <c r="AM102" s="623"/>
      <c r="AN102" s="623"/>
      <c r="AO102" s="623"/>
      <c r="AP102" s="623"/>
      <c r="AQ102" s="623"/>
      <c r="AR102" s="623"/>
      <c r="AS102" s="623"/>
      <c r="AT102" s="623"/>
      <c r="AU102" s="623"/>
      <c r="AV102" s="623"/>
      <c r="AW102" s="623"/>
      <c r="AX102" s="623"/>
      <c r="AY102" s="623"/>
      <c r="AZ102" s="623"/>
      <c r="BA102" s="623"/>
      <c r="BB102" s="623"/>
      <c r="BC102" s="623"/>
      <c r="BD102" s="623"/>
      <c r="BE102" s="623"/>
      <c r="BF102" s="623"/>
      <c r="BG102" s="623"/>
      <c r="BH102" s="623"/>
      <c r="BI102" s="623"/>
      <c r="BJ102" s="623"/>
      <c r="BK102" s="623"/>
      <c r="BL102" s="623"/>
      <c r="BM102" s="623"/>
      <c r="BN102" s="623"/>
      <c r="BO102" s="623"/>
      <c r="BP102" s="623"/>
      <c r="BQ102" s="623"/>
      <c r="BR102" s="623"/>
      <c r="BS102" s="623"/>
      <c r="BT102" s="623"/>
      <c r="BU102" s="623"/>
      <c r="BV102" s="623"/>
      <c r="BW102" s="623"/>
      <c r="BX102" s="623"/>
      <c r="BY102" s="623"/>
      <c r="BZ102" s="623"/>
      <c r="CA102" s="623"/>
      <c r="CB102" s="1669"/>
      <c r="CC102" s="1669"/>
      <c r="CD102" s="1669"/>
      <c r="CE102" s="1669"/>
      <c r="CF102" s="1669"/>
      <c r="CG102" s="1669"/>
      <c r="CH102" s="1669"/>
      <c r="CI102" s="1669"/>
      <c r="CJ102" s="1669"/>
      <c r="CK102" s="1669"/>
      <c r="CL102" s="1669"/>
      <c r="CM102" s="1669"/>
      <c r="CN102" s="1669"/>
      <c r="CO102" s="1669"/>
      <c r="CP102" s="1669"/>
      <c r="CQ102" s="1669"/>
      <c r="CR102" s="1669"/>
      <c r="CS102" s="1669"/>
      <c r="CT102" s="1669"/>
      <c r="CU102" s="1669"/>
      <c r="CV102" s="1669"/>
      <c r="CW102" s="1669"/>
      <c r="CX102" s="1669"/>
      <c r="CY102" s="817"/>
      <c r="CZ102" s="1669"/>
      <c r="DA102" s="1669"/>
      <c r="DB102" s="1669"/>
      <c r="DC102" s="767"/>
      <c r="DD102" s="1669"/>
      <c r="DE102" s="1669"/>
      <c r="DF102" s="1669"/>
      <c r="DG102" s="1669"/>
      <c r="DH102" s="1669"/>
      <c r="DI102" s="1669"/>
      <c r="DJ102" s="1669"/>
      <c r="DK102" s="1669"/>
      <c r="DL102" s="1669"/>
      <c r="DM102" s="1669"/>
      <c r="DN102" s="1669"/>
      <c r="DO102" s="767"/>
      <c r="DP102" s="1669"/>
      <c r="DQ102" s="1669"/>
      <c r="DR102" s="623"/>
      <c r="DS102" s="623"/>
      <c r="DT102" s="623"/>
      <c r="DU102" s="623"/>
      <c r="DV102" s="1675"/>
    </row>
    <row r="103" spans="1:256" ht="13.8" hidden="1">
      <c r="A103" s="1676"/>
      <c r="B103" s="550"/>
      <c r="C103" s="550"/>
      <c r="D103" s="550"/>
      <c r="E103" s="550"/>
      <c r="F103" s="550"/>
      <c r="G103" s="550"/>
      <c r="H103" s="550"/>
      <c r="I103" s="550"/>
      <c r="J103" s="550"/>
      <c r="K103" s="550"/>
      <c r="L103" s="550"/>
      <c r="M103" s="550"/>
      <c r="N103" s="550"/>
      <c r="O103" s="439"/>
      <c r="P103" s="439"/>
      <c r="Q103" s="674"/>
      <c r="R103" s="671"/>
      <c r="S103" s="671"/>
      <c r="T103" s="671"/>
      <c r="U103" s="671"/>
      <c r="V103" s="671"/>
      <c r="W103" s="671"/>
      <c r="X103" s="767"/>
      <c r="Y103" s="671"/>
      <c r="Z103" s="671"/>
      <c r="AA103" s="767"/>
      <c r="AB103" s="623"/>
      <c r="AC103" s="623"/>
      <c r="AD103" s="623"/>
      <c r="AE103" s="623"/>
      <c r="AF103" s="623"/>
      <c r="AG103" s="623"/>
      <c r="AH103" s="623"/>
      <c r="AI103" s="623"/>
      <c r="AJ103" s="623"/>
      <c r="AK103" s="623"/>
      <c r="AL103" s="623"/>
      <c r="AM103" s="623"/>
      <c r="AN103" s="623"/>
      <c r="AO103" s="623"/>
      <c r="AP103" s="623"/>
      <c r="AQ103" s="623"/>
      <c r="AR103" s="623"/>
      <c r="AS103" s="623"/>
      <c r="AT103" s="623"/>
      <c r="AU103" s="623"/>
      <c r="AV103" s="623"/>
      <c r="AW103" s="623"/>
      <c r="AX103" s="623"/>
      <c r="AY103" s="623"/>
      <c r="AZ103" s="623"/>
      <c r="BA103" s="623"/>
      <c r="BB103" s="623"/>
      <c r="BC103" s="623"/>
      <c r="BD103" s="623"/>
      <c r="BE103" s="623"/>
      <c r="BF103" s="623"/>
      <c r="BG103" s="623"/>
      <c r="BH103" s="623"/>
      <c r="BI103" s="623"/>
      <c r="BJ103" s="623"/>
      <c r="BK103" s="623"/>
      <c r="BL103" s="623"/>
      <c r="BM103" s="623"/>
      <c r="BN103" s="623"/>
      <c r="BO103" s="623"/>
      <c r="BP103" s="623"/>
      <c r="BQ103" s="623"/>
      <c r="BR103" s="623"/>
      <c r="BS103" s="623"/>
      <c r="BT103" s="623"/>
      <c r="BU103" s="623"/>
      <c r="BV103" s="623"/>
      <c r="BW103" s="623"/>
      <c r="BX103" s="623"/>
      <c r="BY103" s="623"/>
      <c r="BZ103" s="623"/>
      <c r="CA103" s="623"/>
      <c r="CB103" s="1669"/>
      <c r="CC103" s="1669"/>
      <c r="CD103" s="1669"/>
      <c r="CE103" s="1669"/>
      <c r="CF103" s="1669"/>
      <c r="CG103" s="1669"/>
      <c r="CH103" s="1669"/>
      <c r="CI103" s="1669"/>
      <c r="CJ103" s="1669"/>
      <c r="CK103" s="1669"/>
      <c r="CL103" s="1669"/>
      <c r="CM103" s="1669"/>
      <c r="CN103" s="1669"/>
      <c r="CO103" s="1669"/>
      <c r="CP103" s="1669"/>
      <c r="CQ103" s="1669"/>
      <c r="CR103" s="1669"/>
      <c r="CS103" s="1669"/>
      <c r="CT103" s="1669"/>
      <c r="CU103" s="1669"/>
      <c r="CV103" s="1669"/>
      <c r="CW103" s="1669"/>
      <c r="CX103" s="1669"/>
      <c r="CY103" s="817"/>
      <c r="CZ103" s="1669"/>
      <c r="DA103" s="1669"/>
      <c r="DB103" s="1669"/>
      <c r="DC103" s="767"/>
      <c r="DD103" s="1669"/>
      <c r="DE103" s="1669"/>
      <c r="DF103" s="1669"/>
      <c r="DG103" s="1669"/>
      <c r="DH103" s="1669"/>
      <c r="DI103" s="1669"/>
      <c r="DJ103" s="1669"/>
      <c r="DK103" s="1669"/>
      <c r="DL103" s="1669"/>
      <c r="DM103" s="1669"/>
      <c r="DN103" s="1669"/>
      <c r="DO103" s="767"/>
      <c r="DP103" s="1669"/>
      <c r="DQ103" s="1669"/>
      <c r="DR103" s="623"/>
      <c r="DS103" s="623"/>
      <c r="DT103" s="623"/>
      <c r="DU103" s="623"/>
      <c r="DV103" s="1675"/>
    </row>
    <row r="104" spans="1:256" ht="13.8" hidden="1">
      <c r="A104" s="1676"/>
      <c r="B104" s="550"/>
      <c r="C104" s="550"/>
      <c r="D104" s="550"/>
      <c r="E104" s="550"/>
      <c r="F104" s="550"/>
      <c r="G104" s="550"/>
      <c r="H104" s="550"/>
      <c r="I104" s="550"/>
      <c r="J104" s="550"/>
      <c r="K104" s="550"/>
      <c r="L104" s="550"/>
      <c r="M104" s="550"/>
      <c r="N104" s="550"/>
      <c r="O104" s="439"/>
      <c r="P104" s="439"/>
      <c r="Q104" s="674"/>
      <c r="R104" s="671"/>
      <c r="S104" s="671"/>
      <c r="T104" s="671"/>
      <c r="U104" s="671"/>
      <c r="V104" s="671"/>
      <c r="W104" s="671"/>
      <c r="X104" s="767"/>
      <c r="Y104" s="671"/>
      <c r="Z104" s="671"/>
      <c r="AA104" s="767"/>
      <c r="AB104" s="623"/>
      <c r="AC104" s="623"/>
      <c r="AD104" s="623"/>
      <c r="AE104" s="623"/>
      <c r="AF104" s="623"/>
      <c r="AG104" s="623"/>
      <c r="AH104" s="623"/>
      <c r="AI104" s="623"/>
      <c r="AJ104" s="623"/>
      <c r="AK104" s="623"/>
      <c r="AL104" s="623"/>
      <c r="AM104" s="623"/>
      <c r="AN104" s="623"/>
      <c r="AO104" s="623"/>
      <c r="AP104" s="623"/>
      <c r="AQ104" s="623"/>
      <c r="AR104" s="623"/>
      <c r="AS104" s="623"/>
      <c r="AT104" s="623"/>
      <c r="AU104" s="623"/>
      <c r="AV104" s="623"/>
      <c r="AW104" s="623"/>
      <c r="AX104" s="623"/>
      <c r="AY104" s="623"/>
      <c r="AZ104" s="623"/>
      <c r="BA104" s="623"/>
      <c r="BB104" s="623"/>
      <c r="BC104" s="623"/>
      <c r="BD104" s="623"/>
      <c r="BE104" s="623"/>
      <c r="BF104" s="623"/>
      <c r="BG104" s="623"/>
      <c r="BH104" s="623"/>
      <c r="BI104" s="623"/>
      <c r="BJ104" s="623"/>
      <c r="BK104" s="623"/>
      <c r="BL104" s="623"/>
      <c r="BM104" s="623"/>
      <c r="BN104" s="623"/>
      <c r="BO104" s="623"/>
      <c r="BP104" s="623"/>
      <c r="BQ104" s="623"/>
      <c r="BR104" s="623"/>
      <c r="BS104" s="623"/>
      <c r="BT104" s="623"/>
      <c r="BU104" s="623"/>
      <c r="BV104" s="623"/>
      <c r="BW104" s="623"/>
      <c r="BX104" s="623"/>
      <c r="BY104" s="623"/>
      <c r="BZ104" s="623"/>
      <c r="CA104" s="623"/>
      <c r="CB104" s="1669"/>
      <c r="CC104" s="1669"/>
      <c r="CD104" s="1669"/>
      <c r="CE104" s="1669"/>
      <c r="CF104" s="1669"/>
      <c r="CG104" s="1669"/>
      <c r="CH104" s="1669"/>
      <c r="CI104" s="1669"/>
      <c r="CJ104" s="1669"/>
      <c r="CK104" s="1669"/>
      <c r="CL104" s="1669"/>
      <c r="CM104" s="1669"/>
      <c r="CN104" s="1669"/>
      <c r="CO104" s="1669"/>
      <c r="CP104" s="1669"/>
      <c r="CQ104" s="1669"/>
      <c r="CR104" s="1669"/>
      <c r="CS104" s="1669"/>
      <c r="CT104" s="1669"/>
      <c r="CU104" s="1669"/>
      <c r="CV104" s="1669"/>
      <c r="CW104" s="1669"/>
      <c r="CX104" s="1669"/>
      <c r="CY104" s="817"/>
      <c r="CZ104" s="1669"/>
      <c r="DA104" s="1669"/>
      <c r="DB104" s="1669"/>
      <c r="DC104" s="767"/>
      <c r="DD104" s="1669"/>
      <c r="DE104" s="1669"/>
      <c r="DF104" s="1669"/>
      <c r="DG104" s="1669"/>
      <c r="DH104" s="1669"/>
      <c r="DI104" s="1669"/>
      <c r="DJ104" s="1669"/>
      <c r="DK104" s="1669"/>
      <c r="DL104" s="1669"/>
      <c r="DM104" s="1669"/>
      <c r="DN104" s="1669"/>
      <c r="DO104" s="767"/>
      <c r="DP104" s="1669"/>
      <c r="DQ104" s="1669"/>
      <c r="DR104" s="623"/>
      <c r="DS104" s="623"/>
      <c r="DT104" s="623"/>
      <c r="DU104" s="623"/>
      <c r="DV104" s="1675"/>
    </row>
    <row r="105" spans="1:256" ht="13.8" hidden="1">
      <c r="A105" s="1676"/>
      <c r="B105" s="550"/>
      <c r="C105" s="550"/>
      <c r="D105" s="550"/>
      <c r="E105" s="550"/>
      <c r="F105" s="550"/>
      <c r="G105" s="550"/>
      <c r="H105" s="550"/>
      <c r="I105" s="550"/>
      <c r="J105" s="550"/>
      <c r="K105" s="550"/>
      <c r="L105" s="550"/>
      <c r="M105" s="550"/>
      <c r="N105" s="550"/>
      <c r="O105" s="439"/>
      <c r="P105" s="439"/>
      <c r="Q105" s="674"/>
      <c r="R105" s="671"/>
      <c r="S105" s="671"/>
      <c r="T105" s="671"/>
      <c r="U105" s="671"/>
      <c r="V105" s="671"/>
      <c r="W105" s="671"/>
      <c r="X105" s="767"/>
      <c r="Y105" s="671"/>
      <c r="Z105" s="671"/>
      <c r="AA105" s="767"/>
      <c r="AB105" s="623"/>
      <c r="AC105" s="623"/>
      <c r="AD105" s="623"/>
      <c r="AE105" s="623"/>
      <c r="AF105" s="623"/>
      <c r="AG105" s="623"/>
      <c r="AH105" s="623"/>
      <c r="AI105" s="623"/>
      <c r="AJ105" s="623"/>
      <c r="AK105" s="623"/>
      <c r="AL105" s="623"/>
      <c r="AM105" s="623"/>
      <c r="AN105" s="623"/>
      <c r="AO105" s="623"/>
      <c r="AP105" s="623"/>
      <c r="AQ105" s="623"/>
      <c r="AR105" s="623"/>
      <c r="AS105" s="623"/>
      <c r="AT105" s="623"/>
      <c r="AU105" s="623"/>
      <c r="AV105" s="623"/>
      <c r="AW105" s="623"/>
      <c r="AX105" s="623"/>
      <c r="AY105" s="623"/>
      <c r="AZ105" s="623"/>
      <c r="BA105" s="623"/>
      <c r="BB105" s="623"/>
      <c r="BC105" s="623"/>
      <c r="BD105" s="623"/>
      <c r="BE105" s="623"/>
      <c r="BF105" s="623"/>
      <c r="BG105" s="623"/>
      <c r="BH105" s="623"/>
      <c r="BI105" s="623"/>
      <c r="BJ105" s="623"/>
      <c r="BK105" s="623"/>
      <c r="BL105" s="623"/>
      <c r="BM105" s="623"/>
      <c r="BN105" s="623"/>
      <c r="BO105" s="623"/>
      <c r="BP105" s="623"/>
      <c r="BQ105" s="623"/>
      <c r="BR105" s="623"/>
      <c r="BS105" s="623"/>
      <c r="BT105" s="623"/>
      <c r="BU105" s="623"/>
      <c r="BV105" s="623"/>
      <c r="BW105" s="623"/>
      <c r="BX105" s="623"/>
      <c r="BY105" s="623"/>
      <c r="BZ105" s="623"/>
      <c r="CA105" s="623"/>
      <c r="CB105" s="1669"/>
      <c r="CC105" s="1669"/>
      <c r="CD105" s="1669"/>
      <c r="CE105" s="1669"/>
      <c r="CF105" s="1669"/>
      <c r="CG105" s="1669"/>
      <c r="CH105" s="1669"/>
      <c r="CI105" s="1669"/>
      <c r="CJ105" s="1669"/>
      <c r="CK105" s="1669"/>
      <c r="CL105" s="1669"/>
      <c r="CM105" s="1669"/>
      <c r="CN105" s="1669"/>
      <c r="CO105" s="1669"/>
      <c r="CP105" s="1669"/>
      <c r="CQ105" s="1669"/>
      <c r="CR105" s="1669"/>
      <c r="CS105" s="1669"/>
      <c r="CT105" s="1669"/>
      <c r="CU105" s="1669"/>
      <c r="CV105" s="1669"/>
      <c r="CW105" s="1669"/>
      <c r="CX105" s="1669"/>
      <c r="CY105" s="817"/>
      <c r="CZ105" s="1669"/>
      <c r="DA105" s="1669"/>
      <c r="DB105" s="1669"/>
      <c r="DC105" s="767"/>
      <c r="DD105" s="1669"/>
      <c r="DE105" s="1669"/>
      <c r="DF105" s="1669"/>
      <c r="DG105" s="1669"/>
      <c r="DH105" s="1669"/>
      <c r="DI105" s="1669"/>
      <c r="DJ105" s="1669"/>
      <c r="DK105" s="1669"/>
      <c r="DL105" s="1669"/>
      <c r="DM105" s="1669"/>
      <c r="DN105" s="1669"/>
      <c r="DO105" s="767"/>
      <c r="DP105" s="1669"/>
      <c r="DQ105" s="1669"/>
      <c r="DR105" s="623"/>
      <c r="DS105" s="623"/>
      <c r="DT105" s="623"/>
      <c r="DU105" s="623"/>
      <c r="DV105" s="1675"/>
    </row>
    <row r="106" spans="1:256" ht="13.8" hidden="1">
      <c r="A106" s="1676"/>
      <c r="B106" s="550"/>
      <c r="C106" s="550"/>
      <c r="D106" s="550"/>
      <c r="E106" s="550"/>
      <c r="F106" s="550"/>
      <c r="G106" s="550"/>
      <c r="H106" s="550"/>
      <c r="I106" s="550"/>
      <c r="J106" s="550"/>
      <c r="K106" s="550"/>
      <c r="L106" s="550"/>
      <c r="M106" s="550"/>
      <c r="N106" s="550"/>
      <c r="O106" s="439"/>
      <c r="P106" s="439"/>
      <c r="Q106" s="674"/>
      <c r="R106" s="671"/>
      <c r="S106" s="671"/>
      <c r="T106" s="671"/>
      <c r="U106" s="671"/>
      <c r="V106" s="671"/>
      <c r="W106" s="671"/>
      <c r="X106" s="767"/>
      <c r="Y106" s="671"/>
      <c r="Z106" s="671"/>
      <c r="AA106" s="767"/>
      <c r="AB106" s="623"/>
      <c r="AC106" s="623"/>
      <c r="AD106" s="623"/>
      <c r="AE106" s="623"/>
      <c r="AF106" s="623"/>
      <c r="AG106" s="623"/>
      <c r="AH106" s="623"/>
      <c r="AI106" s="623"/>
      <c r="AJ106" s="623"/>
      <c r="AK106" s="623"/>
      <c r="AL106" s="623"/>
      <c r="AM106" s="623"/>
      <c r="AN106" s="623"/>
      <c r="AO106" s="623"/>
      <c r="AP106" s="623"/>
      <c r="AQ106" s="623"/>
      <c r="AR106" s="623"/>
      <c r="AS106" s="623"/>
      <c r="AT106" s="623"/>
      <c r="AU106" s="623"/>
      <c r="AV106" s="623"/>
      <c r="AW106" s="623"/>
      <c r="AX106" s="623"/>
      <c r="AY106" s="623"/>
      <c r="AZ106" s="623"/>
      <c r="BA106" s="623"/>
      <c r="BB106" s="623"/>
      <c r="BC106" s="623"/>
      <c r="BD106" s="623"/>
      <c r="BE106" s="623"/>
      <c r="BF106" s="623"/>
      <c r="BG106" s="623"/>
      <c r="BH106" s="623"/>
      <c r="BI106" s="623"/>
      <c r="BJ106" s="623"/>
      <c r="BK106" s="623"/>
      <c r="BL106" s="623"/>
      <c r="BM106" s="623"/>
      <c r="BN106" s="623"/>
      <c r="BO106" s="623"/>
      <c r="BP106" s="623"/>
      <c r="BQ106" s="623"/>
      <c r="BR106" s="623"/>
      <c r="BS106" s="623"/>
      <c r="BT106" s="623"/>
      <c r="BU106" s="623"/>
      <c r="BV106" s="623"/>
      <c r="BW106" s="623"/>
      <c r="BX106" s="623"/>
      <c r="BY106" s="623"/>
      <c r="BZ106" s="623"/>
      <c r="CA106" s="623"/>
      <c r="CB106" s="1669"/>
      <c r="CC106" s="1669"/>
      <c r="CD106" s="1669"/>
      <c r="CE106" s="1669"/>
      <c r="CF106" s="1669"/>
      <c r="CG106" s="1669"/>
      <c r="CH106" s="1669"/>
      <c r="CI106" s="1669"/>
      <c r="CJ106" s="1669"/>
      <c r="CK106" s="1669"/>
      <c r="CL106" s="1669"/>
      <c r="CM106" s="1669"/>
      <c r="CN106" s="1669"/>
      <c r="CO106" s="1669"/>
      <c r="CP106" s="1669"/>
      <c r="CQ106" s="1669"/>
      <c r="CR106" s="1669"/>
      <c r="CS106" s="1669"/>
      <c r="CT106" s="1669"/>
      <c r="CU106" s="1669"/>
      <c r="CV106" s="1669"/>
      <c r="CW106" s="1669"/>
      <c r="CX106" s="1669"/>
      <c r="CY106" s="817"/>
      <c r="CZ106" s="1669"/>
      <c r="DA106" s="1669"/>
      <c r="DB106" s="1669"/>
      <c r="DC106" s="767"/>
      <c r="DD106" s="1669"/>
      <c r="DE106" s="1669"/>
      <c r="DF106" s="1669"/>
      <c r="DG106" s="1669"/>
      <c r="DH106" s="1669"/>
      <c r="DI106" s="1669"/>
      <c r="DJ106" s="1669"/>
      <c r="DK106" s="1669"/>
      <c r="DL106" s="1669"/>
      <c r="DM106" s="1669"/>
      <c r="DN106" s="1669"/>
      <c r="DO106" s="767"/>
      <c r="DP106" s="1669"/>
      <c r="DQ106" s="1669"/>
      <c r="DR106" s="623"/>
      <c r="DS106" s="623"/>
      <c r="DT106" s="623"/>
      <c r="DU106" s="623"/>
      <c r="DV106" s="1675"/>
    </row>
    <row r="107" spans="1:256" ht="13.8" hidden="1">
      <c r="A107" s="1676"/>
      <c r="B107" s="550"/>
      <c r="C107" s="550"/>
      <c r="D107" s="550"/>
      <c r="E107" s="550"/>
      <c r="F107" s="550"/>
      <c r="G107" s="550"/>
      <c r="H107" s="550"/>
      <c r="I107" s="550"/>
      <c r="J107" s="550"/>
      <c r="K107" s="550"/>
      <c r="L107" s="550"/>
      <c r="M107" s="550"/>
      <c r="N107" s="550"/>
      <c r="O107" s="439"/>
      <c r="P107" s="439"/>
      <c r="Q107" s="674"/>
      <c r="R107" s="671"/>
      <c r="S107" s="671"/>
      <c r="T107" s="671"/>
      <c r="U107" s="671"/>
      <c r="V107" s="671"/>
      <c r="W107" s="671"/>
      <c r="X107" s="767"/>
      <c r="Y107" s="671"/>
      <c r="Z107" s="671"/>
      <c r="AA107" s="767"/>
      <c r="AB107" s="623"/>
      <c r="AC107" s="623"/>
      <c r="AD107" s="623"/>
      <c r="AE107" s="623"/>
      <c r="AF107" s="623"/>
      <c r="AG107" s="623"/>
      <c r="AH107" s="623"/>
      <c r="AI107" s="623"/>
      <c r="AJ107" s="623"/>
      <c r="AK107" s="623"/>
      <c r="AL107" s="623"/>
      <c r="AM107" s="623"/>
      <c r="AN107" s="623"/>
      <c r="AO107" s="623"/>
      <c r="AP107" s="623"/>
      <c r="AQ107" s="623"/>
      <c r="AR107" s="623"/>
      <c r="AS107" s="623"/>
      <c r="AT107" s="623"/>
      <c r="AU107" s="623"/>
      <c r="AV107" s="623"/>
      <c r="AW107" s="623"/>
      <c r="AX107" s="623"/>
      <c r="AY107" s="623"/>
      <c r="AZ107" s="623"/>
      <c r="BA107" s="623"/>
      <c r="BB107" s="623"/>
      <c r="BC107" s="623"/>
      <c r="BD107" s="623"/>
      <c r="BE107" s="623"/>
      <c r="BF107" s="623"/>
      <c r="BG107" s="623"/>
      <c r="BH107" s="623"/>
      <c r="BI107" s="623"/>
      <c r="BJ107" s="623"/>
      <c r="BK107" s="623"/>
      <c r="BL107" s="623"/>
      <c r="BM107" s="623"/>
      <c r="BN107" s="623"/>
      <c r="BO107" s="623"/>
      <c r="BP107" s="623"/>
      <c r="BQ107" s="623"/>
      <c r="BR107" s="623"/>
      <c r="BS107" s="623"/>
      <c r="BT107" s="623"/>
      <c r="BU107" s="623"/>
      <c r="BV107" s="623"/>
      <c r="BW107" s="623"/>
      <c r="BX107" s="623"/>
      <c r="BY107" s="623"/>
      <c r="BZ107" s="623"/>
      <c r="CA107" s="623"/>
      <c r="CB107" s="1669"/>
      <c r="CC107" s="1669"/>
      <c r="CD107" s="1669"/>
      <c r="CE107" s="1669"/>
      <c r="CF107" s="1669"/>
      <c r="CG107" s="1669"/>
      <c r="CH107" s="1669"/>
      <c r="CI107" s="1669"/>
      <c r="CJ107" s="1669"/>
      <c r="CK107" s="1669"/>
      <c r="CL107" s="1669"/>
      <c r="CM107" s="1669"/>
      <c r="CN107" s="1669"/>
      <c r="CO107" s="1669"/>
      <c r="CP107" s="1669"/>
      <c r="CQ107" s="1669"/>
      <c r="CR107" s="1669"/>
      <c r="CS107" s="1669"/>
      <c r="CT107" s="1669"/>
      <c r="CU107" s="1669"/>
      <c r="CV107" s="1669"/>
      <c r="CW107" s="1669"/>
      <c r="CX107" s="1669"/>
      <c r="CY107" s="817"/>
      <c r="CZ107" s="1669"/>
      <c r="DA107" s="1669"/>
      <c r="DB107" s="1669"/>
      <c r="DC107" s="767"/>
      <c r="DD107" s="1669"/>
      <c r="DE107" s="1669"/>
      <c r="DF107" s="1669"/>
      <c r="DG107" s="1669"/>
      <c r="DH107" s="1669"/>
      <c r="DI107" s="1669"/>
      <c r="DJ107" s="1669"/>
      <c r="DK107" s="1669"/>
      <c r="DL107" s="1669"/>
      <c r="DM107" s="1669"/>
      <c r="DN107" s="1669"/>
      <c r="DO107" s="767"/>
      <c r="DP107" s="1669"/>
      <c r="DQ107" s="1669"/>
      <c r="DR107" s="623"/>
      <c r="DS107" s="623"/>
      <c r="DT107" s="623"/>
      <c r="DU107" s="623"/>
      <c r="DV107" s="1675"/>
    </row>
    <row r="108" spans="1:256" ht="13.8" hidden="1">
      <c r="A108" s="1676"/>
      <c r="B108" s="550"/>
      <c r="C108" s="550"/>
      <c r="D108" s="550"/>
      <c r="E108" s="550"/>
      <c r="F108" s="550"/>
      <c r="G108" s="550"/>
      <c r="H108" s="550"/>
      <c r="I108" s="550"/>
      <c r="J108" s="550"/>
      <c r="K108" s="550"/>
      <c r="L108" s="550"/>
      <c r="M108" s="550"/>
      <c r="N108" s="550"/>
      <c r="O108" s="439"/>
      <c r="P108" s="439"/>
      <c r="Q108" s="674"/>
      <c r="R108" s="671"/>
      <c r="S108" s="671"/>
      <c r="T108" s="671"/>
      <c r="U108" s="671"/>
      <c r="V108" s="671"/>
      <c r="W108" s="671"/>
      <c r="X108" s="767"/>
      <c r="Y108" s="671"/>
      <c r="Z108" s="671"/>
      <c r="AA108" s="767"/>
      <c r="AB108" s="623"/>
      <c r="AC108" s="623"/>
      <c r="AD108" s="623"/>
      <c r="AE108" s="623"/>
      <c r="AF108" s="623"/>
      <c r="AG108" s="623"/>
      <c r="AH108" s="623"/>
      <c r="AI108" s="623"/>
      <c r="AJ108" s="623"/>
      <c r="AK108" s="623"/>
      <c r="AL108" s="623"/>
      <c r="AM108" s="623"/>
      <c r="AN108" s="623"/>
      <c r="AO108" s="623"/>
      <c r="AP108" s="623"/>
      <c r="AQ108" s="623"/>
      <c r="AR108" s="623"/>
      <c r="AS108" s="623"/>
      <c r="AT108" s="623"/>
      <c r="AU108" s="623"/>
      <c r="AV108" s="623"/>
      <c r="AW108" s="623"/>
      <c r="AX108" s="623"/>
      <c r="AY108" s="623"/>
      <c r="AZ108" s="623"/>
      <c r="BA108" s="623"/>
      <c r="BB108" s="623"/>
      <c r="BC108" s="623"/>
      <c r="BD108" s="623"/>
      <c r="BE108" s="623"/>
      <c r="BF108" s="623"/>
      <c r="BG108" s="623"/>
      <c r="BH108" s="623"/>
      <c r="BI108" s="623"/>
      <c r="BJ108" s="623"/>
      <c r="BK108" s="623"/>
      <c r="BL108" s="623"/>
      <c r="BM108" s="623"/>
      <c r="BN108" s="623"/>
      <c r="BO108" s="623"/>
      <c r="BP108" s="623"/>
      <c r="BQ108" s="623"/>
      <c r="BR108" s="623"/>
      <c r="BS108" s="623"/>
      <c r="BT108" s="623"/>
      <c r="BU108" s="623"/>
      <c r="BV108" s="623"/>
      <c r="BW108" s="623"/>
      <c r="BX108" s="623"/>
      <c r="BY108" s="623"/>
      <c r="BZ108" s="623"/>
      <c r="CA108" s="623"/>
      <c r="CB108" s="1669"/>
      <c r="CC108" s="1669"/>
      <c r="CD108" s="1669"/>
      <c r="CE108" s="1669"/>
      <c r="CF108" s="1669"/>
      <c r="CG108" s="1669"/>
      <c r="CH108" s="1669"/>
      <c r="CI108" s="1669"/>
      <c r="CJ108" s="1669"/>
      <c r="CK108" s="1669"/>
      <c r="CL108" s="1669"/>
      <c r="CM108" s="1669"/>
      <c r="CN108" s="1669"/>
      <c r="CO108" s="1669"/>
      <c r="CP108" s="1669"/>
      <c r="CQ108" s="1669"/>
      <c r="CR108" s="1669"/>
      <c r="CS108" s="1669"/>
      <c r="CT108" s="1669"/>
      <c r="CU108" s="1669"/>
      <c r="CV108" s="1669"/>
      <c r="CW108" s="1669"/>
      <c r="CX108" s="1669"/>
      <c r="CY108" s="817"/>
      <c r="CZ108" s="1669"/>
      <c r="DA108" s="1669"/>
      <c r="DB108" s="1669"/>
      <c r="DC108" s="767"/>
      <c r="DD108" s="1669"/>
      <c r="DE108" s="1669"/>
      <c r="DF108" s="1669"/>
      <c r="DG108" s="1669"/>
      <c r="DH108" s="1669"/>
      <c r="DI108" s="1669"/>
      <c r="DJ108" s="1669"/>
      <c r="DK108" s="1669"/>
      <c r="DL108" s="1669"/>
      <c r="DM108" s="1669"/>
      <c r="DN108" s="1669"/>
      <c r="DO108" s="767"/>
      <c r="DP108" s="1669"/>
      <c r="DQ108" s="1669"/>
      <c r="DR108" s="623"/>
      <c r="DS108" s="623"/>
      <c r="DT108" s="623"/>
      <c r="DU108" s="623"/>
      <c r="DV108" s="1675"/>
    </row>
    <row r="109" spans="1:256" ht="13.8" hidden="1">
      <c r="A109" s="1676"/>
      <c r="B109" s="550"/>
      <c r="C109" s="550"/>
      <c r="D109" s="550"/>
      <c r="E109" s="550"/>
      <c r="F109" s="550"/>
      <c r="G109" s="550"/>
      <c r="H109" s="550"/>
      <c r="I109" s="550"/>
      <c r="J109" s="550"/>
      <c r="K109" s="550"/>
      <c r="L109" s="550"/>
      <c r="M109" s="550"/>
      <c r="N109" s="550"/>
      <c r="O109" s="439"/>
      <c r="P109" s="439"/>
      <c r="Q109" s="674"/>
      <c r="R109" s="671"/>
      <c r="S109" s="671"/>
      <c r="T109" s="671"/>
      <c r="U109" s="671"/>
      <c r="V109" s="671"/>
      <c r="W109" s="671"/>
      <c r="X109" s="767"/>
      <c r="Y109" s="671"/>
      <c r="Z109" s="671"/>
      <c r="AA109" s="767"/>
      <c r="AB109" s="623"/>
      <c r="AC109" s="623"/>
      <c r="AD109" s="623"/>
      <c r="AE109" s="623"/>
      <c r="AF109" s="623"/>
      <c r="AG109" s="623"/>
      <c r="AH109" s="623"/>
      <c r="AI109" s="623"/>
      <c r="AJ109" s="623"/>
      <c r="AK109" s="623"/>
      <c r="AL109" s="623"/>
      <c r="AM109" s="623"/>
      <c r="AN109" s="623"/>
      <c r="AO109" s="623"/>
      <c r="AP109" s="623"/>
      <c r="AQ109" s="623"/>
      <c r="AR109" s="623"/>
      <c r="AS109" s="623"/>
      <c r="AT109" s="623"/>
      <c r="AU109" s="623"/>
      <c r="AV109" s="623"/>
      <c r="AW109" s="623"/>
      <c r="AX109" s="623"/>
      <c r="AY109" s="623"/>
      <c r="AZ109" s="623"/>
      <c r="BA109" s="623"/>
      <c r="BB109" s="623"/>
      <c r="BC109" s="623"/>
      <c r="BD109" s="623"/>
      <c r="BE109" s="623"/>
      <c r="BF109" s="623"/>
      <c r="BG109" s="623"/>
      <c r="BH109" s="623"/>
      <c r="BI109" s="623"/>
      <c r="BJ109" s="623"/>
      <c r="BK109" s="623"/>
      <c r="BL109" s="623"/>
      <c r="BM109" s="623"/>
      <c r="BN109" s="623"/>
      <c r="BO109" s="623"/>
      <c r="BP109" s="623"/>
      <c r="BQ109" s="623"/>
      <c r="BR109" s="623"/>
      <c r="BS109" s="623"/>
      <c r="BT109" s="623"/>
      <c r="BU109" s="623"/>
      <c r="BV109" s="623"/>
      <c r="BW109" s="623"/>
      <c r="BX109" s="623"/>
      <c r="BY109" s="623"/>
      <c r="BZ109" s="623"/>
      <c r="CA109" s="623"/>
      <c r="CB109" s="1669"/>
      <c r="CC109" s="1669"/>
      <c r="CD109" s="1669"/>
      <c r="CE109" s="1669"/>
      <c r="CF109" s="1669"/>
      <c r="CG109" s="1669"/>
      <c r="CH109" s="1669"/>
      <c r="CI109" s="1669"/>
      <c r="CJ109" s="1669"/>
      <c r="CK109" s="1669"/>
      <c r="CL109" s="1669"/>
      <c r="CM109" s="1669"/>
      <c r="CN109" s="1669"/>
      <c r="CO109" s="1669"/>
      <c r="CP109" s="1669"/>
      <c r="CQ109" s="1669"/>
      <c r="CR109" s="1669"/>
      <c r="CS109" s="1669"/>
      <c r="CT109" s="1669"/>
      <c r="CU109" s="1669"/>
      <c r="CV109" s="1669"/>
      <c r="CW109" s="1669"/>
      <c r="CX109" s="1669"/>
      <c r="CY109" s="817"/>
      <c r="CZ109" s="1669"/>
      <c r="DA109" s="1669"/>
      <c r="DB109" s="1669"/>
      <c r="DC109" s="767"/>
      <c r="DD109" s="1669"/>
      <c r="DE109" s="1669"/>
      <c r="DF109" s="1669"/>
      <c r="DG109" s="1669"/>
      <c r="DH109" s="1669"/>
      <c r="DI109" s="1669"/>
      <c r="DJ109" s="1669"/>
      <c r="DK109" s="1669"/>
      <c r="DL109" s="1669"/>
      <c r="DM109" s="1669"/>
      <c r="DN109" s="1669"/>
      <c r="DO109" s="767"/>
      <c r="DP109" s="1669"/>
      <c r="DQ109" s="1669"/>
      <c r="DR109" s="623"/>
      <c r="DS109" s="623"/>
      <c r="DT109" s="623"/>
      <c r="DU109" s="623"/>
      <c r="DV109" s="1675"/>
    </row>
    <row r="110" spans="1:256" ht="13.8" hidden="1">
      <c r="A110" s="1676"/>
      <c r="B110" s="550"/>
      <c r="C110" s="550"/>
      <c r="D110" s="550"/>
      <c r="E110" s="550"/>
      <c r="F110" s="550"/>
      <c r="G110" s="550"/>
      <c r="H110" s="550"/>
      <c r="I110" s="550"/>
      <c r="J110" s="550"/>
      <c r="K110" s="550"/>
      <c r="L110" s="550"/>
      <c r="M110" s="550"/>
      <c r="N110" s="550"/>
      <c r="O110" s="439"/>
      <c r="P110" s="439"/>
      <c r="Q110" s="674"/>
      <c r="R110" s="671"/>
      <c r="S110" s="671"/>
      <c r="T110" s="671"/>
      <c r="U110" s="671"/>
      <c r="V110" s="671"/>
      <c r="W110" s="671"/>
      <c r="X110" s="767"/>
      <c r="Y110" s="671"/>
      <c r="Z110" s="671"/>
      <c r="AA110" s="767"/>
      <c r="AB110" s="623"/>
      <c r="AC110" s="623"/>
      <c r="AD110" s="623"/>
      <c r="AE110" s="623"/>
      <c r="AF110" s="623"/>
      <c r="AG110" s="623"/>
      <c r="AH110" s="623"/>
      <c r="AI110" s="623"/>
      <c r="AJ110" s="623"/>
      <c r="AK110" s="623"/>
      <c r="AL110" s="623"/>
      <c r="AM110" s="623"/>
      <c r="AN110" s="623"/>
      <c r="AO110" s="623"/>
      <c r="AP110" s="623"/>
      <c r="AQ110" s="623"/>
      <c r="AR110" s="623"/>
      <c r="AS110" s="623"/>
      <c r="AT110" s="623"/>
      <c r="AU110" s="623"/>
      <c r="AV110" s="623"/>
      <c r="AW110" s="623"/>
      <c r="AX110" s="623"/>
      <c r="AY110" s="623"/>
      <c r="AZ110" s="623"/>
      <c r="BA110" s="623"/>
      <c r="BB110" s="623"/>
      <c r="BC110" s="623"/>
      <c r="BD110" s="623"/>
      <c r="BE110" s="623"/>
      <c r="BF110" s="623"/>
      <c r="BG110" s="623"/>
      <c r="BH110" s="623"/>
      <c r="BI110" s="623"/>
      <c r="BJ110" s="623"/>
      <c r="BK110" s="623"/>
      <c r="BL110" s="623"/>
      <c r="BM110" s="623"/>
      <c r="BN110" s="623"/>
      <c r="BO110" s="623"/>
      <c r="BP110" s="623"/>
      <c r="BQ110" s="623"/>
      <c r="BR110" s="623"/>
      <c r="BS110" s="623"/>
      <c r="BT110" s="623"/>
      <c r="BU110" s="623"/>
      <c r="BV110" s="623"/>
      <c r="BW110" s="623"/>
      <c r="BX110" s="623"/>
      <c r="BY110" s="623"/>
      <c r="BZ110" s="623"/>
      <c r="CA110" s="623"/>
      <c r="CB110" s="1669"/>
      <c r="CC110" s="1669"/>
      <c r="CD110" s="1669"/>
      <c r="CE110" s="1669"/>
      <c r="CF110" s="1669"/>
      <c r="CG110" s="1669"/>
      <c r="CH110" s="1669"/>
      <c r="CI110" s="1669"/>
      <c r="CJ110" s="1669"/>
      <c r="CK110" s="1669"/>
      <c r="CL110" s="1669"/>
      <c r="CM110" s="1669"/>
      <c r="CN110" s="1669"/>
      <c r="CO110" s="1669"/>
      <c r="CP110" s="1669"/>
      <c r="CQ110" s="1669"/>
      <c r="CR110" s="1669"/>
      <c r="CS110" s="1669"/>
      <c r="CT110" s="1669"/>
      <c r="CU110" s="1669"/>
      <c r="CV110" s="1669"/>
      <c r="CW110" s="1669"/>
      <c r="CX110" s="1669"/>
      <c r="CY110" s="817"/>
      <c r="CZ110" s="1669"/>
      <c r="DA110" s="1669"/>
      <c r="DB110" s="1669"/>
      <c r="DC110" s="767"/>
      <c r="DD110" s="1669"/>
      <c r="DE110" s="1669"/>
      <c r="DF110" s="1669"/>
      <c r="DG110" s="1669"/>
      <c r="DH110" s="1669"/>
      <c r="DI110" s="1669"/>
      <c r="DJ110" s="1669"/>
      <c r="DK110" s="1669"/>
      <c r="DL110" s="1669"/>
      <c r="DM110" s="1669"/>
      <c r="DN110" s="1669"/>
      <c r="DO110" s="767"/>
      <c r="DP110" s="1669"/>
      <c r="DQ110" s="1669"/>
      <c r="DR110" s="623"/>
      <c r="DS110" s="623"/>
      <c r="DT110" s="623"/>
      <c r="DU110" s="623"/>
      <c r="DV110" s="1675"/>
    </row>
    <row r="111" spans="1:256" s="553" customFormat="1" ht="13.8" hidden="1">
      <c r="A111" s="1677"/>
      <c r="B111" s="625"/>
      <c r="C111" s="625"/>
      <c r="D111" s="625"/>
      <c r="E111" s="625"/>
      <c r="F111" s="625"/>
      <c r="G111" s="625"/>
      <c r="H111" s="625"/>
      <c r="I111" s="625"/>
      <c r="J111" s="625"/>
      <c r="K111" s="625"/>
      <c r="L111" s="625"/>
      <c r="M111" s="625"/>
      <c r="N111" s="625"/>
      <c r="O111" s="757"/>
      <c r="P111" s="757"/>
      <c r="Q111" s="760"/>
      <c r="R111" s="758"/>
      <c r="S111" s="758"/>
      <c r="T111" s="758"/>
      <c r="U111" s="758"/>
      <c r="V111" s="758"/>
      <c r="W111" s="758"/>
      <c r="X111" s="1692"/>
      <c r="Y111" s="758"/>
      <c r="Z111" s="758"/>
      <c r="AA111" s="1692"/>
      <c r="AB111" s="759"/>
      <c r="AC111" s="759"/>
      <c r="AD111" s="759"/>
      <c r="AE111" s="759"/>
      <c r="AF111" s="759"/>
      <c r="AG111" s="759"/>
      <c r="AH111" s="759"/>
      <c r="AI111" s="759"/>
      <c r="AJ111" s="759"/>
      <c r="AK111" s="759"/>
      <c r="AL111" s="759"/>
      <c r="AM111" s="759"/>
      <c r="AN111" s="759"/>
      <c r="AO111" s="759"/>
      <c r="AP111" s="759"/>
      <c r="AQ111" s="759"/>
      <c r="AR111" s="759"/>
      <c r="AS111" s="759"/>
      <c r="AT111" s="759"/>
      <c r="AU111" s="759"/>
      <c r="AV111" s="759"/>
      <c r="AW111" s="759"/>
      <c r="AX111" s="759"/>
      <c r="AY111" s="759"/>
      <c r="AZ111" s="759"/>
      <c r="BA111" s="759"/>
      <c r="BB111" s="759"/>
      <c r="BC111" s="759"/>
      <c r="BD111" s="759"/>
      <c r="BE111" s="759"/>
      <c r="BF111" s="759"/>
      <c r="BG111" s="759"/>
      <c r="BH111" s="759"/>
      <c r="BI111" s="759"/>
      <c r="BJ111" s="759"/>
      <c r="BK111" s="759"/>
      <c r="BL111" s="759"/>
      <c r="BM111" s="759"/>
      <c r="BN111" s="759"/>
      <c r="BO111" s="759"/>
      <c r="BP111" s="759"/>
      <c r="BQ111" s="759"/>
      <c r="BR111" s="759"/>
      <c r="BS111" s="759"/>
      <c r="BT111" s="759"/>
      <c r="BU111" s="759"/>
      <c r="BV111" s="759"/>
      <c r="BW111" s="759"/>
      <c r="BX111" s="759"/>
      <c r="BY111" s="759"/>
      <c r="BZ111" s="759"/>
      <c r="CA111" s="759"/>
      <c r="CB111" s="1693"/>
      <c r="CC111" s="1693"/>
      <c r="CD111" s="1693"/>
      <c r="CE111" s="1669"/>
      <c r="CF111" s="1693"/>
      <c r="CG111" s="1693"/>
      <c r="CH111" s="1693"/>
      <c r="CI111" s="1693"/>
      <c r="CJ111" s="1693"/>
      <c r="CK111" s="1693"/>
      <c r="CL111" s="1693"/>
      <c r="CM111" s="1693"/>
      <c r="CN111" s="1693"/>
      <c r="CO111" s="1693"/>
      <c r="CP111" s="1693"/>
      <c r="CQ111" s="1693"/>
      <c r="CR111" s="1693"/>
      <c r="CS111" s="1693"/>
      <c r="CT111" s="1693"/>
      <c r="CU111" s="1693"/>
      <c r="CV111" s="1693"/>
      <c r="CW111" s="1693"/>
      <c r="CX111" s="1693"/>
      <c r="CY111" s="818"/>
      <c r="CZ111" s="1693"/>
      <c r="DA111" s="1693"/>
      <c r="DB111" s="1693"/>
      <c r="DC111" s="1692"/>
      <c r="DD111" s="1693"/>
      <c r="DE111" s="1693"/>
      <c r="DF111" s="1693"/>
      <c r="DG111" s="1693"/>
      <c r="DH111" s="1693"/>
      <c r="DI111" s="1693"/>
      <c r="DJ111" s="1693"/>
      <c r="DK111" s="1693"/>
      <c r="DL111" s="1693"/>
      <c r="DM111" s="1693"/>
      <c r="DN111" s="1693"/>
      <c r="DO111" s="1692"/>
      <c r="DP111" s="1693"/>
      <c r="DQ111" s="1693"/>
      <c r="DR111" s="759"/>
      <c r="DS111" s="759"/>
      <c r="DT111" s="759"/>
      <c r="DU111" s="759"/>
      <c r="DV111" s="1691"/>
    </row>
    <row r="112" spans="1:256" s="678" customFormat="1" ht="13.8" hidden="1">
      <c r="A112" s="1676"/>
      <c r="B112" s="550"/>
      <c r="C112" s="550"/>
      <c r="D112" s="550"/>
      <c r="E112" s="550"/>
      <c r="F112" s="550"/>
      <c r="G112" s="550"/>
      <c r="H112" s="550"/>
      <c r="I112" s="550"/>
      <c r="J112" s="676"/>
      <c r="K112" s="550"/>
      <c r="L112" s="550"/>
      <c r="M112" s="550"/>
      <c r="N112" s="550"/>
      <c r="O112" s="439"/>
      <c r="P112" s="439"/>
      <c r="Q112" s="674"/>
      <c r="R112" s="671"/>
      <c r="S112" s="671"/>
      <c r="T112" s="671"/>
      <c r="U112" s="671"/>
      <c r="V112" s="671"/>
      <c r="W112" s="671"/>
      <c r="X112" s="767"/>
      <c r="Y112" s="671"/>
      <c r="Z112" s="671"/>
      <c r="AA112" s="767"/>
      <c r="AB112" s="623"/>
      <c r="AC112" s="623"/>
      <c r="AD112" s="623"/>
      <c r="AE112" s="623"/>
      <c r="AF112" s="623"/>
      <c r="AG112" s="623"/>
      <c r="AH112" s="623"/>
      <c r="AI112" s="623"/>
      <c r="AJ112" s="623"/>
      <c r="AK112" s="623"/>
      <c r="AL112" s="623"/>
      <c r="AM112" s="623"/>
      <c r="AN112" s="623"/>
      <c r="AO112" s="623"/>
      <c r="AP112" s="623"/>
      <c r="AQ112" s="623"/>
      <c r="AR112" s="623"/>
      <c r="AS112" s="623"/>
      <c r="AT112" s="623"/>
      <c r="AU112" s="623"/>
      <c r="AV112" s="623"/>
      <c r="AW112" s="623"/>
      <c r="AX112" s="623"/>
      <c r="AY112" s="623"/>
      <c r="AZ112" s="623"/>
      <c r="BA112" s="623"/>
      <c r="BB112" s="623"/>
      <c r="BC112" s="623"/>
      <c r="BD112" s="623"/>
      <c r="BE112" s="623"/>
      <c r="BF112" s="623"/>
      <c r="BG112" s="623"/>
      <c r="BH112" s="623"/>
      <c r="BI112" s="623"/>
      <c r="BJ112" s="623"/>
      <c r="BK112" s="623"/>
      <c r="BL112" s="623"/>
      <c r="BM112" s="623"/>
      <c r="BN112" s="623"/>
      <c r="BO112" s="623"/>
      <c r="BP112" s="623"/>
      <c r="BQ112" s="623"/>
      <c r="BR112" s="623"/>
      <c r="BS112" s="623"/>
      <c r="BT112" s="623"/>
      <c r="BU112" s="623"/>
      <c r="BV112" s="623"/>
      <c r="BW112" s="623"/>
      <c r="BX112" s="623"/>
      <c r="BY112" s="623"/>
      <c r="BZ112" s="623"/>
      <c r="CA112" s="623"/>
      <c r="CB112" s="1669"/>
      <c r="CC112" s="1669"/>
      <c r="CD112" s="1669"/>
      <c r="CE112" s="1669"/>
      <c r="CF112" s="1669"/>
      <c r="CG112" s="1669"/>
      <c r="CH112" s="1669"/>
      <c r="CI112" s="1669"/>
      <c r="CJ112" s="1669"/>
      <c r="CK112" s="1669"/>
      <c r="CL112" s="1669"/>
      <c r="CM112" s="1669"/>
      <c r="CN112" s="1669"/>
      <c r="CO112" s="1669"/>
      <c r="CP112" s="1669"/>
      <c r="CQ112" s="1669"/>
      <c r="CR112" s="1669"/>
      <c r="CS112" s="1669"/>
      <c r="CT112" s="1669"/>
      <c r="CU112" s="1669"/>
      <c r="CV112" s="1669"/>
      <c r="CW112" s="1669"/>
      <c r="CX112" s="1669"/>
      <c r="CY112" s="817"/>
      <c r="CZ112" s="1669"/>
      <c r="DA112" s="1669"/>
      <c r="DB112" s="1669"/>
      <c r="DC112" s="767"/>
      <c r="DD112" s="1669"/>
      <c r="DE112" s="1669"/>
      <c r="DF112" s="1669"/>
      <c r="DG112" s="1669"/>
      <c r="DH112" s="1669"/>
      <c r="DI112" s="1669"/>
      <c r="DJ112" s="1669"/>
      <c r="DK112" s="1669"/>
      <c r="DL112" s="1669"/>
      <c r="DM112" s="1669"/>
      <c r="DN112" s="1669"/>
      <c r="DO112" s="767"/>
      <c r="DP112" s="1669"/>
      <c r="DQ112" s="1669"/>
      <c r="DR112" s="623"/>
      <c r="DS112" s="623"/>
      <c r="DT112" s="623"/>
      <c r="DU112" s="623"/>
      <c r="DV112" s="1675"/>
      <c r="DW112" s="530"/>
      <c r="DX112" s="530"/>
      <c r="DY112" s="530"/>
      <c r="DZ112" s="530"/>
      <c r="EA112" s="530"/>
      <c r="EB112" s="530"/>
      <c r="EC112" s="530"/>
      <c r="ED112" s="530"/>
      <c r="EE112" s="530"/>
      <c r="EF112" s="530"/>
      <c r="EG112" s="530"/>
      <c r="EH112" s="530"/>
      <c r="EI112" s="530"/>
      <c r="EJ112" s="530"/>
      <c r="EK112" s="530"/>
      <c r="EL112" s="530"/>
      <c r="EM112" s="530"/>
      <c r="EN112" s="530"/>
      <c r="EO112" s="530"/>
      <c r="EP112" s="530"/>
      <c r="EQ112" s="530"/>
      <c r="ER112" s="530"/>
      <c r="ES112" s="530"/>
      <c r="ET112" s="530"/>
      <c r="EU112" s="530"/>
      <c r="EV112" s="530"/>
      <c r="EW112" s="530"/>
      <c r="EX112" s="530"/>
      <c r="EY112" s="530"/>
      <c r="EZ112" s="530"/>
      <c r="FA112" s="530"/>
      <c r="FB112" s="530"/>
      <c r="FC112" s="530"/>
      <c r="FD112" s="530"/>
      <c r="FE112" s="530"/>
      <c r="FF112" s="530"/>
      <c r="FG112" s="530"/>
      <c r="FH112" s="530"/>
      <c r="FI112" s="530"/>
      <c r="FJ112" s="530"/>
      <c r="FK112" s="530"/>
      <c r="FL112" s="530"/>
      <c r="FM112" s="530"/>
      <c r="FN112" s="530"/>
      <c r="FO112" s="530"/>
      <c r="FP112" s="530"/>
      <c r="FQ112" s="530"/>
      <c r="FR112" s="530"/>
      <c r="FS112" s="530"/>
      <c r="FT112" s="530"/>
      <c r="FU112" s="530"/>
      <c r="FV112" s="530"/>
      <c r="FW112" s="530"/>
      <c r="FX112" s="530"/>
      <c r="FY112" s="530"/>
      <c r="FZ112" s="530"/>
      <c r="GA112" s="530"/>
      <c r="GB112" s="530"/>
      <c r="GC112" s="530"/>
      <c r="GD112" s="530"/>
      <c r="GE112" s="530"/>
      <c r="GF112" s="530"/>
      <c r="GG112" s="530"/>
      <c r="GH112" s="530"/>
      <c r="GI112" s="530"/>
      <c r="GJ112" s="530"/>
      <c r="GK112" s="530"/>
      <c r="GL112" s="530"/>
      <c r="GM112" s="530"/>
      <c r="GN112" s="530"/>
      <c r="GO112" s="530"/>
      <c r="GP112" s="530"/>
      <c r="GQ112" s="530"/>
      <c r="GR112" s="530"/>
      <c r="GS112" s="530"/>
      <c r="GT112" s="530"/>
      <c r="GU112" s="530"/>
      <c r="GV112" s="530"/>
      <c r="GW112" s="530"/>
      <c r="GX112" s="530"/>
      <c r="GY112" s="530"/>
      <c r="GZ112" s="530"/>
      <c r="HA112" s="530"/>
      <c r="HB112" s="530"/>
      <c r="HC112" s="530"/>
      <c r="HD112" s="530"/>
      <c r="HE112" s="530"/>
      <c r="HF112" s="530"/>
      <c r="HG112" s="530"/>
      <c r="HH112" s="530"/>
      <c r="HI112" s="530"/>
      <c r="HJ112" s="530"/>
      <c r="HK112" s="530"/>
      <c r="HL112" s="530"/>
      <c r="HM112" s="530"/>
      <c r="HN112" s="530"/>
      <c r="HO112" s="530"/>
      <c r="HP112" s="530"/>
      <c r="HQ112" s="530"/>
      <c r="HR112" s="530"/>
      <c r="HS112" s="530"/>
      <c r="HT112" s="530"/>
      <c r="HU112" s="530"/>
      <c r="HV112" s="530"/>
      <c r="HW112" s="530"/>
      <c r="HX112" s="530"/>
      <c r="HY112" s="530"/>
      <c r="HZ112" s="530"/>
      <c r="IA112" s="530"/>
      <c r="IB112" s="530"/>
      <c r="IC112" s="530"/>
      <c r="ID112" s="530"/>
      <c r="IE112" s="530"/>
      <c r="IF112" s="530"/>
      <c r="IG112" s="530"/>
      <c r="IH112" s="530"/>
      <c r="II112" s="530"/>
      <c r="IJ112" s="530"/>
      <c r="IK112" s="530"/>
      <c r="IL112" s="530"/>
      <c r="IM112" s="530"/>
      <c r="IN112" s="530"/>
      <c r="IO112" s="530"/>
      <c r="IP112" s="530"/>
      <c r="IQ112" s="530"/>
      <c r="IR112" s="530"/>
      <c r="IS112" s="530"/>
      <c r="IT112" s="530"/>
      <c r="IU112" s="530"/>
      <c r="IV112" s="530"/>
    </row>
    <row r="113" spans="1:256" ht="13.8" hidden="1">
      <c r="A113" s="1676"/>
      <c r="B113" s="550"/>
      <c r="C113" s="550"/>
      <c r="D113" s="550"/>
      <c r="E113" s="550"/>
      <c r="F113" s="550"/>
      <c r="G113" s="550"/>
      <c r="H113" s="550"/>
      <c r="I113" s="550"/>
      <c r="J113" s="676"/>
      <c r="K113" s="550"/>
      <c r="L113" s="550"/>
      <c r="M113" s="550"/>
      <c r="N113" s="550"/>
      <c r="O113" s="439"/>
      <c r="P113" s="439"/>
      <c r="Q113" s="674"/>
      <c r="R113" s="671"/>
      <c r="S113" s="671"/>
      <c r="T113" s="671"/>
      <c r="U113" s="671"/>
      <c r="V113" s="671"/>
      <c r="W113" s="671"/>
      <c r="X113" s="767"/>
      <c r="Y113" s="671"/>
      <c r="Z113" s="671"/>
      <c r="AA113" s="767"/>
      <c r="AB113" s="623"/>
      <c r="AC113" s="623"/>
      <c r="AD113" s="623"/>
      <c r="AE113" s="623"/>
      <c r="AF113" s="623"/>
      <c r="AG113" s="623"/>
      <c r="AH113" s="623"/>
      <c r="AI113" s="623"/>
      <c r="AJ113" s="623"/>
      <c r="AK113" s="623"/>
      <c r="AL113" s="623"/>
      <c r="AM113" s="623"/>
      <c r="AN113" s="623"/>
      <c r="AO113" s="623"/>
      <c r="AP113" s="623"/>
      <c r="AQ113" s="623"/>
      <c r="AR113" s="623"/>
      <c r="AS113" s="623"/>
      <c r="AT113" s="623"/>
      <c r="AU113" s="623"/>
      <c r="AV113" s="623"/>
      <c r="AW113" s="623"/>
      <c r="AX113" s="623"/>
      <c r="AY113" s="623"/>
      <c r="AZ113" s="623"/>
      <c r="BA113" s="623"/>
      <c r="BB113" s="623"/>
      <c r="BC113" s="623"/>
      <c r="BD113" s="623"/>
      <c r="BE113" s="623"/>
      <c r="BF113" s="623"/>
      <c r="BG113" s="623"/>
      <c r="BH113" s="623"/>
      <c r="BI113" s="623"/>
      <c r="BJ113" s="623"/>
      <c r="BK113" s="623"/>
      <c r="BL113" s="623"/>
      <c r="BM113" s="623"/>
      <c r="BN113" s="623"/>
      <c r="BO113" s="623"/>
      <c r="BP113" s="623"/>
      <c r="BQ113" s="623"/>
      <c r="BR113" s="623"/>
      <c r="BS113" s="623"/>
      <c r="BT113" s="623"/>
      <c r="BU113" s="623"/>
      <c r="BV113" s="623"/>
      <c r="BW113" s="623"/>
      <c r="BX113" s="623"/>
      <c r="BY113" s="623"/>
      <c r="BZ113" s="623"/>
      <c r="CA113" s="623"/>
      <c r="CB113" s="1669"/>
      <c r="CC113" s="1669"/>
      <c r="CD113" s="1669"/>
      <c r="CE113" s="1669"/>
      <c r="CF113" s="1669"/>
      <c r="CG113" s="1669"/>
      <c r="CH113" s="1669"/>
      <c r="CI113" s="1669"/>
      <c r="CJ113" s="1669"/>
      <c r="CK113" s="1669"/>
      <c r="CL113" s="1669"/>
      <c r="CM113" s="1669"/>
      <c r="CN113" s="1669"/>
      <c r="CO113" s="1669"/>
      <c r="CP113" s="1669"/>
      <c r="CQ113" s="1669"/>
      <c r="CR113" s="1669"/>
      <c r="CS113" s="1669"/>
      <c r="CT113" s="1669"/>
      <c r="CU113" s="1669"/>
      <c r="CV113" s="1669"/>
      <c r="CW113" s="1669"/>
      <c r="CX113" s="1669"/>
      <c r="CY113" s="817"/>
      <c r="CZ113" s="1669"/>
      <c r="DA113" s="1669"/>
      <c r="DB113" s="1669"/>
      <c r="DC113" s="767"/>
      <c r="DD113" s="1669"/>
      <c r="DE113" s="1669"/>
      <c r="DF113" s="1669"/>
      <c r="DG113" s="1669"/>
      <c r="DH113" s="1669"/>
      <c r="DI113" s="1669"/>
      <c r="DJ113" s="1669"/>
      <c r="DK113" s="1669"/>
      <c r="DL113" s="1669"/>
      <c r="DM113" s="1669"/>
      <c r="DN113" s="1669"/>
      <c r="DO113" s="767"/>
      <c r="DP113" s="1669"/>
      <c r="DQ113" s="1669"/>
      <c r="DR113" s="623"/>
      <c r="DS113" s="623"/>
      <c r="DT113" s="623"/>
      <c r="DU113" s="623"/>
      <c r="DV113" s="1675"/>
    </row>
    <row r="114" spans="1:256" ht="13.8" hidden="1">
      <c r="A114" s="1676"/>
      <c r="B114" s="550"/>
      <c r="C114" s="550"/>
      <c r="D114" s="550"/>
      <c r="E114" s="550"/>
      <c r="F114" s="550"/>
      <c r="G114" s="550"/>
      <c r="H114" s="550"/>
      <c r="I114" s="550"/>
      <c r="J114" s="550"/>
      <c r="K114" s="550"/>
      <c r="L114" s="550"/>
      <c r="M114" s="550"/>
      <c r="N114" s="550"/>
      <c r="O114" s="550"/>
      <c r="P114" s="550"/>
      <c r="Q114" s="550"/>
      <c r="R114" s="550"/>
      <c r="S114" s="550"/>
      <c r="T114" s="550"/>
      <c r="U114" s="550"/>
      <c r="V114" s="550"/>
      <c r="W114" s="550"/>
      <c r="X114" s="767"/>
      <c r="Y114" s="671"/>
      <c r="Z114" s="671"/>
      <c r="AA114" s="767"/>
      <c r="AB114" s="623"/>
      <c r="AC114" s="623"/>
      <c r="AD114" s="623"/>
      <c r="AE114" s="623"/>
      <c r="AF114" s="623"/>
      <c r="AG114" s="623"/>
      <c r="AH114" s="623"/>
      <c r="AI114" s="623"/>
      <c r="AJ114" s="623"/>
      <c r="AK114" s="623"/>
      <c r="AL114" s="623"/>
      <c r="AM114" s="623"/>
      <c r="AN114" s="623"/>
      <c r="AO114" s="623"/>
      <c r="AP114" s="623"/>
      <c r="AQ114" s="623"/>
      <c r="AR114" s="623"/>
      <c r="AS114" s="623"/>
      <c r="AT114" s="623"/>
      <c r="AU114" s="623"/>
      <c r="AV114" s="623"/>
      <c r="AW114" s="623"/>
      <c r="AX114" s="623"/>
      <c r="AY114" s="623"/>
      <c r="AZ114" s="623"/>
      <c r="BA114" s="623"/>
      <c r="BB114" s="623"/>
      <c r="BC114" s="623"/>
      <c r="BD114" s="623"/>
      <c r="BE114" s="623"/>
      <c r="BF114" s="623"/>
      <c r="BG114" s="623"/>
      <c r="BH114" s="623"/>
      <c r="BI114" s="623"/>
      <c r="BJ114" s="623"/>
      <c r="BK114" s="623"/>
      <c r="BL114" s="623"/>
      <c r="BM114" s="623"/>
      <c r="BN114" s="623"/>
      <c r="BO114" s="623"/>
      <c r="BP114" s="623"/>
      <c r="BQ114" s="623"/>
      <c r="BR114" s="623"/>
      <c r="BS114" s="623"/>
      <c r="BT114" s="623"/>
      <c r="BU114" s="623"/>
      <c r="BV114" s="623"/>
      <c r="BW114" s="623"/>
      <c r="BX114" s="623"/>
      <c r="BY114" s="623"/>
      <c r="BZ114" s="623"/>
      <c r="CA114" s="623"/>
      <c r="CB114" s="1669"/>
      <c r="CC114" s="1669"/>
      <c r="CD114" s="1669"/>
      <c r="CE114" s="1669"/>
      <c r="CF114" s="1669"/>
      <c r="CG114" s="1669"/>
      <c r="CH114" s="1669"/>
      <c r="CI114" s="1669"/>
      <c r="CJ114" s="1669"/>
      <c r="CK114" s="1669"/>
      <c r="CL114" s="1669"/>
      <c r="CM114" s="1669"/>
      <c r="CN114" s="1669"/>
      <c r="CO114" s="1669"/>
      <c r="CP114" s="1669"/>
      <c r="CQ114" s="1669"/>
      <c r="CR114" s="1669"/>
      <c r="CS114" s="1669"/>
      <c r="CT114" s="1669"/>
      <c r="CU114" s="1669"/>
      <c r="CV114" s="1669"/>
      <c r="CW114" s="1669"/>
      <c r="CX114" s="1669"/>
      <c r="CY114" s="817"/>
      <c r="CZ114" s="1669"/>
      <c r="DA114" s="1669"/>
      <c r="DB114" s="1669"/>
      <c r="DC114" s="767"/>
      <c r="DD114" s="1669"/>
      <c r="DE114" s="1669"/>
      <c r="DF114" s="1669"/>
      <c r="DG114" s="1669"/>
      <c r="DH114" s="1669"/>
      <c r="DI114" s="1669"/>
      <c r="DJ114" s="1669"/>
      <c r="DK114" s="1669"/>
      <c r="DL114" s="1669"/>
      <c r="DM114" s="1669"/>
      <c r="DN114" s="1669"/>
      <c r="DO114" s="767"/>
      <c r="DP114" s="1669"/>
      <c r="DQ114" s="1669"/>
      <c r="DR114" s="623"/>
      <c r="DS114" s="623"/>
      <c r="DT114" s="623"/>
      <c r="DU114" s="623"/>
      <c r="DV114" s="1675"/>
    </row>
    <row r="115" spans="1:256" ht="13.8" hidden="1">
      <c r="A115" s="1676"/>
      <c r="B115" s="550"/>
      <c r="C115" s="550"/>
      <c r="D115" s="550"/>
      <c r="E115" s="550"/>
      <c r="F115" s="550"/>
      <c r="G115" s="550"/>
      <c r="H115" s="550"/>
      <c r="I115" s="550"/>
      <c r="J115" s="550"/>
      <c r="K115" s="550"/>
      <c r="L115" s="550"/>
      <c r="M115" s="550"/>
      <c r="N115" s="550"/>
      <c r="O115" s="550"/>
      <c r="P115" s="550"/>
      <c r="Q115" s="550"/>
      <c r="R115" s="550"/>
      <c r="S115" s="550"/>
      <c r="T115" s="550"/>
      <c r="U115" s="550"/>
      <c r="V115" s="550"/>
      <c r="W115" s="550"/>
      <c r="X115" s="767"/>
      <c r="Y115" s="671"/>
      <c r="Z115" s="671"/>
      <c r="AA115" s="767"/>
      <c r="AB115" s="623"/>
      <c r="AC115" s="623"/>
      <c r="AD115" s="623"/>
      <c r="AE115" s="623"/>
      <c r="AF115" s="623"/>
      <c r="AG115" s="623"/>
      <c r="AH115" s="623"/>
      <c r="AI115" s="623"/>
      <c r="AJ115" s="623"/>
      <c r="AK115" s="623"/>
      <c r="AL115" s="623"/>
      <c r="AM115" s="623"/>
      <c r="AN115" s="623"/>
      <c r="AO115" s="623"/>
      <c r="AP115" s="623"/>
      <c r="AQ115" s="623"/>
      <c r="AR115" s="623"/>
      <c r="AS115" s="623"/>
      <c r="AT115" s="623"/>
      <c r="AU115" s="623"/>
      <c r="AV115" s="623"/>
      <c r="AW115" s="623"/>
      <c r="AX115" s="623"/>
      <c r="AY115" s="623"/>
      <c r="AZ115" s="623"/>
      <c r="BA115" s="623"/>
      <c r="BB115" s="623"/>
      <c r="BC115" s="623"/>
      <c r="BD115" s="623"/>
      <c r="BE115" s="623"/>
      <c r="BF115" s="623"/>
      <c r="BG115" s="623"/>
      <c r="BH115" s="623"/>
      <c r="BI115" s="623"/>
      <c r="BJ115" s="623"/>
      <c r="BK115" s="623"/>
      <c r="BL115" s="623"/>
      <c r="BM115" s="623"/>
      <c r="BN115" s="623"/>
      <c r="BO115" s="623"/>
      <c r="BP115" s="623"/>
      <c r="BQ115" s="623"/>
      <c r="BR115" s="623"/>
      <c r="BS115" s="623"/>
      <c r="BT115" s="623"/>
      <c r="BU115" s="623"/>
      <c r="BV115" s="623"/>
      <c r="BW115" s="623"/>
      <c r="BX115" s="623"/>
      <c r="BY115" s="623"/>
      <c r="BZ115" s="623"/>
      <c r="CA115" s="623"/>
      <c r="CB115" s="1669"/>
      <c r="CC115" s="1669"/>
      <c r="CD115" s="1669"/>
      <c r="CE115" s="1669"/>
      <c r="CF115" s="1669"/>
      <c r="CG115" s="1669"/>
      <c r="CH115" s="1669"/>
      <c r="CI115" s="1669"/>
      <c r="CJ115" s="1669"/>
      <c r="CK115" s="1669"/>
      <c r="CL115" s="1669"/>
      <c r="CM115" s="1669"/>
      <c r="CN115" s="1669"/>
      <c r="CO115" s="1669"/>
      <c r="CP115" s="1669"/>
      <c r="CQ115" s="1669"/>
      <c r="CR115" s="1669"/>
      <c r="CS115" s="1669"/>
      <c r="CT115" s="1669"/>
      <c r="CU115" s="1669"/>
      <c r="CV115" s="1669"/>
      <c r="CW115" s="1669"/>
      <c r="CX115" s="1669"/>
      <c r="CY115" s="817"/>
      <c r="CZ115" s="1669"/>
      <c r="DA115" s="1669"/>
      <c r="DB115" s="1669"/>
      <c r="DC115" s="767"/>
      <c r="DD115" s="1669"/>
      <c r="DE115" s="1669"/>
      <c r="DF115" s="1669"/>
      <c r="DG115" s="1669"/>
      <c r="DH115" s="1669"/>
      <c r="DI115" s="1669"/>
      <c r="DJ115" s="1669"/>
      <c r="DK115" s="1669"/>
      <c r="DL115" s="1669"/>
      <c r="DM115" s="1669"/>
      <c r="DN115" s="1669"/>
      <c r="DO115" s="767"/>
      <c r="DP115" s="1669"/>
      <c r="DQ115" s="1669"/>
      <c r="DR115" s="623"/>
      <c r="DS115" s="623"/>
      <c r="DT115" s="623"/>
      <c r="DU115" s="623"/>
      <c r="DV115" s="1675"/>
    </row>
    <row r="116" spans="1:256" ht="13.8" hidden="1">
      <c r="A116" s="1676"/>
      <c r="B116" s="550"/>
      <c r="C116" s="550"/>
      <c r="D116" s="550"/>
      <c r="E116" s="550"/>
      <c r="F116" s="550"/>
      <c r="G116" s="550"/>
      <c r="H116" s="550"/>
      <c r="I116" s="550"/>
      <c r="J116" s="550"/>
      <c r="K116" s="550"/>
      <c r="L116" s="550"/>
      <c r="M116" s="550"/>
      <c r="N116" s="550"/>
      <c r="O116" s="550"/>
      <c r="P116" s="550"/>
      <c r="Q116" s="550"/>
      <c r="R116" s="550"/>
      <c r="S116" s="550"/>
      <c r="T116" s="550"/>
      <c r="U116" s="550"/>
      <c r="V116" s="550"/>
      <c r="W116" s="550"/>
      <c r="X116" s="767"/>
      <c r="Y116" s="671"/>
      <c r="Z116" s="671"/>
      <c r="AA116" s="767"/>
      <c r="AB116" s="623"/>
      <c r="AC116" s="623"/>
      <c r="AD116" s="623"/>
      <c r="AE116" s="623"/>
      <c r="AF116" s="623"/>
      <c r="AG116" s="623"/>
      <c r="AH116" s="623"/>
      <c r="AI116" s="623"/>
      <c r="AJ116" s="623"/>
      <c r="AK116" s="623"/>
      <c r="AL116" s="623"/>
      <c r="AM116" s="623"/>
      <c r="AN116" s="623"/>
      <c r="AO116" s="623"/>
      <c r="AP116" s="623"/>
      <c r="AQ116" s="623"/>
      <c r="AR116" s="623"/>
      <c r="AS116" s="623"/>
      <c r="AT116" s="623"/>
      <c r="AU116" s="623"/>
      <c r="AV116" s="623"/>
      <c r="AW116" s="623"/>
      <c r="AX116" s="623"/>
      <c r="AY116" s="623"/>
      <c r="AZ116" s="623"/>
      <c r="BA116" s="623"/>
      <c r="BB116" s="623"/>
      <c r="BC116" s="623"/>
      <c r="BD116" s="623"/>
      <c r="BE116" s="623"/>
      <c r="BF116" s="623"/>
      <c r="BG116" s="623"/>
      <c r="BH116" s="623"/>
      <c r="BI116" s="623"/>
      <c r="BJ116" s="623"/>
      <c r="BK116" s="623"/>
      <c r="BL116" s="623"/>
      <c r="BM116" s="623"/>
      <c r="BN116" s="623"/>
      <c r="BO116" s="623"/>
      <c r="BP116" s="623"/>
      <c r="BQ116" s="623"/>
      <c r="BR116" s="623"/>
      <c r="BS116" s="623"/>
      <c r="BT116" s="623"/>
      <c r="BU116" s="623"/>
      <c r="BV116" s="623"/>
      <c r="BW116" s="623"/>
      <c r="BX116" s="623"/>
      <c r="BY116" s="623"/>
      <c r="BZ116" s="623"/>
      <c r="CA116" s="623"/>
      <c r="CB116" s="1669"/>
      <c r="CC116" s="1669"/>
      <c r="CD116" s="1669"/>
      <c r="CE116" s="1669"/>
      <c r="CF116" s="1669"/>
      <c r="CG116" s="1669"/>
      <c r="CH116" s="1669"/>
      <c r="CI116" s="1669"/>
      <c r="CJ116" s="1669"/>
      <c r="CK116" s="1669"/>
      <c r="CL116" s="1669"/>
      <c r="CM116" s="1669"/>
      <c r="CN116" s="1669"/>
      <c r="CO116" s="1669"/>
      <c r="CP116" s="1669"/>
      <c r="CQ116" s="1669"/>
      <c r="CR116" s="1669"/>
      <c r="CS116" s="1669"/>
      <c r="CT116" s="1669"/>
      <c r="CU116" s="1669"/>
      <c r="CV116" s="1669"/>
      <c r="CW116" s="1669"/>
      <c r="CX116" s="1669"/>
      <c r="CY116" s="817"/>
      <c r="CZ116" s="1669"/>
      <c r="DA116" s="1669"/>
      <c r="DB116" s="1669"/>
      <c r="DC116" s="767"/>
      <c r="DD116" s="1669"/>
      <c r="DE116" s="1669"/>
      <c r="DF116" s="1669"/>
      <c r="DG116" s="1669"/>
      <c r="DH116" s="1669"/>
      <c r="DI116" s="1669"/>
      <c r="DJ116" s="1669"/>
      <c r="DK116" s="1669"/>
      <c r="DL116" s="1669"/>
      <c r="DM116" s="1669"/>
      <c r="DN116" s="1669"/>
      <c r="DO116" s="767"/>
      <c r="DP116" s="1669"/>
      <c r="DQ116" s="1669"/>
      <c r="DR116" s="623"/>
      <c r="DS116" s="623"/>
      <c r="DT116" s="623"/>
      <c r="DU116" s="623"/>
      <c r="DV116" s="1675"/>
    </row>
    <row r="117" spans="1:256" ht="13.8" hidden="1">
      <c r="A117" s="1676"/>
      <c r="B117" s="550"/>
      <c r="C117" s="550"/>
      <c r="D117" s="550"/>
      <c r="E117" s="550"/>
      <c r="F117" s="550"/>
      <c r="G117" s="550"/>
      <c r="H117" s="550"/>
      <c r="I117" s="550"/>
      <c r="J117" s="550"/>
      <c r="K117" s="550"/>
      <c r="L117" s="550"/>
      <c r="M117" s="550"/>
      <c r="N117" s="550"/>
      <c r="O117" s="550"/>
      <c r="P117" s="550"/>
      <c r="Q117" s="550"/>
      <c r="R117" s="550"/>
      <c r="S117" s="550"/>
      <c r="T117" s="550"/>
      <c r="U117" s="550"/>
      <c r="V117" s="550"/>
      <c r="W117" s="550"/>
      <c r="X117" s="767"/>
      <c r="Y117" s="671"/>
      <c r="Z117" s="671"/>
      <c r="AA117" s="767"/>
      <c r="AB117" s="623"/>
      <c r="AC117" s="623"/>
      <c r="AD117" s="623"/>
      <c r="AE117" s="623"/>
      <c r="AF117" s="623"/>
      <c r="AG117" s="623"/>
      <c r="AH117" s="623"/>
      <c r="AI117" s="623"/>
      <c r="AJ117" s="623"/>
      <c r="AK117" s="623"/>
      <c r="AL117" s="623"/>
      <c r="AM117" s="623"/>
      <c r="AN117" s="623"/>
      <c r="AO117" s="623"/>
      <c r="AP117" s="623"/>
      <c r="AQ117" s="623"/>
      <c r="AR117" s="623"/>
      <c r="AS117" s="623"/>
      <c r="AT117" s="623"/>
      <c r="AU117" s="623"/>
      <c r="AV117" s="623"/>
      <c r="AW117" s="623"/>
      <c r="AX117" s="623"/>
      <c r="AY117" s="623"/>
      <c r="AZ117" s="623"/>
      <c r="BA117" s="623"/>
      <c r="BB117" s="623"/>
      <c r="BC117" s="623"/>
      <c r="BD117" s="623"/>
      <c r="BE117" s="623"/>
      <c r="BF117" s="623"/>
      <c r="BG117" s="623"/>
      <c r="BH117" s="623"/>
      <c r="BI117" s="623"/>
      <c r="BJ117" s="623"/>
      <c r="BK117" s="623"/>
      <c r="BL117" s="623"/>
      <c r="BM117" s="623"/>
      <c r="BN117" s="623"/>
      <c r="BO117" s="623"/>
      <c r="BP117" s="623"/>
      <c r="BQ117" s="623"/>
      <c r="BR117" s="623"/>
      <c r="BS117" s="623"/>
      <c r="BT117" s="623"/>
      <c r="BU117" s="623"/>
      <c r="BV117" s="623"/>
      <c r="BW117" s="623"/>
      <c r="BX117" s="623"/>
      <c r="BY117" s="623"/>
      <c r="BZ117" s="623"/>
      <c r="CA117" s="623"/>
      <c r="CB117" s="1669"/>
      <c r="CC117" s="1669"/>
      <c r="CD117" s="1669"/>
      <c r="CE117" s="1669"/>
      <c r="CF117" s="1669"/>
      <c r="CG117" s="1669"/>
      <c r="CH117" s="1669"/>
      <c r="CI117" s="1669"/>
      <c r="CJ117" s="1669"/>
      <c r="CK117" s="1669"/>
      <c r="CL117" s="1669"/>
      <c r="CM117" s="1669"/>
      <c r="CN117" s="1669"/>
      <c r="CO117" s="1669"/>
      <c r="CP117" s="1669"/>
      <c r="CQ117" s="1669"/>
      <c r="CR117" s="1669"/>
      <c r="CS117" s="1669"/>
      <c r="CT117" s="1669"/>
      <c r="CU117" s="1669"/>
      <c r="CV117" s="1669"/>
      <c r="CW117" s="1669"/>
      <c r="CX117" s="1669"/>
      <c r="CY117" s="817"/>
      <c r="CZ117" s="1669"/>
      <c r="DA117" s="1669"/>
      <c r="DB117" s="1669"/>
      <c r="DC117" s="767"/>
      <c r="DD117" s="1669"/>
      <c r="DE117" s="1669"/>
      <c r="DF117" s="1669"/>
      <c r="DG117" s="1669"/>
      <c r="DH117" s="1669"/>
      <c r="DI117" s="1669"/>
      <c r="DJ117" s="1669"/>
      <c r="DK117" s="1669"/>
      <c r="DL117" s="1669"/>
      <c r="DM117" s="1669"/>
      <c r="DN117" s="1669"/>
      <c r="DO117" s="767"/>
      <c r="DP117" s="1669"/>
      <c r="DQ117" s="1669"/>
      <c r="DR117" s="623"/>
      <c r="DS117" s="623"/>
      <c r="DT117" s="623"/>
      <c r="DU117" s="623"/>
      <c r="DV117" s="1675"/>
    </row>
    <row r="118" spans="1:256" ht="13.8" hidden="1">
      <c r="A118" s="1676"/>
      <c r="B118" s="550"/>
      <c r="C118" s="550"/>
      <c r="D118" s="550"/>
      <c r="E118" s="550"/>
      <c r="F118" s="550"/>
      <c r="G118" s="550"/>
      <c r="H118" s="550"/>
      <c r="I118" s="550"/>
      <c r="J118" s="550"/>
      <c r="K118" s="550"/>
      <c r="L118" s="550"/>
      <c r="M118" s="550"/>
      <c r="N118" s="550"/>
      <c r="O118" s="550"/>
      <c r="P118" s="550"/>
      <c r="Q118" s="550"/>
      <c r="R118" s="550"/>
      <c r="S118" s="550"/>
      <c r="T118" s="550"/>
      <c r="U118" s="550"/>
      <c r="V118" s="550"/>
      <c r="W118" s="550"/>
      <c r="X118" s="767"/>
      <c r="Y118" s="671"/>
      <c r="Z118" s="671"/>
      <c r="AA118" s="767"/>
      <c r="AB118" s="623"/>
      <c r="AC118" s="623"/>
      <c r="AD118" s="623"/>
      <c r="AE118" s="623"/>
      <c r="AF118" s="623"/>
      <c r="AG118" s="623"/>
      <c r="AH118" s="623"/>
      <c r="AI118" s="623"/>
      <c r="AJ118" s="623"/>
      <c r="AK118" s="623"/>
      <c r="AL118" s="623"/>
      <c r="AM118" s="623"/>
      <c r="AN118" s="623"/>
      <c r="AO118" s="623"/>
      <c r="AP118" s="623"/>
      <c r="AQ118" s="623"/>
      <c r="AR118" s="623"/>
      <c r="AS118" s="623"/>
      <c r="AT118" s="623"/>
      <c r="AU118" s="623"/>
      <c r="AV118" s="623"/>
      <c r="AW118" s="623"/>
      <c r="AX118" s="623"/>
      <c r="AY118" s="623"/>
      <c r="AZ118" s="623"/>
      <c r="BA118" s="623"/>
      <c r="BB118" s="623"/>
      <c r="BC118" s="623"/>
      <c r="BD118" s="623"/>
      <c r="BE118" s="623"/>
      <c r="BF118" s="623"/>
      <c r="BG118" s="623"/>
      <c r="BH118" s="623"/>
      <c r="BI118" s="623"/>
      <c r="BJ118" s="623"/>
      <c r="BK118" s="623"/>
      <c r="BL118" s="623"/>
      <c r="BM118" s="623"/>
      <c r="BN118" s="623"/>
      <c r="BO118" s="623"/>
      <c r="BP118" s="623"/>
      <c r="BQ118" s="623"/>
      <c r="BR118" s="623"/>
      <c r="BS118" s="623"/>
      <c r="BT118" s="623"/>
      <c r="BU118" s="623"/>
      <c r="BV118" s="623"/>
      <c r="BW118" s="623"/>
      <c r="BX118" s="623"/>
      <c r="BY118" s="623"/>
      <c r="BZ118" s="623"/>
      <c r="CA118" s="623"/>
      <c r="CB118" s="1669"/>
      <c r="CC118" s="1669"/>
      <c r="CD118" s="1669"/>
      <c r="CE118" s="1669"/>
      <c r="CF118" s="1669"/>
      <c r="CG118" s="1669"/>
      <c r="CH118" s="1669"/>
      <c r="CI118" s="1669"/>
      <c r="CJ118" s="1669"/>
      <c r="CK118" s="1669"/>
      <c r="CL118" s="1669"/>
      <c r="CM118" s="1669"/>
      <c r="CN118" s="1669"/>
      <c r="CO118" s="1669"/>
      <c r="CP118" s="1669"/>
      <c r="CQ118" s="1669"/>
      <c r="CR118" s="1669"/>
      <c r="CS118" s="1669"/>
      <c r="CT118" s="1669"/>
      <c r="CU118" s="1669"/>
      <c r="CV118" s="1669"/>
      <c r="CW118" s="1669"/>
      <c r="CX118" s="1669"/>
      <c r="CY118" s="817"/>
      <c r="CZ118" s="1669"/>
      <c r="DA118" s="1669"/>
      <c r="DB118" s="1669"/>
      <c r="DC118" s="767"/>
      <c r="DD118" s="1669"/>
      <c r="DE118" s="1669"/>
      <c r="DF118" s="1669"/>
      <c r="DG118" s="1669"/>
      <c r="DH118" s="1669"/>
      <c r="DI118" s="1669"/>
      <c r="DJ118" s="1669"/>
      <c r="DK118" s="1669"/>
      <c r="DL118" s="1669"/>
      <c r="DM118" s="1669"/>
      <c r="DN118" s="1669"/>
      <c r="DO118" s="767"/>
      <c r="DP118" s="1669"/>
      <c r="DQ118" s="1669"/>
      <c r="DR118" s="623"/>
      <c r="DS118" s="623"/>
      <c r="DT118" s="623"/>
      <c r="DU118" s="623"/>
      <c r="DV118" s="1675"/>
    </row>
    <row r="119" spans="1:256" s="678" customFormat="1" ht="13.8" hidden="1">
      <c r="A119" s="1676"/>
      <c r="B119" s="550"/>
      <c r="C119" s="550"/>
      <c r="D119" s="550"/>
      <c r="E119" s="550"/>
      <c r="F119" s="550"/>
      <c r="G119" s="550"/>
      <c r="H119" s="550"/>
      <c r="I119" s="550"/>
      <c r="J119" s="676"/>
      <c r="K119" s="550"/>
      <c r="L119" s="550"/>
      <c r="M119" s="550"/>
      <c r="N119" s="550"/>
      <c r="O119" s="439"/>
      <c r="P119" s="439"/>
      <c r="Q119" s="674"/>
      <c r="R119" s="671"/>
      <c r="S119" s="671"/>
      <c r="T119" s="671"/>
      <c r="U119" s="671"/>
      <c r="V119" s="671"/>
      <c r="W119" s="671"/>
      <c r="X119" s="767"/>
      <c r="Y119" s="671"/>
      <c r="Z119" s="671"/>
      <c r="AA119" s="767"/>
      <c r="AB119" s="623"/>
      <c r="AC119" s="623"/>
      <c r="AD119" s="623"/>
      <c r="AE119" s="623"/>
      <c r="AF119" s="623"/>
      <c r="AG119" s="623"/>
      <c r="AH119" s="623"/>
      <c r="AI119" s="623"/>
      <c r="AJ119" s="623"/>
      <c r="AK119" s="623"/>
      <c r="AL119" s="623"/>
      <c r="AM119" s="623"/>
      <c r="AN119" s="623"/>
      <c r="AO119" s="623"/>
      <c r="AP119" s="623"/>
      <c r="AQ119" s="623"/>
      <c r="AR119" s="623"/>
      <c r="AS119" s="623"/>
      <c r="AT119" s="623"/>
      <c r="AU119" s="623"/>
      <c r="AV119" s="623"/>
      <c r="AW119" s="623"/>
      <c r="AX119" s="623"/>
      <c r="AY119" s="623"/>
      <c r="AZ119" s="623"/>
      <c r="BA119" s="623"/>
      <c r="BB119" s="623"/>
      <c r="BC119" s="623"/>
      <c r="BD119" s="623"/>
      <c r="BE119" s="623"/>
      <c r="BF119" s="623"/>
      <c r="BG119" s="623"/>
      <c r="BH119" s="623"/>
      <c r="BI119" s="623"/>
      <c r="BJ119" s="623"/>
      <c r="BK119" s="623"/>
      <c r="BL119" s="623"/>
      <c r="BM119" s="623"/>
      <c r="BN119" s="623"/>
      <c r="BO119" s="623"/>
      <c r="BP119" s="623"/>
      <c r="BQ119" s="623"/>
      <c r="BR119" s="623"/>
      <c r="BS119" s="623"/>
      <c r="BT119" s="623"/>
      <c r="BU119" s="623"/>
      <c r="BV119" s="623"/>
      <c r="BW119" s="623"/>
      <c r="BX119" s="623"/>
      <c r="BY119" s="623"/>
      <c r="BZ119" s="623"/>
      <c r="CA119" s="623"/>
      <c r="CB119" s="1669"/>
      <c r="CC119" s="1669"/>
      <c r="CD119" s="1669"/>
      <c r="CE119" s="1669"/>
      <c r="CF119" s="1669"/>
      <c r="CG119" s="1669"/>
      <c r="CH119" s="1669"/>
      <c r="CI119" s="1669"/>
      <c r="CJ119" s="1669"/>
      <c r="CK119" s="1669"/>
      <c r="CL119" s="1669"/>
      <c r="CM119" s="1669"/>
      <c r="CN119" s="1669"/>
      <c r="CO119" s="1669"/>
      <c r="CP119" s="1669"/>
      <c r="CQ119" s="1669"/>
      <c r="CR119" s="1669"/>
      <c r="CS119" s="1669"/>
      <c r="CT119" s="1669"/>
      <c r="CU119" s="1669"/>
      <c r="CV119" s="1669"/>
      <c r="CW119" s="1669"/>
      <c r="CX119" s="1669"/>
      <c r="CY119" s="817"/>
      <c r="CZ119" s="1669"/>
      <c r="DA119" s="1669"/>
      <c r="DB119" s="1669"/>
      <c r="DC119" s="767"/>
      <c r="DD119" s="1669"/>
      <c r="DE119" s="1669"/>
      <c r="DF119" s="1669"/>
      <c r="DG119" s="1669"/>
      <c r="DH119" s="1669"/>
      <c r="DI119" s="1669"/>
      <c r="DJ119" s="1669"/>
      <c r="DK119" s="1669"/>
      <c r="DL119" s="1669"/>
      <c r="DM119" s="1669"/>
      <c r="DN119" s="1669"/>
      <c r="DO119" s="767"/>
      <c r="DP119" s="1669"/>
      <c r="DQ119" s="1669"/>
      <c r="DR119" s="623"/>
      <c r="DS119" s="623"/>
      <c r="DT119" s="623"/>
      <c r="DU119" s="623"/>
      <c r="DV119" s="1675"/>
      <c r="DW119" s="530"/>
      <c r="DX119" s="530"/>
      <c r="DY119" s="530"/>
      <c r="DZ119" s="530"/>
      <c r="EA119" s="530"/>
      <c r="EB119" s="530"/>
      <c r="EC119" s="530"/>
      <c r="ED119" s="530"/>
      <c r="EE119" s="530"/>
      <c r="EF119" s="530"/>
      <c r="EG119" s="530"/>
      <c r="EH119" s="530"/>
      <c r="EI119" s="530"/>
      <c r="EJ119" s="530"/>
      <c r="EK119" s="530"/>
      <c r="EL119" s="530"/>
      <c r="EM119" s="530"/>
      <c r="EN119" s="530"/>
      <c r="EO119" s="530"/>
      <c r="EP119" s="530"/>
      <c r="EQ119" s="530"/>
      <c r="ER119" s="530"/>
      <c r="ES119" s="530"/>
      <c r="ET119" s="530"/>
      <c r="EU119" s="530"/>
      <c r="EV119" s="530"/>
      <c r="EW119" s="530"/>
      <c r="EX119" s="530"/>
      <c r="EY119" s="530"/>
      <c r="EZ119" s="530"/>
      <c r="FA119" s="530"/>
      <c r="FB119" s="530"/>
      <c r="FC119" s="530"/>
      <c r="FD119" s="530"/>
      <c r="FE119" s="530"/>
      <c r="FF119" s="530"/>
      <c r="FG119" s="530"/>
      <c r="FH119" s="530"/>
      <c r="FI119" s="530"/>
      <c r="FJ119" s="530"/>
      <c r="FK119" s="530"/>
      <c r="FL119" s="530"/>
      <c r="FM119" s="530"/>
      <c r="FN119" s="530"/>
      <c r="FO119" s="530"/>
      <c r="FP119" s="530"/>
      <c r="FQ119" s="530"/>
      <c r="FR119" s="530"/>
      <c r="FS119" s="530"/>
      <c r="FT119" s="530"/>
      <c r="FU119" s="530"/>
      <c r="FV119" s="530"/>
      <c r="FW119" s="530"/>
      <c r="FX119" s="530"/>
      <c r="FY119" s="530"/>
      <c r="FZ119" s="530"/>
      <c r="GA119" s="530"/>
      <c r="GB119" s="530"/>
      <c r="GC119" s="530"/>
      <c r="GD119" s="530"/>
      <c r="GE119" s="530"/>
      <c r="GF119" s="530"/>
      <c r="GG119" s="530"/>
      <c r="GH119" s="530"/>
      <c r="GI119" s="530"/>
      <c r="GJ119" s="530"/>
      <c r="GK119" s="530"/>
      <c r="GL119" s="530"/>
      <c r="GM119" s="530"/>
      <c r="GN119" s="530"/>
      <c r="GO119" s="530"/>
      <c r="GP119" s="530"/>
      <c r="GQ119" s="530"/>
      <c r="GR119" s="530"/>
      <c r="GS119" s="530"/>
      <c r="GT119" s="530"/>
      <c r="GU119" s="530"/>
      <c r="GV119" s="530"/>
      <c r="GW119" s="530"/>
      <c r="GX119" s="530"/>
      <c r="GY119" s="530"/>
      <c r="GZ119" s="530"/>
      <c r="HA119" s="530"/>
      <c r="HB119" s="530"/>
      <c r="HC119" s="530"/>
      <c r="HD119" s="530"/>
      <c r="HE119" s="530"/>
      <c r="HF119" s="530"/>
      <c r="HG119" s="530"/>
      <c r="HH119" s="530"/>
      <c r="HI119" s="530"/>
      <c r="HJ119" s="530"/>
      <c r="HK119" s="530"/>
      <c r="HL119" s="530"/>
      <c r="HM119" s="530"/>
      <c r="HN119" s="530"/>
      <c r="HO119" s="530"/>
      <c r="HP119" s="530"/>
      <c r="HQ119" s="530"/>
      <c r="HR119" s="530"/>
      <c r="HS119" s="530"/>
      <c r="HT119" s="530"/>
      <c r="HU119" s="530"/>
      <c r="HV119" s="530"/>
      <c r="HW119" s="530"/>
      <c r="HX119" s="530"/>
      <c r="HY119" s="530"/>
      <c r="HZ119" s="530"/>
      <c r="IA119" s="530"/>
      <c r="IB119" s="530"/>
      <c r="IC119" s="530"/>
      <c r="ID119" s="530"/>
      <c r="IE119" s="530"/>
      <c r="IF119" s="530"/>
      <c r="IG119" s="530"/>
      <c r="IH119" s="530"/>
      <c r="II119" s="530"/>
      <c r="IJ119" s="530"/>
      <c r="IK119" s="530"/>
      <c r="IL119" s="530"/>
      <c r="IM119" s="530"/>
      <c r="IN119" s="530"/>
      <c r="IO119" s="530"/>
      <c r="IP119" s="530"/>
      <c r="IQ119" s="530"/>
      <c r="IR119" s="530"/>
      <c r="IS119" s="530"/>
      <c r="IT119" s="530"/>
      <c r="IU119" s="530"/>
      <c r="IV119" s="530"/>
    </row>
    <row r="120" spans="1:256" s="688" customFormat="1" ht="13.8" hidden="1">
      <c r="A120" s="1678"/>
      <c r="B120" s="1679"/>
      <c r="C120" s="1678"/>
      <c r="D120" s="1678"/>
      <c r="E120" s="1678"/>
      <c r="F120" s="1678"/>
      <c r="G120" s="1678"/>
      <c r="H120" s="1678"/>
      <c r="I120" s="1678"/>
      <c r="J120" s="1678"/>
      <c r="K120" s="1678"/>
      <c r="L120" s="1678"/>
      <c r="M120" s="1678"/>
      <c r="N120" s="1678"/>
      <c r="O120" s="1678"/>
      <c r="P120" s="1678"/>
      <c r="Q120" s="1678"/>
      <c r="R120" s="1678"/>
      <c r="S120" s="1678"/>
      <c r="T120" s="1678"/>
      <c r="U120" s="1678"/>
      <c r="V120" s="1678"/>
      <c r="W120" s="1678"/>
      <c r="X120" s="1678"/>
      <c r="Y120" s="1678"/>
      <c r="Z120" s="1678"/>
      <c r="AA120" s="1678"/>
      <c r="AB120" s="1678"/>
      <c r="AC120" s="1678"/>
      <c r="AD120" s="1678"/>
      <c r="AE120" s="1678"/>
      <c r="AF120" s="1678"/>
      <c r="AG120" s="1678"/>
      <c r="AH120" s="1678"/>
      <c r="AI120" s="1678"/>
      <c r="AJ120" s="1678"/>
      <c r="AK120" s="1678"/>
      <c r="AL120" s="1678"/>
      <c r="AM120" s="1678"/>
      <c r="AN120" s="1678"/>
      <c r="AO120" s="1678"/>
      <c r="AP120" s="1678"/>
      <c r="AQ120" s="1678"/>
      <c r="AR120" s="1678"/>
      <c r="AS120" s="1678"/>
      <c r="AT120" s="1678"/>
      <c r="AU120" s="1678"/>
      <c r="AV120" s="1678"/>
      <c r="AW120" s="1678"/>
      <c r="AX120" s="1678"/>
      <c r="AY120" s="1678"/>
      <c r="AZ120" s="1678"/>
      <c r="BA120" s="1678"/>
      <c r="BB120" s="1678"/>
      <c r="BC120" s="1678"/>
      <c r="BD120" s="1678"/>
      <c r="BE120" s="1678"/>
      <c r="BF120" s="1678"/>
      <c r="BG120" s="1678"/>
      <c r="BH120" s="1678"/>
      <c r="BI120" s="1678"/>
      <c r="BJ120" s="1678"/>
      <c r="BK120" s="1678"/>
      <c r="BL120" s="1678"/>
      <c r="BM120" s="1678"/>
      <c r="BN120" s="1678"/>
      <c r="BO120" s="1678"/>
      <c r="BP120" s="1678"/>
      <c r="BQ120" s="1678"/>
      <c r="BR120" s="1678"/>
      <c r="BS120" s="1678"/>
      <c r="BT120" s="1678"/>
      <c r="BU120" s="1678"/>
      <c r="BV120" s="1678"/>
      <c r="BW120" s="1678"/>
      <c r="BX120" s="1678"/>
      <c r="BY120" s="1678"/>
      <c r="BZ120" s="1678"/>
      <c r="CA120" s="1678"/>
      <c r="CB120" s="1678"/>
      <c r="CC120" s="1678"/>
      <c r="CD120" s="1678"/>
      <c r="CE120" s="1669"/>
      <c r="CF120" s="1678"/>
      <c r="CG120" s="1678"/>
      <c r="CH120" s="1678"/>
      <c r="CI120" s="1678"/>
      <c r="CJ120" s="1678"/>
      <c r="CK120" s="1678"/>
      <c r="CL120" s="1678"/>
      <c r="CM120" s="1678"/>
      <c r="CN120" s="1678"/>
      <c r="CO120" s="1678"/>
      <c r="CP120" s="1678"/>
      <c r="CQ120" s="1678"/>
      <c r="CR120" s="1678"/>
      <c r="CS120" s="1678"/>
      <c r="CT120" s="1678"/>
      <c r="CU120" s="1678"/>
      <c r="CV120" s="1678"/>
      <c r="CW120" s="1678"/>
      <c r="CX120" s="1678"/>
      <c r="CY120" s="1680"/>
      <c r="CZ120" s="1678"/>
      <c r="DA120" s="1678"/>
      <c r="DB120" s="1678"/>
      <c r="DC120" s="1678"/>
      <c r="DD120" s="1678"/>
      <c r="DE120" s="1678"/>
      <c r="DF120" s="1678"/>
      <c r="DG120" s="1678"/>
      <c r="DH120" s="1678"/>
      <c r="DI120" s="1678"/>
      <c r="DJ120" s="1678"/>
      <c r="DK120" s="1678"/>
      <c r="DL120" s="1678"/>
      <c r="DM120" s="1678"/>
      <c r="DN120" s="1678"/>
      <c r="DO120" s="1678"/>
      <c r="DP120" s="1678"/>
      <c r="DQ120" s="1678"/>
      <c r="DR120" s="1678"/>
      <c r="DS120" s="1678"/>
      <c r="DT120" s="1678"/>
      <c r="DU120" s="1678"/>
      <c r="DV120" s="1681"/>
    </row>
    <row r="121" spans="1:256" s="545" customFormat="1" ht="18" hidden="1" customHeight="1">
      <c r="A121" s="1685"/>
      <c r="B121" s="1023"/>
      <c r="C121" s="1023"/>
      <c r="D121" s="1023"/>
      <c r="E121" s="1023"/>
      <c r="F121" s="1023"/>
      <c r="G121" s="1023"/>
      <c r="H121" s="1023"/>
      <c r="I121" s="1023"/>
      <c r="J121" s="1023"/>
      <c r="K121" s="1023"/>
      <c r="L121" s="1023"/>
      <c r="M121" s="1023"/>
      <c r="N121" s="1023"/>
      <c r="O121" s="1023"/>
      <c r="P121" s="1023"/>
      <c r="Q121" s="1023"/>
      <c r="R121" s="1023"/>
      <c r="S121" s="1023"/>
      <c r="T121" s="1023"/>
      <c r="U121" s="1023"/>
      <c r="V121" s="1023"/>
      <c r="W121" s="1023"/>
      <c r="X121" s="1023"/>
      <c r="Y121" s="1023"/>
      <c r="Z121" s="1023"/>
      <c r="AA121" s="1023"/>
      <c r="AB121" s="1023"/>
      <c r="AC121" s="1023"/>
      <c r="AD121" s="1023"/>
      <c r="AE121" s="1023"/>
      <c r="AF121" s="1023"/>
      <c r="AG121" s="1023"/>
      <c r="AH121" s="1023"/>
      <c r="AI121" s="1023"/>
      <c r="AJ121" s="1023"/>
      <c r="AK121" s="1023"/>
      <c r="AL121" s="1023"/>
      <c r="AM121" s="1023"/>
      <c r="AN121" s="1023"/>
      <c r="AO121" s="1023"/>
      <c r="AP121" s="1023"/>
      <c r="AQ121" s="1023"/>
      <c r="AR121" s="1023"/>
      <c r="AS121" s="1023"/>
      <c r="AT121" s="1023"/>
      <c r="AU121" s="1023"/>
      <c r="AV121" s="1023"/>
      <c r="AW121" s="1023"/>
      <c r="AX121" s="1023"/>
      <c r="AY121" s="1023"/>
      <c r="AZ121" s="1023"/>
      <c r="BA121" s="1023"/>
      <c r="BB121" s="1023"/>
      <c r="BC121" s="1023"/>
      <c r="BD121" s="1023"/>
      <c r="BE121" s="1023"/>
      <c r="BF121" s="1023"/>
      <c r="BG121" s="1023"/>
      <c r="BH121" s="1023"/>
      <c r="BI121" s="1023"/>
      <c r="BJ121" s="1023"/>
      <c r="BK121" s="1023"/>
      <c r="BL121" s="1023"/>
      <c r="BM121" s="1023"/>
      <c r="BN121" s="1023"/>
      <c r="BO121" s="1023"/>
      <c r="BP121" s="1023"/>
      <c r="BQ121" s="1023"/>
      <c r="BR121" s="1023"/>
      <c r="BS121" s="1023"/>
      <c r="BT121" s="1023"/>
      <c r="BU121" s="1023"/>
      <c r="BV121" s="1023"/>
      <c r="BW121" s="1023"/>
      <c r="BX121" s="1023"/>
      <c r="BY121" s="1023"/>
      <c r="BZ121" s="1023"/>
      <c r="CA121" s="1023"/>
      <c r="CB121" s="1023"/>
      <c r="CC121" s="1023"/>
      <c r="CD121" s="1023"/>
      <c r="CE121" s="1669"/>
      <c r="CF121" s="1023"/>
      <c r="CG121" s="1023"/>
      <c r="CH121" s="1023"/>
      <c r="CI121" s="1023"/>
      <c r="CJ121" s="1023"/>
      <c r="CK121" s="1023"/>
      <c r="CL121" s="1023"/>
      <c r="CM121" s="1023"/>
      <c r="CN121" s="1023"/>
      <c r="CO121" s="1023"/>
      <c r="CP121" s="1023"/>
      <c r="CQ121" s="1023"/>
      <c r="CR121" s="1023"/>
      <c r="CS121" s="1023"/>
      <c r="CT121" s="1023"/>
      <c r="CU121" s="1023"/>
      <c r="CV121" s="1023"/>
      <c r="CW121" s="1023"/>
      <c r="CX121" s="1023"/>
      <c r="CY121" s="1683"/>
      <c r="CZ121" s="1023"/>
      <c r="DA121" s="1023"/>
      <c r="DB121" s="1023"/>
      <c r="DC121" s="1023"/>
      <c r="DD121" s="1023"/>
      <c r="DE121" s="1023"/>
      <c r="DF121" s="1023"/>
      <c r="DG121" s="1023"/>
      <c r="DH121" s="1023"/>
      <c r="DI121" s="1023"/>
      <c r="DJ121" s="1023"/>
      <c r="DK121" s="1023"/>
      <c r="DL121" s="1023"/>
      <c r="DM121" s="1023"/>
      <c r="DN121" s="1023"/>
      <c r="DO121" s="1023"/>
      <c r="DP121" s="1023"/>
      <c r="DQ121" s="1023"/>
      <c r="DR121" s="1023"/>
      <c r="DS121" s="1023"/>
      <c r="DT121" s="1023"/>
      <c r="DU121" s="1023"/>
      <c r="DV121" s="1684"/>
      <c r="DW121" s="530"/>
      <c r="DX121" s="530"/>
      <c r="DY121" s="530"/>
      <c r="DZ121" s="530"/>
      <c r="EA121" s="530"/>
      <c r="EB121" s="530"/>
      <c r="EC121" s="530"/>
      <c r="ED121" s="530"/>
      <c r="EE121" s="530"/>
      <c r="EF121" s="530"/>
      <c r="EG121" s="530"/>
      <c r="EH121" s="530"/>
      <c r="EI121" s="530"/>
      <c r="EJ121" s="530"/>
      <c r="EK121" s="530"/>
      <c r="EL121" s="530"/>
      <c r="EM121" s="530"/>
      <c r="EN121" s="530"/>
      <c r="EO121" s="530"/>
      <c r="EP121" s="530"/>
      <c r="EQ121" s="530"/>
      <c r="ER121" s="530"/>
      <c r="ES121" s="530"/>
      <c r="ET121" s="530"/>
      <c r="EU121" s="530"/>
      <c r="EV121" s="530"/>
      <c r="EW121" s="530"/>
      <c r="EX121" s="530"/>
      <c r="EY121" s="530"/>
      <c r="EZ121" s="530"/>
      <c r="FA121" s="530"/>
      <c r="FB121" s="530"/>
      <c r="FC121" s="530"/>
      <c r="FD121" s="530"/>
      <c r="FE121" s="530"/>
      <c r="FF121" s="530"/>
      <c r="FG121" s="530"/>
      <c r="FH121" s="530"/>
      <c r="FI121" s="530"/>
      <c r="FJ121" s="530"/>
      <c r="FK121" s="530"/>
      <c r="FL121" s="530"/>
      <c r="FM121" s="530"/>
      <c r="FN121" s="530"/>
      <c r="FO121" s="530"/>
      <c r="FP121" s="530"/>
      <c r="FQ121" s="530"/>
      <c r="FR121" s="530"/>
      <c r="FS121" s="530"/>
      <c r="FT121" s="530"/>
      <c r="FU121" s="530"/>
      <c r="FV121" s="530"/>
      <c r="FW121" s="530"/>
      <c r="FX121" s="530"/>
      <c r="FY121" s="530"/>
      <c r="FZ121" s="530"/>
      <c r="GA121" s="530"/>
      <c r="GB121" s="530"/>
      <c r="GC121" s="530"/>
      <c r="GD121" s="530"/>
      <c r="GE121" s="530"/>
      <c r="GF121" s="530"/>
      <c r="GG121" s="530"/>
      <c r="GH121" s="530"/>
      <c r="GI121" s="530"/>
      <c r="GJ121" s="530"/>
      <c r="GK121" s="530"/>
      <c r="GL121" s="530"/>
      <c r="GM121" s="530"/>
      <c r="GN121" s="530"/>
      <c r="GO121" s="530"/>
      <c r="GP121" s="530"/>
      <c r="GQ121" s="530"/>
      <c r="GR121" s="530"/>
      <c r="GS121" s="530"/>
      <c r="GT121" s="530"/>
      <c r="GU121" s="530"/>
      <c r="GV121" s="530"/>
      <c r="GW121" s="530"/>
      <c r="GX121" s="530"/>
      <c r="GY121" s="530"/>
      <c r="GZ121" s="530"/>
      <c r="HA121" s="530"/>
      <c r="HB121" s="530"/>
      <c r="HC121" s="530"/>
      <c r="HD121" s="530"/>
      <c r="HE121" s="530"/>
      <c r="HF121" s="530"/>
      <c r="HG121" s="530"/>
      <c r="HH121" s="530"/>
      <c r="HI121" s="530"/>
      <c r="HJ121" s="530"/>
      <c r="HK121" s="530"/>
      <c r="HL121" s="530"/>
      <c r="HM121" s="530"/>
      <c r="HN121" s="530"/>
      <c r="HO121" s="530"/>
      <c r="HP121" s="530"/>
      <c r="HQ121" s="530"/>
      <c r="HR121" s="530"/>
      <c r="HS121" s="530"/>
      <c r="HT121" s="530"/>
      <c r="HU121" s="530"/>
      <c r="HV121" s="530"/>
      <c r="HW121" s="530"/>
      <c r="HX121" s="530"/>
      <c r="HY121" s="530"/>
      <c r="HZ121" s="530"/>
      <c r="IA121" s="530"/>
      <c r="IB121" s="530"/>
      <c r="IC121" s="530"/>
      <c r="ID121" s="530"/>
      <c r="IE121" s="530"/>
      <c r="IF121" s="530"/>
      <c r="IG121" s="530"/>
      <c r="IH121" s="530"/>
      <c r="II121" s="530"/>
      <c r="IJ121" s="530"/>
      <c r="IK121" s="530"/>
      <c r="IL121" s="530"/>
      <c r="IM121" s="530"/>
      <c r="IN121" s="530"/>
      <c r="IO121" s="530"/>
      <c r="IP121" s="530"/>
      <c r="IQ121" s="530"/>
      <c r="IR121" s="530"/>
      <c r="IS121" s="530"/>
      <c r="IT121" s="530"/>
      <c r="IU121" s="530"/>
      <c r="IV121" s="530"/>
    </row>
    <row r="122" spans="1:256" s="761" customFormat="1" ht="13.8" hidden="1">
      <c r="A122" s="1694"/>
      <c r="B122" s="765"/>
      <c r="C122" s="765"/>
      <c r="D122" s="765"/>
      <c r="E122" s="765"/>
      <c r="F122" s="765"/>
      <c r="G122" s="765"/>
      <c r="H122" s="765"/>
      <c r="I122" s="765"/>
      <c r="J122" s="765"/>
      <c r="K122" s="765"/>
      <c r="L122" s="765"/>
      <c r="M122" s="765"/>
      <c r="N122" s="765"/>
      <c r="O122" s="766"/>
      <c r="P122" s="766"/>
      <c r="Q122" s="766"/>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c r="CB122" s="767"/>
      <c r="CC122" s="767"/>
      <c r="CD122" s="767"/>
      <c r="CE122" s="1669"/>
      <c r="CF122" s="767"/>
      <c r="CG122" s="767"/>
      <c r="CH122" s="767"/>
      <c r="CI122" s="767"/>
      <c r="CJ122" s="767"/>
      <c r="CK122" s="767"/>
      <c r="CL122" s="767"/>
      <c r="CM122" s="767"/>
      <c r="CN122" s="767"/>
      <c r="CO122" s="767"/>
      <c r="CP122" s="767"/>
      <c r="CQ122" s="767"/>
      <c r="CR122" s="767"/>
      <c r="CS122" s="767"/>
      <c r="CT122" s="767"/>
      <c r="CU122" s="767"/>
      <c r="CV122" s="767"/>
      <c r="CW122" s="767"/>
      <c r="CX122" s="767"/>
      <c r="CY122" s="817"/>
      <c r="CZ122" s="767"/>
      <c r="DA122" s="767"/>
      <c r="DB122" s="767"/>
      <c r="DC122" s="767"/>
      <c r="DD122" s="767"/>
      <c r="DE122" s="767"/>
      <c r="DF122" s="767"/>
      <c r="DG122" s="767"/>
      <c r="DH122" s="767"/>
      <c r="DI122" s="767"/>
      <c r="DJ122" s="767"/>
      <c r="DK122" s="767"/>
      <c r="DL122" s="767"/>
      <c r="DM122" s="767"/>
      <c r="DN122" s="767"/>
      <c r="DO122" s="767"/>
      <c r="DP122" s="767"/>
      <c r="DQ122" s="767"/>
      <c r="DR122" s="767"/>
      <c r="DS122" s="767"/>
      <c r="DT122" s="767"/>
      <c r="DU122" s="767"/>
      <c r="DV122" s="1695"/>
      <c r="IR122" s="762"/>
      <c r="IS122" s="762"/>
      <c r="IT122" s="762"/>
      <c r="IU122" s="762"/>
      <c r="IV122" s="762"/>
    </row>
    <row r="123" spans="1:256" s="761" customFormat="1" ht="13.8" hidden="1">
      <c r="A123" s="1694"/>
      <c r="B123" s="765"/>
      <c r="C123" s="765"/>
      <c r="D123" s="765"/>
      <c r="E123" s="765"/>
      <c r="F123" s="765"/>
      <c r="G123" s="765"/>
      <c r="H123" s="765"/>
      <c r="I123" s="765"/>
      <c r="J123" s="765"/>
      <c r="K123" s="765"/>
      <c r="L123" s="765"/>
      <c r="M123" s="765"/>
      <c r="N123" s="765"/>
      <c r="O123" s="766"/>
      <c r="P123" s="766"/>
      <c r="Q123" s="766"/>
      <c r="R123" s="767"/>
      <c r="S123" s="767"/>
      <c r="T123" s="767"/>
      <c r="U123" s="767"/>
      <c r="V123" s="767"/>
      <c r="W123" s="767"/>
      <c r="X123" s="767"/>
      <c r="Y123" s="671"/>
      <c r="Z123" s="671"/>
      <c r="AA123" s="767"/>
      <c r="AB123" s="623"/>
      <c r="AC123" s="623"/>
      <c r="AD123" s="623"/>
      <c r="AE123" s="623"/>
      <c r="AF123" s="623"/>
      <c r="AG123" s="623"/>
      <c r="AH123" s="623"/>
      <c r="AI123" s="623"/>
      <c r="AJ123" s="623"/>
      <c r="AK123" s="623"/>
      <c r="AL123" s="623"/>
      <c r="AM123" s="623"/>
      <c r="AN123" s="623"/>
      <c r="AO123" s="623"/>
      <c r="AP123" s="623"/>
      <c r="AQ123" s="623"/>
      <c r="AR123" s="623"/>
      <c r="AS123" s="623"/>
      <c r="AT123" s="623"/>
      <c r="AU123" s="623"/>
      <c r="AV123" s="623"/>
      <c r="AW123" s="623"/>
      <c r="AX123" s="623"/>
      <c r="AY123" s="623"/>
      <c r="AZ123" s="623"/>
      <c r="BA123" s="623"/>
      <c r="BB123" s="623"/>
      <c r="BC123" s="623"/>
      <c r="BD123" s="623"/>
      <c r="BE123" s="623"/>
      <c r="BF123" s="623"/>
      <c r="BG123" s="623"/>
      <c r="BH123" s="623"/>
      <c r="BI123" s="623"/>
      <c r="BJ123" s="623"/>
      <c r="BK123" s="623"/>
      <c r="BL123" s="623"/>
      <c r="BM123" s="623"/>
      <c r="BN123" s="623"/>
      <c r="BO123" s="623"/>
      <c r="BP123" s="623"/>
      <c r="BQ123" s="623"/>
      <c r="BR123" s="623"/>
      <c r="BS123" s="623"/>
      <c r="BT123" s="623"/>
      <c r="BU123" s="623"/>
      <c r="BV123" s="623"/>
      <c r="BW123" s="623"/>
      <c r="BX123" s="623"/>
      <c r="BY123" s="623"/>
      <c r="BZ123" s="623"/>
      <c r="CA123" s="623"/>
      <c r="CB123" s="1669"/>
      <c r="CC123" s="1669"/>
      <c r="CD123" s="1669"/>
      <c r="CE123" s="1669"/>
      <c r="CF123" s="1669"/>
      <c r="CG123" s="1669"/>
      <c r="CH123" s="1669"/>
      <c r="CI123" s="1669"/>
      <c r="CJ123" s="1669"/>
      <c r="CK123" s="1669"/>
      <c r="CL123" s="1669"/>
      <c r="CM123" s="1669"/>
      <c r="CN123" s="1669"/>
      <c r="CO123" s="1669"/>
      <c r="CP123" s="1669"/>
      <c r="CQ123" s="1669"/>
      <c r="CR123" s="1669"/>
      <c r="CS123" s="1669"/>
      <c r="CT123" s="1669"/>
      <c r="CU123" s="1669"/>
      <c r="CV123" s="1669"/>
      <c r="CW123" s="1669"/>
      <c r="CX123" s="1669"/>
      <c r="CY123" s="817"/>
      <c r="CZ123" s="1669"/>
      <c r="DA123" s="1669"/>
      <c r="DB123" s="1669"/>
      <c r="DC123" s="767"/>
      <c r="DD123" s="1669"/>
      <c r="DE123" s="1669"/>
      <c r="DF123" s="1669"/>
      <c r="DG123" s="1669"/>
      <c r="DH123" s="1669"/>
      <c r="DI123" s="1669"/>
      <c r="DJ123" s="1669"/>
      <c r="DK123" s="1669"/>
      <c r="DL123" s="1669"/>
      <c r="DM123" s="1669"/>
      <c r="DN123" s="1669"/>
      <c r="DO123" s="767"/>
      <c r="DP123" s="1669"/>
      <c r="DQ123" s="1669"/>
      <c r="DR123" s="767"/>
      <c r="DS123" s="767"/>
      <c r="DT123" s="767"/>
      <c r="DU123" s="767"/>
      <c r="DV123" s="1695"/>
      <c r="IR123" s="762"/>
      <c r="IS123" s="762"/>
      <c r="IT123" s="762"/>
      <c r="IU123" s="762"/>
      <c r="IV123" s="762"/>
    </row>
    <row r="124" spans="1:256" s="761" customFormat="1" ht="13.8" hidden="1">
      <c r="A124" s="1694"/>
      <c r="B124" s="765"/>
      <c r="C124" s="765"/>
      <c r="D124" s="765"/>
      <c r="E124" s="765"/>
      <c r="F124" s="765"/>
      <c r="G124" s="765"/>
      <c r="H124" s="765"/>
      <c r="I124" s="765"/>
      <c r="J124" s="765"/>
      <c r="K124" s="765"/>
      <c r="L124" s="765"/>
      <c r="M124" s="765"/>
      <c r="N124" s="765"/>
      <c r="O124" s="766"/>
      <c r="P124" s="766"/>
      <c r="Q124" s="766"/>
      <c r="R124" s="767"/>
      <c r="S124" s="767"/>
      <c r="T124" s="767"/>
      <c r="U124" s="767"/>
      <c r="V124" s="767"/>
      <c r="W124" s="767"/>
      <c r="X124" s="767"/>
      <c r="Y124" s="671"/>
      <c r="Z124" s="671"/>
      <c r="AA124" s="767"/>
      <c r="AB124" s="623"/>
      <c r="AC124" s="623"/>
      <c r="AD124" s="623"/>
      <c r="AE124" s="623"/>
      <c r="AF124" s="623"/>
      <c r="AG124" s="623"/>
      <c r="AH124" s="623"/>
      <c r="AI124" s="623"/>
      <c r="AJ124" s="623"/>
      <c r="AK124" s="623"/>
      <c r="AL124" s="623"/>
      <c r="AM124" s="623"/>
      <c r="AN124" s="623"/>
      <c r="AO124" s="623"/>
      <c r="AP124" s="623"/>
      <c r="AQ124" s="623"/>
      <c r="AR124" s="623"/>
      <c r="AS124" s="623"/>
      <c r="AT124" s="623"/>
      <c r="AU124" s="623"/>
      <c r="AV124" s="623"/>
      <c r="AW124" s="623"/>
      <c r="AX124" s="623"/>
      <c r="AY124" s="623"/>
      <c r="AZ124" s="623"/>
      <c r="BA124" s="623"/>
      <c r="BB124" s="623"/>
      <c r="BC124" s="623"/>
      <c r="BD124" s="623"/>
      <c r="BE124" s="623"/>
      <c r="BF124" s="623"/>
      <c r="BG124" s="623"/>
      <c r="BH124" s="623"/>
      <c r="BI124" s="623"/>
      <c r="BJ124" s="623"/>
      <c r="BK124" s="623"/>
      <c r="BL124" s="623"/>
      <c r="BM124" s="623"/>
      <c r="BN124" s="623"/>
      <c r="BO124" s="623"/>
      <c r="BP124" s="623"/>
      <c r="BQ124" s="623"/>
      <c r="BR124" s="623"/>
      <c r="BS124" s="623"/>
      <c r="BT124" s="623"/>
      <c r="BU124" s="623"/>
      <c r="BV124" s="623"/>
      <c r="BW124" s="623"/>
      <c r="BX124" s="623"/>
      <c r="BY124" s="623"/>
      <c r="BZ124" s="623"/>
      <c r="CA124" s="623"/>
      <c r="CB124" s="1669"/>
      <c r="CC124" s="1669"/>
      <c r="CD124" s="1669"/>
      <c r="CE124" s="1669"/>
      <c r="CF124" s="1669"/>
      <c r="CG124" s="1669"/>
      <c r="CH124" s="1669"/>
      <c r="CI124" s="1669"/>
      <c r="CJ124" s="1669"/>
      <c r="CK124" s="1669"/>
      <c r="CL124" s="1669"/>
      <c r="CM124" s="1669"/>
      <c r="CN124" s="1669"/>
      <c r="CO124" s="1669"/>
      <c r="CP124" s="1669"/>
      <c r="CQ124" s="1669"/>
      <c r="CR124" s="1669"/>
      <c r="CS124" s="1669"/>
      <c r="CT124" s="1669"/>
      <c r="CU124" s="1669"/>
      <c r="CV124" s="1669"/>
      <c r="CW124" s="1669"/>
      <c r="CX124" s="1669"/>
      <c r="CY124" s="817"/>
      <c r="CZ124" s="1669"/>
      <c r="DA124" s="1669"/>
      <c r="DB124" s="1669"/>
      <c r="DC124" s="767"/>
      <c r="DD124" s="1669"/>
      <c r="DE124" s="1669"/>
      <c r="DF124" s="1669"/>
      <c r="DG124" s="1669"/>
      <c r="DH124" s="1669"/>
      <c r="DI124" s="1669"/>
      <c r="DJ124" s="1669"/>
      <c r="DK124" s="1669"/>
      <c r="DL124" s="1669"/>
      <c r="DM124" s="1669"/>
      <c r="DN124" s="1669"/>
      <c r="DO124" s="767"/>
      <c r="DP124" s="1669"/>
      <c r="DQ124" s="1669"/>
      <c r="DR124" s="767"/>
      <c r="DS124" s="767"/>
      <c r="DT124" s="767"/>
      <c r="DU124" s="767"/>
      <c r="DV124" s="1695"/>
      <c r="IR124" s="762"/>
      <c r="IS124" s="762"/>
      <c r="IT124" s="762"/>
      <c r="IU124" s="762"/>
      <c r="IV124" s="762"/>
    </row>
    <row r="125" spans="1:256" s="761" customFormat="1" ht="13.8" hidden="1">
      <c r="A125" s="1694"/>
      <c r="B125" s="765"/>
      <c r="C125" s="765"/>
      <c r="D125" s="765"/>
      <c r="E125" s="765"/>
      <c r="F125" s="765"/>
      <c r="G125" s="765"/>
      <c r="H125" s="765"/>
      <c r="I125" s="765"/>
      <c r="J125" s="765"/>
      <c r="K125" s="765"/>
      <c r="L125" s="765"/>
      <c r="M125" s="765"/>
      <c r="N125" s="765"/>
      <c r="O125" s="766"/>
      <c r="P125" s="766"/>
      <c r="Q125" s="766"/>
      <c r="R125" s="767"/>
      <c r="S125" s="767"/>
      <c r="T125" s="767"/>
      <c r="U125" s="767"/>
      <c r="V125" s="767"/>
      <c r="W125" s="767"/>
      <c r="X125" s="767"/>
      <c r="Y125" s="671"/>
      <c r="Z125" s="671"/>
      <c r="AA125" s="767"/>
      <c r="AB125" s="623"/>
      <c r="AC125" s="623"/>
      <c r="AD125" s="623"/>
      <c r="AE125" s="623"/>
      <c r="AF125" s="623"/>
      <c r="AG125" s="623"/>
      <c r="AH125" s="623"/>
      <c r="AI125" s="623"/>
      <c r="AJ125" s="623"/>
      <c r="AK125" s="623"/>
      <c r="AL125" s="623"/>
      <c r="AM125" s="623"/>
      <c r="AN125" s="623"/>
      <c r="AO125" s="623"/>
      <c r="AP125" s="623"/>
      <c r="AQ125" s="623"/>
      <c r="AR125" s="623"/>
      <c r="AS125" s="623"/>
      <c r="AT125" s="623"/>
      <c r="AU125" s="623"/>
      <c r="AV125" s="623"/>
      <c r="AW125" s="623"/>
      <c r="AX125" s="623"/>
      <c r="AY125" s="623"/>
      <c r="AZ125" s="623"/>
      <c r="BA125" s="623"/>
      <c r="BB125" s="623"/>
      <c r="BC125" s="623"/>
      <c r="BD125" s="623"/>
      <c r="BE125" s="623"/>
      <c r="BF125" s="623"/>
      <c r="BG125" s="623"/>
      <c r="BH125" s="623"/>
      <c r="BI125" s="623"/>
      <c r="BJ125" s="623"/>
      <c r="BK125" s="623"/>
      <c r="BL125" s="623"/>
      <c r="BM125" s="623"/>
      <c r="BN125" s="623"/>
      <c r="BO125" s="623"/>
      <c r="BP125" s="623"/>
      <c r="BQ125" s="623"/>
      <c r="BR125" s="623"/>
      <c r="BS125" s="623"/>
      <c r="BT125" s="623"/>
      <c r="BU125" s="623"/>
      <c r="BV125" s="623"/>
      <c r="BW125" s="623"/>
      <c r="BX125" s="623"/>
      <c r="BY125" s="623"/>
      <c r="BZ125" s="623"/>
      <c r="CA125" s="623"/>
      <c r="CB125" s="1669"/>
      <c r="CC125" s="1669"/>
      <c r="CD125" s="1669"/>
      <c r="CE125" s="1669"/>
      <c r="CF125" s="1669"/>
      <c r="CG125" s="1669"/>
      <c r="CH125" s="1669"/>
      <c r="CI125" s="1669"/>
      <c r="CJ125" s="1669"/>
      <c r="CK125" s="1669"/>
      <c r="CL125" s="1669"/>
      <c r="CM125" s="1669"/>
      <c r="CN125" s="1669"/>
      <c r="CO125" s="1669"/>
      <c r="CP125" s="1669"/>
      <c r="CQ125" s="1669"/>
      <c r="CR125" s="1669"/>
      <c r="CS125" s="1669"/>
      <c r="CT125" s="1669"/>
      <c r="CU125" s="1669"/>
      <c r="CV125" s="1669"/>
      <c r="CW125" s="1669"/>
      <c r="CX125" s="1669"/>
      <c r="CY125" s="817"/>
      <c r="CZ125" s="1669"/>
      <c r="DA125" s="1669"/>
      <c r="DB125" s="1669"/>
      <c r="DC125" s="767"/>
      <c r="DD125" s="1669"/>
      <c r="DE125" s="1669"/>
      <c r="DF125" s="1669"/>
      <c r="DG125" s="1669"/>
      <c r="DH125" s="1669"/>
      <c r="DI125" s="1669"/>
      <c r="DJ125" s="1669"/>
      <c r="DK125" s="1669"/>
      <c r="DL125" s="1669"/>
      <c r="DM125" s="1669"/>
      <c r="DN125" s="1669"/>
      <c r="DO125" s="767"/>
      <c r="DP125" s="1669"/>
      <c r="DQ125" s="1669"/>
      <c r="DR125" s="767"/>
      <c r="DS125" s="767"/>
      <c r="DT125" s="767"/>
      <c r="DU125" s="767"/>
      <c r="DV125" s="1695"/>
      <c r="IR125" s="762"/>
      <c r="IS125" s="762"/>
      <c r="IT125" s="762"/>
      <c r="IU125" s="762"/>
      <c r="IV125" s="762"/>
    </row>
    <row r="126" spans="1:256" s="761" customFormat="1" ht="13.8" hidden="1">
      <c r="A126" s="1694"/>
      <c r="B126" s="765"/>
      <c r="C126" s="765"/>
      <c r="D126" s="765"/>
      <c r="E126" s="765"/>
      <c r="F126" s="765"/>
      <c r="G126" s="765"/>
      <c r="H126" s="765"/>
      <c r="I126" s="765"/>
      <c r="J126" s="765"/>
      <c r="K126" s="765"/>
      <c r="L126" s="765"/>
      <c r="M126" s="765"/>
      <c r="N126" s="765"/>
      <c r="O126" s="766"/>
      <c r="P126" s="766"/>
      <c r="Q126" s="766"/>
      <c r="R126" s="767"/>
      <c r="S126" s="767"/>
      <c r="T126" s="767"/>
      <c r="U126" s="767"/>
      <c r="V126" s="767"/>
      <c r="W126" s="767"/>
      <c r="X126" s="767"/>
      <c r="Y126" s="671"/>
      <c r="Z126" s="671"/>
      <c r="AA126" s="767"/>
      <c r="AB126" s="623"/>
      <c r="AC126" s="623"/>
      <c r="AD126" s="623"/>
      <c r="AE126" s="623"/>
      <c r="AF126" s="623"/>
      <c r="AG126" s="623"/>
      <c r="AH126" s="623"/>
      <c r="AI126" s="623"/>
      <c r="AJ126" s="623"/>
      <c r="AK126" s="623"/>
      <c r="AL126" s="623"/>
      <c r="AM126" s="623"/>
      <c r="AN126" s="623"/>
      <c r="AO126" s="623"/>
      <c r="AP126" s="623"/>
      <c r="AQ126" s="623"/>
      <c r="AR126" s="623"/>
      <c r="AS126" s="623"/>
      <c r="AT126" s="623"/>
      <c r="AU126" s="623"/>
      <c r="AV126" s="623"/>
      <c r="AW126" s="623"/>
      <c r="AX126" s="623"/>
      <c r="AY126" s="623"/>
      <c r="AZ126" s="623"/>
      <c r="BA126" s="623"/>
      <c r="BB126" s="623"/>
      <c r="BC126" s="623"/>
      <c r="BD126" s="623"/>
      <c r="BE126" s="623"/>
      <c r="BF126" s="623"/>
      <c r="BG126" s="623"/>
      <c r="BH126" s="623"/>
      <c r="BI126" s="623"/>
      <c r="BJ126" s="623"/>
      <c r="BK126" s="623"/>
      <c r="BL126" s="623"/>
      <c r="BM126" s="623"/>
      <c r="BN126" s="623"/>
      <c r="BO126" s="623"/>
      <c r="BP126" s="623"/>
      <c r="BQ126" s="623"/>
      <c r="BR126" s="623"/>
      <c r="BS126" s="623"/>
      <c r="BT126" s="623"/>
      <c r="BU126" s="623"/>
      <c r="BV126" s="623"/>
      <c r="BW126" s="623"/>
      <c r="BX126" s="623"/>
      <c r="BY126" s="623"/>
      <c r="BZ126" s="623"/>
      <c r="CA126" s="623"/>
      <c r="CB126" s="1669"/>
      <c r="CC126" s="1669"/>
      <c r="CD126" s="1669"/>
      <c r="CE126" s="1669"/>
      <c r="CF126" s="1669"/>
      <c r="CG126" s="1669"/>
      <c r="CH126" s="1669"/>
      <c r="CI126" s="1669"/>
      <c r="CJ126" s="1669"/>
      <c r="CK126" s="1669"/>
      <c r="CL126" s="1669"/>
      <c r="CM126" s="1669"/>
      <c r="CN126" s="1669"/>
      <c r="CO126" s="1669"/>
      <c r="CP126" s="1669"/>
      <c r="CQ126" s="1669"/>
      <c r="CR126" s="1669"/>
      <c r="CS126" s="1669"/>
      <c r="CT126" s="1669"/>
      <c r="CU126" s="1669"/>
      <c r="CV126" s="1669"/>
      <c r="CW126" s="1669"/>
      <c r="CX126" s="1669"/>
      <c r="CY126" s="817"/>
      <c r="CZ126" s="1669"/>
      <c r="DA126" s="1669"/>
      <c r="DB126" s="1669"/>
      <c r="DC126" s="767"/>
      <c r="DD126" s="1669"/>
      <c r="DE126" s="1669"/>
      <c r="DF126" s="1669"/>
      <c r="DG126" s="1669"/>
      <c r="DH126" s="1669"/>
      <c r="DI126" s="1669"/>
      <c r="DJ126" s="1669"/>
      <c r="DK126" s="1669"/>
      <c r="DL126" s="1669"/>
      <c r="DM126" s="1669"/>
      <c r="DN126" s="1669"/>
      <c r="DO126" s="767"/>
      <c r="DP126" s="1669"/>
      <c r="DQ126" s="1669"/>
      <c r="DR126" s="767"/>
      <c r="DS126" s="767"/>
      <c r="DT126" s="767"/>
      <c r="DU126" s="767"/>
      <c r="DV126" s="1695"/>
      <c r="IR126" s="762"/>
      <c r="IS126" s="762"/>
      <c r="IT126" s="762"/>
      <c r="IU126" s="762"/>
      <c r="IV126" s="762"/>
    </row>
    <row r="127" spans="1:256" s="761" customFormat="1" ht="13.8" hidden="1">
      <c r="A127" s="1694"/>
      <c r="B127" s="765"/>
      <c r="C127" s="765"/>
      <c r="D127" s="765"/>
      <c r="E127" s="765"/>
      <c r="F127" s="765"/>
      <c r="G127" s="765"/>
      <c r="H127" s="765"/>
      <c r="I127" s="765"/>
      <c r="J127" s="765"/>
      <c r="K127" s="765"/>
      <c r="L127" s="765"/>
      <c r="M127" s="765"/>
      <c r="N127" s="765"/>
      <c r="O127" s="766"/>
      <c r="P127" s="766"/>
      <c r="Q127" s="766"/>
      <c r="R127" s="767"/>
      <c r="S127" s="767"/>
      <c r="T127" s="767"/>
      <c r="U127" s="767"/>
      <c r="V127" s="767"/>
      <c r="W127" s="767"/>
      <c r="X127" s="767"/>
      <c r="Y127" s="671"/>
      <c r="Z127" s="671"/>
      <c r="AA127" s="767"/>
      <c r="AB127" s="623"/>
      <c r="AC127" s="623"/>
      <c r="AD127" s="623"/>
      <c r="AE127" s="623"/>
      <c r="AF127" s="623"/>
      <c r="AG127" s="623"/>
      <c r="AH127" s="623"/>
      <c r="AI127" s="623"/>
      <c r="AJ127" s="623"/>
      <c r="AK127" s="623"/>
      <c r="AL127" s="623"/>
      <c r="AM127" s="623"/>
      <c r="AN127" s="623"/>
      <c r="AO127" s="623"/>
      <c r="AP127" s="623"/>
      <c r="AQ127" s="623"/>
      <c r="AR127" s="623"/>
      <c r="AS127" s="623"/>
      <c r="AT127" s="623"/>
      <c r="AU127" s="623"/>
      <c r="AV127" s="623"/>
      <c r="AW127" s="623"/>
      <c r="AX127" s="623"/>
      <c r="AY127" s="623"/>
      <c r="AZ127" s="623"/>
      <c r="BA127" s="623"/>
      <c r="BB127" s="623"/>
      <c r="BC127" s="623"/>
      <c r="BD127" s="623"/>
      <c r="BE127" s="623"/>
      <c r="BF127" s="623"/>
      <c r="BG127" s="623"/>
      <c r="BH127" s="623"/>
      <c r="BI127" s="623"/>
      <c r="BJ127" s="623"/>
      <c r="BK127" s="623"/>
      <c r="BL127" s="623"/>
      <c r="BM127" s="623"/>
      <c r="BN127" s="623"/>
      <c r="BO127" s="623"/>
      <c r="BP127" s="623"/>
      <c r="BQ127" s="623"/>
      <c r="BR127" s="623"/>
      <c r="BS127" s="623"/>
      <c r="BT127" s="623"/>
      <c r="BU127" s="623"/>
      <c r="BV127" s="623"/>
      <c r="BW127" s="623"/>
      <c r="BX127" s="623"/>
      <c r="BY127" s="623"/>
      <c r="BZ127" s="623"/>
      <c r="CA127" s="623"/>
      <c r="CB127" s="1669"/>
      <c r="CC127" s="1669"/>
      <c r="CD127" s="1669"/>
      <c r="CE127" s="1669"/>
      <c r="CF127" s="1669"/>
      <c r="CG127" s="1669"/>
      <c r="CH127" s="1669"/>
      <c r="CI127" s="1669"/>
      <c r="CJ127" s="1669"/>
      <c r="CK127" s="1669"/>
      <c r="CL127" s="1669"/>
      <c r="CM127" s="1669"/>
      <c r="CN127" s="1669"/>
      <c r="CO127" s="1669"/>
      <c r="CP127" s="1669"/>
      <c r="CQ127" s="1669"/>
      <c r="CR127" s="1669"/>
      <c r="CS127" s="1669"/>
      <c r="CT127" s="1669"/>
      <c r="CU127" s="1669"/>
      <c r="CV127" s="1669"/>
      <c r="CW127" s="1669"/>
      <c r="CX127" s="1669"/>
      <c r="CY127" s="817"/>
      <c r="CZ127" s="1669"/>
      <c r="DA127" s="1669"/>
      <c r="DB127" s="1669"/>
      <c r="DC127" s="767"/>
      <c r="DD127" s="1669"/>
      <c r="DE127" s="1669"/>
      <c r="DF127" s="1669"/>
      <c r="DG127" s="1669"/>
      <c r="DH127" s="1669"/>
      <c r="DI127" s="1669"/>
      <c r="DJ127" s="1669"/>
      <c r="DK127" s="1669"/>
      <c r="DL127" s="1669"/>
      <c r="DM127" s="1669"/>
      <c r="DN127" s="1669"/>
      <c r="DO127" s="767"/>
      <c r="DP127" s="1669"/>
      <c r="DQ127" s="1669"/>
      <c r="DR127" s="767"/>
      <c r="DS127" s="767"/>
      <c r="DT127" s="767"/>
      <c r="DU127" s="767"/>
      <c r="DV127" s="1695"/>
      <c r="IR127" s="762"/>
      <c r="IS127" s="762"/>
      <c r="IT127" s="762"/>
      <c r="IU127" s="762"/>
      <c r="IV127" s="762"/>
    </row>
    <row r="128" spans="1:256" s="761" customFormat="1" ht="13.8" hidden="1">
      <c r="A128" s="1694"/>
      <c r="B128" s="1696"/>
      <c r="C128" s="765"/>
      <c r="D128" s="765"/>
      <c r="E128" s="765"/>
      <c r="F128" s="765"/>
      <c r="G128" s="765"/>
      <c r="H128" s="765"/>
      <c r="I128" s="765"/>
      <c r="J128" s="765"/>
      <c r="K128" s="765"/>
      <c r="L128" s="765"/>
      <c r="M128" s="765"/>
      <c r="N128" s="765"/>
      <c r="O128" s="766"/>
      <c r="P128" s="766"/>
      <c r="Q128" s="766"/>
      <c r="R128" s="767"/>
      <c r="S128" s="767"/>
      <c r="T128" s="767"/>
      <c r="U128" s="767"/>
      <c r="V128" s="767"/>
      <c r="W128" s="767"/>
      <c r="X128" s="767"/>
      <c r="Y128" s="671"/>
      <c r="Z128" s="671"/>
      <c r="AA128" s="767"/>
      <c r="AB128" s="623"/>
      <c r="AC128" s="623"/>
      <c r="AD128" s="623"/>
      <c r="AE128" s="623"/>
      <c r="AF128" s="623"/>
      <c r="AG128" s="623"/>
      <c r="AH128" s="623"/>
      <c r="AI128" s="623"/>
      <c r="AJ128" s="623"/>
      <c r="AK128" s="623"/>
      <c r="AL128" s="623"/>
      <c r="AM128" s="623"/>
      <c r="AN128" s="623"/>
      <c r="AO128" s="623"/>
      <c r="AP128" s="623"/>
      <c r="AQ128" s="623"/>
      <c r="AR128" s="623"/>
      <c r="AS128" s="623"/>
      <c r="AT128" s="623"/>
      <c r="AU128" s="623"/>
      <c r="AV128" s="623"/>
      <c r="AW128" s="623"/>
      <c r="AX128" s="623"/>
      <c r="AY128" s="623"/>
      <c r="AZ128" s="623"/>
      <c r="BA128" s="623"/>
      <c r="BB128" s="623"/>
      <c r="BC128" s="623"/>
      <c r="BD128" s="623"/>
      <c r="BE128" s="623"/>
      <c r="BF128" s="623"/>
      <c r="BG128" s="623"/>
      <c r="BH128" s="623"/>
      <c r="BI128" s="623"/>
      <c r="BJ128" s="623"/>
      <c r="BK128" s="623"/>
      <c r="BL128" s="623"/>
      <c r="BM128" s="623"/>
      <c r="BN128" s="623"/>
      <c r="BO128" s="623"/>
      <c r="BP128" s="623"/>
      <c r="BQ128" s="623"/>
      <c r="BR128" s="623"/>
      <c r="BS128" s="623"/>
      <c r="BT128" s="623"/>
      <c r="BU128" s="623"/>
      <c r="BV128" s="623"/>
      <c r="BW128" s="623"/>
      <c r="BX128" s="623"/>
      <c r="BY128" s="623"/>
      <c r="BZ128" s="623"/>
      <c r="CA128" s="623"/>
      <c r="CB128" s="1669"/>
      <c r="CC128" s="1669"/>
      <c r="CD128" s="1669"/>
      <c r="CE128" s="1669"/>
      <c r="CF128" s="1669"/>
      <c r="CG128" s="1669"/>
      <c r="CH128" s="1669"/>
      <c r="CI128" s="1669"/>
      <c r="CJ128" s="1669"/>
      <c r="CK128" s="1669"/>
      <c r="CL128" s="1669"/>
      <c r="CM128" s="1669"/>
      <c r="CN128" s="1669"/>
      <c r="CO128" s="1669"/>
      <c r="CP128" s="1669"/>
      <c r="CQ128" s="1669"/>
      <c r="CR128" s="1669"/>
      <c r="CS128" s="1669"/>
      <c r="CT128" s="1669"/>
      <c r="CU128" s="1669"/>
      <c r="CV128" s="1669"/>
      <c r="CW128" s="1669"/>
      <c r="CX128" s="1669"/>
      <c r="CY128" s="817"/>
      <c r="CZ128" s="1669"/>
      <c r="DA128" s="1669"/>
      <c r="DB128" s="1669"/>
      <c r="DC128" s="767"/>
      <c r="DD128" s="1669"/>
      <c r="DE128" s="1669"/>
      <c r="DF128" s="1669"/>
      <c r="DG128" s="1669"/>
      <c r="DH128" s="1669"/>
      <c r="DI128" s="1669"/>
      <c r="DJ128" s="1669"/>
      <c r="DK128" s="1669"/>
      <c r="DL128" s="1669"/>
      <c r="DM128" s="1669"/>
      <c r="DN128" s="1669"/>
      <c r="DO128" s="767"/>
      <c r="DP128" s="1669"/>
      <c r="DQ128" s="1669"/>
      <c r="DR128" s="767"/>
      <c r="DS128" s="767"/>
      <c r="DT128" s="767"/>
      <c r="DU128" s="767"/>
      <c r="DV128" s="1695"/>
      <c r="IR128" s="762"/>
      <c r="IS128" s="762"/>
      <c r="IT128" s="762"/>
      <c r="IU128" s="762"/>
      <c r="IV128" s="762"/>
    </row>
    <row r="129" spans="1:256" s="761" customFormat="1" ht="13.8" hidden="1">
      <c r="A129" s="1694"/>
      <c r="B129" s="765"/>
      <c r="C129" s="765"/>
      <c r="D129" s="765"/>
      <c r="E129" s="765"/>
      <c r="F129" s="765"/>
      <c r="G129" s="765"/>
      <c r="H129" s="765"/>
      <c r="I129" s="765"/>
      <c r="J129" s="765"/>
      <c r="K129" s="765"/>
      <c r="L129" s="765"/>
      <c r="M129" s="765"/>
      <c r="N129" s="765"/>
      <c r="O129" s="766"/>
      <c r="P129" s="766"/>
      <c r="Q129" s="766"/>
      <c r="R129" s="767"/>
      <c r="S129" s="767"/>
      <c r="T129" s="767"/>
      <c r="U129" s="767"/>
      <c r="V129" s="767"/>
      <c r="W129" s="767"/>
      <c r="X129" s="767"/>
      <c r="Y129" s="671"/>
      <c r="Z129" s="671"/>
      <c r="AA129" s="767"/>
      <c r="AB129" s="623"/>
      <c r="AC129" s="623"/>
      <c r="AD129" s="623"/>
      <c r="AE129" s="623"/>
      <c r="AF129" s="623"/>
      <c r="AG129" s="623"/>
      <c r="AH129" s="623"/>
      <c r="AI129" s="623"/>
      <c r="AJ129" s="623"/>
      <c r="AK129" s="623"/>
      <c r="AL129" s="623"/>
      <c r="AM129" s="623"/>
      <c r="AN129" s="623"/>
      <c r="AO129" s="623"/>
      <c r="AP129" s="623"/>
      <c r="AQ129" s="623"/>
      <c r="AR129" s="623"/>
      <c r="AS129" s="623"/>
      <c r="AT129" s="623"/>
      <c r="AU129" s="623"/>
      <c r="AV129" s="623"/>
      <c r="AW129" s="623"/>
      <c r="AX129" s="623"/>
      <c r="AY129" s="623"/>
      <c r="AZ129" s="623"/>
      <c r="BA129" s="623"/>
      <c r="BB129" s="623"/>
      <c r="BC129" s="623"/>
      <c r="BD129" s="623"/>
      <c r="BE129" s="623"/>
      <c r="BF129" s="623"/>
      <c r="BG129" s="623"/>
      <c r="BH129" s="623"/>
      <c r="BI129" s="623"/>
      <c r="BJ129" s="623"/>
      <c r="BK129" s="623"/>
      <c r="BL129" s="623"/>
      <c r="BM129" s="623"/>
      <c r="BN129" s="623"/>
      <c r="BO129" s="623"/>
      <c r="BP129" s="623"/>
      <c r="BQ129" s="623"/>
      <c r="BR129" s="623"/>
      <c r="BS129" s="623"/>
      <c r="BT129" s="623"/>
      <c r="BU129" s="623"/>
      <c r="BV129" s="623"/>
      <c r="BW129" s="623"/>
      <c r="BX129" s="623"/>
      <c r="BY129" s="623"/>
      <c r="BZ129" s="623"/>
      <c r="CA129" s="623"/>
      <c r="CB129" s="1669"/>
      <c r="CC129" s="1669"/>
      <c r="CD129" s="1669"/>
      <c r="CE129" s="1669"/>
      <c r="CF129" s="1669"/>
      <c r="CG129" s="1669"/>
      <c r="CH129" s="1669"/>
      <c r="CI129" s="1669"/>
      <c r="CJ129" s="1669"/>
      <c r="CK129" s="1669"/>
      <c r="CL129" s="1669"/>
      <c r="CM129" s="1669"/>
      <c r="CN129" s="1669"/>
      <c r="CO129" s="1669"/>
      <c r="CP129" s="1669"/>
      <c r="CQ129" s="1669"/>
      <c r="CR129" s="1669"/>
      <c r="CS129" s="1669"/>
      <c r="CT129" s="1669"/>
      <c r="CU129" s="1669"/>
      <c r="CV129" s="1669"/>
      <c r="CW129" s="1669"/>
      <c r="CX129" s="1669"/>
      <c r="CY129" s="817"/>
      <c r="CZ129" s="1669"/>
      <c r="DA129" s="1669"/>
      <c r="DB129" s="1669"/>
      <c r="DC129" s="767"/>
      <c r="DD129" s="1669"/>
      <c r="DE129" s="1669"/>
      <c r="DF129" s="1669"/>
      <c r="DG129" s="1669"/>
      <c r="DH129" s="1669"/>
      <c r="DI129" s="1669"/>
      <c r="DJ129" s="1669"/>
      <c r="DK129" s="1669"/>
      <c r="DL129" s="1669"/>
      <c r="DM129" s="1669"/>
      <c r="DN129" s="1669"/>
      <c r="DO129" s="767"/>
      <c r="DP129" s="1669"/>
      <c r="DQ129" s="1669"/>
      <c r="DR129" s="767"/>
      <c r="DS129" s="767"/>
      <c r="DT129" s="767"/>
      <c r="DU129" s="767"/>
      <c r="DV129" s="1695"/>
      <c r="IR129" s="762"/>
      <c r="IS129" s="762"/>
      <c r="IT129" s="762"/>
      <c r="IU129" s="762"/>
      <c r="IV129" s="762"/>
    </row>
    <row r="130" spans="1:256" s="761" customFormat="1" ht="13.8" hidden="1">
      <c r="A130" s="1694"/>
      <c r="B130" s="765"/>
      <c r="C130" s="765"/>
      <c r="D130" s="765"/>
      <c r="E130" s="765"/>
      <c r="F130" s="765"/>
      <c r="G130" s="765"/>
      <c r="H130" s="765"/>
      <c r="I130" s="765"/>
      <c r="J130" s="765"/>
      <c r="K130" s="765"/>
      <c r="L130" s="765"/>
      <c r="M130" s="765"/>
      <c r="N130" s="765"/>
      <c r="O130" s="766"/>
      <c r="P130" s="766"/>
      <c r="Q130" s="766"/>
      <c r="R130" s="767"/>
      <c r="S130" s="767"/>
      <c r="T130" s="767"/>
      <c r="U130" s="767"/>
      <c r="V130" s="767"/>
      <c r="W130" s="767"/>
      <c r="X130" s="767"/>
      <c r="Y130" s="671"/>
      <c r="Z130" s="671"/>
      <c r="AA130" s="767"/>
      <c r="AB130" s="623"/>
      <c r="AC130" s="623"/>
      <c r="AD130" s="623"/>
      <c r="AE130" s="623"/>
      <c r="AF130" s="623"/>
      <c r="AG130" s="623"/>
      <c r="AH130" s="623"/>
      <c r="AI130" s="623"/>
      <c r="AJ130" s="623"/>
      <c r="AK130" s="623"/>
      <c r="AL130" s="623"/>
      <c r="AM130" s="623"/>
      <c r="AN130" s="623"/>
      <c r="AO130" s="623"/>
      <c r="AP130" s="623"/>
      <c r="AQ130" s="623"/>
      <c r="AR130" s="623"/>
      <c r="AS130" s="623"/>
      <c r="AT130" s="623"/>
      <c r="AU130" s="623"/>
      <c r="AV130" s="623"/>
      <c r="AW130" s="623"/>
      <c r="AX130" s="623"/>
      <c r="AY130" s="623"/>
      <c r="AZ130" s="623"/>
      <c r="BA130" s="623"/>
      <c r="BB130" s="623"/>
      <c r="BC130" s="623"/>
      <c r="BD130" s="623"/>
      <c r="BE130" s="623"/>
      <c r="BF130" s="623"/>
      <c r="BG130" s="623"/>
      <c r="BH130" s="623"/>
      <c r="BI130" s="623"/>
      <c r="BJ130" s="623"/>
      <c r="BK130" s="623"/>
      <c r="BL130" s="623"/>
      <c r="BM130" s="623"/>
      <c r="BN130" s="623"/>
      <c r="BO130" s="623"/>
      <c r="BP130" s="623"/>
      <c r="BQ130" s="623"/>
      <c r="BR130" s="623"/>
      <c r="BS130" s="623"/>
      <c r="BT130" s="623"/>
      <c r="BU130" s="623"/>
      <c r="BV130" s="623"/>
      <c r="BW130" s="623"/>
      <c r="BX130" s="623"/>
      <c r="BY130" s="623"/>
      <c r="BZ130" s="623"/>
      <c r="CA130" s="623"/>
      <c r="CB130" s="1669"/>
      <c r="CC130" s="1669"/>
      <c r="CD130" s="1669"/>
      <c r="CE130" s="1669"/>
      <c r="CF130" s="1669"/>
      <c r="CG130" s="1669"/>
      <c r="CH130" s="1669"/>
      <c r="CI130" s="1669"/>
      <c r="CJ130" s="1669"/>
      <c r="CK130" s="1669"/>
      <c r="CL130" s="1669"/>
      <c r="CM130" s="1669"/>
      <c r="CN130" s="1669"/>
      <c r="CO130" s="1669"/>
      <c r="CP130" s="1669"/>
      <c r="CQ130" s="1669"/>
      <c r="CR130" s="1669"/>
      <c r="CS130" s="1669"/>
      <c r="CT130" s="1669"/>
      <c r="CU130" s="1669"/>
      <c r="CV130" s="1669"/>
      <c r="CW130" s="1669"/>
      <c r="CX130" s="1669"/>
      <c r="CY130" s="817"/>
      <c r="CZ130" s="1669"/>
      <c r="DA130" s="1669"/>
      <c r="DB130" s="1669"/>
      <c r="DC130" s="767"/>
      <c r="DD130" s="1669"/>
      <c r="DE130" s="1669"/>
      <c r="DF130" s="1669"/>
      <c r="DG130" s="1669"/>
      <c r="DH130" s="1669"/>
      <c r="DI130" s="1669"/>
      <c r="DJ130" s="1669"/>
      <c r="DK130" s="1669"/>
      <c r="DL130" s="1669"/>
      <c r="DM130" s="1669"/>
      <c r="DN130" s="1669"/>
      <c r="DO130" s="767"/>
      <c r="DP130" s="1669"/>
      <c r="DQ130" s="1669"/>
      <c r="DR130" s="767"/>
      <c r="DS130" s="767"/>
      <c r="DT130" s="767"/>
      <c r="DU130" s="767"/>
      <c r="DV130" s="1695"/>
      <c r="IR130" s="762"/>
      <c r="IS130" s="762"/>
      <c r="IT130" s="762"/>
      <c r="IU130" s="762"/>
      <c r="IV130" s="762"/>
    </row>
    <row r="131" spans="1:256" s="763" customFormat="1" ht="13.8" hidden="1">
      <c r="A131" s="1697"/>
      <c r="B131" s="1698"/>
      <c r="C131" s="1698"/>
      <c r="D131" s="1698"/>
      <c r="E131" s="1698"/>
      <c r="F131" s="1698"/>
      <c r="G131" s="1698"/>
      <c r="H131" s="1698"/>
      <c r="I131" s="1698"/>
      <c r="J131" s="1698"/>
      <c r="K131" s="1698"/>
      <c r="L131" s="1698"/>
      <c r="M131" s="1698"/>
      <c r="N131" s="1698"/>
      <c r="O131" s="1699"/>
      <c r="P131" s="1699"/>
      <c r="Q131" s="1699"/>
      <c r="R131" s="1692"/>
      <c r="S131" s="1692"/>
      <c r="T131" s="1692"/>
      <c r="U131" s="1692"/>
      <c r="V131" s="1692"/>
      <c r="W131" s="1692"/>
      <c r="X131" s="1692"/>
      <c r="Y131" s="758"/>
      <c r="Z131" s="758"/>
      <c r="AA131" s="1692"/>
      <c r="AB131" s="759"/>
      <c r="AC131" s="759"/>
      <c r="AD131" s="759"/>
      <c r="AE131" s="759"/>
      <c r="AF131" s="759"/>
      <c r="AG131" s="759"/>
      <c r="AH131" s="759"/>
      <c r="AI131" s="759"/>
      <c r="AJ131" s="759"/>
      <c r="AK131" s="759"/>
      <c r="AL131" s="759"/>
      <c r="AM131" s="759"/>
      <c r="AN131" s="759"/>
      <c r="AO131" s="759"/>
      <c r="AP131" s="759"/>
      <c r="AQ131" s="759"/>
      <c r="AR131" s="759"/>
      <c r="AS131" s="759"/>
      <c r="AT131" s="759"/>
      <c r="AU131" s="759"/>
      <c r="AV131" s="759"/>
      <c r="AW131" s="759"/>
      <c r="AX131" s="759"/>
      <c r="AY131" s="759"/>
      <c r="AZ131" s="759"/>
      <c r="BA131" s="759"/>
      <c r="BB131" s="759"/>
      <c r="BC131" s="759"/>
      <c r="BD131" s="759"/>
      <c r="BE131" s="759"/>
      <c r="BF131" s="759"/>
      <c r="BG131" s="759"/>
      <c r="BH131" s="759"/>
      <c r="BI131" s="759"/>
      <c r="BJ131" s="759"/>
      <c r="BK131" s="759"/>
      <c r="BL131" s="759"/>
      <c r="BM131" s="759"/>
      <c r="BN131" s="759"/>
      <c r="BO131" s="759"/>
      <c r="BP131" s="759"/>
      <c r="BQ131" s="759"/>
      <c r="BR131" s="759"/>
      <c r="BS131" s="759"/>
      <c r="BT131" s="759"/>
      <c r="BU131" s="759"/>
      <c r="BV131" s="759"/>
      <c r="BW131" s="759"/>
      <c r="BX131" s="759"/>
      <c r="BY131" s="759"/>
      <c r="BZ131" s="759"/>
      <c r="CA131" s="759"/>
      <c r="CB131" s="1693"/>
      <c r="CC131" s="1693"/>
      <c r="CD131" s="1693"/>
      <c r="CE131" s="1669"/>
      <c r="CF131" s="1693"/>
      <c r="CG131" s="1693"/>
      <c r="CH131" s="1693"/>
      <c r="CI131" s="1693"/>
      <c r="CJ131" s="1693"/>
      <c r="CK131" s="1693"/>
      <c r="CL131" s="1693"/>
      <c r="CM131" s="1693"/>
      <c r="CN131" s="1693"/>
      <c r="CO131" s="1693"/>
      <c r="CP131" s="1693"/>
      <c r="CQ131" s="1693"/>
      <c r="CR131" s="1693"/>
      <c r="CS131" s="1693"/>
      <c r="CT131" s="1693"/>
      <c r="CU131" s="1693"/>
      <c r="CV131" s="1693"/>
      <c r="CW131" s="1693"/>
      <c r="CX131" s="1693"/>
      <c r="CY131" s="818"/>
      <c r="CZ131" s="1693"/>
      <c r="DA131" s="1693"/>
      <c r="DB131" s="1693"/>
      <c r="DC131" s="1692"/>
      <c r="DD131" s="1693"/>
      <c r="DE131" s="1693"/>
      <c r="DF131" s="1693"/>
      <c r="DG131" s="1693"/>
      <c r="DH131" s="1693"/>
      <c r="DI131" s="1693"/>
      <c r="DJ131" s="1693"/>
      <c r="DK131" s="1693"/>
      <c r="DL131" s="1693"/>
      <c r="DM131" s="1693"/>
      <c r="DN131" s="1693"/>
      <c r="DO131" s="1692"/>
      <c r="DP131" s="1693"/>
      <c r="DQ131" s="1693"/>
      <c r="DR131" s="1692"/>
      <c r="DS131" s="1692"/>
      <c r="DT131" s="1692"/>
      <c r="DU131" s="1692"/>
      <c r="DV131" s="1700"/>
      <c r="IR131" s="764"/>
      <c r="IS131" s="764"/>
      <c r="IT131" s="764"/>
      <c r="IU131" s="764"/>
      <c r="IV131" s="764"/>
    </row>
    <row r="132" spans="1:256" s="761" customFormat="1" ht="13.8" hidden="1">
      <c r="A132" s="1694"/>
      <c r="B132" s="765"/>
      <c r="C132" s="765"/>
      <c r="D132" s="765"/>
      <c r="E132" s="765"/>
      <c r="F132" s="765"/>
      <c r="G132" s="765"/>
      <c r="H132" s="765"/>
      <c r="I132" s="765"/>
      <c r="J132" s="765"/>
      <c r="K132" s="765"/>
      <c r="L132" s="765"/>
      <c r="M132" s="765"/>
      <c r="N132" s="765"/>
      <c r="O132" s="766"/>
      <c r="P132" s="766"/>
      <c r="Q132" s="766"/>
      <c r="R132" s="767"/>
      <c r="S132" s="767"/>
      <c r="T132" s="767"/>
      <c r="U132" s="767"/>
      <c r="V132" s="767"/>
      <c r="W132" s="767"/>
      <c r="X132" s="767"/>
      <c r="Y132" s="671"/>
      <c r="Z132" s="671"/>
      <c r="AA132" s="767"/>
      <c r="AB132" s="623"/>
      <c r="AC132" s="623"/>
      <c r="AD132" s="623"/>
      <c r="AE132" s="623"/>
      <c r="AF132" s="623"/>
      <c r="AG132" s="623"/>
      <c r="AH132" s="623"/>
      <c r="AI132" s="623"/>
      <c r="AJ132" s="623"/>
      <c r="AK132" s="623"/>
      <c r="AL132" s="623"/>
      <c r="AM132" s="623"/>
      <c r="AN132" s="623"/>
      <c r="AO132" s="623"/>
      <c r="AP132" s="623"/>
      <c r="AQ132" s="623"/>
      <c r="AR132" s="623"/>
      <c r="AS132" s="623"/>
      <c r="AT132" s="623"/>
      <c r="AU132" s="623"/>
      <c r="AV132" s="623"/>
      <c r="AW132" s="623"/>
      <c r="AX132" s="623"/>
      <c r="AY132" s="623"/>
      <c r="AZ132" s="623"/>
      <c r="BA132" s="623"/>
      <c r="BB132" s="623"/>
      <c r="BC132" s="623"/>
      <c r="BD132" s="623"/>
      <c r="BE132" s="623"/>
      <c r="BF132" s="623"/>
      <c r="BG132" s="623"/>
      <c r="BH132" s="623"/>
      <c r="BI132" s="623"/>
      <c r="BJ132" s="623"/>
      <c r="BK132" s="623"/>
      <c r="BL132" s="623"/>
      <c r="BM132" s="623"/>
      <c r="BN132" s="623"/>
      <c r="BO132" s="623"/>
      <c r="BP132" s="623"/>
      <c r="BQ132" s="623"/>
      <c r="BR132" s="623"/>
      <c r="BS132" s="623"/>
      <c r="BT132" s="623"/>
      <c r="BU132" s="623"/>
      <c r="BV132" s="623"/>
      <c r="BW132" s="623"/>
      <c r="BX132" s="623"/>
      <c r="BY132" s="623"/>
      <c r="BZ132" s="623"/>
      <c r="CA132" s="623"/>
      <c r="CB132" s="1669"/>
      <c r="CC132" s="1669"/>
      <c r="CD132" s="1669"/>
      <c r="CE132" s="1669"/>
      <c r="CF132" s="1669"/>
      <c r="CG132" s="1669"/>
      <c r="CH132" s="1669"/>
      <c r="CI132" s="1669"/>
      <c r="CJ132" s="1669"/>
      <c r="CK132" s="1669"/>
      <c r="CL132" s="1669"/>
      <c r="CM132" s="1669"/>
      <c r="CN132" s="1669"/>
      <c r="CO132" s="1669"/>
      <c r="CP132" s="1669"/>
      <c r="CQ132" s="1669"/>
      <c r="CR132" s="1669"/>
      <c r="CS132" s="1669"/>
      <c r="CT132" s="1669"/>
      <c r="CU132" s="1669"/>
      <c r="CV132" s="1669"/>
      <c r="CW132" s="1669"/>
      <c r="CX132" s="1669"/>
      <c r="CY132" s="817"/>
      <c r="CZ132" s="1669"/>
      <c r="DA132" s="1669"/>
      <c r="DB132" s="1669"/>
      <c r="DC132" s="767"/>
      <c r="DD132" s="1669"/>
      <c r="DE132" s="1669"/>
      <c r="DF132" s="1669"/>
      <c r="DG132" s="1669"/>
      <c r="DH132" s="1669"/>
      <c r="DI132" s="1669"/>
      <c r="DJ132" s="1669"/>
      <c r="DK132" s="1669"/>
      <c r="DL132" s="1669"/>
      <c r="DM132" s="1669"/>
      <c r="DN132" s="1669"/>
      <c r="DO132" s="767"/>
      <c r="DP132" s="1669"/>
      <c r="DQ132" s="1669"/>
      <c r="DR132" s="767"/>
      <c r="DS132" s="767"/>
      <c r="DT132" s="767"/>
      <c r="DU132" s="767"/>
      <c r="DV132" s="1695"/>
      <c r="IR132" s="762"/>
      <c r="IS132" s="762"/>
      <c r="IT132" s="762"/>
      <c r="IU132" s="762"/>
      <c r="IV132" s="762"/>
    </row>
    <row r="133" spans="1:256" s="761" customFormat="1" ht="13.8" hidden="1">
      <c r="A133" s="1694"/>
      <c r="B133" s="765"/>
      <c r="C133" s="765"/>
      <c r="D133" s="765"/>
      <c r="E133" s="765"/>
      <c r="F133" s="765"/>
      <c r="G133" s="765"/>
      <c r="H133" s="765"/>
      <c r="I133" s="765"/>
      <c r="J133" s="765"/>
      <c r="K133" s="765"/>
      <c r="L133" s="765"/>
      <c r="M133" s="765"/>
      <c r="N133" s="765"/>
      <c r="O133" s="766"/>
      <c r="P133" s="766"/>
      <c r="Q133" s="766"/>
      <c r="R133" s="767"/>
      <c r="S133" s="767"/>
      <c r="T133" s="767"/>
      <c r="U133" s="767"/>
      <c r="V133" s="767"/>
      <c r="W133" s="767"/>
      <c r="X133" s="767"/>
      <c r="Y133" s="671"/>
      <c r="Z133" s="671"/>
      <c r="AA133" s="767"/>
      <c r="AB133" s="623"/>
      <c r="AC133" s="623"/>
      <c r="AD133" s="623"/>
      <c r="AE133" s="623"/>
      <c r="AF133" s="623"/>
      <c r="AG133" s="623"/>
      <c r="AH133" s="623"/>
      <c r="AI133" s="623"/>
      <c r="AJ133" s="623"/>
      <c r="AK133" s="623"/>
      <c r="AL133" s="623"/>
      <c r="AM133" s="623"/>
      <c r="AN133" s="623"/>
      <c r="AO133" s="623"/>
      <c r="AP133" s="623"/>
      <c r="AQ133" s="623"/>
      <c r="AR133" s="623"/>
      <c r="AS133" s="623"/>
      <c r="AT133" s="623"/>
      <c r="AU133" s="623"/>
      <c r="AV133" s="623"/>
      <c r="AW133" s="623"/>
      <c r="AX133" s="623"/>
      <c r="AY133" s="623"/>
      <c r="AZ133" s="623"/>
      <c r="BA133" s="623"/>
      <c r="BB133" s="623"/>
      <c r="BC133" s="623"/>
      <c r="BD133" s="623"/>
      <c r="BE133" s="623"/>
      <c r="BF133" s="623"/>
      <c r="BG133" s="623"/>
      <c r="BH133" s="623"/>
      <c r="BI133" s="623"/>
      <c r="BJ133" s="623"/>
      <c r="BK133" s="623"/>
      <c r="BL133" s="623"/>
      <c r="BM133" s="623"/>
      <c r="BN133" s="623"/>
      <c r="BO133" s="623"/>
      <c r="BP133" s="623"/>
      <c r="BQ133" s="623"/>
      <c r="BR133" s="623"/>
      <c r="BS133" s="623"/>
      <c r="BT133" s="623"/>
      <c r="BU133" s="623"/>
      <c r="BV133" s="623"/>
      <c r="BW133" s="623"/>
      <c r="BX133" s="623"/>
      <c r="BY133" s="623"/>
      <c r="BZ133" s="623"/>
      <c r="CA133" s="623"/>
      <c r="CB133" s="1669"/>
      <c r="CC133" s="1669"/>
      <c r="CD133" s="1669"/>
      <c r="CE133" s="1669"/>
      <c r="CF133" s="1669"/>
      <c r="CG133" s="1669"/>
      <c r="CH133" s="1669"/>
      <c r="CI133" s="1669"/>
      <c r="CJ133" s="1669"/>
      <c r="CK133" s="1669"/>
      <c r="CL133" s="1669"/>
      <c r="CM133" s="1669"/>
      <c r="CN133" s="1669"/>
      <c r="CO133" s="1669"/>
      <c r="CP133" s="1669"/>
      <c r="CQ133" s="1669"/>
      <c r="CR133" s="1669"/>
      <c r="CS133" s="1669"/>
      <c r="CT133" s="1669"/>
      <c r="CU133" s="1669"/>
      <c r="CV133" s="1669"/>
      <c r="CW133" s="1669"/>
      <c r="CX133" s="1669"/>
      <c r="CY133" s="817"/>
      <c r="CZ133" s="1669"/>
      <c r="DA133" s="1669"/>
      <c r="DB133" s="1669"/>
      <c r="DC133" s="767"/>
      <c r="DD133" s="1669"/>
      <c r="DE133" s="1669"/>
      <c r="DF133" s="1669"/>
      <c r="DG133" s="1669"/>
      <c r="DH133" s="1669"/>
      <c r="DI133" s="1669"/>
      <c r="DJ133" s="1669"/>
      <c r="DK133" s="1669"/>
      <c r="DL133" s="1669"/>
      <c r="DM133" s="1669"/>
      <c r="DN133" s="1669"/>
      <c r="DO133" s="767"/>
      <c r="DP133" s="1669"/>
      <c r="DQ133" s="1669"/>
      <c r="DR133" s="767"/>
      <c r="DS133" s="767"/>
      <c r="DT133" s="767"/>
      <c r="DU133" s="767"/>
      <c r="DV133" s="1695"/>
      <c r="IR133" s="762"/>
      <c r="IS133" s="762"/>
      <c r="IT133" s="762"/>
      <c r="IU133" s="762"/>
      <c r="IV133" s="762"/>
    </row>
    <row r="134" spans="1:256" s="761" customFormat="1" ht="13.8" hidden="1">
      <c r="A134" s="1694"/>
      <c r="B134" s="765"/>
      <c r="C134" s="765"/>
      <c r="D134" s="765"/>
      <c r="E134" s="765"/>
      <c r="F134" s="765"/>
      <c r="G134" s="765"/>
      <c r="H134" s="765"/>
      <c r="I134" s="765"/>
      <c r="J134" s="765"/>
      <c r="K134" s="765"/>
      <c r="L134" s="765"/>
      <c r="M134" s="765"/>
      <c r="N134" s="765"/>
      <c r="O134" s="766"/>
      <c r="P134" s="766"/>
      <c r="Q134" s="766"/>
      <c r="R134" s="767"/>
      <c r="S134" s="767"/>
      <c r="T134" s="767"/>
      <c r="U134" s="767"/>
      <c r="V134" s="767"/>
      <c r="W134" s="767"/>
      <c r="X134" s="767"/>
      <c r="Y134" s="671"/>
      <c r="Z134" s="671"/>
      <c r="AA134" s="767"/>
      <c r="AB134" s="623"/>
      <c r="AC134" s="623"/>
      <c r="AD134" s="623"/>
      <c r="AE134" s="623"/>
      <c r="AF134" s="623"/>
      <c r="AG134" s="623"/>
      <c r="AH134" s="623"/>
      <c r="AI134" s="623"/>
      <c r="AJ134" s="623"/>
      <c r="AK134" s="623"/>
      <c r="AL134" s="623"/>
      <c r="AM134" s="623"/>
      <c r="AN134" s="623"/>
      <c r="AO134" s="623"/>
      <c r="AP134" s="623"/>
      <c r="AQ134" s="623"/>
      <c r="AR134" s="623"/>
      <c r="AS134" s="623"/>
      <c r="AT134" s="623"/>
      <c r="AU134" s="623"/>
      <c r="AV134" s="623"/>
      <c r="AW134" s="623"/>
      <c r="AX134" s="623"/>
      <c r="AY134" s="623"/>
      <c r="AZ134" s="623"/>
      <c r="BA134" s="623"/>
      <c r="BB134" s="623"/>
      <c r="BC134" s="623"/>
      <c r="BD134" s="623"/>
      <c r="BE134" s="623"/>
      <c r="BF134" s="623"/>
      <c r="BG134" s="623"/>
      <c r="BH134" s="623"/>
      <c r="BI134" s="623"/>
      <c r="BJ134" s="623"/>
      <c r="BK134" s="623"/>
      <c r="BL134" s="623"/>
      <c r="BM134" s="623"/>
      <c r="BN134" s="623"/>
      <c r="BO134" s="623"/>
      <c r="BP134" s="623"/>
      <c r="BQ134" s="623"/>
      <c r="BR134" s="623"/>
      <c r="BS134" s="623"/>
      <c r="BT134" s="623"/>
      <c r="BU134" s="623"/>
      <c r="BV134" s="623"/>
      <c r="BW134" s="623"/>
      <c r="BX134" s="623"/>
      <c r="BY134" s="623"/>
      <c r="BZ134" s="623"/>
      <c r="CA134" s="623"/>
      <c r="CB134" s="1669"/>
      <c r="CC134" s="1669"/>
      <c r="CD134" s="1669"/>
      <c r="CE134" s="1669"/>
      <c r="CF134" s="1669"/>
      <c r="CG134" s="1669"/>
      <c r="CH134" s="1669"/>
      <c r="CI134" s="1669"/>
      <c r="CJ134" s="1669"/>
      <c r="CK134" s="1669"/>
      <c r="CL134" s="1669"/>
      <c r="CM134" s="1669"/>
      <c r="CN134" s="1669"/>
      <c r="CO134" s="1669"/>
      <c r="CP134" s="1669"/>
      <c r="CQ134" s="1669"/>
      <c r="CR134" s="1669"/>
      <c r="CS134" s="1669"/>
      <c r="CT134" s="1669"/>
      <c r="CU134" s="1669"/>
      <c r="CV134" s="1669"/>
      <c r="CW134" s="1669"/>
      <c r="CX134" s="1669"/>
      <c r="CY134" s="817"/>
      <c r="CZ134" s="1669"/>
      <c r="DA134" s="1669"/>
      <c r="DB134" s="1669"/>
      <c r="DC134" s="767"/>
      <c r="DD134" s="1669"/>
      <c r="DE134" s="1669"/>
      <c r="DF134" s="1669"/>
      <c r="DG134" s="1669"/>
      <c r="DH134" s="1669"/>
      <c r="DI134" s="1669"/>
      <c r="DJ134" s="1669"/>
      <c r="DK134" s="1669"/>
      <c r="DL134" s="1669"/>
      <c r="DM134" s="1669"/>
      <c r="DN134" s="1669"/>
      <c r="DO134" s="767"/>
      <c r="DP134" s="1669"/>
      <c r="DQ134" s="1669"/>
      <c r="DR134" s="767"/>
      <c r="DS134" s="767"/>
      <c r="DT134" s="767"/>
      <c r="DU134" s="767"/>
      <c r="DV134" s="1695"/>
      <c r="IR134" s="762"/>
      <c r="IS134" s="762"/>
      <c r="IT134" s="762"/>
      <c r="IU134" s="762"/>
      <c r="IV134" s="762"/>
    </row>
    <row r="135" spans="1:256" s="761" customFormat="1" ht="13.8" hidden="1">
      <c r="A135" s="1694"/>
      <c r="B135" s="765"/>
      <c r="C135" s="765"/>
      <c r="D135" s="765"/>
      <c r="E135" s="765"/>
      <c r="F135" s="765"/>
      <c r="G135" s="765"/>
      <c r="H135" s="765"/>
      <c r="I135" s="765"/>
      <c r="J135" s="765"/>
      <c r="K135" s="765"/>
      <c r="L135" s="765"/>
      <c r="M135" s="765"/>
      <c r="N135" s="765"/>
      <c r="O135" s="766"/>
      <c r="P135" s="766"/>
      <c r="Q135" s="766"/>
      <c r="R135" s="767"/>
      <c r="S135" s="767"/>
      <c r="T135" s="767"/>
      <c r="U135" s="767"/>
      <c r="V135" s="767"/>
      <c r="W135" s="767"/>
      <c r="X135" s="767"/>
      <c r="Y135" s="671"/>
      <c r="Z135" s="671"/>
      <c r="AA135" s="767"/>
      <c r="AB135" s="623"/>
      <c r="AC135" s="623"/>
      <c r="AD135" s="623"/>
      <c r="AE135" s="623"/>
      <c r="AF135" s="623"/>
      <c r="AG135" s="623"/>
      <c r="AH135" s="623"/>
      <c r="AI135" s="623"/>
      <c r="AJ135" s="623"/>
      <c r="AK135" s="623"/>
      <c r="AL135" s="623"/>
      <c r="AM135" s="623"/>
      <c r="AN135" s="623"/>
      <c r="AO135" s="623"/>
      <c r="AP135" s="623"/>
      <c r="AQ135" s="623"/>
      <c r="AR135" s="623"/>
      <c r="AS135" s="623"/>
      <c r="AT135" s="623"/>
      <c r="AU135" s="623"/>
      <c r="AV135" s="623"/>
      <c r="AW135" s="623"/>
      <c r="AX135" s="623"/>
      <c r="AY135" s="623"/>
      <c r="AZ135" s="623"/>
      <c r="BA135" s="623"/>
      <c r="BB135" s="623"/>
      <c r="BC135" s="623"/>
      <c r="BD135" s="623"/>
      <c r="BE135" s="623"/>
      <c r="BF135" s="623"/>
      <c r="BG135" s="623"/>
      <c r="BH135" s="623"/>
      <c r="BI135" s="623"/>
      <c r="BJ135" s="623"/>
      <c r="BK135" s="623"/>
      <c r="BL135" s="623"/>
      <c r="BM135" s="623"/>
      <c r="BN135" s="623"/>
      <c r="BO135" s="623"/>
      <c r="BP135" s="623"/>
      <c r="BQ135" s="623"/>
      <c r="BR135" s="623"/>
      <c r="BS135" s="623"/>
      <c r="BT135" s="623"/>
      <c r="BU135" s="623"/>
      <c r="BV135" s="623"/>
      <c r="BW135" s="623"/>
      <c r="BX135" s="623"/>
      <c r="BY135" s="623"/>
      <c r="BZ135" s="623"/>
      <c r="CA135" s="623"/>
      <c r="CB135" s="1669"/>
      <c r="CC135" s="1669"/>
      <c r="CD135" s="1669"/>
      <c r="CE135" s="1669"/>
      <c r="CF135" s="1669"/>
      <c r="CG135" s="1669"/>
      <c r="CH135" s="1669"/>
      <c r="CI135" s="1669"/>
      <c r="CJ135" s="1669"/>
      <c r="CK135" s="1669"/>
      <c r="CL135" s="1669"/>
      <c r="CM135" s="1669"/>
      <c r="CN135" s="1669"/>
      <c r="CO135" s="1669"/>
      <c r="CP135" s="1669"/>
      <c r="CQ135" s="1669"/>
      <c r="CR135" s="1669"/>
      <c r="CS135" s="1669"/>
      <c r="CT135" s="1669"/>
      <c r="CU135" s="1669"/>
      <c r="CV135" s="1669"/>
      <c r="CW135" s="1669"/>
      <c r="CX135" s="1669"/>
      <c r="CY135" s="817"/>
      <c r="CZ135" s="1669"/>
      <c r="DA135" s="1669"/>
      <c r="DB135" s="1669"/>
      <c r="DC135" s="767"/>
      <c r="DD135" s="1669"/>
      <c r="DE135" s="1669"/>
      <c r="DF135" s="1669"/>
      <c r="DG135" s="1669"/>
      <c r="DH135" s="1669"/>
      <c r="DI135" s="1669"/>
      <c r="DJ135" s="1669"/>
      <c r="DK135" s="1669"/>
      <c r="DL135" s="1669"/>
      <c r="DM135" s="1669"/>
      <c r="DN135" s="1669"/>
      <c r="DO135" s="767"/>
      <c r="DP135" s="1669"/>
      <c r="DQ135" s="1669"/>
      <c r="DR135" s="767"/>
      <c r="DS135" s="767"/>
      <c r="DT135" s="767"/>
      <c r="DU135" s="767"/>
      <c r="DV135" s="1695"/>
      <c r="IR135" s="762"/>
      <c r="IS135" s="762"/>
      <c r="IT135" s="762"/>
      <c r="IU135" s="762"/>
      <c r="IV135" s="762"/>
    </row>
    <row r="136" spans="1:256" s="761" customFormat="1" ht="13.8" hidden="1">
      <c r="A136" s="1694"/>
      <c r="B136" s="765"/>
      <c r="C136" s="765"/>
      <c r="D136" s="765"/>
      <c r="E136" s="765"/>
      <c r="F136" s="765"/>
      <c r="G136" s="765"/>
      <c r="H136" s="765"/>
      <c r="I136" s="765"/>
      <c r="J136" s="765"/>
      <c r="K136" s="765"/>
      <c r="L136" s="765"/>
      <c r="M136" s="765"/>
      <c r="N136" s="765"/>
      <c r="O136" s="766"/>
      <c r="P136" s="766"/>
      <c r="Q136" s="766"/>
      <c r="R136" s="767"/>
      <c r="S136" s="767"/>
      <c r="T136" s="767"/>
      <c r="U136" s="767"/>
      <c r="V136" s="767"/>
      <c r="W136" s="767"/>
      <c r="X136" s="767"/>
      <c r="Y136" s="671"/>
      <c r="Z136" s="671"/>
      <c r="AA136" s="767"/>
      <c r="AB136" s="623"/>
      <c r="AC136" s="623"/>
      <c r="AD136" s="623"/>
      <c r="AE136" s="623"/>
      <c r="AF136" s="623"/>
      <c r="AG136" s="623"/>
      <c r="AH136" s="623"/>
      <c r="AI136" s="623"/>
      <c r="AJ136" s="623"/>
      <c r="AK136" s="623"/>
      <c r="AL136" s="623"/>
      <c r="AM136" s="623"/>
      <c r="AN136" s="623"/>
      <c r="AO136" s="623"/>
      <c r="AP136" s="623"/>
      <c r="AQ136" s="623"/>
      <c r="AR136" s="623"/>
      <c r="AS136" s="623"/>
      <c r="AT136" s="623"/>
      <c r="AU136" s="623"/>
      <c r="AV136" s="623"/>
      <c r="AW136" s="623"/>
      <c r="AX136" s="623"/>
      <c r="AY136" s="623"/>
      <c r="AZ136" s="623"/>
      <c r="BA136" s="623"/>
      <c r="BB136" s="623"/>
      <c r="BC136" s="623"/>
      <c r="BD136" s="623"/>
      <c r="BE136" s="623"/>
      <c r="BF136" s="623"/>
      <c r="BG136" s="623"/>
      <c r="BH136" s="623"/>
      <c r="BI136" s="623"/>
      <c r="BJ136" s="623"/>
      <c r="BK136" s="623"/>
      <c r="BL136" s="623"/>
      <c r="BM136" s="623"/>
      <c r="BN136" s="623"/>
      <c r="BO136" s="623"/>
      <c r="BP136" s="623"/>
      <c r="BQ136" s="623"/>
      <c r="BR136" s="623"/>
      <c r="BS136" s="623"/>
      <c r="BT136" s="623"/>
      <c r="BU136" s="623"/>
      <c r="BV136" s="623"/>
      <c r="BW136" s="623"/>
      <c r="BX136" s="623"/>
      <c r="BY136" s="623"/>
      <c r="BZ136" s="623"/>
      <c r="CA136" s="623"/>
      <c r="CB136" s="1669"/>
      <c r="CC136" s="1669"/>
      <c r="CD136" s="1669"/>
      <c r="CE136" s="1669"/>
      <c r="CF136" s="1669"/>
      <c r="CG136" s="1669"/>
      <c r="CH136" s="1669"/>
      <c r="CI136" s="1669"/>
      <c r="CJ136" s="1669"/>
      <c r="CK136" s="1669"/>
      <c r="CL136" s="1669"/>
      <c r="CM136" s="1669"/>
      <c r="CN136" s="1669"/>
      <c r="CO136" s="1669"/>
      <c r="CP136" s="1669"/>
      <c r="CQ136" s="1669"/>
      <c r="CR136" s="1669"/>
      <c r="CS136" s="1669"/>
      <c r="CT136" s="1669"/>
      <c r="CU136" s="1669"/>
      <c r="CV136" s="1669"/>
      <c r="CW136" s="1669"/>
      <c r="CX136" s="1669"/>
      <c r="CY136" s="817"/>
      <c r="CZ136" s="1669"/>
      <c r="DA136" s="1669"/>
      <c r="DB136" s="1669"/>
      <c r="DC136" s="767"/>
      <c r="DD136" s="1669"/>
      <c r="DE136" s="1669"/>
      <c r="DF136" s="1669"/>
      <c r="DG136" s="1669"/>
      <c r="DH136" s="1669"/>
      <c r="DI136" s="1669"/>
      <c r="DJ136" s="1669"/>
      <c r="DK136" s="1669"/>
      <c r="DL136" s="1669"/>
      <c r="DM136" s="1669"/>
      <c r="DN136" s="1669"/>
      <c r="DO136" s="767"/>
      <c r="DP136" s="1669"/>
      <c r="DQ136" s="1669"/>
      <c r="DR136" s="767"/>
      <c r="DS136" s="767"/>
      <c r="DT136" s="767"/>
      <c r="DU136" s="767"/>
      <c r="DV136" s="1695"/>
    </row>
    <row r="137" spans="1:256" s="761" customFormat="1" ht="13.8" hidden="1">
      <c r="A137" s="1694"/>
      <c r="B137" s="765"/>
      <c r="C137" s="765"/>
      <c r="D137" s="765"/>
      <c r="E137" s="765"/>
      <c r="F137" s="765"/>
      <c r="G137" s="765"/>
      <c r="H137" s="765"/>
      <c r="I137" s="765"/>
      <c r="J137" s="765"/>
      <c r="K137" s="765"/>
      <c r="L137" s="765"/>
      <c r="M137" s="765"/>
      <c r="N137" s="765"/>
      <c r="O137" s="766"/>
      <c r="P137" s="766"/>
      <c r="Q137" s="766"/>
      <c r="R137" s="767"/>
      <c r="S137" s="767"/>
      <c r="T137" s="767"/>
      <c r="U137" s="767"/>
      <c r="V137" s="767"/>
      <c r="W137" s="767"/>
      <c r="X137" s="767"/>
      <c r="Y137" s="671"/>
      <c r="Z137" s="671"/>
      <c r="AA137" s="767"/>
      <c r="AB137" s="623"/>
      <c r="AC137" s="623"/>
      <c r="AD137" s="623"/>
      <c r="AE137" s="623"/>
      <c r="AF137" s="623"/>
      <c r="AG137" s="623"/>
      <c r="AH137" s="623"/>
      <c r="AI137" s="623"/>
      <c r="AJ137" s="623"/>
      <c r="AK137" s="623"/>
      <c r="AL137" s="623"/>
      <c r="AM137" s="623"/>
      <c r="AN137" s="623"/>
      <c r="AO137" s="623"/>
      <c r="AP137" s="623"/>
      <c r="AQ137" s="623"/>
      <c r="AR137" s="623"/>
      <c r="AS137" s="623"/>
      <c r="AT137" s="623"/>
      <c r="AU137" s="623"/>
      <c r="AV137" s="623"/>
      <c r="AW137" s="623"/>
      <c r="AX137" s="623"/>
      <c r="AY137" s="623"/>
      <c r="AZ137" s="623"/>
      <c r="BA137" s="623"/>
      <c r="BB137" s="623"/>
      <c r="BC137" s="623"/>
      <c r="BD137" s="623"/>
      <c r="BE137" s="623"/>
      <c r="BF137" s="623"/>
      <c r="BG137" s="623"/>
      <c r="BH137" s="623"/>
      <c r="BI137" s="623"/>
      <c r="BJ137" s="623"/>
      <c r="BK137" s="623"/>
      <c r="BL137" s="623"/>
      <c r="BM137" s="623"/>
      <c r="BN137" s="623"/>
      <c r="BO137" s="623"/>
      <c r="BP137" s="623"/>
      <c r="BQ137" s="623"/>
      <c r="BR137" s="623"/>
      <c r="BS137" s="623"/>
      <c r="BT137" s="623"/>
      <c r="BU137" s="623"/>
      <c r="BV137" s="623"/>
      <c r="BW137" s="623"/>
      <c r="BX137" s="623"/>
      <c r="BY137" s="623"/>
      <c r="BZ137" s="623"/>
      <c r="CA137" s="623"/>
      <c r="CB137" s="1669"/>
      <c r="CC137" s="1669"/>
      <c r="CD137" s="1669"/>
      <c r="CE137" s="1669"/>
      <c r="CF137" s="1669"/>
      <c r="CG137" s="1669"/>
      <c r="CH137" s="1669"/>
      <c r="CI137" s="1669"/>
      <c r="CJ137" s="1669"/>
      <c r="CK137" s="1669"/>
      <c r="CL137" s="1669"/>
      <c r="CM137" s="1669"/>
      <c r="CN137" s="1669"/>
      <c r="CO137" s="1669"/>
      <c r="CP137" s="1669"/>
      <c r="CQ137" s="1669"/>
      <c r="CR137" s="1669"/>
      <c r="CS137" s="1669"/>
      <c r="CT137" s="1669"/>
      <c r="CU137" s="1669"/>
      <c r="CV137" s="1669"/>
      <c r="CW137" s="1669"/>
      <c r="CX137" s="1669"/>
      <c r="CY137" s="817"/>
      <c r="CZ137" s="1669"/>
      <c r="DA137" s="1669"/>
      <c r="DB137" s="1669"/>
      <c r="DC137" s="767"/>
      <c r="DD137" s="1669"/>
      <c r="DE137" s="1669"/>
      <c r="DF137" s="1669"/>
      <c r="DG137" s="1669"/>
      <c r="DH137" s="1669"/>
      <c r="DI137" s="1669"/>
      <c r="DJ137" s="1669"/>
      <c r="DK137" s="1669"/>
      <c r="DL137" s="1669"/>
      <c r="DM137" s="1669"/>
      <c r="DN137" s="1669"/>
      <c r="DO137" s="767"/>
      <c r="DP137" s="1669"/>
      <c r="DQ137" s="1669"/>
      <c r="DR137" s="767"/>
      <c r="DS137" s="767"/>
      <c r="DT137" s="767"/>
      <c r="DU137" s="767"/>
      <c r="DV137" s="1695"/>
    </row>
    <row r="138" spans="1:256" s="761" customFormat="1" ht="13.8" hidden="1">
      <c r="A138" s="1694"/>
      <c r="B138" s="765"/>
      <c r="C138" s="765"/>
      <c r="D138" s="765"/>
      <c r="E138" s="765"/>
      <c r="F138" s="765"/>
      <c r="G138" s="765"/>
      <c r="H138" s="765"/>
      <c r="I138" s="765"/>
      <c r="J138" s="765"/>
      <c r="K138" s="765"/>
      <c r="L138" s="765"/>
      <c r="M138" s="765"/>
      <c r="N138" s="765"/>
      <c r="O138" s="766"/>
      <c r="P138" s="766"/>
      <c r="Q138" s="766"/>
      <c r="R138" s="767"/>
      <c r="S138" s="767"/>
      <c r="T138" s="767"/>
      <c r="U138" s="767"/>
      <c r="V138" s="767"/>
      <c r="W138" s="767"/>
      <c r="X138" s="767"/>
      <c r="Y138" s="671"/>
      <c r="Z138" s="671"/>
      <c r="AA138" s="767"/>
      <c r="AB138" s="623"/>
      <c r="AC138" s="623"/>
      <c r="AD138" s="623"/>
      <c r="AE138" s="623"/>
      <c r="AF138" s="623"/>
      <c r="AG138" s="623"/>
      <c r="AH138" s="623"/>
      <c r="AI138" s="623"/>
      <c r="AJ138" s="623"/>
      <c r="AK138" s="623"/>
      <c r="AL138" s="623"/>
      <c r="AM138" s="623"/>
      <c r="AN138" s="623"/>
      <c r="AO138" s="623"/>
      <c r="AP138" s="623"/>
      <c r="AQ138" s="623"/>
      <c r="AR138" s="623"/>
      <c r="AS138" s="623"/>
      <c r="AT138" s="623"/>
      <c r="AU138" s="623"/>
      <c r="AV138" s="623"/>
      <c r="AW138" s="623"/>
      <c r="AX138" s="623"/>
      <c r="AY138" s="623"/>
      <c r="AZ138" s="623"/>
      <c r="BA138" s="623"/>
      <c r="BB138" s="623"/>
      <c r="BC138" s="623"/>
      <c r="BD138" s="623"/>
      <c r="BE138" s="623"/>
      <c r="BF138" s="623"/>
      <c r="BG138" s="623"/>
      <c r="BH138" s="623"/>
      <c r="BI138" s="623"/>
      <c r="BJ138" s="623"/>
      <c r="BK138" s="623"/>
      <c r="BL138" s="623"/>
      <c r="BM138" s="623"/>
      <c r="BN138" s="623"/>
      <c r="BO138" s="623"/>
      <c r="BP138" s="623"/>
      <c r="BQ138" s="623"/>
      <c r="BR138" s="623"/>
      <c r="BS138" s="623"/>
      <c r="BT138" s="623"/>
      <c r="BU138" s="623"/>
      <c r="BV138" s="623"/>
      <c r="BW138" s="623"/>
      <c r="BX138" s="623"/>
      <c r="BY138" s="623"/>
      <c r="BZ138" s="623"/>
      <c r="CA138" s="623"/>
      <c r="CB138" s="1669"/>
      <c r="CC138" s="1669"/>
      <c r="CD138" s="1669"/>
      <c r="CE138" s="1669"/>
      <c r="CF138" s="1669"/>
      <c r="CG138" s="1669"/>
      <c r="CH138" s="1669"/>
      <c r="CI138" s="1669"/>
      <c r="CJ138" s="1669"/>
      <c r="CK138" s="1669"/>
      <c r="CL138" s="1669"/>
      <c r="CM138" s="1669"/>
      <c r="CN138" s="1669"/>
      <c r="CO138" s="1669"/>
      <c r="CP138" s="1669"/>
      <c r="CQ138" s="1669"/>
      <c r="CR138" s="1669"/>
      <c r="CS138" s="1669"/>
      <c r="CT138" s="1669"/>
      <c r="CU138" s="1669"/>
      <c r="CV138" s="1669"/>
      <c r="CW138" s="1669"/>
      <c r="CX138" s="1669"/>
      <c r="CY138" s="817"/>
      <c r="CZ138" s="1669"/>
      <c r="DA138" s="1669"/>
      <c r="DB138" s="1669"/>
      <c r="DC138" s="767"/>
      <c r="DD138" s="1669"/>
      <c r="DE138" s="1669"/>
      <c r="DF138" s="1669"/>
      <c r="DG138" s="1669"/>
      <c r="DH138" s="1669"/>
      <c r="DI138" s="1669"/>
      <c r="DJ138" s="1669"/>
      <c r="DK138" s="1669"/>
      <c r="DL138" s="1669"/>
      <c r="DM138" s="1669"/>
      <c r="DN138" s="1669"/>
      <c r="DO138" s="767"/>
      <c r="DP138" s="1669"/>
      <c r="DQ138" s="1669"/>
      <c r="DR138" s="767"/>
      <c r="DS138" s="767"/>
      <c r="DT138" s="767"/>
      <c r="DU138" s="767"/>
      <c r="DV138" s="1695"/>
    </row>
    <row r="139" spans="1:256" s="768" customFormat="1" ht="13.8" hidden="1">
      <c r="A139" s="1694"/>
      <c r="B139" s="765"/>
      <c r="C139" s="765"/>
      <c r="D139" s="765"/>
      <c r="E139" s="765"/>
      <c r="F139" s="765"/>
      <c r="G139" s="765"/>
      <c r="H139" s="765"/>
      <c r="I139" s="765"/>
      <c r="J139" s="765"/>
      <c r="K139" s="765"/>
      <c r="L139" s="765"/>
      <c r="M139" s="765"/>
      <c r="N139" s="765"/>
      <c r="O139" s="766"/>
      <c r="P139" s="766"/>
      <c r="Q139" s="766"/>
      <c r="R139" s="767"/>
      <c r="S139" s="767"/>
      <c r="T139" s="767"/>
      <c r="U139" s="767"/>
      <c r="V139" s="767"/>
      <c r="W139" s="767"/>
      <c r="X139" s="767"/>
      <c r="Y139" s="671"/>
      <c r="Z139" s="671"/>
      <c r="AA139" s="767"/>
      <c r="AB139" s="623"/>
      <c r="AC139" s="623"/>
      <c r="AD139" s="623"/>
      <c r="AE139" s="623"/>
      <c r="AF139" s="623"/>
      <c r="AG139" s="623"/>
      <c r="AH139" s="623"/>
      <c r="AI139" s="623"/>
      <c r="AJ139" s="623"/>
      <c r="AK139" s="623"/>
      <c r="AL139" s="623"/>
      <c r="AM139" s="623"/>
      <c r="AN139" s="623"/>
      <c r="AO139" s="623"/>
      <c r="AP139" s="623"/>
      <c r="AQ139" s="623"/>
      <c r="AR139" s="623"/>
      <c r="AS139" s="623"/>
      <c r="AT139" s="623"/>
      <c r="AU139" s="623"/>
      <c r="AV139" s="623"/>
      <c r="AW139" s="623"/>
      <c r="AX139" s="623"/>
      <c r="AY139" s="623"/>
      <c r="AZ139" s="623"/>
      <c r="BA139" s="623"/>
      <c r="BB139" s="623"/>
      <c r="BC139" s="623"/>
      <c r="BD139" s="623"/>
      <c r="BE139" s="623"/>
      <c r="BF139" s="623"/>
      <c r="BG139" s="623"/>
      <c r="BH139" s="623"/>
      <c r="BI139" s="623"/>
      <c r="BJ139" s="623"/>
      <c r="BK139" s="623"/>
      <c r="BL139" s="623"/>
      <c r="BM139" s="623"/>
      <c r="BN139" s="623"/>
      <c r="BO139" s="623"/>
      <c r="BP139" s="623"/>
      <c r="BQ139" s="623"/>
      <c r="BR139" s="623"/>
      <c r="BS139" s="623"/>
      <c r="BT139" s="623"/>
      <c r="BU139" s="623"/>
      <c r="BV139" s="623"/>
      <c r="BW139" s="623"/>
      <c r="BX139" s="623"/>
      <c r="BY139" s="623"/>
      <c r="BZ139" s="623"/>
      <c r="CA139" s="623"/>
      <c r="CB139" s="1669"/>
      <c r="CC139" s="1669"/>
      <c r="CD139" s="1669"/>
      <c r="CE139" s="1669"/>
      <c r="CF139" s="1669"/>
      <c r="CG139" s="1669"/>
      <c r="CH139" s="1669"/>
      <c r="CI139" s="1669"/>
      <c r="CJ139" s="1669"/>
      <c r="CK139" s="1669"/>
      <c r="CL139" s="1669"/>
      <c r="CM139" s="1669"/>
      <c r="CN139" s="1669"/>
      <c r="CO139" s="1669"/>
      <c r="CP139" s="1669"/>
      <c r="CQ139" s="1669"/>
      <c r="CR139" s="1669"/>
      <c r="CS139" s="1669"/>
      <c r="CT139" s="1669"/>
      <c r="CU139" s="1669"/>
      <c r="CV139" s="1669"/>
      <c r="CW139" s="1669"/>
      <c r="CX139" s="1669"/>
      <c r="CY139" s="817"/>
      <c r="CZ139" s="1669"/>
      <c r="DA139" s="1669"/>
      <c r="DB139" s="1669"/>
      <c r="DC139" s="767"/>
      <c r="DD139" s="1669"/>
      <c r="DE139" s="1669"/>
      <c r="DF139" s="1669"/>
      <c r="DG139" s="1669"/>
      <c r="DH139" s="1669"/>
      <c r="DI139" s="1669"/>
      <c r="DJ139" s="1669"/>
      <c r="DK139" s="1669"/>
      <c r="DL139" s="1669"/>
      <c r="DM139" s="1669"/>
      <c r="DN139" s="1669"/>
      <c r="DO139" s="767"/>
      <c r="DP139" s="1669"/>
      <c r="DQ139" s="1669"/>
      <c r="DR139" s="767"/>
      <c r="DS139" s="767"/>
      <c r="DT139" s="767"/>
      <c r="DU139" s="767"/>
      <c r="DV139" s="1695"/>
      <c r="DW139" s="761"/>
      <c r="DX139" s="761"/>
      <c r="DY139" s="761"/>
      <c r="DZ139" s="761"/>
      <c r="EA139" s="761"/>
      <c r="EB139" s="761"/>
      <c r="EC139" s="761"/>
      <c r="ED139" s="761"/>
      <c r="EE139" s="761"/>
      <c r="EF139" s="761"/>
      <c r="EG139" s="761"/>
      <c r="EH139" s="761"/>
      <c r="EI139" s="761"/>
      <c r="EJ139" s="761"/>
      <c r="EK139" s="761"/>
      <c r="EL139" s="761"/>
      <c r="EM139" s="761"/>
      <c r="EN139" s="761"/>
      <c r="EO139" s="761"/>
      <c r="EP139" s="761"/>
      <c r="EQ139" s="761"/>
      <c r="ER139" s="761"/>
      <c r="ES139" s="761"/>
      <c r="ET139" s="761"/>
      <c r="EU139" s="761"/>
      <c r="EV139" s="761"/>
      <c r="EW139" s="761"/>
      <c r="EX139" s="761"/>
      <c r="EY139" s="761"/>
      <c r="EZ139" s="761"/>
      <c r="FA139" s="761"/>
      <c r="FB139" s="761"/>
      <c r="FC139" s="761"/>
      <c r="FD139" s="761"/>
      <c r="FE139" s="761"/>
      <c r="FF139" s="761"/>
      <c r="FG139" s="761"/>
      <c r="FH139" s="761"/>
      <c r="FI139" s="761"/>
      <c r="FJ139" s="761"/>
      <c r="FK139" s="761"/>
      <c r="FL139" s="761"/>
      <c r="FM139" s="761"/>
      <c r="FN139" s="761"/>
      <c r="FO139" s="761"/>
      <c r="FP139" s="761"/>
      <c r="FQ139" s="761"/>
      <c r="FR139" s="761"/>
      <c r="FS139" s="761"/>
      <c r="FT139" s="761"/>
      <c r="FU139" s="761"/>
      <c r="FV139" s="761"/>
      <c r="FW139" s="761"/>
      <c r="FX139" s="761"/>
      <c r="FY139" s="761"/>
      <c r="FZ139" s="761"/>
      <c r="GA139" s="761"/>
      <c r="GB139" s="761"/>
      <c r="GC139" s="761"/>
      <c r="GD139" s="761"/>
      <c r="GE139" s="761"/>
      <c r="GF139" s="761"/>
      <c r="GG139" s="761"/>
      <c r="GH139" s="761"/>
      <c r="GI139" s="761"/>
      <c r="GJ139" s="761"/>
      <c r="GK139" s="761"/>
      <c r="GL139" s="761"/>
      <c r="GM139" s="761"/>
      <c r="GN139" s="761"/>
      <c r="GO139" s="761"/>
      <c r="GP139" s="761"/>
      <c r="GQ139" s="761"/>
      <c r="GR139" s="761"/>
      <c r="GS139" s="761"/>
      <c r="GT139" s="761"/>
      <c r="GU139" s="761"/>
      <c r="GV139" s="761"/>
      <c r="GW139" s="761"/>
      <c r="GX139" s="761"/>
      <c r="GY139" s="761"/>
      <c r="GZ139" s="761"/>
      <c r="HA139" s="761"/>
      <c r="HB139" s="761"/>
      <c r="HC139" s="761"/>
      <c r="HD139" s="761"/>
      <c r="HE139" s="761"/>
      <c r="HF139" s="761"/>
      <c r="HG139" s="761"/>
      <c r="HH139" s="761"/>
      <c r="HI139" s="761"/>
      <c r="HJ139" s="761"/>
      <c r="HK139" s="761"/>
      <c r="HL139" s="761"/>
      <c r="HM139" s="761"/>
      <c r="HN139" s="761"/>
      <c r="HO139" s="761"/>
      <c r="HP139" s="761"/>
      <c r="HQ139" s="761"/>
      <c r="HR139" s="761"/>
      <c r="HS139" s="761"/>
      <c r="HT139" s="761"/>
      <c r="HU139" s="761"/>
      <c r="HV139" s="761"/>
      <c r="HW139" s="761"/>
      <c r="HX139" s="761"/>
      <c r="HY139" s="761"/>
      <c r="HZ139" s="761"/>
      <c r="IA139" s="761"/>
      <c r="IB139" s="761"/>
      <c r="IC139" s="761"/>
      <c r="ID139" s="761"/>
      <c r="IE139" s="761"/>
      <c r="IF139" s="761"/>
      <c r="IG139" s="761"/>
      <c r="IH139" s="761"/>
      <c r="II139" s="761"/>
      <c r="IJ139" s="761"/>
      <c r="IK139" s="761"/>
      <c r="IL139" s="761"/>
      <c r="IM139" s="761"/>
      <c r="IN139" s="761"/>
      <c r="IO139" s="761"/>
      <c r="IP139" s="761"/>
      <c r="IQ139" s="761"/>
      <c r="IR139" s="761"/>
      <c r="IS139" s="761"/>
      <c r="IT139" s="761"/>
      <c r="IU139" s="761"/>
      <c r="IV139" s="761"/>
    </row>
    <row r="140" spans="1:256" s="688" customFormat="1" ht="13.8" hidden="1">
      <c r="A140" s="1678"/>
      <c r="B140" s="1679"/>
      <c r="C140" s="1678"/>
      <c r="D140" s="1678"/>
      <c r="E140" s="1678"/>
      <c r="F140" s="1678"/>
      <c r="G140" s="1678"/>
      <c r="H140" s="1678"/>
      <c r="I140" s="1678"/>
      <c r="J140" s="1678"/>
      <c r="K140" s="1678"/>
      <c r="L140" s="1678"/>
      <c r="M140" s="1678"/>
      <c r="N140" s="1678"/>
      <c r="O140" s="1678"/>
      <c r="P140" s="1678"/>
      <c r="Q140" s="1678"/>
      <c r="R140" s="1678"/>
      <c r="S140" s="1678"/>
      <c r="T140" s="1678"/>
      <c r="U140" s="1678"/>
      <c r="V140" s="1678"/>
      <c r="W140" s="1678"/>
      <c r="X140" s="1678"/>
      <c r="Y140" s="1678"/>
      <c r="Z140" s="1678"/>
      <c r="AA140" s="1678"/>
      <c r="AB140" s="1678"/>
      <c r="AC140" s="1678"/>
      <c r="AD140" s="1678"/>
      <c r="AE140" s="1678"/>
      <c r="AF140" s="1678"/>
      <c r="AG140" s="1678"/>
      <c r="AH140" s="1678"/>
      <c r="AI140" s="1678"/>
      <c r="AJ140" s="1678"/>
      <c r="AK140" s="1678"/>
      <c r="AL140" s="1678"/>
      <c r="AM140" s="1678"/>
      <c r="AN140" s="1678"/>
      <c r="AO140" s="1678"/>
      <c r="AP140" s="1678"/>
      <c r="AQ140" s="1678"/>
      <c r="AR140" s="1678"/>
      <c r="AS140" s="1678"/>
      <c r="AT140" s="1678"/>
      <c r="AU140" s="1678"/>
      <c r="AV140" s="1678"/>
      <c r="AW140" s="1678"/>
      <c r="AX140" s="1678"/>
      <c r="AY140" s="1678"/>
      <c r="AZ140" s="1678"/>
      <c r="BA140" s="1678"/>
      <c r="BB140" s="1678"/>
      <c r="BC140" s="1678"/>
      <c r="BD140" s="1678"/>
      <c r="BE140" s="1678"/>
      <c r="BF140" s="1678"/>
      <c r="BG140" s="1678"/>
      <c r="BH140" s="1678"/>
      <c r="BI140" s="1678"/>
      <c r="BJ140" s="1678"/>
      <c r="BK140" s="1678"/>
      <c r="BL140" s="1678"/>
      <c r="BM140" s="1678"/>
      <c r="BN140" s="1678"/>
      <c r="BO140" s="1678"/>
      <c r="BP140" s="1678"/>
      <c r="BQ140" s="1678"/>
      <c r="BR140" s="1678"/>
      <c r="BS140" s="1678"/>
      <c r="BT140" s="1678"/>
      <c r="BU140" s="1678"/>
      <c r="BV140" s="1678"/>
      <c r="BW140" s="1678"/>
      <c r="BX140" s="1678"/>
      <c r="BY140" s="1678"/>
      <c r="BZ140" s="1678"/>
      <c r="CA140" s="1678"/>
      <c r="CB140" s="1678"/>
      <c r="CC140" s="1678"/>
      <c r="CD140" s="1678"/>
      <c r="CE140" s="1669"/>
      <c r="CF140" s="1678"/>
      <c r="CG140" s="1678"/>
      <c r="CH140" s="1678"/>
      <c r="CI140" s="1678"/>
      <c r="CJ140" s="1678"/>
      <c r="CK140" s="1678"/>
      <c r="CL140" s="1678"/>
      <c r="CM140" s="1678"/>
      <c r="CN140" s="1678"/>
      <c r="CO140" s="1678"/>
      <c r="CP140" s="1678"/>
      <c r="CQ140" s="1678"/>
      <c r="CR140" s="1678"/>
      <c r="CS140" s="1678"/>
      <c r="CT140" s="1678"/>
      <c r="CU140" s="1678"/>
      <c r="CV140" s="1678"/>
      <c r="CW140" s="1678"/>
      <c r="CX140" s="1678"/>
      <c r="CY140" s="1680"/>
      <c r="CZ140" s="1678"/>
      <c r="DA140" s="1678"/>
      <c r="DB140" s="1678"/>
      <c r="DC140" s="1678"/>
      <c r="DD140" s="1678"/>
      <c r="DE140" s="1678"/>
      <c r="DF140" s="1678"/>
      <c r="DG140" s="1678"/>
      <c r="DH140" s="1678"/>
      <c r="DI140" s="1678"/>
      <c r="DJ140" s="1678"/>
      <c r="DK140" s="1678"/>
      <c r="DL140" s="1678"/>
      <c r="DM140" s="1678"/>
      <c r="DN140" s="1678"/>
      <c r="DO140" s="1678"/>
      <c r="DP140" s="1678"/>
      <c r="DQ140" s="1678"/>
      <c r="DR140" s="1678"/>
      <c r="DS140" s="1678"/>
      <c r="DT140" s="1678"/>
      <c r="DU140" s="1678"/>
      <c r="DV140" s="1681"/>
    </row>
    <row r="141" spans="1:256" s="688" customFormat="1" ht="13.8" hidden="1">
      <c r="A141" s="1686"/>
      <c r="B141" s="1687"/>
      <c r="C141" s="1688"/>
      <c r="D141" s="1688"/>
      <c r="E141" s="1688"/>
      <c r="F141" s="1688"/>
      <c r="G141" s="1688"/>
      <c r="H141" s="1688"/>
      <c r="I141" s="1688"/>
      <c r="J141" s="1688"/>
      <c r="K141" s="1688"/>
      <c r="L141" s="1688"/>
      <c r="M141" s="1688"/>
      <c r="N141" s="1688"/>
      <c r="O141" s="1688"/>
      <c r="P141" s="1688"/>
      <c r="Q141" s="1688"/>
      <c r="R141" s="1688"/>
      <c r="S141" s="1688"/>
      <c r="T141" s="1688"/>
      <c r="U141" s="1688"/>
      <c r="V141" s="1688"/>
      <c r="W141" s="1688"/>
      <c r="X141" s="1688"/>
      <c r="Y141" s="1688"/>
      <c r="Z141" s="1688"/>
      <c r="AA141" s="1688"/>
      <c r="AB141" s="1688"/>
      <c r="AC141" s="1688"/>
      <c r="AD141" s="1688"/>
      <c r="AE141" s="1688"/>
      <c r="AF141" s="1688"/>
      <c r="AG141" s="1688"/>
      <c r="AH141" s="1688"/>
      <c r="AI141" s="1688"/>
      <c r="AJ141" s="1688"/>
      <c r="AK141" s="1688"/>
      <c r="AL141" s="1688"/>
      <c r="AM141" s="1688"/>
      <c r="AN141" s="1688"/>
      <c r="AO141" s="1688"/>
      <c r="AP141" s="1688"/>
      <c r="AQ141" s="1688"/>
      <c r="AR141" s="1688"/>
      <c r="AS141" s="1688"/>
      <c r="AT141" s="1688"/>
      <c r="AU141" s="1688"/>
      <c r="AV141" s="1688"/>
      <c r="AW141" s="1688"/>
      <c r="AX141" s="1688"/>
      <c r="AY141" s="1688"/>
      <c r="AZ141" s="1688"/>
      <c r="BA141" s="1688"/>
      <c r="BB141" s="1688"/>
      <c r="BC141" s="1688"/>
      <c r="BD141" s="1688"/>
      <c r="BE141" s="1688"/>
      <c r="BF141" s="1688"/>
      <c r="BG141" s="1688"/>
      <c r="BH141" s="1688"/>
      <c r="BI141" s="1688"/>
      <c r="BJ141" s="1688"/>
      <c r="BK141" s="1688"/>
      <c r="BL141" s="1688"/>
      <c r="BM141" s="1688"/>
      <c r="BN141" s="1688"/>
      <c r="BO141" s="1688"/>
      <c r="BP141" s="1688"/>
      <c r="BQ141" s="1688"/>
      <c r="BR141" s="1688"/>
      <c r="BS141" s="1688"/>
      <c r="BT141" s="1688"/>
      <c r="BU141" s="1688"/>
      <c r="BV141" s="1688"/>
      <c r="BW141" s="1688"/>
      <c r="BX141" s="1688"/>
      <c r="BY141" s="1688"/>
      <c r="BZ141" s="1688"/>
      <c r="CA141" s="1688"/>
      <c r="CB141" s="1688"/>
      <c r="CC141" s="1688"/>
      <c r="CD141" s="1688"/>
      <c r="CE141" s="1669"/>
      <c r="CF141" s="1688"/>
      <c r="CG141" s="1688"/>
      <c r="CH141" s="1688"/>
      <c r="CI141" s="1688"/>
      <c r="CJ141" s="1688"/>
      <c r="CK141" s="1688"/>
      <c r="CL141" s="1688"/>
      <c r="CM141" s="1688"/>
      <c r="CN141" s="1688"/>
      <c r="CO141" s="1688"/>
      <c r="CP141" s="1688"/>
      <c r="CQ141" s="1688"/>
      <c r="CR141" s="1688"/>
      <c r="CS141" s="1688"/>
      <c r="CT141" s="1688"/>
      <c r="CU141" s="1688"/>
      <c r="CV141" s="1688"/>
      <c r="CW141" s="1688"/>
      <c r="CX141" s="1688"/>
      <c r="CY141" s="1689"/>
      <c r="CZ141" s="1688"/>
      <c r="DA141" s="1688"/>
      <c r="DB141" s="1688"/>
      <c r="DC141" s="1688"/>
      <c r="DD141" s="1688"/>
      <c r="DE141" s="1688"/>
      <c r="DF141" s="1688"/>
      <c r="DG141" s="1688"/>
      <c r="DH141" s="1688"/>
      <c r="DI141" s="1688"/>
      <c r="DJ141" s="1688"/>
      <c r="DK141" s="1688"/>
      <c r="DL141" s="1688"/>
      <c r="DM141" s="1688"/>
      <c r="DN141" s="1688"/>
      <c r="DO141" s="1688"/>
      <c r="DP141" s="1688"/>
      <c r="DQ141" s="1688"/>
      <c r="DR141" s="1688"/>
      <c r="DS141" s="1688"/>
      <c r="DT141" s="1688"/>
      <c r="DU141" s="1688"/>
      <c r="DV141" s="1690"/>
      <c r="DW141" s="688">
        <f>+DU141*0.4</f>
        <v>0</v>
      </c>
      <c r="DX141" s="688">
        <f>+DW141/0.22</f>
        <v>0</v>
      </c>
    </row>
    <row r="142" spans="1:256" s="545" customFormat="1" ht="18" hidden="1" customHeight="1">
      <c r="A142" s="1682"/>
      <c r="B142" s="1023"/>
      <c r="C142" s="1023"/>
      <c r="D142" s="1023"/>
      <c r="E142" s="1023"/>
      <c r="F142" s="1023"/>
      <c r="G142" s="1023"/>
      <c r="H142" s="1023"/>
      <c r="I142" s="1023"/>
      <c r="J142" s="1023"/>
      <c r="K142" s="1023"/>
      <c r="L142" s="1023"/>
      <c r="M142" s="1023"/>
      <c r="N142" s="1023"/>
      <c r="O142" s="1023"/>
      <c r="P142" s="1023"/>
      <c r="Q142" s="1023"/>
      <c r="R142" s="1023"/>
      <c r="S142" s="1023"/>
      <c r="T142" s="1023"/>
      <c r="U142" s="1023"/>
      <c r="V142" s="1023"/>
      <c r="W142" s="1023"/>
      <c r="X142" s="1023"/>
      <c r="Y142" s="1023"/>
      <c r="Z142" s="1023"/>
      <c r="AA142" s="1023"/>
      <c r="AB142" s="1023"/>
      <c r="AC142" s="1023"/>
      <c r="AD142" s="1023"/>
      <c r="AE142" s="1023"/>
      <c r="AF142" s="1023"/>
      <c r="AG142" s="1023"/>
      <c r="AH142" s="1023"/>
      <c r="AI142" s="1023"/>
      <c r="AJ142" s="1023"/>
      <c r="AK142" s="1023"/>
      <c r="AL142" s="1023"/>
      <c r="AM142" s="1023"/>
      <c r="AN142" s="1023"/>
      <c r="AO142" s="1023"/>
      <c r="AP142" s="1023"/>
      <c r="AQ142" s="1023"/>
      <c r="AR142" s="1023"/>
      <c r="AS142" s="1023"/>
      <c r="AT142" s="1023"/>
      <c r="AU142" s="1023"/>
      <c r="AV142" s="1023"/>
      <c r="AW142" s="1023"/>
      <c r="AX142" s="1023"/>
      <c r="AY142" s="1023"/>
      <c r="AZ142" s="1023"/>
      <c r="BA142" s="1023"/>
      <c r="BB142" s="1023"/>
      <c r="BC142" s="1023"/>
      <c r="BD142" s="1023"/>
      <c r="BE142" s="1023"/>
      <c r="BF142" s="1023"/>
      <c r="BG142" s="1023"/>
      <c r="BH142" s="1023"/>
      <c r="BI142" s="1023"/>
      <c r="BJ142" s="1023"/>
      <c r="BK142" s="1023"/>
      <c r="BL142" s="1023"/>
      <c r="BM142" s="1023"/>
      <c r="BN142" s="1023"/>
      <c r="BO142" s="1023"/>
      <c r="BP142" s="1023"/>
      <c r="BQ142" s="1023"/>
      <c r="BR142" s="1023"/>
      <c r="BS142" s="1023"/>
      <c r="BT142" s="1023"/>
      <c r="BU142" s="1023"/>
      <c r="BV142" s="1023"/>
      <c r="BW142" s="1023"/>
      <c r="BX142" s="1023"/>
      <c r="BY142" s="1023"/>
      <c r="BZ142" s="1023"/>
      <c r="CA142" s="1023"/>
      <c r="CB142" s="1023"/>
      <c r="CC142" s="1023"/>
      <c r="CD142" s="1023"/>
      <c r="CE142" s="1669"/>
      <c r="CF142" s="1023"/>
      <c r="CG142" s="1023"/>
      <c r="CH142" s="1023"/>
      <c r="CI142" s="1023"/>
      <c r="CJ142" s="1023"/>
      <c r="CK142" s="1023"/>
      <c r="CL142" s="1023"/>
      <c r="CM142" s="1023"/>
      <c r="CN142" s="1023"/>
      <c r="CO142" s="1023"/>
      <c r="CP142" s="1023"/>
      <c r="CQ142" s="1023"/>
      <c r="CR142" s="1023"/>
      <c r="CS142" s="1023"/>
      <c r="CT142" s="1023"/>
      <c r="CU142" s="1023"/>
      <c r="CV142" s="1023"/>
      <c r="CW142" s="1023"/>
      <c r="CX142" s="1023"/>
      <c r="CY142" s="1683"/>
      <c r="CZ142" s="1023"/>
      <c r="DA142" s="1023"/>
      <c r="DB142" s="1023"/>
      <c r="DC142" s="1023"/>
      <c r="DD142" s="1023"/>
      <c r="DE142" s="1023"/>
      <c r="DF142" s="1023"/>
      <c r="DG142" s="1023"/>
      <c r="DH142" s="1023"/>
      <c r="DI142" s="1023"/>
      <c r="DJ142" s="1023"/>
      <c r="DK142" s="1023"/>
      <c r="DL142" s="1023"/>
      <c r="DM142" s="1023"/>
      <c r="DN142" s="1023"/>
      <c r="DO142" s="1023"/>
      <c r="DP142" s="1023"/>
      <c r="DQ142" s="1023"/>
      <c r="DR142" s="1023"/>
      <c r="DS142" s="1023"/>
      <c r="DT142" s="1023"/>
      <c r="DU142" s="1023"/>
      <c r="DV142" s="1684"/>
      <c r="DW142" s="530"/>
      <c r="DX142" s="530"/>
      <c r="DY142" s="530"/>
      <c r="DZ142" s="530"/>
      <c r="EA142" s="530"/>
      <c r="EB142" s="530"/>
      <c r="EC142" s="530"/>
      <c r="ED142" s="530"/>
      <c r="EE142" s="530"/>
      <c r="EF142" s="530"/>
      <c r="EG142" s="530"/>
      <c r="EH142" s="530"/>
      <c r="EI142" s="530"/>
      <c r="EJ142" s="530"/>
      <c r="EK142" s="530"/>
      <c r="EL142" s="530"/>
      <c r="EM142" s="530"/>
      <c r="EN142" s="530"/>
      <c r="EO142" s="530"/>
      <c r="EP142" s="530"/>
      <c r="EQ142" s="530"/>
      <c r="ER142" s="530"/>
      <c r="ES142" s="530"/>
      <c r="ET142" s="530"/>
      <c r="EU142" s="530"/>
      <c r="EV142" s="530"/>
      <c r="EW142" s="530"/>
      <c r="EX142" s="530"/>
      <c r="EY142" s="530"/>
      <c r="EZ142" s="530"/>
      <c r="FA142" s="530"/>
      <c r="FB142" s="530"/>
      <c r="FC142" s="530"/>
      <c r="FD142" s="530"/>
      <c r="FE142" s="530"/>
      <c r="FF142" s="530"/>
      <c r="FG142" s="530"/>
      <c r="FH142" s="530"/>
      <c r="FI142" s="530"/>
      <c r="FJ142" s="530"/>
      <c r="FK142" s="530"/>
      <c r="FL142" s="530"/>
      <c r="FM142" s="530"/>
      <c r="FN142" s="530"/>
      <c r="FO142" s="530"/>
      <c r="FP142" s="530"/>
      <c r="FQ142" s="530"/>
      <c r="FR142" s="530"/>
      <c r="FS142" s="530"/>
      <c r="FT142" s="530"/>
      <c r="FU142" s="530"/>
      <c r="FV142" s="530"/>
      <c r="FW142" s="530"/>
      <c r="FX142" s="530"/>
      <c r="FY142" s="530"/>
      <c r="FZ142" s="530"/>
      <c r="GA142" s="530"/>
      <c r="GB142" s="530"/>
      <c r="GC142" s="530"/>
      <c r="GD142" s="530"/>
      <c r="GE142" s="530"/>
      <c r="GF142" s="530"/>
      <c r="GG142" s="530"/>
      <c r="GH142" s="530"/>
      <c r="GI142" s="530"/>
      <c r="GJ142" s="530"/>
      <c r="GK142" s="530"/>
      <c r="GL142" s="530"/>
      <c r="GM142" s="530"/>
      <c r="GN142" s="530"/>
      <c r="GO142" s="530"/>
      <c r="GP142" s="530"/>
      <c r="GQ142" s="530"/>
      <c r="GR142" s="530"/>
      <c r="GS142" s="530"/>
      <c r="GT142" s="530"/>
      <c r="GU142" s="530"/>
      <c r="GV142" s="530"/>
      <c r="GW142" s="530"/>
      <c r="GX142" s="530"/>
      <c r="GY142" s="530"/>
      <c r="GZ142" s="530"/>
      <c r="HA142" s="530"/>
      <c r="HB142" s="530"/>
      <c r="HC142" s="530"/>
      <c r="HD142" s="530"/>
      <c r="HE142" s="530"/>
      <c r="HF142" s="530"/>
      <c r="HG142" s="530"/>
      <c r="HH142" s="530"/>
      <c r="HI142" s="530"/>
      <c r="HJ142" s="530"/>
      <c r="HK142" s="530"/>
      <c r="HL142" s="530"/>
      <c r="HM142" s="530"/>
      <c r="HN142" s="530"/>
      <c r="HO142" s="530"/>
      <c r="HP142" s="530"/>
      <c r="HQ142" s="530"/>
      <c r="HR142" s="530"/>
      <c r="HS142" s="530"/>
      <c r="HT142" s="530"/>
      <c r="HU142" s="530"/>
      <c r="HV142" s="530"/>
      <c r="HW142" s="530"/>
      <c r="HX142" s="530"/>
      <c r="HY142" s="530"/>
      <c r="HZ142" s="530"/>
      <c r="IA142" s="530"/>
      <c r="IB142" s="530"/>
      <c r="IC142" s="530"/>
      <c r="ID142" s="530"/>
      <c r="IE142" s="530"/>
      <c r="IF142" s="530"/>
      <c r="IG142" s="530"/>
      <c r="IH142" s="530"/>
      <c r="II142" s="530"/>
      <c r="IJ142" s="530"/>
      <c r="IK142" s="530"/>
      <c r="IL142" s="530"/>
      <c r="IM142" s="530"/>
      <c r="IN142" s="530"/>
      <c r="IO142" s="530"/>
      <c r="IP142" s="530"/>
      <c r="IQ142" s="530"/>
      <c r="IR142" s="530"/>
      <c r="IS142" s="530"/>
      <c r="IT142" s="530"/>
      <c r="IU142" s="530"/>
      <c r="IV142" s="530"/>
    </row>
    <row r="143" spans="1:256" s="545" customFormat="1" ht="18" hidden="1" customHeight="1">
      <c r="A143" s="1685"/>
      <c r="B143" s="1023"/>
      <c r="C143" s="1023"/>
      <c r="D143" s="1023"/>
      <c r="E143" s="1023"/>
      <c r="F143" s="1023"/>
      <c r="G143" s="1023"/>
      <c r="H143" s="1023"/>
      <c r="I143" s="1023"/>
      <c r="J143" s="1023"/>
      <c r="K143" s="1023"/>
      <c r="L143" s="1023"/>
      <c r="M143" s="1023"/>
      <c r="N143" s="1023"/>
      <c r="O143" s="1023"/>
      <c r="P143" s="1023"/>
      <c r="Q143" s="1023"/>
      <c r="R143" s="1023"/>
      <c r="S143" s="1023"/>
      <c r="T143" s="1023"/>
      <c r="U143" s="1023"/>
      <c r="V143" s="1023"/>
      <c r="W143" s="1023"/>
      <c r="X143" s="1023"/>
      <c r="Y143" s="1023"/>
      <c r="Z143" s="1023"/>
      <c r="AA143" s="1023"/>
      <c r="AB143" s="1023"/>
      <c r="AC143" s="1023"/>
      <c r="AD143" s="1023"/>
      <c r="AE143" s="1023"/>
      <c r="AF143" s="1023"/>
      <c r="AG143" s="1023"/>
      <c r="AH143" s="1023"/>
      <c r="AI143" s="1023"/>
      <c r="AJ143" s="1023"/>
      <c r="AK143" s="1023"/>
      <c r="AL143" s="1023"/>
      <c r="AM143" s="1023"/>
      <c r="AN143" s="1023"/>
      <c r="AO143" s="1023"/>
      <c r="AP143" s="1023"/>
      <c r="AQ143" s="1023"/>
      <c r="AR143" s="1023"/>
      <c r="AS143" s="1023"/>
      <c r="AT143" s="1023"/>
      <c r="AU143" s="1023"/>
      <c r="AV143" s="1023"/>
      <c r="AW143" s="1023"/>
      <c r="AX143" s="1023"/>
      <c r="AY143" s="1023"/>
      <c r="AZ143" s="1023"/>
      <c r="BA143" s="1023"/>
      <c r="BB143" s="1023"/>
      <c r="BC143" s="1023"/>
      <c r="BD143" s="1023"/>
      <c r="BE143" s="1023"/>
      <c r="BF143" s="1023"/>
      <c r="BG143" s="1023"/>
      <c r="BH143" s="1023"/>
      <c r="BI143" s="1023"/>
      <c r="BJ143" s="1023"/>
      <c r="BK143" s="1023"/>
      <c r="BL143" s="1023"/>
      <c r="BM143" s="1023"/>
      <c r="BN143" s="1023"/>
      <c r="BO143" s="1023"/>
      <c r="BP143" s="1023"/>
      <c r="BQ143" s="1023"/>
      <c r="BR143" s="1023"/>
      <c r="BS143" s="1023"/>
      <c r="BT143" s="1023"/>
      <c r="BU143" s="1023"/>
      <c r="BV143" s="1023"/>
      <c r="BW143" s="1023"/>
      <c r="BX143" s="1023"/>
      <c r="BY143" s="1023"/>
      <c r="BZ143" s="1023"/>
      <c r="CA143" s="1023"/>
      <c r="CB143" s="1023"/>
      <c r="CC143" s="1023"/>
      <c r="CD143" s="1023"/>
      <c r="CE143" s="1669"/>
      <c r="CF143" s="1023"/>
      <c r="CG143" s="1023"/>
      <c r="CH143" s="1023"/>
      <c r="CI143" s="1023"/>
      <c r="CJ143" s="1023"/>
      <c r="CK143" s="1023"/>
      <c r="CL143" s="1023"/>
      <c r="CM143" s="1023"/>
      <c r="CN143" s="1023"/>
      <c r="CO143" s="1023"/>
      <c r="CP143" s="1023"/>
      <c r="CQ143" s="1023"/>
      <c r="CR143" s="1023"/>
      <c r="CS143" s="1023"/>
      <c r="CT143" s="1023"/>
      <c r="CU143" s="1023"/>
      <c r="CV143" s="1023"/>
      <c r="CW143" s="1023"/>
      <c r="CX143" s="1023"/>
      <c r="CY143" s="1683"/>
      <c r="CZ143" s="1023"/>
      <c r="DA143" s="1023"/>
      <c r="DB143" s="1023"/>
      <c r="DC143" s="1023"/>
      <c r="DD143" s="1023"/>
      <c r="DE143" s="1023"/>
      <c r="DF143" s="1023"/>
      <c r="DG143" s="1023"/>
      <c r="DH143" s="1023"/>
      <c r="DI143" s="1023"/>
      <c r="DJ143" s="1023"/>
      <c r="DK143" s="1023"/>
      <c r="DL143" s="1023"/>
      <c r="DM143" s="1023"/>
      <c r="DN143" s="1023"/>
      <c r="DO143" s="1023"/>
      <c r="DP143" s="1023"/>
      <c r="DQ143" s="1023"/>
      <c r="DR143" s="1023"/>
      <c r="DS143" s="1023"/>
      <c r="DT143" s="1023"/>
      <c r="DU143" s="1023"/>
      <c r="DV143" s="1684"/>
      <c r="DW143" s="530"/>
      <c r="DX143" s="530"/>
      <c r="DY143" s="530"/>
      <c r="DZ143" s="530"/>
      <c r="EA143" s="530"/>
      <c r="EB143" s="530"/>
      <c r="EC143" s="530"/>
      <c r="ED143" s="530"/>
      <c r="EE143" s="530"/>
      <c r="EF143" s="530"/>
      <c r="EG143" s="530"/>
      <c r="EH143" s="530"/>
      <c r="EI143" s="530"/>
      <c r="EJ143" s="530"/>
      <c r="EK143" s="530"/>
      <c r="EL143" s="530"/>
      <c r="EM143" s="530"/>
      <c r="EN143" s="530"/>
      <c r="EO143" s="530"/>
      <c r="EP143" s="530"/>
      <c r="EQ143" s="530"/>
      <c r="ER143" s="530"/>
      <c r="ES143" s="530"/>
      <c r="ET143" s="530"/>
      <c r="EU143" s="530"/>
      <c r="EV143" s="530"/>
      <c r="EW143" s="530"/>
      <c r="EX143" s="530"/>
      <c r="EY143" s="530"/>
      <c r="EZ143" s="530"/>
      <c r="FA143" s="530"/>
      <c r="FB143" s="530"/>
      <c r="FC143" s="530"/>
      <c r="FD143" s="530"/>
      <c r="FE143" s="530"/>
      <c r="FF143" s="530"/>
      <c r="FG143" s="530"/>
      <c r="FH143" s="530"/>
      <c r="FI143" s="530"/>
      <c r="FJ143" s="530"/>
      <c r="FK143" s="530"/>
      <c r="FL143" s="530"/>
      <c r="FM143" s="530"/>
      <c r="FN143" s="530"/>
      <c r="FO143" s="530"/>
      <c r="FP143" s="530"/>
      <c r="FQ143" s="530"/>
      <c r="FR143" s="530"/>
      <c r="FS143" s="530"/>
      <c r="FT143" s="530"/>
      <c r="FU143" s="530"/>
      <c r="FV143" s="530"/>
      <c r="FW143" s="530"/>
      <c r="FX143" s="530"/>
      <c r="FY143" s="530"/>
      <c r="FZ143" s="530"/>
      <c r="GA143" s="530"/>
      <c r="GB143" s="530"/>
      <c r="GC143" s="530"/>
      <c r="GD143" s="530"/>
      <c r="GE143" s="530"/>
      <c r="GF143" s="530"/>
      <c r="GG143" s="530"/>
      <c r="GH143" s="530"/>
      <c r="GI143" s="530"/>
      <c r="GJ143" s="530"/>
      <c r="GK143" s="530"/>
      <c r="GL143" s="530"/>
      <c r="GM143" s="530"/>
      <c r="GN143" s="530"/>
      <c r="GO143" s="530"/>
      <c r="GP143" s="530"/>
      <c r="GQ143" s="530"/>
      <c r="GR143" s="530"/>
      <c r="GS143" s="530"/>
      <c r="GT143" s="530"/>
      <c r="GU143" s="530"/>
      <c r="GV143" s="530"/>
      <c r="GW143" s="530"/>
      <c r="GX143" s="530"/>
      <c r="GY143" s="530"/>
      <c r="GZ143" s="530"/>
      <c r="HA143" s="530"/>
      <c r="HB143" s="530"/>
      <c r="HC143" s="530"/>
      <c r="HD143" s="530"/>
      <c r="HE143" s="530"/>
      <c r="HF143" s="530"/>
      <c r="HG143" s="530"/>
      <c r="HH143" s="530"/>
      <c r="HI143" s="530"/>
      <c r="HJ143" s="530"/>
      <c r="HK143" s="530"/>
      <c r="HL143" s="530"/>
      <c r="HM143" s="530"/>
      <c r="HN143" s="530"/>
      <c r="HO143" s="530"/>
      <c r="HP143" s="530"/>
      <c r="HQ143" s="530"/>
      <c r="HR143" s="530"/>
      <c r="HS143" s="530"/>
      <c r="HT143" s="530"/>
      <c r="HU143" s="530"/>
      <c r="HV143" s="530"/>
      <c r="HW143" s="530"/>
      <c r="HX143" s="530"/>
      <c r="HY143" s="530"/>
      <c r="HZ143" s="530"/>
      <c r="IA143" s="530"/>
      <c r="IB143" s="530"/>
      <c r="IC143" s="530"/>
      <c r="ID143" s="530"/>
      <c r="IE143" s="530"/>
      <c r="IF143" s="530"/>
      <c r="IG143" s="530"/>
      <c r="IH143" s="530"/>
      <c r="II143" s="530"/>
      <c r="IJ143" s="530"/>
      <c r="IK143" s="530"/>
      <c r="IL143" s="530"/>
      <c r="IM143" s="530"/>
      <c r="IN143" s="530"/>
      <c r="IO143" s="530"/>
      <c r="IP143" s="530"/>
      <c r="IQ143" s="530"/>
      <c r="IR143" s="530"/>
      <c r="IS143" s="530"/>
      <c r="IT143" s="530"/>
      <c r="IU143" s="530"/>
      <c r="IV143" s="530"/>
    </row>
    <row r="144" spans="1:256" ht="13.8" hidden="1">
      <c r="A144" s="1676"/>
      <c r="B144" s="1701"/>
      <c r="C144" s="550"/>
      <c r="D144" s="550"/>
      <c r="E144" s="550"/>
      <c r="F144" s="550"/>
      <c r="G144" s="550"/>
      <c r="H144" s="550"/>
      <c r="I144" s="550"/>
      <c r="J144" s="550"/>
      <c r="K144" s="550"/>
      <c r="L144" s="550"/>
      <c r="M144" s="550"/>
      <c r="N144" s="550"/>
      <c r="O144" s="439"/>
      <c r="P144" s="439"/>
      <c r="Q144" s="674"/>
      <c r="R144" s="671"/>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c r="CB144" s="767"/>
      <c r="CC144" s="767"/>
      <c r="CD144" s="767"/>
      <c r="CE144" s="1669"/>
      <c r="CF144" s="767"/>
      <c r="CG144" s="767"/>
      <c r="CH144" s="767"/>
      <c r="CI144" s="767"/>
      <c r="CJ144" s="767"/>
      <c r="CK144" s="767"/>
      <c r="CL144" s="767"/>
      <c r="CM144" s="767"/>
      <c r="CN144" s="767"/>
      <c r="CO144" s="767"/>
      <c r="CP144" s="767"/>
      <c r="CQ144" s="767"/>
      <c r="CR144" s="767"/>
      <c r="CS144" s="767"/>
      <c r="CT144" s="767"/>
      <c r="CU144" s="767"/>
      <c r="CV144" s="767"/>
      <c r="CW144" s="767"/>
      <c r="CX144" s="767"/>
      <c r="CY144" s="817"/>
      <c r="CZ144" s="767"/>
      <c r="DA144" s="767"/>
      <c r="DB144" s="767"/>
      <c r="DC144" s="767"/>
      <c r="DD144" s="767"/>
      <c r="DE144" s="767"/>
      <c r="DF144" s="767"/>
      <c r="DG144" s="767"/>
      <c r="DH144" s="767"/>
      <c r="DI144" s="767"/>
      <c r="DJ144" s="767"/>
      <c r="DK144" s="767"/>
      <c r="DL144" s="767"/>
      <c r="DM144" s="767"/>
      <c r="DN144" s="767"/>
      <c r="DO144" s="767"/>
      <c r="DP144" s="767"/>
      <c r="DQ144" s="767"/>
      <c r="DR144" s="767"/>
      <c r="DS144" s="767"/>
      <c r="DT144" s="767"/>
      <c r="DU144" s="767"/>
      <c r="DV144" s="1675"/>
      <c r="IR144" s="542"/>
      <c r="IS144" s="542"/>
      <c r="IT144" s="542"/>
      <c r="IU144" s="542"/>
      <c r="IV144" s="542"/>
    </row>
    <row r="145" spans="1:256" ht="13.8" hidden="1">
      <c r="A145" s="1676"/>
      <c r="B145" s="550"/>
      <c r="C145" s="550"/>
      <c r="D145" s="550"/>
      <c r="E145" s="550"/>
      <c r="F145" s="550"/>
      <c r="G145" s="550"/>
      <c r="H145" s="550"/>
      <c r="I145" s="550"/>
      <c r="J145" s="550"/>
      <c r="K145" s="550"/>
      <c r="L145" s="550"/>
      <c r="M145" s="550"/>
      <c r="N145" s="550"/>
      <c r="O145" s="439"/>
      <c r="P145" s="439"/>
      <c r="Q145" s="674"/>
      <c r="R145" s="671"/>
      <c r="S145" s="767"/>
      <c r="T145" s="767"/>
      <c r="U145" s="767"/>
      <c r="V145" s="767"/>
      <c r="W145" s="767"/>
      <c r="X145" s="767"/>
      <c r="Y145" s="671"/>
      <c r="Z145" s="671"/>
      <c r="AA145" s="767"/>
      <c r="AB145" s="623"/>
      <c r="AC145" s="623"/>
      <c r="AD145" s="623"/>
      <c r="AE145" s="623"/>
      <c r="AF145" s="623"/>
      <c r="AG145" s="623"/>
      <c r="AH145" s="623"/>
      <c r="AI145" s="623"/>
      <c r="AJ145" s="623"/>
      <c r="AK145" s="623"/>
      <c r="AL145" s="623"/>
      <c r="AM145" s="623"/>
      <c r="AN145" s="623"/>
      <c r="AO145" s="623"/>
      <c r="AP145" s="623"/>
      <c r="AQ145" s="623"/>
      <c r="AR145" s="623"/>
      <c r="AS145" s="623"/>
      <c r="AT145" s="623"/>
      <c r="AU145" s="623"/>
      <c r="AV145" s="623"/>
      <c r="AW145" s="623"/>
      <c r="AX145" s="623"/>
      <c r="AY145" s="623"/>
      <c r="AZ145" s="623"/>
      <c r="BA145" s="623"/>
      <c r="BB145" s="623"/>
      <c r="BC145" s="623"/>
      <c r="BD145" s="623"/>
      <c r="BE145" s="623"/>
      <c r="BF145" s="623"/>
      <c r="BG145" s="623"/>
      <c r="BH145" s="623"/>
      <c r="BI145" s="623"/>
      <c r="BJ145" s="623"/>
      <c r="BK145" s="623"/>
      <c r="BL145" s="623"/>
      <c r="BM145" s="623"/>
      <c r="BN145" s="623"/>
      <c r="BO145" s="623"/>
      <c r="BP145" s="623"/>
      <c r="BQ145" s="623"/>
      <c r="BR145" s="623"/>
      <c r="BS145" s="623"/>
      <c r="BT145" s="623"/>
      <c r="BU145" s="623"/>
      <c r="BV145" s="623"/>
      <c r="BW145" s="623"/>
      <c r="BX145" s="623"/>
      <c r="BY145" s="623"/>
      <c r="BZ145" s="623"/>
      <c r="CA145" s="623"/>
      <c r="CB145" s="1669"/>
      <c r="CC145" s="1669"/>
      <c r="CD145" s="1669"/>
      <c r="CE145" s="1669"/>
      <c r="CF145" s="1669"/>
      <c r="CG145" s="1669"/>
      <c r="CH145" s="1669"/>
      <c r="CI145" s="1669"/>
      <c r="CJ145" s="1669"/>
      <c r="CK145" s="1669"/>
      <c r="CL145" s="1669"/>
      <c r="CM145" s="1669"/>
      <c r="CN145" s="1669"/>
      <c r="CO145" s="1669"/>
      <c r="CP145" s="1669"/>
      <c r="CQ145" s="1669"/>
      <c r="CR145" s="1669"/>
      <c r="CS145" s="1669"/>
      <c r="CT145" s="1669"/>
      <c r="CU145" s="1669"/>
      <c r="CV145" s="1669"/>
      <c r="CW145" s="1669"/>
      <c r="CX145" s="1669"/>
      <c r="CY145" s="817"/>
      <c r="CZ145" s="1669"/>
      <c r="DA145" s="1669"/>
      <c r="DB145" s="1669"/>
      <c r="DC145" s="767"/>
      <c r="DD145" s="1669"/>
      <c r="DE145" s="1669"/>
      <c r="DF145" s="1669"/>
      <c r="DG145" s="1669"/>
      <c r="DH145" s="1669"/>
      <c r="DI145" s="1669"/>
      <c r="DJ145" s="1669"/>
      <c r="DK145" s="1669"/>
      <c r="DL145" s="1669"/>
      <c r="DM145" s="1669"/>
      <c r="DN145" s="1669"/>
      <c r="DO145" s="767"/>
      <c r="DP145" s="1669"/>
      <c r="DQ145" s="1669"/>
      <c r="DR145" s="767"/>
      <c r="DS145" s="767"/>
      <c r="DT145" s="767"/>
      <c r="DU145" s="767"/>
      <c r="DV145" s="1675"/>
    </row>
    <row r="146" spans="1:256" ht="13.8" hidden="1">
      <c r="A146" s="1676"/>
      <c r="B146" s="550"/>
      <c r="C146" s="550"/>
      <c r="D146" s="550"/>
      <c r="E146" s="550"/>
      <c r="F146" s="550"/>
      <c r="G146" s="550"/>
      <c r="H146" s="550"/>
      <c r="I146" s="550"/>
      <c r="J146" s="550"/>
      <c r="K146" s="550"/>
      <c r="L146" s="550"/>
      <c r="M146" s="550"/>
      <c r="N146" s="550"/>
      <c r="O146" s="439"/>
      <c r="P146" s="439"/>
      <c r="Q146" s="674"/>
      <c r="R146" s="671"/>
      <c r="S146" s="767"/>
      <c r="T146" s="767"/>
      <c r="U146" s="767"/>
      <c r="V146" s="767"/>
      <c r="W146" s="767"/>
      <c r="X146" s="767"/>
      <c r="Y146" s="671"/>
      <c r="Z146" s="671"/>
      <c r="AA146" s="767"/>
      <c r="AB146" s="623"/>
      <c r="AC146" s="623"/>
      <c r="AD146" s="623"/>
      <c r="AE146" s="623"/>
      <c r="AF146" s="623"/>
      <c r="AG146" s="623"/>
      <c r="AH146" s="623"/>
      <c r="AI146" s="623"/>
      <c r="AJ146" s="623"/>
      <c r="AK146" s="623"/>
      <c r="AL146" s="623"/>
      <c r="AM146" s="623"/>
      <c r="AN146" s="623"/>
      <c r="AO146" s="623"/>
      <c r="AP146" s="623"/>
      <c r="AQ146" s="623"/>
      <c r="AR146" s="623"/>
      <c r="AS146" s="623"/>
      <c r="AT146" s="623"/>
      <c r="AU146" s="623"/>
      <c r="AV146" s="623"/>
      <c r="AW146" s="623"/>
      <c r="AX146" s="623"/>
      <c r="AY146" s="623"/>
      <c r="AZ146" s="623"/>
      <c r="BA146" s="623"/>
      <c r="BB146" s="623"/>
      <c r="BC146" s="623"/>
      <c r="BD146" s="623"/>
      <c r="BE146" s="623"/>
      <c r="BF146" s="623"/>
      <c r="BG146" s="623"/>
      <c r="BH146" s="623"/>
      <c r="BI146" s="623"/>
      <c r="BJ146" s="623"/>
      <c r="BK146" s="623"/>
      <c r="BL146" s="623"/>
      <c r="BM146" s="623"/>
      <c r="BN146" s="623"/>
      <c r="BO146" s="623"/>
      <c r="BP146" s="623"/>
      <c r="BQ146" s="623"/>
      <c r="BR146" s="623"/>
      <c r="BS146" s="623"/>
      <c r="BT146" s="623"/>
      <c r="BU146" s="623"/>
      <c r="BV146" s="623"/>
      <c r="BW146" s="623"/>
      <c r="BX146" s="623"/>
      <c r="BY146" s="623"/>
      <c r="BZ146" s="623"/>
      <c r="CA146" s="623"/>
      <c r="CB146" s="1669"/>
      <c r="CC146" s="1669"/>
      <c r="CD146" s="1669"/>
      <c r="CE146" s="1669"/>
      <c r="CF146" s="1669"/>
      <c r="CG146" s="1669"/>
      <c r="CH146" s="1669"/>
      <c r="CI146" s="1669"/>
      <c r="CJ146" s="1669"/>
      <c r="CK146" s="1669"/>
      <c r="CL146" s="1669"/>
      <c r="CM146" s="1669"/>
      <c r="CN146" s="1669"/>
      <c r="CO146" s="1669"/>
      <c r="CP146" s="1669"/>
      <c r="CQ146" s="1669"/>
      <c r="CR146" s="1669"/>
      <c r="CS146" s="1669"/>
      <c r="CT146" s="1669"/>
      <c r="CU146" s="1669"/>
      <c r="CV146" s="1669"/>
      <c r="CW146" s="1669"/>
      <c r="CX146" s="1669"/>
      <c r="CY146" s="817"/>
      <c r="CZ146" s="1669"/>
      <c r="DA146" s="1669"/>
      <c r="DB146" s="1669"/>
      <c r="DC146" s="767"/>
      <c r="DD146" s="1669"/>
      <c r="DE146" s="1669"/>
      <c r="DF146" s="1669"/>
      <c r="DG146" s="1669"/>
      <c r="DH146" s="1669"/>
      <c r="DI146" s="1669"/>
      <c r="DJ146" s="1669"/>
      <c r="DK146" s="1669"/>
      <c r="DL146" s="1669"/>
      <c r="DM146" s="1669"/>
      <c r="DN146" s="1669"/>
      <c r="DO146" s="767"/>
      <c r="DP146" s="1669"/>
      <c r="DQ146" s="1669"/>
      <c r="DR146" s="767"/>
      <c r="DS146" s="767"/>
      <c r="DT146" s="767"/>
      <c r="DU146" s="767"/>
      <c r="DV146" s="1675"/>
    </row>
    <row r="147" spans="1:256" ht="13.8" hidden="1">
      <c r="A147" s="1676"/>
      <c r="B147" s="550"/>
      <c r="C147" s="550"/>
      <c r="D147" s="550"/>
      <c r="E147" s="550"/>
      <c r="F147" s="550"/>
      <c r="G147" s="550"/>
      <c r="H147" s="550"/>
      <c r="I147" s="550"/>
      <c r="J147" s="550"/>
      <c r="K147" s="550"/>
      <c r="L147" s="550"/>
      <c r="M147" s="550"/>
      <c r="N147" s="550"/>
      <c r="O147" s="439"/>
      <c r="P147" s="439"/>
      <c r="Q147" s="674"/>
      <c r="R147" s="671"/>
      <c r="S147" s="767"/>
      <c r="T147" s="767"/>
      <c r="U147" s="767"/>
      <c r="V147" s="767"/>
      <c r="W147" s="767"/>
      <c r="X147" s="767"/>
      <c r="Y147" s="671"/>
      <c r="Z147" s="671"/>
      <c r="AA147" s="767"/>
      <c r="AB147" s="623"/>
      <c r="AC147" s="623"/>
      <c r="AD147" s="623"/>
      <c r="AE147" s="623"/>
      <c r="AF147" s="623"/>
      <c r="AG147" s="623"/>
      <c r="AH147" s="623"/>
      <c r="AI147" s="623"/>
      <c r="AJ147" s="623"/>
      <c r="AK147" s="623"/>
      <c r="AL147" s="623"/>
      <c r="AM147" s="623"/>
      <c r="AN147" s="623"/>
      <c r="AO147" s="623"/>
      <c r="AP147" s="623"/>
      <c r="AQ147" s="623"/>
      <c r="AR147" s="623"/>
      <c r="AS147" s="623"/>
      <c r="AT147" s="623"/>
      <c r="AU147" s="623"/>
      <c r="AV147" s="623"/>
      <c r="AW147" s="623"/>
      <c r="AX147" s="623"/>
      <c r="AY147" s="623"/>
      <c r="AZ147" s="623"/>
      <c r="BA147" s="623"/>
      <c r="BB147" s="623"/>
      <c r="BC147" s="623"/>
      <c r="BD147" s="623"/>
      <c r="BE147" s="623"/>
      <c r="BF147" s="623"/>
      <c r="BG147" s="623"/>
      <c r="BH147" s="623"/>
      <c r="BI147" s="623"/>
      <c r="BJ147" s="623"/>
      <c r="BK147" s="623"/>
      <c r="BL147" s="623"/>
      <c r="BM147" s="623"/>
      <c r="BN147" s="623"/>
      <c r="BO147" s="623"/>
      <c r="BP147" s="623"/>
      <c r="BQ147" s="623"/>
      <c r="BR147" s="623"/>
      <c r="BS147" s="623"/>
      <c r="BT147" s="623"/>
      <c r="BU147" s="623"/>
      <c r="BV147" s="623"/>
      <c r="BW147" s="623"/>
      <c r="BX147" s="623"/>
      <c r="BY147" s="623"/>
      <c r="BZ147" s="623"/>
      <c r="CA147" s="623"/>
      <c r="CB147" s="1669"/>
      <c r="CC147" s="1669"/>
      <c r="CD147" s="1669"/>
      <c r="CE147" s="1669"/>
      <c r="CF147" s="1669"/>
      <c r="CG147" s="1669"/>
      <c r="CH147" s="1669"/>
      <c r="CI147" s="1669"/>
      <c r="CJ147" s="1669"/>
      <c r="CK147" s="1669"/>
      <c r="CL147" s="1669"/>
      <c r="CM147" s="1669"/>
      <c r="CN147" s="1669"/>
      <c r="CO147" s="1669"/>
      <c r="CP147" s="1669"/>
      <c r="CQ147" s="1669"/>
      <c r="CR147" s="1669"/>
      <c r="CS147" s="1669"/>
      <c r="CT147" s="1669"/>
      <c r="CU147" s="1669"/>
      <c r="CV147" s="1669"/>
      <c r="CW147" s="1669"/>
      <c r="CX147" s="1669"/>
      <c r="CY147" s="817"/>
      <c r="CZ147" s="1669"/>
      <c r="DA147" s="1669"/>
      <c r="DB147" s="1669"/>
      <c r="DC147" s="767"/>
      <c r="DD147" s="1669"/>
      <c r="DE147" s="1669"/>
      <c r="DF147" s="1669"/>
      <c r="DG147" s="1669"/>
      <c r="DH147" s="1669"/>
      <c r="DI147" s="1669"/>
      <c r="DJ147" s="1669"/>
      <c r="DK147" s="1669"/>
      <c r="DL147" s="1669"/>
      <c r="DM147" s="1669"/>
      <c r="DN147" s="1669"/>
      <c r="DO147" s="767"/>
      <c r="DP147" s="1669"/>
      <c r="DQ147" s="1669"/>
      <c r="DR147" s="767"/>
      <c r="DS147" s="767"/>
      <c r="DT147" s="767"/>
      <c r="DU147" s="767"/>
      <c r="DV147" s="1675"/>
    </row>
    <row r="148" spans="1:256" ht="13.8" hidden="1">
      <c r="A148" s="1676"/>
      <c r="B148" s="550"/>
      <c r="C148" s="550"/>
      <c r="D148" s="550"/>
      <c r="E148" s="550"/>
      <c r="F148" s="550"/>
      <c r="G148" s="550"/>
      <c r="H148" s="550"/>
      <c r="I148" s="550"/>
      <c r="J148" s="550"/>
      <c r="K148" s="550"/>
      <c r="L148" s="550"/>
      <c r="M148" s="550"/>
      <c r="N148" s="550"/>
      <c r="O148" s="439"/>
      <c r="P148" s="439"/>
      <c r="Q148" s="674"/>
      <c r="R148" s="671"/>
      <c r="S148" s="767"/>
      <c r="T148" s="767"/>
      <c r="U148" s="767"/>
      <c r="V148" s="767"/>
      <c r="W148" s="767"/>
      <c r="X148" s="767"/>
      <c r="Y148" s="671"/>
      <c r="Z148" s="671"/>
      <c r="AA148" s="767"/>
      <c r="AB148" s="623"/>
      <c r="AC148" s="623"/>
      <c r="AD148" s="623"/>
      <c r="AE148" s="623"/>
      <c r="AF148" s="623"/>
      <c r="AG148" s="623"/>
      <c r="AH148" s="623"/>
      <c r="AI148" s="623"/>
      <c r="AJ148" s="623"/>
      <c r="AK148" s="623"/>
      <c r="AL148" s="623"/>
      <c r="AM148" s="623"/>
      <c r="AN148" s="623"/>
      <c r="AO148" s="623"/>
      <c r="AP148" s="623"/>
      <c r="AQ148" s="623"/>
      <c r="AR148" s="623"/>
      <c r="AS148" s="623"/>
      <c r="AT148" s="623"/>
      <c r="AU148" s="623"/>
      <c r="AV148" s="623"/>
      <c r="AW148" s="623"/>
      <c r="AX148" s="623"/>
      <c r="AY148" s="623"/>
      <c r="AZ148" s="623"/>
      <c r="BA148" s="623"/>
      <c r="BB148" s="623"/>
      <c r="BC148" s="623"/>
      <c r="BD148" s="623"/>
      <c r="BE148" s="623"/>
      <c r="BF148" s="623"/>
      <c r="BG148" s="623"/>
      <c r="BH148" s="623"/>
      <c r="BI148" s="623"/>
      <c r="BJ148" s="623"/>
      <c r="BK148" s="623"/>
      <c r="BL148" s="623"/>
      <c r="BM148" s="623"/>
      <c r="BN148" s="623"/>
      <c r="BO148" s="623"/>
      <c r="BP148" s="623"/>
      <c r="BQ148" s="623"/>
      <c r="BR148" s="623"/>
      <c r="BS148" s="623"/>
      <c r="BT148" s="623"/>
      <c r="BU148" s="623"/>
      <c r="BV148" s="623"/>
      <c r="BW148" s="623"/>
      <c r="BX148" s="623"/>
      <c r="BY148" s="623"/>
      <c r="BZ148" s="623"/>
      <c r="CA148" s="623"/>
      <c r="CB148" s="1669"/>
      <c r="CC148" s="1669"/>
      <c r="CD148" s="1669"/>
      <c r="CE148" s="1669"/>
      <c r="CF148" s="1669"/>
      <c r="CG148" s="1669"/>
      <c r="CH148" s="1669"/>
      <c r="CI148" s="1669"/>
      <c r="CJ148" s="1669"/>
      <c r="CK148" s="1669"/>
      <c r="CL148" s="1669"/>
      <c r="CM148" s="1669"/>
      <c r="CN148" s="1669"/>
      <c r="CO148" s="1669"/>
      <c r="CP148" s="1669"/>
      <c r="CQ148" s="1669"/>
      <c r="CR148" s="1669"/>
      <c r="CS148" s="1669"/>
      <c r="CT148" s="1669"/>
      <c r="CU148" s="1669"/>
      <c r="CV148" s="1669"/>
      <c r="CW148" s="1669"/>
      <c r="CX148" s="1669"/>
      <c r="CY148" s="817"/>
      <c r="CZ148" s="1669"/>
      <c r="DA148" s="1669"/>
      <c r="DB148" s="1669"/>
      <c r="DC148" s="767"/>
      <c r="DD148" s="1669"/>
      <c r="DE148" s="1669"/>
      <c r="DF148" s="1669"/>
      <c r="DG148" s="1669"/>
      <c r="DH148" s="1669"/>
      <c r="DI148" s="1669"/>
      <c r="DJ148" s="1669"/>
      <c r="DK148" s="1669"/>
      <c r="DL148" s="1669"/>
      <c r="DM148" s="1669"/>
      <c r="DN148" s="1669"/>
      <c r="DO148" s="767"/>
      <c r="DP148" s="1669"/>
      <c r="DQ148" s="1669"/>
      <c r="DR148" s="767"/>
      <c r="DS148" s="767"/>
      <c r="DT148" s="767"/>
      <c r="DU148" s="767"/>
      <c r="DV148" s="1675"/>
    </row>
    <row r="149" spans="1:256" ht="13.8" hidden="1">
      <c r="A149" s="1676"/>
      <c r="B149" s="550"/>
      <c r="C149" s="550"/>
      <c r="D149" s="550"/>
      <c r="E149" s="550"/>
      <c r="F149" s="550"/>
      <c r="G149" s="550"/>
      <c r="H149" s="550"/>
      <c r="I149" s="550"/>
      <c r="J149" s="550"/>
      <c r="K149" s="550"/>
      <c r="L149" s="550"/>
      <c r="M149" s="550"/>
      <c r="N149" s="550"/>
      <c r="O149" s="439"/>
      <c r="P149" s="439"/>
      <c r="Q149" s="674"/>
      <c r="R149" s="671"/>
      <c r="S149" s="767"/>
      <c r="T149" s="767"/>
      <c r="U149" s="767"/>
      <c r="V149" s="767"/>
      <c r="W149" s="767"/>
      <c r="X149" s="767"/>
      <c r="Y149" s="671"/>
      <c r="Z149" s="671"/>
      <c r="AA149" s="767"/>
      <c r="AB149" s="623"/>
      <c r="AC149" s="623"/>
      <c r="AD149" s="623"/>
      <c r="AE149" s="623"/>
      <c r="AF149" s="623"/>
      <c r="AG149" s="623"/>
      <c r="AH149" s="623"/>
      <c r="AI149" s="623"/>
      <c r="AJ149" s="623"/>
      <c r="AK149" s="623"/>
      <c r="AL149" s="623"/>
      <c r="AM149" s="623"/>
      <c r="AN149" s="623"/>
      <c r="AO149" s="623"/>
      <c r="AP149" s="623"/>
      <c r="AQ149" s="623"/>
      <c r="AR149" s="623"/>
      <c r="AS149" s="623"/>
      <c r="AT149" s="623"/>
      <c r="AU149" s="623"/>
      <c r="AV149" s="623"/>
      <c r="AW149" s="623"/>
      <c r="AX149" s="623"/>
      <c r="AY149" s="623"/>
      <c r="AZ149" s="623"/>
      <c r="BA149" s="623"/>
      <c r="BB149" s="623"/>
      <c r="BC149" s="623"/>
      <c r="BD149" s="623"/>
      <c r="BE149" s="623"/>
      <c r="BF149" s="623"/>
      <c r="BG149" s="623"/>
      <c r="BH149" s="623"/>
      <c r="BI149" s="623"/>
      <c r="BJ149" s="623"/>
      <c r="BK149" s="623"/>
      <c r="BL149" s="623"/>
      <c r="BM149" s="623"/>
      <c r="BN149" s="623"/>
      <c r="BO149" s="623"/>
      <c r="BP149" s="623"/>
      <c r="BQ149" s="623"/>
      <c r="BR149" s="623"/>
      <c r="BS149" s="623"/>
      <c r="BT149" s="623"/>
      <c r="BU149" s="623"/>
      <c r="BV149" s="623"/>
      <c r="BW149" s="623"/>
      <c r="BX149" s="623"/>
      <c r="BY149" s="623"/>
      <c r="BZ149" s="623"/>
      <c r="CA149" s="623"/>
      <c r="CB149" s="1669"/>
      <c r="CC149" s="1669"/>
      <c r="CD149" s="1669"/>
      <c r="CE149" s="1669"/>
      <c r="CF149" s="1669"/>
      <c r="CG149" s="1669"/>
      <c r="CH149" s="1669"/>
      <c r="CI149" s="1669"/>
      <c r="CJ149" s="1669"/>
      <c r="CK149" s="1669"/>
      <c r="CL149" s="1669"/>
      <c r="CM149" s="1669"/>
      <c r="CN149" s="1669"/>
      <c r="CO149" s="1669"/>
      <c r="CP149" s="1669"/>
      <c r="CQ149" s="1669"/>
      <c r="CR149" s="1669"/>
      <c r="CS149" s="1669"/>
      <c r="CT149" s="1669"/>
      <c r="CU149" s="1669"/>
      <c r="CV149" s="1669"/>
      <c r="CW149" s="1669"/>
      <c r="CX149" s="1669"/>
      <c r="CY149" s="817"/>
      <c r="CZ149" s="1669"/>
      <c r="DA149" s="1669"/>
      <c r="DB149" s="1669"/>
      <c r="DC149" s="767"/>
      <c r="DD149" s="1669"/>
      <c r="DE149" s="1669"/>
      <c r="DF149" s="1669"/>
      <c r="DG149" s="1669"/>
      <c r="DH149" s="1669"/>
      <c r="DI149" s="1669"/>
      <c r="DJ149" s="1669"/>
      <c r="DK149" s="1669"/>
      <c r="DL149" s="1669"/>
      <c r="DM149" s="1669"/>
      <c r="DN149" s="1669"/>
      <c r="DO149" s="767"/>
      <c r="DP149" s="1669"/>
      <c r="DQ149" s="1669"/>
      <c r="DR149" s="767"/>
      <c r="DS149" s="767"/>
      <c r="DT149" s="767"/>
      <c r="DU149" s="767"/>
      <c r="DV149" s="1675"/>
    </row>
    <row r="150" spans="1:256" ht="13.8" hidden="1">
      <c r="A150" s="1676"/>
      <c r="B150" s="550"/>
      <c r="C150" s="550"/>
      <c r="D150" s="550"/>
      <c r="E150" s="550"/>
      <c r="F150" s="550"/>
      <c r="G150" s="550"/>
      <c r="H150" s="550"/>
      <c r="I150" s="550"/>
      <c r="J150" s="550"/>
      <c r="K150" s="550"/>
      <c r="L150" s="550"/>
      <c r="M150" s="550"/>
      <c r="N150" s="550"/>
      <c r="O150" s="439"/>
      <c r="P150" s="439"/>
      <c r="Q150" s="674"/>
      <c r="R150" s="671"/>
      <c r="S150" s="767"/>
      <c r="T150" s="767"/>
      <c r="U150" s="767"/>
      <c r="V150" s="767"/>
      <c r="W150" s="767"/>
      <c r="X150" s="767"/>
      <c r="Y150" s="671"/>
      <c r="Z150" s="671"/>
      <c r="AA150" s="767"/>
      <c r="AB150" s="623"/>
      <c r="AC150" s="623"/>
      <c r="AD150" s="623"/>
      <c r="AE150" s="623"/>
      <c r="AF150" s="623"/>
      <c r="AG150" s="623"/>
      <c r="AH150" s="623"/>
      <c r="AI150" s="623"/>
      <c r="AJ150" s="623"/>
      <c r="AK150" s="623"/>
      <c r="AL150" s="623"/>
      <c r="AM150" s="623"/>
      <c r="AN150" s="623"/>
      <c r="AO150" s="623"/>
      <c r="AP150" s="623"/>
      <c r="AQ150" s="623"/>
      <c r="AR150" s="623"/>
      <c r="AS150" s="623"/>
      <c r="AT150" s="623"/>
      <c r="AU150" s="623"/>
      <c r="AV150" s="623"/>
      <c r="AW150" s="623"/>
      <c r="AX150" s="623"/>
      <c r="AY150" s="623"/>
      <c r="AZ150" s="623"/>
      <c r="BA150" s="623"/>
      <c r="BB150" s="623"/>
      <c r="BC150" s="623"/>
      <c r="BD150" s="623"/>
      <c r="BE150" s="623"/>
      <c r="BF150" s="623"/>
      <c r="BG150" s="623"/>
      <c r="BH150" s="623"/>
      <c r="BI150" s="623"/>
      <c r="BJ150" s="623"/>
      <c r="BK150" s="623"/>
      <c r="BL150" s="623"/>
      <c r="BM150" s="623"/>
      <c r="BN150" s="623"/>
      <c r="BO150" s="623"/>
      <c r="BP150" s="623"/>
      <c r="BQ150" s="623"/>
      <c r="BR150" s="623"/>
      <c r="BS150" s="623"/>
      <c r="BT150" s="623"/>
      <c r="BU150" s="623"/>
      <c r="BV150" s="623"/>
      <c r="BW150" s="623"/>
      <c r="BX150" s="623"/>
      <c r="BY150" s="623"/>
      <c r="BZ150" s="623"/>
      <c r="CA150" s="623"/>
      <c r="CB150" s="1669"/>
      <c r="CC150" s="1669"/>
      <c r="CD150" s="1669"/>
      <c r="CE150" s="1669"/>
      <c r="CF150" s="1669"/>
      <c r="CG150" s="1669"/>
      <c r="CH150" s="1669"/>
      <c r="CI150" s="1669"/>
      <c r="CJ150" s="1669"/>
      <c r="CK150" s="1669"/>
      <c r="CL150" s="1669"/>
      <c r="CM150" s="1669"/>
      <c r="CN150" s="1669"/>
      <c r="CO150" s="1669"/>
      <c r="CP150" s="1669"/>
      <c r="CQ150" s="1669"/>
      <c r="CR150" s="1669"/>
      <c r="CS150" s="1669"/>
      <c r="CT150" s="1669"/>
      <c r="CU150" s="1669"/>
      <c r="CV150" s="1669"/>
      <c r="CW150" s="1669"/>
      <c r="CX150" s="1669"/>
      <c r="CY150" s="817"/>
      <c r="CZ150" s="1669"/>
      <c r="DA150" s="1669"/>
      <c r="DB150" s="1669"/>
      <c r="DC150" s="767"/>
      <c r="DD150" s="1669"/>
      <c r="DE150" s="1669"/>
      <c r="DF150" s="1669"/>
      <c r="DG150" s="1669"/>
      <c r="DH150" s="1669"/>
      <c r="DI150" s="1669"/>
      <c r="DJ150" s="1669"/>
      <c r="DK150" s="1669"/>
      <c r="DL150" s="1669"/>
      <c r="DM150" s="1669"/>
      <c r="DN150" s="1669"/>
      <c r="DO150" s="767"/>
      <c r="DP150" s="1669"/>
      <c r="DQ150" s="1669"/>
      <c r="DR150" s="767"/>
      <c r="DS150" s="767"/>
      <c r="DT150" s="767"/>
      <c r="DU150" s="767"/>
      <c r="DV150" s="1675"/>
    </row>
    <row r="151" spans="1:256" ht="13.8" hidden="1">
      <c r="A151" s="1676"/>
      <c r="B151" s="550"/>
      <c r="C151" s="550"/>
      <c r="D151" s="550"/>
      <c r="E151" s="550"/>
      <c r="F151" s="550"/>
      <c r="G151" s="550"/>
      <c r="H151" s="550"/>
      <c r="I151" s="550"/>
      <c r="J151" s="550"/>
      <c r="K151" s="550"/>
      <c r="L151" s="550"/>
      <c r="M151" s="550"/>
      <c r="N151" s="550"/>
      <c r="O151" s="439"/>
      <c r="P151" s="439"/>
      <c r="Q151" s="674"/>
      <c r="R151" s="671"/>
      <c r="S151" s="767"/>
      <c r="T151" s="767"/>
      <c r="U151" s="767"/>
      <c r="V151" s="767"/>
      <c r="W151" s="767"/>
      <c r="X151" s="767"/>
      <c r="Y151" s="671"/>
      <c r="Z151" s="671"/>
      <c r="AA151" s="767"/>
      <c r="AB151" s="623"/>
      <c r="AC151" s="623"/>
      <c r="AD151" s="623"/>
      <c r="AE151" s="623"/>
      <c r="AF151" s="623"/>
      <c r="AG151" s="623"/>
      <c r="AH151" s="623"/>
      <c r="AI151" s="623"/>
      <c r="AJ151" s="623"/>
      <c r="AK151" s="623"/>
      <c r="AL151" s="623"/>
      <c r="AM151" s="623"/>
      <c r="AN151" s="623"/>
      <c r="AO151" s="623"/>
      <c r="AP151" s="623"/>
      <c r="AQ151" s="623"/>
      <c r="AR151" s="623"/>
      <c r="AS151" s="623"/>
      <c r="AT151" s="623"/>
      <c r="AU151" s="623"/>
      <c r="AV151" s="623"/>
      <c r="AW151" s="623"/>
      <c r="AX151" s="623"/>
      <c r="AY151" s="623"/>
      <c r="AZ151" s="623"/>
      <c r="BA151" s="623"/>
      <c r="BB151" s="623"/>
      <c r="BC151" s="623"/>
      <c r="BD151" s="623"/>
      <c r="BE151" s="623"/>
      <c r="BF151" s="623"/>
      <c r="BG151" s="623"/>
      <c r="BH151" s="623"/>
      <c r="BI151" s="623"/>
      <c r="BJ151" s="623"/>
      <c r="BK151" s="623"/>
      <c r="BL151" s="623"/>
      <c r="BM151" s="623"/>
      <c r="BN151" s="623"/>
      <c r="BO151" s="623"/>
      <c r="BP151" s="623"/>
      <c r="BQ151" s="623"/>
      <c r="BR151" s="623"/>
      <c r="BS151" s="623"/>
      <c r="BT151" s="623"/>
      <c r="BU151" s="623"/>
      <c r="BV151" s="623"/>
      <c r="BW151" s="623"/>
      <c r="BX151" s="623"/>
      <c r="BY151" s="623"/>
      <c r="BZ151" s="623"/>
      <c r="CA151" s="623"/>
      <c r="CB151" s="1669"/>
      <c r="CC151" s="1669"/>
      <c r="CD151" s="1669"/>
      <c r="CE151" s="1669"/>
      <c r="CF151" s="1669"/>
      <c r="CG151" s="1669"/>
      <c r="CH151" s="1669"/>
      <c r="CI151" s="1669"/>
      <c r="CJ151" s="1669"/>
      <c r="CK151" s="1669"/>
      <c r="CL151" s="1669"/>
      <c r="CM151" s="1669"/>
      <c r="CN151" s="1669"/>
      <c r="CO151" s="1669"/>
      <c r="CP151" s="1669"/>
      <c r="CQ151" s="1669"/>
      <c r="CR151" s="1669"/>
      <c r="CS151" s="1669"/>
      <c r="CT151" s="1669"/>
      <c r="CU151" s="1669"/>
      <c r="CV151" s="1669"/>
      <c r="CW151" s="1669"/>
      <c r="CX151" s="1669"/>
      <c r="CY151" s="817"/>
      <c r="CZ151" s="1669"/>
      <c r="DA151" s="1669"/>
      <c r="DB151" s="1669"/>
      <c r="DC151" s="767"/>
      <c r="DD151" s="1669"/>
      <c r="DE151" s="1669"/>
      <c r="DF151" s="1669"/>
      <c r="DG151" s="1669"/>
      <c r="DH151" s="1669"/>
      <c r="DI151" s="1669"/>
      <c r="DJ151" s="1669"/>
      <c r="DK151" s="1669"/>
      <c r="DL151" s="1669"/>
      <c r="DM151" s="1669"/>
      <c r="DN151" s="1669"/>
      <c r="DO151" s="767"/>
      <c r="DP151" s="1669"/>
      <c r="DQ151" s="1669"/>
      <c r="DR151" s="767"/>
      <c r="DS151" s="767"/>
      <c r="DT151" s="767"/>
      <c r="DU151" s="767"/>
      <c r="DV151" s="1675"/>
    </row>
    <row r="152" spans="1:256" ht="13.8" hidden="1">
      <c r="A152" s="1676"/>
      <c r="B152" s="550"/>
      <c r="C152" s="550"/>
      <c r="D152" s="550"/>
      <c r="E152" s="550"/>
      <c r="F152" s="550"/>
      <c r="G152" s="550"/>
      <c r="H152" s="550"/>
      <c r="I152" s="550"/>
      <c r="J152" s="550"/>
      <c r="K152" s="550"/>
      <c r="L152" s="550"/>
      <c r="M152" s="550"/>
      <c r="N152" s="550"/>
      <c r="O152" s="439"/>
      <c r="P152" s="439"/>
      <c r="Q152" s="674"/>
      <c r="R152" s="671"/>
      <c r="S152" s="767"/>
      <c r="T152" s="767"/>
      <c r="U152" s="767"/>
      <c r="V152" s="767"/>
      <c r="W152" s="767"/>
      <c r="X152" s="767"/>
      <c r="Y152" s="671"/>
      <c r="Z152" s="671"/>
      <c r="AA152" s="767"/>
      <c r="AB152" s="623"/>
      <c r="AC152" s="623"/>
      <c r="AD152" s="623"/>
      <c r="AE152" s="623"/>
      <c r="AF152" s="623"/>
      <c r="AG152" s="623"/>
      <c r="AH152" s="623"/>
      <c r="AI152" s="623"/>
      <c r="AJ152" s="623"/>
      <c r="AK152" s="623"/>
      <c r="AL152" s="623"/>
      <c r="AM152" s="623"/>
      <c r="AN152" s="623"/>
      <c r="AO152" s="623"/>
      <c r="AP152" s="623"/>
      <c r="AQ152" s="623"/>
      <c r="AR152" s="623"/>
      <c r="AS152" s="623"/>
      <c r="AT152" s="623"/>
      <c r="AU152" s="623"/>
      <c r="AV152" s="623"/>
      <c r="AW152" s="623"/>
      <c r="AX152" s="623"/>
      <c r="AY152" s="623"/>
      <c r="AZ152" s="623"/>
      <c r="BA152" s="623"/>
      <c r="BB152" s="623"/>
      <c r="BC152" s="623"/>
      <c r="BD152" s="623"/>
      <c r="BE152" s="623"/>
      <c r="BF152" s="623"/>
      <c r="BG152" s="623"/>
      <c r="BH152" s="623"/>
      <c r="BI152" s="623"/>
      <c r="BJ152" s="623"/>
      <c r="BK152" s="623"/>
      <c r="BL152" s="623"/>
      <c r="BM152" s="623"/>
      <c r="BN152" s="623"/>
      <c r="BO152" s="623"/>
      <c r="BP152" s="623"/>
      <c r="BQ152" s="623"/>
      <c r="BR152" s="623"/>
      <c r="BS152" s="623"/>
      <c r="BT152" s="623"/>
      <c r="BU152" s="623"/>
      <c r="BV152" s="623"/>
      <c r="BW152" s="623"/>
      <c r="BX152" s="623"/>
      <c r="BY152" s="623"/>
      <c r="BZ152" s="623"/>
      <c r="CA152" s="623"/>
      <c r="CB152" s="1669"/>
      <c r="CC152" s="1669"/>
      <c r="CD152" s="1669"/>
      <c r="CE152" s="1669"/>
      <c r="CF152" s="1669"/>
      <c r="CG152" s="1669"/>
      <c r="CH152" s="1669"/>
      <c r="CI152" s="1669"/>
      <c r="CJ152" s="1669"/>
      <c r="CK152" s="1669"/>
      <c r="CL152" s="1669"/>
      <c r="CM152" s="1669"/>
      <c r="CN152" s="1669"/>
      <c r="CO152" s="1669"/>
      <c r="CP152" s="1669"/>
      <c r="CQ152" s="1669"/>
      <c r="CR152" s="1669"/>
      <c r="CS152" s="1669"/>
      <c r="CT152" s="1669"/>
      <c r="CU152" s="1669"/>
      <c r="CV152" s="1669"/>
      <c r="CW152" s="1669"/>
      <c r="CX152" s="1669"/>
      <c r="CY152" s="817"/>
      <c r="CZ152" s="1669"/>
      <c r="DA152" s="1669"/>
      <c r="DB152" s="1669"/>
      <c r="DC152" s="767"/>
      <c r="DD152" s="1669"/>
      <c r="DE152" s="1669"/>
      <c r="DF152" s="1669"/>
      <c r="DG152" s="1669"/>
      <c r="DH152" s="1669"/>
      <c r="DI152" s="1669"/>
      <c r="DJ152" s="1669"/>
      <c r="DK152" s="1669"/>
      <c r="DL152" s="1669"/>
      <c r="DM152" s="1669"/>
      <c r="DN152" s="1669"/>
      <c r="DO152" s="767"/>
      <c r="DP152" s="1669"/>
      <c r="DQ152" s="1669"/>
      <c r="DR152" s="767"/>
      <c r="DS152" s="767"/>
      <c r="DT152" s="767"/>
      <c r="DU152" s="767"/>
      <c r="DV152" s="1675"/>
    </row>
    <row r="153" spans="1:256" ht="13.8" hidden="1">
      <c r="A153" s="1676"/>
      <c r="B153" s="550"/>
      <c r="C153" s="550"/>
      <c r="D153" s="550"/>
      <c r="E153" s="550"/>
      <c r="F153" s="550"/>
      <c r="G153" s="550"/>
      <c r="H153" s="550"/>
      <c r="I153" s="550"/>
      <c r="J153" s="550"/>
      <c r="K153" s="550"/>
      <c r="L153" s="550"/>
      <c r="M153" s="550"/>
      <c r="N153" s="550"/>
      <c r="O153" s="439"/>
      <c r="P153" s="439"/>
      <c r="Q153" s="674"/>
      <c r="R153" s="671"/>
      <c r="S153" s="767"/>
      <c r="T153" s="767"/>
      <c r="U153" s="767"/>
      <c r="V153" s="767"/>
      <c r="W153" s="767"/>
      <c r="X153" s="767"/>
      <c r="Y153" s="671"/>
      <c r="Z153" s="671"/>
      <c r="AA153" s="767"/>
      <c r="AB153" s="623"/>
      <c r="AC153" s="623"/>
      <c r="AD153" s="623"/>
      <c r="AE153" s="623"/>
      <c r="AF153" s="623"/>
      <c r="AG153" s="623"/>
      <c r="AH153" s="623"/>
      <c r="AI153" s="623"/>
      <c r="AJ153" s="623"/>
      <c r="AK153" s="623"/>
      <c r="AL153" s="623"/>
      <c r="AM153" s="623"/>
      <c r="AN153" s="623"/>
      <c r="AO153" s="623"/>
      <c r="AP153" s="623"/>
      <c r="AQ153" s="623"/>
      <c r="AR153" s="623"/>
      <c r="AS153" s="623"/>
      <c r="AT153" s="623"/>
      <c r="AU153" s="623"/>
      <c r="AV153" s="623"/>
      <c r="AW153" s="623"/>
      <c r="AX153" s="623"/>
      <c r="AY153" s="623"/>
      <c r="AZ153" s="623"/>
      <c r="BA153" s="623"/>
      <c r="BB153" s="623"/>
      <c r="BC153" s="623"/>
      <c r="BD153" s="623"/>
      <c r="BE153" s="623"/>
      <c r="BF153" s="623"/>
      <c r="BG153" s="623"/>
      <c r="BH153" s="623"/>
      <c r="BI153" s="623"/>
      <c r="BJ153" s="623"/>
      <c r="BK153" s="623"/>
      <c r="BL153" s="623"/>
      <c r="BM153" s="623"/>
      <c r="BN153" s="623"/>
      <c r="BO153" s="623"/>
      <c r="BP153" s="623"/>
      <c r="BQ153" s="623"/>
      <c r="BR153" s="623"/>
      <c r="BS153" s="623"/>
      <c r="BT153" s="623"/>
      <c r="BU153" s="623"/>
      <c r="BV153" s="623"/>
      <c r="BW153" s="623"/>
      <c r="BX153" s="623"/>
      <c r="BY153" s="623"/>
      <c r="BZ153" s="623"/>
      <c r="CA153" s="623"/>
      <c r="CB153" s="1669"/>
      <c r="CC153" s="1669"/>
      <c r="CD153" s="1669"/>
      <c r="CE153" s="1669"/>
      <c r="CF153" s="1669"/>
      <c r="CG153" s="1669"/>
      <c r="CH153" s="1669"/>
      <c r="CI153" s="1669"/>
      <c r="CJ153" s="1669"/>
      <c r="CK153" s="1669"/>
      <c r="CL153" s="1669"/>
      <c r="CM153" s="1669"/>
      <c r="CN153" s="1669"/>
      <c r="CO153" s="1669"/>
      <c r="CP153" s="1669"/>
      <c r="CQ153" s="1669"/>
      <c r="CR153" s="1669"/>
      <c r="CS153" s="1669"/>
      <c r="CT153" s="1669"/>
      <c r="CU153" s="1669"/>
      <c r="CV153" s="1669"/>
      <c r="CW153" s="1669"/>
      <c r="CX153" s="1669"/>
      <c r="CY153" s="817"/>
      <c r="CZ153" s="1669"/>
      <c r="DA153" s="1669"/>
      <c r="DB153" s="1669"/>
      <c r="DC153" s="767"/>
      <c r="DD153" s="1669"/>
      <c r="DE153" s="1669"/>
      <c r="DF153" s="1669"/>
      <c r="DG153" s="1669"/>
      <c r="DH153" s="1669"/>
      <c r="DI153" s="1669"/>
      <c r="DJ153" s="1669"/>
      <c r="DK153" s="1669"/>
      <c r="DL153" s="1669"/>
      <c r="DM153" s="1669"/>
      <c r="DN153" s="1669"/>
      <c r="DO153" s="767"/>
      <c r="DP153" s="1669"/>
      <c r="DQ153" s="1669"/>
      <c r="DR153" s="767"/>
      <c r="DS153" s="767"/>
      <c r="DT153" s="767"/>
      <c r="DU153" s="767"/>
      <c r="DV153" s="1675"/>
    </row>
    <row r="154" spans="1:256" ht="13.8" hidden="1">
      <c r="A154" s="1676"/>
      <c r="B154" s="550"/>
      <c r="C154" s="550"/>
      <c r="D154" s="550"/>
      <c r="E154" s="550"/>
      <c r="F154" s="550"/>
      <c r="G154" s="550"/>
      <c r="H154" s="550"/>
      <c r="I154" s="550"/>
      <c r="J154" s="550"/>
      <c r="K154" s="550"/>
      <c r="L154" s="550"/>
      <c r="M154" s="550"/>
      <c r="N154" s="550"/>
      <c r="O154" s="439"/>
      <c r="P154" s="439"/>
      <c r="Q154" s="674"/>
      <c r="R154" s="671"/>
      <c r="S154" s="767"/>
      <c r="T154" s="767"/>
      <c r="U154" s="767"/>
      <c r="V154" s="767"/>
      <c r="W154" s="767"/>
      <c r="X154" s="767"/>
      <c r="Y154" s="671"/>
      <c r="Z154" s="671"/>
      <c r="AA154" s="767"/>
      <c r="AB154" s="623"/>
      <c r="AC154" s="623"/>
      <c r="AD154" s="623"/>
      <c r="AE154" s="623"/>
      <c r="AF154" s="623"/>
      <c r="AG154" s="623"/>
      <c r="AH154" s="623"/>
      <c r="AI154" s="623"/>
      <c r="AJ154" s="623"/>
      <c r="AK154" s="623"/>
      <c r="AL154" s="623"/>
      <c r="AM154" s="623"/>
      <c r="AN154" s="623"/>
      <c r="AO154" s="623"/>
      <c r="AP154" s="623"/>
      <c r="AQ154" s="623"/>
      <c r="AR154" s="623"/>
      <c r="AS154" s="623"/>
      <c r="AT154" s="623"/>
      <c r="AU154" s="623"/>
      <c r="AV154" s="623"/>
      <c r="AW154" s="623"/>
      <c r="AX154" s="623"/>
      <c r="AY154" s="623"/>
      <c r="AZ154" s="623"/>
      <c r="BA154" s="623"/>
      <c r="BB154" s="623"/>
      <c r="BC154" s="623"/>
      <c r="BD154" s="623"/>
      <c r="BE154" s="623"/>
      <c r="BF154" s="623"/>
      <c r="BG154" s="623"/>
      <c r="BH154" s="623"/>
      <c r="BI154" s="623"/>
      <c r="BJ154" s="623"/>
      <c r="BK154" s="623"/>
      <c r="BL154" s="623"/>
      <c r="BM154" s="623"/>
      <c r="BN154" s="623"/>
      <c r="BO154" s="623"/>
      <c r="BP154" s="623"/>
      <c r="BQ154" s="623"/>
      <c r="BR154" s="623"/>
      <c r="BS154" s="623"/>
      <c r="BT154" s="623"/>
      <c r="BU154" s="623"/>
      <c r="BV154" s="623"/>
      <c r="BW154" s="623"/>
      <c r="BX154" s="623"/>
      <c r="BY154" s="623"/>
      <c r="BZ154" s="623"/>
      <c r="CA154" s="623"/>
      <c r="CB154" s="1669"/>
      <c r="CC154" s="1669"/>
      <c r="CD154" s="1669"/>
      <c r="CE154" s="1669"/>
      <c r="CF154" s="1669"/>
      <c r="CG154" s="1669"/>
      <c r="CH154" s="1669"/>
      <c r="CI154" s="1669"/>
      <c r="CJ154" s="1669"/>
      <c r="CK154" s="1669"/>
      <c r="CL154" s="1669"/>
      <c r="CM154" s="1669"/>
      <c r="CN154" s="1669"/>
      <c r="CO154" s="1669"/>
      <c r="CP154" s="1669"/>
      <c r="CQ154" s="1669"/>
      <c r="CR154" s="1669"/>
      <c r="CS154" s="1669"/>
      <c r="CT154" s="1669"/>
      <c r="CU154" s="1669"/>
      <c r="CV154" s="1669"/>
      <c r="CW154" s="1669"/>
      <c r="CX154" s="1669"/>
      <c r="CY154" s="817"/>
      <c r="CZ154" s="1669"/>
      <c r="DA154" s="1669"/>
      <c r="DB154" s="1669"/>
      <c r="DC154" s="767"/>
      <c r="DD154" s="1669"/>
      <c r="DE154" s="1669"/>
      <c r="DF154" s="1669"/>
      <c r="DG154" s="1669"/>
      <c r="DH154" s="1669"/>
      <c r="DI154" s="1669"/>
      <c r="DJ154" s="1669"/>
      <c r="DK154" s="1669"/>
      <c r="DL154" s="1669"/>
      <c r="DM154" s="1669"/>
      <c r="DN154" s="1669"/>
      <c r="DO154" s="767"/>
      <c r="DP154" s="1669"/>
      <c r="DQ154" s="1669"/>
      <c r="DR154" s="767"/>
      <c r="DS154" s="767"/>
      <c r="DT154" s="767"/>
      <c r="DU154" s="767"/>
      <c r="DV154" s="1675"/>
    </row>
    <row r="155" spans="1:256" ht="13.8" hidden="1">
      <c r="A155" s="1676"/>
      <c r="B155" s="1701"/>
      <c r="C155" s="550"/>
      <c r="D155" s="550"/>
      <c r="E155" s="550"/>
      <c r="F155" s="550"/>
      <c r="G155" s="550"/>
      <c r="H155" s="550"/>
      <c r="I155" s="550"/>
      <c r="J155" s="550"/>
      <c r="K155" s="550"/>
      <c r="L155" s="550"/>
      <c r="M155" s="550"/>
      <c r="N155" s="550"/>
      <c r="O155" s="439"/>
      <c r="P155" s="439"/>
      <c r="Q155" s="674"/>
      <c r="R155" s="671"/>
      <c r="S155" s="767"/>
      <c r="T155" s="767"/>
      <c r="U155" s="767"/>
      <c r="V155" s="767"/>
      <c r="W155" s="767"/>
      <c r="X155" s="767"/>
      <c r="Y155" s="671"/>
      <c r="Z155" s="671"/>
      <c r="AA155" s="767"/>
      <c r="AB155" s="623"/>
      <c r="AC155" s="623"/>
      <c r="AD155" s="623"/>
      <c r="AE155" s="623"/>
      <c r="AF155" s="623"/>
      <c r="AG155" s="623"/>
      <c r="AH155" s="623"/>
      <c r="AI155" s="623"/>
      <c r="AJ155" s="623"/>
      <c r="AK155" s="623"/>
      <c r="AL155" s="623"/>
      <c r="AM155" s="623"/>
      <c r="AN155" s="623"/>
      <c r="AO155" s="623"/>
      <c r="AP155" s="623"/>
      <c r="AQ155" s="623"/>
      <c r="AR155" s="623"/>
      <c r="AS155" s="623"/>
      <c r="AT155" s="623"/>
      <c r="AU155" s="623"/>
      <c r="AV155" s="623"/>
      <c r="AW155" s="623"/>
      <c r="AX155" s="623"/>
      <c r="AY155" s="623"/>
      <c r="AZ155" s="623"/>
      <c r="BA155" s="623"/>
      <c r="BB155" s="623"/>
      <c r="BC155" s="623"/>
      <c r="BD155" s="623"/>
      <c r="BE155" s="623"/>
      <c r="BF155" s="623"/>
      <c r="BG155" s="623"/>
      <c r="BH155" s="623"/>
      <c r="BI155" s="623"/>
      <c r="BJ155" s="623"/>
      <c r="BK155" s="623"/>
      <c r="BL155" s="623"/>
      <c r="BM155" s="623"/>
      <c r="BN155" s="623"/>
      <c r="BO155" s="623"/>
      <c r="BP155" s="623"/>
      <c r="BQ155" s="623"/>
      <c r="BR155" s="623"/>
      <c r="BS155" s="623"/>
      <c r="BT155" s="623"/>
      <c r="BU155" s="623"/>
      <c r="BV155" s="623"/>
      <c r="BW155" s="623"/>
      <c r="BX155" s="623"/>
      <c r="BY155" s="623"/>
      <c r="BZ155" s="623"/>
      <c r="CA155" s="623"/>
      <c r="CB155" s="1669"/>
      <c r="CC155" s="1669"/>
      <c r="CD155" s="1669"/>
      <c r="CE155" s="1669"/>
      <c r="CF155" s="1669"/>
      <c r="CG155" s="1669"/>
      <c r="CH155" s="1669"/>
      <c r="CI155" s="1669"/>
      <c r="CJ155" s="1669"/>
      <c r="CK155" s="1669"/>
      <c r="CL155" s="1669"/>
      <c r="CM155" s="1669"/>
      <c r="CN155" s="1669"/>
      <c r="CO155" s="1669"/>
      <c r="CP155" s="1669"/>
      <c r="CQ155" s="1669"/>
      <c r="CR155" s="1669"/>
      <c r="CS155" s="1669"/>
      <c r="CT155" s="1669"/>
      <c r="CU155" s="1669"/>
      <c r="CV155" s="1669"/>
      <c r="CW155" s="1669"/>
      <c r="CX155" s="1669"/>
      <c r="CY155" s="817"/>
      <c r="CZ155" s="1669"/>
      <c r="DA155" s="1669"/>
      <c r="DB155" s="1669"/>
      <c r="DC155" s="767"/>
      <c r="DD155" s="1669"/>
      <c r="DE155" s="1669"/>
      <c r="DF155" s="1669"/>
      <c r="DG155" s="1669"/>
      <c r="DH155" s="1669"/>
      <c r="DI155" s="1669"/>
      <c r="DJ155" s="1669"/>
      <c r="DK155" s="1669"/>
      <c r="DL155" s="1669"/>
      <c r="DM155" s="1669"/>
      <c r="DN155" s="1669"/>
      <c r="DO155" s="767"/>
      <c r="DP155" s="1669"/>
      <c r="DQ155" s="1669"/>
      <c r="DR155" s="767"/>
      <c r="DS155" s="767"/>
      <c r="DT155" s="767"/>
      <c r="DU155" s="767"/>
      <c r="DV155" s="1675"/>
    </row>
    <row r="156" spans="1:256" ht="13.8" hidden="1">
      <c r="A156" s="1676"/>
      <c r="B156" s="550"/>
      <c r="C156" s="550"/>
      <c r="D156" s="550"/>
      <c r="E156" s="550"/>
      <c r="F156" s="550"/>
      <c r="G156" s="550"/>
      <c r="H156" s="550"/>
      <c r="I156" s="550"/>
      <c r="J156" s="550"/>
      <c r="K156" s="550"/>
      <c r="L156" s="550"/>
      <c r="M156" s="550"/>
      <c r="N156" s="550"/>
      <c r="O156" s="439"/>
      <c r="P156" s="439"/>
      <c r="Q156" s="674"/>
      <c r="R156" s="671"/>
      <c r="S156" s="767"/>
      <c r="T156" s="767"/>
      <c r="U156" s="767"/>
      <c r="V156" s="767"/>
      <c r="W156" s="767"/>
      <c r="X156" s="767"/>
      <c r="Y156" s="671"/>
      <c r="Z156" s="671"/>
      <c r="AA156" s="767"/>
      <c r="AB156" s="623"/>
      <c r="AC156" s="623"/>
      <c r="AD156" s="623"/>
      <c r="AE156" s="623"/>
      <c r="AF156" s="623"/>
      <c r="AG156" s="623"/>
      <c r="AH156" s="623"/>
      <c r="AI156" s="623"/>
      <c r="AJ156" s="623"/>
      <c r="AK156" s="623"/>
      <c r="AL156" s="623"/>
      <c r="AM156" s="623"/>
      <c r="AN156" s="623"/>
      <c r="AO156" s="623"/>
      <c r="AP156" s="623"/>
      <c r="AQ156" s="623"/>
      <c r="AR156" s="623"/>
      <c r="AS156" s="623"/>
      <c r="AT156" s="623"/>
      <c r="AU156" s="623"/>
      <c r="AV156" s="623"/>
      <c r="AW156" s="623"/>
      <c r="AX156" s="623"/>
      <c r="AY156" s="623"/>
      <c r="AZ156" s="623"/>
      <c r="BA156" s="623"/>
      <c r="BB156" s="623"/>
      <c r="BC156" s="623"/>
      <c r="BD156" s="623"/>
      <c r="BE156" s="623"/>
      <c r="BF156" s="623"/>
      <c r="BG156" s="623"/>
      <c r="BH156" s="623"/>
      <c r="BI156" s="623"/>
      <c r="BJ156" s="623"/>
      <c r="BK156" s="623"/>
      <c r="BL156" s="623"/>
      <c r="BM156" s="623"/>
      <c r="BN156" s="623"/>
      <c r="BO156" s="623"/>
      <c r="BP156" s="623"/>
      <c r="BQ156" s="623"/>
      <c r="BR156" s="623"/>
      <c r="BS156" s="623"/>
      <c r="BT156" s="623"/>
      <c r="BU156" s="623"/>
      <c r="BV156" s="623"/>
      <c r="BW156" s="623"/>
      <c r="BX156" s="623"/>
      <c r="BY156" s="623"/>
      <c r="BZ156" s="623"/>
      <c r="CA156" s="623"/>
      <c r="CB156" s="1669"/>
      <c r="CC156" s="1669"/>
      <c r="CD156" s="1669"/>
      <c r="CE156" s="1669"/>
      <c r="CF156" s="1669"/>
      <c r="CG156" s="1669"/>
      <c r="CH156" s="1669"/>
      <c r="CI156" s="1669"/>
      <c r="CJ156" s="1669"/>
      <c r="CK156" s="1669"/>
      <c r="CL156" s="1669"/>
      <c r="CM156" s="1669"/>
      <c r="CN156" s="1669"/>
      <c r="CO156" s="1669"/>
      <c r="CP156" s="1669"/>
      <c r="CQ156" s="1669"/>
      <c r="CR156" s="1669"/>
      <c r="CS156" s="1669"/>
      <c r="CT156" s="1669"/>
      <c r="CU156" s="1669"/>
      <c r="CV156" s="1669"/>
      <c r="CW156" s="1669"/>
      <c r="CX156" s="1669"/>
      <c r="CY156" s="817"/>
      <c r="CZ156" s="1669"/>
      <c r="DA156" s="1669"/>
      <c r="DB156" s="1669"/>
      <c r="DC156" s="767"/>
      <c r="DD156" s="1669"/>
      <c r="DE156" s="1669"/>
      <c r="DF156" s="1669"/>
      <c r="DG156" s="1669"/>
      <c r="DH156" s="1669"/>
      <c r="DI156" s="1669"/>
      <c r="DJ156" s="1669"/>
      <c r="DK156" s="1669"/>
      <c r="DL156" s="1669"/>
      <c r="DM156" s="1669"/>
      <c r="DN156" s="1669"/>
      <c r="DO156" s="767"/>
      <c r="DP156" s="1669"/>
      <c r="DQ156" s="1669"/>
      <c r="DR156" s="767"/>
      <c r="DS156" s="767"/>
      <c r="DT156" s="767"/>
      <c r="DU156" s="767"/>
      <c r="DV156" s="1675"/>
    </row>
    <row r="157" spans="1:256" ht="13.8" hidden="1">
      <c r="A157" s="1676"/>
      <c r="B157" s="550"/>
      <c r="C157" s="550"/>
      <c r="D157" s="550"/>
      <c r="E157" s="550"/>
      <c r="F157" s="550"/>
      <c r="G157" s="550"/>
      <c r="H157" s="550"/>
      <c r="I157" s="550"/>
      <c r="J157" s="550"/>
      <c r="K157" s="550"/>
      <c r="L157" s="550"/>
      <c r="M157" s="550"/>
      <c r="N157" s="550"/>
      <c r="O157" s="439"/>
      <c r="P157" s="439"/>
      <c r="Q157" s="674"/>
      <c r="R157" s="671"/>
      <c r="S157" s="767"/>
      <c r="T157" s="767"/>
      <c r="U157" s="767"/>
      <c r="V157" s="767"/>
      <c r="W157" s="767"/>
      <c r="X157" s="767"/>
      <c r="Y157" s="671"/>
      <c r="Z157" s="671"/>
      <c r="AA157" s="767"/>
      <c r="AB157" s="623"/>
      <c r="AC157" s="623"/>
      <c r="AD157" s="623"/>
      <c r="AE157" s="623"/>
      <c r="AF157" s="623"/>
      <c r="AG157" s="623"/>
      <c r="AH157" s="623"/>
      <c r="AI157" s="623"/>
      <c r="AJ157" s="623"/>
      <c r="AK157" s="623"/>
      <c r="AL157" s="623"/>
      <c r="AM157" s="623"/>
      <c r="AN157" s="623"/>
      <c r="AO157" s="623"/>
      <c r="AP157" s="623"/>
      <c r="AQ157" s="623"/>
      <c r="AR157" s="623"/>
      <c r="AS157" s="623"/>
      <c r="AT157" s="623"/>
      <c r="AU157" s="623"/>
      <c r="AV157" s="623"/>
      <c r="AW157" s="623"/>
      <c r="AX157" s="623"/>
      <c r="AY157" s="623"/>
      <c r="AZ157" s="623"/>
      <c r="BA157" s="623"/>
      <c r="BB157" s="623"/>
      <c r="BC157" s="623"/>
      <c r="BD157" s="623"/>
      <c r="BE157" s="623"/>
      <c r="BF157" s="623"/>
      <c r="BG157" s="623"/>
      <c r="BH157" s="623"/>
      <c r="BI157" s="623"/>
      <c r="BJ157" s="623"/>
      <c r="BK157" s="623"/>
      <c r="BL157" s="623"/>
      <c r="BM157" s="623"/>
      <c r="BN157" s="623"/>
      <c r="BO157" s="623"/>
      <c r="BP157" s="623"/>
      <c r="BQ157" s="623"/>
      <c r="BR157" s="623"/>
      <c r="BS157" s="623"/>
      <c r="BT157" s="623"/>
      <c r="BU157" s="623"/>
      <c r="BV157" s="623"/>
      <c r="BW157" s="623"/>
      <c r="BX157" s="623"/>
      <c r="BY157" s="623"/>
      <c r="BZ157" s="623"/>
      <c r="CA157" s="623"/>
      <c r="CB157" s="1669"/>
      <c r="CC157" s="1669"/>
      <c r="CD157" s="1669"/>
      <c r="CE157" s="1669"/>
      <c r="CF157" s="1669"/>
      <c r="CG157" s="1669"/>
      <c r="CH157" s="1669"/>
      <c r="CI157" s="1669"/>
      <c r="CJ157" s="1669"/>
      <c r="CK157" s="1669"/>
      <c r="CL157" s="1669"/>
      <c r="CM157" s="1669"/>
      <c r="CN157" s="1669"/>
      <c r="CO157" s="1669"/>
      <c r="CP157" s="1669"/>
      <c r="CQ157" s="1669"/>
      <c r="CR157" s="1669"/>
      <c r="CS157" s="1669"/>
      <c r="CT157" s="1669"/>
      <c r="CU157" s="1669"/>
      <c r="CV157" s="1669"/>
      <c r="CW157" s="1669"/>
      <c r="CX157" s="1669"/>
      <c r="CY157" s="817"/>
      <c r="CZ157" s="1669"/>
      <c r="DA157" s="1669"/>
      <c r="DB157" s="1669"/>
      <c r="DC157" s="767"/>
      <c r="DD157" s="1669"/>
      <c r="DE157" s="1669"/>
      <c r="DF157" s="1669"/>
      <c r="DG157" s="1669"/>
      <c r="DH157" s="1669"/>
      <c r="DI157" s="1669"/>
      <c r="DJ157" s="1669"/>
      <c r="DK157" s="1669"/>
      <c r="DL157" s="1669"/>
      <c r="DM157" s="1669"/>
      <c r="DN157" s="1669"/>
      <c r="DO157" s="767"/>
      <c r="DP157" s="1669"/>
      <c r="DQ157" s="1669"/>
      <c r="DR157" s="767"/>
      <c r="DS157" s="767"/>
      <c r="DT157" s="767"/>
      <c r="DU157" s="767"/>
      <c r="DV157" s="1675"/>
    </row>
    <row r="158" spans="1:256" ht="13.8" hidden="1">
      <c r="A158" s="1676"/>
      <c r="B158" s="550"/>
      <c r="C158" s="550"/>
      <c r="D158" s="550"/>
      <c r="E158" s="550"/>
      <c r="F158" s="550"/>
      <c r="G158" s="550"/>
      <c r="H158" s="550"/>
      <c r="I158" s="550"/>
      <c r="J158" s="550"/>
      <c r="K158" s="550"/>
      <c r="L158" s="550"/>
      <c r="M158" s="550"/>
      <c r="N158" s="550"/>
      <c r="O158" s="439"/>
      <c r="P158" s="439"/>
      <c r="Q158" s="674"/>
      <c r="R158" s="671"/>
      <c r="S158" s="767"/>
      <c r="T158" s="767"/>
      <c r="U158" s="767"/>
      <c r="V158" s="767"/>
      <c r="W158" s="767"/>
      <c r="X158" s="767"/>
      <c r="Y158" s="671"/>
      <c r="Z158" s="671"/>
      <c r="AA158" s="767"/>
      <c r="AB158" s="623"/>
      <c r="AC158" s="623"/>
      <c r="AD158" s="623"/>
      <c r="AE158" s="623"/>
      <c r="AF158" s="623"/>
      <c r="AG158" s="623"/>
      <c r="AH158" s="623"/>
      <c r="AI158" s="623"/>
      <c r="AJ158" s="623"/>
      <c r="AK158" s="623"/>
      <c r="AL158" s="623"/>
      <c r="AM158" s="623"/>
      <c r="AN158" s="623"/>
      <c r="AO158" s="623"/>
      <c r="AP158" s="623"/>
      <c r="AQ158" s="623"/>
      <c r="AR158" s="623"/>
      <c r="AS158" s="623"/>
      <c r="AT158" s="623"/>
      <c r="AU158" s="623"/>
      <c r="AV158" s="623"/>
      <c r="AW158" s="623"/>
      <c r="AX158" s="623"/>
      <c r="AY158" s="623"/>
      <c r="AZ158" s="623"/>
      <c r="BA158" s="623"/>
      <c r="BB158" s="623"/>
      <c r="BC158" s="623"/>
      <c r="BD158" s="623"/>
      <c r="BE158" s="623"/>
      <c r="BF158" s="623"/>
      <c r="BG158" s="623"/>
      <c r="BH158" s="623"/>
      <c r="BI158" s="623"/>
      <c r="BJ158" s="623"/>
      <c r="BK158" s="623"/>
      <c r="BL158" s="623"/>
      <c r="BM158" s="623"/>
      <c r="BN158" s="623"/>
      <c r="BO158" s="623"/>
      <c r="BP158" s="623"/>
      <c r="BQ158" s="623"/>
      <c r="BR158" s="623"/>
      <c r="BS158" s="623"/>
      <c r="BT158" s="623"/>
      <c r="BU158" s="623"/>
      <c r="BV158" s="623"/>
      <c r="BW158" s="623"/>
      <c r="BX158" s="623"/>
      <c r="BY158" s="623"/>
      <c r="BZ158" s="623"/>
      <c r="CA158" s="623"/>
      <c r="CB158" s="1669"/>
      <c r="CC158" s="1669"/>
      <c r="CD158" s="1669"/>
      <c r="CE158" s="1669"/>
      <c r="CF158" s="1669"/>
      <c r="CG158" s="1669"/>
      <c r="CH158" s="1669"/>
      <c r="CI158" s="1669"/>
      <c r="CJ158" s="1669"/>
      <c r="CK158" s="1669"/>
      <c r="CL158" s="1669"/>
      <c r="CM158" s="1669"/>
      <c r="CN158" s="1669"/>
      <c r="CO158" s="1669"/>
      <c r="CP158" s="1669"/>
      <c r="CQ158" s="1669"/>
      <c r="CR158" s="1669"/>
      <c r="CS158" s="1669"/>
      <c r="CT158" s="1669"/>
      <c r="CU158" s="1669"/>
      <c r="CV158" s="1669"/>
      <c r="CW158" s="1669"/>
      <c r="CX158" s="1669"/>
      <c r="CY158" s="817"/>
      <c r="CZ158" s="1669"/>
      <c r="DA158" s="1669"/>
      <c r="DB158" s="1669"/>
      <c r="DC158" s="767"/>
      <c r="DD158" s="1669"/>
      <c r="DE158" s="1669"/>
      <c r="DF158" s="1669"/>
      <c r="DG158" s="1669"/>
      <c r="DH158" s="1669"/>
      <c r="DI158" s="1669"/>
      <c r="DJ158" s="1669"/>
      <c r="DK158" s="1669"/>
      <c r="DL158" s="1669"/>
      <c r="DM158" s="1669"/>
      <c r="DN158" s="1669"/>
      <c r="DO158" s="767"/>
      <c r="DP158" s="1669"/>
      <c r="DQ158" s="1669"/>
      <c r="DR158" s="767"/>
      <c r="DS158" s="767"/>
      <c r="DT158" s="767"/>
      <c r="DU158" s="767"/>
      <c r="DV158" s="1675"/>
    </row>
    <row r="159" spans="1:256" ht="13.8" hidden="1">
      <c r="A159" s="1676"/>
      <c r="B159" s="550"/>
      <c r="C159" s="550"/>
      <c r="D159" s="550"/>
      <c r="E159" s="550"/>
      <c r="F159" s="550"/>
      <c r="G159" s="550"/>
      <c r="H159" s="550"/>
      <c r="I159" s="550"/>
      <c r="J159" s="550"/>
      <c r="K159" s="550"/>
      <c r="L159" s="550"/>
      <c r="M159" s="550"/>
      <c r="N159" s="550"/>
      <c r="O159" s="439"/>
      <c r="P159" s="439"/>
      <c r="Q159" s="674"/>
      <c r="R159" s="671"/>
      <c r="S159" s="767"/>
      <c r="T159" s="767"/>
      <c r="U159" s="767"/>
      <c r="V159" s="767"/>
      <c r="W159" s="767"/>
      <c r="X159" s="767"/>
      <c r="Y159" s="671"/>
      <c r="Z159" s="671"/>
      <c r="AA159" s="767"/>
      <c r="AB159" s="623"/>
      <c r="AC159" s="623"/>
      <c r="AD159" s="623"/>
      <c r="AE159" s="623"/>
      <c r="AF159" s="623"/>
      <c r="AG159" s="623"/>
      <c r="AH159" s="623"/>
      <c r="AI159" s="623"/>
      <c r="AJ159" s="623"/>
      <c r="AK159" s="623"/>
      <c r="AL159" s="623"/>
      <c r="AM159" s="623"/>
      <c r="AN159" s="623"/>
      <c r="AO159" s="623"/>
      <c r="AP159" s="623"/>
      <c r="AQ159" s="623"/>
      <c r="AR159" s="623"/>
      <c r="AS159" s="623"/>
      <c r="AT159" s="623"/>
      <c r="AU159" s="623"/>
      <c r="AV159" s="623"/>
      <c r="AW159" s="623"/>
      <c r="AX159" s="623"/>
      <c r="AY159" s="623"/>
      <c r="AZ159" s="623"/>
      <c r="BA159" s="623"/>
      <c r="BB159" s="623"/>
      <c r="BC159" s="623"/>
      <c r="BD159" s="623"/>
      <c r="BE159" s="623"/>
      <c r="BF159" s="623"/>
      <c r="BG159" s="623"/>
      <c r="BH159" s="623"/>
      <c r="BI159" s="623"/>
      <c r="BJ159" s="623"/>
      <c r="BK159" s="623"/>
      <c r="BL159" s="623"/>
      <c r="BM159" s="623"/>
      <c r="BN159" s="623"/>
      <c r="BO159" s="623"/>
      <c r="BP159" s="623"/>
      <c r="BQ159" s="623"/>
      <c r="BR159" s="623"/>
      <c r="BS159" s="623"/>
      <c r="BT159" s="623"/>
      <c r="BU159" s="623"/>
      <c r="BV159" s="623"/>
      <c r="BW159" s="623"/>
      <c r="BX159" s="623"/>
      <c r="BY159" s="623"/>
      <c r="BZ159" s="623"/>
      <c r="CA159" s="623"/>
      <c r="CB159" s="1669"/>
      <c r="CC159" s="1669"/>
      <c r="CD159" s="1669"/>
      <c r="CE159" s="1669"/>
      <c r="CF159" s="1669"/>
      <c r="CG159" s="1669"/>
      <c r="CH159" s="1669"/>
      <c r="CI159" s="1669"/>
      <c r="CJ159" s="1669"/>
      <c r="CK159" s="1669"/>
      <c r="CL159" s="1669"/>
      <c r="CM159" s="1669"/>
      <c r="CN159" s="1669"/>
      <c r="CO159" s="1669"/>
      <c r="CP159" s="1669"/>
      <c r="CQ159" s="1669"/>
      <c r="CR159" s="1669"/>
      <c r="CS159" s="1669"/>
      <c r="CT159" s="1669"/>
      <c r="CU159" s="1669"/>
      <c r="CV159" s="1669"/>
      <c r="CW159" s="1669"/>
      <c r="CX159" s="1669"/>
      <c r="CY159" s="817"/>
      <c r="CZ159" s="1669"/>
      <c r="DA159" s="1669"/>
      <c r="DB159" s="1669"/>
      <c r="DC159" s="767"/>
      <c r="DD159" s="1669"/>
      <c r="DE159" s="1669"/>
      <c r="DF159" s="1669"/>
      <c r="DG159" s="1669"/>
      <c r="DH159" s="1669"/>
      <c r="DI159" s="1669"/>
      <c r="DJ159" s="1669"/>
      <c r="DK159" s="1669"/>
      <c r="DL159" s="1669"/>
      <c r="DM159" s="1669"/>
      <c r="DN159" s="1669"/>
      <c r="DO159" s="767"/>
      <c r="DP159" s="1669"/>
      <c r="DQ159" s="1669"/>
      <c r="DR159" s="767"/>
      <c r="DS159" s="767"/>
      <c r="DT159" s="767"/>
      <c r="DU159" s="767"/>
      <c r="DV159" s="1675"/>
    </row>
    <row r="160" spans="1:256" s="678" customFormat="1" ht="13.8" hidden="1">
      <c r="A160" s="1676"/>
      <c r="B160" s="550"/>
      <c r="C160" s="550"/>
      <c r="D160" s="550"/>
      <c r="E160" s="550"/>
      <c r="F160" s="550"/>
      <c r="G160" s="550"/>
      <c r="H160" s="550"/>
      <c r="I160" s="550"/>
      <c r="J160" s="676"/>
      <c r="K160" s="550"/>
      <c r="L160" s="550"/>
      <c r="M160" s="550"/>
      <c r="N160" s="550"/>
      <c r="O160" s="439"/>
      <c r="P160" s="439"/>
      <c r="Q160" s="674"/>
      <c r="R160" s="671"/>
      <c r="S160" s="767"/>
      <c r="T160" s="767"/>
      <c r="U160" s="767"/>
      <c r="V160" s="767"/>
      <c r="W160" s="767"/>
      <c r="X160" s="767"/>
      <c r="Y160" s="671"/>
      <c r="Z160" s="671"/>
      <c r="AA160" s="767"/>
      <c r="AB160" s="623"/>
      <c r="AC160" s="623"/>
      <c r="AD160" s="623"/>
      <c r="AE160" s="623"/>
      <c r="AF160" s="623"/>
      <c r="AG160" s="623"/>
      <c r="AH160" s="623"/>
      <c r="AI160" s="623"/>
      <c r="AJ160" s="623"/>
      <c r="AK160" s="623"/>
      <c r="AL160" s="623"/>
      <c r="AM160" s="623"/>
      <c r="AN160" s="623"/>
      <c r="AO160" s="623"/>
      <c r="AP160" s="623"/>
      <c r="AQ160" s="623"/>
      <c r="AR160" s="623"/>
      <c r="AS160" s="623"/>
      <c r="AT160" s="623"/>
      <c r="AU160" s="623"/>
      <c r="AV160" s="623"/>
      <c r="AW160" s="623"/>
      <c r="AX160" s="623"/>
      <c r="AY160" s="623"/>
      <c r="AZ160" s="623"/>
      <c r="BA160" s="623"/>
      <c r="BB160" s="623"/>
      <c r="BC160" s="623"/>
      <c r="BD160" s="623"/>
      <c r="BE160" s="623"/>
      <c r="BF160" s="623"/>
      <c r="BG160" s="623"/>
      <c r="BH160" s="623"/>
      <c r="BI160" s="623"/>
      <c r="BJ160" s="623"/>
      <c r="BK160" s="623"/>
      <c r="BL160" s="623"/>
      <c r="BM160" s="623"/>
      <c r="BN160" s="623"/>
      <c r="BO160" s="623"/>
      <c r="BP160" s="623"/>
      <c r="BQ160" s="623"/>
      <c r="BR160" s="623"/>
      <c r="BS160" s="623"/>
      <c r="BT160" s="623"/>
      <c r="BU160" s="623"/>
      <c r="BV160" s="623"/>
      <c r="BW160" s="623"/>
      <c r="BX160" s="623"/>
      <c r="BY160" s="623"/>
      <c r="BZ160" s="623"/>
      <c r="CA160" s="623"/>
      <c r="CB160" s="1669"/>
      <c r="CC160" s="1669"/>
      <c r="CD160" s="1669"/>
      <c r="CE160" s="1669"/>
      <c r="CF160" s="1669"/>
      <c r="CG160" s="1669"/>
      <c r="CH160" s="1669"/>
      <c r="CI160" s="1669"/>
      <c r="CJ160" s="1669"/>
      <c r="CK160" s="1669"/>
      <c r="CL160" s="1669"/>
      <c r="CM160" s="1669"/>
      <c r="CN160" s="1669"/>
      <c r="CO160" s="1669"/>
      <c r="CP160" s="1669"/>
      <c r="CQ160" s="1669"/>
      <c r="CR160" s="1669"/>
      <c r="CS160" s="1669"/>
      <c r="CT160" s="1669"/>
      <c r="CU160" s="1669"/>
      <c r="CV160" s="1669"/>
      <c r="CW160" s="1669"/>
      <c r="CX160" s="1669"/>
      <c r="CY160" s="817"/>
      <c r="CZ160" s="1669"/>
      <c r="DA160" s="1669"/>
      <c r="DB160" s="1669"/>
      <c r="DC160" s="767"/>
      <c r="DD160" s="1669"/>
      <c r="DE160" s="1669"/>
      <c r="DF160" s="1669"/>
      <c r="DG160" s="1669"/>
      <c r="DH160" s="1669"/>
      <c r="DI160" s="1669"/>
      <c r="DJ160" s="1669"/>
      <c r="DK160" s="1669"/>
      <c r="DL160" s="1669"/>
      <c r="DM160" s="1669"/>
      <c r="DN160" s="1669"/>
      <c r="DO160" s="767"/>
      <c r="DP160" s="1669"/>
      <c r="DQ160" s="1669"/>
      <c r="DR160" s="767"/>
      <c r="DS160" s="767"/>
      <c r="DT160" s="767"/>
      <c r="DU160" s="767"/>
      <c r="DV160" s="1675"/>
      <c r="DW160" s="530"/>
      <c r="DX160" s="530"/>
      <c r="DY160" s="530"/>
      <c r="DZ160" s="530"/>
      <c r="EA160" s="530"/>
      <c r="EB160" s="530"/>
      <c r="EC160" s="530"/>
      <c r="ED160" s="530"/>
      <c r="EE160" s="530"/>
      <c r="EF160" s="530"/>
      <c r="EG160" s="530"/>
      <c r="EH160" s="530"/>
      <c r="EI160" s="530"/>
      <c r="EJ160" s="530"/>
      <c r="EK160" s="530"/>
      <c r="EL160" s="530"/>
      <c r="EM160" s="530"/>
      <c r="EN160" s="530"/>
      <c r="EO160" s="530"/>
      <c r="EP160" s="530"/>
      <c r="EQ160" s="530"/>
      <c r="ER160" s="530"/>
      <c r="ES160" s="530"/>
      <c r="ET160" s="530"/>
      <c r="EU160" s="530"/>
      <c r="EV160" s="530"/>
      <c r="EW160" s="530"/>
      <c r="EX160" s="530"/>
      <c r="EY160" s="530"/>
      <c r="EZ160" s="530"/>
      <c r="FA160" s="530"/>
      <c r="FB160" s="530"/>
      <c r="FC160" s="530"/>
      <c r="FD160" s="530"/>
      <c r="FE160" s="530"/>
      <c r="FF160" s="530"/>
      <c r="FG160" s="530"/>
      <c r="FH160" s="530"/>
      <c r="FI160" s="530"/>
      <c r="FJ160" s="530"/>
      <c r="FK160" s="530"/>
      <c r="FL160" s="530"/>
      <c r="FM160" s="530"/>
      <c r="FN160" s="530"/>
      <c r="FO160" s="530"/>
      <c r="FP160" s="530"/>
      <c r="FQ160" s="530"/>
      <c r="FR160" s="530"/>
      <c r="FS160" s="530"/>
      <c r="FT160" s="530"/>
      <c r="FU160" s="530"/>
      <c r="FV160" s="530"/>
      <c r="FW160" s="530"/>
      <c r="FX160" s="530"/>
      <c r="FY160" s="530"/>
      <c r="FZ160" s="530"/>
      <c r="GA160" s="530"/>
      <c r="GB160" s="530"/>
      <c r="GC160" s="530"/>
      <c r="GD160" s="530"/>
      <c r="GE160" s="530"/>
      <c r="GF160" s="530"/>
      <c r="GG160" s="530"/>
      <c r="GH160" s="530"/>
      <c r="GI160" s="530"/>
      <c r="GJ160" s="530"/>
      <c r="GK160" s="530"/>
      <c r="GL160" s="530"/>
      <c r="GM160" s="530"/>
      <c r="GN160" s="530"/>
      <c r="GO160" s="530"/>
      <c r="GP160" s="530"/>
      <c r="GQ160" s="530"/>
      <c r="GR160" s="530"/>
      <c r="GS160" s="530"/>
      <c r="GT160" s="530"/>
      <c r="GU160" s="530"/>
      <c r="GV160" s="530"/>
      <c r="GW160" s="530"/>
      <c r="GX160" s="530"/>
      <c r="GY160" s="530"/>
      <c r="GZ160" s="530"/>
      <c r="HA160" s="530"/>
      <c r="HB160" s="530"/>
      <c r="HC160" s="530"/>
      <c r="HD160" s="530"/>
      <c r="HE160" s="530"/>
      <c r="HF160" s="530"/>
      <c r="HG160" s="530"/>
      <c r="HH160" s="530"/>
      <c r="HI160" s="530"/>
      <c r="HJ160" s="530"/>
      <c r="HK160" s="530"/>
      <c r="HL160" s="530"/>
      <c r="HM160" s="530"/>
      <c r="HN160" s="530"/>
      <c r="HO160" s="530"/>
      <c r="HP160" s="530"/>
      <c r="HQ160" s="530"/>
      <c r="HR160" s="530"/>
      <c r="HS160" s="530"/>
      <c r="HT160" s="530"/>
      <c r="HU160" s="530"/>
      <c r="HV160" s="530"/>
      <c r="HW160" s="530"/>
      <c r="HX160" s="530"/>
      <c r="HY160" s="530"/>
      <c r="HZ160" s="530"/>
      <c r="IA160" s="530"/>
      <c r="IB160" s="530"/>
      <c r="IC160" s="530"/>
      <c r="ID160" s="530"/>
      <c r="IE160" s="530"/>
      <c r="IF160" s="530"/>
      <c r="IG160" s="530"/>
      <c r="IH160" s="530"/>
      <c r="II160" s="530"/>
      <c r="IJ160" s="530"/>
      <c r="IK160" s="530"/>
      <c r="IL160" s="530"/>
      <c r="IM160" s="530"/>
      <c r="IN160" s="530"/>
      <c r="IO160" s="530"/>
      <c r="IP160" s="530"/>
      <c r="IQ160" s="530"/>
      <c r="IR160" s="530"/>
      <c r="IS160" s="530"/>
      <c r="IT160" s="530"/>
      <c r="IU160" s="530"/>
      <c r="IV160" s="530"/>
    </row>
    <row r="161" spans="1:256" s="688" customFormat="1" ht="13.8" hidden="1">
      <c r="A161" s="1686"/>
      <c r="B161" s="1687"/>
      <c r="C161" s="1688"/>
      <c r="D161" s="1688"/>
      <c r="E161" s="1688"/>
      <c r="F161" s="1688"/>
      <c r="G161" s="1688"/>
      <c r="H161" s="1688"/>
      <c r="I161" s="1688"/>
      <c r="J161" s="1688"/>
      <c r="K161" s="1688"/>
      <c r="L161" s="1688"/>
      <c r="M161" s="1688"/>
      <c r="N161" s="1688"/>
      <c r="O161" s="1688"/>
      <c r="P161" s="1688"/>
      <c r="Q161" s="1688"/>
      <c r="R161" s="1688"/>
      <c r="S161" s="1688"/>
      <c r="T161" s="1688"/>
      <c r="U161" s="1688"/>
      <c r="V161" s="1688"/>
      <c r="W161" s="1688"/>
      <c r="X161" s="1688"/>
      <c r="Y161" s="1688"/>
      <c r="Z161" s="1688"/>
      <c r="AA161" s="1688"/>
      <c r="AB161" s="1688"/>
      <c r="AC161" s="1688"/>
      <c r="AD161" s="1688"/>
      <c r="AE161" s="1688"/>
      <c r="AF161" s="1688"/>
      <c r="AG161" s="1688"/>
      <c r="AH161" s="1688"/>
      <c r="AI161" s="1688"/>
      <c r="AJ161" s="1688"/>
      <c r="AK161" s="1688"/>
      <c r="AL161" s="1688"/>
      <c r="AM161" s="1688"/>
      <c r="AN161" s="1688"/>
      <c r="AO161" s="1688"/>
      <c r="AP161" s="1688"/>
      <c r="AQ161" s="1688"/>
      <c r="AR161" s="1688"/>
      <c r="AS161" s="1688"/>
      <c r="AT161" s="1688"/>
      <c r="AU161" s="1688"/>
      <c r="AV161" s="1688"/>
      <c r="AW161" s="1688"/>
      <c r="AX161" s="1688"/>
      <c r="AY161" s="1688"/>
      <c r="AZ161" s="1688"/>
      <c r="BA161" s="1688"/>
      <c r="BB161" s="1688"/>
      <c r="BC161" s="1688"/>
      <c r="BD161" s="1688"/>
      <c r="BE161" s="1688"/>
      <c r="BF161" s="1688"/>
      <c r="BG161" s="1688"/>
      <c r="BH161" s="1688"/>
      <c r="BI161" s="1688"/>
      <c r="BJ161" s="1688"/>
      <c r="BK161" s="1688"/>
      <c r="BL161" s="1688"/>
      <c r="BM161" s="1688"/>
      <c r="BN161" s="1688"/>
      <c r="BO161" s="1688"/>
      <c r="BP161" s="1688"/>
      <c r="BQ161" s="1688"/>
      <c r="BR161" s="1688"/>
      <c r="BS161" s="1688"/>
      <c r="BT161" s="1688"/>
      <c r="BU161" s="1688"/>
      <c r="BV161" s="1688"/>
      <c r="BW161" s="1688"/>
      <c r="BX161" s="1688"/>
      <c r="BY161" s="1688"/>
      <c r="BZ161" s="1688"/>
      <c r="CA161" s="1688"/>
      <c r="CB161" s="1688"/>
      <c r="CC161" s="1688"/>
      <c r="CD161" s="1688"/>
      <c r="CE161" s="1669"/>
      <c r="CF161" s="1688"/>
      <c r="CG161" s="1688"/>
      <c r="CH161" s="1688"/>
      <c r="CI161" s="1688"/>
      <c r="CJ161" s="1688"/>
      <c r="CK161" s="1688"/>
      <c r="CL161" s="1688"/>
      <c r="CM161" s="1688"/>
      <c r="CN161" s="1688"/>
      <c r="CO161" s="1688"/>
      <c r="CP161" s="1688"/>
      <c r="CQ161" s="1688"/>
      <c r="CR161" s="1688"/>
      <c r="CS161" s="1688"/>
      <c r="CT161" s="1688"/>
      <c r="CU161" s="1688"/>
      <c r="CV161" s="1688"/>
      <c r="CW161" s="1688"/>
      <c r="CX161" s="1688"/>
      <c r="CY161" s="1689"/>
      <c r="CZ161" s="1688"/>
      <c r="DA161" s="1688"/>
      <c r="DB161" s="1688"/>
      <c r="DC161" s="1688"/>
      <c r="DD161" s="1688"/>
      <c r="DE161" s="1688"/>
      <c r="DF161" s="1688"/>
      <c r="DG161" s="1688"/>
      <c r="DH161" s="1688"/>
      <c r="DI161" s="1688"/>
      <c r="DJ161" s="1688"/>
      <c r="DK161" s="1688"/>
      <c r="DL161" s="1688"/>
      <c r="DM161" s="1688"/>
      <c r="DN161" s="1688"/>
      <c r="DO161" s="1688"/>
      <c r="DP161" s="1688"/>
      <c r="DQ161" s="1688"/>
      <c r="DR161" s="1688"/>
      <c r="DS161" s="1688"/>
      <c r="DT161" s="1688"/>
      <c r="DU161" s="1688"/>
      <c r="DV161" s="1690"/>
      <c r="DW161" s="688">
        <f>+DU161*0.4</f>
        <v>0</v>
      </c>
      <c r="DX161" s="688">
        <f>+DW161/0.22</f>
        <v>0</v>
      </c>
    </row>
    <row r="162" spans="1:256" s="553" customFormat="1" ht="18.75" hidden="1" customHeight="1">
      <c r="A162" s="1702"/>
      <c r="B162" s="1703"/>
      <c r="C162" s="1703"/>
      <c r="D162" s="1703"/>
      <c r="E162" s="1703"/>
      <c r="F162" s="1703"/>
      <c r="G162" s="1703"/>
      <c r="H162" s="1703"/>
      <c r="I162" s="1703"/>
      <c r="J162" s="1703"/>
      <c r="K162" s="1703"/>
      <c r="L162" s="1703"/>
      <c r="M162" s="1703"/>
      <c r="N162" s="1703"/>
      <c r="O162" s="1703"/>
      <c r="P162" s="1703"/>
      <c r="Q162" s="1703"/>
      <c r="R162" s="1703"/>
      <c r="S162" s="1704"/>
      <c r="T162" s="1704"/>
      <c r="U162" s="1704"/>
      <c r="V162" s="1704"/>
      <c r="W162" s="1704"/>
      <c r="X162" s="1704"/>
      <c r="Y162" s="1704"/>
      <c r="Z162" s="1704"/>
      <c r="AA162" s="1704"/>
      <c r="AB162" s="1704"/>
      <c r="AC162" s="1704"/>
      <c r="AD162" s="1704"/>
      <c r="AE162" s="1704"/>
      <c r="AF162" s="1704"/>
      <c r="AG162" s="1704"/>
      <c r="AH162" s="1704"/>
      <c r="AI162" s="1704"/>
      <c r="AJ162" s="1704"/>
      <c r="AK162" s="1704"/>
      <c r="AL162" s="1704"/>
      <c r="AM162" s="1704"/>
      <c r="AN162" s="1704"/>
      <c r="AO162" s="1704"/>
      <c r="AP162" s="1704"/>
      <c r="AQ162" s="1704"/>
      <c r="AR162" s="1704"/>
      <c r="AS162" s="1704"/>
      <c r="AT162" s="1704"/>
      <c r="AU162" s="1704"/>
      <c r="AV162" s="1704"/>
      <c r="AW162" s="1704"/>
      <c r="AX162" s="1704"/>
      <c r="AY162" s="1704"/>
      <c r="AZ162" s="1704"/>
      <c r="BA162" s="1704"/>
      <c r="BB162" s="1704"/>
      <c r="BC162" s="1704"/>
      <c r="BD162" s="1704"/>
      <c r="BE162" s="1704"/>
      <c r="BF162" s="1704"/>
      <c r="BG162" s="1704"/>
      <c r="BH162" s="1704"/>
      <c r="BI162" s="1704"/>
      <c r="BJ162" s="1704"/>
      <c r="BK162" s="1704"/>
      <c r="BL162" s="1704"/>
      <c r="BM162" s="1704"/>
      <c r="BN162" s="1704"/>
      <c r="BO162" s="1704"/>
      <c r="BP162" s="1704"/>
      <c r="BQ162" s="1704"/>
      <c r="BR162" s="1704"/>
      <c r="BS162" s="1704"/>
      <c r="BT162" s="1704"/>
      <c r="BU162" s="1704"/>
      <c r="BV162" s="1704"/>
      <c r="BW162" s="1704"/>
      <c r="BX162" s="1704"/>
      <c r="BY162" s="1704"/>
      <c r="BZ162" s="1704"/>
      <c r="CA162" s="1704"/>
      <c r="CB162" s="1704"/>
      <c r="CC162" s="1704"/>
      <c r="CD162" s="1704"/>
      <c r="CE162" s="1669"/>
      <c r="CF162" s="1704"/>
      <c r="CG162" s="1704"/>
      <c r="CH162" s="1704"/>
      <c r="CI162" s="1704"/>
      <c r="CJ162" s="1704"/>
      <c r="CK162" s="1704"/>
      <c r="CL162" s="1704"/>
      <c r="CM162" s="1704"/>
      <c r="CN162" s="1704"/>
      <c r="CO162" s="1704"/>
      <c r="CP162" s="1704"/>
      <c r="CQ162" s="1704"/>
      <c r="CR162" s="1704"/>
      <c r="CS162" s="1704"/>
      <c r="CT162" s="1704"/>
      <c r="CU162" s="1704"/>
      <c r="CV162" s="1704"/>
      <c r="CW162" s="1704"/>
      <c r="CX162" s="1704"/>
      <c r="CY162" s="1705"/>
      <c r="CZ162" s="1704"/>
      <c r="DA162" s="1704"/>
      <c r="DB162" s="1704"/>
      <c r="DC162" s="1704"/>
      <c r="DD162" s="1704"/>
      <c r="DE162" s="1704"/>
      <c r="DF162" s="1704"/>
      <c r="DG162" s="1704"/>
      <c r="DH162" s="1704"/>
      <c r="DI162" s="1704"/>
      <c r="DJ162" s="1704"/>
      <c r="DK162" s="1704"/>
      <c r="DL162" s="1704"/>
      <c r="DM162" s="1704"/>
      <c r="DN162" s="1704"/>
      <c r="DO162" s="1704"/>
      <c r="DP162" s="1704"/>
      <c r="DQ162" s="1704"/>
      <c r="DR162" s="1704"/>
      <c r="DS162" s="1704"/>
      <c r="DT162" s="1704"/>
      <c r="DU162" s="1704"/>
      <c r="DV162" s="1706"/>
      <c r="IR162" s="530"/>
      <c r="IS162" s="530"/>
      <c r="IT162" s="530"/>
      <c r="IU162" s="530"/>
      <c r="IV162" s="530"/>
    </row>
    <row r="163" spans="1:256" ht="17.25" hidden="1" customHeight="1">
      <c r="A163" s="1676"/>
      <c r="B163" s="550"/>
      <c r="C163" s="550"/>
      <c r="D163" s="550"/>
      <c r="E163" s="550"/>
      <c r="F163" s="550"/>
      <c r="G163" s="550"/>
      <c r="H163" s="550"/>
      <c r="I163" s="550"/>
      <c r="J163" s="550"/>
      <c r="K163" s="550"/>
      <c r="L163" s="550"/>
      <c r="M163" s="550"/>
      <c r="N163" s="550"/>
      <c r="O163" s="439"/>
      <c r="P163" s="439"/>
      <c r="Q163" s="439"/>
      <c r="R163" s="550"/>
      <c r="S163" s="550"/>
      <c r="T163" s="550"/>
      <c r="U163" s="550"/>
      <c r="V163" s="550"/>
      <c r="W163" s="439"/>
      <c r="X163" s="439"/>
      <c r="Y163" s="439"/>
      <c r="Z163" s="439"/>
      <c r="AA163" s="439"/>
      <c r="AB163" s="439"/>
      <c r="AC163" s="439"/>
      <c r="AD163" s="439"/>
      <c r="AE163" s="439"/>
      <c r="AF163" s="439"/>
      <c r="AG163" s="439"/>
      <c r="AH163" s="439"/>
      <c r="AI163" s="439"/>
      <c r="AJ163" s="439"/>
      <c r="AK163" s="439"/>
      <c r="AL163" s="439"/>
      <c r="AM163" s="439"/>
      <c r="AN163" s="439"/>
      <c r="AO163" s="439"/>
      <c r="AP163" s="439"/>
      <c r="AQ163" s="439"/>
      <c r="AR163" s="439"/>
      <c r="AS163" s="439"/>
      <c r="AT163" s="439"/>
      <c r="AU163" s="439"/>
      <c r="AV163" s="439"/>
      <c r="AW163" s="439"/>
      <c r="AX163" s="439"/>
      <c r="AY163" s="439"/>
      <c r="AZ163" s="439"/>
      <c r="BA163" s="439"/>
      <c r="BB163" s="439"/>
      <c r="BC163" s="439"/>
      <c r="BD163" s="439"/>
      <c r="BE163" s="439"/>
      <c r="BF163" s="439"/>
      <c r="BG163" s="439"/>
      <c r="BH163" s="439"/>
      <c r="BI163" s="439"/>
      <c r="BJ163" s="439"/>
      <c r="BK163" s="439"/>
      <c r="BL163" s="439"/>
      <c r="BM163" s="439"/>
      <c r="BN163" s="439"/>
      <c r="BO163" s="439"/>
      <c r="BP163" s="439"/>
      <c r="BQ163" s="674"/>
      <c r="BR163" s="674"/>
      <c r="BS163" s="674"/>
      <c r="BT163" s="674"/>
      <c r="BU163" s="674"/>
      <c r="BV163" s="674"/>
      <c r="BW163" s="550"/>
      <c r="BX163" s="550"/>
      <c r="BY163" s="550"/>
      <c r="BZ163" s="550"/>
      <c r="CA163" s="550"/>
      <c r="CB163" s="550"/>
      <c r="CC163" s="550"/>
      <c r="CD163" s="550"/>
      <c r="CE163" s="1669"/>
      <c r="CF163" s="550"/>
      <c r="CG163" s="550"/>
      <c r="CH163" s="550"/>
      <c r="CI163" s="550"/>
      <c r="CJ163" s="550"/>
      <c r="CK163" s="550"/>
      <c r="CL163" s="550"/>
      <c r="CM163" s="550"/>
      <c r="CN163" s="550"/>
      <c r="CO163" s="550"/>
      <c r="CP163" s="550"/>
      <c r="CQ163" s="550"/>
      <c r="CR163" s="550"/>
      <c r="CS163" s="550"/>
      <c r="CT163" s="550"/>
      <c r="CU163" s="550"/>
      <c r="CV163" s="550"/>
      <c r="CW163" s="550"/>
      <c r="CX163" s="550"/>
      <c r="CY163" s="1707"/>
      <c r="CZ163" s="550"/>
      <c r="DA163" s="550"/>
      <c r="DB163" s="550"/>
      <c r="DC163" s="550"/>
      <c r="DD163" s="550"/>
      <c r="DE163" s="550"/>
      <c r="DF163" s="550"/>
      <c r="DG163" s="550"/>
      <c r="DH163" s="550"/>
      <c r="DI163" s="550"/>
      <c r="DJ163" s="550"/>
      <c r="DK163" s="550"/>
      <c r="DL163" s="550"/>
      <c r="DM163" s="550"/>
      <c r="DN163" s="550"/>
      <c r="DO163" s="550"/>
      <c r="DP163" s="550"/>
      <c r="DQ163" s="550"/>
      <c r="DR163" s="550"/>
      <c r="DS163" s="550"/>
      <c r="DT163" s="550"/>
      <c r="DU163" s="550"/>
      <c r="DV163" s="1675"/>
      <c r="IR163" s="542"/>
      <c r="IS163" s="542"/>
      <c r="IT163" s="542"/>
      <c r="IU163" s="542"/>
      <c r="IV163" s="542"/>
    </row>
    <row r="164" spans="1:256" ht="18.75" hidden="1" customHeight="1">
      <c r="A164" s="1708"/>
      <c r="B164" s="1709"/>
      <c r="C164" s="1710"/>
      <c r="D164" s="1710"/>
      <c r="E164" s="1710"/>
      <c r="F164" s="1710"/>
      <c r="G164" s="1710"/>
      <c r="H164" s="1710"/>
      <c r="I164" s="1710"/>
      <c r="J164" s="1710"/>
      <c r="K164" s="1710"/>
      <c r="L164" s="1710"/>
      <c r="M164" s="1710"/>
      <c r="N164" s="1710"/>
      <c r="O164" s="1710"/>
      <c r="P164" s="1710"/>
      <c r="Q164" s="1710"/>
      <c r="R164" s="1710"/>
      <c r="S164" s="1710"/>
      <c r="T164" s="1710"/>
      <c r="U164" s="1710"/>
      <c r="V164" s="1710"/>
      <c r="W164" s="1710"/>
      <c r="X164" s="1710"/>
      <c r="Y164" s="1710"/>
      <c r="Z164" s="1710"/>
      <c r="AA164" s="1710"/>
      <c r="AB164" s="1710"/>
      <c r="AC164" s="1710"/>
      <c r="AD164" s="1710"/>
      <c r="AE164" s="1710"/>
      <c r="AF164" s="1710"/>
      <c r="AG164" s="1710"/>
      <c r="AH164" s="1710"/>
      <c r="AI164" s="1710"/>
      <c r="AJ164" s="1710"/>
      <c r="AK164" s="1710"/>
      <c r="AL164" s="1710"/>
      <c r="AM164" s="1710"/>
      <c r="AN164" s="1710"/>
      <c r="AO164" s="1710"/>
      <c r="AP164" s="1710"/>
      <c r="AQ164" s="1710"/>
      <c r="AR164" s="1710"/>
      <c r="AS164" s="1710"/>
      <c r="AT164" s="1710"/>
      <c r="AU164" s="1710"/>
      <c r="AV164" s="1710"/>
      <c r="AW164" s="1710"/>
      <c r="AX164" s="1710"/>
      <c r="AY164" s="1710"/>
      <c r="AZ164" s="1710"/>
      <c r="BA164" s="1710"/>
      <c r="BB164" s="1710"/>
      <c r="BC164" s="1710"/>
      <c r="BD164" s="1710"/>
      <c r="BE164" s="1710"/>
      <c r="BF164" s="1710"/>
      <c r="BG164" s="1710"/>
      <c r="BH164" s="1710"/>
      <c r="BI164" s="1710"/>
      <c r="BJ164" s="1710"/>
      <c r="BK164" s="1710"/>
      <c r="BL164" s="1710"/>
      <c r="BM164" s="1710"/>
      <c r="BN164" s="1710"/>
      <c r="BO164" s="1710"/>
      <c r="BP164" s="1710"/>
      <c r="BQ164" s="1710"/>
      <c r="BR164" s="1710"/>
      <c r="BS164" s="1710"/>
      <c r="BT164" s="1710"/>
      <c r="BU164" s="1710"/>
      <c r="BV164" s="1710"/>
      <c r="BW164" s="1710"/>
      <c r="BX164" s="1710"/>
      <c r="BY164" s="1710"/>
      <c r="BZ164" s="1710"/>
      <c r="CA164" s="1710"/>
      <c r="CB164" s="1710"/>
      <c r="CC164" s="1710"/>
      <c r="CD164" s="1710"/>
      <c r="CE164" s="1669"/>
      <c r="CF164" s="1710"/>
      <c r="CG164" s="1710"/>
      <c r="CH164" s="1710"/>
      <c r="CI164" s="1710"/>
      <c r="CJ164" s="1710"/>
      <c r="CK164" s="1710"/>
      <c r="CL164" s="1710"/>
      <c r="CM164" s="1710"/>
      <c r="CN164" s="1710"/>
      <c r="CO164" s="1710"/>
      <c r="CP164" s="1710"/>
      <c r="CQ164" s="1710"/>
      <c r="CR164" s="1710"/>
      <c r="CS164" s="1710"/>
      <c r="CT164" s="1710"/>
      <c r="CU164" s="1710"/>
      <c r="CV164" s="1710"/>
      <c r="CW164" s="1710"/>
      <c r="CX164" s="1710"/>
      <c r="CY164" s="1711"/>
      <c r="CZ164" s="1710"/>
      <c r="DA164" s="1710"/>
      <c r="DB164" s="1710"/>
      <c r="DC164" s="1710"/>
      <c r="DD164" s="1710"/>
      <c r="DE164" s="1710"/>
      <c r="DF164" s="1710"/>
      <c r="DG164" s="1710"/>
      <c r="DH164" s="1710"/>
      <c r="DI164" s="1710"/>
      <c r="DJ164" s="1710"/>
      <c r="DK164" s="1710"/>
      <c r="DL164" s="1710"/>
      <c r="DM164" s="1710"/>
      <c r="DN164" s="1710"/>
      <c r="DO164" s="1710"/>
      <c r="DP164" s="1710"/>
      <c r="DQ164" s="1710"/>
      <c r="DR164" s="1710"/>
      <c r="DS164" s="1710"/>
      <c r="DT164" s="1710"/>
      <c r="DU164" s="1710"/>
      <c r="DV164" s="1706"/>
    </row>
    <row r="165" spans="1:256" s="545" customFormat="1" ht="18" hidden="1" customHeight="1">
      <c r="A165" s="1682"/>
      <c r="B165" s="1023"/>
      <c r="C165" s="1023"/>
      <c r="D165" s="1023"/>
      <c r="E165" s="1023"/>
      <c r="F165" s="1023"/>
      <c r="G165" s="1023"/>
      <c r="H165" s="1023"/>
      <c r="I165" s="1023"/>
      <c r="J165" s="1023"/>
      <c r="K165" s="1023"/>
      <c r="L165" s="1023"/>
      <c r="M165" s="1023"/>
      <c r="N165" s="1023"/>
      <c r="O165" s="1023"/>
      <c r="P165" s="1023"/>
      <c r="Q165" s="1023"/>
      <c r="R165" s="1023"/>
      <c r="S165" s="1023"/>
      <c r="T165" s="1023"/>
      <c r="U165" s="1023"/>
      <c r="V165" s="1023"/>
      <c r="W165" s="1023"/>
      <c r="X165" s="1023"/>
      <c r="Y165" s="1023"/>
      <c r="Z165" s="1023"/>
      <c r="AA165" s="1023"/>
      <c r="AB165" s="1023"/>
      <c r="AC165" s="1023"/>
      <c r="AD165" s="1023"/>
      <c r="AE165" s="1023"/>
      <c r="AF165" s="1023"/>
      <c r="AG165" s="1023"/>
      <c r="AH165" s="1023"/>
      <c r="AI165" s="1023"/>
      <c r="AJ165" s="1023"/>
      <c r="AK165" s="1023"/>
      <c r="AL165" s="1023"/>
      <c r="AM165" s="1023"/>
      <c r="AN165" s="1023"/>
      <c r="AO165" s="1023"/>
      <c r="AP165" s="1023"/>
      <c r="AQ165" s="1023"/>
      <c r="AR165" s="1023"/>
      <c r="AS165" s="1023"/>
      <c r="AT165" s="1023"/>
      <c r="AU165" s="1023"/>
      <c r="AV165" s="1023"/>
      <c r="AW165" s="1023"/>
      <c r="AX165" s="1023"/>
      <c r="AY165" s="1023"/>
      <c r="AZ165" s="1023"/>
      <c r="BA165" s="1023"/>
      <c r="BB165" s="1023"/>
      <c r="BC165" s="1023"/>
      <c r="BD165" s="1023"/>
      <c r="BE165" s="1023"/>
      <c r="BF165" s="1023"/>
      <c r="BG165" s="1023"/>
      <c r="BH165" s="1023"/>
      <c r="BI165" s="1023"/>
      <c r="BJ165" s="1023"/>
      <c r="BK165" s="1023"/>
      <c r="BL165" s="1023"/>
      <c r="BM165" s="1023"/>
      <c r="BN165" s="1023"/>
      <c r="BO165" s="1023"/>
      <c r="BP165" s="1023"/>
      <c r="BQ165" s="1023"/>
      <c r="BR165" s="1023"/>
      <c r="BS165" s="1023"/>
      <c r="BT165" s="1023"/>
      <c r="BU165" s="1023"/>
      <c r="BV165" s="1023"/>
      <c r="BW165" s="1023"/>
      <c r="BX165" s="1023"/>
      <c r="BY165" s="1023"/>
      <c r="BZ165" s="1023"/>
      <c r="CA165" s="1023"/>
      <c r="CB165" s="1023"/>
      <c r="CC165" s="1023"/>
      <c r="CD165" s="1023"/>
      <c r="CE165" s="1669"/>
      <c r="CF165" s="1023"/>
      <c r="CG165" s="1023"/>
      <c r="CH165" s="1023"/>
      <c r="CI165" s="1023"/>
      <c r="CJ165" s="1023"/>
      <c r="CK165" s="1023"/>
      <c r="CL165" s="1023"/>
      <c r="CM165" s="1023"/>
      <c r="CN165" s="1023"/>
      <c r="CO165" s="1023"/>
      <c r="CP165" s="1023"/>
      <c r="CQ165" s="1023"/>
      <c r="CR165" s="1023"/>
      <c r="CS165" s="1023"/>
      <c r="CT165" s="1023"/>
      <c r="CU165" s="1023"/>
      <c r="CV165" s="1023"/>
      <c r="CW165" s="1023"/>
      <c r="CX165" s="1023"/>
      <c r="CY165" s="1683"/>
      <c r="CZ165" s="1023"/>
      <c r="DA165" s="1023"/>
      <c r="DB165" s="1023"/>
      <c r="DC165" s="1023"/>
      <c r="DD165" s="1023"/>
      <c r="DE165" s="1023"/>
      <c r="DF165" s="1023"/>
      <c r="DG165" s="1023"/>
      <c r="DH165" s="1023"/>
      <c r="DI165" s="1023"/>
      <c r="DJ165" s="1023"/>
      <c r="DK165" s="1023"/>
      <c r="DL165" s="1023"/>
      <c r="DM165" s="1023"/>
      <c r="DN165" s="1023"/>
      <c r="DO165" s="1023"/>
      <c r="DP165" s="1023"/>
      <c r="DQ165" s="1023"/>
      <c r="DR165" s="1023"/>
      <c r="DS165" s="1023"/>
      <c r="DT165" s="1023"/>
      <c r="DU165" s="1023"/>
      <c r="DV165" s="1684"/>
      <c r="DW165" s="530"/>
      <c r="DX165" s="530"/>
      <c r="DY165" s="530"/>
      <c r="DZ165" s="530"/>
      <c r="EA165" s="530"/>
      <c r="EB165" s="530"/>
      <c r="EC165" s="530"/>
      <c r="ED165" s="530"/>
      <c r="EE165" s="530"/>
      <c r="EF165" s="530"/>
      <c r="EG165" s="530"/>
      <c r="EH165" s="530"/>
      <c r="EI165" s="530"/>
      <c r="EJ165" s="530"/>
      <c r="EK165" s="530"/>
      <c r="EL165" s="530"/>
      <c r="EM165" s="530"/>
      <c r="EN165" s="530"/>
      <c r="EO165" s="530"/>
      <c r="EP165" s="530"/>
      <c r="EQ165" s="530"/>
      <c r="ER165" s="530"/>
      <c r="ES165" s="530"/>
      <c r="ET165" s="530"/>
      <c r="EU165" s="530"/>
      <c r="EV165" s="530"/>
      <c r="EW165" s="530"/>
      <c r="EX165" s="530"/>
      <c r="EY165" s="530"/>
      <c r="EZ165" s="530"/>
      <c r="FA165" s="530"/>
      <c r="FB165" s="530"/>
      <c r="FC165" s="530"/>
      <c r="FD165" s="530"/>
      <c r="FE165" s="530"/>
      <c r="FF165" s="530"/>
      <c r="FG165" s="530"/>
      <c r="FH165" s="530"/>
      <c r="FI165" s="530"/>
      <c r="FJ165" s="530"/>
      <c r="FK165" s="530"/>
      <c r="FL165" s="530"/>
      <c r="FM165" s="530"/>
      <c r="FN165" s="530"/>
      <c r="FO165" s="530"/>
      <c r="FP165" s="530"/>
      <c r="FQ165" s="530"/>
      <c r="FR165" s="530"/>
      <c r="FS165" s="530"/>
      <c r="FT165" s="530"/>
      <c r="FU165" s="530"/>
      <c r="FV165" s="530"/>
      <c r="FW165" s="530"/>
      <c r="FX165" s="530"/>
      <c r="FY165" s="530"/>
      <c r="FZ165" s="530"/>
      <c r="GA165" s="530"/>
      <c r="GB165" s="530"/>
      <c r="GC165" s="530"/>
      <c r="GD165" s="530"/>
      <c r="GE165" s="530"/>
      <c r="GF165" s="530"/>
      <c r="GG165" s="530"/>
      <c r="GH165" s="530"/>
      <c r="GI165" s="530"/>
      <c r="GJ165" s="530"/>
      <c r="GK165" s="530"/>
      <c r="GL165" s="530"/>
      <c r="GM165" s="530"/>
      <c r="GN165" s="530"/>
      <c r="GO165" s="530"/>
      <c r="GP165" s="530"/>
      <c r="GQ165" s="530"/>
      <c r="GR165" s="530"/>
      <c r="GS165" s="530"/>
      <c r="GT165" s="530"/>
      <c r="GU165" s="530"/>
      <c r="GV165" s="530"/>
      <c r="GW165" s="530"/>
      <c r="GX165" s="530"/>
      <c r="GY165" s="530"/>
      <c r="GZ165" s="530"/>
      <c r="HA165" s="530"/>
      <c r="HB165" s="530"/>
      <c r="HC165" s="530"/>
      <c r="HD165" s="530"/>
      <c r="HE165" s="530"/>
      <c r="HF165" s="530"/>
      <c r="HG165" s="530"/>
      <c r="HH165" s="530"/>
      <c r="HI165" s="530"/>
      <c r="HJ165" s="530"/>
      <c r="HK165" s="530"/>
      <c r="HL165" s="530"/>
      <c r="HM165" s="530"/>
      <c r="HN165" s="530"/>
      <c r="HO165" s="530"/>
      <c r="HP165" s="530"/>
      <c r="HQ165" s="530"/>
      <c r="HR165" s="530"/>
      <c r="HS165" s="530"/>
      <c r="HT165" s="530"/>
      <c r="HU165" s="530"/>
      <c r="HV165" s="530"/>
      <c r="HW165" s="530"/>
      <c r="HX165" s="530"/>
      <c r="HY165" s="530"/>
      <c r="HZ165" s="530"/>
      <c r="IA165" s="530"/>
      <c r="IB165" s="530"/>
      <c r="IC165" s="530"/>
      <c r="ID165" s="530"/>
      <c r="IE165" s="530"/>
      <c r="IF165" s="530"/>
      <c r="IG165" s="530"/>
      <c r="IH165" s="530"/>
      <c r="II165" s="530"/>
      <c r="IJ165" s="530"/>
      <c r="IK165" s="530"/>
      <c r="IL165" s="530"/>
      <c r="IM165" s="530"/>
      <c r="IN165" s="530"/>
      <c r="IO165" s="530"/>
      <c r="IP165" s="530"/>
      <c r="IQ165" s="530"/>
      <c r="IR165" s="530"/>
      <c r="IS165" s="530"/>
      <c r="IT165" s="530"/>
      <c r="IU165" s="530"/>
      <c r="IV165" s="530"/>
    </row>
    <row r="166" spans="1:256" s="545" customFormat="1" ht="18" hidden="1" customHeight="1">
      <c r="A166" s="1712"/>
      <c r="B166" s="1023"/>
      <c r="C166" s="1023"/>
      <c r="D166" s="1023"/>
      <c r="E166" s="1023"/>
      <c r="F166" s="1023"/>
      <c r="G166" s="1023"/>
      <c r="H166" s="1023"/>
      <c r="I166" s="1023"/>
      <c r="J166" s="1023"/>
      <c r="K166" s="1023"/>
      <c r="L166" s="1023"/>
      <c r="M166" s="1023"/>
      <c r="N166" s="1023"/>
      <c r="O166" s="1023"/>
      <c r="P166" s="1023"/>
      <c r="Q166" s="1023"/>
      <c r="R166" s="1023"/>
      <c r="S166" s="1023"/>
      <c r="T166" s="1023"/>
      <c r="U166" s="1023"/>
      <c r="V166" s="1023"/>
      <c r="W166" s="1023"/>
      <c r="X166" s="1023"/>
      <c r="Y166" s="1023"/>
      <c r="Z166" s="1023"/>
      <c r="AA166" s="1023"/>
      <c r="AB166" s="1023"/>
      <c r="AC166" s="1023"/>
      <c r="AD166" s="1023"/>
      <c r="AE166" s="1023"/>
      <c r="AF166" s="1023"/>
      <c r="AG166" s="1023"/>
      <c r="AH166" s="1023"/>
      <c r="AI166" s="1023"/>
      <c r="AJ166" s="1023"/>
      <c r="AK166" s="1023"/>
      <c r="AL166" s="1023"/>
      <c r="AM166" s="1023"/>
      <c r="AN166" s="1023"/>
      <c r="AO166" s="1023"/>
      <c r="AP166" s="1023"/>
      <c r="AQ166" s="1023"/>
      <c r="AR166" s="1023"/>
      <c r="AS166" s="1023"/>
      <c r="AT166" s="1023"/>
      <c r="AU166" s="1023"/>
      <c r="AV166" s="1023"/>
      <c r="AW166" s="1023"/>
      <c r="AX166" s="1023"/>
      <c r="AY166" s="1023"/>
      <c r="AZ166" s="1023"/>
      <c r="BA166" s="1023"/>
      <c r="BB166" s="1023"/>
      <c r="BC166" s="1023"/>
      <c r="BD166" s="1023"/>
      <c r="BE166" s="1023"/>
      <c r="BF166" s="1023"/>
      <c r="BG166" s="1023"/>
      <c r="BH166" s="1023"/>
      <c r="BI166" s="1023"/>
      <c r="BJ166" s="1023"/>
      <c r="BK166" s="1023"/>
      <c r="BL166" s="1023"/>
      <c r="BM166" s="1023"/>
      <c r="BN166" s="1023"/>
      <c r="BO166" s="1023"/>
      <c r="BP166" s="1023"/>
      <c r="BQ166" s="1023"/>
      <c r="BR166" s="1023"/>
      <c r="BS166" s="1023"/>
      <c r="BT166" s="1023"/>
      <c r="BU166" s="1023"/>
      <c r="BV166" s="1023"/>
      <c r="BW166" s="1023"/>
      <c r="BX166" s="1023"/>
      <c r="BY166" s="1023"/>
      <c r="BZ166" s="1023"/>
      <c r="CA166" s="1023"/>
      <c r="CB166" s="1023"/>
      <c r="CC166" s="1023"/>
      <c r="CD166" s="1023"/>
      <c r="CE166" s="1669"/>
      <c r="CF166" s="1023"/>
      <c r="CG166" s="1023"/>
      <c r="CH166" s="1023"/>
      <c r="CI166" s="1023"/>
      <c r="CJ166" s="1023"/>
      <c r="CK166" s="1023"/>
      <c r="CL166" s="1023"/>
      <c r="CM166" s="1023"/>
      <c r="CN166" s="1023"/>
      <c r="CO166" s="1023"/>
      <c r="CP166" s="1023"/>
      <c r="CQ166" s="1023"/>
      <c r="CR166" s="1023"/>
      <c r="CS166" s="1023"/>
      <c r="CT166" s="1023"/>
      <c r="CU166" s="1023"/>
      <c r="CV166" s="1023"/>
      <c r="CW166" s="1023"/>
      <c r="CX166" s="1023"/>
      <c r="CY166" s="1683"/>
      <c r="CZ166" s="1023"/>
      <c r="DA166" s="1023"/>
      <c r="DB166" s="1023"/>
      <c r="DC166" s="1023"/>
      <c r="DD166" s="1023"/>
      <c r="DE166" s="1023"/>
      <c r="DF166" s="1023"/>
      <c r="DG166" s="1023"/>
      <c r="DH166" s="1023"/>
      <c r="DI166" s="1023"/>
      <c r="DJ166" s="1023"/>
      <c r="DK166" s="1023"/>
      <c r="DL166" s="1023"/>
      <c r="DM166" s="1023"/>
      <c r="DN166" s="1023"/>
      <c r="DO166" s="1023"/>
      <c r="DP166" s="1023"/>
      <c r="DQ166" s="1023"/>
      <c r="DR166" s="1023"/>
      <c r="DS166" s="1023"/>
      <c r="DT166" s="1023"/>
      <c r="DU166" s="1023"/>
      <c r="DV166" s="1684"/>
      <c r="DW166" s="530"/>
      <c r="DX166" s="530"/>
      <c r="DY166" s="530"/>
      <c r="DZ166" s="530"/>
      <c r="EA166" s="530"/>
      <c r="EB166" s="530"/>
      <c r="EC166" s="530"/>
      <c r="ED166" s="530"/>
      <c r="EE166" s="530"/>
      <c r="EF166" s="530"/>
      <c r="EG166" s="530"/>
      <c r="EH166" s="530"/>
      <c r="EI166" s="530"/>
      <c r="EJ166" s="530"/>
      <c r="EK166" s="530"/>
      <c r="EL166" s="530"/>
      <c r="EM166" s="530"/>
      <c r="EN166" s="530"/>
      <c r="EO166" s="530"/>
      <c r="EP166" s="530"/>
      <c r="EQ166" s="530"/>
      <c r="ER166" s="530"/>
      <c r="ES166" s="530"/>
      <c r="ET166" s="530"/>
      <c r="EU166" s="530"/>
      <c r="EV166" s="530"/>
      <c r="EW166" s="530"/>
      <c r="EX166" s="530"/>
      <c r="EY166" s="530"/>
      <c r="EZ166" s="530"/>
      <c r="FA166" s="530"/>
      <c r="FB166" s="530"/>
      <c r="FC166" s="530"/>
      <c r="FD166" s="530"/>
      <c r="FE166" s="530"/>
      <c r="FF166" s="530"/>
      <c r="FG166" s="530"/>
      <c r="FH166" s="530"/>
      <c r="FI166" s="530"/>
      <c r="FJ166" s="530"/>
      <c r="FK166" s="530"/>
      <c r="FL166" s="530"/>
      <c r="FM166" s="530"/>
      <c r="FN166" s="530"/>
      <c r="FO166" s="530"/>
      <c r="FP166" s="530"/>
      <c r="FQ166" s="530"/>
      <c r="FR166" s="530"/>
      <c r="FS166" s="530"/>
      <c r="FT166" s="530"/>
      <c r="FU166" s="530"/>
      <c r="FV166" s="530"/>
      <c r="FW166" s="530"/>
      <c r="FX166" s="530"/>
      <c r="FY166" s="530"/>
      <c r="FZ166" s="530"/>
      <c r="GA166" s="530"/>
      <c r="GB166" s="530"/>
      <c r="GC166" s="530"/>
      <c r="GD166" s="530"/>
      <c r="GE166" s="530"/>
      <c r="GF166" s="530"/>
      <c r="GG166" s="530"/>
      <c r="GH166" s="530"/>
      <c r="GI166" s="530"/>
      <c r="GJ166" s="530"/>
      <c r="GK166" s="530"/>
      <c r="GL166" s="530"/>
      <c r="GM166" s="530"/>
      <c r="GN166" s="530"/>
      <c r="GO166" s="530"/>
      <c r="GP166" s="530"/>
      <c r="GQ166" s="530"/>
      <c r="GR166" s="530"/>
      <c r="GS166" s="530"/>
      <c r="GT166" s="530"/>
      <c r="GU166" s="530"/>
      <c r="GV166" s="530"/>
      <c r="GW166" s="530"/>
      <c r="GX166" s="530"/>
      <c r="GY166" s="530"/>
      <c r="GZ166" s="530"/>
      <c r="HA166" s="530"/>
      <c r="HB166" s="530"/>
      <c r="HC166" s="530"/>
      <c r="HD166" s="530"/>
      <c r="HE166" s="530"/>
      <c r="HF166" s="530"/>
      <c r="HG166" s="530"/>
      <c r="HH166" s="530"/>
      <c r="HI166" s="530"/>
      <c r="HJ166" s="530"/>
      <c r="HK166" s="530"/>
      <c r="HL166" s="530"/>
      <c r="HM166" s="530"/>
      <c r="HN166" s="530"/>
      <c r="HO166" s="530"/>
      <c r="HP166" s="530"/>
      <c r="HQ166" s="530"/>
      <c r="HR166" s="530"/>
      <c r="HS166" s="530"/>
      <c r="HT166" s="530"/>
      <c r="HU166" s="530"/>
      <c r="HV166" s="530"/>
      <c r="HW166" s="530"/>
      <c r="HX166" s="530"/>
      <c r="HY166" s="530"/>
      <c r="HZ166" s="530"/>
      <c r="IA166" s="530"/>
      <c r="IB166" s="530"/>
      <c r="IC166" s="530"/>
      <c r="ID166" s="530"/>
      <c r="IE166" s="530"/>
      <c r="IF166" s="530"/>
      <c r="IG166" s="530"/>
      <c r="IH166" s="530"/>
      <c r="II166" s="530"/>
      <c r="IJ166" s="530"/>
      <c r="IK166" s="530"/>
      <c r="IL166" s="530"/>
      <c r="IM166" s="530"/>
      <c r="IN166" s="530"/>
      <c r="IO166" s="530"/>
      <c r="IP166" s="530"/>
      <c r="IQ166" s="530"/>
      <c r="IR166" s="530"/>
      <c r="IS166" s="530"/>
      <c r="IT166" s="530"/>
      <c r="IU166" s="530"/>
      <c r="IV166" s="530"/>
    </row>
    <row r="167" spans="1:256" s="545" customFormat="1" ht="18" hidden="1" customHeight="1">
      <c r="A167" s="1685"/>
      <c r="B167" s="1023"/>
      <c r="C167" s="1023"/>
      <c r="D167" s="1023"/>
      <c r="E167" s="1023"/>
      <c r="F167" s="1023"/>
      <c r="G167" s="1023"/>
      <c r="H167" s="1023"/>
      <c r="I167" s="1023"/>
      <c r="J167" s="1023"/>
      <c r="K167" s="1023"/>
      <c r="L167" s="1023"/>
      <c r="M167" s="1023"/>
      <c r="N167" s="1023"/>
      <c r="O167" s="1023"/>
      <c r="P167" s="1023"/>
      <c r="Q167" s="1023"/>
      <c r="R167" s="1023"/>
      <c r="S167" s="1023"/>
      <c r="T167" s="1023"/>
      <c r="U167" s="1023"/>
      <c r="V167" s="1023"/>
      <c r="W167" s="1023"/>
      <c r="X167" s="1023"/>
      <c r="Y167" s="1023"/>
      <c r="Z167" s="1023"/>
      <c r="AA167" s="1023"/>
      <c r="AB167" s="1023"/>
      <c r="AC167" s="1023"/>
      <c r="AD167" s="1023"/>
      <c r="AE167" s="1023"/>
      <c r="AF167" s="1023"/>
      <c r="AG167" s="1023"/>
      <c r="AH167" s="1023"/>
      <c r="AI167" s="1023"/>
      <c r="AJ167" s="1023"/>
      <c r="AK167" s="1023"/>
      <c r="AL167" s="1023"/>
      <c r="AM167" s="1023"/>
      <c r="AN167" s="1023"/>
      <c r="AO167" s="1023"/>
      <c r="AP167" s="1023"/>
      <c r="AQ167" s="1023"/>
      <c r="AR167" s="1023"/>
      <c r="AS167" s="1023"/>
      <c r="AT167" s="1023"/>
      <c r="AU167" s="1023"/>
      <c r="AV167" s="1023"/>
      <c r="AW167" s="1023"/>
      <c r="AX167" s="1023"/>
      <c r="AY167" s="1023"/>
      <c r="AZ167" s="1023"/>
      <c r="BA167" s="1023"/>
      <c r="BB167" s="1023"/>
      <c r="BC167" s="1023"/>
      <c r="BD167" s="1023"/>
      <c r="BE167" s="1023"/>
      <c r="BF167" s="1023"/>
      <c r="BG167" s="1023"/>
      <c r="BH167" s="1023"/>
      <c r="BI167" s="1023"/>
      <c r="BJ167" s="1023"/>
      <c r="BK167" s="1023"/>
      <c r="BL167" s="1023"/>
      <c r="BM167" s="1023"/>
      <c r="BN167" s="1023"/>
      <c r="BO167" s="1023"/>
      <c r="BP167" s="1023"/>
      <c r="BQ167" s="1023"/>
      <c r="BR167" s="1023"/>
      <c r="BS167" s="1023"/>
      <c r="BT167" s="1023"/>
      <c r="BU167" s="1023"/>
      <c r="BV167" s="1023"/>
      <c r="BW167" s="1023"/>
      <c r="BX167" s="1023"/>
      <c r="BY167" s="1023"/>
      <c r="BZ167" s="1023"/>
      <c r="CA167" s="1023"/>
      <c r="CB167" s="1023"/>
      <c r="CC167" s="1023"/>
      <c r="CD167" s="1023"/>
      <c r="CE167" s="1669"/>
      <c r="CF167" s="1023"/>
      <c r="CG167" s="1023"/>
      <c r="CH167" s="1023"/>
      <c r="CI167" s="1023"/>
      <c r="CJ167" s="1023"/>
      <c r="CK167" s="1023"/>
      <c r="CL167" s="1023"/>
      <c r="CM167" s="1023"/>
      <c r="CN167" s="1023"/>
      <c r="CO167" s="1023"/>
      <c r="CP167" s="1023"/>
      <c r="CQ167" s="1023"/>
      <c r="CR167" s="1023"/>
      <c r="CS167" s="1023"/>
      <c r="CT167" s="1023"/>
      <c r="CU167" s="1023"/>
      <c r="CV167" s="1023"/>
      <c r="CW167" s="1023"/>
      <c r="CX167" s="1023"/>
      <c r="CY167" s="1683"/>
      <c r="CZ167" s="1023"/>
      <c r="DA167" s="1023"/>
      <c r="DB167" s="1023"/>
      <c r="DC167" s="1023"/>
      <c r="DD167" s="1023"/>
      <c r="DE167" s="1023"/>
      <c r="DF167" s="1023"/>
      <c r="DG167" s="1023"/>
      <c r="DH167" s="1023"/>
      <c r="DI167" s="1023"/>
      <c r="DJ167" s="1023"/>
      <c r="DK167" s="1023"/>
      <c r="DL167" s="1023"/>
      <c r="DM167" s="1023"/>
      <c r="DN167" s="1023"/>
      <c r="DO167" s="1023"/>
      <c r="DP167" s="1023"/>
      <c r="DQ167" s="1023"/>
      <c r="DR167" s="1023"/>
      <c r="DS167" s="1023"/>
      <c r="DT167" s="1023"/>
      <c r="DU167" s="1023"/>
      <c r="DV167" s="1684"/>
      <c r="DW167" s="530"/>
      <c r="DX167" s="530"/>
      <c r="DY167" s="530"/>
      <c r="DZ167" s="530"/>
      <c r="EA167" s="530"/>
      <c r="EB167" s="530"/>
      <c r="EC167" s="530"/>
      <c r="ED167" s="530"/>
      <c r="EE167" s="530"/>
      <c r="EF167" s="530"/>
      <c r="EG167" s="530"/>
      <c r="EH167" s="530"/>
      <c r="EI167" s="530"/>
      <c r="EJ167" s="530"/>
      <c r="EK167" s="530"/>
      <c r="EL167" s="530"/>
      <c r="EM167" s="530"/>
      <c r="EN167" s="530"/>
      <c r="EO167" s="530"/>
      <c r="EP167" s="530"/>
      <c r="EQ167" s="530"/>
      <c r="ER167" s="530"/>
      <c r="ES167" s="530"/>
      <c r="ET167" s="530"/>
      <c r="EU167" s="530"/>
      <c r="EV167" s="530"/>
      <c r="EW167" s="530"/>
      <c r="EX167" s="530"/>
      <c r="EY167" s="530"/>
      <c r="EZ167" s="530"/>
      <c r="FA167" s="530"/>
      <c r="FB167" s="530"/>
      <c r="FC167" s="530"/>
      <c r="FD167" s="530"/>
      <c r="FE167" s="530"/>
      <c r="FF167" s="530"/>
      <c r="FG167" s="530"/>
      <c r="FH167" s="530"/>
      <c r="FI167" s="530"/>
      <c r="FJ167" s="530"/>
      <c r="FK167" s="530"/>
      <c r="FL167" s="530"/>
      <c r="FM167" s="530"/>
      <c r="FN167" s="530"/>
      <c r="FO167" s="530"/>
      <c r="FP167" s="530"/>
      <c r="FQ167" s="530"/>
      <c r="FR167" s="530"/>
      <c r="FS167" s="530"/>
      <c r="FT167" s="530"/>
      <c r="FU167" s="530"/>
      <c r="FV167" s="530"/>
      <c r="FW167" s="530"/>
      <c r="FX167" s="530"/>
      <c r="FY167" s="530"/>
      <c r="FZ167" s="530"/>
      <c r="GA167" s="530"/>
      <c r="GB167" s="530"/>
      <c r="GC167" s="530"/>
      <c r="GD167" s="530"/>
      <c r="GE167" s="530"/>
      <c r="GF167" s="530"/>
      <c r="GG167" s="530"/>
      <c r="GH167" s="530"/>
      <c r="GI167" s="530"/>
      <c r="GJ167" s="530"/>
      <c r="GK167" s="530"/>
      <c r="GL167" s="530"/>
      <c r="GM167" s="530"/>
      <c r="GN167" s="530"/>
      <c r="GO167" s="530"/>
      <c r="GP167" s="530"/>
      <c r="GQ167" s="530"/>
      <c r="GR167" s="530"/>
      <c r="GS167" s="530"/>
      <c r="GT167" s="530"/>
      <c r="GU167" s="530"/>
      <c r="GV167" s="530"/>
      <c r="GW167" s="530"/>
      <c r="GX167" s="530"/>
      <c r="GY167" s="530"/>
      <c r="GZ167" s="530"/>
      <c r="HA167" s="530"/>
      <c r="HB167" s="530"/>
      <c r="HC167" s="530"/>
      <c r="HD167" s="530"/>
      <c r="HE167" s="530"/>
      <c r="HF167" s="530"/>
      <c r="HG167" s="530"/>
      <c r="HH167" s="530"/>
      <c r="HI167" s="530"/>
      <c r="HJ167" s="530"/>
      <c r="HK167" s="530"/>
      <c r="HL167" s="530"/>
      <c r="HM167" s="530"/>
      <c r="HN167" s="530"/>
      <c r="HO167" s="530"/>
      <c r="HP167" s="530"/>
      <c r="HQ167" s="530"/>
      <c r="HR167" s="530"/>
      <c r="HS167" s="530"/>
      <c r="HT167" s="530"/>
      <c r="HU167" s="530"/>
      <c r="HV167" s="530"/>
      <c r="HW167" s="530"/>
      <c r="HX167" s="530"/>
      <c r="HY167" s="530"/>
      <c r="HZ167" s="530"/>
      <c r="IA167" s="530"/>
      <c r="IB167" s="530"/>
      <c r="IC167" s="530"/>
      <c r="ID167" s="530"/>
      <c r="IE167" s="530"/>
      <c r="IF167" s="530"/>
      <c r="IG167" s="530"/>
      <c r="IH167" s="530"/>
      <c r="II167" s="530"/>
      <c r="IJ167" s="530"/>
      <c r="IK167" s="530"/>
      <c r="IL167" s="530"/>
      <c r="IM167" s="530"/>
      <c r="IN167" s="530"/>
      <c r="IO167" s="530"/>
      <c r="IP167" s="530"/>
      <c r="IQ167" s="530"/>
      <c r="IR167" s="530"/>
      <c r="IS167" s="530"/>
      <c r="IT167" s="530"/>
      <c r="IU167" s="530"/>
      <c r="IV167" s="530"/>
    </row>
    <row r="168" spans="1:256" ht="17.25" hidden="1" customHeight="1">
      <c r="A168" s="1676"/>
      <c r="B168" s="550"/>
      <c r="C168" s="550"/>
      <c r="D168" s="550"/>
      <c r="E168" s="550"/>
      <c r="F168" s="550"/>
      <c r="G168" s="550"/>
      <c r="H168" s="550"/>
      <c r="I168" s="550"/>
      <c r="J168" s="550"/>
      <c r="K168" s="550"/>
      <c r="L168" s="550"/>
      <c r="M168" s="550"/>
      <c r="N168" s="550"/>
      <c r="O168" s="439"/>
      <c r="P168" s="439"/>
      <c r="Q168" s="674"/>
      <c r="R168" s="623"/>
      <c r="S168" s="623"/>
      <c r="T168" s="623"/>
      <c r="U168" s="623"/>
      <c r="V168" s="623"/>
      <c r="W168" s="623"/>
      <c r="X168" s="623"/>
      <c r="Y168" s="623"/>
      <c r="Z168" s="623"/>
      <c r="AA168" s="623"/>
      <c r="AB168" s="623"/>
      <c r="AC168" s="623"/>
      <c r="AD168" s="623"/>
      <c r="AE168" s="623"/>
      <c r="AF168" s="623"/>
      <c r="AG168" s="623"/>
      <c r="AH168" s="623"/>
      <c r="AI168" s="623"/>
      <c r="AJ168" s="623"/>
      <c r="AK168" s="623"/>
      <c r="AL168" s="623"/>
      <c r="AM168" s="623"/>
      <c r="AN168" s="623"/>
      <c r="AO168" s="623"/>
      <c r="AP168" s="623"/>
      <c r="AQ168" s="623"/>
      <c r="AR168" s="623"/>
      <c r="AS168" s="623"/>
      <c r="AT168" s="623"/>
      <c r="AU168" s="623"/>
      <c r="AV168" s="623"/>
      <c r="AW168" s="623"/>
      <c r="AX168" s="623"/>
      <c r="AY168" s="623"/>
      <c r="AZ168" s="623"/>
      <c r="BA168" s="623"/>
      <c r="BB168" s="623"/>
      <c r="BC168" s="623"/>
      <c r="BD168" s="623"/>
      <c r="BE168" s="623"/>
      <c r="BF168" s="623"/>
      <c r="BG168" s="623"/>
      <c r="BH168" s="623"/>
      <c r="BI168" s="623"/>
      <c r="BJ168" s="623"/>
      <c r="BK168" s="623"/>
      <c r="BL168" s="623"/>
      <c r="BM168" s="623"/>
      <c r="BN168" s="623"/>
      <c r="BO168" s="623"/>
      <c r="BP168" s="623"/>
      <c r="BQ168" s="623"/>
      <c r="BR168" s="623"/>
      <c r="BS168" s="623"/>
      <c r="BT168" s="623"/>
      <c r="BU168" s="623"/>
      <c r="BV168" s="623"/>
      <c r="BW168" s="623"/>
      <c r="BX168" s="623"/>
      <c r="BY168" s="623"/>
      <c r="BZ168" s="623"/>
      <c r="CA168" s="623"/>
      <c r="CB168" s="623"/>
      <c r="CC168" s="623"/>
      <c r="CD168" s="623"/>
      <c r="CE168" s="1669"/>
      <c r="CF168" s="623"/>
      <c r="CG168" s="623"/>
      <c r="CH168" s="623"/>
      <c r="CI168" s="623"/>
      <c r="CJ168" s="623"/>
      <c r="CK168" s="623"/>
      <c r="CL168" s="623"/>
      <c r="CM168" s="623"/>
      <c r="CN168" s="623"/>
      <c r="CO168" s="623"/>
      <c r="CP168" s="623"/>
      <c r="CQ168" s="623"/>
      <c r="CR168" s="623"/>
      <c r="CS168" s="623"/>
      <c r="CT168" s="623"/>
      <c r="CU168" s="623"/>
      <c r="CV168" s="623"/>
      <c r="CW168" s="623"/>
      <c r="CX168" s="623"/>
      <c r="CY168" s="817"/>
      <c r="CZ168" s="623"/>
      <c r="DA168" s="623"/>
      <c r="DB168" s="623"/>
      <c r="DC168" s="623"/>
      <c r="DD168" s="623"/>
      <c r="DE168" s="623"/>
      <c r="DF168" s="623"/>
      <c r="DG168" s="623"/>
      <c r="DH168" s="623"/>
      <c r="DI168" s="623"/>
      <c r="DJ168" s="623"/>
      <c r="DK168" s="623"/>
      <c r="DL168" s="623"/>
      <c r="DM168" s="623"/>
      <c r="DN168" s="623"/>
      <c r="DO168" s="623"/>
      <c r="DP168" s="623"/>
      <c r="DQ168" s="623"/>
      <c r="DR168" s="623"/>
      <c r="DS168" s="623"/>
      <c r="DT168" s="623"/>
      <c r="DU168" s="623"/>
      <c r="DV168" s="1675"/>
      <c r="IR168" s="542"/>
      <c r="IS168" s="542"/>
      <c r="IT168" s="542"/>
      <c r="IU168" s="542"/>
      <c r="IV168" s="542"/>
    </row>
    <row r="169" spans="1:256" ht="17.25" hidden="1" customHeight="1">
      <c r="A169" s="1676"/>
      <c r="B169" s="550"/>
      <c r="C169" s="550"/>
      <c r="D169" s="550"/>
      <c r="E169" s="550"/>
      <c r="F169" s="550"/>
      <c r="G169" s="550"/>
      <c r="H169" s="550"/>
      <c r="I169" s="550"/>
      <c r="J169" s="550"/>
      <c r="K169" s="550"/>
      <c r="L169" s="550"/>
      <c r="M169" s="550"/>
      <c r="N169" s="550"/>
      <c r="O169" s="439"/>
      <c r="P169" s="439"/>
      <c r="Q169" s="674"/>
      <c r="R169" s="623"/>
      <c r="S169" s="671"/>
      <c r="T169" s="671"/>
      <c r="U169" s="623"/>
      <c r="V169" s="623"/>
      <c r="W169" s="623"/>
      <c r="X169" s="623"/>
      <c r="Y169" s="623"/>
      <c r="Z169" s="623"/>
      <c r="AA169" s="671"/>
      <c r="AB169" s="623"/>
      <c r="AC169" s="623"/>
      <c r="AD169" s="623"/>
      <c r="AE169" s="623"/>
      <c r="AF169" s="623"/>
      <c r="AG169" s="623"/>
      <c r="AH169" s="623"/>
      <c r="AI169" s="623"/>
      <c r="AJ169" s="623"/>
      <c r="AK169" s="623"/>
      <c r="AL169" s="623"/>
      <c r="AM169" s="623"/>
      <c r="AN169" s="623"/>
      <c r="AO169" s="623"/>
      <c r="AP169" s="623"/>
      <c r="AQ169" s="623"/>
      <c r="AR169" s="623"/>
      <c r="AS169" s="623"/>
      <c r="AT169" s="623"/>
      <c r="AU169" s="623"/>
      <c r="AV169" s="623"/>
      <c r="AW169" s="623"/>
      <c r="AX169" s="623"/>
      <c r="AY169" s="623"/>
      <c r="AZ169" s="623"/>
      <c r="BA169" s="623"/>
      <c r="BB169" s="623"/>
      <c r="BC169" s="623"/>
      <c r="BD169" s="623"/>
      <c r="BE169" s="623"/>
      <c r="BF169" s="623"/>
      <c r="BG169" s="623"/>
      <c r="BH169" s="623"/>
      <c r="BI169" s="623"/>
      <c r="BJ169" s="623"/>
      <c r="BK169" s="623"/>
      <c r="BL169" s="623"/>
      <c r="BM169" s="623"/>
      <c r="BN169" s="623"/>
      <c r="BO169" s="623"/>
      <c r="BP169" s="623"/>
      <c r="BQ169" s="623"/>
      <c r="BR169" s="623"/>
      <c r="BS169" s="623"/>
      <c r="BT169" s="623"/>
      <c r="BU169" s="623"/>
      <c r="BV169" s="623"/>
      <c r="BW169" s="623"/>
      <c r="BX169" s="623"/>
      <c r="BY169" s="623"/>
      <c r="BZ169" s="623"/>
      <c r="CA169" s="623"/>
      <c r="CB169" s="623"/>
      <c r="CC169" s="623"/>
      <c r="CD169" s="623"/>
      <c r="CE169" s="1669"/>
      <c r="CF169" s="623"/>
      <c r="CG169" s="623"/>
      <c r="CH169" s="623"/>
      <c r="CI169" s="623"/>
      <c r="CJ169" s="623"/>
      <c r="CK169" s="623"/>
      <c r="CL169" s="623"/>
      <c r="CM169" s="623"/>
      <c r="CN169" s="623"/>
      <c r="CO169" s="623"/>
      <c r="CP169" s="623"/>
      <c r="CQ169" s="623"/>
      <c r="CR169" s="623"/>
      <c r="CS169" s="623"/>
      <c r="CT169" s="623"/>
      <c r="CU169" s="623"/>
      <c r="CV169" s="623"/>
      <c r="CW169" s="623"/>
      <c r="CX169" s="623"/>
      <c r="CY169" s="817"/>
      <c r="CZ169" s="623"/>
      <c r="DA169" s="623"/>
      <c r="DB169" s="623"/>
      <c r="DC169" s="623"/>
      <c r="DD169" s="623"/>
      <c r="DE169" s="623"/>
      <c r="DF169" s="623"/>
      <c r="DG169" s="623"/>
      <c r="DH169" s="623"/>
      <c r="DI169" s="623"/>
      <c r="DJ169" s="623"/>
      <c r="DK169" s="623"/>
      <c r="DL169" s="623"/>
      <c r="DM169" s="623"/>
      <c r="DN169" s="623"/>
      <c r="DO169" s="623"/>
      <c r="DP169" s="623"/>
      <c r="DQ169" s="623"/>
      <c r="DR169" s="623"/>
      <c r="DS169" s="623"/>
      <c r="DT169" s="623"/>
      <c r="DU169" s="623"/>
      <c r="DV169" s="1675"/>
    </row>
    <row r="170" spans="1:256" ht="17.25" hidden="1" customHeight="1">
      <c r="A170" s="1676"/>
      <c r="B170" s="550"/>
      <c r="C170" s="550"/>
      <c r="D170" s="550"/>
      <c r="E170" s="550"/>
      <c r="F170" s="550"/>
      <c r="G170" s="550"/>
      <c r="H170" s="550"/>
      <c r="I170" s="550"/>
      <c r="J170" s="550"/>
      <c r="K170" s="550"/>
      <c r="L170" s="550"/>
      <c r="M170" s="550"/>
      <c r="N170" s="550"/>
      <c r="O170" s="439"/>
      <c r="P170" s="439"/>
      <c r="Q170" s="674"/>
      <c r="R170" s="623"/>
      <c r="S170" s="671"/>
      <c r="T170" s="671"/>
      <c r="U170" s="623"/>
      <c r="V170" s="623"/>
      <c r="W170" s="623"/>
      <c r="X170" s="623"/>
      <c r="Y170" s="623"/>
      <c r="Z170" s="623"/>
      <c r="AA170" s="671"/>
      <c r="AB170" s="623"/>
      <c r="AC170" s="623"/>
      <c r="AD170" s="623"/>
      <c r="AE170" s="623"/>
      <c r="AF170" s="623"/>
      <c r="AG170" s="623"/>
      <c r="AH170" s="623"/>
      <c r="AI170" s="623"/>
      <c r="AJ170" s="623"/>
      <c r="AK170" s="623"/>
      <c r="AL170" s="623"/>
      <c r="AM170" s="623"/>
      <c r="AN170" s="623"/>
      <c r="AO170" s="623"/>
      <c r="AP170" s="623"/>
      <c r="AQ170" s="623"/>
      <c r="AR170" s="623"/>
      <c r="AS170" s="623"/>
      <c r="AT170" s="623"/>
      <c r="AU170" s="623"/>
      <c r="AV170" s="623"/>
      <c r="AW170" s="623"/>
      <c r="AX170" s="623"/>
      <c r="AY170" s="623"/>
      <c r="AZ170" s="623"/>
      <c r="BA170" s="623"/>
      <c r="BB170" s="623"/>
      <c r="BC170" s="623"/>
      <c r="BD170" s="623"/>
      <c r="BE170" s="623"/>
      <c r="BF170" s="623"/>
      <c r="BG170" s="623"/>
      <c r="BH170" s="623"/>
      <c r="BI170" s="623"/>
      <c r="BJ170" s="623"/>
      <c r="BK170" s="623"/>
      <c r="BL170" s="623"/>
      <c r="BM170" s="623"/>
      <c r="BN170" s="623"/>
      <c r="BO170" s="623"/>
      <c r="BP170" s="623"/>
      <c r="BQ170" s="623"/>
      <c r="BR170" s="623"/>
      <c r="BS170" s="623"/>
      <c r="BT170" s="623"/>
      <c r="BU170" s="623"/>
      <c r="BV170" s="623"/>
      <c r="BW170" s="623"/>
      <c r="BX170" s="623"/>
      <c r="BY170" s="623"/>
      <c r="BZ170" s="623"/>
      <c r="CA170" s="623"/>
      <c r="CB170" s="623"/>
      <c r="CC170" s="623"/>
      <c r="CD170" s="623"/>
      <c r="CE170" s="1669"/>
      <c r="CF170" s="623"/>
      <c r="CG170" s="623"/>
      <c r="CH170" s="623"/>
      <c r="CI170" s="623"/>
      <c r="CJ170" s="623"/>
      <c r="CK170" s="623"/>
      <c r="CL170" s="623"/>
      <c r="CM170" s="623"/>
      <c r="CN170" s="623"/>
      <c r="CO170" s="623"/>
      <c r="CP170" s="623"/>
      <c r="CQ170" s="623"/>
      <c r="CR170" s="623"/>
      <c r="CS170" s="623"/>
      <c r="CT170" s="623"/>
      <c r="CU170" s="623"/>
      <c r="CV170" s="623"/>
      <c r="CW170" s="623"/>
      <c r="CX170" s="623"/>
      <c r="CY170" s="817"/>
      <c r="CZ170" s="623"/>
      <c r="DA170" s="623"/>
      <c r="DB170" s="623"/>
      <c r="DC170" s="623"/>
      <c r="DD170" s="623"/>
      <c r="DE170" s="623"/>
      <c r="DF170" s="623"/>
      <c r="DG170" s="623"/>
      <c r="DH170" s="623"/>
      <c r="DI170" s="623"/>
      <c r="DJ170" s="623"/>
      <c r="DK170" s="623"/>
      <c r="DL170" s="623"/>
      <c r="DM170" s="623"/>
      <c r="DN170" s="623"/>
      <c r="DO170" s="623"/>
      <c r="DP170" s="623"/>
      <c r="DQ170" s="623"/>
      <c r="DR170" s="623"/>
      <c r="DS170" s="623"/>
      <c r="DT170" s="623"/>
      <c r="DU170" s="623"/>
      <c r="DV170" s="1675"/>
    </row>
    <row r="171" spans="1:256" ht="17.25" hidden="1" customHeight="1">
      <c r="A171" s="1676"/>
      <c r="B171" s="550"/>
      <c r="C171" s="550"/>
      <c r="D171" s="550"/>
      <c r="E171" s="550"/>
      <c r="F171" s="550"/>
      <c r="G171" s="550"/>
      <c r="H171" s="550"/>
      <c r="I171" s="550"/>
      <c r="J171" s="550"/>
      <c r="K171" s="550"/>
      <c r="L171" s="550"/>
      <c r="M171" s="550"/>
      <c r="N171" s="550"/>
      <c r="O171" s="439"/>
      <c r="P171" s="439"/>
      <c r="Q171" s="674"/>
      <c r="R171" s="623"/>
      <c r="S171" s="671"/>
      <c r="T171" s="671"/>
      <c r="U171" s="623"/>
      <c r="V171" s="623"/>
      <c r="W171" s="623"/>
      <c r="X171" s="623"/>
      <c r="Y171" s="623"/>
      <c r="Z171" s="623"/>
      <c r="AA171" s="671"/>
      <c r="AB171" s="623"/>
      <c r="AC171" s="623"/>
      <c r="AD171" s="623"/>
      <c r="AE171" s="623"/>
      <c r="AF171" s="623"/>
      <c r="AG171" s="623"/>
      <c r="AH171" s="623"/>
      <c r="AI171" s="623"/>
      <c r="AJ171" s="623"/>
      <c r="AK171" s="623"/>
      <c r="AL171" s="623"/>
      <c r="AM171" s="623"/>
      <c r="AN171" s="623"/>
      <c r="AO171" s="623"/>
      <c r="AP171" s="623"/>
      <c r="AQ171" s="623"/>
      <c r="AR171" s="623"/>
      <c r="AS171" s="623"/>
      <c r="AT171" s="623"/>
      <c r="AU171" s="623"/>
      <c r="AV171" s="623"/>
      <c r="AW171" s="623"/>
      <c r="AX171" s="623"/>
      <c r="AY171" s="623"/>
      <c r="AZ171" s="623"/>
      <c r="BA171" s="623"/>
      <c r="BB171" s="623"/>
      <c r="BC171" s="623"/>
      <c r="BD171" s="623"/>
      <c r="BE171" s="623"/>
      <c r="BF171" s="623"/>
      <c r="BG171" s="623"/>
      <c r="BH171" s="623"/>
      <c r="BI171" s="623"/>
      <c r="BJ171" s="623"/>
      <c r="BK171" s="623"/>
      <c r="BL171" s="623"/>
      <c r="BM171" s="623"/>
      <c r="BN171" s="623"/>
      <c r="BO171" s="623"/>
      <c r="BP171" s="623"/>
      <c r="BQ171" s="623"/>
      <c r="BR171" s="623"/>
      <c r="BS171" s="623"/>
      <c r="BT171" s="623"/>
      <c r="BU171" s="623"/>
      <c r="BV171" s="623"/>
      <c r="BW171" s="623"/>
      <c r="BX171" s="623"/>
      <c r="BY171" s="623"/>
      <c r="BZ171" s="623"/>
      <c r="CA171" s="623"/>
      <c r="CB171" s="623"/>
      <c r="CC171" s="623"/>
      <c r="CD171" s="623"/>
      <c r="CE171" s="1669"/>
      <c r="CF171" s="623"/>
      <c r="CG171" s="623"/>
      <c r="CH171" s="623"/>
      <c r="CI171" s="623"/>
      <c r="CJ171" s="623"/>
      <c r="CK171" s="623"/>
      <c r="CL171" s="623"/>
      <c r="CM171" s="623"/>
      <c r="CN171" s="623"/>
      <c r="CO171" s="623"/>
      <c r="CP171" s="623"/>
      <c r="CQ171" s="623"/>
      <c r="CR171" s="623"/>
      <c r="CS171" s="623"/>
      <c r="CT171" s="623"/>
      <c r="CU171" s="623"/>
      <c r="CV171" s="623"/>
      <c r="CW171" s="623"/>
      <c r="CX171" s="623"/>
      <c r="CY171" s="817"/>
      <c r="CZ171" s="623"/>
      <c r="DA171" s="623"/>
      <c r="DB171" s="623"/>
      <c r="DC171" s="623"/>
      <c r="DD171" s="623"/>
      <c r="DE171" s="623"/>
      <c r="DF171" s="623"/>
      <c r="DG171" s="623"/>
      <c r="DH171" s="623"/>
      <c r="DI171" s="623"/>
      <c r="DJ171" s="623"/>
      <c r="DK171" s="623"/>
      <c r="DL171" s="623"/>
      <c r="DM171" s="623"/>
      <c r="DN171" s="623"/>
      <c r="DO171" s="623"/>
      <c r="DP171" s="623"/>
      <c r="DQ171" s="623"/>
      <c r="DR171" s="623"/>
      <c r="DS171" s="623"/>
      <c r="DT171" s="623"/>
      <c r="DU171" s="623"/>
      <c r="DV171" s="1675"/>
    </row>
    <row r="172" spans="1:256" ht="17.25" hidden="1" customHeight="1">
      <c r="A172" s="1676"/>
      <c r="B172" s="550"/>
      <c r="C172" s="550"/>
      <c r="D172" s="550"/>
      <c r="E172" s="550"/>
      <c r="F172" s="550"/>
      <c r="G172" s="550"/>
      <c r="H172" s="550"/>
      <c r="I172" s="550"/>
      <c r="J172" s="550"/>
      <c r="K172" s="550"/>
      <c r="L172" s="550"/>
      <c r="M172" s="550"/>
      <c r="N172" s="550"/>
      <c r="O172" s="439"/>
      <c r="P172" s="439"/>
      <c r="Q172" s="674"/>
      <c r="R172" s="623"/>
      <c r="S172" s="671"/>
      <c r="T172" s="671"/>
      <c r="U172" s="623"/>
      <c r="V172" s="623"/>
      <c r="W172" s="623"/>
      <c r="X172" s="623"/>
      <c r="Y172" s="623"/>
      <c r="Z172" s="623"/>
      <c r="AA172" s="671"/>
      <c r="AB172" s="623"/>
      <c r="AC172" s="623"/>
      <c r="AD172" s="623"/>
      <c r="AE172" s="623"/>
      <c r="AF172" s="623"/>
      <c r="AG172" s="623"/>
      <c r="AH172" s="623"/>
      <c r="AI172" s="623"/>
      <c r="AJ172" s="623"/>
      <c r="AK172" s="623"/>
      <c r="AL172" s="623"/>
      <c r="AM172" s="623"/>
      <c r="AN172" s="623"/>
      <c r="AO172" s="623"/>
      <c r="AP172" s="623"/>
      <c r="AQ172" s="623"/>
      <c r="AR172" s="623"/>
      <c r="AS172" s="623"/>
      <c r="AT172" s="623"/>
      <c r="AU172" s="623"/>
      <c r="AV172" s="623"/>
      <c r="AW172" s="623"/>
      <c r="AX172" s="623"/>
      <c r="AY172" s="623"/>
      <c r="AZ172" s="623"/>
      <c r="BA172" s="623"/>
      <c r="BB172" s="623"/>
      <c r="BC172" s="623"/>
      <c r="BD172" s="623"/>
      <c r="BE172" s="623"/>
      <c r="BF172" s="623"/>
      <c r="BG172" s="623"/>
      <c r="BH172" s="623"/>
      <c r="BI172" s="623"/>
      <c r="BJ172" s="623"/>
      <c r="BK172" s="623"/>
      <c r="BL172" s="623"/>
      <c r="BM172" s="623"/>
      <c r="BN172" s="623"/>
      <c r="BO172" s="623"/>
      <c r="BP172" s="623"/>
      <c r="BQ172" s="623"/>
      <c r="BR172" s="623"/>
      <c r="BS172" s="623"/>
      <c r="BT172" s="623"/>
      <c r="BU172" s="623"/>
      <c r="BV172" s="623"/>
      <c r="BW172" s="623"/>
      <c r="BX172" s="623"/>
      <c r="BY172" s="623"/>
      <c r="BZ172" s="623"/>
      <c r="CA172" s="623"/>
      <c r="CB172" s="623"/>
      <c r="CC172" s="623"/>
      <c r="CD172" s="623"/>
      <c r="CE172" s="1669"/>
      <c r="CF172" s="623"/>
      <c r="CG172" s="623"/>
      <c r="CH172" s="623"/>
      <c r="CI172" s="623"/>
      <c r="CJ172" s="623"/>
      <c r="CK172" s="623"/>
      <c r="CL172" s="623"/>
      <c r="CM172" s="623"/>
      <c r="CN172" s="623"/>
      <c r="CO172" s="623"/>
      <c r="CP172" s="623"/>
      <c r="CQ172" s="623"/>
      <c r="CR172" s="623"/>
      <c r="CS172" s="623"/>
      <c r="CT172" s="623"/>
      <c r="CU172" s="623"/>
      <c r="CV172" s="623"/>
      <c r="CW172" s="623"/>
      <c r="CX172" s="623"/>
      <c r="CY172" s="817"/>
      <c r="CZ172" s="623"/>
      <c r="DA172" s="623"/>
      <c r="DB172" s="623"/>
      <c r="DC172" s="623"/>
      <c r="DD172" s="623"/>
      <c r="DE172" s="623"/>
      <c r="DF172" s="623"/>
      <c r="DG172" s="623"/>
      <c r="DH172" s="623"/>
      <c r="DI172" s="623"/>
      <c r="DJ172" s="623"/>
      <c r="DK172" s="623"/>
      <c r="DL172" s="623"/>
      <c r="DM172" s="623"/>
      <c r="DN172" s="623"/>
      <c r="DO172" s="623"/>
      <c r="DP172" s="623"/>
      <c r="DQ172" s="623"/>
      <c r="DR172" s="623"/>
      <c r="DS172" s="623"/>
      <c r="DT172" s="623"/>
      <c r="DU172" s="623"/>
      <c r="DV172" s="1675"/>
    </row>
    <row r="173" spans="1:256" ht="17.25" hidden="1" customHeight="1">
      <c r="A173" s="1676"/>
      <c r="B173" s="550"/>
      <c r="C173" s="550"/>
      <c r="D173" s="550"/>
      <c r="E173" s="550"/>
      <c r="F173" s="550"/>
      <c r="G173" s="550"/>
      <c r="H173" s="550"/>
      <c r="I173" s="550"/>
      <c r="J173" s="550"/>
      <c r="K173" s="550"/>
      <c r="L173" s="550"/>
      <c r="M173" s="550"/>
      <c r="N173" s="550"/>
      <c r="O173" s="439"/>
      <c r="P173" s="439"/>
      <c r="Q173" s="674"/>
      <c r="R173" s="623"/>
      <c r="S173" s="671"/>
      <c r="T173" s="671"/>
      <c r="U173" s="623"/>
      <c r="V173" s="623"/>
      <c r="W173" s="623"/>
      <c r="X173" s="623"/>
      <c r="Y173" s="623"/>
      <c r="Z173" s="623"/>
      <c r="AA173" s="671"/>
      <c r="AB173" s="623"/>
      <c r="AC173" s="623"/>
      <c r="AD173" s="623"/>
      <c r="AE173" s="623"/>
      <c r="AF173" s="623"/>
      <c r="AG173" s="623"/>
      <c r="AH173" s="623"/>
      <c r="AI173" s="623"/>
      <c r="AJ173" s="623"/>
      <c r="AK173" s="623"/>
      <c r="AL173" s="623"/>
      <c r="AM173" s="623"/>
      <c r="AN173" s="623"/>
      <c r="AO173" s="623"/>
      <c r="AP173" s="623"/>
      <c r="AQ173" s="623"/>
      <c r="AR173" s="623"/>
      <c r="AS173" s="623"/>
      <c r="AT173" s="623"/>
      <c r="AU173" s="623"/>
      <c r="AV173" s="623"/>
      <c r="AW173" s="623"/>
      <c r="AX173" s="623"/>
      <c r="AY173" s="623"/>
      <c r="AZ173" s="623"/>
      <c r="BA173" s="623"/>
      <c r="BB173" s="623"/>
      <c r="BC173" s="623"/>
      <c r="BD173" s="623"/>
      <c r="BE173" s="623"/>
      <c r="BF173" s="623"/>
      <c r="BG173" s="623"/>
      <c r="BH173" s="623"/>
      <c r="BI173" s="623"/>
      <c r="BJ173" s="623"/>
      <c r="BK173" s="623"/>
      <c r="BL173" s="623"/>
      <c r="BM173" s="623"/>
      <c r="BN173" s="623"/>
      <c r="BO173" s="623"/>
      <c r="BP173" s="623"/>
      <c r="BQ173" s="623"/>
      <c r="BR173" s="623"/>
      <c r="BS173" s="623"/>
      <c r="BT173" s="623"/>
      <c r="BU173" s="623"/>
      <c r="BV173" s="623"/>
      <c r="BW173" s="623"/>
      <c r="BX173" s="623"/>
      <c r="BY173" s="623"/>
      <c r="BZ173" s="623"/>
      <c r="CA173" s="623"/>
      <c r="CB173" s="623"/>
      <c r="CC173" s="623"/>
      <c r="CD173" s="623"/>
      <c r="CE173" s="1669"/>
      <c r="CF173" s="623"/>
      <c r="CG173" s="623"/>
      <c r="CH173" s="623"/>
      <c r="CI173" s="623"/>
      <c r="CJ173" s="623"/>
      <c r="CK173" s="623"/>
      <c r="CL173" s="623"/>
      <c r="CM173" s="623"/>
      <c r="CN173" s="623"/>
      <c r="CO173" s="623"/>
      <c r="CP173" s="623"/>
      <c r="CQ173" s="623"/>
      <c r="CR173" s="623"/>
      <c r="CS173" s="623"/>
      <c r="CT173" s="623"/>
      <c r="CU173" s="623"/>
      <c r="CV173" s="623"/>
      <c r="CW173" s="623"/>
      <c r="CX173" s="623"/>
      <c r="CY173" s="817"/>
      <c r="CZ173" s="623"/>
      <c r="DA173" s="623"/>
      <c r="DB173" s="623"/>
      <c r="DC173" s="623"/>
      <c r="DD173" s="623"/>
      <c r="DE173" s="623"/>
      <c r="DF173" s="623"/>
      <c r="DG173" s="623"/>
      <c r="DH173" s="623"/>
      <c r="DI173" s="623"/>
      <c r="DJ173" s="623"/>
      <c r="DK173" s="623"/>
      <c r="DL173" s="623"/>
      <c r="DM173" s="623"/>
      <c r="DN173" s="623"/>
      <c r="DO173" s="623"/>
      <c r="DP173" s="623"/>
      <c r="DQ173" s="623"/>
      <c r="DR173" s="623"/>
      <c r="DS173" s="623"/>
      <c r="DT173" s="623"/>
      <c r="DU173" s="623"/>
      <c r="DV173" s="1675"/>
    </row>
    <row r="174" spans="1:256" ht="17.25" hidden="1" customHeight="1">
      <c r="A174" s="1676"/>
      <c r="B174" s="550"/>
      <c r="C174" s="550"/>
      <c r="D174" s="550"/>
      <c r="E174" s="550"/>
      <c r="F174" s="550"/>
      <c r="G174" s="550"/>
      <c r="H174" s="550"/>
      <c r="I174" s="550"/>
      <c r="J174" s="550"/>
      <c r="K174" s="550"/>
      <c r="L174" s="550"/>
      <c r="M174" s="550"/>
      <c r="N174" s="550"/>
      <c r="O174" s="439"/>
      <c r="P174" s="439"/>
      <c r="Q174" s="674"/>
      <c r="R174" s="623"/>
      <c r="S174" s="671"/>
      <c r="T174" s="671"/>
      <c r="U174" s="623"/>
      <c r="V174" s="623"/>
      <c r="W174" s="623"/>
      <c r="X174" s="623"/>
      <c r="Y174" s="623"/>
      <c r="Z174" s="623"/>
      <c r="AA174" s="671"/>
      <c r="AB174" s="623"/>
      <c r="AC174" s="623"/>
      <c r="AD174" s="623"/>
      <c r="AE174" s="623"/>
      <c r="AF174" s="623"/>
      <c r="AG174" s="623"/>
      <c r="AH174" s="623"/>
      <c r="AI174" s="623"/>
      <c r="AJ174" s="623"/>
      <c r="AK174" s="623"/>
      <c r="AL174" s="623"/>
      <c r="AM174" s="623"/>
      <c r="AN174" s="623"/>
      <c r="AO174" s="623"/>
      <c r="AP174" s="623"/>
      <c r="AQ174" s="623"/>
      <c r="AR174" s="623"/>
      <c r="AS174" s="623"/>
      <c r="AT174" s="623"/>
      <c r="AU174" s="623"/>
      <c r="AV174" s="623"/>
      <c r="AW174" s="623"/>
      <c r="AX174" s="623"/>
      <c r="AY174" s="623"/>
      <c r="AZ174" s="623"/>
      <c r="BA174" s="623"/>
      <c r="BB174" s="623"/>
      <c r="BC174" s="623"/>
      <c r="BD174" s="623"/>
      <c r="BE174" s="623"/>
      <c r="BF174" s="623"/>
      <c r="BG174" s="623"/>
      <c r="BH174" s="623"/>
      <c r="BI174" s="623"/>
      <c r="BJ174" s="623"/>
      <c r="BK174" s="623"/>
      <c r="BL174" s="623"/>
      <c r="BM174" s="623"/>
      <c r="BN174" s="623"/>
      <c r="BO174" s="623"/>
      <c r="BP174" s="623"/>
      <c r="BQ174" s="623"/>
      <c r="BR174" s="623"/>
      <c r="BS174" s="623"/>
      <c r="BT174" s="623"/>
      <c r="BU174" s="623"/>
      <c r="BV174" s="623"/>
      <c r="BW174" s="623"/>
      <c r="BX174" s="623"/>
      <c r="BY174" s="623"/>
      <c r="BZ174" s="623"/>
      <c r="CA174" s="623"/>
      <c r="CB174" s="623"/>
      <c r="CC174" s="623"/>
      <c r="CD174" s="623"/>
      <c r="CE174" s="1669"/>
      <c r="CF174" s="623"/>
      <c r="CG174" s="623"/>
      <c r="CH174" s="623"/>
      <c r="CI174" s="623"/>
      <c r="CJ174" s="623"/>
      <c r="CK174" s="623"/>
      <c r="CL174" s="623"/>
      <c r="CM174" s="623"/>
      <c r="CN174" s="623"/>
      <c r="CO174" s="623"/>
      <c r="CP174" s="623"/>
      <c r="CQ174" s="623"/>
      <c r="CR174" s="623"/>
      <c r="CS174" s="623"/>
      <c r="CT174" s="623"/>
      <c r="CU174" s="623"/>
      <c r="CV174" s="623"/>
      <c r="CW174" s="623"/>
      <c r="CX174" s="623"/>
      <c r="CY174" s="817"/>
      <c r="CZ174" s="623"/>
      <c r="DA174" s="623"/>
      <c r="DB174" s="623"/>
      <c r="DC174" s="623"/>
      <c r="DD174" s="623"/>
      <c r="DE174" s="623"/>
      <c r="DF174" s="623"/>
      <c r="DG174" s="623"/>
      <c r="DH174" s="623"/>
      <c r="DI174" s="623"/>
      <c r="DJ174" s="623"/>
      <c r="DK174" s="623"/>
      <c r="DL174" s="623"/>
      <c r="DM174" s="623"/>
      <c r="DN174" s="623"/>
      <c r="DO174" s="623"/>
      <c r="DP174" s="623"/>
      <c r="DQ174" s="623"/>
      <c r="DR174" s="623"/>
      <c r="DS174" s="623"/>
      <c r="DT174" s="623"/>
      <c r="DU174" s="623"/>
      <c r="DV174" s="1675"/>
    </row>
    <row r="175" spans="1:256" ht="17.25" hidden="1" customHeight="1">
      <c r="A175" s="1676"/>
      <c r="B175" s="550"/>
      <c r="C175" s="550"/>
      <c r="D175" s="550"/>
      <c r="E175" s="550"/>
      <c r="F175" s="550"/>
      <c r="G175" s="550"/>
      <c r="H175" s="550"/>
      <c r="I175" s="550"/>
      <c r="J175" s="550"/>
      <c r="K175" s="550"/>
      <c r="L175" s="550"/>
      <c r="M175" s="550"/>
      <c r="N175" s="550"/>
      <c r="O175" s="439"/>
      <c r="P175" s="439"/>
      <c r="Q175" s="674"/>
      <c r="R175" s="623"/>
      <c r="S175" s="671"/>
      <c r="T175" s="671"/>
      <c r="U175" s="623"/>
      <c r="V175" s="623"/>
      <c r="W175" s="623"/>
      <c r="X175" s="623"/>
      <c r="Y175" s="623"/>
      <c r="Z175" s="623"/>
      <c r="AA175" s="671"/>
      <c r="AB175" s="623"/>
      <c r="AC175" s="623"/>
      <c r="AD175" s="623"/>
      <c r="AE175" s="623"/>
      <c r="AF175" s="623"/>
      <c r="AG175" s="623"/>
      <c r="AH175" s="623"/>
      <c r="AI175" s="623"/>
      <c r="AJ175" s="623"/>
      <c r="AK175" s="623"/>
      <c r="AL175" s="623"/>
      <c r="AM175" s="623"/>
      <c r="AN175" s="623"/>
      <c r="AO175" s="623"/>
      <c r="AP175" s="623"/>
      <c r="AQ175" s="623"/>
      <c r="AR175" s="623"/>
      <c r="AS175" s="623"/>
      <c r="AT175" s="623"/>
      <c r="AU175" s="623"/>
      <c r="AV175" s="623"/>
      <c r="AW175" s="623"/>
      <c r="AX175" s="623"/>
      <c r="AY175" s="623"/>
      <c r="AZ175" s="623"/>
      <c r="BA175" s="623"/>
      <c r="BB175" s="623"/>
      <c r="BC175" s="623"/>
      <c r="BD175" s="623"/>
      <c r="BE175" s="623"/>
      <c r="BF175" s="623"/>
      <c r="BG175" s="623"/>
      <c r="BH175" s="623"/>
      <c r="BI175" s="623"/>
      <c r="BJ175" s="623"/>
      <c r="BK175" s="623"/>
      <c r="BL175" s="623"/>
      <c r="BM175" s="623"/>
      <c r="BN175" s="623"/>
      <c r="BO175" s="623"/>
      <c r="BP175" s="623"/>
      <c r="BQ175" s="623"/>
      <c r="BR175" s="623"/>
      <c r="BS175" s="623"/>
      <c r="BT175" s="623"/>
      <c r="BU175" s="623"/>
      <c r="BV175" s="623"/>
      <c r="BW175" s="623"/>
      <c r="BX175" s="623"/>
      <c r="BY175" s="623"/>
      <c r="BZ175" s="623"/>
      <c r="CA175" s="623"/>
      <c r="CB175" s="623"/>
      <c r="CC175" s="623"/>
      <c r="CD175" s="623"/>
      <c r="CE175" s="1669"/>
      <c r="CF175" s="623"/>
      <c r="CG175" s="623"/>
      <c r="CH175" s="623"/>
      <c r="CI175" s="623"/>
      <c r="CJ175" s="623"/>
      <c r="CK175" s="623"/>
      <c r="CL175" s="623"/>
      <c r="CM175" s="623"/>
      <c r="CN175" s="623"/>
      <c r="CO175" s="623"/>
      <c r="CP175" s="623"/>
      <c r="CQ175" s="623"/>
      <c r="CR175" s="623"/>
      <c r="CS175" s="623"/>
      <c r="CT175" s="623"/>
      <c r="CU175" s="623"/>
      <c r="CV175" s="623"/>
      <c r="CW175" s="623"/>
      <c r="CX175" s="623"/>
      <c r="CY175" s="817"/>
      <c r="CZ175" s="623"/>
      <c r="DA175" s="623"/>
      <c r="DB175" s="623"/>
      <c r="DC175" s="623"/>
      <c r="DD175" s="623"/>
      <c r="DE175" s="623"/>
      <c r="DF175" s="623"/>
      <c r="DG175" s="623"/>
      <c r="DH175" s="623"/>
      <c r="DI175" s="623"/>
      <c r="DJ175" s="623"/>
      <c r="DK175" s="623"/>
      <c r="DL175" s="623"/>
      <c r="DM175" s="623"/>
      <c r="DN175" s="623"/>
      <c r="DO175" s="623"/>
      <c r="DP175" s="623"/>
      <c r="DQ175" s="623"/>
      <c r="DR175" s="623"/>
      <c r="DS175" s="623"/>
      <c r="DT175" s="623"/>
      <c r="DU175" s="623"/>
      <c r="DV175" s="1675"/>
    </row>
    <row r="176" spans="1:256" s="678" customFormat="1" ht="17.25" hidden="1" customHeight="1">
      <c r="A176" s="1676"/>
      <c r="B176" s="550"/>
      <c r="C176" s="550"/>
      <c r="D176" s="550"/>
      <c r="E176" s="550"/>
      <c r="F176" s="550"/>
      <c r="G176" s="550"/>
      <c r="H176" s="550"/>
      <c r="I176" s="550"/>
      <c r="J176" s="676"/>
      <c r="K176" s="550"/>
      <c r="L176" s="550"/>
      <c r="M176" s="550"/>
      <c r="N176" s="550"/>
      <c r="O176" s="439"/>
      <c r="P176" s="439"/>
      <c r="Q176" s="674"/>
      <c r="R176" s="623"/>
      <c r="S176" s="671"/>
      <c r="T176" s="671"/>
      <c r="U176" s="623"/>
      <c r="V176" s="623"/>
      <c r="W176" s="623"/>
      <c r="X176" s="623"/>
      <c r="Y176" s="623"/>
      <c r="Z176" s="623"/>
      <c r="AA176" s="671"/>
      <c r="AB176" s="623"/>
      <c r="AC176" s="623"/>
      <c r="AD176" s="623"/>
      <c r="AE176" s="623"/>
      <c r="AF176" s="623"/>
      <c r="AG176" s="623"/>
      <c r="AH176" s="623"/>
      <c r="AI176" s="623"/>
      <c r="AJ176" s="623"/>
      <c r="AK176" s="623"/>
      <c r="AL176" s="623"/>
      <c r="AM176" s="623"/>
      <c r="AN176" s="623"/>
      <c r="AO176" s="623"/>
      <c r="AP176" s="623"/>
      <c r="AQ176" s="623"/>
      <c r="AR176" s="623"/>
      <c r="AS176" s="623"/>
      <c r="AT176" s="623"/>
      <c r="AU176" s="623"/>
      <c r="AV176" s="623"/>
      <c r="AW176" s="623"/>
      <c r="AX176" s="623"/>
      <c r="AY176" s="623"/>
      <c r="AZ176" s="623"/>
      <c r="BA176" s="623"/>
      <c r="BB176" s="623"/>
      <c r="BC176" s="623"/>
      <c r="BD176" s="623"/>
      <c r="BE176" s="623"/>
      <c r="BF176" s="623"/>
      <c r="BG176" s="623"/>
      <c r="BH176" s="623"/>
      <c r="BI176" s="623"/>
      <c r="BJ176" s="623"/>
      <c r="BK176" s="623"/>
      <c r="BL176" s="623"/>
      <c r="BM176" s="623"/>
      <c r="BN176" s="623"/>
      <c r="BO176" s="623"/>
      <c r="BP176" s="623"/>
      <c r="BQ176" s="623"/>
      <c r="BR176" s="623"/>
      <c r="BS176" s="623"/>
      <c r="BT176" s="623"/>
      <c r="BU176" s="623"/>
      <c r="BV176" s="623"/>
      <c r="BW176" s="623"/>
      <c r="BX176" s="623"/>
      <c r="BY176" s="623"/>
      <c r="BZ176" s="623"/>
      <c r="CA176" s="623"/>
      <c r="CB176" s="623"/>
      <c r="CC176" s="623"/>
      <c r="CD176" s="623"/>
      <c r="CE176" s="1669"/>
      <c r="CF176" s="623"/>
      <c r="CG176" s="623"/>
      <c r="CH176" s="623"/>
      <c r="CI176" s="623"/>
      <c r="CJ176" s="623"/>
      <c r="CK176" s="623"/>
      <c r="CL176" s="623"/>
      <c r="CM176" s="623"/>
      <c r="CN176" s="623"/>
      <c r="CO176" s="623"/>
      <c r="CP176" s="623"/>
      <c r="CQ176" s="623"/>
      <c r="CR176" s="623"/>
      <c r="CS176" s="623"/>
      <c r="CT176" s="623"/>
      <c r="CU176" s="623"/>
      <c r="CV176" s="623"/>
      <c r="CW176" s="623"/>
      <c r="CX176" s="623"/>
      <c r="CY176" s="817"/>
      <c r="CZ176" s="623"/>
      <c r="DA176" s="623"/>
      <c r="DB176" s="623"/>
      <c r="DC176" s="623"/>
      <c r="DD176" s="623"/>
      <c r="DE176" s="623"/>
      <c r="DF176" s="623"/>
      <c r="DG176" s="623"/>
      <c r="DH176" s="623"/>
      <c r="DI176" s="623"/>
      <c r="DJ176" s="623"/>
      <c r="DK176" s="623"/>
      <c r="DL176" s="623"/>
      <c r="DM176" s="623"/>
      <c r="DN176" s="623"/>
      <c r="DO176" s="623"/>
      <c r="DP176" s="623"/>
      <c r="DQ176" s="623"/>
      <c r="DR176" s="623"/>
      <c r="DS176" s="623"/>
      <c r="DT176" s="623"/>
      <c r="DU176" s="623"/>
      <c r="DV176" s="1675"/>
      <c r="DW176" s="530"/>
      <c r="DX176" s="530"/>
      <c r="DY176" s="530"/>
      <c r="DZ176" s="530"/>
      <c r="EA176" s="530"/>
      <c r="EB176" s="530"/>
      <c r="EC176" s="530"/>
      <c r="ED176" s="530"/>
      <c r="EE176" s="530"/>
      <c r="EF176" s="530"/>
      <c r="EG176" s="530"/>
      <c r="EH176" s="530"/>
      <c r="EI176" s="530"/>
      <c r="EJ176" s="530"/>
      <c r="EK176" s="530"/>
      <c r="EL176" s="530"/>
      <c r="EM176" s="530"/>
      <c r="EN176" s="530"/>
      <c r="EO176" s="530"/>
      <c r="EP176" s="530"/>
      <c r="EQ176" s="530"/>
      <c r="ER176" s="530"/>
      <c r="ES176" s="530"/>
      <c r="ET176" s="530"/>
      <c r="EU176" s="530"/>
      <c r="EV176" s="530"/>
      <c r="EW176" s="530"/>
      <c r="EX176" s="530"/>
      <c r="EY176" s="530"/>
      <c r="EZ176" s="530"/>
      <c r="FA176" s="530"/>
      <c r="FB176" s="530"/>
      <c r="FC176" s="530"/>
      <c r="FD176" s="530"/>
      <c r="FE176" s="530"/>
      <c r="FF176" s="530"/>
      <c r="FG176" s="530"/>
      <c r="FH176" s="530"/>
      <c r="FI176" s="530"/>
      <c r="FJ176" s="530"/>
      <c r="FK176" s="530"/>
      <c r="FL176" s="530"/>
      <c r="FM176" s="530"/>
      <c r="FN176" s="530"/>
      <c r="FO176" s="530"/>
      <c r="FP176" s="530"/>
      <c r="FQ176" s="530"/>
      <c r="FR176" s="530"/>
      <c r="FS176" s="530"/>
      <c r="FT176" s="530"/>
      <c r="FU176" s="530"/>
      <c r="FV176" s="530"/>
      <c r="FW176" s="530"/>
      <c r="FX176" s="530"/>
      <c r="FY176" s="530"/>
      <c r="FZ176" s="530"/>
      <c r="GA176" s="530"/>
      <c r="GB176" s="530"/>
      <c r="GC176" s="530"/>
      <c r="GD176" s="530"/>
      <c r="GE176" s="530"/>
      <c r="GF176" s="530"/>
      <c r="GG176" s="530"/>
      <c r="GH176" s="530"/>
      <c r="GI176" s="530"/>
      <c r="GJ176" s="530"/>
      <c r="GK176" s="530"/>
      <c r="GL176" s="530"/>
      <c r="GM176" s="530"/>
      <c r="GN176" s="530"/>
      <c r="GO176" s="530"/>
      <c r="GP176" s="530"/>
      <c r="GQ176" s="530"/>
      <c r="GR176" s="530"/>
      <c r="GS176" s="530"/>
      <c r="GT176" s="530"/>
      <c r="GU176" s="530"/>
      <c r="GV176" s="530"/>
      <c r="GW176" s="530"/>
      <c r="GX176" s="530"/>
      <c r="GY176" s="530"/>
      <c r="GZ176" s="530"/>
      <c r="HA176" s="530"/>
      <c r="HB176" s="530"/>
      <c r="HC176" s="530"/>
      <c r="HD176" s="530"/>
      <c r="HE176" s="530"/>
      <c r="HF176" s="530"/>
      <c r="HG176" s="530"/>
      <c r="HH176" s="530"/>
      <c r="HI176" s="530"/>
      <c r="HJ176" s="530"/>
      <c r="HK176" s="530"/>
      <c r="HL176" s="530"/>
      <c r="HM176" s="530"/>
      <c r="HN176" s="530"/>
      <c r="HO176" s="530"/>
      <c r="HP176" s="530"/>
      <c r="HQ176" s="530"/>
      <c r="HR176" s="530"/>
      <c r="HS176" s="530"/>
      <c r="HT176" s="530"/>
      <c r="HU176" s="530"/>
      <c r="HV176" s="530"/>
      <c r="HW176" s="530"/>
      <c r="HX176" s="530"/>
      <c r="HY176" s="530"/>
      <c r="HZ176" s="530"/>
      <c r="IA176" s="530"/>
      <c r="IB176" s="530"/>
      <c r="IC176" s="530"/>
      <c r="ID176" s="530"/>
      <c r="IE176" s="530"/>
      <c r="IF176" s="530"/>
      <c r="IG176" s="530"/>
      <c r="IH176" s="530"/>
      <c r="II176" s="530"/>
      <c r="IJ176" s="530"/>
      <c r="IK176" s="530"/>
      <c r="IL176" s="530"/>
      <c r="IM176" s="530"/>
      <c r="IN176" s="530"/>
      <c r="IO176" s="530"/>
      <c r="IP176" s="530"/>
      <c r="IQ176" s="530"/>
      <c r="IR176" s="530"/>
      <c r="IS176" s="530"/>
      <c r="IT176" s="530"/>
      <c r="IU176" s="530"/>
      <c r="IV176" s="530"/>
    </row>
    <row r="177" spans="1:256" s="717" customFormat="1" ht="18.75" hidden="1" customHeight="1">
      <c r="A177" s="1713"/>
      <c r="B177" s="1714"/>
      <c r="C177" s="1713"/>
      <c r="D177" s="1713"/>
      <c r="E177" s="1713"/>
      <c r="F177" s="1713"/>
      <c r="G177" s="1713"/>
      <c r="H177" s="1713"/>
      <c r="I177" s="1713"/>
      <c r="J177" s="1713"/>
      <c r="K177" s="1713"/>
      <c r="L177" s="1713"/>
      <c r="M177" s="1713"/>
      <c r="N177" s="1713"/>
      <c r="O177" s="1713"/>
      <c r="P177" s="1713"/>
      <c r="Q177" s="1713"/>
      <c r="R177" s="1713"/>
      <c r="S177" s="1713"/>
      <c r="T177" s="1713"/>
      <c r="U177" s="1713"/>
      <c r="V177" s="1713"/>
      <c r="W177" s="1713"/>
      <c r="X177" s="1713"/>
      <c r="Y177" s="1713"/>
      <c r="Z177" s="1713"/>
      <c r="AA177" s="1713"/>
      <c r="AB177" s="1713"/>
      <c r="AC177" s="1713"/>
      <c r="AD177" s="1713"/>
      <c r="AE177" s="1713"/>
      <c r="AF177" s="1713"/>
      <c r="AG177" s="1713"/>
      <c r="AH177" s="1713"/>
      <c r="AI177" s="1713"/>
      <c r="AJ177" s="1713"/>
      <c r="AK177" s="1713"/>
      <c r="AL177" s="1713"/>
      <c r="AM177" s="1713"/>
      <c r="AN177" s="1713"/>
      <c r="AO177" s="1713"/>
      <c r="AP177" s="1713"/>
      <c r="AQ177" s="1713"/>
      <c r="AR177" s="1713"/>
      <c r="AS177" s="1713"/>
      <c r="AT177" s="1713"/>
      <c r="AU177" s="1713"/>
      <c r="AV177" s="1713"/>
      <c r="AW177" s="1713"/>
      <c r="AX177" s="1713"/>
      <c r="AY177" s="1713"/>
      <c r="AZ177" s="1713"/>
      <c r="BA177" s="1713"/>
      <c r="BB177" s="1713"/>
      <c r="BC177" s="1713"/>
      <c r="BD177" s="1713"/>
      <c r="BE177" s="1713"/>
      <c r="BF177" s="1713"/>
      <c r="BG177" s="1713"/>
      <c r="BH177" s="1713"/>
      <c r="BI177" s="1713"/>
      <c r="BJ177" s="1713"/>
      <c r="BK177" s="1713"/>
      <c r="BL177" s="1713"/>
      <c r="BM177" s="1713"/>
      <c r="BN177" s="1713"/>
      <c r="BO177" s="1713"/>
      <c r="BP177" s="1713"/>
      <c r="BQ177" s="1713"/>
      <c r="BR177" s="1713"/>
      <c r="BS177" s="1713"/>
      <c r="BT177" s="1713"/>
      <c r="BU177" s="1713"/>
      <c r="BV177" s="1713"/>
      <c r="BW177" s="1713"/>
      <c r="BX177" s="1713"/>
      <c r="BY177" s="1713"/>
      <c r="BZ177" s="1713"/>
      <c r="CA177" s="1713"/>
      <c r="CB177" s="1713"/>
      <c r="CC177" s="1713"/>
      <c r="CD177" s="1713"/>
      <c r="CE177" s="1669"/>
      <c r="CF177" s="1713"/>
      <c r="CG177" s="1713"/>
      <c r="CH177" s="1713"/>
      <c r="CI177" s="1713"/>
      <c r="CJ177" s="1713"/>
      <c r="CK177" s="1713"/>
      <c r="CL177" s="1713"/>
      <c r="CM177" s="1713"/>
      <c r="CN177" s="1713"/>
      <c r="CO177" s="1713"/>
      <c r="CP177" s="1713"/>
      <c r="CQ177" s="1713"/>
      <c r="CR177" s="1713"/>
      <c r="CS177" s="1713"/>
      <c r="CT177" s="1713"/>
      <c r="CU177" s="1713"/>
      <c r="CV177" s="1713"/>
      <c r="CW177" s="1713"/>
      <c r="CX177" s="1713"/>
      <c r="CY177" s="1680"/>
      <c r="CZ177" s="1713"/>
      <c r="DA177" s="1713"/>
      <c r="DB177" s="1713"/>
      <c r="DC177" s="1713"/>
      <c r="DD177" s="1713"/>
      <c r="DE177" s="1713"/>
      <c r="DF177" s="1713"/>
      <c r="DG177" s="1713"/>
      <c r="DH177" s="1713"/>
      <c r="DI177" s="1713"/>
      <c r="DJ177" s="1713"/>
      <c r="DK177" s="1713"/>
      <c r="DL177" s="1713"/>
      <c r="DM177" s="1713"/>
      <c r="DN177" s="1713"/>
      <c r="DO177" s="1713"/>
      <c r="DP177" s="1713"/>
      <c r="DQ177" s="1713"/>
      <c r="DR177" s="1713"/>
      <c r="DS177" s="1713"/>
      <c r="DT177" s="1713"/>
      <c r="DU177" s="1715"/>
      <c r="DV177" s="1716"/>
    </row>
    <row r="178" spans="1:256" s="545" customFormat="1" ht="18" hidden="1" customHeight="1">
      <c r="A178" s="1685"/>
      <c r="B178" s="1023"/>
      <c r="C178" s="1023"/>
      <c r="D178" s="1023"/>
      <c r="E178" s="1023"/>
      <c r="F178" s="1023"/>
      <c r="G178" s="1023"/>
      <c r="H178" s="1023"/>
      <c r="I178" s="1023"/>
      <c r="J178" s="1023"/>
      <c r="K178" s="1023"/>
      <c r="L178" s="1023"/>
      <c r="M178" s="1023"/>
      <c r="N178" s="1023"/>
      <c r="O178" s="1023"/>
      <c r="P178" s="1023"/>
      <c r="Q178" s="1023"/>
      <c r="R178" s="1023"/>
      <c r="S178" s="1023"/>
      <c r="T178" s="1023"/>
      <c r="U178" s="1023"/>
      <c r="V178" s="1023"/>
      <c r="W178" s="1023"/>
      <c r="X178" s="1023"/>
      <c r="Y178" s="1023"/>
      <c r="Z178" s="1023"/>
      <c r="AA178" s="1023"/>
      <c r="AB178" s="1023"/>
      <c r="AC178" s="1023"/>
      <c r="AD178" s="1023"/>
      <c r="AE178" s="1023"/>
      <c r="AF178" s="1023"/>
      <c r="AG178" s="1023"/>
      <c r="AH178" s="1023"/>
      <c r="AI178" s="1023"/>
      <c r="AJ178" s="1023"/>
      <c r="AK178" s="1023"/>
      <c r="AL178" s="1023"/>
      <c r="AM178" s="1023"/>
      <c r="AN178" s="1023"/>
      <c r="AO178" s="1023"/>
      <c r="AP178" s="1023"/>
      <c r="AQ178" s="1023"/>
      <c r="AR178" s="1023"/>
      <c r="AS178" s="1023"/>
      <c r="AT178" s="1023"/>
      <c r="AU178" s="1023"/>
      <c r="AV178" s="1023"/>
      <c r="AW178" s="1023"/>
      <c r="AX178" s="1023"/>
      <c r="AY178" s="1023"/>
      <c r="AZ178" s="1023"/>
      <c r="BA178" s="1023"/>
      <c r="BB178" s="1023"/>
      <c r="BC178" s="1023"/>
      <c r="BD178" s="1023"/>
      <c r="BE178" s="1023"/>
      <c r="BF178" s="1023"/>
      <c r="BG178" s="1023"/>
      <c r="BH178" s="1023"/>
      <c r="BI178" s="1023"/>
      <c r="BJ178" s="1023"/>
      <c r="BK178" s="1023"/>
      <c r="BL178" s="1023"/>
      <c r="BM178" s="1023"/>
      <c r="BN178" s="1023"/>
      <c r="BO178" s="1023"/>
      <c r="BP178" s="1023"/>
      <c r="BQ178" s="1023"/>
      <c r="BR178" s="1023"/>
      <c r="BS178" s="1023"/>
      <c r="BT178" s="1023"/>
      <c r="BU178" s="1023"/>
      <c r="BV178" s="1023"/>
      <c r="BW178" s="1023"/>
      <c r="BX178" s="1023"/>
      <c r="BY178" s="1023"/>
      <c r="BZ178" s="1023"/>
      <c r="CA178" s="1023"/>
      <c r="CB178" s="1023"/>
      <c r="CC178" s="1023"/>
      <c r="CD178" s="1023"/>
      <c r="CE178" s="1669"/>
      <c r="CF178" s="1023"/>
      <c r="CG178" s="1023"/>
      <c r="CH178" s="1023"/>
      <c r="CI178" s="1023"/>
      <c r="CJ178" s="1023"/>
      <c r="CK178" s="1023"/>
      <c r="CL178" s="1023"/>
      <c r="CM178" s="1023"/>
      <c r="CN178" s="1023"/>
      <c r="CO178" s="1023"/>
      <c r="CP178" s="1023"/>
      <c r="CQ178" s="1023"/>
      <c r="CR178" s="1023"/>
      <c r="CS178" s="1023"/>
      <c r="CT178" s="1023"/>
      <c r="CU178" s="1023"/>
      <c r="CV178" s="1023"/>
      <c r="CW178" s="1023"/>
      <c r="CX178" s="1023"/>
      <c r="CY178" s="1683"/>
      <c r="CZ178" s="1023"/>
      <c r="DA178" s="1023"/>
      <c r="DB178" s="1023"/>
      <c r="DC178" s="1023"/>
      <c r="DD178" s="1023"/>
      <c r="DE178" s="1023"/>
      <c r="DF178" s="1023"/>
      <c r="DG178" s="1023"/>
      <c r="DH178" s="1023"/>
      <c r="DI178" s="1023"/>
      <c r="DJ178" s="1023"/>
      <c r="DK178" s="1023"/>
      <c r="DL178" s="1023"/>
      <c r="DM178" s="1023"/>
      <c r="DN178" s="1023"/>
      <c r="DO178" s="1023"/>
      <c r="DP178" s="1023"/>
      <c r="DQ178" s="1023"/>
      <c r="DR178" s="1023"/>
      <c r="DS178" s="1023"/>
      <c r="DT178" s="1023"/>
      <c r="DU178" s="1023"/>
      <c r="DV178" s="1684"/>
      <c r="DW178" s="530"/>
      <c r="DX178" s="530"/>
      <c r="DY178" s="530"/>
      <c r="DZ178" s="530"/>
      <c r="EA178" s="530"/>
      <c r="EB178" s="530"/>
      <c r="EC178" s="530"/>
      <c r="ED178" s="530"/>
      <c r="EE178" s="530"/>
      <c r="EF178" s="530"/>
      <c r="EG178" s="530"/>
      <c r="EH178" s="530"/>
      <c r="EI178" s="530"/>
      <c r="EJ178" s="530"/>
      <c r="EK178" s="530"/>
      <c r="EL178" s="530"/>
      <c r="EM178" s="530"/>
      <c r="EN178" s="530"/>
      <c r="EO178" s="530"/>
      <c r="EP178" s="530"/>
      <c r="EQ178" s="530"/>
      <c r="ER178" s="530"/>
      <c r="ES178" s="530"/>
      <c r="ET178" s="530"/>
      <c r="EU178" s="530"/>
      <c r="EV178" s="530"/>
      <c r="EW178" s="530"/>
      <c r="EX178" s="530"/>
      <c r="EY178" s="530"/>
      <c r="EZ178" s="530"/>
      <c r="FA178" s="530"/>
      <c r="FB178" s="530"/>
      <c r="FC178" s="530"/>
      <c r="FD178" s="530"/>
      <c r="FE178" s="530"/>
      <c r="FF178" s="530"/>
      <c r="FG178" s="530"/>
      <c r="FH178" s="530"/>
      <c r="FI178" s="530"/>
      <c r="FJ178" s="530"/>
      <c r="FK178" s="530"/>
      <c r="FL178" s="530"/>
      <c r="FM178" s="530"/>
      <c r="FN178" s="530"/>
      <c r="FO178" s="530"/>
      <c r="FP178" s="530"/>
      <c r="FQ178" s="530"/>
      <c r="FR178" s="530"/>
      <c r="FS178" s="530"/>
      <c r="FT178" s="530"/>
      <c r="FU178" s="530"/>
      <c r="FV178" s="530"/>
      <c r="FW178" s="530"/>
      <c r="FX178" s="530"/>
      <c r="FY178" s="530"/>
      <c r="FZ178" s="530"/>
      <c r="GA178" s="530"/>
      <c r="GB178" s="530"/>
      <c r="GC178" s="530"/>
      <c r="GD178" s="530"/>
      <c r="GE178" s="530"/>
      <c r="GF178" s="530"/>
      <c r="GG178" s="530"/>
      <c r="GH178" s="530"/>
      <c r="GI178" s="530"/>
      <c r="GJ178" s="530"/>
      <c r="GK178" s="530"/>
      <c r="GL178" s="530"/>
      <c r="GM178" s="530"/>
      <c r="GN178" s="530"/>
      <c r="GO178" s="530"/>
      <c r="GP178" s="530"/>
      <c r="GQ178" s="530"/>
      <c r="GR178" s="530"/>
      <c r="GS178" s="530"/>
      <c r="GT178" s="530"/>
      <c r="GU178" s="530"/>
      <c r="GV178" s="530"/>
      <c r="GW178" s="530"/>
      <c r="GX178" s="530"/>
      <c r="GY178" s="530"/>
      <c r="GZ178" s="530"/>
      <c r="HA178" s="530"/>
      <c r="HB178" s="530"/>
      <c r="HC178" s="530"/>
      <c r="HD178" s="530"/>
      <c r="HE178" s="530"/>
      <c r="HF178" s="530"/>
      <c r="HG178" s="530"/>
      <c r="HH178" s="530"/>
      <c r="HI178" s="530"/>
      <c r="HJ178" s="530"/>
      <c r="HK178" s="530"/>
      <c r="HL178" s="530"/>
      <c r="HM178" s="530"/>
      <c r="HN178" s="530"/>
      <c r="HO178" s="530"/>
      <c r="HP178" s="530"/>
      <c r="HQ178" s="530"/>
      <c r="HR178" s="530"/>
      <c r="HS178" s="530"/>
      <c r="HT178" s="530"/>
      <c r="HU178" s="530"/>
      <c r="HV178" s="530"/>
      <c r="HW178" s="530"/>
      <c r="HX178" s="530"/>
      <c r="HY178" s="530"/>
      <c r="HZ178" s="530"/>
      <c r="IA178" s="530"/>
      <c r="IB178" s="530"/>
      <c r="IC178" s="530"/>
      <c r="ID178" s="530"/>
      <c r="IE178" s="530"/>
      <c r="IF178" s="530"/>
      <c r="IG178" s="530"/>
      <c r="IH178" s="530"/>
      <c r="II178" s="530"/>
      <c r="IJ178" s="530"/>
      <c r="IK178" s="530"/>
      <c r="IL178" s="530"/>
      <c r="IM178" s="530"/>
      <c r="IN178" s="530"/>
      <c r="IO178" s="530"/>
      <c r="IP178" s="530"/>
      <c r="IQ178" s="530"/>
      <c r="IR178" s="530"/>
      <c r="IS178" s="530"/>
      <c r="IT178" s="530"/>
      <c r="IU178" s="530"/>
      <c r="IV178" s="530"/>
    </row>
    <row r="179" spans="1:256" ht="17.25" hidden="1" customHeight="1">
      <c r="A179" s="1676"/>
      <c r="B179" s="550"/>
      <c r="C179" s="550"/>
      <c r="D179" s="550"/>
      <c r="E179" s="550"/>
      <c r="F179" s="550"/>
      <c r="G179" s="550"/>
      <c r="H179" s="550"/>
      <c r="I179" s="550"/>
      <c r="J179" s="550"/>
      <c r="K179" s="550"/>
      <c r="L179" s="550"/>
      <c r="M179" s="550"/>
      <c r="N179" s="550"/>
      <c r="O179" s="439"/>
      <c r="P179" s="439"/>
      <c r="Q179" s="674"/>
      <c r="R179" s="671"/>
      <c r="S179" s="671"/>
      <c r="T179" s="671"/>
      <c r="U179" s="671"/>
      <c r="V179" s="671"/>
      <c r="W179" s="671"/>
      <c r="X179" s="671"/>
      <c r="Y179" s="671"/>
      <c r="Z179" s="671"/>
      <c r="AA179" s="671"/>
      <c r="AB179" s="623"/>
      <c r="AC179" s="623"/>
      <c r="AD179" s="623"/>
      <c r="AE179" s="623"/>
      <c r="AF179" s="623"/>
      <c r="AG179" s="623"/>
      <c r="AH179" s="623"/>
      <c r="AI179" s="623"/>
      <c r="AJ179" s="623"/>
      <c r="AK179" s="623"/>
      <c r="AL179" s="623"/>
      <c r="AM179" s="623"/>
      <c r="AN179" s="623"/>
      <c r="AO179" s="623"/>
      <c r="AP179" s="623"/>
      <c r="AQ179" s="623"/>
      <c r="AR179" s="623"/>
      <c r="AS179" s="623"/>
      <c r="AT179" s="623"/>
      <c r="AU179" s="623"/>
      <c r="AV179" s="623"/>
      <c r="AW179" s="623"/>
      <c r="AX179" s="623"/>
      <c r="AY179" s="623"/>
      <c r="AZ179" s="623"/>
      <c r="BA179" s="623"/>
      <c r="BB179" s="623"/>
      <c r="BC179" s="623"/>
      <c r="BD179" s="623"/>
      <c r="BE179" s="623"/>
      <c r="BF179" s="623"/>
      <c r="BG179" s="623"/>
      <c r="BH179" s="623"/>
      <c r="BI179" s="623"/>
      <c r="BJ179" s="623"/>
      <c r="BK179" s="623"/>
      <c r="BL179" s="623"/>
      <c r="BM179" s="623"/>
      <c r="BN179" s="623"/>
      <c r="BO179" s="623"/>
      <c r="BP179" s="623"/>
      <c r="BQ179" s="623"/>
      <c r="BR179" s="623"/>
      <c r="BS179" s="623"/>
      <c r="BT179" s="623"/>
      <c r="BU179" s="623"/>
      <c r="BV179" s="623"/>
      <c r="BW179" s="623"/>
      <c r="BX179" s="623"/>
      <c r="BY179" s="623"/>
      <c r="BZ179" s="623"/>
      <c r="CA179" s="623"/>
      <c r="CB179" s="623"/>
      <c r="CC179" s="623"/>
      <c r="CD179" s="623"/>
      <c r="CE179" s="1669"/>
      <c r="CF179" s="623"/>
      <c r="CG179" s="623"/>
      <c r="CH179" s="623"/>
      <c r="CI179" s="623"/>
      <c r="CJ179" s="623"/>
      <c r="CK179" s="623"/>
      <c r="CL179" s="623"/>
      <c r="CM179" s="623"/>
      <c r="CN179" s="623"/>
      <c r="CO179" s="623"/>
      <c r="CP179" s="623"/>
      <c r="CQ179" s="623"/>
      <c r="CR179" s="623"/>
      <c r="CS179" s="623"/>
      <c r="CT179" s="623"/>
      <c r="CU179" s="623"/>
      <c r="CV179" s="623"/>
      <c r="CW179" s="623"/>
      <c r="CX179" s="623"/>
      <c r="CY179" s="817"/>
      <c r="CZ179" s="623"/>
      <c r="DA179" s="623"/>
      <c r="DB179" s="623"/>
      <c r="DC179" s="623"/>
      <c r="DD179" s="623"/>
      <c r="DE179" s="623"/>
      <c r="DF179" s="623"/>
      <c r="DG179" s="623"/>
      <c r="DH179" s="623"/>
      <c r="DI179" s="623"/>
      <c r="DJ179" s="623"/>
      <c r="DK179" s="623"/>
      <c r="DL179" s="623"/>
      <c r="DM179" s="623"/>
      <c r="DN179" s="623"/>
      <c r="DO179" s="623"/>
      <c r="DP179" s="623"/>
      <c r="DQ179" s="623"/>
      <c r="DR179" s="623"/>
      <c r="DS179" s="623"/>
      <c r="DT179" s="623"/>
      <c r="DU179" s="623"/>
      <c r="DV179" s="1675"/>
      <c r="IR179" s="542"/>
      <c r="IS179" s="542"/>
      <c r="IT179" s="542"/>
      <c r="IU179" s="542"/>
      <c r="IV179" s="542"/>
    </row>
    <row r="180" spans="1:256" ht="17.25" hidden="1" customHeight="1">
      <c r="A180" s="1676"/>
      <c r="B180" s="550"/>
      <c r="C180" s="550"/>
      <c r="D180" s="550"/>
      <c r="E180" s="550"/>
      <c r="F180" s="550"/>
      <c r="G180" s="550"/>
      <c r="H180" s="550"/>
      <c r="I180" s="550"/>
      <c r="J180" s="550"/>
      <c r="K180" s="550"/>
      <c r="L180" s="550"/>
      <c r="M180" s="550"/>
      <c r="N180" s="550"/>
      <c r="O180" s="439"/>
      <c r="P180" s="439"/>
      <c r="Q180" s="674"/>
      <c r="R180" s="671"/>
      <c r="S180" s="671"/>
      <c r="T180" s="671"/>
      <c r="U180" s="671"/>
      <c r="V180" s="671"/>
      <c r="W180" s="671"/>
      <c r="X180" s="671"/>
      <c r="Y180" s="671"/>
      <c r="Z180" s="671"/>
      <c r="AA180" s="671"/>
      <c r="AB180" s="623"/>
      <c r="AC180" s="623"/>
      <c r="AD180" s="623"/>
      <c r="AE180" s="623"/>
      <c r="AF180" s="623"/>
      <c r="AG180" s="623"/>
      <c r="AH180" s="623"/>
      <c r="AI180" s="623"/>
      <c r="AJ180" s="623"/>
      <c r="AK180" s="623"/>
      <c r="AL180" s="623"/>
      <c r="AM180" s="623"/>
      <c r="AN180" s="623"/>
      <c r="AO180" s="623"/>
      <c r="AP180" s="623"/>
      <c r="AQ180" s="623"/>
      <c r="AR180" s="623"/>
      <c r="AS180" s="623"/>
      <c r="AT180" s="623"/>
      <c r="AU180" s="623"/>
      <c r="AV180" s="623"/>
      <c r="AW180" s="623"/>
      <c r="AX180" s="623"/>
      <c r="AY180" s="623"/>
      <c r="AZ180" s="623"/>
      <c r="BA180" s="623"/>
      <c r="BB180" s="623"/>
      <c r="BC180" s="623"/>
      <c r="BD180" s="623"/>
      <c r="BE180" s="623"/>
      <c r="BF180" s="623"/>
      <c r="BG180" s="623"/>
      <c r="BH180" s="623"/>
      <c r="BI180" s="623"/>
      <c r="BJ180" s="623"/>
      <c r="BK180" s="623"/>
      <c r="BL180" s="623"/>
      <c r="BM180" s="623"/>
      <c r="BN180" s="623"/>
      <c r="BO180" s="623"/>
      <c r="BP180" s="623"/>
      <c r="BQ180" s="623"/>
      <c r="BR180" s="623"/>
      <c r="BS180" s="623"/>
      <c r="BT180" s="623"/>
      <c r="BU180" s="623"/>
      <c r="BV180" s="623"/>
      <c r="BW180" s="623"/>
      <c r="BX180" s="623"/>
      <c r="BY180" s="623"/>
      <c r="BZ180" s="623"/>
      <c r="CA180" s="623"/>
      <c r="CB180" s="623"/>
      <c r="CC180" s="623"/>
      <c r="CD180" s="623"/>
      <c r="CE180" s="1669"/>
      <c r="CF180" s="623"/>
      <c r="CG180" s="623"/>
      <c r="CH180" s="623"/>
      <c r="CI180" s="623"/>
      <c r="CJ180" s="623"/>
      <c r="CK180" s="623"/>
      <c r="CL180" s="623"/>
      <c r="CM180" s="623"/>
      <c r="CN180" s="623"/>
      <c r="CO180" s="623"/>
      <c r="CP180" s="623"/>
      <c r="CQ180" s="623"/>
      <c r="CR180" s="623"/>
      <c r="CS180" s="623"/>
      <c r="CT180" s="623"/>
      <c r="CU180" s="623"/>
      <c r="CV180" s="623"/>
      <c r="CW180" s="623"/>
      <c r="CX180" s="623"/>
      <c r="CY180" s="817"/>
      <c r="CZ180" s="623"/>
      <c r="DA180" s="623"/>
      <c r="DB180" s="623"/>
      <c r="DC180" s="623"/>
      <c r="DD180" s="623"/>
      <c r="DE180" s="623"/>
      <c r="DF180" s="623"/>
      <c r="DG180" s="623"/>
      <c r="DH180" s="623"/>
      <c r="DI180" s="623"/>
      <c r="DJ180" s="623"/>
      <c r="DK180" s="623"/>
      <c r="DL180" s="623"/>
      <c r="DM180" s="623"/>
      <c r="DN180" s="623"/>
      <c r="DO180" s="623"/>
      <c r="DP180" s="623"/>
      <c r="DQ180" s="623"/>
      <c r="DR180" s="623"/>
      <c r="DS180" s="623"/>
      <c r="DT180" s="623"/>
      <c r="DU180" s="623"/>
      <c r="DV180" s="1675"/>
    </row>
    <row r="181" spans="1:256" ht="17.25" hidden="1" customHeight="1">
      <c r="A181" s="1676"/>
      <c r="B181" s="550"/>
      <c r="C181" s="550"/>
      <c r="D181" s="550"/>
      <c r="E181" s="550"/>
      <c r="F181" s="550"/>
      <c r="G181" s="550"/>
      <c r="H181" s="550"/>
      <c r="I181" s="550"/>
      <c r="J181" s="550"/>
      <c r="K181" s="550"/>
      <c r="L181" s="550"/>
      <c r="M181" s="550"/>
      <c r="N181" s="550"/>
      <c r="O181" s="439"/>
      <c r="P181" s="439"/>
      <c r="Q181" s="674"/>
      <c r="R181" s="671"/>
      <c r="S181" s="671"/>
      <c r="T181" s="671"/>
      <c r="U181" s="671"/>
      <c r="V181" s="671"/>
      <c r="W181" s="671"/>
      <c r="X181" s="671"/>
      <c r="Y181" s="671"/>
      <c r="Z181" s="671"/>
      <c r="AA181" s="671"/>
      <c r="AB181" s="623"/>
      <c r="AC181" s="623"/>
      <c r="AD181" s="623"/>
      <c r="AE181" s="623"/>
      <c r="AF181" s="623"/>
      <c r="AG181" s="623"/>
      <c r="AH181" s="623"/>
      <c r="AI181" s="623"/>
      <c r="AJ181" s="623"/>
      <c r="AK181" s="623"/>
      <c r="AL181" s="623"/>
      <c r="AM181" s="623"/>
      <c r="AN181" s="623"/>
      <c r="AO181" s="623"/>
      <c r="AP181" s="623"/>
      <c r="AQ181" s="623"/>
      <c r="AR181" s="623"/>
      <c r="AS181" s="623"/>
      <c r="AT181" s="623"/>
      <c r="AU181" s="623"/>
      <c r="AV181" s="623"/>
      <c r="AW181" s="623"/>
      <c r="AX181" s="623"/>
      <c r="AY181" s="623"/>
      <c r="AZ181" s="623"/>
      <c r="BA181" s="623"/>
      <c r="BB181" s="623"/>
      <c r="BC181" s="623"/>
      <c r="BD181" s="623"/>
      <c r="BE181" s="623"/>
      <c r="BF181" s="623"/>
      <c r="BG181" s="623"/>
      <c r="BH181" s="623"/>
      <c r="BI181" s="623"/>
      <c r="BJ181" s="623"/>
      <c r="BK181" s="623"/>
      <c r="BL181" s="623"/>
      <c r="BM181" s="623"/>
      <c r="BN181" s="623"/>
      <c r="BO181" s="623"/>
      <c r="BP181" s="623"/>
      <c r="BQ181" s="623"/>
      <c r="BR181" s="623"/>
      <c r="BS181" s="623"/>
      <c r="BT181" s="623"/>
      <c r="BU181" s="623"/>
      <c r="BV181" s="623"/>
      <c r="BW181" s="623"/>
      <c r="BX181" s="623"/>
      <c r="BY181" s="623"/>
      <c r="BZ181" s="623"/>
      <c r="CA181" s="623"/>
      <c r="CB181" s="623"/>
      <c r="CC181" s="623"/>
      <c r="CD181" s="623"/>
      <c r="CE181" s="1669"/>
      <c r="CF181" s="623"/>
      <c r="CG181" s="623"/>
      <c r="CH181" s="623"/>
      <c r="CI181" s="623"/>
      <c r="CJ181" s="623"/>
      <c r="CK181" s="623"/>
      <c r="CL181" s="623"/>
      <c r="CM181" s="623"/>
      <c r="CN181" s="623"/>
      <c r="CO181" s="623"/>
      <c r="CP181" s="623"/>
      <c r="CQ181" s="623"/>
      <c r="CR181" s="623"/>
      <c r="CS181" s="623"/>
      <c r="CT181" s="623"/>
      <c r="CU181" s="623"/>
      <c r="CV181" s="623"/>
      <c r="CW181" s="623"/>
      <c r="CX181" s="623"/>
      <c r="CY181" s="817"/>
      <c r="CZ181" s="623"/>
      <c r="DA181" s="623"/>
      <c r="DB181" s="623"/>
      <c r="DC181" s="623"/>
      <c r="DD181" s="623"/>
      <c r="DE181" s="623"/>
      <c r="DF181" s="623"/>
      <c r="DG181" s="623"/>
      <c r="DH181" s="623"/>
      <c r="DI181" s="623"/>
      <c r="DJ181" s="623"/>
      <c r="DK181" s="623"/>
      <c r="DL181" s="623"/>
      <c r="DM181" s="623"/>
      <c r="DN181" s="623"/>
      <c r="DO181" s="623"/>
      <c r="DP181" s="623"/>
      <c r="DQ181" s="623"/>
      <c r="DR181" s="623"/>
      <c r="DS181" s="623"/>
      <c r="DT181" s="623"/>
      <c r="DU181" s="623"/>
      <c r="DV181" s="1675"/>
    </row>
    <row r="182" spans="1:256" ht="17.25" hidden="1" customHeight="1">
      <c r="A182" s="1676"/>
      <c r="B182" s="550"/>
      <c r="C182" s="550"/>
      <c r="D182" s="550"/>
      <c r="E182" s="550"/>
      <c r="F182" s="550"/>
      <c r="G182" s="550"/>
      <c r="H182" s="550"/>
      <c r="I182" s="550"/>
      <c r="J182" s="550"/>
      <c r="K182" s="550"/>
      <c r="L182" s="550"/>
      <c r="M182" s="550"/>
      <c r="N182" s="550"/>
      <c r="O182" s="439"/>
      <c r="P182" s="439"/>
      <c r="Q182" s="674"/>
      <c r="R182" s="671"/>
      <c r="S182" s="671"/>
      <c r="T182" s="671"/>
      <c r="U182" s="671"/>
      <c r="V182" s="671"/>
      <c r="W182" s="671"/>
      <c r="X182" s="671"/>
      <c r="Y182" s="671"/>
      <c r="Z182" s="671"/>
      <c r="AA182" s="671"/>
      <c r="AB182" s="623"/>
      <c r="AC182" s="623"/>
      <c r="AD182" s="623"/>
      <c r="AE182" s="623"/>
      <c r="AF182" s="623"/>
      <c r="AG182" s="623"/>
      <c r="AH182" s="623"/>
      <c r="AI182" s="623"/>
      <c r="AJ182" s="623"/>
      <c r="AK182" s="623"/>
      <c r="AL182" s="623"/>
      <c r="AM182" s="623"/>
      <c r="AN182" s="623"/>
      <c r="AO182" s="623"/>
      <c r="AP182" s="623"/>
      <c r="AQ182" s="623"/>
      <c r="AR182" s="623"/>
      <c r="AS182" s="623"/>
      <c r="AT182" s="623"/>
      <c r="AU182" s="623"/>
      <c r="AV182" s="623"/>
      <c r="AW182" s="623"/>
      <c r="AX182" s="623"/>
      <c r="AY182" s="623"/>
      <c r="AZ182" s="623"/>
      <c r="BA182" s="623"/>
      <c r="BB182" s="623"/>
      <c r="BC182" s="623"/>
      <c r="BD182" s="623"/>
      <c r="BE182" s="623"/>
      <c r="BF182" s="623"/>
      <c r="BG182" s="623"/>
      <c r="BH182" s="623"/>
      <c r="BI182" s="623"/>
      <c r="BJ182" s="623"/>
      <c r="BK182" s="623"/>
      <c r="BL182" s="623"/>
      <c r="BM182" s="623"/>
      <c r="BN182" s="623"/>
      <c r="BO182" s="623"/>
      <c r="BP182" s="623"/>
      <c r="BQ182" s="623"/>
      <c r="BR182" s="623"/>
      <c r="BS182" s="623"/>
      <c r="BT182" s="623"/>
      <c r="BU182" s="623"/>
      <c r="BV182" s="623"/>
      <c r="BW182" s="623"/>
      <c r="BX182" s="623"/>
      <c r="BY182" s="623"/>
      <c r="BZ182" s="623"/>
      <c r="CA182" s="623"/>
      <c r="CB182" s="623"/>
      <c r="CC182" s="623"/>
      <c r="CD182" s="623"/>
      <c r="CE182" s="1669"/>
      <c r="CF182" s="623"/>
      <c r="CG182" s="623"/>
      <c r="CH182" s="623"/>
      <c r="CI182" s="623"/>
      <c r="CJ182" s="623"/>
      <c r="CK182" s="623"/>
      <c r="CL182" s="623"/>
      <c r="CM182" s="623"/>
      <c r="CN182" s="623"/>
      <c r="CO182" s="623"/>
      <c r="CP182" s="623"/>
      <c r="CQ182" s="623"/>
      <c r="CR182" s="623"/>
      <c r="CS182" s="623"/>
      <c r="CT182" s="623"/>
      <c r="CU182" s="623"/>
      <c r="CV182" s="623"/>
      <c r="CW182" s="623"/>
      <c r="CX182" s="623"/>
      <c r="CY182" s="817"/>
      <c r="CZ182" s="623"/>
      <c r="DA182" s="623"/>
      <c r="DB182" s="623"/>
      <c r="DC182" s="623"/>
      <c r="DD182" s="623"/>
      <c r="DE182" s="623"/>
      <c r="DF182" s="623"/>
      <c r="DG182" s="623"/>
      <c r="DH182" s="623"/>
      <c r="DI182" s="623"/>
      <c r="DJ182" s="623"/>
      <c r="DK182" s="623"/>
      <c r="DL182" s="623"/>
      <c r="DM182" s="623"/>
      <c r="DN182" s="623"/>
      <c r="DO182" s="623"/>
      <c r="DP182" s="623"/>
      <c r="DQ182" s="623"/>
      <c r="DR182" s="623"/>
      <c r="DS182" s="623"/>
      <c r="DT182" s="623"/>
      <c r="DU182" s="623"/>
      <c r="DV182" s="1675"/>
    </row>
    <row r="183" spans="1:256" ht="17.25" hidden="1" customHeight="1">
      <c r="A183" s="1676"/>
      <c r="B183" s="550"/>
      <c r="C183" s="550"/>
      <c r="D183" s="550"/>
      <c r="E183" s="550"/>
      <c r="F183" s="550"/>
      <c r="G183" s="550"/>
      <c r="H183" s="550"/>
      <c r="I183" s="550"/>
      <c r="J183" s="550"/>
      <c r="K183" s="550"/>
      <c r="L183" s="550"/>
      <c r="M183" s="550"/>
      <c r="N183" s="550"/>
      <c r="O183" s="439"/>
      <c r="P183" s="439"/>
      <c r="Q183" s="674"/>
      <c r="R183" s="671"/>
      <c r="S183" s="671"/>
      <c r="T183" s="671"/>
      <c r="U183" s="671"/>
      <c r="V183" s="671"/>
      <c r="W183" s="671"/>
      <c r="X183" s="671"/>
      <c r="Y183" s="671"/>
      <c r="Z183" s="671"/>
      <c r="AA183" s="671"/>
      <c r="AB183" s="623"/>
      <c r="AC183" s="623"/>
      <c r="AD183" s="623"/>
      <c r="AE183" s="623"/>
      <c r="AF183" s="623"/>
      <c r="AG183" s="623"/>
      <c r="AH183" s="623"/>
      <c r="AI183" s="623"/>
      <c r="AJ183" s="623"/>
      <c r="AK183" s="623"/>
      <c r="AL183" s="623"/>
      <c r="AM183" s="623"/>
      <c r="AN183" s="623"/>
      <c r="AO183" s="623"/>
      <c r="AP183" s="623"/>
      <c r="AQ183" s="623"/>
      <c r="AR183" s="623"/>
      <c r="AS183" s="623"/>
      <c r="AT183" s="623"/>
      <c r="AU183" s="623"/>
      <c r="AV183" s="623"/>
      <c r="AW183" s="623"/>
      <c r="AX183" s="623"/>
      <c r="AY183" s="623"/>
      <c r="AZ183" s="623"/>
      <c r="BA183" s="623"/>
      <c r="BB183" s="623"/>
      <c r="BC183" s="623"/>
      <c r="BD183" s="623"/>
      <c r="BE183" s="623"/>
      <c r="BF183" s="623"/>
      <c r="BG183" s="623"/>
      <c r="BH183" s="623"/>
      <c r="BI183" s="623"/>
      <c r="BJ183" s="623"/>
      <c r="BK183" s="623"/>
      <c r="BL183" s="623"/>
      <c r="BM183" s="623"/>
      <c r="BN183" s="623"/>
      <c r="BO183" s="623"/>
      <c r="BP183" s="623"/>
      <c r="BQ183" s="623"/>
      <c r="BR183" s="623"/>
      <c r="BS183" s="623"/>
      <c r="BT183" s="623"/>
      <c r="BU183" s="623"/>
      <c r="BV183" s="623"/>
      <c r="BW183" s="623"/>
      <c r="BX183" s="623"/>
      <c r="BY183" s="623"/>
      <c r="BZ183" s="623"/>
      <c r="CA183" s="623"/>
      <c r="CB183" s="623"/>
      <c r="CC183" s="623"/>
      <c r="CD183" s="623"/>
      <c r="CE183" s="1669"/>
      <c r="CF183" s="623"/>
      <c r="CG183" s="623"/>
      <c r="CH183" s="623"/>
      <c r="CI183" s="623"/>
      <c r="CJ183" s="623"/>
      <c r="CK183" s="623"/>
      <c r="CL183" s="623"/>
      <c r="CM183" s="623"/>
      <c r="CN183" s="623"/>
      <c r="CO183" s="623"/>
      <c r="CP183" s="623"/>
      <c r="CQ183" s="623"/>
      <c r="CR183" s="623"/>
      <c r="CS183" s="623"/>
      <c r="CT183" s="623"/>
      <c r="CU183" s="623"/>
      <c r="CV183" s="623"/>
      <c r="CW183" s="623"/>
      <c r="CX183" s="623"/>
      <c r="CY183" s="817"/>
      <c r="CZ183" s="623"/>
      <c r="DA183" s="623"/>
      <c r="DB183" s="623"/>
      <c r="DC183" s="623"/>
      <c r="DD183" s="623"/>
      <c r="DE183" s="623"/>
      <c r="DF183" s="623"/>
      <c r="DG183" s="623"/>
      <c r="DH183" s="623"/>
      <c r="DI183" s="623"/>
      <c r="DJ183" s="623"/>
      <c r="DK183" s="623"/>
      <c r="DL183" s="623"/>
      <c r="DM183" s="623"/>
      <c r="DN183" s="623"/>
      <c r="DO183" s="623"/>
      <c r="DP183" s="623"/>
      <c r="DQ183" s="623"/>
      <c r="DR183" s="623"/>
      <c r="DS183" s="623"/>
      <c r="DT183" s="623"/>
      <c r="DU183" s="623"/>
      <c r="DV183" s="1675"/>
    </row>
    <row r="184" spans="1:256" ht="17.25" hidden="1" customHeight="1">
      <c r="A184" s="1676"/>
      <c r="B184" s="550"/>
      <c r="C184" s="550"/>
      <c r="D184" s="550"/>
      <c r="E184" s="550"/>
      <c r="F184" s="550"/>
      <c r="G184" s="550"/>
      <c r="H184" s="550"/>
      <c r="I184" s="550"/>
      <c r="J184" s="550"/>
      <c r="K184" s="550"/>
      <c r="L184" s="550"/>
      <c r="M184" s="550"/>
      <c r="N184" s="550"/>
      <c r="O184" s="439"/>
      <c r="P184" s="439"/>
      <c r="Q184" s="674"/>
      <c r="R184" s="671"/>
      <c r="S184" s="671"/>
      <c r="T184" s="671"/>
      <c r="U184" s="671"/>
      <c r="V184" s="671"/>
      <c r="W184" s="671"/>
      <c r="X184" s="671"/>
      <c r="Y184" s="671"/>
      <c r="Z184" s="671"/>
      <c r="AA184" s="671"/>
      <c r="AB184" s="623"/>
      <c r="AC184" s="623"/>
      <c r="AD184" s="623"/>
      <c r="AE184" s="623"/>
      <c r="AF184" s="623"/>
      <c r="AG184" s="623"/>
      <c r="AH184" s="623"/>
      <c r="AI184" s="623"/>
      <c r="AJ184" s="623"/>
      <c r="AK184" s="623"/>
      <c r="AL184" s="623"/>
      <c r="AM184" s="623"/>
      <c r="AN184" s="623"/>
      <c r="AO184" s="623"/>
      <c r="AP184" s="623"/>
      <c r="AQ184" s="623"/>
      <c r="AR184" s="623"/>
      <c r="AS184" s="623"/>
      <c r="AT184" s="623"/>
      <c r="AU184" s="623"/>
      <c r="AV184" s="623"/>
      <c r="AW184" s="623"/>
      <c r="AX184" s="623"/>
      <c r="AY184" s="623"/>
      <c r="AZ184" s="623"/>
      <c r="BA184" s="623"/>
      <c r="BB184" s="623"/>
      <c r="BC184" s="623"/>
      <c r="BD184" s="623"/>
      <c r="BE184" s="623"/>
      <c r="BF184" s="623"/>
      <c r="BG184" s="623"/>
      <c r="BH184" s="623"/>
      <c r="BI184" s="623"/>
      <c r="BJ184" s="623"/>
      <c r="BK184" s="623"/>
      <c r="BL184" s="623"/>
      <c r="BM184" s="623"/>
      <c r="BN184" s="623"/>
      <c r="BO184" s="623"/>
      <c r="BP184" s="623"/>
      <c r="BQ184" s="623"/>
      <c r="BR184" s="623"/>
      <c r="BS184" s="623"/>
      <c r="BT184" s="623"/>
      <c r="BU184" s="623"/>
      <c r="BV184" s="623"/>
      <c r="BW184" s="623"/>
      <c r="BX184" s="623"/>
      <c r="BY184" s="623"/>
      <c r="BZ184" s="623"/>
      <c r="CA184" s="623"/>
      <c r="CB184" s="623"/>
      <c r="CC184" s="623"/>
      <c r="CD184" s="623"/>
      <c r="CE184" s="1669"/>
      <c r="CF184" s="623"/>
      <c r="CG184" s="623"/>
      <c r="CH184" s="623"/>
      <c r="CI184" s="623"/>
      <c r="CJ184" s="623"/>
      <c r="CK184" s="623"/>
      <c r="CL184" s="623"/>
      <c r="CM184" s="623"/>
      <c r="CN184" s="623"/>
      <c r="CO184" s="623"/>
      <c r="CP184" s="623"/>
      <c r="CQ184" s="623"/>
      <c r="CR184" s="623"/>
      <c r="CS184" s="623"/>
      <c r="CT184" s="623"/>
      <c r="CU184" s="623"/>
      <c r="CV184" s="623"/>
      <c r="CW184" s="623"/>
      <c r="CX184" s="623"/>
      <c r="CY184" s="817"/>
      <c r="CZ184" s="623"/>
      <c r="DA184" s="623"/>
      <c r="DB184" s="623"/>
      <c r="DC184" s="623"/>
      <c r="DD184" s="623"/>
      <c r="DE184" s="623"/>
      <c r="DF184" s="623"/>
      <c r="DG184" s="623"/>
      <c r="DH184" s="623"/>
      <c r="DI184" s="623"/>
      <c r="DJ184" s="623"/>
      <c r="DK184" s="623"/>
      <c r="DL184" s="623"/>
      <c r="DM184" s="623"/>
      <c r="DN184" s="623"/>
      <c r="DO184" s="623"/>
      <c r="DP184" s="623"/>
      <c r="DQ184" s="623"/>
      <c r="DR184" s="623"/>
      <c r="DS184" s="623"/>
      <c r="DT184" s="623"/>
      <c r="DU184" s="623"/>
      <c r="DV184" s="1675"/>
    </row>
    <row r="185" spans="1:256" ht="17.25" hidden="1" customHeight="1">
      <c r="A185" s="1676"/>
      <c r="B185" s="550"/>
      <c r="C185" s="550"/>
      <c r="D185" s="550"/>
      <c r="E185" s="550"/>
      <c r="F185" s="550"/>
      <c r="G185" s="550"/>
      <c r="H185" s="550"/>
      <c r="I185" s="550"/>
      <c r="J185" s="550"/>
      <c r="K185" s="550"/>
      <c r="L185" s="550"/>
      <c r="M185" s="550"/>
      <c r="N185" s="550"/>
      <c r="O185" s="439"/>
      <c r="P185" s="439"/>
      <c r="Q185" s="674"/>
      <c r="R185" s="671"/>
      <c r="S185" s="671"/>
      <c r="T185" s="671"/>
      <c r="U185" s="671"/>
      <c r="V185" s="671"/>
      <c r="W185" s="671"/>
      <c r="X185" s="671"/>
      <c r="Y185" s="671"/>
      <c r="Z185" s="671"/>
      <c r="AA185" s="671"/>
      <c r="AB185" s="623"/>
      <c r="AC185" s="623"/>
      <c r="AD185" s="623"/>
      <c r="AE185" s="623"/>
      <c r="AF185" s="623"/>
      <c r="AG185" s="623"/>
      <c r="AH185" s="623"/>
      <c r="AI185" s="623"/>
      <c r="AJ185" s="623"/>
      <c r="AK185" s="623"/>
      <c r="AL185" s="623"/>
      <c r="AM185" s="623"/>
      <c r="AN185" s="623"/>
      <c r="AO185" s="623"/>
      <c r="AP185" s="623"/>
      <c r="AQ185" s="623"/>
      <c r="AR185" s="623"/>
      <c r="AS185" s="623"/>
      <c r="AT185" s="623"/>
      <c r="AU185" s="623"/>
      <c r="AV185" s="623"/>
      <c r="AW185" s="623"/>
      <c r="AX185" s="623"/>
      <c r="AY185" s="623"/>
      <c r="AZ185" s="623"/>
      <c r="BA185" s="623"/>
      <c r="BB185" s="623"/>
      <c r="BC185" s="623"/>
      <c r="BD185" s="623"/>
      <c r="BE185" s="623"/>
      <c r="BF185" s="623"/>
      <c r="BG185" s="623"/>
      <c r="BH185" s="623"/>
      <c r="BI185" s="623"/>
      <c r="BJ185" s="623"/>
      <c r="BK185" s="623"/>
      <c r="BL185" s="623"/>
      <c r="BM185" s="623"/>
      <c r="BN185" s="623"/>
      <c r="BO185" s="623"/>
      <c r="BP185" s="623"/>
      <c r="BQ185" s="623"/>
      <c r="BR185" s="623"/>
      <c r="BS185" s="623"/>
      <c r="BT185" s="623"/>
      <c r="BU185" s="623"/>
      <c r="BV185" s="623"/>
      <c r="BW185" s="623"/>
      <c r="BX185" s="623"/>
      <c r="BY185" s="623"/>
      <c r="BZ185" s="623"/>
      <c r="CA185" s="623"/>
      <c r="CB185" s="623"/>
      <c r="CC185" s="623"/>
      <c r="CD185" s="623"/>
      <c r="CE185" s="1669"/>
      <c r="CF185" s="623"/>
      <c r="CG185" s="623"/>
      <c r="CH185" s="623"/>
      <c r="CI185" s="623"/>
      <c r="CJ185" s="623"/>
      <c r="CK185" s="623"/>
      <c r="CL185" s="623"/>
      <c r="CM185" s="623"/>
      <c r="CN185" s="623"/>
      <c r="CO185" s="623"/>
      <c r="CP185" s="623"/>
      <c r="CQ185" s="623"/>
      <c r="CR185" s="623"/>
      <c r="CS185" s="623"/>
      <c r="CT185" s="623"/>
      <c r="CU185" s="623"/>
      <c r="CV185" s="623"/>
      <c r="CW185" s="623"/>
      <c r="CX185" s="623"/>
      <c r="CY185" s="817"/>
      <c r="CZ185" s="623"/>
      <c r="DA185" s="623"/>
      <c r="DB185" s="623"/>
      <c r="DC185" s="623"/>
      <c r="DD185" s="623"/>
      <c r="DE185" s="623"/>
      <c r="DF185" s="623"/>
      <c r="DG185" s="623"/>
      <c r="DH185" s="623"/>
      <c r="DI185" s="623"/>
      <c r="DJ185" s="623"/>
      <c r="DK185" s="623"/>
      <c r="DL185" s="623"/>
      <c r="DM185" s="623"/>
      <c r="DN185" s="623"/>
      <c r="DO185" s="623"/>
      <c r="DP185" s="623"/>
      <c r="DQ185" s="623"/>
      <c r="DR185" s="623"/>
      <c r="DS185" s="623"/>
      <c r="DT185" s="623"/>
      <c r="DU185" s="623"/>
      <c r="DV185" s="1675"/>
    </row>
    <row r="186" spans="1:256" s="678" customFormat="1" ht="17.25" hidden="1" customHeight="1">
      <c r="A186" s="1676"/>
      <c r="B186" s="550"/>
      <c r="C186" s="550"/>
      <c r="D186" s="550"/>
      <c r="E186" s="550"/>
      <c r="F186" s="550"/>
      <c r="G186" s="550"/>
      <c r="H186" s="550"/>
      <c r="I186" s="550"/>
      <c r="J186" s="676"/>
      <c r="K186" s="550"/>
      <c r="L186" s="550"/>
      <c r="M186" s="550"/>
      <c r="N186" s="550"/>
      <c r="O186" s="439"/>
      <c r="P186" s="439"/>
      <c r="Q186" s="674"/>
      <c r="R186" s="671"/>
      <c r="S186" s="671"/>
      <c r="T186" s="671"/>
      <c r="U186" s="671"/>
      <c r="V186" s="671"/>
      <c r="W186" s="671"/>
      <c r="X186" s="671"/>
      <c r="Y186" s="671"/>
      <c r="Z186" s="671"/>
      <c r="AA186" s="671"/>
      <c r="AB186" s="623"/>
      <c r="AC186" s="623"/>
      <c r="AD186" s="623"/>
      <c r="AE186" s="623"/>
      <c r="AF186" s="623"/>
      <c r="AG186" s="623"/>
      <c r="AH186" s="623"/>
      <c r="AI186" s="623"/>
      <c r="AJ186" s="623"/>
      <c r="AK186" s="623"/>
      <c r="AL186" s="623"/>
      <c r="AM186" s="623"/>
      <c r="AN186" s="623"/>
      <c r="AO186" s="623"/>
      <c r="AP186" s="623"/>
      <c r="AQ186" s="623"/>
      <c r="AR186" s="623"/>
      <c r="AS186" s="623"/>
      <c r="AT186" s="623"/>
      <c r="AU186" s="623"/>
      <c r="AV186" s="623"/>
      <c r="AW186" s="623"/>
      <c r="AX186" s="623"/>
      <c r="AY186" s="623"/>
      <c r="AZ186" s="623"/>
      <c r="BA186" s="623"/>
      <c r="BB186" s="623"/>
      <c r="BC186" s="623"/>
      <c r="BD186" s="623"/>
      <c r="BE186" s="623"/>
      <c r="BF186" s="623"/>
      <c r="BG186" s="623"/>
      <c r="BH186" s="623"/>
      <c r="BI186" s="623"/>
      <c r="BJ186" s="623"/>
      <c r="BK186" s="623"/>
      <c r="BL186" s="623"/>
      <c r="BM186" s="623"/>
      <c r="BN186" s="623"/>
      <c r="BO186" s="623"/>
      <c r="BP186" s="623"/>
      <c r="BQ186" s="623"/>
      <c r="BR186" s="623"/>
      <c r="BS186" s="623"/>
      <c r="BT186" s="623"/>
      <c r="BU186" s="623"/>
      <c r="BV186" s="623"/>
      <c r="BW186" s="623"/>
      <c r="BX186" s="623"/>
      <c r="BY186" s="623"/>
      <c r="BZ186" s="623"/>
      <c r="CA186" s="623"/>
      <c r="CB186" s="623"/>
      <c r="CC186" s="623"/>
      <c r="CD186" s="623"/>
      <c r="CE186" s="1669"/>
      <c r="CF186" s="623"/>
      <c r="CG186" s="623"/>
      <c r="CH186" s="623"/>
      <c r="CI186" s="623"/>
      <c r="CJ186" s="623"/>
      <c r="CK186" s="623"/>
      <c r="CL186" s="623"/>
      <c r="CM186" s="623"/>
      <c r="CN186" s="623"/>
      <c r="CO186" s="623"/>
      <c r="CP186" s="623"/>
      <c r="CQ186" s="623"/>
      <c r="CR186" s="623"/>
      <c r="CS186" s="623"/>
      <c r="CT186" s="623"/>
      <c r="CU186" s="623"/>
      <c r="CV186" s="623"/>
      <c r="CW186" s="623"/>
      <c r="CX186" s="623"/>
      <c r="CY186" s="817"/>
      <c r="CZ186" s="623"/>
      <c r="DA186" s="623"/>
      <c r="DB186" s="623"/>
      <c r="DC186" s="623"/>
      <c r="DD186" s="623"/>
      <c r="DE186" s="623"/>
      <c r="DF186" s="623"/>
      <c r="DG186" s="623"/>
      <c r="DH186" s="623"/>
      <c r="DI186" s="623"/>
      <c r="DJ186" s="623"/>
      <c r="DK186" s="623"/>
      <c r="DL186" s="623"/>
      <c r="DM186" s="623"/>
      <c r="DN186" s="623"/>
      <c r="DO186" s="623"/>
      <c r="DP186" s="623"/>
      <c r="DQ186" s="623"/>
      <c r="DR186" s="623"/>
      <c r="DS186" s="623"/>
      <c r="DT186" s="623"/>
      <c r="DU186" s="623"/>
      <c r="DV186" s="1675"/>
      <c r="DW186" s="530"/>
      <c r="DX186" s="530"/>
      <c r="DY186" s="530"/>
      <c r="DZ186" s="530"/>
      <c r="EA186" s="530"/>
      <c r="EB186" s="530"/>
      <c r="EC186" s="530"/>
      <c r="ED186" s="530"/>
      <c r="EE186" s="530"/>
      <c r="EF186" s="530"/>
      <c r="EG186" s="530"/>
      <c r="EH186" s="530"/>
      <c r="EI186" s="530"/>
      <c r="EJ186" s="530"/>
      <c r="EK186" s="530"/>
      <c r="EL186" s="530"/>
      <c r="EM186" s="530"/>
      <c r="EN186" s="530"/>
      <c r="EO186" s="530"/>
      <c r="EP186" s="530"/>
      <c r="EQ186" s="530"/>
      <c r="ER186" s="530"/>
      <c r="ES186" s="530"/>
      <c r="ET186" s="530"/>
      <c r="EU186" s="530"/>
      <c r="EV186" s="530"/>
      <c r="EW186" s="530"/>
      <c r="EX186" s="530"/>
      <c r="EY186" s="530"/>
      <c r="EZ186" s="530"/>
      <c r="FA186" s="530"/>
      <c r="FB186" s="530"/>
      <c r="FC186" s="530"/>
      <c r="FD186" s="530"/>
      <c r="FE186" s="530"/>
      <c r="FF186" s="530"/>
      <c r="FG186" s="530"/>
      <c r="FH186" s="530"/>
      <c r="FI186" s="530"/>
      <c r="FJ186" s="530"/>
      <c r="FK186" s="530"/>
      <c r="FL186" s="530"/>
      <c r="FM186" s="530"/>
      <c r="FN186" s="530"/>
      <c r="FO186" s="530"/>
      <c r="FP186" s="530"/>
      <c r="FQ186" s="530"/>
      <c r="FR186" s="530"/>
      <c r="FS186" s="530"/>
      <c r="FT186" s="530"/>
      <c r="FU186" s="530"/>
      <c r="FV186" s="530"/>
      <c r="FW186" s="530"/>
      <c r="FX186" s="530"/>
      <c r="FY186" s="530"/>
      <c r="FZ186" s="530"/>
      <c r="GA186" s="530"/>
      <c r="GB186" s="530"/>
      <c r="GC186" s="530"/>
      <c r="GD186" s="530"/>
      <c r="GE186" s="530"/>
      <c r="GF186" s="530"/>
      <c r="GG186" s="530"/>
      <c r="GH186" s="530"/>
      <c r="GI186" s="530"/>
      <c r="GJ186" s="530"/>
      <c r="GK186" s="530"/>
      <c r="GL186" s="530"/>
      <c r="GM186" s="530"/>
      <c r="GN186" s="530"/>
      <c r="GO186" s="530"/>
      <c r="GP186" s="530"/>
      <c r="GQ186" s="530"/>
      <c r="GR186" s="530"/>
      <c r="GS186" s="530"/>
      <c r="GT186" s="530"/>
      <c r="GU186" s="530"/>
      <c r="GV186" s="530"/>
      <c r="GW186" s="530"/>
      <c r="GX186" s="530"/>
      <c r="GY186" s="530"/>
      <c r="GZ186" s="530"/>
      <c r="HA186" s="530"/>
      <c r="HB186" s="530"/>
      <c r="HC186" s="530"/>
      <c r="HD186" s="530"/>
      <c r="HE186" s="530"/>
      <c r="HF186" s="530"/>
      <c r="HG186" s="530"/>
      <c r="HH186" s="530"/>
      <c r="HI186" s="530"/>
      <c r="HJ186" s="530"/>
      <c r="HK186" s="530"/>
      <c r="HL186" s="530"/>
      <c r="HM186" s="530"/>
      <c r="HN186" s="530"/>
      <c r="HO186" s="530"/>
      <c r="HP186" s="530"/>
      <c r="HQ186" s="530"/>
      <c r="HR186" s="530"/>
      <c r="HS186" s="530"/>
      <c r="HT186" s="530"/>
      <c r="HU186" s="530"/>
      <c r="HV186" s="530"/>
      <c r="HW186" s="530"/>
      <c r="HX186" s="530"/>
      <c r="HY186" s="530"/>
      <c r="HZ186" s="530"/>
      <c r="IA186" s="530"/>
      <c r="IB186" s="530"/>
      <c r="IC186" s="530"/>
      <c r="ID186" s="530"/>
      <c r="IE186" s="530"/>
      <c r="IF186" s="530"/>
      <c r="IG186" s="530"/>
      <c r="IH186" s="530"/>
      <c r="II186" s="530"/>
      <c r="IJ186" s="530"/>
      <c r="IK186" s="530"/>
      <c r="IL186" s="530"/>
      <c r="IM186" s="530"/>
      <c r="IN186" s="530"/>
      <c r="IO186" s="530"/>
      <c r="IP186" s="530"/>
      <c r="IQ186" s="530"/>
      <c r="IR186" s="530"/>
      <c r="IS186" s="530"/>
      <c r="IT186" s="530"/>
      <c r="IU186" s="530"/>
      <c r="IV186" s="530"/>
    </row>
    <row r="187" spans="1:256" s="717" customFormat="1" ht="18.75" hidden="1" customHeight="1">
      <c r="A187" s="1713"/>
      <c r="B187" s="1714"/>
      <c r="C187" s="1713"/>
      <c r="D187" s="1713"/>
      <c r="E187" s="1713"/>
      <c r="F187" s="1713"/>
      <c r="G187" s="1713"/>
      <c r="H187" s="1713"/>
      <c r="I187" s="1713"/>
      <c r="J187" s="1713"/>
      <c r="K187" s="1713"/>
      <c r="L187" s="1713"/>
      <c r="M187" s="1713"/>
      <c r="N187" s="1713"/>
      <c r="O187" s="1713"/>
      <c r="P187" s="1713"/>
      <c r="Q187" s="1713"/>
      <c r="R187" s="1713"/>
      <c r="S187" s="1713"/>
      <c r="T187" s="1713"/>
      <c r="U187" s="1713"/>
      <c r="V187" s="1713"/>
      <c r="W187" s="1713"/>
      <c r="X187" s="1713"/>
      <c r="Y187" s="1713"/>
      <c r="Z187" s="1713"/>
      <c r="AA187" s="1713"/>
      <c r="AB187" s="1713"/>
      <c r="AC187" s="1713"/>
      <c r="AD187" s="1713"/>
      <c r="AE187" s="1713"/>
      <c r="AF187" s="1713"/>
      <c r="AG187" s="1713"/>
      <c r="AH187" s="1713"/>
      <c r="AI187" s="1713"/>
      <c r="AJ187" s="1713"/>
      <c r="AK187" s="1713"/>
      <c r="AL187" s="1713"/>
      <c r="AM187" s="1713"/>
      <c r="AN187" s="1713"/>
      <c r="AO187" s="1713"/>
      <c r="AP187" s="1713"/>
      <c r="AQ187" s="1713"/>
      <c r="AR187" s="1713"/>
      <c r="AS187" s="1713"/>
      <c r="AT187" s="1713"/>
      <c r="AU187" s="1713"/>
      <c r="AV187" s="1713"/>
      <c r="AW187" s="1713"/>
      <c r="AX187" s="1713"/>
      <c r="AY187" s="1713"/>
      <c r="AZ187" s="1713"/>
      <c r="BA187" s="1713"/>
      <c r="BB187" s="1713"/>
      <c r="BC187" s="1713"/>
      <c r="BD187" s="1713"/>
      <c r="BE187" s="1713"/>
      <c r="BF187" s="1713"/>
      <c r="BG187" s="1713"/>
      <c r="BH187" s="1713"/>
      <c r="BI187" s="1713"/>
      <c r="BJ187" s="1713"/>
      <c r="BK187" s="1713"/>
      <c r="BL187" s="1713"/>
      <c r="BM187" s="1713"/>
      <c r="BN187" s="1713"/>
      <c r="BO187" s="1713"/>
      <c r="BP187" s="1713"/>
      <c r="BQ187" s="1713"/>
      <c r="BR187" s="1713"/>
      <c r="BS187" s="1713"/>
      <c r="BT187" s="1713"/>
      <c r="BU187" s="1713"/>
      <c r="BV187" s="1713"/>
      <c r="BW187" s="1713"/>
      <c r="BX187" s="1713"/>
      <c r="BY187" s="1713"/>
      <c r="BZ187" s="1713"/>
      <c r="CA187" s="1713"/>
      <c r="CB187" s="1713"/>
      <c r="CC187" s="1713"/>
      <c r="CD187" s="1713"/>
      <c r="CE187" s="1669"/>
      <c r="CF187" s="1713"/>
      <c r="CG187" s="1713"/>
      <c r="CH187" s="1713"/>
      <c r="CI187" s="1713"/>
      <c r="CJ187" s="1713"/>
      <c r="CK187" s="1713"/>
      <c r="CL187" s="1713"/>
      <c r="CM187" s="1713"/>
      <c r="CN187" s="1713"/>
      <c r="CO187" s="1713"/>
      <c r="CP187" s="1713"/>
      <c r="CQ187" s="1713"/>
      <c r="CR187" s="1713"/>
      <c r="CS187" s="1713"/>
      <c r="CT187" s="1713"/>
      <c r="CU187" s="1713"/>
      <c r="CV187" s="1713"/>
      <c r="CW187" s="1713"/>
      <c r="CX187" s="1713"/>
      <c r="CY187" s="1680"/>
      <c r="CZ187" s="1713"/>
      <c r="DA187" s="1713"/>
      <c r="DB187" s="1713"/>
      <c r="DC187" s="1713"/>
      <c r="DD187" s="1713"/>
      <c r="DE187" s="1713"/>
      <c r="DF187" s="1713"/>
      <c r="DG187" s="1713"/>
      <c r="DH187" s="1713"/>
      <c r="DI187" s="1713"/>
      <c r="DJ187" s="1713"/>
      <c r="DK187" s="1713"/>
      <c r="DL187" s="1713"/>
      <c r="DM187" s="1713"/>
      <c r="DN187" s="1713"/>
      <c r="DO187" s="1713"/>
      <c r="DP187" s="1713"/>
      <c r="DQ187" s="1713"/>
      <c r="DR187" s="1713"/>
      <c r="DS187" s="1713"/>
      <c r="DT187" s="1713"/>
      <c r="DU187" s="1715"/>
      <c r="DV187" s="1716"/>
    </row>
    <row r="188" spans="1:256" s="545" customFormat="1" ht="18" hidden="1" customHeight="1">
      <c r="A188" s="1685"/>
      <c r="B188" s="1023"/>
      <c r="C188" s="1023"/>
      <c r="D188" s="1023"/>
      <c r="E188" s="1023"/>
      <c r="F188" s="1023"/>
      <c r="G188" s="1023"/>
      <c r="H188" s="1023"/>
      <c r="I188" s="1023"/>
      <c r="J188" s="1023"/>
      <c r="K188" s="1023"/>
      <c r="L188" s="1023"/>
      <c r="M188" s="1023"/>
      <c r="N188" s="1023"/>
      <c r="O188" s="1023"/>
      <c r="P188" s="1023"/>
      <c r="Q188" s="1023"/>
      <c r="R188" s="1023"/>
      <c r="S188" s="1023"/>
      <c r="T188" s="1023"/>
      <c r="U188" s="1023"/>
      <c r="V188" s="1023"/>
      <c r="W188" s="1023"/>
      <c r="X188" s="1023"/>
      <c r="Y188" s="1023"/>
      <c r="Z188" s="1023"/>
      <c r="AA188" s="1023"/>
      <c r="AB188" s="1023"/>
      <c r="AC188" s="1023"/>
      <c r="AD188" s="1023"/>
      <c r="AE188" s="1023"/>
      <c r="AF188" s="1023"/>
      <c r="AG188" s="1023"/>
      <c r="AH188" s="1023"/>
      <c r="AI188" s="1023"/>
      <c r="AJ188" s="1023"/>
      <c r="AK188" s="1023"/>
      <c r="AL188" s="1023"/>
      <c r="AM188" s="1023"/>
      <c r="AN188" s="1023"/>
      <c r="AO188" s="1023"/>
      <c r="AP188" s="1023"/>
      <c r="AQ188" s="1023"/>
      <c r="AR188" s="1023"/>
      <c r="AS188" s="1023"/>
      <c r="AT188" s="1023"/>
      <c r="AU188" s="1023"/>
      <c r="AV188" s="1023"/>
      <c r="AW188" s="1023"/>
      <c r="AX188" s="1023"/>
      <c r="AY188" s="1023"/>
      <c r="AZ188" s="1023"/>
      <c r="BA188" s="1023"/>
      <c r="BB188" s="1023"/>
      <c r="BC188" s="1023"/>
      <c r="BD188" s="1023"/>
      <c r="BE188" s="1023"/>
      <c r="BF188" s="1023"/>
      <c r="BG188" s="1023"/>
      <c r="BH188" s="1023"/>
      <c r="BI188" s="1023"/>
      <c r="BJ188" s="1023"/>
      <c r="BK188" s="1023"/>
      <c r="BL188" s="1023"/>
      <c r="BM188" s="1023"/>
      <c r="BN188" s="1023"/>
      <c r="BO188" s="1023"/>
      <c r="BP188" s="1023"/>
      <c r="BQ188" s="1023"/>
      <c r="BR188" s="1023"/>
      <c r="BS188" s="1023"/>
      <c r="BT188" s="1023"/>
      <c r="BU188" s="1023"/>
      <c r="BV188" s="1023"/>
      <c r="BW188" s="1023"/>
      <c r="BX188" s="1023"/>
      <c r="BY188" s="1023"/>
      <c r="BZ188" s="1023"/>
      <c r="CA188" s="1023"/>
      <c r="CB188" s="1023"/>
      <c r="CC188" s="1023"/>
      <c r="CD188" s="1023"/>
      <c r="CE188" s="1669"/>
      <c r="CF188" s="1023"/>
      <c r="CG188" s="1023"/>
      <c r="CH188" s="1023"/>
      <c r="CI188" s="1023"/>
      <c r="CJ188" s="1023"/>
      <c r="CK188" s="1023"/>
      <c r="CL188" s="1023"/>
      <c r="CM188" s="1023"/>
      <c r="CN188" s="1023"/>
      <c r="CO188" s="1023"/>
      <c r="CP188" s="1023"/>
      <c r="CQ188" s="1023"/>
      <c r="CR188" s="1023"/>
      <c r="CS188" s="1023"/>
      <c r="CT188" s="1023"/>
      <c r="CU188" s="1023"/>
      <c r="CV188" s="1023"/>
      <c r="CW188" s="1023"/>
      <c r="CX188" s="1023"/>
      <c r="CY188" s="1683"/>
      <c r="CZ188" s="1023"/>
      <c r="DA188" s="1023"/>
      <c r="DB188" s="1023"/>
      <c r="DC188" s="1023"/>
      <c r="DD188" s="1023"/>
      <c r="DE188" s="1023"/>
      <c r="DF188" s="1023"/>
      <c r="DG188" s="1023"/>
      <c r="DH188" s="1023"/>
      <c r="DI188" s="1023"/>
      <c r="DJ188" s="1023"/>
      <c r="DK188" s="1023"/>
      <c r="DL188" s="1023"/>
      <c r="DM188" s="1023"/>
      <c r="DN188" s="1023"/>
      <c r="DO188" s="1023"/>
      <c r="DP188" s="1023"/>
      <c r="DQ188" s="1023"/>
      <c r="DR188" s="1023"/>
      <c r="DS188" s="1023"/>
      <c r="DT188" s="1023"/>
      <c r="DU188" s="1023"/>
      <c r="DV188" s="1684"/>
      <c r="DW188" s="530"/>
      <c r="DX188" s="530"/>
      <c r="DY188" s="530"/>
      <c r="DZ188" s="530"/>
      <c r="EA188" s="530"/>
      <c r="EB188" s="530"/>
      <c r="EC188" s="530"/>
      <c r="ED188" s="530"/>
      <c r="EE188" s="530"/>
      <c r="EF188" s="530"/>
      <c r="EG188" s="530"/>
      <c r="EH188" s="530"/>
      <c r="EI188" s="530"/>
      <c r="EJ188" s="530"/>
      <c r="EK188" s="530"/>
      <c r="EL188" s="530"/>
      <c r="EM188" s="530"/>
      <c r="EN188" s="530"/>
      <c r="EO188" s="530"/>
      <c r="EP188" s="530"/>
      <c r="EQ188" s="530"/>
      <c r="ER188" s="530"/>
      <c r="ES188" s="530"/>
      <c r="ET188" s="530"/>
      <c r="EU188" s="530"/>
      <c r="EV188" s="530"/>
      <c r="EW188" s="530"/>
      <c r="EX188" s="530"/>
      <c r="EY188" s="530"/>
      <c r="EZ188" s="530"/>
      <c r="FA188" s="530"/>
      <c r="FB188" s="530"/>
      <c r="FC188" s="530"/>
      <c r="FD188" s="530"/>
      <c r="FE188" s="530"/>
      <c r="FF188" s="530"/>
      <c r="FG188" s="530"/>
      <c r="FH188" s="530"/>
      <c r="FI188" s="530"/>
      <c r="FJ188" s="530"/>
      <c r="FK188" s="530"/>
      <c r="FL188" s="530"/>
      <c r="FM188" s="530"/>
      <c r="FN188" s="530"/>
      <c r="FO188" s="530"/>
      <c r="FP188" s="530"/>
      <c r="FQ188" s="530"/>
      <c r="FR188" s="530"/>
      <c r="FS188" s="530"/>
      <c r="FT188" s="530"/>
      <c r="FU188" s="530"/>
      <c r="FV188" s="530"/>
      <c r="FW188" s="530"/>
      <c r="FX188" s="530"/>
      <c r="FY188" s="530"/>
      <c r="FZ188" s="530"/>
      <c r="GA188" s="530"/>
      <c r="GB188" s="530"/>
      <c r="GC188" s="530"/>
      <c r="GD188" s="530"/>
      <c r="GE188" s="530"/>
      <c r="GF188" s="530"/>
      <c r="GG188" s="530"/>
      <c r="GH188" s="530"/>
      <c r="GI188" s="530"/>
      <c r="GJ188" s="530"/>
      <c r="GK188" s="530"/>
      <c r="GL188" s="530"/>
      <c r="GM188" s="530"/>
      <c r="GN188" s="530"/>
      <c r="GO188" s="530"/>
      <c r="GP188" s="530"/>
      <c r="GQ188" s="530"/>
      <c r="GR188" s="530"/>
      <c r="GS188" s="530"/>
      <c r="GT188" s="530"/>
      <c r="GU188" s="530"/>
      <c r="GV188" s="530"/>
      <c r="GW188" s="530"/>
      <c r="GX188" s="530"/>
      <c r="GY188" s="530"/>
      <c r="GZ188" s="530"/>
      <c r="HA188" s="530"/>
      <c r="HB188" s="530"/>
      <c r="HC188" s="530"/>
      <c r="HD188" s="530"/>
      <c r="HE188" s="530"/>
      <c r="HF188" s="530"/>
      <c r="HG188" s="530"/>
      <c r="HH188" s="530"/>
      <c r="HI188" s="530"/>
      <c r="HJ188" s="530"/>
      <c r="HK188" s="530"/>
      <c r="HL188" s="530"/>
      <c r="HM188" s="530"/>
      <c r="HN188" s="530"/>
      <c r="HO188" s="530"/>
      <c r="HP188" s="530"/>
      <c r="HQ188" s="530"/>
      <c r="HR188" s="530"/>
      <c r="HS188" s="530"/>
      <c r="HT188" s="530"/>
      <c r="HU188" s="530"/>
      <c r="HV188" s="530"/>
      <c r="HW188" s="530"/>
      <c r="HX188" s="530"/>
      <c r="HY188" s="530"/>
      <c r="HZ188" s="530"/>
      <c r="IA188" s="530"/>
      <c r="IB188" s="530"/>
      <c r="IC188" s="530"/>
      <c r="ID188" s="530"/>
      <c r="IE188" s="530"/>
      <c r="IF188" s="530"/>
      <c r="IG188" s="530"/>
      <c r="IH188" s="530"/>
      <c r="II188" s="530"/>
      <c r="IJ188" s="530"/>
      <c r="IK188" s="530"/>
      <c r="IL188" s="530"/>
      <c r="IM188" s="530"/>
      <c r="IN188" s="530"/>
      <c r="IO188" s="530"/>
      <c r="IP188" s="530"/>
      <c r="IQ188" s="530"/>
      <c r="IR188" s="530"/>
      <c r="IS188" s="530"/>
      <c r="IT188" s="530"/>
      <c r="IU188" s="530"/>
      <c r="IV188" s="530"/>
    </row>
    <row r="189" spans="1:256" ht="17.25" hidden="1" customHeight="1">
      <c r="A189" s="1676"/>
      <c r="B189" s="550"/>
      <c r="C189" s="550"/>
      <c r="D189" s="550"/>
      <c r="E189" s="550"/>
      <c r="F189" s="550"/>
      <c r="G189" s="550"/>
      <c r="H189" s="550"/>
      <c r="I189" s="550"/>
      <c r="J189" s="550"/>
      <c r="K189" s="550"/>
      <c r="L189" s="550"/>
      <c r="M189" s="550"/>
      <c r="N189" s="550"/>
      <c r="O189" s="439"/>
      <c r="P189" s="439"/>
      <c r="Q189" s="674"/>
      <c r="R189" s="671"/>
      <c r="S189" s="671"/>
      <c r="T189" s="671"/>
      <c r="U189" s="671"/>
      <c r="V189" s="671"/>
      <c r="W189" s="671"/>
      <c r="X189" s="671"/>
      <c r="Y189" s="671"/>
      <c r="Z189" s="671"/>
      <c r="AA189" s="671"/>
      <c r="AB189" s="623"/>
      <c r="AC189" s="623"/>
      <c r="AD189" s="623"/>
      <c r="AE189" s="623"/>
      <c r="AF189" s="623"/>
      <c r="AG189" s="623"/>
      <c r="AH189" s="623"/>
      <c r="AI189" s="623"/>
      <c r="AJ189" s="623"/>
      <c r="AK189" s="623"/>
      <c r="AL189" s="623"/>
      <c r="AM189" s="623"/>
      <c r="AN189" s="623"/>
      <c r="AO189" s="623"/>
      <c r="AP189" s="623"/>
      <c r="AQ189" s="623"/>
      <c r="AR189" s="623"/>
      <c r="AS189" s="623"/>
      <c r="AT189" s="623"/>
      <c r="AU189" s="623"/>
      <c r="AV189" s="623"/>
      <c r="AW189" s="623"/>
      <c r="AX189" s="623"/>
      <c r="AY189" s="623"/>
      <c r="AZ189" s="623"/>
      <c r="BA189" s="623"/>
      <c r="BB189" s="623"/>
      <c r="BC189" s="623"/>
      <c r="BD189" s="623"/>
      <c r="BE189" s="623"/>
      <c r="BF189" s="623"/>
      <c r="BG189" s="623"/>
      <c r="BH189" s="623"/>
      <c r="BI189" s="623"/>
      <c r="BJ189" s="623"/>
      <c r="BK189" s="623"/>
      <c r="BL189" s="623"/>
      <c r="BM189" s="623"/>
      <c r="BN189" s="623"/>
      <c r="BO189" s="623"/>
      <c r="BP189" s="623"/>
      <c r="BQ189" s="623"/>
      <c r="BR189" s="623"/>
      <c r="BS189" s="623"/>
      <c r="BT189" s="623"/>
      <c r="BU189" s="623"/>
      <c r="BV189" s="623"/>
      <c r="BW189" s="623"/>
      <c r="BX189" s="623"/>
      <c r="BY189" s="623"/>
      <c r="BZ189" s="623"/>
      <c r="CA189" s="623"/>
      <c r="CB189" s="623"/>
      <c r="CC189" s="623"/>
      <c r="CD189" s="623"/>
      <c r="CE189" s="1669"/>
      <c r="CF189" s="623"/>
      <c r="CG189" s="623"/>
      <c r="CH189" s="623"/>
      <c r="CI189" s="623"/>
      <c r="CJ189" s="623"/>
      <c r="CK189" s="623"/>
      <c r="CL189" s="623"/>
      <c r="CM189" s="623"/>
      <c r="CN189" s="623"/>
      <c r="CO189" s="623"/>
      <c r="CP189" s="623"/>
      <c r="CQ189" s="623"/>
      <c r="CR189" s="623"/>
      <c r="CS189" s="623"/>
      <c r="CT189" s="623"/>
      <c r="CU189" s="623"/>
      <c r="CV189" s="623"/>
      <c r="CW189" s="623"/>
      <c r="CX189" s="623"/>
      <c r="CY189" s="817"/>
      <c r="CZ189" s="623"/>
      <c r="DA189" s="623"/>
      <c r="DB189" s="623"/>
      <c r="DC189" s="623"/>
      <c r="DD189" s="623"/>
      <c r="DE189" s="623"/>
      <c r="DF189" s="623"/>
      <c r="DG189" s="623"/>
      <c r="DH189" s="623"/>
      <c r="DI189" s="623"/>
      <c r="DJ189" s="623"/>
      <c r="DK189" s="623"/>
      <c r="DL189" s="623"/>
      <c r="DM189" s="623"/>
      <c r="DN189" s="623"/>
      <c r="DO189" s="623"/>
      <c r="DP189" s="623"/>
      <c r="DQ189" s="623"/>
      <c r="DR189" s="623"/>
      <c r="DS189" s="623"/>
      <c r="DT189" s="623"/>
      <c r="DU189" s="623"/>
      <c r="DV189" s="1675"/>
      <c r="IR189" s="542"/>
      <c r="IS189" s="542"/>
      <c r="IT189" s="542"/>
      <c r="IU189" s="542"/>
      <c r="IV189" s="542"/>
    </row>
    <row r="190" spans="1:256" ht="17.25" hidden="1" customHeight="1">
      <c r="A190" s="1676"/>
      <c r="B190" s="550"/>
      <c r="C190" s="550"/>
      <c r="D190" s="550"/>
      <c r="E190" s="550"/>
      <c r="F190" s="550"/>
      <c r="G190" s="550"/>
      <c r="H190" s="550"/>
      <c r="I190" s="550"/>
      <c r="J190" s="550"/>
      <c r="K190" s="550"/>
      <c r="L190" s="550"/>
      <c r="M190" s="550"/>
      <c r="N190" s="550"/>
      <c r="O190" s="439"/>
      <c r="P190" s="439"/>
      <c r="Q190" s="674"/>
      <c r="R190" s="671"/>
      <c r="S190" s="671"/>
      <c r="T190" s="671"/>
      <c r="U190" s="671"/>
      <c r="V190" s="671"/>
      <c r="W190" s="671"/>
      <c r="X190" s="671"/>
      <c r="Y190" s="671"/>
      <c r="Z190" s="671"/>
      <c r="AA190" s="671"/>
      <c r="AB190" s="623"/>
      <c r="AC190" s="623"/>
      <c r="AD190" s="623"/>
      <c r="AE190" s="623"/>
      <c r="AF190" s="623"/>
      <c r="AG190" s="623"/>
      <c r="AH190" s="623"/>
      <c r="AI190" s="623"/>
      <c r="AJ190" s="623"/>
      <c r="AK190" s="623"/>
      <c r="AL190" s="623"/>
      <c r="AM190" s="623"/>
      <c r="AN190" s="623"/>
      <c r="AO190" s="623"/>
      <c r="AP190" s="623"/>
      <c r="AQ190" s="623"/>
      <c r="AR190" s="623"/>
      <c r="AS190" s="623"/>
      <c r="AT190" s="623"/>
      <c r="AU190" s="623"/>
      <c r="AV190" s="623"/>
      <c r="AW190" s="623"/>
      <c r="AX190" s="623"/>
      <c r="AY190" s="623"/>
      <c r="AZ190" s="623"/>
      <c r="BA190" s="623"/>
      <c r="BB190" s="623"/>
      <c r="BC190" s="623"/>
      <c r="BD190" s="623"/>
      <c r="BE190" s="623"/>
      <c r="BF190" s="623"/>
      <c r="BG190" s="623"/>
      <c r="BH190" s="623"/>
      <c r="BI190" s="623"/>
      <c r="BJ190" s="623"/>
      <c r="BK190" s="623"/>
      <c r="BL190" s="623"/>
      <c r="BM190" s="623"/>
      <c r="BN190" s="623"/>
      <c r="BO190" s="623"/>
      <c r="BP190" s="623"/>
      <c r="BQ190" s="623"/>
      <c r="BR190" s="623"/>
      <c r="BS190" s="623"/>
      <c r="BT190" s="623"/>
      <c r="BU190" s="623"/>
      <c r="BV190" s="623"/>
      <c r="BW190" s="623"/>
      <c r="BX190" s="623"/>
      <c r="BY190" s="623"/>
      <c r="BZ190" s="623"/>
      <c r="CA190" s="623"/>
      <c r="CB190" s="623"/>
      <c r="CC190" s="623"/>
      <c r="CD190" s="623"/>
      <c r="CE190" s="1669"/>
      <c r="CF190" s="623"/>
      <c r="CG190" s="623"/>
      <c r="CH190" s="623"/>
      <c r="CI190" s="623"/>
      <c r="CJ190" s="623"/>
      <c r="CK190" s="623"/>
      <c r="CL190" s="623"/>
      <c r="CM190" s="623"/>
      <c r="CN190" s="623"/>
      <c r="CO190" s="623"/>
      <c r="CP190" s="623"/>
      <c r="CQ190" s="623"/>
      <c r="CR190" s="623"/>
      <c r="CS190" s="623"/>
      <c r="CT190" s="623"/>
      <c r="CU190" s="623"/>
      <c r="CV190" s="623"/>
      <c r="CW190" s="623"/>
      <c r="CX190" s="623"/>
      <c r="CY190" s="817"/>
      <c r="CZ190" s="623"/>
      <c r="DA190" s="623"/>
      <c r="DB190" s="623"/>
      <c r="DC190" s="623"/>
      <c r="DD190" s="623"/>
      <c r="DE190" s="623"/>
      <c r="DF190" s="623"/>
      <c r="DG190" s="623"/>
      <c r="DH190" s="623"/>
      <c r="DI190" s="623"/>
      <c r="DJ190" s="623"/>
      <c r="DK190" s="623"/>
      <c r="DL190" s="623"/>
      <c r="DM190" s="623"/>
      <c r="DN190" s="623"/>
      <c r="DO190" s="623"/>
      <c r="DP190" s="623"/>
      <c r="DQ190" s="623"/>
      <c r="DR190" s="623"/>
      <c r="DS190" s="623"/>
      <c r="DT190" s="623"/>
      <c r="DU190" s="623"/>
      <c r="DV190" s="1675"/>
    </row>
    <row r="191" spans="1:256" ht="17.25" hidden="1" customHeight="1">
      <c r="A191" s="1676"/>
      <c r="B191" s="550"/>
      <c r="C191" s="550"/>
      <c r="D191" s="550"/>
      <c r="E191" s="550"/>
      <c r="F191" s="550"/>
      <c r="G191" s="550"/>
      <c r="H191" s="550"/>
      <c r="I191" s="550"/>
      <c r="J191" s="550"/>
      <c r="K191" s="550"/>
      <c r="L191" s="550"/>
      <c r="M191" s="550"/>
      <c r="N191" s="550"/>
      <c r="O191" s="439"/>
      <c r="P191" s="439"/>
      <c r="Q191" s="674"/>
      <c r="R191" s="671"/>
      <c r="S191" s="671"/>
      <c r="T191" s="671"/>
      <c r="U191" s="671"/>
      <c r="V191" s="671"/>
      <c r="W191" s="671"/>
      <c r="X191" s="671"/>
      <c r="Y191" s="671"/>
      <c r="Z191" s="671"/>
      <c r="AA191" s="671"/>
      <c r="AB191" s="623"/>
      <c r="AC191" s="623"/>
      <c r="AD191" s="623"/>
      <c r="AE191" s="623"/>
      <c r="AF191" s="623"/>
      <c r="AG191" s="623"/>
      <c r="AH191" s="623"/>
      <c r="AI191" s="623"/>
      <c r="AJ191" s="623"/>
      <c r="AK191" s="623"/>
      <c r="AL191" s="623"/>
      <c r="AM191" s="623"/>
      <c r="AN191" s="623"/>
      <c r="AO191" s="623"/>
      <c r="AP191" s="623"/>
      <c r="AQ191" s="623"/>
      <c r="AR191" s="623"/>
      <c r="AS191" s="623"/>
      <c r="AT191" s="623"/>
      <c r="AU191" s="623"/>
      <c r="AV191" s="623"/>
      <c r="AW191" s="623"/>
      <c r="AX191" s="623"/>
      <c r="AY191" s="623"/>
      <c r="AZ191" s="623"/>
      <c r="BA191" s="623"/>
      <c r="BB191" s="623"/>
      <c r="BC191" s="623"/>
      <c r="BD191" s="623"/>
      <c r="BE191" s="623"/>
      <c r="BF191" s="623"/>
      <c r="BG191" s="623"/>
      <c r="BH191" s="623"/>
      <c r="BI191" s="623"/>
      <c r="BJ191" s="623"/>
      <c r="BK191" s="623"/>
      <c r="BL191" s="623"/>
      <c r="BM191" s="623"/>
      <c r="BN191" s="623"/>
      <c r="BO191" s="623"/>
      <c r="BP191" s="623"/>
      <c r="BQ191" s="623"/>
      <c r="BR191" s="623"/>
      <c r="BS191" s="623"/>
      <c r="BT191" s="623"/>
      <c r="BU191" s="623"/>
      <c r="BV191" s="623"/>
      <c r="BW191" s="623"/>
      <c r="BX191" s="623"/>
      <c r="BY191" s="623"/>
      <c r="BZ191" s="623"/>
      <c r="CA191" s="623"/>
      <c r="CB191" s="623"/>
      <c r="CC191" s="623"/>
      <c r="CD191" s="623"/>
      <c r="CE191" s="1669"/>
      <c r="CF191" s="623"/>
      <c r="CG191" s="623"/>
      <c r="CH191" s="623"/>
      <c r="CI191" s="623"/>
      <c r="CJ191" s="623"/>
      <c r="CK191" s="623"/>
      <c r="CL191" s="623"/>
      <c r="CM191" s="623"/>
      <c r="CN191" s="623"/>
      <c r="CO191" s="623"/>
      <c r="CP191" s="623"/>
      <c r="CQ191" s="623"/>
      <c r="CR191" s="623"/>
      <c r="CS191" s="623"/>
      <c r="CT191" s="623"/>
      <c r="CU191" s="623"/>
      <c r="CV191" s="623"/>
      <c r="CW191" s="623"/>
      <c r="CX191" s="623"/>
      <c r="CY191" s="817"/>
      <c r="CZ191" s="623"/>
      <c r="DA191" s="623"/>
      <c r="DB191" s="623"/>
      <c r="DC191" s="623"/>
      <c r="DD191" s="623"/>
      <c r="DE191" s="623"/>
      <c r="DF191" s="623"/>
      <c r="DG191" s="623"/>
      <c r="DH191" s="623"/>
      <c r="DI191" s="623"/>
      <c r="DJ191" s="623"/>
      <c r="DK191" s="623"/>
      <c r="DL191" s="623"/>
      <c r="DM191" s="623"/>
      <c r="DN191" s="623"/>
      <c r="DO191" s="623"/>
      <c r="DP191" s="623"/>
      <c r="DQ191" s="623"/>
      <c r="DR191" s="623"/>
      <c r="DS191" s="623"/>
      <c r="DT191" s="623"/>
      <c r="DU191" s="623"/>
      <c r="DV191" s="1675"/>
    </row>
    <row r="192" spans="1:256" ht="17.25" hidden="1" customHeight="1">
      <c r="A192" s="1676"/>
      <c r="B192" s="550"/>
      <c r="C192" s="550"/>
      <c r="D192" s="550"/>
      <c r="E192" s="550"/>
      <c r="F192" s="550"/>
      <c r="G192" s="550"/>
      <c r="H192" s="550"/>
      <c r="I192" s="550"/>
      <c r="J192" s="550"/>
      <c r="K192" s="550"/>
      <c r="L192" s="550"/>
      <c r="M192" s="550"/>
      <c r="N192" s="550"/>
      <c r="O192" s="439"/>
      <c r="P192" s="439"/>
      <c r="Q192" s="674"/>
      <c r="R192" s="671"/>
      <c r="S192" s="671"/>
      <c r="T192" s="671"/>
      <c r="U192" s="671"/>
      <c r="V192" s="671"/>
      <c r="W192" s="671"/>
      <c r="X192" s="671"/>
      <c r="Y192" s="671"/>
      <c r="Z192" s="671"/>
      <c r="AA192" s="671"/>
      <c r="AB192" s="623"/>
      <c r="AC192" s="623"/>
      <c r="AD192" s="623"/>
      <c r="AE192" s="623"/>
      <c r="AF192" s="623"/>
      <c r="AG192" s="623"/>
      <c r="AH192" s="623"/>
      <c r="AI192" s="623"/>
      <c r="AJ192" s="623"/>
      <c r="AK192" s="623"/>
      <c r="AL192" s="623"/>
      <c r="AM192" s="623"/>
      <c r="AN192" s="623"/>
      <c r="AO192" s="623"/>
      <c r="AP192" s="623"/>
      <c r="AQ192" s="623"/>
      <c r="AR192" s="623"/>
      <c r="AS192" s="623"/>
      <c r="AT192" s="623"/>
      <c r="AU192" s="623"/>
      <c r="AV192" s="623"/>
      <c r="AW192" s="623"/>
      <c r="AX192" s="623"/>
      <c r="AY192" s="623"/>
      <c r="AZ192" s="623"/>
      <c r="BA192" s="623"/>
      <c r="BB192" s="623"/>
      <c r="BC192" s="623"/>
      <c r="BD192" s="623"/>
      <c r="BE192" s="623"/>
      <c r="BF192" s="623"/>
      <c r="BG192" s="623"/>
      <c r="BH192" s="623"/>
      <c r="BI192" s="623"/>
      <c r="BJ192" s="623"/>
      <c r="BK192" s="623"/>
      <c r="BL192" s="623"/>
      <c r="BM192" s="623"/>
      <c r="BN192" s="623"/>
      <c r="BO192" s="623"/>
      <c r="BP192" s="623"/>
      <c r="BQ192" s="623"/>
      <c r="BR192" s="623"/>
      <c r="BS192" s="623"/>
      <c r="BT192" s="623"/>
      <c r="BU192" s="623"/>
      <c r="BV192" s="623"/>
      <c r="BW192" s="623"/>
      <c r="BX192" s="623"/>
      <c r="BY192" s="623"/>
      <c r="BZ192" s="623"/>
      <c r="CA192" s="623"/>
      <c r="CB192" s="623"/>
      <c r="CC192" s="623"/>
      <c r="CD192" s="623"/>
      <c r="CE192" s="1669"/>
      <c r="CF192" s="623"/>
      <c r="CG192" s="623"/>
      <c r="CH192" s="623"/>
      <c r="CI192" s="623"/>
      <c r="CJ192" s="623"/>
      <c r="CK192" s="623"/>
      <c r="CL192" s="623"/>
      <c r="CM192" s="623"/>
      <c r="CN192" s="623"/>
      <c r="CO192" s="623"/>
      <c r="CP192" s="623"/>
      <c r="CQ192" s="623"/>
      <c r="CR192" s="623"/>
      <c r="CS192" s="623"/>
      <c r="CT192" s="623"/>
      <c r="CU192" s="623"/>
      <c r="CV192" s="623"/>
      <c r="CW192" s="623"/>
      <c r="CX192" s="623"/>
      <c r="CY192" s="817"/>
      <c r="CZ192" s="623"/>
      <c r="DA192" s="623"/>
      <c r="DB192" s="623"/>
      <c r="DC192" s="623"/>
      <c r="DD192" s="623"/>
      <c r="DE192" s="623"/>
      <c r="DF192" s="623"/>
      <c r="DG192" s="623"/>
      <c r="DH192" s="623"/>
      <c r="DI192" s="623"/>
      <c r="DJ192" s="623"/>
      <c r="DK192" s="623"/>
      <c r="DL192" s="623"/>
      <c r="DM192" s="623"/>
      <c r="DN192" s="623"/>
      <c r="DO192" s="623"/>
      <c r="DP192" s="623"/>
      <c r="DQ192" s="623"/>
      <c r="DR192" s="623"/>
      <c r="DS192" s="623"/>
      <c r="DT192" s="623"/>
      <c r="DU192" s="623"/>
      <c r="DV192" s="1675"/>
    </row>
    <row r="193" spans="1:256" ht="17.25" hidden="1" customHeight="1">
      <c r="A193" s="1676"/>
      <c r="B193" s="550"/>
      <c r="C193" s="550"/>
      <c r="D193" s="550"/>
      <c r="E193" s="550"/>
      <c r="F193" s="550"/>
      <c r="G193" s="550"/>
      <c r="H193" s="550"/>
      <c r="I193" s="550"/>
      <c r="J193" s="550"/>
      <c r="K193" s="550"/>
      <c r="L193" s="550"/>
      <c r="M193" s="550"/>
      <c r="N193" s="550"/>
      <c r="O193" s="439"/>
      <c r="P193" s="439"/>
      <c r="Q193" s="674"/>
      <c r="R193" s="671"/>
      <c r="S193" s="671"/>
      <c r="T193" s="671"/>
      <c r="U193" s="671"/>
      <c r="V193" s="671"/>
      <c r="W193" s="671"/>
      <c r="X193" s="671"/>
      <c r="Y193" s="671"/>
      <c r="Z193" s="671"/>
      <c r="AA193" s="671"/>
      <c r="AB193" s="623"/>
      <c r="AC193" s="623"/>
      <c r="AD193" s="623"/>
      <c r="AE193" s="623"/>
      <c r="AF193" s="623"/>
      <c r="AG193" s="623"/>
      <c r="AH193" s="623"/>
      <c r="AI193" s="623"/>
      <c r="AJ193" s="623"/>
      <c r="AK193" s="623"/>
      <c r="AL193" s="623"/>
      <c r="AM193" s="623"/>
      <c r="AN193" s="623"/>
      <c r="AO193" s="623"/>
      <c r="AP193" s="623"/>
      <c r="AQ193" s="623"/>
      <c r="AR193" s="623"/>
      <c r="AS193" s="623"/>
      <c r="AT193" s="623"/>
      <c r="AU193" s="623"/>
      <c r="AV193" s="623"/>
      <c r="AW193" s="623"/>
      <c r="AX193" s="623"/>
      <c r="AY193" s="623"/>
      <c r="AZ193" s="623"/>
      <c r="BA193" s="623"/>
      <c r="BB193" s="623"/>
      <c r="BC193" s="623"/>
      <c r="BD193" s="623"/>
      <c r="BE193" s="623"/>
      <c r="BF193" s="623"/>
      <c r="BG193" s="623"/>
      <c r="BH193" s="623"/>
      <c r="BI193" s="623"/>
      <c r="BJ193" s="623"/>
      <c r="BK193" s="623"/>
      <c r="BL193" s="623"/>
      <c r="BM193" s="623"/>
      <c r="BN193" s="623"/>
      <c r="BO193" s="623"/>
      <c r="BP193" s="623"/>
      <c r="BQ193" s="623"/>
      <c r="BR193" s="623"/>
      <c r="BS193" s="623"/>
      <c r="BT193" s="623"/>
      <c r="BU193" s="623"/>
      <c r="BV193" s="623"/>
      <c r="BW193" s="623"/>
      <c r="BX193" s="623"/>
      <c r="BY193" s="623"/>
      <c r="BZ193" s="623"/>
      <c r="CA193" s="623"/>
      <c r="CB193" s="623"/>
      <c r="CC193" s="623"/>
      <c r="CD193" s="623"/>
      <c r="CE193" s="1669"/>
      <c r="CF193" s="623"/>
      <c r="CG193" s="623"/>
      <c r="CH193" s="623"/>
      <c r="CI193" s="623"/>
      <c r="CJ193" s="623"/>
      <c r="CK193" s="623"/>
      <c r="CL193" s="623"/>
      <c r="CM193" s="623"/>
      <c r="CN193" s="623"/>
      <c r="CO193" s="623"/>
      <c r="CP193" s="623"/>
      <c r="CQ193" s="623"/>
      <c r="CR193" s="623"/>
      <c r="CS193" s="623"/>
      <c r="CT193" s="623"/>
      <c r="CU193" s="623"/>
      <c r="CV193" s="623"/>
      <c r="CW193" s="623"/>
      <c r="CX193" s="623"/>
      <c r="CY193" s="817"/>
      <c r="CZ193" s="623"/>
      <c r="DA193" s="623"/>
      <c r="DB193" s="623"/>
      <c r="DC193" s="623"/>
      <c r="DD193" s="623"/>
      <c r="DE193" s="623"/>
      <c r="DF193" s="623"/>
      <c r="DG193" s="623"/>
      <c r="DH193" s="623"/>
      <c r="DI193" s="623"/>
      <c r="DJ193" s="623"/>
      <c r="DK193" s="623"/>
      <c r="DL193" s="623"/>
      <c r="DM193" s="623"/>
      <c r="DN193" s="623"/>
      <c r="DO193" s="623"/>
      <c r="DP193" s="623"/>
      <c r="DQ193" s="623"/>
      <c r="DR193" s="623"/>
      <c r="DS193" s="623"/>
      <c r="DT193" s="623"/>
      <c r="DU193" s="623"/>
      <c r="DV193" s="1675"/>
    </row>
    <row r="194" spans="1:256" ht="17.25" hidden="1" customHeight="1">
      <c r="A194" s="1676"/>
      <c r="B194" s="550"/>
      <c r="C194" s="550"/>
      <c r="D194" s="550"/>
      <c r="E194" s="550"/>
      <c r="F194" s="550"/>
      <c r="G194" s="550"/>
      <c r="H194" s="550"/>
      <c r="I194" s="550"/>
      <c r="J194" s="550"/>
      <c r="K194" s="550"/>
      <c r="L194" s="550"/>
      <c r="M194" s="550"/>
      <c r="N194" s="550"/>
      <c r="O194" s="439"/>
      <c r="P194" s="439"/>
      <c r="Q194" s="674"/>
      <c r="R194" s="671"/>
      <c r="S194" s="671"/>
      <c r="T194" s="671"/>
      <c r="U194" s="671"/>
      <c r="V194" s="671"/>
      <c r="W194" s="671"/>
      <c r="X194" s="671"/>
      <c r="Y194" s="671"/>
      <c r="Z194" s="671"/>
      <c r="AA194" s="671"/>
      <c r="AB194" s="623"/>
      <c r="AC194" s="623"/>
      <c r="AD194" s="623"/>
      <c r="AE194" s="623"/>
      <c r="AF194" s="623"/>
      <c r="AG194" s="623"/>
      <c r="AH194" s="623"/>
      <c r="AI194" s="623"/>
      <c r="AJ194" s="623"/>
      <c r="AK194" s="623"/>
      <c r="AL194" s="623"/>
      <c r="AM194" s="623"/>
      <c r="AN194" s="623"/>
      <c r="AO194" s="623"/>
      <c r="AP194" s="623"/>
      <c r="AQ194" s="623"/>
      <c r="AR194" s="623"/>
      <c r="AS194" s="623"/>
      <c r="AT194" s="623"/>
      <c r="AU194" s="623"/>
      <c r="AV194" s="623"/>
      <c r="AW194" s="623"/>
      <c r="AX194" s="623"/>
      <c r="AY194" s="623"/>
      <c r="AZ194" s="623"/>
      <c r="BA194" s="623"/>
      <c r="BB194" s="623"/>
      <c r="BC194" s="623"/>
      <c r="BD194" s="623"/>
      <c r="BE194" s="623"/>
      <c r="BF194" s="623"/>
      <c r="BG194" s="623"/>
      <c r="BH194" s="623"/>
      <c r="BI194" s="623"/>
      <c r="BJ194" s="623"/>
      <c r="BK194" s="623"/>
      <c r="BL194" s="623"/>
      <c r="BM194" s="623"/>
      <c r="BN194" s="623"/>
      <c r="BO194" s="623"/>
      <c r="BP194" s="623"/>
      <c r="BQ194" s="623"/>
      <c r="BR194" s="623"/>
      <c r="BS194" s="623"/>
      <c r="BT194" s="623"/>
      <c r="BU194" s="623"/>
      <c r="BV194" s="623"/>
      <c r="BW194" s="623"/>
      <c r="BX194" s="623"/>
      <c r="BY194" s="623"/>
      <c r="BZ194" s="623"/>
      <c r="CA194" s="623"/>
      <c r="CB194" s="623"/>
      <c r="CC194" s="623"/>
      <c r="CD194" s="623"/>
      <c r="CE194" s="1669"/>
      <c r="CF194" s="623"/>
      <c r="CG194" s="623"/>
      <c r="CH194" s="623"/>
      <c r="CI194" s="623"/>
      <c r="CJ194" s="623"/>
      <c r="CK194" s="623"/>
      <c r="CL194" s="623"/>
      <c r="CM194" s="623"/>
      <c r="CN194" s="623"/>
      <c r="CO194" s="623"/>
      <c r="CP194" s="623"/>
      <c r="CQ194" s="623"/>
      <c r="CR194" s="623"/>
      <c r="CS194" s="623"/>
      <c r="CT194" s="623"/>
      <c r="CU194" s="623"/>
      <c r="CV194" s="623"/>
      <c r="CW194" s="623"/>
      <c r="CX194" s="623"/>
      <c r="CY194" s="817"/>
      <c r="CZ194" s="623"/>
      <c r="DA194" s="623"/>
      <c r="DB194" s="623"/>
      <c r="DC194" s="623"/>
      <c r="DD194" s="623"/>
      <c r="DE194" s="623"/>
      <c r="DF194" s="623"/>
      <c r="DG194" s="623"/>
      <c r="DH194" s="623"/>
      <c r="DI194" s="623"/>
      <c r="DJ194" s="623"/>
      <c r="DK194" s="623"/>
      <c r="DL194" s="623"/>
      <c r="DM194" s="623"/>
      <c r="DN194" s="623"/>
      <c r="DO194" s="623"/>
      <c r="DP194" s="623"/>
      <c r="DQ194" s="623"/>
      <c r="DR194" s="623"/>
      <c r="DS194" s="623"/>
      <c r="DT194" s="623"/>
      <c r="DU194" s="623"/>
      <c r="DV194" s="1675"/>
    </row>
    <row r="195" spans="1:256" s="678" customFormat="1" ht="17.25" hidden="1" customHeight="1">
      <c r="A195" s="1676"/>
      <c r="B195" s="550"/>
      <c r="C195" s="550"/>
      <c r="D195" s="550"/>
      <c r="E195" s="550"/>
      <c r="F195" s="550"/>
      <c r="G195" s="550"/>
      <c r="H195" s="550"/>
      <c r="I195" s="550"/>
      <c r="J195" s="676"/>
      <c r="K195" s="550"/>
      <c r="L195" s="550"/>
      <c r="M195" s="550"/>
      <c r="N195" s="550"/>
      <c r="O195" s="439"/>
      <c r="P195" s="439"/>
      <c r="Q195" s="674"/>
      <c r="R195" s="671"/>
      <c r="S195" s="671"/>
      <c r="T195" s="671"/>
      <c r="U195" s="671"/>
      <c r="V195" s="671"/>
      <c r="W195" s="671"/>
      <c r="X195" s="671"/>
      <c r="Y195" s="671"/>
      <c r="Z195" s="671"/>
      <c r="AA195" s="671"/>
      <c r="AB195" s="623"/>
      <c r="AC195" s="623"/>
      <c r="AD195" s="623"/>
      <c r="AE195" s="623"/>
      <c r="AF195" s="623"/>
      <c r="AG195" s="623"/>
      <c r="AH195" s="623"/>
      <c r="AI195" s="623"/>
      <c r="AJ195" s="623"/>
      <c r="AK195" s="623"/>
      <c r="AL195" s="623"/>
      <c r="AM195" s="623"/>
      <c r="AN195" s="623"/>
      <c r="AO195" s="623"/>
      <c r="AP195" s="623"/>
      <c r="AQ195" s="623"/>
      <c r="AR195" s="623"/>
      <c r="AS195" s="623"/>
      <c r="AT195" s="623"/>
      <c r="AU195" s="623"/>
      <c r="AV195" s="623"/>
      <c r="AW195" s="623"/>
      <c r="AX195" s="623"/>
      <c r="AY195" s="623"/>
      <c r="AZ195" s="623"/>
      <c r="BA195" s="623"/>
      <c r="BB195" s="623"/>
      <c r="BC195" s="623"/>
      <c r="BD195" s="623"/>
      <c r="BE195" s="623"/>
      <c r="BF195" s="623"/>
      <c r="BG195" s="623"/>
      <c r="BH195" s="623"/>
      <c r="BI195" s="623"/>
      <c r="BJ195" s="623"/>
      <c r="BK195" s="623"/>
      <c r="BL195" s="623"/>
      <c r="BM195" s="623"/>
      <c r="BN195" s="623"/>
      <c r="BO195" s="623"/>
      <c r="BP195" s="623"/>
      <c r="BQ195" s="623"/>
      <c r="BR195" s="623"/>
      <c r="BS195" s="623"/>
      <c r="BT195" s="623"/>
      <c r="BU195" s="623"/>
      <c r="BV195" s="623"/>
      <c r="BW195" s="623"/>
      <c r="BX195" s="623"/>
      <c r="BY195" s="623"/>
      <c r="BZ195" s="623"/>
      <c r="CA195" s="623"/>
      <c r="CB195" s="623"/>
      <c r="CC195" s="623"/>
      <c r="CD195" s="623"/>
      <c r="CE195" s="1669"/>
      <c r="CF195" s="623"/>
      <c r="CG195" s="623"/>
      <c r="CH195" s="623"/>
      <c r="CI195" s="623"/>
      <c r="CJ195" s="623"/>
      <c r="CK195" s="623"/>
      <c r="CL195" s="623"/>
      <c r="CM195" s="623"/>
      <c r="CN195" s="623"/>
      <c r="CO195" s="623"/>
      <c r="CP195" s="623"/>
      <c r="CQ195" s="623"/>
      <c r="CR195" s="623"/>
      <c r="CS195" s="623"/>
      <c r="CT195" s="623"/>
      <c r="CU195" s="623"/>
      <c r="CV195" s="623"/>
      <c r="CW195" s="623"/>
      <c r="CX195" s="623"/>
      <c r="CY195" s="817"/>
      <c r="CZ195" s="623"/>
      <c r="DA195" s="623"/>
      <c r="DB195" s="623"/>
      <c r="DC195" s="623"/>
      <c r="DD195" s="623"/>
      <c r="DE195" s="623"/>
      <c r="DF195" s="623"/>
      <c r="DG195" s="623"/>
      <c r="DH195" s="623"/>
      <c r="DI195" s="623"/>
      <c r="DJ195" s="623"/>
      <c r="DK195" s="623"/>
      <c r="DL195" s="623"/>
      <c r="DM195" s="623"/>
      <c r="DN195" s="623"/>
      <c r="DO195" s="623"/>
      <c r="DP195" s="623"/>
      <c r="DQ195" s="623"/>
      <c r="DR195" s="623"/>
      <c r="DS195" s="623"/>
      <c r="DT195" s="623"/>
      <c r="DU195" s="623"/>
      <c r="DV195" s="1675"/>
      <c r="DW195" s="530"/>
      <c r="DX195" s="530"/>
      <c r="DY195" s="530"/>
      <c r="DZ195" s="530"/>
      <c r="EA195" s="530"/>
      <c r="EB195" s="530"/>
      <c r="EC195" s="530"/>
      <c r="ED195" s="530"/>
      <c r="EE195" s="530"/>
      <c r="EF195" s="530"/>
      <c r="EG195" s="530"/>
      <c r="EH195" s="530"/>
      <c r="EI195" s="530"/>
      <c r="EJ195" s="530"/>
      <c r="EK195" s="530"/>
      <c r="EL195" s="530"/>
      <c r="EM195" s="530"/>
      <c r="EN195" s="530"/>
      <c r="EO195" s="530"/>
      <c r="EP195" s="530"/>
      <c r="EQ195" s="530"/>
      <c r="ER195" s="530"/>
      <c r="ES195" s="530"/>
      <c r="ET195" s="530"/>
      <c r="EU195" s="530"/>
      <c r="EV195" s="530"/>
      <c r="EW195" s="530"/>
      <c r="EX195" s="530"/>
      <c r="EY195" s="530"/>
      <c r="EZ195" s="530"/>
      <c r="FA195" s="530"/>
      <c r="FB195" s="530"/>
      <c r="FC195" s="530"/>
      <c r="FD195" s="530"/>
      <c r="FE195" s="530"/>
      <c r="FF195" s="530"/>
      <c r="FG195" s="530"/>
      <c r="FH195" s="530"/>
      <c r="FI195" s="530"/>
      <c r="FJ195" s="530"/>
      <c r="FK195" s="530"/>
      <c r="FL195" s="530"/>
      <c r="FM195" s="530"/>
      <c r="FN195" s="530"/>
      <c r="FO195" s="530"/>
      <c r="FP195" s="530"/>
      <c r="FQ195" s="530"/>
      <c r="FR195" s="530"/>
      <c r="FS195" s="530"/>
      <c r="FT195" s="530"/>
      <c r="FU195" s="530"/>
      <c r="FV195" s="530"/>
      <c r="FW195" s="530"/>
      <c r="FX195" s="530"/>
      <c r="FY195" s="530"/>
      <c r="FZ195" s="530"/>
      <c r="GA195" s="530"/>
      <c r="GB195" s="530"/>
      <c r="GC195" s="530"/>
      <c r="GD195" s="530"/>
      <c r="GE195" s="530"/>
      <c r="GF195" s="530"/>
      <c r="GG195" s="530"/>
      <c r="GH195" s="530"/>
      <c r="GI195" s="530"/>
      <c r="GJ195" s="530"/>
      <c r="GK195" s="530"/>
      <c r="GL195" s="530"/>
      <c r="GM195" s="530"/>
      <c r="GN195" s="530"/>
      <c r="GO195" s="530"/>
      <c r="GP195" s="530"/>
      <c r="GQ195" s="530"/>
      <c r="GR195" s="530"/>
      <c r="GS195" s="530"/>
      <c r="GT195" s="530"/>
      <c r="GU195" s="530"/>
      <c r="GV195" s="530"/>
      <c r="GW195" s="530"/>
      <c r="GX195" s="530"/>
      <c r="GY195" s="530"/>
      <c r="GZ195" s="530"/>
      <c r="HA195" s="530"/>
      <c r="HB195" s="530"/>
      <c r="HC195" s="530"/>
      <c r="HD195" s="530"/>
      <c r="HE195" s="530"/>
      <c r="HF195" s="530"/>
      <c r="HG195" s="530"/>
      <c r="HH195" s="530"/>
      <c r="HI195" s="530"/>
      <c r="HJ195" s="530"/>
      <c r="HK195" s="530"/>
      <c r="HL195" s="530"/>
      <c r="HM195" s="530"/>
      <c r="HN195" s="530"/>
      <c r="HO195" s="530"/>
      <c r="HP195" s="530"/>
      <c r="HQ195" s="530"/>
      <c r="HR195" s="530"/>
      <c r="HS195" s="530"/>
      <c r="HT195" s="530"/>
      <c r="HU195" s="530"/>
      <c r="HV195" s="530"/>
      <c r="HW195" s="530"/>
      <c r="HX195" s="530"/>
      <c r="HY195" s="530"/>
      <c r="HZ195" s="530"/>
      <c r="IA195" s="530"/>
      <c r="IB195" s="530"/>
      <c r="IC195" s="530"/>
      <c r="ID195" s="530"/>
      <c r="IE195" s="530"/>
      <c r="IF195" s="530"/>
      <c r="IG195" s="530"/>
      <c r="IH195" s="530"/>
      <c r="II195" s="530"/>
      <c r="IJ195" s="530"/>
      <c r="IK195" s="530"/>
      <c r="IL195" s="530"/>
      <c r="IM195" s="530"/>
      <c r="IN195" s="530"/>
      <c r="IO195" s="530"/>
      <c r="IP195" s="530"/>
      <c r="IQ195" s="530"/>
      <c r="IR195" s="530"/>
      <c r="IS195" s="530"/>
      <c r="IT195" s="530"/>
      <c r="IU195" s="530"/>
      <c r="IV195" s="530"/>
    </row>
    <row r="196" spans="1:256" s="717" customFormat="1" ht="18.75" hidden="1" customHeight="1">
      <c r="A196" s="1713"/>
      <c r="B196" s="1714"/>
      <c r="C196" s="1713"/>
      <c r="D196" s="1713"/>
      <c r="E196" s="1713"/>
      <c r="F196" s="1713"/>
      <c r="G196" s="1713"/>
      <c r="H196" s="1713"/>
      <c r="I196" s="1713"/>
      <c r="J196" s="1713"/>
      <c r="K196" s="1713"/>
      <c r="L196" s="1713"/>
      <c r="M196" s="1713"/>
      <c r="N196" s="1713"/>
      <c r="O196" s="1713"/>
      <c r="P196" s="1713"/>
      <c r="Q196" s="1713"/>
      <c r="R196" s="1713"/>
      <c r="S196" s="1713"/>
      <c r="T196" s="1713"/>
      <c r="U196" s="1713"/>
      <c r="V196" s="1713"/>
      <c r="W196" s="1713"/>
      <c r="X196" s="1713"/>
      <c r="Y196" s="1713"/>
      <c r="Z196" s="1713"/>
      <c r="AA196" s="1713"/>
      <c r="AB196" s="1713"/>
      <c r="AC196" s="1713"/>
      <c r="AD196" s="1713"/>
      <c r="AE196" s="1713"/>
      <c r="AF196" s="1713"/>
      <c r="AG196" s="1713"/>
      <c r="AH196" s="1713"/>
      <c r="AI196" s="1713"/>
      <c r="AJ196" s="1713"/>
      <c r="AK196" s="1713"/>
      <c r="AL196" s="1713"/>
      <c r="AM196" s="1713"/>
      <c r="AN196" s="1713"/>
      <c r="AO196" s="1713"/>
      <c r="AP196" s="1713"/>
      <c r="AQ196" s="1713"/>
      <c r="AR196" s="1713"/>
      <c r="AS196" s="1713"/>
      <c r="AT196" s="1713"/>
      <c r="AU196" s="1713"/>
      <c r="AV196" s="1713"/>
      <c r="AW196" s="1713"/>
      <c r="AX196" s="1713"/>
      <c r="AY196" s="1713"/>
      <c r="AZ196" s="1713"/>
      <c r="BA196" s="1713"/>
      <c r="BB196" s="1713"/>
      <c r="BC196" s="1713"/>
      <c r="BD196" s="1713"/>
      <c r="BE196" s="1713"/>
      <c r="BF196" s="1713"/>
      <c r="BG196" s="1713"/>
      <c r="BH196" s="1713"/>
      <c r="BI196" s="1713"/>
      <c r="BJ196" s="1713"/>
      <c r="BK196" s="1713"/>
      <c r="BL196" s="1713"/>
      <c r="BM196" s="1713"/>
      <c r="BN196" s="1713"/>
      <c r="BO196" s="1713"/>
      <c r="BP196" s="1713"/>
      <c r="BQ196" s="1713"/>
      <c r="BR196" s="1713"/>
      <c r="BS196" s="1713"/>
      <c r="BT196" s="1713"/>
      <c r="BU196" s="1713"/>
      <c r="BV196" s="1713"/>
      <c r="BW196" s="1713"/>
      <c r="BX196" s="1713"/>
      <c r="BY196" s="1713"/>
      <c r="BZ196" s="1713"/>
      <c r="CA196" s="1713"/>
      <c r="CB196" s="1713"/>
      <c r="CC196" s="1713"/>
      <c r="CD196" s="1713"/>
      <c r="CE196" s="1669"/>
      <c r="CF196" s="1713"/>
      <c r="CG196" s="1713"/>
      <c r="CH196" s="1713"/>
      <c r="CI196" s="1713"/>
      <c r="CJ196" s="1713"/>
      <c r="CK196" s="1713"/>
      <c r="CL196" s="1713"/>
      <c r="CM196" s="1713"/>
      <c r="CN196" s="1713"/>
      <c r="CO196" s="1713"/>
      <c r="CP196" s="1713"/>
      <c r="CQ196" s="1713"/>
      <c r="CR196" s="1713"/>
      <c r="CS196" s="1713"/>
      <c r="CT196" s="1713"/>
      <c r="CU196" s="1713"/>
      <c r="CV196" s="1713"/>
      <c r="CW196" s="1713"/>
      <c r="CX196" s="1713"/>
      <c r="CY196" s="1680"/>
      <c r="CZ196" s="1713"/>
      <c r="DA196" s="1713"/>
      <c r="DB196" s="1713"/>
      <c r="DC196" s="1713"/>
      <c r="DD196" s="1713"/>
      <c r="DE196" s="1713"/>
      <c r="DF196" s="1713"/>
      <c r="DG196" s="1713"/>
      <c r="DH196" s="1713"/>
      <c r="DI196" s="1713"/>
      <c r="DJ196" s="1713"/>
      <c r="DK196" s="1713"/>
      <c r="DL196" s="1713"/>
      <c r="DM196" s="1713"/>
      <c r="DN196" s="1713"/>
      <c r="DO196" s="1713"/>
      <c r="DP196" s="1713"/>
      <c r="DQ196" s="1713"/>
      <c r="DR196" s="1713"/>
      <c r="DS196" s="1713"/>
      <c r="DT196" s="1713"/>
      <c r="DU196" s="1715"/>
      <c r="DV196" s="1716"/>
    </row>
    <row r="197" spans="1:256" s="545" customFormat="1" ht="18" hidden="1" customHeight="1">
      <c r="A197" s="1685"/>
      <c r="B197" s="1023"/>
      <c r="C197" s="1023"/>
      <c r="D197" s="1023"/>
      <c r="E197" s="1023"/>
      <c r="F197" s="1023"/>
      <c r="G197" s="1023"/>
      <c r="H197" s="1023"/>
      <c r="I197" s="1023"/>
      <c r="J197" s="1023"/>
      <c r="K197" s="1023"/>
      <c r="L197" s="1023"/>
      <c r="M197" s="1023"/>
      <c r="N197" s="1023"/>
      <c r="O197" s="1023"/>
      <c r="P197" s="1023"/>
      <c r="Q197" s="1023"/>
      <c r="R197" s="1023"/>
      <c r="S197" s="1023"/>
      <c r="T197" s="1023"/>
      <c r="U197" s="1023"/>
      <c r="V197" s="1023"/>
      <c r="W197" s="1023"/>
      <c r="X197" s="1023"/>
      <c r="Y197" s="1023"/>
      <c r="Z197" s="1023"/>
      <c r="AA197" s="1023"/>
      <c r="AB197" s="1023"/>
      <c r="AC197" s="1023"/>
      <c r="AD197" s="1023"/>
      <c r="AE197" s="1023"/>
      <c r="AF197" s="1023"/>
      <c r="AG197" s="1023"/>
      <c r="AH197" s="1023"/>
      <c r="AI197" s="1023"/>
      <c r="AJ197" s="1023"/>
      <c r="AK197" s="1023"/>
      <c r="AL197" s="1023"/>
      <c r="AM197" s="1023"/>
      <c r="AN197" s="1023"/>
      <c r="AO197" s="1023"/>
      <c r="AP197" s="1023"/>
      <c r="AQ197" s="1023"/>
      <c r="AR197" s="1023"/>
      <c r="AS197" s="1023"/>
      <c r="AT197" s="1023"/>
      <c r="AU197" s="1023"/>
      <c r="AV197" s="1023"/>
      <c r="AW197" s="1023"/>
      <c r="AX197" s="1023"/>
      <c r="AY197" s="1023"/>
      <c r="AZ197" s="1023"/>
      <c r="BA197" s="1023"/>
      <c r="BB197" s="1023"/>
      <c r="BC197" s="1023"/>
      <c r="BD197" s="1023"/>
      <c r="BE197" s="1023"/>
      <c r="BF197" s="1023"/>
      <c r="BG197" s="1023"/>
      <c r="BH197" s="1023"/>
      <c r="BI197" s="1023"/>
      <c r="BJ197" s="1023"/>
      <c r="BK197" s="1023"/>
      <c r="BL197" s="1023"/>
      <c r="BM197" s="1023"/>
      <c r="BN197" s="1023"/>
      <c r="BO197" s="1023"/>
      <c r="BP197" s="1023"/>
      <c r="BQ197" s="1023"/>
      <c r="BR197" s="1023"/>
      <c r="BS197" s="1023"/>
      <c r="BT197" s="1023"/>
      <c r="BU197" s="1023"/>
      <c r="BV197" s="1023"/>
      <c r="BW197" s="1023"/>
      <c r="BX197" s="1023"/>
      <c r="BY197" s="1023"/>
      <c r="BZ197" s="1023"/>
      <c r="CA197" s="1023"/>
      <c r="CB197" s="1023"/>
      <c r="CC197" s="1023"/>
      <c r="CD197" s="1023"/>
      <c r="CE197" s="1669"/>
      <c r="CF197" s="1023"/>
      <c r="CG197" s="1023"/>
      <c r="CH197" s="1023"/>
      <c r="CI197" s="1023"/>
      <c r="CJ197" s="1023"/>
      <c r="CK197" s="1023"/>
      <c r="CL197" s="1023"/>
      <c r="CM197" s="1023"/>
      <c r="CN197" s="1023"/>
      <c r="CO197" s="1023"/>
      <c r="CP197" s="1023"/>
      <c r="CQ197" s="1023"/>
      <c r="CR197" s="1023"/>
      <c r="CS197" s="1023"/>
      <c r="CT197" s="1023"/>
      <c r="CU197" s="1023"/>
      <c r="CV197" s="1023"/>
      <c r="CW197" s="1023"/>
      <c r="CX197" s="1023"/>
      <c r="CY197" s="1683"/>
      <c r="CZ197" s="1023"/>
      <c r="DA197" s="1023"/>
      <c r="DB197" s="1023"/>
      <c r="DC197" s="1023"/>
      <c r="DD197" s="1023"/>
      <c r="DE197" s="1023"/>
      <c r="DF197" s="1023"/>
      <c r="DG197" s="1023"/>
      <c r="DH197" s="1023"/>
      <c r="DI197" s="1023"/>
      <c r="DJ197" s="1023"/>
      <c r="DK197" s="1023"/>
      <c r="DL197" s="1023"/>
      <c r="DM197" s="1023"/>
      <c r="DN197" s="1023"/>
      <c r="DO197" s="1023"/>
      <c r="DP197" s="1023"/>
      <c r="DQ197" s="1023"/>
      <c r="DR197" s="1023"/>
      <c r="DS197" s="1023"/>
      <c r="DT197" s="1023"/>
      <c r="DU197" s="1023"/>
      <c r="DV197" s="1684"/>
      <c r="DW197" s="530"/>
      <c r="DX197" s="530"/>
      <c r="DY197" s="530"/>
      <c r="DZ197" s="530"/>
      <c r="EA197" s="530"/>
      <c r="EB197" s="530"/>
      <c r="EC197" s="530"/>
      <c r="ED197" s="530"/>
      <c r="EE197" s="530"/>
      <c r="EF197" s="530"/>
      <c r="EG197" s="530"/>
      <c r="EH197" s="530"/>
      <c r="EI197" s="530"/>
      <c r="EJ197" s="530"/>
      <c r="EK197" s="530"/>
      <c r="EL197" s="530"/>
      <c r="EM197" s="530"/>
      <c r="EN197" s="530"/>
      <c r="EO197" s="530"/>
      <c r="EP197" s="530"/>
      <c r="EQ197" s="530"/>
      <c r="ER197" s="530"/>
      <c r="ES197" s="530"/>
      <c r="ET197" s="530"/>
      <c r="EU197" s="530"/>
      <c r="EV197" s="530"/>
      <c r="EW197" s="530"/>
      <c r="EX197" s="530"/>
      <c r="EY197" s="530"/>
      <c r="EZ197" s="530"/>
      <c r="FA197" s="530"/>
      <c r="FB197" s="530"/>
      <c r="FC197" s="530"/>
      <c r="FD197" s="530"/>
      <c r="FE197" s="530"/>
      <c r="FF197" s="530"/>
      <c r="FG197" s="530"/>
      <c r="FH197" s="530"/>
      <c r="FI197" s="530"/>
      <c r="FJ197" s="530"/>
      <c r="FK197" s="530"/>
      <c r="FL197" s="530"/>
      <c r="FM197" s="530"/>
      <c r="FN197" s="530"/>
      <c r="FO197" s="530"/>
      <c r="FP197" s="530"/>
      <c r="FQ197" s="530"/>
      <c r="FR197" s="530"/>
      <c r="FS197" s="530"/>
      <c r="FT197" s="530"/>
      <c r="FU197" s="530"/>
      <c r="FV197" s="530"/>
      <c r="FW197" s="530"/>
      <c r="FX197" s="530"/>
      <c r="FY197" s="530"/>
      <c r="FZ197" s="530"/>
      <c r="GA197" s="530"/>
      <c r="GB197" s="530"/>
      <c r="GC197" s="530"/>
      <c r="GD197" s="530"/>
      <c r="GE197" s="530"/>
      <c r="GF197" s="530"/>
      <c r="GG197" s="530"/>
      <c r="GH197" s="530"/>
      <c r="GI197" s="530"/>
      <c r="GJ197" s="530"/>
      <c r="GK197" s="530"/>
      <c r="GL197" s="530"/>
      <c r="GM197" s="530"/>
      <c r="GN197" s="530"/>
      <c r="GO197" s="530"/>
      <c r="GP197" s="530"/>
      <c r="GQ197" s="530"/>
      <c r="GR197" s="530"/>
      <c r="GS197" s="530"/>
      <c r="GT197" s="530"/>
      <c r="GU197" s="530"/>
      <c r="GV197" s="530"/>
      <c r="GW197" s="530"/>
      <c r="GX197" s="530"/>
      <c r="GY197" s="530"/>
      <c r="GZ197" s="530"/>
      <c r="HA197" s="530"/>
      <c r="HB197" s="530"/>
      <c r="HC197" s="530"/>
      <c r="HD197" s="530"/>
      <c r="HE197" s="530"/>
      <c r="HF197" s="530"/>
      <c r="HG197" s="530"/>
      <c r="HH197" s="530"/>
      <c r="HI197" s="530"/>
      <c r="HJ197" s="530"/>
      <c r="HK197" s="530"/>
      <c r="HL197" s="530"/>
      <c r="HM197" s="530"/>
      <c r="HN197" s="530"/>
      <c r="HO197" s="530"/>
      <c r="HP197" s="530"/>
      <c r="HQ197" s="530"/>
      <c r="HR197" s="530"/>
      <c r="HS197" s="530"/>
      <c r="HT197" s="530"/>
      <c r="HU197" s="530"/>
      <c r="HV197" s="530"/>
      <c r="HW197" s="530"/>
      <c r="HX197" s="530"/>
      <c r="HY197" s="530"/>
      <c r="HZ197" s="530"/>
      <c r="IA197" s="530"/>
      <c r="IB197" s="530"/>
      <c r="IC197" s="530"/>
      <c r="ID197" s="530"/>
      <c r="IE197" s="530"/>
      <c r="IF197" s="530"/>
      <c r="IG197" s="530"/>
      <c r="IH197" s="530"/>
      <c r="II197" s="530"/>
      <c r="IJ197" s="530"/>
      <c r="IK197" s="530"/>
      <c r="IL197" s="530"/>
      <c r="IM197" s="530"/>
      <c r="IN197" s="530"/>
      <c r="IO197" s="530"/>
      <c r="IP197" s="530"/>
      <c r="IQ197" s="530"/>
      <c r="IR197" s="530"/>
      <c r="IS197" s="530"/>
      <c r="IT197" s="530"/>
      <c r="IU197" s="530"/>
      <c r="IV197" s="530"/>
    </row>
    <row r="198" spans="1:256" ht="17.25" hidden="1" customHeight="1">
      <c r="A198" s="1676"/>
      <c r="B198" s="550"/>
      <c r="C198" s="550"/>
      <c r="D198" s="550"/>
      <c r="E198" s="550"/>
      <c r="F198" s="550"/>
      <c r="G198" s="550"/>
      <c r="H198" s="550"/>
      <c r="I198" s="550"/>
      <c r="J198" s="550"/>
      <c r="K198" s="550"/>
      <c r="L198" s="550"/>
      <c r="M198" s="550"/>
      <c r="N198" s="550"/>
      <c r="O198" s="439"/>
      <c r="P198" s="439"/>
      <c r="Q198" s="674"/>
      <c r="R198" s="671"/>
      <c r="S198" s="671"/>
      <c r="T198" s="671"/>
      <c r="U198" s="671"/>
      <c r="V198" s="671"/>
      <c r="W198" s="671"/>
      <c r="X198" s="671"/>
      <c r="Y198" s="671"/>
      <c r="Z198" s="671"/>
      <c r="AA198" s="671"/>
      <c r="AB198" s="623"/>
      <c r="AC198" s="623"/>
      <c r="AD198" s="623"/>
      <c r="AE198" s="623"/>
      <c r="AF198" s="623"/>
      <c r="AG198" s="623"/>
      <c r="AH198" s="623"/>
      <c r="AI198" s="623"/>
      <c r="AJ198" s="623"/>
      <c r="AK198" s="623"/>
      <c r="AL198" s="623"/>
      <c r="AM198" s="623"/>
      <c r="AN198" s="623"/>
      <c r="AO198" s="623"/>
      <c r="AP198" s="623"/>
      <c r="AQ198" s="623"/>
      <c r="AR198" s="623"/>
      <c r="AS198" s="623"/>
      <c r="AT198" s="623"/>
      <c r="AU198" s="623"/>
      <c r="AV198" s="623"/>
      <c r="AW198" s="623"/>
      <c r="AX198" s="623"/>
      <c r="AY198" s="623"/>
      <c r="AZ198" s="623"/>
      <c r="BA198" s="623"/>
      <c r="BB198" s="623"/>
      <c r="BC198" s="623"/>
      <c r="BD198" s="623"/>
      <c r="BE198" s="623"/>
      <c r="BF198" s="623"/>
      <c r="BG198" s="623"/>
      <c r="BH198" s="623"/>
      <c r="BI198" s="623"/>
      <c r="BJ198" s="623"/>
      <c r="BK198" s="623"/>
      <c r="BL198" s="623"/>
      <c r="BM198" s="623"/>
      <c r="BN198" s="623"/>
      <c r="BO198" s="623"/>
      <c r="BP198" s="623"/>
      <c r="BQ198" s="623"/>
      <c r="BR198" s="623"/>
      <c r="BS198" s="623"/>
      <c r="BT198" s="623"/>
      <c r="BU198" s="623"/>
      <c r="BV198" s="623"/>
      <c r="BW198" s="623"/>
      <c r="BX198" s="623"/>
      <c r="BY198" s="623"/>
      <c r="BZ198" s="623"/>
      <c r="CA198" s="623"/>
      <c r="CB198" s="623"/>
      <c r="CC198" s="623"/>
      <c r="CD198" s="623"/>
      <c r="CE198" s="1669"/>
      <c r="CF198" s="623"/>
      <c r="CG198" s="623"/>
      <c r="CH198" s="623"/>
      <c r="CI198" s="623"/>
      <c r="CJ198" s="623"/>
      <c r="CK198" s="623"/>
      <c r="CL198" s="623"/>
      <c r="CM198" s="623"/>
      <c r="CN198" s="623"/>
      <c r="CO198" s="623"/>
      <c r="CP198" s="623"/>
      <c r="CQ198" s="623"/>
      <c r="CR198" s="623"/>
      <c r="CS198" s="623"/>
      <c r="CT198" s="623"/>
      <c r="CU198" s="623"/>
      <c r="CV198" s="623"/>
      <c r="CW198" s="623"/>
      <c r="CX198" s="623"/>
      <c r="CY198" s="817"/>
      <c r="CZ198" s="623"/>
      <c r="DA198" s="623"/>
      <c r="DB198" s="623"/>
      <c r="DC198" s="623"/>
      <c r="DD198" s="623"/>
      <c r="DE198" s="623"/>
      <c r="DF198" s="623"/>
      <c r="DG198" s="623"/>
      <c r="DH198" s="623"/>
      <c r="DI198" s="623"/>
      <c r="DJ198" s="623"/>
      <c r="DK198" s="623"/>
      <c r="DL198" s="623"/>
      <c r="DM198" s="623"/>
      <c r="DN198" s="623"/>
      <c r="DO198" s="623"/>
      <c r="DP198" s="623"/>
      <c r="DQ198" s="623"/>
      <c r="DR198" s="623"/>
      <c r="DS198" s="623"/>
      <c r="DT198" s="623"/>
      <c r="DU198" s="623"/>
      <c r="DV198" s="1675"/>
      <c r="IR198" s="542"/>
      <c r="IS198" s="542"/>
      <c r="IT198" s="542"/>
      <c r="IU198" s="542"/>
      <c r="IV198" s="542"/>
    </row>
    <row r="199" spans="1:256" ht="17.25" hidden="1" customHeight="1">
      <c r="A199" s="1676"/>
      <c r="B199" s="550"/>
      <c r="C199" s="550"/>
      <c r="D199" s="550"/>
      <c r="E199" s="550"/>
      <c r="F199" s="550"/>
      <c r="G199" s="550"/>
      <c r="H199" s="550"/>
      <c r="I199" s="550"/>
      <c r="J199" s="550"/>
      <c r="K199" s="550"/>
      <c r="L199" s="550"/>
      <c r="M199" s="550"/>
      <c r="N199" s="550"/>
      <c r="O199" s="439"/>
      <c r="P199" s="439"/>
      <c r="Q199" s="674"/>
      <c r="R199" s="671"/>
      <c r="S199" s="671"/>
      <c r="T199" s="671"/>
      <c r="U199" s="671"/>
      <c r="V199" s="671"/>
      <c r="W199" s="671"/>
      <c r="X199" s="671"/>
      <c r="Y199" s="671"/>
      <c r="Z199" s="671"/>
      <c r="AA199" s="671"/>
      <c r="AB199" s="623"/>
      <c r="AC199" s="623"/>
      <c r="AD199" s="623"/>
      <c r="AE199" s="623"/>
      <c r="AF199" s="623"/>
      <c r="AG199" s="623"/>
      <c r="AH199" s="623"/>
      <c r="AI199" s="623"/>
      <c r="AJ199" s="623"/>
      <c r="AK199" s="623"/>
      <c r="AL199" s="623"/>
      <c r="AM199" s="623"/>
      <c r="AN199" s="623"/>
      <c r="AO199" s="623"/>
      <c r="AP199" s="623"/>
      <c r="AQ199" s="623"/>
      <c r="AR199" s="623"/>
      <c r="AS199" s="623"/>
      <c r="AT199" s="623"/>
      <c r="AU199" s="623"/>
      <c r="AV199" s="623"/>
      <c r="AW199" s="623"/>
      <c r="AX199" s="623"/>
      <c r="AY199" s="623"/>
      <c r="AZ199" s="623"/>
      <c r="BA199" s="623"/>
      <c r="BB199" s="623"/>
      <c r="BC199" s="623"/>
      <c r="BD199" s="623"/>
      <c r="BE199" s="623"/>
      <c r="BF199" s="623"/>
      <c r="BG199" s="623"/>
      <c r="BH199" s="623"/>
      <c r="BI199" s="623"/>
      <c r="BJ199" s="623"/>
      <c r="BK199" s="623"/>
      <c r="BL199" s="623"/>
      <c r="BM199" s="623"/>
      <c r="BN199" s="623"/>
      <c r="BO199" s="623"/>
      <c r="BP199" s="623"/>
      <c r="BQ199" s="623"/>
      <c r="BR199" s="623"/>
      <c r="BS199" s="623"/>
      <c r="BT199" s="623"/>
      <c r="BU199" s="623"/>
      <c r="BV199" s="623"/>
      <c r="BW199" s="623"/>
      <c r="BX199" s="623"/>
      <c r="BY199" s="623"/>
      <c r="BZ199" s="623"/>
      <c r="CA199" s="623"/>
      <c r="CB199" s="623"/>
      <c r="CC199" s="623"/>
      <c r="CD199" s="623"/>
      <c r="CE199" s="1669"/>
      <c r="CF199" s="623"/>
      <c r="CG199" s="623"/>
      <c r="CH199" s="623"/>
      <c r="CI199" s="623"/>
      <c r="CJ199" s="623"/>
      <c r="CK199" s="623"/>
      <c r="CL199" s="623"/>
      <c r="CM199" s="623"/>
      <c r="CN199" s="623"/>
      <c r="CO199" s="623"/>
      <c r="CP199" s="623"/>
      <c r="CQ199" s="623"/>
      <c r="CR199" s="623"/>
      <c r="CS199" s="623"/>
      <c r="CT199" s="623"/>
      <c r="CU199" s="623"/>
      <c r="CV199" s="623"/>
      <c r="CW199" s="623"/>
      <c r="CX199" s="623"/>
      <c r="CY199" s="817"/>
      <c r="CZ199" s="623"/>
      <c r="DA199" s="623"/>
      <c r="DB199" s="623"/>
      <c r="DC199" s="623"/>
      <c r="DD199" s="623"/>
      <c r="DE199" s="623"/>
      <c r="DF199" s="623"/>
      <c r="DG199" s="623"/>
      <c r="DH199" s="623"/>
      <c r="DI199" s="623"/>
      <c r="DJ199" s="623"/>
      <c r="DK199" s="623"/>
      <c r="DL199" s="623"/>
      <c r="DM199" s="623"/>
      <c r="DN199" s="623"/>
      <c r="DO199" s="623"/>
      <c r="DP199" s="623"/>
      <c r="DQ199" s="623"/>
      <c r="DR199" s="623"/>
      <c r="DS199" s="623"/>
      <c r="DT199" s="623"/>
      <c r="DU199" s="623"/>
      <c r="DV199" s="1675"/>
    </row>
    <row r="200" spans="1:256" ht="17.25" hidden="1" customHeight="1">
      <c r="A200" s="1676"/>
      <c r="B200" s="550"/>
      <c r="C200" s="550"/>
      <c r="D200" s="550"/>
      <c r="E200" s="550"/>
      <c r="F200" s="550"/>
      <c r="G200" s="550"/>
      <c r="H200" s="550"/>
      <c r="I200" s="550"/>
      <c r="J200" s="550"/>
      <c r="K200" s="550"/>
      <c r="L200" s="550"/>
      <c r="M200" s="550"/>
      <c r="N200" s="550"/>
      <c r="O200" s="439"/>
      <c r="P200" s="439"/>
      <c r="Q200" s="674"/>
      <c r="R200" s="671"/>
      <c r="S200" s="671"/>
      <c r="T200" s="671"/>
      <c r="U200" s="671"/>
      <c r="V200" s="671"/>
      <c r="W200" s="671"/>
      <c r="X200" s="671"/>
      <c r="Y200" s="671"/>
      <c r="Z200" s="671"/>
      <c r="AA200" s="671"/>
      <c r="AB200" s="623"/>
      <c r="AC200" s="623"/>
      <c r="AD200" s="623"/>
      <c r="AE200" s="623"/>
      <c r="AF200" s="623"/>
      <c r="AG200" s="623"/>
      <c r="AH200" s="623"/>
      <c r="AI200" s="623"/>
      <c r="AJ200" s="623"/>
      <c r="AK200" s="623"/>
      <c r="AL200" s="623"/>
      <c r="AM200" s="623"/>
      <c r="AN200" s="623"/>
      <c r="AO200" s="623"/>
      <c r="AP200" s="623"/>
      <c r="AQ200" s="623"/>
      <c r="AR200" s="623"/>
      <c r="AS200" s="623"/>
      <c r="AT200" s="623"/>
      <c r="AU200" s="623"/>
      <c r="AV200" s="623"/>
      <c r="AW200" s="623"/>
      <c r="AX200" s="623"/>
      <c r="AY200" s="623"/>
      <c r="AZ200" s="623"/>
      <c r="BA200" s="623"/>
      <c r="BB200" s="623"/>
      <c r="BC200" s="623"/>
      <c r="BD200" s="623"/>
      <c r="BE200" s="623"/>
      <c r="BF200" s="623"/>
      <c r="BG200" s="623"/>
      <c r="BH200" s="623"/>
      <c r="BI200" s="623"/>
      <c r="BJ200" s="623"/>
      <c r="BK200" s="623"/>
      <c r="BL200" s="623"/>
      <c r="BM200" s="623"/>
      <c r="BN200" s="623"/>
      <c r="BO200" s="623"/>
      <c r="BP200" s="623"/>
      <c r="BQ200" s="623"/>
      <c r="BR200" s="623"/>
      <c r="BS200" s="623"/>
      <c r="BT200" s="623"/>
      <c r="BU200" s="623"/>
      <c r="BV200" s="623"/>
      <c r="BW200" s="623"/>
      <c r="BX200" s="623"/>
      <c r="BY200" s="623"/>
      <c r="BZ200" s="623"/>
      <c r="CA200" s="623"/>
      <c r="CB200" s="623"/>
      <c r="CC200" s="623"/>
      <c r="CD200" s="623"/>
      <c r="CE200" s="1669"/>
      <c r="CF200" s="623"/>
      <c r="CG200" s="623"/>
      <c r="CH200" s="623"/>
      <c r="CI200" s="623"/>
      <c r="CJ200" s="623"/>
      <c r="CK200" s="623"/>
      <c r="CL200" s="623"/>
      <c r="CM200" s="623"/>
      <c r="CN200" s="623"/>
      <c r="CO200" s="623"/>
      <c r="CP200" s="623"/>
      <c r="CQ200" s="623"/>
      <c r="CR200" s="623"/>
      <c r="CS200" s="623"/>
      <c r="CT200" s="623"/>
      <c r="CU200" s="623"/>
      <c r="CV200" s="623"/>
      <c r="CW200" s="623"/>
      <c r="CX200" s="623"/>
      <c r="CY200" s="817"/>
      <c r="CZ200" s="623"/>
      <c r="DA200" s="623"/>
      <c r="DB200" s="623"/>
      <c r="DC200" s="623"/>
      <c r="DD200" s="623"/>
      <c r="DE200" s="623"/>
      <c r="DF200" s="623"/>
      <c r="DG200" s="623"/>
      <c r="DH200" s="623"/>
      <c r="DI200" s="623"/>
      <c r="DJ200" s="623"/>
      <c r="DK200" s="623"/>
      <c r="DL200" s="623"/>
      <c r="DM200" s="623"/>
      <c r="DN200" s="623"/>
      <c r="DO200" s="623"/>
      <c r="DP200" s="623"/>
      <c r="DQ200" s="623"/>
      <c r="DR200" s="623"/>
      <c r="DS200" s="623"/>
      <c r="DT200" s="623"/>
      <c r="DU200" s="623"/>
      <c r="DV200" s="1675"/>
    </row>
    <row r="201" spans="1:256" ht="17.25" hidden="1" customHeight="1">
      <c r="A201" s="1676"/>
      <c r="B201" s="550"/>
      <c r="C201" s="550"/>
      <c r="D201" s="550"/>
      <c r="E201" s="550"/>
      <c r="F201" s="550"/>
      <c r="G201" s="550"/>
      <c r="H201" s="550"/>
      <c r="I201" s="550"/>
      <c r="J201" s="550"/>
      <c r="K201" s="550"/>
      <c r="L201" s="550"/>
      <c r="M201" s="550"/>
      <c r="N201" s="550"/>
      <c r="O201" s="439"/>
      <c r="P201" s="439"/>
      <c r="Q201" s="674"/>
      <c r="R201" s="671"/>
      <c r="S201" s="671"/>
      <c r="T201" s="671"/>
      <c r="U201" s="671"/>
      <c r="V201" s="671"/>
      <c r="W201" s="671"/>
      <c r="X201" s="671"/>
      <c r="Y201" s="671"/>
      <c r="Z201" s="671"/>
      <c r="AA201" s="671"/>
      <c r="AB201" s="623"/>
      <c r="AC201" s="623"/>
      <c r="AD201" s="623"/>
      <c r="AE201" s="623"/>
      <c r="AF201" s="623"/>
      <c r="AG201" s="623"/>
      <c r="AH201" s="623"/>
      <c r="AI201" s="623"/>
      <c r="AJ201" s="623"/>
      <c r="AK201" s="623"/>
      <c r="AL201" s="623"/>
      <c r="AM201" s="623"/>
      <c r="AN201" s="623"/>
      <c r="AO201" s="623"/>
      <c r="AP201" s="623"/>
      <c r="AQ201" s="623"/>
      <c r="AR201" s="623"/>
      <c r="AS201" s="623"/>
      <c r="AT201" s="623"/>
      <c r="AU201" s="623"/>
      <c r="AV201" s="623"/>
      <c r="AW201" s="623"/>
      <c r="AX201" s="623"/>
      <c r="AY201" s="623"/>
      <c r="AZ201" s="623"/>
      <c r="BA201" s="623"/>
      <c r="BB201" s="623"/>
      <c r="BC201" s="623"/>
      <c r="BD201" s="623"/>
      <c r="BE201" s="623"/>
      <c r="BF201" s="623"/>
      <c r="BG201" s="623"/>
      <c r="BH201" s="623"/>
      <c r="BI201" s="623"/>
      <c r="BJ201" s="623"/>
      <c r="BK201" s="623"/>
      <c r="BL201" s="623"/>
      <c r="BM201" s="623"/>
      <c r="BN201" s="623"/>
      <c r="BO201" s="623"/>
      <c r="BP201" s="623"/>
      <c r="BQ201" s="623"/>
      <c r="BR201" s="623"/>
      <c r="BS201" s="623"/>
      <c r="BT201" s="623"/>
      <c r="BU201" s="623"/>
      <c r="BV201" s="623"/>
      <c r="BW201" s="623"/>
      <c r="BX201" s="623"/>
      <c r="BY201" s="623"/>
      <c r="BZ201" s="623"/>
      <c r="CA201" s="623"/>
      <c r="CB201" s="623"/>
      <c r="CC201" s="623"/>
      <c r="CD201" s="623"/>
      <c r="CE201" s="1669"/>
      <c r="CF201" s="623"/>
      <c r="CG201" s="623"/>
      <c r="CH201" s="623"/>
      <c r="CI201" s="623"/>
      <c r="CJ201" s="623"/>
      <c r="CK201" s="623"/>
      <c r="CL201" s="623"/>
      <c r="CM201" s="623"/>
      <c r="CN201" s="623"/>
      <c r="CO201" s="623"/>
      <c r="CP201" s="623"/>
      <c r="CQ201" s="623"/>
      <c r="CR201" s="623"/>
      <c r="CS201" s="623"/>
      <c r="CT201" s="623"/>
      <c r="CU201" s="623"/>
      <c r="CV201" s="623"/>
      <c r="CW201" s="623"/>
      <c r="CX201" s="623"/>
      <c r="CY201" s="817"/>
      <c r="CZ201" s="623"/>
      <c r="DA201" s="623"/>
      <c r="DB201" s="623"/>
      <c r="DC201" s="623"/>
      <c r="DD201" s="623"/>
      <c r="DE201" s="623"/>
      <c r="DF201" s="623"/>
      <c r="DG201" s="623"/>
      <c r="DH201" s="623"/>
      <c r="DI201" s="623"/>
      <c r="DJ201" s="623"/>
      <c r="DK201" s="623"/>
      <c r="DL201" s="623"/>
      <c r="DM201" s="623"/>
      <c r="DN201" s="623"/>
      <c r="DO201" s="623"/>
      <c r="DP201" s="623"/>
      <c r="DQ201" s="623"/>
      <c r="DR201" s="623"/>
      <c r="DS201" s="623"/>
      <c r="DT201" s="623"/>
      <c r="DU201" s="623"/>
      <c r="DV201" s="1675"/>
    </row>
    <row r="202" spans="1:256" ht="17.25" hidden="1" customHeight="1">
      <c r="A202" s="1676"/>
      <c r="B202" s="550"/>
      <c r="C202" s="550"/>
      <c r="D202" s="550"/>
      <c r="E202" s="550"/>
      <c r="F202" s="550"/>
      <c r="G202" s="550"/>
      <c r="H202" s="550"/>
      <c r="I202" s="550"/>
      <c r="J202" s="550"/>
      <c r="K202" s="550"/>
      <c r="L202" s="550"/>
      <c r="M202" s="550"/>
      <c r="N202" s="550"/>
      <c r="O202" s="439"/>
      <c r="P202" s="439"/>
      <c r="Q202" s="674"/>
      <c r="R202" s="671"/>
      <c r="S202" s="671"/>
      <c r="T202" s="671"/>
      <c r="U202" s="671"/>
      <c r="V202" s="671"/>
      <c r="W202" s="671"/>
      <c r="X202" s="671"/>
      <c r="Y202" s="671"/>
      <c r="Z202" s="671"/>
      <c r="AA202" s="671"/>
      <c r="AB202" s="623"/>
      <c r="AC202" s="623"/>
      <c r="AD202" s="623"/>
      <c r="AE202" s="623"/>
      <c r="AF202" s="623"/>
      <c r="AG202" s="623"/>
      <c r="AH202" s="623"/>
      <c r="AI202" s="623"/>
      <c r="AJ202" s="623"/>
      <c r="AK202" s="623"/>
      <c r="AL202" s="623"/>
      <c r="AM202" s="623"/>
      <c r="AN202" s="623"/>
      <c r="AO202" s="623"/>
      <c r="AP202" s="623"/>
      <c r="AQ202" s="623"/>
      <c r="AR202" s="623"/>
      <c r="AS202" s="623"/>
      <c r="AT202" s="623"/>
      <c r="AU202" s="623"/>
      <c r="AV202" s="623"/>
      <c r="AW202" s="623"/>
      <c r="AX202" s="623"/>
      <c r="AY202" s="623"/>
      <c r="AZ202" s="623"/>
      <c r="BA202" s="623"/>
      <c r="BB202" s="623"/>
      <c r="BC202" s="623"/>
      <c r="BD202" s="623"/>
      <c r="BE202" s="623"/>
      <c r="BF202" s="623"/>
      <c r="BG202" s="623"/>
      <c r="BH202" s="623"/>
      <c r="BI202" s="623"/>
      <c r="BJ202" s="623"/>
      <c r="BK202" s="623"/>
      <c r="BL202" s="623"/>
      <c r="BM202" s="623"/>
      <c r="BN202" s="623"/>
      <c r="BO202" s="623"/>
      <c r="BP202" s="623"/>
      <c r="BQ202" s="623"/>
      <c r="BR202" s="623"/>
      <c r="BS202" s="623"/>
      <c r="BT202" s="623"/>
      <c r="BU202" s="623"/>
      <c r="BV202" s="623"/>
      <c r="BW202" s="623"/>
      <c r="BX202" s="623"/>
      <c r="BY202" s="623"/>
      <c r="BZ202" s="623"/>
      <c r="CA202" s="623"/>
      <c r="CB202" s="623"/>
      <c r="CC202" s="623"/>
      <c r="CD202" s="623"/>
      <c r="CE202" s="1669"/>
      <c r="CF202" s="623"/>
      <c r="CG202" s="623"/>
      <c r="CH202" s="623"/>
      <c r="CI202" s="623"/>
      <c r="CJ202" s="623"/>
      <c r="CK202" s="623"/>
      <c r="CL202" s="623"/>
      <c r="CM202" s="623"/>
      <c r="CN202" s="623"/>
      <c r="CO202" s="623"/>
      <c r="CP202" s="623"/>
      <c r="CQ202" s="623"/>
      <c r="CR202" s="623"/>
      <c r="CS202" s="623"/>
      <c r="CT202" s="623"/>
      <c r="CU202" s="623"/>
      <c r="CV202" s="623"/>
      <c r="CW202" s="623"/>
      <c r="CX202" s="623"/>
      <c r="CY202" s="817"/>
      <c r="CZ202" s="623"/>
      <c r="DA202" s="623"/>
      <c r="DB202" s="623"/>
      <c r="DC202" s="623"/>
      <c r="DD202" s="623"/>
      <c r="DE202" s="623"/>
      <c r="DF202" s="623"/>
      <c r="DG202" s="623"/>
      <c r="DH202" s="623"/>
      <c r="DI202" s="623"/>
      <c r="DJ202" s="623"/>
      <c r="DK202" s="623"/>
      <c r="DL202" s="623"/>
      <c r="DM202" s="623"/>
      <c r="DN202" s="623"/>
      <c r="DO202" s="623"/>
      <c r="DP202" s="623"/>
      <c r="DQ202" s="623"/>
      <c r="DR202" s="623"/>
      <c r="DS202" s="623"/>
      <c r="DT202" s="623"/>
      <c r="DU202" s="623"/>
      <c r="DV202" s="1675"/>
    </row>
    <row r="203" spans="1:256" ht="17.25" hidden="1" customHeight="1">
      <c r="A203" s="1676"/>
      <c r="B203" s="550"/>
      <c r="C203" s="550"/>
      <c r="D203" s="550"/>
      <c r="E203" s="550"/>
      <c r="F203" s="550"/>
      <c r="G203" s="550"/>
      <c r="H203" s="550"/>
      <c r="I203" s="550"/>
      <c r="J203" s="550"/>
      <c r="K203" s="550"/>
      <c r="L203" s="550"/>
      <c r="M203" s="550"/>
      <c r="N203" s="550"/>
      <c r="O203" s="439"/>
      <c r="P203" s="439"/>
      <c r="Q203" s="674"/>
      <c r="R203" s="671"/>
      <c r="S203" s="671"/>
      <c r="T203" s="671"/>
      <c r="U203" s="671"/>
      <c r="V203" s="671"/>
      <c r="W203" s="671"/>
      <c r="X203" s="671"/>
      <c r="Y203" s="671"/>
      <c r="Z203" s="671"/>
      <c r="AA203" s="671"/>
      <c r="AB203" s="623"/>
      <c r="AC203" s="623"/>
      <c r="AD203" s="623"/>
      <c r="AE203" s="623"/>
      <c r="AF203" s="623"/>
      <c r="AG203" s="623"/>
      <c r="AH203" s="623"/>
      <c r="AI203" s="623"/>
      <c r="AJ203" s="623"/>
      <c r="AK203" s="623"/>
      <c r="AL203" s="623"/>
      <c r="AM203" s="623"/>
      <c r="AN203" s="623"/>
      <c r="AO203" s="623"/>
      <c r="AP203" s="623"/>
      <c r="AQ203" s="623"/>
      <c r="AR203" s="623"/>
      <c r="AS203" s="623"/>
      <c r="AT203" s="623"/>
      <c r="AU203" s="623"/>
      <c r="AV203" s="623"/>
      <c r="AW203" s="623"/>
      <c r="AX203" s="623"/>
      <c r="AY203" s="623"/>
      <c r="AZ203" s="623"/>
      <c r="BA203" s="623"/>
      <c r="BB203" s="623"/>
      <c r="BC203" s="623"/>
      <c r="BD203" s="623"/>
      <c r="BE203" s="623"/>
      <c r="BF203" s="623"/>
      <c r="BG203" s="623"/>
      <c r="BH203" s="623"/>
      <c r="BI203" s="623"/>
      <c r="BJ203" s="623"/>
      <c r="BK203" s="623"/>
      <c r="BL203" s="623"/>
      <c r="BM203" s="623"/>
      <c r="BN203" s="623"/>
      <c r="BO203" s="623"/>
      <c r="BP203" s="623"/>
      <c r="BQ203" s="623"/>
      <c r="BR203" s="623"/>
      <c r="BS203" s="623"/>
      <c r="BT203" s="623"/>
      <c r="BU203" s="623"/>
      <c r="BV203" s="623"/>
      <c r="BW203" s="623"/>
      <c r="BX203" s="623"/>
      <c r="BY203" s="623"/>
      <c r="BZ203" s="623"/>
      <c r="CA203" s="623"/>
      <c r="CB203" s="623"/>
      <c r="CC203" s="623"/>
      <c r="CD203" s="623"/>
      <c r="CE203" s="1669"/>
      <c r="CF203" s="623"/>
      <c r="CG203" s="623"/>
      <c r="CH203" s="623"/>
      <c r="CI203" s="623"/>
      <c r="CJ203" s="623"/>
      <c r="CK203" s="623"/>
      <c r="CL203" s="623"/>
      <c r="CM203" s="623"/>
      <c r="CN203" s="623"/>
      <c r="CO203" s="623"/>
      <c r="CP203" s="623"/>
      <c r="CQ203" s="623"/>
      <c r="CR203" s="623"/>
      <c r="CS203" s="623"/>
      <c r="CT203" s="623"/>
      <c r="CU203" s="623"/>
      <c r="CV203" s="623"/>
      <c r="CW203" s="623"/>
      <c r="CX203" s="623"/>
      <c r="CY203" s="817"/>
      <c r="CZ203" s="623"/>
      <c r="DA203" s="623"/>
      <c r="DB203" s="623"/>
      <c r="DC203" s="623"/>
      <c r="DD203" s="623"/>
      <c r="DE203" s="623"/>
      <c r="DF203" s="623"/>
      <c r="DG203" s="623"/>
      <c r="DH203" s="623"/>
      <c r="DI203" s="623"/>
      <c r="DJ203" s="623"/>
      <c r="DK203" s="623"/>
      <c r="DL203" s="623"/>
      <c r="DM203" s="623"/>
      <c r="DN203" s="623"/>
      <c r="DO203" s="623"/>
      <c r="DP203" s="623"/>
      <c r="DQ203" s="623"/>
      <c r="DR203" s="623"/>
      <c r="DS203" s="623"/>
      <c r="DT203" s="623"/>
      <c r="DU203" s="623"/>
      <c r="DV203" s="1675"/>
    </row>
    <row r="204" spans="1:256" ht="17.25" hidden="1" customHeight="1">
      <c r="A204" s="1676"/>
      <c r="B204" s="550"/>
      <c r="C204" s="550"/>
      <c r="D204" s="550"/>
      <c r="E204" s="550"/>
      <c r="F204" s="550"/>
      <c r="G204" s="550"/>
      <c r="H204" s="550"/>
      <c r="I204" s="550"/>
      <c r="J204" s="550"/>
      <c r="K204" s="550"/>
      <c r="L204" s="550"/>
      <c r="M204" s="550"/>
      <c r="N204" s="550"/>
      <c r="O204" s="439"/>
      <c r="P204" s="439"/>
      <c r="Q204" s="674"/>
      <c r="R204" s="671"/>
      <c r="S204" s="671"/>
      <c r="T204" s="671"/>
      <c r="U204" s="671"/>
      <c r="V204" s="671"/>
      <c r="W204" s="671"/>
      <c r="X204" s="671"/>
      <c r="Y204" s="671"/>
      <c r="Z204" s="671"/>
      <c r="AA204" s="671"/>
      <c r="AB204" s="623"/>
      <c r="AC204" s="623"/>
      <c r="AD204" s="623"/>
      <c r="AE204" s="623"/>
      <c r="AF204" s="623"/>
      <c r="AG204" s="623"/>
      <c r="AH204" s="623"/>
      <c r="AI204" s="623"/>
      <c r="AJ204" s="623"/>
      <c r="AK204" s="623"/>
      <c r="AL204" s="623"/>
      <c r="AM204" s="623"/>
      <c r="AN204" s="623"/>
      <c r="AO204" s="623"/>
      <c r="AP204" s="623"/>
      <c r="AQ204" s="623"/>
      <c r="AR204" s="623"/>
      <c r="AS204" s="623"/>
      <c r="AT204" s="623"/>
      <c r="AU204" s="623"/>
      <c r="AV204" s="623"/>
      <c r="AW204" s="623"/>
      <c r="AX204" s="623"/>
      <c r="AY204" s="623"/>
      <c r="AZ204" s="623"/>
      <c r="BA204" s="623"/>
      <c r="BB204" s="623"/>
      <c r="BC204" s="623"/>
      <c r="BD204" s="623"/>
      <c r="BE204" s="623"/>
      <c r="BF204" s="623"/>
      <c r="BG204" s="623"/>
      <c r="BH204" s="623"/>
      <c r="BI204" s="623"/>
      <c r="BJ204" s="623"/>
      <c r="BK204" s="623"/>
      <c r="BL204" s="623"/>
      <c r="BM204" s="623"/>
      <c r="BN204" s="623"/>
      <c r="BO204" s="623"/>
      <c r="BP204" s="623"/>
      <c r="BQ204" s="623"/>
      <c r="BR204" s="623"/>
      <c r="BS204" s="623"/>
      <c r="BT204" s="623"/>
      <c r="BU204" s="623"/>
      <c r="BV204" s="623"/>
      <c r="BW204" s="623"/>
      <c r="BX204" s="623"/>
      <c r="BY204" s="623"/>
      <c r="BZ204" s="623"/>
      <c r="CA204" s="623"/>
      <c r="CB204" s="623"/>
      <c r="CC204" s="623"/>
      <c r="CD204" s="623"/>
      <c r="CE204" s="1669"/>
      <c r="CF204" s="623"/>
      <c r="CG204" s="623"/>
      <c r="CH204" s="623"/>
      <c r="CI204" s="623"/>
      <c r="CJ204" s="623"/>
      <c r="CK204" s="623"/>
      <c r="CL204" s="623"/>
      <c r="CM204" s="623"/>
      <c r="CN204" s="623"/>
      <c r="CO204" s="623"/>
      <c r="CP204" s="623"/>
      <c r="CQ204" s="623"/>
      <c r="CR204" s="623"/>
      <c r="CS204" s="623"/>
      <c r="CT204" s="623"/>
      <c r="CU204" s="623"/>
      <c r="CV204" s="623"/>
      <c r="CW204" s="623"/>
      <c r="CX204" s="623"/>
      <c r="CY204" s="817"/>
      <c r="CZ204" s="623"/>
      <c r="DA204" s="623"/>
      <c r="DB204" s="623"/>
      <c r="DC204" s="623"/>
      <c r="DD204" s="623"/>
      <c r="DE204" s="623"/>
      <c r="DF204" s="623"/>
      <c r="DG204" s="623"/>
      <c r="DH204" s="623"/>
      <c r="DI204" s="623"/>
      <c r="DJ204" s="623"/>
      <c r="DK204" s="623"/>
      <c r="DL204" s="623"/>
      <c r="DM204" s="623"/>
      <c r="DN204" s="623"/>
      <c r="DO204" s="623"/>
      <c r="DP204" s="623"/>
      <c r="DQ204" s="623"/>
      <c r="DR204" s="623"/>
      <c r="DS204" s="623"/>
      <c r="DT204" s="623"/>
      <c r="DU204" s="623"/>
      <c r="DV204" s="1675"/>
    </row>
    <row r="205" spans="1:256" ht="17.25" hidden="1" customHeight="1">
      <c r="A205" s="1676"/>
      <c r="B205" s="550"/>
      <c r="C205" s="550"/>
      <c r="D205" s="550"/>
      <c r="E205" s="550"/>
      <c r="F205" s="550"/>
      <c r="G205" s="550"/>
      <c r="H205" s="550"/>
      <c r="I205" s="550"/>
      <c r="J205" s="550"/>
      <c r="K205" s="550"/>
      <c r="L205" s="550"/>
      <c r="M205" s="550"/>
      <c r="N205" s="550"/>
      <c r="O205" s="439"/>
      <c r="P205" s="439"/>
      <c r="Q205" s="674"/>
      <c r="R205" s="671"/>
      <c r="S205" s="671"/>
      <c r="T205" s="671"/>
      <c r="U205" s="671"/>
      <c r="V205" s="671"/>
      <c r="W205" s="671"/>
      <c r="X205" s="671"/>
      <c r="Y205" s="671"/>
      <c r="Z205" s="671"/>
      <c r="AA205" s="671"/>
      <c r="AB205" s="623"/>
      <c r="AC205" s="623"/>
      <c r="AD205" s="623"/>
      <c r="AE205" s="623"/>
      <c r="AF205" s="623"/>
      <c r="AG205" s="623"/>
      <c r="AH205" s="623"/>
      <c r="AI205" s="623"/>
      <c r="AJ205" s="623"/>
      <c r="AK205" s="623"/>
      <c r="AL205" s="623"/>
      <c r="AM205" s="623"/>
      <c r="AN205" s="623"/>
      <c r="AO205" s="623"/>
      <c r="AP205" s="623"/>
      <c r="AQ205" s="623"/>
      <c r="AR205" s="623"/>
      <c r="AS205" s="623"/>
      <c r="AT205" s="623"/>
      <c r="AU205" s="623"/>
      <c r="AV205" s="623"/>
      <c r="AW205" s="623"/>
      <c r="AX205" s="623"/>
      <c r="AY205" s="623"/>
      <c r="AZ205" s="623"/>
      <c r="BA205" s="623"/>
      <c r="BB205" s="623"/>
      <c r="BC205" s="623"/>
      <c r="BD205" s="623"/>
      <c r="BE205" s="623"/>
      <c r="BF205" s="623"/>
      <c r="BG205" s="623"/>
      <c r="BH205" s="623"/>
      <c r="BI205" s="623"/>
      <c r="BJ205" s="623"/>
      <c r="BK205" s="623"/>
      <c r="BL205" s="623"/>
      <c r="BM205" s="623"/>
      <c r="BN205" s="623"/>
      <c r="BO205" s="623"/>
      <c r="BP205" s="623"/>
      <c r="BQ205" s="623"/>
      <c r="BR205" s="623"/>
      <c r="BS205" s="623"/>
      <c r="BT205" s="623"/>
      <c r="BU205" s="623"/>
      <c r="BV205" s="623"/>
      <c r="BW205" s="623"/>
      <c r="BX205" s="623"/>
      <c r="BY205" s="623"/>
      <c r="BZ205" s="623"/>
      <c r="CA205" s="623"/>
      <c r="CB205" s="623"/>
      <c r="CC205" s="623"/>
      <c r="CD205" s="623"/>
      <c r="CE205" s="1669"/>
      <c r="CF205" s="623"/>
      <c r="CG205" s="623"/>
      <c r="CH205" s="623"/>
      <c r="CI205" s="623"/>
      <c r="CJ205" s="623"/>
      <c r="CK205" s="623"/>
      <c r="CL205" s="623"/>
      <c r="CM205" s="623"/>
      <c r="CN205" s="623"/>
      <c r="CO205" s="623"/>
      <c r="CP205" s="623"/>
      <c r="CQ205" s="623"/>
      <c r="CR205" s="623"/>
      <c r="CS205" s="623"/>
      <c r="CT205" s="623"/>
      <c r="CU205" s="623"/>
      <c r="CV205" s="623"/>
      <c r="CW205" s="623"/>
      <c r="CX205" s="623"/>
      <c r="CY205" s="817"/>
      <c r="CZ205" s="623"/>
      <c r="DA205" s="623"/>
      <c r="DB205" s="623"/>
      <c r="DC205" s="623"/>
      <c r="DD205" s="623"/>
      <c r="DE205" s="623"/>
      <c r="DF205" s="623"/>
      <c r="DG205" s="623"/>
      <c r="DH205" s="623"/>
      <c r="DI205" s="623"/>
      <c r="DJ205" s="623"/>
      <c r="DK205" s="623"/>
      <c r="DL205" s="623"/>
      <c r="DM205" s="623"/>
      <c r="DN205" s="623"/>
      <c r="DO205" s="623"/>
      <c r="DP205" s="623"/>
      <c r="DQ205" s="623"/>
      <c r="DR205" s="623"/>
      <c r="DS205" s="623"/>
      <c r="DT205" s="623"/>
      <c r="DU205" s="623"/>
      <c r="DV205" s="1675"/>
    </row>
    <row r="206" spans="1:256" ht="17.25" hidden="1" customHeight="1">
      <c r="A206" s="1676"/>
      <c r="B206" s="550"/>
      <c r="C206" s="550"/>
      <c r="D206" s="550"/>
      <c r="E206" s="550"/>
      <c r="F206" s="550"/>
      <c r="G206" s="550"/>
      <c r="H206" s="550"/>
      <c r="I206" s="550"/>
      <c r="J206" s="550"/>
      <c r="K206" s="550"/>
      <c r="L206" s="550"/>
      <c r="M206" s="550"/>
      <c r="N206" s="550"/>
      <c r="O206" s="439"/>
      <c r="P206" s="439"/>
      <c r="Q206" s="674"/>
      <c r="R206" s="671"/>
      <c r="S206" s="671"/>
      <c r="T206" s="671"/>
      <c r="U206" s="671"/>
      <c r="V206" s="671"/>
      <c r="W206" s="671"/>
      <c r="X206" s="671"/>
      <c r="Y206" s="671"/>
      <c r="Z206" s="671"/>
      <c r="AA206" s="671"/>
      <c r="AB206" s="623"/>
      <c r="AC206" s="623"/>
      <c r="AD206" s="623"/>
      <c r="AE206" s="623"/>
      <c r="AF206" s="623"/>
      <c r="AG206" s="623"/>
      <c r="AH206" s="623"/>
      <c r="AI206" s="623"/>
      <c r="AJ206" s="623"/>
      <c r="AK206" s="623"/>
      <c r="AL206" s="623"/>
      <c r="AM206" s="623"/>
      <c r="AN206" s="623"/>
      <c r="AO206" s="623"/>
      <c r="AP206" s="623"/>
      <c r="AQ206" s="623"/>
      <c r="AR206" s="623"/>
      <c r="AS206" s="623"/>
      <c r="AT206" s="623"/>
      <c r="AU206" s="623"/>
      <c r="AV206" s="623"/>
      <c r="AW206" s="623"/>
      <c r="AX206" s="623"/>
      <c r="AY206" s="623"/>
      <c r="AZ206" s="623"/>
      <c r="BA206" s="623"/>
      <c r="BB206" s="623"/>
      <c r="BC206" s="623"/>
      <c r="BD206" s="623"/>
      <c r="BE206" s="623"/>
      <c r="BF206" s="623"/>
      <c r="BG206" s="623"/>
      <c r="BH206" s="623"/>
      <c r="BI206" s="623"/>
      <c r="BJ206" s="623"/>
      <c r="BK206" s="623"/>
      <c r="BL206" s="623"/>
      <c r="BM206" s="623"/>
      <c r="BN206" s="623"/>
      <c r="BO206" s="623"/>
      <c r="BP206" s="623"/>
      <c r="BQ206" s="623"/>
      <c r="BR206" s="623"/>
      <c r="BS206" s="623"/>
      <c r="BT206" s="623"/>
      <c r="BU206" s="623"/>
      <c r="BV206" s="623"/>
      <c r="BW206" s="623"/>
      <c r="BX206" s="623"/>
      <c r="BY206" s="623"/>
      <c r="BZ206" s="623"/>
      <c r="CA206" s="623"/>
      <c r="CB206" s="623"/>
      <c r="CC206" s="623"/>
      <c r="CD206" s="623"/>
      <c r="CE206" s="1669"/>
      <c r="CF206" s="623"/>
      <c r="CG206" s="623"/>
      <c r="CH206" s="623"/>
      <c r="CI206" s="623"/>
      <c r="CJ206" s="623"/>
      <c r="CK206" s="623"/>
      <c r="CL206" s="623"/>
      <c r="CM206" s="623"/>
      <c r="CN206" s="623"/>
      <c r="CO206" s="623"/>
      <c r="CP206" s="623"/>
      <c r="CQ206" s="623"/>
      <c r="CR206" s="623"/>
      <c r="CS206" s="623"/>
      <c r="CT206" s="623"/>
      <c r="CU206" s="623"/>
      <c r="CV206" s="623"/>
      <c r="CW206" s="623"/>
      <c r="CX206" s="623"/>
      <c r="CY206" s="817"/>
      <c r="CZ206" s="623"/>
      <c r="DA206" s="623"/>
      <c r="DB206" s="623"/>
      <c r="DC206" s="623"/>
      <c r="DD206" s="623"/>
      <c r="DE206" s="623"/>
      <c r="DF206" s="623"/>
      <c r="DG206" s="623"/>
      <c r="DH206" s="623"/>
      <c r="DI206" s="623"/>
      <c r="DJ206" s="623"/>
      <c r="DK206" s="623"/>
      <c r="DL206" s="623"/>
      <c r="DM206" s="623"/>
      <c r="DN206" s="623"/>
      <c r="DO206" s="623"/>
      <c r="DP206" s="623"/>
      <c r="DQ206" s="623"/>
      <c r="DR206" s="623"/>
      <c r="DS206" s="623"/>
      <c r="DT206" s="623"/>
      <c r="DU206" s="623"/>
      <c r="DV206" s="1675"/>
    </row>
    <row r="207" spans="1:256" ht="17.25" hidden="1" customHeight="1">
      <c r="A207" s="1676"/>
      <c r="B207" s="550"/>
      <c r="C207" s="550"/>
      <c r="D207" s="550"/>
      <c r="E207" s="550"/>
      <c r="F207" s="550"/>
      <c r="G207" s="550"/>
      <c r="H207" s="550"/>
      <c r="I207" s="550"/>
      <c r="J207" s="550"/>
      <c r="K207" s="550"/>
      <c r="L207" s="550"/>
      <c r="M207" s="550"/>
      <c r="N207" s="550"/>
      <c r="O207" s="439"/>
      <c r="P207" s="439"/>
      <c r="Q207" s="674"/>
      <c r="R207" s="671"/>
      <c r="S207" s="671"/>
      <c r="T207" s="671"/>
      <c r="U207" s="671"/>
      <c r="V207" s="671"/>
      <c r="W207" s="671"/>
      <c r="X207" s="671"/>
      <c r="Y207" s="671"/>
      <c r="Z207" s="671"/>
      <c r="AA207" s="671"/>
      <c r="AB207" s="623"/>
      <c r="AC207" s="623"/>
      <c r="AD207" s="623"/>
      <c r="AE207" s="623"/>
      <c r="AF207" s="623"/>
      <c r="AG207" s="623"/>
      <c r="AH207" s="623"/>
      <c r="AI207" s="623"/>
      <c r="AJ207" s="623"/>
      <c r="AK207" s="623"/>
      <c r="AL207" s="623"/>
      <c r="AM207" s="623"/>
      <c r="AN207" s="623"/>
      <c r="AO207" s="623"/>
      <c r="AP207" s="623"/>
      <c r="AQ207" s="623"/>
      <c r="AR207" s="623"/>
      <c r="AS207" s="623"/>
      <c r="AT207" s="623"/>
      <c r="AU207" s="623"/>
      <c r="AV207" s="623"/>
      <c r="AW207" s="623"/>
      <c r="AX207" s="623"/>
      <c r="AY207" s="623"/>
      <c r="AZ207" s="623"/>
      <c r="BA207" s="623"/>
      <c r="BB207" s="623"/>
      <c r="BC207" s="623"/>
      <c r="BD207" s="623"/>
      <c r="BE207" s="623"/>
      <c r="BF207" s="623"/>
      <c r="BG207" s="623"/>
      <c r="BH207" s="623"/>
      <c r="BI207" s="623"/>
      <c r="BJ207" s="623"/>
      <c r="BK207" s="623"/>
      <c r="BL207" s="623"/>
      <c r="BM207" s="623"/>
      <c r="BN207" s="623"/>
      <c r="BO207" s="623"/>
      <c r="BP207" s="623"/>
      <c r="BQ207" s="623"/>
      <c r="BR207" s="623"/>
      <c r="BS207" s="623"/>
      <c r="BT207" s="623"/>
      <c r="BU207" s="623"/>
      <c r="BV207" s="623"/>
      <c r="BW207" s="623"/>
      <c r="BX207" s="623"/>
      <c r="BY207" s="623"/>
      <c r="BZ207" s="623"/>
      <c r="CA207" s="623"/>
      <c r="CB207" s="623"/>
      <c r="CC207" s="623"/>
      <c r="CD207" s="623"/>
      <c r="CE207" s="1669"/>
      <c r="CF207" s="623"/>
      <c r="CG207" s="623"/>
      <c r="CH207" s="623"/>
      <c r="CI207" s="623"/>
      <c r="CJ207" s="623"/>
      <c r="CK207" s="623"/>
      <c r="CL207" s="623"/>
      <c r="CM207" s="623"/>
      <c r="CN207" s="623"/>
      <c r="CO207" s="623"/>
      <c r="CP207" s="623"/>
      <c r="CQ207" s="623"/>
      <c r="CR207" s="623"/>
      <c r="CS207" s="623"/>
      <c r="CT207" s="623"/>
      <c r="CU207" s="623"/>
      <c r="CV207" s="623"/>
      <c r="CW207" s="623"/>
      <c r="CX207" s="623"/>
      <c r="CY207" s="817"/>
      <c r="CZ207" s="623"/>
      <c r="DA207" s="623"/>
      <c r="DB207" s="623"/>
      <c r="DC207" s="623"/>
      <c r="DD207" s="623"/>
      <c r="DE207" s="623"/>
      <c r="DF207" s="623"/>
      <c r="DG207" s="623"/>
      <c r="DH207" s="623"/>
      <c r="DI207" s="623"/>
      <c r="DJ207" s="623"/>
      <c r="DK207" s="623"/>
      <c r="DL207" s="623"/>
      <c r="DM207" s="623"/>
      <c r="DN207" s="623"/>
      <c r="DO207" s="623"/>
      <c r="DP207" s="623"/>
      <c r="DQ207" s="623"/>
      <c r="DR207" s="623"/>
      <c r="DS207" s="623"/>
      <c r="DT207" s="623"/>
      <c r="DU207" s="623"/>
      <c r="DV207" s="1675"/>
    </row>
    <row r="208" spans="1:256" s="678" customFormat="1" ht="17.25" hidden="1" customHeight="1">
      <c r="A208" s="1676"/>
      <c r="B208" s="550"/>
      <c r="C208" s="550"/>
      <c r="D208" s="550"/>
      <c r="E208" s="550"/>
      <c r="F208" s="550"/>
      <c r="G208" s="550"/>
      <c r="H208" s="550"/>
      <c r="I208" s="550"/>
      <c r="J208" s="676"/>
      <c r="K208" s="550"/>
      <c r="L208" s="550"/>
      <c r="M208" s="550"/>
      <c r="N208" s="550"/>
      <c r="O208" s="439"/>
      <c r="P208" s="439"/>
      <c r="Q208" s="674"/>
      <c r="R208" s="671"/>
      <c r="S208" s="671"/>
      <c r="T208" s="671"/>
      <c r="U208" s="671"/>
      <c r="V208" s="671"/>
      <c r="W208" s="671"/>
      <c r="X208" s="671"/>
      <c r="Y208" s="671"/>
      <c r="Z208" s="671"/>
      <c r="AA208" s="671"/>
      <c r="AB208" s="623"/>
      <c r="AC208" s="623"/>
      <c r="AD208" s="623"/>
      <c r="AE208" s="623"/>
      <c r="AF208" s="623"/>
      <c r="AG208" s="623"/>
      <c r="AH208" s="623"/>
      <c r="AI208" s="623"/>
      <c r="AJ208" s="623"/>
      <c r="AK208" s="623"/>
      <c r="AL208" s="623"/>
      <c r="AM208" s="623"/>
      <c r="AN208" s="623"/>
      <c r="AO208" s="623"/>
      <c r="AP208" s="623"/>
      <c r="AQ208" s="623"/>
      <c r="AR208" s="623"/>
      <c r="AS208" s="623"/>
      <c r="AT208" s="623"/>
      <c r="AU208" s="623"/>
      <c r="AV208" s="623"/>
      <c r="AW208" s="623"/>
      <c r="AX208" s="623"/>
      <c r="AY208" s="623"/>
      <c r="AZ208" s="623"/>
      <c r="BA208" s="623"/>
      <c r="BB208" s="623"/>
      <c r="BC208" s="623"/>
      <c r="BD208" s="623"/>
      <c r="BE208" s="623"/>
      <c r="BF208" s="623"/>
      <c r="BG208" s="623"/>
      <c r="BH208" s="623"/>
      <c r="BI208" s="623"/>
      <c r="BJ208" s="623"/>
      <c r="BK208" s="623"/>
      <c r="BL208" s="623"/>
      <c r="BM208" s="623"/>
      <c r="BN208" s="623"/>
      <c r="BO208" s="623"/>
      <c r="BP208" s="623"/>
      <c r="BQ208" s="623"/>
      <c r="BR208" s="623"/>
      <c r="BS208" s="623"/>
      <c r="BT208" s="623"/>
      <c r="BU208" s="623"/>
      <c r="BV208" s="623"/>
      <c r="BW208" s="623"/>
      <c r="BX208" s="623"/>
      <c r="BY208" s="623"/>
      <c r="BZ208" s="623"/>
      <c r="CA208" s="623"/>
      <c r="CB208" s="623"/>
      <c r="CC208" s="623"/>
      <c r="CD208" s="623"/>
      <c r="CE208" s="1669"/>
      <c r="CF208" s="623"/>
      <c r="CG208" s="623"/>
      <c r="CH208" s="623"/>
      <c r="CI208" s="623"/>
      <c r="CJ208" s="623"/>
      <c r="CK208" s="623"/>
      <c r="CL208" s="623"/>
      <c r="CM208" s="623"/>
      <c r="CN208" s="623"/>
      <c r="CO208" s="623"/>
      <c r="CP208" s="623"/>
      <c r="CQ208" s="623"/>
      <c r="CR208" s="623"/>
      <c r="CS208" s="623"/>
      <c r="CT208" s="623"/>
      <c r="CU208" s="623"/>
      <c r="CV208" s="623"/>
      <c r="CW208" s="623"/>
      <c r="CX208" s="623"/>
      <c r="CY208" s="817"/>
      <c r="CZ208" s="623"/>
      <c r="DA208" s="623"/>
      <c r="DB208" s="623"/>
      <c r="DC208" s="623"/>
      <c r="DD208" s="623"/>
      <c r="DE208" s="623"/>
      <c r="DF208" s="623"/>
      <c r="DG208" s="623"/>
      <c r="DH208" s="623"/>
      <c r="DI208" s="623"/>
      <c r="DJ208" s="623"/>
      <c r="DK208" s="623"/>
      <c r="DL208" s="623"/>
      <c r="DM208" s="623"/>
      <c r="DN208" s="623"/>
      <c r="DO208" s="623"/>
      <c r="DP208" s="623"/>
      <c r="DQ208" s="623"/>
      <c r="DR208" s="623"/>
      <c r="DS208" s="623"/>
      <c r="DT208" s="623"/>
      <c r="DU208" s="623"/>
      <c r="DV208" s="1675"/>
      <c r="DW208" s="530"/>
      <c r="DX208" s="530"/>
      <c r="DY208" s="530"/>
      <c r="DZ208" s="530"/>
      <c r="EA208" s="530"/>
      <c r="EB208" s="530"/>
      <c r="EC208" s="530"/>
      <c r="ED208" s="530"/>
      <c r="EE208" s="530"/>
      <c r="EF208" s="530"/>
      <c r="EG208" s="530"/>
      <c r="EH208" s="530"/>
      <c r="EI208" s="530"/>
      <c r="EJ208" s="530"/>
      <c r="EK208" s="530"/>
      <c r="EL208" s="530"/>
      <c r="EM208" s="530"/>
      <c r="EN208" s="530"/>
      <c r="EO208" s="530"/>
      <c r="EP208" s="530"/>
      <c r="EQ208" s="530"/>
      <c r="ER208" s="530"/>
      <c r="ES208" s="530"/>
      <c r="ET208" s="530"/>
      <c r="EU208" s="530"/>
      <c r="EV208" s="530"/>
      <c r="EW208" s="530"/>
      <c r="EX208" s="530"/>
      <c r="EY208" s="530"/>
      <c r="EZ208" s="530"/>
      <c r="FA208" s="530"/>
      <c r="FB208" s="530"/>
      <c r="FC208" s="530"/>
      <c r="FD208" s="530"/>
      <c r="FE208" s="530"/>
      <c r="FF208" s="530"/>
      <c r="FG208" s="530"/>
      <c r="FH208" s="530"/>
      <c r="FI208" s="530"/>
      <c r="FJ208" s="530"/>
      <c r="FK208" s="530"/>
      <c r="FL208" s="530"/>
      <c r="FM208" s="530"/>
      <c r="FN208" s="530"/>
      <c r="FO208" s="530"/>
      <c r="FP208" s="530"/>
      <c r="FQ208" s="530"/>
      <c r="FR208" s="530"/>
      <c r="FS208" s="530"/>
      <c r="FT208" s="530"/>
      <c r="FU208" s="530"/>
      <c r="FV208" s="530"/>
      <c r="FW208" s="530"/>
      <c r="FX208" s="530"/>
      <c r="FY208" s="530"/>
      <c r="FZ208" s="530"/>
      <c r="GA208" s="530"/>
      <c r="GB208" s="530"/>
      <c r="GC208" s="530"/>
      <c r="GD208" s="530"/>
      <c r="GE208" s="530"/>
      <c r="GF208" s="530"/>
      <c r="GG208" s="530"/>
      <c r="GH208" s="530"/>
      <c r="GI208" s="530"/>
      <c r="GJ208" s="530"/>
      <c r="GK208" s="530"/>
      <c r="GL208" s="530"/>
      <c r="GM208" s="530"/>
      <c r="GN208" s="530"/>
      <c r="GO208" s="530"/>
      <c r="GP208" s="530"/>
      <c r="GQ208" s="530"/>
      <c r="GR208" s="530"/>
      <c r="GS208" s="530"/>
      <c r="GT208" s="530"/>
      <c r="GU208" s="530"/>
      <c r="GV208" s="530"/>
      <c r="GW208" s="530"/>
      <c r="GX208" s="530"/>
      <c r="GY208" s="530"/>
      <c r="GZ208" s="530"/>
      <c r="HA208" s="530"/>
      <c r="HB208" s="530"/>
      <c r="HC208" s="530"/>
      <c r="HD208" s="530"/>
      <c r="HE208" s="530"/>
      <c r="HF208" s="530"/>
      <c r="HG208" s="530"/>
      <c r="HH208" s="530"/>
      <c r="HI208" s="530"/>
      <c r="HJ208" s="530"/>
      <c r="HK208" s="530"/>
      <c r="HL208" s="530"/>
      <c r="HM208" s="530"/>
      <c r="HN208" s="530"/>
      <c r="HO208" s="530"/>
      <c r="HP208" s="530"/>
      <c r="HQ208" s="530"/>
      <c r="HR208" s="530"/>
      <c r="HS208" s="530"/>
      <c r="HT208" s="530"/>
      <c r="HU208" s="530"/>
      <c r="HV208" s="530"/>
      <c r="HW208" s="530"/>
      <c r="HX208" s="530"/>
      <c r="HY208" s="530"/>
      <c r="HZ208" s="530"/>
      <c r="IA208" s="530"/>
      <c r="IB208" s="530"/>
      <c r="IC208" s="530"/>
      <c r="ID208" s="530"/>
      <c r="IE208" s="530"/>
      <c r="IF208" s="530"/>
      <c r="IG208" s="530"/>
      <c r="IH208" s="530"/>
      <c r="II208" s="530"/>
      <c r="IJ208" s="530"/>
      <c r="IK208" s="530"/>
      <c r="IL208" s="530"/>
      <c r="IM208" s="530"/>
      <c r="IN208" s="530"/>
      <c r="IO208" s="530"/>
      <c r="IP208" s="530"/>
      <c r="IQ208" s="530"/>
      <c r="IR208" s="530"/>
      <c r="IS208" s="530"/>
      <c r="IT208" s="530"/>
      <c r="IU208" s="530"/>
      <c r="IV208" s="530"/>
    </row>
    <row r="209" spans="1:256" s="717" customFormat="1" ht="18.75" hidden="1" customHeight="1">
      <c r="A209" s="1713"/>
      <c r="B209" s="1714"/>
      <c r="C209" s="1713"/>
      <c r="D209" s="1713"/>
      <c r="E209" s="1713"/>
      <c r="F209" s="1713"/>
      <c r="G209" s="1713"/>
      <c r="H209" s="1713"/>
      <c r="I209" s="1713"/>
      <c r="J209" s="1713"/>
      <c r="K209" s="1713"/>
      <c r="L209" s="1713"/>
      <c r="M209" s="1713"/>
      <c r="N209" s="1713"/>
      <c r="O209" s="1713"/>
      <c r="P209" s="1713"/>
      <c r="Q209" s="1713"/>
      <c r="R209" s="1713"/>
      <c r="S209" s="1713"/>
      <c r="T209" s="1713"/>
      <c r="U209" s="1713"/>
      <c r="V209" s="1713"/>
      <c r="W209" s="1713"/>
      <c r="X209" s="1713"/>
      <c r="Y209" s="1713"/>
      <c r="Z209" s="1713"/>
      <c r="AA209" s="1713"/>
      <c r="AB209" s="1713"/>
      <c r="AC209" s="1713"/>
      <c r="AD209" s="1713"/>
      <c r="AE209" s="1713"/>
      <c r="AF209" s="1713"/>
      <c r="AG209" s="1713"/>
      <c r="AH209" s="1713"/>
      <c r="AI209" s="1713"/>
      <c r="AJ209" s="1713"/>
      <c r="AK209" s="1713"/>
      <c r="AL209" s="1713"/>
      <c r="AM209" s="1713"/>
      <c r="AN209" s="1713"/>
      <c r="AO209" s="1713"/>
      <c r="AP209" s="1713"/>
      <c r="AQ209" s="1713"/>
      <c r="AR209" s="1713"/>
      <c r="AS209" s="1713"/>
      <c r="AT209" s="1713"/>
      <c r="AU209" s="1713"/>
      <c r="AV209" s="1713"/>
      <c r="AW209" s="1713"/>
      <c r="AX209" s="1713"/>
      <c r="AY209" s="1713"/>
      <c r="AZ209" s="1713"/>
      <c r="BA209" s="1713"/>
      <c r="BB209" s="1713"/>
      <c r="BC209" s="1713"/>
      <c r="BD209" s="1713"/>
      <c r="BE209" s="1713"/>
      <c r="BF209" s="1713"/>
      <c r="BG209" s="1713"/>
      <c r="BH209" s="1713"/>
      <c r="BI209" s="1713"/>
      <c r="BJ209" s="1713"/>
      <c r="BK209" s="1713"/>
      <c r="BL209" s="1713"/>
      <c r="BM209" s="1713"/>
      <c r="BN209" s="1713"/>
      <c r="BO209" s="1713"/>
      <c r="BP209" s="1713"/>
      <c r="BQ209" s="1713"/>
      <c r="BR209" s="1713"/>
      <c r="BS209" s="1713"/>
      <c r="BT209" s="1713"/>
      <c r="BU209" s="1713"/>
      <c r="BV209" s="1713"/>
      <c r="BW209" s="1713"/>
      <c r="BX209" s="1713"/>
      <c r="BY209" s="1713"/>
      <c r="BZ209" s="1713"/>
      <c r="CA209" s="1713"/>
      <c r="CB209" s="1713"/>
      <c r="CC209" s="1713"/>
      <c r="CD209" s="1713"/>
      <c r="CE209" s="1669"/>
      <c r="CF209" s="1713"/>
      <c r="CG209" s="1713"/>
      <c r="CH209" s="1713"/>
      <c r="CI209" s="1713"/>
      <c r="CJ209" s="1713"/>
      <c r="CK209" s="1713"/>
      <c r="CL209" s="1713"/>
      <c r="CM209" s="1713"/>
      <c r="CN209" s="1713"/>
      <c r="CO209" s="1713"/>
      <c r="CP209" s="1713"/>
      <c r="CQ209" s="1713"/>
      <c r="CR209" s="1713"/>
      <c r="CS209" s="1713"/>
      <c r="CT209" s="1713"/>
      <c r="CU209" s="1713"/>
      <c r="CV209" s="1713"/>
      <c r="CW209" s="1713"/>
      <c r="CX209" s="1713"/>
      <c r="CY209" s="1680"/>
      <c r="CZ209" s="1713"/>
      <c r="DA209" s="1713"/>
      <c r="DB209" s="1713"/>
      <c r="DC209" s="1713"/>
      <c r="DD209" s="1713"/>
      <c r="DE209" s="1713"/>
      <c r="DF209" s="1713"/>
      <c r="DG209" s="1713"/>
      <c r="DH209" s="1713"/>
      <c r="DI209" s="1713"/>
      <c r="DJ209" s="1713"/>
      <c r="DK209" s="1713"/>
      <c r="DL209" s="1713"/>
      <c r="DM209" s="1713"/>
      <c r="DN209" s="1713"/>
      <c r="DO209" s="1713"/>
      <c r="DP209" s="1713"/>
      <c r="DQ209" s="1713"/>
      <c r="DR209" s="1713"/>
      <c r="DS209" s="1713"/>
      <c r="DT209" s="1713"/>
      <c r="DU209" s="1715"/>
      <c r="DV209" s="1716"/>
    </row>
    <row r="210" spans="1:256" s="545" customFormat="1" ht="18" hidden="1" customHeight="1">
      <c r="A210" s="1685"/>
      <c r="B210" s="1023"/>
      <c r="C210" s="1023"/>
      <c r="D210" s="1023"/>
      <c r="E210" s="1023"/>
      <c r="F210" s="1023"/>
      <c r="G210" s="1023"/>
      <c r="H210" s="1023"/>
      <c r="I210" s="1023"/>
      <c r="J210" s="1023"/>
      <c r="K210" s="1023"/>
      <c r="L210" s="1023"/>
      <c r="M210" s="1023"/>
      <c r="N210" s="1023"/>
      <c r="O210" s="1023"/>
      <c r="P210" s="1023"/>
      <c r="Q210" s="1023"/>
      <c r="R210" s="1023"/>
      <c r="S210" s="1023"/>
      <c r="T210" s="1023"/>
      <c r="U210" s="1023"/>
      <c r="V210" s="1023"/>
      <c r="W210" s="1023"/>
      <c r="X210" s="1023"/>
      <c r="Y210" s="1023"/>
      <c r="Z210" s="1023"/>
      <c r="AA210" s="1023"/>
      <c r="AB210" s="1023"/>
      <c r="AC210" s="1023"/>
      <c r="AD210" s="1023"/>
      <c r="AE210" s="1023"/>
      <c r="AF210" s="1023"/>
      <c r="AG210" s="1023"/>
      <c r="AH210" s="1023"/>
      <c r="AI210" s="1023"/>
      <c r="AJ210" s="1023"/>
      <c r="AK210" s="1023"/>
      <c r="AL210" s="1023"/>
      <c r="AM210" s="1023"/>
      <c r="AN210" s="1023"/>
      <c r="AO210" s="1023"/>
      <c r="AP210" s="1023"/>
      <c r="AQ210" s="1023"/>
      <c r="AR210" s="1023"/>
      <c r="AS210" s="1023"/>
      <c r="AT210" s="1023"/>
      <c r="AU210" s="1023"/>
      <c r="AV210" s="1023"/>
      <c r="AW210" s="1023"/>
      <c r="AX210" s="1023"/>
      <c r="AY210" s="1023"/>
      <c r="AZ210" s="1023"/>
      <c r="BA210" s="1023"/>
      <c r="BB210" s="1023"/>
      <c r="BC210" s="1023"/>
      <c r="BD210" s="1023"/>
      <c r="BE210" s="1023"/>
      <c r="BF210" s="1023"/>
      <c r="BG210" s="1023"/>
      <c r="BH210" s="1023"/>
      <c r="BI210" s="1023"/>
      <c r="BJ210" s="1023"/>
      <c r="BK210" s="1023"/>
      <c r="BL210" s="1023"/>
      <c r="BM210" s="1023"/>
      <c r="BN210" s="1023"/>
      <c r="BO210" s="1023"/>
      <c r="BP210" s="1023"/>
      <c r="BQ210" s="1023"/>
      <c r="BR210" s="1023"/>
      <c r="BS210" s="1023"/>
      <c r="BT210" s="1023"/>
      <c r="BU210" s="1023"/>
      <c r="BV210" s="1023"/>
      <c r="BW210" s="1023"/>
      <c r="BX210" s="1023"/>
      <c r="BY210" s="1023"/>
      <c r="BZ210" s="1023"/>
      <c r="CA210" s="1023"/>
      <c r="CB210" s="1023"/>
      <c r="CC210" s="1023"/>
      <c r="CD210" s="1023"/>
      <c r="CE210" s="1669"/>
      <c r="CF210" s="1023"/>
      <c r="CG210" s="1023"/>
      <c r="CH210" s="1023"/>
      <c r="CI210" s="1023"/>
      <c r="CJ210" s="1023"/>
      <c r="CK210" s="1023"/>
      <c r="CL210" s="1023"/>
      <c r="CM210" s="1023"/>
      <c r="CN210" s="1023"/>
      <c r="CO210" s="1023"/>
      <c r="CP210" s="1023"/>
      <c r="CQ210" s="1023"/>
      <c r="CR210" s="1023"/>
      <c r="CS210" s="1023"/>
      <c r="CT210" s="1023"/>
      <c r="CU210" s="1023"/>
      <c r="CV210" s="1023"/>
      <c r="CW210" s="1023"/>
      <c r="CX210" s="1023"/>
      <c r="CY210" s="1683"/>
      <c r="CZ210" s="1023"/>
      <c r="DA210" s="1023"/>
      <c r="DB210" s="1023"/>
      <c r="DC210" s="1023"/>
      <c r="DD210" s="1023"/>
      <c r="DE210" s="1023"/>
      <c r="DF210" s="1023"/>
      <c r="DG210" s="1023"/>
      <c r="DH210" s="1023"/>
      <c r="DI210" s="1023"/>
      <c r="DJ210" s="1023"/>
      <c r="DK210" s="1023"/>
      <c r="DL210" s="1023"/>
      <c r="DM210" s="1023"/>
      <c r="DN210" s="1023"/>
      <c r="DO210" s="1023"/>
      <c r="DP210" s="1023"/>
      <c r="DQ210" s="1023"/>
      <c r="DR210" s="1023"/>
      <c r="DS210" s="1023"/>
      <c r="DT210" s="1023"/>
      <c r="DU210" s="1023"/>
      <c r="DV210" s="1684"/>
      <c r="DW210" s="530"/>
      <c r="DX210" s="530"/>
      <c r="DY210" s="530"/>
      <c r="DZ210" s="530"/>
      <c r="EA210" s="530"/>
      <c r="EB210" s="530"/>
      <c r="EC210" s="530"/>
      <c r="ED210" s="530"/>
      <c r="EE210" s="530"/>
      <c r="EF210" s="530"/>
      <c r="EG210" s="530"/>
      <c r="EH210" s="530"/>
      <c r="EI210" s="530"/>
      <c r="EJ210" s="530"/>
      <c r="EK210" s="530"/>
      <c r="EL210" s="530"/>
      <c r="EM210" s="530"/>
      <c r="EN210" s="530"/>
      <c r="EO210" s="530"/>
      <c r="EP210" s="530"/>
      <c r="EQ210" s="530"/>
      <c r="ER210" s="530"/>
      <c r="ES210" s="530"/>
      <c r="ET210" s="530"/>
      <c r="EU210" s="530"/>
      <c r="EV210" s="530"/>
      <c r="EW210" s="530"/>
      <c r="EX210" s="530"/>
      <c r="EY210" s="530"/>
      <c r="EZ210" s="530"/>
      <c r="FA210" s="530"/>
      <c r="FB210" s="530"/>
      <c r="FC210" s="530"/>
      <c r="FD210" s="530"/>
      <c r="FE210" s="530"/>
      <c r="FF210" s="530"/>
      <c r="FG210" s="530"/>
      <c r="FH210" s="530"/>
      <c r="FI210" s="530"/>
      <c r="FJ210" s="530"/>
      <c r="FK210" s="530"/>
      <c r="FL210" s="530"/>
      <c r="FM210" s="530"/>
      <c r="FN210" s="530"/>
      <c r="FO210" s="530"/>
      <c r="FP210" s="530"/>
      <c r="FQ210" s="530"/>
      <c r="FR210" s="530"/>
      <c r="FS210" s="530"/>
      <c r="FT210" s="530"/>
      <c r="FU210" s="530"/>
      <c r="FV210" s="530"/>
      <c r="FW210" s="530"/>
      <c r="FX210" s="530"/>
      <c r="FY210" s="530"/>
      <c r="FZ210" s="530"/>
      <c r="GA210" s="530"/>
      <c r="GB210" s="530"/>
      <c r="GC210" s="530"/>
      <c r="GD210" s="530"/>
      <c r="GE210" s="530"/>
      <c r="GF210" s="530"/>
      <c r="GG210" s="530"/>
      <c r="GH210" s="530"/>
      <c r="GI210" s="530"/>
      <c r="GJ210" s="530"/>
      <c r="GK210" s="530"/>
      <c r="GL210" s="530"/>
      <c r="GM210" s="530"/>
      <c r="GN210" s="530"/>
      <c r="GO210" s="530"/>
      <c r="GP210" s="530"/>
      <c r="GQ210" s="530"/>
      <c r="GR210" s="530"/>
      <c r="GS210" s="530"/>
      <c r="GT210" s="530"/>
      <c r="GU210" s="530"/>
      <c r="GV210" s="530"/>
      <c r="GW210" s="530"/>
      <c r="GX210" s="530"/>
      <c r="GY210" s="530"/>
      <c r="GZ210" s="530"/>
      <c r="HA210" s="530"/>
      <c r="HB210" s="530"/>
      <c r="HC210" s="530"/>
      <c r="HD210" s="530"/>
      <c r="HE210" s="530"/>
      <c r="HF210" s="530"/>
      <c r="HG210" s="530"/>
      <c r="HH210" s="530"/>
      <c r="HI210" s="530"/>
      <c r="HJ210" s="530"/>
      <c r="HK210" s="530"/>
      <c r="HL210" s="530"/>
      <c r="HM210" s="530"/>
      <c r="HN210" s="530"/>
      <c r="HO210" s="530"/>
      <c r="HP210" s="530"/>
      <c r="HQ210" s="530"/>
      <c r="HR210" s="530"/>
      <c r="HS210" s="530"/>
      <c r="HT210" s="530"/>
      <c r="HU210" s="530"/>
      <c r="HV210" s="530"/>
      <c r="HW210" s="530"/>
      <c r="HX210" s="530"/>
      <c r="HY210" s="530"/>
      <c r="HZ210" s="530"/>
      <c r="IA210" s="530"/>
      <c r="IB210" s="530"/>
      <c r="IC210" s="530"/>
      <c r="ID210" s="530"/>
      <c r="IE210" s="530"/>
      <c r="IF210" s="530"/>
      <c r="IG210" s="530"/>
      <c r="IH210" s="530"/>
      <c r="II210" s="530"/>
      <c r="IJ210" s="530"/>
      <c r="IK210" s="530"/>
      <c r="IL210" s="530"/>
      <c r="IM210" s="530"/>
      <c r="IN210" s="530"/>
      <c r="IO210" s="530"/>
      <c r="IP210" s="530"/>
      <c r="IQ210" s="530"/>
      <c r="IR210" s="530"/>
      <c r="IS210" s="530"/>
      <c r="IT210" s="530"/>
      <c r="IU210" s="530"/>
      <c r="IV210" s="530"/>
    </row>
    <row r="211" spans="1:256" ht="17.25" hidden="1" customHeight="1">
      <c r="A211" s="1676"/>
      <c r="B211" s="550"/>
      <c r="C211" s="550"/>
      <c r="D211" s="550"/>
      <c r="E211" s="550"/>
      <c r="F211" s="550"/>
      <c r="G211" s="550"/>
      <c r="H211" s="550"/>
      <c r="I211" s="550"/>
      <c r="J211" s="550"/>
      <c r="K211" s="550"/>
      <c r="L211" s="550"/>
      <c r="M211" s="550"/>
      <c r="N211" s="550"/>
      <c r="O211" s="439"/>
      <c r="P211" s="439"/>
      <c r="Q211" s="439"/>
      <c r="R211" s="623"/>
      <c r="S211" s="623"/>
      <c r="T211" s="623"/>
      <c r="U211" s="623"/>
      <c r="V211" s="623"/>
      <c r="W211" s="623"/>
      <c r="X211" s="623"/>
      <c r="Y211" s="623"/>
      <c r="Z211" s="623"/>
      <c r="AA211" s="623"/>
      <c r="AB211" s="623"/>
      <c r="AC211" s="623"/>
      <c r="AD211" s="623"/>
      <c r="AE211" s="623"/>
      <c r="AF211" s="623"/>
      <c r="AG211" s="623"/>
      <c r="AH211" s="623"/>
      <c r="AI211" s="623"/>
      <c r="AJ211" s="623"/>
      <c r="AK211" s="623"/>
      <c r="AL211" s="623"/>
      <c r="AM211" s="623"/>
      <c r="AN211" s="623"/>
      <c r="AO211" s="623"/>
      <c r="AP211" s="623"/>
      <c r="AQ211" s="623"/>
      <c r="AR211" s="623"/>
      <c r="AS211" s="623"/>
      <c r="AT211" s="623"/>
      <c r="AU211" s="623"/>
      <c r="AV211" s="623"/>
      <c r="AW211" s="623"/>
      <c r="AX211" s="623"/>
      <c r="AY211" s="623"/>
      <c r="AZ211" s="623"/>
      <c r="BA211" s="623"/>
      <c r="BB211" s="623"/>
      <c r="BC211" s="623"/>
      <c r="BD211" s="623"/>
      <c r="BE211" s="623"/>
      <c r="BF211" s="623"/>
      <c r="BG211" s="623"/>
      <c r="BH211" s="623"/>
      <c r="BI211" s="623"/>
      <c r="BJ211" s="623"/>
      <c r="BK211" s="623"/>
      <c r="BL211" s="623"/>
      <c r="BM211" s="623"/>
      <c r="BN211" s="623"/>
      <c r="BO211" s="623"/>
      <c r="BP211" s="623"/>
      <c r="BQ211" s="623"/>
      <c r="BR211" s="623"/>
      <c r="BS211" s="623"/>
      <c r="BT211" s="623"/>
      <c r="BU211" s="623"/>
      <c r="BV211" s="623"/>
      <c r="BW211" s="623"/>
      <c r="BX211" s="623"/>
      <c r="BY211" s="623"/>
      <c r="BZ211" s="623"/>
      <c r="CA211" s="623"/>
      <c r="CB211" s="623"/>
      <c r="CC211" s="623"/>
      <c r="CD211" s="623"/>
      <c r="CE211" s="1669"/>
      <c r="CF211" s="623"/>
      <c r="CG211" s="623"/>
      <c r="CH211" s="623"/>
      <c r="CI211" s="623"/>
      <c r="CJ211" s="623"/>
      <c r="CK211" s="623"/>
      <c r="CL211" s="623"/>
      <c r="CM211" s="623"/>
      <c r="CN211" s="623"/>
      <c r="CO211" s="623"/>
      <c r="CP211" s="623"/>
      <c r="CQ211" s="623"/>
      <c r="CR211" s="623"/>
      <c r="CS211" s="623"/>
      <c r="CT211" s="623"/>
      <c r="CU211" s="623"/>
      <c r="CV211" s="623"/>
      <c r="CW211" s="623"/>
      <c r="CX211" s="623"/>
      <c r="CY211" s="817"/>
      <c r="CZ211" s="623"/>
      <c r="DA211" s="623"/>
      <c r="DB211" s="623"/>
      <c r="DC211" s="623"/>
      <c r="DD211" s="623"/>
      <c r="DE211" s="623"/>
      <c r="DF211" s="623"/>
      <c r="DG211" s="623"/>
      <c r="DH211" s="623"/>
      <c r="DI211" s="623"/>
      <c r="DJ211" s="623"/>
      <c r="DK211" s="623"/>
      <c r="DL211" s="623"/>
      <c r="DM211" s="623"/>
      <c r="DN211" s="623"/>
      <c r="DO211" s="623"/>
      <c r="DP211" s="623"/>
      <c r="DQ211" s="623"/>
      <c r="DR211" s="623"/>
      <c r="DS211" s="623"/>
      <c r="DT211" s="623"/>
      <c r="DU211" s="623"/>
      <c r="DV211" s="1675"/>
      <c r="IR211" s="542"/>
      <c r="IS211" s="542"/>
      <c r="IT211" s="542"/>
      <c r="IU211" s="542"/>
      <c r="IV211" s="542"/>
    </row>
    <row r="212" spans="1:256" ht="17.25" hidden="1" customHeight="1">
      <c r="A212" s="1676"/>
      <c r="B212" s="550"/>
      <c r="C212" s="550"/>
      <c r="D212" s="550"/>
      <c r="E212" s="550"/>
      <c r="F212" s="550"/>
      <c r="G212" s="550"/>
      <c r="H212" s="550"/>
      <c r="I212" s="550"/>
      <c r="J212" s="550"/>
      <c r="K212" s="550"/>
      <c r="L212" s="550"/>
      <c r="M212" s="550"/>
      <c r="N212" s="550"/>
      <c r="O212" s="439"/>
      <c r="P212" s="439"/>
      <c r="Q212" s="674"/>
      <c r="R212" s="671"/>
      <c r="S212" s="671"/>
      <c r="T212" s="671"/>
      <c r="U212" s="671"/>
      <c r="V212" s="671"/>
      <c r="W212" s="671"/>
      <c r="X212" s="671"/>
      <c r="Y212" s="671"/>
      <c r="Z212" s="671"/>
      <c r="AA212" s="671"/>
      <c r="AB212" s="623"/>
      <c r="AC212" s="623"/>
      <c r="AD212" s="623"/>
      <c r="AE212" s="623"/>
      <c r="AF212" s="623"/>
      <c r="AG212" s="623"/>
      <c r="AH212" s="623"/>
      <c r="AI212" s="623"/>
      <c r="AJ212" s="623"/>
      <c r="AK212" s="623"/>
      <c r="AL212" s="623"/>
      <c r="AM212" s="623"/>
      <c r="AN212" s="623"/>
      <c r="AO212" s="623"/>
      <c r="AP212" s="623"/>
      <c r="AQ212" s="623"/>
      <c r="AR212" s="623"/>
      <c r="AS212" s="623"/>
      <c r="AT212" s="623"/>
      <c r="AU212" s="623"/>
      <c r="AV212" s="623"/>
      <c r="AW212" s="623"/>
      <c r="AX212" s="623"/>
      <c r="AY212" s="623"/>
      <c r="AZ212" s="623"/>
      <c r="BA212" s="623"/>
      <c r="BB212" s="623"/>
      <c r="BC212" s="623"/>
      <c r="BD212" s="623"/>
      <c r="BE212" s="623"/>
      <c r="BF212" s="623"/>
      <c r="BG212" s="623"/>
      <c r="BH212" s="623"/>
      <c r="BI212" s="623"/>
      <c r="BJ212" s="623"/>
      <c r="BK212" s="623"/>
      <c r="BL212" s="623"/>
      <c r="BM212" s="623"/>
      <c r="BN212" s="623"/>
      <c r="BO212" s="623"/>
      <c r="BP212" s="623"/>
      <c r="BQ212" s="623"/>
      <c r="BR212" s="623"/>
      <c r="BS212" s="623"/>
      <c r="BT212" s="623"/>
      <c r="BU212" s="623"/>
      <c r="BV212" s="623"/>
      <c r="BW212" s="623"/>
      <c r="BX212" s="623"/>
      <c r="BY212" s="623"/>
      <c r="BZ212" s="623"/>
      <c r="CA212" s="623"/>
      <c r="CB212" s="623"/>
      <c r="CC212" s="623"/>
      <c r="CD212" s="623"/>
      <c r="CE212" s="1669"/>
      <c r="CF212" s="623"/>
      <c r="CG212" s="623"/>
      <c r="CH212" s="623"/>
      <c r="CI212" s="623"/>
      <c r="CJ212" s="623"/>
      <c r="CK212" s="623"/>
      <c r="CL212" s="623"/>
      <c r="CM212" s="623"/>
      <c r="CN212" s="623"/>
      <c r="CO212" s="623"/>
      <c r="CP212" s="623"/>
      <c r="CQ212" s="623"/>
      <c r="CR212" s="623"/>
      <c r="CS212" s="623"/>
      <c r="CT212" s="623"/>
      <c r="CU212" s="623"/>
      <c r="CV212" s="623"/>
      <c r="CW212" s="623"/>
      <c r="CX212" s="623"/>
      <c r="CY212" s="817"/>
      <c r="CZ212" s="623"/>
      <c r="DA212" s="623"/>
      <c r="DB212" s="623"/>
      <c r="DC212" s="623"/>
      <c r="DD212" s="623"/>
      <c r="DE212" s="623"/>
      <c r="DF212" s="623"/>
      <c r="DG212" s="623"/>
      <c r="DH212" s="623"/>
      <c r="DI212" s="623"/>
      <c r="DJ212" s="623"/>
      <c r="DK212" s="623"/>
      <c r="DL212" s="623"/>
      <c r="DM212" s="623"/>
      <c r="DN212" s="623"/>
      <c r="DO212" s="623"/>
      <c r="DP212" s="623"/>
      <c r="DQ212" s="623"/>
      <c r="DR212" s="623"/>
      <c r="DS212" s="623"/>
      <c r="DT212" s="623"/>
      <c r="DU212" s="623"/>
      <c r="DV212" s="1675"/>
    </row>
    <row r="213" spans="1:256" ht="17.25" hidden="1" customHeight="1">
      <c r="A213" s="1676"/>
      <c r="B213" s="550"/>
      <c r="C213" s="550"/>
      <c r="D213" s="550"/>
      <c r="E213" s="550"/>
      <c r="F213" s="550"/>
      <c r="G213" s="550"/>
      <c r="H213" s="550"/>
      <c r="I213" s="550"/>
      <c r="J213" s="550"/>
      <c r="K213" s="550"/>
      <c r="L213" s="550"/>
      <c r="M213" s="550"/>
      <c r="N213" s="550"/>
      <c r="O213" s="439"/>
      <c r="P213" s="439"/>
      <c r="Q213" s="674"/>
      <c r="R213" s="671"/>
      <c r="S213" s="671"/>
      <c r="T213" s="671"/>
      <c r="U213" s="671"/>
      <c r="V213" s="671"/>
      <c r="W213" s="671"/>
      <c r="X213" s="671"/>
      <c r="Y213" s="671"/>
      <c r="Z213" s="671"/>
      <c r="AA213" s="671"/>
      <c r="AB213" s="623"/>
      <c r="AC213" s="623"/>
      <c r="AD213" s="623"/>
      <c r="AE213" s="623"/>
      <c r="AF213" s="623"/>
      <c r="AG213" s="623"/>
      <c r="AH213" s="623"/>
      <c r="AI213" s="623"/>
      <c r="AJ213" s="623"/>
      <c r="AK213" s="623"/>
      <c r="AL213" s="623"/>
      <c r="AM213" s="623"/>
      <c r="AN213" s="623"/>
      <c r="AO213" s="623"/>
      <c r="AP213" s="623"/>
      <c r="AQ213" s="623"/>
      <c r="AR213" s="623"/>
      <c r="AS213" s="623"/>
      <c r="AT213" s="623"/>
      <c r="AU213" s="623"/>
      <c r="AV213" s="623"/>
      <c r="AW213" s="623"/>
      <c r="AX213" s="623"/>
      <c r="AY213" s="623"/>
      <c r="AZ213" s="623"/>
      <c r="BA213" s="623"/>
      <c r="BB213" s="623"/>
      <c r="BC213" s="623"/>
      <c r="BD213" s="623"/>
      <c r="BE213" s="623"/>
      <c r="BF213" s="623"/>
      <c r="BG213" s="623"/>
      <c r="BH213" s="623"/>
      <c r="BI213" s="623"/>
      <c r="BJ213" s="623"/>
      <c r="BK213" s="623"/>
      <c r="BL213" s="623"/>
      <c r="BM213" s="623"/>
      <c r="BN213" s="623"/>
      <c r="BO213" s="623"/>
      <c r="BP213" s="623"/>
      <c r="BQ213" s="623"/>
      <c r="BR213" s="623"/>
      <c r="BS213" s="623"/>
      <c r="BT213" s="623"/>
      <c r="BU213" s="623"/>
      <c r="BV213" s="623"/>
      <c r="BW213" s="623"/>
      <c r="BX213" s="623"/>
      <c r="BY213" s="623"/>
      <c r="BZ213" s="623"/>
      <c r="CA213" s="623"/>
      <c r="CB213" s="623"/>
      <c r="CC213" s="623"/>
      <c r="CD213" s="623"/>
      <c r="CE213" s="1669"/>
      <c r="CF213" s="623"/>
      <c r="CG213" s="623"/>
      <c r="CH213" s="623"/>
      <c r="CI213" s="623"/>
      <c r="CJ213" s="623"/>
      <c r="CK213" s="623"/>
      <c r="CL213" s="623"/>
      <c r="CM213" s="623"/>
      <c r="CN213" s="623"/>
      <c r="CO213" s="623"/>
      <c r="CP213" s="623"/>
      <c r="CQ213" s="623"/>
      <c r="CR213" s="623"/>
      <c r="CS213" s="623"/>
      <c r="CT213" s="623"/>
      <c r="CU213" s="623"/>
      <c r="CV213" s="623"/>
      <c r="CW213" s="623"/>
      <c r="CX213" s="623"/>
      <c r="CY213" s="817"/>
      <c r="CZ213" s="623"/>
      <c r="DA213" s="623"/>
      <c r="DB213" s="623"/>
      <c r="DC213" s="623"/>
      <c r="DD213" s="623"/>
      <c r="DE213" s="623"/>
      <c r="DF213" s="623"/>
      <c r="DG213" s="623"/>
      <c r="DH213" s="623"/>
      <c r="DI213" s="623"/>
      <c r="DJ213" s="623"/>
      <c r="DK213" s="623"/>
      <c r="DL213" s="623"/>
      <c r="DM213" s="623"/>
      <c r="DN213" s="623"/>
      <c r="DO213" s="623"/>
      <c r="DP213" s="623"/>
      <c r="DQ213" s="623"/>
      <c r="DR213" s="623"/>
      <c r="DS213" s="623"/>
      <c r="DT213" s="623"/>
      <c r="DU213" s="623"/>
      <c r="DV213" s="1675"/>
    </row>
    <row r="214" spans="1:256" ht="17.25" hidden="1" customHeight="1">
      <c r="A214" s="1676"/>
      <c r="B214" s="550"/>
      <c r="C214" s="550"/>
      <c r="D214" s="550"/>
      <c r="E214" s="550"/>
      <c r="F214" s="550"/>
      <c r="G214" s="550"/>
      <c r="H214" s="550"/>
      <c r="I214" s="550"/>
      <c r="J214" s="550"/>
      <c r="K214" s="550"/>
      <c r="L214" s="550"/>
      <c r="M214" s="550"/>
      <c r="N214" s="550"/>
      <c r="O214" s="439"/>
      <c r="P214" s="439"/>
      <c r="Q214" s="674"/>
      <c r="R214" s="671"/>
      <c r="S214" s="671"/>
      <c r="T214" s="671"/>
      <c r="U214" s="671"/>
      <c r="V214" s="671"/>
      <c r="W214" s="671"/>
      <c r="X214" s="671"/>
      <c r="Y214" s="671"/>
      <c r="Z214" s="671"/>
      <c r="AA214" s="671"/>
      <c r="AB214" s="623"/>
      <c r="AC214" s="623"/>
      <c r="AD214" s="623"/>
      <c r="AE214" s="623"/>
      <c r="AF214" s="623"/>
      <c r="AG214" s="623"/>
      <c r="AH214" s="623"/>
      <c r="AI214" s="623"/>
      <c r="AJ214" s="623"/>
      <c r="AK214" s="623"/>
      <c r="AL214" s="623"/>
      <c r="AM214" s="623"/>
      <c r="AN214" s="623"/>
      <c r="AO214" s="623"/>
      <c r="AP214" s="623"/>
      <c r="AQ214" s="623"/>
      <c r="AR214" s="623"/>
      <c r="AS214" s="623"/>
      <c r="AT214" s="623"/>
      <c r="AU214" s="623"/>
      <c r="AV214" s="623"/>
      <c r="AW214" s="623"/>
      <c r="AX214" s="623"/>
      <c r="AY214" s="623"/>
      <c r="AZ214" s="623"/>
      <c r="BA214" s="623"/>
      <c r="BB214" s="623"/>
      <c r="BC214" s="623"/>
      <c r="BD214" s="623"/>
      <c r="BE214" s="623"/>
      <c r="BF214" s="623"/>
      <c r="BG214" s="623"/>
      <c r="BH214" s="623"/>
      <c r="BI214" s="623"/>
      <c r="BJ214" s="623"/>
      <c r="BK214" s="623"/>
      <c r="BL214" s="623"/>
      <c r="BM214" s="623"/>
      <c r="BN214" s="623"/>
      <c r="BO214" s="623"/>
      <c r="BP214" s="623"/>
      <c r="BQ214" s="623"/>
      <c r="BR214" s="623"/>
      <c r="BS214" s="623"/>
      <c r="BT214" s="623"/>
      <c r="BU214" s="623"/>
      <c r="BV214" s="623"/>
      <c r="BW214" s="623"/>
      <c r="BX214" s="623"/>
      <c r="BY214" s="623"/>
      <c r="BZ214" s="623"/>
      <c r="CA214" s="623"/>
      <c r="CB214" s="623"/>
      <c r="CC214" s="623"/>
      <c r="CD214" s="623"/>
      <c r="CE214" s="1669"/>
      <c r="CF214" s="623"/>
      <c r="CG214" s="623"/>
      <c r="CH214" s="623"/>
      <c r="CI214" s="623"/>
      <c r="CJ214" s="623"/>
      <c r="CK214" s="623"/>
      <c r="CL214" s="623"/>
      <c r="CM214" s="623"/>
      <c r="CN214" s="623"/>
      <c r="CO214" s="623"/>
      <c r="CP214" s="623"/>
      <c r="CQ214" s="623"/>
      <c r="CR214" s="623"/>
      <c r="CS214" s="623"/>
      <c r="CT214" s="623"/>
      <c r="CU214" s="623"/>
      <c r="CV214" s="623"/>
      <c r="CW214" s="623"/>
      <c r="CX214" s="623"/>
      <c r="CY214" s="817"/>
      <c r="CZ214" s="623"/>
      <c r="DA214" s="623"/>
      <c r="DB214" s="623"/>
      <c r="DC214" s="623"/>
      <c r="DD214" s="623"/>
      <c r="DE214" s="623"/>
      <c r="DF214" s="623"/>
      <c r="DG214" s="623"/>
      <c r="DH214" s="623"/>
      <c r="DI214" s="623"/>
      <c r="DJ214" s="623"/>
      <c r="DK214" s="623"/>
      <c r="DL214" s="623"/>
      <c r="DM214" s="623"/>
      <c r="DN214" s="623"/>
      <c r="DO214" s="623"/>
      <c r="DP214" s="623"/>
      <c r="DQ214" s="623"/>
      <c r="DR214" s="623"/>
      <c r="DS214" s="623"/>
      <c r="DT214" s="623"/>
      <c r="DU214" s="623"/>
      <c r="DV214" s="1675"/>
    </row>
    <row r="215" spans="1:256" s="678" customFormat="1" ht="17.25" hidden="1" customHeight="1">
      <c r="A215" s="1676"/>
      <c r="B215" s="550"/>
      <c r="C215" s="550"/>
      <c r="D215" s="550"/>
      <c r="E215" s="550"/>
      <c r="F215" s="550"/>
      <c r="G215" s="550"/>
      <c r="H215" s="550"/>
      <c r="I215" s="550"/>
      <c r="J215" s="676"/>
      <c r="K215" s="550"/>
      <c r="L215" s="550"/>
      <c r="M215" s="550"/>
      <c r="N215" s="550"/>
      <c r="O215" s="439"/>
      <c r="P215" s="439"/>
      <c r="Q215" s="674"/>
      <c r="R215" s="671"/>
      <c r="S215" s="671"/>
      <c r="T215" s="671"/>
      <c r="U215" s="671"/>
      <c r="V215" s="671"/>
      <c r="W215" s="671"/>
      <c r="X215" s="671"/>
      <c r="Y215" s="671"/>
      <c r="Z215" s="671"/>
      <c r="AA215" s="671"/>
      <c r="AB215" s="623"/>
      <c r="AC215" s="623"/>
      <c r="AD215" s="623"/>
      <c r="AE215" s="623"/>
      <c r="AF215" s="623"/>
      <c r="AG215" s="623"/>
      <c r="AH215" s="623"/>
      <c r="AI215" s="623"/>
      <c r="AJ215" s="623"/>
      <c r="AK215" s="623"/>
      <c r="AL215" s="623"/>
      <c r="AM215" s="623"/>
      <c r="AN215" s="623"/>
      <c r="AO215" s="623"/>
      <c r="AP215" s="623"/>
      <c r="AQ215" s="623"/>
      <c r="AR215" s="623"/>
      <c r="AS215" s="623"/>
      <c r="AT215" s="623"/>
      <c r="AU215" s="623"/>
      <c r="AV215" s="623"/>
      <c r="AW215" s="623"/>
      <c r="AX215" s="623"/>
      <c r="AY215" s="623"/>
      <c r="AZ215" s="623"/>
      <c r="BA215" s="623"/>
      <c r="BB215" s="623"/>
      <c r="BC215" s="623"/>
      <c r="BD215" s="623"/>
      <c r="BE215" s="623"/>
      <c r="BF215" s="623"/>
      <c r="BG215" s="623"/>
      <c r="BH215" s="623"/>
      <c r="BI215" s="623"/>
      <c r="BJ215" s="623"/>
      <c r="BK215" s="623"/>
      <c r="BL215" s="623"/>
      <c r="BM215" s="623"/>
      <c r="BN215" s="623"/>
      <c r="BO215" s="623"/>
      <c r="BP215" s="623"/>
      <c r="BQ215" s="623"/>
      <c r="BR215" s="623"/>
      <c r="BS215" s="623"/>
      <c r="BT215" s="623"/>
      <c r="BU215" s="623"/>
      <c r="BV215" s="623"/>
      <c r="BW215" s="623"/>
      <c r="BX215" s="623"/>
      <c r="BY215" s="623"/>
      <c r="BZ215" s="623"/>
      <c r="CA215" s="623"/>
      <c r="CB215" s="623"/>
      <c r="CC215" s="623"/>
      <c r="CD215" s="623"/>
      <c r="CE215" s="1669"/>
      <c r="CF215" s="623"/>
      <c r="CG215" s="623"/>
      <c r="CH215" s="623"/>
      <c r="CI215" s="623"/>
      <c r="CJ215" s="623"/>
      <c r="CK215" s="623"/>
      <c r="CL215" s="623"/>
      <c r="CM215" s="623"/>
      <c r="CN215" s="623"/>
      <c r="CO215" s="623"/>
      <c r="CP215" s="623"/>
      <c r="CQ215" s="623"/>
      <c r="CR215" s="623"/>
      <c r="CS215" s="623"/>
      <c r="CT215" s="623"/>
      <c r="CU215" s="623"/>
      <c r="CV215" s="623"/>
      <c r="CW215" s="623"/>
      <c r="CX215" s="623"/>
      <c r="CY215" s="817"/>
      <c r="CZ215" s="623"/>
      <c r="DA215" s="623"/>
      <c r="DB215" s="623"/>
      <c r="DC215" s="623"/>
      <c r="DD215" s="623"/>
      <c r="DE215" s="623"/>
      <c r="DF215" s="623"/>
      <c r="DG215" s="623"/>
      <c r="DH215" s="623"/>
      <c r="DI215" s="623"/>
      <c r="DJ215" s="623"/>
      <c r="DK215" s="623"/>
      <c r="DL215" s="623"/>
      <c r="DM215" s="623"/>
      <c r="DN215" s="623"/>
      <c r="DO215" s="623"/>
      <c r="DP215" s="623"/>
      <c r="DQ215" s="623"/>
      <c r="DR215" s="623"/>
      <c r="DS215" s="623"/>
      <c r="DT215" s="623"/>
      <c r="DU215" s="623"/>
      <c r="DV215" s="1675"/>
      <c r="DW215" s="530"/>
      <c r="DX215" s="530"/>
      <c r="DY215" s="530"/>
      <c r="DZ215" s="530"/>
      <c r="EA215" s="530"/>
      <c r="EB215" s="530"/>
      <c r="EC215" s="530"/>
      <c r="ED215" s="530"/>
      <c r="EE215" s="530"/>
      <c r="EF215" s="530"/>
      <c r="EG215" s="530"/>
      <c r="EH215" s="530"/>
      <c r="EI215" s="530"/>
      <c r="EJ215" s="530"/>
      <c r="EK215" s="530"/>
      <c r="EL215" s="530"/>
      <c r="EM215" s="530"/>
      <c r="EN215" s="530"/>
      <c r="EO215" s="530"/>
      <c r="EP215" s="530"/>
      <c r="EQ215" s="530"/>
      <c r="ER215" s="530"/>
      <c r="ES215" s="530"/>
      <c r="ET215" s="530"/>
      <c r="EU215" s="530"/>
      <c r="EV215" s="530"/>
      <c r="EW215" s="530"/>
      <c r="EX215" s="530"/>
      <c r="EY215" s="530"/>
      <c r="EZ215" s="530"/>
      <c r="FA215" s="530"/>
      <c r="FB215" s="530"/>
      <c r="FC215" s="530"/>
      <c r="FD215" s="530"/>
      <c r="FE215" s="530"/>
      <c r="FF215" s="530"/>
      <c r="FG215" s="530"/>
      <c r="FH215" s="530"/>
      <c r="FI215" s="530"/>
      <c r="FJ215" s="530"/>
      <c r="FK215" s="530"/>
      <c r="FL215" s="530"/>
      <c r="FM215" s="530"/>
      <c r="FN215" s="530"/>
      <c r="FO215" s="530"/>
      <c r="FP215" s="530"/>
      <c r="FQ215" s="530"/>
      <c r="FR215" s="530"/>
      <c r="FS215" s="530"/>
      <c r="FT215" s="530"/>
      <c r="FU215" s="530"/>
      <c r="FV215" s="530"/>
      <c r="FW215" s="530"/>
      <c r="FX215" s="530"/>
      <c r="FY215" s="530"/>
      <c r="FZ215" s="530"/>
      <c r="GA215" s="530"/>
      <c r="GB215" s="530"/>
      <c r="GC215" s="530"/>
      <c r="GD215" s="530"/>
      <c r="GE215" s="530"/>
      <c r="GF215" s="530"/>
      <c r="GG215" s="530"/>
      <c r="GH215" s="530"/>
      <c r="GI215" s="530"/>
      <c r="GJ215" s="530"/>
      <c r="GK215" s="530"/>
      <c r="GL215" s="530"/>
      <c r="GM215" s="530"/>
      <c r="GN215" s="530"/>
      <c r="GO215" s="530"/>
      <c r="GP215" s="530"/>
      <c r="GQ215" s="530"/>
      <c r="GR215" s="530"/>
      <c r="GS215" s="530"/>
      <c r="GT215" s="530"/>
      <c r="GU215" s="530"/>
      <c r="GV215" s="530"/>
      <c r="GW215" s="530"/>
      <c r="GX215" s="530"/>
      <c r="GY215" s="530"/>
      <c r="GZ215" s="530"/>
      <c r="HA215" s="530"/>
      <c r="HB215" s="530"/>
      <c r="HC215" s="530"/>
      <c r="HD215" s="530"/>
      <c r="HE215" s="530"/>
      <c r="HF215" s="530"/>
      <c r="HG215" s="530"/>
      <c r="HH215" s="530"/>
      <c r="HI215" s="530"/>
      <c r="HJ215" s="530"/>
      <c r="HK215" s="530"/>
      <c r="HL215" s="530"/>
      <c r="HM215" s="530"/>
      <c r="HN215" s="530"/>
      <c r="HO215" s="530"/>
      <c r="HP215" s="530"/>
      <c r="HQ215" s="530"/>
      <c r="HR215" s="530"/>
      <c r="HS215" s="530"/>
      <c r="HT215" s="530"/>
      <c r="HU215" s="530"/>
      <c r="HV215" s="530"/>
      <c r="HW215" s="530"/>
      <c r="HX215" s="530"/>
      <c r="HY215" s="530"/>
      <c r="HZ215" s="530"/>
      <c r="IA215" s="530"/>
      <c r="IB215" s="530"/>
      <c r="IC215" s="530"/>
      <c r="ID215" s="530"/>
      <c r="IE215" s="530"/>
      <c r="IF215" s="530"/>
      <c r="IG215" s="530"/>
      <c r="IH215" s="530"/>
      <c r="II215" s="530"/>
      <c r="IJ215" s="530"/>
      <c r="IK215" s="530"/>
      <c r="IL215" s="530"/>
      <c r="IM215" s="530"/>
      <c r="IN215" s="530"/>
      <c r="IO215" s="530"/>
      <c r="IP215" s="530"/>
      <c r="IQ215" s="530"/>
      <c r="IR215" s="530"/>
      <c r="IS215" s="530"/>
      <c r="IT215" s="530"/>
      <c r="IU215" s="530"/>
      <c r="IV215" s="530"/>
    </row>
    <row r="216" spans="1:256" s="717" customFormat="1" ht="18.75" hidden="1" customHeight="1">
      <c r="A216" s="1713"/>
      <c r="B216" s="1714"/>
      <c r="C216" s="1713"/>
      <c r="D216" s="1713"/>
      <c r="E216" s="1713"/>
      <c r="F216" s="1713"/>
      <c r="G216" s="1713"/>
      <c r="H216" s="1713"/>
      <c r="I216" s="1713"/>
      <c r="J216" s="1713"/>
      <c r="K216" s="1713"/>
      <c r="L216" s="1713"/>
      <c r="M216" s="1713"/>
      <c r="N216" s="1713"/>
      <c r="O216" s="1713"/>
      <c r="P216" s="1713"/>
      <c r="Q216" s="1713"/>
      <c r="R216" s="1713"/>
      <c r="S216" s="1713"/>
      <c r="T216" s="1713"/>
      <c r="U216" s="1713"/>
      <c r="V216" s="1713"/>
      <c r="W216" s="1713"/>
      <c r="X216" s="1713"/>
      <c r="Y216" s="1713"/>
      <c r="Z216" s="1713"/>
      <c r="AA216" s="1713"/>
      <c r="AB216" s="1713"/>
      <c r="AC216" s="1713"/>
      <c r="AD216" s="1713"/>
      <c r="AE216" s="1713"/>
      <c r="AF216" s="1713"/>
      <c r="AG216" s="1713"/>
      <c r="AH216" s="1713"/>
      <c r="AI216" s="1713"/>
      <c r="AJ216" s="1713"/>
      <c r="AK216" s="1713"/>
      <c r="AL216" s="1713"/>
      <c r="AM216" s="1713"/>
      <c r="AN216" s="1713"/>
      <c r="AO216" s="1713"/>
      <c r="AP216" s="1713"/>
      <c r="AQ216" s="1713"/>
      <c r="AR216" s="1713"/>
      <c r="AS216" s="1713"/>
      <c r="AT216" s="1713"/>
      <c r="AU216" s="1713"/>
      <c r="AV216" s="1713"/>
      <c r="AW216" s="1713"/>
      <c r="AX216" s="1713"/>
      <c r="AY216" s="1713"/>
      <c r="AZ216" s="1713"/>
      <c r="BA216" s="1713"/>
      <c r="BB216" s="1713"/>
      <c r="BC216" s="1713"/>
      <c r="BD216" s="1713"/>
      <c r="BE216" s="1713"/>
      <c r="BF216" s="1713"/>
      <c r="BG216" s="1713"/>
      <c r="BH216" s="1713"/>
      <c r="BI216" s="1713"/>
      <c r="BJ216" s="1713"/>
      <c r="BK216" s="1713"/>
      <c r="BL216" s="1713"/>
      <c r="BM216" s="1713"/>
      <c r="BN216" s="1713"/>
      <c r="BO216" s="1713"/>
      <c r="BP216" s="1713"/>
      <c r="BQ216" s="1713"/>
      <c r="BR216" s="1713"/>
      <c r="BS216" s="1713"/>
      <c r="BT216" s="1713"/>
      <c r="BU216" s="1713"/>
      <c r="BV216" s="1713"/>
      <c r="BW216" s="1713"/>
      <c r="BX216" s="1713"/>
      <c r="BY216" s="1713"/>
      <c r="BZ216" s="1713"/>
      <c r="CA216" s="1713"/>
      <c r="CB216" s="1713"/>
      <c r="CC216" s="1713"/>
      <c r="CD216" s="1713"/>
      <c r="CE216" s="1669"/>
      <c r="CF216" s="1713"/>
      <c r="CG216" s="1713"/>
      <c r="CH216" s="1713"/>
      <c r="CI216" s="1713"/>
      <c r="CJ216" s="1713"/>
      <c r="CK216" s="1713"/>
      <c r="CL216" s="1713"/>
      <c r="CM216" s="1713"/>
      <c r="CN216" s="1713"/>
      <c r="CO216" s="1713"/>
      <c r="CP216" s="1713"/>
      <c r="CQ216" s="1713"/>
      <c r="CR216" s="1713"/>
      <c r="CS216" s="1713"/>
      <c r="CT216" s="1713"/>
      <c r="CU216" s="1713"/>
      <c r="CV216" s="1713"/>
      <c r="CW216" s="1713"/>
      <c r="CX216" s="1713"/>
      <c r="CY216" s="1680"/>
      <c r="CZ216" s="1713"/>
      <c r="DA216" s="1713"/>
      <c r="DB216" s="1713"/>
      <c r="DC216" s="1713"/>
      <c r="DD216" s="1713"/>
      <c r="DE216" s="1713"/>
      <c r="DF216" s="1713"/>
      <c r="DG216" s="1713"/>
      <c r="DH216" s="1713"/>
      <c r="DI216" s="1713"/>
      <c r="DJ216" s="1713"/>
      <c r="DK216" s="1713"/>
      <c r="DL216" s="1713"/>
      <c r="DM216" s="1713"/>
      <c r="DN216" s="1713"/>
      <c r="DO216" s="1713"/>
      <c r="DP216" s="1713"/>
      <c r="DQ216" s="1713"/>
      <c r="DR216" s="1713"/>
      <c r="DS216" s="1713"/>
      <c r="DT216" s="1713"/>
      <c r="DU216" s="1715"/>
      <c r="DV216" s="1716"/>
    </row>
    <row r="217" spans="1:256" s="545" customFormat="1" ht="18" hidden="1" customHeight="1">
      <c r="A217" s="1685"/>
      <c r="B217" s="1023"/>
      <c r="C217" s="1023"/>
      <c r="D217" s="1023"/>
      <c r="E217" s="1023"/>
      <c r="F217" s="1023"/>
      <c r="G217" s="1023"/>
      <c r="H217" s="1023"/>
      <c r="I217" s="1023"/>
      <c r="J217" s="1023"/>
      <c r="K217" s="1023"/>
      <c r="L217" s="1023"/>
      <c r="M217" s="1023"/>
      <c r="N217" s="1023"/>
      <c r="O217" s="1023"/>
      <c r="P217" s="1023"/>
      <c r="Q217" s="1023"/>
      <c r="R217" s="1023"/>
      <c r="S217" s="1023"/>
      <c r="T217" s="1023"/>
      <c r="U217" s="1023"/>
      <c r="V217" s="1023"/>
      <c r="W217" s="1023"/>
      <c r="X217" s="1023"/>
      <c r="Y217" s="1023"/>
      <c r="Z217" s="1023"/>
      <c r="AA217" s="1023"/>
      <c r="AB217" s="1023"/>
      <c r="AC217" s="1023"/>
      <c r="AD217" s="1023"/>
      <c r="AE217" s="1023"/>
      <c r="AF217" s="1023"/>
      <c r="AG217" s="1023"/>
      <c r="AH217" s="1023"/>
      <c r="AI217" s="1023"/>
      <c r="AJ217" s="1023"/>
      <c r="AK217" s="1023"/>
      <c r="AL217" s="1023"/>
      <c r="AM217" s="1023"/>
      <c r="AN217" s="1023"/>
      <c r="AO217" s="1023"/>
      <c r="AP217" s="1023"/>
      <c r="AQ217" s="1023"/>
      <c r="AR217" s="1023"/>
      <c r="AS217" s="1023"/>
      <c r="AT217" s="1023"/>
      <c r="AU217" s="1023"/>
      <c r="AV217" s="1023"/>
      <c r="AW217" s="1023"/>
      <c r="AX217" s="1023"/>
      <c r="AY217" s="1023"/>
      <c r="AZ217" s="1023"/>
      <c r="BA217" s="1023"/>
      <c r="BB217" s="1023"/>
      <c r="BC217" s="1023"/>
      <c r="BD217" s="1023"/>
      <c r="BE217" s="1023"/>
      <c r="BF217" s="1023"/>
      <c r="BG217" s="1023"/>
      <c r="BH217" s="1023"/>
      <c r="BI217" s="1023"/>
      <c r="BJ217" s="1023"/>
      <c r="BK217" s="1023"/>
      <c r="BL217" s="1023"/>
      <c r="BM217" s="1023"/>
      <c r="BN217" s="1023"/>
      <c r="BO217" s="1023"/>
      <c r="BP217" s="1023"/>
      <c r="BQ217" s="1023"/>
      <c r="BR217" s="1023"/>
      <c r="BS217" s="1023"/>
      <c r="BT217" s="1023"/>
      <c r="BU217" s="1023"/>
      <c r="BV217" s="1023"/>
      <c r="BW217" s="1023"/>
      <c r="BX217" s="1023"/>
      <c r="BY217" s="1023"/>
      <c r="BZ217" s="1023"/>
      <c r="CA217" s="1023"/>
      <c r="CB217" s="1023"/>
      <c r="CC217" s="1023"/>
      <c r="CD217" s="1023"/>
      <c r="CE217" s="1669"/>
      <c r="CF217" s="1023"/>
      <c r="CG217" s="1023"/>
      <c r="CH217" s="1023"/>
      <c r="CI217" s="1023"/>
      <c r="CJ217" s="1023"/>
      <c r="CK217" s="1023"/>
      <c r="CL217" s="1023"/>
      <c r="CM217" s="1023"/>
      <c r="CN217" s="1023"/>
      <c r="CO217" s="1023"/>
      <c r="CP217" s="1023"/>
      <c r="CQ217" s="1023"/>
      <c r="CR217" s="1023"/>
      <c r="CS217" s="1023"/>
      <c r="CT217" s="1023"/>
      <c r="CU217" s="1023"/>
      <c r="CV217" s="1023"/>
      <c r="CW217" s="1023"/>
      <c r="CX217" s="1023"/>
      <c r="CY217" s="1683"/>
      <c r="CZ217" s="1023"/>
      <c r="DA217" s="1023"/>
      <c r="DB217" s="1023"/>
      <c r="DC217" s="1023"/>
      <c r="DD217" s="1023"/>
      <c r="DE217" s="1023"/>
      <c r="DF217" s="1023"/>
      <c r="DG217" s="1023"/>
      <c r="DH217" s="1023"/>
      <c r="DI217" s="1023"/>
      <c r="DJ217" s="1023"/>
      <c r="DK217" s="1023"/>
      <c r="DL217" s="1023"/>
      <c r="DM217" s="1023"/>
      <c r="DN217" s="1023"/>
      <c r="DO217" s="1023"/>
      <c r="DP217" s="1023"/>
      <c r="DQ217" s="1023"/>
      <c r="DR217" s="1023"/>
      <c r="DS217" s="1023"/>
      <c r="DT217" s="1023"/>
      <c r="DU217" s="1023"/>
      <c r="DV217" s="1684"/>
      <c r="DW217" s="530"/>
      <c r="DX217" s="530"/>
      <c r="DY217" s="530"/>
      <c r="DZ217" s="530"/>
      <c r="EA217" s="530"/>
      <c r="EB217" s="530"/>
      <c r="EC217" s="530"/>
      <c r="ED217" s="530"/>
      <c r="EE217" s="530"/>
      <c r="EF217" s="530"/>
      <c r="EG217" s="530"/>
      <c r="EH217" s="530"/>
      <c r="EI217" s="530"/>
      <c r="EJ217" s="530"/>
      <c r="EK217" s="530"/>
      <c r="EL217" s="530"/>
      <c r="EM217" s="530"/>
      <c r="EN217" s="530"/>
      <c r="EO217" s="530"/>
      <c r="EP217" s="530"/>
      <c r="EQ217" s="530"/>
      <c r="ER217" s="530"/>
      <c r="ES217" s="530"/>
      <c r="ET217" s="530"/>
      <c r="EU217" s="530"/>
      <c r="EV217" s="530"/>
      <c r="EW217" s="530"/>
      <c r="EX217" s="530"/>
      <c r="EY217" s="530"/>
      <c r="EZ217" s="530"/>
      <c r="FA217" s="530"/>
      <c r="FB217" s="530"/>
      <c r="FC217" s="530"/>
      <c r="FD217" s="530"/>
      <c r="FE217" s="530"/>
      <c r="FF217" s="530"/>
      <c r="FG217" s="530"/>
      <c r="FH217" s="530"/>
      <c r="FI217" s="530"/>
      <c r="FJ217" s="530"/>
      <c r="FK217" s="530"/>
      <c r="FL217" s="530"/>
      <c r="FM217" s="530"/>
      <c r="FN217" s="530"/>
      <c r="FO217" s="530"/>
      <c r="FP217" s="530"/>
      <c r="FQ217" s="530"/>
      <c r="FR217" s="530"/>
      <c r="FS217" s="530"/>
      <c r="FT217" s="530"/>
      <c r="FU217" s="530"/>
      <c r="FV217" s="530"/>
      <c r="FW217" s="530"/>
      <c r="FX217" s="530"/>
      <c r="FY217" s="530"/>
      <c r="FZ217" s="530"/>
      <c r="GA217" s="530"/>
      <c r="GB217" s="530"/>
      <c r="GC217" s="530"/>
      <c r="GD217" s="530"/>
      <c r="GE217" s="530"/>
      <c r="GF217" s="530"/>
      <c r="GG217" s="530"/>
      <c r="GH217" s="530"/>
      <c r="GI217" s="530"/>
      <c r="GJ217" s="530"/>
      <c r="GK217" s="530"/>
      <c r="GL217" s="530"/>
      <c r="GM217" s="530"/>
      <c r="GN217" s="530"/>
      <c r="GO217" s="530"/>
      <c r="GP217" s="530"/>
      <c r="GQ217" s="530"/>
      <c r="GR217" s="530"/>
      <c r="GS217" s="530"/>
      <c r="GT217" s="530"/>
      <c r="GU217" s="530"/>
      <c r="GV217" s="530"/>
      <c r="GW217" s="530"/>
      <c r="GX217" s="530"/>
      <c r="GY217" s="530"/>
      <c r="GZ217" s="530"/>
      <c r="HA217" s="530"/>
      <c r="HB217" s="530"/>
      <c r="HC217" s="530"/>
      <c r="HD217" s="530"/>
      <c r="HE217" s="530"/>
      <c r="HF217" s="530"/>
      <c r="HG217" s="530"/>
      <c r="HH217" s="530"/>
      <c r="HI217" s="530"/>
      <c r="HJ217" s="530"/>
      <c r="HK217" s="530"/>
      <c r="HL217" s="530"/>
      <c r="HM217" s="530"/>
      <c r="HN217" s="530"/>
      <c r="HO217" s="530"/>
      <c r="HP217" s="530"/>
      <c r="HQ217" s="530"/>
      <c r="HR217" s="530"/>
      <c r="HS217" s="530"/>
      <c r="HT217" s="530"/>
      <c r="HU217" s="530"/>
      <c r="HV217" s="530"/>
      <c r="HW217" s="530"/>
      <c r="HX217" s="530"/>
      <c r="HY217" s="530"/>
      <c r="HZ217" s="530"/>
      <c r="IA217" s="530"/>
      <c r="IB217" s="530"/>
      <c r="IC217" s="530"/>
      <c r="ID217" s="530"/>
      <c r="IE217" s="530"/>
      <c r="IF217" s="530"/>
      <c r="IG217" s="530"/>
      <c r="IH217" s="530"/>
      <c r="II217" s="530"/>
      <c r="IJ217" s="530"/>
      <c r="IK217" s="530"/>
      <c r="IL217" s="530"/>
      <c r="IM217" s="530"/>
      <c r="IN217" s="530"/>
      <c r="IO217" s="530"/>
      <c r="IP217" s="530"/>
      <c r="IQ217" s="530"/>
      <c r="IR217" s="530"/>
      <c r="IS217" s="530"/>
      <c r="IT217" s="530"/>
      <c r="IU217" s="530"/>
      <c r="IV217" s="530"/>
    </row>
    <row r="218" spans="1:256" ht="17.25" hidden="1" customHeight="1">
      <c r="A218" s="1676"/>
      <c r="B218" s="550"/>
      <c r="C218" s="550"/>
      <c r="D218" s="550"/>
      <c r="E218" s="550"/>
      <c r="F218" s="550"/>
      <c r="G218" s="550"/>
      <c r="H218" s="550"/>
      <c r="I218" s="550"/>
      <c r="J218" s="550"/>
      <c r="K218" s="550"/>
      <c r="L218" s="550"/>
      <c r="M218" s="550"/>
      <c r="N218" s="550"/>
      <c r="O218" s="439"/>
      <c r="P218" s="439"/>
      <c r="Q218" s="439"/>
      <c r="R218" s="623"/>
      <c r="S218" s="671"/>
      <c r="T218" s="671"/>
      <c r="U218" s="671"/>
      <c r="V218" s="671"/>
      <c r="W218" s="671"/>
      <c r="X218" s="671"/>
      <c r="Y218" s="671"/>
      <c r="Z218" s="671"/>
      <c r="AA218" s="671"/>
      <c r="AB218" s="623"/>
      <c r="AC218" s="623"/>
      <c r="AD218" s="623"/>
      <c r="AE218" s="623"/>
      <c r="AF218" s="623"/>
      <c r="AG218" s="623"/>
      <c r="AH218" s="623"/>
      <c r="AI218" s="623"/>
      <c r="AJ218" s="623"/>
      <c r="AK218" s="623"/>
      <c r="AL218" s="623"/>
      <c r="AM218" s="623"/>
      <c r="AN218" s="623"/>
      <c r="AO218" s="623"/>
      <c r="AP218" s="623"/>
      <c r="AQ218" s="623"/>
      <c r="AR218" s="623"/>
      <c r="AS218" s="623"/>
      <c r="AT218" s="623"/>
      <c r="AU218" s="623"/>
      <c r="AV218" s="623"/>
      <c r="AW218" s="623"/>
      <c r="AX218" s="623"/>
      <c r="AY218" s="623"/>
      <c r="AZ218" s="623"/>
      <c r="BA218" s="623"/>
      <c r="BB218" s="623"/>
      <c r="BC218" s="623"/>
      <c r="BD218" s="623"/>
      <c r="BE218" s="623"/>
      <c r="BF218" s="623"/>
      <c r="BG218" s="623"/>
      <c r="BH218" s="623"/>
      <c r="BI218" s="623"/>
      <c r="BJ218" s="623"/>
      <c r="BK218" s="623"/>
      <c r="BL218" s="623"/>
      <c r="BM218" s="623"/>
      <c r="BN218" s="623"/>
      <c r="BO218" s="623"/>
      <c r="BP218" s="623"/>
      <c r="BQ218" s="623"/>
      <c r="BR218" s="623"/>
      <c r="BS218" s="623"/>
      <c r="BT218" s="623"/>
      <c r="BU218" s="623"/>
      <c r="BV218" s="623"/>
      <c r="BW218" s="623"/>
      <c r="BX218" s="623"/>
      <c r="BY218" s="623"/>
      <c r="BZ218" s="623"/>
      <c r="CA218" s="623"/>
      <c r="CB218" s="623"/>
      <c r="CC218" s="623"/>
      <c r="CD218" s="623"/>
      <c r="CE218" s="1669"/>
      <c r="CF218" s="623"/>
      <c r="CG218" s="623"/>
      <c r="CH218" s="623"/>
      <c r="CI218" s="623"/>
      <c r="CJ218" s="623"/>
      <c r="CK218" s="623"/>
      <c r="CL218" s="623"/>
      <c r="CM218" s="623"/>
      <c r="CN218" s="623"/>
      <c r="CO218" s="623"/>
      <c r="CP218" s="623"/>
      <c r="CQ218" s="623"/>
      <c r="CR218" s="623"/>
      <c r="CS218" s="623"/>
      <c r="CT218" s="623"/>
      <c r="CU218" s="623"/>
      <c r="CV218" s="623"/>
      <c r="CW218" s="623"/>
      <c r="CX218" s="623"/>
      <c r="CY218" s="817"/>
      <c r="CZ218" s="623"/>
      <c r="DA218" s="623"/>
      <c r="DB218" s="623"/>
      <c r="DC218" s="623"/>
      <c r="DD218" s="623"/>
      <c r="DE218" s="623"/>
      <c r="DF218" s="623"/>
      <c r="DG218" s="623"/>
      <c r="DH218" s="623"/>
      <c r="DI218" s="623"/>
      <c r="DJ218" s="623"/>
      <c r="DK218" s="623"/>
      <c r="DL218" s="623"/>
      <c r="DM218" s="623"/>
      <c r="DN218" s="623"/>
      <c r="DO218" s="623"/>
      <c r="DP218" s="623"/>
      <c r="DQ218" s="623"/>
      <c r="DR218" s="623"/>
      <c r="DS218" s="623"/>
      <c r="DT218" s="623"/>
      <c r="DU218" s="623"/>
      <c r="DV218" s="1675"/>
      <c r="IR218" s="542"/>
      <c r="IS218" s="542"/>
      <c r="IT218" s="542"/>
      <c r="IU218" s="542"/>
      <c r="IV218" s="542"/>
    </row>
    <row r="219" spans="1:256" ht="17.25" hidden="1" customHeight="1">
      <c r="A219" s="1676"/>
      <c r="B219" s="550"/>
      <c r="C219" s="550"/>
      <c r="D219" s="550"/>
      <c r="E219" s="550"/>
      <c r="F219" s="550"/>
      <c r="G219" s="550"/>
      <c r="H219" s="550"/>
      <c r="I219" s="550"/>
      <c r="J219" s="550"/>
      <c r="K219" s="550"/>
      <c r="L219" s="550"/>
      <c r="M219" s="550"/>
      <c r="N219" s="550"/>
      <c r="O219" s="439"/>
      <c r="P219" s="439"/>
      <c r="Q219" s="439"/>
      <c r="R219" s="623"/>
      <c r="S219" s="671"/>
      <c r="T219" s="671"/>
      <c r="U219" s="671"/>
      <c r="V219" s="671"/>
      <c r="W219" s="671"/>
      <c r="X219" s="671"/>
      <c r="Y219" s="671"/>
      <c r="Z219" s="671"/>
      <c r="AA219" s="671"/>
      <c r="AB219" s="623"/>
      <c r="AC219" s="623"/>
      <c r="AD219" s="623"/>
      <c r="AE219" s="623"/>
      <c r="AF219" s="623"/>
      <c r="AG219" s="623"/>
      <c r="AH219" s="623"/>
      <c r="AI219" s="623"/>
      <c r="AJ219" s="623"/>
      <c r="AK219" s="623"/>
      <c r="AL219" s="623"/>
      <c r="AM219" s="623"/>
      <c r="AN219" s="623"/>
      <c r="AO219" s="623"/>
      <c r="AP219" s="623"/>
      <c r="AQ219" s="623"/>
      <c r="AR219" s="623"/>
      <c r="AS219" s="623"/>
      <c r="AT219" s="623"/>
      <c r="AU219" s="623"/>
      <c r="AV219" s="623"/>
      <c r="AW219" s="623"/>
      <c r="AX219" s="623"/>
      <c r="AY219" s="623"/>
      <c r="AZ219" s="623"/>
      <c r="BA219" s="623"/>
      <c r="BB219" s="623"/>
      <c r="BC219" s="623"/>
      <c r="BD219" s="623"/>
      <c r="BE219" s="623"/>
      <c r="BF219" s="623"/>
      <c r="BG219" s="623"/>
      <c r="BH219" s="623"/>
      <c r="BI219" s="623"/>
      <c r="BJ219" s="623"/>
      <c r="BK219" s="623"/>
      <c r="BL219" s="623"/>
      <c r="BM219" s="623"/>
      <c r="BN219" s="623"/>
      <c r="BO219" s="623"/>
      <c r="BP219" s="623"/>
      <c r="BQ219" s="623"/>
      <c r="BR219" s="623"/>
      <c r="BS219" s="623"/>
      <c r="BT219" s="623"/>
      <c r="BU219" s="623"/>
      <c r="BV219" s="623"/>
      <c r="BW219" s="623"/>
      <c r="BX219" s="623"/>
      <c r="BY219" s="623"/>
      <c r="BZ219" s="623"/>
      <c r="CA219" s="623"/>
      <c r="CB219" s="623"/>
      <c r="CC219" s="623"/>
      <c r="CD219" s="623"/>
      <c r="CE219" s="1669"/>
      <c r="CF219" s="623"/>
      <c r="CG219" s="623"/>
      <c r="CH219" s="623"/>
      <c r="CI219" s="623"/>
      <c r="CJ219" s="623"/>
      <c r="CK219" s="623"/>
      <c r="CL219" s="623"/>
      <c r="CM219" s="623"/>
      <c r="CN219" s="623"/>
      <c r="CO219" s="623"/>
      <c r="CP219" s="623"/>
      <c r="CQ219" s="623"/>
      <c r="CR219" s="623"/>
      <c r="CS219" s="623"/>
      <c r="CT219" s="623"/>
      <c r="CU219" s="623"/>
      <c r="CV219" s="623"/>
      <c r="CW219" s="623"/>
      <c r="CX219" s="623"/>
      <c r="CY219" s="817"/>
      <c r="CZ219" s="623"/>
      <c r="DA219" s="623"/>
      <c r="DB219" s="623"/>
      <c r="DC219" s="623"/>
      <c r="DD219" s="623"/>
      <c r="DE219" s="623"/>
      <c r="DF219" s="623"/>
      <c r="DG219" s="623"/>
      <c r="DH219" s="623"/>
      <c r="DI219" s="623"/>
      <c r="DJ219" s="623"/>
      <c r="DK219" s="623"/>
      <c r="DL219" s="623"/>
      <c r="DM219" s="623"/>
      <c r="DN219" s="623"/>
      <c r="DO219" s="623"/>
      <c r="DP219" s="623"/>
      <c r="DQ219" s="623"/>
      <c r="DR219" s="623"/>
      <c r="DS219" s="623"/>
      <c r="DT219" s="623"/>
      <c r="DU219" s="623"/>
      <c r="DV219" s="1675"/>
    </row>
    <row r="220" spans="1:256" ht="17.25" hidden="1" customHeight="1">
      <c r="A220" s="1676"/>
      <c r="B220" s="550"/>
      <c r="C220" s="550"/>
      <c r="D220" s="550"/>
      <c r="E220" s="550"/>
      <c r="F220" s="550"/>
      <c r="G220" s="550"/>
      <c r="H220" s="550"/>
      <c r="I220" s="550"/>
      <c r="J220" s="550"/>
      <c r="K220" s="550"/>
      <c r="L220" s="550"/>
      <c r="M220" s="550"/>
      <c r="N220" s="550"/>
      <c r="O220" s="439"/>
      <c r="P220" s="439"/>
      <c r="Q220" s="439"/>
      <c r="R220" s="623"/>
      <c r="S220" s="671"/>
      <c r="T220" s="671"/>
      <c r="U220" s="671"/>
      <c r="V220" s="671"/>
      <c r="W220" s="671"/>
      <c r="X220" s="671"/>
      <c r="Y220" s="671"/>
      <c r="Z220" s="671"/>
      <c r="AA220" s="671"/>
      <c r="AB220" s="623"/>
      <c r="AC220" s="623"/>
      <c r="AD220" s="623"/>
      <c r="AE220" s="623"/>
      <c r="AF220" s="623"/>
      <c r="AG220" s="623"/>
      <c r="AH220" s="623"/>
      <c r="AI220" s="623"/>
      <c r="AJ220" s="623"/>
      <c r="AK220" s="623"/>
      <c r="AL220" s="623"/>
      <c r="AM220" s="623"/>
      <c r="AN220" s="623"/>
      <c r="AO220" s="623"/>
      <c r="AP220" s="623"/>
      <c r="AQ220" s="623"/>
      <c r="AR220" s="623"/>
      <c r="AS220" s="623"/>
      <c r="AT220" s="623"/>
      <c r="AU220" s="623"/>
      <c r="AV220" s="623"/>
      <c r="AW220" s="623"/>
      <c r="AX220" s="623"/>
      <c r="AY220" s="623"/>
      <c r="AZ220" s="623"/>
      <c r="BA220" s="623"/>
      <c r="BB220" s="623"/>
      <c r="BC220" s="623"/>
      <c r="BD220" s="623"/>
      <c r="BE220" s="623"/>
      <c r="BF220" s="623"/>
      <c r="BG220" s="623"/>
      <c r="BH220" s="623"/>
      <c r="BI220" s="623"/>
      <c r="BJ220" s="623"/>
      <c r="BK220" s="623"/>
      <c r="BL220" s="623"/>
      <c r="BM220" s="623"/>
      <c r="BN220" s="623"/>
      <c r="BO220" s="623"/>
      <c r="BP220" s="623"/>
      <c r="BQ220" s="623"/>
      <c r="BR220" s="623"/>
      <c r="BS220" s="623"/>
      <c r="BT220" s="623"/>
      <c r="BU220" s="623"/>
      <c r="BV220" s="623"/>
      <c r="BW220" s="623"/>
      <c r="BX220" s="623"/>
      <c r="BY220" s="623"/>
      <c r="BZ220" s="623"/>
      <c r="CA220" s="623"/>
      <c r="CB220" s="623"/>
      <c r="CC220" s="623"/>
      <c r="CD220" s="623"/>
      <c r="CE220" s="1669"/>
      <c r="CF220" s="623"/>
      <c r="CG220" s="623"/>
      <c r="CH220" s="623"/>
      <c r="CI220" s="623"/>
      <c r="CJ220" s="623"/>
      <c r="CK220" s="623"/>
      <c r="CL220" s="623"/>
      <c r="CM220" s="623"/>
      <c r="CN220" s="623"/>
      <c r="CO220" s="623"/>
      <c r="CP220" s="623"/>
      <c r="CQ220" s="623"/>
      <c r="CR220" s="623"/>
      <c r="CS220" s="623"/>
      <c r="CT220" s="623"/>
      <c r="CU220" s="623"/>
      <c r="CV220" s="623"/>
      <c r="CW220" s="623"/>
      <c r="CX220" s="623"/>
      <c r="CY220" s="817"/>
      <c r="CZ220" s="623"/>
      <c r="DA220" s="623"/>
      <c r="DB220" s="623"/>
      <c r="DC220" s="623"/>
      <c r="DD220" s="623"/>
      <c r="DE220" s="623"/>
      <c r="DF220" s="623"/>
      <c r="DG220" s="623"/>
      <c r="DH220" s="623"/>
      <c r="DI220" s="623"/>
      <c r="DJ220" s="623"/>
      <c r="DK220" s="623"/>
      <c r="DL220" s="623"/>
      <c r="DM220" s="623"/>
      <c r="DN220" s="623"/>
      <c r="DO220" s="623"/>
      <c r="DP220" s="623"/>
      <c r="DQ220" s="623"/>
      <c r="DR220" s="623"/>
      <c r="DS220" s="623"/>
      <c r="DT220" s="623"/>
      <c r="DU220" s="623"/>
      <c r="DV220" s="1675"/>
    </row>
    <row r="221" spans="1:256" ht="17.25" hidden="1" customHeight="1">
      <c r="A221" s="1676"/>
      <c r="B221" s="550"/>
      <c r="C221" s="550"/>
      <c r="D221" s="550"/>
      <c r="E221" s="550"/>
      <c r="F221" s="550"/>
      <c r="G221" s="550"/>
      <c r="H221" s="550"/>
      <c r="I221" s="550"/>
      <c r="J221" s="550"/>
      <c r="K221" s="550"/>
      <c r="L221" s="550"/>
      <c r="M221" s="550"/>
      <c r="N221" s="550"/>
      <c r="O221" s="439"/>
      <c r="P221" s="439"/>
      <c r="Q221" s="439"/>
      <c r="R221" s="623"/>
      <c r="S221" s="671"/>
      <c r="T221" s="671"/>
      <c r="U221" s="671"/>
      <c r="V221" s="671"/>
      <c r="W221" s="671"/>
      <c r="X221" s="671"/>
      <c r="Y221" s="671"/>
      <c r="Z221" s="671"/>
      <c r="AA221" s="671"/>
      <c r="AB221" s="623"/>
      <c r="AC221" s="623"/>
      <c r="AD221" s="623"/>
      <c r="AE221" s="623"/>
      <c r="AF221" s="623"/>
      <c r="AG221" s="623"/>
      <c r="AH221" s="623"/>
      <c r="AI221" s="623"/>
      <c r="AJ221" s="623"/>
      <c r="AK221" s="623"/>
      <c r="AL221" s="623"/>
      <c r="AM221" s="623"/>
      <c r="AN221" s="623"/>
      <c r="AO221" s="623"/>
      <c r="AP221" s="623"/>
      <c r="AQ221" s="623"/>
      <c r="AR221" s="623"/>
      <c r="AS221" s="623"/>
      <c r="AT221" s="623"/>
      <c r="AU221" s="623"/>
      <c r="AV221" s="623"/>
      <c r="AW221" s="623"/>
      <c r="AX221" s="623"/>
      <c r="AY221" s="623"/>
      <c r="AZ221" s="623"/>
      <c r="BA221" s="623"/>
      <c r="BB221" s="623"/>
      <c r="BC221" s="623"/>
      <c r="BD221" s="623"/>
      <c r="BE221" s="623"/>
      <c r="BF221" s="623"/>
      <c r="BG221" s="623"/>
      <c r="BH221" s="623"/>
      <c r="BI221" s="623"/>
      <c r="BJ221" s="623"/>
      <c r="BK221" s="623"/>
      <c r="BL221" s="623"/>
      <c r="BM221" s="623"/>
      <c r="BN221" s="623"/>
      <c r="BO221" s="623"/>
      <c r="BP221" s="623"/>
      <c r="BQ221" s="623"/>
      <c r="BR221" s="623"/>
      <c r="BS221" s="623"/>
      <c r="BT221" s="623"/>
      <c r="BU221" s="623"/>
      <c r="BV221" s="623"/>
      <c r="BW221" s="623"/>
      <c r="BX221" s="623"/>
      <c r="BY221" s="623"/>
      <c r="BZ221" s="623"/>
      <c r="CA221" s="623"/>
      <c r="CB221" s="623"/>
      <c r="CC221" s="623"/>
      <c r="CD221" s="623"/>
      <c r="CE221" s="1669"/>
      <c r="CF221" s="623"/>
      <c r="CG221" s="623"/>
      <c r="CH221" s="623"/>
      <c r="CI221" s="623"/>
      <c r="CJ221" s="623"/>
      <c r="CK221" s="623"/>
      <c r="CL221" s="623"/>
      <c r="CM221" s="623"/>
      <c r="CN221" s="623"/>
      <c r="CO221" s="623"/>
      <c r="CP221" s="623"/>
      <c r="CQ221" s="623"/>
      <c r="CR221" s="623"/>
      <c r="CS221" s="623"/>
      <c r="CT221" s="623"/>
      <c r="CU221" s="623"/>
      <c r="CV221" s="623"/>
      <c r="CW221" s="623"/>
      <c r="CX221" s="623"/>
      <c r="CY221" s="817"/>
      <c r="CZ221" s="623"/>
      <c r="DA221" s="623"/>
      <c r="DB221" s="623"/>
      <c r="DC221" s="623"/>
      <c r="DD221" s="623"/>
      <c r="DE221" s="623"/>
      <c r="DF221" s="623"/>
      <c r="DG221" s="623"/>
      <c r="DH221" s="623"/>
      <c r="DI221" s="623"/>
      <c r="DJ221" s="623"/>
      <c r="DK221" s="623"/>
      <c r="DL221" s="623"/>
      <c r="DM221" s="623"/>
      <c r="DN221" s="623"/>
      <c r="DO221" s="623"/>
      <c r="DP221" s="623"/>
      <c r="DQ221" s="623"/>
      <c r="DR221" s="623"/>
      <c r="DS221" s="623"/>
      <c r="DT221" s="623"/>
      <c r="DU221" s="623"/>
      <c r="DV221" s="1675"/>
    </row>
    <row r="222" spans="1:256" s="678" customFormat="1" ht="17.25" hidden="1" customHeight="1">
      <c r="A222" s="1676"/>
      <c r="B222" s="550"/>
      <c r="C222" s="550"/>
      <c r="D222" s="550"/>
      <c r="E222" s="550"/>
      <c r="F222" s="550"/>
      <c r="G222" s="550"/>
      <c r="H222" s="550"/>
      <c r="I222" s="550"/>
      <c r="J222" s="676"/>
      <c r="K222" s="550"/>
      <c r="L222" s="550"/>
      <c r="M222" s="550"/>
      <c r="N222" s="550"/>
      <c r="O222" s="439"/>
      <c r="P222" s="439"/>
      <c r="Q222" s="439"/>
      <c r="R222" s="623"/>
      <c r="S222" s="671"/>
      <c r="T222" s="671"/>
      <c r="U222" s="671"/>
      <c r="V222" s="671"/>
      <c r="W222" s="671"/>
      <c r="X222" s="671"/>
      <c r="Y222" s="671"/>
      <c r="Z222" s="671"/>
      <c r="AA222" s="671"/>
      <c r="AB222" s="623"/>
      <c r="AC222" s="623"/>
      <c r="AD222" s="623"/>
      <c r="AE222" s="623"/>
      <c r="AF222" s="623"/>
      <c r="AG222" s="623"/>
      <c r="AH222" s="623"/>
      <c r="AI222" s="623"/>
      <c r="AJ222" s="623"/>
      <c r="AK222" s="623"/>
      <c r="AL222" s="623"/>
      <c r="AM222" s="623"/>
      <c r="AN222" s="623"/>
      <c r="AO222" s="623"/>
      <c r="AP222" s="623"/>
      <c r="AQ222" s="623"/>
      <c r="AR222" s="623"/>
      <c r="AS222" s="623"/>
      <c r="AT222" s="623"/>
      <c r="AU222" s="623"/>
      <c r="AV222" s="623"/>
      <c r="AW222" s="623"/>
      <c r="AX222" s="623"/>
      <c r="AY222" s="623"/>
      <c r="AZ222" s="623"/>
      <c r="BA222" s="623"/>
      <c r="BB222" s="623"/>
      <c r="BC222" s="623"/>
      <c r="BD222" s="623"/>
      <c r="BE222" s="623"/>
      <c r="BF222" s="623"/>
      <c r="BG222" s="623"/>
      <c r="BH222" s="623"/>
      <c r="BI222" s="623"/>
      <c r="BJ222" s="623"/>
      <c r="BK222" s="623"/>
      <c r="BL222" s="623"/>
      <c r="BM222" s="623"/>
      <c r="BN222" s="623"/>
      <c r="BO222" s="623"/>
      <c r="BP222" s="623"/>
      <c r="BQ222" s="623"/>
      <c r="BR222" s="623"/>
      <c r="BS222" s="623"/>
      <c r="BT222" s="623"/>
      <c r="BU222" s="623"/>
      <c r="BV222" s="623"/>
      <c r="BW222" s="623"/>
      <c r="BX222" s="623"/>
      <c r="BY222" s="623"/>
      <c r="BZ222" s="623"/>
      <c r="CA222" s="623"/>
      <c r="CB222" s="623"/>
      <c r="CC222" s="623"/>
      <c r="CD222" s="623"/>
      <c r="CE222" s="1669"/>
      <c r="CF222" s="623"/>
      <c r="CG222" s="623"/>
      <c r="CH222" s="623"/>
      <c r="CI222" s="623"/>
      <c r="CJ222" s="623"/>
      <c r="CK222" s="623"/>
      <c r="CL222" s="623"/>
      <c r="CM222" s="623"/>
      <c r="CN222" s="623"/>
      <c r="CO222" s="623"/>
      <c r="CP222" s="623"/>
      <c r="CQ222" s="623"/>
      <c r="CR222" s="623"/>
      <c r="CS222" s="623"/>
      <c r="CT222" s="623"/>
      <c r="CU222" s="623"/>
      <c r="CV222" s="623"/>
      <c r="CW222" s="623"/>
      <c r="CX222" s="623"/>
      <c r="CY222" s="817"/>
      <c r="CZ222" s="623"/>
      <c r="DA222" s="623"/>
      <c r="DB222" s="623"/>
      <c r="DC222" s="623"/>
      <c r="DD222" s="623"/>
      <c r="DE222" s="623"/>
      <c r="DF222" s="623"/>
      <c r="DG222" s="623"/>
      <c r="DH222" s="623"/>
      <c r="DI222" s="623"/>
      <c r="DJ222" s="623"/>
      <c r="DK222" s="623"/>
      <c r="DL222" s="623"/>
      <c r="DM222" s="623"/>
      <c r="DN222" s="623"/>
      <c r="DO222" s="623"/>
      <c r="DP222" s="623"/>
      <c r="DQ222" s="623"/>
      <c r="DR222" s="623"/>
      <c r="DS222" s="623"/>
      <c r="DT222" s="623"/>
      <c r="DU222" s="623"/>
      <c r="DV222" s="1675"/>
      <c r="DW222" s="530"/>
      <c r="DX222" s="530"/>
      <c r="DY222" s="530"/>
      <c r="DZ222" s="530"/>
      <c r="EA222" s="530"/>
      <c r="EB222" s="530"/>
      <c r="EC222" s="530"/>
      <c r="ED222" s="530"/>
      <c r="EE222" s="530"/>
      <c r="EF222" s="530"/>
      <c r="EG222" s="530"/>
      <c r="EH222" s="530"/>
      <c r="EI222" s="530"/>
      <c r="EJ222" s="530"/>
      <c r="EK222" s="530"/>
      <c r="EL222" s="530"/>
      <c r="EM222" s="530"/>
      <c r="EN222" s="530"/>
      <c r="EO222" s="530"/>
      <c r="EP222" s="530"/>
      <c r="EQ222" s="530"/>
      <c r="ER222" s="530"/>
      <c r="ES222" s="530"/>
      <c r="ET222" s="530"/>
      <c r="EU222" s="530"/>
      <c r="EV222" s="530"/>
      <c r="EW222" s="530"/>
      <c r="EX222" s="530"/>
      <c r="EY222" s="530"/>
      <c r="EZ222" s="530"/>
      <c r="FA222" s="530"/>
      <c r="FB222" s="530"/>
      <c r="FC222" s="530"/>
      <c r="FD222" s="530"/>
      <c r="FE222" s="530"/>
      <c r="FF222" s="530"/>
      <c r="FG222" s="530"/>
      <c r="FH222" s="530"/>
      <c r="FI222" s="530"/>
      <c r="FJ222" s="530"/>
      <c r="FK222" s="530"/>
      <c r="FL222" s="530"/>
      <c r="FM222" s="530"/>
      <c r="FN222" s="530"/>
      <c r="FO222" s="530"/>
      <c r="FP222" s="530"/>
      <c r="FQ222" s="530"/>
      <c r="FR222" s="530"/>
      <c r="FS222" s="530"/>
      <c r="FT222" s="530"/>
      <c r="FU222" s="530"/>
      <c r="FV222" s="530"/>
      <c r="FW222" s="530"/>
      <c r="FX222" s="530"/>
      <c r="FY222" s="530"/>
      <c r="FZ222" s="530"/>
      <c r="GA222" s="530"/>
      <c r="GB222" s="530"/>
      <c r="GC222" s="530"/>
      <c r="GD222" s="530"/>
      <c r="GE222" s="530"/>
      <c r="GF222" s="530"/>
      <c r="GG222" s="530"/>
      <c r="GH222" s="530"/>
      <c r="GI222" s="530"/>
      <c r="GJ222" s="530"/>
      <c r="GK222" s="530"/>
      <c r="GL222" s="530"/>
      <c r="GM222" s="530"/>
      <c r="GN222" s="530"/>
      <c r="GO222" s="530"/>
      <c r="GP222" s="530"/>
      <c r="GQ222" s="530"/>
      <c r="GR222" s="530"/>
      <c r="GS222" s="530"/>
      <c r="GT222" s="530"/>
      <c r="GU222" s="530"/>
      <c r="GV222" s="530"/>
      <c r="GW222" s="530"/>
      <c r="GX222" s="530"/>
      <c r="GY222" s="530"/>
      <c r="GZ222" s="530"/>
      <c r="HA222" s="530"/>
      <c r="HB222" s="530"/>
      <c r="HC222" s="530"/>
      <c r="HD222" s="530"/>
      <c r="HE222" s="530"/>
      <c r="HF222" s="530"/>
      <c r="HG222" s="530"/>
      <c r="HH222" s="530"/>
      <c r="HI222" s="530"/>
      <c r="HJ222" s="530"/>
      <c r="HK222" s="530"/>
      <c r="HL222" s="530"/>
      <c r="HM222" s="530"/>
      <c r="HN222" s="530"/>
      <c r="HO222" s="530"/>
      <c r="HP222" s="530"/>
      <c r="HQ222" s="530"/>
      <c r="HR222" s="530"/>
      <c r="HS222" s="530"/>
      <c r="HT222" s="530"/>
      <c r="HU222" s="530"/>
      <c r="HV222" s="530"/>
      <c r="HW222" s="530"/>
      <c r="HX222" s="530"/>
      <c r="HY222" s="530"/>
      <c r="HZ222" s="530"/>
      <c r="IA222" s="530"/>
      <c r="IB222" s="530"/>
      <c r="IC222" s="530"/>
      <c r="ID222" s="530"/>
      <c r="IE222" s="530"/>
      <c r="IF222" s="530"/>
      <c r="IG222" s="530"/>
      <c r="IH222" s="530"/>
      <c r="II222" s="530"/>
      <c r="IJ222" s="530"/>
      <c r="IK222" s="530"/>
      <c r="IL222" s="530"/>
      <c r="IM222" s="530"/>
      <c r="IN222" s="530"/>
      <c r="IO222" s="530"/>
      <c r="IP222" s="530"/>
      <c r="IQ222" s="530"/>
      <c r="IR222" s="530"/>
      <c r="IS222" s="530"/>
      <c r="IT222" s="530"/>
      <c r="IU222" s="530"/>
      <c r="IV222" s="530"/>
    </row>
    <row r="223" spans="1:256" s="717" customFormat="1" ht="18.75" hidden="1" customHeight="1">
      <c r="A223" s="1713"/>
      <c r="B223" s="1714"/>
      <c r="C223" s="1713"/>
      <c r="D223" s="1713"/>
      <c r="E223" s="1713"/>
      <c r="F223" s="1713"/>
      <c r="G223" s="1713"/>
      <c r="H223" s="1713"/>
      <c r="I223" s="1713"/>
      <c r="J223" s="1713"/>
      <c r="K223" s="1713"/>
      <c r="L223" s="1713"/>
      <c r="M223" s="1713"/>
      <c r="N223" s="1713"/>
      <c r="O223" s="1713"/>
      <c r="P223" s="1713"/>
      <c r="Q223" s="1713"/>
      <c r="R223" s="1713"/>
      <c r="S223" s="1713"/>
      <c r="T223" s="1713"/>
      <c r="U223" s="1713"/>
      <c r="V223" s="1713"/>
      <c r="W223" s="1713"/>
      <c r="X223" s="1713"/>
      <c r="Y223" s="1713"/>
      <c r="Z223" s="1713"/>
      <c r="AA223" s="1713"/>
      <c r="AB223" s="1713"/>
      <c r="AC223" s="1713"/>
      <c r="AD223" s="1713"/>
      <c r="AE223" s="1713"/>
      <c r="AF223" s="1713"/>
      <c r="AG223" s="1713"/>
      <c r="AH223" s="1713"/>
      <c r="AI223" s="1713"/>
      <c r="AJ223" s="1713"/>
      <c r="AK223" s="1713"/>
      <c r="AL223" s="1713"/>
      <c r="AM223" s="1713"/>
      <c r="AN223" s="1713"/>
      <c r="AO223" s="1713"/>
      <c r="AP223" s="1713"/>
      <c r="AQ223" s="1713"/>
      <c r="AR223" s="1713"/>
      <c r="AS223" s="1713"/>
      <c r="AT223" s="1713"/>
      <c r="AU223" s="1713"/>
      <c r="AV223" s="1713"/>
      <c r="AW223" s="1713"/>
      <c r="AX223" s="1713"/>
      <c r="AY223" s="1713"/>
      <c r="AZ223" s="1713"/>
      <c r="BA223" s="1713"/>
      <c r="BB223" s="1713"/>
      <c r="BC223" s="1713"/>
      <c r="BD223" s="1713"/>
      <c r="BE223" s="1713"/>
      <c r="BF223" s="1713"/>
      <c r="BG223" s="1713"/>
      <c r="BH223" s="1713"/>
      <c r="BI223" s="1713"/>
      <c r="BJ223" s="1713"/>
      <c r="BK223" s="1713"/>
      <c r="BL223" s="1713"/>
      <c r="BM223" s="1713"/>
      <c r="BN223" s="1713"/>
      <c r="BO223" s="1713"/>
      <c r="BP223" s="1713"/>
      <c r="BQ223" s="1713"/>
      <c r="BR223" s="1713"/>
      <c r="BS223" s="1713"/>
      <c r="BT223" s="1713"/>
      <c r="BU223" s="1713"/>
      <c r="BV223" s="1713"/>
      <c r="BW223" s="1713"/>
      <c r="BX223" s="1713"/>
      <c r="BY223" s="1713"/>
      <c r="BZ223" s="1713"/>
      <c r="CA223" s="1713"/>
      <c r="CB223" s="1713"/>
      <c r="CC223" s="1713"/>
      <c r="CD223" s="1713"/>
      <c r="CE223" s="1669"/>
      <c r="CF223" s="1713"/>
      <c r="CG223" s="1713"/>
      <c r="CH223" s="1713"/>
      <c r="CI223" s="1713"/>
      <c r="CJ223" s="1713"/>
      <c r="CK223" s="1713"/>
      <c r="CL223" s="1713"/>
      <c r="CM223" s="1713"/>
      <c r="CN223" s="1713"/>
      <c r="CO223" s="1713"/>
      <c r="CP223" s="1713"/>
      <c r="CQ223" s="1713"/>
      <c r="CR223" s="1713"/>
      <c r="CS223" s="1713"/>
      <c r="CT223" s="1713"/>
      <c r="CU223" s="1713"/>
      <c r="CV223" s="1713"/>
      <c r="CW223" s="1713"/>
      <c r="CX223" s="1713"/>
      <c r="CY223" s="1680"/>
      <c r="CZ223" s="1713"/>
      <c r="DA223" s="1713"/>
      <c r="DB223" s="1713"/>
      <c r="DC223" s="1713"/>
      <c r="DD223" s="1713"/>
      <c r="DE223" s="1713"/>
      <c r="DF223" s="1713"/>
      <c r="DG223" s="1713"/>
      <c r="DH223" s="1713"/>
      <c r="DI223" s="1713"/>
      <c r="DJ223" s="1713"/>
      <c r="DK223" s="1713"/>
      <c r="DL223" s="1713"/>
      <c r="DM223" s="1713"/>
      <c r="DN223" s="1713"/>
      <c r="DO223" s="1713"/>
      <c r="DP223" s="1713"/>
      <c r="DQ223" s="1713"/>
      <c r="DR223" s="1713"/>
      <c r="DS223" s="1713"/>
      <c r="DT223" s="1713"/>
      <c r="DU223" s="1715"/>
      <c r="DV223" s="1716"/>
    </row>
    <row r="224" spans="1:256" s="545" customFormat="1" ht="18" hidden="1" customHeight="1">
      <c r="A224" s="1685"/>
      <c r="B224" s="1023"/>
      <c r="C224" s="1023"/>
      <c r="D224" s="1023"/>
      <c r="E224" s="1023"/>
      <c r="F224" s="1023"/>
      <c r="G224" s="1023"/>
      <c r="H224" s="1023"/>
      <c r="I224" s="1023"/>
      <c r="J224" s="1023"/>
      <c r="K224" s="1023"/>
      <c r="L224" s="1023"/>
      <c r="M224" s="1023"/>
      <c r="N224" s="1023"/>
      <c r="O224" s="1023"/>
      <c r="P224" s="1023"/>
      <c r="Q224" s="1023"/>
      <c r="R224" s="1023"/>
      <c r="S224" s="1023"/>
      <c r="T224" s="1023"/>
      <c r="U224" s="1023"/>
      <c r="V224" s="1023"/>
      <c r="W224" s="1023"/>
      <c r="X224" s="1023"/>
      <c r="Y224" s="1023"/>
      <c r="Z224" s="1023"/>
      <c r="AA224" s="1023"/>
      <c r="AB224" s="1023"/>
      <c r="AC224" s="1023"/>
      <c r="AD224" s="1023"/>
      <c r="AE224" s="1023"/>
      <c r="AF224" s="1023"/>
      <c r="AG224" s="1023"/>
      <c r="AH224" s="1023"/>
      <c r="AI224" s="1023"/>
      <c r="AJ224" s="1023"/>
      <c r="AK224" s="1023"/>
      <c r="AL224" s="1023"/>
      <c r="AM224" s="1023"/>
      <c r="AN224" s="1023"/>
      <c r="AO224" s="1023"/>
      <c r="AP224" s="1023"/>
      <c r="AQ224" s="1023"/>
      <c r="AR224" s="1023"/>
      <c r="AS224" s="1023"/>
      <c r="AT224" s="1023"/>
      <c r="AU224" s="1023"/>
      <c r="AV224" s="1023"/>
      <c r="AW224" s="1023"/>
      <c r="AX224" s="1023"/>
      <c r="AY224" s="1023"/>
      <c r="AZ224" s="1023"/>
      <c r="BA224" s="1023"/>
      <c r="BB224" s="1023"/>
      <c r="BC224" s="1023"/>
      <c r="BD224" s="1023"/>
      <c r="BE224" s="1023"/>
      <c r="BF224" s="1023"/>
      <c r="BG224" s="1023"/>
      <c r="BH224" s="1023"/>
      <c r="BI224" s="1023"/>
      <c r="BJ224" s="1023"/>
      <c r="BK224" s="1023"/>
      <c r="BL224" s="1023"/>
      <c r="BM224" s="1023"/>
      <c r="BN224" s="1023"/>
      <c r="BO224" s="1023"/>
      <c r="BP224" s="1023"/>
      <c r="BQ224" s="1023"/>
      <c r="BR224" s="1023"/>
      <c r="BS224" s="1023"/>
      <c r="BT224" s="1023"/>
      <c r="BU224" s="1023"/>
      <c r="BV224" s="1023"/>
      <c r="BW224" s="1023"/>
      <c r="BX224" s="1023"/>
      <c r="BY224" s="1023"/>
      <c r="BZ224" s="1023"/>
      <c r="CA224" s="1023"/>
      <c r="CB224" s="1023"/>
      <c r="CC224" s="1023"/>
      <c r="CD224" s="1023"/>
      <c r="CE224" s="1669"/>
      <c r="CF224" s="1023"/>
      <c r="CG224" s="1023"/>
      <c r="CH224" s="1023"/>
      <c r="CI224" s="1023"/>
      <c r="CJ224" s="1023"/>
      <c r="CK224" s="1023"/>
      <c r="CL224" s="1023"/>
      <c r="CM224" s="1023"/>
      <c r="CN224" s="1023"/>
      <c r="CO224" s="1023"/>
      <c r="CP224" s="1023"/>
      <c r="CQ224" s="1023"/>
      <c r="CR224" s="1023"/>
      <c r="CS224" s="1023"/>
      <c r="CT224" s="1023"/>
      <c r="CU224" s="1023"/>
      <c r="CV224" s="1023"/>
      <c r="CW224" s="1023"/>
      <c r="CX224" s="1023"/>
      <c r="CY224" s="1683"/>
      <c r="CZ224" s="1023"/>
      <c r="DA224" s="1023"/>
      <c r="DB224" s="1023"/>
      <c r="DC224" s="1023"/>
      <c r="DD224" s="1023"/>
      <c r="DE224" s="1023"/>
      <c r="DF224" s="1023"/>
      <c r="DG224" s="1023"/>
      <c r="DH224" s="1023"/>
      <c r="DI224" s="1023"/>
      <c r="DJ224" s="1023"/>
      <c r="DK224" s="1023"/>
      <c r="DL224" s="1023"/>
      <c r="DM224" s="1023"/>
      <c r="DN224" s="1023"/>
      <c r="DO224" s="1023"/>
      <c r="DP224" s="1023"/>
      <c r="DQ224" s="1023"/>
      <c r="DR224" s="1023"/>
      <c r="DS224" s="1023"/>
      <c r="DT224" s="1023"/>
      <c r="DU224" s="1023"/>
      <c r="DV224" s="1684"/>
      <c r="DW224" s="530"/>
      <c r="DX224" s="530"/>
      <c r="DY224" s="530"/>
      <c r="DZ224" s="530"/>
      <c r="EA224" s="530"/>
      <c r="EB224" s="530"/>
      <c r="EC224" s="530"/>
      <c r="ED224" s="530"/>
      <c r="EE224" s="530"/>
      <c r="EF224" s="530"/>
      <c r="EG224" s="530"/>
      <c r="EH224" s="530"/>
      <c r="EI224" s="530"/>
      <c r="EJ224" s="530"/>
      <c r="EK224" s="530"/>
      <c r="EL224" s="530"/>
      <c r="EM224" s="530"/>
      <c r="EN224" s="530"/>
      <c r="EO224" s="530"/>
      <c r="EP224" s="530"/>
      <c r="EQ224" s="530"/>
      <c r="ER224" s="530"/>
      <c r="ES224" s="530"/>
      <c r="ET224" s="530"/>
      <c r="EU224" s="530"/>
      <c r="EV224" s="530"/>
      <c r="EW224" s="530"/>
      <c r="EX224" s="530"/>
      <c r="EY224" s="530"/>
      <c r="EZ224" s="530"/>
      <c r="FA224" s="530"/>
      <c r="FB224" s="530"/>
      <c r="FC224" s="530"/>
      <c r="FD224" s="530"/>
      <c r="FE224" s="530"/>
      <c r="FF224" s="530"/>
      <c r="FG224" s="530"/>
      <c r="FH224" s="530"/>
      <c r="FI224" s="530"/>
      <c r="FJ224" s="530"/>
      <c r="FK224" s="530"/>
      <c r="FL224" s="530"/>
      <c r="FM224" s="530"/>
      <c r="FN224" s="530"/>
      <c r="FO224" s="530"/>
      <c r="FP224" s="530"/>
      <c r="FQ224" s="530"/>
      <c r="FR224" s="530"/>
      <c r="FS224" s="530"/>
      <c r="FT224" s="530"/>
      <c r="FU224" s="530"/>
      <c r="FV224" s="530"/>
      <c r="FW224" s="530"/>
      <c r="FX224" s="530"/>
      <c r="FY224" s="530"/>
      <c r="FZ224" s="530"/>
      <c r="GA224" s="530"/>
      <c r="GB224" s="530"/>
      <c r="GC224" s="530"/>
      <c r="GD224" s="530"/>
      <c r="GE224" s="530"/>
      <c r="GF224" s="530"/>
      <c r="GG224" s="530"/>
      <c r="GH224" s="530"/>
      <c r="GI224" s="530"/>
      <c r="GJ224" s="530"/>
      <c r="GK224" s="530"/>
      <c r="GL224" s="530"/>
      <c r="GM224" s="530"/>
      <c r="GN224" s="530"/>
      <c r="GO224" s="530"/>
      <c r="GP224" s="530"/>
      <c r="GQ224" s="530"/>
      <c r="GR224" s="530"/>
      <c r="GS224" s="530"/>
      <c r="GT224" s="530"/>
      <c r="GU224" s="530"/>
      <c r="GV224" s="530"/>
      <c r="GW224" s="530"/>
      <c r="GX224" s="530"/>
      <c r="GY224" s="530"/>
      <c r="GZ224" s="530"/>
      <c r="HA224" s="530"/>
      <c r="HB224" s="530"/>
      <c r="HC224" s="530"/>
      <c r="HD224" s="530"/>
      <c r="HE224" s="530"/>
      <c r="HF224" s="530"/>
      <c r="HG224" s="530"/>
      <c r="HH224" s="530"/>
      <c r="HI224" s="530"/>
      <c r="HJ224" s="530"/>
      <c r="HK224" s="530"/>
      <c r="HL224" s="530"/>
      <c r="HM224" s="530"/>
      <c r="HN224" s="530"/>
      <c r="HO224" s="530"/>
      <c r="HP224" s="530"/>
      <c r="HQ224" s="530"/>
      <c r="HR224" s="530"/>
      <c r="HS224" s="530"/>
      <c r="HT224" s="530"/>
      <c r="HU224" s="530"/>
      <c r="HV224" s="530"/>
      <c r="HW224" s="530"/>
      <c r="HX224" s="530"/>
      <c r="HY224" s="530"/>
      <c r="HZ224" s="530"/>
      <c r="IA224" s="530"/>
      <c r="IB224" s="530"/>
      <c r="IC224" s="530"/>
      <c r="ID224" s="530"/>
      <c r="IE224" s="530"/>
      <c r="IF224" s="530"/>
      <c r="IG224" s="530"/>
      <c r="IH224" s="530"/>
      <c r="II224" s="530"/>
      <c r="IJ224" s="530"/>
      <c r="IK224" s="530"/>
      <c r="IL224" s="530"/>
      <c r="IM224" s="530"/>
      <c r="IN224" s="530"/>
      <c r="IO224" s="530"/>
      <c r="IP224" s="530"/>
      <c r="IQ224" s="530"/>
      <c r="IR224" s="530"/>
      <c r="IS224" s="530"/>
      <c r="IT224" s="530"/>
      <c r="IU224" s="530"/>
      <c r="IV224" s="530"/>
    </row>
    <row r="225" spans="1:256" ht="17.25" hidden="1" customHeight="1">
      <c r="A225" s="1676"/>
      <c r="B225" s="550"/>
      <c r="C225" s="550"/>
      <c r="D225" s="550"/>
      <c r="E225" s="550"/>
      <c r="F225" s="550"/>
      <c r="G225" s="550"/>
      <c r="H225" s="550"/>
      <c r="I225" s="550"/>
      <c r="J225" s="550"/>
      <c r="K225" s="550"/>
      <c r="L225" s="550"/>
      <c r="M225" s="550"/>
      <c r="N225" s="550"/>
      <c r="O225" s="439"/>
      <c r="P225" s="439"/>
      <c r="Q225" s="674"/>
      <c r="R225" s="671"/>
      <c r="S225" s="671"/>
      <c r="T225" s="671"/>
      <c r="U225" s="671"/>
      <c r="V225" s="671"/>
      <c r="W225" s="671"/>
      <c r="X225" s="671"/>
      <c r="Y225" s="671"/>
      <c r="Z225" s="671"/>
      <c r="AA225" s="671"/>
      <c r="AB225" s="671"/>
      <c r="AC225" s="671"/>
      <c r="AD225" s="671"/>
      <c r="AE225" s="623"/>
      <c r="AF225" s="623"/>
      <c r="AG225" s="623"/>
      <c r="AH225" s="623"/>
      <c r="AI225" s="623"/>
      <c r="AJ225" s="623"/>
      <c r="AK225" s="623"/>
      <c r="AL225" s="623"/>
      <c r="AM225" s="623"/>
      <c r="AN225" s="623"/>
      <c r="AO225" s="623"/>
      <c r="AP225" s="623"/>
      <c r="AQ225" s="623"/>
      <c r="AR225" s="623"/>
      <c r="AS225" s="623"/>
      <c r="AT225" s="623"/>
      <c r="AU225" s="623"/>
      <c r="AV225" s="623"/>
      <c r="AW225" s="623"/>
      <c r="AX225" s="623"/>
      <c r="AY225" s="623"/>
      <c r="AZ225" s="623"/>
      <c r="BA225" s="623"/>
      <c r="BB225" s="623"/>
      <c r="BC225" s="623"/>
      <c r="BD225" s="623"/>
      <c r="BE225" s="623"/>
      <c r="BF225" s="623"/>
      <c r="BG225" s="623"/>
      <c r="BH225" s="623"/>
      <c r="BI225" s="623"/>
      <c r="BJ225" s="623"/>
      <c r="BK225" s="623"/>
      <c r="BL225" s="623"/>
      <c r="BM225" s="623"/>
      <c r="BN225" s="623"/>
      <c r="BO225" s="623"/>
      <c r="BP225" s="623"/>
      <c r="BQ225" s="623"/>
      <c r="BR225" s="623"/>
      <c r="BS225" s="623"/>
      <c r="BT225" s="623"/>
      <c r="BU225" s="623"/>
      <c r="BV225" s="623"/>
      <c r="BW225" s="623"/>
      <c r="BX225" s="623"/>
      <c r="BY225" s="623"/>
      <c r="BZ225" s="623"/>
      <c r="CA225" s="623"/>
      <c r="CB225" s="623"/>
      <c r="CC225" s="623"/>
      <c r="CD225" s="623"/>
      <c r="CE225" s="1669"/>
      <c r="CF225" s="623"/>
      <c r="CG225" s="623"/>
      <c r="CH225" s="623"/>
      <c r="CI225" s="623"/>
      <c r="CJ225" s="623"/>
      <c r="CK225" s="623"/>
      <c r="CL225" s="623"/>
      <c r="CM225" s="623"/>
      <c r="CN225" s="623"/>
      <c r="CO225" s="623"/>
      <c r="CP225" s="623"/>
      <c r="CQ225" s="623"/>
      <c r="CR225" s="623"/>
      <c r="CS225" s="623"/>
      <c r="CT225" s="623"/>
      <c r="CU225" s="623"/>
      <c r="CV225" s="623"/>
      <c r="CW225" s="623"/>
      <c r="CX225" s="623"/>
      <c r="CY225" s="817"/>
      <c r="CZ225" s="623"/>
      <c r="DA225" s="623"/>
      <c r="DB225" s="623"/>
      <c r="DC225" s="623"/>
      <c r="DD225" s="623"/>
      <c r="DE225" s="623"/>
      <c r="DF225" s="623"/>
      <c r="DG225" s="623"/>
      <c r="DH225" s="623"/>
      <c r="DI225" s="623"/>
      <c r="DJ225" s="623"/>
      <c r="DK225" s="623"/>
      <c r="DL225" s="623"/>
      <c r="DM225" s="623"/>
      <c r="DN225" s="623"/>
      <c r="DO225" s="623"/>
      <c r="DP225" s="623"/>
      <c r="DQ225" s="623"/>
      <c r="DR225" s="623"/>
      <c r="DS225" s="623"/>
      <c r="DT225" s="623"/>
      <c r="DU225" s="623"/>
      <c r="DV225" s="1675"/>
      <c r="IR225" s="542"/>
      <c r="IS225" s="542"/>
      <c r="IT225" s="542"/>
      <c r="IU225" s="542"/>
      <c r="IV225" s="542"/>
    </row>
    <row r="226" spans="1:256" ht="17.25" hidden="1" customHeight="1">
      <c r="A226" s="1676"/>
      <c r="B226" s="550"/>
      <c r="C226" s="550"/>
      <c r="D226" s="550"/>
      <c r="E226" s="550"/>
      <c r="F226" s="550"/>
      <c r="G226" s="550"/>
      <c r="H226" s="550"/>
      <c r="I226" s="550"/>
      <c r="J226" s="550"/>
      <c r="K226" s="550"/>
      <c r="L226" s="550"/>
      <c r="M226" s="550"/>
      <c r="N226" s="550"/>
      <c r="O226" s="439"/>
      <c r="P226" s="439"/>
      <c r="Q226" s="674"/>
      <c r="R226" s="671"/>
      <c r="S226" s="671"/>
      <c r="T226" s="671"/>
      <c r="U226" s="671"/>
      <c r="V226" s="671"/>
      <c r="W226" s="671"/>
      <c r="X226" s="671"/>
      <c r="Y226" s="671"/>
      <c r="Z226" s="671"/>
      <c r="AA226" s="671"/>
      <c r="AB226" s="671"/>
      <c r="AC226" s="671"/>
      <c r="AD226" s="671"/>
      <c r="AE226" s="623"/>
      <c r="AF226" s="623"/>
      <c r="AG226" s="623"/>
      <c r="AH226" s="623"/>
      <c r="AI226" s="623"/>
      <c r="AJ226" s="623"/>
      <c r="AK226" s="623"/>
      <c r="AL226" s="623"/>
      <c r="AM226" s="623"/>
      <c r="AN226" s="623"/>
      <c r="AO226" s="623"/>
      <c r="AP226" s="623"/>
      <c r="AQ226" s="623"/>
      <c r="AR226" s="623"/>
      <c r="AS226" s="623"/>
      <c r="AT226" s="623"/>
      <c r="AU226" s="623"/>
      <c r="AV226" s="623"/>
      <c r="AW226" s="623"/>
      <c r="AX226" s="623"/>
      <c r="AY226" s="623"/>
      <c r="AZ226" s="623"/>
      <c r="BA226" s="623"/>
      <c r="BB226" s="623"/>
      <c r="BC226" s="623"/>
      <c r="BD226" s="623"/>
      <c r="BE226" s="623"/>
      <c r="BF226" s="623"/>
      <c r="BG226" s="623"/>
      <c r="BH226" s="623"/>
      <c r="BI226" s="623"/>
      <c r="BJ226" s="623"/>
      <c r="BK226" s="623"/>
      <c r="BL226" s="623"/>
      <c r="BM226" s="623"/>
      <c r="BN226" s="623"/>
      <c r="BO226" s="623"/>
      <c r="BP226" s="623"/>
      <c r="BQ226" s="623"/>
      <c r="BR226" s="623"/>
      <c r="BS226" s="623"/>
      <c r="BT226" s="623"/>
      <c r="BU226" s="623"/>
      <c r="BV226" s="623"/>
      <c r="BW226" s="623"/>
      <c r="BX226" s="623"/>
      <c r="BY226" s="623"/>
      <c r="BZ226" s="623"/>
      <c r="CA226" s="623"/>
      <c r="CB226" s="623"/>
      <c r="CC226" s="623"/>
      <c r="CD226" s="623"/>
      <c r="CE226" s="1669"/>
      <c r="CF226" s="623"/>
      <c r="CG226" s="623"/>
      <c r="CH226" s="623"/>
      <c r="CI226" s="623"/>
      <c r="CJ226" s="623"/>
      <c r="CK226" s="623"/>
      <c r="CL226" s="623"/>
      <c r="CM226" s="623"/>
      <c r="CN226" s="623"/>
      <c r="CO226" s="623"/>
      <c r="CP226" s="623"/>
      <c r="CQ226" s="623"/>
      <c r="CR226" s="623"/>
      <c r="CS226" s="623"/>
      <c r="CT226" s="623"/>
      <c r="CU226" s="623"/>
      <c r="CV226" s="623"/>
      <c r="CW226" s="623"/>
      <c r="CX226" s="623"/>
      <c r="CY226" s="817"/>
      <c r="CZ226" s="623"/>
      <c r="DA226" s="623"/>
      <c r="DB226" s="623"/>
      <c r="DC226" s="623"/>
      <c r="DD226" s="623"/>
      <c r="DE226" s="623"/>
      <c r="DF226" s="623"/>
      <c r="DG226" s="623"/>
      <c r="DH226" s="623"/>
      <c r="DI226" s="623"/>
      <c r="DJ226" s="623"/>
      <c r="DK226" s="623"/>
      <c r="DL226" s="623"/>
      <c r="DM226" s="623"/>
      <c r="DN226" s="623"/>
      <c r="DO226" s="623"/>
      <c r="DP226" s="623"/>
      <c r="DQ226" s="623"/>
      <c r="DR226" s="623"/>
      <c r="DS226" s="623"/>
      <c r="DT226" s="623"/>
      <c r="DU226" s="623"/>
      <c r="DV226" s="1675"/>
    </row>
    <row r="227" spans="1:256" ht="17.25" hidden="1" customHeight="1">
      <c r="A227" s="1676"/>
      <c r="B227" s="550"/>
      <c r="C227" s="550"/>
      <c r="D227" s="550"/>
      <c r="E227" s="550"/>
      <c r="F227" s="550"/>
      <c r="G227" s="550"/>
      <c r="H227" s="550"/>
      <c r="I227" s="550"/>
      <c r="J227" s="550"/>
      <c r="K227" s="550"/>
      <c r="L227" s="550"/>
      <c r="M227" s="550"/>
      <c r="N227" s="550"/>
      <c r="O227" s="439"/>
      <c r="P227" s="439"/>
      <c r="Q227" s="674"/>
      <c r="R227" s="671"/>
      <c r="S227" s="671"/>
      <c r="T227" s="671"/>
      <c r="U227" s="671"/>
      <c r="V227" s="671"/>
      <c r="W227" s="671"/>
      <c r="X227" s="671"/>
      <c r="Y227" s="671"/>
      <c r="Z227" s="671"/>
      <c r="AA227" s="671"/>
      <c r="AB227" s="671"/>
      <c r="AC227" s="671"/>
      <c r="AD227" s="671"/>
      <c r="AE227" s="623"/>
      <c r="AF227" s="623"/>
      <c r="AG227" s="623"/>
      <c r="AH227" s="623"/>
      <c r="AI227" s="623"/>
      <c r="AJ227" s="623"/>
      <c r="AK227" s="623"/>
      <c r="AL227" s="623"/>
      <c r="AM227" s="623"/>
      <c r="AN227" s="623"/>
      <c r="AO227" s="623"/>
      <c r="AP227" s="623"/>
      <c r="AQ227" s="623"/>
      <c r="AR227" s="623"/>
      <c r="AS227" s="623"/>
      <c r="AT227" s="623"/>
      <c r="AU227" s="623"/>
      <c r="AV227" s="623"/>
      <c r="AW227" s="623"/>
      <c r="AX227" s="623"/>
      <c r="AY227" s="623"/>
      <c r="AZ227" s="623"/>
      <c r="BA227" s="623"/>
      <c r="BB227" s="623"/>
      <c r="BC227" s="623"/>
      <c r="BD227" s="623"/>
      <c r="BE227" s="623"/>
      <c r="BF227" s="623"/>
      <c r="BG227" s="623"/>
      <c r="BH227" s="623"/>
      <c r="BI227" s="623"/>
      <c r="BJ227" s="623"/>
      <c r="BK227" s="623"/>
      <c r="BL227" s="623"/>
      <c r="BM227" s="623"/>
      <c r="BN227" s="623"/>
      <c r="BO227" s="623"/>
      <c r="BP227" s="623"/>
      <c r="BQ227" s="623"/>
      <c r="BR227" s="623"/>
      <c r="BS227" s="623"/>
      <c r="BT227" s="623"/>
      <c r="BU227" s="623"/>
      <c r="BV227" s="623"/>
      <c r="BW227" s="623"/>
      <c r="BX227" s="623"/>
      <c r="BY227" s="623"/>
      <c r="BZ227" s="623"/>
      <c r="CA227" s="623"/>
      <c r="CB227" s="623"/>
      <c r="CC227" s="623"/>
      <c r="CD227" s="623"/>
      <c r="CE227" s="1669"/>
      <c r="CF227" s="623"/>
      <c r="CG227" s="623"/>
      <c r="CH227" s="623"/>
      <c r="CI227" s="623"/>
      <c r="CJ227" s="623"/>
      <c r="CK227" s="623"/>
      <c r="CL227" s="623"/>
      <c r="CM227" s="623"/>
      <c r="CN227" s="623"/>
      <c r="CO227" s="623"/>
      <c r="CP227" s="623"/>
      <c r="CQ227" s="623"/>
      <c r="CR227" s="623"/>
      <c r="CS227" s="623"/>
      <c r="CT227" s="623"/>
      <c r="CU227" s="623"/>
      <c r="CV227" s="623"/>
      <c r="CW227" s="623"/>
      <c r="CX227" s="623"/>
      <c r="CY227" s="817"/>
      <c r="CZ227" s="623"/>
      <c r="DA227" s="623"/>
      <c r="DB227" s="623"/>
      <c r="DC227" s="623"/>
      <c r="DD227" s="623"/>
      <c r="DE227" s="623"/>
      <c r="DF227" s="623"/>
      <c r="DG227" s="623"/>
      <c r="DH227" s="623"/>
      <c r="DI227" s="623"/>
      <c r="DJ227" s="623"/>
      <c r="DK227" s="623"/>
      <c r="DL227" s="623"/>
      <c r="DM227" s="623"/>
      <c r="DN227" s="623"/>
      <c r="DO227" s="623"/>
      <c r="DP227" s="623"/>
      <c r="DQ227" s="623"/>
      <c r="DR227" s="623"/>
      <c r="DS227" s="623"/>
      <c r="DT227" s="623"/>
      <c r="DU227" s="623"/>
      <c r="DV227" s="1675"/>
    </row>
    <row r="228" spans="1:256" ht="17.25" hidden="1" customHeight="1">
      <c r="A228" s="1676"/>
      <c r="B228" s="550"/>
      <c r="C228" s="550"/>
      <c r="D228" s="550"/>
      <c r="E228" s="550"/>
      <c r="F228" s="550"/>
      <c r="G228" s="550"/>
      <c r="H228" s="550"/>
      <c r="I228" s="550"/>
      <c r="J228" s="550"/>
      <c r="K228" s="550"/>
      <c r="L228" s="550"/>
      <c r="M228" s="550"/>
      <c r="N228" s="550"/>
      <c r="O228" s="439"/>
      <c r="P228" s="439"/>
      <c r="Q228" s="674"/>
      <c r="R228" s="671"/>
      <c r="S228" s="671"/>
      <c r="T228" s="671"/>
      <c r="U228" s="671"/>
      <c r="V228" s="671"/>
      <c r="W228" s="671"/>
      <c r="X228" s="671"/>
      <c r="Y228" s="671"/>
      <c r="Z228" s="671"/>
      <c r="AA228" s="671"/>
      <c r="AB228" s="671"/>
      <c r="AC228" s="671"/>
      <c r="AD228" s="671"/>
      <c r="AE228" s="623"/>
      <c r="AF228" s="623"/>
      <c r="AG228" s="623"/>
      <c r="AH228" s="623"/>
      <c r="AI228" s="623"/>
      <c r="AJ228" s="623"/>
      <c r="AK228" s="623"/>
      <c r="AL228" s="623"/>
      <c r="AM228" s="623"/>
      <c r="AN228" s="623"/>
      <c r="AO228" s="623"/>
      <c r="AP228" s="623"/>
      <c r="AQ228" s="623"/>
      <c r="AR228" s="623"/>
      <c r="AS228" s="623"/>
      <c r="AT228" s="623"/>
      <c r="AU228" s="623"/>
      <c r="AV228" s="623"/>
      <c r="AW228" s="623"/>
      <c r="AX228" s="623"/>
      <c r="AY228" s="623"/>
      <c r="AZ228" s="623"/>
      <c r="BA228" s="623"/>
      <c r="BB228" s="623"/>
      <c r="BC228" s="623"/>
      <c r="BD228" s="623"/>
      <c r="BE228" s="623"/>
      <c r="BF228" s="623"/>
      <c r="BG228" s="623"/>
      <c r="BH228" s="623"/>
      <c r="BI228" s="623"/>
      <c r="BJ228" s="623"/>
      <c r="BK228" s="623"/>
      <c r="BL228" s="623"/>
      <c r="BM228" s="623"/>
      <c r="BN228" s="623"/>
      <c r="BO228" s="623"/>
      <c r="BP228" s="623"/>
      <c r="BQ228" s="623"/>
      <c r="BR228" s="623"/>
      <c r="BS228" s="623"/>
      <c r="BT228" s="623"/>
      <c r="BU228" s="623"/>
      <c r="BV228" s="623"/>
      <c r="BW228" s="623"/>
      <c r="BX228" s="623"/>
      <c r="BY228" s="623"/>
      <c r="BZ228" s="623"/>
      <c r="CA228" s="623"/>
      <c r="CB228" s="623"/>
      <c r="CC228" s="623"/>
      <c r="CD228" s="623"/>
      <c r="CE228" s="1669"/>
      <c r="CF228" s="623"/>
      <c r="CG228" s="623"/>
      <c r="CH228" s="623"/>
      <c r="CI228" s="623"/>
      <c r="CJ228" s="623"/>
      <c r="CK228" s="623"/>
      <c r="CL228" s="623"/>
      <c r="CM228" s="623"/>
      <c r="CN228" s="623"/>
      <c r="CO228" s="623"/>
      <c r="CP228" s="623"/>
      <c r="CQ228" s="623"/>
      <c r="CR228" s="623"/>
      <c r="CS228" s="623"/>
      <c r="CT228" s="623"/>
      <c r="CU228" s="623"/>
      <c r="CV228" s="623"/>
      <c r="CW228" s="623"/>
      <c r="CX228" s="623"/>
      <c r="CY228" s="817"/>
      <c r="CZ228" s="623"/>
      <c r="DA228" s="623"/>
      <c r="DB228" s="623"/>
      <c r="DC228" s="623"/>
      <c r="DD228" s="623"/>
      <c r="DE228" s="623"/>
      <c r="DF228" s="623"/>
      <c r="DG228" s="623"/>
      <c r="DH228" s="623"/>
      <c r="DI228" s="623"/>
      <c r="DJ228" s="623"/>
      <c r="DK228" s="623"/>
      <c r="DL228" s="623"/>
      <c r="DM228" s="623"/>
      <c r="DN228" s="623"/>
      <c r="DO228" s="623"/>
      <c r="DP228" s="623"/>
      <c r="DQ228" s="623"/>
      <c r="DR228" s="623"/>
      <c r="DS228" s="623"/>
      <c r="DT228" s="623"/>
      <c r="DU228" s="623"/>
      <c r="DV228" s="1675"/>
    </row>
    <row r="229" spans="1:256" ht="17.25" hidden="1" customHeight="1">
      <c r="A229" s="1676"/>
      <c r="B229" s="550"/>
      <c r="C229" s="550"/>
      <c r="D229" s="550"/>
      <c r="E229" s="550"/>
      <c r="F229" s="550"/>
      <c r="G229" s="550"/>
      <c r="H229" s="550"/>
      <c r="I229" s="550"/>
      <c r="J229" s="550"/>
      <c r="K229" s="550"/>
      <c r="L229" s="550"/>
      <c r="M229" s="550"/>
      <c r="N229" s="550"/>
      <c r="O229" s="439"/>
      <c r="P229" s="439"/>
      <c r="Q229" s="674"/>
      <c r="R229" s="671"/>
      <c r="S229" s="671"/>
      <c r="T229" s="671"/>
      <c r="U229" s="671"/>
      <c r="V229" s="671"/>
      <c r="W229" s="671"/>
      <c r="X229" s="671"/>
      <c r="Y229" s="671"/>
      <c r="Z229" s="671"/>
      <c r="AA229" s="671"/>
      <c r="AB229" s="671"/>
      <c r="AC229" s="671"/>
      <c r="AD229" s="671"/>
      <c r="AE229" s="623"/>
      <c r="AF229" s="623"/>
      <c r="AG229" s="623"/>
      <c r="AH229" s="623"/>
      <c r="AI229" s="623"/>
      <c r="AJ229" s="623"/>
      <c r="AK229" s="623"/>
      <c r="AL229" s="623"/>
      <c r="AM229" s="623"/>
      <c r="AN229" s="623"/>
      <c r="AO229" s="623"/>
      <c r="AP229" s="623"/>
      <c r="AQ229" s="623"/>
      <c r="AR229" s="623"/>
      <c r="AS229" s="623"/>
      <c r="AT229" s="623"/>
      <c r="AU229" s="623"/>
      <c r="AV229" s="623"/>
      <c r="AW229" s="623"/>
      <c r="AX229" s="623"/>
      <c r="AY229" s="623"/>
      <c r="AZ229" s="623"/>
      <c r="BA229" s="623"/>
      <c r="BB229" s="623"/>
      <c r="BC229" s="623"/>
      <c r="BD229" s="623"/>
      <c r="BE229" s="623"/>
      <c r="BF229" s="623"/>
      <c r="BG229" s="623"/>
      <c r="BH229" s="623"/>
      <c r="BI229" s="623"/>
      <c r="BJ229" s="623"/>
      <c r="BK229" s="623"/>
      <c r="BL229" s="623"/>
      <c r="BM229" s="623"/>
      <c r="BN229" s="623"/>
      <c r="BO229" s="623"/>
      <c r="BP229" s="623"/>
      <c r="BQ229" s="623"/>
      <c r="BR229" s="623"/>
      <c r="BS229" s="623"/>
      <c r="BT229" s="623"/>
      <c r="BU229" s="623"/>
      <c r="BV229" s="623"/>
      <c r="BW229" s="623"/>
      <c r="BX229" s="623"/>
      <c r="BY229" s="623"/>
      <c r="BZ229" s="623"/>
      <c r="CA229" s="623"/>
      <c r="CB229" s="623"/>
      <c r="CC229" s="623"/>
      <c r="CD229" s="623"/>
      <c r="CE229" s="1669"/>
      <c r="CF229" s="623"/>
      <c r="CG229" s="623"/>
      <c r="CH229" s="623"/>
      <c r="CI229" s="623"/>
      <c r="CJ229" s="623"/>
      <c r="CK229" s="623"/>
      <c r="CL229" s="623"/>
      <c r="CM229" s="623"/>
      <c r="CN229" s="623"/>
      <c r="CO229" s="623"/>
      <c r="CP229" s="623"/>
      <c r="CQ229" s="623"/>
      <c r="CR229" s="623"/>
      <c r="CS229" s="623"/>
      <c r="CT229" s="623"/>
      <c r="CU229" s="623"/>
      <c r="CV229" s="623"/>
      <c r="CW229" s="623"/>
      <c r="CX229" s="623"/>
      <c r="CY229" s="817"/>
      <c r="CZ229" s="623"/>
      <c r="DA229" s="623"/>
      <c r="DB229" s="623"/>
      <c r="DC229" s="623"/>
      <c r="DD229" s="623"/>
      <c r="DE229" s="623"/>
      <c r="DF229" s="623"/>
      <c r="DG229" s="623"/>
      <c r="DH229" s="623"/>
      <c r="DI229" s="623"/>
      <c r="DJ229" s="623"/>
      <c r="DK229" s="623"/>
      <c r="DL229" s="623"/>
      <c r="DM229" s="623"/>
      <c r="DN229" s="623"/>
      <c r="DO229" s="623"/>
      <c r="DP229" s="623"/>
      <c r="DQ229" s="623"/>
      <c r="DR229" s="623"/>
      <c r="DS229" s="623"/>
      <c r="DT229" s="623"/>
      <c r="DU229" s="623"/>
      <c r="DV229" s="1675"/>
    </row>
    <row r="230" spans="1:256" ht="17.25" hidden="1" customHeight="1">
      <c r="A230" s="1676"/>
      <c r="B230" s="550"/>
      <c r="C230" s="550"/>
      <c r="D230" s="550"/>
      <c r="E230" s="550"/>
      <c r="F230" s="550"/>
      <c r="G230" s="550"/>
      <c r="H230" s="550"/>
      <c r="I230" s="550"/>
      <c r="J230" s="550"/>
      <c r="K230" s="550"/>
      <c r="L230" s="550"/>
      <c r="M230" s="550"/>
      <c r="N230" s="550"/>
      <c r="O230" s="439"/>
      <c r="P230" s="439"/>
      <c r="Q230" s="674"/>
      <c r="R230" s="671"/>
      <c r="S230" s="671"/>
      <c r="T230" s="671"/>
      <c r="U230" s="671"/>
      <c r="V230" s="671"/>
      <c r="W230" s="671"/>
      <c r="X230" s="671"/>
      <c r="Y230" s="671"/>
      <c r="Z230" s="671"/>
      <c r="AA230" s="671"/>
      <c r="AB230" s="671"/>
      <c r="AC230" s="671"/>
      <c r="AD230" s="671"/>
      <c r="AE230" s="623"/>
      <c r="AF230" s="623"/>
      <c r="AG230" s="623"/>
      <c r="AH230" s="623"/>
      <c r="AI230" s="623"/>
      <c r="AJ230" s="623"/>
      <c r="AK230" s="623"/>
      <c r="AL230" s="623"/>
      <c r="AM230" s="623"/>
      <c r="AN230" s="623"/>
      <c r="AO230" s="623"/>
      <c r="AP230" s="623"/>
      <c r="AQ230" s="623"/>
      <c r="AR230" s="623"/>
      <c r="AS230" s="623"/>
      <c r="AT230" s="623"/>
      <c r="AU230" s="623"/>
      <c r="AV230" s="623"/>
      <c r="AW230" s="623"/>
      <c r="AX230" s="623"/>
      <c r="AY230" s="623"/>
      <c r="AZ230" s="623"/>
      <c r="BA230" s="623"/>
      <c r="BB230" s="623"/>
      <c r="BC230" s="623"/>
      <c r="BD230" s="623"/>
      <c r="BE230" s="623"/>
      <c r="BF230" s="623"/>
      <c r="BG230" s="623"/>
      <c r="BH230" s="623"/>
      <c r="BI230" s="623"/>
      <c r="BJ230" s="623"/>
      <c r="BK230" s="623"/>
      <c r="BL230" s="623"/>
      <c r="BM230" s="623"/>
      <c r="BN230" s="623"/>
      <c r="BO230" s="623"/>
      <c r="BP230" s="623"/>
      <c r="BQ230" s="623"/>
      <c r="BR230" s="623"/>
      <c r="BS230" s="623"/>
      <c r="BT230" s="623"/>
      <c r="BU230" s="623"/>
      <c r="BV230" s="623"/>
      <c r="BW230" s="623"/>
      <c r="BX230" s="623"/>
      <c r="BY230" s="623"/>
      <c r="BZ230" s="623"/>
      <c r="CA230" s="623"/>
      <c r="CB230" s="623"/>
      <c r="CC230" s="623"/>
      <c r="CD230" s="623"/>
      <c r="CE230" s="1669"/>
      <c r="CF230" s="623"/>
      <c r="CG230" s="623"/>
      <c r="CH230" s="623"/>
      <c r="CI230" s="623"/>
      <c r="CJ230" s="623"/>
      <c r="CK230" s="623"/>
      <c r="CL230" s="623"/>
      <c r="CM230" s="623"/>
      <c r="CN230" s="623"/>
      <c r="CO230" s="623"/>
      <c r="CP230" s="623"/>
      <c r="CQ230" s="623"/>
      <c r="CR230" s="623"/>
      <c r="CS230" s="623"/>
      <c r="CT230" s="623"/>
      <c r="CU230" s="623"/>
      <c r="CV230" s="623"/>
      <c r="CW230" s="623"/>
      <c r="CX230" s="623"/>
      <c r="CY230" s="817"/>
      <c r="CZ230" s="623"/>
      <c r="DA230" s="623"/>
      <c r="DB230" s="623"/>
      <c r="DC230" s="623"/>
      <c r="DD230" s="623"/>
      <c r="DE230" s="623"/>
      <c r="DF230" s="623"/>
      <c r="DG230" s="623"/>
      <c r="DH230" s="623"/>
      <c r="DI230" s="623"/>
      <c r="DJ230" s="623"/>
      <c r="DK230" s="623"/>
      <c r="DL230" s="623"/>
      <c r="DM230" s="623"/>
      <c r="DN230" s="623"/>
      <c r="DO230" s="623"/>
      <c r="DP230" s="623"/>
      <c r="DQ230" s="623"/>
      <c r="DR230" s="623"/>
      <c r="DS230" s="623"/>
      <c r="DT230" s="623"/>
      <c r="DU230" s="623"/>
      <c r="DV230" s="1675"/>
    </row>
    <row r="231" spans="1:256" ht="17.25" hidden="1" customHeight="1">
      <c r="A231" s="1676"/>
      <c r="B231" s="550"/>
      <c r="C231" s="550"/>
      <c r="D231" s="550"/>
      <c r="E231" s="550"/>
      <c r="F231" s="550"/>
      <c r="G231" s="550"/>
      <c r="H231" s="550"/>
      <c r="I231" s="550"/>
      <c r="J231" s="550"/>
      <c r="K231" s="550"/>
      <c r="L231" s="550"/>
      <c r="M231" s="550"/>
      <c r="N231" s="550"/>
      <c r="O231" s="439"/>
      <c r="P231" s="439"/>
      <c r="Q231" s="674"/>
      <c r="R231" s="671"/>
      <c r="S231" s="671"/>
      <c r="T231" s="671"/>
      <c r="U231" s="671"/>
      <c r="V231" s="671"/>
      <c r="W231" s="671"/>
      <c r="X231" s="671"/>
      <c r="Y231" s="671"/>
      <c r="Z231" s="671"/>
      <c r="AA231" s="671"/>
      <c r="AB231" s="671"/>
      <c r="AC231" s="671"/>
      <c r="AD231" s="671"/>
      <c r="AE231" s="623"/>
      <c r="AF231" s="623"/>
      <c r="AG231" s="623"/>
      <c r="AH231" s="623"/>
      <c r="AI231" s="623"/>
      <c r="AJ231" s="623"/>
      <c r="AK231" s="623"/>
      <c r="AL231" s="623"/>
      <c r="AM231" s="623"/>
      <c r="AN231" s="623"/>
      <c r="AO231" s="623"/>
      <c r="AP231" s="623"/>
      <c r="AQ231" s="623"/>
      <c r="AR231" s="623"/>
      <c r="AS231" s="623"/>
      <c r="AT231" s="623"/>
      <c r="AU231" s="623"/>
      <c r="AV231" s="623"/>
      <c r="AW231" s="623"/>
      <c r="AX231" s="623"/>
      <c r="AY231" s="623"/>
      <c r="AZ231" s="623"/>
      <c r="BA231" s="623"/>
      <c r="BB231" s="623"/>
      <c r="BC231" s="623"/>
      <c r="BD231" s="623"/>
      <c r="BE231" s="623"/>
      <c r="BF231" s="623"/>
      <c r="BG231" s="623"/>
      <c r="BH231" s="623"/>
      <c r="BI231" s="623"/>
      <c r="BJ231" s="623"/>
      <c r="BK231" s="623"/>
      <c r="BL231" s="623"/>
      <c r="BM231" s="623"/>
      <c r="BN231" s="623"/>
      <c r="BO231" s="623"/>
      <c r="BP231" s="623"/>
      <c r="BQ231" s="623"/>
      <c r="BR231" s="623"/>
      <c r="BS231" s="623"/>
      <c r="BT231" s="623"/>
      <c r="BU231" s="623"/>
      <c r="BV231" s="623"/>
      <c r="BW231" s="623"/>
      <c r="BX231" s="623"/>
      <c r="BY231" s="623"/>
      <c r="BZ231" s="623"/>
      <c r="CA231" s="623"/>
      <c r="CB231" s="623"/>
      <c r="CC231" s="623"/>
      <c r="CD231" s="623"/>
      <c r="CE231" s="1669"/>
      <c r="CF231" s="623"/>
      <c r="CG231" s="623"/>
      <c r="CH231" s="623"/>
      <c r="CI231" s="623"/>
      <c r="CJ231" s="623"/>
      <c r="CK231" s="623"/>
      <c r="CL231" s="623"/>
      <c r="CM231" s="623"/>
      <c r="CN231" s="623"/>
      <c r="CO231" s="623"/>
      <c r="CP231" s="623"/>
      <c r="CQ231" s="623"/>
      <c r="CR231" s="623"/>
      <c r="CS231" s="623"/>
      <c r="CT231" s="623"/>
      <c r="CU231" s="623"/>
      <c r="CV231" s="623"/>
      <c r="CW231" s="623"/>
      <c r="CX231" s="623"/>
      <c r="CY231" s="817"/>
      <c r="CZ231" s="623"/>
      <c r="DA231" s="623"/>
      <c r="DB231" s="623"/>
      <c r="DC231" s="623"/>
      <c r="DD231" s="623"/>
      <c r="DE231" s="623"/>
      <c r="DF231" s="623"/>
      <c r="DG231" s="623"/>
      <c r="DH231" s="623"/>
      <c r="DI231" s="623"/>
      <c r="DJ231" s="623"/>
      <c r="DK231" s="623"/>
      <c r="DL231" s="623"/>
      <c r="DM231" s="623"/>
      <c r="DN231" s="623"/>
      <c r="DO231" s="623"/>
      <c r="DP231" s="623"/>
      <c r="DQ231" s="623"/>
      <c r="DR231" s="623"/>
      <c r="DS231" s="623"/>
      <c r="DT231" s="623"/>
      <c r="DU231" s="623"/>
      <c r="DV231" s="1675"/>
    </row>
    <row r="232" spans="1:256" ht="17.25" hidden="1" customHeight="1">
      <c r="A232" s="1676"/>
      <c r="B232" s="550"/>
      <c r="C232" s="550"/>
      <c r="D232" s="550"/>
      <c r="E232" s="550"/>
      <c r="F232" s="550"/>
      <c r="G232" s="550"/>
      <c r="H232" s="550"/>
      <c r="I232" s="550"/>
      <c r="J232" s="550"/>
      <c r="K232" s="550"/>
      <c r="L232" s="550"/>
      <c r="M232" s="550"/>
      <c r="N232" s="550"/>
      <c r="O232" s="439"/>
      <c r="P232" s="439"/>
      <c r="Q232" s="674"/>
      <c r="R232" s="671"/>
      <c r="S232" s="671"/>
      <c r="T232" s="671"/>
      <c r="U232" s="671"/>
      <c r="V232" s="671"/>
      <c r="W232" s="671"/>
      <c r="X232" s="671"/>
      <c r="Y232" s="671"/>
      <c r="Z232" s="671"/>
      <c r="AA232" s="671"/>
      <c r="AB232" s="671"/>
      <c r="AC232" s="671"/>
      <c r="AD232" s="671"/>
      <c r="AE232" s="623"/>
      <c r="AF232" s="623"/>
      <c r="AG232" s="623"/>
      <c r="AH232" s="623"/>
      <c r="AI232" s="623"/>
      <c r="AJ232" s="623"/>
      <c r="AK232" s="623"/>
      <c r="AL232" s="623"/>
      <c r="AM232" s="623"/>
      <c r="AN232" s="623"/>
      <c r="AO232" s="623"/>
      <c r="AP232" s="623"/>
      <c r="AQ232" s="623"/>
      <c r="AR232" s="623"/>
      <c r="AS232" s="623"/>
      <c r="AT232" s="623"/>
      <c r="AU232" s="623"/>
      <c r="AV232" s="623"/>
      <c r="AW232" s="623"/>
      <c r="AX232" s="623"/>
      <c r="AY232" s="623"/>
      <c r="AZ232" s="623"/>
      <c r="BA232" s="623"/>
      <c r="BB232" s="623"/>
      <c r="BC232" s="623"/>
      <c r="BD232" s="623"/>
      <c r="BE232" s="623"/>
      <c r="BF232" s="623"/>
      <c r="BG232" s="623"/>
      <c r="BH232" s="623"/>
      <c r="BI232" s="623"/>
      <c r="BJ232" s="623"/>
      <c r="BK232" s="623"/>
      <c r="BL232" s="623"/>
      <c r="BM232" s="623"/>
      <c r="BN232" s="623"/>
      <c r="BO232" s="623"/>
      <c r="BP232" s="623"/>
      <c r="BQ232" s="623"/>
      <c r="BR232" s="623"/>
      <c r="BS232" s="623"/>
      <c r="BT232" s="623"/>
      <c r="BU232" s="623"/>
      <c r="BV232" s="623"/>
      <c r="BW232" s="623"/>
      <c r="BX232" s="623"/>
      <c r="BY232" s="623"/>
      <c r="BZ232" s="623"/>
      <c r="CA232" s="623"/>
      <c r="CB232" s="623"/>
      <c r="CC232" s="623"/>
      <c r="CD232" s="623"/>
      <c r="CE232" s="1669"/>
      <c r="CF232" s="623"/>
      <c r="CG232" s="623"/>
      <c r="CH232" s="623"/>
      <c r="CI232" s="623"/>
      <c r="CJ232" s="623"/>
      <c r="CK232" s="623"/>
      <c r="CL232" s="623"/>
      <c r="CM232" s="623"/>
      <c r="CN232" s="623"/>
      <c r="CO232" s="623"/>
      <c r="CP232" s="623"/>
      <c r="CQ232" s="623"/>
      <c r="CR232" s="623"/>
      <c r="CS232" s="623"/>
      <c r="CT232" s="623"/>
      <c r="CU232" s="623"/>
      <c r="CV232" s="623"/>
      <c r="CW232" s="623"/>
      <c r="CX232" s="623"/>
      <c r="CY232" s="817"/>
      <c r="CZ232" s="623"/>
      <c r="DA232" s="623"/>
      <c r="DB232" s="623"/>
      <c r="DC232" s="623"/>
      <c r="DD232" s="623"/>
      <c r="DE232" s="623"/>
      <c r="DF232" s="623"/>
      <c r="DG232" s="623"/>
      <c r="DH232" s="623"/>
      <c r="DI232" s="623"/>
      <c r="DJ232" s="623"/>
      <c r="DK232" s="623"/>
      <c r="DL232" s="623"/>
      <c r="DM232" s="623"/>
      <c r="DN232" s="623"/>
      <c r="DO232" s="623"/>
      <c r="DP232" s="623"/>
      <c r="DQ232" s="623"/>
      <c r="DR232" s="623"/>
      <c r="DS232" s="623"/>
      <c r="DT232" s="623"/>
      <c r="DU232" s="623"/>
      <c r="DV232" s="1675"/>
    </row>
    <row r="233" spans="1:256" ht="17.25" hidden="1" customHeight="1">
      <c r="A233" s="1676"/>
      <c r="B233" s="550"/>
      <c r="C233" s="550"/>
      <c r="D233" s="550"/>
      <c r="E233" s="550"/>
      <c r="F233" s="550"/>
      <c r="G233" s="550"/>
      <c r="H233" s="550"/>
      <c r="I233" s="550"/>
      <c r="J233" s="550"/>
      <c r="K233" s="550"/>
      <c r="L233" s="550"/>
      <c r="M233" s="550"/>
      <c r="N233" s="550"/>
      <c r="O233" s="439"/>
      <c r="P233" s="439"/>
      <c r="Q233" s="674"/>
      <c r="R233" s="671"/>
      <c r="S233" s="671"/>
      <c r="T233" s="671"/>
      <c r="U233" s="671"/>
      <c r="V233" s="671"/>
      <c r="W233" s="671"/>
      <c r="X233" s="671"/>
      <c r="Y233" s="671"/>
      <c r="Z233" s="671"/>
      <c r="AA233" s="671"/>
      <c r="AB233" s="671"/>
      <c r="AC233" s="671"/>
      <c r="AD233" s="671"/>
      <c r="AE233" s="623"/>
      <c r="AF233" s="623"/>
      <c r="AG233" s="623"/>
      <c r="AH233" s="623"/>
      <c r="AI233" s="623"/>
      <c r="AJ233" s="623"/>
      <c r="AK233" s="623"/>
      <c r="AL233" s="623"/>
      <c r="AM233" s="623"/>
      <c r="AN233" s="623"/>
      <c r="AO233" s="623"/>
      <c r="AP233" s="623"/>
      <c r="AQ233" s="623"/>
      <c r="AR233" s="623"/>
      <c r="AS233" s="623"/>
      <c r="AT233" s="623"/>
      <c r="AU233" s="623"/>
      <c r="AV233" s="623"/>
      <c r="AW233" s="623"/>
      <c r="AX233" s="623"/>
      <c r="AY233" s="623"/>
      <c r="AZ233" s="623"/>
      <c r="BA233" s="623"/>
      <c r="BB233" s="623"/>
      <c r="BC233" s="623"/>
      <c r="BD233" s="623"/>
      <c r="BE233" s="623"/>
      <c r="BF233" s="623"/>
      <c r="BG233" s="623"/>
      <c r="BH233" s="623"/>
      <c r="BI233" s="623"/>
      <c r="BJ233" s="623"/>
      <c r="BK233" s="623"/>
      <c r="BL233" s="623"/>
      <c r="BM233" s="623"/>
      <c r="BN233" s="623"/>
      <c r="BO233" s="623"/>
      <c r="BP233" s="623"/>
      <c r="BQ233" s="623"/>
      <c r="BR233" s="623"/>
      <c r="BS233" s="623"/>
      <c r="BT233" s="623"/>
      <c r="BU233" s="623"/>
      <c r="BV233" s="623"/>
      <c r="BW233" s="623"/>
      <c r="BX233" s="623"/>
      <c r="BY233" s="623"/>
      <c r="BZ233" s="623"/>
      <c r="CA233" s="623"/>
      <c r="CB233" s="623"/>
      <c r="CC233" s="623"/>
      <c r="CD233" s="623"/>
      <c r="CE233" s="1669"/>
      <c r="CF233" s="623"/>
      <c r="CG233" s="623"/>
      <c r="CH233" s="623"/>
      <c r="CI233" s="623"/>
      <c r="CJ233" s="623"/>
      <c r="CK233" s="623"/>
      <c r="CL233" s="623"/>
      <c r="CM233" s="623"/>
      <c r="CN233" s="623"/>
      <c r="CO233" s="623"/>
      <c r="CP233" s="623"/>
      <c r="CQ233" s="623"/>
      <c r="CR233" s="623"/>
      <c r="CS233" s="623"/>
      <c r="CT233" s="623"/>
      <c r="CU233" s="623"/>
      <c r="CV233" s="623"/>
      <c r="CW233" s="623"/>
      <c r="CX233" s="623"/>
      <c r="CY233" s="817"/>
      <c r="CZ233" s="623"/>
      <c r="DA233" s="623"/>
      <c r="DB233" s="623"/>
      <c r="DC233" s="623"/>
      <c r="DD233" s="623"/>
      <c r="DE233" s="623"/>
      <c r="DF233" s="623"/>
      <c r="DG233" s="623"/>
      <c r="DH233" s="623"/>
      <c r="DI233" s="623"/>
      <c r="DJ233" s="623"/>
      <c r="DK233" s="623"/>
      <c r="DL233" s="623"/>
      <c r="DM233" s="623"/>
      <c r="DN233" s="623"/>
      <c r="DO233" s="623"/>
      <c r="DP233" s="623"/>
      <c r="DQ233" s="623"/>
      <c r="DR233" s="623"/>
      <c r="DS233" s="623"/>
      <c r="DT233" s="623"/>
      <c r="DU233" s="623"/>
      <c r="DV233" s="1675"/>
    </row>
    <row r="234" spans="1:256" ht="17.25" hidden="1" customHeight="1">
      <c r="A234" s="1676"/>
      <c r="B234" s="550"/>
      <c r="C234" s="550"/>
      <c r="D234" s="550"/>
      <c r="E234" s="550"/>
      <c r="F234" s="550"/>
      <c r="G234" s="550"/>
      <c r="H234" s="550"/>
      <c r="I234" s="550"/>
      <c r="J234" s="550"/>
      <c r="K234" s="550"/>
      <c r="L234" s="550"/>
      <c r="M234" s="550"/>
      <c r="N234" s="550"/>
      <c r="O234" s="439"/>
      <c r="P234" s="439"/>
      <c r="Q234" s="674"/>
      <c r="R234" s="671"/>
      <c r="S234" s="671"/>
      <c r="T234" s="671"/>
      <c r="U234" s="671"/>
      <c r="V234" s="671"/>
      <c r="W234" s="671"/>
      <c r="X234" s="671"/>
      <c r="Y234" s="671"/>
      <c r="Z234" s="671"/>
      <c r="AA234" s="671"/>
      <c r="AB234" s="671"/>
      <c r="AC234" s="671"/>
      <c r="AD234" s="671"/>
      <c r="AE234" s="623"/>
      <c r="AF234" s="623"/>
      <c r="AG234" s="623"/>
      <c r="AH234" s="623"/>
      <c r="AI234" s="623"/>
      <c r="AJ234" s="623"/>
      <c r="AK234" s="623"/>
      <c r="AL234" s="623"/>
      <c r="AM234" s="623"/>
      <c r="AN234" s="623"/>
      <c r="AO234" s="623"/>
      <c r="AP234" s="623"/>
      <c r="AQ234" s="623"/>
      <c r="AR234" s="623"/>
      <c r="AS234" s="623"/>
      <c r="AT234" s="623"/>
      <c r="AU234" s="623"/>
      <c r="AV234" s="623"/>
      <c r="AW234" s="623"/>
      <c r="AX234" s="623"/>
      <c r="AY234" s="623"/>
      <c r="AZ234" s="623"/>
      <c r="BA234" s="623"/>
      <c r="BB234" s="623"/>
      <c r="BC234" s="623"/>
      <c r="BD234" s="623"/>
      <c r="BE234" s="623"/>
      <c r="BF234" s="623"/>
      <c r="BG234" s="623"/>
      <c r="BH234" s="623"/>
      <c r="BI234" s="623"/>
      <c r="BJ234" s="623"/>
      <c r="BK234" s="623"/>
      <c r="BL234" s="623"/>
      <c r="BM234" s="623"/>
      <c r="BN234" s="623"/>
      <c r="BO234" s="623"/>
      <c r="BP234" s="623"/>
      <c r="BQ234" s="623"/>
      <c r="BR234" s="623"/>
      <c r="BS234" s="623"/>
      <c r="BT234" s="623"/>
      <c r="BU234" s="623"/>
      <c r="BV234" s="623"/>
      <c r="BW234" s="623"/>
      <c r="BX234" s="623"/>
      <c r="BY234" s="623"/>
      <c r="BZ234" s="623"/>
      <c r="CA234" s="623"/>
      <c r="CB234" s="623"/>
      <c r="CC234" s="623"/>
      <c r="CD234" s="623"/>
      <c r="CE234" s="1669"/>
      <c r="CF234" s="623"/>
      <c r="CG234" s="623"/>
      <c r="CH234" s="623"/>
      <c r="CI234" s="623"/>
      <c r="CJ234" s="623"/>
      <c r="CK234" s="623"/>
      <c r="CL234" s="623"/>
      <c r="CM234" s="623"/>
      <c r="CN234" s="623"/>
      <c r="CO234" s="623"/>
      <c r="CP234" s="623"/>
      <c r="CQ234" s="623"/>
      <c r="CR234" s="623"/>
      <c r="CS234" s="623"/>
      <c r="CT234" s="623"/>
      <c r="CU234" s="623"/>
      <c r="CV234" s="623"/>
      <c r="CW234" s="623"/>
      <c r="CX234" s="623"/>
      <c r="CY234" s="817"/>
      <c r="CZ234" s="623"/>
      <c r="DA234" s="623"/>
      <c r="DB234" s="623"/>
      <c r="DC234" s="623"/>
      <c r="DD234" s="623"/>
      <c r="DE234" s="623"/>
      <c r="DF234" s="623"/>
      <c r="DG234" s="623"/>
      <c r="DH234" s="623"/>
      <c r="DI234" s="623"/>
      <c r="DJ234" s="623"/>
      <c r="DK234" s="623"/>
      <c r="DL234" s="623"/>
      <c r="DM234" s="623"/>
      <c r="DN234" s="623"/>
      <c r="DO234" s="623"/>
      <c r="DP234" s="623"/>
      <c r="DQ234" s="623"/>
      <c r="DR234" s="623"/>
      <c r="DS234" s="623"/>
      <c r="DT234" s="623"/>
      <c r="DU234" s="623"/>
      <c r="DV234" s="1675"/>
    </row>
    <row r="235" spans="1:256" s="678" customFormat="1" ht="17.25" hidden="1" customHeight="1">
      <c r="A235" s="1676"/>
      <c r="B235" s="550"/>
      <c r="C235" s="550"/>
      <c r="D235" s="550"/>
      <c r="E235" s="550"/>
      <c r="F235" s="550"/>
      <c r="G235" s="550"/>
      <c r="H235" s="550"/>
      <c r="I235" s="550"/>
      <c r="J235" s="676"/>
      <c r="K235" s="550"/>
      <c r="L235" s="550"/>
      <c r="M235" s="550"/>
      <c r="N235" s="550"/>
      <c r="O235" s="439"/>
      <c r="P235" s="439"/>
      <c r="Q235" s="674"/>
      <c r="R235" s="671"/>
      <c r="S235" s="671"/>
      <c r="T235" s="671"/>
      <c r="U235" s="671"/>
      <c r="V235" s="671"/>
      <c r="W235" s="671"/>
      <c r="X235" s="671"/>
      <c r="Y235" s="671"/>
      <c r="Z235" s="671"/>
      <c r="AA235" s="671"/>
      <c r="AB235" s="671"/>
      <c r="AC235" s="671"/>
      <c r="AD235" s="671"/>
      <c r="AE235" s="623"/>
      <c r="AF235" s="623"/>
      <c r="AG235" s="623"/>
      <c r="AH235" s="623"/>
      <c r="AI235" s="623"/>
      <c r="AJ235" s="623"/>
      <c r="AK235" s="623"/>
      <c r="AL235" s="623"/>
      <c r="AM235" s="623"/>
      <c r="AN235" s="623"/>
      <c r="AO235" s="623"/>
      <c r="AP235" s="623"/>
      <c r="AQ235" s="623"/>
      <c r="AR235" s="623"/>
      <c r="AS235" s="623"/>
      <c r="AT235" s="623"/>
      <c r="AU235" s="623"/>
      <c r="AV235" s="623"/>
      <c r="AW235" s="623"/>
      <c r="AX235" s="623"/>
      <c r="AY235" s="623"/>
      <c r="AZ235" s="623"/>
      <c r="BA235" s="623"/>
      <c r="BB235" s="623"/>
      <c r="BC235" s="623"/>
      <c r="BD235" s="623"/>
      <c r="BE235" s="623"/>
      <c r="BF235" s="623"/>
      <c r="BG235" s="623"/>
      <c r="BH235" s="623"/>
      <c r="BI235" s="623"/>
      <c r="BJ235" s="623"/>
      <c r="BK235" s="623"/>
      <c r="BL235" s="623"/>
      <c r="BM235" s="623"/>
      <c r="BN235" s="623"/>
      <c r="BO235" s="623"/>
      <c r="BP235" s="623"/>
      <c r="BQ235" s="623"/>
      <c r="BR235" s="623"/>
      <c r="BS235" s="623"/>
      <c r="BT235" s="623"/>
      <c r="BU235" s="623"/>
      <c r="BV235" s="623"/>
      <c r="BW235" s="623"/>
      <c r="BX235" s="623"/>
      <c r="BY235" s="623"/>
      <c r="BZ235" s="623"/>
      <c r="CA235" s="623"/>
      <c r="CB235" s="623"/>
      <c r="CC235" s="623"/>
      <c r="CD235" s="623"/>
      <c r="CE235" s="1669"/>
      <c r="CF235" s="623"/>
      <c r="CG235" s="623"/>
      <c r="CH235" s="623"/>
      <c r="CI235" s="623"/>
      <c r="CJ235" s="623"/>
      <c r="CK235" s="623"/>
      <c r="CL235" s="623"/>
      <c r="CM235" s="623"/>
      <c r="CN235" s="623"/>
      <c r="CO235" s="623"/>
      <c r="CP235" s="623"/>
      <c r="CQ235" s="623"/>
      <c r="CR235" s="623"/>
      <c r="CS235" s="623"/>
      <c r="CT235" s="623"/>
      <c r="CU235" s="623"/>
      <c r="CV235" s="623"/>
      <c r="CW235" s="623"/>
      <c r="CX235" s="623"/>
      <c r="CY235" s="817"/>
      <c r="CZ235" s="623"/>
      <c r="DA235" s="623"/>
      <c r="DB235" s="623"/>
      <c r="DC235" s="623"/>
      <c r="DD235" s="623"/>
      <c r="DE235" s="623"/>
      <c r="DF235" s="623"/>
      <c r="DG235" s="623"/>
      <c r="DH235" s="623"/>
      <c r="DI235" s="623"/>
      <c r="DJ235" s="623"/>
      <c r="DK235" s="623"/>
      <c r="DL235" s="623"/>
      <c r="DM235" s="623"/>
      <c r="DN235" s="623"/>
      <c r="DO235" s="623"/>
      <c r="DP235" s="623"/>
      <c r="DQ235" s="623"/>
      <c r="DR235" s="623"/>
      <c r="DS235" s="623"/>
      <c r="DT235" s="623"/>
      <c r="DU235" s="623"/>
      <c r="DV235" s="1675"/>
      <c r="DW235" s="530"/>
      <c r="DX235" s="530"/>
      <c r="DY235" s="530"/>
      <c r="DZ235" s="530"/>
      <c r="EA235" s="530"/>
      <c r="EB235" s="530"/>
      <c r="EC235" s="530"/>
      <c r="ED235" s="530"/>
      <c r="EE235" s="530"/>
      <c r="EF235" s="530"/>
      <c r="EG235" s="530"/>
      <c r="EH235" s="530"/>
      <c r="EI235" s="530"/>
      <c r="EJ235" s="530"/>
      <c r="EK235" s="530"/>
      <c r="EL235" s="530"/>
      <c r="EM235" s="530"/>
      <c r="EN235" s="530"/>
      <c r="EO235" s="530"/>
      <c r="EP235" s="530"/>
      <c r="EQ235" s="530"/>
      <c r="ER235" s="530"/>
      <c r="ES235" s="530"/>
      <c r="ET235" s="530"/>
      <c r="EU235" s="530"/>
      <c r="EV235" s="530"/>
      <c r="EW235" s="530"/>
      <c r="EX235" s="530"/>
      <c r="EY235" s="530"/>
      <c r="EZ235" s="530"/>
      <c r="FA235" s="530"/>
      <c r="FB235" s="530"/>
      <c r="FC235" s="530"/>
      <c r="FD235" s="530"/>
      <c r="FE235" s="530"/>
      <c r="FF235" s="530"/>
      <c r="FG235" s="530"/>
      <c r="FH235" s="530"/>
      <c r="FI235" s="530"/>
      <c r="FJ235" s="530"/>
      <c r="FK235" s="530"/>
      <c r="FL235" s="530"/>
      <c r="FM235" s="530"/>
      <c r="FN235" s="530"/>
      <c r="FO235" s="530"/>
      <c r="FP235" s="530"/>
      <c r="FQ235" s="530"/>
      <c r="FR235" s="530"/>
      <c r="FS235" s="530"/>
      <c r="FT235" s="530"/>
      <c r="FU235" s="530"/>
      <c r="FV235" s="530"/>
      <c r="FW235" s="530"/>
      <c r="FX235" s="530"/>
      <c r="FY235" s="530"/>
      <c r="FZ235" s="530"/>
      <c r="GA235" s="530"/>
      <c r="GB235" s="530"/>
      <c r="GC235" s="530"/>
      <c r="GD235" s="530"/>
      <c r="GE235" s="530"/>
      <c r="GF235" s="530"/>
      <c r="GG235" s="530"/>
      <c r="GH235" s="530"/>
      <c r="GI235" s="530"/>
      <c r="GJ235" s="530"/>
      <c r="GK235" s="530"/>
      <c r="GL235" s="530"/>
      <c r="GM235" s="530"/>
      <c r="GN235" s="530"/>
      <c r="GO235" s="530"/>
      <c r="GP235" s="530"/>
      <c r="GQ235" s="530"/>
      <c r="GR235" s="530"/>
      <c r="GS235" s="530"/>
      <c r="GT235" s="530"/>
      <c r="GU235" s="530"/>
      <c r="GV235" s="530"/>
      <c r="GW235" s="530"/>
      <c r="GX235" s="530"/>
      <c r="GY235" s="530"/>
      <c r="GZ235" s="530"/>
      <c r="HA235" s="530"/>
      <c r="HB235" s="530"/>
      <c r="HC235" s="530"/>
      <c r="HD235" s="530"/>
      <c r="HE235" s="530"/>
      <c r="HF235" s="530"/>
      <c r="HG235" s="530"/>
      <c r="HH235" s="530"/>
      <c r="HI235" s="530"/>
      <c r="HJ235" s="530"/>
      <c r="HK235" s="530"/>
      <c r="HL235" s="530"/>
      <c r="HM235" s="530"/>
      <c r="HN235" s="530"/>
      <c r="HO235" s="530"/>
      <c r="HP235" s="530"/>
      <c r="HQ235" s="530"/>
      <c r="HR235" s="530"/>
      <c r="HS235" s="530"/>
      <c r="HT235" s="530"/>
      <c r="HU235" s="530"/>
      <c r="HV235" s="530"/>
      <c r="HW235" s="530"/>
      <c r="HX235" s="530"/>
      <c r="HY235" s="530"/>
      <c r="HZ235" s="530"/>
      <c r="IA235" s="530"/>
      <c r="IB235" s="530"/>
      <c r="IC235" s="530"/>
      <c r="ID235" s="530"/>
      <c r="IE235" s="530"/>
      <c r="IF235" s="530"/>
      <c r="IG235" s="530"/>
      <c r="IH235" s="530"/>
      <c r="II235" s="530"/>
      <c r="IJ235" s="530"/>
      <c r="IK235" s="530"/>
      <c r="IL235" s="530"/>
      <c r="IM235" s="530"/>
      <c r="IN235" s="530"/>
      <c r="IO235" s="530"/>
      <c r="IP235" s="530"/>
      <c r="IQ235" s="530"/>
      <c r="IR235" s="530"/>
      <c r="IS235" s="530"/>
      <c r="IT235" s="530"/>
      <c r="IU235" s="530"/>
      <c r="IV235" s="530"/>
    </row>
    <row r="236" spans="1:256" s="717" customFormat="1" ht="18.75" hidden="1" customHeight="1">
      <c r="A236" s="1713"/>
      <c r="B236" s="1714"/>
      <c r="C236" s="1713"/>
      <c r="D236" s="1713"/>
      <c r="E236" s="1713"/>
      <c r="F236" s="1713"/>
      <c r="G236" s="1713"/>
      <c r="H236" s="1713"/>
      <c r="I236" s="1713"/>
      <c r="J236" s="1713"/>
      <c r="K236" s="1713"/>
      <c r="L236" s="1713"/>
      <c r="M236" s="1713"/>
      <c r="N236" s="1713"/>
      <c r="O236" s="1713"/>
      <c r="P236" s="1713"/>
      <c r="Q236" s="1713"/>
      <c r="R236" s="1713"/>
      <c r="S236" s="1713"/>
      <c r="T236" s="1713"/>
      <c r="U236" s="1713"/>
      <c r="V236" s="1713"/>
      <c r="W236" s="1713"/>
      <c r="X236" s="1713"/>
      <c r="Y236" s="1713"/>
      <c r="Z236" s="1713"/>
      <c r="AA236" s="1713"/>
      <c r="AB236" s="1713"/>
      <c r="AC236" s="1713"/>
      <c r="AD236" s="1713"/>
      <c r="AE236" s="1713"/>
      <c r="AF236" s="1713"/>
      <c r="AG236" s="1713"/>
      <c r="AH236" s="1713"/>
      <c r="AI236" s="1713"/>
      <c r="AJ236" s="1713"/>
      <c r="AK236" s="1713"/>
      <c r="AL236" s="1713"/>
      <c r="AM236" s="1713"/>
      <c r="AN236" s="1713"/>
      <c r="AO236" s="1713"/>
      <c r="AP236" s="1713"/>
      <c r="AQ236" s="1713"/>
      <c r="AR236" s="1713"/>
      <c r="AS236" s="1713"/>
      <c r="AT236" s="1713"/>
      <c r="AU236" s="1713"/>
      <c r="AV236" s="1713"/>
      <c r="AW236" s="1713"/>
      <c r="AX236" s="1713"/>
      <c r="AY236" s="1713"/>
      <c r="AZ236" s="1713"/>
      <c r="BA236" s="1713"/>
      <c r="BB236" s="1713"/>
      <c r="BC236" s="1713"/>
      <c r="BD236" s="1713"/>
      <c r="BE236" s="1713"/>
      <c r="BF236" s="1713"/>
      <c r="BG236" s="1713"/>
      <c r="BH236" s="1713"/>
      <c r="BI236" s="1713"/>
      <c r="BJ236" s="1713"/>
      <c r="BK236" s="1713"/>
      <c r="BL236" s="1713"/>
      <c r="BM236" s="1713"/>
      <c r="BN236" s="1713"/>
      <c r="BO236" s="1713"/>
      <c r="BP236" s="1713"/>
      <c r="BQ236" s="1713"/>
      <c r="BR236" s="1713"/>
      <c r="BS236" s="1713"/>
      <c r="BT236" s="1713"/>
      <c r="BU236" s="1713"/>
      <c r="BV236" s="1713"/>
      <c r="BW236" s="1713"/>
      <c r="BX236" s="1713"/>
      <c r="BY236" s="1713"/>
      <c r="BZ236" s="1713"/>
      <c r="CA236" s="1713"/>
      <c r="CB236" s="1713"/>
      <c r="CC236" s="1713"/>
      <c r="CD236" s="1713"/>
      <c r="CE236" s="1669"/>
      <c r="CF236" s="1713"/>
      <c r="CG236" s="1713"/>
      <c r="CH236" s="1713"/>
      <c r="CI236" s="1713"/>
      <c r="CJ236" s="1713"/>
      <c r="CK236" s="1713"/>
      <c r="CL236" s="1713"/>
      <c r="CM236" s="1713"/>
      <c r="CN236" s="1713"/>
      <c r="CO236" s="1713"/>
      <c r="CP236" s="1713"/>
      <c r="CQ236" s="1713"/>
      <c r="CR236" s="1713"/>
      <c r="CS236" s="1713"/>
      <c r="CT236" s="1713"/>
      <c r="CU236" s="1713"/>
      <c r="CV236" s="1713"/>
      <c r="CW236" s="1713"/>
      <c r="CX236" s="1713"/>
      <c r="CY236" s="1680"/>
      <c r="CZ236" s="1713"/>
      <c r="DA236" s="1713"/>
      <c r="DB236" s="1713"/>
      <c r="DC236" s="1713"/>
      <c r="DD236" s="1713"/>
      <c r="DE236" s="1713"/>
      <c r="DF236" s="1713"/>
      <c r="DG236" s="1713"/>
      <c r="DH236" s="1713"/>
      <c r="DI236" s="1713"/>
      <c r="DJ236" s="1713"/>
      <c r="DK236" s="1713"/>
      <c r="DL236" s="1713"/>
      <c r="DM236" s="1713"/>
      <c r="DN236" s="1713"/>
      <c r="DO236" s="1713"/>
      <c r="DP236" s="1713"/>
      <c r="DQ236" s="1713"/>
      <c r="DR236" s="1713"/>
      <c r="DS236" s="1713"/>
      <c r="DT236" s="1713"/>
      <c r="DU236" s="1715"/>
      <c r="DV236" s="1716"/>
    </row>
    <row r="237" spans="1:256" s="545" customFormat="1" ht="18" hidden="1" customHeight="1">
      <c r="A237" s="1685"/>
      <c r="B237" s="1023"/>
      <c r="C237" s="1023"/>
      <c r="D237" s="1023"/>
      <c r="E237" s="1023"/>
      <c r="F237" s="1023"/>
      <c r="G237" s="1023"/>
      <c r="H237" s="1023"/>
      <c r="I237" s="1023"/>
      <c r="J237" s="1023"/>
      <c r="K237" s="1023"/>
      <c r="L237" s="1023"/>
      <c r="M237" s="1023"/>
      <c r="N237" s="1023"/>
      <c r="O237" s="1023"/>
      <c r="P237" s="1023"/>
      <c r="Q237" s="1023"/>
      <c r="R237" s="1023"/>
      <c r="S237" s="1023"/>
      <c r="T237" s="1023"/>
      <c r="U237" s="1023"/>
      <c r="V237" s="1023"/>
      <c r="W237" s="1023"/>
      <c r="X237" s="1023"/>
      <c r="Y237" s="1023"/>
      <c r="Z237" s="1023"/>
      <c r="AA237" s="1023"/>
      <c r="AB237" s="1023"/>
      <c r="AC237" s="1023"/>
      <c r="AD237" s="1023"/>
      <c r="AE237" s="1023"/>
      <c r="AF237" s="1023"/>
      <c r="AG237" s="1023"/>
      <c r="AH237" s="1023"/>
      <c r="AI237" s="1023"/>
      <c r="AJ237" s="1023"/>
      <c r="AK237" s="1023"/>
      <c r="AL237" s="1023"/>
      <c r="AM237" s="1023"/>
      <c r="AN237" s="1023"/>
      <c r="AO237" s="1023"/>
      <c r="AP237" s="1023"/>
      <c r="AQ237" s="1023"/>
      <c r="AR237" s="1023"/>
      <c r="AS237" s="1023"/>
      <c r="AT237" s="1023"/>
      <c r="AU237" s="1023"/>
      <c r="AV237" s="1023"/>
      <c r="AW237" s="1023"/>
      <c r="AX237" s="1023"/>
      <c r="AY237" s="1023"/>
      <c r="AZ237" s="1023"/>
      <c r="BA237" s="1023"/>
      <c r="BB237" s="1023"/>
      <c r="BC237" s="1023"/>
      <c r="BD237" s="1023"/>
      <c r="BE237" s="1023"/>
      <c r="BF237" s="1023"/>
      <c r="BG237" s="1023"/>
      <c r="BH237" s="1023"/>
      <c r="BI237" s="1023"/>
      <c r="BJ237" s="1023"/>
      <c r="BK237" s="1023"/>
      <c r="BL237" s="1023"/>
      <c r="BM237" s="1023"/>
      <c r="BN237" s="1023"/>
      <c r="BO237" s="1023"/>
      <c r="BP237" s="1023"/>
      <c r="BQ237" s="1023"/>
      <c r="BR237" s="1023"/>
      <c r="BS237" s="1023"/>
      <c r="BT237" s="1023"/>
      <c r="BU237" s="1023"/>
      <c r="BV237" s="1023"/>
      <c r="BW237" s="1023"/>
      <c r="BX237" s="1023"/>
      <c r="BY237" s="1023"/>
      <c r="BZ237" s="1023"/>
      <c r="CA237" s="1023"/>
      <c r="CB237" s="1023"/>
      <c r="CC237" s="1023"/>
      <c r="CD237" s="1023"/>
      <c r="CE237" s="1669"/>
      <c r="CF237" s="1023"/>
      <c r="CG237" s="1023"/>
      <c r="CH237" s="1023"/>
      <c r="CI237" s="1023"/>
      <c r="CJ237" s="1023"/>
      <c r="CK237" s="1023"/>
      <c r="CL237" s="1023"/>
      <c r="CM237" s="1023"/>
      <c r="CN237" s="1023"/>
      <c r="CO237" s="1023"/>
      <c r="CP237" s="1023"/>
      <c r="CQ237" s="1023"/>
      <c r="CR237" s="1023"/>
      <c r="CS237" s="1023"/>
      <c r="CT237" s="1023"/>
      <c r="CU237" s="1023"/>
      <c r="CV237" s="1023"/>
      <c r="CW237" s="1023"/>
      <c r="CX237" s="1023"/>
      <c r="CY237" s="1683"/>
      <c r="CZ237" s="1023"/>
      <c r="DA237" s="1023"/>
      <c r="DB237" s="1023"/>
      <c r="DC237" s="1023"/>
      <c r="DD237" s="1023"/>
      <c r="DE237" s="1023"/>
      <c r="DF237" s="1023"/>
      <c r="DG237" s="1023"/>
      <c r="DH237" s="1023"/>
      <c r="DI237" s="1023"/>
      <c r="DJ237" s="1023"/>
      <c r="DK237" s="1023"/>
      <c r="DL237" s="1023"/>
      <c r="DM237" s="1023"/>
      <c r="DN237" s="1023"/>
      <c r="DO237" s="1023"/>
      <c r="DP237" s="1023"/>
      <c r="DQ237" s="1023"/>
      <c r="DR237" s="1023"/>
      <c r="DS237" s="1023"/>
      <c r="DT237" s="1023"/>
      <c r="DU237" s="1023"/>
      <c r="DV237" s="1684"/>
      <c r="DW237" s="530"/>
      <c r="DX237" s="530"/>
      <c r="DY237" s="530"/>
      <c r="DZ237" s="530"/>
      <c r="EA237" s="530"/>
      <c r="EB237" s="530"/>
      <c r="EC237" s="530"/>
      <c r="ED237" s="530"/>
      <c r="EE237" s="530"/>
      <c r="EF237" s="530"/>
      <c r="EG237" s="530"/>
      <c r="EH237" s="530"/>
      <c r="EI237" s="530"/>
      <c r="EJ237" s="530"/>
      <c r="EK237" s="530"/>
      <c r="EL237" s="530"/>
      <c r="EM237" s="530"/>
      <c r="EN237" s="530"/>
      <c r="EO237" s="530"/>
      <c r="EP237" s="530"/>
      <c r="EQ237" s="530"/>
      <c r="ER237" s="530"/>
      <c r="ES237" s="530"/>
      <c r="ET237" s="530"/>
      <c r="EU237" s="530"/>
      <c r="EV237" s="530"/>
      <c r="EW237" s="530"/>
      <c r="EX237" s="530"/>
      <c r="EY237" s="530"/>
      <c r="EZ237" s="530"/>
      <c r="FA237" s="530"/>
      <c r="FB237" s="530"/>
      <c r="FC237" s="530"/>
      <c r="FD237" s="530"/>
      <c r="FE237" s="530"/>
      <c r="FF237" s="530"/>
      <c r="FG237" s="530"/>
      <c r="FH237" s="530"/>
      <c r="FI237" s="530"/>
      <c r="FJ237" s="530"/>
      <c r="FK237" s="530"/>
      <c r="FL237" s="530"/>
      <c r="FM237" s="530"/>
      <c r="FN237" s="530"/>
      <c r="FO237" s="530"/>
      <c r="FP237" s="530"/>
      <c r="FQ237" s="530"/>
      <c r="FR237" s="530"/>
      <c r="FS237" s="530"/>
      <c r="FT237" s="530"/>
      <c r="FU237" s="530"/>
      <c r="FV237" s="530"/>
      <c r="FW237" s="530"/>
      <c r="FX237" s="530"/>
      <c r="FY237" s="530"/>
      <c r="FZ237" s="530"/>
      <c r="GA237" s="530"/>
      <c r="GB237" s="530"/>
      <c r="GC237" s="530"/>
      <c r="GD237" s="530"/>
      <c r="GE237" s="530"/>
      <c r="GF237" s="530"/>
      <c r="GG237" s="530"/>
      <c r="GH237" s="530"/>
      <c r="GI237" s="530"/>
      <c r="GJ237" s="530"/>
      <c r="GK237" s="530"/>
      <c r="GL237" s="530"/>
      <c r="GM237" s="530"/>
      <c r="GN237" s="530"/>
      <c r="GO237" s="530"/>
      <c r="GP237" s="530"/>
      <c r="GQ237" s="530"/>
      <c r="GR237" s="530"/>
      <c r="GS237" s="530"/>
      <c r="GT237" s="530"/>
      <c r="GU237" s="530"/>
      <c r="GV237" s="530"/>
      <c r="GW237" s="530"/>
      <c r="GX237" s="530"/>
      <c r="GY237" s="530"/>
      <c r="GZ237" s="530"/>
      <c r="HA237" s="530"/>
      <c r="HB237" s="530"/>
      <c r="HC237" s="530"/>
      <c r="HD237" s="530"/>
      <c r="HE237" s="530"/>
      <c r="HF237" s="530"/>
      <c r="HG237" s="530"/>
      <c r="HH237" s="530"/>
      <c r="HI237" s="530"/>
      <c r="HJ237" s="530"/>
      <c r="HK237" s="530"/>
      <c r="HL237" s="530"/>
      <c r="HM237" s="530"/>
      <c r="HN237" s="530"/>
      <c r="HO237" s="530"/>
      <c r="HP237" s="530"/>
      <c r="HQ237" s="530"/>
      <c r="HR237" s="530"/>
      <c r="HS237" s="530"/>
      <c r="HT237" s="530"/>
      <c r="HU237" s="530"/>
      <c r="HV237" s="530"/>
      <c r="HW237" s="530"/>
      <c r="HX237" s="530"/>
      <c r="HY237" s="530"/>
      <c r="HZ237" s="530"/>
      <c r="IA237" s="530"/>
      <c r="IB237" s="530"/>
      <c r="IC237" s="530"/>
      <c r="ID237" s="530"/>
      <c r="IE237" s="530"/>
      <c r="IF237" s="530"/>
      <c r="IG237" s="530"/>
      <c r="IH237" s="530"/>
      <c r="II237" s="530"/>
      <c r="IJ237" s="530"/>
      <c r="IK237" s="530"/>
      <c r="IL237" s="530"/>
      <c r="IM237" s="530"/>
      <c r="IN237" s="530"/>
      <c r="IO237" s="530"/>
      <c r="IP237" s="530"/>
      <c r="IQ237" s="530"/>
      <c r="IR237" s="530"/>
      <c r="IS237" s="530"/>
      <c r="IT237" s="530"/>
      <c r="IU237" s="530"/>
      <c r="IV237" s="530"/>
    </row>
    <row r="238" spans="1:256" ht="17.25" hidden="1" customHeight="1">
      <c r="A238" s="1676"/>
      <c r="B238" s="550"/>
      <c r="C238" s="550"/>
      <c r="D238" s="550"/>
      <c r="E238" s="550"/>
      <c r="F238" s="550"/>
      <c r="G238" s="550"/>
      <c r="H238" s="550"/>
      <c r="I238" s="550"/>
      <c r="J238" s="550"/>
      <c r="K238" s="550"/>
      <c r="L238" s="550"/>
      <c r="M238" s="550"/>
      <c r="N238" s="550"/>
      <c r="O238" s="439"/>
      <c r="P238" s="439"/>
      <c r="Q238" s="674"/>
      <c r="R238" s="671"/>
      <c r="S238" s="671"/>
      <c r="T238" s="671"/>
      <c r="U238" s="671"/>
      <c r="V238" s="671"/>
      <c r="W238" s="671"/>
      <c r="X238" s="671"/>
      <c r="Y238" s="671"/>
      <c r="Z238" s="671"/>
      <c r="AA238" s="671"/>
      <c r="AB238" s="623"/>
      <c r="AC238" s="623"/>
      <c r="AD238" s="623"/>
      <c r="AE238" s="623"/>
      <c r="AF238" s="623"/>
      <c r="AG238" s="623"/>
      <c r="AH238" s="623"/>
      <c r="AI238" s="623"/>
      <c r="AJ238" s="623"/>
      <c r="AK238" s="623"/>
      <c r="AL238" s="623"/>
      <c r="AM238" s="623"/>
      <c r="AN238" s="623"/>
      <c r="AO238" s="623"/>
      <c r="AP238" s="623"/>
      <c r="AQ238" s="623"/>
      <c r="AR238" s="623"/>
      <c r="AS238" s="623"/>
      <c r="AT238" s="623"/>
      <c r="AU238" s="623"/>
      <c r="AV238" s="623"/>
      <c r="AW238" s="623"/>
      <c r="AX238" s="623"/>
      <c r="AY238" s="623"/>
      <c r="AZ238" s="623"/>
      <c r="BA238" s="623"/>
      <c r="BB238" s="623"/>
      <c r="BC238" s="623"/>
      <c r="BD238" s="623"/>
      <c r="BE238" s="623"/>
      <c r="BF238" s="623"/>
      <c r="BG238" s="623"/>
      <c r="BH238" s="623"/>
      <c r="BI238" s="623"/>
      <c r="BJ238" s="623"/>
      <c r="BK238" s="623"/>
      <c r="BL238" s="623"/>
      <c r="BM238" s="623"/>
      <c r="BN238" s="623"/>
      <c r="BO238" s="623"/>
      <c r="BP238" s="623"/>
      <c r="BQ238" s="623"/>
      <c r="BR238" s="623"/>
      <c r="BS238" s="623"/>
      <c r="BT238" s="623"/>
      <c r="BU238" s="623"/>
      <c r="BV238" s="623"/>
      <c r="BW238" s="623"/>
      <c r="BX238" s="623"/>
      <c r="BY238" s="623"/>
      <c r="BZ238" s="623"/>
      <c r="CA238" s="623"/>
      <c r="CB238" s="623"/>
      <c r="CC238" s="623"/>
      <c r="CD238" s="623"/>
      <c r="CE238" s="1669"/>
      <c r="CF238" s="623"/>
      <c r="CG238" s="623"/>
      <c r="CH238" s="623"/>
      <c r="CI238" s="623"/>
      <c r="CJ238" s="623"/>
      <c r="CK238" s="623"/>
      <c r="CL238" s="623"/>
      <c r="CM238" s="623"/>
      <c r="CN238" s="623"/>
      <c r="CO238" s="623"/>
      <c r="CP238" s="623"/>
      <c r="CQ238" s="623"/>
      <c r="CR238" s="623"/>
      <c r="CS238" s="623"/>
      <c r="CT238" s="623"/>
      <c r="CU238" s="623"/>
      <c r="CV238" s="623"/>
      <c r="CW238" s="623"/>
      <c r="CX238" s="623"/>
      <c r="CY238" s="817"/>
      <c r="CZ238" s="623"/>
      <c r="DA238" s="623"/>
      <c r="DB238" s="623"/>
      <c r="DC238" s="623"/>
      <c r="DD238" s="623"/>
      <c r="DE238" s="623"/>
      <c r="DF238" s="623"/>
      <c r="DG238" s="623"/>
      <c r="DH238" s="623"/>
      <c r="DI238" s="623"/>
      <c r="DJ238" s="623"/>
      <c r="DK238" s="623"/>
      <c r="DL238" s="623"/>
      <c r="DM238" s="623"/>
      <c r="DN238" s="623"/>
      <c r="DO238" s="623"/>
      <c r="DP238" s="623"/>
      <c r="DQ238" s="623"/>
      <c r="DR238" s="623"/>
      <c r="DS238" s="623"/>
      <c r="DT238" s="623"/>
      <c r="DU238" s="623"/>
      <c r="DV238" s="1675"/>
      <c r="IR238" s="542"/>
      <c r="IS238" s="542"/>
      <c r="IT238" s="542"/>
      <c r="IU238" s="542"/>
      <c r="IV238" s="542"/>
    </row>
    <row r="239" spans="1:256" ht="17.25" hidden="1" customHeight="1">
      <c r="A239" s="1676"/>
      <c r="B239" s="550"/>
      <c r="C239" s="550"/>
      <c r="D239" s="550"/>
      <c r="E239" s="550"/>
      <c r="F239" s="550"/>
      <c r="G239" s="550"/>
      <c r="H239" s="550"/>
      <c r="I239" s="550"/>
      <c r="J239" s="550"/>
      <c r="K239" s="550"/>
      <c r="L239" s="550"/>
      <c r="M239" s="550"/>
      <c r="N239" s="550"/>
      <c r="O239" s="439"/>
      <c r="P239" s="439"/>
      <c r="Q239" s="674"/>
      <c r="R239" s="671"/>
      <c r="S239" s="671"/>
      <c r="T239" s="671"/>
      <c r="U239" s="671"/>
      <c r="V239" s="671"/>
      <c r="W239" s="671"/>
      <c r="X239" s="671"/>
      <c r="Y239" s="671"/>
      <c r="Z239" s="671"/>
      <c r="AA239" s="671"/>
      <c r="AB239" s="623"/>
      <c r="AC239" s="623"/>
      <c r="AD239" s="623"/>
      <c r="AE239" s="623"/>
      <c r="AF239" s="623"/>
      <c r="AG239" s="623"/>
      <c r="AH239" s="623"/>
      <c r="AI239" s="623"/>
      <c r="AJ239" s="623"/>
      <c r="AK239" s="623"/>
      <c r="AL239" s="623"/>
      <c r="AM239" s="623"/>
      <c r="AN239" s="623"/>
      <c r="AO239" s="623"/>
      <c r="AP239" s="623"/>
      <c r="AQ239" s="623"/>
      <c r="AR239" s="623"/>
      <c r="AS239" s="623"/>
      <c r="AT239" s="623"/>
      <c r="AU239" s="623"/>
      <c r="AV239" s="623"/>
      <c r="AW239" s="623"/>
      <c r="AX239" s="623"/>
      <c r="AY239" s="623"/>
      <c r="AZ239" s="623"/>
      <c r="BA239" s="623"/>
      <c r="BB239" s="623"/>
      <c r="BC239" s="623"/>
      <c r="BD239" s="623"/>
      <c r="BE239" s="623"/>
      <c r="BF239" s="623"/>
      <c r="BG239" s="623"/>
      <c r="BH239" s="623"/>
      <c r="BI239" s="623"/>
      <c r="BJ239" s="623"/>
      <c r="BK239" s="623"/>
      <c r="BL239" s="623"/>
      <c r="BM239" s="623"/>
      <c r="BN239" s="623"/>
      <c r="BO239" s="623"/>
      <c r="BP239" s="623"/>
      <c r="BQ239" s="623"/>
      <c r="BR239" s="623"/>
      <c r="BS239" s="623"/>
      <c r="BT239" s="623"/>
      <c r="BU239" s="623"/>
      <c r="BV239" s="623"/>
      <c r="BW239" s="623"/>
      <c r="BX239" s="623"/>
      <c r="BY239" s="623"/>
      <c r="BZ239" s="623"/>
      <c r="CA239" s="623"/>
      <c r="CB239" s="623"/>
      <c r="CC239" s="623"/>
      <c r="CD239" s="623"/>
      <c r="CE239" s="1669"/>
      <c r="CF239" s="623"/>
      <c r="CG239" s="623"/>
      <c r="CH239" s="623"/>
      <c r="CI239" s="623"/>
      <c r="CJ239" s="623"/>
      <c r="CK239" s="623"/>
      <c r="CL239" s="623"/>
      <c r="CM239" s="623"/>
      <c r="CN239" s="623"/>
      <c r="CO239" s="623"/>
      <c r="CP239" s="623"/>
      <c r="CQ239" s="623"/>
      <c r="CR239" s="623"/>
      <c r="CS239" s="623"/>
      <c r="CT239" s="623"/>
      <c r="CU239" s="623"/>
      <c r="CV239" s="623"/>
      <c r="CW239" s="623"/>
      <c r="CX239" s="623"/>
      <c r="CY239" s="817"/>
      <c r="CZ239" s="623"/>
      <c r="DA239" s="623"/>
      <c r="DB239" s="623"/>
      <c r="DC239" s="623"/>
      <c r="DD239" s="623"/>
      <c r="DE239" s="623"/>
      <c r="DF239" s="623"/>
      <c r="DG239" s="623"/>
      <c r="DH239" s="623"/>
      <c r="DI239" s="623"/>
      <c r="DJ239" s="623"/>
      <c r="DK239" s="623"/>
      <c r="DL239" s="623"/>
      <c r="DM239" s="623"/>
      <c r="DN239" s="623"/>
      <c r="DO239" s="623"/>
      <c r="DP239" s="623"/>
      <c r="DQ239" s="623"/>
      <c r="DR239" s="623"/>
      <c r="DS239" s="623"/>
      <c r="DT239" s="623"/>
      <c r="DU239" s="623"/>
      <c r="DV239" s="1675"/>
    </row>
    <row r="240" spans="1:256" ht="17.25" hidden="1" customHeight="1">
      <c r="A240" s="1676"/>
      <c r="B240" s="550"/>
      <c r="C240" s="550"/>
      <c r="D240" s="550"/>
      <c r="E240" s="550"/>
      <c r="F240" s="550"/>
      <c r="G240" s="550"/>
      <c r="H240" s="550"/>
      <c r="I240" s="550"/>
      <c r="J240" s="550"/>
      <c r="K240" s="550"/>
      <c r="L240" s="550"/>
      <c r="M240" s="550"/>
      <c r="N240" s="550"/>
      <c r="O240" s="439"/>
      <c r="P240" s="439"/>
      <c r="Q240" s="674"/>
      <c r="R240" s="671"/>
      <c r="S240" s="671"/>
      <c r="T240" s="671"/>
      <c r="U240" s="671"/>
      <c r="V240" s="671"/>
      <c r="W240" s="671"/>
      <c r="X240" s="671"/>
      <c r="Y240" s="671"/>
      <c r="Z240" s="671"/>
      <c r="AA240" s="671"/>
      <c r="AB240" s="623"/>
      <c r="AC240" s="623"/>
      <c r="AD240" s="623"/>
      <c r="AE240" s="623"/>
      <c r="AF240" s="623"/>
      <c r="AG240" s="623"/>
      <c r="AH240" s="623"/>
      <c r="AI240" s="623"/>
      <c r="AJ240" s="623"/>
      <c r="AK240" s="623"/>
      <c r="AL240" s="623"/>
      <c r="AM240" s="623"/>
      <c r="AN240" s="623"/>
      <c r="AO240" s="623"/>
      <c r="AP240" s="623"/>
      <c r="AQ240" s="623"/>
      <c r="AR240" s="623"/>
      <c r="AS240" s="623"/>
      <c r="AT240" s="623"/>
      <c r="AU240" s="623"/>
      <c r="AV240" s="623"/>
      <c r="AW240" s="623"/>
      <c r="AX240" s="623"/>
      <c r="AY240" s="623"/>
      <c r="AZ240" s="623"/>
      <c r="BA240" s="623"/>
      <c r="BB240" s="623"/>
      <c r="BC240" s="623"/>
      <c r="BD240" s="623"/>
      <c r="BE240" s="623"/>
      <c r="BF240" s="623"/>
      <c r="BG240" s="623"/>
      <c r="BH240" s="623"/>
      <c r="BI240" s="623"/>
      <c r="BJ240" s="623"/>
      <c r="BK240" s="623"/>
      <c r="BL240" s="623"/>
      <c r="BM240" s="623"/>
      <c r="BN240" s="623"/>
      <c r="BO240" s="623"/>
      <c r="BP240" s="623"/>
      <c r="BQ240" s="623"/>
      <c r="BR240" s="623"/>
      <c r="BS240" s="623"/>
      <c r="BT240" s="623"/>
      <c r="BU240" s="623"/>
      <c r="BV240" s="623"/>
      <c r="BW240" s="623"/>
      <c r="BX240" s="623"/>
      <c r="BY240" s="623"/>
      <c r="BZ240" s="623"/>
      <c r="CA240" s="623"/>
      <c r="CB240" s="623"/>
      <c r="CC240" s="623"/>
      <c r="CD240" s="623"/>
      <c r="CE240" s="1669"/>
      <c r="CF240" s="623"/>
      <c r="CG240" s="623"/>
      <c r="CH240" s="623"/>
      <c r="CI240" s="623"/>
      <c r="CJ240" s="623"/>
      <c r="CK240" s="623"/>
      <c r="CL240" s="623"/>
      <c r="CM240" s="623"/>
      <c r="CN240" s="623"/>
      <c r="CO240" s="623"/>
      <c r="CP240" s="623"/>
      <c r="CQ240" s="623"/>
      <c r="CR240" s="623"/>
      <c r="CS240" s="623"/>
      <c r="CT240" s="623"/>
      <c r="CU240" s="623"/>
      <c r="CV240" s="623"/>
      <c r="CW240" s="623"/>
      <c r="CX240" s="623"/>
      <c r="CY240" s="817"/>
      <c r="CZ240" s="623"/>
      <c r="DA240" s="623"/>
      <c r="DB240" s="623"/>
      <c r="DC240" s="623"/>
      <c r="DD240" s="623"/>
      <c r="DE240" s="623"/>
      <c r="DF240" s="623"/>
      <c r="DG240" s="623"/>
      <c r="DH240" s="623"/>
      <c r="DI240" s="623"/>
      <c r="DJ240" s="623"/>
      <c r="DK240" s="623"/>
      <c r="DL240" s="623"/>
      <c r="DM240" s="623"/>
      <c r="DN240" s="623"/>
      <c r="DO240" s="623"/>
      <c r="DP240" s="623"/>
      <c r="DQ240" s="623"/>
      <c r="DR240" s="623"/>
      <c r="DS240" s="623"/>
      <c r="DT240" s="623"/>
      <c r="DU240" s="623"/>
      <c r="DV240" s="1675"/>
    </row>
    <row r="241" spans="1:256" ht="17.25" hidden="1" customHeight="1">
      <c r="A241" s="1676"/>
      <c r="B241" s="550"/>
      <c r="C241" s="550"/>
      <c r="D241" s="550"/>
      <c r="E241" s="550"/>
      <c r="F241" s="550"/>
      <c r="G241" s="550"/>
      <c r="H241" s="550"/>
      <c r="I241" s="550"/>
      <c r="J241" s="550"/>
      <c r="K241" s="550"/>
      <c r="L241" s="550"/>
      <c r="M241" s="550"/>
      <c r="N241" s="550"/>
      <c r="O241" s="439"/>
      <c r="P241" s="439"/>
      <c r="Q241" s="674"/>
      <c r="R241" s="671"/>
      <c r="S241" s="671"/>
      <c r="T241" s="671"/>
      <c r="U241" s="671"/>
      <c r="V241" s="671"/>
      <c r="W241" s="671"/>
      <c r="X241" s="671"/>
      <c r="Y241" s="671"/>
      <c r="Z241" s="671"/>
      <c r="AA241" s="671"/>
      <c r="AB241" s="623"/>
      <c r="AC241" s="623"/>
      <c r="AD241" s="623"/>
      <c r="AE241" s="623"/>
      <c r="AF241" s="623"/>
      <c r="AG241" s="623"/>
      <c r="AH241" s="623"/>
      <c r="AI241" s="623"/>
      <c r="AJ241" s="623"/>
      <c r="AK241" s="623"/>
      <c r="AL241" s="623"/>
      <c r="AM241" s="623"/>
      <c r="AN241" s="623"/>
      <c r="AO241" s="623"/>
      <c r="AP241" s="623"/>
      <c r="AQ241" s="623"/>
      <c r="AR241" s="623"/>
      <c r="AS241" s="623"/>
      <c r="AT241" s="623"/>
      <c r="AU241" s="623"/>
      <c r="AV241" s="623"/>
      <c r="AW241" s="623"/>
      <c r="AX241" s="623"/>
      <c r="AY241" s="623"/>
      <c r="AZ241" s="623"/>
      <c r="BA241" s="623"/>
      <c r="BB241" s="623"/>
      <c r="BC241" s="623"/>
      <c r="BD241" s="623"/>
      <c r="BE241" s="623"/>
      <c r="BF241" s="623"/>
      <c r="BG241" s="623"/>
      <c r="BH241" s="623"/>
      <c r="BI241" s="623"/>
      <c r="BJ241" s="623"/>
      <c r="BK241" s="623"/>
      <c r="BL241" s="623"/>
      <c r="BM241" s="623"/>
      <c r="BN241" s="623"/>
      <c r="BO241" s="623"/>
      <c r="BP241" s="623"/>
      <c r="BQ241" s="623"/>
      <c r="BR241" s="623"/>
      <c r="BS241" s="623"/>
      <c r="BT241" s="623"/>
      <c r="BU241" s="623"/>
      <c r="BV241" s="623"/>
      <c r="BW241" s="623"/>
      <c r="BX241" s="623"/>
      <c r="BY241" s="623"/>
      <c r="BZ241" s="623"/>
      <c r="CA241" s="623"/>
      <c r="CB241" s="623"/>
      <c r="CC241" s="623"/>
      <c r="CD241" s="623"/>
      <c r="CE241" s="1669"/>
      <c r="CF241" s="623"/>
      <c r="CG241" s="623"/>
      <c r="CH241" s="623"/>
      <c r="CI241" s="623"/>
      <c r="CJ241" s="623"/>
      <c r="CK241" s="623"/>
      <c r="CL241" s="623"/>
      <c r="CM241" s="623"/>
      <c r="CN241" s="623"/>
      <c r="CO241" s="623"/>
      <c r="CP241" s="623"/>
      <c r="CQ241" s="623"/>
      <c r="CR241" s="623"/>
      <c r="CS241" s="623"/>
      <c r="CT241" s="623"/>
      <c r="CU241" s="623"/>
      <c r="CV241" s="623"/>
      <c r="CW241" s="623"/>
      <c r="CX241" s="623"/>
      <c r="CY241" s="817"/>
      <c r="CZ241" s="623"/>
      <c r="DA241" s="623"/>
      <c r="DB241" s="623"/>
      <c r="DC241" s="623"/>
      <c r="DD241" s="623"/>
      <c r="DE241" s="623"/>
      <c r="DF241" s="623"/>
      <c r="DG241" s="623"/>
      <c r="DH241" s="623"/>
      <c r="DI241" s="623"/>
      <c r="DJ241" s="623"/>
      <c r="DK241" s="623"/>
      <c r="DL241" s="623"/>
      <c r="DM241" s="623"/>
      <c r="DN241" s="623"/>
      <c r="DO241" s="623"/>
      <c r="DP241" s="623"/>
      <c r="DQ241" s="623"/>
      <c r="DR241" s="623"/>
      <c r="DS241" s="623"/>
      <c r="DT241" s="623"/>
      <c r="DU241" s="623"/>
      <c r="DV241" s="1675"/>
    </row>
    <row r="242" spans="1:256" ht="17.25" hidden="1" customHeight="1">
      <c r="A242" s="1676"/>
      <c r="B242" s="550"/>
      <c r="C242" s="550"/>
      <c r="D242" s="550"/>
      <c r="E242" s="550"/>
      <c r="F242" s="550"/>
      <c r="G242" s="550"/>
      <c r="H242" s="550"/>
      <c r="I242" s="550"/>
      <c r="J242" s="550"/>
      <c r="K242" s="550"/>
      <c r="L242" s="550"/>
      <c r="M242" s="550"/>
      <c r="N242" s="550"/>
      <c r="O242" s="439"/>
      <c r="P242" s="439"/>
      <c r="Q242" s="674"/>
      <c r="R242" s="671"/>
      <c r="S242" s="671"/>
      <c r="T242" s="671"/>
      <c r="U242" s="671"/>
      <c r="V242" s="671"/>
      <c r="W242" s="671"/>
      <c r="X242" s="671"/>
      <c r="Y242" s="671"/>
      <c r="Z242" s="671"/>
      <c r="AA242" s="671"/>
      <c r="AB242" s="623"/>
      <c r="AC242" s="623"/>
      <c r="AD242" s="623"/>
      <c r="AE242" s="623"/>
      <c r="AF242" s="623"/>
      <c r="AG242" s="623"/>
      <c r="AH242" s="623"/>
      <c r="AI242" s="623"/>
      <c r="AJ242" s="623"/>
      <c r="AK242" s="623"/>
      <c r="AL242" s="623"/>
      <c r="AM242" s="623"/>
      <c r="AN242" s="623"/>
      <c r="AO242" s="623"/>
      <c r="AP242" s="623"/>
      <c r="AQ242" s="623"/>
      <c r="AR242" s="623"/>
      <c r="AS242" s="623"/>
      <c r="AT242" s="623"/>
      <c r="AU242" s="623"/>
      <c r="AV242" s="623"/>
      <c r="AW242" s="623"/>
      <c r="AX242" s="623"/>
      <c r="AY242" s="623"/>
      <c r="AZ242" s="623"/>
      <c r="BA242" s="623"/>
      <c r="BB242" s="623"/>
      <c r="BC242" s="623"/>
      <c r="BD242" s="623"/>
      <c r="BE242" s="623"/>
      <c r="BF242" s="623"/>
      <c r="BG242" s="623"/>
      <c r="BH242" s="623"/>
      <c r="BI242" s="623"/>
      <c r="BJ242" s="623"/>
      <c r="BK242" s="623"/>
      <c r="BL242" s="623"/>
      <c r="BM242" s="623"/>
      <c r="BN242" s="623"/>
      <c r="BO242" s="623"/>
      <c r="BP242" s="623"/>
      <c r="BQ242" s="623"/>
      <c r="BR242" s="623"/>
      <c r="BS242" s="623"/>
      <c r="BT242" s="623"/>
      <c r="BU242" s="623"/>
      <c r="BV242" s="623"/>
      <c r="BW242" s="623"/>
      <c r="BX242" s="623"/>
      <c r="BY242" s="623"/>
      <c r="BZ242" s="623"/>
      <c r="CA242" s="623"/>
      <c r="CB242" s="623"/>
      <c r="CC242" s="623"/>
      <c r="CD242" s="623"/>
      <c r="CE242" s="1669"/>
      <c r="CF242" s="623"/>
      <c r="CG242" s="623"/>
      <c r="CH242" s="623"/>
      <c r="CI242" s="623"/>
      <c r="CJ242" s="623"/>
      <c r="CK242" s="623"/>
      <c r="CL242" s="623"/>
      <c r="CM242" s="623"/>
      <c r="CN242" s="623"/>
      <c r="CO242" s="623"/>
      <c r="CP242" s="623"/>
      <c r="CQ242" s="623"/>
      <c r="CR242" s="623"/>
      <c r="CS242" s="623"/>
      <c r="CT242" s="623"/>
      <c r="CU242" s="623"/>
      <c r="CV242" s="623"/>
      <c r="CW242" s="623"/>
      <c r="CX242" s="623"/>
      <c r="CY242" s="817"/>
      <c r="CZ242" s="623"/>
      <c r="DA242" s="623"/>
      <c r="DB242" s="623"/>
      <c r="DC242" s="623"/>
      <c r="DD242" s="623"/>
      <c r="DE242" s="623"/>
      <c r="DF242" s="623"/>
      <c r="DG242" s="623"/>
      <c r="DH242" s="623"/>
      <c r="DI242" s="623"/>
      <c r="DJ242" s="623"/>
      <c r="DK242" s="623"/>
      <c r="DL242" s="623"/>
      <c r="DM242" s="623"/>
      <c r="DN242" s="623"/>
      <c r="DO242" s="623"/>
      <c r="DP242" s="623"/>
      <c r="DQ242" s="623"/>
      <c r="DR242" s="623"/>
      <c r="DS242" s="623"/>
      <c r="DT242" s="623"/>
      <c r="DU242" s="623"/>
      <c r="DV242" s="1675"/>
    </row>
    <row r="243" spans="1:256" ht="17.25" hidden="1" customHeight="1">
      <c r="A243" s="1676"/>
      <c r="B243" s="550"/>
      <c r="C243" s="550"/>
      <c r="D243" s="550"/>
      <c r="E243" s="550"/>
      <c r="F243" s="550"/>
      <c r="G243" s="550"/>
      <c r="H243" s="550"/>
      <c r="I243" s="550"/>
      <c r="J243" s="550"/>
      <c r="K243" s="550"/>
      <c r="L243" s="550"/>
      <c r="M243" s="550"/>
      <c r="N243" s="550"/>
      <c r="O243" s="439"/>
      <c r="P243" s="439"/>
      <c r="Q243" s="674"/>
      <c r="R243" s="671"/>
      <c r="S243" s="671"/>
      <c r="T243" s="671"/>
      <c r="U243" s="671"/>
      <c r="V243" s="671"/>
      <c r="W243" s="671"/>
      <c r="X243" s="671"/>
      <c r="Y243" s="671"/>
      <c r="Z243" s="671"/>
      <c r="AA243" s="671"/>
      <c r="AB243" s="623"/>
      <c r="AC243" s="623"/>
      <c r="AD243" s="623"/>
      <c r="AE243" s="623"/>
      <c r="AF243" s="623"/>
      <c r="AG243" s="623"/>
      <c r="AH243" s="623"/>
      <c r="AI243" s="623"/>
      <c r="AJ243" s="623"/>
      <c r="AK243" s="623"/>
      <c r="AL243" s="623"/>
      <c r="AM243" s="623"/>
      <c r="AN243" s="623"/>
      <c r="AO243" s="623"/>
      <c r="AP243" s="623"/>
      <c r="AQ243" s="623"/>
      <c r="AR243" s="623"/>
      <c r="AS243" s="623"/>
      <c r="AT243" s="623"/>
      <c r="AU243" s="623"/>
      <c r="AV243" s="623"/>
      <c r="AW243" s="623"/>
      <c r="AX243" s="623"/>
      <c r="AY243" s="623"/>
      <c r="AZ243" s="623"/>
      <c r="BA243" s="623"/>
      <c r="BB243" s="623"/>
      <c r="BC243" s="623"/>
      <c r="BD243" s="623"/>
      <c r="BE243" s="623"/>
      <c r="BF243" s="623"/>
      <c r="BG243" s="623"/>
      <c r="BH243" s="623"/>
      <c r="BI243" s="623"/>
      <c r="BJ243" s="623"/>
      <c r="BK243" s="623"/>
      <c r="BL243" s="623"/>
      <c r="BM243" s="623"/>
      <c r="BN243" s="623"/>
      <c r="BO243" s="623"/>
      <c r="BP243" s="623"/>
      <c r="BQ243" s="623"/>
      <c r="BR243" s="623"/>
      <c r="BS243" s="623"/>
      <c r="BT243" s="623"/>
      <c r="BU243" s="623"/>
      <c r="BV243" s="623"/>
      <c r="BW243" s="623"/>
      <c r="BX243" s="623"/>
      <c r="BY243" s="623"/>
      <c r="BZ243" s="623"/>
      <c r="CA243" s="623"/>
      <c r="CB243" s="623"/>
      <c r="CC243" s="623"/>
      <c r="CD243" s="623"/>
      <c r="CE243" s="1669"/>
      <c r="CF243" s="623"/>
      <c r="CG243" s="623"/>
      <c r="CH243" s="623"/>
      <c r="CI243" s="623"/>
      <c r="CJ243" s="623"/>
      <c r="CK243" s="623"/>
      <c r="CL243" s="623"/>
      <c r="CM243" s="623"/>
      <c r="CN243" s="623"/>
      <c r="CO243" s="623"/>
      <c r="CP243" s="623"/>
      <c r="CQ243" s="623"/>
      <c r="CR243" s="623"/>
      <c r="CS243" s="623"/>
      <c r="CT243" s="623"/>
      <c r="CU243" s="623"/>
      <c r="CV243" s="623"/>
      <c r="CW243" s="623"/>
      <c r="CX243" s="623"/>
      <c r="CY243" s="817"/>
      <c r="CZ243" s="623"/>
      <c r="DA243" s="623"/>
      <c r="DB243" s="623"/>
      <c r="DC243" s="623"/>
      <c r="DD243" s="623"/>
      <c r="DE243" s="623"/>
      <c r="DF243" s="623"/>
      <c r="DG243" s="623"/>
      <c r="DH243" s="623"/>
      <c r="DI243" s="623"/>
      <c r="DJ243" s="623"/>
      <c r="DK243" s="623"/>
      <c r="DL243" s="623"/>
      <c r="DM243" s="623"/>
      <c r="DN243" s="623"/>
      <c r="DO243" s="623"/>
      <c r="DP243" s="623"/>
      <c r="DQ243" s="623"/>
      <c r="DR243" s="623"/>
      <c r="DS243" s="623"/>
      <c r="DT243" s="623"/>
      <c r="DU243" s="623"/>
      <c r="DV243" s="1675"/>
    </row>
    <row r="244" spans="1:256" ht="17.25" hidden="1" customHeight="1">
      <c r="A244" s="1676"/>
      <c r="B244" s="550"/>
      <c r="C244" s="550"/>
      <c r="D244" s="550"/>
      <c r="E244" s="550"/>
      <c r="F244" s="550"/>
      <c r="G244" s="550"/>
      <c r="H244" s="550"/>
      <c r="I244" s="550"/>
      <c r="J244" s="550"/>
      <c r="K244" s="550"/>
      <c r="L244" s="550"/>
      <c r="M244" s="550"/>
      <c r="N244" s="550"/>
      <c r="O244" s="439"/>
      <c r="P244" s="439"/>
      <c r="Q244" s="674"/>
      <c r="R244" s="671"/>
      <c r="S244" s="671"/>
      <c r="T244" s="671"/>
      <c r="U244" s="671"/>
      <c r="V244" s="671"/>
      <c r="W244" s="671"/>
      <c r="X244" s="671"/>
      <c r="Y244" s="671"/>
      <c r="Z244" s="671"/>
      <c r="AA244" s="671"/>
      <c r="AB244" s="623"/>
      <c r="AC244" s="623"/>
      <c r="AD244" s="623"/>
      <c r="AE244" s="623"/>
      <c r="AF244" s="623"/>
      <c r="AG244" s="623"/>
      <c r="AH244" s="623"/>
      <c r="AI244" s="623"/>
      <c r="AJ244" s="623"/>
      <c r="AK244" s="623"/>
      <c r="AL244" s="623"/>
      <c r="AM244" s="623"/>
      <c r="AN244" s="623"/>
      <c r="AO244" s="623"/>
      <c r="AP244" s="623"/>
      <c r="AQ244" s="623"/>
      <c r="AR244" s="623"/>
      <c r="AS244" s="623"/>
      <c r="AT244" s="623"/>
      <c r="AU244" s="623"/>
      <c r="AV244" s="623"/>
      <c r="AW244" s="623"/>
      <c r="AX244" s="623"/>
      <c r="AY244" s="623"/>
      <c r="AZ244" s="623"/>
      <c r="BA244" s="623"/>
      <c r="BB244" s="623"/>
      <c r="BC244" s="623"/>
      <c r="BD244" s="623"/>
      <c r="BE244" s="623"/>
      <c r="BF244" s="623"/>
      <c r="BG244" s="623"/>
      <c r="BH244" s="623"/>
      <c r="BI244" s="623"/>
      <c r="BJ244" s="623"/>
      <c r="BK244" s="623"/>
      <c r="BL244" s="623"/>
      <c r="BM244" s="623"/>
      <c r="BN244" s="623"/>
      <c r="BO244" s="623"/>
      <c r="BP244" s="623"/>
      <c r="BQ244" s="623"/>
      <c r="BR244" s="623"/>
      <c r="BS244" s="623"/>
      <c r="BT244" s="623"/>
      <c r="BU244" s="623"/>
      <c r="BV244" s="623"/>
      <c r="BW244" s="623"/>
      <c r="BX244" s="623"/>
      <c r="BY244" s="623"/>
      <c r="BZ244" s="623"/>
      <c r="CA244" s="623"/>
      <c r="CB244" s="623"/>
      <c r="CC244" s="623"/>
      <c r="CD244" s="623"/>
      <c r="CE244" s="1669"/>
      <c r="CF244" s="623"/>
      <c r="CG244" s="623"/>
      <c r="CH244" s="623"/>
      <c r="CI244" s="623"/>
      <c r="CJ244" s="623"/>
      <c r="CK244" s="623"/>
      <c r="CL244" s="623"/>
      <c r="CM244" s="623"/>
      <c r="CN244" s="623"/>
      <c r="CO244" s="623"/>
      <c r="CP244" s="623"/>
      <c r="CQ244" s="623"/>
      <c r="CR244" s="623"/>
      <c r="CS244" s="623"/>
      <c r="CT244" s="623"/>
      <c r="CU244" s="623"/>
      <c r="CV244" s="623"/>
      <c r="CW244" s="623"/>
      <c r="CX244" s="623"/>
      <c r="CY244" s="817"/>
      <c r="CZ244" s="623"/>
      <c r="DA244" s="623"/>
      <c r="DB244" s="623"/>
      <c r="DC244" s="623"/>
      <c r="DD244" s="623"/>
      <c r="DE244" s="623"/>
      <c r="DF244" s="623"/>
      <c r="DG244" s="623"/>
      <c r="DH244" s="623"/>
      <c r="DI244" s="623"/>
      <c r="DJ244" s="623"/>
      <c r="DK244" s="623"/>
      <c r="DL244" s="623"/>
      <c r="DM244" s="623"/>
      <c r="DN244" s="623"/>
      <c r="DO244" s="623"/>
      <c r="DP244" s="623"/>
      <c r="DQ244" s="623"/>
      <c r="DR244" s="623"/>
      <c r="DS244" s="623"/>
      <c r="DT244" s="623"/>
      <c r="DU244" s="623"/>
      <c r="DV244" s="1675"/>
    </row>
    <row r="245" spans="1:256" ht="17.25" hidden="1" customHeight="1">
      <c r="A245" s="1676"/>
      <c r="B245" s="550"/>
      <c r="C245" s="550"/>
      <c r="D245" s="550"/>
      <c r="E245" s="550"/>
      <c r="F245" s="550"/>
      <c r="G245" s="550"/>
      <c r="H245" s="550"/>
      <c r="I245" s="550"/>
      <c r="J245" s="550"/>
      <c r="K245" s="550"/>
      <c r="L245" s="550"/>
      <c r="M245" s="550"/>
      <c r="N245" s="550"/>
      <c r="O245" s="439"/>
      <c r="P245" s="439"/>
      <c r="Q245" s="674"/>
      <c r="R245" s="671"/>
      <c r="S245" s="671"/>
      <c r="T245" s="671"/>
      <c r="U245" s="671"/>
      <c r="V245" s="671"/>
      <c r="W245" s="671"/>
      <c r="X245" s="671"/>
      <c r="Y245" s="671"/>
      <c r="Z245" s="671"/>
      <c r="AA245" s="671"/>
      <c r="AB245" s="623"/>
      <c r="AC245" s="623"/>
      <c r="AD245" s="623"/>
      <c r="AE245" s="623"/>
      <c r="AF245" s="623"/>
      <c r="AG245" s="623"/>
      <c r="AH245" s="623"/>
      <c r="AI245" s="623"/>
      <c r="AJ245" s="623"/>
      <c r="AK245" s="623"/>
      <c r="AL245" s="623"/>
      <c r="AM245" s="623"/>
      <c r="AN245" s="623"/>
      <c r="AO245" s="623"/>
      <c r="AP245" s="623"/>
      <c r="AQ245" s="623"/>
      <c r="AR245" s="623"/>
      <c r="AS245" s="623"/>
      <c r="AT245" s="623"/>
      <c r="AU245" s="623"/>
      <c r="AV245" s="623"/>
      <c r="AW245" s="623"/>
      <c r="AX245" s="623"/>
      <c r="AY245" s="623"/>
      <c r="AZ245" s="623"/>
      <c r="BA245" s="623"/>
      <c r="BB245" s="623"/>
      <c r="BC245" s="623"/>
      <c r="BD245" s="623"/>
      <c r="BE245" s="623"/>
      <c r="BF245" s="623"/>
      <c r="BG245" s="623"/>
      <c r="BH245" s="623"/>
      <c r="BI245" s="623"/>
      <c r="BJ245" s="623"/>
      <c r="BK245" s="623"/>
      <c r="BL245" s="623"/>
      <c r="BM245" s="623"/>
      <c r="BN245" s="623"/>
      <c r="BO245" s="623"/>
      <c r="BP245" s="623"/>
      <c r="BQ245" s="623"/>
      <c r="BR245" s="623"/>
      <c r="BS245" s="623"/>
      <c r="BT245" s="623"/>
      <c r="BU245" s="623"/>
      <c r="BV245" s="623"/>
      <c r="BW245" s="623"/>
      <c r="BX245" s="623"/>
      <c r="BY245" s="623"/>
      <c r="BZ245" s="623"/>
      <c r="CA245" s="623"/>
      <c r="CB245" s="623"/>
      <c r="CC245" s="623"/>
      <c r="CD245" s="623"/>
      <c r="CE245" s="1669"/>
      <c r="CF245" s="623"/>
      <c r="CG245" s="623"/>
      <c r="CH245" s="623"/>
      <c r="CI245" s="623"/>
      <c r="CJ245" s="623"/>
      <c r="CK245" s="623"/>
      <c r="CL245" s="623"/>
      <c r="CM245" s="623"/>
      <c r="CN245" s="623"/>
      <c r="CO245" s="623"/>
      <c r="CP245" s="623"/>
      <c r="CQ245" s="623"/>
      <c r="CR245" s="623"/>
      <c r="CS245" s="623"/>
      <c r="CT245" s="623"/>
      <c r="CU245" s="623"/>
      <c r="CV245" s="623"/>
      <c r="CW245" s="623"/>
      <c r="CX245" s="623"/>
      <c r="CY245" s="817"/>
      <c r="CZ245" s="623"/>
      <c r="DA245" s="623"/>
      <c r="DB245" s="623"/>
      <c r="DC245" s="623"/>
      <c r="DD245" s="623"/>
      <c r="DE245" s="623"/>
      <c r="DF245" s="623"/>
      <c r="DG245" s="623"/>
      <c r="DH245" s="623"/>
      <c r="DI245" s="623"/>
      <c r="DJ245" s="623"/>
      <c r="DK245" s="623"/>
      <c r="DL245" s="623"/>
      <c r="DM245" s="623"/>
      <c r="DN245" s="623"/>
      <c r="DO245" s="623"/>
      <c r="DP245" s="623"/>
      <c r="DQ245" s="623"/>
      <c r="DR245" s="623"/>
      <c r="DS245" s="623"/>
      <c r="DT245" s="623"/>
      <c r="DU245" s="623"/>
      <c r="DV245" s="1675"/>
    </row>
    <row r="246" spans="1:256" ht="17.25" hidden="1" customHeight="1">
      <c r="A246" s="1676"/>
      <c r="B246" s="550"/>
      <c r="C246" s="550"/>
      <c r="D246" s="550"/>
      <c r="E246" s="550"/>
      <c r="F246" s="550"/>
      <c r="G246" s="550"/>
      <c r="H246" s="550"/>
      <c r="I246" s="550"/>
      <c r="J246" s="550"/>
      <c r="K246" s="550"/>
      <c r="L246" s="550"/>
      <c r="M246" s="550"/>
      <c r="N246" s="550"/>
      <c r="O246" s="439"/>
      <c r="P246" s="439"/>
      <c r="Q246" s="674"/>
      <c r="R246" s="671"/>
      <c r="S246" s="671"/>
      <c r="T246" s="671"/>
      <c r="U246" s="671"/>
      <c r="V246" s="671"/>
      <c r="W246" s="671"/>
      <c r="X246" s="671"/>
      <c r="Y246" s="671"/>
      <c r="Z246" s="671"/>
      <c r="AA246" s="671"/>
      <c r="AB246" s="623"/>
      <c r="AC246" s="623"/>
      <c r="AD246" s="623"/>
      <c r="AE246" s="623"/>
      <c r="AF246" s="623"/>
      <c r="AG246" s="623"/>
      <c r="AH246" s="623"/>
      <c r="AI246" s="623"/>
      <c r="AJ246" s="623"/>
      <c r="AK246" s="623"/>
      <c r="AL246" s="623"/>
      <c r="AM246" s="623"/>
      <c r="AN246" s="623"/>
      <c r="AO246" s="623"/>
      <c r="AP246" s="623"/>
      <c r="AQ246" s="623"/>
      <c r="AR246" s="623"/>
      <c r="AS246" s="623"/>
      <c r="AT246" s="623"/>
      <c r="AU246" s="623"/>
      <c r="AV246" s="623"/>
      <c r="AW246" s="623"/>
      <c r="AX246" s="623"/>
      <c r="AY246" s="623"/>
      <c r="AZ246" s="623"/>
      <c r="BA246" s="623"/>
      <c r="BB246" s="623"/>
      <c r="BC246" s="623"/>
      <c r="BD246" s="623"/>
      <c r="BE246" s="623"/>
      <c r="BF246" s="623"/>
      <c r="BG246" s="623"/>
      <c r="BH246" s="623"/>
      <c r="BI246" s="623"/>
      <c r="BJ246" s="623"/>
      <c r="BK246" s="623"/>
      <c r="BL246" s="623"/>
      <c r="BM246" s="623"/>
      <c r="BN246" s="623"/>
      <c r="BO246" s="623"/>
      <c r="BP246" s="623"/>
      <c r="BQ246" s="623"/>
      <c r="BR246" s="623"/>
      <c r="BS246" s="623"/>
      <c r="BT246" s="623"/>
      <c r="BU246" s="623"/>
      <c r="BV246" s="623"/>
      <c r="BW246" s="623"/>
      <c r="BX246" s="623"/>
      <c r="BY246" s="623"/>
      <c r="BZ246" s="623"/>
      <c r="CA246" s="623"/>
      <c r="CB246" s="623"/>
      <c r="CC246" s="623"/>
      <c r="CD246" s="623"/>
      <c r="CE246" s="1669"/>
      <c r="CF246" s="623"/>
      <c r="CG246" s="623"/>
      <c r="CH246" s="623"/>
      <c r="CI246" s="623"/>
      <c r="CJ246" s="623"/>
      <c r="CK246" s="623"/>
      <c r="CL246" s="623"/>
      <c r="CM246" s="623"/>
      <c r="CN246" s="623"/>
      <c r="CO246" s="623"/>
      <c r="CP246" s="623"/>
      <c r="CQ246" s="623"/>
      <c r="CR246" s="623"/>
      <c r="CS246" s="623"/>
      <c r="CT246" s="623"/>
      <c r="CU246" s="623"/>
      <c r="CV246" s="623"/>
      <c r="CW246" s="623"/>
      <c r="CX246" s="623"/>
      <c r="CY246" s="817"/>
      <c r="CZ246" s="623"/>
      <c r="DA246" s="623"/>
      <c r="DB246" s="623"/>
      <c r="DC246" s="623"/>
      <c r="DD246" s="623"/>
      <c r="DE246" s="623"/>
      <c r="DF246" s="623"/>
      <c r="DG246" s="623"/>
      <c r="DH246" s="623"/>
      <c r="DI246" s="623"/>
      <c r="DJ246" s="623"/>
      <c r="DK246" s="623"/>
      <c r="DL246" s="623"/>
      <c r="DM246" s="623"/>
      <c r="DN246" s="623"/>
      <c r="DO246" s="623"/>
      <c r="DP246" s="623"/>
      <c r="DQ246" s="623"/>
      <c r="DR246" s="623"/>
      <c r="DS246" s="623"/>
      <c r="DT246" s="623"/>
      <c r="DU246" s="623"/>
      <c r="DV246" s="1675"/>
    </row>
    <row r="247" spans="1:256" ht="17.25" hidden="1" customHeight="1">
      <c r="A247" s="1676"/>
      <c r="B247" s="550"/>
      <c r="C247" s="550"/>
      <c r="D247" s="550"/>
      <c r="E247" s="550"/>
      <c r="F247" s="550"/>
      <c r="G247" s="550"/>
      <c r="H247" s="550"/>
      <c r="I247" s="550"/>
      <c r="J247" s="550"/>
      <c r="K247" s="550"/>
      <c r="L247" s="550"/>
      <c r="M247" s="550"/>
      <c r="N247" s="550"/>
      <c r="O247" s="439"/>
      <c r="P247" s="439"/>
      <c r="Q247" s="674"/>
      <c r="R247" s="671"/>
      <c r="S247" s="671"/>
      <c r="T247" s="671"/>
      <c r="U247" s="671"/>
      <c r="V247" s="671"/>
      <c r="W247" s="671"/>
      <c r="X247" s="671"/>
      <c r="Y247" s="671"/>
      <c r="Z247" s="671"/>
      <c r="AA247" s="671"/>
      <c r="AB247" s="623"/>
      <c r="AC247" s="623"/>
      <c r="AD247" s="623"/>
      <c r="AE247" s="623"/>
      <c r="AF247" s="623"/>
      <c r="AG247" s="623"/>
      <c r="AH247" s="623"/>
      <c r="AI247" s="623"/>
      <c r="AJ247" s="623"/>
      <c r="AK247" s="623"/>
      <c r="AL247" s="623"/>
      <c r="AM247" s="623"/>
      <c r="AN247" s="623"/>
      <c r="AO247" s="623"/>
      <c r="AP247" s="623"/>
      <c r="AQ247" s="623"/>
      <c r="AR247" s="623"/>
      <c r="AS247" s="623"/>
      <c r="AT247" s="623"/>
      <c r="AU247" s="623"/>
      <c r="AV247" s="623"/>
      <c r="AW247" s="623"/>
      <c r="AX247" s="623"/>
      <c r="AY247" s="623"/>
      <c r="AZ247" s="623"/>
      <c r="BA247" s="623"/>
      <c r="BB247" s="623"/>
      <c r="BC247" s="623"/>
      <c r="BD247" s="623"/>
      <c r="BE247" s="623"/>
      <c r="BF247" s="623"/>
      <c r="BG247" s="623"/>
      <c r="BH247" s="623"/>
      <c r="BI247" s="623"/>
      <c r="BJ247" s="623"/>
      <c r="BK247" s="623"/>
      <c r="BL247" s="623"/>
      <c r="BM247" s="623"/>
      <c r="BN247" s="623"/>
      <c r="BO247" s="623"/>
      <c r="BP247" s="623"/>
      <c r="BQ247" s="623"/>
      <c r="BR247" s="623"/>
      <c r="BS247" s="623"/>
      <c r="BT247" s="623"/>
      <c r="BU247" s="623"/>
      <c r="BV247" s="623"/>
      <c r="BW247" s="623"/>
      <c r="BX247" s="623"/>
      <c r="BY247" s="623"/>
      <c r="BZ247" s="623"/>
      <c r="CA247" s="623"/>
      <c r="CB247" s="623"/>
      <c r="CC247" s="623"/>
      <c r="CD247" s="623"/>
      <c r="CE247" s="1669"/>
      <c r="CF247" s="623"/>
      <c r="CG247" s="623"/>
      <c r="CH247" s="623"/>
      <c r="CI247" s="623"/>
      <c r="CJ247" s="623"/>
      <c r="CK247" s="623"/>
      <c r="CL247" s="623"/>
      <c r="CM247" s="623"/>
      <c r="CN247" s="623"/>
      <c r="CO247" s="623"/>
      <c r="CP247" s="623"/>
      <c r="CQ247" s="623"/>
      <c r="CR247" s="623"/>
      <c r="CS247" s="623"/>
      <c r="CT247" s="623"/>
      <c r="CU247" s="623"/>
      <c r="CV247" s="623"/>
      <c r="CW247" s="623"/>
      <c r="CX247" s="623"/>
      <c r="CY247" s="817"/>
      <c r="CZ247" s="623"/>
      <c r="DA247" s="623"/>
      <c r="DB247" s="623"/>
      <c r="DC247" s="623"/>
      <c r="DD247" s="623"/>
      <c r="DE247" s="623"/>
      <c r="DF247" s="623"/>
      <c r="DG247" s="623"/>
      <c r="DH247" s="623"/>
      <c r="DI247" s="623"/>
      <c r="DJ247" s="623"/>
      <c r="DK247" s="623"/>
      <c r="DL247" s="623"/>
      <c r="DM247" s="623"/>
      <c r="DN247" s="623"/>
      <c r="DO247" s="623"/>
      <c r="DP247" s="623"/>
      <c r="DQ247" s="623"/>
      <c r="DR247" s="623"/>
      <c r="DS247" s="623"/>
      <c r="DT247" s="623"/>
      <c r="DU247" s="623"/>
      <c r="DV247" s="1675"/>
    </row>
    <row r="248" spans="1:256" ht="17.25" hidden="1" customHeight="1">
      <c r="A248" s="1676"/>
      <c r="B248" s="550"/>
      <c r="C248" s="550"/>
      <c r="D248" s="550"/>
      <c r="E248" s="550"/>
      <c r="F248" s="550"/>
      <c r="G248" s="550"/>
      <c r="H248" s="550"/>
      <c r="I248" s="550"/>
      <c r="J248" s="550"/>
      <c r="K248" s="550"/>
      <c r="L248" s="550"/>
      <c r="M248" s="550"/>
      <c r="N248" s="550"/>
      <c r="O248" s="439"/>
      <c r="P248" s="439"/>
      <c r="Q248" s="674"/>
      <c r="R248" s="671"/>
      <c r="S248" s="671"/>
      <c r="T248" s="671"/>
      <c r="U248" s="671"/>
      <c r="V248" s="671"/>
      <c r="W248" s="671"/>
      <c r="X248" s="671"/>
      <c r="Y248" s="671"/>
      <c r="Z248" s="671"/>
      <c r="AA248" s="671"/>
      <c r="AB248" s="623"/>
      <c r="AC248" s="623"/>
      <c r="AD248" s="623"/>
      <c r="AE248" s="623"/>
      <c r="AF248" s="623"/>
      <c r="AG248" s="623"/>
      <c r="AH248" s="623"/>
      <c r="AI248" s="623"/>
      <c r="AJ248" s="623"/>
      <c r="AK248" s="623"/>
      <c r="AL248" s="623"/>
      <c r="AM248" s="623"/>
      <c r="AN248" s="623"/>
      <c r="AO248" s="623"/>
      <c r="AP248" s="623"/>
      <c r="AQ248" s="623"/>
      <c r="AR248" s="623"/>
      <c r="AS248" s="623"/>
      <c r="AT248" s="623"/>
      <c r="AU248" s="623"/>
      <c r="AV248" s="623"/>
      <c r="AW248" s="623"/>
      <c r="AX248" s="623"/>
      <c r="AY248" s="623"/>
      <c r="AZ248" s="623"/>
      <c r="BA248" s="623"/>
      <c r="BB248" s="623"/>
      <c r="BC248" s="623"/>
      <c r="BD248" s="623"/>
      <c r="BE248" s="623"/>
      <c r="BF248" s="623"/>
      <c r="BG248" s="623"/>
      <c r="BH248" s="623"/>
      <c r="BI248" s="623"/>
      <c r="BJ248" s="623"/>
      <c r="BK248" s="623"/>
      <c r="BL248" s="623"/>
      <c r="BM248" s="623"/>
      <c r="BN248" s="623"/>
      <c r="BO248" s="623"/>
      <c r="BP248" s="623"/>
      <c r="BQ248" s="623"/>
      <c r="BR248" s="623"/>
      <c r="BS248" s="623"/>
      <c r="BT248" s="623"/>
      <c r="BU248" s="623"/>
      <c r="BV248" s="623"/>
      <c r="BW248" s="623"/>
      <c r="BX248" s="623"/>
      <c r="BY248" s="623"/>
      <c r="BZ248" s="623"/>
      <c r="CA248" s="623"/>
      <c r="CB248" s="623"/>
      <c r="CC248" s="623"/>
      <c r="CD248" s="623"/>
      <c r="CE248" s="1669"/>
      <c r="CF248" s="623"/>
      <c r="CG248" s="623"/>
      <c r="CH248" s="623"/>
      <c r="CI248" s="623"/>
      <c r="CJ248" s="623"/>
      <c r="CK248" s="623"/>
      <c r="CL248" s="623"/>
      <c r="CM248" s="623"/>
      <c r="CN248" s="623"/>
      <c r="CO248" s="623"/>
      <c r="CP248" s="623"/>
      <c r="CQ248" s="623"/>
      <c r="CR248" s="623"/>
      <c r="CS248" s="623"/>
      <c r="CT248" s="623"/>
      <c r="CU248" s="623"/>
      <c r="CV248" s="623"/>
      <c r="CW248" s="623"/>
      <c r="CX248" s="623"/>
      <c r="CY248" s="817"/>
      <c r="CZ248" s="623"/>
      <c r="DA248" s="623"/>
      <c r="DB248" s="623"/>
      <c r="DC248" s="623"/>
      <c r="DD248" s="623"/>
      <c r="DE248" s="623"/>
      <c r="DF248" s="623"/>
      <c r="DG248" s="623"/>
      <c r="DH248" s="623"/>
      <c r="DI248" s="623"/>
      <c r="DJ248" s="623"/>
      <c r="DK248" s="623"/>
      <c r="DL248" s="623"/>
      <c r="DM248" s="623"/>
      <c r="DN248" s="623"/>
      <c r="DO248" s="623"/>
      <c r="DP248" s="623"/>
      <c r="DQ248" s="623"/>
      <c r="DR248" s="623"/>
      <c r="DS248" s="623"/>
      <c r="DT248" s="623"/>
      <c r="DU248" s="623"/>
      <c r="DV248" s="1675"/>
    </row>
    <row r="249" spans="1:256" ht="17.25" hidden="1" customHeight="1">
      <c r="A249" s="1676"/>
      <c r="B249" s="550"/>
      <c r="C249" s="550"/>
      <c r="D249" s="550"/>
      <c r="E249" s="550"/>
      <c r="F249" s="550"/>
      <c r="G249" s="550"/>
      <c r="H249" s="550"/>
      <c r="I249" s="550"/>
      <c r="J249" s="550"/>
      <c r="K249" s="550"/>
      <c r="L249" s="550"/>
      <c r="M249" s="550"/>
      <c r="N249" s="550"/>
      <c r="O249" s="439"/>
      <c r="P249" s="439"/>
      <c r="Q249" s="674"/>
      <c r="R249" s="671"/>
      <c r="S249" s="671"/>
      <c r="T249" s="671"/>
      <c r="U249" s="671"/>
      <c r="V249" s="671"/>
      <c r="W249" s="671"/>
      <c r="X249" s="671"/>
      <c r="Y249" s="671"/>
      <c r="Z249" s="671"/>
      <c r="AA249" s="671"/>
      <c r="AB249" s="623"/>
      <c r="AC249" s="623"/>
      <c r="AD249" s="623"/>
      <c r="AE249" s="623"/>
      <c r="AF249" s="623"/>
      <c r="AG249" s="623"/>
      <c r="AH249" s="623"/>
      <c r="AI249" s="623"/>
      <c r="AJ249" s="623"/>
      <c r="AK249" s="623"/>
      <c r="AL249" s="623"/>
      <c r="AM249" s="623"/>
      <c r="AN249" s="623"/>
      <c r="AO249" s="623"/>
      <c r="AP249" s="623"/>
      <c r="AQ249" s="623"/>
      <c r="AR249" s="623"/>
      <c r="AS249" s="623"/>
      <c r="AT249" s="623"/>
      <c r="AU249" s="623"/>
      <c r="AV249" s="623"/>
      <c r="AW249" s="623"/>
      <c r="AX249" s="623"/>
      <c r="AY249" s="623"/>
      <c r="AZ249" s="623"/>
      <c r="BA249" s="623"/>
      <c r="BB249" s="623"/>
      <c r="BC249" s="623"/>
      <c r="BD249" s="623"/>
      <c r="BE249" s="623"/>
      <c r="BF249" s="623"/>
      <c r="BG249" s="623"/>
      <c r="BH249" s="623"/>
      <c r="BI249" s="623"/>
      <c r="BJ249" s="623"/>
      <c r="BK249" s="623"/>
      <c r="BL249" s="623"/>
      <c r="BM249" s="623"/>
      <c r="BN249" s="623"/>
      <c r="BO249" s="623"/>
      <c r="BP249" s="623"/>
      <c r="BQ249" s="623"/>
      <c r="BR249" s="623"/>
      <c r="BS249" s="623"/>
      <c r="BT249" s="623"/>
      <c r="BU249" s="623"/>
      <c r="BV249" s="623"/>
      <c r="BW249" s="623"/>
      <c r="BX249" s="623"/>
      <c r="BY249" s="623"/>
      <c r="BZ249" s="623"/>
      <c r="CA249" s="623"/>
      <c r="CB249" s="623"/>
      <c r="CC249" s="623"/>
      <c r="CD249" s="623"/>
      <c r="CE249" s="1669"/>
      <c r="CF249" s="623"/>
      <c r="CG249" s="623"/>
      <c r="CH249" s="623"/>
      <c r="CI249" s="623"/>
      <c r="CJ249" s="623"/>
      <c r="CK249" s="623"/>
      <c r="CL249" s="623"/>
      <c r="CM249" s="623"/>
      <c r="CN249" s="623"/>
      <c r="CO249" s="623"/>
      <c r="CP249" s="623"/>
      <c r="CQ249" s="623"/>
      <c r="CR249" s="623"/>
      <c r="CS249" s="623"/>
      <c r="CT249" s="623"/>
      <c r="CU249" s="623"/>
      <c r="CV249" s="623"/>
      <c r="CW249" s="623"/>
      <c r="CX249" s="623"/>
      <c r="CY249" s="817"/>
      <c r="CZ249" s="623"/>
      <c r="DA249" s="623"/>
      <c r="DB249" s="623"/>
      <c r="DC249" s="623"/>
      <c r="DD249" s="623"/>
      <c r="DE249" s="623"/>
      <c r="DF249" s="623"/>
      <c r="DG249" s="623"/>
      <c r="DH249" s="623"/>
      <c r="DI249" s="623"/>
      <c r="DJ249" s="623"/>
      <c r="DK249" s="623"/>
      <c r="DL249" s="623"/>
      <c r="DM249" s="623"/>
      <c r="DN249" s="623"/>
      <c r="DO249" s="623"/>
      <c r="DP249" s="623"/>
      <c r="DQ249" s="623"/>
      <c r="DR249" s="623"/>
      <c r="DS249" s="623"/>
      <c r="DT249" s="623"/>
      <c r="DU249" s="623"/>
      <c r="DV249" s="1675"/>
    </row>
    <row r="250" spans="1:256" ht="17.25" hidden="1" customHeight="1">
      <c r="A250" s="1676"/>
      <c r="B250" s="550"/>
      <c r="C250" s="550"/>
      <c r="D250" s="550"/>
      <c r="E250" s="550"/>
      <c r="F250" s="550"/>
      <c r="G250" s="550"/>
      <c r="H250" s="550"/>
      <c r="I250" s="550"/>
      <c r="J250" s="550"/>
      <c r="K250" s="550"/>
      <c r="L250" s="550"/>
      <c r="M250" s="550"/>
      <c r="N250" s="550"/>
      <c r="O250" s="439"/>
      <c r="P250" s="439"/>
      <c r="Q250" s="674"/>
      <c r="R250" s="671"/>
      <c r="S250" s="671"/>
      <c r="T250" s="671"/>
      <c r="U250" s="671"/>
      <c r="V250" s="671"/>
      <c r="W250" s="671"/>
      <c r="X250" s="671"/>
      <c r="Y250" s="671"/>
      <c r="Z250" s="671"/>
      <c r="AA250" s="671"/>
      <c r="AB250" s="623"/>
      <c r="AC250" s="623"/>
      <c r="AD250" s="623"/>
      <c r="AE250" s="623"/>
      <c r="AF250" s="623"/>
      <c r="AG250" s="623"/>
      <c r="AH250" s="623"/>
      <c r="AI250" s="623"/>
      <c r="AJ250" s="623"/>
      <c r="AK250" s="623"/>
      <c r="AL250" s="623"/>
      <c r="AM250" s="623"/>
      <c r="AN250" s="623"/>
      <c r="AO250" s="623"/>
      <c r="AP250" s="623"/>
      <c r="AQ250" s="623"/>
      <c r="AR250" s="623"/>
      <c r="AS250" s="623"/>
      <c r="AT250" s="623"/>
      <c r="AU250" s="623"/>
      <c r="AV250" s="623"/>
      <c r="AW250" s="623"/>
      <c r="AX250" s="623"/>
      <c r="AY250" s="623"/>
      <c r="AZ250" s="623"/>
      <c r="BA250" s="623"/>
      <c r="BB250" s="623"/>
      <c r="BC250" s="623"/>
      <c r="BD250" s="623"/>
      <c r="BE250" s="623"/>
      <c r="BF250" s="623"/>
      <c r="BG250" s="623"/>
      <c r="BH250" s="623"/>
      <c r="BI250" s="623"/>
      <c r="BJ250" s="623"/>
      <c r="BK250" s="623"/>
      <c r="BL250" s="623"/>
      <c r="BM250" s="623"/>
      <c r="BN250" s="623"/>
      <c r="BO250" s="623"/>
      <c r="BP250" s="623"/>
      <c r="BQ250" s="623"/>
      <c r="BR250" s="623"/>
      <c r="BS250" s="623"/>
      <c r="BT250" s="623"/>
      <c r="BU250" s="623"/>
      <c r="BV250" s="623"/>
      <c r="BW250" s="623"/>
      <c r="BX250" s="623"/>
      <c r="BY250" s="623"/>
      <c r="BZ250" s="623"/>
      <c r="CA250" s="623"/>
      <c r="CB250" s="623"/>
      <c r="CC250" s="623"/>
      <c r="CD250" s="623"/>
      <c r="CE250" s="1669"/>
      <c r="CF250" s="623"/>
      <c r="CG250" s="623"/>
      <c r="CH250" s="623"/>
      <c r="CI250" s="623"/>
      <c r="CJ250" s="623"/>
      <c r="CK250" s="623"/>
      <c r="CL250" s="623"/>
      <c r="CM250" s="623"/>
      <c r="CN250" s="623"/>
      <c r="CO250" s="623"/>
      <c r="CP250" s="623"/>
      <c r="CQ250" s="623"/>
      <c r="CR250" s="623"/>
      <c r="CS250" s="623"/>
      <c r="CT250" s="623"/>
      <c r="CU250" s="623"/>
      <c r="CV250" s="623"/>
      <c r="CW250" s="623"/>
      <c r="CX250" s="623"/>
      <c r="CY250" s="817"/>
      <c r="CZ250" s="623"/>
      <c r="DA250" s="623"/>
      <c r="DB250" s="623"/>
      <c r="DC250" s="623"/>
      <c r="DD250" s="623"/>
      <c r="DE250" s="623"/>
      <c r="DF250" s="623"/>
      <c r="DG250" s="623"/>
      <c r="DH250" s="623"/>
      <c r="DI250" s="623"/>
      <c r="DJ250" s="623"/>
      <c r="DK250" s="623"/>
      <c r="DL250" s="623"/>
      <c r="DM250" s="623"/>
      <c r="DN250" s="623"/>
      <c r="DO250" s="623"/>
      <c r="DP250" s="623"/>
      <c r="DQ250" s="623"/>
      <c r="DR250" s="623"/>
      <c r="DS250" s="623"/>
      <c r="DT250" s="623"/>
      <c r="DU250" s="623"/>
      <c r="DV250" s="1675"/>
    </row>
    <row r="251" spans="1:256" ht="17.25" hidden="1" customHeight="1">
      <c r="A251" s="1676"/>
      <c r="B251" s="550"/>
      <c r="C251" s="550"/>
      <c r="D251" s="550"/>
      <c r="E251" s="550"/>
      <c r="F251" s="550"/>
      <c r="G251" s="550"/>
      <c r="H251" s="550"/>
      <c r="I251" s="550"/>
      <c r="J251" s="550"/>
      <c r="K251" s="550"/>
      <c r="L251" s="550"/>
      <c r="M251" s="550"/>
      <c r="N251" s="550"/>
      <c r="O251" s="439"/>
      <c r="P251" s="439"/>
      <c r="Q251" s="674"/>
      <c r="R251" s="671"/>
      <c r="S251" s="671"/>
      <c r="T251" s="671"/>
      <c r="U251" s="671"/>
      <c r="V251" s="671"/>
      <c r="W251" s="671"/>
      <c r="X251" s="671"/>
      <c r="Y251" s="671"/>
      <c r="Z251" s="671"/>
      <c r="AA251" s="671"/>
      <c r="AB251" s="623"/>
      <c r="AC251" s="623"/>
      <c r="AD251" s="623"/>
      <c r="AE251" s="623"/>
      <c r="AF251" s="623"/>
      <c r="AG251" s="623"/>
      <c r="AH251" s="623"/>
      <c r="AI251" s="623"/>
      <c r="AJ251" s="623"/>
      <c r="AK251" s="623"/>
      <c r="AL251" s="623"/>
      <c r="AM251" s="623"/>
      <c r="AN251" s="623"/>
      <c r="AO251" s="623"/>
      <c r="AP251" s="623"/>
      <c r="AQ251" s="623"/>
      <c r="AR251" s="623"/>
      <c r="AS251" s="623"/>
      <c r="AT251" s="623"/>
      <c r="AU251" s="623"/>
      <c r="AV251" s="623"/>
      <c r="AW251" s="623"/>
      <c r="AX251" s="623"/>
      <c r="AY251" s="623"/>
      <c r="AZ251" s="623"/>
      <c r="BA251" s="623"/>
      <c r="BB251" s="623"/>
      <c r="BC251" s="623"/>
      <c r="BD251" s="623"/>
      <c r="BE251" s="623"/>
      <c r="BF251" s="623"/>
      <c r="BG251" s="623"/>
      <c r="BH251" s="623"/>
      <c r="BI251" s="623"/>
      <c r="BJ251" s="623"/>
      <c r="BK251" s="623"/>
      <c r="BL251" s="623"/>
      <c r="BM251" s="623"/>
      <c r="BN251" s="623"/>
      <c r="BO251" s="623"/>
      <c r="BP251" s="623"/>
      <c r="BQ251" s="623"/>
      <c r="BR251" s="623"/>
      <c r="BS251" s="623"/>
      <c r="BT251" s="623"/>
      <c r="BU251" s="623"/>
      <c r="BV251" s="623"/>
      <c r="BW251" s="623"/>
      <c r="BX251" s="623"/>
      <c r="BY251" s="623"/>
      <c r="BZ251" s="623"/>
      <c r="CA251" s="623"/>
      <c r="CB251" s="623"/>
      <c r="CC251" s="623"/>
      <c r="CD251" s="623"/>
      <c r="CE251" s="1669"/>
      <c r="CF251" s="623"/>
      <c r="CG251" s="623"/>
      <c r="CH251" s="623"/>
      <c r="CI251" s="623"/>
      <c r="CJ251" s="623"/>
      <c r="CK251" s="623"/>
      <c r="CL251" s="623"/>
      <c r="CM251" s="623"/>
      <c r="CN251" s="623"/>
      <c r="CO251" s="623"/>
      <c r="CP251" s="623"/>
      <c r="CQ251" s="623"/>
      <c r="CR251" s="623"/>
      <c r="CS251" s="623"/>
      <c r="CT251" s="623"/>
      <c r="CU251" s="623"/>
      <c r="CV251" s="623"/>
      <c r="CW251" s="623"/>
      <c r="CX251" s="623"/>
      <c r="CY251" s="817"/>
      <c r="CZ251" s="623"/>
      <c r="DA251" s="623"/>
      <c r="DB251" s="623"/>
      <c r="DC251" s="623"/>
      <c r="DD251" s="623"/>
      <c r="DE251" s="623"/>
      <c r="DF251" s="623"/>
      <c r="DG251" s="623"/>
      <c r="DH251" s="623"/>
      <c r="DI251" s="623"/>
      <c r="DJ251" s="623"/>
      <c r="DK251" s="623"/>
      <c r="DL251" s="623"/>
      <c r="DM251" s="623"/>
      <c r="DN251" s="623"/>
      <c r="DO251" s="623"/>
      <c r="DP251" s="623"/>
      <c r="DQ251" s="623"/>
      <c r="DR251" s="623"/>
      <c r="DS251" s="623"/>
      <c r="DT251" s="623"/>
      <c r="DU251" s="623"/>
      <c r="DV251" s="1675"/>
    </row>
    <row r="252" spans="1:256" ht="17.25" hidden="1" customHeight="1">
      <c r="A252" s="1676"/>
      <c r="B252" s="550"/>
      <c r="C252" s="550"/>
      <c r="D252" s="550"/>
      <c r="E252" s="550"/>
      <c r="F252" s="550"/>
      <c r="G252" s="550"/>
      <c r="H252" s="550"/>
      <c r="I252" s="550"/>
      <c r="J252" s="550"/>
      <c r="K252" s="550"/>
      <c r="L252" s="550"/>
      <c r="M252" s="550"/>
      <c r="N252" s="550"/>
      <c r="O252" s="439"/>
      <c r="P252" s="439"/>
      <c r="Q252" s="674"/>
      <c r="R252" s="671"/>
      <c r="S252" s="671"/>
      <c r="T252" s="671"/>
      <c r="U252" s="671"/>
      <c r="V252" s="671"/>
      <c r="W252" s="671"/>
      <c r="X252" s="671"/>
      <c r="Y252" s="671"/>
      <c r="Z252" s="671"/>
      <c r="AA252" s="671"/>
      <c r="AB252" s="623"/>
      <c r="AC252" s="623"/>
      <c r="AD252" s="623"/>
      <c r="AE252" s="623"/>
      <c r="AF252" s="623"/>
      <c r="AG252" s="623"/>
      <c r="AH252" s="623"/>
      <c r="AI252" s="623"/>
      <c r="AJ252" s="623"/>
      <c r="AK252" s="623"/>
      <c r="AL252" s="623"/>
      <c r="AM252" s="623"/>
      <c r="AN252" s="623"/>
      <c r="AO252" s="623"/>
      <c r="AP252" s="623"/>
      <c r="AQ252" s="623"/>
      <c r="AR252" s="623"/>
      <c r="AS252" s="623"/>
      <c r="AT252" s="623"/>
      <c r="AU252" s="623"/>
      <c r="AV252" s="623"/>
      <c r="AW252" s="623"/>
      <c r="AX252" s="623"/>
      <c r="AY252" s="623"/>
      <c r="AZ252" s="623"/>
      <c r="BA252" s="623"/>
      <c r="BB252" s="623"/>
      <c r="BC252" s="623"/>
      <c r="BD252" s="623"/>
      <c r="BE252" s="623"/>
      <c r="BF252" s="623"/>
      <c r="BG252" s="623"/>
      <c r="BH252" s="623"/>
      <c r="BI252" s="623"/>
      <c r="BJ252" s="623"/>
      <c r="BK252" s="623"/>
      <c r="BL252" s="623"/>
      <c r="BM252" s="623"/>
      <c r="BN252" s="623"/>
      <c r="BO252" s="623"/>
      <c r="BP252" s="623"/>
      <c r="BQ252" s="623"/>
      <c r="BR252" s="623"/>
      <c r="BS252" s="623"/>
      <c r="BT252" s="623"/>
      <c r="BU252" s="623"/>
      <c r="BV252" s="623"/>
      <c r="BW252" s="623"/>
      <c r="BX252" s="623"/>
      <c r="BY252" s="623"/>
      <c r="BZ252" s="623"/>
      <c r="CA252" s="623"/>
      <c r="CB252" s="623"/>
      <c r="CC252" s="623"/>
      <c r="CD252" s="623"/>
      <c r="CE252" s="1669"/>
      <c r="CF252" s="623"/>
      <c r="CG252" s="623"/>
      <c r="CH252" s="623"/>
      <c r="CI252" s="623"/>
      <c r="CJ252" s="623"/>
      <c r="CK252" s="623"/>
      <c r="CL252" s="623"/>
      <c r="CM252" s="623"/>
      <c r="CN252" s="623"/>
      <c r="CO252" s="623"/>
      <c r="CP252" s="623"/>
      <c r="CQ252" s="623"/>
      <c r="CR252" s="623"/>
      <c r="CS252" s="623"/>
      <c r="CT252" s="623"/>
      <c r="CU252" s="623"/>
      <c r="CV252" s="623"/>
      <c r="CW252" s="623"/>
      <c r="CX252" s="623"/>
      <c r="CY252" s="817"/>
      <c r="CZ252" s="623"/>
      <c r="DA252" s="623"/>
      <c r="DB252" s="623"/>
      <c r="DC252" s="623"/>
      <c r="DD252" s="623"/>
      <c r="DE252" s="623"/>
      <c r="DF252" s="623"/>
      <c r="DG252" s="623"/>
      <c r="DH252" s="623"/>
      <c r="DI252" s="623"/>
      <c r="DJ252" s="623"/>
      <c r="DK252" s="623"/>
      <c r="DL252" s="623"/>
      <c r="DM252" s="623"/>
      <c r="DN252" s="623"/>
      <c r="DO252" s="623"/>
      <c r="DP252" s="623"/>
      <c r="DQ252" s="623"/>
      <c r="DR252" s="623"/>
      <c r="DS252" s="623"/>
      <c r="DT252" s="623"/>
      <c r="DU252" s="623"/>
      <c r="DV252" s="1675"/>
    </row>
    <row r="253" spans="1:256" ht="17.25" hidden="1" customHeight="1">
      <c r="A253" s="1676"/>
      <c r="B253" s="550"/>
      <c r="C253" s="550"/>
      <c r="D253" s="550"/>
      <c r="E253" s="550"/>
      <c r="F253" s="550"/>
      <c r="G253" s="550"/>
      <c r="H253" s="550"/>
      <c r="I253" s="550"/>
      <c r="J253" s="550"/>
      <c r="K253" s="550"/>
      <c r="L253" s="550"/>
      <c r="M253" s="550"/>
      <c r="N253" s="550"/>
      <c r="O253" s="439"/>
      <c r="P253" s="439"/>
      <c r="Q253" s="674"/>
      <c r="R253" s="671"/>
      <c r="S253" s="671"/>
      <c r="T253" s="671"/>
      <c r="U253" s="671"/>
      <c r="V253" s="671"/>
      <c r="W253" s="671"/>
      <c r="X253" s="671"/>
      <c r="Y253" s="671"/>
      <c r="Z253" s="671"/>
      <c r="AA253" s="671"/>
      <c r="AB253" s="623"/>
      <c r="AC253" s="623"/>
      <c r="AD253" s="623"/>
      <c r="AE253" s="623"/>
      <c r="AF253" s="623"/>
      <c r="AG253" s="623"/>
      <c r="AH253" s="623"/>
      <c r="AI253" s="623"/>
      <c r="AJ253" s="623"/>
      <c r="AK253" s="623"/>
      <c r="AL253" s="623"/>
      <c r="AM253" s="623"/>
      <c r="AN253" s="623"/>
      <c r="AO253" s="623"/>
      <c r="AP253" s="623"/>
      <c r="AQ253" s="623"/>
      <c r="AR253" s="623"/>
      <c r="AS253" s="623"/>
      <c r="AT253" s="623"/>
      <c r="AU253" s="623"/>
      <c r="AV253" s="623"/>
      <c r="AW253" s="623"/>
      <c r="AX253" s="623"/>
      <c r="AY253" s="623"/>
      <c r="AZ253" s="623"/>
      <c r="BA253" s="623"/>
      <c r="BB253" s="623"/>
      <c r="BC253" s="623"/>
      <c r="BD253" s="623"/>
      <c r="BE253" s="623"/>
      <c r="BF253" s="623"/>
      <c r="BG253" s="623"/>
      <c r="BH253" s="623"/>
      <c r="BI253" s="623"/>
      <c r="BJ253" s="623"/>
      <c r="BK253" s="623"/>
      <c r="BL253" s="623"/>
      <c r="BM253" s="623"/>
      <c r="BN253" s="623"/>
      <c r="BO253" s="623"/>
      <c r="BP253" s="623"/>
      <c r="BQ253" s="623"/>
      <c r="BR253" s="623"/>
      <c r="BS253" s="623"/>
      <c r="BT253" s="623"/>
      <c r="BU253" s="623"/>
      <c r="BV253" s="623"/>
      <c r="BW253" s="623"/>
      <c r="BX253" s="623"/>
      <c r="BY253" s="623"/>
      <c r="BZ253" s="623"/>
      <c r="CA253" s="623"/>
      <c r="CB253" s="623"/>
      <c r="CC253" s="623"/>
      <c r="CD253" s="623"/>
      <c r="CE253" s="1669"/>
      <c r="CF253" s="623"/>
      <c r="CG253" s="623"/>
      <c r="CH253" s="623"/>
      <c r="CI253" s="623"/>
      <c r="CJ253" s="623"/>
      <c r="CK253" s="623"/>
      <c r="CL253" s="623"/>
      <c r="CM253" s="623"/>
      <c r="CN253" s="623"/>
      <c r="CO253" s="623"/>
      <c r="CP253" s="623"/>
      <c r="CQ253" s="623"/>
      <c r="CR253" s="623"/>
      <c r="CS253" s="623"/>
      <c r="CT253" s="623"/>
      <c r="CU253" s="623"/>
      <c r="CV253" s="623"/>
      <c r="CW253" s="623"/>
      <c r="CX253" s="623"/>
      <c r="CY253" s="817"/>
      <c r="CZ253" s="623"/>
      <c r="DA253" s="623"/>
      <c r="DB253" s="623"/>
      <c r="DC253" s="623"/>
      <c r="DD253" s="623"/>
      <c r="DE253" s="623"/>
      <c r="DF253" s="623"/>
      <c r="DG253" s="623"/>
      <c r="DH253" s="623"/>
      <c r="DI253" s="623"/>
      <c r="DJ253" s="623"/>
      <c r="DK253" s="623"/>
      <c r="DL253" s="623"/>
      <c r="DM253" s="623"/>
      <c r="DN253" s="623"/>
      <c r="DO253" s="623"/>
      <c r="DP253" s="623"/>
      <c r="DQ253" s="623"/>
      <c r="DR253" s="623"/>
      <c r="DS253" s="623"/>
      <c r="DT253" s="623"/>
      <c r="DU253" s="623"/>
      <c r="DV253" s="1675"/>
    </row>
    <row r="254" spans="1:256" s="678" customFormat="1" ht="17.25" hidden="1" customHeight="1">
      <c r="A254" s="1676"/>
      <c r="B254" s="550"/>
      <c r="C254" s="550"/>
      <c r="D254" s="550"/>
      <c r="E254" s="550"/>
      <c r="F254" s="550"/>
      <c r="G254" s="550"/>
      <c r="H254" s="550"/>
      <c r="I254" s="550"/>
      <c r="J254" s="676"/>
      <c r="K254" s="550"/>
      <c r="L254" s="550"/>
      <c r="M254" s="550"/>
      <c r="N254" s="550"/>
      <c r="O254" s="439"/>
      <c r="P254" s="439"/>
      <c r="Q254" s="674"/>
      <c r="R254" s="671"/>
      <c r="S254" s="671"/>
      <c r="T254" s="671"/>
      <c r="U254" s="671"/>
      <c r="V254" s="671"/>
      <c r="W254" s="671"/>
      <c r="X254" s="671"/>
      <c r="Y254" s="671"/>
      <c r="Z254" s="671"/>
      <c r="AA254" s="671"/>
      <c r="AB254" s="623"/>
      <c r="AC254" s="623"/>
      <c r="AD254" s="623"/>
      <c r="AE254" s="623"/>
      <c r="AF254" s="623"/>
      <c r="AG254" s="623"/>
      <c r="AH254" s="623"/>
      <c r="AI254" s="623"/>
      <c r="AJ254" s="623"/>
      <c r="AK254" s="623"/>
      <c r="AL254" s="623"/>
      <c r="AM254" s="623"/>
      <c r="AN254" s="623"/>
      <c r="AO254" s="623"/>
      <c r="AP254" s="623"/>
      <c r="AQ254" s="623"/>
      <c r="AR254" s="623"/>
      <c r="AS254" s="623"/>
      <c r="AT254" s="623"/>
      <c r="AU254" s="623"/>
      <c r="AV254" s="623"/>
      <c r="AW254" s="623"/>
      <c r="AX254" s="623"/>
      <c r="AY254" s="623"/>
      <c r="AZ254" s="623"/>
      <c r="BA254" s="623"/>
      <c r="BB254" s="623"/>
      <c r="BC254" s="623"/>
      <c r="BD254" s="623"/>
      <c r="BE254" s="623"/>
      <c r="BF254" s="623"/>
      <c r="BG254" s="623"/>
      <c r="BH254" s="623"/>
      <c r="BI254" s="623"/>
      <c r="BJ254" s="623"/>
      <c r="BK254" s="623"/>
      <c r="BL254" s="623"/>
      <c r="BM254" s="623"/>
      <c r="BN254" s="623"/>
      <c r="BO254" s="623"/>
      <c r="BP254" s="623"/>
      <c r="BQ254" s="623"/>
      <c r="BR254" s="623"/>
      <c r="BS254" s="623"/>
      <c r="BT254" s="623"/>
      <c r="BU254" s="623"/>
      <c r="BV254" s="623"/>
      <c r="BW254" s="623"/>
      <c r="BX254" s="623"/>
      <c r="BY254" s="623"/>
      <c r="BZ254" s="623"/>
      <c r="CA254" s="623"/>
      <c r="CB254" s="623"/>
      <c r="CC254" s="623"/>
      <c r="CD254" s="623"/>
      <c r="CE254" s="1669"/>
      <c r="CF254" s="623"/>
      <c r="CG254" s="623"/>
      <c r="CH254" s="623"/>
      <c r="CI254" s="623"/>
      <c r="CJ254" s="623"/>
      <c r="CK254" s="623"/>
      <c r="CL254" s="623"/>
      <c r="CM254" s="623"/>
      <c r="CN254" s="623"/>
      <c r="CO254" s="623"/>
      <c r="CP254" s="623"/>
      <c r="CQ254" s="623"/>
      <c r="CR254" s="623"/>
      <c r="CS254" s="623"/>
      <c r="CT254" s="623"/>
      <c r="CU254" s="623"/>
      <c r="CV254" s="623"/>
      <c r="CW254" s="623"/>
      <c r="CX254" s="623"/>
      <c r="CY254" s="817"/>
      <c r="CZ254" s="623"/>
      <c r="DA254" s="623"/>
      <c r="DB254" s="623"/>
      <c r="DC254" s="623"/>
      <c r="DD254" s="623"/>
      <c r="DE254" s="623"/>
      <c r="DF254" s="623"/>
      <c r="DG254" s="623"/>
      <c r="DH254" s="623"/>
      <c r="DI254" s="623"/>
      <c r="DJ254" s="623"/>
      <c r="DK254" s="623"/>
      <c r="DL254" s="623"/>
      <c r="DM254" s="623"/>
      <c r="DN254" s="623"/>
      <c r="DO254" s="623"/>
      <c r="DP254" s="623"/>
      <c r="DQ254" s="623"/>
      <c r="DR254" s="623"/>
      <c r="DS254" s="623"/>
      <c r="DT254" s="623"/>
      <c r="DU254" s="623"/>
      <c r="DV254" s="1675"/>
      <c r="DW254" s="530"/>
      <c r="DX254" s="530"/>
      <c r="DY254" s="530"/>
      <c r="DZ254" s="530"/>
      <c r="EA254" s="530"/>
      <c r="EB254" s="530"/>
      <c r="EC254" s="530"/>
      <c r="ED254" s="530"/>
      <c r="EE254" s="530"/>
      <c r="EF254" s="530"/>
      <c r="EG254" s="530"/>
      <c r="EH254" s="530"/>
      <c r="EI254" s="530"/>
      <c r="EJ254" s="530"/>
      <c r="EK254" s="530"/>
      <c r="EL254" s="530"/>
      <c r="EM254" s="530"/>
      <c r="EN254" s="530"/>
      <c r="EO254" s="530"/>
      <c r="EP254" s="530"/>
      <c r="EQ254" s="530"/>
      <c r="ER254" s="530"/>
      <c r="ES254" s="530"/>
      <c r="ET254" s="530"/>
      <c r="EU254" s="530"/>
      <c r="EV254" s="530"/>
      <c r="EW254" s="530"/>
      <c r="EX254" s="530"/>
      <c r="EY254" s="530"/>
      <c r="EZ254" s="530"/>
      <c r="FA254" s="530"/>
      <c r="FB254" s="530"/>
      <c r="FC254" s="530"/>
      <c r="FD254" s="530"/>
      <c r="FE254" s="530"/>
      <c r="FF254" s="530"/>
      <c r="FG254" s="530"/>
      <c r="FH254" s="530"/>
      <c r="FI254" s="530"/>
      <c r="FJ254" s="530"/>
      <c r="FK254" s="530"/>
      <c r="FL254" s="530"/>
      <c r="FM254" s="530"/>
      <c r="FN254" s="530"/>
      <c r="FO254" s="530"/>
      <c r="FP254" s="530"/>
      <c r="FQ254" s="530"/>
      <c r="FR254" s="530"/>
      <c r="FS254" s="530"/>
      <c r="FT254" s="530"/>
      <c r="FU254" s="530"/>
      <c r="FV254" s="530"/>
      <c r="FW254" s="530"/>
      <c r="FX254" s="530"/>
      <c r="FY254" s="530"/>
      <c r="FZ254" s="530"/>
      <c r="GA254" s="530"/>
      <c r="GB254" s="530"/>
      <c r="GC254" s="530"/>
      <c r="GD254" s="530"/>
      <c r="GE254" s="530"/>
      <c r="GF254" s="530"/>
      <c r="GG254" s="530"/>
      <c r="GH254" s="530"/>
      <c r="GI254" s="530"/>
      <c r="GJ254" s="530"/>
      <c r="GK254" s="530"/>
      <c r="GL254" s="530"/>
      <c r="GM254" s="530"/>
      <c r="GN254" s="530"/>
      <c r="GO254" s="530"/>
      <c r="GP254" s="530"/>
      <c r="GQ254" s="530"/>
      <c r="GR254" s="530"/>
      <c r="GS254" s="530"/>
      <c r="GT254" s="530"/>
      <c r="GU254" s="530"/>
      <c r="GV254" s="530"/>
      <c r="GW254" s="530"/>
      <c r="GX254" s="530"/>
      <c r="GY254" s="530"/>
      <c r="GZ254" s="530"/>
      <c r="HA254" s="530"/>
      <c r="HB254" s="530"/>
      <c r="HC254" s="530"/>
      <c r="HD254" s="530"/>
      <c r="HE254" s="530"/>
      <c r="HF254" s="530"/>
      <c r="HG254" s="530"/>
      <c r="HH254" s="530"/>
      <c r="HI254" s="530"/>
      <c r="HJ254" s="530"/>
      <c r="HK254" s="530"/>
      <c r="HL254" s="530"/>
      <c r="HM254" s="530"/>
      <c r="HN254" s="530"/>
      <c r="HO254" s="530"/>
      <c r="HP254" s="530"/>
      <c r="HQ254" s="530"/>
      <c r="HR254" s="530"/>
      <c r="HS254" s="530"/>
      <c r="HT254" s="530"/>
      <c r="HU254" s="530"/>
      <c r="HV254" s="530"/>
      <c r="HW254" s="530"/>
      <c r="HX254" s="530"/>
      <c r="HY254" s="530"/>
      <c r="HZ254" s="530"/>
      <c r="IA254" s="530"/>
      <c r="IB254" s="530"/>
      <c r="IC254" s="530"/>
      <c r="ID254" s="530"/>
      <c r="IE254" s="530"/>
      <c r="IF254" s="530"/>
      <c r="IG254" s="530"/>
      <c r="IH254" s="530"/>
      <c r="II254" s="530"/>
      <c r="IJ254" s="530"/>
      <c r="IK254" s="530"/>
      <c r="IL254" s="530"/>
      <c r="IM254" s="530"/>
      <c r="IN254" s="530"/>
      <c r="IO254" s="530"/>
      <c r="IP254" s="530"/>
      <c r="IQ254" s="530"/>
      <c r="IR254" s="530"/>
      <c r="IS254" s="530"/>
      <c r="IT254" s="530"/>
      <c r="IU254" s="530"/>
      <c r="IV254" s="530"/>
    </row>
    <row r="255" spans="1:256" s="717" customFormat="1" ht="18.75" hidden="1" customHeight="1">
      <c r="A255" s="1713"/>
      <c r="B255" s="1714"/>
      <c r="C255" s="1713"/>
      <c r="D255" s="1713"/>
      <c r="E255" s="1713"/>
      <c r="F255" s="1713"/>
      <c r="G255" s="1713"/>
      <c r="H255" s="1713"/>
      <c r="I255" s="1713"/>
      <c r="J255" s="1713"/>
      <c r="K255" s="1713"/>
      <c r="L255" s="1713"/>
      <c r="M255" s="1713"/>
      <c r="N255" s="1713"/>
      <c r="O255" s="1713"/>
      <c r="P255" s="1713"/>
      <c r="Q255" s="1713"/>
      <c r="R255" s="1713"/>
      <c r="S255" s="1713"/>
      <c r="T255" s="1713"/>
      <c r="U255" s="1713"/>
      <c r="V255" s="1713"/>
      <c r="W255" s="1713"/>
      <c r="X255" s="1713"/>
      <c r="Y255" s="1713"/>
      <c r="Z255" s="1713"/>
      <c r="AA255" s="1713"/>
      <c r="AB255" s="1713"/>
      <c r="AC255" s="1713"/>
      <c r="AD255" s="1713"/>
      <c r="AE255" s="1713"/>
      <c r="AF255" s="1713"/>
      <c r="AG255" s="1713"/>
      <c r="AH255" s="1713"/>
      <c r="AI255" s="1713"/>
      <c r="AJ255" s="1713"/>
      <c r="AK255" s="1713"/>
      <c r="AL255" s="1713"/>
      <c r="AM255" s="1713"/>
      <c r="AN255" s="1713"/>
      <c r="AO255" s="1713"/>
      <c r="AP255" s="1713"/>
      <c r="AQ255" s="1713"/>
      <c r="AR255" s="1713"/>
      <c r="AS255" s="1713"/>
      <c r="AT255" s="1713"/>
      <c r="AU255" s="1713"/>
      <c r="AV255" s="1713"/>
      <c r="AW255" s="1713"/>
      <c r="AX255" s="1713"/>
      <c r="AY255" s="1713"/>
      <c r="AZ255" s="1713"/>
      <c r="BA255" s="1713"/>
      <c r="BB255" s="1713"/>
      <c r="BC255" s="1713"/>
      <c r="BD255" s="1713"/>
      <c r="BE255" s="1713"/>
      <c r="BF255" s="1713"/>
      <c r="BG255" s="1713"/>
      <c r="BH255" s="1713"/>
      <c r="BI255" s="1713"/>
      <c r="BJ255" s="1713"/>
      <c r="BK255" s="1713"/>
      <c r="BL255" s="1713"/>
      <c r="BM255" s="1713"/>
      <c r="BN255" s="1713"/>
      <c r="BO255" s="1713"/>
      <c r="BP255" s="1713"/>
      <c r="BQ255" s="1713"/>
      <c r="BR255" s="1713"/>
      <c r="BS255" s="1713"/>
      <c r="BT255" s="1713"/>
      <c r="BU255" s="1713"/>
      <c r="BV255" s="1713"/>
      <c r="BW255" s="1713"/>
      <c r="BX255" s="1713"/>
      <c r="BY255" s="1713"/>
      <c r="BZ255" s="1713"/>
      <c r="CA255" s="1713"/>
      <c r="CB255" s="1713"/>
      <c r="CC255" s="1713"/>
      <c r="CD255" s="1713"/>
      <c r="CE255" s="1669"/>
      <c r="CF255" s="1713"/>
      <c r="CG255" s="1713"/>
      <c r="CH255" s="1713"/>
      <c r="CI255" s="1713"/>
      <c r="CJ255" s="1713"/>
      <c r="CK255" s="1713"/>
      <c r="CL255" s="1713"/>
      <c r="CM255" s="1713"/>
      <c r="CN255" s="1713"/>
      <c r="CO255" s="1713"/>
      <c r="CP255" s="1713"/>
      <c r="CQ255" s="1713"/>
      <c r="CR255" s="1713"/>
      <c r="CS255" s="1713"/>
      <c r="CT255" s="1713"/>
      <c r="CU255" s="1713"/>
      <c r="CV255" s="1713"/>
      <c r="CW255" s="1713"/>
      <c r="CX255" s="1713"/>
      <c r="CY255" s="1680"/>
      <c r="CZ255" s="1713"/>
      <c r="DA255" s="1713"/>
      <c r="DB255" s="1713"/>
      <c r="DC255" s="1713"/>
      <c r="DD255" s="1713"/>
      <c r="DE255" s="1713"/>
      <c r="DF255" s="1713"/>
      <c r="DG255" s="1713"/>
      <c r="DH255" s="1713"/>
      <c r="DI255" s="1713"/>
      <c r="DJ255" s="1713"/>
      <c r="DK255" s="1713"/>
      <c r="DL255" s="1713"/>
      <c r="DM255" s="1713"/>
      <c r="DN255" s="1713"/>
      <c r="DO255" s="1713"/>
      <c r="DP255" s="1713"/>
      <c r="DQ255" s="1713"/>
      <c r="DR255" s="1713"/>
      <c r="DS255" s="1713"/>
      <c r="DT255" s="1713"/>
      <c r="DU255" s="1715"/>
      <c r="DV255" s="1716"/>
    </row>
    <row r="256" spans="1:256" s="553" customFormat="1" ht="18.75" hidden="1" customHeight="1">
      <c r="A256" s="1717"/>
      <c r="B256" s="1703"/>
      <c r="C256" s="1703"/>
      <c r="D256" s="1703"/>
      <c r="E256" s="1703"/>
      <c r="F256" s="1703"/>
      <c r="G256" s="1703"/>
      <c r="H256" s="1703"/>
      <c r="I256" s="1703"/>
      <c r="J256" s="1703"/>
      <c r="K256" s="1703"/>
      <c r="L256" s="1703"/>
      <c r="M256" s="1703"/>
      <c r="N256" s="1703"/>
      <c r="O256" s="1703"/>
      <c r="P256" s="1703"/>
      <c r="Q256" s="1703"/>
      <c r="R256" s="1703"/>
      <c r="S256" s="1703"/>
      <c r="T256" s="1703"/>
      <c r="U256" s="1703"/>
      <c r="V256" s="1703"/>
      <c r="W256" s="1703"/>
      <c r="X256" s="1703"/>
      <c r="Y256" s="1703"/>
      <c r="Z256" s="1703"/>
      <c r="AA256" s="1703"/>
      <c r="AB256" s="1703"/>
      <c r="AC256" s="1703"/>
      <c r="AD256" s="1703"/>
      <c r="AE256" s="1703"/>
      <c r="AF256" s="1703"/>
      <c r="AG256" s="1703"/>
      <c r="AH256" s="1703"/>
      <c r="AI256" s="1703"/>
      <c r="AJ256" s="1703"/>
      <c r="AK256" s="1703"/>
      <c r="AL256" s="1703"/>
      <c r="AM256" s="1703"/>
      <c r="AN256" s="1703"/>
      <c r="AO256" s="1703"/>
      <c r="AP256" s="1703"/>
      <c r="AQ256" s="1703"/>
      <c r="AR256" s="1703"/>
      <c r="AS256" s="1703"/>
      <c r="AT256" s="1703"/>
      <c r="AU256" s="1703"/>
      <c r="AV256" s="1703"/>
      <c r="AW256" s="1703"/>
      <c r="AX256" s="1703"/>
      <c r="AY256" s="1703"/>
      <c r="AZ256" s="1703"/>
      <c r="BA256" s="1703"/>
      <c r="BB256" s="1703"/>
      <c r="BC256" s="1703"/>
      <c r="BD256" s="1703"/>
      <c r="BE256" s="1703"/>
      <c r="BF256" s="1703"/>
      <c r="BG256" s="1703"/>
      <c r="BH256" s="1703"/>
      <c r="BI256" s="1703"/>
      <c r="BJ256" s="1703"/>
      <c r="BK256" s="1703"/>
      <c r="BL256" s="1703"/>
      <c r="BM256" s="1703"/>
      <c r="BN256" s="1703"/>
      <c r="BO256" s="1703"/>
      <c r="BP256" s="1703"/>
      <c r="BQ256" s="1703"/>
      <c r="BR256" s="1703"/>
      <c r="BS256" s="1703"/>
      <c r="BT256" s="1703"/>
      <c r="BU256" s="1703"/>
      <c r="BV256" s="1703"/>
      <c r="BW256" s="1703"/>
      <c r="BX256" s="1703"/>
      <c r="BY256" s="1703"/>
      <c r="BZ256" s="1703"/>
      <c r="CA256" s="1703"/>
      <c r="CB256" s="1703"/>
      <c r="CC256" s="1703"/>
      <c r="CD256" s="1703"/>
      <c r="CE256" s="1669"/>
      <c r="CF256" s="1703"/>
      <c r="CG256" s="1703"/>
      <c r="CH256" s="1703"/>
      <c r="CI256" s="1703"/>
      <c r="CJ256" s="1703"/>
      <c r="CK256" s="1703"/>
      <c r="CL256" s="1703"/>
      <c r="CM256" s="1703"/>
      <c r="CN256" s="1703"/>
      <c r="CO256" s="1703"/>
      <c r="CP256" s="1703"/>
      <c r="CQ256" s="1703"/>
      <c r="CR256" s="1703"/>
      <c r="CS256" s="1703"/>
      <c r="CT256" s="1703"/>
      <c r="CU256" s="1703"/>
      <c r="CV256" s="1703"/>
      <c r="CW256" s="1703"/>
      <c r="CX256" s="1703"/>
      <c r="CY256" s="1718"/>
      <c r="CZ256" s="1703"/>
      <c r="DA256" s="1703"/>
      <c r="DB256" s="1703"/>
      <c r="DC256" s="1703"/>
      <c r="DD256" s="1703"/>
      <c r="DE256" s="1703"/>
      <c r="DF256" s="1703"/>
      <c r="DG256" s="1703"/>
      <c r="DH256" s="1703"/>
      <c r="DI256" s="1703"/>
      <c r="DJ256" s="1703"/>
      <c r="DK256" s="1703"/>
      <c r="DL256" s="1703"/>
      <c r="DM256" s="1703"/>
      <c r="DN256" s="1703"/>
      <c r="DO256" s="1703"/>
      <c r="DP256" s="1703"/>
      <c r="DQ256" s="1703"/>
      <c r="DR256" s="1703"/>
      <c r="DS256" s="1703"/>
      <c r="DT256" s="1703"/>
      <c r="DU256" s="1703"/>
      <c r="DV256" s="1706"/>
      <c r="IR256" s="530"/>
      <c r="IS256" s="530"/>
      <c r="IT256" s="530"/>
      <c r="IU256" s="530"/>
      <c r="IV256" s="530"/>
    </row>
    <row r="257" spans="1:256" s="545" customFormat="1" ht="18" hidden="1" customHeight="1">
      <c r="A257" s="1712"/>
      <c r="B257" s="1023"/>
      <c r="C257" s="1023"/>
      <c r="D257" s="1023"/>
      <c r="E257" s="1023"/>
      <c r="F257" s="1023"/>
      <c r="G257" s="1023"/>
      <c r="H257" s="1023"/>
      <c r="I257" s="1023"/>
      <c r="J257" s="1023"/>
      <c r="K257" s="1023"/>
      <c r="L257" s="1023"/>
      <c r="M257" s="1023"/>
      <c r="N257" s="1023"/>
      <c r="O257" s="1023"/>
      <c r="P257" s="1023"/>
      <c r="Q257" s="1023"/>
      <c r="R257" s="1023"/>
      <c r="S257" s="1023"/>
      <c r="T257" s="1023"/>
      <c r="U257" s="1023"/>
      <c r="V257" s="1023"/>
      <c r="W257" s="1023"/>
      <c r="X257" s="1023"/>
      <c r="Y257" s="1023"/>
      <c r="Z257" s="1023"/>
      <c r="AA257" s="1023"/>
      <c r="AB257" s="1023"/>
      <c r="AC257" s="1023"/>
      <c r="AD257" s="1023"/>
      <c r="AE257" s="1023"/>
      <c r="AF257" s="1023"/>
      <c r="AG257" s="1023"/>
      <c r="AH257" s="1023"/>
      <c r="AI257" s="1023"/>
      <c r="AJ257" s="1023"/>
      <c r="AK257" s="1023"/>
      <c r="AL257" s="1023"/>
      <c r="AM257" s="1023"/>
      <c r="AN257" s="1023"/>
      <c r="AO257" s="1023"/>
      <c r="AP257" s="1023"/>
      <c r="AQ257" s="1023"/>
      <c r="AR257" s="1023"/>
      <c r="AS257" s="1023"/>
      <c r="AT257" s="1023"/>
      <c r="AU257" s="1023"/>
      <c r="AV257" s="1023"/>
      <c r="AW257" s="1023"/>
      <c r="AX257" s="1023"/>
      <c r="AY257" s="1023"/>
      <c r="AZ257" s="1023"/>
      <c r="BA257" s="1023"/>
      <c r="BB257" s="1023"/>
      <c r="BC257" s="1023"/>
      <c r="BD257" s="1023"/>
      <c r="BE257" s="1023"/>
      <c r="BF257" s="1023"/>
      <c r="BG257" s="1023"/>
      <c r="BH257" s="1023"/>
      <c r="BI257" s="1023"/>
      <c r="BJ257" s="1023"/>
      <c r="BK257" s="1023"/>
      <c r="BL257" s="1023"/>
      <c r="BM257" s="1023"/>
      <c r="BN257" s="1023"/>
      <c r="BO257" s="1023"/>
      <c r="BP257" s="1023"/>
      <c r="BQ257" s="1023"/>
      <c r="BR257" s="1023"/>
      <c r="BS257" s="1023"/>
      <c r="BT257" s="1023"/>
      <c r="BU257" s="1023"/>
      <c r="BV257" s="1023"/>
      <c r="BW257" s="1023"/>
      <c r="BX257" s="1023"/>
      <c r="BY257" s="1023"/>
      <c r="BZ257" s="1023"/>
      <c r="CA257" s="1023"/>
      <c r="CB257" s="1023"/>
      <c r="CC257" s="1023"/>
      <c r="CD257" s="1023"/>
      <c r="CE257" s="1669"/>
      <c r="CF257" s="1023"/>
      <c r="CG257" s="1023"/>
      <c r="CH257" s="1023"/>
      <c r="CI257" s="1023"/>
      <c r="CJ257" s="1023"/>
      <c r="CK257" s="1023"/>
      <c r="CL257" s="1023"/>
      <c r="CM257" s="1023"/>
      <c r="CN257" s="1023"/>
      <c r="CO257" s="1023"/>
      <c r="CP257" s="1023"/>
      <c r="CQ257" s="1023"/>
      <c r="CR257" s="1023"/>
      <c r="CS257" s="1023"/>
      <c r="CT257" s="1023"/>
      <c r="CU257" s="1023"/>
      <c r="CV257" s="1023"/>
      <c r="CW257" s="1023"/>
      <c r="CX257" s="1023"/>
      <c r="CY257" s="1683"/>
      <c r="CZ257" s="1023"/>
      <c r="DA257" s="1023"/>
      <c r="DB257" s="1023"/>
      <c r="DC257" s="1023"/>
      <c r="DD257" s="1023"/>
      <c r="DE257" s="1023"/>
      <c r="DF257" s="1023"/>
      <c r="DG257" s="1023"/>
      <c r="DH257" s="1023"/>
      <c r="DI257" s="1023"/>
      <c r="DJ257" s="1023"/>
      <c r="DK257" s="1023"/>
      <c r="DL257" s="1023"/>
      <c r="DM257" s="1023"/>
      <c r="DN257" s="1023"/>
      <c r="DO257" s="1023"/>
      <c r="DP257" s="1023"/>
      <c r="DQ257" s="1023"/>
      <c r="DR257" s="1023"/>
      <c r="DS257" s="1023"/>
      <c r="DT257" s="1023"/>
      <c r="DU257" s="1023"/>
      <c r="DV257" s="1684"/>
      <c r="DW257" s="530"/>
      <c r="DX257" s="530"/>
      <c r="DY257" s="530"/>
      <c r="DZ257" s="530"/>
      <c r="EA257" s="530"/>
      <c r="EB257" s="530"/>
      <c r="EC257" s="530"/>
      <c r="ED257" s="530"/>
      <c r="EE257" s="530"/>
      <c r="EF257" s="530"/>
      <c r="EG257" s="530"/>
      <c r="EH257" s="530"/>
      <c r="EI257" s="530"/>
      <c r="EJ257" s="530"/>
      <c r="EK257" s="530"/>
      <c r="EL257" s="530"/>
      <c r="EM257" s="530"/>
      <c r="EN257" s="530"/>
      <c r="EO257" s="530"/>
      <c r="EP257" s="530"/>
      <c r="EQ257" s="530"/>
      <c r="ER257" s="530"/>
      <c r="ES257" s="530"/>
      <c r="ET257" s="530"/>
      <c r="EU257" s="530"/>
      <c r="EV257" s="530"/>
      <c r="EW257" s="530"/>
      <c r="EX257" s="530"/>
      <c r="EY257" s="530"/>
      <c r="EZ257" s="530"/>
      <c r="FA257" s="530"/>
      <c r="FB257" s="530"/>
      <c r="FC257" s="530"/>
      <c r="FD257" s="530"/>
      <c r="FE257" s="530"/>
      <c r="FF257" s="530"/>
      <c r="FG257" s="530"/>
      <c r="FH257" s="530"/>
      <c r="FI257" s="530"/>
      <c r="FJ257" s="530"/>
      <c r="FK257" s="530"/>
      <c r="FL257" s="530"/>
      <c r="FM257" s="530"/>
      <c r="FN257" s="530"/>
      <c r="FO257" s="530"/>
      <c r="FP257" s="530"/>
      <c r="FQ257" s="530"/>
      <c r="FR257" s="530"/>
      <c r="FS257" s="530"/>
      <c r="FT257" s="530"/>
      <c r="FU257" s="530"/>
      <c r="FV257" s="530"/>
      <c r="FW257" s="530"/>
      <c r="FX257" s="530"/>
      <c r="FY257" s="530"/>
      <c r="FZ257" s="530"/>
      <c r="GA257" s="530"/>
      <c r="GB257" s="530"/>
      <c r="GC257" s="530"/>
      <c r="GD257" s="530"/>
      <c r="GE257" s="530"/>
      <c r="GF257" s="530"/>
      <c r="GG257" s="530"/>
      <c r="GH257" s="530"/>
      <c r="GI257" s="530"/>
      <c r="GJ257" s="530"/>
      <c r="GK257" s="530"/>
      <c r="GL257" s="530"/>
      <c r="GM257" s="530"/>
      <c r="GN257" s="530"/>
      <c r="GO257" s="530"/>
      <c r="GP257" s="530"/>
      <c r="GQ257" s="530"/>
      <c r="GR257" s="530"/>
      <c r="GS257" s="530"/>
      <c r="GT257" s="530"/>
      <c r="GU257" s="530"/>
      <c r="GV257" s="530"/>
      <c r="GW257" s="530"/>
      <c r="GX257" s="530"/>
      <c r="GY257" s="530"/>
      <c r="GZ257" s="530"/>
      <c r="HA257" s="530"/>
      <c r="HB257" s="530"/>
      <c r="HC257" s="530"/>
      <c r="HD257" s="530"/>
      <c r="HE257" s="530"/>
      <c r="HF257" s="530"/>
      <c r="HG257" s="530"/>
      <c r="HH257" s="530"/>
      <c r="HI257" s="530"/>
      <c r="HJ257" s="530"/>
      <c r="HK257" s="530"/>
      <c r="HL257" s="530"/>
      <c r="HM257" s="530"/>
      <c r="HN257" s="530"/>
      <c r="HO257" s="530"/>
      <c r="HP257" s="530"/>
      <c r="HQ257" s="530"/>
      <c r="HR257" s="530"/>
      <c r="HS257" s="530"/>
      <c r="HT257" s="530"/>
      <c r="HU257" s="530"/>
      <c r="HV257" s="530"/>
      <c r="HW257" s="530"/>
      <c r="HX257" s="530"/>
      <c r="HY257" s="530"/>
      <c r="HZ257" s="530"/>
      <c r="IA257" s="530"/>
      <c r="IB257" s="530"/>
      <c r="IC257" s="530"/>
      <c r="ID257" s="530"/>
      <c r="IE257" s="530"/>
      <c r="IF257" s="530"/>
      <c r="IG257" s="530"/>
      <c r="IH257" s="530"/>
      <c r="II257" s="530"/>
      <c r="IJ257" s="530"/>
      <c r="IK257" s="530"/>
      <c r="IL257" s="530"/>
      <c r="IM257" s="530"/>
      <c r="IN257" s="530"/>
      <c r="IO257" s="530"/>
      <c r="IP257" s="530"/>
      <c r="IQ257" s="530"/>
      <c r="IR257" s="530"/>
      <c r="IS257" s="530"/>
      <c r="IT257" s="530"/>
      <c r="IU257" s="530"/>
      <c r="IV257" s="530"/>
    </row>
    <row r="258" spans="1:256" s="545" customFormat="1" ht="18" hidden="1" customHeight="1">
      <c r="A258" s="1685"/>
      <c r="B258" s="1023"/>
      <c r="C258" s="1023"/>
      <c r="D258" s="1023"/>
      <c r="E258" s="1023"/>
      <c r="F258" s="1023"/>
      <c r="G258" s="1023"/>
      <c r="H258" s="1023"/>
      <c r="I258" s="1023"/>
      <c r="J258" s="1023"/>
      <c r="K258" s="1023"/>
      <c r="L258" s="1023"/>
      <c r="M258" s="1023"/>
      <c r="N258" s="1023"/>
      <c r="O258" s="1023"/>
      <c r="P258" s="1023"/>
      <c r="Q258" s="1023"/>
      <c r="R258" s="1023"/>
      <c r="S258" s="1023"/>
      <c r="T258" s="1023"/>
      <c r="U258" s="1023"/>
      <c r="V258" s="1023"/>
      <c r="W258" s="1023"/>
      <c r="X258" s="1023"/>
      <c r="Y258" s="1023"/>
      <c r="Z258" s="1023"/>
      <c r="AA258" s="1023"/>
      <c r="AB258" s="1023"/>
      <c r="AC258" s="1023"/>
      <c r="AD258" s="1023"/>
      <c r="AE258" s="1023"/>
      <c r="AF258" s="1023"/>
      <c r="AG258" s="1023"/>
      <c r="AH258" s="1023"/>
      <c r="AI258" s="1023"/>
      <c r="AJ258" s="1023"/>
      <c r="AK258" s="1023"/>
      <c r="AL258" s="1023"/>
      <c r="AM258" s="1023"/>
      <c r="AN258" s="1023"/>
      <c r="AO258" s="1023"/>
      <c r="AP258" s="1023"/>
      <c r="AQ258" s="1023"/>
      <c r="AR258" s="1023"/>
      <c r="AS258" s="1023"/>
      <c r="AT258" s="1023"/>
      <c r="AU258" s="1023"/>
      <c r="AV258" s="1023"/>
      <c r="AW258" s="1023"/>
      <c r="AX258" s="1023"/>
      <c r="AY258" s="1023"/>
      <c r="AZ258" s="1023"/>
      <c r="BA258" s="1023"/>
      <c r="BB258" s="1023"/>
      <c r="BC258" s="1023"/>
      <c r="BD258" s="1023"/>
      <c r="BE258" s="1023"/>
      <c r="BF258" s="1023"/>
      <c r="BG258" s="1023"/>
      <c r="BH258" s="1023"/>
      <c r="BI258" s="1023"/>
      <c r="BJ258" s="1023"/>
      <c r="BK258" s="1023"/>
      <c r="BL258" s="1023"/>
      <c r="BM258" s="1023"/>
      <c r="BN258" s="1023"/>
      <c r="BO258" s="1023"/>
      <c r="BP258" s="1023"/>
      <c r="BQ258" s="1023"/>
      <c r="BR258" s="1023"/>
      <c r="BS258" s="1023"/>
      <c r="BT258" s="1023"/>
      <c r="BU258" s="1023"/>
      <c r="BV258" s="1023"/>
      <c r="BW258" s="1023"/>
      <c r="BX258" s="1023"/>
      <c r="BY258" s="1023"/>
      <c r="BZ258" s="1023"/>
      <c r="CA258" s="1023"/>
      <c r="CB258" s="1023"/>
      <c r="CC258" s="1023"/>
      <c r="CD258" s="1023"/>
      <c r="CE258" s="1669"/>
      <c r="CF258" s="1023"/>
      <c r="CG258" s="1023"/>
      <c r="CH258" s="1023"/>
      <c r="CI258" s="1023"/>
      <c r="CJ258" s="1023"/>
      <c r="CK258" s="1023"/>
      <c r="CL258" s="1023"/>
      <c r="CM258" s="1023"/>
      <c r="CN258" s="1023"/>
      <c r="CO258" s="1023"/>
      <c r="CP258" s="1023"/>
      <c r="CQ258" s="1023"/>
      <c r="CR258" s="1023"/>
      <c r="CS258" s="1023"/>
      <c r="CT258" s="1023"/>
      <c r="CU258" s="1023"/>
      <c r="CV258" s="1023"/>
      <c r="CW258" s="1023"/>
      <c r="CX258" s="1023"/>
      <c r="CY258" s="1683"/>
      <c r="CZ258" s="1023"/>
      <c r="DA258" s="1023"/>
      <c r="DB258" s="1023"/>
      <c r="DC258" s="1023"/>
      <c r="DD258" s="1023"/>
      <c r="DE258" s="1023"/>
      <c r="DF258" s="1023"/>
      <c r="DG258" s="1023"/>
      <c r="DH258" s="1023"/>
      <c r="DI258" s="1023"/>
      <c r="DJ258" s="1023"/>
      <c r="DK258" s="1023"/>
      <c r="DL258" s="1023"/>
      <c r="DM258" s="1023"/>
      <c r="DN258" s="1023"/>
      <c r="DO258" s="1023"/>
      <c r="DP258" s="1023"/>
      <c r="DQ258" s="1023"/>
      <c r="DR258" s="1023"/>
      <c r="DS258" s="1023"/>
      <c r="DT258" s="1023"/>
      <c r="DU258" s="1023"/>
      <c r="DV258" s="1684"/>
      <c r="DW258" s="530"/>
      <c r="DX258" s="530"/>
      <c r="DY258" s="530"/>
      <c r="DZ258" s="530"/>
      <c r="EA258" s="530"/>
      <c r="EB258" s="530"/>
      <c r="EC258" s="530"/>
      <c r="ED258" s="530"/>
      <c r="EE258" s="530"/>
      <c r="EF258" s="530"/>
      <c r="EG258" s="530"/>
      <c r="EH258" s="530"/>
      <c r="EI258" s="530"/>
      <c r="EJ258" s="530"/>
      <c r="EK258" s="530"/>
      <c r="EL258" s="530"/>
      <c r="EM258" s="530"/>
      <c r="EN258" s="530"/>
      <c r="EO258" s="530"/>
      <c r="EP258" s="530"/>
      <c r="EQ258" s="530"/>
      <c r="ER258" s="530"/>
      <c r="ES258" s="530"/>
      <c r="ET258" s="530"/>
      <c r="EU258" s="530"/>
      <c r="EV258" s="530"/>
      <c r="EW258" s="530"/>
      <c r="EX258" s="530"/>
      <c r="EY258" s="530"/>
      <c r="EZ258" s="530"/>
      <c r="FA258" s="530"/>
      <c r="FB258" s="530"/>
      <c r="FC258" s="530"/>
      <c r="FD258" s="530"/>
      <c r="FE258" s="530"/>
      <c r="FF258" s="530"/>
      <c r="FG258" s="530"/>
      <c r="FH258" s="530"/>
      <c r="FI258" s="530"/>
      <c r="FJ258" s="530"/>
      <c r="FK258" s="530"/>
      <c r="FL258" s="530"/>
      <c r="FM258" s="530"/>
      <c r="FN258" s="530"/>
      <c r="FO258" s="530"/>
      <c r="FP258" s="530"/>
      <c r="FQ258" s="530"/>
      <c r="FR258" s="530"/>
      <c r="FS258" s="530"/>
      <c r="FT258" s="530"/>
      <c r="FU258" s="530"/>
      <c r="FV258" s="530"/>
      <c r="FW258" s="530"/>
      <c r="FX258" s="530"/>
      <c r="FY258" s="530"/>
      <c r="FZ258" s="530"/>
      <c r="GA258" s="530"/>
      <c r="GB258" s="530"/>
      <c r="GC258" s="530"/>
      <c r="GD258" s="530"/>
      <c r="GE258" s="530"/>
      <c r="GF258" s="530"/>
      <c r="GG258" s="530"/>
      <c r="GH258" s="530"/>
      <c r="GI258" s="530"/>
      <c r="GJ258" s="530"/>
      <c r="GK258" s="530"/>
      <c r="GL258" s="530"/>
      <c r="GM258" s="530"/>
      <c r="GN258" s="530"/>
      <c r="GO258" s="530"/>
      <c r="GP258" s="530"/>
      <c r="GQ258" s="530"/>
      <c r="GR258" s="530"/>
      <c r="GS258" s="530"/>
      <c r="GT258" s="530"/>
      <c r="GU258" s="530"/>
      <c r="GV258" s="530"/>
      <c r="GW258" s="530"/>
      <c r="GX258" s="530"/>
      <c r="GY258" s="530"/>
      <c r="GZ258" s="530"/>
      <c r="HA258" s="530"/>
      <c r="HB258" s="530"/>
      <c r="HC258" s="530"/>
      <c r="HD258" s="530"/>
      <c r="HE258" s="530"/>
      <c r="HF258" s="530"/>
      <c r="HG258" s="530"/>
      <c r="HH258" s="530"/>
      <c r="HI258" s="530"/>
      <c r="HJ258" s="530"/>
      <c r="HK258" s="530"/>
      <c r="HL258" s="530"/>
      <c r="HM258" s="530"/>
      <c r="HN258" s="530"/>
      <c r="HO258" s="530"/>
      <c r="HP258" s="530"/>
      <c r="HQ258" s="530"/>
      <c r="HR258" s="530"/>
      <c r="HS258" s="530"/>
      <c r="HT258" s="530"/>
      <c r="HU258" s="530"/>
      <c r="HV258" s="530"/>
      <c r="HW258" s="530"/>
      <c r="HX258" s="530"/>
      <c r="HY258" s="530"/>
      <c r="HZ258" s="530"/>
      <c r="IA258" s="530"/>
      <c r="IB258" s="530"/>
      <c r="IC258" s="530"/>
      <c r="ID258" s="530"/>
      <c r="IE258" s="530"/>
      <c r="IF258" s="530"/>
      <c r="IG258" s="530"/>
      <c r="IH258" s="530"/>
      <c r="II258" s="530"/>
      <c r="IJ258" s="530"/>
      <c r="IK258" s="530"/>
      <c r="IL258" s="530"/>
      <c r="IM258" s="530"/>
      <c r="IN258" s="530"/>
      <c r="IO258" s="530"/>
      <c r="IP258" s="530"/>
      <c r="IQ258" s="530"/>
      <c r="IR258" s="530"/>
      <c r="IS258" s="530"/>
      <c r="IT258" s="530"/>
      <c r="IU258" s="530"/>
      <c r="IV258" s="530"/>
    </row>
    <row r="259" spans="1:256" ht="17.25" hidden="1" customHeight="1">
      <c r="A259" s="1676"/>
      <c r="B259" s="550"/>
      <c r="C259" s="550"/>
      <c r="D259" s="550"/>
      <c r="E259" s="550"/>
      <c r="F259" s="550"/>
      <c r="G259" s="550"/>
      <c r="H259" s="550"/>
      <c r="I259" s="550"/>
      <c r="J259" s="550"/>
      <c r="K259" s="550"/>
      <c r="L259" s="550"/>
      <c r="M259" s="550"/>
      <c r="N259" s="550"/>
      <c r="O259" s="439"/>
      <c r="P259" s="439"/>
      <c r="Q259" s="674"/>
      <c r="R259" s="671"/>
      <c r="S259" s="671"/>
      <c r="T259" s="671"/>
      <c r="U259" s="671"/>
      <c r="V259" s="671"/>
      <c r="W259" s="671"/>
      <c r="X259" s="671"/>
      <c r="Y259" s="671"/>
      <c r="Z259" s="671"/>
      <c r="AA259" s="671"/>
      <c r="AB259" s="671"/>
      <c r="AC259" s="671"/>
      <c r="AD259" s="671"/>
      <c r="AE259" s="623"/>
      <c r="AF259" s="623"/>
      <c r="AG259" s="623"/>
      <c r="AH259" s="623"/>
      <c r="AI259" s="623"/>
      <c r="AJ259" s="623"/>
      <c r="AK259" s="623"/>
      <c r="AL259" s="623"/>
      <c r="AM259" s="623"/>
      <c r="AN259" s="623"/>
      <c r="AO259" s="623"/>
      <c r="AP259" s="623"/>
      <c r="AQ259" s="623"/>
      <c r="AR259" s="623"/>
      <c r="AS259" s="623"/>
      <c r="AT259" s="623"/>
      <c r="AU259" s="623"/>
      <c r="AV259" s="623"/>
      <c r="AW259" s="623"/>
      <c r="AX259" s="623"/>
      <c r="AY259" s="623"/>
      <c r="AZ259" s="623"/>
      <c r="BA259" s="623"/>
      <c r="BB259" s="623"/>
      <c r="BC259" s="623"/>
      <c r="BD259" s="623"/>
      <c r="BE259" s="623"/>
      <c r="BF259" s="623"/>
      <c r="BG259" s="623"/>
      <c r="BH259" s="623"/>
      <c r="BI259" s="623"/>
      <c r="BJ259" s="623"/>
      <c r="BK259" s="623"/>
      <c r="BL259" s="623"/>
      <c r="BM259" s="623"/>
      <c r="BN259" s="623"/>
      <c r="BO259" s="623"/>
      <c r="BP259" s="623"/>
      <c r="BQ259" s="623"/>
      <c r="BR259" s="623"/>
      <c r="BS259" s="623"/>
      <c r="BT259" s="623"/>
      <c r="BU259" s="623"/>
      <c r="BV259" s="623"/>
      <c r="BW259" s="623"/>
      <c r="BX259" s="623"/>
      <c r="BY259" s="623"/>
      <c r="BZ259" s="623"/>
      <c r="CA259" s="623"/>
      <c r="CB259" s="623"/>
      <c r="CC259" s="623"/>
      <c r="CD259" s="623"/>
      <c r="CE259" s="1669"/>
      <c r="CF259" s="623"/>
      <c r="CG259" s="623"/>
      <c r="CH259" s="623"/>
      <c r="CI259" s="623"/>
      <c r="CJ259" s="623"/>
      <c r="CK259" s="623"/>
      <c r="CL259" s="623"/>
      <c r="CM259" s="623"/>
      <c r="CN259" s="623"/>
      <c r="CO259" s="623"/>
      <c r="CP259" s="623"/>
      <c r="CQ259" s="623"/>
      <c r="CR259" s="623"/>
      <c r="CS259" s="623"/>
      <c r="CT259" s="623"/>
      <c r="CU259" s="623"/>
      <c r="CV259" s="623"/>
      <c r="CW259" s="623"/>
      <c r="CX259" s="623"/>
      <c r="CY259" s="817"/>
      <c r="CZ259" s="623"/>
      <c r="DA259" s="623"/>
      <c r="DB259" s="623"/>
      <c r="DC259" s="623"/>
      <c r="DD259" s="623"/>
      <c r="DE259" s="623"/>
      <c r="DF259" s="623"/>
      <c r="DG259" s="623"/>
      <c r="DH259" s="623"/>
      <c r="DI259" s="623"/>
      <c r="DJ259" s="623"/>
      <c r="DK259" s="623"/>
      <c r="DL259" s="623"/>
      <c r="DM259" s="623"/>
      <c r="DN259" s="623"/>
      <c r="DO259" s="623"/>
      <c r="DP259" s="623"/>
      <c r="DQ259" s="623"/>
      <c r="DR259" s="623"/>
      <c r="DS259" s="623"/>
      <c r="DT259" s="623"/>
      <c r="DU259" s="623"/>
      <c r="DV259" s="1675"/>
      <c r="IR259" s="542"/>
      <c r="IS259" s="542"/>
      <c r="IT259" s="542"/>
      <c r="IU259" s="542"/>
      <c r="IV259" s="542"/>
    </row>
    <row r="260" spans="1:256" ht="17.25" hidden="1" customHeight="1">
      <c r="A260" s="1676"/>
      <c r="B260" s="550"/>
      <c r="C260" s="550"/>
      <c r="D260" s="550"/>
      <c r="E260" s="550"/>
      <c r="F260" s="550"/>
      <c r="G260" s="550"/>
      <c r="H260" s="550"/>
      <c r="I260" s="550"/>
      <c r="J260" s="550"/>
      <c r="K260" s="550"/>
      <c r="L260" s="550"/>
      <c r="M260" s="550"/>
      <c r="N260" s="550"/>
      <c r="O260" s="439"/>
      <c r="P260" s="439"/>
      <c r="Q260" s="674"/>
      <c r="R260" s="671"/>
      <c r="S260" s="671"/>
      <c r="T260" s="671"/>
      <c r="U260" s="671"/>
      <c r="V260" s="671"/>
      <c r="W260" s="671"/>
      <c r="X260" s="671"/>
      <c r="Y260" s="671"/>
      <c r="Z260" s="671"/>
      <c r="AA260" s="671"/>
      <c r="AB260" s="671"/>
      <c r="AC260" s="671"/>
      <c r="AD260" s="671"/>
      <c r="AE260" s="623"/>
      <c r="AF260" s="623"/>
      <c r="AG260" s="623"/>
      <c r="AH260" s="623"/>
      <c r="AI260" s="623"/>
      <c r="AJ260" s="623"/>
      <c r="AK260" s="623"/>
      <c r="AL260" s="623"/>
      <c r="AM260" s="623"/>
      <c r="AN260" s="623"/>
      <c r="AO260" s="623"/>
      <c r="AP260" s="623"/>
      <c r="AQ260" s="623"/>
      <c r="AR260" s="623"/>
      <c r="AS260" s="623"/>
      <c r="AT260" s="623"/>
      <c r="AU260" s="623"/>
      <c r="AV260" s="623"/>
      <c r="AW260" s="623"/>
      <c r="AX260" s="623"/>
      <c r="AY260" s="623"/>
      <c r="AZ260" s="623"/>
      <c r="BA260" s="623"/>
      <c r="BB260" s="623"/>
      <c r="BC260" s="623"/>
      <c r="BD260" s="623"/>
      <c r="BE260" s="623"/>
      <c r="BF260" s="623"/>
      <c r="BG260" s="623"/>
      <c r="BH260" s="623"/>
      <c r="BI260" s="623"/>
      <c r="BJ260" s="623"/>
      <c r="BK260" s="623"/>
      <c r="BL260" s="623"/>
      <c r="BM260" s="623"/>
      <c r="BN260" s="623"/>
      <c r="BO260" s="623"/>
      <c r="BP260" s="623"/>
      <c r="BQ260" s="623"/>
      <c r="BR260" s="623"/>
      <c r="BS260" s="623"/>
      <c r="BT260" s="623"/>
      <c r="BU260" s="623"/>
      <c r="BV260" s="623"/>
      <c r="BW260" s="623"/>
      <c r="BX260" s="623"/>
      <c r="BY260" s="623"/>
      <c r="BZ260" s="623"/>
      <c r="CA260" s="623"/>
      <c r="CB260" s="623"/>
      <c r="CC260" s="623"/>
      <c r="CD260" s="623"/>
      <c r="CE260" s="1669"/>
      <c r="CF260" s="623"/>
      <c r="CG260" s="623"/>
      <c r="CH260" s="623"/>
      <c r="CI260" s="623"/>
      <c r="CJ260" s="623"/>
      <c r="CK260" s="623"/>
      <c r="CL260" s="623"/>
      <c r="CM260" s="623"/>
      <c r="CN260" s="623"/>
      <c r="CO260" s="623"/>
      <c r="CP260" s="623"/>
      <c r="CQ260" s="623"/>
      <c r="CR260" s="623"/>
      <c r="CS260" s="623"/>
      <c r="CT260" s="623"/>
      <c r="CU260" s="623"/>
      <c r="CV260" s="623"/>
      <c r="CW260" s="623"/>
      <c r="CX260" s="623"/>
      <c r="CY260" s="817"/>
      <c r="CZ260" s="623"/>
      <c r="DA260" s="623"/>
      <c r="DB260" s="623"/>
      <c r="DC260" s="623"/>
      <c r="DD260" s="623"/>
      <c r="DE260" s="623"/>
      <c r="DF260" s="623"/>
      <c r="DG260" s="623"/>
      <c r="DH260" s="623"/>
      <c r="DI260" s="623"/>
      <c r="DJ260" s="623"/>
      <c r="DK260" s="623"/>
      <c r="DL260" s="623"/>
      <c r="DM260" s="623"/>
      <c r="DN260" s="623"/>
      <c r="DO260" s="623"/>
      <c r="DP260" s="623"/>
      <c r="DQ260" s="623"/>
      <c r="DR260" s="623"/>
      <c r="DS260" s="623"/>
      <c r="DT260" s="623"/>
      <c r="DU260" s="623"/>
      <c r="DV260" s="1675"/>
    </row>
    <row r="261" spans="1:256" ht="17.25" hidden="1" customHeight="1">
      <c r="A261" s="1676"/>
      <c r="B261" s="550"/>
      <c r="C261" s="550"/>
      <c r="D261" s="550"/>
      <c r="E261" s="550"/>
      <c r="F261" s="550"/>
      <c r="G261" s="550"/>
      <c r="H261" s="550"/>
      <c r="I261" s="550"/>
      <c r="J261" s="550"/>
      <c r="K261" s="550"/>
      <c r="L261" s="550"/>
      <c r="M261" s="550"/>
      <c r="N261" s="550"/>
      <c r="O261" s="439"/>
      <c r="P261" s="439"/>
      <c r="Q261" s="674"/>
      <c r="R261" s="671"/>
      <c r="S261" s="671"/>
      <c r="T261" s="671"/>
      <c r="U261" s="671"/>
      <c r="V261" s="671"/>
      <c r="W261" s="671"/>
      <c r="X261" s="671"/>
      <c r="Y261" s="671"/>
      <c r="Z261" s="671"/>
      <c r="AA261" s="671"/>
      <c r="AB261" s="671"/>
      <c r="AC261" s="671"/>
      <c r="AD261" s="671"/>
      <c r="AE261" s="623"/>
      <c r="AF261" s="623"/>
      <c r="AG261" s="623"/>
      <c r="AH261" s="623"/>
      <c r="AI261" s="623"/>
      <c r="AJ261" s="623"/>
      <c r="AK261" s="623"/>
      <c r="AL261" s="623"/>
      <c r="AM261" s="623"/>
      <c r="AN261" s="623"/>
      <c r="AO261" s="623"/>
      <c r="AP261" s="623"/>
      <c r="AQ261" s="623"/>
      <c r="AR261" s="623"/>
      <c r="AS261" s="623"/>
      <c r="AT261" s="623"/>
      <c r="AU261" s="623"/>
      <c r="AV261" s="623"/>
      <c r="AW261" s="623"/>
      <c r="AX261" s="623"/>
      <c r="AY261" s="623"/>
      <c r="AZ261" s="623"/>
      <c r="BA261" s="623"/>
      <c r="BB261" s="623"/>
      <c r="BC261" s="623"/>
      <c r="BD261" s="623"/>
      <c r="BE261" s="623"/>
      <c r="BF261" s="623"/>
      <c r="BG261" s="623"/>
      <c r="BH261" s="623"/>
      <c r="BI261" s="623"/>
      <c r="BJ261" s="623"/>
      <c r="BK261" s="623"/>
      <c r="BL261" s="623"/>
      <c r="BM261" s="623"/>
      <c r="BN261" s="623"/>
      <c r="BO261" s="623"/>
      <c r="BP261" s="623"/>
      <c r="BQ261" s="623"/>
      <c r="BR261" s="623"/>
      <c r="BS261" s="623"/>
      <c r="BT261" s="623"/>
      <c r="BU261" s="623"/>
      <c r="BV261" s="623"/>
      <c r="BW261" s="623"/>
      <c r="BX261" s="623"/>
      <c r="BY261" s="623"/>
      <c r="BZ261" s="623"/>
      <c r="CA261" s="623"/>
      <c r="CB261" s="623"/>
      <c r="CC261" s="623"/>
      <c r="CD261" s="623"/>
      <c r="CE261" s="1669"/>
      <c r="CF261" s="623"/>
      <c r="CG261" s="623"/>
      <c r="CH261" s="623"/>
      <c r="CI261" s="623"/>
      <c r="CJ261" s="623"/>
      <c r="CK261" s="623"/>
      <c r="CL261" s="623"/>
      <c r="CM261" s="623"/>
      <c r="CN261" s="623"/>
      <c r="CO261" s="623"/>
      <c r="CP261" s="623"/>
      <c r="CQ261" s="623"/>
      <c r="CR261" s="623"/>
      <c r="CS261" s="623"/>
      <c r="CT261" s="623"/>
      <c r="CU261" s="623"/>
      <c r="CV261" s="623"/>
      <c r="CW261" s="623"/>
      <c r="CX261" s="623"/>
      <c r="CY261" s="817"/>
      <c r="CZ261" s="623"/>
      <c r="DA261" s="623"/>
      <c r="DB261" s="623"/>
      <c r="DC261" s="623"/>
      <c r="DD261" s="623"/>
      <c r="DE261" s="623"/>
      <c r="DF261" s="623"/>
      <c r="DG261" s="623"/>
      <c r="DH261" s="623"/>
      <c r="DI261" s="623"/>
      <c r="DJ261" s="623"/>
      <c r="DK261" s="623"/>
      <c r="DL261" s="623"/>
      <c r="DM261" s="623"/>
      <c r="DN261" s="623"/>
      <c r="DO261" s="623"/>
      <c r="DP261" s="623"/>
      <c r="DQ261" s="623"/>
      <c r="DR261" s="623"/>
      <c r="DS261" s="623"/>
      <c r="DT261" s="623"/>
      <c r="DU261" s="623"/>
      <c r="DV261" s="1675"/>
    </row>
    <row r="262" spans="1:256" ht="17.25" hidden="1" customHeight="1">
      <c r="A262" s="1676"/>
      <c r="B262" s="550"/>
      <c r="C262" s="550"/>
      <c r="D262" s="550"/>
      <c r="E262" s="550"/>
      <c r="F262" s="550"/>
      <c r="G262" s="550"/>
      <c r="H262" s="550"/>
      <c r="I262" s="550"/>
      <c r="J262" s="550"/>
      <c r="K262" s="550"/>
      <c r="L262" s="550"/>
      <c r="M262" s="550"/>
      <c r="N262" s="550"/>
      <c r="O262" s="439"/>
      <c r="P262" s="439"/>
      <c r="Q262" s="674"/>
      <c r="R262" s="671"/>
      <c r="S262" s="671"/>
      <c r="T262" s="671"/>
      <c r="U262" s="671"/>
      <c r="V262" s="671"/>
      <c r="W262" s="671"/>
      <c r="X262" s="671"/>
      <c r="Y262" s="671"/>
      <c r="Z262" s="671"/>
      <c r="AA262" s="671"/>
      <c r="AB262" s="671"/>
      <c r="AC262" s="671"/>
      <c r="AD262" s="671"/>
      <c r="AE262" s="623"/>
      <c r="AF262" s="623"/>
      <c r="AG262" s="623"/>
      <c r="AH262" s="623"/>
      <c r="AI262" s="623"/>
      <c r="AJ262" s="623"/>
      <c r="AK262" s="623"/>
      <c r="AL262" s="623"/>
      <c r="AM262" s="623"/>
      <c r="AN262" s="623"/>
      <c r="AO262" s="623"/>
      <c r="AP262" s="623"/>
      <c r="AQ262" s="623"/>
      <c r="AR262" s="623"/>
      <c r="AS262" s="623"/>
      <c r="AT262" s="623"/>
      <c r="AU262" s="623"/>
      <c r="AV262" s="623"/>
      <c r="AW262" s="623"/>
      <c r="AX262" s="623"/>
      <c r="AY262" s="623"/>
      <c r="AZ262" s="623"/>
      <c r="BA262" s="623"/>
      <c r="BB262" s="623"/>
      <c r="BC262" s="623"/>
      <c r="BD262" s="623"/>
      <c r="BE262" s="623"/>
      <c r="BF262" s="623"/>
      <c r="BG262" s="623"/>
      <c r="BH262" s="623"/>
      <c r="BI262" s="623"/>
      <c r="BJ262" s="623"/>
      <c r="BK262" s="623"/>
      <c r="BL262" s="623"/>
      <c r="BM262" s="623"/>
      <c r="BN262" s="623"/>
      <c r="BO262" s="623"/>
      <c r="BP262" s="623"/>
      <c r="BQ262" s="623"/>
      <c r="BR262" s="623"/>
      <c r="BS262" s="623"/>
      <c r="BT262" s="623"/>
      <c r="BU262" s="623"/>
      <c r="BV262" s="623"/>
      <c r="BW262" s="623"/>
      <c r="BX262" s="623"/>
      <c r="BY262" s="623"/>
      <c r="BZ262" s="623"/>
      <c r="CA262" s="623"/>
      <c r="CB262" s="623"/>
      <c r="CC262" s="623"/>
      <c r="CD262" s="623"/>
      <c r="CE262" s="1669"/>
      <c r="CF262" s="623"/>
      <c r="CG262" s="623"/>
      <c r="CH262" s="623"/>
      <c r="CI262" s="623"/>
      <c r="CJ262" s="623"/>
      <c r="CK262" s="623"/>
      <c r="CL262" s="623"/>
      <c r="CM262" s="623"/>
      <c r="CN262" s="623"/>
      <c r="CO262" s="623"/>
      <c r="CP262" s="623"/>
      <c r="CQ262" s="623"/>
      <c r="CR262" s="623"/>
      <c r="CS262" s="623"/>
      <c r="CT262" s="623"/>
      <c r="CU262" s="623"/>
      <c r="CV262" s="623"/>
      <c r="CW262" s="623"/>
      <c r="CX262" s="623"/>
      <c r="CY262" s="817"/>
      <c r="CZ262" s="623"/>
      <c r="DA262" s="623"/>
      <c r="DB262" s="623"/>
      <c r="DC262" s="623"/>
      <c r="DD262" s="623"/>
      <c r="DE262" s="623"/>
      <c r="DF262" s="623"/>
      <c r="DG262" s="623"/>
      <c r="DH262" s="623"/>
      <c r="DI262" s="623"/>
      <c r="DJ262" s="623"/>
      <c r="DK262" s="623"/>
      <c r="DL262" s="623"/>
      <c r="DM262" s="623"/>
      <c r="DN262" s="623"/>
      <c r="DO262" s="623"/>
      <c r="DP262" s="623"/>
      <c r="DQ262" s="623"/>
      <c r="DR262" s="623"/>
      <c r="DS262" s="623"/>
      <c r="DT262" s="623"/>
      <c r="DU262" s="623"/>
      <c r="DV262" s="1675"/>
    </row>
    <row r="263" spans="1:256" ht="17.25" hidden="1" customHeight="1">
      <c r="A263" s="1676"/>
      <c r="B263" s="550"/>
      <c r="C263" s="550"/>
      <c r="D263" s="550"/>
      <c r="E263" s="550"/>
      <c r="F263" s="550"/>
      <c r="G263" s="550"/>
      <c r="H263" s="550"/>
      <c r="I263" s="550"/>
      <c r="J263" s="550"/>
      <c r="K263" s="550"/>
      <c r="L263" s="550"/>
      <c r="M263" s="550"/>
      <c r="N263" s="550"/>
      <c r="O263" s="439"/>
      <c r="P263" s="439"/>
      <c r="Q263" s="674"/>
      <c r="R263" s="671"/>
      <c r="S263" s="671"/>
      <c r="T263" s="671"/>
      <c r="U263" s="671"/>
      <c r="V263" s="671"/>
      <c r="W263" s="671"/>
      <c r="X263" s="671"/>
      <c r="Y263" s="671"/>
      <c r="Z263" s="671"/>
      <c r="AA263" s="671"/>
      <c r="AB263" s="671"/>
      <c r="AC263" s="671"/>
      <c r="AD263" s="671"/>
      <c r="AE263" s="623"/>
      <c r="AF263" s="623"/>
      <c r="AG263" s="623"/>
      <c r="AH263" s="623"/>
      <c r="AI263" s="623"/>
      <c r="AJ263" s="623"/>
      <c r="AK263" s="623"/>
      <c r="AL263" s="623"/>
      <c r="AM263" s="623"/>
      <c r="AN263" s="623"/>
      <c r="AO263" s="623"/>
      <c r="AP263" s="623"/>
      <c r="AQ263" s="623"/>
      <c r="AR263" s="623"/>
      <c r="AS263" s="623"/>
      <c r="AT263" s="623"/>
      <c r="AU263" s="623"/>
      <c r="AV263" s="623"/>
      <c r="AW263" s="623"/>
      <c r="AX263" s="623"/>
      <c r="AY263" s="623"/>
      <c r="AZ263" s="623"/>
      <c r="BA263" s="623"/>
      <c r="BB263" s="623"/>
      <c r="BC263" s="623"/>
      <c r="BD263" s="623"/>
      <c r="BE263" s="623"/>
      <c r="BF263" s="623"/>
      <c r="BG263" s="623"/>
      <c r="BH263" s="623"/>
      <c r="BI263" s="623"/>
      <c r="BJ263" s="623"/>
      <c r="BK263" s="623"/>
      <c r="BL263" s="623"/>
      <c r="BM263" s="623"/>
      <c r="BN263" s="623"/>
      <c r="BO263" s="623"/>
      <c r="BP263" s="623"/>
      <c r="BQ263" s="623"/>
      <c r="BR263" s="623"/>
      <c r="BS263" s="623"/>
      <c r="BT263" s="623"/>
      <c r="BU263" s="623"/>
      <c r="BV263" s="623"/>
      <c r="BW263" s="623"/>
      <c r="BX263" s="623"/>
      <c r="BY263" s="623"/>
      <c r="BZ263" s="623"/>
      <c r="CA263" s="623"/>
      <c r="CB263" s="623"/>
      <c r="CC263" s="623"/>
      <c r="CD263" s="623"/>
      <c r="CE263" s="1669"/>
      <c r="CF263" s="623"/>
      <c r="CG263" s="623"/>
      <c r="CH263" s="623"/>
      <c r="CI263" s="623"/>
      <c r="CJ263" s="623"/>
      <c r="CK263" s="623"/>
      <c r="CL263" s="623"/>
      <c r="CM263" s="623"/>
      <c r="CN263" s="623"/>
      <c r="CO263" s="623"/>
      <c r="CP263" s="623"/>
      <c r="CQ263" s="623"/>
      <c r="CR263" s="623"/>
      <c r="CS263" s="623"/>
      <c r="CT263" s="623"/>
      <c r="CU263" s="623"/>
      <c r="CV263" s="623"/>
      <c r="CW263" s="623"/>
      <c r="CX263" s="623"/>
      <c r="CY263" s="817"/>
      <c r="CZ263" s="623"/>
      <c r="DA263" s="623"/>
      <c r="DB263" s="623"/>
      <c r="DC263" s="623"/>
      <c r="DD263" s="623"/>
      <c r="DE263" s="623"/>
      <c r="DF263" s="623"/>
      <c r="DG263" s="623"/>
      <c r="DH263" s="623"/>
      <c r="DI263" s="623"/>
      <c r="DJ263" s="623"/>
      <c r="DK263" s="623"/>
      <c r="DL263" s="623"/>
      <c r="DM263" s="623"/>
      <c r="DN263" s="623"/>
      <c r="DO263" s="623"/>
      <c r="DP263" s="623"/>
      <c r="DQ263" s="623"/>
      <c r="DR263" s="623"/>
      <c r="DS263" s="623"/>
      <c r="DT263" s="623"/>
      <c r="DU263" s="623"/>
      <c r="DV263" s="1675"/>
    </row>
    <row r="264" spans="1:256" ht="17.25" hidden="1" customHeight="1">
      <c r="A264" s="1676"/>
      <c r="B264" s="550"/>
      <c r="C264" s="550"/>
      <c r="D264" s="550"/>
      <c r="E264" s="550"/>
      <c r="F264" s="550"/>
      <c r="G264" s="550"/>
      <c r="H264" s="550"/>
      <c r="I264" s="550"/>
      <c r="J264" s="550"/>
      <c r="K264" s="550"/>
      <c r="L264" s="550"/>
      <c r="M264" s="550"/>
      <c r="N264" s="550"/>
      <c r="O264" s="439"/>
      <c r="P264" s="439"/>
      <c r="Q264" s="674"/>
      <c r="R264" s="671"/>
      <c r="S264" s="671"/>
      <c r="T264" s="671"/>
      <c r="U264" s="671"/>
      <c r="V264" s="671"/>
      <c r="W264" s="671"/>
      <c r="X264" s="671"/>
      <c r="Y264" s="671"/>
      <c r="Z264" s="671"/>
      <c r="AA264" s="671"/>
      <c r="AB264" s="671"/>
      <c r="AC264" s="671"/>
      <c r="AD264" s="671"/>
      <c r="AE264" s="623"/>
      <c r="AF264" s="623"/>
      <c r="AG264" s="623"/>
      <c r="AH264" s="623"/>
      <c r="AI264" s="623"/>
      <c r="AJ264" s="623"/>
      <c r="AK264" s="623"/>
      <c r="AL264" s="623"/>
      <c r="AM264" s="623"/>
      <c r="AN264" s="623"/>
      <c r="AO264" s="623"/>
      <c r="AP264" s="623"/>
      <c r="AQ264" s="623"/>
      <c r="AR264" s="623"/>
      <c r="AS264" s="623"/>
      <c r="AT264" s="623"/>
      <c r="AU264" s="623"/>
      <c r="AV264" s="623"/>
      <c r="AW264" s="623"/>
      <c r="AX264" s="623"/>
      <c r="AY264" s="623"/>
      <c r="AZ264" s="623"/>
      <c r="BA264" s="623"/>
      <c r="BB264" s="623"/>
      <c r="BC264" s="623"/>
      <c r="BD264" s="623"/>
      <c r="BE264" s="623"/>
      <c r="BF264" s="623"/>
      <c r="BG264" s="623"/>
      <c r="BH264" s="623"/>
      <c r="BI264" s="623"/>
      <c r="BJ264" s="623"/>
      <c r="BK264" s="623"/>
      <c r="BL264" s="623"/>
      <c r="BM264" s="623"/>
      <c r="BN264" s="623"/>
      <c r="BO264" s="623"/>
      <c r="BP264" s="623"/>
      <c r="BQ264" s="623"/>
      <c r="BR264" s="623"/>
      <c r="BS264" s="623"/>
      <c r="BT264" s="623"/>
      <c r="BU264" s="623"/>
      <c r="BV264" s="623"/>
      <c r="BW264" s="623"/>
      <c r="BX264" s="623"/>
      <c r="BY264" s="623"/>
      <c r="BZ264" s="623"/>
      <c r="CA264" s="623"/>
      <c r="CB264" s="623"/>
      <c r="CC264" s="623"/>
      <c r="CD264" s="623"/>
      <c r="CE264" s="1669"/>
      <c r="CF264" s="623"/>
      <c r="CG264" s="623"/>
      <c r="CH264" s="623"/>
      <c r="CI264" s="623"/>
      <c r="CJ264" s="623"/>
      <c r="CK264" s="623"/>
      <c r="CL264" s="623"/>
      <c r="CM264" s="623"/>
      <c r="CN264" s="623"/>
      <c r="CO264" s="623"/>
      <c r="CP264" s="623"/>
      <c r="CQ264" s="623"/>
      <c r="CR264" s="623"/>
      <c r="CS264" s="623"/>
      <c r="CT264" s="623"/>
      <c r="CU264" s="623"/>
      <c r="CV264" s="623"/>
      <c r="CW264" s="623"/>
      <c r="CX264" s="623"/>
      <c r="CY264" s="817"/>
      <c r="CZ264" s="623"/>
      <c r="DA264" s="623"/>
      <c r="DB264" s="623"/>
      <c r="DC264" s="623"/>
      <c r="DD264" s="623"/>
      <c r="DE264" s="623"/>
      <c r="DF264" s="623"/>
      <c r="DG264" s="623"/>
      <c r="DH264" s="623"/>
      <c r="DI264" s="623"/>
      <c r="DJ264" s="623"/>
      <c r="DK264" s="623"/>
      <c r="DL264" s="623"/>
      <c r="DM264" s="623"/>
      <c r="DN264" s="623"/>
      <c r="DO264" s="623"/>
      <c r="DP264" s="623"/>
      <c r="DQ264" s="623"/>
      <c r="DR264" s="623"/>
      <c r="DS264" s="623"/>
      <c r="DT264" s="623"/>
      <c r="DU264" s="623"/>
      <c r="DV264" s="1675"/>
    </row>
    <row r="265" spans="1:256" ht="17.25" hidden="1" customHeight="1">
      <c r="A265" s="1676"/>
      <c r="B265" s="550"/>
      <c r="C265" s="550"/>
      <c r="D265" s="550"/>
      <c r="E265" s="550"/>
      <c r="F265" s="550"/>
      <c r="G265" s="550"/>
      <c r="H265" s="550"/>
      <c r="I265" s="550"/>
      <c r="J265" s="550"/>
      <c r="K265" s="550"/>
      <c r="L265" s="550"/>
      <c r="M265" s="550"/>
      <c r="N265" s="550"/>
      <c r="O265" s="439"/>
      <c r="P265" s="439"/>
      <c r="Q265" s="674"/>
      <c r="R265" s="671"/>
      <c r="S265" s="671"/>
      <c r="T265" s="671"/>
      <c r="U265" s="671"/>
      <c r="V265" s="671"/>
      <c r="W265" s="671"/>
      <c r="X265" s="671"/>
      <c r="Y265" s="671"/>
      <c r="Z265" s="671"/>
      <c r="AA265" s="671"/>
      <c r="AB265" s="671"/>
      <c r="AC265" s="671"/>
      <c r="AD265" s="671"/>
      <c r="AE265" s="623"/>
      <c r="AF265" s="623"/>
      <c r="AG265" s="623"/>
      <c r="AH265" s="623"/>
      <c r="AI265" s="623"/>
      <c r="AJ265" s="623"/>
      <c r="AK265" s="623"/>
      <c r="AL265" s="623"/>
      <c r="AM265" s="623"/>
      <c r="AN265" s="623"/>
      <c r="AO265" s="623"/>
      <c r="AP265" s="623"/>
      <c r="AQ265" s="623"/>
      <c r="AR265" s="623"/>
      <c r="AS265" s="623"/>
      <c r="AT265" s="623"/>
      <c r="AU265" s="623"/>
      <c r="AV265" s="623"/>
      <c r="AW265" s="623"/>
      <c r="AX265" s="623"/>
      <c r="AY265" s="623"/>
      <c r="AZ265" s="623"/>
      <c r="BA265" s="623"/>
      <c r="BB265" s="623"/>
      <c r="BC265" s="623"/>
      <c r="BD265" s="623"/>
      <c r="BE265" s="623"/>
      <c r="BF265" s="623"/>
      <c r="BG265" s="623"/>
      <c r="BH265" s="623"/>
      <c r="BI265" s="623"/>
      <c r="BJ265" s="623"/>
      <c r="BK265" s="623"/>
      <c r="BL265" s="623"/>
      <c r="BM265" s="623"/>
      <c r="BN265" s="623"/>
      <c r="BO265" s="623"/>
      <c r="BP265" s="623"/>
      <c r="BQ265" s="623"/>
      <c r="BR265" s="623"/>
      <c r="BS265" s="623"/>
      <c r="BT265" s="623"/>
      <c r="BU265" s="623"/>
      <c r="BV265" s="623"/>
      <c r="BW265" s="623"/>
      <c r="BX265" s="623"/>
      <c r="BY265" s="623"/>
      <c r="BZ265" s="623"/>
      <c r="CA265" s="623"/>
      <c r="CB265" s="623"/>
      <c r="CC265" s="623"/>
      <c r="CD265" s="623"/>
      <c r="CE265" s="1669"/>
      <c r="CF265" s="623"/>
      <c r="CG265" s="623"/>
      <c r="CH265" s="623"/>
      <c r="CI265" s="623"/>
      <c r="CJ265" s="623"/>
      <c r="CK265" s="623"/>
      <c r="CL265" s="623"/>
      <c r="CM265" s="623"/>
      <c r="CN265" s="623"/>
      <c r="CO265" s="623"/>
      <c r="CP265" s="623"/>
      <c r="CQ265" s="623"/>
      <c r="CR265" s="623"/>
      <c r="CS265" s="623"/>
      <c r="CT265" s="623"/>
      <c r="CU265" s="623"/>
      <c r="CV265" s="623"/>
      <c r="CW265" s="623"/>
      <c r="CX265" s="623"/>
      <c r="CY265" s="817"/>
      <c r="CZ265" s="623"/>
      <c r="DA265" s="623"/>
      <c r="DB265" s="623"/>
      <c r="DC265" s="623"/>
      <c r="DD265" s="623"/>
      <c r="DE265" s="623"/>
      <c r="DF265" s="623"/>
      <c r="DG265" s="623"/>
      <c r="DH265" s="623"/>
      <c r="DI265" s="623"/>
      <c r="DJ265" s="623"/>
      <c r="DK265" s="623"/>
      <c r="DL265" s="623"/>
      <c r="DM265" s="623"/>
      <c r="DN265" s="623"/>
      <c r="DO265" s="623"/>
      <c r="DP265" s="623"/>
      <c r="DQ265" s="623"/>
      <c r="DR265" s="623"/>
      <c r="DS265" s="623"/>
      <c r="DT265" s="623"/>
      <c r="DU265" s="623"/>
      <c r="DV265" s="1675"/>
    </row>
    <row r="266" spans="1:256" ht="17.25" hidden="1" customHeight="1">
      <c r="A266" s="1676"/>
      <c r="B266" s="550"/>
      <c r="C266" s="550"/>
      <c r="D266" s="550"/>
      <c r="E266" s="550"/>
      <c r="F266" s="550"/>
      <c r="G266" s="550"/>
      <c r="H266" s="550"/>
      <c r="I266" s="550"/>
      <c r="J266" s="550"/>
      <c r="K266" s="550"/>
      <c r="L266" s="550"/>
      <c r="M266" s="550"/>
      <c r="N266" s="550"/>
      <c r="O266" s="439"/>
      <c r="P266" s="439"/>
      <c r="Q266" s="674"/>
      <c r="R266" s="671"/>
      <c r="S266" s="671"/>
      <c r="T266" s="671"/>
      <c r="U266" s="671"/>
      <c r="V266" s="671"/>
      <c r="W266" s="671"/>
      <c r="X266" s="671"/>
      <c r="Y266" s="671"/>
      <c r="Z266" s="671"/>
      <c r="AA266" s="671"/>
      <c r="AB266" s="671"/>
      <c r="AC266" s="671"/>
      <c r="AD266" s="671"/>
      <c r="AE266" s="623"/>
      <c r="AF266" s="623"/>
      <c r="AG266" s="623"/>
      <c r="AH266" s="623"/>
      <c r="AI266" s="623"/>
      <c r="AJ266" s="623"/>
      <c r="AK266" s="623"/>
      <c r="AL266" s="623"/>
      <c r="AM266" s="623"/>
      <c r="AN266" s="623"/>
      <c r="AO266" s="623"/>
      <c r="AP266" s="623"/>
      <c r="AQ266" s="623"/>
      <c r="AR266" s="623"/>
      <c r="AS266" s="623"/>
      <c r="AT266" s="623"/>
      <c r="AU266" s="623"/>
      <c r="AV266" s="623"/>
      <c r="AW266" s="623"/>
      <c r="AX266" s="623"/>
      <c r="AY266" s="623"/>
      <c r="AZ266" s="623"/>
      <c r="BA266" s="623"/>
      <c r="BB266" s="623"/>
      <c r="BC266" s="623"/>
      <c r="BD266" s="623"/>
      <c r="BE266" s="623"/>
      <c r="BF266" s="623"/>
      <c r="BG266" s="623"/>
      <c r="BH266" s="623"/>
      <c r="BI266" s="623"/>
      <c r="BJ266" s="623"/>
      <c r="BK266" s="623"/>
      <c r="BL266" s="623"/>
      <c r="BM266" s="623"/>
      <c r="BN266" s="623"/>
      <c r="BO266" s="623"/>
      <c r="BP266" s="623"/>
      <c r="BQ266" s="623"/>
      <c r="BR266" s="623"/>
      <c r="BS266" s="623"/>
      <c r="BT266" s="623"/>
      <c r="BU266" s="623"/>
      <c r="BV266" s="623"/>
      <c r="BW266" s="623"/>
      <c r="BX266" s="623"/>
      <c r="BY266" s="623"/>
      <c r="BZ266" s="623"/>
      <c r="CA266" s="623"/>
      <c r="CB266" s="623"/>
      <c r="CC266" s="623"/>
      <c r="CD266" s="623"/>
      <c r="CE266" s="1669"/>
      <c r="CF266" s="623"/>
      <c r="CG266" s="623"/>
      <c r="CH266" s="623"/>
      <c r="CI266" s="623"/>
      <c r="CJ266" s="623"/>
      <c r="CK266" s="623"/>
      <c r="CL266" s="623"/>
      <c r="CM266" s="623"/>
      <c r="CN266" s="623"/>
      <c r="CO266" s="623"/>
      <c r="CP266" s="623"/>
      <c r="CQ266" s="623"/>
      <c r="CR266" s="623"/>
      <c r="CS266" s="623"/>
      <c r="CT266" s="623"/>
      <c r="CU266" s="623"/>
      <c r="CV266" s="623"/>
      <c r="CW266" s="623"/>
      <c r="CX266" s="623"/>
      <c r="CY266" s="817"/>
      <c r="CZ266" s="623"/>
      <c r="DA266" s="623"/>
      <c r="DB266" s="623"/>
      <c r="DC266" s="623"/>
      <c r="DD266" s="623"/>
      <c r="DE266" s="623"/>
      <c r="DF266" s="623"/>
      <c r="DG266" s="623"/>
      <c r="DH266" s="623"/>
      <c r="DI266" s="623"/>
      <c r="DJ266" s="623"/>
      <c r="DK266" s="623"/>
      <c r="DL266" s="623"/>
      <c r="DM266" s="623"/>
      <c r="DN266" s="623"/>
      <c r="DO266" s="623"/>
      <c r="DP266" s="623"/>
      <c r="DQ266" s="623"/>
      <c r="DR266" s="623"/>
      <c r="DS266" s="623"/>
      <c r="DT266" s="623"/>
      <c r="DU266" s="623"/>
      <c r="DV266" s="1675"/>
    </row>
    <row r="267" spans="1:256" ht="17.25" hidden="1" customHeight="1">
      <c r="A267" s="1676"/>
      <c r="B267" s="550"/>
      <c r="C267" s="550"/>
      <c r="D267" s="550"/>
      <c r="E267" s="550"/>
      <c r="F267" s="550"/>
      <c r="G267" s="550"/>
      <c r="H267" s="550"/>
      <c r="I267" s="550"/>
      <c r="J267" s="550"/>
      <c r="K267" s="550"/>
      <c r="L267" s="550"/>
      <c r="M267" s="550"/>
      <c r="N267" s="550"/>
      <c r="O267" s="439"/>
      <c r="P267" s="439"/>
      <c r="Q267" s="674"/>
      <c r="R267" s="671"/>
      <c r="S267" s="671"/>
      <c r="T267" s="671"/>
      <c r="U267" s="671"/>
      <c r="V267" s="671"/>
      <c r="W267" s="671"/>
      <c r="X267" s="671"/>
      <c r="Y267" s="671"/>
      <c r="Z267" s="671"/>
      <c r="AA267" s="671"/>
      <c r="AB267" s="671"/>
      <c r="AC267" s="671"/>
      <c r="AD267" s="671"/>
      <c r="AE267" s="623"/>
      <c r="AF267" s="623"/>
      <c r="AG267" s="623"/>
      <c r="AH267" s="623"/>
      <c r="AI267" s="623"/>
      <c r="AJ267" s="623"/>
      <c r="AK267" s="623"/>
      <c r="AL267" s="623"/>
      <c r="AM267" s="623"/>
      <c r="AN267" s="623"/>
      <c r="AO267" s="623"/>
      <c r="AP267" s="623"/>
      <c r="AQ267" s="623"/>
      <c r="AR267" s="623"/>
      <c r="AS267" s="623"/>
      <c r="AT267" s="623"/>
      <c r="AU267" s="623"/>
      <c r="AV267" s="623"/>
      <c r="AW267" s="623"/>
      <c r="AX267" s="623"/>
      <c r="AY267" s="623"/>
      <c r="AZ267" s="623"/>
      <c r="BA267" s="623"/>
      <c r="BB267" s="623"/>
      <c r="BC267" s="623"/>
      <c r="BD267" s="623"/>
      <c r="BE267" s="623"/>
      <c r="BF267" s="623"/>
      <c r="BG267" s="623"/>
      <c r="BH267" s="623"/>
      <c r="BI267" s="623"/>
      <c r="BJ267" s="623"/>
      <c r="BK267" s="623"/>
      <c r="BL267" s="623"/>
      <c r="BM267" s="623"/>
      <c r="BN267" s="623"/>
      <c r="BO267" s="623"/>
      <c r="BP267" s="623"/>
      <c r="BQ267" s="623"/>
      <c r="BR267" s="623"/>
      <c r="BS267" s="623"/>
      <c r="BT267" s="623"/>
      <c r="BU267" s="623"/>
      <c r="BV267" s="623"/>
      <c r="BW267" s="623"/>
      <c r="BX267" s="623"/>
      <c r="BY267" s="623"/>
      <c r="BZ267" s="623"/>
      <c r="CA267" s="623"/>
      <c r="CB267" s="623"/>
      <c r="CC267" s="623"/>
      <c r="CD267" s="623"/>
      <c r="CE267" s="1669"/>
      <c r="CF267" s="623"/>
      <c r="CG267" s="623"/>
      <c r="CH267" s="623"/>
      <c r="CI267" s="623"/>
      <c r="CJ267" s="623"/>
      <c r="CK267" s="623"/>
      <c r="CL267" s="623"/>
      <c r="CM267" s="623"/>
      <c r="CN267" s="623"/>
      <c r="CO267" s="623"/>
      <c r="CP267" s="623"/>
      <c r="CQ267" s="623"/>
      <c r="CR267" s="623"/>
      <c r="CS267" s="623"/>
      <c r="CT267" s="623"/>
      <c r="CU267" s="623"/>
      <c r="CV267" s="623"/>
      <c r="CW267" s="623"/>
      <c r="CX267" s="623"/>
      <c r="CY267" s="817"/>
      <c r="CZ267" s="623"/>
      <c r="DA267" s="623"/>
      <c r="DB267" s="623"/>
      <c r="DC267" s="623"/>
      <c r="DD267" s="623"/>
      <c r="DE267" s="623"/>
      <c r="DF267" s="623"/>
      <c r="DG267" s="623"/>
      <c r="DH267" s="623"/>
      <c r="DI267" s="623"/>
      <c r="DJ267" s="623"/>
      <c r="DK267" s="623"/>
      <c r="DL267" s="623"/>
      <c r="DM267" s="623"/>
      <c r="DN267" s="623"/>
      <c r="DO267" s="623"/>
      <c r="DP267" s="623"/>
      <c r="DQ267" s="623"/>
      <c r="DR267" s="623"/>
      <c r="DS267" s="623"/>
      <c r="DT267" s="623"/>
      <c r="DU267" s="623"/>
      <c r="DV267" s="1675"/>
    </row>
    <row r="268" spans="1:256" ht="17.25" hidden="1" customHeight="1">
      <c r="A268" s="1676"/>
      <c r="B268" s="550"/>
      <c r="C268" s="550"/>
      <c r="D268" s="550"/>
      <c r="E268" s="550"/>
      <c r="F268" s="550"/>
      <c r="G268" s="550"/>
      <c r="H268" s="550"/>
      <c r="I268" s="550"/>
      <c r="J268" s="550"/>
      <c r="K268" s="550"/>
      <c r="L268" s="550"/>
      <c r="M268" s="550"/>
      <c r="N268" s="550"/>
      <c r="O268" s="439"/>
      <c r="P268" s="439"/>
      <c r="Q268" s="674"/>
      <c r="R268" s="671"/>
      <c r="S268" s="671"/>
      <c r="T268" s="671"/>
      <c r="U268" s="671"/>
      <c r="V268" s="671"/>
      <c r="W268" s="671"/>
      <c r="X268" s="671"/>
      <c r="Y268" s="671"/>
      <c r="Z268" s="671"/>
      <c r="AA268" s="671"/>
      <c r="AB268" s="671"/>
      <c r="AC268" s="671"/>
      <c r="AD268" s="671"/>
      <c r="AE268" s="623"/>
      <c r="AF268" s="623"/>
      <c r="AG268" s="623"/>
      <c r="AH268" s="623"/>
      <c r="AI268" s="623"/>
      <c r="AJ268" s="623"/>
      <c r="AK268" s="623"/>
      <c r="AL268" s="623"/>
      <c r="AM268" s="623"/>
      <c r="AN268" s="623"/>
      <c r="AO268" s="623"/>
      <c r="AP268" s="623"/>
      <c r="AQ268" s="623"/>
      <c r="AR268" s="623"/>
      <c r="AS268" s="623"/>
      <c r="AT268" s="623"/>
      <c r="AU268" s="623"/>
      <c r="AV268" s="623"/>
      <c r="AW268" s="623"/>
      <c r="AX268" s="623"/>
      <c r="AY268" s="623"/>
      <c r="AZ268" s="623"/>
      <c r="BA268" s="623"/>
      <c r="BB268" s="623"/>
      <c r="BC268" s="623"/>
      <c r="BD268" s="623"/>
      <c r="BE268" s="623"/>
      <c r="BF268" s="623"/>
      <c r="BG268" s="623"/>
      <c r="BH268" s="623"/>
      <c r="BI268" s="623"/>
      <c r="BJ268" s="623"/>
      <c r="BK268" s="623"/>
      <c r="BL268" s="623"/>
      <c r="BM268" s="623"/>
      <c r="BN268" s="623"/>
      <c r="BO268" s="623"/>
      <c r="BP268" s="623"/>
      <c r="BQ268" s="623"/>
      <c r="BR268" s="623"/>
      <c r="BS268" s="623"/>
      <c r="BT268" s="623"/>
      <c r="BU268" s="623"/>
      <c r="BV268" s="623"/>
      <c r="BW268" s="623"/>
      <c r="BX268" s="623"/>
      <c r="BY268" s="623"/>
      <c r="BZ268" s="623"/>
      <c r="CA268" s="623"/>
      <c r="CB268" s="623"/>
      <c r="CC268" s="623"/>
      <c r="CD268" s="623"/>
      <c r="CE268" s="1669"/>
      <c r="CF268" s="623"/>
      <c r="CG268" s="623"/>
      <c r="CH268" s="623"/>
      <c r="CI268" s="623"/>
      <c r="CJ268" s="623"/>
      <c r="CK268" s="623"/>
      <c r="CL268" s="623"/>
      <c r="CM268" s="623"/>
      <c r="CN268" s="623"/>
      <c r="CO268" s="623"/>
      <c r="CP268" s="623"/>
      <c r="CQ268" s="623"/>
      <c r="CR268" s="623"/>
      <c r="CS268" s="623"/>
      <c r="CT268" s="623"/>
      <c r="CU268" s="623"/>
      <c r="CV268" s="623"/>
      <c r="CW268" s="623"/>
      <c r="CX268" s="623"/>
      <c r="CY268" s="817"/>
      <c r="CZ268" s="623"/>
      <c r="DA268" s="623"/>
      <c r="DB268" s="623"/>
      <c r="DC268" s="623"/>
      <c r="DD268" s="623"/>
      <c r="DE268" s="623"/>
      <c r="DF268" s="623"/>
      <c r="DG268" s="623"/>
      <c r="DH268" s="623"/>
      <c r="DI268" s="623"/>
      <c r="DJ268" s="623"/>
      <c r="DK268" s="623"/>
      <c r="DL268" s="623"/>
      <c r="DM268" s="623"/>
      <c r="DN268" s="623"/>
      <c r="DO268" s="623"/>
      <c r="DP268" s="623"/>
      <c r="DQ268" s="623"/>
      <c r="DR268" s="623"/>
      <c r="DS268" s="623"/>
      <c r="DT268" s="623"/>
      <c r="DU268" s="623"/>
      <c r="DV268" s="1675"/>
    </row>
    <row r="269" spans="1:256" ht="17.25" hidden="1" customHeight="1">
      <c r="A269" s="1676"/>
      <c r="B269" s="550"/>
      <c r="C269" s="550"/>
      <c r="D269" s="550"/>
      <c r="E269" s="550"/>
      <c r="F269" s="550"/>
      <c r="G269" s="550"/>
      <c r="H269" s="550"/>
      <c r="I269" s="550"/>
      <c r="J269" s="550"/>
      <c r="K269" s="550"/>
      <c r="L269" s="550"/>
      <c r="M269" s="550"/>
      <c r="N269" s="550"/>
      <c r="O269" s="439"/>
      <c r="P269" s="439"/>
      <c r="Q269" s="674"/>
      <c r="R269" s="671"/>
      <c r="S269" s="671"/>
      <c r="T269" s="671"/>
      <c r="U269" s="671"/>
      <c r="V269" s="671"/>
      <c r="W269" s="671"/>
      <c r="X269" s="671"/>
      <c r="Y269" s="671"/>
      <c r="Z269" s="671"/>
      <c r="AA269" s="671"/>
      <c r="AB269" s="671"/>
      <c r="AC269" s="671"/>
      <c r="AD269" s="671"/>
      <c r="AE269" s="623"/>
      <c r="AF269" s="623"/>
      <c r="AG269" s="623"/>
      <c r="AH269" s="623"/>
      <c r="AI269" s="623"/>
      <c r="AJ269" s="623"/>
      <c r="AK269" s="623"/>
      <c r="AL269" s="623"/>
      <c r="AM269" s="623"/>
      <c r="AN269" s="623"/>
      <c r="AO269" s="623"/>
      <c r="AP269" s="623"/>
      <c r="AQ269" s="623"/>
      <c r="AR269" s="623"/>
      <c r="AS269" s="623"/>
      <c r="AT269" s="623"/>
      <c r="AU269" s="623"/>
      <c r="AV269" s="623"/>
      <c r="AW269" s="623"/>
      <c r="AX269" s="623"/>
      <c r="AY269" s="623"/>
      <c r="AZ269" s="623"/>
      <c r="BA269" s="623"/>
      <c r="BB269" s="623"/>
      <c r="BC269" s="623"/>
      <c r="BD269" s="623"/>
      <c r="BE269" s="623"/>
      <c r="BF269" s="623"/>
      <c r="BG269" s="623"/>
      <c r="BH269" s="623"/>
      <c r="BI269" s="623"/>
      <c r="BJ269" s="623"/>
      <c r="BK269" s="623"/>
      <c r="BL269" s="623"/>
      <c r="BM269" s="623"/>
      <c r="BN269" s="623"/>
      <c r="BO269" s="623"/>
      <c r="BP269" s="623"/>
      <c r="BQ269" s="623"/>
      <c r="BR269" s="623"/>
      <c r="BS269" s="623"/>
      <c r="BT269" s="623"/>
      <c r="BU269" s="623"/>
      <c r="BV269" s="623"/>
      <c r="BW269" s="623"/>
      <c r="BX269" s="623"/>
      <c r="BY269" s="623"/>
      <c r="BZ269" s="623"/>
      <c r="CA269" s="623"/>
      <c r="CB269" s="623"/>
      <c r="CC269" s="623"/>
      <c r="CD269" s="623"/>
      <c r="CE269" s="1669"/>
      <c r="CF269" s="623"/>
      <c r="CG269" s="623"/>
      <c r="CH269" s="623"/>
      <c r="CI269" s="623"/>
      <c r="CJ269" s="623"/>
      <c r="CK269" s="623"/>
      <c r="CL269" s="623"/>
      <c r="CM269" s="623"/>
      <c r="CN269" s="623"/>
      <c r="CO269" s="623"/>
      <c r="CP269" s="623"/>
      <c r="CQ269" s="623"/>
      <c r="CR269" s="623"/>
      <c r="CS269" s="623"/>
      <c r="CT269" s="623"/>
      <c r="CU269" s="623"/>
      <c r="CV269" s="623"/>
      <c r="CW269" s="623"/>
      <c r="CX269" s="623"/>
      <c r="CY269" s="817"/>
      <c r="CZ269" s="623"/>
      <c r="DA269" s="623"/>
      <c r="DB269" s="623"/>
      <c r="DC269" s="623"/>
      <c r="DD269" s="623"/>
      <c r="DE269" s="623"/>
      <c r="DF269" s="623"/>
      <c r="DG269" s="623"/>
      <c r="DH269" s="623"/>
      <c r="DI269" s="623"/>
      <c r="DJ269" s="623"/>
      <c r="DK269" s="623"/>
      <c r="DL269" s="623"/>
      <c r="DM269" s="623"/>
      <c r="DN269" s="623"/>
      <c r="DO269" s="623"/>
      <c r="DP269" s="623"/>
      <c r="DQ269" s="623"/>
      <c r="DR269" s="623"/>
      <c r="DS269" s="623"/>
      <c r="DT269" s="623"/>
      <c r="DU269" s="623"/>
      <c r="DV269" s="1675"/>
    </row>
    <row r="270" spans="1:256" ht="17.25" hidden="1" customHeight="1">
      <c r="A270" s="1676"/>
      <c r="B270" s="550"/>
      <c r="C270" s="550"/>
      <c r="D270" s="550"/>
      <c r="E270" s="550"/>
      <c r="F270" s="550"/>
      <c r="G270" s="550"/>
      <c r="H270" s="550"/>
      <c r="I270" s="550"/>
      <c r="J270" s="550"/>
      <c r="K270" s="550"/>
      <c r="L270" s="550"/>
      <c r="M270" s="550"/>
      <c r="N270" s="550"/>
      <c r="O270" s="439"/>
      <c r="P270" s="439"/>
      <c r="Q270" s="674"/>
      <c r="R270" s="671"/>
      <c r="S270" s="671"/>
      <c r="T270" s="671"/>
      <c r="U270" s="671"/>
      <c r="V270" s="671"/>
      <c r="W270" s="671"/>
      <c r="X270" s="671"/>
      <c r="Y270" s="671"/>
      <c r="Z270" s="671"/>
      <c r="AA270" s="671"/>
      <c r="AB270" s="671"/>
      <c r="AC270" s="671"/>
      <c r="AD270" s="671"/>
      <c r="AE270" s="623"/>
      <c r="AF270" s="623"/>
      <c r="AG270" s="623"/>
      <c r="AH270" s="623"/>
      <c r="AI270" s="623"/>
      <c r="AJ270" s="623"/>
      <c r="AK270" s="623"/>
      <c r="AL270" s="623"/>
      <c r="AM270" s="623"/>
      <c r="AN270" s="623"/>
      <c r="AO270" s="623"/>
      <c r="AP270" s="623"/>
      <c r="AQ270" s="623"/>
      <c r="AR270" s="623"/>
      <c r="AS270" s="623"/>
      <c r="AT270" s="623"/>
      <c r="AU270" s="623"/>
      <c r="AV270" s="623"/>
      <c r="AW270" s="623"/>
      <c r="AX270" s="623"/>
      <c r="AY270" s="623"/>
      <c r="AZ270" s="623"/>
      <c r="BA270" s="623"/>
      <c r="BB270" s="623"/>
      <c r="BC270" s="623"/>
      <c r="BD270" s="623"/>
      <c r="BE270" s="623"/>
      <c r="BF270" s="623"/>
      <c r="BG270" s="623"/>
      <c r="BH270" s="623"/>
      <c r="BI270" s="623"/>
      <c r="BJ270" s="623"/>
      <c r="BK270" s="623"/>
      <c r="BL270" s="623"/>
      <c r="BM270" s="623"/>
      <c r="BN270" s="623"/>
      <c r="BO270" s="623"/>
      <c r="BP270" s="623"/>
      <c r="BQ270" s="623"/>
      <c r="BR270" s="623"/>
      <c r="BS270" s="623"/>
      <c r="BT270" s="623"/>
      <c r="BU270" s="623"/>
      <c r="BV270" s="623"/>
      <c r="BW270" s="623"/>
      <c r="BX270" s="623"/>
      <c r="BY270" s="623"/>
      <c r="BZ270" s="623"/>
      <c r="CA270" s="623"/>
      <c r="CB270" s="623"/>
      <c r="CC270" s="623"/>
      <c r="CD270" s="623"/>
      <c r="CE270" s="1669"/>
      <c r="CF270" s="623"/>
      <c r="CG270" s="623"/>
      <c r="CH270" s="623"/>
      <c r="CI270" s="623"/>
      <c r="CJ270" s="623"/>
      <c r="CK270" s="623"/>
      <c r="CL270" s="623"/>
      <c r="CM270" s="623"/>
      <c r="CN270" s="623"/>
      <c r="CO270" s="623"/>
      <c r="CP270" s="623"/>
      <c r="CQ270" s="623"/>
      <c r="CR270" s="623"/>
      <c r="CS270" s="623"/>
      <c r="CT270" s="623"/>
      <c r="CU270" s="623"/>
      <c r="CV270" s="623"/>
      <c r="CW270" s="623"/>
      <c r="CX270" s="623"/>
      <c r="CY270" s="817"/>
      <c r="CZ270" s="623"/>
      <c r="DA270" s="623"/>
      <c r="DB270" s="623"/>
      <c r="DC270" s="623"/>
      <c r="DD270" s="623"/>
      <c r="DE270" s="623"/>
      <c r="DF270" s="623"/>
      <c r="DG270" s="623"/>
      <c r="DH270" s="623"/>
      <c r="DI270" s="623"/>
      <c r="DJ270" s="623"/>
      <c r="DK270" s="623"/>
      <c r="DL270" s="623"/>
      <c r="DM270" s="623"/>
      <c r="DN270" s="623"/>
      <c r="DO270" s="623"/>
      <c r="DP270" s="623"/>
      <c r="DQ270" s="623"/>
      <c r="DR270" s="623"/>
      <c r="DS270" s="623"/>
      <c r="DT270" s="623"/>
      <c r="DU270" s="623"/>
      <c r="DV270" s="1675"/>
    </row>
    <row r="271" spans="1:256" ht="17.25" hidden="1" customHeight="1">
      <c r="A271" s="1676"/>
      <c r="B271" s="550"/>
      <c r="C271" s="550"/>
      <c r="D271" s="550"/>
      <c r="E271" s="550"/>
      <c r="F271" s="550"/>
      <c r="G271" s="550"/>
      <c r="H271" s="550"/>
      <c r="I271" s="550"/>
      <c r="J271" s="550"/>
      <c r="K271" s="550"/>
      <c r="L271" s="550"/>
      <c r="M271" s="550"/>
      <c r="N271" s="550"/>
      <c r="O271" s="439"/>
      <c r="P271" s="439"/>
      <c r="Q271" s="674"/>
      <c r="R271" s="671"/>
      <c r="S271" s="671"/>
      <c r="T271" s="671"/>
      <c r="U271" s="671"/>
      <c r="V271" s="671"/>
      <c r="W271" s="671"/>
      <c r="X271" s="671"/>
      <c r="Y271" s="671"/>
      <c r="Z271" s="671"/>
      <c r="AA271" s="671"/>
      <c r="AB271" s="671"/>
      <c r="AC271" s="671"/>
      <c r="AD271" s="671"/>
      <c r="AE271" s="623"/>
      <c r="AF271" s="623"/>
      <c r="AG271" s="623"/>
      <c r="AH271" s="623"/>
      <c r="AI271" s="623"/>
      <c r="AJ271" s="623"/>
      <c r="AK271" s="623"/>
      <c r="AL271" s="623"/>
      <c r="AM271" s="623"/>
      <c r="AN271" s="623"/>
      <c r="AO271" s="623"/>
      <c r="AP271" s="623"/>
      <c r="AQ271" s="623"/>
      <c r="AR271" s="623"/>
      <c r="AS271" s="623"/>
      <c r="AT271" s="623"/>
      <c r="AU271" s="623"/>
      <c r="AV271" s="623"/>
      <c r="AW271" s="623"/>
      <c r="AX271" s="623"/>
      <c r="AY271" s="623"/>
      <c r="AZ271" s="623"/>
      <c r="BA271" s="623"/>
      <c r="BB271" s="623"/>
      <c r="BC271" s="623"/>
      <c r="BD271" s="623"/>
      <c r="BE271" s="623"/>
      <c r="BF271" s="623"/>
      <c r="BG271" s="623"/>
      <c r="BH271" s="623"/>
      <c r="BI271" s="623"/>
      <c r="BJ271" s="623"/>
      <c r="BK271" s="623"/>
      <c r="BL271" s="623"/>
      <c r="BM271" s="623"/>
      <c r="BN271" s="623"/>
      <c r="BO271" s="623"/>
      <c r="BP271" s="623"/>
      <c r="BQ271" s="623"/>
      <c r="BR271" s="623"/>
      <c r="BS271" s="623"/>
      <c r="BT271" s="623"/>
      <c r="BU271" s="623"/>
      <c r="BV271" s="623"/>
      <c r="BW271" s="623"/>
      <c r="BX271" s="623"/>
      <c r="BY271" s="623"/>
      <c r="BZ271" s="623"/>
      <c r="CA271" s="623"/>
      <c r="CB271" s="623"/>
      <c r="CC271" s="623"/>
      <c r="CD271" s="623"/>
      <c r="CE271" s="1669"/>
      <c r="CF271" s="623"/>
      <c r="CG271" s="623"/>
      <c r="CH271" s="623"/>
      <c r="CI271" s="623"/>
      <c r="CJ271" s="623"/>
      <c r="CK271" s="623"/>
      <c r="CL271" s="623"/>
      <c r="CM271" s="623"/>
      <c r="CN271" s="623"/>
      <c r="CO271" s="623"/>
      <c r="CP271" s="623"/>
      <c r="CQ271" s="623"/>
      <c r="CR271" s="623"/>
      <c r="CS271" s="623"/>
      <c r="CT271" s="623"/>
      <c r="CU271" s="623"/>
      <c r="CV271" s="623"/>
      <c r="CW271" s="623"/>
      <c r="CX271" s="623"/>
      <c r="CY271" s="817"/>
      <c r="CZ271" s="623"/>
      <c r="DA271" s="623"/>
      <c r="DB271" s="623"/>
      <c r="DC271" s="623"/>
      <c r="DD271" s="623"/>
      <c r="DE271" s="623"/>
      <c r="DF271" s="623"/>
      <c r="DG271" s="623"/>
      <c r="DH271" s="623"/>
      <c r="DI271" s="623"/>
      <c r="DJ271" s="623"/>
      <c r="DK271" s="623"/>
      <c r="DL271" s="623"/>
      <c r="DM271" s="623"/>
      <c r="DN271" s="623"/>
      <c r="DO271" s="623"/>
      <c r="DP271" s="623"/>
      <c r="DQ271" s="623"/>
      <c r="DR271" s="623"/>
      <c r="DS271" s="623"/>
      <c r="DT271" s="623"/>
      <c r="DU271" s="623"/>
      <c r="DV271" s="1675"/>
    </row>
    <row r="272" spans="1:256" ht="17.25" hidden="1" customHeight="1">
      <c r="A272" s="1676"/>
      <c r="B272" s="550"/>
      <c r="C272" s="550"/>
      <c r="D272" s="550"/>
      <c r="E272" s="550"/>
      <c r="F272" s="550"/>
      <c r="G272" s="550"/>
      <c r="H272" s="550"/>
      <c r="I272" s="550"/>
      <c r="J272" s="550"/>
      <c r="K272" s="550"/>
      <c r="L272" s="550"/>
      <c r="M272" s="550"/>
      <c r="N272" s="550"/>
      <c r="O272" s="439"/>
      <c r="P272" s="439"/>
      <c r="Q272" s="674"/>
      <c r="R272" s="671"/>
      <c r="S272" s="671"/>
      <c r="T272" s="671"/>
      <c r="U272" s="671"/>
      <c r="V272" s="671"/>
      <c r="W272" s="671"/>
      <c r="X272" s="671"/>
      <c r="Y272" s="671"/>
      <c r="Z272" s="671"/>
      <c r="AA272" s="671"/>
      <c r="AB272" s="671"/>
      <c r="AC272" s="671"/>
      <c r="AD272" s="671"/>
      <c r="AE272" s="623"/>
      <c r="AF272" s="623"/>
      <c r="AG272" s="623"/>
      <c r="AH272" s="623"/>
      <c r="AI272" s="623"/>
      <c r="AJ272" s="623"/>
      <c r="AK272" s="623"/>
      <c r="AL272" s="623"/>
      <c r="AM272" s="623"/>
      <c r="AN272" s="623"/>
      <c r="AO272" s="623"/>
      <c r="AP272" s="623"/>
      <c r="AQ272" s="623"/>
      <c r="AR272" s="623"/>
      <c r="AS272" s="623"/>
      <c r="AT272" s="623"/>
      <c r="AU272" s="623"/>
      <c r="AV272" s="623"/>
      <c r="AW272" s="623"/>
      <c r="AX272" s="623"/>
      <c r="AY272" s="623"/>
      <c r="AZ272" s="623"/>
      <c r="BA272" s="623"/>
      <c r="BB272" s="623"/>
      <c r="BC272" s="623"/>
      <c r="BD272" s="623"/>
      <c r="BE272" s="623"/>
      <c r="BF272" s="623"/>
      <c r="BG272" s="623"/>
      <c r="BH272" s="623"/>
      <c r="BI272" s="623"/>
      <c r="BJ272" s="623"/>
      <c r="BK272" s="623"/>
      <c r="BL272" s="623"/>
      <c r="BM272" s="623"/>
      <c r="BN272" s="623"/>
      <c r="BO272" s="623"/>
      <c r="BP272" s="623"/>
      <c r="BQ272" s="623"/>
      <c r="BR272" s="623"/>
      <c r="BS272" s="623"/>
      <c r="BT272" s="623"/>
      <c r="BU272" s="623"/>
      <c r="BV272" s="623"/>
      <c r="BW272" s="623"/>
      <c r="BX272" s="623"/>
      <c r="BY272" s="623"/>
      <c r="BZ272" s="623"/>
      <c r="CA272" s="623"/>
      <c r="CB272" s="623"/>
      <c r="CC272" s="623"/>
      <c r="CD272" s="623"/>
      <c r="CE272" s="1669"/>
      <c r="CF272" s="623"/>
      <c r="CG272" s="623"/>
      <c r="CH272" s="623"/>
      <c r="CI272" s="623"/>
      <c r="CJ272" s="623"/>
      <c r="CK272" s="623"/>
      <c r="CL272" s="623"/>
      <c r="CM272" s="623"/>
      <c r="CN272" s="623"/>
      <c r="CO272" s="623"/>
      <c r="CP272" s="623"/>
      <c r="CQ272" s="623"/>
      <c r="CR272" s="623"/>
      <c r="CS272" s="623"/>
      <c r="CT272" s="623"/>
      <c r="CU272" s="623"/>
      <c r="CV272" s="623"/>
      <c r="CW272" s="623"/>
      <c r="CX272" s="623"/>
      <c r="CY272" s="817"/>
      <c r="CZ272" s="623"/>
      <c r="DA272" s="623"/>
      <c r="DB272" s="623"/>
      <c r="DC272" s="623"/>
      <c r="DD272" s="623"/>
      <c r="DE272" s="623"/>
      <c r="DF272" s="623"/>
      <c r="DG272" s="623"/>
      <c r="DH272" s="623"/>
      <c r="DI272" s="623"/>
      <c r="DJ272" s="623"/>
      <c r="DK272" s="623"/>
      <c r="DL272" s="623"/>
      <c r="DM272" s="623"/>
      <c r="DN272" s="623"/>
      <c r="DO272" s="623"/>
      <c r="DP272" s="623"/>
      <c r="DQ272" s="623"/>
      <c r="DR272" s="623"/>
      <c r="DS272" s="623"/>
      <c r="DT272" s="623"/>
      <c r="DU272" s="623"/>
      <c r="DV272" s="1675"/>
    </row>
    <row r="273" spans="1:256" ht="17.25" hidden="1" customHeight="1">
      <c r="A273" s="1676"/>
      <c r="B273" s="550"/>
      <c r="C273" s="550"/>
      <c r="D273" s="550"/>
      <c r="E273" s="550"/>
      <c r="F273" s="550"/>
      <c r="G273" s="550"/>
      <c r="H273" s="550"/>
      <c r="I273" s="550"/>
      <c r="J273" s="550"/>
      <c r="K273" s="550"/>
      <c r="L273" s="550"/>
      <c r="M273" s="550"/>
      <c r="N273" s="550"/>
      <c r="O273" s="439"/>
      <c r="P273" s="439"/>
      <c r="Q273" s="674"/>
      <c r="R273" s="671"/>
      <c r="S273" s="671"/>
      <c r="T273" s="671"/>
      <c r="U273" s="671"/>
      <c r="V273" s="671"/>
      <c r="W273" s="671"/>
      <c r="X273" s="671"/>
      <c r="Y273" s="671"/>
      <c r="Z273" s="671"/>
      <c r="AA273" s="671"/>
      <c r="AB273" s="671"/>
      <c r="AC273" s="671"/>
      <c r="AD273" s="671"/>
      <c r="AE273" s="623"/>
      <c r="AF273" s="623"/>
      <c r="AG273" s="623"/>
      <c r="AH273" s="623"/>
      <c r="AI273" s="623"/>
      <c r="AJ273" s="623"/>
      <c r="AK273" s="623"/>
      <c r="AL273" s="623"/>
      <c r="AM273" s="623"/>
      <c r="AN273" s="623"/>
      <c r="AO273" s="623"/>
      <c r="AP273" s="623"/>
      <c r="AQ273" s="623"/>
      <c r="AR273" s="623"/>
      <c r="AS273" s="623"/>
      <c r="AT273" s="623"/>
      <c r="AU273" s="623"/>
      <c r="AV273" s="623"/>
      <c r="AW273" s="623"/>
      <c r="AX273" s="623"/>
      <c r="AY273" s="623"/>
      <c r="AZ273" s="623"/>
      <c r="BA273" s="623"/>
      <c r="BB273" s="623"/>
      <c r="BC273" s="623"/>
      <c r="BD273" s="623"/>
      <c r="BE273" s="623"/>
      <c r="BF273" s="623"/>
      <c r="BG273" s="623"/>
      <c r="BH273" s="623"/>
      <c r="BI273" s="623"/>
      <c r="BJ273" s="623"/>
      <c r="BK273" s="623"/>
      <c r="BL273" s="623"/>
      <c r="BM273" s="623"/>
      <c r="BN273" s="623"/>
      <c r="BO273" s="623"/>
      <c r="BP273" s="623"/>
      <c r="BQ273" s="623"/>
      <c r="BR273" s="623"/>
      <c r="BS273" s="623"/>
      <c r="BT273" s="623"/>
      <c r="BU273" s="623"/>
      <c r="BV273" s="623"/>
      <c r="BW273" s="623"/>
      <c r="BX273" s="623"/>
      <c r="BY273" s="623"/>
      <c r="BZ273" s="623"/>
      <c r="CA273" s="623"/>
      <c r="CB273" s="623"/>
      <c r="CC273" s="623"/>
      <c r="CD273" s="623"/>
      <c r="CE273" s="1669"/>
      <c r="CF273" s="623"/>
      <c r="CG273" s="623"/>
      <c r="CH273" s="623"/>
      <c r="CI273" s="623"/>
      <c r="CJ273" s="623"/>
      <c r="CK273" s="623"/>
      <c r="CL273" s="623"/>
      <c r="CM273" s="623"/>
      <c r="CN273" s="623"/>
      <c r="CO273" s="623"/>
      <c r="CP273" s="623"/>
      <c r="CQ273" s="623"/>
      <c r="CR273" s="623"/>
      <c r="CS273" s="623"/>
      <c r="CT273" s="623"/>
      <c r="CU273" s="623"/>
      <c r="CV273" s="623"/>
      <c r="CW273" s="623"/>
      <c r="CX273" s="623"/>
      <c r="CY273" s="817"/>
      <c r="CZ273" s="623"/>
      <c r="DA273" s="623"/>
      <c r="DB273" s="623"/>
      <c r="DC273" s="623"/>
      <c r="DD273" s="623"/>
      <c r="DE273" s="623"/>
      <c r="DF273" s="623"/>
      <c r="DG273" s="623"/>
      <c r="DH273" s="623"/>
      <c r="DI273" s="623"/>
      <c r="DJ273" s="623"/>
      <c r="DK273" s="623"/>
      <c r="DL273" s="623"/>
      <c r="DM273" s="623"/>
      <c r="DN273" s="623"/>
      <c r="DO273" s="623"/>
      <c r="DP273" s="623"/>
      <c r="DQ273" s="623"/>
      <c r="DR273" s="623"/>
      <c r="DS273" s="623"/>
      <c r="DT273" s="623"/>
      <c r="DU273" s="623"/>
      <c r="DV273" s="1675"/>
    </row>
    <row r="274" spans="1:256" s="678" customFormat="1" ht="17.25" hidden="1" customHeight="1">
      <c r="A274" s="1676"/>
      <c r="B274" s="550"/>
      <c r="C274" s="550"/>
      <c r="D274" s="550"/>
      <c r="E274" s="550"/>
      <c r="F274" s="550"/>
      <c r="G274" s="550"/>
      <c r="H274" s="550"/>
      <c r="I274" s="550"/>
      <c r="J274" s="676"/>
      <c r="K274" s="550"/>
      <c r="L274" s="550"/>
      <c r="M274" s="550"/>
      <c r="N274" s="550"/>
      <c r="O274" s="439"/>
      <c r="P274" s="439"/>
      <c r="Q274" s="674"/>
      <c r="R274" s="671"/>
      <c r="S274" s="671"/>
      <c r="T274" s="671"/>
      <c r="U274" s="671"/>
      <c r="V274" s="671"/>
      <c r="W274" s="671"/>
      <c r="X274" s="671"/>
      <c r="Y274" s="671"/>
      <c r="Z274" s="671"/>
      <c r="AA274" s="671"/>
      <c r="AB274" s="671"/>
      <c r="AC274" s="671"/>
      <c r="AD274" s="671"/>
      <c r="AE274" s="623"/>
      <c r="AF274" s="623"/>
      <c r="AG274" s="623"/>
      <c r="AH274" s="623"/>
      <c r="AI274" s="623"/>
      <c r="AJ274" s="623"/>
      <c r="AK274" s="623"/>
      <c r="AL274" s="623"/>
      <c r="AM274" s="623"/>
      <c r="AN274" s="623"/>
      <c r="AO274" s="623"/>
      <c r="AP274" s="623"/>
      <c r="AQ274" s="623"/>
      <c r="AR274" s="623"/>
      <c r="AS274" s="623"/>
      <c r="AT274" s="623"/>
      <c r="AU274" s="623"/>
      <c r="AV274" s="623"/>
      <c r="AW274" s="623"/>
      <c r="AX274" s="623"/>
      <c r="AY274" s="623"/>
      <c r="AZ274" s="623"/>
      <c r="BA274" s="623"/>
      <c r="BB274" s="623"/>
      <c r="BC274" s="623"/>
      <c r="BD274" s="623"/>
      <c r="BE274" s="623"/>
      <c r="BF274" s="623"/>
      <c r="BG274" s="623"/>
      <c r="BH274" s="623"/>
      <c r="BI274" s="623"/>
      <c r="BJ274" s="623"/>
      <c r="BK274" s="623"/>
      <c r="BL274" s="623"/>
      <c r="BM274" s="623"/>
      <c r="BN274" s="623"/>
      <c r="BO274" s="623"/>
      <c r="BP274" s="623"/>
      <c r="BQ274" s="623"/>
      <c r="BR274" s="623"/>
      <c r="BS274" s="623"/>
      <c r="BT274" s="623"/>
      <c r="BU274" s="623"/>
      <c r="BV274" s="623"/>
      <c r="BW274" s="623"/>
      <c r="BX274" s="623"/>
      <c r="BY274" s="623"/>
      <c r="BZ274" s="623"/>
      <c r="CA274" s="623"/>
      <c r="CB274" s="623"/>
      <c r="CC274" s="623"/>
      <c r="CD274" s="623"/>
      <c r="CE274" s="1669"/>
      <c r="CF274" s="623"/>
      <c r="CG274" s="623"/>
      <c r="CH274" s="623"/>
      <c r="CI274" s="623"/>
      <c r="CJ274" s="623"/>
      <c r="CK274" s="623"/>
      <c r="CL274" s="623"/>
      <c r="CM274" s="623"/>
      <c r="CN274" s="623"/>
      <c r="CO274" s="623"/>
      <c r="CP274" s="623"/>
      <c r="CQ274" s="623"/>
      <c r="CR274" s="623"/>
      <c r="CS274" s="623"/>
      <c r="CT274" s="623"/>
      <c r="CU274" s="623"/>
      <c r="CV274" s="623"/>
      <c r="CW274" s="623"/>
      <c r="CX274" s="623"/>
      <c r="CY274" s="817"/>
      <c r="CZ274" s="623"/>
      <c r="DA274" s="623"/>
      <c r="DB274" s="623"/>
      <c r="DC274" s="623"/>
      <c r="DD274" s="623"/>
      <c r="DE274" s="623"/>
      <c r="DF274" s="623"/>
      <c r="DG274" s="623"/>
      <c r="DH274" s="623"/>
      <c r="DI274" s="623"/>
      <c r="DJ274" s="623"/>
      <c r="DK274" s="623"/>
      <c r="DL274" s="623"/>
      <c r="DM274" s="623"/>
      <c r="DN274" s="623"/>
      <c r="DO274" s="623"/>
      <c r="DP274" s="623"/>
      <c r="DQ274" s="623"/>
      <c r="DR274" s="623"/>
      <c r="DS274" s="623"/>
      <c r="DT274" s="623"/>
      <c r="DU274" s="623"/>
      <c r="DV274" s="1675"/>
      <c r="DW274" s="530"/>
      <c r="DX274" s="530"/>
      <c r="DY274" s="530"/>
      <c r="DZ274" s="530"/>
      <c r="EA274" s="530"/>
      <c r="EB274" s="530"/>
      <c r="EC274" s="530"/>
      <c r="ED274" s="530"/>
      <c r="EE274" s="530"/>
      <c r="EF274" s="530"/>
      <c r="EG274" s="530"/>
      <c r="EH274" s="530"/>
      <c r="EI274" s="530"/>
      <c r="EJ274" s="530"/>
      <c r="EK274" s="530"/>
      <c r="EL274" s="530"/>
      <c r="EM274" s="530"/>
      <c r="EN274" s="530"/>
      <c r="EO274" s="530"/>
      <c r="EP274" s="530"/>
      <c r="EQ274" s="530"/>
      <c r="ER274" s="530"/>
      <c r="ES274" s="530"/>
      <c r="ET274" s="530"/>
      <c r="EU274" s="530"/>
      <c r="EV274" s="530"/>
      <c r="EW274" s="530"/>
      <c r="EX274" s="530"/>
      <c r="EY274" s="530"/>
      <c r="EZ274" s="530"/>
      <c r="FA274" s="530"/>
      <c r="FB274" s="530"/>
      <c r="FC274" s="530"/>
      <c r="FD274" s="530"/>
      <c r="FE274" s="530"/>
      <c r="FF274" s="530"/>
      <c r="FG274" s="530"/>
      <c r="FH274" s="530"/>
      <c r="FI274" s="530"/>
      <c r="FJ274" s="530"/>
      <c r="FK274" s="530"/>
      <c r="FL274" s="530"/>
      <c r="FM274" s="530"/>
      <c r="FN274" s="530"/>
      <c r="FO274" s="530"/>
      <c r="FP274" s="530"/>
      <c r="FQ274" s="530"/>
      <c r="FR274" s="530"/>
      <c r="FS274" s="530"/>
      <c r="FT274" s="530"/>
      <c r="FU274" s="530"/>
      <c r="FV274" s="530"/>
      <c r="FW274" s="530"/>
      <c r="FX274" s="530"/>
      <c r="FY274" s="530"/>
      <c r="FZ274" s="530"/>
      <c r="GA274" s="530"/>
      <c r="GB274" s="530"/>
      <c r="GC274" s="530"/>
      <c r="GD274" s="530"/>
      <c r="GE274" s="530"/>
      <c r="GF274" s="530"/>
      <c r="GG274" s="530"/>
      <c r="GH274" s="530"/>
      <c r="GI274" s="530"/>
      <c r="GJ274" s="530"/>
      <c r="GK274" s="530"/>
      <c r="GL274" s="530"/>
      <c r="GM274" s="530"/>
      <c r="GN274" s="530"/>
      <c r="GO274" s="530"/>
      <c r="GP274" s="530"/>
      <c r="GQ274" s="530"/>
      <c r="GR274" s="530"/>
      <c r="GS274" s="530"/>
      <c r="GT274" s="530"/>
      <c r="GU274" s="530"/>
      <c r="GV274" s="530"/>
      <c r="GW274" s="530"/>
      <c r="GX274" s="530"/>
      <c r="GY274" s="530"/>
      <c r="GZ274" s="530"/>
      <c r="HA274" s="530"/>
      <c r="HB274" s="530"/>
      <c r="HC274" s="530"/>
      <c r="HD274" s="530"/>
      <c r="HE274" s="530"/>
      <c r="HF274" s="530"/>
      <c r="HG274" s="530"/>
      <c r="HH274" s="530"/>
      <c r="HI274" s="530"/>
      <c r="HJ274" s="530"/>
      <c r="HK274" s="530"/>
      <c r="HL274" s="530"/>
      <c r="HM274" s="530"/>
      <c r="HN274" s="530"/>
      <c r="HO274" s="530"/>
      <c r="HP274" s="530"/>
      <c r="HQ274" s="530"/>
      <c r="HR274" s="530"/>
      <c r="HS274" s="530"/>
      <c r="HT274" s="530"/>
      <c r="HU274" s="530"/>
      <c r="HV274" s="530"/>
      <c r="HW274" s="530"/>
      <c r="HX274" s="530"/>
      <c r="HY274" s="530"/>
      <c r="HZ274" s="530"/>
      <c r="IA274" s="530"/>
      <c r="IB274" s="530"/>
      <c r="IC274" s="530"/>
      <c r="ID274" s="530"/>
      <c r="IE274" s="530"/>
      <c r="IF274" s="530"/>
      <c r="IG274" s="530"/>
      <c r="IH274" s="530"/>
      <c r="II274" s="530"/>
      <c r="IJ274" s="530"/>
      <c r="IK274" s="530"/>
      <c r="IL274" s="530"/>
      <c r="IM274" s="530"/>
      <c r="IN274" s="530"/>
      <c r="IO274" s="530"/>
      <c r="IP274" s="530"/>
      <c r="IQ274" s="530"/>
      <c r="IR274" s="530"/>
      <c r="IS274" s="530"/>
      <c r="IT274" s="530"/>
      <c r="IU274" s="530"/>
      <c r="IV274" s="530"/>
    </row>
    <row r="275" spans="1:256" s="717" customFormat="1" ht="18.75" hidden="1" customHeight="1">
      <c r="A275" s="1713"/>
      <c r="B275" s="1714"/>
      <c r="C275" s="1713"/>
      <c r="D275" s="1713"/>
      <c r="E275" s="1713"/>
      <c r="F275" s="1713"/>
      <c r="G275" s="1713"/>
      <c r="H275" s="1713"/>
      <c r="I275" s="1713"/>
      <c r="J275" s="1713"/>
      <c r="K275" s="1713"/>
      <c r="L275" s="1713"/>
      <c r="M275" s="1713"/>
      <c r="N275" s="1713"/>
      <c r="O275" s="1713"/>
      <c r="P275" s="1713"/>
      <c r="Q275" s="1713"/>
      <c r="R275" s="1713"/>
      <c r="S275" s="1713"/>
      <c r="T275" s="1713"/>
      <c r="U275" s="1713"/>
      <c r="V275" s="1713"/>
      <c r="W275" s="1713"/>
      <c r="X275" s="1713"/>
      <c r="Y275" s="1713"/>
      <c r="Z275" s="1713"/>
      <c r="AA275" s="1713"/>
      <c r="AB275" s="1713"/>
      <c r="AC275" s="1713"/>
      <c r="AD275" s="1713"/>
      <c r="AE275" s="1713"/>
      <c r="AF275" s="1713"/>
      <c r="AG275" s="1713"/>
      <c r="AH275" s="1713"/>
      <c r="AI275" s="1713"/>
      <c r="AJ275" s="1713"/>
      <c r="AK275" s="1713"/>
      <c r="AL275" s="1713"/>
      <c r="AM275" s="1713"/>
      <c r="AN275" s="1713"/>
      <c r="AO275" s="1713"/>
      <c r="AP275" s="1713"/>
      <c r="AQ275" s="1713"/>
      <c r="AR275" s="1713"/>
      <c r="AS275" s="1713"/>
      <c r="AT275" s="1713"/>
      <c r="AU275" s="1713"/>
      <c r="AV275" s="1713"/>
      <c r="AW275" s="1713"/>
      <c r="AX275" s="1713"/>
      <c r="AY275" s="1713"/>
      <c r="AZ275" s="1713"/>
      <c r="BA275" s="1713"/>
      <c r="BB275" s="1713"/>
      <c r="BC275" s="1713"/>
      <c r="BD275" s="1713"/>
      <c r="BE275" s="1713"/>
      <c r="BF275" s="1713"/>
      <c r="BG275" s="1713"/>
      <c r="BH275" s="1713"/>
      <c r="BI275" s="1713"/>
      <c r="BJ275" s="1713"/>
      <c r="BK275" s="1713"/>
      <c r="BL275" s="1713"/>
      <c r="BM275" s="1713"/>
      <c r="BN275" s="1713"/>
      <c r="BO275" s="1713"/>
      <c r="BP275" s="1713"/>
      <c r="BQ275" s="1713"/>
      <c r="BR275" s="1713"/>
      <c r="BS275" s="1713"/>
      <c r="BT275" s="1713"/>
      <c r="BU275" s="1713"/>
      <c r="BV275" s="1713"/>
      <c r="BW275" s="1713"/>
      <c r="BX275" s="1713"/>
      <c r="BY275" s="1713"/>
      <c r="BZ275" s="1713"/>
      <c r="CA275" s="1713"/>
      <c r="CB275" s="1713"/>
      <c r="CC275" s="1713"/>
      <c r="CD275" s="1713"/>
      <c r="CE275" s="1669"/>
      <c r="CF275" s="1713"/>
      <c r="CG275" s="1713"/>
      <c r="CH275" s="1713"/>
      <c r="CI275" s="1713"/>
      <c r="CJ275" s="1713"/>
      <c r="CK275" s="1713"/>
      <c r="CL275" s="1713"/>
      <c r="CM275" s="1713"/>
      <c r="CN275" s="1713"/>
      <c r="CO275" s="1713"/>
      <c r="CP275" s="1713"/>
      <c r="CQ275" s="1713"/>
      <c r="CR275" s="1713"/>
      <c r="CS275" s="1713"/>
      <c r="CT275" s="1713"/>
      <c r="CU275" s="1713"/>
      <c r="CV275" s="1713"/>
      <c r="CW275" s="1713"/>
      <c r="CX275" s="1713"/>
      <c r="CY275" s="1680"/>
      <c r="CZ275" s="1713"/>
      <c r="DA275" s="1713"/>
      <c r="DB275" s="1713"/>
      <c r="DC275" s="1713"/>
      <c r="DD275" s="1713"/>
      <c r="DE275" s="1713"/>
      <c r="DF275" s="1713"/>
      <c r="DG275" s="1713"/>
      <c r="DH275" s="1713"/>
      <c r="DI275" s="1713"/>
      <c r="DJ275" s="1713"/>
      <c r="DK275" s="1713"/>
      <c r="DL275" s="1713"/>
      <c r="DM275" s="1713"/>
      <c r="DN275" s="1713"/>
      <c r="DO275" s="1713"/>
      <c r="DP275" s="1713"/>
      <c r="DQ275" s="1713"/>
      <c r="DR275" s="1713"/>
      <c r="DS275" s="1713"/>
      <c r="DT275" s="1713"/>
      <c r="DU275" s="1715"/>
      <c r="DV275" s="1716"/>
    </row>
    <row r="276" spans="1:256" s="545" customFormat="1" ht="18" hidden="1" customHeight="1">
      <c r="A276" s="1685"/>
      <c r="B276" s="1023"/>
      <c r="C276" s="1023"/>
      <c r="D276" s="1023"/>
      <c r="E276" s="1023"/>
      <c r="F276" s="1023"/>
      <c r="G276" s="1023"/>
      <c r="H276" s="1023"/>
      <c r="I276" s="1023"/>
      <c r="J276" s="1023"/>
      <c r="K276" s="1023"/>
      <c r="L276" s="1023"/>
      <c r="M276" s="1023"/>
      <c r="N276" s="1023"/>
      <c r="O276" s="1023"/>
      <c r="P276" s="1023"/>
      <c r="Q276" s="1023"/>
      <c r="R276" s="1023"/>
      <c r="S276" s="1023"/>
      <c r="T276" s="1023"/>
      <c r="U276" s="1023"/>
      <c r="V276" s="1023"/>
      <c r="W276" s="1023"/>
      <c r="X276" s="1023"/>
      <c r="Y276" s="1023"/>
      <c r="Z276" s="1023"/>
      <c r="AA276" s="1023"/>
      <c r="AB276" s="1023"/>
      <c r="AC276" s="1023"/>
      <c r="AD276" s="1023"/>
      <c r="AE276" s="1023"/>
      <c r="AF276" s="1023"/>
      <c r="AG276" s="1023"/>
      <c r="AH276" s="1023"/>
      <c r="AI276" s="1023"/>
      <c r="AJ276" s="1023"/>
      <c r="AK276" s="1023"/>
      <c r="AL276" s="1023"/>
      <c r="AM276" s="1023"/>
      <c r="AN276" s="1023"/>
      <c r="AO276" s="1023"/>
      <c r="AP276" s="1023"/>
      <c r="AQ276" s="1023"/>
      <c r="AR276" s="1023"/>
      <c r="AS276" s="1023"/>
      <c r="AT276" s="1023"/>
      <c r="AU276" s="1023"/>
      <c r="AV276" s="1023"/>
      <c r="AW276" s="1023"/>
      <c r="AX276" s="1023"/>
      <c r="AY276" s="1023"/>
      <c r="AZ276" s="1023"/>
      <c r="BA276" s="1023"/>
      <c r="BB276" s="1023"/>
      <c r="BC276" s="1023"/>
      <c r="BD276" s="1023"/>
      <c r="BE276" s="1023"/>
      <c r="BF276" s="1023"/>
      <c r="BG276" s="1023"/>
      <c r="BH276" s="1023"/>
      <c r="BI276" s="1023"/>
      <c r="BJ276" s="1023"/>
      <c r="BK276" s="1023"/>
      <c r="BL276" s="1023"/>
      <c r="BM276" s="1023"/>
      <c r="BN276" s="1023"/>
      <c r="BO276" s="1023"/>
      <c r="BP276" s="1023"/>
      <c r="BQ276" s="1023"/>
      <c r="BR276" s="1023"/>
      <c r="BS276" s="1023"/>
      <c r="BT276" s="1023"/>
      <c r="BU276" s="1023"/>
      <c r="BV276" s="1023"/>
      <c r="BW276" s="1023"/>
      <c r="BX276" s="1023"/>
      <c r="BY276" s="1023"/>
      <c r="BZ276" s="1023"/>
      <c r="CA276" s="1023"/>
      <c r="CB276" s="1023"/>
      <c r="CC276" s="1023"/>
      <c r="CD276" s="1023"/>
      <c r="CE276" s="1669"/>
      <c r="CF276" s="1023"/>
      <c r="CG276" s="1023"/>
      <c r="CH276" s="1023"/>
      <c r="CI276" s="1023"/>
      <c r="CJ276" s="1023"/>
      <c r="CK276" s="1023"/>
      <c r="CL276" s="1023"/>
      <c r="CM276" s="1023"/>
      <c r="CN276" s="1023"/>
      <c r="CO276" s="1023"/>
      <c r="CP276" s="1023"/>
      <c r="CQ276" s="1023"/>
      <c r="CR276" s="1023"/>
      <c r="CS276" s="1023"/>
      <c r="CT276" s="1023"/>
      <c r="CU276" s="1023"/>
      <c r="CV276" s="1023"/>
      <c r="CW276" s="1023"/>
      <c r="CX276" s="1023"/>
      <c r="CY276" s="1683"/>
      <c r="CZ276" s="1023"/>
      <c r="DA276" s="1023"/>
      <c r="DB276" s="1023"/>
      <c r="DC276" s="1023"/>
      <c r="DD276" s="1023"/>
      <c r="DE276" s="1023"/>
      <c r="DF276" s="1023"/>
      <c r="DG276" s="1023"/>
      <c r="DH276" s="1023"/>
      <c r="DI276" s="1023"/>
      <c r="DJ276" s="1023"/>
      <c r="DK276" s="1023"/>
      <c r="DL276" s="1023"/>
      <c r="DM276" s="1023"/>
      <c r="DN276" s="1023"/>
      <c r="DO276" s="1023"/>
      <c r="DP276" s="1023"/>
      <c r="DQ276" s="1023"/>
      <c r="DR276" s="1023"/>
      <c r="DS276" s="1023"/>
      <c r="DT276" s="1023"/>
      <c r="DU276" s="1023"/>
      <c r="DV276" s="1684"/>
      <c r="DW276" s="530"/>
      <c r="DX276" s="530"/>
      <c r="DY276" s="530"/>
      <c r="DZ276" s="530"/>
      <c r="EA276" s="530"/>
      <c r="EB276" s="530"/>
      <c r="EC276" s="530"/>
      <c r="ED276" s="530"/>
      <c r="EE276" s="530"/>
      <c r="EF276" s="530"/>
      <c r="EG276" s="530"/>
      <c r="EH276" s="530"/>
      <c r="EI276" s="530"/>
      <c r="EJ276" s="530"/>
      <c r="EK276" s="530"/>
      <c r="EL276" s="530"/>
      <c r="EM276" s="530"/>
      <c r="EN276" s="530"/>
      <c r="EO276" s="530"/>
      <c r="EP276" s="530"/>
      <c r="EQ276" s="530"/>
      <c r="ER276" s="530"/>
      <c r="ES276" s="530"/>
      <c r="ET276" s="530"/>
      <c r="EU276" s="530"/>
      <c r="EV276" s="530"/>
      <c r="EW276" s="530"/>
      <c r="EX276" s="530"/>
      <c r="EY276" s="530"/>
      <c r="EZ276" s="530"/>
      <c r="FA276" s="530"/>
      <c r="FB276" s="530"/>
      <c r="FC276" s="530"/>
      <c r="FD276" s="530"/>
      <c r="FE276" s="530"/>
      <c r="FF276" s="530"/>
      <c r="FG276" s="530"/>
      <c r="FH276" s="530"/>
      <c r="FI276" s="530"/>
      <c r="FJ276" s="530"/>
      <c r="FK276" s="530"/>
      <c r="FL276" s="530"/>
      <c r="FM276" s="530"/>
      <c r="FN276" s="530"/>
      <c r="FO276" s="530"/>
      <c r="FP276" s="530"/>
      <c r="FQ276" s="530"/>
      <c r="FR276" s="530"/>
      <c r="FS276" s="530"/>
      <c r="FT276" s="530"/>
      <c r="FU276" s="530"/>
      <c r="FV276" s="530"/>
      <c r="FW276" s="530"/>
      <c r="FX276" s="530"/>
      <c r="FY276" s="530"/>
      <c r="FZ276" s="530"/>
      <c r="GA276" s="530"/>
      <c r="GB276" s="530"/>
      <c r="GC276" s="530"/>
      <c r="GD276" s="530"/>
      <c r="GE276" s="530"/>
      <c r="GF276" s="530"/>
      <c r="GG276" s="530"/>
      <c r="GH276" s="530"/>
      <c r="GI276" s="530"/>
      <c r="GJ276" s="530"/>
      <c r="GK276" s="530"/>
      <c r="GL276" s="530"/>
      <c r="GM276" s="530"/>
      <c r="GN276" s="530"/>
      <c r="GO276" s="530"/>
      <c r="GP276" s="530"/>
      <c r="GQ276" s="530"/>
      <c r="GR276" s="530"/>
      <c r="GS276" s="530"/>
      <c r="GT276" s="530"/>
      <c r="GU276" s="530"/>
      <c r="GV276" s="530"/>
      <c r="GW276" s="530"/>
      <c r="GX276" s="530"/>
      <c r="GY276" s="530"/>
      <c r="GZ276" s="530"/>
      <c r="HA276" s="530"/>
      <c r="HB276" s="530"/>
      <c r="HC276" s="530"/>
      <c r="HD276" s="530"/>
      <c r="HE276" s="530"/>
      <c r="HF276" s="530"/>
      <c r="HG276" s="530"/>
      <c r="HH276" s="530"/>
      <c r="HI276" s="530"/>
      <c r="HJ276" s="530"/>
      <c r="HK276" s="530"/>
      <c r="HL276" s="530"/>
      <c r="HM276" s="530"/>
      <c r="HN276" s="530"/>
      <c r="HO276" s="530"/>
      <c r="HP276" s="530"/>
      <c r="HQ276" s="530"/>
      <c r="HR276" s="530"/>
      <c r="HS276" s="530"/>
      <c r="HT276" s="530"/>
      <c r="HU276" s="530"/>
      <c r="HV276" s="530"/>
      <c r="HW276" s="530"/>
      <c r="HX276" s="530"/>
      <c r="HY276" s="530"/>
      <c r="HZ276" s="530"/>
      <c r="IA276" s="530"/>
      <c r="IB276" s="530"/>
      <c r="IC276" s="530"/>
      <c r="ID276" s="530"/>
      <c r="IE276" s="530"/>
      <c r="IF276" s="530"/>
      <c r="IG276" s="530"/>
      <c r="IH276" s="530"/>
      <c r="II276" s="530"/>
      <c r="IJ276" s="530"/>
      <c r="IK276" s="530"/>
      <c r="IL276" s="530"/>
      <c r="IM276" s="530"/>
      <c r="IN276" s="530"/>
      <c r="IO276" s="530"/>
      <c r="IP276" s="530"/>
      <c r="IQ276" s="530"/>
      <c r="IR276" s="530"/>
      <c r="IS276" s="530"/>
      <c r="IT276" s="530"/>
      <c r="IU276" s="530"/>
      <c r="IV276" s="530"/>
    </row>
    <row r="277" spans="1:256" ht="17.25" hidden="1" customHeight="1">
      <c r="A277" s="1676"/>
      <c r="B277" s="550"/>
      <c r="C277" s="550"/>
      <c r="D277" s="550"/>
      <c r="E277" s="550"/>
      <c r="F277" s="550"/>
      <c r="G277" s="550"/>
      <c r="H277" s="550"/>
      <c r="I277" s="550"/>
      <c r="J277" s="550"/>
      <c r="K277" s="550"/>
      <c r="L277" s="550"/>
      <c r="M277" s="550"/>
      <c r="N277" s="550"/>
      <c r="O277" s="439"/>
      <c r="P277" s="439"/>
      <c r="Q277" s="674"/>
      <c r="R277" s="671"/>
      <c r="S277" s="671"/>
      <c r="T277" s="671"/>
      <c r="U277" s="671"/>
      <c r="V277" s="671"/>
      <c r="W277" s="671"/>
      <c r="X277" s="671"/>
      <c r="Y277" s="671"/>
      <c r="Z277" s="671"/>
      <c r="AA277" s="671"/>
      <c r="AB277" s="671"/>
      <c r="AC277" s="671"/>
      <c r="AD277" s="671"/>
      <c r="AE277" s="623"/>
      <c r="AF277" s="623"/>
      <c r="AG277" s="623"/>
      <c r="AH277" s="623"/>
      <c r="AI277" s="623"/>
      <c r="AJ277" s="623"/>
      <c r="AK277" s="623"/>
      <c r="AL277" s="623"/>
      <c r="AM277" s="623"/>
      <c r="AN277" s="623"/>
      <c r="AO277" s="623"/>
      <c r="AP277" s="623"/>
      <c r="AQ277" s="623"/>
      <c r="AR277" s="623"/>
      <c r="AS277" s="623"/>
      <c r="AT277" s="623"/>
      <c r="AU277" s="623"/>
      <c r="AV277" s="623"/>
      <c r="AW277" s="623"/>
      <c r="AX277" s="623"/>
      <c r="AY277" s="623"/>
      <c r="AZ277" s="623"/>
      <c r="BA277" s="623"/>
      <c r="BB277" s="623"/>
      <c r="BC277" s="623"/>
      <c r="BD277" s="623"/>
      <c r="BE277" s="623"/>
      <c r="BF277" s="623"/>
      <c r="BG277" s="623"/>
      <c r="BH277" s="623"/>
      <c r="BI277" s="623"/>
      <c r="BJ277" s="623"/>
      <c r="BK277" s="623"/>
      <c r="BL277" s="623"/>
      <c r="BM277" s="623"/>
      <c r="BN277" s="623"/>
      <c r="BO277" s="623"/>
      <c r="BP277" s="623"/>
      <c r="BQ277" s="623"/>
      <c r="BR277" s="623"/>
      <c r="BS277" s="623"/>
      <c r="BT277" s="623"/>
      <c r="BU277" s="623"/>
      <c r="BV277" s="623"/>
      <c r="BW277" s="623"/>
      <c r="BX277" s="623"/>
      <c r="BY277" s="623"/>
      <c r="BZ277" s="623"/>
      <c r="CA277" s="623"/>
      <c r="CB277" s="623"/>
      <c r="CC277" s="623"/>
      <c r="CD277" s="623"/>
      <c r="CE277" s="1669"/>
      <c r="CF277" s="623"/>
      <c r="CG277" s="623"/>
      <c r="CH277" s="623"/>
      <c r="CI277" s="623"/>
      <c r="CJ277" s="623"/>
      <c r="CK277" s="623"/>
      <c r="CL277" s="623"/>
      <c r="CM277" s="623"/>
      <c r="CN277" s="623"/>
      <c r="CO277" s="623"/>
      <c r="CP277" s="623"/>
      <c r="CQ277" s="623"/>
      <c r="CR277" s="623"/>
      <c r="CS277" s="623"/>
      <c r="CT277" s="623"/>
      <c r="CU277" s="623"/>
      <c r="CV277" s="623"/>
      <c r="CW277" s="623"/>
      <c r="CX277" s="623"/>
      <c r="CY277" s="817"/>
      <c r="CZ277" s="623"/>
      <c r="DA277" s="623"/>
      <c r="DB277" s="623"/>
      <c r="DC277" s="623"/>
      <c r="DD277" s="623"/>
      <c r="DE277" s="623"/>
      <c r="DF277" s="623"/>
      <c r="DG277" s="623"/>
      <c r="DH277" s="623"/>
      <c r="DI277" s="623"/>
      <c r="DJ277" s="623"/>
      <c r="DK277" s="623"/>
      <c r="DL277" s="623"/>
      <c r="DM277" s="623"/>
      <c r="DN277" s="623"/>
      <c r="DO277" s="623"/>
      <c r="DP277" s="623"/>
      <c r="DQ277" s="623"/>
      <c r="DR277" s="623"/>
      <c r="DS277" s="623"/>
      <c r="DT277" s="623"/>
      <c r="DU277" s="623"/>
      <c r="DV277" s="1675"/>
      <c r="IR277" s="542"/>
      <c r="IS277" s="542"/>
      <c r="IT277" s="542"/>
      <c r="IU277" s="542"/>
      <c r="IV277" s="542"/>
    </row>
    <row r="278" spans="1:256" ht="17.25" hidden="1" customHeight="1">
      <c r="A278" s="1676"/>
      <c r="B278" s="550"/>
      <c r="C278" s="550"/>
      <c r="D278" s="550"/>
      <c r="E278" s="550"/>
      <c r="F278" s="550"/>
      <c r="G278" s="550"/>
      <c r="H278" s="550"/>
      <c r="I278" s="550"/>
      <c r="J278" s="550"/>
      <c r="K278" s="550"/>
      <c r="L278" s="550"/>
      <c r="M278" s="550"/>
      <c r="N278" s="550"/>
      <c r="O278" s="439"/>
      <c r="P278" s="439"/>
      <c r="Q278" s="674"/>
      <c r="R278" s="671"/>
      <c r="S278" s="671"/>
      <c r="T278" s="671"/>
      <c r="U278" s="671"/>
      <c r="V278" s="671"/>
      <c r="W278" s="671"/>
      <c r="X278" s="671"/>
      <c r="Y278" s="671"/>
      <c r="Z278" s="671"/>
      <c r="AA278" s="671"/>
      <c r="AB278" s="671"/>
      <c r="AC278" s="671"/>
      <c r="AD278" s="671"/>
      <c r="AE278" s="623"/>
      <c r="AF278" s="623"/>
      <c r="AG278" s="623"/>
      <c r="AH278" s="623"/>
      <c r="AI278" s="623"/>
      <c r="AJ278" s="623"/>
      <c r="AK278" s="623"/>
      <c r="AL278" s="623"/>
      <c r="AM278" s="623"/>
      <c r="AN278" s="623"/>
      <c r="AO278" s="623"/>
      <c r="AP278" s="623"/>
      <c r="AQ278" s="623"/>
      <c r="AR278" s="623"/>
      <c r="AS278" s="623"/>
      <c r="AT278" s="623"/>
      <c r="AU278" s="623"/>
      <c r="AV278" s="623"/>
      <c r="AW278" s="623"/>
      <c r="AX278" s="623"/>
      <c r="AY278" s="623"/>
      <c r="AZ278" s="623"/>
      <c r="BA278" s="623"/>
      <c r="BB278" s="623"/>
      <c r="BC278" s="623"/>
      <c r="BD278" s="623"/>
      <c r="BE278" s="623"/>
      <c r="BF278" s="623"/>
      <c r="BG278" s="623"/>
      <c r="BH278" s="623"/>
      <c r="BI278" s="623"/>
      <c r="BJ278" s="623"/>
      <c r="BK278" s="623"/>
      <c r="BL278" s="623"/>
      <c r="BM278" s="623"/>
      <c r="BN278" s="623"/>
      <c r="BO278" s="623"/>
      <c r="BP278" s="623"/>
      <c r="BQ278" s="623"/>
      <c r="BR278" s="623"/>
      <c r="BS278" s="623"/>
      <c r="BT278" s="623"/>
      <c r="BU278" s="623"/>
      <c r="BV278" s="623"/>
      <c r="BW278" s="623"/>
      <c r="BX278" s="623"/>
      <c r="BY278" s="623"/>
      <c r="BZ278" s="623"/>
      <c r="CA278" s="623"/>
      <c r="CB278" s="623"/>
      <c r="CC278" s="623"/>
      <c r="CD278" s="623"/>
      <c r="CE278" s="1669"/>
      <c r="CF278" s="623"/>
      <c r="CG278" s="623"/>
      <c r="CH278" s="623"/>
      <c r="CI278" s="623"/>
      <c r="CJ278" s="623"/>
      <c r="CK278" s="623"/>
      <c r="CL278" s="623"/>
      <c r="CM278" s="623"/>
      <c r="CN278" s="623"/>
      <c r="CO278" s="623"/>
      <c r="CP278" s="623"/>
      <c r="CQ278" s="623"/>
      <c r="CR278" s="623"/>
      <c r="CS278" s="623"/>
      <c r="CT278" s="623"/>
      <c r="CU278" s="623"/>
      <c r="CV278" s="623"/>
      <c r="CW278" s="623"/>
      <c r="CX278" s="623"/>
      <c r="CY278" s="817"/>
      <c r="CZ278" s="623"/>
      <c r="DA278" s="623"/>
      <c r="DB278" s="623"/>
      <c r="DC278" s="623"/>
      <c r="DD278" s="623"/>
      <c r="DE278" s="623"/>
      <c r="DF278" s="623"/>
      <c r="DG278" s="623"/>
      <c r="DH278" s="623"/>
      <c r="DI278" s="623"/>
      <c r="DJ278" s="623"/>
      <c r="DK278" s="623"/>
      <c r="DL278" s="623"/>
      <c r="DM278" s="623"/>
      <c r="DN278" s="623"/>
      <c r="DO278" s="623"/>
      <c r="DP278" s="623"/>
      <c r="DQ278" s="623"/>
      <c r="DR278" s="623"/>
      <c r="DS278" s="623"/>
      <c r="DT278" s="623"/>
      <c r="DU278" s="623"/>
      <c r="DV278" s="1675"/>
    </row>
    <row r="279" spans="1:256" ht="17.25" hidden="1" customHeight="1">
      <c r="A279" s="1676"/>
      <c r="B279" s="550"/>
      <c r="C279" s="550"/>
      <c r="D279" s="550"/>
      <c r="E279" s="550"/>
      <c r="F279" s="550"/>
      <c r="G279" s="550"/>
      <c r="H279" s="550"/>
      <c r="I279" s="550"/>
      <c r="J279" s="550"/>
      <c r="K279" s="550"/>
      <c r="L279" s="550"/>
      <c r="M279" s="550"/>
      <c r="N279" s="550"/>
      <c r="O279" s="439"/>
      <c r="P279" s="439"/>
      <c r="Q279" s="674"/>
      <c r="R279" s="671"/>
      <c r="S279" s="671"/>
      <c r="T279" s="671"/>
      <c r="U279" s="671"/>
      <c r="V279" s="671"/>
      <c r="W279" s="671"/>
      <c r="X279" s="671"/>
      <c r="Y279" s="671"/>
      <c r="Z279" s="671"/>
      <c r="AA279" s="671"/>
      <c r="AB279" s="671"/>
      <c r="AC279" s="671"/>
      <c r="AD279" s="671"/>
      <c r="AE279" s="623"/>
      <c r="AF279" s="623"/>
      <c r="AG279" s="623"/>
      <c r="AH279" s="623"/>
      <c r="AI279" s="623"/>
      <c r="AJ279" s="623"/>
      <c r="AK279" s="623"/>
      <c r="AL279" s="623"/>
      <c r="AM279" s="623"/>
      <c r="AN279" s="623"/>
      <c r="AO279" s="623"/>
      <c r="AP279" s="623"/>
      <c r="AQ279" s="623"/>
      <c r="AR279" s="623"/>
      <c r="AS279" s="623"/>
      <c r="AT279" s="623"/>
      <c r="AU279" s="623"/>
      <c r="AV279" s="623"/>
      <c r="AW279" s="623"/>
      <c r="AX279" s="623"/>
      <c r="AY279" s="623"/>
      <c r="AZ279" s="623"/>
      <c r="BA279" s="623"/>
      <c r="BB279" s="623"/>
      <c r="BC279" s="623"/>
      <c r="BD279" s="623"/>
      <c r="BE279" s="623"/>
      <c r="BF279" s="623"/>
      <c r="BG279" s="623"/>
      <c r="BH279" s="623"/>
      <c r="BI279" s="623"/>
      <c r="BJ279" s="623"/>
      <c r="BK279" s="623"/>
      <c r="BL279" s="623"/>
      <c r="BM279" s="623"/>
      <c r="BN279" s="623"/>
      <c r="BO279" s="623"/>
      <c r="BP279" s="623"/>
      <c r="BQ279" s="623"/>
      <c r="BR279" s="623"/>
      <c r="BS279" s="623"/>
      <c r="BT279" s="623"/>
      <c r="BU279" s="623"/>
      <c r="BV279" s="623"/>
      <c r="BW279" s="623"/>
      <c r="BX279" s="623"/>
      <c r="BY279" s="623"/>
      <c r="BZ279" s="623"/>
      <c r="CA279" s="623"/>
      <c r="CB279" s="623"/>
      <c r="CC279" s="623"/>
      <c r="CD279" s="623"/>
      <c r="CE279" s="1669"/>
      <c r="CF279" s="623"/>
      <c r="CG279" s="623"/>
      <c r="CH279" s="623"/>
      <c r="CI279" s="623"/>
      <c r="CJ279" s="623"/>
      <c r="CK279" s="623"/>
      <c r="CL279" s="623"/>
      <c r="CM279" s="623"/>
      <c r="CN279" s="623"/>
      <c r="CO279" s="623"/>
      <c r="CP279" s="623"/>
      <c r="CQ279" s="623"/>
      <c r="CR279" s="623"/>
      <c r="CS279" s="623"/>
      <c r="CT279" s="623"/>
      <c r="CU279" s="623"/>
      <c r="CV279" s="623"/>
      <c r="CW279" s="623"/>
      <c r="CX279" s="623"/>
      <c r="CY279" s="817"/>
      <c r="CZ279" s="623"/>
      <c r="DA279" s="623"/>
      <c r="DB279" s="623"/>
      <c r="DC279" s="623"/>
      <c r="DD279" s="623"/>
      <c r="DE279" s="623"/>
      <c r="DF279" s="623"/>
      <c r="DG279" s="623"/>
      <c r="DH279" s="623"/>
      <c r="DI279" s="623"/>
      <c r="DJ279" s="623"/>
      <c r="DK279" s="623"/>
      <c r="DL279" s="623"/>
      <c r="DM279" s="623"/>
      <c r="DN279" s="623"/>
      <c r="DO279" s="623"/>
      <c r="DP279" s="623"/>
      <c r="DQ279" s="623"/>
      <c r="DR279" s="623"/>
      <c r="DS279" s="623"/>
      <c r="DT279" s="623"/>
      <c r="DU279" s="623"/>
      <c r="DV279" s="1675"/>
    </row>
    <row r="280" spans="1:256" ht="17.25" hidden="1" customHeight="1">
      <c r="A280" s="1676"/>
      <c r="B280" s="550"/>
      <c r="C280" s="550"/>
      <c r="D280" s="550"/>
      <c r="E280" s="550"/>
      <c r="F280" s="550"/>
      <c r="G280" s="550"/>
      <c r="H280" s="550"/>
      <c r="I280" s="550"/>
      <c r="J280" s="550"/>
      <c r="K280" s="550"/>
      <c r="L280" s="550"/>
      <c r="M280" s="550"/>
      <c r="N280" s="550"/>
      <c r="O280" s="439"/>
      <c r="P280" s="439"/>
      <c r="Q280" s="674"/>
      <c r="R280" s="671"/>
      <c r="S280" s="671"/>
      <c r="T280" s="671"/>
      <c r="U280" s="671"/>
      <c r="V280" s="671"/>
      <c r="W280" s="671"/>
      <c r="X280" s="671"/>
      <c r="Y280" s="671"/>
      <c r="Z280" s="671"/>
      <c r="AA280" s="671"/>
      <c r="AB280" s="671"/>
      <c r="AC280" s="671"/>
      <c r="AD280" s="671"/>
      <c r="AE280" s="623"/>
      <c r="AF280" s="623"/>
      <c r="AG280" s="623"/>
      <c r="AH280" s="623"/>
      <c r="AI280" s="623"/>
      <c r="AJ280" s="623"/>
      <c r="AK280" s="623"/>
      <c r="AL280" s="623"/>
      <c r="AM280" s="623"/>
      <c r="AN280" s="623"/>
      <c r="AO280" s="623"/>
      <c r="AP280" s="623"/>
      <c r="AQ280" s="623"/>
      <c r="AR280" s="623"/>
      <c r="AS280" s="623"/>
      <c r="AT280" s="623"/>
      <c r="AU280" s="623"/>
      <c r="AV280" s="623"/>
      <c r="AW280" s="623"/>
      <c r="AX280" s="623"/>
      <c r="AY280" s="623"/>
      <c r="AZ280" s="623"/>
      <c r="BA280" s="623"/>
      <c r="BB280" s="623"/>
      <c r="BC280" s="623"/>
      <c r="BD280" s="623"/>
      <c r="BE280" s="623"/>
      <c r="BF280" s="623"/>
      <c r="BG280" s="623"/>
      <c r="BH280" s="623"/>
      <c r="BI280" s="623"/>
      <c r="BJ280" s="623"/>
      <c r="BK280" s="623"/>
      <c r="BL280" s="623"/>
      <c r="BM280" s="623"/>
      <c r="BN280" s="623"/>
      <c r="BO280" s="623"/>
      <c r="BP280" s="623"/>
      <c r="BQ280" s="623"/>
      <c r="BR280" s="623"/>
      <c r="BS280" s="623"/>
      <c r="BT280" s="623"/>
      <c r="BU280" s="623"/>
      <c r="BV280" s="623"/>
      <c r="BW280" s="623"/>
      <c r="BX280" s="623"/>
      <c r="BY280" s="623"/>
      <c r="BZ280" s="623"/>
      <c r="CA280" s="623"/>
      <c r="CB280" s="623"/>
      <c r="CC280" s="623"/>
      <c r="CD280" s="623"/>
      <c r="CE280" s="1669"/>
      <c r="CF280" s="623"/>
      <c r="CG280" s="623"/>
      <c r="CH280" s="623"/>
      <c r="CI280" s="623"/>
      <c r="CJ280" s="623"/>
      <c r="CK280" s="623"/>
      <c r="CL280" s="623"/>
      <c r="CM280" s="623"/>
      <c r="CN280" s="623"/>
      <c r="CO280" s="623"/>
      <c r="CP280" s="623"/>
      <c r="CQ280" s="623"/>
      <c r="CR280" s="623"/>
      <c r="CS280" s="623"/>
      <c r="CT280" s="623"/>
      <c r="CU280" s="623"/>
      <c r="CV280" s="623"/>
      <c r="CW280" s="623"/>
      <c r="CX280" s="623"/>
      <c r="CY280" s="817"/>
      <c r="CZ280" s="623"/>
      <c r="DA280" s="623"/>
      <c r="DB280" s="623"/>
      <c r="DC280" s="623"/>
      <c r="DD280" s="623"/>
      <c r="DE280" s="623"/>
      <c r="DF280" s="623"/>
      <c r="DG280" s="623"/>
      <c r="DH280" s="623"/>
      <c r="DI280" s="623"/>
      <c r="DJ280" s="623"/>
      <c r="DK280" s="623"/>
      <c r="DL280" s="623"/>
      <c r="DM280" s="623"/>
      <c r="DN280" s="623"/>
      <c r="DO280" s="623"/>
      <c r="DP280" s="623"/>
      <c r="DQ280" s="623"/>
      <c r="DR280" s="623"/>
      <c r="DS280" s="623"/>
      <c r="DT280" s="623"/>
      <c r="DU280" s="623"/>
      <c r="DV280" s="1675"/>
    </row>
    <row r="281" spans="1:256" s="678" customFormat="1" ht="17.25" hidden="1" customHeight="1">
      <c r="A281" s="1676"/>
      <c r="B281" s="550"/>
      <c r="C281" s="550"/>
      <c r="D281" s="550"/>
      <c r="E281" s="550"/>
      <c r="F281" s="550"/>
      <c r="G281" s="550"/>
      <c r="H281" s="550"/>
      <c r="I281" s="550"/>
      <c r="J281" s="676"/>
      <c r="K281" s="550"/>
      <c r="L281" s="550"/>
      <c r="M281" s="550"/>
      <c r="N281" s="550"/>
      <c r="O281" s="439"/>
      <c r="P281" s="439"/>
      <c r="Q281" s="674"/>
      <c r="R281" s="671"/>
      <c r="S281" s="671"/>
      <c r="T281" s="671"/>
      <c r="U281" s="671"/>
      <c r="V281" s="671"/>
      <c r="W281" s="671"/>
      <c r="X281" s="671"/>
      <c r="Y281" s="671"/>
      <c r="Z281" s="671"/>
      <c r="AA281" s="671"/>
      <c r="AB281" s="671"/>
      <c r="AC281" s="671"/>
      <c r="AD281" s="671"/>
      <c r="AE281" s="623"/>
      <c r="AF281" s="623"/>
      <c r="AG281" s="623"/>
      <c r="AH281" s="623"/>
      <c r="AI281" s="623"/>
      <c r="AJ281" s="623"/>
      <c r="AK281" s="623"/>
      <c r="AL281" s="623"/>
      <c r="AM281" s="623"/>
      <c r="AN281" s="623"/>
      <c r="AO281" s="623"/>
      <c r="AP281" s="623"/>
      <c r="AQ281" s="623"/>
      <c r="AR281" s="623"/>
      <c r="AS281" s="623"/>
      <c r="AT281" s="623"/>
      <c r="AU281" s="623"/>
      <c r="AV281" s="623"/>
      <c r="AW281" s="623"/>
      <c r="AX281" s="623"/>
      <c r="AY281" s="623"/>
      <c r="AZ281" s="623"/>
      <c r="BA281" s="623"/>
      <c r="BB281" s="623"/>
      <c r="BC281" s="623"/>
      <c r="BD281" s="623"/>
      <c r="BE281" s="623"/>
      <c r="BF281" s="623"/>
      <c r="BG281" s="623"/>
      <c r="BH281" s="623"/>
      <c r="BI281" s="623"/>
      <c r="BJ281" s="623"/>
      <c r="BK281" s="623"/>
      <c r="BL281" s="623"/>
      <c r="BM281" s="623"/>
      <c r="BN281" s="623"/>
      <c r="BO281" s="623"/>
      <c r="BP281" s="623"/>
      <c r="BQ281" s="623"/>
      <c r="BR281" s="623"/>
      <c r="BS281" s="623"/>
      <c r="BT281" s="623"/>
      <c r="BU281" s="623"/>
      <c r="BV281" s="623"/>
      <c r="BW281" s="623"/>
      <c r="BX281" s="623"/>
      <c r="BY281" s="623"/>
      <c r="BZ281" s="623"/>
      <c r="CA281" s="623"/>
      <c r="CB281" s="623"/>
      <c r="CC281" s="623"/>
      <c r="CD281" s="623"/>
      <c r="CE281" s="1669"/>
      <c r="CF281" s="623"/>
      <c r="CG281" s="623"/>
      <c r="CH281" s="623"/>
      <c r="CI281" s="623"/>
      <c r="CJ281" s="623"/>
      <c r="CK281" s="623"/>
      <c r="CL281" s="623"/>
      <c r="CM281" s="623"/>
      <c r="CN281" s="623"/>
      <c r="CO281" s="623"/>
      <c r="CP281" s="623"/>
      <c r="CQ281" s="623"/>
      <c r="CR281" s="623"/>
      <c r="CS281" s="623"/>
      <c r="CT281" s="623"/>
      <c r="CU281" s="623"/>
      <c r="CV281" s="623"/>
      <c r="CW281" s="623"/>
      <c r="CX281" s="623"/>
      <c r="CY281" s="817"/>
      <c r="CZ281" s="623"/>
      <c r="DA281" s="623"/>
      <c r="DB281" s="623"/>
      <c r="DC281" s="623"/>
      <c r="DD281" s="623"/>
      <c r="DE281" s="623"/>
      <c r="DF281" s="623"/>
      <c r="DG281" s="623"/>
      <c r="DH281" s="623"/>
      <c r="DI281" s="623"/>
      <c r="DJ281" s="623"/>
      <c r="DK281" s="623"/>
      <c r="DL281" s="623"/>
      <c r="DM281" s="623"/>
      <c r="DN281" s="623"/>
      <c r="DO281" s="623"/>
      <c r="DP281" s="623"/>
      <c r="DQ281" s="623"/>
      <c r="DR281" s="623"/>
      <c r="DS281" s="623"/>
      <c r="DT281" s="623"/>
      <c r="DU281" s="623"/>
      <c r="DV281" s="1675"/>
      <c r="DW281" s="530"/>
      <c r="DX281" s="530"/>
      <c r="DY281" s="530"/>
      <c r="DZ281" s="530"/>
      <c r="EA281" s="530"/>
      <c r="EB281" s="530"/>
      <c r="EC281" s="530"/>
      <c r="ED281" s="530"/>
      <c r="EE281" s="530"/>
      <c r="EF281" s="530"/>
      <c r="EG281" s="530"/>
      <c r="EH281" s="530"/>
      <c r="EI281" s="530"/>
      <c r="EJ281" s="530"/>
      <c r="EK281" s="530"/>
      <c r="EL281" s="530"/>
      <c r="EM281" s="530"/>
      <c r="EN281" s="530"/>
      <c r="EO281" s="530"/>
      <c r="EP281" s="530"/>
      <c r="EQ281" s="530"/>
      <c r="ER281" s="530"/>
      <c r="ES281" s="530"/>
      <c r="ET281" s="530"/>
      <c r="EU281" s="530"/>
      <c r="EV281" s="530"/>
      <c r="EW281" s="530"/>
      <c r="EX281" s="530"/>
      <c r="EY281" s="530"/>
      <c r="EZ281" s="530"/>
      <c r="FA281" s="530"/>
      <c r="FB281" s="530"/>
      <c r="FC281" s="530"/>
      <c r="FD281" s="530"/>
      <c r="FE281" s="530"/>
      <c r="FF281" s="530"/>
      <c r="FG281" s="530"/>
      <c r="FH281" s="530"/>
      <c r="FI281" s="530"/>
      <c r="FJ281" s="530"/>
      <c r="FK281" s="530"/>
      <c r="FL281" s="530"/>
      <c r="FM281" s="530"/>
      <c r="FN281" s="530"/>
      <c r="FO281" s="530"/>
      <c r="FP281" s="530"/>
      <c r="FQ281" s="530"/>
      <c r="FR281" s="530"/>
      <c r="FS281" s="530"/>
      <c r="FT281" s="530"/>
      <c r="FU281" s="530"/>
      <c r="FV281" s="530"/>
      <c r="FW281" s="530"/>
      <c r="FX281" s="530"/>
      <c r="FY281" s="530"/>
      <c r="FZ281" s="530"/>
      <c r="GA281" s="530"/>
      <c r="GB281" s="530"/>
      <c r="GC281" s="530"/>
      <c r="GD281" s="530"/>
      <c r="GE281" s="530"/>
      <c r="GF281" s="530"/>
      <c r="GG281" s="530"/>
      <c r="GH281" s="530"/>
      <c r="GI281" s="530"/>
      <c r="GJ281" s="530"/>
      <c r="GK281" s="530"/>
      <c r="GL281" s="530"/>
      <c r="GM281" s="530"/>
      <c r="GN281" s="530"/>
      <c r="GO281" s="530"/>
      <c r="GP281" s="530"/>
      <c r="GQ281" s="530"/>
      <c r="GR281" s="530"/>
      <c r="GS281" s="530"/>
      <c r="GT281" s="530"/>
      <c r="GU281" s="530"/>
      <c r="GV281" s="530"/>
      <c r="GW281" s="530"/>
      <c r="GX281" s="530"/>
      <c r="GY281" s="530"/>
      <c r="GZ281" s="530"/>
      <c r="HA281" s="530"/>
      <c r="HB281" s="530"/>
      <c r="HC281" s="530"/>
      <c r="HD281" s="530"/>
      <c r="HE281" s="530"/>
      <c r="HF281" s="530"/>
      <c r="HG281" s="530"/>
      <c r="HH281" s="530"/>
      <c r="HI281" s="530"/>
      <c r="HJ281" s="530"/>
      <c r="HK281" s="530"/>
      <c r="HL281" s="530"/>
      <c r="HM281" s="530"/>
      <c r="HN281" s="530"/>
      <c r="HO281" s="530"/>
      <c r="HP281" s="530"/>
      <c r="HQ281" s="530"/>
      <c r="HR281" s="530"/>
      <c r="HS281" s="530"/>
      <c r="HT281" s="530"/>
      <c r="HU281" s="530"/>
      <c r="HV281" s="530"/>
      <c r="HW281" s="530"/>
      <c r="HX281" s="530"/>
      <c r="HY281" s="530"/>
      <c r="HZ281" s="530"/>
      <c r="IA281" s="530"/>
      <c r="IB281" s="530"/>
      <c r="IC281" s="530"/>
      <c r="ID281" s="530"/>
      <c r="IE281" s="530"/>
      <c r="IF281" s="530"/>
      <c r="IG281" s="530"/>
      <c r="IH281" s="530"/>
      <c r="II281" s="530"/>
      <c r="IJ281" s="530"/>
      <c r="IK281" s="530"/>
      <c r="IL281" s="530"/>
      <c r="IM281" s="530"/>
      <c r="IN281" s="530"/>
      <c r="IO281" s="530"/>
      <c r="IP281" s="530"/>
      <c r="IQ281" s="530"/>
      <c r="IR281" s="530"/>
      <c r="IS281" s="530"/>
      <c r="IT281" s="530"/>
      <c r="IU281" s="530"/>
      <c r="IV281" s="530"/>
    </row>
    <row r="282" spans="1:256" s="717" customFormat="1" ht="18.75" hidden="1" customHeight="1">
      <c r="A282" s="1713"/>
      <c r="B282" s="1714"/>
      <c r="C282" s="1713"/>
      <c r="D282" s="1713"/>
      <c r="E282" s="1713"/>
      <c r="F282" s="1713"/>
      <c r="G282" s="1713"/>
      <c r="H282" s="1713"/>
      <c r="I282" s="1713"/>
      <c r="J282" s="1713"/>
      <c r="K282" s="1713"/>
      <c r="L282" s="1713"/>
      <c r="M282" s="1713"/>
      <c r="N282" s="1713"/>
      <c r="O282" s="1713"/>
      <c r="P282" s="1713"/>
      <c r="Q282" s="1713"/>
      <c r="R282" s="1713"/>
      <c r="S282" s="1713"/>
      <c r="T282" s="1713"/>
      <c r="U282" s="1713"/>
      <c r="V282" s="1713"/>
      <c r="W282" s="1713"/>
      <c r="X282" s="1713"/>
      <c r="Y282" s="1713"/>
      <c r="Z282" s="1713"/>
      <c r="AA282" s="1713"/>
      <c r="AB282" s="1713"/>
      <c r="AC282" s="1713"/>
      <c r="AD282" s="1713"/>
      <c r="AE282" s="1713"/>
      <c r="AF282" s="1713"/>
      <c r="AG282" s="1713"/>
      <c r="AH282" s="1713"/>
      <c r="AI282" s="1713"/>
      <c r="AJ282" s="1713"/>
      <c r="AK282" s="1713"/>
      <c r="AL282" s="1713"/>
      <c r="AM282" s="1713"/>
      <c r="AN282" s="1713"/>
      <c r="AO282" s="1713"/>
      <c r="AP282" s="1713"/>
      <c r="AQ282" s="1713"/>
      <c r="AR282" s="1713"/>
      <c r="AS282" s="1713"/>
      <c r="AT282" s="1713"/>
      <c r="AU282" s="1713"/>
      <c r="AV282" s="1713"/>
      <c r="AW282" s="1713"/>
      <c r="AX282" s="1713"/>
      <c r="AY282" s="1713"/>
      <c r="AZ282" s="1713"/>
      <c r="BA282" s="1713"/>
      <c r="BB282" s="1713"/>
      <c r="BC282" s="1713"/>
      <c r="BD282" s="1713"/>
      <c r="BE282" s="1713"/>
      <c r="BF282" s="1713"/>
      <c r="BG282" s="1713"/>
      <c r="BH282" s="1713"/>
      <c r="BI282" s="1713"/>
      <c r="BJ282" s="1713"/>
      <c r="BK282" s="1713"/>
      <c r="BL282" s="1713"/>
      <c r="BM282" s="1713"/>
      <c r="BN282" s="1713"/>
      <c r="BO282" s="1713"/>
      <c r="BP282" s="1713"/>
      <c r="BQ282" s="1713"/>
      <c r="BR282" s="1713"/>
      <c r="BS282" s="1713"/>
      <c r="BT282" s="1713"/>
      <c r="BU282" s="1713"/>
      <c r="BV282" s="1713"/>
      <c r="BW282" s="1713"/>
      <c r="BX282" s="1713"/>
      <c r="BY282" s="1713"/>
      <c r="BZ282" s="1713"/>
      <c r="CA282" s="1713"/>
      <c r="CB282" s="1713"/>
      <c r="CC282" s="1713"/>
      <c r="CD282" s="1713"/>
      <c r="CE282" s="1669"/>
      <c r="CF282" s="1713"/>
      <c r="CG282" s="1713"/>
      <c r="CH282" s="1713"/>
      <c r="CI282" s="1713"/>
      <c r="CJ282" s="1713"/>
      <c r="CK282" s="1713"/>
      <c r="CL282" s="1713"/>
      <c r="CM282" s="1713"/>
      <c r="CN282" s="1713"/>
      <c r="CO282" s="1713"/>
      <c r="CP282" s="1713"/>
      <c r="CQ282" s="1713"/>
      <c r="CR282" s="1713"/>
      <c r="CS282" s="1713"/>
      <c r="CT282" s="1713"/>
      <c r="CU282" s="1713"/>
      <c r="CV282" s="1713"/>
      <c r="CW282" s="1713"/>
      <c r="CX282" s="1713"/>
      <c r="CY282" s="1680"/>
      <c r="CZ282" s="1713"/>
      <c r="DA282" s="1713"/>
      <c r="DB282" s="1713"/>
      <c r="DC282" s="1713"/>
      <c r="DD282" s="1713"/>
      <c r="DE282" s="1713"/>
      <c r="DF282" s="1713"/>
      <c r="DG282" s="1713"/>
      <c r="DH282" s="1713"/>
      <c r="DI282" s="1713"/>
      <c r="DJ282" s="1713"/>
      <c r="DK282" s="1713"/>
      <c r="DL282" s="1713"/>
      <c r="DM282" s="1713"/>
      <c r="DN282" s="1713"/>
      <c r="DO282" s="1713"/>
      <c r="DP282" s="1713"/>
      <c r="DQ282" s="1713"/>
      <c r="DR282" s="1713"/>
      <c r="DS282" s="1713"/>
      <c r="DT282" s="1713"/>
      <c r="DU282" s="1715"/>
      <c r="DV282" s="1716"/>
    </row>
    <row r="283" spans="1:256" s="545" customFormat="1" ht="18" hidden="1" customHeight="1">
      <c r="A283" s="1685"/>
      <c r="B283" s="1023"/>
      <c r="C283" s="1023"/>
      <c r="D283" s="1023"/>
      <c r="E283" s="1023"/>
      <c r="F283" s="1023"/>
      <c r="G283" s="1023"/>
      <c r="H283" s="1023"/>
      <c r="I283" s="1023"/>
      <c r="J283" s="1023"/>
      <c r="K283" s="1023"/>
      <c r="L283" s="1023"/>
      <c r="M283" s="1023"/>
      <c r="N283" s="1023"/>
      <c r="O283" s="1023"/>
      <c r="P283" s="1023"/>
      <c r="Q283" s="1023"/>
      <c r="R283" s="1023"/>
      <c r="S283" s="1023"/>
      <c r="T283" s="1023"/>
      <c r="U283" s="1023"/>
      <c r="V283" s="1023"/>
      <c r="W283" s="1023"/>
      <c r="X283" s="1023"/>
      <c r="Y283" s="1023"/>
      <c r="Z283" s="1023"/>
      <c r="AA283" s="1023"/>
      <c r="AB283" s="1023"/>
      <c r="AC283" s="1023"/>
      <c r="AD283" s="1023"/>
      <c r="AE283" s="1023"/>
      <c r="AF283" s="1023"/>
      <c r="AG283" s="1023"/>
      <c r="AH283" s="1023"/>
      <c r="AI283" s="1023"/>
      <c r="AJ283" s="1023"/>
      <c r="AK283" s="1023"/>
      <c r="AL283" s="1023"/>
      <c r="AM283" s="1023"/>
      <c r="AN283" s="1023"/>
      <c r="AO283" s="1023"/>
      <c r="AP283" s="1023"/>
      <c r="AQ283" s="1023"/>
      <c r="AR283" s="1023"/>
      <c r="AS283" s="1023"/>
      <c r="AT283" s="1023"/>
      <c r="AU283" s="1023"/>
      <c r="AV283" s="1023"/>
      <c r="AW283" s="1023"/>
      <c r="AX283" s="1023"/>
      <c r="AY283" s="1023"/>
      <c r="AZ283" s="1023"/>
      <c r="BA283" s="1023"/>
      <c r="BB283" s="1023"/>
      <c r="BC283" s="1023"/>
      <c r="BD283" s="1023"/>
      <c r="BE283" s="1023"/>
      <c r="BF283" s="1023"/>
      <c r="BG283" s="1023"/>
      <c r="BH283" s="1023"/>
      <c r="BI283" s="1023"/>
      <c r="BJ283" s="1023"/>
      <c r="BK283" s="1023"/>
      <c r="BL283" s="1023"/>
      <c r="BM283" s="1023"/>
      <c r="BN283" s="1023"/>
      <c r="BO283" s="1023"/>
      <c r="BP283" s="1023"/>
      <c r="BQ283" s="1023"/>
      <c r="BR283" s="1023"/>
      <c r="BS283" s="1023"/>
      <c r="BT283" s="1023"/>
      <c r="BU283" s="1023"/>
      <c r="BV283" s="1023"/>
      <c r="BW283" s="1023"/>
      <c r="BX283" s="1023"/>
      <c r="BY283" s="1023"/>
      <c r="BZ283" s="1023"/>
      <c r="CA283" s="1023"/>
      <c r="CB283" s="1023"/>
      <c r="CC283" s="1023"/>
      <c r="CD283" s="1023"/>
      <c r="CE283" s="1669"/>
      <c r="CF283" s="1023"/>
      <c r="CG283" s="1023"/>
      <c r="CH283" s="1023"/>
      <c r="CI283" s="1023"/>
      <c r="CJ283" s="1023"/>
      <c r="CK283" s="1023"/>
      <c r="CL283" s="1023"/>
      <c r="CM283" s="1023"/>
      <c r="CN283" s="1023"/>
      <c r="CO283" s="1023"/>
      <c r="CP283" s="1023"/>
      <c r="CQ283" s="1023"/>
      <c r="CR283" s="1023"/>
      <c r="CS283" s="1023"/>
      <c r="CT283" s="1023"/>
      <c r="CU283" s="1023"/>
      <c r="CV283" s="1023"/>
      <c r="CW283" s="1023"/>
      <c r="CX283" s="1023"/>
      <c r="CY283" s="1683"/>
      <c r="CZ283" s="1023"/>
      <c r="DA283" s="1023"/>
      <c r="DB283" s="1023"/>
      <c r="DC283" s="1023"/>
      <c r="DD283" s="1023"/>
      <c r="DE283" s="1023"/>
      <c r="DF283" s="1023"/>
      <c r="DG283" s="1023"/>
      <c r="DH283" s="1023"/>
      <c r="DI283" s="1023"/>
      <c r="DJ283" s="1023"/>
      <c r="DK283" s="1023"/>
      <c r="DL283" s="1023"/>
      <c r="DM283" s="1023"/>
      <c r="DN283" s="1023"/>
      <c r="DO283" s="1023"/>
      <c r="DP283" s="1023"/>
      <c r="DQ283" s="1023"/>
      <c r="DR283" s="1023"/>
      <c r="DS283" s="1023"/>
      <c r="DT283" s="1023"/>
      <c r="DU283" s="1023"/>
      <c r="DV283" s="1684"/>
      <c r="DW283" s="530"/>
      <c r="DX283" s="530"/>
      <c r="DY283" s="530"/>
      <c r="DZ283" s="530"/>
      <c r="EA283" s="530"/>
      <c r="EB283" s="530"/>
      <c r="EC283" s="530"/>
      <c r="ED283" s="530"/>
      <c r="EE283" s="530"/>
      <c r="EF283" s="530"/>
      <c r="EG283" s="530"/>
      <c r="EH283" s="530"/>
      <c r="EI283" s="530"/>
      <c r="EJ283" s="530"/>
      <c r="EK283" s="530"/>
      <c r="EL283" s="530"/>
      <c r="EM283" s="530"/>
      <c r="EN283" s="530"/>
      <c r="EO283" s="530"/>
      <c r="EP283" s="530"/>
      <c r="EQ283" s="530"/>
      <c r="ER283" s="530"/>
      <c r="ES283" s="530"/>
      <c r="ET283" s="530"/>
      <c r="EU283" s="530"/>
      <c r="EV283" s="530"/>
      <c r="EW283" s="530"/>
      <c r="EX283" s="530"/>
      <c r="EY283" s="530"/>
      <c r="EZ283" s="530"/>
      <c r="FA283" s="530"/>
      <c r="FB283" s="530"/>
      <c r="FC283" s="530"/>
      <c r="FD283" s="530"/>
      <c r="FE283" s="530"/>
      <c r="FF283" s="530"/>
      <c r="FG283" s="530"/>
      <c r="FH283" s="530"/>
      <c r="FI283" s="530"/>
      <c r="FJ283" s="530"/>
      <c r="FK283" s="530"/>
      <c r="FL283" s="530"/>
      <c r="FM283" s="530"/>
      <c r="FN283" s="530"/>
      <c r="FO283" s="530"/>
      <c r="FP283" s="530"/>
      <c r="FQ283" s="530"/>
      <c r="FR283" s="530"/>
      <c r="FS283" s="530"/>
      <c r="FT283" s="530"/>
      <c r="FU283" s="530"/>
      <c r="FV283" s="530"/>
      <c r="FW283" s="530"/>
      <c r="FX283" s="530"/>
      <c r="FY283" s="530"/>
      <c r="FZ283" s="530"/>
      <c r="GA283" s="530"/>
      <c r="GB283" s="530"/>
      <c r="GC283" s="530"/>
      <c r="GD283" s="530"/>
      <c r="GE283" s="530"/>
      <c r="GF283" s="530"/>
      <c r="GG283" s="530"/>
      <c r="GH283" s="530"/>
      <c r="GI283" s="530"/>
      <c r="GJ283" s="530"/>
      <c r="GK283" s="530"/>
      <c r="GL283" s="530"/>
      <c r="GM283" s="530"/>
      <c r="GN283" s="530"/>
      <c r="GO283" s="530"/>
      <c r="GP283" s="530"/>
      <c r="GQ283" s="530"/>
      <c r="GR283" s="530"/>
      <c r="GS283" s="530"/>
      <c r="GT283" s="530"/>
      <c r="GU283" s="530"/>
      <c r="GV283" s="530"/>
      <c r="GW283" s="530"/>
      <c r="GX283" s="530"/>
      <c r="GY283" s="530"/>
      <c r="GZ283" s="530"/>
      <c r="HA283" s="530"/>
      <c r="HB283" s="530"/>
      <c r="HC283" s="530"/>
      <c r="HD283" s="530"/>
      <c r="HE283" s="530"/>
      <c r="HF283" s="530"/>
      <c r="HG283" s="530"/>
      <c r="HH283" s="530"/>
      <c r="HI283" s="530"/>
      <c r="HJ283" s="530"/>
      <c r="HK283" s="530"/>
      <c r="HL283" s="530"/>
      <c r="HM283" s="530"/>
      <c r="HN283" s="530"/>
      <c r="HO283" s="530"/>
      <c r="HP283" s="530"/>
      <c r="HQ283" s="530"/>
      <c r="HR283" s="530"/>
      <c r="HS283" s="530"/>
      <c r="HT283" s="530"/>
      <c r="HU283" s="530"/>
      <c r="HV283" s="530"/>
      <c r="HW283" s="530"/>
      <c r="HX283" s="530"/>
      <c r="HY283" s="530"/>
      <c r="HZ283" s="530"/>
      <c r="IA283" s="530"/>
      <c r="IB283" s="530"/>
      <c r="IC283" s="530"/>
      <c r="ID283" s="530"/>
      <c r="IE283" s="530"/>
      <c r="IF283" s="530"/>
      <c r="IG283" s="530"/>
      <c r="IH283" s="530"/>
      <c r="II283" s="530"/>
      <c r="IJ283" s="530"/>
      <c r="IK283" s="530"/>
      <c r="IL283" s="530"/>
      <c r="IM283" s="530"/>
      <c r="IN283" s="530"/>
      <c r="IO283" s="530"/>
      <c r="IP283" s="530"/>
      <c r="IQ283" s="530"/>
      <c r="IR283" s="530"/>
      <c r="IS283" s="530"/>
      <c r="IT283" s="530"/>
      <c r="IU283" s="530"/>
      <c r="IV283" s="530"/>
    </row>
    <row r="284" spans="1:256" ht="17.25" hidden="1" customHeight="1">
      <c r="A284" s="1676"/>
      <c r="B284" s="550"/>
      <c r="C284" s="550"/>
      <c r="D284" s="550"/>
      <c r="E284" s="550"/>
      <c r="F284" s="550"/>
      <c r="G284" s="550"/>
      <c r="H284" s="550"/>
      <c r="I284" s="550"/>
      <c r="J284" s="550"/>
      <c r="K284" s="550"/>
      <c r="L284" s="550"/>
      <c r="M284" s="550"/>
      <c r="N284" s="550"/>
      <c r="O284" s="439"/>
      <c r="P284" s="439"/>
      <c r="Q284" s="674"/>
      <c r="R284" s="671"/>
      <c r="S284" s="671"/>
      <c r="T284" s="671"/>
      <c r="U284" s="671"/>
      <c r="V284" s="671"/>
      <c r="W284" s="671"/>
      <c r="X284" s="671"/>
      <c r="Y284" s="671"/>
      <c r="Z284" s="671"/>
      <c r="AA284" s="671"/>
      <c r="AB284" s="671"/>
      <c r="AC284" s="671"/>
      <c r="AD284" s="671"/>
      <c r="AE284" s="623"/>
      <c r="AF284" s="623"/>
      <c r="AG284" s="623"/>
      <c r="AH284" s="623"/>
      <c r="AI284" s="623"/>
      <c r="AJ284" s="623"/>
      <c r="AK284" s="623"/>
      <c r="AL284" s="623"/>
      <c r="AM284" s="623"/>
      <c r="AN284" s="623"/>
      <c r="AO284" s="623"/>
      <c r="AP284" s="623"/>
      <c r="AQ284" s="623"/>
      <c r="AR284" s="623"/>
      <c r="AS284" s="623"/>
      <c r="AT284" s="623"/>
      <c r="AU284" s="623"/>
      <c r="AV284" s="623"/>
      <c r="AW284" s="623"/>
      <c r="AX284" s="623"/>
      <c r="AY284" s="623"/>
      <c r="AZ284" s="623"/>
      <c r="BA284" s="623"/>
      <c r="BB284" s="623"/>
      <c r="BC284" s="623"/>
      <c r="BD284" s="623"/>
      <c r="BE284" s="623"/>
      <c r="BF284" s="623"/>
      <c r="BG284" s="623"/>
      <c r="BH284" s="623"/>
      <c r="BI284" s="623"/>
      <c r="BJ284" s="623"/>
      <c r="BK284" s="623"/>
      <c r="BL284" s="623"/>
      <c r="BM284" s="623"/>
      <c r="BN284" s="623"/>
      <c r="BO284" s="623"/>
      <c r="BP284" s="623"/>
      <c r="BQ284" s="623"/>
      <c r="BR284" s="623"/>
      <c r="BS284" s="623"/>
      <c r="BT284" s="623"/>
      <c r="BU284" s="623"/>
      <c r="BV284" s="623"/>
      <c r="BW284" s="623"/>
      <c r="BX284" s="623"/>
      <c r="BY284" s="623"/>
      <c r="BZ284" s="623"/>
      <c r="CA284" s="623"/>
      <c r="CB284" s="623"/>
      <c r="CC284" s="623"/>
      <c r="CD284" s="623"/>
      <c r="CE284" s="1669"/>
      <c r="CF284" s="623"/>
      <c r="CG284" s="623"/>
      <c r="CH284" s="623"/>
      <c r="CI284" s="623"/>
      <c r="CJ284" s="623"/>
      <c r="CK284" s="623"/>
      <c r="CL284" s="623"/>
      <c r="CM284" s="623"/>
      <c r="CN284" s="623"/>
      <c r="CO284" s="623"/>
      <c r="CP284" s="623"/>
      <c r="CQ284" s="623"/>
      <c r="CR284" s="623"/>
      <c r="CS284" s="623"/>
      <c r="CT284" s="623"/>
      <c r="CU284" s="623"/>
      <c r="CV284" s="623"/>
      <c r="CW284" s="623"/>
      <c r="CX284" s="623"/>
      <c r="CY284" s="817"/>
      <c r="CZ284" s="623"/>
      <c r="DA284" s="623"/>
      <c r="DB284" s="623"/>
      <c r="DC284" s="623"/>
      <c r="DD284" s="623"/>
      <c r="DE284" s="623"/>
      <c r="DF284" s="623"/>
      <c r="DG284" s="623"/>
      <c r="DH284" s="623"/>
      <c r="DI284" s="623"/>
      <c r="DJ284" s="623"/>
      <c r="DK284" s="623"/>
      <c r="DL284" s="623"/>
      <c r="DM284" s="623"/>
      <c r="DN284" s="623"/>
      <c r="DO284" s="623"/>
      <c r="DP284" s="623"/>
      <c r="DQ284" s="623"/>
      <c r="DR284" s="623"/>
      <c r="DS284" s="623"/>
      <c r="DT284" s="623"/>
      <c r="DU284" s="623"/>
      <c r="DV284" s="1675"/>
      <c r="IR284" s="542"/>
      <c r="IS284" s="542"/>
      <c r="IT284" s="542"/>
      <c r="IU284" s="542"/>
      <c r="IV284" s="542"/>
    </row>
    <row r="285" spans="1:256" ht="17.25" hidden="1" customHeight="1">
      <c r="A285" s="1676"/>
      <c r="B285" s="550"/>
      <c r="C285" s="550"/>
      <c r="D285" s="550"/>
      <c r="E285" s="550"/>
      <c r="F285" s="550"/>
      <c r="G285" s="550"/>
      <c r="H285" s="550"/>
      <c r="I285" s="550"/>
      <c r="J285" s="550"/>
      <c r="K285" s="550"/>
      <c r="L285" s="550"/>
      <c r="M285" s="550"/>
      <c r="N285" s="550"/>
      <c r="O285" s="439"/>
      <c r="P285" s="439"/>
      <c r="Q285" s="674"/>
      <c r="R285" s="671"/>
      <c r="S285" s="671"/>
      <c r="T285" s="671"/>
      <c r="U285" s="671"/>
      <c r="V285" s="671"/>
      <c r="W285" s="671"/>
      <c r="X285" s="671"/>
      <c r="Y285" s="671"/>
      <c r="Z285" s="671"/>
      <c r="AA285" s="671"/>
      <c r="AB285" s="671"/>
      <c r="AC285" s="671"/>
      <c r="AD285" s="671"/>
      <c r="AE285" s="623"/>
      <c r="AF285" s="623"/>
      <c r="AG285" s="623"/>
      <c r="AH285" s="623"/>
      <c r="AI285" s="623"/>
      <c r="AJ285" s="623"/>
      <c r="AK285" s="623"/>
      <c r="AL285" s="623"/>
      <c r="AM285" s="623"/>
      <c r="AN285" s="623"/>
      <c r="AO285" s="623"/>
      <c r="AP285" s="623"/>
      <c r="AQ285" s="623"/>
      <c r="AR285" s="623"/>
      <c r="AS285" s="623"/>
      <c r="AT285" s="623"/>
      <c r="AU285" s="623"/>
      <c r="AV285" s="623"/>
      <c r="AW285" s="623"/>
      <c r="AX285" s="623"/>
      <c r="AY285" s="623"/>
      <c r="AZ285" s="623"/>
      <c r="BA285" s="623"/>
      <c r="BB285" s="623"/>
      <c r="BC285" s="623"/>
      <c r="BD285" s="623"/>
      <c r="BE285" s="623"/>
      <c r="BF285" s="623"/>
      <c r="BG285" s="623"/>
      <c r="BH285" s="623"/>
      <c r="BI285" s="623"/>
      <c r="BJ285" s="623"/>
      <c r="BK285" s="623"/>
      <c r="BL285" s="623"/>
      <c r="BM285" s="623"/>
      <c r="BN285" s="623"/>
      <c r="BO285" s="623"/>
      <c r="BP285" s="623"/>
      <c r="BQ285" s="623"/>
      <c r="BR285" s="623"/>
      <c r="BS285" s="623"/>
      <c r="BT285" s="623"/>
      <c r="BU285" s="623"/>
      <c r="BV285" s="623"/>
      <c r="BW285" s="623"/>
      <c r="BX285" s="623"/>
      <c r="BY285" s="623"/>
      <c r="BZ285" s="623"/>
      <c r="CA285" s="623"/>
      <c r="CB285" s="623"/>
      <c r="CC285" s="623"/>
      <c r="CD285" s="623"/>
      <c r="CE285" s="1669"/>
      <c r="CF285" s="623"/>
      <c r="CG285" s="623"/>
      <c r="CH285" s="623"/>
      <c r="CI285" s="623"/>
      <c r="CJ285" s="623"/>
      <c r="CK285" s="623"/>
      <c r="CL285" s="623"/>
      <c r="CM285" s="623"/>
      <c r="CN285" s="623"/>
      <c r="CO285" s="623"/>
      <c r="CP285" s="623"/>
      <c r="CQ285" s="623"/>
      <c r="CR285" s="623"/>
      <c r="CS285" s="623"/>
      <c r="CT285" s="623"/>
      <c r="CU285" s="623"/>
      <c r="CV285" s="623"/>
      <c r="CW285" s="623"/>
      <c r="CX285" s="623"/>
      <c r="CY285" s="817"/>
      <c r="CZ285" s="623"/>
      <c r="DA285" s="623"/>
      <c r="DB285" s="623"/>
      <c r="DC285" s="623"/>
      <c r="DD285" s="623"/>
      <c r="DE285" s="623"/>
      <c r="DF285" s="623"/>
      <c r="DG285" s="623"/>
      <c r="DH285" s="623"/>
      <c r="DI285" s="623"/>
      <c r="DJ285" s="623"/>
      <c r="DK285" s="623"/>
      <c r="DL285" s="623"/>
      <c r="DM285" s="623"/>
      <c r="DN285" s="623"/>
      <c r="DO285" s="623"/>
      <c r="DP285" s="623"/>
      <c r="DQ285" s="623"/>
      <c r="DR285" s="623"/>
      <c r="DS285" s="623"/>
      <c r="DT285" s="623"/>
      <c r="DU285" s="623"/>
      <c r="DV285" s="1675"/>
    </row>
    <row r="286" spans="1:256" ht="17.25" hidden="1" customHeight="1">
      <c r="A286" s="1676"/>
      <c r="B286" s="550"/>
      <c r="C286" s="550"/>
      <c r="D286" s="550"/>
      <c r="E286" s="550"/>
      <c r="F286" s="550"/>
      <c r="G286" s="550"/>
      <c r="H286" s="550"/>
      <c r="I286" s="550"/>
      <c r="J286" s="550"/>
      <c r="K286" s="550"/>
      <c r="L286" s="550"/>
      <c r="M286" s="550"/>
      <c r="N286" s="550"/>
      <c r="O286" s="439"/>
      <c r="P286" s="439"/>
      <c r="Q286" s="674"/>
      <c r="R286" s="671"/>
      <c r="S286" s="671"/>
      <c r="T286" s="671"/>
      <c r="U286" s="671"/>
      <c r="V286" s="671"/>
      <c r="W286" s="671"/>
      <c r="X286" s="671"/>
      <c r="Y286" s="671"/>
      <c r="Z286" s="671"/>
      <c r="AA286" s="671"/>
      <c r="AB286" s="671"/>
      <c r="AC286" s="671"/>
      <c r="AD286" s="671"/>
      <c r="AE286" s="623"/>
      <c r="AF286" s="623"/>
      <c r="AG286" s="623"/>
      <c r="AH286" s="623"/>
      <c r="AI286" s="623"/>
      <c r="AJ286" s="623"/>
      <c r="AK286" s="623"/>
      <c r="AL286" s="623"/>
      <c r="AM286" s="623"/>
      <c r="AN286" s="623"/>
      <c r="AO286" s="623"/>
      <c r="AP286" s="623"/>
      <c r="AQ286" s="623"/>
      <c r="AR286" s="623"/>
      <c r="AS286" s="623"/>
      <c r="AT286" s="623"/>
      <c r="AU286" s="623"/>
      <c r="AV286" s="623"/>
      <c r="AW286" s="623"/>
      <c r="AX286" s="623"/>
      <c r="AY286" s="623"/>
      <c r="AZ286" s="623"/>
      <c r="BA286" s="623"/>
      <c r="BB286" s="623"/>
      <c r="BC286" s="623"/>
      <c r="BD286" s="623"/>
      <c r="BE286" s="623"/>
      <c r="BF286" s="623"/>
      <c r="BG286" s="623"/>
      <c r="BH286" s="623"/>
      <c r="BI286" s="623"/>
      <c r="BJ286" s="623"/>
      <c r="BK286" s="623"/>
      <c r="BL286" s="623"/>
      <c r="BM286" s="623"/>
      <c r="BN286" s="623"/>
      <c r="BO286" s="623"/>
      <c r="BP286" s="623"/>
      <c r="BQ286" s="623"/>
      <c r="BR286" s="623"/>
      <c r="BS286" s="623"/>
      <c r="BT286" s="623"/>
      <c r="BU286" s="623"/>
      <c r="BV286" s="623"/>
      <c r="BW286" s="623"/>
      <c r="BX286" s="623"/>
      <c r="BY286" s="623"/>
      <c r="BZ286" s="623"/>
      <c r="CA286" s="623"/>
      <c r="CB286" s="623"/>
      <c r="CC286" s="623"/>
      <c r="CD286" s="623"/>
      <c r="CE286" s="1669"/>
      <c r="CF286" s="623"/>
      <c r="CG286" s="623"/>
      <c r="CH286" s="623"/>
      <c r="CI286" s="623"/>
      <c r="CJ286" s="623"/>
      <c r="CK286" s="623"/>
      <c r="CL286" s="623"/>
      <c r="CM286" s="623"/>
      <c r="CN286" s="623"/>
      <c r="CO286" s="623"/>
      <c r="CP286" s="623"/>
      <c r="CQ286" s="623"/>
      <c r="CR286" s="623"/>
      <c r="CS286" s="623"/>
      <c r="CT286" s="623"/>
      <c r="CU286" s="623"/>
      <c r="CV286" s="623"/>
      <c r="CW286" s="623"/>
      <c r="CX286" s="623"/>
      <c r="CY286" s="817"/>
      <c r="CZ286" s="623"/>
      <c r="DA286" s="623"/>
      <c r="DB286" s="623"/>
      <c r="DC286" s="623"/>
      <c r="DD286" s="623"/>
      <c r="DE286" s="623"/>
      <c r="DF286" s="623"/>
      <c r="DG286" s="623"/>
      <c r="DH286" s="623"/>
      <c r="DI286" s="623"/>
      <c r="DJ286" s="623"/>
      <c r="DK286" s="623"/>
      <c r="DL286" s="623"/>
      <c r="DM286" s="623"/>
      <c r="DN286" s="623"/>
      <c r="DO286" s="623"/>
      <c r="DP286" s="623"/>
      <c r="DQ286" s="623"/>
      <c r="DR286" s="623"/>
      <c r="DS286" s="623"/>
      <c r="DT286" s="623"/>
      <c r="DU286" s="623"/>
      <c r="DV286" s="1675"/>
    </row>
    <row r="287" spans="1:256" ht="17.25" hidden="1" customHeight="1">
      <c r="A287" s="1676"/>
      <c r="B287" s="550"/>
      <c r="C287" s="550"/>
      <c r="D287" s="550"/>
      <c r="E287" s="550"/>
      <c r="F287" s="550"/>
      <c r="G287" s="550"/>
      <c r="H287" s="550"/>
      <c r="I287" s="550"/>
      <c r="J287" s="550"/>
      <c r="K287" s="550"/>
      <c r="L287" s="550"/>
      <c r="M287" s="550"/>
      <c r="N287" s="550"/>
      <c r="O287" s="439"/>
      <c r="P287" s="439"/>
      <c r="Q287" s="674"/>
      <c r="R287" s="671"/>
      <c r="S287" s="671"/>
      <c r="T287" s="671"/>
      <c r="U287" s="671"/>
      <c r="V287" s="671"/>
      <c r="W287" s="671"/>
      <c r="X287" s="671"/>
      <c r="Y287" s="671"/>
      <c r="Z287" s="671"/>
      <c r="AA287" s="671"/>
      <c r="AB287" s="671"/>
      <c r="AC287" s="671"/>
      <c r="AD287" s="671"/>
      <c r="AE287" s="623"/>
      <c r="AF287" s="623"/>
      <c r="AG287" s="623"/>
      <c r="AH287" s="623"/>
      <c r="AI287" s="623"/>
      <c r="AJ287" s="623"/>
      <c r="AK287" s="623"/>
      <c r="AL287" s="623"/>
      <c r="AM287" s="623"/>
      <c r="AN287" s="623"/>
      <c r="AO287" s="623"/>
      <c r="AP287" s="623"/>
      <c r="AQ287" s="623"/>
      <c r="AR287" s="623"/>
      <c r="AS287" s="623"/>
      <c r="AT287" s="623"/>
      <c r="AU287" s="623"/>
      <c r="AV287" s="623"/>
      <c r="AW287" s="623"/>
      <c r="AX287" s="623"/>
      <c r="AY287" s="623"/>
      <c r="AZ287" s="623"/>
      <c r="BA287" s="623"/>
      <c r="BB287" s="623"/>
      <c r="BC287" s="623"/>
      <c r="BD287" s="623"/>
      <c r="BE287" s="623"/>
      <c r="BF287" s="623"/>
      <c r="BG287" s="623"/>
      <c r="BH287" s="623"/>
      <c r="BI287" s="623"/>
      <c r="BJ287" s="623"/>
      <c r="BK287" s="623"/>
      <c r="BL287" s="623"/>
      <c r="BM287" s="623"/>
      <c r="BN287" s="623"/>
      <c r="BO287" s="623"/>
      <c r="BP287" s="623"/>
      <c r="BQ287" s="623"/>
      <c r="BR287" s="623"/>
      <c r="BS287" s="623"/>
      <c r="BT287" s="623"/>
      <c r="BU287" s="623"/>
      <c r="BV287" s="623"/>
      <c r="BW287" s="623"/>
      <c r="BX287" s="623"/>
      <c r="BY287" s="623"/>
      <c r="BZ287" s="623"/>
      <c r="CA287" s="623"/>
      <c r="CB287" s="623"/>
      <c r="CC287" s="623"/>
      <c r="CD287" s="623"/>
      <c r="CE287" s="1669"/>
      <c r="CF287" s="623"/>
      <c r="CG287" s="623"/>
      <c r="CH287" s="623"/>
      <c r="CI287" s="623"/>
      <c r="CJ287" s="623"/>
      <c r="CK287" s="623"/>
      <c r="CL287" s="623"/>
      <c r="CM287" s="623"/>
      <c r="CN287" s="623"/>
      <c r="CO287" s="623"/>
      <c r="CP287" s="623"/>
      <c r="CQ287" s="623"/>
      <c r="CR287" s="623"/>
      <c r="CS287" s="623"/>
      <c r="CT287" s="623"/>
      <c r="CU287" s="623"/>
      <c r="CV287" s="623"/>
      <c r="CW287" s="623"/>
      <c r="CX287" s="623"/>
      <c r="CY287" s="817"/>
      <c r="CZ287" s="623"/>
      <c r="DA287" s="623"/>
      <c r="DB287" s="623"/>
      <c r="DC287" s="623"/>
      <c r="DD287" s="623"/>
      <c r="DE287" s="623"/>
      <c r="DF287" s="623"/>
      <c r="DG287" s="623"/>
      <c r="DH287" s="623"/>
      <c r="DI287" s="623"/>
      <c r="DJ287" s="623"/>
      <c r="DK287" s="623"/>
      <c r="DL287" s="623"/>
      <c r="DM287" s="623"/>
      <c r="DN287" s="623"/>
      <c r="DO287" s="623"/>
      <c r="DP287" s="623"/>
      <c r="DQ287" s="623"/>
      <c r="DR287" s="623"/>
      <c r="DS287" s="623"/>
      <c r="DT287" s="623"/>
      <c r="DU287" s="623"/>
      <c r="DV287" s="1675"/>
    </row>
    <row r="288" spans="1:256" ht="17.25" hidden="1" customHeight="1">
      <c r="A288" s="1676"/>
      <c r="B288" s="550"/>
      <c r="C288" s="550"/>
      <c r="D288" s="550"/>
      <c r="E288" s="550"/>
      <c r="F288" s="550"/>
      <c r="G288" s="550"/>
      <c r="H288" s="550"/>
      <c r="I288" s="550"/>
      <c r="J288" s="550"/>
      <c r="K288" s="550"/>
      <c r="L288" s="550"/>
      <c r="M288" s="550"/>
      <c r="N288" s="550"/>
      <c r="O288" s="439"/>
      <c r="P288" s="439"/>
      <c r="Q288" s="674"/>
      <c r="R288" s="671"/>
      <c r="S288" s="671"/>
      <c r="T288" s="671"/>
      <c r="U288" s="671"/>
      <c r="V288" s="671"/>
      <c r="W288" s="671"/>
      <c r="X288" s="671"/>
      <c r="Y288" s="671"/>
      <c r="Z288" s="671"/>
      <c r="AA288" s="671"/>
      <c r="AB288" s="671"/>
      <c r="AC288" s="671"/>
      <c r="AD288" s="671"/>
      <c r="AE288" s="623"/>
      <c r="AF288" s="623"/>
      <c r="AG288" s="623"/>
      <c r="AH288" s="623"/>
      <c r="AI288" s="623"/>
      <c r="AJ288" s="623"/>
      <c r="AK288" s="623"/>
      <c r="AL288" s="623"/>
      <c r="AM288" s="623"/>
      <c r="AN288" s="623"/>
      <c r="AO288" s="623"/>
      <c r="AP288" s="623"/>
      <c r="AQ288" s="623"/>
      <c r="AR288" s="623"/>
      <c r="AS288" s="623"/>
      <c r="AT288" s="623"/>
      <c r="AU288" s="623"/>
      <c r="AV288" s="623"/>
      <c r="AW288" s="623"/>
      <c r="AX288" s="623"/>
      <c r="AY288" s="623"/>
      <c r="AZ288" s="623"/>
      <c r="BA288" s="623"/>
      <c r="BB288" s="623"/>
      <c r="BC288" s="623"/>
      <c r="BD288" s="623"/>
      <c r="BE288" s="623"/>
      <c r="BF288" s="623"/>
      <c r="BG288" s="623"/>
      <c r="BH288" s="623"/>
      <c r="BI288" s="623"/>
      <c r="BJ288" s="623"/>
      <c r="BK288" s="623"/>
      <c r="BL288" s="623"/>
      <c r="BM288" s="623"/>
      <c r="BN288" s="623"/>
      <c r="BO288" s="623"/>
      <c r="BP288" s="623"/>
      <c r="BQ288" s="623"/>
      <c r="BR288" s="623"/>
      <c r="BS288" s="623"/>
      <c r="BT288" s="623"/>
      <c r="BU288" s="623"/>
      <c r="BV288" s="623"/>
      <c r="BW288" s="623"/>
      <c r="BX288" s="623"/>
      <c r="BY288" s="623"/>
      <c r="BZ288" s="623"/>
      <c r="CA288" s="623"/>
      <c r="CB288" s="623"/>
      <c r="CC288" s="623"/>
      <c r="CD288" s="623"/>
      <c r="CE288" s="1669"/>
      <c r="CF288" s="623"/>
      <c r="CG288" s="623"/>
      <c r="CH288" s="623"/>
      <c r="CI288" s="623"/>
      <c r="CJ288" s="623"/>
      <c r="CK288" s="623"/>
      <c r="CL288" s="623"/>
      <c r="CM288" s="623"/>
      <c r="CN288" s="623"/>
      <c r="CO288" s="623"/>
      <c r="CP288" s="623"/>
      <c r="CQ288" s="623"/>
      <c r="CR288" s="623"/>
      <c r="CS288" s="623"/>
      <c r="CT288" s="623"/>
      <c r="CU288" s="623"/>
      <c r="CV288" s="623"/>
      <c r="CW288" s="623"/>
      <c r="CX288" s="623"/>
      <c r="CY288" s="817"/>
      <c r="CZ288" s="623"/>
      <c r="DA288" s="623"/>
      <c r="DB288" s="623"/>
      <c r="DC288" s="623"/>
      <c r="DD288" s="623"/>
      <c r="DE288" s="623"/>
      <c r="DF288" s="623"/>
      <c r="DG288" s="623"/>
      <c r="DH288" s="623"/>
      <c r="DI288" s="623"/>
      <c r="DJ288" s="623"/>
      <c r="DK288" s="623"/>
      <c r="DL288" s="623"/>
      <c r="DM288" s="623"/>
      <c r="DN288" s="623"/>
      <c r="DO288" s="623"/>
      <c r="DP288" s="623"/>
      <c r="DQ288" s="623"/>
      <c r="DR288" s="623"/>
      <c r="DS288" s="623"/>
      <c r="DT288" s="623"/>
      <c r="DU288" s="623"/>
      <c r="DV288" s="1675"/>
    </row>
    <row r="289" spans="1:256" ht="17.25" hidden="1" customHeight="1">
      <c r="A289" s="1676"/>
      <c r="B289" s="550"/>
      <c r="C289" s="550"/>
      <c r="D289" s="550"/>
      <c r="E289" s="550"/>
      <c r="F289" s="550"/>
      <c r="G289" s="550"/>
      <c r="H289" s="550"/>
      <c r="I289" s="550"/>
      <c r="J289" s="550"/>
      <c r="K289" s="550"/>
      <c r="L289" s="550"/>
      <c r="M289" s="550"/>
      <c r="N289" s="550"/>
      <c r="O289" s="439"/>
      <c r="P289" s="439"/>
      <c r="Q289" s="674"/>
      <c r="R289" s="671"/>
      <c r="S289" s="671"/>
      <c r="T289" s="671"/>
      <c r="U289" s="671"/>
      <c r="V289" s="671"/>
      <c r="W289" s="671"/>
      <c r="X289" s="671"/>
      <c r="Y289" s="671"/>
      <c r="Z289" s="671"/>
      <c r="AA289" s="671"/>
      <c r="AB289" s="671"/>
      <c r="AC289" s="671"/>
      <c r="AD289" s="671"/>
      <c r="AE289" s="623"/>
      <c r="AF289" s="623"/>
      <c r="AG289" s="623"/>
      <c r="AH289" s="623"/>
      <c r="AI289" s="623"/>
      <c r="AJ289" s="623"/>
      <c r="AK289" s="623"/>
      <c r="AL289" s="623"/>
      <c r="AM289" s="623"/>
      <c r="AN289" s="623"/>
      <c r="AO289" s="623"/>
      <c r="AP289" s="623"/>
      <c r="AQ289" s="623"/>
      <c r="AR289" s="623"/>
      <c r="AS289" s="623"/>
      <c r="AT289" s="623"/>
      <c r="AU289" s="623"/>
      <c r="AV289" s="623"/>
      <c r="AW289" s="623"/>
      <c r="AX289" s="623"/>
      <c r="AY289" s="623"/>
      <c r="AZ289" s="623"/>
      <c r="BA289" s="623"/>
      <c r="BB289" s="623"/>
      <c r="BC289" s="623"/>
      <c r="BD289" s="623"/>
      <c r="BE289" s="623"/>
      <c r="BF289" s="623"/>
      <c r="BG289" s="623"/>
      <c r="BH289" s="623"/>
      <c r="BI289" s="623"/>
      <c r="BJ289" s="623"/>
      <c r="BK289" s="623"/>
      <c r="BL289" s="623"/>
      <c r="BM289" s="623"/>
      <c r="BN289" s="623"/>
      <c r="BO289" s="623"/>
      <c r="BP289" s="623"/>
      <c r="BQ289" s="623"/>
      <c r="BR289" s="623"/>
      <c r="BS289" s="623"/>
      <c r="BT289" s="623"/>
      <c r="BU289" s="623"/>
      <c r="BV289" s="623"/>
      <c r="BW289" s="623"/>
      <c r="BX289" s="623"/>
      <c r="BY289" s="623"/>
      <c r="BZ289" s="623"/>
      <c r="CA289" s="623"/>
      <c r="CB289" s="623"/>
      <c r="CC289" s="623"/>
      <c r="CD289" s="623"/>
      <c r="CE289" s="1669"/>
      <c r="CF289" s="623"/>
      <c r="CG289" s="623"/>
      <c r="CH289" s="623"/>
      <c r="CI289" s="623"/>
      <c r="CJ289" s="623"/>
      <c r="CK289" s="623"/>
      <c r="CL289" s="623"/>
      <c r="CM289" s="623"/>
      <c r="CN289" s="623"/>
      <c r="CO289" s="623"/>
      <c r="CP289" s="623"/>
      <c r="CQ289" s="623"/>
      <c r="CR289" s="623"/>
      <c r="CS289" s="623"/>
      <c r="CT289" s="623"/>
      <c r="CU289" s="623"/>
      <c r="CV289" s="623"/>
      <c r="CW289" s="623"/>
      <c r="CX289" s="623"/>
      <c r="CY289" s="817"/>
      <c r="CZ289" s="623"/>
      <c r="DA289" s="623"/>
      <c r="DB289" s="623"/>
      <c r="DC289" s="623"/>
      <c r="DD289" s="623"/>
      <c r="DE289" s="623"/>
      <c r="DF289" s="623"/>
      <c r="DG289" s="623"/>
      <c r="DH289" s="623"/>
      <c r="DI289" s="623"/>
      <c r="DJ289" s="623"/>
      <c r="DK289" s="623"/>
      <c r="DL289" s="623"/>
      <c r="DM289" s="623"/>
      <c r="DN289" s="623"/>
      <c r="DO289" s="623"/>
      <c r="DP289" s="623"/>
      <c r="DQ289" s="623"/>
      <c r="DR289" s="623"/>
      <c r="DS289" s="623"/>
      <c r="DT289" s="623"/>
      <c r="DU289" s="623"/>
      <c r="DV289" s="1675"/>
    </row>
    <row r="290" spans="1:256" ht="17.25" hidden="1" customHeight="1">
      <c r="A290" s="1676"/>
      <c r="B290" s="550"/>
      <c r="C290" s="550"/>
      <c r="D290" s="550"/>
      <c r="E290" s="550"/>
      <c r="F290" s="550"/>
      <c r="G290" s="550"/>
      <c r="H290" s="550"/>
      <c r="I290" s="550"/>
      <c r="J290" s="550"/>
      <c r="K290" s="550"/>
      <c r="L290" s="550"/>
      <c r="M290" s="550"/>
      <c r="N290" s="550"/>
      <c r="O290" s="439"/>
      <c r="P290" s="439"/>
      <c r="Q290" s="674"/>
      <c r="R290" s="671"/>
      <c r="S290" s="671"/>
      <c r="T290" s="671"/>
      <c r="U290" s="671"/>
      <c r="V290" s="671"/>
      <c r="W290" s="671"/>
      <c r="X290" s="671"/>
      <c r="Y290" s="671"/>
      <c r="Z290" s="671"/>
      <c r="AA290" s="671"/>
      <c r="AB290" s="671"/>
      <c r="AC290" s="671"/>
      <c r="AD290" s="671"/>
      <c r="AE290" s="623"/>
      <c r="AF290" s="623"/>
      <c r="AG290" s="623"/>
      <c r="AH290" s="623"/>
      <c r="AI290" s="623"/>
      <c r="AJ290" s="623"/>
      <c r="AK290" s="623"/>
      <c r="AL290" s="623"/>
      <c r="AM290" s="623"/>
      <c r="AN290" s="623"/>
      <c r="AO290" s="623"/>
      <c r="AP290" s="623"/>
      <c r="AQ290" s="623"/>
      <c r="AR290" s="623"/>
      <c r="AS290" s="623"/>
      <c r="AT290" s="623"/>
      <c r="AU290" s="623"/>
      <c r="AV290" s="623"/>
      <c r="AW290" s="623"/>
      <c r="AX290" s="623"/>
      <c r="AY290" s="623"/>
      <c r="AZ290" s="623"/>
      <c r="BA290" s="623"/>
      <c r="BB290" s="623"/>
      <c r="BC290" s="623"/>
      <c r="BD290" s="623"/>
      <c r="BE290" s="623"/>
      <c r="BF290" s="623"/>
      <c r="BG290" s="623"/>
      <c r="BH290" s="623"/>
      <c r="BI290" s="623"/>
      <c r="BJ290" s="623"/>
      <c r="BK290" s="623"/>
      <c r="BL290" s="623"/>
      <c r="BM290" s="623"/>
      <c r="BN290" s="623"/>
      <c r="BO290" s="623"/>
      <c r="BP290" s="623"/>
      <c r="BQ290" s="623"/>
      <c r="BR290" s="623"/>
      <c r="BS290" s="623"/>
      <c r="BT290" s="623"/>
      <c r="BU290" s="623"/>
      <c r="BV290" s="623"/>
      <c r="BW290" s="623"/>
      <c r="BX290" s="623"/>
      <c r="BY290" s="623"/>
      <c r="BZ290" s="623"/>
      <c r="CA290" s="623"/>
      <c r="CB290" s="623"/>
      <c r="CC290" s="623"/>
      <c r="CD290" s="623"/>
      <c r="CE290" s="1669"/>
      <c r="CF290" s="623"/>
      <c r="CG290" s="623"/>
      <c r="CH290" s="623"/>
      <c r="CI290" s="623"/>
      <c r="CJ290" s="623"/>
      <c r="CK290" s="623"/>
      <c r="CL290" s="623"/>
      <c r="CM290" s="623"/>
      <c r="CN290" s="623"/>
      <c r="CO290" s="623"/>
      <c r="CP290" s="623"/>
      <c r="CQ290" s="623"/>
      <c r="CR290" s="623"/>
      <c r="CS290" s="623"/>
      <c r="CT290" s="623"/>
      <c r="CU290" s="623"/>
      <c r="CV290" s="623"/>
      <c r="CW290" s="623"/>
      <c r="CX290" s="623"/>
      <c r="CY290" s="817"/>
      <c r="CZ290" s="623"/>
      <c r="DA290" s="623"/>
      <c r="DB290" s="623"/>
      <c r="DC290" s="623"/>
      <c r="DD290" s="623"/>
      <c r="DE290" s="623"/>
      <c r="DF290" s="623"/>
      <c r="DG290" s="623"/>
      <c r="DH290" s="623"/>
      <c r="DI290" s="623"/>
      <c r="DJ290" s="623"/>
      <c r="DK290" s="623"/>
      <c r="DL290" s="623"/>
      <c r="DM290" s="623"/>
      <c r="DN290" s="623"/>
      <c r="DO290" s="623"/>
      <c r="DP290" s="623"/>
      <c r="DQ290" s="623"/>
      <c r="DR290" s="623"/>
      <c r="DS290" s="623"/>
      <c r="DT290" s="623"/>
      <c r="DU290" s="623"/>
      <c r="DV290" s="1675"/>
    </row>
    <row r="291" spans="1:256" ht="17.25" hidden="1" customHeight="1">
      <c r="A291" s="1676"/>
      <c r="B291" s="550"/>
      <c r="C291" s="550"/>
      <c r="D291" s="550"/>
      <c r="E291" s="550"/>
      <c r="F291" s="550"/>
      <c r="G291" s="550"/>
      <c r="H291" s="550"/>
      <c r="I291" s="550"/>
      <c r="J291" s="550"/>
      <c r="K291" s="550"/>
      <c r="L291" s="550"/>
      <c r="M291" s="550"/>
      <c r="N291" s="550"/>
      <c r="O291" s="439"/>
      <c r="P291" s="439"/>
      <c r="Q291" s="674"/>
      <c r="R291" s="671"/>
      <c r="S291" s="671"/>
      <c r="T291" s="671"/>
      <c r="U291" s="671"/>
      <c r="V291" s="671"/>
      <c r="W291" s="671"/>
      <c r="X291" s="671"/>
      <c r="Y291" s="671"/>
      <c r="Z291" s="671"/>
      <c r="AA291" s="671"/>
      <c r="AB291" s="671"/>
      <c r="AC291" s="671"/>
      <c r="AD291" s="671"/>
      <c r="AE291" s="623"/>
      <c r="AF291" s="623"/>
      <c r="AG291" s="623"/>
      <c r="AH291" s="623"/>
      <c r="AI291" s="623"/>
      <c r="AJ291" s="623"/>
      <c r="AK291" s="623"/>
      <c r="AL291" s="623"/>
      <c r="AM291" s="623"/>
      <c r="AN291" s="623"/>
      <c r="AO291" s="623"/>
      <c r="AP291" s="623"/>
      <c r="AQ291" s="623"/>
      <c r="AR291" s="623"/>
      <c r="AS291" s="623"/>
      <c r="AT291" s="623"/>
      <c r="AU291" s="623"/>
      <c r="AV291" s="623"/>
      <c r="AW291" s="623"/>
      <c r="AX291" s="623"/>
      <c r="AY291" s="623"/>
      <c r="AZ291" s="623"/>
      <c r="BA291" s="623"/>
      <c r="BB291" s="623"/>
      <c r="BC291" s="623"/>
      <c r="BD291" s="623"/>
      <c r="BE291" s="623"/>
      <c r="BF291" s="623"/>
      <c r="BG291" s="623"/>
      <c r="BH291" s="623"/>
      <c r="BI291" s="623"/>
      <c r="BJ291" s="623"/>
      <c r="BK291" s="623"/>
      <c r="BL291" s="623"/>
      <c r="BM291" s="623"/>
      <c r="BN291" s="623"/>
      <c r="BO291" s="623"/>
      <c r="BP291" s="623"/>
      <c r="BQ291" s="623"/>
      <c r="BR291" s="623"/>
      <c r="BS291" s="623"/>
      <c r="BT291" s="623"/>
      <c r="BU291" s="623"/>
      <c r="BV291" s="623"/>
      <c r="BW291" s="623"/>
      <c r="BX291" s="623"/>
      <c r="BY291" s="623"/>
      <c r="BZ291" s="623"/>
      <c r="CA291" s="623"/>
      <c r="CB291" s="623"/>
      <c r="CC291" s="623"/>
      <c r="CD291" s="623"/>
      <c r="CE291" s="1669"/>
      <c r="CF291" s="623"/>
      <c r="CG291" s="623"/>
      <c r="CH291" s="623"/>
      <c r="CI291" s="623"/>
      <c r="CJ291" s="623"/>
      <c r="CK291" s="623"/>
      <c r="CL291" s="623"/>
      <c r="CM291" s="623"/>
      <c r="CN291" s="623"/>
      <c r="CO291" s="623"/>
      <c r="CP291" s="623"/>
      <c r="CQ291" s="623"/>
      <c r="CR291" s="623"/>
      <c r="CS291" s="623"/>
      <c r="CT291" s="623"/>
      <c r="CU291" s="623"/>
      <c r="CV291" s="623"/>
      <c r="CW291" s="623"/>
      <c r="CX291" s="623"/>
      <c r="CY291" s="817"/>
      <c r="CZ291" s="623"/>
      <c r="DA291" s="623"/>
      <c r="DB291" s="623"/>
      <c r="DC291" s="623"/>
      <c r="DD291" s="623"/>
      <c r="DE291" s="623"/>
      <c r="DF291" s="623"/>
      <c r="DG291" s="623"/>
      <c r="DH291" s="623"/>
      <c r="DI291" s="623"/>
      <c r="DJ291" s="623"/>
      <c r="DK291" s="623"/>
      <c r="DL291" s="623"/>
      <c r="DM291" s="623"/>
      <c r="DN291" s="623"/>
      <c r="DO291" s="623"/>
      <c r="DP291" s="623"/>
      <c r="DQ291" s="623"/>
      <c r="DR291" s="623"/>
      <c r="DS291" s="623"/>
      <c r="DT291" s="623"/>
      <c r="DU291" s="623"/>
      <c r="DV291" s="1675"/>
    </row>
    <row r="292" spans="1:256" ht="17.25" hidden="1" customHeight="1">
      <c r="A292" s="1676"/>
      <c r="B292" s="550"/>
      <c r="C292" s="550"/>
      <c r="D292" s="550"/>
      <c r="E292" s="550"/>
      <c r="F292" s="550"/>
      <c r="G292" s="550"/>
      <c r="H292" s="550"/>
      <c r="I292" s="550"/>
      <c r="J292" s="550"/>
      <c r="K292" s="550"/>
      <c r="L292" s="550"/>
      <c r="M292" s="550"/>
      <c r="N292" s="550"/>
      <c r="O292" s="439"/>
      <c r="P292" s="439"/>
      <c r="Q292" s="674"/>
      <c r="R292" s="671"/>
      <c r="S292" s="671"/>
      <c r="T292" s="671"/>
      <c r="U292" s="671"/>
      <c r="V292" s="671"/>
      <c r="W292" s="671"/>
      <c r="X292" s="671"/>
      <c r="Y292" s="671"/>
      <c r="Z292" s="671"/>
      <c r="AA292" s="671"/>
      <c r="AB292" s="671"/>
      <c r="AC292" s="671"/>
      <c r="AD292" s="671"/>
      <c r="AE292" s="623"/>
      <c r="AF292" s="623"/>
      <c r="AG292" s="623"/>
      <c r="AH292" s="623"/>
      <c r="AI292" s="623"/>
      <c r="AJ292" s="623"/>
      <c r="AK292" s="623"/>
      <c r="AL292" s="623"/>
      <c r="AM292" s="623"/>
      <c r="AN292" s="623"/>
      <c r="AO292" s="623"/>
      <c r="AP292" s="623"/>
      <c r="AQ292" s="623"/>
      <c r="AR292" s="623"/>
      <c r="AS292" s="623"/>
      <c r="AT292" s="623"/>
      <c r="AU292" s="623"/>
      <c r="AV292" s="623"/>
      <c r="AW292" s="623"/>
      <c r="AX292" s="623"/>
      <c r="AY292" s="623"/>
      <c r="AZ292" s="623"/>
      <c r="BA292" s="623"/>
      <c r="BB292" s="623"/>
      <c r="BC292" s="623"/>
      <c r="BD292" s="623"/>
      <c r="BE292" s="623"/>
      <c r="BF292" s="623"/>
      <c r="BG292" s="623"/>
      <c r="BH292" s="623"/>
      <c r="BI292" s="623"/>
      <c r="BJ292" s="623"/>
      <c r="BK292" s="623"/>
      <c r="BL292" s="623"/>
      <c r="BM292" s="623"/>
      <c r="BN292" s="623"/>
      <c r="BO292" s="623"/>
      <c r="BP292" s="623"/>
      <c r="BQ292" s="623"/>
      <c r="BR292" s="623"/>
      <c r="BS292" s="623"/>
      <c r="BT292" s="623"/>
      <c r="BU292" s="623"/>
      <c r="BV292" s="623"/>
      <c r="BW292" s="623"/>
      <c r="BX292" s="623"/>
      <c r="BY292" s="623"/>
      <c r="BZ292" s="623"/>
      <c r="CA292" s="623"/>
      <c r="CB292" s="623"/>
      <c r="CC292" s="623"/>
      <c r="CD292" s="623"/>
      <c r="CE292" s="1669"/>
      <c r="CF292" s="623"/>
      <c r="CG292" s="623"/>
      <c r="CH292" s="623"/>
      <c r="CI292" s="623"/>
      <c r="CJ292" s="623"/>
      <c r="CK292" s="623"/>
      <c r="CL292" s="623"/>
      <c r="CM292" s="623"/>
      <c r="CN292" s="623"/>
      <c r="CO292" s="623"/>
      <c r="CP292" s="623"/>
      <c r="CQ292" s="623"/>
      <c r="CR292" s="623"/>
      <c r="CS292" s="623"/>
      <c r="CT292" s="623"/>
      <c r="CU292" s="623"/>
      <c r="CV292" s="623"/>
      <c r="CW292" s="623"/>
      <c r="CX292" s="623"/>
      <c r="CY292" s="817"/>
      <c r="CZ292" s="623"/>
      <c r="DA292" s="623"/>
      <c r="DB292" s="623"/>
      <c r="DC292" s="623"/>
      <c r="DD292" s="623"/>
      <c r="DE292" s="623"/>
      <c r="DF292" s="623"/>
      <c r="DG292" s="623"/>
      <c r="DH292" s="623"/>
      <c r="DI292" s="623"/>
      <c r="DJ292" s="623"/>
      <c r="DK292" s="623"/>
      <c r="DL292" s="623"/>
      <c r="DM292" s="623"/>
      <c r="DN292" s="623"/>
      <c r="DO292" s="623"/>
      <c r="DP292" s="623"/>
      <c r="DQ292" s="623"/>
      <c r="DR292" s="623"/>
      <c r="DS292" s="623"/>
      <c r="DT292" s="623"/>
      <c r="DU292" s="623"/>
      <c r="DV292" s="1675"/>
    </row>
    <row r="293" spans="1:256" ht="17.25" hidden="1" customHeight="1">
      <c r="A293" s="1676"/>
      <c r="B293" s="550"/>
      <c r="C293" s="550"/>
      <c r="D293" s="550"/>
      <c r="E293" s="550"/>
      <c r="F293" s="550"/>
      <c r="G293" s="550"/>
      <c r="H293" s="550"/>
      <c r="I293" s="550"/>
      <c r="J293" s="550"/>
      <c r="K293" s="550"/>
      <c r="L293" s="550"/>
      <c r="M293" s="550"/>
      <c r="N293" s="550"/>
      <c r="O293" s="439"/>
      <c r="P293" s="439"/>
      <c r="Q293" s="674"/>
      <c r="R293" s="671"/>
      <c r="S293" s="671"/>
      <c r="T293" s="671"/>
      <c r="U293" s="671"/>
      <c r="V293" s="671"/>
      <c r="W293" s="671"/>
      <c r="X293" s="671"/>
      <c r="Y293" s="671"/>
      <c r="Z293" s="671"/>
      <c r="AA293" s="671"/>
      <c r="AB293" s="671"/>
      <c r="AC293" s="671"/>
      <c r="AD293" s="671"/>
      <c r="AE293" s="623"/>
      <c r="AF293" s="623"/>
      <c r="AG293" s="623"/>
      <c r="AH293" s="623"/>
      <c r="AI293" s="623"/>
      <c r="AJ293" s="623"/>
      <c r="AK293" s="623"/>
      <c r="AL293" s="623"/>
      <c r="AM293" s="623"/>
      <c r="AN293" s="623"/>
      <c r="AO293" s="623"/>
      <c r="AP293" s="623"/>
      <c r="AQ293" s="623"/>
      <c r="AR293" s="623"/>
      <c r="AS293" s="623"/>
      <c r="AT293" s="623"/>
      <c r="AU293" s="623"/>
      <c r="AV293" s="623"/>
      <c r="AW293" s="623"/>
      <c r="AX293" s="623"/>
      <c r="AY293" s="623"/>
      <c r="AZ293" s="623"/>
      <c r="BA293" s="623"/>
      <c r="BB293" s="623"/>
      <c r="BC293" s="623"/>
      <c r="BD293" s="623"/>
      <c r="BE293" s="623"/>
      <c r="BF293" s="623"/>
      <c r="BG293" s="623"/>
      <c r="BH293" s="623"/>
      <c r="BI293" s="623"/>
      <c r="BJ293" s="623"/>
      <c r="BK293" s="623"/>
      <c r="BL293" s="623"/>
      <c r="BM293" s="623"/>
      <c r="BN293" s="623"/>
      <c r="BO293" s="623"/>
      <c r="BP293" s="623"/>
      <c r="BQ293" s="623"/>
      <c r="BR293" s="623"/>
      <c r="BS293" s="623"/>
      <c r="BT293" s="623"/>
      <c r="BU293" s="623"/>
      <c r="BV293" s="623"/>
      <c r="BW293" s="623"/>
      <c r="BX293" s="623"/>
      <c r="BY293" s="623"/>
      <c r="BZ293" s="623"/>
      <c r="CA293" s="623"/>
      <c r="CB293" s="623"/>
      <c r="CC293" s="623"/>
      <c r="CD293" s="623"/>
      <c r="CE293" s="1669"/>
      <c r="CF293" s="623"/>
      <c r="CG293" s="623"/>
      <c r="CH293" s="623"/>
      <c r="CI293" s="623"/>
      <c r="CJ293" s="623"/>
      <c r="CK293" s="623"/>
      <c r="CL293" s="623"/>
      <c r="CM293" s="623"/>
      <c r="CN293" s="623"/>
      <c r="CO293" s="623"/>
      <c r="CP293" s="623"/>
      <c r="CQ293" s="623"/>
      <c r="CR293" s="623"/>
      <c r="CS293" s="623"/>
      <c r="CT293" s="623"/>
      <c r="CU293" s="623"/>
      <c r="CV293" s="623"/>
      <c r="CW293" s="623"/>
      <c r="CX293" s="623"/>
      <c r="CY293" s="817"/>
      <c r="CZ293" s="623"/>
      <c r="DA293" s="623"/>
      <c r="DB293" s="623"/>
      <c r="DC293" s="623"/>
      <c r="DD293" s="623"/>
      <c r="DE293" s="623"/>
      <c r="DF293" s="623"/>
      <c r="DG293" s="623"/>
      <c r="DH293" s="623"/>
      <c r="DI293" s="623"/>
      <c r="DJ293" s="623"/>
      <c r="DK293" s="623"/>
      <c r="DL293" s="623"/>
      <c r="DM293" s="623"/>
      <c r="DN293" s="623"/>
      <c r="DO293" s="623"/>
      <c r="DP293" s="623"/>
      <c r="DQ293" s="623"/>
      <c r="DR293" s="623"/>
      <c r="DS293" s="623"/>
      <c r="DT293" s="623"/>
      <c r="DU293" s="623"/>
      <c r="DV293" s="1675"/>
    </row>
    <row r="294" spans="1:256" ht="17.25" hidden="1" customHeight="1">
      <c r="A294" s="1676"/>
      <c r="B294" s="550"/>
      <c r="C294" s="550"/>
      <c r="D294" s="550"/>
      <c r="E294" s="550"/>
      <c r="F294" s="550"/>
      <c r="G294" s="550"/>
      <c r="H294" s="550"/>
      <c r="I294" s="550"/>
      <c r="J294" s="550"/>
      <c r="K294" s="550"/>
      <c r="L294" s="550"/>
      <c r="M294" s="550"/>
      <c r="N294" s="550"/>
      <c r="O294" s="439"/>
      <c r="P294" s="439"/>
      <c r="Q294" s="674"/>
      <c r="R294" s="671"/>
      <c r="S294" s="671"/>
      <c r="T294" s="671"/>
      <c r="U294" s="671"/>
      <c r="V294" s="671"/>
      <c r="W294" s="671"/>
      <c r="X294" s="671"/>
      <c r="Y294" s="671"/>
      <c r="Z294" s="671"/>
      <c r="AA294" s="671"/>
      <c r="AB294" s="671"/>
      <c r="AC294" s="671"/>
      <c r="AD294" s="671"/>
      <c r="AE294" s="623"/>
      <c r="AF294" s="623"/>
      <c r="AG294" s="623"/>
      <c r="AH294" s="623"/>
      <c r="AI294" s="623"/>
      <c r="AJ294" s="623"/>
      <c r="AK294" s="623"/>
      <c r="AL294" s="623"/>
      <c r="AM294" s="623"/>
      <c r="AN294" s="623"/>
      <c r="AO294" s="623"/>
      <c r="AP294" s="623"/>
      <c r="AQ294" s="623"/>
      <c r="AR294" s="623"/>
      <c r="AS294" s="623"/>
      <c r="AT294" s="623"/>
      <c r="AU294" s="623"/>
      <c r="AV294" s="623"/>
      <c r="AW294" s="623"/>
      <c r="AX294" s="623"/>
      <c r="AY294" s="623"/>
      <c r="AZ294" s="623"/>
      <c r="BA294" s="623"/>
      <c r="BB294" s="623"/>
      <c r="BC294" s="623"/>
      <c r="BD294" s="623"/>
      <c r="BE294" s="623"/>
      <c r="BF294" s="623"/>
      <c r="BG294" s="623"/>
      <c r="BH294" s="623"/>
      <c r="BI294" s="623"/>
      <c r="BJ294" s="623"/>
      <c r="BK294" s="623"/>
      <c r="BL294" s="623"/>
      <c r="BM294" s="623"/>
      <c r="BN294" s="623"/>
      <c r="BO294" s="623"/>
      <c r="BP294" s="623"/>
      <c r="BQ294" s="623"/>
      <c r="BR294" s="623"/>
      <c r="BS294" s="623"/>
      <c r="BT294" s="623"/>
      <c r="BU294" s="623"/>
      <c r="BV294" s="623"/>
      <c r="BW294" s="623"/>
      <c r="BX294" s="623"/>
      <c r="BY294" s="623"/>
      <c r="BZ294" s="623"/>
      <c r="CA294" s="623"/>
      <c r="CB294" s="623"/>
      <c r="CC294" s="623"/>
      <c r="CD294" s="623"/>
      <c r="CE294" s="1669"/>
      <c r="CF294" s="623"/>
      <c r="CG294" s="623"/>
      <c r="CH294" s="623"/>
      <c r="CI294" s="623"/>
      <c r="CJ294" s="623"/>
      <c r="CK294" s="623"/>
      <c r="CL294" s="623"/>
      <c r="CM294" s="623"/>
      <c r="CN294" s="623"/>
      <c r="CO294" s="623"/>
      <c r="CP294" s="623"/>
      <c r="CQ294" s="623"/>
      <c r="CR294" s="623"/>
      <c r="CS294" s="623"/>
      <c r="CT294" s="623"/>
      <c r="CU294" s="623"/>
      <c r="CV294" s="623"/>
      <c r="CW294" s="623"/>
      <c r="CX294" s="623"/>
      <c r="CY294" s="817"/>
      <c r="CZ294" s="623"/>
      <c r="DA294" s="623"/>
      <c r="DB294" s="623"/>
      <c r="DC294" s="623"/>
      <c r="DD294" s="623"/>
      <c r="DE294" s="623"/>
      <c r="DF294" s="623"/>
      <c r="DG294" s="623"/>
      <c r="DH294" s="623"/>
      <c r="DI294" s="623"/>
      <c r="DJ294" s="623"/>
      <c r="DK294" s="623"/>
      <c r="DL294" s="623"/>
      <c r="DM294" s="623"/>
      <c r="DN294" s="623"/>
      <c r="DO294" s="623"/>
      <c r="DP294" s="623"/>
      <c r="DQ294" s="623"/>
      <c r="DR294" s="623"/>
      <c r="DS294" s="623"/>
      <c r="DT294" s="623"/>
      <c r="DU294" s="623"/>
      <c r="DV294" s="1675"/>
    </row>
    <row r="295" spans="1:256" ht="17.25" hidden="1" customHeight="1">
      <c r="A295" s="1676"/>
      <c r="B295" s="550"/>
      <c r="C295" s="550"/>
      <c r="D295" s="550"/>
      <c r="E295" s="550"/>
      <c r="F295" s="550"/>
      <c r="G295" s="550"/>
      <c r="H295" s="550"/>
      <c r="I295" s="550"/>
      <c r="J295" s="550"/>
      <c r="K295" s="550"/>
      <c r="L295" s="550"/>
      <c r="M295" s="550"/>
      <c r="N295" s="550"/>
      <c r="O295" s="439"/>
      <c r="P295" s="439"/>
      <c r="Q295" s="674"/>
      <c r="R295" s="671"/>
      <c r="S295" s="671"/>
      <c r="T295" s="671"/>
      <c r="U295" s="671"/>
      <c r="V295" s="671"/>
      <c r="W295" s="671"/>
      <c r="X295" s="671"/>
      <c r="Y295" s="671"/>
      <c r="Z295" s="671"/>
      <c r="AA295" s="671"/>
      <c r="AB295" s="671"/>
      <c r="AC295" s="671"/>
      <c r="AD295" s="671"/>
      <c r="AE295" s="623"/>
      <c r="AF295" s="623"/>
      <c r="AG295" s="623"/>
      <c r="AH295" s="623"/>
      <c r="AI295" s="623"/>
      <c r="AJ295" s="623"/>
      <c r="AK295" s="623"/>
      <c r="AL295" s="623"/>
      <c r="AM295" s="623"/>
      <c r="AN295" s="623"/>
      <c r="AO295" s="623"/>
      <c r="AP295" s="623"/>
      <c r="AQ295" s="623"/>
      <c r="AR295" s="623"/>
      <c r="AS295" s="623"/>
      <c r="AT295" s="623"/>
      <c r="AU295" s="623"/>
      <c r="AV295" s="623"/>
      <c r="AW295" s="623"/>
      <c r="AX295" s="623"/>
      <c r="AY295" s="623"/>
      <c r="AZ295" s="623"/>
      <c r="BA295" s="623"/>
      <c r="BB295" s="623"/>
      <c r="BC295" s="623"/>
      <c r="BD295" s="623"/>
      <c r="BE295" s="623"/>
      <c r="BF295" s="623"/>
      <c r="BG295" s="623"/>
      <c r="BH295" s="623"/>
      <c r="BI295" s="623"/>
      <c r="BJ295" s="623"/>
      <c r="BK295" s="623"/>
      <c r="BL295" s="623"/>
      <c r="BM295" s="623"/>
      <c r="BN295" s="623"/>
      <c r="BO295" s="623"/>
      <c r="BP295" s="623"/>
      <c r="BQ295" s="623"/>
      <c r="BR295" s="623"/>
      <c r="BS295" s="623"/>
      <c r="BT295" s="623"/>
      <c r="BU295" s="623"/>
      <c r="BV295" s="623"/>
      <c r="BW295" s="623"/>
      <c r="BX295" s="623"/>
      <c r="BY295" s="623"/>
      <c r="BZ295" s="623"/>
      <c r="CA295" s="623"/>
      <c r="CB295" s="623"/>
      <c r="CC295" s="623"/>
      <c r="CD295" s="623"/>
      <c r="CE295" s="1669"/>
      <c r="CF295" s="623"/>
      <c r="CG295" s="623"/>
      <c r="CH295" s="623"/>
      <c r="CI295" s="623"/>
      <c r="CJ295" s="623"/>
      <c r="CK295" s="623"/>
      <c r="CL295" s="623"/>
      <c r="CM295" s="623"/>
      <c r="CN295" s="623"/>
      <c r="CO295" s="623"/>
      <c r="CP295" s="623"/>
      <c r="CQ295" s="623"/>
      <c r="CR295" s="623"/>
      <c r="CS295" s="623"/>
      <c r="CT295" s="623"/>
      <c r="CU295" s="623"/>
      <c r="CV295" s="623"/>
      <c r="CW295" s="623"/>
      <c r="CX295" s="623"/>
      <c r="CY295" s="817"/>
      <c r="CZ295" s="623"/>
      <c r="DA295" s="623"/>
      <c r="DB295" s="623"/>
      <c r="DC295" s="623"/>
      <c r="DD295" s="623"/>
      <c r="DE295" s="623"/>
      <c r="DF295" s="623"/>
      <c r="DG295" s="623"/>
      <c r="DH295" s="623"/>
      <c r="DI295" s="623"/>
      <c r="DJ295" s="623"/>
      <c r="DK295" s="623"/>
      <c r="DL295" s="623"/>
      <c r="DM295" s="623"/>
      <c r="DN295" s="623"/>
      <c r="DO295" s="623"/>
      <c r="DP295" s="623"/>
      <c r="DQ295" s="623"/>
      <c r="DR295" s="623"/>
      <c r="DS295" s="623"/>
      <c r="DT295" s="623"/>
      <c r="DU295" s="623"/>
      <c r="DV295" s="1675"/>
    </row>
    <row r="296" spans="1:256" ht="17.25" hidden="1" customHeight="1">
      <c r="A296" s="1676"/>
      <c r="B296" s="550"/>
      <c r="C296" s="550"/>
      <c r="D296" s="550"/>
      <c r="E296" s="550"/>
      <c r="F296" s="550"/>
      <c r="G296" s="550"/>
      <c r="H296" s="550"/>
      <c r="I296" s="550"/>
      <c r="J296" s="550"/>
      <c r="K296" s="550"/>
      <c r="L296" s="550"/>
      <c r="M296" s="550"/>
      <c r="N296" s="550"/>
      <c r="O296" s="439"/>
      <c r="P296" s="439"/>
      <c r="Q296" s="674"/>
      <c r="R296" s="671"/>
      <c r="S296" s="671"/>
      <c r="T296" s="671"/>
      <c r="U296" s="671"/>
      <c r="V296" s="671"/>
      <c r="W296" s="671"/>
      <c r="X296" s="671"/>
      <c r="Y296" s="671"/>
      <c r="Z296" s="671"/>
      <c r="AA296" s="671"/>
      <c r="AB296" s="671"/>
      <c r="AC296" s="671"/>
      <c r="AD296" s="671"/>
      <c r="AE296" s="623"/>
      <c r="AF296" s="623"/>
      <c r="AG296" s="623"/>
      <c r="AH296" s="623"/>
      <c r="AI296" s="623"/>
      <c r="AJ296" s="623"/>
      <c r="AK296" s="623"/>
      <c r="AL296" s="623"/>
      <c r="AM296" s="623"/>
      <c r="AN296" s="623"/>
      <c r="AO296" s="623"/>
      <c r="AP296" s="623"/>
      <c r="AQ296" s="623"/>
      <c r="AR296" s="623"/>
      <c r="AS296" s="623"/>
      <c r="AT296" s="623"/>
      <c r="AU296" s="623"/>
      <c r="AV296" s="623"/>
      <c r="AW296" s="623"/>
      <c r="AX296" s="623"/>
      <c r="AY296" s="623"/>
      <c r="AZ296" s="623"/>
      <c r="BA296" s="623"/>
      <c r="BB296" s="623"/>
      <c r="BC296" s="623"/>
      <c r="BD296" s="623"/>
      <c r="BE296" s="623"/>
      <c r="BF296" s="623"/>
      <c r="BG296" s="623"/>
      <c r="BH296" s="623"/>
      <c r="BI296" s="623"/>
      <c r="BJ296" s="623"/>
      <c r="BK296" s="623"/>
      <c r="BL296" s="623"/>
      <c r="BM296" s="623"/>
      <c r="BN296" s="623"/>
      <c r="BO296" s="623"/>
      <c r="BP296" s="623"/>
      <c r="BQ296" s="623"/>
      <c r="BR296" s="623"/>
      <c r="BS296" s="623"/>
      <c r="BT296" s="623"/>
      <c r="BU296" s="623"/>
      <c r="BV296" s="623"/>
      <c r="BW296" s="623"/>
      <c r="BX296" s="623"/>
      <c r="BY296" s="623"/>
      <c r="BZ296" s="623"/>
      <c r="CA296" s="623"/>
      <c r="CB296" s="623"/>
      <c r="CC296" s="623"/>
      <c r="CD296" s="623"/>
      <c r="CE296" s="1669"/>
      <c r="CF296" s="623"/>
      <c r="CG296" s="623"/>
      <c r="CH296" s="623"/>
      <c r="CI296" s="623"/>
      <c r="CJ296" s="623"/>
      <c r="CK296" s="623"/>
      <c r="CL296" s="623"/>
      <c r="CM296" s="623"/>
      <c r="CN296" s="623"/>
      <c r="CO296" s="623"/>
      <c r="CP296" s="623"/>
      <c r="CQ296" s="623"/>
      <c r="CR296" s="623"/>
      <c r="CS296" s="623"/>
      <c r="CT296" s="623"/>
      <c r="CU296" s="623"/>
      <c r="CV296" s="623"/>
      <c r="CW296" s="623"/>
      <c r="CX296" s="623"/>
      <c r="CY296" s="817"/>
      <c r="CZ296" s="623"/>
      <c r="DA296" s="623"/>
      <c r="DB296" s="623"/>
      <c r="DC296" s="623"/>
      <c r="DD296" s="623"/>
      <c r="DE296" s="623"/>
      <c r="DF296" s="623"/>
      <c r="DG296" s="623"/>
      <c r="DH296" s="623"/>
      <c r="DI296" s="623"/>
      <c r="DJ296" s="623"/>
      <c r="DK296" s="623"/>
      <c r="DL296" s="623"/>
      <c r="DM296" s="623"/>
      <c r="DN296" s="623"/>
      <c r="DO296" s="623"/>
      <c r="DP296" s="623"/>
      <c r="DQ296" s="623"/>
      <c r="DR296" s="623"/>
      <c r="DS296" s="623"/>
      <c r="DT296" s="623"/>
      <c r="DU296" s="623"/>
      <c r="DV296" s="1675"/>
    </row>
    <row r="297" spans="1:256" ht="17.25" hidden="1" customHeight="1">
      <c r="A297" s="1676"/>
      <c r="B297" s="550"/>
      <c r="C297" s="550"/>
      <c r="D297" s="550"/>
      <c r="E297" s="550"/>
      <c r="F297" s="550"/>
      <c r="G297" s="550"/>
      <c r="H297" s="550"/>
      <c r="I297" s="550"/>
      <c r="J297" s="550"/>
      <c r="K297" s="550"/>
      <c r="L297" s="550"/>
      <c r="M297" s="550"/>
      <c r="N297" s="550"/>
      <c r="O297" s="439"/>
      <c r="P297" s="439"/>
      <c r="Q297" s="674"/>
      <c r="R297" s="671"/>
      <c r="S297" s="671"/>
      <c r="T297" s="671"/>
      <c r="U297" s="671"/>
      <c r="V297" s="671"/>
      <c r="W297" s="671"/>
      <c r="X297" s="671"/>
      <c r="Y297" s="671"/>
      <c r="Z297" s="671"/>
      <c r="AA297" s="671"/>
      <c r="AB297" s="671"/>
      <c r="AC297" s="671"/>
      <c r="AD297" s="671"/>
      <c r="AE297" s="623"/>
      <c r="AF297" s="623"/>
      <c r="AG297" s="623"/>
      <c r="AH297" s="623"/>
      <c r="AI297" s="623"/>
      <c r="AJ297" s="623"/>
      <c r="AK297" s="623"/>
      <c r="AL297" s="623"/>
      <c r="AM297" s="623"/>
      <c r="AN297" s="623"/>
      <c r="AO297" s="623"/>
      <c r="AP297" s="623"/>
      <c r="AQ297" s="623"/>
      <c r="AR297" s="623"/>
      <c r="AS297" s="623"/>
      <c r="AT297" s="623"/>
      <c r="AU297" s="623"/>
      <c r="AV297" s="623"/>
      <c r="AW297" s="623"/>
      <c r="AX297" s="623"/>
      <c r="AY297" s="623"/>
      <c r="AZ297" s="623"/>
      <c r="BA297" s="623"/>
      <c r="BB297" s="623"/>
      <c r="BC297" s="623"/>
      <c r="BD297" s="623"/>
      <c r="BE297" s="623"/>
      <c r="BF297" s="623"/>
      <c r="BG297" s="623"/>
      <c r="BH297" s="623"/>
      <c r="BI297" s="623"/>
      <c r="BJ297" s="623"/>
      <c r="BK297" s="623"/>
      <c r="BL297" s="623"/>
      <c r="BM297" s="623"/>
      <c r="BN297" s="623"/>
      <c r="BO297" s="623"/>
      <c r="BP297" s="623"/>
      <c r="BQ297" s="623"/>
      <c r="BR297" s="623"/>
      <c r="BS297" s="623"/>
      <c r="BT297" s="623"/>
      <c r="BU297" s="623"/>
      <c r="BV297" s="623"/>
      <c r="BW297" s="623"/>
      <c r="BX297" s="623"/>
      <c r="BY297" s="623"/>
      <c r="BZ297" s="623"/>
      <c r="CA297" s="623"/>
      <c r="CB297" s="623"/>
      <c r="CC297" s="623"/>
      <c r="CD297" s="623"/>
      <c r="CE297" s="1669"/>
      <c r="CF297" s="623"/>
      <c r="CG297" s="623"/>
      <c r="CH297" s="623"/>
      <c r="CI297" s="623"/>
      <c r="CJ297" s="623"/>
      <c r="CK297" s="623"/>
      <c r="CL297" s="623"/>
      <c r="CM297" s="623"/>
      <c r="CN297" s="623"/>
      <c r="CO297" s="623"/>
      <c r="CP297" s="623"/>
      <c r="CQ297" s="623"/>
      <c r="CR297" s="623"/>
      <c r="CS297" s="623"/>
      <c r="CT297" s="623"/>
      <c r="CU297" s="623"/>
      <c r="CV297" s="623"/>
      <c r="CW297" s="623"/>
      <c r="CX297" s="623"/>
      <c r="CY297" s="817"/>
      <c r="CZ297" s="623"/>
      <c r="DA297" s="623"/>
      <c r="DB297" s="623"/>
      <c r="DC297" s="623"/>
      <c r="DD297" s="623"/>
      <c r="DE297" s="623"/>
      <c r="DF297" s="623"/>
      <c r="DG297" s="623"/>
      <c r="DH297" s="623"/>
      <c r="DI297" s="623"/>
      <c r="DJ297" s="623"/>
      <c r="DK297" s="623"/>
      <c r="DL297" s="623"/>
      <c r="DM297" s="623"/>
      <c r="DN297" s="623"/>
      <c r="DO297" s="623"/>
      <c r="DP297" s="623"/>
      <c r="DQ297" s="623"/>
      <c r="DR297" s="623"/>
      <c r="DS297" s="623"/>
      <c r="DT297" s="623"/>
      <c r="DU297" s="623"/>
      <c r="DV297" s="1675"/>
    </row>
    <row r="298" spans="1:256" ht="17.25" hidden="1" customHeight="1">
      <c r="A298" s="1676"/>
      <c r="B298" s="550"/>
      <c r="C298" s="550"/>
      <c r="D298" s="550"/>
      <c r="E298" s="550"/>
      <c r="F298" s="550"/>
      <c r="G298" s="550"/>
      <c r="H298" s="550"/>
      <c r="I298" s="550"/>
      <c r="J298" s="550"/>
      <c r="K298" s="550"/>
      <c r="L298" s="550"/>
      <c r="M298" s="550"/>
      <c r="N298" s="550"/>
      <c r="O298" s="439"/>
      <c r="P298" s="439"/>
      <c r="Q298" s="674"/>
      <c r="R298" s="671"/>
      <c r="S298" s="671"/>
      <c r="T298" s="671"/>
      <c r="U298" s="671"/>
      <c r="V298" s="671"/>
      <c r="W298" s="671"/>
      <c r="X298" s="671"/>
      <c r="Y298" s="671"/>
      <c r="Z298" s="671"/>
      <c r="AA298" s="671"/>
      <c r="AB298" s="671"/>
      <c r="AC298" s="671"/>
      <c r="AD298" s="671"/>
      <c r="AE298" s="623"/>
      <c r="AF298" s="623"/>
      <c r="AG298" s="623"/>
      <c r="AH298" s="623"/>
      <c r="AI298" s="623"/>
      <c r="AJ298" s="623"/>
      <c r="AK298" s="623"/>
      <c r="AL298" s="623"/>
      <c r="AM298" s="623"/>
      <c r="AN298" s="623"/>
      <c r="AO298" s="623"/>
      <c r="AP298" s="623"/>
      <c r="AQ298" s="623"/>
      <c r="AR298" s="623"/>
      <c r="AS298" s="623"/>
      <c r="AT298" s="623"/>
      <c r="AU298" s="623"/>
      <c r="AV298" s="623"/>
      <c r="AW298" s="623"/>
      <c r="AX298" s="623"/>
      <c r="AY298" s="623"/>
      <c r="AZ298" s="623"/>
      <c r="BA298" s="623"/>
      <c r="BB298" s="623"/>
      <c r="BC298" s="623"/>
      <c r="BD298" s="623"/>
      <c r="BE298" s="623"/>
      <c r="BF298" s="623"/>
      <c r="BG298" s="623"/>
      <c r="BH298" s="623"/>
      <c r="BI298" s="623"/>
      <c r="BJ298" s="623"/>
      <c r="BK298" s="623"/>
      <c r="BL298" s="623"/>
      <c r="BM298" s="623"/>
      <c r="BN298" s="623"/>
      <c r="BO298" s="623"/>
      <c r="BP298" s="623"/>
      <c r="BQ298" s="623"/>
      <c r="BR298" s="623"/>
      <c r="BS298" s="623"/>
      <c r="BT298" s="623"/>
      <c r="BU298" s="623"/>
      <c r="BV298" s="623"/>
      <c r="BW298" s="623"/>
      <c r="BX298" s="623"/>
      <c r="BY298" s="623"/>
      <c r="BZ298" s="623"/>
      <c r="CA298" s="623"/>
      <c r="CB298" s="623"/>
      <c r="CC298" s="623"/>
      <c r="CD298" s="623"/>
      <c r="CE298" s="1669"/>
      <c r="CF298" s="623"/>
      <c r="CG298" s="623"/>
      <c r="CH298" s="623"/>
      <c r="CI298" s="623"/>
      <c r="CJ298" s="623"/>
      <c r="CK298" s="623"/>
      <c r="CL298" s="623"/>
      <c r="CM298" s="623"/>
      <c r="CN298" s="623"/>
      <c r="CO298" s="623"/>
      <c r="CP298" s="623"/>
      <c r="CQ298" s="623"/>
      <c r="CR298" s="623"/>
      <c r="CS298" s="623"/>
      <c r="CT298" s="623"/>
      <c r="CU298" s="623"/>
      <c r="CV298" s="623"/>
      <c r="CW298" s="623"/>
      <c r="CX298" s="623"/>
      <c r="CY298" s="817"/>
      <c r="CZ298" s="623"/>
      <c r="DA298" s="623"/>
      <c r="DB298" s="623"/>
      <c r="DC298" s="623"/>
      <c r="DD298" s="623"/>
      <c r="DE298" s="623"/>
      <c r="DF298" s="623"/>
      <c r="DG298" s="623"/>
      <c r="DH298" s="623"/>
      <c r="DI298" s="623"/>
      <c r="DJ298" s="623"/>
      <c r="DK298" s="623"/>
      <c r="DL298" s="623"/>
      <c r="DM298" s="623"/>
      <c r="DN298" s="623"/>
      <c r="DO298" s="623"/>
      <c r="DP298" s="623"/>
      <c r="DQ298" s="623"/>
      <c r="DR298" s="623"/>
      <c r="DS298" s="623"/>
      <c r="DT298" s="623"/>
      <c r="DU298" s="623"/>
      <c r="DV298" s="1675"/>
    </row>
    <row r="299" spans="1:256" ht="17.25" hidden="1" customHeight="1">
      <c r="A299" s="1676"/>
      <c r="B299" s="550"/>
      <c r="C299" s="550"/>
      <c r="D299" s="550"/>
      <c r="E299" s="550"/>
      <c r="F299" s="550"/>
      <c r="G299" s="550"/>
      <c r="H299" s="550"/>
      <c r="I299" s="550"/>
      <c r="J299" s="550"/>
      <c r="K299" s="550"/>
      <c r="L299" s="550"/>
      <c r="M299" s="550"/>
      <c r="N299" s="550"/>
      <c r="O299" s="439"/>
      <c r="P299" s="439"/>
      <c r="Q299" s="674"/>
      <c r="R299" s="671"/>
      <c r="S299" s="671"/>
      <c r="T299" s="671"/>
      <c r="U299" s="671"/>
      <c r="V299" s="671"/>
      <c r="W299" s="671"/>
      <c r="X299" s="671"/>
      <c r="Y299" s="671"/>
      <c r="Z299" s="671"/>
      <c r="AA299" s="671"/>
      <c r="AB299" s="671"/>
      <c r="AC299" s="671"/>
      <c r="AD299" s="671"/>
      <c r="AE299" s="623"/>
      <c r="AF299" s="623"/>
      <c r="AG299" s="623"/>
      <c r="AH299" s="623"/>
      <c r="AI299" s="623"/>
      <c r="AJ299" s="623"/>
      <c r="AK299" s="623"/>
      <c r="AL299" s="623"/>
      <c r="AM299" s="623"/>
      <c r="AN299" s="623"/>
      <c r="AO299" s="623"/>
      <c r="AP299" s="623"/>
      <c r="AQ299" s="623"/>
      <c r="AR299" s="623"/>
      <c r="AS299" s="623"/>
      <c r="AT299" s="623"/>
      <c r="AU299" s="623"/>
      <c r="AV299" s="623"/>
      <c r="AW299" s="623"/>
      <c r="AX299" s="623"/>
      <c r="AY299" s="623"/>
      <c r="AZ299" s="623"/>
      <c r="BA299" s="623"/>
      <c r="BB299" s="623"/>
      <c r="BC299" s="623"/>
      <c r="BD299" s="623"/>
      <c r="BE299" s="623"/>
      <c r="BF299" s="623"/>
      <c r="BG299" s="623"/>
      <c r="BH299" s="623"/>
      <c r="BI299" s="623"/>
      <c r="BJ299" s="623"/>
      <c r="BK299" s="623"/>
      <c r="BL299" s="623"/>
      <c r="BM299" s="623"/>
      <c r="BN299" s="623"/>
      <c r="BO299" s="623"/>
      <c r="BP299" s="623"/>
      <c r="BQ299" s="623"/>
      <c r="BR299" s="623"/>
      <c r="BS299" s="623"/>
      <c r="BT299" s="623"/>
      <c r="BU299" s="623"/>
      <c r="BV299" s="623"/>
      <c r="BW299" s="623"/>
      <c r="BX299" s="623"/>
      <c r="BY299" s="623"/>
      <c r="BZ299" s="623"/>
      <c r="CA299" s="623"/>
      <c r="CB299" s="623"/>
      <c r="CC299" s="623"/>
      <c r="CD299" s="623"/>
      <c r="CE299" s="1669"/>
      <c r="CF299" s="623"/>
      <c r="CG299" s="623"/>
      <c r="CH299" s="623"/>
      <c r="CI299" s="623"/>
      <c r="CJ299" s="623"/>
      <c r="CK299" s="623"/>
      <c r="CL299" s="623"/>
      <c r="CM299" s="623"/>
      <c r="CN299" s="623"/>
      <c r="CO299" s="623"/>
      <c r="CP299" s="623"/>
      <c r="CQ299" s="623"/>
      <c r="CR299" s="623"/>
      <c r="CS299" s="623"/>
      <c r="CT299" s="623"/>
      <c r="CU299" s="623"/>
      <c r="CV299" s="623"/>
      <c r="CW299" s="623"/>
      <c r="CX299" s="623"/>
      <c r="CY299" s="817"/>
      <c r="CZ299" s="623"/>
      <c r="DA299" s="623"/>
      <c r="DB299" s="623"/>
      <c r="DC299" s="623"/>
      <c r="DD299" s="623"/>
      <c r="DE299" s="623"/>
      <c r="DF299" s="623"/>
      <c r="DG299" s="623"/>
      <c r="DH299" s="623"/>
      <c r="DI299" s="623"/>
      <c r="DJ299" s="623"/>
      <c r="DK299" s="623"/>
      <c r="DL299" s="623"/>
      <c r="DM299" s="623"/>
      <c r="DN299" s="623"/>
      <c r="DO299" s="623"/>
      <c r="DP299" s="623"/>
      <c r="DQ299" s="623"/>
      <c r="DR299" s="623"/>
      <c r="DS299" s="623"/>
      <c r="DT299" s="623"/>
      <c r="DU299" s="623"/>
      <c r="DV299" s="1675"/>
    </row>
    <row r="300" spans="1:256" s="678" customFormat="1" ht="17.25" hidden="1" customHeight="1">
      <c r="A300" s="1676"/>
      <c r="B300" s="550"/>
      <c r="C300" s="550"/>
      <c r="D300" s="550"/>
      <c r="E300" s="550"/>
      <c r="F300" s="550"/>
      <c r="G300" s="550"/>
      <c r="H300" s="550"/>
      <c r="I300" s="550"/>
      <c r="J300" s="676"/>
      <c r="K300" s="550"/>
      <c r="L300" s="550"/>
      <c r="M300" s="550"/>
      <c r="N300" s="550"/>
      <c r="O300" s="439"/>
      <c r="P300" s="439"/>
      <c r="Q300" s="674"/>
      <c r="R300" s="671"/>
      <c r="S300" s="671"/>
      <c r="T300" s="671"/>
      <c r="U300" s="671"/>
      <c r="V300" s="671"/>
      <c r="W300" s="671"/>
      <c r="X300" s="671"/>
      <c r="Y300" s="671"/>
      <c r="Z300" s="671"/>
      <c r="AA300" s="671"/>
      <c r="AB300" s="671"/>
      <c r="AC300" s="671"/>
      <c r="AD300" s="671"/>
      <c r="AE300" s="623"/>
      <c r="AF300" s="623"/>
      <c r="AG300" s="623"/>
      <c r="AH300" s="623"/>
      <c r="AI300" s="623"/>
      <c r="AJ300" s="623"/>
      <c r="AK300" s="623"/>
      <c r="AL300" s="623"/>
      <c r="AM300" s="623"/>
      <c r="AN300" s="623"/>
      <c r="AO300" s="623"/>
      <c r="AP300" s="623"/>
      <c r="AQ300" s="623"/>
      <c r="AR300" s="623"/>
      <c r="AS300" s="623"/>
      <c r="AT300" s="623"/>
      <c r="AU300" s="623"/>
      <c r="AV300" s="623"/>
      <c r="AW300" s="623"/>
      <c r="AX300" s="623"/>
      <c r="AY300" s="623"/>
      <c r="AZ300" s="623"/>
      <c r="BA300" s="623"/>
      <c r="BB300" s="623"/>
      <c r="BC300" s="623"/>
      <c r="BD300" s="623"/>
      <c r="BE300" s="623"/>
      <c r="BF300" s="623"/>
      <c r="BG300" s="623"/>
      <c r="BH300" s="623"/>
      <c r="BI300" s="623"/>
      <c r="BJ300" s="623"/>
      <c r="BK300" s="623"/>
      <c r="BL300" s="623"/>
      <c r="BM300" s="623"/>
      <c r="BN300" s="623"/>
      <c r="BO300" s="623"/>
      <c r="BP300" s="623"/>
      <c r="BQ300" s="623"/>
      <c r="BR300" s="623"/>
      <c r="BS300" s="623"/>
      <c r="BT300" s="623"/>
      <c r="BU300" s="623"/>
      <c r="BV300" s="623"/>
      <c r="BW300" s="623"/>
      <c r="BX300" s="623"/>
      <c r="BY300" s="623"/>
      <c r="BZ300" s="623"/>
      <c r="CA300" s="623"/>
      <c r="CB300" s="623"/>
      <c r="CC300" s="623"/>
      <c r="CD300" s="623"/>
      <c r="CE300" s="1669"/>
      <c r="CF300" s="623"/>
      <c r="CG300" s="623"/>
      <c r="CH300" s="623"/>
      <c r="CI300" s="623"/>
      <c r="CJ300" s="623"/>
      <c r="CK300" s="623"/>
      <c r="CL300" s="623"/>
      <c r="CM300" s="623"/>
      <c r="CN300" s="623"/>
      <c r="CO300" s="623"/>
      <c r="CP300" s="623"/>
      <c r="CQ300" s="623"/>
      <c r="CR300" s="623"/>
      <c r="CS300" s="623"/>
      <c r="CT300" s="623"/>
      <c r="CU300" s="623"/>
      <c r="CV300" s="623"/>
      <c r="CW300" s="623"/>
      <c r="CX300" s="623"/>
      <c r="CY300" s="817"/>
      <c r="CZ300" s="623"/>
      <c r="DA300" s="623"/>
      <c r="DB300" s="623"/>
      <c r="DC300" s="623"/>
      <c r="DD300" s="623"/>
      <c r="DE300" s="623"/>
      <c r="DF300" s="623"/>
      <c r="DG300" s="623"/>
      <c r="DH300" s="623"/>
      <c r="DI300" s="623"/>
      <c r="DJ300" s="623"/>
      <c r="DK300" s="623"/>
      <c r="DL300" s="623"/>
      <c r="DM300" s="623"/>
      <c r="DN300" s="623"/>
      <c r="DO300" s="623"/>
      <c r="DP300" s="623"/>
      <c r="DQ300" s="623"/>
      <c r="DR300" s="623"/>
      <c r="DS300" s="623"/>
      <c r="DT300" s="623"/>
      <c r="DU300" s="623"/>
      <c r="DV300" s="1675"/>
      <c r="DW300" s="530"/>
      <c r="DX300" s="530"/>
      <c r="DY300" s="530"/>
      <c r="DZ300" s="530"/>
      <c r="EA300" s="530"/>
      <c r="EB300" s="530"/>
      <c r="EC300" s="530"/>
      <c r="ED300" s="530"/>
      <c r="EE300" s="530"/>
      <c r="EF300" s="530"/>
      <c r="EG300" s="530"/>
      <c r="EH300" s="530"/>
      <c r="EI300" s="530"/>
      <c r="EJ300" s="530"/>
      <c r="EK300" s="530"/>
      <c r="EL300" s="530"/>
      <c r="EM300" s="530"/>
      <c r="EN300" s="530"/>
      <c r="EO300" s="530"/>
      <c r="EP300" s="530"/>
      <c r="EQ300" s="530"/>
      <c r="ER300" s="530"/>
      <c r="ES300" s="530"/>
      <c r="ET300" s="530"/>
      <c r="EU300" s="530"/>
      <c r="EV300" s="530"/>
      <c r="EW300" s="530"/>
      <c r="EX300" s="530"/>
      <c r="EY300" s="530"/>
      <c r="EZ300" s="530"/>
      <c r="FA300" s="530"/>
      <c r="FB300" s="530"/>
      <c r="FC300" s="530"/>
      <c r="FD300" s="530"/>
      <c r="FE300" s="530"/>
      <c r="FF300" s="530"/>
      <c r="FG300" s="530"/>
      <c r="FH300" s="530"/>
      <c r="FI300" s="530"/>
      <c r="FJ300" s="530"/>
      <c r="FK300" s="530"/>
      <c r="FL300" s="530"/>
      <c r="FM300" s="530"/>
      <c r="FN300" s="530"/>
      <c r="FO300" s="530"/>
      <c r="FP300" s="530"/>
      <c r="FQ300" s="530"/>
      <c r="FR300" s="530"/>
      <c r="FS300" s="530"/>
      <c r="FT300" s="530"/>
      <c r="FU300" s="530"/>
      <c r="FV300" s="530"/>
      <c r="FW300" s="530"/>
      <c r="FX300" s="530"/>
      <c r="FY300" s="530"/>
      <c r="FZ300" s="530"/>
      <c r="GA300" s="530"/>
      <c r="GB300" s="530"/>
      <c r="GC300" s="530"/>
      <c r="GD300" s="530"/>
      <c r="GE300" s="530"/>
      <c r="GF300" s="530"/>
      <c r="GG300" s="530"/>
      <c r="GH300" s="530"/>
      <c r="GI300" s="530"/>
      <c r="GJ300" s="530"/>
      <c r="GK300" s="530"/>
      <c r="GL300" s="530"/>
      <c r="GM300" s="530"/>
      <c r="GN300" s="530"/>
      <c r="GO300" s="530"/>
      <c r="GP300" s="530"/>
      <c r="GQ300" s="530"/>
      <c r="GR300" s="530"/>
      <c r="GS300" s="530"/>
      <c r="GT300" s="530"/>
      <c r="GU300" s="530"/>
      <c r="GV300" s="530"/>
      <c r="GW300" s="530"/>
      <c r="GX300" s="530"/>
      <c r="GY300" s="530"/>
      <c r="GZ300" s="530"/>
      <c r="HA300" s="530"/>
      <c r="HB300" s="530"/>
      <c r="HC300" s="530"/>
      <c r="HD300" s="530"/>
      <c r="HE300" s="530"/>
      <c r="HF300" s="530"/>
      <c r="HG300" s="530"/>
      <c r="HH300" s="530"/>
      <c r="HI300" s="530"/>
      <c r="HJ300" s="530"/>
      <c r="HK300" s="530"/>
      <c r="HL300" s="530"/>
      <c r="HM300" s="530"/>
      <c r="HN300" s="530"/>
      <c r="HO300" s="530"/>
      <c r="HP300" s="530"/>
      <c r="HQ300" s="530"/>
      <c r="HR300" s="530"/>
      <c r="HS300" s="530"/>
      <c r="HT300" s="530"/>
      <c r="HU300" s="530"/>
      <c r="HV300" s="530"/>
      <c r="HW300" s="530"/>
      <c r="HX300" s="530"/>
      <c r="HY300" s="530"/>
      <c r="HZ300" s="530"/>
      <c r="IA300" s="530"/>
      <c r="IB300" s="530"/>
      <c r="IC300" s="530"/>
      <c r="ID300" s="530"/>
      <c r="IE300" s="530"/>
      <c r="IF300" s="530"/>
      <c r="IG300" s="530"/>
      <c r="IH300" s="530"/>
      <c r="II300" s="530"/>
      <c r="IJ300" s="530"/>
      <c r="IK300" s="530"/>
      <c r="IL300" s="530"/>
      <c r="IM300" s="530"/>
      <c r="IN300" s="530"/>
      <c r="IO300" s="530"/>
      <c r="IP300" s="530"/>
      <c r="IQ300" s="530"/>
      <c r="IR300" s="530"/>
      <c r="IS300" s="530"/>
      <c r="IT300" s="530"/>
      <c r="IU300" s="530"/>
      <c r="IV300" s="530"/>
    </row>
    <row r="301" spans="1:256" s="717" customFormat="1" ht="18.75" hidden="1" customHeight="1">
      <c r="A301" s="1713"/>
      <c r="B301" s="1714"/>
      <c r="C301" s="1713"/>
      <c r="D301" s="1713"/>
      <c r="E301" s="1713"/>
      <c r="F301" s="1713"/>
      <c r="G301" s="1713"/>
      <c r="H301" s="1713"/>
      <c r="I301" s="1713"/>
      <c r="J301" s="1713"/>
      <c r="K301" s="1713"/>
      <c r="L301" s="1713"/>
      <c r="M301" s="1713"/>
      <c r="N301" s="1713"/>
      <c r="O301" s="1713"/>
      <c r="P301" s="1713"/>
      <c r="Q301" s="1713"/>
      <c r="R301" s="1713"/>
      <c r="S301" s="1713"/>
      <c r="T301" s="1713"/>
      <c r="U301" s="1713"/>
      <c r="V301" s="1713"/>
      <c r="W301" s="1713"/>
      <c r="X301" s="1713"/>
      <c r="Y301" s="1713"/>
      <c r="Z301" s="1713"/>
      <c r="AA301" s="1713"/>
      <c r="AB301" s="1713"/>
      <c r="AC301" s="1713"/>
      <c r="AD301" s="1713"/>
      <c r="AE301" s="1713"/>
      <c r="AF301" s="1713"/>
      <c r="AG301" s="1713"/>
      <c r="AH301" s="1713"/>
      <c r="AI301" s="1713"/>
      <c r="AJ301" s="1713"/>
      <c r="AK301" s="1713"/>
      <c r="AL301" s="1713"/>
      <c r="AM301" s="1713"/>
      <c r="AN301" s="1713"/>
      <c r="AO301" s="1713"/>
      <c r="AP301" s="1713"/>
      <c r="AQ301" s="1713"/>
      <c r="AR301" s="1713"/>
      <c r="AS301" s="1713"/>
      <c r="AT301" s="1713"/>
      <c r="AU301" s="1713"/>
      <c r="AV301" s="1713"/>
      <c r="AW301" s="1713"/>
      <c r="AX301" s="1713"/>
      <c r="AY301" s="1713"/>
      <c r="AZ301" s="1713"/>
      <c r="BA301" s="1713"/>
      <c r="BB301" s="1713"/>
      <c r="BC301" s="1713"/>
      <c r="BD301" s="1713"/>
      <c r="BE301" s="1713"/>
      <c r="BF301" s="1713"/>
      <c r="BG301" s="1713"/>
      <c r="BH301" s="1713"/>
      <c r="BI301" s="1713"/>
      <c r="BJ301" s="1713"/>
      <c r="BK301" s="1713"/>
      <c r="BL301" s="1713"/>
      <c r="BM301" s="1713"/>
      <c r="BN301" s="1713"/>
      <c r="BO301" s="1713"/>
      <c r="BP301" s="1713"/>
      <c r="BQ301" s="1713"/>
      <c r="BR301" s="1713"/>
      <c r="BS301" s="1713"/>
      <c r="BT301" s="1713"/>
      <c r="BU301" s="1713"/>
      <c r="BV301" s="1713"/>
      <c r="BW301" s="1713"/>
      <c r="BX301" s="1713"/>
      <c r="BY301" s="1713"/>
      <c r="BZ301" s="1713"/>
      <c r="CA301" s="1713"/>
      <c r="CB301" s="1713"/>
      <c r="CC301" s="1713"/>
      <c r="CD301" s="1713"/>
      <c r="CE301" s="1669"/>
      <c r="CF301" s="1713"/>
      <c r="CG301" s="1713"/>
      <c r="CH301" s="1713"/>
      <c r="CI301" s="1713"/>
      <c r="CJ301" s="1713"/>
      <c r="CK301" s="1713"/>
      <c r="CL301" s="1713"/>
      <c r="CM301" s="1713"/>
      <c r="CN301" s="1713"/>
      <c r="CO301" s="1713"/>
      <c r="CP301" s="1713"/>
      <c r="CQ301" s="1713"/>
      <c r="CR301" s="1713"/>
      <c r="CS301" s="1713"/>
      <c r="CT301" s="1713"/>
      <c r="CU301" s="1713"/>
      <c r="CV301" s="1713"/>
      <c r="CW301" s="1713"/>
      <c r="CX301" s="1713"/>
      <c r="CY301" s="1680"/>
      <c r="CZ301" s="1713"/>
      <c r="DA301" s="1713"/>
      <c r="DB301" s="1713"/>
      <c r="DC301" s="1713"/>
      <c r="DD301" s="1713"/>
      <c r="DE301" s="1713"/>
      <c r="DF301" s="1713"/>
      <c r="DG301" s="1713"/>
      <c r="DH301" s="1713"/>
      <c r="DI301" s="1713"/>
      <c r="DJ301" s="1713"/>
      <c r="DK301" s="1713"/>
      <c r="DL301" s="1713"/>
      <c r="DM301" s="1713"/>
      <c r="DN301" s="1713"/>
      <c r="DO301" s="1713"/>
      <c r="DP301" s="1713"/>
      <c r="DQ301" s="1713"/>
      <c r="DR301" s="1713"/>
      <c r="DS301" s="1713"/>
      <c r="DT301" s="1713"/>
      <c r="DU301" s="1715"/>
      <c r="DV301" s="1716"/>
    </row>
    <row r="302" spans="1:256" s="545" customFormat="1" ht="18" hidden="1" customHeight="1">
      <c r="A302" s="1685"/>
      <c r="B302" s="1023"/>
      <c r="C302" s="1023"/>
      <c r="D302" s="1023"/>
      <c r="E302" s="1023"/>
      <c r="F302" s="1023"/>
      <c r="G302" s="1023"/>
      <c r="H302" s="1023"/>
      <c r="I302" s="1023"/>
      <c r="J302" s="1023"/>
      <c r="K302" s="1023"/>
      <c r="L302" s="1023"/>
      <c r="M302" s="1023"/>
      <c r="N302" s="1023"/>
      <c r="O302" s="1023"/>
      <c r="P302" s="1023"/>
      <c r="Q302" s="1023"/>
      <c r="R302" s="1023"/>
      <c r="S302" s="1023"/>
      <c r="T302" s="1023"/>
      <c r="U302" s="1023"/>
      <c r="V302" s="1023"/>
      <c r="W302" s="1023"/>
      <c r="X302" s="1023"/>
      <c r="Y302" s="1023"/>
      <c r="Z302" s="1023"/>
      <c r="AA302" s="1023"/>
      <c r="AB302" s="1023"/>
      <c r="AC302" s="1023"/>
      <c r="AD302" s="1023"/>
      <c r="AE302" s="1023"/>
      <c r="AF302" s="1023"/>
      <c r="AG302" s="1023"/>
      <c r="AH302" s="1023"/>
      <c r="AI302" s="1023"/>
      <c r="AJ302" s="1023"/>
      <c r="AK302" s="1023"/>
      <c r="AL302" s="1023"/>
      <c r="AM302" s="1023"/>
      <c r="AN302" s="1023"/>
      <c r="AO302" s="1023"/>
      <c r="AP302" s="1023"/>
      <c r="AQ302" s="1023"/>
      <c r="AR302" s="1023"/>
      <c r="AS302" s="1023"/>
      <c r="AT302" s="1023"/>
      <c r="AU302" s="1023"/>
      <c r="AV302" s="1023"/>
      <c r="AW302" s="1023"/>
      <c r="AX302" s="1023"/>
      <c r="AY302" s="1023"/>
      <c r="AZ302" s="1023"/>
      <c r="BA302" s="1023"/>
      <c r="BB302" s="1023"/>
      <c r="BC302" s="1023"/>
      <c r="BD302" s="1023"/>
      <c r="BE302" s="1023"/>
      <c r="BF302" s="1023"/>
      <c r="BG302" s="1023"/>
      <c r="BH302" s="1023"/>
      <c r="BI302" s="1023"/>
      <c r="BJ302" s="1023"/>
      <c r="BK302" s="1023"/>
      <c r="BL302" s="1023"/>
      <c r="BM302" s="1023"/>
      <c r="BN302" s="1023"/>
      <c r="BO302" s="1023"/>
      <c r="BP302" s="1023"/>
      <c r="BQ302" s="1023"/>
      <c r="BR302" s="1023"/>
      <c r="BS302" s="1023"/>
      <c r="BT302" s="1023"/>
      <c r="BU302" s="1023"/>
      <c r="BV302" s="1023"/>
      <c r="BW302" s="1023"/>
      <c r="BX302" s="1023"/>
      <c r="BY302" s="1023"/>
      <c r="BZ302" s="1023"/>
      <c r="CA302" s="1023"/>
      <c r="CB302" s="1023"/>
      <c r="CC302" s="1023"/>
      <c r="CD302" s="1023"/>
      <c r="CE302" s="1669"/>
      <c r="CF302" s="1023"/>
      <c r="CG302" s="1023"/>
      <c r="CH302" s="1023"/>
      <c r="CI302" s="1023"/>
      <c r="CJ302" s="1023"/>
      <c r="CK302" s="1023"/>
      <c r="CL302" s="1023"/>
      <c r="CM302" s="1023"/>
      <c r="CN302" s="1023"/>
      <c r="CO302" s="1023"/>
      <c r="CP302" s="1023"/>
      <c r="CQ302" s="1023"/>
      <c r="CR302" s="1023"/>
      <c r="CS302" s="1023"/>
      <c r="CT302" s="1023"/>
      <c r="CU302" s="1023"/>
      <c r="CV302" s="1023"/>
      <c r="CW302" s="1023"/>
      <c r="CX302" s="1023"/>
      <c r="CY302" s="1683"/>
      <c r="CZ302" s="1023"/>
      <c r="DA302" s="1023"/>
      <c r="DB302" s="1023"/>
      <c r="DC302" s="1023"/>
      <c r="DD302" s="1023"/>
      <c r="DE302" s="1023"/>
      <c r="DF302" s="1023"/>
      <c r="DG302" s="1023"/>
      <c r="DH302" s="1023"/>
      <c r="DI302" s="1023"/>
      <c r="DJ302" s="1023"/>
      <c r="DK302" s="1023"/>
      <c r="DL302" s="1023"/>
      <c r="DM302" s="1023"/>
      <c r="DN302" s="1023"/>
      <c r="DO302" s="1023"/>
      <c r="DP302" s="1023"/>
      <c r="DQ302" s="1023"/>
      <c r="DR302" s="1023"/>
      <c r="DS302" s="1023"/>
      <c r="DT302" s="1023"/>
      <c r="DU302" s="1023"/>
      <c r="DV302" s="1684"/>
      <c r="DW302" s="530"/>
      <c r="DX302" s="530"/>
      <c r="DY302" s="530"/>
      <c r="DZ302" s="530"/>
      <c r="EA302" s="530"/>
      <c r="EB302" s="530"/>
      <c r="EC302" s="530"/>
      <c r="ED302" s="530"/>
      <c r="EE302" s="530"/>
      <c r="EF302" s="530"/>
      <c r="EG302" s="530"/>
      <c r="EH302" s="530"/>
      <c r="EI302" s="530"/>
      <c r="EJ302" s="530"/>
      <c r="EK302" s="530"/>
      <c r="EL302" s="530"/>
      <c r="EM302" s="530"/>
      <c r="EN302" s="530"/>
      <c r="EO302" s="530"/>
      <c r="EP302" s="530"/>
      <c r="EQ302" s="530"/>
      <c r="ER302" s="530"/>
      <c r="ES302" s="530"/>
      <c r="ET302" s="530"/>
      <c r="EU302" s="530"/>
      <c r="EV302" s="530"/>
      <c r="EW302" s="530"/>
      <c r="EX302" s="530"/>
      <c r="EY302" s="530"/>
      <c r="EZ302" s="530"/>
      <c r="FA302" s="530"/>
      <c r="FB302" s="530"/>
      <c r="FC302" s="530"/>
      <c r="FD302" s="530"/>
      <c r="FE302" s="530"/>
      <c r="FF302" s="530"/>
      <c r="FG302" s="530"/>
      <c r="FH302" s="530"/>
      <c r="FI302" s="530"/>
      <c r="FJ302" s="530"/>
      <c r="FK302" s="530"/>
      <c r="FL302" s="530"/>
      <c r="FM302" s="530"/>
      <c r="FN302" s="530"/>
      <c r="FO302" s="530"/>
      <c r="FP302" s="530"/>
      <c r="FQ302" s="530"/>
      <c r="FR302" s="530"/>
      <c r="FS302" s="530"/>
      <c r="FT302" s="530"/>
      <c r="FU302" s="530"/>
      <c r="FV302" s="530"/>
      <c r="FW302" s="530"/>
      <c r="FX302" s="530"/>
      <c r="FY302" s="530"/>
      <c r="FZ302" s="530"/>
      <c r="GA302" s="530"/>
      <c r="GB302" s="530"/>
      <c r="GC302" s="530"/>
      <c r="GD302" s="530"/>
      <c r="GE302" s="530"/>
      <c r="GF302" s="530"/>
      <c r="GG302" s="530"/>
      <c r="GH302" s="530"/>
      <c r="GI302" s="530"/>
      <c r="GJ302" s="530"/>
      <c r="GK302" s="530"/>
      <c r="GL302" s="530"/>
      <c r="GM302" s="530"/>
      <c r="GN302" s="530"/>
      <c r="GO302" s="530"/>
      <c r="GP302" s="530"/>
      <c r="GQ302" s="530"/>
      <c r="GR302" s="530"/>
      <c r="GS302" s="530"/>
      <c r="GT302" s="530"/>
      <c r="GU302" s="530"/>
      <c r="GV302" s="530"/>
      <c r="GW302" s="530"/>
      <c r="GX302" s="530"/>
      <c r="GY302" s="530"/>
      <c r="GZ302" s="530"/>
      <c r="HA302" s="530"/>
      <c r="HB302" s="530"/>
      <c r="HC302" s="530"/>
      <c r="HD302" s="530"/>
      <c r="HE302" s="530"/>
      <c r="HF302" s="530"/>
      <c r="HG302" s="530"/>
      <c r="HH302" s="530"/>
      <c r="HI302" s="530"/>
      <c r="HJ302" s="530"/>
      <c r="HK302" s="530"/>
      <c r="HL302" s="530"/>
      <c r="HM302" s="530"/>
      <c r="HN302" s="530"/>
      <c r="HO302" s="530"/>
      <c r="HP302" s="530"/>
      <c r="HQ302" s="530"/>
      <c r="HR302" s="530"/>
      <c r="HS302" s="530"/>
      <c r="HT302" s="530"/>
      <c r="HU302" s="530"/>
      <c r="HV302" s="530"/>
      <c r="HW302" s="530"/>
      <c r="HX302" s="530"/>
      <c r="HY302" s="530"/>
      <c r="HZ302" s="530"/>
      <c r="IA302" s="530"/>
      <c r="IB302" s="530"/>
      <c r="IC302" s="530"/>
      <c r="ID302" s="530"/>
      <c r="IE302" s="530"/>
      <c r="IF302" s="530"/>
      <c r="IG302" s="530"/>
      <c r="IH302" s="530"/>
      <c r="II302" s="530"/>
      <c r="IJ302" s="530"/>
      <c r="IK302" s="530"/>
      <c r="IL302" s="530"/>
      <c r="IM302" s="530"/>
      <c r="IN302" s="530"/>
      <c r="IO302" s="530"/>
      <c r="IP302" s="530"/>
      <c r="IQ302" s="530"/>
      <c r="IR302" s="530"/>
      <c r="IS302" s="530"/>
      <c r="IT302" s="530"/>
      <c r="IU302" s="530"/>
      <c r="IV302" s="530"/>
    </row>
    <row r="303" spans="1:256" ht="17.25" hidden="1" customHeight="1">
      <c r="A303" s="1676"/>
      <c r="B303" s="550"/>
      <c r="C303" s="550"/>
      <c r="D303" s="550"/>
      <c r="E303" s="550"/>
      <c r="F303" s="550"/>
      <c r="G303" s="550"/>
      <c r="H303" s="550"/>
      <c r="I303" s="550"/>
      <c r="J303" s="550"/>
      <c r="K303" s="550"/>
      <c r="L303" s="550"/>
      <c r="M303" s="550"/>
      <c r="N303" s="550"/>
      <c r="O303" s="439"/>
      <c r="P303" s="439"/>
      <c r="Q303" s="674"/>
      <c r="R303" s="671"/>
      <c r="S303" s="671"/>
      <c r="T303" s="671"/>
      <c r="U303" s="671"/>
      <c r="V303" s="671"/>
      <c r="W303" s="671"/>
      <c r="X303" s="671"/>
      <c r="Y303" s="671"/>
      <c r="Z303" s="671"/>
      <c r="AA303" s="671"/>
      <c r="AB303" s="671"/>
      <c r="AC303" s="671"/>
      <c r="AD303" s="671"/>
      <c r="AE303" s="623"/>
      <c r="AF303" s="623"/>
      <c r="AG303" s="623"/>
      <c r="AH303" s="623"/>
      <c r="AI303" s="623"/>
      <c r="AJ303" s="623"/>
      <c r="AK303" s="623"/>
      <c r="AL303" s="623"/>
      <c r="AM303" s="623"/>
      <c r="AN303" s="623"/>
      <c r="AO303" s="623"/>
      <c r="AP303" s="623"/>
      <c r="AQ303" s="623"/>
      <c r="AR303" s="623"/>
      <c r="AS303" s="623"/>
      <c r="AT303" s="623"/>
      <c r="AU303" s="623"/>
      <c r="AV303" s="623"/>
      <c r="AW303" s="623"/>
      <c r="AX303" s="623"/>
      <c r="AY303" s="623"/>
      <c r="AZ303" s="623"/>
      <c r="BA303" s="623"/>
      <c r="BB303" s="623"/>
      <c r="BC303" s="623"/>
      <c r="BD303" s="623"/>
      <c r="BE303" s="623"/>
      <c r="BF303" s="623"/>
      <c r="BG303" s="623"/>
      <c r="BH303" s="623"/>
      <c r="BI303" s="623"/>
      <c r="BJ303" s="623"/>
      <c r="BK303" s="623"/>
      <c r="BL303" s="623"/>
      <c r="BM303" s="623"/>
      <c r="BN303" s="623"/>
      <c r="BO303" s="623"/>
      <c r="BP303" s="623"/>
      <c r="BQ303" s="623"/>
      <c r="BR303" s="623"/>
      <c r="BS303" s="623"/>
      <c r="BT303" s="623"/>
      <c r="BU303" s="623"/>
      <c r="BV303" s="623"/>
      <c r="BW303" s="623"/>
      <c r="BX303" s="623"/>
      <c r="BY303" s="623"/>
      <c r="BZ303" s="623"/>
      <c r="CA303" s="623"/>
      <c r="CB303" s="623"/>
      <c r="CC303" s="623"/>
      <c r="CD303" s="623"/>
      <c r="CE303" s="1669"/>
      <c r="CF303" s="623"/>
      <c r="CG303" s="623"/>
      <c r="CH303" s="623"/>
      <c r="CI303" s="623"/>
      <c r="CJ303" s="623"/>
      <c r="CK303" s="623"/>
      <c r="CL303" s="623"/>
      <c r="CM303" s="623"/>
      <c r="CN303" s="623"/>
      <c r="CO303" s="623"/>
      <c r="CP303" s="623"/>
      <c r="CQ303" s="623"/>
      <c r="CR303" s="623"/>
      <c r="CS303" s="623"/>
      <c r="CT303" s="623"/>
      <c r="CU303" s="623"/>
      <c r="CV303" s="623"/>
      <c r="CW303" s="623"/>
      <c r="CX303" s="623"/>
      <c r="CY303" s="817"/>
      <c r="CZ303" s="623"/>
      <c r="DA303" s="623"/>
      <c r="DB303" s="623"/>
      <c r="DC303" s="623"/>
      <c r="DD303" s="623"/>
      <c r="DE303" s="623"/>
      <c r="DF303" s="623"/>
      <c r="DG303" s="623"/>
      <c r="DH303" s="623"/>
      <c r="DI303" s="623"/>
      <c r="DJ303" s="623"/>
      <c r="DK303" s="623"/>
      <c r="DL303" s="623"/>
      <c r="DM303" s="623"/>
      <c r="DN303" s="623"/>
      <c r="DO303" s="623"/>
      <c r="DP303" s="623"/>
      <c r="DQ303" s="623"/>
      <c r="DR303" s="623"/>
      <c r="DS303" s="623"/>
      <c r="DT303" s="623"/>
      <c r="DU303" s="623"/>
      <c r="DV303" s="1675"/>
      <c r="IR303" s="542"/>
      <c r="IS303" s="542"/>
      <c r="IT303" s="542"/>
      <c r="IU303" s="542"/>
      <c r="IV303" s="542"/>
    </row>
    <row r="304" spans="1:256" ht="17.25" hidden="1" customHeight="1">
      <c r="A304" s="1676"/>
      <c r="B304" s="550"/>
      <c r="C304" s="550"/>
      <c r="D304" s="550"/>
      <c r="E304" s="550"/>
      <c r="F304" s="550"/>
      <c r="G304" s="550"/>
      <c r="H304" s="550"/>
      <c r="I304" s="550"/>
      <c r="J304" s="550"/>
      <c r="K304" s="550"/>
      <c r="L304" s="550"/>
      <c r="M304" s="550"/>
      <c r="N304" s="550"/>
      <c r="O304" s="439"/>
      <c r="P304" s="439"/>
      <c r="Q304" s="674"/>
      <c r="R304" s="671"/>
      <c r="S304" s="671"/>
      <c r="T304" s="671"/>
      <c r="U304" s="671"/>
      <c r="V304" s="671"/>
      <c r="W304" s="671"/>
      <c r="X304" s="671"/>
      <c r="Y304" s="671"/>
      <c r="Z304" s="671"/>
      <c r="AA304" s="671"/>
      <c r="AB304" s="671"/>
      <c r="AC304" s="671"/>
      <c r="AD304" s="671"/>
      <c r="AE304" s="623"/>
      <c r="AF304" s="623"/>
      <c r="AG304" s="623"/>
      <c r="AH304" s="623"/>
      <c r="AI304" s="623"/>
      <c r="AJ304" s="623"/>
      <c r="AK304" s="623"/>
      <c r="AL304" s="623"/>
      <c r="AM304" s="623"/>
      <c r="AN304" s="623"/>
      <c r="AO304" s="623"/>
      <c r="AP304" s="623"/>
      <c r="AQ304" s="623"/>
      <c r="AR304" s="623"/>
      <c r="AS304" s="623"/>
      <c r="AT304" s="623"/>
      <c r="AU304" s="623"/>
      <c r="AV304" s="623"/>
      <c r="AW304" s="623"/>
      <c r="AX304" s="623"/>
      <c r="AY304" s="623"/>
      <c r="AZ304" s="623"/>
      <c r="BA304" s="623"/>
      <c r="BB304" s="623"/>
      <c r="BC304" s="623"/>
      <c r="BD304" s="623"/>
      <c r="BE304" s="623"/>
      <c r="BF304" s="623"/>
      <c r="BG304" s="623"/>
      <c r="BH304" s="623"/>
      <c r="BI304" s="623"/>
      <c r="BJ304" s="623"/>
      <c r="BK304" s="623"/>
      <c r="BL304" s="623"/>
      <c r="BM304" s="623"/>
      <c r="BN304" s="623"/>
      <c r="BO304" s="623"/>
      <c r="BP304" s="623"/>
      <c r="BQ304" s="623"/>
      <c r="BR304" s="623"/>
      <c r="BS304" s="623"/>
      <c r="BT304" s="623"/>
      <c r="BU304" s="623"/>
      <c r="BV304" s="623"/>
      <c r="BW304" s="623"/>
      <c r="BX304" s="623"/>
      <c r="BY304" s="623"/>
      <c r="BZ304" s="623"/>
      <c r="CA304" s="623"/>
      <c r="CB304" s="623"/>
      <c r="CC304" s="623"/>
      <c r="CD304" s="623"/>
      <c r="CE304" s="1669"/>
      <c r="CF304" s="623"/>
      <c r="CG304" s="623"/>
      <c r="CH304" s="623"/>
      <c r="CI304" s="623"/>
      <c r="CJ304" s="623"/>
      <c r="CK304" s="623"/>
      <c r="CL304" s="623"/>
      <c r="CM304" s="623"/>
      <c r="CN304" s="623"/>
      <c r="CO304" s="623"/>
      <c r="CP304" s="623"/>
      <c r="CQ304" s="623"/>
      <c r="CR304" s="623"/>
      <c r="CS304" s="623"/>
      <c r="CT304" s="623"/>
      <c r="CU304" s="623"/>
      <c r="CV304" s="623"/>
      <c r="CW304" s="623"/>
      <c r="CX304" s="623"/>
      <c r="CY304" s="817"/>
      <c r="CZ304" s="623"/>
      <c r="DA304" s="623"/>
      <c r="DB304" s="623"/>
      <c r="DC304" s="623"/>
      <c r="DD304" s="623"/>
      <c r="DE304" s="623"/>
      <c r="DF304" s="623"/>
      <c r="DG304" s="623"/>
      <c r="DH304" s="623"/>
      <c r="DI304" s="623"/>
      <c r="DJ304" s="623"/>
      <c r="DK304" s="623"/>
      <c r="DL304" s="623"/>
      <c r="DM304" s="623"/>
      <c r="DN304" s="623"/>
      <c r="DO304" s="623"/>
      <c r="DP304" s="623"/>
      <c r="DQ304" s="623"/>
      <c r="DR304" s="623"/>
      <c r="DS304" s="623"/>
      <c r="DT304" s="623"/>
      <c r="DU304" s="623"/>
      <c r="DV304" s="1675"/>
    </row>
    <row r="305" spans="1:256" ht="17.25" hidden="1" customHeight="1">
      <c r="A305" s="1676"/>
      <c r="B305" s="550"/>
      <c r="C305" s="550"/>
      <c r="D305" s="550"/>
      <c r="E305" s="550"/>
      <c r="F305" s="550"/>
      <c r="G305" s="550"/>
      <c r="H305" s="550"/>
      <c r="I305" s="550"/>
      <c r="J305" s="550"/>
      <c r="K305" s="550"/>
      <c r="L305" s="550"/>
      <c r="M305" s="550"/>
      <c r="N305" s="550"/>
      <c r="O305" s="439"/>
      <c r="P305" s="439"/>
      <c r="Q305" s="674"/>
      <c r="R305" s="671"/>
      <c r="S305" s="671"/>
      <c r="T305" s="671"/>
      <c r="U305" s="671"/>
      <c r="V305" s="671"/>
      <c r="W305" s="671"/>
      <c r="X305" s="671"/>
      <c r="Y305" s="671"/>
      <c r="Z305" s="671"/>
      <c r="AA305" s="671"/>
      <c r="AB305" s="671"/>
      <c r="AC305" s="671"/>
      <c r="AD305" s="671"/>
      <c r="AE305" s="623"/>
      <c r="AF305" s="623"/>
      <c r="AG305" s="623"/>
      <c r="AH305" s="623"/>
      <c r="AI305" s="623"/>
      <c r="AJ305" s="623"/>
      <c r="AK305" s="623"/>
      <c r="AL305" s="623"/>
      <c r="AM305" s="623"/>
      <c r="AN305" s="623"/>
      <c r="AO305" s="623"/>
      <c r="AP305" s="623"/>
      <c r="AQ305" s="623"/>
      <c r="AR305" s="623"/>
      <c r="AS305" s="623"/>
      <c r="AT305" s="623"/>
      <c r="AU305" s="623"/>
      <c r="AV305" s="623"/>
      <c r="AW305" s="623"/>
      <c r="AX305" s="623"/>
      <c r="AY305" s="623"/>
      <c r="AZ305" s="623"/>
      <c r="BA305" s="623"/>
      <c r="BB305" s="623"/>
      <c r="BC305" s="623"/>
      <c r="BD305" s="623"/>
      <c r="BE305" s="623"/>
      <c r="BF305" s="623"/>
      <c r="BG305" s="623"/>
      <c r="BH305" s="623"/>
      <c r="BI305" s="623"/>
      <c r="BJ305" s="623"/>
      <c r="BK305" s="623"/>
      <c r="BL305" s="623"/>
      <c r="BM305" s="623"/>
      <c r="BN305" s="623"/>
      <c r="BO305" s="623"/>
      <c r="BP305" s="623"/>
      <c r="BQ305" s="623"/>
      <c r="BR305" s="623"/>
      <c r="BS305" s="623"/>
      <c r="BT305" s="623"/>
      <c r="BU305" s="623"/>
      <c r="BV305" s="623"/>
      <c r="BW305" s="623"/>
      <c r="BX305" s="623"/>
      <c r="BY305" s="623"/>
      <c r="BZ305" s="623"/>
      <c r="CA305" s="623"/>
      <c r="CB305" s="623"/>
      <c r="CC305" s="623"/>
      <c r="CD305" s="623"/>
      <c r="CE305" s="1669"/>
      <c r="CF305" s="623"/>
      <c r="CG305" s="623"/>
      <c r="CH305" s="623"/>
      <c r="CI305" s="623"/>
      <c r="CJ305" s="623"/>
      <c r="CK305" s="623"/>
      <c r="CL305" s="623"/>
      <c r="CM305" s="623"/>
      <c r="CN305" s="623"/>
      <c r="CO305" s="623"/>
      <c r="CP305" s="623"/>
      <c r="CQ305" s="623"/>
      <c r="CR305" s="623"/>
      <c r="CS305" s="623"/>
      <c r="CT305" s="623"/>
      <c r="CU305" s="623"/>
      <c r="CV305" s="623"/>
      <c r="CW305" s="623"/>
      <c r="CX305" s="623"/>
      <c r="CY305" s="817"/>
      <c r="CZ305" s="623"/>
      <c r="DA305" s="623"/>
      <c r="DB305" s="623"/>
      <c r="DC305" s="623"/>
      <c r="DD305" s="623"/>
      <c r="DE305" s="623"/>
      <c r="DF305" s="623"/>
      <c r="DG305" s="623"/>
      <c r="DH305" s="623"/>
      <c r="DI305" s="623"/>
      <c r="DJ305" s="623"/>
      <c r="DK305" s="623"/>
      <c r="DL305" s="623"/>
      <c r="DM305" s="623"/>
      <c r="DN305" s="623"/>
      <c r="DO305" s="623"/>
      <c r="DP305" s="623"/>
      <c r="DQ305" s="623"/>
      <c r="DR305" s="623"/>
      <c r="DS305" s="623"/>
      <c r="DT305" s="623"/>
      <c r="DU305" s="623"/>
      <c r="DV305" s="1675"/>
    </row>
    <row r="306" spans="1:256" ht="17.25" hidden="1" customHeight="1">
      <c r="A306" s="1676"/>
      <c r="B306" s="550"/>
      <c r="C306" s="550"/>
      <c r="D306" s="550"/>
      <c r="E306" s="550"/>
      <c r="F306" s="550"/>
      <c r="G306" s="550"/>
      <c r="H306" s="550"/>
      <c r="I306" s="550"/>
      <c r="J306" s="550"/>
      <c r="K306" s="550"/>
      <c r="L306" s="550"/>
      <c r="M306" s="550"/>
      <c r="N306" s="550"/>
      <c r="O306" s="439"/>
      <c r="P306" s="439"/>
      <c r="Q306" s="674"/>
      <c r="R306" s="671"/>
      <c r="S306" s="671"/>
      <c r="T306" s="671"/>
      <c r="U306" s="671"/>
      <c r="V306" s="671"/>
      <c r="W306" s="671"/>
      <c r="X306" s="671"/>
      <c r="Y306" s="671"/>
      <c r="Z306" s="671"/>
      <c r="AA306" s="671"/>
      <c r="AB306" s="671"/>
      <c r="AC306" s="671"/>
      <c r="AD306" s="671"/>
      <c r="AE306" s="623"/>
      <c r="AF306" s="623"/>
      <c r="AG306" s="623"/>
      <c r="AH306" s="623"/>
      <c r="AI306" s="623"/>
      <c r="AJ306" s="623"/>
      <c r="AK306" s="623"/>
      <c r="AL306" s="623"/>
      <c r="AM306" s="623"/>
      <c r="AN306" s="623"/>
      <c r="AO306" s="623"/>
      <c r="AP306" s="623"/>
      <c r="AQ306" s="623"/>
      <c r="AR306" s="623"/>
      <c r="AS306" s="623"/>
      <c r="AT306" s="623"/>
      <c r="AU306" s="623"/>
      <c r="AV306" s="623"/>
      <c r="AW306" s="623"/>
      <c r="AX306" s="623"/>
      <c r="AY306" s="623"/>
      <c r="AZ306" s="623"/>
      <c r="BA306" s="623"/>
      <c r="BB306" s="623"/>
      <c r="BC306" s="623"/>
      <c r="BD306" s="623"/>
      <c r="BE306" s="623"/>
      <c r="BF306" s="623"/>
      <c r="BG306" s="623"/>
      <c r="BH306" s="623"/>
      <c r="BI306" s="623"/>
      <c r="BJ306" s="623"/>
      <c r="BK306" s="623"/>
      <c r="BL306" s="623"/>
      <c r="BM306" s="623"/>
      <c r="BN306" s="623"/>
      <c r="BO306" s="623"/>
      <c r="BP306" s="623"/>
      <c r="BQ306" s="623"/>
      <c r="BR306" s="623"/>
      <c r="BS306" s="623"/>
      <c r="BT306" s="623"/>
      <c r="BU306" s="623"/>
      <c r="BV306" s="623"/>
      <c r="BW306" s="623"/>
      <c r="BX306" s="623"/>
      <c r="BY306" s="623"/>
      <c r="BZ306" s="623"/>
      <c r="CA306" s="623"/>
      <c r="CB306" s="623"/>
      <c r="CC306" s="623"/>
      <c r="CD306" s="623"/>
      <c r="CE306" s="1669"/>
      <c r="CF306" s="623"/>
      <c r="CG306" s="623"/>
      <c r="CH306" s="623"/>
      <c r="CI306" s="623"/>
      <c r="CJ306" s="623"/>
      <c r="CK306" s="623"/>
      <c r="CL306" s="623"/>
      <c r="CM306" s="623"/>
      <c r="CN306" s="623"/>
      <c r="CO306" s="623"/>
      <c r="CP306" s="623"/>
      <c r="CQ306" s="623"/>
      <c r="CR306" s="623"/>
      <c r="CS306" s="623"/>
      <c r="CT306" s="623"/>
      <c r="CU306" s="623"/>
      <c r="CV306" s="623"/>
      <c r="CW306" s="623"/>
      <c r="CX306" s="623"/>
      <c r="CY306" s="817"/>
      <c r="CZ306" s="623"/>
      <c r="DA306" s="623"/>
      <c r="DB306" s="623"/>
      <c r="DC306" s="623"/>
      <c r="DD306" s="623"/>
      <c r="DE306" s="623"/>
      <c r="DF306" s="623"/>
      <c r="DG306" s="623"/>
      <c r="DH306" s="623"/>
      <c r="DI306" s="623"/>
      <c r="DJ306" s="623"/>
      <c r="DK306" s="623"/>
      <c r="DL306" s="623"/>
      <c r="DM306" s="623"/>
      <c r="DN306" s="623"/>
      <c r="DO306" s="623"/>
      <c r="DP306" s="623"/>
      <c r="DQ306" s="623"/>
      <c r="DR306" s="623"/>
      <c r="DS306" s="623"/>
      <c r="DT306" s="623"/>
      <c r="DU306" s="623"/>
      <c r="DV306" s="1675"/>
    </row>
    <row r="307" spans="1:256" ht="17.25" hidden="1" customHeight="1">
      <c r="A307" s="1676"/>
      <c r="B307" s="550"/>
      <c r="C307" s="550"/>
      <c r="D307" s="550"/>
      <c r="E307" s="550"/>
      <c r="F307" s="550"/>
      <c r="G307" s="550"/>
      <c r="H307" s="550"/>
      <c r="I307" s="550"/>
      <c r="J307" s="550"/>
      <c r="K307" s="550"/>
      <c r="L307" s="550"/>
      <c r="M307" s="550"/>
      <c r="N307" s="550"/>
      <c r="O307" s="439"/>
      <c r="P307" s="439"/>
      <c r="Q307" s="674"/>
      <c r="R307" s="671"/>
      <c r="S307" s="671"/>
      <c r="T307" s="671"/>
      <c r="U307" s="671"/>
      <c r="V307" s="671"/>
      <c r="W307" s="671"/>
      <c r="X307" s="671"/>
      <c r="Y307" s="671"/>
      <c r="Z307" s="671"/>
      <c r="AA307" s="671"/>
      <c r="AB307" s="671"/>
      <c r="AC307" s="671"/>
      <c r="AD307" s="671"/>
      <c r="AE307" s="623"/>
      <c r="AF307" s="623"/>
      <c r="AG307" s="623"/>
      <c r="AH307" s="623"/>
      <c r="AI307" s="623"/>
      <c r="AJ307" s="623"/>
      <c r="AK307" s="623"/>
      <c r="AL307" s="623"/>
      <c r="AM307" s="623"/>
      <c r="AN307" s="623"/>
      <c r="AO307" s="623"/>
      <c r="AP307" s="623"/>
      <c r="AQ307" s="623"/>
      <c r="AR307" s="623"/>
      <c r="AS307" s="623"/>
      <c r="AT307" s="623"/>
      <c r="AU307" s="623"/>
      <c r="AV307" s="623"/>
      <c r="AW307" s="623"/>
      <c r="AX307" s="623"/>
      <c r="AY307" s="623"/>
      <c r="AZ307" s="623"/>
      <c r="BA307" s="623"/>
      <c r="BB307" s="623"/>
      <c r="BC307" s="623"/>
      <c r="BD307" s="623"/>
      <c r="BE307" s="623"/>
      <c r="BF307" s="623"/>
      <c r="BG307" s="623"/>
      <c r="BH307" s="623"/>
      <c r="BI307" s="623"/>
      <c r="BJ307" s="623"/>
      <c r="BK307" s="623"/>
      <c r="BL307" s="623"/>
      <c r="BM307" s="623"/>
      <c r="BN307" s="623"/>
      <c r="BO307" s="623"/>
      <c r="BP307" s="623"/>
      <c r="BQ307" s="623"/>
      <c r="BR307" s="623"/>
      <c r="BS307" s="623"/>
      <c r="BT307" s="623"/>
      <c r="BU307" s="623"/>
      <c r="BV307" s="623"/>
      <c r="BW307" s="623"/>
      <c r="BX307" s="623"/>
      <c r="BY307" s="623"/>
      <c r="BZ307" s="623"/>
      <c r="CA307" s="623"/>
      <c r="CB307" s="623"/>
      <c r="CC307" s="623"/>
      <c r="CD307" s="623"/>
      <c r="CE307" s="1669"/>
      <c r="CF307" s="623"/>
      <c r="CG307" s="623"/>
      <c r="CH307" s="623"/>
      <c r="CI307" s="623"/>
      <c r="CJ307" s="623"/>
      <c r="CK307" s="623"/>
      <c r="CL307" s="623"/>
      <c r="CM307" s="623"/>
      <c r="CN307" s="623"/>
      <c r="CO307" s="623"/>
      <c r="CP307" s="623"/>
      <c r="CQ307" s="623"/>
      <c r="CR307" s="623"/>
      <c r="CS307" s="623"/>
      <c r="CT307" s="623"/>
      <c r="CU307" s="623"/>
      <c r="CV307" s="623"/>
      <c r="CW307" s="623"/>
      <c r="CX307" s="623"/>
      <c r="CY307" s="817"/>
      <c r="CZ307" s="623"/>
      <c r="DA307" s="623"/>
      <c r="DB307" s="623"/>
      <c r="DC307" s="623"/>
      <c r="DD307" s="623"/>
      <c r="DE307" s="623"/>
      <c r="DF307" s="623"/>
      <c r="DG307" s="623"/>
      <c r="DH307" s="623"/>
      <c r="DI307" s="623"/>
      <c r="DJ307" s="623"/>
      <c r="DK307" s="623"/>
      <c r="DL307" s="623"/>
      <c r="DM307" s="623"/>
      <c r="DN307" s="623"/>
      <c r="DO307" s="623"/>
      <c r="DP307" s="623"/>
      <c r="DQ307" s="623"/>
      <c r="DR307" s="623"/>
      <c r="DS307" s="623"/>
      <c r="DT307" s="623"/>
      <c r="DU307" s="623"/>
      <c r="DV307" s="1675"/>
    </row>
    <row r="308" spans="1:256" ht="17.25" hidden="1" customHeight="1">
      <c r="A308" s="1676"/>
      <c r="B308" s="550"/>
      <c r="C308" s="550"/>
      <c r="D308" s="550"/>
      <c r="E308" s="550"/>
      <c r="F308" s="550"/>
      <c r="G308" s="550"/>
      <c r="H308" s="550"/>
      <c r="I308" s="550"/>
      <c r="J308" s="550"/>
      <c r="K308" s="550"/>
      <c r="L308" s="550"/>
      <c r="M308" s="550"/>
      <c r="N308" s="550"/>
      <c r="O308" s="439"/>
      <c r="P308" s="439"/>
      <c r="Q308" s="674"/>
      <c r="R308" s="671"/>
      <c r="S308" s="671"/>
      <c r="T308" s="671"/>
      <c r="U308" s="671"/>
      <c r="V308" s="671"/>
      <c r="W308" s="671"/>
      <c r="X308" s="671"/>
      <c r="Y308" s="671"/>
      <c r="Z308" s="671"/>
      <c r="AA308" s="671"/>
      <c r="AB308" s="671"/>
      <c r="AC308" s="671"/>
      <c r="AD308" s="671"/>
      <c r="AE308" s="623"/>
      <c r="AF308" s="623"/>
      <c r="AG308" s="623"/>
      <c r="AH308" s="623"/>
      <c r="AI308" s="623"/>
      <c r="AJ308" s="623"/>
      <c r="AK308" s="623"/>
      <c r="AL308" s="623"/>
      <c r="AM308" s="623"/>
      <c r="AN308" s="623"/>
      <c r="AO308" s="623"/>
      <c r="AP308" s="623"/>
      <c r="AQ308" s="623"/>
      <c r="AR308" s="623"/>
      <c r="AS308" s="623"/>
      <c r="AT308" s="623"/>
      <c r="AU308" s="623"/>
      <c r="AV308" s="623"/>
      <c r="AW308" s="623"/>
      <c r="AX308" s="623"/>
      <c r="AY308" s="623"/>
      <c r="AZ308" s="623"/>
      <c r="BA308" s="623"/>
      <c r="BB308" s="623"/>
      <c r="BC308" s="623"/>
      <c r="BD308" s="623"/>
      <c r="BE308" s="623"/>
      <c r="BF308" s="623"/>
      <c r="BG308" s="623"/>
      <c r="BH308" s="623"/>
      <c r="BI308" s="623"/>
      <c r="BJ308" s="623"/>
      <c r="BK308" s="623"/>
      <c r="BL308" s="623"/>
      <c r="BM308" s="623"/>
      <c r="BN308" s="623"/>
      <c r="BO308" s="623"/>
      <c r="BP308" s="623"/>
      <c r="BQ308" s="623"/>
      <c r="BR308" s="623"/>
      <c r="BS308" s="623"/>
      <c r="BT308" s="623"/>
      <c r="BU308" s="623"/>
      <c r="BV308" s="623"/>
      <c r="BW308" s="623"/>
      <c r="BX308" s="623"/>
      <c r="BY308" s="623"/>
      <c r="BZ308" s="623"/>
      <c r="CA308" s="623"/>
      <c r="CB308" s="623"/>
      <c r="CC308" s="623"/>
      <c r="CD308" s="623"/>
      <c r="CE308" s="1669"/>
      <c r="CF308" s="623"/>
      <c r="CG308" s="623"/>
      <c r="CH308" s="623"/>
      <c r="CI308" s="623"/>
      <c r="CJ308" s="623"/>
      <c r="CK308" s="623"/>
      <c r="CL308" s="623"/>
      <c r="CM308" s="623"/>
      <c r="CN308" s="623"/>
      <c r="CO308" s="623"/>
      <c r="CP308" s="623"/>
      <c r="CQ308" s="623"/>
      <c r="CR308" s="623"/>
      <c r="CS308" s="623"/>
      <c r="CT308" s="623"/>
      <c r="CU308" s="623"/>
      <c r="CV308" s="623"/>
      <c r="CW308" s="623"/>
      <c r="CX308" s="623"/>
      <c r="CY308" s="817"/>
      <c r="CZ308" s="623"/>
      <c r="DA308" s="623"/>
      <c r="DB308" s="623"/>
      <c r="DC308" s="623"/>
      <c r="DD308" s="623"/>
      <c r="DE308" s="623"/>
      <c r="DF308" s="623"/>
      <c r="DG308" s="623"/>
      <c r="DH308" s="623"/>
      <c r="DI308" s="623"/>
      <c r="DJ308" s="623"/>
      <c r="DK308" s="623"/>
      <c r="DL308" s="623"/>
      <c r="DM308" s="623"/>
      <c r="DN308" s="623"/>
      <c r="DO308" s="623"/>
      <c r="DP308" s="623"/>
      <c r="DQ308" s="623"/>
      <c r="DR308" s="623"/>
      <c r="DS308" s="623"/>
      <c r="DT308" s="623"/>
      <c r="DU308" s="623"/>
      <c r="DV308" s="1675"/>
    </row>
    <row r="309" spans="1:256" ht="17.25" hidden="1" customHeight="1">
      <c r="A309" s="1676"/>
      <c r="B309" s="550"/>
      <c r="C309" s="550"/>
      <c r="D309" s="550"/>
      <c r="E309" s="550"/>
      <c r="F309" s="550"/>
      <c r="G309" s="550"/>
      <c r="H309" s="550"/>
      <c r="I309" s="550"/>
      <c r="J309" s="550"/>
      <c r="K309" s="550"/>
      <c r="L309" s="550"/>
      <c r="M309" s="550"/>
      <c r="N309" s="550"/>
      <c r="O309" s="439"/>
      <c r="P309" s="439"/>
      <c r="Q309" s="674"/>
      <c r="R309" s="671"/>
      <c r="S309" s="671"/>
      <c r="T309" s="671"/>
      <c r="U309" s="671"/>
      <c r="V309" s="671"/>
      <c r="W309" s="671"/>
      <c r="X309" s="671"/>
      <c r="Y309" s="671"/>
      <c r="Z309" s="671"/>
      <c r="AA309" s="671"/>
      <c r="AB309" s="671"/>
      <c r="AC309" s="671"/>
      <c r="AD309" s="671"/>
      <c r="AE309" s="623"/>
      <c r="AF309" s="623"/>
      <c r="AG309" s="623"/>
      <c r="AH309" s="623"/>
      <c r="AI309" s="623"/>
      <c r="AJ309" s="623"/>
      <c r="AK309" s="623"/>
      <c r="AL309" s="623"/>
      <c r="AM309" s="623"/>
      <c r="AN309" s="623"/>
      <c r="AO309" s="623"/>
      <c r="AP309" s="623"/>
      <c r="AQ309" s="623"/>
      <c r="AR309" s="623"/>
      <c r="AS309" s="623"/>
      <c r="AT309" s="623"/>
      <c r="AU309" s="623"/>
      <c r="AV309" s="623"/>
      <c r="AW309" s="623"/>
      <c r="AX309" s="623"/>
      <c r="AY309" s="623"/>
      <c r="AZ309" s="623"/>
      <c r="BA309" s="623"/>
      <c r="BB309" s="623"/>
      <c r="BC309" s="623"/>
      <c r="BD309" s="623"/>
      <c r="BE309" s="623"/>
      <c r="BF309" s="623"/>
      <c r="BG309" s="623"/>
      <c r="BH309" s="623"/>
      <c r="BI309" s="623"/>
      <c r="BJ309" s="623"/>
      <c r="BK309" s="623"/>
      <c r="BL309" s="623"/>
      <c r="BM309" s="623"/>
      <c r="BN309" s="623"/>
      <c r="BO309" s="623"/>
      <c r="BP309" s="623"/>
      <c r="BQ309" s="623"/>
      <c r="BR309" s="623"/>
      <c r="BS309" s="623"/>
      <c r="BT309" s="623"/>
      <c r="BU309" s="623"/>
      <c r="BV309" s="623"/>
      <c r="BW309" s="623"/>
      <c r="BX309" s="623"/>
      <c r="BY309" s="623"/>
      <c r="BZ309" s="623"/>
      <c r="CA309" s="623"/>
      <c r="CB309" s="623"/>
      <c r="CC309" s="623"/>
      <c r="CD309" s="623"/>
      <c r="CE309" s="1669"/>
      <c r="CF309" s="623"/>
      <c r="CG309" s="623"/>
      <c r="CH309" s="623"/>
      <c r="CI309" s="623"/>
      <c r="CJ309" s="623"/>
      <c r="CK309" s="623"/>
      <c r="CL309" s="623"/>
      <c r="CM309" s="623"/>
      <c r="CN309" s="623"/>
      <c r="CO309" s="623"/>
      <c r="CP309" s="623"/>
      <c r="CQ309" s="623"/>
      <c r="CR309" s="623"/>
      <c r="CS309" s="623"/>
      <c r="CT309" s="623"/>
      <c r="CU309" s="623"/>
      <c r="CV309" s="623"/>
      <c r="CW309" s="623"/>
      <c r="CX309" s="623"/>
      <c r="CY309" s="817"/>
      <c r="CZ309" s="623"/>
      <c r="DA309" s="623"/>
      <c r="DB309" s="623"/>
      <c r="DC309" s="623"/>
      <c r="DD309" s="623"/>
      <c r="DE309" s="623"/>
      <c r="DF309" s="623"/>
      <c r="DG309" s="623"/>
      <c r="DH309" s="623"/>
      <c r="DI309" s="623"/>
      <c r="DJ309" s="623"/>
      <c r="DK309" s="623"/>
      <c r="DL309" s="623"/>
      <c r="DM309" s="623"/>
      <c r="DN309" s="623"/>
      <c r="DO309" s="623"/>
      <c r="DP309" s="623"/>
      <c r="DQ309" s="623"/>
      <c r="DR309" s="623"/>
      <c r="DS309" s="623"/>
      <c r="DT309" s="623"/>
      <c r="DU309" s="623"/>
      <c r="DV309" s="1675"/>
    </row>
    <row r="310" spans="1:256" ht="17.25" hidden="1" customHeight="1">
      <c r="A310" s="1676"/>
      <c r="B310" s="550"/>
      <c r="C310" s="550"/>
      <c r="D310" s="550"/>
      <c r="E310" s="550"/>
      <c r="F310" s="550"/>
      <c r="G310" s="550"/>
      <c r="H310" s="550"/>
      <c r="I310" s="550"/>
      <c r="J310" s="550"/>
      <c r="K310" s="550"/>
      <c r="L310" s="550"/>
      <c r="M310" s="550"/>
      <c r="N310" s="550"/>
      <c r="O310" s="439"/>
      <c r="P310" s="439"/>
      <c r="Q310" s="674"/>
      <c r="R310" s="671"/>
      <c r="S310" s="671"/>
      <c r="T310" s="671"/>
      <c r="U310" s="671"/>
      <c r="V310" s="671"/>
      <c r="W310" s="671"/>
      <c r="X310" s="671"/>
      <c r="Y310" s="671"/>
      <c r="Z310" s="671"/>
      <c r="AA310" s="671"/>
      <c r="AB310" s="671"/>
      <c r="AC310" s="671"/>
      <c r="AD310" s="671"/>
      <c r="AE310" s="623"/>
      <c r="AF310" s="623"/>
      <c r="AG310" s="623"/>
      <c r="AH310" s="623"/>
      <c r="AI310" s="623"/>
      <c r="AJ310" s="623"/>
      <c r="AK310" s="623"/>
      <c r="AL310" s="623"/>
      <c r="AM310" s="623"/>
      <c r="AN310" s="623"/>
      <c r="AO310" s="623"/>
      <c r="AP310" s="623"/>
      <c r="AQ310" s="623"/>
      <c r="AR310" s="623"/>
      <c r="AS310" s="623"/>
      <c r="AT310" s="623"/>
      <c r="AU310" s="623"/>
      <c r="AV310" s="623"/>
      <c r="AW310" s="623"/>
      <c r="AX310" s="623"/>
      <c r="AY310" s="623"/>
      <c r="AZ310" s="623"/>
      <c r="BA310" s="623"/>
      <c r="BB310" s="623"/>
      <c r="BC310" s="623"/>
      <c r="BD310" s="623"/>
      <c r="BE310" s="623"/>
      <c r="BF310" s="623"/>
      <c r="BG310" s="623"/>
      <c r="BH310" s="623"/>
      <c r="BI310" s="623"/>
      <c r="BJ310" s="623"/>
      <c r="BK310" s="623"/>
      <c r="BL310" s="623"/>
      <c r="BM310" s="623"/>
      <c r="BN310" s="623"/>
      <c r="BO310" s="623"/>
      <c r="BP310" s="623"/>
      <c r="BQ310" s="623"/>
      <c r="BR310" s="623"/>
      <c r="BS310" s="623"/>
      <c r="BT310" s="623"/>
      <c r="BU310" s="623"/>
      <c r="BV310" s="623"/>
      <c r="BW310" s="623"/>
      <c r="BX310" s="623"/>
      <c r="BY310" s="623"/>
      <c r="BZ310" s="623"/>
      <c r="CA310" s="623"/>
      <c r="CB310" s="623"/>
      <c r="CC310" s="623"/>
      <c r="CD310" s="623"/>
      <c r="CE310" s="1669"/>
      <c r="CF310" s="623"/>
      <c r="CG310" s="623"/>
      <c r="CH310" s="623"/>
      <c r="CI310" s="623"/>
      <c r="CJ310" s="623"/>
      <c r="CK310" s="623"/>
      <c r="CL310" s="623"/>
      <c r="CM310" s="623"/>
      <c r="CN310" s="623"/>
      <c r="CO310" s="623"/>
      <c r="CP310" s="623"/>
      <c r="CQ310" s="623"/>
      <c r="CR310" s="623"/>
      <c r="CS310" s="623"/>
      <c r="CT310" s="623"/>
      <c r="CU310" s="623"/>
      <c r="CV310" s="623"/>
      <c r="CW310" s="623"/>
      <c r="CX310" s="623"/>
      <c r="CY310" s="817"/>
      <c r="CZ310" s="623"/>
      <c r="DA310" s="623"/>
      <c r="DB310" s="623"/>
      <c r="DC310" s="623"/>
      <c r="DD310" s="623"/>
      <c r="DE310" s="623"/>
      <c r="DF310" s="623"/>
      <c r="DG310" s="623"/>
      <c r="DH310" s="623"/>
      <c r="DI310" s="623"/>
      <c r="DJ310" s="623"/>
      <c r="DK310" s="623"/>
      <c r="DL310" s="623"/>
      <c r="DM310" s="623"/>
      <c r="DN310" s="623"/>
      <c r="DO310" s="623"/>
      <c r="DP310" s="623"/>
      <c r="DQ310" s="623"/>
      <c r="DR310" s="623"/>
      <c r="DS310" s="623"/>
      <c r="DT310" s="623"/>
      <c r="DU310" s="623"/>
      <c r="DV310" s="1675"/>
    </row>
    <row r="311" spans="1:256" ht="17.25" hidden="1" customHeight="1">
      <c r="A311" s="1676"/>
      <c r="B311" s="550"/>
      <c r="C311" s="550"/>
      <c r="D311" s="550"/>
      <c r="E311" s="550"/>
      <c r="F311" s="550"/>
      <c r="G311" s="550"/>
      <c r="H311" s="550"/>
      <c r="I311" s="550"/>
      <c r="J311" s="550"/>
      <c r="K311" s="550"/>
      <c r="L311" s="550"/>
      <c r="M311" s="550"/>
      <c r="N311" s="550"/>
      <c r="O311" s="439"/>
      <c r="P311" s="439"/>
      <c r="Q311" s="674"/>
      <c r="R311" s="671"/>
      <c r="S311" s="671"/>
      <c r="T311" s="671"/>
      <c r="U311" s="671"/>
      <c r="V311" s="671"/>
      <c r="W311" s="671"/>
      <c r="X311" s="671"/>
      <c r="Y311" s="671"/>
      <c r="Z311" s="671"/>
      <c r="AA311" s="671"/>
      <c r="AB311" s="671"/>
      <c r="AC311" s="671"/>
      <c r="AD311" s="671"/>
      <c r="AE311" s="623"/>
      <c r="AF311" s="623"/>
      <c r="AG311" s="623"/>
      <c r="AH311" s="623"/>
      <c r="AI311" s="623"/>
      <c r="AJ311" s="623"/>
      <c r="AK311" s="623"/>
      <c r="AL311" s="623"/>
      <c r="AM311" s="623"/>
      <c r="AN311" s="623"/>
      <c r="AO311" s="623"/>
      <c r="AP311" s="623"/>
      <c r="AQ311" s="623"/>
      <c r="AR311" s="623"/>
      <c r="AS311" s="623"/>
      <c r="AT311" s="623"/>
      <c r="AU311" s="623"/>
      <c r="AV311" s="623"/>
      <c r="AW311" s="623"/>
      <c r="AX311" s="623"/>
      <c r="AY311" s="623"/>
      <c r="AZ311" s="623"/>
      <c r="BA311" s="623"/>
      <c r="BB311" s="623"/>
      <c r="BC311" s="623"/>
      <c r="BD311" s="623"/>
      <c r="BE311" s="623"/>
      <c r="BF311" s="623"/>
      <c r="BG311" s="623"/>
      <c r="BH311" s="623"/>
      <c r="BI311" s="623"/>
      <c r="BJ311" s="623"/>
      <c r="BK311" s="623"/>
      <c r="BL311" s="623"/>
      <c r="BM311" s="623"/>
      <c r="BN311" s="623"/>
      <c r="BO311" s="623"/>
      <c r="BP311" s="623"/>
      <c r="BQ311" s="623"/>
      <c r="BR311" s="623"/>
      <c r="BS311" s="623"/>
      <c r="BT311" s="623"/>
      <c r="BU311" s="623"/>
      <c r="BV311" s="623"/>
      <c r="BW311" s="623"/>
      <c r="BX311" s="623"/>
      <c r="BY311" s="623"/>
      <c r="BZ311" s="623"/>
      <c r="CA311" s="623"/>
      <c r="CB311" s="623"/>
      <c r="CC311" s="623"/>
      <c r="CD311" s="623"/>
      <c r="CE311" s="1669"/>
      <c r="CF311" s="623"/>
      <c r="CG311" s="623"/>
      <c r="CH311" s="623"/>
      <c r="CI311" s="623"/>
      <c r="CJ311" s="623"/>
      <c r="CK311" s="623"/>
      <c r="CL311" s="623"/>
      <c r="CM311" s="623"/>
      <c r="CN311" s="623"/>
      <c r="CO311" s="623"/>
      <c r="CP311" s="623"/>
      <c r="CQ311" s="623"/>
      <c r="CR311" s="623"/>
      <c r="CS311" s="623"/>
      <c r="CT311" s="623"/>
      <c r="CU311" s="623"/>
      <c r="CV311" s="623"/>
      <c r="CW311" s="623"/>
      <c r="CX311" s="623"/>
      <c r="CY311" s="817"/>
      <c r="CZ311" s="623"/>
      <c r="DA311" s="623"/>
      <c r="DB311" s="623"/>
      <c r="DC311" s="623"/>
      <c r="DD311" s="623"/>
      <c r="DE311" s="623"/>
      <c r="DF311" s="623"/>
      <c r="DG311" s="623"/>
      <c r="DH311" s="623"/>
      <c r="DI311" s="623"/>
      <c r="DJ311" s="623"/>
      <c r="DK311" s="623"/>
      <c r="DL311" s="623"/>
      <c r="DM311" s="623"/>
      <c r="DN311" s="623"/>
      <c r="DO311" s="623"/>
      <c r="DP311" s="623"/>
      <c r="DQ311" s="623"/>
      <c r="DR311" s="623"/>
      <c r="DS311" s="623"/>
      <c r="DT311" s="623"/>
      <c r="DU311" s="623"/>
      <c r="DV311" s="1675"/>
    </row>
    <row r="312" spans="1:256" s="678" customFormat="1" ht="17.25" hidden="1" customHeight="1">
      <c r="A312" s="1676"/>
      <c r="B312" s="550"/>
      <c r="C312" s="550"/>
      <c r="D312" s="550"/>
      <c r="E312" s="550"/>
      <c r="F312" s="550"/>
      <c r="G312" s="550"/>
      <c r="H312" s="550"/>
      <c r="I312" s="550"/>
      <c r="J312" s="676"/>
      <c r="K312" s="550"/>
      <c r="L312" s="550"/>
      <c r="M312" s="550"/>
      <c r="N312" s="550"/>
      <c r="O312" s="439"/>
      <c r="P312" s="439"/>
      <c r="Q312" s="674"/>
      <c r="R312" s="671"/>
      <c r="S312" s="671"/>
      <c r="T312" s="671"/>
      <c r="U312" s="671"/>
      <c r="V312" s="671"/>
      <c r="W312" s="671"/>
      <c r="X312" s="671"/>
      <c r="Y312" s="671"/>
      <c r="Z312" s="671"/>
      <c r="AA312" s="671"/>
      <c r="AB312" s="671"/>
      <c r="AC312" s="671"/>
      <c r="AD312" s="671"/>
      <c r="AE312" s="623"/>
      <c r="AF312" s="623"/>
      <c r="AG312" s="623"/>
      <c r="AH312" s="623"/>
      <c r="AI312" s="623"/>
      <c r="AJ312" s="623"/>
      <c r="AK312" s="623"/>
      <c r="AL312" s="623"/>
      <c r="AM312" s="623"/>
      <c r="AN312" s="623"/>
      <c r="AO312" s="623"/>
      <c r="AP312" s="623"/>
      <c r="AQ312" s="623"/>
      <c r="AR312" s="623"/>
      <c r="AS312" s="623"/>
      <c r="AT312" s="623"/>
      <c r="AU312" s="623"/>
      <c r="AV312" s="623"/>
      <c r="AW312" s="623"/>
      <c r="AX312" s="623"/>
      <c r="AY312" s="623"/>
      <c r="AZ312" s="623"/>
      <c r="BA312" s="623"/>
      <c r="BB312" s="623"/>
      <c r="BC312" s="623"/>
      <c r="BD312" s="623"/>
      <c r="BE312" s="623"/>
      <c r="BF312" s="623"/>
      <c r="BG312" s="623"/>
      <c r="BH312" s="623"/>
      <c r="BI312" s="623"/>
      <c r="BJ312" s="623"/>
      <c r="BK312" s="623"/>
      <c r="BL312" s="623"/>
      <c r="BM312" s="623"/>
      <c r="BN312" s="623"/>
      <c r="BO312" s="623"/>
      <c r="BP312" s="623"/>
      <c r="BQ312" s="623"/>
      <c r="BR312" s="623"/>
      <c r="BS312" s="623"/>
      <c r="BT312" s="623"/>
      <c r="BU312" s="623"/>
      <c r="BV312" s="623"/>
      <c r="BW312" s="623"/>
      <c r="BX312" s="623"/>
      <c r="BY312" s="623"/>
      <c r="BZ312" s="623"/>
      <c r="CA312" s="623"/>
      <c r="CB312" s="623"/>
      <c r="CC312" s="623"/>
      <c r="CD312" s="623"/>
      <c r="CE312" s="1669"/>
      <c r="CF312" s="623"/>
      <c r="CG312" s="623"/>
      <c r="CH312" s="623"/>
      <c r="CI312" s="623"/>
      <c r="CJ312" s="623"/>
      <c r="CK312" s="623"/>
      <c r="CL312" s="623"/>
      <c r="CM312" s="623"/>
      <c r="CN312" s="623"/>
      <c r="CO312" s="623"/>
      <c r="CP312" s="623"/>
      <c r="CQ312" s="623"/>
      <c r="CR312" s="623"/>
      <c r="CS312" s="623"/>
      <c r="CT312" s="623"/>
      <c r="CU312" s="623"/>
      <c r="CV312" s="623"/>
      <c r="CW312" s="623"/>
      <c r="CX312" s="623"/>
      <c r="CY312" s="817"/>
      <c r="CZ312" s="623"/>
      <c r="DA312" s="623"/>
      <c r="DB312" s="623"/>
      <c r="DC312" s="623"/>
      <c r="DD312" s="623"/>
      <c r="DE312" s="623"/>
      <c r="DF312" s="623"/>
      <c r="DG312" s="623"/>
      <c r="DH312" s="623"/>
      <c r="DI312" s="623"/>
      <c r="DJ312" s="623"/>
      <c r="DK312" s="623"/>
      <c r="DL312" s="623"/>
      <c r="DM312" s="623"/>
      <c r="DN312" s="623"/>
      <c r="DO312" s="623"/>
      <c r="DP312" s="623"/>
      <c r="DQ312" s="623"/>
      <c r="DR312" s="623"/>
      <c r="DS312" s="623"/>
      <c r="DT312" s="623"/>
      <c r="DU312" s="623"/>
      <c r="DV312" s="1675"/>
      <c r="DW312" s="530"/>
      <c r="DX312" s="530"/>
      <c r="DY312" s="530"/>
      <c r="DZ312" s="530"/>
      <c r="EA312" s="530"/>
      <c r="EB312" s="530"/>
      <c r="EC312" s="530"/>
      <c r="ED312" s="530"/>
      <c r="EE312" s="530"/>
      <c r="EF312" s="530"/>
      <c r="EG312" s="530"/>
      <c r="EH312" s="530"/>
      <c r="EI312" s="530"/>
      <c r="EJ312" s="530"/>
      <c r="EK312" s="530"/>
      <c r="EL312" s="530"/>
      <c r="EM312" s="530"/>
      <c r="EN312" s="530"/>
      <c r="EO312" s="530"/>
      <c r="EP312" s="530"/>
      <c r="EQ312" s="530"/>
      <c r="ER312" s="530"/>
      <c r="ES312" s="530"/>
      <c r="ET312" s="530"/>
      <c r="EU312" s="530"/>
      <c r="EV312" s="530"/>
      <c r="EW312" s="530"/>
      <c r="EX312" s="530"/>
      <c r="EY312" s="530"/>
      <c r="EZ312" s="530"/>
      <c r="FA312" s="530"/>
      <c r="FB312" s="530"/>
      <c r="FC312" s="530"/>
      <c r="FD312" s="530"/>
      <c r="FE312" s="530"/>
      <c r="FF312" s="530"/>
      <c r="FG312" s="530"/>
      <c r="FH312" s="530"/>
      <c r="FI312" s="530"/>
      <c r="FJ312" s="530"/>
      <c r="FK312" s="530"/>
      <c r="FL312" s="530"/>
      <c r="FM312" s="530"/>
      <c r="FN312" s="530"/>
      <c r="FO312" s="530"/>
      <c r="FP312" s="530"/>
      <c r="FQ312" s="530"/>
      <c r="FR312" s="530"/>
      <c r="FS312" s="530"/>
      <c r="FT312" s="530"/>
      <c r="FU312" s="530"/>
      <c r="FV312" s="530"/>
      <c r="FW312" s="530"/>
      <c r="FX312" s="530"/>
      <c r="FY312" s="530"/>
      <c r="FZ312" s="530"/>
      <c r="GA312" s="530"/>
      <c r="GB312" s="530"/>
      <c r="GC312" s="530"/>
      <c r="GD312" s="530"/>
      <c r="GE312" s="530"/>
      <c r="GF312" s="530"/>
      <c r="GG312" s="530"/>
      <c r="GH312" s="530"/>
      <c r="GI312" s="530"/>
      <c r="GJ312" s="530"/>
      <c r="GK312" s="530"/>
      <c r="GL312" s="530"/>
      <c r="GM312" s="530"/>
      <c r="GN312" s="530"/>
      <c r="GO312" s="530"/>
      <c r="GP312" s="530"/>
      <c r="GQ312" s="530"/>
      <c r="GR312" s="530"/>
      <c r="GS312" s="530"/>
      <c r="GT312" s="530"/>
      <c r="GU312" s="530"/>
      <c r="GV312" s="530"/>
      <c r="GW312" s="530"/>
      <c r="GX312" s="530"/>
      <c r="GY312" s="530"/>
      <c r="GZ312" s="530"/>
      <c r="HA312" s="530"/>
      <c r="HB312" s="530"/>
      <c r="HC312" s="530"/>
      <c r="HD312" s="530"/>
      <c r="HE312" s="530"/>
      <c r="HF312" s="530"/>
      <c r="HG312" s="530"/>
      <c r="HH312" s="530"/>
      <c r="HI312" s="530"/>
      <c r="HJ312" s="530"/>
      <c r="HK312" s="530"/>
      <c r="HL312" s="530"/>
      <c r="HM312" s="530"/>
      <c r="HN312" s="530"/>
      <c r="HO312" s="530"/>
      <c r="HP312" s="530"/>
      <c r="HQ312" s="530"/>
      <c r="HR312" s="530"/>
      <c r="HS312" s="530"/>
      <c r="HT312" s="530"/>
      <c r="HU312" s="530"/>
      <c r="HV312" s="530"/>
      <c r="HW312" s="530"/>
      <c r="HX312" s="530"/>
      <c r="HY312" s="530"/>
      <c r="HZ312" s="530"/>
      <c r="IA312" s="530"/>
      <c r="IB312" s="530"/>
      <c r="IC312" s="530"/>
      <c r="ID312" s="530"/>
      <c r="IE312" s="530"/>
      <c r="IF312" s="530"/>
      <c r="IG312" s="530"/>
      <c r="IH312" s="530"/>
      <c r="II312" s="530"/>
      <c r="IJ312" s="530"/>
      <c r="IK312" s="530"/>
      <c r="IL312" s="530"/>
      <c r="IM312" s="530"/>
      <c r="IN312" s="530"/>
      <c r="IO312" s="530"/>
      <c r="IP312" s="530"/>
      <c r="IQ312" s="530"/>
      <c r="IR312" s="530"/>
      <c r="IS312" s="530"/>
      <c r="IT312" s="530"/>
      <c r="IU312" s="530"/>
      <c r="IV312" s="530"/>
    </row>
    <row r="313" spans="1:256" s="717" customFormat="1" ht="18.75" hidden="1" customHeight="1">
      <c r="A313" s="1713"/>
      <c r="B313" s="1714"/>
      <c r="C313" s="1713"/>
      <c r="D313" s="1713"/>
      <c r="E313" s="1713"/>
      <c r="F313" s="1713"/>
      <c r="G313" s="1713"/>
      <c r="H313" s="1713"/>
      <c r="I313" s="1713"/>
      <c r="J313" s="1713"/>
      <c r="K313" s="1713"/>
      <c r="L313" s="1713"/>
      <c r="M313" s="1713"/>
      <c r="N313" s="1713"/>
      <c r="O313" s="1713"/>
      <c r="P313" s="1713"/>
      <c r="Q313" s="1713"/>
      <c r="R313" s="1713"/>
      <c r="S313" s="1713"/>
      <c r="T313" s="1713"/>
      <c r="U313" s="1713"/>
      <c r="V313" s="1713"/>
      <c r="W313" s="1713"/>
      <c r="X313" s="1713"/>
      <c r="Y313" s="1713"/>
      <c r="Z313" s="1713"/>
      <c r="AA313" s="1713"/>
      <c r="AB313" s="1713"/>
      <c r="AC313" s="1713"/>
      <c r="AD313" s="1713"/>
      <c r="AE313" s="1713"/>
      <c r="AF313" s="1713"/>
      <c r="AG313" s="1713"/>
      <c r="AH313" s="1713"/>
      <c r="AI313" s="1713"/>
      <c r="AJ313" s="1713"/>
      <c r="AK313" s="1713"/>
      <c r="AL313" s="1713"/>
      <c r="AM313" s="1713"/>
      <c r="AN313" s="1713"/>
      <c r="AO313" s="1713"/>
      <c r="AP313" s="1713"/>
      <c r="AQ313" s="1713"/>
      <c r="AR313" s="1713"/>
      <c r="AS313" s="1713"/>
      <c r="AT313" s="1713"/>
      <c r="AU313" s="1713"/>
      <c r="AV313" s="1713"/>
      <c r="AW313" s="1713"/>
      <c r="AX313" s="1713"/>
      <c r="AY313" s="1713"/>
      <c r="AZ313" s="1713"/>
      <c r="BA313" s="1713"/>
      <c r="BB313" s="1713"/>
      <c r="BC313" s="1713"/>
      <c r="BD313" s="1713"/>
      <c r="BE313" s="1713"/>
      <c r="BF313" s="1713"/>
      <c r="BG313" s="1713"/>
      <c r="BH313" s="1713"/>
      <c r="BI313" s="1713"/>
      <c r="BJ313" s="1713"/>
      <c r="BK313" s="1713"/>
      <c r="BL313" s="1713"/>
      <c r="BM313" s="1713"/>
      <c r="BN313" s="1713"/>
      <c r="BO313" s="1713"/>
      <c r="BP313" s="1713"/>
      <c r="BQ313" s="1713"/>
      <c r="BR313" s="1713"/>
      <c r="BS313" s="1713"/>
      <c r="BT313" s="1713"/>
      <c r="BU313" s="1713"/>
      <c r="BV313" s="1713"/>
      <c r="BW313" s="1713"/>
      <c r="BX313" s="1713"/>
      <c r="BY313" s="1713"/>
      <c r="BZ313" s="1713"/>
      <c r="CA313" s="1713"/>
      <c r="CB313" s="1713"/>
      <c r="CC313" s="1713"/>
      <c r="CD313" s="1713"/>
      <c r="CE313" s="1669"/>
      <c r="CF313" s="1713"/>
      <c r="CG313" s="1713"/>
      <c r="CH313" s="1713"/>
      <c r="CI313" s="1713"/>
      <c r="CJ313" s="1713"/>
      <c r="CK313" s="1713"/>
      <c r="CL313" s="1713"/>
      <c r="CM313" s="1713"/>
      <c r="CN313" s="1713"/>
      <c r="CO313" s="1713"/>
      <c r="CP313" s="1713"/>
      <c r="CQ313" s="1713"/>
      <c r="CR313" s="1713"/>
      <c r="CS313" s="1713"/>
      <c r="CT313" s="1713"/>
      <c r="CU313" s="1713"/>
      <c r="CV313" s="1713"/>
      <c r="CW313" s="1713"/>
      <c r="CX313" s="1713"/>
      <c r="CY313" s="1680"/>
      <c r="CZ313" s="1713"/>
      <c r="DA313" s="1713"/>
      <c r="DB313" s="1713"/>
      <c r="DC313" s="1713"/>
      <c r="DD313" s="1713"/>
      <c r="DE313" s="1713"/>
      <c r="DF313" s="1713"/>
      <c r="DG313" s="1713"/>
      <c r="DH313" s="1713"/>
      <c r="DI313" s="1713"/>
      <c r="DJ313" s="1713"/>
      <c r="DK313" s="1713"/>
      <c r="DL313" s="1713"/>
      <c r="DM313" s="1713"/>
      <c r="DN313" s="1713"/>
      <c r="DO313" s="1713"/>
      <c r="DP313" s="1713"/>
      <c r="DQ313" s="1713"/>
      <c r="DR313" s="1713"/>
      <c r="DS313" s="1713"/>
      <c r="DT313" s="1713"/>
      <c r="DU313" s="1715"/>
      <c r="DV313" s="1716"/>
    </row>
    <row r="314" spans="1:256" s="545" customFormat="1" ht="18" hidden="1" customHeight="1">
      <c r="A314" s="1685"/>
      <c r="B314" s="1023"/>
      <c r="C314" s="1023"/>
      <c r="D314" s="1023"/>
      <c r="E314" s="1023"/>
      <c r="F314" s="1023"/>
      <c r="G314" s="1023"/>
      <c r="H314" s="1023"/>
      <c r="I314" s="1023"/>
      <c r="J314" s="1023"/>
      <c r="K314" s="1023"/>
      <c r="L314" s="1023"/>
      <c r="M314" s="1023"/>
      <c r="N314" s="1023"/>
      <c r="O314" s="1023"/>
      <c r="P314" s="1023"/>
      <c r="Q314" s="1023"/>
      <c r="R314" s="1023"/>
      <c r="S314" s="1023"/>
      <c r="T314" s="1023"/>
      <c r="U314" s="1023"/>
      <c r="V314" s="1023"/>
      <c r="W314" s="1023"/>
      <c r="X314" s="1023"/>
      <c r="Y314" s="1023"/>
      <c r="Z314" s="1023"/>
      <c r="AA314" s="1023"/>
      <c r="AB314" s="1023"/>
      <c r="AC314" s="1023"/>
      <c r="AD314" s="1023"/>
      <c r="AE314" s="1023"/>
      <c r="AF314" s="1023"/>
      <c r="AG314" s="1023"/>
      <c r="AH314" s="1023"/>
      <c r="AI314" s="1023"/>
      <c r="AJ314" s="1023"/>
      <c r="AK314" s="1023"/>
      <c r="AL314" s="1023"/>
      <c r="AM314" s="1023"/>
      <c r="AN314" s="1023"/>
      <c r="AO314" s="1023"/>
      <c r="AP314" s="1023"/>
      <c r="AQ314" s="1023"/>
      <c r="AR314" s="1023"/>
      <c r="AS314" s="1023"/>
      <c r="AT314" s="1023"/>
      <c r="AU314" s="1023"/>
      <c r="AV314" s="1023"/>
      <c r="AW314" s="1023"/>
      <c r="AX314" s="1023"/>
      <c r="AY314" s="1023"/>
      <c r="AZ314" s="1023"/>
      <c r="BA314" s="1023"/>
      <c r="BB314" s="1023"/>
      <c r="BC314" s="1023"/>
      <c r="BD314" s="1023"/>
      <c r="BE314" s="1023"/>
      <c r="BF314" s="1023"/>
      <c r="BG314" s="1023"/>
      <c r="BH314" s="1023"/>
      <c r="BI314" s="1023"/>
      <c r="BJ314" s="1023"/>
      <c r="BK314" s="1023"/>
      <c r="BL314" s="1023"/>
      <c r="BM314" s="1023"/>
      <c r="BN314" s="1023"/>
      <c r="BO314" s="1023"/>
      <c r="BP314" s="1023"/>
      <c r="BQ314" s="1023"/>
      <c r="BR314" s="1023"/>
      <c r="BS314" s="1023"/>
      <c r="BT314" s="1023"/>
      <c r="BU314" s="1023"/>
      <c r="BV314" s="1023"/>
      <c r="BW314" s="1023"/>
      <c r="BX314" s="1023"/>
      <c r="BY314" s="1023"/>
      <c r="BZ314" s="1023"/>
      <c r="CA314" s="1023"/>
      <c r="CB314" s="1023"/>
      <c r="CC314" s="1023"/>
      <c r="CD314" s="1023"/>
      <c r="CE314" s="1669"/>
      <c r="CF314" s="1023"/>
      <c r="CG314" s="1023"/>
      <c r="CH314" s="1023"/>
      <c r="CI314" s="1023"/>
      <c r="CJ314" s="1023"/>
      <c r="CK314" s="1023"/>
      <c r="CL314" s="1023"/>
      <c r="CM314" s="1023"/>
      <c r="CN314" s="1023"/>
      <c r="CO314" s="1023"/>
      <c r="CP314" s="1023"/>
      <c r="CQ314" s="1023"/>
      <c r="CR314" s="1023"/>
      <c r="CS314" s="1023"/>
      <c r="CT314" s="1023"/>
      <c r="CU314" s="1023"/>
      <c r="CV314" s="1023"/>
      <c r="CW314" s="1023"/>
      <c r="CX314" s="1023"/>
      <c r="CY314" s="1683"/>
      <c r="CZ314" s="1023"/>
      <c r="DA314" s="1023"/>
      <c r="DB314" s="1023"/>
      <c r="DC314" s="1023"/>
      <c r="DD314" s="1023"/>
      <c r="DE314" s="1023"/>
      <c r="DF314" s="1023"/>
      <c r="DG314" s="1023"/>
      <c r="DH314" s="1023"/>
      <c r="DI314" s="1023"/>
      <c r="DJ314" s="1023"/>
      <c r="DK314" s="1023"/>
      <c r="DL314" s="1023"/>
      <c r="DM314" s="1023"/>
      <c r="DN314" s="1023"/>
      <c r="DO314" s="1023"/>
      <c r="DP314" s="1023"/>
      <c r="DQ314" s="1023"/>
      <c r="DR314" s="1023"/>
      <c r="DS314" s="1023"/>
      <c r="DT314" s="1023"/>
      <c r="DU314" s="1023"/>
      <c r="DV314" s="1684"/>
      <c r="DW314" s="530"/>
      <c r="DX314" s="530"/>
      <c r="DY314" s="530"/>
      <c r="DZ314" s="530"/>
      <c r="EA314" s="530"/>
      <c r="EB314" s="530"/>
      <c r="EC314" s="530"/>
      <c r="ED314" s="530"/>
      <c r="EE314" s="530"/>
      <c r="EF314" s="530"/>
      <c r="EG314" s="530"/>
      <c r="EH314" s="530"/>
      <c r="EI314" s="530"/>
      <c r="EJ314" s="530"/>
      <c r="EK314" s="530"/>
      <c r="EL314" s="530"/>
      <c r="EM314" s="530"/>
      <c r="EN314" s="530"/>
      <c r="EO314" s="530"/>
      <c r="EP314" s="530"/>
      <c r="EQ314" s="530"/>
      <c r="ER314" s="530"/>
      <c r="ES314" s="530"/>
      <c r="ET314" s="530"/>
      <c r="EU314" s="530"/>
      <c r="EV314" s="530"/>
      <c r="EW314" s="530"/>
      <c r="EX314" s="530"/>
      <c r="EY314" s="530"/>
      <c r="EZ314" s="530"/>
      <c r="FA314" s="530"/>
      <c r="FB314" s="530"/>
      <c r="FC314" s="530"/>
      <c r="FD314" s="530"/>
      <c r="FE314" s="530"/>
      <c r="FF314" s="530"/>
      <c r="FG314" s="530"/>
      <c r="FH314" s="530"/>
      <c r="FI314" s="530"/>
      <c r="FJ314" s="530"/>
      <c r="FK314" s="530"/>
      <c r="FL314" s="530"/>
      <c r="FM314" s="530"/>
      <c r="FN314" s="530"/>
      <c r="FO314" s="530"/>
      <c r="FP314" s="530"/>
      <c r="FQ314" s="530"/>
      <c r="FR314" s="530"/>
      <c r="FS314" s="530"/>
      <c r="FT314" s="530"/>
      <c r="FU314" s="530"/>
      <c r="FV314" s="530"/>
      <c r="FW314" s="530"/>
      <c r="FX314" s="530"/>
      <c r="FY314" s="530"/>
      <c r="FZ314" s="530"/>
      <c r="GA314" s="530"/>
      <c r="GB314" s="530"/>
      <c r="GC314" s="530"/>
      <c r="GD314" s="530"/>
      <c r="GE314" s="530"/>
      <c r="GF314" s="530"/>
      <c r="GG314" s="530"/>
      <c r="GH314" s="530"/>
      <c r="GI314" s="530"/>
      <c r="GJ314" s="530"/>
      <c r="GK314" s="530"/>
      <c r="GL314" s="530"/>
      <c r="GM314" s="530"/>
      <c r="GN314" s="530"/>
      <c r="GO314" s="530"/>
      <c r="GP314" s="530"/>
      <c r="GQ314" s="530"/>
      <c r="GR314" s="530"/>
      <c r="GS314" s="530"/>
      <c r="GT314" s="530"/>
      <c r="GU314" s="530"/>
      <c r="GV314" s="530"/>
      <c r="GW314" s="530"/>
      <c r="GX314" s="530"/>
      <c r="GY314" s="530"/>
      <c r="GZ314" s="530"/>
      <c r="HA314" s="530"/>
      <c r="HB314" s="530"/>
      <c r="HC314" s="530"/>
      <c r="HD314" s="530"/>
      <c r="HE314" s="530"/>
      <c r="HF314" s="530"/>
      <c r="HG314" s="530"/>
      <c r="HH314" s="530"/>
      <c r="HI314" s="530"/>
      <c r="HJ314" s="530"/>
      <c r="HK314" s="530"/>
      <c r="HL314" s="530"/>
      <c r="HM314" s="530"/>
      <c r="HN314" s="530"/>
      <c r="HO314" s="530"/>
      <c r="HP314" s="530"/>
      <c r="HQ314" s="530"/>
      <c r="HR314" s="530"/>
      <c r="HS314" s="530"/>
      <c r="HT314" s="530"/>
      <c r="HU314" s="530"/>
      <c r="HV314" s="530"/>
      <c r="HW314" s="530"/>
      <c r="HX314" s="530"/>
      <c r="HY314" s="530"/>
      <c r="HZ314" s="530"/>
      <c r="IA314" s="530"/>
      <c r="IB314" s="530"/>
      <c r="IC314" s="530"/>
      <c r="ID314" s="530"/>
      <c r="IE314" s="530"/>
      <c r="IF314" s="530"/>
      <c r="IG314" s="530"/>
      <c r="IH314" s="530"/>
      <c r="II314" s="530"/>
      <c r="IJ314" s="530"/>
      <c r="IK314" s="530"/>
      <c r="IL314" s="530"/>
      <c r="IM314" s="530"/>
      <c r="IN314" s="530"/>
      <c r="IO314" s="530"/>
      <c r="IP314" s="530"/>
      <c r="IQ314" s="530"/>
      <c r="IR314" s="530"/>
      <c r="IS314" s="530"/>
      <c r="IT314" s="530"/>
      <c r="IU314" s="530"/>
      <c r="IV314" s="530"/>
    </row>
    <row r="315" spans="1:256" ht="17.25" hidden="1" customHeight="1">
      <c r="A315" s="1676"/>
      <c r="B315" s="550"/>
      <c r="C315" s="550"/>
      <c r="D315" s="550"/>
      <c r="E315" s="550"/>
      <c r="F315" s="550"/>
      <c r="G315" s="550"/>
      <c r="H315" s="550"/>
      <c r="I315" s="550"/>
      <c r="J315" s="550"/>
      <c r="K315" s="550"/>
      <c r="L315" s="550"/>
      <c r="M315" s="550"/>
      <c r="N315" s="550"/>
      <c r="O315" s="439"/>
      <c r="P315" s="439"/>
      <c r="Q315" s="674"/>
      <c r="R315" s="671"/>
      <c r="S315" s="671"/>
      <c r="T315" s="671"/>
      <c r="U315" s="671"/>
      <c r="V315" s="671"/>
      <c r="W315" s="671"/>
      <c r="X315" s="671"/>
      <c r="Y315" s="671"/>
      <c r="Z315" s="671"/>
      <c r="AA315" s="671"/>
      <c r="AB315" s="671"/>
      <c r="AC315" s="671"/>
      <c r="AD315" s="671"/>
      <c r="AE315" s="623"/>
      <c r="AF315" s="623"/>
      <c r="AG315" s="623"/>
      <c r="AH315" s="623"/>
      <c r="AI315" s="623"/>
      <c r="AJ315" s="623"/>
      <c r="AK315" s="623"/>
      <c r="AL315" s="623"/>
      <c r="AM315" s="623"/>
      <c r="AN315" s="623"/>
      <c r="AO315" s="623"/>
      <c r="AP315" s="623"/>
      <c r="AQ315" s="623"/>
      <c r="AR315" s="623"/>
      <c r="AS315" s="623"/>
      <c r="AT315" s="623"/>
      <c r="AU315" s="623"/>
      <c r="AV315" s="623"/>
      <c r="AW315" s="623"/>
      <c r="AX315" s="623"/>
      <c r="AY315" s="623"/>
      <c r="AZ315" s="623"/>
      <c r="BA315" s="623"/>
      <c r="BB315" s="623"/>
      <c r="BC315" s="623"/>
      <c r="BD315" s="623"/>
      <c r="BE315" s="623"/>
      <c r="BF315" s="623"/>
      <c r="BG315" s="623"/>
      <c r="BH315" s="623"/>
      <c r="BI315" s="623"/>
      <c r="BJ315" s="623"/>
      <c r="BK315" s="623"/>
      <c r="BL315" s="623"/>
      <c r="BM315" s="623"/>
      <c r="BN315" s="623"/>
      <c r="BO315" s="623"/>
      <c r="BP315" s="623"/>
      <c r="BQ315" s="623"/>
      <c r="BR315" s="623"/>
      <c r="BS315" s="623"/>
      <c r="BT315" s="623"/>
      <c r="BU315" s="623"/>
      <c r="BV315" s="623"/>
      <c r="BW315" s="623"/>
      <c r="BX315" s="623"/>
      <c r="BY315" s="623"/>
      <c r="BZ315" s="623"/>
      <c r="CA315" s="623"/>
      <c r="CB315" s="623"/>
      <c r="CC315" s="623"/>
      <c r="CD315" s="623"/>
      <c r="CE315" s="1669"/>
      <c r="CF315" s="623"/>
      <c r="CG315" s="623"/>
      <c r="CH315" s="623"/>
      <c r="CI315" s="623"/>
      <c r="CJ315" s="623"/>
      <c r="CK315" s="623"/>
      <c r="CL315" s="623"/>
      <c r="CM315" s="623"/>
      <c r="CN315" s="623"/>
      <c r="CO315" s="623"/>
      <c r="CP315" s="623"/>
      <c r="CQ315" s="623"/>
      <c r="CR315" s="623"/>
      <c r="CS315" s="623"/>
      <c r="CT315" s="623"/>
      <c r="CU315" s="623"/>
      <c r="CV315" s="623"/>
      <c r="CW315" s="623"/>
      <c r="CX315" s="623"/>
      <c r="CY315" s="817"/>
      <c r="CZ315" s="623"/>
      <c r="DA315" s="623"/>
      <c r="DB315" s="623"/>
      <c r="DC315" s="623"/>
      <c r="DD315" s="623"/>
      <c r="DE315" s="623"/>
      <c r="DF315" s="623"/>
      <c r="DG315" s="623"/>
      <c r="DH315" s="623"/>
      <c r="DI315" s="623"/>
      <c r="DJ315" s="623"/>
      <c r="DK315" s="623"/>
      <c r="DL315" s="623"/>
      <c r="DM315" s="623"/>
      <c r="DN315" s="623"/>
      <c r="DO315" s="623"/>
      <c r="DP315" s="623"/>
      <c r="DQ315" s="623"/>
      <c r="DR315" s="623"/>
      <c r="DS315" s="623"/>
      <c r="DT315" s="623"/>
      <c r="DU315" s="623"/>
      <c r="DV315" s="1675"/>
      <c r="IR315" s="542"/>
      <c r="IS315" s="542"/>
      <c r="IT315" s="542"/>
      <c r="IU315" s="542"/>
      <c r="IV315" s="542"/>
    </row>
    <row r="316" spans="1:256" ht="17.25" hidden="1" customHeight="1">
      <c r="A316" s="1676"/>
      <c r="B316" s="550"/>
      <c r="C316" s="550"/>
      <c r="D316" s="550"/>
      <c r="E316" s="550"/>
      <c r="F316" s="550"/>
      <c r="G316" s="550"/>
      <c r="H316" s="550"/>
      <c r="I316" s="550"/>
      <c r="J316" s="550"/>
      <c r="K316" s="550"/>
      <c r="L316" s="550"/>
      <c r="M316" s="550"/>
      <c r="N316" s="550"/>
      <c r="O316" s="439"/>
      <c r="P316" s="439"/>
      <c r="Q316" s="674"/>
      <c r="R316" s="671"/>
      <c r="S316" s="671"/>
      <c r="T316" s="671"/>
      <c r="U316" s="671"/>
      <c r="V316" s="671"/>
      <c r="W316" s="671"/>
      <c r="X316" s="671"/>
      <c r="Y316" s="671"/>
      <c r="Z316" s="671"/>
      <c r="AA316" s="671"/>
      <c r="AB316" s="671"/>
      <c r="AC316" s="671"/>
      <c r="AD316" s="671"/>
      <c r="AE316" s="623"/>
      <c r="AF316" s="623"/>
      <c r="AG316" s="623"/>
      <c r="AH316" s="623"/>
      <c r="AI316" s="623"/>
      <c r="AJ316" s="623"/>
      <c r="AK316" s="623"/>
      <c r="AL316" s="623"/>
      <c r="AM316" s="623"/>
      <c r="AN316" s="623"/>
      <c r="AO316" s="623"/>
      <c r="AP316" s="623"/>
      <c r="AQ316" s="623"/>
      <c r="AR316" s="623"/>
      <c r="AS316" s="623"/>
      <c r="AT316" s="623"/>
      <c r="AU316" s="623"/>
      <c r="AV316" s="623"/>
      <c r="AW316" s="623"/>
      <c r="AX316" s="623"/>
      <c r="AY316" s="623"/>
      <c r="AZ316" s="623"/>
      <c r="BA316" s="623"/>
      <c r="BB316" s="623"/>
      <c r="BC316" s="623"/>
      <c r="BD316" s="623"/>
      <c r="BE316" s="623"/>
      <c r="BF316" s="623"/>
      <c r="BG316" s="623"/>
      <c r="BH316" s="623"/>
      <c r="BI316" s="623"/>
      <c r="BJ316" s="623"/>
      <c r="BK316" s="623"/>
      <c r="BL316" s="623"/>
      <c r="BM316" s="623"/>
      <c r="BN316" s="623"/>
      <c r="BO316" s="623"/>
      <c r="BP316" s="623"/>
      <c r="BQ316" s="623"/>
      <c r="BR316" s="623"/>
      <c r="BS316" s="623"/>
      <c r="BT316" s="623"/>
      <c r="BU316" s="623"/>
      <c r="BV316" s="623"/>
      <c r="BW316" s="623"/>
      <c r="BX316" s="623"/>
      <c r="BY316" s="623"/>
      <c r="BZ316" s="623"/>
      <c r="CA316" s="623"/>
      <c r="CB316" s="623"/>
      <c r="CC316" s="623"/>
      <c r="CD316" s="623"/>
      <c r="CE316" s="1669"/>
      <c r="CF316" s="623"/>
      <c r="CG316" s="623"/>
      <c r="CH316" s="623"/>
      <c r="CI316" s="623"/>
      <c r="CJ316" s="623"/>
      <c r="CK316" s="623"/>
      <c r="CL316" s="623"/>
      <c r="CM316" s="623"/>
      <c r="CN316" s="623"/>
      <c r="CO316" s="623"/>
      <c r="CP316" s="623"/>
      <c r="CQ316" s="623"/>
      <c r="CR316" s="623"/>
      <c r="CS316" s="623"/>
      <c r="CT316" s="623"/>
      <c r="CU316" s="623"/>
      <c r="CV316" s="623"/>
      <c r="CW316" s="623"/>
      <c r="CX316" s="623"/>
      <c r="CY316" s="817"/>
      <c r="CZ316" s="623"/>
      <c r="DA316" s="623"/>
      <c r="DB316" s="623"/>
      <c r="DC316" s="623"/>
      <c r="DD316" s="623"/>
      <c r="DE316" s="623"/>
      <c r="DF316" s="623"/>
      <c r="DG316" s="623"/>
      <c r="DH316" s="623"/>
      <c r="DI316" s="623"/>
      <c r="DJ316" s="623"/>
      <c r="DK316" s="623"/>
      <c r="DL316" s="623"/>
      <c r="DM316" s="623"/>
      <c r="DN316" s="623"/>
      <c r="DO316" s="623"/>
      <c r="DP316" s="623"/>
      <c r="DQ316" s="623"/>
      <c r="DR316" s="623"/>
      <c r="DS316" s="623"/>
      <c r="DT316" s="623"/>
      <c r="DU316" s="623"/>
      <c r="DV316" s="1675"/>
    </row>
    <row r="317" spans="1:256" ht="17.25" hidden="1" customHeight="1">
      <c r="A317" s="1676"/>
      <c r="B317" s="550"/>
      <c r="C317" s="550"/>
      <c r="D317" s="550"/>
      <c r="E317" s="550"/>
      <c r="F317" s="550"/>
      <c r="G317" s="550"/>
      <c r="H317" s="550"/>
      <c r="I317" s="550"/>
      <c r="J317" s="550"/>
      <c r="K317" s="550"/>
      <c r="L317" s="550"/>
      <c r="M317" s="550"/>
      <c r="N317" s="550"/>
      <c r="O317" s="439"/>
      <c r="P317" s="439"/>
      <c r="Q317" s="674"/>
      <c r="R317" s="671"/>
      <c r="S317" s="671"/>
      <c r="T317" s="671"/>
      <c r="U317" s="671"/>
      <c r="V317" s="671"/>
      <c r="W317" s="671"/>
      <c r="X317" s="671"/>
      <c r="Y317" s="671"/>
      <c r="Z317" s="671"/>
      <c r="AA317" s="671"/>
      <c r="AB317" s="671"/>
      <c r="AC317" s="671"/>
      <c r="AD317" s="671"/>
      <c r="AE317" s="623"/>
      <c r="AF317" s="623"/>
      <c r="AG317" s="623"/>
      <c r="AH317" s="623"/>
      <c r="AI317" s="623"/>
      <c r="AJ317" s="623"/>
      <c r="AK317" s="623"/>
      <c r="AL317" s="623"/>
      <c r="AM317" s="623"/>
      <c r="AN317" s="623"/>
      <c r="AO317" s="623"/>
      <c r="AP317" s="623"/>
      <c r="AQ317" s="623"/>
      <c r="AR317" s="623"/>
      <c r="AS317" s="623"/>
      <c r="AT317" s="623"/>
      <c r="AU317" s="623"/>
      <c r="AV317" s="623"/>
      <c r="AW317" s="623"/>
      <c r="AX317" s="623"/>
      <c r="AY317" s="623"/>
      <c r="AZ317" s="623"/>
      <c r="BA317" s="623"/>
      <c r="BB317" s="623"/>
      <c r="BC317" s="623"/>
      <c r="BD317" s="623"/>
      <c r="BE317" s="623"/>
      <c r="BF317" s="623"/>
      <c r="BG317" s="623"/>
      <c r="BH317" s="623"/>
      <c r="BI317" s="623"/>
      <c r="BJ317" s="623"/>
      <c r="BK317" s="623"/>
      <c r="BL317" s="623"/>
      <c r="BM317" s="623"/>
      <c r="BN317" s="623"/>
      <c r="BO317" s="623"/>
      <c r="BP317" s="623"/>
      <c r="BQ317" s="623"/>
      <c r="BR317" s="623"/>
      <c r="BS317" s="623"/>
      <c r="BT317" s="623"/>
      <c r="BU317" s="623"/>
      <c r="BV317" s="623"/>
      <c r="BW317" s="623"/>
      <c r="BX317" s="623"/>
      <c r="BY317" s="623"/>
      <c r="BZ317" s="623"/>
      <c r="CA317" s="623"/>
      <c r="CB317" s="623"/>
      <c r="CC317" s="623"/>
      <c r="CD317" s="623"/>
      <c r="CE317" s="1669"/>
      <c r="CF317" s="623"/>
      <c r="CG317" s="623"/>
      <c r="CH317" s="623"/>
      <c r="CI317" s="623"/>
      <c r="CJ317" s="623"/>
      <c r="CK317" s="623"/>
      <c r="CL317" s="623"/>
      <c r="CM317" s="623"/>
      <c r="CN317" s="623"/>
      <c r="CO317" s="623"/>
      <c r="CP317" s="623"/>
      <c r="CQ317" s="623"/>
      <c r="CR317" s="623"/>
      <c r="CS317" s="623"/>
      <c r="CT317" s="623"/>
      <c r="CU317" s="623"/>
      <c r="CV317" s="623"/>
      <c r="CW317" s="623"/>
      <c r="CX317" s="623"/>
      <c r="CY317" s="817"/>
      <c r="CZ317" s="623"/>
      <c r="DA317" s="623"/>
      <c r="DB317" s="623"/>
      <c r="DC317" s="623"/>
      <c r="DD317" s="623"/>
      <c r="DE317" s="623"/>
      <c r="DF317" s="623"/>
      <c r="DG317" s="623"/>
      <c r="DH317" s="623"/>
      <c r="DI317" s="623"/>
      <c r="DJ317" s="623"/>
      <c r="DK317" s="623"/>
      <c r="DL317" s="623"/>
      <c r="DM317" s="623"/>
      <c r="DN317" s="623"/>
      <c r="DO317" s="623"/>
      <c r="DP317" s="623"/>
      <c r="DQ317" s="623"/>
      <c r="DR317" s="623"/>
      <c r="DS317" s="623"/>
      <c r="DT317" s="623"/>
      <c r="DU317" s="623"/>
      <c r="DV317" s="1675"/>
    </row>
    <row r="318" spans="1:256" ht="17.25" hidden="1" customHeight="1">
      <c r="A318" s="1676"/>
      <c r="B318" s="550"/>
      <c r="C318" s="550"/>
      <c r="D318" s="550"/>
      <c r="E318" s="550"/>
      <c r="F318" s="550"/>
      <c r="G318" s="550"/>
      <c r="H318" s="550"/>
      <c r="I318" s="550"/>
      <c r="J318" s="550"/>
      <c r="K318" s="550"/>
      <c r="L318" s="550"/>
      <c r="M318" s="550"/>
      <c r="N318" s="550"/>
      <c r="O318" s="439"/>
      <c r="P318" s="439"/>
      <c r="Q318" s="674"/>
      <c r="R318" s="671"/>
      <c r="S318" s="671"/>
      <c r="T318" s="671"/>
      <c r="U318" s="671"/>
      <c r="V318" s="671"/>
      <c r="W318" s="671"/>
      <c r="X318" s="671"/>
      <c r="Y318" s="671"/>
      <c r="Z318" s="671"/>
      <c r="AA318" s="671"/>
      <c r="AB318" s="671"/>
      <c r="AC318" s="671"/>
      <c r="AD318" s="671"/>
      <c r="AE318" s="623"/>
      <c r="AF318" s="623"/>
      <c r="AG318" s="623"/>
      <c r="AH318" s="623"/>
      <c r="AI318" s="623"/>
      <c r="AJ318" s="623"/>
      <c r="AK318" s="623"/>
      <c r="AL318" s="623"/>
      <c r="AM318" s="623"/>
      <c r="AN318" s="623"/>
      <c r="AO318" s="623"/>
      <c r="AP318" s="623"/>
      <c r="AQ318" s="623"/>
      <c r="AR318" s="623"/>
      <c r="AS318" s="623"/>
      <c r="AT318" s="623"/>
      <c r="AU318" s="623"/>
      <c r="AV318" s="623"/>
      <c r="AW318" s="623"/>
      <c r="AX318" s="623"/>
      <c r="AY318" s="623"/>
      <c r="AZ318" s="623"/>
      <c r="BA318" s="623"/>
      <c r="BB318" s="623"/>
      <c r="BC318" s="623"/>
      <c r="BD318" s="623"/>
      <c r="BE318" s="623"/>
      <c r="BF318" s="623"/>
      <c r="BG318" s="623"/>
      <c r="BH318" s="623"/>
      <c r="BI318" s="623"/>
      <c r="BJ318" s="623"/>
      <c r="BK318" s="623"/>
      <c r="BL318" s="623"/>
      <c r="BM318" s="623"/>
      <c r="BN318" s="623"/>
      <c r="BO318" s="623"/>
      <c r="BP318" s="623"/>
      <c r="BQ318" s="623"/>
      <c r="BR318" s="623"/>
      <c r="BS318" s="623"/>
      <c r="BT318" s="623"/>
      <c r="BU318" s="623"/>
      <c r="BV318" s="623"/>
      <c r="BW318" s="623"/>
      <c r="BX318" s="623"/>
      <c r="BY318" s="623"/>
      <c r="BZ318" s="623"/>
      <c r="CA318" s="623"/>
      <c r="CB318" s="623"/>
      <c r="CC318" s="623"/>
      <c r="CD318" s="623"/>
      <c r="CE318" s="1669"/>
      <c r="CF318" s="623"/>
      <c r="CG318" s="623"/>
      <c r="CH318" s="623"/>
      <c r="CI318" s="623"/>
      <c r="CJ318" s="623"/>
      <c r="CK318" s="623"/>
      <c r="CL318" s="623"/>
      <c r="CM318" s="623"/>
      <c r="CN318" s="623"/>
      <c r="CO318" s="623"/>
      <c r="CP318" s="623"/>
      <c r="CQ318" s="623"/>
      <c r="CR318" s="623"/>
      <c r="CS318" s="623"/>
      <c r="CT318" s="623"/>
      <c r="CU318" s="623"/>
      <c r="CV318" s="623"/>
      <c r="CW318" s="623"/>
      <c r="CX318" s="623"/>
      <c r="CY318" s="817"/>
      <c r="CZ318" s="623"/>
      <c r="DA318" s="623"/>
      <c r="DB318" s="623"/>
      <c r="DC318" s="623"/>
      <c r="DD318" s="623"/>
      <c r="DE318" s="623"/>
      <c r="DF318" s="623"/>
      <c r="DG318" s="623"/>
      <c r="DH318" s="623"/>
      <c r="DI318" s="623"/>
      <c r="DJ318" s="623"/>
      <c r="DK318" s="623"/>
      <c r="DL318" s="623"/>
      <c r="DM318" s="623"/>
      <c r="DN318" s="623"/>
      <c r="DO318" s="623"/>
      <c r="DP318" s="623"/>
      <c r="DQ318" s="623"/>
      <c r="DR318" s="623"/>
      <c r="DS318" s="623"/>
      <c r="DT318" s="623"/>
      <c r="DU318" s="623"/>
      <c r="DV318" s="1675"/>
    </row>
    <row r="319" spans="1:256" s="678" customFormat="1" ht="17.25" hidden="1" customHeight="1">
      <c r="A319" s="1676"/>
      <c r="B319" s="550"/>
      <c r="C319" s="550"/>
      <c r="D319" s="550"/>
      <c r="E319" s="550"/>
      <c r="F319" s="550"/>
      <c r="G319" s="550"/>
      <c r="H319" s="550"/>
      <c r="I319" s="550"/>
      <c r="J319" s="676"/>
      <c r="K319" s="550"/>
      <c r="L319" s="550"/>
      <c r="M319" s="550"/>
      <c r="N319" s="550"/>
      <c r="O319" s="439"/>
      <c r="P319" s="439"/>
      <c r="Q319" s="674"/>
      <c r="R319" s="671"/>
      <c r="S319" s="671"/>
      <c r="T319" s="671"/>
      <c r="U319" s="671"/>
      <c r="V319" s="671"/>
      <c r="W319" s="671"/>
      <c r="X319" s="671"/>
      <c r="Y319" s="671"/>
      <c r="Z319" s="671"/>
      <c r="AA319" s="671"/>
      <c r="AB319" s="671"/>
      <c r="AC319" s="671"/>
      <c r="AD319" s="671"/>
      <c r="AE319" s="623"/>
      <c r="AF319" s="623"/>
      <c r="AG319" s="623"/>
      <c r="AH319" s="623"/>
      <c r="AI319" s="623"/>
      <c r="AJ319" s="623"/>
      <c r="AK319" s="623"/>
      <c r="AL319" s="623"/>
      <c r="AM319" s="623"/>
      <c r="AN319" s="623"/>
      <c r="AO319" s="623"/>
      <c r="AP319" s="623"/>
      <c r="AQ319" s="623"/>
      <c r="AR319" s="623"/>
      <c r="AS319" s="623"/>
      <c r="AT319" s="623"/>
      <c r="AU319" s="623"/>
      <c r="AV319" s="623"/>
      <c r="AW319" s="623"/>
      <c r="AX319" s="623"/>
      <c r="AY319" s="623"/>
      <c r="AZ319" s="623"/>
      <c r="BA319" s="623"/>
      <c r="BB319" s="623"/>
      <c r="BC319" s="623"/>
      <c r="BD319" s="623"/>
      <c r="BE319" s="623"/>
      <c r="BF319" s="623"/>
      <c r="BG319" s="623"/>
      <c r="BH319" s="623"/>
      <c r="BI319" s="623"/>
      <c r="BJ319" s="623"/>
      <c r="BK319" s="623"/>
      <c r="BL319" s="623"/>
      <c r="BM319" s="623"/>
      <c r="BN319" s="623"/>
      <c r="BO319" s="623"/>
      <c r="BP319" s="623"/>
      <c r="BQ319" s="623"/>
      <c r="BR319" s="623"/>
      <c r="BS319" s="623"/>
      <c r="BT319" s="623"/>
      <c r="BU319" s="623"/>
      <c r="BV319" s="623"/>
      <c r="BW319" s="623"/>
      <c r="BX319" s="623"/>
      <c r="BY319" s="623"/>
      <c r="BZ319" s="623"/>
      <c r="CA319" s="623"/>
      <c r="CB319" s="623"/>
      <c r="CC319" s="623"/>
      <c r="CD319" s="623"/>
      <c r="CE319" s="1669"/>
      <c r="CF319" s="623"/>
      <c r="CG319" s="623"/>
      <c r="CH319" s="623"/>
      <c r="CI319" s="623"/>
      <c r="CJ319" s="623"/>
      <c r="CK319" s="623"/>
      <c r="CL319" s="623"/>
      <c r="CM319" s="623"/>
      <c r="CN319" s="623"/>
      <c r="CO319" s="623"/>
      <c r="CP319" s="623"/>
      <c r="CQ319" s="623"/>
      <c r="CR319" s="623"/>
      <c r="CS319" s="623"/>
      <c r="CT319" s="623"/>
      <c r="CU319" s="623"/>
      <c r="CV319" s="623"/>
      <c r="CW319" s="623"/>
      <c r="CX319" s="623"/>
      <c r="CY319" s="817"/>
      <c r="CZ319" s="623"/>
      <c r="DA319" s="623"/>
      <c r="DB319" s="623"/>
      <c r="DC319" s="623"/>
      <c r="DD319" s="623"/>
      <c r="DE319" s="623"/>
      <c r="DF319" s="623"/>
      <c r="DG319" s="623"/>
      <c r="DH319" s="623"/>
      <c r="DI319" s="623"/>
      <c r="DJ319" s="623"/>
      <c r="DK319" s="623"/>
      <c r="DL319" s="623"/>
      <c r="DM319" s="623"/>
      <c r="DN319" s="623"/>
      <c r="DO319" s="623"/>
      <c r="DP319" s="623"/>
      <c r="DQ319" s="623"/>
      <c r="DR319" s="623"/>
      <c r="DS319" s="623"/>
      <c r="DT319" s="623"/>
      <c r="DU319" s="623"/>
      <c r="DV319" s="1675"/>
      <c r="DW319" s="530"/>
      <c r="DX319" s="530"/>
      <c r="DY319" s="530"/>
      <c r="DZ319" s="530"/>
      <c r="EA319" s="530"/>
      <c r="EB319" s="530"/>
      <c r="EC319" s="530"/>
      <c r="ED319" s="530"/>
      <c r="EE319" s="530"/>
      <c r="EF319" s="530"/>
      <c r="EG319" s="530"/>
      <c r="EH319" s="530"/>
      <c r="EI319" s="530"/>
      <c r="EJ319" s="530"/>
      <c r="EK319" s="530"/>
      <c r="EL319" s="530"/>
      <c r="EM319" s="530"/>
      <c r="EN319" s="530"/>
      <c r="EO319" s="530"/>
      <c r="EP319" s="530"/>
      <c r="EQ319" s="530"/>
      <c r="ER319" s="530"/>
      <c r="ES319" s="530"/>
      <c r="ET319" s="530"/>
      <c r="EU319" s="530"/>
      <c r="EV319" s="530"/>
      <c r="EW319" s="530"/>
      <c r="EX319" s="530"/>
      <c r="EY319" s="530"/>
      <c r="EZ319" s="530"/>
      <c r="FA319" s="530"/>
      <c r="FB319" s="530"/>
      <c r="FC319" s="530"/>
      <c r="FD319" s="530"/>
      <c r="FE319" s="530"/>
      <c r="FF319" s="530"/>
      <c r="FG319" s="530"/>
      <c r="FH319" s="530"/>
      <c r="FI319" s="530"/>
      <c r="FJ319" s="530"/>
      <c r="FK319" s="530"/>
      <c r="FL319" s="530"/>
      <c r="FM319" s="530"/>
      <c r="FN319" s="530"/>
      <c r="FO319" s="530"/>
      <c r="FP319" s="530"/>
      <c r="FQ319" s="530"/>
      <c r="FR319" s="530"/>
      <c r="FS319" s="530"/>
      <c r="FT319" s="530"/>
      <c r="FU319" s="530"/>
      <c r="FV319" s="530"/>
      <c r="FW319" s="530"/>
      <c r="FX319" s="530"/>
      <c r="FY319" s="530"/>
      <c r="FZ319" s="530"/>
      <c r="GA319" s="530"/>
      <c r="GB319" s="530"/>
      <c r="GC319" s="530"/>
      <c r="GD319" s="530"/>
      <c r="GE319" s="530"/>
      <c r="GF319" s="530"/>
      <c r="GG319" s="530"/>
      <c r="GH319" s="530"/>
      <c r="GI319" s="530"/>
      <c r="GJ319" s="530"/>
      <c r="GK319" s="530"/>
      <c r="GL319" s="530"/>
      <c r="GM319" s="530"/>
      <c r="GN319" s="530"/>
      <c r="GO319" s="530"/>
      <c r="GP319" s="530"/>
      <c r="GQ319" s="530"/>
      <c r="GR319" s="530"/>
      <c r="GS319" s="530"/>
      <c r="GT319" s="530"/>
      <c r="GU319" s="530"/>
      <c r="GV319" s="530"/>
      <c r="GW319" s="530"/>
      <c r="GX319" s="530"/>
      <c r="GY319" s="530"/>
      <c r="GZ319" s="530"/>
      <c r="HA319" s="530"/>
      <c r="HB319" s="530"/>
      <c r="HC319" s="530"/>
      <c r="HD319" s="530"/>
      <c r="HE319" s="530"/>
      <c r="HF319" s="530"/>
      <c r="HG319" s="530"/>
      <c r="HH319" s="530"/>
      <c r="HI319" s="530"/>
      <c r="HJ319" s="530"/>
      <c r="HK319" s="530"/>
      <c r="HL319" s="530"/>
      <c r="HM319" s="530"/>
      <c r="HN319" s="530"/>
      <c r="HO319" s="530"/>
      <c r="HP319" s="530"/>
      <c r="HQ319" s="530"/>
      <c r="HR319" s="530"/>
      <c r="HS319" s="530"/>
      <c r="HT319" s="530"/>
      <c r="HU319" s="530"/>
      <c r="HV319" s="530"/>
      <c r="HW319" s="530"/>
      <c r="HX319" s="530"/>
      <c r="HY319" s="530"/>
      <c r="HZ319" s="530"/>
      <c r="IA319" s="530"/>
      <c r="IB319" s="530"/>
      <c r="IC319" s="530"/>
      <c r="ID319" s="530"/>
      <c r="IE319" s="530"/>
      <c r="IF319" s="530"/>
      <c r="IG319" s="530"/>
      <c r="IH319" s="530"/>
      <c r="II319" s="530"/>
      <c r="IJ319" s="530"/>
      <c r="IK319" s="530"/>
      <c r="IL319" s="530"/>
      <c r="IM319" s="530"/>
      <c r="IN319" s="530"/>
      <c r="IO319" s="530"/>
      <c r="IP319" s="530"/>
      <c r="IQ319" s="530"/>
      <c r="IR319" s="530"/>
      <c r="IS319" s="530"/>
      <c r="IT319" s="530"/>
      <c r="IU319" s="530"/>
      <c r="IV319" s="530"/>
    </row>
    <row r="320" spans="1:256" s="717" customFormat="1" ht="18.75" hidden="1" customHeight="1">
      <c r="A320" s="1713"/>
      <c r="B320" s="1714"/>
      <c r="C320" s="1713"/>
      <c r="D320" s="1713"/>
      <c r="E320" s="1713"/>
      <c r="F320" s="1713"/>
      <c r="G320" s="1713"/>
      <c r="H320" s="1713"/>
      <c r="I320" s="1713"/>
      <c r="J320" s="1713"/>
      <c r="K320" s="1713"/>
      <c r="L320" s="1713"/>
      <c r="M320" s="1713"/>
      <c r="N320" s="1713"/>
      <c r="O320" s="1713"/>
      <c r="P320" s="1713"/>
      <c r="Q320" s="1713"/>
      <c r="R320" s="1713"/>
      <c r="S320" s="1713"/>
      <c r="T320" s="1713"/>
      <c r="U320" s="1713"/>
      <c r="V320" s="1713"/>
      <c r="W320" s="1713"/>
      <c r="X320" s="1713"/>
      <c r="Y320" s="1713"/>
      <c r="Z320" s="1713"/>
      <c r="AA320" s="1713"/>
      <c r="AB320" s="1713"/>
      <c r="AC320" s="1713"/>
      <c r="AD320" s="1713"/>
      <c r="AE320" s="1713"/>
      <c r="AF320" s="1713"/>
      <c r="AG320" s="1713"/>
      <c r="AH320" s="1713"/>
      <c r="AI320" s="1713"/>
      <c r="AJ320" s="1713"/>
      <c r="AK320" s="1713"/>
      <c r="AL320" s="1713"/>
      <c r="AM320" s="1713"/>
      <c r="AN320" s="1713"/>
      <c r="AO320" s="1713"/>
      <c r="AP320" s="1713"/>
      <c r="AQ320" s="1713"/>
      <c r="AR320" s="1713"/>
      <c r="AS320" s="1713"/>
      <c r="AT320" s="1713"/>
      <c r="AU320" s="1713"/>
      <c r="AV320" s="1713"/>
      <c r="AW320" s="1713"/>
      <c r="AX320" s="1713"/>
      <c r="AY320" s="1713"/>
      <c r="AZ320" s="1713"/>
      <c r="BA320" s="1713"/>
      <c r="BB320" s="1713"/>
      <c r="BC320" s="1713"/>
      <c r="BD320" s="1713"/>
      <c r="BE320" s="1713"/>
      <c r="BF320" s="1713"/>
      <c r="BG320" s="1713"/>
      <c r="BH320" s="1713"/>
      <c r="BI320" s="1713"/>
      <c r="BJ320" s="1713"/>
      <c r="BK320" s="1713"/>
      <c r="BL320" s="1713"/>
      <c r="BM320" s="1713"/>
      <c r="BN320" s="1713"/>
      <c r="BO320" s="1713"/>
      <c r="BP320" s="1713"/>
      <c r="BQ320" s="1713"/>
      <c r="BR320" s="1713"/>
      <c r="BS320" s="1713"/>
      <c r="BT320" s="1713"/>
      <c r="BU320" s="1713"/>
      <c r="BV320" s="1713"/>
      <c r="BW320" s="1713"/>
      <c r="BX320" s="1713"/>
      <c r="BY320" s="1713"/>
      <c r="BZ320" s="1713"/>
      <c r="CA320" s="1713"/>
      <c r="CB320" s="1713"/>
      <c r="CC320" s="1713"/>
      <c r="CD320" s="1713"/>
      <c r="CE320" s="1669"/>
      <c r="CF320" s="1713"/>
      <c r="CG320" s="1713"/>
      <c r="CH320" s="1713"/>
      <c r="CI320" s="1713"/>
      <c r="CJ320" s="1713"/>
      <c r="CK320" s="1713"/>
      <c r="CL320" s="1713"/>
      <c r="CM320" s="1713"/>
      <c r="CN320" s="1713"/>
      <c r="CO320" s="1713"/>
      <c r="CP320" s="1713"/>
      <c r="CQ320" s="1713"/>
      <c r="CR320" s="1713"/>
      <c r="CS320" s="1713"/>
      <c r="CT320" s="1713"/>
      <c r="CU320" s="1713"/>
      <c r="CV320" s="1713"/>
      <c r="CW320" s="1713"/>
      <c r="CX320" s="1713"/>
      <c r="CY320" s="1680"/>
      <c r="CZ320" s="1713"/>
      <c r="DA320" s="1713"/>
      <c r="DB320" s="1713"/>
      <c r="DC320" s="1713"/>
      <c r="DD320" s="1713"/>
      <c r="DE320" s="1713"/>
      <c r="DF320" s="1713"/>
      <c r="DG320" s="1713"/>
      <c r="DH320" s="1713"/>
      <c r="DI320" s="1713"/>
      <c r="DJ320" s="1713"/>
      <c r="DK320" s="1713"/>
      <c r="DL320" s="1713"/>
      <c r="DM320" s="1713"/>
      <c r="DN320" s="1713"/>
      <c r="DO320" s="1713"/>
      <c r="DP320" s="1713"/>
      <c r="DQ320" s="1713"/>
      <c r="DR320" s="1713"/>
      <c r="DS320" s="1713"/>
      <c r="DT320" s="1713"/>
      <c r="DU320" s="1715"/>
      <c r="DV320" s="1716"/>
    </row>
    <row r="321" spans="1:256" s="545" customFormat="1" ht="18" hidden="1" customHeight="1">
      <c r="A321" s="1685"/>
      <c r="B321" s="1023"/>
      <c r="C321" s="1023"/>
      <c r="D321" s="1023"/>
      <c r="E321" s="1023"/>
      <c r="F321" s="1023"/>
      <c r="G321" s="1023"/>
      <c r="H321" s="1023"/>
      <c r="I321" s="1023"/>
      <c r="J321" s="1023"/>
      <c r="K321" s="1023"/>
      <c r="L321" s="1023"/>
      <c r="M321" s="1023"/>
      <c r="N321" s="1023"/>
      <c r="O321" s="1023"/>
      <c r="P321" s="1023"/>
      <c r="Q321" s="1023"/>
      <c r="R321" s="1023"/>
      <c r="S321" s="1023"/>
      <c r="T321" s="1023"/>
      <c r="U321" s="1023"/>
      <c r="V321" s="1023"/>
      <c r="W321" s="1023"/>
      <c r="X321" s="1023"/>
      <c r="Y321" s="1023"/>
      <c r="Z321" s="1023"/>
      <c r="AA321" s="1023"/>
      <c r="AB321" s="1023"/>
      <c r="AC321" s="1023"/>
      <c r="AD321" s="1023"/>
      <c r="AE321" s="1023"/>
      <c r="AF321" s="1023"/>
      <c r="AG321" s="1023"/>
      <c r="AH321" s="1023"/>
      <c r="AI321" s="1023"/>
      <c r="AJ321" s="1023"/>
      <c r="AK321" s="1023"/>
      <c r="AL321" s="1023"/>
      <c r="AM321" s="1023"/>
      <c r="AN321" s="1023"/>
      <c r="AO321" s="1023"/>
      <c r="AP321" s="1023"/>
      <c r="AQ321" s="1023"/>
      <c r="AR321" s="1023"/>
      <c r="AS321" s="1023"/>
      <c r="AT321" s="1023"/>
      <c r="AU321" s="1023"/>
      <c r="AV321" s="1023"/>
      <c r="AW321" s="1023"/>
      <c r="AX321" s="1023"/>
      <c r="AY321" s="1023"/>
      <c r="AZ321" s="1023"/>
      <c r="BA321" s="1023"/>
      <c r="BB321" s="1023"/>
      <c r="BC321" s="1023"/>
      <c r="BD321" s="1023"/>
      <c r="BE321" s="1023"/>
      <c r="BF321" s="1023"/>
      <c r="BG321" s="1023"/>
      <c r="BH321" s="1023"/>
      <c r="BI321" s="1023"/>
      <c r="BJ321" s="1023"/>
      <c r="BK321" s="1023"/>
      <c r="BL321" s="1023"/>
      <c r="BM321" s="1023"/>
      <c r="BN321" s="1023"/>
      <c r="BO321" s="1023"/>
      <c r="BP321" s="1023"/>
      <c r="BQ321" s="1023"/>
      <c r="BR321" s="1023"/>
      <c r="BS321" s="1023"/>
      <c r="BT321" s="1023"/>
      <c r="BU321" s="1023"/>
      <c r="BV321" s="1023"/>
      <c r="BW321" s="1023"/>
      <c r="BX321" s="1023"/>
      <c r="BY321" s="1023"/>
      <c r="BZ321" s="1023"/>
      <c r="CA321" s="1023"/>
      <c r="CB321" s="1023"/>
      <c r="CC321" s="1023"/>
      <c r="CD321" s="1023"/>
      <c r="CE321" s="1669"/>
      <c r="CF321" s="1023"/>
      <c r="CG321" s="1023"/>
      <c r="CH321" s="1023"/>
      <c r="CI321" s="1023"/>
      <c r="CJ321" s="1023"/>
      <c r="CK321" s="1023"/>
      <c r="CL321" s="1023"/>
      <c r="CM321" s="1023"/>
      <c r="CN321" s="1023"/>
      <c r="CO321" s="1023"/>
      <c r="CP321" s="1023"/>
      <c r="CQ321" s="1023"/>
      <c r="CR321" s="1023"/>
      <c r="CS321" s="1023"/>
      <c r="CT321" s="1023"/>
      <c r="CU321" s="1023"/>
      <c r="CV321" s="1023"/>
      <c r="CW321" s="1023"/>
      <c r="CX321" s="1023"/>
      <c r="CY321" s="1683"/>
      <c r="CZ321" s="1023"/>
      <c r="DA321" s="1023"/>
      <c r="DB321" s="1023"/>
      <c r="DC321" s="1023"/>
      <c r="DD321" s="1023"/>
      <c r="DE321" s="1023"/>
      <c r="DF321" s="1023"/>
      <c r="DG321" s="1023"/>
      <c r="DH321" s="1023"/>
      <c r="DI321" s="1023"/>
      <c r="DJ321" s="1023"/>
      <c r="DK321" s="1023"/>
      <c r="DL321" s="1023"/>
      <c r="DM321" s="1023"/>
      <c r="DN321" s="1023"/>
      <c r="DO321" s="1023"/>
      <c r="DP321" s="1023"/>
      <c r="DQ321" s="1023"/>
      <c r="DR321" s="1023"/>
      <c r="DS321" s="1023"/>
      <c r="DT321" s="1023"/>
      <c r="DU321" s="1023"/>
      <c r="DV321" s="1684"/>
      <c r="DW321" s="530"/>
      <c r="DX321" s="530"/>
      <c r="DY321" s="530"/>
      <c r="DZ321" s="530"/>
      <c r="EA321" s="530"/>
      <c r="EB321" s="530"/>
      <c r="EC321" s="530"/>
      <c r="ED321" s="530"/>
      <c r="EE321" s="530"/>
      <c r="EF321" s="530"/>
      <c r="EG321" s="530"/>
      <c r="EH321" s="530"/>
      <c r="EI321" s="530"/>
      <c r="EJ321" s="530"/>
      <c r="EK321" s="530"/>
      <c r="EL321" s="530"/>
      <c r="EM321" s="530"/>
      <c r="EN321" s="530"/>
      <c r="EO321" s="530"/>
      <c r="EP321" s="530"/>
      <c r="EQ321" s="530"/>
      <c r="ER321" s="530"/>
      <c r="ES321" s="530"/>
      <c r="ET321" s="530"/>
      <c r="EU321" s="530"/>
      <c r="EV321" s="530"/>
      <c r="EW321" s="530"/>
      <c r="EX321" s="530"/>
      <c r="EY321" s="530"/>
      <c r="EZ321" s="530"/>
      <c r="FA321" s="530"/>
      <c r="FB321" s="530"/>
      <c r="FC321" s="530"/>
      <c r="FD321" s="530"/>
      <c r="FE321" s="530"/>
      <c r="FF321" s="530"/>
      <c r="FG321" s="530"/>
      <c r="FH321" s="530"/>
      <c r="FI321" s="530"/>
      <c r="FJ321" s="530"/>
      <c r="FK321" s="530"/>
      <c r="FL321" s="530"/>
      <c r="FM321" s="530"/>
      <c r="FN321" s="530"/>
      <c r="FO321" s="530"/>
      <c r="FP321" s="530"/>
      <c r="FQ321" s="530"/>
      <c r="FR321" s="530"/>
      <c r="FS321" s="530"/>
      <c r="FT321" s="530"/>
      <c r="FU321" s="530"/>
      <c r="FV321" s="530"/>
      <c r="FW321" s="530"/>
      <c r="FX321" s="530"/>
      <c r="FY321" s="530"/>
      <c r="FZ321" s="530"/>
      <c r="GA321" s="530"/>
      <c r="GB321" s="530"/>
      <c r="GC321" s="530"/>
      <c r="GD321" s="530"/>
      <c r="GE321" s="530"/>
      <c r="GF321" s="530"/>
      <c r="GG321" s="530"/>
      <c r="GH321" s="530"/>
      <c r="GI321" s="530"/>
      <c r="GJ321" s="530"/>
      <c r="GK321" s="530"/>
      <c r="GL321" s="530"/>
      <c r="GM321" s="530"/>
      <c r="GN321" s="530"/>
      <c r="GO321" s="530"/>
      <c r="GP321" s="530"/>
      <c r="GQ321" s="530"/>
      <c r="GR321" s="530"/>
      <c r="GS321" s="530"/>
      <c r="GT321" s="530"/>
      <c r="GU321" s="530"/>
      <c r="GV321" s="530"/>
      <c r="GW321" s="530"/>
      <c r="GX321" s="530"/>
      <c r="GY321" s="530"/>
      <c r="GZ321" s="530"/>
      <c r="HA321" s="530"/>
      <c r="HB321" s="530"/>
      <c r="HC321" s="530"/>
      <c r="HD321" s="530"/>
      <c r="HE321" s="530"/>
      <c r="HF321" s="530"/>
      <c r="HG321" s="530"/>
      <c r="HH321" s="530"/>
      <c r="HI321" s="530"/>
      <c r="HJ321" s="530"/>
      <c r="HK321" s="530"/>
      <c r="HL321" s="530"/>
      <c r="HM321" s="530"/>
      <c r="HN321" s="530"/>
      <c r="HO321" s="530"/>
      <c r="HP321" s="530"/>
      <c r="HQ321" s="530"/>
      <c r="HR321" s="530"/>
      <c r="HS321" s="530"/>
      <c r="HT321" s="530"/>
      <c r="HU321" s="530"/>
      <c r="HV321" s="530"/>
      <c r="HW321" s="530"/>
      <c r="HX321" s="530"/>
      <c r="HY321" s="530"/>
      <c r="HZ321" s="530"/>
      <c r="IA321" s="530"/>
      <c r="IB321" s="530"/>
      <c r="IC321" s="530"/>
      <c r="ID321" s="530"/>
      <c r="IE321" s="530"/>
      <c r="IF321" s="530"/>
      <c r="IG321" s="530"/>
      <c r="IH321" s="530"/>
      <c r="II321" s="530"/>
      <c r="IJ321" s="530"/>
      <c r="IK321" s="530"/>
      <c r="IL321" s="530"/>
      <c r="IM321" s="530"/>
      <c r="IN321" s="530"/>
      <c r="IO321" s="530"/>
      <c r="IP321" s="530"/>
      <c r="IQ321" s="530"/>
      <c r="IR321" s="530"/>
      <c r="IS321" s="530"/>
      <c r="IT321" s="530"/>
      <c r="IU321" s="530"/>
      <c r="IV321" s="530"/>
    </row>
    <row r="322" spans="1:256" ht="17.25" hidden="1" customHeight="1">
      <c r="A322" s="1676"/>
      <c r="B322" s="550"/>
      <c r="C322" s="550"/>
      <c r="D322" s="550"/>
      <c r="E322" s="550"/>
      <c r="F322" s="550"/>
      <c r="G322" s="550"/>
      <c r="H322" s="550"/>
      <c r="I322" s="550"/>
      <c r="J322" s="550"/>
      <c r="K322" s="550"/>
      <c r="L322" s="550"/>
      <c r="M322" s="550"/>
      <c r="N322" s="550"/>
      <c r="O322" s="439"/>
      <c r="P322" s="439"/>
      <c r="Q322" s="674"/>
      <c r="R322" s="671"/>
      <c r="S322" s="671"/>
      <c r="T322" s="671"/>
      <c r="U322" s="671"/>
      <c r="V322" s="671"/>
      <c r="W322" s="671"/>
      <c r="X322" s="671"/>
      <c r="Y322" s="671"/>
      <c r="Z322" s="671"/>
      <c r="AA322" s="671"/>
      <c r="AB322" s="671"/>
      <c r="AC322" s="671"/>
      <c r="AD322" s="671"/>
      <c r="AE322" s="623"/>
      <c r="AF322" s="623"/>
      <c r="AG322" s="623"/>
      <c r="AH322" s="623"/>
      <c r="AI322" s="623"/>
      <c r="AJ322" s="623"/>
      <c r="AK322" s="623"/>
      <c r="AL322" s="623"/>
      <c r="AM322" s="623"/>
      <c r="AN322" s="623"/>
      <c r="AO322" s="623"/>
      <c r="AP322" s="623"/>
      <c r="AQ322" s="623"/>
      <c r="AR322" s="623"/>
      <c r="AS322" s="623"/>
      <c r="AT322" s="623"/>
      <c r="AU322" s="623"/>
      <c r="AV322" s="623"/>
      <c r="AW322" s="623"/>
      <c r="AX322" s="623"/>
      <c r="AY322" s="623"/>
      <c r="AZ322" s="623"/>
      <c r="BA322" s="623"/>
      <c r="BB322" s="623"/>
      <c r="BC322" s="623"/>
      <c r="BD322" s="623"/>
      <c r="BE322" s="623"/>
      <c r="BF322" s="623"/>
      <c r="BG322" s="623"/>
      <c r="BH322" s="623"/>
      <c r="BI322" s="623"/>
      <c r="BJ322" s="623"/>
      <c r="BK322" s="623"/>
      <c r="BL322" s="623"/>
      <c r="BM322" s="623"/>
      <c r="BN322" s="623"/>
      <c r="BO322" s="623"/>
      <c r="BP322" s="623"/>
      <c r="BQ322" s="623"/>
      <c r="BR322" s="623"/>
      <c r="BS322" s="623"/>
      <c r="BT322" s="623"/>
      <c r="BU322" s="623"/>
      <c r="BV322" s="623"/>
      <c r="BW322" s="623"/>
      <c r="BX322" s="623"/>
      <c r="BY322" s="623"/>
      <c r="BZ322" s="623"/>
      <c r="CA322" s="623"/>
      <c r="CB322" s="623"/>
      <c r="CC322" s="623"/>
      <c r="CD322" s="623"/>
      <c r="CE322" s="1669"/>
      <c r="CF322" s="623"/>
      <c r="CG322" s="623"/>
      <c r="CH322" s="623"/>
      <c r="CI322" s="623"/>
      <c r="CJ322" s="623"/>
      <c r="CK322" s="623"/>
      <c r="CL322" s="623"/>
      <c r="CM322" s="623"/>
      <c r="CN322" s="623"/>
      <c r="CO322" s="623"/>
      <c r="CP322" s="623"/>
      <c r="CQ322" s="623"/>
      <c r="CR322" s="623"/>
      <c r="CS322" s="623"/>
      <c r="CT322" s="623"/>
      <c r="CU322" s="623"/>
      <c r="CV322" s="623"/>
      <c r="CW322" s="623"/>
      <c r="CX322" s="623"/>
      <c r="CY322" s="817"/>
      <c r="CZ322" s="623"/>
      <c r="DA322" s="623"/>
      <c r="DB322" s="623"/>
      <c r="DC322" s="623"/>
      <c r="DD322" s="623"/>
      <c r="DE322" s="623"/>
      <c r="DF322" s="623"/>
      <c r="DG322" s="623"/>
      <c r="DH322" s="623"/>
      <c r="DI322" s="623"/>
      <c r="DJ322" s="623"/>
      <c r="DK322" s="623"/>
      <c r="DL322" s="623"/>
      <c r="DM322" s="623"/>
      <c r="DN322" s="623"/>
      <c r="DO322" s="623"/>
      <c r="DP322" s="623"/>
      <c r="DQ322" s="623"/>
      <c r="DR322" s="623"/>
      <c r="DS322" s="623"/>
      <c r="DT322" s="623"/>
      <c r="DU322" s="623"/>
      <c r="DV322" s="1675"/>
      <c r="IR322" s="542"/>
      <c r="IS322" s="542"/>
      <c r="IT322" s="542"/>
      <c r="IU322" s="542"/>
      <c r="IV322" s="542"/>
    </row>
    <row r="323" spans="1:256" ht="17.25" hidden="1" customHeight="1">
      <c r="A323" s="1676"/>
      <c r="B323" s="550"/>
      <c r="C323" s="550"/>
      <c r="D323" s="550"/>
      <c r="E323" s="550"/>
      <c r="F323" s="550"/>
      <c r="G323" s="550"/>
      <c r="H323" s="550"/>
      <c r="I323" s="550"/>
      <c r="J323" s="550"/>
      <c r="K323" s="550"/>
      <c r="L323" s="550"/>
      <c r="M323" s="550"/>
      <c r="N323" s="550"/>
      <c r="O323" s="439"/>
      <c r="P323" s="439"/>
      <c r="Q323" s="674"/>
      <c r="R323" s="671"/>
      <c r="S323" s="671"/>
      <c r="T323" s="671"/>
      <c r="U323" s="671"/>
      <c r="V323" s="671"/>
      <c r="W323" s="671"/>
      <c r="X323" s="671"/>
      <c r="Y323" s="671"/>
      <c r="Z323" s="671"/>
      <c r="AA323" s="671"/>
      <c r="AB323" s="671"/>
      <c r="AC323" s="671"/>
      <c r="AD323" s="671"/>
      <c r="AE323" s="623"/>
      <c r="AF323" s="623"/>
      <c r="AG323" s="623"/>
      <c r="AH323" s="623"/>
      <c r="AI323" s="623"/>
      <c r="AJ323" s="623"/>
      <c r="AK323" s="623"/>
      <c r="AL323" s="623"/>
      <c r="AM323" s="623"/>
      <c r="AN323" s="623"/>
      <c r="AO323" s="623"/>
      <c r="AP323" s="623"/>
      <c r="AQ323" s="623"/>
      <c r="AR323" s="623"/>
      <c r="AS323" s="623"/>
      <c r="AT323" s="623"/>
      <c r="AU323" s="623"/>
      <c r="AV323" s="623"/>
      <c r="AW323" s="623"/>
      <c r="AX323" s="623"/>
      <c r="AY323" s="623"/>
      <c r="AZ323" s="623"/>
      <c r="BA323" s="623"/>
      <c r="BB323" s="623"/>
      <c r="BC323" s="623"/>
      <c r="BD323" s="623"/>
      <c r="BE323" s="623"/>
      <c r="BF323" s="623"/>
      <c r="BG323" s="623"/>
      <c r="BH323" s="623"/>
      <c r="BI323" s="623"/>
      <c r="BJ323" s="623"/>
      <c r="BK323" s="623"/>
      <c r="BL323" s="623"/>
      <c r="BM323" s="623"/>
      <c r="BN323" s="623"/>
      <c r="BO323" s="623"/>
      <c r="BP323" s="623"/>
      <c r="BQ323" s="623"/>
      <c r="BR323" s="623"/>
      <c r="BS323" s="623"/>
      <c r="BT323" s="623"/>
      <c r="BU323" s="623"/>
      <c r="BV323" s="623"/>
      <c r="BW323" s="623"/>
      <c r="BX323" s="623"/>
      <c r="BY323" s="623"/>
      <c r="BZ323" s="623"/>
      <c r="CA323" s="623"/>
      <c r="CB323" s="623"/>
      <c r="CC323" s="623"/>
      <c r="CD323" s="623"/>
      <c r="CE323" s="1669"/>
      <c r="CF323" s="623"/>
      <c r="CG323" s="623"/>
      <c r="CH323" s="623"/>
      <c r="CI323" s="623"/>
      <c r="CJ323" s="623"/>
      <c r="CK323" s="623"/>
      <c r="CL323" s="623"/>
      <c r="CM323" s="623"/>
      <c r="CN323" s="623"/>
      <c r="CO323" s="623"/>
      <c r="CP323" s="623"/>
      <c r="CQ323" s="623"/>
      <c r="CR323" s="623"/>
      <c r="CS323" s="623"/>
      <c r="CT323" s="623"/>
      <c r="CU323" s="623"/>
      <c r="CV323" s="623"/>
      <c r="CW323" s="623"/>
      <c r="CX323" s="623"/>
      <c r="CY323" s="817"/>
      <c r="CZ323" s="623"/>
      <c r="DA323" s="623"/>
      <c r="DB323" s="623"/>
      <c r="DC323" s="623"/>
      <c r="DD323" s="623"/>
      <c r="DE323" s="623"/>
      <c r="DF323" s="623"/>
      <c r="DG323" s="623"/>
      <c r="DH323" s="623"/>
      <c r="DI323" s="623"/>
      <c r="DJ323" s="623"/>
      <c r="DK323" s="623"/>
      <c r="DL323" s="623"/>
      <c r="DM323" s="623"/>
      <c r="DN323" s="623"/>
      <c r="DO323" s="623"/>
      <c r="DP323" s="623"/>
      <c r="DQ323" s="623"/>
      <c r="DR323" s="623"/>
      <c r="DS323" s="623"/>
      <c r="DT323" s="623"/>
      <c r="DU323" s="623"/>
      <c r="DV323" s="1675"/>
    </row>
    <row r="324" spans="1:256" s="678" customFormat="1" ht="17.25" hidden="1" customHeight="1">
      <c r="A324" s="1676"/>
      <c r="B324" s="550"/>
      <c r="C324" s="550"/>
      <c r="D324" s="550"/>
      <c r="E324" s="550"/>
      <c r="F324" s="550"/>
      <c r="G324" s="550"/>
      <c r="H324" s="550"/>
      <c r="I324" s="550"/>
      <c r="J324" s="676"/>
      <c r="K324" s="550"/>
      <c r="L324" s="550"/>
      <c r="M324" s="550"/>
      <c r="N324" s="550"/>
      <c r="O324" s="439"/>
      <c r="P324" s="439"/>
      <c r="Q324" s="674"/>
      <c r="R324" s="671"/>
      <c r="S324" s="671"/>
      <c r="T324" s="671"/>
      <c r="U324" s="671"/>
      <c r="V324" s="671"/>
      <c r="W324" s="671"/>
      <c r="X324" s="671"/>
      <c r="Y324" s="671"/>
      <c r="Z324" s="671"/>
      <c r="AA324" s="671"/>
      <c r="AB324" s="671"/>
      <c r="AC324" s="671"/>
      <c r="AD324" s="671"/>
      <c r="AE324" s="623"/>
      <c r="AF324" s="623"/>
      <c r="AG324" s="623"/>
      <c r="AH324" s="623"/>
      <c r="AI324" s="623"/>
      <c r="AJ324" s="623"/>
      <c r="AK324" s="623"/>
      <c r="AL324" s="623"/>
      <c r="AM324" s="623"/>
      <c r="AN324" s="623"/>
      <c r="AO324" s="623"/>
      <c r="AP324" s="623"/>
      <c r="AQ324" s="623"/>
      <c r="AR324" s="623"/>
      <c r="AS324" s="623"/>
      <c r="AT324" s="623"/>
      <c r="AU324" s="623"/>
      <c r="AV324" s="623"/>
      <c r="AW324" s="623"/>
      <c r="AX324" s="623"/>
      <c r="AY324" s="623"/>
      <c r="AZ324" s="623"/>
      <c r="BA324" s="623"/>
      <c r="BB324" s="623"/>
      <c r="BC324" s="623"/>
      <c r="BD324" s="623"/>
      <c r="BE324" s="623"/>
      <c r="BF324" s="623"/>
      <c r="BG324" s="623"/>
      <c r="BH324" s="623"/>
      <c r="BI324" s="623"/>
      <c r="BJ324" s="623"/>
      <c r="BK324" s="623"/>
      <c r="BL324" s="623"/>
      <c r="BM324" s="623"/>
      <c r="BN324" s="623"/>
      <c r="BO324" s="623"/>
      <c r="BP324" s="623"/>
      <c r="BQ324" s="623"/>
      <c r="BR324" s="623"/>
      <c r="BS324" s="623"/>
      <c r="BT324" s="623"/>
      <c r="BU324" s="623"/>
      <c r="BV324" s="623"/>
      <c r="BW324" s="623"/>
      <c r="BX324" s="623"/>
      <c r="BY324" s="623"/>
      <c r="BZ324" s="623"/>
      <c r="CA324" s="623"/>
      <c r="CB324" s="623"/>
      <c r="CC324" s="623"/>
      <c r="CD324" s="623"/>
      <c r="CE324" s="1669"/>
      <c r="CF324" s="623"/>
      <c r="CG324" s="623"/>
      <c r="CH324" s="623"/>
      <c r="CI324" s="623"/>
      <c r="CJ324" s="623"/>
      <c r="CK324" s="623"/>
      <c r="CL324" s="623"/>
      <c r="CM324" s="623"/>
      <c r="CN324" s="623"/>
      <c r="CO324" s="623"/>
      <c r="CP324" s="623"/>
      <c r="CQ324" s="623"/>
      <c r="CR324" s="623"/>
      <c r="CS324" s="623"/>
      <c r="CT324" s="623"/>
      <c r="CU324" s="623"/>
      <c r="CV324" s="623"/>
      <c r="CW324" s="623"/>
      <c r="CX324" s="623"/>
      <c r="CY324" s="817"/>
      <c r="CZ324" s="623"/>
      <c r="DA324" s="623"/>
      <c r="DB324" s="623"/>
      <c r="DC324" s="623"/>
      <c r="DD324" s="623"/>
      <c r="DE324" s="623"/>
      <c r="DF324" s="623"/>
      <c r="DG324" s="623"/>
      <c r="DH324" s="623"/>
      <c r="DI324" s="623"/>
      <c r="DJ324" s="623"/>
      <c r="DK324" s="623"/>
      <c r="DL324" s="623"/>
      <c r="DM324" s="623"/>
      <c r="DN324" s="623"/>
      <c r="DO324" s="623"/>
      <c r="DP324" s="623"/>
      <c r="DQ324" s="623"/>
      <c r="DR324" s="623"/>
      <c r="DS324" s="623"/>
      <c r="DT324" s="623"/>
      <c r="DU324" s="623"/>
      <c r="DV324" s="1675"/>
      <c r="DW324" s="530"/>
      <c r="DX324" s="530"/>
      <c r="DY324" s="530"/>
      <c r="DZ324" s="530"/>
      <c r="EA324" s="530"/>
      <c r="EB324" s="530"/>
      <c r="EC324" s="530"/>
      <c r="ED324" s="530"/>
      <c r="EE324" s="530"/>
      <c r="EF324" s="530"/>
      <c r="EG324" s="530"/>
      <c r="EH324" s="530"/>
      <c r="EI324" s="530"/>
      <c r="EJ324" s="530"/>
      <c r="EK324" s="530"/>
      <c r="EL324" s="530"/>
      <c r="EM324" s="530"/>
      <c r="EN324" s="530"/>
      <c r="EO324" s="530"/>
      <c r="EP324" s="530"/>
      <c r="EQ324" s="530"/>
      <c r="ER324" s="530"/>
      <c r="ES324" s="530"/>
      <c r="ET324" s="530"/>
      <c r="EU324" s="530"/>
      <c r="EV324" s="530"/>
      <c r="EW324" s="530"/>
      <c r="EX324" s="530"/>
      <c r="EY324" s="530"/>
      <c r="EZ324" s="530"/>
      <c r="FA324" s="530"/>
      <c r="FB324" s="530"/>
      <c r="FC324" s="530"/>
      <c r="FD324" s="530"/>
      <c r="FE324" s="530"/>
      <c r="FF324" s="530"/>
      <c r="FG324" s="530"/>
      <c r="FH324" s="530"/>
      <c r="FI324" s="530"/>
      <c r="FJ324" s="530"/>
      <c r="FK324" s="530"/>
      <c r="FL324" s="530"/>
      <c r="FM324" s="530"/>
      <c r="FN324" s="530"/>
      <c r="FO324" s="530"/>
      <c r="FP324" s="530"/>
      <c r="FQ324" s="530"/>
      <c r="FR324" s="530"/>
      <c r="FS324" s="530"/>
      <c r="FT324" s="530"/>
      <c r="FU324" s="530"/>
      <c r="FV324" s="530"/>
      <c r="FW324" s="530"/>
      <c r="FX324" s="530"/>
      <c r="FY324" s="530"/>
      <c r="FZ324" s="530"/>
      <c r="GA324" s="530"/>
      <c r="GB324" s="530"/>
      <c r="GC324" s="530"/>
      <c r="GD324" s="530"/>
      <c r="GE324" s="530"/>
      <c r="GF324" s="530"/>
      <c r="GG324" s="530"/>
      <c r="GH324" s="530"/>
      <c r="GI324" s="530"/>
      <c r="GJ324" s="530"/>
      <c r="GK324" s="530"/>
      <c r="GL324" s="530"/>
      <c r="GM324" s="530"/>
      <c r="GN324" s="530"/>
      <c r="GO324" s="530"/>
      <c r="GP324" s="530"/>
      <c r="GQ324" s="530"/>
      <c r="GR324" s="530"/>
      <c r="GS324" s="530"/>
      <c r="GT324" s="530"/>
      <c r="GU324" s="530"/>
      <c r="GV324" s="530"/>
      <c r="GW324" s="530"/>
      <c r="GX324" s="530"/>
      <c r="GY324" s="530"/>
      <c r="GZ324" s="530"/>
      <c r="HA324" s="530"/>
      <c r="HB324" s="530"/>
      <c r="HC324" s="530"/>
      <c r="HD324" s="530"/>
      <c r="HE324" s="530"/>
      <c r="HF324" s="530"/>
      <c r="HG324" s="530"/>
      <c r="HH324" s="530"/>
      <c r="HI324" s="530"/>
      <c r="HJ324" s="530"/>
      <c r="HK324" s="530"/>
      <c r="HL324" s="530"/>
      <c r="HM324" s="530"/>
      <c r="HN324" s="530"/>
      <c r="HO324" s="530"/>
      <c r="HP324" s="530"/>
      <c r="HQ324" s="530"/>
      <c r="HR324" s="530"/>
      <c r="HS324" s="530"/>
      <c r="HT324" s="530"/>
      <c r="HU324" s="530"/>
      <c r="HV324" s="530"/>
      <c r="HW324" s="530"/>
      <c r="HX324" s="530"/>
      <c r="HY324" s="530"/>
      <c r="HZ324" s="530"/>
      <c r="IA324" s="530"/>
      <c r="IB324" s="530"/>
      <c r="IC324" s="530"/>
      <c r="ID324" s="530"/>
      <c r="IE324" s="530"/>
      <c r="IF324" s="530"/>
      <c r="IG324" s="530"/>
      <c r="IH324" s="530"/>
      <c r="II324" s="530"/>
      <c r="IJ324" s="530"/>
      <c r="IK324" s="530"/>
      <c r="IL324" s="530"/>
      <c r="IM324" s="530"/>
      <c r="IN324" s="530"/>
      <c r="IO324" s="530"/>
      <c r="IP324" s="530"/>
      <c r="IQ324" s="530"/>
      <c r="IR324" s="530"/>
      <c r="IS324" s="530"/>
      <c r="IT324" s="530"/>
      <c r="IU324" s="530"/>
      <c r="IV324" s="530"/>
    </row>
    <row r="325" spans="1:256" s="717" customFormat="1" ht="18.75" hidden="1" customHeight="1">
      <c r="A325" s="1713"/>
      <c r="B325" s="1714"/>
      <c r="C325" s="1713"/>
      <c r="D325" s="1713"/>
      <c r="E325" s="1713"/>
      <c r="F325" s="1713"/>
      <c r="G325" s="1713"/>
      <c r="H325" s="1713"/>
      <c r="I325" s="1713"/>
      <c r="J325" s="1713"/>
      <c r="K325" s="1713"/>
      <c r="L325" s="1713"/>
      <c r="M325" s="1713"/>
      <c r="N325" s="1713"/>
      <c r="O325" s="1713"/>
      <c r="P325" s="1713"/>
      <c r="Q325" s="1713"/>
      <c r="R325" s="1713"/>
      <c r="S325" s="1713"/>
      <c r="T325" s="1713"/>
      <c r="U325" s="1713"/>
      <c r="V325" s="1713"/>
      <c r="W325" s="1713"/>
      <c r="X325" s="1713"/>
      <c r="Y325" s="1713"/>
      <c r="Z325" s="1713"/>
      <c r="AA325" s="1713"/>
      <c r="AB325" s="1713"/>
      <c r="AC325" s="1713"/>
      <c r="AD325" s="1713"/>
      <c r="AE325" s="1713"/>
      <c r="AF325" s="1713"/>
      <c r="AG325" s="1713"/>
      <c r="AH325" s="1713"/>
      <c r="AI325" s="1713"/>
      <c r="AJ325" s="1713"/>
      <c r="AK325" s="1713"/>
      <c r="AL325" s="1713"/>
      <c r="AM325" s="1713"/>
      <c r="AN325" s="1713"/>
      <c r="AO325" s="1713"/>
      <c r="AP325" s="1713"/>
      <c r="AQ325" s="1713"/>
      <c r="AR325" s="1713"/>
      <c r="AS325" s="1713"/>
      <c r="AT325" s="1713"/>
      <c r="AU325" s="1713"/>
      <c r="AV325" s="1713"/>
      <c r="AW325" s="1713"/>
      <c r="AX325" s="1713"/>
      <c r="AY325" s="1713"/>
      <c r="AZ325" s="1713"/>
      <c r="BA325" s="1713"/>
      <c r="BB325" s="1713"/>
      <c r="BC325" s="1713"/>
      <c r="BD325" s="1713"/>
      <c r="BE325" s="1713"/>
      <c r="BF325" s="1713"/>
      <c r="BG325" s="1713"/>
      <c r="BH325" s="1713"/>
      <c r="BI325" s="1713"/>
      <c r="BJ325" s="1713"/>
      <c r="BK325" s="1713"/>
      <c r="BL325" s="1713"/>
      <c r="BM325" s="1713"/>
      <c r="BN325" s="1713"/>
      <c r="BO325" s="1713"/>
      <c r="BP325" s="1713"/>
      <c r="BQ325" s="1713"/>
      <c r="BR325" s="1713"/>
      <c r="BS325" s="1713"/>
      <c r="BT325" s="1713"/>
      <c r="BU325" s="1713"/>
      <c r="BV325" s="1713"/>
      <c r="BW325" s="1713"/>
      <c r="BX325" s="1713"/>
      <c r="BY325" s="1713"/>
      <c r="BZ325" s="1713"/>
      <c r="CA325" s="1713"/>
      <c r="CB325" s="1713"/>
      <c r="CC325" s="1713"/>
      <c r="CD325" s="1713"/>
      <c r="CE325" s="1669"/>
      <c r="CF325" s="1713"/>
      <c r="CG325" s="1713"/>
      <c r="CH325" s="1713"/>
      <c r="CI325" s="1713"/>
      <c r="CJ325" s="1713"/>
      <c r="CK325" s="1713"/>
      <c r="CL325" s="1713"/>
      <c r="CM325" s="1713"/>
      <c r="CN325" s="1713"/>
      <c r="CO325" s="1713"/>
      <c r="CP325" s="1713"/>
      <c r="CQ325" s="1713"/>
      <c r="CR325" s="1713"/>
      <c r="CS325" s="1713"/>
      <c r="CT325" s="1713"/>
      <c r="CU325" s="1713"/>
      <c r="CV325" s="1713"/>
      <c r="CW325" s="1713"/>
      <c r="CX325" s="1713"/>
      <c r="CY325" s="1680"/>
      <c r="CZ325" s="1713"/>
      <c r="DA325" s="1713"/>
      <c r="DB325" s="1713"/>
      <c r="DC325" s="1713"/>
      <c r="DD325" s="1713"/>
      <c r="DE325" s="1713"/>
      <c r="DF325" s="1713"/>
      <c r="DG325" s="1713"/>
      <c r="DH325" s="1713"/>
      <c r="DI325" s="1713"/>
      <c r="DJ325" s="1713"/>
      <c r="DK325" s="1713"/>
      <c r="DL325" s="1713"/>
      <c r="DM325" s="1713"/>
      <c r="DN325" s="1713"/>
      <c r="DO325" s="1713"/>
      <c r="DP325" s="1713"/>
      <c r="DQ325" s="1713"/>
      <c r="DR325" s="1713"/>
      <c r="DS325" s="1713"/>
      <c r="DT325" s="1713"/>
      <c r="DU325" s="1715"/>
      <c r="DV325" s="1716"/>
    </row>
    <row r="326" spans="1:256" s="545" customFormat="1" ht="18" hidden="1" customHeight="1">
      <c r="A326" s="1685"/>
      <c r="B326" s="1023"/>
      <c r="C326" s="1023"/>
      <c r="D326" s="1023"/>
      <c r="E326" s="1023"/>
      <c r="F326" s="1023"/>
      <c r="G326" s="1023"/>
      <c r="H326" s="1023"/>
      <c r="I326" s="1023"/>
      <c r="J326" s="1023"/>
      <c r="K326" s="1023"/>
      <c r="L326" s="1023"/>
      <c r="M326" s="1023"/>
      <c r="N326" s="1023"/>
      <c r="O326" s="1023"/>
      <c r="P326" s="1023"/>
      <c r="Q326" s="1023"/>
      <c r="R326" s="1023"/>
      <c r="S326" s="1023"/>
      <c r="T326" s="1023"/>
      <c r="U326" s="1023"/>
      <c r="V326" s="1023"/>
      <c r="W326" s="1023"/>
      <c r="X326" s="1023"/>
      <c r="Y326" s="1023"/>
      <c r="Z326" s="1023"/>
      <c r="AA326" s="1023"/>
      <c r="AB326" s="1023"/>
      <c r="AC326" s="1023"/>
      <c r="AD326" s="1023"/>
      <c r="AE326" s="1023"/>
      <c r="AF326" s="1023"/>
      <c r="AG326" s="1023"/>
      <c r="AH326" s="1023"/>
      <c r="AI326" s="1023"/>
      <c r="AJ326" s="1023"/>
      <c r="AK326" s="1023"/>
      <c r="AL326" s="1023"/>
      <c r="AM326" s="1023"/>
      <c r="AN326" s="1023"/>
      <c r="AO326" s="1023"/>
      <c r="AP326" s="1023"/>
      <c r="AQ326" s="1023"/>
      <c r="AR326" s="1023"/>
      <c r="AS326" s="1023"/>
      <c r="AT326" s="1023"/>
      <c r="AU326" s="1023"/>
      <c r="AV326" s="1023"/>
      <c r="AW326" s="1023"/>
      <c r="AX326" s="1023"/>
      <c r="AY326" s="1023"/>
      <c r="AZ326" s="1023"/>
      <c r="BA326" s="1023"/>
      <c r="BB326" s="1023"/>
      <c r="BC326" s="1023"/>
      <c r="BD326" s="1023"/>
      <c r="BE326" s="1023"/>
      <c r="BF326" s="1023"/>
      <c r="BG326" s="1023"/>
      <c r="BH326" s="1023"/>
      <c r="BI326" s="1023"/>
      <c r="BJ326" s="1023"/>
      <c r="BK326" s="1023"/>
      <c r="BL326" s="1023"/>
      <c r="BM326" s="1023"/>
      <c r="BN326" s="1023"/>
      <c r="BO326" s="1023"/>
      <c r="BP326" s="1023"/>
      <c r="BQ326" s="1023"/>
      <c r="BR326" s="1023"/>
      <c r="BS326" s="1023"/>
      <c r="BT326" s="1023"/>
      <c r="BU326" s="1023"/>
      <c r="BV326" s="1023"/>
      <c r="BW326" s="1023"/>
      <c r="BX326" s="1023"/>
      <c r="BY326" s="1023"/>
      <c r="BZ326" s="1023"/>
      <c r="CA326" s="1023"/>
      <c r="CB326" s="1023"/>
      <c r="CC326" s="1023"/>
      <c r="CD326" s="1023"/>
      <c r="CE326" s="1669"/>
      <c r="CF326" s="1023"/>
      <c r="CG326" s="1023"/>
      <c r="CH326" s="1023"/>
      <c r="CI326" s="1023"/>
      <c r="CJ326" s="1023"/>
      <c r="CK326" s="1023"/>
      <c r="CL326" s="1023"/>
      <c r="CM326" s="1023"/>
      <c r="CN326" s="1023"/>
      <c r="CO326" s="1023"/>
      <c r="CP326" s="1023"/>
      <c r="CQ326" s="1023"/>
      <c r="CR326" s="1023"/>
      <c r="CS326" s="1023"/>
      <c r="CT326" s="1023"/>
      <c r="CU326" s="1023"/>
      <c r="CV326" s="1023"/>
      <c r="CW326" s="1023"/>
      <c r="CX326" s="1023"/>
      <c r="CY326" s="1683"/>
      <c r="CZ326" s="1023"/>
      <c r="DA326" s="1023"/>
      <c r="DB326" s="1023"/>
      <c r="DC326" s="1023"/>
      <c r="DD326" s="1023"/>
      <c r="DE326" s="1023"/>
      <c r="DF326" s="1023"/>
      <c r="DG326" s="1023"/>
      <c r="DH326" s="1023"/>
      <c r="DI326" s="1023"/>
      <c r="DJ326" s="1023"/>
      <c r="DK326" s="1023"/>
      <c r="DL326" s="1023"/>
      <c r="DM326" s="1023"/>
      <c r="DN326" s="1023"/>
      <c r="DO326" s="1023"/>
      <c r="DP326" s="1023"/>
      <c r="DQ326" s="1023"/>
      <c r="DR326" s="1023"/>
      <c r="DS326" s="1023"/>
      <c r="DT326" s="1023"/>
      <c r="DU326" s="1023"/>
      <c r="DV326" s="1684"/>
      <c r="DW326" s="530"/>
      <c r="DX326" s="530"/>
      <c r="DY326" s="530"/>
      <c r="DZ326" s="530"/>
      <c r="EA326" s="530"/>
      <c r="EB326" s="530"/>
      <c r="EC326" s="530"/>
      <c r="ED326" s="530"/>
      <c r="EE326" s="530"/>
      <c r="EF326" s="530"/>
      <c r="EG326" s="530"/>
      <c r="EH326" s="530"/>
      <c r="EI326" s="530"/>
      <c r="EJ326" s="530"/>
      <c r="EK326" s="530"/>
      <c r="EL326" s="530"/>
      <c r="EM326" s="530"/>
      <c r="EN326" s="530"/>
      <c r="EO326" s="530"/>
      <c r="EP326" s="530"/>
      <c r="EQ326" s="530"/>
      <c r="ER326" s="530"/>
      <c r="ES326" s="530"/>
      <c r="ET326" s="530"/>
      <c r="EU326" s="530"/>
      <c r="EV326" s="530"/>
      <c r="EW326" s="530"/>
      <c r="EX326" s="530"/>
      <c r="EY326" s="530"/>
      <c r="EZ326" s="530"/>
      <c r="FA326" s="530"/>
      <c r="FB326" s="530"/>
      <c r="FC326" s="530"/>
      <c r="FD326" s="530"/>
      <c r="FE326" s="530"/>
      <c r="FF326" s="530"/>
      <c r="FG326" s="530"/>
      <c r="FH326" s="530"/>
      <c r="FI326" s="530"/>
      <c r="FJ326" s="530"/>
      <c r="FK326" s="530"/>
      <c r="FL326" s="530"/>
      <c r="FM326" s="530"/>
      <c r="FN326" s="530"/>
      <c r="FO326" s="530"/>
      <c r="FP326" s="530"/>
      <c r="FQ326" s="530"/>
      <c r="FR326" s="530"/>
      <c r="FS326" s="530"/>
      <c r="FT326" s="530"/>
      <c r="FU326" s="530"/>
      <c r="FV326" s="530"/>
      <c r="FW326" s="530"/>
      <c r="FX326" s="530"/>
      <c r="FY326" s="530"/>
      <c r="FZ326" s="530"/>
      <c r="GA326" s="530"/>
      <c r="GB326" s="530"/>
      <c r="GC326" s="530"/>
      <c r="GD326" s="530"/>
      <c r="GE326" s="530"/>
      <c r="GF326" s="530"/>
      <c r="GG326" s="530"/>
      <c r="GH326" s="530"/>
      <c r="GI326" s="530"/>
      <c r="GJ326" s="530"/>
      <c r="GK326" s="530"/>
      <c r="GL326" s="530"/>
      <c r="GM326" s="530"/>
      <c r="GN326" s="530"/>
      <c r="GO326" s="530"/>
      <c r="GP326" s="530"/>
      <c r="GQ326" s="530"/>
      <c r="GR326" s="530"/>
      <c r="GS326" s="530"/>
      <c r="GT326" s="530"/>
      <c r="GU326" s="530"/>
      <c r="GV326" s="530"/>
      <c r="GW326" s="530"/>
      <c r="GX326" s="530"/>
      <c r="GY326" s="530"/>
      <c r="GZ326" s="530"/>
      <c r="HA326" s="530"/>
      <c r="HB326" s="530"/>
      <c r="HC326" s="530"/>
      <c r="HD326" s="530"/>
      <c r="HE326" s="530"/>
      <c r="HF326" s="530"/>
      <c r="HG326" s="530"/>
      <c r="HH326" s="530"/>
      <c r="HI326" s="530"/>
      <c r="HJ326" s="530"/>
      <c r="HK326" s="530"/>
      <c r="HL326" s="530"/>
      <c r="HM326" s="530"/>
      <c r="HN326" s="530"/>
      <c r="HO326" s="530"/>
      <c r="HP326" s="530"/>
      <c r="HQ326" s="530"/>
      <c r="HR326" s="530"/>
      <c r="HS326" s="530"/>
      <c r="HT326" s="530"/>
      <c r="HU326" s="530"/>
      <c r="HV326" s="530"/>
      <c r="HW326" s="530"/>
      <c r="HX326" s="530"/>
      <c r="HY326" s="530"/>
      <c r="HZ326" s="530"/>
      <c r="IA326" s="530"/>
      <c r="IB326" s="530"/>
      <c r="IC326" s="530"/>
      <c r="ID326" s="530"/>
      <c r="IE326" s="530"/>
      <c r="IF326" s="530"/>
      <c r="IG326" s="530"/>
      <c r="IH326" s="530"/>
      <c r="II326" s="530"/>
      <c r="IJ326" s="530"/>
      <c r="IK326" s="530"/>
      <c r="IL326" s="530"/>
      <c r="IM326" s="530"/>
      <c r="IN326" s="530"/>
      <c r="IO326" s="530"/>
      <c r="IP326" s="530"/>
      <c r="IQ326" s="530"/>
      <c r="IR326" s="530"/>
      <c r="IS326" s="530"/>
      <c r="IT326" s="530"/>
      <c r="IU326" s="530"/>
      <c r="IV326" s="530"/>
    </row>
    <row r="327" spans="1:256" ht="17.25" hidden="1" customHeight="1">
      <c r="A327" s="1676"/>
      <c r="B327" s="550"/>
      <c r="C327" s="550"/>
      <c r="D327" s="550"/>
      <c r="E327" s="550"/>
      <c r="F327" s="550"/>
      <c r="G327" s="550"/>
      <c r="H327" s="550"/>
      <c r="I327" s="550"/>
      <c r="J327" s="550"/>
      <c r="K327" s="550"/>
      <c r="L327" s="550"/>
      <c r="M327" s="550"/>
      <c r="N327" s="550"/>
      <c r="O327" s="439"/>
      <c r="P327" s="439"/>
      <c r="Q327" s="674"/>
      <c r="R327" s="671"/>
      <c r="S327" s="671"/>
      <c r="T327" s="671"/>
      <c r="U327" s="671"/>
      <c r="V327" s="671"/>
      <c r="W327" s="671"/>
      <c r="X327" s="671"/>
      <c r="Y327" s="671"/>
      <c r="Z327" s="671"/>
      <c r="AA327" s="671"/>
      <c r="AB327" s="671"/>
      <c r="AC327" s="671"/>
      <c r="AD327" s="671"/>
      <c r="AE327" s="623"/>
      <c r="AF327" s="623"/>
      <c r="AG327" s="623"/>
      <c r="AH327" s="623"/>
      <c r="AI327" s="623"/>
      <c r="AJ327" s="623"/>
      <c r="AK327" s="623"/>
      <c r="AL327" s="623"/>
      <c r="AM327" s="623"/>
      <c r="AN327" s="623"/>
      <c r="AO327" s="623"/>
      <c r="AP327" s="623"/>
      <c r="AQ327" s="623"/>
      <c r="AR327" s="623"/>
      <c r="AS327" s="623"/>
      <c r="AT327" s="623"/>
      <c r="AU327" s="623"/>
      <c r="AV327" s="623"/>
      <c r="AW327" s="623"/>
      <c r="AX327" s="623"/>
      <c r="AY327" s="623"/>
      <c r="AZ327" s="623"/>
      <c r="BA327" s="623"/>
      <c r="BB327" s="623"/>
      <c r="BC327" s="623"/>
      <c r="BD327" s="623"/>
      <c r="BE327" s="623"/>
      <c r="BF327" s="623"/>
      <c r="BG327" s="623"/>
      <c r="BH327" s="623"/>
      <c r="BI327" s="623"/>
      <c r="BJ327" s="623"/>
      <c r="BK327" s="623"/>
      <c r="BL327" s="623"/>
      <c r="BM327" s="623"/>
      <c r="BN327" s="623"/>
      <c r="BO327" s="623"/>
      <c r="BP327" s="623"/>
      <c r="BQ327" s="623"/>
      <c r="BR327" s="623"/>
      <c r="BS327" s="623"/>
      <c r="BT327" s="623"/>
      <c r="BU327" s="623"/>
      <c r="BV327" s="623"/>
      <c r="BW327" s="623"/>
      <c r="BX327" s="623"/>
      <c r="BY327" s="623"/>
      <c r="BZ327" s="623"/>
      <c r="CA327" s="623"/>
      <c r="CB327" s="623"/>
      <c r="CC327" s="623"/>
      <c r="CD327" s="623"/>
      <c r="CE327" s="1669"/>
      <c r="CF327" s="623"/>
      <c r="CG327" s="623"/>
      <c r="CH327" s="623"/>
      <c r="CI327" s="623"/>
      <c r="CJ327" s="623"/>
      <c r="CK327" s="623"/>
      <c r="CL327" s="623"/>
      <c r="CM327" s="623"/>
      <c r="CN327" s="623"/>
      <c r="CO327" s="623"/>
      <c r="CP327" s="623"/>
      <c r="CQ327" s="623"/>
      <c r="CR327" s="623"/>
      <c r="CS327" s="623"/>
      <c r="CT327" s="623"/>
      <c r="CU327" s="623"/>
      <c r="CV327" s="623"/>
      <c r="CW327" s="623"/>
      <c r="CX327" s="623"/>
      <c r="CY327" s="817"/>
      <c r="CZ327" s="623"/>
      <c r="DA327" s="623"/>
      <c r="DB327" s="623"/>
      <c r="DC327" s="623"/>
      <c r="DD327" s="623"/>
      <c r="DE327" s="623"/>
      <c r="DF327" s="623"/>
      <c r="DG327" s="623"/>
      <c r="DH327" s="623"/>
      <c r="DI327" s="623"/>
      <c r="DJ327" s="623"/>
      <c r="DK327" s="623"/>
      <c r="DL327" s="623"/>
      <c r="DM327" s="623"/>
      <c r="DN327" s="623"/>
      <c r="DO327" s="623"/>
      <c r="DP327" s="623"/>
      <c r="DQ327" s="623"/>
      <c r="DR327" s="623"/>
      <c r="DS327" s="623"/>
      <c r="DT327" s="623"/>
      <c r="DU327" s="623"/>
      <c r="DV327" s="1675"/>
      <c r="IR327" s="542"/>
      <c r="IS327" s="542"/>
      <c r="IT327" s="542"/>
      <c r="IU327" s="542"/>
      <c r="IV327" s="542"/>
    </row>
    <row r="328" spans="1:256" ht="17.25" hidden="1" customHeight="1">
      <c r="A328" s="1676"/>
      <c r="B328" s="550"/>
      <c r="C328" s="550"/>
      <c r="D328" s="550"/>
      <c r="E328" s="550"/>
      <c r="F328" s="550"/>
      <c r="G328" s="550"/>
      <c r="H328" s="550"/>
      <c r="I328" s="550"/>
      <c r="J328" s="550"/>
      <c r="K328" s="550"/>
      <c r="L328" s="550"/>
      <c r="M328" s="550"/>
      <c r="N328" s="550"/>
      <c r="O328" s="439"/>
      <c r="P328" s="439"/>
      <c r="Q328" s="674"/>
      <c r="R328" s="671"/>
      <c r="S328" s="671"/>
      <c r="T328" s="671"/>
      <c r="U328" s="671"/>
      <c r="V328" s="671"/>
      <c r="W328" s="671"/>
      <c r="X328" s="671"/>
      <c r="Y328" s="671"/>
      <c r="Z328" s="671"/>
      <c r="AA328" s="671"/>
      <c r="AB328" s="671"/>
      <c r="AC328" s="671"/>
      <c r="AD328" s="671"/>
      <c r="AE328" s="623"/>
      <c r="AF328" s="623"/>
      <c r="AG328" s="623"/>
      <c r="AH328" s="623"/>
      <c r="AI328" s="623"/>
      <c r="AJ328" s="623"/>
      <c r="AK328" s="623"/>
      <c r="AL328" s="623"/>
      <c r="AM328" s="623"/>
      <c r="AN328" s="623"/>
      <c r="AO328" s="623"/>
      <c r="AP328" s="623"/>
      <c r="AQ328" s="623"/>
      <c r="AR328" s="623"/>
      <c r="AS328" s="623"/>
      <c r="AT328" s="623"/>
      <c r="AU328" s="623"/>
      <c r="AV328" s="623"/>
      <c r="AW328" s="623"/>
      <c r="AX328" s="623"/>
      <c r="AY328" s="623"/>
      <c r="AZ328" s="623"/>
      <c r="BA328" s="623"/>
      <c r="BB328" s="623"/>
      <c r="BC328" s="623"/>
      <c r="BD328" s="623"/>
      <c r="BE328" s="623"/>
      <c r="BF328" s="623"/>
      <c r="BG328" s="623"/>
      <c r="BH328" s="623"/>
      <c r="BI328" s="623"/>
      <c r="BJ328" s="623"/>
      <c r="BK328" s="623"/>
      <c r="BL328" s="623"/>
      <c r="BM328" s="623"/>
      <c r="BN328" s="623"/>
      <c r="BO328" s="623"/>
      <c r="BP328" s="623"/>
      <c r="BQ328" s="623"/>
      <c r="BR328" s="623"/>
      <c r="BS328" s="623"/>
      <c r="BT328" s="623"/>
      <c r="BU328" s="623"/>
      <c r="BV328" s="623"/>
      <c r="BW328" s="623"/>
      <c r="BX328" s="623"/>
      <c r="BY328" s="623"/>
      <c r="BZ328" s="623"/>
      <c r="CA328" s="623"/>
      <c r="CB328" s="623"/>
      <c r="CC328" s="623"/>
      <c r="CD328" s="623"/>
      <c r="CE328" s="1669"/>
      <c r="CF328" s="623"/>
      <c r="CG328" s="623"/>
      <c r="CH328" s="623"/>
      <c r="CI328" s="623"/>
      <c r="CJ328" s="623"/>
      <c r="CK328" s="623"/>
      <c r="CL328" s="623"/>
      <c r="CM328" s="623"/>
      <c r="CN328" s="623"/>
      <c r="CO328" s="623"/>
      <c r="CP328" s="623"/>
      <c r="CQ328" s="623"/>
      <c r="CR328" s="623"/>
      <c r="CS328" s="623"/>
      <c r="CT328" s="623"/>
      <c r="CU328" s="623"/>
      <c r="CV328" s="623"/>
      <c r="CW328" s="623"/>
      <c r="CX328" s="623"/>
      <c r="CY328" s="817"/>
      <c r="CZ328" s="623"/>
      <c r="DA328" s="623"/>
      <c r="DB328" s="623"/>
      <c r="DC328" s="623"/>
      <c r="DD328" s="623"/>
      <c r="DE328" s="623"/>
      <c r="DF328" s="623"/>
      <c r="DG328" s="623"/>
      <c r="DH328" s="623"/>
      <c r="DI328" s="623"/>
      <c r="DJ328" s="623"/>
      <c r="DK328" s="623"/>
      <c r="DL328" s="623"/>
      <c r="DM328" s="623"/>
      <c r="DN328" s="623"/>
      <c r="DO328" s="623"/>
      <c r="DP328" s="623"/>
      <c r="DQ328" s="623"/>
      <c r="DR328" s="623"/>
      <c r="DS328" s="623"/>
      <c r="DT328" s="623"/>
      <c r="DU328" s="623"/>
      <c r="DV328" s="1675"/>
    </row>
    <row r="329" spans="1:256" ht="17.25" hidden="1" customHeight="1">
      <c r="A329" s="1676"/>
      <c r="B329" s="550"/>
      <c r="C329" s="550"/>
      <c r="D329" s="550"/>
      <c r="E329" s="550"/>
      <c r="F329" s="550"/>
      <c r="G329" s="550"/>
      <c r="H329" s="550"/>
      <c r="I329" s="550"/>
      <c r="J329" s="550"/>
      <c r="K329" s="550"/>
      <c r="L329" s="550"/>
      <c r="M329" s="550"/>
      <c r="N329" s="550"/>
      <c r="O329" s="439"/>
      <c r="P329" s="439"/>
      <c r="Q329" s="674"/>
      <c r="R329" s="671"/>
      <c r="S329" s="671"/>
      <c r="T329" s="671"/>
      <c r="U329" s="671"/>
      <c r="V329" s="671"/>
      <c r="W329" s="671"/>
      <c r="X329" s="671"/>
      <c r="Y329" s="671"/>
      <c r="Z329" s="671"/>
      <c r="AA329" s="671"/>
      <c r="AB329" s="671"/>
      <c r="AC329" s="671"/>
      <c r="AD329" s="671"/>
      <c r="AE329" s="623"/>
      <c r="AF329" s="623"/>
      <c r="AG329" s="623"/>
      <c r="AH329" s="623"/>
      <c r="AI329" s="623"/>
      <c r="AJ329" s="623"/>
      <c r="AK329" s="623"/>
      <c r="AL329" s="623"/>
      <c r="AM329" s="623"/>
      <c r="AN329" s="623"/>
      <c r="AO329" s="623"/>
      <c r="AP329" s="623"/>
      <c r="AQ329" s="623"/>
      <c r="AR329" s="623"/>
      <c r="AS329" s="623"/>
      <c r="AT329" s="623"/>
      <c r="AU329" s="623"/>
      <c r="AV329" s="623"/>
      <c r="AW329" s="623"/>
      <c r="AX329" s="623"/>
      <c r="AY329" s="623"/>
      <c r="AZ329" s="623"/>
      <c r="BA329" s="623"/>
      <c r="BB329" s="623"/>
      <c r="BC329" s="623"/>
      <c r="BD329" s="623"/>
      <c r="BE329" s="623"/>
      <c r="BF329" s="623"/>
      <c r="BG329" s="623"/>
      <c r="BH329" s="623"/>
      <c r="BI329" s="623"/>
      <c r="BJ329" s="623"/>
      <c r="BK329" s="623"/>
      <c r="BL329" s="623"/>
      <c r="BM329" s="623"/>
      <c r="BN329" s="623"/>
      <c r="BO329" s="623"/>
      <c r="BP329" s="623"/>
      <c r="BQ329" s="623"/>
      <c r="BR329" s="623"/>
      <c r="BS329" s="623"/>
      <c r="BT329" s="623"/>
      <c r="BU329" s="623"/>
      <c r="BV329" s="623"/>
      <c r="BW329" s="623"/>
      <c r="BX329" s="623"/>
      <c r="BY329" s="623"/>
      <c r="BZ329" s="623"/>
      <c r="CA329" s="623"/>
      <c r="CB329" s="623"/>
      <c r="CC329" s="623"/>
      <c r="CD329" s="623"/>
      <c r="CE329" s="1669"/>
      <c r="CF329" s="623"/>
      <c r="CG329" s="623"/>
      <c r="CH329" s="623"/>
      <c r="CI329" s="623"/>
      <c r="CJ329" s="623"/>
      <c r="CK329" s="623"/>
      <c r="CL329" s="623"/>
      <c r="CM329" s="623"/>
      <c r="CN329" s="623"/>
      <c r="CO329" s="623"/>
      <c r="CP329" s="623"/>
      <c r="CQ329" s="623"/>
      <c r="CR329" s="623"/>
      <c r="CS329" s="623"/>
      <c r="CT329" s="623"/>
      <c r="CU329" s="623"/>
      <c r="CV329" s="623"/>
      <c r="CW329" s="623"/>
      <c r="CX329" s="623"/>
      <c r="CY329" s="817"/>
      <c r="CZ329" s="623"/>
      <c r="DA329" s="623"/>
      <c r="DB329" s="623"/>
      <c r="DC329" s="623"/>
      <c r="DD329" s="623"/>
      <c r="DE329" s="623"/>
      <c r="DF329" s="623"/>
      <c r="DG329" s="623"/>
      <c r="DH329" s="623"/>
      <c r="DI329" s="623"/>
      <c r="DJ329" s="623"/>
      <c r="DK329" s="623"/>
      <c r="DL329" s="623"/>
      <c r="DM329" s="623"/>
      <c r="DN329" s="623"/>
      <c r="DO329" s="623"/>
      <c r="DP329" s="623"/>
      <c r="DQ329" s="623"/>
      <c r="DR329" s="623"/>
      <c r="DS329" s="623"/>
      <c r="DT329" s="623"/>
      <c r="DU329" s="623"/>
      <c r="DV329" s="1675"/>
    </row>
    <row r="330" spans="1:256" ht="17.25" hidden="1" customHeight="1">
      <c r="A330" s="1676"/>
      <c r="B330" s="550"/>
      <c r="C330" s="550"/>
      <c r="D330" s="550"/>
      <c r="E330" s="550"/>
      <c r="F330" s="550"/>
      <c r="G330" s="550"/>
      <c r="H330" s="550"/>
      <c r="I330" s="550"/>
      <c r="J330" s="550"/>
      <c r="K330" s="550"/>
      <c r="L330" s="550"/>
      <c r="M330" s="550"/>
      <c r="N330" s="550"/>
      <c r="O330" s="439"/>
      <c r="P330" s="439"/>
      <c r="Q330" s="674"/>
      <c r="R330" s="671"/>
      <c r="S330" s="671"/>
      <c r="T330" s="671"/>
      <c r="U330" s="671"/>
      <c r="V330" s="671"/>
      <c r="W330" s="671"/>
      <c r="X330" s="671"/>
      <c r="Y330" s="671"/>
      <c r="Z330" s="671"/>
      <c r="AA330" s="671"/>
      <c r="AB330" s="671"/>
      <c r="AC330" s="671"/>
      <c r="AD330" s="671"/>
      <c r="AE330" s="623"/>
      <c r="AF330" s="623"/>
      <c r="AG330" s="623"/>
      <c r="AH330" s="623"/>
      <c r="AI330" s="623"/>
      <c r="AJ330" s="623"/>
      <c r="AK330" s="623"/>
      <c r="AL330" s="623"/>
      <c r="AM330" s="623"/>
      <c r="AN330" s="623"/>
      <c r="AO330" s="623"/>
      <c r="AP330" s="623"/>
      <c r="AQ330" s="623"/>
      <c r="AR330" s="623"/>
      <c r="AS330" s="623"/>
      <c r="AT330" s="623"/>
      <c r="AU330" s="623"/>
      <c r="AV330" s="623"/>
      <c r="AW330" s="623"/>
      <c r="AX330" s="623"/>
      <c r="AY330" s="623"/>
      <c r="AZ330" s="623"/>
      <c r="BA330" s="623"/>
      <c r="BB330" s="623"/>
      <c r="BC330" s="623"/>
      <c r="BD330" s="623"/>
      <c r="BE330" s="623"/>
      <c r="BF330" s="623"/>
      <c r="BG330" s="623"/>
      <c r="BH330" s="623"/>
      <c r="BI330" s="623"/>
      <c r="BJ330" s="623"/>
      <c r="BK330" s="623"/>
      <c r="BL330" s="623"/>
      <c r="BM330" s="623"/>
      <c r="BN330" s="623"/>
      <c r="BO330" s="623"/>
      <c r="BP330" s="623"/>
      <c r="BQ330" s="623"/>
      <c r="BR330" s="623"/>
      <c r="BS330" s="623"/>
      <c r="BT330" s="623"/>
      <c r="BU330" s="623"/>
      <c r="BV330" s="623"/>
      <c r="BW330" s="623"/>
      <c r="BX330" s="623"/>
      <c r="BY330" s="623"/>
      <c r="BZ330" s="623"/>
      <c r="CA330" s="623"/>
      <c r="CB330" s="623"/>
      <c r="CC330" s="623"/>
      <c r="CD330" s="623"/>
      <c r="CE330" s="1669"/>
      <c r="CF330" s="623"/>
      <c r="CG330" s="623"/>
      <c r="CH330" s="623"/>
      <c r="CI330" s="623"/>
      <c r="CJ330" s="623"/>
      <c r="CK330" s="623"/>
      <c r="CL330" s="623"/>
      <c r="CM330" s="623"/>
      <c r="CN330" s="623"/>
      <c r="CO330" s="623"/>
      <c r="CP330" s="623"/>
      <c r="CQ330" s="623"/>
      <c r="CR330" s="623"/>
      <c r="CS330" s="623"/>
      <c r="CT330" s="623"/>
      <c r="CU330" s="623"/>
      <c r="CV330" s="623"/>
      <c r="CW330" s="623"/>
      <c r="CX330" s="623"/>
      <c r="CY330" s="817"/>
      <c r="CZ330" s="623"/>
      <c r="DA330" s="623"/>
      <c r="DB330" s="623"/>
      <c r="DC330" s="623"/>
      <c r="DD330" s="623"/>
      <c r="DE330" s="623"/>
      <c r="DF330" s="623"/>
      <c r="DG330" s="623"/>
      <c r="DH330" s="623"/>
      <c r="DI330" s="623"/>
      <c r="DJ330" s="623"/>
      <c r="DK330" s="623"/>
      <c r="DL330" s="623"/>
      <c r="DM330" s="623"/>
      <c r="DN330" s="623"/>
      <c r="DO330" s="623"/>
      <c r="DP330" s="623"/>
      <c r="DQ330" s="623"/>
      <c r="DR330" s="623"/>
      <c r="DS330" s="623"/>
      <c r="DT330" s="623"/>
      <c r="DU330" s="623"/>
      <c r="DV330" s="1675"/>
    </row>
    <row r="331" spans="1:256" ht="17.25" hidden="1" customHeight="1">
      <c r="A331" s="1676"/>
      <c r="B331" s="550"/>
      <c r="C331" s="550"/>
      <c r="D331" s="550"/>
      <c r="E331" s="550"/>
      <c r="F331" s="550"/>
      <c r="G331" s="550"/>
      <c r="H331" s="550"/>
      <c r="I331" s="550"/>
      <c r="J331" s="550"/>
      <c r="K331" s="550"/>
      <c r="L331" s="550"/>
      <c r="M331" s="550"/>
      <c r="N331" s="550"/>
      <c r="O331" s="439"/>
      <c r="P331" s="439"/>
      <c r="Q331" s="674"/>
      <c r="R331" s="671"/>
      <c r="S331" s="671"/>
      <c r="T331" s="671"/>
      <c r="U331" s="671"/>
      <c r="V331" s="671"/>
      <c r="W331" s="671"/>
      <c r="X331" s="671"/>
      <c r="Y331" s="671"/>
      <c r="Z331" s="671"/>
      <c r="AA331" s="671"/>
      <c r="AB331" s="671"/>
      <c r="AC331" s="671"/>
      <c r="AD331" s="671"/>
      <c r="AE331" s="623"/>
      <c r="AF331" s="623"/>
      <c r="AG331" s="623"/>
      <c r="AH331" s="623"/>
      <c r="AI331" s="623"/>
      <c r="AJ331" s="623"/>
      <c r="AK331" s="623"/>
      <c r="AL331" s="623"/>
      <c r="AM331" s="623"/>
      <c r="AN331" s="623"/>
      <c r="AO331" s="623"/>
      <c r="AP331" s="623"/>
      <c r="AQ331" s="623"/>
      <c r="AR331" s="623"/>
      <c r="AS331" s="623"/>
      <c r="AT331" s="623"/>
      <c r="AU331" s="623"/>
      <c r="AV331" s="623"/>
      <c r="AW331" s="623"/>
      <c r="AX331" s="623"/>
      <c r="AY331" s="623"/>
      <c r="AZ331" s="623"/>
      <c r="BA331" s="623"/>
      <c r="BB331" s="623"/>
      <c r="BC331" s="623"/>
      <c r="BD331" s="623"/>
      <c r="BE331" s="623"/>
      <c r="BF331" s="623"/>
      <c r="BG331" s="623"/>
      <c r="BH331" s="623"/>
      <c r="BI331" s="623"/>
      <c r="BJ331" s="623"/>
      <c r="BK331" s="623"/>
      <c r="BL331" s="623"/>
      <c r="BM331" s="623"/>
      <c r="BN331" s="623"/>
      <c r="BO331" s="623"/>
      <c r="BP331" s="623"/>
      <c r="BQ331" s="623"/>
      <c r="BR331" s="623"/>
      <c r="BS331" s="623"/>
      <c r="BT331" s="623"/>
      <c r="BU331" s="623"/>
      <c r="BV331" s="623"/>
      <c r="BW331" s="623"/>
      <c r="BX331" s="623"/>
      <c r="BY331" s="623"/>
      <c r="BZ331" s="623"/>
      <c r="CA331" s="623"/>
      <c r="CB331" s="623"/>
      <c r="CC331" s="623"/>
      <c r="CD331" s="623"/>
      <c r="CE331" s="1669"/>
      <c r="CF331" s="623"/>
      <c r="CG331" s="623"/>
      <c r="CH331" s="623"/>
      <c r="CI331" s="623"/>
      <c r="CJ331" s="623"/>
      <c r="CK331" s="623"/>
      <c r="CL331" s="623"/>
      <c r="CM331" s="623"/>
      <c r="CN331" s="623"/>
      <c r="CO331" s="623"/>
      <c r="CP331" s="623"/>
      <c r="CQ331" s="623"/>
      <c r="CR331" s="623"/>
      <c r="CS331" s="623"/>
      <c r="CT331" s="623"/>
      <c r="CU331" s="623"/>
      <c r="CV331" s="623"/>
      <c r="CW331" s="623"/>
      <c r="CX331" s="623"/>
      <c r="CY331" s="817"/>
      <c r="CZ331" s="623"/>
      <c r="DA331" s="623"/>
      <c r="DB331" s="623"/>
      <c r="DC331" s="623"/>
      <c r="DD331" s="623"/>
      <c r="DE331" s="623"/>
      <c r="DF331" s="623"/>
      <c r="DG331" s="623"/>
      <c r="DH331" s="623"/>
      <c r="DI331" s="623"/>
      <c r="DJ331" s="623"/>
      <c r="DK331" s="623"/>
      <c r="DL331" s="623"/>
      <c r="DM331" s="623"/>
      <c r="DN331" s="623"/>
      <c r="DO331" s="623"/>
      <c r="DP331" s="623"/>
      <c r="DQ331" s="623"/>
      <c r="DR331" s="623"/>
      <c r="DS331" s="623"/>
      <c r="DT331" s="623"/>
      <c r="DU331" s="623"/>
      <c r="DV331" s="1675"/>
    </row>
    <row r="332" spans="1:256" s="678" customFormat="1" ht="17.25" hidden="1" customHeight="1">
      <c r="A332" s="1676"/>
      <c r="B332" s="550"/>
      <c r="C332" s="550"/>
      <c r="D332" s="550"/>
      <c r="E332" s="550"/>
      <c r="F332" s="550"/>
      <c r="G332" s="550"/>
      <c r="H332" s="550"/>
      <c r="I332" s="550"/>
      <c r="J332" s="676"/>
      <c r="K332" s="550"/>
      <c r="L332" s="550"/>
      <c r="M332" s="550"/>
      <c r="N332" s="550"/>
      <c r="O332" s="439"/>
      <c r="P332" s="439"/>
      <c r="Q332" s="674"/>
      <c r="R332" s="671"/>
      <c r="S332" s="671"/>
      <c r="T332" s="671"/>
      <c r="U332" s="671"/>
      <c r="V332" s="671"/>
      <c r="W332" s="671"/>
      <c r="X332" s="671"/>
      <c r="Y332" s="671"/>
      <c r="Z332" s="671"/>
      <c r="AA332" s="671"/>
      <c r="AB332" s="671"/>
      <c r="AC332" s="671"/>
      <c r="AD332" s="671"/>
      <c r="AE332" s="623"/>
      <c r="AF332" s="623"/>
      <c r="AG332" s="623"/>
      <c r="AH332" s="623"/>
      <c r="AI332" s="623"/>
      <c r="AJ332" s="623"/>
      <c r="AK332" s="623"/>
      <c r="AL332" s="623"/>
      <c r="AM332" s="623"/>
      <c r="AN332" s="623"/>
      <c r="AO332" s="623"/>
      <c r="AP332" s="623"/>
      <c r="AQ332" s="623"/>
      <c r="AR332" s="623"/>
      <c r="AS332" s="623"/>
      <c r="AT332" s="623"/>
      <c r="AU332" s="623"/>
      <c r="AV332" s="623"/>
      <c r="AW332" s="623"/>
      <c r="AX332" s="623"/>
      <c r="AY332" s="623"/>
      <c r="AZ332" s="623"/>
      <c r="BA332" s="623"/>
      <c r="BB332" s="623"/>
      <c r="BC332" s="623"/>
      <c r="BD332" s="623"/>
      <c r="BE332" s="623"/>
      <c r="BF332" s="623"/>
      <c r="BG332" s="623"/>
      <c r="BH332" s="623"/>
      <c r="BI332" s="623"/>
      <c r="BJ332" s="623"/>
      <c r="BK332" s="623"/>
      <c r="BL332" s="623"/>
      <c r="BM332" s="623"/>
      <c r="BN332" s="623"/>
      <c r="BO332" s="623"/>
      <c r="BP332" s="623"/>
      <c r="BQ332" s="623"/>
      <c r="BR332" s="623"/>
      <c r="BS332" s="623"/>
      <c r="BT332" s="623"/>
      <c r="BU332" s="623"/>
      <c r="BV332" s="623"/>
      <c r="BW332" s="623"/>
      <c r="BX332" s="623"/>
      <c r="BY332" s="623"/>
      <c r="BZ332" s="623"/>
      <c r="CA332" s="623"/>
      <c r="CB332" s="623"/>
      <c r="CC332" s="623"/>
      <c r="CD332" s="623"/>
      <c r="CE332" s="1669"/>
      <c r="CF332" s="623"/>
      <c r="CG332" s="623"/>
      <c r="CH332" s="623"/>
      <c r="CI332" s="623"/>
      <c r="CJ332" s="623"/>
      <c r="CK332" s="623"/>
      <c r="CL332" s="623"/>
      <c r="CM332" s="623"/>
      <c r="CN332" s="623"/>
      <c r="CO332" s="623"/>
      <c r="CP332" s="623"/>
      <c r="CQ332" s="623"/>
      <c r="CR332" s="623"/>
      <c r="CS332" s="623"/>
      <c r="CT332" s="623"/>
      <c r="CU332" s="623"/>
      <c r="CV332" s="623"/>
      <c r="CW332" s="623"/>
      <c r="CX332" s="623"/>
      <c r="CY332" s="817"/>
      <c r="CZ332" s="623"/>
      <c r="DA332" s="623"/>
      <c r="DB332" s="623"/>
      <c r="DC332" s="623"/>
      <c r="DD332" s="623"/>
      <c r="DE332" s="623"/>
      <c r="DF332" s="623"/>
      <c r="DG332" s="623"/>
      <c r="DH332" s="623"/>
      <c r="DI332" s="623"/>
      <c r="DJ332" s="623"/>
      <c r="DK332" s="623"/>
      <c r="DL332" s="623"/>
      <c r="DM332" s="623"/>
      <c r="DN332" s="623"/>
      <c r="DO332" s="623"/>
      <c r="DP332" s="623"/>
      <c r="DQ332" s="623"/>
      <c r="DR332" s="623"/>
      <c r="DS332" s="623"/>
      <c r="DT332" s="623"/>
      <c r="DU332" s="623"/>
      <c r="DV332" s="1675"/>
      <c r="DW332" s="530"/>
      <c r="DX332" s="530"/>
      <c r="DY332" s="530"/>
      <c r="DZ332" s="530"/>
      <c r="EA332" s="530"/>
      <c r="EB332" s="530"/>
      <c r="EC332" s="530"/>
      <c r="ED332" s="530"/>
      <c r="EE332" s="530"/>
      <c r="EF332" s="530"/>
      <c r="EG332" s="530"/>
      <c r="EH332" s="530"/>
      <c r="EI332" s="530"/>
      <c r="EJ332" s="530"/>
      <c r="EK332" s="530"/>
      <c r="EL332" s="530"/>
      <c r="EM332" s="530"/>
      <c r="EN332" s="530"/>
      <c r="EO332" s="530"/>
      <c r="EP332" s="530"/>
      <c r="EQ332" s="530"/>
      <c r="ER332" s="530"/>
      <c r="ES332" s="530"/>
      <c r="ET332" s="530"/>
      <c r="EU332" s="530"/>
      <c r="EV332" s="530"/>
      <c r="EW332" s="530"/>
      <c r="EX332" s="530"/>
      <c r="EY332" s="530"/>
      <c r="EZ332" s="530"/>
      <c r="FA332" s="530"/>
      <c r="FB332" s="530"/>
      <c r="FC332" s="530"/>
      <c r="FD332" s="530"/>
      <c r="FE332" s="530"/>
      <c r="FF332" s="530"/>
      <c r="FG332" s="530"/>
      <c r="FH332" s="530"/>
      <c r="FI332" s="530"/>
      <c r="FJ332" s="530"/>
      <c r="FK332" s="530"/>
      <c r="FL332" s="530"/>
      <c r="FM332" s="530"/>
      <c r="FN332" s="530"/>
      <c r="FO332" s="530"/>
      <c r="FP332" s="530"/>
      <c r="FQ332" s="530"/>
      <c r="FR332" s="530"/>
      <c r="FS332" s="530"/>
      <c r="FT332" s="530"/>
      <c r="FU332" s="530"/>
      <c r="FV332" s="530"/>
      <c r="FW332" s="530"/>
      <c r="FX332" s="530"/>
      <c r="FY332" s="530"/>
      <c r="FZ332" s="530"/>
      <c r="GA332" s="530"/>
      <c r="GB332" s="530"/>
      <c r="GC332" s="530"/>
      <c r="GD332" s="530"/>
      <c r="GE332" s="530"/>
      <c r="GF332" s="530"/>
      <c r="GG332" s="530"/>
      <c r="GH332" s="530"/>
      <c r="GI332" s="530"/>
      <c r="GJ332" s="530"/>
      <c r="GK332" s="530"/>
      <c r="GL332" s="530"/>
      <c r="GM332" s="530"/>
      <c r="GN332" s="530"/>
      <c r="GO332" s="530"/>
      <c r="GP332" s="530"/>
      <c r="GQ332" s="530"/>
      <c r="GR332" s="530"/>
      <c r="GS332" s="530"/>
      <c r="GT332" s="530"/>
      <c r="GU332" s="530"/>
      <c r="GV332" s="530"/>
      <c r="GW332" s="530"/>
      <c r="GX332" s="530"/>
      <c r="GY332" s="530"/>
      <c r="GZ332" s="530"/>
      <c r="HA332" s="530"/>
      <c r="HB332" s="530"/>
      <c r="HC332" s="530"/>
      <c r="HD332" s="530"/>
      <c r="HE332" s="530"/>
      <c r="HF332" s="530"/>
      <c r="HG332" s="530"/>
      <c r="HH332" s="530"/>
      <c r="HI332" s="530"/>
      <c r="HJ332" s="530"/>
      <c r="HK332" s="530"/>
      <c r="HL332" s="530"/>
      <c r="HM332" s="530"/>
      <c r="HN332" s="530"/>
      <c r="HO332" s="530"/>
      <c r="HP332" s="530"/>
      <c r="HQ332" s="530"/>
      <c r="HR332" s="530"/>
      <c r="HS332" s="530"/>
      <c r="HT332" s="530"/>
      <c r="HU332" s="530"/>
      <c r="HV332" s="530"/>
      <c r="HW332" s="530"/>
      <c r="HX332" s="530"/>
      <c r="HY332" s="530"/>
      <c r="HZ332" s="530"/>
      <c r="IA332" s="530"/>
      <c r="IB332" s="530"/>
      <c r="IC332" s="530"/>
      <c r="ID332" s="530"/>
      <c r="IE332" s="530"/>
      <c r="IF332" s="530"/>
      <c r="IG332" s="530"/>
      <c r="IH332" s="530"/>
      <c r="II332" s="530"/>
      <c r="IJ332" s="530"/>
      <c r="IK332" s="530"/>
      <c r="IL332" s="530"/>
      <c r="IM332" s="530"/>
      <c r="IN332" s="530"/>
      <c r="IO332" s="530"/>
      <c r="IP332" s="530"/>
      <c r="IQ332" s="530"/>
      <c r="IR332" s="530"/>
      <c r="IS332" s="530"/>
      <c r="IT332" s="530"/>
      <c r="IU332" s="530"/>
      <c r="IV332" s="530"/>
    </row>
    <row r="333" spans="1:256" s="717" customFormat="1" ht="18.75" hidden="1" customHeight="1">
      <c r="A333" s="1713"/>
      <c r="B333" s="1714"/>
      <c r="C333" s="1713"/>
      <c r="D333" s="1713"/>
      <c r="E333" s="1713"/>
      <c r="F333" s="1713"/>
      <c r="G333" s="1713"/>
      <c r="H333" s="1713"/>
      <c r="I333" s="1713"/>
      <c r="J333" s="1713"/>
      <c r="K333" s="1713"/>
      <c r="L333" s="1713"/>
      <c r="M333" s="1713"/>
      <c r="N333" s="1713"/>
      <c r="O333" s="1713"/>
      <c r="P333" s="1713"/>
      <c r="Q333" s="1713"/>
      <c r="R333" s="1713"/>
      <c r="S333" s="1713"/>
      <c r="T333" s="1713"/>
      <c r="U333" s="1713"/>
      <c r="V333" s="1713"/>
      <c r="W333" s="1713"/>
      <c r="X333" s="1713"/>
      <c r="Y333" s="1713"/>
      <c r="Z333" s="1713"/>
      <c r="AA333" s="1713"/>
      <c r="AB333" s="1713"/>
      <c r="AC333" s="1713"/>
      <c r="AD333" s="1713"/>
      <c r="AE333" s="1713"/>
      <c r="AF333" s="1713"/>
      <c r="AG333" s="1713"/>
      <c r="AH333" s="1713"/>
      <c r="AI333" s="1713"/>
      <c r="AJ333" s="1713"/>
      <c r="AK333" s="1713"/>
      <c r="AL333" s="1713"/>
      <c r="AM333" s="1713"/>
      <c r="AN333" s="1713"/>
      <c r="AO333" s="1713"/>
      <c r="AP333" s="1713"/>
      <c r="AQ333" s="1713"/>
      <c r="AR333" s="1713"/>
      <c r="AS333" s="1713"/>
      <c r="AT333" s="1713"/>
      <c r="AU333" s="1713"/>
      <c r="AV333" s="1713"/>
      <c r="AW333" s="1713"/>
      <c r="AX333" s="1713"/>
      <c r="AY333" s="1713"/>
      <c r="AZ333" s="1713"/>
      <c r="BA333" s="1713"/>
      <c r="BB333" s="1713"/>
      <c r="BC333" s="1713"/>
      <c r="BD333" s="1713"/>
      <c r="BE333" s="1713"/>
      <c r="BF333" s="1713"/>
      <c r="BG333" s="1713"/>
      <c r="BH333" s="1713"/>
      <c r="BI333" s="1713"/>
      <c r="BJ333" s="1713"/>
      <c r="BK333" s="1713"/>
      <c r="BL333" s="1713"/>
      <c r="BM333" s="1713"/>
      <c r="BN333" s="1713"/>
      <c r="BO333" s="1713"/>
      <c r="BP333" s="1713"/>
      <c r="BQ333" s="1713"/>
      <c r="BR333" s="1713"/>
      <c r="BS333" s="1713"/>
      <c r="BT333" s="1713"/>
      <c r="BU333" s="1713"/>
      <c r="BV333" s="1713"/>
      <c r="BW333" s="1713"/>
      <c r="BX333" s="1713"/>
      <c r="BY333" s="1713"/>
      <c r="BZ333" s="1713"/>
      <c r="CA333" s="1713"/>
      <c r="CB333" s="1713"/>
      <c r="CC333" s="1713"/>
      <c r="CD333" s="1713"/>
      <c r="CE333" s="1669"/>
      <c r="CF333" s="1713"/>
      <c r="CG333" s="1713"/>
      <c r="CH333" s="1713"/>
      <c r="CI333" s="1713"/>
      <c r="CJ333" s="1713"/>
      <c r="CK333" s="1713"/>
      <c r="CL333" s="1713"/>
      <c r="CM333" s="1713"/>
      <c r="CN333" s="1713"/>
      <c r="CO333" s="1713"/>
      <c r="CP333" s="1713"/>
      <c r="CQ333" s="1713"/>
      <c r="CR333" s="1713"/>
      <c r="CS333" s="1713"/>
      <c r="CT333" s="1713"/>
      <c r="CU333" s="1713"/>
      <c r="CV333" s="1713"/>
      <c r="CW333" s="1713"/>
      <c r="CX333" s="1713"/>
      <c r="CY333" s="1680"/>
      <c r="CZ333" s="1713"/>
      <c r="DA333" s="1713"/>
      <c r="DB333" s="1713"/>
      <c r="DC333" s="1713"/>
      <c r="DD333" s="1713"/>
      <c r="DE333" s="1713"/>
      <c r="DF333" s="1713"/>
      <c r="DG333" s="1713"/>
      <c r="DH333" s="1713"/>
      <c r="DI333" s="1713"/>
      <c r="DJ333" s="1713"/>
      <c r="DK333" s="1713"/>
      <c r="DL333" s="1713"/>
      <c r="DM333" s="1713"/>
      <c r="DN333" s="1713"/>
      <c r="DO333" s="1713"/>
      <c r="DP333" s="1713"/>
      <c r="DQ333" s="1713"/>
      <c r="DR333" s="1713"/>
      <c r="DS333" s="1713"/>
      <c r="DT333" s="1713"/>
      <c r="DU333" s="1715"/>
      <c r="DV333" s="1716"/>
    </row>
    <row r="334" spans="1:256" s="553" customFormat="1" ht="18.75" hidden="1" customHeight="1">
      <c r="A334" s="1717"/>
      <c r="B334" s="1717"/>
      <c r="C334" s="1703"/>
      <c r="D334" s="1703"/>
      <c r="E334" s="1703"/>
      <c r="F334" s="1703"/>
      <c r="G334" s="1703"/>
      <c r="H334" s="1703"/>
      <c r="I334" s="1703"/>
      <c r="J334" s="1703"/>
      <c r="K334" s="1703"/>
      <c r="L334" s="1703"/>
      <c r="M334" s="1703"/>
      <c r="N334" s="1703"/>
      <c r="O334" s="1703"/>
      <c r="P334" s="1703"/>
      <c r="Q334" s="1703"/>
      <c r="R334" s="1703"/>
      <c r="S334" s="1703"/>
      <c r="T334" s="1703"/>
      <c r="U334" s="1703"/>
      <c r="V334" s="1703"/>
      <c r="W334" s="1703"/>
      <c r="X334" s="1703"/>
      <c r="Y334" s="1703"/>
      <c r="Z334" s="1703"/>
      <c r="AA334" s="1703"/>
      <c r="AB334" s="1703"/>
      <c r="AC334" s="1703"/>
      <c r="AD334" s="1703"/>
      <c r="AE334" s="1703"/>
      <c r="AF334" s="1703"/>
      <c r="AG334" s="1703"/>
      <c r="AH334" s="1703"/>
      <c r="AI334" s="1703"/>
      <c r="AJ334" s="1703"/>
      <c r="AK334" s="1703"/>
      <c r="AL334" s="1703"/>
      <c r="AM334" s="1703"/>
      <c r="AN334" s="1703"/>
      <c r="AO334" s="1703"/>
      <c r="AP334" s="1703"/>
      <c r="AQ334" s="1703"/>
      <c r="AR334" s="1703"/>
      <c r="AS334" s="1703"/>
      <c r="AT334" s="1703"/>
      <c r="AU334" s="1703"/>
      <c r="AV334" s="1703"/>
      <c r="AW334" s="1703"/>
      <c r="AX334" s="1703"/>
      <c r="AY334" s="1703"/>
      <c r="AZ334" s="1703"/>
      <c r="BA334" s="1703"/>
      <c r="BB334" s="1703"/>
      <c r="BC334" s="1703"/>
      <c r="BD334" s="1703"/>
      <c r="BE334" s="1703"/>
      <c r="BF334" s="1703"/>
      <c r="BG334" s="1703"/>
      <c r="BH334" s="1703"/>
      <c r="BI334" s="1703"/>
      <c r="BJ334" s="1703"/>
      <c r="BK334" s="1703"/>
      <c r="BL334" s="1703"/>
      <c r="BM334" s="1703"/>
      <c r="BN334" s="1703"/>
      <c r="BO334" s="1703"/>
      <c r="BP334" s="1703"/>
      <c r="BQ334" s="1703"/>
      <c r="BR334" s="1703"/>
      <c r="BS334" s="1703"/>
      <c r="BT334" s="1703"/>
      <c r="BU334" s="1703"/>
      <c r="BV334" s="1703"/>
      <c r="BW334" s="1703"/>
      <c r="BX334" s="1703"/>
      <c r="BY334" s="1703"/>
      <c r="BZ334" s="1703"/>
      <c r="CA334" s="1703"/>
      <c r="CB334" s="1703"/>
      <c r="CC334" s="1703"/>
      <c r="CD334" s="1703"/>
      <c r="CE334" s="1669"/>
      <c r="CF334" s="1703"/>
      <c r="CG334" s="1703"/>
      <c r="CH334" s="1703"/>
      <c r="CI334" s="1703"/>
      <c r="CJ334" s="1703"/>
      <c r="CK334" s="1703"/>
      <c r="CL334" s="1703"/>
      <c r="CM334" s="1703"/>
      <c r="CN334" s="1703"/>
      <c r="CO334" s="1703"/>
      <c r="CP334" s="1703"/>
      <c r="CQ334" s="1703"/>
      <c r="CR334" s="1703"/>
      <c r="CS334" s="1703"/>
      <c r="CT334" s="1703"/>
      <c r="CU334" s="1703"/>
      <c r="CV334" s="1703"/>
      <c r="CW334" s="1703"/>
      <c r="CX334" s="1703"/>
      <c r="CY334" s="1718"/>
      <c r="CZ334" s="1703"/>
      <c r="DA334" s="1703"/>
      <c r="DB334" s="1703"/>
      <c r="DC334" s="1703"/>
      <c r="DD334" s="1703"/>
      <c r="DE334" s="1703"/>
      <c r="DF334" s="1703"/>
      <c r="DG334" s="1703"/>
      <c r="DH334" s="1703"/>
      <c r="DI334" s="1703"/>
      <c r="DJ334" s="1703"/>
      <c r="DK334" s="1703"/>
      <c r="DL334" s="1703"/>
      <c r="DM334" s="1703"/>
      <c r="DN334" s="1703"/>
      <c r="DO334" s="1703"/>
      <c r="DP334" s="1703"/>
      <c r="DQ334" s="1703"/>
      <c r="DR334" s="1703"/>
      <c r="DS334" s="1703"/>
      <c r="DT334" s="1703"/>
      <c r="DU334" s="1703"/>
      <c r="DV334" s="1706"/>
      <c r="IR334" s="530"/>
      <c r="IS334" s="530"/>
      <c r="IT334" s="530"/>
      <c r="IU334" s="530"/>
      <c r="IV334" s="530"/>
    </row>
    <row r="335" spans="1:256" ht="18.75" hidden="1" customHeight="1">
      <c r="A335" s="1719"/>
      <c r="B335" s="1720"/>
      <c r="C335" s="1721"/>
      <c r="D335" s="1721"/>
      <c r="E335" s="1721"/>
      <c r="F335" s="1721"/>
      <c r="G335" s="1721"/>
      <c r="H335" s="1721"/>
      <c r="I335" s="1721"/>
      <c r="J335" s="1721"/>
      <c r="K335" s="1721"/>
      <c r="L335" s="1721"/>
      <c r="M335" s="1721"/>
      <c r="N335" s="1721"/>
      <c r="O335" s="1721"/>
      <c r="P335" s="1721"/>
      <c r="Q335" s="1721"/>
      <c r="R335" s="1721"/>
      <c r="S335" s="1721"/>
      <c r="T335" s="1721"/>
      <c r="U335" s="1721"/>
      <c r="V335" s="1721"/>
      <c r="W335" s="1721"/>
      <c r="X335" s="1721"/>
      <c r="Y335" s="1721"/>
      <c r="Z335" s="1721"/>
      <c r="AA335" s="1721"/>
      <c r="AB335" s="1721"/>
      <c r="AC335" s="1721"/>
      <c r="AD335" s="1721"/>
      <c r="AE335" s="1721"/>
      <c r="AF335" s="1721"/>
      <c r="AG335" s="1721"/>
      <c r="AH335" s="1721"/>
      <c r="AI335" s="1721"/>
      <c r="AJ335" s="1721"/>
      <c r="AK335" s="1721"/>
      <c r="AL335" s="1721"/>
      <c r="AM335" s="1721"/>
      <c r="AN335" s="1721"/>
      <c r="AO335" s="1721"/>
      <c r="AP335" s="1721"/>
      <c r="AQ335" s="1721"/>
      <c r="AR335" s="1721"/>
      <c r="AS335" s="1721"/>
      <c r="AT335" s="1721"/>
      <c r="AU335" s="1721"/>
      <c r="AV335" s="1721"/>
      <c r="AW335" s="1721"/>
      <c r="AX335" s="1721"/>
      <c r="AY335" s="1721"/>
      <c r="AZ335" s="1721"/>
      <c r="BA335" s="1721"/>
      <c r="BB335" s="1721"/>
      <c r="BC335" s="1721"/>
      <c r="BD335" s="1721"/>
      <c r="BE335" s="1721"/>
      <c r="BF335" s="1721"/>
      <c r="BG335" s="1721"/>
      <c r="BH335" s="1721"/>
      <c r="BI335" s="1721"/>
      <c r="BJ335" s="1721"/>
      <c r="BK335" s="1721"/>
      <c r="BL335" s="1721"/>
      <c r="BM335" s="1721"/>
      <c r="BN335" s="1721"/>
      <c r="BO335" s="1721"/>
      <c r="BP335" s="1721"/>
      <c r="BQ335" s="1721"/>
      <c r="BR335" s="1721"/>
      <c r="BS335" s="1721"/>
      <c r="BT335" s="1721"/>
      <c r="BU335" s="1721"/>
      <c r="BV335" s="1721"/>
      <c r="BW335" s="1721"/>
      <c r="BX335" s="1721"/>
      <c r="BY335" s="1721"/>
      <c r="BZ335" s="1721"/>
      <c r="CA335" s="1721"/>
      <c r="CB335" s="1721"/>
      <c r="CC335" s="1721"/>
      <c r="CD335" s="1721"/>
      <c r="CE335" s="1722"/>
      <c r="CF335" s="1721"/>
      <c r="CG335" s="1721"/>
      <c r="CH335" s="1721"/>
      <c r="CI335" s="1721"/>
      <c r="CJ335" s="1721"/>
      <c r="CK335" s="1721"/>
      <c r="CL335" s="1721"/>
      <c r="CM335" s="1721"/>
      <c r="CN335" s="1721"/>
      <c r="CO335" s="1721"/>
      <c r="CP335" s="1721"/>
      <c r="CQ335" s="1721"/>
      <c r="CR335" s="1721"/>
      <c r="CS335" s="1721"/>
      <c r="CT335" s="1721"/>
      <c r="CU335" s="1721"/>
      <c r="CV335" s="1721"/>
      <c r="CW335" s="1721"/>
      <c r="CX335" s="1721"/>
      <c r="CY335" s="1723"/>
      <c r="CZ335" s="1721"/>
      <c r="DA335" s="1721"/>
      <c r="DB335" s="1721"/>
      <c r="DC335" s="1721"/>
      <c r="DD335" s="1721"/>
      <c r="DE335" s="1721"/>
      <c r="DF335" s="1721"/>
      <c r="DG335" s="1721"/>
      <c r="DH335" s="1721"/>
      <c r="DI335" s="1721"/>
      <c r="DJ335" s="1721"/>
      <c r="DK335" s="1721"/>
      <c r="DL335" s="1721"/>
      <c r="DM335" s="1721"/>
      <c r="DN335" s="1721"/>
      <c r="DO335" s="1721"/>
      <c r="DP335" s="1721"/>
      <c r="DQ335" s="1721"/>
      <c r="DR335" s="1721"/>
      <c r="DS335" s="1721"/>
      <c r="DT335" s="1721"/>
      <c r="DU335" s="1721"/>
      <c r="DV335" s="1724"/>
    </row>
    <row r="336" spans="1:256" ht="13.8" hidden="1">
      <c r="A336" s="1657"/>
      <c r="B336" s="1658"/>
      <c r="C336" s="1659"/>
      <c r="D336" s="1660"/>
      <c r="E336" s="1660"/>
      <c r="F336" s="1660"/>
      <c r="G336" s="1660"/>
      <c r="H336" s="1660"/>
      <c r="I336" s="1660"/>
      <c r="J336" s="1660"/>
      <c r="K336" s="1660"/>
      <c r="L336" s="1660"/>
      <c r="M336" s="1660"/>
      <c r="N336" s="1660"/>
      <c r="O336" s="1660"/>
      <c r="P336" s="1660"/>
      <c r="Q336" s="1660"/>
      <c r="R336" s="1660"/>
      <c r="S336" s="1660"/>
      <c r="T336" s="1660"/>
      <c r="U336" s="1660"/>
      <c r="V336" s="1660"/>
      <c r="W336" s="1660"/>
      <c r="X336" s="1660"/>
      <c r="Y336" s="1660"/>
      <c r="Z336" s="1660"/>
      <c r="AA336" s="1660"/>
      <c r="AB336" s="1660"/>
      <c r="AC336" s="1660"/>
      <c r="AD336" s="1660"/>
      <c r="AE336" s="1660"/>
      <c r="AF336" s="1660"/>
      <c r="AG336" s="1660"/>
      <c r="AH336" s="1660"/>
      <c r="AI336" s="1660"/>
      <c r="AJ336" s="1660"/>
      <c r="AK336" s="1660"/>
      <c r="AL336" s="1660"/>
      <c r="AM336" s="1660"/>
      <c r="AN336" s="1660"/>
      <c r="AO336" s="1660"/>
      <c r="AP336" s="1660"/>
      <c r="AQ336" s="1660"/>
      <c r="AR336" s="1660"/>
      <c r="AS336" s="1660"/>
      <c r="AT336" s="1660"/>
      <c r="AU336" s="1660"/>
      <c r="AV336" s="1660"/>
      <c r="AW336" s="1660"/>
      <c r="AX336" s="1660"/>
      <c r="AY336" s="1660"/>
      <c r="AZ336" s="1660"/>
      <c r="BA336" s="1660"/>
      <c r="BB336" s="1660"/>
      <c r="BC336" s="1660"/>
      <c r="BD336" s="1660"/>
      <c r="BE336" s="1660"/>
      <c r="BF336" s="1660"/>
      <c r="BG336" s="1660"/>
      <c r="BH336" s="1660"/>
      <c r="BI336" s="1660"/>
      <c r="BJ336" s="1660"/>
      <c r="BK336" s="1660"/>
      <c r="BL336" s="1660"/>
      <c r="BM336" s="1660"/>
      <c r="BN336" s="1660"/>
      <c r="BO336" s="1660"/>
      <c r="BP336" s="1660"/>
      <c r="BQ336" s="1660"/>
      <c r="BR336" s="1660"/>
      <c r="BS336" s="1660"/>
      <c r="BT336" s="1660"/>
      <c r="BU336" s="1660"/>
      <c r="BV336" s="1660"/>
      <c r="BW336" s="1660"/>
      <c r="BX336" s="1660"/>
      <c r="BY336" s="1660"/>
      <c r="BZ336" s="1660"/>
      <c r="CA336" s="1660"/>
      <c r="CB336" s="1660"/>
      <c r="CC336" s="1660"/>
      <c r="CD336" s="1660"/>
      <c r="CE336" s="753"/>
      <c r="CF336" s="1660"/>
      <c r="CG336" s="1660"/>
      <c r="CH336" s="1660"/>
      <c r="CI336" s="1660"/>
      <c r="CJ336" s="1660"/>
      <c r="CK336" s="1660"/>
      <c r="CL336" s="1660"/>
      <c r="CM336" s="1660"/>
      <c r="CN336" s="1660"/>
      <c r="CO336" s="1660"/>
      <c r="CP336" s="1660"/>
      <c r="CQ336" s="1660"/>
      <c r="CR336" s="1660"/>
      <c r="CS336" s="1660"/>
      <c r="CT336" s="1660"/>
      <c r="CU336" s="1660"/>
      <c r="CV336" s="1660"/>
      <c r="CW336" s="1660"/>
      <c r="CX336" s="1660"/>
      <c r="CY336" s="1661"/>
      <c r="CZ336" s="1660"/>
      <c r="DA336" s="1660"/>
      <c r="DB336" s="1660"/>
      <c r="DC336" s="1660"/>
      <c r="DD336" s="1660"/>
      <c r="DE336" s="1660"/>
      <c r="DF336" s="1660"/>
      <c r="DG336" s="1660"/>
      <c r="DH336" s="1660"/>
      <c r="DI336" s="1660"/>
      <c r="DJ336" s="1660"/>
      <c r="DK336" s="1660"/>
      <c r="DL336" s="1660"/>
      <c r="DM336" s="1660"/>
      <c r="DN336" s="1660"/>
      <c r="DO336" s="1660"/>
      <c r="DP336" s="1660"/>
      <c r="DQ336" s="1660"/>
      <c r="DR336" s="1660"/>
      <c r="DS336" s="1660"/>
      <c r="DT336" s="1660"/>
      <c r="DU336" s="1660"/>
      <c r="DV336" s="705"/>
    </row>
    <row r="337" spans="1:256" ht="13.95" hidden="1" customHeight="1">
      <c r="A337" s="945" t="s">
        <v>4074</v>
      </c>
      <c r="B337" s="725"/>
      <c r="C337" s="726">
        <f>SUM(C7:C335)</f>
        <v>0</v>
      </c>
      <c r="D337" s="726">
        <f t="shared" ref="D337:BO337" si="0">SUM(D7:D335)</f>
        <v>0</v>
      </c>
      <c r="E337" s="726">
        <f t="shared" si="0"/>
        <v>0</v>
      </c>
      <c r="F337" s="726">
        <f t="shared" si="0"/>
        <v>0</v>
      </c>
      <c r="G337" s="726">
        <f t="shared" si="0"/>
        <v>0</v>
      </c>
      <c r="H337" s="726">
        <f t="shared" si="0"/>
        <v>0</v>
      </c>
      <c r="I337" s="726">
        <f t="shared" si="0"/>
        <v>0</v>
      </c>
      <c r="J337" s="726">
        <f t="shared" si="0"/>
        <v>0</v>
      </c>
      <c r="K337" s="726">
        <f t="shared" si="0"/>
        <v>0</v>
      </c>
      <c r="L337" s="726">
        <f>C337</f>
        <v>0</v>
      </c>
      <c r="M337" s="726">
        <f t="shared" si="0"/>
        <v>0</v>
      </c>
      <c r="N337" s="726">
        <f t="shared" si="0"/>
        <v>0</v>
      </c>
      <c r="O337" s="726">
        <f t="shared" si="0"/>
        <v>0</v>
      </c>
      <c r="P337" s="726">
        <f t="shared" si="0"/>
        <v>0</v>
      </c>
      <c r="Q337" s="726">
        <f t="shared" si="0"/>
        <v>0</v>
      </c>
      <c r="R337" s="726">
        <f t="shared" si="0"/>
        <v>0</v>
      </c>
      <c r="S337" s="726">
        <f t="shared" si="0"/>
        <v>0</v>
      </c>
      <c r="T337" s="726">
        <f t="shared" si="0"/>
        <v>0</v>
      </c>
      <c r="U337" s="726">
        <f t="shared" si="0"/>
        <v>0</v>
      </c>
      <c r="V337" s="726">
        <f t="shared" si="0"/>
        <v>0</v>
      </c>
      <c r="W337" s="726">
        <f t="shared" si="0"/>
        <v>0</v>
      </c>
      <c r="X337" s="726">
        <f t="shared" si="0"/>
        <v>0</v>
      </c>
      <c r="Y337" s="726">
        <f t="shared" si="0"/>
        <v>0</v>
      </c>
      <c r="Z337" s="726">
        <f t="shared" si="0"/>
        <v>0</v>
      </c>
      <c r="AA337" s="726">
        <f t="shared" si="0"/>
        <v>0</v>
      </c>
      <c r="AB337" s="726">
        <f t="shared" si="0"/>
        <v>0</v>
      </c>
      <c r="AC337" s="726">
        <f t="shared" si="0"/>
        <v>0</v>
      </c>
      <c r="AD337" s="726">
        <f t="shared" si="0"/>
        <v>0</v>
      </c>
      <c r="AE337" s="726">
        <f t="shared" si="0"/>
        <v>0</v>
      </c>
      <c r="AF337" s="726">
        <f t="shared" si="0"/>
        <v>0</v>
      </c>
      <c r="AG337" s="726">
        <f t="shared" si="0"/>
        <v>0</v>
      </c>
      <c r="AH337" s="726">
        <f t="shared" si="0"/>
        <v>0</v>
      </c>
      <c r="AI337" s="726">
        <f t="shared" si="0"/>
        <v>0</v>
      </c>
      <c r="AJ337" s="726">
        <f t="shared" si="0"/>
        <v>0</v>
      </c>
      <c r="AK337" s="726">
        <f t="shared" si="0"/>
        <v>0</v>
      </c>
      <c r="AL337" s="726">
        <f t="shared" si="0"/>
        <v>0</v>
      </c>
      <c r="AM337" s="726">
        <f t="shared" si="0"/>
        <v>0</v>
      </c>
      <c r="AN337" s="726">
        <f t="shared" si="0"/>
        <v>0</v>
      </c>
      <c r="AO337" s="726">
        <f t="shared" si="0"/>
        <v>0</v>
      </c>
      <c r="AP337" s="726">
        <f t="shared" si="0"/>
        <v>0</v>
      </c>
      <c r="AQ337" s="726">
        <f t="shared" si="0"/>
        <v>0</v>
      </c>
      <c r="AR337" s="726">
        <f t="shared" si="0"/>
        <v>0</v>
      </c>
      <c r="AS337" s="726">
        <f t="shared" si="0"/>
        <v>0</v>
      </c>
      <c r="AT337" s="726">
        <f t="shared" si="0"/>
        <v>0</v>
      </c>
      <c r="AU337" s="726">
        <f t="shared" si="0"/>
        <v>0</v>
      </c>
      <c r="AV337" s="726">
        <f t="shared" si="0"/>
        <v>0</v>
      </c>
      <c r="AW337" s="726">
        <f t="shared" si="0"/>
        <v>0</v>
      </c>
      <c r="AX337" s="726">
        <f t="shared" si="0"/>
        <v>0</v>
      </c>
      <c r="AY337" s="726">
        <f t="shared" si="0"/>
        <v>0</v>
      </c>
      <c r="AZ337" s="726">
        <f t="shared" si="0"/>
        <v>0</v>
      </c>
      <c r="BA337" s="726">
        <f t="shared" si="0"/>
        <v>0</v>
      </c>
      <c r="BB337" s="726">
        <f t="shared" si="0"/>
        <v>0</v>
      </c>
      <c r="BC337" s="726">
        <f t="shared" si="0"/>
        <v>0</v>
      </c>
      <c r="BD337" s="726">
        <f t="shared" si="0"/>
        <v>0</v>
      </c>
      <c r="BE337" s="726">
        <f t="shared" si="0"/>
        <v>0</v>
      </c>
      <c r="BF337" s="726">
        <f t="shared" si="0"/>
        <v>0</v>
      </c>
      <c r="BG337" s="726">
        <f t="shared" si="0"/>
        <v>0</v>
      </c>
      <c r="BH337" s="726">
        <f t="shared" si="0"/>
        <v>0</v>
      </c>
      <c r="BI337" s="726">
        <f t="shared" si="0"/>
        <v>0</v>
      </c>
      <c r="BJ337" s="726">
        <f t="shared" si="0"/>
        <v>0</v>
      </c>
      <c r="BK337" s="726">
        <f t="shared" si="0"/>
        <v>0</v>
      </c>
      <c r="BL337" s="726">
        <f t="shared" si="0"/>
        <v>0</v>
      </c>
      <c r="BM337" s="726">
        <f t="shared" si="0"/>
        <v>0</v>
      </c>
      <c r="BN337" s="726">
        <f t="shared" si="0"/>
        <v>0</v>
      </c>
      <c r="BO337" s="726">
        <f t="shared" si="0"/>
        <v>0</v>
      </c>
      <c r="BP337" s="726">
        <f t="shared" ref="BP337:DV337" si="1">SUM(BP7:BP335)</f>
        <v>0</v>
      </c>
      <c r="BQ337" s="726">
        <f t="shared" si="1"/>
        <v>0</v>
      </c>
      <c r="BR337" s="726">
        <f t="shared" si="1"/>
        <v>0</v>
      </c>
      <c r="BS337" s="726">
        <f t="shared" si="1"/>
        <v>0</v>
      </c>
      <c r="BT337" s="726">
        <f t="shared" si="1"/>
        <v>0</v>
      </c>
      <c r="BU337" s="726">
        <f t="shared" si="1"/>
        <v>0</v>
      </c>
      <c r="BV337" s="726">
        <f t="shared" si="1"/>
        <v>0</v>
      </c>
      <c r="BW337" s="726">
        <f t="shared" si="1"/>
        <v>0</v>
      </c>
      <c r="BX337" s="726">
        <f t="shared" si="1"/>
        <v>0</v>
      </c>
      <c r="BY337" s="726">
        <f t="shared" si="1"/>
        <v>0</v>
      </c>
      <c r="BZ337" s="726">
        <f t="shared" si="1"/>
        <v>0</v>
      </c>
      <c r="CA337" s="726">
        <f t="shared" si="1"/>
        <v>0</v>
      </c>
      <c r="CB337" s="726">
        <f t="shared" si="1"/>
        <v>0</v>
      </c>
      <c r="CC337" s="726">
        <f t="shared" si="1"/>
        <v>0</v>
      </c>
      <c r="CD337" s="726">
        <f t="shared" si="1"/>
        <v>0</v>
      </c>
      <c r="CE337" s="726">
        <f t="shared" si="1"/>
        <v>0</v>
      </c>
      <c r="CF337" s="726">
        <f t="shared" si="1"/>
        <v>0</v>
      </c>
      <c r="CG337" s="726">
        <f t="shared" si="1"/>
        <v>0</v>
      </c>
      <c r="CH337" s="726">
        <f t="shared" si="1"/>
        <v>0</v>
      </c>
      <c r="CI337" s="726">
        <f t="shared" si="1"/>
        <v>0</v>
      </c>
      <c r="CJ337" s="726">
        <f t="shared" si="1"/>
        <v>0</v>
      </c>
      <c r="CK337" s="726">
        <f t="shared" si="1"/>
        <v>0</v>
      </c>
      <c r="CL337" s="726">
        <f t="shared" si="1"/>
        <v>0</v>
      </c>
      <c r="CM337" s="726">
        <f t="shared" si="1"/>
        <v>0</v>
      </c>
      <c r="CN337" s="726">
        <f t="shared" si="1"/>
        <v>0</v>
      </c>
      <c r="CO337" s="726">
        <f t="shared" si="1"/>
        <v>0</v>
      </c>
      <c r="CP337" s="726">
        <f t="shared" si="1"/>
        <v>0</v>
      </c>
      <c r="CQ337" s="726">
        <f t="shared" si="1"/>
        <v>0</v>
      </c>
      <c r="CR337" s="726">
        <f t="shared" si="1"/>
        <v>0</v>
      </c>
      <c r="CS337" s="726">
        <f t="shared" si="1"/>
        <v>0</v>
      </c>
      <c r="CT337" s="726">
        <f t="shared" si="1"/>
        <v>0</v>
      </c>
      <c r="CU337" s="726">
        <f t="shared" si="1"/>
        <v>0</v>
      </c>
      <c r="CV337" s="726">
        <f t="shared" si="1"/>
        <v>0</v>
      </c>
      <c r="CW337" s="726">
        <f t="shared" si="1"/>
        <v>0</v>
      </c>
      <c r="CX337" s="726">
        <f t="shared" si="1"/>
        <v>0</v>
      </c>
      <c r="CY337" s="726">
        <f t="shared" si="1"/>
        <v>0</v>
      </c>
      <c r="CZ337" s="726">
        <f t="shared" si="1"/>
        <v>0</v>
      </c>
      <c r="DA337" s="726">
        <f t="shared" si="1"/>
        <v>0</v>
      </c>
      <c r="DB337" s="726">
        <f t="shared" si="1"/>
        <v>0</v>
      </c>
      <c r="DC337" s="726">
        <f t="shared" si="1"/>
        <v>0</v>
      </c>
      <c r="DD337" s="726">
        <f t="shared" si="1"/>
        <v>0</v>
      </c>
      <c r="DE337" s="726">
        <f t="shared" si="1"/>
        <v>0</v>
      </c>
      <c r="DF337" s="726">
        <f t="shared" si="1"/>
        <v>0</v>
      </c>
      <c r="DG337" s="726">
        <f t="shared" si="1"/>
        <v>0</v>
      </c>
      <c r="DH337" s="726">
        <f t="shared" si="1"/>
        <v>0</v>
      </c>
      <c r="DI337" s="726">
        <f t="shared" si="1"/>
        <v>0</v>
      </c>
      <c r="DJ337" s="726">
        <f t="shared" si="1"/>
        <v>0</v>
      </c>
      <c r="DK337" s="726">
        <f t="shared" si="1"/>
        <v>0</v>
      </c>
      <c r="DL337" s="726">
        <f t="shared" si="1"/>
        <v>0</v>
      </c>
      <c r="DM337" s="726">
        <f t="shared" si="1"/>
        <v>0</v>
      </c>
      <c r="DN337" s="726">
        <f t="shared" si="1"/>
        <v>0</v>
      </c>
      <c r="DO337" s="726">
        <f t="shared" si="1"/>
        <v>0</v>
      </c>
      <c r="DP337" s="726">
        <f t="shared" si="1"/>
        <v>0</v>
      </c>
      <c r="DQ337" s="726">
        <f t="shared" si="1"/>
        <v>0</v>
      </c>
      <c r="DR337" s="726">
        <f t="shared" si="1"/>
        <v>0</v>
      </c>
      <c r="DS337" s="726">
        <f t="shared" si="1"/>
        <v>0</v>
      </c>
      <c r="DT337" s="726">
        <f t="shared" si="1"/>
        <v>0</v>
      </c>
      <c r="DU337" s="726">
        <f t="shared" si="1"/>
        <v>0</v>
      </c>
      <c r="DV337" s="726">
        <f t="shared" si="1"/>
        <v>0</v>
      </c>
    </row>
    <row r="338" spans="1:256" s="590" customFormat="1" ht="13.8" hidden="1">
      <c r="A338" s="729"/>
      <c r="B338" s="730"/>
      <c r="C338" s="731"/>
      <c r="D338" s="732"/>
      <c r="E338" s="732"/>
      <c r="F338" s="732"/>
      <c r="G338" s="732"/>
      <c r="H338" s="732"/>
      <c r="I338" s="732"/>
      <c r="J338" s="732"/>
      <c r="K338" s="732"/>
      <c r="L338" s="732"/>
      <c r="M338" s="732"/>
      <c r="N338" s="732"/>
      <c r="O338" s="730"/>
      <c r="P338" s="730"/>
      <c r="Q338" s="730"/>
      <c r="R338" s="733"/>
      <c r="S338" s="733"/>
      <c r="T338" s="733"/>
      <c r="U338" s="733"/>
      <c r="V338" s="733"/>
      <c r="W338" s="734"/>
      <c r="X338" s="734"/>
      <c r="Y338" s="734"/>
      <c r="Z338" s="734"/>
      <c r="AA338" s="734"/>
      <c r="AB338" s="734"/>
      <c r="AC338" s="734"/>
      <c r="AD338" s="734"/>
      <c r="AE338" s="734"/>
      <c r="AF338" s="734"/>
      <c r="AG338" s="734"/>
      <c r="AH338" s="734"/>
      <c r="AI338" s="734"/>
      <c r="AJ338" s="734"/>
      <c r="AK338" s="734"/>
      <c r="AL338" s="734"/>
      <c r="AM338" s="734"/>
      <c r="AN338" s="734"/>
      <c r="AO338" s="734"/>
      <c r="AP338" s="734"/>
      <c r="AQ338" s="734"/>
      <c r="AR338" s="734"/>
      <c r="AS338" s="734"/>
      <c r="AT338" s="734"/>
      <c r="AU338" s="734"/>
      <c r="AV338" s="734"/>
      <c r="AW338" s="734"/>
      <c r="AX338" s="734"/>
      <c r="AY338" s="734"/>
      <c r="AZ338" s="734"/>
      <c r="BA338" s="734"/>
      <c r="BB338" s="734"/>
      <c r="BC338" s="734"/>
      <c r="BD338" s="734"/>
      <c r="BE338" s="734"/>
      <c r="BF338" s="734"/>
      <c r="BG338" s="734"/>
      <c r="BH338" s="734"/>
      <c r="BI338" s="734"/>
      <c r="BJ338" s="734"/>
      <c r="BK338" s="734"/>
      <c r="BL338" s="734"/>
      <c r="BM338" s="734"/>
      <c r="BN338" s="734"/>
      <c r="BO338" s="734"/>
      <c r="BP338" s="734"/>
      <c r="BQ338" s="734"/>
      <c r="BR338" s="734"/>
      <c r="BS338" s="734"/>
      <c r="BT338" s="734"/>
      <c r="BU338" s="734"/>
      <c r="BV338" s="734"/>
      <c r="BW338" s="733"/>
      <c r="BX338" s="733"/>
      <c r="BY338" s="733"/>
      <c r="BZ338" s="733"/>
      <c r="CA338" s="733"/>
      <c r="CB338" s="733"/>
      <c r="CC338" s="733"/>
      <c r="CD338" s="733"/>
      <c r="CE338" s="733"/>
      <c r="CF338" s="733"/>
      <c r="CG338" s="733"/>
      <c r="CH338" s="733"/>
      <c r="CI338" s="733"/>
      <c r="CJ338" s="733"/>
      <c r="CK338" s="733"/>
      <c r="CL338" s="733"/>
      <c r="CM338" s="733"/>
      <c r="CN338" s="733"/>
      <c r="CO338" s="733"/>
      <c r="CP338" s="733"/>
      <c r="CQ338" s="733"/>
      <c r="CR338" s="733"/>
      <c r="CS338" s="733"/>
      <c r="CT338" s="733"/>
      <c r="CU338" s="733"/>
      <c r="CV338" s="733"/>
      <c r="CW338" s="733"/>
      <c r="CX338" s="733"/>
      <c r="CY338" s="820"/>
      <c r="CZ338" s="733"/>
      <c r="DA338" s="733"/>
      <c r="DB338" s="733"/>
      <c r="DC338" s="733"/>
      <c r="DD338" s="733"/>
      <c r="DE338" s="733"/>
      <c r="DF338" s="733"/>
      <c r="DG338" s="733"/>
      <c r="DH338" s="733"/>
      <c r="DI338" s="733"/>
      <c r="DJ338" s="733"/>
      <c r="DK338" s="733"/>
      <c r="DL338" s="733"/>
      <c r="DM338" s="733"/>
      <c r="DN338" s="733"/>
      <c r="DO338" s="733"/>
      <c r="DP338" s="733"/>
      <c r="DQ338" s="733"/>
      <c r="DR338" s="733"/>
      <c r="DS338" s="733"/>
      <c r="DT338" s="733"/>
      <c r="DU338" s="733"/>
      <c r="DV338" s="705"/>
      <c r="IR338" s="530"/>
      <c r="IS338" s="530"/>
      <c r="IT338" s="530"/>
      <c r="IU338" s="530"/>
      <c r="IV338" s="530"/>
    </row>
    <row r="339" spans="1:256" ht="18.75" hidden="1" customHeight="1">
      <c r="A339" s="662" t="s">
        <v>4058</v>
      </c>
      <c r="B339" s="735"/>
      <c r="C339" s="736"/>
      <c r="D339" s="737"/>
      <c r="E339" s="737"/>
      <c r="F339" s="737"/>
      <c r="G339" s="737"/>
      <c r="H339" s="737"/>
      <c r="I339" s="737"/>
      <c r="J339" s="737"/>
      <c r="K339" s="738"/>
      <c r="L339" s="738"/>
      <c r="M339" s="738"/>
      <c r="N339" s="738"/>
      <c r="O339" s="738"/>
      <c r="P339" s="738"/>
      <c r="Q339" s="738"/>
      <c r="R339" s="739"/>
      <c r="S339" s="739"/>
      <c r="T339" s="739"/>
      <c r="U339" s="739"/>
      <c r="V339" s="739"/>
      <c r="W339" s="739"/>
      <c r="X339" s="739"/>
      <c r="Y339" s="739"/>
      <c r="Z339" s="739"/>
      <c r="AA339" s="739"/>
      <c r="AB339" s="739"/>
      <c r="AC339" s="739"/>
      <c r="AD339" s="739"/>
      <c r="AE339" s="739"/>
      <c r="AF339" s="739"/>
      <c r="AG339" s="739"/>
      <c r="AH339" s="739"/>
      <c r="AI339" s="739"/>
      <c r="AJ339" s="739"/>
      <c r="AK339" s="739"/>
      <c r="AL339" s="739"/>
      <c r="AM339" s="739"/>
      <c r="AN339" s="739"/>
      <c r="AO339" s="739"/>
      <c r="AP339" s="739"/>
      <c r="AQ339" s="739"/>
      <c r="AR339" s="739"/>
      <c r="AS339" s="739"/>
      <c r="AT339" s="739"/>
      <c r="AU339" s="739"/>
      <c r="AV339" s="739"/>
      <c r="AW339" s="739"/>
      <c r="AX339" s="739"/>
      <c r="AY339" s="739"/>
      <c r="AZ339" s="739"/>
      <c r="BA339" s="739"/>
      <c r="BB339" s="739"/>
      <c r="BC339" s="739"/>
      <c r="BD339" s="739"/>
      <c r="BE339" s="739"/>
      <c r="BF339" s="739"/>
      <c r="BG339" s="739"/>
      <c r="BH339" s="739"/>
      <c r="BI339" s="739"/>
      <c r="BJ339" s="739"/>
      <c r="BK339" s="739"/>
      <c r="BL339" s="739"/>
      <c r="BM339" s="739"/>
      <c r="BN339" s="739"/>
      <c r="BO339" s="739"/>
      <c r="BP339" s="739"/>
      <c r="BQ339" s="739"/>
      <c r="BR339" s="739"/>
      <c r="BS339" s="739"/>
      <c r="BT339" s="739"/>
      <c r="BU339" s="739"/>
      <c r="BV339" s="739"/>
      <c r="BW339" s="739"/>
      <c r="BX339" s="739"/>
      <c r="BY339" s="739"/>
      <c r="BZ339" s="739"/>
      <c r="CA339" s="739"/>
      <c r="CB339" s="739"/>
      <c r="CC339" s="739"/>
      <c r="CD339" s="739"/>
      <c r="CE339" s="739"/>
      <c r="CF339" s="739"/>
      <c r="CG339" s="739"/>
      <c r="CH339" s="739"/>
      <c r="CI339" s="739"/>
      <c r="CJ339" s="739"/>
      <c r="CK339" s="739"/>
      <c r="CL339" s="739"/>
      <c r="CM339" s="739"/>
      <c r="CN339" s="739"/>
      <c r="CO339" s="739"/>
      <c r="CP339" s="739"/>
      <c r="CQ339" s="739"/>
      <c r="CR339" s="739"/>
      <c r="CS339" s="739"/>
      <c r="CT339" s="739"/>
      <c r="CU339" s="739"/>
      <c r="CV339" s="739"/>
      <c r="CW339" s="739"/>
      <c r="CX339" s="739"/>
      <c r="CY339" s="821"/>
      <c r="CZ339" s="739"/>
      <c r="DA339" s="739"/>
      <c r="DB339" s="739"/>
      <c r="DC339" s="739"/>
      <c r="DD339" s="739"/>
      <c r="DE339" s="739"/>
      <c r="DF339" s="739"/>
      <c r="DG339" s="739"/>
      <c r="DH339" s="739"/>
      <c r="DI339" s="739"/>
      <c r="DJ339" s="739"/>
      <c r="DK339" s="739"/>
      <c r="DL339" s="739"/>
      <c r="DM339" s="739"/>
      <c r="DN339" s="739"/>
      <c r="DO339" s="739"/>
      <c r="DP339" s="739"/>
      <c r="DQ339" s="739"/>
      <c r="DR339" s="739"/>
      <c r="DS339" s="739"/>
      <c r="DT339" s="738"/>
      <c r="DU339" s="738"/>
      <c r="DV339" s="740"/>
    </row>
    <row r="340" spans="1:256" ht="17.25" hidden="1" customHeight="1">
      <c r="A340" s="628"/>
      <c r="B340" s="620"/>
      <c r="C340" s="620"/>
      <c r="D340" s="620"/>
      <c r="E340" s="620"/>
      <c r="F340" s="620"/>
      <c r="G340" s="620"/>
      <c r="H340" s="620"/>
      <c r="I340" s="620"/>
      <c r="J340" s="620"/>
      <c r="K340" s="620"/>
      <c r="L340" s="620"/>
      <c r="M340" s="620"/>
      <c r="N340" s="620"/>
      <c r="O340" s="599"/>
      <c r="P340" s="599"/>
      <c r="Q340" s="599"/>
      <c r="R340" s="620"/>
      <c r="S340" s="620"/>
      <c r="T340" s="620"/>
      <c r="U340" s="620"/>
      <c r="V340" s="620"/>
      <c r="W340" s="599"/>
      <c r="X340" s="599"/>
      <c r="Y340" s="599"/>
      <c r="Z340" s="599"/>
      <c r="AA340" s="599"/>
      <c r="AB340" s="599"/>
      <c r="AC340" s="599"/>
      <c r="AD340" s="599"/>
      <c r="AE340" s="599"/>
      <c r="AF340" s="599"/>
      <c r="AG340" s="599"/>
      <c r="AH340" s="599"/>
      <c r="AI340" s="599"/>
      <c r="AJ340" s="599"/>
      <c r="AK340" s="599"/>
      <c r="AL340" s="599"/>
      <c r="AM340" s="599"/>
      <c r="AN340" s="599"/>
      <c r="AO340" s="599"/>
      <c r="AP340" s="599"/>
      <c r="AQ340" s="599"/>
      <c r="AR340" s="599"/>
      <c r="AS340" s="599"/>
      <c r="AT340" s="599"/>
      <c r="AU340" s="599"/>
      <c r="AV340" s="599"/>
      <c r="AW340" s="599"/>
      <c r="AX340" s="599"/>
      <c r="AY340" s="599"/>
      <c r="AZ340" s="599"/>
      <c r="BA340" s="599"/>
      <c r="BB340" s="599"/>
      <c r="BC340" s="599"/>
      <c r="BD340" s="599"/>
      <c r="BE340" s="599"/>
      <c r="BF340" s="599"/>
      <c r="BG340" s="599"/>
      <c r="BH340" s="599"/>
      <c r="BI340" s="599"/>
      <c r="BJ340" s="599"/>
      <c r="BK340" s="599"/>
      <c r="BL340" s="599"/>
      <c r="BM340" s="599"/>
      <c r="BN340" s="599"/>
      <c r="BO340" s="599"/>
      <c r="BP340" s="599"/>
      <c r="BQ340" s="629"/>
      <c r="BR340" s="629"/>
      <c r="BS340" s="629"/>
      <c r="BT340" s="629"/>
      <c r="BU340" s="629"/>
      <c r="BV340" s="629"/>
      <c r="BW340" s="620"/>
      <c r="BX340" s="620"/>
      <c r="BY340" s="620"/>
      <c r="BZ340" s="620"/>
      <c r="CA340" s="620"/>
      <c r="CB340" s="620"/>
      <c r="CC340" s="620"/>
      <c r="CD340" s="620"/>
      <c r="CE340" s="620"/>
      <c r="CF340" s="620"/>
      <c r="CG340" s="620"/>
      <c r="CH340" s="620"/>
      <c r="CI340" s="620"/>
      <c r="CJ340" s="620"/>
      <c r="CK340" s="620"/>
      <c r="CL340" s="620"/>
      <c r="CM340" s="620"/>
      <c r="CN340" s="620"/>
      <c r="CO340" s="620"/>
      <c r="CP340" s="620"/>
      <c r="CQ340" s="620"/>
      <c r="CR340" s="620"/>
      <c r="CS340" s="620"/>
      <c r="CT340" s="620"/>
      <c r="CU340" s="620"/>
      <c r="CV340" s="620"/>
      <c r="CW340" s="620"/>
      <c r="CX340" s="620"/>
      <c r="CY340" s="819"/>
      <c r="CZ340" s="620"/>
      <c r="DA340" s="620"/>
      <c r="DB340" s="620"/>
      <c r="DC340" s="620"/>
      <c r="DD340" s="620"/>
      <c r="DE340" s="620"/>
      <c r="DF340" s="620"/>
      <c r="DG340" s="620"/>
      <c r="DH340" s="620"/>
      <c r="DI340" s="620"/>
      <c r="DJ340" s="620"/>
      <c r="DK340" s="620"/>
      <c r="DL340" s="620"/>
      <c r="DM340" s="620"/>
      <c r="DN340" s="620"/>
      <c r="DO340" s="620"/>
      <c r="DP340" s="620"/>
      <c r="DQ340" s="620"/>
      <c r="DR340" s="620"/>
      <c r="DS340" s="620"/>
      <c r="DT340" s="620"/>
      <c r="DU340" s="620"/>
      <c r="DV340" s="557"/>
    </row>
    <row r="341" spans="1:256" s="553" customFormat="1" ht="21" customHeight="1" thickBot="1">
      <c r="A341" s="823" t="s">
        <v>3922</v>
      </c>
      <c r="B341" s="742"/>
      <c r="C341" s="743">
        <f>C337</f>
        <v>0</v>
      </c>
      <c r="D341" s="743">
        <f t="shared" ref="D341:BO341" si="2">D337</f>
        <v>0</v>
      </c>
      <c r="E341" s="743">
        <f t="shared" si="2"/>
        <v>0</v>
      </c>
      <c r="F341" s="743">
        <f t="shared" si="2"/>
        <v>0</v>
      </c>
      <c r="G341" s="743">
        <f t="shared" si="2"/>
        <v>0</v>
      </c>
      <c r="H341" s="743">
        <f t="shared" si="2"/>
        <v>0</v>
      </c>
      <c r="I341" s="743">
        <f t="shared" si="2"/>
        <v>0</v>
      </c>
      <c r="J341" s="743">
        <f t="shared" si="2"/>
        <v>0</v>
      </c>
      <c r="K341" s="743">
        <f t="shared" si="2"/>
        <v>0</v>
      </c>
      <c r="L341" s="743">
        <f>L337</f>
        <v>0</v>
      </c>
      <c r="M341" s="743">
        <f t="shared" si="2"/>
        <v>0</v>
      </c>
      <c r="N341" s="743">
        <f t="shared" si="2"/>
        <v>0</v>
      </c>
      <c r="O341" s="743">
        <f t="shared" si="2"/>
        <v>0</v>
      </c>
      <c r="P341" s="743">
        <f t="shared" si="2"/>
        <v>0</v>
      </c>
      <c r="Q341" s="743">
        <f t="shared" si="2"/>
        <v>0</v>
      </c>
      <c r="R341" s="743">
        <f t="shared" si="2"/>
        <v>0</v>
      </c>
      <c r="S341" s="743">
        <f t="shared" si="2"/>
        <v>0</v>
      </c>
      <c r="T341" s="743">
        <f t="shared" si="2"/>
        <v>0</v>
      </c>
      <c r="U341" s="743">
        <f t="shared" si="2"/>
        <v>0</v>
      </c>
      <c r="V341" s="743">
        <f t="shared" si="2"/>
        <v>0</v>
      </c>
      <c r="W341" s="743">
        <f t="shared" si="2"/>
        <v>0</v>
      </c>
      <c r="X341" s="743">
        <f t="shared" si="2"/>
        <v>0</v>
      </c>
      <c r="Y341" s="743">
        <f t="shared" si="2"/>
        <v>0</v>
      </c>
      <c r="Z341" s="743">
        <f t="shared" si="2"/>
        <v>0</v>
      </c>
      <c r="AA341" s="743">
        <f t="shared" si="2"/>
        <v>0</v>
      </c>
      <c r="AB341" s="743">
        <f t="shared" si="2"/>
        <v>0</v>
      </c>
      <c r="AC341" s="743">
        <f t="shared" si="2"/>
        <v>0</v>
      </c>
      <c r="AD341" s="743">
        <f t="shared" si="2"/>
        <v>0</v>
      </c>
      <c r="AE341" s="743">
        <f t="shared" si="2"/>
        <v>0</v>
      </c>
      <c r="AF341" s="743">
        <f t="shared" si="2"/>
        <v>0</v>
      </c>
      <c r="AG341" s="743">
        <f t="shared" si="2"/>
        <v>0</v>
      </c>
      <c r="AH341" s="743">
        <f t="shared" si="2"/>
        <v>0</v>
      </c>
      <c r="AI341" s="743">
        <f t="shared" si="2"/>
        <v>0</v>
      </c>
      <c r="AJ341" s="743">
        <f t="shared" si="2"/>
        <v>0</v>
      </c>
      <c r="AK341" s="743">
        <f t="shared" si="2"/>
        <v>0</v>
      </c>
      <c r="AL341" s="743">
        <f t="shared" si="2"/>
        <v>0</v>
      </c>
      <c r="AM341" s="743">
        <f t="shared" si="2"/>
        <v>0</v>
      </c>
      <c r="AN341" s="743">
        <f t="shared" si="2"/>
        <v>0</v>
      </c>
      <c r="AO341" s="743">
        <f t="shared" si="2"/>
        <v>0</v>
      </c>
      <c r="AP341" s="743">
        <f t="shared" si="2"/>
        <v>0</v>
      </c>
      <c r="AQ341" s="743">
        <f t="shared" si="2"/>
        <v>0</v>
      </c>
      <c r="AR341" s="743">
        <f t="shared" si="2"/>
        <v>0</v>
      </c>
      <c r="AS341" s="743">
        <f t="shared" si="2"/>
        <v>0</v>
      </c>
      <c r="AT341" s="743">
        <f t="shared" si="2"/>
        <v>0</v>
      </c>
      <c r="AU341" s="743">
        <f t="shared" si="2"/>
        <v>0</v>
      </c>
      <c r="AV341" s="743">
        <f t="shared" si="2"/>
        <v>0</v>
      </c>
      <c r="AW341" s="743">
        <f t="shared" si="2"/>
        <v>0</v>
      </c>
      <c r="AX341" s="743">
        <f t="shared" si="2"/>
        <v>0</v>
      </c>
      <c r="AY341" s="743">
        <f t="shared" si="2"/>
        <v>0</v>
      </c>
      <c r="AZ341" s="743">
        <f t="shared" si="2"/>
        <v>0</v>
      </c>
      <c r="BA341" s="743">
        <f t="shared" si="2"/>
        <v>0</v>
      </c>
      <c r="BB341" s="743">
        <f t="shared" si="2"/>
        <v>0</v>
      </c>
      <c r="BC341" s="743">
        <f t="shared" si="2"/>
        <v>0</v>
      </c>
      <c r="BD341" s="743">
        <f t="shared" si="2"/>
        <v>0</v>
      </c>
      <c r="BE341" s="743">
        <f t="shared" si="2"/>
        <v>0</v>
      </c>
      <c r="BF341" s="743">
        <f t="shared" si="2"/>
        <v>0</v>
      </c>
      <c r="BG341" s="743">
        <f t="shared" si="2"/>
        <v>0</v>
      </c>
      <c r="BH341" s="743">
        <f t="shared" si="2"/>
        <v>0</v>
      </c>
      <c r="BI341" s="743">
        <f t="shared" si="2"/>
        <v>0</v>
      </c>
      <c r="BJ341" s="743">
        <f t="shared" si="2"/>
        <v>0</v>
      </c>
      <c r="BK341" s="743">
        <f t="shared" si="2"/>
        <v>0</v>
      </c>
      <c r="BL341" s="743">
        <f t="shared" si="2"/>
        <v>0</v>
      </c>
      <c r="BM341" s="743">
        <f t="shared" si="2"/>
        <v>0</v>
      </c>
      <c r="BN341" s="743">
        <f t="shared" si="2"/>
        <v>0</v>
      </c>
      <c r="BO341" s="743">
        <f t="shared" si="2"/>
        <v>0</v>
      </c>
      <c r="BP341" s="743">
        <f t="shared" ref="BP341:DU341" si="3">BP337</f>
        <v>0</v>
      </c>
      <c r="BQ341" s="743">
        <f t="shared" si="3"/>
        <v>0</v>
      </c>
      <c r="BR341" s="743">
        <f t="shared" si="3"/>
        <v>0</v>
      </c>
      <c r="BS341" s="743">
        <f t="shared" si="3"/>
        <v>0</v>
      </c>
      <c r="BT341" s="743">
        <f t="shared" si="3"/>
        <v>0</v>
      </c>
      <c r="BU341" s="743">
        <f t="shared" si="3"/>
        <v>0</v>
      </c>
      <c r="BV341" s="743">
        <f t="shared" si="3"/>
        <v>0</v>
      </c>
      <c r="BW341" s="743">
        <f t="shared" si="3"/>
        <v>0</v>
      </c>
      <c r="BX341" s="743">
        <f t="shared" si="3"/>
        <v>0</v>
      </c>
      <c r="BY341" s="743">
        <f t="shared" si="3"/>
        <v>0</v>
      </c>
      <c r="BZ341" s="743">
        <f t="shared" si="3"/>
        <v>0</v>
      </c>
      <c r="CA341" s="743">
        <f t="shared" si="3"/>
        <v>0</v>
      </c>
      <c r="CB341" s="743">
        <f t="shared" si="3"/>
        <v>0</v>
      </c>
      <c r="CC341" s="743">
        <f t="shared" si="3"/>
        <v>0</v>
      </c>
      <c r="CD341" s="743">
        <f t="shared" si="3"/>
        <v>0</v>
      </c>
      <c r="CE341" s="743">
        <f t="shared" si="3"/>
        <v>0</v>
      </c>
      <c r="CF341" s="743">
        <f t="shared" si="3"/>
        <v>0</v>
      </c>
      <c r="CG341" s="743">
        <f t="shared" si="3"/>
        <v>0</v>
      </c>
      <c r="CH341" s="743">
        <f t="shared" si="3"/>
        <v>0</v>
      </c>
      <c r="CI341" s="743">
        <f t="shared" si="3"/>
        <v>0</v>
      </c>
      <c r="CJ341" s="743">
        <f t="shared" si="3"/>
        <v>0</v>
      </c>
      <c r="CK341" s="743">
        <f t="shared" si="3"/>
        <v>0</v>
      </c>
      <c r="CL341" s="743">
        <f t="shared" si="3"/>
        <v>0</v>
      </c>
      <c r="CM341" s="743">
        <f t="shared" si="3"/>
        <v>0</v>
      </c>
      <c r="CN341" s="743">
        <f t="shared" si="3"/>
        <v>0</v>
      </c>
      <c r="CO341" s="743">
        <f t="shared" si="3"/>
        <v>0</v>
      </c>
      <c r="CP341" s="743">
        <f t="shared" si="3"/>
        <v>0</v>
      </c>
      <c r="CQ341" s="743">
        <f t="shared" si="3"/>
        <v>0</v>
      </c>
      <c r="CR341" s="743">
        <f t="shared" si="3"/>
        <v>0</v>
      </c>
      <c r="CS341" s="743">
        <f t="shared" si="3"/>
        <v>0</v>
      </c>
      <c r="CT341" s="743">
        <f t="shared" si="3"/>
        <v>0</v>
      </c>
      <c r="CU341" s="743">
        <f t="shared" si="3"/>
        <v>0</v>
      </c>
      <c r="CV341" s="743">
        <f t="shared" si="3"/>
        <v>0</v>
      </c>
      <c r="CW341" s="743">
        <f t="shared" si="3"/>
        <v>0</v>
      </c>
      <c r="CX341" s="743">
        <f t="shared" si="3"/>
        <v>0</v>
      </c>
      <c r="CY341" s="743">
        <f t="shared" si="3"/>
        <v>0</v>
      </c>
      <c r="CZ341" s="743">
        <f t="shared" si="3"/>
        <v>0</v>
      </c>
      <c r="DA341" s="743">
        <f t="shared" si="3"/>
        <v>0</v>
      </c>
      <c r="DB341" s="743">
        <f t="shared" si="3"/>
        <v>0</v>
      </c>
      <c r="DC341" s="743">
        <f t="shared" si="3"/>
        <v>0</v>
      </c>
      <c r="DD341" s="743">
        <f t="shared" si="3"/>
        <v>0</v>
      </c>
      <c r="DE341" s="743">
        <f t="shared" si="3"/>
        <v>0</v>
      </c>
      <c r="DF341" s="743">
        <f t="shared" si="3"/>
        <v>0</v>
      </c>
      <c r="DG341" s="743">
        <f t="shared" si="3"/>
        <v>0</v>
      </c>
      <c r="DH341" s="743">
        <f t="shared" si="3"/>
        <v>0</v>
      </c>
      <c r="DI341" s="743">
        <f t="shared" si="3"/>
        <v>0</v>
      </c>
      <c r="DJ341" s="743">
        <f t="shared" si="3"/>
        <v>0</v>
      </c>
      <c r="DK341" s="743">
        <f t="shared" si="3"/>
        <v>0</v>
      </c>
      <c r="DL341" s="743">
        <f t="shared" si="3"/>
        <v>0</v>
      </c>
      <c r="DM341" s="743">
        <f t="shared" si="3"/>
        <v>0</v>
      </c>
      <c r="DN341" s="743">
        <f t="shared" si="3"/>
        <v>0</v>
      </c>
      <c r="DO341" s="743">
        <f t="shared" si="3"/>
        <v>0</v>
      </c>
      <c r="DP341" s="743">
        <f t="shared" si="3"/>
        <v>0</v>
      </c>
      <c r="DQ341" s="743">
        <f t="shared" si="3"/>
        <v>0</v>
      </c>
      <c r="DR341" s="743">
        <f t="shared" si="3"/>
        <v>0</v>
      </c>
      <c r="DS341" s="743">
        <f t="shared" si="3"/>
        <v>0</v>
      </c>
      <c r="DT341" s="743">
        <f t="shared" si="3"/>
        <v>0</v>
      </c>
      <c r="DU341" s="743">
        <f t="shared" si="3"/>
        <v>0</v>
      </c>
      <c r="DV341" s="744"/>
      <c r="IR341" s="530"/>
      <c r="IS341" s="530"/>
      <c r="IT341" s="530"/>
      <c r="IU341" s="530"/>
      <c r="IV341" s="530"/>
    </row>
    <row r="342" spans="1:256" ht="12" customHeight="1" thickTop="1">
      <c r="BQ342" s="530"/>
      <c r="BR342" s="530"/>
      <c r="BS342" s="530"/>
      <c r="BT342" s="530"/>
      <c r="BU342" s="530"/>
      <c r="BV342" s="530"/>
    </row>
    <row r="343" spans="1:256" s="827" customFormat="1" ht="18.899999999999999" hidden="1" customHeight="1">
      <c r="A343" s="3101" t="s">
        <v>4157</v>
      </c>
      <c r="B343" s="3101"/>
      <c r="C343" s="825"/>
      <c r="D343" s="826"/>
      <c r="E343" s="826"/>
      <c r="F343" s="826"/>
      <c r="G343" s="826"/>
      <c r="H343" s="826"/>
      <c r="I343" s="826"/>
      <c r="J343" s="826"/>
      <c r="V343" s="828"/>
      <c r="W343" s="829"/>
      <c r="X343" s="827">
        <f>+X339+AA339+AC339+AD339*2</f>
        <v>0</v>
      </c>
      <c r="BG343" s="830"/>
      <c r="CD343" s="828"/>
      <c r="CE343" s="828"/>
      <c r="CF343" s="828"/>
      <c r="CG343" s="828"/>
      <c r="CH343" s="828"/>
      <c r="CI343" s="828"/>
      <c r="CJ343" s="828"/>
      <c r="CK343" s="828"/>
      <c r="CL343" s="828"/>
      <c r="CM343" s="828"/>
      <c r="CN343" s="828"/>
      <c r="CO343" s="828"/>
      <c r="CP343" s="828"/>
      <c r="CQ343" s="828"/>
      <c r="CR343" s="828"/>
      <c r="CS343" s="828"/>
      <c r="CT343" s="828"/>
      <c r="CU343" s="828"/>
      <c r="CV343" s="828"/>
      <c r="CW343" s="828"/>
      <c r="CX343" s="828"/>
      <c r="CY343" s="828"/>
      <c r="CZ343" s="828"/>
      <c r="DA343" s="828"/>
      <c r="DB343" s="828"/>
      <c r="DC343" s="828"/>
      <c r="DD343" s="828"/>
      <c r="DE343" s="828"/>
      <c r="DF343" s="828"/>
      <c r="DG343" s="828"/>
      <c r="DH343" s="828"/>
      <c r="DI343" s="828"/>
      <c r="DJ343" s="828"/>
      <c r="DK343" s="828"/>
      <c r="DL343" s="828"/>
      <c r="DM343" s="828"/>
      <c r="DN343" s="828"/>
      <c r="DO343" s="828"/>
      <c r="DP343" s="828"/>
      <c r="DQ343" s="828"/>
      <c r="DR343" s="828"/>
      <c r="DS343" s="829"/>
      <c r="DU343" s="827">
        <f>+DU339*0.45*0.8</f>
        <v>0</v>
      </c>
      <c r="DV343" s="831"/>
      <c r="IR343" s="832"/>
      <c r="IS343" s="832"/>
      <c r="IT343" s="832"/>
      <c r="IU343" s="832"/>
      <c r="IV343" s="832"/>
    </row>
    <row r="344" spans="1:256" s="827" customFormat="1" ht="18.899999999999999" hidden="1" customHeight="1">
      <c r="A344" s="3101" t="s">
        <v>4158</v>
      </c>
      <c r="B344" s="3101"/>
      <c r="C344" s="825"/>
      <c r="D344" s="826"/>
      <c r="E344" s="826"/>
      <c r="F344" s="826"/>
      <c r="G344" s="826"/>
      <c r="H344" s="826"/>
      <c r="I344" s="826"/>
      <c r="J344" s="826"/>
      <c r="V344" s="828"/>
      <c r="W344" s="833"/>
      <c r="X344" s="834"/>
      <c r="Y344" s="834"/>
      <c r="Z344" s="834"/>
      <c r="AA344" s="834"/>
      <c r="AC344" s="834"/>
      <c r="CD344" s="828"/>
      <c r="CE344" s="828"/>
      <c r="CF344" s="828"/>
      <c r="CG344" s="828"/>
      <c r="CH344" s="828"/>
      <c r="CI344" s="828"/>
      <c r="CJ344" s="828"/>
      <c r="CK344" s="828"/>
      <c r="CL344" s="828"/>
      <c r="CM344" s="828"/>
      <c r="CN344" s="828"/>
      <c r="CO344" s="828"/>
      <c r="CP344" s="828"/>
      <c r="CQ344" s="828"/>
      <c r="CR344" s="828"/>
      <c r="CS344" s="828"/>
      <c r="CT344" s="828"/>
      <c r="CU344" s="828"/>
      <c r="CV344" s="828"/>
      <c r="CW344" s="828"/>
      <c r="CX344" s="828"/>
      <c r="CY344" s="828"/>
      <c r="CZ344" s="828"/>
      <c r="DA344" s="828"/>
      <c r="DB344" s="828"/>
      <c r="DC344" s="828"/>
      <c r="DD344" s="828"/>
      <c r="DE344" s="828"/>
      <c r="DF344" s="828"/>
      <c r="DG344" s="828"/>
      <c r="DH344" s="828"/>
      <c r="DI344" s="828"/>
      <c r="DJ344" s="828"/>
      <c r="DK344" s="828"/>
      <c r="DL344" s="828"/>
      <c r="DM344" s="828"/>
      <c r="DN344" s="828"/>
      <c r="DO344" s="828"/>
      <c r="DP344" s="828"/>
      <c r="DQ344" s="828"/>
      <c r="DR344" s="828"/>
      <c r="DS344" s="829"/>
      <c r="DU344" s="827">
        <f>+DU343/0.85</f>
        <v>0</v>
      </c>
    </row>
    <row r="345" spans="1:256" s="827" customFormat="1" ht="18.899999999999999" hidden="1" customHeight="1">
      <c r="A345" s="3101" t="s">
        <v>4159</v>
      </c>
      <c r="B345" s="3101"/>
      <c r="C345" s="835"/>
      <c r="D345" s="836"/>
      <c r="E345" s="836"/>
      <c r="F345" s="836"/>
      <c r="G345" s="836"/>
      <c r="H345" s="836"/>
      <c r="I345" s="836"/>
      <c r="J345" s="836"/>
      <c r="W345" s="837"/>
      <c r="AB345" s="829"/>
      <c r="AD345" s="829"/>
      <c r="AE345" s="838"/>
      <c r="AF345" s="828"/>
      <c r="AG345" s="828"/>
      <c r="DV345" s="831"/>
    </row>
    <row r="346" spans="1:256" s="827" customFormat="1" ht="18.899999999999999" hidden="1" customHeight="1">
      <c r="A346" s="3101" t="s">
        <v>4160</v>
      </c>
      <c r="B346" s="3101"/>
      <c r="C346" s="835"/>
      <c r="D346" s="836"/>
      <c r="E346" s="836"/>
      <c r="F346" s="836"/>
      <c r="G346" s="836"/>
      <c r="H346" s="836"/>
      <c r="I346" s="836"/>
      <c r="J346" s="836"/>
      <c r="W346" s="837"/>
      <c r="AB346" s="829"/>
      <c r="AD346" s="829"/>
      <c r="AE346" s="838"/>
      <c r="AF346" s="828"/>
      <c r="AG346" s="828"/>
      <c r="DV346" s="831"/>
      <c r="DX346" s="831"/>
      <c r="DZ346" s="831"/>
    </row>
    <row r="347" spans="1:256" s="827" customFormat="1" ht="18.899999999999999" hidden="1" customHeight="1">
      <c r="A347" s="3101" t="s">
        <v>4161</v>
      </c>
      <c r="B347" s="3101"/>
      <c r="C347" s="825">
        <f>C337</f>
        <v>0</v>
      </c>
      <c r="D347" s="826"/>
      <c r="E347" s="826"/>
      <c r="F347" s="826"/>
      <c r="G347" s="826"/>
      <c r="H347" s="826"/>
      <c r="I347" s="826"/>
      <c r="J347" s="826"/>
      <c r="P347" s="839"/>
      <c r="R347" s="840"/>
      <c r="W347" s="841"/>
      <c r="AB347" s="829"/>
      <c r="AD347" s="829"/>
      <c r="AF347" s="828"/>
      <c r="AG347" s="828"/>
      <c r="AX347" s="842"/>
      <c r="AY347" s="843"/>
      <c r="AZ347" s="843"/>
      <c r="BA347" s="843"/>
      <c r="DV347" s="831"/>
    </row>
    <row r="348" spans="1:256" s="827" customFormat="1" ht="18.899999999999999" hidden="1" customHeight="1">
      <c r="A348" s="3101" t="s">
        <v>4162</v>
      </c>
      <c r="B348" s="3101"/>
      <c r="C348" s="835"/>
      <c r="D348" s="836"/>
      <c r="E348" s="836"/>
      <c r="F348" s="836"/>
      <c r="G348" s="836"/>
      <c r="H348" s="836"/>
      <c r="I348" s="836"/>
      <c r="J348" s="836"/>
      <c r="R348" s="840"/>
      <c r="W348" s="837"/>
      <c r="AB348" s="829"/>
      <c r="AD348" s="829"/>
      <c r="AE348" s="838"/>
      <c r="AF348" s="828"/>
      <c r="AG348" s="828"/>
      <c r="AX348" s="842"/>
      <c r="AY348" s="828"/>
      <c r="AZ348" s="828"/>
      <c r="BA348" s="828"/>
      <c r="DV348" s="831"/>
    </row>
    <row r="349" spans="1:256" s="827" customFormat="1" ht="18.899999999999999" hidden="1" customHeight="1">
      <c r="A349" s="844" t="s">
        <v>4163</v>
      </c>
      <c r="B349" s="829"/>
      <c r="C349" s="835">
        <f>+M339</f>
        <v>0</v>
      </c>
      <c r="D349" s="845"/>
      <c r="E349" s="845"/>
      <c r="F349" s="845"/>
      <c r="G349" s="845"/>
      <c r="H349" s="845"/>
      <c r="I349" s="845"/>
      <c r="J349" s="845"/>
      <c r="AB349" s="829"/>
      <c r="AD349" s="829"/>
      <c r="AF349" s="828"/>
      <c r="DV349" s="831"/>
    </row>
    <row r="350" spans="1:256" s="827" customFormat="1" ht="18.899999999999999" hidden="1" customHeight="1">
      <c r="A350" s="844" t="s">
        <v>4164</v>
      </c>
      <c r="C350" s="835"/>
      <c r="DV350" s="831"/>
      <c r="IR350" s="832"/>
      <c r="IS350" s="832"/>
      <c r="IT350" s="832"/>
      <c r="IU350" s="832"/>
      <c r="IV350" s="832"/>
    </row>
    <row r="351" spans="1:256" ht="18.899999999999999" customHeight="1">
      <c r="Q351" s="934"/>
      <c r="BQ351" s="530"/>
      <c r="BR351" s="530"/>
      <c r="BS351" s="530"/>
      <c r="BT351" s="530"/>
      <c r="BU351" s="530"/>
      <c r="BV351" s="530"/>
      <c r="DV351" s="889"/>
    </row>
    <row r="352" spans="1:256" ht="18.899999999999999" customHeight="1">
      <c r="Q352" s="851"/>
      <c r="BQ352" s="530"/>
      <c r="BR352" s="530"/>
      <c r="BS352" s="530"/>
      <c r="BT352" s="530"/>
      <c r="BU352" s="530"/>
      <c r="BV352" s="530"/>
      <c r="DV352" s="850"/>
    </row>
    <row r="353" spans="10:256" ht="18.899999999999999" customHeight="1">
      <c r="Q353" s="851"/>
      <c r="BQ353" s="530"/>
      <c r="BR353" s="530"/>
      <c r="BS353" s="530"/>
      <c r="BT353" s="530"/>
      <c r="BU353" s="530"/>
      <c r="BV353" s="530"/>
      <c r="DV353" s="850"/>
    </row>
    <row r="354" spans="10:256" ht="18.899999999999999" customHeight="1">
      <c r="Q354" s="851"/>
      <c r="BQ354" s="530"/>
      <c r="BR354" s="530"/>
      <c r="BS354" s="530"/>
      <c r="BT354" s="530"/>
      <c r="BU354" s="530"/>
      <c r="BV354" s="530"/>
      <c r="DV354" s="850"/>
    </row>
    <row r="355" spans="10:256" ht="18.899999999999999" customHeight="1">
      <c r="Q355" s="851"/>
      <c r="BQ355" s="530"/>
      <c r="BR355" s="530"/>
      <c r="BS355" s="530"/>
      <c r="BT355" s="530"/>
      <c r="BU355" s="530"/>
      <c r="BV355" s="530"/>
      <c r="DV355" s="850"/>
      <c r="IR355" s="542"/>
      <c r="IS355" s="542"/>
      <c r="IT355" s="542"/>
      <c r="IU355" s="542"/>
      <c r="IV355" s="542"/>
    </row>
    <row r="356" spans="10:256" ht="18.899999999999999" customHeight="1">
      <c r="Q356" s="932"/>
      <c r="BQ356" s="530"/>
      <c r="BR356" s="530"/>
      <c r="BS356" s="530"/>
      <c r="BT356" s="530"/>
      <c r="BU356" s="530"/>
      <c r="BV356" s="530"/>
      <c r="DV356" s="849"/>
    </row>
    <row r="357" spans="10:256" ht="18.899999999999999" customHeight="1">
      <c r="BQ357" s="530"/>
      <c r="BR357" s="530"/>
      <c r="BS357" s="530"/>
      <c r="BT357" s="530"/>
      <c r="BU357" s="530"/>
      <c r="BV357" s="530"/>
    </row>
    <row r="358" spans="10:256" ht="18.899999999999999" customHeight="1">
      <c r="J358" s="851"/>
      <c r="BQ358" s="530"/>
      <c r="BR358" s="530"/>
      <c r="BS358" s="530"/>
      <c r="BT358" s="530"/>
      <c r="BU358" s="530"/>
      <c r="BV358" s="530"/>
      <c r="DI358" s="850"/>
    </row>
    <row r="359" spans="10:256" ht="18.899999999999999" customHeight="1">
      <c r="J359" s="933"/>
      <c r="BQ359" s="530"/>
      <c r="BR359" s="530"/>
      <c r="BS359" s="530"/>
      <c r="BT359" s="530"/>
      <c r="BU359" s="530"/>
      <c r="BV359" s="530"/>
    </row>
    <row r="360" spans="10:256" ht="18.899999999999999" customHeight="1">
      <c r="BQ360" s="530"/>
      <c r="BR360" s="530"/>
      <c r="BS360" s="530"/>
      <c r="BT360" s="530"/>
      <c r="BU360" s="530"/>
      <c r="BV360" s="530"/>
    </row>
    <row r="361" spans="10:256" ht="18.899999999999999" customHeight="1">
      <c r="BQ361" s="530"/>
      <c r="BR361" s="530"/>
      <c r="BS361" s="530"/>
      <c r="BT361" s="530"/>
      <c r="BU361" s="530"/>
      <c r="BV361" s="530"/>
    </row>
    <row r="362" spans="10:256" ht="18.899999999999999" customHeight="1">
      <c r="BQ362" s="530"/>
      <c r="BR362" s="530"/>
      <c r="BS362" s="530"/>
      <c r="BT362" s="530"/>
      <c r="BU362" s="530"/>
      <c r="BV362" s="530"/>
      <c r="IR362" s="542"/>
      <c r="IS362" s="542"/>
      <c r="IT362" s="542"/>
      <c r="IU362" s="542"/>
      <c r="IV362" s="542"/>
    </row>
    <row r="363" spans="10:256" ht="18.899999999999999" customHeight="1">
      <c r="BQ363" s="530"/>
      <c r="BR363" s="530"/>
      <c r="BS363" s="530"/>
      <c r="BT363" s="530"/>
      <c r="BU363" s="530"/>
      <c r="BV363" s="530"/>
    </row>
    <row r="364" spans="10:256" ht="18.899999999999999" customHeight="1">
      <c r="BQ364" s="530"/>
      <c r="BR364" s="530"/>
      <c r="BS364" s="530"/>
      <c r="BT364" s="530"/>
      <c r="BU364" s="530"/>
      <c r="BV364" s="530"/>
    </row>
    <row r="365" spans="10:256" ht="18.899999999999999" customHeight="1">
      <c r="BQ365" s="530"/>
      <c r="BR365" s="530"/>
      <c r="BS365" s="530"/>
      <c r="BT365" s="530"/>
      <c r="BU365" s="530"/>
      <c r="BV365" s="530"/>
    </row>
    <row r="366" spans="10:256" ht="18.899999999999999" customHeight="1">
      <c r="BQ366" s="530"/>
      <c r="BR366" s="530"/>
      <c r="BS366" s="530"/>
      <c r="BT366" s="530"/>
      <c r="BU366" s="530"/>
      <c r="BV366" s="530"/>
    </row>
    <row r="367" spans="10:256" ht="18.899999999999999" customHeight="1">
      <c r="BQ367" s="530"/>
      <c r="BR367" s="530"/>
      <c r="BS367" s="530"/>
      <c r="BT367" s="530"/>
      <c r="BU367" s="530"/>
      <c r="BV367" s="530"/>
    </row>
    <row r="368" spans="10:256" ht="18.899999999999999" customHeight="1">
      <c r="BQ368" s="530"/>
      <c r="BR368" s="530"/>
      <c r="BS368" s="530"/>
      <c r="BT368" s="530"/>
      <c r="BU368" s="530"/>
      <c r="BV368" s="530"/>
    </row>
    <row r="369" spans="69:74" ht="18.899999999999999" customHeight="1">
      <c r="BQ369" s="530"/>
      <c r="BR369" s="530"/>
      <c r="BS369" s="530"/>
      <c r="BT369" s="530"/>
      <c r="BU369" s="530"/>
      <c r="BV369" s="530"/>
    </row>
    <row r="370" spans="69:74" ht="18.899999999999999" customHeight="1">
      <c r="BQ370" s="530"/>
      <c r="BR370" s="530"/>
      <c r="BS370" s="530"/>
      <c r="BT370" s="530"/>
      <c r="BU370" s="530"/>
      <c r="BV370" s="530"/>
    </row>
    <row r="371" spans="69:74" ht="18.899999999999999" customHeight="1">
      <c r="BQ371" s="530"/>
      <c r="BR371" s="530"/>
      <c r="BS371" s="530"/>
      <c r="BT371" s="530"/>
      <c r="BU371" s="530"/>
      <c r="BV371" s="530"/>
    </row>
    <row r="372" spans="69:74" ht="18.899999999999999" customHeight="1">
      <c r="BQ372" s="530"/>
      <c r="BR372" s="530"/>
      <c r="BS372" s="530"/>
      <c r="BT372" s="530"/>
      <c r="BU372" s="530"/>
      <c r="BV372" s="530"/>
    </row>
    <row r="373" spans="69:74" ht="18.899999999999999" customHeight="1">
      <c r="BQ373" s="530"/>
      <c r="BR373" s="530"/>
      <c r="BS373" s="530"/>
      <c r="BT373" s="530"/>
      <c r="BU373" s="530"/>
      <c r="BV373" s="530"/>
    </row>
    <row r="374" spans="69:74" ht="18.899999999999999" customHeight="1">
      <c r="BQ374" s="530"/>
      <c r="BR374" s="530"/>
      <c r="BS374" s="530"/>
      <c r="BT374" s="530"/>
      <c r="BU374" s="530"/>
      <c r="BV374" s="530"/>
    </row>
    <row r="375" spans="69:74" ht="18.899999999999999" customHeight="1">
      <c r="BQ375" s="530"/>
      <c r="BR375" s="530"/>
      <c r="BS375" s="530"/>
      <c r="BT375" s="530"/>
      <c r="BU375" s="530"/>
      <c r="BV375" s="530"/>
    </row>
    <row r="376" spans="69:74" ht="18.899999999999999" customHeight="1">
      <c r="BQ376" s="530"/>
      <c r="BR376" s="530"/>
      <c r="BS376" s="530"/>
      <c r="BT376" s="530"/>
      <c r="BU376" s="530"/>
      <c r="BV376" s="530"/>
    </row>
    <row r="377" spans="69:74" ht="18.899999999999999" customHeight="1">
      <c r="BQ377" s="530"/>
      <c r="BR377" s="530"/>
      <c r="BS377" s="530"/>
      <c r="BT377" s="530"/>
      <c r="BU377" s="530"/>
      <c r="BV377" s="530"/>
    </row>
    <row r="378" spans="69:74" ht="18.899999999999999" customHeight="1">
      <c r="BQ378" s="530"/>
      <c r="BR378" s="530"/>
      <c r="BS378" s="530"/>
      <c r="BT378" s="530"/>
      <c r="BU378" s="530"/>
      <c r="BV378" s="530"/>
    </row>
    <row r="379" spans="69:74" ht="18.899999999999999" customHeight="1">
      <c r="BQ379" s="530"/>
      <c r="BR379" s="530"/>
      <c r="BS379" s="530"/>
      <c r="BT379" s="530"/>
      <c r="BU379" s="530"/>
      <c r="BV379" s="530"/>
    </row>
    <row r="380" spans="69:74" ht="18.899999999999999" customHeight="1">
      <c r="BQ380" s="530"/>
      <c r="BR380" s="530"/>
      <c r="BS380" s="530"/>
      <c r="BT380" s="530"/>
      <c r="BU380" s="530"/>
      <c r="BV380" s="530"/>
    </row>
    <row r="381" spans="69:74" ht="18.899999999999999" customHeight="1">
      <c r="BQ381" s="530"/>
      <c r="BR381" s="530"/>
      <c r="BS381" s="530"/>
      <c r="BT381" s="530"/>
      <c r="BU381" s="530"/>
      <c r="BV381" s="530"/>
    </row>
    <row r="382" spans="69:74" ht="18.899999999999999" customHeight="1">
      <c r="BQ382" s="530"/>
      <c r="BR382" s="530"/>
      <c r="BS382" s="530"/>
      <c r="BT382" s="530"/>
      <c r="BU382" s="530"/>
      <c r="BV382" s="530"/>
    </row>
    <row r="383" spans="69:74" ht="18.899999999999999" customHeight="1">
      <c r="BQ383" s="530"/>
      <c r="BR383" s="530"/>
      <c r="BS383" s="530"/>
      <c r="BT383" s="530"/>
      <c r="BU383" s="530"/>
      <c r="BV383" s="530"/>
    </row>
    <row r="384" spans="69:74" ht="18.899999999999999" customHeight="1">
      <c r="BQ384" s="530"/>
      <c r="BR384" s="530"/>
      <c r="BS384" s="530"/>
      <c r="BT384" s="530"/>
      <c r="BU384" s="530"/>
      <c r="BV384" s="530"/>
    </row>
    <row r="385" spans="69:74" ht="18.899999999999999" customHeight="1">
      <c r="BQ385" s="530"/>
      <c r="BR385" s="530"/>
      <c r="BS385" s="530"/>
      <c r="BT385" s="530"/>
      <c r="BU385" s="530"/>
      <c r="BV385" s="530"/>
    </row>
    <row r="386" spans="69:74" ht="18.899999999999999" customHeight="1">
      <c r="BQ386" s="530"/>
      <c r="BR386" s="530"/>
      <c r="BS386" s="530"/>
      <c r="BT386" s="530"/>
      <c r="BU386" s="530"/>
      <c r="BV386" s="530"/>
    </row>
    <row r="387" spans="69:74" ht="18.899999999999999" customHeight="1">
      <c r="BQ387" s="530"/>
      <c r="BR387" s="530"/>
      <c r="BS387" s="530"/>
      <c r="BT387" s="530"/>
      <c r="BU387" s="530"/>
      <c r="BV387" s="530"/>
    </row>
    <row r="388" spans="69:74" ht="18.899999999999999" customHeight="1">
      <c r="BQ388" s="530"/>
      <c r="BR388" s="530"/>
      <c r="BS388" s="530"/>
      <c r="BT388" s="530"/>
      <c r="BU388" s="530"/>
      <c r="BV388" s="530"/>
    </row>
    <row r="389" spans="69:74" ht="18.899999999999999" customHeight="1">
      <c r="BQ389" s="530"/>
      <c r="BR389" s="530"/>
      <c r="BS389" s="530"/>
      <c r="BT389" s="530"/>
      <c r="BU389" s="530"/>
      <c r="BV389" s="530"/>
    </row>
    <row r="390" spans="69:74" ht="18.899999999999999" customHeight="1">
      <c r="BQ390" s="530"/>
      <c r="BR390" s="530"/>
      <c r="BS390" s="530"/>
      <c r="BT390" s="530"/>
      <c r="BU390" s="530"/>
      <c r="BV390" s="530"/>
    </row>
    <row r="391" spans="69:74" ht="18.899999999999999" customHeight="1">
      <c r="BQ391" s="530"/>
      <c r="BR391" s="530"/>
      <c r="BS391" s="530"/>
      <c r="BT391" s="530"/>
      <c r="BU391" s="530"/>
      <c r="BV391" s="530"/>
    </row>
    <row r="392" spans="69:74" ht="18.899999999999999" customHeight="1">
      <c r="BQ392" s="530"/>
      <c r="BR392" s="530"/>
      <c r="BS392" s="530"/>
      <c r="BT392" s="530"/>
      <c r="BU392" s="530"/>
      <c r="BV392" s="530"/>
    </row>
    <row r="393" spans="69:74" ht="18.899999999999999" customHeight="1">
      <c r="BQ393" s="530"/>
      <c r="BR393" s="530"/>
      <c r="BS393" s="530"/>
      <c r="BT393" s="530"/>
      <c r="BU393" s="530"/>
      <c r="BV393" s="530"/>
    </row>
    <row r="394" spans="69:74" ht="18.899999999999999" customHeight="1">
      <c r="BQ394" s="530"/>
      <c r="BR394" s="530"/>
      <c r="BS394" s="530"/>
      <c r="BT394" s="530"/>
      <c r="BU394" s="530"/>
      <c r="BV394" s="530"/>
    </row>
    <row r="395" spans="69:74" ht="18.899999999999999" customHeight="1">
      <c r="BQ395" s="530"/>
      <c r="BR395" s="530"/>
      <c r="BS395" s="530"/>
      <c r="BT395" s="530"/>
      <c r="BU395" s="530"/>
      <c r="BV395" s="530"/>
    </row>
    <row r="396" spans="69:74" ht="18.899999999999999" customHeight="1">
      <c r="BQ396" s="530"/>
      <c r="BR396" s="530"/>
      <c r="BS396" s="530"/>
      <c r="BT396" s="530"/>
      <c r="BU396" s="530"/>
      <c r="BV396" s="530"/>
    </row>
    <row r="397" spans="69:74" ht="18.899999999999999" customHeight="1">
      <c r="BQ397" s="530"/>
      <c r="BR397" s="530"/>
      <c r="BS397" s="530"/>
      <c r="BT397" s="530"/>
      <c r="BU397" s="530"/>
      <c r="BV397" s="530"/>
    </row>
    <row r="398" spans="69:74" ht="18.899999999999999" customHeight="1">
      <c r="BQ398" s="530"/>
      <c r="BR398" s="530"/>
      <c r="BS398" s="530"/>
      <c r="BT398" s="530"/>
      <c r="BU398" s="530"/>
      <c r="BV398" s="530"/>
    </row>
    <row r="399" spans="69:74" ht="18.899999999999999" customHeight="1">
      <c r="BQ399" s="530"/>
      <c r="BR399" s="530"/>
      <c r="BS399" s="530"/>
      <c r="BT399" s="530"/>
      <c r="BU399" s="530"/>
      <c r="BV399" s="530"/>
    </row>
    <row r="400" spans="69:74" ht="18.899999999999999" customHeight="1">
      <c r="BQ400" s="530"/>
      <c r="BR400" s="530"/>
      <c r="BS400" s="530"/>
      <c r="BT400" s="530"/>
      <c r="BU400" s="530"/>
      <c r="BV400" s="530"/>
    </row>
    <row r="401" spans="69:74" ht="18.899999999999999" customHeight="1">
      <c r="BQ401" s="530"/>
      <c r="BR401" s="530"/>
      <c r="BS401" s="530"/>
      <c r="BT401" s="530"/>
      <c r="BU401" s="530"/>
      <c r="BV401" s="530"/>
    </row>
    <row r="402" spans="69:74" ht="18.899999999999999" customHeight="1">
      <c r="BQ402" s="530"/>
      <c r="BR402" s="530"/>
      <c r="BS402" s="530"/>
      <c r="BT402" s="530"/>
      <c r="BU402" s="530"/>
      <c r="BV402" s="530"/>
    </row>
    <row r="403" spans="69:74" ht="18.899999999999999" customHeight="1">
      <c r="BQ403" s="530"/>
      <c r="BR403" s="530"/>
      <c r="BS403" s="530"/>
      <c r="BT403" s="530"/>
      <c r="BU403" s="530"/>
      <c r="BV403" s="530"/>
    </row>
    <row r="404" spans="69:74" ht="18.899999999999999" customHeight="1">
      <c r="BQ404" s="530"/>
      <c r="BR404" s="530"/>
      <c r="BS404" s="530"/>
      <c r="BT404" s="530"/>
      <c r="BU404" s="530"/>
      <c r="BV404" s="530"/>
    </row>
    <row r="405" spans="69:74" ht="18.899999999999999" customHeight="1">
      <c r="BQ405" s="530"/>
      <c r="BR405" s="530"/>
      <c r="BS405" s="530"/>
      <c r="BT405" s="530"/>
      <c r="BU405" s="530"/>
      <c r="BV405" s="530"/>
    </row>
    <row r="406" spans="69:74" ht="18.899999999999999" customHeight="1">
      <c r="BQ406" s="530"/>
      <c r="BR406" s="530"/>
      <c r="BS406" s="530"/>
      <c r="BT406" s="530"/>
      <c r="BU406" s="530"/>
      <c r="BV406" s="530"/>
    </row>
    <row r="407" spans="69:74" ht="18.899999999999999" customHeight="1">
      <c r="BQ407" s="530"/>
      <c r="BR407" s="530"/>
      <c r="BS407" s="530"/>
      <c r="BT407" s="530"/>
      <c r="BU407" s="530"/>
      <c r="BV407" s="530"/>
    </row>
    <row r="408" spans="69:74" ht="18.899999999999999" customHeight="1">
      <c r="BQ408" s="530"/>
      <c r="BR408" s="530"/>
      <c r="BS408" s="530"/>
      <c r="BT408" s="530"/>
      <c r="BU408" s="530"/>
      <c r="BV408" s="530"/>
    </row>
    <row r="409" spans="69:74" ht="18.899999999999999" customHeight="1">
      <c r="BQ409" s="530"/>
      <c r="BR409" s="530"/>
      <c r="BS409" s="530"/>
      <c r="BT409" s="530"/>
      <c r="BU409" s="530"/>
      <c r="BV409" s="530"/>
    </row>
    <row r="410" spans="69:74" ht="18.899999999999999" customHeight="1">
      <c r="BQ410" s="530"/>
      <c r="BR410" s="530"/>
      <c r="BS410" s="530"/>
      <c r="BT410" s="530"/>
      <c r="BU410" s="530"/>
      <c r="BV410" s="530"/>
    </row>
    <row r="411" spans="69:74" ht="18.899999999999999" customHeight="1">
      <c r="BQ411" s="530"/>
      <c r="BR411" s="530"/>
      <c r="BS411" s="530"/>
      <c r="BT411" s="530"/>
      <c r="BU411" s="530"/>
      <c r="BV411" s="530"/>
    </row>
    <row r="412" spans="69:74" ht="18.899999999999999" customHeight="1">
      <c r="BQ412" s="530"/>
      <c r="BR412" s="530"/>
      <c r="BS412" s="530"/>
      <c r="BT412" s="530"/>
      <c r="BU412" s="530"/>
      <c r="BV412" s="530"/>
    </row>
    <row r="413" spans="69:74" ht="18.899999999999999" customHeight="1">
      <c r="BQ413" s="530"/>
      <c r="BR413" s="530"/>
      <c r="BS413" s="530"/>
      <c r="BT413" s="530"/>
      <c r="BU413" s="530"/>
      <c r="BV413" s="530"/>
    </row>
    <row r="414" spans="69:74" ht="18.899999999999999" customHeight="1">
      <c r="BQ414" s="530"/>
      <c r="BR414" s="530"/>
      <c r="BS414" s="530"/>
      <c r="BT414" s="530"/>
      <c r="BU414" s="530"/>
      <c r="BV414" s="530"/>
    </row>
    <row r="415" spans="69:74" ht="18.899999999999999" customHeight="1">
      <c r="BQ415" s="530"/>
      <c r="BR415" s="530"/>
      <c r="BS415" s="530"/>
      <c r="BT415" s="530"/>
      <c r="BU415" s="530"/>
      <c r="BV415" s="530"/>
    </row>
    <row r="416" spans="69:74" ht="18.899999999999999" customHeight="1">
      <c r="BQ416" s="530"/>
      <c r="BR416" s="530"/>
      <c r="BS416" s="530"/>
      <c r="BT416" s="530"/>
      <c r="BU416" s="530"/>
      <c r="BV416" s="530"/>
    </row>
    <row r="417" spans="69:74" ht="18.899999999999999" customHeight="1">
      <c r="BQ417" s="530"/>
      <c r="BR417" s="530"/>
      <c r="BS417" s="530"/>
      <c r="BT417" s="530"/>
      <c r="BU417" s="530"/>
      <c r="BV417" s="530"/>
    </row>
    <row r="418" spans="69:74" ht="18.899999999999999" customHeight="1">
      <c r="BQ418" s="530"/>
      <c r="BR418" s="530"/>
      <c r="BS418" s="530"/>
      <c r="BT418" s="530"/>
      <c r="BU418" s="530"/>
      <c r="BV418" s="530"/>
    </row>
    <row r="419" spans="69:74" ht="18.899999999999999" customHeight="1">
      <c r="BQ419" s="530"/>
      <c r="BR419" s="530"/>
      <c r="BS419" s="530"/>
      <c r="BT419" s="530"/>
      <c r="BU419" s="530"/>
      <c r="BV419" s="530"/>
    </row>
    <row r="420" spans="69:74" ht="18.899999999999999" customHeight="1">
      <c r="BQ420" s="530"/>
      <c r="BR420" s="530"/>
      <c r="BS420" s="530"/>
      <c r="BT420" s="530"/>
      <c r="BU420" s="530"/>
      <c r="BV420" s="530"/>
    </row>
    <row r="421" spans="69:74" ht="18.899999999999999" customHeight="1">
      <c r="BQ421" s="530"/>
      <c r="BR421" s="530"/>
      <c r="BS421" s="530"/>
      <c r="BT421" s="530"/>
      <c r="BU421" s="530"/>
      <c r="BV421" s="530"/>
    </row>
    <row r="422" spans="69:74" ht="18.899999999999999" customHeight="1">
      <c r="BQ422" s="530"/>
      <c r="BR422" s="530"/>
      <c r="BS422" s="530"/>
      <c r="BT422" s="530"/>
      <c r="BU422" s="530"/>
      <c r="BV422" s="530"/>
    </row>
    <row r="423" spans="69:74" ht="18.899999999999999" customHeight="1">
      <c r="BQ423" s="530"/>
      <c r="BR423" s="530"/>
      <c r="BS423" s="530"/>
      <c r="BT423" s="530"/>
      <c r="BU423" s="530"/>
      <c r="BV423" s="530"/>
    </row>
    <row r="424" spans="69:74" ht="18.899999999999999" customHeight="1">
      <c r="BQ424" s="530"/>
      <c r="BR424" s="530"/>
      <c r="BS424" s="530"/>
      <c r="BT424" s="530"/>
      <c r="BU424" s="530"/>
      <c r="BV424" s="530"/>
    </row>
    <row r="425" spans="69:74" ht="18.899999999999999" customHeight="1">
      <c r="BQ425" s="530"/>
      <c r="BR425" s="530"/>
      <c r="BS425" s="530"/>
      <c r="BT425" s="530"/>
      <c r="BU425" s="530"/>
      <c r="BV425" s="530"/>
    </row>
    <row r="426" spans="69:74" ht="18.899999999999999" customHeight="1">
      <c r="BQ426" s="530"/>
      <c r="BR426" s="530"/>
      <c r="BS426" s="530"/>
      <c r="BT426" s="530"/>
      <c r="BU426" s="530"/>
      <c r="BV426" s="530"/>
    </row>
    <row r="427" spans="69:74" ht="18.899999999999999" customHeight="1">
      <c r="BQ427" s="530"/>
      <c r="BR427" s="530"/>
      <c r="BS427" s="530"/>
      <c r="BT427" s="530"/>
      <c r="BU427" s="530"/>
      <c r="BV427" s="530"/>
    </row>
    <row r="428" spans="69:74" ht="18.899999999999999" customHeight="1">
      <c r="BQ428" s="530"/>
      <c r="BR428" s="530"/>
      <c r="BS428" s="530"/>
      <c r="BT428" s="530"/>
      <c r="BU428" s="530"/>
      <c r="BV428" s="530"/>
    </row>
    <row r="429" spans="69:74" ht="18.899999999999999" customHeight="1">
      <c r="BQ429" s="530"/>
      <c r="BR429" s="530"/>
      <c r="BS429" s="530"/>
      <c r="BT429" s="530"/>
      <c r="BU429" s="530"/>
      <c r="BV429" s="530"/>
    </row>
    <row r="430" spans="69:74" ht="18.899999999999999" customHeight="1">
      <c r="BQ430" s="530"/>
      <c r="BR430" s="530"/>
      <c r="BS430" s="530"/>
      <c r="BT430" s="530"/>
      <c r="BU430" s="530"/>
      <c r="BV430" s="530"/>
    </row>
    <row r="431" spans="69:74" ht="18.899999999999999" customHeight="1">
      <c r="BQ431" s="530"/>
      <c r="BR431" s="530"/>
      <c r="BS431" s="530"/>
      <c r="BT431" s="530"/>
      <c r="BU431" s="530"/>
      <c r="BV431" s="530"/>
    </row>
    <row r="432" spans="69:74" ht="18.899999999999999" customHeight="1">
      <c r="BQ432" s="530"/>
      <c r="BR432" s="530"/>
      <c r="BS432" s="530"/>
      <c r="BT432" s="530"/>
      <c r="BU432" s="530"/>
      <c r="BV432" s="530"/>
    </row>
    <row r="433" spans="69:74" ht="18.899999999999999" customHeight="1">
      <c r="BQ433" s="530"/>
      <c r="BR433" s="530"/>
      <c r="BS433" s="530"/>
      <c r="BT433" s="530"/>
      <c r="BU433" s="530"/>
      <c r="BV433" s="530"/>
    </row>
    <row r="434" spans="69:74" ht="18.899999999999999" customHeight="1">
      <c r="BQ434" s="530"/>
      <c r="BR434" s="530"/>
      <c r="BS434" s="530"/>
      <c r="BT434" s="530"/>
      <c r="BU434" s="530"/>
      <c r="BV434" s="530"/>
    </row>
    <row r="435" spans="69:74" ht="18.899999999999999" customHeight="1">
      <c r="BQ435" s="530"/>
      <c r="BR435" s="530"/>
      <c r="BS435" s="530"/>
      <c r="BT435" s="530"/>
      <c r="BU435" s="530"/>
      <c r="BV435" s="530"/>
    </row>
    <row r="436" spans="69:74" ht="18.899999999999999" customHeight="1">
      <c r="BQ436" s="530"/>
      <c r="BR436" s="530"/>
      <c r="BS436" s="530"/>
      <c r="BT436" s="530"/>
      <c r="BU436" s="530"/>
      <c r="BV436" s="530"/>
    </row>
    <row r="437" spans="69:74" ht="18.899999999999999" customHeight="1">
      <c r="BQ437" s="530"/>
      <c r="BR437" s="530"/>
      <c r="BS437" s="530"/>
      <c r="BT437" s="530"/>
      <c r="BU437" s="530"/>
      <c r="BV437" s="530"/>
    </row>
    <row r="438" spans="69:74" ht="18.899999999999999" customHeight="1">
      <c r="BQ438" s="530"/>
      <c r="BR438" s="530"/>
      <c r="BS438" s="530"/>
      <c r="BT438" s="530"/>
      <c r="BU438" s="530"/>
      <c r="BV438" s="530"/>
    </row>
    <row r="439" spans="69:74" ht="18.899999999999999" customHeight="1">
      <c r="BQ439" s="530"/>
      <c r="BR439" s="530"/>
      <c r="BS439" s="530"/>
      <c r="BT439" s="530"/>
      <c r="BU439" s="530"/>
      <c r="BV439" s="530"/>
    </row>
    <row r="440" spans="69:74" ht="18.899999999999999" customHeight="1">
      <c r="BQ440" s="530"/>
      <c r="BR440" s="530"/>
      <c r="BS440" s="530"/>
      <c r="BT440" s="530"/>
      <c r="BU440" s="530"/>
      <c r="BV440" s="530"/>
    </row>
    <row r="441" spans="69:74" ht="18.899999999999999" customHeight="1">
      <c r="BQ441" s="530"/>
      <c r="BR441" s="530"/>
      <c r="BS441" s="530"/>
      <c r="BT441" s="530"/>
      <c r="BU441" s="530"/>
      <c r="BV441" s="530"/>
    </row>
    <row r="442" spans="69:74" ht="18.899999999999999" customHeight="1">
      <c r="BQ442" s="530"/>
      <c r="BR442" s="530"/>
      <c r="BS442" s="530"/>
      <c r="BT442" s="530"/>
      <c r="BU442" s="530"/>
      <c r="BV442" s="530"/>
    </row>
    <row r="443" spans="69:74" ht="18.899999999999999" customHeight="1">
      <c r="BQ443" s="530"/>
      <c r="BR443" s="530"/>
      <c r="BS443" s="530"/>
      <c r="BT443" s="530"/>
      <c r="BU443" s="530"/>
      <c r="BV443" s="530"/>
    </row>
  </sheetData>
  <autoFilter ref="A6:DV341" xr:uid="{00000000-0009-0000-0000-000011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2" filterMode="1">
    <tabColor rgb="FFFFFF00"/>
  </sheetPr>
  <dimension ref="A1:IB443"/>
  <sheetViews>
    <sheetView topLeftCell="A10" zoomScale="85" zoomScaleNormal="85" workbookViewId="0">
      <pane xSplit="1" topLeftCell="B1" activePane="topRight" state="frozen"/>
      <selection activeCell="A5" sqref="A5"/>
      <selection pane="topRight" activeCell="A11" sqref="A11"/>
    </sheetView>
  </sheetViews>
  <sheetFormatPr defaultColWidth="8.90625" defaultRowHeight="18.899999999999999" customHeight="1" outlineLevelRow="1"/>
  <cols>
    <col min="1" max="1" width="9.6328125" style="769" customWidth="1"/>
    <col min="2" max="2" width="6.1796875" style="769" customWidth="1"/>
    <col min="3" max="3" width="6" style="787" customWidth="1"/>
    <col min="4" max="4" width="5.08984375" style="787" hidden="1" customWidth="1"/>
    <col min="5" max="11" width="3.90625" style="787" hidden="1" customWidth="1"/>
    <col min="12" max="12" width="4.453125" style="787" hidden="1" customWidth="1"/>
    <col min="13" max="17" width="5.81640625" style="787" hidden="1" customWidth="1"/>
    <col min="18" max="19" width="5.81640625" style="788" hidden="1" customWidth="1"/>
    <col min="20" max="21" width="3.90625" style="769" hidden="1" customWidth="1"/>
    <col min="22" max="22" width="6.90625" style="471" customWidth="1"/>
    <col min="23" max="24" width="3.90625" style="769" hidden="1" customWidth="1"/>
    <col min="25" max="26" width="4.81640625" style="769" customWidth="1"/>
    <col min="27" max="29" width="4.36328125" style="769" hidden="1" customWidth="1"/>
    <col min="30" max="30" width="3.90625" style="471" hidden="1" customWidth="1"/>
    <col min="31" max="31" width="3.81640625" style="471" customWidth="1"/>
    <col min="32" max="32" width="4.90625" style="471" hidden="1" customWidth="1"/>
    <col min="33" max="44" width="4.36328125" style="471" hidden="1" customWidth="1"/>
    <col min="45" max="45" width="4.36328125" style="471" customWidth="1"/>
    <col min="46" max="58" width="4.36328125" style="471" hidden="1" customWidth="1"/>
    <col min="59" max="61" width="4.36328125" style="769" hidden="1" customWidth="1"/>
    <col min="62" max="62" width="4.81640625" style="769" customWidth="1"/>
    <col min="63" max="71" width="4.36328125" style="769" hidden="1" customWidth="1"/>
    <col min="72" max="72" width="4.54296875" style="471" customWidth="1"/>
    <col min="73" max="73" width="4.08984375" style="471" hidden="1" customWidth="1"/>
    <col min="74" max="83" width="4.36328125" style="471" hidden="1" customWidth="1"/>
    <col min="84" max="84" width="4.36328125" style="769" hidden="1" customWidth="1"/>
    <col min="85" max="85" width="3.81640625" style="769" customWidth="1"/>
    <col min="86" max="91" width="4.36328125" style="769" hidden="1" customWidth="1"/>
    <col min="92" max="92" width="4.36328125" style="471" hidden="1" customWidth="1"/>
    <col min="93" max="93" width="4.36328125" style="471" customWidth="1"/>
    <col min="94" max="101" width="4.36328125" style="471" hidden="1" customWidth="1"/>
    <col min="102" max="102" width="4.36328125" style="471" customWidth="1"/>
    <col min="103" max="105" width="4.36328125" style="471" hidden="1" customWidth="1"/>
    <col min="106" max="106" width="4.36328125" style="471" customWidth="1"/>
    <col min="107" max="108" width="4.36328125" style="769" hidden="1" customWidth="1"/>
    <col min="109" max="110" width="4.36328125" style="769" customWidth="1"/>
    <col min="111" max="113" width="4.36328125" style="769" hidden="1" customWidth="1"/>
    <col min="114" max="114" width="4.36328125" style="769" customWidth="1"/>
    <col min="115" max="116" width="4.36328125" style="769" hidden="1" customWidth="1"/>
    <col min="117" max="117" width="4.36328125" style="769" customWidth="1"/>
    <col min="118" max="121" width="4.36328125" style="769" hidden="1" customWidth="1"/>
    <col min="122" max="128" width="4.36328125" style="471" hidden="1" customWidth="1"/>
    <col min="129" max="131" width="4.36328125" style="769" hidden="1" customWidth="1"/>
    <col min="132" max="132" width="4.36328125" style="770" hidden="1" customWidth="1"/>
    <col min="133" max="136" width="4.36328125" style="471" hidden="1" customWidth="1"/>
    <col min="137" max="137" width="4.453125" style="471" customWidth="1"/>
    <col min="138" max="138" width="4.36328125" style="471" hidden="1" customWidth="1"/>
    <col min="139" max="139" width="4.36328125" style="471" customWidth="1"/>
    <col min="140" max="144" width="4.36328125" style="471" hidden="1" customWidth="1"/>
    <col min="145" max="145" width="4.36328125" style="471" customWidth="1"/>
    <col min="146" max="153" width="4.36328125" style="471" hidden="1" customWidth="1"/>
    <col min="154" max="156" width="4.36328125" style="471" customWidth="1"/>
    <col min="157" max="158" width="4.36328125" style="471" hidden="1" customWidth="1"/>
    <col min="159" max="160" width="4.36328125" style="471" customWidth="1"/>
    <col min="161" max="164" width="4.36328125" style="471" hidden="1" customWidth="1"/>
    <col min="165" max="165" width="4.36328125" style="471" customWidth="1"/>
    <col min="166" max="192" width="4.36328125" style="471" hidden="1" customWidth="1"/>
    <col min="193" max="193" width="4.36328125" style="769" hidden="1" customWidth="1"/>
    <col min="194" max="194" width="7.453125" style="771" customWidth="1"/>
    <col min="195" max="196" width="4.453125" customWidth="1"/>
    <col min="197" max="197" width="4.453125" style="769" customWidth="1"/>
    <col min="198" max="16384" width="8.90625" style="769"/>
  </cols>
  <sheetData>
    <row r="1" spans="1:236" s="2233" customFormat="1" ht="69" customHeight="1" outlineLevel="1">
      <c r="A1" s="2233" t="str">
        <f t="shared" ref="A1" si="0">IF(LEN(A9)&gt;0,A9,A8)</f>
        <v>Số trụ</v>
      </c>
      <c r="B1" s="2235" t="str">
        <f t="shared" ref="B1:AD1" si="1">IF(LEN(B10)&gt;0,B10,IF(LEN(B9)&gt;0,B9,B8))</f>
        <v>AC50</v>
      </c>
      <c r="C1" s="2235" t="str">
        <f t="shared" si="1"/>
        <v>XLPE95ACXH</v>
      </c>
      <c r="D1" s="2235" t="str">
        <f t="shared" si="1"/>
        <v>Cộng dồn 2xAC50  thu hồi</v>
      </c>
      <c r="E1" s="2235" t="str">
        <f t="shared" si="1"/>
        <v>Cộng dồn 3xAC70+AC50</v>
      </c>
      <c r="F1" s="2235" t="str">
        <f t="shared" si="1"/>
        <v>Cộng dồn 3xAC95+AC50</v>
      </c>
      <c r="G1" s="2235" t="str">
        <f t="shared" si="1"/>
        <v>Cộng dồn 3xAC120+AC70</v>
      </c>
      <c r="H1" s="2235" t="str">
        <f t="shared" si="1"/>
        <v>Cộng dồn 3xAC150+AC95</v>
      </c>
      <c r="I1" s="2235" t="str">
        <f t="shared" si="1"/>
        <v>Cộng dồn 3xAC185+AC120</v>
      </c>
      <c r="J1" s="2235" t="str">
        <f t="shared" si="1"/>
        <v>Cộng dồn 3xAC240+AC150</v>
      </c>
      <c r="K1" s="2235" t="str">
        <f t="shared" si="1"/>
        <v>Cộng dồn 3CXV25+AC50</v>
      </c>
      <c r="L1" s="2235" t="str">
        <f t="shared" si="1"/>
        <v>Cộng dồn 3AXV50mm2+AC50mm2</v>
      </c>
      <c r="M1" s="2235" t="str">
        <f t="shared" si="1"/>
        <v>Cộng dồn 3AXV70+AC50</v>
      </c>
      <c r="N1" s="2235" t="str">
        <f t="shared" si="1"/>
        <v>Cộng dồn 3AXV95+AC50</v>
      </c>
      <c r="O1" s="2235" t="str">
        <f t="shared" si="1"/>
        <v>Cộng dồn 3AXV120+AC70</v>
      </c>
      <c r="P1" s="2235" t="str">
        <f t="shared" si="1"/>
        <v>Cộng dồn 3AXV185+AC120</v>
      </c>
      <c r="Q1" s="2235" t="str">
        <f t="shared" si="1"/>
        <v>Cộng dồn 3AXV240+AC150</v>
      </c>
      <c r="R1" s="2235" t="str">
        <f t="shared" si="1"/>
        <v>Cộng dồn C/XLPE/PVC25+M25</v>
      </c>
      <c r="S1" s="2235" t="str">
        <f t="shared" si="1"/>
        <v>Cộng dồn C/XLPE/PVC50+M25</v>
      </c>
      <c r="T1" s="2235" t="str">
        <f t="shared" si="1"/>
        <v>Hướng: T (trái), P (phải)</v>
      </c>
      <c r="U1" s="2235" t="str">
        <f t="shared" si="1"/>
        <v>góc (độ)</v>
      </c>
      <c r="V1" s="2235" t="str">
        <f t="shared" si="1"/>
        <v>Hình thức trụ</v>
      </c>
      <c r="W1" s="2235" t="str">
        <f t="shared" si="1"/>
        <v>BTLT HH</v>
      </c>
      <c r="X1" s="2235" t="str">
        <f t="shared" si="1"/>
        <v>BTLT 10.5</v>
      </c>
      <c r="Y1" s="2235" t="str">
        <f t="shared" si="1"/>
        <v>BTLT 12HH</v>
      </c>
      <c r="Z1" s="2235" t="str">
        <f t="shared" si="1"/>
        <v>BTLT 12</v>
      </c>
      <c r="AA1" s="2235" t="str">
        <f t="shared" si="1"/>
        <v>BTLT 12 TC</v>
      </c>
      <c r="AB1" s="2235" t="str">
        <f t="shared" si="1"/>
        <v>BTLT 14</v>
      </c>
      <c r="AC1" s="2235" t="str">
        <f t="shared" si="1"/>
        <v>BTLT 20</v>
      </c>
      <c r="AD1" s="2235" t="str">
        <f t="shared" si="1"/>
        <v>M8a</v>
      </c>
      <c r="AE1" s="2235" t="str">
        <f>IF(LEN(AE10)&gt;0,AE10,IF(LEN(AE9)&gt;0,AE9,AE8))</f>
        <v>M12</v>
      </c>
      <c r="AF1" s="2235" t="str">
        <f t="shared" ref="AF1:CQ1" si="2">IF(LEN(AF10)&gt;0,AF10,IF(LEN(AF9)&gt;0,AF9,AF8))</f>
        <v>M12a</v>
      </c>
      <c r="AG1" s="2235" t="str">
        <f t="shared" si="2"/>
        <v>M12b</v>
      </c>
      <c r="AH1" s="2235" t="str">
        <f t="shared" si="2"/>
        <v>M12aa</v>
      </c>
      <c r="AI1" s="2235" t="str">
        <f t="shared" si="2"/>
        <v>M12ba</v>
      </c>
      <c r="AJ1" s="2235" t="str">
        <f t="shared" si="2"/>
        <v>M12bb</v>
      </c>
      <c r="AK1" s="2235" t="str">
        <f t="shared" si="2"/>
        <v>M12-2a</v>
      </c>
      <c r="AL1" s="2235" t="str">
        <f t="shared" si="2"/>
        <v>M12-2b</v>
      </c>
      <c r="AM1" s="2235" t="str">
        <f t="shared" si="2"/>
        <v>M12-2bn</v>
      </c>
      <c r="AN1" s="2235" t="str">
        <f t="shared" si="2"/>
        <v>M12b-aa(hh)</v>
      </c>
      <c r="AO1" s="2235" t="str">
        <f t="shared" si="2"/>
        <v>M12 CN</v>
      </c>
      <c r="AP1" s="2235" t="str">
        <f t="shared" si="2"/>
        <v>M12 PĐ</v>
      </c>
      <c r="AQ1" s="2235" t="str">
        <f t="shared" si="2"/>
        <v>M12BT ĐƠN</v>
      </c>
      <c r="AR1" s="2235" t="str">
        <f t="shared" si="2"/>
        <v>M12BT P500</v>
      </c>
      <c r="AS1" s="2235" t="str">
        <f t="shared" si="2"/>
        <v>M12BT ĐÔI</v>
      </c>
      <c r="AT1" s="2235" t="str">
        <f t="shared" si="2"/>
        <v>M14</v>
      </c>
      <c r="AU1" s="2235" t="str">
        <f t="shared" si="2"/>
        <v>M14a</v>
      </c>
      <c r="AV1" s="2235" t="str">
        <f t="shared" si="2"/>
        <v>M14b</v>
      </c>
      <c r="AW1" s="2235" t="str">
        <f t="shared" si="2"/>
        <v>M14BT ĐƠN</v>
      </c>
      <c r="AX1" s="2235" t="str">
        <f t="shared" si="2"/>
        <v>M14aa</v>
      </c>
      <c r="AY1" s="2235" t="str">
        <f t="shared" si="2"/>
        <v>M14ba</v>
      </c>
      <c r="AZ1" s="2235" t="str">
        <f t="shared" si="2"/>
        <v>M14bb</v>
      </c>
      <c r="BA1" s="2235" t="str">
        <f t="shared" si="2"/>
        <v>M14-2a</v>
      </c>
      <c r="BB1" s="2235" t="str">
        <f t="shared" si="2"/>
        <v>M14-2b</v>
      </c>
      <c r="BC1" s="2235" t="str">
        <f t="shared" si="2"/>
        <v>M14-2bn</v>
      </c>
      <c r="BD1" s="2235" t="str">
        <f t="shared" si="2"/>
        <v>M14-4b</v>
      </c>
      <c r="BE1" s="2235" t="str">
        <f t="shared" si="2"/>
        <v>BTCL-14-500</v>
      </c>
      <c r="BF1" s="2235" t="str">
        <f t="shared" si="2"/>
        <v>M20-4b</v>
      </c>
      <c r="BG1" s="2235" t="str">
        <f t="shared" si="2"/>
        <v>CX10-B</v>
      </c>
      <c r="BH1" s="2235" t="str">
        <f t="shared" si="2"/>
        <v>CL10-B</v>
      </c>
      <c r="BI1" s="2235" t="str">
        <f t="shared" si="2"/>
        <v>CXX10-B</v>
      </c>
      <c r="BJ1" s="2235" t="str">
        <f t="shared" si="2"/>
        <v>CX12-B</v>
      </c>
      <c r="BK1" s="2235" t="str">
        <f t="shared" si="2"/>
        <v>CL12-B</v>
      </c>
      <c r="BL1" s="2235" t="str">
        <f t="shared" si="2"/>
        <v>CXX12-B</v>
      </c>
      <c r="BM1" s="2235" t="str">
        <f t="shared" si="2"/>
        <v>CX14-B</v>
      </c>
      <c r="BN1" s="2235" t="str">
        <f t="shared" si="2"/>
        <v>CL14-B</v>
      </c>
      <c r="BO1" s="2235" t="str">
        <f t="shared" si="2"/>
        <v>CXX14-B</v>
      </c>
      <c r="BP1" s="2235" t="str">
        <f t="shared" si="2"/>
        <v>CX20-B</v>
      </c>
      <c r="BQ1" s="2235" t="str">
        <f t="shared" si="2"/>
        <v>CK-B</v>
      </c>
      <c r="BR1" s="2235" t="str">
        <f t="shared" si="2"/>
        <v>CKK-B</v>
      </c>
      <c r="BS1" s="2235" t="str">
        <f t="shared" si="2"/>
        <v>Khoảng cách</v>
      </c>
      <c r="BT1" s="2235" t="str">
        <f t="shared" si="2"/>
        <v>NXX</v>
      </c>
      <c r="BU1" s="2235" t="str">
        <f t="shared" si="2"/>
        <v>NXL</v>
      </c>
      <c r="BV1" s="2235" t="str">
        <f t="shared" si="2"/>
        <v xml:space="preserve">MNX12-2 </v>
      </c>
      <c r="BW1" s="2235" t="str">
        <f t="shared" si="2"/>
        <v>MNL12-2</v>
      </c>
      <c r="BX1" s="2235" t="str">
        <f t="shared" si="2"/>
        <v xml:space="preserve">MNX12-4 </v>
      </c>
      <c r="BY1" s="2235" t="str">
        <f t="shared" si="2"/>
        <v xml:space="preserve">MNL12-4 </v>
      </c>
      <c r="BZ1" s="2235" t="str">
        <f t="shared" si="2"/>
        <v xml:space="preserve">MNX15-4 </v>
      </c>
      <c r="CA1" s="2235" t="str">
        <f t="shared" si="2"/>
        <v>MNL15-4</v>
      </c>
      <c r="CB1" s="2235" t="str">
        <f t="shared" si="2"/>
        <v xml:space="preserve">MNX15-6 </v>
      </c>
      <c r="CC1" s="2235" t="str">
        <f t="shared" si="2"/>
        <v xml:space="preserve">MNL15-6 </v>
      </c>
      <c r="CD1" s="2235" t="str">
        <f t="shared" si="2"/>
        <v xml:space="preserve">MNX18-6 </v>
      </c>
      <c r="CE1" s="2235" t="str">
        <f t="shared" si="2"/>
        <v xml:space="preserve">MNL18-6 </v>
      </c>
      <c r="CF1" s="2235" t="str">
        <f t="shared" si="2"/>
        <v>Tiếp địa lặp lại (trụ 10.5m)</v>
      </c>
      <c r="CG1" s="2235" t="str">
        <f t="shared" si="2"/>
        <v>TDTT12</v>
      </c>
      <c r="CH1" s="2235" t="str">
        <f t="shared" si="2"/>
        <v>TDLL12</v>
      </c>
      <c r="CI1" s="2235" t="str">
        <f t="shared" si="2"/>
        <v>Tiếp địa mái tole</v>
      </c>
      <c r="CJ1" s="2235" t="str">
        <f t="shared" si="2"/>
        <v>Tiếp địa trụ đo đếm</v>
      </c>
      <c r="CK1" s="2235" t="str">
        <f t="shared" si="2"/>
        <v>Tiếp địa Recloser</v>
      </c>
      <c r="CL1" s="2235" t="str">
        <f t="shared" si="2"/>
        <v>Tiếp địa lặp lại (trụ 14m)</v>
      </c>
      <c r="CM1" s="2235" t="str">
        <f t="shared" si="2"/>
        <v>Tiếp địa lặp lại (trụ 20m)</v>
      </c>
      <c r="CN1" s="2235" t="str">
        <f t="shared" si="2"/>
        <v>X-20Đ</v>
      </c>
      <c r="CO1" s="2235" t="str">
        <f t="shared" si="2"/>
        <v>X-22K-Đ</v>
      </c>
      <c r="CP1" s="2235" t="str">
        <f t="shared" si="2"/>
        <v>X-22K-K</v>
      </c>
      <c r="CQ1" s="2235" t="str">
        <f t="shared" si="2"/>
        <v>X-22Đ</v>
      </c>
      <c r="CR1" s="2235" t="str">
        <f t="shared" ref="CR1:FD1" si="3">IF(LEN(CR10)&gt;0,CR10,IF(LEN(CR9)&gt;0,CR9,CR8))</f>
        <v>X-22K-Đ-C920</v>
      </c>
      <c r="CS1" s="2235" t="str">
        <f t="shared" si="3"/>
        <v>X-22K-K-C920</v>
      </c>
      <c r="CT1" s="2235" t="str">
        <f t="shared" si="3"/>
        <v>X-1,66K</v>
      </c>
      <c r="CU1" s="2235" t="str">
        <f t="shared" si="3"/>
        <v>X-1,66Đ</v>
      </c>
      <c r="CV1" s="2235" t="str">
        <f t="shared" si="3"/>
        <v>X-21KL</v>
      </c>
      <c r="CW1" s="2235" t="str">
        <f t="shared" si="3"/>
        <v>X-21ĐL</v>
      </c>
      <c r="CX1" s="2235" t="str">
        <f t="shared" si="3"/>
        <v>X-20ĐL2/3</v>
      </c>
      <c r="CY1" s="2235" t="str">
        <f t="shared" si="3"/>
        <v>X-20KL2/3</v>
      </c>
      <c r="CZ1" s="2235" t="str">
        <f t="shared" si="3"/>
        <v>X-24Đ</v>
      </c>
      <c r="DA1" s="2235" t="str">
        <f t="shared" si="3"/>
        <v>X-24KP500</v>
      </c>
      <c r="DB1" s="2235" t="str">
        <f t="shared" si="3"/>
        <v>X-24COMPOSITE</v>
      </c>
      <c r="DC1" s="2235" t="str">
        <f t="shared" si="3"/>
        <v>Bộ sứ đỉnh SĐI</v>
      </c>
      <c r="DD1" s="2235" t="str">
        <f t="shared" si="3"/>
        <v>Bộ sứ đỉnh SĐG</v>
      </c>
      <c r="DE1" s="2235" t="str">
        <f t="shared" si="3"/>
        <v>SĐU</v>
      </c>
      <c r="DF1" s="2235" t="str">
        <f t="shared" si="3"/>
        <v>CĐTply-X</v>
      </c>
      <c r="DG1" s="2235" t="str">
        <f t="shared" si="3"/>
        <v xml:space="preserve">Chuỗi Polymer lắp vào trụ CĐT </v>
      </c>
      <c r="DH1" s="2235" t="str">
        <f t="shared" si="3"/>
        <v>Ốc xiết cáp cỡ 25mm2</v>
      </c>
      <c r="DI1" s="2235" t="str">
        <f t="shared" si="3"/>
        <v>Ốc xiết cáp cỡ 50mm2</v>
      </c>
      <c r="DJ1" s="2235" t="str">
        <f t="shared" si="3"/>
        <v>Đth-U</v>
      </c>
      <c r="DK1" s="2235" t="str">
        <f t="shared" si="3"/>
        <v>Bộ đỡ dây T.H  trụ ghép: Đth-U-g</v>
      </c>
      <c r="DL1" s="2235" t="str">
        <f t="shared" si="3"/>
        <v>Bộ đỡ dây T.H : Đth-UX</v>
      </c>
      <c r="DM1" s="2235" t="str">
        <f t="shared" si="3"/>
        <v>Nth-T</v>
      </c>
      <c r="DN1" s="2235" t="str">
        <f t="shared" si="3"/>
        <v>Bộ néo dây T.H vao xa: Nth-X</v>
      </c>
      <c r="DO1" s="2235" t="str">
        <f t="shared" si="3"/>
        <v>Bộ khoá néo dây T.H vao xa: Nth- X</v>
      </c>
      <c r="DP1" s="2235" t="str">
        <f t="shared" si="3"/>
        <v>Bộ khóa néo T.H vào trụ : Nth-T-g</v>
      </c>
      <c r="DQ1" s="2235" t="str">
        <f t="shared" si="3"/>
        <v>Bộ khóa néo T.H vào trụ : Nth-T</v>
      </c>
      <c r="DR1" s="2235" t="str">
        <f t="shared" si="3"/>
        <v>Kẹp 2 rãnh cỡ dây 50mm2</v>
      </c>
      <c r="DS1" s="2235" t="str">
        <f t="shared" si="3"/>
        <v>Kẹp 2 rãnh cỡ dây 70mm2</v>
      </c>
      <c r="DT1" s="2235" t="str">
        <f t="shared" si="3"/>
        <v>Kẹp 2 rãnh cỡ dây 95mm2</v>
      </c>
      <c r="DU1" s="2235" t="str">
        <f t="shared" si="3"/>
        <v>Kẹp 2 rãnh cỡ dây 120mm2</v>
      </c>
      <c r="DV1" s="2235" t="str">
        <f t="shared" si="3"/>
        <v>Kẹp 2 rãnh cỡ dây 150mm2</v>
      </c>
      <c r="DW1" s="2235" t="str">
        <f t="shared" si="3"/>
        <v>Kẹp 2rãnh cỡ dây 185mm2</v>
      </c>
      <c r="DX1" s="2235" t="str">
        <f t="shared" si="3"/>
        <v>Kẹp 2rãnh cỡ dây 240mm2</v>
      </c>
      <c r="DY1" s="2235" t="str">
        <f t="shared" si="3"/>
        <v>Rack 2 sứ hạ thế + bulon</v>
      </c>
      <c r="DZ1" s="2235" t="str">
        <f t="shared" si="3"/>
        <v>Rack 3 sứ hạ thế + bulon</v>
      </c>
      <c r="EA1" s="2235" t="str">
        <f t="shared" si="3"/>
        <v>Rack 4 sứ hạ thế + bulon</v>
      </c>
      <c r="EB1" s="2235" t="str">
        <f t="shared" si="3"/>
        <v xml:space="preserve">KQ2/0 </v>
      </c>
      <c r="EC1" s="2235" t="str">
        <f t="shared" si="3"/>
        <v>KH2/0</v>
      </c>
      <c r="ED1" s="2235" t="str">
        <f t="shared" si="3"/>
        <v xml:space="preserve">KQ4/0 </v>
      </c>
      <c r="EE1" s="2235" t="str">
        <f t="shared" si="3"/>
        <v>KH4/0</v>
      </c>
      <c r="EF1" s="2235" t="str">
        <f t="shared" si="3"/>
        <v>Kẹp ép cỡ 35mm2</v>
      </c>
      <c r="EG1" s="2235" t="str">
        <f t="shared" si="3"/>
        <v>ke50</v>
      </c>
      <c r="EH1" s="2235" t="str">
        <f t="shared" si="3"/>
        <v>Kẹp ép cỡ 70mm2</v>
      </c>
      <c r="EI1" s="2235" t="str">
        <f t="shared" si="3"/>
        <v>ke95</v>
      </c>
      <c r="EJ1" s="2235" t="str">
        <f t="shared" si="3"/>
        <v>ke120</v>
      </c>
      <c r="EK1" s="2235" t="str">
        <f t="shared" si="3"/>
        <v>ke150</v>
      </c>
      <c r="EL1" s="2235" t="str">
        <f t="shared" si="3"/>
        <v>Kẹp ép cỡ 185mm2</v>
      </c>
      <c r="EM1" s="2235" t="str">
        <f t="shared" si="3"/>
        <v>Kẹp ép cỡ 240mm2</v>
      </c>
      <c r="EN1" s="2235" t="str">
        <f t="shared" si="3"/>
        <v>Kẹp APC 2 rảnh</v>
      </c>
      <c r="EO1" s="2235" t="str">
        <f t="shared" si="3"/>
        <v>COSe50</v>
      </c>
      <c r="EP1" s="2235" t="str">
        <f t="shared" si="3"/>
        <v>Đầu cốt ép cỡ dây 95mm2</v>
      </c>
      <c r="EQ1" s="2235" t="str">
        <f t="shared" si="3"/>
        <v>Đầu cốt ép cỡ dây 120mm2</v>
      </c>
      <c r="ER1" s="2235" t="str">
        <f t="shared" si="3"/>
        <v>Đầu cốt ép cỡ dây 150mm2</v>
      </c>
      <c r="ES1" s="2235" t="str">
        <f t="shared" si="3"/>
        <v>Đầu cốt ép cỡ dây 185mm2</v>
      </c>
      <c r="ET1" s="2235" t="str">
        <f t="shared" si="3"/>
        <v>Đầu cốt ép cỡ dây 240mm2</v>
      </c>
      <c r="EU1" s="2235" t="str">
        <f t="shared" si="3"/>
        <v>LBFCO100</v>
      </c>
      <c r="EV1" s="2235" t="str">
        <f t="shared" si="3"/>
        <v>LBFCO200</v>
      </c>
      <c r="EW1" s="2235" t="str">
        <f t="shared" si="3"/>
        <v>FCO200</v>
      </c>
      <c r="EX1" s="2235" t="str">
        <f t="shared" si="3"/>
        <v>FCO100-22</v>
      </c>
      <c r="EY1" s="2235" t="str">
        <f t="shared" si="3"/>
        <v>ssf</v>
      </c>
      <c r="EZ1" s="2235" t="str">
        <f t="shared" si="3"/>
        <v>ttf</v>
      </c>
      <c r="FA1" s="2235" t="str">
        <f t="shared" si="3"/>
        <v>BMOC16300</v>
      </c>
      <c r="FB1" s="2235" t="str">
        <f t="shared" si="3"/>
        <v>KNGUNG95</v>
      </c>
      <c r="FC1" s="2235" t="str">
        <f t="shared" ref="FC1" si="4">IF(LEN(FC10)&gt;0,FC10,IF(LEN(FC9)&gt;0,FC9,FC8))</f>
        <v>BANGKEOt</v>
      </c>
      <c r="FD1" s="2235" t="str">
        <f t="shared" si="3"/>
        <v>ocn</v>
      </c>
      <c r="FE1" s="2235" t="str">
        <f t="shared" ref="FE1:GK1" si="5">IF(LEN(FE10)&gt;0,FE10,IF(LEN(FE9)&gt;0,FE9,FE8))</f>
        <v>DS3p</v>
      </c>
      <c r="FF1" s="2235" t="str">
        <f t="shared" si="5"/>
        <v>LBS</v>
      </c>
      <c r="FG1" s="2235" t="str">
        <f t="shared" si="5"/>
        <v>LTD</v>
      </c>
      <c r="FH1" s="2235" t="str">
        <f t="shared" si="5"/>
        <v>LA 12kV 10kA</v>
      </c>
      <c r="FI1" s="2235" t="str">
        <f t="shared" si="5"/>
        <v>LA18</v>
      </c>
      <c r="FJ1" s="2235" t="str">
        <f t="shared" si="5"/>
        <v>Tháo sứ đứng</v>
      </c>
      <c r="FK1" s="2235" t="str">
        <f t="shared" si="5"/>
        <v>Tháo sứ đỉnh thẳng</v>
      </c>
      <c r="FL1" s="2235" t="str">
        <f t="shared" si="5"/>
        <v>Tháo sứ đỉnh góc</v>
      </c>
      <c r="FM1" s="2235" t="str">
        <f t="shared" si="5"/>
        <v>Tháo và lắp sứ thủy tinh 2 bát</v>
      </c>
      <c r="FN1" s="2235" t="str">
        <f t="shared" si="5"/>
        <v>Tháo và lắp sứ treo Polymer</v>
      </c>
      <c r="FO1" s="2235" t="str">
        <f t="shared" si="5"/>
        <v>Tháo và lắp Ulevit và sứ ống chỉ</v>
      </c>
      <c r="FP1" s="2235" t="str">
        <f t="shared" si="5"/>
        <v>Tháo và lắp sứ đứng + chân sứ</v>
      </c>
      <c r="FQ1" s="2235" t="str">
        <f t="shared" si="5"/>
        <v>Tháo và lắp rack 2 sứ</v>
      </c>
      <c r="FR1" s="2235" t="str">
        <f t="shared" si="5"/>
        <v>Tháo và lắp rack 3 sứ</v>
      </c>
      <c r="FS1" s="2235" t="str">
        <f t="shared" si="5"/>
        <v>Tháo và lắp rack 4 sứ</v>
      </c>
      <c r="FT1" s="2235" t="str">
        <f t="shared" si="5"/>
        <v>Tháo bộ chằng xuống đơn CX-12B</v>
      </c>
      <c r="FU1" s="2235" t="str">
        <f t="shared" si="5"/>
        <v>Tháo bộ chằng lệch đơn CL-12B</v>
      </c>
      <c r="FV1" s="2235" t="str">
        <f t="shared" si="5"/>
        <v>Tháo bộ chằng lệch hạ thế</v>
      </c>
      <c r="FW1" s="2235" t="str">
        <f t="shared" si="5"/>
        <v>Nhổ và trồng trụ 12m</v>
      </c>
      <c r="FX1" s="2235" t="str">
        <f t="shared" si="5"/>
        <v>Nhổ thu hồi trụ 10,5m</v>
      </c>
      <c r="FY1" s="2235" t="str">
        <f t="shared" si="5"/>
        <v>Nhổ và trồng trụ 8,4m</v>
      </c>
      <c r="FZ1" s="2235" t="str">
        <f t="shared" si="5"/>
        <v>Nhổ trụ 8,4m</v>
      </c>
      <c r="GA1" s="2235" t="str">
        <f t="shared" si="5"/>
        <v>Tháo thu hồi giá đỡ FCO</v>
      </c>
      <c r="GB1" s="2235" t="str">
        <f t="shared" si="5"/>
        <v>Tháo và lắp giá đỡ FCO</v>
      </c>
      <c r="GC1" s="2235" t="str">
        <f t="shared" si="5"/>
        <v>Tháo FCO</v>
      </c>
      <c r="GD1" s="2235" t="str">
        <f t="shared" si="5"/>
        <v>Tháo và lắp FCO</v>
      </c>
      <c r="GE1" s="2235" t="str">
        <f t="shared" si="5"/>
        <v>Tháo và lắp LA</v>
      </c>
      <c r="GF1" s="2235" t="str">
        <f t="shared" si="5"/>
        <v>Tháo lắp  TU</v>
      </c>
      <c r="GG1" s="2235" t="str">
        <f t="shared" si="5"/>
        <v>Tháo và lắp xà X-2.6K trụ PI</v>
      </c>
      <c r="GH1" s="2235" t="str">
        <f t="shared" si="5"/>
        <v>Tháo và lắp xà X-2.1K</v>
      </c>
      <c r="GI1" s="2235" t="str">
        <f t="shared" si="5"/>
        <v>Tháo lắp MBA 1 pha 50kVA</v>
      </c>
      <c r="GJ1" s="2235" t="str">
        <f t="shared" si="5"/>
        <v>Tháo lắp MBA 1 pha 75kVA</v>
      </c>
      <c r="GK1" s="2235" t="str">
        <f t="shared" si="5"/>
        <v>Vị trí vượt đường</v>
      </c>
      <c r="GL1" s="2233" t="str">
        <f t="shared" ref="GL1" si="6">IF(LEN(GL9)&gt;0,GL9,GL8)</f>
        <v>GHI CHÚ</v>
      </c>
      <c r="GM1" s="2234" t="s">
        <v>1490</v>
      </c>
      <c r="GN1" s="2234" t="s">
        <v>697</v>
      </c>
      <c r="GO1" s="2233" t="s">
        <v>550</v>
      </c>
      <c r="GP1" s="2233" t="s">
        <v>4368</v>
      </c>
      <c r="GQ1" s="2233" t="s">
        <v>6182</v>
      </c>
      <c r="GR1" s="2233" t="s">
        <v>4751</v>
      </c>
      <c r="GS1" s="2233" t="s">
        <v>6176</v>
      </c>
      <c r="GT1" s="2233" t="s">
        <v>6180</v>
      </c>
    </row>
    <row r="2" spans="1:236" ht="18.899999999999999" customHeight="1" outlineLevel="1">
      <c r="A2" s="769" t="s">
        <v>4404</v>
      </c>
      <c r="B2" s="769">
        <f>B3</f>
        <v>63</v>
      </c>
      <c r="C2" s="769">
        <f t="shared" ref="C2:BN2" si="7">C3</f>
        <v>0</v>
      </c>
      <c r="D2" s="769">
        <f t="shared" si="7"/>
        <v>0</v>
      </c>
      <c r="E2" s="769">
        <f t="shared" si="7"/>
        <v>0</v>
      </c>
      <c r="F2" s="769">
        <f t="shared" si="7"/>
        <v>0</v>
      </c>
      <c r="G2" s="769">
        <f t="shared" si="7"/>
        <v>0</v>
      </c>
      <c r="H2" s="769">
        <f t="shared" si="7"/>
        <v>0</v>
      </c>
      <c r="I2" s="769">
        <f t="shared" si="7"/>
        <v>0</v>
      </c>
      <c r="J2" s="769">
        <f t="shared" si="7"/>
        <v>0</v>
      </c>
      <c r="K2" s="769">
        <f t="shared" si="7"/>
        <v>0</v>
      </c>
      <c r="L2" s="769">
        <f t="shared" si="7"/>
        <v>0</v>
      </c>
      <c r="M2" s="769">
        <f t="shared" si="7"/>
        <v>0</v>
      </c>
      <c r="N2" s="769">
        <f t="shared" si="7"/>
        <v>0</v>
      </c>
      <c r="O2" s="769">
        <f t="shared" si="7"/>
        <v>0</v>
      </c>
      <c r="P2" s="769">
        <f t="shared" si="7"/>
        <v>0</v>
      </c>
      <c r="Q2" s="769">
        <f t="shared" si="7"/>
        <v>0</v>
      </c>
      <c r="R2" s="769">
        <f t="shared" si="7"/>
        <v>0</v>
      </c>
      <c r="S2" s="769">
        <f t="shared" si="7"/>
        <v>0</v>
      </c>
      <c r="T2" s="769">
        <f t="shared" si="7"/>
        <v>0</v>
      </c>
      <c r="U2" s="769">
        <f t="shared" si="7"/>
        <v>0</v>
      </c>
      <c r="V2" s="769">
        <f t="shared" si="7"/>
        <v>0</v>
      </c>
      <c r="W2" s="769">
        <f t="shared" si="7"/>
        <v>0</v>
      </c>
      <c r="X2" s="769">
        <f t="shared" si="7"/>
        <v>0</v>
      </c>
      <c r="Y2" s="769">
        <f t="shared" si="7"/>
        <v>2</v>
      </c>
      <c r="Z2" s="769">
        <f t="shared" si="7"/>
        <v>3</v>
      </c>
      <c r="AA2" s="769">
        <f t="shared" si="7"/>
        <v>0</v>
      </c>
      <c r="AB2" s="769">
        <f t="shared" si="7"/>
        <v>0</v>
      </c>
      <c r="AC2" s="769">
        <f t="shared" si="7"/>
        <v>0</v>
      </c>
      <c r="AD2" s="769">
        <f t="shared" si="7"/>
        <v>0</v>
      </c>
      <c r="AE2" s="769">
        <f t="shared" si="7"/>
        <v>1</v>
      </c>
      <c r="AF2" s="769">
        <f t="shared" si="7"/>
        <v>0</v>
      </c>
      <c r="AG2" s="769">
        <f t="shared" si="7"/>
        <v>0</v>
      </c>
      <c r="AH2" s="769">
        <f t="shared" si="7"/>
        <v>0</v>
      </c>
      <c r="AI2" s="769">
        <f t="shared" si="7"/>
        <v>0</v>
      </c>
      <c r="AJ2" s="769">
        <f t="shared" si="7"/>
        <v>0</v>
      </c>
      <c r="AK2" s="769">
        <f t="shared" si="7"/>
        <v>0</v>
      </c>
      <c r="AL2" s="769">
        <f t="shared" si="7"/>
        <v>0</v>
      </c>
      <c r="AM2" s="769">
        <f t="shared" si="7"/>
        <v>0</v>
      </c>
      <c r="AN2" s="769">
        <f t="shared" si="7"/>
        <v>0</v>
      </c>
      <c r="AO2" s="769">
        <f t="shared" si="7"/>
        <v>0</v>
      </c>
      <c r="AP2" s="769">
        <f t="shared" si="7"/>
        <v>0</v>
      </c>
      <c r="AQ2" s="769">
        <f t="shared" si="7"/>
        <v>0</v>
      </c>
      <c r="AR2" s="769">
        <f t="shared" si="7"/>
        <v>0</v>
      </c>
      <c r="AS2" s="769">
        <f t="shared" si="7"/>
        <v>1</v>
      </c>
      <c r="AT2" s="769">
        <f t="shared" si="7"/>
        <v>0</v>
      </c>
      <c r="AU2" s="769">
        <f t="shared" si="7"/>
        <v>0</v>
      </c>
      <c r="AV2" s="769">
        <f t="shared" si="7"/>
        <v>0</v>
      </c>
      <c r="AW2" s="769">
        <f t="shared" si="7"/>
        <v>0</v>
      </c>
      <c r="AX2" s="769">
        <f t="shared" si="7"/>
        <v>0</v>
      </c>
      <c r="AY2" s="769">
        <f t="shared" si="7"/>
        <v>0</v>
      </c>
      <c r="AZ2" s="769">
        <f t="shared" si="7"/>
        <v>0</v>
      </c>
      <c r="BA2" s="769">
        <f t="shared" si="7"/>
        <v>0</v>
      </c>
      <c r="BB2" s="769">
        <f t="shared" si="7"/>
        <v>0</v>
      </c>
      <c r="BC2" s="769">
        <f t="shared" si="7"/>
        <v>0</v>
      </c>
      <c r="BD2" s="769">
        <f t="shared" si="7"/>
        <v>0</v>
      </c>
      <c r="BE2" s="769">
        <f t="shared" si="7"/>
        <v>0</v>
      </c>
      <c r="BF2" s="769">
        <f t="shared" si="7"/>
        <v>0</v>
      </c>
      <c r="BG2" s="769">
        <f t="shared" si="7"/>
        <v>0</v>
      </c>
      <c r="BH2" s="769">
        <f t="shared" si="7"/>
        <v>0</v>
      </c>
      <c r="BI2" s="769">
        <f t="shared" si="7"/>
        <v>0</v>
      </c>
      <c r="BJ2" s="769">
        <f t="shared" si="7"/>
        <v>1</v>
      </c>
      <c r="BK2" s="769">
        <f t="shared" si="7"/>
        <v>0</v>
      </c>
      <c r="BL2" s="769">
        <f t="shared" si="7"/>
        <v>0</v>
      </c>
      <c r="BM2" s="769">
        <f t="shared" si="7"/>
        <v>0</v>
      </c>
      <c r="BN2" s="769">
        <f t="shared" si="7"/>
        <v>0</v>
      </c>
      <c r="BO2" s="769">
        <f t="shared" ref="BO2:EA2" si="8">BO3</f>
        <v>0</v>
      </c>
      <c r="BP2" s="769">
        <f t="shared" si="8"/>
        <v>0</v>
      </c>
      <c r="BQ2" s="769">
        <f t="shared" si="8"/>
        <v>0</v>
      </c>
      <c r="BR2" s="769">
        <f t="shared" si="8"/>
        <v>0</v>
      </c>
      <c r="BS2" s="769">
        <f t="shared" si="8"/>
        <v>0</v>
      </c>
      <c r="BT2" s="769">
        <f t="shared" si="8"/>
        <v>1</v>
      </c>
      <c r="BU2" s="769">
        <f t="shared" si="8"/>
        <v>0</v>
      </c>
      <c r="BV2" s="769">
        <f t="shared" si="8"/>
        <v>0</v>
      </c>
      <c r="BW2" s="769">
        <f t="shared" si="8"/>
        <v>0</v>
      </c>
      <c r="BX2" s="769">
        <f t="shared" si="8"/>
        <v>0</v>
      </c>
      <c r="BY2" s="769">
        <f t="shared" si="8"/>
        <v>0</v>
      </c>
      <c r="BZ2" s="769">
        <f t="shared" si="8"/>
        <v>0</v>
      </c>
      <c r="CA2" s="769">
        <f t="shared" si="8"/>
        <v>0</v>
      </c>
      <c r="CB2" s="769">
        <f t="shared" si="8"/>
        <v>0</v>
      </c>
      <c r="CC2" s="769">
        <f t="shared" si="8"/>
        <v>0</v>
      </c>
      <c r="CD2" s="769">
        <f t="shared" si="8"/>
        <v>0</v>
      </c>
      <c r="CE2" s="769">
        <f t="shared" si="8"/>
        <v>0</v>
      </c>
      <c r="CF2" s="769">
        <f t="shared" si="8"/>
        <v>0</v>
      </c>
      <c r="CG2" s="769">
        <f t="shared" si="8"/>
        <v>1</v>
      </c>
      <c r="CH2" s="769">
        <f t="shared" si="8"/>
        <v>0</v>
      </c>
      <c r="CI2" s="769">
        <f t="shared" si="8"/>
        <v>0</v>
      </c>
      <c r="CJ2" s="769">
        <f t="shared" si="8"/>
        <v>0</v>
      </c>
      <c r="CK2" s="769">
        <f t="shared" si="8"/>
        <v>0</v>
      </c>
      <c r="CL2" s="769">
        <f t="shared" si="8"/>
        <v>0</v>
      </c>
      <c r="CM2" s="769">
        <f t="shared" si="8"/>
        <v>0</v>
      </c>
      <c r="CN2" s="769">
        <f t="shared" si="8"/>
        <v>0</v>
      </c>
      <c r="CO2" s="769">
        <f t="shared" si="8"/>
        <v>2</v>
      </c>
      <c r="CP2" s="769">
        <f t="shared" si="8"/>
        <v>0</v>
      </c>
      <c r="CQ2" s="769">
        <f t="shared" si="8"/>
        <v>0</v>
      </c>
      <c r="CR2" s="769">
        <f t="shared" si="8"/>
        <v>0</v>
      </c>
      <c r="CS2" s="769">
        <f t="shared" si="8"/>
        <v>0</v>
      </c>
      <c r="CT2" s="769">
        <f t="shared" si="8"/>
        <v>0</v>
      </c>
      <c r="CU2" s="769">
        <f t="shared" si="8"/>
        <v>0</v>
      </c>
      <c r="CV2" s="769">
        <f t="shared" si="8"/>
        <v>0</v>
      </c>
      <c r="CW2" s="769">
        <f t="shared" si="8"/>
        <v>0</v>
      </c>
      <c r="CX2" s="769">
        <f t="shared" si="8"/>
        <v>1</v>
      </c>
      <c r="CY2" s="769">
        <f t="shared" si="8"/>
        <v>0</v>
      </c>
      <c r="CZ2" s="769">
        <f t="shared" si="8"/>
        <v>0</v>
      </c>
      <c r="DA2" s="769">
        <f t="shared" si="8"/>
        <v>0</v>
      </c>
      <c r="DB2" s="769">
        <f t="shared" si="8"/>
        <v>1</v>
      </c>
      <c r="DC2" s="769">
        <f t="shared" si="8"/>
        <v>0</v>
      </c>
      <c r="DD2" s="769">
        <f t="shared" si="8"/>
        <v>0</v>
      </c>
      <c r="DE2" s="769">
        <f t="shared" si="8"/>
        <v>8</v>
      </c>
      <c r="DF2" s="769">
        <f t="shared" si="8"/>
        <v>6</v>
      </c>
      <c r="DG2" s="769">
        <f t="shared" si="8"/>
        <v>0</v>
      </c>
      <c r="DH2" s="769">
        <f t="shared" si="8"/>
        <v>0</v>
      </c>
      <c r="DI2" s="769">
        <f t="shared" si="8"/>
        <v>0</v>
      </c>
      <c r="DJ2" s="769">
        <f t="shared" si="8"/>
        <v>1</v>
      </c>
      <c r="DK2" s="769">
        <f t="shared" si="8"/>
        <v>0</v>
      </c>
      <c r="DL2" s="769">
        <f t="shared" si="8"/>
        <v>0</v>
      </c>
      <c r="DM2" s="769">
        <f t="shared" si="8"/>
        <v>2</v>
      </c>
      <c r="DN2" s="769">
        <f t="shared" si="8"/>
        <v>0</v>
      </c>
      <c r="DO2" s="769">
        <f t="shared" si="8"/>
        <v>0</v>
      </c>
      <c r="DP2" s="769">
        <f t="shared" si="8"/>
        <v>0</v>
      </c>
      <c r="DQ2" s="769">
        <f t="shared" si="8"/>
        <v>0</v>
      </c>
      <c r="DR2" s="769">
        <f t="shared" si="8"/>
        <v>0</v>
      </c>
      <c r="DS2" s="769">
        <f t="shared" si="8"/>
        <v>0</v>
      </c>
      <c r="DT2" s="769">
        <f t="shared" si="8"/>
        <v>0</v>
      </c>
      <c r="DU2" s="769">
        <f t="shared" si="8"/>
        <v>0</v>
      </c>
      <c r="DV2" s="769">
        <f t="shared" si="8"/>
        <v>0</v>
      </c>
      <c r="DW2" s="769">
        <f t="shared" si="8"/>
        <v>0</v>
      </c>
      <c r="DX2" s="769">
        <f t="shared" si="8"/>
        <v>0</v>
      </c>
      <c r="DY2" s="769">
        <f t="shared" si="8"/>
        <v>0</v>
      </c>
      <c r="DZ2" s="769">
        <f t="shared" si="8"/>
        <v>0</v>
      </c>
      <c r="EA2" s="769">
        <f t="shared" si="8"/>
        <v>0</v>
      </c>
      <c r="EB2" s="769">
        <f t="shared" ref="EB2:GO2" si="9">EB3</f>
        <v>0</v>
      </c>
      <c r="EC2" s="769">
        <f t="shared" si="9"/>
        <v>0</v>
      </c>
      <c r="ED2" s="769">
        <f t="shared" si="9"/>
        <v>0</v>
      </c>
      <c r="EE2" s="769">
        <f t="shared" si="9"/>
        <v>0</v>
      </c>
      <c r="EF2" s="769">
        <f t="shared" si="9"/>
        <v>0</v>
      </c>
      <c r="EG2" s="769">
        <f t="shared" si="9"/>
        <v>2</v>
      </c>
      <c r="EH2" s="769">
        <f t="shared" si="9"/>
        <v>0</v>
      </c>
      <c r="EI2" s="769">
        <f t="shared" si="9"/>
        <v>6</v>
      </c>
      <c r="EJ2" s="769">
        <f t="shared" si="9"/>
        <v>0</v>
      </c>
      <c r="EK2" s="769">
        <f t="shared" si="9"/>
        <v>0</v>
      </c>
      <c r="EL2" s="769">
        <f t="shared" si="9"/>
        <v>0</v>
      </c>
      <c r="EM2" s="769">
        <f t="shared" si="9"/>
        <v>0</v>
      </c>
      <c r="EN2" s="769">
        <f t="shared" si="9"/>
        <v>0</v>
      </c>
      <c r="EO2" s="769">
        <f t="shared" si="9"/>
        <v>6</v>
      </c>
      <c r="EP2" s="769">
        <f t="shared" si="9"/>
        <v>0</v>
      </c>
      <c r="EQ2" s="769">
        <f t="shared" si="9"/>
        <v>0</v>
      </c>
      <c r="ER2" s="769">
        <f t="shared" si="9"/>
        <v>0</v>
      </c>
      <c r="ES2" s="769">
        <f t="shared" si="9"/>
        <v>0</v>
      </c>
      <c r="ET2" s="769">
        <f t="shared" si="9"/>
        <v>0</v>
      </c>
      <c r="EU2" s="769">
        <f t="shared" si="9"/>
        <v>0</v>
      </c>
      <c r="EV2" s="769">
        <f t="shared" si="9"/>
        <v>0</v>
      </c>
      <c r="EW2" s="769">
        <f t="shared" si="9"/>
        <v>0</v>
      </c>
      <c r="EX2" s="769">
        <f t="shared" si="9"/>
        <v>3</v>
      </c>
      <c r="EY2" s="769">
        <f t="shared" si="9"/>
        <v>6</v>
      </c>
      <c r="EZ2" s="769">
        <f t="shared" si="9"/>
        <v>2</v>
      </c>
      <c r="FA2" s="769">
        <f t="shared" si="9"/>
        <v>0</v>
      </c>
      <c r="FB2" s="769">
        <f t="shared" si="9"/>
        <v>0</v>
      </c>
      <c r="FC2" s="769">
        <f t="shared" si="9"/>
        <v>1</v>
      </c>
      <c r="FD2" s="769">
        <f t="shared" si="9"/>
        <v>1</v>
      </c>
      <c r="FE2" s="769">
        <f t="shared" si="9"/>
        <v>0</v>
      </c>
      <c r="FF2" s="769">
        <f t="shared" si="9"/>
        <v>0</v>
      </c>
      <c r="FG2" s="769">
        <f t="shared" si="9"/>
        <v>0</v>
      </c>
      <c r="FH2" s="769">
        <f t="shared" si="9"/>
        <v>0</v>
      </c>
      <c r="FI2" s="769">
        <f t="shared" si="9"/>
        <v>3</v>
      </c>
      <c r="FJ2" s="769">
        <f t="shared" si="9"/>
        <v>0</v>
      </c>
      <c r="FK2" s="769">
        <f t="shared" si="9"/>
        <v>0</v>
      </c>
      <c r="FL2" s="769">
        <f t="shared" si="9"/>
        <v>0</v>
      </c>
      <c r="FM2" s="769">
        <f t="shared" si="9"/>
        <v>0</v>
      </c>
      <c r="FN2" s="769">
        <f t="shared" si="9"/>
        <v>0</v>
      </c>
      <c r="FO2" s="769">
        <f t="shared" si="9"/>
        <v>0</v>
      </c>
      <c r="FP2" s="769">
        <f t="shared" si="9"/>
        <v>0</v>
      </c>
      <c r="FQ2" s="769">
        <f t="shared" si="9"/>
        <v>0</v>
      </c>
      <c r="FR2" s="769">
        <f t="shared" si="9"/>
        <v>0</v>
      </c>
      <c r="FS2" s="769">
        <f t="shared" si="9"/>
        <v>0</v>
      </c>
      <c r="FT2" s="769">
        <f t="shared" si="9"/>
        <v>0</v>
      </c>
      <c r="FU2" s="769">
        <f t="shared" si="9"/>
        <v>0</v>
      </c>
      <c r="FV2" s="769">
        <f t="shared" si="9"/>
        <v>0</v>
      </c>
      <c r="FW2" s="769">
        <f t="shared" si="9"/>
        <v>0</v>
      </c>
      <c r="FX2" s="769">
        <f t="shared" si="9"/>
        <v>0</v>
      </c>
      <c r="FY2" s="769">
        <f t="shared" si="9"/>
        <v>0</v>
      </c>
      <c r="FZ2" s="769">
        <f t="shared" si="9"/>
        <v>0</v>
      </c>
      <c r="GA2" s="769">
        <f t="shared" si="9"/>
        <v>0</v>
      </c>
      <c r="GB2" s="769">
        <f t="shared" si="9"/>
        <v>0</v>
      </c>
      <c r="GC2" s="769">
        <f t="shared" si="9"/>
        <v>0</v>
      </c>
      <c r="GD2" s="769">
        <f t="shared" si="9"/>
        <v>0</v>
      </c>
      <c r="GE2" s="769">
        <f t="shared" si="9"/>
        <v>0</v>
      </c>
      <c r="GF2" s="769">
        <f t="shared" si="9"/>
        <v>0</v>
      </c>
      <c r="GG2" s="769">
        <f t="shared" si="9"/>
        <v>0</v>
      </c>
      <c r="GH2" s="769">
        <f t="shared" si="9"/>
        <v>0</v>
      </c>
      <c r="GI2" s="769">
        <f t="shared" si="9"/>
        <v>0</v>
      </c>
      <c r="GJ2" s="769">
        <f t="shared" si="9"/>
        <v>0</v>
      </c>
      <c r="GK2" s="769">
        <f t="shared" si="9"/>
        <v>0</v>
      </c>
      <c r="GL2" s="769">
        <f t="shared" si="9"/>
        <v>0</v>
      </c>
      <c r="GM2" s="769">
        <f t="shared" si="9"/>
        <v>0</v>
      </c>
      <c r="GN2" s="769">
        <f t="shared" si="9"/>
        <v>9</v>
      </c>
      <c r="GO2" s="769">
        <f t="shared" si="9"/>
        <v>3</v>
      </c>
      <c r="GP2" s="769">
        <f t="shared" ref="GP2:GX2" si="10">GP3</f>
        <v>3</v>
      </c>
      <c r="GQ2" s="769">
        <f t="shared" si="10"/>
        <v>3</v>
      </c>
      <c r="GR2" s="769">
        <f t="shared" si="10"/>
        <v>0</v>
      </c>
      <c r="GS2" s="769">
        <f t="shared" si="10"/>
        <v>3</v>
      </c>
      <c r="GT2" s="769">
        <f t="shared" si="10"/>
        <v>3</v>
      </c>
      <c r="GU2" s="769">
        <f t="shared" si="10"/>
        <v>0</v>
      </c>
      <c r="GV2" s="769">
        <f t="shared" si="10"/>
        <v>0</v>
      </c>
      <c r="GW2" s="769">
        <f t="shared" si="10"/>
        <v>0</v>
      </c>
      <c r="GX2" s="769">
        <f t="shared" si="10"/>
        <v>0</v>
      </c>
    </row>
    <row r="3" spans="1:236" ht="18.899999999999999" customHeight="1" outlineLevel="1">
      <c r="A3" s="769" t="s">
        <v>4197</v>
      </c>
      <c r="B3" s="769">
        <f>SUM(B11:B94)</f>
        <v>63</v>
      </c>
      <c r="C3" s="769"/>
      <c r="D3" s="769">
        <f t="shared" ref="D3:BO3" si="11">SUM(D11:D94)</f>
        <v>0</v>
      </c>
      <c r="E3" s="769">
        <f t="shared" si="11"/>
        <v>0</v>
      </c>
      <c r="F3" s="769">
        <f t="shared" si="11"/>
        <v>0</v>
      </c>
      <c r="G3" s="769">
        <f t="shared" si="11"/>
        <v>0</v>
      </c>
      <c r="H3" s="769">
        <f t="shared" si="11"/>
        <v>0</v>
      </c>
      <c r="I3" s="769">
        <f t="shared" si="11"/>
        <v>0</v>
      </c>
      <c r="J3" s="769">
        <f t="shared" si="11"/>
        <v>0</v>
      </c>
      <c r="K3" s="769">
        <f t="shared" si="11"/>
        <v>0</v>
      </c>
      <c r="L3" s="769">
        <f t="shared" si="11"/>
        <v>0</v>
      </c>
      <c r="M3" s="769">
        <f t="shared" si="11"/>
        <v>0</v>
      </c>
      <c r="N3" s="769">
        <f t="shared" si="11"/>
        <v>0</v>
      </c>
      <c r="O3" s="769">
        <f t="shared" si="11"/>
        <v>0</v>
      </c>
      <c r="P3" s="769">
        <f t="shared" si="11"/>
        <v>0</v>
      </c>
      <c r="Q3" s="769">
        <f t="shared" si="11"/>
        <v>0</v>
      </c>
      <c r="R3" s="769">
        <f t="shared" si="11"/>
        <v>0</v>
      </c>
      <c r="S3" s="769">
        <f t="shared" si="11"/>
        <v>0</v>
      </c>
      <c r="T3" s="769">
        <f t="shared" si="11"/>
        <v>0</v>
      </c>
      <c r="U3" s="769">
        <f t="shared" si="11"/>
        <v>0</v>
      </c>
      <c r="V3" s="769">
        <f t="shared" si="11"/>
        <v>0</v>
      </c>
      <c r="W3" s="769">
        <f t="shared" si="11"/>
        <v>0</v>
      </c>
      <c r="X3" s="769">
        <f t="shared" si="11"/>
        <v>0</v>
      </c>
      <c r="Y3" s="769">
        <f t="shared" si="11"/>
        <v>2</v>
      </c>
      <c r="Z3" s="769">
        <f t="shared" si="11"/>
        <v>3</v>
      </c>
      <c r="AA3" s="769">
        <f t="shared" si="11"/>
        <v>0</v>
      </c>
      <c r="AB3" s="769">
        <f t="shared" si="11"/>
        <v>0</v>
      </c>
      <c r="AC3" s="769">
        <f t="shared" si="11"/>
        <v>0</v>
      </c>
      <c r="AD3" s="769">
        <f t="shared" si="11"/>
        <v>0</v>
      </c>
      <c r="AE3" s="769">
        <f t="shared" si="11"/>
        <v>1</v>
      </c>
      <c r="AF3" s="769">
        <f t="shared" si="11"/>
        <v>0</v>
      </c>
      <c r="AG3" s="769">
        <f t="shared" si="11"/>
        <v>0</v>
      </c>
      <c r="AH3" s="769">
        <f t="shared" si="11"/>
        <v>0</v>
      </c>
      <c r="AI3" s="769">
        <f t="shared" si="11"/>
        <v>0</v>
      </c>
      <c r="AJ3" s="769">
        <f t="shared" si="11"/>
        <v>0</v>
      </c>
      <c r="AK3" s="769">
        <f t="shared" si="11"/>
        <v>0</v>
      </c>
      <c r="AL3" s="769">
        <f t="shared" si="11"/>
        <v>0</v>
      </c>
      <c r="AM3" s="769">
        <f t="shared" si="11"/>
        <v>0</v>
      </c>
      <c r="AN3" s="769">
        <f t="shared" si="11"/>
        <v>0</v>
      </c>
      <c r="AO3" s="769">
        <f t="shared" si="11"/>
        <v>0</v>
      </c>
      <c r="AP3" s="769">
        <f t="shared" si="11"/>
        <v>0</v>
      </c>
      <c r="AQ3" s="769">
        <f t="shared" si="11"/>
        <v>0</v>
      </c>
      <c r="AR3" s="769">
        <f t="shared" si="11"/>
        <v>0</v>
      </c>
      <c r="AS3" s="769">
        <f t="shared" si="11"/>
        <v>1</v>
      </c>
      <c r="AT3" s="769">
        <f t="shared" si="11"/>
        <v>0</v>
      </c>
      <c r="AU3" s="769">
        <f t="shared" si="11"/>
        <v>0</v>
      </c>
      <c r="AV3" s="769">
        <f t="shared" si="11"/>
        <v>0</v>
      </c>
      <c r="AW3" s="769">
        <f t="shared" si="11"/>
        <v>0</v>
      </c>
      <c r="AX3" s="769">
        <f t="shared" si="11"/>
        <v>0</v>
      </c>
      <c r="AY3" s="769">
        <f t="shared" si="11"/>
        <v>0</v>
      </c>
      <c r="AZ3" s="769">
        <f t="shared" si="11"/>
        <v>0</v>
      </c>
      <c r="BA3" s="769">
        <f t="shared" si="11"/>
        <v>0</v>
      </c>
      <c r="BB3" s="769">
        <f t="shared" si="11"/>
        <v>0</v>
      </c>
      <c r="BC3" s="769">
        <f t="shared" si="11"/>
        <v>0</v>
      </c>
      <c r="BD3" s="769">
        <f t="shared" si="11"/>
        <v>0</v>
      </c>
      <c r="BE3" s="769">
        <f t="shared" si="11"/>
        <v>0</v>
      </c>
      <c r="BF3" s="769">
        <f t="shared" si="11"/>
        <v>0</v>
      </c>
      <c r="BG3" s="769">
        <f t="shared" si="11"/>
        <v>0</v>
      </c>
      <c r="BH3" s="769">
        <f t="shared" si="11"/>
        <v>0</v>
      </c>
      <c r="BI3" s="769">
        <f t="shared" si="11"/>
        <v>0</v>
      </c>
      <c r="BJ3" s="769">
        <f t="shared" si="11"/>
        <v>1</v>
      </c>
      <c r="BK3" s="769">
        <f t="shared" si="11"/>
        <v>0</v>
      </c>
      <c r="BL3" s="769">
        <f t="shared" si="11"/>
        <v>0</v>
      </c>
      <c r="BM3" s="769">
        <f t="shared" si="11"/>
        <v>0</v>
      </c>
      <c r="BN3" s="769">
        <f t="shared" si="11"/>
        <v>0</v>
      </c>
      <c r="BO3" s="769">
        <f t="shared" si="11"/>
        <v>0</v>
      </c>
      <c r="BP3" s="769">
        <f t="shared" ref="BP3:EA3" si="12">SUM(BP11:BP94)</f>
        <v>0</v>
      </c>
      <c r="BQ3" s="769">
        <f t="shared" si="12"/>
        <v>0</v>
      </c>
      <c r="BR3" s="769">
        <f t="shared" si="12"/>
        <v>0</v>
      </c>
      <c r="BS3" s="769">
        <f t="shared" si="12"/>
        <v>0</v>
      </c>
      <c r="BT3" s="769">
        <f t="shared" si="12"/>
        <v>1</v>
      </c>
      <c r="BU3" s="769">
        <f t="shared" si="12"/>
        <v>0</v>
      </c>
      <c r="BV3" s="769">
        <f t="shared" si="12"/>
        <v>0</v>
      </c>
      <c r="BW3" s="769">
        <f t="shared" si="12"/>
        <v>0</v>
      </c>
      <c r="BX3" s="769">
        <f t="shared" si="12"/>
        <v>0</v>
      </c>
      <c r="BY3" s="769">
        <f t="shared" si="12"/>
        <v>0</v>
      </c>
      <c r="BZ3" s="769">
        <f t="shared" si="12"/>
        <v>0</v>
      </c>
      <c r="CA3" s="769">
        <f t="shared" si="12"/>
        <v>0</v>
      </c>
      <c r="CB3" s="769">
        <f t="shared" si="12"/>
        <v>0</v>
      </c>
      <c r="CC3" s="769">
        <f t="shared" si="12"/>
        <v>0</v>
      </c>
      <c r="CD3" s="769">
        <f t="shared" si="12"/>
        <v>0</v>
      </c>
      <c r="CE3" s="769">
        <f t="shared" si="12"/>
        <v>0</v>
      </c>
      <c r="CF3" s="769">
        <f t="shared" si="12"/>
        <v>0</v>
      </c>
      <c r="CG3" s="769">
        <f t="shared" si="12"/>
        <v>1</v>
      </c>
      <c r="CH3" s="769">
        <f t="shared" si="12"/>
        <v>0</v>
      </c>
      <c r="CI3" s="769">
        <f t="shared" si="12"/>
        <v>0</v>
      </c>
      <c r="CJ3" s="769">
        <f t="shared" si="12"/>
        <v>0</v>
      </c>
      <c r="CK3" s="769">
        <f t="shared" si="12"/>
        <v>0</v>
      </c>
      <c r="CL3" s="769">
        <f t="shared" si="12"/>
        <v>0</v>
      </c>
      <c r="CM3" s="769">
        <f t="shared" si="12"/>
        <v>0</v>
      </c>
      <c r="CN3" s="769">
        <f t="shared" si="12"/>
        <v>0</v>
      </c>
      <c r="CO3" s="769">
        <f t="shared" si="12"/>
        <v>2</v>
      </c>
      <c r="CP3" s="769">
        <f t="shared" si="12"/>
        <v>0</v>
      </c>
      <c r="CQ3" s="769">
        <f t="shared" si="12"/>
        <v>0</v>
      </c>
      <c r="CR3" s="769">
        <f t="shared" si="12"/>
        <v>0</v>
      </c>
      <c r="CS3" s="769">
        <f t="shared" si="12"/>
        <v>0</v>
      </c>
      <c r="CT3" s="769">
        <f t="shared" si="12"/>
        <v>0</v>
      </c>
      <c r="CU3" s="769">
        <f t="shared" si="12"/>
        <v>0</v>
      </c>
      <c r="CV3" s="769">
        <f t="shared" si="12"/>
        <v>0</v>
      </c>
      <c r="CW3" s="769">
        <f t="shared" si="12"/>
        <v>0</v>
      </c>
      <c r="CX3" s="769">
        <f t="shared" si="12"/>
        <v>1</v>
      </c>
      <c r="CY3" s="769">
        <f t="shared" si="12"/>
        <v>0</v>
      </c>
      <c r="CZ3" s="769">
        <f t="shared" si="12"/>
        <v>0</v>
      </c>
      <c r="DA3" s="769">
        <f t="shared" si="12"/>
        <v>0</v>
      </c>
      <c r="DB3" s="769">
        <f t="shared" si="12"/>
        <v>1</v>
      </c>
      <c r="DC3" s="769">
        <f t="shared" si="12"/>
        <v>0</v>
      </c>
      <c r="DD3" s="769">
        <f t="shared" si="12"/>
        <v>0</v>
      </c>
      <c r="DE3" s="769">
        <f t="shared" si="12"/>
        <v>8</v>
      </c>
      <c r="DF3" s="769">
        <f t="shared" si="12"/>
        <v>6</v>
      </c>
      <c r="DG3" s="769">
        <f t="shared" si="12"/>
        <v>0</v>
      </c>
      <c r="DH3" s="769">
        <f t="shared" si="12"/>
        <v>0</v>
      </c>
      <c r="DI3" s="769">
        <f t="shared" si="12"/>
        <v>0</v>
      </c>
      <c r="DJ3" s="769">
        <f t="shared" si="12"/>
        <v>1</v>
      </c>
      <c r="DK3" s="769">
        <f t="shared" si="12"/>
        <v>0</v>
      </c>
      <c r="DL3" s="769">
        <f t="shared" si="12"/>
        <v>0</v>
      </c>
      <c r="DM3" s="769">
        <f t="shared" si="12"/>
        <v>2</v>
      </c>
      <c r="DN3" s="769">
        <f t="shared" si="12"/>
        <v>0</v>
      </c>
      <c r="DO3" s="769">
        <f t="shared" si="12"/>
        <v>0</v>
      </c>
      <c r="DP3" s="769">
        <f t="shared" si="12"/>
        <v>0</v>
      </c>
      <c r="DQ3" s="769">
        <f t="shared" si="12"/>
        <v>0</v>
      </c>
      <c r="DR3" s="769">
        <f t="shared" si="12"/>
        <v>0</v>
      </c>
      <c r="DS3" s="769">
        <f t="shared" si="12"/>
        <v>0</v>
      </c>
      <c r="DT3" s="769">
        <f t="shared" si="12"/>
        <v>0</v>
      </c>
      <c r="DU3" s="769">
        <f t="shared" si="12"/>
        <v>0</v>
      </c>
      <c r="DV3" s="769">
        <f t="shared" si="12"/>
        <v>0</v>
      </c>
      <c r="DW3" s="769">
        <f t="shared" si="12"/>
        <v>0</v>
      </c>
      <c r="DX3" s="769">
        <f t="shared" si="12"/>
        <v>0</v>
      </c>
      <c r="DY3" s="769">
        <f t="shared" si="12"/>
        <v>0</v>
      </c>
      <c r="DZ3" s="769">
        <f t="shared" si="12"/>
        <v>0</v>
      </c>
      <c r="EA3" s="769">
        <f t="shared" si="12"/>
        <v>0</v>
      </c>
      <c r="EB3" s="769">
        <f t="shared" ref="EB3:GM3" si="13">SUM(EB11:EB94)</f>
        <v>0</v>
      </c>
      <c r="EC3" s="769">
        <f t="shared" si="13"/>
        <v>0</v>
      </c>
      <c r="ED3" s="769">
        <f t="shared" si="13"/>
        <v>0</v>
      </c>
      <c r="EE3" s="769">
        <f t="shared" si="13"/>
        <v>0</v>
      </c>
      <c r="EF3" s="769">
        <f t="shared" si="13"/>
        <v>0</v>
      </c>
      <c r="EG3" s="769">
        <f t="shared" si="13"/>
        <v>2</v>
      </c>
      <c r="EH3" s="769">
        <f t="shared" si="13"/>
        <v>0</v>
      </c>
      <c r="EI3" s="769">
        <f t="shared" si="13"/>
        <v>6</v>
      </c>
      <c r="EJ3" s="769">
        <f t="shared" si="13"/>
        <v>0</v>
      </c>
      <c r="EK3" s="769">
        <f t="shared" si="13"/>
        <v>0</v>
      </c>
      <c r="EL3" s="769">
        <f t="shared" si="13"/>
        <v>0</v>
      </c>
      <c r="EM3" s="769">
        <f t="shared" si="13"/>
        <v>0</v>
      </c>
      <c r="EN3" s="769">
        <f t="shared" si="13"/>
        <v>0</v>
      </c>
      <c r="EO3" s="769">
        <f t="shared" si="13"/>
        <v>6</v>
      </c>
      <c r="EP3" s="769">
        <f t="shared" si="13"/>
        <v>0</v>
      </c>
      <c r="EQ3" s="769">
        <f t="shared" si="13"/>
        <v>0</v>
      </c>
      <c r="ER3" s="769">
        <f t="shared" si="13"/>
        <v>0</v>
      </c>
      <c r="ES3" s="769">
        <f t="shared" si="13"/>
        <v>0</v>
      </c>
      <c r="ET3" s="769">
        <f t="shared" si="13"/>
        <v>0</v>
      </c>
      <c r="EU3" s="769">
        <f t="shared" si="13"/>
        <v>0</v>
      </c>
      <c r="EV3" s="769">
        <f t="shared" si="13"/>
        <v>0</v>
      </c>
      <c r="EW3" s="769">
        <f t="shared" si="13"/>
        <v>0</v>
      </c>
      <c r="EX3" s="769">
        <f t="shared" si="13"/>
        <v>3</v>
      </c>
      <c r="EY3" s="769">
        <f t="shared" si="13"/>
        <v>6</v>
      </c>
      <c r="EZ3" s="769">
        <f t="shared" si="13"/>
        <v>2</v>
      </c>
      <c r="FA3" s="769">
        <f t="shared" si="13"/>
        <v>0</v>
      </c>
      <c r="FB3" s="769">
        <f t="shared" si="13"/>
        <v>0</v>
      </c>
      <c r="FC3" s="769">
        <f t="shared" si="13"/>
        <v>1</v>
      </c>
      <c r="FD3" s="769">
        <f t="shared" si="13"/>
        <v>1</v>
      </c>
      <c r="FE3" s="769">
        <f t="shared" si="13"/>
        <v>0</v>
      </c>
      <c r="FF3" s="769">
        <f t="shared" si="13"/>
        <v>0</v>
      </c>
      <c r="FG3" s="769">
        <f t="shared" si="13"/>
        <v>0</v>
      </c>
      <c r="FH3" s="769">
        <f t="shared" si="13"/>
        <v>0</v>
      </c>
      <c r="FI3" s="769">
        <f t="shared" si="13"/>
        <v>3</v>
      </c>
      <c r="FJ3" s="769">
        <f t="shared" si="13"/>
        <v>0</v>
      </c>
      <c r="FK3" s="769">
        <f t="shared" si="13"/>
        <v>0</v>
      </c>
      <c r="FL3" s="769">
        <f t="shared" si="13"/>
        <v>0</v>
      </c>
      <c r="FM3" s="769">
        <f t="shared" si="13"/>
        <v>0</v>
      </c>
      <c r="FN3" s="769">
        <f t="shared" si="13"/>
        <v>0</v>
      </c>
      <c r="FO3" s="769">
        <f t="shared" si="13"/>
        <v>0</v>
      </c>
      <c r="FP3" s="769">
        <f t="shared" si="13"/>
        <v>0</v>
      </c>
      <c r="FQ3" s="769">
        <f t="shared" si="13"/>
        <v>0</v>
      </c>
      <c r="FR3" s="769">
        <f t="shared" si="13"/>
        <v>0</v>
      </c>
      <c r="FS3" s="769">
        <f t="shared" si="13"/>
        <v>0</v>
      </c>
      <c r="FT3" s="769">
        <f t="shared" si="13"/>
        <v>0</v>
      </c>
      <c r="FU3" s="769">
        <f t="shared" si="13"/>
        <v>0</v>
      </c>
      <c r="FV3" s="769">
        <f t="shared" si="13"/>
        <v>0</v>
      </c>
      <c r="FW3" s="769">
        <f t="shared" si="13"/>
        <v>0</v>
      </c>
      <c r="FX3" s="769">
        <f t="shared" si="13"/>
        <v>0</v>
      </c>
      <c r="FY3" s="769">
        <f t="shared" si="13"/>
        <v>0</v>
      </c>
      <c r="FZ3" s="769">
        <f t="shared" si="13"/>
        <v>0</v>
      </c>
      <c r="GA3" s="769">
        <f t="shared" si="13"/>
        <v>0</v>
      </c>
      <c r="GB3" s="769">
        <f t="shared" si="13"/>
        <v>0</v>
      </c>
      <c r="GC3" s="769">
        <f t="shared" si="13"/>
        <v>0</v>
      </c>
      <c r="GD3" s="769">
        <f t="shared" si="13"/>
        <v>0</v>
      </c>
      <c r="GE3" s="769">
        <f t="shared" si="13"/>
        <v>0</v>
      </c>
      <c r="GF3" s="769">
        <f t="shared" si="13"/>
        <v>0</v>
      </c>
      <c r="GG3" s="769">
        <f t="shared" si="13"/>
        <v>0</v>
      </c>
      <c r="GH3" s="769">
        <f t="shared" si="13"/>
        <v>0</v>
      </c>
      <c r="GI3" s="769">
        <f t="shared" si="13"/>
        <v>0</v>
      </c>
      <c r="GJ3" s="769">
        <f t="shared" si="13"/>
        <v>0</v>
      </c>
      <c r="GK3" s="769">
        <f t="shared" si="13"/>
        <v>0</v>
      </c>
      <c r="GL3" s="769">
        <f t="shared" si="13"/>
        <v>0</v>
      </c>
      <c r="GM3" s="769">
        <f t="shared" si="13"/>
        <v>0</v>
      </c>
      <c r="GN3" s="769">
        <f t="shared" ref="GN3:GX3" si="14">SUM(GN11:GN94)</f>
        <v>9</v>
      </c>
      <c r="GO3" s="769">
        <f t="shared" si="14"/>
        <v>3</v>
      </c>
      <c r="GP3" s="769">
        <f t="shared" si="14"/>
        <v>3</v>
      </c>
      <c r="GQ3" s="769">
        <f t="shared" si="14"/>
        <v>3</v>
      </c>
      <c r="GR3" s="769">
        <f t="shared" si="14"/>
        <v>0</v>
      </c>
      <c r="GS3" s="769">
        <f t="shared" si="14"/>
        <v>3</v>
      </c>
      <c r="GT3" s="769">
        <f t="shared" si="14"/>
        <v>3</v>
      </c>
      <c r="GU3" s="769">
        <f t="shared" si="14"/>
        <v>0</v>
      </c>
      <c r="GV3" s="769">
        <f t="shared" si="14"/>
        <v>0</v>
      </c>
      <c r="GW3" s="769">
        <f t="shared" si="14"/>
        <v>0</v>
      </c>
      <c r="GX3" s="769">
        <f t="shared" si="14"/>
        <v>0</v>
      </c>
    </row>
    <row r="4" spans="1:236" ht="18.899999999999999" customHeight="1" outlineLevel="1">
      <c r="GM4" s="1282"/>
      <c r="GN4" s="1282"/>
    </row>
    <row r="5" spans="1:236" s="774" customFormat="1" ht="24.75" customHeight="1">
      <c r="A5" s="400" t="s">
        <v>4075</v>
      </c>
      <c r="B5" s="414"/>
      <c r="C5" s="772"/>
      <c r="D5" s="772"/>
      <c r="E5" s="772"/>
      <c r="F5" s="772"/>
      <c r="G5" s="772"/>
      <c r="H5" s="772"/>
      <c r="I5" s="772"/>
      <c r="J5" s="772"/>
      <c r="K5" s="772"/>
      <c r="L5" s="772"/>
      <c r="M5" s="772"/>
      <c r="N5" s="772"/>
      <c r="O5" s="772"/>
      <c r="P5" s="772"/>
      <c r="Q5" s="772"/>
      <c r="R5" s="415"/>
      <c r="S5" s="415"/>
      <c r="T5" s="414"/>
      <c r="U5" s="414"/>
      <c r="V5" s="416"/>
      <c r="W5" s="414"/>
      <c r="X5" s="414"/>
      <c r="Y5" s="417"/>
      <c r="Z5" s="417"/>
      <c r="AA5" s="417"/>
      <c r="AB5" s="417"/>
      <c r="AC5" s="417"/>
      <c r="AD5" s="418"/>
      <c r="AE5" s="418"/>
      <c r="AF5" s="418"/>
      <c r="AG5" s="418"/>
      <c r="AH5" s="418"/>
      <c r="AI5" s="418"/>
      <c r="AJ5" s="418"/>
      <c r="AK5" s="418"/>
      <c r="AL5" s="418"/>
      <c r="AM5" s="418"/>
      <c r="AN5" s="418"/>
      <c r="AO5" s="418"/>
      <c r="AP5" s="418"/>
      <c r="AQ5" s="418"/>
      <c r="AR5" s="418"/>
      <c r="AS5" s="418"/>
      <c r="AT5" s="418"/>
      <c r="AU5" s="418"/>
      <c r="AV5" s="418"/>
      <c r="AW5" s="418"/>
      <c r="AX5" s="418"/>
      <c r="AY5" s="418"/>
      <c r="AZ5" s="418"/>
      <c r="BA5" s="418"/>
      <c r="BB5" s="418"/>
      <c r="BC5" s="418"/>
      <c r="BD5" s="418"/>
      <c r="BE5" s="418"/>
      <c r="BF5" s="418"/>
      <c r="BG5" s="417"/>
      <c r="BH5" s="417"/>
      <c r="BI5" s="417"/>
      <c r="BJ5" s="417"/>
      <c r="BK5" s="417"/>
      <c r="BL5" s="417"/>
      <c r="BM5" s="417"/>
      <c r="BN5" s="417"/>
      <c r="BO5" s="417"/>
      <c r="BP5" s="417"/>
      <c r="BQ5" s="417"/>
      <c r="BR5" s="417"/>
      <c r="BS5" s="417"/>
      <c r="BT5" s="418"/>
      <c r="BU5" s="418"/>
      <c r="BV5" s="418"/>
      <c r="BW5" s="418"/>
      <c r="BX5" s="418"/>
      <c r="BY5" s="418"/>
      <c r="BZ5" s="418"/>
      <c r="CA5" s="418"/>
      <c r="CB5" s="418"/>
      <c r="CC5" s="418"/>
      <c r="CD5" s="418"/>
      <c r="CE5" s="418"/>
      <c r="CF5" s="417"/>
      <c r="CG5" s="417"/>
      <c r="CH5" s="417"/>
      <c r="CI5" s="417"/>
      <c r="CJ5" s="417"/>
      <c r="CK5" s="417"/>
      <c r="CL5" s="417"/>
      <c r="CM5" s="417"/>
      <c r="CN5" s="418"/>
      <c r="CO5" s="418"/>
      <c r="CP5" s="418"/>
      <c r="CQ5" s="418"/>
      <c r="CR5" s="418"/>
      <c r="CS5" s="418"/>
      <c r="CT5" s="418"/>
      <c r="CU5" s="418"/>
      <c r="CV5" s="418"/>
      <c r="CW5" s="418"/>
      <c r="CX5" s="418"/>
      <c r="CY5" s="418"/>
      <c r="CZ5" s="418"/>
      <c r="DA5" s="418"/>
      <c r="DB5" s="418"/>
      <c r="DC5" s="417"/>
      <c r="DD5" s="417"/>
      <c r="DE5" s="417"/>
      <c r="DF5" s="417"/>
      <c r="DG5" s="417"/>
      <c r="DH5" s="417"/>
      <c r="DI5" s="417"/>
      <c r="DJ5" s="417"/>
      <c r="DK5" s="417"/>
      <c r="DL5" s="417"/>
      <c r="DM5" s="417"/>
      <c r="DN5" s="417"/>
      <c r="DO5" s="417"/>
      <c r="DP5" s="417"/>
      <c r="DQ5" s="417"/>
      <c r="DR5" s="418"/>
      <c r="DS5" s="418"/>
      <c r="DT5" s="418"/>
      <c r="DU5" s="418"/>
      <c r="DV5" s="418"/>
      <c r="DW5" s="418"/>
      <c r="DX5" s="418"/>
      <c r="DY5" s="417"/>
      <c r="DZ5" s="417"/>
      <c r="EA5" s="417"/>
      <c r="EB5" s="773"/>
      <c r="EC5" s="418"/>
      <c r="ED5" s="418"/>
      <c r="EE5" s="418"/>
      <c r="EF5" s="418"/>
      <c r="EG5" s="418"/>
      <c r="EH5" s="418"/>
      <c r="EI5" s="418"/>
      <c r="EJ5" s="418"/>
      <c r="EK5" s="418"/>
      <c r="EL5" s="418"/>
      <c r="EM5" s="418"/>
      <c r="EN5" s="418"/>
      <c r="EO5" s="418"/>
      <c r="EP5" s="418"/>
      <c r="EQ5" s="418"/>
      <c r="ER5" s="418"/>
      <c r="ES5" s="418"/>
      <c r="ET5" s="418"/>
      <c r="EU5" s="418"/>
      <c r="EV5" s="418"/>
      <c r="EW5" s="418"/>
      <c r="EX5" s="418"/>
      <c r="EY5" s="418"/>
      <c r="EZ5" s="418"/>
      <c r="FA5" s="418"/>
      <c r="FB5" s="418"/>
      <c r="FC5" s="418"/>
      <c r="FD5" s="418"/>
      <c r="FE5" s="418"/>
      <c r="FF5" s="418"/>
      <c r="FG5" s="418"/>
      <c r="FH5" s="418"/>
      <c r="FI5" s="418"/>
      <c r="FJ5" s="418"/>
      <c r="FK5" s="418"/>
      <c r="FL5" s="418"/>
      <c r="FM5" s="418"/>
      <c r="FN5" s="418"/>
      <c r="FO5" s="418"/>
      <c r="FP5" s="418"/>
      <c r="FQ5" s="418"/>
      <c r="FR5" s="418"/>
      <c r="FS5" s="418"/>
      <c r="FT5" s="418"/>
      <c r="FU5" s="418"/>
      <c r="FV5" s="418"/>
      <c r="FW5" s="418"/>
      <c r="FX5" s="418"/>
      <c r="FY5" s="418"/>
      <c r="FZ5" s="418"/>
      <c r="GA5" s="418"/>
      <c r="GB5" s="418"/>
      <c r="GC5" s="418"/>
      <c r="GD5" s="418"/>
      <c r="GE5" s="418"/>
      <c r="GF5" s="418"/>
      <c r="GG5" s="418"/>
      <c r="GH5" s="418"/>
      <c r="GI5" s="418"/>
      <c r="GJ5" s="418"/>
      <c r="GK5" s="417"/>
      <c r="GL5" s="419"/>
      <c r="GM5"/>
      <c r="GN5"/>
      <c r="GW5" s="769"/>
      <c r="GX5" s="769"/>
      <c r="GY5" s="769"/>
      <c r="GZ5" s="769"/>
      <c r="HA5" s="769"/>
      <c r="HB5" s="769"/>
      <c r="HC5" s="769"/>
      <c r="HD5" s="769"/>
      <c r="HE5" s="769"/>
      <c r="HF5" s="769"/>
      <c r="HG5" s="769"/>
      <c r="HH5" s="769"/>
      <c r="HI5" s="769"/>
      <c r="HJ5" s="769"/>
      <c r="HK5" s="769"/>
      <c r="HL5" s="769"/>
      <c r="HM5" s="769"/>
      <c r="HN5" s="769"/>
      <c r="HO5" s="769"/>
      <c r="HP5" s="769"/>
      <c r="HQ5" s="769"/>
      <c r="HR5" s="769"/>
      <c r="HS5" s="769"/>
      <c r="HT5" s="769"/>
      <c r="HU5" s="769"/>
      <c r="HV5" s="769"/>
      <c r="HW5" s="769"/>
      <c r="HX5" s="769"/>
      <c r="HY5" s="769"/>
      <c r="HZ5" s="769"/>
      <c r="IA5" s="769"/>
      <c r="IB5" s="769"/>
    </row>
    <row r="6" spans="1:236" s="1944" customFormat="1" ht="24.75" customHeight="1">
      <c r="A6" s="1942" t="str">
        <f>CT_tram!D20</f>
        <v>Công trình: Đường dây trung thế và TBA 3P-1250kVA Trang trại tổng hợp Nguyễn Đăng Nam</v>
      </c>
      <c r="B6" s="523"/>
      <c r="C6" s="523"/>
      <c r="D6" s="663"/>
      <c r="E6" s="663"/>
      <c r="F6" s="663"/>
      <c r="G6" s="663"/>
      <c r="H6" s="663"/>
      <c r="I6" s="663"/>
      <c r="J6" s="663"/>
      <c r="K6" s="663"/>
      <c r="L6" s="663"/>
      <c r="M6" s="663"/>
      <c r="N6" s="663"/>
      <c r="O6" s="663"/>
      <c r="P6" s="663"/>
      <c r="Q6" s="663"/>
      <c r="R6" s="663"/>
      <c r="S6" s="663"/>
      <c r="T6" s="663"/>
      <c r="U6" s="663"/>
      <c r="V6" s="523"/>
      <c r="W6" s="663"/>
      <c r="X6" s="663"/>
      <c r="Y6" s="523"/>
      <c r="Z6" s="523"/>
      <c r="AA6" s="663"/>
      <c r="AB6" s="663"/>
      <c r="AC6" s="663"/>
      <c r="AD6" s="663"/>
      <c r="AE6" s="523"/>
      <c r="AF6" s="663"/>
      <c r="AG6" s="663"/>
      <c r="AH6" s="663"/>
      <c r="AI6" s="663"/>
      <c r="AJ6" s="663"/>
      <c r="AK6" s="663"/>
      <c r="AL6" s="663"/>
      <c r="AM6" s="663"/>
      <c r="AN6" s="663"/>
      <c r="AO6" s="663"/>
      <c r="AP6" s="663"/>
      <c r="AQ6" s="523"/>
      <c r="AR6" s="663"/>
      <c r="AS6" s="523"/>
      <c r="AT6" s="663"/>
      <c r="AU6" s="663"/>
      <c r="AV6" s="663"/>
      <c r="AW6" s="663"/>
      <c r="AX6" s="663"/>
      <c r="AY6" s="663"/>
      <c r="AZ6" s="663"/>
      <c r="BA6" s="663"/>
      <c r="BB6" s="663"/>
      <c r="BC6" s="663"/>
      <c r="BD6" s="663"/>
      <c r="BE6" s="663"/>
      <c r="BF6" s="663"/>
      <c r="BG6" s="663"/>
      <c r="BH6" s="663"/>
      <c r="BI6" s="663"/>
      <c r="BJ6" s="523"/>
      <c r="BK6" s="663"/>
      <c r="BL6" s="663"/>
      <c r="BM6" s="663"/>
      <c r="BN6" s="663"/>
      <c r="BO6" s="663"/>
      <c r="BP6" s="663"/>
      <c r="BQ6" s="663"/>
      <c r="BR6" s="663"/>
      <c r="BS6" s="663"/>
      <c r="BT6" s="523"/>
      <c r="BU6" s="663"/>
      <c r="BV6" s="663"/>
      <c r="BW6" s="663"/>
      <c r="BX6" s="663"/>
      <c r="BY6" s="663"/>
      <c r="BZ6" s="663"/>
      <c r="CA6" s="663"/>
      <c r="CB6" s="663"/>
      <c r="CC6" s="663"/>
      <c r="CD6" s="663"/>
      <c r="CE6" s="663"/>
      <c r="CF6" s="663"/>
      <c r="CG6" s="663"/>
      <c r="CH6" s="523"/>
      <c r="CI6" s="663"/>
      <c r="CJ6" s="663"/>
      <c r="CK6" s="663"/>
      <c r="CL6" s="663"/>
      <c r="CM6" s="663"/>
      <c r="CN6" s="663"/>
      <c r="CO6" s="523"/>
      <c r="CP6" s="663"/>
      <c r="CQ6" s="523"/>
      <c r="CR6" s="523"/>
      <c r="CS6" s="663"/>
      <c r="CT6" s="663"/>
      <c r="CU6" s="663"/>
      <c r="CV6" s="663"/>
      <c r="CW6" s="663"/>
      <c r="CX6" s="523"/>
      <c r="CY6" s="663"/>
      <c r="CZ6" s="663"/>
      <c r="DA6" s="663"/>
      <c r="DB6" s="523"/>
      <c r="DC6" s="663"/>
      <c r="DD6" s="663"/>
      <c r="DE6" s="523"/>
      <c r="DF6" s="523"/>
      <c r="DG6" s="663"/>
      <c r="DH6" s="663"/>
      <c r="DI6" s="663"/>
      <c r="DJ6" s="523"/>
      <c r="DK6" s="663"/>
      <c r="DL6" s="663"/>
      <c r="DM6" s="523"/>
      <c r="DN6" s="663"/>
      <c r="DO6" s="663"/>
      <c r="DP6" s="663"/>
      <c r="DQ6" s="663"/>
      <c r="DR6" s="663"/>
      <c r="DS6" s="663"/>
      <c r="DT6" s="663"/>
      <c r="DU6" s="663"/>
      <c r="DV6" s="663"/>
      <c r="DW6" s="663"/>
      <c r="DX6" s="663"/>
      <c r="DY6" s="663"/>
      <c r="DZ6" s="663"/>
      <c r="EA6" s="663"/>
      <c r="EB6" s="523"/>
      <c r="EC6" s="523"/>
      <c r="ED6" s="663"/>
      <c r="EE6" s="663"/>
      <c r="EF6" s="663"/>
      <c r="EG6" s="523"/>
      <c r="EH6" s="663"/>
      <c r="EI6" s="663"/>
      <c r="EJ6" s="663"/>
      <c r="EK6" s="663"/>
      <c r="EL6" s="663"/>
      <c r="EM6" s="663"/>
      <c r="EN6" s="663"/>
      <c r="EO6" s="663"/>
      <c r="EP6" s="663"/>
      <c r="EQ6" s="663"/>
      <c r="ER6" s="663"/>
      <c r="ES6" s="663"/>
      <c r="ET6" s="663"/>
      <c r="EU6" s="663"/>
      <c r="EV6" s="663"/>
      <c r="EW6" s="663"/>
      <c r="EX6" s="523"/>
      <c r="EY6" s="663"/>
      <c r="EZ6" s="663"/>
      <c r="FA6" s="663"/>
      <c r="FB6" s="663"/>
      <c r="FC6" s="663"/>
      <c r="FD6" s="663"/>
      <c r="FE6" s="663"/>
      <c r="FF6" s="663"/>
      <c r="FG6" s="663"/>
      <c r="FH6" s="663"/>
      <c r="FI6" s="663"/>
      <c r="FJ6" s="663"/>
      <c r="FK6" s="663"/>
      <c r="FL6" s="663"/>
      <c r="FM6" s="663"/>
      <c r="FN6" s="663"/>
      <c r="FO6" s="663"/>
      <c r="FP6" s="663"/>
      <c r="FQ6" s="663"/>
      <c r="FR6" s="663"/>
      <c r="FS6" s="663"/>
      <c r="FT6" s="663"/>
      <c r="FU6" s="663"/>
      <c r="FV6" s="663"/>
      <c r="FW6" s="663"/>
      <c r="FX6" s="663"/>
      <c r="FY6" s="663"/>
      <c r="FZ6" s="663"/>
      <c r="GA6" s="663"/>
      <c r="GB6" s="663"/>
      <c r="GC6" s="663"/>
      <c r="GD6" s="663"/>
      <c r="GE6" s="663"/>
      <c r="GF6" s="663"/>
      <c r="GG6" s="663"/>
      <c r="GH6" s="663"/>
      <c r="GI6" s="663"/>
      <c r="GJ6" s="663"/>
      <c r="GK6" s="663"/>
      <c r="GL6" s="523"/>
      <c r="GM6" s="1943"/>
      <c r="GN6" s="1943"/>
      <c r="GW6" s="1945"/>
      <c r="GX6" s="1945"/>
      <c r="GY6" s="1945"/>
      <c r="GZ6" s="1945"/>
      <c r="HA6" s="1945"/>
      <c r="HB6" s="1945"/>
      <c r="HC6" s="1945"/>
      <c r="HD6" s="1945"/>
      <c r="HE6" s="1945"/>
      <c r="HF6" s="1945"/>
      <c r="HG6" s="1945"/>
      <c r="HH6" s="1945"/>
      <c r="HI6" s="1945"/>
      <c r="HJ6" s="1945"/>
      <c r="HK6" s="1945"/>
      <c r="HL6" s="1945"/>
      <c r="HM6" s="1945"/>
      <c r="HN6" s="1945"/>
      <c r="HO6" s="1945"/>
      <c r="HP6" s="1945"/>
      <c r="HQ6" s="1945"/>
      <c r="HR6" s="1945"/>
      <c r="HS6" s="1945"/>
      <c r="HT6" s="1945"/>
      <c r="HU6" s="1945"/>
      <c r="HV6" s="1945"/>
      <c r="HW6" s="1945"/>
      <c r="HX6" s="1945"/>
      <c r="HY6" s="1945"/>
      <c r="HZ6" s="1945"/>
      <c r="IA6" s="1945"/>
      <c r="IB6" s="1945"/>
    </row>
    <row r="7" spans="1:236" s="774" customFormat="1" ht="24.75" customHeight="1" thickBot="1">
      <c r="A7" s="663" t="str">
        <f>CT_tram!D21</f>
        <v>Địa điểm: Xã Suối Cao - Huyện Xuân Lộc - Tỉnh Đồng Nai</v>
      </c>
      <c r="B7" s="663"/>
      <c r="C7" s="663"/>
      <c r="D7" s="775"/>
      <c r="E7" s="775"/>
      <c r="F7" s="775"/>
      <c r="G7" s="775"/>
      <c r="H7" s="775"/>
      <c r="I7" s="775"/>
      <c r="J7" s="775"/>
      <c r="K7" s="775"/>
      <c r="L7" s="775"/>
      <c r="M7" s="775"/>
      <c r="N7" s="775"/>
      <c r="O7" s="775"/>
      <c r="P7" s="775"/>
      <c r="Q7" s="775"/>
      <c r="R7" s="775"/>
      <c r="S7" s="775"/>
      <c r="T7" s="775"/>
      <c r="U7" s="775"/>
      <c r="V7" s="663"/>
      <c r="W7" s="775"/>
      <c r="X7" s="775"/>
      <c r="Y7" s="775"/>
      <c r="Z7" s="663"/>
      <c r="AA7" s="775"/>
      <c r="AB7" s="775"/>
      <c r="AC7" s="775"/>
      <c r="AD7" s="775"/>
      <c r="AE7" s="663"/>
      <c r="AF7" s="775"/>
      <c r="AG7" s="775"/>
      <c r="AH7" s="775"/>
      <c r="AI7" s="775"/>
      <c r="AJ7" s="775"/>
      <c r="AK7" s="775"/>
      <c r="AL7" s="775"/>
      <c r="AM7" s="775"/>
      <c r="AN7" s="775"/>
      <c r="AO7" s="775"/>
      <c r="AP7" s="775"/>
      <c r="AQ7" s="775"/>
      <c r="AR7" s="775"/>
      <c r="AS7" s="775"/>
      <c r="AT7" s="775"/>
      <c r="AU7" s="775"/>
      <c r="AV7" s="775"/>
      <c r="AW7" s="775"/>
      <c r="AX7" s="775"/>
      <c r="AY7" s="775"/>
      <c r="AZ7" s="775"/>
      <c r="BA7" s="775"/>
      <c r="BB7" s="775"/>
      <c r="BC7" s="775"/>
      <c r="BD7" s="775"/>
      <c r="BE7" s="775"/>
      <c r="BF7" s="775"/>
      <c r="BG7" s="775"/>
      <c r="BH7" s="775"/>
      <c r="BI7" s="775"/>
      <c r="BJ7" s="663"/>
      <c r="BK7" s="775"/>
      <c r="BL7" s="775"/>
      <c r="BM7" s="775"/>
      <c r="BN7" s="775"/>
      <c r="BO7" s="775"/>
      <c r="BP7" s="775"/>
      <c r="BQ7" s="775"/>
      <c r="BR7" s="775"/>
      <c r="BS7" s="775"/>
      <c r="BT7" s="663"/>
      <c r="BU7" s="775"/>
      <c r="BV7" s="775"/>
      <c r="BW7" s="775"/>
      <c r="BX7" s="775"/>
      <c r="BY7" s="775"/>
      <c r="BZ7" s="775"/>
      <c r="CA7" s="775"/>
      <c r="CB7" s="775"/>
      <c r="CC7" s="775"/>
      <c r="CD7" s="775"/>
      <c r="CE7" s="775"/>
      <c r="CF7" s="775"/>
      <c r="CG7" s="663"/>
      <c r="CH7" s="775"/>
      <c r="CI7" s="775"/>
      <c r="CJ7" s="775"/>
      <c r="CK7" s="775"/>
      <c r="CL7" s="775"/>
      <c r="CM7" s="775"/>
      <c r="CN7" s="775"/>
      <c r="CO7" s="663"/>
      <c r="CP7" s="775"/>
      <c r="CQ7" s="775"/>
      <c r="CR7" s="775"/>
      <c r="CS7" s="775"/>
      <c r="CT7" s="775"/>
      <c r="CU7" s="775"/>
      <c r="CV7" s="775"/>
      <c r="CW7" s="775"/>
      <c r="CX7" s="663"/>
      <c r="CY7" s="663"/>
      <c r="CZ7" s="775"/>
      <c r="DA7" s="775"/>
      <c r="DB7" s="775"/>
      <c r="DC7" s="775"/>
      <c r="DD7" s="775"/>
      <c r="DE7" s="663"/>
      <c r="DF7" s="663"/>
      <c r="DG7" s="775"/>
      <c r="DH7" s="775"/>
      <c r="DI7" s="775"/>
      <c r="DJ7" s="663"/>
      <c r="DK7" s="775"/>
      <c r="DL7" s="775"/>
      <c r="DM7" s="775"/>
      <c r="DN7" s="775"/>
      <c r="DO7" s="775"/>
      <c r="DP7" s="775"/>
      <c r="DQ7" s="663"/>
      <c r="DR7" s="775"/>
      <c r="DS7" s="775"/>
      <c r="DT7" s="775"/>
      <c r="DU7" s="775"/>
      <c r="DV7" s="775"/>
      <c r="DW7" s="775"/>
      <c r="DX7" s="775"/>
      <c r="DY7" s="775"/>
      <c r="DZ7" s="775"/>
      <c r="EA7" s="775"/>
      <c r="EB7" s="775"/>
      <c r="EC7" s="775"/>
      <c r="ED7" s="775"/>
      <c r="EE7" s="775"/>
      <c r="EF7" s="775"/>
      <c r="EG7" s="663"/>
      <c r="EH7" s="775"/>
      <c r="EI7" s="775"/>
      <c r="EJ7" s="775"/>
      <c r="EK7" s="775"/>
      <c r="EL7" s="775"/>
      <c r="EM7" s="775"/>
      <c r="EN7" s="775"/>
      <c r="EO7" s="775"/>
      <c r="EP7" s="775"/>
      <c r="EQ7" s="775"/>
      <c r="ER7" s="775"/>
      <c r="ES7" s="775"/>
      <c r="ET7" s="775"/>
      <c r="EU7" s="775"/>
      <c r="EV7" s="775"/>
      <c r="EW7" s="775"/>
      <c r="EX7" s="775"/>
      <c r="EY7" s="775"/>
      <c r="EZ7" s="775"/>
      <c r="FA7" s="775"/>
      <c r="FB7" s="775"/>
      <c r="FC7" s="775"/>
      <c r="FD7" s="775"/>
      <c r="FE7" s="775"/>
      <c r="FF7" s="775"/>
      <c r="FG7" s="775"/>
      <c r="FH7" s="775"/>
      <c r="FI7" s="775"/>
      <c r="FJ7" s="775"/>
      <c r="FK7" s="775"/>
      <c r="FL7" s="775"/>
      <c r="FM7" s="775"/>
      <c r="FN7" s="775"/>
      <c r="FO7" s="775"/>
      <c r="FP7" s="775"/>
      <c r="FQ7" s="775"/>
      <c r="FR7" s="775"/>
      <c r="FS7" s="775"/>
      <c r="FT7" s="775"/>
      <c r="FU7" s="775"/>
      <c r="FV7" s="775"/>
      <c r="FW7" s="775"/>
      <c r="FX7" s="775"/>
      <c r="FY7" s="775"/>
      <c r="FZ7" s="775"/>
      <c r="GA7" s="775"/>
      <c r="GB7" s="775"/>
      <c r="GC7" s="775"/>
      <c r="GD7" s="775"/>
      <c r="GE7" s="775"/>
      <c r="GF7" s="775"/>
      <c r="GG7" s="775"/>
      <c r="GH7" s="775"/>
      <c r="GI7" s="775"/>
      <c r="GJ7" s="775"/>
      <c r="GK7" s="775"/>
      <c r="GL7" s="663"/>
      <c r="GM7"/>
      <c r="GN7"/>
      <c r="GW7" s="769"/>
      <c r="GX7" s="769"/>
      <c r="GY7" s="769"/>
      <c r="GZ7" s="769"/>
      <c r="HA7" s="769"/>
      <c r="HB7" s="769"/>
      <c r="HC7" s="769"/>
      <c r="HD7" s="769"/>
      <c r="HE7" s="769"/>
      <c r="HF7" s="769"/>
      <c r="HG7" s="769"/>
      <c r="HH7" s="769"/>
      <c r="HI7" s="769"/>
      <c r="HJ7" s="769"/>
      <c r="HK7" s="769"/>
      <c r="HL7" s="769"/>
      <c r="HM7" s="769"/>
      <c r="HN7" s="769"/>
      <c r="HO7" s="769"/>
      <c r="HP7" s="769"/>
      <c r="HQ7" s="769"/>
      <c r="HR7" s="769"/>
      <c r="HS7" s="769"/>
      <c r="HT7" s="769"/>
      <c r="HU7" s="769"/>
      <c r="HV7" s="769"/>
      <c r="HW7" s="769"/>
      <c r="HX7" s="769"/>
      <c r="HY7" s="769"/>
      <c r="HZ7" s="769"/>
      <c r="IA7" s="769"/>
      <c r="IB7" s="769"/>
    </row>
    <row r="8" spans="1:236" s="776" customFormat="1" ht="24.9" customHeight="1" thickTop="1">
      <c r="A8" s="3132" t="s">
        <v>3784</v>
      </c>
      <c r="B8" s="3119" t="s">
        <v>3785</v>
      </c>
      <c r="C8" s="3125" t="s">
        <v>6170</v>
      </c>
      <c r="D8" s="3125" t="s">
        <v>4076</v>
      </c>
      <c r="E8" s="3125" t="s">
        <v>4077</v>
      </c>
      <c r="F8" s="3125" t="s">
        <v>4078</v>
      </c>
      <c r="G8" s="3125" t="s">
        <v>4079</v>
      </c>
      <c r="H8" s="3125" t="s">
        <v>4080</v>
      </c>
      <c r="I8" s="3125" t="s">
        <v>4081</v>
      </c>
      <c r="J8" s="3125" t="s">
        <v>4082</v>
      </c>
      <c r="K8" s="3125" t="s">
        <v>4083</v>
      </c>
      <c r="L8" s="3125" t="s">
        <v>4084</v>
      </c>
      <c r="M8" s="3125" t="s">
        <v>4085</v>
      </c>
      <c r="N8" s="3125" t="s">
        <v>4086</v>
      </c>
      <c r="O8" s="3125" t="s">
        <v>4087</v>
      </c>
      <c r="P8" s="3125" t="s">
        <v>4088</v>
      </c>
      <c r="Q8" s="3125" t="s">
        <v>4089</v>
      </c>
      <c r="R8" s="3125" t="s">
        <v>4090</v>
      </c>
      <c r="S8" s="3125" t="s">
        <v>4091</v>
      </c>
      <c r="T8" s="3119" t="s">
        <v>4092</v>
      </c>
      <c r="U8" s="3119" t="s">
        <v>4093</v>
      </c>
      <c r="V8" s="3119" t="s">
        <v>3795</v>
      </c>
      <c r="W8" s="3128" t="s">
        <v>2283</v>
      </c>
      <c r="X8" s="3128"/>
      <c r="Y8" s="3128"/>
      <c r="Z8" s="3128"/>
      <c r="AA8" s="3128"/>
      <c r="AB8" s="3128"/>
      <c r="AC8" s="3128"/>
      <c r="AD8" s="3135"/>
      <c r="AE8" s="3135"/>
      <c r="AF8" s="3135"/>
      <c r="AG8" s="3135"/>
      <c r="AH8" s="3135"/>
      <c r="AI8" s="3135"/>
      <c r="AJ8" s="3135"/>
      <c r="AK8" s="3135"/>
      <c r="AL8" s="3135"/>
      <c r="AM8" s="3135"/>
      <c r="AN8" s="3135"/>
      <c r="AO8" s="3135"/>
      <c r="AP8" s="3135"/>
      <c r="AQ8" s="3135"/>
      <c r="AR8" s="3135"/>
      <c r="AS8" s="3135"/>
      <c r="AT8" s="3135"/>
      <c r="AU8" s="3135"/>
      <c r="AV8" s="3135"/>
      <c r="AW8" s="3135"/>
      <c r="AX8" s="3135"/>
      <c r="AY8" s="3135"/>
      <c r="AZ8" s="3135"/>
      <c r="BA8" s="3135"/>
      <c r="BB8" s="3135"/>
      <c r="BC8" s="3135"/>
      <c r="BD8" s="3135"/>
      <c r="BE8" s="3135"/>
      <c r="BF8" s="3136"/>
      <c r="BG8" s="3130" t="s">
        <v>3797</v>
      </c>
      <c r="BH8" s="3130"/>
      <c r="BI8" s="3130"/>
      <c r="BJ8" s="3130"/>
      <c r="BK8" s="3130"/>
      <c r="BL8" s="3130"/>
      <c r="BM8" s="3130"/>
      <c r="BN8" s="3130"/>
      <c r="BO8" s="3130"/>
      <c r="BP8" s="3130"/>
      <c r="BQ8" s="3130"/>
      <c r="BR8" s="3130"/>
      <c r="BS8" s="3130"/>
      <c r="BT8" s="3128" t="s">
        <v>3798</v>
      </c>
      <c r="BU8" s="3128"/>
      <c r="BV8" s="3128"/>
      <c r="BW8" s="3128"/>
      <c r="BX8" s="3128"/>
      <c r="BY8" s="3128"/>
      <c r="BZ8" s="3128"/>
      <c r="CA8" s="3128"/>
      <c r="CB8" s="3128"/>
      <c r="CC8" s="3128"/>
      <c r="CD8" s="3128"/>
      <c r="CE8" s="3128"/>
      <c r="CF8" s="3121" t="s">
        <v>2396</v>
      </c>
      <c r="CG8" s="3121" t="s">
        <v>2397</v>
      </c>
      <c r="CH8" s="3121" t="s">
        <v>2398</v>
      </c>
      <c r="CI8" s="3121" t="s">
        <v>2402</v>
      </c>
      <c r="CJ8" s="3121" t="s">
        <v>2403</v>
      </c>
      <c r="CK8" s="3121" t="s">
        <v>4094</v>
      </c>
      <c r="CL8" s="3121" t="s">
        <v>2400</v>
      </c>
      <c r="CM8" s="3121" t="s">
        <v>2401</v>
      </c>
      <c r="CN8" s="3129" t="s">
        <v>4095</v>
      </c>
      <c r="CO8" s="3130"/>
      <c r="CP8" s="3129"/>
      <c r="CQ8" s="3131"/>
      <c r="CR8" s="3131"/>
      <c r="CS8" s="3131"/>
      <c r="CT8" s="3131"/>
      <c r="CU8" s="3131"/>
      <c r="CV8" s="3131"/>
      <c r="CW8" s="3131"/>
      <c r="CX8" s="3130"/>
      <c r="CY8" s="3130"/>
      <c r="CZ8" s="3131"/>
      <c r="DA8" s="3131"/>
      <c r="DB8" s="3129"/>
      <c r="DC8" s="3119" t="s">
        <v>3902</v>
      </c>
      <c r="DD8" s="3119" t="s">
        <v>3903</v>
      </c>
      <c r="DE8" s="3137" t="s">
        <v>3904</v>
      </c>
      <c r="DF8" s="3137" t="s">
        <v>4096</v>
      </c>
      <c r="DG8" s="3137" t="s">
        <v>4097</v>
      </c>
      <c r="DH8" s="3119" t="s">
        <v>3599</v>
      </c>
      <c r="DI8" s="3119" t="s">
        <v>4098</v>
      </c>
      <c r="DJ8" s="3137" t="s">
        <v>3805</v>
      </c>
      <c r="DK8" s="3119" t="s">
        <v>4099</v>
      </c>
      <c r="DL8" s="3119" t="s">
        <v>3806</v>
      </c>
      <c r="DM8" s="3137" t="s">
        <v>3807</v>
      </c>
      <c r="DN8" s="3119" t="s">
        <v>4625</v>
      </c>
      <c r="DO8" s="3119" t="s">
        <v>4559</v>
      </c>
      <c r="DP8" s="3119" t="s">
        <v>4100</v>
      </c>
      <c r="DQ8" s="3119" t="s">
        <v>4101</v>
      </c>
      <c r="DR8" s="3121" t="s">
        <v>4102</v>
      </c>
      <c r="DS8" s="3121" t="s">
        <v>4103</v>
      </c>
      <c r="DT8" s="3121" t="s">
        <v>4104</v>
      </c>
      <c r="DU8" s="3121" t="s">
        <v>4105</v>
      </c>
      <c r="DV8" s="3121" t="s">
        <v>4106</v>
      </c>
      <c r="DW8" s="3121" t="s">
        <v>4107</v>
      </c>
      <c r="DX8" s="3121" t="s">
        <v>4108</v>
      </c>
      <c r="DY8" s="3119" t="s">
        <v>4109</v>
      </c>
      <c r="DZ8" s="3119" t="s">
        <v>4110</v>
      </c>
      <c r="EA8" s="3119" t="s">
        <v>4111</v>
      </c>
      <c r="EB8" s="3119" t="s">
        <v>4626</v>
      </c>
      <c r="EC8" s="3119" t="s">
        <v>1737</v>
      </c>
      <c r="ED8" s="3119" t="s">
        <v>2898</v>
      </c>
      <c r="EE8" s="3119" t="s">
        <v>406</v>
      </c>
      <c r="EF8" s="3119" t="s">
        <v>4112</v>
      </c>
      <c r="EG8" s="3144" t="s">
        <v>3811</v>
      </c>
      <c r="EH8" s="3119" t="s">
        <v>3812</v>
      </c>
      <c r="EI8" s="3119" t="s">
        <v>4113</v>
      </c>
      <c r="EJ8" s="3119" t="s">
        <v>3813</v>
      </c>
      <c r="EK8" s="3119" t="s">
        <v>3814</v>
      </c>
      <c r="EL8" s="3119" t="s">
        <v>4114</v>
      </c>
      <c r="EM8" s="3119" t="s">
        <v>4115</v>
      </c>
      <c r="EN8" s="3119" t="s">
        <v>4116</v>
      </c>
      <c r="EO8" s="3121" t="s">
        <v>6166</v>
      </c>
      <c r="EP8" s="3121" t="s">
        <v>3818</v>
      </c>
      <c r="EQ8" s="3121" t="s">
        <v>3819</v>
      </c>
      <c r="ER8" s="3121" t="s">
        <v>3820</v>
      </c>
      <c r="ES8" s="3121" t="s">
        <v>3821</v>
      </c>
      <c r="ET8" s="3121" t="s">
        <v>3822</v>
      </c>
      <c r="EU8" s="3121" t="s">
        <v>1734</v>
      </c>
      <c r="EV8" s="3121" t="s">
        <v>1378</v>
      </c>
      <c r="EW8" s="3121" t="s">
        <v>675</v>
      </c>
      <c r="EX8" s="3121" t="s">
        <v>1902</v>
      </c>
      <c r="EY8" s="3123" t="s">
        <v>4660</v>
      </c>
      <c r="EZ8" s="3123" t="s">
        <v>4661</v>
      </c>
      <c r="FA8" s="3140" t="s">
        <v>4795</v>
      </c>
      <c r="FB8" s="3140" t="s">
        <v>4796</v>
      </c>
      <c r="FC8" s="2331"/>
      <c r="FD8" s="3140" t="s">
        <v>6167</v>
      </c>
      <c r="FE8" s="3140" t="s">
        <v>1925</v>
      </c>
      <c r="FF8" s="3121" t="s">
        <v>394</v>
      </c>
      <c r="FG8" s="3121" t="s">
        <v>788</v>
      </c>
      <c r="FH8" s="3121" t="s">
        <v>1194</v>
      </c>
      <c r="FI8" s="3121" t="s">
        <v>1193</v>
      </c>
      <c r="FJ8" s="3119" t="s">
        <v>2554</v>
      </c>
      <c r="FK8" s="3119" t="s">
        <v>4117</v>
      </c>
      <c r="FL8" s="3119" t="s">
        <v>4118</v>
      </c>
      <c r="FM8" s="3119" t="s">
        <v>4119</v>
      </c>
      <c r="FN8" s="3119" t="s">
        <v>4120</v>
      </c>
      <c r="FO8" s="3119" t="s">
        <v>4121</v>
      </c>
      <c r="FP8" s="3119" t="s">
        <v>3918</v>
      </c>
      <c r="FQ8" s="3119" t="s">
        <v>4122</v>
      </c>
      <c r="FR8" s="3119" t="s">
        <v>4123</v>
      </c>
      <c r="FS8" s="3119" t="s">
        <v>4124</v>
      </c>
      <c r="FT8" s="3119" t="s">
        <v>4125</v>
      </c>
      <c r="FU8" s="3119" t="s">
        <v>4126</v>
      </c>
      <c r="FV8" s="3119" t="s">
        <v>4127</v>
      </c>
      <c r="FW8" s="3119" t="s">
        <v>4128</v>
      </c>
      <c r="FX8" s="3119" t="s">
        <v>4129</v>
      </c>
      <c r="FY8" s="3119" t="s">
        <v>2411</v>
      </c>
      <c r="FZ8" s="3119" t="s">
        <v>2408</v>
      </c>
      <c r="GA8" s="3119" t="s">
        <v>4130</v>
      </c>
      <c r="GB8" s="3119" t="s">
        <v>4131</v>
      </c>
      <c r="GC8" s="3119" t="s">
        <v>4132</v>
      </c>
      <c r="GD8" s="3119" t="s">
        <v>4133</v>
      </c>
      <c r="GE8" s="3119" t="s">
        <v>3848</v>
      </c>
      <c r="GF8" s="3119" t="s">
        <v>4134</v>
      </c>
      <c r="GG8" s="3119" t="s">
        <v>4135</v>
      </c>
      <c r="GH8" s="3119" t="s">
        <v>4136</v>
      </c>
      <c r="GI8" s="3119" t="s">
        <v>4137</v>
      </c>
      <c r="GJ8" s="3119" t="s">
        <v>4138</v>
      </c>
      <c r="GK8" s="3121" t="s">
        <v>3936</v>
      </c>
      <c r="GL8" s="3142" t="s">
        <v>2607</v>
      </c>
      <c r="GM8"/>
      <c r="GN8"/>
      <c r="GO8" s="774"/>
      <c r="GP8" s="774"/>
      <c r="GQ8" s="774"/>
      <c r="GR8" s="774"/>
      <c r="GS8" s="774"/>
      <c r="GT8" s="774"/>
      <c r="GU8" s="774"/>
      <c r="GV8" s="774"/>
      <c r="GW8" s="769"/>
      <c r="GX8" s="769"/>
      <c r="GY8" s="769"/>
      <c r="GZ8" s="769"/>
      <c r="HA8" s="769"/>
      <c r="HB8" s="769"/>
      <c r="HC8" s="769"/>
      <c r="HD8" s="769"/>
      <c r="HE8" s="769"/>
      <c r="HF8" s="769"/>
      <c r="HG8" s="769"/>
      <c r="HH8" s="769"/>
      <c r="HI8" s="769"/>
      <c r="HJ8" s="769"/>
      <c r="HK8" s="769"/>
      <c r="HL8" s="769"/>
      <c r="HM8" s="769"/>
      <c r="HN8" s="769"/>
      <c r="HO8" s="769"/>
      <c r="HP8" s="769"/>
      <c r="HQ8" s="769"/>
      <c r="HR8" s="769"/>
      <c r="HS8" s="769"/>
      <c r="HT8" s="769"/>
      <c r="HU8" s="769"/>
      <c r="HV8" s="769"/>
      <c r="HW8" s="769"/>
      <c r="HX8" s="769"/>
      <c r="HY8" s="769"/>
      <c r="HZ8" s="769"/>
      <c r="IA8" s="769"/>
      <c r="IB8" s="769"/>
    </row>
    <row r="9" spans="1:236" s="777" customFormat="1" ht="114" customHeight="1">
      <c r="A9" s="3133"/>
      <c r="B9" s="3134"/>
      <c r="C9" s="3126"/>
      <c r="D9" s="3126"/>
      <c r="E9" s="3126"/>
      <c r="F9" s="3126"/>
      <c r="G9" s="3126"/>
      <c r="H9" s="3126"/>
      <c r="I9" s="3126"/>
      <c r="J9" s="3126"/>
      <c r="K9" s="3126"/>
      <c r="L9" s="3126"/>
      <c r="M9" s="3126"/>
      <c r="N9" s="3126"/>
      <c r="O9" s="3126"/>
      <c r="P9" s="3126"/>
      <c r="Q9" s="3126"/>
      <c r="R9" s="3126"/>
      <c r="S9" s="3139"/>
      <c r="T9" s="3120"/>
      <c r="U9" s="3120"/>
      <c r="V9" s="3120"/>
      <c r="W9" s="1025" t="s">
        <v>2263</v>
      </c>
      <c r="X9" s="1025" t="s">
        <v>300</v>
      </c>
      <c r="Y9" s="1025" t="s">
        <v>4558</v>
      </c>
      <c r="Z9" s="1025" t="s">
        <v>301</v>
      </c>
      <c r="AA9" s="1025" t="s">
        <v>1186</v>
      </c>
      <c r="AB9" s="1025" t="s">
        <v>302</v>
      </c>
      <c r="AC9" s="1025" t="s">
        <v>759</v>
      </c>
      <c r="AD9" s="1026" t="s">
        <v>2182</v>
      </c>
      <c r="AE9" s="1026" t="s">
        <v>219</v>
      </c>
      <c r="AF9" s="1026" t="s">
        <v>303</v>
      </c>
      <c r="AG9" s="1026" t="s">
        <v>2269</v>
      </c>
      <c r="AH9" s="1026" t="s">
        <v>304</v>
      </c>
      <c r="AI9" s="1026" t="s">
        <v>638</v>
      </c>
      <c r="AJ9" s="1026" t="s">
        <v>647</v>
      </c>
      <c r="AK9" s="1026" t="s">
        <v>646</v>
      </c>
      <c r="AL9" s="1026" t="s">
        <v>1905</v>
      </c>
      <c r="AM9" s="1026" t="s">
        <v>511</v>
      </c>
      <c r="AN9" s="1026" t="s">
        <v>2186</v>
      </c>
      <c r="AO9" s="1026" t="s">
        <v>744</v>
      </c>
      <c r="AP9" s="1026" t="s">
        <v>2310</v>
      </c>
      <c r="AQ9" s="1026" t="s">
        <v>2311</v>
      </c>
      <c r="AR9" s="1026" t="s">
        <v>2270</v>
      </c>
      <c r="AS9" s="1026" t="s">
        <v>2312</v>
      </c>
      <c r="AT9" s="1026" t="s">
        <v>780</v>
      </c>
      <c r="AU9" s="1026" t="s">
        <v>648</v>
      </c>
      <c r="AV9" s="1026" t="s">
        <v>750</v>
      </c>
      <c r="AW9" s="1026" t="s">
        <v>2313</v>
      </c>
      <c r="AX9" s="1026" t="s">
        <v>649</v>
      </c>
      <c r="AY9" s="1026" t="s">
        <v>483</v>
      </c>
      <c r="AZ9" s="1026" t="s">
        <v>484</v>
      </c>
      <c r="BA9" s="1026" t="s">
        <v>650</v>
      </c>
      <c r="BB9" s="1026" t="s">
        <v>1645</v>
      </c>
      <c r="BC9" s="1026" t="s">
        <v>285</v>
      </c>
      <c r="BD9" s="1026" t="s">
        <v>987</v>
      </c>
      <c r="BE9" s="1026" t="s">
        <v>312</v>
      </c>
      <c r="BF9" s="1026" t="s">
        <v>891</v>
      </c>
      <c r="BG9" s="1026" t="s">
        <v>835</v>
      </c>
      <c r="BH9" s="1026" t="s">
        <v>836</v>
      </c>
      <c r="BI9" s="1026" t="s">
        <v>837</v>
      </c>
      <c r="BJ9" s="1026" t="s">
        <v>663</v>
      </c>
      <c r="BK9" s="1026" t="s">
        <v>664</v>
      </c>
      <c r="BL9" s="1026" t="s">
        <v>665</v>
      </c>
      <c r="BM9" s="1027" t="s">
        <v>666</v>
      </c>
      <c r="BN9" s="1027" t="s">
        <v>912</v>
      </c>
      <c r="BO9" s="1027" t="s">
        <v>913</v>
      </c>
      <c r="BP9" s="1027" t="s">
        <v>1277</v>
      </c>
      <c r="BQ9" s="1027" t="s">
        <v>749</v>
      </c>
      <c r="BR9" s="1026" t="s">
        <v>748</v>
      </c>
      <c r="BS9" s="1026" t="s">
        <v>3879</v>
      </c>
      <c r="BT9" s="1026" t="s">
        <v>1495</v>
      </c>
      <c r="BU9" s="1026" t="s">
        <v>1496</v>
      </c>
      <c r="BV9" s="1026" t="s">
        <v>1575</v>
      </c>
      <c r="BW9" s="1026" t="s">
        <v>1091</v>
      </c>
      <c r="BX9" s="1026" t="s">
        <v>2152</v>
      </c>
      <c r="BY9" s="1026" t="s">
        <v>1092</v>
      </c>
      <c r="BZ9" s="1026" t="s">
        <v>2153</v>
      </c>
      <c r="CA9" s="1026" t="s">
        <v>1093</v>
      </c>
      <c r="CB9" s="1026" t="s">
        <v>2050</v>
      </c>
      <c r="CC9" s="1026" t="s">
        <v>1094</v>
      </c>
      <c r="CD9" s="1026" t="s">
        <v>2051</v>
      </c>
      <c r="CE9" s="1026" t="s">
        <v>892</v>
      </c>
      <c r="CF9" s="3127"/>
      <c r="CG9" s="3127"/>
      <c r="CH9" s="3127"/>
      <c r="CI9" s="3127"/>
      <c r="CJ9" s="3127"/>
      <c r="CK9" s="3127"/>
      <c r="CL9" s="3127"/>
      <c r="CM9" s="3127"/>
      <c r="CN9" s="1026" t="s">
        <v>2297</v>
      </c>
      <c r="CO9" s="1026" t="s">
        <v>2301</v>
      </c>
      <c r="CP9" s="1026" t="s">
        <v>533</v>
      </c>
      <c r="CQ9" s="1026" t="s">
        <v>2300</v>
      </c>
      <c r="CR9" s="2230" t="s">
        <v>4850</v>
      </c>
      <c r="CS9" s="2230" t="s">
        <v>4851</v>
      </c>
      <c r="CT9" s="1026" t="s">
        <v>1294</v>
      </c>
      <c r="CU9" s="1026" t="s">
        <v>2315</v>
      </c>
      <c r="CV9" s="1026" t="s">
        <v>893</v>
      </c>
      <c r="CW9" s="1026" t="s">
        <v>2298</v>
      </c>
      <c r="CX9" s="1026" t="s">
        <v>2299</v>
      </c>
      <c r="CY9" s="1026" t="s">
        <v>2125</v>
      </c>
      <c r="CZ9" s="1026" t="s">
        <v>2302</v>
      </c>
      <c r="DA9" s="1026" t="s">
        <v>1872</v>
      </c>
      <c r="DB9" s="1026" t="s">
        <v>894</v>
      </c>
      <c r="DC9" s="3120"/>
      <c r="DD9" s="3120"/>
      <c r="DE9" s="3138"/>
      <c r="DF9" s="3138"/>
      <c r="DG9" s="3138"/>
      <c r="DH9" s="3120"/>
      <c r="DI9" s="3120"/>
      <c r="DJ9" s="3138"/>
      <c r="DK9" s="3120"/>
      <c r="DL9" s="3120"/>
      <c r="DM9" s="3138"/>
      <c r="DN9" s="3120"/>
      <c r="DO9" s="3120"/>
      <c r="DP9" s="3120"/>
      <c r="DQ9" s="3120"/>
      <c r="DR9" s="3122"/>
      <c r="DS9" s="3122"/>
      <c r="DT9" s="3122"/>
      <c r="DU9" s="3122"/>
      <c r="DV9" s="3122"/>
      <c r="DW9" s="3122"/>
      <c r="DX9" s="3122"/>
      <c r="DY9" s="3120"/>
      <c r="DZ9" s="3120"/>
      <c r="EA9" s="3120"/>
      <c r="EB9" s="3120"/>
      <c r="EC9" s="3120"/>
      <c r="ED9" s="3120"/>
      <c r="EE9" s="3120"/>
      <c r="EF9" s="3120"/>
      <c r="EG9" s="3145"/>
      <c r="EH9" s="3120"/>
      <c r="EI9" s="3120"/>
      <c r="EJ9" s="3120"/>
      <c r="EK9" s="3120"/>
      <c r="EL9" s="3120"/>
      <c r="EM9" s="3120"/>
      <c r="EN9" s="3120"/>
      <c r="EO9" s="3122"/>
      <c r="EP9" s="3122"/>
      <c r="EQ9" s="3122"/>
      <c r="ER9" s="3122"/>
      <c r="ES9" s="3122"/>
      <c r="ET9" s="3122"/>
      <c r="EU9" s="3122"/>
      <c r="EV9" s="3122"/>
      <c r="EW9" s="3122"/>
      <c r="EX9" s="3122"/>
      <c r="EY9" s="3124"/>
      <c r="EZ9" s="3124"/>
      <c r="FA9" s="3141"/>
      <c r="FB9" s="3141"/>
      <c r="FC9" s="2332" t="s">
        <v>6169</v>
      </c>
      <c r="FD9" s="3141"/>
      <c r="FE9" s="3141"/>
      <c r="FF9" s="3122"/>
      <c r="FG9" s="3122"/>
      <c r="FH9" s="3122"/>
      <c r="FI9" s="3122"/>
      <c r="FJ9" s="3120"/>
      <c r="FK9" s="3120"/>
      <c r="FL9" s="3120"/>
      <c r="FM9" s="3120"/>
      <c r="FN9" s="3120"/>
      <c r="FO9" s="3120"/>
      <c r="FP9" s="3120"/>
      <c r="FQ9" s="3120"/>
      <c r="FR9" s="3120"/>
      <c r="FS9" s="3120"/>
      <c r="FT9" s="3120"/>
      <c r="FU9" s="3120"/>
      <c r="FV9" s="3120"/>
      <c r="FW9" s="3120"/>
      <c r="FX9" s="3120"/>
      <c r="FY9" s="3120"/>
      <c r="FZ9" s="3120"/>
      <c r="GA9" s="3120"/>
      <c r="GB9" s="3120"/>
      <c r="GC9" s="3120"/>
      <c r="GD9" s="3120"/>
      <c r="GE9" s="3120"/>
      <c r="GF9" s="3120"/>
      <c r="GG9" s="3120"/>
      <c r="GH9" s="3120"/>
      <c r="GI9" s="3120"/>
      <c r="GJ9" s="3120"/>
      <c r="GK9" s="3127"/>
      <c r="GL9" s="3143"/>
      <c r="GM9"/>
      <c r="GN9"/>
      <c r="GO9" s="774"/>
      <c r="GP9" s="774"/>
      <c r="GQ9" s="774"/>
      <c r="GR9" s="774"/>
      <c r="GS9" s="774"/>
      <c r="GT9" s="774"/>
      <c r="GU9" s="774"/>
      <c r="GV9" s="774"/>
      <c r="GW9" s="769"/>
      <c r="GX9" s="769"/>
      <c r="GY9" s="769"/>
      <c r="GZ9" s="769"/>
      <c r="HA9" s="769"/>
      <c r="HB9" s="769"/>
      <c r="HC9" s="769"/>
      <c r="HD9" s="769"/>
      <c r="HE9" s="769"/>
      <c r="HF9" s="769"/>
      <c r="HG9" s="769"/>
      <c r="HH9" s="769"/>
      <c r="HI9" s="769"/>
      <c r="HJ9" s="769"/>
      <c r="HK9" s="769"/>
      <c r="HL9" s="769"/>
      <c r="HM9" s="769"/>
      <c r="HN9" s="769"/>
      <c r="HO9" s="769"/>
      <c r="HP9" s="769"/>
      <c r="HQ9" s="769"/>
      <c r="HR9" s="769"/>
      <c r="HS9" s="769"/>
      <c r="HT9" s="769"/>
      <c r="HU9" s="769"/>
      <c r="HV9" s="769"/>
      <c r="HW9" s="769"/>
      <c r="HX9" s="769"/>
      <c r="HY9" s="769"/>
      <c r="HZ9" s="769"/>
      <c r="IA9" s="769"/>
      <c r="IB9" s="769"/>
    </row>
    <row r="10" spans="1:236" s="2342" customFormat="1" ht="43.8" customHeight="1">
      <c r="A10" s="2334"/>
      <c r="B10" s="2335" t="s">
        <v>88</v>
      </c>
      <c r="C10" s="2336" t="s">
        <v>5144</v>
      </c>
      <c r="D10" s="1028"/>
      <c r="E10" s="1028"/>
      <c r="F10" s="1028"/>
      <c r="G10" s="1028"/>
      <c r="H10" s="1028"/>
      <c r="I10" s="1028"/>
      <c r="J10" s="1028"/>
      <c r="K10" s="1028"/>
      <c r="L10" s="1028"/>
      <c r="M10" s="1028"/>
      <c r="N10" s="1028"/>
      <c r="O10" s="1028"/>
      <c r="P10" s="1028"/>
      <c r="Q10" s="1028"/>
      <c r="R10" s="1029"/>
      <c r="S10" s="1029"/>
      <c r="T10" s="1030"/>
      <c r="U10" s="1030"/>
      <c r="V10" s="2337"/>
      <c r="W10" s="1030"/>
      <c r="X10" s="1030"/>
      <c r="Y10" s="2335"/>
      <c r="Z10" s="2335"/>
      <c r="AA10" s="1023"/>
      <c r="AB10" s="1023"/>
      <c r="AC10" s="1023"/>
      <c r="AD10" s="1030"/>
      <c r="AE10" s="2337"/>
      <c r="AF10" s="1030"/>
      <c r="AG10" s="1030"/>
      <c r="AH10" s="1030"/>
      <c r="AI10" s="1030"/>
      <c r="AJ10" s="1030"/>
      <c r="AK10" s="1030"/>
      <c r="AL10" s="1030"/>
      <c r="AM10" s="1030"/>
      <c r="AN10" s="1030"/>
      <c r="AO10" s="1030"/>
      <c r="AP10" s="1030"/>
      <c r="AQ10" s="1030"/>
      <c r="AR10" s="1030"/>
      <c r="AS10" s="2337"/>
      <c r="AT10" s="2337"/>
      <c r="AU10" s="2337"/>
      <c r="AV10" s="2337"/>
      <c r="AW10" s="2337"/>
      <c r="AX10" s="2337"/>
      <c r="AY10" s="2337"/>
      <c r="AZ10" s="2337"/>
      <c r="BA10" s="2337"/>
      <c r="BB10" s="2337"/>
      <c r="BC10" s="2337"/>
      <c r="BD10" s="2337"/>
      <c r="BE10" s="2337"/>
      <c r="BF10" s="2337"/>
      <c r="BG10" s="2337"/>
      <c r="BH10" s="2337"/>
      <c r="BI10" s="2337"/>
      <c r="BJ10" s="2337"/>
      <c r="BK10" s="2337"/>
      <c r="BL10" s="2337"/>
      <c r="BM10" s="2337"/>
      <c r="BN10" s="2337"/>
      <c r="BO10" s="2337"/>
      <c r="BP10" s="2337"/>
      <c r="BQ10" s="2337"/>
      <c r="BR10" s="2337"/>
      <c r="BS10" s="2337"/>
      <c r="BT10" s="2337"/>
      <c r="BU10" s="2337"/>
      <c r="BV10" s="2337"/>
      <c r="BW10" s="2337"/>
      <c r="BX10" s="2337"/>
      <c r="BY10" s="2337"/>
      <c r="BZ10" s="2337"/>
      <c r="CA10" s="2337"/>
      <c r="CB10" s="2337"/>
      <c r="CC10" s="2337"/>
      <c r="CD10" s="2337"/>
      <c r="CE10" s="2337"/>
      <c r="CF10" s="2337"/>
      <c r="CG10" s="2337" t="s">
        <v>1640</v>
      </c>
      <c r="CH10" s="2337" t="s">
        <v>2241</v>
      </c>
      <c r="CI10" s="2337"/>
      <c r="CJ10" s="2337"/>
      <c r="CK10" s="2337"/>
      <c r="CL10" s="2337"/>
      <c r="CM10" s="2337"/>
      <c r="CN10" s="2337"/>
      <c r="CO10" s="2337"/>
      <c r="CP10" s="2337"/>
      <c r="CQ10" s="2337"/>
      <c r="CR10" s="2337"/>
      <c r="CS10" s="2337"/>
      <c r="CT10" s="2337"/>
      <c r="CU10" s="2337"/>
      <c r="CV10" s="2337"/>
      <c r="CW10" s="2337"/>
      <c r="CX10" s="2337"/>
      <c r="CY10" s="2337"/>
      <c r="CZ10" s="2337"/>
      <c r="DA10" s="2337"/>
      <c r="DB10" s="2337" t="s">
        <v>361</v>
      </c>
      <c r="DC10" s="2338"/>
      <c r="DD10" s="2338"/>
      <c r="DE10" s="2338" t="s">
        <v>2510</v>
      </c>
      <c r="DF10" s="2338" t="s">
        <v>2548</v>
      </c>
      <c r="DG10" s="2338"/>
      <c r="DH10" s="2338"/>
      <c r="DI10" s="2338"/>
      <c r="DJ10" s="2338" t="s">
        <v>2505</v>
      </c>
      <c r="DK10" s="2338"/>
      <c r="DL10" s="2338"/>
      <c r="DM10" s="2338" t="s">
        <v>1625</v>
      </c>
      <c r="DN10" s="2338"/>
      <c r="DO10" s="2338"/>
      <c r="DP10" s="2338"/>
      <c r="DQ10" s="2338"/>
      <c r="DR10" s="2338"/>
      <c r="DS10" s="2338"/>
      <c r="DT10" s="2338"/>
      <c r="DU10" s="2338"/>
      <c r="DV10" s="2338"/>
      <c r="DW10" s="2338"/>
      <c r="DX10" s="2338"/>
      <c r="DY10" s="2338"/>
      <c r="DZ10" s="2338"/>
      <c r="EA10" s="2338"/>
      <c r="EB10" s="2339" t="s">
        <v>4487</v>
      </c>
      <c r="EC10" s="2338" t="s">
        <v>1480</v>
      </c>
      <c r="ED10" s="2339" t="s">
        <v>4520</v>
      </c>
      <c r="EE10" s="2338" t="s">
        <v>1049</v>
      </c>
      <c r="EF10" s="2338"/>
      <c r="EG10" s="2338" t="s">
        <v>905</v>
      </c>
      <c r="EH10" s="2338"/>
      <c r="EI10" s="2338" t="s">
        <v>36</v>
      </c>
      <c r="EJ10" s="2338" t="s">
        <v>13</v>
      </c>
      <c r="EK10" s="2338" t="s">
        <v>142</v>
      </c>
      <c r="EL10" s="2338"/>
      <c r="EM10" s="2338"/>
      <c r="EN10" s="2338"/>
      <c r="EO10" s="2338" t="s">
        <v>1301</v>
      </c>
      <c r="EP10" s="2338"/>
      <c r="EQ10" s="2338"/>
      <c r="ER10" s="2338"/>
      <c r="ES10" s="2338"/>
      <c r="ET10" s="2338"/>
      <c r="EU10" s="2338"/>
      <c r="EV10" s="2338"/>
      <c r="EW10" s="2338" t="s">
        <v>675</v>
      </c>
      <c r="EX10" s="2338" t="s">
        <v>1655</v>
      </c>
      <c r="EY10" s="2338" t="s">
        <v>5199</v>
      </c>
      <c r="EZ10" s="2338" t="s">
        <v>5198</v>
      </c>
      <c r="FA10" s="2338" t="s">
        <v>852</v>
      </c>
      <c r="FB10" s="2338" t="s">
        <v>1432</v>
      </c>
      <c r="FC10" s="2338" t="s">
        <v>5012</v>
      </c>
      <c r="FD10" s="2338" t="s">
        <v>6168</v>
      </c>
      <c r="FE10" s="2338"/>
      <c r="FF10" s="2338"/>
      <c r="FG10" s="2338"/>
      <c r="FH10" s="2338"/>
      <c r="FI10" s="2338" t="s">
        <v>1376</v>
      </c>
      <c r="FJ10" s="2338"/>
      <c r="FK10" s="2338"/>
      <c r="FL10" s="2338"/>
      <c r="FM10" s="2338"/>
      <c r="FN10" s="2338"/>
      <c r="FO10" s="2338"/>
      <c r="FP10" s="2338"/>
      <c r="FQ10" s="2338"/>
      <c r="FR10" s="2338"/>
      <c r="FS10" s="2338"/>
      <c r="FT10" s="2338"/>
      <c r="FU10" s="2338"/>
      <c r="FV10" s="2338"/>
      <c r="FW10" s="2338"/>
      <c r="FX10" s="2338"/>
      <c r="FY10" s="2338"/>
      <c r="FZ10" s="2338"/>
      <c r="GA10" s="2338"/>
      <c r="GB10" s="2338"/>
      <c r="GC10" s="2338"/>
      <c r="GD10" s="2338"/>
      <c r="GE10" s="2338"/>
      <c r="GF10" s="2338"/>
      <c r="GG10" s="2338"/>
      <c r="GH10" s="2338"/>
      <c r="GI10" s="2338"/>
      <c r="GJ10" s="2338"/>
      <c r="GK10" s="2338"/>
      <c r="GL10" s="2340"/>
      <c r="GM10" s="2341"/>
      <c r="GN10" s="2341"/>
    </row>
    <row r="11" spans="1:236" s="1381" customFormat="1" ht="28.5" customHeight="1">
      <c r="A11" s="2343" t="s">
        <v>6163</v>
      </c>
      <c r="B11" s="550"/>
      <c r="C11" s="1382"/>
      <c r="D11" s="549"/>
      <c r="E11" s="1034"/>
      <c r="F11" s="1034"/>
      <c r="G11" s="1034"/>
      <c r="H11" s="1034"/>
      <c r="I11" s="1034"/>
      <c r="J11" s="1034"/>
      <c r="K11" s="1034"/>
      <c r="L11" s="1034"/>
      <c r="M11" s="1034"/>
      <c r="N11" s="1034"/>
      <c r="O11" s="1034"/>
      <c r="P11" s="1034"/>
      <c r="Q11" s="1034"/>
      <c r="R11" s="1035"/>
      <c r="S11" s="1035"/>
      <c r="T11" s="1036"/>
      <c r="U11" s="1036"/>
      <c r="V11" s="1382" t="s">
        <v>1621</v>
      </c>
      <c r="W11" s="757"/>
      <c r="X11" s="757"/>
      <c r="Y11" s="550">
        <v>2</v>
      </c>
      <c r="Z11" s="550"/>
      <c r="AA11" s="550"/>
      <c r="AB11" s="550"/>
      <c r="AC11" s="550"/>
      <c r="AD11" s="439"/>
      <c r="AE11" s="439"/>
      <c r="AF11" s="439"/>
      <c r="AG11" s="439"/>
      <c r="AH11" s="439"/>
      <c r="AI11" s="439"/>
      <c r="AJ11" s="439"/>
      <c r="AK11" s="439"/>
      <c r="AL11" s="439"/>
      <c r="AM11" s="439"/>
      <c r="AN11" s="439"/>
      <c r="AO11" s="439"/>
      <c r="AP11" s="439"/>
      <c r="AQ11" s="439"/>
      <c r="AR11" s="439"/>
      <c r="AS11" s="439"/>
      <c r="AT11" s="439"/>
      <c r="AU11" s="439"/>
      <c r="AV11" s="439"/>
      <c r="AW11" s="439"/>
      <c r="AX11" s="439"/>
      <c r="AY11" s="439"/>
      <c r="AZ11" s="439"/>
      <c r="BA11" s="439"/>
      <c r="BB11" s="439"/>
      <c r="BC11" s="439"/>
      <c r="BD11" s="439"/>
      <c r="BE11" s="439"/>
      <c r="BF11" s="439"/>
      <c r="BG11" s="439"/>
      <c r="BH11" s="439"/>
      <c r="BI11" s="439"/>
      <c r="BJ11" s="439"/>
      <c r="BK11" s="1383"/>
      <c r="BL11" s="439"/>
      <c r="BM11" s="439"/>
      <c r="BN11" s="439"/>
      <c r="BO11" s="439"/>
      <c r="BP11" s="439"/>
      <c r="BQ11" s="439"/>
      <c r="BR11" s="439"/>
      <c r="BS11" s="439"/>
      <c r="BT11" s="439"/>
      <c r="BU11" s="439"/>
      <c r="BV11" s="439"/>
      <c r="BW11" s="439"/>
      <c r="BX11" s="439"/>
      <c r="BY11" s="439"/>
      <c r="BZ11" s="439"/>
      <c r="CA11" s="439"/>
      <c r="CB11" s="439"/>
      <c r="CC11" s="439"/>
      <c r="CD11" s="439"/>
      <c r="CE11" s="439"/>
      <c r="CF11" s="439"/>
      <c r="CG11" s="439"/>
      <c r="CH11" s="439"/>
      <c r="CI11" s="439"/>
      <c r="CJ11" s="439"/>
      <c r="CK11" s="439"/>
      <c r="CL11" s="439"/>
      <c r="CM11" s="439"/>
      <c r="CN11" s="439"/>
      <c r="CO11" s="439">
        <v>1</v>
      </c>
      <c r="CP11" s="439"/>
      <c r="CQ11" s="439"/>
      <c r="CR11" s="439"/>
      <c r="CS11" s="439"/>
      <c r="CT11" s="439"/>
      <c r="CU11" s="439"/>
      <c r="CV11" s="439"/>
      <c r="CW11" s="439"/>
      <c r="CX11" s="439"/>
      <c r="CY11" s="439"/>
      <c r="CZ11" s="439"/>
      <c r="DA11" s="439"/>
      <c r="DB11" s="439">
        <v>1</v>
      </c>
      <c r="DC11" s="781"/>
      <c r="DD11" s="781"/>
      <c r="DE11" s="781">
        <v>2</v>
      </c>
      <c r="DF11" s="781">
        <v>3</v>
      </c>
      <c r="DG11" s="781"/>
      <c r="DH11" s="781"/>
      <c r="DI11" s="781"/>
      <c r="DJ11" s="781"/>
      <c r="DK11" s="781"/>
      <c r="DL11" s="781"/>
      <c r="DM11" s="781">
        <v>1</v>
      </c>
      <c r="DN11" s="781"/>
      <c r="DO11" s="781"/>
      <c r="DP11" s="781"/>
      <c r="DQ11" s="781"/>
      <c r="DR11" s="781"/>
      <c r="DS11" s="781"/>
      <c r="DT11" s="781"/>
      <c r="DU11" s="781"/>
      <c r="DV11" s="781"/>
      <c r="DW11" s="781"/>
      <c r="DX11" s="781"/>
      <c r="DY11" s="781"/>
      <c r="DZ11" s="781"/>
      <c r="EA11" s="781"/>
      <c r="EB11" s="1384"/>
      <c r="EC11" s="781"/>
      <c r="ED11" s="781"/>
      <c r="EE11" s="781"/>
      <c r="EF11" s="781"/>
      <c r="EG11" s="781">
        <v>2</v>
      </c>
      <c r="EH11" s="782"/>
      <c r="EI11" s="781">
        <v>6</v>
      </c>
      <c r="EJ11" s="781"/>
      <c r="EK11" s="782"/>
      <c r="EL11" s="782"/>
      <c r="EM11" s="782"/>
      <c r="EN11" s="782"/>
      <c r="EO11" s="781">
        <v>6</v>
      </c>
      <c r="EP11" s="781"/>
      <c r="EQ11" s="781"/>
      <c r="ER11" s="781"/>
      <c r="ES11" s="781"/>
      <c r="ET11" s="781"/>
      <c r="EU11" s="781"/>
      <c r="EV11" s="781"/>
      <c r="EW11" s="781"/>
      <c r="EX11" s="781">
        <v>3</v>
      </c>
      <c r="EY11" s="781"/>
      <c r="EZ11" s="781">
        <v>2</v>
      </c>
      <c r="FA11" s="781"/>
      <c r="FB11" s="781"/>
      <c r="FC11" s="781">
        <v>1</v>
      </c>
      <c r="FD11" s="781">
        <v>1</v>
      </c>
      <c r="FE11" s="781"/>
      <c r="FF11" s="781"/>
      <c r="FG11" s="781"/>
      <c r="FH11" s="781"/>
      <c r="FI11" s="781">
        <v>3</v>
      </c>
      <c r="FJ11" s="781"/>
      <c r="FK11" s="781"/>
      <c r="FL11" s="781"/>
      <c r="FM11" s="781"/>
      <c r="FN11" s="781"/>
      <c r="FO11" s="781"/>
      <c r="FP11" s="781"/>
      <c r="FQ11" s="781"/>
      <c r="FR11" s="781"/>
      <c r="FS11" s="781"/>
      <c r="FT11" s="781"/>
      <c r="FU11" s="781"/>
      <c r="FV11" s="781"/>
      <c r="FW11" s="781"/>
      <c r="FX11" s="781"/>
      <c r="FY11" s="781"/>
      <c r="FZ11" s="781"/>
      <c r="GA11" s="781"/>
      <c r="GB11" s="781"/>
      <c r="GC11" s="781"/>
      <c r="GD11" s="781"/>
      <c r="GE11" s="781"/>
      <c r="GF11" s="781"/>
      <c r="GG11" s="781"/>
      <c r="GH11" s="781"/>
      <c r="GI11" s="781"/>
      <c r="GJ11" s="781"/>
      <c r="GK11" s="781"/>
      <c r="GL11" s="1037"/>
      <c r="GM11" s="1448"/>
      <c r="GN11" s="1448">
        <v>9</v>
      </c>
      <c r="GO11" s="2342">
        <v>3</v>
      </c>
      <c r="GP11" s="2342">
        <v>3</v>
      </c>
      <c r="GQ11" s="2342">
        <v>3</v>
      </c>
      <c r="GR11" s="2342"/>
      <c r="GS11" s="2342">
        <v>3</v>
      </c>
      <c r="GT11" s="1381">
        <v>3</v>
      </c>
    </row>
    <row r="12" spans="1:236" s="1381" customFormat="1" ht="28.5" customHeight="1">
      <c r="A12" s="2343" t="s">
        <v>6164</v>
      </c>
      <c r="B12" s="550">
        <v>30</v>
      </c>
      <c r="C12" s="1385">
        <f>B12+C11</f>
        <v>30</v>
      </c>
      <c r="D12" s="548"/>
      <c r="E12" s="548"/>
      <c r="F12" s="548"/>
      <c r="G12" s="548"/>
      <c r="H12" s="548"/>
      <c r="I12" s="548"/>
      <c r="J12" s="548"/>
      <c r="K12" s="548"/>
      <c r="L12" s="548"/>
      <c r="M12" s="548"/>
      <c r="N12" s="548"/>
      <c r="O12" s="548"/>
      <c r="P12" s="548"/>
      <c r="Q12" s="548"/>
      <c r="R12" s="548"/>
      <c r="S12" s="548"/>
      <c r="T12" s="439"/>
      <c r="U12" s="440"/>
      <c r="V12" s="1385" t="s">
        <v>501</v>
      </c>
      <c r="W12" s="440"/>
      <c r="X12" s="440"/>
      <c r="Y12" s="550"/>
      <c r="Z12" s="550">
        <v>1</v>
      </c>
      <c r="AA12" s="440"/>
      <c r="AB12" s="550"/>
      <c r="AC12" s="550"/>
      <c r="AD12" s="781"/>
      <c r="AE12" s="439">
        <v>1</v>
      </c>
      <c r="AF12" s="439"/>
      <c r="AG12" s="781"/>
      <c r="AH12" s="439"/>
      <c r="AI12" s="781"/>
      <c r="AJ12" s="781"/>
      <c r="AK12" s="781"/>
      <c r="AL12" s="781"/>
      <c r="AM12" s="781"/>
      <c r="AN12" s="781"/>
      <c r="AO12" s="781"/>
      <c r="AP12" s="781"/>
      <c r="AQ12" s="781"/>
      <c r="AR12" s="781"/>
      <c r="AS12" s="781"/>
      <c r="AT12" s="781"/>
      <c r="AU12" s="781"/>
      <c r="AV12" s="781"/>
      <c r="AW12" s="781"/>
      <c r="AX12" s="781"/>
      <c r="AY12" s="781"/>
      <c r="AZ12" s="781"/>
      <c r="BA12" s="781"/>
      <c r="BB12" s="781"/>
      <c r="BC12" s="781"/>
      <c r="BD12" s="781"/>
      <c r="BE12" s="781"/>
      <c r="BF12" s="781"/>
      <c r="BG12" s="781"/>
      <c r="BH12" s="781"/>
      <c r="BI12" s="781"/>
      <c r="BJ12" s="781">
        <v>1</v>
      </c>
      <c r="BK12" s="439"/>
      <c r="BL12" s="781"/>
      <c r="BM12" s="781"/>
      <c r="BN12" s="781"/>
      <c r="BO12" s="781"/>
      <c r="BP12" s="781"/>
      <c r="BQ12" s="781"/>
      <c r="BR12" s="781"/>
      <c r="BS12" s="781"/>
      <c r="BT12" s="781">
        <v>1</v>
      </c>
      <c r="BU12" s="439"/>
      <c r="BV12" s="781"/>
      <c r="BW12" s="781"/>
      <c r="BX12" s="781"/>
      <c r="BY12" s="781"/>
      <c r="BZ12" s="781"/>
      <c r="CA12" s="781"/>
      <c r="CB12" s="781"/>
      <c r="CC12" s="781"/>
      <c r="CD12" s="781"/>
      <c r="CE12" s="781"/>
      <c r="CF12" s="781"/>
      <c r="CG12" s="781">
        <v>1</v>
      </c>
      <c r="CH12" s="781"/>
      <c r="CI12" s="781"/>
      <c r="CJ12" s="781"/>
      <c r="CK12" s="781"/>
      <c r="CL12" s="781"/>
      <c r="CM12" s="781"/>
      <c r="CN12" s="781"/>
      <c r="CO12" s="781"/>
      <c r="CP12" s="781"/>
      <c r="CQ12" s="781"/>
      <c r="CR12" s="781"/>
      <c r="CS12" s="781"/>
      <c r="CT12" s="781"/>
      <c r="CU12" s="781"/>
      <c r="CV12" s="781"/>
      <c r="CW12" s="781"/>
      <c r="CX12" s="439">
        <v>1</v>
      </c>
      <c r="CY12" s="439"/>
      <c r="CZ12" s="781"/>
      <c r="DA12" s="781"/>
      <c r="DB12" s="781"/>
      <c r="DC12" s="781"/>
      <c r="DD12" s="781"/>
      <c r="DE12" s="781">
        <v>6</v>
      </c>
      <c r="DF12" s="781"/>
      <c r="DG12" s="781"/>
      <c r="DH12" s="781"/>
      <c r="DI12" s="781"/>
      <c r="DJ12" s="781">
        <v>1</v>
      </c>
      <c r="DK12" s="781"/>
      <c r="DL12" s="781"/>
      <c r="DM12" s="781"/>
      <c r="DN12" s="781"/>
      <c r="DO12" s="781"/>
      <c r="DP12" s="781"/>
      <c r="DQ12" s="781"/>
      <c r="DR12" s="781"/>
      <c r="DS12" s="781"/>
      <c r="DT12" s="781"/>
      <c r="DU12" s="781"/>
      <c r="DV12" s="781"/>
      <c r="DW12" s="781"/>
      <c r="DX12" s="781"/>
      <c r="DY12" s="781"/>
      <c r="DZ12" s="781"/>
      <c r="EA12" s="781"/>
      <c r="EB12" s="1384"/>
      <c r="EC12" s="781"/>
      <c r="ED12" s="781"/>
      <c r="EE12" s="781"/>
      <c r="EF12" s="781"/>
      <c r="EG12" s="781"/>
      <c r="EH12" s="781"/>
      <c r="EI12" s="781"/>
      <c r="EJ12" s="781"/>
      <c r="EK12" s="781"/>
      <c r="EL12" s="781"/>
      <c r="EM12" s="781"/>
      <c r="EN12" s="781"/>
      <c r="EO12" s="781"/>
      <c r="EP12" s="781"/>
      <c r="EQ12" s="781"/>
      <c r="ER12" s="781"/>
      <c r="ES12" s="781"/>
      <c r="ET12" s="781"/>
      <c r="EU12" s="781"/>
      <c r="EV12" s="781"/>
      <c r="EW12" s="781"/>
      <c r="EX12" s="781"/>
      <c r="EY12" s="781">
        <v>6</v>
      </c>
      <c r="EZ12" s="781"/>
      <c r="FA12" s="781"/>
      <c r="FB12" s="781"/>
      <c r="FC12" s="781"/>
      <c r="FD12" s="781"/>
      <c r="FE12" s="781"/>
      <c r="FF12" s="781"/>
      <c r="FG12" s="781"/>
      <c r="FH12" s="781"/>
      <c r="FI12" s="781"/>
      <c r="FJ12" s="781"/>
      <c r="FK12" s="781"/>
      <c r="FL12" s="781"/>
      <c r="FM12" s="781"/>
      <c r="FN12" s="781"/>
      <c r="FO12" s="781"/>
      <c r="FP12" s="781"/>
      <c r="FQ12" s="781"/>
      <c r="FR12" s="781"/>
      <c r="FS12" s="781"/>
      <c r="FT12" s="1383"/>
      <c r="FU12" s="1383"/>
      <c r="FV12" s="1383"/>
      <c r="FW12" s="1383"/>
      <c r="FX12" s="1383"/>
      <c r="FY12" s="1383"/>
      <c r="FZ12" s="1383"/>
      <c r="GA12" s="1383"/>
      <c r="GB12" s="1383"/>
      <c r="GC12" s="1383"/>
      <c r="GD12" s="1383"/>
      <c r="GE12" s="781"/>
      <c r="GF12" s="781"/>
      <c r="GG12" s="781"/>
      <c r="GH12" s="781"/>
      <c r="GI12" s="781"/>
      <c r="GJ12" s="781"/>
      <c r="GK12" s="781"/>
      <c r="GL12" s="1037"/>
      <c r="GM12" s="1448"/>
      <c r="GN12" s="1448"/>
    </row>
    <row r="13" spans="1:236" s="1381" customFormat="1" ht="24.9" customHeight="1">
      <c r="A13" s="2343" t="s">
        <v>6165</v>
      </c>
      <c r="B13" s="1333">
        <v>33</v>
      </c>
      <c r="C13" s="1385">
        <f>B13+C12</f>
        <v>63</v>
      </c>
      <c r="D13" s="548"/>
      <c r="E13" s="548"/>
      <c r="F13" s="548"/>
      <c r="G13" s="548"/>
      <c r="H13" s="548"/>
      <c r="I13" s="548"/>
      <c r="J13" s="548"/>
      <c r="K13" s="548"/>
      <c r="L13" s="548"/>
      <c r="M13" s="548"/>
      <c r="N13" s="548"/>
      <c r="O13" s="548"/>
      <c r="P13" s="548"/>
      <c r="Q13" s="548"/>
      <c r="R13" s="548"/>
      <c r="S13" s="548"/>
      <c r="T13" s="439"/>
      <c r="U13" s="440"/>
      <c r="V13" s="1385" t="s">
        <v>1107</v>
      </c>
      <c r="W13" s="440"/>
      <c r="X13" s="1383"/>
      <c r="Y13" s="550"/>
      <c r="Z13" s="550">
        <v>2</v>
      </c>
      <c r="AA13" s="550"/>
      <c r="AB13" s="1383"/>
      <c r="AC13" s="1383"/>
      <c r="AD13" s="1383"/>
      <c r="AE13" s="439"/>
      <c r="AF13" s="439"/>
      <c r="AG13" s="1383"/>
      <c r="AH13" s="439"/>
      <c r="AI13" s="1383"/>
      <c r="AJ13" s="1383"/>
      <c r="AK13" s="1383"/>
      <c r="AL13" s="1383"/>
      <c r="AM13" s="1383"/>
      <c r="AN13" s="1383"/>
      <c r="AO13" s="1383"/>
      <c r="AP13" s="1383"/>
      <c r="AQ13" s="1383"/>
      <c r="AR13" s="1383"/>
      <c r="AS13" s="1383">
        <v>1</v>
      </c>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1"/>
      <c r="BU13" s="439"/>
      <c r="BV13" s="781"/>
      <c r="BW13" s="781"/>
      <c r="BX13" s="781"/>
      <c r="BY13" s="1383"/>
      <c r="BZ13" s="1383"/>
      <c r="CA13" s="1383"/>
      <c r="CB13" s="1383"/>
      <c r="CC13" s="1383"/>
      <c r="CD13" s="1383"/>
      <c r="CE13" s="1383"/>
      <c r="CF13" s="1383"/>
      <c r="CG13" s="1383"/>
      <c r="CH13" s="1383"/>
      <c r="CI13" s="1383"/>
      <c r="CJ13" s="1383"/>
      <c r="CK13" s="1383"/>
      <c r="CL13" s="1383"/>
      <c r="CM13" s="1383"/>
      <c r="CN13" s="1383"/>
      <c r="CO13" s="1383">
        <v>1</v>
      </c>
      <c r="CP13" s="1383"/>
      <c r="CQ13" s="1383"/>
      <c r="CR13" s="1383"/>
      <c r="CS13" s="1383"/>
      <c r="CT13" s="1383"/>
      <c r="CU13" s="781"/>
      <c r="CV13" s="781"/>
      <c r="CW13" s="781"/>
      <c r="CX13" s="439"/>
      <c r="CY13" s="439"/>
      <c r="CZ13" s="781"/>
      <c r="DA13" s="781"/>
      <c r="DB13" s="781"/>
      <c r="DC13" s="781"/>
      <c r="DD13" s="781"/>
      <c r="DE13" s="781"/>
      <c r="DF13" s="781">
        <v>3</v>
      </c>
      <c r="DG13" s="1383"/>
      <c r="DH13" s="1383"/>
      <c r="DI13" s="1383"/>
      <c r="DJ13" s="1383"/>
      <c r="DK13" s="1383"/>
      <c r="DL13" s="1383"/>
      <c r="DM13" s="1383">
        <v>1</v>
      </c>
      <c r="DN13" s="1383"/>
      <c r="DO13" s="1383"/>
      <c r="DP13" s="1383"/>
      <c r="DQ13" s="1383"/>
      <c r="DR13" s="1383"/>
      <c r="DS13" s="1383"/>
      <c r="DT13" s="1383"/>
      <c r="DU13" s="1383"/>
      <c r="DV13" s="1383"/>
      <c r="DW13" s="1383"/>
      <c r="DX13" s="1383"/>
      <c r="DY13" s="1383"/>
      <c r="DZ13" s="1383"/>
      <c r="EA13" s="1383"/>
      <c r="EB13" s="1386"/>
      <c r="EC13" s="1383"/>
      <c r="ED13" s="1383"/>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781"/>
      <c r="FK13" s="781"/>
      <c r="FL13" s="781"/>
      <c r="FM13" s="781"/>
      <c r="FN13" s="781"/>
      <c r="FO13" s="781"/>
      <c r="FP13" s="781"/>
      <c r="FQ13" s="781"/>
      <c r="FR13" s="781"/>
      <c r="FS13" s="781"/>
      <c r="FT13" s="781"/>
      <c r="FU13" s="781"/>
      <c r="FV13" s="781"/>
      <c r="FW13" s="781"/>
      <c r="FX13" s="781"/>
      <c r="FY13" s="781"/>
      <c r="FZ13" s="781"/>
      <c r="GA13" s="781"/>
      <c r="GB13" s="781"/>
      <c r="GC13" s="781"/>
      <c r="GD13" s="781"/>
      <c r="GE13" s="781"/>
      <c r="GF13" s="781"/>
      <c r="GG13" s="781"/>
      <c r="GH13" s="781"/>
      <c r="GI13" s="781"/>
      <c r="GJ13" s="781"/>
      <c r="GK13" s="781"/>
      <c r="GL13" s="1387"/>
      <c r="GM13" s="1448"/>
      <c r="GN13" s="1448"/>
    </row>
    <row r="14" spans="1:236" ht="18.899999999999999" hidden="1" customHeight="1">
      <c r="A14" s="2186"/>
      <c r="B14" s="550"/>
      <c r="C14" s="1028"/>
      <c r="D14" s="1028"/>
      <c r="E14" s="1028"/>
      <c r="F14" s="1028"/>
      <c r="G14" s="1028"/>
      <c r="H14" s="1028"/>
      <c r="I14" s="1028"/>
      <c r="J14" s="1028"/>
      <c r="K14" s="1028"/>
      <c r="L14" s="1028"/>
      <c r="M14" s="1028"/>
      <c r="N14" s="1028"/>
      <c r="O14" s="1028"/>
      <c r="P14" s="1028"/>
      <c r="Q14" s="1028"/>
      <c r="R14" s="1029"/>
      <c r="S14" s="1029"/>
      <c r="T14" s="1030"/>
      <c r="U14" s="1030"/>
      <c r="V14" s="1030"/>
      <c r="W14" s="1030"/>
      <c r="X14" s="1030"/>
      <c r="Y14" s="778"/>
      <c r="Z14" s="778"/>
      <c r="AA14" s="1023"/>
      <c r="AB14" s="1023"/>
      <c r="AC14" s="1023"/>
      <c r="AD14" s="1030"/>
      <c r="AE14" s="1030"/>
      <c r="AF14" s="1030"/>
      <c r="AG14" s="1030"/>
      <c r="AH14" s="1030"/>
      <c r="AI14" s="1030"/>
      <c r="AJ14" s="1030"/>
      <c r="AK14" s="1030"/>
      <c r="AL14" s="1030"/>
      <c r="AM14" s="1030"/>
      <c r="AN14" s="1030"/>
      <c r="AO14" s="1030"/>
      <c r="AP14" s="1030"/>
      <c r="AQ14" s="1030"/>
      <c r="AR14" s="1030"/>
      <c r="AS14" s="1030"/>
      <c r="AT14" s="1030"/>
      <c r="AU14" s="1030"/>
      <c r="AV14" s="1030"/>
      <c r="AW14" s="1030"/>
      <c r="AX14" s="1030"/>
      <c r="AY14" s="1030"/>
      <c r="AZ14" s="1030"/>
      <c r="BA14" s="1030"/>
      <c r="BB14" s="1030"/>
      <c r="BC14" s="1030"/>
      <c r="BD14" s="1030"/>
      <c r="BE14" s="1030"/>
      <c r="BF14" s="1030"/>
      <c r="BG14" s="1030"/>
      <c r="BH14" s="1030"/>
      <c r="BI14" s="1030"/>
      <c r="BJ14" s="1030"/>
      <c r="BK14" s="1030"/>
      <c r="BL14" s="1030"/>
      <c r="BM14" s="1030"/>
      <c r="BN14" s="1030"/>
      <c r="BO14" s="1030"/>
      <c r="BP14" s="1030"/>
      <c r="BQ14" s="1030"/>
      <c r="BR14" s="1030"/>
      <c r="BS14" s="1030"/>
      <c r="BT14" s="1030"/>
      <c r="BU14" s="1030"/>
      <c r="BV14" s="1030"/>
      <c r="BW14" s="1030"/>
      <c r="BX14" s="1030"/>
      <c r="BY14" s="1030"/>
      <c r="BZ14" s="1030"/>
      <c r="CA14" s="1030"/>
      <c r="CB14" s="1030"/>
      <c r="CC14" s="1030"/>
      <c r="CD14" s="1030"/>
      <c r="CE14" s="1030"/>
      <c r="CF14" s="1030"/>
      <c r="CG14" s="1030"/>
      <c r="CH14" s="1030"/>
      <c r="CI14" s="1030"/>
      <c r="CJ14" s="1030"/>
      <c r="CK14" s="1030"/>
      <c r="CL14" s="1030"/>
      <c r="CM14" s="1030"/>
      <c r="CN14" s="1030"/>
      <c r="CO14" s="1030"/>
      <c r="CP14" s="1030"/>
      <c r="CQ14" s="1030"/>
      <c r="CR14" s="1030"/>
      <c r="CS14" s="1030"/>
      <c r="CT14" s="1030"/>
      <c r="CU14" s="1030"/>
      <c r="CV14" s="1030"/>
      <c r="CW14" s="1030"/>
      <c r="CX14" s="1030"/>
      <c r="CY14" s="1030"/>
      <c r="CZ14" s="1030"/>
      <c r="DA14" s="1030"/>
      <c r="DB14" s="1030"/>
      <c r="DC14" s="1031"/>
      <c r="DD14" s="1031"/>
      <c r="DE14" s="1031"/>
      <c r="DF14" s="1031"/>
      <c r="DG14" s="1031"/>
      <c r="DH14" s="1031"/>
      <c r="DI14" s="1031"/>
      <c r="DJ14" s="1031"/>
      <c r="DK14" s="1031"/>
      <c r="DL14" s="1031"/>
      <c r="DM14" s="1031"/>
      <c r="DN14" s="1031"/>
      <c r="DO14" s="1031"/>
      <c r="DP14" s="1031"/>
      <c r="DQ14" s="1031"/>
      <c r="DR14" s="1031"/>
      <c r="DS14" s="1031"/>
      <c r="DT14" s="1031"/>
      <c r="DU14" s="1031"/>
      <c r="DV14" s="1031"/>
      <c r="DW14" s="1031"/>
      <c r="DX14" s="1031"/>
      <c r="DY14" s="1031"/>
      <c r="DZ14" s="1031"/>
      <c r="EA14" s="1031"/>
      <c r="EB14" s="1032"/>
      <c r="EC14" s="1031"/>
      <c r="ED14" s="1031"/>
      <c r="EE14" s="1031"/>
      <c r="EF14" s="1031"/>
      <c r="EG14" s="1031"/>
      <c r="EH14" s="1031"/>
      <c r="EI14" s="1031"/>
      <c r="EJ14" s="1031"/>
      <c r="EK14" s="1031"/>
      <c r="EL14" s="1031"/>
      <c r="EM14" s="1031"/>
      <c r="EN14" s="1031"/>
      <c r="EO14" s="1031"/>
      <c r="EP14" s="1031"/>
      <c r="EQ14" s="1031"/>
      <c r="ER14" s="1031"/>
      <c r="ES14" s="1031"/>
      <c r="ET14" s="1031"/>
      <c r="EU14" s="1031"/>
      <c r="EV14" s="1031"/>
      <c r="EW14" s="1031"/>
      <c r="EX14" s="1031"/>
      <c r="EY14" s="1031"/>
      <c r="EZ14" s="1031"/>
      <c r="FA14" s="1031"/>
      <c r="FB14" s="1031"/>
      <c r="FC14" s="1031"/>
      <c r="FD14" s="1031"/>
      <c r="FE14" s="1031"/>
      <c r="FF14" s="1031"/>
      <c r="FG14" s="1031"/>
      <c r="FH14" s="1031"/>
      <c r="FI14" s="1031"/>
      <c r="FJ14" s="1031"/>
      <c r="FK14" s="1031"/>
      <c r="FL14" s="1031"/>
      <c r="FM14" s="1031"/>
      <c r="FN14" s="1031"/>
      <c r="FO14" s="1031"/>
      <c r="FP14" s="1031"/>
      <c r="FQ14" s="1031"/>
      <c r="FR14" s="1031"/>
      <c r="FS14" s="1031"/>
      <c r="FT14" s="1031"/>
      <c r="FU14" s="1031"/>
      <c r="FV14" s="1031"/>
      <c r="FW14" s="1031"/>
      <c r="FX14" s="1031"/>
      <c r="FY14" s="1031"/>
      <c r="FZ14" s="1031"/>
      <c r="GA14" s="1031"/>
      <c r="GB14" s="1031"/>
      <c r="GC14" s="1031"/>
      <c r="GD14" s="1031"/>
      <c r="GE14" s="1031"/>
      <c r="GF14" s="1031"/>
      <c r="GG14" s="1031"/>
      <c r="GH14" s="1031"/>
      <c r="GI14" s="1031"/>
      <c r="GJ14" s="1031"/>
      <c r="GK14" s="1031"/>
      <c r="GL14" s="1033"/>
    </row>
    <row r="15" spans="1:236" ht="18.899999999999999" hidden="1" customHeight="1">
      <c r="A15" s="2187"/>
      <c r="B15" s="1039"/>
      <c r="C15" s="1034"/>
      <c r="D15" s="1034"/>
      <c r="E15" s="1034"/>
      <c r="F15" s="1034"/>
      <c r="G15" s="1034"/>
      <c r="H15" s="1034"/>
      <c r="I15" s="1034"/>
      <c r="J15" s="1034"/>
      <c r="K15" s="1034"/>
      <c r="L15" s="1034"/>
      <c r="M15" s="1034"/>
      <c r="N15" s="1034"/>
      <c r="O15" s="1034"/>
      <c r="P15" s="1034"/>
      <c r="Q15" s="1034"/>
      <c r="R15" s="1035"/>
      <c r="S15" s="1035"/>
      <c r="T15" s="1036"/>
      <c r="U15" s="1036"/>
      <c r="V15" s="779"/>
      <c r="W15" s="1036"/>
      <c r="X15" s="1036"/>
      <c r="Y15" s="778"/>
      <c r="Z15" s="778"/>
      <c r="AA15" s="778"/>
      <c r="AB15" s="778"/>
      <c r="AC15" s="778"/>
      <c r="AD15" s="779"/>
      <c r="AE15" s="779"/>
      <c r="AF15" s="779"/>
      <c r="AG15" s="779"/>
      <c r="AH15" s="779"/>
      <c r="AI15" s="779"/>
      <c r="AJ15" s="779"/>
      <c r="AK15" s="779"/>
      <c r="AL15" s="779"/>
      <c r="AM15" s="779"/>
      <c r="AN15" s="779"/>
      <c r="AO15" s="779"/>
      <c r="AP15" s="779"/>
      <c r="AQ15" s="779"/>
      <c r="AR15" s="779"/>
      <c r="AS15" s="779"/>
      <c r="AT15" s="779"/>
      <c r="AU15" s="779"/>
      <c r="AV15" s="779"/>
      <c r="AW15" s="779"/>
      <c r="AX15" s="779"/>
      <c r="AY15" s="779"/>
      <c r="AZ15" s="779"/>
      <c r="BA15" s="779"/>
      <c r="BB15" s="779"/>
      <c r="BC15" s="779"/>
      <c r="BD15" s="779"/>
      <c r="BE15" s="779"/>
      <c r="BF15" s="779"/>
      <c r="BG15" s="779"/>
      <c r="BH15" s="779"/>
      <c r="BI15" s="779"/>
      <c r="BJ15" s="779"/>
      <c r="BK15" s="779"/>
      <c r="BL15" s="779"/>
      <c r="BM15" s="779"/>
      <c r="BN15" s="779"/>
      <c r="BO15" s="779"/>
      <c r="BP15" s="779"/>
      <c r="BQ15" s="779"/>
      <c r="BR15" s="779"/>
      <c r="BS15" s="779"/>
      <c r="BT15" s="441"/>
      <c r="BU15" s="779"/>
      <c r="BV15" s="779"/>
      <c r="BW15" s="779"/>
      <c r="BX15" s="779"/>
      <c r="BY15" s="779"/>
      <c r="BZ15" s="779"/>
      <c r="CA15" s="779"/>
      <c r="CB15" s="779"/>
      <c r="CC15" s="779"/>
      <c r="CD15" s="779"/>
      <c r="CE15" s="779"/>
      <c r="CF15" s="779"/>
      <c r="CG15" s="779"/>
      <c r="CH15" s="779"/>
      <c r="CI15" s="779"/>
      <c r="CJ15" s="779"/>
      <c r="CK15" s="779"/>
      <c r="CL15" s="779"/>
      <c r="CM15" s="779"/>
      <c r="CN15" s="779"/>
      <c r="CO15" s="779"/>
      <c r="CP15" s="779"/>
      <c r="CQ15" s="779"/>
      <c r="CR15" s="779"/>
      <c r="CS15" s="779"/>
      <c r="CT15" s="779"/>
      <c r="CU15" s="779"/>
      <c r="CV15" s="779"/>
      <c r="CW15" s="779"/>
      <c r="CX15" s="779"/>
      <c r="CY15" s="779"/>
      <c r="CZ15" s="779"/>
      <c r="DA15" s="779"/>
      <c r="DB15" s="779"/>
      <c r="DC15" s="781"/>
      <c r="DD15" s="781"/>
      <c r="DE15" s="551"/>
      <c r="DF15" s="551"/>
      <c r="DG15" s="551"/>
      <c r="DH15" s="551"/>
      <c r="DI15" s="551"/>
      <c r="DJ15" s="551"/>
      <c r="DK15" s="551"/>
      <c r="DL15" s="551"/>
      <c r="DM15" s="551"/>
      <c r="DN15" s="551"/>
      <c r="DO15" s="551"/>
      <c r="DP15" s="551"/>
      <c r="DQ15" s="551"/>
      <c r="DR15" s="551"/>
      <c r="DS15" s="551"/>
      <c r="DT15" s="551"/>
      <c r="DU15" s="551"/>
      <c r="DV15" s="551"/>
      <c r="DW15" s="551"/>
      <c r="DX15" s="551"/>
      <c r="DY15" s="551"/>
      <c r="DZ15" s="551"/>
      <c r="EA15" s="551"/>
      <c r="EB15" s="780"/>
      <c r="EC15" s="551"/>
      <c r="ED15" s="551"/>
      <c r="EE15" s="551"/>
      <c r="EF15" s="551"/>
      <c r="EG15" s="551"/>
      <c r="EH15" s="782"/>
      <c r="EI15" s="782"/>
      <c r="EJ15" s="782"/>
      <c r="EK15" s="782"/>
      <c r="EL15" s="782"/>
      <c r="EM15" s="782"/>
      <c r="EN15" s="782"/>
      <c r="EO15" s="782"/>
      <c r="EP15" s="782"/>
      <c r="EQ15" s="782"/>
      <c r="ER15" s="782"/>
      <c r="ES15" s="782"/>
      <c r="ET15" s="782"/>
      <c r="EU15" s="782"/>
      <c r="EV15" s="782"/>
      <c r="EW15" s="782"/>
      <c r="EX15" s="782"/>
      <c r="EY15" s="782"/>
      <c r="EZ15" s="782"/>
      <c r="FA15" s="782"/>
      <c r="FB15" s="782"/>
      <c r="FC15" s="782"/>
      <c r="FD15" s="782"/>
      <c r="FE15" s="782"/>
      <c r="FF15" s="782"/>
      <c r="FG15" s="782"/>
      <c r="FH15" s="782"/>
      <c r="FI15" s="782"/>
      <c r="FJ15" s="782"/>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1040"/>
    </row>
    <row r="16" spans="1:236" ht="18.899999999999999" hidden="1" customHeight="1">
      <c r="A16" s="2188"/>
      <c r="B16" s="1333"/>
      <c r="C16" s="549"/>
      <c r="D16" s="548"/>
      <c r="E16" s="548"/>
      <c r="F16" s="548"/>
      <c r="G16" s="548"/>
      <c r="H16" s="548"/>
      <c r="I16" s="548"/>
      <c r="J16" s="548"/>
      <c r="K16" s="548"/>
      <c r="L16" s="548"/>
      <c r="M16" s="548"/>
      <c r="N16" s="548"/>
      <c r="O16" s="548"/>
      <c r="P16" s="548"/>
      <c r="Q16" s="548"/>
      <c r="R16" s="548"/>
      <c r="S16" s="548"/>
      <c r="T16" s="439"/>
      <c r="U16" s="440"/>
      <c r="V16" s="507"/>
      <c r="W16" s="440"/>
      <c r="X16" s="440"/>
      <c r="Y16" s="778"/>
      <c r="Z16" s="778"/>
      <c r="AA16" s="440"/>
      <c r="AB16" s="550"/>
      <c r="AC16" s="550"/>
      <c r="AD16" s="551"/>
      <c r="AE16" s="551"/>
      <c r="AF16" s="779"/>
      <c r="AG16" s="551"/>
      <c r="AH16" s="551"/>
      <c r="AI16" s="551"/>
      <c r="AJ16" s="551"/>
      <c r="AK16" s="551"/>
      <c r="AL16" s="551"/>
      <c r="AM16" s="551"/>
      <c r="AN16" s="551"/>
      <c r="AO16" s="551"/>
      <c r="AP16" s="551"/>
      <c r="AQ16" s="551"/>
      <c r="AR16" s="551"/>
      <c r="AS16" s="551"/>
      <c r="AT16" s="551"/>
      <c r="AU16" s="551"/>
      <c r="AV16" s="551"/>
      <c r="AW16" s="551"/>
      <c r="AX16" s="551"/>
      <c r="AY16" s="551"/>
      <c r="AZ16" s="551"/>
      <c r="BA16" s="551"/>
      <c r="BB16" s="551"/>
      <c r="BC16" s="551"/>
      <c r="BD16" s="551"/>
      <c r="BE16" s="551"/>
      <c r="BF16" s="551"/>
      <c r="BG16" s="551"/>
      <c r="BH16" s="551"/>
      <c r="BI16" s="551"/>
      <c r="BJ16" s="551"/>
      <c r="BK16" s="551"/>
      <c r="BL16" s="551"/>
      <c r="BM16" s="551"/>
      <c r="BN16" s="551"/>
      <c r="BO16" s="551"/>
      <c r="BP16" s="551"/>
      <c r="BQ16" s="551"/>
      <c r="BR16" s="551"/>
      <c r="BS16" s="551"/>
      <c r="BT16" s="441"/>
      <c r="BU16" s="551"/>
      <c r="BV16" s="551"/>
      <c r="BW16" s="551"/>
      <c r="BX16" s="551"/>
      <c r="BY16" s="551"/>
      <c r="BZ16" s="551"/>
      <c r="CA16" s="551"/>
      <c r="CB16" s="551"/>
      <c r="CC16" s="551"/>
      <c r="CD16" s="551"/>
      <c r="CE16" s="551"/>
      <c r="CF16" s="551"/>
      <c r="CG16" s="551"/>
      <c r="CH16" s="551"/>
      <c r="CI16" s="551"/>
      <c r="CJ16" s="551"/>
      <c r="CK16" s="551"/>
      <c r="CL16" s="551"/>
      <c r="CM16" s="551"/>
      <c r="CN16" s="551"/>
      <c r="CO16" s="551"/>
      <c r="CP16" s="551"/>
      <c r="CQ16" s="551"/>
      <c r="CR16" s="551"/>
      <c r="CS16" s="551"/>
      <c r="CT16" s="551"/>
      <c r="CU16" s="551"/>
      <c r="CV16" s="551"/>
      <c r="CW16" s="551"/>
      <c r="CX16" s="551"/>
      <c r="CY16" s="551"/>
      <c r="CZ16" s="551"/>
      <c r="DA16" s="551"/>
      <c r="DB16" s="551"/>
      <c r="DC16" s="551"/>
      <c r="DD16" s="551"/>
      <c r="DE16" s="551"/>
      <c r="DF16" s="551"/>
      <c r="DG16" s="551"/>
      <c r="DH16" s="551"/>
      <c r="DI16" s="551"/>
      <c r="DJ16" s="551"/>
      <c r="DK16" s="551"/>
      <c r="DL16" s="551"/>
      <c r="DM16" s="551"/>
      <c r="DN16" s="551"/>
      <c r="DO16" s="551"/>
      <c r="DP16" s="551"/>
      <c r="DQ16" s="551"/>
      <c r="DR16" s="551"/>
      <c r="DS16" s="551"/>
      <c r="DT16" s="551"/>
      <c r="DU16" s="551"/>
      <c r="DV16" s="551"/>
      <c r="DW16" s="551"/>
      <c r="DX16" s="551"/>
      <c r="DY16" s="551"/>
      <c r="DZ16" s="551"/>
      <c r="EA16" s="551"/>
      <c r="EB16" s="780"/>
      <c r="EC16" s="551"/>
      <c r="ED16" s="551"/>
      <c r="EE16" s="551"/>
      <c r="EF16" s="551"/>
      <c r="EG16" s="551"/>
      <c r="EH16" s="551"/>
      <c r="EI16" s="551"/>
      <c r="EJ16" s="551"/>
      <c r="EK16" s="551"/>
      <c r="EL16" s="551"/>
      <c r="EM16" s="551"/>
      <c r="EN16" s="551"/>
      <c r="EO16" s="551"/>
      <c r="EP16" s="551"/>
      <c r="EQ16" s="551"/>
      <c r="ER16" s="551"/>
      <c r="ES16" s="551"/>
      <c r="ET16" s="551"/>
      <c r="EU16" s="551"/>
      <c r="EV16" s="551"/>
      <c r="EW16" s="551"/>
      <c r="EX16" s="551"/>
      <c r="EY16" s="551"/>
      <c r="EZ16" s="551"/>
      <c r="FA16" s="551"/>
      <c r="FB16" s="551"/>
      <c r="FC16" s="551"/>
      <c r="FD16" s="551"/>
      <c r="FE16" s="551"/>
      <c r="FF16" s="551"/>
      <c r="FG16" s="551"/>
      <c r="FH16" s="551"/>
      <c r="FI16" s="551"/>
      <c r="FJ16" s="781"/>
      <c r="FK16" s="781"/>
      <c r="FL16" s="781"/>
      <c r="FM16" s="781"/>
      <c r="FN16" s="781"/>
      <c r="FO16" s="781"/>
      <c r="FP16" s="781"/>
      <c r="FQ16" s="781"/>
      <c r="FR16" s="781"/>
      <c r="FS16" s="781"/>
      <c r="FT16" s="781"/>
      <c r="FU16" s="781"/>
      <c r="FV16" s="781"/>
      <c r="FW16" s="781"/>
      <c r="FX16" s="781"/>
      <c r="FY16" s="781"/>
      <c r="FZ16" s="781"/>
      <c r="GA16" s="781"/>
      <c r="GB16" s="781"/>
      <c r="GC16" s="781"/>
      <c r="GD16" s="781"/>
      <c r="GE16" s="781"/>
      <c r="GF16" s="781"/>
      <c r="GG16" s="781"/>
      <c r="GH16" s="781"/>
      <c r="GI16" s="781"/>
      <c r="GJ16" s="781"/>
      <c r="GK16" s="782"/>
      <c r="GL16" s="1334"/>
    </row>
    <row r="17" spans="1:194" ht="18.899999999999999" hidden="1" customHeight="1">
      <c r="A17" s="2188"/>
      <c r="B17" s="1333"/>
      <c r="C17" s="549"/>
      <c r="D17" s="548"/>
      <c r="E17" s="548"/>
      <c r="F17" s="548"/>
      <c r="G17" s="548"/>
      <c r="H17" s="548"/>
      <c r="I17" s="548"/>
      <c r="J17" s="548"/>
      <c r="K17" s="548"/>
      <c r="L17" s="548"/>
      <c r="M17" s="548"/>
      <c r="N17" s="548"/>
      <c r="O17" s="548"/>
      <c r="P17" s="548"/>
      <c r="Q17" s="548"/>
      <c r="R17" s="548"/>
      <c r="S17" s="548"/>
      <c r="T17" s="439"/>
      <c r="U17" s="440"/>
      <c r="V17" s="507"/>
      <c r="W17" s="440"/>
      <c r="X17" s="441"/>
      <c r="Y17" s="778"/>
      <c r="Z17" s="778"/>
      <c r="AA17" s="784"/>
      <c r="AB17" s="784"/>
      <c r="AC17" s="784"/>
      <c r="AD17" s="784"/>
      <c r="AE17" s="784"/>
      <c r="AF17" s="779"/>
      <c r="AG17" s="784"/>
      <c r="AH17" s="784"/>
      <c r="AI17" s="784"/>
      <c r="AJ17" s="784"/>
      <c r="AK17" s="784"/>
      <c r="AL17" s="784"/>
      <c r="AM17" s="784"/>
      <c r="AN17" s="784"/>
      <c r="AO17" s="784"/>
      <c r="AP17" s="784"/>
      <c r="AQ17" s="784"/>
      <c r="AR17" s="784"/>
      <c r="AS17" s="784"/>
      <c r="AT17" s="784"/>
      <c r="AU17" s="784"/>
      <c r="AV17" s="784"/>
      <c r="AW17" s="784"/>
      <c r="AX17" s="784"/>
      <c r="AY17" s="784"/>
      <c r="AZ17" s="784"/>
      <c r="BA17" s="784"/>
      <c r="BB17" s="784"/>
      <c r="BC17" s="784"/>
      <c r="BD17" s="784"/>
      <c r="BE17" s="784"/>
      <c r="BF17" s="784"/>
      <c r="BG17" s="784"/>
      <c r="BH17" s="784"/>
      <c r="BI17" s="784"/>
      <c r="BJ17" s="784"/>
      <c r="BK17" s="784"/>
      <c r="BL17" s="784"/>
      <c r="BM17" s="784"/>
      <c r="BN17" s="784"/>
      <c r="BO17" s="784"/>
      <c r="BP17" s="784"/>
      <c r="BQ17" s="784"/>
      <c r="BR17" s="784"/>
      <c r="BS17" s="784"/>
      <c r="BT17" s="551"/>
      <c r="BU17" s="779"/>
      <c r="BV17" s="785"/>
      <c r="BW17" s="785"/>
      <c r="BX17" s="785"/>
      <c r="BY17" s="784"/>
      <c r="BZ17" s="784"/>
      <c r="CA17" s="784"/>
      <c r="CB17" s="784"/>
      <c r="CC17" s="784"/>
      <c r="CD17" s="784"/>
      <c r="CE17" s="784"/>
      <c r="CF17" s="784"/>
      <c r="CG17" s="784"/>
      <c r="CH17" s="784"/>
      <c r="CI17" s="784"/>
      <c r="CJ17" s="784"/>
      <c r="CK17" s="784"/>
      <c r="CL17" s="784"/>
      <c r="CM17" s="784"/>
      <c r="CN17" s="784"/>
      <c r="CO17" s="784"/>
      <c r="CP17" s="784"/>
      <c r="CQ17" s="784"/>
      <c r="CR17" s="784"/>
      <c r="CS17" s="784"/>
      <c r="CT17" s="784"/>
      <c r="CU17" s="785"/>
      <c r="CV17" s="785"/>
      <c r="CW17" s="785"/>
      <c r="CX17" s="779"/>
      <c r="CY17" s="779"/>
      <c r="CZ17" s="785"/>
      <c r="DA17" s="785"/>
      <c r="DB17" s="785"/>
      <c r="DC17" s="785"/>
      <c r="DD17" s="785"/>
      <c r="DE17" s="551"/>
      <c r="DF17" s="551"/>
      <c r="DG17" s="784"/>
      <c r="DH17" s="784"/>
      <c r="DI17" s="784"/>
      <c r="DJ17" s="441"/>
      <c r="DK17" s="441"/>
      <c r="DL17" s="441"/>
      <c r="DM17" s="441"/>
      <c r="DN17" s="441"/>
      <c r="DO17" s="441"/>
      <c r="DP17" s="441"/>
      <c r="DQ17" s="441"/>
      <c r="DR17" s="441"/>
      <c r="DS17" s="441"/>
      <c r="DT17" s="441"/>
      <c r="DU17" s="441"/>
      <c r="DV17" s="441"/>
      <c r="DW17" s="441"/>
      <c r="DX17" s="441"/>
      <c r="DY17" s="441"/>
      <c r="DZ17" s="441"/>
      <c r="EA17" s="441"/>
      <c r="EB17" s="783"/>
      <c r="EC17" s="441"/>
      <c r="ED17" s="441"/>
      <c r="EE17" s="441"/>
      <c r="EF17" s="441"/>
      <c r="EG17" s="441"/>
      <c r="EH17" s="441"/>
      <c r="EI17" s="441"/>
      <c r="EJ17" s="441"/>
      <c r="EK17" s="441"/>
      <c r="EL17" s="441"/>
      <c r="EM17" s="441"/>
      <c r="EN17" s="441"/>
      <c r="EO17" s="441"/>
      <c r="EP17" s="441"/>
      <c r="EQ17" s="441"/>
      <c r="ER17" s="441"/>
      <c r="ES17" s="441"/>
      <c r="ET17" s="441"/>
      <c r="EU17" s="441"/>
      <c r="EV17" s="441"/>
      <c r="EW17" s="441"/>
      <c r="EX17" s="441"/>
      <c r="EY17" s="441"/>
      <c r="EZ17" s="441"/>
      <c r="FA17" s="441"/>
      <c r="FB17" s="441"/>
      <c r="FC17" s="441"/>
      <c r="FD17" s="441"/>
      <c r="FE17" s="441"/>
      <c r="FF17" s="441"/>
      <c r="FG17" s="441"/>
      <c r="FH17" s="441"/>
      <c r="FI17" s="441"/>
      <c r="FJ17" s="781"/>
      <c r="FK17" s="781"/>
      <c r="FL17" s="781"/>
      <c r="FM17" s="781"/>
      <c r="FN17" s="781"/>
      <c r="FO17" s="781"/>
      <c r="FP17" s="781"/>
      <c r="FQ17" s="781"/>
      <c r="FR17" s="781"/>
      <c r="FS17" s="781"/>
      <c r="FT17" s="781"/>
      <c r="FU17" s="781"/>
      <c r="FV17" s="781"/>
      <c r="FW17" s="781"/>
      <c r="FX17" s="781"/>
      <c r="FY17" s="781"/>
      <c r="FZ17" s="781"/>
      <c r="GA17" s="781"/>
      <c r="GB17" s="781"/>
      <c r="GC17" s="781"/>
      <c r="GD17" s="781"/>
      <c r="GE17" s="781"/>
      <c r="GF17" s="781"/>
      <c r="GG17" s="781"/>
      <c r="GH17" s="781"/>
      <c r="GI17" s="781"/>
      <c r="GJ17" s="781"/>
      <c r="GK17" s="781"/>
      <c r="GL17" s="1335"/>
    </row>
    <row r="18" spans="1:194" ht="18.899999999999999" hidden="1" customHeight="1">
      <c r="A18" s="2188"/>
      <c r="B18" s="1333"/>
      <c r="C18" s="549"/>
      <c r="D18" s="548"/>
      <c r="E18" s="548"/>
      <c r="F18" s="548"/>
      <c r="G18" s="548"/>
      <c r="H18" s="548"/>
      <c r="I18" s="548"/>
      <c r="J18" s="548"/>
      <c r="K18" s="548"/>
      <c r="L18" s="548"/>
      <c r="M18" s="548"/>
      <c r="N18" s="548"/>
      <c r="O18" s="548"/>
      <c r="P18" s="548"/>
      <c r="Q18" s="548"/>
      <c r="R18" s="548"/>
      <c r="S18" s="548"/>
      <c r="T18" s="439"/>
      <c r="U18" s="440"/>
      <c r="V18" s="507"/>
      <c r="W18" s="440"/>
      <c r="X18" s="441"/>
      <c r="Y18" s="778"/>
      <c r="Z18" s="778"/>
      <c r="AA18" s="550"/>
      <c r="AB18" s="441"/>
      <c r="AC18" s="441"/>
      <c r="AD18" s="441"/>
      <c r="AE18" s="441"/>
      <c r="AF18" s="779"/>
      <c r="AG18" s="441"/>
      <c r="AH18" s="441"/>
      <c r="AI18" s="441"/>
      <c r="AJ18" s="441"/>
      <c r="AK18" s="441"/>
      <c r="AL18" s="441"/>
      <c r="AM18" s="441"/>
      <c r="AN18" s="441"/>
      <c r="AO18" s="441"/>
      <c r="AP18" s="441"/>
      <c r="AQ18" s="441"/>
      <c r="AR18" s="441"/>
      <c r="AS18" s="441"/>
      <c r="AT18" s="441"/>
      <c r="AU18" s="441"/>
      <c r="AV18" s="441"/>
      <c r="AW18" s="441"/>
      <c r="AX18" s="441"/>
      <c r="AY18" s="441"/>
      <c r="AZ18" s="441"/>
      <c r="BA18" s="441"/>
      <c r="BB18" s="441"/>
      <c r="BC18" s="441"/>
      <c r="BD18" s="441"/>
      <c r="BE18" s="441"/>
      <c r="BF18" s="441"/>
      <c r="BG18" s="441"/>
      <c r="BH18" s="441"/>
      <c r="BI18" s="441"/>
      <c r="BJ18" s="441"/>
      <c r="BK18" s="441"/>
      <c r="BL18" s="441"/>
      <c r="BM18" s="441"/>
      <c r="BN18" s="441"/>
      <c r="BO18" s="441"/>
      <c r="BP18" s="441"/>
      <c r="BQ18" s="441"/>
      <c r="BR18" s="441"/>
      <c r="BS18" s="441"/>
      <c r="BT18" s="551"/>
      <c r="BU18" s="779"/>
      <c r="BV18" s="551"/>
      <c r="BW18" s="551"/>
      <c r="BX18" s="551"/>
      <c r="BY18" s="441"/>
      <c r="BZ18" s="441"/>
      <c r="CA18" s="441"/>
      <c r="CB18" s="441"/>
      <c r="CC18" s="441"/>
      <c r="CD18" s="441"/>
      <c r="CE18" s="441"/>
      <c r="CF18" s="441"/>
      <c r="CG18" s="441"/>
      <c r="CH18" s="441"/>
      <c r="CI18" s="441"/>
      <c r="CJ18" s="441"/>
      <c r="CK18" s="441"/>
      <c r="CL18" s="441"/>
      <c r="CM18" s="441"/>
      <c r="CN18" s="441"/>
      <c r="CO18" s="441"/>
      <c r="CP18" s="441"/>
      <c r="CQ18" s="441"/>
      <c r="CR18" s="441"/>
      <c r="CS18" s="441"/>
      <c r="CT18" s="441"/>
      <c r="CU18" s="551"/>
      <c r="CV18" s="551"/>
      <c r="CW18" s="551"/>
      <c r="CX18" s="779"/>
      <c r="CY18" s="779"/>
      <c r="CZ18" s="551"/>
      <c r="DA18" s="551"/>
      <c r="DB18" s="551"/>
      <c r="DC18" s="551"/>
      <c r="DD18" s="551"/>
      <c r="DE18" s="551"/>
      <c r="DF18" s="55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783"/>
      <c r="EC18" s="441"/>
      <c r="ED18" s="441"/>
      <c r="EE18" s="441"/>
      <c r="EF18" s="441"/>
      <c r="EG18" s="441"/>
      <c r="EH18" s="441"/>
      <c r="EI18" s="441"/>
      <c r="EJ18" s="441"/>
      <c r="EK18" s="441"/>
      <c r="EL18" s="441"/>
      <c r="EM18" s="441"/>
      <c r="EN18" s="441"/>
      <c r="EO18" s="441"/>
      <c r="EP18" s="441"/>
      <c r="EQ18" s="441"/>
      <c r="ER18" s="441"/>
      <c r="ES18" s="441"/>
      <c r="ET18" s="441"/>
      <c r="EU18" s="441"/>
      <c r="EV18" s="441"/>
      <c r="EW18" s="441"/>
      <c r="EX18" s="441"/>
      <c r="EY18" s="441"/>
      <c r="EZ18" s="441"/>
      <c r="FA18" s="441"/>
      <c r="FB18" s="441"/>
      <c r="FC18" s="441"/>
      <c r="FD18" s="441"/>
      <c r="FE18" s="441"/>
      <c r="FF18" s="441"/>
      <c r="FG18" s="441"/>
      <c r="FH18" s="441"/>
      <c r="FI18" s="441"/>
      <c r="FJ18" s="781"/>
      <c r="FK18" s="781"/>
      <c r="FL18" s="781"/>
      <c r="FM18" s="781"/>
      <c r="FN18" s="781"/>
      <c r="FO18" s="781"/>
      <c r="FP18" s="781"/>
      <c r="FQ18" s="781"/>
      <c r="FR18" s="781"/>
      <c r="FS18" s="781"/>
      <c r="FT18" s="781"/>
      <c r="FU18" s="781"/>
      <c r="FV18" s="781"/>
      <c r="FW18" s="781"/>
      <c r="FX18" s="781"/>
      <c r="FY18" s="781"/>
      <c r="FZ18" s="781"/>
      <c r="GA18" s="781"/>
      <c r="GB18" s="781"/>
      <c r="GC18" s="781"/>
      <c r="GD18" s="781"/>
      <c r="GE18" s="781"/>
      <c r="GF18" s="781"/>
      <c r="GG18" s="781"/>
      <c r="GH18" s="781"/>
      <c r="GI18" s="781"/>
      <c r="GJ18" s="781"/>
      <c r="GK18" s="781"/>
      <c r="GL18" s="1335"/>
    </row>
    <row r="19" spans="1:194" ht="18.899999999999999" hidden="1" customHeight="1">
      <c r="A19" s="2188"/>
      <c r="B19" s="1333"/>
      <c r="C19" s="549"/>
      <c r="D19" s="548"/>
      <c r="E19" s="548"/>
      <c r="F19" s="548"/>
      <c r="G19" s="548"/>
      <c r="H19" s="548"/>
      <c r="I19" s="548"/>
      <c r="J19" s="548"/>
      <c r="K19" s="548"/>
      <c r="L19" s="548"/>
      <c r="M19" s="548"/>
      <c r="N19" s="548"/>
      <c r="O19" s="548"/>
      <c r="P19" s="548"/>
      <c r="Q19" s="548"/>
      <c r="R19" s="548"/>
      <c r="S19" s="548"/>
      <c r="T19" s="439"/>
      <c r="U19" s="440"/>
      <c r="V19" s="507"/>
      <c r="W19" s="440"/>
      <c r="X19" s="441"/>
      <c r="Y19" s="778"/>
      <c r="Z19" s="778"/>
      <c r="AA19" s="550"/>
      <c r="AB19" s="441"/>
      <c r="AC19" s="441"/>
      <c r="AD19" s="441"/>
      <c r="AE19" s="441"/>
      <c r="AF19" s="779"/>
      <c r="AG19" s="441"/>
      <c r="AH19" s="441"/>
      <c r="AI19" s="441"/>
      <c r="AJ19" s="441"/>
      <c r="AK19" s="441"/>
      <c r="AL19" s="441"/>
      <c r="AM19" s="441"/>
      <c r="AN19" s="441"/>
      <c r="AO19" s="441"/>
      <c r="AP19" s="441"/>
      <c r="AQ19" s="441"/>
      <c r="AR19" s="441"/>
      <c r="AS19" s="441"/>
      <c r="AT19" s="441"/>
      <c r="AU19" s="441"/>
      <c r="AV19" s="441"/>
      <c r="AW19" s="441"/>
      <c r="AX19" s="441"/>
      <c r="AY19" s="441"/>
      <c r="AZ19" s="441"/>
      <c r="BA19" s="441"/>
      <c r="BB19" s="441"/>
      <c r="BC19" s="441"/>
      <c r="BD19" s="441"/>
      <c r="BE19" s="441"/>
      <c r="BF19" s="441"/>
      <c r="BG19" s="441"/>
      <c r="BH19" s="441"/>
      <c r="BI19" s="441"/>
      <c r="BJ19" s="441"/>
      <c r="BK19" s="441"/>
      <c r="BL19" s="441"/>
      <c r="BM19" s="441"/>
      <c r="BN19" s="441"/>
      <c r="BO19" s="441"/>
      <c r="BP19" s="441"/>
      <c r="BQ19" s="441"/>
      <c r="BR19" s="441"/>
      <c r="BS19" s="441"/>
      <c r="BT19" s="551"/>
      <c r="BU19" s="779"/>
      <c r="BV19" s="551"/>
      <c r="BW19" s="551"/>
      <c r="BX19" s="551"/>
      <c r="BY19" s="441"/>
      <c r="BZ19" s="441"/>
      <c r="CA19" s="441"/>
      <c r="CB19" s="441"/>
      <c r="CC19" s="441"/>
      <c r="CD19" s="441"/>
      <c r="CE19" s="441"/>
      <c r="CF19" s="441"/>
      <c r="CG19" s="441"/>
      <c r="CH19" s="441"/>
      <c r="CI19" s="441"/>
      <c r="CJ19" s="441"/>
      <c r="CK19" s="441"/>
      <c r="CL19" s="441"/>
      <c r="CM19" s="441"/>
      <c r="CN19" s="441"/>
      <c r="CO19" s="441"/>
      <c r="CP19" s="441"/>
      <c r="CQ19" s="441"/>
      <c r="CR19" s="441"/>
      <c r="CS19" s="441"/>
      <c r="CT19" s="441"/>
      <c r="CU19" s="551"/>
      <c r="CV19" s="551"/>
      <c r="CW19" s="551"/>
      <c r="CX19" s="779"/>
      <c r="CY19" s="779"/>
      <c r="CZ19" s="551"/>
      <c r="DA19" s="551"/>
      <c r="DB19" s="551"/>
      <c r="DC19" s="551"/>
      <c r="DD19" s="551"/>
      <c r="DE19" s="551"/>
      <c r="DF19" s="55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783"/>
      <c r="EC19" s="441"/>
      <c r="ED19" s="441"/>
      <c r="EE19" s="441"/>
      <c r="EF19" s="441"/>
      <c r="EG19" s="441"/>
      <c r="EH19" s="441"/>
      <c r="EI19" s="441"/>
      <c r="EJ19" s="441"/>
      <c r="EK19" s="441"/>
      <c r="EL19" s="441"/>
      <c r="EM19" s="441"/>
      <c r="EN19" s="441"/>
      <c r="EO19" s="441"/>
      <c r="EP19" s="441"/>
      <c r="EQ19" s="441"/>
      <c r="ER19" s="441"/>
      <c r="ES19" s="441"/>
      <c r="ET19" s="441"/>
      <c r="EU19" s="441"/>
      <c r="EV19" s="441"/>
      <c r="EW19" s="441"/>
      <c r="EX19" s="441"/>
      <c r="EY19" s="441"/>
      <c r="EZ19" s="441"/>
      <c r="FA19" s="441"/>
      <c r="FB19" s="441"/>
      <c r="FC19" s="441"/>
      <c r="FD19" s="441"/>
      <c r="FE19" s="441"/>
      <c r="FF19" s="441"/>
      <c r="FG19" s="441"/>
      <c r="FH19" s="441"/>
      <c r="FI19" s="441"/>
      <c r="FJ19" s="781"/>
      <c r="FK19" s="781"/>
      <c r="FL19" s="781"/>
      <c r="FM19" s="781"/>
      <c r="FN19" s="781"/>
      <c r="FO19" s="781"/>
      <c r="FP19" s="781"/>
      <c r="FQ19" s="781"/>
      <c r="FR19" s="781"/>
      <c r="FS19" s="781"/>
      <c r="FT19" s="781"/>
      <c r="FU19" s="781"/>
      <c r="FV19" s="781"/>
      <c r="FW19" s="781"/>
      <c r="FX19" s="781"/>
      <c r="FY19" s="781"/>
      <c r="FZ19" s="781"/>
      <c r="GA19" s="781"/>
      <c r="GB19" s="781"/>
      <c r="GC19" s="781"/>
      <c r="GD19" s="781"/>
      <c r="GE19" s="781"/>
      <c r="GF19" s="781"/>
      <c r="GG19" s="781"/>
      <c r="GH19" s="781"/>
      <c r="GI19" s="781"/>
      <c r="GJ19" s="781"/>
      <c r="GK19" s="781"/>
      <c r="GL19" s="1335"/>
    </row>
    <row r="20" spans="1:194" ht="18.899999999999999" hidden="1" customHeight="1">
      <c r="A20" s="2188"/>
      <c r="B20" s="1333"/>
      <c r="C20" s="549"/>
      <c r="D20" s="548"/>
      <c r="E20" s="548"/>
      <c r="F20" s="548"/>
      <c r="G20" s="548"/>
      <c r="H20" s="548"/>
      <c r="I20" s="548"/>
      <c r="J20" s="548"/>
      <c r="K20" s="548"/>
      <c r="L20" s="548"/>
      <c r="M20" s="548"/>
      <c r="N20" s="548"/>
      <c r="O20" s="548"/>
      <c r="P20" s="548"/>
      <c r="Q20" s="548"/>
      <c r="R20" s="548"/>
      <c r="S20" s="548"/>
      <c r="T20" s="439"/>
      <c r="U20" s="440"/>
      <c r="V20" s="507"/>
      <c r="W20" s="440"/>
      <c r="X20" s="441"/>
      <c r="Y20" s="778"/>
      <c r="Z20" s="778"/>
      <c r="AA20" s="784"/>
      <c r="AB20" s="784"/>
      <c r="AC20" s="784"/>
      <c r="AD20" s="784"/>
      <c r="AE20" s="784"/>
      <c r="AF20" s="779"/>
      <c r="AG20" s="784"/>
      <c r="AH20" s="784"/>
      <c r="AI20" s="784"/>
      <c r="AJ20" s="784"/>
      <c r="AK20" s="784"/>
      <c r="AL20" s="784"/>
      <c r="AM20" s="784"/>
      <c r="AN20" s="784"/>
      <c r="AO20" s="784"/>
      <c r="AP20" s="784"/>
      <c r="AQ20" s="784"/>
      <c r="AR20" s="784"/>
      <c r="AS20" s="784"/>
      <c r="AT20" s="784"/>
      <c r="AU20" s="784"/>
      <c r="AV20" s="784"/>
      <c r="AW20" s="784"/>
      <c r="AX20" s="784"/>
      <c r="AY20" s="784"/>
      <c r="AZ20" s="784"/>
      <c r="BA20" s="784"/>
      <c r="BB20" s="784"/>
      <c r="BC20" s="784"/>
      <c r="BD20" s="784"/>
      <c r="BE20" s="784"/>
      <c r="BF20" s="784"/>
      <c r="BG20" s="784"/>
      <c r="BH20" s="784"/>
      <c r="BI20" s="784"/>
      <c r="BJ20" s="784"/>
      <c r="BK20" s="784"/>
      <c r="BL20" s="784"/>
      <c r="BM20" s="784"/>
      <c r="BN20" s="784"/>
      <c r="BO20" s="784"/>
      <c r="BP20" s="784"/>
      <c r="BQ20" s="784"/>
      <c r="BR20" s="784"/>
      <c r="BS20" s="784"/>
      <c r="BT20" s="551"/>
      <c r="BU20" s="779"/>
      <c r="BV20" s="785"/>
      <c r="BW20" s="785"/>
      <c r="BX20" s="785"/>
      <c r="BY20" s="784"/>
      <c r="BZ20" s="784"/>
      <c r="CA20" s="784"/>
      <c r="CB20" s="784"/>
      <c r="CC20" s="784"/>
      <c r="CD20" s="784"/>
      <c r="CE20" s="784"/>
      <c r="CF20" s="784"/>
      <c r="CG20" s="784"/>
      <c r="CH20" s="784"/>
      <c r="CI20" s="784"/>
      <c r="CJ20" s="784"/>
      <c r="CK20" s="784"/>
      <c r="CL20" s="784"/>
      <c r="CM20" s="784"/>
      <c r="CN20" s="784"/>
      <c r="CO20" s="784"/>
      <c r="CP20" s="784"/>
      <c r="CQ20" s="784"/>
      <c r="CR20" s="784"/>
      <c r="CS20" s="784"/>
      <c r="CT20" s="784"/>
      <c r="CU20" s="785"/>
      <c r="CV20" s="785"/>
      <c r="CW20" s="785"/>
      <c r="CX20" s="779"/>
      <c r="CY20" s="779"/>
      <c r="CZ20" s="785"/>
      <c r="DA20" s="785"/>
      <c r="DB20" s="785"/>
      <c r="DC20" s="785"/>
      <c r="DD20" s="785"/>
      <c r="DE20" s="551"/>
      <c r="DF20" s="551"/>
      <c r="DG20" s="784"/>
      <c r="DH20" s="784"/>
      <c r="DI20" s="784"/>
      <c r="DJ20" s="441"/>
      <c r="DK20" s="441"/>
      <c r="DL20" s="441"/>
      <c r="DM20" s="441"/>
      <c r="DN20" s="441"/>
      <c r="DO20" s="441"/>
      <c r="DP20" s="441"/>
      <c r="DQ20" s="441"/>
      <c r="DR20" s="441"/>
      <c r="DS20" s="441"/>
      <c r="DT20" s="441"/>
      <c r="DU20" s="441"/>
      <c r="DV20" s="441"/>
      <c r="DW20" s="441"/>
      <c r="DX20" s="441"/>
      <c r="DY20" s="441"/>
      <c r="DZ20" s="441"/>
      <c r="EA20" s="441"/>
      <c r="EB20" s="783"/>
      <c r="EC20" s="441"/>
      <c r="ED20" s="441"/>
      <c r="EE20" s="441"/>
      <c r="EF20" s="441"/>
      <c r="EG20" s="441"/>
      <c r="EH20" s="441"/>
      <c r="EI20" s="441"/>
      <c r="EJ20" s="441"/>
      <c r="EK20" s="441"/>
      <c r="EL20" s="441"/>
      <c r="EM20" s="441"/>
      <c r="EN20" s="441"/>
      <c r="EO20" s="441"/>
      <c r="EP20" s="441"/>
      <c r="EQ20" s="441"/>
      <c r="ER20" s="441"/>
      <c r="ES20" s="441"/>
      <c r="ET20" s="441"/>
      <c r="EU20" s="441"/>
      <c r="EV20" s="441"/>
      <c r="EW20" s="441"/>
      <c r="EX20" s="441"/>
      <c r="EY20" s="441"/>
      <c r="EZ20" s="441"/>
      <c r="FA20" s="441"/>
      <c r="FB20" s="441"/>
      <c r="FC20" s="441"/>
      <c r="FD20" s="441"/>
      <c r="FE20" s="441"/>
      <c r="FF20" s="441"/>
      <c r="FG20" s="441"/>
      <c r="FH20" s="441"/>
      <c r="FI20" s="441"/>
      <c r="FJ20" s="781"/>
      <c r="FK20" s="781"/>
      <c r="FL20" s="781"/>
      <c r="FM20" s="781"/>
      <c r="FN20" s="781"/>
      <c r="FO20" s="781"/>
      <c r="FP20" s="781"/>
      <c r="FQ20" s="781"/>
      <c r="FR20" s="781"/>
      <c r="FS20" s="781"/>
      <c r="FT20" s="781"/>
      <c r="FU20" s="781"/>
      <c r="FV20" s="781"/>
      <c r="FW20" s="781"/>
      <c r="FX20" s="781"/>
      <c r="FY20" s="781"/>
      <c r="FZ20" s="781"/>
      <c r="GA20" s="781"/>
      <c r="GB20" s="781"/>
      <c r="GC20" s="781"/>
      <c r="GD20" s="781"/>
      <c r="GE20" s="781"/>
      <c r="GF20" s="781"/>
      <c r="GG20" s="781"/>
      <c r="GH20" s="781"/>
      <c r="GI20" s="781"/>
      <c r="GJ20" s="781"/>
      <c r="GK20" s="781"/>
      <c r="GL20" s="1335"/>
    </row>
    <row r="21" spans="1:194" ht="18.899999999999999" hidden="1" customHeight="1">
      <c r="A21" s="2188"/>
      <c r="B21" s="1333"/>
      <c r="C21" s="549"/>
      <c r="D21" s="548"/>
      <c r="E21" s="548"/>
      <c r="F21" s="548"/>
      <c r="G21" s="548"/>
      <c r="H21" s="548"/>
      <c r="I21" s="548"/>
      <c r="J21" s="548"/>
      <c r="K21" s="548"/>
      <c r="L21" s="548"/>
      <c r="M21" s="548"/>
      <c r="N21" s="548"/>
      <c r="O21" s="548"/>
      <c r="P21" s="548"/>
      <c r="Q21" s="548"/>
      <c r="R21" s="548"/>
      <c r="S21" s="548"/>
      <c r="T21" s="439"/>
      <c r="U21" s="440"/>
      <c r="V21" s="507"/>
      <c r="W21" s="440"/>
      <c r="X21" s="441"/>
      <c r="Y21" s="778"/>
      <c r="Z21" s="778"/>
      <c r="AA21" s="784"/>
      <c r="AB21" s="784"/>
      <c r="AC21" s="784"/>
      <c r="AD21" s="784"/>
      <c r="AE21" s="784"/>
      <c r="AF21" s="779"/>
      <c r="AG21" s="784"/>
      <c r="AH21" s="784"/>
      <c r="AI21" s="784"/>
      <c r="AJ21" s="784"/>
      <c r="AK21" s="784"/>
      <c r="AL21" s="784"/>
      <c r="AM21" s="784"/>
      <c r="AN21" s="784"/>
      <c r="AO21" s="784"/>
      <c r="AP21" s="784"/>
      <c r="AQ21" s="784"/>
      <c r="AR21" s="784"/>
      <c r="AS21" s="784"/>
      <c r="AT21" s="784"/>
      <c r="AU21" s="784"/>
      <c r="AV21" s="784"/>
      <c r="AW21" s="784"/>
      <c r="AX21" s="784"/>
      <c r="AY21" s="784"/>
      <c r="AZ21" s="784"/>
      <c r="BA21" s="784"/>
      <c r="BB21" s="784"/>
      <c r="BC21" s="784"/>
      <c r="BD21" s="784"/>
      <c r="BE21" s="784"/>
      <c r="BF21" s="784"/>
      <c r="BG21" s="784"/>
      <c r="BH21" s="784"/>
      <c r="BI21" s="784"/>
      <c r="BJ21" s="784"/>
      <c r="BK21" s="784"/>
      <c r="BL21" s="784"/>
      <c r="BM21" s="784"/>
      <c r="BN21" s="784"/>
      <c r="BO21" s="784"/>
      <c r="BP21" s="784"/>
      <c r="BQ21" s="784"/>
      <c r="BR21" s="784"/>
      <c r="BS21" s="784"/>
      <c r="BT21" s="551"/>
      <c r="BU21" s="779"/>
      <c r="BV21" s="785"/>
      <c r="BW21" s="785"/>
      <c r="BX21" s="785"/>
      <c r="BY21" s="784"/>
      <c r="BZ21" s="784"/>
      <c r="CA21" s="784"/>
      <c r="CB21" s="784"/>
      <c r="CC21" s="784"/>
      <c r="CD21" s="784"/>
      <c r="CE21" s="784"/>
      <c r="CF21" s="784"/>
      <c r="CG21" s="784"/>
      <c r="CH21" s="441"/>
      <c r="CI21" s="784"/>
      <c r="CJ21" s="784"/>
      <c r="CK21" s="784"/>
      <c r="CL21" s="784"/>
      <c r="CM21" s="784"/>
      <c r="CN21" s="784"/>
      <c r="CO21" s="784"/>
      <c r="CP21" s="784"/>
      <c r="CQ21" s="784"/>
      <c r="CR21" s="784"/>
      <c r="CS21" s="784"/>
      <c r="CT21" s="784"/>
      <c r="CU21" s="785"/>
      <c r="CV21" s="785"/>
      <c r="CW21" s="785"/>
      <c r="CX21" s="779"/>
      <c r="CY21" s="779"/>
      <c r="CZ21" s="785"/>
      <c r="DA21" s="785"/>
      <c r="DB21" s="785"/>
      <c r="DC21" s="785"/>
      <c r="DD21" s="785"/>
      <c r="DE21" s="551"/>
      <c r="DF21" s="551"/>
      <c r="DG21" s="784"/>
      <c r="DH21" s="784"/>
      <c r="DI21" s="784"/>
      <c r="DJ21" s="441"/>
      <c r="DK21" s="441"/>
      <c r="DL21" s="441"/>
      <c r="DM21" s="441"/>
      <c r="DN21" s="441"/>
      <c r="DO21" s="441"/>
      <c r="DP21" s="441"/>
      <c r="DQ21" s="441"/>
      <c r="DR21" s="441"/>
      <c r="DS21" s="441"/>
      <c r="DT21" s="441"/>
      <c r="DU21" s="441"/>
      <c r="DV21" s="441"/>
      <c r="DW21" s="441"/>
      <c r="DX21" s="441"/>
      <c r="DY21" s="441"/>
      <c r="DZ21" s="441"/>
      <c r="EA21" s="441"/>
      <c r="EB21" s="783"/>
      <c r="EC21" s="441"/>
      <c r="ED21" s="441"/>
      <c r="EE21" s="441"/>
      <c r="EF21" s="441"/>
      <c r="EG21" s="441"/>
      <c r="EH21" s="441"/>
      <c r="EI21" s="441"/>
      <c r="EJ21" s="441"/>
      <c r="EK21" s="441"/>
      <c r="EL21" s="441"/>
      <c r="EM21" s="441"/>
      <c r="EN21" s="441"/>
      <c r="EO21" s="441"/>
      <c r="EP21" s="441"/>
      <c r="EQ21" s="441"/>
      <c r="ER21" s="441"/>
      <c r="ES21" s="441"/>
      <c r="ET21" s="441"/>
      <c r="EU21" s="441"/>
      <c r="EV21" s="441"/>
      <c r="EW21" s="441"/>
      <c r="EX21" s="441"/>
      <c r="EY21" s="441"/>
      <c r="EZ21" s="441"/>
      <c r="FA21" s="441"/>
      <c r="FB21" s="441"/>
      <c r="FC21" s="441"/>
      <c r="FD21" s="441"/>
      <c r="FE21" s="441"/>
      <c r="FF21" s="441"/>
      <c r="FG21" s="441"/>
      <c r="FH21" s="441"/>
      <c r="FI21" s="441"/>
      <c r="FJ21" s="781"/>
      <c r="FK21" s="781"/>
      <c r="FL21" s="781"/>
      <c r="FM21" s="781"/>
      <c r="FN21" s="781"/>
      <c r="FO21" s="781"/>
      <c r="FP21" s="781"/>
      <c r="FQ21" s="781"/>
      <c r="FR21" s="781"/>
      <c r="FS21" s="781"/>
      <c r="FT21" s="781"/>
      <c r="FU21" s="781"/>
      <c r="FV21" s="781"/>
      <c r="FW21" s="781"/>
      <c r="FX21" s="781"/>
      <c r="FY21" s="781"/>
      <c r="FZ21" s="781"/>
      <c r="GA21" s="781"/>
      <c r="GB21" s="781"/>
      <c r="GC21" s="781"/>
      <c r="GD21" s="781"/>
      <c r="GE21" s="781"/>
      <c r="GF21" s="781"/>
      <c r="GG21" s="781"/>
      <c r="GH21" s="781"/>
      <c r="GI21" s="781"/>
      <c r="GJ21" s="781"/>
      <c r="GK21" s="781"/>
      <c r="GL21" s="1335"/>
    </row>
    <row r="22" spans="1:194" ht="18.899999999999999" hidden="1" customHeight="1">
      <c r="A22" s="2188"/>
      <c r="B22" s="1333"/>
      <c r="C22" s="549"/>
      <c r="D22" s="548"/>
      <c r="E22" s="548"/>
      <c r="F22" s="548"/>
      <c r="G22" s="548"/>
      <c r="H22" s="548"/>
      <c r="I22" s="548"/>
      <c r="J22" s="548"/>
      <c r="K22" s="548"/>
      <c r="L22" s="548"/>
      <c r="M22" s="548"/>
      <c r="N22" s="548"/>
      <c r="O22" s="548"/>
      <c r="P22" s="548"/>
      <c r="Q22" s="548"/>
      <c r="R22" s="548"/>
      <c r="S22" s="548"/>
      <c r="T22" s="439"/>
      <c r="U22" s="440"/>
      <c r="V22" s="507"/>
      <c r="W22" s="440"/>
      <c r="X22" s="441"/>
      <c r="Y22" s="778"/>
      <c r="Z22" s="778"/>
      <c r="AA22" s="784"/>
      <c r="AB22" s="784"/>
      <c r="AC22" s="784"/>
      <c r="AD22" s="784"/>
      <c r="AE22" s="784"/>
      <c r="AF22" s="779"/>
      <c r="AG22" s="784"/>
      <c r="AH22" s="784"/>
      <c r="AI22" s="784"/>
      <c r="AJ22" s="784"/>
      <c r="AK22" s="784"/>
      <c r="AL22" s="784"/>
      <c r="AM22" s="784"/>
      <c r="AN22" s="784"/>
      <c r="AO22" s="784"/>
      <c r="AP22" s="784"/>
      <c r="AQ22" s="784"/>
      <c r="AR22" s="784"/>
      <c r="AS22" s="784"/>
      <c r="AT22" s="784"/>
      <c r="AU22" s="784"/>
      <c r="AV22" s="784"/>
      <c r="AW22" s="784"/>
      <c r="AX22" s="784"/>
      <c r="AY22" s="784"/>
      <c r="AZ22" s="784"/>
      <c r="BA22" s="784"/>
      <c r="BB22" s="784"/>
      <c r="BC22" s="784"/>
      <c r="BD22" s="784"/>
      <c r="BE22" s="784"/>
      <c r="BF22" s="784"/>
      <c r="BG22" s="784"/>
      <c r="BH22" s="784"/>
      <c r="BI22" s="784"/>
      <c r="BJ22" s="784"/>
      <c r="BK22" s="784"/>
      <c r="BL22" s="784"/>
      <c r="BM22" s="784"/>
      <c r="BN22" s="784"/>
      <c r="BO22" s="784"/>
      <c r="BP22" s="784"/>
      <c r="BQ22" s="784"/>
      <c r="BR22" s="784"/>
      <c r="BS22" s="784"/>
      <c r="BT22" s="551"/>
      <c r="BU22" s="779"/>
      <c r="BV22" s="785"/>
      <c r="BW22" s="785"/>
      <c r="BX22" s="785"/>
      <c r="BY22" s="784"/>
      <c r="BZ22" s="784"/>
      <c r="CA22" s="784"/>
      <c r="CB22" s="784"/>
      <c r="CC22" s="784"/>
      <c r="CD22" s="784"/>
      <c r="CE22" s="784"/>
      <c r="CF22" s="784"/>
      <c r="CG22" s="784"/>
      <c r="CH22" s="784"/>
      <c r="CI22" s="784"/>
      <c r="CJ22" s="784"/>
      <c r="CK22" s="784"/>
      <c r="CL22" s="784"/>
      <c r="CM22" s="784"/>
      <c r="CN22" s="784"/>
      <c r="CO22" s="784"/>
      <c r="CP22" s="784"/>
      <c r="CQ22" s="784"/>
      <c r="CR22" s="784"/>
      <c r="CS22" s="784"/>
      <c r="CT22" s="784"/>
      <c r="CU22" s="785"/>
      <c r="CV22" s="785"/>
      <c r="CW22" s="785"/>
      <c r="CX22" s="779"/>
      <c r="CY22" s="779"/>
      <c r="CZ22" s="785"/>
      <c r="DA22" s="785"/>
      <c r="DB22" s="785"/>
      <c r="DC22" s="785"/>
      <c r="DD22" s="785"/>
      <c r="DE22" s="551"/>
      <c r="DF22" s="551"/>
      <c r="DG22" s="784"/>
      <c r="DH22" s="784"/>
      <c r="DI22" s="784"/>
      <c r="DJ22" s="441"/>
      <c r="DK22" s="441"/>
      <c r="DL22" s="441"/>
      <c r="DM22" s="441"/>
      <c r="DN22" s="441"/>
      <c r="DO22" s="441"/>
      <c r="DP22" s="441"/>
      <c r="DQ22" s="441"/>
      <c r="DR22" s="441"/>
      <c r="DS22" s="441"/>
      <c r="DT22" s="441"/>
      <c r="DU22" s="441"/>
      <c r="DV22" s="441"/>
      <c r="DW22" s="441"/>
      <c r="DX22" s="441"/>
      <c r="DY22" s="441"/>
      <c r="DZ22" s="441"/>
      <c r="EA22" s="441"/>
      <c r="EB22" s="783"/>
      <c r="EC22" s="441"/>
      <c r="ED22" s="441"/>
      <c r="EE22" s="441"/>
      <c r="EF22" s="441"/>
      <c r="EG22" s="441"/>
      <c r="EH22" s="441"/>
      <c r="EI22" s="441"/>
      <c r="EJ22" s="441"/>
      <c r="EK22" s="441"/>
      <c r="EL22" s="441"/>
      <c r="EM22" s="441"/>
      <c r="EN22" s="441"/>
      <c r="EO22" s="441"/>
      <c r="EP22" s="441"/>
      <c r="EQ22" s="441"/>
      <c r="ER22" s="441"/>
      <c r="ES22" s="441"/>
      <c r="ET22" s="441"/>
      <c r="EU22" s="441"/>
      <c r="EV22" s="441"/>
      <c r="EW22" s="441"/>
      <c r="EX22" s="441"/>
      <c r="EY22" s="441"/>
      <c r="EZ22" s="441"/>
      <c r="FA22" s="441"/>
      <c r="FB22" s="441"/>
      <c r="FC22" s="441"/>
      <c r="FD22" s="441"/>
      <c r="FE22" s="441"/>
      <c r="FF22" s="441"/>
      <c r="FG22" s="441"/>
      <c r="FH22" s="441"/>
      <c r="FI22" s="441"/>
      <c r="FJ22" s="781"/>
      <c r="FK22" s="781"/>
      <c r="FL22" s="781"/>
      <c r="FM22" s="781"/>
      <c r="FN22" s="781"/>
      <c r="FO22" s="781"/>
      <c r="FP22" s="781"/>
      <c r="FQ22" s="781"/>
      <c r="FR22" s="781"/>
      <c r="FS22" s="781"/>
      <c r="FT22" s="781"/>
      <c r="FU22" s="781"/>
      <c r="FV22" s="781"/>
      <c r="FW22" s="781"/>
      <c r="FX22" s="781"/>
      <c r="FY22" s="781"/>
      <c r="FZ22" s="781"/>
      <c r="GA22" s="781"/>
      <c r="GB22" s="781"/>
      <c r="GC22" s="781"/>
      <c r="GD22" s="781"/>
      <c r="GE22" s="781"/>
      <c r="GF22" s="781"/>
      <c r="GG22" s="781"/>
      <c r="GH22" s="781"/>
      <c r="GI22" s="781"/>
      <c r="GJ22" s="781"/>
      <c r="GK22" s="781"/>
      <c r="GL22" s="1335"/>
    </row>
    <row r="23" spans="1:194" ht="18.899999999999999" hidden="1" customHeight="1">
      <c r="A23" s="2188"/>
      <c r="B23" s="1333"/>
      <c r="C23" s="549"/>
      <c r="D23" s="548"/>
      <c r="E23" s="548"/>
      <c r="F23" s="548"/>
      <c r="G23" s="548"/>
      <c r="H23" s="548"/>
      <c r="I23" s="548"/>
      <c r="J23" s="548"/>
      <c r="K23" s="548"/>
      <c r="L23" s="548"/>
      <c r="M23" s="548"/>
      <c r="N23" s="548"/>
      <c r="O23" s="548"/>
      <c r="P23" s="548"/>
      <c r="Q23" s="548"/>
      <c r="R23" s="548"/>
      <c r="S23" s="548"/>
      <c r="T23" s="439"/>
      <c r="U23" s="440"/>
      <c r="V23" s="507"/>
      <c r="W23" s="440"/>
      <c r="X23" s="441"/>
      <c r="Y23" s="778"/>
      <c r="Z23" s="778"/>
      <c r="AA23" s="784"/>
      <c r="AB23" s="784"/>
      <c r="AC23" s="784"/>
      <c r="AD23" s="784"/>
      <c r="AE23" s="784"/>
      <c r="AF23" s="779"/>
      <c r="AG23" s="784"/>
      <c r="AH23" s="784"/>
      <c r="AI23" s="784"/>
      <c r="AJ23" s="784"/>
      <c r="AK23" s="784"/>
      <c r="AL23" s="784"/>
      <c r="AM23" s="784"/>
      <c r="AN23" s="784"/>
      <c r="AO23" s="784"/>
      <c r="AP23" s="784"/>
      <c r="AQ23" s="784"/>
      <c r="AR23" s="784"/>
      <c r="AS23" s="784"/>
      <c r="AT23" s="784"/>
      <c r="AU23" s="784"/>
      <c r="AV23" s="784"/>
      <c r="AW23" s="784"/>
      <c r="AX23" s="784"/>
      <c r="AY23" s="784"/>
      <c r="AZ23" s="784"/>
      <c r="BA23" s="784"/>
      <c r="BB23" s="784"/>
      <c r="BC23" s="784"/>
      <c r="BD23" s="784"/>
      <c r="BE23" s="784"/>
      <c r="BF23" s="784"/>
      <c r="BG23" s="784"/>
      <c r="BH23" s="784"/>
      <c r="BI23" s="784"/>
      <c r="BJ23" s="784"/>
      <c r="BK23" s="784"/>
      <c r="BL23" s="784"/>
      <c r="BM23" s="784"/>
      <c r="BN23" s="784"/>
      <c r="BO23" s="784"/>
      <c r="BP23" s="784"/>
      <c r="BQ23" s="784"/>
      <c r="BR23" s="784"/>
      <c r="BS23" s="784"/>
      <c r="BT23" s="551"/>
      <c r="BU23" s="779"/>
      <c r="BV23" s="785"/>
      <c r="BW23" s="785"/>
      <c r="BX23" s="785"/>
      <c r="BY23" s="784"/>
      <c r="BZ23" s="784"/>
      <c r="CA23" s="784"/>
      <c r="CB23" s="784"/>
      <c r="CC23" s="784"/>
      <c r="CD23" s="784"/>
      <c r="CE23" s="784"/>
      <c r="CF23" s="784"/>
      <c r="CG23" s="784"/>
      <c r="CH23" s="784"/>
      <c r="CI23" s="784"/>
      <c r="CJ23" s="784"/>
      <c r="CK23" s="784"/>
      <c r="CL23" s="784"/>
      <c r="CM23" s="784"/>
      <c r="CN23" s="784"/>
      <c r="CO23" s="784"/>
      <c r="CP23" s="784"/>
      <c r="CQ23" s="784"/>
      <c r="CR23" s="784"/>
      <c r="CS23" s="784"/>
      <c r="CT23" s="784"/>
      <c r="CU23" s="785"/>
      <c r="CV23" s="785"/>
      <c r="CW23" s="785"/>
      <c r="CX23" s="779"/>
      <c r="CY23" s="779"/>
      <c r="CZ23" s="785"/>
      <c r="DA23" s="785"/>
      <c r="DB23" s="785"/>
      <c r="DC23" s="785"/>
      <c r="DD23" s="785"/>
      <c r="DE23" s="551"/>
      <c r="DF23" s="551"/>
      <c r="DG23" s="784"/>
      <c r="DH23" s="784"/>
      <c r="DI23" s="784"/>
      <c r="DJ23" s="441"/>
      <c r="DK23" s="441"/>
      <c r="DL23" s="441"/>
      <c r="DM23" s="441"/>
      <c r="DN23" s="441"/>
      <c r="DO23" s="441"/>
      <c r="DP23" s="441"/>
      <c r="DQ23" s="441"/>
      <c r="DR23" s="441"/>
      <c r="DS23" s="441"/>
      <c r="DT23" s="441"/>
      <c r="DU23" s="441"/>
      <c r="DV23" s="441"/>
      <c r="DW23" s="441"/>
      <c r="DX23" s="441"/>
      <c r="DY23" s="441"/>
      <c r="DZ23" s="441"/>
      <c r="EA23" s="441"/>
      <c r="EB23" s="783"/>
      <c r="EC23" s="441"/>
      <c r="ED23" s="441"/>
      <c r="EE23" s="441"/>
      <c r="EF23" s="441"/>
      <c r="EG23" s="441"/>
      <c r="EH23" s="441"/>
      <c r="EI23" s="441"/>
      <c r="EJ23" s="441"/>
      <c r="EK23" s="441"/>
      <c r="EL23" s="441"/>
      <c r="EM23" s="441"/>
      <c r="EN23" s="441"/>
      <c r="EO23" s="441"/>
      <c r="EP23" s="441"/>
      <c r="EQ23" s="441"/>
      <c r="ER23" s="441"/>
      <c r="ES23" s="441"/>
      <c r="ET23" s="441"/>
      <c r="EU23" s="441"/>
      <c r="EV23" s="441"/>
      <c r="EW23" s="441"/>
      <c r="EX23" s="441"/>
      <c r="EY23" s="441"/>
      <c r="EZ23" s="441"/>
      <c r="FA23" s="441"/>
      <c r="FB23" s="441"/>
      <c r="FC23" s="441"/>
      <c r="FD23" s="441"/>
      <c r="FE23" s="441"/>
      <c r="FF23" s="441"/>
      <c r="FG23" s="441"/>
      <c r="FH23" s="441"/>
      <c r="FI23" s="441"/>
      <c r="FJ23" s="781"/>
      <c r="FK23" s="781"/>
      <c r="FL23" s="781"/>
      <c r="FM23" s="781"/>
      <c r="FN23" s="781"/>
      <c r="FO23" s="781"/>
      <c r="FP23" s="781"/>
      <c r="FQ23" s="781"/>
      <c r="FR23" s="781"/>
      <c r="FS23" s="781"/>
      <c r="FT23" s="781"/>
      <c r="FU23" s="781"/>
      <c r="FV23" s="781"/>
      <c r="FW23" s="781"/>
      <c r="FX23" s="781"/>
      <c r="FY23" s="781"/>
      <c r="FZ23" s="781"/>
      <c r="GA23" s="781"/>
      <c r="GB23" s="781"/>
      <c r="GC23" s="781"/>
      <c r="GD23" s="781"/>
      <c r="GE23" s="781"/>
      <c r="GF23" s="781"/>
      <c r="GG23" s="781"/>
      <c r="GH23" s="781"/>
      <c r="GI23" s="781"/>
      <c r="GJ23" s="781"/>
      <c r="GK23" s="781"/>
      <c r="GL23" s="1335"/>
    </row>
    <row r="24" spans="1:194" ht="18.899999999999999" hidden="1" customHeight="1">
      <c r="A24" s="2188"/>
      <c r="B24" s="1333"/>
      <c r="C24" s="549"/>
      <c r="D24" s="548"/>
      <c r="E24" s="548"/>
      <c r="F24" s="548"/>
      <c r="G24" s="548"/>
      <c r="H24" s="548"/>
      <c r="I24" s="548"/>
      <c r="J24" s="548"/>
      <c r="K24" s="548"/>
      <c r="L24" s="548"/>
      <c r="M24" s="548"/>
      <c r="N24" s="548"/>
      <c r="O24" s="548"/>
      <c r="P24" s="548"/>
      <c r="Q24" s="548"/>
      <c r="R24" s="548"/>
      <c r="S24" s="548"/>
      <c r="T24" s="439"/>
      <c r="U24" s="440"/>
      <c r="V24" s="507"/>
      <c r="W24" s="440"/>
      <c r="X24" s="441"/>
      <c r="Y24" s="778"/>
      <c r="Z24" s="778"/>
      <c r="AA24" s="784"/>
      <c r="AB24" s="784"/>
      <c r="AC24" s="784"/>
      <c r="AD24" s="784"/>
      <c r="AE24" s="784"/>
      <c r="AF24" s="779"/>
      <c r="AG24" s="784"/>
      <c r="AH24" s="784"/>
      <c r="AI24" s="784"/>
      <c r="AJ24" s="784"/>
      <c r="AK24" s="784"/>
      <c r="AL24" s="784"/>
      <c r="AM24" s="784"/>
      <c r="AN24" s="784"/>
      <c r="AO24" s="784"/>
      <c r="AP24" s="784"/>
      <c r="AQ24" s="784"/>
      <c r="AR24" s="784"/>
      <c r="AS24" s="784"/>
      <c r="AT24" s="784"/>
      <c r="AU24" s="784"/>
      <c r="AV24" s="784"/>
      <c r="AW24" s="784"/>
      <c r="AX24" s="784"/>
      <c r="AY24" s="784"/>
      <c r="AZ24" s="784"/>
      <c r="BA24" s="784"/>
      <c r="BB24" s="784"/>
      <c r="BC24" s="784"/>
      <c r="BD24" s="784"/>
      <c r="BE24" s="784"/>
      <c r="BF24" s="784"/>
      <c r="BG24" s="784"/>
      <c r="BH24" s="784"/>
      <c r="BI24" s="784"/>
      <c r="BJ24" s="784"/>
      <c r="BK24" s="784"/>
      <c r="BL24" s="784"/>
      <c r="BM24" s="784"/>
      <c r="BN24" s="784"/>
      <c r="BO24" s="784"/>
      <c r="BP24" s="784"/>
      <c r="BQ24" s="784"/>
      <c r="BR24" s="784"/>
      <c r="BS24" s="784"/>
      <c r="BT24" s="551"/>
      <c r="BU24" s="779"/>
      <c r="BV24" s="785"/>
      <c r="BW24" s="785"/>
      <c r="BX24" s="785"/>
      <c r="BY24" s="784"/>
      <c r="BZ24" s="784"/>
      <c r="CA24" s="784"/>
      <c r="CB24" s="784"/>
      <c r="CC24" s="784"/>
      <c r="CD24" s="784"/>
      <c r="CE24" s="784"/>
      <c r="CF24" s="784"/>
      <c r="CG24" s="784"/>
      <c r="CH24" s="784"/>
      <c r="CI24" s="784"/>
      <c r="CJ24" s="784"/>
      <c r="CK24" s="784"/>
      <c r="CL24" s="784"/>
      <c r="CM24" s="784"/>
      <c r="CN24" s="784"/>
      <c r="CO24" s="784"/>
      <c r="CP24" s="784"/>
      <c r="CQ24" s="784"/>
      <c r="CR24" s="784"/>
      <c r="CS24" s="784"/>
      <c r="CT24" s="784"/>
      <c r="CU24" s="785"/>
      <c r="CV24" s="785"/>
      <c r="CW24" s="785"/>
      <c r="CX24" s="779"/>
      <c r="CY24" s="779"/>
      <c r="CZ24" s="785"/>
      <c r="DA24" s="785"/>
      <c r="DB24" s="785"/>
      <c r="DC24" s="785"/>
      <c r="DD24" s="785"/>
      <c r="DE24" s="551"/>
      <c r="DF24" s="551"/>
      <c r="DG24" s="784"/>
      <c r="DH24" s="784"/>
      <c r="DI24" s="784"/>
      <c r="DJ24" s="441"/>
      <c r="DK24" s="441"/>
      <c r="DL24" s="441"/>
      <c r="DM24" s="441"/>
      <c r="DN24" s="441"/>
      <c r="DO24" s="441"/>
      <c r="DP24" s="441"/>
      <c r="DQ24" s="441"/>
      <c r="DR24" s="441"/>
      <c r="DS24" s="441"/>
      <c r="DT24" s="441"/>
      <c r="DU24" s="441"/>
      <c r="DV24" s="441"/>
      <c r="DW24" s="441"/>
      <c r="DX24" s="441"/>
      <c r="DY24" s="441"/>
      <c r="DZ24" s="441"/>
      <c r="EA24" s="441"/>
      <c r="EB24" s="783"/>
      <c r="EC24" s="441"/>
      <c r="ED24" s="441"/>
      <c r="EE24" s="441"/>
      <c r="EF24" s="441"/>
      <c r="EG24" s="441"/>
      <c r="EH24" s="441"/>
      <c r="EI24" s="441"/>
      <c r="EJ24" s="441"/>
      <c r="EK24" s="441"/>
      <c r="EL24" s="441"/>
      <c r="EM24" s="441"/>
      <c r="EN24" s="441"/>
      <c r="EO24" s="441"/>
      <c r="EP24" s="441"/>
      <c r="EQ24" s="441"/>
      <c r="ER24" s="441"/>
      <c r="ES24" s="441"/>
      <c r="ET24" s="441"/>
      <c r="EU24" s="441"/>
      <c r="EV24" s="441"/>
      <c r="EW24" s="441"/>
      <c r="EX24" s="441"/>
      <c r="EY24" s="441"/>
      <c r="EZ24" s="441"/>
      <c r="FA24" s="441"/>
      <c r="FB24" s="441"/>
      <c r="FC24" s="441"/>
      <c r="FD24" s="441"/>
      <c r="FE24" s="441"/>
      <c r="FF24" s="441"/>
      <c r="FG24" s="441"/>
      <c r="FH24" s="441"/>
      <c r="FI24" s="441"/>
      <c r="FJ24" s="781"/>
      <c r="FK24" s="781"/>
      <c r="FL24" s="781"/>
      <c r="FM24" s="781"/>
      <c r="FN24" s="781"/>
      <c r="FO24" s="781"/>
      <c r="FP24" s="781"/>
      <c r="FQ24" s="781"/>
      <c r="FR24" s="781"/>
      <c r="FS24" s="781"/>
      <c r="FT24" s="781"/>
      <c r="FU24" s="781"/>
      <c r="FV24" s="781"/>
      <c r="FW24" s="781"/>
      <c r="FX24" s="781"/>
      <c r="FY24" s="781"/>
      <c r="FZ24" s="781"/>
      <c r="GA24" s="781"/>
      <c r="GB24" s="781"/>
      <c r="GC24" s="781"/>
      <c r="GD24" s="781"/>
      <c r="GE24" s="781"/>
      <c r="GF24" s="781"/>
      <c r="GG24" s="781"/>
      <c r="GH24" s="781"/>
      <c r="GI24" s="781"/>
      <c r="GJ24" s="781"/>
      <c r="GK24" s="781"/>
      <c r="GL24" s="1335"/>
    </row>
    <row r="25" spans="1:194" ht="18.899999999999999" hidden="1" customHeight="1">
      <c r="A25" s="2188"/>
      <c r="B25" s="1333"/>
      <c r="C25" s="549"/>
      <c r="D25" s="548"/>
      <c r="E25" s="548"/>
      <c r="F25" s="548"/>
      <c r="G25" s="548"/>
      <c r="H25" s="548"/>
      <c r="I25" s="548"/>
      <c r="J25" s="548"/>
      <c r="K25" s="548"/>
      <c r="L25" s="548"/>
      <c r="M25" s="548"/>
      <c r="N25" s="548"/>
      <c r="O25" s="548"/>
      <c r="P25" s="548"/>
      <c r="Q25" s="548"/>
      <c r="R25" s="548"/>
      <c r="S25" s="548"/>
      <c r="T25" s="439"/>
      <c r="U25" s="440"/>
      <c r="V25" s="507"/>
      <c r="W25" s="440"/>
      <c r="X25" s="440"/>
      <c r="Y25" s="778"/>
      <c r="Z25" s="778"/>
      <c r="AA25" s="441"/>
      <c r="AB25" s="441"/>
      <c r="AC25" s="441"/>
      <c r="AD25" s="441"/>
      <c r="AE25" s="441"/>
      <c r="AF25" s="779"/>
      <c r="AG25" s="441"/>
      <c r="AH25" s="441"/>
      <c r="AI25" s="441"/>
      <c r="AJ25" s="441"/>
      <c r="AK25" s="441"/>
      <c r="AL25" s="441"/>
      <c r="AM25" s="441"/>
      <c r="AN25" s="441"/>
      <c r="AO25" s="441"/>
      <c r="AP25" s="441"/>
      <c r="AQ25" s="441"/>
      <c r="AR25" s="441"/>
      <c r="AS25" s="441"/>
      <c r="AT25" s="441"/>
      <c r="AU25" s="441"/>
      <c r="AV25" s="441"/>
      <c r="AW25" s="441"/>
      <c r="AX25" s="441"/>
      <c r="AY25" s="441"/>
      <c r="AZ25" s="441"/>
      <c r="BA25" s="441"/>
      <c r="BB25" s="441"/>
      <c r="BC25" s="441"/>
      <c r="BD25" s="441"/>
      <c r="BE25" s="441"/>
      <c r="BF25" s="441"/>
      <c r="BG25" s="441"/>
      <c r="BH25" s="441"/>
      <c r="BI25" s="441"/>
      <c r="BJ25" s="441"/>
      <c r="BK25" s="441"/>
      <c r="BL25" s="441"/>
      <c r="BM25" s="441"/>
      <c r="BN25" s="441"/>
      <c r="BO25" s="441"/>
      <c r="BP25" s="441"/>
      <c r="BQ25" s="441"/>
      <c r="BR25" s="441"/>
      <c r="BS25" s="441"/>
      <c r="BT25" s="441"/>
      <c r="BU25" s="441"/>
      <c r="BV25" s="551"/>
      <c r="BW25" s="551"/>
      <c r="BX25" s="551"/>
      <c r="BY25" s="441"/>
      <c r="BZ25" s="441"/>
      <c r="CA25" s="441"/>
      <c r="CB25" s="441"/>
      <c r="CC25" s="441"/>
      <c r="CD25" s="441"/>
      <c r="CE25" s="441"/>
      <c r="CF25" s="441"/>
      <c r="CG25" s="441"/>
      <c r="CH25" s="441"/>
      <c r="CI25" s="441"/>
      <c r="CJ25" s="441"/>
      <c r="CK25" s="441"/>
      <c r="CL25" s="441"/>
      <c r="CM25" s="441"/>
      <c r="CN25" s="441"/>
      <c r="CO25" s="441"/>
      <c r="CP25" s="441"/>
      <c r="CQ25" s="441"/>
      <c r="CR25" s="441"/>
      <c r="CS25" s="441"/>
      <c r="CT25" s="441"/>
      <c r="CU25" s="551"/>
      <c r="CV25" s="551"/>
      <c r="CW25" s="551"/>
      <c r="CX25" s="551"/>
      <c r="CY25" s="551"/>
      <c r="CZ25" s="551"/>
      <c r="DA25" s="551"/>
      <c r="DB25" s="551"/>
      <c r="DC25" s="551"/>
      <c r="DD25" s="551"/>
      <c r="DE25" s="551"/>
      <c r="DF25" s="441"/>
      <c r="DG25" s="441"/>
      <c r="DH25" s="441"/>
      <c r="DI25" s="441"/>
      <c r="DJ25" s="551"/>
      <c r="DK25" s="551"/>
      <c r="DL25" s="441"/>
      <c r="DM25" s="441"/>
      <c r="DN25" s="441"/>
      <c r="DO25" s="441"/>
      <c r="DP25" s="441"/>
      <c r="DQ25" s="441"/>
      <c r="DR25" s="441"/>
      <c r="DS25" s="441"/>
      <c r="DT25" s="441"/>
      <c r="DU25" s="441"/>
      <c r="DV25" s="441"/>
      <c r="DW25" s="441"/>
      <c r="DX25" s="441"/>
      <c r="DY25" s="441"/>
      <c r="DZ25" s="441"/>
      <c r="EA25" s="441"/>
      <c r="EB25" s="783"/>
      <c r="EC25" s="441"/>
      <c r="ED25" s="441"/>
      <c r="EE25" s="441"/>
      <c r="EF25" s="441"/>
      <c r="EG25" s="441"/>
      <c r="EH25" s="441"/>
      <c r="EI25" s="441"/>
      <c r="EJ25" s="441"/>
      <c r="EK25" s="441"/>
      <c r="EL25" s="441"/>
      <c r="EM25" s="441"/>
      <c r="EN25" s="441"/>
      <c r="EO25" s="441"/>
      <c r="EP25" s="441"/>
      <c r="EQ25" s="441"/>
      <c r="ER25" s="441"/>
      <c r="ES25" s="441"/>
      <c r="ET25" s="441"/>
      <c r="EU25" s="441"/>
      <c r="EV25" s="441"/>
      <c r="EW25" s="441"/>
      <c r="EX25" s="441"/>
      <c r="EY25" s="441"/>
      <c r="EZ25" s="441"/>
      <c r="FA25" s="441"/>
      <c r="FB25" s="441"/>
      <c r="FC25" s="441"/>
      <c r="FD25" s="441"/>
      <c r="FE25" s="441"/>
      <c r="FF25" s="441"/>
      <c r="FG25" s="441"/>
      <c r="FH25" s="441"/>
      <c r="FI25" s="441"/>
      <c r="FJ25" s="781"/>
      <c r="FK25" s="781"/>
      <c r="FL25" s="781"/>
      <c r="FM25" s="781"/>
      <c r="FN25" s="781"/>
      <c r="FO25" s="781"/>
      <c r="FP25" s="781"/>
      <c r="FQ25" s="781"/>
      <c r="FR25" s="781"/>
      <c r="FS25" s="781"/>
      <c r="FT25" s="781"/>
      <c r="FU25" s="781"/>
      <c r="FV25" s="781"/>
      <c r="FW25" s="781"/>
      <c r="FX25" s="781"/>
      <c r="FY25" s="781"/>
      <c r="FZ25" s="781"/>
      <c r="GA25" s="781"/>
      <c r="GB25" s="781"/>
      <c r="GC25" s="781"/>
      <c r="GD25" s="781"/>
      <c r="GE25" s="781"/>
      <c r="GF25" s="781"/>
      <c r="GG25" s="781"/>
      <c r="GH25" s="781"/>
      <c r="GI25" s="781"/>
      <c r="GJ25" s="781"/>
      <c r="GK25" s="781"/>
      <c r="GL25" s="1373"/>
    </row>
    <row r="26" spans="1:194" ht="18.899999999999999" hidden="1" customHeight="1">
      <c r="A26" s="2189"/>
      <c r="B26" s="1371"/>
      <c r="C26" s="1371"/>
      <c r="D26" s="1374"/>
      <c r="E26" s="1374"/>
      <c r="F26" s="1374"/>
      <c r="G26" s="1374"/>
      <c r="H26" s="1374"/>
      <c r="I26" s="1374"/>
      <c r="J26" s="1374"/>
      <c r="K26" s="1374"/>
      <c r="L26" s="1374"/>
      <c r="M26" s="1374"/>
      <c r="N26" s="1374"/>
      <c r="O26" s="1374"/>
      <c r="P26" s="1374"/>
      <c r="Q26" s="1374"/>
      <c r="R26" s="1374"/>
      <c r="S26" s="1374"/>
      <c r="T26" s="1374"/>
      <c r="U26" s="1374"/>
      <c r="V26" s="1374"/>
      <c r="W26" s="1371"/>
      <c r="X26" s="1371"/>
      <c r="Y26" s="1371"/>
      <c r="Z26" s="1371"/>
      <c r="AA26" s="1371"/>
      <c r="AB26" s="1371"/>
      <c r="AC26" s="1371"/>
      <c r="AD26" s="1371"/>
      <c r="AE26" s="1371"/>
      <c r="AF26" s="1371"/>
      <c r="AG26" s="1371"/>
      <c r="AH26" s="1371"/>
      <c r="AI26" s="1371"/>
      <c r="AJ26" s="1371"/>
      <c r="AK26" s="1371"/>
      <c r="AL26" s="1371"/>
      <c r="AM26" s="1371"/>
      <c r="AN26" s="1371"/>
      <c r="AO26" s="1371"/>
      <c r="AP26" s="1371"/>
      <c r="AQ26" s="1371"/>
      <c r="AR26" s="1371"/>
      <c r="AS26" s="1371"/>
      <c r="AT26" s="1371"/>
      <c r="AU26" s="1371"/>
      <c r="AV26" s="1371"/>
      <c r="AW26" s="1371"/>
      <c r="AX26" s="1371"/>
      <c r="AY26" s="1371"/>
      <c r="AZ26" s="1371"/>
      <c r="BA26" s="1371"/>
      <c r="BB26" s="1371"/>
      <c r="BC26" s="1371"/>
      <c r="BD26" s="1371"/>
      <c r="BE26" s="1371"/>
      <c r="BF26" s="1371"/>
      <c r="BG26" s="1371"/>
      <c r="BH26" s="1371"/>
      <c r="BI26" s="1371"/>
      <c r="BJ26" s="1371"/>
      <c r="BK26" s="1371"/>
      <c r="BL26" s="1371"/>
      <c r="BM26" s="1371"/>
      <c r="BN26" s="1371"/>
      <c r="BO26" s="1371"/>
      <c r="BP26" s="1371"/>
      <c r="BQ26" s="1371"/>
      <c r="BR26" s="1371"/>
      <c r="BS26" s="1371"/>
      <c r="BT26" s="1371"/>
      <c r="BU26" s="1371"/>
      <c r="BV26" s="1371"/>
      <c r="BW26" s="1371"/>
      <c r="BX26" s="1371"/>
      <c r="BY26" s="1371"/>
      <c r="BZ26" s="1371"/>
      <c r="CA26" s="1371"/>
      <c r="CB26" s="1371"/>
      <c r="CC26" s="1371"/>
      <c r="CD26" s="1371"/>
      <c r="CE26" s="1371"/>
      <c r="CF26" s="1371"/>
      <c r="CG26" s="1371"/>
      <c r="CH26" s="1371"/>
      <c r="CI26" s="1371"/>
      <c r="CJ26" s="1371"/>
      <c r="CK26" s="1371"/>
      <c r="CL26" s="1371"/>
      <c r="CM26" s="1371"/>
      <c r="CN26" s="1371"/>
      <c r="CO26" s="1371"/>
      <c r="CP26" s="1371"/>
      <c r="CQ26" s="1371"/>
      <c r="CR26" s="1371"/>
      <c r="CS26" s="1371"/>
      <c r="CT26" s="1371"/>
      <c r="CU26" s="1371"/>
      <c r="CV26" s="1371"/>
      <c r="CW26" s="1371"/>
      <c r="CX26" s="1371"/>
      <c r="CY26" s="1371"/>
      <c r="CZ26" s="1371"/>
      <c r="DA26" s="1371"/>
      <c r="DB26" s="1371"/>
      <c r="DC26" s="1371"/>
      <c r="DD26" s="1371"/>
      <c r="DE26" s="1371"/>
      <c r="DF26" s="1371"/>
      <c r="DG26" s="1371"/>
      <c r="DH26" s="1371"/>
      <c r="DI26" s="1371"/>
      <c r="DJ26" s="1371"/>
      <c r="DK26" s="1371"/>
      <c r="DL26" s="1371"/>
      <c r="DM26" s="1371"/>
      <c r="DN26" s="1371"/>
      <c r="DO26" s="1371"/>
      <c r="DP26" s="1371"/>
      <c r="DQ26" s="1371"/>
      <c r="DR26" s="1371"/>
      <c r="DS26" s="1371"/>
      <c r="DT26" s="1371"/>
      <c r="DU26" s="1371"/>
      <c r="DV26" s="1371"/>
      <c r="DW26" s="1371"/>
      <c r="DX26" s="1371"/>
      <c r="DY26" s="1371"/>
      <c r="DZ26" s="1371"/>
      <c r="EA26" s="1371"/>
      <c r="EB26" s="1371"/>
      <c r="EC26" s="1371"/>
      <c r="ED26" s="1371"/>
      <c r="EE26" s="1371"/>
      <c r="EF26" s="1371"/>
      <c r="EG26" s="1371"/>
      <c r="EH26" s="1371"/>
      <c r="EI26" s="1371"/>
      <c r="EJ26" s="1371"/>
      <c r="EK26" s="1371"/>
      <c r="EL26" s="1371"/>
      <c r="EM26" s="1371"/>
      <c r="EN26" s="1371"/>
      <c r="EO26" s="1371"/>
      <c r="EP26" s="1371"/>
      <c r="EQ26" s="1371"/>
      <c r="ER26" s="1371"/>
      <c r="ES26" s="1371"/>
      <c r="ET26" s="1371"/>
      <c r="EU26" s="1371"/>
      <c r="EV26" s="1371"/>
      <c r="EW26" s="1371"/>
      <c r="EX26" s="1371"/>
      <c r="EY26" s="1374"/>
      <c r="EZ26" s="1374"/>
      <c r="FA26" s="1374"/>
      <c r="FB26" s="1374"/>
      <c r="FC26" s="1374"/>
      <c r="FD26" s="1374"/>
      <c r="FE26" s="1374"/>
      <c r="FF26" s="1374"/>
      <c r="FG26" s="1374"/>
      <c r="FH26" s="1374"/>
      <c r="FI26" s="1374"/>
      <c r="FJ26" s="1374"/>
      <c r="FK26" s="1374"/>
      <c r="FL26" s="1374"/>
      <c r="FM26" s="1374"/>
      <c r="FN26" s="1374"/>
      <c r="FO26" s="1374"/>
      <c r="FP26" s="1374"/>
      <c r="FQ26" s="1374"/>
      <c r="FR26" s="1374"/>
      <c r="FS26" s="1374"/>
      <c r="FT26" s="1374"/>
      <c r="FU26" s="1374"/>
      <c r="FV26" s="1374"/>
      <c r="FW26" s="1374"/>
      <c r="FX26" s="1374"/>
      <c r="FY26" s="1374"/>
      <c r="FZ26" s="1374"/>
      <c r="GA26" s="1374"/>
      <c r="GB26" s="1374"/>
      <c r="GC26" s="1374"/>
      <c r="GD26" s="1374"/>
      <c r="GE26" s="1374"/>
      <c r="GF26" s="1374"/>
      <c r="GG26" s="1374"/>
      <c r="GH26" s="1374"/>
      <c r="GI26" s="1374"/>
      <c r="GJ26" s="1374"/>
      <c r="GK26" s="1371"/>
      <c r="GL26" s="1375"/>
    </row>
    <row r="27" spans="1:194" ht="18.899999999999999" hidden="1" customHeight="1">
      <c r="A27" s="2190"/>
      <c r="B27" s="550"/>
      <c r="C27" s="1028"/>
      <c r="D27" s="1028"/>
      <c r="E27" s="1028"/>
      <c r="F27" s="1028"/>
      <c r="G27" s="1028"/>
      <c r="H27" s="1028"/>
      <c r="I27" s="1028"/>
      <c r="J27" s="1028"/>
      <c r="K27" s="1028"/>
      <c r="L27" s="1028"/>
      <c r="M27" s="1028"/>
      <c r="N27" s="1028"/>
      <c r="O27" s="1028"/>
      <c r="P27" s="1028"/>
      <c r="Q27" s="1028"/>
      <c r="R27" s="1029"/>
      <c r="S27" s="1029"/>
      <c r="T27" s="1030"/>
      <c r="U27" s="1030"/>
      <c r="V27" s="1030"/>
      <c r="W27" s="1030"/>
      <c r="X27" s="1030"/>
      <c r="Y27" s="1023"/>
      <c r="Z27" s="1023"/>
      <c r="AA27" s="1023"/>
      <c r="AB27" s="1023"/>
      <c r="AC27" s="1023"/>
      <c r="AD27" s="1030"/>
      <c r="AE27" s="1030"/>
      <c r="AF27" s="1030"/>
      <c r="AG27" s="1030"/>
      <c r="AH27" s="1030"/>
      <c r="AI27" s="1030"/>
      <c r="AJ27" s="1030"/>
      <c r="AK27" s="1030"/>
      <c r="AL27" s="1030"/>
      <c r="AM27" s="1030"/>
      <c r="AN27" s="1030"/>
      <c r="AO27" s="1030"/>
      <c r="AP27" s="1030"/>
      <c r="AQ27" s="1030"/>
      <c r="AR27" s="1030"/>
      <c r="AS27" s="1030"/>
      <c r="AT27" s="1030"/>
      <c r="AU27" s="1030"/>
      <c r="AV27" s="1030"/>
      <c r="AW27" s="1030"/>
      <c r="AX27" s="1030"/>
      <c r="AY27" s="1030"/>
      <c r="AZ27" s="1030"/>
      <c r="BA27" s="1030"/>
      <c r="BB27" s="1030"/>
      <c r="BC27" s="1030"/>
      <c r="BD27" s="1030"/>
      <c r="BE27" s="1030"/>
      <c r="BF27" s="1030"/>
      <c r="BG27" s="1030"/>
      <c r="BH27" s="1030"/>
      <c r="BI27" s="1030"/>
      <c r="BJ27" s="1030"/>
      <c r="BK27" s="1030"/>
      <c r="BL27" s="1030"/>
      <c r="BM27" s="1030"/>
      <c r="BN27" s="1030"/>
      <c r="BO27" s="1030"/>
      <c r="BP27" s="1030"/>
      <c r="BQ27" s="1030"/>
      <c r="BR27" s="1030"/>
      <c r="BS27" s="1030"/>
      <c r="BT27" s="1030"/>
      <c r="BU27" s="1030"/>
      <c r="BV27" s="1030"/>
      <c r="BW27" s="1030"/>
      <c r="BX27" s="1030"/>
      <c r="BY27" s="1030"/>
      <c r="BZ27" s="1030"/>
      <c r="CA27" s="1030"/>
      <c r="CB27" s="1030"/>
      <c r="CC27" s="1030"/>
      <c r="CD27" s="1030"/>
      <c r="CE27" s="1030"/>
      <c r="CF27" s="1030"/>
      <c r="CG27" s="1030"/>
      <c r="CH27" s="1030"/>
      <c r="CI27" s="1030"/>
      <c r="CJ27" s="1030"/>
      <c r="CK27" s="1030"/>
      <c r="CL27" s="1030"/>
      <c r="CM27" s="1030"/>
      <c r="CN27" s="1030"/>
      <c r="CO27" s="1030"/>
      <c r="CP27" s="1030"/>
      <c r="CQ27" s="1030"/>
      <c r="CR27" s="1030"/>
      <c r="CS27" s="1030"/>
      <c r="CT27" s="1030"/>
      <c r="CU27" s="1030"/>
      <c r="CV27" s="1030"/>
      <c r="CW27" s="1030"/>
      <c r="CX27" s="1030"/>
      <c r="CY27" s="1030"/>
      <c r="CZ27" s="1030"/>
      <c r="DA27" s="1030"/>
      <c r="DB27" s="1030"/>
      <c r="DC27" s="1031"/>
      <c r="DD27" s="1031"/>
      <c r="DE27" s="1031"/>
      <c r="DF27" s="1031"/>
      <c r="DG27" s="1031"/>
      <c r="DH27" s="1031"/>
      <c r="DI27" s="1031"/>
      <c r="DJ27" s="1031"/>
      <c r="DK27" s="1031"/>
      <c r="DL27" s="1031"/>
      <c r="DM27" s="1031"/>
      <c r="DN27" s="1031"/>
      <c r="DO27" s="1031"/>
      <c r="DP27" s="1031"/>
      <c r="DQ27" s="1031"/>
      <c r="DR27" s="1031"/>
      <c r="DS27" s="1031"/>
      <c r="DT27" s="1031"/>
      <c r="DU27" s="1031"/>
      <c r="DV27" s="1031"/>
      <c r="DW27" s="1031"/>
      <c r="DX27" s="1031"/>
      <c r="DY27" s="1031"/>
      <c r="DZ27" s="1031"/>
      <c r="EA27" s="1031"/>
      <c r="EB27" s="1032"/>
      <c r="EC27" s="1031"/>
      <c r="ED27" s="1031"/>
      <c r="EE27" s="1031"/>
      <c r="EF27" s="1031"/>
      <c r="EG27" s="1031"/>
      <c r="EH27" s="1031"/>
      <c r="EI27" s="1031"/>
      <c r="EJ27" s="1031"/>
      <c r="EK27" s="1031"/>
      <c r="EL27" s="1031"/>
      <c r="EM27" s="1031"/>
      <c r="EN27" s="1031"/>
      <c r="EO27" s="1031"/>
      <c r="EP27" s="1031"/>
      <c r="EQ27" s="1031"/>
      <c r="ER27" s="1031"/>
      <c r="ES27" s="1031"/>
      <c r="ET27" s="1031"/>
      <c r="EU27" s="1031"/>
      <c r="EV27" s="1031"/>
      <c r="EW27" s="1031"/>
      <c r="EX27" s="1031"/>
      <c r="EY27" s="1031"/>
      <c r="EZ27" s="1031"/>
      <c r="FA27" s="1031"/>
      <c r="FB27" s="1031"/>
      <c r="FC27" s="1031"/>
      <c r="FD27" s="1031"/>
      <c r="FE27" s="1031"/>
      <c r="FF27" s="1031"/>
      <c r="FG27" s="1031"/>
      <c r="FH27" s="1031"/>
      <c r="FI27" s="1031"/>
      <c r="FJ27" s="1031"/>
      <c r="FK27" s="1031"/>
      <c r="FL27" s="1031"/>
      <c r="FM27" s="1031"/>
      <c r="FN27" s="1031"/>
      <c r="FO27" s="1031"/>
      <c r="FP27" s="1031"/>
      <c r="FQ27" s="1031"/>
      <c r="FR27" s="1031"/>
      <c r="FS27" s="1031"/>
      <c r="FT27" s="1031"/>
      <c r="FU27" s="1031"/>
      <c r="FV27" s="1031"/>
      <c r="FW27" s="1031"/>
      <c r="FX27" s="1031"/>
      <c r="FY27" s="1031"/>
      <c r="FZ27" s="1031"/>
      <c r="GA27" s="1031"/>
      <c r="GB27" s="1031"/>
      <c r="GC27" s="1031"/>
      <c r="GD27" s="1031"/>
      <c r="GE27" s="1031"/>
      <c r="GF27" s="1031"/>
      <c r="GG27" s="1031"/>
      <c r="GH27" s="1031"/>
      <c r="GI27" s="1031"/>
      <c r="GJ27" s="1031"/>
      <c r="GK27" s="1031"/>
      <c r="GL27" s="1033"/>
    </row>
    <row r="28" spans="1:194" ht="18.899999999999999" hidden="1" customHeight="1">
      <c r="A28" s="2188"/>
      <c r="B28" s="1039"/>
      <c r="C28" s="1034"/>
      <c r="D28" s="1034"/>
      <c r="E28" s="1034"/>
      <c r="F28" s="1034"/>
      <c r="G28" s="1034"/>
      <c r="H28" s="1034"/>
      <c r="I28" s="1034"/>
      <c r="J28" s="1034"/>
      <c r="K28" s="1034"/>
      <c r="L28" s="1034"/>
      <c r="M28" s="1034"/>
      <c r="N28" s="1034"/>
      <c r="O28" s="1034"/>
      <c r="P28" s="1034"/>
      <c r="Q28" s="1034"/>
      <c r="R28" s="1035"/>
      <c r="S28" s="1035"/>
      <c r="T28" s="1036"/>
      <c r="U28" s="1036"/>
      <c r="V28" s="779"/>
      <c r="W28" s="1036"/>
      <c r="X28" s="1036"/>
      <c r="Y28" s="778"/>
      <c r="Z28" s="778"/>
      <c r="AA28" s="778"/>
      <c r="AB28" s="778"/>
      <c r="AC28" s="778"/>
      <c r="AD28" s="779"/>
      <c r="AE28" s="779"/>
      <c r="AF28" s="779"/>
      <c r="AG28" s="779"/>
      <c r="AH28" s="779"/>
      <c r="AI28" s="779"/>
      <c r="AJ28" s="779"/>
      <c r="AK28" s="779"/>
      <c r="AL28" s="779"/>
      <c r="AM28" s="779"/>
      <c r="AN28" s="779"/>
      <c r="AO28" s="779"/>
      <c r="AP28" s="779"/>
      <c r="AQ28" s="779"/>
      <c r="AR28" s="779"/>
      <c r="AS28" s="779"/>
      <c r="AT28" s="779"/>
      <c r="AU28" s="779"/>
      <c r="AV28" s="779"/>
      <c r="AW28" s="779"/>
      <c r="AX28" s="779"/>
      <c r="AY28" s="779"/>
      <c r="AZ28" s="779"/>
      <c r="BA28" s="779"/>
      <c r="BB28" s="779"/>
      <c r="BC28" s="779"/>
      <c r="BD28" s="779"/>
      <c r="BE28" s="779"/>
      <c r="BF28" s="779"/>
      <c r="BG28" s="779"/>
      <c r="BH28" s="779"/>
      <c r="BI28" s="779"/>
      <c r="BJ28" s="779"/>
      <c r="BK28" s="779"/>
      <c r="BL28" s="779"/>
      <c r="BM28" s="779"/>
      <c r="BN28" s="779"/>
      <c r="BO28" s="779"/>
      <c r="BP28" s="779"/>
      <c r="BQ28" s="779"/>
      <c r="BR28" s="779"/>
      <c r="BS28" s="779"/>
      <c r="BT28" s="441"/>
      <c r="BU28" s="779"/>
      <c r="BV28" s="779"/>
      <c r="BW28" s="779"/>
      <c r="BX28" s="779"/>
      <c r="BY28" s="779"/>
      <c r="BZ28" s="779"/>
      <c r="CA28" s="779"/>
      <c r="CB28" s="779"/>
      <c r="CC28" s="779"/>
      <c r="CD28" s="779"/>
      <c r="CE28" s="779"/>
      <c r="CF28" s="779"/>
      <c r="CG28" s="779"/>
      <c r="CH28" s="439"/>
      <c r="CI28" s="779"/>
      <c r="CJ28" s="779"/>
      <c r="CK28" s="779"/>
      <c r="CL28" s="779"/>
      <c r="CM28" s="779"/>
      <c r="CN28" s="779"/>
      <c r="CO28" s="779"/>
      <c r="CP28" s="779"/>
      <c r="CQ28" s="779"/>
      <c r="CR28" s="779"/>
      <c r="CS28" s="779"/>
      <c r="CT28" s="779"/>
      <c r="CU28" s="779"/>
      <c r="CV28" s="779"/>
      <c r="CW28" s="779"/>
      <c r="CX28" s="779"/>
      <c r="CY28" s="779"/>
      <c r="CZ28" s="779"/>
      <c r="DA28" s="779"/>
      <c r="DB28" s="779"/>
      <c r="DC28" s="781"/>
      <c r="DD28" s="781"/>
      <c r="DE28" s="551"/>
      <c r="DF28" s="551"/>
      <c r="DG28" s="551"/>
      <c r="DH28" s="551"/>
      <c r="DI28" s="551"/>
      <c r="DJ28" s="551"/>
      <c r="DK28" s="551"/>
      <c r="DL28" s="551"/>
      <c r="DM28" s="551"/>
      <c r="DN28" s="551"/>
      <c r="DO28" s="551"/>
      <c r="DP28" s="551"/>
      <c r="DQ28" s="551"/>
      <c r="DR28" s="551"/>
      <c r="DS28" s="551"/>
      <c r="DT28" s="551"/>
      <c r="DU28" s="551"/>
      <c r="DV28" s="551"/>
      <c r="DW28" s="551"/>
      <c r="DX28" s="551"/>
      <c r="DY28" s="551"/>
      <c r="DZ28" s="551"/>
      <c r="EA28" s="551"/>
      <c r="EB28" s="780"/>
      <c r="EC28" s="551"/>
      <c r="ED28" s="551"/>
      <c r="EE28" s="551"/>
      <c r="EF28" s="551"/>
      <c r="EG28" s="551"/>
      <c r="EH28" s="782"/>
      <c r="EI28" s="782"/>
      <c r="EJ28" s="782"/>
      <c r="EK28" s="782"/>
      <c r="EL28" s="782"/>
      <c r="EM28" s="782"/>
      <c r="EN28" s="782"/>
      <c r="EO28" s="782"/>
      <c r="EP28" s="782"/>
      <c r="EQ28" s="782"/>
      <c r="ER28" s="782"/>
      <c r="ES28" s="782"/>
      <c r="ET28" s="782"/>
      <c r="EU28" s="782"/>
      <c r="EV28" s="782"/>
      <c r="EW28" s="782"/>
      <c r="EX28" s="782"/>
      <c r="EY28" s="782"/>
      <c r="EZ28" s="782"/>
      <c r="FA28" s="782"/>
      <c r="FB28" s="782"/>
      <c r="FC28" s="782"/>
      <c r="FD28" s="782"/>
      <c r="FE28" s="782"/>
      <c r="FF28" s="782"/>
      <c r="FG28" s="782"/>
      <c r="FH28" s="782"/>
      <c r="FI28" s="782"/>
      <c r="FJ28" s="78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1040"/>
    </row>
    <row r="29" spans="1:194" ht="18.899999999999999" hidden="1" customHeight="1">
      <c r="A29" s="1372"/>
      <c r="B29" s="1333"/>
      <c r="C29" s="549"/>
      <c r="D29" s="548"/>
      <c r="E29" s="548"/>
      <c r="F29" s="548"/>
      <c r="G29" s="548"/>
      <c r="H29" s="548"/>
      <c r="I29" s="548"/>
      <c r="J29" s="548"/>
      <c r="K29" s="548"/>
      <c r="L29" s="548"/>
      <c r="M29" s="548"/>
      <c r="N29" s="548"/>
      <c r="O29" s="548"/>
      <c r="P29" s="548"/>
      <c r="Q29" s="548"/>
      <c r="R29" s="548"/>
      <c r="S29" s="548"/>
      <c r="T29" s="439"/>
      <c r="U29" s="440"/>
      <c r="V29" s="507"/>
      <c r="W29" s="440"/>
      <c r="X29" s="440"/>
      <c r="Y29" s="778"/>
      <c r="Z29" s="778"/>
      <c r="AA29" s="440"/>
      <c r="AB29" s="550"/>
      <c r="AC29" s="550"/>
      <c r="AD29" s="551"/>
      <c r="AE29" s="551"/>
      <c r="AF29" s="779"/>
      <c r="AG29" s="551"/>
      <c r="AH29" s="551"/>
      <c r="AI29" s="551"/>
      <c r="AJ29" s="551"/>
      <c r="AK29" s="551"/>
      <c r="AL29" s="551"/>
      <c r="AM29" s="551"/>
      <c r="AN29" s="551"/>
      <c r="AO29" s="551"/>
      <c r="AP29" s="551"/>
      <c r="AQ29" s="551"/>
      <c r="AR29" s="551"/>
      <c r="AS29" s="551"/>
      <c r="AT29" s="551"/>
      <c r="AU29" s="551"/>
      <c r="AV29" s="551"/>
      <c r="AW29" s="551"/>
      <c r="AX29" s="551"/>
      <c r="AY29" s="551"/>
      <c r="AZ29" s="551"/>
      <c r="BA29" s="551"/>
      <c r="BB29" s="551"/>
      <c r="BC29" s="551"/>
      <c r="BD29" s="551"/>
      <c r="BE29" s="551"/>
      <c r="BF29" s="551"/>
      <c r="BG29" s="551"/>
      <c r="BH29" s="551"/>
      <c r="BI29" s="551"/>
      <c r="BJ29" s="551"/>
      <c r="BK29" s="551"/>
      <c r="BL29" s="551"/>
      <c r="BM29" s="551"/>
      <c r="BN29" s="551"/>
      <c r="BO29" s="551"/>
      <c r="BP29" s="551"/>
      <c r="BQ29" s="551"/>
      <c r="BR29" s="551"/>
      <c r="BS29" s="551"/>
      <c r="BT29" s="441"/>
      <c r="BU29" s="551"/>
      <c r="BV29" s="551"/>
      <c r="BW29" s="551"/>
      <c r="BX29" s="551"/>
      <c r="BY29" s="551"/>
      <c r="BZ29" s="551"/>
      <c r="CA29" s="551"/>
      <c r="CB29" s="551"/>
      <c r="CC29" s="551"/>
      <c r="CD29" s="551"/>
      <c r="CE29" s="551"/>
      <c r="CF29" s="551"/>
      <c r="CG29" s="551"/>
      <c r="CH29" s="551"/>
      <c r="CI29" s="551"/>
      <c r="CJ29" s="551"/>
      <c r="CK29" s="551"/>
      <c r="CL29" s="551"/>
      <c r="CM29" s="551"/>
      <c r="CN29" s="551"/>
      <c r="CO29" s="551"/>
      <c r="CP29" s="551"/>
      <c r="CQ29" s="551"/>
      <c r="CR29" s="551"/>
      <c r="CS29" s="551"/>
      <c r="CT29" s="551"/>
      <c r="CU29" s="551"/>
      <c r="CV29" s="551"/>
      <c r="CW29" s="551"/>
      <c r="CX29" s="551"/>
      <c r="CY29" s="551"/>
      <c r="CZ29" s="551"/>
      <c r="DA29" s="551"/>
      <c r="DB29" s="551"/>
      <c r="DC29" s="551"/>
      <c r="DD29" s="551"/>
      <c r="DE29" s="551"/>
      <c r="DF29" s="551"/>
      <c r="DG29" s="551"/>
      <c r="DH29" s="551"/>
      <c r="DI29" s="551"/>
      <c r="DJ29" s="551"/>
      <c r="DK29" s="551"/>
      <c r="DL29" s="551"/>
      <c r="DM29" s="551"/>
      <c r="DN29" s="551"/>
      <c r="DO29" s="551"/>
      <c r="DP29" s="551"/>
      <c r="DQ29" s="551"/>
      <c r="DR29" s="551"/>
      <c r="DS29" s="551"/>
      <c r="DT29" s="551"/>
      <c r="DU29" s="551"/>
      <c r="DV29" s="551"/>
      <c r="DW29" s="551"/>
      <c r="DX29" s="551"/>
      <c r="DY29" s="551"/>
      <c r="DZ29" s="551"/>
      <c r="EA29" s="551"/>
      <c r="EB29" s="780"/>
      <c r="EC29" s="551"/>
      <c r="ED29" s="551"/>
      <c r="EE29" s="551"/>
      <c r="EF29" s="551"/>
      <c r="EG29" s="551"/>
      <c r="EH29" s="551"/>
      <c r="EI29" s="551"/>
      <c r="EJ29" s="551"/>
      <c r="EK29" s="551"/>
      <c r="EL29" s="551"/>
      <c r="EM29" s="551"/>
      <c r="EN29" s="551"/>
      <c r="EO29" s="551"/>
      <c r="EP29" s="551"/>
      <c r="EQ29" s="551"/>
      <c r="ER29" s="551"/>
      <c r="ES29" s="551"/>
      <c r="ET29" s="551"/>
      <c r="EU29" s="551"/>
      <c r="EV29" s="551"/>
      <c r="EW29" s="551"/>
      <c r="EX29" s="551"/>
      <c r="EY29" s="551"/>
      <c r="EZ29" s="551"/>
      <c r="FA29" s="551"/>
      <c r="FB29" s="551"/>
      <c r="FC29" s="551"/>
      <c r="FD29" s="551"/>
      <c r="FE29" s="551"/>
      <c r="FF29" s="551"/>
      <c r="FG29" s="551"/>
      <c r="FH29" s="551"/>
      <c r="FI29" s="551"/>
      <c r="FJ29" s="781"/>
      <c r="FK29" s="781"/>
      <c r="FL29" s="781"/>
      <c r="FM29" s="781"/>
      <c r="FN29" s="781"/>
      <c r="FO29" s="781"/>
      <c r="FP29" s="781"/>
      <c r="FQ29" s="781"/>
      <c r="FR29" s="781"/>
      <c r="FS29" s="781"/>
      <c r="FT29" s="781"/>
      <c r="FU29" s="781"/>
      <c r="FV29" s="781"/>
      <c r="FW29" s="781"/>
      <c r="FX29" s="781"/>
      <c r="FY29" s="781"/>
      <c r="FZ29" s="781"/>
      <c r="GA29" s="781"/>
      <c r="GB29" s="781"/>
      <c r="GC29" s="781"/>
      <c r="GD29" s="781"/>
      <c r="GE29" s="781"/>
      <c r="GF29" s="781"/>
      <c r="GG29" s="781"/>
      <c r="GH29" s="781"/>
      <c r="GI29" s="781"/>
      <c r="GJ29" s="781"/>
      <c r="GK29" s="782"/>
      <c r="GL29" s="1334"/>
    </row>
    <row r="30" spans="1:194" ht="18.899999999999999" hidden="1" customHeight="1">
      <c r="A30" s="1372"/>
      <c r="B30" s="1333"/>
      <c r="C30" s="549"/>
      <c r="D30" s="548"/>
      <c r="E30" s="548"/>
      <c r="F30" s="548"/>
      <c r="G30" s="548"/>
      <c r="H30" s="548"/>
      <c r="I30" s="548"/>
      <c r="J30" s="548"/>
      <c r="K30" s="548"/>
      <c r="L30" s="548"/>
      <c r="M30" s="548"/>
      <c r="N30" s="548"/>
      <c r="O30" s="548"/>
      <c r="P30" s="548"/>
      <c r="Q30" s="548"/>
      <c r="R30" s="548"/>
      <c r="S30" s="548"/>
      <c r="T30" s="439"/>
      <c r="U30" s="440"/>
      <c r="V30" s="507"/>
      <c r="W30" s="440"/>
      <c r="X30" s="441"/>
      <c r="Y30" s="778"/>
      <c r="Z30" s="778"/>
      <c r="AA30" s="784"/>
      <c r="AB30" s="784"/>
      <c r="AC30" s="784"/>
      <c r="AD30" s="784"/>
      <c r="AE30" s="784"/>
      <c r="AF30" s="779"/>
      <c r="AG30" s="784"/>
      <c r="AH30" s="784"/>
      <c r="AI30" s="784"/>
      <c r="AJ30" s="784"/>
      <c r="AK30" s="784"/>
      <c r="AL30" s="784"/>
      <c r="AM30" s="784"/>
      <c r="AN30" s="784"/>
      <c r="AO30" s="784"/>
      <c r="AP30" s="784"/>
      <c r="AQ30" s="784"/>
      <c r="AR30" s="784"/>
      <c r="AS30" s="784"/>
      <c r="AT30" s="784"/>
      <c r="AU30" s="784"/>
      <c r="AV30" s="784"/>
      <c r="AW30" s="784"/>
      <c r="AX30" s="784"/>
      <c r="AY30" s="784"/>
      <c r="AZ30" s="784"/>
      <c r="BA30" s="784"/>
      <c r="BB30" s="784"/>
      <c r="BC30" s="784"/>
      <c r="BD30" s="784"/>
      <c r="BE30" s="784"/>
      <c r="BF30" s="784"/>
      <c r="BG30" s="784"/>
      <c r="BH30" s="784"/>
      <c r="BI30" s="784"/>
      <c r="BJ30" s="784"/>
      <c r="BK30" s="784"/>
      <c r="BL30" s="784"/>
      <c r="BM30" s="784"/>
      <c r="BN30" s="784"/>
      <c r="BO30" s="784"/>
      <c r="BP30" s="784"/>
      <c r="BQ30" s="784"/>
      <c r="BR30" s="784"/>
      <c r="BS30" s="784"/>
      <c r="BT30" s="551"/>
      <c r="BU30" s="779"/>
      <c r="BV30" s="785"/>
      <c r="BW30" s="785"/>
      <c r="BX30" s="785"/>
      <c r="BY30" s="784"/>
      <c r="BZ30" s="784"/>
      <c r="CA30" s="784"/>
      <c r="CB30" s="784"/>
      <c r="CC30" s="784"/>
      <c r="CD30" s="784"/>
      <c r="CE30" s="784"/>
      <c r="CF30" s="784"/>
      <c r="CG30" s="784"/>
      <c r="CH30" s="784"/>
      <c r="CI30" s="784"/>
      <c r="CJ30" s="784"/>
      <c r="CK30" s="784"/>
      <c r="CL30" s="784"/>
      <c r="CM30" s="784"/>
      <c r="CN30" s="784"/>
      <c r="CO30" s="784"/>
      <c r="CP30" s="784"/>
      <c r="CQ30" s="784"/>
      <c r="CR30" s="784"/>
      <c r="CS30" s="784"/>
      <c r="CT30" s="784"/>
      <c r="CU30" s="785"/>
      <c r="CV30" s="785"/>
      <c r="CW30" s="785"/>
      <c r="CX30" s="779"/>
      <c r="CY30" s="779"/>
      <c r="CZ30" s="785"/>
      <c r="DA30" s="785"/>
      <c r="DB30" s="785"/>
      <c r="DC30" s="785"/>
      <c r="DD30" s="785"/>
      <c r="DE30" s="551"/>
      <c r="DF30" s="551"/>
      <c r="DG30" s="784"/>
      <c r="DH30" s="784"/>
      <c r="DI30" s="784"/>
      <c r="DJ30" s="441"/>
      <c r="DK30" s="441"/>
      <c r="DL30" s="441"/>
      <c r="DM30" s="441"/>
      <c r="DN30" s="441"/>
      <c r="DO30" s="441"/>
      <c r="DP30" s="441"/>
      <c r="DQ30" s="441"/>
      <c r="DR30" s="441"/>
      <c r="DS30" s="441"/>
      <c r="DT30" s="441"/>
      <c r="DU30" s="441"/>
      <c r="DV30" s="441"/>
      <c r="DW30" s="441"/>
      <c r="DX30" s="441"/>
      <c r="DY30" s="441"/>
      <c r="DZ30" s="441"/>
      <c r="EA30" s="441"/>
      <c r="EB30" s="783"/>
      <c r="EC30" s="441"/>
      <c r="ED30" s="441"/>
      <c r="EE30" s="441"/>
      <c r="EF30" s="441"/>
      <c r="EG30" s="441"/>
      <c r="EH30" s="441"/>
      <c r="EI30" s="441"/>
      <c r="EJ30" s="441"/>
      <c r="EK30" s="441"/>
      <c r="EL30" s="441"/>
      <c r="EM30" s="441"/>
      <c r="EN30" s="441"/>
      <c r="EO30" s="441"/>
      <c r="EP30" s="441"/>
      <c r="EQ30" s="441"/>
      <c r="ER30" s="441"/>
      <c r="ES30" s="441"/>
      <c r="ET30" s="441"/>
      <c r="EU30" s="441"/>
      <c r="EV30" s="441"/>
      <c r="EW30" s="441"/>
      <c r="EX30" s="441"/>
      <c r="EY30" s="441"/>
      <c r="EZ30" s="441"/>
      <c r="FA30" s="441"/>
      <c r="FB30" s="441"/>
      <c r="FC30" s="441"/>
      <c r="FD30" s="441"/>
      <c r="FE30" s="441"/>
      <c r="FF30" s="441"/>
      <c r="FG30" s="441"/>
      <c r="FH30" s="441"/>
      <c r="FI30" s="441"/>
      <c r="FJ30" s="781"/>
      <c r="FK30" s="781"/>
      <c r="FL30" s="781"/>
      <c r="FM30" s="781"/>
      <c r="FN30" s="781"/>
      <c r="FO30" s="781"/>
      <c r="FP30" s="781"/>
      <c r="FQ30" s="781"/>
      <c r="FR30" s="781"/>
      <c r="FS30" s="781"/>
      <c r="FT30" s="781"/>
      <c r="FU30" s="781"/>
      <c r="FV30" s="781"/>
      <c r="FW30" s="781"/>
      <c r="FX30" s="781"/>
      <c r="FY30" s="781"/>
      <c r="FZ30" s="781"/>
      <c r="GA30" s="781"/>
      <c r="GB30" s="781"/>
      <c r="GC30" s="781"/>
      <c r="GD30" s="781"/>
      <c r="GE30" s="781"/>
      <c r="GF30" s="781"/>
      <c r="GG30" s="781"/>
      <c r="GH30" s="781"/>
      <c r="GI30" s="781"/>
      <c r="GJ30" s="781"/>
      <c r="GK30" s="781"/>
      <c r="GL30" s="1335"/>
    </row>
    <row r="31" spans="1:194" ht="18.899999999999999" hidden="1" customHeight="1">
      <c r="A31" s="1372"/>
      <c r="B31" s="1333"/>
      <c r="C31" s="549"/>
      <c r="D31" s="548"/>
      <c r="E31" s="548"/>
      <c r="F31" s="548"/>
      <c r="G31" s="548"/>
      <c r="H31" s="548"/>
      <c r="I31" s="548"/>
      <c r="J31" s="548"/>
      <c r="K31" s="548"/>
      <c r="L31" s="548"/>
      <c r="M31" s="548"/>
      <c r="N31" s="548"/>
      <c r="O31" s="548"/>
      <c r="P31" s="548"/>
      <c r="Q31" s="548"/>
      <c r="R31" s="548"/>
      <c r="S31" s="548"/>
      <c r="T31" s="439"/>
      <c r="U31" s="440"/>
      <c r="V31" s="507"/>
      <c r="W31" s="440"/>
      <c r="X31" s="441"/>
      <c r="Y31" s="778"/>
      <c r="Z31" s="778"/>
      <c r="AA31" s="784"/>
      <c r="AB31" s="784"/>
      <c r="AC31" s="784"/>
      <c r="AD31" s="784"/>
      <c r="AE31" s="784"/>
      <c r="AF31" s="779"/>
      <c r="AG31" s="784"/>
      <c r="AH31" s="784"/>
      <c r="AI31" s="784"/>
      <c r="AJ31" s="784"/>
      <c r="AK31" s="784"/>
      <c r="AL31" s="784"/>
      <c r="AM31" s="784"/>
      <c r="AN31" s="784"/>
      <c r="AO31" s="784"/>
      <c r="AP31" s="784"/>
      <c r="AQ31" s="784"/>
      <c r="AR31" s="784"/>
      <c r="AS31" s="784"/>
      <c r="AT31" s="784"/>
      <c r="AU31" s="784"/>
      <c r="AV31" s="784"/>
      <c r="AW31" s="784"/>
      <c r="AX31" s="784"/>
      <c r="AY31" s="784"/>
      <c r="AZ31" s="784"/>
      <c r="BA31" s="784"/>
      <c r="BB31" s="784"/>
      <c r="BC31" s="784"/>
      <c r="BD31" s="784"/>
      <c r="BE31" s="784"/>
      <c r="BF31" s="784"/>
      <c r="BG31" s="784"/>
      <c r="BH31" s="784"/>
      <c r="BI31" s="784"/>
      <c r="BJ31" s="784"/>
      <c r="BK31" s="784"/>
      <c r="BL31" s="784"/>
      <c r="BM31" s="784"/>
      <c r="BN31" s="784"/>
      <c r="BO31" s="784"/>
      <c r="BP31" s="784"/>
      <c r="BQ31" s="784"/>
      <c r="BR31" s="784"/>
      <c r="BS31" s="784"/>
      <c r="BT31" s="551"/>
      <c r="BU31" s="779"/>
      <c r="BV31" s="785"/>
      <c r="BW31" s="785"/>
      <c r="BX31" s="785"/>
      <c r="BY31" s="784"/>
      <c r="BZ31" s="784"/>
      <c r="CA31" s="784"/>
      <c r="CB31" s="784"/>
      <c r="CC31" s="784"/>
      <c r="CD31" s="784"/>
      <c r="CE31" s="784"/>
      <c r="CF31" s="784"/>
      <c r="CG31" s="784"/>
      <c r="CH31" s="784"/>
      <c r="CI31" s="784"/>
      <c r="CJ31" s="784"/>
      <c r="CK31" s="784"/>
      <c r="CL31" s="784"/>
      <c r="CM31" s="784"/>
      <c r="CN31" s="784"/>
      <c r="CO31" s="784"/>
      <c r="CP31" s="784"/>
      <c r="CQ31" s="784"/>
      <c r="CR31" s="784"/>
      <c r="CS31" s="784"/>
      <c r="CT31" s="784"/>
      <c r="CU31" s="785"/>
      <c r="CV31" s="785"/>
      <c r="CW31" s="785"/>
      <c r="CX31" s="779"/>
      <c r="CY31" s="779"/>
      <c r="CZ31" s="785"/>
      <c r="DA31" s="785"/>
      <c r="DB31" s="785"/>
      <c r="DC31" s="785"/>
      <c r="DD31" s="785"/>
      <c r="DE31" s="551"/>
      <c r="DF31" s="551"/>
      <c r="DG31" s="784"/>
      <c r="DH31" s="784"/>
      <c r="DI31" s="784"/>
      <c r="DJ31" s="441"/>
      <c r="DK31" s="441"/>
      <c r="DL31" s="441"/>
      <c r="DM31" s="441"/>
      <c r="DN31" s="441"/>
      <c r="DO31" s="441"/>
      <c r="DP31" s="441"/>
      <c r="DQ31" s="441"/>
      <c r="DR31" s="441"/>
      <c r="DS31" s="441"/>
      <c r="DT31" s="441"/>
      <c r="DU31" s="441"/>
      <c r="DV31" s="441"/>
      <c r="DW31" s="441"/>
      <c r="DX31" s="441"/>
      <c r="DY31" s="441"/>
      <c r="DZ31" s="441"/>
      <c r="EA31" s="441"/>
      <c r="EB31" s="783"/>
      <c r="EC31" s="441"/>
      <c r="ED31" s="441"/>
      <c r="EE31" s="441"/>
      <c r="EF31" s="441"/>
      <c r="EG31" s="441"/>
      <c r="EH31" s="441"/>
      <c r="EI31" s="441"/>
      <c r="EJ31" s="441"/>
      <c r="EK31" s="441"/>
      <c r="EL31" s="441"/>
      <c r="EM31" s="441"/>
      <c r="EN31" s="441"/>
      <c r="EO31" s="441"/>
      <c r="EP31" s="441"/>
      <c r="EQ31" s="441"/>
      <c r="ER31" s="441"/>
      <c r="ES31" s="441"/>
      <c r="ET31" s="441"/>
      <c r="EU31" s="441"/>
      <c r="EV31" s="441"/>
      <c r="EW31" s="441"/>
      <c r="EX31" s="441"/>
      <c r="EY31" s="441"/>
      <c r="EZ31" s="441"/>
      <c r="FA31" s="441"/>
      <c r="FB31" s="441"/>
      <c r="FC31" s="441"/>
      <c r="FD31" s="441"/>
      <c r="FE31" s="441"/>
      <c r="FF31" s="441"/>
      <c r="FG31" s="441"/>
      <c r="FH31" s="441"/>
      <c r="FI31" s="441"/>
      <c r="FJ31" s="781"/>
      <c r="FK31" s="781"/>
      <c r="FL31" s="781"/>
      <c r="FM31" s="781"/>
      <c r="FN31" s="781"/>
      <c r="FO31" s="781"/>
      <c r="FP31" s="781"/>
      <c r="FQ31" s="781"/>
      <c r="FR31" s="781"/>
      <c r="FS31" s="781"/>
      <c r="FT31" s="781"/>
      <c r="FU31" s="781"/>
      <c r="FV31" s="781"/>
      <c r="FW31" s="781"/>
      <c r="FX31" s="781"/>
      <c r="FY31" s="781"/>
      <c r="FZ31" s="781"/>
      <c r="GA31" s="781"/>
      <c r="GB31" s="781"/>
      <c r="GC31" s="781"/>
      <c r="GD31" s="781"/>
      <c r="GE31" s="781"/>
      <c r="GF31" s="781"/>
      <c r="GG31" s="781"/>
      <c r="GH31" s="781"/>
      <c r="GI31" s="781"/>
      <c r="GJ31" s="781"/>
      <c r="GK31" s="781"/>
      <c r="GL31" s="1335"/>
    </row>
    <row r="32" spans="1:194" ht="18.899999999999999" hidden="1" customHeight="1">
      <c r="A32" s="1372"/>
      <c r="B32" s="1333"/>
      <c r="C32" s="549"/>
      <c r="D32" s="548"/>
      <c r="E32" s="548"/>
      <c r="F32" s="548"/>
      <c r="G32" s="548"/>
      <c r="H32" s="548"/>
      <c r="I32" s="548"/>
      <c r="J32" s="548"/>
      <c r="K32" s="548"/>
      <c r="L32" s="548"/>
      <c r="M32" s="548"/>
      <c r="N32" s="548"/>
      <c r="O32" s="548"/>
      <c r="P32" s="548"/>
      <c r="Q32" s="548"/>
      <c r="R32" s="548"/>
      <c r="S32" s="548"/>
      <c r="T32" s="439"/>
      <c r="U32" s="440"/>
      <c r="V32" s="507"/>
      <c r="W32" s="440"/>
      <c r="X32" s="441"/>
      <c r="Y32" s="778"/>
      <c r="Z32" s="778"/>
      <c r="AA32" s="784"/>
      <c r="AB32" s="784"/>
      <c r="AC32" s="784"/>
      <c r="AD32" s="784"/>
      <c r="AE32" s="784"/>
      <c r="AF32" s="779"/>
      <c r="AG32" s="784"/>
      <c r="AH32" s="784"/>
      <c r="AI32" s="784"/>
      <c r="AJ32" s="784"/>
      <c r="AK32" s="784"/>
      <c r="AL32" s="784"/>
      <c r="AM32" s="784"/>
      <c r="AN32" s="784"/>
      <c r="AO32" s="784"/>
      <c r="AP32" s="784"/>
      <c r="AQ32" s="784"/>
      <c r="AR32" s="784"/>
      <c r="AS32" s="784"/>
      <c r="AT32" s="784"/>
      <c r="AU32" s="784"/>
      <c r="AV32" s="784"/>
      <c r="AW32" s="784"/>
      <c r="AX32" s="784"/>
      <c r="AY32" s="784"/>
      <c r="AZ32" s="784"/>
      <c r="BA32" s="784"/>
      <c r="BB32" s="784"/>
      <c r="BC32" s="784"/>
      <c r="BD32" s="784"/>
      <c r="BE32" s="784"/>
      <c r="BF32" s="784"/>
      <c r="BG32" s="784"/>
      <c r="BH32" s="784"/>
      <c r="BI32" s="784"/>
      <c r="BJ32" s="784"/>
      <c r="BK32" s="784"/>
      <c r="BL32" s="784"/>
      <c r="BM32" s="784"/>
      <c r="BN32" s="784"/>
      <c r="BO32" s="784"/>
      <c r="BP32" s="784"/>
      <c r="BQ32" s="784"/>
      <c r="BR32" s="784"/>
      <c r="BS32" s="784"/>
      <c r="BT32" s="551"/>
      <c r="BU32" s="779"/>
      <c r="BV32" s="785"/>
      <c r="BW32" s="785"/>
      <c r="BX32" s="785"/>
      <c r="BY32" s="784"/>
      <c r="BZ32" s="784"/>
      <c r="CA32" s="784"/>
      <c r="CB32" s="784"/>
      <c r="CC32" s="784"/>
      <c r="CD32" s="784"/>
      <c r="CE32" s="784"/>
      <c r="CF32" s="784"/>
      <c r="CG32" s="784"/>
      <c r="CH32" s="784"/>
      <c r="CI32" s="784"/>
      <c r="CJ32" s="784"/>
      <c r="CK32" s="784"/>
      <c r="CL32" s="784"/>
      <c r="CM32" s="784"/>
      <c r="CN32" s="784"/>
      <c r="CO32" s="784"/>
      <c r="CP32" s="784"/>
      <c r="CQ32" s="784"/>
      <c r="CR32" s="784"/>
      <c r="CS32" s="784"/>
      <c r="CT32" s="784"/>
      <c r="CU32" s="785"/>
      <c r="CV32" s="785"/>
      <c r="CW32" s="785"/>
      <c r="CX32" s="779"/>
      <c r="CY32" s="779"/>
      <c r="CZ32" s="785"/>
      <c r="DA32" s="785"/>
      <c r="DB32" s="785"/>
      <c r="DC32" s="785"/>
      <c r="DD32" s="785"/>
      <c r="DE32" s="551"/>
      <c r="DF32" s="551"/>
      <c r="DG32" s="784"/>
      <c r="DH32" s="784"/>
      <c r="DI32" s="784"/>
      <c r="DJ32" s="441"/>
      <c r="DK32" s="441"/>
      <c r="DL32" s="441"/>
      <c r="DM32" s="441"/>
      <c r="DN32" s="441"/>
      <c r="DO32" s="441"/>
      <c r="DP32" s="441"/>
      <c r="DQ32" s="441"/>
      <c r="DR32" s="441"/>
      <c r="DS32" s="441"/>
      <c r="DT32" s="441"/>
      <c r="DU32" s="441"/>
      <c r="DV32" s="441"/>
      <c r="DW32" s="441"/>
      <c r="DX32" s="441"/>
      <c r="DY32" s="441"/>
      <c r="DZ32" s="441"/>
      <c r="EA32" s="441"/>
      <c r="EB32" s="783"/>
      <c r="EC32" s="441"/>
      <c r="ED32" s="441"/>
      <c r="EE32" s="441"/>
      <c r="EF32" s="441"/>
      <c r="EG32" s="441"/>
      <c r="EH32" s="441"/>
      <c r="EI32" s="441"/>
      <c r="EJ32" s="441"/>
      <c r="EK32" s="441"/>
      <c r="EL32" s="441"/>
      <c r="EM32" s="441"/>
      <c r="EN32" s="441"/>
      <c r="EO32" s="441"/>
      <c r="EP32" s="441"/>
      <c r="EQ32" s="441"/>
      <c r="ER32" s="441"/>
      <c r="ES32" s="441"/>
      <c r="ET32" s="441"/>
      <c r="EU32" s="441"/>
      <c r="EV32" s="441"/>
      <c r="EW32" s="441"/>
      <c r="EX32" s="441"/>
      <c r="EY32" s="441"/>
      <c r="EZ32" s="441"/>
      <c r="FA32" s="441"/>
      <c r="FB32" s="441"/>
      <c r="FC32" s="441"/>
      <c r="FD32" s="441"/>
      <c r="FE32" s="441"/>
      <c r="FF32" s="441"/>
      <c r="FG32" s="441"/>
      <c r="FH32" s="441"/>
      <c r="FI32" s="441"/>
      <c r="FJ32" s="781"/>
      <c r="FK32" s="781"/>
      <c r="FL32" s="781"/>
      <c r="FM32" s="781"/>
      <c r="FN32" s="781"/>
      <c r="FO32" s="781"/>
      <c r="FP32" s="781"/>
      <c r="FQ32" s="781"/>
      <c r="FR32" s="781"/>
      <c r="FS32" s="781"/>
      <c r="FT32" s="781"/>
      <c r="FU32" s="781"/>
      <c r="FV32" s="781"/>
      <c r="FW32" s="781"/>
      <c r="FX32" s="781"/>
      <c r="FY32" s="781"/>
      <c r="FZ32" s="781"/>
      <c r="GA32" s="781"/>
      <c r="GB32" s="781"/>
      <c r="GC32" s="781"/>
      <c r="GD32" s="781"/>
      <c r="GE32" s="781"/>
      <c r="GF32" s="781"/>
      <c r="GG32" s="781"/>
      <c r="GH32" s="781"/>
      <c r="GI32" s="781"/>
      <c r="GJ32" s="781"/>
      <c r="GK32" s="781"/>
      <c r="GL32" s="1335"/>
    </row>
    <row r="33" spans="1:194" ht="18.899999999999999" hidden="1" customHeight="1">
      <c r="A33" s="1372"/>
      <c r="B33" s="1333"/>
      <c r="C33" s="549"/>
      <c r="D33" s="548"/>
      <c r="E33" s="548"/>
      <c r="F33" s="548"/>
      <c r="G33" s="548"/>
      <c r="H33" s="548"/>
      <c r="I33" s="548"/>
      <c r="J33" s="548"/>
      <c r="K33" s="548"/>
      <c r="L33" s="548"/>
      <c r="M33" s="548"/>
      <c r="N33" s="548"/>
      <c r="O33" s="548"/>
      <c r="P33" s="548"/>
      <c r="Q33" s="548"/>
      <c r="R33" s="548"/>
      <c r="S33" s="548"/>
      <c r="T33" s="439"/>
      <c r="U33" s="440"/>
      <c r="V33" s="507"/>
      <c r="W33" s="440"/>
      <c r="X33" s="441"/>
      <c r="Y33" s="778"/>
      <c r="Z33" s="778"/>
      <c r="AA33" s="784"/>
      <c r="AB33" s="784"/>
      <c r="AC33" s="784"/>
      <c r="AD33" s="784"/>
      <c r="AE33" s="784"/>
      <c r="AF33" s="779"/>
      <c r="AG33" s="784"/>
      <c r="AH33" s="784"/>
      <c r="AI33" s="784"/>
      <c r="AJ33" s="784"/>
      <c r="AK33" s="784"/>
      <c r="AL33" s="784"/>
      <c r="AM33" s="784"/>
      <c r="AN33" s="784"/>
      <c r="AO33" s="784"/>
      <c r="AP33" s="784"/>
      <c r="AQ33" s="784"/>
      <c r="AR33" s="784"/>
      <c r="AS33" s="784"/>
      <c r="AT33" s="784"/>
      <c r="AU33" s="784"/>
      <c r="AV33" s="784"/>
      <c r="AW33" s="784"/>
      <c r="AX33" s="784"/>
      <c r="AY33" s="784"/>
      <c r="AZ33" s="784"/>
      <c r="BA33" s="784"/>
      <c r="BB33" s="784"/>
      <c r="BC33" s="784"/>
      <c r="BD33" s="784"/>
      <c r="BE33" s="784"/>
      <c r="BF33" s="784"/>
      <c r="BG33" s="784"/>
      <c r="BH33" s="784"/>
      <c r="BI33" s="784"/>
      <c r="BJ33" s="784"/>
      <c r="BK33" s="784"/>
      <c r="BL33" s="784"/>
      <c r="BM33" s="784"/>
      <c r="BN33" s="784"/>
      <c r="BO33" s="784"/>
      <c r="BP33" s="784"/>
      <c r="BQ33" s="784"/>
      <c r="BR33" s="784"/>
      <c r="BS33" s="784"/>
      <c r="BT33" s="551"/>
      <c r="BU33" s="779"/>
      <c r="BV33" s="785"/>
      <c r="BW33" s="785"/>
      <c r="BX33" s="785"/>
      <c r="BY33" s="784"/>
      <c r="BZ33" s="784"/>
      <c r="CA33" s="784"/>
      <c r="CB33" s="784"/>
      <c r="CC33" s="784"/>
      <c r="CD33" s="784"/>
      <c r="CE33" s="784"/>
      <c r="CF33" s="784"/>
      <c r="CG33" s="784"/>
      <c r="CH33" s="784"/>
      <c r="CI33" s="784"/>
      <c r="CJ33" s="784"/>
      <c r="CK33" s="784"/>
      <c r="CL33" s="784"/>
      <c r="CM33" s="784"/>
      <c r="CN33" s="784"/>
      <c r="CO33" s="784"/>
      <c r="CP33" s="784"/>
      <c r="CQ33" s="784"/>
      <c r="CR33" s="784"/>
      <c r="CS33" s="784"/>
      <c r="CT33" s="784"/>
      <c r="CU33" s="785"/>
      <c r="CV33" s="785"/>
      <c r="CW33" s="785"/>
      <c r="CX33" s="779"/>
      <c r="CY33" s="779"/>
      <c r="CZ33" s="785"/>
      <c r="DA33" s="785"/>
      <c r="DB33" s="785"/>
      <c r="DC33" s="785"/>
      <c r="DD33" s="785"/>
      <c r="DE33" s="551"/>
      <c r="DF33" s="551"/>
      <c r="DG33" s="784"/>
      <c r="DH33" s="784"/>
      <c r="DI33" s="784"/>
      <c r="DJ33" s="441"/>
      <c r="DK33" s="441"/>
      <c r="DL33" s="441"/>
      <c r="DM33" s="441"/>
      <c r="DN33" s="441"/>
      <c r="DO33" s="441"/>
      <c r="DP33" s="441"/>
      <c r="DQ33" s="441"/>
      <c r="DR33" s="441"/>
      <c r="DS33" s="441"/>
      <c r="DT33" s="441"/>
      <c r="DU33" s="441"/>
      <c r="DV33" s="441"/>
      <c r="DW33" s="441"/>
      <c r="DX33" s="441"/>
      <c r="DY33" s="441"/>
      <c r="DZ33" s="441"/>
      <c r="EA33" s="441"/>
      <c r="EB33" s="783"/>
      <c r="EC33" s="441"/>
      <c r="ED33" s="441"/>
      <c r="EE33" s="441"/>
      <c r="EF33" s="441"/>
      <c r="EG33" s="441"/>
      <c r="EH33" s="441"/>
      <c r="EI33" s="441"/>
      <c r="EJ33" s="441"/>
      <c r="EK33" s="441"/>
      <c r="EL33" s="441"/>
      <c r="EM33" s="441"/>
      <c r="EN33" s="441"/>
      <c r="EO33" s="441"/>
      <c r="EP33" s="441"/>
      <c r="EQ33" s="441"/>
      <c r="ER33" s="441"/>
      <c r="ES33" s="441"/>
      <c r="ET33" s="441"/>
      <c r="EU33" s="441"/>
      <c r="EV33" s="441"/>
      <c r="EW33" s="441"/>
      <c r="EX33" s="441"/>
      <c r="EY33" s="441"/>
      <c r="EZ33" s="441"/>
      <c r="FA33" s="441"/>
      <c r="FB33" s="441"/>
      <c r="FC33" s="441"/>
      <c r="FD33" s="441"/>
      <c r="FE33" s="441"/>
      <c r="FF33" s="441"/>
      <c r="FG33" s="441"/>
      <c r="FH33" s="441"/>
      <c r="FI33" s="441"/>
      <c r="FJ33" s="781"/>
      <c r="FK33" s="781"/>
      <c r="FL33" s="781"/>
      <c r="FM33" s="781"/>
      <c r="FN33" s="781"/>
      <c r="FO33" s="781"/>
      <c r="FP33" s="781"/>
      <c r="FQ33" s="781"/>
      <c r="FR33" s="781"/>
      <c r="FS33" s="781"/>
      <c r="FT33" s="781"/>
      <c r="FU33" s="781"/>
      <c r="FV33" s="781"/>
      <c r="FW33" s="781"/>
      <c r="FX33" s="781"/>
      <c r="FY33" s="781"/>
      <c r="FZ33" s="781"/>
      <c r="GA33" s="781"/>
      <c r="GB33" s="781"/>
      <c r="GC33" s="781"/>
      <c r="GD33" s="781"/>
      <c r="GE33" s="781"/>
      <c r="GF33" s="781"/>
      <c r="GG33" s="781"/>
      <c r="GH33" s="781"/>
      <c r="GI33" s="781"/>
      <c r="GJ33" s="781"/>
      <c r="GK33" s="781"/>
      <c r="GL33" s="1335"/>
    </row>
    <row r="34" spans="1:194" ht="18.899999999999999" hidden="1" customHeight="1">
      <c r="A34" s="1372"/>
      <c r="B34" s="1333"/>
      <c r="C34" s="549"/>
      <c r="D34" s="548"/>
      <c r="E34" s="548"/>
      <c r="F34" s="548"/>
      <c r="G34" s="548"/>
      <c r="H34" s="548"/>
      <c r="I34" s="548"/>
      <c r="J34" s="548"/>
      <c r="K34" s="548"/>
      <c r="L34" s="548"/>
      <c r="M34" s="548"/>
      <c r="N34" s="548"/>
      <c r="O34" s="548"/>
      <c r="P34" s="548"/>
      <c r="Q34" s="548"/>
      <c r="R34" s="548"/>
      <c r="S34" s="548"/>
      <c r="T34" s="439"/>
      <c r="U34" s="440"/>
      <c r="V34" s="507"/>
      <c r="W34" s="440"/>
      <c r="X34" s="441"/>
      <c r="Y34" s="778"/>
      <c r="Z34" s="778"/>
      <c r="AA34" s="784"/>
      <c r="AB34" s="784"/>
      <c r="AC34" s="784"/>
      <c r="AD34" s="784"/>
      <c r="AE34" s="784"/>
      <c r="AF34" s="779"/>
      <c r="AG34" s="784"/>
      <c r="AH34" s="784"/>
      <c r="AI34" s="784"/>
      <c r="AJ34" s="784"/>
      <c r="AK34" s="784"/>
      <c r="AL34" s="784"/>
      <c r="AM34" s="784"/>
      <c r="AN34" s="784"/>
      <c r="AO34" s="784"/>
      <c r="AP34" s="784"/>
      <c r="AQ34" s="784"/>
      <c r="AR34" s="784"/>
      <c r="AS34" s="784"/>
      <c r="AT34" s="784"/>
      <c r="AU34" s="784"/>
      <c r="AV34" s="784"/>
      <c r="AW34" s="784"/>
      <c r="AX34" s="784"/>
      <c r="AY34" s="784"/>
      <c r="AZ34" s="784"/>
      <c r="BA34" s="784"/>
      <c r="BB34" s="784"/>
      <c r="BC34" s="784"/>
      <c r="BD34" s="784"/>
      <c r="BE34" s="784"/>
      <c r="BF34" s="784"/>
      <c r="BG34" s="784"/>
      <c r="BH34" s="784"/>
      <c r="BI34" s="784"/>
      <c r="BJ34" s="784"/>
      <c r="BK34" s="784"/>
      <c r="BL34" s="784"/>
      <c r="BM34" s="784"/>
      <c r="BN34" s="784"/>
      <c r="BO34" s="784"/>
      <c r="BP34" s="784"/>
      <c r="BQ34" s="784"/>
      <c r="BR34" s="784"/>
      <c r="BS34" s="784"/>
      <c r="BT34" s="551"/>
      <c r="BU34" s="779"/>
      <c r="BV34" s="785"/>
      <c r="BW34" s="785"/>
      <c r="BX34" s="785"/>
      <c r="BY34" s="784"/>
      <c r="BZ34" s="784"/>
      <c r="CA34" s="784"/>
      <c r="CB34" s="784"/>
      <c r="CC34" s="784"/>
      <c r="CD34" s="784"/>
      <c r="CE34" s="784"/>
      <c r="CF34" s="784"/>
      <c r="CG34" s="784"/>
      <c r="CH34" s="784"/>
      <c r="CI34" s="784"/>
      <c r="CJ34" s="784"/>
      <c r="CK34" s="784"/>
      <c r="CL34" s="784"/>
      <c r="CM34" s="784"/>
      <c r="CN34" s="784"/>
      <c r="CO34" s="784"/>
      <c r="CP34" s="784"/>
      <c r="CQ34" s="784"/>
      <c r="CR34" s="784"/>
      <c r="CS34" s="784"/>
      <c r="CT34" s="784"/>
      <c r="CU34" s="785"/>
      <c r="CV34" s="785"/>
      <c r="CW34" s="785"/>
      <c r="CX34" s="779"/>
      <c r="CY34" s="779"/>
      <c r="CZ34" s="785"/>
      <c r="DA34" s="785"/>
      <c r="DB34" s="785"/>
      <c r="DC34" s="785"/>
      <c r="DD34" s="785"/>
      <c r="DE34" s="551"/>
      <c r="DF34" s="551"/>
      <c r="DG34" s="784"/>
      <c r="DH34" s="784"/>
      <c r="DI34" s="784"/>
      <c r="DJ34" s="441"/>
      <c r="DK34" s="441"/>
      <c r="DL34" s="441"/>
      <c r="DM34" s="441"/>
      <c r="DN34" s="441"/>
      <c r="DO34" s="441"/>
      <c r="DP34" s="441"/>
      <c r="DQ34" s="441"/>
      <c r="DR34" s="441"/>
      <c r="DS34" s="441"/>
      <c r="DT34" s="441"/>
      <c r="DU34" s="441"/>
      <c r="DV34" s="441"/>
      <c r="DW34" s="441"/>
      <c r="DX34" s="441"/>
      <c r="DY34" s="441"/>
      <c r="DZ34" s="441"/>
      <c r="EA34" s="441"/>
      <c r="EB34" s="783"/>
      <c r="EC34" s="441"/>
      <c r="ED34" s="441"/>
      <c r="EE34" s="441"/>
      <c r="EF34" s="441"/>
      <c r="EG34" s="441"/>
      <c r="EH34" s="441"/>
      <c r="EI34" s="441"/>
      <c r="EJ34" s="441"/>
      <c r="EK34" s="441"/>
      <c r="EL34" s="441"/>
      <c r="EM34" s="441"/>
      <c r="EN34" s="441"/>
      <c r="EO34" s="441"/>
      <c r="EP34" s="441"/>
      <c r="EQ34" s="441"/>
      <c r="ER34" s="441"/>
      <c r="ES34" s="441"/>
      <c r="ET34" s="441"/>
      <c r="EU34" s="441"/>
      <c r="EV34" s="441"/>
      <c r="EW34" s="441"/>
      <c r="EX34" s="441"/>
      <c r="EY34" s="441"/>
      <c r="EZ34" s="441"/>
      <c r="FA34" s="441"/>
      <c r="FB34" s="441"/>
      <c r="FC34" s="441"/>
      <c r="FD34" s="441"/>
      <c r="FE34" s="441"/>
      <c r="FF34" s="441"/>
      <c r="FG34" s="441"/>
      <c r="FH34" s="441"/>
      <c r="FI34" s="441"/>
      <c r="FJ34" s="781"/>
      <c r="FK34" s="781"/>
      <c r="FL34" s="781"/>
      <c r="FM34" s="781"/>
      <c r="FN34" s="781"/>
      <c r="FO34" s="781"/>
      <c r="FP34" s="781"/>
      <c r="FQ34" s="781"/>
      <c r="FR34" s="781"/>
      <c r="FS34" s="781"/>
      <c r="FT34" s="781"/>
      <c r="FU34" s="781"/>
      <c r="FV34" s="781"/>
      <c r="FW34" s="781"/>
      <c r="FX34" s="781"/>
      <c r="FY34" s="781"/>
      <c r="FZ34" s="781"/>
      <c r="GA34" s="781"/>
      <c r="GB34" s="781"/>
      <c r="GC34" s="781"/>
      <c r="GD34" s="781"/>
      <c r="GE34" s="781"/>
      <c r="GF34" s="781"/>
      <c r="GG34" s="781"/>
      <c r="GH34" s="781"/>
      <c r="GI34" s="781"/>
      <c r="GJ34" s="781"/>
      <c r="GK34" s="781"/>
      <c r="GL34" s="1335"/>
    </row>
    <row r="35" spans="1:194" ht="18.899999999999999" hidden="1" customHeight="1">
      <c r="A35" s="1372"/>
      <c r="B35" s="1333"/>
      <c r="C35" s="549"/>
      <c r="D35" s="548"/>
      <c r="E35" s="548"/>
      <c r="F35" s="548"/>
      <c r="G35" s="548"/>
      <c r="H35" s="548"/>
      <c r="I35" s="548"/>
      <c r="J35" s="548"/>
      <c r="K35" s="548"/>
      <c r="L35" s="548"/>
      <c r="M35" s="548"/>
      <c r="N35" s="548"/>
      <c r="O35" s="548"/>
      <c r="P35" s="548"/>
      <c r="Q35" s="548"/>
      <c r="R35" s="548"/>
      <c r="S35" s="548"/>
      <c r="T35" s="439"/>
      <c r="U35" s="440"/>
      <c r="V35" s="507"/>
      <c r="W35" s="440"/>
      <c r="X35" s="441"/>
      <c r="Y35" s="778"/>
      <c r="Z35" s="778"/>
      <c r="AA35" s="784"/>
      <c r="AB35" s="784"/>
      <c r="AC35" s="784"/>
      <c r="AD35" s="784"/>
      <c r="AE35" s="784"/>
      <c r="AF35" s="779"/>
      <c r="AG35" s="784"/>
      <c r="AH35" s="784"/>
      <c r="AI35" s="784"/>
      <c r="AJ35" s="784"/>
      <c r="AK35" s="784"/>
      <c r="AL35" s="784"/>
      <c r="AM35" s="784"/>
      <c r="AN35" s="784"/>
      <c r="AO35" s="784"/>
      <c r="AP35" s="784"/>
      <c r="AQ35" s="784"/>
      <c r="AR35" s="784"/>
      <c r="AS35" s="784"/>
      <c r="AT35" s="784"/>
      <c r="AU35" s="784"/>
      <c r="AV35" s="784"/>
      <c r="AW35" s="784"/>
      <c r="AX35" s="784"/>
      <c r="AY35" s="784"/>
      <c r="AZ35" s="784"/>
      <c r="BA35" s="784"/>
      <c r="BB35" s="784"/>
      <c r="BC35" s="784"/>
      <c r="BD35" s="784"/>
      <c r="BE35" s="784"/>
      <c r="BF35" s="784"/>
      <c r="BG35" s="784"/>
      <c r="BH35" s="784"/>
      <c r="BI35" s="784"/>
      <c r="BJ35" s="784"/>
      <c r="BK35" s="784"/>
      <c r="BL35" s="784"/>
      <c r="BM35" s="784"/>
      <c r="BN35" s="784"/>
      <c r="BO35" s="784"/>
      <c r="BP35" s="784"/>
      <c r="BQ35" s="784"/>
      <c r="BR35" s="784"/>
      <c r="BS35" s="784"/>
      <c r="BT35" s="551"/>
      <c r="BU35" s="779"/>
      <c r="BV35" s="785"/>
      <c r="BW35" s="785"/>
      <c r="BX35" s="785"/>
      <c r="BY35" s="784"/>
      <c r="BZ35" s="784"/>
      <c r="CA35" s="784"/>
      <c r="CB35" s="784"/>
      <c r="CC35" s="784"/>
      <c r="CD35" s="784"/>
      <c r="CE35" s="784"/>
      <c r="CF35" s="784"/>
      <c r="CG35" s="784"/>
      <c r="CH35" s="784"/>
      <c r="CI35" s="784"/>
      <c r="CJ35" s="784"/>
      <c r="CK35" s="784"/>
      <c r="CL35" s="784"/>
      <c r="CM35" s="784"/>
      <c r="CN35" s="784"/>
      <c r="CO35" s="784"/>
      <c r="CP35" s="784"/>
      <c r="CQ35" s="784"/>
      <c r="CR35" s="784"/>
      <c r="CS35" s="784"/>
      <c r="CT35" s="784"/>
      <c r="CU35" s="785"/>
      <c r="CV35" s="785"/>
      <c r="CW35" s="785"/>
      <c r="CX35" s="779"/>
      <c r="CY35" s="779"/>
      <c r="CZ35" s="785"/>
      <c r="DA35" s="785"/>
      <c r="DB35" s="785"/>
      <c r="DC35" s="785"/>
      <c r="DD35" s="785"/>
      <c r="DE35" s="551"/>
      <c r="DF35" s="551"/>
      <c r="DG35" s="784"/>
      <c r="DH35" s="784"/>
      <c r="DI35" s="784"/>
      <c r="DJ35" s="441"/>
      <c r="DK35" s="441"/>
      <c r="DL35" s="441"/>
      <c r="DM35" s="441"/>
      <c r="DN35" s="441"/>
      <c r="DO35" s="441"/>
      <c r="DP35" s="441"/>
      <c r="DQ35" s="441"/>
      <c r="DR35" s="441"/>
      <c r="DS35" s="441"/>
      <c r="DT35" s="441"/>
      <c r="DU35" s="441"/>
      <c r="DV35" s="441"/>
      <c r="DW35" s="441"/>
      <c r="DX35" s="441"/>
      <c r="DY35" s="441"/>
      <c r="DZ35" s="441"/>
      <c r="EA35" s="441"/>
      <c r="EB35" s="783"/>
      <c r="EC35" s="441"/>
      <c r="ED35" s="441"/>
      <c r="EE35" s="441"/>
      <c r="EF35" s="441"/>
      <c r="EG35" s="441"/>
      <c r="EH35" s="441"/>
      <c r="EI35" s="441"/>
      <c r="EJ35" s="441"/>
      <c r="EK35" s="441"/>
      <c r="EL35" s="441"/>
      <c r="EM35" s="441"/>
      <c r="EN35" s="441"/>
      <c r="EO35" s="441"/>
      <c r="EP35" s="441"/>
      <c r="EQ35" s="441"/>
      <c r="ER35" s="441"/>
      <c r="ES35" s="441"/>
      <c r="ET35" s="441"/>
      <c r="EU35" s="441"/>
      <c r="EV35" s="441"/>
      <c r="EW35" s="441"/>
      <c r="EX35" s="441"/>
      <c r="EY35" s="441"/>
      <c r="EZ35" s="441"/>
      <c r="FA35" s="441"/>
      <c r="FB35" s="441"/>
      <c r="FC35" s="441"/>
      <c r="FD35" s="441"/>
      <c r="FE35" s="441"/>
      <c r="FF35" s="441"/>
      <c r="FG35" s="441"/>
      <c r="FH35" s="441"/>
      <c r="FI35" s="441"/>
      <c r="FJ35" s="781"/>
      <c r="FK35" s="781"/>
      <c r="FL35" s="781"/>
      <c r="FM35" s="781"/>
      <c r="FN35" s="781"/>
      <c r="FO35" s="781"/>
      <c r="FP35" s="781"/>
      <c r="FQ35" s="781"/>
      <c r="FR35" s="781"/>
      <c r="FS35" s="781"/>
      <c r="FT35" s="781"/>
      <c r="FU35" s="781"/>
      <c r="FV35" s="781"/>
      <c r="FW35" s="781"/>
      <c r="FX35" s="781"/>
      <c r="FY35" s="781"/>
      <c r="FZ35" s="781"/>
      <c r="GA35" s="781"/>
      <c r="GB35" s="781"/>
      <c r="GC35" s="781"/>
      <c r="GD35" s="781"/>
      <c r="GE35" s="781"/>
      <c r="GF35" s="781"/>
      <c r="GG35" s="781"/>
      <c r="GH35" s="781"/>
      <c r="GI35" s="781"/>
      <c r="GJ35" s="781"/>
      <c r="GK35" s="781"/>
      <c r="GL35" s="1335"/>
    </row>
    <row r="36" spans="1:194" ht="18.899999999999999" hidden="1" customHeight="1">
      <c r="A36" s="1372"/>
      <c r="B36" s="1333"/>
      <c r="C36" s="549"/>
      <c r="D36" s="548"/>
      <c r="E36" s="548"/>
      <c r="F36" s="548"/>
      <c r="G36" s="548"/>
      <c r="H36" s="548"/>
      <c r="I36" s="548"/>
      <c r="J36" s="548"/>
      <c r="K36" s="548"/>
      <c r="L36" s="548"/>
      <c r="M36" s="548"/>
      <c r="N36" s="548"/>
      <c r="O36" s="548"/>
      <c r="P36" s="548"/>
      <c r="Q36" s="548"/>
      <c r="R36" s="548"/>
      <c r="S36" s="548"/>
      <c r="T36" s="439"/>
      <c r="U36" s="440"/>
      <c r="V36" s="507"/>
      <c r="W36" s="440"/>
      <c r="X36" s="441"/>
      <c r="Y36" s="778"/>
      <c r="Z36" s="778"/>
      <c r="AA36" s="784"/>
      <c r="AB36" s="784"/>
      <c r="AC36" s="784"/>
      <c r="AD36" s="784"/>
      <c r="AE36" s="784"/>
      <c r="AF36" s="779"/>
      <c r="AG36" s="784"/>
      <c r="AH36" s="784"/>
      <c r="AI36" s="784"/>
      <c r="AJ36" s="784"/>
      <c r="AK36" s="784"/>
      <c r="AL36" s="784"/>
      <c r="AM36" s="784"/>
      <c r="AN36" s="784"/>
      <c r="AO36" s="784"/>
      <c r="AP36" s="784"/>
      <c r="AQ36" s="784"/>
      <c r="AR36" s="784"/>
      <c r="AS36" s="784"/>
      <c r="AT36" s="784"/>
      <c r="AU36" s="784"/>
      <c r="AV36" s="784"/>
      <c r="AW36" s="784"/>
      <c r="AX36" s="784"/>
      <c r="AY36" s="784"/>
      <c r="AZ36" s="784"/>
      <c r="BA36" s="784"/>
      <c r="BB36" s="784"/>
      <c r="BC36" s="784"/>
      <c r="BD36" s="784"/>
      <c r="BE36" s="784"/>
      <c r="BF36" s="784"/>
      <c r="BG36" s="784"/>
      <c r="BH36" s="784"/>
      <c r="BI36" s="784"/>
      <c r="BJ36" s="784"/>
      <c r="BK36" s="784"/>
      <c r="BL36" s="784"/>
      <c r="BM36" s="784"/>
      <c r="BN36" s="784"/>
      <c r="BO36" s="784"/>
      <c r="BP36" s="784"/>
      <c r="BQ36" s="784"/>
      <c r="BR36" s="784"/>
      <c r="BS36" s="784"/>
      <c r="BT36" s="551"/>
      <c r="BU36" s="779"/>
      <c r="BV36" s="785"/>
      <c r="BW36" s="785"/>
      <c r="BX36" s="785"/>
      <c r="BY36" s="784"/>
      <c r="BZ36" s="784"/>
      <c r="CA36" s="784"/>
      <c r="CB36" s="784"/>
      <c r="CC36" s="784"/>
      <c r="CD36" s="784"/>
      <c r="CE36" s="784"/>
      <c r="CF36" s="784"/>
      <c r="CG36" s="784"/>
      <c r="CH36" s="441"/>
      <c r="CI36" s="784"/>
      <c r="CJ36" s="784"/>
      <c r="CK36" s="784"/>
      <c r="CL36" s="784"/>
      <c r="CM36" s="784"/>
      <c r="CN36" s="784"/>
      <c r="CO36" s="784"/>
      <c r="CP36" s="784"/>
      <c r="CQ36" s="784"/>
      <c r="CR36" s="784"/>
      <c r="CS36" s="784"/>
      <c r="CT36" s="784"/>
      <c r="CU36" s="785"/>
      <c r="CV36" s="785"/>
      <c r="CW36" s="785"/>
      <c r="CX36" s="779"/>
      <c r="CY36" s="779"/>
      <c r="CZ36" s="785"/>
      <c r="DA36" s="785"/>
      <c r="DB36" s="785"/>
      <c r="DC36" s="785"/>
      <c r="DD36" s="785"/>
      <c r="DE36" s="551"/>
      <c r="DF36" s="551"/>
      <c r="DG36" s="784"/>
      <c r="DH36" s="784"/>
      <c r="DI36" s="784"/>
      <c r="DJ36" s="441"/>
      <c r="DK36" s="441"/>
      <c r="DL36" s="441"/>
      <c r="DM36" s="441"/>
      <c r="DN36" s="441"/>
      <c r="DO36" s="441"/>
      <c r="DP36" s="441"/>
      <c r="DQ36" s="441"/>
      <c r="DR36" s="441"/>
      <c r="DS36" s="441"/>
      <c r="DT36" s="441"/>
      <c r="DU36" s="441"/>
      <c r="DV36" s="441"/>
      <c r="DW36" s="441"/>
      <c r="DX36" s="441"/>
      <c r="DY36" s="441"/>
      <c r="DZ36" s="441"/>
      <c r="EA36" s="441"/>
      <c r="EB36" s="783"/>
      <c r="EC36" s="441"/>
      <c r="ED36" s="441"/>
      <c r="EE36" s="441"/>
      <c r="EF36" s="441"/>
      <c r="EG36" s="441"/>
      <c r="EH36" s="441"/>
      <c r="EI36" s="441"/>
      <c r="EJ36" s="441"/>
      <c r="EK36" s="441"/>
      <c r="EL36" s="441"/>
      <c r="EM36" s="441"/>
      <c r="EN36" s="441"/>
      <c r="EO36" s="441"/>
      <c r="EP36" s="441"/>
      <c r="EQ36" s="441"/>
      <c r="ER36" s="441"/>
      <c r="ES36" s="441"/>
      <c r="ET36" s="441"/>
      <c r="EU36" s="441"/>
      <c r="EV36" s="441"/>
      <c r="EW36" s="441"/>
      <c r="EX36" s="441"/>
      <c r="EY36" s="441"/>
      <c r="EZ36" s="441"/>
      <c r="FA36" s="441"/>
      <c r="FB36" s="441"/>
      <c r="FC36" s="441"/>
      <c r="FD36" s="441"/>
      <c r="FE36" s="441"/>
      <c r="FF36" s="441"/>
      <c r="FG36" s="441"/>
      <c r="FH36" s="441"/>
      <c r="FI36" s="441"/>
      <c r="FJ36" s="781"/>
      <c r="FK36" s="781"/>
      <c r="FL36" s="781"/>
      <c r="FM36" s="781"/>
      <c r="FN36" s="781"/>
      <c r="FO36" s="781"/>
      <c r="FP36" s="781"/>
      <c r="FQ36" s="781"/>
      <c r="FR36" s="781"/>
      <c r="FS36" s="781"/>
      <c r="FT36" s="781"/>
      <c r="FU36" s="781"/>
      <c r="FV36" s="781"/>
      <c r="FW36" s="781"/>
      <c r="FX36" s="781"/>
      <c r="FY36" s="781"/>
      <c r="FZ36" s="781"/>
      <c r="GA36" s="781"/>
      <c r="GB36" s="781"/>
      <c r="GC36" s="781"/>
      <c r="GD36" s="781"/>
      <c r="GE36" s="781"/>
      <c r="GF36" s="781"/>
      <c r="GG36" s="781"/>
      <c r="GH36" s="781"/>
      <c r="GI36" s="781"/>
      <c r="GJ36" s="781"/>
      <c r="GK36" s="781"/>
      <c r="GL36" s="1335"/>
    </row>
    <row r="37" spans="1:194" ht="18.899999999999999" hidden="1" customHeight="1">
      <c r="A37" s="1372"/>
      <c r="B37" s="1333"/>
      <c r="C37" s="549"/>
      <c r="D37" s="548"/>
      <c r="E37" s="548"/>
      <c r="F37" s="548"/>
      <c r="G37" s="548"/>
      <c r="H37" s="548"/>
      <c r="I37" s="548"/>
      <c r="J37" s="548"/>
      <c r="K37" s="548"/>
      <c r="L37" s="548"/>
      <c r="M37" s="548"/>
      <c r="N37" s="548"/>
      <c r="O37" s="548"/>
      <c r="P37" s="548"/>
      <c r="Q37" s="548"/>
      <c r="R37" s="548"/>
      <c r="S37" s="548"/>
      <c r="T37" s="439"/>
      <c r="U37" s="440"/>
      <c r="V37" s="507"/>
      <c r="W37" s="440"/>
      <c r="X37" s="441"/>
      <c r="Y37" s="778"/>
      <c r="Z37" s="778"/>
      <c r="AA37" s="784"/>
      <c r="AB37" s="784"/>
      <c r="AC37" s="784"/>
      <c r="AD37" s="784"/>
      <c r="AE37" s="784"/>
      <c r="AF37" s="779"/>
      <c r="AG37" s="784"/>
      <c r="AH37" s="784"/>
      <c r="AI37" s="784"/>
      <c r="AJ37" s="784"/>
      <c r="AK37" s="784"/>
      <c r="AL37" s="784"/>
      <c r="AM37" s="784"/>
      <c r="AN37" s="784"/>
      <c r="AO37" s="784"/>
      <c r="AP37" s="784"/>
      <c r="AQ37" s="784"/>
      <c r="AR37" s="784"/>
      <c r="AS37" s="784"/>
      <c r="AT37" s="784"/>
      <c r="AU37" s="784"/>
      <c r="AV37" s="784"/>
      <c r="AW37" s="784"/>
      <c r="AX37" s="784"/>
      <c r="AY37" s="784"/>
      <c r="AZ37" s="784"/>
      <c r="BA37" s="784"/>
      <c r="BB37" s="784"/>
      <c r="BC37" s="784"/>
      <c r="BD37" s="784"/>
      <c r="BE37" s="784"/>
      <c r="BF37" s="784"/>
      <c r="BG37" s="784"/>
      <c r="BH37" s="784"/>
      <c r="BI37" s="784"/>
      <c r="BJ37" s="784"/>
      <c r="BK37" s="784"/>
      <c r="BL37" s="784"/>
      <c r="BM37" s="784"/>
      <c r="BN37" s="784"/>
      <c r="BO37" s="784"/>
      <c r="BP37" s="784"/>
      <c r="BQ37" s="784"/>
      <c r="BR37" s="784"/>
      <c r="BS37" s="784"/>
      <c r="BT37" s="551"/>
      <c r="BU37" s="779"/>
      <c r="BV37" s="785"/>
      <c r="BW37" s="785"/>
      <c r="BX37" s="785"/>
      <c r="BY37" s="784"/>
      <c r="BZ37" s="784"/>
      <c r="CA37" s="784"/>
      <c r="CB37" s="784"/>
      <c r="CC37" s="784"/>
      <c r="CD37" s="784"/>
      <c r="CE37" s="784"/>
      <c r="CF37" s="784"/>
      <c r="CG37" s="784"/>
      <c r="CH37" s="784"/>
      <c r="CI37" s="784"/>
      <c r="CJ37" s="784"/>
      <c r="CK37" s="784"/>
      <c r="CL37" s="784"/>
      <c r="CM37" s="784"/>
      <c r="CN37" s="784"/>
      <c r="CO37" s="784"/>
      <c r="CP37" s="784"/>
      <c r="CQ37" s="784"/>
      <c r="CR37" s="784"/>
      <c r="CS37" s="784"/>
      <c r="CT37" s="784"/>
      <c r="CU37" s="785"/>
      <c r="CV37" s="785"/>
      <c r="CW37" s="785"/>
      <c r="CX37" s="779"/>
      <c r="CY37" s="779"/>
      <c r="CZ37" s="785"/>
      <c r="DA37" s="785"/>
      <c r="DB37" s="785"/>
      <c r="DC37" s="785"/>
      <c r="DD37" s="785"/>
      <c r="DE37" s="551"/>
      <c r="DF37" s="551"/>
      <c r="DG37" s="784"/>
      <c r="DH37" s="784"/>
      <c r="DI37" s="784"/>
      <c r="DJ37" s="441"/>
      <c r="DK37" s="441"/>
      <c r="DL37" s="441"/>
      <c r="DM37" s="441"/>
      <c r="DN37" s="441"/>
      <c r="DO37" s="441"/>
      <c r="DP37" s="441"/>
      <c r="DQ37" s="441"/>
      <c r="DR37" s="441"/>
      <c r="DS37" s="441"/>
      <c r="DT37" s="441"/>
      <c r="DU37" s="441"/>
      <c r="DV37" s="441"/>
      <c r="DW37" s="441"/>
      <c r="DX37" s="441"/>
      <c r="DY37" s="441"/>
      <c r="DZ37" s="441"/>
      <c r="EA37" s="441"/>
      <c r="EB37" s="783"/>
      <c r="EC37" s="441"/>
      <c r="ED37" s="441"/>
      <c r="EE37" s="441"/>
      <c r="EF37" s="441"/>
      <c r="EG37" s="441"/>
      <c r="EH37" s="441"/>
      <c r="EI37" s="441"/>
      <c r="EJ37" s="441"/>
      <c r="EK37" s="441"/>
      <c r="EL37" s="441"/>
      <c r="EM37" s="441"/>
      <c r="EN37" s="441"/>
      <c r="EO37" s="441"/>
      <c r="EP37" s="441"/>
      <c r="EQ37" s="441"/>
      <c r="ER37" s="441"/>
      <c r="ES37" s="441"/>
      <c r="ET37" s="441"/>
      <c r="EU37" s="441"/>
      <c r="EV37" s="441"/>
      <c r="EW37" s="441"/>
      <c r="EX37" s="441"/>
      <c r="EY37" s="441"/>
      <c r="EZ37" s="441"/>
      <c r="FA37" s="441"/>
      <c r="FB37" s="441"/>
      <c r="FC37" s="441"/>
      <c r="FD37" s="441"/>
      <c r="FE37" s="441"/>
      <c r="FF37" s="441"/>
      <c r="FG37" s="441"/>
      <c r="FH37" s="441"/>
      <c r="FI37" s="441"/>
      <c r="FJ37" s="781"/>
      <c r="FK37" s="781"/>
      <c r="FL37" s="781"/>
      <c r="FM37" s="781"/>
      <c r="FN37" s="781"/>
      <c r="FO37" s="781"/>
      <c r="FP37" s="781"/>
      <c r="FQ37" s="781"/>
      <c r="FR37" s="781"/>
      <c r="FS37" s="781"/>
      <c r="FT37" s="781"/>
      <c r="FU37" s="781"/>
      <c r="FV37" s="781"/>
      <c r="FW37" s="781"/>
      <c r="FX37" s="781"/>
      <c r="FY37" s="781"/>
      <c r="FZ37" s="781"/>
      <c r="GA37" s="781"/>
      <c r="GB37" s="781"/>
      <c r="GC37" s="781"/>
      <c r="GD37" s="781"/>
      <c r="GE37" s="781"/>
      <c r="GF37" s="781"/>
      <c r="GG37" s="781"/>
      <c r="GH37" s="781"/>
      <c r="GI37" s="781"/>
      <c r="GJ37" s="781"/>
      <c r="GK37" s="781"/>
      <c r="GL37" s="1335"/>
    </row>
    <row r="38" spans="1:194" ht="18.899999999999999" hidden="1" customHeight="1">
      <c r="A38" s="1372"/>
      <c r="B38" s="1333"/>
      <c r="C38" s="549"/>
      <c r="D38" s="548"/>
      <c r="E38" s="548"/>
      <c r="F38" s="548"/>
      <c r="G38" s="548"/>
      <c r="H38" s="548"/>
      <c r="I38" s="548"/>
      <c r="J38" s="548"/>
      <c r="K38" s="548"/>
      <c r="L38" s="548"/>
      <c r="M38" s="548"/>
      <c r="N38" s="548"/>
      <c r="O38" s="548"/>
      <c r="P38" s="548"/>
      <c r="Q38" s="548"/>
      <c r="R38" s="548"/>
      <c r="S38" s="548"/>
      <c r="T38" s="439"/>
      <c r="U38" s="440"/>
      <c r="V38" s="507"/>
      <c r="W38" s="440"/>
      <c r="X38" s="440"/>
      <c r="Y38" s="778"/>
      <c r="Z38" s="778"/>
      <c r="AA38" s="784"/>
      <c r="AB38" s="784"/>
      <c r="AC38" s="784"/>
      <c r="AD38" s="784"/>
      <c r="AE38" s="784"/>
      <c r="AF38" s="779"/>
      <c r="AG38" s="784"/>
      <c r="AH38" s="784"/>
      <c r="AI38" s="784"/>
      <c r="AJ38" s="784"/>
      <c r="AK38" s="784"/>
      <c r="AL38" s="784"/>
      <c r="AM38" s="784"/>
      <c r="AN38" s="784"/>
      <c r="AO38" s="784"/>
      <c r="AP38" s="784"/>
      <c r="AQ38" s="784"/>
      <c r="AR38" s="784"/>
      <c r="AS38" s="784"/>
      <c r="AT38" s="784"/>
      <c r="AU38" s="784"/>
      <c r="AV38" s="784"/>
      <c r="AW38" s="784"/>
      <c r="AX38" s="784"/>
      <c r="AY38" s="784"/>
      <c r="AZ38" s="784"/>
      <c r="BA38" s="784"/>
      <c r="BB38" s="784"/>
      <c r="BC38" s="784"/>
      <c r="BD38" s="784"/>
      <c r="BE38" s="784"/>
      <c r="BF38" s="784"/>
      <c r="BG38" s="784"/>
      <c r="BH38" s="784"/>
      <c r="BI38" s="784"/>
      <c r="BJ38" s="784"/>
      <c r="BK38" s="784"/>
      <c r="BL38" s="784"/>
      <c r="BM38" s="784"/>
      <c r="BN38" s="784"/>
      <c r="BO38" s="784"/>
      <c r="BP38" s="784"/>
      <c r="BQ38" s="784"/>
      <c r="BR38" s="784"/>
      <c r="BS38" s="784"/>
      <c r="BT38" s="551"/>
      <c r="BU38" s="779"/>
      <c r="BV38" s="785"/>
      <c r="BW38" s="785"/>
      <c r="BX38" s="785"/>
      <c r="BY38" s="784"/>
      <c r="BZ38" s="784"/>
      <c r="CA38" s="784"/>
      <c r="CB38" s="784"/>
      <c r="CC38" s="784"/>
      <c r="CD38" s="784"/>
      <c r="CE38" s="784"/>
      <c r="CF38" s="784"/>
      <c r="CG38" s="784"/>
      <c r="CH38" s="784"/>
      <c r="CI38" s="784"/>
      <c r="CJ38" s="784"/>
      <c r="CK38" s="784"/>
      <c r="CL38" s="784"/>
      <c r="CM38" s="784"/>
      <c r="CN38" s="784"/>
      <c r="CO38" s="784"/>
      <c r="CP38" s="784"/>
      <c r="CQ38" s="784"/>
      <c r="CR38" s="784"/>
      <c r="CS38" s="784"/>
      <c r="CT38" s="784"/>
      <c r="CU38" s="785"/>
      <c r="CV38" s="785"/>
      <c r="CW38" s="785"/>
      <c r="CX38" s="779"/>
      <c r="CY38" s="779"/>
      <c r="CZ38" s="785"/>
      <c r="DA38" s="785"/>
      <c r="DB38" s="785"/>
      <c r="DC38" s="785"/>
      <c r="DD38" s="785"/>
      <c r="DE38" s="551"/>
      <c r="DF38" s="551"/>
      <c r="DG38" s="784"/>
      <c r="DH38" s="784"/>
      <c r="DI38" s="784"/>
      <c r="DJ38" s="441"/>
      <c r="DK38" s="441"/>
      <c r="DL38" s="441"/>
      <c r="DM38" s="441"/>
      <c r="DN38" s="441"/>
      <c r="DO38" s="441"/>
      <c r="DP38" s="441"/>
      <c r="DQ38" s="441"/>
      <c r="DR38" s="441"/>
      <c r="DS38" s="441"/>
      <c r="DT38" s="441"/>
      <c r="DU38" s="441"/>
      <c r="DV38" s="441"/>
      <c r="DW38" s="441"/>
      <c r="DX38" s="441"/>
      <c r="DY38" s="441"/>
      <c r="DZ38" s="441"/>
      <c r="EA38" s="441"/>
      <c r="EB38" s="783"/>
      <c r="EC38" s="441"/>
      <c r="ED38" s="441"/>
      <c r="EE38" s="441"/>
      <c r="EF38" s="441"/>
      <c r="EG38" s="441"/>
      <c r="EH38" s="441"/>
      <c r="EI38" s="441"/>
      <c r="EJ38" s="441"/>
      <c r="EK38" s="441"/>
      <c r="EL38" s="441"/>
      <c r="EM38" s="441"/>
      <c r="EN38" s="441"/>
      <c r="EO38" s="441"/>
      <c r="EP38" s="441"/>
      <c r="EQ38" s="441"/>
      <c r="ER38" s="441"/>
      <c r="ES38" s="441"/>
      <c r="ET38" s="441"/>
      <c r="EU38" s="441"/>
      <c r="EV38" s="441"/>
      <c r="EW38" s="441"/>
      <c r="EX38" s="441"/>
      <c r="EY38" s="441"/>
      <c r="EZ38" s="441"/>
      <c r="FA38" s="441"/>
      <c r="FB38" s="441"/>
      <c r="FC38" s="441"/>
      <c r="FD38" s="441"/>
      <c r="FE38" s="441"/>
      <c r="FF38" s="441"/>
      <c r="FG38" s="441"/>
      <c r="FH38" s="441"/>
      <c r="FI38" s="441"/>
      <c r="FJ38" s="781"/>
      <c r="FK38" s="781"/>
      <c r="FL38" s="781"/>
      <c r="FM38" s="781"/>
      <c r="FN38" s="781"/>
      <c r="FO38" s="781"/>
      <c r="FP38" s="781"/>
      <c r="FQ38" s="781"/>
      <c r="FR38" s="781"/>
      <c r="FS38" s="781"/>
      <c r="FT38" s="781"/>
      <c r="FU38" s="781"/>
      <c r="FV38" s="781"/>
      <c r="FW38" s="781"/>
      <c r="FX38" s="781"/>
      <c r="FY38" s="781"/>
      <c r="FZ38" s="781"/>
      <c r="GA38" s="781"/>
      <c r="GB38" s="781"/>
      <c r="GC38" s="781"/>
      <c r="GD38" s="781"/>
      <c r="GE38" s="781"/>
      <c r="GF38" s="781"/>
      <c r="GG38" s="781"/>
      <c r="GH38" s="781"/>
      <c r="GI38" s="781"/>
      <c r="GJ38" s="781"/>
      <c r="GK38" s="781"/>
      <c r="GL38" s="1335"/>
    </row>
    <row r="39" spans="1:194" ht="18.899999999999999" hidden="1" customHeight="1">
      <c r="A39" s="1372"/>
      <c r="B39" s="1333"/>
      <c r="C39" s="549"/>
      <c r="D39" s="548"/>
      <c r="E39" s="548"/>
      <c r="F39" s="548"/>
      <c r="G39" s="548"/>
      <c r="H39" s="548"/>
      <c r="I39" s="548"/>
      <c r="J39" s="548"/>
      <c r="K39" s="548"/>
      <c r="L39" s="548"/>
      <c r="M39" s="548"/>
      <c r="N39" s="548"/>
      <c r="O39" s="548"/>
      <c r="P39" s="548"/>
      <c r="Q39" s="548"/>
      <c r="R39" s="548"/>
      <c r="S39" s="548"/>
      <c r="T39" s="439"/>
      <c r="U39" s="440"/>
      <c r="V39" s="507"/>
      <c r="W39" s="440"/>
      <c r="X39" s="440"/>
      <c r="Y39" s="778"/>
      <c r="Z39" s="778"/>
      <c r="AA39" s="784"/>
      <c r="AB39" s="784"/>
      <c r="AC39" s="784"/>
      <c r="AD39" s="784"/>
      <c r="AE39" s="784"/>
      <c r="AF39" s="779"/>
      <c r="AG39" s="784"/>
      <c r="AH39" s="784"/>
      <c r="AI39" s="784"/>
      <c r="AJ39" s="784"/>
      <c r="AK39" s="784"/>
      <c r="AL39" s="784"/>
      <c r="AM39" s="784"/>
      <c r="AN39" s="784"/>
      <c r="AO39" s="784"/>
      <c r="AP39" s="784"/>
      <c r="AQ39" s="784"/>
      <c r="AR39" s="784"/>
      <c r="AS39" s="784"/>
      <c r="AT39" s="784"/>
      <c r="AU39" s="784"/>
      <c r="AV39" s="784"/>
      <c r="AW39" s="784"/>
      <c r="AX39" s="784"/>
      <c r="AY39" s="784"/>
      <c r="AZ39" s="784"/>
      <c r="BA39" s="784"/>
      <c r="BB39" s="784"/>
      <c r="BC39" s="784"/>
      <c r="BD39" s="784"/>
      <c r="BE39" s="784"/>
      <c r="BF39" s="784"/>
      <c r="BG39" s="784"/>
      <c r="BH39" s="784"/>
      <c r="BI39" s="784"/>
      <c r="BJ39" s="784"/>
      <c r="BK39" s="784"/>
      <c r="BL39" s="784"/>
      <c r="BM39" s="784"/>
      <c r="BN39" s="784"/>
      <c r="BO39" s="784"/>
      <c r="BP39" s="784"/>
      <c r="BQ39" s="784"/>
      <c r="BR39" s="784"/>
      <c r="BS39" s="784"/>
      <c r="BT39" s="551"/>
      <c r="BU39" s="779"/>
      <c r="BV39" s="785"/>
      <c r="BW39" s="785"/>
      <c r="BX39" s="785"/>
      <c r="BY39" s="784"/>
      <c r="BZ39" s="784"/>
      <c r="CA39" s="784"/>
      <c r="CB39" s="784"/>
      <c r="CC39" s="784"/>
      <c r="CD39" s="784"/>
      <c r="CE39" s="784"/>
      <c r="CF39" s="784"/>
      <c r="CG39" s="784"/>
      <c r="CH39" s="784"/>
      <c r="CI39" s="784"/>
      <c r="CJ39" s="784"/>
      <c r="CK39" s="784"/>
      <c r="CL39" s="784"/>
      <c r="CM39" s="784"/>
      <c r="CN39" s="784"/>
      <c r="CO39" s="784"/>
      <c r="CP39" s="784"/>
      <c r="CQ39" s="784"/>
      <c r="CR39" s="784"/>
      <c r="CS39" s="784"/>
      <c r="CT39" s="784"/>
      <c r="CU39" s="785"/>
      <c r="CV39" s="785"/>
      <c r="CW39" s="785"/>
      <c r="CX39" s="779"/>
      <c r="CY39" s="779"/>
      <c r="CZ39" s="785"/>
      <c r="DA39" s="785"/>
      <c r="DB39" s="785"/>
      <c r="DC39" s="785"/>
      <c r="DD39" s="785"/>
      <c r="DE39" s="551"/>
      <c r="DF39" s="551"/>
      <c r="DG39" s="784"/>
      <c r="DH39" s="784"/>
      <c r="DI39" s="784"/>
      <c r="DJ39" s="441"/>
      <c r="DK39" s="441"/>
      <c r="DL39" s="441"/>
      <c r="DM39" s="441"/>
      <c r="DN39" s="441"/>
      <c r="DO39" s="441"/>
      <c r="DP39" s="441"/>
      <c r="DQ39" s="441"/>
      <c r="DR39" s="441"/>
      <c r="DS39" s="441"/>
      <c r="DT39" s="441"/>
      <c r="DU39" s="441"/>
      <c r="DV39" s="441"/>
      <c r="DW39" s="441"/>
      <c r="DX39" s="441"/>
      <c r="DY39" s="441"/>
      <c r="DZ39" s="441"/>
      <c r="EA39" s="441"/>
      <c r="EB39" s="783"/>
      <c r="EC39" s="441"/>
      <c r="ED39" s="441"/>
      <c r="EE39" s="441"/>
      <c r="EF39" s="441"/>
      <c r="EG39" s="441"/>
      <c r="EH39" s="441"/>
      <c r="EI39" s="441"/>
      <c r="EJ39" s="441"/>
      <c r="EK39" s="441"/>
      <c r="EL39" s="441"/>
      <c r="EM39" s="441"/>
      <c r="EN39" s="441"/>
      <c r="EO39" s="441"/>
      <c r="EP39" s="441"/>
      <c r="EQ39" s="441"/>
      <c r="ER39" s="441"/>
      <c r="ES39" s="441"/>
      <c r="ET39" s="441"/>
      <c r="EU39" s="441"/>
      <c r="EV39" s="441"/>
      <c r="EW39" s="441"/>
      <c r="EX39" s="441"/>
      <c r="EY39" s="441"/>
      <c r="EZ39" s="441"/>
      <c r="FA39" s="441"/>
      <c r="FB39" s="441"/>
      <c r="FC39" s="441"/>
      <c r="FD39" s="441"/>
      <c r="FE39" s="441"/>
      <c r="FF39" s="441"/>
      <c r="FG39" s="441"/>
      <c r="FH39" s="441"/>
      <c r="FI39" s="441"/>
      <c r="FJ39" s="781"/>
      <c r="FK39" s="781"/>
      <c r="FL39" s="781"/>
      <c r="FM39" s="781"/>
      <c r="FN39" s="781"/>
      <c r="FO39" s="781"/>
      <c r="FP39" s="781"/>
      <c r="FQ39" s="781"/>
      <c r="FR39" s="781"/>
      <c r="FS39" s="781"/>
      <c r="FT39" s="781"/>
      <c r="FU39" s="781"/>
      <c r="FV39" s="781"/>
      <c r="FW39" s="781"/>
      <c r="FX39" s="781"/>
      <c r="FY39" s="781"/>
      <c r="FZ39" s="781"/>
      <c r="GA39" s="781"/>
      <c r="GB39" s="781"/>
      <c r="GC39" s="781"/>
      <c r="GD39" s="781"/>
      <c r="GE39" s="781"/>
      <c r="GF39" s="781"/>
      <c r="GG39" s="781"/>
      <c r="GH39" s="781"/>
      <c r="GI39" s="781"/>
      <c r="GJ39" s="781"/>
      <c r="GK39" s="781"/>
      <c r="GL39" s="1335"/>
    </row>
    <row r="40" spans="1:194" ht="18.899999999999999" hidden="1" customHeight="1">
      <c r="A40" s="1372"/>
      <c r="B40" s="1333"/>
      <c r="C40" s="549"/>
      <c r="D40" s="548"/>
      <c r="E40" s="548"/>
      <c r="F40" s="548"/>
      <c r="G40" s="548"/>
      <c r="H40" s="548"/>
      <c r="I40" s="548"/>
      <c r="J40" s="548"/>
      <c r="K40" s="548"/>
      <c r="L40" s="548"/>
      <c r="M40" s="548"/>
      <c r="N40" s="548"/>
      <c r="O40" s="548"/>
      <c r="P40" s="548"/>
      <c r="Q40" s="548"/>
      <c r="R40" s="548"/>
      <c r="S40" s="548"/>
      <c r="T40" s="439"/>
      <c r="U40" s="440"/>
      <c r="V40" s="507"/>
      <c r="W40" s="440"/>
      <c r="X40" s="441"/>
      <c r="Y40" s="778"/>
      <c r="Z40" s="778"/>
      <c r="AA40" s="784"/>
      <c r="AB40" s="784"/>
      <c r="AC40" s="784"/>
      <c r="AD40" s="784"/>
      <c r="AE40" s="784"/>
      <c r="AF40" s="779"/>
      <c r="AG40" s="784"/>
      <c r="AH40" s="784"/>
      <c r="AI40" s="784"/>
      <c r="AJ40" s="784"/>
      <c r="AK40" s="784"/>
      <c r="AL40" s="784"/>
      <c r="AM40" s="784"/>
      <c r="AN40" s="784"/>
      <c r="AO40" s="784"/>
      <c r="AP40" s="784"/>
      <c r="AQ40" s="784"/>
      <c r="AR40" s="784"/>
      <c r="AS40" s="784"/>
      <c r="AT40" s="784"/>
      <c r="AU40" s="784"/>
      <c r="AV40" s="784"/>
      <c r="AW40" s="784"/>
      <c r="AX40" s="784"/>
      <c r="AY40" s="784"/>
      <c r="AZ40" s="784"/>
      <c r="BA40" s="784"/>
      <c r="BB40" s="784"/>
      <c r="BC40" s="784"/>
      <c r="BD40" s="784"/>
      <c r="BE40" s="784"/>
      <c r="BF40" s="784"/>
      <c r="BG40" s="784"/>
      <c r="BH40" s="784"/>
      <c r="BI40" s="784"/>
      <c r="BJ40" s="784"/>
      <c r="BK40" s="784"/>
      <c r="BL40" s="784"/>
      <c r="BM40" s="784"/>
      <c r="BN40" s="784"/>
      <c r="BO40" s="784"/>
      <c r="BP40" s="784"/>
      <c r="BQ40" s="784"/>
      <c r="BR40" s="784"/>
      <c r="BS40" s="784"/>
      <c r="BT40" s="551"/>
      <c r="BU40" s="779"/>
      <c r="BV40" s="785"/>
      <c r="BW40" s="785"/>
      <c r="BX40" s="785"/>
      <c r="BY40" s="784"/>
      <c r="BZ40" s="784"/>
      <c r="CA40" s="784"/>
      <c r="CB40" s="784"/>
      <c r="CC40" s="784"/>
      <c r="CD40" s="784"/>
      <c r="CE40" s="784"/>
      <c r="CF40" s="784"/>
      <c r="CG40" s="784"/>
      <c r="CH40" s="784"/>
      <c r="CI40" s="784"/>
      <c r="CJ40" s="784"/>
      <c r="CK40" s="784"/>
      <c r="CL40" s="784"/>
      <c r="CM40" s="784"/>
      <c r="CN40" s="784"/>
      <c r="CO40" s="784"/>
      <c r="CP40" s="784"/>
      <c r="CQ40" s="784"/>
      <c r="CR40" s="784"/>
      <c r="CS40" s="784"/>
      <c r="CT40" s="784"/>
      <c r="CU40" s="785"/>
      <c r="CV40" s="785"/>
      <c r="CW40" s="785"/>
      <c r="CX40" s="779"/>
      <c r="CY40" s="779"/>
      <c r="CZ40" s="785"/>
      <c r="DA40" s="785"/>
      <c r="DB40" s="785"/>
      <c r="DC40" s="785"/>
      <c r="DD40" s="785"/>
      <c r="DE40" s="551"/>
      <c r="DF40" s="551"/>
      <c r="DG40" s="784"/>
      <c r="DH40" s="784"/>
      <c r="DI40" s="784"/>
      <c r="DJ40" s="441"/>
      <c r="DK40" s="441"/>
      <c r="DL40" s="441"/>
      <c r="DM40" s="441"/>
      <c r="DN40" s="441"/>
      <c r="DO40" s="441"/>
      <c r="DP40" s="441"/>
      <c r="DQ40" s="441"/>
      <c r="DR40" s="441"/>
      <c r="DS40" s="441"/>
      <c r="DT40" s="441"/>
      <c r="DU40" s="441"/>
      <c r="DV40" s="441"/>
      <c r="DW40" s="441"/>
      <c r="DX40" s="441"/>
      <c r="DY40" s="441"/>
      <c r="DZ40" s="441"/>
      <c r="EA40" s="441"/>
      <c r="EB40" s="783"/>
      <c r="EC40" s="441"/>
      <c r="ED40" s="441"/>
      <c r="EE40" s="441"/>
      <c r="EF40" s="441"/>
      <c r="EG40" s="441"/>
      <c r="EH40" s="441"/>
      <c r="EI40" s="441"/>
      <c r="EJ40" s="441"/>
      <c r="EK40" s="441"/>
      <c r="EL40" s="441"/>
      <c r="EM40" s="441"/>
      <c r="EN40" s="441"/>
      <c r="EO40" s="441"/>
      <c r="EP40" s="441"/>
      <c r="EQ40" s="441"/>
      <c r="ER40" s="441"/>
      <c r="ES40" s="441"/>
      <c r="ET40" s="441"/>
      <c r="EU40" s="441"/>
      <c r="EV40" s="441"/>
      <c r="EW40" s="441"/>
      <c r="EX40" s="441"/>
      <c r="EY40" s="441"/>
      <c r="EZ40" s="441"/>
      <c r="FA40" s="441"/>
      <c r="FB40" s="441"/>
      <c r="FC40" s="441"/>
      <c r="FD40" s="441"/>
      <c r="FE40" s="441"/>
      <c r="FF40" s="441"/>
      <c r="FG40" s="441"/>
      <c r="FH40" s="441"/>
      <c r="FI40" s="441"/>
      <c r="FJ40" s="781"/>
      <c r="FK40" s="781"/>
      <c r="FL40" s="781"/>
      <c r="FM40" s="781"/>
      <c r="FN40" s="781"/>
      <c r="FO40" s="781"/>
      <c r="FP40" s="781"/>
      <c r="FQ40" s="781"/>
      <c r="FR40" s="781"/>
      <c r="FS40" s="781"/>
      <c r="FT40" s="781"/>
      <c r="FU40" s="781"/>
      <c r="FV40" s="781"/>
      <c r="FW40" s="781"/>
      <c r="FX40" s="781"/>
      <c r="FY40" s="781"/>
      <c r="FZ40" s="781"/>
      <c r="GA40" s="781"/>
      <c r="GB40" s="781"/>
      <c r="GC40" s="781"/>
      <c r="GD40" s="781"/>
      <c r="GE40" s="781"/>
      <c r="GF40" s="781"/>
      <c r="GG40" s="781"/>
      <c r="GH40" s="781"/>
      <c r="GI40" s="781"/>
      <c r="GJ40" s="781"/>
      <c r="GK40" s="781"/>
      <c r="GL40" s="1335"/>
    </row>
    <row r="41" spans="1:194" ht="18.899999999999999" hidden="1" customHeight="1">
      <c r="A41" s="1372"/>
      <c r="B41" s="1333"/>
      <c r="C41" s="549"/>
      <c r="D41" s="548"/>
      <c r="E41" s="548"/>
      <c r="F41" s="548"/>
      <c r="G41" s="548"/>
      <c r="H41" s="548"/>
      <c r="I41" s="548"/>
      <c r="J41" s="548"/>
      <c r="K41" s="548"/>
      <c r="L41" s="548"/>
      <c r="M41" s="548"/>
      <c r="N41" s="548"/>
      <c r="O41" s="548"/>
      <c r="P41" s="548"/>
      <c r="Q41" s="548"/>
      <c r="R41" s="548"/>
      <c r="S41" s="548"/>
      <c r="T41" s="439"/>
      <c r="U41" s="440"/>
      <c r="V41" s="507"/>
      <c r="W41" s="440"/>
      <c r="X41" s="441"/>
      <c r="Y41" s="778"/>
      <c r="Z41" s="778"/>
      <c r="AA41" s="784"/>
      <c r="AB41" s="784"/>
      <c r="AC41" s="784"/>
      <c r="AD41" s="784"/>
      <c r="AE41" s="784"/>
      <c r="AF41" s="779"/>
      <c r="AG41" s="784"/>
      <c r="AH41" s="784"/>
      <c r="AI41" s="784"/>
      <c r="AJ41" s="784"/>
      <c r="AK41" s="784"/>
      <c r="AL41" s="784"/>
      <c r="AM41" s="784"/>
      <c r="AN41" s="784"/>
      <c r="AO41" s="784"/>
      <c r="AP41" s="784"/>
      <c r="AQ41" s="784"/>
      <c r="AR41" s="784"/>
      <c r="AS41" s="784"/>
      <c r="AT41" s="784"/>
      <c r="AU41" s="784"/>
      <c r="AV41" s="784"/>
      <c r="AW41" s="784"/>
      <c r="AX41" s="784"/>
      <c r="AY41" s="784"/>
      <c r="AZ41" s="784"/>
      <c r="BA41" s="784"/>
      <c r="BB41" s="784"/>
      <c r="BC41" s="784"/>
      <c r="BD41" s="784"/>
      <c r="BE41" s="784"/>
      <c r="BF41" s="784"/>
      <c r="BG41" s="784"/>
      <c r="BH41" s="784"/>
      <c r="BI41" s="784"/>
      <c r="BJ41" s="784"/>
      <c r="BK41" s="784"/>
      <c r="BL41" s="784"/>
      <c r="BM41" s="784"/>
      <c r="BN41" s="784"/>
      <c r="BO41" s="784"/>
      <c r="BP41" s="784"/>
      <c r="BQ41" s="784"/>
      <c r="BR41" s="784"/>
      <c r="BS41" s="784"/>
      <c r="BT41" s="551"/>
      <c r="BU41" s="779"/>
      <c r="BV41" s="785"/>
      <c r="BW41" s="785"/>
      <c r="BX41" s="785"/>
      <c r="BY41" s="784"/>
      <c r="BZ41" s="784"/>
      <c r="CA41" s="784"/>
      <c r="CB41" s="784"/>
      <c r="CC41" s="784"/>
      <c r="CD41" s="784"/>
      <c r="CE41" s="784"/>
      <c r="CF41" s="784"/>
      <c r="CG41" s="784"/>
      <c r="CH41" s="784"/>
      <c r="CI41" s="784"/>
      <c r="CJ41" s="784"/>
      <c r="CK41" s="784"/>
      <c r="CL41" s="784"/>
      <c r="CM41" s="784"/>
      <c r="CN41" s="784"/>
      <c r="CO41" s="784"/>
      <c r="CP41" s="784"/>
      <c r="CQ41" s="784"/>
      <c r="CR41" s="784"/>
      <c r="CS41" s="784"/>
      <c r="CT41" s="784"/>
      <c r="CU41" s="785"/>
      <c r="CV41" s="785"/>
      <c r="CW41" s="785"/>
      <c r="CX41" s="779"/>
      <c r="CY41" s="779"/>
      <c r="CZ41" s="785"/>
      <c r="DA41" s="785"/>
      <c r="DB41" s="785"/>
      <c r="DC41" s="785"/>
      <c r="DD41" s="785"/>
      <c r="DE41" s="551"/>
      <c r="DF41" s="551"/>
      <c r="DG41" s="784"/>
      <c r="DH41" s="784"/>
      <c r="DI41" s="784"/>
      <c r="DJ41" s="441"/>
      <c r="DK41" s="441"/>
      <c r="DL41" s="441"/>
      <c r="DM41" s="441"/>
      <c r="DN41" s="441"/>
      <c r="DO41" s="441"/>
      <c r="DP41" s="441"/>
      <c r="DQ41" s="441"/>
      <c r="DR41" s="441"/>
      <c r="DS41" s="441"/>
      <c r="DT41" s="441"/>
      <c r="DU41" s="441"/>
      <c r="DV41" s="441"/>
      <c r="DW41" s="441"/>
      <c r="DX41" s="441"/>
      <c r="DY41" s="441"/>
      <c r="DZ41" s="441"/>
      <c r="EA41" s="441"/>
      <c r="EB41" s="783"/>
      <c r="EC41" s="441"/>
      <c r="ED41" s="441"/>
      <c r="EE41" s="441"/>
      <c r="EF41" s="441"/>
      <c r="EG41" s="441"/>
      <c r="EH41" s="441"/>
      <c r="EI41" s="441"/>
      <c r="EJ41" s="441"/>
      <c r="EK41" s="441"/>
      <c r="EL41" s="441"/>
      <c r="EM41" s="441"/>
      <c r="EN41" s="441"/>
      <c r="EO41" s="441"/>
      <c r="EP41" s="441"/>
      <c r="EQ41" s="441"/>
      <c r="ER41" s="441"/>
      <c r="ES41" s="441"/>
      <c r="ET41" s="441"/>
      <c r="EU41" s="441"/>
      <c r="EV41" s="441"/>
      <c r="EW41" s="441"/>
      <c r="EX41" s="441"/>
      <c r="EY41" s="441"/>
      <c r="EZ41" s="441"/>
      <c r="FA41" s="441"/>
      <c r="FB41" s="441"/>
      <c r="FC41" s="441"/>
      <c r="FD41" s="441"/>
      <c r="FE41" s="441"/>
      <c r="FF41" s="441"/>
      <c r="FG41" s="441"/>
      <c r="FH41" s="441"/>
      <c r="FI41" s="441"/>
      <c r="FJ41" s="781"/>
      <c r="FK41" s="781"/>
      <c r="FL41" s="781"/>
      <c r="FM41" s="781"/>
      <c r="FN41" s="781"/>
      <c r="FO41" s="781"/>
      <c r="FP41" s="781"/>
      <c r="FQ41" s="781"/>
      <c r="FR41" s="781"/>
      <c r="FS41" s="781"/>
      <c r="FT41" s="781"/>
      <c r="FU41" s="781"/>
      <c r="FV41" s="781"/>
      <c r="FW41" s="781"/>
      <c r="FX41" s="781"/>
      <c r="FY41" s="781"/>
      <c r="FZ41" s="781"/>
      <c r="GA41" s="781"/>
      <c r="GB41" s="781"/>
      <c r="GC41" s="781"/>
      <c r="GD41" s="781"/>
      <c r="GE41" s="781"/>
      <c r="GF41" s="781"/>
      <c r="GG41" s="781"/>
      <c r="GH41" s="781"/>
      <c r="GI41" s="781"/>
      <c r="GJ41" s="781"/>
      <c r="GK41" s="781"/>
      <c r="GL41" s="1335"/>
    </row>
    <row r="42" spans="1:194" ht="18.899999999999999" hidden="1" customHeight="1">
      <c r="A42" s="1372"/>
      <c r="B42" s="1333"/>
      <c r="C42" s="549"/>
      <c r="D42" s="548"/>
      <c r="E42" s="548"/>
      <c r="F42" s="548"/>
      <c r="G42" s="548"/>
      <c r="H42" s="548"/>
      <c r="I42" s="548"/>
      <c r="J42" s="548"/>
      <c r="K42" s="548"/>
      <c r="L42" s="548"/>
      <c r="M42" s="548"/>
      <c r="N42" s="548"/>
      <c r="O42" s="548"/>
      <c r="P42" s="548"/>
      <c r="Q42" s="548"/>
      <c r="R42" s="548"/>
      <c r="S42" s="548"/>
      <c r="T42" s="439"/>
      <c r="U42" s="440"/>
      <c r="V42" s="507"/>
      <c r="W42" s="440"/>
      <c r="X42" s="441"/>
      <c r="Y42" s="778"/>
      <c r="Z42" s="778"/>
      <c r="AA42" s="441"/>
      <c r="AB42" s="441"/>
      <c r="AC42" s="441"/>
      <c r="AD42" s="441"/>
      <c r="AE42" s="441"/>
      <c r="AF42" s="779"/>
      <c r="AG42" s="441"/>
      <c r="AH42" s="441"/>
      <c r="AI42" s="441"/>
      <c r="AJ42" s="441"/>
      <c r="AK42" s="441"/>
      <c r="AL42" s="441"/>
      <c r="AM42" s="441"/>
      <c r="AN42" s="441"/>
      <c r="AO42" s="441"/>
      <c r="AP42" s="441"/>
      <c r="AQ42" s="441"/>
      <c r="AR42" s="441"/>
      <c r="AS42" s="441"/>
      <c r="AT42" s="441"/>
      <c r="AU42" s="441"/>
      <c r="AV42" s="441"/>
      <c r="AW42" s="441"/>
      <c r="AX42" s="441"/>
      <c r="AY42" s="441"/>
      <c r="AZ42" s="441"/>
      <c r="BA42" s="441"/>
      <c r="BB42" s="441"/>
      <c r="BC42" s="441"/>
      <c r="BD42" s="441"/>
      <c r="BE42" s="441"/>
      <c r="BF42" s="441"/>
      <c r="BG42" s="441"/>
      <c r="BH42" s="441"/>
      <c r="BI42" s="441"/>
      <c r="BJ42" s="441"/>
      <c r="BK42" s="441"/>
      <c r="BL42" s="441"/>
      <c r="BM42" s="441"/>
      <c r="BN42" s="441"/>
      <c r="BO42" s="441"/>
      <c r="BP42" s="441"/>
      <c r="BQ42" s="441"/>
      <c r="BR42" s="441"/>
      <c r="BS42" s="441"/>
      <c r="BT42" s="441"/>
      <c r="BU42" s="441"/>
      <c r="BV42" s="551"/>
      <c r="BW42" s="551"/>
      <c r="BX42" s="551"/>
      <c r="BY42" s="441"/>
      <c r="BZ42" s="441"/>
      <c r="CA42" s="441"/>
      <c r="CB42" s="441"/>
      <c r="CC42" s="441"/>
      <c r="CD42" s="441"/>
      <c r="CE42" s="441"/>
      <c r="CF42" s="441"/>
      <c r="CG42" s="441"/>
      <c r="CH42" s="441"/>
      <c r="CI42" s="441"/>
      <c r="CJ42" s="441"/>
      <c r="CK42" s="441"/>
      <c r="CL42" s="441"/>
      <c r="CM42" s="441"/>
      <c r="CN42" s="441"/>
      <c r="CO42" s="441"/>
      <c r="CP42" s="441"/>
      <c r="CQ42" s="441"/>
      <c r="CR42" s="441"/>
      <c r="CS42" s="441"/>
      <c r="CT42" s="441"/>
      <c r="CU42" s="551"/>
      <c r="CV42" s="551"/>
      <c r="CW42" s="551"/>
      <c r="CX42" s="551"/>
      <c r="CY42" s="551"/>
      <c r="CZ42" s="551"/>
      <c r="DA42" s="551"/>
      <c r="DB42" s="551"/>
      <c r="DC42" s="551"/>
      <c r="DD42" s="551"/>
      <c r="DE42" s="551"/>
      <c r="DF42" s="441"/>
      <c r="DG42" s="441"/>
      <c r="DH42" s="441"/>
      <c r="DI42" s="441"/>
      <c r="DJ42" s="551"/>
      <c r="DK42" s="551"/>
      <c r="DL42" s="441"/>
      <c r="DM42" s="441"/>
      <c r="DN42" s="441"/>
      <c r="DO42" s="441"/>
      <c r="DP42" s="441"/>
      <c r="DQ42" s="441"/>
      <c r="DR42" s="441"/>
      <c r="DS42" s="441"/>
      <c r="DT42" s="441"/>
      <c r="DU42" s="441"/>
      <c r="DV42" s="441"/>
      <c r="DW42" s="441"/>
      <c r="DX42" s="441"/>
      <c r="DY42" s="441"/>
      <c r="DZ42" s="441"/>
      <c r="EA42" s="441"/>
      <c r="EB42" s="783"/>
      <c r="EC42" s="441"/>
      <c r="ED42" s="441"/>
      <c r="EE42" s="441"/>
      <c r="EF42" s="441"/>
      <c r="EG42" s="441"/>
      <c r="EH42" s="441"/>
      <c r="EI42" s="441"/>
      <c r="EJ42" s="441"/>
      <c r="EK42" s="441"/>
      <c r="EL42" s="441"/>
      <c r="EM42" s="441"/>
      <c r="EN42" s="441"/>
      <c r="EO42" s="441"/>
      <c r="EP42" s="441"/>
      <c r="EQ42" s="441"/>
      <c r="ER42" s="441"/>
      <c r="ES42" s="441"/>
      <c r="ET42" s="441"/>
      <c r="EU42" s="441"/>
      <c r="EV42" s="441"/>
      <c r="EW42" s="441"/>
      <c r="EX42" s="441"/>
      <c r="EY42" s="441"/>
      <c r="EZ42" s="441"/>
      <c r="FA42" s="441"/>
      <c r="FB42" s="441"/>
      <c r="FC42" s="441"/>
      <c r="FD42" s="441"/>
      <c r="FE42" s="441"/>
      <c r="FF42" s="441"/>
      <c r="FG42" s="441"/>
      <c r="FH42" s="441"/>
      <c r="FI42" s="441"/>
      <c r="FJ42" s="781"/>
      <c r="FK42" s="781"/>
      <c r="FL42" s="781"/>
      <c r="FM42" s="781"/>
      <c r="FN42" s="781"/>
      <c r="FO42" s="781"/>
      <c r="FP42" s="781"/>
      <c r="FQ42" s="781"/>
      <c r="FR42" s="781"/>
      <c r="FS42" s="781"/>
      <c r="FT42" s="781"/>
      <c r="FU42" s="781"/>
      <c r="FV42" s="781"/>
      <c r="FW42" s="781"/>
      <c r="FX42" s="781"/>
      <c r="FY42" s="781"/>
      <c r="FZ42" s="781"/>
      <c r="GA42" s="781"/>
      <c r="GB42" s="781"/>
      <c r="GC42" s="781"/>
      <c r="GD42" s="781"/>
      <c r="GE42" s="781"/>
      <c r="GF42" s="781"/>
      <c r="GG42" s="781"/>
      <c r="GH42" s="781"/>
      <c r="GI42" s="781"/>
      <c r="GJ42" s="781"/>
      <c r="GK42" s="781"/>
      <c r="GL42" s="1373"/>
    </row>
    <row r="43" spans="1:194" ht="18.899999999999999" hidden="1" customHeight="1">
      <c r="A43" s="1370"/>
      <c r="B43" s="1371"/>
      <c r="C43" s="1371"/>
      <c r="D43" s="1374"/>
      <c r="E43" s="1374"/>
      <c r="F43" s="1374"/>
      <c r="G43" s="1374"/>
      <c r="H43" s="1374"/>
      <c r="I43" s="1374"/>
      <c r="J43" s="1374"/>
      <c r="K43" s="1374"/>
      <c r="L43" s="1374"/>
      <c r="M43" s="1374"/>
      <c r="N43" s="1374"/>
      <c r="O43" s="1374"/>
      <c r="P43" s="1374"/>
      <c r="Q43" s="1374"/>
      <c r="R43" s="1374"/>
      <c r="S43" s="1374"/>
      <c r="T43" s="1374"/>
      <c r="U43" s="1374"/>
      <c r="V43" s="1374"/>
      <c r="W43" s="1371"/>
      <c r="X43" s="1371"/>
      <c r="Y43" s="1371"/>
      <c r="Z43" s="1371"/>
      <c r="AA43" s="1371"/>
      <c r="AB43" s="1371"/>
      <c r="AC43" s="1371"/>
      <c r="AD43" s="1371"/>
      <c r="AE43" s="1371"/>
      <c r="AF43" s="1371"/>
      <c r="AG43" s="1371"/>
      <c r="AH43" s="1371"/>
      <c r="AI43" s="1371"/>
      <c r="AJ43" s="1371"/>
      <c r="AK43" s="1371"/>
      <c r="AL43" s="1371"/>
      <c r="AM43" s="1371"/>
      <c r="AN43" s="1371"/>
      <c r="AO43" s="1371"/>
      <c r="AP43" s="1371"/>
      <c r="AQ43" s="1371"/>
      <c r="AR43" s="1371"/>
      <c r="AS43" s="1371"/>
      <c r="AT43" s="1371"/>
      <c r="AU43" s="1371"/>
      <c r="AV43" s="1371"/>
      <c r="AW43" s="1371"/>
      <c r="AX43" s="1371"/>
      <c r="AY43" s="1371"/>
      <c r="AZ43" s="1371"/>
      <c r="BA43" s="1371"/>
      <c r="BB43" s="1371"/>
      <c r="BC43" s="1371"/>
      <c r="BD43" s="1371"/>
      <c r="BE43" s="1371"/>
      <c r="BF43" s="1371"/>
      <c r="BG43" s="1371"/>
      <c r="BH43" s="1371"/>
      <c r="BI43" s="1371"/>
      <c r="BJ43" s="1371"/>
      <c r="BK43" s="1371"/>
      <c r="BL43" s="1371"/>
      <c r="BM43" s="1371"/>
      <c r="BN43" s="1371"/>
      <c r="BO43" s="1371"/>
      <c r="BP43" s="1371"/>
      <c r="BQ43" s="1371"/>
      <c r="BR43" s="1371"/>
      <c r="BS43" s="1371"/>
      <c r="BT43" s="1371"/>
      <c r="BU43" s="1371"/>
      <c r="BV43" s="1371"/>
      <c r="BW43" s="1371"/>
      <c r="BX43" s="1371"/>
      <c r="BY43" s="1371"/>
      <c r="BZ43" s="1371"/>
      <c r="CA43" s="1371"/>
      <c r="CB43" s="1371"/>
      <c r="CC43" s="1371"/>
      <c r="CD43" s="1371"/>
      <c r="CE43" s="1371"/>
      <c r="CF43" s="1371"/>
      <c r="CG43" s="1371"/>
      <c r="CH43" s="1371"/>
      <c r="CI43" s="1371"/>
      <c r="CJ43" s="1371"/>
      <c r="CK43" s="1371"/>
      <c r="CL43" s="1371"/>
      <c r="CM43" s="1371"/>
      <c r="CN43" s="1371"/>
      <c r="CO43" s="1371"/>
      <c r="CP43" s="1371"/>
      <c r="CQ43" s="1371"/>
      <c r="CR43" s="1371"/>
      <c r="CS43" s="1371"/>
      <c r="CT43" s="1371"/>
      <c r="CU43" s="1371"/>
      <c r="CV43" s="1371"/>
      <c r="CW43" s="1371"/>
      <c r="CX43" s="1371"/>
      <c r="CY43" s="1371"/>
      <c r="CZ43" s="1371"/>
      <c r="DA43" s="1371"/>
      <c r="DB43" s="1371"/>
      <c r="DC43" s="1371"/>
      <c r="DD43" s="1371"/>
      <c r="DE43" s="1371"/>
      <c r="DF43" s="1371"/>
      <c r="DG43" s="1371"/>
      <c r="DH43" s="1371"/>
      <c r="DI43" s="1371"/>
      <c r="DJ43" s="1371"/>
      <c r="DK43" s="1371"/>
      <c r="DL43" s="1371"/>
      <c r="DM43" s="1371"/>
      <c r="DN43" s="1371"/>
      <c r="DO43" s="1371"/>
      <c r="DP43" s="1371"/>
      <c r="DQ43" s="1371"/>
      <c r="DR43" s="1371"/>
      <c r="DS43" s="1371"/>
      <c r="DT43" s="1371"/>
      <c r="DU43" s="1371"/>
      <c r="DV43" s="1371"/>
      <c r="DW43" s="1371"/>
      <c r="DX43" s="1371"/>
      <c r="DY43" s="1371"/>
      <c r="DZ43" s="1371"/>
      <c r="EA43" s="1371"/>
      <c r="EB43" s="1371"/>
      <c r="EC43" s="1371"/>
      <c r="ED43" s="1371"/>
      <c r="EE43" s="1371"/>
      <c r="EF43" s="1371"/>
      <c r="EG43" s="1371"/>
      <c r="EH43" s="1371"/>
      <c r="EI43" s="1371"/>
      <c r="EJ43" s="1371"/>
      <c r="EK43" s="1371"/>
      <c r="EL43" s="1371"/>
      <c r="EM43" s="1371"/>
      <c r="EN43" s="1371"/>
      <c r="EO43" s="1371"/>
      <c r="EP43" s="1371"/>
      <c r="EQ43" s="1371"/>
      <c r="ER43" s="1371"/>
      <c r="ES43" s="1371"/>
      <c r="ET43" s="1371"/>
      <c r="EU43" s="1371"/>
      <c r="EV43" s="1371"/>
      <c r="EW43" s="1371"/>
      <c r="EX43" s="1371"/>
      <c r="EY43" s="1374"/>
      <c r="EZ43" s="1374"/>
      <c r="FA43" s="1374"/>
      <c r="FB43" s="1374"/>
      <c r="FC43" s="1374"/>
      <c r="FD43" s="1374"/>
      <c r="FE43" s="1374"/>
      <c r="FF43" s="1374"/>
      <c r="FG43" s="1374"/>
      <c r="FH43" s="1374"/>
      <c r="FI43" s="1374"/>
      <c r="FJ43" s="1374"/>
      <c r="FK43" s="1374"/>
      <c r="FL43" s="1374"/>
      <c r="FM43" s="1374"/>
      <c r="FN43" s="1374"/>
      <c r="FO43" s="1374"/>
      <c r="FP43" s="1374"/>
      <c r="FQ43" s="1374"/>
      <c r="FR43" s="1374"/>
      <c r="FS43" s="1374"/>
      <c r="FT43" s="1374"/>
      <c r="FU43" s="1374"/>
      <c r="FV43" s="1374"/>
      <c r="FW43" s="1374"/>
      <c r="FX43" s="1374"/>
      <c r="FY43" s="1374"/>
      <c r="FZ43" s="1374"/>
      <c r="GA43" s="1374"/>
      <c r="GB43" s="1374"/>
      <c r="GC43" s="1374"/>
      <c r="GD43" s="1374"/>
      <c r="GE43" s="1374"/>
      <c r="GF43" s="1374"/>
      <c r="GG43" s="1374"/>
      <c r="GH43" s="1374"/>
      <c r="GI43" s="1374"/>
      <c r="GJ43" s="1374"/>
      <c r="GK43" s="1374"/>
      <c r="GL43" s="1375"/>
    </row>
    <row r="44" spans="1:194" ht="18.899999999999999" hidden="1" customHeight="1">
      <c r="A44" s="1022"/>
      <c r="B44" s="1023"/>
      <c r="C44" s="1028"/>
      <c r="D44" s="1028"/>
      <c r="E44" s="1028"/>
      <c r="F44" s="1028"/>
      <c r="G44" s="1028"/>
      <c r="H44" s="1028"/>
      <c r="I44" s="1028"/>
      <c r="J44" s="1028"/>
      <c r="K44" s="1028"/>
      <c r="L44" s="1028"/>
      <c r="M44" s="1028"/>
      <c r="N44" s="1028"/>
      <c r="O44" s="1028"/>
      <c r="P44" s="1028"/>
      <c r="Q44" s="1028"/>
      <c r="R44" s="1029"/>
      <c r="S44" s="1029"/>
      <c r="T44" s="1030"/>
      <c r="U44" s="1030"/>
      <c r="V44" s="1030"/>
      <c r="W44" s="1030"/>
      <c r="X44" s="1030"/>
      <c r="Y44" s="1023"/>
      <c r="Z44" s="1023"/>
      <c r="AA44" s="1023"/>
      <c r="AB44" s="1023"/>
      <c r="AC44" s="1023"/>
      <c r="AD44" s="1030"/>
      <c r="AE44" s="1030"/>
      <c r="AF44" s="1030"/>
      <c r="AG44" s="1030"/>
      <c r="AH44" s="1030"/>
      <c r="AI44" s="1030"/>
      <c r="AJ44" s="1030"/>
      <c r="AK44" s="1030"/>
      <c r="AL44" s="1030"/>
      <c r="AM44" s="1030"/>
      <c r="AN44" s="1030"/>
      <c r="AO44" s="1030"/>
      <c r="AP44" s="1030"/>
      <c r="AQ44" s="1030"/>
      <c r="AR44" s="1030"/>
      <c r="AS44" s="1030"/>
      <c r="AT44" s="1030"/>
      <c r="AU44" s="1030"/>
      <c r="AV44" s="1030"/>
      <c r="AW44" s="1030"/>
      <c r="AX44" s="1030"/>
      <c r="AY44" s="1030"/>
      <c r="AZ44" s="1030"/>
      <c r="BA44" s="1030"/>
      <c r="BB44" s="1030"/>
      <c r="BC44" s="1030"/>
      <c r="BD44" s="1030"/>
      <c r="BE44" s="1030"/>
      <c r="BF44" s="1030"/>
      <c r="BG44" s="1030"/>
      <c r="BH44" s="1030"/>
      <c r="BI44" s="1030"/>
      <c r="BJ44" s="1030"/>
      <c r="BK44" s="1030"/>
      <c r="BL44" s="1030"/>
      <c r="BM44" s="1030"/>
      <c r="BN44" s="1030"/>
      <c r="BO44" s="1030"/>
      <c r="BP44" s="1030"/>
      <c r="BQ44" s="1030"/>
      <c r="BR44" s="1030"/>
      <c r="BS44" s="1030"/>
      <c r="BT44" s="1030"/>
      <c r="BU44" s="1030"/>
      <c r="BV44" s="1030"/>
      <c r="BW44" s="1030"/>
      <c r="BX44" s="1030"/>
      <c r="BY44" s="1030"/>
      <c r="BZ44" s="1030"/>
      <c r="CA44" s="1030"/>
      <c r="CB44" s="1030"/>
      <c r="CC44" s="1030"/>
      <c r="CD44" s="1030"/>
      <c r="CE44" s="1030"/>
      <c r="CF44" s="1030"/>
      <c r="CG44" s="1030"/>
      <c r="CH44" s="1030"/>
      <c r="CI44" s="1030"/>
      <c r="CJ44" s="1030"/>
      <c r="CK44" s="1030"/>
      <c r="CL44" s="1030"/>
      <c r="CM44" s="1030"/>
      <c r="CN44" s="1030"/>
      <c r="CO44" s="1030"/>
      <c r="CP44" s="1030"/>
      <c r="CQ44" s="1030"/>
      <c r="CR44" s="1030"/>
      <c r="CS44" s="1030"/>
      <c r="CT44" s="1030"/>
      <c r="CU44" s="1030"/>
      <c r="CV44" s="1030"/>
      <c r="CW44" s="1030"/>
      <c r="CX44" s="1030"/>
      <c r="CY44" s="1030"/>
      <c r="CZ44" s="1030"/>
      <c r="DA44" s="1030"/>
      <c r="DB44" s="1030"/>
      <c r="DC44" s="1031"/>
      <c r="DD44" s="1031"/>
      <c r="DE44" s="1031"/>
      <c r="DF44" s="1031"/>
      <c r="DG44" s="1031"/>
      <c r="DH44" s="1031"/>
      <c r="DI44" s="1031"/>
      <c r="DJ44" s="1031"/>
      <c r="DK44" s="1031"/>
      <c r="DL44" s="1031"/>
      <c r="DM44" s="1031"/>
      <c r="DN44" s="1031"/>
      <c r="DO44" s="1031"/>
      <c r="DP44" s="1031"/>
      <c r="DQ44" s="1031"/>
      <c r="DR44" s="1031"/>
      <c r="DS44" s="1031"/>
      <c r="DT44" s="1031"/>
      <c r="DU44" s="1031"/>
      <c r="DV44" s="1031"/>
      <c r="DW44" s="1031"/>
      <c r="DX44" s="1031"/>
      <c r="DY44" s="1031"/>
      <c r="DZ44" s="1031"/>
      <c r="EA44" s="1031"/>
      <c r="EB44" s="1032"/>
      <c r="EC44" s="1031"/>
      <c r="ED44" s="1031"/>
      <c r="EE44" s="1031"/>
      <c r="EF44" s="1031"/>
      <c r="EG44" s="1031"/>
      <c r="EH44" s="1031"/>
      <c r="EI44" s="1031"/>
      <c r="EJ44" s="1031"/>
      <c r="EK44" s="1031"/>
      <c r="EL44" s="1031"/>
      <c r="EM44" s="1031"/>
      <c r="EN44" s="1031"/>
      <c r="EO44" s="1031"/>
      <c r="EP44" s="1031"/>
      <c r="EQ44" s="1031"/>
      <c r="ER44" s="1031"/>
      <c r="ES44" s="1031"/>
      <c r="ET44" s="1031"/>
      <c r="EU44" s="1031"/>
      <c r="EV44" s="1031"/>
      <c r="EW44" s="1031"/>
      <c r="EX44" s="1031"/>
      <c r="EY44" s="1031"/>
      <c r="EZ44" s="1031"/>
      <c r="FA44" s="1031"/>
      <c r="FB44" s="1031"/>
      <c r="FC44" s="1031"/>
      <c r="FD44" s="1031"/>
      <c r="FE44" s="1031"/>
      <c r="FF44" s="1031"/>
      <c r="FG44" s="1031"/>
      <c r="FH44" s="1031"/>
      <c r="FI44" s="1031"/>
      <c r="FJ44" s="1031"/>
      <c r="FK44" s="1031"/>
      <c r="FL44" s="1031"/>
      <c r="FM44" s="1031"/>
      <c r="FN44" s="1031"/>
      <c r="FO44" s="1031"/>
      <c r="FP44" s="1031"/>
      <c r="FQ44" s="1031"/>
      <c r="FR44" s="1031"/>
      <c r="FS44" s="1031"/>
      <c r="FT44" s="1031"/>
      <c r="FU44" s="1031"/>
      <c r="FV44" s="1031"/>
      <c r="FW44" s="1031"/>
      <c r="FX44" s="1031"/>
      <c r="FY44" s="1031"/>
      <c r="FZ44" s="1031"/>
      <c r="GA44" s="1031"/>
      <c r="GB44" s="1031"/>
      <c r="GC44" s="1031"/>
      <c r="GD44" s="1031"/>
      <c r="GE44" s="1031"/>
      <c r="GF44" s="1031"/>
      <c r="GG44" s="1031"/>
      <c r="GH44" s="1031"/>
      <c r="GI44" s="1031"/>
      <c r="GJ44" s="1031"/>
      <c r="GK44" s="1031"/>
      <c r="GL44" s="1033"/>
    </row>
    <row r="45" spans="1:194" ht="18.899999999999999" hidden="1" customHeight="1">
      <c r="A45" s="1372"/>
      <c r="B45" s="1039"/>
      <c r="C45" s="1034"/>
      <c r="D45" s="1034"/>
      <c r="E45" s="1034"/>
      <c r="F45" s="1034"/>
      <c r="G45" s="1034"/>
      <c r="H45" s="1034"/>
      <c r="I45" s="1034"/>
      <c r="J45" s="1034"/>
      <c r="K45" s="1034"/>
      <c r="L45" s="1034"/>
      <c r="M45" s="1034"/>
      <c r="N45" s="1034"/>
      <c r="O45" s="1034"/>
      <c r="P45" s="1034"/>
      <c r="Q45" s="1034"/>
      <c r="R45" s="1035"/>
      <c r="S45" s="1035"/>
      <c r="T45" s="1036"/>
      <c r="U45" s="1036"/>
      <c r="V45" s="779"/>
      <c r="W45" s="1036"/>
      <c r="X45" s="1036"/>
      <c r="Y45" s="778"/>
      <c r="Z45" s="778"/>
      <c r="AA45" s="778"/>
      <c r="AB45" s="778"/>
      <c r="AC45" s="778"/>
      <c r="AD45" s="779"/>
      <c r="AE45" s="779"/>
      <c r="AF45" s="779"/>
      <c r="AG45" s="779"/>
      <c r="AH45" s="779"/>
      <c r="AI45" s="779"/>
      <c r="AJ45" s="779"/>
      <c r="AK45" s="779"/>
      <c r="AL45" s="779"/>
      <c r="AM45" s="779"/>
      <c r="AN45" s="779"/>
      <c r="AO45" s="779"/>
      <c r="AP45" s="779"/>
      <c r="AQ45" s="779"/>
      <c r="AR45" s="779"/>
      <c r="AS45" s="779"/>
      <c r="AT45" s="779"/>
      <c r="AU45" s="779"/>
      <c r="AV45" s="779"/>
      <c r="AW45" s="779"/>
      <c r="AX45" s="779"/>
      <c r="AY45" s="779"/>
      <c r="AZ45" s="779"/>
      <c r="BA45" s="779"/>
      <c r="BB45" s="779"/>
      <c r="BC45" s="779"/>
      <c r="BD45" s="779"/>
      <c r="BE45" s="779"/>
      <c r="BF45" s="779"/>
      <c r="BG45" s="779"/>
      <c r="BH45" s="779"/>
      <c r="BI45" s="779"/>
      <c r="BJ45" s="779"/>
      <c r="BK45" s="779"/>
      <c r="BL45" s="779"/>
      <c r="BM45" s="779"/>
      <c r="BN45" s="779"/>
      <c r="BO45" s="779"/>
      <c r="BP45" s="779"/>
      <c r="BQ45" s="779"/>
      <c r="BR45" s="779"/>
      <c r="BS45" s="779"/>
      <c r="BT45" s="441"/>
      <c r="BU45" s="779"/>
      <c r="BV45" s="779"/>
      <c r="BW45" s="779"/>
      <c r="BX45" s="779"/>
      <c r="BY45" s="779"/>
      <c r="BZ45" s="779"/>
      <c r="CA45" s="779"/>
      <c r="CB45" s="779"/>
      <c r="CC45" s="779"/>
      <c r="CD45" s="779"/>
      <c r="CE45" s="779"/>
      <c r="CF45" s="779"/>
      <c r="CG45" s="779"/>
      <c r="CH45" s="439"/>
      <c r="CI45" s="779"/>
      <c r="CJ45" s="779"/>
      <c r="CK45" s="779"/>
      <c r="CL45" s="779"/>
      <c r="CM45" s="779"/>
      <c r="CN45" s="779"/>
      <c r="CO45" s="779"/>
      <c r="CP45" s="779"/>
      <c r="CQ45" s="779"/>
      <c r="CR45" s="779"/>
      <c r="CS45" s="779"/>
      <c r="CT45" s="779"/>
      <c r="CU45" s="779"/>
      <c r="CV45" s="779"/>
      <c r="CW45" s="779"/>
      <c r="CX45" s="779"/>
      <c r="CY45" s="779"/>
      <c r="CZ45" s="779"/>
      <c r="DA45" s="779"/>
      <c r="DB45" s="779"/>
      <c r="DC45" s="781"/>
      <c r="DD45" s="781"/>
      <c r="DE45" s="551"/>
      <c r="DF45" s="551"/>
      <c r="DG45" s="551"/>
      <c r="DH45" s="551"/>
      <c r="DI45" s="551"/>
      <c r="DJ45" s="551"/>
      <c r="DK45" s="551"/>
      <c r="DL45" s="551"/>
      <c r="DM45" s="551"/>
      <c r="DN45" s="551"/>
      <c r="DO45" s="551"/>
      <c r="DP45" s="551"/>
      <c r="DQ45" s="551"/>
      <c r="DR45" s="551"/>
      <c r="DS45" s="551"/>
      <c r="DT45" s="551"/>
      <c r="DU45" s="551"/>
      <c r="DV45" s="551"/>
      <c r="DW45" s="551"/>
      <c r="DX45" s="551"/>
      <c r="DY45" s="551"/>
      <c r="DZ45" s="551"/>
      <c r="EA45" s="551"/>
      <c r="EB45" s="780"/>
      <c r="EC45" s="551"/>
      <c r="ED45" s="551"/>
      <c r="EE45" s="551"/>
      <c r="EF45" s="551"/>
      <c r="EG45" s="551"/>
      <c r="EH45" s="782"/>
      <c r="EI45" s="782"/>
      <c r="EJ45" s="782"/>
      <c r="EK45" s="782"/>
      <c r="EL45" s="782"/>
      <c r="EM45" s="782"/>
      <c r="EN45" s="782"/>
      <c r="EO45" s="782"/>
      <c r="EP45" s="782"/>
      <c r="EQ45" s="782"/>
      <c r="ER45" s="782"/>
      <c r="ES45" s="782"/>
      <c r="ET45" s="782"/>
      <c r="EU45" s="782"/>
      <c r="EV45" s="782"/>
      <c r="EW45" s="782"/>
      <c r="EX45" s="782"/>
      <c r="EY45" s="782"/>
      <c r="EZ45" s="782"/>
      <c r="FA45" s="782"/>
      <c r="FB45" s="782"/>
      <c r="FC45" s="782"/>
      <c r="FD45" s="782"/>
      <c r="FE45" s="782"/>
      <c r="FF45" s="782"/>
      <c r="FG45" s="782"/>
      <c r="FH45" s="782"/>
      <c r="FI45" s="782"/>
      <c r="FJ45" s="782"/>
      <c r="FK45" s="782"/>
      <c r="FL45" s="782"/>
      <c r="FM45" s="782"/>
      <c r="FN45" s="782"/>
      <c r="FO45" s="782"/>
      <c r="FP45" s="782"/>
      <c r="FQ45" s="782"/>
      <c r="FR45" s="782"/>
      <c r="FS45" s="782"/>
      <c r="FT45" s="782"/>
      <c r="FU45" s="782"/>
      <c r="FV45" s="782"/>
      <c r="FW45" s="782"/>
      <c r="FX45" s="782"/>
      <c r="FY45" s="782"/>
      <c r="FZ45" s="782"/>
      <c r="GA45" s="782"/>
      <c r="GB45" s="782"/>
      <c r="GC45" s="782"/>
      <c r="GD45" s="782"/>
      <c r="GE45" s="782"/>
      <c r="GF45" s="782"/>
      <c r="GG45" s="782"/>
      <c r="GH45" s="782"/>
      <c r="GI45" s="782"/>
      <c r="GJ45" s="782"/>
      <c r="GK45" s="782"/>
      <c r="GL45" s="1040"/>
    </row>
    <row r="46" spans="1:194" ht="18.899999999999999" hidden="1" customHeight="1">
      <c r="A46" s="1372"/>
      <c r="B46" s="1333"/>
      <c r="C46" s="549"/>
      <c r="D46" s="548"/>
      <c r="E46" s="548"/>
      <c r="F46" s="548"/>
      <c r="G46" s="548"/>
      <c r="H46" s="548"/>
      <c r="I46" s="548"/>
      <c r="J46" s="548"/>
      <c r="K46" s="548"/>
      <c r="L46" s="548"/>
      <c r="M46" s="548"/>
      <c r="N46" s="548"/>
      <c r="O46" s="548"/>
      <c r="P46" s="548"/>
      <c r="Q46" s="548"/>
      <c r="R46" s="548"/>
      <c r="S46" s="548"/>
      <c r="T46" s="439"/>
      <c r="U46" s="440"/>
      <c r="V46" s="507"/>
      <c r="W46" s="440"/>
      <c r="X46" s="440"/>
      <c r="Y46" s="778"/>
      <c r="Z46" s="778"/>
      <c r="AA46" s="440"/>
      <c r="AB46" s="550"/>
      <c r="AC46" s="550"/>
      <c r="AD46" s="551"/>
      <c r="AE46" s="551"/>
      <c r="AF46" s="779"/>
      <c r="AG46" s="551"/>
      <c r="AH46" s="551"/>
      <c r="AI46" s="551"/>
      <c r="AJ46" s="551"/>
      <c r="AK46" s="551"/>
      <c r="AL46" s="551"/>
      <c r="AM46" s="551"/>
      <c r="AN46" s="551"/>
      <c r="AO46" s="551"/>
      <c r="AP46" s="551"/>
      <c r="AQ46" s="551"/>
      <c r="AR46" s="551"/>
      <c r="AS46" s="551"/>
      <c r="AT46" s="551"/>
      <c r="AU46" s="551"/>
      <c r="AV46" s="551"/>
      <c r="AW46" s="551"/>
      <c r="AX46" s="551"/>
      <c r="AY46" s="551"/>
      <c r="AZ46" s="551"/>
      <c r="BA46" s="551"/>
      <c r="BB46" s="551"/>
      <c r="BC46" s="551"/>
      <c r="BD46" s="551"/>
      <c r="BE46" s="551"/>
      <c r="BF46" s="551"/>
      <c r="BG46" s="551"/>
      <c r="BH46" s="551"/>
      <c r="BI46" s="551"/>
      <c r="BJ46" s="551"/>
      <c r="BK46" s="551"/>
      <c r="BL46" s="551"/>
      <c r="BM46" s="551"/>
      <c r="BN46" s="551"/>
      <c r="BO46" s="551"/>
      <c r="BP46" s="551"/>
      <c r="BQ46" s="551"/>
      <c r="BR46" s="551"/>
      <c r="BS46" s="551"/>
      <c r="BT46" s="441"/>
      <c r="BU46" s="551"/>
      <c r="BV46" s="551"/>
      <c r="BW46" s="551"/>
      <c r="BX46" s="551"/>
      <c r="BY46" s="551"/>
      <c r="BZ46" s="551"/>
      <c r="CA46" s="551"/>
      <c r="CB46" s="551"/>
      <c r="CC46" s="551"/>
      <c r="CD46" s="551"/>
      <c r="CE46" s="551"/>
      <c r="CF46" s="551"/>
      <c r="CG46" s="551"/>
      <c r="CH46" s="551"/>
      <c r="CI46" s="551"/>
      <c r="CJ46" s="551"/>
      <c r="CK46" s="551"/>
      <c r="CL46" s="551"/>
      <c r="CM46" s="551"/>
      <c r="CN46" s="551"/>
      <c r="CO46" s="551"/>
      <c r="CP46" s="551"/>
      <c r="CQ46" s="551"/>
      <c r="CR46" s="551"/>
      <c r="CS46" s="551"/>
      <c r="CT46" s="551"/>
      <c r="CU46" s="551"/>
      <c r="CV46" s="551"/>
      <c r="CW46" s="551"/>
      <c r="CX46" s="551"/>
      <c r="CY46" s="551"/>
      <c r="CZ46" s="551"/>
      <c r="DA46" s="551"/>
      <c r="DB46" s="551"/>
      <c r="DC46" s="551"/>
      <c r="DD46" s="551"/>
      <c r="DE46" s="551"/>
      <c r="DF46" s="551"/>
      <c r="DG46" s="551"/>
      <c r="DH46" s="551"/>
      <c r="DI46" s="551"/>
      <c r="DJ46" s="551"/>
      <c r="DK46" s="551"/>
      <c r="DL46" s="551"/>
      <c r="DM46" s="551"/>
      <c r="DN46" s="551"/>
      <c r="DO46" s="551"/>
      <c r="DP46" s="551"/>
      <c r="DQ46" s="551"/>
      <c r="DR46" s="551"/>
      <c r="DS46" s="551"/>
      <c r="DT46" s="551"/>
      <c r="DU46" s="551"/>
      <c r="DV46" s="551"/>
      <c r="DW46" s="551"/>
      <c r="DX46" s="551"/>
      <c r="DY46" s="551"/>
      <c r="DZ46" s="551"/>
      <c r="EA46" s="551"/>
      <c r="EB46" s="780"/>
      <c r="EC46" s="551"/>
      <c r="ED46" s="551"/>
      <c r="EE46" s="551"/>
      <c r="EF46" s="551"/>
      <c r="EG46" s="551"/>
      <c r="EH46" s="551"/>
      <c r="EI46" s="551"/>
      <c r="EJ46" s="551"/>
      <c r="EK46" s="551"/>
      <c r="EL46" s="551"/>
      <c r="EM46" s="551"/>
      <c r="EN46" s="551"/>
      <c r="EO46" s="551"/>
      <c r="EP46" s="551"/>
      <c r="EQ46" s="551"/>
      <c r="ER46" s="551"/>
      <c r="ES46" s="551"/>
      <c r="ET46" s="551"/>
      <c r="EU46" s="551"/>
      <c r="EV46" s="551"/>
      <c r="EW46" s="551"/>
      <c r="EX46" s="551"/>
      <c r="EY46" s="551"/>
      <c r="EZ46" s="551"/>
      <c r="FA46" s="551"/>
      <c r="FB46" s="551"/>
      <c r="FC46" s="551"/>
      <c r="FD46" s="551"/>
      <c r="FE46" s="551"/>
      <c r="FF46" s="551"/>
      <c r="FG46" s="551"/>
      <c r="FH46" s="551"/>
      <c r="FI46" s="551"/>
      <c r="FJ46" s="781"/>
      <c r="FK46" s="781"/>
      <c r="FL46" s="781"/>
      <c r="FM46" s="781"/>
      <c r="FN46" s="781"/>
      <c r="FO46" s="781"/>
      <c r="FP46" s="781"/>
      <c r="FQ46" s="781"/>
      <c r="FR46" s="781"/>
      <c r="FS46" s="781"/>
      <c r="FT46" s="781"/>
      <c r="FU46" s="781"/>
      <c r="FV46" s="781"/>
      <c r="FW46" s="781"/>
      <c r="FX46" s="781"/>
      <c r="FY46" s="781"/>
      <c r="FZ46" s="781"/>
      <c r="GA46" s="781"/>
      <c r="GB46" s="781"/>
      <c r="GC46" s="781"/>
      <c r="GD46" s="781"/>
      <c r="GE46" s="781"/>
      <c r="GF46" s="781"/>
      <c r="GG46" s="781"/>
      <c r="GH46" s="781"/>
      <c r="GI46" s="781"/>
      <c r="GJ46" s="781"/>
      <c r="GK46" s="782"/>
      <c r="GL46" s="1334"/>
    </row>
    <row r="47" spans="1:194" ht="18.899999999999999" hidden="1" customHeight="1">
      <c r="A47" s="1372"/>
      <c r="B47" s="1333"/>
      <c r="C47" s="549"/>
      <c r="D47" s="548"/>
      <c r="E47" s="548"/>
      <c r="F47" s="548"/>
      <c r="G47" s="548"/>
      <c r="H47" s="548"/>
      <c r="I47" s="548"/>
      <c r="J47" s="548"/>
      <c r="K47" s="548"/>
      <c r="L47" s="548"/>
      <c r="M47" s="548"/>
      <c r="N47" s="548"/>
      <c r="O47" s="548"/>
      <c r="P47" s="548"/>
      <c r="Q47" s="548"/>
      <c r="R47" s="548"/>
      <c r="S47" s="548"/>
      <c r="T47" s="439"/>
      <c r="U47" s="440"/>
      <c r="V47" s="507"/>
      <c r="W47" s="440"/>
      <c r="X47" s="441"/>
      <c r="Y47" s="778"/>
      <c r="Z47" s="778"/>
      <c r="AA47" s="784"/>
      <c r="AB47" s="784"/>
      <c r="AC47" s="784"/>
      <c r="AD47" s="784"/>
      <c r="AE47" s="784"/>
      <c r="AF47" s="779"/>
      <c r="AG47" s="784"/>
      <c r="AH47" s="784"/>
      <c r="AI47" s="784"/>
      <c r="AJ47" s="784"/>
      <c r="AK47" s="784"/>
      <c r="AL47" s="784"/>
      <c r="AM47" s="784"/>
      <c r="AN47" s="784"/>
      <c r="AO47" s="784"/>
      <c r="AP47" s="784"/>
      <c r="AQ47" s="784"/>
      <c r="AR47" s="784"/>
      <c r="AS47" s="784"/>
      <c r="AT47" s="784"/>
      <c r="AU47" s="784"/>
      <c r="AV47" s="784"/>
      <c r="AW47" s="784"/>
      <c r="AX47" s="784"/>
      <c r="AY47" s="784"/>
      <c r="AZ47" s="784"/>
      <c r="BA47" s="784"/>
      <c r="BB47" s="784"/>
      <c r="BC47" s="784"/>
      <c r="BD47" s="784"/>
      <c r="BE47" s="784"/>
      <c r="BF47" s="784"/>
      <c r="BG47" s="784"/>
      <c r="BH47" s="784"/>
      <c r="BI47" s="784"/>
      <c r="BJ47" s="784"/>
      <c r="BK47" s="784"/>
      <c r="BL47" s="784"/>
      <c r="BM47" s="784"/>
      <c r="BN47" s="784"/>
      <c r="BO47" s="784"/>
      <c r="BP47" s="784"/>
      <c r="BQ47" s="784"/>
      <c r="BR47" s="784"/>
      <c r="BS47" s="784"/>
      <c r="BT47" s="551"/>
      <c r="BU47" s="779"/>
      <c r="BV47" s="785"/>
      <c r="BW47" s="785"/>
      <c r="BX47" s="785"/>
      <c r="BY47" s="784"/>
      <c r="BZ47" s="784"/>
      <c r="CA47" s="784"/>
      <c r="CB47" s="784"/>
      <c r="CC47" s="784"/>
      <c r="CD47" s="784"/>
      <c r="CE47" s="784"/>
      <c r="CF47" s="784"/>
      <c r="CG47" s="784"/>
      <c r="CH47" s="784"/>
      <c r="CI47" s="784"/>
      <c r="CJ47" s="784"/>
      <c r="CK47" s="784"/>
      <c r="CL47" s="784"/>
      <c r="CM47" s="784"/>
      <c r="CN47" s="784"/>
      <c r="CO47" s="784"/>
      <c r="CP47" s="784"/>
      <c r="CQ47" s="784"/>
      <c r="CR47" s="784"/>
      <c r="CS47" s="784"/>
      <c r="CT47" s="784"/>
      <c r="CU47" s="785"/>
      <c r="CV47" s="785"/>
      <c r="CW47" s="785"/>
      <c r="CX47" s="779"/>
      <c r="CY47" s="779"/>
      <c r="CZ47" s="785"/>
      <c r="DA47" s="785"/>
      <c r="DB47" s="785"/>
      <c r="DC47" s="785"/>
      <c r="DD47" s="785"/>
      <c r="DE47" s="551"/>
      <c r="DF47" s="551"/>
      <c r="DG47" s="784"/>
      <c r="DH47" s="784"/>
      <c r="DI47" s="784"/>
      <c r="DJ47" s="441"/>
      <c r="DK47" s="441"/>
      <c r="DL47" s="441"/>
      <c r="DM47" s="441"/>
      <c r="DN47" s="441"/>
      <c r="DO47" s="441"/>
      <c r="DP47" s="441"/>
      <c r="DQ47" s="441"/>
      <c r="DR47" s="441"/>
      <c r="DS47" s="441"/>
      <c r="DT47" s="441"/>
      <c r="DU47" s="441"/>
      <c r="DV47" s="441"/>
      <c r="DW47" s="441"/>
      <c r="DX47" s="441"/>
      <c r="DY47" s="441"/>
      <c r="DZ47" s="441"/>
      <c r="EA47" s="441"/>
      <c r="EB47" s="783"/>
      <c r="EC47" s="441"/>
      <c r="ED47" s="441"/>
      <c r="EE47" s="441"/>
      <c r="EF47" s="441"/>
      <c r="EG47" s="441"/>
      <c r="EH47" s="441"/>
      <c r="EI47" s="441"/>
      <c r="EJ47" s="441"/>
      <c r="EK47" s="441"/>
      <c r="EL47" s="441"/>
      <c r="EM47" s="441"/>
      <c r="EN47" s="441"/>
      <c r="EO47" s="441"/>
      <c r="EP47" s="441"/>
      <c r="EQ47" s="441"/>
      <c r="ER47" s="441"/>
      <c r="ES47" s="441"/>
      <c r="ET47" s="441"/>
      <c r="EU47" s="441"/>
      <c r="EV47" s="441"/>
      <c r="EW47" s="441"/>
      <c r="EX47" s="441"/>
      <c r="EY47" s="441"/>
      <c r="EZ47" s="441"/>
      <c r="FA47" s="441"/>
      <c r="FB47" s="441"/>
      <c r="FC47" s="441"/>
      <c r="FD47" s="441"/>
      <c r="FE47" s="441"/>
      <c r="FF47" s="441"/>
      <c r="FG47" s="441"/>
      <c r="FH47" s="441"/>
      <c r="FI47" s="441"/>
      <c r="FJ47" s="781"/>
      <c r="FK47" s="781"/>
      <c r="FL47" s="781"/>
      <c r="FM47" s="781"/>
      <c r="FN47" s="781"/>
      <c r="FO47" s="781"/>
      <c r="FP47" s="781"/>
      <c r="FQ47" s="781"/>
      <c r="FR47" s="781"/>
      <c r="FS47" s="781"/>
      <c r="FT47" s="781"/>
      <c r="FU47" s="781"/>
      <c r="FV47" s="781"/>
      <c r="FW47" s="781"/>
      <c r="FX47" s="781"/>
      <c r="FY47" s="781"/>
      <c r="FZ47" s="781"/>
      <c r="GA47" s="781"/>
      <c r="GB47" s="781"/>
      <c r="GC47" s="781"/>
      <c r="GD47" s="781"/>
      <c r="GE47" s="781"/>
      <c r="GF47" s="781"/>
      <c r="GG47" s="781"/>
      <c r="GH47" s="781"/>
      <c r="GI47" s="781"/>
      <c r="GJ47" s="781"/>
      <c r="GK47" s="781"/>
      <c r="GL47" s="1335"/>
    </row>
    <row r="48" spans="1:194" ht="18.899999999999999" hidden="1" customHeight="1">
      <c r="A48" s="1372"/>
      <c r="B48" s="1333"/>
      <c r="C48" s="549"/>
      <c r="D48" s="548"/>
      <c r="E48" s="548"/>
      <c r="F48" s="548"/>
      <c r="G48" s="548"/>
      <c r="H48" s="548"/>
      <c r="I48" s="548"/>
      <c r="J48" s="548"/>
      <c r="K48" s="548"/>
      <c r="L48" s="548"/>
      <c r="M48" s="548"/>
      <c r="N48" s="548"/>
      <c r="O48" s="548"/>
      <c r="P48" s="548"/>
      <c r="Q48" s="548"/>
      <c r="R48" s="548"/>
      <c r="S48" s="548"/>
      <c r="T48" s="439"/>
      <c r="U48" s="440"/>
      <c r="V48" s="507"/>
      <c r="W48" s="440"/>
      <c r="X48" s="441"/>
      <c r="Y48" s="778"/>
      <c r="Z48" s="778"/>
      <c r="AA48" s="784"/>
      <c r="AB48" s="784"/>
      <c r="AC48" s="784"/>
      <c r="AD48" s="784"/>
      <c r="AE48" s="784"/>
      <c r="AF48" s="779"/>
      <c r="AG48" s="784"/>
      <c r="AH48" s="784"/>
      <c r="AI48" s="784"/>
      <c r="AJ48" s="784"/>
      <c r="AK48" s="784"/>
      <c r="AL48" s="784"/>
      <c r="AM48" s="784"/>
      <c r="AN48" s="784"/>
      <c r="AO48" s="784"/>
      <c r="AP48" s="784"/>
      <c r="AQ48" s="784"/>
      <c r="AR48" s="784"/>
      <c r="AS48" s="784"/>
      <c r="AT48" s="784"/>
      <c r="AU48" s="784"/>
      <c r="AV48" s="784"/>
      <c r="AW48" s="784"/>
      <c r="AX48" s="784"/>
      <c r="AY48" s="784"/>
      <c r="AZ48" s="784"/>
      <c r="BA48" s="784"/>
      <c r="BB48" s="784"/>
      <c r="BC48" s="784"/>
      <c r="BD48" s="784"/>
      <c r="BE48" s="784"/>
      <c r="BF48" s="784"/>
      <c r="BG48" s="784"/>
      <c r="BH48" s="784"/>
      <c r="BI48" s="784"/>
      <c r="BJ48" s="784"/>
      <c r="BK48" s="784"/>
      <c r="BL48" s="784"/>
      <c r="BM48" s="784"/>
      <c r="BN48" s="784"/>
      <c r="BO48" s="784"/>
      <c r="BP48" s="784"/>
      <c r="BQ48" s="784"/>
      <c r="BR48" s="784"/>
      <c r="BS48" s="784"/>
      <c r="BT48" s="551"/>
      <c r="BU48" s="779"/>
      <c r="BV48" s="785"/>
      <c r="BW48" s="785"/>
      <c r="BX48" s="785"/>
      <c r="BY48" s="784"/>
      <c r="BZ48" s="784"/>
      <c r="CA48" s="784"/>
      <c r="CB48" s="784"/>
      <c r="CC48" s="784"/>
      <c r="CD48" s="784"/>
      <c r="CE48" s="784"/>
      <c r="CF48" s="784"/>
      <c r="CG48" s="784"/>
      <c r="CH48" s="784"/>
      <c r="CI48" s="784"/>
      <c r="CJ48" s="784"/>
      <c r="CK48" s="784"/>
      <c r="CL48" s="784"/>
      <c r="CM48" s="784"/>
      <c r="CN48" s="784"/>
      <c r="CO48" s="784"/>
      <c r="CP48" s="784"/>
      <c r="CQ48" s="784"/>
      <c r="CR48" s="784"/>
      <c r="CS48" s="784"/>
      <c r="CT48" s="784"/>
      <c r="CU48" s="785"/>
      <c r="CV48" s="785"/>
      <c r="CW48" s="785"/>
      <c r="CX48" s="779"/>
      <c r="CY48" s="779"/>
      <c r="CZ48" s="785"/>
      <c r="DA48" s="785"/>
      <c r="DB48" s="785"/>
      <c r="DC48" s="785"/>
      <c r="DD48" s="785"/>
      <c r="DE48" s="551"/>
      <c r="DF48" s="551"/>
      <c r="DG48" s="784"/>
      <c r="DH48" s="784"/>
      <c r="DI48" s="784"/>
      <c r="DJ48" s="441"/>
      <c r="DK48" s="441"/>
      <c r="DL48" s="441"/>
      <c r="DM48" s="441"/>
      <c r="DN48" s="441"/>
      <c r="DO48" s="441"/>
      <c r="DP48" s="441"/>
      <c r="DQ48" s="441"/>
      <c r="DR48" s="441"/>
      <c r="DS48" s="441"/>
      <c r="DT48" s="441"/>
      <c r="DU48" s="441"/>
      <c r="DV48" s="441"/>
      <c r="DW48" s="441"/>
      <c r="DX48" s="441"/>
      <c r="DY48" s="441"/>
      <c r="DZ48" s="441"/>
      <c r="EA48" s="441"/>
      <c r="EB48" s="783"/>
      <c r="EC48" s="441"/>
      <c r="ED48" s="441"/>
      <c r="EE48" s="441"/>
      <c r="EF48" s="441"/>
      <c r="EG48" s="441"/>
      <c r="EH48" s="441"/>
      <c r="EI48" s="441"/>
      <c r="EJ48" s="441"/>
      <c r="EK48" s="441"/>
      <c r="EL48" s="441"/>
      <c r="EM48" s="441"/>
      <c r="EN48" s="441"/>
      <c r="EO48" s="441"/>
      <c r="EP48" s="441"/>
      <c r="EQ48" s="441"/>
      <c r="ER48" s="441"/>
      <c r="ES48" s="441"/>
      <c r="ET48" s="441"/>
      <c r="EU48" s="441"/>
      <c r="EV48" s="441"/>
      <c r="EW48" s="441"/>
      <c r="EX48" s="441"/>
      <c r="EY48" s="441"/>
      <c r="EZ48" s="441"/>
      <c r="FA48" s="441"/>
      <c r="FB48" s="441"/>
      <c r="FC48" s="441"/>
      <c r="FD48" s="441"/>
      <c r="FE48" s="441"/>
      <c r="FF48" s="441"/>
      <c r="FG48" s="441"/>
      <c r="FH48" s="441"/>
      <c r="FI48" s="441"/>
      <c r="FJ48" s="781"/>
      <c r="FK48" s="781"/>
      <c r="FL48" s="781"/>
      <c r="FM48" s="781"/>
      <c r="FN48" s="781"/>
      <c r="FO48" s="781"/>
      <c r="FP48" s="781"/>
      <c r="FQ48" s="781"/>
      <c r="FR48" s="781"/>
      <c r="FS48" s="781"/>
      <c r="FT48" s="781"/>
      <c r="FU48" s="781"/>
      <c r="FV48" s="781"/>
      <c r="FW48" s="781"/>
      <c r="FX48" s="781"/>
      <c r="FY48" s="781"/>
      <c r="FZ48" s="781"/>
      <c r="GA48" s="781"/>
      <c r="GB48" s="781"/>
      <c r="GC48" s="781"/>
      <c r="GD48" s="781"/>
      <c r="GE48" s="781"/>
      <c r="GF48" s="781"/>
      <c r="GG48" s="781"/>
      <c r="GH48" s="781"/>
      <c r="GI48" s="781"/>
      <c r="GJ48" s="781"/>
      <c r="GK48" s="781"/>
      <c r="GL48" s="1335"/>
    </row>
    <row r="49" spans="1:194" ht="18.899999999999999" hidden="1" customHeight="1">
      <c r="A49" s="1372"/>
      <c r="B49" s="1333"/>
      <c r="C49" s="549"/>
      <c r="D49" s="548"/>
      <c r="E49" s="548"/>
      <c r="F49" s="548"/>
      <c r="G49" s="548"/>
      <c r="H49" s="548"/>
      <c r="I49" s="548"/>
      <c r="J49" s="548"/>
      <c r="K49" s="548"/>
      <c r="L49" s="548"/>
      <c r="M49" s="548"/>
      <c r="N49" s="548"/>
      <c r="O49" s="548"/>
      <c r="P49" s="548"/>
      <c r="Q49" s="548"/>
      <c r="R49" s="548"/>
      <c r="S49" s="548"/>
      <c r="T49" s="439"/>
      <c r="U49" s="440"/>
      <c r="V49" s="507"/>
      <c r="W49" s="440"/>
      <c r="X49" s="441"/>
      <c r="Y49" s="778"/>
      <c r="Z49" s="778"/>
      <c r="AA49" s="784"/>
      <c r="AB49" s="784"/>
      <c r="AC49" s="784"/>
      <c r="AD49" s="784"/>
      <c r="AE49" s="784"/>
      <c r="AF49" s="779"/>
      <c r="AG49" s="784"/>
      <c r="AH49" s="784"/>
      <c r="AI49" s="784"/>
      <c r="AJ49" s="784"/>
      <c r="AK49" s="784"/>
      <c r="AL49" s="784"/>
      <c r="AM49" s="784"/>
      <c r="AN49" s="784"/>
      <c r="AO49" s="784"/>
      <c r="AP49" s="784"/>
      <c r="AQ49" s="784"/>
      <c r="AR49" s="784"/>
      <c r="AS49" s="784"/>
      <c r="AT49" s="784"/>
      <c r="AU49" s="784"/>
      <c r="AV49" s="784"/>
      <c r="AW49" s="784"/>
      <c r="AX49" s="784"/>
      <c r="AY49" s="784"/>
      <c r="AZ49" s="784"/>
      <c r="BA49" s="784"/>
      <c r="BB49" s="784"/>
      <c r="BC49" s="784"/>
      <c r="BD49" s="784"/>
      <c r="BE49" s="784"/>
      <c r="BF49" s="784"/>
      <c r="BG49" s="784"/>
      <c r="BH49" s="784"/>
      <c r="BI49" s="784"/>
      <c r="BJ49" s="784"/>
      <c r="BK49" s="784"/>
      <c r="BL49" s="784"/>
      <c r="BM49" s="784"/>
      <c r="BN49" s="784"/>
      <c r="BO49" s="784"/>
      <c r="BP49" s="784"/>
      <c r="BQ49" s="784"/>
      <c r="BR49" s="784"/>
      <c r="BS49" s="784"/>
      <c r="BT49" s="551"/>
      <c r="BU49" s="779"/>
      <c r="BV49" s="785"/>
      <c r="BW49" s="785"/>
      <c r="BX49" s="785"/>
      <c r="BY49" s="784"/>
      <c r="BZ49" s="784"/>
      <c r="CA49" s="784"/>
      <c r="CB49" s="784"/>
      <c r="CC49" s="784"/>
      <c r="CD49" s="784"/>
      <c r="CE49" s="784"/>
      <c r="CF49" s="784"/>
      <c r="CG49" s="784"/>
      <c r="CH49" s="784"/>
      <c r="CI49" s="784"/>
      <c r="CJ49" s="784"/>
      <c r="CK49" s="784"/>
      <c r="CL49" s="784"/>
      <c r="CM49" s="784"/>
      <c r="CN49" s="784"/>
      <c r="CO49" s="784"/>
      <c r="CP49" s="784"/>
      <c r="CQ49" s="784"/>
      <c r="CR49" s="784"/>
      <c r="CS49" s="784"/>
      <c r="CT49" s="784"/>
      <c r="CU49" s="785"/>
      <c r="CV49" s="785"/>
      <c r="CW49" s="785"/>
      <c r="CX49" s="779"/>
      <c r="CY49" s="779"/>
      <c r="CZ49" s="785"/>
      <c r="DA49" s="785"/>
      <c r="DB49" s="785"/>
      <c r="DC49" s="785"/>
      <c r="DD49" s="785"/>
      <c r="DE49" s="551"/>
      <c r="DF49" s="551"/>
      <c r="DG49" s="784"/>
      <c r="DH49" s="784"/>
      <c r="DI49" s="784"/>
      <c r="DJ49" s="441"/>
      <c r="DK49" s="441"/>
      <c r="DL49" s="441"/>
      <c r="DM49" s="441"/>
      <c r="DN49" s="441"/>
      <c r="DO49" s="441"/>
      <c r="DP49" s="441"/>
      <c r="DQ49" s="441"/>
      <c r="DR49" s="441"/>
      <c r="DS49" s="441"/>
      <c r="DT49" s="441"/>
      <c r="DU49" s="441"/>
      <c r="DV49" s="441"/>
      <c r="DW49" s="441"/>
      <c r="DX49" s="441"/>
      <c r="DY49" s="441"/>
      <c r="DZ49" s="441"/>
      <c r="EA49" s="441"/>
      <c r="EB49" s="783"/>
      <c r="EC49" s="441"/>
      <c r="ED49" s="441"/>
      <c r="EE49" s="441"/>
      <c r="EF49" s="441"/>
      <c r="EG49" s="441"/>
      <c r="EH49" s="441"/>
      <c r="EI49" s="441"/>
      <c r="EJ49" s="441"/>
      <c r="EK49" s="441"/>
      <c r="EL49" s="441"/>
      <c r="EM49" s="441"/>
      <c r="EN49" s="441"/>
      <c r="EO49" s="441"/>
      <c r="EP49" s="441"/>
      <c r="EQ49" s="441"/>
      <c r="ER49" s="441"/>
      <c r="ES49" s="441"/>
      <c r="ET49" s="441"/>
      <c r="EU49" s="441"/>
      <c r="EV49" s="441"/>
      <c r="EW49" s="441"/>
      <c r="EX49" s="441"/>
      <c r="EY49" s="441"/>
      <c r="EZ49" s="441"/>
      <c r="FA49" s="441"/>
      <c r="FB49" s="441"/>
      <c r="FC49" s="441"/>
      <c r="FD49" s="441"/>
      <c r="FE49" s="441"/>
      <c r="FF49" s="441"/>
      <c r="FG49" s="441"/>
      <c r="FH49" s="441"/>
      <c r="FI49" s="441"/>
      <c r="FJ49" s="781"/>
      <c r="FK49" s="781"/>
      <c r="FL49" s="781"/>
      <c r="FM49" s="781"/>
      <c r="FN49" s="781"/>
      <c r="FO49" s="781"/>
      <c r="FP49" s="781"/>
      <c r="FQ49" s="781"/>
      <c r="FR49" s="781"/>
      <c r="FS49" s="781"/>
      <c r="FT49" s="781"/>
      <c r="FU49" s="781"/>
      <c r="FV49" s="781"/>
      <c r="FW49" s="781"/>
      <c r="FX49" s="781"/>
      <c r="FY49" s="781"/>
      <c r="FZ49" s="781"/>
      <c r="GA49" s="781"/>
      <c r="GB49" s="781"/>
      <c r="GC49" s="781"/>
      <c r="GD49" s="781"/>
      <c r="GE49" s="781"/>
      <c r="GF49" s="781"/>
      <c r="GG49" s="781"/>
      <c r="GH49" s="781"/>
      <c r="GI49" s="781"/>
      <c r="GJ49" s="781"/>
      <c r="GK49" s="781"/>
      <c r="GL49" s="1335"/>
    </row>
    <row r="50" spans="1:194" ht="18.899999999999999" hidden="1" customHeight="1">
      <c r="A50" s="1372"/>
      <c r="B50" s="1333"/>
      <c r="C50" s="549"/>
      <c r="D50" s="548"/>
      <c r="E50" s="548"/>
      <c r="F50" s="548"/>
      <c r="G50" s="548"/>
      <c r="H50" s="548"/>
      <c r="I50" s="548"/>
      <c r="J50" s="548"/>
      <c r="K50" s="548"/>
      <c r="L50" s="548"/>
      <c r="M50" s="548"/>
      <c r="N50" s="548"/>
      <c r="O50" s="548"/>
      <c r="P50" s="548"/>
      <c r="Q50" s="548"/>
      <c r="R50" s="548"/>
      <c r="S50" s="548"/>
      <c r="T50" s="439"/>
      <c r="U50" s="440"/>
      <c r="V50" s="507"/>
      <c r="W50" s="440"/>
      <c r="X50" s="441"/>
      <c r="Y50" s="778"/>
      <c r="Z50" s="778"/>
      <c r="AA50" s="784"/>
      <c r="AB50" s="784"/>
      <c r="AC50" s="784"/>
      <c r="AD50" s="784"/>
      <c r="AE50" s="784"/>
      <c r="AF50" s="779"/>
      <c r="AG50" s="784"/>
      <c r="AH50" s="784"/>
      <c r="AI50" s="784"/>
      <c r="AJ50" s="784"/>
      <c r="AK50" s="784"/>
      <c r="AL50" s="784"/>
      <c r="AM50" s="784"/>
      <c r="AN50" s="784"/>
      <c r="AO50" s="784"/>
      <c r="AP50" s="784"/>
      <c r="AQ50" s="784"/>
      <c r="AR50" s="784"/>
      <c r="AS50" s="784"/>
      <c r="AT50" s="784"/>
      <c r="AU50" s="784"/>
      <c r="AV50" s="784"/>
      <c r="AW50" s="784"/>
      <c r="AX50" s="784"/>
      <c r="AY50" s="784"/>
      <c r="AZ50" s="784"/>
      <c r="BA50" s="784"/>
      <c r="BB50" s="784"/>
      <c r="BC50" s="784"/>
      <c r="BD50" s="784"/>
      <c r="BE50" s="784"/>
      <c r="BF50" s="784"/>
      <c r="BG50" s="784"/>
      <c r="BH50" s="784"/>
      <c r="BI50" s="784"/>
      <c r="BJ50" s="784"/>
      <c r="BK50" s="784"/>
      <c r="BL50" s="784"/>
      <c r="BM50" s="784"/>
      <c r="BN50" s="784"/>
      <c r="BO50" s="784"/>
      <c r="BP50" s="784"/>
      <c r="BQ50" s="784"/>
      <c r="BR50" s="784"/>
      <c r="BS50" s="784"/>
      <c r="BT50" s="551"/>
      <c r="BU50" s="779"/>
      <c r="BV50" s="785"/>
      <c r="BW50" s="785"/>
      <c r="BX50" s="785"/>
      <c r="BY50" s="784"/>
      <c r="BZ50" s="784"/>
      <c r="CA50" s="784"/>
      <c r="CB50" s="784"/>
      <c r="CC50" s="784"/>
      <c r="CD50" s="784"/>
      <c r="CE50" s="784"/>
      <c r="CF50" s="784"/>
      <c r="CG50" s="784"/>
      <c r="CH50" s="441"/>
      <c r="CI50" s="784"/>
      <c r="CJ50" s="784"/>
      <c r="CK50" s="784"/>
      <c r="CL50" s="784"/>
      <c r="CM50" s="784"/>
      <c r="CN50" s="784"/>
      <c r="CO50" s="784"/>
      <c r="CP50" s="784"/>
      <c r="CQ50" s="784"/>
      <c r="CR50" s="784"/>
      <c r="CS50" s="784"/>
      <c r="CT50" s="784"/>
      <c r="CU50" s="785"/>
      <c r="CV50" s="785"/>
      <c r="CW50" s="785"/>
      <c r="CX50" s="779"/>
      <c r="CY50" s="779"/>
      <c r="CZ50" s="785"/>
      <c r="DA50" s="785"/>
      <c r="DB50" s="785"/>
      <c r="DC50" s="785"/>
      <c r="DD50" s="785"/>
      <c r="DE50" s="551"/>
      <c r="DF50" s="551"/>
      <c r="DG50" s="784"/>
      <c r="DH50" s="784"/>
      <c r="DI50" s="784"/>
      <c r="DJ50" s="441"/>
      <c r="DK50" s="441"/>
      <c r="DL50" s="441"/>
      <c r="DM50" s="441"/>
      <c r="DN50" s="441"/>
      <c r="DO50" s="441"/>
      <c r="DP50" s="441"/>
      <c r="DQ50" s="441"/>
      <c r="DR50" s="441"/>
      <c r="DS50" s="441"/>
      <c r="DT50" s="441"/>
      <c r="DU50" s="441"/>
      <c r="DV50" s="441"/>
      <c r="DW50" s="441"/>
      <c r="DX50" s="441"/>
      <c r="DY50" s="441"/>
      <c r="DZ50" s="441"/>
      <c r="EA50" s="441"/>
      <c r="EB50" s="783"/>
      <c r="EC50" s="441"/>
      <c r="ED50" s="441"/>
      <c r="EE50" s="441"/>
      <c r="EF50" s="441"/>
      <c r="EG50" s="441"/>
      <c r="EH50" s="441"/>
      <c r="EI50" s="441"/>
      <c r="EJ50" s="441"/>
      <c r="EK50" s="441"/>
      <c r="EL50" s="441"/>
      <c r="EM50" s="441"/>
      <c r="EN50" s="441"/>
      <c r="EO50" s="441"/>
      <c r="EP50" s="441"/>
      <c r="EQ50" s="441"/>
      <c r="ER50" s="441"/>
      <c r="ES50" s="441"/>
      <c r="ET50" s="441"/>
      <c r="EU50" s="441"/>
      <c r="EV50" s="441"/>
      <c r="EW50" s="441"/>
      <c r="EX50" s="441"/>
      <c r="EY50" s="441"/>
      <c r="EZ50" s="441"/>
      <c r="FA50" s="441"/>
      <c r="FB50" s="441"/>
      <c r="FC50" s="441"/>
      <c r="FD50" s="441"/>
      <c r="FE50" s="441"/>
      <c r="FF50" s="441"/>
      <c r="FG50" s="441"/>
      <c r="FH50" s="441"/>
      <c r="FI50" s="441"/>
      <c r="FJ50" s="781"/>
      <c r="FK50" s="781"/>
      <c r="FL50" s="781"/>
      <c r="FM50" s="781"/>
      <c r="FN50" s="781"/>
      <c r="FO50" s="781"/>
      <c r="FP50" s="781"/>
      <c r="FQ50" s="781"/>
      <c r="FR50" s="781"/>
      <c r="FS50" s="781"/>
      <c r="FT50" s="781"/>
      <c r="FU50" s="781"/>
      <c r="FV50" s="781"/>
      <c r="FW50" s="781"/>
      <c r="FX50" s="781"/>
      <c r="FY50" s="781"/>
      <c r="FZ50" s="781"/>
      <c r="GA50" s="781"/>
      <c r="GB50" s="781"/>
      <c r="GC50" s="781"/>
      <c r="GD50" s="781"/>
      <c r="GE50" s="781"/>
      <c r="GF50" s="781"/>
      <c r="GG50" s="781"/>
      <c r="GH50" s="781"/>
      <c r="GI50" s="781"/>
      <c r="GJ50" s="781"/>
      <c r="GK50" s="781"/>
      <c r="GL50" s="1335"/>
    </row>
    <row r="51" spans="1:194" ht="18.899999999999999" hidden="1" customHeight="1">
      <c r="A51" s="1372"/>
      <c r="B51" s="1333"/>
      <c r="C51" s="549"/>
      <c r="D51" s="548"/>
      <c r="E51" s="548"/>
      <c r="F51" s="548"/>
      <c r="G51" s="548"/>
      <c r="H51" s="548"/>
      <c r="I51" s="548"/>
      <c r="J51" s="548"/>
      <c r="K51" s="548"/>
      <c r="L51" s="548"/>
      <c r="M51" s="548"/>
      <c r="N51" s="548"/>
      <c r="O51" s="548"/>
      <c r="P51" s="548"/>
      <c r="Q51" s="548"/>
      <c r="R51" s="548"/>
      <c r="S51" s="548"/>
      <c r="T51" s="439"/>
      <c r="U51" s="440"/>
      <c r="V51" s="507"/>
      <c r="W51" s="440"/>
      <c r="X51" s="441"/>
      <c r="Y51" s="778"/>
      <c r="Z51" s="778"/>
      <c r="AA51" s="784"/>
      <c r="AB51" s="784"/>
      <c r="AC51" s="784"/>
      <c r="AD51" s="784"/>
      <c r="AE51" s="784"/>
      <c r="AF51" s="779"/>
      <c r="AG51" s="784"/>
      <c r="AH51" s="784"/>
      <c r="AI51" s="784"/>
      <c r="AJ51" s="784"/>
      <c r="AK51" s="784"/>
      <c r="AL51" s="784"/>
      <c r="AM51" s="784"/>
      <c r="AN51" s="784"/>
      <c r="AO51" s="784"/>
      <c r="AP51" s="784"/>
      <c r="AQ51" s="784"/>
      <c r="AR51" s="784"/>
      <c r="AS51" s="784"/>
      <c r="AT51" s="784"/>
      <c r="AU51" s="784"/>
      <c r="AV51" s="784"/>
      <c r="AW51" s="784"/>
      <c r="AX51" s="784"/>
      <c r="AY51" s="784"/>
      <c r="AZ51" s="784"/>
      <c r="BA51" s="784"/>
      <c r="BB51" s="784"/>
      <c r="BC51" s="784"/>
      <c r="BD51" s="784"/>
      <c r="BE51" s="784"/>
      <c r="BF51" s="784"/>
      <c r="BG51" s="784"/>
      <c r="BH51" s="784"/>
      <c r="BI51" s="784"/>
      <c r="BJ51" s="784"/>
      <c r="BK51" s="784"/>
      <c r="BL51" s="784"/>
      <c r="BM51" s="784"/>
      <c r="BN51" s="784"/>
      <c r="BO51" s="784"/>
      <c r="BP51" s="784"/>
      <c r="BQ51" s="784"/>
      <c r="BR51" s="784"/>
      <c r="BS51" s="784"/>
      <c r="BT51" s="551"/>
      <c r="BU51" s="779"/>
      <c r="BV51" s="785"/>
      <c r="BW51" s="785"/>
      <c r="BX51" s="785"/>
      <c r="BY51" s="784"/>
      <c r="BZ51" s="784"/>
      <c r="CA51" s="784"/>
      <c r="CB51" s="784"/>
      <c r="CC51" s="784"/>
      <c r="CD51" s="784"/>
      <c r="CE51" s="784"/>
      <c r="CF51" s="784"/>
      <c r="CG51" s="784"/>
      <c r="CH51" s="784"/>
      <c r="CI51" s="784"/>
      <c r="CJ51" s="784"/>
      <c r="CK51" s="784"/>
      <c r="CL51" s="784"/>
      <c r="CM51" s="784"/>
      <c r="CN51" s="784"/>
      <c r="CO51" s="784"/>
      <c r="CP51" s="784"/>
      <c r="CQ51" s="784"/>
      <c r="CR51" s="784"/>
      <c r="CS51" s="784"/>
      <c r="CT51" s="784"/>
      <c r="CU51" s="785"/>
      <c r="CV51" s="785"/>
      <c r="CW51" s="785"/>
      <c r="CX51" s="779"/>
      <c r="CY51" s="779"/>
      <c r="CZ51" s="785"/>
      <c r="DA51" s="785"/>
      <c r="DB51" s="785"/>
      <c r="DC51" s="785"/>
      <c r="DD51" s="785"/>
      <c r="DE51" s="551"/>
      <c r="DF51" s="551"/>
      <c r="DG51" s="784"/>
      <c r="DH51" s="784"/>
      <c r="DI51" s="784"/>
      <c r="DJ51" s="441"/>
      <c r="DK51" s="441"/>
      <c r="DL51" s="441"/>
      <c r="DM51" s="441"/>
      <c r="DN51" s="441"/>
      <c r="DO51" s="441"/>
      <c r="DP51" s="441"/>
      <c r="DQ51" s="441"/>
      <c r="DR51" s="441"/>
      <c r="DS51" s="441"/>
      <c r="DT51" s="441"/>
      <c r="DU51" s="441"/>
      <c r="DV51" s="441"/>
      <c r="DW51" s="441"/>
      <c r="DX51" s="441"/>
      <c r="DY51" s="441"/>
      <c r="DZ51" s="441"/>
      <c r="EA51" s="441"/>
      <c r="EB51" s="783"/>
      <c r="EC51" s="441"/>
      <c r="ED51" s="441"/>
      <c r="EE51" s="441"/>
      <c r="EF51" s="441"/>
      <c r="EG51" s="441"/>
      <c r="EH51" s="441"/>
      <c r="EI51" s="441"/>
      <c r="EJ51" s="441"/>
      <c r="EK51" s="441"/>
      <c r="EL51" s="441"/>
      <c r="EM51" s="441"/>
      <c r="EN51" s="441"/>
      <c r="EO51" s="441"/>
      <c r="EP51" s="441"/>
      <c r="EQ51" s="441"/>
      <c r="ER51" s="441"/>
      <c r="ES51" s="441"/>
      <c r="ET51" s="441"/>
      <c r="EU51" s="441"/>
      <c r="EV51" s="441"/>
      <c r="EW51" s="441"/>
      <c r="EX51" s="441"/>
      <c r="EY51" s="441"/>
      <c r="EZ51" s="441"/>
      <c r="FA51" s="441"/>
      <c r="FB51" s="441"/>
      <c r="FC51" s="441"/>
      <c r="FD51" s="441"/>
      <c r="FE51" s="441"/>
      <c r="FF51" s="441"/>
      <c r="FG51" s="441"/>
      <c r="FH51" s="441"/>
      <c r="FI51" s="441"/>
      <c r="FJ51" s="781"/>
      <c r="FK51" s="781"/>
      <c r="FL51" s="781"/>
      <c r="FM51" s="781"/>
      <c r="FN51" s="781"/>
      <c r="FO51" s="781"/>
      <c r="FP51" s="781"/>
      <c r="FQ51" s="781"/>
      <c r="FR51" s="781"/>
      <c r="FS51" s="781"/>
      <c r="FT51" s="781"/>
      <c r="FU51" s="781"/>
      <c r="FV51" s="781"/>
      <c r="FW51" s="781"/>
      <c r="FX51" s="781"/>
      <c r="FY51" s="781"/>
      <c r="FZ51" s="781"/>
      <c r="GA51" s="781"/>
      <c r="GB51" s="781"/>
      <c r="GC51" s="781"/>
      <c r="GD51" s="781"/>
      <c r="GE51" s="781"/>
      <c r="GF51" s="781"/>
      <c r="GG51" s="781"/>
      <c r="GH51" s="781"/>
      <c r="GI51" s="781"/>
      <c r="GJ51" s="781"/>
      <c r="GK51" s="781"/>
      <c r="GL51" s="1335"/>
    </row>
    <row r="52" spans="1:194" ht="18.899999999999999" hidden="1" customHeight="1">
      <c r="A52" s="1372"/>
      <c r="B52" s="1333"/>
      <c r="C52" s="549"/>
      <c r="D52" s="548"/>
      <c r="E52" s="548"/>
      <c r="F52" s="548"/>
      <c r="G52" s="548"/>
      <c r="H52" s="548"/>
      <c r="I52" s="548"/>
      <c r="J52" s="548"/>
      <c r="K52" s="548"/>
      <c r="L52" s="548"/>
      <c r="M52" s="548"/>
      <c r="N52" s="548"/>
      <c r="O52" s="548"/>
      <c r="P52" s="548"/>
      <c r="Q52" s="548"/>
      <c r="R52" s="548"/>
      <c r="S52" s="548"/>
      <c r="T52" s="439"/>
      <c r="U52" s="440"/>
      <c r="V52" s="507"/>
      <c r="W52" s="440"/>
      <c r="X52" s="441"/>
      <c r="Y52" s="778"/>
      <c r="Z52" s="778"/>
      <c r="AA52" s="784"/>
      <c r="AB52" s="784"/>
      <c r="AC52" s="784"/>
      <c r="AD52" s="784"/>
      <c r="AE52" s="784"/>
      <c r="AF52" s="779"/>
      <c r="AG52" s="784"/>
      <c r="AH52" s="784"/>
      <c r="AI52" s="784"/>
      <c r="AJ52" s="784"/>
      <c r="AK52" s="784"/>
      <c r="AL52" s="784"/>
      <c r="AM52" s="784"/>
      <c r="AN52" s="784"/>
      <c r="AO52" s="784"/>
      <c r="AP52" s="784"/>
      <c r="AQ52" s="784"/>
      <c r="AR52" s="784"/>
      <c r="AS52" s="784"/>
      <c r="AT52" s="784"/>
      <c r="AU52" s="784"/>
      <c r="AV52" s="784"/>
      <c r="AW52" s="784"/>
      <c r="AX52" s="784"/>
      <c r="AY52" s="784"/>
      <c r="AZ52" s="784"/>
      <c r="BA52" s="784"/>
      <c r="BB52" s="784"/>
      <c r="BC52" s="784"/>
      <c r="BD52" s="784"/>
      <c r="BE52" s="784"/>
      <c r="BF52" s="784"/>
      <c r="BG52" s="784"/>
      <c r="BH52" s="784"/>
      <c r="BI52" s="784"/>
      <c r="BJ52" s="784"/>
      <c r="BK52" s="784"/>
      <c r="BL52" s="784"/>
      <c r="BM52" s="784"/>
      <c r="BN52" s="784"/>
      <c r="BO52" s="784"/>
      <c r="BP52" s="784"/>
      <c r="BQ52" s="784"/>
      <c r="BR52" s="784"/>
      <c r="BS52" s="784"/>
      <c r="BT52" s="551"/>
      <c r="BU52" s="779"/>
      <c r="BV52" s="785"/>
      <c r="BW52" s="785"/>
      <c r="BX52" s="785"/>
      <c r="BY52" s="784"/>
      <c r="BZ52" s="784"/>
      <c r="CA52" s="784"/>
      <c r="CB52" s="784"/>
      <c r="CC52" s="784"/>
      <c r="CD52" s="784"/>
      <c r="CE52" s="784"/>
      <c r="CF52" s="784"/>
      <c r="CG52" s="784"/>
      <c r="CH52" s="784"/>
      <c r="CI52" s="784"/>
      <c r="CJ52" s="784"/>
      <c r="CK52" s="784"/>
      <c r="CL52" s="784"/>
      <c r="CM52" s="784"/>
      <c r="CN52" s="784"/>
      <c r="CO52" s="784"/>
      <c r="CP52" s="784"/>
      <c r="CQ52" s="784"/>
      <c r="CR52" s="784"/>
      <c r="CS52" s="784"/>
      <c r="CT52" s="784"/>
      <c r="CU52" s="785"/>
      <c r="CV52" s="785"/>
      <c r="CW52" s="785"/>
      <c r="CX52" s="779"/>
      <c r="CY52" s="779"/>
      <c r="CZ52" s="785"/>
      <c r="DA52" s="785"/>
      <c r="DB52" s="785"/>
      <c r="DC52" s="785"/>
      <c r="DD52" s="785"/>
      <c r="DE52" s="551"/>
      <c r="DF52" s="551"/>
      <c r="DG52" s="784"/>
      <c r="DH52" s="784"/>
      <c r="DI52" s="784"/>
      <c r="DJ52" s="441"/>
      <c r="DK52" s="441"/>
      <c r="DL52" s="441"/>
      <c r="DM52" s="441"/>
      <c r="DN52" s="441"/>
      <c r="DO52" s="441"/>
      <c r="DP52" s="441"/>
      <c r="DQ52" s="441"/>
      <c r="DR52" s="441"/>
      <c r="DS52" s="441"/>
      <c r="DT52" s="441"/>
      <c r="DU52" s="441"/>
      <c r="DV52" s="441"/>
      <c r="DW52" s="441"/>
      <c r="DX52" s="441"/>
      <c r="DY52" s="441"/>
      <c r="DZ52" s="441"/>
      <c r="EA52" s="441"/>
      <c r="EB52" s="783"/>
      <c r="EC52" s="441"/>
      <c r="ED52" s="441"/>
      <c r="EE52" s="441"/>
      <c r="EF52" s="441"/>
      <c r="EG52" s="441"/>
      <c r="EH52" s="441"/>
      <c r="EI52" s="441"/>
      <c r="EJ52" s="441"/>
      <c r="EK52" s="441"/>
      <c r="EL52" s="441"/>
      <c r="EM52" s="441"/>
      <c r="EN52" s="441"/>
      <c r="EO52" s="441"/>
      <c r="EP52" s="441"/>
      <c r="EQ52" s="441"/>
      <c r="ER52" s="441"/>
      <c r="ES52" s="441"/>
      <c r="ET52" s="441"/>
      <c r="EU52" s="441"/>
      <c r="EV52" s="441"/>
      <c r="EW52" s="441"/>
      <c r="EX52" s="441"/>
      <c r="EY52" s="441"/>
      <c r="EZ52" s="441"/>
      <c r="FA52" s="441"/>
      <c r="FB52" s="441"/>
      <c r="FC52" s="441"/>
      <c r="FD52" s="441"/>
      <c r="FE52" s="441"/>
      <c r="FF52" s="441"/>
      <c r="FG52" s="441"/>
      <c r="FH52" s="441"/>
      <c r="FI52" s="441"/>
      <c r="FJ52" s="781"/>
      <c r="FK52" s="781"/>
      <c r="FL52" s="781"/>
      <c r="FM52" s="781"/>
      <c r="FN52" s="781"/>
      <c r="FO52" s="781"/>
      <c r="FP52" s="781"/>
      <c r="FQ52" s="781"/>
      <c r="FR52" s="781"/>
      <c r="FS52" s="781"/>
      <c r="FT52" s="781"/>
      <c r="FU52" s="781"/>
      <c r="FV52" s="781"/>
      <c r="FW52" s="781"/>
      <c r="FX52" s="781"/>
      <c r="FY52" s="781"/>
      <c r="FZ52" s="781"/>
      <c r="GA52" s="781"/>
      <c r="GB52" s="781"/>
      <c r="GC52" s="781"/>
      <c r="GD52" s="781"/>
      <c r="GE52" s="781"/>
      <c r="GF52" s="781"/>
      <c r="GG52" s="781"/>
      <c r="GH52" s="781"/>
      <c r="GI52" s="781"/>
      <c r="GJ52" s="781"/>
      <c r="GK52" s="781"/>
      <c r="GL52" s="1335"/>
    </row>
    <row r="53" spans="1:194" ht="18.899999999999999" hidden="1" customHeight="1">
      <c r="A53" s="1372"/>
      <c r="B53" s="1333"/>
      <c r="C53" s="549"/>
      <c r="D53" s="548"/>
      <c r="E53" s="548"/>
      <c r="F53" s="548"/>
      <c r="G53" s="548"/>
      <c r="H53" s="548"/>
      <c r="I53" s="548"/>
      <c r="J53" s="548"/>
      <c r="K53" s="548"/>
      <c r="L53" s="548"/>
      <c r="M53" s="548"/>
      <c r="N53" s="548"/>
      <c r="O53" s="548"/>
      <c r="P53" s="548"/>
      <c r="Q53" s="548"/>
      <c r="R53" s="548"/>
      <c r="S53" s="548"/>
      <c r="T53" s="439"/>
      <c r="U53" s="440"/>
      <c r="V53" s="507"/>
      <c r="W53" s="440"/>
      <c r="X53" s="441"/>
      <c r="Y53" s="778"/>
      <c r="Z53" s="778"/>
      <c r="AA53" s="784"/>
      <c r="AB53" s="784"/>
      <c r="AC53" s="784"/>
      <c r="AD53" s="784"/>
      <c r="AE53" s="784"/>
      <c r="AF53" s="779"/>
      <c r="AG53" s="784"/>
      <c r="AH53" s="784"/>
      <c r="AI53" s="784"/>
      <c r="AJ53" s="784"/>
      <c r="AK53" s="784"/>
      <c r="AL53" s="784"/>
      <c r="AM53" s="784"/>
      <c r="AN53" s="784"/>
      <c r="AO53" s="784"/>
      <c r="AP53" s="784"/>
      <c r="AQ53" s="784"/>
      <c r="AR53" s="784"/>
      <c r="AS53" s="784"/>
      <c r="AT53" s="784"/>
      <c r="AU53" s="784"/>
      <c r="AV53" s="784"/>
      <c r="AW53" s="784"/>
      <c r="AX53" s="784"/>
      <c r="AY53" s="784"/>
      <c r="AZ53" s="784"/>
      <c r="BA53" s="784"/>
      <c r="BB53" s="784"/>
      <c r="BC53" s="784"/>
      <c r="BD53" s="784"/>
      <c r="BE53" s="784"/>
      <c r="BF53" s="784"/>
      <c r="BG53" s="784"/>
      <c r="BH53" s="784"/>
      <c r="BI53" s="784"/>
      <c r="BJ53" s="784"/>
      <c r="BK53" s="784"/>
      <c r="BL53" s="784"/>
      <c r="BM53" s="784"/>
      <c r="BN53" s="784"/>
      <c r="BO53" s="784"/>
      <c r="BP53" s="784"/>
      <c r="BQ53" s="784"/>
      <c r="BR53" s="784"/>
      <c r="BS53" s="784"/>
      <c r="BT53" s="551"/>
      <c r="BU53" s="779"/>
      <c r="BV53" s="785"/>
      <c r="BW53" s="785"/>
      <c r="BX53" s="785"/>
      <c r="BY53" s="784"/>
      <c r="BZ53" s="784"/>
      <c r="CA53" s="784"/>
      <c r="CB53" s="784"/>
      <c r="CC53" s="784"/>
      <c r="CD53" s="784"/>
      <c r="CE53" s="784"/>
      <c r="CF53" s="784"/>
      <c r="CG53" s="784"/>
      <c r="CH53" s="441"/>
      <c r="CI53" s="784"/>
      <c r="CJ53" s="784"/>
      <c r="CK53" s="784"/>
      <c r="CL53" s="784"/>
      <c r="CM53" s="784"/>
      <c r="CN53" s="784"/>
      <c r="CO53" s="784"/>
      <c r="CP53" s="784"/>
      <c r="CQ53" s="784"/>
      <c r="CR53" s="784"/>
      <c r="CS53" s="784"/>
      <c r="CT53" s="784"/>
      <c r="CU53" s="785"/>
      <c r="CV53" s="785"/>
      <c r="CW53" s="785"/>
      <c r="CX53" s="779"/>
      <c r="CY53" s="779"/>
      <c r="CZ53" s="785"/>
      <c r="DA53" s="785"/>
      <c r="DB53" s="785"/>
      <c r="DC53" s="785"/>
      <c r="DD53" s="785"/>
      <c r="DE53" s="551"/>
      <c r="DF53" s="551"/>
      <c r="DG53" s="784"/>
      <c r="DH53" s="784"/>
      <c r="DI53" s="784"/>
      <c r="DJ53" s="441"/>
      <c r="DK53" s="441"/>
      <c r="DL53" s="441"/>
      <c r="DM53" s="441"/>
      <c r="DN53" s="441"/>
      <c r="DO53" s="441"/>
      <c r="DP53" s="441"/>
      <c r="DQ53" s="441"/>
      <c r="DR53" s="441"/>
      <c r="DS53" s="441"/>
      <c r="DT53" s="441"/>
      <c r="DU53" s="441"/>
      <c r="DV53" s="441"/>
      <c r="DW53" s="441"/>
      <c r="DX53" s="441"/>
      <c r="DY53" s="441"/>
      <c r="DZ53" s="441"/>
      <c r="EA53" s="441"/>
      <c r="EB53" s="783"/>
      <c r="EC53" s="441"/>
      <c r="ED53" s="441"/>
      <c r="EE53" s="441"/>
      <c r="EF53" s="441"/>
      <c r="EG53" s="441"/>
      <c r="EH53" s="441"/>
      <c r="EI53" s="441"/>
      <c r="EJ53" s="441"/>
      <c r="EK53" s="441"/>
      <c r="EL53" s="441"/>
      <c r="EM53" s="441"/>
      <c r="EN53" s="441"/>
      <c r="EO53" s="441"/>
      <c r="EP53" s="441"/>
      <c r="EQ53" s="441"/>
      <c r="ER53" s="441"/>
      <c r="ES53" s="441"/>
      <c r="ET53" s="441"/>
      <c r="EU53" s="441"/>
      <c r="EV53" s="441"/>
      <c r="EW53" s="441"/>
      <c r="EX53" s="441"/>
      <c r="EY53" s="441"/>
      <c r="EZ53" s="441"/>
      <c r="FA53" s="441"/>
      <c r="FB53" s="441"/>
      <c r="FC53" s="441"/>
      <c r="FD53" s="441"/>
      <c r="FE53" s="441"/>
      <c r="FF53" s="441"/>
      <c r="FG53" s="441"/>
      <c r="FH53" s="441"/>
      <c r="FI53" s="441"/>
      <c r="FJ53" s="781"/>
      <c r="FK53" s="781"/>
      <c r="FL53" s="781"/>
      <c r="FM53" s="781"/>
      <c r="FN53" s="781"/>
      <c r="FO53" s="781"/>
      <c r="FP53" s="781"/>
      <c r="FQ53" s="781"/>
      <c r="FR53" s="781"/>
      <c r="FS53" s="781"/>
      <c r="FT53" s="781"/>
      <c r="FU53" s="781"/>
      <c r="FV53" s="781"/>
      <c r="FW53" s="781"/>
      <c r="FX53" s="781"/>
      <c r="FY53" s="781"/>
      <c r="FZ53" s="781"/>
      <c r="GA53" s="781"/>
      <c r="GB53" s="781"/>
      <c r="GC53" s="781"/>
      <c r="GD53" s="781"/>
      <c r="GE53" s="781"/>
      <c r="GF53" s="781"/>
      <c r="GG53" s="781"/>
      <c r="GH53" s="781"/>
      <c r="GI53" s="781"/>
      <c r="GJ53" s="781"/>
      <c r="GK53" s="781"/>
      <c r="GL53" s="1335"/>
    </row>
    <row r="54" spans="1:194" ht="18.899999999999999" hidden="1" customHeight="1">
      <c r="A54" s="1372"/>
      <c r="B54" s="1333"/>
      <c r="C54" s="549"/>
      <c r="D54" s="548"/>
      <c r="E54" s="548"/>
      <c r="F54" s="548"/>
      <c r="G54" s="548"/>
      <c r="H54" s="548"/>
      <c r="I54" s="548"/>
      <c r="J54" s="548"/>
      <c r="K54" s="548"/>
      <c r="L54" s="548"/>
      <c r="M54" s="548"/>
      <c r="N54" s="548"/>
      <c r="O54" s="548"/>
      <c r="P54" s="548"/>
      <c r="Q54" s="548"/>
      <c r="R54" s="548"/>
      <c r="S54" s="548"/>
      <c r="T54" s="439"/>
      <c r="U54" s="440"/>
      <c r="V54" s="507"/>
      <c r="W54" s="440"/>
      <c r="X54" s="441"/>
      <c r="Y54" s="778"/>
      <c r="Z54" s="778"/>
      <c r="AA54" s="784"/>
      <c r="AB54" s="784"/>
      <c r="AC54" s="784"/>
      <c r="AD54" s="784"/>
      <c r="AE54" s="784"/>
      <c r="AF54" s="779"/>
      <c r="AG54" s="784"/>
      <c r="AH54" s="784"/>
      <c r="AI54" s="784"/>
      <c r="AJ54" s="784"/>
      <c r="AK54" s="784"/>
      <c r="AL54" s="784"/>
      <c r="AM54" s="784"/>
      <c r="AN54" s="784"/>
      <c r="AO54" s="784"/>
      <c r="AP54" s="784"/>
      <c r="AQ54" s="784"/>
      <c r="AR54" s="784"/>
      <c r="AS54" s="784"/>
      <c r="AT54" s="784"/>
      <c r="AU54" s="784"/>
      <c r="AV54" s="784"/>
      <c r="AW54" s="784"/>
      <c r="AX54" s="784"/>
      <c r="AY54" s="784"/>
      <c r="AZ54" s="784"/>
      <c r="BA54" s="784"/>
      <c r="BB54" s="784"/>
      <c r="BC54" s="784"/>
      <c r="BD54" s="784"/>
      <c r="BE54" s="784"/>
      <c r="BF54" s="784"/>
      <c r="BG54" s="784"/>
      <c r="BH54" s="784"/>
      <c r="BI54" s="784"/>
      <c r="BJ54" s="784"/>
      <c r="BK54" s="784"/>
      <c r="BL54" s="784"/>
      <c r="BM54" s="784"/>
      <c r="BN54" s="784"/>
      <c r="BO54" s="784"/>
      <c r="BP54" s="784"/>
      <c r="BQ54" s="784"/>
      <c r="BR54" s="784"/>
      <c r="BS54" s="784"/>
      <c r="BT54" s="551"/>
      <c r="BU54" s="779"/>
      <c r="BV54" s="785"/>
      <c r="BW54" s="785"/>
      <c r="BX54" s="785"/>
      <c r="BY54" s="784"/>
      <c r="BZ54" s="784"/>
      <c r="CA54" s="784"/>
      <c r="CB54" s="784"/>
      <c r="CC54" s="784"/>
      <c r="CD54" s="784"/>
      <c r="CE54" s="784"/>
      <c r="CF54" s="784"/>
      <c r="CG54" s="784"/>
      <c r="CH54" s="784"/>
      <c r="CI54" s="784"/>
      <c r="CJ54" s="784"/>
      <c r="CK54" s="784"/>
      <c r="CL54" s="784"/>
      <c r="CM54" s="784"/>
      <c r="CN54" s="784"/>
      <c r="CO54" s="784"/>
      <c r="CP54" s="784"/>
      <c r="CQ54" s="784"/>
      <c r="CR54" s="784"/>
      <c r="CS54" s="784"/>
      <c r="CT54" s="784"/>
      <c r="CU54" s="785"/>
      <c r="CV54" s="785"/>
      <c r="CW54" s="785"/>
      <c r="CX54" s="779"/>
      <c r="CY54" s="779"/>
      <c r="CZ54" s="785"/>
      <c r="DA54" s="785"/>
      <c r="DB54" s="785"/>
      <c r="DC54" s="785"/>
      <c r="DD54" s="785"/>
      <c r="DE54" s="551"/>
      <c r="DF54" s="551"/>
      <c r="DG54" s="784"/>
      <c r="DH54" s="784"/>
      <c r="DI54" s="784"/>
      <c r="DJ54" s="441"/>
      <c r="DK54" s="441"/>
      <c r="DL54" s="441"/>
      <c r="DM54" s="441"/>
      <c r="DN54" s="441"/>
      <c r="DO54" s="441"/>
      <c r="DP54" s="441"/>
      <c r="DQ54" s="441"/>
      <c r="DR54" s="441"/>
      <c r="DS54" s="441"/>
      <c r="DT54" s="441"/>
      <c r="DU54" s="441"/>
      <c r="DV54" s="441"/>
      <c r="DW54" s="441"/>
      <c r="DX54" s="441"/>
      <c r="DY54" s="441"/>
      <c r="DZ54" s="441"/>
      <c r="EA54" s="441"/>
      <c r="EB54" s="783"/>
      <c r="EC54" s="441"/>
      <c r="ED54" s="441"/>
      <c r="EE54" s="441"/>
      <c r="EF54" s="441"/>
      <c r="EG54" s="441"/>
      <c r="EH54" s="441"/>
      <c r="EI54" s="441"/>
      <c r="EJ54" s="441"/>
      <c r="EK54" s="441"/>
      <c r="EL54" s="441"/>
      <c r="EM54" s="441"/>
      <c r="EN54" s="441"/>
      <c r="EO54" s="441"/>
      <c r="EP54" s="441"/>
      <c r="EQ54" s="441"/>
      <c r="ER54" s="441"/>
      <c r="ES54" s="441"/>
      <c r="ET54" s="441"/>
      <c r="EU54" s="441"/>
      <c r="EV54" s="441"/>
      <c r="EW54" s="441"/>
      <c r="EX54" s="441"/>
      <c r="EY54" s="441"/>
      <c r="EZ54" s="441"/>
      <c r="FA54" s="441"/>
      <c r="FB54" s="441"/>
      <c r="FC54" s="441"/>
      <c r="FD54" s="441"/>
      <c r="FE54" s="441"/>
      <c r="FF54" s="441"/>
      <c r="FG54" s="441"/>
      <c r="FH54" s="441"/>
      <c r="FI54" s="441"/>
      <c r="FJ54" s="781"/>
      <c r="FK54" s="781"/>
      <c r="FL54" s="781"/>
      <c r="FM54" s="781"/>
      <c r="FN54" s="781"/>
      <c r="FO54" s="781"/>
      <c r="FP54" s="781"/>
      <c r="FQ54" s="781"/>
      <c r="FR54" s="781"/>
      <c r="FS54" s="781"/>
      <c r="FT54" s="781"/>
      <c r="FU54" s="781"/>
      <c r="FV54" s="781"/>
      <c r="FW54" s="781"/>
      <c r="FX54" s="781"/>
      <c r="FY54" s="781"/>
      <c r="FZ54" s="781"/>
      <c r="GA54" s="781"/>
      <c r="GB54" s="781"/>
      <c r="GC54" s="781"/>
      <c r="GD54" s="781"/>
      <c r="GE54" s="781"/>
      <c r="GF54" s="781"/>
      <c r="GG54" s="781"/>
      <c r="GH54" s="781"/>
      <c r="GI54" s="781"/>
      <c r="GJ54" s="781"/>
      <c r="GK54" s="781"/>
      <c r="GL54" s="1335"/>
    </row>
    <row r="55" spans="1:194" ht="18.899999999999999" hidden="1" customHeight="1">
      <c r="A55" s="1372"/>
      <c r="B55" s="1333"/>
      <c r="C55" s="549"/>
      <c r="D55" s="548"/>
      <c r="E55" s="548"/>
      <c r="F55" s="548"/>
      <c r="G55" s="548"/>
      <c r="H55" s="548"/>
      <c r="I55" s="548"/>
      <c r="J55" s="548"/>
      <c r="K55" s="548"/>
      <c r="L55" s="548"/>
      <c r="M55" s="548"/>
      <c r="N55" s="548"/>
      <c r="O55" s="548"/>
      <c r="P55" s="548"/>
      <c r="Q55" s="548"/>
      <c r="R55" s="548"/>
      <c r="S55" s="548"/>
      <c r="T55" s="439"/>
      <c r="U55" s="440"/>
      <c r="V55" s="507"/>
      <c r="W55" s="440"/>
      <c r="X55" s="440"/>
      <c r="Y55" s="778"/>
      <c r="Z55" s="778"/>
      <c r="AA55" s="784"/>
      <c r="AB55" s="784"/>
      <c r="AC55" s="784"/>
      <c r="AD55" s="784"/>
      <c r="AE55" s="784"/>
      <c r="AF55" s="779"/>
      <c r="AG55" s="784"/>
      <c r="AH55" s="784"/>
      <c r="AI55" s="784"/>
      <c r="AJ55" s="784"/>
      <c r="AK55" s="784"/>
      <c r="AL55" s="784"/>
      <c r="AM55" s="784"/>
      <c r="AN55" s="784"/>
      <c r="AO55" s="784"/>
      <c r="AP55" s="784"/>
      <c r="AQ55" s="784"/>
      <c r="AR55" s="784"/>
      <c r="AS55" s="784"/>
      <c r="AT55" s="784"/>
      <c r="AU55" s="784"/>
      <c r="AV55" s="784"/>
      <c r="AW55" s="784"/>
      <c r="AX55" s="784"/>
      <c r="AY55" s="784"/>
      <c r="AZ55" s="784"/>
      <c r="BA55" s="784"/>
      <c r="BB55" s="784"/>
      <c r="BC55" s="784"/>
      <c r="BD55" s="784"/>
      <c r="BE55" s="784"/>
      <c r="BF55" s="784"/>
      <c r="BG55" s="784"/>
      <c r="BH55" s="784"/>
      <c r="BI55" s="784"/>
      <c r="BJ55" s="784"/>
      <c r="BK55" s="784"/>
      <c r="BL55" s="784"/>
      <c r="BM55" s="784"/>
      <c r="BN55" s="784"/>
      <c r="BO55" s="784"/>
      <c r="BP55" s="784"/>
      <c r="BQ55" s="784"/>
      <c r="BR55" s="784"/>
      <c r="BS55" s="784"/>
      <c r="BT55" s="551"/>
      <c r="BU55" s="779"/>
      <c r="BV55" s="785"/>
      <c r="BW55" s="785"/>
      <c r="BX55" s="785"/>
      <c r="BY55" s="784"/>
      <c r="BZ55" s="784"/>
      <c r="CA55" s="784"/>
      <c r="CB55" s="784"/>
      <c r="CC55" s="784"/>
      <c r="CD55" s="784"/>
      <c r="CE55" s="784"/>
      <c r="CF55" s="784"/>
      <c r="CG55" s="784"/>
      <c r="CH55" s="784"/>
      <c r="CI55" s="784"/>
      <c r="CJ55" s="784"/>
      <c r="CK55" s="784"/>
      <c r="CL55" s="784"/>
      <c r="CM55" s="784"/>
      <c r="CN55" s="784"/>
      <c r="CO55" s="784"/>
      <c r="CP55" s="784"/>
      <c r="CQ55" s="784"/>
      <c r="CR55" s="784"/>
      <c r="CS55" s="784"/>
      <c r="CT55" s="784"/>
      <c r="CU55" s="785"/>
      <c r="CV55" s="785"/>
      <c r="CW55" s="785"/>
      <c r="CX55" s="779"/>
      <c r="CY55" s="779"/>
      <c r="CZ55" s="785"/>
      <c r="DA55" s="785"/>
      <c r="DB55" s="785"/>
      <c r="DC55" s="785"/>
      <c r="DD55" s="785"/>
      <c r="DE55" s="551"/>
      <c r="DF55" s="551"/>
      <c r="DG55" s="784"/>
      <c r="DH55" s="784"/>
      <c r="DI55" s="784"/>
      <c r="DJ55" s="441"/>
      <c r="DK55" s="441"/>
      <c r="DL55" s="441"/>
      <c r="DM55" s="441"/>
      <c r="DN55" s="441"/>
      <c r="DO55" s="441"/>
      <c r="DP55" s="441"/>
      <c r="DQ55" s="441"/>
      <c r="DR55" s="441"/>
      <c r="DS55" s="441"/>
      <c r="DT55" s="441"/>
      <c r="DU55" s="441"/>
      <c r="DV55" s="441"/>
      <c r="DW55" s="441"/>
      <c r="DX55" s="441"/>
      <c r="DY55" s="441"/>
      <c r="DZ55" s="441"/>
      <c r="EA55" s="441"/>
      <c r="EB55" s="783"/>
      <c r="EC55" s="441"/>
      <c r="ED55" s="441"/>
      <c r="EE55" s="441"/>
      <c r="EF55" s="441"/>
      <c r="EG55" s="441"/>
      <c r="EH55" s="441"/>
      <c r="EI55" s="441"/>
      <c r="EJ55" s="441"/>
      <c r="EK55" s="441"/>
      <c r="EL55" s="441"/>
      <c r="EM55" s="441"/>
      <c r="EN55" s="441"/>
      <c r="EO55" s="441"/>
      <c r="EP55" s="441"/>
      <c r="EQ55" s="441"/>
      <c r="ER55" s="441"/>
      <c r="ES55" s="441"/>
      <c r="ET55" s="441"/>
      <c r="EU55" s="441"/>
      <c r="EV55" s="441"/>
      <c r="EW55" s="441"/>
      <c r="EX55" s="441"/>
      <c r="EY55" s="441"/>
      <c r="EZ55" s="441"/>
      <c r="FA55" s="441"/>
      <c r="FB55" s="441"/>
      <c r="FC55" s="441"/>
      <c r="FD55" s="441"/>
      <c r="FE55" s="441"/>
      <c r="FF55" s="441"/>
      <c r="FG55" s="441"/>
      <c r="FH55" s="441"/>
      <c r="FI55" s="441"/>
      <c r="FJ55" s="781"/>
      <c r="FK55" s="781"/>
      <c r="FL55" s="781"/>
      <c r="FM55" s="781"/>
      <c r="FN55" s="781"/>
      <c r="FO55" s="781"/>
      <c r="FP55" s="781"/>
      <c r="FQ55" s="781"/>
      <c r="FR55" s="781"/>
      <c r="FS55" s="781"/>
      <c r="FT55" s="781"/>
      <c r="FU55" s="781"/>
      <c r="FV55" s="781"/>
      <c r="FW55" s="781"/>
      <c r="FX55" s="781"/>
      <c r="FY55" s="781"/>
      <c r="FZ55" s="781"/>
      <c r="GA55" s="781"/>
      <c r="GB55" s="781"/>
      <c r="GC55" s="781"/>
      <c r="GD55" s="781"/>
      <c r="GE55" s="781"/>
      <c r="GF55" s="781"/>
      <c r="GG55" s="781"/>
      <c r="GH55" s="781"/>
      <c r="GI55" s="781"/>
      <c r="GJ55" s="781"/>
      <c r="GK55" s="781"/>
      <c r="GL55" s="1335"/>
    </row>
    <row r="56" spans="1:194" ht="18.899999999999999" hidden="1" customHeight="1">
      <c r="A56" s="1372"/>
      <c r="B56" s="1333"/>
      <c r="C56" s="549"/>
      <c r="D56" s="548"/>
      <c r="E56" s="548"/>
      <c r="F56" s="548"/>
      <c r="G56" s="548"/>
      <c r="H56" s="548"/>
      <c r="I56" s="548"/>
      <c r="J56" s="548"/>
      <c r="K56" s="548"/>
      <c r="L56" s="548"/>
      <c r="M56" s="548"/>
      <c r="N56" s="548"/>
      <c r="O56" s="548"/>
      <c r="P56" s="548"/>
      <c r="Q56" s="548"/>
      <c r="R56" s="548"/>
      <c r="S56" s="548"/>
      <c r="T56" s="439"/>
      <c r="U56" s="440"/>
      <c r="V56" s="507"/>
      <c r="W56" s="440"/>
      <c r="X56" s="440"/>
      <c r="Y56" s="778"/>
      <c r="Z56" s="778"/>
      <c r="AA56" s="784"/>
      <c r="AB56" s="784"/>
      <c r="AC56" s="784"/>
      <c r="AD56" s="784"/>
      <c r="AE56" s="784"/>
      <c r="AF56" s="779"/>
      <c r="AG56" s="784"/>
      <c r="AH56" s="784"/>
      <c r="AI56" s="784"/>
      <c r="AJ56" s="784"/>
      <c r="AK56" s="784"/>
      <c r="AL56" s="784"/>
      <c r="AM56" s="784"/>
      <c r="AN56" s="784"/>
      <c r="AO56" s="784"/>
      <c r="AP56" s="784"/>
      <c r="AQ56" s="784"/>
      <c r="AR56" s="784"/>
      <c r="AS56" s="784"/>
      <c r="AT56" s="784"/>
      <c r="AU56" s="784"/>
      <c r="AV56" s="784"/>
      <c r="AW56" s="784"/>
      <c r="AX56" s="784"/>
      <c r="AY56" s="784"/>
      <c r="AZ56" s="784"/>
      <c r="BA56" s="784"/>
      <c r="BB56" s="784"/>
      <c r="BC56" s="784"/>
      <c r="BD56" s="784"/>
      <c r="BE56" s="784"/>
      <c r="BF56" s="784"/>
      <c r="BG56" s="784"/>
      <c r="BH56" s="784"/>
      <c r="BI56" s="784"/>
      <c r="BJ56" s="784"/>
      <c r="BK56" s="784"/>
      <c r="BL56" s="784"/>
      <c r="BM56" s="784"/>
      <c r="BN56" s="784"/>
      <c r="BO56" s="784"/>
      <c r="BP56" s="784"/>
      <c r="BQ56" s="784"/>
      <c r="BR56" s="784"/>
      <c r="BS56" s="784"/>
      <c r="BT56" s="551"/>
      <c r="BU56" s="779"/>
      <c r="BV56" s="785"/>
      <c r="BW56" s="785"/>
      <c r="BX56" s="785"/>
      <c r="BY56" s="784"/>
      <c r="BZ56" s="784"/>
      <c r="CA56" s="784"/>
      <c r="CB56" s="784"/>
      <c r="CC56" s="784"/>
      <c r="CD56" s="784"/>
      <c r="CE56" s="784"/>
      <c r="CF56" s="784"/>
      <c r="CG56" s="784"/>
      <c r="CH56" s="784"/>
      <c r="CI56" s="784"/>
      <c r="CJ56" s="784"/>
      <c r="CK56" s="784"/>
      <c r="CL56" s="784"/>
      <c r="CM56" s="784"/>
      <c r="CN56" s="784"/>
      <c r="CO56" s="784"/>
      <c r="CP56" s="784"/>
      <c r="CQ56" s="784"/>
      <c r="CR56" s="784"/>
      <c r="CS56" s="784"/>
      <c r="CT56" s="784"/>
      <c r="CU56" s="785"/>
      <c r="CV56" s="785"/>
      <c r="CW56" s="785"/>
      <c r="CX56" s="779"/>
      <c r="CY56" s="779"/>
      <c r="CZ56" s="785"/>
      <c r="DA56" s="785"/>
      <c r="DB56" s="785"/>
      <c r="DC56" s="785"/>
      <c r="DD56" s="785"/>
      <c r="DE56" s="551"/>
      <c r="DF56" s="551"/>
      <c r="DG56" s="784"/>
      <c r="DH56" s="784"/>
      <c r="DI56" s="784"/>
      <c r="DJ56" s="441"/>
      <c r="DK56" s="441"/>
      <c r="DL56" s="441"/>
      <c r="DM56" s="441"/>
      <c r="DN56" s="441"/>
      <c r="DO56" s="441"/>
      <c r="DP56" s="441"/>
      <c r="DQ56" s="441"/>
      <c r="DR56" s="441"/>
      <c r="DS56" s="441"/>
      <c r="DT56" s="441"/>
      <c r="DU56" s="441"/>
      <c r="DV56" s="441"/>
      <c r="DW56" s="441"/>
      <c r="DX56" s="441"/>
      <c r="DY56" s="441"/>
      <c r="DZ56" s="441"/>
      <c r="EA56" s="441"/>
      <c r="EB56" s="783"/>
      <c r="EC56" s="441"/>
      <c r="ED56" s="441"/>
      <c r="EE56" s="441"/>
      <c r="EF56" s="441"/>
      <c r="EG56" s="441"/>
      <c r="EH56" s="441"/>
      <c r="EI56" s="441"/>
      <c r="EJ56" s="441"/>
      <c r="EK56" s="441"/>
      <c r="EL56" s="441"/>
      <c r="EM56" s="441"/>
      <c r="EN56" s="441"/>
      <c r="EO56" s="441"/>
      <c r="EP56" s="441"/>
      <c r="EQ56" s="441"/>
      <c r="ER56" s="441"/>
      <c r="ES56" s="441"/>
      <c r="ET56" s="441"/>
      <c r="EU56" s="441"/>
      <c r="EV56" s="441"/>
      <c r="EW56" s="441"/>
      <c r="EX56" s="441"/>
      <c r="EY56" s="441"/>
      <c r="EZ56" s="441"/>
      <c r="FA56" s="441"/>
      <c r="FB56" s="441"/>
      <c r="FC56" s="441"/>
      <c r="FD56" s="441"/>
      <c r="FE56" s="441"/>
      <c r="FF56" s="441"/>
      <c r="FG56" s="441"/>
      <c r="FH56" s="441"/>
      <c r="FI56" s="441"/>
      <c r="FJ56" s="781"/>
      <c r="FK56" s="781"/>
      <c r="FL56" s="781"/>
      <c r="FM56" s="781"/>
      <c r="FN56" s="781"/>
      <c r="FO56" s="781"/>
      <c r="FP56" s="781"/>
      <c r="FQ56" s="781"/>
      <c r="FR56" s="781"/>
      <c r="FS56" s="781"/>
      <c r="FT56" s="781"/>
      <c r="FU56" s="781"/>
      <c r="FV56" s="781"/>
      <c r="FW56" s="781"/>
      <c r="FX56" s="781"/>
      <c r="FY56" s="781"/>
      <c r="FZ56" s="781"/>
      <c r="GA56" s="781"/>
      <c r="GB56" s="781"/>
      <c r="GC56" s="781"/>
      <c r="GD56" s="781"/>
      <c r="GE56" s="781"/>
      <c r="GF56" s="781"/>
      <c r="GG56" s="781"/>
      <c r="GH56" s="781"/>
      <c r="GI56" s="781"/>
      <c r="GJ56" s="781"/>
      <c r="GK56" s="781"/>
      <c r="GL56" s="1335"/>
    </row>
    <row r="57" spans="1:194" ht="18.899999999999999" hidden="1" customHeight="1">
      <c r="A57" s="1372"/>
      <c r="B57" s="1333"/>
      <c r="C57" s="549"/>
      <c r="D57" s="548"/>
      <c r="E57" s="548"/>
      <c r="F57" s="548"/>
      <c r="G57" s="548"/>
      <c r="H57" s="548"/>
      <c r="I57" s="548"/>
      <c r="J57" s="548"/>
      <c r="K57" s="548"/>
      <c r="L57" s="548"/>
      <c r="M57" s="548"/>
      <c r="N57" s="548"/>
      <c r="O57" s="548"/>
      <c r="P57" s="548"/>
      <c r="Q57" s="548"/>
      <c r="R57" s="548"/>
      <c r="S57" s="548"/>
      <c r="T57" s="439"/>
      <c r="U57" s="440"/>
      <c r="V57" s="507"/>
      <c r="W57" s="440"/>
      <c r="X57" s="441"/>
      <c r="Y57" s="778"/>
      <c r="Z57" s="778"/>
      <c r="AA57" s="441"/>
      <c r="AB57" s="441"/>
      <c r="AC57" s="441"/>
      <c r="AD57" s="441"/>
      <c r="AE57" s="441"/>
      <c r="AF57" s="779"/>
      <c r="AG57" s="441"/>
      <c r="AH57" s="441"/>
      <c r="AI57" s="441"/>
      <c r="AJ57" s="441"/>
      <c r="AK57" s="441"/>
      <c r="AL57" s="441"/>
      <c r="AM57" s="441"/>
      <c r="AN57" s="441"/>
      <c r="AO57" s="441"/>
      <c r="AP57" s="441"/>
      <c r="AQ57" s="441"/>
      <c r="AR57" s="441"/>
      <c r="AS57" s="441"/>
      <c r="AT57" s="441"/>
      <c r="AU57" s="441"/>
      <c r="AV57" s="441"/>
      <c r="AW57" s="441"/>
      <c r="AX57" s="441"/>
      <c r="AY57" s="441"/>
      <c r="AZ57" s="441"/>
      <c r="BA57" s="441"/>
      <c r="BB57" s="441"/>
      <c r="BC57" s="441"/>
      <c r="BD57" s="441"/>
      <c r="BE57" s="441"/>
      <c r="BF57" s="441"/>
      <c r="BG57" s="441"/>
      <c r="BH57" s="441"/>
      <c r="BI57" s="441"/>
      <c r="BJ57" s="441"/>
      <c r="BK57" s="441"/>
      <c r="BL57" s="441"/>
      <c r="BM57" s="441"/>
      <c r="BN57" s="441"/>
      <c r="BO57" s="441"/>
      <c r="BP57" s="441"/>
      <c r="BQ57" s="441"/>
      <c r="BR57" s="441"/>
      <c r="BS57" s="441"/>
      <c r="BT57" s="441"/>
      <c r="BU57" s="441"/>
      <c r="BV57" s="551"/>
      <c r="BW57" s="551"/>
      <c r="BX57" s="551"/>
      <c r="BY57" s="441"/>
      <c r="BZ57" s="441"/>
      <c r="CA57" s="441"/>
      <c r="CB57" s="441"/>
      <c r="CC57" s="441"/>
      <c r="CD57" s="441"/>
      <c r="CE57" s="441"/>
      <c r="CF57" s="441"/>
      <c r="CG57" s="441"/>
      <c r="CH57" s="441"/>
      <c r="CI57" s="441"/>
      <c r="CJ57" s="441"/>
      <c r="CK57" s="441"/>
      <c r="CL57" s="441"/>
      <c r="CM57" s="441"/>
      <c r="CN57" s="441"/>
      <c r="CO57" s="441"/>
      <c r="CP57" s="441"/>
      <c r="CQ57" s="441"/>
      <c r="CR57" s="441"/>
      <c r="CS57" s="441"/>
      <c r="CT57" s="441"/>
      <c r="CU57" s="551"/>
      <c r="CV57" s="551"/>
      <c r="CW57" s="551"/>
      <c r="CX57" s="551"/>
      <c r="CY57" s="551"/>
      <c r="CZ57" s="551"/>
      <c r="DA57" s="551"/>
      <c r="DB57" s="551"/>
      <c r="DC57" s="551"/>
      <c r="DD57" s="551"/>
      <c r="DE57" s="551"/>
      <c r="DF57" s="441"/>
      <c r="DG57" s="441"/>
      <c r="DH57" s="441"/>
      <c r="DI57" s="441"/>
      <c r="DJ57" s="551"/>
      <c r="DK57" s="551"/>
      <c r="DL57" s="441"/>
      <c r="DM57" s="441"/>
      <c r="DN57" s="441"/>
      <c r="DO57" s="441"/>
      <c r="DP57" s="441"/>
      <c r="DQ57" s="441"/>
      <c r="DR57" s="441"/>
      <c r="DS57" s="441"/>
      <c r="DT57" s="441"/>
      <c r="DU57" s="441"/>
      <c r="DV57" s="441"/>
      <c r="DW57" s="441"/>
      <c r="DX57" s="441"/>
      <c r="DY57" s="441"/>
      <c r="DZ57" s="441"/>
      <c r="EA57" s="441"/>
      <c r="EB57" s="783"/>
      <c r="EC57" s="441"/>
      <c r="ED57" s="441"/>
      <c r="EE57" s="441"/>
      <c r="EF57" s="441"/>
      <c r="EG57" s="441"/>
      <c r="EH57" s="441"/>
      <c r="EI57" s="441"/>
      <c r="EJ57" s="441"/>
      <c r="EK57" s="441"/>
      <c r="EL57" s="441"/>
      <c r="EM57" s="441"/>
      <c r="EN57" s="441"/>
      <c r="EO57" s="441"/>
      <c r="EP57" s="441"/>
      <c r="EQ57" s="441"/>
      <c r="ER57" s="441"/>
      <c r="ES57" s="441"/>
      <c r="ET57" s="441"/>
      <c r="EU57" s="441"/>
      <c r="EV57" s="441"/>
      <c r="EW57" s="441"/>
      <c r="EX57" s="441"/>
      <c r="EY57" s="441"/>
      <c r="EZ57" s="441"/>
      <c r="FA57" s="441"/>
      <c r="FB57" s="441"/>
      <c r="FC57" s="441"/>
      <c r="FD57" s="441"/>
      <c r="FE57" s="441"/>
      <c r="FF57" s="441"/>
      <c r="FG57" s="441"/>
      <c r="FH57" s="441"/>
      <c r="FI57" s="441"/>
      <c r="FJ57" s="781"/>
      <c r="FK57" s="781"/>
      <c r="FL57" s="781"/>
      <c r="FM57" s="781"/>
      <c r="FN57" s="781"/>
      <c r="FO57" s="781"/>
      <c r="FP57" s="781"/>
      <c r="FQ57" s="781"/>
      <c r="FR57" s="781"/>
      <c r="FS57" s="781"/>
      <c r="FT57" s="781"/>
      <c r="FU57" s="781"/>
      <c r="FV57" s="781"/>
      <c r="FW57" s="781"/>
      <c r="FX57" s="781"/>
      <c r="FY57" s="781"/>
      <c r="FZ57" s="781"/>
      <c r="GA57" s="781"/>
      <c r="GB57" s="781"/>
      <c r="GC57" s="781"/>
      <c r="GD57" s="781"/>
      <c r="GE57" s="781"/>
      <c r="GF57" s="781"/>
      <c r="GG57" s="781"/>
      <c r="GH57" s="781"/>
      <c r="GI57" s="781"/>
      <c r="GJ57" s="781"/>
      <c r="GK57" s="781"/>
      <c r="GL57" s="1373"/>
    </row>
    <row r="58" spans="1:194" ht="18.899999999999999" hidden="1" customHeight="1">
      <c r="A58" s="1370"/>
      <c r="B58" s="1371"/>
      <c r="C58" s="1371"/>
      <c r="D58" s="1374"/>
      <c r="E58" s="1374"/>
      <c r="F58" s="1374"/>
      <c r="G58" s="1374"/>
      <c r="H58" s="1374"/>
      <c r="I58" s="1374"/>
      <c r="J58" s="1374"/>
      <c r="K58" s="1374"/>
      <c r="L58" s="1374"/>
      <c r="M58" s="1374"/>
      <c r="N58" s="1374"/>
      <c r="O58" s="1374"/>
      <c r="P58" s="1374"/>
      <c r="Q58" s="1374"/>
      <c r="R58" s="1374"/>
      <c r="S58" s="1374"/>
      <c r="T58" s="1374"/>
      <c r="U58" s="1374"/>
      <c r="V58" s="1374"/>
      <c r="W58" s="1371"/>
      <c r="X58" s="1371"/>
      <c r="Y58" s="1371"/>
      <c r="Z58" s="1371"/>
      <c r="AA58" s="1371"/>
      <c r="AB58" s="1371"/>
      <c r="AC58" s="1371"/>
      <c r="AD58" s="1371"/>
      <c r="AE58" s="1371"/>
      <c r="AF58" s="1371"/>
      <c r="AG58" s="1371"/>
      <c r="AH58" s="1371"/>
      <c r="AI58" s="1371"/>
      <c r="AJ58" s="1371"/>
      <c r="AK58" s="1371"/>
      <c r="AL58" s="1371"/>
      <c r="AM58" s="1371"/>
      <c r="AN58" s="1371"/>
      <c r="AO58" s="1371"/>
      <c r="AP58" s="1371"/>
      <c r="AQ58" s="1371"/>
      <c r="AR58" s="1371"/>
      <c r="AS58" s="1371"/>
      <c r="AT58" s="1371"/>
      <c r="AU58" s="1371"/>
      <c r="AV58" s="1371"/>
      <c r="AW58" s="1371"/>
      <c r="AX58" s="1371"/>
      <c r="AY58" s="1371"/>
      <c r="AZ58" s="1371"/>
      <c r="BA58" s="1371"/>
      <c r="BB58" s="1371"/>
      <c r="BC58" s="1371"/>
      <c r="BD58" s="1371"/>
      <c r="BE58" s="1371"/>
      <c r="BF58" s="1371"/>
      <c r="BG58" s="1371"/>
      <c r="BH58" s="1371"/>
      <c r="BI58" s="1371"/>
      <c r="BJ58" s="1371"/>
      <c r="BK58" s="1371"/>
      <c r="BL58" s="1371"/>
      <c r="BM58" s="1371"/>
      <c r="BN58" s="1371"/>
      <c r="BO58" s="1371"/>
      <c r="BP58" s="1371"/>
      <c r="BQ58" s="1371"/>
      <c r="BR58" s="1371"/>
      <c r="BS58" s="1371"/>
      <c r="BT58" s="1371"/>
      <c r="BU58" s="1371"/>
      <c r="BV58" s="1371"/>
      <c r="BW58" s="1371"/>
      <c r="BX58" s="1371"/>
      <c r="BY58" s="1371"/>
      <c r="BZ58" s="1371"/>
      <c r="CA58" s="1371"/>
      <c r="CB58" s="1371"/>
      <c r="CC58" s="1371"/>
      <c r="CD58" s="1371"/>
      <c r="CE58" s="1371"/>
      <c r="CF58" s="1371"/>
      <c r="CG58" s="1371"/>
      <c r="CH58" s="1371"/>
      <c r="CI58" s="1371"/>
      <c r="CJ58" s="1371"/>
      <c r="CK58" s="1371"/>
      <c r="CL58" s="1371"/>
      <c r="CM58" s="1371"/>
      <c r="CN58" s="1371"/>
      <c r="CO58" s="1371"/>
      <c r="CP58" s="1371"/>
      <c r="CQ58" s="1371"/>
      <c r="CR58" s="1371"/>
      <c r="CS58" s="1371"/>
      <c r="CT58" s="1371"/>
      <c r="CU58" s="1371"/>
      <c r="CV58" s="1371"/>
      <c r="CW58" s="1371"/>
      <c r="CX58" s="1371"/>
      <c r="CY58" s="1371"/>
      <c r="CZ58" s="1371"/>
      <c r="DA58" s="1371"/>
      <c r="DB58" s="1371"/>
      <c r="DC58" s="1371"/>
      <c r="DD58" s="1371"/>
      <c r="DE58" s="1371"/>
      <c r="DF58" s="1371"/>
      <c r="DG58" s="1371"/>
      <c r="DH58" s="1371"/>
      <c r="DI58" s="1371"/>
      <c r="DJ58" s="1371"/>
      <c r="DK58" s="1371"/>
      <c r="DL58" s="1371"/>
      <c r="DM58" s="1371"/>
      <c r="DN58" s="1371"/>
      <c r="DO58" s="1371"/>
      <c r="DP58" s="1371"/>
      <c r="DQ58" s="1371"/>
      <c r="DR58" s="1371"/>
      <c r="DS58" s="1371"/>
      <c r="DT58" s="1371"/>
      <c r="DU58" s="1371"/>
      <c r="DV58" s="1371"/>
      <c r="DW58" s="1371"/>
      <c r="DX58" s="1371"/>
      <c r="DY58" s="1371"/>
      <c r="DZ58" s="1371"/>
      <c r="EA58" s="1371"/>
      <c r="EB58" s="1371"/>
      <c r="EC58" s="1371"/>
      <c r="ED58" s="1371"/>
      <c r="EE58" s="1371"/>
      <c r="EF58" s="1371"/>
      <c r="EG58" s="1371"/>
      <c r="EH58" s="1371"/>
      <c r="EI58" s="1371"/>
      <c r="EJ58" s="1371"/>
      <c r="EK58" s="1371"/>
      <c r="EL58" s="1371"/>
      <c r="EM58" s="1371"/>
      <c r="EN58" s="1371"/>
      <c r="EO58" s="1371"/>
      <c r="EP58" s="1371"/>
      <c r="EQ58" s="1371"/>
      <c r="ER58" s="1371"/>
      <c r="ES58" s="1371"/>
      <c r="ET58" s="1371"/>
      <c r="EU58" s="1371"/>
      <c r="EV58" s="1371"/>
      <c r="EW58" s="1371"/>
      <c r="EX58" s="1371"/>
      <c r="EY58" s="1374"/>
      <c r="EZ58" s="1374"/>
      <c r="FA58" s="1374"/>
      <c r="FB58" s="1374"/>
      <c r="FC58" s="1374"/>
      <c r="FD58" s="1374"/>
      <c r="FE58" s="1374"/>
      <c r="FF58" s="1374"/>
      <c r="FG58" s="1374"/>
      <c r="FH58" s="1374"/>
      <c r="FI58" s="1374"/>
      <c r="FJ58" s="1374"/>
      <c r="FK58" s="1374"/>
      <c r="FL58" s="1374"/>
      <c r="FM58" s="1374"/>
      <c r="FN58" s="1374"/>
      <c r="FO58" s="1374"/>
      <c r="FP58" s="1374"/>
      <c r="FQ58" s="1374"/>
      <c r="FR58" s="1374"/>
      <c r="FS58" s="1374"/>
      <c r="FT58" s="1374"/>
      <c r="FU58" s="1374"/>
      <c r="FV58" s="1374"/>
      <c r="FW58" s="1374"/>
      <c r="FX58" s="1374"/>
      <c r="FY58" s="1374"/>
      <c r="FZ58" s="1374"/>
      <c r="GA58" s="1374"/>
      <c r="GB58" s="1374"/>
      <c r="GC58" s="1374"/>
      <c r="GD58" s="1374"/>
      <c r="GE58" s="1374"/>
      <c r="GF58" s="1374"/>
      <c r="GG58" s="1374"/>
      <c r="GH58" s="1374"/>
      <c r="GI58" s="1374"/>
      <c r="GJ58" s="1374"/>
      <c r="GK58" s="1374"/>
      <c r="GL58" s="1375"/>
    </row>
    <row r="59" spans="1:194" ht="18.899999999999999" hidden="1" customHeight="1">
      <c r="A59" s="1022"/>
      <c r="B59" s="1023"/>
      <c r="C59" s="1028"/>
      <c r="D59" s="1028"/>
      <c r="E59" s="1028"/>
      <c r="F59" s="1028"/>
      <c r="G59" s="1028"/>
      <c r="H59" s="1028"/>
      <c r="I59" s="1028"/>
      <c r="J59" s="1028"/>
      <c r="K59" s="1028"/>
      <c r="L59" s="1028"/>
      <c r="M59" s="1028"/>
      <c r="N59" s="1028"/>
      <c r="O59" s="1028"/>
      <c r="P59" s="1028"/>
      <c r="Q59" s="1028"/>
      <c r="R59" s="1029"/>
      <c r="S59" s="1029"/>
      <c r="T59" s="1030"/>
      <c r="U59" s="1030"/>
      <c r="V59" s="1030"/>
      <c r="W59" s="1030"/>
      <c r="X59" s="1030"/>
      <c r="Y59" s="1023"/>
      <c r="Z59" s="1023"/>
      <c r="AA59" s="1023"/>
      <c r="AB59" s="1023"/>
      <c r="AC59" s="1023"/>
      <c r="AD59" s="1030"/>
      <c r="AE59" s="1030"/>
      <c r="AF59" s="1030"/>
      <c r="AG59" s="1030"/>
      <c r="AH59" s="1030"/>
      <c r="AI59" s="1030"/>
      <c r="AJ59" s="1030"/>
      <c r="AK59" s="1030"/>
      <c r="AL59" s="1030"/>
      <c r="AM59" s="1030"/>
      <c r="AN59" s="1030"/>
      <c r="AO59" s="1030"/>
      <c r="AP59" s="1030"/>
      <c r="AQ59" s="1030"/>
      <c r="AR59" s="1030"/>
      <c r="AS59" s="1030"/>
      <c r="AT59" s="1030"/>
      <c r="AU59" s="1030"/>
      <c r="AV59" s="1030"/>
      <c r="AW59" s="1030"/>
      <c r="AX59" s="1030"/>
      <c r="AY59" s="1030"/>
      <c r="AZ59" s="1030"/>
      <c r="BA59" s="1030"/>
      <c r="BB59" s="1030"/>
      <c r="BC59" s="1030"/>
      <c r="BD59" s="1030"/>
      <c r="BE59" s="1030"/>
      <c r="BF59" s="1030"/>
      <c r="BG59" s="1030"/>
      <c r="BH59" s="1030"/>
      <c r="BI59" s="1030"/>
      <c r="BJ59" s="1030"/>
      <c r="BK59" s="1030"/>
      <c r="BL59" s="1030"/>
      <c r="BM59" s="1030"/>
      <c r="BN59" s="1030"/>
      <c r="BO59" s="1030"/>
      <c r="BP59" s="1030"/>
      <c r="BQ59" s="1030"/>
      <c r="BR59" s="1030"/>
      <c r="BS59" s="1030"/>
      <c r="BT59" s="1030"/>
      <c r="BU59" s="1030"/>
      <c r="BV59" s="1030"/>
      <c r="BW59" s="1030"/>
      <c r="BX59" s="1030"/>
      <c r="BY59" s="1030"/>
      <c r="BZ59" s="1030"/>
      <c r="CA59" s="1030"/>
      <c r="CB59" s="1030"/>
      <c r="CC59" s="1030"/>
      <c r="CD59" s="1030"/>
      <c r="CE59" s="1030"/>
      <c r="CF59" s="1030"/>
      <c r="CG59" s="1030"/>
      <c r="CH59" s="1030"/>
      <c r="CI59" s="1030"/>
      <c r="CJ59" s="1030"/>
      <c r="CK59" s="1030"/>
      <c r="CL59" s="1030"/>
      <c r="CM59" s="1030"/>
      <c r="CN59" s="1030"/>
      <c r="CO59" s="1030"/>
      <c r="CP59" s="1030"/>
      <c r="CQ59" s="1030"/>
      <c r="CR59" s="1030"/>
      <c r="CS59" s="1030"/>
      <c r="CT59" s="1030"/>
      <c r="CU59" s="1030"/>
      <c r="CV59" s="1030"/>
      <c r="CW59" s="1030"/>
      <c r="CX59" s="1030"/>
      <c r="CY59" s="1030"/>
      <c r="CZ59" s="1030"/>
      <c r="DA59" s="1030"/>
      <c r="DB59" s="1030"/>
      <c r="DC59" s="1031"/>
      <c r="DD59" s="1031"/>
      <c r="DE59" s="1031"/>
      <c r="DF59" s="1031"/>
      <c r="DG59" s="1031"/>
      <c r="DH59" s="1031"/>
      <c r="DI59" s="1031"/>
      <c r="DJ59" s="1031"/>
      <c r="DK59" s="1031"/>
      <c r="DL59" s="1031"/>
      <c r="DM59" s="1031"/>
      <c r="DN59" s="1031"/>
      <c r="DO59" s="1031"/>
      <c r="DP59" s="1031"/>
      <c r="DQ59" s="1031"/>
      <c r="DR59" s="1031"/>
      <c r="DS59" s="1031"/>
      <c r="DT59" s="1031"/>
      <c r="DU59" s="1031"/>
      <c r="DV59" s="1031"/>
      <c r="DW59" s="1031"/>
      <c r="DX59" s="1031"/>
      <c r="DY59" s="1031"/>
      <c r="DZ59" s="1031"/>
      <c r="EA59" s="1031"/>
      <c r="EB59" s="1032"/>
      <c r="EC59" s="1031"/>
      <c r="ED59" s="1031"/>
      <c r="EE59" s="1031"/>
      <c r="EF59" s="1031"/>
      <c r="EG59" s="1031"/>
      <c r="EH59" s="1031"/>
      <c r="EI59" s="1031"/>
      <c r="EJ59" s="1031"/>
      <c r="EK59" s="1031"/>
      <c r="EL59" s="1031"/>
      <c r="EM59" s="1031"/>
      <c r="EN59" s="1031"/>
      <c r="EO59" s="1031"/>
      <c r="EP59" s="1031"/>
      <c r="EQ59" s="1031"/>
      <c r="ER59" s="1031"/>
      <c r="ES59" s="1031"/>
      <c r="ET59" s="1031"/>
      <c r="EU59" s="1031"/>
      <c r="EV59" s="1031"/>
      <c r="EW59" s="1031"/>
      <c r="EX59" s="1031"/>
      <c r="EY59" s="1031"/>
      <c r="EZ59" s="1031"/>
      <c r="FA59" s="1031"/>
      <c r="FB59" s="1031"/>
      <c r="FC59" s="1031"/>
      <c r="FD59" s="1031"/>
      <c r="FE59" s="1031"/>
      <c r="FF59" s="1031"/>
      <c r="FG59" s="1031"/>
      <c r="FH59" s="1031"/>
      <c r="FI59" s="1031"/>
      <c r="FJ59" s="1031"/>
      <c r="FK59" s="1031"/>
      <c r="FL59" s="1031"/>
      <c r="FM59" s="1031"/>
      <c r="FN59" s="1031"/>
      <c r="FO59" s="1031"/>
      <c r="FP59" s="1031"/>
      <c r="FQ59" s="1031"/>
      <c r="FR59" s="1031"/>
      <c r="FS59" s="1031"/>
      <c r="FT59" s="1031"/>
      <c r="FU59" s="1031"/>
      <c r="FV59" s="1031"/>
      <c r="FW59" s="1031"/>
      <c r="FX59" s="1031"/>
      <c r="FY59" s="1031"/>
      <c r="FZ59" s="1031"/>
      <c r="GA59" s="1031"/>
      <c r="GB59" s="1031"/>
      <c r="GC59" s="1031"/>
      <c r="GD59" s="1031"/>
      <c r="GE59" s="1031"/>
      <c r="GF59" s="1031"/>
      <c r="GG59" s="1031"/>
      <c r="GH59" s="1031"/>
      <c r="GI59" s="1031"/>
      <c r="GJ59" s="1031"/>
      <c r="GK59" s="1031"/>
      <c r="GL59" s="1033"/>
    </row>
    <row r="60" spans="1:194" ht="16.8" hidden="1">
      <c r="A60" s="1372"/>
      <c r="B60" s="1333"/>
      <c r="C60" s="548"/>
      <c r="D60" s="549"/>
      <c r="E60" s="548"/>
      <c r="F60" s="548"/>
      <c r="G60" s="548"/>
      <c r="H60" s="548"/>
      <c r="I60" s="548"/>
      <c r="J60" s="548"/>
      <c r="K60" s="548"/>
      <c r="L60" s="548"/>
      <c r="M60" s="548"/>
      <c r="N60" s="548"/>
      <c r="O60" s="548"/>
      <c r="P60" s="548"/>
      <c r="Q60" s="548"/>
      <c r="R60" s="548"/>
      <c r="S60" s="548"/>
      <c r="T60" s="439"/>
      <c r="U60" s="440"/>
      <c r="V60" s="507"/>
      <c r="W60" s="440"/>
      <c r="X60" s="441"/>
      <c r="Y60" s="441"/>
      <c r="Z60" s="441"/>
      <c r="AA60" s="441"/>
      <c r="AB60" s="441"/>
      <c r="AC60" s="441"/>
      <c r="AD60" s="441"/>
      <c r="AE60" s="441"/>
      <c r="AF60" s="786"/>
      <c r="AG60" s="441"/>
      <c r="AH60" s="441"/>
      <c r="AI60" s="441"/>
      <c r="AJ60" s="441"/>
      <c r="AK60" s="441"/>
      <c r="AL60" s="441"/>
      <c r="AM60" s="441"/>
      <c r="AN60" s="441"/>
      <c r="AO60" s="441"/>
      <c r="AP60" s="441"/>
      <c r="AQ60" s="441"/>
      <c r="AR60" s="441"/>
      <c r="AS60" s="441"/>
      <c r="AT60" s="441"/>
      <c r="AU60" s="441"/>
      <c r="AV60" s="441"/>
      <c r="AW60" s="441"/>
      <c r="AX60" s="441"/>
      <c r="AY60" s="441"/>
      <c r="AZ60" s="441"/>
      <c r="BA60" s="441"/>
      <c r="BB60" s="441"/>
      <c r="BC60" s="441"/>
      <c r="BD60" s="441"/>
      <c r="BE60" s="441"/>
      <c r="BF60" s="441"/>
      <c r="BG60" s="441"/>
      <c r="BH60" s="441"/>
      <c r="BI60" s="441"/>
      <c r="BJ60" s="441"/>
      <c r="BK60" s="441"/>
      <c r="BL60" s="441"/>
      <c r="BM60" s="441"/>
      <c r="BN60" s="441"/>
      <c r="BO60" s="441"/>
      <c r="BP60" s="441"/>
      <c r="BQ60" s="441"/>
      <c r="BR60" s="441"/>
      <c r="BS60" s="441"/>
      <c r="BT60" s="551"/>
      <c r="BU60" s="441"/>
      <c r="BV60" s="551"/>
      <c r="BW60" s="551"/>
      <c r="BX60" s="551"/>
      <c r="BY60" s="441"/>
      <c r="BZ60" s="441"/>
      <c r="CA60" s="441"/>
      <c r="CB60" s="441"/>
      <c r="CC60" s="441"/>
      <c r="CD60" s="441"/>
      <c r="CE60" s="441"/>
      <c r="CF60" s="441"/>
      <c r="CG60" s="441"/>
      <c r="CH60" s="441"/>
      <c r="CI60" s="441"/>
      <c r="CJ60" s="441"/>
      <c r="CK60" s="441"/>
      <c r="CL60" s="441"/>
      <c r="CM60" s="441"/>
      <c r="CN60" s="441"/>
      <c r="CO60" s="441"/>
      <c r="CP60" s="441"/>
      <c r="CQ60" s="441"/>
      <c r="CR60" s="441"/>
      <c r="CS60" s="441"/>
      <c r="CT60" s="441"/>
      <c r="CU60" s="551"/>
      <c r="CV60" s="551"/>
      <c r="CW60" s="551"/>
      <c r="CX60" s="551"/>
      <c r="CY60" s="551"/>
      <c r="CZ60" s="551"/>
      <c r="DA60" s="551"/>
      <c r="DB60" s="551"/>
      <c r="DC60" s="551"/>
      <c r="DD60" s="551"/>
      <c r="DE60" s="551"/>
      <c r="DF60" s="441"/>
      <c r="DG60" s="441"/>
      <c r="DH60" s="441"/>
      <c r="DI60" s="441"/>
      <c r="DJ60" s="551"/>
      <c r="DK60" s="441"/>
      <c r="DL60" s="441"/>
      <c r="DM60" s="441"/>
      <c r="DN60" s="441"/>
      <c r="DO60" s="441"/>
      <c r="DP60" s="441"/>
      <c r="DQ60" s="441"/>
      <c r="DR60" s="441"/>
      <c r="DS60" s="441"/>
      <c r="DT60" s="441"/>
      <c r="DU60" s="441"/>
      <c r="DV60" s="441"/>
      <c r="DW60" s="441"/>
      <c r="DX60" s="441"/>
      <c r="DY60" s="441"/>
      <c r="DZ60" s="441"/>
      <c r="EA60" s="441"/>
      <c r="EB60" s="783"/>
      <c r="EC60" s="441"/>
      <c r="ED60" s="441"/>
      <c r="EE60" s="441"/>
      <c r="EF60" s="441"/>
      <c r="EG60" s="441"/>
      <c r="EH60" s="441"/>
      <c r="EI60" s="441"/>
      <c r="EJ60" s="441"/>
      <c r="EK60" s="441"/>
      <c r="EL60" s="441"/>
      <c r="EM60" s="441"/>
      <c r="EN60" s="441"/>
      <c r="EO60" s="441"/>
      <c r="EP60" s="441"/>
      <c r="EQ60" s="441"/>
      <c r="ER60" s="441"/>
      <c r="ES60" s="441"/>
      <c r="ET60" s="441"/>
      <c r="EU60" s="441"/>
      <c r="EV60" s="441"/>
      <c r="EW60" s="441"/>
      <c r="EX60" s="441"/>
      <c r="EY60" s="441"/>
      <c r="EZ60" s="441"/>
      <c r="FA60" s="441"/>
      <c r="FB60" s="441"/>
      <c r="FC60" s="441"/>
      <c r="FD60" s="441"/>
      <c r="FE60" s="441"/>
      <c r="FF60" s="441"/>
      <c r="FG60" s="441"/>
      <c r="FH60" s="441"/>
      <c r="FI60" s="441"/>
      <c r="FJ60" s="781"/>
      <c r="FK60" s="781"/>
      <c r="FL60" s="781"/>
      <c r="FM60" s="781"/>
      <c r="FN60" s="781"/>
      <c r="FO60" s="781"/>
      <c r="FP60" s="781"/>
      <c r="FQ60" s="781"/>
      <c r="FR60" s="781"/>
      <c r="FS60" s="781"/>
      <c r="FT60" s="781"/>
      <c r="FU60" s="781"/>
      <c r="FV60" s="781"/>
      <c r="FW60" s="781"/>
      <c r="FX60" s="781"/>
      <c r="FY60" s="781"/>
      <c r="FZ60" s="781"/>
      <c r="GA60" s="781"/>
      <c r="GB60" s="781"/>
      <c r="GC60" s="781"/>
      <c r="GD60" s="781"/>
      <c r="GE60" s="781"/>
      <c r="GF60" s="781"/>
      <c r="GG60" s="781"/>
      <c r="GH60" s="781"/>
      <c r="GI60" s="781"/>
      <c r="GJ60" s="781"/>
      <c r="GK60" s="781"/>
      <c r="GL60" s="1373"/>
    </row>
    <row r="61" spans="1:194" ht="16.8" hidden="1">
      <c r="A61" s="1372"/>
      <c r="B61" s="1333"/>
      <c r="C61" s="549"/>
      <c r="D61" s="549"/>
      <c r="E61" s="548"/>
      <c r="F61" s="548"/>
      <c r="G61" s="548"/>
      <c r="H61" s="548"/>
      <c r="I61" s="548"/>
      <c r="J61" s="548"/>
      <c r="K61" s="548"/>
      <c r="L61" s="548"/>
      <c r="M61" s="548"/>
      <c r="N61" s="548"/>
      <c r="O61" s="548"/>
      <c r="P61" s="548"/>
      <c r="Q61" s="548"/>
      <c r="R61" s="548"/>
      <c r="S61" s="548"/>
      <c r="T61" s="439"/>
      <c r="U61" s="440"/>
      <c r="V61" s="507"/>
      <c r="W61" s="440"/>
      <c r="X61" s="441"/>
      <c r="Y61" s="441"/>
      <c r="Z61" s="441"/>
      <c r="AA61" s="441"/>
      <c r="AB61" s="441"/>
      <c r="AC61" s="441"/>
      <c r="AD61" s="441"/>
      <c r="AE61" s="441"/>
      <c r="AF61" s="786"/>
      <c r="AG61" s="441"/>
      <c r="AH61" s="441"/>
      <c r="AI61" s="441"/>
      <c r="AJ61" s="441"/>
      <c r="AK61" s="441"/>
      <c r="AL61" s="441"/>
      <c r="AM61" s="441"/>
      <c r="AN61" s="441"/>
      <c r="AO61" s="441"/>
      <c r="AP61" s="441"/>
      <c r="AQ61" s="441"/>
      <c r="AR61" s="441"/>
      <c r="AS61" s="441"/>
      <c r="AT61" s="441"/>
      <c r="AU61" s="441"/>
      <c r="AV61" s="441"/>
      <c r="AW61" s="441"/>
      <c r="AX61" s="441"/>
      <c r="AY61" s="441"/>
      <c r="AZ61" s="441"/>
      <c r="BA61" s="441"/>
      <c r="BB61" s="441"/>
      <c r="BC61" s="441"/>
      <c r="BD61" s="441"/>
      <c r="BE61" s="441"/>
      <c r="BF61" s="441"/>
      <c r="BG61" s="441"/>
      <c r="BH61" s="441"/>
      <c r="BI61" s="441"/>
      <c r="BJ61" s="441"/>
      <c r="BK61" s="441"/>
      <c r="BL61" s="441"/>
      <c r="BM61" s="441"/>
      <c r="BN61" s="441"/>
      <c r="BO61" s="441"/>
      <c r="BP61" s="441"/>
      <c r="BQ61" s="441"/>
      <c r="BR61" s="441"/>
      <c r="BS61" s="441"/>
      <c r="BT61" s="551"/>
      <c r="BU61" s="441"/>
      <c r="BV61" s="551"/>
      <c r="BW61" s="551"/>
      <c r="BX61" s="551"/>
      <c r="BY61" s="441"/>
      <c r="BZ61" s="441"/>
      <c r="CA61" s="441"/>
      <c r="CB61" s="441"/>
      <c r="CC61" s="441"/>
      <c r="CD61" s="441"/>
      <c r="CE61" s="441"/>
      <c r="CF61" s="441"/>
      <c r="CG61" s="441"/>
      <c r="CH61" s="441"/>
      <c r="CI61" s="441"/>
      <c r="CJ61" s="441"/>
      <c r="CK61" s="441"/>
      <c r="CL61" s="441"/>
      <c r="CM61" s="441"/>
      <c r="CN61" s="441"/>
      <c r="CO61" s="441"/>
      <c r="CP61" s="441"/>
      <c r="CQ61" s="441"/>
      <c r="CR61" s="441"/>
      <c r="CS61" s="441"/>
      <c r="CT61" s="441"/>
      <c r="CU61" s="551"/>
      <c r="CV61" s="551"/>
      <c r="CW61" s="551"/>
      <c r="CX61" s="551"/>
      <c r="CY61" s="551"/>
      <c r="CZ61" s="551"/>
      <c r="DA61" s="551"/>
      <c r="DB61" s="551"/>
      <c r="DC61" s="551"/>
      <c r="DD61" s="551"/>
      <c r="DE61" s="551"/>
      <c r="DF61" s="441"/>
      <c r="DG61" s="441"/>
      <c r="DH61" s="441"/>
      <c r="DI61" s="441"/>
      <c r="DJ61" s="551"/>
      <c r="DK61" s="441"/>
      <c r="DL61" s="441"/>
      <c r="DM61" s="441"/>
      <c r="DN61" s="441"/>
      <c r="DO61" s="441"/>
      <c r="DP61" s="441"/>
      <c r="DQ61" s="441"/>
      <c r="DR61" s="441"/>
      <c r="DS61" s="441"/>
      <c r="DT61" s="441"/>
      <c r="DU61" s="441"/>
      <c r="DV61" s="441"/>
      <c r="DW61" s="441"/>
      <c r="DX61" s="441"/>
      <c r="DY61" s="441"/>
      <c r="DZ61" s="441"/>
      <c r="EA61" s="441"/>
      <c r="EB61" s="783"/>
      <c r="EC61" s="441"/>
      <c r="ED61" s="441"/>
      <c r="EE61" s="441"/>
      <c r="EF61" s="441"/>
      <c r="EG61" s="441"/>
      <c r="EH61" s="441"/>
      <c r="EI61" s="441"/>
      <c r="EJ61" s="441"/>
      <c r="EK61" s="441"/>
      <c r="EL61" s="441"/>
      <c r="EM61" s="441"/>
      <c r="EN61" s="441"/>
      <c r="EO61" s="441"/>
      <c r="EP61" s="441"/>
      <c r="EQ61" s="441"/>
      <c r="ER61" s="441"/>
      <c r="ES61" s="441"/>
      <c r="ET61" s="441"/>
      <c r="EU61" s="441"/>
      <c r="EV61" s="441"/>
      <c r="EW61" s="441"/>
      <c r="EX61" s="441"/>
      <c r="EY61" s="441"/>
      <c r="EZ61" s="441"/>
      <c r="FA61" s="441"/>
      <c r="FB61" s="441"/>
      <c r="FC61" s="441"/>
      <c r="FD61" s="441"/>
      <c r="FE61" s="441"/>
      <c r="FF61" s="441"/>
      <c r="FG61" s="441"/>
      <c r="FH61" s="441"/>
      <c r="FI61" s="441"/>
      <c r="FJ61" s="781"/>
      <c r="FK61" s="781"/>
      <c r="FL61" s="781"/>
      <c r="FM61" s="781"/>
      <c r="FN61" s="781"/>
      <c r="FO61" s="781"/>
      <c r="FP61" s="781"/>
      <c r="FQ61" s="781"/>
      <c r="FR61" s="781"/>
      <c r="FS61" s="781"/>
      <c r="FT61" s="781"/>
      <c r="FU61" s="781"/>
      <c r="FV61" s="781"/>
      <c r="FW61" s="781"/>
      <c r="FX61" s="781"/>
      <c r="FY61" s="781"/>
      <c r="FZ61" s="781"/>
      <c r="GA61" s="781"/>
      <c r="GB61" s="781"/>
      <c r="GC61" s="781"/>
      <c r="GD61" s="781"/>
      <c r="GE61" s="781"/>
      <c r="GF61" s="781"/>
      <c r="GG61" s="781"/>
      <c r="GH61" s="781"/>
      <c r="GI61" s="781"/>
      <c r="GJ61" s="781"/>
      <c r="GK61" s="781"/>
      <c r="GL61" s="1373"/>
    </row>
    <row r="62" spans="1:194" ht="16.8" hidden="1">
      <c r="A62" s="1372"/>
      <c r="B62" s="1333"/>
      <c r="C62" s="549"/>
      <c r="D62" s="549"/>
      <c r="E62" s="548"/>
      <c r="F62" s="548"/>
      <c r="G62" s="548"/>
      <c r="H62" s="548"/>
      <c r="I62" s="548"/>
      <c r="J62" s="548"/>
      <c r="K62" s="548"/>
      <c r="L62" s="548"/>
      <c r="M62" s="548"/>
      <c r="N62" s="548"/>
      <c r="O62" s="548"/>
      <c r="P62" s="548"/>
      <c r="Q62" s="548"/>
      <c r="R62" s="548"/>
      <c r="S62" s="548"/>
      <c r="T62" s="439"/>
      <c r="U62" s="440"/>
      <c r="V62" s="507"/>
      <c r="W62" s="440"/>
      <c r="X62" s="441"/>
      <c r="Y62" s="441"/>
      <c r="Z62" s="441"/>
      <c r="AA62" s="441"/>
      <c r="AB62" s="441"/>
      <c r="AC62" s="441"/>
      <c r="AD62" s="441"/>
      <c r="AE62" s="441"/>
      <c r="AF62" s="786"/>
      <c r="AG62" s="441"/>
      <c r="AH62" s="441"/>
      <c r="AI62" s="441"/>
      <c r="AJ62" s="441"/>
      <c r="AK62" s="441"/>
      <c r="AL62" s="441"/>
      <c r="AM62" s="441"/>
      <c r="AN62" s="441"/>
      <c r="AO62" s="441"/>
      <c r="AP62" s="441"/>
      <c r="AQ62" s="441"/>
      <c r="AR62" s="441"/>
      <c r="AS62" s="441"/>
      <c r="AT62" s="441"/>
      <c r="AU62" s="441"/>
      <c r="AV62" s="441"/>
      <c r="AW62" s="441"/>
      <c r="AX62" s="441"/>
      <c r="AY62" s="441"/>
      <c r="AZ62" s="441"/>
      <c r="BA62" s="441"/>
      <c r="BB62" s="441"/>
      <c r="BC62" s="441"/>
      <c r="BD62" s="441"/>
      <c r="BE62" s="441"/>
      <c r="BF62" s="441"/>
      <c r="BG62" s="441"/>
      <c r="BH62" s="441"/>
      <c r="BI62" s="441"/>
      <c r="BJ62" s="441"/>
      <c r="BK62" s="441"/>
      <c r="BL62" s="441"/>
      <c r="BM62" s="441"/>
      <c r="BN62" s="441"/>
      <c r="BO62" s="441"/>
      <c r="BP62" s="441"/>
      <c r="BQ62" s="441"/>
      <c r="BR62" s="441"/>
      <c r="BS62" s="441"/>
      <c r="BT62" s="551"/>
      <c r="BU62" s="441"/>
      <c r="BV62" s="551"/>
      <c r="BW62" s="551"/>
      <c r="BX62" s="551"/>
      <c r="BY62" s="441"/>
      <c r="BZ62" s="441"/>
      <c r="CA62" s="441"/>
      <c r="CB62" s="441"/>
      <c r="CC62" s="441"/>
      <c r="CD62" s="441"/>
      <c r="CE62" s="441"/>
      <c r="CF62" s="441"/>
      <c r="CG62" s="441"/>
      <c r="CH62" s="441"/>
      <c r="CI62" s="441"/>
      <c r="CJ62" s="441"/>
      <c r="CK62" s="441"/>
      <c r="CL62" s="441"/>
      <c r="CM62" s="441"/>
      <c r="CN62" s="441"/>
      <c r="CO62" s="441"/>
      <c r="CP62" s="441"/>
      <c r="CQ62" s="441"/>
      <c r="CR62" s="441"/>
      <c r="CS62" s="441"/>
      <c r="CT62" s="441"/>
      <c r="CU62" s="551"/>
      <c r="CV62" s="551"/>
      <c r="CW62" s="551"/>
      <c r="CX62" s="551"/>
      <c r="CY62" s="551"/>
      <c r="CZ62" s="551"/>
      <c r="DA62" s="551"/>
      <c r="DB62" s="551"/>
      <c r="DC62" s="551"/>
      <c r="DD62" s="551"/>
      <c r="DE62" s="551"/>
      <c r="DF62" s="441"/>
      <c r="DG62" s="441"/>
      <c r="DH62" s="441"/>
      <c r="DI62" s="441"/>
      <c r="DJ62" s="551"/>
      <c r="DK62" s="441"/>
      <c r="DL62" s="441"/>
      <c r="DM62" s="441"/>
      <c r="DN62" s="441"/>
      <c r="DO62" s="441"/>
      <c r="DP62" s="441"/>
      <c r="DQ62" s="441"/>
      <c r="DR62" s="441"/>
      <c r="DS62" s="441"/>
      <c r="DT62" s="441"/>
      <c r="DU62" s="441"/>
      <c r="DV62" s="441"/>
      <c r="DW62" s="441"/>
      <c r="DX62" s="441"/>
      <c r="DY62" s="441"/>
      <c r="DZ62" s="441"/>
      <c r="EA62" s="441"/>
      <c r="EB62" s="783"/>
      <c r="EC62" s="441"/>
      <c r="ED62" s="441"/>
      <c r="EE62" s="441"/>
      <c r="EF62" s="441"/>
      <c r="EG62" s="441"/>
      <c r="EH62" s="441"/>
      <c r="EI62" s="441"/>
      <c r="EJ62" s="441"/>
      <c r="EK62" s="441"/>
      <c r="EL62" s="441"/>
      <c r="EM62" s="441"/>
      <c r="EN62" s="441"/>
      <c r="EO62" s="441"/>
      <c r="EP62" s="441"/>
      <c r="EQ62" s="441"/>
      <c r="ER62" s="441"/>
      <c r="ES62" s="441"/>
      <c r="ET62" s="441"/>
      <c r="EU62" s="441"/>
      <c r="EV62" s="441"/>
      <c r="EW62" s="441"/>
      <c r="EX62" s="441"/>
      <c r="EY62" s="441"/>
      <c r="EZ62" s="441"/>
      <c r="FA62" s="441"/>
      <c r="FB62" s="441"/>
      <c r="FC62" s="441"/>
      <c r="FD62" s="441"/>
      <c r="FE62" s="441"/>
      <c r="FF62" s="441"/>
      <c r="FG62" s="441"/>
      <c r="FH62" s="441"/>
      <c r="FI62" s="441"/>
      <c r="FJ62" s="781"/>
      <c r="FK62" s="781"/>
      <c r="FL62" s="781"/>
      <c r="FM62" s="781"/>
      <c r="FN62" s="781"/>
      <c r="FO62" s="781"/>
      <c r="FP62" s="781"/>
      <c r="FQ62" s="781"/>
      <c r="FR62" s="781"/>
      <c r="FS62" s="781"/>
      <c r="FT62" s="781"/>
      <c r="FU62" s="781"/>
      <c r="FV62" s="781"/>
      <c r="FW62" s="781"/>
      <c r="FX62" s="781"/>
      <c r="FY62" s="781"/>
      <c r="FZ62" s="781"/>
      <c r="GA62" s="781"/>
      <c r="GB62" s="781"/>
      <c r="GC62" s="781"/>
      <c r="GD62" s="781"/>
      <c r="GE62" s="781"/>
      <c r="GF62" s="781"/>
      <c r="GG62" s="781"/>
      <c r="GH62" s="781"/>
      <c r="GI62" s="781"/>
      <c r="GJ62" s="781"/>
      <c r="GK62" s="781"/>
      <c r="GL62" s="1335"/>
    </row>
    <row r="63" spans="1:194" ht="16.8" hidden="1">
      <c r="A63" s="1372"/>
      <c r="B63" s="1333"/>
      <c r="C63" s="549"/>
      <c r="D63" s="549"/>
      <c r="E63" s="548"/>
      <c r="F63" s="548"/>
      <c r="G63" s="548"/>
      <c r="H63" s="548"/>
      <c r="I63" s="548"/>
      <c r="J63" s="548"/>
      <c r="K63" s="548"/>
      <c r="L63" s="548"/>
      <c r="M63" s="548"/>
      <c r="N63" s="548"/>
      <c r="O63" s="548"/>
      <c r="P63" s="548"/>
      <c r="Q63" s="548"/>
      <c r="R63" s="548"/>
      <c r="S63" s="548"/>
      <c r="T63" s="439"/>
      <c r="U63" s="440"/>
      <c r="V63" s="507"/>
      <c r="W63" s="440"/>
      <c r="X63" s="441"/>
      <c r="Y63" s="441"/>
      <c r="Z63" s="441"/>
      <c r="AA63" s="441"/>
      <c r="AB63" s="441"/>
      <c r="AC63" s="441"/>
      <c r="AD63" s="441"/>
      <c r="AE63" s="441"/>
      <c r="AF63" s="786"/>
      <c r="AG63" s="441"/>
      <c r="AH63" s="441"/>
      <c r="AI63" s="441"/>
      <c r="AJ63" s="441"/>
      <c r="AK63" s="441"/>
      <c r="AL63" s="441"/>
      <c r="AM63" s="441"/>
      <c r="AN63" s="441"/>
      <c r="AO63" s="441"/>
      <c r="AP63" s="441"/>
      <c r="AQ63" s="441"/>
      <c r="AR63" s="441"/>
      <c r="AS63" s="441"/>
      <c r="AT63" s="441"/>
      <c r="AU63" s="441"/>
      <c r="AV63" s="441"/>
      <c r="AW63" s="441"/>
      <c r="AX63" s="441"/>
      <c r="AY63" s="441"/>
      <c r="AZ63" s="441"/>
      <c r="BA63" s="441"/>
      <c r="BB63" s="441"/>
      <c r="BC63" s="441"/>
      <c r="BD63" s="441"/>
      <c r="BE63" s="441"/>
      <c r="BF63" s="441"/>
      <c r="BG63" s="441"/>
      <c r="BH63" s="441"/>
      <c r="BI63" s="441"/>
      <c r="BJ63" s="441"/>
      <c r="BK63" s="441"/>
      <c r="BL63" s="441"/>
      <c r="BM63" s="441"/>
      <c r="BN63" s="441"/>
      <c r="BO63" s="441"/>
      <c r="BP63" s="441"/>
      <c r="BQ63" s="441"/>
      <c r="BR63" s="441"/>
      <c r="BS63" s="441"/>
      <c r="BT63" s="551"/>
      <c r="BU63" s="441"/>
      <c r="BV63" s="551"/>
      <c r="BW63" s="551"/>
      <c r="BX63" s="551"/>
      <c r="BY63" s="441"/>
      <c r="BZ63" s="441"/>
      <c r="CA63" s="441"/>
      <c r="CB63" s="441"/>
      <c r="CC63" s="441"/>
      <c r="CD63" s="441"/>
      <c r="CE63" s="441"/>
      <c r="CF63" s="441"/>
      <c r="CG63" s="441"/>
      <c r="CH63" s="441"/>
      <c r="CI63" s="441"/>
      <c r="CJ63" s="441"/>
      <c r="CK63" s="441"/>
      <c r="CL63" s="441"/>
      <c r="CM63" s="441"/>
      <c r="CN63" s="441"/>
      <c r="CO63" s="441"/>
      <c r="CP63" s="441"/>
      <c r="CQ63" s="441"/>
      <c r="CR63" s="441"/>
      <c r="CS63" s="441"/>
      <c r="CT63" s="441"/>
      <c r="CU63" s="551"/>
      <c r="CV63" s="551"/>
      <c r="CW63" s="551"/>
      <c r="CX63" s="551"/>
      <c r="CY63" s="551"/>
      <c r="CZ63" s="551"/>
      <c r="DA63" s="551"/>
      <c r="DB63" s="551"/>
      <c r="DC63" s="551"/>
      <c r="DD63" s="551"/>
      <c r="DE63" s="551"/>
      <c r="DF63" s="441"/>
      <c r="DG63" s="441"/>
      <c r="DH63" s="441"/>
      <c r="DI63" s="441"/>
      <c r="DJ63" s="551"/>
      <c r="DK63" s="441"/>
      <c r="DL63" s="441"/>
      <c r="DM63" s="441"/>
      <c r="DN63" s="441"/>
      <c r="DO63" s="441"/>
      <c r="DP63" s="441"/>
      <c r="DQ63" s="441"/>
      <c r="DR63" s="441"/>
      <c r="DS63" s="441"/>
      <c r="DT63" s="441"/>
      <c r="DU63" s="441"/>
      <c r="DV63" s="441"/>
      <c r="DW63" s="441"/>
      <c r="DX63" s="441"/>
      <c r="DY63" s="441"/>
      <c r="DZ63" s="441"/>
      <c r="EA63" s="441"/>
      <c r="EB63" s="783"/>
      <c r="EC63" s="441"/>
      <c r="ED63" s="441"/>
      <c r="EE63" s="441"/>
      <c r="EF63" s="441"/>
      <c r="EG63" s="441"/>
      <c r="EH63" s="441"/>
      <c r="EI63" s="441"/>
      <c r="EJ63" s="441"/>
      <c r="EK63" s="441"/>
      <c r="EL63" s="441"/>
      <c r="EM63" s="441"/>
      <c r="EN63" s="441"/>
      <c r="EO63" s="441"/>
      <c r="EP63" s="441"/>
      <c r="EQ63" s="441"/>
      <c r="ER63" s="441"/>
      <c r="ES63" s="441"/>
      <c r="ET63" s="441"/>
      <c r="EU63" s="441"/>
      <c r="EV63" s="441"/>
      <c r="EW63" s="441"/>
      <c r="EX63" s="441"/>
      <c r="EY63" s="441"/>
      <c r="EZ63" s="441"/>
      <c r="FA63" s="441"/>
      <c r="FB63" s="441"/>
      <c r="FC63" s="441"/>
      <c r="FD63" s="441"/>
      <c r="FE63" s="441"/>
      <c r="FF63" s="441"/>
      <c r="FG63" s="441"/>
      <c r="FH63" s="441"/>
      <c r="FI63" s="441"/>
      <c r="FJ63" s="781"/>
      <c r="FK63" s="781"/>
      <c r="FL63" s="781"/>
      <c r="FM63" s="781"/>
      <c r="FN63" s="781"/>
      <c r="FO63" s="781"/>
      <c r="FP63" s="781"/>
      <c r="FQ63" s="781"/>
      <c r="FR63" s="781"/>
      <c r="FS63" s="781"/>
      <c r="FT63" s="781"/>
      <c r="FU63" s="781"/>
      <c r="FV63" s="781"/>
      <c r="FW63" s="781"/>
      <c r="FX63" s="781"/>
      <c r="FY63" s="781"/>
      <c r="FZ63" s="781"/>
      <c r="GA63" s="781"/>
      <c r="GB63" s="781"/>
      <c r="GC63" s="781"/>
      <c r="GD63" s="781"/>
      <c r="GE63" s="781"/>
      <c r="GF63" s="781"/>
      <c r="GG63" s="781"/>
      <c r="GH63" s="781"/>
      <c r="GI63" s="781"/>
      <c r="GJ63" s="781"/>
      <c r="GK63" s="781"/>
      <c r="GL63" s="1373"/>
    </row>
    <row r="64" spans="1:194" ht="16.8" hidden="1">
      <c r="A64" s="1372"/>
      <c r="B64" s="1333"/>
      <c r="C64" s="549"/>
      <c r="D64" s="549"/>
      <c r="E64" s="548"/>
      <c r="F64" s="548"/>
      <c r="G64" s="548"/>
      <c r="H64" s="548"/>
      <c r="I64" s="548"/>
      <c r="J64" s="548"/>
      <c r="K64" s="548"/>
      <c r="L64" s="548"/>
      <c r="M64" s="548"/>
      <c r="N64" s="548"/>
      <c r="O64" s="548"/>
      <c r="P64" s="548"/>
      <c r="Q64" s="548"/>
      <c r="R64" s="548"/>
      <c r="S64" s="548"/>
      <c r="T64" s="439"/>
      <c r="U64" s="440"/>
      <c r="V64" s="507"/>
      <c r="W64" s="440"/>
      <c r="X64" s="441"/>
      <c r="Y64" s="441"/>
      <c r="Z64" s="441"/>
      <c r="AA64" s="441"/>
      <c r="AB64" s="441"/>
      <c r="AC64" s="441"/>
      <c r="AD64" s="441"/>
      <c r="AE64" s="441"/>
      <c r="AF64" s="786"/>
      <c r="AG64" s="441"/>
      <c r="AH64" s="441"/>
      <c r="AI64" s="441"/>
      <c r="AJ64" s="441"/>
      <c r="AK64" s="441"/>
      <c r="AL64" s="441"/>
      <c r="AM64" s="441"/>
      <c r="AN64" s="441"/>
      <c r="AO64" s="441"/>
      <c r="AP64" s="441"/>
      <c r="AQ64" s="441"/>
      <c r="AR64" s="441"/>
      <c r="AS64" s="441"/>
      <c r="AT64" s="441"/>
      <c r="AU64" s="441"/>
      <c r="AV64" s="441"/>
      <c r="AW64" s="441"/>
      <c r="AX64" s="441"/>
      <c r="AY64" s="441"/>
      <c r="AZ64" s="441"/>
      <c r="BA64" s="441"/>
      <c r="BB64" s="441"/>
      <c r="BC64" s="441"/>
      <c r="BD64" s="441"/>
      <c r="BE64" s="441"/>
      <c r="BF64" s="441"/>
      <c r="BG64" s="441"/>
      <c r="BH64" s="441"/>
      <c r="BI64" s="441"/>
      <c r="BJ64" s="441"/>
      <c r="BK64" s="441"/>
      <c r="BL64" s="441"/>
      <c r="BM64" s="441"/>
      <c r="BN64" s="441"/>
      <c r="BO64" s="441"/>
      <c r="BP64" s="441"/>
      <c r="BQ64" s="441"/>
      <c r="BR64" s="441"/>
      <c r="BS64" s="441"/>
      <c r="BT64" s="551"/>
      <c r="BU64" s="441"/>
      <c r="BV64" s="551"/>
      <c r="BW64" s="551"/>
      <c r="BX64" s="551"/>
      <c r="BY64" s="441"/>
      <c r="BZ64" s="441"/>
      <c r="CA64" s="441"/>
      <c r="CB64" s="441"/>
      <c r="CC64" s="441"/>
      <c r="CD64" s="441"/>
      <c r="CE64" s="441"/>
      <c r="CF64" s="441"/>
      <c r="CG64" s="441"/>
      <c r="CH64" s="441"/>
      <c r="CI64" s="441"/>
      <c r="CJ64" s="441"/>
      <c r="CK64" s="441"/>
      <c r="CL64" s="441"/>
      <c r="CM64" s="441"/>
      <c r="CN64" s="441"/>
      <c r="CO64" s="441"/>
      <c r="CP64" s="441"/>
      <c r="CQ64" s="441"/>
      <c r="CR64" s="441"/>
      <c r="CS64" s="441"/>
      <c r="CT64" s="441"/>
      <c r="CU64" s="551"/>
      <c r="CV64" s="551"/>
      <c r="CW64" s="551"/>
      <c r="CX64" s="551"/>
      <c r="CY64" s="551"/>
      <c r="CZ64" s="551"/>
      <c r="DA64" s="551"/>
      <c r="DB64" s="551"/>
      <c r="DC64" s="551"/>
      <c r="DD64" s="551"/>
      <c r="DE64" s="551"/>
      <c r="DF64" s="441"/>
      <c r="DG64" s="441"/>
      <c r="DH64" s="441"/>
      <c r="DI64" s="441"/>
      <c r="DJ64" s="551"/>
      <c r="DK64" s="441"/>
      <c r="DL64" s="441"/>
      <c r="DM64" s="441"/>
      <c r="DN64" s="441"/>
      <c r="DO64" s="441"/>
      <c r="DP64" s="441"/>
      <c r="DQ64" s="441"/>
      <c r="DR64" s="441"/>
      <c r="DS64" s="441"/>
      <c r="DT64" s="441"/>
      <c r="DU64" s="441"/>
      <c r="DV64" s="441"/>
      <c r="DW64" s="441"/>
      <c r="DX64" s="441"/>
      <c r="DY64" s="441"/>
      <c r="DZ64" s="441"/>
      <c r="EA64" s="441"/>
      <c r="EB64" s="783"/>
      <c r="EC64" s="441"/>
      <c r="ED64" s="441"/>
      <c r="EE64" s="441"/>
      <c r="EF64" s="441"/>
      <c r="EG64" s="441"/>
      <c r="EH64" s="441"/>
      <c r="EI64" s="441"/>
      <c r="EJ64" s="441"/>
      <c r="EK64" s="441"/>
      <c r="EL64" s="441"/>
      <c r="EM64" s="441"/>
      <c r="EN64" s="441"/>
      <c r="EO64" s="441"/>
      <c r="EP64" s="441"/>
      <c r="EQ64" s="441"/>
      <c r="ER64" s="441"/>
      <c r="ES64" s="441"/>
      <c r="ET64" s="441"/>
      <c r="EU64" s="441"/>
      <c r="EV64" s="441"/>
      <c r="EW64" s="441"/>
      <c r="EX64" s="441"/>
      <c r="EY64" s="441"/>
      <c r="EZ64" s="441"/>
      <c r="FA64" s="441"/>
      <c r="FB64" s="441"/>
      <c r="FC64" s="441"/>
      <c r="FD64" s="441"/>
      <c r="FE64" s="441"/>
      <c r="FF64" s="441"/>
      <c r="FG64" s="441"/>
      <c r="FH64" s="441"/>
      <c r="FI64" s="441"/>
      <c r="FJ64" s="781"/>
      <c r="FK64" s="781"/>
      <c r="FL64" s="781"/>
      <c r="FM64" s="781"/>
      <c r="FN64" s="781"/>
      <c r="FO64" s="781"/>
      <c r="FP64" s="781"/>
      <c r="FQ64" s="781"/>
      <c r="FR64" s="781"/>
      <c r="FS64" s="781"/>
      <c r="FT64" s="781"/>
      <c r="FU64" s="781"/>
      <c r="FV64" s="781"/>
      <c r="FW64" s="781"/>
      <c r="FX64" s="781"/>
      <c r="FY64" s="781"/>
      <c r="FZ64" s="781"/>
      <c r="GA64" s="781"/>
      <c r="GB64" s="781"/>
      <c r="GC64" s="781"/>
      <c r="GD64" s="781"/>
      <c r="GE64" s="781"/>
      <c r="GF64" s="781"/>
      <c r="GG64" s="781"/>
      <c r="GH64" s="781"/>
      <c r="GI64" s="781"/>
      <c r="GJ64" s="781"/>
      <c r="GK64" s="781"/>
      <c r="GL64" s="1335"/>
    </row>
    <row r="65" spans="1:194" ht="16.8" hidden="1">
      <c r="A65" s="1372"/>
      <c r="B65" s="1333"/>
      <c r="C65" s="549"/>
      <c r="D65" s="549"/>
      <c r="E65" s="548"/>
      <c r="F65" s="548"/>
      <c r="G65" s="548"/>
      <c r="H65" s="548"/>
      <c r="I65" s="548"/>
      <c r="J65" s="548"/>
      <c r="K65" s="548"/>
      <c r="L65" s="548"/>
      <c r="M65" s="548"/>
      <c r="N65" s="548"/>
      <c r="O65" s="548"/>
      <c r="P65" s="548"/>
      <c r="Q65" s="548"/>
      <c r="R65" s="548"/>
      <c r="S65" s="548"/>
      <c r="T65" s="439"/>
      <c r="U65" s="440"/>
      <c r="V65" s="507"/>
      <c r="W65" s="440"/>
      <c r="X65" s="441"/>
      <c r="Y65" s="441"/>
      <c r="Z65" s="441"/>
      <c r="AA65" s="441"/>
      <c r="AB65" s="441"/>
      <c r="AC65" s="441"/>
      <c r="AD65" s="441"/>
      <c r="AE65" s="441"/>
      <c r="AF65" s="786"/>
      <c r="AG65" s="441"/>
      <c r="AH65" s="441"/>
      <c r="AI65" s="441"/>
      <c r="AJ65" s="441"/>
      <c r="AK65" s="441"/>
      <c r="AL65" s="441"/>
      <c r="AM65" s="441"/>
      <c r="AN65" s="441"/>
      <c r="AO65" s="441"/>
      <c r="AP65" s="441"/>
      <c r="AQ65" s="441"/>
      <c r="AR65" s="441"/>
      <c r="AS65" s="441"/>
      <c r="AT65" s="441"/>
      <c r="AU65" s="441"/>
      <c r="AV65" s="441"/>
      <c r="AW65" s="441"/>
      <c r="AX65" s="441"/>
      <c r="AY65" s="441"/>
      <c r="AZ65" s="441"/>
      <c r="BA65" s="441"/>
      <c r="BB65" s="441"/>
      <c r="BC65" s="441"/>
      <c r="BD65" s="441"/>
      <c r="BE65" s="441"/>
      <c r="BF65" s="441"/>
      <c r="BG65" s="441"/>
      <c r="BH65" s="441"/>
      <c r="BI65" s="441"/>
      <c r="BJ65" s="441"/>
      <c r="BK65" s="441"/>
      <c r="BL65" s="441"/>
      <c r="BM65" s="441"/>
      <c r="BN65" s="441"/>
      <c r="BO65" s="441"/>
      <c r="BP65" s="441"/>
      <c r="BQ65" s="441"/>
      <c r="BR65" s="441"/>
      <c r="BS65" s="441"/>
      <c r="BT65" s="551"/>
      <c r="BU65" s="441"/>
      <c r="BV65" s="551"/>
      <c r="BW65" s="551"/>
      <c r="BX65" s="551"/>
      <c r="BY65" s="441"/>
      <c r="BZ65" s="441"/>
      <c r="CA65" s="441"/>
      <c r="CB65" s="441"/>
      <c r="CC65" s="441"/>
      <c r="CD65" s="441"/>
      <c r="CE65" s="441"/>
      <c r="CF65" s="441"/>
      <c r="CG65" s="441"/>
      <c r="CH65" s="441"/>
      <c r="CI65" s="441"/>
      <c r="CJ65" s="441"/>
      <c r="CK65" s="441"/>
      <c r="CL65" s="441"/>
      <c r="CM65" s="441"/>
      <c r="CN65" s="441"/>
      <c r="CO65" s="441"/>
      <c r="CP65" s="441"/>
      <c r="CQ65" s="441"/>
      <c r="CR65" s="441"/>
      <c r="CS65" s="441"/>
      <c r="CT65" s="441"/>
      <c r="CU65" s="551"/>
      <c r="CV65" s="551"/>
      <c r="CW65" s="551"/>
      <c r="CX65" s="551"/>
      <c r="CY65" s="551"/>
      <c r="CZ65" s="551"/>
      <c r="DA65" s="551"/>
      <c r="DB65" s="551"/>
      <c r="DC65" s="551"/>
      <c r="DD65" s="551"/>
      <c r="DE65" s="551"/>
      <c r="DF65" s="441"/>
      <c r="DG65" s="441"/>
      <c r="DH65" s="441"/>
      <c r="DI65" s="441"/>
      <c r="DJ65" s="551"/>
      <c r="DK65" s="441"/>
      <c r="DL65" s="441"/>
      <c r="DM65" s="441"/>
      <c r="DN65" s="441"/>
      <c r="DO65" s="441"/>
      <c r="DP65" s="441"/>
      <c r="DQ65" s="441"/>
      <c r="DR65" s="441"/>
      <c r="DS65" s="441"/>
      <c r="DT65" s="441"/>
      <c r="DU65" s="441"/>
      <c r="DV65" s="441"/>
      <c r="DW65" s="441"/>
      <c r="DX65" s="441"/>
      <c r="DY65" s="441"/>
      <c r="DZ65" s="441"/>
      <c r="EA65" s="441"/>
      <c r="EB65" s="783"/>
      <c r="EC65" s="441"/>
      <c r="ED65" s="441"/>
      <c r="EE65" s="441"/>
      <c r="EF65" s="441"/>
      <c r="EG65" s="441"/>
      <c r="EH65" s="441"/>
      <c r="EI65" s="441"/>
      <c r="EJ65" s="441"/>
      <c r="EK65" s="441"/>
      <c r="EL65" s="441"/>
      <c r="EM65" s="441"/>
      <c r="EN65" s="441"/>
      <c r="EO65" s="441"/>
      <c r="EP65" s="441"/>
      <c r="EQ65" s="441"/>
      <c r="ER65" s="441"/>
      <c r="ES65" s="441"/>
      <c r="ET65" s="441"/>
      <c r="EU65" s="441"/>
      <c r="EV65" s="441"/>
      <c r="EW65" s="441"/>
      <c r="EX65" s="441"/>
      <c r="EY65" s="441"/>
      <c r="EZ65" s="441"/>
      <c r="FA65" s="441"/>
      <c r="FB65" s="441"/>
      <c r="FC65" s="441"/>
      <c r="FD65" s="441"/>
      <c r="FE65" s="441"/>
      <c r="FF65" s="441"/>
      <c r="FG65" s="441"/>
      <c r="FH65" s="441"/>
      <c r="FI65" s="441"/>
      <c r="FJ65" s="781"/>
      <c r="FK65" s="781"/>
      <c r="FL65" s="781"/>
      <c r="FM65" s="781"/>
      <c r="FN65" s="781"/>
      <c r="FO65" s="781"/>
      <c r="FP65" s="781"/>
      <c r="FQ65" s="781"/>
      <c r="FR65" s="781"/>
      <c r="FS65" s="781"/>
      <c r="FT65" s="781"/>
      <c r="FU65" s="781"/>
      <c r="FV65" s="781"/>
      <c r="FW65" s="781"/>
      <c r="FX65" s="781"/>
      <c r="FY65" s="781"/>
      <c r="FZ65" s="781"/>
      <c r="GA65" s="781"/>
      <c r="GB65" s="781"/>
      <c r="GC65" s="781"/>
      <c r="GD65" s="781"/>
      <c r="GE65" s="781"/>
      <c r="GF65" s="781"/>
      <c r="GG65" s="781"/>
      <c r="GH65" s="781"/>
      <c r="GI65" s="781"/>
      <c r="GJ65" s="781"/>
      <c r="GK65" s="781"/>
      <c r="GL65" s="1335"/>
    </row>
    <row r="66" spans="1:194" ht="16.8" hidden="1">
      <c r="A66" s="1372"/>
      <c r="B66" s="1333"/>
      <c r="C66" s="549"/>
      <c r="D66" s="549"/>
      <c r="E66" s="548"/>
      <c r="F66" s="548"/>
      <c r="G66" s="548"/>
      <c r="H66" s="548"/>
      <c r="I66" s="548"/>
      <c r="J66" s="548"/>
      <c r="K66" s="548"/>
      <c r="L66" s="548"/>
      <c r="M66" s="548"/>
      <c r="N66" s="548"/>
      <c r="O66" s="548"/>
      <c r="P66" s="548"/>
      <c r="Q66" s="548"/>
      <c r="R66" s="548"/>
      <c r="S66" s="548"/>
      <c r="T66" s="439"/>
      <c r="U66" s="440"/>
      <c r="V66" s="507"/>
      <c r="W66" s="440"/>
      <c r="X66" s="441"/>
      <c r="Y66" s="441"/>
      <c r="Z66" s="441"/>
      <c r="AA66" s="441"/>
      <c r="AB66" s="441"/>
      <c r="AC66" s="441"/>
      <c r="AD66" s="441"/>
      <c r="AE66" s="441"/>
      <c r="AF66" s="786"/>
      <c r="AG66" s="441"/>
      <c r="AH66" s="441"/>
      <c r="AI66" s="441"/>
      <c r="AJ66" s="441"/>
      <c r="AK66" s="441"/>
      <c r="AL66" s="441"/>
      <c r="AM66" s="441"/>
      <c r="AN66" s="441"/>
      <c r="AO66" s="441"/>
      <c r="AP66" s="441"/>
      <c r="AQ66" s="441"/>
      <c r="AR66" s="441"/>
      <c r="AS66" s="441"/>
      <c r="AT66" s="441"/>
      <c r="AU66" s="441"/>
      <c r="AV66" s="441"/>
      <c r="AW66" s="441"/>
      <c r="AX66" s="441"/>
      <c r="AY66" s="441"/>
      <c r="AZ66" s="441"/>
      <c r="BA66" s="441"/>
      <c r="BB66" s="441"/>
      <c r="BC66" s="441"/>
      <c r="BD66" s="441"/>
      <c r="BE66" s="441"/>
      <c r="BF66" s="441"/>
      <c r="BG66" s="441"/>
      <c r="BH66" s="441"/>
      <c r="BI66" s="441"/>
      <c r="BJ66" s="441"/>
      <c r="BK66" s="441"/>
      <c r="BL66" s="441"/>
      <c r="BM66" s="441"/>
      <c r="BN66" s="441"/>
      <c r="BO66" s="441"/>
      <c r="BP66" s="441"/>
      <c r="BQ66" s="441"/>
      <c r="BR66" s="441"/>
      <c r="BS66" s="441"/>
      <c r="BT66" s="551"/>
      <c r="BU66" s="441"/>
      <c r="BV66" s="551"/>
      <c r="BW66" s="551"/>
      <c r="BX66" s="551"/>
      <c r="BY66" s="441"/>
      <c r="BZ66" s="441"/>
      <c r="CA66" s="441"/>
      <c r="CB66" s="441"/>
      <c r="CC66" s="441"/>
      <c r="CD66" s="441"/>
      <c r="CE66" s="441"/>
      <c r="CF66" s="441"/>
      <c r="CG66" s="441"/>
      <c r="CH66" s="441"/>
      <c r="CI66" s="441"/>
      <c r="CJ66" s="441"/>
      <c r="CK66" s="441"/>
      <c r="CL66" s="441"/>
      <c r="CM66" s="441"/>
      <c r="CN66" s="441"/>
      <c r="CO66" s="441"/>
      <c r="CP66" s="441"/>
      <c r="CQ66" s="441"/>
      <c r="CR66" s="441"/>
      <c r="CS66" s="441"/>
      <c r="CT66" s="441"/>
      <c r="CU66" s="551"/>
      <c r="CV66" s="551"/>
      <c r="CW66" s="551"/>
      <c r="CX66" s="551"/>
      <c r="CY66" s="551"/>
      <c r="CZ66" s="551"/>
      <c r="DA66" s="551"/>
      <c r="DB66" s="551"/>
      <c r="DC66" s="551"/>
      <c r="DD66" s="551"/>
      <c r="DE66" s="551"/>
      <c r="DF66" s="441"/>
      <c r="DG66" s="441"/>
      <c r="DH66" s="441"/>
      <c r="DI66" s="441"/>
      <c r="DJ66" s="551"/>
      <c r="DK66" s="441"/>
      <c r="DL66" s="441"/>
      <c r="DM66" s="441"/>
      <c r="DN66" s="441"/>
      <c r="DO66" s="441"/>
      <c r="DP66" s="441"/>
      <c r="DQ66" s="441"/>
      <c r="DR66" s="441"/>
      <c r="DS66" s="441"/>
      <c r="DT66" s="441"/>
      <c r="DU66" s="441"/>
      <c r="DV66" s="441"/>
      <c r="DW66" s="441"/>
      <c r="DX66" s="441"/>
      <c r="DY66" s="441"/>
      <c r="DZ66" s="441"/>
      <c r="EA66" s="441"/>
      <c r="EB66" s="783"/>
      <c r="EC66" s="441"/>
      <c r="ED66" s="441"/>
      <c r="EE66" s="441"/>
      <c r="EF66" s="441"/>
      <c r="EG66" s="441"/>
      <c r="EH66" s="441"/>
      <c r="EI66" s="441"/>
      <c r="EJ66" s="441"/>
      <c r="EK66" s="441"/>
      <c r="EL66" s="441"/>
      <c r="EM66" s="441"/>
      <c r="EN66" s="441"/>
      <c r="EO66" s="441"/>
      <c r="EP66" s="441"/>
      <c r="EQ66" s="441"/>
      <c r="ER66" s="441"/>
      <c r="ES66" s="441"/>
      <c r="ET66" s="441"/>
      <c r="EU66" s="441"/>
      <c r="EV66" s="441"/>
      <c r="EW66" s="441"/>
      <c r="EX66" s="441"/>
      <c r="EY66" s="441"/>
      <c r="EZ66" s="441"/>
      <c r="FA66" s="441"/>
      <c r="FB66" s="441"/>
      <c r="FC66" s="441"/>
      <c r="FD66" s="441"/>
      <c r="FE66" s="441"/>
      <c r="FF66" s="441"/>
      <c r="FG66" s="441"/>
      <c r="FH66" s="441"/>
      <c r="FI66" s="441"/>
      <c r="FJ66" s="781"/>
      <c r="FK66" s="781"/>
      <c r="FL66" s="781"/>
      <c r="FM66" s="781"/>
      <c r="FN66" s="781"/>
      <c r="FO66" s="781"/>
      <c r="FP66" s="781"/>
      <c r="FQ66" s="781"/>
      <c r="FR66" s="781"/>
      <c r="FS66" s="781"/>
      <c r="FT66" s="781"/>
      <c r="FU66" s="781"/>
      <c r="FV66" s="781"/>
      <c r="FW66" s="781"/>
      <c r="FX66" s="781"/>
      <c r="FY66" s="781"/>
      <c r="FZ66" s="781"/>
      <c r="GA66" s="781"/>
      <c r="GB66" s="781"/>
      <c r="GC66" s="781"/>
      <c r="GD66" s="781"/>
      <c r="GE66" s="781"/>
      <c r="GF66" s="781"/>
      <c r="GG66" s="781"/>
      <c r="GH66" s="781"/>
      <c r="GI66" s="781"/>
      <c r="GJ66" s="781"/>
      <c r="GK66" s="781"/>
      <c r="GL66" s="1335"/>
    </row>
    <row r="67" spans="1:194" ht="16.8" hidden="1">
      <c r="A67" s="1372"/>
      <c r="B67" s="1333"/>
      <c r="C67" s="549"/>
      <c r="D67" s="549"/>
      <c r="E67" s="548"/>
      <c r="F67" s="548"/>
      <c r="G67" s="548"/>
      <c r="H67" s="548"/>
      <c r="I67" s="548"/>
      <c r="J67" s="548"/>
      <c r="K67" s="548"/>
      <c r="L67" s="548"/>
      <c r="M67" s="548"/>
      <c r="N67" s="548"/>
      <c r="O67" s="548"/>
      <c r="P67" s="548"/>
      <c r="Q67" s="548"/>
      <c r="R67" s="548"/>
      <c r="S67" s="548"/>
      <c r="T67" s="439"/>
      <c r="U67" s="440"/>
      <c r="V67" s="507"/>
      <c r="W67" s="440"/>
      <c r="X67" s="441"/>
      <c r="Y67" s="441"/>
      <c r="Z67" s="441"/>
      <c r="AA67" s="441"/>
      <c r="AB67" s="441"/>
      <c r="AC67" s="441"/>
      <c r="AD67" s="441"/>
      <c r="AE67" s="441"/>
      <c r="AF67" s="786"/>
      <c r="AG67" s="441"/>
      <c r="AH67" s="441"/>
      <c r="AI67" s="441"/>
      <c r="AJ67" s="441"/>
      <c r="AK67" s="441"/>
      <c r="AL67" s="441"/>
      <c r="AM67" s="441"/>
      <c r="AN67" s="441"/>
      <c r="AO67" s="441"/>
      <c r="AP67" s="441"/>
      <c r="AQ67" s="441"/>
      <c r="AR67" s="441"/>
      <c r="AS67" s="441"/>
      <c r="AT67" s="441"/>
      <c r="AU67" s="441"/>
      <c r="AV67" s="441"/>
      <c r="AW67" s="441"/>
      <c r="AX67" s="441"/>
      <c r="AY67" s="441"/>
      <c r="AZ67" s="441"/>
      <c r="BA67" s="441"/>
      <c r="BB67" s="441"/>
      <c r="BC67" s="441"/>
      <c r="BD67" s="441"/>
      <c r="BE67" s="441"/>
      <c r="BF67" s="441"/>
      <c r="BG67" s="441"/>
      <c r="BH67" s="441"/>
      <c r="BI67" s="441"/>
      <c r="BJ67" s="441"/>
      <c r="BK67" s="441"/>
      <c r="BL67" s="441"/>
      <c r="BM67" s="441"/>
      <c r="BN67" s="441"/>
      <c r="BO67" s="441"/>
      <c r="BP67" s="441"/>
      <c r="BQ67" s="441"/>
      <c r="BR67" s="441"/>
      <c r="BS67" s="441"/>
      <c r="BT67" s="551"/>
      <c r="BU67" s="441"/>
      <c r="BV67" s="551"/>
      <c r="BW67" s="551"/>
      <c r="BX67" s="551"/>
      <c r="BY67" s="441"/>
      <c r="BZ67" s="441"/>
      <c r="CA67" s="441"/>
      <c r="CB67" s="441"/>
      <c r="CC67" s="441"/>
      <c r="CD67" s="441"/>
      <c r="CE67" s="441"/>
      <c r="CF67" s="441"/>
      <c r="CG67" s="441"/>
      <c r="CH67" s="441"/>
      <c r="CI67" s="441"/>
      <c r="CJ67" s="441"/>
      <c r="CK67" s="441"/>
      <c r="CL67" s="441"/>
      <c r="CM67" s="441"/>
      <c r="CN67" s="441"/>
      <c r="CO67" s="441"/>
      <c r="CP67" s="441"/>
      <c r="CQ67" s="441"/>
      <c r="CR67" s="441"/>
      <c r="CS67" s="441"/>
      <c r="CT67" s="441"/>
      <c r="CU67" s="551"/>
      <c r="CV67" s="551"/>
      <c r="CW67" s="551"/>
      <c r="CX67" s="551"/>
      <c r="CY67" s="551"/>
      <c r="CZ67" s="551"/>
      <c r="DA67" s="551"/>
      <c r="DB67" s="551"/>
      <c r="DC67" s="551"/>
      <c r="DD67" s="551"/>
      <c r="DE67" s="551"/>
      <c r="DF67" s="441"/>
      <c r="DG67" s="441"/>
      <c r="DH67" s="441"/>
      <c r="DI67" s="441"/>
      <c r="DJ67" s="551"/>
      <c r="DK67" s="441"/>
      <c r="DL67" s="441"/>
      <c r="DM67" s="441"/>
      <c r="DN67" s="441"/>
      <c r="DO67" s="441"/>
      <c r="DP67" s="441"/>
      <c r="DQ67" s="441"/>
      <c r="DR67" s="441"/>
      <c r="DS67" s="441"/>
      <c r="DT67" s="441"/>
      <c r="DU67" s="441"/>
      <c r="DV67" s="441"/>
      <c r="DW67" s="441"/>
      <c r="DX67" s="441"/>
      <c r="DY67" s="441"/>
      <c r="DZ67" s="441"/>
      <c r="EA67" s="441"/>
      <c r="EB67" s="783"/>
      <c r="EC67" s="441"/>
      <c r="ED67" s="441"/>
      <c r="EE67" s="441"/>
      <c r="EF67" s="441"/>
      <c r="EG67" s="441"/>
      <c r="EH67" s="441"/>
      <c r="EI67" s="441"/>
      <c r="EJ67" s="441"/>
      <c r="EK67" s="441"/>
      <c r="EL67" s="441"/>
      <c r="EM67" s="441"/>
      <c r="EN67" s="441"/>
      <c r="EO67" s="441"/>
      <c r="EP67" s="441"/>
      <c r="EQ67" s="441"/>
      <c r="ER67" s="441"/>
      <c r="ES67" s="441"/>
      <c r="ET67" s="441"/>
      <c r="EU67" s="441"/>
      <c r="EV67" s="441"/>
      <c r="EW67" s="441"/>
      <c r="EX67" s="441"/>
      <c r="EY67" s="441"/>
      <c r="EZ67" s="441"/>
      <c r="FA67" s="441"/>
      <c r="FB67" s="441"/>
      <c r="FC67" s="441"/>
      <c r="FD67" s="441"/>
      <c r="FE67" s="441"/>
      <c r="FF67" s="441"/>
      <c r="FG67" s="441"/>
      <c r="FH67" s="441"/>
      <c r="FI67" s="441"/>
      <c r="FJ67" s="781"/>
      <c r="FK67" s="781"/>
      <c r="FL67" s="781"/>
      <c r="FM67" s="781"/>
      <c r="FN67" s="781"/>
      <c r="FO67" s="781"/>
      <c r="FP67" s="781"/>
      <c r="FQ67" s="781"/>
      <c r="FR67" s="781"/>
      <c r="FS67" s="781"/>
      <c r="FT67" s="781"/>
      <c r="FU67" s="781"/>
      <c r="FV67" s="781"/>
      <c r="FW67" s="781"/>
      <c r="FX67" s="781"/>
      <c r="FY67" s="781"/>
      <c r="FZ67" s="781"/>
      <c r="GA67" s="781"/>
      <c r="GB67" s="781"/>
      <c r="GC67" s="781"/>
      <c r="GD67" s="781"/>
      <c r="GE67" s="781"/>
      <c r="GF67" s="781"/>
      <c r="GG67" s="781"/>
      <c r="GH67" s="781"/>
      <c r="GI67" s="781"/>
      <c r="GJ67" s="781"/>
      <c r="GK67" s="781"/>
      <c r="GL67" s="1335"/>
    </row>
    <row r="68" spans="1:194" ht="16.8" hidden="1">
      <c r="A68" s="1372"/>
      <c r="B68" s="1333"/>
      <c r="C68" s="549"/>
      <c r="D68" s="549"/>
      <c r="E68" s="548"/>
      <c r="F68" s="548"/>
      <c r="G68" s="548"/>
      <c r="H68" s="548"/>
      <c r="I68" s="548"/>
      <c r="J68" s="548"/>
      <c r="K68" s="548"/>
      <c r="L68" s="548"/>
      <c r="M68" s="548"/>
      <c r="N68" s="548"/>
      <c r="O68" s="548"/>
      <c r="P68" s="548"/>
      <c r="Q68" s="548"/>
      <c r="R68" s="548"/>
      <c r="S68" s="548"/>
      <c r="T68" s="439"/>
      <c r="U68" s="440"/>
      <c r="V68" s="507"/>
      <c r="W68" s="440"/>
      <c r="X68" s="441"/>
      <c r="Y68" s="441"/>
      <c r="Z68" s="441"/>
      <c r="AA68" s="441"/>
      <c r="AB68" s="441"/>
      <c r="AC68" s="441"/>
      <c r="AD68" s="441"/>
      <c r="AE68" s="441"/>
      <c r="AF68" s="786"/>
      <c r="AG68" s="441"/>
      <c r="AH68" s="441"/>
      <c r="AI68" s="441"/>
      <c r="AJ68" s="441"/>
      <c r="AK68" s="441"/>
      <c r="AL68" s="441"/>
      <c r="AM68" s="441"/>
      <c r="AN68" s="441"/>
      <c r="AO68" s="441"/>
      <c r="AP68" s="441"/>
      <c r="AQ68" s="441"/>
      <c r="AR68" s="441"/>
      <c r="AS68" s="441"/>
      <c r="AT68" s="441"/>
      <c r="AU68" s="441"/>
      <c r="AV68" s="441"/>
      <c r="AW68" s="441"/>
      <c r="AX68" s="441"/>
      <c r="AY68" s="441"/>
      <c r="AZ68" s="441"/>
      <c r="BA68" s="441"/>
      <c r="BB68" s="441"/>
      <c r="BC68" s="441"/>
      <c r="BD68" s="441"/>
      <c r="BE68" s="441"/>
      <c r="BF68" s="441"/>
      <c r="BG68" s="441"/>
      <c r="BH68" s="441"/>
      <c r="BI68" s="441"/>
      <c r="BJ68" s="441"/>
      <c r="BK68" s="441"/>
      <c r="BL68" s="441"/>
      <c r="BM68" s="441"/>
      <c r="BN68" s="441"/>
      <c r="BO68" s="441"/>
      <c r="BP68" s="441"/>
      <c r="BQ68" s="441"/>
      <c r="BR68" s="441"/>
      <c r="BS68" s="441"/>
      <c r="BT68" s="551"/>
      <c r="BU68" s="441"/>
      <c r="BV68" s="551"/>
      <c r="BW68" s="551"/>
      <c r="BX68" s="551"/>
      <c r="BY68" s="441"/>
      <c r="BZ68" s="441"/>
      <c r="CA68" s="441"/>
      <c r="CB68" s="441"/>
      <c r="CC68" s="441"/>
      <c r="CD68" s="441"/>
      <c r="CE68" s="441"/>
      <c r="CF68" s="441"/>
      <c r="CG68" s="441"/>
      <c r="CH68" s="441"/>
      <c r="CI68" s="441"/>
      <c r="CJ68" s="441"/>
      <c r="CK68" s="441"/>
      <c r="CL68" s="441"/>
      <c r="CM68" s="441"/>
      <c r="CN68" s="441"/>
      <c r="CO68" s="441"/>
      <c r="CP68" s="441"/>
      <c r="CQ68" s="441"/>
      <c r="CR68" s="441"/>
      <c r="CS68" s="441"/>
      <c r="CT68" s="441"/>
      <c r="CU68" s="551"/>
      <c r="CV68" s="551"/>
      <c r="CW68" s="551"/>
      <c r="CX68" s="551"/>
      <c r="CY68" s="551"/>
      <c r="CZ68" s="551"/>
      <c r="DA68" s="551"/>
      <c r="DB68" s="551"/>
      <c r="DC68" s="551"/>
      <c r="DD68" s="551"/>
      <c r="DE68" s="551"/>
      <c r="DF68" s="441"/>
      <c r="DG68" s="441"/>
      <c r="DH68" s="441"/>
      <c r="DI68" s="441"/>
      <c r="DJ68" s="551"/>
      <c r="DK68" s="441"/>
      <c r="DL68" s="441"/>
      <c r="DM68" s="441"/>
      <c r="DN68" s="441"/>
      <c r="DO68" s="441"/>
      <c r="DP68" s="441"/>
      <c r="DQ68" s="441"/>
      <c r="DR68" s="441"/>
      <c r="DS68" s="441"/>
      <c r="DT68" s="441"/>
      <c r="DU68" s="441"/>
      <c r="DV68" s="441"/>
      <c r="DW68" s="441"/>
      <c r="DX68" s="441"/>
      <c r="DY68" s="441"/>
      <c r="DZ68" s="441"/>
      <c r="EA68" s="441"/>
      <c r="EB68" s="783"/>
      <c r="EC68" s="441"/>
      <c r="ED68" s="441"/>
      <c r="EE68" s="441"/>
      <c r="EF68" s="441"/>
      <c r="EG68" s="441"/>
      <c r="EH68" s="441"/>
      <c r="EI68" s="441"/>
      <c r="EJ68" s="441"/>
      <c r="EK68" s="441"/>
      <c r="EL68" s="441"/>
      <c r="EM68" s="441"/>
      <c r="EN68" s="441"/>
      <c r="EO68" s="441"/>
      <c r="EP68" s="441"/>
      <c r="EQ68" s="441"/>
      <c r="ER68" s="441"/>
      <c r="ES68" s="441"/>
      <c r="ET68" s="441"/>
      <c r="EU68" s="441"/>
      <c r="EV68" s="441"/>
      <c r="EW68" s="441"/>
      <c r="EX68" s="441"/>
      <c r="EY68" s="441"/>
      <c r="EZ68" s="441"/>
      <c r="FA68" s="441"/>
      <c r="FB68" s="441"/>
      <c r="FC68" s="441"/>
      <c r="FD68" s="441"/>
      <c r="FE68" s="441"/>
      <c r="FF68" s="441"/>
      <c r="FG68" s="441"/>
      <c r="FH68" s="441"/>
      <c r="FI68" s="441"/>
      <c r="FJ68" s="781"/>
      <c r="FK68" s="781"/>
      <c r="FL68" s="781"/>
      <c r="FM68" s="781"/>
      <c r="FN68" s="781"/>
      <c r="FO68" s="781"/>
      <c r="FP68" s="781"/>
      <c r="FQ68" s="781"/>
      <c r="FR68" s="781"/>
      <c r="FS68" s="781"/>
      <c r="FT68" s="781"/>
      <c r="FU68" s="781"/>
      <c r="FV68" s="781"/>
      <c r="FW68" s="781"/>
      <c r="FX68" s="781"/>
      <c r="FY68" s="781"/>
      <c r="FZ68" s="781"/>
      <c r="GA68" s="781"/>
      <c r="GB68" s="781"/>
      <c r="GC68" s="781"/>
      <c r="GD68" s="781"/>
      <c r="GE68" s="781"/>
      <c r="GF68" s="781"/>
      <c r="GG68" s="781"/>
      <c r="GH68" s="781"/>
      <c r="GI68" s="781"/>
      <c r="GJ68" s="781"/>
      <c r="GK68" s="781"/>
      <c r="GL68" s="1335"/>
    </row>
    <row r="69" spans="1:194" ht="16.8" hidden="1">
      <c r="A69" s="1372"/>
      <c r="B69" s="1333"/>
      <c r="C69" s="549"/>
      <c r="D69" s="549"/>
      <c r="E69" s="548"/>
      <c r="F69" s="548"/>
      <c r="G69" s="548"/>
      <c r="H69" s="548"/>
      <c r="I69" s="548"/>
      <c r="J69" s="548"/>
      <c r="K69" s="548"/>
      <c r="L69" s="548"/>
      <c r="M69" s="548"/>
      <c r="N69" s="548"/>
      <c r="O69" s="548"/>
      <c r="P69" s="548"/>
      <c r="Q69" s="548"/>
      <c r="R69" s="548"/>
      <c r="S69" s="548"/>
      <c r="T69" s="439"/>
      <c r="U69" s="440"/>
      <c r="V69" s="507"/>
      <c r="W69" s="440"/>
      <c r="X69" s="441"/>
      <c r="Y69" s="441"/>
      <c r="Z69" s="441"/>
      <c r="AA69" s="441"/>
      <c r="AB69" s="441"/>
      <c r="AC69" s="441"/>
      <c r="AD69" s="441"/>
      <c r="AE69" s="441"/>
      <c r="AF69" s="786"/>
      <c r="AG69" s="441"/>
      <c r="AH69" s="441"/>
      <c r="AI69" s="441"/>
      <c r="AJ69" s="441"/>
      <c r="AK69" s="441"/>
      <c r="AL69" s="441"/>
      <c r="AM69" s="441"/>
      <c r="AN69" s="441"/>
      <c r="AO69" s="441"/>
      <c r="AP69" s="441"/>
      <c r="AQ69" s="441"/>
      <c r="AR69" s="441"/>
      <c r="AS69" s="441"/>
      <c r="AT69" s="441"/>
      <c r="AU69" s="441"/>
      <c r="AV69" s="441"/>
      <c r="AW69" s="441"/>
      <c r="AX69" s="441"/>
      <c r="AY69" s="441"/>
      <c r="AZ69" s="441"/>
      <c r="BA69" s="441"/>
      <c r="BB69" s="441"/>
      <c r="BC69" s="441"/>
      <c r="BD69" s="441"/>
      <c r="BE69" s="441"/>
      <c r="BF69" s="441"/>
      <c r="BG69" s="441"/>
      <c r="BH69" s="441"/>
      <c r="BI69" s="441"/>
      <c r="BJ69" s="441"/>
      <c r="BK69" s="441"/>
      <c r="BL69" s="441"/>
      <c r="BM69" s="441"/>
      <c r="BN69" s="441"/>
      <c r="BO69" s="441"/>
      <c r="BP69" s="441"/>
      <c r="BQ69" s="441"/>
      <c r="BR69" s="441"/>
      <c r="BS69" s="441"/>
      <c r="BT69" s="551"/>
      <c r="BU69" s="441"/>
      <c r="BV69" s="551"/>
      <c r="BW69" s="551"/>
      <c r="BX69" s="551"/>
      <c r="BY69" s="441"/>
      <c r="BZ69" s="441"/>
      <c r="CA69" s="441"/>
      <c r="CB69" s="441"/>
      <c r="CC69" s="441"/>
      <c r="CD69" s="441"/>
      <c r="CE69" s="441"/>
      <c r="CF69" s="441"/>
      <c r="CG69" s="441"/>
      <c r="CH69" s="441"/>
      <c r="CI69" s="441"/>
      <c r="CJ69" s="441"/>
      <c r="CK69" s="441"/>
      <c r="CL69" s="441"/>
      <c r="CM69" s="441"/>
      <c r="CN69" s="441"/>
      <c r="CO69" s="441"/>
      <c r="CP69" s="441"/>
      <c r="CQ69" s="441"/>
      <c r="CR69" s="441"/>
      <c r="CS69" s="441"/>
      <c r="CT69" s="441"/>
      <c r="CU69" s="551"/>
      <c r="CV69" s="551"/>
      <c r="CW69" s="551"/>
      <c r="CX69" s="551"/>
      <c r="CY69" s="551"/>
      <c r="CZ69" s="551"/>
      <c r="DA69" s="551"/>
      <c r="DB69" s="551"/>
      <c r="DC69" s="551"/>
      <c r="DD69" s="551"/>
      <c r="DE69" s="551"/>
      <c r="DF69" s="441"/>
      <c r="DG69" s="441"/>
      <c r="DH69" s="441"/>
      <c r="DI69" s="441"/>
      <c r="DJ69" s="551"/>
      <c r="DK69" s="441"/>
      <c r="DL69" s="441"/>
      <c r="DM69" s="441"/>
      <c r="DN69" s="441"/>
      <c r="DO69" s="441"/>
      <c r="DP69" s="441"/>
      <c r="DQ69" s="441"/>
      <c r="DR69" s="441"/>
      <c r="DS69" s="441"/>
      <c r="DT69" s="441"/>
      <c r="DU69" s="441"/>
      <c r="DV69" s="441"/>
      <c r="DW69" s="441"/>
      <c r="DX69" s="441"/>
      <c r="DY69" s="441"/>
      <c r="DZ69" s="441"/>
      <c r="EA69" s="441"/>
      <c r="EB69" s="783"/>
      <c r="EC69" s="441"/>
      <c r="ED69" s="441"/>
      <c r="EE69" s="441"/>
      <c r="EF69" s="441"/>
      <c r="EG69" s="441"/>
      <c r="EH69" s="441"/>
      <c r="EI69" s="441"/>
      <c r="EJ69" s="441"/>
      <c r="EK69" s="441"/>
      <c r="EL69" s="441"/>
      <c r="EM69" s="441"/>
      <c r="EN69" s="441"/>
      <c r="EO69" s="441"/>
      <c r="EP69" s="441"/>
      <c r="EQ69" s="441"/>
      <c r="ER69" s="441"/>
      <c r="ES69" s="441"/>
      <c r="ET69" s="441"/>
      <c r="EU69" s="441"/>
      <c r="EV69" s="441"/>
      <c r="EW69" s="441"/>
      <c r="EX69" s="441"/>
      <c r="EY69" s="441"/>
      <c r="EZ69" s="441"/>
      <c r="FA69" s="441"/>
      <c r="FB69" s="441"/>
      <c r="FC69" s="441"/>
      <c r="FD69" s="441"/>
      <c r="FE69" s="441"/>
      <c r="FF69" s="441"/>
      <c r="FG69" s="441"/>
      <c r="FH69" s="441"/>
      <c r="FI69" s="441"/>
      <c r="FJ69" s="781"/>
      <c r="FK69" s="781"/>
      <c r="FL69" s="781"/>
      <c r="FM69" s="781"/>
      <c r="FN69" s="781"/>
      <c r="FO69" s="781"/>
      <c r="FP69" s="781"/>
      <c r="FQ69" s="781"/>
      <c r="FR69" s="781"/>
      <c r="FS69" s="781"/>
      <c r="FT69" s="781"/>
      <c r="FU69" s="781"/>
      <c r="FV69" s="781"/>
      <c r="FW69" s="781"/>
      <c r="FX69" s="781"/>
      <c r="FY69" s="781"/>
      <c r="FZ69" s="781"/>
      <c r="GA69" s="781"/>
      <c r="GB69" s="781"/>
      <c r="GC69" s="781"/>
      <c r="GD69" s="781"/>
      <c r="GE69" s="781"/>
      <c r="GF69" s="781"/>
      <c r="GG69" s="781"/>
      <c r="GH69" s="781"/>
      <c r="GI69" s="781"/>
      <c r="GJ69" s="781"/>
      <c r="GK69" s="781"/>
      <c r="GL69" s="1335"/>
    </row>
    <row r="70" spans="1:194" ht="16.8" hidden="1">
      <c r="A70" s="1372"/>
      <c r="B70" s="1333"/>
      <c r="C70" s="549"/>
      <c r="D70" s="549"/>
      <c r="E70" s="548"/>
      <c r="F70" s="548"/>
      <c r="G70" s="548"/>
      <c r="H70" s="548"/>
      <c r="I70" s="548"/>
      <c r="J70" s="548"/>
      <c r="K70" s="548"/>
      <c r="L70" s="548"/>
      <c r="M70" s="548"/>
      <c r="N70" s="548"/>
      <c r="O70" s="548"/>
      <c r="P70" s="548"/>
      <c r="Q70" s="548"/>
      <c r="R70" s="548"/>
      <c r="S70" s="548"/>
      <c r="T70" s="439"/>
      <c r="U70" s="440"/>
      <c r="V70" s="507"/>
      <c r="W70" s="440"/>
      <c r="X70" s="441"/>
      <c r="Y70" s="441"/>
      <c r="Z70" s="441"/>
      <c r="AA70" s="441"/>
      <c r="AB70" s="441"/>
      <c r="AC70" s="441"/>
      <c r="AD70" s="441"/>
      <c r="AE70" s="441"/>
      <c r="AF70" s="786"/>
      <c r="AG70" s="441"/>
      <c r="AH70" s="441"/>
      <c r="AI70" s="441"/>
      <c r="AJ70" s="441"/>
      <c r="AK70" s="441"/>
      <c r="AL70" s="441"/>
      <c r="AM70" s="441"/>
      <c r="AN70" s="441"/>
      <c r="AO70" s="441"/>
      <c r="AP70" s="441"/>
      <c r="AQ70" s="441"/>
      <c r="AR70" s="441"/>
      <c r="AS70" s="441"/>
      <c r="AT70" s="441"/>
      <c r="AU70" s="441"/>
      <c r="AV70" s="441"/>
      <c r="AW70" s="441"/>
      <c r="AX70" s="441"/>
      <c r="AY70" s="441"/>
      <c r="AZ70" s="441"/>
      <c r="BA70" s="441"/>
      <c r="BB70" s="441"/>
      <c r="BC70" s="441"/>
      <c r="BD70" s="441"/>
      <c r="BE70" s="441"/>
      <c r="BF70" s="441"/>
      <c r="BG70" s="441"/>
      <c r="BH70" s="441"/>
      <c r="BI70" s="441"/>
      <c r="BJ70" s="441"/>
      <c r="BK70" s="441"/>
      <c r="BL70" s="441"/>
      <c r="BM70" s="441"/>
      <c r="BN70" s="441"/>
      <c r="BO70" s="441"/>
      <c r="BP70" s="441"/>
      <c r="BQ70" s="441"/>
      <c r="BR70" s="441"/>
      <c r="BS70" s="441"/>
      <c r="BT70" s="551"/>
      <c r="BU70" s="441"/>
      <c r="BV70" s="551"/>
      <c r="BW70" s="551"/>
      <c r="BX70" s="551"/>
      <c r="BY70" s="441"/>
      <c r="BZ70" s="441"/>
      <c r="CA70" s="441"/>
      <c r="CB70" s="441"/>
      <c r="CC70" s="441"/>
      <c r="CD70" s="441"/>
      <c r="CE70" s="441"/>
      <c r="CF70" s="441"/>
      <c r="CG70" s="441"/>
      <c r="CH70" s="441"/>
      <c r="CI70" s="441"/>
      <c r="CJ70" s="441"/>
      <c r="CK70" s="441"/>
      <c r="CL70" s="441"/>
      <c r="CM70" s="441"/>
      <c r="CN70" s="441"/>
      <c r="CO70" s="441"/>
      <c r="CP70" s="441"/>
      <c r="CQ70" s="441"/>
      <c r="CR70" s="441"/>
      <c r="CS70" s="441"/>
      <c r="CT70" s="441"/>
      <c r="CU70" s="551"/>
      <c r="CV70" s="551"/>
      <c r="CW70" s="551"/>
      <c r="CX70" s="551"/>
      <c r="CY70" s="551"/>
      <c r="CZ70" s="551"/>
      <c r="DA70" s="551"/>
      <c r="DB70" s="551"/>
      <c r="DC70" s="551"/>
      <c r="DD70" s="551"/>
      <c r="DE70" s="551"/>
      <c r="DF70" s="441"/>
      <c r="DG70" s="441"/>
      <c r="DH70" s="441"/>
      <c r="DI70" s="441"/>
      <c r="DJ70" s="551"/>
      <c r="DK70" s="441"/>
      <c r="DL70" s="441"/>
      <c r="DM70" s="441"/>
      <c r="DN70" s="441"/>
      <c r="DO70" s="441"/>
      <c r="DP70" s="441"/>
      <c r="DQ70" s="441"/>
      <c r="DR70" s="441"/>
      <c r="DS70" s="441"/>
      <c r="DT70" s="441"/>
      <c r="DU70" s="441"/>
      <c r="DV70" s="441"/>
      <c r="DW70" s="441"/>
      <c r="DX70" s="441"/>
      <c r="DY70" s="441"/>
      <c r="DZ70" s="441"/>
      <c r="EA70" s="441"/>
      <c r="EB70" s="783"/>
      <c r="EC70" s="441"/>
      <c r="ED70" s="441"/>
      <c r="EE70" s="441"/>
      <c r="EF70" s="441"/>
      <c r="EG70" s="441"/>
      <c r="EH70" s="441"/>
      <c r="EI70" s="441"/>
      <c r="EJ70" s="441"/>
      <c r="EK70" s="441"/>
      <c r="EL70" s="441"/>
      <c r="EM70" s="441"/>
      <c r="EN70" s="441"/>
      <c r="EO70" s="441"/>
      <c r="EP70" s="441"/>
      <c r="EQ70" s="441"/>
      <c r="ER70" s="441"/>
      <c r="ES70" s="441"/>
      <c r="ET70" s="441"/>
      <c r="EU70" s="441"/>
      <c r="EV70" s="441"/>
      <c r="EW70" s="441"/>
      <c r="EX70" s="441"/>
      <c r="EY70" s="441"/>
      <c r="EZ70" s="441"/>
      <c r="FA70" s="441"/>
      <c r="FB70" s="441"/>
      <c r="FC70" s="441"/>
      <c r="FD70" s="441"/>
      <c r="FE70" s="441"/>
      <c r="FF70" s="441"/>
      <c r="FG70" s="441"/>
      <c r="FH70" s="441"/>
      <c r="FI70" s="441"/>
      <c r="FJ70" s="781"/>
      <c r="FK70" s="781"/>
      <c r="FL70" s="781"/>
      <c r="FM70" s="781"/>
      <c r="FN70" s="781"/>
      <c r="FO70" s="781"/>
      <c r="FP70" s="781"/>
      <c r="FQ70" s="781"/>
      <c r="FR70" s="781"/>
      <c r="FS70" s="781"/>
      <c r="FT70" s="781"/>
      <c r="FU70" s="781"/>
      <c r="FV70" s="781"/>
      <c r="FW70" s="781"/>
      <c r="FX70" s="781"/>
      <c r="FY70" s="781"/>
      <c r="FZ70" s="781"/>
      <c r="GA70" s="781"/>
      <c r="GB70" s="781"/>
      <c r="GC70" s="781"/>
      <c r="GD70" s="781"/>
      <c r="GE70" s="781"/>
      <c r="GF70" s="781"/>
      <c r="GG70" s="781"/>
      <c r="GH70" s="781"/>
      <c r="GI70" s="781"/>
      <c r="GJ70" s="781"/>
      <c r="GK70" s="781"/>
      <c r="GL70" s="1335"/>
    </row>
    <row r="71" spans="1:194" ht="16.8" hidden="1">
      <c r="A71" s="1372"/>
      <c r="B71" s="1333"/>
      <c r="C71" s="549"/>
      <c r="D71" s="549"/>
      <c r="E71" s="548"/>
      <c r="F71" s="548"/>
      <c r="G71" s="548"/>
      <c r="H71" s="548"/>
      <c r="I71" s="548"/>
      <c r="J71" s="548"/>
      <c r="K71" s="548"/>
      <c r="L71" s="548"/>
      <c r="M71" s="548"/>
      <c r="N71" s="548"/>
      <c r="O71" s="548"/>
      <c r="P71" s="548"/>
      <c r="Q71" s="548"/>
      <c r="R71" s="548"/>
      <c r="S71" s="548"/>
      <c r="T71" s="439"/>
      <c r="U71" s="440"/>
      <c r="V71" s="507"/>
      <c r="W71" s="440"/>
      <c r="X71" s="441"/>
      <c r="Y71" s="441"/>
      <c r="Z71" s="441"/>
      <c r="AA71" s="441"/>
      <c r="AB71" s="441"/>
      <c r="AC71" s="441"/>
      <c r="AD71" s="441"/>
      <c r="AE71" s="441"/>
      <c r="AF71" s="786"/>
      <c r="AG71" s="441"/>
      <c r="AH71" s="441"/>
      <c r="AI71" s="441"/>
      <c r="AJ71" s="441"/>
      <c r="AK71" s="441"/>
      <c r="AL71" s="441"/>
      <c r="AM71" s="441"/>
      <c r="AN71" s="441"/>
      <c r="AO71" s="441"/>
      <c r="AP71" s="441"/>
      <c r="AQ71" s="441"/>
      <c r="AR71" s="441"/>
      <c r="AS71" s="441"/>
      <c r="AT71" s="441"/>
      <c r="AU71" s="441"/>
      <c r="AV71" s="441"/>
      <c r="AW71" s="441"/>
      <c r="AX71" s="441"/>
      <c r="AY71" s="441"/>
      <c r="AZ71" s="441"/>
      <c r="BA71" s="441"/>
      <c r="BB71" s="441"/>
      <c r="BC71" s="441"/>
      <c r="BD71" s="441"/>
      <c r="BE71" s="441"/>
      <c r="BF71" s="441"/>
      <c r="BG71" s="441"/>
      <c r="BH71" s="441"/>
      <c r="BI71" s="441"/>
      <c r="BJ71" s="441"/>
      <c r="BK71" s="441"/>
      <c r="BL71" s="441"/>
      <c r="BM71" s="441"/>
      <c r="BN71" s="441"/>
      <c r="BO71" s="441"/>
      <c r="BP71" s="441"/>
      <c r="BQ71" s="441"/>
      <c r="BR71" s="441"/>
      <c r="BS71" s="441"/>
      <c r="BT71" s="551"/>
      <c r="BU71" s="441"/>
      <c r="BV71" s="551"/>
      <c r="BW71" s="551"/>
      <c r="BX71" s="551"/>
      <c r="BY71" s="441"/>
      <c r="BZ71" s="441"/>
      <c r="CA71" s="441"/>
      <c r="CB71" s="441"/>
      <c r="CC71" s="441"/>
      <c r="CD71" s="441"/>
      <c r="CE71" s="441"/>
      <c r="CF71" s="441"/>
      <c r="CG71" s="441"/>
      <c r="CH71" s="441"/>
      <c r="CI71" s="441"/>
      <c r="CJ71" s="441"/>
      <c r="CK71" s="441"/>
      <c r="CL71" s="441"/>
      <c r="CM71" s="441"/>
      <c r="CN71" s="441"/>
      <c r="CO71" s="441"/>
      <c r="CP71" s="441"/>
      <c r="CQ71" s="441"/>
      <c r="CR71" s="441"/>
      <c r="CS71" s="441"/>
      <c r="CT71" s="441"/>
      <c r="CU71" s="551"/>
      <c r="CV71" s="551"/>
      <c r="CW71" s="551"/>
      <c r="CX71" s="551"/>
      <c r="CY71" s="551"/>
      <c r="CZ71" s="551"/>
      <c r="DA71" s="551"/>
      <c r="DB71" s="551"/>
      <c r="DC71" s="551"/>
      <c r="DD71" s="551"/>
      <c r="DE71" s="551"/>
      <c r="DF71" s="441"/>
      <c r="DG71" s="441"/>
      <c r="DH71" s="441"/>
      <c r="DI71" s="441"/>
      <c r="DJ71" s="551"/>
      <c r="DK71" s="441"/>
      <c r="DL71" s="441"/>
      <c r="DM71" s="441"/>
      <c r="DN71" s="441"/>
      <c r="DO71" s="441"/>
      <c r="DP71" s="441"/>
      <c r="DQ71" s="441"/>
      <c r="DR71" s="441"/>
      <c r="DS71" s="441"/>
      <c r="DT71" s="441"/>
      <c r="DU71" s="441"/>
      <c r="DV71" s="441"/>
      <c r="DW71" s="441"/>
      <c r="DX71" s="441"/>
      <c r="DY71" s="441"/>
      <c r="DZ71" s="441"/>
      <c r="EA71" s="441"/>
      <c r="EB71" s="783"/>
      <c r="EC71" s="441"/>
      <c r="ED71" s="441"/>
      <c r="EE71" s="441"/>
      <c r="EF71" s="441"/>
      <c r="EG71" s="441"/>
      <c r="EH71" s="441"/>
      <c r="EI71" s="441"/>
      <c r="EJ71" s="441"/>
      <c r="EK71" s="441"/>
      <c r="EL71" s="441"/>
      <c r="EM71" s="441"/>
      <c r="EN71" s="441"/>
      <c r="EO71" s="441"/>
      <c r="EP71" s="441"/>
      <c r="EQ71" s="441"/>
      <c r="ER71" s="441"/>
      <c r="ES71" s="441"/>
      <c r="ET71" s="441"/>
      <c r="EU71" s="441"/>
      <c r="EV71" s="441"/>
      <c r="EW71" s="441"/>
      <c r="EX71" s="441"/>
      <c r="EY71" s="441"/>
      <c r="EZ71" s="441"/>
      <c r="FA71" s="441"/>
      <c r="FB71" s="441"/>
      <c r="FC71" s="441"/>
      <c r="FD71" s="441"/>
      <c r="FE71" s="441"/>
      <c r="FF71" s="441"/>
      <c r="FG71" s="441"/>
      <c r="FH71" s="441"/>
      <c r="FI71" s="441"/>
      <c r="FJ71" s="781"/>
      <c r="FK71" s="781"/>
      <c r="FL71" s="781"/>
      <c r="FM71" s="781"/>
      <c r="FN71" s="781"/>
      <c r="FO71" s="781"/>
      <c r="FP71" s="781"/>
      <c r="FQ71" s="781"/>
      <c r="FR71" s="781"/>
      <c r="FS71" s="781"/>
      <c r="FT71" s="781"/>
      <c r="FU71" s="781"/>
      <c r="FV71" s="781"/>
      <c r="FW71" s="781"/>
      <c r="FX71" s="781"/>
      <c r="FY71" s="781"/>
      <c r="FZ71" s="781"/>
      <c r="GA71" s="781"/>
      <c r="GB71" s="781"/>
      <c r="GC71" s="781"/>
      <c r="GD71" s="781"/>
      <c r="GE71" s="781"/>
      <c r="GF71" s="781"/>
      <c r="GG71" s="781"/>
      <c r="GH71" s="781"/>
      <c r="GI71" s="781"/>
      <c r="GJ71" s="781"/>
      <c r="GK71" s="781"/>
      <c r="GL71" s="1335"/>
    </row>
    <row r="72" spans="1:194" ht="16.8" hidden="1">
      <c r="A72" s="1372"/>
      <c r="B72" s="1333"/>
      <c r="C72" s="549"/>
      <c r="D72" s="549"/>
      <c r="E72" s="548"/>
      <c r="F72" s="548"/>
      <c r="G72" s="548"/>
      <c r="H72" s="548"/>
      <c r="I72" s="548"/>
      <c r="J72" s="548"/>
      <c r="K72" s="548"/>
      <c r="L72" s="548"/>
      <c r="M72" s="548"/>
      <c r="N72" s="548"/>
      <c r="O72" s="548"/>
      <c r="P72" s="548"/>
      <c r="Q72" s="548"/>
      <c r="R72" s="548"/>
      <c r="S72" s="548"/>
      <c r="T72" s="439"/>
      <c r="U72" s="440"/>
      <c r="V72" s="507"/>
      <c r="W72" s="440"/>
      <c r="X72" s="441"/>
      <c r="Y72" s="441"/>
      <c r="Z72" s="441"/>
      <c r="AA72" s="441"/>
      <c r="AB72" s="441"/>
      <c r="AC72" s="441"/>
      <c r="AD72" s="441"/>
      <c r="AE72" s="441"/>
      <c r="AF72" s="786"/>
      <c r="AG72" s="441"/>
      <c r="AH72" s="441"/>
      <c r="AI72" s="441"/>
      <c r="AJ72" s="441"/>
      <c r="AK72" s="441"/>
      <c r="AL72" s="441"/>
      <c r="AM72" s="441"/>
      <c r="AN72" s="441"/>
      <c r="AO72" s="441"/>
      <c r="AP72" s="441"/>
      <c r="AQ72" s="441"/>
      <c r="AR72" s="441"/>
      <c r="AS72" s="441"/>
      <c r="AT72" s="441"/>
      <c r="AU72" s="441"/>
      <c r="AV72" s="441"/>
      <c r="AW72" s="441"/>
      <c r="AX72" s="441"/>
      <c r="AY72" s="441"/>
      <c r="AZ72" s="441"/>
      <c r="BA72" s="441"/>
      <c r="BB72" s="441"/>
      <c r="BC72" s="441"/>
      <c r="BD72" s="441"/>
      <c r="BE72" s="441"/>
      <c r="BF72" s="441"/>
      <c r="BG72" s="441"/>
      <c r="BH72" s="441"/>
      <c r="BI72" s="441"/>
      <c r="BJ72" s="441"/>
      <c r="BK72" s="441"/>
      <c r="BL72" s="441"/>
      <c r="BM72" s="441"/>
      <c r="BN72" s="441"/>
      <c r="BO72" s="441"/>
      <c r="BP72" s="441"/>
      <c r="BQ72" s="441"/>
      <c r="BR72" s="441"/>
      <c r="BS72" s="441"/>
      <c r="BT72" s="551"/>
      <c r="BU72" s="441"/>
      <c r="BV72" s="551"/>
      <c r="BW72" s="551"/>
      <c r="BX72" s="551"/>
      <c r="BY72" s="441"/>
      <c r="BZ72" s="441"/>
      <c r="CA72" s="441"/>
      <c r="CB72" s="441"/>
      <c r="CC72" s="441"/>
      <c r="CD72" s="441"/>
      <c r="CE72" s="441"/>
      <c r="CF72" s="441"/>
      <c r="CG72" s="441"/>
      <c r="CH72" s="441"/>
      <c r="CI72" s="441"/>
      <c r="CJ72" s="441"/>
      <c r="CK72" s="441"/>
      <c r="CL72" s="441"/>
      <c r="CM72" s="441"/>
      <c r="CN72" s="441"/>
      <c r="CO72" s="441"/>
      <c r="CP72" s="441"/>
      <c r="CQ72" s="441"/>
      <c r="CR72" s="441"/>
      <c r="CS72" s="441"/>
      <c r="CT72" s="441"/>
      <c r="CU72" s="551"/>
      <c r="CV72" s="551"/>
      <c r="CW72" s="551"/>
      <c r="CX72" s="551"/>
      <c r="CY72" s="551"/>
      <c r="CZ72" s="551"/>
      <c r="DA72" s="551"/>
      <c r="DB72" s="551"/>
      <c r="DC72" s="551"/>
      <c r="DD72" s="551"/>
      <c r="DE72" s="551"/>
      <c r="DF72" s="441"/>
      <c r="DG72" s="441"/>
      <c r="DH72" s="441"/>
      <c r="DI72" s="441"/>
      <c r="DJ72" s="551"/>
      <c r="DK72" s="441"/>
      <c r="DL72" s="441"/>
      <c r="DM72" s="441"/>
      <c r="DN72" s="441"/>
      <c r="DO72" s="441"/>
      <c r="DP72" s="441"/>
      <c r="DQ72" s="441"/>
      <c r="DR72" s="441"/>
      <c r="DS72" s="441"/>
      <c r="DT72" s="441"/>
      <c r="DU72" s="441"/>
      <c r="DV72" s="441"/>
      <c r="DW72" s="441"/>
      <c r="DX72" s="441"/>
      <c r="DY72" s="441"/>
      <c r="DZ72" s="441"/>
      <c r="EA72" s="441"/>
      <c r="EB72" s="783"/>
      <c r="EC72" s="441"/>
      <c r="ED72" s="441"/>
      <c r="EE72" s="441"/>
      <c r="EF72" s="441"/>
      <c r="EG72" s="441"/>
      <c r="EH72" s="441"/>
      <c r="EI72" s="441"/>
      <c r="EJ72" s="441"/>
      <c r="EK72" s="441"/>
      <c r="EL72" s="441"/>
      <c r="EM72" s="441"/>
      <c r="EN72" s="441"/>
      <c r="EO72" s="441"/>
      <c r="EP72" s="441"/>
      <c r="EQ72" s="441"/>
      <c r="ER72" s="441"/>
      <c r="ES72" s="441"/>
      <c r="ET72" s="441"/>
      <c r="EU72" s="441"/>
      <c r="EV72" s="441"/>
      <c r="EW72" s="441"/>
      <c r="EX72" s="441"/>
      <c r="EY72" s="441"/>
      <c r="EZ72" s="441"/>
      <c r="FA72" s="441"/>
      <c r="FB72" s="441"/>
      <c r="FC72" s="441"/>
      <c r="FD72" s="441"/>
      <c r="FE72" s="441"/>
      <c r="FF72" s="441"/>
      <c r="FG72" s="441"/>
      <c r="FH72" s="441"/>
      <c r="FI72" s="441"/>
      <c r="FJ72" s="781"/>
      <c r="FK72" s="781"/>
      <c r="FL72" s="781"/>
      <c r="FM72" s="781"/>
      <c r="FN72" s="781"/>
      <c r="FO72" s="781"/>
      <c r="FP72" s="781"/>
      <c r="FQ72" s="781"/>
      <c r="FR72" s="781"/>
      <c r="FS72" s="781"/>
      <c r="FT72" s="781"/>
      <c r="FU72" s="781"/>
      <c r="FV72" s="781"/>
      <c r="FW72" s="781"/>
      <c r="FX72" s="781"/>
      <c r="FY72" s="781"/>
      <c r="FZ72" s="781"/>
      <c r="GA72" s="781"/>
      <c r="GB72" s="781"/>
      <c r="GC72" s="781"/>
      <c r="GD72" s="781"/>
      <c r="GE72" s="781"/>
      <c r="GF72" s="781"/>
      <c r="GG72" s="781"/>
      <c r="GH72" s="781"/>
      <c r="GI72" s="781"/>
      <c r="GJ72" s="781"/>
      <c r="GK72" s="781"/>
      <c r="GL72" s="1335"/>
    </row>
    <row r="73" spans="1:194" ht="16.8" hidden="1">
      <c r="A73" s="1372"/>
      <c r="B73" s="1333"/>
      <c r="C73" s="549"/>
      <c r="D73" s="549"/>
      <c r="E73" s="548"/>
      <c r="F73" s="548"/>
      <c r="G73" s="548"/>
      <c r="H73" s="548"/>
      <c r="I73" s="548"/>
      <c r="J73" s="548"/>
      <c r="K73" s="548"/>
      <c r="L73" s="548"/>
      <c r="M73" s="548"/>
      <c r="N73" s="548"/>
      <c r="O73" s="548"/>
      <c r="P73" s="548"/>
      <c r="Q73" s="548"/>
      <c r="R73" s="548"/>
      <c r="S73" s="548"/>
      <c r="T73" s="439"/>
      <c r="U73" s="440"/>
      <c r="V73" s="507"/>
      <c r="W73" s="440"/>
      <c r="X73" s="441"/>
      <c r="Y73" s="441"/>
      <c r="Z73" s="441"/>
      <c r="AA73" s="441"/>
      <c r="AB73" s="441"/>
      <c r="AC73" s="441"/>
      <c r="AD73" s="441"/>
      <c r="AE73" s="441"/>
      <c r="AF73" s="786"/>
      <c r="AG73" s="441"/>
      <c r="AH73" s="441"/>
      <c r="AI73" s="441"/>
      <c r="AJ73" s="441"/>
      <c r="AK73" s="441"/>
      <c r="AL73" s="441"/>
      <c r="AM73" s="441"/>
      <c r="AN73" s="441"/>
      <c r="AO73" s="441"/>
      <c r="AP73" s="441"/>
      <c r="AQ73" s="441"/>
      <c r="AR73" s="441"/>
      <c r="AS73" s="441"/>
      <c r="AT73" s="441"/>
      <c r="AU73" s="441"/>
      <c r="AV73" s="441"/>
      <c r="AW73" s="441"/>
      <c r="AX73" s="441"/>
      <c r="AY73" s="441"/>
      <c r="AZ73" s="441"/>
      <c r="BA73" s="441"/>
      <c r="BB73" s="441"/>
      <c r="BC73" s="441"/>
      <c r="BD73" s="441"/>
      <c r="BE73" s="441"/>
      <c r="BF73" s="441"/>
      <c r="BG73" s="441"/>
      <c r="BH73" s="441"/>
      <c r="BI73" s="441"/>
      <c r="BJ73" s="441"/>
      <c r="BK73" s="441"/>
      <c r="BL73" s="441"/>
      <c r="BM73" s="441"/>
      <c r="BN73" s="441"/>
      <c r="BO73" s="441"/>
      <c r="BP73" s="441"/>
      <c r="BQ73" s="441"/>
      <c r="BR73" s="441"/>
      <c r="BS73" s="441"/>
      <c r="BT73" s="551"/>
      <c r="BU73" s="441"/>
      <c r="BV73" s="551"/>
      <c r="BW73" s="551"/>
      <c r="BX73" s="551"/>
      <c r="BY73" s="441"/>
      <c r="BZ73" s="441"/>
      <c r="CA73" s="441"/>
      <c r="CB73" s="441"/>
      <c r="CC73" s="441"/>
      <c r="CD73" s="441"/>
      <c r="CE73" s="441"/>
      <c r="CF73" s="441"/>
      <c r="CG73" s="441"/>
      <c r="CH73" s="441"/>
      <c r="CI73" s="441"/>
      <c r="CJ73" s="441"/>
      <c r="CK73" s="441"/>
      <c r="CL73" s="441"/>
      <c r="CM73" s="441"/>
      <c r="CN73" s="441"/>
      <c r="CO73" s="441"/>
      <c r="CP73" s="441"/>
      <c r="CQ73" s="441"/>
      <c r="CR73" s="441"/>
      <c r="CS73" s="441"/>
      <c r="CT73" s="441"/>
      <c r="CU73" s="551"/>
      <c r="CV73" s="551"/>
      <c r="CW73" s="551"/>
      <c r="CX73" s="551"/>
      <c r="CY73" s="551"/>
      <c r="CZ73" s="551"/>
      <c r="DA73" s="551"/>
      <c r="DB73" s="551"/>
      <c r="DC73" s="551"/>
      <c r="DD73" s="551"/>
      <c r="DE73" s="551"/>
      <c r="DF73" s="441"/>
      <c r="DG73" s="441"/>
      <c r="DH73" s="441"/>
      <c r="DI73" s="441"/>
      <c r="DJ73" s="551"/>
      <c r="DK73" s="441"/>
      <c r="DL73" s="441"/>
      <c r="DM73" s="441"/>
      <c r="DN73" s="441"/>
      <c r="DO73" s="441"/>
      <c r="DP73" s="441"/>
      <c r="DQ73" s="441"/>
      <c r="DR73" s="441"/>
      <c r="DS73" s="441"/>
      <c r="DT73" s="441"/>
      <c r="DU73" s="441"/>
      <c r="DV73" s="441"/>
      <c r="DW73" s="441"/>
      <c r="DX73" s="441"/>
      <c r="DY73" s="441"/>
      <c r="DZ73" s="441"/>
      <c r="EA73" s="441"/>
      <c r="EB73" s="783"/>
      <c r="EC73" s="441"/>
      <c r="ED73" s="441"/>
      <c r="EE73" s="441"/>
      <c r="EF73" s="441"/>
      <c r="EG73" s="441"/>
      <c r="EH73" s="441"/>
      <c r="EI73" s="441"/>
      <c r="EJ73" s="441"/>
      <c r="EK73" s="441"/>
      <c r="EL73" s="441"/>
      <c r="EM73" s="441"/>
      <c r="EN73" s="441"/>
      <c r="EO73" s="441"/>
      <c r="EP73" s="441"/>
      <c r="EQ73" s="441"/>
      <c r="ER73" s="441"/>
      <c r="ES73" s="441"/>
      <c r="ET73" s="441"/>
      <c r="EU73" s="441"/>
      <c r="EV73" s="441"/>
      <c r="EW73" s="441"/>
      <c r="EX73" s="441"/>
      <c r="EY73" s="441"/>
      <c r="EZ73" s="441"/>
      <c r="FA73" s="441"/>
      <c r="FB73" s="441"/>
      <c r="FC73" s="441"/>
      <c r="FD73" s="441"/>
      <c r="FE73" s="441"/>
      <c r="FF73" s="441"/>
      <c r="FG73" s="441"/>
      <c r="FH73" s="441"/>
      <c r="FI73" s="441"/>
      <c r="FJ73" s="781"/>
      <c r="FK73" s="781"/>
      <c r="FL73" s="781"/>
      <c r="FM73" s="781"/>
      <c r="FN73" s="781"/>
      <c r="FO73" s="781"/>
      <c r="FP73" s="781"/>
      <c r="FQ73" s="781"/>
      <c r="FR73" s="781"/>
      <c r="FS73" s="781"/>
      <c r="FT73" s="781"/>
      <c r="FU73" s="781"/>
      <c r="FV73" s="781"/>
      <c r="FW73" s="781"/>
      <c r="FX73" s="781"/>
      <c r="FY73" s="781"/>
      <c r="FZ73" s="781"/>
      <c r="GA73" s="781"/>
      <c r="GB73" s="781"/>
      <c r="GC73" s="781"/>
      <c r="GD73" s="781"/>
      <c r="GE73" s="781"/>
      <c r="GF73" s="781"/>
      <c r="GG73" s="781"/>
      <c r="GH73" s="781"/>
      <c r="GI73" s="781"/>
      <c r="GJ73" s="781"/>
      <c r="GK73" s="781"/>
      <c r="GL73" s="1335"/>
    </row>
    <row r="74" spans="1:194" ht="16.8" hidden="1">
      <c r="A74" s="1372"/>
      <c r="B74" s="1333"/>
      <c r="C74" s="549"/>
      <c r="D74" s="549"/>
      <c r="E74" s="548"/>
      <c r="F74" s="548"/>
      <c r="G74" s="548"/>
      <c r="H74" s="548"/>
      <c r="I74" s="548"/>
      <c r="J74" s="548"/>
      <c r="K74" s="548"/>
      <c r="L74" s="548"/>
      <c r="M74" s="548"/>
      <c r="N74" s="548"/>
      <c r="O74" s="548"/>
      <c r="P74" s="548"/>
      <c r="Q74" s="548"/>
      <c r="R74" s="548"/>
      <c r="S74" s="548"/>
      <c r="T74" s="439"/>
      <c r="U74" s="440"/>
      <c r="V74" s="507"/>
      <c r="W74" s="440"/>
      <c r="X74" s="441"/>
      <c r="Y74" s="441"/>
      <c r="Z74" s="441"/>
      <c r="AA74" s="441"/>
      <c r="AB74" s="441"/>
      <c r="AC74" s="441"/>
      <c r="AD74" s="441"/>
      <c r="AE74" s="441"/>
      <c r="AF74" s="786"/>
      <c r="AG74" s="441"/>
      <c r="AH74" s="441"/>
      <c r="AI74" s="441"/>
      <c r="AJ74" s="441"/>
      <c r="AK74" s="441"/>
      <c r="AL74" s="441"/>
      <c r="AM74" s="441"/>
      <c r="AN74" s="441"/>
      <c r="AO74" s="441"/>
      <c r="AP74" s="441"/>
      <c r="AQ74" s="441"/>
      <c r="AR74" s="441"/>
      <c r="AS74" s="441"/>
      <c r="AT74" s="441"/>
      <c r="AU74" s="441"/>
      <c r="AV74" s="441"/>
      <c r="AW74" s="441"/>
      <c r="AX74" s="441"/>
      <c r="AY74" s="441"/>
      <c r="AZ74" s="441"/>
      <c r="BA74" s="441"/>
      <c r="BB74" s="441"/>
      <c r="BC74" s="441"/>
      <c r="BD74" s="441"/>
      <c r="BE74" s="441"/>
      <c r="BF74" s="441"/>
      <c r="BG74" s="441"/>
      <c r="BH74" s="441"/>
      <c r="BI74" s="441"/>
      <c r="BJ74" s="441"/>
      <c r="BK74" s="441"/>
      <c r="BL74" s="441"/>
      <c r="BM74" s="441"/>
      <c r="BN74" s="441"/>
      <c r="BO74" s="441"/>
      <c r="BP74" s="441"/>
      <c r="BQ74" s="441"/>
      <c r="BR74" s="441"/>
      <c r="BS74" s="441"/>
      <c r="BT74" s="551"/>
      <c r="BU74" s="441"/>
      <c r="BV74" s="551"/>
      <c r="BW74" s="551"/>
      <c r="BX74" s="551"/>
      <c r="BY74" s="441"/>
      <c r="BZ74" s="441"/>
      <c r="CA74" s="441"/>
      <c r="CB74" s="441"/>
      <c r="CC74" s="441"/>
      <c r="CD74" s="441"/>
      <c r="CE74" s="441"/>
      <c r="CF74" s="441"/>
      <c r="CG74" s="441"/>
      <c r="CH74" s="441"/>
      <c r="CI74" s="441"/>
      <c r="CJ74" s="441"/>
      <c r="CK74" s="441"/>
      <c r="CL74" s="441"/>
      <c r="CM74" s="441"/>
      <c r="CN74" s="441"/>
      <c r="CO74" s="441"/>
      <c r="CP74" s="441"/>
      <c r="CQ74" s="441"/>
      <c r="CR74" s="441"/>
      <c r="CS74" s="441"/>
      <c r="CT74" s="441"/>
      <c r="CU74" s="551"/>
      <c r="CV74" s="551"/>
      <c r="CW74" s="551"/>
      <c r="CX74" s="551"/>
      <c r="CY74" s="551"/>
      <c r="CZ74" s="551"/>
      <c r="DA74" s="551"/>
      <c r="DB74" s="551"/>
      <c r="DC74" s="551"/>
      <c r="DD74" s="551"/>
      <c r="DE74" s="551"/>
      <c r="DF74" s="441"/>
      <c r="DG74" s="441"/>
      <c r="DH74" s="441"/>
      <c r="DI74" s="441"/>
      <c r="DJ74" s="551"/>
      <c r="DK74" s="441"/>
      <c r="DL74" s="441"/>
      <c r="DM74" s="441"/>
      <c r="DN74" s="441"/>
      <c r="DO74" s="441"/>
      <c r="DP74" s="441"/>
      <c r="DQ74" s="441"/>
      <c r="DR74" s="441"/>
      <c r="DS74" s="441"/>
      <c r="DT74" s="441"/>
      <c r="DU74" s="441"/>
      <c r="DV74" s="441"/>
      <c r="DW74" s="441"/>
      <c r="DX74" s="441"/>
      <c r="DY74" s="441"/>
      <c r="DZ74" s="441"/>
      <c r="EA74" s="441"/>
      <c r="EB74" s="783"/>
      <c r="EC74" s="441"/>
      <c r="ED74" s="441"/>
      <c r="EE74" s="441"/>
      <c r="EF74" s="441"/>
      <c r="EG74" s="441"/>
      <c r="EH74" s="441"/>
      <c r="EI74" s="441"/>
      <c r="EJ74" s="441"/>
      <c r="EK74" s="441"/>
      <c r="EL74" s="441"/>
      <c r="EM74" s="441"/>
      <c r="EN74" s="441"/>
      <c r="EO74" s="441"/>
      <c r="EP74" s="441"/>
      <c r="EQ74" s="441"/>
      <c r="ER74" s="441"/>
      <c r="ES74" s="441"/>
      <c r="ET74" s="441"/>
      <c r="EU74" s="441"/>
      <c r="EV74" s="441"/>
      <c r="EW74" s="441"/>
      <c r="EX74" s="441"/>
      <c r="EY74" s="441"/>
      <c r="EZ74" s="441"/>
      <c r="FA74" s="441"/>
      <c r="FB74" s="441"/>
      <c r="FC74" s="441"/>
      <c r="FD74" s="441"/>
      <c r="FE74" s="441"/>
      <c r="FF74" s="441"/>
      <c r="FG74" s="441"/>
      <c r="FH74" s="441"/>
      <c r="FI74" s="441"/>
      <c r="FJ74" s="781"/>
      <c r="FK74" s="781"/>
      <c r="FL74" s="781"/>
      <c r="FM74" s="781"/>
      <c r="FN74" s="781"/>
      <c r="FO74" s="781"/>
      <c r="FP74" s="781"/>
      <c r="FQ74" s="781"/>
      <c r="FR74" s="781"/>
      <c r="FS74" s="781"/>
      <c r="FT74" s="781"/>
      <c r="FU74" s="781"/>
      <c r="FV74" s="781"/>
      <c r="FW74" s="781"/>
      <c r="FX74" s="781"/>
      <c r="FY74" s="781"/>
      <c r="FZ74" s="781"/>
      <c r="GA74" s="781"/>
      <c r="GB74" s="781"/>
      <c r="GC74" s="781"/>
      <c r="GD74" s="781"/>
      <c r="GE74" s="781"/>
      <c r="GF74" s="781"/>
      <c r="GG74" s="781"/>
      <c r="GH74" s="781"/>
      <c r="GI74" s="781"/>
      <c r="GJ74" s="781"/>
      <c r="GK74" s="781"/>
      <c r="GL74" s="1335"/>
    </row>
    <row r="75" spans="1:194" ht="16.8" hidden="1">
      <c r="A75" s="1372"/>
      <c r="B75" s="1333"/>
      <c r="C75" s="549"/>
      <c r="D75" s="549"/>
      <c r="E75" s="548"/>
      <c r="F75" s="548"/>
      <c r="G75" s="548"/>
      <c r="H75" s="548"/>
      <c r="I75" s="548"/>
      <c r="J75" s="548"/>
      <c r="K75" s="548"/>
      <c r="L75" s="548"/>
      <c r="M75" s="548"/>
      <c r="N75" s="548"/>
      <c r="O75" s="548"/>
      <c r="P75" s="548"/>
      <c r="Q75" s="548"/>
      <c r="R75" s="548"/>
      <c r="S75" s="548"/>
      <c r="T75" s="439"/>
      <c r="U75" s="440"/>
      <c r="V75" s="507"/>
      <c r="W75" s="440"/>
      <c r="X75" s="441"/>
      <c r="Y75" s="441"/>
      <c r="Z75" s="441"/>
      <c r="AA75" s="441"/>
      <c r="AB75" s="441"/>
      <c r="AC75" s="441"/>
      <c r="AD75" s="441"/>
      <c r="AE75" s="441"/>
      <c r="AF75" s="786"/>
      <c r="AG75" s="441"/>
      <c r="AH75" s="441"/>
      <c r="AI75" s="441"/>
      <c r="AJ75" s="441"/>
      <c r="AK75" s="441"/>
      <c r="AL75" s="441"/>
      <c r="AM75" s="441"/>
      <c r="AN75" s="441"/>
      <c r="AO75" s="441"/>
      <c r="AP75" s="441"/>
      <c r="AQ75" s="441"/>
      <c r="AR75" s="441"/>
      <c r="AS75" s="441"/>
      <c r="AT75" s="441"/>
      <c r="AU75" s="441"/>
      <c r="AV75" s="441"/>
      <c r="AW75" s="441"/>
      <c r="AX75" s="441"/>
      <c r="AY75" s="441"/>
      <c r="AZ75" s="441"/>
      <c r="BA75" s="441"/>
      <c r="BB75" s="441"/>
      <c r="BC75" s="441"/>
      <c r="BD75" s="441"/>
      <c r="BE75" s="441"/>
      <c r="BF75" s="441"/>
      <c r="BG75" s="441"/>
      <c r="BH75" s="441"/>
      <c r="BI75" s="441"/>
      <c r="BJ75" s="441"/>
      <c r="BK75" s="441"/>
      <c r="BL75" s="441"/>
      <c r="BM75" s="441"/>
      <c r="BN75" s="441"/>
      <c r="BO75" s="441"/>
      <c r="BP75" s="441"/>
      <c r="BQ75" s="441"/>
      <c r="BR75" s="441"/>
      <c r="BS75" s="441"/>
      <c r="BT75" s="551"/>
      <c r="BU75" s="441"/>
      <c r="BV75" s="551"/>
      <c r="BW75" s="551"/>
      <c r="BX75" s="551"/>
      <c r="BY75" s="441"/>
      <c r="BZ75" s="441"/>
      <c r="CA75" s="441"/>
      <c r="CB75" s="441"/>
      <c r="CC75" s="441"/>
      <c r="CD75" s="441"/>
      <c r="CE75" s="441"/>
      <c r="CF75" s="441"/>
      <c r="CG75" s="441"/>
      <c r="CH75" s="441"/>
      <c r="CI75" s="441"/>
      <c r="CJ75" s="441"/>
      <c r="CK75" s="441"/>
      <c r="CL75" s="441"/>
      <c r="CM75" s="441"/>
      <c r="CN75" s="441"/>
      <c r="CO75" s="441"/>
      <c r="CP75" s="441"/>
      <c r="CQ75" s="441"/>
      <c r="CR75" s="441"/>
      <c r="CS75" s="441"/>
      <c r="CT75" s="441"/>
      <c r="CU75" s="551"/>
      <c r="CV75" s="551"/>
      <c r="CW75" s="551"/>
      <c r="CX75" s="551"/>
      <c r="CY75" s="551"/>
      <c r="CZ75" s="551"/>
      <c r="DA75" s="551"/>
      <c r="DB75" s="551"/>
      <c r="DC75" s="551"/>
      <c r="DD75" s="551"/>
      <c r="DE75" s="551"/>
      <c r="DF75" s="441"/>
      <c r="DG75" s="441"/>
      <c r="DH75" s="441"/>
      <c r="DI75" s="441"/>
      <c r="DJ75" s="551"/>
      <c r="DK75" s="441"/>
      <c r="DL75" s="441"/>
      <c r="DM75" s="441"/>
      <c r="DN75" s="441"/>
      <c r="DO75" s="441"/>
      <c r="DP75" s="441"/>
      <c r="DQ75" s="441"/>
      <c r="DR75" s="441"/>
      <c r="DS75" s="441"/>
      <c r="DT75" s="441"/>
      <c r="DU75" s="441"/>
      <c r="DV75" s="441"/>
      <c r="DW75" s="441"/>
      <c r="DX75" s="441"/>
      <c r="DY75" s="441"/>
      <c r="DZ75" s="441"/>
      <c r="EA75" s="441"/>
      <c r="EB75" s="783"/>
      <c r="EC75" s="441"/>
      <c r="ED75" s="441"/>
      <c r="EE75" s="441"/>
      <c r="EF75" s="441"/>
      <c r="EG75" s="441"/>
      <c r="EH75" s="441"/>
      <c r="EI75" s="441"/>
      <c r="EJ75" s="441"/>
      <c r="EK75" s="441"/>
      <c r="EL75" s="441"/>
      <c r="EM75" s="441"/>
      <c r="EN75" s="441"/>
      <c r="EO75" s="441"/>
      <c r="EP75" s="441"/>
      <c r="EQ75" s="441"/>
      <c r="ER75" s="441"/>
      <c r="ES75" s="441"/>
      <c r="ET75" s="441"/>
      <c r="EU75" s="441"/>
      <c r="EV75" s="441"/>
      <c r="EW75" s="441"/>
      <c r="EX75" s="441"/>
      <c r="EY75" s="441"/>
      <c r="EZ75" s="441"/>
      <c r="FA75" s="441"/>
      <c r="FB75" s="441"/>
      <c r="FC75" s="441"/>
      <c r="FD75" s="441"/>
      <c r="FE75" s="441"/>
      <c r="FF75" s="441"/>
      <c r="FG75" s="441"/>
      <c r="FH75" s="441"/>
      <c r="FI75" s="441"/>
      <c r="FJ75" s="781"/>
      <c r="FK75" s="781"/>
      <c r="FL75" s="781"/>
      <c r="FM75" s="781"/>
      <c r="FN75" s="781"/>
      <c r="FO75" s="781"/>
      <c r="FP75" s="781"/>
      <c r="FQ75" s="781"/>
      <c r="FR75" s="781"/>
      <c r="FS75" s="781"/>
      <c r="FT75" s="781"/>
      <c r="FU75" s="781"/>
      <c r="FV75" s="781"/>
      <c r="FW75" s="781"/>
      <c r="FX75" s="781"/>
      <c r="FY75" s="781"/>
      <c r="FZ75" s="781"/>
      <c r="GA75" s="781"/>
      <c r="GB75" s="781"/>
      <c r="GC75" s="781"/>
      <c r="GD75" s="781"/>
      <c r="GE75" s="781"/>
      <c r="GF75" s="781"/>
      <c r="GG75" s="781"/>
      <c r="GH75" s="781"/>
      <c r="GI75" s="781"/>
      <c r="GJ75" s="781"/>
      <c r="GK75" s="781"/>
      <c r="GL75" s="1335"/>
    </row>
    <row r="76" spans="1:194" ht="16.8" hidden="1">
      <c r="A76" s="1372"/>
      <c r="B76" s="1333"/>
      <c r="C76" s="549"/>
      <c r="D76" s="549"/>
      <c r="E76" s="548"/>
      <c r="F76" s="548"/>
      <c r="G76" s="548"/>
      <c r="H76" s="548"/>
      <c r="I76" s="548"/>
      <c r="J76" s="548"/>
      <c r="K76" s="548"/>
      <c r="L76" s="548"/>
      <c r="M76" s="548"/>
      <c r="N76" s="548"/>
      <c r="O76" s="548"/>
      <c r="P76" s="548"/>
      <c r="Q76" s="548"/>
      <c r="R76" s="548"/>
      <c r="S76" s="548"/>
      <c r="T76" s="439"/>
      <c r="U76" s="440"/>
      <c r="V76" s="507"/>
      <c r="W76" s="440"/>
      <c r="X76" s="441"/>
      <c r="Y76" s="441"/>
      <c r="Z76" s="441"/>
      <c r="AA76" s="441"/>
      <c r="AB76" s="441"/>
      <c r="AC76" s="441"/>
      <c r="AD76" s="441"/>
      <c r="AE76" s="441"/>
      <c r="AF76" s="786"/>
      <c r="AG76" s="441"/>
      <c r="AH76" s="441"/>
      <c r="AI76" s="441"/>
      <c r="AJ76" s="441"/>
      <c r="AK76" s="441"/>
      <c r="AL76" s="441"/>
      <c r="AM76" s="441"/>
      <c r="AN76" s="441"/>
      <c r="AO76" s="441"/>
      <c r="AP76" s="441"/>
      <c r="AQ76" s="441"/>
      <c r="AR76" s="441"/>
      <c r="AS76" s="441"/>
      <c r="AT76" s="441"/>
      <c r="AU76" s="441"/>
      <c r="AV76" s="441"/>
      <c r="AW76" s="441"/>
      <c r="AX76" s="441"/>
      <c r="AY76" s="441"/>
      <c r="AZ76" s="441"/>
      <c r="BA76" s="441"/>
      <c r="BB76" s="441"/>
      <c r="BC76" s="441"/>
      <c r="BD76" s="441"/>
      <c r="BE76" s="441"/>
      <c r="BF76" s="441"/>
      <c r="BG76" s="441"/>
      <c r="BH76" s="441"/>
      <c r="BI76" s="441"/>
      <c r="BJ76" s="441"/>
      <c r="BK76" s="441"/>
      <c r="BL76" s="441"/>
      <c r="BM76" s="441"/>
      <c r="BN76" s="441"/>
      <c r="BO76" s="441"/>
      <c r="BP76" s="441"/>
      <c r="BQ76" s="441"/>
      <c r="BR76" s="441"/>
      <c r="BS76" s="441"/>
      <c r="BT76" s="551"/>
      <c r="BU76" s="441"/>
      <c r="BV76" s="551"/>
      <c r="BW76" s="551"/>
      <c r="BX76" s="551"/>
      <c r="BY76" s="441"/>
      <c r="BZ76" s="441"/>
      <c r="CA76" s="441"/>
      <c r="CB76" s="441"/>
      <c r="CC76" s="441"/>
      <c r="CD76" s="441"/>
      <c r="CE76" s="441"/>
      <c r="CF76" s="441"/>
      <c r="CG76" s="441"/>
      <c r="CH76" s="441"/>
      <c r="CI76" s="441"/>
      <c r="CJ76" s="441"/>
      <c r="CK76" s="441"/>
      <c r="CL76" s="441"/>
      <c r="CM76" s="441"/>
      <c r="CN76" s="441"/>
      <c r="CO76" s="441"/>
      <c r="CP76" s="441"/>
      <c r="CQ76" s="441"/>
      <c r="CR76" s="441"/>
      <c r="CS76" s="441"/>
      <c r="CT76" s="441"/>
      <c r="CU76" s="551"/>
      <c r="CV76" s="551"/>
      <c r="CW76" s="551"/>
      <c r="CX76" s="551"/>
      <c r="CY76" s="551"/>
      <c r="CZ76" s="551"/>
      <c r="DA76" s="551"/>
      <c r="DB76" s="551"/>
      <c r="DC76" s="551"/>
      <c r="DD76" s="551"/>
      <c r="DE76" s="551"/>
      <c r="DF76" s="441"/>
      <c r="DG76" s="441"/>
      <c r="DH76" s="441"/>
      <c r="DI76" s="441"/>
      <c r="DJ76" s="551"/>
      <c r="DK76" s="441"/>
      <c r="DL76" s="441"/>
      <c r="DM76" s="441"/>
      <c r="DN76" s="441"/>
      <c r="DO76" s="441"/>
      <c r="DP76" s="441"/>
      <c r="DQ76" s="441"/>
      <c r="DR76" s="441"/>
      <c r="DS76" s="441"/>
      <c r="DT76" s="441"/>
      <c r="DU76" s="441"/>
      <c r="DV76" s="441"/>
      <c r="DW76" s="441"/>
      <c r="DX76" s="441"/>
      <c r="DY76" s="441"/>
      <c r="DZ76" s="441"/>
      <c r="EA76" s="441"/>
      <c r="EB76" s="783"/>
      <c r="EC76" s="441"/>
      <c r="ED76" s="441"/>
      <c r="EE76" s="441"/>
      <c r="EF76" s="441"/>
      <c r="EG76" s="441"/>
      <c r="EH76" s="441"/>
      <c r="EI76" s="441"/>
      <c r="EJ76" s="441"/>
      <c r="EK76" s="441"/>
      <c r="EL76" s="441"/>
      <c r="EM76" s="441"/>
      <c r="EN76" s="441"/>
      <c r="EO76" s="441"/>
      <c r="EP76" s="441"/>
      <c r="EQ76" s="441"/>
      <c r="ER76" s="441"/>
      <c r="ES76" s="441"/>
      <c r="ET76" s="441"/>
      <c r="EU76" s="441"/>
      <c r="EV76" s="441"/>
      <c r="EW76" s="441"/>
      <c r="EX76" s="441"/>
      <c r="EY76" s="441"/>
      <c r="EZ76" s="441"/>
      <c r="FA76" s="441"/>
      <c r="FB76" s="441"/>
      <c r="FC76" s="441"/>
      <c r="FD76" s="441"/>
      <c r="FE76" s="441"/>
      <c r="FF76" s="441"/>
      <c r="FG76" s="441"/>
      <c r="FH76" s="441"/>
      <c r="FI76" s="441"/>
      <c r="FJ76" s="781"/>
      <c r="FK76" s="781"/>
      <c r="FL76" s="781"/>
      <c r="FM76" s="781"/>
      <c r="FN76" s="781"/>
      <c r="FO76" s="781"/>
      <c r="FP76" s="781"/>
      <c r="FQ76" s="781"/>
      <c r="FR76" s="781"/>
      <c r="FS76" s="781"/>
      <c r="FT76" s="781"/>
      <c r="FU76" s="781"/>
      <c r="FV76" s="781"/>
      <c r="FW76" s="781"/>
      <c r="FX76" s="781"/>
      <c r="FY76" s="781"/>
      <c r="FZ76" s="781"/>
      <c r="GA76" s="781"/>
      <c r="GB76" s="781"/>
      <c r="GC76" s="781"/>
      <c r="GD76" s="781"/>
      <c r="GE76" s="781"/>
      <c r="GF76" s="781"/>
      <c r="GG76" s="781"/>
      <c r="GH76" s="781"/>
      <c r="GI76" s="781"/>
      <c r="GJ76" s="781"/>
      <c r="GK76" s="781"/>
      <c r="GL76" s="1335"/>
    </row>
    <row r="77" spans="1:194" ht="16.8" hidden="1">
      <c r="A77" s="1372"/>
      <c r="B77" s="1333"/>
      <c r="C77" s="549"/>
      <c r="D77" s="549"/>
      <c r="E77" s="548"/>
      <c r="F77" s="548"/>
      <c r="G77" s="548"/>
      <c r="H77" s="548"/>
      <c r="I77" s="548"/>
      <c r="J77" s="548"/>
      <c r="K77" s="548"/>
      <c r="L77" s="548"/>
      <c r="M77" s="548"/>
      <c r="N77" s="548"/>
      <c r="O77" s="548"/>
      <c r="P77" s="548"/>
      <c r="Q77" s="548"/>
      <c r="R77" s="548"/>
      <c r="S77" s="548"/>
      <c r="T77" s="439"/>
      <c r="U77" s="440"/>
      <c r="V77" s="507"/>
      <c r="W77" s="440"/>
      <c r="X77" s="441"/>
      <c r="Y77" s="441"/>
      <c r="Z77" s="441"/>
      <c r="AA77" s="441"/>
      <c r="AB77" s="441"/>
      <c r="AC77" s="441"/>
      <c r="AD77" s="441"/>
      <c r="AE77" s="441"/>
      <c r="AF77" s="786"/>
      <c r="AG77" s="441"/>
      <c r="AH77" s="441"/>
      <c r="AI77" s="441"/>
      <c r="AJ77" s="441"/>
      <c r="AK77" s="441"/>
      <c r="AL77" s="441"/>
      <c r="AM77" s="441"/>
      <c r="AN77" s="441"/>
      <c r="AO77" s="441"/>
      <c r="AP77" s="441"/>
      <c r="AQ77" s="441"/>
      <c r="AR77" s="441"/>
      <c r="AS77" s="441"/>
      <c r="AT77" s="441"/>
      <c r="AU77" s="441"/>
      <c r="AV77" s="441"/>
      <c r="AW77" s="441"/>
      <c r="AX77" s="441"/>
      <c r="AY77" s="441"/>
      <c r="AZ77" s="441"/>
      <c r="BA77" s="441"/>
      <c r="BB77" s="441"/>
      <c r="BC77" s="441"/>
      <c r="BD77" s="441"/>
      <c r="BE77" s="441"/>
      <c r="BF77" s="441"/>
      <c r="BG77" s="441"/>
      <c r="BH77" s="441"/>
      <c r="BI77" s="441"/>
      <c r="BJ77" s="441"/>
      <c r="BK77" s="441"/>
      <c r="BL77" s="441"/>
      <c r="BM77" s="441"/>
      <c r="BN77" s="441"/>
      <c r="BO77" s="441"/>
      <c r="BP77" s="441"/>
      <c r="BQ77" s="441"/>
      <c r="BR77" s="441"/>
      <c r="BS77" s="441"/>
      <c r="BT77" s="551"/>
      <c r="BU77" s="441"/>
      <c r="BV77" s="551"/>
      <c r="BW77" s="551"/>
      <c r="BX77" s="551"/>
      <c r="BY77" s="441"/>
      <c r="BZ77" s="441"/>
      <c r="CA77" s="441"/>
      <c r="CB77" s="441"/>
      <c r="CC77" s="441"/>
      <c r="CD77" s="441"/>
      <c r="CE77" s="441"/>
      <c r="CF77" s="441"/>
      <c r="CG77" s="441"/>
      <c r="CH77" s="441"/>
      <c r="CI77" s="441"/>
      <c r="CJ77" s="441"/>
      <c r="CK77" s="441"/>
      <c r="CL77" s="441"/>
      <c r="CM77" s="441"/>
      <c r="CN77" s="441"/>
      <c r="CO77" s="441"/>
      <c r="CP77" s="441"/>
      <c r="CQ77" s="441"/>
      <c r="CR77" s="441"/>
      <c r="CS77" s="441"/>
      <c r="CT77" s="441"/>
      <c r="CU77" s="551"/>
      <c r="CV77" s="551"/>
      <c r="CW77" s="551"/>
      <c r="CX77" s="551"/>
      <c r="CY77" s="551"/>
      <c r="CZ77" s="551"/>
      <c r="DA77" s="551"/>
      <c r="DB77" s="551"/>
      <c r="DC77" s="551"/>
      <c r="DD77" s="551"/>
      <c r="DE77" s="551"/>
      <c r="DF77" s="441"/>
      <c r="DG77" s="441"/>
      <c r="DH77" s="441"/>
      <c r="DI77" s="441"/>
      <c r="DJ77" s="551"/>
      <c r="DK77" s="441"/>
      <c r="DL77" s="441"/>
      <c r="DM77" s="441"/>
      <c r="DN77" s="441"/>
      <c r="DO77" s="441"/>
      <c r="DP77" s="441"/>
      <c r="DQ77" s="441"/>
      <c r="DR77" s="441"/>
      <c r="DS77" s="441"/>
      <c r="DT77" s="441"/>
      <c r="DU77" s="441"/>
      <c r="DV77" s="441"/>
      <c r="DW77" s="441"/>
      <c r="DX77" s="441"/>
      <c r="DY77" s="441"/>
      <c r="DZ77" s="441"/>
      <c r="EA77" s="441"/>
      <c r="EB77" s="783"/>
      <c r="EC77" s="441"/>
      <c r="ED77" s="441"/>
      <c r="EE77" s="441"/>
      <c r="EF77" s="441"/>
      <c r="EG77" s="441"/>
      <c r="EH77" s="441"/>
      <c r="EI77" s="441"/>
      <c r="EJ77" s="441"/>
      <c r="EK77" s="441"/>
      <c r="EL77" s="441"/>
      <c r="EM77" s="441"/>
      <c r="EN77" s="441"/>
      <c r="EO77" s="441"/>
      <c r="EP77" s="441"/>
      <c r="EQ77" s="441"/>
      <c r="ER77" s="441"/>
      <c r="ES77" s="441"/>
      <c r="ET77" s="441"/>
      <c r="EU77" s="441"/>
      <c r="EV77" s="441"/>
      <c r="EW77" s="441"/>
      <c r="EX77" s="441"/>
      <c r="EY77" s="441"/>
      <c r="EZ77" s="441"/>
      <c r="FA77" s="441"/>
      <c r="FB77" s="441"/>
      <c r="FC77" s="441"/>
      <c r="FD77" s="441"/>
      <c r="FE77" s="441"/>
      <c r="FF77" s="441"/>
      <c r="FG77" s="441"/>
      <c r="FH77" s="441"/>
      <c r="FI77" s="441"/>
      <c r="FJ77" s="781"/>
      <c r="FK77" s="781"/>
      <c r="FL77" s="781"/>
      <c r="FM77" s="781"/>
      <c r="FN77" s="781"/>
      <c r="FO77" s="781"/>
      <c r="FP77" s="781"/>
      <c r="FQ77" s="781"/>
      <c r="FR77" s="781"/>
      <c r="FS77" s="781"/>
      <c r="FT77" s="781"/>
      <c r="FU77" s="781"/>
      <c r="FV77" s="781"/>
      <c r="FW77" s="781"/>
      <c r="FX77" s="781"/>
      <c r="FY77" s="781"/>
      <c r="FZ77" s="781"/>
      <c r="GA77" s="781"/>
      <c r="GB77" s="781"/>
      <c r="GC77" s="781"/>
      <c r="GD77" s="781"/>
      <c r="GE77" s="781"/>
      <c r="GF77" s="781"/>
      <c r="GG77" s="781"/>
      <c r="GH77" s="781"/>
      <c r="GI77" s="781"/>
      <c r="GJ77" s="781"/>
      <c r="GK77" s="781"/>
      <c r="GL77" s="1335"/>
    </row>
    <row r="78" spans="1:194" ht="16.8" hidden="1">
      <c r="A78" s="1372"/>
      <c r="B78" s="1333"/>
      <c r="C78" s="549"/>
      <c r="D78" s="549"/>
      <c r="E78" s="548"/>
      <c r="F78" s="548"/>
      <c r="G78" s="548"/>
      <c r="H78" s="548"/>
      <c r="I78" s="548"/>
      <c r="J78" s="548"/>
      <c r="K78" s="548"/>
      <c r="L78" s="548"/>
      <c r="M78" s="548"/>
      <c r="N78" s="548"/>
      <c r="O78" s="548"/>
      <c r="P78" s="548"/>
      <c r="Q78" s="548"/>
      <c r="R78" s="548"/>
      <c r="S78" s="548"/>
      <c r="T78" s="439"/>
      <c r="U78" s="440"/>
      <c r="V78" s="507"/>
      <c r="W78" s="440"/>
      <c r="X78" s="441"/>
      <c r="Y78" s="441"/>
      <c r="Z78" s="441"/>
      <c r="AA78" s="441"/>
      <c r="AB78" s="441"/>
      <c r="AC78" s="441"/>
      <c r="AD78" s="441"/>
      <c r="AE78" s="441"/>
      <c r="AF78" s="786"/>
      <c r="AG78" s="441"/>
      <c r="AH78" s="441"/>
      <c r="AI78" s="441"/>
      <c r="AJ78" s="441"/>
      <c r="AK78" s="441"/>
      <c r="AL78" s="441"/>
      <c r="AM78" s="441"/>
      <c r="AN78" s="441"/>
      <c r="AO78" s="441"/>
      <c r="AP78" s="441"/>
      <c r="AQ78" s="441"/>
      <c r="AR78" s="441"/>
      <c r="AS78" s="441"/>
      <c r="AT78" s="441"/>
      <c r="AU78" s="441"/>
      <c r="AV78" s="441"/>
      <c r="AW78" s="441"/>
      <c r="AX78" s="441"/>
      <c r="AY78" s="441"/>
      <c r="AZ78" s="441"/>
      <c r="BA78" s="441"/>
      <c r="BB78" s="441"/>
      <c r="BC78" s="441"/>
      <c r="BD78" s="441"/>
      <c r="BE78" s="441"/>
      <c r="BF78" s="441"/>
      <c r="BG78" s="441"/>
      <c r="BH78" s="441"/>
      <c r="BI78" s="441"/>
      <c r="BJ78" s="441"/>
      <c r="BK78" s="441"/>
      <c r="BL78" s="441"/>
      <c r="BM78" s="441"/>
      <c r="BN78" s="441"/>
      <c r="BO78" s="441"/>
      <c r="BP78" s="441"/>
      <c r="BQ78" s="441"/>
      <c r="BR78" s="441"/>
      <c r="BS78" s="441"/>
      <c r="BT78" s="551"/>
      <c r="BU78" s="441"/>
      <c r="BV78" s="551"/>
      <c r="BW78" s="551"/>
      <c r="BX78" s="551"/>
      <c r="BY78" s="441"/>
      <c r="BZ78" s="441"/>
      <c r="CA78" s="441"/>
      <c r="CB78" s="441"/>
      <c r="CC78" s="441"/>
      <c r="CD78" s="441"/>
      <c r="CE78" s="441"/>
      <c r="CF78" s="441"/>
      <c r="CG78" s="441"/>
      <c r="CH78" s="441"/>
      <c r="CI78" s="441"/>
      <c r="CJ78" s="441"/>
      <c r="CK78" s="441"/>
      <c r="CL78" s="441"/>
      <c r="CM78" s="441"/>
      <c r="CN78" s="441"/>
      <c r="CO78" s="441"/>
      <c r="CP78" s="441"/>
      <c r="CQ78" s="441"/>
      <c r="CR78" s="441"/>
      <c r="CS78" s="441"/>
      <c r="CT78" s="441"/>
      <c r="CU78" s="551"/>
      <c r="CV78" s="551"/>
      <c r="CW78" s="551"/>
      <c r="CX78" s="551"/>
      <c r="CY78" s="551"/>
      <c r="CZ78" s="551"/>
      <c r="DA78" s="551"/>
      <c r="DB78" s="551"/>
      <c r="DC78" s="551"/>
      <c r="DD78" s="551"/>
      <c r="DE78" s="551"/>
      <c r="DF78" s="441"/>
      <c r="DG78" s="441"/>
      <c r="DH78" s="441"/>
      <c r="DI78" s="441"/>
      <c r="DJ78" s="551"/>
      <c r="DK78" s="441"/>
      <c r="DL78" s="441"/>
      <c r="DM78" s="441"/>
      <c r="DN78" s="441"/>
      <c r="DO78" s="441"/>
      <c r="DP78" s="441"/>
      <c r="DQ78" s="441"/>
      <c r="DR78" s="441"/>
      <c r="DS78" s="441"/>
      <c r="DT78" s="441"/>
      <c r="DU78" s="441"/>
      <c r="DV78" s="441"/>
      <c r="DW78" s="441"/>
      <c r="DX78" s="441"/>
      <c r="DY78" s="441"/>
      <c r="DZ78" s="441"/>
      <c r="EA78" s="441"/>
      <c r="EB78" s="783"/>
      <c r="EC78" s="441"/>
      <c r="ED78" s="441"/>
      <c r="EE78" s="441"/>
      <c r="EF78" s="441"/>
      <c r="EG78" s="441"/>
      <c r="EH78" s="441"/>
      <c r="EI78" s="441"/>
      <c r="EJ78" s="441"/>
      <c r="EK78" s="441"/>
      <c r="EL78" s="441"/>
      <c r="EM78" s="441"/>
      <c r="EN78" s="441"/>
      <c r="EO78" s="441"/>
      <c r="EP78" s="441"/>
      <c r="EQ78" s="441"/>
      <c r="ER78" s="441"/>
      <c r="ES78" s="441"/>
      <c r="ET78" s="441"/>
      <c r="EU78" s="441"/>
      <c r="EV78" s="441"/>
      <c r="EW78" s="441"/>
      <c r="EX78" s="441"/>
      <c r="EY78" s="441"/>
      <c r="EZ78" s="441"/>
      <c r="FA78" s="441"/>
      <c r="FB78" s="441"/>
      <c r="FC78" s="441"/>
      <c r="FD78" s="441"/>
      <c r="FE78" s="441"/>
      <c r="FF78" s="441"/>
      <c r="FG78" s="441"/>
      <c r="FH78" s="441"/>
      <c r="FI78" s="441"/>
      <c r="FJ78" s="781"/>
      <c r="FK78" s="781"/>
      <c r="FL78" s="781"/>
      <c r="FM78" s="781"/>
      <c r="FN78" s="781"/>
      <c r="FO78" s="781"/>
      <c r="FP78" s="781"/>
      <c r="FQ78" s="781"/>
      <c r="FR78" s="781"/>
      <c r="FS78" s="781"/>
      <c r="FT78" s="781"/>
      <c r="FU78" s="781"/>
      <c r="FV78" s="781"/>
      <c r="FW78" s="781"/>
      <c r="FX78" s="781"/>
      <c r="FY78" s="781"/>
      <c r="FZ78" s="781"/>
      <c r="GA78" s="781"/>
      <c r="GB78" s="781"/>
      <c r="GC78" s="781"/>
      <c r="GD78" s="781"/>
      <c r="GE78" s="781"/>
      <c r="GF78" s="781"/>
      <c r="GG78" s="781"/>
      <c r="GH78" s="781"/>
      <c r="GI78" s="781"/>
      <c r="GJ78" s="781"/>
      <c r="GK78" s="781"/>
      <c r="GL78" s="1335"/>
    </row>
    <row r="79" spans="1:194" ht="16.8" hidden="1">
      <c r="A79" s="1372"/>
      <c r="B79" s="1333"/>
      <c r="C79" s="549"/>
      <c r="D79" s="549"/>
      <c r="E79" s="548"/>
      <c r="F79" s="548"/>
      <c r="G79" s="548"/>
      <c r="H79" s="548"/>
      <c r="I79" s="548"/>
      <c r="J79" s="548"/>
      <c r="K79" s="548"/>
      <c r="L79" s="548"/>
      <c r="M79" s="548"/>
      <c r="N79" s="548"/>
      <c r="O79" s="548"/>
      <c r="P79" s="548"/>
      <c r="Q79" s="548"/>
      <c r="R79" s="548"/>
      <c r="S79" s="548"/>
      <c r="T79" s="439"/>
      <c r="U79" s="440"/>
      <c r="V79" s="507"/>
      <c r="W79" s="440"/>
      <c r="X79" s="441"/>
      <c r="Y79" s="441"/>
      <c r="Z79" s="441"/>
      <c r="AA79" s="441"/>
      <c r="AB79" s="441"/>
      <c r="AC79" s="441"/>
      <c r="AD79" s="441"/>
      <c r="AE79" s="441"/>
      <c r="AF79" s="786"/>
      <c r="AG79" s="441"/>
      <c r="AH79" s="441"/>
      <c r="AI79" s="441"/>
      <c r="AJ79" s="441"/>
      <c r="AK79" s="441"/>
      <c r="AL79" s="441"/>
      <c r="AM79" s="441"/>
      <c r="AN79" s="441"/>
      <c r="AO79" s="441"/>
      <c r="AP79" s="441"/>
      <c r="AQ79" s="441"/>
      <c r="AR79" s="441"/>
      <c r="AS79" s="441"/>
      <c r="AT79" s="441"/>
      <c r="AU79" s="441"/>
      <c r="AV79" s="441"/>
      <c r="AW79" s="441"/>
      <c r="AX79" s="441"/>
      <c r="AY79" s="441"/>
      <c r="AZ79" s="441"/>
      <c r="BA79" s="441"/>
      <c r="BB79" s="441"/>
      <c r="BC79" s="441"/>
      <c r="BD79" s="441"/>
      <c r="BE79" s="441"/>
      <c r="BF79" s="441"/>
      <c r="BG79" s="441"/>
      <c r="BH79" s="441"/>
      <c r="BI79" s="441"/>
      <c r="BJ79" s="441"/>
      <c r="BK79" s="441"/>
      <c r="BL79" s="441"/>
      <c r="BM79" s="441"/>
      <c r="BN79" s="441"/>
      <c r="BO79" s="441"/>
      <c r="BP79" s="441"/>
      <c r="BQ79" s="441"/>
      <c r="BR79" s="441"/>
      <c r="BS79" s="441"/>
      <c r="BT79" s="551"/>
      <c r="BU79" s="441"/>
      <c r="BV79" s="551"/>
      <c r="BW79" s="551"/>
      <c r="BX79" s="551"/>
      <c r="BY79" s="441"/>
      <c r="BZ79" s="441"/>
      <c r="CA79" s="441"/>
      <c r="CB79" s="441"/>
      <c r="CC79" s="441"/>
      <c r="CD79" s="441"/>
      <c r="CE79" s="441"/>
      <c r="CF79" s="441"/>
      <c r="CG79" s="441"/>
      <c r="CH79" s="441"/>
      <c r="CI79" s="441"/>
      <c r="CJ79" s="441"/>
      <c r="CK79" s="441"/>
      <c r="CL79" s="441"/>
      <c r="CM79" s="441"/>
      <c r="CN79" s="441"/>
      <c r="CO79" s="441"/>
      <c r="CP79" s="441"/>
      <c r="CQ79" s="441"/>
      <c r="CR79" s="441"/>
      <c r="CS79" s="441"/>
      <c r="CT79" s="441"/>
      <c r="CU79" s="551"/>
      <c r="CV79" s="551"/>
      <c r="CW79" s="551"/>
      <c r="CX79" s="551"/>
      <c r="CY79" s="551"/>
      <c r="CZ79" s="551"/>
      <c r="DA79" s="551"/>
      <c r="DB79" s="551"/>
      <c r="DC79" s="551"/>
      <c r="DD79" s="551"/>
      <c r="DE79" s="551"/>
      <c r="DF79" s="441"/>
      <c r="DG79" s="441"/>
      <c r="DH79" s="441"/>
      <c r="DI79" s="441"/>
      <c r="DJ79" s="551"/>
      <c r="DK79" s="441"/>
      <c r="DL79" s="441"/>
      <c r="DM79" s="441"/>
      <c r="DN79" s="441"/>
      <c r="DO79" s="441"/>
      <c r="DP79" s="441"/>
      <c r="DQ79" s="441"/>
      <c r="DR79" s="441"/>
      <c r="DS79" s="441"/>
      <c r="DT79" s="441"/>
      <c r="DU79" s="441"/>
      <c r="DV79" s="441"/>
      <c r="DW79" s="441"/>
      <c r="DX79" s="441"/>
      <c r="DY79" s="441"/>
      <c r="DZ79" s="441"/>
      <c r="EA79" s="441"/>
      <c r="EB79" s="783"/>
      <c r="EC79" s="441"/>
      <c r="ED79" s="441"/>
      <c r="EE79" s="441"/>
      <c r="EF79" s="441"/>
      <c r="EG79" s="441"/>
      <c r="EH79" s="441"/>
      <c r="EI79" s="441"/>
      <c r="EJ79" s="441"/>
      <c r="EK79" s="441"/>
      <c r="EL79" s="441"/>
      <c r="EM79" s="441"/>
      <c r="EN79" s="441"/>
      <c r="EO79" s="441"/>
      <c r="EP79" s="441"/>
      <c r="EQ79" s="441"/>
      <c r="ER79" s="441"/>
      <c r="ES79" s="441"/>
      <c r="ET79" s="441"/>
      <c r="EU79" s="441"/>
      <c r="EV79" s="441"/>
      <c r="EW79" s="441"/>
      <c r="EX79" s="441"/>
      <c r="EY79" s="441"/>
      <c r="EZ79" s="441"/>
      <c r="FA79" s="441"/>
      <c r="FB79" s="441"/>
      <c r="FC79" s="441"/>
      <c r="FD79" s="441"/>
      <c r="FE79" s="441"/>
      <c r="FF79" s="441"/>
      <c r="FG79" s="441"/>
      <c r="FH79" s="441"/>
      <c r="FI79" s="441"/>
      <c r="FJ79" s="781"/>
      <c r="FK79" s="781"/>
      <c r="FL79" s="781"/>
      <c r="FM79" s="781"/>
      <c r="FN79" s="781"/>
      <c r="FO79" s="781"/>
      <c r="FP79" s="781"/>
      <c r="FQ79" s="781"/>
      <c r="FR79" s="781"/>
      <c r="FS79" s="781"/>
      <c r="FT79" s="781"/>
      <c r="FU79" s="781"/>
      <c r="FV79" s="781"/>
      <c r="FW79" s="781"/>
      <c r="FX79" s="781"/>
      <c r="FY79" s="781"/>
      <c r="FZ79" s="781"/>
      <c r="GA79" s="781"/>
      <c r="GB79" s="781"/>
      <c r="GC79" s="781"/>
      <c r="GD79" s="781"/>
      <c r="GE79" s="781"/>
      <c r="GF79" s="781"/>
      <c r="GG79" s="781"/>
      <c r="GH79" s="781"/>
      <c r="GI79" s="781"/>
      <c r="GJ79" s="781"/>
      <c r="GK79" s="781"/>
      <c r="GL79" s="1335"/>
    </row>
    <row r="80" spans="1:194" ht="16.8" hidden="1">
      <c r="A80" s="1372"/>
      <c r="B80" s="1333"/>
      <c r="C80" s="549"/>
      <c r="D80" s="549"/>
      <c r="E80" s="548"/>
      <c r="F80" s="548"/>
      <c r="G80" s="548"/>
      <c r="H80" s="548"/>
      <c r="I80" s="548"/>
      <c r="J80" s="548"/>
      <c r="K80" s="548"/>
      <c r="L80" s="548"/>
      <c r="M80" s="548"/>
      <c r="N80" s="548"/>
      <c r="O80" s="548"/>
      <c r="P80" s="548"/>
      <c r="Q80" s="548"/>
      <c r="R80" s="548"/>
      <c r="S80" s="548"/>
      <c r="T80" s="439"/>
      <c r="U80" s="440"/>
      <c r="V80" s="507"/>
      <c r="W80" s="440"/>
      <c r="X80" s="441"/>
      <c r="Y80" s="441"/>
      <c r="Z80" s="441"/>
      <c r="AA80" s="441"/>
      <c r="AB80" s="441"/>
      <c r="AC80" s="441"/>
      <c r="AD80" s="441"/>
      <c r="AE80" s="441"/>
      <c r="AF80" s="786"/>
      <c r="AG80" s="441"/>
      <c r="AH80" s="441"/>
      <c r="AI80" s="441"/>
      <c r="AJ80" s="441"/>
      <c r="AK80" s="441"/>
      <c r="AL80" s="441"/>
      <c r="AM80" s="441"/>
      <c r="AN80" s="441"/>
      <c r="AO80" s="441"/>
      <c r="AP80" s="441"/>
      <c r="AQ80" s="441"/>
      <c r="AR80" s="441"/>
      <c r="AS80" s="441"/>
      <c r="AT80" s="441"/>
      <c r="AU80" s="441"/>
      <c r="AV80" s="441"/>
      <c r="AW80" s="441"/>
      <c r="AX80" s="441"/>
      <c r="AY80" s="441"/>
      <c r="AZ80" s="441"/>
      <c r="BA80" s="441"/>
      <c r="BB80" s="441"/>
      <c r="BC80" s="441"/>
      <c r="BD80" s="441"/>
      <c r="BE80" s="441"/>
      <c r="BF80" s="441"/>
      <c r="BG80" s="441"/>
      <c r="BH80" s="441"/>
      <c r="BI80" s="441"/>
      <c r="BJ80" s="441"/>
      <c r="BK80" s="441"/>
      <c r="BL80" s="441"/>
      <c r="BM80" s="441"/>
      <c r="BN80" s="441"/>
      <c r="BO80" s="441"/>
      <c r="BP80" s="441"/>
      <c r="BQ80" s="441"/>
      <c r="BR80" s="441"/>
      <c r="BS80" s="441"/>
      <c r="BT80" s="551"/>
      <c r="BU80" s="441"/>
      <c r="BV80" s="551"/>
      <c r="BW80" s="551"/>
      <c r="BX80" s="551"/>
      <c r="BY80" s="441"/>
      <c r="BZ80" s="441"/>
      <c r="CA80" s="441"/>
      <c r="CB80" s="441"/>
      <c r="CC80" s="441"/>
      <c r="CD80" s="441"/>
      <c r="CE80" s="441"/>
      <c r="CF80" s="441"/>
      <c r="CG80" s="441"/>
      <c r="CH80" s="441"/>
      <c r="CI80" s="441"/>
      <c r="CJ80" s="441"/>
      <c r="CK80" s="441"/>
      <c r="CL80" s="441"/>
      <c r="CM80" s="441"/>
      <c r="CN80" s="441"/>
      <c r="CO80" s="441"/>
      <c r="CP80" s="441"/>
      <c r="CQ80" s="441"/>
      <c r="CR80" s="441"/>
      <c r="CS80" s="441"/>
      <c r="CT80" s="441"/>
      <c r="CU80" s="551"/>
      <c r="CV80" s="551"/>
      <c r="CW80" s="551"/>
      <c r="CX80" s="551"/>
      <c r="CY80" s="551"/>
      <c r="CZ80" s="551"/>
      <c r="DA80" s="551"/>
      <c r="DB80" s="551"/>
      <c r="DC80" s="551"/>
      <c r="DD80" s="551"/>
      <c r="DE80" s="551"/>
      <c r="DF80" s="441"/>
      <c r="DG80" s="441"/>
      <c r="DH80" s="441"/>
      <c r="DI80" s="441"/>
      <c r="DJ80" s="551"/>
      <c r="DK80" s="441"/>
      <c r="DL80" s="441"/>
      <c r="DM80" s="441"/>
      <c r="DN80" s="441"/>
      <c r="DO80" s="441"/>
      <c r="DP80" s="441"/>
      <c r="DQ80" s="441"/>
      <c r="DR80" s="441"/>
      <c r="DS80" s="441"/>
      <c r="DT80" s="441"/>
      <c r="DU80" s="441"/>
      <c r="DV80" s="441"/>
      <c r="DW80" s="441"/>
      <c r="DX80" s="441"/>
      <c r="DY80" s="441"/>
      <c r="DZ80" s="441"/>
      <c r="EA80" s="441"/>
      <c r="EB80" s="783"/>
      <c r="EC80" s="441"/>
      <c r="ED80" s="441"/>
      <c r="EE80" s="441"/>
      <c r="EF80" s="441"/>
      <c r="EG80" s="441"/>
      <c r="EH80" s="441"/>
      <c r="EI80" s="441"/>
      <c r="EJ80" s="441"/>
      <c r="EK80" s="441"/>
      <c r="EL80" s="441"/>
      <c r="EM80" s="441"/>
      <c r="EN80" s="441"/>
      <c r="EO80" s="441"/>
      <c r="EP80" s="441"/>
      <c r="EQ80" s="441"/>
      <c r="ER80" s="441"/>
      <c r="ES80" s="441"/>
      <c r="ET80" s="441"/>
      <c r="EU80" s="441"/>
      <c r="EV80" s="441"/>
      <c r="EW80" s="441"/>
      <c r="EX80" s="441"/>
      <c r="EY80" s="441"/>
      <c r="EZ80" s="441"/>
      <c r="FA80" s="441"/>
      <c r="FB80" s="441"/>
      <c r="FC80" s="441"/>
      <c r="FD80" s="441"/>
      <c r="FE80" s="441"/>
      <c r="FF80" s="441"/>
      <c r="FG80" s="441"/>
      <c r="FH80" s="441"/>
      <c r="FI80" s="441"/>
      <c r="FJ80" s="781"/>
      <c r="FK80" s="781"/>
      <c r="FL80" s="781"/>
      <c r="FM80" s="781"/>
      <c r="FN80" s="781"/>
      <c r="FO80" s="781"/>
      <c r="FP80" s="781"/>
      <c r="FQ80" s="781"/>
      <c r="FR80" s="781"/>
      <c r="FS80" s="781"/>
      <c r="FT80" s="781"/>
      <c r="FU80" s="781"/>
      <c r="FV80" s="781"/>
      <c r="FW80" s="781"/>
      <c r="FX80" s="781"/>
      <c r="FY80" s="781"/>
      <c r="FZ80" s="781"/>
      <c r="GA80" s="781"/>
      <c r="GB80" s="781"/>
      <c r="GC80" s="781"/>
      <c r="GD80" s="781"/>
      <c r="GE80" s="781"/>
      <c r="GF80" s="781"/>
      <c r="GG80" s="781"/>
      <c r="GH80" s="781"/>
      <c r="GI80" s="781"/>
      <c r="GJ80" s="781"/>
      <c r="GK80" s="781"/>
      <c r="GL80" s="1335"/>
    </row>
    <row r="81" spans="1:196" ht="16.8" hidden="1">
      <c r="A81" s="1372"/>
      <c r="B81" s="1333"/>
      <c r="C81" s="549"/>
      <c r="D81" s="549"/>
      <c r="E81" s="548"/>
      <c r="F81" s="548"/>
      <c r="G81" s="548"/>
      <c r="H81" s="548"/>
      <c r="I81" s="548"/>
      <c r="J81" s="548"/>
      <c r="K81" s="548"/>
      <c r="L81" s="548"/>
      <c r="M81" s="548"/>
      <c r="N81" s="548"/>
      <c r="O81" s="548"/>
      <c r="P81" s="548"/>
      <c r="Q81" s="548"/>
      <c r="R81" s="548"/>
      <c r="S81" s="548"/>
      <c r="T81" s="439"/>
      <c r="U81" s="440"/>
      <c r="V81" s="507"/>
      <c r="W81" s="440"/>
      <c r="X81" s="441"/>
      <c r="Y81" s="441"/>
      <c r="Z81" s="441"/>
      <c r="AA81" s="441"/>
      <c r="AB81" s="441"/>
      <c r="AC81" s="441"/>
      <c r="AD81" s="441"/>
      <c r="AE81" s="441"/>
      <c r="AF81" s="786"/>
      <c r="AG81" s="441"/>
      <c r="AH81" s="441"/>
      <c r="AI81" s="441"/>
      <c r="AJ81" s="441"/>
      <c r="AK81" s="441"/>
      <c r="AL81" s="441"/>
      <c r="AM81" s="441"/>
      <c r="AN81" s="441"/>
      <c r="AO81" s="441"/>
      <c r="AP81" s="441"/>
      <c r="AQ81" s="441"/>
      <c r="AR81" s="441"/>
      <c r="AS81" s="441"/>
      <c r="AT81" s="441"/>
      <c r="AU81" s="441"/>
      <c r="AV81" s="441"/>
      <c r="AW81" s="441"/>
      <c r="AX81" s="441"/>
      <c r="AY81" s="441"/>
      <c r="AZ81" s="441"/>
      <c r="BA81" s="441"/>
      <c r="BB81" s="441"/>
      <c r="BC81" s="441"/>
      <c r="BD81" s="441"/>
      <c r="BE81" s="441"/>
      <c r="BF81" s="441"/>
      <c r="BG81" s="441"/>
      <c r="BH81" s="441"/>
      <c r="BI81" s="441"/>
      <c r="BJ81" s="441"/>
      <c r="BK81" s="441"/>
      <c r="BL81" s="441"/>
      <c r="BM81" s="441"/>
      <c r="BN81" s="441"/>
      <c r="BO81" s="441"/>
      <c r="BP81" s="441"/>
      <c r="BQ81" s="441"/>
      <c r="BR81" s="441"/>
      <c r="BS81" s="441"/>
      <c r="BT81" s="551"/>
      <c r="BU81" s="441"/>
      <c r="BV81" s="551"/>
      <c r="BW81" s="551"/>
      <c r="BX81" s="551"/>
      <c r="BY81" s="441"/>
      <c r="BZ81" s="441"/>
      <c r="CA81" s="441"/>
      <c r="CB81" s="441"/>
      <c r="CC81" s="441"/>
      <c r="CD81" s="441"/>
      <c r="CE81" s="441"/>
      <c r="CF81" s="441"/>
      <c r="CG81" s="441"/>
      <c r="CH81" s="441"/>
      <c r="CI81" s="441"/>
      <c r="CJ81" s="441"/>
      <c r="CK81" s="441"/>
      <c r="CL81" s="441"/>
      <c r="CM81" s="441"/>
      <c r="CN81" s="441"/>
      <c r="CO81" s="441"/>
      <c r="CP81" s="441"/>
      <c r="CQ81" s="441"/>
      <c r="CR81" s="441"/>
      <c r="CS81" s="441"/>
      <c r="CT81" s="441"/>
      <c r="CU81" s="551"/>
      <c r="CV81" s="551"/>
      <c r="CW81" s="551"/>
      <c r="CX81" s="551"/>
      <c r="CY81" s="551"/>
      <c r="CZ81" s="551"/>
      <c r="DA81" s="551"/>
      <c r="DB81" s="551"/>
      <c r="DC81" s="551"/>
      <c r="DD81" s="551"/>
      <c r="DE81" s="551"/>
      <c r="DF81" s="441"/>
      <c r="DG81" s="441"/>
      <c r="DH81" s="441"/>
      <c r="DI81" s="441"/>
      <c r="DJ81" s="551"/>
      <c r="DK81" s="441"/>
      <c r="DL81" s="441"/>
      <c r="DM81" s="441"/>
      <c r="DN81" s="441"/>
      <c r="DO81" s="441"/>
      <c r="DP81" s="441"/>
      <c r="DQ81" s="441"/>
      <c r="DR81" s="441"/>
      <c r="DS81" s="441"/>
      <c r="DT81" s="441"/>
      <c r="DU81" s="441"/>
      <c r="DV81" s="441"/>
      <c r="DW81" s="441"/>
      <c r="DX81" s="441"/>
      <c r="DY81" s="441"/>
      <c r="DZ81" s="441"/>
      <c r="EA81" s="441"/>
      <c r="EB81" s="783"/>
      <c r="EC81" s="441"/>
      <c r="ED81" s="441"/>
      <c r="EE81" s="441"/>
      <c r="EF81" s="441"/>
      <c r="EG81" s="441"/>
      <c r="EH81" s="441"/>
      <c r="EI81" s="441"/>
      <c r="EJ81" s="441"/>
      <c r="EK81" s="441"/>
      <c r="EL81" s="441"/>
      <c r="EM81" s="441"/>
      <c r="EN81" s="441"/>
      <c r="EO81" s="441"/>
      <c r="EP81" s="441"/>
      <c r="EQ81" s="441"/>
      <c r="ER81" s="441"/>
      <c r="ES81" s="441"/>
      <c r="ET81" s="441"/>
      <c r="EU81" s="441"/>
      <c r="EV81" s="441"/>
      <c r="EW81" s="441"/>
      <c r="EX81" s="441"/>
      <c r="EY81" s="441"/>
      <c r="EZ81" s="441"/>
      <c r="FA81" s="441"/>
      <c r="FB81" s="441"/>
      <c r="FC81" s="441"/>
      <c r="FD81" s="441"/>
      <c r="FE81" s="441"/>
      <c r="FF81" s="441"/>
      <c r="FG81" s="441"/>
      <c r="FH81" s="441"/>
      <c r="FI81" s="441"/>
      <c r="FJ81" s="781"/>
      <c r="FK81" s="781"/>
      <c r="FL81" s="781"/>
      <c r="FM81" s="781"/>
      <c r="FN81" s="781"/>
      <c r="FO81" s="781"/>
      <c r="FP81" s="781"/>
      <c r="FQ81" s="781"/>
      <c r="FR81" s="781"/>
      <c r="FS81" s="781"/>
      <c r="FT81" s="781"/>
      <c r="FU81" s="781"/>
      <c r="FV81" s="781"/>
      <c r="FW81" s="781"/>
      <c r="FX81" s="781"/>
      <c r="FY81" s="781"/>
      <c r="FZ81" s="781"/>
      <c r="GA81" s="781"/>
      <c r="GB81" s="781"/>
      <c r="GC81" s="781"/>
      <c r="GD81" s="781"/>
      <c r="GE81" s="781"/>
      <c r="GF81" s="781"/>
      <c r="GG81" s="781"/>
      <c r="GH81" s="781"/>
      <c r="GI81" s="781"/>
      <c r="GJ81" s="781"/>
      <c r="GK81" s="781"/>
      <c r="GL81" s="1373"/>
    </row>
    <row r="82" spans="1:196" ht="16.8" hidden="1">
      <c r="A82" s="1370"/>
      <c r="B82" s="1371"/>
      <c r="C82" s="1371"/>
      <c r="D82" s="1371"/>
      <c r="E82" s="1374"/>
      <c r="F82" s="1374"/>
      <c r="G82" s="1374"/>
      <c r="H82" s="1374"/>
      <c r="I82" s="1374"/>
      <c r="J82" s="1374"/>
      <c r="K82" s="1374"/>
      <c r="L82" s="1374"/>
      <c r="M82" s="1374"/>
      <c r="N82" s="1374"/>
      <c r="O82" s="1374"/>
      <c r="P82" s="1374"/>
      <c r="Q82" s="1374"/>
      <c r="R82" s="1374"/>
      <c r="S82" s="1374"/>
      <c r="T82" s="1376"/>
      <c r="U82" s="1376"/>
      <c r="V82" s="1376"/>
      <c r="W82" s="1376"/>
      <c r="X82" s="1376"/>
      <c r="Y82" s="1376"/>
      <c r="Z82" s="1376"/>
      <c r="AA82" s="1376"/>
      <c r="AB82" s="1376"/>
      <c r="AC82" s="1376"/>
      <c r="AD82" s="1376"/>
      <c r="AE82" s="1376"/>
      <c r="AF82" s="1376"/>
      <c r="AG82" s="1376"/>
      <c r="AH82" s="1376"/>
      <c r="AI82" s="1376"/>
      <c r="AJ82" s="1376"/>
      <c r="AK82" s="1376"/>
      <c r="AL82" s="1376"/>
      <c r="AM82" s="1376"/>
      <c r="AN82" s="1376"/>
      <c r="AO82" s="1376"/>
      <c r="AP82" s="1376"/>
      <c r="AQ82" s="1376"/>
      <c r="AR82" s="1376"/>
      <c r="AS82" s="1376"/>
      <c r="AT82" s="1376"/>
      <c r="AU82" s="1376"/>
      <c r="AV82" s="1376"/>
      <c r="AW82" s="1376"/>
      <c r="AX82" s="1376"/>
      <c r="AY82" s="1376"/>
      <c r="AZ82" s="1376"/>
      <c r="BA82" s="1376"/>
      <c r="BB82" s="1376"/>
      <c r="BC82" s="1376"/>
      <c r="BD82" s="1376"/>
      <c r="BE82" s="1376"/>
      <c r="BF82" s="1376"/>
      <c r="BG82" s="1376"/>
      <c r="BH82" s="1376"/>
      <c r="BI82" s="1376"/>
      <c r="BJ82" s="1376"/>
      <c r="BK82" s="1376"/>
      <c r="BL82" s="1376"/>
      <c r="BM82" s="1376"/>
      <c r="BN82" s="1376"/>
      <c r="BO82" s="1376"/>
      <c r="BP82" s="1376"/>
      <c r="BQ82" s="1376"/>
      <c r="BR82" s="1376"/>
      <c r="BS82" s="1376"/>
      <c r="BT82" s="1376"/>
      <c r="BU82" s="1376"/>
      <c r="BV82" s="1376"/>
      <c r="BW82" s="1376"/>
      <c r="BX82" s="1376"/>
      <c r="BY82" s="1376"/>
      <c r="BZ82" s="1376"/>
      <c r="CA82" s="1376"/>
      <c r="CB82" s="1376"/>
      <c r="CC82" s="1376"/>
      <c r="CD82" s="1376"/>
      <c r="CE82" s="1376"/>
      <c r="CF82" s="1376"/>
      <c r="CG82" s="1376"/>
      <c r="CH82" s="1376"/>
      <c r="CI82" s="1376"/>
      <c r="CJ82" s="1376"/>
      <c r="CK82" s="1376"/>
      <c r="CL82" s="1376"/>
      <c r="CM82" s="1376"/>
      <c r="CN82" s="1376"/>
      <c r="CO82" s="1376"/>
      <c r="CP82" s="1376"/>
      <c r="CQ82" s="1376"/>
      <c r="CR82" s="1376"/>
      <c r="CS82" s="1376"/>
      <c r="CT82" s="1376"/>
      <c r="CU82" s="1376"/>
      <c r="CV82" s="1376"/>
      <c r="CW82" s="1376"/>
      <c r="CX82" s="1376"/>
      <c r="CY82" s="1376"/>
      <c r="CZ82" s="1376"/>
      <c r="DA82" s="1376"/>
      <c r="DB82" s="1376"/>
      <c r="DC82" s="1376"/>
      <c r="DD82" s="1376"/>
      <c r="DE82" s="1376"/>
      <c r="DF82" s="1376"/>
      <c r="DG82" s="1376"/>
      <c r="DH82" s="1376"/>
      <c r="DI82" s="1376"/>
      <c r="DJ82" s="1376"/>
      <c r="DK82" s="1376"/>
      <c r="DL82" s="1376"/>
      <c r="DM82" s="1376"/>
      <c r="DN82" s="1376"/>
      <c r="DO82" s="1376"/>
      <c r="DP82" s="1376"/>
      <c r="DQ82" s="1376"/>
      <c r="DR82" s="1376"/>
      <c r="DS82" s="1376"/>
      <c r="DT82" s="1376"/>
      <c r="DU82" s="1376"/>
      <c r="DV82" s="1376"/>
      <c r="DW82" s="1376"/>
      <c r="DX82" s="1376"/>
      <c r="DY82" s="1376"/>
      <c r="DZ82" s="1376"/>
      <c r="EA82" s="1376"/>
      <c r="EB82" s="1376"/>
      <c r="EC82" s="1376"/>
      <c r="ED82" s="1376"/>
      <c r="EE82" s="1376"/>
      <c r="EF82" s="1376"/>
      <c r="EG82" s="1376"/>
      <c r="EH82" s="1376"/>
      <c r="EI82" s="1376"/>
      <c r="EJ82" s="1376"/>
      <c r="EK82" s="1376"/>
      <c r="EL82" s="1376"/>
      <c r="EM82" s="1376"/>
      <c r="EN82" s="1376"/>
      <c r="EO82" s="1376"/>
      <c r="EP82" s="1376"/>
      <c r="EQ82" s="1376"/>
      <c r="ER82" s="1376"/>
      <c r="ES82" s="1376"/>
      <c r="ET82" s="1376"/>
      <c r="EU82" s="1376"/>
      <c r="EV82" s="1376"/>
      <c r="EW82" s="1376"/>
      <c r="EX82" s="1376"/>
      <c r="EY82" s="1376"/>
      <c r="EZ82" s="1376"/>
      <c r="FA82" s="1376"/>
      <c r="FB82" s="1376"/>
      <c r="FC82" s="1376"/>
      <c r="FD82" s="1376"/>
      <c r="FE82" s="1376"/>
      <c r="FF82" s="1376"/>
      <c r="FG82" s="1376"/>
      <c r="FH82" s="1376"/>
      <c r="FI82" s="1376"/>
      <c r="FJ82" s="1376"/>
      <c r="FK82" s="1376"/>
      <c r="FL82" s="1376"/>
      <c r="FM82" s="1376"/>
      <c r="FN82" s="1376"/>
      <c r="FO82" s="1376"/>
      <c r="FP82" s="1376"/>
      <c r="FQ82" s="1376"/>
      <c r="FR82" s="1376"/>
      <c r="FS82" s="1376"/>
      <c r="FT82" s="1376"/>
      <c r="FU82" s="1376"/>
      <c r="FV82" s="1376"/>
      <c r="FW82" s="1376"/>
      <c r="FX82" s="1376"/>
      <c r="FY82" s="1376"/>
      <c r="FZ82" s="1376"/>
      <c r="GA82" s="1376"/>
      <c r="GB82" s="1376"/>
      <c r="GC82" s="1376"/>
      <c r="GD82" s="1376"/>
      <c r="GE82" s="1376"/>
      <c r="GF82" s="1376"/>
      <c r="GG82" s="1376"/>
      <c r="GH82" s="1376"/>
      <c r="GI82" s="1376"/>
      <c r="GJ82" s="1376"/>
      <c r="GK82" s="1376"/>
      <c r="GL82" s="1377"/>
    </row>
    <row r="83" spans="1:196" ht="18.899999999999999" hidden="1" customHeight="1">
      <c r="A83" s="1022"/>
      <c r="B83" s="1023"/>
      <c r="C83" s="1028"/>
      <c r="D83" s="1028"/>
      <c r="E83" s="1028"/>
      <c r="F83" s="1028"/>
      <c r="G83" s="1028"/>
      <c r="H83" s="1028"/>
      <c r="I83" s="1028"/>
      <c r="J83" s="1028"/>
      <c r="K83" s="1028"/>
      <c r="L83" s="1028"/>
      <c r="M83" s="1028"/>
      <c r="N83" s="1028"/>
      <c r="O83" s="1028"/>
      <c r="P83" s="1028"/>
      <c r="Q83" s="1028"/>
      <c r="R83" s="1029"/>
      <c r="S83" s="1029"/>
      <c r="T83" s="1030"/>
      <c r="U83" s="1030"/>
      <c r="V83" s="1030"/>
      <c r="W83" s="1030"/>
      <c r="X83" s="1030"/>
      <c r="Y83" s="1023"/>
      <c r="Z83" s="1023"/>
      <c r="AA83" s="1023"/>
      <c r="AB83" s="1023"/>
      <c r="AC83" s="1023"/>
      <c r="AD83" s="1030"/>
      <c r="AE83" s="1030"/>
      <c r="AF83" s="1030"/>
      <c r="AG83" s="1030"/>
      <c r="AH83" s="1030"/>
      <c r="AI83" s="1030"/>
      <c r="AJ83" s="1030"/>
      <c r="AK83" s="1030"/>
      <c r="AL83" s="1030"/>
      <c r="AM83" s="1030"/>
      <c r="AN83" s="1030"/>
      <c r="AO83" s="1030"/>
      <c r="AP83" s="1030"/>
      <c r="AQ83" s="1030"/>
      <c r="AR83" s="1030"/>
      <c r="AS83" s="1030"/>
      <c r="AT83" s="1030"/>
      <c r="AU83" s="1030"/>
      <c r="AV83" s="1030"/>
      <c r="AW83" s="1030"/>
      <c r="AX83" s="1030"/>
      <c r="AY83" s="1030"/>
      <c r="AZ83" s="1030"/>
      <c r="BA83" s="1030"/>
      <c r="BB83" s="1030"/>
      <c r="BC83" s="1030"/>
      <c r="BD83" s="1030"/>
      <c r="BE83" s="1030"/>
      <c r="BF83" s="1030"/>
      <c r="BG83" s="1030"/>
      <c r="BH83" s="1030"/>
      <c r="BI83" s="1030"/>
      <c r="BJ83" s="1030"/>
      <c r="BK83" s="1030"/>
      <c r="BL83" s="1030"/>
      <c r="BM83" s="1030"/>
      <c r="BN83" s="1030"/>
      <c r="BO83" s="1030"/>
      <c r="BP83" s="1030"/>
      <c r="BQ83" s="1030"/>
      <c r="BR83" s="1030"/>
      <c r="BS83" s="1030"/>
      <c r="BT83" s="1030"/>
      <c r="BU83" s="1030"/>
      <c r="BV83" s="1030"/>
      <c r="BW83" s="1030"/>
      <c r="BX83" s="1030"/>
      <c r="BY83" s="1030"/>
      <c r="BZ83" s="1030"/>
      <c r="CA83" s="1030"/>
      <c r="CB83" s="1030"/>
      <c r="CC83" s="1030"/>
      <c r="CD83" s="1030"/>
      <c r="CE83" s="1030"/>
      <c r="CF83" s="1030"/>
      <c r="CG83" s="1030"/>
      <c r="CH83" s="1030"/>
      <c r="CI83" s="1030"/>
      <c r="CJ83" s="1030"/>
      <c r="CK83" s="1030"/>
      <c r="CL83" s="1030"/>
      <c r="CM83" s="1030"/>
      <c r="CN83" s="1030"/>
      <c r="CO83" s="1030"/>
      <c r="CP83" s="1030"/>
      <c r="CQ83" s="1030"/>
      <c r="CR83" s="1030"/>
      <c r="CS83" s="1030"/>
      <c r="CT83" s="1030"/>
      <c r="CU83" s="1030"/>
      <c r="CV83" s="1030"/>
      <c r="CW83" s="1030"/>
      <c r="CX83" s="1030"/>
      <c r="CY83" s="1030"/>
      <c r="CZ83" s="1030"/>
      <c r="DA83" s="1030"/>
      <c r="DB83" s="1030"/>
      <c r="DC83" s="1031"/>
      <c r="DD83" s="1031"/>
      <c r="DE83" s="1031"/>
      <c r="DF83" s="1031"/>
      <c r="DG83" s="1031"/>
      <c r="DH83" s="1031"/>
      <c r="DI83" s="1031"/>
      <c r="DJ83" s="1031"/>
      <c r="DK83" s="1031"/>
      <c r="DL83" s="1031"/>
      <c r="DM83" s="1031"/>
      <c r="DN83" s="1031"/>
      <c r="DO83" s="1031"/>
      <c r="DP83" s="1031"/>
      <c r="DQ83" s="1031"/>
      <c r="DR83" s="1031"/>
      <c r="DS83" s="1031"/>
      <c r="DT83" s="1031"/>
      <c r="DU83" s="1031"/>
      <c r="DV83" s="1031"/>
      <c r="DW83" s="1031"/>
      <c r="DX83" s="1031"/>
      <c r="DY83" s="1031"/>
      <c r="DZ83" s="1031"/>
      <c r="EA83" s="1031"/>
      <c r="EB83" s="1032"/>
      <c r="EC83" s="1031"/>
      <c r="ED83" s="1031"/>
      <c r="EE83" s="1031"/>
      <c r="EF83" s="1031"/>
      <c r="EG83" s="1031"/>
      <c r="EH83" s="1031"/>
      <c r="EI83" s="1031"/>
      <c r="EJ83" s="1031"/>
      <c r="EK83" s="1031"/>
      <c r="EL83" s="1031"/>
      <c r="EM83" s="1031"/>
      <c r="EN83" s="1031"/>
      <c r="EO83" s="1031"/>
      <c r="EP83" s="1031"/>
      <c r="EQ83" s="1031"/>
      <c r="ER83" s="1031"/>
      <c r="ES83" s="1031"/>
      <c r="ET83" s="1031"/>
      <c r="EU83" s="1031"/>
      <c r="EV83" s="1031"/>
      <c r="EW83" s="1031"/>
      <c r="EX83" s="1031"/>
      <c r="EY83" s="1031"/>
      <c r="EZ83" s="1031"/>
      <c r="FA83" s="1031"/>
      <c r="FB83" s="1031"/>
      <c r="FC83" s="1031"/>
      <c r="FD83" s="1031"/>
      <c r="FE83" s="1031"/>
      <c r="FF83" s="1031"/>
      <c r="FG83" s="1031"/>
      <c r="FH83" s="1031"/>
      <c r="FI83" s="1031"/>
      <c r="FJ83" s="1031"/>
      <c r="FK83" s="1031"/>
      <c r="FL83" s="1031"/>
      <c r="FM83" s="1031"/>
      <c r="FN83" s="1031"/>
      <c r="FO83" s="1031"/>
      <c r="FP83" s="1031"/>
      <c r="FQ83" s="1031"/>
      <c r="FR83" s="1031"/>
      <c r="FS83" s="1031"/>
      <c r="FT83" s="1031"/>
      <c r="FU83" s="1031"/>
      <c r="FV83" s="1031"/>
      <c r="FW83" s="1031"/>
      <c r="FX83" s="1031"/>
      <c r="FY83" s="1031"/>
      <c r="FZ83" s="1031"/>
      <c r="GA83" s="1031"/>
      <c r="GB83" s="1031"/>
      <c r="GC83" s="1031"/>
      <c r="GD83" s="1031"/>
      <c r="GE83" s="1031"/>
      <c r="GF83" s="1031"/>
      <c r="GG83" s="1031"/>
      <c r="GH83" s="1031"/>
      <c r="GI83" s="1031"/>
      <c r="GJ83" s="1031"/>
      <c r="GK83" s="1031"/>
      <c r="GL83" s="1033"/>
    </row>
    <row r="84" spans="1:196" ht="16.8" hidden="1">
      <c r="A84" s="1372"/>
      <c r="B84" s="1333"/>
      <c r="C84" s="548"/>
      <c r="D84" s="548"/>
      <c r="E84" s="548"/>
      <c r="F84" s="548"/>
      <c r="G84" s="548"/>
      <c r="H84" s="548"/>
      <c r="I84" s="548"/>
      <c r="J84" s="548"/>
      <c r="K84" s="548"/>
      <c r="L84" s="548"/>
      <c r="M84" s="548"/>
      <c r="N84" s="548"/>
      <c r="O84" s="548"/>
      <c r="P84" s="548"/>
      <c r="Q84" s="548"/>
      <c r="R84" s="548"/>
      <c r="S84" s="548"/>
      <c r="T84" s="439"/>
      <c r="U84" s="440"/>
      <c r="V84" s="507"/>
      <c r="W84" s="440"/>
      <c r="X84" s="441"/>
      <c r="Y84" s="441"/>
      <c r="Z84" s="441"/>
      <c r="AA84" s="441"/>
      <c r="AB84" s="441"/>
      <c r="AC84" s="441"/>
      <c r="AD84" s="441"/>
      <c r="AE84" s="441"/>
      <c r="AF84" s="786"/>
      <c r="AG84" s="441"/>
      <c r="AH84" s="441"/>
      <c r="AI84" s="441"/>
      <c r="AJ84" s="441"/>
      <c r="AK84" s="441"/>
      <c r="AL84" s="441"/>
      <c r="AM84" s="441"/>
      <c r="AN84" s="441"/>
      <c r="AO84" s="441"/>
      <c r="AP84" s="441"/>
      <c r="AQ84" s="441"/>
      <c r="AR84" s="441"/>
      <c r="AS84" s="441"/>
      <c r="AT84" s="441"/>
      <c r="AU84" s="441"/>
      <c r="AV84" s="441"/>
      <c r="AW84" s="441"/>
      <c r="AX84" s="441"/>
      <c r="AY84" s="441"/>
      <c r="AZ84" s="441"/>
      <c r="BA84" s="441"/>
      <c r="BB84" s="441"/>
      <c r="BC84" s="441"/>
      <c r="BD84" s="441"/>
      <c r="BE84" s="441"/>
      <c r="BF84" s="441"/>
      <c r="BG84" s="441"/>
      <c r="BH84" s="441"/>
      <c r="BI84" s="441"/>
      <c r="BJ84" s="441"/>
      <c r="BK84" s="441"/>
      <c r="BL84" s="441"/>
      <c r="BM84" s="441"/>
      <c r="BN84" s="441"/>
      <c r="BO84" s="441"/>
      <c r="BP84" s="441"/>
      <c r="BQ84" s="441"/>
      <c r="BR84" s="441"/>
      <c r="BS84" s="441"/>
      <c r="BT84" s="551"/>
      <c r="BU84" s="441"/>
      <c r="BV84" s="551"/>
      <c r="BW84" s="551"/>
      <c r="BX84" s="551"/>
      <c r="BY84" s="441"/>
      <c r="BZ84" s="441"/>
      <c r="CA84" s="441"/>
      <c r="CB84" s="441"/>
      <c r="CC84" s="441"/>
      <c r="CD84" s="441"/>
      <c r="CE84" s="441"/>
      <c r="CF84" s="441"/>
      <c r="CG84" s="441"/>
      <c r="CH84" s="441"/>
      <c r="CI84" s="441"/>
      <c r="CJ84" s="441"/>
      <c r="CK84" s="441"/>
      <c r="CL84" s="441"/>
      <c r="CM84" s="441"/>
      <c r="CN84" s="441"/>
      <c r="CO84" s="441"/>
      <c r="CP84" s="441"/>
      <c r="CQ84" s="441"/>
      <c r="CR84" s="441"/>
      <c r="CS84" s="441"/>
      <c r="CT84" s="441"/>
      <c r="CU84" s="551"/>
      <c r="CV84" s="551"/>
      <c r="CW84" s="551"/>
      <c r="CX84" s="551"/>
      <c r="CY84" s="551"/>
      <c r="CZ84" s="551"/>
      <c r="DA84" s="551"/>
      <c r="DB84" s="551"/>
      <c r="DC84" s="551"/>
      <c r="DD84" s="551"/>
      <c r="DE84" s="551"/>
      <c r="DF84" s="551"/>
      <c r="DG84" s="551"/>
      <c r="DH84" s="551"/>
      <c r="DI84" s="551"/>
      <c r="DJ84" s="551"/>
      <c r="DK84" s="551"/>
      <c r="DL84" s="551"/>
      <c r="DM84" s="551"/>
      <c r="DN84" s="551"/>
      <c r="DO84" s="551"/>
      <c r="DP84" s="551"/>
      <c r="DQ84" s="551"/>
      <c r="DR84" s="551"/>
      <c r="DS84" s="551"/>
      <c r="DT84" s="551"/>
      <c r="DU84" s="551"/>
      <c r="DV84" s="551"/>
      <c r="DW84" s="551"/>
      <c r="DX84" s="551"/>
      <c r="DY84" s="551"/>
      <c r="DZ84" s="551"/>
      <c r="EA84" s="551"/>
      <c r="EB84" s="780"/>
      <c r="EC84" s="551"/>
      <c r="ED84" s="551"/>
      <c r="EE84" s="551"/>
      <c r="EF84" s="551"/>
      <c r="EG84" s="551"/>
      <c r="EH84" s="441"/>
      <c r="EI84" s="441"/>
      <c r="EJ84" s="441"/>
      <c r="EK84" s="441"/>
      <c r="EL84" s="441"/>
      <c r="EM84" s="441"/>
      <c r="EN84" s="441"/>
      <c r="EO84" s="441"/>
      <c r="EP84" s="441"/>
      <c r="EQ84" s="441"/>
      <c r="ER84" s="441"/>
      <c r="ES84" s="441"/>
      <c r="ET84" s="441"/>
      <c r="EU84" s="441"/>
      <c r="EV84" s="441"/>
      <c r="EW84" s="441"/>
      <c r="EX84" s="441"/>
      <c r="EY84" s="441"/>
      <c r="EZ84" s="441"/>
      <c r="FA84" s="441"/>
      <c r="FB84" s="441"/>
      <c r="FC84" s="441"/>
      <c r="FD84" s="441"/>
      <c r="FE84" s="441"/>
      <c r="FF84" s="441"/>
      <c r="FG84" s="441"/>
      <c r="FH84" s="441"/>
      <c r="FI84" s="441"/>
      <c r="FJ84" s="781"/>
      <c r="FK84" s="781"/>
      <c r="FL84" s="781"/>
      <c r="FM84" s="781"/>
      <c r="FN84" s="781"/>
      <c r="FO84" s="781"/>
      <c r="FP84" s="781"/>
      <c r="FQ84" s="781"/>
      <c r="FR84" s="781"/>
      <c r="FS84" s="781"/>
      <c r="FT84" s="781"/>
      <c r="FU84" s="781"/>
      <c r="FV84" s="781"/>
      <c r="FW84" s="781"/>
      <c r="FX84" s="781"/>
      <c r="FY84" s="781"/>
      <c r="FZ84" s="781"/>
      <c r="GA84" s="781"/>
      <c r="GB84" s="781"/>
      <c r="GC84" s="781"/>
      <c r="GD84" s="781"/>
      <c r="GE84" s="781"/>
      <c r="GF84" s="781"/>
      <c r="GG84" s="781"/>
      <c r="GH84" s="781"/>
      <c r="GI84" s="781"/>
      <c r="GJ84" s="781"/>
      <c r="GK84" s="781"/>
      <c r="GL84" s="1373"/>
    </row>
    <row r="85" spans="1:196" ht="16.8" hidden="1">
      <c r="A85" s="1372"/>
      <c r="B85" s="1333"/>
      <c r="C85" s="549"/>
      <c r="D85" s="548"/>
      <c r="E85" s="548"/>
      <c r="F85" s="548"/>
      <c r="G85" s="548"/>
      <c r="H85" s="548"/>
      <c r="I85" s="548"/>
      <c r="J85" s="548"/>
      <c r="K85" s="548"/>
      <c r="L85" s="548"/>
      <c r="M85" s="548"/>
      <c r="N85" s="548"/>
      <c r="O85" s="548"/>
      <c r="P85" s="548"/>
      <c r="Q85" s="548"/>
      <c r="R85" s="548"/>
      <c r="S85" s="548"/>
      <c r="T85" s="439"/>
      <c r="U85" s="440"/>
      <c r="V85" s="507"/>
      <c r="W85" s="440"/>
      <c r="X85" s="441"/>
      <c r="Y85" s="441"/>
      <c r="Z85" s="441"/>
      <c r="AA85" s="441"/>
      <c r="AB85" s="441"/>
      <c r="AC85" s="441"/>
      <c r="AD85" s="441"/>
      <c r="AE85" s="441"/>
      <c r="AF85" s="786"/>
      <c r="AG85" s="441"/>
      <c r="AH85" s="441"/>
      <c r="AI85" s="441"/>
      <c r="AJ85" s="441"/>
      <c r="AK85" s="441"/>
      <c r="AL85" s="441"/>
      <c r="AM85" s="441"/>
      <c r="AN85" s="441"/>
      <c r="AO85" s="441"/>
      <c r="AP85" s="441"/>
      <c r="AQ85" s="441"/>
      <c r="AR85" s="441"/>
      <c r="AS85" s="441"/>
      <c r="AT85" s="441"/>
      <c r="AU85" s="441"/>
      <c r="AV85" s="441"/>
      <c r="AW85" s="441"/>
      <c r="AX85" s="441"/>
      <c r="AY85" s="441"/>
      <c r="AZ85" s="441"/>
      <c r="BA85" s="441"/>
      <c r="BB85" s="441"/>
      <c r="BC85" s="441"/>
      <c r="BD85" s="441"/>
      <c r="BE85" s="441"/>
      <c r="BF85" s="441"/>
      <c r="BG85" s="441"/>
      <c r="BH85" s="441"/>
      <c r="BI85" s="441"/>
      <c r="BJ85" s="441"/>
      <c r="BK85" s="441"/>
      <c r="BL85" s="441"/>
      <c r="BM85" s="441"/>
      <c r="BN85" s="441"/>
      <c r="BO85" s="441"/>
      <c r="BP85" s="441"/>
      <c r="BQ85" s="441"/>
      <c r="BR85" s="441"/>
      <c r="BS85" s="441"/>
      <c r="BT85" s="551"/>
      <c r="BU85" s="441"/>
      <c r="BV85" s="551"/>
      <c r="BW85" s="551"/>
      <c r="BX85" s="551"/>
      <c r="BY85" s="441"/>
      <c r="BZ85" s="441"/>
      <c r="CA85" s="441"/>
      <c r="CB85" s="441"/>
      <c r="CC85" s="441"/>
      <c r="CD85" s="441"/>
      <c r="CE85" s="441"/>
      <c r="CF85" s="441"/>
      <c r="CG85" s="441"/>
      <c r="CH85" s="441"/>
      <c r="CI85" s="441"/>
      <c r="CJ85" s="441"/>
      <c r="CK85" s="441"/>
      <c r="CL85" s="441"/>
      <c r="CM85" s="441"/>
      <c r="CN85" s="441"/>
      <c r="CO85" s="441"/>
      <c r="CP85" s="441"/>
      <c r="CQ85" s="441"/>
      <c r="CR85" s="441"/>
      <c r="CS85" s="441"/>
      <c r="CT85" s="441"/>
      <c r="CU85" s="551"/>
      <c r="CV85" s="551"/>
      <c r="CW85" s="551"/>
      <c r="CX85" s="551"/>
      <c r="CY85" s="551"/>
      <c r="CZ85" s="551"/>
      <c r="DA85" s="551"/>
      <c r="DB85" s="551"/>
      <c r="DC85" s="551"/>
      <c r="DD85" s="551"/>
      <c r="DE85" s="551"/>
      <c r="DF85" s="441"/>
      <c r="DG85" s="441"/>
      <c r="DH85" s="441"/>
      <c r="DI85" s="441"/>
      <c r="DJ85" s="551"/>
      <c r="DK85" s="441"/>
      <c r="DL85" s="441"/>
      <c r="DM85" s="441"/>
      <c r="DN85" s="441"/>
      <c r="DO85" s="441"/>
      <c r="DP85" s="441"/>
      <c r="DQ85" s="441"/>
      <c r="DR85" s="441"/>
      <c r="DS85" s="441"/>
      <c r="DT85" s="441"/>
      <c r="DU85" s="441"/>
      <c r="DV85" s="441"/>
      <c r="DW85" s="441"/>
      <c r="DX85" s="441"/>
      <c r="DY85" s="441"/>
      <c r="DZ85" s="441"/>
      <c r="EA85" s="441"/>
      <c r="EB85" s="783"/>
      <c r="EC85" s="441"/>
      <c r="ED85" s="441"/>
      <c r="EE85" s="441"/>
      <c r="EF85" s="441"/>
      <c r="EG85" s="441"/>
      <c r="EH85" s="441"/>
      <c r="EI85" s="441"/>
      <c r="EJ85" s="441"/>
      <c r="EK85" s="441"/>
      <c r="EL85" s="441"/>
      <c r="EM85" s="441"/>
      <c r="EN85" s="441"/>
      <c r="EO85" s="441"/>
      <c r="EP85" s="441"/>
      <c r="EQ85" s="441"/>
      <c r="ER85" s="441"/>
      <c r="ES85" s="441"/>
      <c r="ET85" s="441"/>
      <c r="EU85" s="441"/>
      <c r="EV85" s="441"/>
      <c r="EW85" s="441"/>
      <c r="EX85" s="441"/>
      <c r="EY85" s="441"/>
      <c r="EZ85" s="441"/>
      <c r="FA85" s="441"/>
      <c r="FB85" s="441"/>
      <c r="FC85" s="441"/>
      <c r="FD85" s="441"/>
      <c r="FE85" s="441"/>
      <c r="FF85" s="441"/>
      <c r="FG85" s="441"/>
      <c r="FH85" s="441"/>
      <c r="FI85" s="441"/>
      <c r="FJ85" s="781"/>
      <c r="FK85" s="781"/>
      <c r="FL85" s="781"/>
      <c r="FM85" s="781"/>
      <c r="FN85" s="781"/>
      <c r="FO85" s="781"/>
      <c r="FP85" s="781"/>
      <c r="FQ85" s="781"/>
      <c r="FR85" s="781"/>
      <c r="FS85" s="781"/>
      <c r="FT85" s="781"/>
      <c r="FU85" s="781"/>
      <c r="FV85" s="781"/>
      <c r="FW85" s="781"/>
      <c r="FX85" s="781"/>
      <c r="FY85" s="781"/>
      <c r="FZ85" s="781"/>
      <c r="GA85" s="781"/>
      <c r="GB85" s="781"/>
      <c r="GC85" s="781"/>
      <c r="GD85" s="781"/>
      <c r="GE85" s="781"/>
      <c r="GF85" s="781"/>
      <c r="GG85" s="781"/>
      <c r="GH85" s="781"/>
      <c r="GI85" s="781"/>
      <c r="GJ85" s="781"/>
      <c r="GK85" s="781"/>
      <c r="GL85" s="1335"/>
    </row>
    <row r="86" spans="1:196" ht="16.8" hidden="1">
      <c r="A86" s="1372"/>
      <c r="B86" s="1333"/>
      <c r="C86" s="549"/>
      <c r="D86" s="548"/>
      <c r="E86" s="548"/>
      <c r="F86" s="548"/>
      <c r="G86" s="548"/>
      <c r="H86" s="548"/>
      <c r="I86" s="548"/>
      <c r="J86" s="548"/>
      <c r="K86" s="548"/>
      <c r="L86" s="548"/>
      <c r="M86" s="548"/>
      <c r="N86" s="548"/>
      <c r="O86" s="548"/>
      <c r="P86" s="548"/>
      <c r="Q86" s="548"/>
      <c r="R86" s="548"/>
      <c r="S86" s="548"/>
      <c r="T86" s="439"/>
      <c r="U86" s="440"/>
      <c r="V86" s="507"/>
      <c r="W86" s="440"/>
      <c r="X86" s="441"/>
      <c r="Y86" s="441"/>
      <c r="Z86" s="441"/>
      <c r="AA86" s="441"/>
      <c r="AB86" s="441"/>
      <c r="AC86" s="441"/>
      <c r="AD86" s="441"/>
      <c r="AE86" s="441"/>
      <c r="AF86" s="786"/>
      <c r="AG86" s="441"/>
      <c r="AH86" s="441"/>
      <c r="AI86" s="441"/>
      <c r="AJ86" s="441"/>
      <c r="AK86" s="441"/>
      <c r="AL86" s="441"/>
      <c r="AM86" s="441"/>
      <c r="AN86" s="441"/>
      <c r="AO86" s="441"/>
      <c r="AP86" s="441"/>
      <c r="AQ86" s="441"/>
      <c r="AR86" s="441"/>
      <c r="AS86" s="441"/>
      <c r="AT86" s="441"/>
      <c r="AU86" s="441"/>
      <c r="AV86" s="441"/>
      <c r="AW86" s="441"/>
      <c r="AX86" s="441"/>
      <c r="AY86" s="441"/>
      <c r="AZ86" s="441"/>
      <c r="BA86" s="441"/>
      <c r="BB86" s="441"/>
      <c r="BC86" s="441"/>
      <c r="BD86" s="441"/>
      <c r="BE86" s="441"/>
      <c r="BF86" s="441"/>
      <c r="BG86" s="441"/>
      <c r="BH86" s="441"/>
      <c r="BI86" s="441"/>
      <c r="BJ86" s="441"/>
      <c r="BK86" s="441"/>
      <c r="BL86" s="441"/>
      <c r="BM86" s="441"/>
      <c r="BN86" s="441"/>
      <c r="BO86" s="441"/>
      <c r="BP86" s="441"/>
      <c r="BQ86" s="441"/>
      <c r="BR86" s="441"/>
      <c r="BS86" s="441"/>
      <c r="BT86" s="551"/>
      <c r="BU86" s="441"/>
      <c r="BV86" s="551"/>
      <c r="BW86" s="551"/>
      <c r="BX86" s="551"/>
      <c r="BY86" s="441"/>
      <c r="BZ86" s="441"/>
      <c r="CA86" s="441"/>
      <c r="CB86" s="441"/>
      <c r="CC86" s="441"/>
      <c r="CD86" s="441"/>
      <c r="CE86" s="441"/>
      <c r="CF86" s="441"/>
      <c r="CG86" s="441"/>
      <c r="CH86" s="441"/>
      <c r="CI86" s="441"/>
      <c r="CJ86" s="441"/>
      <c r="CK86" s="441"/>
      <c r="CL86" s="441"/>
      <c r="CM86" s="441"/>
      <c r="CN86" s="441"/>
      <c r="CO86" s="441"/>
      <c r="CP86" s="441"/>
      <c r="CQ86" s="441"/>
      <c r="CR86" s="441"/>
      <c r="CS86" s="441"/>
      <c r="CT86" s="441"/>
      <c r="CU86" s="551"/>
      <c r="CV86" s="551"/>
      <c r="CW86" s="551"/>
      <c r="CX86" s="551"/>
      <c r="CY86" s="551"/>
      <c r="CZ86" s="551"/>
      <c r="DA86" s="551"/>
      <c r="DB86" s="551"/>
      <c r="DC86" s="551"/>
      <c r="DD86" s="551"/>
      <c r="DE86" s="551"/>
      <c r="DF86" s="441"/>
      <c r="DG86" s="441"/>
      <c r="DH86" s="441"/>
      <c r="DI86" s="441"/>
      <c r="DJ86" s="551"/>
      <c r="DK86" s="441"/>
      <c r="DL86" s="441"/>
      <c r="DM86" s="441"/>
      <c r="DN86" s="441"/>
      <c r="DO86" s="441"/>
      <c r="DP86" s="441"/>
      <c r="DQ86" s="441"/>
      <c r="DR86" s="441"/>
      <c r="DS86" s="441"/>
      <c r="DT86" s="441"/>
      <c r="DU86" s="441"/>
      <c r="DV86" s="441"/>
      <c r="DW86" s="441"/>
      <c r="DX86" s="441"/>
      <c r="DY86" s="441"/>
      <c r="DZ86" s="441"/>
      <c r="EA86" s="441"/>
      <c r="EB86" s="783"/>
      <c r="EC86" s="441"/>
      <c r="ED86" s="441"/>
      <c r="EE86" s="441"/>
      <c r="EF86" s="441"/>
      <c r="EG86" s="441"/>
      <c r="EH86" s="441"/>
      <c r="EI86" s="441"/>
      <c r="EJ86" s="441"/>
      <c r="EK86" s="441"/>
      <c r="EL86" s="441"/>
      <c r="EM86" s="441"/>
      <c r="EN86" s="441"/>
      <c r="EO86" s="441"/>
      <c r="EP86" s="441"/>
      <c r="EQ86" s="441"/>
      <c r="ER86" s="441"/>
      <c r="ES86" s="441"/>
      <c r="ET86" s="441"/>
      <c r="EU86" s="441"/>
      <c r="EV86" s="441"/>
      <c r="EW86" s="441"/>
      <c r="EX86" s="441"/>
      <c r="EY86" s="441"/>
      <c r="EZ86" s="441"/>
      <c r="FA86" s="441"/>
      <c r="FB86" s="441"/>
      <c r="FC86" s="441"/>
      <c r="FD86" s="441"/>
      <c r="FE86" s="441"/>
      <c r="FF86" s="441"/>
      <c r="FG86" s="441"/>
      <c r="FH86" s="441"/>
      <c r="FI86" s="441"/>
      <c r="FJ86" s="781"/>
      <c r="FK86" s="781"/>
      <c r="FL86" s="781"/>
      <c r="FM86" s="781"/>
      <c r="FN86" s="781"/>
      <c r="FO86" s="781"/>
      <c r="FP86" s="781"/>
      <c r="FQ86" s="781"/>
      <c r="FR86" s="781"/>
      <c r="FS86" s="781"/>
      <c r="FT86" s="781"/>
      <c r="FU86" s="781"/>
      <c r="FV86" s="781"/>
      <c r="FW86" s="781"/>
      <c r="FX86" s="781"/>
      <c r="FY86" s="781"/>
      <c r="FZ86" s="781"/>
      <c r="GA86" s="781"/>
      <c r="GB86" s="781"/>
      <c r="GC86" s="781"/>
      <c r="GD86" s="781"/>
      <c r="GE86" s="781"/>
      <c r="GF86" s="781"/>
      <c r="GG86" s="781"/>
      <c r="GH86" s="781"/>
      <c r="GI86" s="781"/>
      <c r="GJ86" s="781"/>
      <c r="GK86" s="781"/>
      <c r="GL86" s="1335"/>
    </row>
    <row r="87" spans="1:196" ht="16.8" hidden="1">
      <c r="A87" s="1372"/>
      <c r="B87" s="1333"/>
      <c r="C87" s="549"/>
      <c r="D87" s="548"/>
      <c r="E87" s="548"/>
      <c r="F87" s="548"/>
      <c r="G87" s="548"/>
      <c r="H87" s="548"/>
      <c r="I87" s="548"/>
      <c r="J87" s="548"/>
      <c r="K87" s="548"/>
      <c r="L87" s="548"/>
      <c r="M87" s="548"/>
      <c r="N87" s="548"/>
      <c r="O87" s="548"/>
      <c r="P87" s="548"/>
      <c r="Q87" s="548"/>
      <c r="R87" s="548"/>
      <c r="S87" s="548"/>
      <c r="T87" s="439"/>
      <c r="U87" s="440"/>
      <c r="V87" s="507"/>
      <c r="W87" s="440"/>
      <c r="X87" s="441"/>
      <c r="Y87" s="441"/>
      <c r="Z87" s="441"/>
      <c r="AA87" s="441"/>
      <c r="AB87" s="441"/>
      <c r="AC87" s="441"/>
      <c r="AD87" s="441"/>
      <c r="AE87" s="441"/>
      <c r="AF87" s="786"/>
      <c r="AG87" s="441"/>
      <c r="AH87" s="441"/>
      <c r="AI87" s="441"/>
      <c r="AJ87" s="441"/>
      <c r="AK87" s="441"/>
      <c r="AL87" s="441"/>
      <c r="AM87" s="441"/>
      <c r="AN87" s="441"/>
      <c r="AO87" s="441"/>
      <c r="AP87" s="441"/>
      <c r="AQ87" s="441"/>
      <c r="AR87" s="441"/>
      <c r="AS87" s="441"/>
      <c r="AT87" s="441"/>
      <c r="AU87" s="441"/>
      <c r="AV87" s="441"/>
      <c r="AW87" s="441"/>
      <c r="AX87" s="441"/>
      <c r="AY87" s="441"/>
      <c r="AZ87" s="441"/>
      <c r="BA87" s="441"/>
      <c r="BB87" s="441"/>
      <c r="BC87" s="441"/>
      <c r="BD87" s="441"/>
      <c r="BE87" s="441"/>
      <c r="BF87" s="441"/>
      <c r="BG87" s="441"/>
      <c r="BH87" s="441"/>
      <c r="BI87" s="441"/>
      <c r="BJ87" s="441"/>
      <c r="BK87" s="441"/>
      <c r="BL87" s="441"/>
      <c r="BM87" s="441"/>
      <c r="BN87" s="441"/>
      <c r="BO87" s="441"/>
      <c r="BP87" s="441"/>
      <c r="BQ87" s="441"/>
      <c r="BR87" s="441"/>
      <c r="BS87" s="441"/>
      <c r="BT87" s="551"/>
      <c r="BU87" s="441"/>
      <c r="BV87" s="551"/>
      <c r="BW87" s="551"/>
      <c r="BX87" s="551"/>
      <c r="BY87" s="441"/>
      <c r="BZ87" s="441"/>
      <c r="CA87" s="441"/>
      <c r="CB87" s="441"/>
      <c r="CC87" s="441"/>
      <c r="CD87" s="441"/>
      <c r="CE87" s="441"/>
      <c r="CF87" s="441"/>
      <c r="CG87" s="441"/>
      <c r="CH87" s="441"/>
      <c r="CI87" s="441"/>
      <c r="CJ87" s="441"/>
      <c r="CK87" s="441"/>
      <c r="CL87" s="441"/>
      <c r="CM87" s="441"/>
      <c r="CN87" s="441"/>
      <c r="CO87" s="441"/>
      <c r="CP87" s="441"/>
      <c r="CQ87" s="441"/>
      <c r="CR87" s="441"/>
      <c r="CS87" s="441"/>
      <c r="CT87" s="441"/>
      <c r="CU87" s="551"/>
      <c r="CV87" s="551"/>
      <c r="CW87" s="551"/>
      <c r="CX87" s="551"/>
      <c r="CY87" s="551"/>
      <c r="CZ87" s="551"/>
      <c r="DA87" s="551"/>
      <c r="DB87" s="551"/>
      <c r="DC87" s="551"/>
      <c r="DD87" s="551"/>
      <c r="DE87" s="551"/>
      <c r="DF87" s="441"/>
      <c r="DG87" s="441"/>
      <c r="DH87" s="441"/>
      <c r="DI87" s="441"/>
      <c r="DJ87" s="551"/>
      <c r="DK87" s="441"/>
      <c r="DL87" s="441"/>
      <c r="DM87" s="441"/>
      <c r="DN87" s="441"/>
      <c r="DO87" s="441"/>
      <c r="DP87" s="441"/>
      <c r="DQ87" s="441"/>
      <c r="DR87" s="441"/>
      <c r="DS87" s="441"/>
      <c r="DT87" s="441"/>
      <c r="DU87" s="441"/>
      <c r="DV87" s="441"/>
      <c r="DW87" s="441"/>
      <c r="DX87" s="441"/>
      <c r="DY87" s="441"/>
      <c r="DZ87" s="441"/>
      <c r="EA87" s="441"/>
      <c r="EB87" s="783"/>
      <c r="EC87" s="441"/>
      <c r="ED87" s="441"/>
      <c r="EE87" s="441"/>
      <c r="EF87" s="441"/>
      <c r="EG87" s="441"/>
      <c r="EH87" s="441"/>
      <c r="EI87" s="441"/>
      <c r="EJ87" s="441"/>
      <c r="EK87" s="441"/>
      <c r="EL87" s="441"/>
      <c r="EM87" s="441"/>
      <c r="EN87" s="441"/>
      <c r="EO87" s="441"/>
      <c r="EP87" s="441"/>
      <c r="EQ87" s="441"/>
      <c r="ER87" s="441"/>
      <c r="ES87" s="441"/>
      <c r="ET87" s="441"/>
      <c r="EU87" s="441"/>
      <c r="EV87" s="441"/>
      <c r="EW87" s="441"/>
      <c r="EX87" s="441"/>
      <c r="EY87" s="441"/>
      <c r="EZ87" s="441"/>
      <c r="FA87" s="441"/>
      <c r="FB87" s="441"/>
      <c r="FC87" s="441"/>
      <c r="FD87" s="441"/>
      <c r="FE87" s="441"/>
      <c r="FF87" s="441"/>
      <c r="FG87" s="441"/>
      <c r="FH87" s="441"/>
      <c r="FI87" s="441"/>
      <c r="FJ87" s="781"/>
      <c r="FK87" s="781"/>
      <c r="FL87" s="781"/>
      <c r="FM87" s="781"/>
      <c r="FN87" s="781"/>
      <c r="FO87" s="781"/>
      <c r="FP87" s="781"/>
      <c r="FQ87" s="781"/>
      <c r="FR87" s="781"/>
      <c r="FS87" s="781"/>
      <c r="FT87" s="781"/>
      <c r="FU87" s="781"/>
      <c r="FV87" s="781"/>
      <c r="FW87" s="781"/>
      <c r="FX87" s="781"/>
      <c r="FY87" s="781"/>
      <c r="FZ87" s="781"/>
      <c r="GA87" s="781"/>
      <c r="GB87" s="781"/>
      <c r="GC87" s="781"/>
      <c r="GD87" s="781"/>
      <c r="GE87" s="781"/>
      <c r="GF87" s="781"/>
      <c r="GG87" s="781"/>
      <c r="GH87" s="781"/>
      <c r="GI87" s="781"/>
      <c r="GJ87" s="781"/>
      <c r="GK87" s="781"/>
      <c r="GL87" s="1335"/>
    </row>
    <row r="88" spans="1:196" ht="16.8" hidden="1">
      <c r="A88" s="1372"/>
      <c r="B88" s="1333"/>
      <c r="C88" s="549"/>
      <c r="D88" s="548"/>
      <c r="E88" s="548"/>
      <c r="F88" s="548"/>
      <c r="G88" s="548"/>
      <c r="H88" s="548"/>
      <c r="I88" s="548"/>
      <c r="J88" s="548"/>
      <c r="K88" s="548"/>
      <c r="L88" s="548"/>
      <c r="M88" s="548"/>
      <c r="N88" s="548"/>
      <c r="O88" s="548"/>
      <c r="P88" s="548"/>
      <c r="Q88" s="548"/>
      <c r="R88" s="548"/>
      <c r="S88" s="548"/>
      <c r="T88" s="439"/>
      <c r="U88" s="440"/>
      <c r="V88" s="507"/>
      <c r="W88" s="440"/>
      <c r="X88" s="441"/>
      <c r="Y88" s="441"/>
      <c r="Z88" s="441"/>
      <c r="AA88" s="441"/>
      <c r="AB88" s="441"/>
      <c r="AC88" s="441"/>
      <c r="AD88" s="441"/>
      <c r="AE88" s="441"/>
      <c r="AF88" s="786"/>
      <c r="AG88" s="441"/>
      <c r="AH88" s="441"/>
      <c r="AI88" s="441"/>
      <c r="AJ88" s="441"/>
      <c r="AK88" s="441"/>
      <c r="AL88" s="441"/>
      <c r="AM88" s="441"/>
      <c r="AN88" s="441"/>
      <c r="AO88" s="441"/>
      <c r="AP88" s="441"/>
      <c r="AQ88" s="441"/>
      <c r="AR88" s="441"/>
      <c r="AS88" s="441"/>
      <c r="AT88" s="441"/>
      <c r="AU88" s="441"/>
      <c r="AV88" s="441"/>
      <c r="AW88" s="441"/>
      <c r="AX88" s="441"/>
      <c r="AY88" s="441"/>
      <c r="AZ88" s="441"/>
      <c r="BA88" s="441"/>
      <c r="BB88" s="441"/>
      <c r="BC88" s="441"/>
      <c r="BD88" s="441"/>
      <c r="BE88" s="441"/>
      <c r="BF88" s="441"/>
      <c r="BG88" s="441"/>
      <c r="BH88" s="441"/>
      <c r="BI88" s="441"/>
      <c r="BJ88" s="441"/>
      <c r="BK88" s="441"/>
      <c r="BL88" s="441"/>
      <c r="BM88" s="441"/>
      <c r="BN88" s="441"/>
      <c r="BO88" s="441"/>
      <c r="BP88" s="441"/>
      <c r="BQ88" s="441"/>
      <c r="BR88" s="441"/>
      <c r="BS88" s="441"/>
      <c r="BT88" s="551"/>
      <c r="BU88" s="441"/>
      <c r="BV88" s="551"/>
      <c r="BW88" s="551"/>
      <c r="BX88" s="551"/>
      <c r="BY88" s="441"/>
      <c r="BZ88" s="441"/>
      <c r="CA88" s="441"/>
      <c r="CB88" s="441"/>
      <c r="CC88" s="441"/>
      <c r="CD88" s="441"/>
      <c r="CE88" s="441"/>
      <c r="CF88" s="441"/>
      <c r="CG88" s="441"/>
      <c r="CH88" s="441"/>
      <c r="CI88" s="441"/>
      <c r="CJ88" s="441"/>
      <c r="CK88" s="441"/>
      <c r="CL88" s="441"/>
      <c r="CM88" s="441"/>
      <c r="CN88" s="441"/>
      <c r="CO88" s="441"/>
      <c r="CP88" s="441"/>
      <c r="CQ88" s="441"/>
      <c r="CR88" s="441"/>
      <c r="CS88" s="441"/>
      <c r="CT88" s="441"/>
      <c r="CU88" s="551"/>
      <c r="CV88" s="551"/>
      <c r="CW88" s="551"/>
      <c r="CX88" s="551"/>
      <c r="CY88" s="551"/>
      <c r="CZ88" s="551"/>
      <c r="DA88" s="551"/>
      <c r="DB88" s="551"/>
      <c r="DC88" s="551"/>
      <c r="DD88" s="551"/>
      <c r="DE88" s="551"/>
      <c r="DF88" s="441"/>
      <c r="DG88" s="441"/>
      <c r="DH88" s="441"/>
      <c r="DI88" s="441"/>
      <c r="DJ88" s="551"/>
      <c r="DK88" s="441"/>
      <c r="DL88" s="441"/>
      <c r="DM88" s="441"/>
      <c r="DN88" s="441"/>
      <c r="DO88" s="441"/>
      <c r="DP88" s="441"/>
      <c r="DQ88" s="441"/>
      <c r="DR88" s="441"/>
      <c r="DS88" s="441"/>
      <c r="DT88" s="441"/>
      <c r="DU88" s="441"/>
      <c r="DV88" s="441"/>
      <c r="DW88" s="441"/>
      <c r="DX88" s="441"/>
      <c r="DY88" s="441"/>
      <c r="DZ88" s="441"/>
      <c r="EA88" s="441"/>
      <c r="EB88" s="783"/>
      <c r="EC88" s="441"/>
      <c r="ED88" s="441"/>
      <c r="EE88" s="441"/>
      <c r="EF88" s="441"/>
      <c r="EG88" s="441"/>
      <c r="EH88" s="441"/>
      <c r="EI88" s="441"/>
      <c r="EJ88" s="441"/>
      <c r="EK88" s="441"/>
      <c r="EL88" s="441"/>
      <c r="EM88" s="441"/>
      <c r="EN88" s="441"/>
      <c r="EO88" s="441"/>
      <c r="EP88" s="441"/>
      <c r="EQ88" s="441"/>
      <c r="ER88" s="441"/>
      <c r="ES88" s="441"/>
      <c r="ET88" s="441"/>
      <c r="EU88" s="441"/>
      <c r="EV88" s="441"/>
      <c r="EW88" s="441"/>
      <c r="EX88" s="441"/>
      <c r="EY88" s="441"/>
      <c r="EZ88" s="441"/>
      <c r="FA88" s="441"/>
      <c r="FB88" s="441"/>
      <c r="FC88" s="441"/>
      <c r="FD88" s="441"/>
      <c r="FE88" s="441"/>
      <c r="FF88" s="441"/>
      <c r="FG88" s="441"/>
      <c r="FH88" s="441"/>
      <c r="FI88" s="441"/>
      <c r="FJ88" s="781"/>
      <c r="FK88" s="781"/>
      <c r="FL88" s="781"/>
      <c r="FM88" s="781"/>
      <c r="FN88" s="781"/>
      <c r="FO88" s="781"/>
      <c r="FP88" s="781"/>
      <c r="FQ88" s="781"/>
      <c r="FR88" s="781"/>
      <c r="FS88" s="781"/>
      <c r="FT88" s="781"/>
      <c r="FU88" s="781"/>
      <c r="FV88" s="781"/>
      <c r="FW88" s="781"/>
      <c r="FX88" s="781"/>
      <c r="FY88" s="781"/>
      <c r="FZ88" s="781"/>
      <c r="GA88" s="781"/>
      <c r="GB88" s="781"/>
      <c r="GC88" s="781"/>
      <c r="GD88" s="781"/>
      <c r="GE88" s="781"/>
      <c r="GF88" s="781"/>
      <c r="GG88" s="781"/>
      <c r="GH88" s="781"/>
      <c r="GI88" s="781"/>
      <c r="GJ88" s="781"/>
      <c r="GK88" s="781"/>
      <c r="GL88" s="1335"/>
    </row>
    <row r="89" spans="1:196" ht="16.8" hidden="1">
      <c r="A89" s="1372"/>
      <c r="B89" s="1333"/>
      <c r="C89" s="549"/>
      <c r="D89" s="548"/>
      <c r="E89" s="548"/>
      <c r="F89" s="548"/>
      <c r="G89" s="548"/>
      <c r="H89" s="548"/>
      <c r="I89" s="548"/>
      <c r="J89" s="548"/>
      <c r="K89" s="548"/>
      <c r="L89" s="548"/>
      <c r="M89" s="548"/>
      <c r="N89" s="548"/>
      <c r="O89" s="548"/>
      <c r="P89" s="548"/>
      <c r="Q89" s="548"/>
      <c r="R89" s="548"/>
      <c r="S89" s="548"/>
      <c r="T89" s="439"/>
      <c r="U89" s="440"/>
      <c r="V89" s="507"/>
      <c r="W89" s="440"/>
      <c r="X89" s="441"/>
      <c r="Y89" s="441"/>
      <c r="Z89" s="441"/>
      <c r="AA89" s="441"/>
      <c r="AB89" s="441"/>
      <c r="AC89" s="441"/>
      <c r="AD89" s="441"/>
      <c r="AE89" s="441"/>
      <c r="AF89" s="786"/>
      <c r="AG89" s="441"/>
      <c r="AH89" s="441"/>
      <c r="AI89" s="441"/>
      <c r="AJ89" s="441"/>
      <c r="AK89" s="441"/>
      <c r="AL89" s="441"/>
      <c r="AM89" s="441"/>
      <c r="AN89" s="441"/>
      <c r="AO89" s="441"/>
      <c r="AP89" s="441"/>
      <c r="AQ89" s="441"/>
      <c r="AR89" s="441"/>
      <c r="AS89" s="441"/>
      <c r="AT89" s="441"/>
      <c r="AU89" s="441"/>
      <c r="AV89" s="441"/>
      <c r="AW89" s="441"/>
      <c r="AX89" s="441"/>
      <c r="AY89" s="441"/>
      <c r="AZ89" s="441"/>
      <c r="BA89" s="441"/>
      <c r="BB89" s="441"/>
      <c r="BC89" s="441"/>
      <c r="BD89" s="441"/>
      <c r="BE89" s="441"/>
      <c r="BF89" s="441"/>
      <c r="BG89" s="441"/>
      <c r="BH89" s="441"/>
      <c r="BI89" s="441"/>
      <c r="BJ89" s="441"/>
      <c r="BK89" s="441"/>
      <c r="BL89" s="441"/>
      <c r="BM89" s="441"/>
      <c r="BN89" s="441"/>
      <c r="BO89" s="441"/>
      <c r="BP89" s="441"/>
      <c r="BQ89" s="441"/>
      <c r="BR89" s="441"/>
      <c r="BS89" s="441"/>
      <c r="BT89" s="551"/>
      <c r="BU89" s="441"/>
      <c r="BV89" s="551"/>
      <c r="BW89" s="551"/>
      <c r="BX89" s="551"/>
      <c r="BY89" s="441"/>
      <c r="BZ89" s="441"/>
      <c r="CA89" s="441"/>
      <c r="CB89" s="441"/>
      <c r="CC89" s="441"/>
      <c r="CD89" s="441"/>
      <c r="CE89" s="441"/>
      <c r="CF89" s="441"/>
      <c r="CG89" s="441"/>
      <c r="CH89" s="441"/>
      <c r="CI89" s="441"/>
      <c r="CJ89" s="441"/>
      <c r="CK89" s="441"/>
      <c r="CL89" s="441"/>
      <c r="CM89" s="441"/>
      <c r="CN89" s="441"/>
      <c r="CO89" s="441"/>
      <c r="CP89" s="441"/>
      <c r="CQ89" s="441"/>
      <c r="CR89" s="441"/>
      <c r="CS89" s="441"/>
      <c r="CT89" s="441"/>
      <c r="CU89" s="551"/>
      <c r="CV89" s="551"/>
      <c r="CW89" s="551"/>
      <c r="CX89" s="551"/>
      <c r="CY89" s="551"/>
      <c r="CZ89" s="551"/>
      <c r="DA89" s="551"/>
      <c r="DB89" s="551"/>
      <c r="DC89" s="551"/>
      <c r="DD89" s="551"/>
      <c r="DE89" s="551"/>
      <c r="DF89" s="441"/>
      <c r="DG89" s="441"/>
      <c r="DH89" s="441"/>
      <c r="DI89" s="441"/>
      <c r="DJ89" s="551"/>
      <c r="DK89" s="441"/>
      <c r="DL89" s="441"/>
      <c r="DM89" s="441"/>
      <c r="DN89" s="441"/>
      <c r="DO89" s="441"/>
      <c r="DP89" s="441"/>
      <c r="DQ89" s="441"/>
      <c r="DR89" s="441"/>
      <c r="DS89" s="441"/>
      <c r="DT89" s="441"/>
      <c r="DU89" s="441"/>
      <c r="DV89" s="441"/>
      <c r="DW89" s="441"/>
      <c r="DX89" s="441"/>
      <c r="DY89" s="441"/>
      <c r="DZ89" s="441"/>
      <c r="EA89" s="441"/>
      <c r="EB89" s="783"/>
      <c r="EC89" s="441"/>
      <c r="ED89" s="441"/>
      <c r="EE89" s="441"/>
      <c r="EF89" s="441"/>
      <c r="EG89" s="441"/>
      <c r="EH89" s="441"/>
      <c r="EI89" s="441"/>
      <c r="EJ89" s="441"/>
      <c r="EK89" s="441"/>
      <c r="EL89" s="441"/>
      <c r="EM89" s="441"/>
      <c r="EN89" s="441"/>
      <c r="EO89" s="441"/>
      <c r="EP89" s="441"/>
      <c r="EQ89" s="441"/>
      <c r="ER89" s="441"/>
      <c r="ES89" s="441"/>
      <c r="ET89" s="441"/>
      <c r="EU89" s="441"/>
      <c r="EV89" s="441"/>
      <c r="EW89" s="441"/>
      <c r="EX89" s="441"/>
      <c r="EY89" s="441"/>
      <c r="EZ89" s="441"/>
      <c r="FA89" s="441"/>
      <c r="FB89" s="441"/>
      <c r="FC89" s="441"/>
      <c r="FD89" s="441"/>
      <c r="FE89" s="441"/>
      <c r="FF89" s="441"/>
      <c r="FG89" s="441"/>
      <c r="FH89" s="441"/>
      <c r="FI89" s="441"/>
      <c r="FJ89" s="781"/>
      <c r="FK89" s="781"/>
      <c r="FL89" s="781"/>
      <c r="FM89" s="781"/>
      <c r="FN89" s="781"/>
      <c r="FO89" s="781"/>
      <c r="FP89" s="781"/>
      <c r="FQ89" s="781"/>
      <c r="FR89" s="781"/>
      <c r="FS89" s="781"/>
      <c r="FT89" s="781"/>
      <c r="FU89" s="781"/>
      <c r="FV89" s="781"/>
      <c r="FW89" s="781"/>
      <c r="FX89" s="781"/>
      <c r="FY89" s="781"/>
      <c r="FZ89" s="781"/>
      <c r="GA89" s="781"/>
      <c r="GB89" s="781"/>
      <c r="GC89" s="781"/>
      <c r="GD89" s="781"/>
      <c r="GE89" s="781"/>
      <c r="GF89" s="781"/>
      <c r="GG89" s="781"/>
      <c r="GH89" s="781"/>
      <c r="GI89" s="781"/>
      <c r="GJ89" s="781"/>
      <c r="GK89" s="781"/>
      <c r="GL89" s="1335"/>
    </row>
    <row r="90" spans="1:196" ht="16.8" hidden="1">
      <c r="A90" s="1372"/>
      <c r="B90" s="1333"/>
      <c r="C90" s="549"/>
      <c r="D90" s="548"/>
      <c r="E90" s="548"/>
      <c r="F90" s="548"/>
      <c r="G90" s="548"/>
      <c r="H90" s="548"/>
      <c r="I90" s="548"/>
      <c r="J90" s="548"/>
      <c r="K90" s="548"/>
      <c r="L90" s="548"/>
      <c r="M90" s="548"/>
      <c r="N90" s="548"/>
      <c r="O90" s="548"/>
      <c r="P90" s="548"/>
      <c r="Q90" s="548"/>
      <c r="R90" s="548"/>
      <c r="S90" s="548"/>
      <c r="T90" s="439"/>
      <c r="U90" s="440"/>
      <c r="V90" s="507"/>
      <c r="W90" s="440"/>
      <c r="X90" s="441"/>
      <c r="Y90" s="441"/>
      <c r="Z90" s="441"/>
      <c r="AA90" s="441"/>
      <c r="AB90" s="441"/>
      <c r="AC90" s="441"/>
      <c r="AD90" s="441"/>
      <c r="AE90" s="441"/>
      <c r="AF90" s="786"/>
      <c r="AG90" s="441"/>
      <c r="AH90" s="441"/>
      <c r="AI90" s="441"/>
      <c r="AJ90" s="441"/>
      <c r="AK90" s="441"/>
      <c r="AL90" s="441"/>
      <c r="AM90" s="441"/>
      <c r="AN90" s="441"/>
      <c r="AO90" s="441"/>
      <c r="AP90" s="441"/>
      <c r="AQ90" s="441"/>
      <c r="AR90" s="441"/>
      <c r="AS90" s="441"/>
      <c r="AT90" s="441"/>
      <c r="AU90" s="441"/>
      <c r="AV90" s="441"/>
      <c r="AW90" s="441"/>
      <c r="AX90" s="441"/>
      <c r="AY90" s="441"/>
      <c r="AZ90" s="441"/>
      <c r="BA90" s="441"/>
      <c r="BB90" s="441"/>
      <c r="BC90" s="441"/>
      <c r="BD90" s="441"/>
      <c r="BE90" s="441"/>
      <c r="BF90" s="441"/>
      <c r="BG90" s="441"/>
      <c r="BH90" s="441"/>
      <c r="BI90" s="441"/>
      <c r="BJ90" s="441"/>
      <c r="BK90" s="441"/>
      <c r="BL90" s="441"/>
      <c r="BM90" s="441"/>
      <c r="BN90" s="441"/>
      <c r="BO90" s="441"/>
      <c r="BP90" s="441"/>
      <c r="BQ90" s="441"/>
      <c r="BR90" s="441"/>
      <c r="BS90" s="441"/>
      <c r="BT90" s="551"/>
      <c r="BU90" s="441"/>
      <c r="BV90" s="551"/>
      <c r="BW90" s="551"/>
      <c r="BX90" s="551"/>
      <c r="BY90" s="441"/>
      <c r="BZ90" s="441"/>
      <c r="CA90" s="441"/>
      <c r="CB90" s="441"/>
      <c r="CC90" s="441"/>
      <c r="CD90" s="441"/>
      <c r="CE90" s="441"/>
      <c r="CF90" s="441"/>
      <c r="CG90" s="441"/>
      <c r="CH90" s="441"/>
      <c r="CI90" s="441"/>
      <c r="CJ90" s="441"/>
      <c r="CK90" s="441"/>
      <c r="CL90" s="441"/>
      <c r="CM90" s="441"/>
      <c r="CN90" s="441"/>
      <c r="CO90" s="441"/>
      <c r="CP90" s="441"/>
      <c r="CQ90" s="441"/>
      <c r="CR90" s="441"/>
      <c r="CS90" s="441"/>
      <c r="CT90" s="441"/>
      <c r="CU90" s="551"/>
      <c r="CV90" s="551"/>
      <c r="CW90" s="551"/>
      <c r="CX90" s="551"/>
      <c r="CY90" s="551"/>
      <c r="CZ90" s="551"/>
      <c r="DA90" s="551"/>
      <c r="DB90" s="551"/>
      <c r="DC90" s="551"/>
      <c r="DD90" s="551"/>
      <c r="DE90" s="551"/>
      <c r="DF90" s="441"/>
      <c r="DG90" s="441"/>
      <c r="DH90" s="441"/>
      <c r="DI90" s="441"/>
      <c r="DJ90" s="551"/>
      <c r="DK90" s="441"/>
      <c r="DL90" s="441"/>
      <c r="DM90" s="441"/>
      <c r="DN90" s="441"/>
      <c r="DO90" s="441"/>
      <c r="DP90" s="441"/>
      <c r="DQ90" s="441"/>
      <c r="DR90" s="441"/>
      <c r="DS90" s="441"/>
      <c r="DT90" s="441"/>
      <c r="DU90" s="441"/>
      <c r="DV90" s="441"/>
      <c r="DW90" s="441"/>
      <c r="DX90" s="441"/>
      <c r="DY90" s="441"/>
      <c r="DZ90" s="441"/>
      <c r="EA90" s="441"/>
      <c r="EB90" s="783"/>
      <c r="EC90" s="441"/>
      <c r="ED90" s="441"/>
      <c r="EE90" s="441"/>
      <c r="EF90" s="441"/>
      <c r="EG90" s="441"/>
      <c r="EH90" s="441"/>
      <c r="EI90" s="441"/>
      <c r="EJ90" s="441"/>
      <c r="EK90" s="441"/>
      <c r="EL90" s="441"/>
      <c r="EM90" s="441"/>
      <c r="EN90" s="441"/>
      <c r="EO90" s="441"/>
      <c r="EP90" s="441"/>
      <c r="EQ90" s="441"/>
      <c r="ER90" s="441"/>
      <c r="ES90" s="441"/>
      <c r="ET90" s="441"/>
      <c r="EU90" s="441"/>
      <c r="EV90" s="441"/>
      <c r="EW90" s="441"/>
      <c r="EX90" s="441"/>
      <c r="EY90" s="441"/>
      <c r="EZ90" s="441"/>
      <c r="FA90" s="441"/>
      <c r="FB90" s="441"/>
      <c r="FC90" s="441"/>
      <c r="FD90" s="441"/>
      <c r="FE90" s="441"/>
      <c r="FF90" s="441"/>
      <c r="FG90" s="441"/>
      <c r="FH90" s="441"/>
      <c r="FI90" s="441"/>
      <c r="FJ90" s="781"/>
      <c r="FK90" s="781"/>
      <c r="FL90" s="781"/>
      <c r="FM90" s="781"/>
      <c r="FN90" s="781"/>
      <c r="FO90" s="781"/>
      <c r="FP90" s="781"/>
      <c r="FQ90" s="781"/>
      <c r="FR90" s="781"/>
      <c r="FS90" s="781"/>
      <c r="FT90" s="781"/>
      <c r="FU90" s="781"/>
      <c r="FV90" s="781"/>
      <c r="FW90" s="781"/>
      <c r="FX90" s="781"/>
      <c r="FY90" s="781"/>
      <c r="FZ90" s="781"/>
      <c r="GA90" s="781"/>
      <c r="GB90" s="781"/>
      <c r="GC90" s="781"/>
      <c r="GD90" s="781"/>
      <c r="GE90" s="781"/>
      <c r="GF90" s="781"/>
      <c r="GG90" s="781"/>
      <c r="GH90" s="781"/>
      <c r="GI90" s="781"/>
      <c r="GJ90" s="781"/>
      <c r="GK90" s="781"/>
      <c r="GL90" s="1335"/>
    </row>
    <row r="91" spans="1:196" ht="16.8" hidden="1">
      <c r="A91" s="1372"/>
      <c r="B91" s="1333"/>
      <c r="C91" s="549"/>
      <c r="D91" s="548"/>
      <c r="E91" s="548"/>
      <c r="F91" s="548"/>
      <c r="G91" s="548"/>
      <c r="H91" s="548"/>
      <c r="I91" s="548"/>
      <c r="J91" s="548"/>
      <c r="K91" s="548"/>
      <c r="L91" s="548"/>
      <c r="M91" s="548"/>
      <c r="N91" s="548"/>
      <c r="O91" s="548"/>
      <c r="P91" s="548"/>
      <c r="Q91" s="548"/>
      <c r="R91" s="548"/>
      <c r="S91" s="548"/>
      <c r="T91" s="439"/>
      <c r="U91" s="440"/>
      <c r="V91" s="507"/>
      <c r="W91" s="440"/>
      <c r="X91" s="441"/>
      <c r="Y91" s="441"/>
      <c r="Z91" s="441"/>
      <c r="AA91" s="441"/>
      <c r="AB91" s="441"/>
      <c r="AC91" s="441"/>
      <c r="AD91" s="441"/>
      <c r="AE91" s="441"/>
      <c r="AF91" s="786"/>
      <c r="AG91" s="441"/>
      <c r="AH91" s="441"/>
      <c r="AI91" s="441"/>
      <c r="AJ91" s="441"/>
      <c r="AK91" s="441"/>
      <c r="AL91" s="441"/>
      <c r="AM91" s="441"/>
      <c r="AN91" s="441"/>
      <c r="AO91" s="441"/>
      <c r="AP91" s="441"/>
      <c r="AQ91" s="441"/>
      <c r="AR91" s="441"/>
      <c r="AS91" s="441"/>
      <c r="AT91" s="441"/>
      <c r="AU91" s="441"/>
      <c r="AV91" s="441"/>
      <c r="AW91" s="441"/>
      <c r="AX91" s="441"/>
      <c r="AY91" s="441"/>
      <c r="AZ91" s="441"/>
      <c r="BA91" s="441"/>
      <c r="BB91" s="441"/>
      <c r="BC91" s="441"/>
      <c r="BD91" s="441"/>
      <c r="BE91" s="441"/>
      <c r="BF91" s="441"/>
      <c r="BG91" s="441"/>
      <c r="BH91" s="441"/>
      <c r="BI91" s="441"/>
      <c r="BJ91" s="441"/>
      <c r="BK91" s="441"/>
      <c r="BL91" s="441"/>
      <c r="BM91" s="441"/>
      <c r="BN91" s="441"/>
      <c r="BO91" s="441"/>
      <c r="BP91" s="441"/>
      <c r="BQ91" s="441"/>
      <c r="BR91" s="441"/>
      <c r="BS91" s="441"/>
      <c r="BT91" s="551"/>
      <c r="BU91" s="441"/>
      <c r="BV91" s="551"/>
      <c r="BW91" s="551"/>
      <c r="BX91" s="551"/>
      <c r="BY91" s="441"/>
      <c r="BZ91" s="441"/>
      <c r="CA91" s="441"/>
      <c r="CB91" s="441"/>
      <c r="CC91" s="441"/>
      <c r="CD91" s="441"/>
      <c r="CE91" s="441"/>
      <c r="CF91" s="441"/>
      <c r="CG91" s="441"/>
      <c r="CH91" s="441"/>
      <c r="CI91" s="441"/>
      <c r="CJ91" s="441"/>
      <c r="CK91" s="441"/>
      <c r="CL91" s="441"/>
      <c r="CM91" s="441"/>
      <c r="CN91" s="441"/>
      <c r="CO91" s="441"/>
      <c r="CP91" s="441"/>
      <c r="CQ91" s="441"/>
      <c r="CR91" s="441"/>
      <c r="CS91" s="441"/>
      <c r="CT91" s="441"/>
      <c r="CU91" s="551"/>
      <c r="CV91" s="551"/>
      <c r="CW91" s="551"/>
      <c r="CX91" s="551"/>
      <c r="CY91" s="551"/>
      <c r="CZ91" s="551"/>
      <c r="DA91" s="551"/>
      <c r="DB91" s="551"/>
      <c r="DC91" s="551"/>
      <c r="DD91" s="551"/>
      <c r="DE91" s="551"/>
      <c r="DF91" s="441"/>
      <c r="DG91" s="441"/>
      <c r="DH91" s="441"/>
      <c r="DI91" s="441"/>
      <c r="DJ91" s="551"/>
      <c r="DK91" s="441"/>
      <c r="DL91" s="441"/>
      <c r="DM91" s="441"/>
      <c r="DN91" s="441"/>
      <c r="DO91" s="441"/>
      <c r="DP91" s="441"/>
      <c r="DQ91" s="441"/>
      <c r="DR91" s="441"/>
      <c r="DS91" s="441"/>
      <c r="DT91" s="441"/>
      <c r="DU91" s="441"/>
      <c r="DV91" s="441"/>
      <c r="DW91" s="441"/>
      <c r="DX91" s="441"/>
      <c r="DY91" s="441"/>
      <c r="DZ91" s="441"/>
      <c r="EA91" s="441"/>
      <c r="EB91" s="783"/>
      <c r="EC91" s="441"/>
      <c r="ED91" s="441"/>
      <c r="EE91" s="441"/>
      <c r="EF91" s="441"/>
      <c r="EG91" s="441"/>
      <c r="EH91" s="441"/>
      <c r="EI91" s="441"/>
      <c r="EJ91" s="441"/>
      <c r="EK91" s="441"/>
      <c r="EL91" s="441"/>
      <c r="EM91" s="441"/>
      <c r="EN91" s="441"/>
      <c r="EO91" s="441"/>
      <c r="EP91" s="441"/>
      <c r="EQ91" s="441"/>
      <c r="ER91" s="441"/>
      <c r="ES91" s="441"/>
      <c r="ET91" s="441"/>
      <c r="EU91" s="441"/>
      <c r="EV91" s="441"/>
      <c r="EW91" s="441"/>
      <c r="EX91" s="441"/>
      <c r="EY91" s="441"/>
      <c r="EZ91" s="441"/>
      <c r="FA91" s="441"/>
      <c r="FB91" s="441"/>
      <c r="FC91" s="441"/>
      <c r="FD91" s="441"/>
      <c r="FE91" s="441"/>
      <c r="FF91" s="441"/>
      <c r="FG91" s="441"/>
      <c r="FH91" s="441"/>
      <c r="FI91" s="441"/>
      <c r="FJ91" s="781"/>
      <c r="FK91" s="781"/>
      <c r="FL91" s="781"/>
      <c r="FM91" s="781"/>
      <c r="FN91" s="781"/>
      <c r="FO91" s="781"/>
      <c r="FP91" s="781"/>
      <c r="FQ91" s="781"/>
      <c r="FR91" s="781"/>
      <c r="FS91" s="781"/>
      <c r="FT91" s="781"/>
      <c r="FU91" s="781"/>
      <c r="FV91" s="781"/>
      <c r="FW91" s="781"/>
      <c r="FX91" s="781"/>
      <c r="FY91" s="781"/>
      <c r="FZ91" s="781"/>
      <c r="GA91" s="781"/>
      <c r="GB91" s="781"/>
      <c r="GC91" s="781"/>
      <c r="GD91" s="781"/>
      <c r="GE91" s="781"/>
      <c r="GF91" s="781"/>
      <c r="GG91" s="781"/>
      <c r="GH91" s="781"/>
      <c r="GI91" s="781"/>
      <c r="GJ91" s="781"/>
      <c r="GK91" s="781"/>
      <c r="GL91" s="1335"/>
    </row>
    <row r="92" spans="1:196" ht="16.8" hidden="1">
      <c r="A92" s="1372"/>
      <c r="B92" s="1333"/>
      <c r="C92" s="549"/>
      <c r="D92" s="548"/>
      <c r="E92" s="548"/>
      <c r="F92" s="548"/>
      <c r="G92" s="548"/>
      <c r="H92" s="548"/>
      <c r="I92" s="548"/>
      <c r="J92" s="548"/>
      <c r="K92" s="548"/>
      <c r="L92" s="548"/>
      <c r="M92" s="548"/>
      <c r="N92" s="548"/>
      <c r="O92" s="548"/>
      <c r="P92" s="548"/>
      <c r="Q92" s="548"/>
      <c r="R92" s="548"/>
      <c r="S92" s="548"/>
      <c r="T92" s="439"/>
      <c r="U92" s="440"/>
      <c r="V92" s="507"/>
      <c r="W92" s="440"/>
      <c r="X92" s="441"/>
      <c r="Y92" s="441"/>
      <c r="Z92" s="441"/>
      <c r="AA92" s="441"/>
      <c r="AB92" s="441"/>
      <c r="AC92" s="441"/>
      <c r="AD92" s="441"/>
      <c r="AE92" s="441"/>
      <c r="AF92" s="786"/>
      <c r="AG92" s="441"/>
      <c r="AH92" s="441"/>
      <c r="AI92" s="441"/>
      <c r="AJ92" s="441"/>
      <c r="AK92" s="441"/>
      <c r="AL92" s="441"/>
      <c r="AM92" s="441"/>
      <c r="AN92" s="441"/>
      <c r="AO92" s="441"/>
      <c r="AP92" s="441"/>
      <c r="AQ92" s="441"/>
      <c r="AR92" s="441"/>
      <c r="AS92" s="441"/>
      <c r="AT92" s="441"/>
      <c r="AU92" s="441"/>
      <c r="AV92" s="441"/>
      <c r="AW92" s="441"/>
      <c r="AX92" s="441"/>
      <c r="AY92" s="441"/>
      <c r="AZ92" s="441"/>
      <c r="BA92" s="441"/>
      <c r="BB92" s="441"/>
      <c r="BC92" s="441"/>
      <c r="BD92" s="441"/>
      <c r="BE92" s="441"/>
      <c r="BF92" s="441"/>
      <c r="BG92" s="441"/>
      <c r="BH92" s="441"/>
      <c r="BI92" s="441"/>
      <c r="BJ92" s="441"/>
      <c r="BK92" s="441"/>
      <c r="BL92" s="441"/>
      <c r="BM92" s="441"/>
      <c r="BN92" s="441"/>
      <c r="BO92" s="441"/>
      <c r="BP92" s="441"/>
      <c r="BQ92" s="441"/>
      <c r="BR92" s="441"/>
      <c r="BS92" s="441"/>
      <c r="BT92" s="551"/>
      <c r="BU92" s="441"/>
      <c r="BV92" s="551"/>
      <c r="BW92" s="551"/>
      <c r="BX92" s="551"/>
      <c r="BY92" s="441"/>
      <c r="BZ92" s="441"/>
      <c r="CA92" s="441"/>
      <c r="CB92" s="441"/>
      <c r="CC92" s="441"/>
      <c r="CD92" s="441"/>
      <c r="CE92" s="441"/>
      <c r="CF92" s="441"/>
      <c r="CG92" s="441"/>
      <c r="CH92" s="441"/>
      <c r="CI92" s="441"/>
      <c r="CJ92" s="441"/>
      <c r="CK92" s="441"/>
      <c r="CL92" s="441"/>
      <c r="CM92" s="441"/>
      <c r="CN92" s="441"/>
      <c r="CO92" s="441"/>
      <c r="CP92" s="441"/>
      <c r="CQ92" s="441"/>
      <c r="CR92" s="441"/>
      <c r="CS92" s="441"/>
      <c r="CT92" s="441"/>
      <c r="CU92" s="551"/>
      <c r="CV92" s="551"/>
      <c r="CW92" s="551"/>
      <c r="CX92" s="551"/>
      <c r="CY92" s="551"/>
      <c r="CZ92" s="551"/>
      <c r="DA92" s="551"/>
      <c r="DB92" s="551"/>
      <c r="DC92" s="551"/>
      <c r="DD92" s="551"/>
      <c r="DE92" s="551"/>
      <c r="DF92" s="441"/>
      <c r="DG92" s="441"/>
      <c r="DH92" s="441"/>
      <c r="DI92" s="441"/>
      <c r="DJ92" s="551"/>
      <c r="DK92" s="441"/>
      <c r="DL92" s="441"/>
      <c r="DM92" s="441"/>
      <c r="DN92" s="441"/>
      <c r="DO92" s="441"/>
      <c r="DP92" s="441"/>
      <c r="DQ92" s="441"/>
      <c r="DR92" s="441"/>
      <c r="DS92" s="441"/>
      <c r="DT92" s="441"/>
      <c r="DU92" s="441"/>
      <c r="DV92" s="441"/>
      <c r="DW92" s="441"/>
      <c r="DX92" s="441"/>
      <c r="DY92" s="441"/>
      <c r="DZ92" s="441"/>
      <c r="EA92" s="441"/>
      <c r="EB92" s="783"/>
      <c r="EC92" s="441"/>
      <c r="ED92" s="441"/>
      <c r="EE92" s="441"/>
      <c r="EF92" s="441"/>
      <c r="EG92" s="441"/>
      <c r="EH92" s="441"/>
      <c r="EI92" s="441"/>
      <c r="EJ92" s="441"/>
      <c r="EK92" s="441"/>
      <c r="EL92" s="441"/>
      <c r="EM92" s="441"/>
      <c r="EN92" s="441"/>
      <c r="EO92" s="441"/>
      <c r="EP92" s="441"/>
      <c r="EQ92" s="441"/>
      <c r="ER92" s="441"/>
      <c r="ES92" s="441"/>
      <c r="ET92" s="441"/>
      <c r="EU92" s="441"/>
      <c r="EV92" s="441"/>
      <c r="EW92" s="441"/>
      <c r="EX92" s="441"/>
      <c r="EY92" s="441"/>
      <c r="EZ92" s="441"/>
      <c r="FA92" s="441"/>
      <c r="FB92" s="441"/>
      <c r="FC92" s="441"/>
      <c r="FD92" s="441"/>
      <c r="FE92" s="441"/>
      <c r="FF92" s="441"/>
      <c r="FG92" s="441"/>
      <c r="FH92" s="441"/>
      <c r="FI92" s="441"/>
      <c r="FJ92" s="781"/>
      <c r="FK92" s="781"/>
      <c r="FL92" s="781"/>
      <c r="FM92" s="781"/>
      <c r="FN92" s="781"/>
      <c r="FO92" s="781"/>
      <c r="FP92" s="781"/>
      <c r="FQ92" s="781"/>
      <c r="FR92" s="781"/>
      <c r="FS92" s="781"/>
      <c r="FT92" s="781"/>
      <c r="FU92" s="781"/>
      <c r="FV92" s="781"/>
      <c r="FW92" s="781"/>
      <c r="FX92" s="781"/>
      <c r="FY92" s="781"/>
      <c r="FZ92" s="781"/>
      <c r="GA92" s="781"/>
      <c r="GB92" s="781"/>
      <c r="GC92" s="781"/>
      <c r="GD92" s="781"/>
      <c r="GE92" s="781"/>
      <c r="GF92" s="781"/>
      <c r="GG92" s="781"/>
      <c r="GH92" s="781"/>
      <c r="GI92" s="781"/>
      <c r="GJ92" s="781"/>
      <c r="GK92" s="781"/>
      <c r="GL92" s="1335"/>
    </row>
    <row r="93" spans="1:196" ht="16.8" hidden="1">
      <c r="A93" s="1372"/>
      <c r="B93" s="1333"/>
      <c r="C93" s="549"/>
      <c r="D93" s="548"/>
      <c r="E93" s="548"/>
      <c r="F93" s="548"/>
      <c r="G93" s="548"/>
      <c r="H93" s="548"/>
      <c r="I93" s="548"/>
      <c r="J93" s="548"/>
      <c r="K93" s="548"/>
      <c r="L93" s="548"/>
      <c r="M93" s="548"/>
      <c r="N93" s="548"/>
      <c r="O93" s="548"/>
      <c r="P93" s="548"/>
      <c r="Q93" s="548"/>
      <c r="R93" s="548"/>
      <c r="S93" s="548"/>
      <c r="T93" s="439"/>
      <c r="U93" s="440"/>
      <c r="V93" s="507"/>
      <c r="W93" s="440"/>
      <c r="X93" s="441"/>
      <c r="Y93" s="441"/>
      <c r="Z93" s="441"/>
      <c r="AA93" s="441"/>
      <c r="AB93" s="441"/>
      <c r="AC93" s="441"/>
      <c r="AD93" s="441"/>
      <c r="AE93" s="441"/>
      <c r="AF93" s="786"/>
      <c r="AG93" s="441"/>
      <c r="AH93" s="441"/>
      <c r="AI93" s="441"/>
      <c r="AJ93" s="441"/>
      <c r="AK93" s="441"/>
      <c r="AL93" s="441"/>
      <c r="AM93" s="441"/>
      <c r="AN93" s="441"/>
      <c r="AO93" s="441"/>
      <c r="AP93" s="441"/>
      <c r="AQ93" s="441"/>
      <c r="AR93" s="441"/>
      <c r="AS93" s="441"/>
      <c r="AT93" s="441"/>
      <c r="AU93" s="441"/>
      <c r="AV93" s="441"/>
      <c r="AW93" s="441"/>
      <c r="AX93" s="441"/>
      <c r="AY93" s="441"/>
      <c r="AZ93" s="441"/>
      <c r="BA93" s="441"/>
      <c r="BB93" s="441"/>
      <c r="BC93" s="441"/>
      <c r="BD93" s="441"/>
      <c r="BE93" s="441"/>
      <c r="BF93" s="441"/>
      <c r="BG93" s="441"/>
      <c r="BH93" s="441"/>
      <c r="BI93" s="441"/>
      <c r="BJ93" s="441"/>
      <c r="BK93" s="441"/>
      <c r="BL93" s="441"/>
      <c r="BM93" s="441"/>
      <c r="BN93" s="441"/>
      <c r="BO93" s="441"/>
      <c r="BP93" s="441"/>
      <c r="BQ93" s="441"/>
      <c r="BR93" s="441"/>
      <c r="BS93" s="441"/>
      <c r="BT93" s="551"/>
      <c r="BU93" s="441"/>
      <c r="BV93" s="551"/>
      <c r="BW93" s="551"/>
      <c r="BX93" s="551"/>
      <c r="BY93" s="441"/>
      <c r="BZ93" s="441"/>
      <c r="CA93" s="441"/>
      <c r="CB93" s="441"/>
      <c r="CC93" s="441"/>
      <c r="CD93" s="441"/>
      <c r="CE93" s="441"/>
      <c r="CF93" s="441"/>
      <c r="CG93" s="441"/>
      <c r="CH93" s="441"/>
      <c r="CI93" s="441"/>
      <c r="CJ93" s="441"/>
      <c r="CK93" s="441"/>
      <c r="CL93" s="441"/>
      <c r="CM93" s="441"/>
      <c r="CN93" s="441"/>
      <c r="CO93" s="441"/>
      <c r="CP93" s="441"/>
      <c r="CQ93" s="441"/>
      <c r="CR93" s="441"/>
      <c r="CS93" s="441"/>
      <c r="CT93" s="441"/>
      <c r="CU93" s="551"/>
      <c r="CV93" s="551"/>
      <c r="CW93" s="551"/>
      <c r="CX93" s="551"/>
      <c r="CY93" s="551"/>
      <c r="CZ93" s="551"/>
      <c r="DA93" s="551"/>
      <c r="DB93" s="551"/>
      <c r="DC93" s="551"/>
      <c r="DD93" s="551"/>
      <c r="DE93" s="551"/>
      <c r="DF93" s="441"/>
      <c r="DG93" s="441"/>
      <c r="DH93" s="441"/>
      <c r="DI93" s="441"/>
      <c r="DJ93" s="551"/>
      <c r="DK93" s="441"/>
      <c r="DL93" s="441"/>
      <c r="DM93" s="441"/>
      <c r="DN93" s="441"/>
      <c r="DO93" s="441"/>
      <c r="DP93" s="441"/>
      <c r="DQ93" s="441"/>
      <c r="DR93" s="441"/>
      <c r="DS93" s="441"/>
      <c r="DT93" s="441"/>
      <c r="DU93" s="441"/>
      <c r="DV93" s="441"/>
      <c r="DW93" s="441"/>
      <c r="DX93" s="441"/>
      <c r="DY93" s="441"/>
      <c r="DZ93" s="441"/>
      <c r="EA93" s="441"/>
      <c r="EB93" s="783"/>
      <c r="EC93" s="441"/>
      <c r="ED93" s="441"/>
      <c r="EE93" s="441"/>
      <c r="EF93" s="441"/>
      <c r="EG93" s="441"/>
      <c r="EH93" s="441"/>
      <c r="EI93" s="441"/>
      <c r="EJ93" s="441"/>
      <c r="EK93" s="441"/>
      <c r="EL93" s="441"/>
      <c r="EM93" s="441"/>
      <c r="EN93" s="441"/>
      <c r="EO93" s="441"/>
      <c r="EP93" s="441"/>
      <c r="EQ93" s="441"/>
      <c r="ER93" s="441"/>
      <c r="ES93" s="441"/>
      <c r="ET93" s="441"/>
      <c r="EU93" s="441"/>
      <c r="EV93" s="441"/>
      <c r="EW93" s="441"/>
      <c r="EX93" s="441"/>
      <c r="EY93" s="441"/>
      <c r="EZ93" s="441"/>
      <c r="FA93" s="441"/>
      <c r="FB93" s="441"/>
      <c r="FC93" s="441"/>
      <c r="FD93" s="441"/>
      <c r="FE93" s="441"/>
      <c r="FF93" s="441"/>
      <c r="FG93" s="441"/>
      <c r="FH93" s="441"/>
      <c r="FI93" s="441"/>
      <c r="FJ93" s="781"/>
      <c r="FK93" s="781"/>
      <c r="FL93" s="781"/>
      <c r="FM93" s="781"/>
      <c r="FN93" s="781"/>
      <c r="FO93" s="781"/>
      <c r="FP93" s="781"/>
      <c r="FQ93" s="781"/>
      <c r="FR93" s="781"/>
      <c r="FS93" s="781"/>
      <c r="FT93" s="781"/>
      <c r="FU93" s="781"/>
      <c r="FV93" s="781"/>
      <c r="FW93" s="781"/>
      <c r="FX93" s="781"/>
      <c r="FY93" s="781"/>
      <c r="FZ93" s="781"/>
      <c r="GA93" s="781"/>
      <c r="GB93" s="781"/>
      <c r="GC93" s="781"/>
      <c r="GD93" s="781"/>
      <c r="GE93" s="781"/>
      <c r="GF93" s="781"/>
      <c r="GG93" s="781"/>
      <c r="GH93" s="781"/>
      <c r="GI93" s="781"/>
      <c r="GJ93" s="781"/>
      <c r="GK93" s="781"/>
      <c r="GL93" s="1335"/>
    </row>
    <row r="94" spans="1:196" ht="16.8" hidden="1">
      <c r="A94" s="1372"/>
      <c r="B94" s="1333"/>
      <c r="C94" s="549"/>
      <c r="D94" s="548"/>
      <c r="E94" s="548"/>
      <c r="F94" s="548"/>
      <c r="G94" s="548"/>
      <c r="H94" s="548"/>
      <c r="I94" s="548"/>
      <c r="J94" s="548"/>
      <c r="K94" s="548"/>
      <c r="L94" s="548"/>
      <c r="M94" s="548"/>
      <c r="N94" s="548"/>
      <c r="O94" s="548"/>
      <c r="P94" s="548"/>
      <c r="Q94" s="548"/>
      <c r="R94" s="548"/>
      <c r="S94" s="548"/>
      <c r="T94" s="439"/>
      <c r="U94" s="440"/>
      <c r="V94" s="507"/>
      <c r="W94" s="440"/>
      <c r="X94" s="441"/>
      <c r="Y94" s="441"/>
      <c r="Z94" s="441"/>
      <c r="AA94" s="441"/>
      <c r="AB94" s="441"/>
      <c r="AC94" s="441"/>
      <c r="AD94" s="441"/>
      <c r="AE94" s="441"/>
      <c r="AF94" s="786"/>
      <c r="AG94" s="441"/>
      <c r="AH94" s="441"/>
      <c r="AI94" s="441"/>
      <c r="AJ94" s="441"/>
      <c r="AK94" s="441"/>
      <c r="AL94" s="441"/>
      <c r="AM94" s="441"/>
      <c r="AN94" s="441"/>
      <c r="AO94" s="441"/>
      <c r="AP94" s="441"/>
      <c r="AQ94" s="441"/>
      <c r="AR94" s="441"/>
      <c r="AS94" s="441"/>
      <c r="AT94" s="441"/>
      <c r="AU94" s="441"/>
      <c r="AV94" s="441"/>
      <c r="AW94" s="441"/>
      <c r="AX94" s="441"/>
      <c r="AY94" s="441"/>
      <c r="AZ94" s="441"/>
      <c r="BA94" s="441"/>
      <c r="BB94" s="441"/>
      <c r="BC94" s="441"/>
      <c r="BD94" s="441"/>
      <c r="BE94" s="441"/>
      <c r="BF94" s="441"/>
      <c r="BG94" s="441"/>
      <c r="BH94" s="441"/>
      <c r="BI94" s="441"/>
      <c r="BJ94" s="441"/>
      <c r="BK94" s="441"/>
      <c r="BL94" s="441"/>
      <c r="BM94" s="441"/>
      <c r="BN94" s="441"/>
      <c r="BO94" s="441"/>
      <c r="BP94" s="441"/>
      <c r="BQ94" s="441"/>
      <c r="BR94" s="441"/>
      <c r="BS94" s="441"/>
      <c r="BT94" s="551"/>
      <c r="BU94" s="441"/>
      <c r="BV94" s="551"/>
      <c r="BW94" s="551"/>
      <c r="BX94" s="551"/>
      <c r="BY94" s="441"/>
      <c r="BZ94" s="441"/>
      <c r="CA94" s="441"/>
      <c r="CB94" s="441"/>
      <c r="CC94" s="441"/>
      <c r="CD94" s="441"/>
      <c r="CE94" s="441"/>
      <c r="CF94" s="441"/>
      <c r="CG94" s="441"/>
      <c r="CH94" s="441"/>
      <c r="CI94" s="441"/>
      <c r="CJ94" s="441"/>
      <c r="CK94" s="441"/>
      <c r="CL94" s="441"/>
      <c r="CM94" s="441"/>
      <c r="CN94" s="441"/>
      <c r="CO94" s="441"/>
      <c r="CP94" s="441"/>
      <c r="CQ94" s="441"/>
      <c r="CR94" s="441"/>
      <c r="CS94" s="441"/>
      <c r="CT94" s="441"/>
      <c r="CU94" s="551"/>
      <c r="CV94" s="551"/>
      <c r="CW94" s="551"/>
      <c r="CX94" s="551"/>
      <c r="CY94" s="551"/>
      <c r="CZ94" s="551"/>
      <c r="DA94" s="551"/>
      <c r="DB94" s="551"/>
      <c r="DC94" s="551"/>
      <c r="DD94" s="551"/>
      <c r="DE94" s="551"/>
      <c r="DF94" s="441"/>
      <c r="DG94" s="441"/>
      <c r="DH94" s="441"/>
      <c r="DI94" s="441"/>
      <c r="DJ94" s="551"/>
      <c r="DK94" s="441"/>
      <c r="DL94" s="441"/>
      <c r="DM94" s="441"/>
      <c r="DN94" s="441"/>
      <c r="DO94" s="441"/>
      <c r="DP94" s="441"/>
      <c r="DQ94" s="441"/>
      <c r="DR94" s="441"/>
      <c r="DS94" s="441"/>
      <c r="DT94" s="441"/>
      <c r="DU94" s="441"/>
      <c r="DV94" s="441"/>
      <c r="DW94" s="441"/>
      <c r="DX94" s="441"/>
      <c r="DY94" s="441"/>
      <c r="DZ94" s="441"/>
      <c r="EA94" s="441"/>
      <c r="EB94" s="783"/>
      <c r="EC94" s="441"/>
      <c r="ED94" s="441"/>
      <c r="EE94" s="441"/>
      <c r="EF94" s="441"/>
      <c r="EG94" s="441"/>
      <c r="EH94" s="441"/>
      <c r="EI94" s="441"/>
      <c r="EJ94" s="441"/>
      <c r="EK94" s="441"/>
      <c r="EL94" s="441"/>
      <c r="EM94" s="441"/>
      <c r="EN94" s="441"/>
      <c r="EO94" s="441"/>
      <c r="EP94" s="441"/>
      <c r="EQ94" s="441"/>
      <c r="ER94" s="441"/>
      <c r="ES94" s="441"/>
      <c r="ET94" s="441"/>
      <c r="EU94" s="441"/>
      <c r="EV94" s="441"/>
      <c r="EW94" s="441"/>
      <c r="EX94" s="441"/>
      <c r="EY94" s="441"/>
      <c r="EZ94" s="441"/>
      <c r="FA94" s="441"/>
      <c r="FB94" s="441"/>
      <c r="FC94" s="441"/>
      <c r="FD94" s="441"/>
      <c r="FE94" s="441"/>
      <c r="FF94" s="441"/>
      <c r="FG94" s="441"/>
      <c r="FH94" s="441"/>
      <c r="FI94" s="441"/>
      <c r="FJ94" s="781"/>
      <c r="FK94" s="781"/>
      <c r="FL94" s="781"/>
      <c r="FM94" s="781"/>
      <c r="FN94" s="781"/>
      <c r="FO94" s="781"/>
      <c r="FP94" s="781"/>
      <c r="FQ94" s="781"/>
      <c r="FR94" s="781"/>
      <c r="FS94" s="781"/>
      <c r="FT94" s="781"/>
      <c r="FU94" s="781"/>
      <c r="FV94" s="781"/>
      <c r="FW94" s="781"/>
      <c r="FX94" s="781"/>
      <c r="FY94" s="781"/>
      <c r="FZ94" s="781"/>
      <c r="GA94" s="781"/>
      <c r="GB94" s="781"/>
      <c r="GC94" s="781"/>
      <c r="GD94" s="781"/>
      <c r="GE94" s="781"/>
      <c r="GF94" s="781"/>
      <c r="GG94" s="781"/>
      <c r="GH94" s="781"/>
      <c r="GI94" s="781"/>
      <c r="GJ94" s="781"/>
      <c r="GK94" s="781"/>
      <c r="GL94" s="1373"/>
    </row>
    <row r="95" spans="1:196" s="1381" customFormat="1" ht="6" customHeight="1">
      <c r="A95" s="1370"/>
      <c r="B95" s="1371"/>
      <c r="C95" s="1371"/>
      <c r="D95" s="1371"/>
      <c r="E95" s="1374"/>
      <c r="F95" s="1374"/>
      <c r="G95" s="1374"/>
      <c r="H95" s="1374"/>
      <c r="I95" s="1374"/>
      <c r="J95" s="1374"/>
      <c r="K95" s="1374"/>
      <c r="L95" s="1374"/>
      <c r="M95" s="1374"/>
      <c r="N95" s="1374"/>
      <c r="O95" s="1374"/>
      <c r="P95" s="1374"/>
      <c r="Q95" s="1374"/>
      <c r="R95" s="1374"/>
      <c r="S95" s="1374"/>
      <c r="T95" s="1376"/>
      <c r="U95" s="1376"/>
      <c r="V95" s="1376"/>
      <c r="W95" s="1376"/>
      <c r="X95" s="1376"/>
      <c r="Y95" s="1376"/>
      <c r="Z95" s="1376"/>
      <c r="AA95" s="1376"/>
      <c r="AB95" s="1376"/>
      <c r="AC95" s="1376"/>
      <c r="AD95" s="1376"/>
      <c r="AE95" s="1376"/>
      <c r="AF95" s="1376"/>
      <c r="AG95" s="1376"/>
      <c r="AH95" s="1376"/>
      <c r="AI95" s="1376"/>
      <c r="AJ95" s="1376"/>
      <c r="AK95" s="1376"/>
      <c r="AL95" s="1376"/>
      <c r="AM95" s="1376"/>
      <c r="AN95" s="1376"/>
      <c r="AO95" s="1376"/>
      <c r="AP95" s="1376"/>
      <c r="AQ95" s="1376"/>
      <c r="AR95" s="1376"/>
      <c r="AS95" s="1376"/>
      <c r="AT95" s="1376"/>
      <c r="AU95" s="1376"/>
      <c r="AV95" s="1376"/>
      <c r="AW95" s="1376"/>
      <c r="AX95" s="1376"/>
      <c r="AY95" s="1376"/>
      <c r="AZ95" s="1376"/>
      <c r="BA95" s="1376"/>
      <c r="BB95" s="1376"/>
      <c r="BC95" s="1376"/>
      <c r="BD95" s="1376"/>
      <c r="BE95" s="1376"/>
      <c r="BF95" s="1376"/>
      <c r="BG95" s="1376"/>
      <c r="BH95" s="1376"/>
      <c r="BI95" s="1376"/>
      <c r="BJ95" s="1376"/>
      <c r="BK95" s="1376"/>
      <c r="BL95" s="1376"/>
      <c r="BM95" s="1376"/>
      <c r="BN95" s="1376"/>
      <c r="BO95" s="1376"/>
      <c r="BP95" s="1376"/>
      <c r="BQ95" s="1376"/>
      <c r="BR95" s="1376"/>
      <c r="BS95" s="1376"/>
      <c r="BT95" s="1376"/>
      <c r="BU95" s="1376"/>
      <c r="BV95" s="1376"/>
      <c r="BW95" s="1376"/>
      <c r="BX95" s="1376"/>
      <c r="BY95" s="1376"/>
      <c r="BZ95" s="1376"/>
      <c r="CA95" s="1376"/>
      <c r="CB95" s="1376"/>
      <c r="CC95" s="1376"/>
      <c r="CD95" s="1376"/>
      <c r="CE95" s="1376"/>
      <c r="CF95" s="1376"/>
      <c r="CG95" s="1376"/>
      <c r="CH95" s="1376"/>
      <c r="CI95" s="1376"/>
      <c r="CJ95" s="1376"/>
      <c r="CK95" s="1376"/>
      <c r="CL95" s="1376"/>
      <c r="CM95" s="1376"/>
      <c r="CN95" s="1376"/>
      <c r="CO95" s="1376"/>
      <c r="CP95" s="1376"/>
      <c r="CQ95" s="1376"/>
      <c r="CR95" s="1376"/>
      <c r="CS95" s="1376"/>
      <c r="CT95" s="1376"/>
      <c r="CU95" s="1376"/>
      <c r="CV95" s="1376"/>
      <c r="CW95" s="1376"/>
      <c r="CX95" s="1376"/>
      <c r="CY95" s="1376"/>
      <c r="CZ95" s="1376"/>
      <c r="DA95" s="1376"/>
      <c r="DB95" s="1376"/>
      <c r="DC95" s="1376"/>
      <c r="DD95" s="1376"/>
      <c r="DE95" s="1376"/>
      <c r="DF95" s="1376"/>
      <c r="DG95" s="1376"/>
      <c r="DH95" s="1376"/>
      <c r="DI95" s="1376"/>
      <c r="DJ95" s="1376"/>
      <c r="DK95" s="1376"/>
      <c r="DL95" s="1376"/>
      <c r="DM95" s="1376"/>
      <c r="DN95" s="1376"/>
      <c r="DO95" s="1376"/>
      <c r="DP95" s="1376"/>
      <c r="DQ95" s="1376"/>
      <c r="DR95" s="1376"/>
      <c r="DS95" s="1376"/>
      <c r="DT95" s="1376"/>
      <c r="DU95" s="1376"/>
      <c r="DV95" s="1376"/>
      <c r="DW95" s="1376"/>
      <c r="DX95" s="1376"/>
      <c r="DY95" s="1376"/>
      <c r="DZ95" s="1376"/>
      <c r="EA95" s="1376"/>
      <c r="EB95" s="1376"/>
      <c r="EC95" s="1376"/>
      <c r="ED95" s="1376"/>
      <c r="EE95" s="1376"/>
      <c r="EF95" s="1376"/>
      <c r="EG95" s="1376"/>
      <c r="EH95" s="1376"/>
      <c r="EI95" s="1376"/>
      <c r="EJ95" s="1376"/>
      <c r="EK95" s="1376"/>
      <c r="EL95" s="1376"/>
      <c r="EM95" s="1376"/>
      <c r="EN95" s="1376"/>
      <c r="EO95" s="1376"/>
      <c r="EP95" s="1376"/>
      <c r="EQ95" s="1376"/>
      <c r="ER95" s="1376"/>
      <c r="ES95" s="1376"/>
      <c r="ET95" s="1376"/>
      <c r="EU95" s="1376"/>
      <c r="EV95" s="1376"/>
      <c r="EW95" s="1376"/>
      <c r="EX95" s="1376"/>
      <c r="EY95" s="1376"/>
      <c r="EZ95" s="1376"/>
      <c r="FA95" s="1376"/>
      <c r="FB95" s="1376"/>
      <c r="FC95" s="1376"/>
      <c r="FD95" s="1376"/>
      <c r="FE95" s="1376"/>
      <c r="FF95" s="1376"/>
      <c r="FG95" s="1376"/>
      <c r="FH95" s="1376"/>
      <c r="FI95" s="1376"/>
      <c r="FJ95" s="1376"/>
      <c r="FK95" s="1376"/>
      <c r="FL95" s="1376"/>
      <c r="FM95" s="1376"/>
      <c r="FN95" s="1376"/>
      <c r="FO95" s="1376"/>
      <c r="FP95" s="1376"/>
      <c r="FQ95" s="1376"/>
      <c r="FR95" s="1376"/>
      <c r="FS95" s="1376"/>
      <c r="FT95" s="1376"/>
      <c r="FU95" s="1376"/>
      <c r="FV95" s="1376"/>
      <c r="FW95" s="1376"/>
      <c r="FX95" s="1376"/>
      <c r="FY95" s="1376"/>
      <c r="FZ95" s="1376"/>
      <c r="GA95" s="1376"/>
      <c r="GB95" s="1376"/>
      <c r="GC95" s="1376"/>
      <c r="GD95" s="1376"/>
      <c r="GE95" s="1376"/>
      <c r="GF95" s="1376"/>
      <c r="GG95" s="1376"/>
      <c r="GH95" s="1376"/>
      <c r="GI95" s="1376"/>
      <c r="GJ95" s="1376"/>
      <c r="GK95" s="1376"/>
      <c r="GL95" s="1388"/>
      <c r="GM95"/>
      <c r="GN95"/>
    </row>
    <row r="96" spans="1:196" s="1381" customFormat="1" ht="30.75" customHeight="1" thickBot="1">
      <c r="A96" s="1378" t="s">
        <v>2327</v>
      </c>
      <c r="B96" s="2282">
        <f>SUM(B11:B95)</f>
        <v>63</v>
      </c>
      <c r="C96" s="2282">
        <f>B96</f>
        <v>63</v>
      </c>
      <c r="D96" s="1024">
        <f t="shared" ref="D96:U96" si="15">SUM(D11:D95)</f>
        <v>0</v>
      </c>
      <c r="E96" s="1024">
        <f t="shared" si="15"/>
        <v>0</v>
      </c>
      <c r="F96" s="1024">
        <f t="shared" si="15"/>
        <v>0</v>
      </c>
      <c r="G96" s="1024">
        <f t="shared" si="15"/>
        <v>0</v>
      </c>
      <c r="H96" s="1024">
        <f t="shared" si="15"/>
        <v>0</v>
      </c>
      <c r="I96" s="1024">
        <f t="shared" si="15"/>
        <v>0</v>
      </c>
      <c r="J96" s="1024">
        <f t="shared" si="15"/>
        <v>0</v>
      </c>
      <c r="K96" s="1024">
        <f t="shared" si="15"/>
        <v>0</v>
      </c>
      <c r="L96" s="1024">
        <f t="shared" si="15"/>
        <v>0</v>
      </c>
      <c r="M96" s="1024">
        <f t="shared" si="15"/>
        <v>0</v>
      </c>
      <c r="N96" s="1024">
        <f t="shared" si="15"/>
        <v>0</v>
      </c>
      <c r="O96" s="1024">
        <f t="shared" si="15"/>
        <v>0</v>
      </c>
      <c r="P96" s="1024">
        <f t="shared" si="15"/>
        <v>0</v>
      </c>
      <c r="Q96" s="1024">
        <f t="shared" si="15"/>
        <v>0</v>
      </c>
      <c r="R96" s="1024">
        <f t="shared" si="15"/>
        <v>0</v>
      </c>
      <c r="S96" s="1024">
        <f t="shared" si="15"/>
        <v>0</v>
      </c>
      <c r="T96" s="1024">
        <f t="shared" si="15"/>
        <v>0</v>
      </c>
      <c r="U96" s="1024">
        <f t="shared" si="15"/>
        <v>0</v>
      </c>
      <c r="V96" s="1379"/>
      <c r="W96" s="1379">
        <f t="shared" ref="W96:BB96" si="16">SUM(W11:W95)</f>
        <v>0</v>
      </c>
      <c r="X96" s="1379">
        <f t="shared" si="16"/>
        <v>0</v>
      </c>
      <c r="Y96" s="1379">
        <f t="shared" si="16"/>
        <v>2</v>
      </c>
      <c r="Z96" s="1379">
        <f t="shared" si="16"/>
        <v>3</v>
      </c>
      <c r="AA96" s="1379">
        <f t="shared" si="16"/>
        <v>0</v>
      </c>
      <c r="AB96" s="1379">
        <f t="shared" si="16"/>
        <v>0</v>
      </c>
      <c r="AC96" s="1379">
        <f t="shared" si="16"/>
        <v>0</v>
      </c>
      <c r="AD96" s="1379">
        <f t="shared" si="16"/>
        <v>0</v>
      </c>
      <c r="AE96" s="1379">
        <f t="shared" si="16"/>
        <v>1</v>
      </c>
      <c r="AF96" s="1379">
        <f t="shared" si="16"/>
        <v>0</v>
      </c>
      <c r="AG96" s="1379">
        <f t="shared" si="16"/>
        <v>0</v>
      </c>
      <c r="AH96" s="1379">
        <f t="shared" si="16"/>
        <v>0</v>
      </c>
      <c r="AI96" s="1379">
        <f t="shared" si="16"/>
        <v>0</v>
      </c>
      <c r="AJ96" s="1379">
        <f t="shared" si="16"/>
        <v>0</v>
      </c>
      <c r="AK96" s="1379">
        <f t="shared" si="16"/>
        <v>0</v>
      </c>
      <c r="AL96" s="1379">
        <f t="shared" si="16"/>
        <v>0</v>
      </c>
      <c r="AM96" s="1379">
        <f t="shared" si="16"/>
        <v>0</v>
      </c>
      <c r="AN96" s="1379">
        <f t="shared" si="16"/>
        <v>0</v>
      </c>
      <c r="AO96" s="1379">
        <f t="shared" si="16"/>
        <v>0</v>
      </c>
      <c r="AP96" s="1379">
        <f t="shared" si="16"/>
        <v>0</v>
      </c>
      <c r="AQ96" s="1379">
        <f t="shared" si="16"/>
        <v>0</v>
      </c>
      <c r="AR96" s="1379">
        <f t="shared" si="16"/>
        <v>0</v>
      </c>
      <c r="AS96" s="1379">
        <f t="shared" si="16"/>
        <v>1</v>
      </c>
      <c r="AT96" s="1379">
        <f t="shared" si="16"/>
        <v>0</v>
      </c>
      <c r="AU96" s="1379">
        <f t="shared" si="16"/>
        <v>0</v>
      </c>
      <c r="AV96" s="1379">
        <f t="shared" si="16"/>
        <v>0</v>
      </c>
      <c r="AW96" s="1379">
        <f t="shared" si="16"/>
        <v>0</v>
      </c>
      <c r="AX96" s="1379">
        <f t="shared" si="16"/>
        <v>0</v>
      </c>
      <c r="AY96" s="1379">
        <f t="shared" si="16"/>
        <v>0</v>
      </c>
      <c r="AZ96" s="1379">
        <f t="shared" si="16"/>
        <v>0</v>
      </c>
      <c r="BA96" s="1379">
        <f t="shared" si="16"/>
        <v>0</v>
      </c>
      <c r="BB96" s="1379">
        <f t="shared" si="16"/>
        <v>0</v>
      </c>
      <c r="BC96" s="1379">
        <f t="shared" ref="BC96:CH96" si="17">SUM(BC11:BC95)</f>
        <v>0</v>
      </c>
      <c r="BD96" s="1379">
        <f t="shared" si="17"/>
        <v>0</v>
      </c>
      <c r="BE96" s="1379">
        <f t="shared" si="17"/>
        <v>0</v>
      </c>
      <c r="BF96" s="1379">
        <f t="shared" si="17"/>
        <v>0</v>
      </c>
      <c r="BG96" s="1379">
        <f t="shared" si="17"/>
        <v>0</v>
      </c>
      <c r="BH96" s="1379">
        <f t="shared" si="17"/>
        <v>0</v>
      </c>
      <c r="BI96" s="1379">
        <f t="shared" si="17"/>
        <v>0</v>
      </c>
      <c r="BJ96" s="1379">
        <f t="shared" si="17"/>
        <v>1</v>
      </c>
      <c r="BK96" s="1379">
        <f t="shared" si="17"/>
        <v>0</v>
      </c>
      <c r="BL96" s="1379">
        <f t="shared" si="17"/>
        <v>0</v>
      </c>
      <c r="BM96" s="1379">
        <f t="shared" si="17"/>
        <v>0</v>
      </c>
      <c r="BN96" s="1379">
        <f t="shared" si="17"/>
        <v>0</v>
      </c>
      <c r="BO96" s="1379">
        <f t="shared" si="17"/>
        <v>0</v>
      </c>
      <c r="BP96" s="1379">
        <f t="shared" si="17"/>
        <v>0</v>
      </c>
      <c r="BQ96" s="1379">
        <f t="shared" si="17"/>
        <v>0</v>
      </c>
      <c r="BR96" s="1379">
        <f t="shared" si="17"/>
        <v>0</v>
      </c>
      <c r="BS96" s="1379">
        <f t="shared" si="17"/>
        <v>0</v>
      </c>
      <c r="BT96" s="1379">
        <f t="shared" si="17"/>
        <v>1</v>
      </c>
      <c r="BU96" s="1379">
        <f t="shared" si="17"/>
        <v>0</v>
      </c>
      <c r="BV96" s="1379">
        <f t="shared" si="17"/>
        <v>0</v>
      </c>
      <c r="BW96" s="1379">
        <f t="shared" si="17"/>
        <v>0</v>
      </c>
      <c r="BX96" s="1379">
        <f t="shared" si="17"/>
        <v>0</v>
      </c>
      <c r="BY96" s="1379">
        <f t="shared" si="17"/>
        <v>0</v>
      </c>
      <c r="BZ96" s="1379">
        <f t="shared" si="17"/>
        <v>0</v>
      </c>
      <c r="CA96" s="1379">
        <f t="shared" si="17"/>
        <v>0</v>
      </c>
      <c r="CB96" s="1379">
        <f t="shared" si="17"/>
        <v>0</v>
      </c>
      <c r="CC96" s="1379">
        <f t="shared" si="17"/>
        <v>0</v>
      </c>
      <c r="CD96" s="1379">
        <f t="shared" si="17"/>
        <v>0</v>
      </c>
      <c r="CE96" s="1379">
        <f t="shared" si="17"/>
        <v>0</v>
      </c>
      <c r="CF96" s="1379">
        <f t="shared" si="17"/>
        <v>0</v>
      </c>
      <c r="CG96" s="1379">
        <f t="shared" si="17"/>
        <v>1</v>
      </c>
      <c r="CH96" s="1379">
        <f t="shared" si="17"/>
        <v>0</v>
      </c>
      <c r="CI96" s="1379">
        <f t="shared" ref="CI96:DN96" si="18">SUM(CI11:CI95)</f>
        <v>0</v>
      </c>
      <c r="CJ96" s="1379">
        <f t="shared" si="18"/>
        <v>0</v>
      </c>
      <c r="CK96" s="1379">
        <f t="shared" si="18"/>
        <v>0</v>
      </c>
      <c r="CL96" s="1379">
        <f t="shared" si="18"/>
        <v>0</v>
      </c>
      <c r="CM96" s="1379">
        <f t="shared" si="18"/>
        <v>0</v>
      </c>
      <c r="CN96" s="1379">
        <f t="shared" si="18"/>
        <v>0</v>
      </c>
      <c r="CO96" s="1379">
        <f t="shared" si="18"/>
        <v>2</v>
      </c>
      <c r="CP96" s="1379">
        <f t="shared" si="18"/>
        <v>0</v>
      </c>
      <c r="CQ96" s="1379">
        <f t="shared" si="18"/>
        <v>0</v>
      </c>
      <c r="CR96" s="1379">
        <f t="shared" si="18"/>
        <v>0</v>
      </c>
      <c r="CS96" s="1379">
        <f t="shared" si="18"/>
        <v>0</v>
      </c>
      <c r="CT96" s="1379">
        <f t="shared" si="18"/>
        <v>0</v>
      </c>
      <c r="CU96" s="1379">
        <f t="shared" si="18"/>
        <v>0</v>
      </c>
      <c r="CV96" s="1379">
        <f t="shared" si="18"/>
        <v>0</v>
      </c>
      <c r="CW96" s="1379">
        <f t="shared" si="18"/>
        <v>0</v>
      </c>
      <c r="CX96" s="1379">
        <f t="shared" si="18"/>
        <v>1</v>
      </c>
      <c r="CY96" s="1379">
        <f t="shared" si="18"/>
        <v>0</v>
      </c>
      <c r="CZ96" s="1379">
        <f t="shared" si="18"/>
        <v>0</v>
      </c>
      <c r="DA96" s="1379">
        <f t="shared" si="18"/>
        <v>0</v>
      </c>
      <c r="DB96" s="1379">
        <f t="shared" si="18"/>
        <v>1</v>
      </c>
      <c r="DC96" s="1379">
        <f t="shared" si="18"/>
        <v>0</v>
      </c>
      <c r="DD96" s="1379">
        <f t="shared" si="18"/>
        <v>0</v>
      </c>
      <c r="DE96" s="1379">
        <f t="shared" si="18"/>
        <v>8</v>
      </c>
      <c r="DF96" s="1379">
        <f t="shared" si="18"/>
        <v>6</v>
      </c>
      <c r="DG96" s="1379">
        <f t="shared" si="18"/>
        <v>0</v>
      </c>
      <c r="DH96" s="1379">
        <f t="shared" si="18"/>
        <v>0</v>
      </c>
      <c r="DI96" s="1379">
        <f t="shared" si="18"/>
        <v>0</v>
      </c>
      <c r="DJ96" s="1379">
        <f t="shared" si="18"/>
        <v>1</v>
      </c>
      <c r="DK96" s="1379">
        <f t="shared" si="18"/>
        <v>0</v>
      </c>
      <c r="DL96" s="1379">
        <f t="shared" si="18"/>
        <v>0</v>
      </c>
      <c r="DM96" s="1379">
        <f t="shared" si="18"/>
        <v>2</v>
      </c>
      <c r="DN96" s="1379">
        <f t="shared" si="18"/>
        <v>0</v>
      </c>
      <c r="DO96" s="1379">
        <f t="shared" ref="DO96:ET96" si="19">SUM(DO11:DO95)</f>
        <v>0</v>
      </c>
      <c r="DP96" s="1379">
        <f t="shared" si="19"/>
        <v>0</v>
      </c>
      <c r="DQ96" s="1379">
        <f t="shared" si="19"/>
        <v>0</v>
      </c>
      <c r="DR96" s="1379">
        <f t="shared" si="19"/>
        <v>0</v>
      </c>
      <c r="DS96" s="1379">
        <f t="shared" si="19"/>
        <v>0</v>
      </c>
      <c r="DT96" s="1379">
        <f t="shared" si="19"/>
        <v>0</v>
      </c>
      <c r="DU96" s="1379">
        <f t="shared" si="19"/>
        <v>0</v>
      </c>
      <c r="DV96" s="1379">
        <f t="shared" si="19"/>
        <v>0</v>
      </c>
      <c r="DW96" s="1379">
        <f t="shared" si="19"/>
        <v>0</v>
      </c>
      <c r="DX96" s="1379">
        <f t="shared" si="19"/>
        <v>0</v>
      </c>
      <c r="DY96" s="1379">
        <f t="shared" si="19"/>
        <v>0</v>
      </c>
      <c r="DZ96" s="1379">
        <f t="shared" si="19"/>
        <v>0</v>
      </c>
      <c r="EA96" s="1379">
        <f t="shared" si="19"/>
        <v>0</v>
      </c>
      <c r="EB96" s="1379">
        <f t="shared" si="19"/>
        <v>0</v>
      </c>
      <c r="EC96" s="1379">
        <f t="shared" si="19"/>
        <v>0</v>
      </c>
      <c r="ED96" s="1379">
        <f t="shared" si="19"/>
        <v>0</v>
      </c>
      <c r="EE96" s="1379">
        <f t="shared" si="19"/>
        <v>0</v>
      </c>
      <c r="EF96" s="1379">
        <f t="shared" si="19"/>
        <v>0</v>
      </c>
      <c r="EG96" s="1379">
        <f t="shared" si="19"/>
        <v>2</v>
      </c>
      <c r="EH96" s="1379">
        <f t="shared" si="19"/>
        <v>0</v>
      </c>
      <c r="EI96" s="1379">
        <f t="shared" si="19"/>
        <v>6</v>
      </c>
      <c r="EJ96" s="1379">
        <f t="shared" si="19"/>
        <v>0</v>
      </c>
      <c r="EK96" s="1379">
        <f t="shared" si="19"/>
        <v>0</v>
      </c>
      <c r="EL96" s="1379">
        <f t="shared" si="19"/>
        <v>0</v>
      </c>
      <c r="EM96" s="1379">
        <f t="shared" si="19"/>
        <v>0</v>
      </c>
      <c r="EN96" s="1379">
        <f t="shared" si="19"/>
        <v>0</v>
      </c>
      <c r="EO96" s="1379">
        <f t="shared" si="19"/>
        <v>6</v>
      </c>
      <c r="EP96" s="1379">
        <f t="shared" si="19"/>
        <v>0</v>
      </c>
      <c r="EQ96" s="1379">
        <f t="shared" si="19"/>
        <v>0</v>
      </c>
      <c r="ER96" s="1379">
        <f t="shared" si="19"/>
        <v>0</v>
      </c>
      <c r="ES96" s="1379">
        <f t="shared" si="19"/>
        <v>0</v>
      </c>
      <c r="ET96" s="1379">
        <f t="shared" si="19"/>
        <v>0</v>
      </c>
      <c r="EU96" s="1379">
        <f t="shared" ref="EU96:FZ96" si="20">SUM(EU11:EU95)</f>
        <v>0</v>
      </c>
      <c r="EV96" s="1379">
        <f t="shared" si="20"/>
        <v>0</v>
      </c>
      <c r="EW96" s="1379">
        <f t="shared" si="20"/>
        <v>0</v>
      </c>
      <c r="EX96" s="1379">
        <f t="shared" si="20"/>
        <v>3</v>
      </c>
      <c r="EY96" s="1379">
        <f t="shared" si="20"/>
        <v>6</v>
      </c>
      <c r="EZ96" s="1379">
        <f t="shared" si="20"/>
        <v>2</v>
      </c>
      <c r="FA96" s="1379">
        <f t="shared" si="20"/>
        <v>0</v>
      </c>
      <c r="FB96" s="1379">
        <f t="shared" si="20"/>
        <v>0</v>
      </c>
      <c r="FC96" s="1379">
        <f t="shared" si="20"/>
        <v>1</v>
      </c>
      <c r="FD96" s="1379">
        <f t="shared" si="20"/>
        <v>1</v>
      </c>
      <c r="FE96" s="1379">
        <f t="shared" si="20"/>
        <v>0</v>
      </c>
      <c r="FF96" s="1379">
        <f t="shared" si="20"/>
        <v>0</v>
      </c>
      <c r="FG96" s="1379">
        <f t="shared" si="20"/>
        <v>0</v>
      </c>
      <c r="FH96" s="1379">
        <f t="shared" si="20"/>
        <v>0</v>
      </c>
      <c r="FI96" s="1379">
        <f t="shared" si="20"/>
        <v>3</v>
      </c>
      <c r="FJ96" s="1379">
        <f t="shared" si="20"/>
        <v>0</v>
      </c>
      <c r="FK96" s="1379">
        <f t="shared" si="20"/>
        <v>0</v>
      </c>
      <c r="FL96" s="1379">
        <f t="shared" si="20"/>
        <v>0</v>
      </c>
      <c r="FM96" s="1379">
        <f t="shared" si="20"/>
        <v>0</v>
      </c>
      <c r="FN96" s="1379">
        <f t="shared" si="20"/>
        <v>0</v>
      </c>
      <c r="FO96" s="1379">
        <f t="shared" si="20"/>
        <v>0</v>
      </c>
      <c r="FP96" s="1379">
        <f t="shared" si="20"/>
        <v>0</v>
      </c>
      <c r="FQ96" s="1379">
        <f t="shared" si="20"/>
        <v>0</v>
      </c>
      <c r="FR96" s="1379">
        <f t="shared" si="20"/>
        <v>0</v>
      </c>
      <c r="FS96" s="1379">
        <f t="shared" si="20"/>
        <v>0</v>
      </c>
      <c r="FT96" s="1379">
        <f t="shared" ref="FT96:GK96" si="21">SUM(FT11:FT95)</f>
        <v>0</v>
      </c>
      <c r="FU96" s="1379">
        <f t="shared" si="21"/>
        <v>0</v>
      </c>
      <c r="FV96" s="1379">
        <f t="shared" si="21"/>
        <v>0</v>
      </c>
      <c r="FW96" s="1379">
        <f t="shared" si="21"/>
        <v>0</v>
      </c>
      <c r="FX96" s="1379">
        <f t="shared" si="21"/>
        <v>0</v>
      </c>
      <c r="FY96" s="1379">
        <f t="shared" si="21"/>
        <v>0</v>
      </c>
      <c r="FZ96" s="1379">
        <f t="shared" si="21"/>
        <v>0</v>
      </c>
      <c r="GA96" s="1379">
        <f t="shared" si="21"/>
        <v>0</v>
      </c>
      <c r="GB96" s="1379">
        <f t="shared" si="21"/>
        <v>0</v>
      </c>
      <c r="GC96" s="1379">
        <f t="shared" si="21"/>
        <v>0</v>
      </c>
      <c r="GD96" s="1379">
        <f t="shared" si="21"/>
        <v>0</v>
      </c>
      <c r="GE96" s="1379">
        <f t="shared" si="21"/>
        <v>0</v>
      </c>
      <c r="GF96" s="1379">
        <f t="shared" si="21"/>
        <v>0</v>
      </c>
      <c r="GG96" s="1379">
        <f t="shared" si="21"/>
        <v>0</v>
      </c>
      <c r="GH96" s="1379">
        <f t="shared" si="21"/>
        <v>0</v>
      </c>
      <c r="GI96" s="1379">
        <f t="shared" si="21"/>
        <v>0</v>
      </c>
      <c r="GJ96" s="1379">
        <f t="shared" si="21"/>
        <v>0</v>
      </c>
      <c r="GK96" s="1379">
        <f t="shared" si="21"/>
        <v>0</v>
      </c>
      <c r="GL96" s="1380"/>
      <c r="GM96"/>
      <c r="GN96"/>
    </row>
    <row r="97" spans="2:64" ht="17.399999999999999" thickTop="1">
      <c r="W97" s="471"/>
      <c r="X97" s="471"/>
      <c r="Y97" s="471"/>
      <c r="Z97" s="471"/>
      <c r="AA97" s="471"/>
      <c r="AB97" s="471"/>
      <c r="AC97" s="471"/>
      <c r="BG97" s="471"/>
      <c r="BH97" s="471"/>
      <c r="BI97" s="471"/>
      <c r="BJ97" s="471"/>
      <c r="BK97" s="471"/>
      <c r="BL97" s="471"/>
    </row>
    <row r="98" spans="2:64" ht="16.8">
      <c r="W98" s="471"/>
      <c r="X98" s="471"/>
      <c r="Y98" s="471"/>
      <c r="Z98" s="471"/>
      <c r="AA98" s="471"/>
      <c r="AB98" s="471"/>
      <c r="AC98" s="471"/>
      <c r="BG98" s="471"/>
      <c r="BH98" s="471"/>
      <c r="BI98" s="471"/>
      <c r="BJ98" s="471"/>
      <c r="BK98" s="471"/>
      <c r="BL98" s="471"/>
    </row>
    <row r="99" spans="2:64" ht="16.8">
      <c r="B99" s="787"/>
      <c r="C99" s="789"/>
      <c r="W99" s="471"/>
      <c r="X99" s="471"/>
      <c r="Y99" s="471"/>
      <c r="Z99" s="471"/>
      <c r="AA99" s="471"/>
      <c r="AB99" s="471"/>
      <c r="AC99" s="471"/>
      <c r="BG99" s="471"/>
      <c r="BH99" s="471"/>
      <c r="BI99" s="471"/>
      <c r="BJ99" s="471"/>
      <c r="BK99" s="471"/>
      <c r="BL99" s="471"/>
    </row>
    <row r="100" spans="2:64" ht="16.8">
      <c r="B100" s="787"/>
      <c r="C100" s="789"/>
      <c r="W100" s="471"/>
      <c r="X100" s="471"/>
      <c r="Y100" s="471"/>
      <c r="Z100" s="471"/>
      <c r="AA100" s="471"/>
      <c r="AB100" s="471"/>
      <c r="AC100" s="471"/>
      <c r="BG100" s="471"/>
      <c r="BH100" s="471"/>
      <c r="BI100" s="471"/>
      <c r="BJ100" s="471"/>
      <c r="BK100" s="471"/>
      <c r="BL100" s="471"/>
    </row>
    <row r="101" spans="2:64" ht="16.8">
      <c r="B101" s="787"/>
      <c r="C101" s="789"/>
      <c r="W101" s="471"/>
      <c r="X101" s="471"/>
      <c r="Y101" s="471"/>
      <c r="Z101" s="471"/>
      <c r="AA101" s="471"/>
      <c r="AB101" s="471"/>
      <c r="AC101" s="471"/>
      <c r="BG101" s="471"/>
      <c r="BH101" s="471"/>
      <c r="BI101" s="471"/>
      <c r="BJ101" s="471"/>
      <c r="BK101" s="471"/>
      <c r="BL101" s="471"/>
    </row>
    <row r="102" spans="2:64" ht="16.8">
      <c r="W102" s="471"/>
      <c r="X102" s="471"/>
      <c r="Y102" s="471"/>
      <c r="Z102" s="471"/>
      <c r="AA102" s="471"/>
      <c r="AB102" s="471"/>
      <c r="AC102" s="471"/>
      <c r="BG102" s="471"/>
      <c r="BH102" s="471"/>
      <c r="BI102" s="471"/>
      <c r="BJ102" s="471"/>
      <c r="BK102" s="471"/>
      <c r="BL102" s="471"/>
    </row>
    <row r="103" spans="2:64" ht="16.8">
      <c r="W103" s="471"/>
      <c r="X103" s="471"/>
      <c r="Y103" s="471"/>
      <c r="Z103" s="471"/>
      <c r="AA103" s="471"/>
      <c r="AB103" s="471"/>
      <c r="AC103" s="471"/>
      <c r="BG103" s="471"/>
      <c r="BH103" s="471"/>
      <c r="BI103" s="471"/>
      <c r="BJ103" s="471"/>
      <c r="BK103" s="471"/>
      <c r="BL103" s="471"/>
    </row>
    <row r="104" spans="2:64" ht="16.8">
      <c r="W104" s="471"/>
      <c r="X104" s="471"/>
      <c r="Y104" s="471"/>
      <c r="Z104" s="471"/>
      <c r="AA104" s="471"/>
      <c r="AB104" s="471"/>
      <c r="AC104" s="471"/>
      <c r="BG104" s="471"/>
      <c r="BH104" s="471"/>
      <c r="BI104" s="471"/>
      <c r="BJ104" s="471"/>
      <c r="BK104" s="471"/>
      <c r="BL104" s="471"/>
    </row>
    <row r="105" spans="2:64" ht="16.8">
      <c r="W105" s="471"/>
      <c r="X105" s="471"/>
      <c r="Y105" s="471"/>
      <c r="Z105" s="471"/>
      <c r="AA105" s="471"/>
      <c r="AB105" s="471"/>
      <c r="AC105" s="471"/>
      <c r="BG105" s="471"/>
      <c r="BH105" s="471"/>
      <c r="BI105" s="471"/>
      <c r="BJ105" s="471"/>
      <c r="BK105" s="471"/>
      <c r="BL105" s="471"/>
    </row>
    <row r="106" spans="2:64" ht="16.8">
      <c r="W106" s="471"/>
      <c r="X106" s="471"/>
      <c r="Y106" s="471"/>
      <c r="Z106" s="471"/>
      <c r="AA106" s="471"/>
      <c r="AB106" s="471"/>
      <c r="AC106" s="471"/>
      <c r="BG106" s="471"/>
      <c r="BH106" s="471"/>
      <c r="BI106" s="471"/>
      <c r="BJ106" s="471"/>
      <c r="BK106" s="471"/>
      <c r="BL106" s="471"/>
    </row>
    <row r="107" spans="2:64" ht="16.8">
      <c r="W107" s="471"/>
      <c r="X107" s="471"/>
      <c r="Y107" s="471"/>
      <c r="Z107" s="471"/>
      <c r="AA107" s="471"/>
      <c r="AB107" s="471"/>
      <c r="AC107" s="471"/>
      <c r="BG107" s="471"/>
      <c r="BH107" s="471"/>
      <c r="BI107" s="471"/>
      <c r="BJ107" s="471"/>
      <c r="BK107" s="471"/>
      <c r="BL107" s="471"/>
    </row>
    <row r="108" spans="2:64" ht="16.8">
      <c r="W108" s="471"/>
      <c r="X108" s="471"/>
      <c r="Y108" s="471"/>
      <c r="Z108" s="471"/>
      <c r="AA108" s="471"/>
      <c r="AB108" s="471"/>
      <c r="AC108" s="471"/>
      <c r="BG108" s="471"/>
      <c r="BH108" s="471"/>
      <c r="BI108" s="471"/>
      <c r="BJ108" s="471"/>
      <c r="BK108" s="471"/>
      <c r="BL108" s="471"/>
    </row>
    <row r="109" spans="2:64" ht="16.8">
      <c r="W109" s="471"/>
      <c r="X109" s="471"/>
      <c r="Y109" s="471"/>
      <c r="Z109" s="471"/>
      <c r="AA109" s="471"/>
      <c r="AB109" s="471"/>
      <c r="AC109" s="471"/>
      <c r="BG109" s="471"/>
      <c r="BH109" s="471"/>
      <c r="BI109" s="471"/>
      <c r="BJ109" s="471"/>
      <c r="BK109" s="471"/>
      <c r="BL109" s="471"/>
    </row>
    <row r="110" spans="2:64" ht="16.8">
      <c r="W110" s="471"/>
      <c r="X110" s="471"/>
      <c r="Y110" s="471"/>
      <c r="Z110" s="471"/>
      <c r="AA110" s="471"/>
      <c r="AB110" s="471"/>
      <c r="AC110" s="471"/>
      <c r="BG110" s="471"/>
      <c r="BH110" s="471"/>
      <c r="BI110" s="471"/>
      <c r="BJ110" s="471"/>
      <c r="BK110" s="471"/>
      <c r="BL110" s="471"/>
    </row>
    <row r="111" spans="2:64" ht="16.8">
      <c r="W111" s="471"/>
      <c r="X111" s="471"/>
      <c r="Y111" s="471"/>
      <c r="Z111" s="471"/>
      <c r="AA111" s="471"/>
      <c r="AB111" s="471"/>
      <c r="AC111" s="471"/>
      <c r="BG111" s="471"/>
      <c r="BH111" s="471"/>
      <c r="BI111" s="471"/>
      <c r="BJ111" s="471"/>
      <c r="BK111" s="471"/>
      <c r="BL111" s="471"/>
    </row>
    <row r="112" spans="2:64" ht="16.8">
      <c r="W112" s="471"/>
      <c r="X112" s="471"/>
      <c r="Y112" s="471"/>
      <c r="Z112" s="471"/>
      <c r="AA112" s="471"/>
      <c r="AB112" s="471"/>
      <c r="AC112" s="471"/>
      <c r="BG112" s="471"/>
      <c r="BH112" s="471"/>
      <c r="BI112" s="471"/>
      <c r="BJ112" s="471"/>
      <c r="BK112" s="471"/>
      <c r="BL112" s="471"/>
    </row>
    <row r="113" spans="23:64" ht="16.8">
      <c r="W113" s="471"/>
      <c r="X113" s="471"/>
      <c r="Y113" s="471"/>
      <c r="Z113" s="471"/>
      <c r="AA113" s="471"/>
      <c r="AB113" s="471"/>
      <c r="AC113" s="471"/>
      <c r="BG113" s="471"/>
      <c r="BH113" s="471"/>
      <c r="BI113" s="471"/>
      <c r="BJ113" s="471"/>
      <c r="BK113" s="471"/>
      <c r="BL113" s="471"/>
    </row>
    <row r="114" spans="23:64" ht="16.8">
      <c r="W114" s="471"/>
      <c r="X114" s="471"/>
      <c r="Y114" s="471"/>
      <c r="Z114" s="471"/>
      <c r="AA114" s="471"/>
      <c r="AB114" s="471"/>
      <c r="AC114" s="471"/>
      <c r="BG114" s="471"/>
      <c r="BH114" s="471"/>
      <c r="BI114" s="471"/>
      <c r="BJ114" s="471"/>
      <c r="BK114" s="471"/>
      <c r="BL114" s="471"/>
    </row>
    <row r="115" spans="23:64" ht="16.8">
      <c r="W115" s="471"/>
      <c r="X115" s="471"/>
      <c r="Y115" s="471"/>
      <c r="Z115" s="471"/>
      <c r="AA115" s="471"/>
      <c r="AB115" s="471"/>
      <c r="AC115" s="471"/>
      <c r="BG115" s="471"/>
      <c r="BH115" s="471"/>
      <c r="BI115" s="471"/>
      <c r="BJ115" s="471"/>
      <c r="BK115" s="471"/>
      <c r="BL115" s="471"/>
    </row>
    <row r="116" spans="23:64" ht="16.8">
      <c r="W116" s="471"/>
      <c r="X116" s="471"/>
      <c r="Y116" s="471"/>
      <c r="Z116" s="471"/>
      <c r="AA116" s="471"/>
      <c r="AB116" s="471"/>
      <c r="AC116" s="471"/>
      <c r="BG116" s="471"/>
      <c r="BH116" s="471"/>
      <c r="BI116" s="471"/>
      <c r="BJ116" s="471"/>
      <c r="BK116" s="471"/>
      <c r="BL116" s="471"/>
    </row>
    <row r="117" spans="23:64" ht="16.8">
      <c r="W117" s="471"/>
      <c r="X117" s="471"/>
      <c r="Y117" s="471"/>
      <c r="Z117" s="471"/>
      <c r="AA117" s="471"/>
      <c r="AB117" s="471"/>
      <c r="AC117" s="471"/>
      <c r="BG117" s="471"/>
      <c r="BH117" s="471"/>
      <c r="BI117" s="471"/>
      <c r="BJ117" s="471"/>
      <c r="BK117" s="471"/>
      <c r="BL117" s="471"/>
    </row>
    <row r="118" spans="23:64" ht="16.8">
      <c r="W118" s="471"/>
      <c r="X118" s="471"/>
      <c r="Y118" s="471"/>
      <c r="Z118" s="471"/>
      <c r="AA118" s="471"/>
      <c r="AB118" s="471"/>
      <c r="AC118" s="471"/>
      <c r="BG118" s="471"/>
      <c r="BH118" s="471"/>
      <c r="BI118" s="471"/>
      <c r="BJ118" s="471"/>
      <c r="BK118" s="471"/>
      <c r="BL118" s="471"/>
    </row>
    <row r="119" spans="23:64" ht="16.8">
      <c r="W119" s="471"/>
      <c r="X119" s="471"/>
      <c r="Y119" s="471"/>
      <c r="Z119" s="471"/>
      <c r="AA119" s="471"/>
      <c r="AB119" s="471"/>
      <c r="AC119" s="471"/>
      <c r="BG119" s="471"/>
      <c r="BH119" s="471"/>
      <c r="BI119" s="471"/>
      <c r="BJ119" s="471"/>
      <c r="BK119" s="471"/>
      <c r="BL119" s="471"/>
    </row>
    <row r="120" spans="23:64" ht="18.899999999999999" customHeight="1">
      <c r="W120" s="471"/>
      <c r="X120" s="471"/>
      <c r="Y120" s="471"/>
      <c r="Z120" s="471"/>
      <c r="AA120" s="471"/>
      <c r="AB120" s="471"/>
      <c r="AC120" s="471"/>
      <c r="BG120" s="471"/>
      <c r="BH120" s="471"/>
      <c r="BI120" s="471"/>
      <c r="BJ120" s="471"/>
      <c r="BK120" s="471"/>
      <c r="BL120" s="471"/>
    </row>
    <row r="121" spans="23:64" ht="18.899999999999999" customHeight="1">
      <c r="W121" s="471"/>
      <c r="X121" s="471"/>
      <c r="Y121" s="471"/>
      <c r="Z121" s="471"/>
      <c r="AA121" s="471"/>
      <c r="AB121" s="471"/>
      <c r="AC121" s="471"/>
      <c r="BG121" s="471"/>
      <c r="BH121" s="471"/>
      <c r="BI121" s="471"/>
      <c r="BJ121" s="471"/>
      <c r="BK121" s="471"/>
      <c r="BL121" s="471"/>
    </row>
    <row r="122" spans="23:64" ht="18.899999999999999" customHeight="1">
      <c r="W122" s="471"/>
      <c r="X122" s="471"/>
      <c r="Y122" s="471"/>
      <c r="Z122" s="471"/>
      <c r="AA122" s="471"/>
      <c r="AB122" s="471"/>
      <c r="AC122" s="471"/>
      <c r="BG122" s="471"/>
      <c r="BH122" s="471"/>
      <c r="BI122" s="471"/>
      <c r="BJ122" s="471"/>
      <c r="BK122" s="471"/>
      <c r="BL122" s="471"/>
    </row>
    <row r="123" spans="23:64" ht="18.899999999999999" customHeight="1">
      <c r="W123" s="471"/>
      <c r="X123" s="471"/>
      <c r="Y123" s="471"/>
      <c r="Z123" s="471"/>
      <c r="AA123" s="471"/>
      <c r="AB123" s="471"/>
      <c r="AC123" s="471"/>
      <c r="BG123" s="471"/>
      <c r="BH123" s="471"/>
      <c r="BI123" s="471"/>
      <c r="BJ123" s="471"/>
      <c r="BK123" s="471"/>
      <c r="BL123" s="471"/>
    </row>
    <row r="124" spans="23:64" ht="18.899999999999999" customHeight="1">
      <c r="W124" s="471"/>
      <c r="X124" s="471"/>
      <c r="Y124" s="471"/>
      <c r="Z124" s="471"/>
      <c r="AA124" s="471"/>
      <c r="AB124" s="471"/>
      <c r="AC124" s="471"/>
      <c r="BG124" s="471"/>
      <c r="BH124" s="471"/>
      <c r="BI124" s="471"/>
      <c r="BJ124" s="471"/>
      <c r="BK124" s="471"/>
      <c r="BL124" s="471"/>
    </row>
    <row r="125" spans="23:64" ht="18.899999999999999" customHeight="1">
      <c r="W125" s="471"/>
      <c r="X125" s="471"/>
      <c r="Y125" s="471"/>
      <c r="Z125" s="471"/>
      <c r="AA125" s="471"/>
      <c r="AB125" s="471"/>
      <c r="AC125" s="471"/>
      <c r="BG125" s="471"/>
      <c r="BH125" s="471"/>
      <c r="BI125" s="471"/>
      <c r="BJ125" s="471"/>
      <c r="BK125" s="471"/>
      <c r="BL125" s="471"/>
    </row>
    <row r="126" spans="23:64" ht="18.899999999999999" customHeight="1">
      <c r="W126" s="471"/>
      <c r="X126" s="471"/>
      <c r="Y126" s="471"/>
      <c r="Z126" s="471"/>
      <c r="AA126" s="471"/>
      <c r="AB126" s="471"/>
      <c r="AC126" s="471"/>
      <c r="BG126" s="471"/>
      <c r="BH126" s="471"/>
      <c r="BI126" s="471"/>
      <c r="BJ126" s="471"/>
      <c r="BK126" s="471"/>
      <c r="BL126" s="471"/>
    </row>
    <row r="127" spans="23:64" ht="18.899999999999999" customHeight="1">
      <c r="W127" s="471"/>
      <c r="X127" s="471"/>
      <c r="Y127" s="471"/>
      <c r="Z127" s="471"/>
      <c r="AA127" s="471"/>
      <c r="AB127" s="471"/>
      <c r="AC127" s="471"/>
      <c r="BG127" s="471"/>
      <c r="BH127" s="471"/>
      <c r="BI127" s="471"/>
      <c r="BJ127" s="471"/>
      <c r="BK127" s="471"/>
      <c r="BL127" s="471"/>
    </row>
    <row r="128" spans="23:64" ht="18.899999999999999" customHeight="1">
      <c r="W128" s="471"/>
      <c r="X128" s="471"/>
      <c r="Y128" s="471"/>
      <c r="Z128" s="471"/>
      <c r="AA128" s="471"/>
      <c r="AB128" s="471"/>
      <c r="AC128" s="471"/>
      <c r="BG128" s="471"/>
      <c r="BH128" s="471"/>
      <c r="BI128" s="471"/>
      <c r="BJ128" s="471"/>
      <c r="BK128" s="471"/>
      <c r="BL128" s="471"/>
    </row>
    <row r="129" spans="23:64" ht="18.899999999999999" customHeight="1">
      <c r="W129" s="471"/>
      <c r="X129" s="471"/>
      <c r="Y129" s="471"/>
      <c r="Z129" s="471"/>
      <c r="AA129" s="471"/>
      <c r="AB129" s="471"/>
      <c r="AC129" s="471"/>
      <c r="BG129" s="471"/>
      <c r="BH129" s="471"/>
      <c r="BI129" s="471"/>
      <c r="BJ129" s="471"/>
      <c r="BK129" s="471"/>
      <c r="BL129" s="471"/>
    </row>
    <row r="130" spans="23:64" ht="18.899999999999999" customHeight="1">
      <c r="W130" s="471"/>
      <c r="X130" s="471"/>
      <c r="Y130" s="471"/>
      <c r="Z130" s="471"/>
      <c r="AA130" s="471"/>
      <c r="AB130" s="471"/>
      <c r="AC130" s="471"/>
      <c r="BG130" s="471"/>
      <c r="BH130" s="471"/>
      <c r="BI130" s="471"/>
      <c r="BJ130" s="471"/>
      <c r="BK130" s="471"/>
      <c r="BL130" s="471"/>
    </row>
    <row r="131" spans="23:64" ht="18.899999999999999" customHeight="1">
      <c r="W131" s="471"/>
      <c r="X131" s="471"/>
      <c r="Y131" s="471"/>
      <c r="Z131" s="471"/>
      <c r="AA131" s="471"/>
      <c r="AB131" s="471"/>
      <c r="AC131" s="471"/>
      <c r="BG131" s="471"/>
      <c r="BH131" s="471"/>
      <c r="BI131" s="471"/>
      <c r="BJ131" s="471"/>
      <c r="BK131" s="471"/>
      <c r="BL131" s="471"/>
    </row>
    <row r="132" spans="23:64" ht="18.899999999999999" customHeight="1">
      <c r="W132" s="471"/>
      <c r="X132" s="471"/>
      <c r="Y132" s="471"/>
      <c r="Z132" s="471"/>
      <c r="AA132" s="471"/>
      <c r="AB132" s="471"/>
      <c r="AC132" s="471"/>
      <c r="BG132" s="471"/>
      <c r="BH132" s="471"/>
      <c r="BI132" s="471"/>
      <c r="BJ132" s="471"/>
      <c r="BK132" s="471"/>
      <c r="BL132" s="471"/>
    </row>
    <row r="133" spans="23:64" ht="18.899999999999999" customHeight="1">
      <c r="W133" s="471"/>
      <c r="X133" s="471"/>
      <c r="Y133" s="471"/>
      <c r="Z133" s="471"/>
      <c r="AA133" s="471"/>
      <c r="AB133" s="471"/>
      <c r="AC133" s="471"/>
      <c r="BG133" s="471"/>
      <c r="BH133" s="471"/>
      <c r="BI133" s="471"/>
      <c r="BJ133" s="471"/>
      <c r="BK133" s="471"/>
      <c r="BL133" s="471"/>
    </row>
    <row r="134" spans="23:64" ht="18.899999999999999" customHeight="1">
      <c r="W134" s="471"/>
      <c r="X134" s="471"/>
      <c r="Y134" s="471"/>
      <c r="Z134" s="471"/>
      <c r="AA134" s="471"/>
      <c r="AB134" s="471"/>
      <c r="AC134" s="471"/>
      <c r="BG134" s="471"/>
      <c r="BH134" s="471"/>
      <c r="BI134" s="471"/>
      <c r="BJ134" s="471"/>
      <c r="BK134" s="471"/>
      <c r="BL134" s="471"/>
    </row>
    <row r="135" spans="23:64" ht="18.899999999999999" customHeight="1">
      <c r="W135" s="471"/>
      <c r="X135" s="471"/>
      <c r="Y135" s="471"/>
      <c r="Z135" s="471"/>
      <c r="AA135" s="471"/>
      <c r="AB135" s="471"/>
      <c r="AC135" s="471"/>
      <c r="BG135" s="471"/>
      <c r="BH135" s="471"/>
      <c r="BI135" s="471"/>
      <c r="BJ135" s="471"/>
      <c r="BK135" s="471"/>
      <c r="BL135" s="471"/>
    </row>
    <row r="136" spans="23:64" ht="18.899999999999999" customHeight="1">
      <c r="W136" s="471"/>
      <c r="X136" s="471"/>
      <c r="Y136" s="471"/>
      <c r="Z136" s="471"/>
      <c r="AA136" s="471"/>
      <c r="AB136" s="471"/>
      <c r="AC136" s="471"/>
      <c r="BG136" s="471"/>
      <c r="BH136" s="471"/>
      <c r="BI136" s="471"/>
      <c r="BJ136" s="471"/>
      <c r="BK136" s="471"/>
      <c r="BL136" s="471"/>
    </row>
    <row r="137" spans="23:64" ht="18.899999999999999" customHeight="1">
      <c r="W137" s="471"/>
      <c r="X137" s="471"/>
      <c r="Y137" s="471"/>
      <c r="Z137" s="471"/>
      <c r="AA137" s="471"/>
      <c r="AB137" s="471"/>
      <c r="AC137" s="471"/>
      <c r="BG137" s="471"/>
      <c r="BH137" s="471"/>
      <c r="BI137" s="471"/>
      <c r="BJ137" s="471"/>
      <c r="BK137" s="471"/>
      <c r="BL137" s="471"/>
    </row>
    <row r="138" spans="23:64" ht="18.899999999999999" customHeight="1">
      <c r="W138" s="471"/>
      <c r="X138" s="471"/>
      <c r="Y138" s="471"/>
      <c r="Z138" s="471"/>
      <c r="AA138" s="471"/>
      <c r="AB138" s="471"/>
      <c r="AC138" s="471"/>
      <c r="BG138" s="471"/>
      <c r="BH138" s="471"/>
      <c r="BI138" s="471"/>
      <c r="BJ138" s="471"/>
      <c r="BK138" s="471"/>
      <c r="BL138" s="471"/>
    </row>
    <row r="139" spans="23:64" ht="18.899999999999999" customHeight="1">
      <c r="W139" s="471"/>
      <c r="X139" s="471"/>
      <c r="Y139" s="471"/>
      <c r="Z139" s="471"/>
      <c r="AA139" s="471"/>
      <c r="AB139" s="471"/>
      <c r="AC139" s="471"/>
      <c r="BG139" s="471"/>
      <c r="BH139" s="471"/>
      <c r="BI139" s="471"/>
      <c r="BJ139" s="471"/>
      <c r="BK139" s="471"/>
      <c r="BL139" s="471"/>
    </row>
    <row r="140" spans="23:64" ht="18.899999999999999" customHeight="1">
      <c r="W140" s="471"/>
      <c r="X140" s="471"/>
      <c r="Y140" s="471"/>
      <c r="Z140" s="471"/>
      <c r="AA140" s="471"/>
      <c r="AB140" s="471"/>
      <c r="AC140" s="471"/>
      <c r="BG140" s="471"/>
      <c r="BH140" s="471"/>
      <c r="BI140" s="471"/>
      <c r="BJ140" s="471"/>
      <c r="BK140" s="471"/>
      <c r="BL140" s="471"/>
    </row>
    <row r="141" spans="23:64" ht="18.899999999999999" customHeight="1">
      <c r="W141" s="471"/>
      <c r="X141" s="471"/>
      <c r="Y141" s="471"/>
      <c r="Z141" s="471"/>
      <c r="AA141" s="471"/>
      <c r="AB141" s="471"/>
      <c r="AC141" s="471"/>
      <c r="BG141" s="471"/>
      <c r="BH141" s="471"/>
      <c r="BI141" s="471"/>
      <c r="BJ141" s="471"/>
      <c r="BK141" s="471"/>
      <c r="BL141" s="471"/>
    </row>
    <row r="142" spans="23:64" ht="18.899999999999999" customHeight="1">
      <c r="W142" s="471"/>
      <c r="X142" s="471"/>
      <c r="Y142" s="471"/>
      <c r="Z142" s="471"/>
      <c r="AA142" s="471"/>
      <c r="AB142" s="471"/>
      <c r="AC142" s="471"/>
      <c r="BG142" s="471"/>
      <c r="BH142" s="471"/>
      <c r="BI142" s="471"/>
      <c r="BJ142" s="471"/>
      <c r="BK142" s="471"/>
      <c r="BL142" s="471"/>
    </row>
    <row r="143" spans="23:64" ht="18.899999999999999" customHeight="1">
      <c r="W143" s="471"/>
      <c r="X143" s="471"/>
      <c r="Y143" s="471"/>
      <c r="Z143" s="471"/>
      <c r="AA143" s="471"/>
      <c r="AB143" s="471"/>
      <c r="AC143" s="471"/>
      <c r="BG143" s="471"/>
      <c r="BH143" s="471"/>
      <c r="BI143" s="471"/>
      <c r="BJ143" s="471"/>
      <c r="BK143" s="471"/>
      <c r="BL143" s="471"/>
    </row>
    <row r="144" spans="23:64" ht="18.899999999999999" customHeight="1">
      <c r="W144" s="471"/>
      <c r="X144" s="471"/>
      <c r="Y144" s="471"/>
      <c r="Z144" s="471"/>
      <c r="AA144" s="471"/>
      <c r="AB144" s="471"/>
      <c r="AC144" s="471"/>
      <c r="BG144" s="471"/>
      <c r="BH144" s="471"/>
      <c r="BI144" s="471"/>
      <c r="BJ144" s="471"/>
      <c r="BK144" s="471"/>
      <c r="BL144" s="471"/>
    </row>
    <row r="145" spans="23:64" ht="18.899999999999999" customHeight="1">
      <c r="W145" s="471"/>
      <c r="X145" s="471"/>
      <c r="Y145" s="471"/>
      <c r="Z145" s="471"/>
      <c r="AA145" s="471"/>
      <c r="AB145" s="471"/>
      <c r="AC145" s="471"/>
      <c r="BG145" s="471"/>
      <c r="BH145" s="471"/>
      <c r="BI145" s="471"/>
      <c r="BJ145" s="471"/>
      <c r="BK145" s="471"/>
      <c r="BL145" s="471"/>
    </row>
    <row r="146" spans="23:64" ht="18.899999999999999" customHeight="1">
      <c r="W146" s="471"/>
      <c r="X146" s="471"/>
      <c r="Y146" s="471"/>
      <c r="Z146" s="471"/>
      <c r="AA146" s="471"/>
      <c r="AB146" s="471"/>
      <c r="AC146" s="471"/>
      <c r="BG146" s="471"/>
      <c r="BH146" s="471"/>
      <c r="BI146" s="471"/>
      <c r="BJ146" s="471"/>
      <c r="BK146" s="471"/>
      <c r="BL146" s="471"/>
    </row>
    <row r="147" spans="23:64" ht="18.899999999999999" customHeight="1">
      <c r="W147" s="471"/>
      <c r="X147" s="471"/>
      <c r="Y147" s="471"/>
      <c r="Z147" s="471"/>
      <c r="AA147" s="471"/>
      <c r="AB147" s="471"/>
      <c r="AC147" s="471"/>
      <c r="BG147" s="471"/>
      <c r="BH147" s="471"/>
      <c r="BI147" s="471"/>
      <c r="BJ147" s="471"/>
      <c r="BK147" s="471"/>
      <c r="BL147" s="471"/>
    </row>
    <row r="148" spans="23:64" ht="18.899999999999999" customHeight="1">
      <c r="W148" s="471"/>
      <c r="X148" s="471"/>
      <c r="Y148" s="471"/>
      <c r="Z148" s="471"/>
      <c r="AA148" s="471"/>
      <c r="AB148" s="471"/>
      <c r="AC148" s="471"/>
      <c r="BG148" s="471"/>
      <c r="BH148" s="471"/>
      <c r="BI148" s="471"/>
      <c r="BJ148" s="471"/>
      <c r="BK148" s="471"/>
      <c r="BL148" s="471"/>
    </row>
    <row r="149" spans="23:64" ht="18.899999999999999" customHeight="1">
      <c r="W149" s="471"/>
      <c r="X149" s="471"/>
      <c r="Y149" s="471"/>
      <c r="Z149" s="471"/>
      <c r="AA149" s="471"/>
      <c r="AB149" s="471"/>
      <c r="AC149" s="471"/>
      <c r="BG149" s="471"/>
      <c r="BH149" s="471"/>
      <c r="BI149" s="471"/>
      <c r="BJ149" s="471"/>
      <c r="BK149" s="471"/>
      <c r="BL149" s="471"/>
    </row>
    <row r="150" spans="23:64" ht="18.899999999999999" customHeight="1">
      <c r="W150" s="471"/>
      <c r="X150" s="471"/>
      <c r="Y150" s="471"/>
      <c r="Z150" s="471"/>
      <c r="AA150" s="471"/>
      <c r="AB150" s="471"/>
      <c r="AC150" s="471"/>
      <c r="BG150" s="471"/>
      <c r="BH150" s="471"/>
      <c r="BI150" s="471"/>
      <c r="BJ150" s="471"/>
      <c r="BK150" s="471"/>
      <c r="BL150" s="471"/>
    </row>
    <row r="151" spans="23:64" ht="18.899999999999999" customHeight="1">
      <c r="W151" s="471"/>
      <c r="X151" s="471"/>
      <c r="Y151" s="471"/>
      <c r="Z151" s="471"/>
      <c r="AA151" s="471"/>
      <c r="AB151" s="471"/>
      <c r="AC151" s="471"/>
      <c r="BG151" s="471"/>
      <c r="BH151" s="471"/>
      <c r="BI151" s="471"/>
      <c r="BJ151" s="471"/>
      <c r="BK151" s="471"/>
      <c r="BL151" s="471"/>
    </row>
    <row r="152" spans="23:64" ht="18.899999999999999" customHeight="1">
      <c r="W152" s="471"/>
      <c r="X152" s="471"/>
      <c r="Y152" s="471"/>
      <c r="Z152" s="471"/>
      <c r="AA152" s="471"/>
      <c r="AB152" s="471"/>
      <c r="AC152" s="471"/>
      <c r="BG152" s="471"/>
      <c r="BH152" s="471"/>
      <c r="BI152" s="471"/>
      <c r="BJ152" s="471"/>
      <c r="BK152" s="471"/>
      <c r="BL152" s="471"/>
    </row>
    <row r="153" spans="23:64" ht="18.899999999999999" customHeight="1">
      <c r="W153" s="471"/>
      <c r="X153" s="471"/>
      <c r="Y153" s="471"/>
      <c r="Z153" s="471"/>
      <c r="AA153" s="471"/>
      <c r="AB153" s="471"/>
      <c r="AC153" s="471"/>
      <c r="BG153" s="471"/>
      <c r="BH153" s="471"/>
      <c r="BI153" s="471"/>
      <c r="BJ153" s="471"/>
      <c r="BK153" s="471"/>
      <c r="BL153" s="471"/>
    </row>
    <row r="154" spans="23:64" ht="18.899999999999999" customHeight="1">
      <c r="W154" s="471"/>
      <c r="X154" s="471"/>
      <c r="Y154" s="471"/>
      <c r="Z154" s="471"/>
      <c r="AA154" s="471"/>
      <c r="AB154" s="471"/>
      <c r="AC154" s="471"/>
      <c r="BG154" s="471"/>
      <c r="BH154" s="471"/>
      <c r="BI154" s="471"/>
      <c r="BJ154" s="471"/>
      <c r="BK154" s="471"/>
      <c r="BL154" s="471"/>
    </row>
    <row r="155" spans="23:64" ht="18.899999999999999" customHeight="1">
      <c r="W155" s="471"/>
      <c r="X155" s="471"/>
      <c r="Y155" s="471"/>
      <c r="Z155" s="471"/>
      <c r="AA155" s="471"/>
      <c r="AB155" s="471"/>
      <c r="AC155" s="471"/>
      <c r="BG155" s="471"/>
      <c r="BH155" s="471"/>
      <c r="BI155" s="471"/>
      <c r="BJ155" s="471"/>
      <c r="BK155" s="471"/>
      <c r="BL155" s="471"/>
    </row>
    <row r="156" spans="23:64" ht="18.899999999999999" customHeight="1">
      <c r="W156" s="471"/>
      <c r="X156" s="471"/>
      <c r="Y156" s="471"/>
      <c r="Z156" s="471"/>
      <c r="AA156" s="471"/>
      <c r="AB156" s="471"/>
      <c r="AC156" s="471"/>
      <c r="BG156" s="471"/>
      <c r="BH156" s="471"/>
      <c r="BI156" s="471"/>
      <c r="BJ156" s="471"/>
      <c r="BK156" s="471"/>
      <c r="BL156" s="471"/>
    </row>
    <row r="157" spans="23:64" ht="18.899999999999999" customHeight="1">
      <c r="W157" s="471"/>
      <c r="X157" s="471"/>
      <c r="Y157" s="471"/>
      <c r="Z157" s="471"/>
      <c r="AA157" s="471"/>
      <c r="AB157" s="471"/>
      <c r="AC157" s="471"/>
      <c r="BG157" s="471"/>
      <c r="BH157" s="471"/>
      <c r="BI157" s="471"/>
      <c r="BJ157" s="471"/>
      <c r="BK157" s="471"/>
      <c r="BL157" s="471"/>
    </row>
    <row r="158" spans="23:64" ht="18.899999999999999" customHeight="1">
      <c r="W158" s="471"/>
      <c r="X158" s="471"/>
      <c r="Y158" s="471"/>
      <c r="Z158" s="471"/>
      <c r="AA158" s="471"/>
      <c r="AB158" s="471"/>
      <c r="AC158" s="471"/>
      <c r="BG158" s="471"/>
      <c r="BH158" s="471"/>
      <c r="BI158" s="471"/>
      <c r="BJ158" s="471"/>
      <c r="BK158" s="471"/>
      <c r="BL158" s="471"/>
    </row>
    <row r="159" spans="23:64" ht="18.899999999999999" customHeight="1">
      <c r="W159" s="471"/>
      <c r="X159" s="471"/>
      <c r="Y159" s="471"/>
      <c r="Z159" s="471"/>
      <c r="AA159" s="471"/>
      <c r="AB159" s="471"/>
      <c r="AC159" s="471"/>
      <c r="BG159" s="471"/>
      <c r="BH159" s="471"/>
      <c r="BI159" s="471"/>
      <c r="BJ159" s="471"/>
      <c r="BK159" s="471"/>
      <c r="BL159" s="471"/>
    </row>
    <row r="160" spans="23:64" ht="18.899999999999999" customHeight="1">
      <c r="W160" s="471"/>
      <c r="X160" s="471"/>
      <c r="Y160" s="471"/>
      <c r="Z160" s="471"/>
      <c r="AA160" s="471"/>
      <c r="AB160" s="471"/>
      <c r="AC160" s="471"/>
      <c r="BG160" s="471"/>
      <c r="BH160" s="471"/>
      <c r="BI160" s="471"/>
      <c r="BJ160" s="471"/>
      <c r="BK160" s="471"/>
      <c r="BL160" s="471"/>
    </row>
    <row r="161" spans="23:64" ht="18.899999999999999" customHeight="1">
      <c r="W161" s="471"/>
      <c r="X161" s="471"/>
      <c r="Y161" s="471"/>
      <c r="Z161" s="471"/>
      <c r="AA161" s="471"/>
      <c r="AB161" s="471"/>
      <c r="AC161" s="471"/>
      <c r="BG161" s="471"/>
      <c r="BH161" s="471"/>
      <c r="BI161" s="471"/>
      <c r="BJ161" s="471"/>
      <c r="BK161" s="471"/>
      <c r="BL161" s="471"/>
    </row>
    <row r="162" spans="23:64" ht="18.899999999999999" customHeight="1">
      <c r="W162" s="471"/>
      <c r="X162" s="471"/>
      <c r="Y162" s="471"/>
      <c r="Z162" s="471"/>
      <c r="AA162" s="471"/>
      <c r="AB162" s="471"/>
      <c r="AC162" s="471"/>
      <c r="BG162" s="471"/>
      <c r="BH162" s="471"/>
      <c r="BI162" s="471"/>
      <c r="BJ162" s="471"/>
      <c r="BK162" s="471"/>
      <c r="BL162" s="471"/>
    </row>
    <row r="163" spans="23:64" ht="18.899999999999999" customHeight="1">
      <c r="W163" s="471"/>
      <c r="X163" s="471"/>
      <c r="Y163" s="471"/>
      <c r="Z163" s="471"/>
      <c r="AA163" s="471"/>
      <c r="AB163" s="471"/>
      <c r="AC163" s="471"/>
      <c r="BG163" s="471"/>
      <c r="BH163" s="471"/>
      <c r="BI163" s="471"/>
      <c r="BJ163" s="471"/>
      <c r="BK163" s="471"/>
      <c r="BL163" s="471"/>
    </row>
    <row r="164" spans="23:64" ht="18.899999999999999" customHeight="1">
      <c r="W164" s="471"/>
      <c r="X164" s="471"/>
      <c r="Y164" s="471"/>
      <c r="Z164" s="471"/>
      <c r="AA164" s="471"/>
      <c r="AB164" s="471"/>
      <c r="AC164" s="471"/>
      <c r="BG164" s="471"/>
      <c r="BH164" s="471"/>
      <c r="BI164" s="471"/>
      <c r="BJ164" s="471"/>
      <c r="BK164" s="471"/>
      <c r="BL164" s="471"/>
    </row>
    <row r="165" spans="23:64" ht="18.899999999999999" customHeight="1">
      <c r="W165" s="471"/>
      <c r="X165" s="471"/>
      <c r="Y165" s="471"/>
      <c r="Z165" s="471"/>
      <c r="AA165" s="471"/>
      <c r="AB165" s="471"/>
      <c r="AC165" s="471"/>
      <c r="BG165" s="471"/>
      <c r="BH165" s="471"/>
      <c r="BI165" s="471"/>
      <c r="BJ165" s="471"/>
      <c r="BK165" s="471"/>
      <c r="BL165" s="471"/>
    </row>
    <row r="166" spans="23:64" ht="18.899999999999999" customHeight="1">
      <c r="W166" s="471"/>
      <c r="X166" s="471"/>
      <c r="Y166" s="471"/>
      <c r="Z166" s="471"/>
      <c r="AA166" s="471"/>
      <c r="AB166" s="471"/>
      <c r="AC166" s="471"/>
      <c r="BG166" s="471"/>
      <c r="BH166" s="471"/>
      <c r="BI166" s="471"/>
      <c r="BJ166" s="471"/>
      <c r="BK166" s="471"/>
      <c r="BL166" s="471"/>
    </row>
    <row r="167" spans="23:64" ht="18.899999999999999" customHeight="1">
      <c r="W167" s="471"/>
      <c r="X167" s="471"/>
      <c r="Y167" s="471"/>
      <c r="Z167" s="471"/>
      <c r="AA167" s="471"/>
      <c r="AB167" s="471"/>
      <c r="AC167" s="471"/>
      <c r="BG167" s="471"/>
      <c r="BH167" s="471"/>
      <c r="BI167" s="471"/>
      <c r="BJ167" s="471"/>
      <c r="BK167" s="471"/>
      <c r="BL167" s="471"/>
    </row>
    <row r="168" spans="23:64" ht="18.899999999999999" customHeight="1">
      <c r="W168" s="471"/>
      <c r="X168" s="471"/>
      <c r="Y168" s="471"/>
      <c r="Z168" s="471"/>
      <c r="AA168" s="471"/>
      <c r="AB168" s="471"/>
      <c r="AC168" s="471"/>
      <c r="BG168" s="471"/>
      <c r="BH168" s="471"/>
      <c r="BI168" s="471"/>
      <c r="BJ168" s="471"/>
      <c r="BK168" s="471"/>
      <c r="BL168" s="471"/>
    </row>
    <row r="169" spans="23:64" ht="18.899999999999999" customHeight="1">
      <c r="W169" s="471"/>
      <c r="X169" s="471"/>
      <c r="Y169" s="471"/>
      <c r="Z169" s="471"/>
      <c r="AA169" s="471"/>
      <c r="AB169" s="471"/>
      <c r="AC169" s="471"/>
      <c r="BG169" s="471"/>
      <c r="BH169" s="471"/>
      <c r="BI169" s="471"/>
      <c r="BJ169" s="471"/>
      <c r="BK169" s="471"/>
      <c r="BL169" s="471"/>
    </row>
    <row r="170" spans="23:64" ht="18.899999999999999" customHeight="1">
      <c r="W170" s="471"/>
      <c r="X170" s="471"/>
      <c r="Y170" s="471"/>
      <c r="Z170" s="471"/>
      <c r="AA170" s="471"/>
      <c r="AB170" s="471"/>
      <c r="AC170" s="471"/>
      <c r="BG170" s="471"/>
      <c r="BH170" s="471"/>
      <c r="BI170" s="471"/>
      <c r="BJ170" s="471"/>
      <c r="BK170" s="471"/>
      <c r="BL170" s="471"/>
    </row>
    <row r="171" spans="23:64" ht="18.899999999999999" customHeight="1">
      <c r="W171" s="471"/>
      <c r="X171" s="471"/>
      <c r="Y171" s="471"/>
      <c r="Z171" s="471"/>
      <c r="AA171" s="471"/>
      <c r="AB171" s="471"/>
      <c r="AC171" s="471"/>
      <c r="BG171" s="471"/>
      <c r="BH171" s="471"/>
      <c r="BI171" s="471"/>
      <c r="BJ171" s="471"/>
      <c r="BK171" s="471"/>
      <c r="BL171" s="471"/>
    </row>
    <row r="172" spans="23:64" ht="18.899999999999999" customHeight="1">
      <c r="W172" s="471"/>
      <c r="X172" s="471"/>
      <c r="Y172" s="471"/>
      <c r="Z172" s="471"/>
      <c r="AA172" s="471"/>
      <c r="AB172" s="471"/>
      <c r="AC172" s="471"/>
      <c r="BG172" s="471"/>
      <c r="BH172" s="471"/>
      <c r="BI172" s="471"/>
      <c r="BJ172" s="471"/>
      <c r="BK172" s="471"/>
      <c r="BL172" s="471"/>
    </row>
    <row r="173" spans="23:64" ht="18.899999999999999" customHeight="1">
      <c r="W173" s="471"/>
      <c r="X173" s="471"/>
      <c r="Y173" s="471"/>
      <c r="Z173" s="471"/>
      <c r="AA173" s="471"/>
      <c r="AB173" s="471"/>
      <c r="AC173" s="471"/>
      <c r="BG173" s="471"/>
      <c r="BH173" s="471"/>
      <c r="BI173" s="471"/>
      <c r="BJ173" s="471"/>
      <c r="BK173" s="471"/>
      <c r="BL173" s="471"/>
    </row>
    <row r="174" spans="23:64" ht="18.899999999999999" customHeight="1">
      <c r="W174" s="471"/>
      <c r="X174" s="471"/>
      <c r="Y174" s="471"/>
      <c r="Z174" s="471"/>
      <c r="AA174" s="471"/>
      <c r="AB174" s="471"/>
      <c r="AC174" s="471"/>
      <c r="BG174" s="471"/>
      <c r="BH174" s="471"/>
      <c r="BI174" s="471"/>
      <c r="BJ174" s="471"/>
      <c r="BK174" s="471"/>
      <c r="BL174" s="471"/>
    </row>
    <row r="175" spans="23:64" ht="18.899999999999999" customHeight="1">
      <c r="W175" s="471"/>
      <c r="X175" s="471"/>
      <c r="Y175" s="471"/>
      <c r="Z175" s="471"/>
      <c r="AA175" s="471"/>
      <c r="AB175" s="471"/>
      <c r="AC175" s="471"/>
      <c r="BG175" s="471"/>
      <c r="BH175" s="471"/>
      <c r="BI175" s="471"/>
      <c r="BJ175" s="471"/>
      <c r="BK175" s="471"/>
      <c r="BL175" s="471"/>
    </row>
    <row r="176" spans="23:64" ht="18.899999999999999" customHeight="1">
      <c r="W176" s="471"/>
      <c r="X176" s="471"/>
      <c r="Y176" s="471"/>
      <c r="Z176" s="471"/>
      <c r="AA176" s="471"/>
      <c r="AB176" s="471"/>
      <c r="AC176" s="471"/>
      <c r="BG176" s="471"/>
      <c r="BH176" s="471"/>
      <c r="BI176" s="471"/>
      <c r="BJ176" s="471"/>
      <c r="BK176" s="471"/>
      <c r="BL176" s="471"/>
    </row>
    <row r="177" spans="23:64" ht="18.899999999999999" customHeight="1">
      <c r="W177" s="471"/>
      <c r="X177" s="471"/>
      <c r="Y177" s="471"/>
      <c r="Z177" s="471"/>
      <c r="AA177" s="471"/>
      <c r="AB177" s="471"/>
      <c r="AC177" s="471"/>
      <c r="BG177" s="471"/>
      <c r="BH177" s="471"/>
      <c r="BI177" s="471"/>
      <c r="BJ177" s="471"/>
      <c r="BK177" s="471"/>
      <c r="BL177" s="471"/>
    </row>
    <row r="178" spans="23:64" ht="18.899999999999999" customHeight="1">
      <c r="W178" s="471"/>
      <c r="X178" s="471"/>
      <c r="Y178" s="471"/>
      <c r="Z178" s="471"/>
      <c r="AA178" s="471"/>
      <c r="AB178" s="471"/>
      <c r="AC178" s="471"/>
      <c r="BG178" s="471"/>
      <c r="BH178" s="471"/>
      <c r="BI178" s="471"/>
      <c r="BJ178" s="471"/>
      <c r="BK178" s="471"/>
      <c r="BL178" s="471"/>
    </row>
    <row r="179" spans="23:64" ht="18.899999999999999" customHeight="1">
      <c r="W179" s="471"/>
      <c r="X179" s="471"/>
      <c r="Y179" s="471"/>
      <c r="Z179" s="471"/>
      <c r="AA179" s="471"/>
      <c r="AB179" s="471"/>
      <c r="AC179" s="471"/>
      <c r="BG179" s="471"/>
      <c r="BH179" s="471"/>
      <c r="BI179" s="471"/>
      <c r="BJ179" s="471"/>
      <c r="BK179" s="471"/>
      <c r="BL179" s="471"/>
    </row>
    <row r="180" spans="23:64" ht="18.899999999999999" customHeight="1">
      <c r="W180" s="471"/>
      <c r="X180" s="471"/>
      <c r="Y180" s="471"/>
      <c r="Z180" s="471"/>
      <c r="AA180" s="471"/>
      <c r="AB180" s="471"/>
      <c r="AC180" s="471"/>
      <c r="BG180" s="471"/>
      <c r="BH180" s="471"/>
      <c r="BI180" s="471"/>
      <c r="BJ180" s="471"/>
      <c r="BK180" s="471"/>
      <c r="BL180" s="471"/>
    </row>
    <row r="181" spans="23:64" ht="18.899999999999999" customHeight="1">
      <c r="W181" s="471"/>
      <c r="X181" s="471"/>
      <c r="Y181" s="471"/>
      <c r="Z181" s="471"/>
      <c r="AA181" s="471"/>
      <c r="AB181" s="471"/>
      <c r="AC181" s="471"/>
      <c r="BG181" s="471"/>
      <c r="BH181" s="471"/>
      <c r="BI181" s="471"/>
      <c r="BJ181" s="471"/>
      <c r="BK181" s="471"/>
      <c r="BL181" s="471"/>
    </row>
    <row r="182" spans="23:64" ht="18.899999999999999" customHeight="1">
      <c r="W182" s="471"/>
      <c r="X182" s="471"/>
      <c r="Y182" s="471"/>
      <c r="Z182" s="471"/>
      <c r="AA182" s="471"/>
      <c r="AB182" s="471"/>
      <c r="AC182" s="471"/>
      <c r="BG182" s="471"/>
      <c r="BH182" s="471"/>
      <c r="BI182" s="471"/>
      <c r="BJ182" s="471"/>
      <c r="BK182" s="471"/>
      <c r="BL182" s="471"/>
    </row>
    <row r="183" spans="23:64" ht="18.899999999999999" customHeight="1">
      <c r="W183" s="471"/>
      <c r="X183" s="471"/>
      <c r="Y183" s="471"/>
      <c r="Z183" s="471"/>
      <c r="AA183" s="471"/>
      <c r="AB183" s="471"/>
      <c r="AC183" s="471"/>
      <c r="BG183" s="471"/>
      <c r="BH183" s="471"/>
      <c r="BI183" s="471"/>
      <c r="BJ183" s="471"/>
      <c r="BK183" s="471"/>
      <c r="BL183" s="471"/>
    </row>
    <row r="184" spans="23:64" ht="18.899999999999999" customHeight="1">
      <c r="W184" s="471"/>
      <c r="X184" s="471"/>
      <c r="Y184" s="471"/>
      <c r="Z184" s="471"/>
      <c r="AA184" s="471"/>
      <c r="AB184" s="471"/>
      <c r="AC184" s="471"/>
      <c r="BG184" s="471"/>
      <c r="BH184" s="471"/>
      <c r="BI184" s="471"/>
      <c r="BJ184" s="471"/>
      <c r="BK184" s="471"/>
      <c r="BL184" s="471"/>
    </row>
    <row r="185" spans="23:64" ht="18.899999999999999" customHeight="1">
      <c r="W185" s="471"/>
      <c r="X185" s="471"/>
      <c r="Y185" s="471"/>
      <c r="Z185" s="471"/>
      <c r="AA185" s="471"/>
      <c r="AB185" s="471"/>
      <c r="AC185" s="471"/>
      <c r="BG185" s="471"/>
      <c r="BH185" s="471"/>
      <c r="BI185" s="471"/>
      <c r="BJ185" s="471"/>
      <c r="BK185" s="471"/>
      <c r="BL185" s="471"/>
    </row>
    <row r="186" spans="23:64" ht="18.899999999999999" customHeight="1">
      <c r="W186" s="471"/>
      <c r="X186" s="471"/>
      <c r="Y186" s="471"/>
      <c r="Z186" s="471"/>
      <c r="AA186" s="471"/>
      <c r="AB186" s="471"/>
      <c r="AC186" s="471"/>
      <c r="BG186" s="471"/>
      <c r="BH186" s="471"/>
      <c r="BI186" s="471"/>
      <c r="BJ186" s="471"/>
      <c r="BK186" s="471"/>
      <c r="BL186" s="471"/>
    </row>
    <row r="187" spans="23:64" ht="18.899999999999999" customHeight="1">
      <c r="W187" s="471"/>
      <c r="X187" s="471"/>
      <c r="Y187" s="471"/>
      <c r="Z187" s="471"/>
      <c r="AA187" s="471"/>
      <c r="AB187" s="471"/>
      <c r="AC187" s="471"/>
      <c r="BG187" s="471"/>
      <c r="BH187" s="471"/>
      <c r="BI187" s="471"/>
      <c r="BJ187" s="471"/>
      <c r="BK187" s="471"/>
      <c r="BL187" s="471"/>
    </row>
    <row r="188" spans="23:64" ht="18.899999999999999" customHeight="1">
      <c r="W188" s="471"/>
      <c r="X188" s="471"/>
      <c r="Y188" s="471"/>
      <c r="Z188" s="471"/>
      <c r="AA188" s="471"/>
      <c r="AB188" s="471"/>
      <c r="AC188" s="471"/>
      <c r="BG188" s="471"/>
      <c r="BH188" s="471"/>
      <c r="BI188" s="471"/>
      <c r="BJ188" s="471"/>
      <c r="BK188" s="471"/>
      <c r="BL188" s="471"/>
    </row>
    <row r="189" spans="23:64" ht="18.899999999999999" customHeight="1">
      <c r="W189" s="471"/>
      <c r="X189" s="471"/>
      <c r="Y189" s="471"/>
      <c r="Z189" s="471"/>
      <c r="AA189" s="471"/>
      <c r="AB189" s="471"/>
      <c r="AC189" s="471"/>
      <c r="BG189" s="471"/>
      <c r="BH189" s="471"/>
      <c r="BI189" s="471"/>
      <c r="BJ189" s="471"/>
      <c r="BK189" s="471"/>
      <c r="BL189" s="471"/>
    </row>
    <row r="190" spans="23:64" ht="18.899999999999999" customHeight="1">
      <c r="W190" s="471"/>
      <c r="X190" s="471"/>
      <c r="Y190" s="471"/>
      <c r="Z190" s="471"/>
      <c r="AA190" s="471"/>
      <c r="AB190" s="471"/>
      <c r="AC190" s="471"/>
      <c r="BG190" s="471"/>
      <c r="BH190" s="471"/>
      <c r="BI190" s="471"/>
      <c r="BJ190" s="471"/>
      <c r="BK190" s="471"/>
      <c r="BL190" s="471"/>
    </row>
    <row r="191" spans="23:64" ht="18.899999999999999" customHeight="1">
      <c r="W191" s="471"/>
      <c r="X191" s="471"/>
      <c r="Y191" s="471"/>
      <c r="Z191" s="471"/>
      <c r="AA191" s="471"/>
      <c r="AB191" s="471"/>
      <c r="AC191" s="471"/>
      <c r="BG191" s="471"/>
      <c r="BH191" s="471"/>
      <c r="BI191" s="471"/>
      <c r="BJ191" s="471"/>
      <c r="BK191" s="471"/>
      <c r="BL191" s="471"/>
    </row>
    <row r="192" spans="23:64" ht="18.899999999999999" customHeight="1">
      <c r="W192" s="471"/>
      <c r="X192" s="471"/>
      <c r="Y192" s="471"/>
      <c r="Z192" s="471"/>
      <c r="AA192" s="471"/>
      <c r="AB192" s="471"/>
      <c r="AC192" s="471"/>
      <c r="BG192" s="471"/>
      <c r="BH192" s="471"/>
      <c r="BI192" s="471"/>
      <c r="BJ192" s="471"/>
      <c r="BK192" s="471"/>
      <c r="BL192" s="471"/>
    </row>
    <row r="193" spans="23:64" ht="18.899999999999999" customHeight="1">
      <c r="W193" s="471"/>
      <c r="X193" s="471"/>
      <c r="Y193" s="471"/>
      <c r="Z193" s="471"/>
      <c r="AA193" s="471"/>
      <c r="AB193" s="471"/>
      <c r="AC193" s="471"/>
      <c r="BG193" s="471"/>
      <c r="BH193" s="471"/>
      <c r="BI193" s="471"/>
      <c r="BJ193" s="471"/>
      <c r="BK193" s="471"/>
      <c r="BL193" s="471"/>
    </row>
    <row r="194" spans="23:64" ht="18.899999999999999" customHeight="1">
      <c r="W194" s="471"/>
      <c r="X194" s="471"/>
      <c r="Y194" s="471"/>
      <c r="Z194" s="471"/>
      <c r="AA194" s="471"/>
      <c r="AB194" s="471"/>
      <c r="AC194" s="471"/>
      <c r="BG194" s="471"/>
      <c r="BH194" s="471"/>
      <c r="BI194" s="471"/>
      <c r="BJ194" s="471"/>
      <c r="BK194" s="471"/>
      <c r="BL194" s="471"/>
    </row>
    <row r="195" spans="23:64" ht="18.899999999999999" customHeight="1">
      <c r="W195" s="471"/>
      <c r="X195" s="471"/>
      <c r="Y195" s="471"/>
      <c r="Z195" s="471"/>
      <c r="AA195" s="471"/>
      <c r="AB195" s="471"/>
      <c r="AC195" s="471"/>
      <c r="BG195" s="471"/>
      <c r="BH195" s="471"/>
      <c r="BI195" s="471"/>
      <c r="BJ195" s="471"/>
      <c r="BK195" s="471"/>
      <c r="BL195" s="471"/>
    </row>
    <row r="196" spans="23:64" ht="18.899999999999999" customHeight="1">
      <c r="W196" s="471"/>
      <c r="X196" s="471"/>
      <c r="Y196" s="471"/>
      <c r="Z196" s="471"/>
      <c r="AA196" s="471"/>
      <c r="AB196" s="471"/>
      <c r="AC196" s="471"/>
      <c r="BG196" s="471"/>
      <c r="BH196" s="471"/>
      <c r="BI196" s="471"/>
      <c r="BJ196" s="471"/>
      <c r="BK196" s="471"/>
      <c r="BL196" s="471"/>
    </row>
    <row r="197" spans="23:64" ht="18.899999999999999" customHeight="1">
      <c r="W197" s="471"/>
      <c r="X197" s="471"/>
      <c r="Y197" s="471"/>
      <c r="Z197" s="471"/>
      <c r="AA197" s="471"/>
      <c r="AB197" s="471"/>
      <c r="AC197" s="471"/>
      <c r="BG197" s="471"/>
      <c r="BH197" s="471"/>
      <c r="BI197" s="471"/>
      <c r="BJ197" s="471"/>
      <c r="BK197" s="471"/>
      <c r="BL197" s="471"/>
    </row>
    <row r="198" spans="23:64" ht="18.899999999999999" customHeight="1">
      <c r="W198" s="471"/>
      <c r="X198" s="471"/>
      <c r="Y198" s="471"/>
      <c r="Z198" s="471"/>
      <c r="AA198" s="471"/>
      <c r="AB198" s="471"/>
      <c r="AC198" s="471"/>
      <c r="BG198" s="471"/>
      <c r="BH198" s="471"/>
      <c r="BI198" s="471"/>
      <c r="BJ198" s="471"/>
      <c r="BK198" s="471"/>
      <c r="BL198" s="471"/>
    </row>
    <row r="199" spans="23:64" ht="18.899999999999999" customHeight="1">
      <c r="W199" s="471"/>
      <c r="X199" s="471"/>
      <c r="Y199" s="471"/>
      <c r="Z199" s="471"/>
      <c r="AA199" s="471"/>
      <c r="AB199" s="471"/>
      <c r="AC199" s="471"/>
      <c r="BG199" s="471"/>
      <c r="BH199" s="471"/>
      <c r="BI199" s="471"/>
      <c r="BJ199" s="471"/>
      <c r="BK199" s="471"/>
      <c r="BL199" s="471"/>
    </row>
    <row r="200" spans="23:64" ht="18.899999999999999" customHeight="1">
      <c r="W200" s="471"/>
      <c r="X200" s="471"/>
      <c r="Y200" s="471"/>
      <c r="Z200" s="471"/>
      <c r="AA200" s="471"/>
      <c r="AB200" s="471"/>
      <c r="AC200" s="471"/>
      <c r="BG200" s="471"/>
      <c r="BH200" s="471"/>
      <c r="BI200" s="471"/>
      <c r="BJ200" s="471"/>
      <c r="BK200" s="471"/>
      <c r="BL200" s="471"/>
    </row>
    <row r="201" spans="23:64" ht="18.899999999999999" customHeight="1">
      <c r="W201" s="471"/>
      <c r="X201" s="471"/>
      <c r="Y201" s="471"/>
      <c r="Z201" s="471"/>
      <c r="AA201" s="471"/>
      <c r="AB201" s="471"/>
      <c r="AC201" s="471"/>
      <c r="BG201" s="471"/>
      <c r="BH201" s="471"/>
      <c r="BI201" s="471"/>
      <c r="BJ201" s="471"/>
      <c r="BK201" s="471"/>
      <c r="BL201" s="471"/>
    </row>
    <row r="202" spans="23:64" ht="18.899999999999999" customHeight="1">
      <c r="W202" s="471"/>
      <c r="X202" s="471"/>
      <c r="Y202" s="471"/>
      <c r="Z202" s="471"/>
      <c r="AA202" s="471"/>
      <c r="AB202" s="471"/>
      <c r="AC202" s="471"/>
      <c r="BG202" s="471"/>
      <c r="BH202" s="471"/>
      <c r="BI202" s="471"/>
      <c r="BJ202" s="471"/>
      <c r="BK202" s="471"/>
      <c r="BL202" s="471"/>
    </row>
    <row r="203" spans="23:64" ht="18.899999999999999" customHeight="1">
      <c r="W203" s="471"/>
      <c r="X203" s="471"/>
      <c r="Y203" s="471"/>
      <c r="Z203" s="471"/>
      <c r="AA203" s="471"/>
      <c r="AB203" s="471"/>
      <c r="AC203" s="471"/>
      <c r="BG203" s="471"/>
      <c r="BH203" s="471"/>
      <c r="BI203" s="471"/>
      <c r="BJ203" s="471"/>
      <c r="BK203" s="471"/>
      <c r="BL203" s="471"/>
    </row>
    <row r="204" spans="23:64" ht="18.899999999999999" customHeight="1">
      <c r="W204" s="471"/>
      <c r="X204" s="471"/>
      <c r="Y204" s="471"/>
      <c r="Z204" s="471"/>
      <c r="AA204" s="471"/>
      <c r="AB204" s="471"/>
      <c r="AC204" s="471"/>
      <c r="BG204" s="471"/>
      <c r="BH204" s="471"/>
      <c r="BI204" s="471"/>
      <c r="BJ204" s="471"/>
      <c r="BK204" s="471"/>
      <c r="BL204" s="471"/>
    </row>
    <row r="205" spans="23:64" ht="18.899999999999999" customHeight="1">
      <c r="W205" s="471"/>
      <c r="X205" s="471"/>
      <c r="Y205" s="471"/>
      <c r="Z205" s="471"/>
      <c r="AA205" s="471"/>
      <c r="AB205" s="471"/>
      <c r="AC205" s="471"/>
      <c r="BG205" s="471"/>
      <c r="BH205" s="471"/>
      <c r="BI205" s="471"/>
      <c r="BJ205" s="471"/>
      <c r="BK205" s="471"/>
      <c r="BL205" s="471"/>
    </row>
    <row r="206" spans="23:64" ht="18.899999999999999" customHeight="1">
      <c r="W206" s="471"/>
      <c r="X206" s="471"/>
      <c r="Y206" s="471"/>
      <c r="Z206" s="471"/>
      <c r="AA206" s="471"/>
      <c r="AB206" s="471"/>
      <c r="AC206" s="471"/>
      <c r="BG206" s="471"/>
      <c r="BH206" s="471"/>
      <c r="BI206" s="471"/>
      <c r="BJ206" s="471"/>
      <c r="BK206" s="471"/>
      <c r="BL206" s="471"/>
    </row>
    <row r="207" spans="23:64" ht="18.899999999999999" customHeight="1">
      <c r="W207" s="471"/>
      <c r="X207" s="471"/>
      <c r="Y207" s="471"/>
      <c r="Z207" s="471"/>
      <c r="AA207" s="471"/>
      <c r="AB207" s="471"/>
      <c r="AC207" s="471"/>
      <c r="BG207" s="471"/>
      <c r="BH207" s="471"/>
      <c r="BI207" s="471"/>
      <c r="BJ207" s="471"/>
      <c r="BK207" s="471"/>
      <c r="BL207" s="471"/>
    </row>
    <row r="208" spans="23:64" ht="18.899999999999999" customHeight="1">
      <c r="W208" s="471"/>
      <c r="X208" s="471"/>
      <c r="Y208" s="471"/>
      <c r="Z208" s="471"/>
      <c r="AA208" s="471"/>
      <c r="AB208" s="471"/>
      <c r="AC208" s="471"/>
      <c r="BG208" s="471"/>
      <c r="BH208" s="471"/>
      <c r="BI208" s="471"/>
      <c r="BJ208" s="471"/>
      <c r="BK208" s="471"/>
      <c r="BL208" s="471"/>
    </row>
    <row r="209" spans="23:64" ht="18.899999999999999" customHeight="1">
      <c r="W209" s="471"/>
      <c r="X209" s="471"/>
      <c r="Y209" s="471"/>
      <c r="Z209" s="471"/>
      <c r="AA209" s="471"/>
      <c r="AB209" s="471"/>
      <c r="AC209" s="471"/>
      <c r="BG209" s="471"/>
      <c r="BH209" s="471"/>
      <c r="BI209" s="471"/>
      <c r="BJ209" s="471"/>
      <c r="BK209" s="471"/>
      <c r="BL209" s="471"/>
    </row>
    <row r="210" spans="23:64" ht="18.899999999999999" customHeight="1">
      <c r="W210" s="471"/>
      <c r="X210" s="471"/>
      <c r="Y210" s="471"/>
      <c r="Z210" s="471"/>
      <c r="AA210" s="471"/>
      <c r="AB210" s="471"/>
      <c r="AC210" s="471"/>
      <c r="BG210" s="471"/>
      <c r="BH210" s="471"/>
      <c r="BI210" s="471"/>
      <c r="BJ210" s="471"/>
      <c r="BK210" s="471"/>
      <c r="BL210" s="471"/>
    </row>
    <row r="211" spans="23:64" ht="18.899999999999999" customHeight="1">
      <c r="W211" s="471"/>
      <c r="X211" s="471"/>
      <c r="Y211" s="471"/>
      <c r="Z211" s="471"/>
      <c r="AA211" s="471"/>
      <c r="AB211" s="471"/>
      <c r="AC211" s="471"/>
      <c r="BG211" s="471"/>
      <c r="BH211" s="471"/>
      <c r="BI211" s="471"/>
      <c r="BJ211" s="471"/>
      <c r="BK211" s="471"/>
      <c r="BL211" s="471"/>
    </row>
    <row r="212" spans="23:64" ht="18.899999999999999" customHeight="1">
      <c r="W212" s="471"/>
      <c r="X212" s="471"/>
      <c r="Y212" s="471"/>
      <c r="Z212" s="471"/>
      <c r="AA212" s="471"/>
      <c r="AB212" s="471"/>
      <c r="AC212" s="471"/>
      <c r="BG212" s="471"/>
      <c r="BH212" s="471"/>
      <c r="BI212" s="471"/>
      <c r="BJ212" s="471"/>
      <c r="BK212" s="471"/>
      <c r="BL212" s="471"/>
    </row>
    <row r="213" spans="23:64" ht="18.899999999999999" customHeight="1">
      <c r="W213" s="471"/>
      <c r="X213" s="471"/>
      <c r="Y213" s="471"/>
      <c r="Z213" s="471"/>
      <c r="AA213" s="471"/>
      <c r="AB213" s="471"/>
      <c r="AC213" s="471"/>
      <c r="BG213" s="471"/>
      <c r="BH213" s="471"/>
      <c r="BI213" s="471"/>
      <c r="BJ213" s="471"/>
      <c r="BK213" s="471"/>
      <c r="BL213" s="471"/>
    </row>
    <row r="214" spans="23:64" ht="18.899999999999999" customHeight="1">
      <c r="W214" s="471"/>
      <c r="X214" s="471"/>
      <c r="Y214" s="471"/>
      <c r="Z214" s="471"/>
      <c r="AA214" s="471"/>
      <c r="AB214" s="471"/>
      <c r="AC214" s="471"/>
      <c r="BG214" s="471"/>
      <c r="BH214" s="471"/>
      <c r="BI214" s="471"/>
      <c r="BJ214" s="471"/>
      <c r="BK214" s="471"/>
      <c r="BL214" s="471"/>
    </row>
    <row r="215" spans="23:64" ht="18.899999999999999" customHeight="1">
      <c r="W215" s="471"/>
      <c r="X215" s="471"/>
      <c r="Y215" s="471"/>
      <c r="Z215" s="471"/>
      <c r="AA215" s="471"/>
      <c r="AB215" s="471"/>
      <c r="AC215" s="471"/>
      <c r="BG215" s="471"/>
      <c r="BH215" s="471"/>
      <c r="BI215" s="471"/>
      <c r="BJ215" s="471"/>
      <c r="BK215" s="471"/>
      <c r="BL215" s="471"/>
    </row>
    <row r="216" spans="23:64" ht="18.899999999999999" customHeight="1">
      <c r="W216" s="471"/>
      <c r="X216" s="471"/>
      <c r="Y216" s="471"/>
      <c r="Z216" s="471"/>
      <c r="AA216" s="471"/>
      <c r="AB216" s="471"/>
      <c r="AC216" s="471"/>
      <c r="BG216" s="471"/>
      <c r="BH216" s="471"/>
      <c r="BI216" s="471"/>
      <c r="BJ216" s="471"/>
      <c r="BK216" s="471"/>
      <c r="BL216" s="471"/>
    </row>
    <row r="217" spans="23:64" ht="18.899999999999999" customHeight="1">
      <c r="W217" s="471"/>
      <c r="X217" s="471"/>
      <c r="Y217" s="471"/>
      <c r="Z217" s="471"/>
      <c r="AA217" s="471"/>
      <c r="AB217" s="471"/>
      <c r="AC217" s="471"/>
      <c r="BG217" s="471"/>
      <c r="BH217" s="471"/>
      <c r="BI217" s="471"/>
      <c r="BJ217" s="471"/>
      <c r="BK217" s="471"/>
      <c r="BL217" s="471"/>
    </row>
    <row r="218" spans="23:64" ht="18.899999999999999" customHeight="1">
      <c r="W218" s="471"/>
      <c r="X218" s="471"/>
      <c r="Y218" s="471"/>
      <c r="Z218" s="471"/>
      <c r="AA218" s="471"/>
      <c r="AB218" s="471"/>
      <c r="AC218" s="471"/>
      <c r="BG218" s="471"/>
      <c r="BH218" s="471"/>
      <c r="BI218" s="471"/>
      <c r="BJ218" s="471"/>
      <c r="BK218" s="471"/>
      <c r="BL218" s="471"/>
    </row>
    <row r="219" spans="23:64" ht="18.899999999999999" customHeight="1">
      <c r="W219" s="471"/>
      <c r="X219" s="471"/>
      <c r="Y219" s="471"/>
      <c r="Z219" s="471"/>
      <c r="AA219" s="471"/>
      <c r="AB219" s="471"/>
      <c r="AC219" s="471"/>
      <c r="BG219" s="471"/>
      <c r="BH219" s="471"/>
      <c r="BI219" s="471"/>
      <c r="BJ219" s="471"/>
      <c r="BK219" s="471"/>
      <c r="BL219" s="471"/>
    </row>
    <row r="220" spans="23:64" ht="18.899999999999999" customHeight="1">
      <c r="W220" s="471"/>
      <c r="X220" s="471"/>
      <c r="Y220" s="471"/>
      <c r="Z220" s="471"/>
      <c r="AA220" s="471"/>
      <c r="AB220" s="471"/>
      <c r="AC220" s="471"/>
      <c r="BG220" s="471"/>
      <c r="BH220" s="471"/>
      <c r="BI220" s="471"/>
      <c r="BJ220" s="471"/>
      <c r="BK220" s="471"/>
      <c r="BL220" s="471"/>
    </row>
    <row r="221" spans="23:64" ht="18.899999999999999" customHeight="1">
      <c r="W221" s="471"/>
      <c r="X221" s="471"/>
      <c r="Y221" s="471"/>
      <c r="Z221" s="471"/>
      <c r="AA221" s="471"/>
      <c r="AB221" s="471"/>
      <c r="AC221" s="471"/>
      <c r="BG221" s="471"/>
      <c r="BH221" s="471"/>
      <c r="BI221" s="471"/>
      <c r="BJ221" s="471"/>
      <c r="BK221" s="471"/>
      <c r="BL221" s="471"/>
    </row>
    <row r="222" spans="23:64" ht="18.899999999999999" customHeight="1">
      <c r="W222" s="471"/>
      <c r="X222" s="471"/>
      <c r="Y222" s="471"/>
      <c r="Z222" s="471"/>
      <c r="AA222" s="471"/>
      <c r="AB222" s="471"/>
      <c r="AC222" s="471"/>
      <c r="BG222" s="471"/>
      <c r="BH222" s="471"/>
      <c r="BI222" s="471"/>
      <c r="BJ222" s="471"/>
      <c r="BK222" s="471"/>
      <c r="BL222" s="471"/>
    </row>
    <row r="223" spans="23:64" ht="18.899999999999999" customHeight="1">
      <c r="W223" s="471"/>
      <c r="X223" s="471"/>
      <c r="Y223" s="471"/>
      <c r="Z223" s="471"/>
      <c r="AA223" s="471"/>
      <c r="AB223" s="471"/>
      <c r="AC223" s="471"/>
      <c r="BG223" s="471"/>
      <c r="BH223" s="471"/>
      <c r="BI223" s="471"/>
      <c r="BJ223" s="471"/>
      <c r="BK223" s="471"/>
      <c r="BL223" s="471"/>
    </row>
    <row r="224" spans="23:64" ht="18.899999999999999" customHeight="1">
      <c r="W224" s="471"/>
      <c r="X224" s="471"/>
      <c r="Y224" s="471"/>
      <c r="Z224" s="471"/>
      <c r="AA224" s="471"/>
      <c r="AB224" s="471"/>
      <c r="AC224" s="471"/>
      <c r="BG224" s="471"/>
      <c r="BH224" s="471"/>
      <c r="BI224" s="471"/>
      <c r="BJ224" s="471"/>
      <c r="BK224" s="471"/>
      <c r="BL224" s="471"/>
    </row>
    <row r="225" spans="23:64" ht="18.899999999999999" customHeight="1">
      <c r="W225" s="471"/>
      <c r="X225" s="471"/>
      <c r="Y225" s="471"/>
      <c r="Z225" s="471"/>
      <c r="AA225" s="471"/>
      <c r="AB225" s="471"/>
      <c r="AC225" s="471"/>
      <c r="BG225" s="471"/>
      <c r="BH225" s="471"/>
      <c r="BI225" s="471"/>
      <c r="BJ225" s="471"/>
      <c r="BK225" s="471"/>
      <c r="BL225" s="471"/>
    </row>
    <row r="226" spans="23:64" ht="18.899999999999999" customHeight="1">
      <c r="W226" s="471"/>
      <c r="X226" s="471"/>
      <c r="Y226" s="471"/>
      <c r="Z226" s="471"/>
      <c r="AA226" s="471"/>
      <c r="AB226" s="471"/>
      <c r="AC226" s="471"/>
      <c r="BG226" s="471"/>
      <c r="BH226" s="471"/>
      <c r="BI226" s="471"/>
      <c r="BJ226" s="471"/>
      <c r="BK226" s="471"/>
      <c r="BL226" s="471"/>
    </row>
    <row r="227" spans="23:64" ht="18.899999999999999" customHeight="1">
      <c r="W227" s="471"/>
      <c r="X227" s="471"/>
      <c r="Y227" s="471"/>
      <c r="Z227" s="471"/>
      <c r="AA227" s="471"/>
      <c r="AB227" s="471"/>
      <c r="AC227" s="471"/>
      <c r="BG227" s="471"/>
      <c r="BH227" s="471"/>
      <c r="BI227" s="471"/>
      <c r="BJ227" s="471"/>
      <c r="BK227" s="471"/>
      <c r="BL227" s="471"/>
    </row>
    <row r="228" spans="23:64" ht="18.899999999999999" customHeight="1">
      <c r="W228" s="471"/>
      <c r="X228" s="471"/>
      <c r="Y228" s="471"/>
      <c r="Z228" s="471"/>
      <c r="AA228" s="471"/>
      <c r="AB228" s="471"/>
      <c r="AC228" s="471"/>
      <c r="BG228" s="471"/>
      <c r="BH228" s="471"/>
      <c r="BI228" s="471"/>
      <c r="BJ228" s="471"/>
      <c r="BK228" s="471"/>
      <c r="BL228" s="471"/>
    </row>
    <row r="229" spans="23:64" ht="18.899999999999999" customHeight="1">
      <c r="W229" s="471"/>
      <c r="X229" s="471"/>
      <c r="Y229" s="471"/>
      <c r="Z229" s="471"/>
      <c r="AA229" s="471"/>
      <c r="AB229" s="471"/>
      <c r="AC229" s="471"/>
      <c r="BG229" s="471"/>
      <c r="BH229" s="471"/>
      <c r="BI229" s="471"/>
      <c r="BJ229" s="471"/>
      <c r="BK229" s="471"/>
      <c r="BL229" s="471"/>
    </row>
    <row r="230" spans="23:64" ht="18.899999999999999" customHeight="1">
      <c r="W230" s="471"/>
      <c r="X230" s="471"/>
      <c r="Y230" s="471"/>
      <c r="Z230" s="471"/>
      <c r="AA230" s="471"/>
      <c r="AB230" s="471"/>
      <c r="AC230" s="471"/>
      <c r="BG230" s="471"/>
      <c r="BH230" s="471"/>
      <c r="BI230" s="471"/>
      <c r="BJ230" s="471"/>
      <c r="BK230" s="471"/>
      <c r="BL230" s="471"/>
    </row>
    <row r="231" spans="23:64" ht="18.899999999999999" customHeight="1">
      <c r="W231" s="471"/>
      <c r="X231" s="471"/>
      <c r="Y231" s="471"/>
      <c r="Z231" s="471"/>
      <c r="AA231" s="471"/>
      <c r="AB231" s="471"/>
      <c r="AC231" s="471"/>
      <c r="BG231" s="471"/>
      <c r="BH231" s="471"/>
      <c r="BI231" s="471"/>
      <c r="BJ231" s="471"/>
      <c r="BK231" s="471"/>
      <c r="BL231" s="471"/>
    </row>
    <row r="232" spans="23:64" ht="18.899999999999999" customHeight="1">
      <c r="W232" s="471"/>
      <c r="X232" s="471"/>
      <c r="Y232" s="471"/>
      <c r="Z232" s="471"/>
      <c r="AA232" s="471"/>
      <c r="AB232" s="471"/>
      <c r="AC232" s="471"/>
      <c r="BG232" s="471"/>
      <c r="BH232" s="471"/>
      <c r="BI232" s="471"/>
      <c r="BJ232" s="471"/>
      <c r="BK232" s="471"/>
      <c r="BL232" s="471"/>
    </row>
    <row r="233" spans="23:64" ht="18.899999999999999" customHeight="1">
      <c r="W233" s="471"/>
      <c r="X233" s="471"/>
      <c r="Y233" s="471"/>
      <c r="Z233" s="471"/>
      <c r="AA233" s="471"/>
      <c r="AB233" s="471"/>
      <c r="AC233" s="471"/>
      <c r="BG233" s="471"/>
      <c r="BH233" s="471"/>
      <c r="BI233" s="471"/>
      <c r="BJ233" s="471"/>
      <c r="BK233" s="471"/>
      <c r="BL233" s="471"/>
    </row>
    <row r="234" spans="23:64" ht="18.899999999999999" customHeight="1">
      <c r="W234" s="471"/>
      <c r="X234" s="471"/>
      <c r="Y234" s="471"/>
      <c r="Z234" s="471"/>
      <c r="AA234" s="471"/>
      <c r="AB234" s="471"/>
      <c r="AC234" s="471"/>
      <c r="BG234" s="471"/>
      <c r="BH234" s="471"/>
      <c r="BI234" s="471"/>
      <c r="BJ234" s="471"/>
      <c r="BK234" s="471"/>
      <c r="BL234" s="471"/>
    </row>
    <row r="235" spans="23:64" ht="18.899999999999999" customHeight="1">
      <c r="W235" s="471"/>
      <c r="X235" s="471"/>
      <c r="Y235" s="471"/>
      <c r="Z235" s="471"/>
      <c r="AA235" s="471"/>
      <c r="AB235" s="471"/>
      <c r="AC235" s="471"/>
      <c r="BG235" s="471"/>
      <c r="BH235" s="471"/>
      <c r="BI235" s="471"/>
      <c r="BJ235" s="471"/>
      <c r="BK235" s="471"/>
      <c r="BL235" s="471"/>
    </row>
    <row r="236" spans="23:64" ht="18.899999999999999" customHeight="1">
      <c r="W236" s="471"/>
      <c r="X236" s="471"/>
      <c r="Y236" s="471"/>
      <c r="Z236" s="471"/>
      <c r="AA236" s="471"/>
      <c r="AB236" s="471"/>
      <c r="AC236" s="471"/>
      <c r="BG236" s="471"/>
      <c r="BH236" s="471"/>
      <c r="BI236" s="471"/>
      <c r="BJ236" s="471"/>
      <c r="BK236" s="471"/>
      <c r="BL236" s="471"/>
    </row>
    <row r="237" spans="23:64" ht="18.899999999999999" customHeight="1">
      <c r="W237" s="471"/>
      <c r="X237" s="471"/>
      <c r="Y237" s="471"/>
      <c r="Z237" s="471"/>
      <c r="AA237" s="471"/>
      <c r="AB237" s="471"/>
      <c r="AC237" s="471"/>
      <c r="BG237" s="471"/>
      <c r="BH237" s="471"/>
      <c r="BI237" s="471"/>
      <c r="BJ237" s="471"/>
      <c r="BK237" s="471"/>
      <c r="BL237" s="471"/>
    </row>
    <row r="238" spans="23:64" ht="18.899999999999999" customHeight="1">
      <c r="W238" s="471"/>
      <c r="X238" s="471"/>
      <c r="Y238" s="471"/>
      <c r="Z238" s="471"/>
      <c r="AA238" s="471"/>
      <c r="AB238" s="471"/>
      <c r="AC238" s="471"/>
      <c r="BG238" s="471"/>
      <c r="BH238" s="471"/>
      <c r="BI238" s="471"/>
      <c r="BJ238" s="471"/>
      <c r="BK238" s="471"/>
      <c r="BL238" s="471"/>
    </row>
    <row r="239" spans="23:64" ht="18.899999999999999" customHeight="1">
      <c r="W239" s="471"/>
      <c r="X239" s="471"/>
      <c r="Y239" s="471"/>
      <c r="Z239" s="471"/>
      <c r="AA239" s="471"/>
      <c r="AB239" s="471"/>
      <c r="AC239" s="471"/>
      <c r="BG239" s="471"/>
      <c r="BH239" s="471"/>
      <c r="BI239" s="471"/>
      <c r="BJ239" s="471"/>
      <c r="BK239" s="471"/>
      <c r="BL239" s="471"/>
    </row>
    <row r="240" spans="23:64" ht="18.899999999999999" customHeight="1">
      <c r="W240" s="471"/>
      <c r="X240" s="471"/>
      <c r="Y240" s="471"/>
      <c r="Z240" s="471"/>
      <c r="AA240" s="471"/>
      <c r="AB240" s="471"/>
      <c r="AC240" s="471"/>
      <c r="BG240" s="471"/>
      <c r="BH240" s="471"/>
      <c r="BI240" s="471"/>
      <c r="BJ240" s="471"/>
      <c r="BK240" s="471"/>
      <c r="BL240" s="471"/>
    </row>
    <row r="241" spans="23:64" ht="18.899999999999999" customHeight="1">
      <c r="W241" s="471"/>
      <c r="X241" s="471"/>
      <c r="Y241" s="471"/>
      <c r="Z241" s="471"/>
      <c r="AA241" s="471"/>
      <c r="AB241" s="471"/>
      <c r="AC241" s="471"/>
      <c r="BG241" s="471"/>
      <c r="BH241" s="471"/>
      <c r="BI241" s="471"/>
      <c r="BJ241" s="471"/>
      <c r="BK241" s="471"/>
      <c r="BL241" s="471"/>
    </row>
    <row r="242" spans="23:64" ht="18.899999999999999" customHeight="1">
      <c r="W242" s="471"/>
      <c r="X242" s="471"/>
      <c r="Y242" s="471"/>
      <c r="Z242" s="471"/>
      <c r="AA242" s="471"/>
      <c r="AB242" s="471"/>
      <c r="AC242" s="471"/>
      <c r="BG242" s="471"/>
      <c r="BH242" s="471"/>
      <c r="BI242" s="471"/>
      <c r="BJ242" s="471"/>
      <c r="BK242" s="471"/>
      <c r="BL242" s="471"/>
    </row>
    <row r="243" spans="23:64" ht="18.899999999999999" customHeight="1">
      <c r="W243" s="471"/>
      <c r="X243" s="471"/>
      <c r="Y243" s="471"/>
      <c r="Z243" s="471"/>
      <c r="AA243" s="471"/>
      <c r="AB243" s="471"/>
      <c r="AC243" s="471"/>
      <c r="BG243" s="471"/>
      <c r="BH243" s="471"/>
      <c r="BI243" s="471"/>
      <c r="BJ243" s="471"/>
      <c r="BK243" s="471"/>
      <c r="BL243" s="471"/>
    </row>
    <row r="244" spans="23:64" ht="18.899999999999999" customHeight="1">
      <c r="W244" s="471"/>
      <c r="X244" s="471"/>
      <c r="Y244" s="471"/>
      <c r="Z244" s="471"/>
      <c r="AA244" s="471"/>
      <c r="AB244" s="471"/>
      <c r="AC244" s="471"/>
      <c r="BG244" s="471"/>
      <c r="BH244" s="471"/>
      <c r="BI244" s="471"/>
      <c r="BJ244" s="471"/>
      <c r="BK244" s="471"/>
      <c r="BL244" s="471"/>
    </row>
    <row r="245" spans="23:64" ht="18.899999999999999" customHeight="1">
      <c r="W245" s="471"/>
      <c r="X245" s="471"/>
      <c r="Y245" s="471"/>
      <c r="Z245" s="471"/>
      <c r="AA245" s="471"/>
      <c r="AB245" s="471"/>
      <c r="AC245" s="471"/>
      <c r="BG245" s="471"/>
      <c r="BH245" s="471"/>
      <c r="BI245" s="471"/>
      <c r="BJ245" s="471"/>
      <c r="BK245" s="471"/>
      <c r="BL245" s="471"/>
    </row>
    <row r="246" spans="23:64" ht="18.899999999999999" customHeight="1">
      <c r="W246" s="471"/>
      <c r="X246" s="471"/>
      <c r="Y246" s="471"/>
      <c r="Z246" s="471"/>
      <c r="AA246" s="471"/>
      <c r="AB246" s="471"/>
      <c r="AC246" s="471"/>
      <c r="BG246" s="471"/>
      <c r="BH246" s="471"/>
      <c r="BI246" s="471"/>
      <c r="BJ246" s="471"/>
      <c r="BK246" s="471"/>
      <c r="BL246" s="471"/>
    </row>
    <row r="247" spans="23:64" ht="18.899999999999999" customHeight="1">
      <c r="W247" s="471"/>
      <c r="X247" s="471"/>
      <c r="Y247" s="471"/>
      <c r="Z247" s="471"/>
      <c r="AA247" s="471"/>
      <c r="AB247" s="471"/>
      <c r="AC247" s="471"/>
      <c r="BG247" s="471"/>
      <c r="BH247" s="471"/>
      <c r="BI247" s="471"/>
      <c r="BJ247" s="471"/>
      <c r="BK247" s="471"/>
      <c r="BL247" s="471"/>
    </row>
    <row r="248" spans="23:64" ht="18.899999999999999" customHeight="1">
      <c r="W248" s="471"/>
      <c r="X248" s="471"/>
      <c r="Y248" s="471"/>
      <c r="Z248" s="471"/>
      <c r="AA248" s="471"/>
      <c r="AB248" s="471"/>
      <c r="AC248" s="471"/>
      <c r="BG248" s="471"/>
      <c r="BH248" s="471"/>
      <c r="BI248" s="471"/>
      <c r="BJ248" s="471"/>
      <c r="BK248" s="471"/>
      <c r="BL248" s="471"/>
    </row>
    <row r="249" spans="23:64" ht="18.899999999999999" customHeight="1">
      <c r="W249" s="471"/>
      <c r="X249" s="471"/>
      <c r="Y249" s="471"/>
      <c r="Z249" s="471"/>
      <c r="AA249" s="471"/>
      <c r="AB249" s="471"/>
      <c r="AC249" s="471"/>
      <c r="BG249" s="471"/>
      <c r="BH249" s="471"/>
      <c r="BI249" s="471"/>
      <c r="BJ249" s="471"/>
      <c r="BK249" s="471"/>
      <c r="BL249" s="471"/>
    </row>
    <row r="250" spans="23:64" ht="18.899999999999999" customHeight="1">
      <c r="W250" s="471"/>
      <c r="X250" s="471"/>
      <c r="Y250" s="471"/>
      <c r="Z250" s="471"/>
      <c r="AA250" s="471"/>
      <c r="AB250" s="471"/>
      <c r="AC250" s="471"/>
      <c r="BG250" s="471"/>
      <c r="BH250" s="471"/>
      <c r="BI250" s="471"/>
      <c r="BJ250" s="471"/>
      <c r="BK250" s="471"/>
      <c r="BL250" s="471"/>
    </row>
    <row r="251" spans="23:64" ht="18.899999999999999" customHeight="1">
      <c r="W251" s="471"/>
      <c r="X251" s="471"/>
      <c r="Y251" s="471"/>
      <c r="Z251" s="471"/>
      <c r="AA251" s="471"/>
      <c r="AB251" s="471"/>
      <c r="AC251" s="471"/>
      <c r="BG251" s="471"/>
      <c r="BH251" s="471"/>
      <c r="BI251" s="471"/>
      <c r="BJ251" s="471"/>
      <c r="BK251" s="471"/>
      <c r="BL251" s="471"/>
    </row>
    <row r="252" spans="23:64" ht="18.899999999999999" customHeight="1">
      <c r="W252" s="471"/>
      <c r="X252" s="471"/>
      <c r="Y252" s="471"/>
      <c r="Z252" s="471"/>
      <c r="AA252" s="471"/>
      <c r="AB252" s="471"/>
      <c r="AC252" s="471"/>
      <c r="BG252" s="471"/>
      <c r="BH252" s="471"/>
      <c r="BI252" s="471"/>
      <c r="BJ252" s="471"/>
      <c r="BK252" s="471"/>
      <c r="BL252" s="471"/>
    </row>
    <row r="253" spans="23:64" ht="18.899999999999999" customHeight="1">
      <c r="W253" s="471"/>
      <c r="X253" s="471"/>
      <c r="Y253" s="471"/>
      <c r="Z253" s="471"/>
      <c r="AA253" s="471"/>
      <c r="AB253" s="471"/>
      <c r="AC253" s="471"/>
      <c r="BG253" s="471"/>
      <c r="BH253" s="471"/>
      <c r="BI253" s="471"/>
      <c r="BJ253" s="471"/>
      <c r="BK253" s="471"/>
      <c r="BL253" s="471"/>
    </row>
    <row r="254" spans="23:64" ht="18.899999999999999" customHeight="1">
      <c r="W254" s="471"/>
      <c r="X254" s="471"/>
      <c r="Y254" s="471"/>
      <c r="Z254" s="471"/>
      <c r="AA254" s="471"/>
      <c r="AB254" s="471"/>
      <c r="AC254" s="471"/>
      <c r="BG254" s="471"/>
      <c r="BH254" s="471"/>
      <c r="BI254" s="471"/>
      <c r="BJ254" s="471"/>
      <c r="BK254" s="471"/>
      <c r="BL254" s="471"/>
    </row>
    <row r="255" spans="23:64" ht="18.899999999999999" customHeight="1">
      <c r="W255" s="471"/>
      <c r="X255" s="471"/>
      <c r="Y255" s="471"/>
      <c r="Z255" s="471"/>
      <c r="AA255" s="471"/>
      <c r="AB255" s="471"/>
      <c r="AC255" s="471"/>
      <c r="BG255" s="471"/>
      <c r="BH255" s="471"/>
      <c r="BI255" s="471"/>
      <c r="BJ255" s="471"/>
      <c r="BK255" s="471"/>
      <c r="BL255" s="471"/>
    </row>
    <row r="256" spans="23:64" ht="18.899999999999999" customHeight="1">
      <c r="W256" s="471"/>
      <c r="X256" s="471"/>
      <c r="Y256" s="471"/>
      <c r="Z256" s="471"/>
      <c r="AA256" s="471"/>
      <c r="AB256" s="471"/>
      <c r="AC256" s="471"/>
      <c r="BG256" s="471"/>
      <c r="BH256" s="471"/>
      <c r="BI256" s="471"/>
      <c r="BJ256" s="471"/>
      <c r="BK256" s="471"/>
      <c r="BL256" s="471"/>
    </row>
    <row r="257" spans="23:64" ht="18.899999999999999" customHeight="1">
      <c r="W257" s="471"/>
      <c r="X257" s="471"/>
      <c r="Y257" s="471"/>
      <c r="Z257" s="471"/>
      <c r="AA257" s="471"/>
      <c r="AB257" s="471"/>
      <c r="AC257" s="471"/>
      <c r="BG257" s="471"/>
      <c r="BH257" s="471"/>
      <c r="BI257" s="471"/>
      <c r="BJ257" s="471"/>
      <c r="BK257" s="471"/>
      <c r="BL257" s="471"/>
    </row>
    <row r="258" spans="23:64" ht="18.899999999999999" customHeight="1">
      <c r="W258" s="471"/>
      <c r="X258" s="471"/>
      <c r="Y258" s="471"/>
      <c r="Z258" s="471"/>
      <c r="AA258" s="471"/>
      <c r="AB258" s="471"/>
      <c r="AC258" s="471"/>
      <c r="BG258" s="471"/>
      <c r="BH258" s="471"/>
      <c r="BI258" s="471"/>
      <c r="BJ258" s="471"/>
      <c r="BK258" s="471"/>
      <c r="BL258" s="471"/>
    </row>
    <row r="259" spans="23:64" ht="18.899999999999999" customHeight="1">
      <c r="W259" s="471"/>
      <c r="X259" s="471"/>
      <c r="Y259" s="471"/>
      <c r="Z259" s="471"/>
      <c r="AA259" s="471"/>
      <c r="AB259" s="471"/>
      <c r="AC259" s="471"/>
      <c r="BG259" s="471"/>
      <c r="BH259" s="471"/>
      <c r="BI259" s="471"/>
      <c r="BJ259" s="471"/>
      <c r="BK259" s="471"/>
      <c r="BL259" s="471"/>
    </row>
    <row r="260" spans="23:64" ht="18.899999999999999" customHeight="1">
      <c r="W260" s="471"/>
      <c r="X260" s="471"/>
      <c r="Y260" s="471"/>
      <c r="Z260" s="471"/>
      <c r="AA260" s="471"/>
      <c r="AB260" s="471"/>
      <c r="AC260" s="471"/>
      <c r="BG260" s="471"/>
      <c r="BH260" s="471"/>
      <c r="BI260" s="471"/>
      <c r="BJ260" s="471"/>
      <c r="BK260" s="471"/>
      <c r="BL260" s="471"/>
    </row>
    <row r="261" spans="23:64" ht="18.899999999999999" customHeight="1">
      <c r="W261" s="471"/>
      <c r="X261" s="471"/>
      <c r="Y261" s="471"/>
      <c r="Z261" s="471"/>
      <c r="AA261" s="471"/>
      <c r="AB261" s="471"/>
      <c r="AC261" s="471"/>
      <c r="BG261" s="471"/>
      <c r="BH261" s="471"/>
      <c r="BI261" s="471"/>
      <c r="BJ261" s="471"/>
      <c r="BK261" s="471"/>
      <c r="BL261" s="471"/>
    </row>
    <row r="262" spans="23:64" ht="18.899999999999999" customHeight="1">
      <c r="W262" s="471"/>
      <c r="X262" s="471"/>
      <c r="Y262" s="471"/>
      <c r="Z262" s="471"/>
      <c r="AA262" s="471"/>
      <c r="AB262" s="471"/>
      <c r="AC262" s="471"/>
      <c r="BG262" s="471"/>
      <c r="BH262" s="471"/>
      <c r="BI262" s="471"/>
      <c r="BJ262" s="471"/>
      <c r="BK262" s="471"/>
      <c r="BL262" s="471"/>
    </row>
    <row r="263" spans="23:64" ht="18.899999999999999" customHeight="1">
      <c r="W263" s="471"/>
      <c r="X263" s="471"/>
      <c r="Y263" s="471"/>
      <c r="Z263" s="471"/>
      <c r="AA263" s="471"/>
      <c r="AB263" s="471"/>
      <c r="AC263" s="471"/>
      <c r="BG263" s="471"/>
      <c r="BH263" s="471"/>
      <c r="BI263" s="471"/>
      <c r="BJ263" s="471"/>
      <c r="BK263" s="471"/>
      <c r="BL263" s="471"/>
    </row>
    <row r="264" spans="23:64" ht="18.899999999999999" customHeight="1">
      <c r="W264" s="471"/>
      <c r="X264" s="471"/>
      <c r="Y264" s="471"/>
      <c r="Z264" s="471"/>
      <c r="AA264" s="471"/>
      <c r="AB264" s="471"/>
      <c r="AC264" s="471"/>
      <c r="BG264" s="471"/>
      <c r="BH264" s="471"/>
      <c r="BI264" s="471"/>
      <c r="BJ264" s="471"/>
      <c r="BK264" s="471"/>
      <c r="BL264" s="471"/>
    </row>
    <row r="265" spans="23:64" ht="18.899999999999999" customHeight="1">
      <c r="W265" s="471"/>
      <c r="X265" s="471"/>
      <c r="Y265" s="471"/>
      <c r="Z265" s="471"/>
      <c r="AA265" s="471"/>
      <c r="AB265" s="471"/>
      <c r="AC265" s="471"/>
      <c r="BG265" s="471"/>
      <c r="BH265" s="471"/>
      <c r="BI265" s="471"/>
      <c r="BJ265" s="471"/>
      <c r="BK265" s="471"/>
      <c r="BL265" s="471"/>
    </row>
    <row r="266" spans="23:64" ht="18.899999999999999" customHeight="1">
      <c r="W266" s="471"/>
      <c r="X266" s="471"/>
      <c r="Y266" s="471"/>
      <c r="Z266" s="471"/>
      <c r="AA266" s="471"/>
      <c r="AB266" s="471"/>
      <c r="AC266" s="471"/>
      <c r="BG266" s="471"/>
      <c r="BH266" s="471"/>
      <c r="BI266" s="471"/>
      <c r="BJ266" s="471"/>
      <c r="BK266" s="471"/>
      <c r="BL266" s="471"/>
    </row>
    <row r="267" spans="23:64" ht="18.899999999999999" customHeight="1">
      <c r="W267" s="471"/>
      <c r="X267" s="471"/>
      <c r="Y267" s="471"/>
      <c r="Z267" s="471"/>
      <c r="AA267" s="471"/>
      <c r="AB267" s="471"/>
      <c r="AC267" s="471"/>
      <c r="BG267" s="471"/>
      <c r="BH267" s="471"/>
      <c r="BI267" s="471"/>
      <c r="BJ267" s="471"/>
      <c r="BK267" s="471"/>
      <c r="BL267" s="471"/>
    </row>
    <row r="268" spans="23:64" ht="18.899999999999999" customHeight="1">
      <c r="W268" s="471"/>
      <c r="X268" s="471"/>
      <c r="Y268" s="471"/>
      <c r="Z268" s="471"/>
      <c r="AA268" s="471"/>
      <c r="AB268" s="471"/>
      <c r="AC268" s="471"/>
      <c r="BG268" s="471"/>
      <c r="BH268" s="471"/>
      <c r="BI268" s="471"/>
      <c r="BJ268" s="471"/>
      <c r="BK268" s="471"/>
      <c r="BL268" s="471"/>
    </row>
    <row r="269" spans="23:64" ht="18.899999999999999" customHeight="1">
      <c r="W269" s="471"/>
      <c r="X269" s="471"/>
      <c r="Y269" s="471"/>
      <c r="Z269" s="471"/>
      <c r="AA269" s="471"/>
      <c r="AB269" s="471"/>
      <c r="AC269" s="471"/>
      <c r="BG269" s="471"/>
      <c r="BH269" s="471"/>
      <c r="BI269" s="471"/>
      <c r="BJ269" s="471"/>
      <c r="BK269" s="471"/>
      <c r="BL269" s="471"/>
    </row>
    <row r="270" spans="23:64" ht="18.899999999999999" customHeight="1">
      <c r="W270" s="471"/>
      <c r="X270" s="471"/>
      <c r="Y270" s="471"/>
      <c r="Z270" s="471"/>
      <c r="AA270" s="471"/>
      <c r="AB270" s="471"/>
      <c r="AC270" s="471"/>
      <c r="BG270" s="471"/>
      <c r="BH270" s="471"/>
      <c r="BI270" s="471"/>
      <c r="BJ270" s="471"/>
      <c r="BK270" s="471"/>
      <c r="BL270" s="471"/>
    </row>
    <row r="271" spans="23:64" ht="18.899999999999999" customHeight="1">
      <c r="W271" s="471"/>
      <c r="X271" s="471"/>
      <c r="Y271" s="471"/>
      <c r="Z271" s="471"/>
      <c r="AA271" s="471"/>
      <c r="AB271" s="471"/>
      <c r="AC271" s="471"/>
      <c r="BG271" s="471"/>
      <c r="BH271" s="471"/>
      <c r="BI271" s="471"/>
      <c r="BJ271" s="471"/>
      <c r="BK271" s="471"/>
      <c r="BL271" s="471"/>
    </row>
    <row r="272" spans="23:64" ht="18.899999999999999" customHeight="1">
      <c r="W272" s="471"/>
      <c r="X272" s="471"/>
      <c r="Y272" s="471"/>
      <c r="Z272" s="471"/>
      <c r="AA272" s="471"/>
      <c r="AB272" s="471"/>
      <c r="AC272" s="471"/>
      <c r="BG272" s="471"/>
      <c r="BH272" s="471"/>
      <c r="BI272" s="471"/>
      <c r="BJ272" s="471"/>
      <c r="BK272" s="471"/>
      <c r="BL272" s="471"/>
    </row>
    <row r="273" spans="23:64" ht="18.899999999999999" customHeight="1">
      <c r="W273" s="471"/>
      <c r="X273" s="471"/>
      <c r="Y273" s="471"/>
      <c r="Z273" s="471"/>
      <c r="AA273" s="471"/>
      <c r="AB273" s="471"/>
      <c r="AC273" s="471"/>
      <c r="BG273" s="471"/>
      <c r="BH273" s="471"/>
      <c r="BI273" s="471"/>
      <c r="BJ273" s="471"/>
      <c r="BK273" s="471"/>
      <c r="BL273" s="471"/>
    </row>
    <row r="274" spans="23:64" ht="18.899999999999999" customHeight="1">
      <c r="W274" s="471"/>
      <c r="X274" s="471"/>
      <c r="Y274" s="471"/>
      <c r="Z274" s="471"/>
      <c r="AA274" s="471"/>
      <c r="AB274" s="471"/>
      <c r="AC274" s="471"/>
      <c r="BG274" s="471"/>
      <c r="BH274" s="471"/>
      <c r="BI274" s="471"/>
      <c r="BJ274" s="471"/>
      <c r="BK274" s="471"/>
      <c r="BL274" s="471"/>
    </row>
    <row r="275" spans="23:64" ht="18.899999999999999" customHeight="1">
      <c r="W275" s="471"/>
      <c r="X275" s="471"/>
      <c r="Y275" s="471"/>
      <c r="Z275" s="471"/>
      <c r="AA275" s="471"/>
      <c r="AB275" s="471"/>
      <c r="AC275" s="471"/>
      <c r="BG275" s="471"/>
      <c r="BH275" s="471"/>
      <c r="BI275" s="471"/>
      <c r="BJ275" s="471"/>
      <c r="BK275" s="471"/>
      <c r="BL275" s="471"/>
    </row>
    <row r="276" spans="23:64" ht="18.899999999999999" customHeight="1">
      <c r="W276" s="471"/>
      <c r="X276" s="471"/>
      <c r="Y276" s="471"/>
      <c r="Z276" s="471"/>
      <c r="AA276" s="471"/>
      <c r="AB276" s="471"/>
      <c r="AC276" s="471"/>
      <c r="BG276" s="471"/>
      <c r="BH276" s="471"/>
      <c r="BI276" s="471"/>
      <c r="BJ276" s="471"/>
      <c r="BK276" s="471"/>
      <c r="BL276" s="471"/>
    </row>
    <row r="277" spans="23:64" ht="18.899999999999999" customHeight="1">
      <c r="W277" s="471"/>
      <c r="X277" s="471"/>
      <c r="Y277" s="471"/>
      <c r="Z277" s="471"/>
      <c r="AA277" s="471"/>
      <c r="AB277" s="471"/>
      <c r="AC277" s="471"/>
      <c r="BG277" s="471"/>
      <c r="BH277" s="471"/>
      <c r="BI277" s="471"/>
      <c r="BJ277" s="471"/>
      <c r="BK277" s="471"/>
      <c r="BL277" s="471"/>
    </row>
    <row r="278" spans="23:64" ht="18.899999999999999" customHeight="1">
      <c r="W278" s="471"/>
      <c r="X278" s="471"/>
      <c r="Y278" s="471"/>
      <c r="Z278" s="471"/>
      <c r="AA278" s="471"/>
      <c r="AB278" s="471"/>
      <c r="AC278" s="471"/>
      <c r="BG278" s="471"/>
      <c r="BH278" s="471"/>
      <c r="BI278" s="471"/>
      <c r="BJ278" s="471"/>
      <c r="BK278" s="471"/>
      <c r="BL278" s="471"/>
    </row>
    <row r="279" spans="23:64" ht="18.899999999999999" customHeight="1">
      <c r="W279" s="471"/>
      <c r="X279" s="471"/>
      <c r="Y279" s="471"/>
      <c r="Z279" s="471"/>
      <c r="AA279" s="471"/>
      <c r="AB279" s="471"/>
      <c r="AC279" s="471"/>
      <c r="BG279" s="471"/>
      <c r="BH279" s="471"/>
      <c r="BI279" s="471"/>
      <c r="BJ279" s="471"/>
      <c r="BK279" s="471"/>
      <c r="BL279" s="471"/>
    </row>
    <row r="280" spans="23:64" ht="18.899999999999999" customHeight="1">
      <c r="W280" s="471"/>
      <c r="X280" s="471"/>
      <c r="Y280" s="471"/>
      <c r="Z280" s="471"/>
      <c r="AA280" s="471"/>
      <c r="AB280" s="471"/>
      <c r="AC280" s="471"/>
      <c r="BG280" s="471"/>
      <c r="BH280" s="471"/>
      <c r="BI280" s="471"/>
      <c r="BJ280" s="471"/>
      <c r="BK280" s="471"/>
      <c r="BL280" s="471"/>
    </row>
    <row r="281" spans="23:64" ht="18.899999999999999" customHeight="1">
      <c r="W281" s="471"/>
      <c r="X281" s="471"/>
      <c r="Y281" s="471"/>
      <c r="Z281" s="471"/>
      <c r="AA281" s="471"/>
      <c r="AB281" s="471"/>
      <c r="AC281" s="471"/>
      <c r="BG281" s="471"/>
      <c r="BH281" s="471"/>
      <c r="BI281" s="471"/>
      <c r="BJ281" s="471"/>
      <c r="BK281" s="471"/>
      <c r="BL281" s="471"/>
    </row>
    <row r="282" spans="23:64" ht="18.899999999999999" customHeight="1">
      <c r="W282" s="471"/>
      <c r="X282" s="471"/>
      <c r="Y282" s="471"/>
      <c r="Z282" s="471"/>
      <c r="AA282" s="471"/>
      <c r="AB282" s="471"/>
      <c r="AC282" s="471"/>
      <c r="BG282" s="471"/>
      <c r="BH282" s="471"/>
      <c r="BI282" s="471"/>
      <c r="BJ282" s="471"/>
      <c r="BK282" s="471"/>
      <c r="BL282" s="471"/>
    </row>
    <row r="283" spans="23:64" ht="18.899999999999999" customHeight="1">
      <c r="W283" s="471"/>
      <c r="X283" s="471"/>
      <c r="Y283" s="471"/>
      <c r="Z283" s="471"/>
      <c r="AA283" s="471"/>
      <c r="AB283" s="471"/>
      <c r="AC283" s="471"/>
      <c r="BG283" s="471"/>
      <c r="BH283" s="471"/>
      <c r="BI283" s="471"/>
      <c r="BJ283" s="471"/>
      <c r="BK283" s="471"/>
      <c r="BL283" s="471"/>
    </row>
    <row r="284" spans="23:64" ht="18.899999999999999" customHeight="1">
      <c r="W284" s="471"/>
      <c r="X284" s="471"/>
      <c r="Y284" s="471"/>
      <c r="Z284" s="471"/>
      <c r="AA284" s="471"/>
      <c r="AB284" s="471"/>
      <c r="AC284" s="471"/>
      <c r="BG284" s="471"/>
      <c r="BH284" s="471"/>
      <c r="BI284" s="471"/>
      <c r="BJ284" s="471"/>
      <c r="BK284" s="471"/>
      <c r="BL284" s="471"/>
    </row>
    <row r="285" spans="23:64" ht="18.899999999999999" customHeight="1">
      <c r="W285" s="471"/>
      <c r="X285" s="471"/>
      <c r="Y285" s="471"/>
      <c r="Z285" s="471"/>
      <c r="AA285" s="471"/>
      <c r="AB285" s="471"/>
      <c r="AC285" s="471"/>
      <c r="BG285" s="471"/>
      <c r="BH285" s="471"/>
      <c r="BI285" s="471"/>
      <c r="BJ285" s="471"/>
      <c r="BK285" s="471"/>
      <c r="BL285" s="471"/>
    </row>
    <row r="286" spans="23:64" ht="18.899999999999999" customHeight="1">
      <c r="W286" s="471"/>
      <c r="X286" s="471"/>
      <c r="Y286" s="471"/>
      <c r="Z286" s="471"/>
      <c r="AA286" s="471"/>
      <c r="AB286" s="471"/>
      <c r="AC286" s="471"/>
      <c r="BG286" s="471"/>
      <c r="BH286" s="471"/>
      <c r="BI286" s="471"/>
      <c r="BJ286" s="471"/>
      <c r="BK286" s="471"/>
      <c r="BL286" s="471"/>
    </row>
    <row r="287" spans="23:64" ht="18.899999999999999" customHeight="1">
      <c r="W287" s="471"/>
      <c r="X287" s="471"/>
      <c r="Y287" s="471"/>
      <c r="Z287" s="471"/>
      <c r="AA287" s="471"/>
      <c r="AB287" s="471"/>
      <c r="AC287" s="471"/>
      <c r="BG287" s="471"/>
      <c r="BH287" s="471"/>
      <c r="BI287" s="471"/>
      <c r="BJ287" s="471"/>
      <c r="BK287" s="471"/>
      <c r="BL287" s="471"/>
    </row>
    <row r="288" spans="23:64" ht="18.899999999999999" customHeight="1">
      <c r="W288" s="471"/>
      <c r="X288" s="471"/>
      <c r="Y288" s="471"/>
      <c r="Z288" s="471"/>
      <c r="AA288" s="471"/>
      <c r="AB288" s="471"/>
      <c r="AC288" s="471"/>
      <c r="BG288" s="471"/>
      <c r="BH288" s="471"/>
      <c r="BI288" s="471"/>
      <c r="BJ288" s="471"/>
      <c r="BK288" s="471"/>
      <c r="BL288" s="471"/>
    </row>
    <row r="289" spans="23:64" ht="18.899999999999999" customHeight="1">
      <c r="W289" s="471"/>
      <c r="X289" s="471"/>
      <c r="Y289" s="471"/>
      <c r="Z289" s="471"/>
      <c r="AA289" s="471"/>
      <c r="AB289" s="471"/>
      <c r="AC289" s="471"/>
      <c r="BG289" s="471"/>
      <c r="BH289" s="471"/>
      <c r="BI289" s="471"/>
      <c r="BJ289" s="471"/>
      <c r="BK289" s="471"/>
      <c r="BL289" s="471"/>
    </row>
    <row r="290" spans="23:64" ht="18.899999999999999" customHeight="1">
      <c r="W290" s="471"/>
      <c r="X290" s="471"/>
      <c r="Y290" s="471"/>
      <c r="Z290" s="471"/>
      <c r="AA290" s="471"/>
      <c r="AB290" s="471"/>
      <c r="AC290" s="471"/>
      <c r="BG290" s="471"/>
      <c r="BH290" s="471"/>
      <c r="BI290" s="471"/>
      <c r="BJ290" s="471"/>
      <c r="BK290" s="471"/>
      <c r="BL290" s="471"/>
    </row>
    <row r="291" spans="23:64" ht="18.899999999999999" customHeight="1">
      <c r="W291" s="471"/>
      <c r="X291" s="471"/>
      <c r="Y291" s="471"/>
      <c r="Z291" s="471"/>
      <c r="AA291" s="471"/>
      <c r="AB291" s="471"/>
      <c r="AC291" s="471"/>
      <c r="BG291" s="471"/>
      <c r="BH291" s="471"/>
      <c r="BI291" s="471"/>
      <c r="BJ291" s="471"/>
      <c r="BK291" s="471"/>
      <c r="BL291" s="471"/>
    </row>
    <row r="292" spans="23:64" ht="18.899999999999999" customHeight="1">
      <c r="W292" s="471"/>
      <c r="X292" s="471"/>
      <c r="Y292" s="471"/>
      <c r="Z292" s="471"/>
      <c r="AA292" s="471"/>
      <c r="AB292" s="471"/>
      <c r="AC292" s="471"/>
      <c r="BG292" s="471"/>
      <c r="BH292" s="471"/>
      <c r="BI292" s="471"/>
      <c r="BJ292" s="471"/>
      <c r="BK292" s="471"/>
      <c r="BL292" s="471"/>
    </row>
    <row r="293" spans="23:64" ht="18.899999999999999" customHeight="1">
      <c r="W293" s="471"/>
      <c r="X293" s="471"/>
      <c r="Y293" s="471"/>
      <c r="Z293" s="471"/>
      <c r="AA293" s="471"/>
      <c r="AB293" s="471"/>
      <c r="AC293" s="471"/>
      <c r="BG293" s="471"/>
      <c r="BH293" s="471"/>
      <c r="BI293" s="471"/>
      <c r="BJ293" s="471"/>
      <c r="BK293" s="471"/>
      <c r="BL293" s="471"/>
    </row>
    <row r="294" spans="23:64" ht="18.899999999999999" customHeight="1">
      <c r="W294" s="471"/>
      <c r="X294" s="471"/>
      <c r="Y294" s="471"/>
      <c r="Z294" s="471"/>
      <c r="AA294" s="471"/>
      <c r="AB294" s="471"/>
      <c r="AC294" s="471"/>
      <c r="BG294" s="471"/>
      <c r="BH294" s="471"/>
      <c r="BI294" s="471"/>
      <c r="BJ294" s="471"/>
      <c r="BK294" s="471"/>
      <c r="BL294" s="471"/>
    </row>
    <row r="295" spans="23:64" ht="18.899999999999999" customHeight="1">
      <c r="W295" s="471"/>
      <c r="X295" s="471"/>
      <c r="Y295" s="471"/>
      <c r="Z295" s="471"/>
      <c r="AA295" s="471"/>
      <c r="AB295" s="471"/>
      <c r="AC295" s="471"/>
      <c r="BG295" s="471"/>
      <c r="BH295" s="471"/>
      <c r="BI295" s="471"/>
      <c r="BJ295" s="471"/>
      <c r="BK295" s="471"/>
      <c r="BL295" s="471"/>
    </row>
    <row r="296" spans="23:64" ht="18.899999999999999" customHeight="1">
      <c r="W296" s="471"/>
      <c r="X296" s="471"/>
      <c r="Y296" s="471"/>
      <c r="Z296" s="471"/>
      <c r="AA296" s="471"/>
      <c r="AB296" s="471"/>
      <c r="AC296" s="471"/>
      <c r="BG296" s="471"/>
      <c r="BH296" s="471"/>
      <c r="BI296" s="471"/>
      <c r="BJ296" s="471"/>
      <c r="BK296" s="471"/>
      <c r="BL296" s="471"/>
    </row>
    <row r="297" spans="23:64" ht="18.899999999999999" customHeight="1">
      <c r="W297" s="471"/>
      <c r="X297" s="471"/>
      <c r="Y297" s="471"/>
      <c r="Z297" s="471"/>
      <c r="AA297" s="471"/>
      <c r="AB297" s="471"/>
      <c r="AC297" s="471"/>
      <c r="BG297" s="471"/>
      <c r="BH297" s="471"/>
      <c r="BI297" s="471"/>
      <c r="BJ297" s="471"/>
      <c r="BK297" s="471"/>
      <c r="BL297" s="471"/>
    </row>
    <row r="298" spans="23:64" ht="18.899999999999999" customHeight="1">
      <c r="W298" s="471"/>
      <c r="X298" s="471"/>
      <c r="Y298" s="471"/>
      <c r="Z298" s="471"/>
      <c r="AA298" s="471"/>
      <c r="AB298" s="471"/>
      <c r="AC298" s="471"/>
      <c r="BG298" s="471"/>
      <c r="BH298" s="471"/>
      <c r="BI298" s="471"/>
      <c r="BJ298" s="471"/>
      <c r="BK298" s="471"/>
      <c r="BL298" s="471"/>
    </row>
    <row r="299" spans="23:64" ht="18.899999999999999" customHeight="1">
      <c r="W299" s="471"/>
      <c r="X299" s="471"/>
      <c r="Y299" s="471"/>
      <c r="Z299" s="471"/>
      <c r="AA299" s="471"/>
      <c r="AB299" s="471"/>
      <c r="AC299" s="471"/>
      <c r="BG299" s="471"/>
      <c r="BH299" s="471"/>
      <c r="BI299" s="471"/>
      <c r="BJ299" s="471"/>
      <c r="BK299" s="471"/>
      <c r="BL299" s="471"/>
    </row>
    <row r="300" spans="23:64" ht="18.899999999999999" customHeight="1">
      <c r="W300" s="471"/>
      <c r="X300" s="471"/>
      <c r="Y300" s="471"/>
      <c r="Z300" s="471"/>
      <c r="AA300" s="471"/>
      <c r="AB300" s="471"/>
      <c r="AC300" s="471"/>
      <c r="BG300" s="471"/>
      <c r="BH300" s="471"/>
      <c r="BI300" s="471"/>
      <c r="BJ300" s="471"/>
      <c r="BK300" s="471"/>
      <c r="BL300" s="471"/>
    </row>
    <row r="301" spans="23:64" ht="18.899999999999999" customHeight="1">
      <c r="W301" s="471"/>
      <c r="X301" s="471"/>
      <c r="Y301" s="471"/>
      <c r="Z301" s="471"/>
      <c r="AA301" s="471"/>
      <c r="AB301" s="471"/>
      <c r="AC301" s="471"/>
      <c r="BG301" s="471"/>
      <c r="BH301" s="471"/>
      <c r="BI301" s="471"/>
      <c r="BJ301" s="471"/>
      <c r="BK301" s="471"/>
      <c r="BL301" s="471"/>
    </row>
    <row r="302" spans="23:64" ht="18.899999999999999" customHeight="1">
      <c r="W302" s="471"/>
      <c r="X302" s="471"/>
      <c r="Y302" s="471"/>
      <c r="Z302" s="471"/>
      <c r="AA302" s="471"/>
      <c r="AB302" s="471"/>
      <c r="AC302" s="471"/>
      <c r="BG302" s="471"/>
      <c r="BH302" s="471"/>
      <c r="BI302" s="471"/>
      <c r="BJ302" s="471"/>
      <c r="BK302" s="471"/>
      <c r="BL302" s="471"/>
    </row>
    <row r="303" spans="23:64" ht="18.899999999999999" customHeight="1">
      <c r="W303" s="471"/>
      <c r="X303" s="471"/>
      <c r="Y303" s="471"/>
      <c r="Z303" s="471"/>
      <c r="AA303" s="471"/>
      <c r="AB303" s="471"/>
      <c r="AC303" s="471"/>
      <c r="BG303" s="471"/>
      <c r="BH303" s="471"/>
      <c r="BI303" s="471"/>
      <c r="BJ303" s="471"/>
      <c r="BK303" s="471"/>
      <c r="BL303" s="471"/>
    </row>
    <row r="304" spans="23:64" ht="18.899999999999999" customHeight="1">
      <c r="W304" s="471"/>
      <c r="X304" s="471"/>
      <c r="Y304" s="471"/>
      <c r="Z304" s="471"/>
      <c r="AA304" s="471"/>
      <c r="AB304" s="471"/>
      <c r="AC304" s="471"/>
      <c r="BG304" s="471"/>
      <c r="BH304" s="471"/>
      <c r="BI304" s="471"/>
      <c r="BJ304" s="471"/>
      <c r="BK304" s="471"/>
      <c r="BL304" s="471"/>
    </row>
    <row r="305" spans="23:64" ht="18.899999999999999" customHeight="1">
      <c r="W305" s="471"/>
      <c r="X305" s="471"/>
      <c r="Y305" s="471"/>
      <c r="Z305" s="471"/>
      <c r="AA305" s="471"/>
      <c r="AB305" s="471"/>
      <c r="AC305" s="471"/>
      <c r="BG305" s="471"/>
      <c r="BH305" s="471"/>
      <c r="BI305" s="471"/>
      <c r="BJ305" s="471"/>
      <c r="BK305" s="471"/>
      <c r="BL305" s="471"/>
    </row>
    <row r="306" spans="23:64" ht="18.899999999999999" customHeight="1">
      <c r="W306" s="471"/>
      <c r="X306" s="471"/>
      <c r="Y306" s="471"/>
      <c r="Z306" s="471"/>
      <c r="AA306" s="471"/>
      <c r="AB306" s="471"/>
      <c r="AC306" s="471"/>
      <c r="BG306" s="471"/>
      <c r="BH306" s="471"/>
      <c r="BI306" s="471"/>
      <c r="BJ306" s="471"/>
      <c r="BK306" s="471"/>
      <c r="BL306" s="471"/>
    </row>
    <row r="307" spans="23:64" ht="18.899999999999999" customHeight="1">
      <c r="W307" s="471"/>
      <c r="X307" s="471"/>
      <c r="Y307" s="471"/>
      <c r="Z307" s="471"/>
      <c r="AA307" s="471"/>
      <c r="AB307" s="471"/>
      <c r="AC307" s="471"/>
      <c r="BG307" s="471"/>
      <c r="BH307" s="471"/>
      <c r="BI307" s="471"/>
      <c r="BJ307" s="471"/>
      <c r="BK307" s="471"/>
      <c r="BL307" s="471"/>
    </row>
    <row r="308" spans="23:64" ht="18.899999999999999" customHeight="1">
      <c r="W308" s="471"/>
      <c r="X308" s="471"/>
      <c r="Y308" s="471"/>
      <c r="Z308" s="471"/>
      <c r="AA308" s="471"/>
      <c r="AB308" s="471"/>
      <c r="AC308" s="471"/>
      <c r="BG308" s="471"/>
      <c r="BH308" s="471"/>
      <c r="BI308" s="471"/>
      <c r="BJ308" s="471"/>
      <c r="BK308" s="471"/>
      <c r="BL308" s="471"/>
    </row>
    <row r="309" spans="23:64" ht="18.899999999999999" customHeight="1">
      <c r="W309" s="471"/>
      <c r="X309" s="471"/>
      <c r="Y309" s="471"/>
      <c r="Z309" s="471"/>
      <c r="AA309" s="471"/>
      <c r="AB309" s="471"/>
      <c r="AC309" s="471"/>
      <c r="BG309" s="471"/>
      <c r="BH309" s="471"/>
      <c r="BI309" s="471"/>
      <c r="BJ309" s="471"/>
      <c r="BK309" s="471"/>
      <c r="BL309" s="471"/>
    </row>
    <row r="310" spans="23:64" ht="18.899999999999999" customHeight="1">
      <c r="W310" s="471"/>
      <c r="X310" s="471"/>
      <c r="Y310" s="471"/>
      <c r="Z310" s="471"/>
      <c r="AA310" s="471"/>
      <c r="AB310" s="471"/>
      <c r="AC310" s="471"/>
      <c r="BG310" s="471"/>
      <c r="BH310" s="471"/>
      <c r="BI310" s="471"/>
      <c r="BJ310" s="471"/>
      <c r="BK310" s="471"/>
      <c r="BL310" s="471"/>
    </row>
    <row r="311" spans="23:64" ht="18.899999999999999" customHeight="1">
      <c r="W311" s="471"/>
      <c r="X311" s="471"/>
      <c r="Y311" s="471"/>
      <c r="Z311" s="471"/>
      <c r="AA311" s="471"/>
      <c r="AB311" s="471"/>
      <c r="AC311" s="471"/>
      <c r="BG311" s="471"/>
      <c r="BH311" s="471"/>
      <c r="BI311" s="471"/>
      <c r="BJ311" s="471"/>
      <c r="BK311" s="471"/>
      <c r="BL311" s="471"/>
    </row>
    <row r="312" spans="23:64" ht="18.899999999999999" customHeight="1">
      <c r="W312" s="471"/>
      <c r="X312" s="471"/>
      <c r="Y312" s="471"/>
      <c r="Z312" s="471"/>
      <c r="AA312" s="471"/>
      <c r="AB312" s="471"/>
      <c r="AC312" s="471"/>
      <c r="BG312" s="471"/>
      <c r="BH312" s="471"/>
      <c r="BI312" s="471"/>
      <c r="BJ312" s="471"/>
      <c r="BK312" s="471"/>
      <c r="BL312" s="471"/>
    </row>
    <row r="313" spans="23:64" ht="18.899999999999999" customHeight="1">
      <c r="W313" s="471"/>
      <c r="X313" s="471"/>
      <c r="Y313" s="471"/>
      <c r="Z313" s="471"/>
      <c r="AA313" s="471"/>
      <c r="AB313" s="471"/>
      <c r="AC313" s="471"/>
      <c r="BG313" s="471"/>
      <c r="BH313" s="471"/>
      <c r="BI313" s="471"/>
      <c r="BJ313" s="471"/>
      <c r="BK313" s="471"/>
      <c r="BL313" s="471"/>
    </row>
    <row r="314" spans="23:64" ht="18.899999999999999" customHeight="1">
      <c r="W314" s="471"/>
      <c r="X314" s="471"/>
      <c r="Y314" s="471"/>
      <c r="Z314" s="471"/>
      <c r="AA314" s="471"/>
      <c r="AB314" s="471"/>
      <c r="AC314" s="471"/>
      <c r="BG314" s="471"/>
      <c r="BH314" s="471"/>
      <c r="BI314" s="471"/>
      <c r="BJ314" s="471"/>
      <c r="BK314" s="471"/>
      <c r="BL314" s="471"/>
    </row>
    <row r="315" spans="23:64" ht="18.899999999999999" customHeight="1">
      <c r="W315" s="471"/>
      <c r="X315" s="471"/>
      <c r="Y315" s="471"/>
      <c r="Z315" s="471"/>
      <c r="AA315" s="471"/>
      <c r="AB315" s="471"/>
      <c r="AC315" s="471"/>
      <c r="BG315" s="471"/>
      <c r="BH315" s="471"/>
      <c r="BI315" s="471"/>
      <c r="BJ315" s="471"/>
      <c r="BK315" s="471"/>
      <c r="BL315" s="471"/>
    </row>
    <row r="316" spans="23:64" ht="18.899999999999999" customHeight="1">
      <c r="W316" s="471"/>
      <c r="X316" s="471"/>
      <c r="Y316" s="471"/>
      <c r="Z316" s="471"/>
      <c r="AA316" s="471"/>
      <c r="AB316" s="471"/>
      <c r="AC316" s="471"/>
      <c r="BG316" s="471"/>
      <c r="BH316" s="471"/>
      <c r="BI316" s="471"/>
      <c r="BJ316" s="471"/>
      <c r="BK316" s="471"/>
      <c r="BL316" s="471"/>
    </row>
    <row r="317" spans="23:64" ht="18.899999999999999" customHeight="1">
      <c r="W317" s="471"/>
      <c r="X317" s="471"/>
      <c r="Y317" s="471"/>
      <c r="Z317" s="471"/>
      <c r="AA317" s="471"/>
      <c r="AB317" s="471"/>
      <c r="AC317" s="471"/>
      <c r="BG317" s="471"/>
      <c r="BH317" s="471"/>
      <c r="BI317" s="471"/>
      <c r="BJ317" s="471"/>
      <c r="BK317" s="471"/>
      <c r="BL317" s="471"/>
    </row>
    <row r="318" spans="23:64" ht="18.899999999999999" customHeight="1">
      <c r="W318" s="471"/>
      <c r="X318" s="471"/>
      <c r="Y318" s="471"/>
      <c r="Z318" s="471"/>
      <c r="AA318" s="471"/>
      <c r="AB318" s="471"/>
      <c r="AC318" s="471"/>
      <c r="BG318" s="471"/>
      <c r="BH318" s="471"/>
      <c r="BI318" s="471"/>
      <c r="BJ318" s="471"/>
      <c r="BK318" s="471"/>
      <c r="BL318" s="471"/>
    </row>
    <row r="319" spans="23:64" ht="18.899999999999999" customHeight="1">
      <c r="W319" s="471"/>
      <c r="X319" s="471"/>
      <c r="Y319" s="471"/>
      <c r="Z319" s="471"/>
      <c r="AA319" s="471"/>
      <c r="AB319" s="471"/>
      <c r="AC319" s="471"/>
      <c r="BG319" s="471"/>
      <c r="BH319" s="471"/>
      <c r="BI319" s="471"/>
      <c r="BJ319" s="471"/>
      <c r="BK319" s="471"/>
      <c r="BL319" s="471"/>
    </row>
    <row r="320" spans="23:64" ht="18.899999999999999" customHeight="1">
      <c r="W320" s="471"/>
      <c r="X320" s="471"/>
      <c r="Y320" s="471"/>
      <c r="Z320" s="471"/>
      <c r="AA320" s="471"/>
      <c r="AB320" s="471"/>
      <c r="AC320" s="471"/>
      <c r="BG320" s="471"/>
      <c r="BH320" s="471"/>
      <c r="BI320" s="471"/>
      <c r="BJ320" s="471"/>
      <c r="BK320" s="471"/>
      <c r="BL320" s="471"/>
    </row>
    <row r="321" spans="23:64" ht="18.899999999999999" customHeight="1">
      <c r="W321" s="471"/>
      <c r="X321" s="471"/>
      <c r="Y321" s="471"/>
      <c r="Z321" s="471"/>
      <c r="AA321" s="471"/>
      <c r="AB321" s="471"/>
      <c r="AC321" s="471"/>
      <c r="BG321" s="471"/>
      <c r="BH321" s="471"/>
      <c r="BI321" s="471"/>
      <c r="BJ321" s="471"/>
      <c r="BK321" s="471"/>
      <c r="BL321" s="471"/>
    </row>
    <row r="322" spans="23:64" ht="18.899999999999999" customHeight="1">
      <c r="W322" s="471"/>
      <c r="X322" s="471"/>
      <c r="Y322" s="471"/>
      <c r="Z322" s="471"/>
      <c r="AA322" s="471"/>
      <c r="AB322" s="471"/>
      <c r="AC322" s="471"/>
      <c r="BG322" s="471"/>
      <c r="BH322" s="471"/>
      <c r="BI322" s="471"/>
      <c r="BJ322" s="471"/>
      <c r="BK322" s="471"/>
      <c r="BL322" s="471"/>
    </row>
    <row r="323" spans="23:64" ht="18.899999999999999" customHeight="1">
      <c r="W323" s="471"/>
      <c r="X323" s="471"/>
      <c r="Y323" s="471"/>
      <c r="Z323" s="471"/>
      <c r="AA323" s="471"/>
      <c r="AB323" s="471"/>
      <c r="AC323" s="471"/>
      <c r="BG323" s="471"/>
      <c r="BH323" s="471"/>
      <c r="BI323" s="471"/>
      <c r="BJ323" s="471"/>
      <c r="BK323" s="471"/>
      <c r="BL323" s="471"/>
    </row>
    <row r="324" spans="23:64" ht="18.899999999999999" customHeight="1">
      <c r="W324" s="471"/>
      <c r="X324" s="471"/>
      <c r="Y324" s="471"/>
      <c r="Z324" s="471"/>
      <c r="AA324" s="471"/>
      <c r="AB324" s="471"/>
      <c r="AC324" s="471"/>
      <c r="BG324" s="471"/>
      <c r="BH324" s="471"/>
      <c r="BI324" s="471"/>
      <c r="BJ324" s="471"/>
      <c r="BK324" s="471"/>
      <c r="BL324" s="471"/>
    </row>
    <row r="325" spans="23:64" ht="18.899999999999999" customHeight="1">
      <c r="W325" s="471"/>
      <c r="X325" s="471"/>
      <c r="Y325" s="471"/>
      <c r="Z325" s="471"/>
      <c r="AA325" s="471"/>
      <c r="AB325" s="471"/>
      <c r="AC325" s="471"/>
      <c r="BG325" s="471"/>
      <c r="BH325" s="471"/>
      <c r="BI325" s="471"/>
      <c r="BJ325" s="471"/>
      <c r="BK325" s="471"/>
      <c r="BL325" s="471"/>
    </row>
    <row r="326" spans="23:64" ht="18.899999999999999" customHeight="1">
      <c r="W326" s="471"/>
      <c r="X326" s="471"/>
      <c r="Y326" s="471"/>
      <c r="Z326" s="471"/>
      <c r="AA326" s="471"/>
      <c r="AB326" s="471"/>
      <c r="AC326" s="471"/>
      <c r="BG326" s="471"/>
      <c r="BH326" s="471"/>
      <c r="BI326" s="471"/>
      <c r="BJ326" s="471"/>
      <c r="BK326" s="471"/>
      <c r="BL326" s="471"/>
    </row>
    <row r="327" spans="23:64" ht="18.899999999999999" customHeight="1">
      <c r="W327" s="471"/>
      <c r="X327" s="471"/>
      <c r="Y327" s="471"/>
      <c r="Z327" s="471"/>
      <c r="AA327" s="471"/>
      <c r="AB327" s="471"/>
      <c r="AC327" s="471"/>
      <c r="BG327" s="471"/>
      <c r="BH327" s="471"/>
      <c r="BI327" s="471"/>
      <c r="BJ327" s="471"/>
      <c r="BK327" s="471"/>
      <c r="BL327" s="471"/>
    </row>
    <row r="328" spans="23:64" ht="18.899999999999999" customHeight="1">
      <c r="W328" s="471"/>
      <c r="X328" s="471"/>
      <c r="Y328" s="471"/>
      <c r="Z328" s="471"/>
      <c r="AA328" s="471"/>
      <c r="AB328" s="471"/>
      <c r="AC328" s="471"/>
      <c r="BG328" s="471"/>
      <c r="BH328" s="471"/>
      <c r="BI328" s="471"/>
      <c r="BJ328" s="471"/>
      <c r="BK328" s="471"/>
      <c r="BL328" s="471"/>
    </row>
    <row r="329" spans="23:64" ht="18.899999999999999" customHeight="1">
      <c r="W329" s="471"/>
      <c r="X329" s="471"/>
      <c r="Y329" s="471"/>
      <c r="Z329" s="471"/>
      <c r="AA329" s="471"/>
      <c r="AB329" s="471"/>
      <c r="AC329" s="471"/>
      <c r="BG329" s="471"/>
      <c r="BH329" s="471"/>
      <c r="BI329" s="471"/>
      <c r="BJ329" s="471"/>
      <c r="BK329" s="471"/>
      <c r="BL329" s="471"/>
    </row>
    <row r="330" spans="23:64" ht="18.899999999999999" customHeight="1">
      <c r="W330" s="471"/>
      <c r="X330" s="471"/>
      <c r="Y330" s="471"/>
      <c r="Z330" s="471"/>
      <c r="AA330" s="471"/>
      <c r="AB330" s="471"/>
      <c r="AC330" s="471"/>
      <c r="BG330" s="471"/>
      <c r="BH330" s="471"/>
      <c r="BI330" s="471"/>
      <c r="BJ330" s="471"/>
      <c r="BK330" s="471"/>
      <c r="BL330" s="471"/>
    </row>
    <row r="331" spans="23:64" ht="18.899999999999999" customHeight="1">
      <c r="W331" s="471"/>
      <c r="X331" s="471"/>
      <c r="Y331" s="471"/>
      <c r="Z331" s="471"/>
      <c r="AA331" s="471"/>
      <c r="AB331" s="471"/>
      <c r="AC331" s="471"/>
      <c r="BG331" s="471"/>
      <c r="BH331" s="471"/>
      <c r="BI331" s="471"/>
      <c r="BJ331" s="471"/>
      <c r="BK331" s="471"/>
      <c r="BL331" s="471"/>
    </row>
    <row r="332" spans="23:64" ht="18.899999999999999" customHeight="1">
      <c r="W332" s="471"/>
      <c r="X332" s="471"/>
      <c r="Y332" s="471"/>
      <c r="Z332" s="471"/>
      <c r="AA332" s="471"/>
      <c r="AB332" s="471"/>
      <c r="AC332" s="471"/>
      <c r="BG332" s="471"/>
      <c r="BH332" s="471"/>
      <c r="BI332" s="471"/>
      <c r="BJ332" s="471"/>
      <c r="BK332" s="471"/>
      <c r="BL332" s="471"/>
    </row>
    <row r="333" spans="23:64" ht="18.899999999999999" customHeight="1">
      <c r="W333" s="471"/>
      <c r="X333" s="471"/>
      <c r="Y333" s="471"/>
      <c r="Z333" s="471"/>
      <c r="AA333" s="471"/>
      <c r="AB333" s="471"/>
      <c r="AC333" s="471"/>
      <c r="BG333" s="471"/>
      <c r="BH333" s="471"/>
      <c r="BI333" s="471"/>
      <c r="BJ333" s="471"/>
      <c r="BK333" s="471"/>
      <c r="BL333" s="471"/>
    </row>
    <row r="334" spans="23:64" ht="18.899999999999999" customHeight="1">
      <c r="W334" s="471"/>
      <c r="X334" s="471"/>
      <c r="Y334" s="471"/>
      <c r="Z334" s="471"/>
      <c r="AA334" s="471"/>
      <c r="AB334" s="471"/>
      <c r="AC334" s="471"/>
      <c r="BG334" s="471"/>
      <c r="BH334" s="471"/>
      <c r="BI334" s="471"/>
      <c r="BJ334" s="471"/>
      <c r="BK334" s="471"/>
      <c r="BL334" s="471"/>
    </row>
    <row r="335" spans="23:64" ht="18.899999999999999" customHeight="1">
      <c r="W335" s="471"/>
      <c r="X335" s="471"/>
      <c r="Y335" s="471"/>
      <c r="Z335" s="471"/>
      <c r="AA335" s="471"/>
      <c r="AB335" s="471"/>
      <c r="AC335" s="471"/>
      <c r="BG335" s="471"/>
      <c r="BH335" s="471"/>
      <c r="BI335" s="471"/>
      <c r="BJ335" s="471"/>
      <c r="BK335" s="471"/>
      <c r="BL335" s="471"/>
    </row>
    <row r="336" spans="23:64" ht="18.899999999999999" customHeight="1">
      <c r="W336" s="471"/>
      <c r="X336" s="471"/>
      <c r="Y336" s="471"/>
      <c r="Z336" s="471"/>
      <c r="AA336" s="471"/>
      <c r="AB336" s="471"/>
      <c r="AC336" s="471"/>
      <c r="BG336" s="471"/>
      <c r="BH336" s="471"/>
      <c r="BI336" s="471"/>
      <c r="BJ336" s="471"/>
      <c r="BK336" s="471"/>
      <c r="BL336" s="471"/>
    </row>
    <row r="337" spans="23:64" ht="18.899999999999999" customHeight="1">
      <c r="W337" s="471"/>
      <c r="X337" s="471"/>
      <c r="Y337" s="471"/>
      <c r="Z337" s="471"/>
      <c r="AA337" s="471"/>
      <c r="AB337" s="471"/>
      <c r="AC337" s="471"/>
      <c r="BG337" s="471"/>
      <c r="BH337" s="471"/>
      <c r="BI337" s="471"/>
      <c r="BJ337" s="471"/>
      <c r="BK337" s="471"/>
      <c r="BL337" s="471"/>
    </row>
    <row r="338" spans="23:64" ht="18.899999999999999" customHeight="1">
      <c r="W338" s="471"/>
      <c r="X338" s="471"/>
      <c r="Y338" s="471"/>
      <c r="Z338" s="471"/>
      <c r="AA338" s="471"/>
      <c r="AB338" s="471"/>
      <c r="AC338" s="471"/>
      <c r="BG338" s="471"/>
      <c r="BH338" s="471"/>
      <c r="BI338" s="471"/>
      <c r="BJ338" s="471"/>
      <c r="BK338" s="471"/>
      <c r="BL338" s="471"/>
    </row>
    <row r="339" spans="23:64" ht="18.899999999999999" customHeight="1">
      <c r="W339" s="471"/>
      <c r="X339" s="471"/>
      <c r="Y339" s="471"/>
      <c r="Z339" s="471"/>
      <c r="AA339" s="471"/>
      <c r="AB339" s="471"/>
      <c r="AC339" s="471"/>
      <c r="BG339" s="471"/>
      <c r="BH339" s="471"/>
      <c r="BI339" s="471"/>
      <c r="BJ339" s="471"/>
      <c r="BK339" s="471"/>
      <c r="BL339" s="471"/>
    </row>
    <row r="340" spans="23:64" ht="18.899999999999999" customHeight="1">
      <c r="W340" s="471"/>
      <c r="X340" s="471"/>
      <c r="Y340" s="471"/>
      <c r="Z340" s="471"/>
      <c r="AA340" s="471"/>
      <c r="AB340" s="471"/>
      <c r="AC340" s="471"/>
      <c r="BG340" s="471"/>
      <c r="BH340" s="471"/>
      <c r="BI340" s="471"/>
      <c r="BJ340" s="471"/>
      <c r="BK340" s="471"/>
      <c r="BL340" s="471"/>
    </row>
    <row r="341" spans="23:64" ht="18.899999999999999" customHeight="1">
      <c r="W341" s="471"/>
      <c r="X341" s="471"/>
      <c r="Y341" s="471"/>
      <c r="Z341" s="471"/>
      <c r="AA341" s="471"/>
      <c r="AB341" s="471"/>
      <c r="AC341" s="471"/>
      <c r="BG341" s="471"/>
      <c r="BH341" s="471"/>
      <c r="BI341" s="471"/>
      <c r="BJ341" s="471"/>
      <c r="BK341" s="471"/>
      <c r="BL341" s="471"/>
    </row>
    <row r="342" spans="23:64" ht="18.899999999999999" customHeight="1">
      <c r="W342" s="471"/>
      <c r="X342" s="471"/>
      <c r="Y342" s="471"/>
      <c r="Z342" s="471"/>
      <c r="AA342" s="471"/>
      <c r="AB342" s="471"/>
      <c r="AC342" s="471"/>
      <c r="BG342" s="471"/>
      <c r="BH342" s="471"/>
      <c r="BI342" s="471"/>
      <c r="BJ342" s="471"/>
      <c r="BK342" s="471"/>
      <c r="BL342" s="471"/>
    </row>
    <row r="343" spans="23:64" ht="18.899999999999999" customHeight="1">
      <c r="W343" s="471"/>
      <c r="X343" s="471"/>
      <c r="Y343" s="471"/>
      <c r="Z343" s="471"/>
      <c r="AA343" s="471"/>
      <c r="AB343" s="471"/>
      <c r="AC343" s="471"/>
      <c r="BG343" s="471"/>
      <c r="BH343" s="471"/>
      <c r="BI343" s="471"/>
      <c r="BJ343" s="471"/>
      <c r="BK343" s="471"/>
      <c r="BL343" s="471"/>
    </row>
    <row r="344" spans="23:64" ht="18.899999999999999" customHeight="1">
      <c r="W344" s="471"/>
      <c r="X344" s="471"/>
      <c r="Y344" s="471"/>
      <c r="Z344" s="471"/>
      <c r="AA344" s="471"/>
      <c r="AB344" s="471"/>
      <c r="AC344" s="471"/>
      <c r="BG344" s="471"/>
      <c r="BH344" s="471"/>
      <c r="BI344" s="471"/>
      <c r="BJ344" s="471"/>
      <c r="BK344" s="471"/>
      <c r="BL344" s="471"/>
    </row>
    <row r="345" spans="23:64" ht="18.899999999999999" customHeight="1">
      <c r="W345" s="471"/>
      <c r="X345" s="471"/>
      <c r="Y345" s="471"/>
      <c r="Z345" s="471"/>
      <c r="AA345" s="471"/>
      <c r="AB345" s="471"/>
      <c r="AC345" s="471"/>
      <c r="BG345" s="471"/>
      <c r="BH345" s="471"/>
      <c r="BI345" s="471"/>
      <c r="BJ345" s="471"/>
      <c r="BK345" s="471"/>
      <c r="BL345" s="471"/>
    </row>
    <row r="346" spans="23:64" ht="18.899999999999999" customHeight="1">
      <c r="W346" s="471"/>
      <c r="X346" s="471"/>
      <c r="Y346" s="471"/>
      <c r="Z346" s="471"/>
      <c r="AA346" s="471"/>
      <c r="AB346" s="471"/>
      <c r="AC346" s="471"/>
      <c r="BG346" s="471"/>
      <c r="BH346" s="471"/>
      <c r="BI346" s="471"/>
      <c r="BJ346" s="471"/>
      <c r="BK346" s="471"/>
      <c r="BL346" s="471"/>
    </row>
    <row r="347" spans="23:64" ht="18.899999999999999" customHeight="1">
      <c r="W347" s="471"/>
      <c r="X347" s="471"/>
      <c r="Y347" s="471"/>
      <c r="Z347" s="471"/>
      <c r="AA347" s="471"/>
      <c r="AB347" s="471"/>
      <c r="AC347" s="471"/>
      <c r="BG347" s="471"/>
      <c r="BH347" s="471"/>
      <c r="BI347" s="471"/>
      <c r="BJ347" s="471"/>
      <c r="BK347" s="471"/>
      <c r="BL347" s="471"/>
    </row>
    <row r="348" spans="23:64" ht="18.899999999999999" customHeight="1">
      <c r="W348" s="471"/>
      <c r="X348" s="471"/>
      <c r="Y348" s="471"/>
      <c r="Z348" s="471"/>
      <c r="AA348" s="471"/>
      <c r="AB348" s="471"/>
      <c r="AC348" s="471"/>
      <c r="BG348" s="471"/>
      <c r="BH348" s="471"/>
      <c r="BI348" s="471"/>
      <c r="BJ348" s="471"/>
      <c r="BK348" s="471"/>
      <c r="BL348" s="471"/>
    </row>
    <row r="349" spans="23:64" ht="18.899999999999999" customHeight="1">
      <c r="W349" s="471"/>
      <c r="X349" s="471"/>
      <c r="Y349" s="471"/>
      <c r="Z349" s="471"/>
      <c r="AA349" s="471"/>
      <c r="AB349" s="471"/>
      <c r="AC349" s="471"/>
      <c r="BG349" s="471"/>
      <c r="BH349" s="471"/>
      <c r="BI349" s="471"/>
      <c r="BJ349" s="471"/>
      <c r="BK349" s="471"/>
      <c r="BL349" s="471"/>
    </row>
    <row r="350" spans="23:64" ht="18.899999999999999" customHeight="1">
      <c r="W350" s="471"/>
      <c r="X350" s="471"/>
      <c r="Y350" s="471"/>
      <c r="Z350" s="471"/>
      <c r="AA350" s="471"/>
      <c r="AB350" s="471"/>
      <c r="AC350" s="471"/>
      <c r="BG350" s="471"/>
      <c r="BH350" s="471"/>
      <c r="BI350" s="471"/>
      <c r="BJ350" s="471"/>
      <c r="BK350" s="471"/>
      <c r="BL350" s="471"/>
    </row>
    <row r="351" spans="23:64" ht="18.899999999999999" customHeight="1">
      <c r="W351" s="471"/>
      <c r="X351" s="471"/>
      <c r="Y351" s="471"/>
      <c r="Z351" s="471"/>
      <c r="AA351" s="471"/>
      <c r="AB351" s="471"/>
      <c r="AC351" s="471"/>
      <c r="BG351" s="471"/>
      <c r="BH351" s="471"/>
      <c r="BI351" s="471"/>
      <c r="BJ351" s="471"/>
      <c r="BK351" s="471"/>
      <c r="BL351" s="471"/>
    </row>
    <row r="352" spans="23:64" ht="18.899999999999999" customHeight="1">
      <c r="W352" s="471"/>
      <c r="X352" s="471"/>
      <c r="Y352" s="471"/>
      <c r="Z352" s="471"/>
      <c r="AA352" s="471"/>
      <c r="AB352" s="471"/>
      <c r="AC352" s="471"/>
      <c r="BG352" s="471"/>
      <c r="BH352" s="471"/>
      <c r="BI352" s="471"/>
      <c r="BJ352" s="471"/>
      <c r="BK352" s="471"/>
      <c r="BL352" s="471"/>
    </row>
    <row r="353" spans="23:64" ht="18.899999999999999" customHeight="1">
      <c r="W353" s="471"/>
      <c r="X353" s="471"/>
      <c r="Y353" s="471"/>
      <c r="Z353" s="471"/>
      <c r="AA353" s="471"/>
      <c r="AB353" s="471"/>
      <c r="AC353" s="471"/>
      <c r="BG353" s="471"/>
      <c r="BH353" s="471"/>
      <c r="BI353" s="471"/>
      <c r="BJ353" s="471"/>
      <c r="BK353" s="471"/>
      <c r="BL353" s="471"/>
    </row>
    <row r="354" spans="23:64" ht="18.899999999999999" customHeight="1">
      <c r="W354" s="471"/>
      <c r="X354" s="471"/>
      <c r="Y354" s="471"/>
      <c r="Z354" s="471"/>
      <c r="AA354" s="471"/>
      <c r="AB354" s="471"/>
      <c r="AC354" s="471"/>
      <c r="BG354" s="471"/>
      <c r="BH354" s="471"/>
      <c r="BI354" s="471"/>
      <c r="BJ354" s="471"/>
      <c r="BK354" s="471"/>
      <c r="BL354" s="471"/>
    </row>
    <row r="355" spans="23:64" ht="18.899999999999999" customHeight="1">
      <c r="W355" s="471"/>
      <c r="X355" s="471"/>
      <c r="Y355" s="471"/>
      <c r="Z355" s="471"/>
      <c r="AA355" s="471"/>
      <c r="AB355" s="471"/>
      <c r="AC355" s="471"/>
      <c r="BG355" s="471"/>
      <c r="BH355" s="471"/>
      <c r="BI355" s="471"/>
      <c r="BJ355" s="471"/>
      <c r="BK355" s="471"/>
      <c r="BL355" s="471"/>
    </row>
    <row r="356" spans="23:64" ht="18.899999999999999" customHeight="1">
      <c r="W356" s="471"/>
      <c r="X356" s="471"/>
      <c r="Y356" s="471"/>
      <c r="Z356" s="471"/>
      <c r="AA356" s="471"/>
      <c r="AB356" s="471"/>
      <c r="AC356" s="471"/>
      <c r="BG356" s="471"/>
      <c r="BH356" s="471"/>
      <c r="BI356" s="471"/>
      <c r="BJ356" s="471"/>
      <c r="BK356" s="471"/>
      <c r="BL356" s="471"/>
    </row>
    <row r="357" spans="23:64" ht="18.899999999999999" customHeight="1">
      <c r="W357" s="471"/>
      <c r="X357" s="471"/>
      <c r="Y357" s="471"/>
      <c r="Z357" s="471"/>
      <c r="AA357" s="471"/>
      <c r="AB357" s="471"/>
      <c r="AC357" s="471"/>
      <c r="BG357" s="471"/>
      <c r="BH357" s="471"/>
      <c r="BI357" s="471"/>
      <c r="BJ357" s="471"/>
      <c r="BK357" s="471"/>
      <c r="BL357" s="471"/>
    </row>
    <row r="358" spans="23:64" ht="18.899999999999999" customHeight="1">
      <c r="W358" s="471"/>
      <c r="X358" s="471"/>
      <c r="Y358" s="471"/>
      <c r="Z358" s="471"/>
      <c r="AA358" s="471"/>
      <c r="AB358" s="471"/>
      <c r="AC358" s="471"/>
      <c r="BG358" s="471"/>
      <c r="BH358" s="471"/>
      <c r="BI358" s="471"/>
      <c r="BJ358" s="471"/>
      <c r="BK358" s="471"/>
      <c r="BL358" s="471"/>
    </row>
    <row r="359" spans="23:64" ht="18.899999999999999" customHeight="1">
      <c r="W359" s="471"/>
      <c r="X359" s="471"/>
      <c r="Y359" s="471"/>
      <c r="Z359" s="471"/>
      <c r="AA359" s="471"/>
      <c r="AB359" s="471"/>
      <c r="AC359" s="471"/>
      <c r="BG359" s="471"/>
      <c r="BH359" s="471"/>
      <c r="BI359" s="471"/>
      <c r="BJ359" s="471"/>
      <c r="BK359" s="471"/>
      <c r="BL359" s="471"/>
    </row>
    <row r="360" spans="23:64" ht="18.899999999999999" customHeight="1">
      <c r="W360" s="471"/>
      <c r="X360" s="471"/>
      <c r="Y360" s="471"/>
      <c r="Z360" s="471"/>
      <c r="AA360" s="471"/>
      <c r="AB360" s="471"/>
      <c r="AC360" s="471"/>
      <c r="BG360" s="471"/>
      <c r="BH360" s="471"/>
      <c r="BI360" s="471"/>
      <c r="BJ360" s="471"/>
      <c r="BK360" s="471"/>
      <c r="BL360" s="471"/>
    </row>
    <row r="361" spans="23:64" ht="18.899999999999999" customHeight="1">
      <c r="W361" s="471"/>
      <c r="X361" s="471"/>
      <c r="Y361" s="471"/>
      <c r="Z361" s="471"/>
      <c r="AA361" s="471"/>
      <c r="AB361" s="471"/>
      <c r="AC361" s="471"/>
      <c r="BG361" s="471"/>
      <c r="BH361" s="471"/>
      <c r="BI361" s="471"/>
      <c r="BJ361" s="471"/>
      <c r="BK361" s="471"/>
      <c r="BL361" s="471"/>
    </row>
    <row r="362" spans="23:64" ht="18.899999999999999" customHeight="1">
      <c r="W362" s="471"/>
      <c r="X362" s="471"/>
      <c r="Y362" s="471"/>
      <c r="Z362" s="471"/>
      <c r="AA362" s="471"/>
      <c r="AB362" s="471"/>
      <c r="AC362" s="471"/>
      <c r="BG362" s="471"/>
      <c r="BH362" s="471"/>
      <c r="BI362" s="471"/>
      <c r="BJ362" s="471"/>
      <c r="BK362" s="471"/>
      <c r="BL362" s="471"/>
    </row>
    <row r="363" spans="23:64" ht="18.899999999999999" customHeight="1">
      <c r="W363" s="471"/>
      <c r="X363" s="471"/>
      <c r="Y363" s="471"/>
      <c r="Z363" s="471"/>
      <c r="AA363" s="471"/>
      <c r="AB363" s="471"/>
      <c r="AC363" s="471"/>
      <c r="BG363" s="471"/>
      <c r="BH363" s="471"/>
      <c r="BI363" s="471"/>
      <c r="BJ363" s="471"/>
      <c r="BK363" s="471"/>
      <c r="BL363" s="471"/>
    </row>
    <row r="364" spans="23:64" ht="18.899999999999999" customHeight="1">
      <c r="W364" s="471"/>
      <c r="X364" s="471"/>
      <c r="Y364" s="471"/>
      <c r="Z364" s="471"/>
      <c r="AA364" s="471"/>
      <c r="AB364" s="471"/>
      <c r="AC364" s="471"/>
      <c r="BG364" s="471"/>
      <c r="BH364" s="471"/>
      <c r="BI364" s="471"/>
      <c r="BJ364" s="471"/>
      <c r="BK364" s="471"/>
      <c r="BL364" s="471"/>
    </row>
    <row r="365" spans="23:64" ht="18.899999999999999" customHeight="1">
      <c r="W365" s="471"/>
      <c r="X365" s="471"/>
      <c r="Y365" s="471"/>
      <c r="Z365" s="471"/>
      <c r="AA365" s="471"/>
      <c r="AB365" s="471"/>
      <c r="AC365" s="471"/>
      <c r="BG365" s="471"/>
      <c r="BH365" s="471"/>
      <c r="BI365" s="471"/>
      <c r="BJ365" s="471"/>
      <c r="BK365" s="471"/>
      <c r="BL365" s="471"/>
    </row>
    <row r="366" spans="23:64" ht="18.899999999999999" customHeight="1">
      <c r="W366" s="471"/>
      <c r="X366" s="471"/>
      <c r="Y366" s="471"/>
      <c r="Z366" s="471"/>
      <c r="AA366" s="471"/>
      <c r="AB366" s="471"/>
      <c r="AC366" s="471"/>
      <c r="BG366" s="471"/>
      <c r="BH366" s="471"/>
      <c r="BI366" s="471"/>
      <c r="BJ366" s="471"/>
      <c r="BK366" s="471"/>
      <c r="BL366" s="471"/>
    </row>
    <row r="367" spans="23:64" ht="18.899999999999999" customHeight="1">
      <c r="W367" s="471"/>
      <c r="X367" s="471"/>
      <c r="Y367" s="471"/>
      <c r="Z367" s="471"/>
      <c r="AA367" s="471"/>
      <c r="AB367" s="471"/>
      <c r="AC367" s="471"/>
      <c r="BG367" s="471"/>
      <c r="BH367" s="471"/>
      <c r="BI367" s="471"/>
      <c r="BJ367" s="471"/>
      <c r="BK367" s="471"/>
      <c r="BL367" s="471"/>
    </row>
    <row r="368" spans="23:64" ht="18.899999999999999" customHeight="1">
      <c r="W368" s="471"/>
      <c r="X368" s="471"/>
      <c r="Y368" s="471"/>
      <c r="Z368" s="471"/>
      <c r="AA368" s="471"/>
      <c r="AB368" s="471"/>
      <c r="AC368" s="471"/>
      <c r="BG368" s="471"/>
      <c r="BH368" s="471"/>
      <c r="BI368" s="471"/>
      <c r="BJ368" s="471"/>
      <c r="BK368" s="471"/>
      <c r="BL368" s="471"/>
    </row>
    <row r="369" spans="23:64" ht="18.899999999999999" customHeight="1">
      <c r="W369" s="471"/>
      <c r="X369" s="471"/>
      <c r="Y369" s="471"/>
      <c r="Z369" s="471"/>
      <c r="AA369" s="471"/>
      <c r="AB369" s="471"/>
      <c r="AC369" s="471"/>
      <c r="BG369" s="471"/>
      <c r="BH369" s="471"/>
      <c r="BI369" s="471"/>
      <c r="BJ369" s="471"/>
      <c r="BK369" s="471"/>
      <c r="BL369" s="471"/>
    </row>
    <row r="370" spans="23:64" ht="18.899999999999999" customHeight="1">
      <c r="W370" s="471"/>
      <c r="X370" s="471"/>
      <c r="Y370" s="471"/>
      <c r="Z370" s="471"/>
      <c r="AA370" s="471"/>
      <c r="AB370" s="471"/>
      <c r="AC370" s="471"/>
      <c r="BG370" s="471"/>
      <c r="BH370" s="471"/>
      <c r="BI370" s="471"/>
      <c r="BJ370" s="471"/>
      <c r="BK370" s="471"/>
      <c r="BL370" s="471"/>
    </row>
    <row r="371" spans="23:64" ht="18.899999999999999" customHeight="1">
      <c r="W371" s="471"/>
      <c r="X371" s="471"/>
      <c r="Y371" s="471"/>
      <c r="Z371" s="471"/>
      <c r="AA371" s="471"/>
      <c r="AB371" s="471"/>
      <c r="AC371" s="471"/>
      <c r="BG371" s="471"/>
      <c r="BH371" s="471"/>
      <c r="BI371" s="471"/>
      <c r="BJ371" s="471"/>
      <c r="BK371" s="471"/>
      <c r="BL371" s="471"/>
    </row>
    <row r="372" spans="23:64" ht="18.899999999999999" customHeight="1">
      <c r="W372" s="471"/>
      <c r="X372" s="471"/>
      <c r="Y372" s="471"/>
      <c r="Z372" s="471"/>
      <c r="AA372" s="471"/>
      <c r="AB372" s="471"/>
      <c r="AC372" s="471"/>
      <c r="BG372" s="471"/>
      <c r="BH372" s="471"/>
      <c r="BI372" s="471"/>
      <c r="BJ372" s="471"/>
      <c r="BK372" s="471"/>
      <c r="BL372" s="471"/>
    </row>
    <row r="373" spans="23:64" ht="18.899999999999999" customHeight="1">
      <c r="W373" s="471"/>
      <c r="X373" s="471"/>
      <c r="Y373" s="471"/>
      <c r="Z373" s="471"/>
      <c r="AA373" s="471"/>
      <c r="AB373" s="471"/>
      <c r="AC373" s="471"/>
      <c r="BG373" s="471"/>
      <c r="BH373" s="471"/>
      <c r="BI373" s="471"/>
      <c r="BJ373" s="471"/>
      <c r="BK373" s="471"/>
      <c r="BL373" s="471"/>
    </row>
    <row r="374" spans="23:64" ht="18.899999999999999" customHeight="1">
      <c r="W374" s="471"/>
      <c r="X374" s="471"/>
      <c r="Y374" s="471"/>
      <c r="Z374" s="471"/>
      <c r="AA374" s="471"/>
      <c r="AB374" s="471"/>
      <c r="AC374" s="471"/>
      <c r="BG374" s="471"/>
      <c r="BH374" s="471"/>
      <c r="BI374" s="471"/>
      <c r="BJ374" s="471"/>
      <c r="BK374" s="471"/>
      <c r="BL374" s="471"/>
    </row>
    <row r="375" spans="23:64" ht="18.899999999999999" customHeight="1">
      <c r="W375" s="471"/>
      <c r="X375" s="471"/>
      <c r="Y375" s="471"/>
      <c r="Z375" s="471"/>
      <c r="AA375" s="471"/>
      <c r="AB375" s="471"/>
      <c r="AC375" s="471"/>
      <c r="BG375" s="471"/>
      <c r="BH375" s="471"/>
      <c r="BI375" s="471"/>
      <c r="BJ375" s="471"/>
      <c r="BK375" s="471"/>
      <c r="BL375" s="471"/>
    </row>
    <row r="376" spans="23:64" ht="18.899999999999999" customHeight="1">
      <c r="W376" s="471"/>
      <c r="X376" s="471"/>
      <c r="Y376" s="471"/>
      <c r="Z376" s="471"/>
      <c r="AA376" s="471"/>
      <c r="AB376" s="471"/>
      <c r="AC376" s="471"/>
      <c r="BG376" s="471"/>
      <c r="BH376" s="471"/>
      <c r="BI376" s="471"/>
      <c r="BJ376" s="471"/>
      <c r="BK376" s="471"/>
      <c r="BL376" s="471"/>
    </row>
    <row r="377" spans="23:64" ht="18.899999999999999" customHeight="1">
      <c r="W377" s="471"/>
      <c r="X377" s="471"/>
      <c r="Y377" s="471"/>
      <c r="Z377" s="471"/>
      <c r="AA377" s="471"/>
      <c r="AB377" s="471"/>
      <c r="AC377" s="471"/>
      <c r="BG377" s="471"/>
      <c r="BH377" s="471"/>
      <c r="BI377" s="471"/>
      <c r="BJ377" s="471"/>
      <c r="BK377" s="471"/>
      <c r="BL377" s="471"/>
    </row>
    <row r="378" spans="23:64" ht="18.899999999999999" customHeight="1">
      <c r="W378" s="471"/>
      <c r="X378" s="471"/>
      <c r="Y378" s="471"/>
      <c r="Z378" s="471"/>
      <c r="AA378" s="471"/>
      <c r="AB378" s="471"/>
      <c r="AC378" s="471"/>
      <c r="BG378" s="471"/>
      <c r="BH378" s="471"/>
      <c r="BI378" s="471"/>
      <c r="BJ378" s="471"/>
      <c r="BK378" s="471"/>
      <c r="BL378" s="471"/>
    </row>
    <row r="379" spans="23:64" ht="18.899999999999999" customHeight="1">
      <c r="W379" s="471"/>
      <c r="X379" s="471"/>
      <c r="Y379" s="471"/>
      <c r="Z379" s="471"/>
      <c r="AA379" s="471"/>
      <c r="AB379" s="471"/>
      <c r="AC379" s="471"/>
      <c r="BG379" s="471"/>
      <c r="BH379" s="471"/>
      <c r="BI379" s="471"/>
      <c r="BJ379" s="471"/>
      <c r="BK379" s="471"/>
      <c r="BL379" s="471"/>
    </row>
    <row r="380" spans="23:64" ht="18.899999999999999" customHeight="1">
      <c r="W380" s="471"/>
      <c r="X380" s="471"/>
      <c r="Y380" s="471"/>
      <c r="Z380" s="471"/>
      <c r="AA380" s="471"/>
      <c r="AB380" s="471"/>
      <c r="AC380" s="471"/>
      <c r="BG380" s="471"/>
      <c r="BH380" s="471"/>
      <c r="BI380" s="471"/>
      <c r="BJ380" s="471"/>
      <c r="BK380" s="471"/>
      <c r="BL380" s="471"/>
    </row>
    <row r="381" spans="23:64" ht="18.899999999999999" customHeight="1">
      <c r="W381" s="471"/>
      <c r="X381" s="471"/>
      <c r="Y381" s="471"/>
      <c r="Z381" s="471"/>
      <c r="AA381" s="471"/>
      <c r="AB381" s="471"/>
      <c r="AC381" s="471"/>
      <c r="BG381" s="471"/>
      <c r="BH381" s="471"/>
      <c r="BI381" s="471"/>
      <c r="BJ381" s="471"/>
      <c r="BK381" s="471"/>
      <c r="BL381" s="471"/>
    </row>
    <row r="382" spans="23:64" ht="18.899999999999999" customHeight="1">
      <c r="W382" s="471"/>
      <c r="X382" s="471"/>
      <c r="Y382" s="471"/>
      <c r="Z382" s="471"/>
      <c r="AA382" s="471"/>
      <c r="AB382" s="471"/>
      <c r="AC382" s="471"/>
      <c r="BG382" s="471"/>
      <c r="BH382" s="471"/>
      <c r="BI382" s="471"/>
      <c r="BJ382" s="471"/>
      <c r="BK382" s="471"/>
      <c r="BL382" s="471"/>
    </row>
    <row r="383" spans="23:64" ht="18.899999999999999" customHeight="1">
      <c r="W383" s="471"/>
      <c r="X383" s="471"/>
      <c r="Y383" s="471"/>
      <c r="Z383" s="471"/>
      <c r="AA383" s="471"/>
      <c r="AB383" s="471"/>
      <c r="AC383" s="471"/>
      <c r="BG383" s="471"/>
      <c r="BH383" s="471"/>
      <c r="BI383" s="471"/>
      <c r="BJ383" s="471"/>
      <c r="BK383" s="471"/>
      <c r="BL383" s="471"/>
    </row>
    <row r="384" spans="23:64" ht="18.899999999999999" customHeight="1">
      <c r="W384" s="471"/>
      <c r="X384" s="471"/>
      <c r="Y384" s="471"/>
      <c r="Z384" s="471"/>
      <c r="AA384" s="471"/>
      <c r="AB384" s="471"/>
      <c r="AC384" s="471"/>
      <c r="BG384" s="471"/>
      <c r="BH384" s="471"/>
      <c r="BI384" s="471"/>
      <c r="BJ384" s="471"/>
      <c r="BK384" s="471"/>
      <c r="BL384" s="471"/>
    </row>
    <row r="385" spans="23:64" ht="18.899999999999999" customHeight="1">
      <c r="W385" s="471"/>
      <c r="X385" s="471"/>
      <c r="Y385" s="471"/>
      <c r="Z385" s="471"/>
      <c r="AA385" s="471"/>
      <c r="AB385" s="471"/>
      <c r="AC385" s="471"/>
      <c r="BG385" s="471"/>
      <c r="BH385" s="471"/>
      <c r="BI385" s="471"/>
      <c r="BJ385" s="471"/>
      <c r="BK385" s="471"/>
      <c r="BL385" s="471"/>
    </row>
    <row r="386" spans="23:64" ht="18.899999999999999" customHeight="1">
      <c r="W386" s="471"/>
      <c r="X386" s="471"/>
      <c r="Y386" s="471"/>
      <c r="Z386" s="471"/>
      <c r="AA386" s="471"/>
      <c r="AB386" s="471"/>
      <c r="AC386" s="471"/>
      <c r="BG386" s="471"/>
      <c r="BH386" s="471"/>
      <c r="BI386" s="471"/>
      <c r="BJ386" s="471"/>
      <c r="BK386" s="471"/>
      <c r="BL386" s="471"/>
    </row>
    <row r="387" spans="23:64" ht="18.899999999999999" customHeight="1">
      <c r="W387" s="471"/>
      <c r="X387" s="471"/>
      <c r="Y387" s="471"/>
      <c r="Z387" s="471"/>
      <c r="AA387" s="471"/>
      <c r="AB387" s="471"/>
      <c r="AC387" s="471"/>
      <c r="BG387" s="471"/>
      <c r="BH387" s="471"/>
      <c r="BI387" s="471"/>
      <c r="BJ387" s="471"/>
      <c r="BK387" s="471"/>
      <c r="BL387" s="471"/>
    </row>
    <row r="388" spans="23:64" ht="18.899999999999999" customHeight="1">
      <c r="W388" s="471"/>
      <c r="X388" s="471"/>
      <c r="Y388" s="471"/>
      <c r="Z388" s="471"/>
      <c r="AA388" s="471"/>
      <c r="AB388" s="471"/>
      <c r="AC388" s="471"/>
      <c r="BG388" s="471"/>
      <c r="BH388" s="471"/>
      <c r="BI388" s="471"/>
      <c r="BJ388" s="471"/>
      <c r="BK388" s="471"/>
      <c r="BL388" s="471"/>
    </row>
    <row r="389" spans="23:64" ht="18.899999999999999" customHeight="1">
      <c r="W389" s="471"/>
      <c r="X389" s="471"/>
      <c r="Y389" s="471"/>
      <c r="Z389" s="471"/>
      <c r="AA389" s="471"/>
      <c r="AB389" s="471"/>
      <c r="AC389" s="471"/>
      <c r="BG389" s="471"/>
      <c r="BH389" s="471"/>
      <c r="BI389" s="471"/>
      <c r="BJ389" s="471"/>
      <c r="BK389" s="471"/>
      <c r="BL389" s="471"/>
    </row>
    <row r="390" spans="23:64" ht="18.899999999999999" customHeight="1">
      <c r="W390" s="471"/>
      <c r="X390" s="471"/>
      <c r="Y390" s="471"/>
      <c r="Z390" s="471"/>
      <c r="AA390" s="471"/>
      <c r="AB390" s="471"/>
      <c r="AC390" s="471"/>
      <c r="BG390" s="471"/>
      <c r="BH390" s="471"/>
      <c r="BI390" s="471"/>
      <c r="BJ390" s="471"/>
      <c r="BK390" s="471"/>
      <c r="BL390" s="471"/>
    </row>
    <row r="391" spans="23:64" ht="18.899999999999999" customHeight="1">
      <c r="W391" s="471"/>
      <c r="X391" s="471"/>
      <c r="Y391" s="471"/>
      <c r="Z391" s="471"/>
      <c r="AA391" s="471"/>
      <c r="AB391" s="471"/>
      <c r="AC391" s="471"/>
      <c r="BG391" s="471"/>
      <c r="BH391" s="471"/>
      <c r="BI391" s="471"/>
      <c r="BJ391" s="471"/>
      <c r="BK391" s="471"/>
      <c r="BL391" s="471"/>
    </row>
    <row r="392" spans="23:64" ht="18.899999999999999" customHeight="1">
      <c r="W392" s="471"/>
      <c r="X392" s="471"/>
      <c r="Y392" s="471"/>
      <c r="Z392" s="471"/>
      <c r="AA392" s="471"/>
      <c r="AB392" s="471"/>
      <c r="AC392" s="471"/>
      <c r="BG392" s="471"/>
      <c r="BH392" s="471"/>
      <c r="BI392" s="471"/>
      <c r="BJ392" s="471"/>
      <c r="BK392" s="471"/>
      <c r="BL392" s="471"/>
    </row>
    <row r="393" spans="23:64" ht="18.899999999999999" customHeight="1">
      <c r="W393" s="471"/>
      <c r="X393" s="471"/>
      <c r="Y393" s="471"/>
      <c r="Z393" s="471"/>
      <c r="AA393" s="471"/>
      <c r="AB393" s="471"/>
      <c r="AC393" s="471"/>
      <c r="BG393" s="471"/>
      <c r="BH393" s="471"/>
      <c r="BI393" s="471"/>
      <c r="BJ393" s="471"/>
      <c r="BK393" s="471"/>
      <c r="BL393" s="471"/>
    </row>
    <row r="394" spans="23:64" ht="18.899999999999999" customHeight="1">
      <c r="W394" s="471"/>
      <c r="X394" s="471"/>
      <c r="Y394" s="471"/>
      <c r="Z394" s="471"/>
      <c r="AA394" s="471"/>
      <c r="AB394" s="471"/>
      <c r="AC394" s="471"/>
      <c r="BG394" s="471"/>
      <c r="BH394" s="471"/>
      <c r="BI394" s="471"/>
      <c r="BJ394" s="471"/>
      <c r="BK394" s="471"/>
      <c r="BL394" s="471"/>
    </row>
    <row r="395" spans="23:64" ht="18.899999999999999" customHeight="1">
      <c r="W395" s="471"/>
      <c r="X395" s="471"/>
      <c r="Y395" s="471"/>
      <c r="Z395" s="471"/>
      <c r="AA395" s="471"/>
      <c r="AB395" s="471"/>
      <c r="AC395" s="471"/>
      <c r="BG395" s="471"/>
      <c r="BH395" s="471"/>
      <c r="BI395" s="471"/>
      <c r="BJ395" s="471"/>
      <c r="BK395" s="471"/>
      <c r="BL395" s="471"/>
    </row>
    <row r="396" spans="23:64" ht="18.899999999999999" customHeight="1">
      <c r="W396" s="471"/>
      <c r="X396" s="471"/>
      <c r="Y396" s="471"/>
      <c r="Z396" s="471"/>
      <c r="AA396" s="471"/>
      <c r="AB396" s="471"/>
      <c r="AC396" s="471"/>
      <c r="BG396" s="471"/>
      <c r="BH396" s="471"/>
      <c r="BI396" s="471"/>
      <c r="BJ396" s="471"/>
      <c r="BK396" s="471"/>
      <c r="BL396" s="471"/>
    </row>
    <row r="397" spans="23:64" ht="18.899999999999999" customHeight="1">
      <c r="W397" s="471"/>
      <c r="X397" s="471"/>
      <c r="Y397" s="471"/>
      <c r="Z397" s="471"/>
      <c r="AA397" s="471"/>
      <c r="AB397" s="471"/>
      <c r="AC397" s="471"/>
      <c r="BG397" s="471"/>
      <c r="BH397" s="471"/>
      <c r="BI397" s="471"/>
      <c r="BJ397" s="471"/>
      <c r="BK397" s="471"/>
      <c r="BL397" s="471"/>
    </row>
    <row r="398" spans="23:64" ht="18.899999999999999" customHeight="1">
      <c r="W398" s="471"/>
      <c r="X398" s="471"/>
      <c r="Y398" s="471"/>
      <c r="Z398" s="471"/>
      <c r="AA398" s="471"/>
      <c r="AB398" s="471"/>
      <c r="AC398" s="471"/>
      <c r="BG398" s="471"/>
      <c r="BH398" s="471"/>
      <c r="BI398" s="471"/>
      <c r="BJ398" s="471"/>
      <c r="BK398" s="471"/>
      <c r="BL398" s="471"/>
    </row>
    <row r="399" spans="23:64" ht="18.899999999999999" customHeight="1">
      <c r="W399" s="471"/>
      <c r="X399" s="471"/>
      <c r="Y399" s="471"/>
      <c r="Z399" s="471"/>
      <c r="AA399" s="471"/>
      <c r="AB399" s="471"/>
      <c r="AC399" s="471"/>
      <c r="BG399" s="471"/>
      <c r="BH399" s="471"/>
      <c r="BI399" s="471"/>
      <c r="BJ399" s="471"/>
      <c r="BK399" s="471"/>
      <c r="BL399" s="471"/>
    </row>
    <row r="400" spans="23:64" ht="18.899999999999999" customHeight="1">
      <c r="W400" s="471"/>
      <c r="X400" s="471"/>
      <c r="Y400" s="471"/>
      <c r="Z400" s="471"/>
      <c r="AA400" s="471"/>
      <c r="AB400" s="471"/>
      <c r="AC400" s="471"/>
      <c r="BG400" s="471"/>
      <c r="BH400" s="471"/>
      <c r="BI400" s="471"/>
      <c r="BJ400" s="471"/>
      <c r="BK400" s="471"/>
      <c r="BL400" s="471"/>
    </row>
    <row r="401" spans="23:64" ht="18.899999999999999" customHeight="1">
      <c r="W401" s="471"/>
      <c r="X401" s="471"/>
      <c r="Y401" s="471"/>
      <c r="Z401" s="471"/>
      <c r="AA401" s="471"/>
      <c r="AB401" s="471"/>
      <c r="AC401" s="471"/>
      <c r="BG401" s="471"/>
      <c r="BH401" s="471"/>
      <c r="BI401" s="471"/>
      <c r="BJ401" s="471"/>
      <c r="BK401" s="471"/>
      <c r="BL401" s="471"/>
    </row>
    <row r="402" spans="23:64" ht="18.899999999999999" customHeight="1">
      <c r="W402" s="471"/>
      <c r="X402" s="471"/>
      <c r="Y402" s="471"/>
      <c r="Z402" s="471"/>
      <c r="AA402" s="471"/>
      <c r="AB402" s="471"/>
      <c r="AC402" s="471"/>
      <c r="BG402" s="471"/>
      <c r="BH402" s="471"/>
      <c r="BI402" s="471"/>
      <c r="BJ402" s="471"/>
      <c r="BK402" s="471"/>
      <c r="BL402" s="471"/>
    </row>
    <row r="403" spans="23:64" ht="18.899999999999999" customHeight="1">
      <c r="W403" s="471"/>
      <c r="X403" s="471"/>
      <c r="Y403" s="471"/>
      <c r="Z403" s="471"/>
      <c r="AA403" s="471"/>
      <c r="AB403" s="471"/>
      <c r="AC403" s="471"/>
      <c r="BG403" s="471"/>
      <c r="BH403" s="471"/>
      <c r="BI403" s="471"/>
      <c r="BJ403" s="471"/>
      <c r="BK403" s="471"/>
      <c r="BL403" s="471"/>
    </row>
    <row r="404" spans="23:64" ht="18.899999999999999" customHeight="1">
      <c r="W404" s="471"/>
      <c r="X404" s="471"/>
      <c r="Y404" s="471"/>
      <c r="Z404" s="471"/>
      <c r="AA404" s="471"/>
      <c r="AB404" s="471"/>
      <c r="AC404" s="471"/>
      <c r="BG404" s="471"/>
      <c r="BH404" s="471"/>
      <c r="BI404" s="471"/>
      <c r="BJ404" s="471"/>
      <c r="BK404" s="471"/>
      <c r="BL404" s="471"/>
    </row>
    <row r="405" spans="23:64" ht="18.899999999999999" customHeight="1">
      <c r="W405" s="471"/>
      <c r="X405" s="471"/>
      <c r="Y405" s="471"/>
      <c r="Z405" s="471"/>
      <c r="AA405" s="471"/>
      <c r="AB405" s="471"/>
      <c r="AC405" s="471"/>
      <c r="BG405" s="471"/>
      <c r="BH405" s="471"/>
      <c r="BI405" s="471"/>
      <c r="BJ405" s="471"/>
      <c r="BK405" s="471"/>
      <c r="BL405" s="471"/>
    </row>
    <row r="406" spans="23:64" ht="18.899999999999999" customHeight="1">
      <c r="W406" s="471"/>
      <c r="X406" s="471"/>
      <c r="Y406" s="471"/>
      <c r="Z406" s="471"/>
      <c r="AA406" s="471"/>
      <c r="AB406" s="471"/>
      <c r="AC406" s="471"/>
      <c r="BG406" s="471"/>
      <c r="BH406" s="471"/>
      <c r="BI406" s="471"/>
      <c r="BJ406" s="471"/>
      <c r="BK406" s="471"/>
      <c r="BL406" s="471"/>
    </row>
    <row r="407" spans="23:64" ht="18.899999999999999" customHeight="1">
      <c r="W407" s="471"/>
      <c r="X407" s="471"/>
      <c r="Y407" s="471"/>
      <c r="Z407" s="471"/>
      <c r="AA407" s="471"/>
      <c r="AB407" s="471"/>
      <c r="AC407" s="471"/>
      <c r="BG407" s="471"/>
      <c r="BH407" s="471"/>
      <c r="BI407" s="471"/>
      <c r="BJ407" s="471"/>
      <c r="BK407" s="471"/>
      <c r="BL407" s="471"/>
    </row>
    <row r="408" spans="23:64" ht="18.899999999999999" customHeight="1">
      <c r="W408" s="471"/>
      <c r="X408" s="471"/>
      <c r="Y408" s="471"/>
      <c r="Z408" s="471"/>
      <c r="AA408" s="471"/>
      <c r="AB408" s="471"/>
      <c r="AC408" s="471"/>
      <c r="BG408" s="471"/>
      <c r="BH408" s="471"/>
      <c r="BI408" s="471"/>
      <c r="BJ408" s="471"/>
      <c r="BK408" s="471"/>
      <c r="BL408" s="471"/>
    </row>
    <row r="409" spans="23:64" ht="18.899999999999999" customHeight="1">
      <c r="W409" s="471"/>
      <c r="X409" s="471"/>
      <c r="Y409" s="471"/>
      <c r="Z409" s="471"/>
      <c r="AA409" s="471"/>
      <c r="AB409" s="471"/>
      <c r="AC409" s="471"/>
      <c r="BG409" s="471"/>
      <c r="BH409" s="471"/>
      <c r="BI409" s="471"/>
      <c r="BJ409" s="471"/>
      <c r="BK409" s="471"/>
      <c r="BL409" s="471"/>
    </row>
    <row r="410" spans="23:64" ht="18.899999999999999" customHeight="1">
      <c r="W410" s="471"/>
      <c r="X410" s="471"/>
      <c r="Y410" s="471"/>
      <c r="Z410" s="471"/>
      <c r="AA410" s="471"/>
      <c r="AB410" s="471"/>
      <c r="AC410" s="471"/>
      <c r="BG410" s="471"/>
      <c r="BH410" s="471"/>
      <c r="BI410" s="471"/>
      <c r="BJ410" s="471"/>
      <c r="BK410" s="471"/>
      <c r="BL410" s="471"/>
    </row>
    <row r="411" spans="23:64" ht="18.899999999999999" customHeight="1">
      <c r="W411" s="471"/>
      <c r="X411" s="471"/>
      <c r="Y411" s="471"/>
      <c r="Z411" s="471"/>
      <c r="AA411" s="471"/>
      <c r="AB411" s="471"/>
      <c r="AC411" s="471"/>
      <c r="BG411" s="471"/>
      <c r="BH411" s="471"/>
      <c r="BI411" s="471"/>
      <c r="BJ411" s="471"/>
      <c r="BK411" s="471"/>
      <c r="BL411" s="471"/>
    </row>
    <row r="412" spans="23:64" ht="18.899999999999999" customHeight="1">
      <c r="W412" s="471"/>
      <c r="X412" s="471"/>
      <c r="Y412" s="471"/>
      <c r="Z412" s="471"/>
      <c r="AA412" s="471"/>
      <c r="AB412" s="471"/>
      <c r="AC412" s="471"/>
      <c r="BG412" s="471"/>
      <c r="BH412" s="471"/>
      <c r="BI412" s="471"/>
      <c r="BJ412" s="471"/>
      <c r="BK412" s="471"/>
      <c r="BL412" s="471"/>
    </row>
    <row r="413" spans="23:64" ht="18.899999999999999" customHeight="1">
      <c r="W413" s="471"/>
      <c r="X413" s="471"/>
      <c r="Y413" s="471"/>
      <c r="Z413" s="471"/>
      <c r="AA413" s="471"/>
      <c r="AB413" s="471"/>
      <c r="AC413" s="471"/>
      <c r="BG413" s="471"/>
      <c r="BH413" s="471"/>
      <c r="BI413" s="471"/>
      <c r="BJ413" s="471"/>
      <c r="BK413" s="471"/>
      <c r="BL413" s="471"/>
    </row>
    <row r="414" spans="23:64" ht="18.899999999999999" customHeight="1">
      <c r="W414" s="471"/>
      <c r="X414" s="471"/>
      <c r="Y414" s="471"/>
      <c r="Z414" s="471"/>
      <c r="AA414" s="471"/>
      <c r="AB414" s="471"/>
      <c r="AC414" s="471"/>
      <c r="BG414" s="471"/>
      <c r="BH414" s="471"/>
      <c r="BI414" s="471"/>
      <c r="BJ414" s="471"/>
      <c r="BK414" s="471"/>
      <c r="BL414" s="471"/>
    </row>
    <row r="415" spans="23:64" ht="18.899999999999999" customHeight="1">
      <c r="W415" s="471"/>
      <c r="X415" s="471"/>
      <c r="Y415" s="471"/>
      <c r="Z415" s="471"/>
      <c r="AA415" s="471"/>
      <c r="AB415" s="471"/>
      <c r="AC415" s="471"/>
      <c r="BG415" s="471"/>
      <c r="BH415" s="471"/>
      <c r="BI415" s="471"/>
      <c r="BJ415" s="471"/>
      <c r="BK415" s="471"/>
      <c r="BL415" s="471"/>
    </row>
    <row r="416" spans="23:64" ht="18.899999999999999" customHeight="1">
      <c r="W416" s="471"/>
      <c r="X416" s="471"/>
      <c r="Y416" s="471"/>
      <c r="Z416" s="471"/>
      <c r="AA416" s="471"/>
      <c r="AB416" s="471"/>
      <c r="AC416" s="471"/>
      <c r="BG416" s="471"/>
      <c r="BH416" s="471"/>
      <c r="BI416" s="471"/>
      <c r="BJ416" s="471"/>
      <c r="BK416" s="471"/>
      <c r="BL416" s="471"/>
    </row>
    <row r="417" spans="23:64" ht="18.899999999999999" customHeight="1">
      <c r="W417" s="471"/>
      <c r="X417" s="471"/>
      <c r="Y417" s="471"/>
      <c r="Z417" s="471"/>
      <c r="AA417" s="471"/>
      <c r="AB417" s="471"/>
      <c r="AC417" s="471"/>
      <c r="BG417" s="471"/>
      <c r="BH417" s="471"/>
      <c r="BI417" s="471"/>
      <c r="BJ417" s="471"/>
      <c r="BK417" s="471"/>
      <c r="BL417" s="471"/>
    </row>
    <row r="418" spans="23:64" ht="18.899999999999999" customHeight="1">
      <c r="W418" s="471"/>
      <c r="X418" s="471"/>
      <c r="Y418" s="471"/>
      <c r="Z418" s="471"/>
      <c r="AA418" s="471"/>
      <c r="AB418" s="471"/>
      <c r="AC418" s="471"/>
      <c r="BG418" s="471"/>
      <c r="BH418" s="471"/>
      <c r="BI418" s="471"/>
      <c r="BJ418" s="471"/>
      <c r="BK418" s="471"/>
      <c r="BL418" s="471"/>
    </row>
    <row r="419" spans="23:64" ht="18.899999999999999" customHeight="1">
      <c r="W419" s="471"/>
      <c r="X419" s="471"/>
      <c r="Y419" s="471"/>
      <c r="Z419" s="471"/>
      <c r="AA419" s="471"/>
      <c r="AB419" s="471"/>
      <c r="AC419" s="471"/>
      <c r="BG419" s="471"/>
      <c r="BH419" s="471"/>
      <c r="BI419" s="471"/>
      <c r="BJ419" s="471"/>
      <c r="BK419" s="471"/>
      <c r="BL419" s="471"/>
    </row>
    <row r="420" spans="23:64" ht="18.899999999999999" customHeight="1">
      <c r="W420" s="471"/>
      <c r="X420" s="471"/>
      <c r="Y420" s="471"/>
      <c r="Z420" s="471"/>
      <c r="AA420" s="471"/>
      <c r="AB420" s="471"/>
      <c r="AC420" s="471"/>
      <c r="BG420" s="471"/>
      <c r="BH420" s="471"/>
      <c r="BI420" s="471"/>
      <c r="BJ420" s="471"/>
      <c r="BK420" s="471"/>
      <c r="BL420" s="471"/>
    </row>
    <row r="421" spans="23:64" ht="18.899999999999999" customHeight="1">
      <c r="W421" s="471"/>
      <c r="X421" s="471"/>
      <c r="Y421" s="471"/>
      <c r="Z421" s="471"/>
      <c r="AA421" s="471"/>
      <c r="AB421" s="471"/>
      <c r="AC421" s="471"/>
      <c r="BG421" s="471"/>
      <c r="BH421" s="471"/>
      <c r="BI421" s="471"/>
      <c r="BJ421" s="471"/>
      <c r="BK421" s="471"/>
      <c r="BL421" s="471"/>
    </row>
    <row r="422" spans="23:64" ht="18.899999999999999" customHeight="1">
      <c r="W422" s="471"/>
      <c r="X422" s="471"/>
      <c r="Y422" s="471"/>
      <c r="Z422" s="471"/>
      <c r="AA422" s="471"/>
      <c r="AB422" s="471"/>
      <c r="AC422" s="471"/>
      <c r="BG422" s="471"/>
      <c r="BH422" s="471"/>
      <c r="BI422" s="471"/>
      <c r="BJ422" s="471"/>
      <c r="BK422" s="471"/>
      <c r="BL422" s="471"/>
    </row>
    <row r="423" spans="23:64" ht="18.899999999999999" customHeight="1">
      <c r="W423" s="471"/>
      <c r="X423" s="471"/>
      <c r="Y423" s="471"/>
      <c r="Z423" s="471"/>
      <c r="AA423" s="471"/>
      <c r="AB423" s="471"/>
      <c r="AC423" s="471"/>
      <c r="BG423" s="471"/>
      <c r="BH423" s="471"/>
      <c r="BI423" s="471"/>
      <c r="BJ423" s="471"/>
      <c r="BK423" s="471"/>
      <c r="BL423" s="471"/>
    </row>
    <row r="424" spans="23:64" ht="18.899999999999999" customHeight="1">
      <c r="W424" s="471"/>
      <c r="X424" s="471"/>
      <c r="Y424" s="471"/>
      <c r="Z424" s="471"/>
      <c r="AA424" s="471"/>
      <c r="AB424" s="471"/>
      <c r="AC424" s="471"/>
      <c r="BG424" s="471"/>
      <c r="BH424" s="471"/>
      <c r="BI424" s="471"/>
      <c r="BJ424" s="471"/>
      <c r="BK424" s="471"/>
      <c r="BL424" s="471"/>
    </row>
    <row r="425" spans="23:64" ht="18.899999999999999" customHeight="1">
      <c r="W425" s="471"/>
      <c r="X425" s="471"/>
      <c r="Y425" s="471"/>
      <c r="Z425" s="471"/>
      <c r="AA425" s="471"/>
      <c r="AB425" s="471"/>
      <c r="AC425" s="471"/>
      <c r="BG425" s="471"/>
      <c r="BH425" s="471"/>
      <c r="BI425" s="471"/>
      <c r="BJ425" s="471"/>
      <c r="BK425" s="471"/>
      <c r="BL425" s="471"/>
    </row>
    <row r="426" spans="23:64" ht="18.899999999999999" customHeight="1">
      <c r="W426" s="471"/>
      <c r="X426" s="471"/>
      <c r="Y426" s="471"/>
      <c r="Z426" s="471"/>
      <c r="AA426" s="471"/>
      <c r="AB426" s="471"/>
      <c r="AC426" s="471"/>
      <c r="BG426" s="471"/>
      <c r="BH426" s="471"/>
      <c r="BI426" s="471"/>
      <c r="BJ426" s="471"/>
      <c r="BK426" s="471"/>
      <c r="BL426" s="471"/>
    </row>
    <row r="427" spans="23:64" ht="18.899999999999999" customHeight="1">
      <c r="W427" s="471"/>
      <c r="X427" s="471"/>
      <c r="Y427" s="471"/>
      <c r="Z427" s="471"/>
      <c r="AA427" s="471"/>
      <c r="AB427" s="471"/>
      <c r="AC427" s="471"/>
      <c r="BG427" s="471"/>
      <c r="BH427" s="471"/>
      <c r="BI427" s="471"/>
      <c r="BJ427" s="471"/>
      <c r="BK427" s="471"/>
      <c r="BL427" s="471"/>
    </row>
    <row r="428" spans="23:64" ht="18.899999999999999" customHeight="1">
      <c r="W428" s="471"/>
      <c r="X428" s="471"/>
      <c r="Y428" s="471"/>
      <c r="Z428" s="471"/>
      <c r="AA428" s="471"/>
      <c r="AB428" s="471"/>
      <c r="AC428" s="471"/>
      <c r="BG428" s="471"/>
      <c r="BH428" s="471"/>
      <c r="BI428" s="471"/>
      <c r="BJ428" s="471"/>
      <c r="BK428" s="471"/>
      <c r="BL428" s="471"/>
    </row>
    <row r="429" spans="23:64" ht="18.899999999999999" customHeight="1">
      <c r="W429" s="471"/>
      <c r="X429" s="471"/>
      <c r="Y429" s="471"/>
      <c r="Z429" s="471"/>
      <c r="AA429" s="471"/>
      <c r="AB429" s="471"/>
      <c r="AC429" s="471"/>
      <c r="BG429" s="471"/>
      <c r="BH429" s="471"/>
      <c r="BI429" s="471"/>
      <c r="BJ429" s="471"/>
      <c r="BK429" s="471"/>
      <c r="BL429" s="471"/>
    </row>
    <row r="430" spans="23:64" ht="18.899999999999999" customHeight="1">
      <c r="W430" s="471"/>
      <c r="X430" s="471"/>
      <c r="Y430" s="471"/>
      <c r="Z430" s="471"/>
      <c r="AA430" s="471"/>
      <c r="AB430" s="471"/>
      <c r="AC430" s="471"/>
      <c r="BG430" s="471"/>
      <c r="BH430" s="471"/>
      <c r="BI430" s="471"/>
      <c r="BJ430" s="471"/>
      <c r="BK430" s="471"/>
      <c r="BL430" s="471"/>
    </row>
    <row r="431" spans="23:64" ht="18.899999999999999" customHeight="1">
      <c r="W431" s="471"/>
      <c r="X431" s="471"/>
      <c r="Y431" s="471"/>
      <c r="Z431" s="471"/>
      <c r="AA431" s="471"/>
      <c r="AB431" s="471"/>
      <c r="AC431" s="471"/>
      <c r="BG431" s="471"/>
      <c r="BH431" s="471"/>
      <c r="BI431" s="471"/>
      <c r="BJ431" s="471"/>
      <c r="BK431" s="471"/>
      <c r="BL431" s="471"/>
    </row>
    <row r="432" spans="23:64" ht="18.899999999999999" customHeight="1">
      <c r="W432" s="471"/>
      <c r="X432" s="471"/>
      <c r="Y432" s="471"/>
      <c r="Z432" s="471"/>
      <c r="AA432" s="471"/>
      <c r="AB432" s="471"/>
      <c r="AC432" s="471"/>
      <c r="BG432" s="471"/>
      <c r="BH432" s="471"/>
      <c r="BI432" s="471"/>
      <c r="BJ432" s="471"/>
      <c r="BK432" s="471"/>
      <c r="BL432" s="471"/>
    </row>
    <row r="433" spans="23:64" ht="18.899999999999999" customHeight="1">
      <c r="W433" s="471"/>
      <c r="X433" s="471"/>
      <c r="Y433" s="471"/>
      <c r="Z433" s="471"/>
      <c r="AA433" s="471"/>
      <c r="AB433" s="471"/>
      <c r="AC433" s="471"/>
      <c r="BG433" s="471"/>
      <c r="BH433" s="471"/>
      <c r="BI433" s="471"/>
      <c r="BJ433" s="471"/>
      <c r="BK433" s="471"/>
      <c r="BL433" s="471"/>
    </row>
    <row r="434" spans="23:64" ht="18.899999999999999" customHeight="1">
      <c r="W434" s="471"/>
      <c r="X434" s="471"/>
      <c r="Y434" s="471"/>
      <c r="Z434" s="471"/>
      <c r="AA434" s="471"/>
      <c r="AB434" s="471"/>
      <c r="AC434" s="471"/>
      <c r="BG434" s="471"/>
      <c r="BH434" s="471"/>
      <c r="BI434" s="471"/>
      <c r="BJ434" s="471"/>
      <c r="BK434" s="471"/>
      <c r="BL434" s="471"/>
    </row>
    <row r="435" spans="23:64" ht="18.899999999999999" customHeight="1">
      <c r="W435" s="471"/>
      <c r="X435" s="471"/>
      <c r="Y435" s="471"/>
      <c r="Z435" s="471"/>
      <c r="AA435" s="471"/>
      <c r="AB435" s="471"/>
      <c r="AC435" s="471"/>
      <c r="BG435" s="471"/>
      <c r="BH435" s="471"/>
      <c r="BI435" s="471"/>
      <c r="BJ435" s="471"/>
      <c r="BK435" s="471"/>
      <c r="BL435" s="471"/>
    </row>
    <row r="436" spans="23:64" ht="18.899999999999999" customHeight="1">
      <c r="W436" s="471"/>
      <c r="X436" s="471"/>
      <c r="Y436" s="471"/>
      <c r="Z436" s="471"/>
      <c r="AA436" s="471"/>
      <c r="AB436" s="471"/>
      <c r="AC436" s="471"/>
      <c r="BG436" s="471"/>
      <c r="BH436" s="471"/>
      <c r="BI436" s="471"/>
      <c r="BJ436" s="471"/>
      <c r="BK436" s="471"/>
      <c r="BL436" s="471"/>
    </row>
    <row r="437" spans="23:64" ht="18.899999999999999" customHeight="1">
      <c r="W437" s="471"/>
      <c r="X437" s="471"/>
      <c r="Y437" s="471"/>
      <c r="Z437" s="471"/>
      <c r="AA437" s="471"/>
      <c r="AB437" s="471"/>
      <c r="AC437" s="471"/>
      <c r="BG437" s="471"/>
      <c r="BH437" s="471"/>
      <c r="BI437" s="471"/>
      <c r="BJ437" s="471"/>
      <c r="BK437" s="471"/>
      <c r="BL437" s="471"/>
    </row>
    <row r="438" spans="23:64" ht="18.899999999999999" customHeight="1">
      <c r="W438" s="471"/>
      <c r="X438" s="471"/>
      <c r="Y438" s="471"/>
      <c r="Z438" s="471"/>
      <c r="AA438" s="471"/>
      <c r="AB438" s="471"/>
      <c r="AC438" s="471"/>
      <c r="BG438" s="471"/>
      <c r="BH438" s="471"/>
      <c r="BI438" s="471"/>
      <c r="BJ438" s="471"/>
      <c r="BK438" s="471"/>
      <c r="BL438" s="471"/>
    </row>
    <row r="439" spans="23:64" ht="18.899999999999999" customHeight="1">
      <c r="W439" s="471"/>
      <c r="X439" s="471"/>
      <c r="Y439" s="471"/>
      <c r="Z439" s="471"/>
      <c r="AA439" s="471"/>
      <c r="AB439" s="471"/>
      <c r="AC439" s="471"/>
      <c r="BG439" s="471"/>
      <c r="BH439" s="471"/>
      <c r="BI439" s="471"/>
      <c r="BJ439" s="471"/>
      <c r="BK439" s="471"/>
      <c r="BL439" s="471"/>
    </row>
    <row r="440" spans="23:64" ht="18.899999999999999" customHeight="1">
      <c r="W440" s="471"/>
      <c r="X440" s="471"/>
      <c r="Y440" s="471"/>
      <c r="Z440" s="471"/>
      <c r="AA440" s="471"/>
      <c r="AB440" s="471"/>
      <c r="AC440" s="471"/>
      <c r="BG440" s="471"/>
      <c r="BH440" s="471"/>
      <c r="BI440" s="471"/>
      <c r="BJ440" s="471"/>
      <c r="BK440" s="471"/>
      <c r="BL440" s="471"/>
    </row>
    <row r="441" spans="23:64" ht="18.899999999999999" customHeight="1">
      <c r="W441" s="471"/>
      <c r="X441" s="471"/>
      <c r="Y441" s="471"/>
      <c r="Z441" s="471"/>
      <c r="AA441" s="471"/>
      <c r="AB441" s="471"/>
      <c r="AC441" s="471"/>
      <c r="BG441" s="471"/>
      <c r="BH441" s="471"/>
      <c r="BI441" s="471"/>
      <c r="BJ441" s="471"/>
      <c r="BK441" s="471"/>
      <c r="BL441" s="471"/>
    </row>
    <row r="442" spans="23:64" ht="18.899999999999999" customHeight="1">
      <c r="W442" s="471"/>
      <c r="X442" s="471"/>
      <c r="Y442" s="471"/>
      <c r="Z442" s="471"/>
      <c r="AA442" s="471"/>
      <c r="AB442" s="471"/>
      <c r="AC442" s="471"/>
      <c r="BG442" s="471"/>
      <c r="BH442" s="471"/>
      <c r="BI442" s="471"/>
      <c r="BJ442" s="471"/>
      <c r="BK442" s="471"/>
      <c r="BL442" s="471"/>
    </row>
    <row r="443" spans="23:64" ht="18.899999999999999" customHeight="1">
      <c r="W443" s="471"/>
      <c r="X443" s="471"/>
      <c r="Y443" s="471"/>
      <c r="Z443" s="471"/>
      <c r="AA443" s="471"/>
      <c r="AB443" s="471"/>
      <c r="AC443" s="471"/>
      <c r="BG443" s="471"/>
      <c r="BH443" s="471"/>
      <c r="BI443" s="471"/>
      <c r="BJ443" s="471"/>
      <c r="BK443" s="471"/>
      <c r="BL443" s="471"/>
    </row>
  </sheetData>
  <autoFilter ref="A10:GL94" xr:uid="{00000000-0009-0000-0000-000012000000}">
    <filterColumn colId="0">
      <customFilters>
        <customFilter operator="notEqual" val=" "/>
      </customFilters>
    </filterColumn>
  </autoFilter>
  <mergeCells count="122">
    <mergeCell ref="DO8:DO9"/>
    <mergeCell ref="DP8:DP9"/>
    <mergeCell ref="DM8:DM9"/>
    <mergeCell ref="DK8:DK9"/>
    <mergeCell ref="DE8:DE9"/>
    <mergeCell ref="DF8:DF9"/>
    <mergeCell ref="EM8:EM9"/>
    <mergeCell ref="EN8:EN9"/>
    <mergeCell ref="DY8:DY9"/>
    <mergeCell ref="DQ8:DQ9"/>
    <mergeCell ref="DU8:DU9"/>
    <mergeCell ref="DS8:DS9"/>
    <mergeCell ref="EE8:EE9"/>
    <mergeCell ref="EH8:EH9"/>
    <mergeCell ref="EL8:EL9"/>
    <mergeCell ref="EI8:EI9"/>
    <mergeCell ref="EJ8:EJ9"/>
    <mergeCell ref="DI8:DI9"/>
    <mergeCell ref="DH8:DH9"/>
    <mergeCell ref="DL8:DL9"/>
    <mergeCell ref="DJ8:DJ9"/>
    <mergeCell ref="EG8:EG9"/>
    <mergeCell ref="EC8:EC9"/>
    <mergeCell ref="ED8:ED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A8:FA9"/>
    <mergeCell ref="FB8:FB9"/>
    <mergeCell ref="FO8:FO9"/>
    <mergeCell ref="FT8:FT9"/>
    <mergeCell ref="FU8:FU9"/>
    <mergeCell ref="EV8:EV9"/>
    <mergeCell ref="ET8:ET9"/>
    <mergeCell ref="EZ8:EZ9"/>
    <mergeCell ref="EW8:EW9"/>
    <mergeCell ref="FD8:FD9"/>
    <mergeCell ref="EU8:EU9"/>
    <mergeCell ref="FK8:FK9"/>
    <mergeCell ref="DG8:DG9"/>
    <mergeCell ref="K8:K9"/>
    <mergeCell ref="BG8:BS8"/>
    <mergeCell ref="M8:M9"/>
    <mergeCell ref="N8:N9"/>
    <mergeCell ref="O8:O9"/>
    <mergeCell ref="P8:P9"/>
    <mergeCell ref="Q8:Q9"/>
    <mergeCell ref="CG8:CG9"/>
    <mergeCell ref="BT8:CE8"/>
    <mergeCell ref="S8:S9"/>
    <mergeCell ref="CI8:CI9"/>
    <mergeCell ref="R8:R9"/>
    <mergeCell ref="DD8:DD9"/>
    <mergeCell ref="DC8:DC9"/>
    <mergeCell ref="T8:T9"/>
    <mergeCell ref="CJ8:CJ9"/>
    <mergeCell ref="CK8:CK9"/>
    <mergeCell ref="U8:U9"/>
    <mergeCell ref="V8:V9"/>
    <mergeCell ref="CL8:CL9"/>
    <mergeCell ref="CM8:CM9"/>
    <mergeCell ref="H8:H9"/>
    <mergeCell ref="CF8:CF9"/>
    <mergeCell ref="W8:AC8"/>
    <mergeCell ref="CN8:DB8"/>
    <mergeCell ref="CH8:CH9"/>
    <mergeCell ref="A8:A9"/>
    <mergeCell ref="B8:B9"/>
    <mergeCell ref="I8:I9"/>
    <mergeCell ref="C8:C9"/>
    <mergeCell ref="D8:D9"/>
    <mergeCell ref="F8:F9"/>
    <mergeCell ref="G8:G9"/>
    <mergeCell ref="E8:E9"/>
    <mergeCell ref="AD8:BF8"/>
    <mergeCell ref="J8:J9"/>
    <mergeCell ref="L8:L9"/>
    <mergeCell ref="GA8:GA9"/>
    <mergeCell ref="GB8:GB9"/>
    <mergeCell ref="GC8:GC9"/>
    <mergeCell ref="GH8:GH9"/>
    <mergeCell ref="FV8:FV9"/>
    <mergeCell ref="FP8:FP9"/>
    <mergeCell ref="DV8:DV9"/>
    <mergeCell ref="DT8:DT9"/>
    <mergeCell ref="DN8:DN9"/>
    <mergeCell ref="EP8:EP9"/>
    <mergeCell ref="ES8:ES9"/>
    <mergeCell ref="EQ8:EQ9"/>
    <mergeCell ref="DR8:DR9"/>
    <mergeCell ref="EX8:EX9"/>
    <mergeCell ref="EY8:EY9"/>
    <mergeCell ref="DX8:DX9"/>
    <mergeCell ref="EK8:EK9"/>
    <mergeCell ref="ER8:ER9"/>
    <mergeCell ref="EO8:EO9"/>
    <mergeCell ref="DW8:DW9"/>
    <mergeCell ref="EB8:EB9"/>
    <mergeCell ref="EF8:EF9"/>
    <mergeCell ref="EA8:EA9"/>
    <mergeCell ref="DZ8:DZ9"/>
  </mergeCells>
  <phoneticPr fontId="0" type="noConversion"/>
  <conditionalFormatting sqref="GO96:XFD96 FE96:GL96 A96:EZ96">
    <cfRule type="cellIs" dxfId="121" priority="12" operator="greaterThan">
      <formula>0</formula>
    </cfRule>
    <cfRule type="cellIs" dxfId="120" priority="13" operator="greaterThan">
      <formula>0</formula>
    </cfRule>
    <cfRule type="cellIs" dxfId="119" priority="14" operator="greaterThan">
      <formula>"0$L$5"</formula>
    </cfRule>
  </conditionalFormatting>
  <conditionalFormatting sqref="FD96">
    <cfRule type="cellIs" dxfId="118" priority="9" operator="greaterThan">
      <formula>0</formula>
    </cfRule>
    <cfRule type="cellIs" dxfId="117" priority="10" operator="greaterThan">
      <formula>0</formula>
    </cfRule>
    <cfRule type="cellIs" dxfId="116" priority="11" operator="greaterThan">
      <formula>"0$L$5"</formula>
    </cfRule>
  </conditionalFormatting>
  <conditionalFormatting sqref="FB96:FC96">
    <cfRule type="cellIs" dxfId="115" priority="6" operator="greaterThan">
      <formula>0</formula>
    </cfRule>
    <cfRule type="cellIs" dxfId="114" priority="7" operator="greaterThan">
      <formula>0</formula>
    </cfRule>
    <cfRule type="cellIs" dxfId="113" priority="8" operator="greaterThan">
      <formula>"0$L$5"</formula>
    </cfRule>
  </conditionalFormatting>
  <conditionalFormatting sqref="FA96">
    <cfRule type="cellIs" dxfId="112" priority="3" operator="greaterThan">
      <formula>0</formula>
    </cfRule>
    <cfRule type="cellIs" dxfId="111" priority="4" operator="greaterThan">
      <formula>0</formula>
    </cfRule>
    <cfRule type="cellIs" dxfId="110" priority="5" operator="greaterThan">
      <formula>"0$L$5"</formula>
    </cfRule>
  </conditionalFormatting>
  <conditionalFormatting sqref="A2:FB3 FD2:XFD3">
    <cfRule type="cellIs" dxfId="109" priority="2" operator="greaterThan">
      <formula>0</formula>
    </cfRule>
  </conditionalFormatting>
  <conditionalFormatting sqref="FC2:FC3">
    <cfRule type="cellIs" dxfId="108"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8"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0" t="s">
        <v>4139</v>
      </c>
      <c r="C5" s="100"/>
      <c r="D5" s="100"/>
      <c r="E5" s="100"/>
    </row>
    <row r="6" spans="1:13">
      <c r="F6" s="103"/>
      <c r="G6" s="102"/>
      <c r="H6" s="103"/>
      <c r="I6" s="103"/>
    </row>
    <row r="7" spans="1:13" ht="27.6">
      <c r="A7" s="104"/>
      <c r="B7" s="790" t="s">
        <v>1712</v>
      </c>
      <c r="C7" s="790" t="s">
        <v>2287</v>
      </c>
      <c r="D7" s="791" t="s">
        <v>4140</v>
      </c>
      <c r="E7" s="791" t="s">
        <v>4141</v>
      </c>
      <c r="F7" s="105">
        <f>pp_NC!GV5</f>
        <v>0</v>
      </c>
      <c r="G7" s="105" t="str">
        <f>'pp3p2m '!ED6</f>
        <v>B</v>
      </c>
      <c r="H7" s="105" t="s">
        <v>1038</v>
      </c>
      <c r="I7" s="105" t="s">
        <v>1038</v>
      </c>
      <c r="J7" s="106"/>
      <c r="K7" s="102"/>
      <c r="L7" s="102"/>
      <c r="M7" s="102"/>
    </row>
    <row r="8" spans="1:13" ht="13.8">
      <c r="A8" s="92" t="s">
        <v>2290</v>
      </c>
      <c r="B8" s="93"/>
      <c r="C8" s="93" t="s">
        <v>4142</v>
      </c>
      <c r="D8" s="93"/>
      <c r="E8" s="93"/>
      <c r="F8" s="94"/>
      <c r="G8" s="107"/>
      <c r="H8" s="104"/>
      <c r="I8" s="104"/>
      <c r="J8" s="104"/>
    </row>
    <row r="9" spans="1:13" ht="13.8">
      <c r="A9" s="108"/>
      <c r="B9" s="109" t="s">
        <v>501</v>
      </c>
      <c r="C9" s="95" t="s">
        <v>2294</v>
      </c>
      <c r="D9" s="110"/>
      <c r="E9" s="111"/>
      <c r="F9" s="104"/>
      <c r="G9" s="107">
        <v>1</v>
      </c>
      <c r="H9" s="104"/>
      <c r="I9" s="104"/>
      <c r="J9" s="104"/>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108" t="e">
        <f>#REF!</f>
        <v>#REF!</v>
      </c>
      <c r="B32" s="113" t="e">
        <f>IF(E32=0,"",COUNTIF($E$10:$E32,"&gt;0"))</f>
        <v>#REF!</v>
      </c>
      <c r="C32" s="114" t="e">
        <v>#REF!</v>
      </c>
      <c r="D32" s="97" t="e">
        <v>#REF!</v>
      </c>
      <c r="E32" s="97" t="e">
        <v>#REF!</v>
      </c>
      <c r="F32" s="104"/>
      <c r="G32" s="112" t="e">
        <f t="shared" si="1"/>
        <v>#REF!</v>
      </c>
      <c r="H32" s="104"/>
      <c r="I32" s="104"/>
      <c r="J32" s="104"/>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108" t="e">
        <f>#REF!</f>
        <v>#REF!</v>
      </c>
      <c r="B50" s="113" t="e">
        <f>IF(E50=0,"",COUNTIF($E$10:$E50,"&gt;0"))</f>
        <v>#REF!</v>
      </c>
      <c r="C50" s="114" t="e">
        <v>#REF!</v>
      </c>
      <c r="D50" s="97" t="e">
        <v>#REF!</v>
      </c>
      <c r="E50" s="97" t="e">
        <v>#REF!</v>
      </c>
      <c r="F50" s="104"/>
      <c r="G50" s="112" t="e">
        <f t="shared" ref="G50:G55" si="2">IF(E50&lt;&gt;0,1,0)</f>
        <v>#REF!</v>
      </c>
      <c r="H50" s="104"/>
      <c r="I50" s="104"/>
      <c r="J50" s="104"/>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108" t="e">
        <f>#REF!</f>
        <v>#REF!</v>
      </c>
      <c r="B52" s="113" t="e">
        <f>IF(E52=0,"",COUNTIF($E$10:$E52,"&gt;0"))</f>
        <v>#REF!</v>
      </c>
      <c r="C52" s="114" t="e">
        <v>#REF!</v>
      </c>
      <c r="D52" s="97" t="e">
        <v>#REF!</v>
      </c>
      <c r="E52" s="97" t="e">
        <v>#REF!</v>
      </c>
      <c r="F52" s="104"/>
      <c r="G52" s="112" t="e">
        <f t="shared" si="2"/>
        <v>#REF!</v>
      </c>
      <c r="H52" s="104"/>
      <c r="I52" s="104"/>
      <c r="J52" s="104"/>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108"/>
      <c r="B56" s="117" t="s">
        <v>939</v>
      </c>
      <c r="C56" s="96" t="s">
        <v>2295</v>
      </c>
      <c r="D56" s="97"/>
      <c r="E56" s="797"/>
      <c r="F56" s="104"/>
      <c r="G56" s="112">
        <v>1</v>
      </c>
      <c r="H56" s="104"/>
      <c r="I56" s="104"/>
      <c r="J56" s="104"/>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108" t="e">
        <f>#REF!</f>
        <v>#REF!</v>
      </c>
      <c r="B59" s="113" t="e">
        <f>IF(E59=0,"",COUNTIF($E$57:$E59,"&gt;0"))</f>
        <v>#REF!</v>
      </c>
      <c r="C59" s="114" t="e">
        <v>#REF!</v>
      </c>
      <c r="D59" s="97" t="e">
        <v>#REF!</v>
      </c>
      <c r="E59" s="97" t="e">
        <v>#REF!</v>
      </c>
      <c r="F59" s="104"/>
      <c r="G59" s="112" t="e">
        <f t="shared" si="0"/>
        <v>#REF!</v>
      </c>
      <c r="H59" s="104"/>
      <c r="I59" s="104"/>
      <c r="J59" s="104"/>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108"/>
      <c r="B64" s="117" t="s">
        <v>1618</v>
      </c>
      <c r="C64" s="96" t="s">
        <v>2296</v>
      </c>
      <c r="D64" s="97"/>
      <c r="E64" s="97"/>
      <c r="F64" s="104"/>
      <c r="G64" s="112">
        <v>1</v>
      </c>
      <c r="H64" s="104"/>
      <c r="I64" s="104"/>
      <c r="J64" s="104"/>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108" t="e">
        <f>#REF!</f>
        <v>#REF!</v>
      </c>
      <c r="B69" s="113" t="e">
        <f>IF(E69=0,"",COUNTIF($E$65:$E69,"&gt;0"))</f>
        <v>#REF!</v>
      </c>
      <c r="C69" s="114" t="e">
        <v>#REF!</v>
      </c>
      <c r="D69" s="97" t="e">
        <v>#REF!</v>
      </c>
      <c r="E69" s="97" t="e">
        <v>#REF!</v>
      </c>
      <c r="F69" s="104"/>
      <c r="G69" s="112" t="e">
        <f t="shared" si="0"/>
        <v>#REF!</v>
      </c>
      <c r="H69" s="104"/>
      <c r="I69" s="104"/>
      <c r="J69" s="104"/>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108" t="e">
        <f>#REF!</f>
        <v>#REF!</v>
      </c>
      <c r="B72" s="113" t="e">
        <f>IF(E72=0,"",COUNTIF($E$65:$E72,"&gt;0"))</f>
        <v>#REF!</v>
      </c>
      <c r="C72" s="114" t="e">
        <v>#REF!</v>
      </c>
      <c r="D72" s="97" t="e">
        <v>#REF!</v>
      </c>
      <c r="E72" s="97" t="e">
        <v>#REF!</v>
      </c>
      <c r="F72" s="104"/>
      <c r="G72" s="112" t="e">
        <f t="shared" si="0"/>
        <v>#REF!</v>
      </c>
      <c r="H72" s="104"/>
      <c r="I72" s="104"/>
      <c r="J72" s="104"/>
    </row>
    <row r="73" spans="1:10" ht="13.8">
      <c r="A73" s="108" t="e">
        <f>#REF!</f>
        <v>#REF!</v>
      </c>
      <c r="B73" s="113" t="e">
        <f>IF(E73=0,"",COUNTIF($E$65:$E73,"&gt;0"))</f>
        <v>#REF!</v>
      </c>
      <c r="C73" s="114" t="e">
        <v>#REF!</v>
      </c>
      <c r="D73" s="97" t="e">
        <v>#REF!</v>
      </c>
      <c r="E73" s="97" t="e">
        <v>#REF!</v>
      </c>
      <c r="F73" s="104"/>
      <c r="G73" s="112" t="e">
        <f t="shared" si="0"/>
        <v>#REF!</v>
      </c>
      <c r="H73" s="104"/>
      <c r="I73" s="104"/>
      <c r="J73" s="104"/>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108" t="s">
        <v>1649</v>
      </c>
      <c r="B115" s="117" t="s">
        <v>1912</v>
      </c>
      <c r="C115" s="96" t="s">
        <v>2306</v>
      </c>
      <c r="D115" s="97" t="s">
        <v>2307</v>
      </c>
      <c r="E115" s="798"/>
      <c r="F115" s="104"/>
      <c r="G115" s="112">
        <v>1</v>
      </c>
      <c r="H115" s="104"/>
      <c r="I115" s="104"/>
      <c r="J115" s="104"/>
    </row>
    <row r="116" spans="1:10" s="1" customFormat="1" ht="13.8">
      <c r="A116" s="9" t="str">
        <f>chitiet!B1751</f>
        <v>AC240</v>
      </c>
      <c r="B116" s="18" t="e">
        <f>IF(E116=0,"",COUNTIF($E$116:$E116,"&gt;0"))</f>
        <v>#N/A</v>
      </c>
      <c r="C116" s="16" t="e">
        <v>#N/A</v>
      </c>
      <c r="D116" s="19" t="e">
        <v>#N/A</v>
      </c>
      <c r="E116" s="19" t="e">
        <v>#N/A</v>
      </c>
      <c r="F116" s="10">
        <f>chitiet!E1751</f>
        <v>0</v>
      </c>
      <c r="G116" s="7" t="e">
        <f t="shared" ref="G116:G135" si="3">IF(E116&lt;&gt;0,1,0)</f>
        <v>#N/A</v>
      </c>
      <c r="H116" s="4"/>
      <c r="I116" s="4"/>
      <c r="J116" s="4"/>
    </row>
    <row r="117" spans="1:10" s="1" customFormat="1" ht="13.8">
      <c r="A117" s="9" t="str">
        <f>chitiet!B1752</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chitiet!B1753</f>
        <v>AC150</v>
      </c>
      <c r="B118" s="18" t="str">
        <f>IF(E118=0,"",COUNTIF($E$116:$E118,"&gt;0"))</f>
        <v/>
      </c>
      <c r="C118" s="16" t="s">
        <v>2772</v>
      </c>
      <c r="D118" s="19" t="s">
        <v>2254</v>
      </c>
      <c r="E118" s="19">
        <v>0</v>
      </c>
      <c r="F118" s="10">
        <f>chitiet!E1643</f>
        <v>0</v>
      </c>
      <c r="G118" s="7">
        <f t="shared" si="3"/>
        <v>0</v>
      </c>
      <c r="H118" s="4"/>
      <c r="I118" s="4"/>
      <c r="J118" s="4"/>
    </row>
    <row r="119" spans="1:10" s="1" customFormat="1" ht="13.8">
      <c r="A119" s="9" t="str">
        <f>chitiet!B1754</f>
        <v>AC120</v>
      </c>
      <c r="B119" s="18" t="str">
        <f>IF(E119=0,"",COUNTIF($E$116:$E119,"&gt;0"))</f>
        <v/>
      </c>
      <c r="C119" s="16" t="s">
        <v>5083</v>
      </c>
      <c r="D119" s="19" t="s">
        <v>2254</v>
      </c>
      <c r="E119" s="19">
        <v>0</v>
      </c>
      <c r="F119" s="10">
        <f>chitiet!E1754</f>
        <v>0</v>
      </c>
      <c r="G119" s="7">
        <f t="shared" si="3"/>
        <v>0</v>
      </c>
      <c r="H119" s="4"/>
      <c r="I119" s="4"/>
      <c r="J119" s="4"/>
    </row>
    <row r="120" spans="1:10" s="1" customFormat="1" ht="13.8">
      <c r="A120" s="9" t="str">
        <f>chitiet!B1755</f>
        <v>AC95</v>
      </c>
      <c r="B120" s="18" t="str">
        <f>IF(E120=0,"",COUNTIF($E$116:$E120,"&gt;0"))</f>
        <v/>
      </c>
      <c r="C120" s="16" t="s">
        <v>5084</v>
      </c>
      <c r="D120" s="19" t="s">
        <v>2254</v>
      </c>
      <c r="E120" s="19">
        <v>0</v>
      </c>
      <c r="F120" s="10"/>
      <c r="G120" s="7">
        <f t="shared" si="3"/>
        <v>0</v>
      </c>
      <c r="H120" s="4"/>
      <c r="I120" s="4"/>
      <c r="J120" s="4"/>
    </row>
    <row r="121" spans="1:10" s="1" customFormat="1" ht="13.8">
      <c r="A121" s="9" t="str">
        <f>chitiet!B1756</f>
        <v>AC70</v>
      </c>
      <c r="B121" s="18" t="str">
        <f>IF(E121=0,"",COUNTIF($E$116:$E121,"&gt;0"))</f>
        <v/>
      </c>
      <c r="C121" s="16" t="s">
        <v>5085</v>
      </c>
      <c r="D121" s="19" t="s">
        <v>2254</v>
      </c>
      <c r="E121" s="19">
        <v>0</v>
      </c>
      <c r="F121" s="10">
        <f>chitiet!E1646</f>
        <v>0</v>
      </c>
      <c r="G121" s="7">
        <f t="shared" si="3"/>
        <v>0</v>
      </c>
      <c r="H121" s="4"/>
      <c r="I121" s="4"/>
      <c r="J121" s="4"/>
    </row>
    <row r="122" spans="1:10" s="1" customFormat="1" ht="13.8">
      <c r="A122" s="9" t="str">
        <f>chitiet!B1757</f>
        <v>AC50</v>
      </c>
      <c r="B122" s="18">
        <f>IF(E122=0,"",COUNTIF($E$116:$E122,"&gt;0"))</f>
        <v>1</v>
      </c>
      <c r="C122" s="16" t="s">
        <v>2768</v>
      </c>
      <c r="D122" s="19" t="s">
        <v>2254</v>
      </c>
      <c r="E122" s="19">
        <v>144.19999999999999</v>
      </c>
      <c r="F122" s="10">
        <f>chitiet!E1631</f>
        <v>0</v>
      </c>
      <c r="G122" s="7">
        <f t="shared" si="3"/>
        <v>1</v>
      </c>
      <c r="H122" s="4"/>
      <c r="I122" s="4"/>
      <c r="J122" s="4"/>
    </row>
    <row r="123" spans="1:10" s="1" customFormat="1" ht="13.8">
      <c r="A123" s="9" t="str">
        <f>chitiet!B1758</f>
        <v>XLPE95ACXH</v>
      </c>
      <c r="B123" s="18" t="e">
        <f>IF(E123=0,"",COUNTIF($E$116:$E123,"&gt;0"))</f>
        <v>#N/A</v>
      </c>
      <c r="C123" s="16" t="e">
        <v>#N/A</v>
      </c>
      <c r="D123" s="19" t="e">
        <v>#N/A</v>
      </c>
      <c r="E123" s="19" t="e">
        <v>#N/A</v>
      </c>
      <c r="F123" s="10">
        <f>chitiet!E1632</f>
        <v>0</v>
      </c>
      <c r="G123" s="7" t="e">
        <f>IF(E123&lt;&gt;0,1,0)</f>
        <v>#N/A</v>
      </c>
      <c r="H123" s="4"/>
      <c r="I123" s="4"/>
      <c r="J123" s="4"/>
    </row>
    <row r="124" spans="1:10" s="1" customFormat="1" ht="13.8">
      <c r="A124" s="9" t="str">
        <f>chitiet!B1759</f>
        <v>XLPE240A</v>
      </c>
      <c r="B124" s="18" t="str">
        <f>IF(E124=0,"",COUNTIF($E$116:$E124,"&gt;0"))</f>
        <v/>
      </c>
      <c r="C124" s="16" t="s">
        <v>2732</v>
      </c>
      <c r="D124" s="19" t="s">
        <v>2538</v>
      </c>
      <c r="E124" s="19">
        <v>0</v>
      </c>
      <c r="F124" s="10">
        <f>chitiet!E1655</f>
        <v>0</v>
      </c>
      <c r="G124" s="7">
        <f t="shared" si="3"/>
        <v>0</v>
      </c>
      <c r="H124" s="4"/>
      <c r="I124" s="4"/>
      <c r="J124" s="4"/>
    </row>
    <row r="125" spans="1:10" s="1" customFormat="1" ht="13.8">
      <c r="A125" s="9" t="str">
        <f>chitiet!B1760</f>
        <v>XLPE185A</v>
      </c>
      <c r="B125" s="18" t="str">
        <f>IF(E125=0,"",COUNTIF($E$116:$E125,"&gt;0"))</f>
        <v/>
      </c>
      <c r="C125" s="16" t="s">
        <v>2731</v>
      </c>
      <c r="D125" s="19" t="s">
        <v>2538</v>
      </c>
      <c r="E125" s="19">
        <v>0</v>
      </c>
      <c r="F125" s="10">
        <f>chitiet!E1656</f>
        <v>0</v>
      </c>
      <c r="G125" s="7">
        <f>IF(E125&lt;&gt;0,1,0)</f>
        <v>0</v>
      </c>
      <c r="H125" s="4"/>
      <c r="I125" s="4"/>
      <c r="J125" s="4"/>
    </row>
    <row r="126" spans="1:10" s="1" customFormat="1" ht="13.8">
      <c r="A126" s="9" t="str">
        <f>chitiet!B1760</f>
        <v>XLPE185A</v>
      </c>
      <c r="B126" s="18" t="str">
        <f>IF(E126=0,"",COUNTIF($E$116:$E126,"&gt;0"))</f>
        <v/>
      </c>
      <c r="C126" s="16" t="s">
        <v>2731</v>
      </c>
      <c r="D126" s="19" t="s">
        <v>2538</v>
      </c>
      <c r="E126" s="19">
        <v>0</v>
      </c>
      <c r="F126" s="10">
        <f>chitiet!E1639</f>
        <v>0</v>
      </c>
      <c r="G126" s="7">
        <f t="shared" si="3"/>
        <v>0</v>
      </c>
      <c r="H126" s="4"/>
      <c r="I126" s="4"/>
      <c r="J126" s="4"/>
    </row>
    <row r="127" spans="1:10" s="1" customFormat="1" ht="13.8">
      <c r="A127" s="9" t="str">
        <f>chitiet!B1761</f>
        <v>XLPE150A</v>
      </c>
      <c r="B127" s="18" t="str">
        <f>IF(E127=0,"",COUNTIF($E$116:$E127,"&gt;0"))</f>
        <v/>
      </c>
      <c r="C127" s="16" t="s">
        <v>2730</v>
      </c>
      <c r="D127" s="19" t="s">
        <v>2538</v>
      </c>
      <c r="E127" s="19">
        <v>0</v>
      </c>
      <c r="F127" s="10"/>
      <c r="G127" s="7">
        <f t="shared" si="3"/>
        <v>0</v>
      </c>
      <c r="H127" s="4"/>
      <c r="I127" s="4"/>
      <c r="J127" s="4"/>
    </row>
    <row r="128" spans="1:10" s="1" customFormat="1" ht="13.8">
      <c r="A128" s="9" t="str">
        <f>chitiet!B1762</f>
        <v>XLPE120A</v>
      </c>
      <c r="B128" s="18" t="str">
        <f>IF(E128=0,"",COUNTIF($E$116:$E128,"&gt;0"))</f>
        <v/>
      </c>
      <c r="C128" s="16" t="s">
        <v>2729</v>
      </c>
      <c r="D128" s="19" t="s">
        <v>2538</v>
      </c>
      <c r="E128" s="19">
        <v>0</v>
      </c>
      <c r="F128" s="10">
        <f>chitiet!E1658</f>
        <v>0</v>
      </c>
      <c r="G128" s="7">
        <f t="shared" si="3"/>
        <v>0</v>
      </c>
      <c r="H128" s="4"/>
      <c r="I128" s="4"/>
      <c r="J128" s="4"/>
    </row>
    <row r="129" spans="1:10" s="1" customFormat="1" ht="13.8">
      <c r="A129" s="9" t="str">
        <f>chitiet!B1763</f>
        <v>XLPE95A</v>
      </c>
      <c r="B129" s="18" t="str">
        <f>IF(E129=0,"",COUNTIF($E$116:$E129,"&gt;0"))</f>
        <v/>
      </c>
      <c r="C129" s="16" t="s">
        <v>2728</v>
      </c>
      <c r="D129" s="19" t="s">
        <v>2538</v>
      </c>
      <c r="E129" s="19">
        <v>0</v>
      </c>
      <c r="F129" s="10">
        <f>chitiet!E1642</f>
        <v>0</v>
      </c>
      <c r="G129" s="7">
        <f t="shared" si="3"/>
        <v>0</v>
      </c>
      <c r="H129" s="4"/>
      <c r="I129" s="4"/>
      <c r="J129" s="4"/>
    </row>
    <row r="130" spans="1:10" s="1" customFormat="1" ht="13.8">
      <c r="A130" s="9" t="str">
        <f>chitiet!B1765</f>
        <v>XLPE50A</v>
      </c>
      <c r="B130" s="18" t="str">
        <f>IF(E130=0,"",COUNTIF($E$116:$E130,"&gt;0"))</f>
        <v/>
      </c>
      <c r="C130" s="16" t="s">
        <v>5086</v>
      </c>
      <c r="D130" s="19" t="s">
        <v>2538</v>
      </c>
      <c r="E130" s="35">
        <v>0</v>
      </c>
      <c r="F130" s="10"/>
      <c r="G130" s="7">
        <f>IF(E130&lt;&gt;0,1,0)</f>
        <v>0</v>
      </c>
      <c r="H130" s="4"/>
      <c r="I130" s="4"/>
      <c r="J130" s="4"/>
    </row>
    <row r="131" spans="1:10" ht="13.8">
      <c r="A131" s="119" t="str">
        <f>chitiet!B1766</f>
        <v>XLPE50A</v>
      </c>
      <c r="B131" s="113" t="str">
        <f>IF(E131=0,"",COUNTIF($E$116:$E131,"&gt;0"))</f>
        <v/>
      </c>
      <c r="C131" s="114" t="s">
        <v>5086</v>
      </c>
      <c r="D131" s="97" t="s">
        <v>2538</v>
      </c>
      <c r="E131" s="799">
        <v>0</v>
      </c>
      <c r="F131" s="120"/>
      <c r="G131" s="112">
        <f>IF(E131&lt;&gt;0,1,0)</f>
        <v>0</v>
      </c>
      <c r="H131" s="104"/>
      <c r="I131" s="104"/>
      <c r="J131" s="104"/>
    </row>
    <row r="132" spans="1:10" s="1" customFormat="1" ht="13.8">
      <c r="A132" s="9" t="str">
        <f>chitiet!B1767</f>
        <v>XLPE50</v>
      </c>
      <c r="B132" s="18" t="str">
        <f>IF(E132=0,"",COUNTIF($E$116:$E132,"&gt;0"))</f>
        <v/>
      </c>
      <c r="C132" s="16" t="s">
        <v>5087</v>
      </c>
      <c r="D132" s="19" t="s">
        <v>5082</v>
      </c>
      <c r="E132" s="35">
        <v>0</v>
      </c>
      <c r="F132" s="10"/>
      <c r="G132" s="7">
        <f>IF(E132&lt;&gt;0,1,0)</f>
        <v>0</v>
      </c>
      <c r="H132" s="4"/>
      <c r="I132" s="4"/>
      <c r="J132" s="4"/>
    </row>
    <row r="133" spans="1:10" s="1" customFormat="1" ht="13.8">
      <c r="A133" s="9" t="str">
        <f>chitiet!B1768</f>
        <v>M25</v>
      </c>
      <c r="B133" s="18" t="str">
        <f>IF(E133=0,"",COUNTIF($E$116:$E133,"&gt;0"))</f>
        <v/>
      </c>
      <c r="C133" s="16" t="s">
        <v>2708</v>
      </c>
      <c r="D133" s="19" t="s">
        <v>2254</v>
      </c>
      <c r="E133" s="35">
        <v>0</v>
      </c>
      <c r="F133" s="10"/>
      <c r="G133" s="7">
        <f t="shared" si="3"/>
        <v>0</v>
      </c>
      <c r="H133" s="4"/>
      <c r="I133" s="4"/>
      <c r="J133" s="4"/>
    </row>
    <row r="134" spans="1:10" s="1" customFormat="1" ht="13.8">
      <c r="A134" s="9" t="str">
        <f>chitiet!B1769</f>
        <v>M38</v>
      </c>
      <c r="B134" s="18" t="str">
        <f>IF(E134=0,"",COUNTIF($E$116:$E134,"&gt;0"))</f>
        <v/>
      </c>
      <c r="C134" s="16" t="s">
        <v>2709</v>
      </c>
      <c r="D134" s="19" t="s">
        <v>2254</v>
      </c>
      <c r="E134" s="35">
        <v>0</v>
      </c>
      <c r="F134" s="10"/>
      <c r="G134" s="7">
        <f>IF(E134&lt;&gt;0,1,0)</f>
        <v>0</v>
      </c>
      <c r="H134" s="4"/>
      <c r="I134" s="4"/>
      <c r="J134" s="4"/>
    </row>
    <row r="135" spans="1:10" ht="13.8">
      <c r="A135" s="119" t="str">
        <f>chitiet!B1770</f>
        <v>Đth-U</v>
      </c>
      <c r="B135" s="113" t="e">
        <f>IF(E135=0,"",COUNTIF($E$116:$E135,"&gt;0"))</f>
        <v>#N/A</v>
      </c>
      <c r="C135" s="121" t="e">
        <v>#N/A</v>
      </c>
      <c r="D135" s="122" t="e">
        <v>#N/A</v>
      </c>
      <c r="E135" s="122" t="e">
        <v>#N/A</v>
      </c>
      <c r="F135" s="104"/>
      <c r="G135" s="112" t="e">
        <f t="shared" si="3"/>
        <v>#N/A</v>
      </c>
      <c r="H135" s="104"/>
      <c r="I135" s="104"/>
      <c r="J135" s="104"/>
    </row>
    <row r="136" spans="1:10" ht="13.8">
      <c r="A136" s="119" t="str">
        <f>chitiet!B1771</f>
        <v>R1</v>
      </c>
      <c r="B136" s="113"/>
      <c r="C136" s="114" t="s">
        <v>2948</v>
      </c>
      <c r="D136" s="97" t="s">
        <v>2445</v>
      </c>
      <c r="E136" s="125" t="e">
        <f>E135</f>
        <v>#N/A</v>
      </c>
      <c r="F136" s="104"/>
      <c r="G136" s="112" t="e">
        <f>G135</f>
        <v>#N/A</v>
      </c>
      <c r="H136" s="104"/>
      <c r="I136" s="104"/>
      <c r="J136" s="104"/>
    </row>
    <row r="137" spans="1:10" ht="13.8">
      <c r="A137" s="119" t="str">
        <f>chitiet!B1772</f>
        <v>B16300</v>
      </c>
      <c r="B137" s="113"/>
      <c r="C137" s="114" t="s">
        <v>2657</v>
      </c>
      <c r="D137" s="97" t="s">
        <v>2445</v>
      </c>
      <c r="E137" s="125" t="e">
        <f>E136</f>
        <v>#N/A</v>
      </c>
      <c r="F137" s="104"/>
      <c r="G137" s="112" t="e">
        <f>G136</f>
        <v>#N/A</v>
      </c>
      <c r="H137" s="104"/>
      <c r="I137" s="104"/>
      <c r="J137" s="104"/>
    </row>
    <row r="138" spans="1:10" s="1" customFormat="1" ht="14.4">
      <c r="A138" s="9" t="str">
        <f>chitiet!B1773</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chitiet!B1774</f>
        <v>R1</v>
      </c>
      <c r="B139" s="18"/>
      <c r="C139" s="16" t="s">
        <v>2948</v>
      </c>
      <c r="D139" s="19" t="s">
        <v>2445</v>
      </c>
      <c r="E139" s="29" t="e">
        <f>E138</f>
        <v>#N/A</v>
      </c>
      <c r="F139" s="4"/>
      <c r="G139" s="7" t="e">
        <f>G138</f>
        <v>#N/A</v>
      </c>
      <c r="H139" s="4"/>
      <c r="I139" s="4"/>
      <c r="J139" s="4"/>
    </row>
    <row r="140" spans="1:10" s="1" customFormat="1" ht="13.8">
      <c r="A140" s="9" t="str">
        <f>chitiet!B1775</f>
        <v>B16600v</v>
      </c>
      <c r="B140" s="18"/>
      <c r="C140" s="16" t="s">
        <v>5078</v>
      </c>
      <c r="D140" s="19" t="s">
        <v>2445</v>
      </c>
      <c r="E140" s="29" t="e">
        <f>E139</f>
        <v>#N/A</v>
      </c>
      <c r="F140" s="4"/>
      <c r="G140" s="7" t="e">
        <f>G139</f>
        <v>#N/A</v>
      </c>
      <c r="H140" s="4"/>
      <c r="I140" s="4"/>
      <c r="J140" s="4"/>
    </row>
    <row r="141" spans="1:10" s="1" customFormat="1" ht="14.4">
      <c r="A141" s="9" t="str">
        <f>chitiet!B1776</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chitiet!B1777</f>
        <v>R1</v>
      </c>
      <c r="B142" s="18"/>
      <c r="C142" s="16" t="s">
        <v>2948</v>
      </c>
      <c r="D142" s="19" t="s">
        <v>2445</v>
      </c>
      <c r="E142" s="29" t="e">
        <f>E141</f>
        <v>#N/A</v>
      </c>
      <c r="F142" s="4"/>
      <c r="G142" s="7" t="e">
        <f>G141</f>
        <v>#N/A</v>
      </c>
      <c r="H142" s="4"/>
      <c r="I142" s="4"/>
      <c r="J142" s="4"/>
    </row>
    <row r="143" spans="1:10" s="1" customFormat="1" ht="13.8">
      <c r="A143" s="9" t="str">
        <f>chitiet!B1778</f>
        <v>B16100</v>
      </c>
      <c r="B143" s="18"/>
      <c r="C143" s="16" t="s">
        <v>2648</v>
      </c>
      <c r="D143" s="19" t="s">
        <v>2445</v>
      </c>
      <c r="E143" s="29" t="e">
        <f>E142</f>
        <v>#N/A</v>
      </c>
      <c r="F143" s="4"/>
      <c r="G143" s="7" t="e">
        <f>G142</f>
        <v>#N/A</v>
      </c>
      <c r="H143" s="4"/>
      <c r="I143" s="4"/>
      <c r="J143" s="4"/>
    </row>
    <row r="144" spans="1:10" s="1" customFormat="1" ht="14.4">
      <c r="A144" s="9" t="str">
        <f>chitiet!B1779</f>
        <v>Nth-U</v>
      </c>
      <c r="B144" s="18" t="str">
        <f>IF(E144=0,"",COUNTIF($B$116:$B137,"&gt;0")+1)</f>
        <v/>
      </c>
      <c r="C144" s="21" t="s">
        <v>5060</v>
      </c>
      <c r="D144" s="22" t="s">
        <v>5058</v>
      </c>
      <c r="E144" s="22">
        <v>0</v>
      </c>
      <c r="F144" s="4"/>
      <c r="G144" s="7">
        <f>IF(E144&lt;&gt;0,1,0)</f>
        <v>0</v>
      </c>
      <c r="H144" s="4"/>
      <c r="I144" s="4"/>
      <c r="J144" s="4"/>
    </row>
    <row r="145" spans="1:10" s="1" customFormat="1" ht="13.8">
      <c r="A145" s="9" t="str">
        <f>chitiet!B1780</f>
        <v>R1</v>
      </c>
      <c r="B145" s="18"/>
      <c r="C145" s="16" t="s">
        <v>2948</v>
      </c>
      <c r="D145" s="19" t="s">
        <v>2445</v>
      </c>
      <c r="E145" s="19">
        <f>E144</f>
        <v>0</v>
      </c>
      <c r="F145" s="4"/>
      <c r="G145" s="7">
        <f>G144</f>
        <v>0</v>
      </c>
      <c r="H145" s="4"/>
      <c r="I145" s="4"/>
      <c r="J145" s="4"/>
    </row>
    <row r="146" spans="1:10" s="1" customFormat="1" ht="13.8">
      <c r="A146" s="9" t="str">
        <f>chitiet!B1781</f>
        <v>B16300</v>
      </c>
      <c r="B146" s="18"/>
      <c r="C146" s="16" t="s">
        <v>2657</v>
      </c>
      <c r="D146" s="19" t="s">
        <v>2445</v>
      </c>
      <c r="E146" s="19">
        <f>E145</f>
        <v>0</v>
      </c>
      <c r="F146" s="4"/>
      <c r="G146" s="7">
        <f>G145</f>
        <v>0</v>
      </c>
      <c r="H146" s="4"/>
      <c r="I146" s="4"/>
      <c r="J146" s="4"/>
    </row>
    <row r="147" spans="1:10" s="1" customFormat="1" ht="14.4">
      <c r="A147" s="9" t="str">
        <f>chitiet!B1782</f>
        <v>ke50</v>
      </c>
      <c r="B147" s="18"/>
      <c r="C147" s="16" t="s">
        <v>2889</v>
      </c>
      <c r="D147" s="19" t="s">
        <v>2563</v>
      </c>
      <c r="E147" s="32">
        <f>E146*2</f>
        <v>0</v>
      </c>
      <c r="F147" s="4"/>
      <c r="G147" s="7">
        <f>G146</f>
        <v>0</v>
      </c>
      <c r="H147" s="4"/>
      <c r="I147" s="4"/>
      <c r="J147" s="4"/>
    </row>
    <row r="148" spans="1:10" ht="13.8">
      <c r="A148" s="119" t="str">
        <f>chitiet!B1783</f>
        <v>Nth-T</v>
      </c>
      <c r="B148" s="113">
        <f>IF(E148=0,"",COUNTIF($B$116:$B147,"&gt;0")+1)</f>
        <v>2</v>
      </c>
      <c r="C148" s="121" t="s">
        <v>5062</v>
      </c>
      <c r="D148" s="122" t="s">
        <v>5058</v>
      </c>
      <c r="E148" s="122">
        <v>7</v>
      </c>
      <c r="F148" s="104"/>
      <c r="G148" s="112">
        <f>IF(E148&lt;&gt;0,1,0)</f>
        <v>1</v>
      </c>
      <c r="H148" s="104"/>
      <c r="I148" s="104"/>
      <c r="J148" s="104"/>
    </row>
    <row r="149" spans="1:10" ht="13.8">
      <c r="A149" s="119" t="str">
        <f>chitiet!B1784</f>
        <v>kn50</v>
      </c>
      <c r="B149" s="113"/>
      <c r="C149" s="114" t="s">
        <v>2916</v>
      </c>
      <c r="D149" s="97" t="s">
        <v>2563</v>
      </c>
      <c r="E149" s="125">
        <f>E148</f>
        <v>7</v>
      </c>
      <c r="F149" s="104"/>
      <c r="G149" s="112">
        <f>IF(E149&lt;&gt;0,1,0)</f>
        <v>1</v>
      </c>
      <c r="H149" s="104"/>
      <c r="I149" s="104"/>
      <c r="J149" s="104"/>
    </row>
    <row r="150" spans="1:10" ht="13.8">
      <c r="A150" s="119" t="str">
        <f>chitiet!B1785</f>
        <v>BM16300</v>
      </c>
      <c r="B150" s="113"/>
      <c r="C150" s="114" t="s">
        <v>5020</v>
      </c>
      <c r="D150" s="97" t="s">
        <v>2445</v>
      </c>
      <c r="E150" s="125">
        <f>E148</f>
        <v>7</v>
      </c>
      <c r="F150" s="104"/>
      <c r="G150" s="112">
        <f>IF(E150&lt;&gt;0,1,0)</f>
        <v>1</v>
      </c>
      <c r="H150" s="104"/>
      <c r="I150" s="104"/>
      <c r="J150" s="104"/>
    </row>
    <row r="151" spans="1:10" s="1" customFormat="1" ht="13.8">
      <c r="A151" s="9" t="str">
        <f>chitiet!B1786</f>
        <v>ke50</v>
      </c>
      <c r="B151" s="18"/>
      <c r="C151" s="16" t="s">
        <v>2889</v>
      </c>
      <c r="D151" s="19" t="s">
        <v>2563</v>
      </c>
      <c r="E151" s="29">
        <f>E148*0</f>
        <v>0</v>
      </c>
      <c r="F151" s="4"/>
      <c r="G151" s="7">
        <f>IF(E151&lt;&gt;0,1,0)</f>
        <v>0</v>
      </c>
      <c r="H151" s="4"/>
      <c r="I151" s="4"/>
      <c r="J151" s="4"/>
    </row>
    <row r="152" spans="1:10" s="1" customFormat="1" ht="14.4">
      <c r="A152" s="9" t="str">
        <f>chitiet!B1791</f>
        <v>Nth-X</v>
      </c>
      <c r="B152" s="18" t="str">
        <f>IF(E152=0,"",COUNTIF($B$116:$B151,"&gt;0")+1)</f>
        <v/>
      </c>
      <c r="C152" s="21" t="s">
        <v>5079</v>
      </c>
      <c r="D152" s="36" t="s">
        <v>5058</v>
      </c>
      <c r="E152" s="22">
        <v>0</v>
      </c>
      <c r="F152" s="4"/>
      <c r="G152" s="7">
        <f>IF(E152&lt;&gt;0,1,0)</f>
        <v>0</v>
      </c>
      <c r="H152" s="4"/>
      <c r="I152" s="4"/>
      <c r="J152" s="4"/>
    </row>
    <row r="153" spans="1:10" s="1" customFormat="1" ht="13.8">
      <c r="A153" s="9" t="str">
        <f>chitiet!B1792</f>
        <v>kn50</v>
      </c>
      <c r="B153" s="18"/>
      <c r="C153" s="16" t="s">
        <v>2916</v>
      </c>
      <c r="D153" s="19" t="s">
        <v>2563</v>
      </c>
      <c r="E153" s="29">
        <f>E152</f>
        <v>0</v>
      </c>
      <c r="F153" s="4"/>
      <c r="G153" s="7">
        <f>G152</f>
        <v>0</v>
      </c>
      <c r="H153" s="4"/>
      <c r="I153" s="4"/>
      <c r="J153" s="4"/>
    </row>
    <row r="154" spans="1:10" s="1" customFormat="1" ht="13.8">
      <c r="A154" s="9" t="str">
        <f>chitiet!B1793</f>
        <v>MT</v>
      </c>
      <c r="B154" s="18"/>
      <c r="C154" s="16" t="s">
        <v>5063</v>
      </c>
      <c r="D154" s="19" t="s">
        <v>2563</v>
      </c>
      <c r="E154" s="29">
        <f>E153*2</f>
        <v>0</v>
      </c>
      <c r="F154" s="4"/>
      <c r="G154" s="7">
        <f>G153</f>
        <v>0</v>
      </c>
      <c r="H154" s="4"/>
      <c r="I154" s="4"/>
      <c r="J154" s="4"/>
    </row>
    <row r="155" spans="1:10" s="1" customFormat="1" ht="13.8">
      <c r="A155" s="9" t="str">
        <f>chitiet!B1794</f>
        <v>KE50</v>
      </c>
      <c r="B155" s="18"/>
      <c r="C155" s="16" t="s">
        <v>2889</v>
      </c>
      <c r="D155" s="19" t="s">
        <v>2563</v>
      </c>
      <c r="E155" s="29">
        <f>E153*0</f>
        <v>0</v>
      </c>
      <c r="F155" s="4"/>
      <c r="G155" s="7"/>
      <c r="H155" s="4"/>
      <c r="I155" s="4"/>
      <c r="J155" s="4"/>
    </row>
    <row r="156" spans="1:10" ht="13.8">
      <c r="A156" s="119" t="str">
        <f>chitiet!B1795</f>
        <v>SĐU</v>
      </c>
      <c r="B156" s="113" t="e">
        <f>IF(E156=0,"",COUNTIF($B$116:$B155,"&gt;0")+1)</f>
        <v>#N/A</v>
      </c>
      <c r="C156" s="121" t="e">
        <v>#N/A</v>
      </c>
      <c r="D156" s="122" t="e">
        <v>#N/A</v>
      </c>
      <c r="E156" s="122" t="e">
        <v>#N/A</v>
      </c>
      <c r="F156" s="104"/>
      <c r="G156" s="112" t="e">
        <f>IF(E156&lt;&gt;0,1,0)</f>
        <v>#N/A</v>
      </c>
      <c r="H156" s="104"/>
      <c r="I156" s="104"/>
      <c r="J156" s="104"/>
    </row>
    <row r="157" spans="1:10" ht="13.8">
      <c r="A157" s="119" t="str">
        <f>chitiet!B1796</f>
        <v>SD</v>
      </c>
      <c r="B157" s="113"/>
      <c r="C157" s="124" t="s">
        <v>5021</v>
      </c>
      <c r="D157" s="125" t="s">
        <v>2563</v>
      </c>
      <c r="E157" s="125" t="e">
        <v>#N/A</v>
      </c>
      <c r="F157" s="104"/>
      <c r="G157" s="112" t="e">
        <f>G156</f>
        <v>#N/A</v>
      </c>
      <c r="H157" s="104"/>
      <c r="I157" s="104"/>
      <c r="J157" s="104"/>
    </row>
    <row r="158" spans="1:10" ht="13.8">
      <c r="A158" s="119" t="str">
        <f>chitiet!B1797</f>
        <v>CSD</v>
      </c>
      <c r="B158" s="113"/>
      <c r="C158" s="124" t="s">
        <v>5022</v>
      </c>
      <c r="D158" s="125" t="s">
        <v>2563</v>
      </c>
      <c r="E158" s="125" t="e">
        <v>#N/A</v>
      </c>
      <c r="F158" s="104"/>
      <c r="G158" s="112" t="e">
        <f>G157</f>
        <v>#N/A</v>
      </c>
      <c r="H158" s="104"/>
      <c r="I158" s="104"/>
      <c r="J158" s="104"/>
    </row>
    <row r="159" spans="1:10" s="1" customFormat="1" ht="14.4">
      <c r="A159" s="9" t="str">
        <f>chitiet!B1798</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chitiet!B1799</f>
        <v>SD</v>
      </c>
      <c r="B160" s="18"/>
      <c r="C160" s="37" t="s">
        <v>5021</v>
      </c>
      <c r="D160" s="29" t="s">
        <v>2563</v>
      </c>
      <c r="E160" s="29" t="e">
        <v>#N/A</v>
      </c>
      <c r="F160" s="4"/>
      <c r="G160" s="7" t="e">
        <f>G159</f>
        <v>#N/A</v>
      </c>
      <c r="H160" s="4"/>
      <c r="I160" s="4"/>
      <c r="J160" s="4"/>
    </row>
    <row r="161" spans="1:10" s="1" customFormat="1" ht="13.8">
      <c r="A161" s="9" t="str">
        <f>chitiet!B1800</f>
        <v>CSDI</v>
      </c>
      <c r="B161" s="18"/>
      <c r="C161" s="37" t="e">
        <v>#N/A</v>
      </c>
      <c r="D161" s="29" t="e">
        <v>#N/A</v>
      </c>
      <c r="E161" s="29" t="e">
        <v>#N/A</v>
      </c>
      <c r="F161" s="4"/>
      <c r="G161" s="7" t="e">
        <f>G160</f>
        <v>#N/A</v>
      </c>
      <c r="H161" s="4"/>
      <c r="I161" s="4"/>
      <c r="J161" s="4"/>
    </row>
    <row r="162" spans="1:10" s="1" customFormat="1" ht="13.8">
      <c r="A162" s="9" t="str">
        <f>chitiet!B1801</f>
        <v>B16250</v>
      </c>
      <c r="B162" s="18"/>
      <c r="C162" s="37" t="s">
        <v>2653</v>
      </c>
      <c r="D162" s="29" t="s">
        <v>2445</v>
      </c>
      <c r="E162" s="29">
        <v>0</v>
      </c>
      <c r="F162" s="4"/>
      <c r="G162" s="7" t="e">
        <f>G161</f>
        <v>#N/A</v>
      </c>
      <c r="H162" s="4"/>
      <c r="I162" s="4"/>
      <c r="J162" s="4"/>
    </row>
    <row r="163" spans="1:10" s="1" customFormat="1" ht="14.4">
      <c r="A163" s="9" t="str">
        <f>chitiet!B1802</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chitiet!B1803</f>
        <v>SD</v>
      </c>
      <c r="B164" s="18"/>
      <c r="C164" s="37" t="s">
        <v>5021</v>
      </c>
      <c r="D164" s="32" t="s">
        <v>2563</v>
      </c>
      <c r="E164" s="29" t="e">
        <v>#N/A</v>
      </c>
      <c r="F164" s="4"/>
      <c r="G164" s="7" t="e">
        <f>G163</f>
        <v>#N/A</v>
      </c>
      <c r="H164" s="4"/>
      <c r="I164" s="4"/>
      <c r="J164" s="4"/>
    </row>
    <row r="165" spans="1:10" s="1" customFormat="1" ht="14.4">
      <c r="A165" s="9" t="str">
        <f>chitiet!B1804</f>
        <v>CSDG</v>
      </c>
      <c r="B165" s="18"/>
      <c r="C165" s="37" t="s">
        <v>5080</v>
      </c>
      <c r="D165" s="32" t="s">
        <v>2563</v>
      </c>
      <c r="E165" s="29">
        <v>0</v>
      </c>
      <c r="F165" s="4"/>
      <c r="G165" s="7" t="e">
        <f>G164</f>
        <v>#N/A</v>
      </c>
      <c r="H165" s="4"/>
      <c r="I165" s="4"/>
      <c r="J165" s="4"/>
    </row>
    <row r="166" spans="1:10" s="1" customFormat="1" ht="14.4">
      <c r="A166" s="9" t="str">
        <f>chitiet!B1805</f>
        <v>B16250</v>
      </c>
      <c r="B166" s="18"/>
      <c r="C166" s="37" t="s">
        <v>2653</v>
      </c>
      <c r="D166" s="32" t="s">
        <v>2445</v>
      </c>
      <c r="E166" s="29" t="e">
        <f>E163*2</f>
        <v>#N/A</v>
      </c>
      <c r="F166" s="4"/>
      <c r="G166" s="7" t="e">
        <f>G165</f>
        <v>#N/A</v>
      </c>
      <c r="H166" s="4"/>
      <c r="I166" s="4"/>
      <c r="J166" s="4"/>
    </row>
    <row r="167" spans="1:10" s="1" customFormat="1" ht="14.4">
      <c r="A167" s="9" t="str">
        <f>chitiet!B1806</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chitiet!B1807</f>
        <v>St</v>
      </c>
      <c r="B168" s="18"/>
      <c r="C168" s="37" t="s">
        <v>2958</v>
      </c>
      <c r="D168" s="29" t="s">
        <v>2959</v>
      </c>
      <c r="E168" s="29"/>
      <c r="F168" s="4"/>
      <c r="G168" s="7" t="e">
        <f>G167</f>
        <v>#N/A</v>
      </c>
      <c r="H168" s="4"/>
      <c r="I168" s="4"/>
      <c r="J168" s="4"/>
    </row>
    <row r="169" spans="1:10" s="1" customFormat="1" ht="13.8">
      <c r="A169" s="9" t="str">
        <f>chitiet!B1808</f>
        <v>MT</v>
      </c>
      <c r="B169" s="18"/>
      <c r="C169" s="37" t="s">
        <v>5063</v>
      </c>
      <c r="D169" s="29" t="s">
        <v>2563</v>
      </c>
      <c r="E169" s="29"/>
      <c r="F169" s="4"/>
      <c r="G169" s="7" t="e">
        <f>G168</f>
        <v>#N/A</v>
      </c>
      <c r="H169" s="4"/>
      <c r="I169" s="4"/>
      <c r="J169" s="4"/>
    </row>
    <row r="170" spans="1:10" s="1" customFormat="1" ht="13.8">
      <c r="A170" s="9" t="str">
        <f>chitiet!B1809</f>
        <v>VT</v>
      </c>
      <c r="B170" s="18"/>
      <c r="C170" s="37" t="s">
        <v>2931</v>
      </c>
      <c r="D170" s="29" t="s">
        <v>2563</v>
      </c>
      <c r="E170" s="29"/>
      <c r="F170" s="4"/>
      <c r="G170" s="7" t="e">
        <f>G169</f>
        <v>#N/A</v>
      </c>
      <c r="H170" s="4"/>
      <c r="I170" s="4"/>
      <c r="J170" s="4"/>
    </row>
    <row r="171" spans="1:10" s="1" customFormat="1" ht="13.8">
      <c r="A171" s="9" t="str">
        <f>chitiet!B1810</f>
        <v>MND</v>
      </c>
      <c r="B171" s="18"/>
      <c r="C171" s="37" t="s">
        <v>2927</v>
      </c>
      <c r="D171" s="29" t="s">
        <v>2563</v>
      </c>
      <c r="E171" s="29"/>
      <c r="F171" s="4"/>
      <c r="G171" s="7" t="e">
        <f>G170</f>
        <v>#N/A</v>
      </c>
      <c r="H171" s="4"/>
      <c r="I171" s="4"/>
      <c r="J171" s="4"/>
    </row>
    <row r="172" spans="1:10" s="1" customFormat="1" ht="13.8">
      <c r="A172" s="9" t="str">
        <f>chitiet!B1811</f>
        <v>Bm16300</v>
      </c>
      <c r="B172" s="18"/>
      <c r="C172" s="37" t="s">
        <v>5020</v>
      </c>
      <c r="D172" s="29" t="s">
        <v>2445</v>
      </c>
      <c r="E172" s="29"/>
      <c r="F172" s="4"/>
      <c r="G172" s="7" t="e">
        <f>G171</f>
        <v>#N/A</v>
      </c>
      <c r="H172" s="4"/>
      <c r="I172" s="4"/>
      <c r="J172" s="4"/>
    </row>
    <row r="173" spans="1:10" ht="13.8">
      <c r="A173" s="119" t="str">
        <f>chitiet!B1815</f>
        <v>CĐTply-X</v>
      </c>
      <c r="B173" s="113" t="e">
        <f>IF(E173=0,"",COUNTIF($B$116:$B172,"&gt;0")+1)</f>
        <v>#N/A</v>
      </c>
      <c r="C173" s="121" t="e">
        <v>#N/A</v>
      </c>
      <c r="D173" s="122" t="e">
        <v>#N/A</v>
      </c>
      <c r="E173" s="122" t="e">
        <v>#N/A</v>
      </c>
      <c r="F173" s="104"/>
      <c r="G173" s="112" t="e">
        <f t="shared" ref="G173:G185" si="4">IF(E173&lt;&gt;0,1,0)</f>
        <v>#N/A</v>
      </c>
      <c r="H173" s="104"/>
      <c r="I173" s="104"/>
      <c r="J173" s="104"/>
    </row>
    <row r="174" spans="1:10" ht="13.8">
      <c r="A174" s="119" t="str">
        <f>chitiet!B1816</f>
        <v>Stply</v>
      </c>
      <c r="B174" s="113"/>
      <c r="C174" s="124" t="s">
        <v>4910</v>
      </c>
      <c r="D174" s="125" t="s">
        <v>2563</v>
      </c>
      <c r="E174" s="125">
        <f>chitiet!D1816</f>
        <v>1</v>
      </c>
      <c r="F174" s="104"/>
      <c r="G174" s="112">
        <f t="shared" si="4"/>
        <v>1</v>
      </c>
      <c r="H174" s="104"/>
      <c r="I174" s="104"/>
      <c r="J174" s="104"/>
    </row>
    <row r="175" spans="1:10" ht="13.8">
      <c r="A175" s="119" t="str">
        <f>chitiet!B1817</f>
        <v>MT</v>
      </c>
      <c r="B175" s="113"/>
      <c r="C175" s="124" t="s">
        <v>5063</v>
      </c>
      <c r="D175" s="125" t="s">
        <v>2563</v>
      </c>
      <c r="E175" s="125">
        <f>chitiet!D1817</f>
        <v>2</v>
      </c>
      <c r="F175" s="104"/>
      <c r="G175" s="112">
        <f t="shared" si="4"/>
        <v>1</v>
      </c>
      <c r="H175" s="104"/>
      <c r="I175" s="104"/>
      <c r="J175" s="104"/>
    </row>
    <row r="176" spans="1:10" ht="13.8">
      <c r="A176" s="119" t="str">
        <f>chitiet!B1819</f>
        <v>khanhkep</v>
      </c>
      <c r="B176" s="113"/>
      <c r="C176" s="124" t="e">
        <v>#N/A</v>
      </c>
      <c r="D176" s="125" t="e">
        <v>#N/A</v>
      </c>
      <c r="E176" s="125">
        <f>chitiet!D1819</f>
        <v>0</v>
      </c>
      <c r="F176" s="104"/>
      <c r="G176" s="112">
        <f t="shared" si="4"/>
        <v>0</v>
      </c>
      <c r="H176" s="104"/>
      <c r="I176" s="104"/>
      <c r="J176" s="104"/>
    </row>
    <row r="177" spans="1:10" s="1" customFormat="1" ht="13.8">
      <c r="A177" s="9" t="str">
        <f>chitiet!B1820</f>
        <v>GNIU95b</v>
      </c>
      <c r="B177" s="18"/>
      <c r="C177" s="37" t="e">
        <v>#N/A</v>
      </c>
      <c r="D177" s="29" t="e">
        <v>#N/A</v>
      </c>
      <c r="E177" s="29">
        <f>chitiet!D1820</f>
        <v>1</v>
      </c>
      <c r="F177" s="4"/>
      <c r="G177" s="7">
        <f>IF(E177&lt;&gt;0,1,0)</f>
        <v>1</v>
      </c>
      <c r="H177" s="4"/>
      <c r="I177" s="4"/>
      <c r="J177" s="4"/>
    </row>
    <row r="178" spans="1:10" s="1" customFormat="1" ht="13.8">
      <c r="A178" s="9" t="str">
        <f>chitiet!B1821</f>
        <v>k240</v>
      </c>
      <c r="B178" s="18"/>
      <c r="C178" s="37" t="e">
        <v>#N/A</v>
      </c>
      <c r="D178" s="29" t="e">
        <v>#N/A</v>
      </c>
      <c r="E178" s="29">
        <f>chitiet!D1821</f>
        <v>0</v>
      </c>
      <c r="F178" s="4"/>
      <c r="G178" s="7">
        <f t="shared" ref="G178:G183" si="5">IF(E178&lt;&gt;0,1,0)</f>
        <v>0</v>
      </c>
      <c r="H178" s="4"/>
      <c r="I178" s="4"/>
      <c r="J178" s="4"/>
    </row>
    <row r="179" spans="1:10" s="1" customFormat="1" ht="14.4">
      <c r="A179" s="9" t="str">
        <f>chitiet!B1822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chitiet!B1823</f>
        <v>Stply</v>
      </c>
      <c r="B180" s="18"/>
      <c r="C180" s="37" t="s">
        <v>4910</v>
      </c>
      <c r="D180" s="29" t="s">
        <v>2563</v>
      </c>
      <c r="E180" s="29">
        <f>chitiet!D1823</f>
        <v>0</v>
      </c>
      <c r="F180" s="4"/>
      <c r="G180" s="7">
        <f t="shared" si="5"/>
        <v>0</v>
      </c>
      <c r="H180" s="4"/>
      <c r="I180" s="4"/>
      <c r="J180" s="4"/>
    </row>
    <row r="181" spans="1:10" s="1" customFormat="1" ht="13.8">
      <c r="A181" s="9" t="str">
        <f>chitiet!B1824</f>
        <v>MT</v>
      </c>
      <c r="B181" s="18"/>
      <c r="C181" s="37" t="s">
        <v>5063</v>
      </c>
      <c r="D181" s="29" t="s">
        <v>2563</v>
      </c>
      <c r="E181" s="29">
        <f>chitiet!D1824</f>
        <v>0</v>
      </c>
      <c r="F181" s="4"/>
      <c r="G181" s="7">
        <f t="shared" si="5"/>
        <v>0</v>
      </c>
      <c r="H181" s="4"/>
      <c r="I181" s="4"/>
      <c r="J181" s="4"/>
    </row>
    <row r="182" spans="1:10" s="1" customFormat="1" ht="13.8">
      <c r="A182" s="9" t="str">
        <f>chitiet!B1825</f>
        <v>KN185</v>
      </c>
      <c r="B182" s="18"/>
      <c r="C182" s="37" t="e">
        <v>#N/A</v>
      </c>
      <c r="D182" s="29" t="e">
        <v>#N/A</v>
      </c>
      <c r="E182" s="29">
        <f>chitiet!D1825</f>
        <v>0</v>
      </c>
      <c r="F182" s="4"/>
      <c r="G182" s="7">
        <f t="shared" si="5"/>
        <v>0</v>
      </c>
      <c r="H182" s="4"/>
      <c r="I182" s="4"/>
      <c r="J182" s="4"/>
    </row>
    <row r="183" spans="1:10" s="1" customFormat="1" ht="13.8">
      <c r="A183" s="9" t="str">
        <f>chitiet!B1826</f>
        <v>BM16300</v>
      </c>
      <c r="B183" s="18"/>
      <c r="C183" s="37" t="s">
        <v>5020</v>
      </c>
      <c r="D183" s="29" t="s">
        <v>2445</v>
      </c>
      <c r="E183" s="29">
        <f>chitiet!D1826</f>
        <v>0</v>
      </c>
      <c r="F183" s="4"/>
      <c r="G183" s="7">
        <f t="shared" si="5"/>
        <v>0</v>
      </c>
      <c r="H183" s="4"/>
      <c r="I183" s="4"/>
      <c r="J183" s="4"/>
    </row>
    <row r="184" spans="1:10" s="1" customFormat="1" ht="13.8">
      <c r="A184" s="9" t="str">
        <f>chitiet!B1827</f>
        <v>CD bắt xà</v>
      </c>
      <c r="B184" s="18" t="str">
        <f>IF(E184=0,"",COUNTIF($B$116:$B176,"&gt;0")+1)</f>
        <v/>
      </c>
      <c r="C184" s="37" t="e">
        <v>#N/A</v>
      </c>
      <c r="D184" s="29" t="e">
        <v>#N/A</v>
      </c>
      <c r="E184" s="29">
        <f>chitiet!D1827</f>
        <v>0</v>
      </c>
      <c r="F184" s="4"/>
      <c r="G184" s="7">
        <f t="shared" si="4"/>
        <v>0</v>
      </c>
      <c r="H184" s="4"/>
      <c r="I184" s="4"/>
      <c r="J184" s="4"/>
    </row>
    <row r="185" spans="1:10" s="1" customFormat="1" ht="13.8">
      <c r="A185" s="9" t="str">
        <f>chitiet!B1828</f>
        <v>cdtru140</v>
      </c>
      <c r="B185" s="18" t="str">
        <f>IF(E185=0,"",COUNTIF($B$116:$B184,"&gt;0")+1)</f>
        <v/>
      </c>
      <c r="C185" s="37" t="s">
        <v>5089</v>
      </c>
      <c r="D185" s="29" t="s">
        <v>5058</v>
      </c>
      <c r="E185" s="29">
        <f>chitiet!D1828</f>
        <v>0</v>
      </c>
      <c r="F185" s="4"/>
      <c r="G185" s="7">
        <f t="shared" si="4"/>
        <v>0</v>
      </c>
      <c r="H185" s="4"/>
      <c r="I185" s="4"/>
      <c r="J185" s="4"/>
    </row>
    <row r="186" spans="1:10" ht="13.8">
      <c r="A186" s="119">
        <f>chitiet!B1832</f>
        <v>0</v>
      </c>
      <c r="B186" s="113">
        <f>IF(E186=0,"",COUNTIF($B$116:$B184,"&gt;0")+1)</f>
        <v>3</v>
      </c>
      <c r="C186" s="121" t="s">
        <v>4143</v>
      </c>
      <c r="D186" s="121"/>
      <c r="E186" s="121">
        <v>1</v>
      </c>
      <c r="F186" s="104"/>
      <c r="G186" s="112">
        <v>1</v>
      </c>
      <c r="H186" s="104"/>
      <c r="I186" s="104"/>
      <c r="J186" s="104"/>
    </row>
    <row r="187" spans="1:10" s="1" customFormat="1" ht="13.8">
      <c r="A187" s="9" t="str">
        <f>chitiet!B1833</f>
        <v>KD240</v>
      </c>
      <c r="B187" s="18" t="str">
        <f>IF(E187=0,"",COUNTIF($B$116:$B186,"&gt;0")+1)</f>
        <v/>
      </c>
      <c r="C187" s="37" t="s">
        <v>2911</v>
      </c>
      <c r="D187" s="29" t="s">
        <v>2563</v>
      </c>
      <c r="E187" s="29">
        <f>chitiet!D1833</f>
        <v>0</v>
      </c>
      <c r="F187" s="4"/>
      <c r="G187" s="7">
        <f>IF(E187&lt;&gt;0,1,0)</f>
        <v>0</v>
      </c>
      <c r="H187" s="4"/>
      <c r="I187" s="4"/>
      <c r="J187" s="4"/>
    </row>
    <row r="188" spans="1:10" s="1" customFormat="1" ht="13.8">
      <c r="A188" s="9" t="str">
        <f>chitiet!B1834</f>
        <v>KD185</v>
      </c>
      <c r="B188" s="18" t="str">
        <f>IF(E188=0,"",COUNTIF($B$116:$B187,"&gt;0")+1)</f>
        <v/>
      </c>
      <c r="C188" s="37" t="s">
        <v>2910</v>
      </c>
      <c r="D188" s="29" t="s">
        <v>2563</v>
      </c>
      <c r="E188" s="29">
        <f>chitiet!D1834</f>
        <v>0</v>
      </c>
      <c r="F188" s="4"/>
      <c r="G188" s="7">
        <f t="shared" ref="G188:G200" si="6">IF(E188&lt;&gt;0,1,0)</f>
        <v>0</v>
      </c>
      <c r="H188" s="4"/>
      <c r="I188" s="4"/>
      <c r="J188" s="4"/>
    </row>
    <row r="189" spans="1:10" s="1" customFormat="1" ht="13.8">
      <c r="A189" s="9" t="str">
        <f>chitiet!B1835</f>
        <v>KD150</v>
      </c>
      <c r="B189" s="18" t="str">
        <f>IF(E189=0,"",COUNTIF($B$116:$B188,"&gt;0")+1)</f>
        <v/>
      </c>
      <c r="C189" s="37" t="s">
        <v>2909</v>
      </c>
      <c r="D189" s="29" t="s">
        <v>2563</v>
      </c>
      <c r="E189" s="29">
        <f>chitiet!D1835</f>
        <v>0</v>
      </c>
      <c r="F189" s="4"/>
      <c r="G189" s="7">
        <f t="shared" si="6"/>
        <v>0</v>
      </c>
      <c r="H189" s="4"/>
      <c r="I189" s="4"/>
      <c r="J189" s="4"/>
    </row>
    <row r="190" spans="1:10" s="1" customFormat="1" ht="13.8">
      <c r="A190" s="9" t="str">
        <f>chitiet!B1836</f>
        <v>KD120</v>
      </c>
      <c r="B190" s="18" t="str">
        <f>IF(E190=0,"",COUNTIF($B$116:$B189,"&gt;0")+1)</f>
        <v/>
      </c>
      <c r="C190" s="37" t="s">
        <v>2908</v>
      </c>
      <c r="D190" s="29" t="s">
        <v>2563</v>
      </c>
      <c r="E190" s="29">
        <f>chitiet!D1836</f>
        <v>0</v>
      </c>
      <c r="F190" s="4"/>
      <c r="G190" s="7">
        <f t="shared" si="6"/>
        <v>0</v>
      </c>
      <c r="H190" s="4"/>
      <c r="I190" s="4"/>
      <c r="J190" s="4"/>
    </row>
    <row r="191" spans="1:10" s="1" customFormat="1" ht="13.8">
      <c r="A191" s="9" t="str">
        <f>chitiet!B1837</f>
        <v>KD95</v>
      </c>
      <c r="B191" s="18" t="str">
        <f>IF(E191=0,"",COUNTIF($B$116:$B190,"&gt;0")+1)</f>
        <v/>
      </c>
      <c r="C191" s="37" t="s">
        <v>2907</v>
      </c>
      <c r="D191" s="29" t="s">
        <v>2563</v>
      </c>
      <c r="E191" s="29">
        <f>chitiet!D1837</f>
        <v>0</v>
      </c>
      <c r="F191" s="4"/>
      <c r="G191" s="7">
        <f t="shared" si="6"/>
        <v>0</v>
      </c>
      <c r="H191" s="4"/>
      <c r="I191" s="4"/>
      <c r="J191" s="4"/>
    </row>
    <row r="192" spans="1:10" s="1" customFormat="1" ht="13.8">
      <c r="A192" s="9" t="str">
        <f>chitiet!B1838</f>
        <v>KD70</v>
      </c>
      <c r="B192" s="18" t="str">
        <f>IF(E192=0,"",COUNTIF($B$116:$B191,"&gt;0")+1)</f>
        <v/>
      </c>
      <c r="C192" s="37" t="s">
        <v>2906</v>
      </c>
      <c r="D192" s="29" t="s">
        <v>2563</v>
      </c>
      <c r="E192" s="29">
        <f>chitiet!D1838</f>
        <v>0</v>
      </c>
      <c r="F192" s="4"/>
      <c r="G192" s="7">
        <f t="shared" si="6"/>
        <v>0</v>
      </c>
      <c r="H192" s="4"/>
      <c r="I192" s="4"/>
      <c r="J192" s="4"/>
    </row>
    <row r="193" spans="1:10" s="1" customFormat="1" ht="13.8">
      <c r="A193" s="9" t="str">
        <f>chitiet!B1839</f>
        <v>KD50</v>
      </c>
      <c r="B193" s="18" t="str">
        <f>IF(E193=0,"",COUNTIF($B$116:$B192,"&gt;0")+1)</f>
        <v/>
      </c>
      <c r="C193" s="37" t="s">
        <v>2905</v>
      </c>
      <c r="D193" s="29" t="s">
        <v>2563</v>
      </c>
      <c r="E193" s="29">
        <f>chitiet!D1839</f>
        <v>0</v>
      </c>
      <c r="F193" s="4"/>
      <c r="G193" s="7">
        <f t="shared" si="6"/>
        <v>0</v>
      </c>
      <c r="H193" s="4"/>
      <c r="I193" s="4"/>
      <c r="J193" s="4"/>
    </row>
    <row r="194" spans="1:10" s="1" customFormat="1" ht="13.8">
      <c r="A194" s="9" t="str">
        <f>chitiet!B1840</f>
        <v>KN240</v>
      </c>
      <c r="B194" s="18" t="str">
        <f>IF(E194=0,"",COUNTIF($B$116:$B193,"&gt;0")+1)</f>
        <v/>
      </c>
      <c r="C194" s="37" t="s">
        <v>2922</v>
      </c>
      <c r="D194" s="29" t="s">
        <v>2563</v>
      </c>
      <c r="E194" s="29">
        <f>chitiet!D1840</f>
        <v>0</v>
      </c>
      <c r="F194" s="4"/>
      <c r="G194" s="7">
        <f t="shared" si="6"/>
        <v>0</v>
      </c>
      <c r="H194" s="4"/>
      <c r="I194" s="4"/>
      <c r="J194" s="4"/>
    </row>
    <row r="195" spans="1:10" s="1" customFormat="1" ht="13.8">
      <c r="A195" s="9" t="str">
        <f>chitiet!B1841</f>
        <v>kn50</v>
      </c>
      <c r="B195" s="18" t="str">
        <f>IF(E195=0,"",COUNTIF($B$116:$B194,"&gt;0")+1)</f>
        <v/>
      </c>
      <c r="C195" s="37" t="s">
        <v>2916</v>
      </c>
      <c r="D195" s="29" t="s">
        <v>2563</v>
      </c>
      <c r="E195" s="29">
        <f>chitiet!D1841</f>
        <v>0</v>
      </c>
      <c r="F195" s="4"/>
      <c r="G195" s="7">
        <f t="shared" si="6"/>
        <v>0</v>
      </c>
      <c r="H195" s="4"/>
      <c r="I195" s="4"/>
      <c r="J195" s="4"/>
    </row>
    <row r="196" spans="1:10" s="1" customFormat="1" ht="13.8">
      <c r="A196" s="9" t="str">
        <f>chitiet!B1842</f>
        <v>KN150</v>
      </c>
      <c r="B196" s="18" t="str">
        <f>IF(E196=0,"",COUNTIF($B$116:$B195,"&gt;0")+1)</f>
        <v/>
      </c>
      <c r="C196" s="37" t="s">
        <v>2920</v>
      </c>
      <c r="D196" s="29" t="s">
        <v>2563</v>
      </c>
      <c r="E196" s="29">
        <f>chitiet!D1842</f>
        <v>0</v>
      </c>
      <c r="F196" s="4"/>
      <c r="G196" s="7">
        <f t="shared" si="6"/>
        <v>0</v>
      </c>
      <c r="H196" s="4"/>
      <c r="I196" s="4"/>
      <c r="J196" s="4"/>
    </row>
    <row r="197" spans="1:10" s="1" customFormat="1" ht="13.8">
      <c r="A197" s="9" t="str">
        <f>chitiet!B1843</f>
        <v>KN120</v>
      </c>
      <c r="B197" s="18" t="str">
        <f>IF(E197=0,"",COUNTIF($B$116:$B196,"&gt;0")+1)</f>
        <v/>
      </c>
      <c r="C197" s="37" t="s">
        <v>2919</v>
      </c>
      <c r="D197" s="29" t="s">
        <v>2563</v>
      </c>
      <c r="E197" s="29">
        <f>chitiet!D1843</f>
        <v>0</v>
      </c>
      <c r="F197" s="4"/>
      <c r="G197" s="7">
        <f t="shared" si="6"/>
        <v>0</v>
      </c>
      <c r="H197" s="4"/>
      <c r="I197" s="4"/>
      <c r="J197" s="4"/>
    </row>
    <row r="198" spans="1:10" s="1" customFormat="1" ht="13.8">
      <c r="A198" s="9" t="str">
        <f>chitiet!B1844</f>
        <v>KN95</v>
      </c>
      <c r="B198" s="18" t="str">
        <f>IF(E198=0,"",COUNTIF($B$116:$B197,"&gt;0")+1)</f>
        <v/>
      </c>
      <c r="C198" s="37" t="s">
        <v>2918</v>
      </c>
      <c r="D198" s="29" t="s">
        <v>2563</v>
      </c>
      <c r="E198" s="29">
        <f>chitiet!D1844</f>
        <v>0</v>
      </c>
      <c r="F198" s="4"/>
      <c r="G198" s="7">
        <f t="shared" si="6"/>
        <v>0</v>
      </c>
      <c r="H198" s="4"/>
      <c r="I198" s="4"/>
      <c r="J198" s="4"/>
    </row>
    <row r="199" spans="1:10" s="1" customFormat="1" ht="13.8">
      <c r="A199" s="9" t="str">
        <f>chitiet!B1845</f>
        <v>KN70</v>
      </c>
      <c r="B199" s="18" t="str">
        <f>IF(E199=0,"",COUNTIF($B$116:$B198,"&gt;0")+1)</f>
        <v/>
      </c>
      <c r="C199" s="37" t="s">
        <v>2917</v>
      </c>
      <c r="D199" s="29" t="s">
        <v>2563</v>
      </c>
      <c r="E199" s="29">
        <f>chitiet!D1845</f>
        <v>0</v>
      </c>
      <c r="F199" s="4"/>
      <c r="G199" s="7">
        <f t="shared" si="6"/>
        <v>0</v>
      </c>
      <c r="H199" s="4"/>
      <c r="I199" s="4"/>
      <c r="J199" s="4"/>
    </row>
    <row r="200" spans="1:10" s="1" customFormat="1" ht="13.8">
      <c r="A200" s="9" t="str">
        <f>chitiet!B1846</f>
        <v>KN50</v>
      </c>
      <c r="B200" s="18" t="str">
        <f>IF(E200=0,"",COUNTIF($B$116:$B199,"&gt;0")+1)</f>
        <v/>
      </c>
      <c r="C200" s="37" t="s">
        <v>2916</v>
      </c>
      <c r="D200" s="29" t="s">
        <v>2563</v>
      </c>
      <c r="E200" s="29">
        <f>chitiet!D1846</f>
        <v>0</v>
      </c>
      <c r="F200" s="4"/>
      <c r="G200" s="7">
        <f t="shared" si="6"/>
        <v>0</v>
      </c>
      <c r="H200" s="4"/>
      <c r="I200" s="4"/>
      <c r="J200" s="4"/>
    </row>
    <row r="201" spans="1:10" s="1" customFormat="1" ht="13.8">
      <c r="A201" s="9" t="str">
        <f>chitiet!B1847</f>
        <v>oxc25</v>
      </c>
      <c r="B201" s="18" t="str">
        <f>IF(E201=0,"",COUNTIF($B$116:$B200,"&gt;0")+1)</f>
        <v/>
      </c>
      <c r="C201" s="37" t="s">
        <v>5081</v>
      </c>
      <c r="D201" s="29" t="s">
        <v>2563</v>
      </c>
      <c r="E201" s="29">
        <f>chitiet!D1847</f>
        <v>0</v>
      </c>
      <c r="F201" s="4"/>
      <c r="G201" s="7">
        <f t="shared" ref="G201:G247" si="7">IF(E201&lt;&gt;0,1,0)</f>
        <v>0</v>
      </c>
      <c r="H201" s="4"/>
      <c r="I201" s="4"/>
      <c r="J201" s="4"/>
    </row>
    <row r="202" spans="1:10" s="1" customFormat="1" ht="13.8">
      <c r="A202" s="9" t="str">
        <f>chitiet!B1849</f>
        <v>ke35</v>
      </c>
      <c r="B202" s="18" t="str">
        <f>IF(E202=0,"",COUNTIF($B$116:$B201,"&gt;0")+1)</f>
        <v/>
      </c>
      <c r="C202" s="37" t="e">
        <v>#N/A</v>
      </c>
      <c r="D202" s="29" t="e">
        <v>#N/A</v>
      </c>
      <c r="E202" s="29">
        <f>chitiet!D1849</f>
        <v>0</v>
      </c>
      <c r="F202" s="4"/>
      <c r="G202" s="7">
        <f t="shared" si="7"/>
        <v>0</v>
      </c>
      <c r="H202" s="4"/>
      <c r="I202" s="4"/>
      <c r="J202" s="4"/>
    </row>
    <row r="203" spans="1:10" ht="13.8">
      <c r="A203" s="119" t="str">
        <f>chitiet!B1850</f>
        <v>ke50</v>
      </c>
      <c r="B203" s="113"/>
      <c r="C203" s="124" t="s">
        <v>2889</v>
      </c>
      <c r="D203" s="125" t="s">
        <v>2563</v>
      </c>
      <c r="E203" s="125">
        <f>chitiet!D1850</f>
        <v>2</v>
      </c>
      <c r="F203" s="104"/>
      <c r="G203" s="112">
        <f t="shared" si="7"/>
        <v>1</v>
      </c>
      <c r="H203" s="104"/>
      <c r="I203" s="104"/>
      <c r="J203" s="104"/>
    </row>
    <row r="204" spans="1:10" s="1" customFormat="1" ht="13.8">
      <c r="A204" s="9" t="str">
        <f>chitiet!B1851</f>
        <v>ke70</v>
      </c>
      <c r="B204" s="18"/>
      <c r="C204" s="37" t="e">
        <v>#N/A</v>
      </c>
      <c r="D204" s="29" t="e">
        <v>#N/A</v>
      </c>
      <c r="E204" s="29">
        <f>chitiet!D1851</f>
        <v>0</v>
      </c>
      <c r="F204" s="4"/>
      <c r="G204" s="7">
        <f t="shared" ref="G204:G209" si="8">IF(E204&lt;&gt;0,1,0)</f>
        <v>0</v>
      </c>
      <c r="H204" s="4"/>
      <c r="I204" s="4"/>
      <c r="J204" s="4"/>
    </row>
    <row r="205" spans="1:10" s="1" customFormat="1" ht="13.8">
      <c r="A205" s="9" t="str">
        <f>chitiet!B1852</f>
        <v>ke95</v>
      </c>
      <c r="B205" s="18">
        <f>IF(E205=0,"",COUNTIF($B$116:$B204,"&gt;0")+1)</f>
        <v>4</v>
      </c>
      <c r="C205" s="37" t="e">
        <v>#N/A</v>
      </c>
      <c r="D205" s="29" t="e">
        <v>#N/A</v>
      </c>
      <c r="E205" s="29">
        <f>chitiet!D1852</f>
        <v>6</v>
      </c>
      <c r="F205" s="4"/>
      <c r="G205" s="7">
        <f t="shared" si="8"/>
        <v>1</v>
      </c>
      <c r="H205" s="4"/>
      <c r="I205" s="4"/>
      <c r="J205" s="4"/>
    </row>
    <row r="206" spans="1:10" s="1" customFormat="1" ht="13.8">
      <c r="A206" s="9" t="str">
        <f>chitiet!B1853</f>
        <v>ke120</v>
      </c>
      <c r="B206" s="18" t="str">
        <f>IF(E206=0,"",COUNTIF($B$116:$B204,"&gt;0")+1)</f>
        <v/>
      </c>
      <c r="C206" s="37" t="e">
        <v>#N/A</v>
      </c>
      <c r="D206" s="29" t="e">
        <v>#N/A</v>
      </c>
      <c r="E206" s="29">
        <f>chitiet!D1853</f>
        <v>0</v>
      </c>
      <c r="F206" s="4"/>
      <c r="G206" s="7">
        <f t="shared" si="8"/>
        <v>0</v>
      </c>
      <c r="H206" s="4"/>
      <c r="I206" s="4"/>
      <c r="J206" s="4"/>
    </row>
    <row r="207" spans="1:10" s="1" customFormat="1" ht="13.8">
      <c r="A207" s="9" t="str">
        <f>chitiet!B1854</f>
        <v>ke150</v>
      </c>
      <c r="B207" s="18" t="str">
        <f>IF(E207=0,"",COUNTIF($B$116:$B206,"&gt;0")+1)</f>
        <v/>
      </c>
      <c r="C207" s="37" t="s">
        <v>2893</v>
      </c>
      <c r="D207" s="29" t="s">
        <v>2563</v>
      </c>
      <c r="E207" s="29">
        <f>chitiet!D1854</f>
        <v>0</v>
      </c>
      <c r="F207" s="4"/>
      <c r="G207" s="7">
        <f t="shared" si="8"/>
        <v>0</v>
      </c>
      <c r="H207" s="4"/>
      <c r="I207" s="4"/>
      <c r="J207" s="4"/>
    </row>
    <row r="208" spans="1:10" s="1" customFormat="1" ht="13.8">
      <c r="A208" s="9" t="str">
        <f>chitiet!B1855</f>
        <v>ke185</v>
      </c>
      <c r="B208" s="18" t="str">
        <f>IF(E208=0,"",COUNTIF($B$116:$B207,"&gt;0")+1)</f>
        <v/>
      </c>
      <c r="C208" s="37" t="s">
        <v>2894</v>
      </c>
      <c r="D208" s="29" t="s">
        <v>2563</v>
      </c>
      <c r="E208" s="29">
        <f>chitiet!D1855</f>
        <v>0</v>
      </c>
      <c r="F208" s="4"/>
      <c r="G208" s="7">
        <f t="shared" si="8"/>
        <v>0</v>
      </c>
      <c r="H208" s="4"/>
      <c r="I208" s="4"/>
      <c r="J208" s="4"/>
    </row>
    <row r="209" spans="1:10" s="1" customFormat="1" ht="13.8">
      <c r="A209" s="9" t="str">
        <f>chitiet!B1856</f>
        <v>ke240</v>
      </c>
      <c r="B209" s="18" t="str">
        <f>IF(E209=0,"",COUNTIF($B$116:$B207,"&gt;0")+1)</f>
        <v/>
      </c>
      <c r="C209" s="37" t="s">
        <v>2895</v>
      </c>
      <c r="D209" s="29" t="s">
        <v>2563</v>
      </c>
      <c r="E209" s="29">
        <f>chitiet!D1856</f>
        <v>0</v>
      </c>
      <c r="F209" s="4"/>
      <c r="G209" s="7">
        <f t="shared" si="8"/>
        <v>0</v>
      </c>
      <c r="H209" s="4"/>
      <c r="I209" s="4"/>
      <c r="J209" s="4"/>
    </row>
    <row r="210" spans="1:10" s="1" customFormat="1" ht="13.8">
      <c r="A210" s="9" t="str">
        <f>chitiet!B1857</f>
        <v>k50</v>
      </c>
      <c r="B210" s="18" t="str">
        <f>IF(E210=0,"",COUNTIF($B$116:$B202,"&gt;0")+1)</f>
        <v/>
      </c>
      <c r="C210" s="37" t="s">
        <v>5061</v>
      </c>
      <c r="D210" s="29" t="s">
        <v>2563</v>
      </c>
      <c r="E210" s="29">
        <f>chitiet!D1857</f>
        <v>0</v>
      </c>
      <c r="F210" s="4"/>
      <c r="G210" s="7">
        <f t="shared" si="7"/>
        <v>0</v>
      </c>
      <c r="H210" s="4"/>
      <c r="I210" s="4"/>
      <c r="J210" s="4"/>
    </row>
    <row r="211" spans="1:10" s="1" customFormat="1" ht="13.8">
      <c r="A211" s="9" t="str">
        <f>chitiet!B1858</f>
        <v>k70</v>
      </c>
      <c r="B211" s="18" t="str">
        <f>IF(E211=0,"",COUNTIF($B$116:$B210,"&gt;0")+1)</f>
        <v/>
      </c>
      <c r="C211" s="37" t="s">
        <v>5090</v>
      </c>
      <c r="D211" s="29" t="s">
        <v>2563</v>
      </c>
      <c r="E211" s="29">
        <f>chitiet!D1858</f>
        <v>0</v>
      </c>
      <c r="F211" s="4"/>
      <c r="G211" s="7">
        <f t="shared" si="7"/>
        <v>0</v>
      </c>
      <c r="H211" s="4"/>
      <c r="I211" s="4"/>
      <c r="J211" s="4"/>
    </row>
    <row r="212" spans="1:10" s="1" customFormat="1" ht="13.8">
      <c r="A212" s="9" t="str">
        <f>chitiet!B1859</f>
        <v>k95</v>
      </c>
      <c r="B212" s="18" t="str">
        <f>IF(E212=0,"",COUNTIF($B$116:$B211,"&gt;0")+1)</f>
        <v/>
      </c>
      <c r="C212" s="37" t="e">
        <v>#N/A</v>
      </c>
      <c r="D212" s="29" t="e">
        <v>#N/A</v>
      </c>
      <c r="E212" s="29">
        <f>chitiet!D1859</f>
        <v>0</v>
      </c>
      <c r="F212" s="4"/>
      <c r="G212" s="7">
        <f t="shared" si="7"/>
        <v>0</v>
      </c>
      <c r="H212" s="4"/>
      <c r="I212" s="4"/>
      <c r="J212" s="4"/>
    </row>
    <row r="213" spans="1:10" s="1" customFormat="1" ht="13.8">
      <c r="A213" s="9" t="str">
        <f>chitiet!B1860</f>
        <v>k150</v>
      </c>
      <c r="B213" s="18" t="str">
        <f>IF(E213=0,"",COUNTIF($B$116:$B212,"&gt;0")+1)</f>
        <v/>
      </c>
      <c r="C213" s="37" t="e">
        <v>#N/A</v>
      </c>
      <c r="D213" s="29" t="e">
        <v>#N/A</v>
      </c>
      <c r="E213" s="29">
        <f>chitiet!D1860</f>
        <v>0</v>
      </c>
      <c r="F213" s="4"/>
      <c r="G213" s="7">
        <f t="shared" si="7"/>
        <v>0</v>
      </c>
      <c r="H213" s="4"/>
      <c r="I213" s="4"/>
      <c r="J213" s="4"/>
    </row>
    <row r="214" spans="1:10" s="1" customFormat="1" ht="13.8">
      <c r="A214" s="9" t="str">
        <f>chitiet!B1861</f>
        <v>k185</v>
      </c>
      <c r="B214" s="18" t="str">
        <f>IF(E214=0,"",COUNTIF($B$116:$B213,"&gt;0")+1)</f>
        <v/>
      </c>
      <c r="C214" s="37" t="e">
        <v>#N/A</v>
      </c>
      <c r="D214" s="29" t="e">
        <v>#N/A</v>
      </c>
      <c r="E214" s="29">
        <f>chitiet!D1876</f>
        <v>0</v>
      </c>
      <c r="F214" s="4"/>
      <c r="G214" s="7">
        <f t="shared" si="7"/>
        <v>0</v>
      </c>
      <c r="H214" s="4"/>
      <c r="I214" s="4"/>
      <c r="J214" s="4"/>
    </row>
    <row r="215" spans="1:10" s="1" customFormat="1" ht="13.8">
      <c r="A215" s="9" t="str">
        <f>chitiet!B1862</f>
        <v>k50</v>
      </c>
      <c r="B215" s="18" t="str">
        <f>IF(E215=0,"",COUNTIF($B$116:$B214,"&gt;0")+1)</f>
        <v/>
      </c>
      <c r="C215" s="37" t="s">
        <v>5061</v>
      </c>
      <c r="D215" s="29" t="s">
        <v>2563</v>
      </c>
      <c r="E215" s="29">
        <f>chitiet!D1862</f>
        <v>0</v>
      </c>
      <c r="F215" s="4"/>
      <c r="G215" s="7">
        <f t="shared" si="7"/>
        <v>0</v>
      </c>
      <c r="H215" s="4"/>
      <c r="I215" s="4"/>
      <c r="J215" s="4"/>
    </row>
    <row r="216" spans="1:10" s="1" customFormat="1" ht="13.8">
      <c r="A216" s="9" t="str">
        <f>chitiet!B1863</f>
        <v>cose50</v>
      </c>
      <c r="B216" s="18">
        <f>IF(E216=0,"",COUNTIF($B$116:$B215,"&gt;0")+1)</f>
        <v>5</v>
      </c>
      <c r="C216" s="37" t="s">
        <v>5023</v>
      </c>
      <c r="D216" s="29" t="s">
        <v>2563</v>
      </c>
      <c r="E216" s="29">
        <f>chitiet!D1863</f>
        <v>6</v>
      </c>
      <c r="F216" s="4"/>
      <c r="G216" s="7">
        <f>IF(E216&lt;&gt;0,1,0)</f>
        <v>1</v>
      </c>
      <c r="H216" s="4"/>
      <c r="I216" s="4"/>
      <c r="J216" s="4"/>
    </row>
    <row r="217" spans="1:10" s="1" customFormat="1" ht="13.8">
      <c r="A217" s="9" t="str">
        <f>chitiet!B1864</f>
        <v>cos95</v>
      </c>
      <c r="B217" s="18" t="str">
        <f>IF(E217=0,"",COUNTIF($B$116:$B215,"&gt;0")+1)</f>
        <v/>
      </c>
      <c r="C217" s="37" t="e">
        <v>#N/A</v>
      </c>
      <c r="D217" s="29" t="e">
        <v>#N/A</v>
      </c>
      <c r="E217" s="29">
        <f>chitiet!D1864</f>
        <v>0</v>
      </c>
      <c r="F217" s="4"/>
      <c r="G217" s="7">
        <f t="shared" si="7"/>
        <v>0</v>
      </c>
      <c r="H217" s="4"/>
      <c r="I217" s="4"/>
      <c r="J217" s="4"/>
    </row>
    <row r="218" spans="1:10" s="1" customFormat="1" ht="13.8">
      <c r="A218" s="9" t="str">
        <f>chitiet!B1865</f>
        <v>cos120</v>
      </c>
      <c r="B218" s="18" t="str">
        <f>IF(E218=0,"",COUNTIF($B$116:$B217,"&gt;0")+1)</f>
        <v/>
      </c>
      <c r="C218" s="37" t="e">
        <v>#N/A</v>
      </c>
      <c r="D218" s="29" t="e">
        <v>#N/A</v>
      </c>
      <c r="E218" s="29">
        <f>chitiet!D1865</f>
        <v>0</v>
      </c>
      <c r="F218" s="4"/>
      <c r="G218" s="7">
        <f t="shared" si="7"/>
        <v>0</v>
      </c>
      <c r="H218" s="4"/>
      <c r="I218" s="4"/>
      <c r="J218" s="4"/>
    </row>
    <row r="219" spans="1:10" s="1" customFormat="1" ht="13.8">
      <c r="A219" s="9" t="str">
        <f>chitiet!B1866</f>
        <v>cos150</v>
      </c>
      <c r="B219" s="18" t="str">
        <f>IF(E219=0,"",COUNTIF($B$116:$B218,"&gt;0")+1)</f>
        <v/>
      </c>
      <c r="C219" s="37" t="e">
        <v>#N/A</v>
      </c>
      <c r="D219" s="29" t="e">
        <v>#N/A</v>
      </c>
      <c r="E219" s="29">
        <f>chitiet!D1866</f>
        <v>0</v>
      </c>
      <c r="F219" s="4"/>
      <c r="G219" s="7">
        <f t="shared" si="7"/>
        <v>0</v>
      </c>
      <c r="H219" s="4"/>
      <c r="I219" s="4"/>
      <c r="J219" s="4"/>
    </row>
    <row r="220" spans="1:10" s="1" customFormat="1" ht="13.8">
      <c r="A220" s="9" t="str">
        <f>chitiet!B1869</f>
        <v>ttf</v>
      </c>
      <c r="B220" s="18">
        <f>IF(E220=0,"",COUNTIF($B$116:$B219,"&gt;0")+1)</f>
        <v>6</v>
      </c>
      <c r="C220" s="37" t="e">
        <v>#N/A</v>
      </c>
      <c r="D220" s="29" t="e">
        <v>#N/A</v>
      </c>
      <c r="E220" s="29">
        <f>chitiet!D1869</f>
        <v>2</v>
      </c>
      <c r="F220" s="4"/>
      <c r="G220" s="7">
        <f t="shared" si="7"/>
        <v>1</v>
      </c>
      <c r="H220" s="4"/>
      <c r="I220" s="4"/>
      <c r="J220" s="4"/>
    </row>
    <row r="221" spans="1:10" s="1" customFormat="1" ht="13.8">
      <c r="A221" s="9" t="str">
        <f>chitiet!B1870</f>
        <v>ssf</v>
      </c>
      <c r="B221" s="18">
        <f>IF(E221=0,"",COUNTIF($B$116:$B220,"&gt;0")+1)</f>
        <v>7</v>
      </c>
      <c r="C221" s="37" t="e">
        <v>#N/A</v>
      </c>
      <c r="D221" s="29" t="e">
        <v>#N/A</v>
      </c>
      <c r="E221" s="29">
        <f>chitiet!D1870</f>
        <v>6</v>
      </c>
      <c r="F221" s="4"/>
      <c r="G221" s="7">
        <f t="shared" si="7"/>
        <v>1</v>
      </c>
      <c r="H221" s="4"/>
      <c r="I221" s="4"/>
      <c r="J221" s="4"/>
    </row>
    <row r="222" spans="1:10" s="1" customFormat="1" ht="13.8">
      <c r="A222" s="9" t="str">
        <f>chitiet!B1871</f>
        <v>B1230</v>
      </c>
      <c r="B222" s="18" t="str">
        <f>IF(E222=0,"",COUNTIF($B$116:$B221,"&gt;0")+1)</f>
        <v/>
      </c>
      <c r="C222" s="37" t="s">
        <v>2634</v>
      </c>
      <c r="D222" s="29" t="s">
        <v>2445</v>
      </c>
      <c r="E222" s="29">
        <f>chitiet!D1871</f>
        <v>0</v>
      </c>
      <c r="F222" s="4"/>
      <c r="G222" s="7">
        <f t="shared" si="7"/>
        <v>0</v>
      </c>
      <c r="H222" s="4"/>
      <c r="I222" s="4"/>
      <c r="J222" s="4"/>
    </row>
    <row r="223" spans="1:10" ht="13.8">
      <c r="A223" s="119" t="str">
        <f>chitiet!B1872</f>
        <v xml:space="preserve">KQ2/0 </v>
      </c>
      <c r="B223" s="113"/>
      <c r="C223" s="124" t="e">
        <v>#N/A</v>
      </c>
      <c r="D223" s="125" t="e">
        <v>#N/A</v>
      </c>
      <c r="E223" s="125">
        <f>chitiet!D1872</f>
        <v>0</v>
      </c>
      <c r="F223" s="104"/>
      <c r="G223" s="112">
        <f t="shared" si="7"/>
        <v>0</v>
      </c>
      <c r="H223" s="104"/>
      <c r="I223" s="104"/>
      <c r="J223" s="104"/>
    </row>
    <row r="224" spans="1:10" s="1" customFormat="1" ht="13.8">
      <c r="A224" s="9" t="str">
        <f>chitiet!B1873</f>
        <v>KQ4/0</v>
      </c>
      <c r="B224" s="18" t="str">
        <f>IF(E224=0,"",COUNTIF($B$116:$B223,"&gt;0")+1)</f>
        <v/>
      </c>
      <c r="C224" s="37" t="s">
        <v>5091</v>
      </c>
      <c r="D224" s="29" t="s">
        <v>2563</v>
      </c>
      <c r="E224" s="29">
        <f>chitiet!D1873</f>
        <v>0</v>
      </c>
      <c r="F224" s="4"/>
      <c r="G224" s="7">
        <f t="shared" si="7"/>
        <v>0</v>
      </c>
      <c r="H224" s="4"/>
      <c r="I224" s="4"/>
      <c r="J224" s="4"/>
    </row>
    <row r="225" spans="1:10" ht="13.8">
      <c r="A225" s="119" t="str">
        <f>chitiet!B1874</f>
        <v>KH2/0</v>
      </c>
      <c r="B225" s="113"/>
      <c r="C225" s="124" t="s">
        <v>4361</v>
      </c>
      <c r="D225" s="125" t="s">
        <v>2563</v>
      </c>
      <c r="E225" s="125">
        <f>chitiet!D1874</f>
        <v>0</v>
      </c>
      <c r="F225" s="104"/>
      <c r="G225" s="112">
        <f t="shared" si="7"/>
        <v>0</v>
      </c>
      <c r="H225" s="104"/>
      <c r="I225" s="104"/>
      <c r="J225" s="104"/>
    </row>
    <row r="226" spans="1:10" s="1" customFormat="1" ht="13.8">
      <c r="A226" s="9" t="str">
        <f>chitiet!B1875</f>
        <v>KH4/0</v>
      </c>
      <c r="B226" s="18" t="str">
        <f>IF(E226=0,"",COUNTIF($B$116:$B225,"&gt;0")+1)</f>
        <v/>
      </c>
      <c r="C226" s="37" t="s">
        <v>2899</v>
      </c>
      <c r="D226" s="29" t="s">
        <v>2563</v>
      </c>
      <c r="E226" s="29">
        <f>chitiet!D1875</f>
        <v>0</v>
      </c>
      <c r="F226" s="4"/>
      <c r="G226" s="7">
        <f t="shared" si="7"/>
        <v>0</v>
      </c>
      <c r="H226" s="4"/>
      <c r="I226" s="4"/>
      <c r="J226" s="4"/>
    </row>
    <row r="227" spans="1:10" ht="13.8">
      <c r="A227" s="119" t="str">
        <f>chitiet!B1877</f>
        <v>XLPE25</v>
      </c>
      <c r="B227" s="113"/>
      <c r="C227" s="119" t="s">
        <v>4907</v>
      </c>
      <c r="D227" s="125" t="s">
        <v>2538</v>
      </c>
      <c r="E227" s="125">
        <f>chitiet!D1877</f>
        <v>9</v>
      </c>
      <c r="F227" s="104"/>
      <c r="G227" s="112">
        <f>IF(E227&lt;&gt;0,1,0)</f>
        <v>1</v>
      </c>
      <c r="H227" s="104"/>
      <c r="I227" s="104"/>
      <c r="J227" s="104"/>
    </row>
    <row r="228" spans="1:10" s="1" customFormat="1" ht="13.8">
      <c r="A228" s="9" t="str">
        <f>chitiet!B1878</f>
        <v>XLPE25</v>
      </c>
      <c r="B228" s="18" t="str">
        <f>IF(E228=0,"",COUNTIF($B$116:$B227,"&gt;0")+1)</f>
        <v/>
      </c>
      <c r="C228" s="9" t="s">
        <v>5092</v>
      </c>
      <c r="D228" s="29" t="s">
        <v>2538</v>
      </c>
      <c r="E228" s="29">
        <f>chitiet!D1878</f>
        <v>0</v>
      </c>
      <c r="F228" s="4"/>
      <c r="G228" s="7">
        <f>IF(E228&lt;&gt;0,1,0)</f>
        <v>0</v>
      </c>
      <c r="H228" s="4"/>
      <c r="I228" s="4"/>
      <c r="J228" s="4"/>
    </row>
    <row r="229" spans="1:10" s="1" customFormat="1" ht="13.8">
      <c r="A229" s="9" t="str">
        <f>chitiet!B1882</f>
        <v>ON50</v>
      </c>
      <c r="B229" s="18" t="str">
        <f>IF(E229=0,"",COUNTIF($B$116:$B227,"&gt;0")+1)</f>
        <v/>
      </c>
      <c r="C229" s="37" t="s">
        <v>2940</v>
      </c>
      <c r="D229" s="29" t="s">
        <v>2563</v>
      </c>
      <c r="E229" s="29">
        <f>chitiet!D1882</f>
        <v>0</v>
      </c>
      <c r="F229" s="4"/>
      <c r="G229" s="7">
        <f t="shared" si="7"/>
        <v>0</v>
      </c>
      <c r="H229" s="4"/>
      <c r="I229" s="4"/>
      <c r="J229" s="4"/>
    </row>
    <row r="230" spans="1:10" s="1" customFormat="1" ht="13.8">
      <c r="A230" s="9" t="str">
        <f>chitiet!B1883</f>
        <v>ON70</v>
      </c>
      <c r="B230" s="18" t="str">
        <f>IF(E230=0,"",COUNTIF($B$116:$B229,"&gt;0")+1)</f>
        <v/>
      </c>
      <c r="C230" s="37" t="s">
        <v>2941</v>
      </c>
      <c r="D230" s="29" t="s">
        <v>2563</v>
      </c>
      <c r="E230" s="29">
        <f>chitiet!D1883</f>
        <v>0</v>
      </c>
      <c r="F230" s="4"/>
      <c r="G230" s="7">
        <f t="shared" si="7"/>
        <v>0</v>
      </c>
      <c r="H230" s="4"/>
      <c r="I230" s="4"/>
      <c r="J230" s="4"/>
    </row>
    <row r="231" spans="1:10" s="1" customFormat="1" ht="13.8">
      <c r="A231" s="9" t="str">
        <f>chitiet!B1884</f>
        <v>ON95</v>
      </c>
      <c r="B231" s="18" t="str">
        <f>IF(E231=0,"",COUNTIF($B$116:$B230,"&gt;0")+1)</f>
        <v/>
      </c>
      <c r="C231" s="37" t="s">
        <v>2942</v>
      </c>
      <c r="D231" s="29" t="s">
        <v>2563</v>
      </c>
      <c r="E231" s="29">
        <f>chitiet!D1884</f>
        <v>0</v>
      </c>
      <c r="F231" s="4"/>
      <c r="G231" s="7">
        <f t="shared" si="7"/>
        <v>0</v>
      </c>
      <c r="H231" s="4"/>
      <c r="I231" s="4"/>
      <c r="J231" s="4"/>
    </row>
    <row r="232" spans="1:10" s="1" customFormat="1" ht="13.8">
      <c r="A232" s="9" t="str">
        <f>chitiet!B1885</f>
        <v>ON120</v>
      </c>
      <c r="B232" s="18" t="str">
        <f>IF(E232=0,"",COUNTIF($B$116:$B231,"&gt;0")+1)</f>
        <v/>
      </c>
      <c r="C232" s="37" t="s">
        <v>2943</v>
      </c>
      <c r="D232" s="29" t="s">
        <v>2563</v>
      </c>
      <c r="E232" s="29">
        <f>chitiet!D1885</f>
        <v>0</v>
      </c>
      <c r="F232" s="4"/>
      <c r="G232" s="7">
        <f t="shared" si="7"/>
        <v>0</v>
      </c>
      <c r="H232" s="4"/>
      <c r="I232" s="4"/>
      <c r="J232" s="4"/>
    </row>
    <row r="233" spans="1:10" s="1" customFormat="1" ht="13.8">
      <c r="A233" s="9" t="str">
        <f>chitiet!B1886</f>
        <v>ON150</v>
      </c>
      <c r="B233" s="18" t="str">
        <f>IF(E233=0,"",COUNTIF($B$116:$B232,"&gt;0")+1)</f>
        <v/>
      </c>
      <c r="C233" s="37" t="s">
        <v>2944</v>
      </c>
      <c r="D233" s="29" t="s">
        <v>2563</v>
      </c>
      <c r="E233" s="29">
        <f>chitiet!D1886</f>
        <v>0</v>
      </c>
      <c r="F233" s="4"/>
      <c r="G233" s="7">
        <f t="shared" si="7"/>
        <v>0</v>
      </c>
      <c r="H233" s="4"/>
      <c r="I233" s="4"/>
      <c r="J233" s="4"/>
    </row>
    <row r="234" spans="1:10" s="1" customFormat="1" ht="13.8">
      <c r="A234" s="9" t="str">
        <f>chitiet!B1887</f>
        <v>ON185</v>
      </c>
      <c r="B234" s="18" t="str">
        <f>IF(E234=0,"",COUNTIF($B$116:$B233,"&gt;0")+1)</f>
        <v/>
      </c>
      <c r="C234" s="37" t="s">
        <v>2945</v>
      </c>
      <c r="D234" s="29" t="s">
        <v>2563</v>
      </c>
      <c r="E234" s="29">
        <f>chitiet!D1887</f>
        <v>0</v>
      </c>
      <c r="F234" s="4"/>
      <c r="G234" s="7">
        <f t="shared" si="7"/>
        <v>0</v>
      </c>
      <c r="H234" s="4"/>
      <c r="I234" s="4"/>
      <c r="J234" s="4"/>
    </row>
    <row r="235" spans="1:10" s="1" customFormat="1" ht="13.8">
      <c r="A235" s="9" t="str">
        <f>chitiet!B1888</f>
        <v>ON240</v>
      </c>
      <c r="B235" s="18" t="str">
        <f>IF(E235=0,"",COUNTIF($B$116:$B234,"&gt;0")+1)</f>
        <v/>
      </c>
      <c r="C235" s="37" t="e">
        <v>#N/A</v>
      </c>
      <c r="D235" s="29" t="e">
        <v>#N/A</v>
      </c>
      <c r="E235" s="29">
        <f>chitiet!D1888</f>
        <v>0</v>
      </c>
      <c r="F235" s="4"/>
      <c r="G235" s="7">
        <f t="shared" si="7"/>
        <v>0</v>
      </c>
      <c r="H235" s="4"/>
      <c r="I235" s="4"/>
      <c r="J235" s="4"/>
    </row>
    <row r="236" spans="1:10" s="1" customFormat="1" ht="13.8">
      <c r="A236" s="9" t="str">
        <f>chitiet!B1889</f>
        <v>CDTRUDOI</v>
      </c>
      <c r="B236" s="18" t="str">
        <f>IF(E236=0,"",COUNTIF($B$116:$B235,"&gt;0")+1)</f>
        <v/>
      </c>
      <c r="C236" s="37" t="s">
        <v>2987</v>
      </c>
      <c r="D236" s="29" t="s">
        <v>2445</v>
      </c>
      <c r="E236" s="29">
        <f>chitiet!D1889</f>
        <v>0</v>
      </c>
      <c r="F236" s="4"/>
      <c r="G236" s="7">
        <f t="shared" ref="G236:G241" si="9">IF(E236&lt;&gt;0,1,0)</f>
        <v>0</v>
      </c>
      <c r="H236" s="4"/>
      <c r="I236" s="4"/>
      <c r="J236" s="4"/>
    </row>
    <row r="237" spans="1:10" s="1" customFormat="1" ht="13.8">
      <c r="A237" s="9" t="str">
        <f>chitiet!B1891</f>
        <v>B16450V</v>
      </c>
      <c r="B237" s="18" t="str">
        <f>IF(E237=0,"",COUNTIF($B$116:$B236,"&gt;0")+1)</f>
        <v/>
      </c>
      <c r="C237" s="37" t="e">
        <v>#N/A</v>
      </c>
      <c r="D237" s="29" t="e">
        <v>#N/A</v>
      </c>
      <c r="E237" s="29">
        <f>chitiet!D1891</f>
        <v>0</v>
      </c>
      <c r="F237" s="4"/>
      <c r="G237" s="7">
        <f t="shared" si="9"/>
        <v>0</v>
      </c>
      <c r="H237" s="4"/>
      <c r="I237" s="4"/>
      <c r="J237" s="4"/>
    </row>
    <row r="238" spans="1:10" s="1" customFormat="1" ht="13.8">
      <c r="A238" s="9" t="str">
        <f>chitiet!B1892</f>
        <v>B16550v</v>
      </c>
      <c r="B238" s="18" t="str">
        <f>IF(E238=0,"",COUNTIF($B$116:$B237,"&gt;0")+1)</f>
        <v/>
      </c>
      <c r="C238" s="37" t="s">
        <v>5077</v>
      </c>
      <c r="D238" s="29" t="s">
        <v>2445</v>
      </c>
      <c r="E238" s="29">
        <f>chitiet!D1892</f>
        <v>0</v>
      </c>
      <c r="F238" s="4"/>
      <c r="G238" s="7">
        <f t="shared" si="9"/>
        <v>0</v>
      </c>
      <c r="H238" s="4"/>
      <c r="I238" s="4"/>
      <c r="J238" s="4"/>
    </row>
    <row r="239" spans="1:10" s="1" customFormat="1" ht="13.8">
      <c r="A239" s="9" t="str">
        <f>chitiet!B1893</f>
        <v>B16600v</v>
      </c>
      <c r="B239" s="18" t="str">
        <f>IF(E239=0,"",COUNTIF($B$116:$B238,"&gt;0")+1)</f>
        <v/>
      </c>
      <c r="C239" s="37" t="s">
        <v>5078</v>
      </c>
      <c r="D239" s="29" t="s">
        <v>2445</v>
      </c>
      <c r="E239" s="29">
        <f>chitiet!D1893</f>
        <v>0</v>
      </c>
      <c r="F239" s="4"/>
      <c r="G239" s="7">
        <f t="shared" si="9"/>
        <v>0</v>
      </c>
      <c r="H239" s="4"/>
      <c r="I239" s="4"/>
      <c r="J239" s="4"/>
    </row>
    <row r="240" spans="1:10" s="1" customFormat="1" ht="13.8">
      <c r="A240" s="9" t="str">
        <f>chitiet!B1894</f>
        <v>BM16250</v>
      </c>
      <c r="B240" s="18" t="str">
        <f>IF(E240=0,"",COUNTIF($B$116:$B239,"&gt;0")+1)</f>
        <v/>
      </c>
      <c r="C240" s="37" t="s">
        <v>5094</v>
      </c>
      <c r="D240" s="29" t="s">
        <v>2445</v>
      </c>
      <c r="E240" s="29">
        <f>chitiet!D1894</f>
        <v>0</v>
      </c>
      <c r="F240" s="4"/>
      <c r="G240" s="7">
        <f t="shared" si="9"/>
        <v>0</v>
      </c>
      <c r="H240" s="4"/>
      <c r="I240" s="4"/>
      <c r="J240" s="4"/>
    </row>
    <row r="241" spans="1:10" s="1" customFormat="1" ht="13.8">
      <c r="A241" s="9" t="str">
        <f>chitiet!B1895</f>
        <v>R2</v>
      </c>
      <c r="B241" s="18" t="str">
        <f>IF(E241=0,"",COUNTIF($B$116:$B240,"&gt;0")+1)</f>
        <v/>
      </c>
      <c r="C241" s="37" t="s">
        <v>5095</v>
      </c>
      <c r="D241" s="29" t="s">
        <v>2445</v>
      </c>
      <c r="E241" s="29">
        <f>chitiet!D1895</f>
        <v>0</v>
      </c>
      <c r="F241" s="4"/>
      <c r="G241" s="7">
        <f t="shared" si="9"/>
        <v>0</v>
      </c>
      <c r="H241" s="4"/>
      <c r="I241" s="4"/>
      <c r="J241" s="4"/>
    </row>
    <row r="242" spans="1:10" ht="13.8">
      <c r="A242" s="119" t="str">
        <f>chitiet!B1896</f>
        <v>R3</v>
      </c>
      <c r="B242" s="113" t="str">
        <f>IF(E242=0,"",COUNTIF($B$116:$B241,"&gt;0")+1)</f>
        <v/>
      </c>
      <c r="C242" s="124" t="s">
        <v>5096</v>
      </c>
      <c r="D242" s="125" t="s">
        <v>2445</v>
      </c>
      <c r="E242" s="125">
        <f>chitiet!D1896</f>
        <v>0</v>
      </c>
      <c r="F242" s="104"/>
      <c r="G242" s="112">
        <f>IF(E242&lt;&gt;0,1,0)</f>
        <v>0</v>
      </c>
      <c r="H242" s="104"/>
      <c r="I242" s="104"/>
      <c r="J242" s="104"/>
    </row>
    <row r="243" spans="1:10" s="1" customFormat="1" ht="13.8">
      <c r="A243" s="9" t="str">
        <f>chitiet!B1897</f>
        <v>R4</v>
      </c>
      <c r="B243" s="18" t="str">
        <f>IF(E243=0,"",COUNTIF($B$116:$B241,"&gt;0")+1)</f>
        <v/>
      </c>
      <c r="C243" s="37" t="s">
        <v>5097</v>
      </c>
      <c r="D243" s="29" t="s">
        <v>2445</v>
      </c>
      <c r="E243" s="29">
        <f>chitiet!D1897</f>
        <v>0</v>
      </c>
      <c r="F243" s="4"/>
      <c r="G243" s="7">
        <f>IF(E243&lt;&gt;0,1,0)</f>
        <v>0</v>
      </c>
      <c r="H243" s="4"/>
      <c r="I243" s="4"/>
      <c r="J243" s="4"/>
    </row>
    <row r="244" spans="1:10" s="1" customFormat="1" ht="13.8">
      <c r="A244" s="9" t="str">
        <f>chitiet!B1898</f>
        <v>b16350</v>
      </c>
      <c r="B244" s="18" t="str">
        <f>IF(E244=0,"",COUNTIF($B$116:$B243,"&gt;0")+1)</f>
        <v/>
      </c>
      <c r="C244" s="37" t="e">
        <v>#N/A</v>
      </c>
      <c r="D244" s="29" t="e">
        <v>#N/A</v>
      </c>
      <c r="E244" s="29">
        <f>chitiet!D1898</f>
        <v>0</v>
      </c>
      <c r="F244" s="4"/>
      <c r="G244" s="7">
        <f>IF(E244&lt;&gt;0,1,0)</f>
        <v>0</v>
      </c>
      <c r="H244" s="4"/>
      <c r="I244" s="4"/>
      <c r="J244" s="4"/>
    </row>
    <row r="245" spans="1:10" s="1" customFormat="1" ht="13.8">
      <c r="A245" s="9" t="str">
        <f>chitiet!B1899</f>
        <v>batli</v>
      </c>
      <c r="B245" s="18" t="str">
        <f>IF(E245=0,"",COUNTIF($B$116:$B241,"&gt;0")+1)</f>
        <v/>
      </c>
      <c r="C245" s="37" t="s">
        <v>2699</v>
      </c>
      <c r="D245" s="29" t="s">
        <v>2391</v>
      </c>
      <c r="E245" s="43">
        <f>chitiet!D1899</f>
        <v>0</v>
      </c>
      <c r="F245" s="4"/>
      <c r="G245" s="7">
        <f>IF(E245&lt;&gt;0,1,0)</f>
        <v>0</v>
      </c>
      <c r="H245" s="4"/>
      <c r="I245" s="4"/>
      <c r="J245" s="4"/>
    </row>
    <row r="246" spans="1:10" s="1" customFormat="1" ht="13.8">
      <c r="A246" s="9" t="str">
        <f>chitiet!B1900</f>
        <v>batlA</v>
      </c>
      <c r="B246" s="18" t="str">
        <f>IF(E246=0,"",COUNTIF($B$116:$B242,"&gt;0")+1)</f>
        <v/>
      </c>
      <c r="C246" s="37" t="e">
        <v>#N/A</v>
      </c>
      <c r="D246" s="29" t="e">
        <v>#N/A</v>
      </c>
      <c r="E246" s="43">
        <f>chitiet!D1900</f>
        <v>0</v>
      </c>
      <c r="F246" s="4"/>
      <c r="G246" s="7">
        <f>IF(E246&lt;&gt;0,1,0)</f>
        <v>0</v>
      </c>
      <c r="H246" s="4"/>
      <c r="I246" s="4"/>
      <c r="J246" s="4"/>
    </row>
    <row r="247" spans="1:10" ht="13.8">
      <c r="A247" s="119" t="str">
        <f>chitiet!B1901</f>
        <v>DAYA70</v>
      </c>
      <c r="B247" s="113"/>
      <c r="C247" s="124" t="e">
        <v>#N/A</v>
      </c>
      <c r="D247" s="125" t="e">
        <v>#N/A</v>
      </c>
      <c r="E247" s="800">
        <f>chitiet!D1901</f>
        <v>0</v>
      </c>
      <c r="F247" s="104"/>
      <c r="G247" s="112">
        <f t="shared" si="7"/>
        <v>0</v>
      </c>
      <c r="H247" s="104"/>
      <c r="I247" s="104"/>
      <c r="J247" s="104"/>
    </row>
    <row r="248" spans="1:10" s="1" customFormat="1" ht="13.8">
      <c r="A248" s="9" t="str">
        <f>chitiet!B1906</f>
        <v>bnh</v>
      </c>
      <c r="B248" s="18" t="str">
        <f>IF(E248=0,"",COUNTIF($B$116:$B247,"&gt;0")+1)</f>
        <v/>
      </c>
      <c r="C248" s="37" t="s">
        <v>5098</v>
      </c>
      <c r="D248" s="29" t="s">
        <v>2254</v>
      </c>
      <c r="E248" s="29">
        <f>chitiet!D1906</f>
        <v>0</v>
      </c>
      <c r="F248" s="4"/>
      <c r="G248" s="7">
        <f>IF(E248&lt;&gt;0,1,0)</f>
        <v>0</v>
      </c>
      <c r="H248" s="4"/>
      <c r="I248" s="4"/>
      <c r="J248" s="4"/>
    </row>
    <row r="249" spans="1:10" s="1" customFormat="1" ht="13.8">
      <c r="A249" s="12" t="s">
        <v>1900</v>
      </c>
      <c r="B249" s="15" t="s">
        <v>1901</v>
      </c>
      <c r="C249" s="96" t="s">
        <v>4144</v>
      </c>
      <c r="D249" s="97" t="s">
        <v>2307</v>
      </c>
      <c r="E249" s="29"/>
      <c r="F249" s="4"/>
      <c r="G249" s="7"/>
      <c r="H249" s="4"/>
      <c r="I249" s="4"/>
      <c r="J249" s="4"/>
    </row>
    <row r="250" spans="1:10" s="1" customFormat="1" ht="13.8">
      <c r="A250" s="13">
        <f>chitiet!B2238</f>
        <v>0</v>
      </c>
      <c r="B250" s="18" t="str">
        <f>IF(E250=0,"",COUNTIF($E$250:$E250,"&gt;0"))</f>
        <v/>
      </c>
      <c r="C250" s="16" t="s">
        <v>3301</v>
      </c>
      <c r="D250" s="19" t="s">
        <v>2445</v>
      </c>
      <c r="E250" s="29">
        <f>chitiet!D2238</f>
        <v>0</v>
      </c>
      <c r="F250" s="4"/>
      <c r="G250" s="7">
        <f t="shared" ref="G250:G256" si="10">IF(E250&lt;&gt;0,1,0)</f>
        <v>0</v>
      </c>
      <c r="H250" s="4"/>
      <c r="I250" s="4"/>
      <c r="J250" s="4"/>
    </row>
    <row r="251" spans="1:10" s="1" customFormat="1" ht="13.8">
      <c r="A251" s="13">
        <f>chitiet!B2239</f>
        <v>0</v>
      </c>
      <c r="B251" s="18" t="str">
        <f>IF(E251=0,"",COUNTIF($E$250:$E251,"&gt;0"))</f>
        <v/>
      </c>
      <c r="C251" s="16" t="s">
        <v>3302</v>
      </c>
      <c r="D251" s="19" t="s">
        <v>2445</v>
      </c>
      <c r="E251" s="29">
        <f>chitiet!D2239</f>
        <v>0</v>
      </c>
      <c r="F251" s="4"/>
      <c r="G251" s="7">
        <f t="shared" si="10"/>
        <v>0</v>
      </c>
      <c r="H251" s="4"/>
      <c r="I251" s="4"/>
      <c r="J251" s="4"/>
    </row>
    <row r="252" spans="1:10" s="1" customFormat="1" ht="13.8">
      <c r="A252" s="13">
        <f>chitiet!B2240</f>
        <v>0</v>
      </c>
      <c r="B252" s="18" t="str">
        <f>IF(E252=0,"",COUNTIF($E$250:$E252,"&gt;0"))</f>
        <v/>
      </c>
      <c r="C252" s="16" t="s">
        <v>3303</v>
      </c>
      <c r="D252" s="19" t="s">
        <v>3304</v>
      </c>
      <c r="E252" s="29">
        <f>chitiet!D2240</f>
        <v>0</v>
      </c>
      <c r="F252" s="4"/>
      <c r="G252" s="7">
        <f t="shared" si="10"/>
        <v>0</v>
      </c>
      <c r="H252" s="4"/>
      <c r="I252" s="4"/>
      <c r="J252" s="4"/>
    </row>
    <row r="253" spans="1:10" s="1" customFormat="1" ht="13.8">
      <c r="A253" s="13">
        <f>chitiet!B2241</f>
        <v>0</v>
      </c>
      <c r="B253" s="18" t="str">
        <f>IF(E253=0,"",COUNTIF($E$250:$E253,"&gt;0"))</f>
        <v/>
      </c>
      <c r="C253" s="16" t="s">
        <v>3305</v>
      </c>
      <c r="D253" s="19" t="s">
        <v>2445</v>
      </c>
      <c r="E253" s="29">
        <f>chitiet!D2241</f>
        <v>0</v>
      </c>
      <c r="F253" s="4"/>
      <c r="G253" s="7">
        <f t="shared" si="10"/>
        <v>0</v>
      </c>
      <c r="H253" s="4"/>
      <c r="I253" s="4"/>
      <c r="J253" s="4"/>
    </row>
    <row r="254" spans="1:10" s="1" customFormat="1" ht="13.8">
      <c r="A254" s="13">
        <f>chitiet!B2242</f>
        <v>0</v>
      </c>
      <c r="B254" s="18" t="str">
        <f>IF(E254=0,"",COUNTIF($E$250:$E254,"&gt;0"))</f>
        <v/>
      </c>
      <c r="C254" s="16" t="s">
        <v>3306</v>
      </c>
      <c r="D254" s="19" t="s">
        <v>2445</v>
      </c>
      <c r="E254" s="29">
        <f>chitiet!D2242</f>
        <v>0</v>
      </c>
      <c r="F254" s="4"/>
      <c r="G254" s="7">
        <f t="shared" si="10"/>
        <v>0</v>
      </c>
      <c r="H254" s="4"/>
      <c r="I254" s="4"/>
      <c r="J254" s="4"/>
    </row>
    <row r="255" spans="1:10" s="1" customFormat="1" ht="13.8">
      <c r="A255" s="13">
        <f>chitiet!B2243</f>
        <v>0</v>
      </c>
      <c r="B255" s="18" t="str">
        <f>IF(E255=0,"",COUNTIF($E$250:$E255,"&gt;0"))</f>
        <v/>
      </c>
      <c r="C255" s="16" t="s">
        <v>3307</v>
      </c>
      <c r="D255" s="19" t="s">
        <v>2445</v>
      </c>
      <c r="E255" s="29">
        <f>chitiet!D2243</f>
        <v>0</v>
      </c>
      <c r="F255" s="4"/>
      <c r="G255" s="7">
        <f t="shared" si="10"/>
        <v>0</v>
      </c>
      <c r="H255" s="4"/>
      <c r="I255" s="4"/>
      <c r="J255" s="4"/>
    </row>
    <row r="256" spans="1:10" s="1" customFormat="1" ht="13.8">
      <c r="A256" s="13">
        <f>chitiet!B2244</f>
        <v>0</v>
      </c>
      <c r="B256" s="18" t="str">
        <f>IF(E256=0,"",COUNTIF($E$250:$E256,"&gt;0"))</f>
        <v/>
      </c>
      <c r="C256" s="16" t="s">
        <v>3308</v>
      </c>
      <c r="D256" s="19" t="s">
        <v>2563</v>
      </c>
      <c r="E256" s="29">
        <f>chitiet!D2244</f>
        <v>0</v>
      </c>
      <c r="F256" s="4"/>
      <c r="G256" s="7">
        <f t="shared" si="10"/>
        <v>0</v>
      </c>
      <c r="H256" s="4"/>
      <c r="I256" s="4"/>
      <c r="J256" s="4"/>
    </row>
    <row r="257" spans="1:10" s="1" customFormat="1" ht="13.8">
      <c r="A257" s="12" t="s">
        <v>1900</v>
      </c>
      <c r="B257" s="15" t="s">
        <v>1901</v>
      </c>
      <c r="C257" s="96" t="s">
        <v>2308</v>
      </c>
      <c r="D257" s="97" t="s">
        <v>2307</v>
      </c>
      <c r="E257" s="29"/>
      <c r="F257" s="4"/>
      <c r="G257" s="7">
        <f>IF(E257&lt;&gt;0,1,0)</f>
        <v>0</v>
      </c>
      <c r="H257" s="4"/>
      <c r="I257" s="4"/>
      <c r="J257" s="4"/>
    </row>
    <row r="258" spans="1:10" s="1" customFormat="1" ht="13.8">
      <c r="A258" s="13" t="str">
        <f>chitiet!B2268</f>
        <v>LTD</v>
      </c>
      <c r="B258" s="18" t="str">
        <f>IF(E258=0,"",COUNTIF($B$257:$B257,"&gt;0")+1)</f>
        <v/>
      </c>
      <c r="C258" s="16" t="s">
        <v>1187</v>
      </c>
      <c r="D258" s="19" t="s">
        <v>2563</v>
      </c>
      <c r="E258" s="29">
        <f>chitiet!D2268</f>
        <v>0</v>
      </c>
      <c r="F258" s="4"/>
      <c r="G258" s="7">
        <f t="shared" ref="G258:G274" si="11">IF(E258&lt;&gt;0,1,0)</f>
        <v>0</v>
      </c>
      <c r="H258" s="4"/>
      <c r="I258" s="4"/>
      <c r="J258" s="4"/>
    </row>
    <row r="259" spans="1:10" s="1" customFormat="1" ht="13.8">
      <c r="A259" s="13" t="str">
        <f>chitiet!B2269</f>
        <v>lbfco100-22</v>
      </c>
      <c r="B259" s="18" t="str">
        <f>IF(E259=0,"",COUNTIF($B$257:$B258,"&gt;0")+1)</f>
        <v/>
      </c>
      <c r="C259" s="16" t="s">
        <v>1259</v>
      </c>
      <c r="D259" s="19" t="s">
        <v>2563</v>
      </c>
      <c r="E259" s="29">
        <f>chitiet!D2269</f>
        <v>0</v>
      </c>
      <c r="F259" s="4"/>
      <c r="G259" s="7">
        <f>IF(E259&lt;&gt;0,1,0)</f>
        <v>0</v>
      </c>
      <c r="H259" s="4"/>
      <c r="I259" s="4"/>
      <c r="J259" s="4"/>
    </row>
    <row r="260" spans="1:10" s="1" customFormat="1" ht="13.8">
      <c r="A260" s="13" t="str">
        <f>chitiet!B2271</f>
        <v>lbfco200-22</v>
      </c>
      <c r="B260" s="18" t="str">
        <f>IF(E260=0,"",COUNTIF($B$257:$B259,"&gt;0")+1)</f>
        <v/>
      </c>
      <c r="C260" s="16" t="s">
        <v>1258</v>
      </c>
      <c r="D260" s="19" t="s">
        <v>2563</v>
      </c>
      <c r="E260" s="29">
        <f>chitiet!D2271</f>
        <v>0</v>
      </c>
      <c r="F260" s="4"/>
      <c r="G260" s="7">
        <f>IF(E260&lt;&gt;0,1,0)</f>
        <v>0</v>
      </c>
      <c r="H260" s="4"/>
      <c r="I260" s="4"/>
      <c r="J260" s="4"/>
    </row>
    <row r="261" spans="1:10" s="1" customFormat="1" ht="13.8">
      <c r="A261" s="13" t="str">
        <f>chitiet!B2272</f>
        <v>chi100K</v>
      </c>
      <c r="B261" s="18" t="str">
        <f>IF(E261=0,"",COUNTIF($B$257:$B260,"&gt;0")+1)</f>
        <v/>
      </c>
      <c r="C261" s="16" t="s">
        <v>3453</v>
      </c>
      <c r="D261" s="19" t="s">
        <v>2608</v>
      </c>
      <c r="E261" s="29">
        <f>(chitiet!D2272)</f>
        <v>0</v>
      </c>
      <c r="F261" s="4"/>
      <c r="G261" s="7">
        <f t="shared" si="11"/>
        <v>0</v>
      </c>
      <c r="H261" s="4"/>
      <c r="I261" s="4"/>
      <c r="J261" s="4"/>
    </row>
    <row r="262" spans="1:10" s="1" customFormat="1" ht="13.8">
      <c r="A262" s="13" t="str">
        <f>chitiet!B2273</f>
        <v>FCO200-22</v>
      </c>
      <c r="B262" s="18" t="str">
        <f>IF(E262=0,"",COUNTIF($B$257:$B261,"&gt;0")+1)</f>
        <v/>
      </c>
      <c r="C262" s="16" t="s">
        <v>2034</v>
      </c>
      <c r="D262" s="19" t="s">
        <v>2563</v>
      </c>
      <c r="E262" s="29">
        <f>chitiet!D2273</f>
        <v>0</v>
      </c>
      <c r="F262" s="4"/>
      <c r="G262" s="7">
        <f t="shared" si="11"/>
        <v>0</v>
      </c>
      <c r="H262" s="4"/>
      <c r="I262" s="4"/>
      <c r="J262" s="4"/>
    </row>
    <row r="263" spans="1:10" s="1" customFormat="1" ht="13.8">
      <c r="A263" s="13" t="str">
        <f>chitiet!B2274</f>
        <v>FCO100-22</v>
      </c>
      <c r="B263" s="18">
        <f>IF(E263=0,"",COUNTIF($B$116:$B261,"&gt;0")+1)</f>
        <v>8</v>
      </c>
      <c r="C263" s="16" t="s">
        <v>95</v>
      </c>
      <c r="D263" s="19" t="s">
        <v>2563</v>
      </c>
      <c r="E263" s="29">
        <f>chitiet!D2274</f>
        <v>3</v>
      </c>
      <c r="F263" s="4"/>
      <c r="G263" s="7">
        <f t="shared" si="11"/>
        <v>1</v>
      </c>
      <c r="H263" s="4"/>
      <c r="I263" s="4"/>
      <c r="J263" s="4"/>
    </row>
    <row r="264" spans="1:10" s="1" customFormat="1" ht="13.8">
      <c r="A264" s="13" t="str">
        <f>chitiet!B2275</f>
        <v>chi8k</v>
      </c>
      <c r="B264" s="18" t="str">
        <f>IF(E264=0,"",COUNTIF($B$116:$B263,"&gt;0")+1)</f>
        <v/>
      </c>
      <c r="C264" s="16" t="s">
        <v>3442</v>
      </c>
      <c r="D264" s="19" t="s">
        <v>2608</v>
      </c>
      <c r="E264" s="29">
        <f>chitiet!D2275</f>
        <v>0</v>
      </c>
      <c r="F264" s="4"/>
      <c r="G264" s="7">
        <f t="shared" si="11"/>
        <v>0</v>
      </c>
      <c r="H264" s="4"/>
      <c r="I264" s="4"/>
      <c r="J264" s="4"/>
    </row>
    <row r="265" spans="1:10" s="1" customFormat="1" ht="13.8">
      <c r="A265" s="13" t="str">
        <f>chitiet!B2277</f>
        <v>chi50k</v>
      </c>
      <c r="B265" s="18">
        <f>IF(E265=0,"",COUNTIF($B$116:$B264,"&gt;0")+1)</f>
        <v>9</v>
      </c>
      <c r="C265" s="16" t="s">
        <v>3444</v>
      </c>
      <c r="D265" s="19" t="s">
        <v>2608</v>
      </c>
      <c r="E265" s="29">
        <f>chitiet!D2277</f>
        <v>3</v>
      </c>
      <c r="F265" s="4"/>
      <c r="G265" s="7">
        <f>IF(E265&lt;&gt;0,1,0)</f>
        <v>1</v>
      </c>
      <c r="H265" s="4"/>
      <c r="I265" s="4"/>
      <c r="J265" s="4"/>
    </row>
    <row r="266" spans="1:10" s="1" customFormat="1" ht="13.8">
      <c r="A266" s="13" t="str">
        <f>chitiet!B2278</f>
        <v>tu22</v>
      </c>
      <c r="B266" s="18" t="str">
        <f>IF(E266=0,"",COUNTIF($B$257:$B264,"&gt;0")+1)</f>
        <v/>
      </c>
      <c r="C266" s="16" t="s">
        <v>3385</v>
      </c>
      <c r="D266" s="19" t="s">
        <v>2563</v>
      </c>
      <c r="E266" s="29">
        <f>(chitiet!D2278)</f>
        <v>0</v>
      </c>
      <c r="F266" s="4"/>
      <c r="G266" s="7">
        <f>IF(E266&lt;&gt;0,1,0)</f>
        <v>0</v>
      </c>
      <c r="H266" s="4"/>
      <c r="I266" s="4"/>
      <c r="J266" s="4"/>
    </row>
    <row r="267" spans="1:10" s="1" customFormat="1" ht="13.8">
      <c r="A267" s="13" t="str">
        <f>chitiet!B2279</f>
        <v>ti20</v>
      </c>
      <c r="B267" s="18" t="str">
        <f>IF(E267=0,"",COUNTIF($B$257:$B266,"&gt;0")+1)</f>
        <v/>
      </c>
      <c r="C267" s="16" t="s">
        <v>3364</v>
      </c>
      <c r="D267" s="19" t="s">
        <v>2563</v>
      </c>
      <c r="E267" s="29">
        <f>chitiet!D2279</f>
        <v>0</v>
      </c>
      <c r="F267" s="4"/>
      <c r="G267" s="7">
        <f>IF(E267&lt;&gt;0,1,0)</f>
        <v>0</v>
      </c>
      <c r="H267" s="4"/>
      <c r="I267" s="4"/>
      <c r="J267" s="4"/>
    </row>
    <row r="268" spans="1:10" s="1" customFormat="1" ht="13.8">
      <c r="A268" s="13" t="str">
        <f>chitiet!B2280</f>
        <v>dk3dt</v>
      </c>
      <c r="B268" s="18" t="str">
        <f>IF(E268=0,"",COUNTIF($B$257:$B267,"&gt;0")+1)</f>
        <v/>
      </c>
      <c r="C268" s="16" t="s">
        <v>3460</v>
      </c>
      <c r="D268" s="19" t="s">
        <v>2563</v>
      </c>
      <c r="E268" s="29">
        <f>chitiet!D2280</f>
        <v>0</v>
      </c>
      <c r="F268" s="4"/>
      <c r="G268" s="7">
        <f>IF(E268&lt;&gt;0,1,0)</f>
        <v>0</v>
      </c>
      <c r="H268" s="4"/>
      <c r="I268" s="4"/>
      <c r="J268" s="4"/>
    </row>
    <row r="269" spans="1:10" s="1" customFormat="1" ht="13.8">
      <c r="A269" s="13" t="str">
        <f>chitiet!B2281</f>
        <v>DS1P</v>
      </c>
      <c r="B269" s="18" t="str">
        <f>IF(E269=0,"",COUNTIF($B$257:$B268,"&gt;0")+1)</f>
        <v/>
      </c>
      <c r="C269" s="16" t="s">
        <v>1218</v>
      </c>
      <c r="D269" s="19" t="s">
        <v>2445</v>
      </c>
      <c r="E269" s="29">
        <f>chitiet!D2281</f>
        <v>0</v>
      </c>
      <c r="F269" s="4"/>
      <c r="G269" s="7">
        <f t="shared" si="11"/>
        <v>0</v>
      </c>
      <c r="H269" s="4"/>
      <c r="I269" s="4"/>
      <c r="J269" s="4"/>
    </row>
    <row r="270" spans="1:10" s="1" customFormat="1" ht="13.8">
      <c r="A270" s="13" t="str">
        <f>chitiet!B2282</f>
        <v>DS3P</v>
      </c>
      <c r="B270" s="18" t="str">
        <f>IF(E270=0,"",COUNTIF($B$257:$B269,"&gt;0")+1)</f>
        <v/>
      </c>
      <c r="C270" s="16" t="s">
        <v>1596</v>
      </c>
      <c r="D270" s="19" t="s">
        <v>2445</v>
      </c>
      <c r="E270" s="29">
        <f>chitiet!D2282</f>
        <v>0</v>
      </c>
      <c r="F270" s="4"/>
      <c r="G270" s="7">
        <f t="shared" si="11"/>
        <v>0</v>
      </c>
      <c r="H270" s="4"/>
      <c r="I270" s="4"/>
      <c r="J270" s="4"/>
    </row>
    <row r="271" spans="1:10" s="1" customFormat="1" ht="13.8">
      <c r="A271" s="13" t="str">
        <f>chitiet!B2283</f>
        <v>LBS 16</v>
      </c>
      <c r="B271" s="18" t="str">
        <f>IF(E271=0,"",COUNTIF($B$257:$B270,"&gt;0")+1)</f>
        <v/>
      </c>
      <c r="C271" s="16" t="s">
        <v>1706</v>
      </c>
      <c r="D271" s="19" t="s">
        <v>2445</v>
      </c>
      <c r="E271" s="29">
        <f>chitiet!D2283</f>
        <v>0</v>
      </c>
      <c r="F271" s="4"/>
      <c r="G271" s="7">
        <f t="shared" si="11"/>
        <v>0</v>
      </c>
      <c r="H271" s="4"/>
      <c r="I271" s="4"/>
      <c r="J271" s="4"/>
    </row>
    <row r="272" spans="1:10" s="1" customFormat="1" ht="13.8">
      <c r="A272" s="13" t="str">
        <f>chitiet!B2284</f>
        <v>Recloser</v>
      </c>
      <c r="B272" s="18" t="str">
        <f>IF(E272=0,"",COUNTIF($B$257:$B271,"&gt;0")+1)</f>
        <v/>
      </c>
      <c r="C272" s="38" t="s">
        <v>2063</v>
      </c>
      <c r="D272" s="39" t="s">
        <v>2445</v>
      </c>
      <c r="E272" s="29">
        <f>chitiet!D2284</f>
        <v>0</v>
      </c>
      <c r="F272" s="4"/>
      <c r="G272" s="7">
        <f t="shared" si="11"/>
        <v>0</v>
      </c>
      <c r="H272" s="4"/>
      <c r="I272" s="4"/>
      <c r="J272" s="4"/>
    </row>
    <row r="273" spans="1:10" s="1" customFormat="1" ht="13.8">
      <c r="A273" s="13" t="str">
        <f>chitiet!B2287</f>
        <v>batLI</v>
      </c>
      <c r="B273" s="18" t="str">
        <f>IF(E273=0,"",COUNTIF($B$257:$B272,"&gt;0")+1)</f>
        <v/>
      </c>
      <c r="C273" s="16" t="s">
        <v>2699</v>
      </c>
      <c r="D273" s="19" t="s">
        <v>2391</v>
      </c>
      <c r="E273" s="29">
        <f>chitiet!D2287</f>
        <v>0</v>
      </c>
      <c r="F273" s="4"/>
      <c r="G273" s="7">
        <f t="shared" si="11"/>
        <v>0</v>
      </c>
      <c r="H273" s="4"/>
      <c r="I273" s="4"/>
      <c r="J273" s="4"/>
    </row>
    <row r="274" spans="1:10" s="1" customFormat="1" ht="13.8">
      <c r="A274" s="13" t="str">
        <f>chitiet!B2288</f>
        <v>chfco</v>
      </c>
      <c r="B274" s="18" t="str">
        <f>IF(E274=0,"",COUNTIF($B$257:$B273,"&gt;0")+1)</f>
        <v/>
      </c>
      <c r="C274" s="38" t="s">
        <v>3521</v>
      </c>
      <c r="D274" s="39" t="s">
        <v>2445</v>
      </c>
      <c r="E274" s="29">
        <f>chitiet!D2288</f>
        <v>0</v>
      </c>
      <c r="F274" s="4"/>
      <c r="G274" s="7">
        <f t="shared" si="11"/>
        <v>0</v>
      </c>
      <c r="H274" s="4"/>
      <c r="I274" s="4"/>
      <c r="J274" s="4"/>
    </row>
    <row r="275" spans="1:10" s="1" customFormat="1" ht="13.8">
      <c r="A275" s="13" t="str">
        <f>chitiet!A2289</f>
        <v>TĐĐ</v>
      </c>
      <c r="B275" s="15" t="s">
        <v>1667</v>
      </c>
      <c r="C275" s="96" t="s">
        <v>2578</v>
      </c>
      <c r="D275" s="97" t="s">
        <v>2307</v>
      </c>
      <c r="E275" s="29"/>
      <c r="F275" s="4"/>
      <c r="G275" s="7"/>
      <c r="H275" s="4"/>
      <c r="I275" s="4"/>
      <c r="J275" s="4"/>
    </row>
    <row r="276" spans="1:10" s="1" customFormat="1" ht="13.8">
      <c r="A276" s="13" t="str">
        <f>chitiet!B2290</f>
        <v>CVV4X2,5</v>
      </c>
      <c r="B276" s="18" t="str">
        <f>IF(E276=0,"",COUNTIF($B$275:$B275,"&gt;0")+1)</f>
        <v/>
      </c>
      <c r="C276" s="16" t="s">
        <v>2792</v>
      </c>
      <c r="D276" s="19" t="s">
        <v>2538</v>
      </c>
      <c r="E276" s="29">
        <f>chitiet!D2290</f>
        <v>0</v>
      </c>
      <c r="F276" s="4"/>
      <c r="G276" s="7">
        <f>IF(E276&lt;&gt;0,1,0)</f>
        <v>0</v>
      </c>
      <c r="H276" s="4"/>
      <c r="I276" s="4"/>
      <c r="J276" s="4"/>
    </row>
    <row r="277" spans="1:10" s="1" customFormat="1" ht="13.8">
      <c r="A277" s="13" t="str">
        <f>chitiet!B2291</f>
        <v>xAtuti</v>
      </c>
      <c r="B277" s="18" t="str">
        <f>IF(E277=0,"",COUNTIF($B$275:$B276,"&gt;0")+1)</f>
        <v/>
      </c>
      <c r="C277" s="16" t="s">
        <v>3612</v>
      </c>
      <c r="D277" s="19" t="s">
        <v>2391</v>
      </c>
      <c r="E277" s="29">
        <f>chitiet!D2291</f>
        <v>0</v>
      </c>
      <c r="F277" s="4"/>
      <c r="G277" s="7">
        <f>IF(E277&lt;&gt;0,1,0)</f>
        <v>0</v>
      </c>
      <c r="H277" s="4"/>
      <c r="I277" s="4"/>
      <c r="J277" s="4"/>
    </row>
    <row r="278" spans="1:10" s="1" customFormat="1" ht="13.8">
      <c r="A278" s="13" t="str">
        <f>chitiet!B2292</f>
        <v>batLI</v>
      </c>
      <c r="B278" s="18" t="str">
        <f>IF(E278=0,"",COUNTIF($B$275:$B277,"&gt;0")+1)</f>
        <v/>
      </c>
      <c r="C278" s="16" t="s">
        <v>2699</v>
      </c>
      <c r="D278" s="19" t="s">
        <v>2391</v>
      </c>
      <c r="E278" s="29">
        <f>chitiet!D2292</f>
        <v>0</v>
      </c>
      <c r="F278" s="4"/>
      <c r="G278" s="7">
        <f>IF(E278&lt;&gt;0,1,0)</f>
        <v>0</v>
      </c>
      <c r="H278" s="4"/>
      <c r="I278" s="4"/>
      <c r="J278" s="4"/>
    </row>
    <row r="279" spans="1:10" s="1" customFormat="1" ht="13.8">
      <c r="A279" s="13" t="str">
        <f>chitiet!B2293</f>
        <v>COS2,5</v>
      </c>
      <c r="B279" s="18" t="str">
        <f>IF(E279=0,"",COUNTIF($B$275:$B277,"&gt;0")+1)</f>
        <v/>
      </c>
      <c r="C279" s="16" t="s">
        <v>3489</v>
      </c>
      <c r="D279" s="19" t="s">
        <v>2563</v>
      </c>
      <c r="E279" s="29">
        <f>chitiet!D2293</f>
        <v>0</v>
      </c>
      <c r="F279" s="4"/>
      <c r="G279" s="7">
        <f t="shared" ref="G279:G299" si="12">IF(E279&lt;&gt;0,1,0)</f>
        <v>0</v>
      </c>
      <c r="H279" s="4"/>
      <c r="I279" s="4"/>
      <c r="J279" s="4"/>
    </row>
    <row r="280" spans="1:10" s="1" customFormat="1" ht="13.8">
      <c r="A280" s="13" t="str">
        <f>chitiet!B2294</f>
        <v>D16/10</v>
      </c>
      <c r="B280" s="18" t="str">
        <f>IF(E280=0,"",COUNTIF($B$275:$B279,"&gt;0")+1)</f>
        <v/>
      </c>
      <c r="C280" s="16" t="s">
        <v>3533</v>
      </c>
      <c r="D280" s="19" t="s">
        <v>2538</v>
      </c>
      <c r="E280" s="29">
        <f>chitiet!D2294</f>
        <v>0</v>
      </c>
      <c r="F280" s="4"/>
      <c r="G280" s="7">
        <f t="shared" si="12"/>
        <v>0</v>
      </c>
      <c r="H280" s="4"/>
      <c r="I280" s="4"/>
      <c r="J280" s="4"/>
    </row>
    <row r="281" spans="1:10" s="1" customFormat="1" ht="13.8">
      <c r="A281" s="13" t="str">
        <f>chitiet!B2295</f>
        <v>oxc25</v>
      </c>
      <c r="B281" s="18" t="str">
        <f>IF(E281=0,"",COUNTIF($B$275:$B280,"&gt;0")+1)</f>
        <v/>
      </c>
      <c r="C281" s="16" t="s">
        <v>3599</v>
      </c>
      <c r="D281" s="19" t="s">
        <v>2563</v>
      </c>
      <c r="E281" s="29">
        <f>chitiet!D2295</f>
        <v>0</v>
      </c>
      <c r="F281" s="4"/>
      <c r="G281" s="7">
        <f t="shared" si="12"/>
        <v>0</v>
      </c>
      <c r="H281" s="4"/>
      <c r="I281" s="4"/>
      <c r="J281" s="4"/>
    </row>
    <row r="282" spans="1:10" s="1" customFormat="1" ht="13.8">
      <c r="A282" s="13" t="str">
        <f>chitiet!B2296</f>
        <v>PVC42</v>
      </c>
      <c r="B282" s="18" t="str">
        <f>IF(E282=0,"",COUNTIF($B$275:$B281,"&gt;0")+1)</f>
        <v/>
      </c>
      <c r="C282" s="16" t="s">
        <v>3553</v>
      </c>
      <c r="D282" s="19" t="s">
        <v>1827</v>
      </c>
      <c r="E282" s="29">
        <f>chitiet!D2296</f>
        <v>0</v>
      </c>
      <c r="F282" s="4"/>
      <c r="G282" s="7">
        <f t="shared" si="12"/>
        <v>0</v>
      </c>
      <c r="H282" s="4"/>
      <c r="I282" s="4"/>
      <c r="J282" s="4"/>
    </row>
    <row r="283" spans="1:10" s="1" customFormat="1" ht="13.8">
      <c r="A283" s="13" t="str">
        <f>chitiet!B2297</f>
        <v>CD25x2</v>
      </c>
      <c r="B283" s="18" t="str">
        <f>IF(E283=0,"",COUNTIF($B$275:$B282,"&gt;0")+1)</f>
        <v/>
      </c>
      <c r="C283" s="16" t="s">
        <v>2995</v>
      </c>
      <c r="D283" s="19" t="s">
        <v>2445</v>
      </c>
      <c r="E283" s="29">
        <f>chitiet!D2297</f>
        <v>0</v>
      </c>
      <c r="F283" s="4"/>
      <c r="G283" s="7">
        <f t="shared" si="12"/>
        <v>0</v>
      </c>
      <c r="H283" s="4"/>
      <c r="I283" s="4"/>
      <c r="J283" s="4"/>
    </row>
    <row r="284" spans="1:10" s="1" customFormat="1" ht="13.8">
      <c r="A284" s="13" t="str">
        <f>chitiet!B2298</f>
        <v>CUT42</v>
      </c>
      <c r="B284" s="18" t="str">
        <f>IF(E284=0,"",COUNTIF($B$275:$B283,"&gt;0")+1)</f>
        <v/>
      </c>
      <c r="C284" s="16" t="s">
        <v>3560</v>
      </c>
      <c r="D284" s="19" t="s">
        <v>2563</v>
      </c>
      <c r="E284" s="29">
        <f>chitiet!D2298</f>
        <v>0</v>
      </c>
      <c r="F284" s="4"/>
      <c r="G284" s="7">
        <f t="shared" si="12"/>
        <v>0</v>
      </c>
      <c r="H284" s="4"/>
      <c r="I284" s="4"/>
      <c r="J284" s="4"/>
    </row>
    <row r="285" spans="1:10" s="1" customFormat="1" ht="13.8">
      <c r="A285" s="13" t="str">
        <f>chitiet!B2299</f>
        <v>CUT42T</v>
      </c>
      <c r="B285" s="18" t="str">
        <f>IF(E285=0,"",COUNTIF($B$275:$B284,"&gt;0")+1)</f>
        <v/>
      </c>
      <c r="C285" s="38" t="s">
        <v>3561</v>
      </c>
      <c r="D285" s="39" t="s">
        <v>2563</v>
      </c>
      <c r="E285" s="29">
        <f>chitiet!D2299</f>
        <v>0</v>
      </c>
      <c r="F285" s="4"/>
      <c r="G285" s="7">
        <f t="shared" si="12"/>
        <v>0</v>
      </c>
      <c r="H285" s="4"/>
      <c r="I285" s="4"/>
      <c r="J285" s="4"/>
    </row>
    <row r="286" spans="1:10" s="1" customFormat="1" ht="13.8">
      <c r="A286" s="13" t="str">
        <f>chitiet!B2300</f>
        <v>NPVC42</v>
      </c>
      <c r="B286" s="18" t="str">
        <f>IF(E286=0,"",COUNTIF($B$275:$B285,"&gt;0")+1)</f>
        <v/>
      </c>
      <c r="C286" s="16" t="s">
        <v>3574</v>
      </c>
      <c r="D286" s="19" t="s">
        <v>2563</v>
      </c>
      <c r="E286" s="29">
        <f>chitiet!D2300</f>
        <v>0</v>
      </c>
      <c r="F286" s="4"/>
      <c r="G286" s="7">
        <f t="shared" si="12"/>
        <v>0</v>
      </c>
      <c r="H286" s="4"/>
      <c r="I286" s="4"/>
      <c r="J286" s="4"/>
    </row>
    <row r="287" spans="1:10" s="1" customFormat="1" ht="13.8">
      <c r="A287" s="13" t="str">
        <f>chitiet!B2301</f>
        <v>XLPE25</v>
      </c>
      <c r="B287" s="18" t="str">
        <f>IF(E287=0,"",COUNTIF($B$275:$B286,"&gt;0")+1)</f>
        <v/>
      </c>
      <c r="C287" s="16" t="s">
        <v>2714</v>
      </c>
      <c r="D287" s="19" t="s">
        <v>2538</v>
      </c>
      <c r="E287" s="29">
        <f>chitiet!D2301</f>
        <v>0</v>
      </c>
      <c r="F287" s="4"/>
      <c r="G287" s="7">
        <f t="shared" si="12"/>
        <v>0</v>
      </c>
      <c r="H287" s="4"/>
      <c r="I287" s="4"/>
      <c r="J287" s="4"/>
    </row>
    <row r="288" spans="1:10" s="1" customFormat="1" ht="13.8">
      <c r="A288" s="13" t="str">
        <f>chitiet!B2302</f>
        <v>KEO</v>
      </c>
      <c r="B288" s="18" t="str">
        <f>IF(E288=0,"",COUNTIF($B$275:$B287,"&gt;0")+1)</f>
        <v/>
      </c>
      <c r="C288" s="16" t="s">
        <v>3590</v>
      </c>
      <c r="D288" s="19" t="s">
        <v>388</v>
      </c>
      <c r="E288" s="29">
        <f>chitiet!D2302</f>
        <v>0</v>
      </c>
      <c r="F288" s="4"/>
      <c r="G288" s="7">
        <f t="shared" si="12"/>
        <v>0</v>
      </c>
      <c r="H288" s="4"/>
      <c r="I288" s="4"/>
      <c r="J288" s="4"/>
    </row>
    <row r="289" spans="1:10" s="1" customFormat="1" ht="13.8">
      <c r="A289" s="13" t="str">
        <f>chitiet!B2303</f>
        <v>BANGKEO</v>
      </c>
      <c r="B289" s="18" t="str">
        <f>IF(E289=0,"",COUNTIF($B$275:$B288,"&gt;0")+1)</f>
        <v/>
      </c>
      <c r="C289" s="16" t="s">
        <v>3583</v>
      </c>
      <c r="D289" s="19" t="s">
        <v>3584</v>
      </c>
      <c r="E289" s="29">
        <f>chitiet!D2303</f>
        <v>0</v>
      </c>
      <c r="F289" s="4"/>
      <c r="G289" s="7">
        <f t="shared" si="12"/>
        <v>0</v>
      </c>
      <c r="H289" s="4"/>
      <c r="I289" s="4"/>
      <c r="J289" s="4"/>
    </row>
    <row r="290" spans="1:10" s="1" customFormat="1" ht="13.8">
      <c r="A290" s="13" t="str">
        <f>chitiet!B2304</f>
        <v>KVRT42</v>
      </c>
      <c r="B290" s="18" t="str">
        <f>IF(E290=0,"",COUNTIF($B$275:$B289,"&gt;0")+1)</f>
        <v/>
      </c>
      <c r="C290" s="16" t="s">
        <v>3591</v>
      </c>
      <c r="D290" s="19" t="s">
        <v>2563</v>
      </c>
      <c r="E290" s="29">
        <f>chitiet!D2304</f>
        <v>0</v>
      </c>
      <c r="F290" s="4"/>
      <c r="G290" s="7">
        <f t="shared" si="12"/>
        <v>0</v>
      </c>
      <c r="H290" s="4"/>
      <c r="I290" s="4"/>
      <c r="J290" s="4"/>
    </row>
    <row r="291" spans="1:10" s="1" customFormat="1" ht="13.8">
      <c r="A291" s="13" t="str">
        <f>chitiet!B2305</f>
        <v>KVRN42</v>
      </c>
      <c r="B291" s="18" t="str">
        <f>IF(E291=0,"",COUNTIF($B$275:$B290,"&gt;0")+1)</f>
        <v/>
      </c>
      <c r="C291" s="38" t="s">
        <v>3595</v>
      </c>
      <c r="D291" s="39" t="s">
        <v>2563</v>
      </c>
      <c r="E291" s="29">
        <f>chitiet!D2305</f>
        <v>0</v>
      </c>
      <c r="F291" s="4"/>
      <c r="G291" s="7">
        <f t="shared" si="12"/>
        <v>0</v>
      </c>
      <c r="H291" s="4"/>
      <c r="I291" s="4"/>
      <c r="J291" s="4"/>
    </row>
    <row r="292" spans="1:10" s="1" customFormat="1" ht="13.8">
      <c r="A292" s="13" t="str">
        <f>chitiet!B2306</f>
        <v>bangnhua</v>
      </c>
      <c r="B292" s="18" t="str">
        <f>IF(E292=0,"",COUNTIF($B$275:$B291,"&gt;0")+1)</f>
        <v/>
      </c>
      <c r="C292" s="16" t="s">
        <v>3582</v>
      </c>
      <c r="D292" s="19" t="s">
        <v>2563</v>
      </c>
      <c r="E292" s="29">
        <f>chitiet!D2306</f>
        <v>0</v>
      </c>
      <c r="F292" s="4"/>
      <c r="G292" s="7">
        <f t="shared" si="12"/>
        <v>0</v>
      </c>
      <c r="H292" s="4"/>
      <c r="I292" s="4"/>
      <c r="J292" s="4"/>
    </row>
    <row r="293" spans="1:10" s="1" customFormat="1" ht="13.8">
      <c r="A293" s="13" t="str">
        <f>chitiet!B2307</f>
        <v>TUDKDT</v>
      </c>
      <c r="B293" s="18" t="str">
        <f>IF(E293=0,"",COUNTIF($B$275:$B292,"&gt;0")+1)</f>
        <v/>
      </c>
      <c r="C293" s="38" t="s">
        <v>3412</v>
      </c>
      <c r="D293" s="39" t="s">
        <v>2563</v>
      </c>
      <c r="E293" s="29">
        <f>chitiet!D2307</f>
        <v>0</v>
      </c>
      <c r="F293" s="4"/>
      <c r="G293" s="7">
        <f t="shared" si="12"/>
        <v>0</v>
      </c>
      <c r="H293" s="4"/>
      <c r="I293" s="4"/>
      <c r="J293" s="4"/>
    </row>
    <row r="294" spans="1:10" s="1" customFormat="1" ht="13.8">
      <c r="A294" s="13" t="str">
        <f>chitiet!B2308</f>
        <v>cd320</v>
      </c>
      <c r="B294" s="18" t="str">
        <f>IF(E294=0,"",COUNTIF($B$275:$B293,"&gt;0")+1)</f>
        <v/>
      </c>
      <c r="C294" s="38" t="s">
        <v>2986</v>
      </c>
      <c r="D294" s="39" t="s">
        <v>2445</v>
      </c>
      <c r="E294" s="29">
        <f>chitiet!D2308</f>
        <v>0</v>
      </c>
      <c r="F294" s="4"/>
      <c r="G294" s="7">
        <f>IF(E294&lt;&gt;0,1,0)</f>
        <v>0</v>
      </c>
      <c r="H294" s="4"/>
      <c r="I294" s="4"/>
      <c r="J294" s="4"/>
    </row>
    <row r="295" spans="1:10" s="1" customFormat="1" ht="13.8">
      <c r="A295" s="13" t="str">
        <f>chitiet!B2309</f>
        <v>keobit</v>
      </c>
      <c r="B295" s="18" t="str">
        <f>IF(E295=0,"",COUNTIF($B$275:$B293,"&gt;0")+1)</f>
        <v/>
      </c>
      <c r="C295" s="38" t="s">
        <v>3585</v>
      </c>
      <c r="D295" s="39" t="s">
        <v>3586</v>
      </c>
      <c r="E295" s="29">
        <f>chitiet!D2309</f>
        <v>0</v>
      </c>
      <c r="F295" s="4"/>
      <c r="G295" s="7">
        <f t="shared" si="12"/>
        <v>0</v>
      </c>
      <c r="H295" s="4"/>
      <c r="I295" s="4"/>
      <c r="J295" s="4"/>
    </row>
    <row r="296" spans="1:10" s="1" customFormat="1" ht="13.8">
      <c r="A296" s="13" t="str">
        <f>chitiet!B2310</f>
        <v>M5M</v>
      </c>
      <c r="B296" s="18" t="str">
        <f>IF(E296=0,"",COUNTIF($B$275:$B295,"&gt;0")+1)</f>
        <v/>
      </c>
      <c r="C296" s="16" t="s">
        <v>2793</v>
      </c>
      <c r="D296" s="19" t="s">
        <v>2538</v>
      </c>
      <c r="E296" s="29">
        <f>chitiet!D2310</f>
        <v>0</v>
      </c>
      <c r="F296" s="4"/>
      <c r="G296" s="7">
        <f t="shared" si="12"/>
        <v>0</v>
      </c>
      <c r="H296" s="4"/>
      <c r="I296" s="4"/>
      <c r="J296" s="4"/>
    </row>
    <row r="297" spans="1:10" s="1" customFormat="1" ht="13.8">
      <c r="A297" s="13" t="str">
        <f>chitiet!B2311</f>
        <v>b12150</v>
      </c>
      <c r="B297" s="18" t="str">
        <f>IF(E297=0,"",COUNTIF($B$275:$B296,"&gt;0")+1)</f>
        <v/>
      </c>
      <c r="C297" s="16" t="s">
        <v>2640</v>
      </c>
      <c r="D297" s="19" t="s">
        <v>2445</v>
      </c>
      <c r="E297" s="29">
        <f>chitiet!D2311</f>
        <v>0</v>
      </c>
      <c r="F297" s="4"/>
      <c r="G297" s="7">
        <f t="shared" si="12"/>
        <v>0</v>
      </c>
      <c r="H297" s="4"/>
      <c r="I297" s="4"/>
      <c r="J297" s="4"/>
    </row>
    <row r="298" spans="1:10" s="1" customFormat="1" ht="13.8">
      <c r="A298" s="13" t="str">
        <f>chitiet!B2312</f>
        <v>sl50</v>
      </c>
      <c r="B298" s="18" t="str">
        <f>IF(E298=0,"",COUNTIF($B$275:$B297,"&gt;0")+1)</f>
        <v/>
      </c>
      <c r="C298" s="16" t="s">
        <v>2972</v>
      </c>
      <c r="D298" s="19" t="s">
        <v>2254</v>
      </c>
      <c r="E298" s="29">
        <f>chitiet!D2312</f>
        <v>0</v>
      </c>
      <c r="F298" s="4"/>
      <c r="G298" s="7">
        <f t="shared" si="12"/>
        <v>0</v>
      </c>
      <c r="H298" s="4"/>
      <c r="I298" s="4"/>
      <c r="J298" s="4"/>
    </row>
    <row r="299" spans="1:10" s="1" customFormat="1" ht="13.8">
      <c r="A299" s="13" t="str">
        <f>chitiet!B2313</f>
        <v>b1260</v>
      </c>
      <c r="B299" s="40" t="str">
        <f>IF(E299=0,"",COUNTIF($B$275:$B298,"&gt;0")+1)</f>
        <v/>
      </c>
      <c r="C299" s="38" t="s">
        <v>2637</v>
      </c>
      <c r="D299" s="39" t="s">
        <v>2445</v>
      </c>
      <c r="E299" s="41">
        <f>chitiet!D2313</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92" t="s">
        <v>4145</v>
      </c>
      <c r="D301" s="47"/>
      <c r="E301" s="48"/>
      <c r="F301" s="4"/>
      <c r="G301" s="4"/>
      <c r="H301" s="4"/>
      <c r="I301" s="4"/>
      <c r="J301" s="4"/>
    </row>
    <row r="302" spans="1:10" s="1" customFormat="1" ht="13.8">
      <c r="A302" s="9" t="str">
        <f>chitiet!B1934</f>
        <v>FCO100-22</v>
      </c>
      <c r="B302" s="44" t="str">
        <f>IF(E302=0,"",COUNTIF($B$116:$B301,"&gt;0")+1)</f>
        <v/>
      </c>
      <c r="C302" s="793" t="s">
        <v>4146</v>
      </c>
      <c r="D302" s="45" t="s">
        <v>2563</v>
      </c>
      <c r="E302" s="45"/>
      <c r="F302" s="4"/>
      <c r="G302" s="7">
        <f>IF(E302&lt;&gt;0,1,0)</f>
        <v>0</v>
      </c>
      <c r="H302" s="4"/>
      <c r="I302" s="4"/>
      <c r="J302" s="4"/>
    </row>
    <row r="303" spans="1:10" s="1" customFormat="1" ht="13.8">
      <c r="A303" s="13" t="str">
        <f>chitiet!B1925</f>
        <v>LCHSNply</v>
      </c>
      <c r="B303" s="18" t="str">
        <f>IF(E303=0,"",COUNTIF($B$116:$B302,"&gt;0")+1)</f>
        <v/>
      </c>
      <c r="C303" s="124" t="s">
        <v>4147</v>
      </c>
      <c r="D303" s="29" t="s">
        <v>2518</v>
      </c>
      <c r="E303" s="29">
        <f>chitiet!D1925</f>
        <v>0</v>
      </c>
      <c r="F303" s="4"/>
      <c r="G303" s="7">
        <f>IF(E303&lt;&gt;0,1,0)</f>
        <v>0</v>
      </c>
      <c r="H303" s="4"/>
      <c r="I303" s="4"/>
      <c r="J303" s="4"/>
    </row>
    <row r="304" spans="1:10" s="1" customFormat="1" ht="13.8">
      <c r="A304" s="9" t="str">
        <f>chitiet!B1944</f>
        <v>LSOC</v>
      </c>
      <c r="B304" s="18" t="str">
        <f>IF(E304=0,"",COUNTIF($B$116:$B303,"&gt;0")+1)</f>
        <v/>
      </c>
      <c r="C304" s="124" t="s">
        <v>4148</v>
      </c>
      <c r="D304" s="29" t="s">
        <v>2445</v>
      </c>
      <c r="E304" s="29">
        <f>chitiet!D1944</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94" t="s">
        <v>4149</v>
      </c>
      <c r="D311" s="50"/>
      <c r="E311" s="50"/>
      <c r="F311" s="4"/>
      <c r="G311" s="7">
        <f>IF(E311&lt;&gt;0,1,0)</f>
        <v>0</v>
      </c>
      <c r="H311" s="4"/>
      <c r="I311" s="4"/>
      <c r="J311" s="4"/>
    </row>
    <row r="312" spans="1:10" s="1" customFormat="1" ht="13.8">
      <c r="A312" s="9"/>
      <c r="B312" s="44" t="str">
        <f>IF(E312=0,"",COUNTIF($B$116:$B311,"&gt;0")+1)</f>
        <v/>
      </c>
      <c r="C312" s="793" t="s">
        <v>4150</v>
      </c>
      <c r="D312" s="795" t="s">
        <v>2391</v>
      </c>
      <c r="E312" s="45"/>
      <c r="F312" s="4"/>
      <c r="G312" s="7">
        <f>IF(E312&lt;&gt;0,1,0)</f>
        <v>0</v>
      </c>
      <c r="H312" s="4"/>
      <c r="I312" s="4"/>
      <c r="J312" s="4"/>
    </row>
    <row r="313" spans="1:10" s="1" customFormat="1" ht="13.8">
      <c r="A313" s="4"/>
      <c r="B313" s="14"/>
      <c r="C313" s="147" t="s">
        <v>4151</v>
      </c>
      <c r="D313" s="796" t="s">
        <v>2445</v>
      </c>
      <c r="E313" s="51"/>
      <c r="F313" s="4"/>
      <c r="G313" s="7">
        <f>IF(E313&lt;&gt;0,1,0)</f>
        <v>0</v>
      </c>
      <c r="H313" s="4"/>
      <c r="I313" s="4"/>
      <c r="J313" s="4"/>
    </row>
    <row r="314" spans="1:10" ht="13.8">
      <c r="A314" s="104"/>
      <c r="B314" s="104"/>
      <c r="C314" s="104"/>
      <c r="D314" s="104"/>
      <c r="E314" s="10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row r="477" spans="3:4">
      <c r="C477" s="134"/>
      <c r="D477" s="134"/>
    </row>
    <row r="478" spans="3:4">
      <c r="C478" s="134"/>
      <c r="D478" s="134"/>
    </row>
    <row r="479" spans="3:4">
      <c r="C479" s="134"/>
      <c r="D479" s="134"/>
    </row>
    <row r="480" spans="3:4">
      <c r="C480" s="134"/>
      <c r="D480" s="134"/>
    </row>
    <row r="481" spans="3:4">
      <c r="C481" s="134"/>
      <c r="D481" s="134"/>
    </row>
    <row r="482" spans="3:4">
      <c r="C482" s="134"/>
      <c r="D482" s="134"/>
    </row>
    <row r="483" spans="3:4">
      <c r="C483" s="134"/>
      <c r="D483" s="134"/>
    </row>
    <row r="484" spans="3:4">
      <c r="C484" s="134"/>
      <c r="D484" s="134"/>
    </row>
    <row r="485" spans="3:4">
      <c r="C485" s="134"/>
      <c r="D485" s="134"/>
    </row>
    <row r="486" spans="3:4">
      <c r="C486" s="134"/>
      <c r="D486" s="134"/>
    </row>
    <row r="487" spans="3:4">
      <c r="C487" s="134"/>
      <c r="D487" s="134"/>
    </row>
    <row r="488" spans="3:4">
      <c r="C488" s="134"/>
      <c r="D488" s="134"/>
    </row>
    <row r="489" spans="3:4">
      <c r="C489" s="134"/>
      <c r="D489" s="134"/>
    </row>
    <row r="490" spans="3:4">
      <c r="C490" s="134"/>
      <c r="D490" s="134"/>
    </row>
    <row r="491" spans="3:4">
      <c r="C491" s="134"/>
      <c r="D491" s="134"/>
    </row>
    <row r="492" spans="3:4">
      <c r="C492" s="134"/>
      <c r="D492" s="134"/>
    </row>
    <row r="493" spans="3:4">
      <c r="C493" s="134"/>
      <c r="D493" s="134"/>
    </row>
    <row r="494" spans="3:4">
      <c r="C494" s="134"/>
      <c r="D494" s="134"/>
    </row>
    <row r="495" spans="3:4">
      <c r="C495" s="134"/>
      <c r="D495" s="134"/>
    </row>
    <row r="496" spans="3:4">
      <c r="C496" s="134"/>
      <c r="D496" s="134"/>
    </row>
    <row r="497" spans="3:4">
      <c r="C497" s="134"/>
      <c r="D497" s="134"/>
    </row>
    <row r="498" spans="3:4">
      <c r="C498" s="134"/>
      <c r="D498" s="134"/>
    </row>
    <row r="499" spans="3:4">
      <c r="C499" s="134"/>
      <c r="D499" s="134"/>
    </row>
    <row r="500" spans="3:4">
      <c r="C500" s="134"/>
      <c r="D500" s="134"/>
    </row>
    <row r="501" spans="3:4">
      <c r="C501" s="134"/>
      <c r="D501" s="134"/>
    </row>
    <row r="502" spans="3:4">
      <c r="C502" s="134"/>
      <c r="D502" s="134"/>
    </row>
    <row r="503" spans="3:4">
      <c r="C503" s="134"/>
      <c r="D503" s="134"/>
    </row>
    <row r="504" spans="3:4">
      <c r="C504" s="134"/>
      <c r="D504" s="134"/>
    </row>
    <row r="505" spans="3:4">
      <c r="C505" s="134"/>
      <c r="D505" s="134"/>
    </row>
    <row r="506" spans="3:4">
      <c r="C506" s="134"/>
      <c r="D506" s="134"/>
    </row>
    <row r="507" spans="3:4">
      <c r="C507" s="134"/>
      <c r="D507" s="134"/>
    </row>
    <row r="508" spans="3:4">
      <c r="C508" s="134"/>
      <c r="D508" s="134"/>
    </row>
    <row r="509" spans="3:4">
      <c r="C509" s="134"/>
      <c r="D509" s="134"/>
    </row>
    <row r="510" spans="3:4">
      <c r="C510" s="134"/>
      <c r="D510" s="134"/>
    </row>
    <row r="511" spans="3:4">
      <c r="C511" s="134"/>
      <c r="D511" s="134"/>
    </row>
    <row r="512" spans="3:4">
      <c r="C512" s="134"/>
      <c r="D512" s="134"/>
    </row>
    <row r="513" spans="3:4">
      <c r="C513" s="134"/>
      <c r="D513" s="134"/>
    </row>
    <row r="514" spans="3:4">
      <c r="C514" s="134"/>
      <c r="D514" s="134"/>
    </row>
    <row r="515" spans="3:4">
      <c r="C515" s="134"/>
      <c r="D515" s="134"/>
    </row>
    <row r="516" spans="3:4">
      <c r="C516" s="134"/>
      <c r="D516" s="134"/>
    </row>
    <row r="517" spans="3:4">
      <c r="C517" s="134"/>
      <c r="D517" s="134"/>
    </row>
    <row r="518" spans="3:4">
      <c r="C518" s="134"/>
      <c r="D518" s="134"/>
    </row>
    <row r="519" spans="3:4">
      <c r="C519" s="134"/>
      <c r="D519" s="134"/>
    </row>
    <row r="520" spans="3:4">
      <c r="C520" s="134"/>
      <c r="D520" s="134"/>
    </row>
    <row r="521" spans="3:4">
      <c r="C521" s="134"/>
      <c r="D521" s="134"/>
    </row>
    <row r="522" spans="3:4">
      <c r="C522" s="134"/>
      <c r="D522" s="134"/>
    </row>
    <row r="523" spans="3:4">
      <c r="C523" s="134"/>
      <c r="D523" s="134"/>
    </row>
    <row r="524" spans="3:4">
      <c r="C524" s="134"/>
      <c r="D524" s="134"/>
    </row>
    <row r="525" spans="3:4">
      <c r="C525" s="134"/>
      <c r="D525" s="134"/>
    </row>
    <row r="526" spans="3:4">
      <c r="C526" s="134"/>
      <c r="D526" s="134"/>
    </row>
    <row r="527" spans="3:4">
      <c r="C527" s="134"/>
      <c r="D527" s="134"/>
    </row>
    <row r="528" spans="3:4">
      <c r="C528" s="134"/>
      <c r="D528" s="134"/>
    </row>
    <row r="529" spans="3:4">
      <c r="C529" s="134"/>
      <c r="D529" s="134"/>
    </row>
    <row r="530" spans="3:4">
      <c r="C530" s="134"/>
      <c r="D530" s="134"/>
    </row>
    <row r="531" spans="3:4">
      <c r="C531" s="134"/>
      <c r="D531" s="134"/>
    </row>
    <row r="532" spans="3:4">
      <c r="C532" s="134"/>
      <c r="D532" s="134"/>
    </row>
    <row r="533" spans="3:4">
      <c r="C533" s="134"/>
      <c r="D533" s="134"/>
    </row>
    <row r="534" spans="3:4">
      <c r="C534" s="134"/>
      <c r="D534" s="134"/>
    </row>
    <row r="535" spans="3:4">
      <c r="C535" s="134"/>
      <c r="D535" s="134"/>
    </row>
    <row r="536" spans="3:4">
      <c r="C536" s="134"/>
      <c r="D536" s="134"/>
    </row>
    <row r="537" spans="3:4">
      <c r="C537" s="134"/>
      <c r="D537" s="134"/>
    </row>
    <row r="538" spans="3:4">
      <c r="C538" s="134"/>
      <c r="D538" s="134"/>
    </row>
    <row r="539" spans="3:4">
      <c r="C539" s="134"/>
      <c r="D539" s="134"/>
    </row>
    <row r="540" spans="3:4">
      <c r="C540" s="134"/>
      <c r="D540" s="134"/>
    </row>
    <row r="541" spans="3:4">
      <c r="C541" s="134"/>
      <c r="D541" s="134"/>
    </row>
    <row r="542" spans="3:4">
      <c r="C542" s="134"/>
      <c r="D542" s="134"/>
    </row>
    <row r="543" spans="3:4">
      <c r="C543" s="134"/>
      <c r="D543" s="134"/>
    </row>
    <row r="544" spans="3:4">
      <c r="C544" s="134"/>
      <c r="D544" s="134"/>
    </row>
    <row r="545" spans="3:4">
      <c r="C545" s="134"/>
      <c r="D545" s="134"/>
    </row>
    <row r="546" spans="3:4">
      <c r="C546" s="134"/>
      <c r="D546" s="134"/>
    </row>
    <row r="547" spans="3:4">
      <c r="C547" s="134"/>
      <c r="D547" s="134"/>
    </row>
    <row r="548" spans="3:4">
      <c r="C548" s="134"/>
      <c r="D548" s="134"/>
    </row>
    <row r="549" spans="3:4">
      <c r="C549" s="134"/>
      <c r="D549" s="134"/>
    </row>
    <row r="550" spans="3:4">
      <c r="C550" s="134"/>
      <c r="D550" s="134"/>
    </row>
    <row r="551" spans="3:4">
      <c r="C551" s="134"/>
      <c r="D551" s="134"/>
    </row>
    <row r="552" spans="3:4">
      <c r="C552" s="134"/>
      <c r="D552" s="134"/>
    </row>
    <row r="553" spans="3:4">
      <c r="C553" s="134"/>
      <c r="D553" s="134"/>
    </row>
    <row r="554" spans="3:4">
      <c r="C554" s="134"/>
      <c r="D554" s="134"/>
    </row>
    <row r="555" spans="3:4">
      <c r="C555" s="134"/>
      <c r="D555" s="134"/>
    </row>
    <row r="556" spans="3:4">
      <c r="C556" s="134"/>
      <c r="D556" s="134"/>
    </row>
    <row r="557" spans="3:4">
      <c r="C557" s="134"/>
      <c r="D557" s="134"/>
    </row>
    <row r="558" spans="3:4">
      <c r="C558" s="134"/>
      <c r="D558" s="134"/>
    </row>
    <row r="559" spans="3:4">
      <c r="C559" s="134"/>
      <c r="D559" s="134"/>
    </row>
    <row r="560" spans="3:4">
      <c r="C560" s="134"/>
      <c r="D560" s="134"/>
    </row>
    <row r="561" spans="3:4">
      <c r="C561" s="134"/>
      <c r="D561" s="134"/>
    </row>
    <row r="562" spans="3:4">
      <c r="C562" s="134"/>
      <c r="D562" s="134"/>
    </row>
    <row r="563" spans="3:4">
      <c r="C563" s="134"/>
      <c r="D563" s="134"/>
    </row>
    <row r="564" spans="3:4">
      <c r="C564" s="134"/>
      <c r="D564" s="134"/>
    </row>
    <row r="565" spans="3:4">
      <c r="C565" s="134"/>
      <c r="D565" s="134"/>
    </row>
    <row r="566" spans="3:4">
      <c r="C566" s="134"/>
      <c r="D566" s="134"/>
    </row>
    <row r="567" spans="3:4">
      <c r="C567" s="134"/>
      <c r="D567" s="134"/>
    </row>
    <row r="568" spans="3:4">
      <c r="C568" s="134"/>
      <c r="D568" s="134"/>
    </row>
    <row r="569" spans="3:4">
      <c r="C569" s="134"/>
      <c r="D569" s="134"/>
    </row>
    <row r="570" spans="3:4">
      <c r="C570" s="134"/>
      <c r="D570" s="134"/>
    </row>
    <row r="571" spans="3:4">
      <c r="C571" s="134"/>
      <c r="D571" s="134"/>
    </row>
    <row r="572" spans="3:4">
      <c r="C572" s="134"/>
      <c r="D572" s="134"/>
    </row>
    <row r="573" spans="3:4">
      <c r="C573" s="134"/>
      <c r="D573" s="134"/>
    </row>
    <row r="574" spans="3:4">
      <c r="C574" s="134"/>
      <c r="D574" s="134"/>
    </row>
    <row r="575" spans="3:4">
      <c r="C575" s="134"/>
      <c r="D575" s="134"/>
    </row>
    <row r="576" spans="3:4">
      <c r="C576" s="134"/>
      <c r="D576" s="134"/>
    </row>
    <row r="577" spans="3:4">
      <c r="C577" s="134"/>
      <c r="D577" s="134"/>
    </row>
    <row r="578" spans="3:4">
      <c r="C578" s="134"/>
      <c r="D578" s="134"/>
    </row>
    <row r="579" spans="3:4">
      <c r="C579" s="134"/>
      <c r="D579" s="134"/>
    </row>
    <row r="580" spans="3:4">
      <c r="C580" s="134"/>
      <c r="D580" s="134"/>
    </row>
    <row r="581" spans="3:4">
      <c r="C581" s="134"/>
      <c r="D581" s="134"/>
    </row>
    <row r="582" spans="3:4">
      <c r="C582" s="134"/>
      <c r="D582" s="134"/>
    </row>
    <row r="583" spans="3:4">
      <c r="C583" s="134"/>
      <c r="D583" s="134"/>
    </row>
    <row r="584" spans="3:4">
      <c r="C584" s="134"/>
      <c r="D584" s="134"/>
    </row>
    <row r="585" spans="3:4">
      <c r="C585" s="134"/>
      <c r="D585" s="134"/>
    </row>
    <row r="586" spans="3:4">
      <c r="C586" s="134"/>
      <c r="D586" s="134"/>
    </row>
    <row r="587" spans="3:4">
      <c r="C587" s="134"/>
      <c r="D587" s="134"/>
    </row>
    <row r="588" spans="3:4">
      <c r="C588" s="134"/>
      <c r="D588" s="134"/>
    </row>
    <row r="589" spans="3:4">
      <c r="C589" s="134"/>
      <c r="D589" s="134"/>
    </row>
    <row r="590" spans="3:4">
      <c r="C590" s="134"/>
      <c r="D590" s="134"/>
    </row>
    <row r="591" spans="3:4">
      <c r="C591" s="134"/>
      <c r="D591" s="134"/>
    </row>
    <row r="592" spans="3:4">
      <c r="C592" s="134"/>
      <c r="D592" s="134"/>
    </row>
    <row r="593" spans="3:4">
      <c r="C593" s="134"/>
      <c r="D593" s="134"/>
    </row>
    <row r="594" spans="3:4">
      <c r="C594" s="134"/>
      <c r="D594" s="134"/>
    </row>
    <row r="595" spans="3:4">
      <c r="C595" s="134"/>
      <c r="D595" s="134"/>
    </row>
    <row r="596" spans="3:4">
      <c r="C596" s="134"/>
      <c r="D596" s="134"/>
    </row>
    <row r="597" spans="3:4">
      <c r="C597" s="134"/>
      <c r="D597" s="134"/>
    </row>
    <row r="598" spans="3:4">
      <c r="C598" s="134"/>
      <c r="D598" s="134"/>
    </row>
    <row r="599" spans="3:4">
      <c r="C599" s="134"/>
      <c r="D599" s="134"/>
    </row>
    <row r="600" spans="3:4">
      <c r="C600" s="134"/>
      <c r="D600" s="134"/>
    </row>
    <row r="601" spans="3:4">
      <c r="C601" s="134"/>
      <c r="D601" s="134"/>
    </row>
    <row r="602" spans="3:4">
      <c r="C602" s="134"/>
      <c r="D602" s="134"/>
    </row>
    <row r="603" spans="3:4">
      <c r="C603" s="134"/>
      <c r="D603" s="134"/>
    </row>
    <row r="604" spans="3:4">
      <c r="C604" s="134"/>
      <c r="D604" s="134"/>
    </row>
    <row r="605" spans="3:4">
      <c r="C605" s="134"/>
      <c r="D605" s="134"/>
    </row>
    <row r="606" spans="3:4">
      <c r="C606" s="134"/>
      <c r="D606" s="134"/>
    </row>
    <row r="607" spans="3:4">
      <c r="C607" s="134"/>
      <c r="D607" s="134"/>
    </row>
    <row r="608" spans="3:4">
      <c r="C608" s="134"/>
      <c r="D608" s="134"/>
    </row>
    <row r="609" spans="3:4">
      <c r="C609" s="134"/>
      <c r="D609" s="134"/>
    </row>
    <row r="610" spans="3:4">
      <c r="C610" s="134"/>
      <c r="D610" s="134"/>
    </row>
    <row r="611" spans="3:4">
      <c r="C611" s="134"/>
      <c r="D611" s="134"/>
    </row>
    <row r="612" spans="3:4">
      <c r="C612" s="134"/>
      <c r="D612" s="134"/>
    </row>
    <row r="613" spans="3:4">
      <c r="C613" s="134"/>
      <c r="D613" s="134"/>
    </row>
    <row r="614" spans="3:4">
      <c r="C614" s="134"/>
      <c r="D614" s="134"/>
    </row>
    <row r="615" spans="3:4">
      <c r="C615" s="134"/>
      <c r="D615" s="134"/>
    </row>
    <row r="616" spans="3:4">
      <c r="C616" s="134"/>
      <c r="D616" s="134"/>
    </row>
    <row r="617" spans="3:4">
      <c r="C617" s="134"/>
      <c r="D617" s="134"/>
    </row>
    <row r="618" spans="3:4">
      <c r="C618" s="134"/>
      <c r="D618" s="134"/>
    </row>
    <row r="619" spans="3:4">
      <c r="C619" s="134"/>
      <c r="D619" s="134"/>
    </row>
    <row r="620" spans="3:4">
      <c r="C620" s="134"/>
      <c r="D620" s="134"/>
    </row>
  </sheetData>
  <autoFilter ref="G8:G313" xr:uid="{00000000-0009-0000-0000-000013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8" customWidth="1"/>
    <col min="8" max="16384" width="8.90625" style="67"/>
  </cols>
  <sheetData>
    <row r="5" spans="1:13" ht="16.8">
      <c r="B5" s="100" t="s">
        <v>4152</v>
      </c>
      <c r="C5" s="85"/>
      <c r="D5" s="85"/>
      <c r="E5" s="85"/>
    </row>
    <row r="6" spans="1:13">
      <c r="F6" s="103"/>
      <c r="G6" s="102"/>
      <c r="H6" s="103"/>
      <c r="I6" s="103"/>
    </row>
    <row r="7" spans="1:13" ht="13.8">
      <c r="A7" s="104"/>
      <c r="B7" s="91" t="s">
        <v>1712</v>
      </c>
      <c r="C7" s="91" t="s">
        <v>2287</v>
      </c>
      <c r="D7" s="91" t="s">
        <v>2288</v>
      </c>
      <c r="E7" s="91" t="s">
        <v>2289</v>
      </c>
      <c r="F7" s="105">
        <f>pp_NC!GV5</f>
        <v>0</v>
      </c>
      <c r="G7" s="105" t="str">
        <f>'pp3p2m '!ED6</f>
        <v>B</v>
      </c>
      <c r="H7" s="105" t="s">
        <v>1038</v>
      </c>
      <c r="I7" s="105" t="s">
        <v>1038</v>
      </c>
      <c r="J7" s="106"/>
      <c r="K7" s="102"/>
      <c r="L7" s="102"/>
      <c r="M7" s="102"/>
    </row>
    <row r="8" spans="1:13" ht="13.8">
      <c r="A8" s="92" t="s">
        <v>2290</v>
      </c>
      <c r="B8" s="93"/>
      <c r="C8" s="136"/>
      <c r="D8" s="93" t="s">
        <v>2291</v>
      </c>
      <c r="E8" s="93" t="s">
        <v>2292</v>
      </c>
      <c r="F8" s="94" t="s">
        <v>2293</v>
      </c>
      <c r="G8" s="107"/>
      <c r="H8" s="104"/>
      <c r="I8" s="104"/>
      <c r="J8" s="104"/>
    </row>
    <row r="9" spans="1:13" ht="13.8">
      <c r="A9" s="108"/>
      <c r="B9" s="137">
        <v>1</v>
      </c>
      <c r="C9" s="137">
        <v>2</v>
      </c>
      <c r="D9" s="137">
        <v>3</v>
      </c>
      <c r="E9" s="137">
        <v>4</v>
      </c>
      <c r="F9" s="104"/>
      <c r="G9" s="107"/>
      <c r="H9" s="104"/>
      <c r="I9" s="104"/>
      <c r="J9" s="104"/>
    </row>
    <row r="10" spans="1:13" ht="13.8">
      <c r="A10" s="108"/>
      <c r="B10" s="109" t="s">
        <v>501</v>
      </c>
      <c r="C10" s="95" t="s">
        <v>2294</v>
      </c>
      <c r="D10" s="110"/>
      <c r="E10" s="111"/>
      <c r="F10" s="104"/>
      <c r="G10" s="107">
        <v>1</v>
      </c>
      <c r="H10" s="104"/>
      <c r="I10" s="104"/>
      <c r="J10" s="104"/>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108" t="e">
        <f>#REF!</f>
        <v>#REF!</v>
      </c>
      <c r="B19" s="113" t="e">
        <f>IF(E19=0,"",COUNTIF($E$11:$E19,"&gt;0"))</f>
        <v>#REF!</v>
      </c>
      <c r="C19" s="114" t="e">
        <v>#REF!</v>
      </c>
      <c r="D19" s="97" t="e">
        <v>#REF!</v>
      </c>
      <c r="E19" s="115" t="e">
        <v>#REF!</v>
      </c>
      <c r="F19" s="104"/>
      <c r="G19" s="112" t="e">
        <f t="shared" si="0"/>
        <v>#REF!</v>
      </c>
      <c r="H19" s="104"/>
      <c r="I19" s="104"/>
      <c r="J19" s="104"/>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108" t="e">
        <f>#REF!</f>
        <v>#REF!</v>
      </c>
      <c r="B25" s="113" t="e">
        <f>IF(E25=0,"",COUNTIF($E$11:$E25,"&gt;0"))</f>
        <v>#REF!</v>
      </c>
      <c r="C25" s="114" t="e">
        <v>#REF!</v>
      </c>
      <c r="D25" s="97" t="e">
        <v>#REF!</v>
      </c>
      <c r="E25" s="115" t="e">
        <v>#REF!</v>
      </c>
      <c r="F25" s="104"/>
      <c r="G25" s="112" t="e">
        <f t="shared" si="0"/>
        <v>#REF!</v>
      </c>
      <c r="H25" s="104"/>
      <c r="I25" s="104"/>
      <c r="J25" s="104"/>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108" t="e">
        <f>#REF!</f>
        <v>#REF!</v>
      </c>
      <c r="B37" s="113" t="e">
        <f>IF(E37=0,"",COUNTIF($E$30:$E37,"&gt;0"))</f>
        <v>#REF!</v>
      </c>
      <c r="C37" s="114" t="e">
        <v>#REF!</v>
      </c>
      <c r="D37" s="97" t="e">
        <v>#REF!</v>
      </c>
      <c r="E37" s="115" t="e">
        <v>#REF!</v>
      </c>
      <c r="F37" s="104"/>
      <c r="G37" s="112" t="e">
        <f t="shared" si="1"/>
        <v>#REF!</v>
      </c>
      <c r="H37" s="104"/>
      <c r="I37" s="104"/>
      <c r="J37" s="104"/>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939</v>
      </c>
      <c r="C39" s="96" t="s">
        <v>2295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108" t="e">
        <f>#REF!</f>
        <v>#REF!</v>
      </c>
      <c r="B43" s="113" t="e">
        <f>IF(E43=0,"",COUNTIF($E$11:$E43,"&gt;0"))</f>
        <v>#REF!</v>
      </c>
      <c r="C43" s="114" t="e">
        <v>#REF!</v>
      </c>
      <c r="D43" s="97" t="e">
        <v>#REF!</v>
      </c>
      <c r="E43" s="115" t="e">
        <v>#REF!</v>
      </c>
      <c r="F43" s="104"/>
      <c r="G43" s="112" t="e">
        <f t="shared" si="2"/>
        <v>#REF!</v>
      </c>
      <c r="H43" s="104"/>
      <c r="I43" s="104"/>
      <c r="J43" s="104"/>
    </row>
    <row r="44" spans="1:10" ht="13.8">
      <c r="A44" s="108" t="e">
        <f>#REF!</f>
        <v>#REF!</v>
      </c>
      <c r="B44" s="113" t="e">
        <f>IF(E44=0,"",COUNTIF($E$11:$E44,"&gt;0"))</f>
        <v>#REF!</v>
      </c>
      <c r="C44" s="114" t="e">
        <v>#REF!</v>
      </c>
      <c r="D44" s="97" t="e">
        <v>#REF!</v>
      </c>
      <c r="E44" s="115" t="e">
        <v>#REF!</v>
      </c>
      <c r="F44" s="104"/>
      <c r="G44" s="112" t="e">
        <f t="shared" si="2"/>
        <v>#REF!</v>
      </c>
      <c r="H44" s="104"/>
      <c r="I44" s="104"/>
      <c r="J44" s="104"/>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108" t="e">
        <f>#REF!</f>
        <v>#REF!</v>
      </c>
      <c r="B46" s="117" t="s">
        <v>1618</v>
      </c>
      <c r="C46" s="96" t="s">
        <v>2296</v>
      </c>
      <c r="D46" s="97"/>
      <c r="E46" s="115"/>
      <c r="F46" s="104"/>
      <c r="G46" s="112">
        <v>1</v>
      </c>
      <c r="H46" s="104"/>
      <c r="I46" s="104"/>
      <c r="J46" s="104"/>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108" t="e">
        <f>#REF!</f>
        <v>#REF!</v>
      </c>
      <c r="B51" s="113" t="e">
        <f>IF(E51=0,"",COUNTIF($E$47:$E51,"&gt;0"))</f>
        <v>#REF!</v>
      </c>
      <c r="C51" s="801" t="e">
        <v>#REF!</v>
      </c>
      <c r="D51" s="97" t="e">
        <v>#REF!</v>
      </c>
      <c r="E51" s="802" t="e">
        <v>#REF!</v>
      </c>
      <c r="F51" s="104"/>
      <c r="G51" s="112" t="e">
        <f>IF(E51&lt;&gt;0,1,0)</f>
        <v>#REF!</v>
      </c>
      <c r="H51" s="104"/>
      <c r="I51" s="104"/>
      <c r="J51" s="104"/>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108" t="e">
        <f>#REF!</f>
        <v>#REF!</v>
      </c>
      <c r="B55" s="113" t="e">
        <f>IF(E55=0,"",COUNTIF($E$47:$E55,"&gt;0"))</f>
        <v>#REF!</v>
      </c>
      <c r="C55" s="801" t="e">
        <v>#REF!</v>
      </c>
      <c r="D55" s="97" t="e">
        <v>#REF!</v>
      </c>
      <c r="E55" s="802" t="e">
        <v>#REF!</v>
      </c>
      <c r="F55" s="104"/>
      <c r="G55" s="112" t="e">
        <f t="shared" si="0"/>
        <v>#REF!</v>
      </c>
      <c r="H55" s="104"/>
      <c r="I55" s="104"/>
      <c r="J55" s="104"/>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108" t="e">
        <f>#REF!</f>
        <v>#REF!</v>
      </c>
      <c r="B59" s="113" t="e">
        <f>IF(E59=0,"",COUNTIF($E$47:$E59,"&gt;0"))</f>
        <v>#REF!</v>
      </c>
      <c r="C59" s="801" t="e">
        <v>#REF!</v>
      </c>
      <c r="D59" s="803" t="e">
        <v>#REF!</v>
      </c>
      <c r="E59" s="802" t="e">
        <v>#REF!</v>
      </c>
      <c r="F59" s="104"/>
      <c r="G59" s="112" t="e">
        <f t="shared" si="0"/>
        <v>#REF!</v>
      </c>
      <c r="H59" s="104"/>
      <c r="I59" s="104"/>
      <c r="J59" s="104"/>
    </row>
    <row r="60" spans="1:10" ht="13.8">
      <c r="A60" s="108" t="e">
        <f>#REF!</f>
        <v>#REF!</v>
      </c>
      <c r="B60" s="113" t="e">
        <f>IF(E60=0,"",COUNTIF($E$47:$E60,"&gt;0"))</f>
        <v>#REF!</v>
      </c>
      <c r="C60" s="801" t="e">
        <v>#REF!</v>
      </c>
      <c r="D60" s="97" t="e">
        <v>#REF!</v>
      </c>
      <c r="E60" s="802" t="e">
        <v>#REF!</v>
      </c>
      <c r="F60" s="104"/>
      <c r="G60" s="112" t="e">
        <f t="shared" si="0"/>
        <v>#REF!</v>
      </c>
      <c r="H60" s="104"/>
      <c r="I60" s="104"/>
      <c r="J60" s="104"/>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44" customFormat="1" ht="13.8">
      <c r="A67" s="140" t="e">
        <f>#REF!</f>
        <v>#REF!</v>
      </c>
      <c r="B67" s="141" t="e">
        <f>IF(E67=0,"",COUNTIF($E$47:$E67,"&gt;0"))</f>
        <v>#REF!</v>
      </c>
      <c r="C67" s="801" t="e">
        <v>#REF!</v>
      </c>
      <c r="D67" s="803" t="e">
        <v>#REF!</v>
      </c>
      <c r="E67" s="802" t="e">
        <v>#REF!</v>
      </c>
      <c r="F67" s="142"/>
      <c r="G67" s="143" t="e">
        <f t="shared" si="0"/>
        <v>#REF!</v>
      </c>
      <c r="H67" s="142"/>
      <c r="I67" s="142"/>
      <c r="J67" s="142"/>
    </row>
    <row r="68" spans="1:10" ht="13.8">
      <c r="A68" s="108" t="e">
        <f>#REF!</f>
        <v>#REF!</v>
      </c>
      <c r="B68" s="113" t="e">
        <f>IF(E68=0,"",COUNTIF($E$47:$E68,"&gt;0"))</f>
        <v>#REF!</v>
      </c>
      <c r="C68" s="801" t="e">
        <v>#REF!</v>
      </c>
      <c r="D68" s="97" t="e">
        <v>#REF!</v>
      </c>
      <c r="E68" s="802" t="e">
        <v>#REF!</v>
      </c>
      <c r="F68" s="104"/>
      <c r="G68" s="112" t="e">
        <f t="shared" si="0"/>
        <v>#REF!</v>
      </c>
      <c r="H68" s="104"/>
      <c r="I68" s="104"/>
      <c r="J68" s="104"/>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108" t="s">
        <v>1982</v>
      </c>
      <c r="B77" s="117" t="s">
        <v>1912</v>
      </c>
      <c r="C77" s="96" t="s">
        <v>2306</v>
      </c>
      <c r="D77" s="97" t="s">
        <v>2307</v>
      </c>
      <c r="E77" s="118"/>
      <c r="F77" s="104"/>
      <c r="G77" s="112">
        <v>1</v>
      </c>
      <c r="H77" s="104"/>
      <c r="I77" s="104"/>
      <c r="J77" s="104"/>
    </row>
    <row r="78" spans="1:10" s="1" customFormat="1" ht="13.8" hidden="1">
      <c r="A78" s="9" t="str">
        <f>chitiet!B1959</f>
        <v>AC70</v>
      </c>
      <c r="B78" s="18">
        <f>IF(E78=0,,1)</f>
        <v>0</v>
      </c>
      <c r="C78" s="16" t="str">
        <f>chitiet!F1959</f>
        <v>Cáp nhôm lõi thép AC-70/11</v>
      </c>
      <c r="D78" s="19" t="str">
        <f>chitiet!G1959</f>
        <v>kg</v>
      </c>
      <c r="E78" s="16">
        <f>chitiet!D1959</f>
        <v>0</v>
      </c>
      <c r="F78" s="10">
        <f>chitiet!E1959</f>
        <v>0</v>
      </c>
      <c r="G78" s="7">
        <f t="shared" si="0"/>
        <v>0</v>
      </c>
      <c r="H78" s="4"/>
      <c r="I78" s="4"/>
      <c r="J78" s="4"/>
    </row>
    <row r="79" spans="1:10" ht="13.8">
      <c r="A79" s="119" t="str">
        <f>chitiet!B1960</f>
        <v>AC50</v>
      </c>
      <c r="B79" s="113">
        <f>IF(E79=0,,COUNTIF($B$78:$B78,"&gt;0")+1)</f>
        <v>0</v>
      </c>
      <c r="C79" s="114" t="str">
        <f>chitiet!F1960</f>
        <v>Cáp nhôm lõi thép AC-50/8</v>
      </c>
      <c r="D79" s="97" t="str">
        <f>chitiet!G1960</f>
        <v>kg</v>
      </c>
      <c r="E79" s="114">
        <f>chitiet!D1960</f>
        <v>0</v>
      </c>
      <c r="F79" s="120">
        <f>chitiet!E1960</f>
        <v>0</v>
      </c>
      <c r="G79" s="112">
        <f t="shared" si="0"/>
        <v>0</v>
      </c>
      <c r="H79" s="104"/>
      <c r="I79" s="104"/>
      <c r="J79" s="104"/>
    </row>
    <row r="80" spans="1:10" ht="13.8">
      <c r="A80" s="119" t="str">
        <f>chitiet!B1961</f>
        <v>ACXV50</v>
      </c>
      <c r="B80" s="113">
        <f>IF(E80=0,,COUNTIF($B$78:$B79,"&gt;0")+1)</f>
        <v>0</v>
      </c>
      <c r="C80" s="114" t="str">
        <f>chitiet!F1961</f>
        <v>Cáp 24KV ACX 50mm2</v>
      </c>
      <c r="D80" s="97" t="str">
        <f>chitiet!G1961</f>
        <v>mét</v>
      </c>
      <c r="E80" s="114">
        <f>chitiet!D1961</f>
        <v>0</v>
      </c>
      <c r="F80" s="120">
        <f>chitiet!E1961</f>
        <v>0</v>
      </c>
      <c r="G80" s="112">
        <f t="shared" si="0"/>
        <v>0</v>
      </c>
      <c r="H80" s="104"/>
      <c r="I80" s="104"/>
      <c r="J80" s="104"/>
    </row>
    <row r="81" spans="1:10" s="144" customFormat="1" ht="13.8">
      <c r="A81" s="119" t="str">
        <f>chitiet!B1962</f>
        <v>Đth-U</v>
      </c>
      <c r="B81" s="804">
        <f>IF(E81=0,,COUNTIF($B$78:$B80,"&gt;0")+1)</f>
        <v>0</v>
      </c>
      <c r="C81" s="127" t="str">
        <f>chitiet!F1962</f>
        <v>Bộ Uclevis đỡ dây trung hòa: Đth-U</v>
      </c>
      <c r="D81" s="128" t="str">
        <f>chitiet!G1962</f>
        <v>bộ</v>
      </c>
      <c r="E81" s="127">
        <f>chitiet!D1962</f>
        <v>0</v>
      </c>
      <c r="F81" s="142"/>
      <c r="G81" s="112">
        <f t="shared" si="0"/>
        <v>0</v>
      </c>
      <c r="H81" s="142"/>
      <c r="I81" s="142"/>
      <c r="J81" s="142"/>
    </row>
    <row r="82" spans="1:10" ht="13.8">
      <c r="A82" s="119" t="str">
        <f>chitiet!B1963</f>
        <v>R1</v>
      </c>
      <c r="B82" s="113"/>
      <c r="C82" s="114" t="str">
        <f>chitiet!F1963</f>
        <v>Uclevis + sứ ống chỉ</v>
      </c>
      <c r="D82" s="97" t="str">
        <f>chitiet!G1963</f>
        <v>bộ</v>
      </c>
      <c r="E82" s="114">
        <f>chitiet!D1963</f>
        <v>0</v>
      </c>
      <c r="F82" s="104"/>
      <c r="G82" s="112">
        <f t="shared" si="0"/>
        <v>0</v>
      </c>
      <c r="H82" s="104"/>
      <c r="I82" s="104"/>
      <c r="J82" s="104"/>
    </row>
    <row r="83" spans="1:10" ht="13.8">
      <c r="A83" s="119" t="str">
        <f>chitiet!B1964</f>
        <v>B16300</v>
      </c>
      <c r="B83" s="113"/>
      <c r="C83" s="114" t="str">
        <f>chitiet!F1964</f>
        <v>Boulon 16x300+ 2 long đền vuông D18-50x50x3/Zn</v>
      </c>
      <c r="D83" s="97" t="str">
        <f>chitiet!G1964</f>
        <v>bộ</v>
      </c>
      <c r="E83" s="114">
        <f>chitiet!D1964</f>
        <v>0</v>
      </c>
      <c r="F83" s="104"/>
      <c r="G83" s="112">
        <f t="shared" si="0"/>
        <v>0</v>
      </c>
      <c r="H83" s="104"/>
      <c r="I83" s="104"/>
      <c r="J83" s="104"/>
    </row>
    <row r="84" spans="1:10" s="2" customFormat="1" ht="13.8" hidden="1">
      <c r="A84" s="9" t="str">
        <f>chitiet!B1965</f>
        <v>Nth-U</v>
      </c>
      <c r="B84" s="42">
        <f>IF(E84=0,,COUNTIF($B$78:$B83,"&gt;0")+1)</f>
        <v>0</v>
      </c>
      <c r="C84" s="33" t="str">
        <f>chitiet!F1965</f>
        <v>Bộ Uclevis néo dây trung hòa vào trụ: Nth-U</v>
      </c>
      <c r="D84" s="34" t="str">
        <f>chitiet!G1965</f>
        <v>bộ</v>
      </c>
      <c r="E84" s="33">
        <f>chitiet!D1965</f>
        <v>0</v>
      </c>
      <c r="F84" s="31"/>
      <c r="G84" s="7">
        <f t="shared" si="0"/>
        <v>0</v>
      </c>
      <c r="H84" s="31"/>
      <c r="I84" s="31"/>
      <c r="J84" s="31"/>
    </row>
    <row r="85" spans="1:10" s="1" customFormat="1" ht="13.8" hidden="1">
      <c r="A85" s="9" t="str">
        <f>chitiet!B1966</f>
        <v>R1</v>
      </c>
      <c r="B85" s="18"/>
      <c r="C85" s="16" t="str">
        <f>chitiet!F1966</f>
        <v>Uclevis + sứ ống chỉ</v>
      </c>
      <c r="D85" s="19" t="str">
        <f>chitiet!G1966</f>
        <v>bộ</v>
      </c>
      <c r="E85" s="16">
        <f>chitiet!D1966</f>
        <v>0</v>
      </c>
      <c r="F85" s="4"/>
      <c r="G85" s="7">
        <f t="shared" si="0"/>
        <v>0</v>
      </c>
      <c r="H85" s="4"/>
      <c r="I85" s="4"/>
      <c r="J85" s="4"/>
    </row>
    <row r="86" spans="1:10" s="1" customFormat="1" ht="13.8" hidden="1">
      <c r="A86" s="9" t="str">
        <f>chitiet!B1967</f>
        <v>B16300</v>
      </c>
      <c r="B86" s="18"/>
      <c r="C86" s="16" t="str">
        <f>chitiet!F1967</f>
        <v>Boulon 16x300+ 2 long đền vuông D18-50x50x3/Zn</v>
      </c>
      <c r="D86" s="19" t="str">
        <f>chitiet!G1967</f>
        <v>bộ</v>
      </c>
      <c r="E86" s="16">
        <f>chitiet!D1967</f>
        <v>0</v>
      </c>
      <c r="F86" s="4"/>
      <c r="G86" s="7">
        <f t="shared" si="0"/>
        <v>0</v>
      </c>
      <c r="H86" s="4"/>
      <c r="I86" s="4"/>
      <c r="J86" s="4"/>
    </row>
    <row r="87" spans="1:10" s="1" customFormat="1" ht="13.8" hidden="1">
      <c r="A87" s="9" t="str">
        <f>chitiet!B1968</f>
        <v>K50</v>
      </c>
      <c r="B87" s="18"/>
      <c r="C87" s="16" t="str">
        <f>chitiet!F1968</f>
        <v>Kẹp 2 rãnh (APC) cỡ dây 50mm2</v>
      </c>
      <c r="D87" s="19" t="str">
        <f>chitiet!G1968</f>
        <v>cái</v>
      </c>
      <c r="E87" s="16">
        <f>chitiet!D1968</f>
        <v>0</v>
      </c>
      <c r="F87" s="4"/>
      <c r="G87" s="7">
        <f t="shared" si="0"/>
        <v>0</v>
      </c>
      <c r="H87" s="4"/>
      <c r="I87" s="4"/>
      <c r="J87" s="4"/>
    </row>
    <row r="88" spans="1:10" ht="13.8">
      <c r="A88" s="119" t="str">
        <f>chitiet!B1969</f>
        <v>Nth-T</v>
      </c>
      <c r="B88" s="804">
        <f>IF(E88=0,,COUNTIF($B$78:$B87,"&gt;0")+1)</f>
        <v>0</v>
      </c>
      <c r="C88" s="127" t="str">
        <f>chitiet!F1969</f>
        <v>Bộ khóa néo dây trung hòa vào trụ: Nth-T</v>
      </c>
      <c r="D88" s="128" t="str">
        <f>chitiet!G1969</f>
        <v>bộ</v>
      </c>
      <c r="E88" s="127">
        <f>chitiet!D1969</f>
        <v>0</v>
      </c>
      <c r="F88" s="104"/>
      <c r="G88" s="112">
        <f t="shared" si="0"/>
        <v>0</v>
      </c>
      <c r="H88" s="104"/>
      <c r="I88" s="104"/>
      <c r="J88" s="104"/>
    </row>
    <row r="89" spans="1:10" ht="13.8">
      <c r="A89" s="119" t="str">
        <f>chitiet!B1970</f>
        <v>kn50</v>
      </c>
      <c r="B89" s="113"/>
      <c r="C89" s="114" t="str">
        <f>chitiet!F1970</f>
        <v>Khóa néo dây cỡ dây 50</v>
      </c>
      <c r="D89" s="97" t="str">
        <f>chitiet!G1970</f>
        <v>cái</v>
      </c>
      <c r="E89" s="114">
        <f>chitiet!D1970</f>
        <v>0</v>
      </c>
      <c r="F89" s="104"/>
      <c r="G89" s="112">
        <f t="shared" si="0"/>
        <v>0</v>
      </c>
      <c r="H89" s="104"/>
      <c r="I89" s="104"/>
      <c r="J89" s="104"/>
    </row>
    <row r="90" spans="1:10" ht="13.8">
      <c r="A90" s="119" t="str">
        <f>chitiet!B1971</f>
        <v>MT</v>
      </c>
      <c r="B90" s="113"/>
      <c r="C90" s="114" t="str">
        <f>chitiet!F1971</f>
        <v xml:space="preserve">Móc treo chữ U </v>
      </c>
      <c r="D90" s="97" t="str">
        <f>chitiet!G1971</f>
        <v>cái</v>
      </c>
      <c r="E90" s="114">
        <f>chitiet!D1971</f>
        <v>0</v>
      </c>
      <c r="F90" s="104"/>
      <c r="G90" s="112">
        <f t="shared" si="0"/>
        <v>0</v>
      </c>
      <c r="H90" s="104"/>
      <c r="I90" s="104"/>
      <c r="J90" s="104"/>
    </row>
    <row r="91" spans="1:10" ht="13.8">
      <c r="A91" s="119" t="str">
        <f>chitiet!B1972</f>
        <v>BM16300</v>
      </c>
      <c r="B91" s="113"/>
      <c r="C91" s="114" t="str">
        <f>chitiet!F1972</f>
        <v>Boulon mắt 16x300+ 2 long đền vuông D18-50x50x3/Zn</v>
      </c>
      <c r="D91" s="97" t="str">
        <f>chitiet!G1972</f>
        <v>bộ</v>
      </c>
      <c r="E91" s="114">
        <f>chitiet!D1972</f>
        <v>0</v>
      </c>
      <c r="F91" s="104"/>
      <c r="G91" s="112">
        <f t="shared" si="0"/>
        <v>0</v>
      </c>
      <c r="H91" s="104"/>
      <c r="I91" s="104"/>
      <c r="J91" s="104"/>
    </row>
    <row r="92" spans="1:10" ht="13.8">
      <c r="A92" s="119" t="str">
        <f>chitiet!B1973</f>
        <v>KE50</v>
      </c>
      <c r="B92" s="113"/>
      <c r="C92" s="114" t="str">
        <f>chitiet!F1973</f>
        <v>Kẹp ép WR cỡ dây 50mm2</v>
      </c>
      <c r="D92" s="97" t="str">
        <f>chitiet!G1973</f>
        <v>cái</v>
      </c>
      <c r="E92" s="114">
        <f>chitiet!D1973</f>
        <v>0</v>
      </c>
      <c r="F92" s="104"/>
      <c r="G92" s="112">
        <f t="shared" si="0"/>
        <v>0</v>
      </c>
      <c r="H92" s="104"/>
      <c r="I92" s="104"/>
      <c r="J92" s="104"/>
    </row>
    <row r="93" spans="1:10" s="1" customFormat="1" ht="13.8" hidden="1">
      <c r="A93" s="9" t="str">
        <f>chitiet!B1974</f>
        <v>SĐU</v>
      </c>
      <c r="B93" s="42">
        <f>IF(E93=0,,COUNTIF($B$78:$B92,"&gt;0")+1)</f>
        <v>0</v>
      </c>
      <c r="C93" s="33" t="str">
        <f>chitiet!F1974</f>
        <v>Bộ cách điện đứng+ty sứ : SĐU</v>
      </c>
      <c r="D93" s="34" t="str">
        <f>chitiet!G1974</f>
        <v>bộ</v>
      </c>
      <c r="E93" s="33">
        <f>chitiet!D1974</f>
        <v>0</v>
      </c>
      <c r="F93" s="4"/>
      <c r="G93" s="7">
        <f t="shared" si="0"/>
        <v>0</v>
      </c>
      <c r="H93" s="4"/>
      <c r="I93" s="4"/>
      <c r="J93" s="4"/>
    </row>
    <row r="94" spans="1:10" s="1" customFormat="1" ht="13.8" hidden="1">
      <c r="A94" s="9" t="str">
        <f>chitiet!B1975</f>
        <v>SD</v>
      </c>
      <c r="B94" s="18"/>
      <c r="C94" s="16" t="str">
        <f>chitiet!F1975</f>
        <v xml:space="preserve">Sứ đứng 24KV </v>
      </c>
      <c r="D94" s="19" t="str">
        <f>chitiet!G1975</f>
        <v>cái</v>
      </c>
      <c r="E94" s="16">
        <f>chitiet!D1975</f>
        <v>0</v>
      </c>
      <c r="F94" s="4"/>
      <c r="G94" s="7">
        <f t="shared" si="0"/>
        <v>0</v>
      </c>
      <c r="H94" s="4"/>
      <c r="I94" s="4"/>
      <c r="J94" s="4"/>
    </row>
    <row r="95" spans="1:10" s="2" customFormat="1" ht="13.8" hidden="1">
      <c r="A95" s="9" t="str">
        <f>chitiet!B1976</f>
        <v>CSD</v>
      </c>
      <c r="B95" s="18"/>
      <c r="C95" s="16" t="str">
        <f>chitiet!F1976</f>
        <v>Chân sứ đứng D20</v>
      </c>
      <c r="D95" s="19" t="str">
        <f>chitiet!G1976</f>
        <v>cái</v>
      </c>
      <c r="E95" s="16">
        <f>chitiet!D1976</f>
        <v>0</v>
      </c>
      <c r="F95" s="31"/>
      <c r="G95" s="7">
        <f t="shared" si="0"/>
        <v>0</v>
      </c>
      <c r="H95" s="31"/>
      <c r="I95" s="31"/>
      <c r="J95" s="31"/>
    </row>
    <row r="96" spans="1:10" ht="13.8">
      <c r="A96" s="119" t="str">
        <f>chitiet!B1977</f>
        <v>SĐI</v>
      </c>
      <c r="B96" s="804">
        <f>IF(E96=0,,COUNTIF($B$78:$B95,"&gt;0")+1)</f>
        <v>0</v>
      </c>
      <c r="C96" s="127" t="str">
        <f>chitiet!F1977</f>
        <v>Bộ cách điện đỉnh+ty sứ đơn : SĐI</v>
      </c>
      <c r="D96" s="128" t="str">
        <f>chitiet!G1977</f>
        <v>bộ</v>
      </c>
      <c r="E96" s="127">
        <f>chitiet!D1977</f>
        <v>0</v>
      </c>
      <c r="F96" s="104"/>
      <c r="G96" s="112">
        <f t="shared" si="0"/>
        <v>0</v>
      </c>
      <c r="H96" s="104"/>
      <c r="I96" s="104"/>
      <c r="J96" s="104"/>
    </row>
    <row r="97" spans="1:10" ht="13.8">
      <c r="A97" s="119" t="str">
        <f>chitiet!B1978</f>
        <v>SD</v>
      </c>
      <c r="B97" s="113"/>
      <c r="C97" s="114" t="str">
        <f>chitiet!F1978</f>
        <v xml:space="preserve">Sứ đứng 24KV </v>
      </c>
      <c r="D97" s="97" t="str">
        <f>chitiet!G1978</f>
        <v>cái</v>
      </c>
      <c r="E97" s="114">
        <f>chitiet!D1978</f>
        <v>0</v>
      </c>
      <c r="F97" s="104"/>
      <c r="G97" s="112">
        <f t="shared" si="0"/>
        <v>0</v>
      </c>
      <c r="H97" s="104"/>
      <c r="I97" s="104"/>
      <c r="J97" s="104"/>
    </row>
    <row r="98" spans="1:10" ht="13.8">
      <c r="A98" s="119" t="str">
        <f>chitiet!B1979</f>
        <v>CSDI</v>
      </c>
      <c r="B98" s="113"/>
      <c r="C98" s="114" t="str">
        <f>chitiet!F1979</f>
        <v>Chân sứ đỉnh thẳng dài 870mm</v>
      </c>
      <c r="D98" s="97" t="str">
        <f>chitiet!G1979</f>
        <v>cái</v>
      </c>
      <c r="E98" s="114">
        <f>chitiet!D1979</f>
        <v>0</v>
      </c>
      <c r="F98" s="104"/>
      <c r="G98" s="112">
        <f t="shared" si="0"/>
        <v>0</v>
      </c>
      <c r="H98" s="104"/>
      <c r="I98" s="104"/>
      <c r="J98" s="104"/>
    </row>
    <row r="99" spans="1:10" s="144" customFormat="1" ht="13.8">
      <c r="A99" s="119" t="str">
        <f>chitiet!B1980</f>
        <v>B16300</v>
      </c>
      <c r="B99" s="113"/>
      <c r="C99" s="114" t="str">
        <f>chitiet!F1980</f>
        <v>Boulon 16x300+ 2 long đền vuông D18-50x50x3/Zn</v>
      </c>
      <c r="D99" s="97" t="str">
        <f>chitiet!G1980</f>
        <v>bộ</v>
      </c>
      <c r="E99" s="114">
        <f>chitiet!D1980</f>
        <v>0</v>
      </c>
      <c r="F99" s="142"/>
      <c r="G99" s="112">
        <f t="shared" si="0"/>
        <v>0</v>
      </c>
      <c r="H99" s="142"/>
      <c r="I99" s="142"/>
      <c r="J99" s="142"/>
    </row>
    <row r="100" spans="1:10" ht="13.8">
      <c r="A100" s="119" t="str">
        <f>chitiet!B1981</f>
        <v>SĐG</v>
      </c>
      <c r="B100" s="804">
        <f>IF(E100=0,,COUNTIF($B$78:$B99,"&gt;0")+1)</f>
        <v>0</v>
      </c>
      <c r="C100" s="127" t="str">
        <f>chitiet!F1981</f>
        <v>Bộ cách điện đỉnh góc + ty sứ đơn : SĐG</v>
      </c>
      <c r="D100" s="128" t="str">
        <f>chitiet!G1981</f>
        <v>bộ</v>
      </c>
      <c r="E100" s="127">
        <f>chitiet!D1981</f>
        <v>0</v>
      </c>
      <c r="F100" s="104"/>
      <c r="G100" s="112">
        <f t="shared" ref="G100:G150" si="3">IF(E100&lt;&gt;0,1,0)</f>
        <v>0</v>
      </c>
      <c r="H100" s="104"/>
      <c r="I100" s="104"/>
      <c r="J100" s="104"/>
    </row>
    <row r="101" spans="1:10" ht="13.8">
      <c r="A101" s="119" t="str">
        <f>chitiet!B1982</f>
        <v>SD</v>
      </c>
      <c r="B101" s="113"/>
      <c r="C101" s="114" t="str">
        <f>chitiet!F1982</f>
        <v xml:space="preserve">Sứ đứng 24KV </v>
      </c>
      <c r="D101" s="97" t="str">
        <f>chitiet!G1982</f>
        <v>cái</v>
      </c>
      <c r="E101" s="114">
        <f>chitiet!D1982</f>
        <v>0</v>
      </c>
      <c r="F101" s="104"/>
      <c r="G101" s="112">
        <f t="shared" si="3"/>
        <v>0</v>
      </c>
      <c r="H101" s="104"/>
      <c r="I101" s="104"/>
      <c r="J101" s="104"/>
    </row>
    <row r="102" spans="1:10" ht="13.8">
      <c r="A102" s="119" t="str">
        <f>chitiet!B1983</f>
        <v>CSDG</v>
      </c>
      <c r="B102" s="113"/>
      <c r="C102" s="114" t="str">
        <f>chitiet!F1983</f>
        <v>Chân sứ đỉnh đỡ góc dài 870mm</v>
      </c>
      <c r="D102" s="97" t="str">
        <f>chitiet!G1983</f>
        <v>cái</v>
      </c>
      <c r="E102" s="114">
        <f>chitiet!D1983</f>
        <v>0</v>
      </c>
      <c r="F102" s="104"/>
      <c r="G102" s="112">
        <f t="shared" si="3"/>
        <v>0</v>
      </c>
      <c r="H102" s="104"/>
      <c r="I102" s="104"/>
      <c r="J102" s="104"/>
    </row>
    <row r="103" spans="1:10" s="144" customFormat="1" ht="13.8">
      <c r="A103" s="119" t="str">
        <f>chitiet!B1984</f>
        <v>B16300</v>
      </c>
      <c r="B103" s="113"/>
      <c r="C103" s="114" t="str">
        <f>chitiet!F1984</f>
        <v>Boulon 16x300+ 2 long đền vuông D18-50x50x3/Zn</v>
      </c>
      <c r="D103" s="97" t="str">
        <f>chitiet!G1984</f>
        <v>bộ</v>
      </c>
      <c r="E103" s="114">
        <f>chitiet!D1984</f>
        <v>0</v>
      </c>
      <c r="F103" s="142"/>
      <c r="G103" s="112">
        <f t="shared" si="3"/>
        <v>0</v>
      </c>
      <c r="H103" s="142"/>
      <c r="I103" s="142"/>
      <c r="J103" s="142"/>
    </row>
    <row r="104" spans="1:10" s="1" customFormat="1" ht="13.8" hidden="1">
      <c r="A104" s="9" t="str">
        <f>chitiet!B1985</f>
        <v>CĐT 2BAT-T</v>
      </c>
      <c r="B104" s="42">
        <f>IF(E104=0,,COUNTIF($B$78:$B103,"&gt;0")+1)</f>
        <v>0</v>
      </c>
      <c r="C104" s="33" t="str">
        <f>chitiet!F1985</f>
        <v>Chuỗi sứ treo 2bát 25kV lắp vào trụ : CĐT 2BAT-T</v>
      </c>
      <c r="D104" s="34" t="str">
        <f>chitiet!G1985</f>
        <v>chuỗi</v>
      </c>
      <c r="E104" s="33">
        <f>chitiet!D1985</f>
        <v>0</v>
      </c>
      <c r="F104" s="4"/>
      <c r="G104" s="7">
        <f t="shared" si="3"/>
        <v>0</v>
      </c>
      <c r="H104" s="4"/>
      <c r="I104" s="4"/>
      <c r="J104" s="4"/>
    </row>
    <row r="105" spans="1:10" s="1" customFormat="1" ht="13.8" hidden="1">
      <c r="A105" s="9" t="str">
        <f>chitiet!B1986</f>
        <v>St</v>
      </c>
      <c r="B105" s="18"/>
      <c r="C105" s="16" t="str">
        <f>chitiet!F1986</f>
        <v>Sứ treo loại 70kN</v>
      </c>
      <c r="D105" s="19" t="str">
        <f>chitiet!G1986</f>
        <v>bát</v>
      </c>
      <c r="E105" s="16">
        <f>chitiet!D1986</f>
        <v>0</v>
      </c>
      <c r="F105" s="4"/>
      <c r="G105" s="7">
        <f t="shared" si="3"/>
        <v>0</v>
      </c>
      <c r="H105" s="4"/>
      <c r="I105" s="4"/>
      <c r="J105" s="4"/>
    </row>
    <row r="106" spans="1:10" s="1" customFormat="1" ht="13.8" hidden="1">
      <c r="A106" s="9" t="str">
        <f>chitiet!B1987</f>
        <v>MT</v>
      </c>
      <c r="B106" s="18"/>
      <c r="C106" s="16" t="str">
        <f>chitiet!F1987</f>
        <v xml:space="preserve">Móc treo chữ U </v>
      </c>
      <c r="D106" s="19" t="str">
        <f>chitiet!G1987</f>
        <v>cái</v>
      </c>
      <c r="E106" s="16">
        <f>chitiet!D1987</f>
        <v>0</v>
      </c>
      <c r="F106" s="4"/>
      <c r="G106" s="7">
        <f t="shared" si="3"/>
        <v>0</v>
      </c>
      <c r="H106" s="4"/>
      <c r="I106" s="4"/>
      <c r="J106" s="4"/>
    </row>
    <row r="107" spans="1:10" s="1" customFormat="1" ht="13.8" hidden="1">
      <c r="A107" s="9" t="str">
        <f>chitiet!B1988</f>
        <v>VT</v>
      </c>
      <c r="B107" s="18"/>
      <c r="C107" s="16" t="str">
        <f>chitiet!F1988</f>
        <v>Vòng treo đầu tròn</v>
      </c>
      <c r="D107" s="19" t="str">
        <f>chitiet!G1988</f>
        <v>cái</v>
      </c>
      <c r="E107" s="16">
        <f>chitiet!D1988</f>
        <v>0</v>
      </c>
      <c r="F107" s="4"/>
      <c r="G107" s="7">
        <f t="shared" si="3"/>
        <v>0</v>
      </c>
      <c r="H107" s="4"/>
      <c r="I107" s="4"/>
      <c r="J107" s="4"/>
    </row>
    <row r="108" spans="1:10" s="1" customFormat="1" ht="13.8" hidden="1">
      <c r="A108" s="9" t="str">
        <f>chitiet!B1989</f>
        <v>MND</v>
      </c>
      <c r="B108" s="18"/>
      <c r="C108" s="16" t="str">
        <f>chitiet!F1989</f>
        <v>Mắt nối đơn</v>
      </c>
      <c r="D108" s="19" t="str">
        <f>chitiet!G1989</f>
        <v>cái</v>
      </c>
      <c r="E108" s="16">
        <f>chitiet!D1989</f>
        <v>0</v>
      </c>
      <c r="F108" s="4"/>
      <c r="G108" s="7">
        <f t="shared" si="3"/>
        <v>0</v>
      </c>
      <c r="H108" s="4"/>
      <c r="I108" s="4"/>
      <c r="J108" s="4"/>
    </row>
    <row r="109" spans="1:10" s="1" customFormat="1" ht="13.8" hidden="1">
      <c r="A109" s="9" t="str">
        <f>chitiet!B1990</f>
        <v>Bm16300</v>
      </c>
      <c r="B109" s="18"/>
      <c r="C109" s="16" t="str">
        <f>chitiet!F1990</f>
        <v>Boulon mắt 16x300+ 2 long đền vuông D18-50x50x3/Zn</v>
      </c>
      <c r="D109" s="19" t="str">
        <f>chitiet!G1990</f>
        <v>bộ</v>
      </c>
      <c r="E109" s="16">
        <f>chitiet!D1990</f>
        <v>0</v>
      </c>
      <c r="F109" s="4"/>
      <c r="G109" s="7">
        <f t="shared" si="3"/>
        <v>0</v>
      </c>
      <c r="H109" s="4"/>
      <c r="I109" s="4"/>
      <c r="J109" s="4"/>
    </row>
    <row r="110" spans="1:10" ht="13.8">
      <c r="A110" s="119" t="str">
        <f>chitiet!B1991</f>
        <v>CĐTply-X</v>
      </c>
      <c r="B110" s="804">
        <f>IF(E110=0,,COUNTIF($B$78:$B109,"&gt;0")+1)</f>
        <v>0</v>
      </c>
      <c r="C110" s="127" t="str">
        <f>chitiet!F1991</f>
        <v>Chuỗi sứ treo Polymer 25kV lắp vào xà : CĐT ply-X</v>
      </c>
      <c r="D110" s="128" t="str">
        <f>chitiet!G1991</f>
        <v>chuỗi</v>
      </c>
      <c r="E110" s="127">
        <f>chitiet!D1991</f>
        <v>0</v>
      </c>
      <c r="F110" s="104"/>
      <c r="G110" s="112">
        <f t="shared" si="3"/>
        <v>0</v>
      </c>
      <c r="H110" s="104"/>
      <c r="I110" s="104"/>
      <c r="J110" s="104"/>
    </row>
    <row r="111" spans="1:10" ht="13.8">
      <c r="A111" s="119" t="str">
        <f>chitiet!B1992</f>
        <v>Stply</v>
      </c>
      <c r="B111" s="113"/>
      <c r="C111" s="114" t="str">
        <f>chitiet!F1992</f>
        <v>Sứ treo polymer</v>
      </c>
      <c r="D111" s="97" t="str">
        <f>chitiet!G1992</f>
        <v>chuỗi</v>
      </c>
      <c r="E111" s="114">
        <f>chitiet!D1992</f>
        <v>0</v>
      </c>
      <c r="F111" s="104"/>
      <c r="G111" s="112">
        <f t="shared" si="3"/>
        <v>0</v>
      </c>
      <c r="H111" s="104"/>
      <c r="I111" s="104"/>
      <c r="J111" s="104"/>
    </row>
    <row r="112" spans="1:10" ht="13.8">
      <c r="A112" s="119" t="str">
        <f>chitiet!B1993</f>
        <v>MT</v>
      </c>
      <c r="B112" s="113"/>
      <c r="C112" s="114" t="str">
        <f>chitiet!F1993</f>
        <v xml:space="preserve">Móc treo chữ U </v>
      </c>
      <c r="D112" s="97" t="str">
        <f>chitiet!G1993</f>
        <v>cái</v>
      </c>
      <c r="E112" s="114">
        <f>chitiet!D1993</f>
        <v>0</v>
      </c>
      <c r="F112" s="104"/>
      <c r="G112" s="112">
        <f t="shared" si="3"/>
        <v>0</v>
      </c>
      <c r="H112" s="104"/>
      <c r="I112" s="104"/>
      <c r="J112" s="104"/>
    </row>
    <row r="113" spans="1:10" ht="13.8">
      <c r="A113" s="119" t="str">
        <f>chitiet!B1994</f>
        <v>kn185</v>
      </c>
      <c r="B113" s="113"/>
      <c r="C113" s="114" t="str">
        <f>chitiet!F1994</f>
        <v>Khóa néo dây cỡ dây 185</v>
      </c>
      <c r="D113" s="97" t="str">
        <f>chitiet!G1994</f>
        <v>cái</v>
      </c>
      <c r="E113" s="114">
        <f>chitiet!D1994</f>
        <v>0</v>
      </c>
      <c r="F113" s="104"/>
      <c r="G113" s="112">
        <f t="shared" si="3"/>
        <v>0</v>
      </c>
      <c r="H113" s="104"/>
      <c r="I113" s="104"/>
      <c r="J113" s="104"/>
    </row>
    <row r="114" spans="1:10" ht="13.8">
      <c r="A114" s="119" t="str">
        <f>chitiet!B1995</f>
        <v>CĐTply-T</v>
      </c>
      <c r="B114" s="804">
        <f>IF(E114=0,,COUNTIF($B$78:$B113,"&gt;0")+1)</f>
        <v>0</v>
      </c>
      <c r="C114" s="127" t="str">
        <f>chitiet!F1995</f>
        <v>Chuỗi sứ treo Polymer 25kV lắp vào trụ : CĐT ply-T</v>
      </c>
      <c r="D114" s="128" t="str">
        <f>chitiet!G1995</f>
        <v>chuỗi</v>
      </c>
      <c r="E114" s="127">
        <f>chitiet!D1995</f>
        <v>0</v>
      </c>
      <c r="F114" s="104"/>
      <c r="G114" s="112">
        <f t="shared" si="3"/>
        <v>0</v>
      </c>
      <c r="H114" s="104"/>
      <c r="I114" s="104"/>
      <c r="J114" s="104"/>
    </row>
    <row r="115" spans="1:10" ht="13.8">
      <c r="A115" s="119" t="str">
        <f>chitiet!B1996</f>
        <v>Stply</v>
      </c>
      <c r="B115" s="113"/>
      <c r="C115" s="114" t="str">
        <f>chitiet!F1996</f>
        <v>Sứ treo polymer</v>
      </c>
      <c r="D115" s="97" t="str">
        <f>chitiet!G1996</f>
        <v>chuỗi</v>
      </c>
      <c r="E115" s="114">
        <f>chitiet!D1996</f>
        <v>0</v>
      </c>
      <c r="F115" s="104"/>
      <c r="G115" s="112">
        <f t="shared" si="3"/>
        <v>0</v>
      </c>
      <c r="H115" s="104"/>
      <c r="I115" s="104"/>
      <c r="J115" s="104"/>
    </row>
    <row r="116" spans="1:10" ht="13.8">
      <c r="A116" s="119" t="str">
        <f>chitiet!B1997</f>
        <v>KN50</v>
      </c>
      <c r="B116" s="113"/>
      <c r="C116" s="114" t="str">
        <f>chitiet!F1997</f>
        <v>Khóa néo dây cỡ dây 50</v>
      </c>
      <c r="D116" s="97" t="str">
        <f>chitiet!G1997</f>
        <v>chuỗi</v>
      </c>
      <c r="E116" s="114">
        <f>chitiet!D1997</f>
        <v>0</v>
      </c>
      <c r="F116" s="104"/>
      <c r="G116" s="112">
        <f t="shared" si="3"/>
        <v>0</v>
      </c>
      <c r="H116" s="104"/>
      <c r="I116" s="104"/>
      <c r="J116" s="104"/>
    </row>
    <row r="117" spans="1:10" ht="13.8">
      <c r="A117" s="119" t="str">
        <f>chitiet!B1998</f>
        <v>MT</v>
      </c>
      <c r="B117" s="113"/>
      <c r="C117" s="114" t="str">
        <f>chitiet!F1998</f>
        <v xml:space="preserve">Móc treo chữ U </v>
      </c>
      <c r="D117" s="97" t="str">
        <f>chitiet!G1998</f>
        <v>cái</v>
      </c>
      <c r="E117" s="114">
        <f>chitiet!D1998</f>
        <v>0</v>
      </c>
      <c r="F117" s="104"/>
      <c r="G117" s="112">
        <f t="shared" si="3"/>
        <v>0</v>
      </c>
      <c r="H117" s="104"/>
      <c r="I117" s="104"/>
      <c r="J117" s="104"/>
    </row>
    <row r="118" spans="1:10" s="1" customFormat="1" ht="13.8" hidden="1">
      <c r="A118" s="9" t="str">
        <f>chitiet!B1999</f>
        <v>KDPLY</v>
      </c>
      <c r="B118" s="18"/>
      <c r="C118" s="16" t="str">
        <f>chitiet!F1999</f>
        <v>Khánh bắt sứ kép polymer</v>
      </c>
      <c r="D118" s="19" t="str">
        <f>chitiet!G1999</f>
        <v>cái</v>
      </c>
      <c r="E118" s="16">
        <f>chitiet!D1999</f>
        <v>0</v>
      </c>
      <c r="F118" s="4"/>
      <c r="G118" s="7">
        <f>IF(E118&lt;&gt;0,1,0)</f>
        <v>0</v>
      </c>
      <c r="H118" s="4"/>
      <c r="I118" s="4"/>
      <c r="J118" s="4"/>
    </row>
    <row r="119" spans="1:10" ht="13.8">
      <c r="A119" s="119" t="str">
        <f>chitiet!B2000</f>
        <v>Bm16300</v>
      </c>
      <c r="B119" s="113"/>
      <c r="C119" s="114" t="str">
        <f>chitiet!F2000</f>
        <v>Boulon mắt 16x300+ 2 long đền vuông D18-50x50x3/Zn</v>
      </c>
      <c r="D119" s="97" t="str">
        <f>chitiet!G2000</f>
        <v>bộ</v>
      </c>
      <c r="E119" s="114">
        <f>chitiet!D2000</f>
        <v>0</v>
      </c>
      <c r="F119" s="104"/>
      <c r="G119" s="112">
        <f t="shared" si="3"/>
        <v>0</v>
      </c>
      <c r="H119" s="104"/>
      <c r="I119" s="104"/>
      <c r="J119" s="104"/>
    </row>
    <row r="120" spans="1:10" s="1" customFormat="1" ht="13.8" hidden="1">
      <c r="A120" s="9" t="str">
        <f>chitiet!B2001</f>
        <v>CĐT 2BAT-X</v>
      </c>
      <c r="B120" s="42">
        <f>IF(E120=0,,COUNTIF($B$78:$B119,"&gt;0")+1)</f>
        <v>0</v>
      </c>
      <c r="C120" s="33" t="str">
        <f>chitiet!F2001</f>
        <v>Chuỗi sứ đỡ 2bát 25kV lắp vào xà : CĐT 2BAT-X</v>
      </c>
      <c r="D120" s="34" t="str">
        <f>chitiet!G2001</f>
        <v>chuỗi</v>
      </c>
      <c r="E120" s="33">
        <f>chitiet!D2001</f>
        <v>0</v>
      </c>
      <c r="F120" s="4"/>
      <c r="G120" s="7">
        <f t="shared" si="3"/>
        <v>0</v>
      </c>
      <c r="H120" s="4"/>
      <c r="I120" s="4"/>
      <c r="J120" s="4"/>
    </row>
    <row r="121" spans="1:10" s="1" customFormat="1" ht="13.8" hidden="1">
      <c r="A121" s="9" t="str">
        <f>chitiet!B2002</f>
        <v>ST</v>
      </c>
      <c r="B121" s="18"/>
      <c r="C121" s="16" t="str">
        <f>chitiet!F2002</f>
        <v>Sứ treo loại 70kN</v>
      </c>
      <c r="D121" s="19" t="str">
        <f>chitiet!G2002</f>
        <v>bát</v>
      </c>
      <c r="E121" s="16">
        <f>chitiet!D2002</f>
        <v>0</v>
      </c>
      <c r="F121" s="4"/>
      <c r="G121" s="7">
        <f t="shared" si="3"/>
        <v>0</v>
      </c>
      <c r="H121" s="4"/>
      <c r="I121" s="4"/>
      <c r="J121" s="4"/>
    </row>
    <row r="122" spans="1:10" s="1" customFormat="1" ht="13.8" hidden="1">
      <c r="A122" s="9" t="str">
        <f>chitiet!B2003</f>
        <v>MT</v>
      </c>
      <c r="B122" s="18"/>
      <c r="C122" s="16" t="str">
        <f>chitiet!F2003</f>
        <v xml:space="preserve">Móc treo chữ U </v>
      </c>
      <c r="D122" s="19" t="str">
        <f>chitiet!G2003</f>
        <v>cái</v>
      </c>
      <c r="E122" s="16">
        <f>chitiet!D2003</f>
        <v>0</v>
      </c>
      <c r="F122" s="4"/>
      <c r="G122" s="7">
        <f t="shared" si="3"/>
        <v>0</v>
      </c>
      <c r="H122" s="4"/>
      <c r="I122" s="4"/>
      <c r="J122" s="4"/>
    </row>
    <row r="123" spans="1:10" s="1" customFormat="1" ht="13.8" hidden="1">
      <c r="A123" s="9" t="str">
        <f>chitiet!B2004</f>
        <v>VT</v>
      </c>
      <c r="B123" s="18"/>
      <c r="C123" s="16" t="str">
        <f>chitiet!F2004</f>
        <v>Vòng treo đầu tròn</v>
      </c>
      <c r="D123" s="19" t="str">
        <f>chitiet!G2004</f>
        <v>cái</v>
      </c>
      <c r="E123" s="16">
        <f>chitiet!D2004</f>
        <v>0</v>
      </c>
      <c r="F123" s="4"/>
      <c r="G123" s="7">
        <f t="shared" si="3"/>
        <v>0</v>
      </c>
      <c r="H123" s="4"/>
      <c r="I123" s="4"/>
      <c r="J123" s="4"/>
    </row>
    <row r="124" spans="1:10" s="1" customFormat="1" ht="13.8" hidden="1">
      <c r="A124" s="9" t="str">
        <f>chitiet!B2005</f>
        <v>MND</v>
      </c>
      <c r="B124" s="18"/>
      <c r="C124" s="16" t="str">
        <f>chitiet!F2005</f>
        <v>Mắt nối đơn</v>
      </c>
      <c r="D124" s="19" t="str">
        <f>chitiet!G2005</f>
        <v>cái</v>
      </c>
      <c r="E124" s="16">
        <f>chitiet!D2005</f>
        <v>0</v>
      </c>
      <c r="F124" s="4"/>
      <c r="G124" s="7">
        <f t="shared" si="3"/>
        <v>0</v>
      </c>
      <c r="H124" s="4"/>
      <c r="I124" s="4"/>
      <c r="J124" s="4"/>
    </row>
    <row r="125" spans="1:10" ht="13.8">
      <c r="A125" s="119">
        <f>chitiet!B2006</f>
        <v>0</v>
      </c>
      <c r="B125" s="141">
        <f>IF(E125=0,,COUNTIF($B$78:$B124,"&gt;0")+1)</f>
        <v>1</v>
      </c>
      <c r="C125" s="127" t="str">
        <f>chitiet!F2006</f>
        <v>Phụ kiện đấu nối đầu đường dây</v>
      </c>
      <c r="D125" s="128">
        <f>chitiet!G2006</f>
        <v>0</v>
      </c>
      <c r="E125" s="114">
        <v>1</v>
      </c>
      <c r="F125" s="104"/>
      <c r="G125" s="112">
        <v>1</v>
      </c>
      <c r="H125" s="104"/>
      <c r="I125" s="104"/>
      <c r="J125" s="104"/>
    </row>
    <row r="126" spans="1:10" s="1" customFormat="1" ht="13.8" hidden="1">
      <c r="A126" s="9" t="str">
        <f>chitiet!B2007</f>
        <v>KD50</v>
      </c>
      <c r="B126" s="28">
        <f>IF(E126=0,,COUNTIF($B$78:$B125,"&gt;0")+1)</f>
        <v>0</v>
      </c>
      <c r="C126" s="16" t="str">
        <f>chitiet!F2007</f>
        <v>Khóa đỡ dây cỡ dây 50</v>
      </c>
      <c r="D126" s="19" t="str">
        <f>chitiet!G2007</f>
        <v>cái</v>
      </c>
      <c r="E126" s="16">
        <f>chitiet!D2007</f>
        <v>0</v>
      </c>
      <c r="F126" s="4"/>
      <c r="G126" s="7">
        <f t="shared" si="3"/>
        <v>0</v>
      </c>
      <c r="H126" s="4"/>
      <c r="I126" s="4"/>
      <c r="J126" s="4"/>
    </row>
    <row r="127" spans="1:10" s="1" customFormat="1" ht="13.8" hidden="1">
      <c r="A127" s="9" t="str">
        <f>chitiet!B2008</f>
        <v>KN50</v>
      </c>
      <c r="B127" s="28">
        <f>IF(E127=0,,COUNTIF($B$78:$B126,"&gt;0")+1)</f>
        <v>0</v>
      </c>
      <c r="C127" s="16" t="str">
        <f>chitiet!F2008</f>
        <v>Khóa néo dây cỡ dây 50</v>
      </c>
      <c r="D127" s="19" t="str">
        <f>chitiet!G2008</f>
        <v>cái</v>
      </c>
      <c r="E127" s="16">
        <f>chitiet!D2008</f>
        <v>0</v>
      </c>
      <c r="F127" s="4"/>
      <c r="G127" s="7">
        <f t="shared" si="3"/>
        <v>0</v>
      </c>
      <c r="H127" s="4"/>
      <c r="I127" s="4"/>
      <c r="J127" s="4"/>
    </row>
    <row r="128" spans="1:10" s="1" customFormat="1" ht="13.8" hidden="1">
      <c r="A128" s="9" t="str">
        <f>chitiet!B2009</f>
        <v>kn70</v>
      </c>
      <c r="B128" s="28">
        <f>IF(E128=0,,COUNTIF($B$78:$B127,"&gt;0")+1)</f>
        <v>0</v>
      </c>
      <c r="C128" s="16" t="str">
        <f>chitiet!F2009</f>
        <v>Khóa néo dây cỡ dây 70</v>
      </c>
      <c r="D128" s="19" t="str">
        <f>chitiet!G2009</f>
        <v>cái</v>
      </c>
      <c r="E128" s="16">
        <f>chitiet!D2009</f>
        <v>0</v>
      </c>
      <c r="F128" s="4"/>
      <c r="G128" s="7">
        <f t="shared" si="3"/>
        <v>0</v>
      </c>
      <c r="H128" s="4"/>
      <c r="I128" s="4"/>
      <c r="J128" s="4"/>
    </row>
    <row r="129" spans="1:10" ht="13.8">
      <c r="A129" s="119" t="str">
        <f>chitiet!B2010</f>
        <v>kE50</v>
      </c>
      <c r="B129" s="141"/>
      <c r="C129" s="114" t="str">
        <f>chitiet!F2010</f>
        <v>Kẹp ép WR cỡ dây 50mm2</v>
      </c>
      <c r="D129" s="97" t="str">
        <f>chitiet!G2010</f>
        <v>cái</v>
      </c>
      <c r="E129" s="114">
        <f>chitiet!D2010</f>
        <v>0</v>
      </c>
      <c r="F129" s="104"/>
      <c r="G129" s="112">
        <f t="shared" si="3"/>
        <v>0</v>
      </c>
      <c r="H129" s="104"/>
      <c r="I129" s="104"/>
      <c r="J129" s="104"/>
    </row>
    <row r="130" spans="1:10" s="1" customFormat="1" ht="13.8" hidden="1">
      <c r="A130" s="9" t="str">
        <f>chitiet!B2011</f>
        <v>ke70</v>
      </c>
      <c r="B130" s="28">
        <f>IF(E130=0,,COUNTIF($B$78:$B129,"&gt;0")+1)</f>
        <v>0</v>
      </c>
      <c r="C130" s="16" t="str">
        <f>chitiet!F2011</f>
        <v>Kẹp ép WR cỡ dây 70mm2</v>
      </c>
      <c r="D130" s="19" t="str">
        <f>chitiet!G2011</f>
        <v>cái</v>
      </c>
      <c r="E130" s="16">
        <f>chitiet!D2011</f>
        <v>0</v>
      </c>
      <c r="F130" s="4"/>
      <c r="G130" s="7">
        <f t="shared" si="3"/>
        <v>0</v>
      </c>
      <c r="H130" s="4"/>
      <c r="I130" s="4"/>
      <c r="J130" s="4"/>
    </row>
    <row r="131" spans="1:10" s="1" customFormat="1" ht="13.8" hidden="1">
      <c r="A131" s="9" t="str">
        <f>chitiet!B2012</f>
        <v>ke95</v>
      </c>
      <c r="B131" s="28">
        <f>IF(E131=0,,COUNTIF($B$78:$B130,"&gt;0")+1)</f>
        <v>0</v>
      </c>
      <c r="C131" s="16" t="str">
        <f>chitiet!F2012</f>
        <v>Kẹp ép WR cỡ dây 95mm2</v>
      </c>
      <c r="D131" s="19" t="str">
        <f>chitiet!G2012</f>
        <v>cái</v>
      </c>
      <c r="E131" s="16">
        <f>chitiet!D2012</f>
        <v>0</v>
      </c>
      <c r="F131" s="4"/>
      <c r="G131" s="7">
        <f t="shared" si="3"/>
        <v>0</v>
      </c>
      <c r="H131" s="4"/>
      <c r="I131" s="4"/>
      <c r="J131" s="4"/>
    </row>
    <row r="132" spans="1:10" s="1" customFormat="1" ht="13.8" hidden="1">
      <c r="A132" s="9" t="str">
        <f>chitiet!B2013</f>
        <v>ke120</v>
      </c>
      <c r="B132" s="28">
        <f>IF(E132=0,,COUNTIF($B$78:$B131,"&gt;0")+1)</f>
        <v>0</v>
      </c>
      <c r="C132" s="16" t="str">
        <f>chitiet!F2013</f>
        <v>Kẹp ép WR cỡ dây 120mm2</v>
      </c>
      <c r="D132" s="19" t="str">
        <f>chitiet!G2013</f>
        <v>cái</v>
      </c>
      <c r="E132" s="16">
        <f>chitiet!D2013</f>
        <v>0</v>
      </c>
      <c r="F132" s="4"/>
      <c r="G132" s="7">
        <f t="shared" si="3"/>
        <v>0</v>
      </c>
      <c r="H132" s="4"/>
      <c r="I132" s="4"/>
      <c r="J132" s="4"/>
    </row>
    <row r="133" spans="1:10" s="1" customFormat="1" ht="13.8" hidden="1">
      <c r="A133" s="9" t="str">
        <f>chitiet!B2014</f>
        <v>ke150</v>
      </c>
      <c r="B133" s="28">
        <f>IF(E133=0,,COUNTIF($B$78:$B132,"&gt;0")+1)</f>
        <v>0</v>
      </c>
      <c r="C133" s="16" t="str">
        <f>chitiet!F2014</f>
        <v>Kẹp ép WR cỡ dây 150mm2</v>
      </c>
      <c r="D133" s="19" t="str">
        <f>chitiet!G2014</f>
        <v>cái</v>
      </c>
      <c r="E133" s="16">
        <f>chitiet!D2014</f>
        <v>0</v>
      </c>
      <c r="F133" s="4"/>
      <c r="G133" s="7">
        <f t="shared" si="3"/>
        <v>0</v>
      </c>
      <c r="H133" s="4"/>
      <c r="I133" s="4"/>
      <c r="J133" s="4"/>
    </row>
    <row r="134" spans="1:10" s="1" customFormat="1" ht="13.8" hidden="1">
      <c r="A134" s="9" t="str">
        <f>chitiet!B2015</f>
        <v>ke185</v>
      </c>
      <c r="B134" s="28">
        <f>IF(E134=0,,COUNTIF($B$78:$B133,"&gt;0")+1)</f>
        <v>0</v>
      </c>
      <c r="C134" s="16" t="str">
        <f>chitiet!F2015</f>
        <v>Kẹp ép WR cỡ dây 185mm2</v>
      </c>
      <c r="D134" s="19" t="str">
        <f>chitiet!G2015</f>
        <v>cái</v>
      </c>
      <c r="E134" s="16">
        <f>chitiet!D2015</f>
        <v>0</v>
      </c>
      <c r="F134" s="4"/>
      <c r="G134" s="7">
        <f t="shared" si="3"/>
        <v>0</v>
      </c>
      <c r="H134" s="4"/>
      <c r="I134" s="4"/>
      <c r="J134" s="4"/>
    </row>
    <row r="135" spans="1:10" s="1" customFormat="1" ht="13.8" hidden="1">
      <c r="A135" s="9" t="str">
        <f>chitiet!B2016</f>
        <v>ke240</v>
      </c>
      <c r="B135" s="28">
        <f>IF(E135=0,,COUNTIF($B$78:$B134,"&gt;0")+1)</f>
        <v>0</v>
      </c>
      <c r="C135" s="16" t="str">
        <f>chitiet!F2016</f>
        <v>Kẹp ép WR cỡ dây 240mm2</v>
      </c>
      <c r="D135" s="19" t="str">
        <f>chitiet!G2016</f>
        <v>cái</v>
      </c>
      <c r="E135" s="16">
        <f>chitiet!D2016</f>
        <v>0</v>
      </c>
      <c r="F135" s="4"/>
      <c r="G135" s="7">
        <f t="shared" si="3"/>
        <v>0</v>
      </c>
      <c r="H135" s="4"/>
      <c r="I135" s="4"/>
      <c r="J135" s="4"/>
    </row>
    <row r="136" spans="1:10" s="1" customFormat="1" ht="13.8" hidden="1">
      <c r="A136" s="9" t="str">
        <f>chitiet!B2017</f>
        <v>cose70</v>
      </c>
      <c r="B136" s="28">
        <f>IF(E136=0,,COUNTIF($B$78:$B135,"&gt;0")+1)</f>
        <v>0</v>
      </c>
      <c r="C136" s="16" t="str">
        <f>chitiet!F2017</f>
        <v>Đầu cosse ép Cu-Al 70mm2</v>
      </c>
      <c r="D136" s="19" t="str">
        <f>chitiet!G2017</f>
        <v>cái</v>
      </c>
      <c r="E136" s="16">
        <f>chitiet!D2017</f>
        <v>0</v>
      </c>
      <c r="F136" s="4"/>
      <c r="G136" s="7">
        <f t="shared" si="3"/>
        <v>0</v>
      </c>
      <c r="H136" s="4"/>
      <c r="I136" s="4"/>
      <c r="J136" s="4"/>
    </row>
    <row r="137" spans="1:10" s="1" customFormat="1" ht="13.8" hidden="1">
      <c r="A137" s="9" t="str">
        <f>chitiet!B2018</f>
        <v>cose95</v>
      </c>
      <c r="B137" s="28">
        <f>IF(E137=0,,COUNTIF($B$78:$B136,"&gt;0")+1)</f>
        <v>0</v>
      </c>
      <c r="C137" s="16" t="str">
        <f>chitiet!F2018</f>
        <v>Đầu cosse ép Cu-Al 95mm2</v>
      </c>
      <c r="D137" s="19" t="str">
        <f>chitiet!G2018</f>
        <v>cái</v>
      </c>
      <c r="E137" s="16">
        <f>chitiet!D2018</f>
        <v>0</v>
      </c>
      <c r="F137" s="4"/>
      <c r="G137" s="7">
        <f t="shared" si="3"/>
        <v>0</v>
      </c>
      <c r="H137" s="4"/>
      <c r="I137" s="4"/>
      <c r="J137" s="4"/>
    </row>
    <row r="138" spans="1:10" s="1" customFormat="1" ht="13.8" hidden="1">
      <c r="A138" s="9" t="str">
        <f>chitiet!B2019</f>
        <v>cose120</v>
      </c>
      <c r="B138" s="28">
        <f>IF(E138=0,,COUNTIF($B$78:$B137,"&gt;0")+1)</f>
        <v>0</v>
      </c>
      <c r="C138" s="16" t="str">
        <f>chitiet!F2019</f>
        <v>Đầu cosse ép Cu-Al 120mm2</v>
      </c>
      <c r="D138" s="19" t="str">
        <f>chitiet!G2019</f>
        <v>cái</v>
      </c>
      <c r="E138" s="16">
        <f>chitiet!D2019</f>
        <v>0</v>
      </c>
      <c r="F138" s="4"/>
      <c r="G138" s="7">
        <f t="shared" si="3"/>
        <v>0</v>
      </c>
      <c r="H138" s="4"/>
      <c r="I138" s="4"/>
      <c r="J138" s="4"/>
    </row>
    <row r="139" spans="1:10" s="1" customFormat="1" ht="13.8" hidden="1">
      <c r="A139" s="9" t="str">
        <f>chitiet!B2020</f>
        <v>cose150</v>
      </c>
      <c r="B139" s="28">
        <f>IF(E139=0,,COUNTIF($B$78:$B138,"&gt;0")+1)</f>
        <v>0</v>
      </c>
      <c r="C139" s="16" t="str">
        <f>chitiet!F2020</f>
        <v>Đầu cosse ép Cu-Al 150mm2</v>
      </c>
      <c r="D139" s="19" t="str">
        <f>chitiet!G2020</f>
        <v>cái</v>
      </c>
      <c r="E139" s="16">
        <f>chitiet!D2020</f>
        <v>0</v>
      </c>
      <c r="F139" s="4"/>
      <c r="G139" s="7">
        <f t="shared" si="3"/>
        <v>0</v>
      </c>
      <c r="H139" s="4"/>
      <c r="I139" s="4"/>
      <c r="J139" s="4"/>
    </row>
    <row r="140" spans="1:10" s="1" customFormat="1" ht="13.8" hidden="1">
      <c r="A140" s="9" t="str">
        <f>chitiet!B2021</f>
        <v>cose185</v>
      </c>
      <c r="B140" s="28">
        <f>IF(E140=0,,COUNTIF($B$78:$B139,"&gt;0")+1)</f>
        <v>0</v>
      </c>
      <c r="C140" s="16" t="str">
        <f>chitiet!F2021</f>
        <v>Đầu cosse ép Cu-Al 185mm2</v>
      </c>
      <c r="D140" s="19" t="str">
        <f>chitiet!G2021</f>
        <v>cái</v>
      </c>
      <c r="E140" s="16">
        <f>chitiet!D2021</f>
        <v>0</v>
      </c>
      <c r="F140" s="4"/>
      <c r="G140" s="7">
        <f t="shared" si="3"/>
        <v>0</v>
      </c>
      <c r="H140" s="4"/>
      <c r="I140" s="4"/>
      <c r="J140" s="4"/>
    </row>
    <row r="141" spans="1:10" s="1" customFormat="1" ht="13.8" hidden="1">
      <c r="A141" s="9" t="str">
        <f>chitiet!B2022</f>
        <v>cose240</v>
      </c>
      <c r="B141" s="28">
        <f>IF(E141=0,,COUNTIF($B$78:$B140,"&gt;0")+1)</f>
        <v>0</v>
      </c>
      <c r="C141" s="16" t="str">
        <f>chitiet!F2022</f>
        <v>Đầu cosse ép Cu-Al 240mm2</v>
      </c>
      <c r="D141" s="19" t="str">
        <f>chitiet!G2022</f>
        <v>cái</v>
      </c>
      <c r="E141" s="16">
        <f>chitiet!D2022</f>
        <v>0</v>
      </c>
      <c r="F141" s="4"/>
      <c r="G141" s="7">
        <f t="shared" si="3"/>
        <v>0</v>
      </c>
      <c r="H141" s="4"/>
      <c r="I141" s="4"/>
      <c r="J141" s="4"/>
    </row>
    <row r="142" spans="1:10" s="1" customFormat="1" ht="13.8" hidden="1">
      <c r="A142" s="9" t="str">
        <f>chitiet!B2023</f>
        <v>B1230</v>
      </c>
      <c r="B142" s="28">
        <f>IF(E142=0,,COUNTIF($B$78:$B141,"&gt;0")+1)</f>
        <v>0</v>
      </c>
      <c r="C142" s="16" t="str">
        <f>chitiet!F2023</f>
        <v>Boulon 12x30+ 2 long đền vuông D14-50x50x3/Zn</v>
      </c>
      <c r="D142" s="19" t="str">
        <f>chitiet!G2023</f>
        <v>bộ</v>
      </c>
      <c r="E142" s="16">
        <f>chitiet!D2023</f>
        <v>0</v>
      </c>
      <c r="F142" s="4"/>
      <c r="G142" s="7">
        <f t="shared" si="3"/>
        <v>0</v>
      </c>
      <c r="H142" s="4"/>
      <c r="I142" s="4"/>
      <c r="J142" s="4"/>
    </row>
    <row r="143" spans="1:10" s="1" customFormat="1" ht="13.8" hidden="1">
      <c r="A143" s="9" t="str">
        <f>chitiet!B2024</f>
        <v>KQ2/0</v>
      </c>
      <c r="B143" s="28">
        <f>IF(E143=0,,COUNTIF($B$78:$B142,"&gt;0")+1)</f>
        <v>0</v>
      </c>
      <c r="C143" s="16" t="str">
        <f>chitiet!F2024</f>
        <v>Kẹp quai 2/0</v>
      </c>
      <c r="D143" s="19" t="str">
        <f>chitiet!G2024</f>
        <v>cái</v>
      </c>
      <c r="E143" s="16">
        <f>chitiet!D2024</f>
        <v>0</v>
      </c>
      <c r="F143" s="4"/>
      <c r="G143" s="7">
        <f t="shared" si="3"/>
        <v>0</v>
      </c>
      <c r="H143" s="4"/>
      <c r="I143" s="4"/>
      <c r="J143" s="4"/>
    </row>
    <row r="144" spans="1:10" s="1" customFormat="1" ht="13.8" hidden="1">
      <c r="A144" s="9" t="str">
        <f>chitiet!B2026</f>
        <v>ccdqu</v>
      </c>
      <c r="B144" s="28">
        <f>IF(E144=0,,COUNTIF($B$78:$B143,"&gt;0")+1)</f>
        <v>0</v>
      </c>
      <c r="C144" s="16" t="str">
        <f>chitiet!F2026</f>
        <v>Chụp cách điện kẹp quai</v>
      </c>
      <c r="D144" s="19" t="str">
        <f>chitiet!G2026</f>
        <v>cái</v>
      </c>
      <c r="E144" s="16">
        <f>chitiet!D2026</f>
        <v>0</v>
      </c>
      <c r="F144" s="4"/>
      <c r="G144" s="7">
        <f t="shared" si="3"/>
        <v>0</v>
      </c>
      <c r="H144" s="4"/>
      <c r="I144" s="4"/>
      <c r="J144" s="4"/>
    </row>
    <row r="145" spans="1:10" ht="13.8">
      <c r="A145" s="119" t="str">
        <f>chitiet!B2027</f>
        <v>XLPE25</v>
      </c>
      <c r="B145" s="141">
        <f>IF(E145=0,,COUNTIF($B$78:$B144,"&gt;0")+1)</f>
        <v>0</v>
      </c>
      <c r="C145" s="114" t="str">
        <f>chitiet!F2027</f>
        <v>Cáp 24KV C/XLPE/PVC 25mm2</v>
      </c>
      <c r="D145" s="97" t="str">
        <f>chitiet!G2027</f>
        <v>mét</v>
      </c>
      <c r="E145" s="114">
        <f>chitiet!D2027</f>
        <v>0</v>
      </c>
      <c r="F145" s="104"/>
      <c r="G145" s="112">
        <f t="shared" si="3"/>
        <v>0</v>
      </c>
      <c r="H145" s="104"/>
      <c r="I145" s="104"/>
      <c r="J145" s="104"/>
    </row>
    <row r="146" spans="1:10" s="1" customFormat="1" ht="13.8" hidden="1">
      <c r="A146" s="9" t="str">
        <f>chitiet!B2028</f>
        <v>c3/8</v>
      </c>
      <c r="B146" s="28">
        <f>IF(E146=0,,COUNTIF($B$78:$B145,"&gt;0")+1)</f>
        <v>0</v>
      </c>
      <c r="C146" s="16" t="str">
        <f>chitiet!F2028</f>
        <v>Cáp thép 3/8"</v>
      </c>
      <c r="D146" s="19" t="str">
        <f>chitiet!G2028</f>
        <v>kg</v>
      </c>
      <c r="E146" s="16">
        <f>chitiet!D2028</f>
        <v>0</v>
      </c>
      <c r="F146" s="4"/>
      <c r="G146" s="7">
        <f t="shared" si="3"/>
        <v>0</v>
      </c>
      <c r="H146" s="4"/>
      <c r="I146" s="4"/>
      <c r="J146" s="4"/>
    </row>
    <row r="147" spans="1:10" ht="13.8">
      <c r="A147" s="119" t="str">
        <f>chitiet!B2030</f>
        <v>ON50</v>
      </c>
      <c r="B147" s="141"/>
      <c r="C147" s="114" t="str">
        <f>chitiet!F2030</f>
        <v>Ống nối dây cỡ 50mm2</v>
      </c>
      <c r="D147" s="97" t="str">
        <f>chitiet!G2030</f>
        <v>cái</v>
      </c>
      <c r="E147" s="114">
        <f>chitiet!D2030</f>
        <v>0</v>
      </c>
      <c r="F147" s="104"/>
      <c r="G147" s="112">
        <f t="shared" si="3"/>
        <v>0</v>
      </c>
      <c r="H147" s="104"/>
      <c r="I147" s="104"/>
      <c r="J147" s="104"/>
    </row>
    <row r="148" spans="1:10" ht="13.8">
      <c r="A148" s="119" t="str">
        <f>chitiet!B2031</f>
        <v>ON70</v>
      </c>
      <c r="B148" s="141"/>
      <c r="C148" s="114" t="str">
        <f>chitiet!F2031</f>
        <v>Ống nối dây cỡ 70mm2</v>
      </c>
      <c r="D148" s="97" t="str">
        <f>chitiet!G2031</f>
        <v>cái</v>
      </c>
      <c r="E148" s="114">
        <f>chitiet!D2031</f>
        <v>0</v>
      </c>
      <c r="F148" s="104"/>
      <c r="G148" s="112">
        <f t="shared" si="3"/>
        <v>0</v>
      </c>
      <c r="H148" s="104"/>
      <c r="I148" s="104"/>
      <c r="J148" s="104"/>
    </row>
    <row r="149" spans="1:10" ht="13.8">
      <c r="A149" s="119" t="str">
        <f>chitiet!B2032</f>
        <v>DAYA</v>
      </c>
      <c r="B149" s="141"/>
      <c r="C149" s="114" t="str">
        <f>chitiet!F2032</f>
        <v xml:space="preserve">Dây nhôm buộc </v>
      </c>
      <c r="D149" s="97" t="str">
        <f>chitiet!G2032</f>
        <v>kg</v>
      </c>
      <c r="E149" s="805">
        <f>chitiet!D2032</f>
        <v>0</v>
      </c>
      <c r="F149" s="104"/>
      <c r="G149" s="112">
        <f t="shared" si="3"/>
        <v>0</v>
      </c>
      <c r="H149" s="104"/>
      <c r="I149" s="104"/>
      <c r="J149" s="104"/>
    </row>
    <row r="150" spans="1:10" s="1" customFormat="1" ht="13.8" hidden="1">
      <c r="A150" s="9" t="str">
        <f>chitiet!B2035</f>
        <v>bnh</v>
      </c>
      <c r="B150" s="28">
        <f>IF(E150=0,,COUNTIF($B$78:$B149,"&gt;0")+1)</f>
        <v>0</v>
      </c>
      <c r="C150" s="16" t="str">
        <f>chitiet!F2035</f>
        <v>Biển số - Bảng nguy hiểm</v>
      </c>
      <c r="D150" s="19" t="str">
        <f>chitiet!G2035</f>
        <v>cái</v>
      </c>
      <c r="E150" s="16">
        <f>chitiet!D2035</f>
        <v>0</v>
      </c>
      <c r="F150" s="4"/>
      <c r="G150" s="7">
        <f t="shared" si="3"/>
        <v>0</v>
      </c>
      <c r="H150" s="4"/>
      <c r="I150" s="4"/>
      <c r="J150" s="4"/>
    </row>
    <row r="151" spans="1:10" ht="13.8">
      <c r="A151" s="806" t="s">
        <v>1903</v>
      </c>
      <c r="B151" s="117" t="s">
        <v>1904</v>
      </c>
      <c r="C151" s="96" t="s">
        <v>2308</v>
      </c>
      <c r="D151" s="97" t="s">
        <v>2307</v>
      </c>
      <c r="E151" s="118"/>
      <c r="F151" s="104"/>
      <c r="G151" s="112">
        <v>1</v>
      </c>
      <c r="H151" s="104"/>
      <c r="I151" s="104"/>
      <c r="J151" s="104"/>
    </row>
    <row r="152" spans="1:10" ht="13.8">
      <c r="A152" s="807" t="str">
        <f>chitiet!B2315</f>
        <v>FCO100-22</v>
      </c>
      <c r="B152" s="113">
        <v>1</v>
      </c>
      <c r="C152" s="114" t="str">
        <f>chitiet!F2315</f>
        <v>FCO 27kV - 100A</v>
      </c>
      <c r="D152" s="97" t="str">
        <f>chitiet!G2315</f>
        <v>cái</v>
      </c>
      <c r="E152" s="808">
        <f>chitiet!D2315</f>
        <v>0</v>
      </c>
      <c r="F152" s="104"/>
      <c r="G152" s="112">
        <f>IF(E152&lt;&gt;0,1,0)</f>
        <v>0</v>
      </c>
      <c r="H152" s="104"/>
      <c r="I152" s="104"/>
      <c r="J152" s="104"/>
    </row>
    <row r="153" spans="1:10" ht="13.8">
      <c r="A153" s="807" t="str">
        <f>chitiet!B2317</f>
        <v>chi8K</v>
      </c>
      <c r="B153" s="113">
        <v>2</v>
      </c>
      <c r="C153" s="114" t="str">
        <f>chitiet!F2317</f>
        <v>Dây chảy 8K</v>
      </c>
      <c r="D153" s="97" t="str">
        <f>chitiet!G2317</f>
        <v>Sợi</v>
      </c>
      <c r="E153" s="808">
        <f>chitiet!D2317</f>
        <v>0</v>
      </c>
      <c r="F153" s="104"/>
      <c r="G153" s="112">
        <f>IF(E153&lt;&gt;0,1,0)</f>
        <v>0</v>
      </c>
      <c r="H153" s="104"/>
      <c r="I153" s="104"/>
      <c r="J153" s="104"/>
    </row>
    <row r="154" spans="1:10" ht="13.8">
      <c r="A154" s="807" t="str">
        <f>chitiet!B2319</f>
        <v>chi12K</v>
      </c>
      <c r="B154" s="113">
        <v>3</v>
      </c>
      <c r="C154" s="114" t="str">
        <f>chitiet!F2319</f>
        <v>Dây chảy 12K</v>
      </c>
      <c r="D154" s="97" t="str">
        <f>chitiet!G2319</f>
        <v>Sợi</v>
      </c>
      <c r="E154" s="808">
        <f>chitiet!D2319</f>
        <v>0</v>
      </c>
      <c r="F154" s="104"/>
      <c r="G154" s="112">
        <f>IF(E154&lt;&gt;0,1,0)</f>
        <v>0</v>
      </c>
      <c r="H154" s="104"/>
      <c r="I154" s="104"/>
      <c r="J154" s="104"/>
    </row>
    <row r="155" spans="1:10" ht="13.8">
      <c r="A155" s="108"/>
      <c r="B155" s="146" t="s">
        <v>890</v>
      </c>
      <c r="C155" s="147"/>
      <c r="D155" s="147"/>
      <c r="E155" s="147"/>
      <c r="F155" s="104"/>
      <c r="G155" s="112">
        <v>1</v>
      </c>
      <c r="H155" s="104"/>
      <c r="I155" s="104"/>
      <c r="J155" s="104"/>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4"/>
      <c r="B162" s="104"/>
      <c r="C162" s="104"/>
      <c r="D162" s="104"/>
      <c r="E162" s="104"/>
      <c r="F162" s="104"/>
      <c r="G162" s="107"/>
      <c r="H162" s="104"/>
      <c r="I162" s="104"/>
      <c r="J162" s="104"/>
    </row>
    <row r="163" spans="1:10" ht="13.8">
      <c r="A163" s="104"/>
      <c r="B163" s="104"/>
      <c r="C163" s="104"/>
      <c r="D163" s="104"/>
      <c r="E163" s="104"/>
      <c r="F163" s="104"/>
      <c r="G163" s="107"/>
      <c r="H163" s="104"/>
      <c r="I163" s="104"/>
      <c r="J163" s="104"/>
    </row>
    <row r="164" spans="1:10" ht="13.8">
      <c r="A164" s="104"/>
      <c r="B164" s="104"/>
      <c r="C164" s="104"/>
      <c r="D164" s="104"/>
      <c r="E164" s="104"/>
      <c r="F164" s="104"/>
      <c r="G164" s="107"/>
      <c r="H164" s="104"/>
      <c r="I164" s="104"/>
      <c r="J164" s="104"/>
    </row>
    <row r="165" spans="1:10" ht="13.8">
      <c r="A165" s="104"/>
      <c r="B165" s="104"/>
      <c r="C165" s="104"/>
      <c r="D165" s="104"/>
      <c r="E165" s="104"/>
      <c r="F165" s="104"/>
      <c r="G165" s="107"/>
      <c r="H165" s="104"/>
      <c r="I165" s="104"/>
      <c r="J165" s="104"/>
    </row>
    <row r="166" spans="1:10" ht="13.8">
      <c r="A166" s="104"/>
      <c r="B166" s="104"/>
      <c r="C166" s="104"/>
      <c r="D166" s="104"/>
      <c r="E166" s="104"/>
      <c r="F166" s="104"/>
      <c r="G166" s="107"/>
      <c r="H166" s="104"/>
      <c r="I166" s="104"/>
      <c r="J166" s="104"/>
    </row>
    <row r="167" spans="1:10" ht="13.8">
      <c r="A167" s="104"/>
      <c r="B167" s="104"/>
      <c r="C167" s="104"/>
      <c r="D167" s="104"/>
      <c r="E167" s="104"/>
      <c r="F167" s="104"/>
      <c r="G167" s="107"/>
      <c r="H167" s="104"/>
      <c r="I167" s="104"/>
      <c r="J167" s="104"/>
    </row>
    <row r="168" spans="1:10" ht="13.8">
      <c r="A168" s="104"/>
      <c r="B168" s="104"/>
      <c r="C168" s="104"/>
      <c r="D168" s="104"/>
      <c r="E168" s="104"/>
      <c r="F168" s="104"/>
      <c r="G168" s="107"/>
      <c r="H168" s="104"/>
      <c r="I168" s="104"/>
      <c r="J168" s="104"/>
    </row>
    <row r="169" spans="1:10" ht="13.8">
      <c r="A169" s="104"/>
      <c r="B169" s="104"/>
      <c r="C169" s="104"/>
      <c r="D169" s="104"/>
      <c r="E169" s="104"/>
      <c r="F169" s="104"/>
      <c r="G169" s="107"/>
      <c r="H169" s="104"/>
      <c r="I169" s="104"/>
      <c r="J169" s="104"/>
    </row>
    <row r="170" spans="1:10" ht="13.8">
      <c r="A170" s="104"/>
      <c r="B170" s="104"/>
      <c r="C170" s="104"/>
      <c r="D170" s="104"/>
      <c r="E170" s="104"/>
      <c r="F170" s="104"/>
      <c r="G170" s="107"/>
      <c r="H170" s="104"/>
      <c r="I170" s="104"/>
      <c r="J170" s="104"/>
    </row>
    <row r="183" spans="3:4">
      <c r="C183" s="134"/>
      <c r="D183" s="134"/>
    </row>
    <row r="184" spans="3:4">
      <c r="C184" s="134"/>
      <c r="D184" s="134"/>
    </row>
    <row r="185" spans="3:4">
      <c r="C185" s="134"/>
      <c r="D185" s="134"/>
    </row>
    <row r="186" spans="3:4">
      <c r="C186" s="134"/>
      <c r="D186" s="134"/>
    </row>
    <row r="187" spans="3:4">
      <c r="C187" s="134"/>
      <c r="D187" s="134"/>
    </row>
    <row r="188" spans="3:4">
      <c r="C188" s="134"/>
      <c r="D188" s="134"/>
    </row>
    <row r="189" spans="3:4">
      <c r="C189" s="134"/>
      <c r="D189" s="134"/>
    </row>
    <row r="190" spans="3:4">
      <c r="C190" s="134"/>
      <c r="D190" s="134"/>
    </row>
    <row r="191" spans="3:4">
      <c r="C191" s="134"/>
      <c r="D191" s="134"/>
    </row>
    <row r="192" spans="3:4">
      <c r="C192" s="134"/>
      <c r="D192" s="134"/>
    </row>
    <row r="193" spans="3:4">
      <c r="C193" s="134"/>
      <c r="D193" s="134"/>
    </row>
    <row r="194" spans="3:4">
      <c r="C194" s="134"/>
      <c r="D194" s="134"/>
    </row>
    <row r="195" spans="3:4">
      <c r="C195" s="134"/>
      <c r="D195" s="134"/>
    </row>
    <row r="196" spans="3:4">
      <c r="C196" s="134"/>
      <c r="D196" s="134"/>
    </row>
    <row r="197" spans="3:4">
      <c r="C197" s="134"/>
      <c r="D197" s="134"/>
    </row>
    <row r="198" spans="3:4">
      <c r="C198" s="134"/>
      <c r="D198" s="134"/>
    </row>
    <row r="199" spans="3:4">
      <c r="C199" s="134"/>
      <c r="D199" s="134"/>
    </row>
    <row r="200" spans="3:4">
      <c r="C200" s="134"/>
      <c r="D200" s="134"/>
    </row>
    <row r="201" spans="3:4">
      <c r="C201" s="134"/>
      <c r="D201" s="134"/>
    </row>
    <row r="202" spans="3:4">
      <c r="C202" s="134"/>
      <c r="D202" s="134"/>
    </row>
    <row r="203" spans="3:4">
      <c r="C203" s="134"/>
      <c r="D203" s="134"/>
    </row>
    <row r="204" spans="3:4">
      <c r="C204" s="134"/>
      <c r="D204" s="134"/>
    </row>
    <row r="205" spans="3:4">
      <c r="C205" s="134"/>
      <c r="D205" s="134"/>
    </row>
    <row r="206" spans="3:4">
      <c r="C206" s="134"/>
      <c r="D206" s="134"/>
    </row>
    <row r="207" spans="3:4">
      <c r="C207" s="134"/>
      <c r="D207" s="134"/>
    </row>
    <row r="208" spans="3:4">
      <c r="C208" s="134"/>
      <c r="D208" s="134"/>
    </row>
    <row r="209" spans="3:4">
      <c r="C209" s="134"/>
      <c r="D209" s="134"/>
    </row>
    <row r="210" spans="3:4">
      <c r="C210" s="134"/>
      <c r="D210" s="134"/>
    </row>
    <row r="211" spans="3:4">
      <c r="C211" s="134"/>
      <c r="D211" s="134"/>
    </row>
    <row r="212" spans="3:4">
      <c r="C212" s="134"/>
      <c r="D212" s="134"/>
    </row>
    <row r="213" spans="3:4">
      <c r="C213" s="134"/>
      <c r="D213" s="134"/>
    </row>
    <row r="214" spans="3:4">
      <c r="C214" s="134"/>
      <c r="D214" s="134"/>
    </row>
    <row r="215" spans="3:4">
      <c r="C215" s="134"/>
      <c r="D215" s="134"/>
    </row>
    <row r="216" spans="3:4">
      <c r="C216" s="134"/>
      <c r="D216" s="134"/>
    </row>
    <row r="217" spans="3:4">
      <c r="C217" s="134"/>
      <c r="D217" s="134"/>
    </row>
    <row r="218" spans="3:4">
      <c r="C218" s="134"/>
      <c r="D218" s="134"/>
    </row>
    <row r="219" spans="3:4">
      <c r="C219" s="134"/>
      <c r="D219" s="134"/>
    </row>
    <row r="220" spans="3:4">
      <c r="C220" s="134"/>
      <c r="D220" s="134"/>
    </row>
    <row r="221" spans="3:4">
      <c r="C221" s="134"/>
      <c r="D221" s="134"/>
    </row>
    <row r="222" spans="3:4">
      <c r="C222" s="134"/>
      <c r="D222" s="134"/>
    </row>
    <row r="223" spans="3:4">
      <c r="C223" s="134"/>
      <c r="D223" s="134"/>
    </row>
    <row r="224" spans="3:4">
      <c r="C224" s="134"/>
      <c r="D224" s="134"/>
    </row>
    <row r="225" spans="3:4">
      <c r="C225" s="134"/>
      <c r="D225" s="134"/>
    </row>
    <row r="226" spans="3:4">
      <c r="C226" s="134"/>
      <c r="D226" s="134"/>
    </row>
    <row r="227" spans="3:4">
      <c r="C227" s="134"/>
      <c r="D227" s="134"/>
    </row>
    <row r="228" spans="3:4">
      <c r="C228" s="134"/>
      <c r="D228" s="134"/>
    </row>
    <row r="229" spans="3:4">
      <c r="C229" s="134"/>
      <c r="D229" s="134"/>
    </row>
    <row r="230" spans="3:4">
      <c r="C230" s="134"/>
      <c r="D230" s="134"/>
    </row>
    <row r="231" spans="3:4">
      <c r="C231" s="134"/>
      <c r="D231" s="134"/>
    </row>
    <row r="232" spans="3:4">
      <c r="C232" s="134"/>
      <c r="D232" s="134"/>
    </row>
    <row r="233" spans="3:4">
      <c r="C233" s="134"/>
      <c r="D233" s="134"/>
    </row>
    <row r="234" spans="3:4">
      <c r="C234" s="134"/>
      <c r="D234" s="134"/>
    </row>
    <row r="235" spans="3:4">
      <c r="C235" s="134"/>
      <c r="D235" s="134"/>
    </row>
    <row r="236" spans="3:4">
      <c r="C236" s="134"/>
      <c r="D236" s="134"/>
    </row>
    <row r="237" spans="3:4">
      <c r="C237" s="134"/>
      <c r="D237" s="134"/>
    </row>
    <row r="238" spans="3:4">
      <c r="C238" s="134"/>
      <c r="D238" s="134"/>
    </row>
    <row r="239" spans="3:4">
      <c r="C239" s="134"/>
      <c r="D239" s="134"/>
    </row>
    <row r="240" spans="3:4">
      <c r="C240" s="134"/>
      <c r="D240" s="134"/>
    </row>
    <row r="241" spans="3:4">
      <c r="C241" s="134"/>
      <c r="D241" s="134"/>
    </row>
    <row r="242" spans="3:4">
      <c r="C242" s="134"/>
      <c r="D242" s="134"/>
    </row>
    <row r="243" spans="3:4">
      <c r="C243" s="134"/>
      <c r="D243" s="134"/>
    </row>
    <row r="244" spans="3:4">
      <c r="C244" s="134"/>
      <c r="D244" s="134"/>
    </row>
    <row r="245" spans="3:4">
      <c r="C245" s="134"/>
      <c r="D245" s="134"/>
    </row>
    <row r="246" spans="3:4">
      <c r="C246" s="134"/>
      <c r="D246" s="134"/>
    </row>
    <row r="247" spans="3:4">
      <c r="C247" s="134"/>
      <c r="D247" s="134"/>
    </row>
    <row r="248" spans="3:4">
      <c r="C248" s="134"/>
      <c r="D248" s="134"/>
    </row>
    <row r="249" spans="3:4">
      <c r="C249" s="134"/>
      <c r="D249" s="134"/>
    </row>
    <row r="250" spans="3:4">
      <c r="C250" s="134"/>
      <c r="D250" s="134"/>
    </row>
    <row r="251" spans="3:4">
      <c r="C251" s="134"/>
      <c r="D251" s="134"/>
    </row>
    <row r="252" spans="3:4">
      <c r="C252" s="134"/>
      <c r="D252" s="134"/>
    </row>
    <row r="253" spans="3:4">
      <c r="C253" s="134"/>
      <c r="D253" s="134"/>
    </row>
    <row r="254" spans="3:4">
      <c r="C254" s="134"/>
      <c r="D254" s="134"/>
    </row>
    <row r="255" spans="3:4">
      <c r="C255" s="134"/>
      <c r="D255" s="134"/>
    </row>
    <row r="256" spans="3:4">
      <c r="C256" s="134"/>
      <c r="D256" s="134"/>
    </row>
    <row r="257" spans="3:4">
      <c r="C257" s="134"/>
      <c r="D257" s="134"/>
    </row>
    <row r="258" spans="3:4">
      <c r="C258" s="134"/>
      <c r="D258" s="134"/>
    </row>
    <row r="259" spans="3:4">
      <c r="C259" s="134"/>
      <c r="D259" s="134"/>
    </row>
    <row r="260" spans="3:4">
      <c r="C260" s="134"/>
      <c r="D260" s="134"/>
    </row>
    <row r="261" spans="3:4">
      <c r="C261" s="134"/>
      <c r="D261" s="134"/>
    </row>
    <row r="262" spans="3:4">
      <c r="C262" s="134"/>
      <c r="D262" s="134"/>
    </row>
    <row r="263" spans="3:4">
      <c r="C263" s="134"/>
      <c r="D263" s="134"/>
    </row>
    <row r="264" spans="3:4">
      <c r="C264" s="134"/>
      <c r="D264" s="134"/>
    </row>
    <row r="265" spans="3:4">
      <c r="C265" s="134"/>
      <c r="D265" s="134"/>
    </row>
    <row r="266" spans="3:4">
      <c r="C266" s="134"/>
      <c r="D266" s="134"/>
    </row>
    <row r="267" spans="3:4">
      <c r="C267" s="134"/>
      <c r="D267" s="134"/>
    </row>
    <row r="268" spans="3:4">
      <c r="C268" s="134"/>
      <c r="D268" s="134"/>
    </row>
    <row r="269" spans="3:4">
      <c r="C269" s="134"/>
      <c r="D269" s="134"/>
    </row>
    <row r="270" spans="3:4">
      <c r="C270" s="134"/>
      <c r="D270" s="134"/>
    </row>
    <row r="271" spans="3:4">
      <c r="C271" s="134"/>
      <c r="D271" s="134"/>
    </row>
    <row r="272" spans="3:4">
      <c r="C272" s="134"/>
      <c r="D272" s="134"/>
    </row>
    <row r="273" spans="3:4">
      <c r="C273" s="134"/>
      <c r="D273" s="134"/>
    </row>
    <row r="274" spans="3:4">
      <c r="C274" s="134"/>
      <c r="D274" s="134"/>
    </row>
    <row r="275" spans="3:4">
      <c r="C275" s="134"/>
      <c r="D275" s="134"/>
    </row>
    <row r="276" spans="3:4">
      <c r="C276" s="134"/>
      <c r="D276" s="134"/>
    </row>
    <row r="277" spans="3:4">
      <c r="C277" s="134"/>
      <c r="D277" s="134"/>
    </row>
    <row r="278" spans="3:4">
      <c r="C278" s="134"/>
      <c r="D278" s="134"/>
    </row>
    <row r="279" spans="3:4">
      <c r="C279" s="134"/>
      <c r="D279" s="134"/>
    </row>
    <row r="280" spans="3:4">
      <c r="C280" s="134"/>
      <c r="D280" s="134"/>
    </row>
    <row r="281" spans="3:4">
      <c r="C281" s="134"/>
      <c r="D281" s="134"/>
    </row>
    <row r="282" spans="3:4">
      <c r="C282" s="134"/>
      <c r="D282" s="134"/>
    </row>
    <row r="283" spans="3:4">
      <c r="C283" s="134"/>
      <c r="D283" s="134"/>
    </row>
    <row r="284" spans="3:4">
      <c r="C284" s="134"/>
      <c r="D284" s="134"/>
    </row>
    <row r="285" spans="3:4">
      <c r="C285" s="134"/>
      <c r="D285" s="134"/>
    </row>
    <row r="286" spans="3:4">
      <c r="C286" s="134"/>
      <c r="D286" s="134"/>
    </row>
    <row r="287" spans="3:4">
      <c r="C287" s="134"/>
      <c r="D287" s="134"/>
    </row>
    <row r="288" spans="3:4">
      <c r="C288" s="134"/>
      <c r="D288" s="134"/>
    </row>
    <row r="289" spans="3:4">
      <c r="C289" s="134"/>
      <c r="D289" s="134"/>
    </row>
    <row r="290" spans="3:4">
      <c r="C290" s="134"/>
      <c r="D290" s="134"/>
    </row>
    <row r="291" spans="3:4">
      <c r="C291" s="134"/>
      <c r="D291" s="134"/>
    </row>
    <row r="292" spans="3:4">
      <c r="C292" s="134"/>
      <c r="D292" s="134"/>
    </row>
    <row r="293" spans="3:4">
      <c r="C293" s="134"/>
      <c r="D293" s="134"/>
    </row>
    <row r="294" spans="3:4">
      <c r="C294" s="134"/>
      <c r="D294" s="134"/>
    </row>
    <row r="295" spans="3:4">
      <c r="C295" s="134"/>
      <c r="D295" s="134"/>
    </row>
    <row r="296" spans="3:4">
      <c r="C296" s="134"/>
      <c r="D296" s="134"/>
    </row>
    <row r="297" spans="3:4">
      <c r="C297" s="134"/>
      <c r="D297" s="134"/>
    </row>
    <row r="298" spans="3:4">
      <c r="C298" s="134"/>
      <c r="D298" s="134"/>
    </row>
    <row r="299" spans="3:4">
      <c r="C299" s="134"/>
      <c r="D299" s="134"/>
    </row>
    <row r="300" spans="3:4">
      <c r="C300" s="134"/>
      <c r="D300" s="134"/>
    </row>
    <row r="301" spans="3:4">
      <c r="C301" s="134"/>
      <c r="D301" s="134"/>
    </row>
    <row r="302" spans="3:4">
      <c r="C302" s="134"/>
      <c r="D302" s="134"/>
    </row>
    <row r="303" spans="3:4">
      <c r="C303" s="134"/>
      <c r="D303" s="134"/>
    </row>
    <row r="304" spans="3:4">
      <c r="C304" s="134"/>
      <c r="D304" s="134"/>
    </row>
    <row r="305" spans="3:4">
      <c r="C305" s="134"/>
      <c r="D305" s="134"/>
    </row>
    <row r="306" spans="3:4">
      <c r="C306" s="134"/>
      <c r="D306" s="134"/>
    </row>
    <row r="307" spans="3:4">
      <c r="C307" s="134"/>
      <c r="D307" s="134"/>
    </row>
    <row r="308" spans="3:4">
      <c r="C308" s="134"/>
      <c r="D308" s="134"/>
    </row>
    <row r="309" spans="3:4">
      <c r="C309" s="134"/>
      <c r="D309" s="134"/>
    </row>
    <row r="310" spans="3:4">
      <c r="C310" s="134"/>
      <c r="D310" s="134"/>
    </row>
    <row r="311" spans="3:4">
      <c r="C311" s="134"/>
      <c r="D311" s="134"/>
    </row>
    <row r="312" spans="3:4">
      <c r="C312" s="134"/>
      <c r="D312" s="134"/>
    </row>
    <row r="313" spans="3:4">
      <c r="C313" s="134"/>
      <c r="D313" s="134"/>
    </row>
    <row r="314" spans="3:4">
      <c r="C314" s="134"/>
      <c r="D314" s="134"/>
    </row>
    <row r="315" spans="3:4">
      <c r="C315" s="134"/>
      <c r="D315" s="134"/>
    </row>
    <row r="316" spans="3:4">
      <c r="C316" s="134"/>
      <c r="D316" s="134"/>
    </row>
    <row r="317" spans="3:4">
      <c r="C317" s="134"/>
      <c r="D317" s="134"/>
    </row>
    <row r="318" spans="3:4">
      <c r="C318" s="134"/>
      <c r="D318" s="134"/>
    </row>
    <row r="319" spans="3:4">
      <c r="C319" s="134"/>
      <c r="D319" s="134"/>
    </row>
    <row r="320" spans="3:4">
      <c r="C320" s="134"/>
      <c r="D320" s="134"/>
    </row>
    <row r="321" spans="3:4">
      <c r="C321" s="134"/>
      <c r="D321" s="134"/>
    </row>
    <row r="322" spans="3:4">
      <c r="C322" s="134"/>
      <c r="D322" s="134"/>
    </row>
    <row r="323" spans="3:4">
      <c r="C323" s="134"/>
      <c r="D323" s="134"/>
    </row>
    <row r="324" spans="3:4">
      <c r="C324" s="134"/>
      <c r="D324" s="134"/>
    </row>
    <row r="325" spans="3:4">
      <c r="C325" s="134"/>
      <c r="D325" s="134"/>
    </row>
    <row r="326" spans="3:4">
      <c r="C326" s="134"/>
      <c r="D326" s="134"/>
    </row>
    <row r="327" spans="3:4">
      <c r="C327" s="134"/>
      <c r="D327" s="134"/>
    </row>
    <row r="328" spans="3:4">
      <c r="C328" s="134"/>
      <c r="D328" s="134"/>
    </row>
    <row r="329" spans="3:4">
      <c r="C329" s="134"/>
      <c r="D329" s="134"/>
    </row>
    <row r="330" spans="3:4">
      <c r="C330" s="134"/>
      <c r="D330" s="134"/>
    </row>
    <row r="331" spans="3:4">
      <c r="C331" s="134"/>
      <c r="D331" s="134"/>
    </row>
    <row r="332" spans="3:4">
      <c r="C332" s="134"/>
      <c r="D332" s="134"/>
    </row>
    <row r="333" spans="3:4">
      <c r="C333" s="134"/>
      <c r="D333" s="134"/>
    </row>
    <row r="334" spans="3:4">
      <c r="C334" s="134"/>
      <c r="D334" s="134"/>
    </row>
    <row r="335" spans="3:4">
      <c r="C335" s="134"/>
      <c r="D335" s="134"/>
    </row>
    <row r="336" spans="3:4">
      <c r="C336" s="134"/>
      <c r="D336" s="134"/>
    </row>
    <row r="337" spans="3:4">
      <c r="C337" s="134"/>
      <c r="D337" s="134"/>
    </row>
    <row r="338" spans="3:4">
      <c r="C338" s="134"/>
      <c r="D338" s="134"/>
    </row>
    <row r="339" spans="3:4">
      <c r="C339" s="134"/>
      <c r="D339" s="134"/>
    </row>
    <row r="340" spans="3:4">
      <c r="C340" s="134"/>
      <c r="D340" s="134"/>
    </row>
    <row r="341" spans="3:4">
      <c r="C341" s="134"/>
      <c r="D341" s="134"/>
    </row>
    <row r="342" spans="3:4">
      <c r="C342" s="134"/>
      <c r="D342" s="134"/>
    </row>
    <row r="343" spans="3:4">
      <c r="C343" s="134"/>
      <c r="D343" s="134"/>
    </row>
    <row r="344" spans="3:4">
      <c r="C344" s="134"/>
      <c r="D344" s="134"/>
    </row>
    <row r="345" spans="3:4">
      <c r="C345" s="134"/>
      <c r="D345" s="134"/>
    </row>
    <row r="346" spans="3:4">
      <c r="C346" s="134"/>
      <c r="D346" s="134"/>
    </row>
    <row r="347" spans="3:4">
      <c r="C347" s="134"/>
      <c r="D347" s="134"/>
    </row>
    <row r="348" spans="3:4">
      <c r="C348" s="134"/>
      <c r="D348" s="134"/>
    </row>
    <row r="349" spans="3:4">
      <c r="C349" s="134"/>
      <c r="D349" s="134"/>
    </row>
    <row r="350" spans="3:4">
      <c r="C350" s="134"/>
      <c r="D350" s="134"/>
    </row>
    <row r="351" spans="3:4">
      <c r="C351" s="134"/>
      <c r="D351" s="134"/>
    </row>
    <row r="352" spans="3:4">
      <c r="C352" s="134"/>
      <c r="D352" s="134"/>
    </row>
    <row r="353" spans="3:4">
      <c r="C353" s="134"/>
      <c r="D353" s="134"/>
    </row>
    <row r="354" spans="3:4">
      <c r="C354" s="134"/>
      <c r="D354" s="134"/>
    </row>
    <row r="355" spans="3:4">
      <c r="C355" s="134"/>
      <c r="D355" s="134"/>
    </row>
    <row r="356" spans="3:4">
      <c r="C356" s="134"/>
      <c r="D356" s="134"/>
    </row>
    <row r="357" spans="3:4">
      <c r="C357" s="134"/>
      <c r="D357" s="134"/>
    </row>
    <row r="358" spans="3:4">
      <c r="C358" s="134"/>
      <c r="D358" s="134"/>
    </row>
    <row r="359" spans="3:4">
      <c r="C359" s="134"/>
      <c r="D359" s="134"/>
    </row>
    <row r="360" spans="3:4">
      <c r="C360" s="134"/>
      <c r="D360" s="134"/>
    </row>
    <row r="361" spans="3:4">
      <c r="C361" s="134"/>
      <c r="D361" s="134"/>
    </row>
    <row r="362" spans="3:4">
      <c r="C362" s="134"/>
      <c r="D362" s="134"/>
    </row>
    <row r="363" spans="3:4">
      <c r="C363" s="134"/>
      <c r="D363" s="134"/>
    </row>
    <row r="364" spans="3:4">
      <c r="C364" s="134"/>
      <c r="D364" s="134"/>
    </row>
    <row r="365" spans="3:4">
      <c r="C365" s="134"/>
      <c r="D365" s="134"/>
    </row>
    <row r="366" spans="3:4">
      <c r="C366" s="134"/>
      <c r="D366" s="134"/>
    </row>
    <row r="367" spans="3:4">
      <c r="C367" s="134"/>
      <c r="D367" s="134"/>
    </row>
    <row r="368" spans="3:4">
      <c r="C368" s="134"/>
      <c r="D368" s="134"/>
    </row>
    <row r="369" spans="3:4">
      <c r="C369" s="134"/>
      <c r="D369" s="134"/>
    </row>
    <row r="370" spans="3:4">
      <c r="C370" s="134"/>
      <c r="D370" s="134"/>
    </row>
    <row r="371" spans="3:4">
      <c r="C371" s="134"/>
      <c r="D371" s="134"/>
    </row>
    <row r="372" spans="3:4">
      <c r="C372" s="134"/>
      <c r="D372" s="134"/>
    </row>
    <row r="373" spans="3:4">
      <c r="C373" s="134"/>
      <c r="D373" s="134"/>
    </row>
    <row r="374" spans="3:4">
      <c r="C374" s="134"/>
      <c r="D374" s="134"/>
    </row>
    <row r="375" spans="3:4">
      <c r="C375" s="134"/>
      <c r="D375" s="134"/>
    </row>
    <row r="376" spans="3:4">
      <c r="C376" s="134"/>
      <c r="D376" s="134"/>
    </row>
    <row r="377" spans="3:4">
      <c r="C377" s="134"/>
      <c r="D377" s="134"/>
    </row>
    <row r="378" spans="3:4">
      <c r="C378" s="134"/>
      <c r="D378" s="134"/>
    </row>
    <row r="379" spans="3:4">
      <c r="C379" s="134"/>
      <c r="D379" s="134"/>
    </row>
    <row r="380" spans="3:4">
      <c r="C380" s="134"/>
      <c r="D380" s="134"/>
    </row>
    <row r="381" spans="3:4">
      <c r="C381" s="134"/>
      <c r="D381" s="134"/>
    </row>
    <row r="382" spans="3:4">
      <c r="C382" s="134"/>
      <c r="D382" s="134"/>
    </row>
    <row r="383" spans="3:4">
      <c r="C383" s="134"/>
      <c r="D383" s="134"/>
    </row>
    <row r="384" spans="3:4">
      <c r="C384" s="134"/>
      <c r="D384" s="134"/>
    </row>
    <row r="385" spans="3:4">
      <c r="C385" s="134"/>
      <c r="D385" s="134"/>
    </row>
    <row r="386" spans="3:4">
      <c r="C386" s="134"/>
      <c r="D386" s="134"/>
    </row>
    <row r="387" spans="3:4">
      <c r="C387" s="134"/>
      <c r="D387" s="134"/>
    </row>
    <row r="388" spans="3:4">
      <c r="C388" s="134"/>
      <c r="D388" s="134"/>
    </row>
    <row r="389" spans="3:4">
      <c r="C389" s="134"/>
      <c r="D389" s="134"/>
    </row>
    <row r="390" spans="3:4">
      <c r="C390" s="134"/>
      <c r="D390" s="134"/>
    </row>
    <row r="391" spans="3:4">
      <c r="C391" s="134"/>
      <c r="D391" s="134"/>
    </row>
    <row r="392" spans="3:4">
      <c r="C392" s="134"/>
      <c r="D392" s="134"/>
    </row>
    <row r="393" spans="3:4">
      <c r="C393" s="134"/>
      <c r="D393" s="134"/>
    </row>
    <row r="394" spans="3:4">
      <c r="C394" s="134"/>
      <c r="D394" s="134"/>
    </row>
    <row r="395" spans="3:4">
      <c r="C395" s="134"/>
      <c r="D395" s="134"/>
    </row>
    <row r="396" spans="3:4">
      <c r="C396" s="134"/>
      <c r="D396" s="134"/>
    </row>
    <row r="397" spans="3:4">
      <c r="C397" s="134"/>
      <c r="D397" s="134"/>
    </row>
    <row r="398" spans="3:4">
      <c r="C398" s="134"/>
      <c r="D398" s="134"/>
    </row>
    <row r="399" spans="3:4">
      <c r="C399" s="134"/>
      <c r="D399" s="134"/>
    </row>
    <row r="400" spans="3:4">
      <c r="C400" s="134"/>
      <c r="D400" s="134"/>
    </row>
    <row r="401" spans="3:4">
      <c r="C401" s="134"/>
      <c r="D401" s="134"/>
    </row>
    <row r="402" spans="3:4">
      <c r="C402" s="134"/>
      <c r="D402" s="134"/>
    </row>
    <row r="403" spans="3:4">
      <c r="C403" s="134"/>
      <c r="D403" s="134"/>
    </row>
    <row r="404" spans="3:4">
      <c r="C404" s="134"/>
      <c r="D404" s="134"/>
    </row>
    <row r="405" spans="3:4">
      <c r="C405" s="134"/>
      <c r="D405" s="134"/>
    </row>
    <row r="406" spans="3:4">
      <c r="C406" s="134"/>
      <c r="D406" s="134"/>
    </row>
    <row r="407" spans="3:4">
      <c r="C407" s="134"/>
      <c r="D407" s="134"/>
    </row>
    <row r="408" spans="3:4">
      <c r="C408" s="134"/>
      <c r="D408" s="134"/>
    </row>
    <row r="409" spans="3:4">
      <c r="C409" s="134"/>
      <c r="D409" s="134"/>
    </row>
    <row r="410" spans="3:4">
      <c r="C410" s="134"/>
      <c r="D410" s="134"/>
    </row>
    <row r="411" spans="3:4">
      <c r="C411" s="134"/>
      <c r="D411" s="134"/>
    </row>
    <row r="412" spans="3:4">
      <c r="C412" s="134"/>
      <c r="D412" s="134"/>
    </row>
    <row r="413" spans="3:4">
      <c r="C413" s="134"/>
      <c r="D413" s="134"/>
    </row>
    <row r="414" spans="3:4">
      <c r="C414" s="134"/>
      <c r="D414" s="134"/>
    </row>
    <row r="415" spans="3:4">
      <c r="C415" s="134"/>
      <c r="D415" s="134"/>
    </row>
    <row r="416" spans="3:4">
      <c r="C416" s="134"/>
      <c r="D416" s="134"/>
    </row>
    <row r="417" spans="3:4">
      <c r="C417" s="134"/>
      <c r="D417" s="134"/>
    </row>
    <row r="418" spans="3:4">
      <c r="C418" s="134"/>
      <c r="D418" s="134"/>
    </row>
    <row r="419" spans="3:4">
      <c r="C419" s="134"/>
      <c r="D419" s="134"/>
    </row>
    <row r="420" spans="3:4">
      <c r="C420" s="134"/>
      <c r="D420" s="134"/>
    </row>
    <row r="421" spans="3:4">
      <c r="C421" s="134"/>
      <c r="D421" s="134"/>
    </row>
    <row r="422" spans="3:4">
      <c r="C422" s="134"/>
      <c r="D422" s="134"/>
    </row>
    <row r="423" spans="3:4">
      <c r="C423" s="134"/>
      <c r="D423" s="134"/>
    </row>
    <row r="424" spans="3:4">
      <c r="C424" s="134"/>
      <c r="D424" s="134"/>
    </row>
    <row r="425" spans="3:4">
      <c r="C425" s="134"/>
      <c r="D425" s="134"/>
    </row>
    <row r="426" spans="3:4">
      <c r="C426" s="134"/>
      <c r="D426" s="134"/>
    </row>
    <row r="427" spans="3:4">
      <c r="C427" s="134"/>
      <c r="D427" s="134"/>
    </row>
    <row r="428" spans="3:4">
      <c r="C428" s="134"/>
      <c r="D428" s="134"/>
    </row>
    <row r="429" spans="3:4">
      <c r="C429" s="134"/>
      <c r="D429" s="134"/>
    </row>
    <row r="430" spans="3:4">
      <c r="C430" s="134"/>
      <c r="D430" s="134"/>
    </row>
    <row r="431" spans="3:4">
      <c r="C431" s="134"/>
      <c r="D431" s="134"/>
    </row>
    <row r="432" spans="3:4">
      <c r="C432" s="134"/>
      <c r="D432" s="134"/>
    </row>
    <row r="433" spans="3:4">
      <c r="C433" s="134"/>
      <c r="D433" s="134"/>
    </row>
    <row r="434" spans="3:4">
      <c r="C434" s="134"/>
      <c r="D434" s="134"/>
    </row>
    <row r="435" spans="3:4">
      <c r="C435" s="134"/>
      <c r="D435" s="134"/>
    </row>
    <row r="436" spans="3:4">
      <c r="C436" s="134"/>
      <c r="D436" s="134"/>
    </row>
    <row r="437" spans="3:4">
      <c r="C437" s="134"/>
      <c r="D437" s="134"/>
    </row>
    <row r="438" spans="3:4">
      <c r="C438" s="134"/>
      <c r="D438" s="134"/>
    </row>
    <row r="439" spans="3:4">
      <c r="C439" s="134"/>
      <c r="D439" s="134"/>
    </row>
    <row r="440" spans="3:4">
      <c r="C440" s="134"/>
      <c r="D440" s="134"/>
    </row>
    <row r="441" spans="3:4">
      <c r="C441" s="134"/>
      <c r="D441" s="134"/>
    </row>
    <row r="442" spans="3:4">
      <c r="C442" s="134"/>
      <c r="D442" s="134"/>
    </row>
    <row r="443" spans="3:4">
      <c r="C443" s="134"/>
      <c r="D443" s="134"/>
    </row>
    <row r="444" spans="3:4">
      <c r="C444" s="134"/>
      <c r="D444" s="134"/>
    </row>
    <row r="445" spans="3:4">
      <c r="C445" s="134"/>
      <c r="D445" s="134"/>
    </row>
    <row r="446" spans="3:4">
      <c r="C446" s="134"/>
      <c r="D446" s="134"/>
    </row>
    <row r="447" spans="3:4">
      <c r="C447" s="134"/>
      <c r="D447" s="134"/>
    </row>
    <row r="448" spans="3:4">
      <c r="C448" s="134"/>
      <c r="D448" s="134"/>
    </row>
    <row r="449" spans="3:4">
      <c r="C449" s="134"/>
      <c r="D449" s="134"/>
    </row>
    <row r="450" spans="3:4">
      <c r="C450" s="134"/>
      <c r="D450" s="134"/>
    </row>
    <row r="451" spans="3:4">
      <c r="C451" s="134"/>
      <c r="D451" s="134"/>
    </row>
    <row r="452" spans="3:4">
      <c r="C452" s="134"/>
      <c r="D452" s="134"/>
    </row>
    <row r="453" spans="3:4">
      <c r="C453" s="134"/>
      <c r="D453" s="134"/>
    </row>
    <row r="454" spans="3:4">
      <c r="C454" s="134"/>
      <c r="D454" s="134"/>
    </row>
    <row r="455" spans="3:4">
      <c r="C455" s="134"/>
      <c r="D455" s="134"/>
    </row>
    <row r="456" spans="3:4">
      <c r="C456" s="134"/>
      <c r="D456" s="134"/>
    </row>
    <row r="457" spans="3:4">
      <c r="C457" s="134"/>
      <c r="D457" s="134"/>
    </row>
    <row r="458" spans="3:4">
      <c r="C458" s="134"/>
      <c r="D458" s="134"/>
    </row>
    <row r="459" spans="3:4">
      <c r="C459" s="134"/>
      <c r="D459" s="134"/>
    </row>
    <row r="460" spans="3:4">
      <c r="C460" s="134"/>
      <c r="D460" s="134"/>
    </row>
    <row r="461" spans="3:4">
      <c r="C461" s="134"/>
      <c r="D461" s="134"/>
    </row>
    <row r="462" spans="3:4">
      <c r="C462" s="134"/>
      <c r="D462" s="134"/>
    </row>
    <row r="463" spans="3:4">
      <c r="C463" s="134"/>
      <c r="D463" s="134"/>
    </row>
    <row r="464" spans="3:4">
      <c r="C464" s="134"/>
      <c r="D464" s="134"/>
    </row>
    <row r="465" spans="3:4">
      <c r="C465" s="134"/>
      <c r="D465" s="134"/>
    </row>
    <row r="466" spans="3:4">
      <c r="C466" s="134"/>
      <c r="D466" s="134"/>
    </row>
    <row r="467" spans="3:4">
      <c r="C467" s="134"/>
      <c r="D467" s="134"/>
    </row>
    <row r="468" spans="3:4">
      <c r="C468" s="134"/>
      <c r="D468" s="134"/>
    </row>
    <row r="469" spans="3:4">
      <c r="C469" s="134"/>
      <c r="D469" s="134"/>
    </row>
    <row r="470" spans="3:4">
      <c r="C470" s="134"/>
      <c r="D470" s="134"/>
    </row>
    <row r="471" spans="3:4">
      <c r="C471" s="134"/>
      <c r="D471" s="134"/>
    </row>
    <row r="472" spans="3:4">
      <c r="C472" s="134"/>
      <c r="D472" s="134"/>
    </row>
    <row r="473" spans="3:4">
      <c r="C473" s="134"/>
      <c r="D473" s="134"/>
    </row>
    <row r="474" spans="3:4">
      <c r="C474" s="134"/>
      <c r="D474" s="134"/>
    </row>
    <row r="475" spans="3:4">
      <c r="C475" s="134"/>
      <c r="D475" s="134"/>
    </row>
    <row r="476" spans="3:4">
      <c r="C476" s="134"/>
      <c r="D476" s="134"/>
    </row>
  </sheetData>
  <autoFilter ref="G9:G161" xr:uid="{00000000-0009-0000-0000-000014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F8536-4F75-41F9-8382-C2F845BC4519}">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344" customWidth="1"/>
    <col min="2" max="2" width="14.81640625" style="2344" customWidth="1"/>
    <col min="3" max="3" width="3.7265625" style="2344" customWidth="1"/>
    <col min="4" max="4" width="10.1796875" style="2344" customWidth="1"/>
    <col min="5" max="5" width="43.453125" style="2345" customWidth="1"/>
    <col min="6" max="6" width="8.6328125" style="2344" customWidth="1"/>
    <col min="7" max="7" width="8.08984375" style="2348" customWidth="1"/>
    <col min="8" max="8" width="11.54296875" style="2344" customWidth="1" outlineLevel="1"/>
    <col min="9" max="9" width="9.26953125" style="2344" customWidth="1" outlineLevel="1"/>
    <col min="10" max="10" width="11.08984375" style="2344" customWidth="1" outlineLevel="1"/>
    <col min="11" max="11" width="9.90625" style="2344" customWidth="1" outlineLevel="1"/>
    <col min="12" max="12" width="11.54296875" style="2344" customWidth="1" outlineLevel="1"/>
    <col min="13" max="13" width="8.1796875" style="2344" customWidth="1" outlineLevel="1"/>
    <col min="14" max="14" width="10.90625" style="2344" customWidth="1" outlineLevel="1"/>
    <col min="15" max="15" width="9" style="2344" customWidth="1" outlineLevel="1"/>
    <col min="16" max="16" width="11.54296875" style="2354" customWidth="1"/>
    <col min="17" max="17" width="10.6328125" style="2344" customWidth="1"/>
    <col min="18" max="18" width="10.26953125" style="2344" hidden="1" customWidth="1"/>
    <col min="19" max="20" width="8.54296875" style="2344" customWidth="1"/>
    <col min="21" max="21" width="12.26953125" style="2344" customWidth="1"/>
    <col min="22" max="23" width="8.54296875" style="2344" customWidth="1"/>
    <col min="24" max="24" width="9.7265625" style="2344" customWidth="1"/>
    <col min="25" max="25" width="11.7265625" style="2344" customWidth="1"/>
    <col min="26" max="26" width="7.453125" style="2344"/>
    <col min="27" max="27" width="10.6328125" style="2344" customWidth="1"/>
    <col min="28" max="16384" width="7.453125" style="2344"/>
  </cols>
  <sheetData>
    <row r="1" spans="3:16" outlineLevel="1">
      <c r="G1" s="2344"/>
      <c r="P1" s="2344"/>
    </row>
    <row r="2" spans="3:16" outlineLevel="1">
      <c r="E2" s="2826" t="s">
        <v>4441</v>
      </c>
      <c r="F2" s="2827" t="s">
        <v>6377</v>
      </c>
      <c r="G2" s="2827"/>
      <c r="H2" s="2828">
        <v>9</v>
      </c>
      <c r="I2" s="2828" t="s">
        <v>4435</v>
      </c>
      <c r="J2" s="2827" t="s">
        <v>4443</v>
      </c>
      <c r="K2" s="2827"/>
      <c r="L2" s="2828"/>
      <c r="M2" s="2828" t="s">
        <v>4444</v>
      </c>
      <c r="N2" s="2828"/>
      <c r="O2" s="2828" t="s">
        <v>4445</v>
      </c>
      <c r="P2" s="2344"/>
    </row>
    <row r="3" spans="3:16" outlineLevel="1">
      <c r="E3" s="2829">
        <f>IF(H2=12,51,IF(H2=9,36,93))</f>
        <v>36</v>
      </c>
      <c r="F3" s="2830" t="s">
        <v>4446</v>
      </c>
      <c r="G3" s="2827"/>
      <c r="H3" s="2831">
        <f>53</f>
        <v>53</v>
      </c>
      <c r="I3" s="2828" t="s">
        <v>1827</v>
      </c>
      <c r="J3" s="2827" t="s">
        <v>4447</v>
      </c>
      <c r="K3" s="2827"/>
      <c r="L3" s="2828">
        <v>0</v>
      </c>
      <c r="M3" s="2828" t="s">
        <v>4448</v>
      </c>
      <c r="N3" s="2358"/>
      <c r="O3" s="2358"/>
      <c r="P3" s="2344"/>
    </row>
    <row r="4" spans="3:16" outlineLevel="1">
      <c r="E4" s="2832" t="s">
        <v>6378</v>
      </c>
      <c r="F4" s="2830" t="s">
        <v>4449</v>
      </c>
      <c r="G4" s="2827"/>
      <c r="H4" s="2831">
        <f>E3*0.8*0.3</f>
        <v>8.64</v>
      </c>
      <c r="I4" s="2828" t="s">
        <v>856</v>
      </c>
      <c r="J4" s="2833" t="s">
        <v>4450</v>
      </c>
      <c r="K4" s="2827"/>
      <c r="L4" s="2828">
        <v>0</v>
      </c>
      <c r="M4" s="2834"/>
      <c r="N4" s="2358"/>
      <c r="O4" s="2358"/>
      <c r="P4" s="2344"/>
    </row>
    <row r="5" spans="3:16" outlineLevel="1">
      <c r="E5" s="2829"/>
      <c r="F5" s="2835" t="s">
        <v>4451</v>
      </c>
      <c r="G5" s="2828" t="s">
        <v>4452</v>
      </c>
      <c r="H5" s="2828" t="s">
        <v>4453</v>
      </c>
      <c r="I5" s="2835" t="s">
        <v>4454</v>
      </c>
      <c r="J5" s="2835" t="s">
        <v>4455</v>
      </c>
      <c r="K5" s="2828" t="s">
        <v>4453</v>
      </c>
      <c r="L5" s="2835" t="s">
        <v>4456</v>
      </c>
      <c r="M5" s="2836" t="s">
        <v>4457</v>
      </c>
      <c r="N5" s="2358"/>
      <c r="O5" s="2358"/>
      <c r="P5" s="2344"/>
    </row>
    <row r="6" spans="3:16" outlineLevel="1">
      <c r="E6" s="2837"/>
      <c r="F6" s="2838">
        <v>18</v>
      </c>
      <c r="G6" s="2839" t="s">
        <v>2057</v>
      </c>
      <c r="H6" s="2838">
        <v>0</v>
      </c>
      <c r="I6" s="2838">
        <f>H6*15</f>
        <v>0</v>
      </c>
      <c r="J6" s="2840" t="s">
        <v>4458</v>
      </c>
      <c r="K6" s="2838">
        <v>0</v>
      </c>
      <c r="L6" s="2841">
        <f>K6*3*15</f>
        <v>0</v>
      </c>
      <c r="M6" s="2913">
        <f>H21+K21</f>
        <v>0</v>
      </c>
      <c r="N6" s="2358"/>
      <c r="O6" s="2358"/>
      <c r="P6" s="2344"/>
    </row>
    <row r="7" spans="3:16" outlineLevel="1">
      <c r="C7" s="2347"/>
      <c r="E7" s="2842"/>
      <c r="F7" s="2838" t="s">
        <v>4459</v>
      </c>
      <c r="G7" s="2843" t="s">
        <v>2058</v>
      </c>
      <c r="H7" s="2838">
        <v>0</v>
      </c>
      <c r="I7" s="2838">
        <f>H7*25</f>
        <v>0</v>
      </c>
      <c r="J7" s="2840" t="s">
        <v>4460</v>
      </c>
      <c r="K7" s="2838">
        <v>0</v>
      </c>
      <c r="L7" s="2841">
        <f>K7*3*25</f>
        <v>0</v>
      </c>
      <c r="M7" s="2914"/>
      <c r="N7" s="2358"/>
      <c r="O7" s="2844"/>
      <c r="P7" s="2344"/>
    </row>
    <row r="8" spans="3:16" outlineLevel="1">
      <c r="D8" s="2348"/>
      <c r="E8" s="2829"/>
      <c r="F8" s="2838">
        <v>22</v>
      </c>
      <c r="G8" s="2843" t="s">
        <v>4461</v>
      </c>
      <c r="H8" s="2838">
        <v>0</v>
      </c>
      <c r="I8" s="2838">
        <f>H8*37.5</f>
        <v>0</v>
      </c>
      <c r="J8" s="2840" t="s">
        <v>4462</v>
      </c>
      <c r="K8" s="2838">
        <v>0</v>
      </c>
      <c r="L8" s="2841">
        <f>K8*3*37.5</f>
        <v>0</v>
      </c>
      <c r="M8" s="2836" t="s">
        <v>4463</v>
      </c>
      <c r="N8" s="2358"/>
      <c r="O8" s="2358"/>
      <c r="P8" s="2344"/>
    </row>
    <row r="9" spans="3:16" outlineLevel="1">
      <c r="D9" s="2347"/>
      <c r="E9" s="2829"/>
      <c r="F9" s="2845"/>
      <c r="G9" s="2843" t="s">
        <v>2059</v>
      </c>
      <c r="H9" s="2838">
        <v>0</v>
      </c>
      <c r="I9" s="2838">
        <f>H9*50</f>
        <v>0</v>
      </c>
      <c r="J9" s="2840" t="s">
        <v>4464</v>
      </c>
      <c r="K9" s="2838">
        <v>0</v>
      </c>
      <c r="L9" s="2841">
        <f>K9*3*50</f>
        <v>0</v>
      </c>
      <c r="M9" s="2913">
        <f>I24+L24</f>
        <v>750</v>
      </c>
      <c r="N9" s="2358"/>
      <c r="O9" s="2358"/>
      <c r="P9" s="2344"/>
    </row>
    <row r="10" spans="3:16" outlineLevel="1">
      <c r="D10" s="2347"/>
      <c r="E10" s="2829"/>
      <c r="F10" s="2846"/>
      <c r="G10" s="2847" t="s">
        <v>2060</v>
      </c>
      <c r="H10" s="2838">
        <v>0</v>
      </c>
      <c r="I10" s="2838">
        <f>H10*75</f>
        <v>0</v>
      </c>
      <c r="J10" s="2848" t="s">
        <v>4465</v>
      </c>
      <c r="K10" s="2838">
        <v>0</v>
      </c>
      <c r="L10" s="2841">
        <f>K10*160</f>
        <v>0</v>
      </c>
      <c r="M10" s="2915"/>
      <c r="N10" s="2358"/>
      <c r="O10" s="2358"/>
      <c r="P10" s="2344"/>
    </row>
    <row r="11" spans="3:16" outlineLevel="1">
      <c r="D11" s="2347"/>
      <c r="E11" s="2829"/>
      <c r="F11" s="2846"/>
      <c r="G11" s="2847" t="s">
        <v>2061</v>
      </c>
      <c r="H11" s="2838">
        <v>0</v>
      </c>
      <c r="I11" s="2838">
        <f>H11*100</f>
        <v>0</v>
      </c>
      <c r="J11" s="2848" t="s">
        <v>4466</v>
      </c>
      <c r="K11" s="2838">
        <v>0</v>
      </c>
      <c r="L11" s="2841">
        <f>K11*250</f>
        <v>0</v>
      </c>
      <c r="M11" s="2915"/>
      <c r="N11" s="2358"/>
      <c r="O11" s="2358"/>
      <c r="P11" s="2344"/>
    </row>
    <row r="12" spans="3:16" outlineLevel="1">
      <c r="D12" s="2347"/>
      <c r="E12" s="2829"/>
      <c r="F12" s="2846"/>
      <c r="G12" s="2849"/>
      <c r="H12" s="2838"/>
      <c r="I12" s="2850"/>
      <c r="J12" s="2848" t="s">
        <v>4467</v>
      </c>
      <c r="K12" s="2838">
        <v>0</v>
      </c>
      <c r="L12" s="2841">
        <f>K12*320</f>
        <v>0</v>
      </c>
      <c r="M12" s="2915"/>
      <c r="N12" s="2358"/>
      <c r="O12" s="2358"/>
      <c r="P12" s="2344"/>
    </row>
    <row r="13" spans="3:16" outlineLevel="1">
      <c r="D13" s="2347"/>
      <c r="E13" s="2829"/>
      <c r="F13" s="2846"/>
      <c r="G13" s="2849"/>
      <c r="H13" s="2838"/>
      <c r="I13" s="2850"/>
      <c r="J13" s="2848" t="s">
        <v>4468</v>
      </c>
      <c r="K13" s="2838">
        <v>0</v>
      </c>
      <c r="L13" s="2841">
        <f>K13*400</f>
        <v>0</v>
      </c>
      <c r="M13" s="2915"/>
      <c r="N13" s="2358"/>
      <c r="O13" s="2358"/>
      <c r="P13" s="2344"/>
    </row>
    <row r="14" spans="3:16" outlineLevel="1">
      <c r="D14" s="2347"/>
      <c r="E14" s="2829"/>
      <c r="F14" s="2846"/>
      <c r="G14" s="2849"/>
      <c r="H14" s="2838"/>
      <c r="I14" s="2850"/>
      <c r="J14" s="2848" t="s">
        <v>4469</v>
      </c>
      <c r="K14" s="2838">
        <v>0</v>
      </c>
      <c r="L14" s="2841">
        <f>K14*560</f>
        <v>0</v>
      </c>
      <c r="M14" s="2915"/>
      <c r="N14" s="2358"/>
      <c r="O14" s="2358"/>
      <c r="P14" s="2344"/>
    </row>
    <row r="15" spans="3:16" outlineLevel="1">
      <c r="D15" s="2347"/>
      <c r="E15" s="2829"/>
      <c r="F15" s="2846"/>
      <c r="G15" s="2849"/>
      <c r="H15" s="2838"/>
      <c r="I15" s="2850"/>
      <c r="J15" s="2848" t="s">
        <v>4470</v>
      </c>
      <c r="K15" s="2838">
        <v>0</v>
      </c>
      <c r="L15" s="2841">
        <f>K15*630</f>
        <v>0</v>
      </c>
      <c r="M15" s="2915"/>
      <c r="N15" s="2358"/>
      <c r="O15" s="2358"/>
      <c r="P15" s="2344"/>
    </row>
    <row r="16" spans="3:16" outlineLevel="1">
      <c r="D16" s="2347"/>
      <c r="E16" s="2829"/>
      <c r="F16" s="2846"/>
      <c r="G16" s="2849"/>
      <c r="H16" s="2838"/>
      <c r="I16" s="2850"/>
      <c r="J16" s="2848" t="s">
        <v>6183</v>
      </c>
      <c r="K16" s="2838">
        <v>1</v>
      </c>
      <c r="L16" s="2841">
        <f>K16*750</f>
        <v>750</v>
      </c>
      <c r="M16" s="2915"/>
      <c r="N16" s="2358"/>
      <c r="O16" s="2358"/>
      <c r="P16" s="2344"/>
    </row>
    <row r="17" spans="1:26" outlineLevel="1">
      <c r="D17" s="2347"/>
      <c r="E17" s="2829"/>
      <c r="F17" s="2851"/>
      <c r="G17" s="2847"/>
      <c r="H17" s="2838"/>
      <c r="I17" s="2850"/>
      <c r="J17" s="2852">
        <v>1000</v>
      </c>
      <c r="K17" s="2838">
        <v>0</v>
      </c>
      <c r="L17" s="2841">
        <f>K17*1000</f>
        <v>0</v>
      </c>
      <c r="M17" s="2916"/>
      <c r="N17" s="2358"/>
      <c r="O17" s="2358"/>
      <c r="P17" s="2344"/>
    </row>
    <row r="18" spans="1:26" outlineLevel="1">
      <c r="D18" s="2347"/>
      <c r="E18" s="2829"/>
      <c r="F18" s="2851"/>
      <c r="G18" s="2847"/>
      <c r="H18" s="2838"/>
      <c r="I18" s="2850"/>
      <c r="J18" s="2852">
        <v>1250</v>
      </c>
      <c r="K18" s="2838"/>
      <c r="L18" s="2841">
        <f>K18*1000</f>
        <v>0</v>
      </c>
      <c r="M18" s="2916"/>
      <c r="N18" s="2358"/>
      <c r="O18" s="2358"/>
      <c r="P18" s="2344"/>
    </row>
    <row r="19" spans="1:26" outlineLevel="1">
      <c r="D19" s="2347"/>
      <c r="E19" s="2829"/>
      <c r="F19" s="2851"/>
      <c r="G19" s="2847"/>
      <c r="H19" s="2838"/>
      <c r="I19" s="2850"/>
      <c r="J19" s="2852">
        <v>1500</v>
      </c>
      <c r="K19" s="2838">
        <v>0</v>
      </c>
      <c r="L19" s="2841">
        <f>K19*1500</f>
        <v>0</v>
      </c>
      <c r="M19" s="2916"/>
      <c r="N19" s="2358"/>
      <c r="O19" s="2358"/>
      <c r="P19" s="2344"/>
    </row>
    <row r="20" spans="1:26" outlineLevel="1">
      <c r="D20" s="2347"/>
      <c r="E20" s="2829"/>
      <c r="F20" s="2851"/>
      <c r="G20" s="2847"/>
      <c r="H20" s="2838"/>
      <c r="I20" s="2850"/>
      <c r="J20" s="2852">
        <v>1600</v>
      </c>
      <c r="K20" s="2838">
        <v>0</v>
      </c>
      <c r="L20" s="2841">
        <f>K20*1600</f>
        <v>0</v>
      </c>
      <c r="M20" s="2916"/>
      <c r="N20" s="2358"/>
      <c r="O20" s="2358"/>
      <c r="P20" s="2344"/>
    </row>
    <row r="21" spans="1:26" outlineLevel="1">
      <c r="E21" s="2829"/>
      <c r="F21" s="2853"/>
      <c r="G21" s="2854"/>
      <c r="H21" s="2838"/>
      <c r="I21" s="2855"/>
      <c r="J21" s="2856">
        <v>2000</v>
      </c>
      <c r="K21" s="2838">
        <v>0</v>
      </c>
      <c r="L21" s="2841">
        <f>K21*2000</f>
        <v>0</v>
      </c>
      <c r="M21" s="2914"/>
      <c r="N21" s="2358"/>
      <c r="O21" s="2358"/>
      <c r="P21" s="2344"/>
    </row>
    <row r="22" spans="1:26" outlineLevel="1">
      <c r="E22" s="2857"/>
      <c r="F22" s="2858"/>
      <c r="G22" s="2859"/>
      <c r="H22" s="2860"/>
      <c r="I22" s="2855"/>
      <c r="J22" s="2856">
        <v>2500</v>
      </c>
      <c r="K22" s="2838">
        <v>0</v>
      </c>
      <c r="L22" s="2841">
        <f>K22*2500</f>
        <v>0</v>
      </c>
      <c r="M22" s="2861"/>
      <c r="N22" s="2358"/>
      <c r="O22" s="2358"/>
      <c r="P22" s="2344"/>
    </row>
    <row r="23" spans="1:26" outlineLevel="1">
      <c r="E23" s="2857">
        <f>750*1.5</f>
        <v>1125</v>
      </c>
      <c r="F23" s="2858"/>
      <c r="G23" s="2859"/>
      <c r="H23" s="2860"/>
      <c r="I23" s="2855">
        <f>SUM(I6:I11)</f>
        <v>0</v>
      </c>
      <c r="J23" s="2862" t="s">
        <v>6184</v>
      </c>
      <c r="K23" s="2838">
        <v>0</v>
      </c>
      <c r="L23" s="2841">
        <f>+K23*180</f>
        <v>0</v>
      </c>
      <c r="M23" s="2861"/>
      <c r="N23" s="2358"/>
      <c r="O23" s="2358"/>
      <c r="P23" s="2344"/>
    </row>
    <row r="24" spans="1:26" ht="13.8" hidden="1" customHeight="1">
      <c r="A24" s="2344" t="s">
        <v>512</v>
      </c>
      <c r="F24" s="2350"/>
      <c r="G24" s="2351"/>
      <c r="H24" s="2352"/>
      <c r="I24" s="2346">
        <f>+SUM(I6:I23)</f>
        <v>0</v>
      </c>
      <c r="J24" s="2353"/>
      <c r="K24" s="2352"/>
      <c r="L24" s="2346">
        <f>+SUM(L6:L23)</f>
        <v>750</v>
      </c>
      <c r="M24" s="2349"/>
    </row>
    <row r="25" spans="1:26" ht="13.8" hidden="1" customHeight="1">
      <c r="F25" s="2350"/>
      <c r="G25" s="2351"/>
      <c r="H25" s="2352"/>
      <c r="I25" s="2355"/>
      <c r="J25" s="2353"/>
      <c r="K25" s="2352"/>
      <c r="L25" s="2355"/>
      <c r="M25" s="2349"/>
    </row>
    <row r="26" spans="1:26" s="2356" customFormat="1" ht="16.8" hidden="1" customHeight="1">
      <c r="A26" s="2356" t="s">
        <v>1016</v>
      </c>
      <c r="C26" s="2863" t="s">
        <v>6480</v>
      </c>
      <c r="D26" s="2864"/>
      <c r="E26" s="2864"/>
      <c r="F26" s="2864"/>
      <c r="G26" s="2865"/>
      <c r="H26" s="2864"/>
      <c r="I26" s="2864"/>
      <c r="J26" s="2864"/>
      <c r="K26" s="2864"/>
      <c r="L26" s="2864"/>
      <c r="M26" s="2864"/>
      <c r="N26" s="2864"/>
      <c r="O26" s="2864"/>
      <c r="P26" s="2866"/>
      <c r="R26" s="2357"/>
    </row>
    <row r="27" spans="1:26" s="2358" customFormat="1" ht="16.8" customHeight="1">
      <c r="C27" s="2863" t="s">
        <v>6185</v>
      </c>
      <c r="D27" s="2397"/>
      <c r="E27" s="2397"/>
      <c r="F27" s="2397"/>
      <c r="G27" s="2397"/>
      <c r="H27" s="2397"/>
      <c r="I27" s="2397"/>
      <c r="J27" s="2397"/>
      <c r="K27" s="2397"/>
      <c r="L27" s="2397"/>
      <c r="M27" s="2397"/>
      <c r="N27" s="2402"/>
      <c r="O27" s="2402"/>
      <c r="P27" s="2867"/>
      <c r="R27" s="2344"/>
    </row>
    <row r="28" spans="1:26" ht="13.8" customHeight="1">
      <c r="A28" s="2355" t="str">
        <f>IF(G34&lt;&gt;0,1," ")</f>
        <v xml:space="preserve"> </v>
      </c>
      <c r="C28" s="2868"/>
      <c r="D28" s="2869"/>
      <c r="E28" s="2360"/>
      <c r="G28" s="2344"/>
      <c r="P28" s="2344"/>
      <c r="Q28" s="2359"/>
      <c r="R28" s="2359"/>
      <c r="S28" s="2359"/>
      <c r="T28" s="2359"/>
      <c r="U28" s="2359"/>
      <c r="V28" s="2359"/>
      <c r="W28" s="2359"/>
      <c r="X28" s="2359"/>
      <c r="Y28" s="2359"/>
      <c r="Z28" s="2359"/>
    </row>
    <row r="29" spans="1:26" outlineLevel="1">
      <c r="A29" s="2355" t="str">
        <f>A28</f>
        <v xml:space="preserve"> </v>
      </c>
      <c r="C29" s="2360" t="str">
        <f>"BẢNG TỔNG HỢP VẬT LIỆU, NHÂN CÔNG, MÁY THI CÔNG: "&amp;H6&amp;" TRẠM 1P15KVA"</f>
        <v>BẢNG TỔNG HỢP VẬT LIỆU, NHÂN CÔNG, MÁY THI CÔNG: 0 TRẠM 1P15KVA</v>
      </c>
      <c r="D29" s="2870"/>
      <c r="E29" s="2871"/>
      <c r="F29" s="2397"/>
      <c r="G29" s="2397"/>
      <c r="H29" s="2397"/>
      <c r="I29" s="2397"/>
      <c r="J29" s="2397"/>
      <c r="K29" s="2397"/>
      <c r="L29" s="2397"/>
      <c r="M29" s="2397"/>
      <c r="N29" s="2397"/>
      <c r="O29" s="2397"/>
      <c r="P29" s="2360"/>
      <c r="Q29" s="2359"/>
      <c r="R29" s="2359"/>
      <c r="S29" s="2359"/>
      <c r="T29" s="2359"/>
      <c r="U29" s="2359"/>
      <c r="V29" s="2359"/>
      <c r="W29" s="2359"/>
      <c r="X29" s="2359"/>
      <c r="Y29" s="2359"/>
      <c r="Z29" s="2359"/>
    </row>
    <row r="30" spans="1:26" outlineLevel="1">
      <c r="A30" s="2355"/>
      <c r="C30" s="2360"/>
      <c r="D30" s="2870"/>
      <c r="E30" s="2344"/>
      <c r="F30" s="2360"/>
      <c r="G30" s="2360"/>
      <c r="H30" s="2360"/>
      <c r="I30" s="2360"/>
      <c r="J30" s="2360"/>
      <c r="K30" s="2360"/>
      <c r="L30" s="2360"/>
      <c r="M30" s="2360"/>
      <c r="N30" s="2360"/>
      <c r="O30" s="2360"/>
      <c r="P30" s="2360"/>
      <c r="Q30" s="2359"/>
      <c r="R30" s="2359"/>
      <c r="S30" s="2359"/>
      <c r="T30" s="2359"/>
      <c r="U30" s="2359"/>
      <c r="V30" s="2359"/>
      <c r="W30" s="2359"/>
      <c r="X30" s="2359"/>
      <c r="Y30" s="2359"/>
      <c r="Z30" s="2359"/>
    </row>
    <row r="31" spans="1:26" s="2358" customFormat="1" outlineLevel="1">
      <c r="A31" s="2361" t="str">
        <f>A29</f>
        <v xml:space="preserve"> </v>
      </c>
      <c r="B31" s="2361" t="s">
        <v>6186</v>
      </c>
      <c r="C31" s="2901" t="s">
        <v>1712</v>
      </c>
      <c r="D31" s="2902" t="s">
        <v>2605</v>
      </c>
      <c r="E31" s="2904" t="s">
        <v>2606</v>
      </c>
      <c r="F31" s="2901" t="s">
        <v>2601</v>
      </c>
      <c r="G31" s="2362" t="s">
        <v>6187</v>
      </c>
      <c r="H31" s="2365" t="s">
        <v>6188</v>
      </c>
      <c r="I31" s="2872"/>
      <c r="J31" s="2872"/>
      <c r="K31" s="2873"/>
      <c r="L31" s="2365" t="s">
        <v>6189</v>
      </c>
      <c r="M31" s="2872"/>
      <c r="N31" s="2872"/>
      <c r="O31" s="2873"/>
      <c r="P31" s="2901" t="s">
        <v>2607</v>
      </c>
      <c r="Q31" s="2363"/>
      <c r="R31" s="2363"/>
      <c r="S31" s="2363"/>
      <c r="T31" s="2363"/>
      <c r="U31" s="2363"/>
      <c r="V31" s="2363"/>
      <c r="W31" s="2363"/>
      <c r="X31" s="2363"/>
      <c r="Y31" s="2363"/>
      <c r="Z31" s="2363"/>
    </row>
    <row r="32" spans="1:26" s="2358" customFormat="1" outlineLevel="1">
      <c r="A32" s="2361" t="str">
        <f>A31</f>
        <v xml:space="preserve"> </v>
      </c>
      <c r="B32" s="2361"/>
      <c r="C32" s="2901"/>
      <c r="D32" s="2903"/>
      <c r="E32" s="2905"/>
      <c r="F32" s="2901"/>
      <c r="G32" s="2364" t="s">
        <v>2292</v>
      </c>
      <c r="H32" s="2365" t="s">
        <v>6190</v>
      </c>
      <c r="I32" s="2365" t="s">
        <v>6191</v>
      </c>
      <c r="J32" s="2365" t="s">
        <v>6192</v>
      </c>
      <c r="K32" s="2365" t="s">
        <v>6193</v>
      </c>
      <c r="L32" s="2365" t="s">
        <v>6190</v>
      </c>
      <c r="M32" s="2365" t="s">
        <v>6191</v>
      </c>
      <c r="N32" s="2365" t="s">
        <v>6192</v>
      </c>
      <c r="O32" s="2365" t="s">
        <v>6193</v>
      </c>
      <c r="P32" s="2901"/>
      <c r="Q32" s="2363"/>
      <c r="R32" s="2363"/>
      <c r="S32" s="2363"/>
      <c r="T32" s="2363"/>
      <c r="U32" s="2363"/>
      <c r="V32" s="2363"/>
      <c r="W32" s="2363"/>
      <c r="X32" s="2363"/>
      <c r="Y32" s="2363"/>
      <c r="Z32" s="2363"/>
    </row>
    <row r="33" spans="1:27" s="2358" customFormat="1" outlineLevel="1">
      <c r="A33" s="2361" t="str">
        <f>A32</f>
        <v xml:space="preserve"> </v>
      </c>
      <c r="B33" s="2361"/>
      <c r="C33" s="2366"/>
      <c r="D33" s="2367"/>
      <c r="E33" s="2368" t="s">
        <v>3690</v>
      </c>
      <c r="F33" s="2369"/>
      <c r="G33" s="2369"/>
      <c r="H33" s="2369"/>
      <c r="I33" s="2369"/>
      <c r="J33" s="2369"/>
      <c r="K33" s="2369"/>
      <c r="L33" s="2369"/>
      <c r="M33" s="2369"/>
      <c r="N33" s="2369"/>
      <c r="O33" s="2367"/>
      <c r="P33" s="2370"/>
      <c r="Q33" s="2363"/>
      <c r="R33" s="2363"/>
      <c r="S33" s="2363"/>
      <c r="T33" s="2363"/>
      <c r="U33" s="2363"/>
      <c r="V33" s="2363"/>
      <c r="W33" s="2363"/>
      <c r="X33" s="2363"/>
      <c r="Y33" s="2363"/>
      <c r="Z33" s="2363"/>
    </row>
    <row r="34" spans="1:27" s="2358" customFormat="1" outlineLevel="1">
      <c r="A34" s="2361" t="str">
        <f t="shared" ref="A34:A65" si="0">VLOOKUP(B34,DonGia,3,0)</f>
        <v>Máy biến áp 12,7/0,22-0,44kV  15kVA</v>
      </c>
      <c r="B34" s="2371" t="str">
        <f>IF($F$8=22,"TR151","TR15")</f>
        <v>TR151</v>
      </c>
      <c r="C34" s="2372">
        <f>IF(G34&gt;0,1,0)</f>
        <v>0</v>
      </c>
      <c r="D34" s="2373" t="s">
        <v>5645</v>
      </c>
      <c r="E34" s="2374" t="s">
        <v>3324</v>
      </c>
      <c r="F34" s="2373" t="s">
        <v>3318</v>
      </c>
      <c r="G34" s="2375">
        <f>H6</f>
        <v>0</v>
      </c>
      <c r="H34" s="2376">
        <v>25444000</v>
      </c>
      <c r="I34" s="2376"/>
      <c r="J34" s="2376">
        <v>546322</v>
      </c>
      <c r="K34" s="2376">
        <v>284508</v>
      </c>
      <c r="L34" s="2377">
        <f t="shared" ref="L34:L41" si="1">H34*G34</f>
        <v>0</v>
      </c>
      <c r="M34" s="2377">
        <f t="shared" ref="M34:M41" si="2">I34*G34</f>
        <v>0</v>
      </c>
      <c r="N34" s="2377">
        <f t="shared" ref="N34:N41" si="3">J34*G34</f>
        <v>0</v>
      </c>
      <c r="O34" s="2378">
        <f t="shared" ref="O34:O41" si="4">K34*G34</f>
        <v>0</v>
      </c>
      <c r="P34" s="2379"/>
      <c r="R34" s="2363"/>
      <c r="S34" s="2363"/>
      <c r="T34" s="2363"/>
      <c r="U34" s="2363"/>
      <c r="V34" s="2363"/>
      <c r="W34" s="2363"/>
      <c r="X34" s="2363"/>
      <c r="Y34" s="2363"/>
      <c r="Z34" s="2363"/>
      <c r="AA34" s="2363"/>
    </row>
    <row r="35" spans="1:27" s="2358" customFormat="1" outlineLevel="1">
      <c r="A35" s="2361" t="str">
        <f t="shared" si="0"/>
        <v>FCO 27kV - 100A</v>
      </c>
      <c r="B35" s="2371" t="str">
        <f>"FCO100-"&amp;$F$8</f>
        <v>FCO100-22</v>
      </c>
      <c r="C35" s="2372">
        <f t="shared" ref="C35:C41" si="5">IF(G35&gt;0,C34+1,C34)</f>
        <v>0</v>
      </c>
      <c r="D35" s="2373" t="s">
        <v>5660</v>
      </c>
      <c r="E35" s="2374" t="s">
        <v>95</v>
      </c>
      <c r="F35" s="2373" t="s">
        <v>2563</v>
      </c>
      <c r="G35" s="2380">
        <f>+G34</f>
        <v>0</v>
      </c>
      <c r="H35" s="2376">
        <v>2244280</v>
      </c>
      <c r="I35" s="2376"/>
      <c r="J35" s="2376">
        <v>222639.99999999997</v>
      </c>
      <c r="K35" s="2381"/>
      <c r="L35" s="2382">
        <f t="shared" si="1"/>
        <v>0</v>
      </c>
      <c r="M35" s="2382">
        <f t="shared" si="2"/>
        <v>0</v>
      </c>
      <c r="N35" s="2382">
        <f t="shared" si="3"/>
        <v>0</v>
      </c>
      <c r="O35" s="2381">
        <f t="shared" si="4"/>
        <v>0</v>
      </c>
      <c r="P35" s="2380"/>
      <c r="R35" s="2363"/>
      <c r="S35" s="2363"/>
      <c r="T35" s="2363"/>
      <c r="U35" s="2363"/>
      <c r="V35" s="2363"/>
      <c r="W35" s="2363"/>
      <c r="X35" s="2363"/>
      <c r="Y35" s="2363"/>
      <c r="Z35" s="2363"/>
      <c r="AA35" s="2363"/>
    </row>
    <row r="36" spans="1:27" s="2358" customFormat="1" outlineLevel="1">
      <c r="A36" s="2361" t="str">
        <f t="shared" si="0"/>
        <v>Dây chảy 3K</v>
      </c>
      <c r="B36" s="2383" t="s">
        <v>888</v>
      </c>
      <c r="C36" s="2372">
        <f t="shared" si="5"/>
        <v>0</v>
      </c>
      <c r="D36" s="2373">
        <v>0</v>
      </c>
      <c r="E36" s="2374" t="s">
        <v>3440</v>
      </c>
      <c r="F36" s="2373" t="s">
        <v>2608</v>
      </c>
      <c r="G36" s="2380">
        <f>G35</f>
        <v>0</v>
      </c>
      <c r="H36" s="2376">
        <v>84000</v>
      </c>
      <c r="I36" s="2376"/>
      <c r="J36" s="2376">
        <v>0</v>
      </c>
      <c r="K36" s="2381"/>
      <c r="L36" s="2382">
        <f t="shared" si="1"/>
        <v>0</v>
      </c>
      <c r="M36" s="2382">
        <f t="shared" si="2"/>
        <v>0</v>
      </c>
      <c r="N36" s="2382">
        <f t="shared" si="3"/>
        <v>0</v>
      </c>
      <c r="O36" s="2381">
        <f t="shared" si="4"/>
        <v>0</v>
      </c>
      <c r="P36" s="2380"/>
      <c r="R36" s="2384"/>
    </row>
    <row r="37" spans="1:27" s="2358" customFormat="1" outlineLevel="1">
      <c r="A37" s="2361" t="str">
        <f t="shared" si="0"/>
        <v>Chống sét van LA-18KV-10KA</v>
      </c>
      <c r="B37" s="2383" t="str">
        <f>"LA"&amp;F6</f>
        <v>LA18</v>
      </c>
      <c r="C37" s="2372">
        <f t="shared" si="5"/>
        <v>0</v>
      </c>
      <c r="D37" s="2373" t="s">
        <v>5664</v>
      </c>
      <c r="E37" s="2374" t="s">
        <v>1193</v>
      </c>
      <c r="F37" s="2373" t="s">
        <v>2563</v>
      </c>
      <c r="G37" s="2380">
        <f>G35</f>
        <v>0</v>
      </c>
      <c r="H37" s="2376">
        <v>1106000</v>
      </c>
      <c r="I37" s="2376"/>
      <c r="J37" s="2376">
        <v>83490</v>
      </c>
      <c r="K37" s="2381"/>
      <c r="L37" s="2382">
        <f t="shared" si="1"/>
        <v>0</v>
      </c>
      <c r="M37" s="2382">
        <f t="shared" si="2"/>
        <v>0</v>
      </c>
      <c r="N37" s="2382">
        <f t="shared" si="3"/>
        <v>0</v>
      </c>
      <c r="O37" s="2381">
        <f t="shared" si="4"/>
        <v>0</v>
      </c>
      <c r="P37" s="2380"/>
      <c r="R37" s="2384"/>
    </row>
    <row r="38" spans="1:27" s="2358" customFormat="1" outlineLevel="1">
      <c r="A38" s="2361" t="str">
        <f t="shared" si="0"/>
        <v>MCCB 3 cực 400V-75A - 10KA</v>
      </c>
      <c r="B38" s="2385" t="s">
        <v>81</v>
      </c>
      <c r="C38" s="2372">
        <f t="shared" si="5"/>
        <v>0</v>
      </c>
      <c r="D38" s="2373">
        <v>0</v>
      </c>
      <c r="E38" s="2374" t="s">
        <v>5741</v>
      </c>
      <c r="F38" s="2373" t="s">
        <v>2563</v>
      </c>
      <c r="G38" s="2380">
        <f>G34</f>
        <v>0</v>
      </c>
      <c r="H38" s="2376">
        <v>2616000</v>
      </c>
      <c r="I38" s="2376"/>
      <c r="J38" s="2376">
        <v>0</v>
      </c>
      <c r="K38" s="2381"/>
      <c r="L38" s="2382">
        <f t="shared" si="1"/>
        <v>0</v>
      </c>
      <c r="M38" s="2382">
        <f>I38*G38</f>
        <v>0</v>
      </c>
      <c r="N38" s="2382">
        <f>J38*G38</f>
        <v>0</v>
      </c>
      <c r="O38" s="2381">
        <f>K38*G38</f>
        <v>0</v>
      </c>
      <c r="P38" s="2380"/>
      <c r="R38" s="2384"/>
    </row>
    <row r="39" spans="1:27" s="2358" customFormat="1" outlineLevel="1">
      <c r="A39" s="2361" t="str">
        <f t="shared" si="0"/>
        <v>Điện kế 1 pha 2 dây 220V-80A</v>
      </c>
      <c r="B39" s="2386" t="s">
        <v>2199</v>
      </c>
      <c r="C39" s="2372">
        <f t="shared" si="5"/>
        <v>0</v>
      </c>
      <c r="D39" s="2373">
        <v>0</v>
      </c>
      <c r="E39" s="2374" t="s">
        <v>3456</v>
      </c>
      <c r="F39" s="2373" t="s">
        <v>2563</v>
      </c>
      <c r="G39" s="2380">
        <f>G34</f>
        <v>0</v>
      </c>
      <c r="H39" s="2376"/>
      <c r="I39" s="2376"/>
      <c r="J39" s="2381"/>
      <c r="K39" s="2381"/>
      <c r="L39" s="2382">
        <f t="shared" si="1"/>
        <v>0</v>
      </c>
      <c r="M39" s="2382">
        <f t="shared" si="2"/>
        <v>0</v>
      </c>
      <c r="N39" s="2382">
        <f t="shared" si="3"/>
        <v>0</v>
      </c>
      <c r="O39" s="2381">
        <f t="shared" si="4"/>
        <v>0</v>
      </c>
      <c r="P39" s="2380" t="s">
        <v>6194</v>
      </c>
      <c r="R39" s="2384"/>
    </row>
    <row r="40" spans="1:27" s="2358" customFormat="1" outlineLevel="1">
      <c r="A40" s="2361" t="str">
        <f t="shared" si="0"/>
        <v xml:space="preserve">Ampe kế 100/5A-600v +AS </v>
      </c>
      <c r="B40" s="2383" t="s">
        <v>199</v>
      </c>
      <c r="C40" s="2372">
        <f t="shared" si="5"/>
        <v>0</v>
      </c>
      <c r="D40" s="2373">
        <v>0</v>
      </c>
      <c r="E40" s="2374" t="s">
        <v>3613</v>
      </c>
      <c r="F40" s="2373" t="s">
        <v>2391</v>
      </c>
      <c r="G40" s="2380">
        <f>G39</f>
        <v>0</v>
      </c>
      <c r="H40" s="2376"/>
      <c r="I40" s="2376"/>
      <c r="J40" s="2381"/>
      <c r="K40" s="2387"/>
      <c r="L40" s="2382">
        <f t="shared" si="1"/>
        <v>0</v>
      </c>
      <c r="M40" s="2382">
        <f t="shared" si="2"/>
        <v>0</v>
      </c>
      <c r="N40" s="2382">
        <f t="shared" si="3"/>
        <v>0</v>
      </c>
      <c r="O40" s="2381">
        <f t="shared" si="4"/>
        <v>0</v>
      </c>
      <c r="P40" s="2380" t="s">
        <v>6194</v>
      </c>
      <c r="R40" s="2384"/>
    </row>
    <row r="41" spans="1:27" s="2358" customFormat="1" outlineLevel="1">
      <c r="A41" s="2361" t="str">
        <f t="shared" si="0"/>
        <v>Volt kế 500V + VS + 2xChì ống 1A-230V</v>
      </c>
      <c r="B41" s="2383" t="s">
        <v>200</v>
      </c>
      <c r="C41" s="2372">
        <f t="shared" si="5"/>
        <v>0</v>
      </c>
      <c r="D41" s="2373">
        <v>0</v>
      </c>
      <c r="E41" s="2374" t="s">
        <v>3614</v>
      </c>
      <c r="F41" s="2373" t="s">
        <v>2391</v>
      </c>
      <c r="G41" s="2380">
        <f>G40</f>
        <v>0</v>
      </c>
      <c r="H41" s="2376"/>
      <c r="I41" s="2376"/>
      <c r="J41" s="2381"/>
      <c r="K41" s="2387"/>
      <c r="L41" s="2382">
        <f t="shared" si="1"/>
        <v>0</v>
      </c>
      <c r="M41" s="2382">
        <f t="shared" si="2"/>
        <v>0</v>
      </c>
      <c r="N41" s="2382">
        <f t="shared" si="3"/>
        <v>0</v>
      </c>
      <c r="O41" s="2381">
        <f t="shared" si="4"/>
        <v>0</v>
      </c>
      <c r="P41" s="2380" t="s">
        <v>6194</v>
      </c>
      <c r="R41" s="2384"/>
    </row>
    <row r="42" spans="1:27" s="2358" customFormat="1" outlineLevel="1">
      <c r="A42" s="2361" t="e">
        <f t="shared" si="0"/>
        <v>#N/A</v>
      </c>
      <c r="B42" s="2361"/>
      <c r="C42" s="2388"/>
      <c r="D42" s="2389"/>
      <c r="E42" s="2874"/>
      <c r="F42" s="2388"/>
      <c r="G42" s="2388"/>
      <c r="H42" s="2388"/>
      <c r="I42" s="2388"/>
      <c r="J42" s="2370" t="s">
        <v>6195</v>
      </c>
      <c r="K42" s="2388"/>
      <c r="L42" s="2370">
        <f>SUM(L34:L41)</f>
        <v>0</v>
      </c>
      <c r="M42" s="2370">
        <f>SUM(M34:M41)</f>
        <v>0</v>
      </c>
      <c r="N42" s="2370">
        <f>SUM(N34:N41)</f>
        <v>0</v>
      </c>
      <c r="O42" s="2370">
        <f>SUM(O34:O41)</f>
        <v>0</v>
      </c>
      <c r="P42" s="2388"/>
      <c r="R42" s="2384"/>
    </row>
    <row r="43" spans="1:27" s="2358" customFormat="1" outlineLevel="1">
      <c r="A43" s="2361" t="e">
        <f t="shared" si="0"/>
        <v>#N/A</v>
      </c>
      <c r="B43" s="2361"/>
      <c r="C43" s="2390"/>
      <c r="D43" s="2391"/>
      <c r="E43" s="2368" t="s">
        <v>3691</v>
      </c>
      <c r="F43" s="2392"/>
      <c r="G43" s="2392"/>
      <c r="H43" s="2392"/>
      <c r="I43" s="2392"/>
      <c r="J43" s="2392"/>
      <c r="K43" s="2392"/>
      <c r="L43" s="2392"/>
      <c r="M43" s="2392"/>
      <c r="N43" s="2392"/>
      <c r="O43" s="2391"/>
      <c r="P43" s="2388"/>
      <c r="R43" s="2384"/>
    </row>
    <row r="44" spans="1:27" s="2358" customFormat="1" outlineLevel="1">
      <c r="A44" s="2361" t="str">
        <f t="shared" si="0"/>
        <v>Boulon 16x300+ 2 long đền vuông D18-50x50x3/Zn</v>
      </c>
      <c r="B44" s="2383" t="s">
        <v>1613</v>
      </c>
      <c r="C44" s="2393">
        <f>IF(G45&gt;0,1,0)</f>
        <v>0</v>
      </c>
      <c r="D44" s="2394"/>
      <c r="E44" s="2374" t="s">
        <v>2657</v>
      </c>
      <c r="F44" s="2373" t="s">
        <v>2445</v>
      </c>
      <c r="G44" s="2395">
        <f>G34*2</f>
        <v>0</v>
      </c>
      <c r="H44" s="2376">
        <v>25400</v>
      </c>
      <c r="I44" s="2376"/>
      <c r="J44" s="2376"/>
      <c r="K44" s="2376">
        <v>0</v>
      </c>
      <c r="L44" s="2382">
        <f t="shared" ref="L44:L115" si="6">H44*G44</f>
        <v>0</v>
      </c>
      <c r="M44" s="2396"/>
      <c r="N44" s="2397"/>
      <c r="O44" s="2396"/>
      <c r="P44" s="2379"/>
      <c r="R44" s="2384"/>
    </row>
    <row r="45" spans="1:27" s="2358" customFormat="1" outlineLevel="1">
      <c r="A45" s="2361" t="e">
        <f t="shared" si="0"/>
        <v>#N/A</v>
      </c>
      <c r="B45" s="2383"/>
      <c r="C45" s="2398">
        <f>IF(G45&gt;0,C44+1,C44)</f>
        <v>0</v>
      </c>
      <c r="D45" s="2399"/>
      <c r="E45" s="2400" t="s">
        <v>6196</v>
      </c>
      <c r="F45" s="2395" t="s">
        <v>2391</v>
      </c>
      <c r="G45" s="2395"/>
      <c r="H45" s="2381"/>
      <c r="I45" s="2381"/>
      <c r="J45" s="2381"/>
      <c r="K45" s="2381"/>
      <c r="L45" s="2382">
        <f t="shared" si="6"/>
        <v>0</v>
      </c>
      <c r="M45" s="2382">
        <f t="shared" ref="M45:M115" si="7">I45*G45</f>
        <v>0</v>
      </c>
      <c r="N45" s="2382">
        <f>J45*G45</f>
        <v>0</v>
      </c>
      <c r="O45" s="2381">
        <f t="shared" ref="O45:O115" si="8">K45*G45</f>
        <v>0</v>
      </c>
      <c r="P45" s="2380"/>
    </row>
    <row r="46" spans="1:27" s="2358" customFormat="1" ht="14.4" outlineLevel="1">
      <c r="A46" s="2361" t="e">
        <f t="shared" si="0"/>
        <v>#N/A</v>
      </c>
      <c r="B46" s="2383"/>
      <c r="C46" s="2395"/>
      <c r="D46" s="2399"/>
      <c r="E46" s="2401" t="s">
        <v>2285</v>
      </c>
      <c r="F46" s="2380"/>
      <c r="G46" s="2380"/>
      <c r="H46" s="2381"/>
      <c r="I46" s="2381"/>
      <c r="J46" s="2381"/>
      <c r="K46" s="2381"/>
      <c r="L46" s="2382">
        <f t="shared" si="6"/>
        <v>0</v>
      </c>
      <c r="M46" s="2382">
        <f t="shared" si="7"/>
        <v>0</v>
      </c>
      <c r="N46" s="2382">
        <f>J46*G46</f>
        <v>0</v>
      </c>
      <c r="O46" s="2381">
        <f t="shared" si="8"/>
        <v>0</v>
      </c>
      <c r="P46" s="2380"/>
      <c r="R46" s="2402"/>
    </row>
    <row r="47" spans="1:27" s="2358" customFormat="1" outlineLevel="1">
      <c r="A47" s="2361" t="str">
        <f t="shared" si="0"/>
        <v>Trụ BTLT 12m F350 dự ứng lực</v>
      </c>
      <c r="B47" s="2386" t="s">
        <v>115</v>
      </c>
      <c r="C47" s="2380"/>
      <c r="D47" s="2373">
        <v>0</v>
      </c>
      <c r="E47" s="2374" t="s">
        <v>3009</v>
      </c>
      <c r="F47" s="2373" t="s">
        <v>2839</v>
      </c>
      <c r="G47" s="2380">
        <f>1*G45</f>
        <v>0</v>
      </c>
      <c r="H47" s="2376">
        <v>4400000</v>
      </c>
      <c r="I47" s="2376"/>
      <c r="J47" s="2376">
        <v>0</v>
      </c>
      <c r="K47" s="2376">
        <v>0</v>
      </c>
      <c r="L47" s="2382">
        <f t="shared" si="6"/>
        <v>0</v>
      </c>
      <c r="M47" s="2382">
        <f t="shared" si="7"/>
        <v>0</v>
      </c>
      <c r="N47" s="2382">
        <f>J47*G47</f>
        <v>0</v>
      </c>
      <c r="O47" s="2381">
        <f t="shared" si="8"/>
        <v>0</v>
      </c>
      <c r="P47" s="2380"/>
      <c r="R47" s="2402"/>
    </row>
    <row r="48" spans="1:27" s="2358" customFormat="1" outlineLevel="1">
      <c r="A48" s="2361" t="str">
        <f t="shared" si="0"/>
        <v>Vật liệu dựng trụ</v>
      </c>
      <c r="B48" s="2386" t="s">
        <v>1818</v>
      </c>
      <c r="C48" s="2380"/>
      <c r="D48" s="2403"/>
      <c r="E48" s="2374" t="s">
        <v>2838</v>
      </c>
      <c r="F48" s="2373" t="s">
        <v>2839</v>
      </c>
      <c r="G48" s="2380">
        <f>G47</f>
        <v>0</v>
      </c>
      <c r="H48" s="2376">
        <v>17400</v>
      </c>
      <c r="I48" s="2376"/>
      <c r="J48" s="2376">
        <v>0</v>
      </c>
      <c r="K48" s="2376">
        <v>0</v>
      </c>
      <c r="L48" s="2382">
        <f t="shared" si="6"/>
        <v>0</v>
      </c>
      <c r="M48" s="2382">
        <f t="shared" si="7"/>
        <v>0</v>
      </c>
      <c r="N48" s="2382">
        <f>J48*G48</f>
        <v>0</v>
      </c>
      <c r="O48" s="2381">
        <f t="shared" si="8"/>
        <v>0</v>
      </c>
      <c r="P48" s="2380"/>
      <c r="R48" s="2402"/>
    </row>
    <row r="49" spans="1:18" s="2358" customFormat="1" outlineLevel="1">
      <c r="A49" s="2361" t="str">
        <f t="shared" si="0"/>
        <v>Dựng trụ BTLT 12m trong TBA bằng thủ công + cơ giới</v>
      </c>
      <c r="B49" s="2386" t="s">
        <v>2132</v>
      </c>
      <c r="C49" s="2380"/>
      <c r="D49" s="2373" t="s">
        <v>2133</v>
      </c>
      <c r="E49" s="2374" t="s">
        <v>3185</v>
      </c>
      <c r="F49" s="2373" t="s">
        <v>2839</v>
      </c>
      <c r="G49" s="2380">
        <f>G47</f>
        <v>0</v>
      </c>
      <c r="H49" s="2376">
        <v>0</v>
      </c>
      <c r="I49" s="2376"/>
      <c r="J49" s="2376">
        <v>112286</v>
      </c>
      <c r="K49" s="2376">
        <v>105970</v>
      </c>
      <c r="L49" s="2382">
        <f t="shared" si="6"/>
        <v>0</v>
      </c>
      <c r="M49" s="2382">
        <f t="shared" si="7"/>
        <v>0</v>
      </c>
      <c r="N49" s="2382">
        <f>J49*G49</f>
        <v>0</v>
      </c>
      <c r="O49" s="2381">
        <f t="shared" si="8"/>
        <v>0</v>
      </c>
      <c r="P49" s="2380"/>
      <c r="R49" s="2402"/>
    </row>
    <row r="50" spans="1:18" s="2358" customFormat="1" outlineLevel="1">
      <c r="A50" s="2361" t="e">
        <f t="shared" si="0"/>
        <v>#N/A</v>
      </c>
      <c r="B50" s="2383"/>
      <c r="C50" s="2398">
        <f>IF(G50&gt;0,C45+1,C45)</f>
        <v>0</v>
      </c>
      <c r="D50" s="2399"/>
      <c r="E50" s="2400" t="s">
        <v>6197</v>
      </c>
      <c r="F50" s="2395" t="s">
        <v>2391</v>
      </c>
      <c r="G50" s="2395"/>
      <c r="H50" s="2381"/>
      <c r="I50" s="2381"/>
      <c r="J50" s="2381"/>
      <c r="K50" s="2381"/>
      <c r="L50" s="2382">
        <f t="shared" si="6"/>
        <v>0</v>
      </c>
      <c r="M50" s="2382">
        <f t="shared" si="7"/>
        <v>0</v>
      </c>
      <c r="N50" s="2382">
        <f t="shared" ref="N50:N64" si="9">J50*G50</f>
        <v>0</v>
      </c>
      <c r="O50" s="2381">
        <f t="shared" si="8"/>
        <v>0</v>
      </c>
      <c r="P50" s="2380"/>
    </row>
    <row r="51" spans="1:18" s="2358" customFormat="1" ht="14.4" outlineLevel="1">
      <c r="A51" s="2361" t="e">
        <f t="shared" si="0"/>
        <v>#N/A</v>
      </c>
      <c r="B51" s="2383"/>
      <c r="C51" s="2395"/>
      <c r="D51" s="2399"/>
      <c r="E51" s="2401" t="s">
        <v>2285</v>
      </c>
      <c r="F51" s="2380"/>
      <c r="G51" s="2380"/>
      <c r="H51" s="2381"/>
      <c r="I51" s="2381"/>
      <c r="J51" s="2381"/>
      <c r="K51" s="2381"/>
      <c r="L51" s="2382">
        <f t="shared" si="6"/>
        <v>0</v>
      </c>
      <c r="M51" s="2382">
        <f t="shared" si="7"/>
        <v>0</v>
      </c>
      <c r="N51" s="2382">
        <f t="shared" si="9"/>
        <v>0</v>
      </c>
      <c r="O51" s="2381">
        <f t="shared" si="8"/>
        <v>0</v>
      </c>
      <c r="P51" s="2380"/>
      <c r="R51" s="2402"/>
    </row>
    <row r="52" spans="1:18" s="2358" customFormat="1" outlineLevel="1">
      <c r="A52" s="2361" t="str">
        <f t="shared" si="0"/>
        <v>Đà cản BTCT 1,2m</v>
      </c>
      <c r="B52" s="2386" t="s">
        <v>636</v>
      </c>
      <c r="C52" s="2380"/>
      <c r="D52" s="2373" t="s">
        <v>5099</v>
      </c>
      <c r="E52" s="2374" t="s">
        <v>2615</v>
      </c>
      <c r="F52" s="2373" t="s">
        <v>2563</v>
      </c>
      <c r="G52" s="2380">
        <f>1*G50</f>
        <v>0</v>
      </c>
      <c r="H52" s="2376">
        <v>354545</v>
      </c>
      <c r="I52" s="2376"/>
      <c r="J52" s="2376">
        <v>37220.25</v>
      </c>
      <c r="K52" s="2376">
        <v>0</v>
      </c>
      <c r="L52" s="2382">
        <f t="shared" si="6"/>
        <v>0</v>
      </c>
      <c r="M52" s="2382">
        <f t="shared" si="7"/>
        <v>0</v>
      </c>
      <c r="N52" s="2382">
        <f t="shared" si="9"/>
        <v>0</v>
      </c>
      <c r="O52" s="2381">
        <f t="shared" si="8"/>
        <v>0</v>
      </c>
      <c r="P52" s="2380"/>
      <c r="R52" s="2402"/>
    </row>
    <row r="53" spans="1:18" s="2358" customFormat="1" outlineLevel="1">
      <c r="A53" s="2361" t="str">
        <f t="shared" si="0"/>
        <v>Boulon 22x650+ 2 long đền vuông D24-50x50x3/Zn</v>
      </c>
      <c r="B53" s="2386" t="s">
        <v>566</v>
      </c>
      <c r="C53" s="2380"/>
      <c r="D53" s="2373">
        <v>0</v>
      </c>
      <c r="E53" s="2374" t="s">
        <v>5124</v>
      </c>
      <c r="F53" s="2373" t="s">
        <v>2445</v>
      </c>
      <c r="G53" s="2380">
        <f>G50</f>
        <v>0</v>
      </c>
      <c r="H53" s="2376">
        <v>92200</v>
      </c>
      <c r="I53" s="2376"/>
      <c r="J53" s="2376">
        <v>0</v>
      </c>
      <c r="K53" s="2376">
        <v>0</v>
      </c>
      <c r="L53" s="2382">
        <f t="shared" si="6"/>
        <v>0</v>
      </c>
      <c r="M53" s="2382">
        <f t="shared" si="7"/>
        <v>0</v>
      </c>
      <c r="N53" s="2382">
        <f t="shared" si="9"/>
        <v>0</v>
      </c>
      <c r="O53" s="2381">
        <f t="shared" si="8"/>
        <v>0</v>
      </c>
      <c r="P53" s="2380"/>
      <c r="R53" s="2402"/>
    </row>
    <row r="54" spans="1:18" s="2358" customFormat="1" outlineLevel="1">
      <c r="A54" s="2361" t="str">
        <f t="shared" si="0"/>
        <v>Đào hố móng đất cấp 3 sâu &gt;1m</v>
      </c>
      <c r="B54" s="2386" t="s">
        <v>639</v>
      </c>
      <c r="C54" s="2380"/>
      <c r="D54" s="2373" t="s">
        <v>1751</v>
      </c>
      <c r="E54" s="2374" t="s">
        <v>5386</v>
      </c>
      <c r="F54" s="2373" t="s">
        <v>856</v>
      </c>
      <c r="G54" s="2404">
        <f>G50*1.45</f>
        <v>0</v>
      </c>
      <c r="H54" s="2376">
        <v>0</v>
      </c>
      <c r="I54" s="2376"/>
      <c r="J54" s="2376">
        <v>296500.89999999997</v>
      </c>
      <c r="K54" s="2376">
        <v>0</v>
      </c>
      <c r="L54" s="2382">
        <f>H54*G54</f>
        <v>0</v>
      </c>
      <c r="M54" s="2382">
        <f>I54*G54</f>
        <v>0</v>
      </c>
      <c r="N54" s="2382">
        <f>J54*G54</f>
        <v>0</v>
      </c>
      <c r="O54" s="2381">
        <f>K54*G54</f>
        <v>0</v>
      </c>
      <c r="P54" s="2380"/>
      <c r="R54" s="2402"/>
    </row>
    <row r="55" spans="1:18" s="2358" customFormat="1" outlineLevel="1">
      <c r="A55" s="2361" t="str">
        <f t="shared" si="0"/>
        <v>Đắp đất hố móng, độ chặt k=0,95</v>
      </c>
      <c r="B55" s="2386" t="s">
        <v>21</v>
      </c>
      <c r="C55" s="2380"/>
      <c r="D55" s="2373" t="s">
        <v>5387</v>
      </c>
      <c r="E55" s="2374" t="s">
        <v>5388</v>
      </c>
      <c r="F55" s="2373" t="s">
        <v>856</v>
      </c>
      <c r="G55" s="2404">
        <f>G50*1.37</f>
        <v>0</v>
      </c>
      <c r="H55" s="2376">
        <v>0</v>
      </c>
      <c r="I55" s="2376"/>
      <c r="J55" s="2376">
        <v>117703.6</v>
      </c>
      <c r="K55" s="2376">
        <v>0</v>
      </c>
      <c r="L55" s="2382">
        <f t="shared" si="6"/>
        <v>0</v>
      </c>
      <c r="M55" s="2382">
        <f t="shared" si="7"/>
        <v>0</v>
      </c>
      <c r="N55" s="2382">
        <f t="shared" si="9"/>
        <v>0</v>
      </c>
      <c r="O55" s="2381">
        <f t="shared" si="8"/>
        <v>0</v>
      </c>
      <c r="P55" s="2380"/>
      <c r="R55" s="2402"/>
    </row>
    <row r="56" spans="1:18" s="2358" customFormat="1" outlineLevel="1">
      <c r="A56" s="2361" t="e">
        <f t="shared" si="0"/>
        <v>#N/A</v>
      </c>
      <c r="B56" s="2383"/>
      <c r="C56" s="2398">
        <f>IF(G56&gt;0,C50+1,C50)</f>
        <v>0</v>
      </c>
      <c r="D56" s="2399"/>
      <c r="E56" s="2400" t="s">
        <v>6198</v>
      </c>
      <c r="F56" s="2395" t="s">
        <v>2391</v>
      </c>
      <c r="G56" s="2395">
        <f>SUM(G44:G44)</f>
        <v>0</v>
      </c>
      <c r="H56" s="2381"/>
      <c r="I56" s="2381"/>
      <c r="J56" s="2381"/>
      <c r="K56" s="2381"/>
      <c r="L56" s="2382">
        <f t="shared" si="6"/>
        <v>0</v>
      </c>
      <c r="M56" s="2382">
        <f t="shared" si="7"/>
        <v>0</v>
      </c>
      <c r="N56" s="2382">
        <f t="shared" si="9"/>
        <v>0</v>
      </c>
      <c r="O56" s="2381">
        <f t="shared" si="8"/>
        <v>0</v>
      </c>
      <c r="P56" s="2380"/>
    </row>
    <row r="57" spans="1:18" s="2358" customFormat="1" ht="14.4" outlineLevel="1">
      <c r="A57" s="2361" t="e">
        <f t="shared" si="0"/>
        <v>#N/A</v>
      </c>
      <c r="B57" s="2383"/>
      <c r="C57" s="2395"/>
      <c r="D57" s="2399"/>
      <c r="E57" s="2401" t="s">
        <v>2285</v>
      </c>
      <c r="F57" s="2380"/>
      <c r="G57" s="2380"/>
      <c r="H57" s="2381"/>
      <c r="I57" s="2381"/>
      <c r="J57" s="2381"/>
      <c r="K57" s="2381"/>
      <c r="L57" s="2382">
        <f t="shared" si="6"/>
        <v>0</v>
      </c>
      <c r="M57" s="2382">
        <f t="shared" si="7"/>
        <v>0</v>
      </c>
      <c r="N57" s="2382">
        <f t="shared" si="9"/>
        <v>0</v>
      </c>
      <c r="O57" s="2381">
        <f t="shared" si="8"/>
        <v>0</v>
      </c>
      <c r="P57" s="2380"/>
      <c r="R57" s="2402"/>
    </row>
    <row r="58" spans="1:18" s="2358" customFormat="1" outlineLevel="1">
      <c r="A58" s="2361" t="str">
        <f t="shared" si="0"/>
        <v>Đà Composite 110x80x5x800</v>
      </c>
      <c r="B58" s="2386" t="s">
        <v>5218</v>
      </c>
      <c r="C58" s="2380"/>
      <c r="D58" s="2373">
        <v>0</v>
      </c>
      <c r="E58" s="2374" t="s">
        <v>4904</v>
      </c>
      <c r="F58" s="2405" t="s">
        <v>2598</v>
      </c>
      <c r="G58" s="2380">
        <f>1*G56</f>
        <v>0</v>
      </c>
      <c r="H58" s="2376">
        <v>320000</v>
      </c>
      <c r="I58" s="2376"/>
      <c r="J58" s="2376">
        <v>0</v>
      </c>
      <c r="K58" s="2376">
        <v>0</v>
      </c>
      <c r="L58" s="2382">
        <f t="shared" si="6"/>
        <v>0</v>
      </c>
      <c r="M58" s="2382">
        <f t="shared" si="7"/>
        <v>0</v>
      </c>
      <c r="N58" s="2382">
        <f t="shared" si="9"/>
        <v>0</v>
      </c>
      <c r="O58" s="2381">
        <f t="shared" si="8"/>
        <v>0</v>
      </c>
      <c r="P58" s="2380"/>
      <c r="R58" s="2402"/>
    </row>
    <row r="59" spans="1:18" s="2358" customFormat="1" outlineLevel="1">
      <c r="A59" s="2361" t="str">
        <f t="shared" si="0"/>
        <v>Chống Composite 40x10x710</v>
      </c>
      <c r="B59" s="2386" t="s">
        <v>5222</v>
      </c>
      <c r="C59" s="2380"/>
      <c r="D59" s="2403"/>
      <c r="E59" s="2374" t="s">
        <v>5223</v>
      </c>
      <c r="F59" s="2373" t="s">
        <v>5221</v>
      </c>
      <c r="G59" s="2380">
        <f>1*G56</f>
        <v>0</v>
      </c>
      <c r="H59" s="2376">
        <v>95000</v>
      </c>
      <c r="I59" s="2376"/>
      <c r="J59" s="2376">
        <v>0</v>
      </c>
      <c r="K59" s="2376">
        <v>0</v>
      </c>
      <c r="L59" s="2382">
        <f t="shared" si="6"/>
        <v>0</v>
      </c>
      <c r="M59" s="2382">
        <f t="shared" si="7"/>
        <v>0</v>
      </c>
      <c r="N59" s="2382">
        <f t="shared" si="9"/>
        <v>0</v>
      </c>
      <c r="O59" s="2381">
        <f t="shared" si="8"/>
        <v>0</v>
      </c>
      <c r="P59" s="2380"/>
      <c r="R59" s="2402"/>
    </row>
    <row r="60" spans="1:18" s="2358" customFormat="1" outlineLevel="1">
      <c r="A60" s="2361" t="str">
        <f t="shared" si="0"/>
        <v>Bass LL bắt FCO, LA</v>
      </c>
      <c r="B60" s="2386" t="s">
        <v>2277</v>
      </c>
      <c r="C60" s="2380"/>
      <c r="D60" s="2403"/>
      <c r="E60" s="2374" t="s">
        <v>5130</v>
      </c>
      <c r="F60" s="2373" t="s">
        <v>2445</v>
      </c>
      <c r="G60" s="2380">
        <f>1*G56</f>
        <v>0</v>
      </c>
      <c r="H60" s="2376">
        <v>65000</v>
      </c>
      <c r="I60" s="2376"/>
      <c r="J60" s="2376">
        <v>0</v>
      </c>
      <c r="K60" s="2376">
        <v>0</v>
      </c>
      <c r="L60" s="2382">
        <f t="shared" si="6"/>
        <v>0</v>
      </c>
      <c r="M60" s="2382">
        <f t="shared" si="7"/>
        <v>0</v>
      </c>
      <c r="N60" s="2382">
        <f t="shared" si="9"/>
        <v>0</v>
      </c>
      <c r="O60" s="2381">
        <f t="shared" si="8"/>
        <v>0</v>
      </c>
      <c r="P60" s="2380"/>
      <c r="R60" s="2402"/>
    </row>
    <row r="61" spans="1:18" s="2358" customFormat="1" outlineLevel="1">
      <c r="A61" s="2361" t="str">
        <f t="shared" si="0"/>
        <v>Nắp che đầu cực FCO</v>
      </c>
      <c r="B61" s="2383" t="s">
        <v>6199</v>
      </c>
      <c r="C61" s="2380"/>
      <c r="D61" s="2403"/>
      <c r="E61" s="2374" t="s">
        <v>5762</v>
      </c>
      <c r="F61" s="2373" t="s">
        <v>2563</v>
      </c>
      <c r="G61" s="2380">
        <f>1*$G$35</f>
        <v>0</v>
      </c>
      <c r="H61" s="2376">
        <v>218200</v>
      </c>
      <c r="I61" s="2376"/>
      <c r="J61" s="2376">
        <v>0</v>
      </c>
      <c r="K61" s="2376">
        <v>0</v>
      </c>
      <c r="L61" s="2382">
        <f t="shared" si="6"/>
        <v>0</v>
      </c>
      <c r="M61" s="2382">
        <f t="shared" si="7"/>
        <v>0</v>
      </c>
      <c r="N61" s="2382">
        <f t="shared" si="9"/>
        <v>0</v>
      </c>
      <c r="O61" s="2381">
        <f t="shared" si="8"/>
        <v>0</v>
      </c>
      <c r="P61" s="2380"/>
      <c r="R61" s="2402"/>
    </row>
    <row r="62" spans="1:18" s="2358" customFormat="1" outlineLevel="1">
      <c r="A62" s="2361" t="str">
        <f t="shared" si="0"/>
        <v>Nắp che đầu cực LA</v>
      </c>
      <c r="B62" s="2383" t="s">
        <v>6200</v>
      </c>
      <c r="C62" s="2380"/>
      <c r="D62" s="2403"/>
      <c r="E62" s="2374" t="s">
        <v>5768</v>
      </c>
      <c r="F62" s="2373" t="s">
        <v>2563</v>
      </c>
      <c r="G62" s="2380">
        <f>1*$G$37</f>
        <v>0</v>
      </c>
      <c r="H62" s="2376">
        <v>39100</v>
      </c>
      <c r="I62" s="2376"/>
      <c r="J62" s="2376">
        <v>0</v>
      </c>
      <c r="K62" s="2376">
        <v>0</v>
      </c>
      <c r="L62" s="2382">
        <f t="shared" si="6"/>
        <v>0</v>
      </c>
      <c r="M62" s="2382">
        <f t="shared" si="7"/>
        <v>0</v>
      </c>
      <c r="N62" s="2382">
        <f t="shared" si="9"/>
        <v>0</v>
      </c>
      <c r="O62" s="2381">
        <f t="shared" si="8"/>
        <v>0</v>
      </c>
      <c r="P62" s="2380"/>
      <c r="R62" s="2402"/>
    </row>
    <row r="63" spans="1:18" s="2358" customFormat="1" outlineLevel="1">
      <c r="A63" s="2361" t="str">
        <f t="shared" si="0"/>
        <v>Boulon 16x350+ 2 long đền vuông D18-50x50x3/Zn</v>
      </c>
      <c r="B63" s="2383" t="s">
        <v>1079</v>
      </c>
      <c r="C63" s="2380"/>
      <c r="D63" s="2403"/>
      <c r="E63" s="2374" t="s">
        <v>2659</v>
      </c>
      <c r="F63" s="2373" t="s">
        <v>2445</v>
      </c>
      <c r="G63" s="2380">
        <f>2*G56</f>
        <v>0</v>
      </c>
      <c r="H63" s="2376">
        <v>27900</v>
      </c>
      <c r="I63" s="2376"/>
      <c r="J63" s="2376">
        <v>0</v>
      </c>
      <c r="K63" s="2376">
        <v>0</v>
      </c>
      <c r="L63" s="2382">
        <f t="shared" si="6"/>
        <v>0</v>
      </c>
      <c r="M63" s="2382">
        <f t="shared" si="7"/>
        <v>0</v>
      </c>
      <c r="N63" s="2382">
        <f t="shared" si="9"/>
        <v>0</v>
      </c>
      <c r="O63" s="2381">
        <f t="shared" si="8"/>
        <v>0</v>
      </c>
      <c r="P63" s="2380"/>
      <c r="R63" s="2402"/>
    </row>
    <row r="64" spans="1:18" s="2358" customFormat="1" outlineLevel="1">
      <c r="A64" s="2361" t="str">
        <f t="shared" si="0"/>
        <v>Boulon 16x150+ 2 long đền vuông D18-50x50x3/Zn</v>
      </c>
      <c r="B64" s="2383" t="s">
        <v>244</v>
      </c>
      <c r="C64" s="2380"/>
      <c r="D64" s="2403"/>
      <c r="E64" s="2374" t="s">
        <v>2649</v>
      </c>
      <c r="F64" s="2373" t="s">
        <v>2445</v>
      </c>
      <c r="G64" s="2380">
        <f>1*G56</f>
        <v>0</v>
      </c>
      <c r="H64" s="2376">
        <v>18900</v>
      </c>
      <c r="I64" s="2376"/>
      <c r="J64" s="2376">
        <v>0</v>
      </c>
      <c r="K64" s="2376">
        <v>0</v>
      </c>
      <c r="L64" s="2382">
        <f t="shared" si="6"/>
        <v>0</v>
      </c>
      <c r="M64" s="2382">
        <f t="shared" si="7"/>
        <v>0</v>
      </c>
      <c r="N64" s="2382">
        <f t="shared" si="9"/>
        <v>0</v>
      </c>
      <c r="O64" s="2381">
        <f t="shared" si="8"/>
        <v>0</v>
      </c>
      <c r="P64" s="2380"/>
      <c r="R64" s="2402"/>
    </row>
    <row r="65" spans="1:16" s="2358" customFormat="1" outlineLevel="1">
      <c r="A65" s="2361" t="str">
        <f t="shared" si="0"/>
        <v>Lắp xà đỡ ≤ 25kg</v>
      </c>
      <c r="B65" s="2386" t="s">
        <v>1999</v>
      </c>
      <c r="C65" s="2380"/>
      <c r="D65" s="2373" t="s">
        <v>5440</v>
      </c>
      <c r="E65" s="2374" t="s">
        <v>5441</v>
      </c>
      <c r="F65" s="2373" t="s">
        <v>2445</v>
      </c>
      <c r="G65" s="2380">
        <f>G56</f>
        <v>0</v>
      </c>
      <c r="H65" s="2376">
        <v>0</v>
      </c>
      <c r="I65" s="2381"/>
      <c r="J65" s="2406" t="s">
        <v>6380</v>
      </c>
      <c r="K65" s="2376">
        <v>0</v>
      </c>
      <c r="L65" s="2382">
        <f t="shared" si="6"/>
        <v>0</v>
      </c>
      <c r="M65" s="2382">
        <f t="shared" si="7"/>
        <v>0</v>
      </c>
      <c r="N65" s="2407">
        <v>0</v>
      </c>
      <c r="O65" s="2381">
        <f t="shared" si="8"/>
        <v>0</v>
      </c>
      <c r="P65" s="2408"/>
    </row>
    <row r="66" spans="1:16" s="2358" customFormat="1" outlineLevel="1">
      <c r="A66" s="2361" t="e">
        <f t="shared" ref="A66:A97" si="10">VLOOKUP(B66,DonGia,3,0)</f>
        <v>#N/A</v>
      </c>
      <c r="B66" s="2383"/>
      <c r="C66" s="2398">
        <f>IF(G66&gt;0,C56+1,C56)</f>
        <v>0</v>
      </c>
      <c r="D66" s="2399"/>
      <c r="E66" s="2400" t="s">
        <v>6201</v>
      </c>
      <c r="F66" s="2395" t="s">
        <v>2391</v>
      </c>
      <c r="G66" s="2395">
        <f>G34</f>
        <v>0</v>
      </c>
      <c r="H66" s="2381"/>
      <c r="I66" s="2381"/>
      <c r="J66" s="2381"/>
      <c r="K66" s="2381"/>
      <c r="L66" s="2382">
        <f t="shared" si="6"/>
        <v>0</v>
      </c>
      <c r="M66" s="2382">
        <f t="shared" si="7"/>
        <v>0</v>
      </c>
      <c r="N66" s="2382">
        <f t="shared" ref="N66:N72" si="11">J66*G66</f>
        <v>0</v>
      </c>
      <c r="O66" s="2381">
        <f t="shared" si="8"/>
        <v>0</v>
      </c>
      <c r="P66" s="2380"/>
    </row>
    <row r="67" spans="1:16" s="2358" customFormat="1" ht="14.4" outlineLevel="1">
      <c r="A67" s="2361" t="e">
        <f t="shared" si="10"/>
        <v>#N/A</v>
      </c>
      <c r="B67" s="2383"/>
      <c r="C67" s="2380"/>
      <c r="D67" s="2403"/>
      <c r="E67" s="2401" t="s">
        <v>2285</v>
      </c>
      <c r="F67" s="2380"/>
      <c r="G67" s="2380"/>
      <c r="H67" s="2381"/>
      <c r="I67" s="2381"/>
      <c r="J67" s="2381"/>
      <c r="K67" s="2381"/>
      <c r="L67" s="2382">
        <f t="shared" si="6"/>
        <v>0</v>
      </c>
      <c r="M67" s="2382">
        <f t="shared" si="7"/>
        <v>0</v>
      </c>
      <c r="N67" s="2382">
        <f t="shared" si="11"/>
        <v>0</v>
      </c>
      <c r="O67" s="2381">
        <f t="shared" si="8"/>
        <v>0</v>
      </c>
      <c r="P67" s="2380"/>
    </row>
    <row r="68" spans="1:16" s="2358" customFormat="1" outlineLevel="1">
      <c r="A68" s="2361" t="str">
        <f t="shared" si="10"/>
        <v>Cáp đồng trần M25mm2</v>
      </c>
      <c r="B68" s="2383" t="s">
        <v>1033</v>
      </c>
      <c r="C68" s="2380"/>
      <c r="D68" s="2373">
        <v>0</v>
      </c>
      <c r="E68" s="2374" t="s">
        <v>6381</v>
      </c>
      <c r="F68" s="2373" t="s">
        <v>2254</v>
      </c>
      <c r="G68" s="2409">
        <f>$H$3*G66*0.224</f>
        <v>0</v>
      </c>
      <c r="H68" s="2376">
        <v>255500</v>
      </c>
      <c r="I68" s="2376"/>
      <c r="J68" s="2376">
        <v>0</v>
      </c>
      <c r="K68" s="2376">
        <v>0</v>
      </c>
      <c r="L68" s="2382">
        <f t="shared" si="6"/>
        <v>0</v>
      </c>
      <c r="M68" s="2382">
        <f t="shared" si="7"/>
        <v>0</v>
      </c>
      <c r="N68" s="2382">
        <f t="shared" si="11"/>
        <v>0</v>
      </c>
      <c r="O68" s="2381">
        <f t="shared" si="8"/>
        <v>0</v>
      </c>
      <c r="P68" s="2380"/>
    </row>
    <row r="69" spans="1:16" s="2358" customFormat="1" outlineLevel="1">
      <c r="A69" s="2361" t="str">
        <f t="shared" si="10"/>
        <v>Cọc tiếp đất Þ 16- 2,4m + kẹp cọc mạ đồng</v>
      </c>
      <c r="B69" s="2386" t="s">
        <v>1511</v>
      </c>
      <c r="C69" s="2380"/>
      <c r="D69" s="2373">
        <v>0</v>
      </c>
      <c r="E69" s="2374" t="s">
        <v>5224</v>
      </c>
      <c r="F69" s="2373" t="s">
        <v>2445</v>
      </c>
      <c r="G69" s="2380">
        <f>$H$2*G66</f>
        <v>0</v>
      </c>
      <c r="H69" s="2376">
        <v>160000</v>
      </c>
      <c r="I69" s="2376"/>
      <c r="J69" s="2376">
        <v>0</v>
      </c>
      <c r="K69" s="2376">
        <v>0</v>
      </c>
      <c r="L69" s="2382">
        <f t="shared" si="6"/>
        <v>0</v>
      </c>
      <c r="M69" s="2382">
        <f t="shared" si="7"/>
        <v>0</v>
      </c>
      <c r="N69" s="2382">
        <f t="shared" si="11"/>
        <v>0</v>
      </c>
      <c r="O69" s="2381">
        <f t="shared" si="8"/>
        <v>0</v>
      </c>
      <c r="P69" s="2380"/>
    </row>
    <row r="70" spans="1:16" s="2358" customFormat="1" outlineLevel="1">
      <c r="A70" s="2361" t="str">
        <f t="shared" si="10"/>
        <v xml:space="preserve">Ống PVC D21x1,6mm </v>
      </c>
      <c r="B70" s="2386" t="s">
        <v>1493</v>
      </c>
      <c r="C70" s="2380"/>
      <c r="D70" s="2373">
        <v>0</v>
      </c>
      <c r="E70" s="2374" t="s">
        <v>3554</v>
      </c>
      <c r="F70" s="2373" t="s">
        <v>1827</v>
      </c>
      <c r="G70" s="2380">
        <f>6*G66</f>
        <v>0</v>
      </c>
      <c r="H70" s="2376">
        <v>6200</v>
      </c>
      <c r="I70" s="2376"/>
      <c r="J70" s="2376">
        <v>0</v>
      </c>
      <c r="K70" s="2376">
        <v>0</v>
      </c>
      <c r="L70" s="2382">
        <f t="shared" si="6"/>
        <v>0</v>
      </c>
      <c r="M70" s="2382">
        <f t="shared" si="7"/>
        <v>0</v>
      </c>
      <c r="N70" s="2382">
        <f t="shared" si="11"/>
        <v>0</v>
      </c>
      <c r="O70" s="2381">
        <f t="shared" si="8"/>
        <v>0</v>
      </c>
      <c r="P70" s="2380"/>
    </row>
    <row r="71" spans="1:16" s="2358" customFormat="1" outlineLevel="1">
      <c r="A71" s="2361" t="str">
        <f t="shared" si="10"/>
        <v>Kẹp ép WR cỡ dây 50mm2</v>
      </c>
      <c r="B71" s="2383" t="s">
        <v>905</v>
      </c>
      <c r="C71" s="2380"/>
      <c r="D71" s="2373">
        <v>0</v>
      </c>
      <c r="E71" s="2374" t="s">
        <v>2889</v>
      </c>
      <c r="F71" s="2373" t="s">
        <v>2563</v>
      </c>
      <c r="G71" s="2380">
        <f>2*G66</f>
        <v>0</v>
      </c>
      <c r="H71" s="2376">
        <v>8000</v>
      </c>
      <c r="I71" s="2376"/>
      <c r="J71" s="2376">
        <v>0</v>
      </c>
      <c r="K71" s="2376">
        <v>0</v>
      </c>
      <c r="L71" s="2382">
        <f t="shared" si="6"/>
        <v>0</v>
      </c>
      <c r="M71" s="2382">
        <f t="shared" si="7"/>
        <v>0</v>
      </c>
      <c r="N71" s="2382">
        <f t="shared" si="11"/>
        <v>0</v>
      </c>
      <c r="O71" s="2381">
        <f t="shared" si="8"/>
        <v>0</v>
      </c>
      <c r="P71" s="2380"/>
    </row>
    <row r="72" spans="1:16" s="2358" customFormat="1" outlineLevel="1">
      <c r="A72" s="2361" t="str">
        <f t="shared" si="10"/>
        <v>Kẹp ép cỡ dây 25mm2</v>
      </c>
      <c r="B72" s="2383" t="s">
        <v>1114</v>
      </c>
      <c r="C72" s="2380"/>
      <c r="D72" s="2373">
        <v>0</v>
      </c>
      <c r="E72" s="2374" t="s">
        <v>2887</v>
      </c>
      <c r="F72" s="2373" t="s">
        <v>2563</v>
      </c>
      <c r="G72" s="2380">
        <f>G66*14</f>
        <v>0</v>
      </c>
      <c r="H72" s="2376">
        <v>6000</v>
      </c>
      <c r="I72" s="2376"/>
      <c r="J72" s="2376">
        <v>0</v>
      </c>
      <c r="K72" s="2376">
        <v>0</v>
      </c>
      <c r="L72" s="2382">
        <f t="shared" si="6"/>
        <v>0</v>
      </c>
      <c r="M72" s="2382">
        <f t="shared" si="7"/>
        <v>0</v>
      </c>
      <c r="N72" s="2382">
        <f t="shared" si="11"/>
        <v>0</v>
      </c>
      <c r="O72" s="2381">
        <f t="shared" si="8"/>
        <v>0</v>
      </c>
      <c r="P72" s="2380"/>
    </row>
    <row r="73" spans="1:16" s="2358" customFormat="1" outlineLevel="1">
      <c r="A73" s="2361" t="str">
        <f t="shared" si="10"/>
        <v>Cổ dê kẹp ống PVC  21</v>
      </c>
      <c r="B73" s="2386" t="s">
        <v>525</v>
      </c>
      <c r="C73" s="2380"/>
      <c r="D73" s="2373">
        <v>0</v>
      </c>
      <c r="E73" s="2374" t="s">
        <v>6382</v>
      </c>
      <c r="F73" s="2373" t="s">
        <v>2445</v>
      </c>
      <c r="G73" s="2410">
        <f>G66*0.415</f>
        <v>0</v>
      </c>
      <c r="H73" s="2376">
        <v>43000</v>
      </c>
      <c r="I73" s="2381"/>
      <c r="J73" s="2376"/>
      <c r="K73" s="2376">
        <v>0</v>
      </c>
      <c r="L73" s="2382">
        <f t="shared" si="6"/>
        <v>0</v>
      </c>
      <c r="M73" s="2382">
        <f t="shared" si="7"/>
        <v>0</v>
      </c>
      <c r="N73" s="2376">
        <v>0</v>
      </c>
      <c r="O73" s="2381">
        <f t="shared" si="8"/>
        <v>0</v>
      </c>
      <c r="P73" s="2408"/>
    </row>
    <row r="74" spans="1:16" s="2358" customFormat="1" outlineLevel="1">
      <c r="A74" s="2361" t="str">
        <f t="shared" si="10"/>
        <v>Cổ dê kẹp ống PVC  21</v>
      </c>
      <c r="B74" s="2386" t="s">
        <v>525</v>
      </c>
      <c r="C74" s="2380"/>
      <c r="D74" s="2373">
        <v>0</v>
      </c>
      <c r="E74" s="2374" t="s">
        <v>6383</v>
      </c>
      <c r="F74" s="2373" t="s">
        <v>2445</v>
      </c>
      <c r="G74" s="2410">
        <f>G66*0.452</f>
        <v>0</v>
      </c>
      <c r="H74" s="2376">
        <v>43000</v>
      </c>
      <c r="I74" s="2381"/>
      <c r="J74" s="2376"/>
      <c r="K74" s="2376">
        <v>0</v>
      </c>
      <c r="L74" s="2382">
        <f t="shared" si="6"/>
        <v>0</v>
      </c>
      <c r="M74" s="2382"/>
      <c r="N74" s="2376">
        <v>0</v>
      </c>
      <c r="O74" s="2381">
        <f t="shared" si="8"/>
        <v>0</v>
      </c>
      <c r="P74" s="2408"/>
    </row>
    <row r="75" spans="1:16" s="2358" customFormat="1" outlineLevel="1">
      <c r="A75" s="2361" t="str">
        <f t="shared" si="10"/>
        <v>Cổ dê kẹp ống PVC  21</v>
      </c>
      <c r="B75" s="2386" t="s">
        <v>525</v>
      </c>
      <c r="C75" s="2380"/>
      <c r="D75" s="2373">
        <v>0</v>
      </c>
      <c r="E75" s="2374" t="s">
        <v>6384</v>
      </c>
      <c r="F75" s="2373" t="s">
        <v>2445</v>
      </c>
      <c r="G75" s="2410">
        <f>G66*0.501</f>
        <v>0</v>
      </c>
      <c r="H75" s="2376">
        <v>43000</v>
      </c>
      <c r="I75" s="2381"/>
      <c r="J75" s="2376"/>
      <c r="K75" s="2376">
        <v>0</v>
      </c>
      <c r="L75" s="2382">
        <f t="shared" si="6"/>
        <v>0</v>
      </c>
      <c r="M75" s="2382"/>
      <c r="N75" s="2376">
        <v>0</v>
      </c>
      <c r="O75" s="2381">
        <f t="shared" si="8"/>
        <v>0</v>
      </c>
      <c r="P75" s="2408"/>
    </row>
    <row r="76" spans="1:16" s="2358" customFormat="1" outlineLevel="1">
      <c r="A76" s="2361" t="str">
        <f t="shared" si="10"/>
        <v>Lắp cổ dề</v>
      </c>
      <c r="B76" s="2386" t="s">
        <v>1131</v>
      </c>
      <c r="C76" s="2380"/>
      <c r="D76" s="2373" t="s">
        <v>5333</v>
      </c>
      <c r="E76" s="2374" t="s">
        <v>6385</v>
      </c>
      <c r="F76" s="2373" t="s">
        <v>2563</v>
      </c>
      <c r="G76" s="2410">
        <f>G67*0.501</f>
        <v>0</v>
      </c>
      <c r="H76" s="2376"/>
      <c r="I76" s="2381"/>
      <c r="J76" s="2376">
        <v>77000</v>
      </c>
      <c r="K76" s="2376">
        <v>0</v>
      </c>
      <c r="L76" s="2382">
        <f t="shared" si="6"/>
        <v>0</v>
      </c>
      <c r="M76" s="2382"/>
      <c r="N76" s="2376">
        <v>0</v>
      </c>
      <c r="O76" s="2381">
        <f t="shared" si="8"/>
        <v>0</v>
      </c>
      <c r="P76" s="2408"/>
    </row>
    <row r="77" spans="1:16" s="2358" customFormat="1" outlineLevel="1">
      <c r="A77" s="2361" t="str">
        <f t="shared" si="10"/>
        <v>Boulon 12x40+ 2 long đền vuông D14-50x50x3/Zn</v>
      </c>
      <c r="B77" s="2386" t="s">
        <v>2023</v>
      </c>
      <c r="C77" s="2380"/>
      <c r="D77" s="2373">
        <v>0</v>
      </c>
      <c r="E77" s="2374" t="s">
        <v>2635</v>
      </c>
      <c r="F77" s="2373" t="s">
        <v>2445</v>
      </c>
      <c r="G77" s="2380">
        <f>G66*6</f>
        <v>0</v>
      </c>
      <c r="H77" s="2376">
        <v>8500</v>
      </c>
      <c r="I77" s="2381"/>
      <c r="J77" s="2376">
        <v>0</v>
      </c>
      <c r="K77" s="2376">
        <v>0</v>
      </c>
      <c r="L77" s="2382">
        <f t="shared" si="6"/>
        <v>0</v>
      </c>
      <c r="M77" s="2382"/>
      <c r="N77" s="2376">
        <v>0</v>
      </c>
      <c r="O77" s="2381">
        <f t="shared" si="8"/>
        <v>0</v>
      </c>
      <c r="P77" s="2408"/>
    </row>
    <row r="78" spans="1:16" s="2358" customFormat="1" outlineLevel="1">
      <c r="A78" s="2361" t="str">
        <f t="shared" si="10"/>
        <v>Đóng cọc tiếp địa trong TBA</v>
      </c>
      <c r="B78" s="2386" t="s">
        <v>902</v>
      </c>
      <c r="C78" s="2380"/>
      <c r="D78" s="2373" t="s">
        <v>5413</v>
      </c>
      <c r="E78" s="2374" t="s">
        <v>5414</v>
      </c>
      <c r="F78" s="2373" t="s">
        <v>2284</v>
      </c>
      <c r="G78" s="2380">
        <f>G69</f>
        <v>0</v>
      </c>
      <c r="H78" s="2376"/>
      <c r="I78" s="2376"/>
      <c r="J78" s="2376" t="s">
        <v>6386</v>
      </c>
      <c r="K78" s="2376">
        <v>1573.075</v>
      </c>
      <c r="L78" s="2382">
        <f t="shared" si="6"/>
        <v>0</v>
      </c>
      <c r="M78" s="2382">
        <f>I78*G78</f>
        <v>0</v>
      </c>
      <c r="N78" s="2376">
        <v>0</v>
      </c>
      <c r="O78" s="2381">
        <f t="shared" si="8"/>
        <v>0</v>
      </c>
      <c r="P78" s="2380"/>
    </row>
    <row r="79" spans="1:16" s="2358" customFormat="1" outlineLevel="1">
      <c r="A79" s="2361" t="str">
        <f t="shared" si="10"/>
        <v>Kéo dây tiếp địa trong TBA</v>
      </c>
      <c r="B79" s="2386" t="s">
        <v>2189</v>
      </c>
      <c r="C79" s="2380"/>
      <c r="D79" s="2373" t="s">
        <v>5408</v>
      </c>
      <c r="E79" s="2374" t="s">
        <v>5409</v>
      </c>
      <c r="F79" s="2373" t="s">
        <v>2538</v>
      </c>
      <c r="G79" s="2380">
        <f>G66*$H$3</f>
        <v>0</v>
      </c>
      <c r="H79" s="2376"/>
      <c r="I79" s="2376"/>
      <c r="J79" s="2376">
        <v>8070.7000000000007</v>
      </c>
      <c r="K79" s="2376">
        <v>2044.9974999999999</v>
      </c>
      <c r="L79" s="2382">
        <f t="shared" si="6"/>
        <v>0</v>
      </c>
      <c r="M79" s="2382">
        <f>I79*G79</f>
        <v>0</v>
      </c>
      <c r="N79" s="2382">
        <f t="shared" ref="N79:N103" si="12">J79*G79</f>
        <v>0</v>
      </c>
      <c r="O79" s="2381">
        <f t="shared" si="8"/>
        <v>0</v>
      </c>
      <c r="P79" s="2380"/>
    </row>
    <row r="80" spans="1:16" s="2358" customFormat="1" outlineLevel="1">
      <c r="A80" s="2361" t="str">
        <f t="shared" si="10"/>
        <v>Đào rãnh tiếp địa đất cấp 3</v>
      </c>
      <c r="B80" s="2383" t="s">
        <v>1055</v>
      </c>
      <c r="C80" s="2380"/>
      <c r="D80" s="2373" t="s">
        <v>5398</v>
      </c>
      <c r="E80" s="2374" t="s">
        <v>3086</v>
      </c>
      <c r="F80" s="2373" t="s">
        <v>856</v>
      </c>
      <c r="G80" s="2404">
        <f>G66*$H$4</f>
        <v>0</v>
      </c>
      <c r="H80" s="2376"/>
      <c r="I80" s="2376"/>
      <c r="J80" s="2376">
        <v>283749.75</v>
      </c>
      <c r="K80" s="2376">
        <v>0</v>
      </c>
      <c r="L80" s="2382">
        <f t="shared" si="6"/>
        <v>0</v>
      </c>
      <c r="M80" s="2382">
        <f>I80*G80</f>
        <v>0</v>
      </c>
      <c r="N80" s="2382">
        <f t="shared" si="12"/>
        <v>0</v>
      </c>
      <c r="O80" s="2381">
        <f t="shared" si="8"/>
        <v>0</v>
      </c>
      <c r="P80" s="2380"/>
    </row>
    <row r="81" spans="1:16" s="2358" customFormat="1" outlineLevel="1">
      <c r="A81" s="2361" t="str">
        <f t="shared" si="10"/>
        <v>Đắp đất rãnh tiếp độ chặt k=0,85</v>
      </c>
      <c r="B81" s="2386" t="s">
        <v>1056</v>
      </c>
      <c r="C81" s="2380"/>
      <c r="D81" s="2373" t="s">
        <v>5387</v>
      </c>
      <c r="E81" s="2374" t="s">
        <v>5399</v>
      </c>
      <c r="F81" s="2373" t="s">
        <v>856</v>
      </c>
      <c r="G81" s="2404">
        <f>G80</f>
        <v>0</v>
      </c>
      <c r="H81" s="2376"/>
      <c r="I81" s="2376"/>
      <c r="J81" s="2376">
        <v>117703.6</v>
      </c>
      <c r="K81" s="2376">
        <v>0</v>
      </c>
      <c r="L81" s="2382">
        <f t="shared" si="6"/>
        <v>0</v>
      </c>
      <c r="M81" s="2382">
        <f>I81*G81</f>
        <v>0</v>
      </c>
      <c r="N81" s="2382">
        <f t="shared" si="12"/>
        <v>0</v>
      </c>
      <c r="O81" s="2381">
        <f t="shared" si="8"/>
        <v>0</v>
      </c>
      <c r="P81" s="2380"/>
    </row>
    <row r="82" spans="1:16" s="2358" customFormat="1" outlineLevel="1">
      <c r="A82" s="2361" t="e">
        <f t="shared" si="10"/>
        <v>#N/A</v>
      </c>
      <c r="B82" s="2383"/>
      <c r="C82" s="2395">
        <f>IF(G82&gt;0,C66+1,C66)</f>
        <v>0</v>
      </c>
      <c r="D82" s="2399"/>
      <c r="E82" s="2411" t="s">
        <v>3701</v>
      </c>
      <c r="F82" s="2395" t="s">
        <v>2391</v>
      </c>
      <c r="G82" s="2395">
        <f>G34</f>
        <v>0</v>
      </c>
      <c r="H82" s="2381"/>
      <c r="I82" s="2381"/>
      <c r="J82" s="2381"/>
      <c r="K82" s="2381"/>
      <c r="L82" s="2382">
        <f t="shared" si="6"/>
        <v>0</v>
      </c>
      <c r="M82" s="2382">
        <f t="shared" si="7"/>
        <v>0</v>
      </c>
      <c r="N82" s="2382">
        <f t="shared" si="12"/>
        <v>0</v>
      </c>
      <c r="O82" s="2381">
        <f t="shared" si="8"/>
        <v>0</v>
      </c>
      <c r="P82" s="2380"/>
    </row>
    <row r="83" spans="1:16" s="2358" customFormat="1" ht="14.4" outlineLevel="1">
      <c r="A83" s="2361" t="e">
        <f t="shared" si="10"/>
        <v>#N/A</v>
      </c>
      <c r="B83" s="2383"/>
      <c r="C83" s="2395"/>
      <c r="D83" s="2399"/>
      <c r="E83" s="2401" t="s">
        <v>2285</v>
      </c>
      <c r="F83" s="2380"/>
      <c r="G83" s="2380"/>
      <c r="H83" s="2381"/>
      <c r="I83" s="2381"/>
      <c r="J83" s="2381"/>
      <c r="K83" s="2381"/>
      <c r="L83" s="2382">
        <f t="shared" si="6"/>
        <v>0</v>
      </c>
      <c r="M83" s="2382">
        <f t="shared" si="7"/>
        <v>0</v>
      </c>
      <c r="N83" s="2382">
        <f t="shared" si="12"/>
        <v>0</v>
      </c>
      <c r="O83" s="2381">
        <f t="shared" si="8"/>
        <v>0</v>
      </c>
      <c r="P83" s="2380"/>
    </row>
    <row r="84" spans="1:16" s="2358" customFormat="1" outlineLevel="1">
      <c r="A84" s="2361" t="str">
        <f t="shared" si="10"/>
        <v>Tủ CB trạm 1 pha + khóa + boulon</v>
      </c>
      <c r="B84" s="2386" t="s">
        <v>616</v>
      </c>
      <c r="C84" s="2380"/>
      <c r="D84" s="2373" t="s">
        <v>5717</v>
      </c>
      <c r="E84" s="2374" t="s">
        <v>3410</v>
      </c>
      <c r="F84" s="2373" t="s">
        <v>2563</v>
      </c>
      <c r="G84" s="2380">
        <f>G82</f>
        <v>0</v>
      </c>
      <c r="H84" s="2376">
        <v>3793194</v>
      </c>
      <c r="I84" s="2376"/>
      <c r="J84" s="2376">
        <v>599038</v>
      </c>
      <c r="K84" s="2376">
        <v>97369</v>
      </c>
      <c r="L84" s="2382">
        <f t="shared" si="6"/>
        <v>0</v>
      </c>
      <c r="M84" s="2382">
        <f t="shared" si="7"/>
        <v>0</v>
      </c>
      <c r="N84" s="2382">
        <f t="shared" si="12"/>
        <v>0</v>
      </c>
      <c r="O84" s="2381">
        <f t="shared" si="8"/>
        <v>0</v>
      </c>
      <c r="P84" s="2380"/>
    </row>
    <row r="85" spans="1:16" s="2358" customFormat="1" outlineLevel="1">
      <c r="A85" s="2361" t="str">
        <f t="shared" si="10"/>
        <v>Cổ dê bắt tủ</v>
      </c>
      <c r="B85" s="2383" t="s">
        <v>879</v>
      </c>
      <c r="C85" s="2380"/>
      <c r="D85" s="2403"/>
      <c r="E85" s="2374" t="s">
        <v>2999</v>
      </c>
      <c r="F85" s="2373" t="s">
        <v>2445</v>
      </c>
      <c r="G85" s="2380">
        <f>2*G82</f>
        <v>0</v>
      </c>
      <c r="H85" s="2376">
        <v>168000</v>
      </c>
      <c r="I85" s="2376"/>
      <c r="J85" s="2376">
        <v>0</v>
      </c>
      <c r="K85" s="2376">
        <v>0</v>
      </c>
      <c r="L85" s="2382">
        <f t="shared" si="6"/>
        <v>0</v>
      </c>
      <c r="M85" s="2382">
        <f t="shared" si="7"/>
        <v>0</v>
      </c>
      <c r="N85" s="2382">
        <f t="shared" si="12"/>
        <v>0</v>
      </c>
      <c r="O85" s="2381">
        <f t="shared" si="8"/>
        <v>0</v>
      </c>
      <c r="P85" s="2380"/>
    </row>
    <row r="86" spans="1:16" s="2358" customFormat="1" outlineLevel="1">
      <c r="A86" s="2361" t="str">
        <f t="shared" si="10"/>
        <v xml:space="preserve">Bakelit 550x450 dầy 10mm </v>
      </c>
      <c r="B86" s="2383" t="s">
        <v>880</v>
      </c>
      <c r="C86" s="2380"/>
      <c r="D86" s="2403"/>
      <c r="E86" s="2374" t="s">
        <v>5861</v>
      </c>
      <c r="F86" s="2373" t="s">
        <v>2563</v>
      </c>
      <c r="G86" s="2380">
        <f>G82</f>
        <v>0</v>
      </c>
      <c r="H86" s="2376">
        <v>284000</v>
      </c>
      <c r="I86" s="2376"/>
      <c r="J86" s="2376">
        <v>5404</v>
      </c>
      <c r="K86" s="2376">
        <v>0</v>
      </c>
      <c r="L86" s="2382">
        <f t="shared" si="6"/>
        <v>0</v>
      </c>
      <c r="M86" s="2382">
        <f t="shared" si="7"/>
        <v>0</v>
      </c>
      <c r="N86" s="2382">
        <f t="shared" si="12"/>
        <v>0</v>
      </c>
      <c r="O86" s="2381">
        <f t="shared" si="8"/>
        <v>0</v>
      </c>
      <c r="P86" s="2380"/>
    </row>
    <row r="87" spans="1:16" s="2358" customFormat="1" outlineLevel="1">
      <c r="A87" s="2361" t="e">
        <f t="shared" si="10"/>
        <v>#N/A</v>
      </c>
      <c r="B87" s="2383"/>
      <c r="C87" s="2395">
        <f>IF(G87&gt;0,C82+1,C82)</f>
        <v>0</v>
      </c>
      <c r="D87" s="2399"/>
      <c r="E87" s="2400" t="s">
        <v>6202</v>
      </c>
      <c r="F87" s="2395" t="s">
        <v>2391</v>
      </c>
      <c r="G87" s="2395">
        <f>G82</f>
        <v>0</v>
      </c>
      <c r="H87" s="2381"/>
      <c r="I87" s="2381"/>
      <c r="J87" s="2381"/>
      <c r="K87" s="2381"/>
      <c r="L87" s="2382">
        <f t="shared" si="6"/>
        <v>0</v>
      </c>
      <c r="M87" s="2382">
        <f t="shared" si="7"/>
        <v>0</v>
      </c>
      <c r="N87" s="2382">
        <f t="shared" si="12"/>
        <v>0</v>
      </c>
      <c r="O87" s="2381">
        <f t="shared" si="8"/>
        <v>0</v>
      </c>
      <c r="P87" s="2380"/>
    </row>
    <row r="88" spans="1:16" s="2358" customFormat="1" ht="14.4" outlineLevel="1">
      <c r="A88" s="2361" t="e">
        <f t="shared" si="10"/>
        <v>#N/A</v>
      </c>
      <c r="B88" s="2383"/>
      <c r="C88" s="2395"/>
      <c r="D88" s="2399"/>
      <c r="E88" s="2401" t="s">
        <v>2285</v>
      </c>
      <c r="F88" s="2380"/>
      <c r="G88" s="2380"/>
      <c r="H88" s="2381"/>
      <c r="I88" s="2381"/>
      <c r="J88" s="2381"/>
      <c r="K88" s="2381"/>
      <c r="L88" s="2382">
        <f t="shared" si="6"/>
        <v>0</v>
      </c>
      <c r="M88" s="2382">
        <f t="shared" si="7"/>
        <v>0</v>
      </c>
      <c r="N88" s="2382">
        <f t="shared" si="12"/>
        <v>0</v>
      </c>
      <c r="O88" s="2381">
        <f t="shared" si="8"/>
        <v>0</v>
      </c>
      <c r="P88" s="2380"/>
    </row>
    <row r="89" spans="1:16" s="2358" customFormat="1" outlineLevel="1">
      <c r="A89" s="2361" t="str">
        <f t="shared" si="10"/>
        <v>Cáp 24KV C/XLPE/PVC 25mm2</v>
      </c>
      <c r="B89" s="2412" t="s">
        <v>697</v>
      </c>
      <c r="C89" s="2380"/>
      <c r="D89" s="2373">
        <v>0</v>
      </c>
      <c r="E89" s="2374" t="s">
        <v>5139</v>
      </c>
      <c r="F89" s="2373" t="s">
        <v>2538</v>
      </c>
      <c r="G89" s="2380">
        <f>3*G87</f>
        <v>0</v>
      </c>
      <c r="H89" s="2376">
        <v>50996</v>
      </c>
      <c r="I89" s="2376"/>
      <c r="J89" s="2376">
        <v>0</v>
      </c>
      <c r="K89" s="2376">
        <v>0</v>
      </c>
      <c r="L89" s="2382">
        <f t="shared" si="6"/>
        <v>0</v>
      </c>
      <c r="M89" s="2382">
        <f t="shared" si="7"/>
        <v>0</v>
      </c>
      <c r="N89" s="2382">
        <f t="shared" si="12"/>
        <v>0</v>
      </c>
      <c r="O89" s="2381">
        <f t="shared" si="8"/>
        <v>0</v>
      </c>
      <c r="P89" s="2380"/>
    </row>
    <row r="90" spans="1:16" s="2358" customFormat="1" outlineLevel="1">
      <c r="A90" s="2361" t="str">
        <f t="shared" si="10"/>
        <v>Kẹp quai 2/0</v>
      </c>
      <c r="B90" s="2371" t="s">
        <v>1482</v>
      </c>
      <c r="C90" s="2380"/>
      <c r="D90" s="2373">
        <v>0</v>
      </c>
      <c r="E90" s="2374" t="s">
        <v>3810</v>
      </c>
      <c r="F90" s="2373" t="s">
        <v>2563</v>
      </c>
      <c r="G90" s="2380">
        <f>G87</f>
        <v>0</v>
      </c>
      <c r="H90" s="2376">
        <v>46000</v>
      </c>
      <c r="I90" s="2376"/>
      <c r="J90" s="2376">
        <v>0</v>
      </c>
      <c r="K90" s="2376">
        <v>0</v>
      </c>
      <c r="L90" s="2382">
        <f t="shared" si="6"/>
        <v>0</v>
      </c>
      <c r="M90" s="2382">
        <f t="shared" si="7"/>
        <v>0</v>
      </c>
      <c r="N90" s="2382">
        <f t="shared" si="12"/>
        <v>0</v>
      </c>
      <c r="O90" s="2381">
        <f t="shared" si="8"/>
        <v>0</v>
      </c>
      <c r="P90" s="2380"/>
    </row>
    <row r="91" spans="1:16" s="2358" customFormat="1" outlineLevel="1">
      <c r="A91" s="2361" t="str">
        <f t="shared" si="10"/>
        <v>Kẹp hotline 2/0</v>
      </c>
      <c r="B91" s="2371" t="s">
        <v>1480</v>
      </c>
      <c r="C91" s="2380"/>
      <c r="D91" s="2373">
        <v>0</v>
      </c>
      <c r="E91" s="2374" t="s">
        <v>4361</v>
      </c>
      <c r="F91" s="2373" t="s">
        <v>2563</v>
      </c>
      <c r="G91" s="2380">
        <f>G87</f>
        <v>0</v>
      </c>
      <c r="H91" s="2376">
        <v>77000</v>
      </c>
      <c r="I91" s="2376"/>
      <c r="J91" s="2376">
        <v>0</v>
      </c>
      <c r="K91" s="2376">
        <v>0</v>
      </c>
      <c r="L91" s="2382">
        <f t="shared" si="6"/>
        <v>0</v>
      </c>
      <c r="M91" s="2382">
        <f t="shared" si="7"/>
        <v>0</v>
      </c>
      <c r="N91" s="2382">
        <f t="shared" si="12"/>
        <v>0</v>
      </c>
      <c r="O91" s="2381">
        <f t="shared" si="8"/>
        <v>0</v>
      </c>
      <c r="P91" s="2380"/>
    </row>
    <row r="92" spans="1:16" s="2358" customFormat="1" outlineLevel="1">
      <c r="A92" s="2361" t="str">
        <f t="shared" si="10"/>
        <v>Lắp cáp đồng xuống thiết bị D ≤ 95mm2</v>
      </c>
      <c r="B92" s="2371" t="s">
        <v>1528</v>
      </c>
      <c r="C92" s="2380"/>
      <c r="D92" s="2373" t="s">
        <v>5633</v>
      </c>
      <c r="E92" s="2374" t="s">
        <v>3310</v>
      </c>
      <c r="F92" s="2373" t="s">
        <v>1827</v>
      </c>
      <c r="G92" s="2380">
        <f>G89</f>
        <v>0</v>
      </c>
      <c r="H92" s="2376">
        <v>0</v>
      </c>
      <c r="I92" s="2376"/>
      <c r="J92" s="2376">
        <v>13915</v>
      </c>
      <c r="K92" s="2376">
        <v>0</v>
      </c>
      <c r="L92" s="2382">
        <f>H92*G92</f>
        <v>0</v>
      </c>
      <c r="M92" s="2382">
        <f>I92*G92</f>
        <v>0</v>
      </c>
      <c r="N92" s="2382">
        <f t="shared" si="12"/>
        <v>0</v>
      </c>
      <c r="O92" s="2381">
        <f>K92*G92</f>
        <v>0</v>
      </c>
      <c r="P92" s="2380"/>
    </row>
    <row r="93" spans="1:16" s="2358" customFormat="1" outlineLevel="1">
      <c r="A93" s="2361" t="e">
        <f t="shared" si="10"/>
        <v>#N/A</v>
      </c>
      <c r="B93" s="2383"/>
      <c r="C93" s="2395">
        <f>IF(G93&gt;0,C87+1,C87)</f>
        <v>0</v>
      </c>
      <c r="D93" s="2399"/>
      <c r="E93" s="2400" t="s">
        <v>6203</v>
      </c>
      <c r="F93" s="2395" t="s">
        <v>2391</v>
      </c>
      <c r="G93" s="2395">
        <f>G34</f>
        <v>0</v>
      </c>
      <c r="H93" s="2381"/>
      <c r="I93" s="2381"/>
      <c r="J93" s="2381"/>
      <c r="K93" s="2381"/>
      <c r="L93" s="2382">
        <f t="shared" si="6"/>
        <v>0</v>
      </c>
      <c r="M93" s="2382">
        <f t="shared" si="7"/>
        <v>0</v>
      </c>
      <c r="N93" s="2382">
        <f t="shared" si="12"/>
        <v>0</v>
      </c>
      <c r="O93" s="2381">
        <f t="shared" si="8"/>
        <v>0</v>
      </c>
      <c r="P93" s="2380"/>
    </row>
    <row r="94" spans="1:16" s="2358" customFormat="1" ht="14.4" outlineLevel="1">
      <c r="A94" s="2361" t="e">
        <f t="shared" si="10"/>
        <v>#N/A</v>
      </c>
      <c r="B94" s="2383"/>
      <c r="C94" s="2395"/>
      <c r="D94" s="2399"/>
      <c r="E94" s="2401" t="s">
        <v>2285</v>
      </c>
      <c r="F94" s="2395"/>
      <c r="G94" s="2395"/>
      <c r="H94" s="2381"/>
      <c r="I94" s="2381"/>
      <c r="J94" s="2381"/>
      <c r="K94" s="2381"/>
      <c r="L94" s="2382">
        <f t="shared" si="6"/>
        <v>0</v>
      </c>
      <c r="M94" s="2382">
        <f t="shared" si="7"/>
        <v>0</v>
      </c>
      <c r="N94" s="2382">
        <f t="shared" si="12"/>
        <v>0</v>
      </c>
      <c r="O94" s="2381">
        <f t="shared" si="8"/>
        <v>0</v>
      </c>
      <c r="P94" s="2380"/>
    </row>
    <row r="95" spans="1:16" s="2358" customFormat="1" outlineLevel="1">
      <c r="A95" s="2361" t="str">
        <f t="shared" si="10"/>
        <v>Cáp đồng bọc CV50</v>
      </c>
      <c r="B95" s="2383" t="s">
        <v>82</v>
      </c>
      <c r="C95" s="2395"/>
      <c r="D95" s="2373">
        <v>0</v>
      </c>
      <c r="E95" s="2374" t="s">
        <v>2800</v>
      </c>
      <c r="F95" s="2373" t="s">
        <v>2538</v>
      </c>
      <c r="G95" s="2380">
        <f>G93*10</f>
        <v>0</v>
      </c>
      <c r="H95" s="2376">
        <v>91800</v>
      </c>
      <c r="I95" s="2376"/>
      <c r="J95" s="2376">
        <v>0</v>
      </c>
      <c r="K95" s="2376">
        <v>0</v>
      </c>
      <c r="L95" s="2382">
        <f t="shared" si="6"/>
        <v>0</v>
      </c>
      <c r="M95" s="2382">
        <f t="shared" si="7"/>
        <v>0</v>
      </c>
      <c r="N95" s="2382">
        <f t="shared" si="12"/>
        <v>0</v>
      </c>
      <c r="O95" s="2381">
        <f t="shared" si="8"/>
        <v>0</v>
      </c>
      <c r="P95" s="2380"/>
    </row>
    <row r="96" spans="1:16" s="2358" customFormat="1" outlineLevel="1">
      <c r="A96" s="2361" t="str">
        <f t="shared" si="10"/>
        <v>Cáp đồng bọc CV50</v>
      </c>
      <c r="B96" s="2383" t="s">
        <v>82</v>
      </c>
      <c r="C96" s="2395"/>
      <c r="D96" s="2373">
        <v>0</v>
      </c>
      <c r="E96" s="2374" t="s">
        <v>2800</v>
      </c>
      <c r="F96" s="2373" t="s">
        <v>2538</v>
      </c>
      <c r="G96" s="2380">
        <f>10*G93</f>
        <v>0</v>
      </c>
      <c r="H96" s="2376">
        <v>91800</v>
      </c>
      <c r="I96" s="2376"/>
      <c r="J96" s="2376">
        <v>0</v>
      </c>
      <c r="K96" s="2376">
        <v>0</v>
      </c>
      <c r="L96" s="2382">
        <f t="shared" si="6"/>
        <v>0</v>
      </c>
      <c r="M96" s="2382">
        <f t="shared" si="7"/>
        <v>0</v>
      </c>
      <c r="N96" s="2382">
        <f t="shared" si="12"/>
        <v>0</v>
      </c>
      <c r="O96" s="2381">
        <f t="shared" si="8"/>
        <v>0</v>
      </c>
      <c r="P96" s="2380"/>
    </row>
    <row r="97" spans="1:16" s="2358" customFormat="1" outlineLevel="1">
      <c r="A97" s="2361" t="str">
        <f t="shared" si="10"/>
        <v xml:space="preserve">Cáp CVV 4x2,5mm2  </v>
      </c>
      <c r="B97" s="2383" t="s">
        <v>1069</v>
      </c>
      <c r="C97" s="2395"/>
      <c r="D97" s="2373" t="s">
        <v>1530</v>
      </c>
      <c r="E97" s="2374" t="s">
        <v>2792</v>
      </c>
      <c r="F97" s="2373" t="s">
        <v>2538</v>
      </c>
      <c r="G97" s="2380">
        <f>4*G93</f>
        <v>0</v>
      </c>
      <c r="H97" s="2376">
        <v>28200</v>
      </c>
      <c r="I97" s="2381"/>
      <c r="J97" s="2376">
        <v>0</v>
      </c>
      <c r="K97" s="2376">
        <v>0</v>
      </c>
      <c r="L97" s="2382">
        <f>H97*G97</f>
        <v>0</v>
      </c>
      <c r="M97" s="2382">
        <f>I97*G97</f>
        <v>0</v>
      </c>
      <c r="N97" s="2382">
        <f t="shared" si="12"/>
        <v>0</v>
      </c>
      <c r="O97" s="2381">
        <f>K97*G97</f>
        <v>0</v>
      </c>
      <c r="P97" s="2408"/>
    </row>
    <row r="98" spans="1:16" s="2358" customFormat="1" outlineLevel="1">
      <c r="A98" s="2361" t="str">
        <f t="shared" ref="A98:A129" si="13">VLOOKUP(B98,DonGia,3,0)</f>
        <v>Đầu cosse ép Cu 50mm2</v>
      </c>
      <c r="B98" s="2383" t="str">
        <f>"Cos"&amp;RIGHT(B95,2)</f>
        <v>Cos50</v>
      </c>
      <c r="C98" s="2380"/>
      <c r="D98" s="2373" t="s">
        <v>5787</v>
      </c>
      <c r="E98" s="2374" t="s">
        <v>3497</v>
      </c>
      <c r="F98" s="2373" t="s">
        <v>2563</v>
      </c>
      <c r="G98" s="2380">
        <f>G93*1</f>
        <v>0</v>
      </c>
      <c r="H98" s="2376">
        <v>9100</v>
      </c>
      <c r="I98" s="2376"/>
      <c r="J98" s="2376">
        <v>10608.955000000002</v>
      </c>
      <c r="K98" s="2376">
        <v>2777.0232475000003</v>
      </c>
      <c r="L98" s="2382">
        <f t="shared" si="6"/>
        <v>0</v>
      </c>
      <c r="M98" s="2382">
        <f t="shared" si="7"/>
        <v>0</v>
      </c>
      <c r="N98" s="2382">
        <f t="shared" si="12"/>
        <v>0</v>
      </c>
      <c r="O98" s="2381">
        <f t="shared" si="8"/>
        <v>0</v>
      </c>
      <c r="P98" s="2380"/>
    </row>
    <row r="99" spans="1:16" s="2358" customFormat="1" outlineLevel="1">
      <c r="A99" s="2361" t="str">
        <f t="shared" si="13"/>
        <v>Đầu cosse ép Cu 50mm2</v>
      </c>
      <c r="B99" s="2383" t="str">
        <f>"Cos"&amp;RIGHT(B96,2)</f>
        <v>Cos50</v>
      </c>
      <c r="C99" s="2380"/>
      <c r="D99" s="2373" t="s">
        <v>5787</v>
      </c>
      <c r="E99" s="2374" t="s">
        <v>3497</v>
      </c>
      <c r="F99" s="2373" t="s">
        <v>2563</v>
      </c>
      <c r="G99" s="2380">
        <f>G93*1</f>
        <v>0</v>
      </c>
      <c r="H99" s="2376">
        <v>9100</v>
      </c>
      <c r="I99" s="2376"/>
      <c r="J99" s="2376">
        <v>10608.955000000002</v>
      </c>
      <c r="K99" s="2376">
        <v>2777.0232475000003</v>
      </c>
      <c r="L99" s="2382">
        <f t="shared" si="6"/>
        <v>0</v>
      </c>
      <c r="M99" s="2382">
        <f t="shared" si="7"/>
        <v>0</v>
      </c>
      <c r="N99" s="2382">
        <f t="shared" si="12"/>
        <v>0</v>
      </c>
      <c r="O99" s="2381">
        <f t="shared" si="8"/>
        <v>0</v>
      </c>
      <c r="P99" s="2380"/>
    </row>
    <row r="100" spans="1:16" s="2358" customFormat="1" outlineLevel="1">
      <c r="A100" s="2361" t="str">
        <f t="shared" si="13"/>
        <v>Chụp đầu cosse  50mm2</v>
      </c>
      <c r="B100" s="2383" t="str">
        <f>"chCos"&amp;RIGHT(B95,2)</f>
        <v>chCos50</v>
      </c>
      <c r="C100" s="2380"/>
      <c r="D100" s="2373">
        <v>0</v>
      </c>
      <c r="E100" s="2374" t="s">
        <v>3511</v>
      </c>
      <c r="F100" s="2373" t="s">
        <v>2563</v>
      </c>
      <c r="G100" s="2380">
        <f>G93*1</f>
        <v>0</v>
      </c>
      <c r="H100" s="2376">
        <v>1000</v>
      </c>
      <c r="I100" s="2376"/>
      <c r="J100" s="2376">
        <v>0</v>
      </c>
      <c r="K100" s="2376">
        <v>0</v>
      </c>
      <c r="L100" s="2382">
        <f t="shared" si="6"/>
        <v>0</v>
      </c>
      <c r="M100" s="2382">
        <f t="shared" si="7"/>
        <v>0</v>
      </c>
      <c r="N100" s="2382">
        <f t="shared" si="12"/>
        <v>0</v>
      </c>
      <c r="O100" s="2381">
        <f t="shared" si="8"/>
        <v>0</v>
      </c>
      <c r="P100" s="2380"/>
    </row>
    <row r="101" spans="1:16" s="2358" customFormat="1" outlineLevel="1">
      <c r="A101" s="2361" t="str">
        <f t="shared" si="13"/>
        <v>Chụp đầu cosse  50mm2</v>
      </c>
      <c r="B101" s="2383" t="str">
        <f>"chCos"&amp;RIGHT(B96,2)</f>
        <v>chCos50</v>
      </c>
      <c r="C101" s="2380"/>
      <c r="D101" s="2373">
        <v>0</v>
      </c>
      <c r="E101" s="2374" t="s">
        <v>3511</v>
      </c>
      <c r="F101" s="2373" t="s">
        <v>2563</v>
      </c>
      <c r="G101" s="2380">
        <f>G93*1</f>
        <v>0</v>
      </c>
      <c r="H101" s="2376">
        <v>1000</v>
      </c>
      <c r="I101" s="2376"/>
      <c r="J101" s="2376">
        <v>0</v>
      </c>
      <c r="K101" s="2376">
        <v>0</v>
      </c>
      <c r="L101" s="2382">
        <f>H101*G101</f>
        <v>0</v>
      </c>
      <c r="M101" s="2382">
        <f>I101*G101</f>
        <v>0</v>
      </c>
      <c r="N101" s="2382">
        <f t="shared" si="12"/>
        <v>0</v>
      </c>
      <c r="O101" s="2381">
        <f>K101*G101</f>
        <v>0</v>
      </c>
      <c r="P101" s="2380"/>
    </row>
    <row r="102" spans="1:16" s="2358" customFormat="1" outlineLevel="1">
      <c r="A102" s="2361" t="str">
        <f t="shared" si="13"/>
        <v>Nắp che đầu sứ MBA</v>
      </c>
      <c r="B102" s="2383" t="s">
        <v>6204</v>
      </c>
      <c r="C102" s="2380"/>
      <c r="D102" s="2373">
        <v>0</v>
      </c>
      <c r="E102" s="2374" t="s">
        <v>5770</v>
      </c>
      <c r="F102" s="2373" t="s">
        <v>2563</v>
      </c>
      <c r="G102" s="2380">
        <f>1*$G$34</f>
        <v>0</v>
      </c>
      <c r="H102" s="2376">
        <v>56700</v>
      </c>
      <c r="I102" s="2376"/>
      <c r="J102" s="2376">
        <v>0</v>
      </c>
      <c r="K102" s="2376">
        <v>0</v>
      </c>
      <c r="L102" s="2382">
        <f>H102*G102</f>
        <v>0</v>
      </c>
      <c r="M102" s="2382">
        <f>I102*G102</f>
        <v>0</v>
      </c>
      <c r="N102" s="2382">
        <f t="shared" si="12"/>
        <v>0</v>
      </c>
      <c r="O102" s="2381">
        <f>K102*G102</f>
        <v>0</v>
      </c>
      <c r="P102" s="2380"/>
    </row>
    <row r="103" spans="1:16" s="2358" customFormat="1" outlineLevel="1">
      <c r="A103" s="2361" t="str">
        <f t="shared" si="13"/>
        <v xml:space="preserve">Ống PVC D90x3,8mm </v>
      </c>
      <c r="B103" s="2383" t="s">
        <v>282</v>
      </c>
      <c r="C103" s="2380"/>
      <c r="D103" s="2373">
        <v>0</v>
      </c>
      <c r="E103" s="2374" t="s">
        <v>3550</v>
      </c>
      <c r="F103" s="2373" t="s">
        <v>1827</v>
      </c>
      <c r="G103" s="2380">
        <f>12*G93</f>
        <v>0</v>
      </c>
      <c r="H103" s="2376">
        <v>63200</v>
      </c>
      <c r="I103" s="2376"/>
      <c r="J103" s="2376">
        <v>0</v>
      </c>
      <c r="K103" s="2376">
        <v>0</v>
      </c>
      <c r="L103" s="2382">
        <f t="shared" si="6"/>
        <v>0</v>
      </c>
      <c r="M103" s="2382">
        <f t="shared" si="7"/>
        <v>0</v>
      </c>
      <c r="N103" s="2382">
        <f t="shared" si="12"/>
        <v>0</v>
      </c>
      <c r="O103" s="2381">
        <f t="shared" si="8"/>
        <v>0</v>
      </c>
      <c r="P103" s="2380"/>
    </row>
    <row r="104" spans="1:16" s="2358" customFormat="1" outlineLevel="1">
      <c r="A104" s="2361" t="str">
        <f t="shared" si="13"/>
        <v>Cổ dê kẹp ống PVC Ø 90</v>
      </c>
      <c r="B104" s="2386" t="s">
        <v>276</v>
      </c>
      <c r="C104" s="2380"/>
      <c r="D104" s="2373">
        <v>0</v>
      </c>
      <c r="E104" s="2374" t="s">
        <v>5318</v>
      </c>
      <c r="F104" s="2373" t="s">
        <v>2445</v>
      </c>
      <c r="G104" s="2410">
        <f>G93*0.965*2</f>
        <v>0</v>
      </c>
      <c r="H104" s="2376">
        <v>49000</v>
      </c>
      <c r="I104" s="2381"/>
      <c r="J104" s="2376"/>
      <c r="K104" s="2376">
        <v>0</v>
      </c>
      <c r="L104" s="2382">
        <f t="shared" si="6"/>
        <v>0</v>
      </c>
      <c r="M104" s="2382">
        <f t="shared" si="7"/>
        <v>0</v>
      </c>
      <c r="N104" s="2376">
        <v>0</v>
      </c>
      <c r="O104" s="2381">
        <f t="shared" si="8"/>
        <v>0</v>
      </c>
      <c r="P104" s="2408"/>
    </row>
    <row r="105" spans="1:16" s="2358" customFormat="1" outlineLevel="1">
      <c r="A105" s="2361" t="str">
        <f t="shared" si="13"/>
        <v>Cổ dê kẹp ống PVC Ø 90</v>
      </c>
      <c r="B105" s="2386" t="s">
        <v>276</v>
      </c>
      <c r="C105" s="2380"/>
      <c r="D105" s="2373">
        <v>0</v>
      </c>
      <c r="E105" s="2374" t="s">
        <v>5318</v>
      </c>
      <c r="F105" s="2373" t="s">
        <v>2445</v>
      </c>
      <c r="G105" s="2410">
        <f>G93*1.031*2</f>
        <v>0</v>
      </c>
      <c r="H105" s="2376">
        <v>49000</v>
      </c>
      <c r="I105" s="2381"/>
      <c r="J105" s="2376"/>
      <c r="K105" s="2376">
        <v>0</v>
      </c>
      <c r="L105" s="2382">
        <f>H105*G105</f>
        <v>0</v>
      </c>
      <c r="M105" s="2382"/>
      <c r="N105" s="2376">
        <v>0</v>
      </c>
      <c r="O105" s="2381">
        <f>K105*G105</f>
        <v>0</v>
      </c>
      <c r="P105" s="2408"/>
    </row>
    <row r="106" spans="1:16" s="2358" customFormat="1" outlineLevel="1">
      <c r="A106" s="2361" t="str">
        <f t="shared" si="13"/>
        <v>Cổ dê kẹp ống PVC Ø 90</v>
      </c>
      <c r="B106" s="2386" t="s">
        <v>276</v>
      </c>
      <c r="C106" s="2380"/>
      <c r="D106" s="2373">
        <v>0</v>
      </c>
      <c r="E106" s="2374" t="s">
        <v>5318</v>
      </c>
      <c r="F106" s="2373" t="s">
        <v>2445</v>
      </c>
      <c r="G106" s="2410">
        <f>G92*1.12*2</f>
        <v>0</v>
      </c>
      <c r="H106" s="2376">
        <v>49000</v>
      </c>
      <c r="I106" s="2381"/>
      <c r="J106" s="2376"/>
      <c r="K106" s="2376">
        <v>0</v>
      </c>
      <c r="L106" s="2382">
        <f>H106*G106</f>
        <v>0</v>
      </c>
      <c r="M106" s="2382"/>
      <c r="N106" s="2376">
        <v>0</v>
      </c>
      <c r="O106" s="2381">
        <f>K106*G106</f>
        <v>0</v>
      </c>
      <c r="P106" s="2408"/>
    </row>
    <row r="107" spans="1:16" s="2358" customFormat="1" outlineLevel="1">
      <c r="A107" s="2361" t="str">
        <f t="shared" si="13"/>
        <v>Lắp cổ dề</v>
      </c>
      <c r="B107" s="2386" t="s">
        <v>1131</v>
      </c>
      <c r="C107" s="2380"/>
      <c r="D107" s="2373" t="s">
        <v>5333</v>
      </c>
      <c r="E107" s="2374" t="s">
        <v>5532</v>
      </c>
      <c r="F107" s="2373" t="s">
        <v>2563</v>
      </c>
      <c r="G107" s="2410">
        <f>G93*1.12*2</f>
        <v>0</v>
      </c>
      <c r="H107" s="2376"/>
      <c r="I107" s="2381"/>
      <c r="J107" s="2376">
        <v>77000</v>
      </c>
      <c r="K107" s="2376">
        <v>0</v>
      </c>
      <c r="L107" s="2382">
        <f>H107*G107</f>
        <v>0</v>
      </c>
      <c r="M107" s="2382"/>
      <c r="N107" s="2376">
        <v>0</v>
      </c>
      <c r="O107" s="2381">
        <f>K107*G107</f>
        <v>0</v>
      </c>
      <c r="P107" s="2408"/>
    </row>
    <row r="108" spans="1:16" s="2358" customFormat="1" outlineLevel="1">
      <c r="A108" s="2361" t="str">
        <f t="shared" si="13"/>
        <v>Boulon 12x40+ 2 long đền vuông D14-50x50x3/Zn</v>
      </c>
      <c r="B108" s="2386" t="s">
        <v>2023</v>
      </c>
      <c r="C108" s="2380"/>
      <c r="D108" s="2373">
        <v>0</v>
      </c>
      <c r="E108" s="2374" t="s">
        <v>2635</v>
      </c>
      <c r="F108" s="2373" t="s">
        <v>2445</v>
      </c>
      <c r="G108" s="2380">
        <f>G93*12</f>
        <v>0</v>
      </c>
      <c r="H108" s="2376">
        <v>8500</v>
      </c>
      <c r="I108" s="2381"/>
      <c r="J108" s="2376">
        <v>0</v>
      </c>
      <c r="K108" s="2376">
        <v>0</v>
      </c>
      <c r="L108" s="2382">
        <f>H108*G108</f>
        <v>0</v>
      </c>
      <c r="M108" s="2382"/>
      <c r="N108" s="2376">
        <v>0</v>
      </c>
      <c r="O108" s="2381">
        <f>K108*G108</f>
        <v>0</v>
      </c>
      <c r="P108" s="2408"/>
    </row>
    <row r="109" spans="1:16" s="2358" customFormat="1" outlineLevel="1">
      <c r="A109" s="2361" t="str">
        <f t="shared" si="13"/>
        <v>Co  90 độ PVC 90</v>
      </c>
      <c r="B109" s="2383" t="s">
        <v>69</v>
      </c>
      <c r="C109" s="2380"/>
      <c r="D109" s="2373">
        <v>0</v>
      </c>
      <c r="E109" s="2374" t="s">
        <v>5859</v>
      </c>
      <c r="F109" s="2373" t="s">
        <v>2563</v>
      </c>
      <c r="G109" s="2380">
        <f>4*G93</f>
        <v>0</v>
      </c>
      <c r="H109" s="2376">
        <v>45400</v>
      </c>
      <c r="I109" s="2376"/>
      <c r="J109" s="2376">
        <v>0</v>
      </c>
      <c r="K109" s="2376">
        <v>0</v>
      </c>
      <c r="L109" s="2382">
        <f t="shared" si="6"/>
        <v>0</v>
      </c>
      <c r="M109" s="2382">
        <f t="shared" si="7"/>
        <v>0</v>
      </c>
      <c r="N109" s="2382">
        <f t="shared" ref="N109:N115" si="14">J109*G109</f>
        <v>0</v>
      </c>
      <c r="O109" s="2381">
        <f t="shared" si="8"/>
        <v>0</v>
      </c>
      <c r="P109" s="2380"/>
    </row>
    <row r="110" spans="1:16" s="2358" customFormat="1" outlineLevel="1">
      <c r="A110" s="2361" t="str">
        <f t="shared" si="13"/>
        <v xml:space="preserve">Nối thẳng ống PVC 90 </v>
      </c>
      <c r="B110" s="2383" t="s">
        <v>725</v>
      </c>
      <c r="C110" s="2380"/>
      <c r="D110" s="2373">
        <v>0</v>
      </c>
      <c r="E110" s="2374" t="s">
        <v>3573</v>
      </c>
      <c r="F110" s="2373" t="s">
        <v>2563</v>
      </c>
      <c r="G110" s="2380">
        <f>G93</f>
        <v>0</v>
      </c>
      <c r="H110" s="2376">
        <v>12400</v>
      </c>
      <c r="I110" s="2376"/>
      <c r="J110" s="2376">
        <v>0</v>
      </c>
      <c r="K110" s="2376">
        <v>0</v>
      </c>
      <c r="L110" s="2382">
        <f t="shared" si="6"/>
        <v>0</v>
      </c>
      <c r="M110" s="2382">
        <f t="shared" si="7"/>
        <v>0</v>
      </c>
      <c r="N110" s="2382">
        <f t="shared" si="14"/>
        <v>0</v>
      </c>
      <c r="O110" s="2381">
        <f t="shared" si="8"/>
        <v>0</v>
      </c>
      <c r="P110" s="2380"/>
    </row>
    <row r="111" spans="1:16" s="2358" customFormat="1" outlineLevel="1">
      <c r="A111" s="2361" t="str">
        <f t="shared" si="13"/>
        <v>Keo dán ống PVC (100gr)</v>
      </c>
      <c r="B111" s="2383" t="s">
        <v>2080</v>
      </c>
      <c r="C111" s="2380"/>
      <c r="D111" s="2373">
        <v>0</v>
      </c>
      <c r="E111" s="2374" t="s">
        <v>3588</v>
      </c>
      <c r="F111" s="2373" t="s">
        <v>3589</v>
      </c>
      <c r="G111" s="2380">
        <f>G93</f>
        <v>0</v>
      </c>
      <c r="H111" s="2376">
        <v>11500</v>
      </c>
      <c r="I111" s="2376"/>
      <c r="J111" s="2376">
        <v>0</v>
      </c>
      <c r="K111" s="2376">
        <v>0</v>
      </c>
      <c r="L111" s="2382">
        <f t="shared" si="6"/>
        <v>0</v>
      </c>
      <c r="M111" s="2382">
        <f t="shared" si="7"/>
        <v>0</v>
      </c>
      <c r="N111" s="2382">
        <f t="shared" si="14"/>
        <v>0</v>
      </c>
      <c r="O111" s="2381">
        <f t="shared" si="8"/>
        <v>0</v>
      </c>
      <c r="P111" s="2380"/>
    </row>
    <row r="112" spans="1:16" s="2358" customFormat="1" outlineLevel="1">
      <c r="A112" s="2361" t="str">
        <f t="shared" si="13"/>
        <v>Keo silicon bít miệng ống</v>
      </c>
      <c r="B112" s="2383" t="s">
        <v>489</v>
      </c>
      <c r="C112" s="2380"/>
      <c r="D112" s="2373">
        <v>0</v>
      </c>
      <c r="E112" s="2374" t="s">
        <v>3585</v>
      </c>
      <c r="F112" s="2373" t="s">
        <v>5868</v>
      </c>
      <c r="G112" s="2380">
        <f>G93</f>
        <v>0</v>
      </c>
      <c r="H112" s="2376">
        <v>45000</v>
      </c>
      <c r="I112" s="2376"/>
      <c r="J112" s="2376">
        <v>0</v>
      </c>
      <c r="K112" s="2376">
        <v>0</v>
      </c>
      <c r="L112" s="2382">
        <f>H112*G112</f>
        <v>0</v>
      </c>
      <c r="M112" s="2382">
        <f>I112*G112</f>
        <v>0</v>
      </c>
      <c r="N112" s="2382">
        <f t="shared" si="14"/>
        <v>0</v>
      </c>
      <c r="O112" s="2381">
        <f>K112*G112</f>
        <v>0</v>
      </c>
      <c r="P112" s="2380"/>
    </row>
    <row r="113" spans="1:18" s="2358" customFormat="1" outlineLevel="1">
      <c r="A113" s="2361" t="str">
        <f t="shared" si="13"/>
        <v>Lắp ống nhựa PVC D90</v>
      </c>
      <c r="B113" s="2383" t="s">
        <v>2188</v>
      </c>
      <c r="C113" s="2380"/>
      <c r="D113" s="2373" t="s">
        <v>5609</v>
      </c>
      <c r="E113" s="2374" t="s">
        <v>3270</v>
      </c>
      <c r="F113" s="2373" t="s">
        <v>2538</v>
      </c>
      <c r="G113" s="2380">
        <f>G103</f>
        <v>0</v>
      </c>
      <c r="H113" s="2376"/>
      <c r="I113" s="2376"/>
      <c r="J113" s="2376">
        <v>55493.02</v>
      </c>
      <c r="K113" s="2376">
        <v>0</v>
      </c>
      <c r="L113" s="2382">
        <f>H113*G113</f>
        <v>0</v>
      </c>
      <c r="M113" s="2382">
        <f>I113*G113</f>
        <v>0</v>
      </c>
      <c r="N113" s="2382">
        <f t="shared" si="14"/>
        <v>0</v>
      </c>
      <c r="O113" s="2381">
        <f>K113*G113</f>
        <v>0</v>
      </c>
      <c r="P113" s="2380"/>
    </row>
    <row r="114" spans="1:18" s="2358" customFormat="1" outlineLevel="1">
      <c r="A114" s="2361" t="str">
        <f t="shared" si="13"/>
        <v>Lắp cáp đồng xuống thiết bị D ≤ 95mm2</v>
      </c>
      <c r="B114" s="2383" t="s">
        <v>1528</v>
      </c>
      <c r="C114" s="2380"/>
      <c r="D114" s="2373" t="s">
        <v>5633</v>
      </c>
      <c r="E114" s="2374" t="s">
        <v>3310</v>
      </c>
      <c r="F114" s="2373" t="s">
        <v>1827</v>
      </c>
      <c r="G114" s="2380">
        <f>G95+G96</f>
        <v>0</v>
      </c>
      <c r="H114" s="2376">
        <v>0</v>
      </c>
      <c r="I114" s="2376"/>
      <c r="J114" s="2376">
        <v>13915</v>
      </c>
      <c r="K114" s="2376">
        <v>0</v>
      </c>
      <c r="L114" s="2382">
        <f>H114*G114</f>
        <v>0</v>
      </c>
      <c r="M114" s="2382">
        <f>I114*G114</f>
        <v>0</v>
      </c>
      <c r="N114" s="2382">
        <f t="shared" si="14"/>
        <v>0</v>
      </c>
      <c r="O114" s="2381">
        <f>K114*G114</f>
        <v>0</v>
      </c>
      <c r="P114" s="2380"/>
    </row>
    <row r="115" spans="1:18" s="2358" customFormat="1" outlineLevel="1">
      <c r="A115" s="2361" t="str">
        <f t="shared" si="13"/>
        <v>Bảng tên trạm, bảng báo nguy hiểm + đinh vít</v>
      </c>
      <c r="B115" s="2383" t="s">
        <v>289</v>
      </c>
      <c r="C115" s="2413">
        <f>IF(G115&gt;0,C93+1,C93)</f>
        <v>0</v>
      </c>
      <c r="D115" s="2414"/>
      <c r="E115" s="2374" t="s">
        <v>5774</v>
      </c>
      <c r="F115" s="2373" t="s">
        <v>2563</v>
      </c>
      <c r="G115" s="2413">
        <f>G34</f>
        <v>0</v>
      </c>
      <c r="H115" s="2376">
        <v>300000</v>
      </c>
      <c r="I115" s="2376"/>
      <c r="J115" s="2376">
        <v>0</v>
      </c>
      <c r="K115" s="2376">
        <v>0</v>
      </c>
      <c r="L115" s="2415">
        <f t="shared" si="6"/>
        <v>0</v>
      </c>
      <c r="M115" s="2415">
        <f t="shared" si="7"/>
        <v>0</v>
      </c>
      <c r="N115" s="2415">
        <f t="shared" si="14"/>
        <v>0</v>
      </c>
      <c r="O115" s="2416">
        <f t="shared" si="8"/>
        <v>0</v>
      </c>
      <c r="P115" s="2417"/>
    </row>
    <row r="116" spans="1:18" s="2358" customFormat="1" outlineLevel="1">
      <c r="A116" s="2361" t="e">
        <f t="shared" si="13"/>
        <v>#N/A</v>
      </c>
      <c r="B116" s="2383"/>
      <c r="C116" s="2418"/>
      <c r="D116" s="2419"/>
      <c r="E116" s="2368"/>
      <c r="F116" s="2875"/>
      <c r="G116" s="2875"/>
      <c r="H116" s="2875"/>
      <c r="I116" s="2875"/>
      <c r="J116" s="2911" t="s">
        <v>6205</v>
      </c>
      <c r="K116" s="2911"/>
      <c r="L116" s="2420">
        <f>SUM(L44:L115)</f>
        <v>0</v>
      </c>
      <c r="M116" s="2420"/>
      <c r="N116" s="2420">
        <f>SUM(N44:N115)</f>
        <v>0</v>
      </c>
      <c r="O116" s="2420">
        <f>SUM(O44:O115)</f>
        <v>0</v>
      </c>
      <c r="P116" s="2388"/>
    </row>
    <row r="117" spans="1:18" s="2358" customFormat="1" ht="13.8" customHeight="1">
      <c r="A117" s="2402" t="str">
        <f>IF(G122&lt;&gt;0,1,"")</f>
        <v/>
      </c>
      <c r="B117" s="2384"/>
      <c r="C117" s="2876"/>
      <c r="D117" s="2402"/>
    </row>
    <row r="118" spans="1:18" s="2358" customFormat="1" outlineLevel="1">
      <c r="A118" s="2361" t="e">
        <f t="shared" ref="A118:A149" si="15">VLOOKUP(B118,DonGia,3,0)</f>
        <v>#N/A</v>
      </c>
      <c r="B118" s="2384"/>
      <c r="C118" s="2912" t="s">
        <v>6206</v>
      </c>
      <c r="D118" s="2877"/>
      <c r="E118" s="2912"/>
      <c r="F118" s="2912"/>
      <c r="G118" s="2912"/>
      <c r="H118" s="2912"/>
      <c r="I118" s="2912"/>
      <c r="J118" s="2912"/>
      <c r="K118" s="2912"/>
      <c r="L118" s="2912"/>
      <c r="M118" s="2912"/>
      <c r="N118" s="2912"/>
      <c r="O118" s="2912"/>
      <c r="P118" s="2912"/>
    </row>
    <row r="119" spans="1:18" s="2358" customFormat="1" outlineLevel="1">
      <c r="A119" s="2361" t="e">
        <f t="shared" si="15"/>
        <v>#N/A</v>
      </c>
      <c r="B119" s="2383" t="s">
        <v>6186</v>
      </c>
      <c r="C119" s="2901" t="s">
        <v>1712</v>
      </c>
      <c r="D119" s="2902" t="s">
        <v>2605</v>
      </c>
      <c r="E119" s="2904" t="s">
        <v>2606</v>
      </c>
      <c r="F119" s="2901" t="s">
        <v>2601</v>
      </c>
      <c r="G119" s="2362" t="s">
        <v>6187</v>
      </c>
      <c r="H119" s="2365" t="s">
        <v>6188</v>
      </c>
      <c r="I119" s="2872"/>
      <c r="J119" s="2872"/>
      <c r="K119" s="2873"/>
      <c r="L119" s="2365" t="s">
        <v>6189</v>
      </c>
      <c r="M119" s="2872"/>
      <c r="N119" s="2872"/>
      <c r="O119" s="2873"/>
      <c r="P119" s="2901" t="s">
        <v>2607</v>
      </c>
    </row>
    <row r="120" spans="1:18" s="2358" customFormat="1" outlineLevel="1">
      <c r="A120" s="2361" t="e">
        <f t="shared" si="15"/>
        <v>#N/A</v>
      </c>
      <c r="B120" s="2383"/>
      <c r="C120" s="2901"/>
      <c r="D120" s="2903"/>
      <c r="E120" s="2905"/>
      <c r="F120" s="2901"/>
      <c r="G120" s="2364" t="s">
        <v>2292</v>
      </c>
      <c r="H120" s="2365" t="s">
        <v>6190</v>
      </c>
      <c r="I120" s="2365" t="s">
        <v>6191</v>
      </c>
      <c r="J120" s="2365" t="s">
        <v>6192</v>
      </c>
      <c r="K120" s="2365" t="s">
        <v>6193</v>
      </c>
      <c r="L120" s="2365" t="s">
        <v>6190</v>
      </c>
      <c r="M120" s="2365" t="s">
        <v>6191</v>
      </c>
      <c r="N120" s="2365" t="s">
        <v>6192</v>
      </c>
      <c r="O120" s="2365" t="s">
        <v>6193</v>
      </c>
      <c r="P120" s="2901"/>
    </row>
    <row r="121" spans="1:18" s="2358" customFormat="1" outlineLevel="1">
      <c r="A121" s="2361" t="e">
        <f t="shared" si="15"/>
        <v>#N/A</v>
      </c>
      <c r="B121" s="2383"/>
      <c r="C121" s="2366"/>
      <c r="D121" s="2367"/>
      <c r="E121" s="2368" t="s">
        <v>3690</v>
      </c>
      <c r="F121" s="2369"/>
      <c r="G121" s="2369"/>
      <c r="H121" s="2369"/>
      <c r="I121" s="2369"/>
      <c r="J121" s="2369"/>
      <c r="K121" s="2369"/>
      <c r="L121" s="2369"/>
      <c r="M121" s="2369"/>
      <c r="N121" s="2369"/>
      <c r="O121" s="2367"/>
      <c r="P121" s="2370"/>
    </row>
    <row r="122" spans="1:18" s="2358" customFormat="1" outlineLevel="1">
      <c r="A122" s="2361" t="str">
        <f t="shared" si="15"/>
        <v>Máy biến áp 12,7/0,22-0,44kV  25kVA</v>
      </c>
      <c r="B122" s="2371" t="str">
        <f>IF($F$8=22,"TR251","TR25")</f>
        <v>TR251</v>
      </c>
      <c r="C122" s="2372">
        <f>IF(G122&gt;0,1,0)</f>
        <v>0</v>
      </c>
      <c r="D122" s="2373" t="s">
        <v>5645</v>
      </c>
      <c r="E122" s="2374" t="s">
        <v>3325</v>
      </c>
      <c r="F122" s="2373" t="s">
        <v>3318</v>
      </c>
      <c r="G122" s="2421">
        <f>H7</f>
        <v>0</v>
      </c>
      <c r="H122" s="2376">
        <v>41513000</v>
      </c>
      <c r="I122" s="2376"/>
      <c r="J122" s="2376">
        <v>546322</v>
      </c>
      <c r="K122" s="2376">
        <v>284508</v>
      </c>
      <c r="L122" s="2382">
        <f t="shared" ref="L122:L130" si="16">H122*G122</f>
        <v>0</v>
      </c>
      <c r="M122" s="2382">
        <f t="shared" ref="M122:M130" si="17">I122*G122</f>
        <v>0</v>
      </c>
      <c r="N122" s="2382">
        <f t="shared" ref="N122:N130" si="18">J122*G122</f>
        <v>0</v>
      </c>
      <c r="O122" s="2381">
        <f t="shared" ref="O122:O130" si="19">K122*G122</f>
        <v>0</v>
      </c>
      <c r="P122" s="2422"/>
    </row>
    <row r="123" spans="1:18" s="2358" customFormat="1" outlineLevel="1">
      <c r="A123" s="2361" t="str">
        <f t="shared" si="15"/>
        <v>FCO 27kV - 100A</v>
      </c>
      <c r="B123" s="2371" t="str">
        <f>"FCO100-"&amp;$F$8</f>
        <v>FCO100-22</v>
      </c>
      <c r="C123" s="2372">
        <f t="shared" ref="C123:C130" si="20">IF(G123&gt;0,C122+1,C122)</f>
        <v>0</v>
      </c>
      <c r="D123" s="2373" t="s">
        <v>5660</v>
      </c>
      <c r="E123" s="2374" t="s">
        <v>95</v>
      </c>
      <c r="F123" s="2373" t="s">
        <v>2563</v>
      </c>
      <c r="G123" s="2380">
        <f>+G122</f>
        <v>0</v>
      </c>
      <c r="H123" s="2376">
        <v>2244280</v>
      </c>
      <c r="I123" s="2376"/>
      <c r="J123" s="2376">
        <v>222639.99999999997</v>
      </c>
      <c r="K123" s="2376">
        <v>0</v>
      </c>
      <c r="L123" s="2382">
        <f t="shared" si="16"/>
        <v>0</v>
      </c>
      <c r="M123" s="2382">
        <f t="shared" si="17"/>
        <v>0</v>
      </c>
      <c r="N123" s="2382">
        <f t="shared" si="18"/>
        <v>0</v>
      </c>
      <c r="O123" s="2381">
        <f t="shared" si="19"/>
        <v>0</v>
      </c>
      <c r="P123" s="2408"/>
    </row>
    <row r="124" spans="1:18" s="2358" customFormat="1" outlineLevel="1">
      <c r="A124" s="2361" t="str">
        <f t="shared" si="15"/>
        <v>Dây chảy 3K</v>
      </c>
      <c r="B124" s="2371" t="str">
        <f>IF($F$8=22,"CHI3K","CHI6K")</f>
        <v>CHI3K</v>
      </c>
      <c r="C124" s="2372">
        <f t="shared" si="20"/>
        <v>0</v>
      </c>
      <c r="D124" s="2373">
        <v>0</v>
      </c>
      <c r="E124" s="2374" t="s">
        <v>3440</v>
      </c>
      <c r="F124" s="2373" t="s">
        <v>2608</v>
      </c>
      <c r="G124" s="2380">
        <f>G123</f>
        <v>0</v>
      </c>
      <c r="H124" s="2376">
        <v>84000</v>
      </c>
      <c r="I124" s="2376"/>
      <c r="J124" s="2376">
        <v>0</v>
      </c>
      <c r="K124" s="2376">
        <v>0</v>
      </c>
      <c r="L124" s="2382">
        <f t="shared" si="16"/>
        <v>0</v>
      </c>
      <c r="M124" s="2382">
        <f t="shared" si="17"/>
        <v>0</v>
      </c>
      <c r="N124" s="2382">
        <f t="shared" si="18"/>
        <v>0</v>
      </c>
      <c r="O124" s="2381">
        <f t="shared" si="19"/>
        <v>0</v>
      </c>
      <c r="P124" s="2408"/>
    </row>
    <row r="125" spans="1:18" s="2358" customFormat="1" outlineLevel="1">
      <c r="A125" s="2361" t="str">
        <f t="shared" si="15"/>
        <v>Chống sét van LA-18KV-10KA</v>
      </c>
      <c r="B125" s="2383" t="str">
        <f>"LA"&amp;$F$6</f>
        <v>LA18</v>
      </c>
      <c r="C125" s="2372">
        <f>IF(G125&gt;0,C124+1,C124)</f>
        <v>0</v>
      </c>
      <c r="D125" s="2373" t="s">
        <v>5664</v>
      </c>
      <c r="E125" s="2374" t="s">
        <v>1193</v>
      </c>
      <c r="F125" s="2373" t="s">
        <v>2563</v>
      </c>
      <c r="G125" s="2380">
        <f>G123</f>
        <v>0</v>
      </c>
      <c r="H125" s="2376">
        <v>1106000</v>
      </c>
      <c r="I125" s="2376"/>
      <c r="J125" s="2376">
        <v>83490</v>
      </c>
      <c r="K125" s="2376">
        <v>0</v>
      </c>
      <c r="L125" s="2382">
        <f t="shared" si="16"/>
        <v>0</v>
      </c>
      <c r="M125" s="2382">
        <f t="shared" si="17"/>
        <v>0</v>
      </c>
      <c r="N125" s="2382">
        <f t="shared" si="18"/>
        <v>0</v>
      </c>
      <c r="O125" s="2381">
        <f t="shared" si="19"/>
        <v>0</v>
      </c>
      <c r="P125" s="2408"/>
    </row>
    <row r="126" spans="1:18" s="2358" customFormat="1" outlineLevel="1">
      <c r="A126" s="2361" t="str">
        <f t="shared" si="15"/>
        <v>MCCB 3 cực 400V -125A - 30KA</v>
      </c>
      <c r="B126" s="2385" t="s">
        <v>1422</v>
      </c>
      <c r="C126" s="2372">
        <f t="shared" si="20"/>
        <v>0</v>
      </c>
      <c r="D126" s="2373">
        <v>0</v>
      </c>
      <c r="E126" s="2374" t="s">
        <v>5742</v>
      </c>
      <c r="F126" s="2373" t="s">
        <v>2563</v>
      </c>
      <c r="G126" s="2380">
        <f>G122</f>
        <v>0</v>
      </c>
      <c r="H126" s="2376">
        <v>2440000</v>
      </c>
      <c r="I126" s="2376"/>
      <c r="J126" s="2376">
        <v>0</v>
      </c>
      <c r="K126" s="2376">
        <v>0</v>
      </c>
      <c r="L126" s="2382">
        <f t="shared" si="16"/>
        <v>0</v>
      </c>
      <c r="M126" s="2382">
        <f t="shared" si="17"/>
        <v>0</v>
      </c>
      <c r="N126" s="2382">
        <f t="shared" si="18"/>
        <v>0</v>
      </c>
      <c r="O126" s="2381">
        <f t="shared" si="19"/>
        <v>0</v>
      </c>
      <c r="P126" s="2408"/>
    </row>
    <row r="127" spans="1:18" s="2358" customFormat="1" outlineLevel="1">
      <c r="A127" s="2361" t="str">
        <f t="shared" si="15"/>
        <v>Biến dòng 24kV  100/5A</v>
      </c>
      <c r="B127" s="2412" t="s">
        <v>1474</v>
      </c>
      <c r="C127" s="2372">
        <f t="shared" si="20"/>
        <v>0</v>
      </c>
      <c r="D127" s="2373">
        <v>0</v>
      </c>
      <c r="E127" s="2374" t="s">
        <v>3371</v>
      </c>
      <c r="F127" s="2373" t="s">
        <v>2563</v>
      </c>
      <c r="G127" s="2380">
        <f>+G122*1</f>
        <v>0</v>
      </c>
      <c r="H127" s="2376">
        <v>0</v>
      </c>
      <c r="I127" s="2376"/>
      <c r="J127" s="2376">
        <v>0</v>
      </c>
      <c r="K127" s="2376">
        <v>0</v>
      </c>
      <c r="L127" s="2382">
        <f t="shared" si="16"/>
        <v>0</v>
      </c>
      <c r="M127" s="2382">
        <f>I127*G127</f>
        <v>0</v>
      </c>
      <c r="N127" s="2382">
        <f>J127*G127</f>
        <v>0</v>
      </c>
      <c r="O127" s="2381">
        <f>K127*G127</f>
        <v>0</v>
      </c>
      <c r="P127" s="2380" t="s">
        <v>2609</v>
      </c>
      <c r="R127" s="2384"/>
    </row>
    <row r="128" spans="1:18" s="2358" customFormat="1" outlineLevel="1">
      <c r="A128" s="2361" t="str">
        <f t="shared" si="15"/>
        <v>Điện kế 1 pha 2 dây 220V-5A</v>
      </c>
      <c r="B128" s="2386" t="s">
        <v>287</v>
      </c>
      <c r="C128" s="2372">
        <f t="shared" si="20"/>
        <v>0</v>
      </c>
      <c r="D128" s="2373">
        <v>0</v>
      </c>
      <c r="E128" s="2374" t="s">
        <v>3457</v>
      </c>
      <c r="F128" s="2373" t="s">
        <v>2563</v>
      </c>
      <c r="G128" s="2380">
        <f>G122*1</f>
        <v>0</v>
      </c>
      <c r="H128" s="2376">
        <v>0</v>
      </c>
      <c r="I128" s="2376"/>
      <c r="J128" s="2376">
        <v>0</v>
      </c>
      <c r="K128" s="2376">
        <v>0</v>
      </c>
      <c r="L128" s="2382">
        <f t="shared" si="16"/>
        <v>0</v>
      </c>
      <c r="M128" s="2382">
        <f t="shared" si="17"/>
        <v>0</v>
      </c>
      <c r="N128" s="2382">
        <f t="shared" si="18"/>
        <v>0</v>
      </c>
      <c r="O128" s="2381">
        <f t="shared" si="19"/>
        <v>0</v>
      </c>
      <c r="P128" s="2380" t="s">
        <v>2609</v>
      </c>
    </row>
    <row r="129" spans="1:18" s="2358" customFormat="1" outlineLevel="1">
      <c r="A129" s="2361" t="str">
        <f t="shared" si="15"/>
        <v xml:space="preserve">Ampe kế 100/5A-600v +AS </v>
      </c>
      <c r="B129" s="2383" t="s">
        <v>199</v>
      </c>
      <c r="C129" s="2372">
        <f t="shared" si="20"/>
        <v>0</v>
      </c>
      <c r="D129" s="2373">
        <v>0</v>
      </c>
      <c r="E129" s="2374" t="s">
        <v>3613</v>
      </c>
      <c r="F129" s="2373" t="s">
        <v>2391</v>
      </c>
      <c r="G129" s="2380"/>
      <c r="H129" s="2376"/>
      <c r="I129" s="2376"/>
      <c r="J129" s="2376">
        <v>0</v>
      </c>
      <c r="K129" s="2376">
        <v>0</v>
      </c>
      <c r="L129" s="2382">
        <f t="shared" si="16"/>
        <v>0</v>
      </c>
      <c r="M129" s="2382">
        <f t="shared" si="17"/>
        <v>0</v>
      </c>
      <c r="N129" s="2382">
        <f t="shared" si="18"/>
        <v>0</v>
      </c>
      <c r="O129" s="2381">
        <f t="shared" si="19"/>
        <v>0</v>
      </c>
      <c r="P129" s="2380" t="s">
        <v>2609</v>
      </c>
    </row>
    <row r="130" spans="1:18" s="2358" customFormat="1" outlineLevel="1">
      <c r="A130" s="2361" t="str">
        <f t="shared" si="15"/>
        <v>Volt kế 500V + VS + 2xChì ống 1A-230V</v>
      </c>
      <c r="B130" s="2383" t="s">
        <v>200</v>
      </c>
      <c r="C130" s="2372">
        <f t="shared" si="20"/>
        <v>0</v>
      </c>
      <c r="D130" s="2373">
        <v>0</v>
      </c>
      <c r="E130" s="2374" t="s">
        <v>3614</v>
      </c>
      <c r="F130" s="2373" t="s">
        <v>2391</v>
      </c>
      <c r="G130" s="2380"/>
      <c r="H130" s="2376"/>
      <c r="I130" s="2376"/>
      <c r="J130" s="2376">
        <v>0</v>
      </c>
      <c r="K130" s="2376">
        <v>0</v>
      </c>
      <c r="L130" s="2382">
        <f t="shared" si="16"/>
        <v>0</v>
      </c>
      <c r="M130" s="2382">
        <f t="shared" si="17"/>
        <v>0</v>
      </c>
      <c r="N130" s="2382">
        <f t="shared" si="18"/>
        <v>0</v>
      </c>
      <c r="O130" s="2381">
        <f t="shared" si="19"/>
        <v>0</v>
      </c>
      <c r="P130" s="2380" t="s">
        <v>2609</v>
      </c>
    </row>
    <row r="131" spans="1:18" s="2358" customFormat="1" outlineLevel="1">
      <c r="A131" s="2361" t="e">
        <f t="shared" si="15"/>
        <v>#N/A</v>
      </c>
      <c r="B131" s="2383"/>
      <c r="C131" s="2388"/>
      <c r="D131" s="2388"/>
      <c r="E131" s="2370"/>
      <c r="F131" s="2388"/>
      <c r="G131" s="2388"/>
      <c r="H131" s="2388"/>
      <c r="I131" s="2388"/>
      <c r="J131" s="2370" t="s">
        <v>6195</v>
      </c>
      <c r="K131" s="2388"/>
      <c r="L131" s="2370">
        <f>SUM(L122:L130)</f>
        <v>0</v>
      </c>
      <c r="M131" s="2370"/>
      <c r="N131" s="2370">
        <f>SUM(N122:N130)</f>
        <v>0</v>
      </c>
      <c r="O131" s="2370">
        <f>SUM(O122:O130)</f>
        <v>0</v>
      </c>
      <c r="P131" s="2423"/>
    </row>
    <row r="132" spans="1:18" s="2358" customFormat="1" outlineLevel="1">
      <c r="A132" s="2361" t="e">
        <f t="shared" si="15"/>
        <v>#N/A</v>
      </c>
      <c r="B132" s="2383"/>
      <c r="C132" s="2390"/>
      <c r="D132" s="2388"/>
      <c r="E132" s="2392" t="s">
        <v>3691</v>
      </c>
      <c r="F132" s="2392"/>
      <c r="G132" s="2392"/>
      <c r="H132" s="2392"/>
      <c r="I132" s="2392"/>
      <c r="J132" s="2392"/>
      <c r="K132" s="2392"/>
      <c r="L132" s="2392"/>
      <c r="M132" s="2392"/>
      <c r="N132" s="2392"/>
      <c r="O132" s="2391"/>
      <c r="P132" s="2423"/>
    </row>
    <row r="133" spans="1:18" s="2358" customFormat="1" outlineLevel="1">
      <c r="A133" s="2361" t="str">
        <f t="shared" si="15"/>
        <v>Boulon 16x300+ 2 long đền vuông D18-50x50x3/Zn</v>
      </c>
      <c r="B133" s="2383" t="s">
        <v>1613</v>
      </c>
      <c r="C133" s="2393">
        <f>IF(G145&gt;0,1,0)</f>
        <v>0</v>
      </c>
      <c r="D133" s="2373">
        <v>0</v>
      </c>
      <c r="E133" s="2374" t="s">
        <v>2657</v>
      </c>
      <c r="F133" s="2373" t="s">
        <v>2445</v>
      </c>
      <c r="G133" s="2395">
        <f>2*SUM(G122:G122)</f>
        <v>0</v>
      </c>
      <c r="H133" s="2376">
        <v>25400</v>
      </c>
      <c r="I133" s="2381"/>
      <c r="J133" s="2376">
        <v>0</v>
      </c>
      <c r="K133" s="2376">
        <v>0</v>
      </c>
      <c r="L133" s="2382">
        <f t="shared" ref="L133:L204" si="21">H133*G133</f>
        <v>0</v>
      </c>
      <c r="M133" s="2382">
        <f t="shared" ref="M133:M204" si="22">I133*G133</f>
        <v>0</v>
      </c>
      <c r="N133" s="2382">
        <f t="shared" ref="N133:N204" si="23">J133*G133</f>
        <v>0</v>
      </c>
      <c r="O133" s="2381">
        <f t="shared" ref="O133:O204" si="24">K133*G133</f>
        <v>0</v>
      </c>
      <c r="P133" s="2422"/>
    </row>
    <row r="134" spans="1:18" s="2358" customFormat="1" outlineLevel="1">
      <c r="A134" s="2361" t="e">
        <f t="shared" si="15"/>
        <v>#N/A</v>
      </c>
      <c r="B134" s="2383"/>
      <c r="C134" s="2398">
        <f>IF(G134&gt;0,C133+1,C133)</f>
        <v>0</v>
      </c>
      <c r="D134" s="2399"/>
      <c r="E134" s="2400" t="s">
        <v>3692</v>
      </c>
      <c r="F134" s="2395" t="s">
        <v>2391</v>
      </c>
      <c r="G134" s="2395">
        <f>G122*0</f>
        <v>0</v>
      </c>
      <c r="H134" s="2381"/>
      <c r="I134" s="2381"/>
      <c r="J134" s="2381"/>
      <c r="K134" s="2381"/>
      <c r="L134" s="2382">
        <f t="shared" si="21"/>
        <v>0</v>
      </c>
      <c r="M134" s="2382">
        <f t="shared" si="22"/>
        <v>0</v>
      </c>
      <c r="N134" s="2382">
        <f t="shared" si="23"/>
        <v>0</v>
      </c>
      <c r="O134" s="2381">
        <f t="shared" si="24"/>
        <v>0</v>
      </c>
      <c r="P134" s="2380"/>
    </row>
    <row r="135" spans="1:18" s="2358" customFormat="1" ht="14.4" outlineLevel="1">
      <c r="A135" s="2361" t="e">
        <f t="shared" si="15"/>
        <v>#N/A</v>
      </c>
      <c r="B135" s="2383"/>
      <c r="C135" s="2395"/>
      <c r="D135" s="2399"/>
      <c r="E135" s="2401" t="s">
        <v>6207</v>
      </c>
      <c r="F135" s="2380"/>
      <c r="G135" s="2380"/>
      <c r="H135" s="2381"/>
      <c r="I135" s="2381"/>
      <c r="J135" s="2381"/>
      <c r="K135" s="2381"/>
      <c r="L135" s="2382">
        <f t="shared" si="21"/>
        <v>0</v>
      </c>
      <c r="M135" s="2382">
        <f t="shared" si="22"/>
        <v>0</v>
      </c>
      <c r="N135" s="2382">
        <f t="shared" si="23"/>
        <v>0</v>
      </c>
      <c r="O135" s="2381">
        <f t="shared" si="24"/>
        <v>0</v>
      </c>
      <c r="P135" s="2380"/>
      <c r="R135" s="2402"/>
    </row>
    <row r="136" spans="1:18" s="2358" customFormat="1" outlineLevel="1">
      <c r="A136" s="2361" t="str">
        <f t="shared" si="15"/>
        <v>Trụ BTLT 12m F350 dự ứng lực</v>
      </c>
      <c r="B136" s="2386" t="s">
        <v>115</v>
      </c>
      <c r="C136" s="2380"/>
      <c r="D136" s="2373">
        <v>0</v>
      </c>
      <c r="E136" s="2374" t="s">
        <v>3009</v>
      </c>
      <c r="F136" s="2373" t="s">
        <v>2839</v>
      </c>
      <c r="G136" s="2380">
        <f>1*G134</f>
        <v>0</v>
      </c>
      <c r="H136" s="2376">
        <v>4400000</v>
      </c>
      <c r="I136" s="2376"/>
      <c r="J136" s="2376">
        <v>0</v>
      </c>
      <c r="K136" s="2376">
        <v>0</v>
      </c>
      <c r="L136" s="2382">
        <f t="shared" si="21"/>
        <v>0</v>
      </c>
      <c r="M136" s="2382">
        <f t="shared" si="22"/>
        <v>0</v>
      </c>
      <c r="N136" s="2382">
        <f t="shared" si="23"/>
        <v>0</v>
      </c>
      <c r="O136" s="2381">
        <f t="shared" si="24"/>
        <v>0</v>
      </c>
      <c r="P136" s="2380"/>
      <c r="R136" s="2402"/>
    </row>
    <row r="137" spans="1:18" s="2358" customFormat="1" outlineLevel="1">
      <c r="A137" s="2361" t="str">
        <f t="shared" si="15"/>
        <v>Vật liệu dựng trụ</v>
      </c>
      <c r="B137" s="2386" t="s">
        <v>1818</v>
      </c>
      <c r="C137" s="2380"/>
      <c r="D137" s="2403"/>
      <c r="E137" s="2374" t="s">
        <v>2838</v>
      </c>
      <c r="F137" s="2373" t="s">
        <v>2839</v>
      </c>
      <c r="G137" s="2380">
        <f>G136</f>
        <v>0</v>
      </c>
      <c r="H137" s="2376">
        <v>17400</v>
      </c>
      <c r="I137" s="2376"/>
      <c r="J137" s="2376">
        <v>0</v>
      </c>
      <c r="K137" s="2376">
        <v>0</v>
      </c>
      <c r="L137" s="2382">
        <f t="shared" si="21"/>
        <v>0</v>
      </c>
      <c r="M137" s="2382">
        <f t="shared" si="22"/>
        <v>0</v>
      </c>
      <c r="N137" s="2382">
        <f t="shared" si="23"/>
        <v>0</v>
      </c>
      <c r="O137" s="2381">
        <f t="shared" si="24"/>
        <v>0</v>
      </c>
      <c r="P137" s="2380"/>
      <c r="R137" s="2402"/>
    </row>
    <row r="138" spans="1:18" s="2358" customFormat="1" outlineLevel="1">
      <c r="A138" s="2361" t="str">
        <f t="shared" si="15"/>
        <v>Dựng trụ BTLT 12m trong TBA bằng thủ công + cơ giới</v>
      </c>
      <c r="B138" s="2386" t="s">
        <v>2132</v>
      </c>
      <c r="C138" s="2380"/>
      <c r="D138" s="2403"/>
      <c r="E138" s="2374" t="s">
        <v>3185</v>
      </c>
      <c r="F138" s="2373" t="s">
        <v>2839</v>
      </c>
      <c r="G138" s="2380">
        <f>G136</f>
        <v>0</v>
      </c>
      <c r="H138" s="2376">
        <v>0</v>
      </c>
      <c r="I138" s="2376"/>
      <c r="J138" s="2376">
        <v>112286</v>
      </c>
      <c r="K138" s="2376">
        <v>105970</v>
      </c>
      <c r="L138" s="2382">
        <f t="shared" si="21"/>
        <v>0</v>
      </c>
      <c r="M138" s="2382">
        <f t="shared" si="22"/>
        <v>0</v>
      </c>
      <c r="N138" s="2382">
        <f t="shared" si="23"/>
        <v>0</v>
      </c>
      <c r="O138" s="2381">
        <f t="shared" si="24"/>
        <v>0</v>
      </c>
      <c r="P138" s="2380"/>
      <c r="R138" s="2402"/>
    </row>
    <row r="139" spans="1:18" s="2358" customFormat="1" outlineLevel="1">
      <c r="A139" s="2361" t="e">
        <f t="shared" si="15"/>
        <v>#N/A</v>
      </c>
      <c r="B139" s="2383"/>
      <c r="C139" s="2398">
        <f>IF(G139&gt;0,C134+1,C134)</f>
        <v>0</v>
      </c>
      <c r="D139" s="2399"/>
      <c r="E139" s="2400" t="s">
        <v>2358</v>
      </c>
      <c r="F139" s="2395" t="s">
        <v>2391</v>
      </c>
      <c r="G139" s="2395">
        <f>G134</f>
        <v>0</v>
      </c>
      <c r="H139" s="2381"/>
      <c r="I139" s="2381"/>
      <c r="J139" s="2381"/>
      <c r="K139" s="2381"/>
      <c r="L139" s="2382">
        <f t="shared" si="21"/>
        <v>0</v>
      </c>
      <c r="M139" s="2382">
        <f t="shared" si="22"/>
        <v>0</v>
      </c>
      <c r="N139" s="2382">
        <f t="shared" si="23"/>
        <v>0</v>
      </c>
      <c r="O139" s="2381">
        <f t="shared" si="24"/>
        <v>0</v>
      </c>
      <c r="P139" s="2380"/>
    </row>
    <row r="140" spans="1:18" s="2358" customFormat="1" ht="14.4" outlineLevel="1">
      <c r="A140" s="2361" t="e">
        <f t="shared" si="15"/>
        <v>#N/A</v>
      </c>
      <c r="B140" s="2383"/>
      <c r="C140" s="2395"/>
      <c r="D140" s="2399"/>
      <c r="E140" s="2401" t="s">
        <v>6207</v>
      </c>
      <c r="F140" s="2380"/>
      <c r="G140" s="2380"/>
      <c r="H140" s="2381"/>
      <c r="I140" s="2381"/>
      <c r="J140" s="2381"/>
      <c r="K140" s="2381"/>
      <c r="L140" s="2382">
        <f t="shared" si="21"/>
        <v>0</v>
      </c>
      <c r="M140" s="2382">
        <f t="shared" si="22"/>
        <v>0</v>
      </c>
      <c r="N140" s="2382">
        <f t="shared" si="23"/>
        <v>0</v>
      </c>
      <c r="O140" s="2381">
        <f t="shared" si="24"/>
        <v>0</v>
      </c>
      <c r="P140" s="2380"/>
      <c r="R140" s="2402"/>
    </row>
    <row r="141" spans="1:18" s="2358" customFormat="1" outlineLevel="1">
      <c r="A141" s="2361" t="str">
        <f t="shared" si="15"/>
        <v>Đà cản BTCT 1,2m</v>
      </c>
      <c r="B141" s="2386" t="s">
        <v>636</v>
      </c>
      <c r="C141" s="2380"/>
      <c r="D141" s="2373" t="s">
        <v>5099</v>
      </c>
      <c r="E141" s="2374" t="s">
        <v>2615</v>
      </c>
      <c r="F141" s="2373" t="s">
        <v>2563</v>
      </c>
      <c r="G141" s="2380">
        <f>1*G139</f>
        <v>0</v>
      </c>
      <c r="H141" s="2376">
        <v>354545</v>
      </c>
      <c r="I141" s="2376"/>
      <c r="J141" s="2376">
        <v>37220.25</v>
      </c>
      <c r="K141" s="2376">
        <v>0</v>
      </c>
      <c r="L141" s="2382">
        <f t="shared" si="21"/>
        <v>0</v>
      </c>
      <c r="M141" s="2382">
        <f t="shared" si="22"/>
        <v>0</v>
      </c>
      <c r="N141" s="2382">
        <f t="shared" si="23"/>
        <v>0</v>
      </c>
      <c r="O141" s="2381">
        <f t="shared" si="24"/>
        <v>0</v>
      </c>
      <c r="P141" s="2380"/>
      <c r="R141" s="2402"/>
    </row>
    <row r="142" spans="1:18" s="2358" customFormat="1" outlineLevel="1">
      <c r="A142" s="2361" t="str">
        <f t="shared" si="15"/>
        <v>Boulon 22x550/100+ 2 long đền vuông D24-50x50x3/Zn</v>
      </c>
      <c r="B142" s="2386" t="s">
        <v>719</v>
      </c>
      <c r="C142" s="2380"/>
      <c r="D142" s="2373">
        <v>0</v>
      </c>
      <c r="E142" s="2374" t="s">
        <v>5123</v>
      </c>
      <c r="F142" s="2373" t="s">
        <v>2445</v>
      </c>
      <c r="G142" s="2380">
        <f>G139</f>
        <v>0</v>
      </c>
      <c r="H142" s="2376">
        <v>82400</v>
      </c>
      <c r="I142" s="2376"/>
      <c r="J142" s="2376">
        <v>0</v>
      </c>
      <c r="K142" s="2376">
        <v>0</v>
      </c>
      <c r="L142" s="2382">
        <f t="shared" si="21"/>
        <v>0</v>
      </c>
      <c r="M142" s="2382">
        <f t="shared" si="22"/>
        <v>0</v>
      </c>
      <c r="N142" s="2382">
        <f t="shared" si="23"/>
        <v>0</v>
      </c>
      <c r="O142" s="2381">
        <f t="shared" si="24"/>
        <v>0</v>
      </c>
      <c r="P142" s="2380"/>
      <c r="R142" s="2402"/>
    </row>
    <row r="143" spans="1:18" s="2358" customFormat="1" outlineLevel="1">
      <c r="A143" s="2361" t="str">
        <f t="shared" si="15"/>
        <v>Đào hố móng đất cấp 3 sâu &gt;1m</v>
      </c>
      <c r="B143" s="2386" t="s">
        <v>639</v>
      </c>
      <c r="C143" s="2380"/>
      <c r="D143" s="2373" t="s">
        <v>1751</v>
      </c>
      <c r="E143" s="2374" t="s">
        <v>5386</v>
      </c>
      <c r="F143" s="2373" t="s">
        <v>856</v>
      </c>
      <c r="G143" s="2404">
        <f>G139*1.45</f>
        <v>0</v>
      </c>
      <c r="H143" s="2376">
        <v>0</v>
      </c>
      <c r="I143" s="2376"/>
      <c r="J143" s="2376">
        <v>296500.89999999997</v>
      </c>
      <c r="K143" s="2376">
        <v>0</v>
      </c>
      <c r="L143" s="2382">
        <f t="shared" si="21"/>
        <v>0</v>
      </c>
      <c r="M143" s="2382">
        <f t="shared" si="22"/>
        <v>0</v>
      </c>
      <c r="N143" s="2382">
        <f t="shared" si="23"/>
        <v>0</v>
      </c>
      <c r="O143" s="2381">
        <f t="shared" si="24"/>
        <v>0</v>
      </c>
      <c r="P143" s="2380"/>
      <c r="R143" s="2402"/>
    </row>
    <row r="144" spans="1:18" s="2358" customFormat="1" outlineLevel="1">
      <c r="A144" s="2361" t="str">
        <f t="shared" si="15"/>
        <v>Đắp đất hố móng, độ chặt k=0,95</v>
      </c>
      <c r="B144" s="2386" t="s">
        <v>21</v>
      </c>
      <c r="C144" s="2380"/>
      <c r="D144" s="2373" t="s">
        <v>5387</v>
      </c>
      <c r="E144" s="2374" t="s">
        <v>5388</v>
      </c>
      <c r="F144" s="2373" t="s">
        <v>856</v>
      </c>
      <c r="G144" s="2404">
        <f>G139*1.37</f>
        <v>0</v>
      </c>
      <c r="H144" s="2376">
        <v>0</v>
      </c>
      <c r="I144" s="2376"/>
      <c r="J144" s="2376">
        <v>117703.6</v>
      </c>
      <c r="K144" s="2376">
        <v>0</v>
      </c>
      <c r="L144" s="2382">
        <f t="shared" si="21"/>
        <v>0</v>
      </c>
      <c r="M144" s="2382">
        <f t="shared" si="22"/>
        <v>0</v>
      </c>
      <c r="N144" s="2382">
        <f t="shared" si="23"/>
        <v>0</v>
      </c>
      <c r="O144" s="2381">
        <f t="shared" si="24"/>
        <v>0</v>
      </c>
      <c r="P144" s="2380"/>
      <c r="R144" s="2402"/>
    </row>
    <row r="145" spans="1:16" s="2358" customFormat="1" outlineLevel="1">
      <c r="A145" s="2361" t="e">
        <f t="shared" si="15"/>
        <v>#N/A</v>
      </c>
      <c r="B145" s="2383"/>
      <c r="C145" s="2398">
        <f>IF(G145&gt;0,C139+1,C139)</f>
        <v>0</v>
      </c>
      <c r="D145" s="2399"/>
      <c r="E145" s="2424" t="s">
        <v>3693</v>
      </c>
      <c r="F145" s="2395" t="s">
        <v>2391</v>
      </c>
      <c r="G145" s="2395">
        <f>SUM(G122:G122)</f>
        <v>0</v>
      </c>
      <c r="H145" s="2376"/>
      <c r="I145" s="2381"/>
      <c r="J145" s="2381"/>
      <c r="K145" s="2381"/>
      <c r="L145" s="2382">
        <f t="shared" si="21"/>
        <v>0</v>
      </c>
      <c r="M145" s="2382">
        <f t="shared" si="22"/>
        <v>0</v>
      </c>
      <c r="N145" s="2382">
        <f t="shared" si="23"/>
        <v>0</v>
      </c>
      <c r="O145" s="2381">
        <f t="shared" si="24"/>
        <v>0</v>
      </c>
      <c r="P145" s="2408"/>
    </row>
    <row r="146" spans="1:16" s="2358" customFormat="1" ht="14.4" outlineLevel="1">
      <c r="A146" s="2361" t="e">
        <f t="shared" si="15"/>
        <v>#N/A</v>
      </c>
      <c r="B146" s="2383"/>
      <c r="C146" s="2395"/>
      <c r="D146" s="2399"/>
      <c r="E146" s="2425" t="s">
        <v>6207</v>
      </c>
      <c r="F146" s="2380"/>
      <c r="G146" s="2380"/>
      <c r="H146" s="2381"/>
      <c r="I146" s="2381"/>
      <c r="J146" s="2381"/>
      <c r="K146" s="2381"/>
      <c r="L146" s="2382">
        <f t="shared" si="21"/>
        <v>0</v>
      </c>
      <c r="M146" s="2382">
        <f t="shared" si="22"/>
        <v>0</v>
      </c>
      <c r="N146" s="2382">
        <f t="shared" si="23"/>
        <v>0</v>
      </c>
      <c r="O146" s="2381">
        <f t="shared" si="24"/>
        <v>0</v>
      </c>
      <c r="P146" s="2408"/>
    </row>
    <row r="147" spans="1:16" s="2358" customFormat="1" outlineLevel="1">
      <c r="A147" s="2361" t="str">
        <f t="shared" si="15"/>
        <v>Đà Composite 110x80x5x800</v>
      </c>
      <c r="B147" s="2426" t="s">
        <v>5218</v>
      </c>
      <c r="C147" s="2380"/>
      <c r="D147" s="2373">
        <v>0</v>
      </c>
      <c r="E147" s="2374" t="s">
        <v>4904</v>
      </c>
      <c r="F147" s="2373" t="s">
        <v>2598</v>
      </c>
      <c r="G147" s="2409">
        <f>$G$145*1</f>
        <v>0</v>
      </c>
      <c r="H147" s="2376">
        <v>320000</v>
      </c>
      <c r="I147" s="2381"/>
      <c r="J147" s="2376">
        <v>0</v>
      </c>
      <c r="K147" s="2376">
        <v>0</v>
      </c>
      <c r="L147" s="2382">
        <f t="shared" si="21"/>
        <v>0</v>
      </c>
      <c r="M147" s="2382">
        <f>I147*G147</f>
        <v>0</v>
      </c>
      <c r="N147" s="2382">
        <f t="shared" si="23"/>
        <v>0</v>
      </c>
      <c r="O147" s="2381">
        <f t="shared" si="24"/>
        <v>0</v>
      </c>
      <c r="P147" s="2408"/>
    </row>
    <row r="148" spans="1:16" s="2358" customFormat="1" outlineLevel="1">
      <c r="A148" s="2361" t="str">
        <f t="shared" si="15"/>
        <v>Chống Composite 40x10x710</v>
      </c>
      <c r="B148" s="2386" t="s">
        <v>5222</v>
      </c>
      <c r="C148" s="2380"/>
      <c r="D148" s="2373">
        <v>0</v>
      </c>
      <c r="E148" s="2374" t="s">
        <v>5223</v>
      </c>
      <c r="F148" s="2373" t="s">
        <v>5221</v>
      </c>
      <c r="G148" s="2380">
        <f>$G$147*1</f>
        <v>0</v>
      </c>
      <c r="H148" s="2376">
        <v>95000</v>
      </c>
      <c r="I148" s="2381"/>
      <c r="J148" s="2376">
        <v>0</v>
      </c>
      <c r="K148" s="2376">
        <v>0</v>
      </c>
      <c r="L148" s="2382">
        <f t="shared" si="21"/>
        <v>0</v>
      </c>
      <c r="M148" s="2382">
        <f>I148*G148</f>
        <v>0</v>
      </c>
      <c r="N148" s="2382">
        <f t="shared" si="23"/>
        <v>0</v>
      </c>
      <c r="O148" s="2381">
        <f t="shared" si="24"/>
        <v>0</v>
      </c>
      <c r="P148" s="2408"/>
    </row>
    <row r="149" spans="1:16" s="2358" customFormat="1" outlineLevel="1">
      <c r="A149" s="2361" t="str">
        <f t="shared" si="15"/>
        <v>Bass LL bắt FCO, LA</v>
      </c>
      <c r="B149" s="2386" t="s">
        <v>1844</v>
      </c>
      <c r="C149" s="2380"/>
      <c r="D149" s="2373">
        <v>0</v>
      </c>
      <c r="E149" s="2374" t="s">
        <v>5130</v>
      </c>
      <c r="F149" s="2373" t="s">
        <v>2445</v>
      </c>
      <c r="G149" s="2380">
        <f>1*$G$123</f>
        <v>0</v>
      </c>
      <c r="H149" s="2376">
        <v>65000</v>
      </c>
      <c r="I149" s="2381"/>
      <c r="J149" s="2376">
        <v>0</v>
      </c>
      <c r="K149" s="2376">
        <v>0</v>
      </c>
      <c r="L149" s="2382">
        <f t="shared" si="21"/>
        <v>0</v>
      </c>
      <c r="M149" s="2382"/>
      <c r="N149" s="2382">
        <f t="shared" si="23"/>
        <v>0</v>
      </c>
      <c r="O149" s="2381">
        <f t="shared" si="24"/>
        <v>0</v>
      </c>
      <c r="P149" s="2408"/>
    </row>
    <row r="150" spans="1:16" s="2358" customFormat="1" outlineLevel="1">
      <c r="A150" s="2361" t="str">
        <f t="shared" ref="A150:A181" si="25">VLOOKUP(B150,DonGia,3,0)</f>
        <v>Nắp che đầu cực FCO</v>
      </c>
      <c r="B150" s="2386" t="s">
        <v>6199</v>
      </c>
      <c r="C150" s="2380"/>
      <c r="D150" s="2373">
        <v>0</v>
      </c>
      <c r="E150" s="2374" t="s">
        <v>5762</v>
      </c>
      <c r="F150" s="2373" t="s">
        <v>2563</v>
      </c>
      <c r="G150" s="2380">
        <f>1*$G$123</f>
        <v>0</v>
      </c>
      <c r="H150" s="2376">
        <v>218200</v>
      </c>
      <c r="I150" s="2381"/>
      <c r="J150" s="2376">
        <v>0</v>
      </c>
      <c r="K150" s="2376">
        <v>0</v>
      </c>
      <c r="L150" s="2382">
        <f>H150*G150</f>
        <v>0</v>
      </c>
      <c r="M150" s="2382"/>
      <c r="N150" s="2382">
        <f t="shared" si="23"/>
        <v>0</v>
      </c>
      <c r="O150" s="2381">
        <f>K150*G150</f>
        <v>0</v>
      </c>
      <c r="P150" s="2408"/>
    </row>
    <row r="151" spans="1:16" s="2358" customFormat="1" outlineLevel="1">
      <c r="A151" s="2361" t="str">
        <f t="shared" si="25"/>
        <v>Nắp che đầu cực LA</v>
      </c>
      <c r="B151" s="2386" t="s">
        <v>6200</v>
      </c>
      <c r="C151" s="2380"/>
      <c r="D151" s="2373">
        <v>0</v>
      </c>
      <c r="E151" s="2374" t="s">
        <v>5768</v>
      </c>
      <c r="F151" s="2373" t="s">
        <v>2563</v>
      </c>
      <c r="G151" s="2380">
        <f>1*$G$125</f>
        <v>0</v>
      </c>
      <c r="H151" s="2376">
        <v>39100</v>
      </c>
      <c r="I151" s="2381"/>
      <c r="J151" s="2376">
        <v>0</v>
      </c>
      <c r="K151" s="2376">
        <v>0</v>
      </c>
      <c r="L151" s="2382">
        <f>H151*G151</f>
        <v>0</v>
      </c>
      <c r="M151" s="2382"/>
      <c r="N151" s="2382">
        <f t="shared" si="23"/>
        <v>0</v>
      </c>
      <c r="O151" s="2381">
        <f>K151*G151</f>
        <v>0</v>
      </c>
      <c r="P151" s="2408"/>
    </row>
    <row r="152" spans="1:16" s="2358" customFormat="1" outlineLevel="1">
      <c r="A152" s="2361" t="str">
        <f t="shared" si="25"/>
        <v>Boulon 16x150+ 2 long đền vuông D18-50x50x3/Zn</v>
      </c>
      <c r="B152" s="2386" t="s">
        <v>244</v>
      </c>
      <c r="C152" s="2380"/>
      <c r="D152" s="2373">
        <v>0</v>
      </c>
      <c r="E152" s="2374" t="s">
        <v>2649</v>
      </c>
      <c r="F152" s="2373" t="s">
        <v>2445</v>
      </c>
      <c r="G152" s="2380">
        <f>$G$145*1</f>
        <v>0</v>
      </c>
      <c r="H152" s="2376">
        <v>18900</v>
      </c>
      <c r="I152" s="2381"/>
      <c r="J152" s="2376">
        <v>0</v>
      </c>
      <c r="K152" s="2376">
        <v>0</v>
      </c>
      <c r="L152" s="2382">
        <f t="shared" si="21"/>
        <v>0</v>
      </c>
      <c r="M152" s="2382">
        <f>I152*G152</f>
        <v>0</v>
      </c>
      <c r="N152" s="2382">
        <f t="shared" si="23"/>
        <v>0</v>
      </c>
      <c r="O152" s="2381">
        <f t="shared" si="24"/>
        <v>0</v>
      </c>
      <c r="P152" s="2408"/>
    </row>
    <row r="153" spans="1:16" s="2358" customFormat="1" outlineLevel="1">
      <c r="A153" s="2361" t="str">
        <f t="shared" si="25"/>
        <v>Boulon 16x350+ 2 long đền vuông D18-50x50x3/Zn</v>
      </c>
      <c r="B153" s="2386" t="s">
        <v>1079</v>
      </c>
      <c r="C153" s="2380"/>
      <c r="D153" s="2373">
        <v>0</v>
      </c>
      <c r="E153" s="2374" t="s">
        <v>2659</v>
      </c>
      <c r="F153" s="2373" t="s">
        <v>2445</v>
      </c>
      <c r="G153" s="2380">
        <f>$G$145*2</f>
        <v>0</v>
      </c>
      <c r="H153" s="2376">
        <v>27900</v>
      </c>
      <c r="I153" s="2381"/>
      <c r="J153" s="2376">
        <v>0</v>
      </c>
      <c r="K153" s="2376">
        <v>0</v>
      </c>
      <c r="L153" s="2382">
        <f t="shared" si="21"/>
        <v>0</v>
      </c>
      <c r="M153" s="2382">
        <f>I153*G153</f>
        <v>0</v>
      </c>
      <c r="N153" s="2382">
        <f t="shared" si="23"/>
        <v>0</v>
      </c>
      <c r="O153" s="2381">
        <f t="shared" si="24"/>
        <v>0</v>
      </c>
      <c r="P153" s="2408"/>
    </row>
    <row r="154" spans="1:16" s="2358" customFormat="1" outlineLevel="1">
      <c r="A154" s="2361" t="str">
        <f t="shared" si="25"/>
        <v>Lắp xà đỡ ≤ 25kg</v>
      </c>
      <c r="B154" s="2386" t="s">
        <v>1999</v>
      </c>
      <c r="C154" s="2380"/>
      <c r="D154" s="2373" t="s">
        <v>5440</v>
      </c>
      <c r="E154" s="2374" t="s">
        <v>5441</v>
      </c>
      <c r="F154" s="2373" t="s">
        <v>2445</v>
      </c>
      <c r="G154" s="2380">
        <f>G145</f>
        <v>0</v>
      </c>
      <c r="H154" s="2376">
        <v>0</v>
      </c>
      <c r="I154" s="2381"/>
      <c r="J154" s="2406" t="s">
        <v>6380</v>
      </c>
      <c r="K154" s="2376">
        <v>0</v>
      </c>
      <c r="L154" s="2382">
        <f t="shared" si="21"/>
        <v>0</v>
      </c>
      <c r="M154" s="2382">
        <f>I154*G154</f>
        <v>0</v>
      </c>
      <c r="N154" s="2407">
        <f>106640*G154*1.5</f>
        <v>0</v>
      </c>
      <c r="O154" s="2381">
        <f t="shared" si="24"/>
        <v>0</v>
      </c>
      <c r="P154" s="2408"/>
    </row>
    <row r="155" spans="1:16" s="2358" customFormat="1" outlineLevel="1">
      <c r="A155" s="2361" t="e">
        <f t="shared" si="25"/>
        <v>#N/A</v>
      </c>
      <c r="B155" s="2383"/>
      <c r="C155" s="2395">
        <f>IF(G155&gt;0,C145+1,C145)</f>
        <v>0</v>
      </c>
      <c r="D155" s="2399"/>
      <c r="E155" s="2424" t="s">
        <v>3694</v>
      </c>
      <c r="F155" s="2395" t="s">
        <v>2391</v>
      </c>
      <c r="G155" s="2395">
        <f>G145</f>
        <v>0</v>
      </c>
      <c r="H155" s="2381"/>
      <c r="I155" s="2381"/>
      <c r="J155" s="2381"/>
      <c r="K155" s="2381"/>
      <c r="L155" s="2382">
        <f t="shared" si="21"/>
        <v>0</v>
      </c>
      <c r="M155" s="2382">
        <f t="shared" si="22"/>
        <v>0</v>
      </c>
      <c r="N155" s="2382">
        <f t="shared" si="23"/>
        <v>0</v>
      </c>
      <c r="O155" s="2381">
        <f t="shared" si="24"/>
        <v>0</v>
      </c>
      <c r="P155" s="2408"/>
    </row>
    <row r="156" spans="1:16" s="2358" customFormat="1" ht="14.4" outlineLevel="1">
      <c r="A156" s="2361" t="e">
        <f t="shared" si="25"/>
        <v>#N/A</v>
      </c>
      <c r="B156" s="2383"/>
      <c r="C156" s="2380"/>
      <c r="D156" s="2403"/>
      <c r="E156" s="2425" t="s">
        <v>6207</v>
      </c>
      <c r="F156" s="2380"/>
      <c r="G156" s="2380"/>
      <c r="H156" s="2381"/>
      <c r="I156" s="2381"/>
      <c r="J156" s="2381"/>
      <c r="K156" s="2381"/>
      <c r="L156" s="2382">
        <f t="shared" si="21"/>
        <v>0</v>
      </c>
      <c r="M156" s="2382">
        <f t="shared" si="22"/>
        <v>0</v>
      </c>
      <c r="N156" s="2382">
        <f t="shared" si="23"/>
        <v>0</v>
      </c>
      <c r="O156" s="2381">
        <f t="shared" si="24"/>
        <v>0</v>
      </c>
      <c r="P156" s="2408"/>
    </row>
    <row r="157" spans="1:16" s="2358" customFormat="1" outlineLevel="1">
      <c r="A157" s="2361" t="str">
        <f t="shared" si="25"/>
        <v>Cáp đồng trần M25mm2</v>
      </c>
      <c r="B157" s="2383" t="s">
        <v>1033</v>
      </c>
      <c r="C157" s="2380"/>
      <c r="D157" s="2373">
        <v>0</v>
      </c>
      <c r="E157" s="2374" t="s">
        <v>2708</v>
      </c>
      <c r="F157" s="2373" t="s">
        <v>2254</v>
      </c>
      <c r="G157" s="2404">
        <f>$H$3*G155*0.224</f>
        <v>0</v>
      </c>
      <c r="H157" s="2376">
        <v>255500</v>
      </c>
      <c r="I157" s="2381"/>
      <c r="J157" s="2376">
        <v>0</v>
      </c>
      <c r="K157" s="2376">
        <v>0</v>
      </c>
      <c r="L157" s="2382">
        <f t="shared" si="21"/>
        <v>0</v>
      </c>
      <c r="M157" s="2382">
        <f t="shared" si="22"/>
        <v>0</v>
      </c>
      <c r="N157" s="2382">
        <f t="shared" si="23"/>
        <v>0</v>
      </c>
      <c r="O157" s="2381">
        <f t="shared" si="24"/>
        <v>0</v>
      </c>
      <c r="P157" s="2408"/>
    </row>
    <row r="158" spans="1:16" s="2358" customFormat="1" outlineLevel="1">
      <c r="A158" s="2361" t="str">
        <f t="shared" si="25"/>
        <v>Cọc tiếp đất Þ 16- 2,4m + kẹp cọc mạ đồng</v>
      </c>
      <c r="B158" s="2386" t="s">
        <v>1511</v>
      </c>
      <c r="C158" s="2380"/>
      <c r="D158" s="2373">
        <v>0</v>
      </c>
      <c r="E158" s="2374" t="s">
        <v>5224</v>
      </c>
      <c r="F158" s="2373" t="s">
        <v>2445</v>
      </c>
      <c r="G158" s="2380">
        <f>$H$2*G155</f>
        <v>0</v>
      </c>
      <c r="H158" s="2376">
        <v>160000</v>
      </c>
      <c r="I158" s="2381"/>
      <c r="J158" s="2376">
        <v>0</v>
      </c>
      <c r="K158" s="2376">
        <v>0</v>
      </c>
      <c r="L158" s="2382">
        <f t="shared" si="21"/>
        <v>0</v>
      </c>
      <c r="M158" s="2382">
        <f t="shared" si="22"/>
        <v>0</v>
      </c>
      <c r="N158" s="2382">
        <f t="shared" si="23"/>
        <v>0</v>
      </c>
      <c r="O158" s="2381">
        <f t="shared" si="24"/>
        <v>0</v>
      </c>
      <c r="P158" s="2408"/>
    </row>
    <row r="159" spans="1:16" s="2358" customFormat="1" outlineLevel="1">
      <c r="A159" s="2361" t="str">
        <f t="shared" si="25"/>
        <v xml:space="preserve">Ống PVC D21x1,6mm </v>
      </c>
      <c r="B159" s="2386" t="s">
        <v>1493</v>
      </c>
      <c r="C159" s="2380"/>
      <c r="D159" s="2373">
        <v>0</v>
      </c>
      <c r="E159" s="2374" t="s">
        <v>3554</v>
      </c>
      <c r="F159" s="2373" t="s">
        <v>1827</v>
      </c>
      <c r="G159" s="2380">
        <f>6*G155</f>
        <v>0</v>
      </c>
      <c r="H159" s="2376">
        <v>6200</v>
      </c>
      <c r="I159" s="2381"/>
      <c r="J159" s="2376"/>
      <c r="K159" s="2376">
        <v>0</v>
      </c>
      <c r="L159" s="2382">
        <f t="shared" si="21"/>
        <v>0</v>
      </c>
      <c r="M159" s="2382">
        <f t="shared" si="22"/>
        <v>0</v>
      </c>
      <c r="N159" s="2382">
        <f t="shared" si="23"/>
        <v>0</v>
      </c>
      <c r="O159" s="2381">
        <f t="shared" si="24"/>
        <v>0</v>
      </c>
      <c r="P159" s="2408"/>
    </row>
    <row r="160" spans="1:16" s="2358" customFormat="1" outlineLevel="1">
      <c r="A160" s="2361" t="str">
        <f t="shared" si="25"/>
        <v>Kẹp ép WR cỡ dây 50mm2</v>
      </c>
      <c r="B160" s="2383" t="s">
        <v>905</v>
      </c>
      <c r="C160" s="2380"/>
      <c r="D160" s="2373">
        <v>0</v>
      </c>
      <c r="E160" s="2374" t="s">
        <v>2889</v>
      </c>
      <c r="F160" s="2373" t="s">
        <v>2563</v>
      </c>
      <c r="G160" s="2380">
        <f>2*G155</f>
        <v>0</v>
      </c>
      <c r="H160" s="2376">
        <v>8000</v>
      </c>
      <c r="I160" s="2376"/>
      <c r="J160" s="2376">
        <v>0</v>
      </c>
      <c r="K160" s="2376">
        <v>0</v>
      </c>
      <c r="L160" s="2382">
        <f t="shared" si="21"/>
        <v>0</v>
      </c>
      <c r="M160" s="2382">
        <f t="shared" si="22"/>
        <v>0</v>
      </c>
      <c r="N160" s="2382">
        <f t="shared" si="23"/>
        <v>0</v>
      </c>
      <c r="O160" s="2381">
        <f t="shared" si="24"/>
        <v>0</v>
      </c>
      <c r="P160" s="2408"/>
    </row>
    <row r="161" spans="1:16" s="2358" customFormat="1" outlineLevel="1">
      <c r="A161" s="2361" t="str">
        <f t="shared" si="25"/>
        <v>Đầu cosse ép Cu 25mm2</v>
      </c>
      <c r="B161" s="2383" t="s">
        <v>1073</v>
      </c>
      <c r="C161" s="2380"/>
      <c r="D161" s="2373" t="s">
        <v>5786</v>
      </c>
      <c r="E161" s="2374" t="s">
        <v>3494</v>
      </c>
      <c r="F161" s="2373" t="s">
        <v>2563</v>
      </c>
      <c r="G161" s="2380">
        <f>G155*2</f>
        <v>0</v>
      </c>
      <c r="H161" s="2376">
        <v>6500</v>
      </c>
      <c r="I161" s="2376"/>
      <c r="J161" s="2376">
        <v>6062.26</v>
      </c>
      <c r="K161" s="2376">
        <v>2777.0232475000003</v>
      </c>
      <c r="L161" s="2382">
        <f t="shared" si="21"/>
        <v>0</v>
      </c>
      <c r="M161" s="2382">
        <f t="shared" si="22"/>
        <v>0</v>
      </c>
      <c r="N161" s="2382">
        <f t="shared" si="23"/>
        <v>0</v>
      </c>
      <c r="O161" s="2381">
        <f t="shared" si="24"/>
        <v>0</v>
      </c>
      <c r="P161" s="2408"/>
    </row>
    <row r="162" spans="1:16" s="2358" customFormat="1" outlineLevel="1">
      <c r="A162" s="2361" t="str">
        <f t="shared" si="25"/>
        <v>Boulon 12x40+ 2 long đền vuông D14-50x50x3/Zn</v>
      </c>
      <c r="B162" s="2383" t="s">
        <v>2023</v>
      </c>
      <c r="C162" s="2380"/>
      <c r="D162" s="2373">
        <v>0</v>
      </c>
      <c r="E162" s="2374" t="s">
        <v>2635</v>
      </c>
      <c r="F162" s="2373" t="s">
        <v>2445</v>
      </c>
      <c r="G162" s="2380">
        <f>G161/2</f>
        <v>0</v>
      </c>
      <c r="H162" s="2376">
        <v>8500</v>
      </c>
      <c r="I162" s="2376"/>
      <c r="J162" s="2376">
        <v>0</v>
      </c>
      <c r="K162" s="2376">
        <v>0</v>
      </c>
      <c r="L162" s="2382">
        <f t="shared" si="21"/>
        <v>0</v>
      </c>
      <c r="M162" s="2382"/>
      <c r="N162" s="2382">
        <f>J162*G162</f>
        <v>0</v>
      </c>
      <c r="O162" s="2381">
        <f t="shared" si="24"/>
        <v>0</v>
      </c>
      <c r="P162" s="2408"/>
    </row>
    <row r="163" spans="1:16" s="2358" customFormat="1" outlineLevel="1">
      <c r="A163" s="2361" t="str">
        <f t="shared" si="25"/>
        <v>Ốc siết cáp cỡ 25mm2</v>
      </c>
      <c r="B163" s="2383" t="s">
        <v>816</v>
      </c>
      <c r="C163" s="2380"/>
      <c r="D163" s="2373"/>
      <c r="E163" s="2374" t="s">
        <v>3599</v>
      </c>
      <c r="F163" s="2373" t="s">
        <v>2563</v>
      </c>
      <c r="G163" s="2380">
        <f>G155*12</f>
        <v>0</v>
      </c>
      <c r="H163" s="2376">
        <v>17600</v>
      </c>
      <c r="I163" s="2376"/>
      <c r="J163" s="2376"/>
      <c r="K163" s="2376">
        <v>0</v>
      </c>
      <c r="L163" s="2382">
        <f>H163*G163</f>
        <v>0</v>
      </c>
      <c r="M163" s="2382"/>
      <c r="N163" s="2382">
        <f>J163*G163</f>
        <v>0</v>
      </c>
      <c r="O163" s="2381">
        <f>K163*G163</f>
        <v>0</v>
      </c>
      <c r="P163" s="2408"/>
    </row>
    <row r="164" spans="1:16" s="2358" customFormat="1" outlineLevel="1">
      <c r="A164" s="2361" t="str">
        <f t="shared" si="25"/>
        <v>Cổ dê kẹp ống PVC  21</v>
      </c>
      <c r="B164" s="2386" t="s">
        <v>525</v>
      </c>
      <c r="C164" s="2380"/>
      <c r="D164" s="2373"/>
      <c r="E164" s="2374" t="s">
        <v>5313</v>
      </c>
      <c r="F164" s="2373" t="s">
        <v>2445</v>
      </c>
      <c r="G164" s="2380">
        <f>G155*2</f>
        <v>0</v>
      </c>
      <c r="H164" s="2376">
        <v>43000</v>
      </c>
      <c r="I164" s="2381"/>
      <c r="J164" s="2376"/>
      <c r="K164" s="2376">
        <v>0</v>
      </c>
      <c r="L164" s="2382">
        <f t="shared" si="21"/>
        <v>0</v>
      </c>
      <c r="M164" s="2382"/>
      <c r="N164" s="2382">
        <f>J164*G164</f>
        <v>0</v>
      </c>
      <c r="O164" s="2381">
        <f t="shared" si="24"/>
        <v>0</v>
      </c>
      <c r="P164" s="2408"/>
    </row>
    <row r="165" spans="1:16" s="2358" customFormat="1" outlineLevel="1">
      <c r="A165" s="2361" t="str">
        <f t="shared" si="25"/>
        <v>Lắp cổ dề</v>
      </c>
      <c r="B165" s="2386" t="s">
        <v>1130</v>
      </c>
      <c r="C165" s="2380"/>
      <c r="D165" s="2373" t="s">
        <v>5333</v>
      </c>
      <c r="E165" s="2374" t="s">
        <v>5532</v>
      </c>
      <c r="F165" s="2373" t="s">
        <v>2563</v>
      </c>
      <c r="G165" s="2380">
        <f>G164</f>
        <v>0</v>
      </c>
      <c r="H165" s="2376">
        <v>0</v>
      </c>
      <c r="I165" s="2381"/>
      <c r="J165" s="2376">
        <v>77000</v>
      </c>
      <c r="K165" s="2376">
        <v>0</v>
      </c>
      <c r="L165" s="2382">
        <f>H165*G165</f>
        <v>0</v>
      </c>
      <c r="M165" s="2382"/>
      <c r="N165" s="2382">
        <f>J165*G165</f>
        <v>0</v>
      </c>
      <c r="O165" s="2381">
        <f>K165*G165</f>
        <v>0</v>
      </c>
      <c r="P165" s="2408"/>
    </row>
    <row r="166" spans="1:16" s="2358" customFormat="1" outlineLevel="1">
      <c r="A166" s="2361" t="str">
        <f t="shared" si="25"/>
        <v>Đóng cọc tiếp địa trong TBA</v>
      </c>
      <c r="B166" s="2386" t="s">
        <v>902</v>
      </c>
      <c r="C166" s="2380"/>
      <c r="D166" s="2373" t="s">
        <v>5413</v>
      </c>
      <c r="E166" s="2374" t="s">
        <v>5414</v>
      </c>
      <c r="F166" s="2373" t="s">
        <v>2284</v>
      </c>
      <c r="G166" s="2380">
        <f>G158</f>
        <v>0</v>
      </c>
      <c r="H166" s="2376">
        <v>0</v>
      </c>
      <c r="I166" s="2381"/>
      <c r="J166" s="2376">
        <v>90355.896000000008</v>
      </c>
      <c r="K166" s="2376">
        <v>1573.075</v>
      </c>
      <c r="L166" s="2382">
        <f t="shared" si="21"/>
        <v>0</v>
      </c>
      <c r="M166" s="2382">
        <f>I166*G166</f>
        <v>0</v>
      </c>
      <c r="N166" s="2376">
        <v>0</v>
      </c>
      <c r="O166" s="2381">
        <f t="shared" si="24"/>
        <v>0</v>
      </c>
      <c r="P166" s="2408"/>
    </row>
    <row r="167" spans="1:16" s="2358" customFormat="1" outlineLevel="1">
      <c r="A167" s="2361" t="str">
        <f t="shared" si="25"/>
        <v>Kéo dây tiếp địa trong TBA</v>
      </c>
      <c r="B167" s="2386" t="s">
        <v>2189</v>
      </c>
      <c r="C167" s="2380"/>
      <c r="D167" s="2373" t="s">
        <v>5408</v>
      </c>
      <c r="E167" s="2374" t="s">
        <v>5409</v>
      </c>
      <c r="F167" s="2373" t="s">
        <v>2538</v>
      </c>
      <c r="G167" s="2380">
        <f>G155*$H$3</f>
        <v>0</v>
      </c>
      <c r="H167" s="2376">
        <v>0</v>
      </c>
      <c r="I167" s="2381"/>
      <c r="J167" s="2376">
        <v>8070.7000000000007</v>
      </c>
      <c r="K167" s="2376">
        <v>2044.9974999999999</v>
      </c>
      <c r="L167" s="2382">
        <f t="shared" si="21"/>
        <v>0</v>
      </c>
      <c r="M167" s="2382">
        <f>I167*G167</f>
        <v>0</v>
      </c>
      <c r="N167" s="2382">
        <f>J167*G167</f>
        <v>0</v>
      </c>
      <c r="O167" s="2381">
        <f t="shared" si="24"/>
        <v>0</v>
      </c>
      <c r="P167" s="2408"/>
    </row>
    <row r="168" spans="1:16" s="2358" customFormat="1" outlineLevel="1">
      <c r="A168" s="2361" t="str">
        <f t="shared" si="25"/>
        <v>Đào rãnh tiếp địa đất cấp 3</v>
      </c>
      <c r="B168" s="2383" t="s">
        <v>1055</v>
      </c>
      <c r="C168" s="2380"/>
      <c r="D168" s="2373" t="s">
        <v>5398</v>
      </c>
      <c r="E168" s="2374" t="s">
        <v>3086</v>
      </c>
      <c r="F168" s="2373" t="s">
        <v>856</v>
      </c>
      <c r="G168" s="2404">
        <f>G155*H4</f>
        <v>0</v>
      </c>
      <c r="H168" s="2376">
        <v>0</v>
      </c>
      <c r="I168" s="2376"/>
      <c r="J168" s="2376">
        <v>283749.75</v>
      </c>
      <c r="K168" s="2376">
        <v>0</v>
      </c>
      <c r="L168" s="2382">
        <f t="shared" si="21"/>
        <v>0</v>
      </c>
      <c r="M168" s="2382">
        <f>I168*G168</f>
        <v>0</v>
      </c>
      <c r="N168" s="2382">
        <f>J168*G168</f>
        <v>0</v>
      </c>
      <c r="O168" s="2381">
        <f t="shared" si="24"/>
        <v>0</v>
      </c>
      <c r="P168" s="2408"/>
    </row>
    <row r="169" spans="1:16" s="2358" customFormat="1" outlineLevel="1">
      <c r="A169" s="2361" t="str">
        <f t="shared" si="25"/>
        <v>Đắp đất rãnh tiếp độ chặt k=0,85</v>
      </c>
      <c r="B169" s="2386" t="s">
        <v>1056</v>
      </c>
      <c r="C169" s="2380"/>
      <c r="D169" s="2373" t="s">
        <v>5387</v>
      </c>
      <c r="E169" s="2374" t="s">
        <v>5399</v>
      </c>
      <c r="F169" s="2373" t="s">
        <v>856</v>
      </c>
      <c r="G169" s="2404">
        <f>G168</f>
        <v>0</v>
      </c>
      <c r="H169" s="2376">
        <v>0</v>
      </c>
      <c r="I169" s="2381"/>
      <c r="J169" s="2376">
        <v>117703.6</v>
      </c>
      <c r="K169" s="2376">
        <v>0</v>
      </c>
      <c r="L169" s="2382">
        <f t="shared" si="21"/>
        <v>0</v>
      </c>
      <c r="M169" s="2382">
        <f>I169*G169</f>
        <v>0</v>
      </c>
      <c r="N169" s="2382">
        <f>J169*G169</f>
        <v>0</v>
      </c>
      <c r="O169" s="2381">
        <f t="shared" si="24"/>
        <v>0</v>
      </c>
      <c r="P169" s="2408"/>
    </row>
    <row r="170" spans="1:16" s="2358" customFormat="1" outlineLevel="1">
      <c r="A170" s="2361" t="e">
        <f t="shared" si="25"/>
        <v>#N/A</v>
      </c>
      <c r="B170" s="2383"/>
      <c r="C170" s="2395">
        <f>IF(G170&gt;0,C155+1,C155)</f>
        <v>0</v>
      </c>
      <c r="D170" s="2399"/>
      <c r="E170" s="2411" t="s">
        <v>3698</v>
      </c>
      <c r="F170" s="2395" t="s">
        <v>2391</v>
      </c>
      <c r="G170" s="2395">
        <f>G145</f>
        <v>0</v>
      </c>
      <c r="H170" s="2381"/>
      <c r="I170" s="2381"/>
      <c r="J170" s="2381"/>
      <c r="K170" s="2381"/>
      <c r="L170" s="2382">
        <f t="shared" si="21"/>
        <v>0</v>
      </c>
      <c r="M170" s="2382">
        <f t="shared" si="22"/>
        <v>0</v>
      </c>
      <c r="N170" s="2382">
        <f t="shared" si="23"/>
        <v>0</v>
      </c>
      <c r="O170" s="2381">
        <f t="shared" si="24"/>
        <v>0</v>
      </c>
      <c r="P170" s="2408"/>
    </row>
    <row r="171" spans="1:16" s="2358" customFormat="1" ht="14.4" outlineLevel="1">
      <c r="A171" s="2361" t="e">
        <f t="shared" si="25"/>
        <v>#N/A</v>
      </c>
      <c r="B171" s="2383"/>
      <c r="C171" s="2395"/>
      <c r="D171" s="2399"/>
      <c r="E171" s="2425" t="s">
        <v>6207</v>
      </c>
      <c r="F171" s="2380"/>
      <c r="G171" s="2380"/>
      <c r="H171" s="2381"/>
      <c r="I171" s="2381"/>
      <c r="J171" s="2381"/>
      <c r="K171" s="2381"/>
      <c r="L171" s="2382">
        <f t="shared" si="21"/>
        <v>0</v>
      </c>
      <c r="M171" s="2382">
        <f t="shared" si="22"/>
        <v>0</v>
      </c>
      <c r="N171" s="2382">
        <f t="shared" si="23"/>
        <v>0</v>
      </c>
      <c r="O171" s="2381">
        <f t="shared" si="24"/>
        <v>0</v>
      </c>
      <c r="P171" s="2408"/>
    </row>
    <row r="172" spans="1:16" s="2358" customFormat="1" outlineLevel="1">
      <c r="A172" s="2361" t="str">
        <f t="shared" si="25"/>
        <v>Tủ MCCB trạm treo 1 pha</v>
      </c>
      <c r="B172" s="2383" t="s">
        <v>5716</v>
      </c>
      <c r="C172" s="2380"/>
      <c r="D172" s="2373" t="s">
        <v>5717</v>
      </c>
      <c r="E172" s="2374" t="s">
        <v>5718</v>
      </c>
      <c r="F172" s="2373" t="s">
        <v>2563</v>
      </c>
      <c r="G172" s="2380">
        <f>G170</f>
        <v>0</v>
      </c>
      <c r="H172" s="2376">
        <v>2971168</v>
      </c>
      <c r="I172" s="2376"/>
      <c r="J172" s="2376">
        <v>599038</v>
      </c>
      <c r="K172" s="2376">
        <v>97369</v>
      </c>
      <c r="L172" s="2382">
        <f t="shared" si="21"/>
        <v>0</v>
      </c>
      <c r="M172" s="2382">
        <f t="shared" si="22"/>
        <v>0</v>
      </c>
      <c r="N172" s="2382">
        <f t="shared" si="23"/>
        <v>0</v>
      </c>
      <c r="O172" s="2381">
        <f t="shared" si="24"/>
        <v>0</v>
      </c>
      <c r="P172" s="2408"/>
    </row>
    <row r="173" spans="1:16" s="2358" customFormat="1" outlineLevel="1">
      <c r="A173" s="2361" t="str">
        <f t="shared" si="25"/>
        <v>Cổ dê bắt tủ</v>
      </c>
      <c r="B173" s="2383" t="s">
        <v>879</v>
      </c>
      <c r="C173" s="2380"/>
      <c r="D173" s="2373">
        <v>0</v>
      </c>
      <c r="E173" s="2374" t="s">
        <v>2999</v>
      </c>
      <c r="F173" s="2373" t="s">
        <v>2445</v>
      </c>
      <c r="G173" s="2380">
        <f>G170*2</f>
        <v>0</v>
      </c>
      <c r="H173" s="2376">
        <v>168000</v>
      </c>
      <c r="I173" s="2381"/>
      <c r="J173" s="2376">
        <v>0</v>
      </c>
      <c r="K173" s="2376">
        <v>0</v>
      </c>
      <c r="L173" s="2382">
        <f t="shared" si="21"/>
        <v>0</v>
      </c>
      <c r="M173" s="2382">
        <f t="shared" si="22"/>
        <v>0</v>
      </c>
      <c r="N173" s="2382">
        <f t="shared" si="23"/>
        <v>0</v>
      </c>
      <c r="O173" s="2381">
        <f t="shared" si="24"/>
        <v>0</v>
      </c>
      <c r="P173" s="2408"/>
    </row>
    <row r="174" spans="1:16" s="2358" customFormat="1" outlineLevel="1">
      <c r="A174" s="2361" t="str">
        <f t="shared" si="25"/>
        <v xml:space="preserve">Bakelit 550x450 dầy 10mm </v>
      </c>
      <c r="B174" s="2383" t="s">
        <v>880</v>
      </c>
      <c r="C174" s="2380"/>
      <c r="D174" s="2373">
        <v>0</v>
      </c>
      <c r="E174" s="2374" t="s">
        <v>5861</v>
      </c>
      <c r="F174" s="2373" t="s">
        <v>2563</v>
      </c>
      <c r="G174" s="2380">
        <f>G170*2</f>
        <v>0</v>
      </c>
      <c r="H174" s="2376">
        <v>284000</v>
      </c>
      <c r="I174" s="2381"/>
      <c r="J174" s="2376">
        <v>5404</v>
      </c>
      <c r="K174" s="2376">
        <v>0</v>
      </c>
      <c r="L174" s="2382">
        <f t="shared" si="21"/>
        <v>0</v>
      </c>
      <c r="M174" s="2382">
        <f t="shared" si="22"/>
        <v>0</v>
      </c>
      <c r="N174" s="2382">
        <f t="shared" si="23"/>
        <v>0</v>
      </c>
      <c r="O174" s="2381">
        <f t="shared" si="24"/>
        <v>0</v>
      </c>
      <c r="P174" s="2408"/>
    </row>
    <row r="175" spans="1:16" s="2358" customFormat="1" outlineLevel="1">
      <c r="A175" s="2361" t="str">
        <f t="shared" si="25"/>
        <v>Boulon 12x40+ 2 long đền vuông D14-50x50x3/Zn</v>
      </c>
      <c r="B175" s="2383" t="s">
        <v>138</v>
      </c>
      <c r="C175" s="2380"/>
      <c r="D175" s="2373">
        <v>0</v>
      </c>
      <c r="E175" s="2374" t="s">
        <v>2635</v>
      </c>
      <c r="F175" s="2373" t="s">
        <v>2445</v>
      </c>
      <c r="G175" s="2380">
        <f>G170*4</f>
        <v>0</v>
      </c>
      <c r="H175" s="2376">
        <v>8500</v>
      </c>
      <c r="I175" s="2381"/>
      <c r="J175" s="2376">
        <v>0</v>
      </c>
      <c r="K175" s="2376">
        <v>0</v>
      </c>
      <c r="L175" s="2382">
        <f>H175*G175</f>
        <v>0</v>
      </c>
      <c r="M175" s="2382"/>
      <c r="N175" s="2382">
        <f>J175*G175</f>
        <v>0</v>
      </c>
      <c r="O175" s="2381">
        <f>K175*G175</f>
        <v>0</v>
      </c>
      <c r="P175" s="2408"/>
    </row>
    <row r="176" spans="1:16" s="2358" customFormat="1" outlineLevel="1">
      <c r="A176" s="2361" t="e">
        <f t="shared" si="25"/>
        <v>#N/A</v>
      </c>
      <c r="B176" s="2383"/>
      <c r="C176" s="2395">
        <f>IF(G176&gt;0,C170+1,C170)</f>
        <v>0</v>
      </c>
      <c r="D176" s="2399"/>
      <c r="E176" s="2424" t="s">
        <v>6208</v>
      </c>
      <c r="F176" s="2395" t="s">
        <v>2391</v>
      </c>
      <c r="G176" s="2395">
        <f>G170</f>
        <v>0</v>
      </c>
      <c r="H176" s="2381"/>
      <c r="I176" s="2381"/>
      <c r="J176" s="2381"/>
      <c r="K176" s="2381"/>
      <c r="L176" s="2382">
        <f t="shared" si="21"/>
        <v>0</v>
      </c>
      <c r="M176" s="2382">
        <f t="shared" si="22"/>
        <v>0</v>
      </c>
      <c r="N176" s="2382">
        <f t="shared" si="23"/>
        <v>0</v>
      </c>
      <c r="O176" s="2381">
        <f t="shared" si="24"/>
        <v>0</v>
      </c>
      <c r="P176" s="2408"/>
    </row>
    <row r="177" spans="1:16" s="2358" customFormat="1" ht="14.4" outlineLevel="1">
      <c r="A177" s="2361" t="e">
        <f t="shared" si="25"/>
        <v>#N/A</v>
      </c>
      <c r="B177" s="2383"/>
      <c r="C177" s="2395"/>
      <c r="D177" s="2399"/>
      <c r="E177" s="2425" t="s">
        <v>6207</v>
      </c>
      <c r="F177" s="2380"/>
      <c r="G177" s="2380"/>
      <c r="H177" s="2381"/>
      <c r="I177" s="2381"/>
      <c r="J177" s="2381"/>
      <c r="K177" s="2381"/>
      <c r="L177" s="2382">
        <f t="shared" si="21"/>
        <v>0</v>
      </c>
      <c r="M177" s="2382">
        <f t="shared" si="22"/>
        <v>0</v>
      </c>
      <c r="N177" s="2382">
        <f t="shared" si="23"/>
        <v>0</v>
      </c>
      <c r="O177" s="2381">
        <f t="shared" si="24"/>
        <v>0</v>
      </c>
      <c r="P177" s="2408"/>
    </row>
    <row r="178" spans="1:16" s="2358" customFormat="1" outlineLevel="1">
      <c r="A178" s="2361" t="str">
        <f t="shared" si="25"/>
        <v>Cáp 24KV C/XLPE/PVC 25mm2</v>
      </c>
      <c r="B178" s="2412" t="s">
        <v>697</v>
      </c>
      <c r="C178" s="2380"/>
      <c r="D178" s="2373">
        <v>0</v>
      </c>
      <c r="E178" s="2374" t="s">
        <v>5139</v>
      </c>
      <c r="F178" s="2373" t="s">
        <v>2538</v>
      </c>
      <c r="G178" s="2380">
        <f>3*G176</f>
        <v>0</v>
      </c>
      <c r="H178" s="2376">
        <v>50996</v>
      </c>
      <c r="I178" s="2376"/>
      <c r="J178" s="2376">
        <v>0</v>
      </c>
      <c r="K178" s="2376">
        <v>0</v>
      </c>
      <c r="L178" s="2382">
        <f t="shared" si="21"/>
        <v>0</v>
      </c>
      <c r="M178" s="2382">
        <f t="shared" si="22"/>
        <v>0</v>
      </c>
      <c r="N178" s="2382">
        <f t="shared" si="23"/>
        <v>0</v>
      </c>
      <c r="O178" s="2381">
        <f t="shared" si="24"/>
        <v>0</v>
      </c>
      <c r="P178" s="2408"/>
    </row>
    <row r="179" spans="1:16" s="2358" customFormat="1" outlineLevel="1">
      <c r="A179" s="2361" t="str">
        <f t="shared" si="25"/>
        <v>Kẹp ép WR cỡ dây 50mm2</v>
      </c>
      <c r="B179" s="2371" t="s">
        <v>1582</v>
      </c>
      <c r="C179" s="2380"/>
      <c r="D179" s="2373">
        <v>0</v>
      </c>
      <c r="E179" s="2374" t="s">
        <v>2889</v>
      </c>
      <c r="F179" s="2373" t="s">
        <v>2563</v>
      </c>
      <c r="G179" s="2380"/>
      <c r="H179" s="2376">
        <v>8000</v>
      </c>
      <c r="I179" s="2376"/>
      <c r="J179" s="2376">
        <v>0</v>
      </c>
      <c r="K179" s="2376">
        <v>0</v>
      </c>
      <c r="L179" s="2382">
        <f>H179*G179</f>
        <v>0</v>
      </c>
      <c r="M179" s="2382">
        <f>I179*G179</f>
        <v>0</v>
      </c>
      <c r="N179" s="2382">
        <f>J179*G179</f>
        <v>0</v>
      </c>
      <c r="O179" s="2381">
        <f>K179*G179</f>
        <v>0</v>
      </c>
      <c r="P179" s="2408"/>
    </row>
    <row r="180" spans="1:16" s="2358" customFormat="1" outlineLevel="1">
      <c r="A180" s="2361" t="str">
        <f t="shared" si="25"/>
        <v>Kẹp quai 2/0</v>
      </c>
      <c r="B180" s="2371" t="s">
        <v>1482</v>
      </c>
      <c r="C180" s="2380"/>
      <c r="D180" s="2373">
        <v>0</v>
      </c>
      <c r="E180" s="2374" t="s">
        <v>3810</v>
      </c>
      <c r="F180" s="2373" t="s">
        <v>2563</v>
      </c>
      <c r="G180" s="2380">
        <f>G176</f>
        <v>0</v>
      </c>
      <c r="H180" s="2376">
        <v>46000</v>
      </c>
      <c r="I180" s="2376"/>
      <c r="J180" s="2376">
        <v>0</v>
      </c>
      <c r="K180" s="2376">
        <v>0</v>
      </c>
      <c r="L180" s="2382">
        <f t="shared" si="21"/>
        <v>0</v>
      </c>
      <c r="M180" s="2382">
        <f t="shared" si="22"/>
        <v>0</v>
      </c>
      <c r="N180" s="2382">
        <f t="shared" si="23"/>
        <v>0</v>
      </c>
      <c r="O180" s="2381">
        <f t="shared" si="24"/>
        <v>0</v>
      </c>
      <c r="P180" s="2408"/>
    </row>
    <row r="181" spans="1:16" s="2358" customFormat="1" outlineLevel="1">
      <c r="A181" s="2361" t="str">
        <f t="shared" si="25"/>
        <v>Kẹp hotline 2/0</v>
      </c>
      <c r="B181" s="2371" t="s">
        <v>1480</v>
      </c>
      <c r="C181" s="2380"/>
      <c r="D181" s="2373">
        <v>0</v>
      </c>
      <c r="E181" s="2374" t="s">
        <v>4361</v>
      </c>
      <c r="F181" s="2373" t="s">
        <v>2563</v>
      </c>
      <c r="G181" s="2380">
        <f>G176</f>
        <v>0</v>
      </c>
      <c r="H181" s="2376">
        <v>77000</v>
      </c>
      <c r="I181" s="2376"/>
      <c r="J181" s="2376">
        <v>0</v>
      </c>
      <c r="K181" s="2376">
        <v>0</v>
      </c>
      <c r="L181" s="2382">
        <f t="shared" si="21"/>
        <v>0</v>
      </c>
      <c r="M181" s="2382">
        <f t="shared" si="22"/>
        <v>0</v>
      </c>
      <c r="N181" s="2382">
        <f t="shared" si="23"/>
        <v>0</v>
      </c>
      <c r="O181" s="2381">
        <f t="shared" si="24"/>
        <v>0</v>
      </c>
      <c r="P181" s="2408"/>
    </row>
    <row r="182" spans="1:16" s="2358" customFormat="1" outlineLevel="1">
      <c r="A182" s="2361" t="str">
        <f t="shared" ref="A182:A213" si="26">VLOOKUP(B182,DonGia,3,0)</f>
        <v xml:space="preserve">Sứ đứng 24KV </v>
      </c>
      <c r="B182" s="2371" t="s">
        <v>696</v>
      </c>
      <c r="C182" s="2380"/>
      <c r="D182" s="2373">
        <v>0</v>
      </c>
      <c r="E182" s="2374" t="s">
        <v>2952</v>
      </c>
      <c r="F182" s="2373" t="s">
        <v>2563</v>
      </c>
      <c r="G182" s="2380">
        <f>G176*2*0</f>
        <v>0</v>
      </c>
      <c r="H182" s="2376">
        <v>205000</v>
      </c>
      <c r="I182" s="2376"/>
      <c r="J182" s="2376">
        <v>0</v>
      </c>
      <c r="K182" s="2376">
        <v>0</v>
      </c>
      <c r="L182" s="2382">
        <f>H182*G182</f>
        <v>0</v>
      </c>
      <c r="M182" s="2382"/>
      <c r="N182" s="2382">
        <f>J182*G182</f>
        <v>0</v>
      </c>
      <c r="O182" s="2381">
        <f>K182*G182</f>
        <v>0</v>
      </c>
      <c r="P182" s="2408"/>
    </row>
    <row r="183" spans="1:16" s="2358" customFormat="1" outlineLevel="1">
      <c r="A183" s="2361" t="str">
        <f t="shared" si="26"/>
        <v>Chân sứ đứng D20</v>
      </c>
      <c r="B183" s="2371" t="s">
        <v>1268</v>
      </c>
      <c r="C183" s="2380"/>
      <c r="D183" s="2373">
        <v>0</v>
      </c>
      <c r="E183" s="2374" t="s">
        <v>2831</v>
      </c>
      <c r="F183" s="2373" t="s">
        <v>2563</v>
      </c>
      <c r="G183" s="2380">
        <f>G182</f>
        <v>0</v>
      </c>
      <c r="H183" s="2376">
        <v>65000</v>
      </c>
      <c r="I183" s="2376"/>
      <c r="J183" s="2376">
        <v>0</v>
      </c>
      <c r="K183" s="2376">
        <v>0</v>
      </c>
      <c r="L183" s="2382">
        <f>H183*G183</f>
        <v>0</v>
      </c>
      <c r="M183" s="2382"/>
      <c r="N183" s="2382">
        <f>J183*G183</f>
        <v>0</v>
      </c>
      <c r="O183" s="2381">
        <f>K183*G183</f>
        <v>0</v>
      </c>
      <c r="P183" s="2408"/>
    </row>
    <row r="184" spans="1:16" s="2358" customFormat="1" outlineLevel="1">
      <c r="A184" s="2361" t="str">
        <f t="shared" si="26"/>
        <v>Lắp sứ đứng 24KV</v>
      </c>
      <c r="B184" s="2371" t="s">
        <v>347</v>
      </c>
      <c r="C184" s="2380"/>
      <c r="D184" s="2373" t="s">
        <v>5622</v>
      </c>
      <c r="E184" s="2374" t="s">
        <v>3289</v>
      </c>
      <c r="F184" s="2373" t="s">
        <v>2445</v>
      </c>
      <c r="G184" s="2380">
        <f>G183</f>
        <v>0</v>
      </c>
      <c r="H184" s="2376"/>
      <c r="I184" s="2376"/>
      <c r="J184" s="2376">
        <v>58277.49</v>
      </c>
      <c r="K184" s="2376">
        <v>0</v>
      </c>
      <c r="L184" s="2382">
        <f>H184*G184</f>
        <v>0</v>
      </c>
      <c r="M184" s="2382"/>
      <c r="N184" s="2382">
        <f>J184*G184</f>
        <v>0</v>
      </c>
      <c r="O184" s="2381">
        <f>K184*G184</f>
        <v>0</v>
      </c>
      <c r="P184" s="2408"/>
    </row>
    <row r="185" spans="1:16" s="2358" customFormat="1" outlineLevel="1">
      <c r="A185" s="2361" t="str">
        <f t="shared" si="26"/>
        <v>Lắp cáp đồng xuống thiết bị D ≤ 95mm2</v>
      </c>
      <c r="B185" s="2371" t="s">
        <v>1528</v>
      </c>
      <c r="C185" s="2380"/>
      <c r="D185" s="2373" t="s">
        <v>5633</v>
      </c>
      <c r="E185" s="2374" t="s">
        <v>3310</v>
      </c>
      <c r="F185" s="2373" t="s">
        <v>1827</v>
      </c>
      <c r="G185" s="2380">
        <f>G178</f>
        <v>0</v>
      </c>
      <c r="H185" s="2376">
        <v>0</v>
      </c>
      <c r="I185" s="2376"/>
      <c r="J185" s="2376">
        <v>13915</v>
      </c>
      <c r="K185" s="2376">
        <v>0</v>
      </c>
      <c r="L185" s="2382">
        <f>H185*G185</f>
        <v>0</v>
      </c>
      <c r="M185" s="2382">
        <f>I185*G185</f>
        <v>0</v>
      </c>
      <c r="N185" s="2382">
        <f>J185*G185</f>
        <v>0</v>
      </c>
      <c r="O185" s="2381">
        <f>K185*G185</f>
        <v>0</v>
      </c>
      <c r="P185" s="2408"/>
    </row>
    <row r="186" spans="1:16" s="2358" customFormat="1" outlineLevel="1">
      <c r="A186" s="2361" t="e">
        <f t="shared" si="26"/>
        <v>#N/A</v>
      </c>
      <c r="B186" s="2383"/>
      <c r="C186" s="2395">
        <f>IF(G186&gt;0,C176+1,C176)</f>
        <v>0</v>
      </c>
      <c r="D186" s="2399"/>
      <c r="E186" s="2427" t="s">
        <v>6209</v>
      </c>
      <c r="F186" s="2395" t="s">
        <v>2391</v>
      </c>
      <c r="G186" s="2395">
        <f>G122</f>
        <v>0</v>
      </c>
      <c r="H186" s="2381"/>
      <c r="I186" s="2381"/>
      <c r="J186" s="2381"/>
      <c r="K186" s="2381"/>
      <c r="L186" s="2382">
        <f t="shared" si="21"/>
        <v>0</v>
      </c>
      <c r="M186" s="2382">
        <f t="shared" si="22"/>
        <v>0</v>
      </c>
      <c r="N186" s="2382">
        <f t="shared" si="23"/>
        <v>0</v>
      </c>
      <c r="O186" s="2381">
        <f t="shared" si="24"/>
        <v>0</v>
      </c>
      <c r="P186" s="2408"/>
    </row>
    <row r="187" spans="1:16" s="2358" customFormat="1" ht="14.4" outlineLevel="1">
      <c r="A187" s="2361" t="e">
        <f t="shared" si="26"/>
        <v>#N/A</v>
      </c>
      <c r="B187" s="2383"/>
      <c r="C187" s="2395"/>
      <c r="D187" s="2399"/>
      <c r="E187" s="2425" t="s">
        <v>6207</v>
      </c>
      <c r="F187" s="2395"/>
      <c r="G187" s="2395"/>
      <c r="H187" s="2381"/>
      <c r="I187" s="2381"/>
      <c r="J187" s="2381"/>
      <c r="K187" s="2381"/>
      <c r="L187" s="2382">
        <f t="shared" si="21"/>
        <v>0</v>
      </c>
      <c r="M187" s="2382">
        <f t="shared" si="22"/>
        <v>0</v>
      </c>
      <c r="N187" s="2382">
        <f t="shared" si="23"/>
        <v>0</v>
      </c>
      <c r="O187" s="2381">
        <f t="shared" si="24"/>
        <v>0</v>
      </c>
      <c r="P187" s="2408"/>
    </row>
    <row r="188" spans="1:16" s="2358" customFormat="1" outlineLevel="1">
      <c r="A188" s="2361" t="str">
        <f t="shared" si="26"/>
        <v>Cáp đồng bọc CV50</v>
      </c>
      <c r="B188" s="2383" t="s">
        <v>82</v>
      </c>
      <c r="C188" s="2395"/>
      <c r="D188" s="2373">
        <v>0</v>
      </c>
      <c r="E188" s="2374" t="s">
        <v>2800</v>
      </c>
      <c r="F188" s="2373" t="s">
        <v>2538</v>
      </c>
      <c r="G188" s="2380">
        <f>G186*9*2</f>
        <v>0</v>
      </c>
      <c r="H188" s="2376">
        <v>91800</v>
      </c>
      <c r="I188" s="2381"/>
      <c r="J188" s="2376">
        <v>0</v>
      </c>
      <c r="K188" s="2376">
        <v>0</v>
      </c>
      <c r="L188" s="2382">
        <f>H188*G188</f>
        <v>0</v>
      </c>
      <c r="M188" s="2382">
        <f>I188*G188</f>
        <v>0</v>
      </c>
      <c r="N188" s="2382">
        <f>J188*G188</f>
        <v>0</v>
      </c>
      <c r="O188" s="2381">
        <f>K188*G188</f>
        <v>0</v>
      </c>
      <c r="P188" s="2408"/>
    </row>
    <row r="189" spans="1:16" s="2358" customFormat="1" outlineLevel="1">
      <c r="A189" s="2361" t="str">
        <f t="shared" si="26"/>
        <v xml:space="preserve">Cáp CVV 4x2,5mm2  </v>
      </c>
      <c r="B189" s="2383" t="s">
        <v>1069</v>
      </c>
      <c r="C189" s="2395"/>
      <c r="D189" s="2373" t="s">
        <v>1530</v>
      </c>
      <c r="E189" s="2374" t="s">
        <v>2792</v>
      </c>
      <c r="F189" s="2373" t="s">
        <v>2538</v>
      </c>
      <c r="G189" s="2380">
        <f>4*G186</f>
        <v>0</v>
      </c>
      <c r="H189" s="2376">
        <v>28200</v>
      </c>
      <c r="I189" s="2381"/>
      <c r="J189" s="2376">
        <v>0</v>
      </c>
      <c r="K189" s="2376">
        <v>0</v>
      </c>
      <c r="L189" s="2382">
        <f>H189*G189</f>
        <v>0</v>
      </c>
      <c r="M189" s="2382">
        <f>I189*G189</f>
        <v>0</v>
      </c>
      <c r="N189" s="2382">
        <f>J189*G189</f>
        <v>0</v>
      </c>
      <c r="O189" s="2381">
        <f>K189*G189</f>
        <v>0</v>
      </c>
      <c r="P189" s="2408"/>
    </row>
    <row r="190" spans="1:16" s="2358" customFormat="1" outlineLevel="1">
      <c r="A190" s="2361" t="str">
        <f t="shared" si="26"/>
        <v>Đầu cosse ép Cu 50mm2</v>
      </c>
      <c r="B190" s="2383" t="str">
        <f>"Cos"&amp;RIGHT(B188,2)</f>
        <v>Cos50</v>
      </c>
      <c r="C190" s="2380"/>
      <c r="D190" s="2373" t="s">
        <v>5787</v>
      </c>
      <c r="E190" s="2374" t="s">
        <v>3497</v>
      </c>
      <c r="F190" s="2373" t="s">
        <v>2563</v>
      </c>
      <c r="G190" s="2380">
        <f>G186*2</f>
        <v>0</v>
      </c>
      <c r="H190" s="2376">
        <v>9100</v>
      </c>
      <c r="I190" s="2376"/>
      <c r="J190" s="2376">
        <v>10608.955000000002</v>
      </c>
      <c r="K190" s="2376">
        <v>2777.0232475000003</v>
      </c>
      <c r="L190" s="2382">
        <f>H190*G190</f>
        <v>0</v>
      </c>
      <c r="M190" s="2382">
        <f>I190*G190</f>
        <v>0</v>
      </c>
      <c r="N190" s="2382">
        <f>J190*G190</f>
        <v>0</v>
      </c>
      <c r="O190" s="2381">
        <f>K190*G190</f>
        <v>0</v>
      </c>
      <c r="P190" s="2408"/>
    </row>
    <row r="191" spans="1:16" s="2358" customFormat="1" outlineLevel="1">
      <c r="A191" s="2361" t="str">
        <f t="shared" si="26"/>
        <v>Chụp đầu cosse  50mm2</v>
      </c>
      <c r="B191" s="2383" t="str">
        <f>"chCos"&amp;RIGHT(B188,2)</f>
        <v>chCos50</v>
      </c>
      <c r="C191" s="2380"/>
      <c r="D191" s="2373">
        <v>0</v>
      </c>
      <c r="E191" s="2374" t="s">
        <v>3511</v>
      </c>
      <c r="F191" s="2373" t="s">
        <v>2563</v>
      </c>
      <c r="G191" s="2380">
        <f>G186*2</f>
        <v>0</v>
      </c>
      <c r="H191" s="2376">
        <v>1000</v>
      </c>
      <c r="I191" s="2376"/>
      <c r="J191" s="2376">
        <v>0</v>
      </c>
      <c r="K191" s="2376">
        <v>0</v>
      </c>
      <c r="L191" s="2382">
        <f t="shared" si="21"/>
        <v>0</v>
      </c>
      <c r="M191" s="2382">
        <f t="shared" si="22"/>
        <v>0</v>
      </c>
      <c r="N191" s="2382">
        <f t="shared" si="23"/>
        <v>0</v>
      </c>
      <c r="O191" s="2381">
        <f t="shared" si="24"/>
        <v>0</v>
      </c>
      <c r="P191" s="2408"/>
    </row>
    <row r="192" spans="1:16" s="2358" customFormat="1" outlineLevel="1">
      <c r="A192" s="2361" t="str">
        <f t="shared" si="26"/>
        <v>Nắp che đầu sứ MBA</v>
      </c>
      <c r="B192" s="2386" t="s">
        <v>5769</v>
      </c>
      <c r="C192" s="2380"/>
      <c r="D192" s="2373">
        <v>0</v>
      </c>
      <c r="E192" s="2374" t="s">
        <v>5770</v>
      </c>
      <c r="F192" s="2373" t="s">
        <v>2563</v>
      </c>
      <c r="G192" s="2380">
        <f>G122*1</f>
        <v>0</v>
      </c>
      <c r="H192" s="2376">
        <v>56700</v>
      </c>
      <c r="I192" s="2376"/>
      <c r="J192" s="2376">
        <v>0</v>
      </c>
      <c r="K192" s="2376">
        <v>0</v>
      </c>
      <c r="L192" s="2382">
        <f>H192*G192</f>
        <v>0</v>
      </c>
      <c r="M192" s="2382">
        <f>I192*G192</f>
        <v>0</v>
      </c>
      <c r="N192" s="2382">
        <f>J192*G192</f>
        <v>0</v>
      </c>
      <c r="O192" s="2381">
        <f>K192*G192</f>
        <v>0</v>
      </c>
      <c r="P192" s="2408"/>
    </row>
    <row r="193" spans="1:16" s="2358" customFormat="1" outlineLevel="1">
      <c r="A193" s="2361" t="str">
        <f t="shared" si="26"/>
        <v xml:space="preserve">Ống PVC D90x3,8mm </v>
      </c>
      <c r="B193" s="2383" t="s">
        <v>282</v>
      </c>
      <c r="C193" s="2380"/>
      <c r="D193" s="2373">
        <v>0</v>
      </c>
      <c r="E193" s="2374" t="s">
        <v>3550</v>
      </c>
      <c r="F193" s="2373" t="s">
        <v>1827</v>
      </c>
      <c r="G193" s="2380">
        <f>G186*6</f>
        <v>0</v>
      </c>
      <c r="H193" s="2376">
        <v>63200</v>
      </c>
      <c r="I193" s="2381"/>
      <c r="J193" s="2376">
        <v>0</v>
      </c>
      <c r="K193" s="2376">
        <v>0</v>
      </c>
      <c r="L193" s="2382">
        <f t="shared" si="21"/>
        <v>0</v>
      </c>
      <c r="M193" s="2382">
        <f t="shared" si="22"/>
        <v>0</v>
      </c>
      <c r="N193" s="2382">
        <f t="shared" si="23"/>
        <v>0</v>
      </c>
      <c r="O193" s="2381">
        <f t="shared" si="24"/>
        <v>0</v>
      </c>
      <c r="P193" s="2408"/>
    </row>
    <row r="194" spans="1:16" s="2358" customFormat="1" outlineLevel="1">
      <c r="A194" s="2361" t="str">
        <f t="shared" si="26"/>
        <v>Cổ dê kẹp ống PVC Ø 90</v>
      </c>
      <c r="B194" s="2386" t="s">
        <v>276</v>
      </c>
      <c r="C194" s="2380"/>
      <c r="D194" s="2373">
        <v>0</v>
      </c>
      <c r="E194" s="2374" t="s">
        <v>5318</v>
      </c>
      <c r="F194" s="2373" t="s">
        <v>2445</v>
      </c>
      <c r="G194" s="2380">
        <f>G186*2</f>
        <v>0</v>
      </c>
      <c r="H194" s="2376">
        <v>49000</v>
      </c>
      <c r="I194" s="2381"/>
      <c r="J194" s="2376"/>
      <c r="K194" s="2376">
        <v>0</v>
      </c>
      <c r="L194" s="2382">
        <f>H194*G194</f>
        <v>0</v>
      </c>
      <c r="M194" s="2382"/>
      <c r="N194" s="2376"/>
      <c r="O194" s="2381">
        <f>K194*G194</f>
        <v>0</v>
      </c>
      <c r="P194" s="2408"/>
    </row>
    <row r="195" spans="1:16" s="2358" customFormat="1" outlineLevel="1">
      <c r="A195" s="2361" t="str">
        <f t="shared" si="26"/>
        <v>Boulon 12x60+ 2 long đền vuông D14-50x50x3/Zn</v>
      </c>
      <c r="B195" s="2386" t="s">
        <v>1353</v>
      </c>
      <c r="C195" s="2380"/>
      <c r="D195" s="2373">
        <v>0</v>
      </c>
      <c r="E195" s="2374" t="s">
        <v>2637</v>
      </c>
      <c r="F195" s="2373" t="s">
        <v>2445</v>
      </c>
      <c r="G195" s="2380">
        <f>G194*2</f>
        <v>0</v>
      </c>
      <c r="H195" s="2376">
        <v>9000</v>
      </c>
      <c r="I195" s="2381"/>
      <c r="J195" s="2376">
        <v>0</v>
      </c>
      <c r="K195" s="2376">
        <v>0</v>
      </c>
      <c r="L195" s="2382">
        <f>H195*G195</f>
        <v>0</v>
      </c>
      <c r="M195" s="2382"/>
      <c r="N195" s="2376">
        <v>0</v>
      </c>
      <c r="O195" s="2381">
        <f>K195*G195</f>
        <v>0</v>
      </c>
      <c r="P195" s="2408"/>
    </row>
    <row r="196" spans="1:16" s="2358" customFormat="1" outlineLevel="1">
      <c r="A196" s="2361" t="str">
        <f t="shared" si="26"/>
        <v>Boulon 12x200+ 2 long đền vuông D14-50x50x3/Zn</v>
      </c>
      <c r="B196" s="2386" t="s">
        <v>6210</v>
      </c>
      <c r="C196" s="2380"/>
      <c r="D196" s="2373">
        <v>0</v>
      </c>
      <c r="E196" s="2374" t="s">
        <v>2641</v>
      </c>
      <c r="F196" s="2373" t="s">
        <v>2445</v>
      </c>
      <c r="G196" s="2380">
        <f>G194*2</f>
        <v>0</v>
      </c>
      <c r="H196" s="2376">
        <v>13100</v>
      </c>
      <c r="I196" s="2381"/>
      <c r="J196" s="2376">
        <v>0</v>
      </c>
      <c r="K196" s="2376">
        <v>0</v>
      </c>
      <c r="L196" s="2382">
        <f>H196*G196</f>
        <v>0</v>
      </c>
      <c r="M196" s="2382"/>
      <c r="N196" s="2376">
        <v>0</v>
      </c>
      <c r="O196" s="2381">
        <f>K196*G196</f>
        <v>0</v>
      </c>
      <c r="P196" s="2408"/>
    </row>
    <row r="197" spans="1:16" s="2358" customFormat="1" outlineLevel="1">
      <c r="A197" s="2361" t="str">
        <f t="shared" si="26"/>
        <v>Co  90 độ PVC 90</v>
      </c>
      <c r="B197" s="2383" t="s">
        <v>69</v>
      </c>
      <c r="C197" s="2380"/>
      <c r="D197" s="2373">
        <v>0</v>
      </c>
      <c r="E197" s="2374" t="s">
        <v>5859</v>
      </c>
      <c r="F197" s="2373" t="s">
        <v>2563</v>
      </c>
      <c r="G197" s="2380">
        <f>2*G186</f>
        <v>0</v>
      </c>
      <c r="H197" s="2376">
        <v>45400</v>
      </c>
      <c r="I197" s="2381"/>
      <c r="J197" s="2376">
        <v>0</v>
      </c>
      <c r="K197" s="2376">
        <v>0</v>
      </c>
      <c r="L197" s="2382">
        <f t="shared" si="21"/>
        <v>0</v>
      </c>
      <c r="M197" s="2382">
        <f t="shared" si="22"/>
        <v>0</v>
      </c>
      <c r="N197" s="2382">
        <f t="shared" si="23"/>
        <v>0</v>
      </c>
      <c r="O197" s="2381">
        <f t="shared" si="24"/>
        <v>0</v>
      </c>
      <c r="P197" s="2408"/>
    </row>
    <row r="198" spans="1:16" s="2358" customFormat="1" outlineLevel="1">
      <c r="A198" s="2361" t="str">
        <f t="shared" si="26"/>
        <v xml:space="preserve">Nối thẳng ống PVC 90 </v>
      </c>
      <c r="B198" s="2383" t="s">
        <v>725</v>
      </c>
      <c r="C198" s="2380"/>
      <c r="D198" s="2373">
        <v>0</v>
      </c>
      <c r="E198" s="2374" t="s">
        <v>3573</v>
      </c>
      <c r="F198" s="2373" t="s">
        <v>2563</v>
      </c>
      <c r="G198" s="2380">
        <f>G186*0</f>
        <v>0</v>
      </c>
      <c r="H198" s="2376">
        <v>12400</v>
      </c>
      <c r="I198" s="2381"/>
      <c r="J198" s="2376">
        <v>0</v>
      </c>
      <c r="K198" s="2376">
        <v>0</v>
      </c>
      <c r="L198" s="2382">
        <f t="shared" si="21"/>
        <v>0</v>
      </c>
      <c r="M198" s="2382">
        <f t="shared" si="22"/>
        <v>0</v>
      </c>
      <c r="N198" s="2382">
        <f t="shared" si="23"/>
        <v>0</v>
      </c>
      <c r="O198" s="2381">
        <f t="shared" si="24"/>
        <v>0</v>
      </c>
      <c r="P198" s="2408"/>
    </row>
    <row r="199" spans="1:16" s="2358" customFormat="1" outlineLevel="1">
      <c r="A199" s="2361" t="str">
        <f t="shared" si="26"/>
        <v>Keo dán ống PVC (100gr)</v>
      </c>
      <c r="B199" s="2383" t="s">
        <v>2080</v>
      </c>
      <c r="C199" s="2380"/>
      <c r="D199" s="2373">
        <v>0</v>
      </c>
      <c r="E199" s="2374" t="s">
        <v>3588</v>
      </c>
      <c r="F199" s="2373" t="s">
        <v>3589</v>
      </c>
      <c r="G199" s="2380">
        <f>G186*2</f>
        <v>0</v>
      </c>
      <c r="H199" s="2376">
        <v>11500</v>
      </c>
      <c r="I199" s="2381"/>
      <c r="J199" s="2376">
        <v>0</v>
      </c>
      <c r="K199" s="2376">
        <v>0</v>
      </c>
      <c r="L199" s="2382">
        <f t="shared" si="21"/>
        <v>0</v>
      </c>
      <c r="M199" s="2382">
        <f t="shared" si="22"/>
        <v>0</v>
      </c>
      <c r="N199" s="2382">
        <f t="shared" si="23"/>
        <v>0</v>
      </c>
      <c r="O199" s="2381">
        <f t="shared" si="24"/>
        <v>0</v>
      </c>
      <c r="P199" s="2408"/>
    </row>
    <row r="200" spans="1:16" s="2358" customFormat="1" outlineLevel="1">
      <c r="A200" s="2361" t="str">
        <f t="shared" si="26"/>
        <v>Keo silicon bít miệng ống</v>
      </c>
      <c r="B200" s="2383" t="s">
        <v>489</v>
      </c>
      <c r="C200" s="2380"/>
      <c r="D200" s="2373">
        <v>0</v>
      </c>
      <c r="E200" s="2374" t="s">
        <v>3585</v>
      </c>
      <c r="F200" s="2373" t="s">
        <v>5868</v>
      </c>
      <c r="G200" s="2380">
        <f>G186</f>
        <v>0</v>
      </c>
      <c r="H200" s="2376">
        <v>45000</v>
      </c>
      <c r="I200" s="2381"/>
      <c r="J200" s="2376">
        <v>0</v>
      </c>
      <c r="K200" s="2376">
        <v>0</v>
      </c>
      <c r="L200" s="2382">
        <f>H200*G200</f>
        <v>0</v>
      </c>
      <c r="M200" s="2382">
        <f>I200*G200</f>
        <v>0</v>
      </c>
      <c r="N200" s="2382">
        <f>J200*G200</f>
        <v>0</v>
      </c>
      <c r="O200" s="2381">
        <f>K200*G200</f>
        <v>0</v>
      </c>
      <c r="P200" s="2408"/>
    </row>
    <row r="201" spans="1:16" s="2358" customFormat="1" outlineLevel="1">
      <c r="A201" s="2361" t="str">
        <f t="shared" si="26"/>
        <v>Băng keo cách điện</v>
      </c>
      <c r="B201" s="2386" t="s">
        <v>672</v>
      </c>
      <c r="C201" s="2380"/>
      <c r="D201" s="2373">
        <v>0</v>
      </c>
      <c r="E201" s="2374" t="s">
        <v>5863</v>
      </c>
      <c r="F201" s="2373" t="s">
        <v>3584</v>
      </c>
      <c r="G201" s="2380">
        <f>G199</f>
        <v>0</v>
      </c>
      <c r="H201" s="2376">
        <v>6500</v>
      </c>
      <c r="I201" s="2381"/>
      <c r="J201" s="2376">
        <v>0</v>
      </c>
      <c r="K201" s="2376">
        <v>0</v>
      </c>
      <c r="L201" s="2382">
        <f>H201*G201</f>
        <v>0</v>
      </c>
      <c r="M201" s="2382">
        <f>I201*G201</f>
        <v>0</v>
      </c>
      <c r="N201" s="2382">
        <f>J201*G201</f>
        <v>0</v>
      </c>
      <c r="O201" s="2381">
        <f>K201*G201</f>
        <v>0</v>
      </c>
      <c r="P201" s="2408"/>
    </row>
    <row r="202" spans="1:16" s="2358" customFormat="1" outlineLevel="1">
      <c r="A202" s="2361" t="str">
        <f t="shared" si="26"/>
        <v>Lắp ống nhựa PVC D90</v>
      </c>
      <c r="B202" s="2383" t="s">
        <v>2188</v>
      </c>
      <c r="C202" s="2380"/>
      <c r="D202" s="2373" t="s">
        <v>5609</v>
      </c>
      <c r="E202" s="2374" t="s">
        <v>3270</v>
      </c>
      <c r="F202" s="2373" t="s">
        <v>2538</v>
      </c>
      <c r="G202" s="2380">
        <f>G193</f>
        <v>0</v>
      </c>
      <c r="H202" s="2376">
        <v>0</v>
      </c>
      <c r="I202" s="2381"/>
      <c r="J202" s="2376">
        <v>55493.02</v>
      </c>
      <c r="K202" s="2376">
        <v>0</v>
      </c>
      <c r="L202" s="2382">
        <f>H202*G202</f>
        <v>0</v>
      </c>
      <c r="M202" s="2382">
        <f>I202*G202</f>
        <v>0</v>
      </c>
      <c r="N202" s="2382">
        <f>J202*G202</f>
        <v>0</v>
      </c>
      <c r="O202" s="2381">
        <f>K202*G202</f>
        <v>0</v>
      </c>
      <c r="P202" s="2408"/>
    </row>
    <row r="203" spans="1:16" s="2358" customFormat="1" outlineLevel="1">
      <c r="A203" s="2361" t="str">
        <f t="shared" si="26"/>
        <v>Lắp cáp đồng xuống thiết bị D ≤ 95mm2</v>
      </c>
      <c r="B203" s="2386" t="s">
        <v>1528</v>
      </c>
      <c r="C203" s="2380"/>
      <c r="D203" s="2373" t="s">
        <v>5633</v>
      </c>
      <c r="E203" s="2374" t="s">
        <v>3310</v>
      </c>
      <c r="F203" s="2373" t="s">
        <v>1827</v>
      </c>
      <c r="G203" s="2380">
        <f>G188</f>
        <v>0</v>
      </c>
      <c r="H203" s="2376">
        <v>0</v>
      </c>
      <c r="I203" s="2381"/>
      <c r="J203" s="2376">
        <v>13915</v>
      </c>
      <c r="K203" s="2376">
        <v>0</v>
      </c>
      <c r="L203" s="2382">
        <f>H203*G203</f>
        <v>0</v>
      </c>
      <c r="M203" s="2382">
        <f>I203*G203</f>
        <v>0</v>
      </c>
      <c r="N203" s="2382">
        <f>J203*G203</f>
        <v>0</v>
      </c>
      <c r="O203" s="2381">
        <f>K203*G203</f>
        <v>0</v>
      </c>
      <c r="P203" s="2408"/>
    </row>
    <row r="204" spans="1:16" s="2358" customFormat="1" outlineLevel="1">
      <c r="A204" s="2361" t="str">
        <f t="shared" si="26"/>
        <v>Bảng tên trạm, bảng báo nguy hiểm + đinh vít</v>
      </c>
      <c r="B204" s="2383" t="s">
        <v>289</v>
      </c>
      <c r="C204" s="2428">
        <f>IF(G204&gt;0,C186+1,C186)</f>
        <v>0</v>
      </c>
      <c r="D204" s="2429"/>
      <c r="E204" s="2374" t="s">
        <v>5774</v>
      </c>
      <c r="F204" s="2373" t="s">
        <v>2563</v>
      </c>
      <c r="G204" s="2428">
        <f>G145</f>
        <v>0</v>
      </c>
      <c r="H204" s="2376">
        <v>300000</v>
      </c>
      <c r="I204" s="2430"/>
      <c r="J204" s="2376">
        <v>0</v>
      </c>
      <c r="K204" s="2376">
        <v>0</v>
      </c>
      <c r="L204" s="2431">
        <f t="shared" si="21"/>
        <v>0</v>
      </c>
      <c r="M204" s="2431">
        <f t="shared" si="22"/>
        <v>0</v>
      </c>
      <c r="N204" s="2431">
        <f t="shared" si="23"/>
        <v>0</v>
      </c>
      <c r="O204" s="2430">
        <f t="shared" si="24"/>
        <v>0</v>
      </c>
      <c r="P204" s="2432"/>
    </row>
    <row r="205" spans="1:16" s="2358" customFormat="1" outlineLevel="1">
      <c r="A205" s="2361" t="e">
        <f t="shared" si="26"/>
        <v>#N/A</v>
      </c>
      <c r="B205" s="2384"/>
      <c r="C205" s="2423"/>
      <c r="D205" s="2418"/>
      <c r="E205" s="2392"/>
      <c r="F205" s="2875"/>
      <c r="G205" s="2875"/>
      <c r="H205" s="2875"/>
      <c r="I205" s="2875"/>
      <c r="J205" s="2911" t="s">
        <v>6205</v>
      </c>
      <c r="K205" s="2911"/>
      <c r="L205" s="2420">
        <f>SUM(L133:L204)</f>
        <v>0</v>
      </c>
      <c r="M205" s="2420">
        <f>SUM(M133:M204)</f>
        <v>0</v>
      </c>
      <c r="N205" s="2420">
        <f>SUM(N133:N204)</f>
        <v>0</v>
      </c>
      <c r="O205" s="2420">
        <f>SUM(O133:O204)</f>
        <v>0</v>
      </c>
      <c r="P205" s="2423"/>
    </row>
    <row r="206" spans="1:16" s="2358" customFormat="1" ht="13.8" customHeight="1">
      <c r="A206" s="2402" t="str">
        <f>IF(G211&lt;&gt;0,1,"")</f>
        <v/>
      </c>
      <c r="B206" s="2384"/>
      <c r="C206" s="2876"/>
      <c r="D206" s="2402"/>
    </row>
    <row r="207" spans="1:16" s="2358" customFormat="1" outlineLevel="1">
      <c r="A207" s="2361" t="e">
        <f t="shared" ref="A207:A238" si="27">VLOOKUP(B207,DonGia,3,0)</f>
        <v>#N/A</v>
      </c>
      <c r="B207" s="2384"/>
      <c r="C207" s="2912" t="s">
        <v>6211</v>
      </c>
      <c r="D207" s="2877"/>
      <c r="E207" s="2912"/>
      <c r="F207" s="2912"/>
      <c r="G207" s="2912"/>
      <c r="H207" s="2912"/>
      <c r="I207" s="2912"/>
      <c r="J207" s="2912"/>
      <c r="K207" s="2912"/>
      <c r="L207" s="2912"/>
      <c r="M207" s="2912"/>
      <c r="N207" s="2912"/>
      <c r="O207" s="2912"/>
      <c r="P207" s="2912"/>
    </row>
    <row r="208" spans="1:16" s="2358" customFormat="1" outlineLevel="1">
      <c r="A208" s="2361" t="e">
        <f t="shared" si="27"/>
        <v>#N/A</v>
      </c>
      <c r="B208" s="2383" t="s">
        <v>6186</v>
      </c>
      <c r="C208" s="2901" t="s">
        <v>1712</v>
      </c>
      <c r="D208" s="2902" t="s">
        <v>2605</v>
      </c>
      <c r="E208" s="2904" t="s">
        <v>2606</v>
      </c>
      <c r="F208" s="2901" t="s">
        <v>2601</v>
      </c>
      <c r="G208" s="2362" t="s">
        <v>6187</v>
      </c>
      <c r="H208" s="2365" t="s">
        <v>6188</v>
      </c>
      <c r="I208" s="2872"/>
      <c r="J208" s="2872"/>
      <c r="K208" s="2873"/>
      <c r="L208" s="2365" t="s">
        <v>6189</v>
      </c>
      <c r="M208" s="2872"/>
      <c r="N208" s="2872"/>
      <c r="O208" s="2873"/>
      <c r="P208" s="2901" t="s">
        <v>2607</v>
      </c>
    </row>
    <row r="209" spans="1:18" s="2358" customFormat="1" outlineLevel="1">
      <c r="A209" s="2361" t="e">
        <f t="shared" si="27"/>
        <v>#N/A</v>
      </c>
      <c r="B209" s="2383"/>
      <c r="C209" s="2901"/>
      <c r="D209" s="2903"/>
      <c r="E209" s="2905"/>
      <c r="F209" s="2901"/>
      <c r="G209" s="2364" t="s">
        <v>2292</v>
      </c>
      <c r="H209" s="2365" t="s">
        <v>6190</v>
      </c>
      <c r="I209" s="2365" t="s">
        <v>6191</v>
      </c>
      <c r="J209" s="2365" t="s">
        <v>6192</v>
      </c>
      <c r="K209" s="2365" t="s">
        <v>6193</v>
      </c>
      <c r="L209" s="2365" t="s">
        <v>6190</v>
      </c>
      <c r="M209" s="2365" t="s">
        <v>6191</v>
      </c>
      <c r="N209" s="2365" t="s">
        <v>6192</v>
      </c>
      <c r="O209" s="2365" t="s">
        <v>6193</v>
      </c>
      <c r="P209" s="2901"/>
    </row>
    <row r="210" spans="1:18" s="2358" customFormat="1" outlineLevel="1">
      <c r="A210" s="2361" t="e">
        <f t="shared" si="27"/>
        <v>#N/A</v>
      </c>
      <c r="B210" s="2383"/>
      <c r="C210" s="2366"/>
      <c r="D210" s="2367"/>
      <c r="E210" s="2368" t="s">
        <v>3690</v>
      </c>
      <c r="F210" s="2369"/>
      <c r="G210" s="2369"/>
      <c r="H210" s="2369"/>
      <c r="I210" s="2369"/>
      <c r="J210" s="2369"/>
      <c r="K210" s="2369"/>
      <c r="L210" s="2369"/>
      <c r="M210" s="2369"/>
      <c r="N210" s="2369"/>
      <c r="O210" s="2367"/>
      <c r="P210" s="2370"/>
    </row>
    <row r="211" spans="1:18" s="2358" customFormat="1" outlineLevel="1">
      <c r="A211" s="2361" t="str">
        <f t="shared" si="27"/>
        <v>Máy biến áp 12,7/0,22-0,44kV  37,5kVA</v>
      </c>
      <c r="B211" s="2371" t="str">
        <f>IF($F$8=22,"TR371","TR37")</f>
        <v>TR371</v>
      </c>
      <c r="C211" s="2372">
        <f>IF(G211&gt;0,1,0)</f>
        <v>0</v>
      </c>
      <c r="D211" s="2373" t="s">
        <v>5646</v>
      </c>
      <c r="E211" s="2374" t="s">
        <v>3326</v>
      </c>
      <c r="F211" s="2373" t="s">
        <v>3318</v>
      </c>
      <c r="G211" s="2421">
        <f>H8</f>
        <v>0</v>
      </c>
      <c r="H211" s="2376">
        <v>0</v>
      </c>
      <c r="I211" s="2376"/>
      <c r="J211" s="2376">
        <v>630187</v>
      </c>
      <c r="K211" s="2376">
        <v>284508</v>
      </c>
      <c r="L211" s="2382">
        <f t="shared" ref="L211:L217" si="28">H211*G211</f>
        <v>0</v>
      </c>
      <c r="M211" s="2382">
        <f t="shared" ref="M211:M216" si="29">I211*G211</f>
        <v>0</v>
      </c>
      <c r="N211" s="2382">
        <f t="shared" ref="N211:N216" si="30">J211*G211</f>
        <v>0</v>
      </c>
      <c r="O211" s="2381">
        <f t="shared" ref="O211:O216" si="31">K211*G211</f>
        <v>0</v>
      </c>
      <c r="P211" s="2422"/>
    </row>
    <row r="212" spans="1:18" s="2358" customFormat="1" outlineLevel="1">
      <c r="A212" s="2361" t="str">
        <f t="shared" si="27"/>
        <v>FCO 27kV - 100A</v>
      </c>
      <c r="B212" s="2371" t="str">
        <f>"FCO100-"&amp;$F$8</f>
        <v>FCO100-22</v>
      </c>
      <c r="C212" s="2372">
        <f t="shared" ref="C212:C217" si="32">IF(G212&gt;0,C211+1,C211)</f>
        <v>0</v>
      </c>
      <c r="D212" s="2373" t="s">
        <v>5660</v>
      </c>
      <c r="E212" s="2374" t="s">
        <v>95</v>
      </c>
      <c r="F212" s="2373" t="s">
        <v>2563</v>
      </c>
      <c r="G212" s="2380">
        <f>+G211</f>
        <v>0</v>
      </c>
      <c r="H212" s="2376">
        <v>2244280</v>
      </c>
      <c r="I212" s="2376"/>
      <c r="J212" s="2376">
        <v>222639.99999999997</v>
      </c>
      <c r="K212" s="2376">
        <v>0</v>
      </c>
      <c r="L212" s="2382">
        <f t="shared" si="28"/>
        <v>0</v>
      </c>
      <c r="M212" s="2382">
        <f t="shared" si="29"/>
        <v>0</v>
      </c>
      <c r="N212" s="2382">
        <f t="shared" si="30"/>
        <v>0</v>
      </c>
      <c r="O212" s="2381">
        <f t="shared" si="31"/>
        <v>0</v>
      </c>
      <c r="P212" s="2408"/>
    </row>
    <row r="213" spans="1:18" s="2358" customFormat="1" outlineLevel="1">
      <c r="A213" s="2361" t="str">
        <f t="shared" si="27"/>
        <v>Dây chảy 6K</v>
      </c>
      <c r="B213" s="2371" t="str">
        <f>IF($F$8=22,"CHI6K","CHI8K")</f>
        <v>CHI6K</v>
      </c>
      <c r="C213" s="2372">
        <f t="shared" si="32"/>
        <v>0</v>
      </c>
      <c r="D213" s="2373">
        <v>0</v>
      </c>
      <c r="E213" s="2374" t="s">
        <v>3441</v>
      </c>
      <c r="F213" s="2373" t="s">
        <v>2608</v>
      </c>
      <c r="G213" s="2380">
        <f>G212</f>
        <v>0</v>
      </c>
      <c r="H213" s="2376">
        <v>84000</v>
      </c>
      <c r="I213" s="2376"/>
      <c r="J213" s="2376">
        <v>0</v>
      </c>
      <c r="K213" s="2376">
        <v>0</v>
      </c>
      <c r="L213" s="2382">
        <f t="shared" si="28"/>
        <v>0</v>
      </c>
      <c r="M213" s="2382">
        <f t="shared" si="29"/>
        <v>0</v>
      </c>
      <c r="N213" s="2382">
        <f t="shared" si="30"/>
        <v>0</v>
      </c>
      <c r="O213" s="2381">
        <f t="shared" si="31"/>
        <v>0</v>
      </c>
      <c r="P213" s="2408"/>
    </row>
    <row r="214" spans="1:18" s="2358" customFormat="1" outlineLevel="1">
      <c r="A214" s="2361" t="str">
        <f t="shared" si="27"/>
        <v>Chống sét van LA-18KV-10KA</v>
      </c>
      <c r="B214" s="2384" t="str">
        <f>"LA"&amp;$F$6</f>
        <v>LA18</v>
      </c>
      <c r="C214" s="2372">
        <f t="shared" si="32"/>
        <v>0</v>
      </c>
      <c r="D214" s="2373" t="s">
        <v>5664</v>
      </c>
      <c r="E214" s="2374" t="s">
        <v>1193</v>
      </c>
      <c r="F214" s="2373" t="s">
        <v>2563</v>
      </c>
      <c r="G214" s="2380">
        <f>G212</f>
        <v>0</v>
      </c>
      <c r="H214" s="2376">
        <v>1106000</v>
      </c>
      <c r="I214" s="2376"/>
      <c r="J214" s="2376">
        <v>83490</v>
      </c>
      <c r="K214" s="2376">
        <v>0</v>
      </c>
      <c r="L214" s="2382">
        <f t="shared" si="28"/>
        <v>0</v>
      </c>
      <c r="M214" s="2382">
        <f t="shared" si="29"/>
        <v>0</v>
      </c>
      <c r="N214" s="2382">
        <f t="shared" si="30"/>
        <v>0</v>
      </c>
      <c r="O214" s="2381">
        <f t="shared" si="31"/>
        <v>0</v>
      </c>
      <c r="P214" s="2408"/>
    </row>
    <row r="215" spans="1:18" s="2358" customFormat="1" outlineLevel="1">
      <c r="A215" s="2361" t="str">
        <f t="shared" si="27"/>
        <v>MCCB 3 cực 400V-100A - 30KA</v>
      </c>
      <c r="B215" s="2385" t="s">
        <v>793</v>
      </c>
      <c r="C215" s="2372">
        <f t="shared" si="32"/>
        <v>0</v>
      </c>
      <c r="D215" s="2373">
        <v>0</v>
      </c>
      <c r="E215" s="2374" t="s">
        <v>3422</v>
      </c>
      <c r="F215" s="2373" t="s">
        <v>2563</v>
      </c>
      <c r="G215" s="2380">
        <f>G211</f>
        <v>0</v>
      </c>
      <c r="H215" s="2376">
        <v>1750000</v>
      </c>
      <c r="I215" s="2376"/>
      <c r="J215" s="2376">
        <v>0</v>
      </c>
      <c r="K215" s="2376">
        <v>0</v>
      </c>
      <c r="L215" s="2382">
        <f t="shared" si="28"/>
        <v>0</v>
      </c>
      <c r="M215" s="2382">
        <f t="shared" si="29"/>
        <v>0</v>
      </c>
      <c r="N215" s="2382">
        <f t="shared" si="30"/>
        <v>0</v>
      </c>
      <c r="O215" s="2381">
        <f t="shared" si="31"/>
        <v>0</v>
      </c>
      <c r="P215" s="2408"/>
    </row>
    <row r="216" spans="1:18" s="2358" customFormat="1" outlineLevel="1">
      <c r="A216" s="2361" t="str">
        <f t="shared" si="27"/>
        <v>Biến dòng 600V - 100/5A</v>
      </c>
      <c r="B216" s="2412" t="s">
        <v>2048</v>
      </c>
      <c r="C216" s="2372">
        <f t="shared" si="32"/>
        <v>0</v>
      </c>
      <c r="D216" s="2373">
        <v>0</v>
      </c>
      <c r="E216" s="2374" t="s">
        <v>3374</v>
      </c>
      <c r="F216" s="2373" t="s">
        <v>2563</v>
      </c>
      <c r="G216" s="2380">
        <f>G211</f>
        <v>0</v>
      </c>
      <c r="H216" s="2376">
        <v>0</v>
      </c>
      <c r="I216" s="2376"/>
      <c r="J216" s="2376">
        <v>0</v>
      </c>
      <c r="K216" s="2376">
        <v>0</v>
      </c>
      <c r="L216" s="2382">
        <f t="shared" si="28"/>
        <v>0</v>
      </c>
      <c r="M216" s="2382">
        <f t="shared" si="29"/>
        <v>0</v>
      </c>
      <c r="N216" s="2382">
        <f t="shared" si="30"/>
        <v>0</v>
      </c>
      <c r="O216" s="2381">
        <f t="shared" si="31"/>
        <v>0</v>
      </c>
      <c r="P216" s="2408"/>
    </row>
    <row r="217" spans="1:18" s="2358" customFormat="1" outlineLevel="1">
      <c r="A217" s="2361" t="str">
        <f t="shared" si="27"/>
        <v>Điện kế 1 pha 2 dây 220V-5A</v>
      </c>
      <c r="B217" s="2386" t="s">
        <v>287</v>
      </c>
      <c r="C217" s="2372">
        <f t="shared" si="32"/>
        <v>0</v>
      </c>
      <c r="D217" s="2373">
        <v>0</v>
      </c>
      <c r="E217" s="2374" t="s">
        <v>3457</v>
      </c>
      <c r="F217" s="2373" t="s">
        <v>2563</v>
      </c>
      <c r="G217" s="2380">
        <f>G211</f>
        <v>0</v>
      </c>
      <c r="H217" s="2376">
        <v>0</v>
      </c>
      <c r="I217" s="2376"/>
      <c r="J217" s="2376">
        <v>0</v>
      </c>
      <c r="K217" s="2376">
        <v>0</v>
      </c>
      <c r="L217" s="2382">
        <f t="shared" si="28"/>
        <v>0</v>
      </c>
      <c r="M217" s="2382">
        <f>I217*G217</f>
        <v>0</v>
      </c>
      <c r="N217" s="2382">
        <f>J217*G217</f>
        <v>0</v>
      </c>
      <c r="O217" s="2381">
        <f>K217*G217</f>
        <v>0</v>
      </c>
      <c r="P217" s="2408"/>
    </row>
    <row r="218" spans="1:18" s="2358" customFormat="1" outlineLevel="1">
      <c r="A218" s="2361" t="e">
        <f t="shared" si="27"/>
        <v>#N/A</v>
      </c>
      <c r="B218" s="2383"/>
      <c r="C218" s="2388"/>
      <c r="D218" s="2389"/>
      <c r="E218" s="2370"/>
      <c r="F218" s="2388"/>
      <c r="G218" s="2388"/>
      <c r="H218" s="2388"/>
      <c r="I218" s="2388"/>
      <c r="J218" s="2370" t="s">
        <v>6195</v>
      </c>
      <c r="K218" s="2388"/>
      <c r="L218" s="2370">
        <f>SUM(L211:L217)</f>
        <v>0</v>
      </c>
      <c r="M218" s="2370"/>
      <c r="N218" s="2370">
        <f>SUM(N211:N217)</f>
        <v>0</v>
      </c>
      <c r="O218" s="2370">
        <f>SUM(O211:O217)</f>
        <v>0</v>
      </c>
      <c r="P218" s="2423"/>
    </row>
    <row r="219" spans="1:18" s="2358" customFormat="1" outlineLevel="1">
      <c r="A219" s="2361" t="e">
        <f t="shared" si="27"/>
        <v>#N/A</v>
      </c>
      <c r="B219" s="2383"/>
      <c r="C219" s="2390"/>
      <c r="D219" s="2391"/>
      <c r="E219" s="2392" t="s">
        <v>3691</v>
      </c>
      <c r="F219" s="2392"/>
      <c r="G219" s="2392"/>
      <c r="H219" s="2392"/>
      <c r="I219" s="2392"/>
      <c r="J219" s="2392"/>
      <c r="K219" s="2392"/>
      <c r="L219" s="2392"/>
      <c r="M219" s="2392"/>
      <c r="N219" s="2392"/>
      <c r="O219" s="2391"/>
      <c r="P219" s="2423"/>
    </row>
    <row r="220" spans="1:18" s="2358" customFormat="1" outlineLevel="1">
      <c r="A220" s="2361" t="str">
        <f t="shared" si="27"/>
        <v>Boulon 16x300+ 2 long đền vuông D18-50x50x3/Zn</v>
      </c>
      <c r="B220" s="2383" t="s">
        <v>1613</v>
      </c>
      <c r="C220" s="2393">
        <f>IF(G232&gt;0,1,0)</f>
        <v>0</v>
      </c>
      <c r="D220" s="2399"/>
      <c r="E220" s="2374" t="s">
        <v>2657</v>
      </c>
      <c r="F220" s="2373" t="s">
        <v>2445</v>
      </c>
      <c r="G220" s="2395">
        <f>2*SUM(G211:G211)</f>
        <v>0</v>
      </c>
      <c r="H220" s="2376">
        <v>25400</v>
      </c>
      <c r="I220" s="2381"/>
      <c r="J220" s="2376">
        <v>0</v>
      </c>
      <c r="K220" s="2376">
        <v>0</v>
      </c>
      <c r="L220" s="2382">
        <f t="shared" ref="L220:L291" si="33">H220*G220</f>
        <v>0</v>
      </c>
      <c r="M220" s="2382">
        <f t="shared" ref="M220:M291" si="34">I220*G220</f>
        <v>0</v>
      </c>
      <c r="N220" s="2382">
        <f t="shared" ref="N220:N291" si="35">J220*G220</f>
        <v>0</v>
      </c>
      <c r="O220" s="2381">
        <f t="shared" ref="O220:O291" si="36">K220*G220</f>
        <v>0</v>
      </c>
      <c r="P220" s="2422"/>
    </row>
    <row r="221" spans="1:18" s="2358" customFormat="1" outlineLevel="1">
      <c r="A221" s="2361" t="e">
        <f t="shared" si="27"/>
        <v>#N/A</v>
      </c>
      <c r="B221" s="2383"/>
      <c r="C221" s="2398">
        <f>IF(G221&gt;0,C220+1,C220)</f>
        <v>0</v>
      </c>
      <c r="D221" s="2399"/>
      <c r="E221" s="2400" t="s">
        <v>6212</v>
      </c>
      <c r="F221" s="2395" t="s">
        <v>2391</v>
      </c>
      <c r="G221" s="2395">
        <f>G211*0</f>
        <v>0</v>
      </c>
      <c r="H221" s="2381"/>
      <c r="I221" s="2381"/>
      <c r="J221" s="2381"/>
      <c r="K221" s="2381"/>
      <c r="L221" s="2382">
        <f t="shared" si="33"/>
        <v>0</v>
      </c>
      <c r="M221" s="2382">
        <f t="shared" si="34"/>
        <v>0</v>
      </c>
      <c r="N221" s="2382">
        <f t="shared" si="35"/>
        <v>0</v>
      </c>
      <c r="O221" s="2381">
        <f t="shared" si="36"/>
        <v>0</v>
      </c>
      <c r="P221" s="2380"/>
    </row>
    <row r="222" spans="1:18" s="2358" customFormat="1" ht="14.4" outlineLevel="1">
      <c r="A222" s="2361" t="e">
        <f t="shared" si="27"/>
        <v>#N/A</v>
      </c>
      <c r="B222" s="2383"/>
      <c r="C222" s="2395"/>
      <c r="D222" s="2399"/>
      <c r="E222" s="2401" t="s">
        <v>6207</v>
      </c>
      <c r="F222" s="2380"/>
      <c r="G222" s="2380"/>
      <c r="H222" s="2381"/>
      <c r="I222" s="2381"/>
      <c r="J222" s="2381"/>
      <c r="K222" s="2381"/>
      <c r="L222" s="2382">
        <f t="shared" si="33"/>
        <v>0</v>
      </c>
      <c r="M222" s="2382">
        <f t="shared" si="34"/>
        <v>0</v>
      </c>
      <c r="N222" s="2382">
        <f t="shared" si="35"/>
        <v>0</v>
      </c>
      <c r="O222" s="2381">
        <f t="shared" si="36"/>
        <v>0</v>
      </c>
      <c r="P222" s="2380"/>
      <c r="R222" s="2402"/>
    </row>
    <row r="223" spans="1:18" s="2358" customFormat="1" outlineLevel="1">
      <c r="A223" s="2361" t="str">
        <f t="shared" si="27"/>
        <v>Trụ BTLT 12m F350 dự ứng lực</v>
      </c>
      <c r="B223" s="2386" t="s">
        <v>115</v>
      </c>
      <c r="C223" s="2380"/>
      <c r="D223" s="2373">
        <v>0</v>
      </c>
      <c r="E223" s="2374" t="s">
        <v>3009</v>
      </c>
      <c r="F223" s="2373" t="s">
        <v>2839</v>
      </c>
      <c r="G223" s="2380">
        <f>1*G221</f>
        <v>0</v>
      </c>
      <c r="H223" s="2376">
        <v>4400000</v>
      </c>
      <c r="I223" s="2376"/>
      <c r="J223" s="2376">
        <v>0</v>
      </c>
      <c r="K223" s="2376">
        <v>0</v>
      </c>
      <c r="L223" s="2382">
        <f t="shared" si="33"/>
        <v>0</v>
      </c>
      <c r="M223" s="2382">
        <f t="shared" si="34"/>
        <v>0</v>
      </c>
      <c r="N223" s="2382">
        <f t="shared" si="35"/>
        <v>0</v>
      </c>
      <c r="O223" s="2381">
        <f t="shared" si="36"/>
        <v>0</v>
      </c>
      <c r="P223" s="2380"/>
      <c r="R223" s="2402"/>
    </row>
    <row r="224" spans="1:18" s="2358" customFormat="1" outlineLevel="1">
      <c r="A224" s="2361" t="str">
        <f t="shared" si="27"/>
        <v>Vật liệu dựng trụ</v>
      </c>
      <c r="B224" s="2386" t="s">
        <v>1818</v>
      </c>
      <c r="C224" s="2380"/>
      <c r="D224" s="2403"/>
      <c r="E224" s="2374" t="s">
        <v>2838</v>
      </c>
      <c r="F224" s="2373" t="s">
        <v>2839</v>
      </c>
      <c r="G224" s="2380">
        <f>G223</f>
        <v>0</v>
      </c>
      <c r="H224" s="2376">
        <v>17400</v>
      </c>
      <c r="I224" s="2376"/>
      <c r="J224" s="2376">
        <v>0</v>
      </c>
      <c r="K224" s="2376">
        <v>0</v>
      </c>
      <c r="L224" s="2382">
        <f t="shared" si="33"/>
        <v>0</v>
      </c>
      <c r="M224" s="2382">
        <f t="shared" si="34"/>
        <v>0</v>
      </c>
      <c r="N224" s="2382">
        <f t="shared" si="35"/>
        <v>0</v>
      </c>
      <c r="O224" s="2381">
        <f t="shared" si="36"/>
        <v>0</v>
      </c>
      <c r="P224" s="2380"/>
      <c r="R224" s="2402"/>
    </row>
    <row r="225" spans="1:18" s="2358" customFormat="1" outlineLevel="1">
      <c r="A225" s="2361" t="str">
        <f t="shared" si="27"/>
        <v>Dựng trụ BTLT 12m trong TBA bằng thủ công + cơ giới</v>
      </c>
      <c r="B225" s="2386" t="s">
        <v>2132</v>
      </c>
      <c r="C225" s="2380"/>
      <c r="D225" s="2403"/>
      <c r="E225" s="2374" t="s">
        <v>3185</v>
      </c>
      <c r="F225" s="2373" t="s">
        <v>2839</v>
      </c>
      <c r="G225" s="2380">
        <f>G223</f>
        <v>0</v>
      </c>
      <c r="H225" s="2376">
        <v>0</v>
      </c>
      <c r="I225" s="2376"/>
      <c r="J225" s="2376">
        <v>112286</v>
      </c>
      <c r="K225" s="2376">
        <v>105970</v>
      </c>
      <c r="L225" s="2382">
        <f t="shared" si="33"/>
        <v>0</v>
      </c>
      <c r="M225" s="2382">
        <f t="shared" si="34"/>
        <v>0</v>
      </c>
      <c r="N225" s="2382">
        <f t="shared" si="35"/>
        <v>0</v>
      </c>
      <c r="O225" s="2381">
        <f t="shared" si="36"/>
        <v>0</v>
      </c>
      <c r="P225" s="2380"/>
      <c r="R225" s="2402"/>
    </row>
    <row r="226" spans="1:18" s="2358" customFormat="1" outlineLevel="1">
      <c r="A226" s="2361" t="e">
        <f t="shared" si="27"/>
        <v>#N/A</v>
      </c>
      <c r="B226" s="2383"/>
      <c r="C226" s="2398">
        <f>IF(G226&gt;0,C221+1,C221)</f>
        <v>0</v>
      </c>
      <c r="D226" s="2399"/>
      <c r="E226" s="2400" t="s">
        <v>2358</v>
      </c>
      <c r="F226" s="2395" t="s">
        <v>2391</v>
      </c>
      <c r="G226" s="2395">
        <f>G221</f>
        <v>0</v>
      </c>
      <c r="H226" s="2381"/>
      <c r="I226" s="2381"/>
      <c r="J226" s="2381"/>
      <c r="K226" s="2381"/>
      <c r="L226" s="2382">
        <f t="shared" si="33"/>
        <v>0</v>
      </c>
      <c r="M226" s="2382">
        <f t="shared" si="34"/>
        <v>0</v>
      </c>
      <c r="N226" s="2382">
        <f t="shared" si="35"/>
        <v>0</v>
      </c>
      <c r="O226" s="2381">
        <f t="shared" si="36"/>
        <v>0</v>
      </c>
      <c r="P226" s="2380"/>
    </row>
    <row r="227" spans="1:18" s="2358" customFormat="1" ht="14.4" outlineLevel="1">
      <c r="A227" s="2361" t="e">
        <f t="shared" si="27"/>
        <v>#N/A</v>
      </c>
      <c r="B227" s="2383"/>
      <c r="C227" s="2395"/>
      <c r="D227" s="2399"/>
      <c r="E227" s="2401" t="s">
        <v>6207</v>
      </c>
      <c r="F227" s="2380"/>
      <c r="G227" s="2380"/>
      <c r="H227" s="2381"/>
      <c r="I227" s="2381"/>
      <c r="J227" s="2381"/>
      <c r="K227" s="2381"/>
      <c r="L227" s="2382">
        <f t="shared" si="33"/>
        <v>0</v>
      </c>
      <c r="M227" s="2382">
        <f t="shared" si="34"/>
        <v>0</v>
      </c>
      <c r="N227" s="2382">
        <f t="shared" si="35"/>
        <v>0</v>
      </c>
      <c r="O227" s="2381">
        <f t="shared" si="36"/>
        <v>0</v>
      </c>
      <c r="P227" s="2380"/>
      <c r="R227" s="2402"/>
    </row>
    <row r="228" spans="1:18" s="2358" customFormat="1" outlineLevel="1">
      <c r="A228" s="2361" t="str">
        <f t="shared" si="27"/>
        <v>Đà cản BTCT 1,2m</v>
      </c>
      <c r="B228" s="2386" t="s">
        <v>636</v>
      </c>
      <c r="C228" s="2380"/>
      <c r="D228" s="2373" t="s">
        <v>5099</v>
      </c>
      <c r="E228" s="2374" t="s">
        <v>2615</v>
      </c>
      <c r="F228" s="2373" t="s">
        <v>2563</v>
      </c>
      <c r="G228" s="2380">
        <f>1*G226</f>
        <v>0</v>
      </c>
      <c r="H228" s="2376">
        <v>354545</v>
      </c>
      <c r="I228" s="2376"/>
      <c r="J228" s="2376">
        <v>37220.25</v>
      </c>
      <c r="K228" s="2376">
        <v>0</v>
      </c>
      <c r="L228" s="2382">
        <f t="shared" si="33"/>
        <v>0</v>
      </c>
      <c r="M228" s="2382">
        <f t="shared" si="34"/>
        <v>0</v>
      </c>
      <c r="N228" s="2382">
        <f t="shared" si="35"/>
        <v>0</v>
      </c>
      <c r="O228" s="2381">
        <f t="shared" si="36"/>
        <v>0</v>
      </c>
      <c r="P228" s="2380"/>
      <c r="R228" s="2402"/>
    </row>
    <row r="229" spans="1:18" s="2358" customFormat="1" outlineLevel="1">
      <c r="A229" s="2361" t="str">
        <f t="shared" si="27"/>
        <v>Boulon 22x650+ 2 long đền vuông D24-50x50x3/Zn</v>
      </c>
      <c r="B229" s="2386" t="s">
        <v>566</v>
      </c>
      <c r="C229" s="2380"/>
      <c r="D229" s="2373">
        <v>0</v>
      </c>
      <c r="E229" s="2374" t="s">
        <v>5124</v>
      </c>
      <c r="F229" s="2373" t="s">
        <v>2445</v>
      </c>
      <c r="G229" s="2380">
        <f>G226</f>
        <v>0</v>
      </c>
      <c r="H229" s="2376">
        <v>92200</v>
      </c>
      <c r="I229" s="2376"/>
      <c r="J229" s="2376">
        <v>0</v>
      </c>
      <c r="K229" s="2376">
        <v>0</v>
      </c>
      <c r="L229" s="2382">
        <f t="shared" si="33"/>
        <v>0</v>
      </c>
      <c r="M229" s="2382">
        <f t="shared" si="34"/>
        <v>0</v>
      </c>
      <c r="N229" s="2382">
        <f t="shared" si="35"/>
        <v>0</v>
      </c>
      <c r="O229" s="2381">
        <f t="shared" si="36"/>
        <v>0</v>
      </c>
      <c r="P229" s="2380"/>
      <c r="R229" s="2402"/>
    </row>
    <row r="230" spans="1:18" s="2358" customFormat="1" outlineLevel="1">
      <c r="A230" s="2361" t="str">
        <f t="shared" si="27"/>
        <v>Đào hố móng đất cấp 3 sâu &gt;1m</v>
      </c>
      <c r="B230" s="2386" t="s">
        <v>639</v>
      </c>
      <c r="C230" s="2380"/>
      <c r="D230" s="2373" t="s">
        <v>1751</v>
      </c>
      <c r="E230" s="2374" t="s">
        <v>5386</v>
      </c>
      <c r="F230" s="2373" t="s">
        <v>856</v>
      </c>
      <c r="G230" s="2404">
        <f>G226*1.45</f>
        <v>0</v>
      </c>
      <c r="H230" s="2376">
        <v>0</v>
      </c>
      <c r="I230" s="2376"/>
      <c r="J230" s="2376">
        <v>296500.89999999997</v>
      </c>
      <c r="K230" s="2376">
        <v>0</v>
      </c>
      <c r="L230" s="2382">
        <f t="shared" si="33"/>
        <v>0</v>
      </c>
      <c r="M230" s="2382">
        <f t="shared" si="34"/>
        <v>0</v>
      </c>
      <c r="N230" s="2382">
        <f t="shared" si="35"/>
        <v>0</v>
      </c>
      <c r="O230" s="2381">
        <f t="shared" si="36"/>
        <v>0</v>
      </c>
      <c r="P230" s="2380"/>
      <c r="R230" s="2402"/>
    </row>
    <row r="231" spans="1:18" s="2358" customFormat="1" outlineLevel="1">
      <c r="A231" s="2361" t="str">
        <f t="shared" si="27"/>
        <v>Đắp đất hố móng, độ chặt k=0,95</v>
      </c>
      <c r="B231" s="2386" t="s">
        <v>21</v>
      </c>
      <c r="C231" s="2380"/>
      <c r="D231" s="2373" t="s">
        <v>5387</v>
      </c>
      <c r="E231" s="2374" t="s">
        <v>5388</v>
      </c>
      <c r="F231" s="2373" t="s">
        <v>856</v>
      </c>
      <c r="G231" s="2404">
        <f>G226*1.37</f>
        <v>0</v>
      </c>
      <c r="H231" s="2376">
        <v>0</v>
      </c>
      <c r="I231" s="2376"/>
      <c r="J231" s="2376">
        <v>117703.6</v>
      </c>
      <c r="K231" s="2376">
        <v>0</v>
      </c>
      <c r="L231" s="2382">
        <f t="shared" si="33"/>
        <v>0</v>
      </c>
      <c r="M231" s="2382">
        <f t="shared" si="34"/>
        <v>0</v>
      </c>
      <c r="N231" s="2382">
        <f t="shared" si="35"/>
        <v>0</v>
      </c>
      <c r="O231" s="2381">
        <f t="shared" si="36"/>
        <v>0</v>
      </c>
      <c r="P231" s="2380"/>
      <c r="R231" s="2402"/>
    </row>
    <row r="232" spans="1:18" s="2358" customFormat="1" outlineLevel="1">
      <c r="A232" s="2361" t="e">
        <f t="shared" si="27"/>
        <v>#N/A</v>
      </c>
      <c r="B232" s="2383"/>
      <c r="C232" s="2398">
        <f>IF(G232&gt;0,C226+1,C226)</f>
        <v>0</v>
      </c>
      <c r="D232" s="2399"/>
      <c r="E232" s="2424" t="s">
        <v>3693</v>
      </c>
      <c r="F232" s="2395" t="s">
        <v>2391</v>
      </c>
      <c r="G232" s="2395">
        <f>SUM(G211:G211)</f>
        <v>0</v>
      </c>
      <c r="H232" s="2376"/>
      <c r="I232" s="2381"/>
      <c r="J232" s="2376"/>
      <c r="K232" s="2376"/>
      <c r="L232" s="2382">
        <f t="shared" si="33"/>
        <v>0</v>
      </c>
      <c r="M232" s="2382">
        <f t="shared" si="34"/>
        <v>0</v>
      </c>
      <c r="N232" s="2382">
        <f t="shared" si="35"/>
        <v>0</v>
      </c>
      <c r="O232" s="2381">
        <f t="shared" si="36"/>
        <v>0</v>
      </c>
      <c r="P232" s="2408"/>
    </row>
    <row r="233" spans="1:18" s="2358" customFormat="1" ht="14.4" outlineLevel="1">
      <c r="A233" s="2361" t="e">
        <f t="shared" si="27"/>
        <v>#N/A</v>
      </c>
      <c r="B233" s="2383"/>
      <c r="C233" s="2395"/>
      <c r="D233" s="2399"/>
      <c r="E233" s="2425" t="s">
        <v>6207</v>
      </c>
      <c r="F233" s="2380"/>
      <c r="G233" s="2380"/>
      <c r="H233" s="2376"/>
      <c r="I233" s="2381"/>
      <c r="J233" s="2376"/>
      <c r="K233" s="2376"/>
      <c r="L233" s="2382">
        <f t="shared" si="33"/>
        <v>0</v>
      </c>
      <c r="M233" s="2382">
        <f t="shared" si="34"/>
        <v>0</v>
      </c>
      <c r="N233" s="2382">
        <f t="shared" si="35"/>
        <v>0</v>
      </c>
      <c r="O233" s="2381">
        <f t="shared" si="36"/>
        <v>0</v>
      </c>
      <c r="P233" s="2408"/>
    </row>
    <row r="234" spans="1:18" s="2358" customFormat="1" outlineLevel="1">
      <c r="A234" s="2361" t="str">
        <f t="shared" si="27"/>
        <v>Đà Composite 110x80x5x800</v>
      </c>
      <c r="B234" s="2386" t="s">
        <v>5218</v>
      </c>
      <c r="C234" s="2380"/>
      <c r="D234" s="2373">
        <v>0</v>
      </c>
      <c r="E234" s="2374" t="s">
        <v>4904</v>
      </c>
      <c r="F234" s="2373" t="s">
        <v>2598</v>
      </c>
      <c r="G234" s="2409">
        <f>G232*1</f>
        <v>0</v>
      </c>
      <c r="H234" s="2376">
        <v>320000</v>
      </c>
      <c r="I234" s="2381"/>
      <c r="J234" s="2376">
        <v>0</v>
      </c>
      <c r="K234" s="2376">
        <v>0</v>
      </c>
      <c r="L234" s="2382">
        <f t="shared" si="33"/>
        <v>0</v>
      </c>
      <c r="M234" s="2382">
        <f>I234*G234</f>
        <v>0</v>
      </c>
      <c r="N234" s="2382">
        <f t="shared" si="35"/>
        <v>0</v>
      </c>
      <c r="O234" s="2381">
        <f t="shared" si="36"/>
        <v>0</v>
      </c>
      <c r="P234" s="2408"/>
    </row>
    <row r="235" spans="1:18" s="2358" customFormat="1" outlineLevel="1">
      <c r="A235" s="2361" t="str">
        <f t="shared" si="27"/>
        <v>Chống Composite 40x10x710</v>
      </c>
      <c r="B235" s="2386" t="s">
        <v>5222</v>
      </c>
      <c r="C235" s="2380"/>
      <c r="D235" s="2373">
        <v>0</v>
      </c>
      <c r="E235" s="2374" t="s">
        <v>5223</v>
      </c>
      <c r="F235" s="2373" t="s">
        <v>5221</v>
      </c>
      <c r="G235" s="2380">
        <f>G234*1</f>
        <v>0</v>
      </c>
      <c r="H235" s="2376">
        <v>95000</v>
      </c>
      <c r="I235" s="2381"/>
      <c r="J235" s="2376">
        <v>0</v>
      </c>
      <c r="K235" s="2376">
        <v>0</v>
      </c>
      <c r="L235" s="2382">
        <f t="shared" si="33"/>
        <v>0</v>
      </c>
      <c r="M235" s="2382">
        <f>I235*G235</f>
        <v>0</v>
      </c>
      <c r="N235" s="2382">
        <f t="shared" si="35"/>
        <v>0</v>
      </c>
      <c r="O235" s="2381">
        <f t="shared" si="36"/>
        <v>0</v>
      </c>
      <c r="P235" s="2408"/>
    </row>
    <row r="236" spans="1:18" s="2358" customFormat="1" outlineLevel="1">
      <c r="A236" s="2361" t="str">
        <f t="shared" si="27"/>
        <v>Bass LL bắt FCO, LA</v>
      </c>
      <c r="B236" s="2386" t="s">
        <v>1844</v>
      </c>
      <c r="C236" s="2380"/>
      <c r="D236" s="2373">
        <v>0</v>
      </c>
      <c r="E236" s="2374" t="s">
        <v>5130</v>
      </c>
      <c r="F236" s="2373" t="s">
        <v>2445</v>
      </c>
      <c r="G236" s="2380">
        <f>G232*1</f>
        <v>0</v>
      </c>
      <c r="H236" s="2376">
        <v>65000</v>
      </c>
      <c r="I236" s="2381"/>
      <c r="J236" s="2376">
        <v>0</v>
      </c>
      <c r="K236" s="2376">
        <v>0</v>
      </c>
      <c r="L236" s="2382">
        <f t="shared" si="33"/>
        <v>0</v>
      </c>
      <c r="M236" s="2382"/>
      <c r="N236" s="2382">
        <f t="shared" si="35"/>
        <v>0</v>
      </c>
      <c r="O236" s="2381">
        <f t="shared" si="36"/>
        <v>0</v>
      </c>
      <c r="P236" s="2408"/>
    </row>
    <row r="237" spans="1:18" s="2358" customFormat="1" outlineLevel="1">
      <c r="A237" s="2361" t="str">
        <f t="shared" si="27"/>
        <v>Nắp che đầu cực FCO</v>
      </c>
      <c r="B237" s="2386" t="s">
        <v>6199</v>
      </c>
      <c r="C237" s="2380"/>
      <c r="D237" s="2373">
        <v>0</v>
      </c>
      <c r="E237" s="2374" t="s">
        <v>5762</v>
      </c>
      <c r="F237" s="2373" t="s">
        <v>2563</v>
      </c>
      <c r="G237" s="2380"/>
      <c r="H237" s="2376">
        <v>218200</v>
      </c>
      <c r="I237" s="2381"/>
      <c r="J237" s="2376">
        <v>0</v>
      </c>
      <c r="K237" s="2376">
        <v>0</v>
      </c>
      <c r="L237" s="2382">
        <f t="shared" si="33"/>
        <v>0</v>
      </c>
      <c r="M237" s="2382"/>
      <c r="N237" s="2382">
        <f t="shared" si="35"/>
        <v>0</v>
      </c>
      <c r="O237" s="2381">
        <f t="shared" si="36"/>
        <v>0</v>
      </c>
      <c r="P237" s="2408"/>
    </row>
    <row r="238" spans="1:18" s="2358" customFormat="1" outlineLevel="1">
      <c r="A238" s="2361" t="str">
        <f t="shared" si="27"/>
        <v>Boulon 16x150+ 2 long đền vuông D18-50x50x3/Zn</v>
      </c>
      <c r="B238" s="2386" t="s">
        <v>244</v>
      </c>
      <c r="C238" s="2380"/>
      <c r="D238" s="2373">
        <v>0</v>
      </c>
      <c r="E238" s="2374" t="s">
        <v>2649</v>
      </c>
      <c r="F238" s="2373" t="s">
        <v>2445</v>
      </c>
      <c r="G238" s="2380">
        <f>1*$G$214</f>
        <v>0</v>
      </c>
      <c r="H238" s="2376">
        <v>18900</v>
      </c>
      <c r="I238" s="2381"/>
      <c r="J238" s="2376">
        <v>0</v>
      </c>
      <c r="K238" s="2376">
        <v>0</v>
      </c>
      <c r="L238" s="2382">
        <f t="shared" si="33"/>
        <v>0</v>
      </c>
      <c r="M238" s="2382"/>
      <c r="N238" s="2382">
        <f t="shared" si="35"/>
        <v>0</v>
      </c>
      <c r="O238" s="2381">
        <f t="shared" si="36"/>
        <v>0</v>
      </c>
      <c r="P238" s="2408"/>
    </row>
    <row r="239" spans="1:18" s="2358" customFormat="1" outlineLevel="1">
      <c r="A239" s="2361" t="str">
        <f t="shared" ref="A239:A270" si="37">VLOOKUP(B239,DonGia,3,0)</f>
        <v>Boulon 16x250+ 2 long đền vuông D18-50x50x3/Zn</v>
      </c>
      <c r="B239" s="2386" t="s">
        <v>1612</v>
      </c>
      <c r="C239" s="2380"/>
      <c r="D239" s="2373">
        <v>0</v>
      </c>
      <c r="E239" s="2374" t="s">
        <v>2653</v>
      </c>
      <c r="F239" s="2373" t="s">
        <v>2445</v>
      </c>
      <c r="G239" s="2380">
        <f>G232</f>
        <v>0</v>
      </c>
      <c r="H239" s="2376">
        <v>13400</v>
      </c>
      <c r="I239" s="2381"/>
      <c r="J239" s="2376">
        <v>0</v>
      </c>
      <c r="K239" s="2376">
        <v>0</v>
      </c>
      <c r="L239" s="2382">
        <f t="shared" si="33"/>
        <v>0</v>
      </c>
      <c r="M239" s="2382">
        <f>I239*G239</f>
        <v>0</v>
      </c>
      <c r="N239" s="2382">
        <f t="shared" si="35"/>
        <v>0</v>
      </c>
      <c r="O239" s="2381">
        <f t="shared" si="36"/>
        <v>0</v>
      </c>
      <c r="P239" s="2408"/>
    </row>
    <row r="240" spans="1:18" s="2358" customFormat="1" outlineLevel="1">
      <c r="A240" s="2361" t="str">
        <f t="shared" si="37"/>
        <v>Boulon 16x350+ 2 long đền vuông D18-50x50x3/Zn</v>
      </c>
      <c r="B240" s="2386" t="s">
        <v>1079</v>
      </c>
      <c r="C240" s="2380"/>
      <c r="D240" s="2373">
        <v>0</v>
      </c>
      <c r="E240" s="2374" t="s">
        <v>2659</v>
      </c>
      <c r="F240" s="2373" t="s">
        <v>2445</v>
      </c>
      <c r="G240" s="2380">
        <f>1*G232</f>
        <v>0</v>
      </c>
      <c r="H240" s="2376">
        <v>27900</v>
      </c>
      <c r="I240" s="2381"/>
      <c r="J240" s="2376">
        <v>0</v>
      </c>
      <c r="K240" s="2376">
        <v>0</v>
      </c>
      <c r="L240" s="2382">
        <f t="shared" si="33"/>
        <v>0</v>
      </c>
      <c r="M240" s="2382">
        <f>I240*G240</f>
        <v>0</v>
      </c>
      <c r="N240" s="2382">
        <f t="shared" si="35"/>
        <v>0</v>
      </c>
      <c r="O240" s="2381">
        <f t="shared" si="36"/>
        <v>0</v>
      </c>
      <c r="P240" s="2408"/>
    </row>
    <row r="241" spans="1:16" s="2358" customFormat="1" outlineLevel="1">
      <c r="A241" s="2361" t="str">
        <f t="shared" si="37"/>
        <v>Lắp xà đỡ composite dài 800mm (3kg)</v>
      </c>
      <c r="B241" s="2433" t="s">
        <v>5432</v>
      </c>
      <c r="C241" s="2380"/>
      <c r="D241" s="2373" t="s">
        <v>5209</v>
      </c>
      <c r="E241" s="2374" t="s">
        <v>5433</v>
      </c>
      <c r="F241" s="2373" t="s">
        <v>2445</v>
      </c>
      <c r="G241" s="2380">
        <f>G232</f>
        <v>0</v>
      </c>
      <c r="H241" s="2376">
        <v>0</v>
      </c>
      <c r="I241" s="2381"/>
      <c r="J241" s="2406" t="s">
        <v>6387</v>
      </c>
      <c r="K241" s="2376">
        <v>0</v>
      </c>
      <c r="L241" s="2382">
        <f t="shared" si="33"/>
        <v>0</v>
      </c>
      <c r="M241" s="2382">
        <f>I241*G241</f>
        <v>0</v>
      </c>
      <c r="N241" s="2407">
        <f>106640*G241*1.5</f>
        <v>0</v>
      </c>
      <c r="O241" s="2381">
        <f t="shared" si="36"/>
        <v>0</v>
      </c>
      <c r="P241" s="2408"/>
    </row>
    <row r="242" spans="1:16" s="2358" customFormat="1" outlineLevel="1">
      <c r="A242" s="2361" t="e">
        <f t="shared" si="37"/>
        <v>#N/A</v>
      </c>
      <c r="B242" s="2383"/>
      <c r="C242" s="2395">
        <f>IF(G242&gt;0,C232+1,C232)</f>
        <v>0</v>
      </c>
      <c r="D242" s="2399"/>
      <c r="E242" s="2424" t="s">
        <v>3694</v>
      </c>
      <c r="F242" s="2395" t="s">
        <v>2391</v>
      </c>
      <c r="G242" s="2395">
        <f>G232</f>
        <v>0</v>
      </c>
      <c r="H242" s="2376"/>
      <c r="I242" s="2381"/>
      <c r="J242" s="2376"/>
      <c r="K242" s="2376"/>
      <c r="L242" s="2382">
        <f t="shared" si="33"/>
        <v>0</v>
      </c>
      <c r="M242" s="2382">
        <f t="shared" si="34"/>
        <v>0</v>
      </c>
      <c r="N242" s="2382">
        <f t="shared" si="35"/>
        <v>0</v>
      </c>
      <c r="O242" s="2381">
        <f t="shared" si="36"/>
        <v>0</v>
      </c>
      <c r="P242" s="2408"/>
    </row>
    <row r="243" spans="1:16" s="2358" customFormat="1" ht="14.4" outlineLevel="1">
      <c r="A243" s="2361" t="e">
        <f t="shared" si="37"/>
        <v>#N/A</v>
      </c>
      <c r="B243" s="2383"/>
      <c r="C243" s="2380"/>
      <c r="D243" s="2403"/>
      <c r="E243" s="2425" t="s">
        <v>6207</v>
      </c>
      <c r="F243" s="2380"/>
      <c r="G243" s="2380"/>
      <c r="H243" s="2376"/>
      <c r="I243" s="2381"/>
      <c r="J243" s="2376"/>
      <c r="K243" s="2376"/>
      <c r="L243" s="2382">
        <f t="shared" si="33"/>
        <v>0</v>
      </c>
      <c r="M243" s="2382">
        <f t="shared" si="34"/>
        <v>0</v>
      </c>
      <c r="N243" s="2382">
        <f t="shared" si="35"/>
        <v>0</v>
      </c>
      <c r="O243" s="2381">
        <f t="shared" si="36"/>
        <v>0</v>
      </c>
      <c r="P243" s="2408"/>
    </row>
    <row r="244" spans="1:16" s="2358" customFormat="1" outlineLevel="1">
      <c r="A244" s="2361" t="str">
        <f t="shared" si="37"/>
        <v>Cáp đồng trần M25mm2</v>
      </c>
      <c r="B244" s="2383" t="s">
        <v>1033</v>
      </c>
      <c r="C244" s="2380"/>
      <c r="D244" s="2373">
        <v>0</v>
      </c>
      <c r="E244" s="2374" t="s">
        <v>6388</v>
      </c>
      <c r="F244" s="2373" t="s">
        <v>2254</v>
      </c>
      <c r="G244" s="2409">
        <f>0.224*66*G242</f>
        <v>0</v>
      </c>
      <c r="H244" s="2376">
        <v>255500</v>
      </c>
      <c r="I244" s="2381"/>
      <c r="J244" s="2376">
        <v>0</v>
      </c>
      <c r="K244" s="2376">
        <v>0</v>
      </c>
      <c r="L244" s="2382">
        <f t="shared" si="33"/>
        <v>0</v>
      </c>
      <c r="M244" s="2382">
        <f t="shared" si="34"/>
        <v>0</v>
      </c>
      <c r="N244" s="2382">
        <f t="shared" si="35"/>
        <v>0</v>
      </c>
      <c r="O244" s="2381">
        <f t="shared" si="36"/>
        <v>0</v>
      </c>
      <c r="P244" s="2408"/>
    </row>
    <row r="245" spans="1:16" s="2358" customFormat="1" outlineLevel="1">
      <c r="A245" s="2361" t="str">
        <f t="shared" si="37"/>
        <v>Cọc tiếp đất Þ 16- 2,4m + kẹp cọc mạ đồng</v>
      </c>
      <c r="B245" s="2386" t="s">
        <v>1511</v>
      </c>
      <c r="C245" s="2380"/>
      <c r="D245" s="2373">
        <v>0</v>
      </c>
      <c r="E245" s="2374" t="s">
        <v>5224</v>
      </c>
      <c r="F245" s="2373" t="s">
        <v>2445</v>
      </c>
      <c r="G245" s="2380">
        <f>$H$2*G242</f>
        <v>0</v>
      </c>
      <c r="H245" s="2376">
        <v>160000</v>
      </c>
      <c r="I245" s="2381"/>
      <c r="J245" s="2376">
        <v>0</v>
      </c>
      <c r="K245" s="2376">
        <v>0</v>
      </c>
      <c r="L245" s="2382">
        <f t="shared" si="33"/>
        <v>0</v>
      </c>
      <c r="M245" s="2382">
        <f t="shared" si="34"/>
        <v>0</v>
      </c>
      <c r="N245" s="2382">
        <f t="shared" si="35"/>
        <v>0</v>
      </c>
      <c r="O245" s="2381">
        <f t="shared" si="36"/>
        <v>0</v>
      </c>
      <c r="P245" s="2408"/>
    </row>
    <row r="246" spans="1:16" s="2358" customFormat="1" outlineLevel="1">
      <c r="A246" s="2361" t="str">
        <f t="shared" si="37"/>
        <v xml:space="preserve">Ống PVC D21x1,6mm </v>
      </c>
      <c r="B246" s="2386" t="s">
        <v>1493</v>
      </c>
      <c r="C246" s="2380"/>
      <c r="D246" s="2373">
        <v>0</v>
      </c>
      <c r="E246" s="2374" t="s">
        <v>3554</v>
      </c>
      <c r="F246" s="2373" t="s">
        <v>1827</v>
      </c>
      <c r="G246" s="2380">
        <f>6*G242</f>
        <v>0</v>
      </c>
      <c r="H246" s="2376">
        <v>6200</v>
      </c>
      <c r="I246" s="2381"/>
      <c r="J246" s="2376">
        <v>0</v>
      </c>
      <c r="K246" s="2376">
        <v>0</v>
      </c>
      <c r="L246" s="2382">
        <f t="shared" si="33"/>
        <v>0</v>
      </c>
      <c r="M246" s="2382">
        <f t="shared" si="34"/>
        <v>0</v>
      </c>
      <c r="N246" s="2382">
        <f t="shared" si="35"/>
        <v>0</v>
      </c>
      <c r="O246" s="2381">
        <f t="shared" si="36"/>
        <v>0</v>
      </c>
      <c r="P246" s="2408"/>
    </row>
    <row r="247" spans="1:16" s="2358" customFormat="1" outlineLevel="1">
      <c r="A247" s="2361" t="str">
        <f t="shared" si="37"/>
        <v>Kẹp ép WR cỡ dây 50mm2</v>
      </c>
      <c r="B247" s="2383" t="s">
        <v>905</v>
      </c>
      <c r="C247" s="2380"/>
      <c r="D247" s="2373">
        <v>0</v>
      </c>
      <c r="E247" s="2374" t="s">
        <v>2889</v>
      </c>
      <c r="F247" s="2373" t="s">
        <v>2563</v>
      </c>
      <c r="G247" s="2380">
        <f>2*G242</f>
        <v>0</v>
      </c>
      <c r="H247" s="2376">
        <v>8000</v>
      </c>
      <c r="I247" s="2376"/>
      <c r="J247" s="2376">
        <v>0</v>
      </c>
      <c r="K247" s="2376">
        <v>0</v>
      </c>
      <c r="L247" s="2382">
        <f t="shared" si="33"/>
        <v>0</v>
      </c>
      <c r="M247" s="2382">
        <f t="shared" si="34"/>
        <v>0</v>
      </c>
      <c r="N247" s="2382">
        <f t="shared" si="35"/>
        <v>0</v>
      </c>
      <c r="O247" s="2381">
        <f t="shared" si="36"/>
        <v>0</v>
      </c>
      <c r="P247" s="2408"/>
    </row>
    <row r="248" spans="1:16" s="2358" customFormat="1" outlineLevel="1">
      <c r="A248" s="2361" t="str">
        <f t="shared" si="37"/>
        <v>Kẹp ép cỡ dây 25mm2</v>
      </c>
      <c r="B248" s="2383" t="s">
        <v>1114</v>
      </c>
      <c r="C248" s="2380"/>
      <c r="D248" s="2373">
        <v>0</v>
      </c>
      <c r="E248" s="2374" t="s">
        <v>2887</v>
      </c>
      <c r="F248" s="2373" t="s">
        <v>2563</v>
      </c>
      <c r="G248" s="2380">
        <f>12*G242</f>
        <v>0</v>
      </c>
      <c r="H248" s="2376">
        <v>6000</v>
      </c>
      <c r="I248" s="2376"/>
      <c r="J248" s="2376">
        <v>0</v>
      </c>
      <c r="K248" s="2376">
        <v>0</v>
      </c>
      <c r="L248" s="2382">
        <f t="shared" si="33"/>
        <v>0</v>
      </c>
      <c r="M248" s="2382">
        <f t="shared" si="34"/>
        <v>0</v>
      </c>
      <c r="N248" s="2382">
        <f t="shared" si="35"/>
        <v>0</v>
      </c>
      <c r="O248" s="2381">
        <f t="shared" si="36"/>
        <v>0</v>
      </c>
      <c r="P248" s="2408"/>
    </row>
    <row r="249" spans="1:16" s="2358" customFormat="1" outlineLevel="1">
      <c r="A249" s="2361" t="str">
        <f t="shared" si="37"/>
        <v>Cổ dê kẹp ống PVC  21</v>
      </c>
      <c r="B249" s="2386" t="s">
        <v>525</v>
      </c>
      <c r="C249" s="2380"/>
      <c r="D249" s="2373">
        <v>0</v>
      </c>
      <c r="E249" s="2374" t="s">
        <v>5313</v>
      </c>
      <c r="F249" s="2373" t="s">
        <v>2445</v>
      </c>
      <c r="G249" s="2380">
        <f>3*G242</f>
        <v>0</v>
      </c>
      <c r="H249" s="2376">
        <v>43000</v>
      </c>
      <c r="I249" s="2381"/>
      <c r="J249" s="2376">
        <v>0</v>
      </c>
      <c r="K249" s="2376">
        <v>0</v>
      </c>
      <c r="L249" s="2382">
        <f t="shared" si="33"/>
        <v>0</v>
      </c>
      <c r="M249" s="2382">
        <f t="shared" si="34"/>
        <v>0</v>
      </c>
      <c r="N249" s="2382">
        <f t="shared" si="35"/>
        <v>0</v>
      </c>
      <c r="O249" s="2381">
        <f t="shared" si="36"/>
        <v>0</v>
      </c>
      <c r="P249" s="2408"/>
    </row>
    <row r="250" spans="1:16" s="2358" customFormat="1" outlineLevel="1">
      <c r="A250" s="2361" t="str">
        <f t="shared" si="37"/>
        <v>Kéo dây tiếp địa trong TBA</v>
      </c>
      <c r="B250" s="2383" t="s">
        <v>2189</v>
      </c>
      <c r="C250" s="2380"/>
      <c r="D250" s="2373" t="s">
        <v>5408</v>
      </c>
      <c r="E250" s="2374" t="s">
        <v>5409</v>
      </c>
      <c r="F250" s="2373" t="s">
        <v>2538</v>
      </c>
      <c r="G250" s="2380">
        <f>G244/0.224</f>
        <v>0</v>
      </c>
      <c r="H250" s="2376">
        <v>0</v>
      </c>
      <c r="I250" s="2376"/>
      <c r="J250" s="2376">
        <v>8070.7000000000007</v>
      </c>
      <c r="K250" s="2376">
        <v>2044.9974999999999</v>
      </c>
      <c r="L250" s="2382">
        <f>H250*G250</f>
        <v>0</v>
      </c>
      <c r="M250" s="2382">
        <f>I250*G250</f>
        <v>0</v>
      </c>
      <c r="N250" s="2382">
        <f>J250*G250</f>
        <v>0</v>
      </c>
      <c r="O250" s="2381">
        <f>K250*G250</f>
        <v>0</v>
      </c>
      <c r="P250" s="2408"/>
    </row>
    <row r="251" spans="1:16" s="2358" customFormat="1" outlineLevel="1">
      <c r="A251" s="2361" t="str">
        <f t="shared" si="37"/>
        <v>Đóng cọc tiếp địa trong TBA</v>
      </c>
      <c r="B251" s="2386" t="s">
        <v>902</v>
      </c>
      <c r="C251" s="2380"/>
      <c r="D251" s="2373" t="s">
        <v>5413</v>
      </c>
      <c r="E251" s="2374" t="s">
        <v>5414</v>
      </c>
      <c r="F251" s="2373" t="s">
        <v>2284</v>
      </c>
      <c r="G251" s="2380">
        <f>G245</f>
        <v>0</v>
      </c>
      <c r="H251" s="2376">
        <v>0</v>
      </c>
      <c r="I251" s="2381"/>
      <c r="J251" s="2376" t="s">
        <v>6389</v>
      </c>
      <c r="K251" s="2376">
        <v>1573.075</v>
      </c>
      <c r="L251" s="2382">
        <f>H251*G251</f>
        <v>0</v>
      </c>
      <c r="M251" s="2382">
        <f>I251*G251</f>
        <v>0</v>
      </c>
      <c r="N251" s="2376">
        <v>0</v>
      </c>
      <c r="O251" s="2381">
        <f>K251*G251</f>
        <v>0</v>
      </c>
      <c r="P251" s="2408"/>
    </row>
    <row r="252" spans="1:16" s="2358" customFormat="1" outlineLevel="1">
      <c r="A252" s="2361" t="str">
        <f t="shared" si="37"/>
        <v>Đào rãnh tiếp địa đất cấp 3</v>
      </c>
      <c r="B252" s="2383" t="s">
        <v>1055</v>
      </c>
      <c r="C252" s="2380"/>
      <c r="D252" s="2373" t="s">
        <v>5398</v>
      </c>
      <c r="E252" s="2374" t="s">
        <v>3086</v>
      </c>
      <c r="F252" s="2373" t="s">
        <v>856</v>
      </c>
      <c r="G252" s="2404">
        <f>0.3*0.5*G242*48</f>
        <v>0</v>
      </c>
      <c r="H252" s="2376">
        <v>0</v>
      </c>
      <c r="I252" s="2376"/>
      <c r="J252" s="2376">
        <v>283749.75</v>
      </c>
      <c r="K252" s="2376">
        <v>0</v>
      </c>
      <c r="L252" s="2382">
        <f>H252*G252</f>
        <v>0</v>
      </c>
      <c r="M252" s="2382">
        <f>I252*G252</f>
        <v>0</v>
      </c>
      <c r="N252" s="2382">
        <f>J252*G252</f>
        <v>0</v>
      </c>
      <c r="O252" s="2381">
        <f>K252*G252</f>
        <v>0</v>
      </c>
      <c r="P252" s="2408"/>
    </row>
    <row r="253" spans="1:16" s="2358" customFormat="1" outlineLevel="1">
      <c r="A253" s="2361" t="str">
        <f t="shared" si="37"/>
        <v>Đắp đất rãnh tiếp độ chặt k=0,85</v>
      </c>
      <c r="B253" s="2386" t="s">
        <v>1056</v>
      </c>
      <c r="C253" s="2380"/>
      <c r="D253" s="2373" t="s">
        <v>5387</v>
      </c>
      <c r="E253" s="2374" t="s">
        <v>5399</v>
      </c>
      <c r="F253" s="2373" t="s">
        <v>856</v>
      </c>
      <c r="G253" s="2404">
        <f>G252</f>
        <v>0</v>
      </c>
      <c r="H253" s="2376">
        <v>0</v>
      </c>
      <c r="I253" s="2381"/>
      <c r="J253" s="2376">
        <v>117703.6</v>
      </c>
      <c r="K253" s="2376">
        <v>0</v>
      </c>
      <c r="L253" s="2382">
        <f>H253*G253</f>
        <v>0</v>
      </c>
      <c r="M253" s="2382">
        <f>I253*G253</f>
        <v>0</v>
      </c>
      <c r="N253" s="2382">
        <f>J253*G253</f>
        <v>0</v>
      </c>
      <c r="O253" s="2381">
        <f>K253*G253</f>
        <v>0</v>
      </c>
      <c r="P253" s="2408"/>
    </row>
    <row r="254" spans="1:16" s="2358" customFormat="1" outlineLevel="1">
      <c r="A254" s="2361" t="e">
        <f t="shared" si="37"/>
        <v>#N/A</v>
      </c>
      <c r="B254" s="2383"/>
      <c r="C254" s="2395">
        <f>IF(G254&gt;0,C242+1,C242)</f>
        <v>0</v>
      </c>
      <c r="D254" s="2373"/>
      <c r="E254" s="2411" t="s">
        <v>3701</v>
      </c>
      <c r="F254" s="2395" t="s">
        <v>2391</v>
      </c>
      <c r="G254" s="2395">
        <f>G232</f>
        <v>0</v>
      </c>
      <c r="H254" s="2376"/>
      <c r="I254" s="2381"/>
      <c r="J254" s="2376"/>
      <c r="K254" s="2376"/>
      <c r="L254" s="2382">
        <f t="shared" si="33"/>
        <v>0</v>
      </c>
      <c r="M254" s="2382">
        <f t="shared" si="34"/>
        <v>0</v>
      </c>
      <c r="N254" s="2382">
        <f t="shared" si="35"/>
        <v>0</v>
      </c>
      <c r="O254" s="2381">
        <f t="shared" si="36"/>
        <v>0</v>
      </c>
      <c r="P254" s="2408"/>
    </row>
    <row r="255" spans="1:16" s="2358" customFormat="1" ht="14.4" outlineLevel="1">
      <c r="A255" s="2361" t="e">
        <f t="shared" si="37"/>
        <v>#N/A</v>
      </c>
      <c r="B255" s="2383"/>
      <c r="C255" s="2395"/>
      <c r="D255" s="2373"/>
      <c r="E255" s="2425" t="s">
        <v>6207</v>
      </c>
      <c r="F255" s="2380"/>
      <c r="G255" s="2380"/>
      <c r="H255" s="2376"/>
      <c r="I255" s="2381"/>
      <c r="J255" s="2376"/>
      <c r="K255" s="2376"/>
      <c r="L255" s="2382">
        <f t="shared" si="33"/>
        <v>0</v>
      </c>
      <c r="M255" s="2382">
        <f t="shared" si="34"/>
        <v>0</v>
      </c>
      <c r="N255" s="2382">
        <f t="shared" si="35"/>
        <v>0</v>
      </c>
      <c r="O255" s="2381">
        <f t="shared" si="36"/>
        <v>0</v>
      </c>
      <c r="P255" s="2408"/>
    </row>
    <row r="256" spans="1:16" s="2358" customFormat="1" outlineLevel="1">
      <c r="A256" s="2361" t="str">
        <f t="shared" si="37"/>
        <v>Tủ MCCB trạm treo 1 pha</v>
      </c>
      <c r="B256" s="2434" t="s">
        <v>5716</v>
      </c>
      <c r="C256" s="2380"/>
      <c r="D256" s="2373" t="s">
        <v>5717</v>
      </c>
      <c r="E256" s="2374" t="s">
        <v>5718</v>
      </c>
      <c r="F256" s="2373" t="s">
        <v>2563</v>
      </c>
      <c r="G256" s="2380">
        <f>G254</f>
        <v>0</v>
      </c>
      <c r="H256" s="2376">
        <v>2971168</v>
      </c>
      <c r="I256" s="2376"/>
      <c r="J256" s="2376">
        <v>599038</v>
      </c>
      <c r="K256" s="2376">
        <v>97369</v>
      </c>
      <c r="L256" s="2382">
        <f t="shared" si="33"/>
        <v>0</v>
      </c>
      <c r="M256" s="2382">
        <f t="shared" si="34"/>
        <v>0</v>
      </c>
      <c r="N256" s="2382">
        <f t="shared" si="35"/>
        <v>0</v>
      </c>
      <c r="O256" s="2381">
        <f t="shared" si="36"/>
        <v>0</v>
      </c>
      <c r="P256" s="2408"/>
    </row>
    <row r="257" spans="1:16" s="2358" customFormat="1" outlineLevel="1">
      <c r="A257" s="2361" t="str">
        <f t="shared" si="37"/>
        <v>Cổ dê bắt tủ</v>
      </c>
      <c r="B257" s="2383" t="s">
        <v>879</v>
      </c>
      <c r="C257" s="2380"/>
      <c r="D257" s="2373">
        <v>0</v>
      </c>
      <c r="E257" s="2374" t="s">
        <v>2999</v>
      </c>
      <c r="F257" s="2373" t="s">
        <v>2445</v>
      </c>
      <c r="G257" s="2380"/>
      <c r="H257" s="2376">
        <v>168000</v>
      </c>
      <c r="I257" s="2381"/>
      <c r="J257" s="2376">
        <v>0</v>
      </c>
      <c r="K257" s="2376">
        <v>0</v>
      </c>
      <c r="L257" s="2382">
        <f t="shared" si="33"/>
        <v>0</v>
      </c>
      <c r="M257" s="2382">
        <f t="shared" si="34"/>
        <v>0</v>
      </c>
      <c r="N257" s="2382">
        <f t="shared" si="35"/>
        <v>0</v>
      </c>
      <c r="O257" s="2381">
        <f t="shared" si="36"/>
        <v>0</v>
      </c>
      <c r="P257" s="2408"/>
    </row>
    <row r="258" spans="1:16" s="2358" customFormat="1" outlineLevel="1">
      <c r="A258" s="2361" t="str">
        <f t="shared" si="37"/>
        <v xml:space="preserve">Bakelit 550x450 dầy 10mm </v>
      </c>
      <c r="B258" s="2383" t="s">
        <v>880</v>
      </c>
      <c r="C258" s="2380"/>
      <c r="D258" s="2373">
        <v>0</v>
      </c>
      <c r="E258" s="2374" t="s">
        <v>5861</v>
      </c>
      <c r="F258" s="2373" t="s">
        <v>2563</v>
      </c>
      <c r="G258" s="2380"/>
      <c r="H258" s="2376">
        <v>284000</v>
      </c>
      <c r="I258" s="2381"/>
      <c r="J258" s="2376">
        <v>5404</v>
      </c>
      <c r="K258" s="2376">
        <v>0</v>
      </c>
      <c r="L258" s="2382">
        <f t="shared" si="33"/>
        <v>0</v>
      </c>
      <c r="M258" s="2382">
        <f t="shared" si="34"/>
        <v>0</v>
      </c>
      <c r="N258" s="2382">
        <f t="shared" si="35"/>
        <v>0</v>
      </c>
      <c r="O258" s="2381">
        <f t="shared" si="36"/>
        <v>0</v>
      </c>
      <c r="P258" s="2408"/>
    </row>
    <row r="259" spans="1:16" s="2358" customFormat="1" outlineLevel="1">
      <c r="A259" s="2361" t="e">
        <f t="shared" si="37"/>
        <v>#N/A</v>
      </c>
      <c r="B259" s="2383"/>
      <c r="C259" s="2395">
        <f>IF(G259&gt;0,C254+1,C254)</f>
        <v>0</v>
      </c>
      <c r="D259" s="2373"/>
      <c r="E259" s="2424" t="s">
        <v>6213</v>
      </c>
      <c r="F259" s="2395" t="s">
        <v>2391</v>
      </c>
      <c r="G259" s="2395">
        <f>G254</f>
        <v>0</v>
      </c>
      <c r="H259" s="2376"/>
      <c r="I259" s="2381"/>
      <c r="J259" s="2376"/>
      <c r="K259" s="2376"/>
      <c r="L259" s="2382">
        <f t="shared" si="33"/>
        <v>0</v>
      </c>
      <c r="M259" s="2382">
        <f t="shared" si="34"/>
        <v>0</v>
      </c>
      <c r="N259" s="2382">
        <f t="shared" si="35"/>
        <v>0</v>
      </c>
      <c r="O259" s="2381">
        <f t="shared" si="36"/>
        <v>0</v>
      </c>
      <c r="P259" s="2408"/>
    </row>
    <row r="260" spans="1:16" s="2358" customFormat="1" ht="14.4" outlineLevel="1">
      <c r="A260" s="2361" t="e">
        <f t="shared" si="37"/>
        <v>#N/A</v>
      </c>
      <c r="B260" s="2383"/>
      <c r="C260" s="2395"/>
      <c r="D260" s="2373"/>
      <c r="E260" s="2425" t="s">
        <v>6207</v>
      </c>
      <c r="F260" s="2380"/>
      <c r="G260" s="2380"/>
      <c r="H260" s="2376"/>
      <c r="I260" s="2381"/>
      <c r="J260" s="2376"/>
      <c r="K260" s="2376"/>
      <c r="L260" s="2382">
        <f t="shared" si="33"/>
        <v>0</v>
      </c>
      <c r="M260" s="2382">
        <f t="shared" si="34"/>
        <v>0</v>
      </c>
      <c r="N260" s="2382">
        <f t="shared" si="35"/>
        <v>0</v>
      </c>
      <c r="O260" s="2381">
        <f t="shared" si="36"/>
        <v>0</v>
      </c>
      <c r="P260" s="2408"/>
    </row>
    <row r="261" spans="1:16" s="2358" customFormat="1" outlineLevel="1">
      <c r="A261" s="2361" t="str">
        <f t="shared" si="37"/>
        <v>Cáp 24KV C/XLPE/PVC 25mm2</v>
      </c>
      <c r="B261" s="2412" t="s">
        <v>697</v>
      </c>
      <c r="C261" s="2380"/>
      <c r="D261" s="2373">
        <v>0</v>
      </c>
      <c r="E261" s="2374" t="s">
        <v>5139</v>
      </c>
      <c r="F261" s="2373" t="s">
        <v>2538</v>
      </c>
      <c r="G261" s="2380">
        <f>3*G259</f>
        <v>0</v>
      </c>
      <c r="H261" s="2376">
        <v>50996</v>
      </c>
      <c r="I261" s="2376"/>
      <c r="J261" s="2376">
        <v>0</v>
      </c>
      <c r="K261" s="2376">
        <v>0</v>
      </c>
      <c r="L261" s="2382">
        <f t="shared" si="33"/>
        <v>0</v>
      </c>
      <c r="M261" s="2382">
        <f t="shared" si="34"/>
        <v>0</v>
      </c>
      <c r="N261" s="2382">
        <f t="shared" si="35"/>
        <v>0</v>
      </c>
      <c r="O261" s="2381">
        <f t="shared" si="36"/>
        <v>0</v>
      </c>
      <c r="P261" s="2408"/>
    </row>
    <row r="262" spans="1:16" s="2358" customFormat="1" outlineLevel="1">
      <c r="A262" s="2361" t="str">
        <f t="shared" si="37"/>
        <v>Nắp che đầu cực FCO</v>
      </c>
      <c r="B262" s="2386" t="s">
        <v>6199</v>
      </c>
      <c r="C262" s="2380"/>
      <c r="D262" s="2373">
        <v>0</v>
      </c>
      <c r="E262" s="2374" t="s">
        <v>5762</v>
      </c>
      <c r="F262" s="2373" t="s">
        <v>2563</v>
      </c>
      <c r="G262" s="2380">
        <f>G259*1</f>
        <v>0</v>
      </c>
      <c r="H262" s="2376">
        <v>218200</v>
      </c>
      <c r="I262" s="2376"/>
      <c r="J262" s="2376">
        <v>0</v>
      </c>
      <c r="K262" s="2376">
        <v>0</v>
      </c>
      <c r="L262" s="2382">
        <f t="shared" si="33"/>
        <v>0</v>
      </c>
      <c r="M262" s="2382">
        <f t="shared" si="34"/>
        <v>0</v>
      </c>
      <c r="N262" s="2382">
        <f t="shared" si="35"/>
        <v>0</v>
      </c>
      <c r="O262" s="2381">
        <f t="shared" si="36"/>
        <v>0</v>
      </c>
      <c r="P262" s="2408"/>
    </row>
    <row r="263" spans="1:16" s="2358" customFormat="1" outlineLevel="1">
      <c r="A263" s="2361" t="str">
        <f t="shared" si="37"/>
        <v>Nắp che đầu cực LA</v>
      </c>
      <c r="B263" s="2386" t="s">
        <v>6200</v>
      </c>
      <c r="C263" s="2380"/>
      <c r="D263" s="2373">
        <v>0</v>
      </c>
      <c r="E263" s="2374" t="s">
        <v>5768</v>
      </c>
      <c r="F263" s="2373" t="s">
        <v>2563</v>
      </c>
      <c r="G263" s="2380">
        <f>G259</f>
        <v>0</v>
      </c>
      <c r="H263" s="2376">
        <v>39100</v>
      </c>
      <c r="I263" s="2376"/>
      <c r="J263" s="2376">
        <v>0</v>
      </c>
      <c r="K263" s="2376">
        <v>0</v>
      </c>
      <c r="L263" s="2382">
        <f>H263*G263</f>
        <v>0</v>
      </c>
      <c r="M263" s="2382">
        <f>I263*G263</f>
        <v>0</v>
      </c>
      <c r="N263" s="2382">
        <f>J263*G263</f>
        <v>0</v>
      </c>
      <c r="O263" s="2381">
        <f>K263*G263</f>
        <v>0</v>
      </c>
      <c r="P263" s="2408"/>
    </row>
    <row r="264" spans="1:16" s="2358" customFormat="1" outlineLevel="1">
      <c r="A264" s="2361" t="str">
        <f t="shared" si="37"/>
        <v>Nắp che đầu sứ MBA</v>
      </c>
      <c r="B264" s="2371" t="s">
        <v>6204</v>
      </c>
      <c r="C264" s="2380"/>
      <c r="D264" s="2373">
        <v>0</v>
      </c>
      <c r="E264" s="2374" t="s">
        <v>5770</v>
      </c>
      <c r="F264" s="2373" t="s">
        <v>2563</v>
      </c>
      <c r="G264" s="2380">
        <f>G259</f>
        <v>0</v>
      </c>
      <c r="H264" s="2376">
        <v>56700</v>
      </c>
      <c r="I264" s="2376"/>
      <c r="J264" s="2376">
        <v>0</v>
      </c>
      <c r="K264" s="2376">
        <v>0</v>
      </c>
      <c r="L264" s="2382">
        <f t="shared" si="33"/>
        <v>0</v>
      </c>
      <c r="M264" s="2382">
        <f t="shared" si="34"/>
        <v>0</v>
      </c>
      <c r="N264" s="2382">
        <f t="shared" si="35"/>
        <v>0</v>
      </c>
      <c r="O264" s="2381">
        <f t="shared" si="36"/>
        <v>0</v>
      </c>
      <c r="P264" s="2408"/>
    </row>
    <row r="265" spans="1:16" s="2358" customFormat="1" outlineLevel="1">
      <c r="A265" s="2361" t="str">
        <f t="shared" si="37"/>
        <v>Chụp cách điện kẹp quai</v>
      </c>
      <c r="B265" s="2371" t="s">
        <v>5766</v>
      </c>
      <c r="C265" s="2380"/>
      <c r="D265" s="2373">
        <v>0</v>
      </c>
      <c r="E265" s="2374" t="s">
        <v>4565</v>
      </c>
      <c r="F265" s="2373" t="s">
        <v>3463</v>
      </c>
      <c r="G265" s="2380">
        <f>G259</f>
        <v>0</v>
      </c>
      <c r="H265" s="2376">
        <v>136800</v>
      </c>
      <c r="I265" s="2376"/>
      <c r="J265" s="2376">
        <v>0</v>
      </c>
      <c r="K265" s="2376">
        <v>0</v>
      </c>
      <c r="L265" s="2382">
        <f>H265*G265</f>
        <v>0</v>
      </c>
      <c r="M265" s="2382">
        <f>I265*G265</f>
        <v>0</v>
      </c>
      <c r="N265" s="2382">
        <f>J265*G265</f>
        <v>0</v>
      </c>
      <c r="O265" s="2381">
        <f>K265*G265</f>
        <v>0</v>
      </c>
      <c r="P265" s="2408"/>
    </row>
    <row r="266" spans="1:16" s="2358" customFormat="1" outlineLevel="1">
      <c r="A266" s="2361" t="str">
        <f t="shared" si="37"/>
        <v>Kẹp quai 2/0</v>
      </c>
      <c r="B266" s="2371" t="s">
        <v>1482</v>
      </c>
      <c r="C266" s="2380"/>
      <c r="D266" s="2373">
        <v>0</v>
      </c>
      <c r="E266" s="2374" t="s">
        <v>3810</v>
      </c>
      <c r="F266" s="2373" t="s">
        <v>2563</v>
      </c>
      <c r="G266" s="2380">
        <f>G259</f>
        <v>0</v>
      </c>
      <c r="H266" s="2376">
        <v>46000</v>
      </c>
      <c r="I266" s="2376"/>
      <c r="J266" s="2376">
        <v>0</v>
      </c>
      <c r="K266" s="2376">
        <v>0</v>
      </c>
      <c r="L266" s="2382">
        <f t="shared" si="33"/>
        <v>0</v>
      </c>
      <c r="M266" s="2382">
        <f t="shared" si="34"/>
        <v>0</v>
      </c>
      <c r="N266" s="2382">
        <f t="shared" si="35"/>
        <v>0</v>
      </c>
      <c r="O266" s="2381">
        <f t="shared" si="36"/>
        <v>0</v>
      </c>
      <c r="P266" s="2408"/>
    </row>
    <row r="267" spans="1:16" s="2358" customFormat="1" outlineLevel="1">
      <c r="A267" s="2361" t="str">
        <f t="shared" si="37"/>
        <v>Kẹp hotline 2/0</v>
      </c>
      <c r="B267" s="2371" t="s">
        <v>1480</v>
      </c>
      <c r="C267" s="2380"/>
      <c r="D267" s="2373"/>
      <c r="E267" s="2374" t="s">
        <v>4361</v>
      </c>
      <c r="F267" s="2373" t="s">
        <v>2563</v>
      </c>
      <c r="G267" s="2380">
        <f>G259</f>
        <v>0</v>
      </c>
      <c r="H267" s="2376">
        <v>77000</v>
      </c>
      <c r="I267" s="2376"/>
      <c r="J267" s="2376"/>
      <c r="K267" s="2376">
        <v>0</v>
      </c>
      <c r="L267" s="2382">
        <f t="shared" si="33"/>
        <v>0</v>
      </c>
      <c r="M267" s="2382">
        <f t="shared" si="34"/>
        <v>0</v>
      </c>
      <c r="N267" s="2382">
        <f t="shared" si="35"/>
        <v>0</v>
      </c>
      <c r="O267" s="2381">
        <f t="shared" si="36"/>
        <v>0</v>
      </c>
      <c r="P267" s="2408"/>
    </row>
    <row r="268" spans="1:16" s="2358" customFormat="1" outlineLevel="1">
      <c r="A268" s="2361" t="str">
        <f t="shared" si="37"/>
        <v>Lắp cáp đồng xuống thiết bị D ≤ 95mm2</v>
      </c>
      <c r="B268" s="2371" t="s">
        <v>1528</v>
      </c>
      <c r="C268" s="2380"/>
      <c r="D268" s="2373" t="s">
        <v>5633</v>
      </c>
      <c r="E268" s="2374" t="s">
        <v>3310</v>
      </c>
      <c r="F268" s="2373" t="s">
        <v>1827</v>
      </c>
      <c r="G268" s="2380">
        <f>G261</f>
        <v>0</v>
      </c>
      <c r="H268" s="2376">
        <v>0</v>
      </c>
      <c r="I268" s="2376"/>
      <c r="J268" s="2376">
        <v>13915</v>
      </c>
      <c r="K268" s="2376">
        <v>0</v>
      </c>
      <c r="L268" s="2382">
        <f>H268*G268</f>
        <v>0</v>
      </c>
      <c r="M268" s="2382">
        <f>I268*G268</f>
        <v>0</v>
      </c>
      <c r="N268" s="2382">
        <f>J268*G268</f>
        <v>0</v>
      </c>
      <c r="O268" s="2381">
        <f>K268*G268</f>
        <v>0</v>
      </c>
      <c r="P268" s="2408"/>
    </row>
    <row r="269" spans="1:16" s="2358" customFormat="1" outlineLevel="1">
      <c r="A269" s="2361" t="e">
        <f t="shared" si="37"/>
        <v>#N/A</v>
      </c>
      <c r="B269" s="2383"/>
      <c r="C269" s="2395">
        <f>IF(G269&gt;0,C259+1,C259)</f>
        <v>0</v>
      </c>
      <c r="D269" s="2373"/>
      <c r="E269" s="2411" t="s">
        <v>6214</v>
      </c>
      <c r="F269" s="2395" t="s">
        <v>2391</v>
      </c>
      <c r="G269" s="2395">
        <f>G211</f>
        <v>0</v>
      </c>
      <c r="H269" s="2376"/>
      <c r="I269" s="2381"/>
      <c r="J269" s="2376"/>
      <c r="K269" s="2376"/>
      <c r="L269" s="2382">
        <f t="shared" si="33"/>
        <v>0</v>
      </c>
      <c r="M269" s="2382">
        <f t="shared" si="34"/>
        <v>0</v>
      </c>
      <c r="N269" s="2382">
        <f t="shared" si="35"/>
        <v>0</v>
      </c>
      <c r="O269" s="2381">
        <f t="shared" si="36"/>
        <v>0</v>
      </c>
      <c r="P269" s="2408"/>
    </row>
    <row r="270" spans="1:16" s="2358" customFormat="1" ht="14.4" outlineLevel="1">
      <c r="A270" s="2361" t="e">
        <f t="shared" si="37"/>
        <v>#N/A</v>
      </c>
      <c r="B270" s="2383"/>
      <c r="C270" s="2395"/>
      <c r="D270" s="2373"/>
      <c r="E270" s="2401" t="s">
        <v>6207</v>
      </c>
      <c r="F270" s="2395"/>
      <c r="G270" s="2395"/>
      <c r="H270" s="2376"/>
      <c r="I270" s="2381"/>
      <c r="J270" s="2376"/>
      <c r="K270" s="2376"/>
      <c r="L270" s="2382">
        <f t="shared" si="33"/>
        <v>0</v>
      </c>
      <c r="M270" s="2382">
        <f t="shared" si="34"/>
        <v>0</v>
      </c>
      <c r="N270" s="2382">
        <f t="shared" si="35"/>
        <v>0</v>
      </c>
      <c r="O270" s="2381">
        <f t="shared" si="36"/>
        <v>0</v>
      </c>
      <c r="P270" s="2408"/>
    </row>
    <row r="271" spans="1:16" s="2358" customFormat="1" outlineLevel="1">
      <c r="A271" s="2361" t="str">
        <f t="shared" ref="A271:A302" si="38">VLOOKUP(B271,DonGia,3,0)</f>
        <v>Cáp đồng bọc CV50</v>
      </c>
      <c r="B271" s="2383" t="s">
        <v>273</v>
      </c>
      <c r="C271" s="2395"/>
      <c r="D271" s="2373">
        <v>0</v>
      </c>
      <c r="E271" s="2374" t="s">
        <v>6390</v>
      </c>
      <c r="F271" s="2373" t="s">
        <v>2538</v>
      </c>
      <c r="G271" s="2380">
        <f>G269*14</f>
        <v>0</v>
      </c>
      <c r="H271" s="2376">
        <v>91800</v>
      </c>
      <c r="I271" s="2376"/>
      <c r="J271" s="2376">
        <v>0</v>
      </c>
      <c r="K271" s="2376">
        <v>0</v>
      </c>
      <c r="L271" s="2382">
        <f t="shared" si="33"/>
        <v>0</v>
      </c>
      <c r="M271" s="2382">
        <f t="shared" si="34"/>
        <v>0</v>
      </c>
      <c r="N271" s="2382">
        <f t="shared" si="35"/>
        <v>0</v>
      </c>
      <c r="O271" s="2381">
        <f t="shared" si="36"/>
        <v>0</v>
      </c>
      <c r="P271" s="2408"/>
    </row>
    <row r="272" spans="1:16" s="2358" customFormat="1" outlineLevel="1">
      <c r="A272" s="2361" t="str">
        <f t="shared" si="38"/>
        <v>Cáp đồng bọc CV25</v>
      </c>
      <c r="B272" s="2383" t="s">
        <v>1529</v>
      </c>
      <c r="C272" s="2395"/>
      <c r="D272" s="2373">
        <v>0</v>
      </c>
      <c r="E272" s="2374" t="s">
        <v>6391</v>
      </c>
      <c r="F272" s="2373" t="s">
        <v>2538</v>
      </c>
      <c r="G272" s="2380">
        <f>G269*6</f>
        <v>0</v>
      </c>
      <c r="H272" s="2376">
        <v>59600</v>
      </c>
      <c r="I272" s="2376"/>
      <c r="J272" s="2376">
        <v>0</v>
      </c>
      <c r="K272" s="2376">
        <v>0</v>
      </c>
      <c r="L272" s="2382">
        <f>H272*G272</f>
        <v>0</v>
      </c>
      <c r="M272" s="2382">
        <f>I272*G272</f>
        <v>0</v>
      </c>
      <c r="N272" s="2382">
        <f>J272*G272</f>
        <v>0</v>
      </c>
      <c r="O272" s="2381">
        <f>K272*G272</f>
        <v>0</v>
      </c>
      <c r="P272" s="2408"/>
    </row>
    <row r="273" spans="1:16" s="2358" customFormat="1" outlineLevel="1">
      <c r="A273" s="2361" t="str">
        <f t="shared" si="38"/>
        <v xml:space="preserve">Cáp CVV 4x4mm2  </v>
      </c>
      <c r="B273" s="2383" t="s">
        <v>4545</v>
      </c>
      <c r="C273" s="2395"/>
      <c r="D273" s="2373">
        <v>0</v>
      </c>
      <c r="E273" s="2374" t="s">
        <v>2794</v>
      </c>
      <c r="F273" s="2373" t="s">
        <v>2538</v>
      </c>
      <c r="G273" s="2380">
        <f>4*G269</f>
        <v>0</v>
      </c>
      <c r="H273" s="2376">
        <v>63200</v>
      </c>
      <c r="I273" s="2376"/>
      <c r="J273" s="2376">
        <v>0</v>
      </c>
      <c r="K273" s="2376">
        <v>0</v>
      </c>
      <c r="L273" s="2382">
        <f t="shared" si="33"/>
        <v>0</v>
      </c>
      <c r="M273" s="2382">
        <f t="shared" si="34"/>
        <v>0</v>
      </c>
      <c r="N273" s="2382">
        <f t="shared" si="35"/>
        <v>0</v>
      </c>
      <c r="O273" s="2381">
        <f t="shared" si="36"/>
        <v>0</v>
      </c>
      <c r="P273" s="2408"/>
    </row>
    <row r="274" spans="1:16" s="2358" customFormat="1" outlineLevel="1">
      <c r="A274" s="2361" t="str">
        <f t="shared" si="38"/>
        <v>Cáp đồng bọc CV50</v>
      </c>
      <c r="B274" s="2383" t="s">
        <v>273</v>
      </c>
      <c r="C274" s="2380"/>
      <c r="D274" s="2373">
        <v>0</v>
      </c>
      <c r="E274" s="2374" t="s">
        <v>6392</v>
      </c>
      <c r="F274" s="2373" t="s">
        <v>2538</v>
      </c>
      <c r="G274" s="2380">
        <f>2*6.5*G269</f>
        <v>0</v>
      </c>
      <c r="H274" s="2376">
        <v>91800</v>
      </c>
      <c r="I274" s="2376"/>
      <c r="J274" s="2376">
        <v>0</v>
      </c>
      <c r="K274" s="2376">
        <v>0</v>
      </c>
      <c r="L274" s="2382">
        <f t="shared" si="33"/>
        <v>0</v>
      </c>
      <c r="M274" s="2382">
        <f t="shared" si="34"/>
        <v>0</v>
      </c>
      <c r="N274" s="2382">
        <f t="shared" si="35"/>
        <v>0</v>
      </c>
      <c r="O274" s="2381">
        <f t="shared" si="36"/>
        <v>0</v>
      </c>
      <c r="P274" s="2408"/>
    </row>
    <row r="275" spans="1:16" s="2358" customFormat="1" outlineLevel="1">
      <c r="A275" s="2361" t="str">
        <f t="shared" si="38"/>
        <v>Kẹp ép WR cỡ dây 50mm2</v>
      </c>
      <c r="B275" s="2383" t="s">
        <v>905</v>
      </c>
      <c r="C275" s="2380"/>
      <c r="D275" s="2373">
        <v>0</v>
      </c>
      <c r="E275" s="2374" t="s">
        <v>6393</v>
      </c>
      <c r="F275" s="2373" t="s">
        <v>2563</v>
      </c>
      <c r="G275" s="2380">
        <f>4*G269</f>
        <v>0</v>
      </c>
      <c r="H275" s="2376">
        <v>8000</v>
      </c>
      <c r="I275" s="2376"/>
      <c r="J275" s="2376">
        <v>0</v>
      </c>
      <c r="K275" s="2376">
        <v>0</v>
      </c>
      <c r="L275" s="2382">
        <f>H275*G275</f>
        <v>0</v>
      </c>
      <c r="M275" s="2382">
        <f>I275*G275</f>
        <v>0</v>
      </c>
      <c r="N275" s="2382">
        <f>J275*G275</f>
        <v>0</v>
      </c>
      <c r="O275" s="2381">
        <f>K275*G275</f>
        <v>0</v>
      </c>
      <c r="P275" s="2408"/>
    </row>
    <row r="276" spans="1:16" s="2358" customFormat="1" outlineLevel="1">
      <c r="A276" s="2361" t="str">
        <f t="shared" si="38"/>
        <v>Kẹp ép WR cỡ dây 50mm2</v>
      </c>
      <c r="B276" s="2383" t="s">
        <v>905</v>
      </c>
      <c r="C276" s="2380"/>
      <c r="D276" s="2373">
        <v>0</v>
      </c>
      <c r="E276" s="2374" t="s">
        <v>6394</v>
      </c>
      <c r="F276" s="2373" t="s">
        <v>2563</v>
      </c>
      <c r="G276" s="2380">
        <f>4*G269</f>
        <v>0</v>
      </c>
      <c r="H276" s="2376">
        <v>8000</v>
      </c>
      <c r="I276" s="2376"/>
      <c r="J276" s="2376">
        <v>0</v>
      </c>
      <c r="K276" s="2376">
        <v>0</v>
      </c>
      <c r="L276" s="2382">
        <f t="shared" si="33"/>
        <v>0</v>
      </c>
      <c r="M276" s="2382">
        <f t="shared" si="34"/>
        <v>0</v>
      </c>
      <c r="N276" s="2382">
        <f t="shared" si="35"/>
        <v>0</v>
      </c>
      <c r="O276" s="2381">
        <f t="shared" si="36"/>
        <v>0</v>
      </c>
      <c r="P276" s="2408"/>
    </row>
    <row r="277" spans="1:16" s="2358" customFormat="1" outlineLevel="1">
      <c r="A277" s="2361" t="str">
        <f t="shared" si="38"/>
        <v>Băng keo cách điện</v>
      </c>
      <c r="B277" s="2383" t="s">
        <v>6215</v>
      </c>
      <c r="C277" s="2380"/>
      <c r="D277" s="2373">
        <v>0</v>
      </c>
      <c r="E277" s="2374" t="s">
        <v>5863</v>
      </c>
      <c r="F277" s="2373" t="s">
        <v>3584</v>
      </c>
      <c r="G277" s="2380">
        <f>4*G269</f>
        <v>0</v>
      </c>
      <c r="H277" s="2376">
        <v>6500</v>
      </c>
      <c r="I277" s="2376"/>
      <c r="J277" s="2376">
        <v>0</v>
      </c>
      <c r="K277" s="2376">
        <v>0</v>
      </c>
      <c r="L277" s="2382">
        <f>H277*G277</f>
        <v>0</v>
      </c>
      <c r="M277" s="2382">
        <f>I277*G277</f>
        <v>0</v>
      </c>
      <c r="N277" s="2382">
        <f>J277*G277</f>
        <v>0</v>
      </c>
      <c r="O277" s="2381">
        <f>K277*G277</f>
        <v>0</v>
      </c>
      <c r="P277" s="2408"/>
    </row>
    <row r="278" spans="1:16" s="2358" customFormat="1" outlineLevel="1">
      <c r="A278" s="2361" t="str">
        <f t="shared" si="38"/>
        <v xml:space="preserve">Đầu cosse ép Cu 25mm2 </v>
      </c>
      <c r="B278" s="2383" t="s">
        <v>6216</v>
      </c>
      <c r="C278" s="2380"/>
      <c r="D278" s="2373" t="s">
        <v>5786</v>
      </c>
      <c r="E278" s="2374" t="s">
        <v>5799</v>
      </c>
      <c r="F278" s="2373" t="s">
        <v>2563</v>
      </c>
      <c r="G278" s="2380">
        <f>4*G269</f>
        <v>0</v>
      </c>
      <c r="H278" s="2376">
        <v>6500</v>
      </c>
      <c r="I278" s="2376"/>
      <c r="J278" s="2376">
        <v>6062.26</v>
      </c>
      <c r="K278" s="2376">
        <v>2777.0232475000003</v>
      </c>
      <c r="L278" s="2382">
        <f>H278*G278</f>
        <v>0</v>
      </c>
      <c r="M278" s="2382">
        <f>I278*G278</f>
        <v>0</v>
      </c>
      <c r="N278" s="2382">
        <f>J278*G278</f>
        <v>0</v>
      </c>
      <c r="O278" s="2381">
        <f>K278*G278</f>
        <v>0</v>
      </c>
      <c r="P278" s="2408"/>
    </row>
    <row r="279" spans="1:16" s="2358" customFormat="1" outlineLevel="1">
      <c r="A279" s="2361" t="str">
        <f t="shared" si="38"/>
        <v xml:space="preserve">Đầu cosse ép Cu 25mm2 </v>
      </c>
      <c r="B279" s="2383" t="s">
        <v>6216</v>
      </c>
      <c r="C279" s="2380"/>
      <c r="D279" s="2373" t="s">
        <v>5786</v>
      </c>
      <c r="E279" s="2374" t="s">
        <v>5799</v>
      </c>
      <c r="F279" s="2373" t="s">
        <v>2563</v>
      </c>
      <c r="G279" s="2380">
        <f>1*G269</f>
        <v>0</v>
      </c>
      <c r="H279" s="2376">
        <v>6500</v>
      </c>
      <c r="I279" s="2376"/>
      <c r="J279" s="2376">
        <v>6062.26</v>
      </c>
      <c r="K279" s="2376">
        <v>2777.0232475000003</v>
      </c>
      <c r="L279" s="2382">
        <f t="shared" si="33"/>
        <v>0</v>
      </c>
      <c r="M279" s="2382">
        <f t="shared" si="34"/>
        <v>0</v>
      </c>
      <c r="N279" s="2382">
        <f t="shared" si="35"/>
        <v>0</v>
      </c>
      <c r="O279" s="2381">
        <f t="shared" si="36"/>
        <v>0</v>
      </c>
      <c r="P279" s="2408"/>
    </row>
    <row r="280" spans="1:16" s="2358" customFormat="1" outlineLevel="1">
      <c r="A280" s="2361" t="str">
        <f t="shared" si="38"/>
        <v>Đầu cosse ép Cu 50mm2</v>
      </c>
      <c r="B280" s="2383" t="s">
        <v>6217</v>
      </c>
      <c r="C280" s="2380"/>
      <c r="D280" s="2373" t="s">
        <v>5787</v>
      </c>
      <c r="E280" s="2374" t="s">
        <v>3497</v>
      </c>
      <c r="F280" s="2373" t="s">
        <v>2563</v>
      </c>
      <c r="G280" s="2380">
        <f>G269*4</f>
        <v>0</v>
      </c>
      <c r="H280" s="2376">
        <v>9100</v>
      </c>
      <c r="I280" s="2376"/>
      <c r="J280" s="2376">
        <v>10608.955000000002</v>
      </c>
      <c r="K280" s="2376">
        <v>2777.0232475000003</v>
      </c>
      <c r="L280" s="2382">
        <f>H280*G280</f>
        <v>0</v>
      </c>
      <c r="M280" s="2382">
        <f>I280*G280</f>
        <v>0</v>
      </c>
      <c r="N280" s="2382">
        <f>J280*G280</f>
        <v>0</v>
      </c>
      <c r="O280" s="2381">
        <f>K280*G280</f>
        <v>0</v>
      </c>
      <c r="P280" s="2408"/>
    </row>
    <row r="281" spans="1:16" s="2358" customFormat="1" outlineLevel="1">
      <c r="A281" s="2361" t="str">
        <f t="shared" si="38"/>
        <v>Chụp đầu cosse  25mm2</v>
      </c>
      <c r="B281" s="2384" t="s">
        <v>1920</v>
      </c>
      <c r="C281" s="2380"/>
      <c r="D281" s="2373">
        <v>0</v>
      </c>
      <c r="E281" s="2374" t="s">
        <v>3509</v>
      </c>
      <c r="F281" s="2373" t="s">
        <v>2563</v>
      </c>
      <c r="G281" s="2380">
        <f>G279</f>
        <v>0</v>
      </c>
      <c r="H281" s="2376">
        <v>1000</v>
      </c>
      <c r="I281" s="2381"/>
      <c r="J281" s="2376">
        <v>0</v>
      </c>
      <c r="K281" s="2376"/>
      <c r="L281" s="2382">
        <f>H281*G281</f>
        <v>0</v>
      </c>
      <c r="M281" s="2382">
        <f>I281*G281</f>
        <v>0</v>
      </c>
      <c r="N281" s="2382">
        <f>J281*G281</f>
        <v>0</v>
      </c>
      <c r="O281" s="2381">
        <f>K281*G281</f>
        <v>0</v>
      </c>
      <c r="P281" s="2408"/>
    </row>
    <row r="282" spans="1:16" s="2358" customFormat="1" outlineLevel="1">
      <c r="A282" s="2361" t="str">
        <f t="shared" si="38"/>
        <v>Chụp đầu cosse  50mm2</v>
      </c>
      <c r="B282" s="2384" t="s">
        <v>2157</v>
      </c>
      <c r="C282" s="2380"/>
      <c r="D282" s="2373">
        <v>0</v>
      </c>
      <c r="E282" s="2374" t="s">
        <v>3511</v>
      </c>
      <c r="F282" s="2373" t="s">
        <v>2563</v>
      </c>
      <c r="G282" s="2380">
        <f>G280</f>
        <v>0</v>
      </c>
      <c r="H282" s="2376">
        <v>1000</v>
      </c>
      <c r="I282" s="2381"/>
      <c r="J282" s="2376">
        <v>0</v>
      </c>
      <c r="K282" s="2376">
        <v>0</v>
      </c>
      <c r="L282" s="2382">
        <f t="shared" si="33"/>
        <v>0</v>
      </c>
      <c r="M282" s="2382">
        <f t="shared" si="34"/>
        <v>0</v>
      </c>
      <c r="N282" s="2382">
        <f t="shared" si="35"/>
        <v>0</v>
      </c>
      <c r="O282" s="2381">
        <f t="shared" si="36"/>
        <v>0</v>
      </c>
      <c r="P282" s="2408"/>
    </row>
    <row r="283" spans="1:16" s="2358" customFormat="1" outlineLevel="1">
      <c r="A283" s="2361" t="str">
        <f t="shared" si="38"/>
        <v>Nắp che đầu sứ MBA</v>
      </c>
      <c r="B283" s="2384" t="s">
        <v>6204</v>
      </c>
      <c r="C283" s="2380"/>
      <c r="D283" s="2373">
        <v>0</v>
      </c>
      <c r="E283" s="2374" t="s">
        <v>5770</v>
      </c>
      <c r="F283" s="2373" t="s">
        <v>2563</v>
      </c>
      <c r="G283" s="2380">
        <f>+$G$211</f>
        <v>0</v>
      </c>
      <c r="H283" s="2376">
        <v>56700</v>
      </c>
      <c r="I283" s="2381"/>
      <c r="J283" s="2376">
        <v>0</v>
      </c>
      <c r="K283" s="2376">
        <v>0</v>
      </c>
      <c r="L283" s="2382">
        <f>H283*G283</f>
        <v>0</v>
      </c>
      <c r="M283" s="2382">
        <f>I283*G283</f>
        <v>0</v>
      </c>
      <c r="N283" s="2382">
        <f>J283*G283</f>
        <v>0</v>
      </c>
      <c r="O283" s="2381">
        <f>K283*G283</f>
        <v>0</v>
      </c>
      <c r="P283" s="2408"/>
    </row>
    <row r="284" spans="1:16" s="2358" customFormat="1" outlineLevel="1">
      <c r="A284" s="2361" t="str">
        <f t="shared" si="38"/>
        <v xml:space="preserve">Ống PVC D114x4,9mm </v>
      </c>
      <c r="B284" s="2383" t="s">
        <v>1042</v>
      </c>
      <c r="C284" s="2380"/>
      <c r="D284" s="2373">
        <v>0</v>
      </c>
      <c r="E284" s="2374" t="s">
        <v>3549</v>
      </c>
      <c r="F284" s="2373" t="s">
        <v>1827</v>
      </c>
      <c r="G284" s="2409">
        <f>6.8*G269</f>
        <v>0</v>
      </c>
      <c r="H284" s="2376">
        <v>103700</v>
      </c>
      <c r="I284" s="2381"/>
      <c r="J284" s="2376">
        <v>0</v>
      </c>
      <c r="K284" s="2376">
        <v>0</v>
      </c>
      <c r="L284" s="2382">
        <f t="shared" si="33"/>
        <v>0</v>
      </c>
      <c r="M284" s="2382">
        <f t="shared" si="34"/>
        <v>0</v>
      </c>
      <c r="N284" s="2382">
        <f t="shared" si="35"/>
        <v>0</v>
      </c>
      <c r="O284" s="2381">
        <f t="shared" si="36"/>
        <v>0</v>
      </c>
      <c r="P284" s="2408"/>
    </row>
    <row r="285" spans="1:16" s="2358" customFormat="1" outlineLevel="1">
      <c r="A285" s="2361" t="str">
        <f t="shared" si="38"/>
        <v>Cổ dê kẹp ống PVC Ø 114</v>
      </c>
      <c r="B285" s="2386" t="s">
        <v>1866</v>
      </c>
      <c r="C285" s="2380"/>
      <c r="D285" s="2373">
        <v>0</v>
      </c>
      <c r="E285" s="2374" t="s">
        <v>5319</v>
      </c>
      <c r="F285" s="2373" t="s">
        <v>2445</v>
      </c>
      <c r="G285" s="2380">
        <f>4*G269</f>
        <v>0</v>
      </c>
      <c r="H285" s="2376">
        <v>50000</v>
      </c>
      <c r="I285" s="2381"/>
      <c r="J285" s="2376">
        <v>0</v>
      </c>
      <c r="K285" s="2376">
        <v>0</v>
      </c>
      <c r="L285" s="2382">
        <f t="shared" si="33"/>
        <v>0</v>
      </c>
      <c r="M285" s="2382">
        <f t="shared" si="34"/>
        <v>0</v>
      </c>
      <c r="N285" s="2382">
        <f t="shared" si="35"/>
        <v>0</v>
      </c>
      <c r="O285" s="2381">
        <f t="shared" si="36"/>
        <v>0</v>
      </c>
      <c r="P285" s="2408"/>
    </row>
    <row r="286" spans="1:16" s="2358" customFormat="1" outlineLevel="1">
      <c r="A286" s="2361" t="str">
        <f t="shared" si="38"/>
        <v>Co  90 độ PVC 114</v>
      </c>
      <c r="B286" s="2383" t="s">
        <v>2123</v>
      </c>
      <c r="C286" s="2380"/>
      <c r="D286" s="2373">
        <v>0</v>
      </c>
      <c r="E286" s="2374" t="s">
        <v>3567</v>
      </c>
      <c r="F286" s="2373" t="s">
        <v>2563</v>
      </c>
      <c r="G286" s="2380">
        <f>4*G269</f>
        <v>0</v>
      </c>
      <c r="H286" s="2376">
        <v>104800</v>
      </c>
      <c r="I286" s="2381"/>
      <c r="J286" s="2376">
        <v>0</v>
      </c>
      <c r="K286" s="2376">
        <v>0</v>
      </c>
      <c r="L286" s="2382">
        <f t="shared" si="33"/>
        <v>0</v>
      </c>
      <c r="M286" s="2382">
        <f t="shared" si="34"/>
        <v>0</v>
      </c>
      <c r="N286" s="2382">
        <f t="shared" si="35"/>
        <v>0</v>
      </c>
      <c r="O286" s="2381">
        <f t="shared" si="36"/>
        <v>0</v>
      </c>
      <c r="P286" s="2408"/>
    </row>
    <row r="287" spans="1:16" s="2358" customFormat="1" outlineLevel="1">
      <c r="A287" s="2361" t="str">
        <f t="shared" si="38"/>
        <v xml:space="preserve">Nối thẳng ống PVC 90 </v>
      </c>
      <c r="B287" s="2383" t="s">
        <v>725</v>
      </c>
      <c r="C287" s="2380"/>
      <c r="D287" s="2373">
        <v>0</v>
      </c>
      <c r="E287" s="2374" t="s">
        <v>3573</v>
      </c>
      <c r="F287" s="2373" t="s">
        <v>2563</v>
      </c>
      <c r="G287" s="2380"/>
      <c r="H287" s="2376">
        <v>12400</v>
      </c>
      <c r="I287" s="2381"/>
      <c r="J287" s="2376">
        <v>0</v>
      </c>
      <c r="K287" s="2376">
        <v>0</v>
      </c>
      <c r="L287" s="2382">
        <f t="shared" si="33"/>
        <v>0</v>
      </c>
      <c r="M287" s="2382">
        <f t="shared" si="34"/>
        <v>0</v>
      </c>
      <c r="N287" s="2382">
        <f t="shared" si="35"/>
        <v>0</v>
      </c>
      <c r="O287" s="2381">
        <f t="shared" si="36"/>
        <v>0</v>
      </c>
      <c r="P287" s="2408"/>
    </row>
    <row r="288" spans="1:16" s="2358" customFormat="1" outlineLevel="1">
      <c r="A288" s="2361" t="str">
        <f t="shared" si="38"/>
        <v>Keo dán ống PVC (100gr)</v>
      </c>
      <c r="B288" s="2383" t="s">
        <v>2080</v>
      </c>
      <c r="C288" s="2380"/>
      <c r="D288" s="2373">
        <v>0</v>
      </c>
      <c r="E288" s="2374" t="s">
        <v>3588</v>
      </c>
      <c r="F288" s="2373" t="s">
        <v>3589</v>
      </c>
      <c r="G288" s="2380">
        <f>G269*1</f>
        <v>0</v>
      </c>
      <c r="H288" s="2376">
        <v>11500</v>
      </c>
      <c r="I288" s="2381"/>
      <c r="J288" s="2376">
        <v>0</v>
      </c>
      <c r="K288" s="2376">
        <v>0</v>
      </c>
      <c r="L288" s="2382">
        <f t="shared" si="33"/>
        <v>0</v>
      </c>
      <c r="M288" s="2382">
        <f t="shared" si="34"/>
        <v>0</v>
      </c>
      <c r="N288" s="2382">
        <f t="shared" si="35"/>
        <v>0</v>
      </c>
      <c r="O288" s="2381">
        <f t="shared" si="36"/>
        <v>0</v>
      </c>
      <c r="P288" s="2408"/>
    </row>
    <row r="289" spans="1:16" s="2358" customFormat="1" outlineLevel="1">
      <c r="A289" s="2361" t="str">
        <f t="shared" si="38"/>
        <v>Keo silicon bít miệng ống</v>
      </c>
      <c r="B289" s="2383" t="s">
        <v>489</v>
      </c>
      <c r="C289" s="2380"/>
      <c r="D289" s="2373">
        <v>0</v>
      </c>
      <c r="E289" s="2374" t="s">
        <v>3585</v>
      </c>
      <c r="F289" s="2373" t="s">
        <v>5868</v>
      </c>
      <c r="G289" s="2380">
        <f>G269*4</f>
        <v>0</v>
      </c>
      <c r="H289" s="2376">
        <v>45000</v>
      </c>
      <c r="I289" s="2381"/>
      <c r="J289" s="2376">
        <v>0</v>
      </c>
      <c r="K289" s="2376">
        <v>0</v>
      </c>
      <c r="L289" s="2382">
        <f>H289*G289</f>
        <v>0</v>
      </c>
      <c r="M289" s="2382">
        <f>I289*G289</f>
        <v>0</v>
      </c>
      <c r="N289" s="2382">
        <f>J289*G289</f>
        <v>0</v>
      </c>
      <c r="O289" s="2381">
        <f>K289*G289</f>
        <v>0</v>
      </c>
      <c r="P289" s="2408"/>
    </row>
    <row r="290" spans="1:16" s="2358" customFormat="1" outlineLevel="1">
      <c r="A290" s="2361" t="str">
        <f t="shared" si="38"/>
        <v>Băng keo cách điện</v>
      </c>
      <c r="B290" s="2386" t="s">
        <v>672</v>
      </c>
      <c r="C290" s="2380"/>
      <c r="D290" s="2373">
        <v>0</v>
      </c>
      <c r="E290" s="2374" t="s">
        <v>5863</v>
      </c>
      <c r="F290" s="2373" t="s">
        <v>3584</v>
      </c>
      <c r="G290" s="2380"/>
      <c r="H290" s="2376">
        <v>6500</v>
      </c>
      <c r="I290" s="2381"/>
      <c r="J290" s="2376">
        <v>0</v>
      </c>
      <c r="K290" s="2376">
        <v>0</v>
      </c>
      <c r="L290" s="2382">
        <f t="shared" si="33"/>
        <v>0</v>
      </c>
      <c r="M290" s="2382">
        <f t="shared" si="34"/>
        <v>0</v>
      </c>
      <c r="N290" s="2382">
        <f t="shared" si="35"/>
        <v>0</v>
      </c>
      <c r="O290" s="2381">
        <f t="shared" si="36"/>
        <v>0</v>
      </c>
      <c r="P290" s="2408"/>
    </row>
    <row r="291" spans="1:16" s="2358" customFormat="1" outlineLevel="1">
      <c r="A291" s="2361" t="str">
        <f t="shared" si="38"/>
        <v>Lắp ống nhựa PVC D90</v>
      </c>
      <c r="B291" s="2383" t="s">
        <v>2188</v>
      </c>
      <c r="C291" s="2380"/>
      <c r="D291" s="2373" t="s">
        <v>5609</v>
      </c>
      <c r="E291" s="2374" t="s">
        <v>3270</v>
      </c>
      <c r="F291" s="2373" t="s">
        <v>2538</v>
      </c>
      <c r="G291" s="2380"/>
      <c r="H291" s="2376"/>
      <c r="I291" s="2381"/>
      <c r="J291" s="2376">
        <v>55493.02</v>
      </c>
      <c r="K291" s="2376">
        <v>0</v>
      </c>
      <c r="L291" s="2382">
        <f t="shared" si="33"/>
        <v>0</v>
      </c>
      <c r="M291" s="2382">
        <f t="shared" si="34"/>
        <v>0</v>
      </c>
      <c r="N291" s="2382">
        <f t="shared" si="35"/>
        <v>0</v>
      </c>
      <c r="O291" s="2381">
        <f t="shared" si="36"/>
        <v>0</v>
      </c>
      <c r="P291" s="2408"/>
    </row>
    <row r="292" spans="1:16" s="2358" customFormat="1" outlineLevel="1">
      <c r="A292" s="2361" t="str">
        <f t="shared" si="38"/>
        <v>Lắp cáp đồng xuống thiết bị D ≤ 95mm2</v>
      </c>
      <c r="B292" s="2386" t="s">
        <v>1528</v>
      </c>
      <c r="C292" s="2380"/>
      <c r="D292" s="2373" t="s">
        <v>5633</v>
      </c>
      <c r="E292" s="2374" t="s">
        <v>3310</v>
      </c>
      <c r="F292" s="2373" t="s">
        <v>1827</v>
      </c>
      <c r="G292" s="2380">
        <f>G271+G272+G274</f>
        <v>0</v>
      </c>
      <c r="H292" s="2376"/>
      <c r="I292" s="2381"/>
      <c r="J292" s="2376">
        <v>13915</v>
      </c>
      <c r="K292" s="2376">
        <v>0</v>
      </c>
      <c r="L292" s="2382">
        <f>H292*G292</f>
        <v>0</v>
      </c>
      <c r="M292" s="2382">
        <f>I292*G292</f>
        <v>0</v>
      </c>
      <c r="N292" s="2382">
        <f>J292*G292</f>
        <v>0</v>
      </c>
      <c r="O292" s="2381">
        <f>K292*G292</f>
        <v>0</v>
      </c>
      <c r="P292" s="2408"/>
    </row>
    <row r="293" spans="1:16" s="2358" customFormat="1" outlineLevel="1">
      <c r="A293" s="2361" t="str">
        <f t="shared" si="38"/>
        <v>Bảng tên trạm, bảng báo nguy hiểm + đinh vít</v>
      </c>
      <c r="B293" s="2383" t="s">
        <v>289</v>
      </c>
      <c r="C293" s="2413">
        <f>IF(G293&gt;0,C269+1,C269)</f>
        <v>0</v>
      </c>
      <c r="D293" s="2414"/>
      <c r="E293" s="2374" t="s">
        <v>5774</v>
      </c>
      <c r="F293" s="2373" t="s">
        <v>2563</v>
      </c>
      <c r="G293" s="2413">
        <f>G232</f>
        <v>0</v>
      </c>
      <c r="H293" s="2376">
        <v>300000</v>
      </c>
      <c r="I293" s="2416"/>
      <c r="J293" s="2376"/>
      <c r="K293" s="2376">
        <v>0</v>
      </c>
      <c r="L293" s="2415">
        <f>H293*G293</f>
        <v>0</v>
      </c>
      <c r="M293" s="2415">
        <f>I293*G293</f>
        <v>0</v>
      </c>
      <c r="N293" s="2415">
        <f>J293*G293</f>
        <v>0</v>
      </c>
      <c r="O293" s="2416">
        <f>K293*G293</f>
        <v>0</v>
      </c>
      <c r="P293" s="2432"/>
    </row>
    <row r="294" spans="1:16" s="2358" customFormat="1" outlineLevel="1">
      <c r="A294" s="2361" t="e">
        <f t="shared" si="38"/>
        <v>#N/A</v>
      </c>
      <c r="B294" s="2383"/>
      <c r="C294" s="2418"/>
      <c r="D294" s="2419"/>
      <c r="E294" s="2392"/>
      <c r="F294" s="2875"/>
      <c r="G294" s="2875"/>
      <c r="H294" s="2875"/>
      <c r="I294" s="2875"/>
      <c r="J294" s="2911" t="s">
        <v>6205</v>
      </c>
      <c r="K294" s="2911"/>
      <c r="L294" s="2420">
        <f>SUM(L220:L293)</f>
        <v>0</v>
      </c>
      <c r="M294" s="2420">
        <f>SUM(M211:M293)</f>
        <v>0</v>
      </c>
      <c r="N294" s="2420">
        <f>SUM(N220:N293)</f>
        <v>0</v>
      </c>
      <c r="O294" s="2420">
        <f>SUM(O220:O293)</f>
        <v>0</v>
      </c>
      <c r="P294" s="2423"/>
    </row>
    <row r="295" spans="1:16" s="2358" customFormat="1" ht="13.8" customHeight="1">
      <c r="A295" s="2402" t="str">
        <f>IF(G300&lt;&gt;0,1,"")</f>
        <v/>
      </c>
      <c r="B295" s="2384"/>
      <c r="C295" s="2876"/>
      <c r="D295" s="2402"/>
    </row>
    <row r="296" spans="1:16" s="2358" customFormat="1" outlineLevel="1">
      <c r="A296" s="2361" t="e">
        <f t="shared" ref="A296:A327" si="39">VLOOKUP(B296,DonGia,3,0)</f>
        <v>#N/A</v>
      </c>
      <c r="B296" s="2384"/>
      <c r="C296" s="2397" t="str">
        <f>"BẢNG TỔNG HỢP VẬT LIỆU, NHÂN CÔNG, MÁY THI CÔNG: "&amp;H9&amp;" TRẠM 1P50KVA"</f>
        <v>BẢNG TỔNG HỢP VẬT LIỆU, NHÂN CÔNG, MÁY THI CÔNG: 0 TRẠM 1P50KVA</v>
      </c>
      <c r="D296" s="2878"/>
      <c r="E296" s="2397"/>
      <c r="F296" s="2397"/>
      <c r="G296" s="2397"/>
      <c r="H296" s="2397"/>
      <c r="I296" s="2397"/>
      <c r="J296" s="2397"/>
      <c r="K296" s="2397"/>
      <c r="L296" s="2397"/>
      <c r="M296" s="2397"/>
      <c r="N296" s="2397"/>
      <c r="O296" s="2397"/>
      <c r="P296" s="2402"/>
    </row>
    <row r="297" spans="1:16" s="2358" customFormat="1" outlineLevel="1">
      <c r="A297" s="2361" t="e">
        <f t="shared" si="39"/>
        <v>#N/A</v>
      </c>
      <c r="B297" s="2383" t="s">
        <v>6186</v>
      </c>
      <c r="C297" s="2901" t="s">
        <v>1712</v>
      </c>
      <c r="D297" s="2902" t="s">
        <v>2605</v>
      </c>
      <c r="E297" s="2904" t="s">
        <v>2606</v>
      </c>
      <c r="F297" s="2901" t="s">
        <v>2601</v>
      </c>
      <c r="G297" s="2362" t="s">
        <v>6187</v>
      </c>
      <c r="H297" s="2365" t="s">
        <v>6188</v>
      </c>
      <c r="I297" s="2872"/>
      <c r="J297" s="2872"/>
      <c r="K297" s="2873"/>
      <c r="L297" s="2365" t="s">
        <v>6189</v>
      </c>
      <c r="M297" s="2872"/>
      <c r="N297" s="2872"/>
      <c r="O297" s="2873"/>
      <c r="P297" s="2901" t="s">
        <v>2607</v>
      </c>
    </row>
    <row r="298" spans="1:16" s="2358" customFormat="1" outlineLevel="1">
      <c r="A298" s="2361" t="e">
        <f t="shared" si="39"/>
        <v>#N/A</v>
      </c>
      <c r="B298" s="2383"/>
      <c r="C298" s="2901"/>
      <c r="D298" s="2903"/>
      <c r="E298" s="2905"/>
      <c r="F298" s="2901"/>
      <c r="G298" s="2364" t="s">
        <v>2292</v>
      </c>
      <c r="H298" s="2365" t="s">
        <v>6190</v>
      </c>
      <c r="I298" s="2365" t="s">
        <v>6191</v>
      </c>
      <c r="J298" s="2365" t="s">
        <v>6192</v>
      </c>
      <c r="K298" s="2365" t="s">
        <v>6193</v>
      </c>
      <c r="L298" s="2365" t="s">
        <v>6190</v>
      </c>
      <c r="M298" s="2365" t="s">
        <v>6191</v>
      </c>
      <c r="N298" s="2365" t="s">
        <v>6192</v>
      </c>
      <c r="O298" s="2365" t="s">
        <v>6193</v>
      </c>
      <c r="P298" s="2901"/>
    </row>
    <row r="299" spans="1:16" s="2358" customFormat="1" outlineLevel="1">
      <c r="A299" s="2361" t="e">
        <f t="shared" si="39"/>
        <v>#N/A</v>
      </c>
      <c r="B299" s="2383"/>
      <c r="C299" s="2366"/>
      <c r="D299" s="2367"/>
      <c r="E299" s="2368" t="s">
        <v>3690</v>
      </c>
      <c r="F299" s="2369"/>
      <c r="G299" s="2369"/>
      <c r="H299" s="2369"/>
      <c r="I299" s="2369"/>
      <c r="J299" s="2369"/>
      <c r="K299" s="2369"/>
      <c r="L299" s="2369"/>
      <c r="M299" s="2369"/>
      <c r="N299" s="2369"/>
      <c r="O299" s="2367"/>
      <c r="P299" s="2370"/>
    </row>
    <row r="300" spans="1:16" s="2358" customFormat="1" outlineLevel="1">
      <c r="A300" s="2361" t="str">
        <f t="shared" si="39"/>
        <v>Máy biến áp 12,7/0,23-0,46kV 50kVA</v>
      </c>
      <c r="B300" s="2371" t="str">
        <f>IF($F$8=22,"TR501","TR50")</f>
        <v>TR501</v>
      </c>
      <c r="C300" s="2372">
        <f>IF(G300&gt;0,1,0)</f>
        <v>0</v>
      </c>
      <c r="D300" s="2373" t="s">
        <v>5646</v>
      </c>
      <c r="E300" s="2374" t="s">
        <v>5649</v>
      </c>
      <c r="F300" s="2373" t="s">
        <v>3318</v>
      </c>
      <c r="G300" s="2421">
        <f>H9</f>
        <v>0</v>
      </c>
      <c r="H300" s="2376">
        <v>44055000</v>
      </c>
      <c r="I300" s="2376"/>
      <c r="J300" s="2376">
        <v>630187</v>
      </c>
      <c r="K300" s="2376">
        <v>284508</v>
      </c>
      <c r="L300" s="2382">
        <f t="shared" ref="L300:L308" si="40">H300*G300</f>
        <v>0</v>
      </c>
      <c r="M300" s="2382">
        <f t="shared" ref="M300:M305" si="41">I300*G300</f>
        <v>0</v>
      </c>
      <c r="N300" s="2382">
        <f t="shared" ref="N300:N305" si="42">J300*G300</f>
        <v>0</v>
      </c>
      <c r="O300" s="2381">
        <f t="shared" ref="O300:O305" si="43">K300*G300</f>
        <v>0</v>
      </c>
      <c r="P300" s="2408"/>
    </row>
    <row r="301" spans="1:16" s="2358" customFormat="1" outlineLevel="1">
      <c r="A301" s="2361" t="str">
        <f t="shared" si="39"/>
        <v>FCO 27kV - 100A</v>
      </c>
      <c r="B301" s="2371" t="str">
        <f>"FCO100-"&amp;$F$8</f>
        <v>FCO100-22</v>
      </c>
      <c r="C301" s="2372">
        <f t="shared" ref="C301:C308" si="44">IF(G301&gt;0,C300+1,C300)</f>
        <v>0</v>
      </c>
      <c r="D301" s="2373" t="s">
        <v>5660</v>
      </c>
      <c r="E301" s="2374" t="s">
        <v>95</v>
      </c>
      <c r="F301" s="2373" t="s">
        <v>2563</v>
      </c>
      <c r="G301" s="2380">
        <f>+G300</f>
        <v>0</v>
      </c>
      <c r="H301" s="2376">
        <v>2244280</v>
      </c>
      <c r="I301" s="2376"/>
      <c r="J301" s="2376">
        <v>222639.99999999997</v>
      </c>
      <c r="K301" s="2376">
        <v>0</v>
      </c>
      <c r="L301" s="2382">
        <f t="shared" si="40"/>
        <v>0</v>
      </c>
      <c r="M301" s="2382">
        <f t="shared" si="41"/>
        <v>0</v>
      </c>
      <c r="N301" s="2382">
        <f t="shared" si="42"/>
        <v>0</v>
      </c>
      <c r="O301" s="2381">
        <f t="shared" si="43"/>
        <v>0</v>
      </c>
      <c r="P301" s="2408"/>
    </row>
    <row r="302" spans="1:16" s="2358" customFormat="1" outlineLevel="1">
      <c r="A302" s="2361" t="str">
        <f t="shared" si="39"/>
        <v>Dây chảy 6K</v>
      </c>
      <c r="B302" s="2371" t="str">
        <f>IF($F$8=22,"CHI6K","CHI10K")</f>
        <v>CHI6K</v>
      </c>
      <c r="C302" s="2372">
        <f t="shared" si="44"/>
        <v>0</v>
      </c>
      <c r="D302" s="2373">
        <v>0</v>
      </c>
      <c r="E302" s="2374" t="s">
        <v>3441</v>
      </c>
      <c r="F302" s="2373" t="s">
        <v>2608</v>
      </c>
      <c r="G302" s="2380">
        <f>G301</f>
        <v>0</v>
      </c>
      <c r="H302" s="2376">
        <v>84000</v>
      </c>
      <c r="I302" s="2376"/>
      <c r="J302" s="2376">
        <v>0</v>
      </c>
      <c r="K302" s="2376">
        <v>0</v>
      </c>
      <c r="L302" s="2382">
        <f t="shared" si="40"/>
        <v>0</v>
      </c>
      <c r="M302" s="2382">
        <f t="shared" si="41"/>
        <v>0</v>
      </c>
      <c r="N302" s="2382">
        <f t="shared" si="42"/>
        <v>0</v>
      </c>
      <c r="O302" s="2381">
        <f t="shared" si="43"/>
        <v>0</v>
      </c>
      <c r="P302" s="2408"/>
    </row>
    <row r="303" spans="1:16" s="2358" customFormat="1" outlineLevel="1">
      <c r="A303" s="2361" t="str">
        <f t="shared" si="39"/>
        <v>Chống sét van LA-18KV-10KA</v>
      </c>
      <c r="B303" s="2384" t="str">
        <f>"LA"&amp;$F$6</f>
        <v>LA18</v>
      </c>
      <c r="C303" s="2372">
        <f t="shared" si="44"/>
        <v>0</v>
      </c>
      <c r="D303" s="2373" t="s">
        <v>5664</v>
      </c>
      <c r="E303" s="2374" t="s">
        <v>1193</v>
      </c>
      <c r="F303" s="2373" t="s">
        <v>2563</v>
      </c>
      <c r="G303" s="2380">
        <f>G301</f>
        <v>0</v>
      </c>
      <c r="H303" s="2376">
        <v>1106000</v>
      </c>
      <c r="I303" s="2376"/>
      <c r="J303" s="2376">
        <v>83490</v>
      </c>
      <c r="K303" s="2376">
        <v>0</v>
      </c>
      <c r="L303" s="2382">
        <f t="shared" si="40"/>
        <v>0</v>
      </c>
      <c r="M303" s="2382">
        <f t="shared" si="41"/>
        <v>0</v>
      </c>
      <c r="N303" s="2382">
        <f t="shared" si="42"/>
        <v>0</v>
      </c>
      <c r="O303" s="2381">
        <f t="shared" si="43"/>
        <v>0</v>
      </c>
      <c r="P303" s="2408"/>
    </row>
    <row r="304" spans="1:16" s="2358" customFormat="1" outlineLevel="1">
      <c r="A304" s="2361" t="str">
        <f t="shared" si="39"/>
        <v xml:space="preserve">MCCB 3 cực 600V -250A - 36KA </v>
      </c>
      <c r="B304" s="2385" t="s">
        <v>1563</v>
      </c>
      <c r="C304" s="2372">
        <f t="shared" si="44"/>
        <v>0</v>
      </c>
      <c r="D304" s="2373">
        <v>0</v>
      </c>
      <c r="E304" s="2374" t="s">
        <v>5744</v>
      </c>
      <c r="F304" s="2373" t="s">
        <v>2563</v>
      </c>
      <c r="G304" s="2380">
        <f>G300</f>
        <v>0</v>
      </c>
      <c r="H304" s="2376">
        <v>4990000</v>
      </c>
      <c r="I304" s="2376"/>
      <c r="J304" s="2376">
        <v>0</v>
      </c>
      <c r="K304" s="2376">
        <v>0</v>
      </c>
      <c r="L304" s="2382">
        <f t="shared" si="40"/>
        <v>0</v>
      </c>
      <c r="M304" s="2382">
        <f t="shared" si="41"/>
        <v>0</v>
      </c>
      <c r="N304" s="2382">
        <f t="shared" si="42"/>
        <v>0</v>
      </c>
      <c r="O304" s="2381">
        <f t="shared" si="43"/>
        <v>0</v>
      </c>
      <c r="P304" s="2408"/>
    </row>
    <row r="305" spans="1:18" s="2358" customFormat="1" outlineLevel="1">
      <c r="A305" s="2361" t="str">
        <f t="shared" si="39"/>
        <v xml:space="preserve">Biến dòng 600V - 200/5A </v>
      </c>
      <c r="B305" s="2412" t="s">
        <v>1116</v>
      </c>
      <c r="C305" s="2372">
        <f t="shared" si="44"/>
        <v>0</v>
      </c>
      <c r="D305" s="2373">
        <v>0</v>
      </c>
      <c r="E305" s="2374" t="s">
        <v>3377</v>
      </c>
      <c r="F305" s="2373" t="s">
        <v>2563</v>
      </c>
      <c r="G305" s="2380">
        <v>0</v>
      </c>
      <c r="H305" s="2376">
        <v>0</v>
      </c>
      <c r="I305" s="2376"/>
      <c r="J305" s="2376">
        <v>0</v>
      </c>
      <c r="K305" s="2376">
        <v>0</v>
      </c>
      <c r="L305" s="2382">
        <f t="shared" si="40"/>
        <v>0</v>
      </c>
      <c r="M305" s="2382">
        <f t="shared" si="41"/>
        <v>0</v>
      </c>
      <c r="N305" s="2382">
        <f t="shared" si="42"/>
        <v>0</v>
      </c>
      <c r="O305" s="2381">
        <f t="shared" si="43"/>
        <v>0</v>
      </c>
      <c r="P305" s="2380" t="s">
        <v>2609</v>
      </c>
    </row>
    <row r="306" spans="1:18" s="2358" customFormat="1" outlineLevel="1">
      <c r="A306" s="2361" t="str">
        <f t="shared" si="39"/>
        <v>Điện kế 1 pha 2 dây 220V-5A</v>
      </c>
      <c r="B306" s="2386" t="s">
        <v>287</v>
      </c>
      <c r="C306" s="2372">
        <f t="shared" si="44"/>
        <v>0</v>
      </c>
      <c r="D306" s="2373">
        <v>0</v>
      </c>
      <c r="E306" s="2374" t="s">
        <v>3457</v>
      </c>
      <c r="F306" s="2373" t="s">
        <v>2563</v>
      </c>
      <c r="G306" s="2380">
        <f>G305</f>
        <v>0</v>
      </c>
      <c r="H306" s="2376">
        <v>0</v>
      </c>
      <c r="I306" s="2376"/>
      <c r="J306" s="2376">
        <v>0</v>
      </c>
      <c r="K306" s="2376">
        <v>0</v>
      </c>
      <c r="L306" s="2382">
        <f t="shared" si="40"/>
        <v>0</v>
      </c>
      <c r="M306" s="2382">
        <f>I306*G306</f>
        <v>0</v>
      </c>
      <c r="N306" s="2382">
        <f>J306*G306</f>
        <v>0</v>
      </c>
      <c r="O306" s="2381">
        <f>K306*G306</f>
        <v>0</v>
      </c>
      <c r="P306" s="2380" t="s">
        <v>2609</v>
      </c>
    </row>
    <row r="307" spans="1:18" s="2358" customFormat="1" outlineLevel="1">
      <c r="A307" s="2361" t="str">
        <f t="shared" si="39"/>
        <v xml:space="preserve">Ampe kế 100/5A-600v +AS </v>
      </c>
      <c r="B307" s="2383" t="s">
        <v>199</v>
      </c>
      <c r="C307" s="2372">
        <f t="shared" si="44"/>
        <v>0</v>
      </c>
      <c r="D307" s="2373">
        <v>0</v>
      </c>
      <c r="E307" s="2374" t="s">
        <v>3613</v>
      </c>
      <c r="F307" s="2373" t="s">
        <v>2391</v>
      </c>
      <c r="G307" s="2380">
        <f>G306*0</f>
        <v>0</v>
      </c>
      <c r="H307" s="2376"/>
      <c r="I307" s="2376"/>
      <c r="J307" s="2376">
        <v>0</v>
      </c>
      <c r="K307" s="2376">
        <v>0</v>
      </c>
      <c r="L307" s="2382">
        <f t="shared" si="40"/>
        <v>0</v>
      </c>
      <c r="M307" s="2382">
        <f>I307*G307</f>
        <v>0</v>
      </c>
      <c r="N307" s="2382">
        <f>J307*G307</f>
        <v>0</v>
      </c>
      <c r="O307" s="2381">
        <f>K307*G307</f>
        <v>0</v>
      </c>
      <c r="P307" s="2408"/>
    </row>
    <row r="308" spans="1:18" s="2358" customFormat="1" outlineLevel="1">
      <c r="A308" s="2361" t="str">
        <f t="shared" si="39"/>
        <v>Volt kế 500V + VS + 2xChì ống 1A-230V</v>
      </c>
      <c r="B308" s="2383" t="s">
        <v>200</v>
      </c>
      <c r="C308" s="2372">
        <f t="shared" si="44"/>
        <v>0</v>
      </c>
      <c r="D308" s="2373">
        <v>0</v>
      </c>
      <c r="E308" s="2374" t="s">
        <v>3614</v>
      </c>
      <c r="F308" s="2373" t="s">
        <v>2391</v>
      </c>
      <c r="G308" s="2380">
        <f>G307</f>
        <v>0</v>
      </c>
      <c r="H308" s="2376"/>
      <c r="I308" s="2376"/>
      <c r="J308" s="2376">
        <v>0</v>
      </c>
      <c r="K308" s="2376">
        <v>0</v>
      </c>
      <c r="L308" s="2382">
        <f t="shared" si="40"/>
        <v>0</v>
      </c>
      <c r="M308" s="2382">
        <f>I308*G308</f>
        <v>0</v>
      </c>
      <c r="N308" s="2382">
        <f>J308*G308</f>
        <v>0</v>
      </c>
      <c r="O308" s="2381">
        <f>K308*G308</f>
        <v>0</v>
      </c>
      <c r="P308" s="2432"/>
    </row>
    <row r="309" spans="1:18" s="2358" customFormat="1" outlineLevel="1">
      <c r="A309" s="2361" t="e">
        <f t="shared" si="39"/>
        <v>#N/A</v>
      </c>
      <c r="B309" s="2383"/>
      <c r="C309" s="2388"/>
      <c r="D309" s="2389"/>
      <c r="E309" s="2370"/>
      <c r="F309" s="2388"/>
      <c r="G309" s="2388"/>
      <c r="H309" s="2388"/>
      <c r="I309" s="2388"/>
      <c r="J309" s="2370" t="s">
        <v>6195</v>
      </c>
      <c r="K309" s="2388"/>
      <c r="L309" s="2370">
        <f>SUM(L300:L308)</f>
        <v>0</v>
      </c>
      <c r="M309" s="2370"/>
      <c r="N309" s="2370">
        <f>SUM(N300:N308)</f>
        <v>0</v>
      </c>
      <c r="O309" s="2370">
        <f>SUM(O300:O308)</f>
        <v>0</v>
      </c>
      <c r="P309" s="2423"/>
    </row>
    <row r="310" spans="1:18" s="2358" customFormat="1" outlineLevel="1">
      <c r="A310" s="2361" t="e">
        <f t="shared" si="39"/>
        <v>#N/A</v>
      </c>
      <c r="B310" s="2383"/>
      <c r="C310" s="2390"/>
      <c r="D310" s="2391"/>
      <c r="E310" s="2392" t="s">
        <v>3691</v>
      </c>
      <c r="F310" s="2392"/>
      <c r="G310" s="2392"/>
      <c r="H310" s="2392"/>
      <c r="I310" s="2392"/>
      <c r="J310" s="2392"/>
      <c r="K310" s="2392"/>
      <c r="L310" s="2392"/>
      <c r="M310" s="2392"/>
      <c r="N310" s="2392"/>
      <c r="O310" s="2391"/>
      <c r="P310" s="2423"/>
    </row>
    <row r="311" spans="1:18" s="2358" customFormat="1" outlineLevel="1">
      <c r="A311" s="2361" t="str">
        <f t="shared" si="39"/>
        <v>Boulon 16x300+ 2 long đền vuông D18-50x50x3/Zn</v>
      </c>
      <c r="B311" s="2383" t="s">
        <v>1613</v>
      </c>
      <c r="C311" s="2393">
        <f>IF(G323&gt;0,1,0)</f>
        <v>0</v>
      </c>
      <c r="D311" s="2399"/>
      <c r="E311" s="2374" t="s">
        <v>2657</v>
      </c>
      <c r="F311" s="2373" t="s">
        <v>2445</v>
      </c>
      <c r="G311" s="2395">
        <f>2*SUM(G300:G300)</f>
        <v>0</v>
      </c>
      <c r="H311" s="2376">
        <v>25400</v>
      </c>
      <c r="I311" s="2381"/>
      <c r="J311" s="2376">
        <v>0</v>
      </c>
      <c r="K311" s="2376">
        <v>0</v>
      </c>
      <c r="L311" s="2382">
        <f t="shared" ref="L311:L374" si="45">H311*G311</f>
        <v>0</v>
      </c>
      <c r="M311" s="2382">
        <f t="shared" ref="M311:M374" si="46">I311*G311</f>
        <v>0</v>
      </c>
      <c r="N311" s="2382">
        <f t="shared" ref="N311:N374" si="47">J311*G311</f>
        <v>0</v>
      </c>
      <c r="O311" s="2381">
        <f t="shared" ref="O311:O374" si="48">K311*G311</f>
        <v>0</v>
      </c>
      <c r="P311" s="2422"/>
    </row>
    <row r="312" spans="1:18" s="2358" customFormat="1" outlineLevel="1">
      <c r="A312" s="2361" t="e">
        <f t="shared" si="39"/>
        <v>#N/A</v>
      </c>
      <c r="B312" s="2383"/>
      <c r="C312" s="2398">
        <f>IF(G312&gt;0,C311+1,C311)</f>
        <v>0</v>
      </c>
      <c r="D312" s="2399"/>
      <c r="E312" s="2400" t="s">
        <v>6212</v>
      </c>
      <c r="F312" s="2395" t="s">
        <v>2391</v>
      </c>
      <c r="G312" s="2395">
        <f>G300*0</f>
        <v>0</v>
      </c>
      <c r="H312" s="2381"/>
      <c r="I312" s="2381"/>
      <c r="J312" s="2381"/>
      <c r="K312" s="2381"/>
      <c r="L312" s="2382">
        <f t="shared" si="45"/>
        <v>0</v>
      </c>
      <c r="M312" s="2382">
        <f t="shared" si="46"/>
        <v>0</v>
      </c>
      <c r="N312" s="2382">
        <f t="shared" si="47"/>
        <v>0</v>
      </c>
      <c r="O312" s="2381">
        <f t="shared" si="48"/>
        <v>0</v>
      </c>
      <c r="P312" s="2380"/>
    </row>
    <row r="313" spans="1:18" s="2358" customFormat="1" ht="14.4" outlineLevel="1">
      <c r="A313" s="2361" t="e">
        <f t="shared" si="39"/>
        <v>#N/A</v>
      </c>
      <c r="B313" s="2383"/>
      <c r="C313" s="2395"/>
      <c r="D313" s="2399"/>
      <c r="E313" s="2401" t="s">
        <v>6207</v>
      </c>
      <c r="F313" s="2380"/>
      <c r="G313" s="2380"/>
      <c r="H313" s="2381"/>
      <c r="I313" s="2381"/>
      <c r="J313" s="2381"/>
      <c r="K313" s="2381"/>
      <c r="L313" s="2382">
        <f t="shared" si="45"/>
        <v>0</v>
      </c>
      <c r="M313" s="2382">
        <f t="shared" si="46"/>
        <v>0</v>
      </c>
      <c r="N313" s="2382">
        <f t="shared" si="47"/>
        <v>0</v>
      </c>
      <c r="O313" s="2381">
        <f t="shared" si="48"/>
        <v>0</v>
      </c>
      <c r="P313" s="2380"/>
      <c r="R313" s="2402"/>
    </row>
    <row r="314" spans="1:18" s="2358" customFormat="1" outlineLevel="1">
      <c r="A314" s="2361" t="str">
        <f t="shared" si="39"/>
        <v>Trụ BTLT 12m F350 dự ứng lực</v>
      </c>
      <c r="B314" s="2386" t="s">
        <v>115</v>
      </c>
      <c r="C314" s="2380"/>
      <c r="D314" s="2373">
        <v>0</v>
      </c>
      <c r="E314" s="2374" t="s">
        <v>3009</v>
      </c>
      <c r="F314" s="2373" t="s">
        <v>2839</v>
      </c>
      <c r="G314" s="2380">
        <f>1*G312</f>
        <v>0</v>
      </c>
      <c r="H314" s="2376">
        <v>4400000</v>
      </c>
      <c r="I314" s="2376"/>
      <c r="J314" s="2376">
        <v>0</v>
      </c>
      <c r="K314" s="2376">
        <v>0</v>
      </c>
      <c r="L314" s="2382">
        <f t="shared" si="45"/>
        <v>0</v>
      </c>
      <c r="M314" s="2382">
        <f t="shared" si="46"/>
        <v>0</v>
      </c>
      <c r="N314" s="2382">
        <f t="shared" si="47"/>
        <v>0</v>
      </c>
      <c r="O314" s="2381">
        <f t="shared" si="48"/>
        <v>0</v>
      </c>
      <c r="P314" s="2380"/>
      <c r="R314" s="2402"/>
    </row>
    <row r="315" spans="1:18" s="2358" customFormat="1" outlineLevel="1">
      <c r="A315" s="2361" t="str">
        <f t="shared" si="39"/>
        <v>Vật liệu dựng trụ</v>
      </c>
      <c r="B315" s="2386" t="s">
        <v>1818</v>
      </c>
      <c r="C315" s="2380"/>
      <c r="D315" s="2403"/>
      <c r="E315" s="2374" t="s">
        <v>2838</v>
      </c>
      <c r="F315" s="2373" t="s">
        <v>2839</v>
      </c>
      <c r="G315" s="2380">
        <f>G314</f>
        <v>0</v>
      </c>
      <c r="H315" s="2376">
        <v>17400</v>
      </c>
      <c r="I315" s="2376"/>
      <c r="J315" s="2376">
        <v>0</v>
      </c>
      <c r="K315" s="2376">
        <v>0</v>
      </c>
      <c r="L315" s="2382">
        <f t="shared" si="45"/>
        <v>0</v>
      </c>
      <c r="M315" s="2382">
        <f t="shared" si="46"/>
        <v>0</v>
      </c>
      <c r="N315" s="2382">
        <f t="shared" si="47"/>
        <v>0</v>
      </c>
      <c r="O315" s="2381">
        <f t="shared" si="48"/>
        <v>0</v>
      </c>
      <c r="P315" s="2380"/>
      <c r="R315" s="2402"/>
    </row>
    <row r="316" spans="1:18" s="2358" customFormat="1" outlineLevel="1">
      <c r="A316" s="2361" t="str">
        <f t="shared" si="39"/>
        <v>Dựng trụ BTLT 12m trong TBA bằng thủ công + cơ giới</v>
      </c>
      <c r="B316" s="2386" t="s">
        <v>2132</v>
      </c>
      <c r="C316" s="2380"/>
      <c r="D316" s="2403"/>
      <c r="E316" s="2374" t="s">
        <v>3185</v>
      </c>
      <c r="F316" s="2373" t="s">
        <v>2839</v>
      </c>
      <c r="G316" s="2380">
        <f>G314</f>
        <v>0</v>
      </c>
      <c r="H316" s="2376">
        <v>0</v>
      </c>
      <c r="I316" s="2376"/>
      <c r="J316" s="2376">
        <v>112286</v>
      </c>
      <c r="K316" s="2376">
        <v>105970</v>
      </c>
      <c r="L316" s="2382">
        <f t="shared" si="45"/>
        <v>0</v>
      </c>
      <c r="M316" s="2382">
        <f t="shared" si="46"/>
        <v>0</v>
      </c>
      <c r="N316" s="2382">
        <f t="shared" si="47"/>
        <v>0</v>
      </c>
      <c r="O316" s="2381">
        <f t="shared" si="48"/>
        <v>0</v>
      </c>
      <c r="P316" s="2380"/>
      <c r="R316" s="2402"/>
    </row>
    <row r="317" spans="1:18" s="2358" customFormat="1" outlineLevel="1">
      <c r="A317" s="2361" t="e">
        <f t="shared" si="39"/>
        <v>#N/A</v>
      </c>
      <c r="B317" s="2383"/>
      <c r="C317" s="2398">
        <f>IF(G317&gt;0,C312+1,C312)</f>
        <v>0</v>
      </c>
      <c r="D317" s="2399"/>
      <c r="E317" s="2400" t="s">
        <v>2358</v>
      </c>
      <c r="F317" s="2395" t="s">
        <v>2391</v>
      </c>
      <c r="G317" s="2395">
        <f>G312</f>
        <v>0</v>
      </c>
      <c r="H317" s="2381"/>
      <c r="I317" s="2381"/>
      <c r="J317" s="2381"/>
      <c r="K317" s="2381"/>
      <c r="L317" s="2382">
        <f t="shared" si="45"/>
        <v>0</v>
      </c>
      <c r="M317" s="2382">
        <f t="shared" si="46"/>
        <v>0</v>
      </c>
      <c r="N317" s="2382">
        <f t="shared" si="47"/>
        <v>0</v>
      </c>
      <c r="O317" s="2381">
        <f t="shared" si="48"/>
        <v>0</v>
      </c>
      <c r="P317" s="2380"/>
    </row>
    <row r="318" spans="1:18" s="2358" customFormat="1" ht="14.4" outlineLevel="1">
      <c r="A318" s="2361" t="e">
        <f t="shared" si="39"/>
        <v>#N/A</v>
      </c>
      <c r="B318" s="2383"/>
      <c r="C318" s="2395"/>
      <c r="D318" s="2399"/>
      <c r="E318" s="2401" t="s">
        <v>6207</v>
      </c>
      <c r="F318" s="2380"/>
      <c r="G318" s="2380"/>
      <c r="H318" s="2381"/>
      <c r="I318" s="2381"/>
      <c r="J318" s="2381"/>
      <c r="K318" s="2381"/>
      <c r="L318" s="2382">
        <f t="shared" si="45"/>
        <v>0</v>
      </c>
      <c r="M318" s="2382">
        <f t="shared" si="46"/>
        <v>0</v>
      </c>
      <c r="N318" s="2382">
        <f t="shared" si="47"/>
        <v>0</v>
      </c>
      <c r="O318" s="2381">
        <f t="shared" si="48"/>
        <v>0</v>
      </c>
      <c r="P318" s="2380"/>
      <c r="R318" s="2402"/>
    </row>
    <row r="319" spans="1:18" s="2358" customFormat="1" outlineLevel="1">
      <c r="A319" s="2361" t="str">
        <f t="shared" si="39"/>
        <v>Đà cản BTCT 1,2m</v>
      </c>
      <c r="B319" s="2386" t="s">
        <v>636</v>
      </c>
      <c r="C319" s="2380"/>
      <c r="D319" s="2373" t="s">
        <v>5099</v>
      </c>
      <c r="E319" s="2374" t="s">
        <v>2615</v>
      </c>
      <c r="F319" s="2373" t="s">
        <v>2563</v>
      </c>
      <c r="G319" s="2380">
        <f>1*G317</f>
        <v>0</v>
      </c>
      <c r="H319" s="2376">
        <v>354545</v>
      </c>
      <c r="I319" s="2376"/>
      <c r="J319" s="2376">
        <v>37220.25</v>
      </c>
      <c r="K319" s="2376">
        <v>0</v>
      </c>
      <c r="L319" s="2382">
        <f t="shared" si="45"/>
        <v>0</v>
      </c>
      <c r="M319" s="2382">
        <f t="shared" si="46"/>
        <v>0</v>
      </c>
      <c r="N319" s="2382">
        <f t="shared" si="47"/>
        <v>0</v>
      </c>
      <c r="O319" s="2381">
        <f t="shared" si="48"/>
        <v>0</v>
      </c>
      <c r="P319" s="2380"/>
      <c r="R319" s="2402"/>
    </row>
    <row r="320" spans="1:18" s="2358" customFormat="1" outlineLevel="1">
      <c r="A320" s="2361" t="str">
        <f t="shared" si="39"/>
        <v>Boulon 22x650+ 2 long đền vuông D24-50x50x3/Zn</v>
      </c>
      <c r="B320" s="2386" t="s">
        <v>566</v>
      </c>
      <c r="C320" s="2380"/>
      <c r="D320" s="2373">
        <v>0</v>
      </c>
      <c r="E320" s="2374" t="s">
        <v>5124</v>
      </c>
      <c r="F320" s="2373" t="s">
        <v>2445</v>
      </c>
      <c r="G320" s="2380">
        <f>G317</f>
        <v>0</v>
      </c>
      <c r="H320" s="2376">
        <v>92200</v>
      </c>
      <c r="I320" s="2376"/>
      <c r="J320" s="2376">
        <v>0</v>
      </c>
      <c r="K320" s="2376">
        <v>0</v>
      </c>
      <c r="L320" s="2382">
        <f t="shared" si="45"/>
        <v>0</v>
      </c>
      <c r="M320" s="2382">
        <f t="shared" si="46"/>
        <v>0</v>
      </c>
      <c r="N320" s="2382">
        <f t="shared" si="47"/>
        <v>0</v>
      </c>
      <c r="O320" s="2381">
        <f t="shared" si="48"/>
        <v>0</v>
      </c>
      <c r="P320" s="2380"/>
      <c r="R320" s="2402"/>
    </row>
    <row r="321" spans="1:18" s="2358" customFormat="1" outlineLevel="1">
      <c r="A321" s="2361" t="str">
        <f t="shared" si="39"/>
        <v>Đào hố móng đất cấp 3 sâu &gt;1m</v>
      </c>
      <c r="B321" s="2386" t="s">
        <v>639</v>
      </c>
      <c r="C321" s="2380"/>
      <c r="D321" s="2373" t="s">
        <v>1751</v>
      </c>
      <c r="E321" s="2374" t="s">
        <v>5386</v>
      </c>
      <c r="F321" s="2373" t="s">
        <v>856</v>
      </c>
      <c r="G321" s="2404">
        <f>G317*1.45</f>
        <v>0</v>
      </c>
      <c r="H321" s="2376">
        <v>0</v>
      </c>
      <c r="I321" s="2376"/>
      <c r="J321" s="2376">
        <v>296500.89999999997</v>
      </c>
      <c r="K321" s="2376">
        <v>0</v>
      </c>
      <c r="L321" s="2382">
        <f t="shared" si="45"/>
        <v>0</v>
      </c>
      <c r="M321" s="2382">
        <f t="shared" si="46"/>
        <v>0</v>
      </c>
      <c r="N321" s="2382">
        <f t="shared" si="47"/>
        <v>0</v>
      </c>
      <c r="O321" s="2381">
        <f t="shared" si="48"/>
        <v>0</v>
      </c>
      <c r="P321" s="2380"/>
      <c r="R321" s="2402"/>
    </row>
    <row r="322" spans="1:18" s="2358" customFormat="1" outlineLevel="1">
      <c r="A322" s="2361" t="str">
        <f t="shared" si="39"/>
        <v>Đắp đất hố móng, độ chặt k=0,95</v>
      </c>
      <c r="B322" s="2386" t="s">
        <v>21</v>
      </c>
      <c r="C322" s="2380"/>
      <c r="D322" s="2373" t="s">
        <v>5387</v>
      </c>
      <c r="E322" s="2374" t="s">
        <v>5388</v>
      </c>
      <c r="F322" s="2373" t="s">
        <v>856</v>
      </c>
      <c r="G322" s="2404">
        <f>G317*1.37</f>
        <v>0</v>
      </c>
      <c r="H322" s="2376">
        <v>0</v>
      </c>
      <c r="I322" s="2376"/>
      <c r="J322" s="2376">
        <v>117703.6</v>
      </c>
      <c r="K322" s="2376">
        <v>0</v>
      </c>
      <c r="L322" s="2382">
        <f t="shared" si="45"/>
        <v>0</v>
      </c>
      <c r="M322" s="2382">
        <f t="shared" si="46"/>
        <v>0</v>
      </c>
      <c r="N322" s="2382">
        <f t="shared" si="47"/>
        <v>0</v>
      </c>
      <c r="O322" s="2381">
        <f t="shared" si="48"/>
        <v>0</v>
      </c>
      <c r="P322" s="2380"/>
      <c r="R322" s="2402"/>
    </row>
    <row r="323" spans="1:18" s="2358" customFormat="1" outlineLevel="1">
      <c r="A323" s="2361" t="e">
        <f t="shared" si="39"/>
        <v>#N/A</v>
      </c>
      <c r="B323" s="2383"/>
      <c r="C323" s="2398">
        <f>IF(G323&gt;0,C317+1,C317)</f>
        <v>0</v>
      </c>
      <c r="D323" s="2399"/>
      <c r="E323" s="2424" t="s">
        <v>3693</v>
      </c>
      <c r="F323" s="2395" t="s">
        <v>2391</v>
      </c>
      <c r="G323" s="2395">
        <f>SUM(G300:G300)</f>
        <v>0</v>
      </c>
      <c r="H323" s="2376"/>
      <c r="I323" s="2381"/>
      <c r="J323" s="2376"/>
      <c r="K323" s="2376"/>
      <c r="L323" s="2382">
        <f t="shared" si="45"/>
        <v>0</v>
      </c>
      <c r="M323" s="2382">
        <f t="shared" si="46"/>
        <v>0</v>
      </c>
      <c r="N323" s="2382">
        <f t="shared" si="47"/>
        <v>0</v>
      </c>
      <c r="O323" s="2381">
        <f t="shared" si="48"/>
        <v>0</v>
      </c>
      <c r="P323" s="2408"/>
    </row>
    <row r="324" spans="1:18" s="2358" customFormat="1" ht="14.4" outlineLevel="1">
      <c r="A324" s="2361" t="e">
        <f t="shared" si="39"/>
        <v>#N/A</v>
      </c>
      <c r="B324" s="2383"/>
      <c r="C324" s="2395"/>
      <c r="D324" s="2399"/>
      <c r="E324" s="2425" t="s">
        <v>6207</v>
      </c>
      <c r="F324" s="2380"/>
      <c r="G324" s="2380"/>
      <c r="H324" s="2376"/>
      <c r="I324" s="2381"/>
      <c r="J324" s="2376"/>
      <c r="K324" s="2376"/>
      <c r="L324" s="2382">
        <f t="shared" si="45"/>
        <v>0</v>
      </c>
      <c r="M324" s="2382">
        <f t="shared" si="46"/>
        <v>0</v>
      </c>
      <c r="N324" s="2382">
        <f t="shared" si="47"/>
        <v>0</v>
      </c>
      <c r="O324" s="2381">
        <f t="shared" si="48"/>
        <v>0</v>
      </c>
      <c r="P324" s="2408"/>
    </row>
    <row r="325" spans="1:18" s="2358" customFormat="1" outlineLevel="1">
      <c r="A325" s="2361" t="str">
        <f t="shared" si="39"/>
        <v>Đà Composite 110x80x5x800</v>
      </c>
      <c r="B325" s="2386" t="s">
        <v>5218</v>
      </c>
      <c r="C325" s="2380"/>
      <c r="D325" s="2373">
        <v>0</v>
      </c>
      <c r="E325" s="2374" t="s">
        <v>4904</v>
      </c>
      <c r="F325" s="2405" t="s">
        <v>2598</v>
      </c>
      <c r="G325" s="2409">
        <f>G323*1</f>
        <v>0</v>
      </c>
      <c r="H325" s="2376">
        <v>320000</v>
      </c>
      <c r="I325" s="2381"/>
      <c r="J325" s="2376">
        <v>0</v>
      </c>
      <c r="K325" s="2376">
        <v>0</v>
      </c>
      <c r="L325" s="2382">
        <f t="shared" si="45"/>
        <v>0</v>
      </c>
      <c r="M325" s="2382">
        <f>I325*G325</f>
        <v>0</v>
      </c>
      <c r="N325" s="2382">
        <f t="shared" si="47"/>
        <v>0</v>
      </c>
      <c r="O325" s="2381">
        <f t="shared" si="48"/>
        <v>0</v>
      </c>
      <c r="P325" s="2408"/>
    </row>
    <row r="326" spans="1:18" s="2358" customFormat="1" outlineLevel="1">
      <c r="A326" s="2361" t="str">
        <f t="shared" si="39"/>
        <v>Chống Composite 40x10x710</v>
      </c>
      <c r="B326" s="2386" t="s">
        <v>5222</v>
      </c>
      <c r="C326" s="2380"/>
      <c r="D326" s="2373">
        <v>0</v>
      </c>
      <c r="E326" s="2374" t="s">
        <v>5223</v>
      </c>
      <c r="F326" s="2373" t="s">
        <v>5221</v>
      </c>
      <c r="G326" s="2380">
        <f>G325*1</f>
        <v>0</v>
      </c>
      <c r="H326" s="2376">
        <v>95000</v>
      </c>
      <c r="I326" s="2381"/>
      <c r="J326" s="2376">
        <v>0</v>
      </c>
      <c r="K326" s="2376">
        <v>0</v>
      </c>
      <c r="L326" s="2382">
        <f t="shared" si="45"/>
        <v>0</v>
      </c>
      <c r="M326" s="2382">
        <f>I326*G326</f>
        <v>0</v>
      </c>
      <c r="N326" s="2382">
        <f t="shared" si="47"/>
        <v>0</v>
      </c>
      <c r="O326" s="2381">
        <f t="shared" si="48"/>
        <v>0</v>
      </c>
      <c r="P326" s="2408"/>
    </row>
    <row r="327" spans="1:18" s="2358" customFormat="1" outlineLevel="1">
      <c r="A327" s="2361" t="str">
        <f t="shared" si="39"/>
        <v>Bass LL bắt FCO, LA</v>
      </c>
      <c r="B327" s="2386" t="s">
        <v>1844</v>
      </c>
      <c r="C327" s="2380"/>
      <c r="D327" s="2373">
        <v>0</v>
      </c>
      <c r="E327" s="2374" t="s">
        <v>5130</v>
      </c>
      <c r="F327" s="2373" t="s">
        <v>2445</v>
      </c>
      <c r="G327" s="2380">
        <f>G323*1</f>
        <v>0</v>
      </c>
      <c r="H327" s="2376">
        <v>65000</v>
      </c>
      <c r="I327" s="2381"/>
      <c r="J327" s="2376">
        <v>0</v>
      </c>
      <c r="K327" s="2376">
        <v>0</v>
      </c>
      <c r="L327" s="2382">
        <f t="shared" si="45"/>
        <v>0</v>
      </c>
      <c r="M327" s="2382"/>
      <c r="N327" s="2382">
        <f t="shared" si="47"/>
        <v>0</v>
      </c>
      <c r="O327" s="2381">
        <f t="shared" si="48"/>
        <v>0</v>
      </c>
      <c r="P327" s="2408"/>
    </row>
    <row r="328" spans="1:18" s="2358" customFormat="1" outlineLevel="1">
      <c r="A328" s="2361" t="str">
        <f t="shared" ref="A328:A359" si="49">VLOOKUP(B328,DonGia,3,0)</f>
        <v>Nắp che đầu cực FCO</v>
      </c>
      <c r="B328" s="2386" t="s">
        <v>6199</v>
      </c>
      <c r="C328" s="2380"/>
      <c r="D328" s="2373">
        <v>0</v>
      </c>
      <c r="E328" s="2374" t="s">
        <v>5762</v>
      </c>
      <c r="F328" s="2373" t="s">
        <v>2563</v>
      </c>
      <c r="G328" s="2380">
        <f>1*$G$301</f>
        <v>0</v>
      </c>
      <c r="H328" s="2376">
        <v>218200</v>
      </c>
      <c r="I328" s="2381"/>
      <c r="J328" s="2376">
        <v>0</v>
      </c>
      <c r="K328" s="2376">
        <v>0</v>
      </c>
      <c r="L328" s="2382">
        <f t="shared" si="45"/>
        <v>0</v>
      </c>
      <c r="M328" s="2382"/>
      <c r="N328" s="2382">
        <f t="shared" si="47"/>
        <v>0</v>
      </c>
      <c r="O328" s="2381">
        <f t="shared" si="48"/>
        <v>0</v>
      </c>
      <c r="P328" s="2408"/>
    </row>
    <row r="329" spans="1:18" s="2358" customFormat="1" outlineLevel="1">
      <c r="A329" s="2361" t="str">
        <f t="shared" si="49"/>
        <v>Nắp che đầu cực LA</v>
      </c>
      <c r="B329" s="2386" t="s">
        <v>6200</v>
      </c>
      <c r="C329" s="2380"/>
      <c r="D329" s="2373">
        <v>0</v>
      </c>
      <c r="E329" s="2374" t="s">
        <v>5768</v>
      </c>
      <c r="F329" s="2373" t="s">
        <v>2563</v>
      </c>
      <c r="G329" s="2380">
        <f>1*$G$303</f>
        <v>0</v>
      </c>
      <c r="H329" s="2376">
        <v>39100</v>
      </c>
      <c r="I329" s="2381"/>
      <c r="J329" s="2376">
        <v>0</v>
      </c>
      <c r="K329" s="2376">
        <v>0</v>
      </c>
      <c r="L329" s="2382">
        <f t="shared" si="45"/>
        <v>0</v>
      </c>
      <c r="M329" s="2382"/>
      <c r="N329" s="2382">
        <f t="shared" si="47"/>
        <v>0</v>
      </c>
      <c r="O329" s="2381">
        <f t="shared" si="48"/>
        <v>0</v>
      </c>
      <c r="P329" s="2408"/>
    </row>
    <row r="330" spans="1:18" s="2358" customFormat="1" outlineLevel="1">
      <c r="A330" s="2361" t="str">
        <f t="shared" si="49"/>
        <v>Boulon 16x150+ 2 long đền vuông D18-50x50x3/Zn</v>
      </c>
      <c r="B330" s="2386" t="s">
        <v>244</v>
      </c>
      <c r="C330" s="2380"/>
      <c r="D330" s="2373">
        <v>0</v>
      </c>
      <c r="E330" s="2374" t="s">
        <v>2649</v>
      </c>
      <c r="F330" s="2373" t="s">
        <v>2445</v>
      </c>
      <c r="G330" s="2380">
        <f>G323</f>
        <v>0</v>
      </c>
      <c r="H330" s="2376">
        <v>18900</v>
      </c>
      <c r="I330" s="2381"/>
      <c r="J330" s="2376">
        <v>0</v>
      </c>
      <c r="K330" s="2376">
        <v>0</v>
      </c>
      <c r="L330" s="2382">
        <f t="shared" si="45"/>
        <v>0</v>
      </c>
      <c r="M330" s="2382">
        <f>I330*G330</f>
        <v>0</v>
      </c>
      <c r="N330" s="2382">
        <f t="shared" si="47"/>
        <v>0</v>
      </c>
      <c r="O330" s="2381">
        <f t="shared" si="48"/>
        <v>0</v>
      </c>
      <c r="P330" s="2408"/>
    </row>
    <row r="331" spans="1:18" s="2358" customFormat="1" outlineLevel="1">
      <c r="A331" s="2361" t="str">
        <f t="shared" si="49"/>
        <v>Boulon 16x350+ 2 long đền vuông D18-50x50x3/Zn</v>
      </c>
      <c r="B331" s="2386" t="s">
        <v>1079</v>
      </c>
      <c r="C331" s="2380"/>
      <c r="D331" s="2373">
        <v>0</v>
      </c>
      <c r="E331" s="2374" t="s">
        <v>2659</v>
      </c>
      <c r="F331" s="2373" t="s">
        <v>2445</v>
      </c>
      <c r="G331" s="2380">
        <f>G323*2</f>
        <v>0</v>
      </c>
      <c r="H331" s="2376">
        <v>27900</v>
      </c>
      <c r="I331" s="2381"/>
      <c r="J331" s="2376">
        <v>0</v>
      </c>
      <c r="K331" s="2376">
        <v>0</v>
      </c>
      <c r="L331" s="2382">
        <f t="shared" si="45"/>
        <v>0</v>
      </c>
      <c r="M331" s="2382">
        <f>I331*G331</f>
        <v>0</v>
      </c>
      <c r="N331" s="2382">
        <f t="shared" si="47"/>
        <v>0</v>
      </c>
      <c r="O331" s="2381">
        <f t="shared" si="48"/>
        <v>0</v>
      </c>
      <c r="P331" s="2408"/>
    </row>
    <row r="332" spans="1:18" s="2358" customFormat="1" outlineLevel="1">
      <c r="A332" s="2361" t="str">
        <f t="shared" si="49"/>
        <v>Lắp xà đỡ ≤ 25kg</v>
      </c>
      <c r="B332" s="2386" t="s">
        <v>1999</v>
      </c>
      <c r="C332" s="2380"/>
      <c r="D332" s="2373" t="s">
        <v>5440</v>
      </c>
      <c r="E332" s="2374" t="s">
        <v>5441</v>
      </c>
      <c r="F332" s="2373" t="s">
        <v>2445</v>
      </c>
      <c r="G332" s="2380">
        <f>G323</f>
        <v>0</v>
      </c>
      <c r="H332" s="2376">
        <v>0</v>
      </c>
      <c r="I332" s="2381"/>
      <c r="J332" s="2406" t="s">
        <v>6380</v>
      </c>
      <c r="K332" s="2376">
        <v>0</v>
      </c>
      <c r="L332" s="2382">
        <f t="shared" si="45"/>
        <v>0</v>
      </c>
      <c r="M332" s="2382">
        <f>I332*G332</f>
        <v>0</v>
      </c>
      <c r="N332" s="2407">
        <f>106640*G332*1.5</f>
        <v>0</v>
      </c>
      <c r="O332" s="2381">
        <f t="shared" si="48"/>
        <v>0</v>
      </c>
      <c r="P332" s="2408"/>
    </row>
    <row r="333" spans="1:18" s="2358" customFormat="1" outlineLevel="1">
      <c r="A333" s="2361" t="e">
        <f t="shared" si="49"/>
        <v>#N/A</v>
      </c>
      <c r="B333" s="2383"/>
      <c r="C333" s="2395">
        <f>IF(G333&gt;0,C323+1,C323)</f>
        <v>0</v>
      </c>
      <c r="D333" s="2399"/>
      <c r="E333" s="2424" t="s">
        <v>3694</v>
      </c>
      <c r="F333" s="2395" t="s">
        <v>2391</v>
      </c>
      <c r="G333" s="2395">
        <f>G323</f>
        <v>0</v>
      </c>
      <c r="H333" s="2376"/>
      <c r="I333" s="2381"/>
      <c r="J333" s="2376"/>
      <c r="K333" s="2376"/>
      <c r="L333" s="2382">
        <f t="shared" si="45"/>
        <v>0</v>
      </c>
      <c r="M333" s="2382">
        <f t="shared" si="46"/>
        <v>0</v>
      </c>
      <c r="N333" s="2382">
        <f t="shared" si="47"/>
        <v>0</v>
      </c>
      <c r="O333" s="2381">
        <f t="shared" si="48"/>
        <v>0</v>
      </c>
      <c r="P333" s="2408"/>
    </row>
    <row r="334" spans="1:18" s="2358" customFormat="1" ht="14.4" outlineLevel="1">
      <c r="A334" s="2361" t="e">
        <f t="shared" si="49"/>
        <v>#N/A</v>
      </c>
      <c r="B334" s="2383"/>
      <c r="C334" s="2380"/>
      <c r="D334" s="2403"/>
      <c r="E334" s="2425" t="s">
        <v>6207</v>
      </c>
      <c r="F334" s="2380"/>
      <c r="G334" s="2380"/>
      <c r="H334" s="2376"/>
      <c r="I334" s="2381"/>
      <c r="J334" s="2376"/>
      <c r="K334" s="2376"/>
      <c r="L334" s="2382">
        <f t="shared" si="45"/>
        <v>0</v>
      </c>
      <c r="M334" s="2382">
        <f t="shared" si="46"/>
        <v>0</v>
      </c>
      <c r="N334" s="2382">
        <f t="shared" si="47"/>
        <v>0</v>
      </c>
      <c r="O334" s="2381">
        <f t="shared" si="48"/>
        <v>0</v>
      </c>
      <c r="P334" s="2408"/>
    </row>
    <row r="335" spans="1:18" s="2358" customFormat="1" outlineLevel="1">
      <c r="A335" s="2361" t="str">
        <f t="shared" si="49"/>
        <v>Cáp đồng trần M25mm2</v>
      </c>
      <c r="B335" s="2383" t="s">
        <v>1033</v>
      </c>
      <c r="C335" s="2380"/>
      <c r="D335" s="2373">
        <v>0</v>
      </c>
      <c r="E335" s="2374" t="s">
        <v>2708</v>
      </c>
      <c r="F335" s="2373" t="s">
        <v>2254</v>
      </c>
      <c r="G335" s="2409">
        <f>53*G333*0.224</f>
        <v>0</v>
      </c>
      <c r="H335" s="2376">
        <v>255500</v>
      </c>
      <c r="I335" s="2381"/>
      <c r="J335" s="2376">
        <v>0</v>
      </c>
      <c r="K335" s="2376">
        <v>0</v>
      </c>
      <c r="L335" s="2382">
        <f t="shared" si="45"/>
        <v>0</v>
      </c>
      <c r="M335" s="2382">
        <f t="shared" si="46"/>
        <v>0</v>
      </c>
      <c r="N335" s="2382">
        <f t="shared" si="47"/>
        <v>0</v>
      </c>
      <c r="O335" s="2381">
        <f t="shared" si="48"/>
        <v>0</v>
      </c>
      <c r="P335" s="2408"/>
    </row>
    <row r="336" spans="1:18" s="2358" customFormat="1" outlineLevel="1">
      <c r="A336" s="2361" t="str">
        <f t="shared" si="49"/>
        <v>Cọc tiếp đất Þ 16- 2,4m + kẹp cọc mạ đồng</v>
      </c>
      <c r="B336" s="2386" t="s">
        <v>1511</v>
      </c>
      <c r="C336" s="2380"/>
      <c r="D336" s="2373">
        <v>0</v>
      </c>
      <c r="E336" s="2374" t="s">
        <v>5224</v>
      </c>
      <c r="F336" s="2373" t="s">
        <v>2445</v>
      </c>
      <c r="G336" s="2380">
        <f>9*G333</f>
        <v>0</v>
      </c>
      <c r="H336" s="2376">
        <v>160000</v>
      </c>
      <c r="I336" s="2381"/>
      <c r="J336" s="2376">
        <v>0</v>
      </c>
      <c r="K336" s="2376">
        <v>0</v>
      </c>
      <c r="L336" s="2382">
        <f t="shared" si="45"/>
        <v>0</v>
      </c>
      <c r="M336" s="2382">
        <f t="shared" si="46"/>
        <v>0</v>
      </c>
      <c r="N336" s="2382">
        <f t="shared" si="47"/>
        <v>0</v>
      </c>
      <c r="O336" s="2381">
        <f t="shared" si="48"/>
        <v>0</v>
      </c>
      <c r="P336" s="2408"/>
    </row>
    <row r="337" spans="1:16" s="2358" customFormat="1" outlineLevel="1">
      <c r="A337" s="2361" t="str">
        <f t="shared" si="49"/>
        <v xml:space="preserve">Ống PVC D21x1,6mm </v>
      </c>
      <c r="B337" s="2386" t="s">
        <v>1493</v>
      </c>
      <c r="C337" s="2380"/>
      <c r="D337" s="2373">
        <v>0</v>
      </c>
      <c r="E337" s="2374" t="s">
        <v>3554</v>
      </c>
      <c r="F337" s="2373" t="s">
        <v>1827</v>
      </c>
      <c r="G337" s="2380">
        <f>6*G333</f>
        <v>0</v>
      </c>
      <c r="H337" s="2376">
        <v>6200</v>
      </c>
      <c r="I337" s="2381"/>
      <c r="J337" s="2376">
        <v>0</v>
      </c>
      <c r="K337" s="2376">
        <v>0</v>
      </c>
      <c r="L337" s="2382">
        <f t="shared" si="45"/>
        <v>0</v>
      </c>
      <c r="M337" s="2382">
        <f t="shared" si="46"/>
        <v>0</v>
      </c>
      <c r="N337" s="2382">
        <f t="shared" si="47"/>
        <v>0</v>
      </c>
      <c r="O337" s="2381">
        <f t="shared" si="48"/>
        <v>0</v>
      </c>
      <c r="P337" s="2408"/>
    </row>
    <row r="338" spans="1:16" s="2358" customFormat="1" outlineLevel="1">
      <c r="A338" s="2361" t="str">
        <f t="shared" si="49"/>
        <v>Kẹp ép WR cỡ dây 50mm2</v>
      </c>
      <c r="B338" s="2383" t="s">
        <v>1582</v>
      </c>
      <c r="C338" s="2380"/>
      <c r="D338" s="2373">
        <v>0</v>
      </c>
      <c r="E338" s="2374" t="s">
        <v>2889</v>
      </c>
      <c r="F338" s="2373" t="s">
        <v>2563</v>
      </c>
      <c r="G338" s="2380">
        <f>2*G333</f>
        <v>0</v>
      </c>
      <c r="H338" s="2376">
        <v>8000</v>
      </c>
      <c r="I338" s="2376"/>
      <c r="J338" s="2376">
        <v>0</v>
      </c>
      <c r="K338" s="2376">
        <v>0</v>
      </c>
      <c r="L338" s="2382">
        <f t="shared" si="45"/>
        <v>0</v>
      </c>
      <c r="M338" s="2382">
        <f t="shared" si="46"/>
        <v>0</v>
      </c>
      <c r="N338" s="2382">
        <f t="shared" si="47"/>
        <v>0</v>
      </c>
      <c r="O338" s="2381">
        <f t="shared" si="48"/>
        <v>0</v>
      </c>
      <c r="P338" s="2408"/>
    </row>
    <row r="339" spans="1:16" s="2358" customFormat="1" outlineLevel="1">
      <c r="A339" s="2361" t="str">
        <f t="shared" si="49"/>
        <v>Kẹp ép cỡ dây 25mm2</v>
      </c>
      <c r="B339" s="2383" t="s">
        <v>1115</v>
      </c>
      <c r="C339" s="2380"/>
      <c r="D339" s="2373">
        <v>0</v>
      </c>
      <c r="E339" s="2374" t="s">
        <v>2887</v>
      </c>
      <c r="F339" s="2373" t="s">
        <v>2563</v>
      </c>
      <c r="G339" s="2380">
        <f>G333*11</f>
        <v>0</v>
      </c>
      <c r="H339" s="2376">
        <v>6000</v>
      </c>
      <c r="I339" s="2376"/>
      <c r="J339" s="2376">
        <v>0</v>
      </c>
      <c r="K339" s="2376">
        <v>0</v>
      </c>
      <c r="L339" s="2382">
        <f t="shared" si="45"/>
        <v>0</v>
      </c>
      <c r="M339" s="2382">
        <f t="shared" si="46"/>
        <v>0</v>
      </c>
      <c r="N339" s="2382">
        <f t="shared" si="47"/>
        <v>0</v>
      </c>
      <c r="O339" s="2381">
        <f t="shared" si="48"/>
        <v>0</v>
      </c>
      <c r="P339" s="2408"/>
    </row>
    <row r="340" spans="1:16" s="2358" customFormat="1" outlineLevel="1">
      <c r="A340" s="2361" t="str">
        <f t="shared" si="49"/>
        <v>Cổ dê kẹp ống PVC  21</v>
      </c>
      <c r="B340" s="2386" t="s">
        <v>525</v>
      </c>
      <c r="C340" s="2380"/>
      <c r="D340" s="2373">
        <v>0</v>
      </c>
      <c r="E340" s="2374" t="s">
        <v>5313</v>
      </c>
      <c r="F340" s="2373" t="s">
        <v>2445</v>
      </c>
      <c r="G340" s="2380">
        <f>4*G333</f>
        <v>0</v>
      </c>
      <c r="H340" s="2376">
        <v>43000</v>
      </c>
      <c r="I340" s="2381"/>
      <c r="J340" s="2376">
        <v>0</v>
      </c>
      <c r="K340" s="2376">
        <v>0</v>
      </c>
      <c r="L340" s="2382">
        <f t="shared" si="45"/>
        <v>0</v>
      </c>
      <c r="M340" s="2382">
        <f t="shared" si="46"/>
        <v>0</v>
      </c>
      <c r="N340" s="2382">
        <f t="shared" si="47"/>
        <v>0</v>
      </c>
      <c r="O340" s="2381">
        <f t="shared" si="48"/>
        <v>0</v>
      </c>
      <c r="P340" s="2408"/>
    </row>
    <row r="341" spans="1:16" s="2358" customFormat="1" outlineLevel="1">
      <c r="A341" s="2361" t="str">
        <f t="shared" si="49"/>
        <v>Kéo dây tiếp địa trong TBA</v>
      </c>
      <c r="B341" s="2383" t="s">
        <v>2189</v>
      </c>
      <c r="C341" s="2380"/>
      <c r="D341" s="2373" t="s">
        <v>5408</v>
      </c>
      <c r="E341" s="2374" t="s">
        <v>5409</v>
      </c>
      <c r="F341" s="2373" t="s">
        <v>2538</v>
      </c>
      <c r="G341" s="2380">
        <f>G335/0.224</f>
        <v>0</v>
      </c>
      <c r="H341" s="2376">
        <v>0</v>
      </c>
      <c r="I341" s="2376"/>
      <c r="J341" s="2376">
        <v>8070.7000000000007</v>
      </c>
      <c r="K341" s="2376">
        <v>2044.9974999999999</v>
      </c>
      <c r="L341" s="2382">
        <f>H341*G341</f>
        <v>0</v>
      </c>
      <c r="M341" s="2382">
        <f>I341*G341</f>
        <v>0</v>
      </c>
      <c r="N341" s="2382">
        <f>J341*G341</f>
        <v>0</v>
      </c>
      <c r="O341" s="2381">
        <f>K341*G341</f>
        <v>0</v>
      </c>
      <c r="P341" s="2408"/>
    </row>
    <row r="342" spans="1:16" s="2358" customFormat="1" outlineLevel="1">
      <c r="A342" s="2361" t="str">
        <f t="shared" si="49"/>
        <v>Đóng cọc tiếp địa trong TBA</v>
      </c>
      <c r="B342" s="2386" t="s">
        <v>902</v>
      </c>
      <c r="C342" s="2380"/>
      <c r="D342" s="2373" t="s">
        <v>5413</v>
      </c>
      <c r="E342" s="2374" t="s">
        <v>5414</v>
      </c>
      <c r="F342" s="2373" t="s">
        <v>2284</v>
      </c>
      <c r="G342" s="2380">
        <f>G336</f>
        <v>0</v>
      </c>
      <c r="H342" s="2376">
        <v>0</v>
      </c>
      <c r="I342" s="2381"/>
      <c r="J342" s="2376" t="s">
        <v>6389</v>
      </c>
      <c r="K342" s="2376">
        <v>1573.075</v>
      </c>
      <c r="L342" s="2382">
        <f>H342*G342</f>
        <v>0</v>
      </c>
      <c r="M342" s="2382">
        <f>I342*G342</f>
        <v>0</v>
      </c>
      <c r="N342" s="2376">
        <v>0</v>
      </c>
      <c r="O342" s="2381">
        <f>K342*G342</f>
        <v>0</v>
      </c>
      <c r="P342" s="2408"/>
    </row>
    <row r="343" spans="1:16" s="2358" customFormat="1" outlineLevel="1">
      <c r="A343" s="2361" t="str">
        <f t="shared" si="49"/>
        <v>Đào rãnh tiếp địa đất cấp 3</v>
      </c>
      <c r="B343" s="2383" t="s">
        <v>1055</v>
      </c>
      <c r="C343" s="2380"/>
      <c r="D343" s="2373" t="s">
        <v>5398</v>
      </c>
      <c r="E343" s="2374" t="s">
        <v>3086</v>
      </c>
      <c r="F343" s="2373" t="s">
        <v>856</v>
      </c>
      <c r="G343" s="2404">
        <f>G333*8.64</f>
        <v>0</v>
      </c>
      <c r="H343" s="2376">
        <v>0</v>
      </c>
      <c r="I343" s="2376"/>
      <c r="J343" s="2376">
        <v>283749.75</v>
      </c>
      <c r="K343" s="2376">
        <v>0</v>
      </c>
      <c r="L343" s="2382">
        <f>H343*G343</f>
        <v>0</v>
      </c>
      <c r="M343" s="2382">
        <f>I343*G343</f>
        <v>0</v>
      </c>
      <c r="N343" s="2382">
        <f>J343*G343</f>
        <v>0</v>
      </c>
      <c r="O343" s="2381">
        <f>K343*G343</f>
        <v>0</v>
      </c>
      <c r="P343" s="2408"/>
    </row>
    <row r="344" spans="1:16" s="2358" customFormat="1" outlineLevel="1">
      <c r="A344" s="2361" t="str">
        <f t="shared" si="49"/>
        <v>Đắp đất rãnh tiếp độ chặt k=0,85</v>
      </c>
      <c r="B344" s="2386" t="s">
        <v>1056</v>
      </c>
      <c r="C344" s="2380"/>
      <c r="D344" s="2373" t="s">
        <v>5387</v>
      </c>
      <c r="E344" s="2374" t="s">
        <v>5399</v>
      </c>
      <c r="F344" s="2373" t="s">
        <v>856</v>
      </c>
      <c r="G344" s="2404">
        <f>G343</f>
        <v>0</v>
      </c>
      <c r="H344" s="2376">
        <v>0</v>
      </c>
      <c r="I344" s="2381"/>
      <c r="J344" s="2376">
        <v>117703.6</v>
      </c>
      <c r="K344" s="2376">
        <v>0</v>
      </c>
      <c r="L344" s="2382">
        <f>H344*G344</f>
        <v>0</v>
      </c>
      <c r="M344" s="2382">
        <f>I344*G344</f>
        <v>0</v>
      </c>
      <c r="N344" s="2382">
        <f>J344*G344</f>
        <v>0</v>
      </c>
      <c r="O344" s="2381">
        <f>K344*G344</f>
        <v>0</v>
      </c>
      <c r="P344" s="2408"/>
    </row>
    <row r="345" spans="1:16" s="2358" customFormat="1" outlineLevel="1">
      <c r="A345" s="2361" t="e">
        <f t="shared" si="49"/>
        <v>#N/A</v>
      </c>
      <c r="B345" s="2383"/>
      <c r="C345" s="2395">
        <f>IF(G345&gt;0,C333+1,C333)</f>
        <v>0</v>
      </c>
      <c r="D345" s="2399"/>
      <c r="E345" s="2411" t="s">
        <v>3701</v>
      </c>
      <c r="F345" s="2395" t="s">
        <v>2391</v>
      </c>
      <c r="G345" s="2395">
        <f>G323</f>
        <v>0</v>
      </c>
      <c r="H345" s="2376"/>
      <c r="I345" s="2381"/>
      <c r="J345" s="2376"/>
      <c r="K345" s="2376"/>
      <c r="L345" s="2382">
        <f t="shared" si="45"/>
        <v>0</v>
      </c>
      <c r="M345" s="2382">
        <f t="shared" si="46"/>
        <v>0</v>
      </c>
      <c r="N345" s="2382">
        <f t="shared" si="47"/>
        <v>0</v>
      </c>
      <c r="O345" s="2381">
        <f t="shared" si="48"/>
        <v>0</v>
      </c>
      <c r="P345" s="2408"/>
    </row>
    <row r="346" spans="1:16" s="2358" customFormat="1" ht="14.4" outlineLevel="1">
      <c r="A346" s="2361" t="e">
        <f t="shared" si="49"/>
        <v>#N/A</v>
      </c>
      <c r="B346" s="2383"/>
      <c r="C346" s="2395"/>
      <c r="D346" s="2399"/>
      <c r="E346" s="2425" t="s">
        <v>6207</v>
      </c>
      <c r="F346" s="2380"/>
      <c r="G346" s="2380"/>
      <c r="H346" s="2376"/>
      <c r="I346" s="2381"/>
      <c r="J346" s="2376"/>
      <c r="K346" s="2376"/>
      <c r="L346" s="2382">
        <f t="shared" si="45"/>
        <v>0</v>
      </c>
      <c r="M346" s="2382">
        <f t="shared" si="46"/>
        <v>0</v>
      </c>
      <c r="N346" s="2382">
        <f t="shared" si="47"/>
        <v>0</v>
      </c>
      <c r="O346" s="2381">
        <f t="shared" si="48"/>
        <v>0</v>
      </c>
      <c r="P346" s="2408"/>
    </row>
    <row r="347" spans="1:16" s="2358" customFormat="1" outlineLevel="1">
      <c r="A347" s="2361" t="str">
        <f t="shared" si="49"/>
        <v>Tủ MCCB trạm treo 1 pha</v>
      </c>
      <c r="B347" s="2434" t="s">
        <v>5716</v>
      </c>
      <c r="C347" s="2380"/>
      <c r="D347" s="2373" t="s">
        <v>5717</v>
      </c>
      <c r="E347" s="2374" t="s">
        <v>5718</v>
      </c>
      <c r="F347" s="2373" t="s">
        <v>2563</v>
      </c>
      <c r="G347" s="2380">
        <f>G345</f>
        <v>0</v>
      </c>
      <c r="H347" s="2376">
        <v>2971168</v>
      </c>
      <c r="I347" s="2376"/>
      <c r="J347" s="2376">
        <v>599038</v>
      </c>
      <c r="K347" s="2376">
        <v>97369</v>
      </c>
      <c r="L347" s="2382">
        <f t="shared" si="45"/>
        <v>0</v>
      </c>
      <c r="M347" s="2382">
        <f t="shared" si="46"/>
        <v>0</v>
      </c>
      <c r="N347" s="2382">
        <f t="shared" si="47"/>
        <v>0</v>
      </c>
      <c r="O347" s="2381">
        <f t="shared" si="48"/>
        <v>0</v>
      </c>
      <c r="P347" s="2408"/>
    </row>
    <row r="348" spans="1:16" s="2358" customFormat="1" outlineLevel="1">
      <c r="A348" s="2361" t="str">
        <f t="shared" si="49"/>
        <v>Cổ dê bắt tủ</v>
      </c>
      <c r="B348" s="2383" t="s">
        <v>879</v>
      </c>
      <c r="C348" s="2380"/>
      <c r="D348" s="2373">
        <v>0</v>
      </c>
      <c r="E348" s="2374" t="s">
        <v>2999</v>
      </c>
      <c r="F348" s="2373" t="s">
        <v>2445</v>
      </c>
      <c r="G348" s="2380">
        <f>2*G345</f>
        <v>0</v>
      </c>
      <c r="H348" s="2376">
        <v>168000</v>
      </c>
      <c r="I348" s="2381"/>
      <c r="J348" s="2376">
        <v>0</v>
      </c>
      <c r="K348" s="2376">
        <v>0</v>
      </c>
      <c r="L348" s="2382">
        <f t="shared" si="45"/>
        <v>0</v>
      </c>
      <c r="M348" s="2382">
        <f t="shared" si="46"/>
        <v>0</v>
      </c>
      <c r="N348" s="2382">
        <f t="shared" si="47"/>
        <v>0</v>
      </c>
      <c r="O348" s="2381">
        <f t="shared" si="48"/>
        <v>0</v>
      </c>
      <c r="P348" s="2408"/>
    </row>
    <row r="349" spans="1:16" s="2358" customFormat="1" outlineLevel="1">
      <c r="A349" s="2361" t="str">
        <f t="shared" si="49"/>
        <v xml:space="preserve">Bakelit 550x450 dầy 10mm </v>
      </c>
      <c r="B349" s="2383" t="s">
        <v>880</v>
      </c>
      <c r="C349" s="2380"/>
      <c r="D349" s="2373">
        <v>0</v>
      </c>
      <c r="E349" s="2374" t="s">
        <v>5861</v>
      </c>
      <c r="F349" s="2373" t="s">
        <v>2563</v>
      </c>
      <c r="G349" s="2380">
        <f>G345</f>
        <v>0</v>
      </c>
      <c r="H349" s="2376">
        <v>284000</v>
      </c>
      <c r="I349" s="2381"/>
      <c r="J349" s="2376">
        <v>5404</v>
      </c>
      <c r="K349" s="2376">
        <v>0</v>
      </c>
      <c r="L349" s="2382">
        <f t="shared" si="45"/>
        <v>0</v>
      </c>
      <c r="M349" s="2382">
        <f t="shared" si="46"/>
        <v>0</v>
      </c>
      <c r="N349" s="2382">
        <f t="shared" si="47"/>
        <v>0</v>
      </c>
      <c r="O349" s="2381">
        <f t="shared" si="48"/>
        <v>0</v>
      </c>
      <c r="P349" s="2408"/>
    </row>
    <row r="350" spans="1:16" s="2358" customFormat="1" outlineLevel="1">
      <c r="A350" s="2361" t="e">
        <f t="shared" si="49"/>
        <v>#N/A</v>
      </c>
      <c r="B350" s="2383"/>
      <c r="C350" s="2395">
        <f>IF(G350&gt;0,C345+1,C345)</f>
        <v>0</v>
      </c>
      <c r="D350" s="2399"/>
      <c r="E350" s="2424" t="s">
        <v>6213</v>
      </c>
      <c r="F350" s="2395" t="s">
        <v>2391</v>
      </c>
      <c r="G350" s="2395">
        <f>G345</f>
        <v>0</v>
      </c>
      <c r="H350" s="2376"/>
      <c r="I350" s="2381"/>
      <c r="J350" s="2376"/>
      <c r="K350" s="2376"/>
      <c r="L350" s="2382">
        <f t="shared" si="45"/>
        <v>0</v>
      </c>
      <c r="M350" s="2382">
        <f t="shared" si="46"/>
        <v>0</v>
      </c>
      <c r="N350" s="2382">
        <f t="shared" si="47"/>
        <v>0</v>
      </c>
      <c r="O350" s="2381">
        <f t="shared" si="48"/>
        <v>0</v>
      </c>
      <c r="P350" s="2408"/>
    </row>
    <row r="351" spans="1:16" s="2358" customFormat="1" ht="14.4" outlineLevel="1">
      <c r="A351" s="2361" t="e">
        <f t="shared" si="49"/>
        <v>#N/A</v>
      </c>
      <c r="B351" s="2383"/>
      <c r="C351" s="2395"/>
      <c r="D351" s="2399"/>
      <c r="E351" s="2425" t="s">
        <v>6207</v>
      </c>
      <c r="F351" s="2380"/>
      <c r="G351" s="2380"/>
      <c r="H351" s="2376"/>
      <c r="I351" s="2381"/>
      <c r="J351" s="2376"/>
      <c r="K351" s="2376"/>
      <c r="L351" s="2382">
        <f t="shared" si="45"/>
        <v>0</v>
      </c>
      <c r="M351" s="2382">
        <f t="shared" si="46"/>
        <v>0</v>
      </c>
      <c r="N351" s="2382">
        <f t="shared" si="47"/>
        <v>0</v>
      </c>
      <c r="O351" s="2381">
        <f t="shared" si="48"/>
        <v>0</v>
      </c>
      <c r="P351" s="2408"/>
    </row>
    <row r="352" spans="1:16" s="2358" customFormat="1" outlineLevel="1">
      <c r="A352" s="2361" t="str">
        <f t="shared" si="49"/>
        <v>Cáp 24KV C/XLPE/PVC 25mm2</v>
      </c>
      <c r="B352" s="2386" t="s">
        <v>697</v>
      </c>
      <c r="C352" s="2380"/>
      <c r="D352" s="2373">
        <v>0</v>
      </c>
      <c r="E352" s="2374" t="s">
        <v>5139</v>
      </c>
      <c r="F352" s="2373" t="s">
        <v>2538</v>
      </c>
      <c r="G352" s="2380">
        <f>3*G350</f>
        <v>0</v>
      </c>
      <c r="H352" s="2376">
        <v>50996</v>
      </c>
      <c r="I352" s="2376"/>
      <c r="J352" s="2376">
        <v>0</v>
      </c>
      <c r="K352" s="2376">
        <v>0</v>
      </c>
      <c r="L352" s="2382">
        <f t="shared" si="45"/>
        <v>0</v>
      </c>
      <c r="M352" s="2382">
        <f t="shared" si="46"/>
        <v>0</v>
      </c>
      <c r="N352" s="2382">
        <f t="shared" si="47"/>
        <v>0</v>
      </c>
      <c r="O352" s="2381">
        <f t="shared" si="48"/>
        <v>0</v>
      </c>
      <c r="P352" s="2408"/>
    </row>
    <row r="353" spans="1:16" s="2358" customFormat="1" outlineLevel="1">
      <c r="A353" s="2361" t="str">
        <f t="shared" si="49"/>
        <v>Kẹp quai 2/0</v>
      </c>
      <c r="B353" s="2371" t="s">
        <v>1482</v>
      </c>
      <c r="C353" s="2380"/>
      <c r="D353" s="2373">
        <v>0</v>
      </c>
      <c r="E353" s="2374" t="s">
        <v>3810</v>
      </c>
      <c r="F353" s="2373" t="s">
        <v>2563</v>
      </c>
      <c r="G353" s="2380">
        <f>G350</f>
        <v>0</v>
      </c>
      <c r="H353" s="2376">
        <v>46000</v>
      </c>
      <c r="I353" s="2376"/>
      <c r="J353" s="2376">
        <v>0</v>
      </c>
      <c r="K353" s="2376">
        <v>0</v>
      </c>
      <c r="L353" s="2382">
        <f t="shared" si="45"/>
        <v>0</v>
      </c>
      <c r="M353" s="2382">
        <f t="shared" si="46"/>
        <v>0</v>
      </c>
      <c r="N353" s="2382">
        <f t="shared" si="47"/>
        <v>0</v>
      </c>
      <c r="O353" s="2381">
        <f t="shared" si="48"/>
        <v>0</v>
      </c>
      <c r="P353" s="2408"/>
    </row>
    <row r="354" spans="1:16" s="2358" customFormat="1" outlineLevel="1">
      <c r="A354" s="2361" t="str">
        <f t="shared" si="49"/>
        <v>Kẹp hotline 2/0</v>
      </c>
      <c r="B354" s="2371" t="s">
        <v>1480</v>
      </c>
      <c r="C354" s="2380"/>
      <c r="D354" s="2373">
        <v>0</v>
      </c>
      <c r="E354" s="2374" t="s">
        <v>4361</v>
      </c>
      <c r="F354" s="2373" t="s">
        <v>2563</v>
      </c>
      <c r="G354" s="2380">
        <f>G350</f>
        <v>0</v>
      </c>
      <c r="H354" s="2376">
        <v>77000</v>
      </c>
      <c r="I354" s="2376"/>
      <c r="J354" s="2376">
        <v>0</v>
      </c>
      <c r="K354" s="2376">
        <v>0</v>
      </c>
      <c r="L354" s="2382">
        <f t="shared" si="45"/>
        <v>0</v>
      </c>
      <c r="M354" s="2382">
        <f t="shared" si="46"/>
        <v>0</v>
      </c>
      <c r="N354" s="2382">
        <f t="shared" si="47"/>
        <v>0</v>
      </c>
      <c r="O354" s="2381">
        <f t="shared" si="48"/>
        <v>0</v>
      </c>
      <c r="P354" s="2408"/>
    </row>
    <row r="355" spans="1:16" s="2358" customFormat="1" outlineLevel="1">
      <c r="A355" s="2361" t="str">
        <f t="shared" si="49"/>
        <v>Lắp cáp đồng xuống thiết bị D ≤ 95mm2</v>
      </c>
      <c r="B355" s="2371" t="s">
        <v>1528</v>
      </c>
      <c r="C355" s="2380"/>
      <c r="D355" s="2373" t="s">
        <v>5633</v>
      </c>
      <c r="E355" s="2374" t="s">
        <v>3310</v>
      </c>
      <c r="F355" s="2373" t="s">
        <v>1827</v>
      </c>
      <c r="G355" s="2380">
        <f>G352</f>
        <v>0</v>
      </c>
      <c r="H355" s="2376">
        <v>0</v>
      </c>
      <c r="I355" s="2376"/>
      <c r="J355" s="2376">
        <v>13915</v>
      </c>
      <c r="K355" s="2376">
        <v>0</v>
      </c>
      <c r="L355" s="2382">
        <f>H355*G355</f>
        <v>0</v>
      </c>
      <c r="M355" s="2382">
        <f>I355*G355</f>
        <v>0</v>
      </c>
      <c r="N355" s="2382">
        <f>J355*G355</f>
        <v>0</v>
      </c>
      <c r="O355" s="2381">
        <f>K355*G355</f>
        <v>0</v>
      </c>
      <c r="P355" s="2408"/>
    </row>
    <row r="356" spans="1:16" s="2358" customFormat="1" outlineLevel="1">
      <c r="A356" s="2361" t="e">
        <f t="shared" si="49"/>
        <v>#N/A</v>
      </c>
      <c r="B356" s="2383"/>
      <c r="C356" s="2395">
        <f>IF(G356&gt;0,C350+1,C350)</f>
        <v>0</v>
      </c>
      <c r="D356" s="2399"/>
      <c r="E356" s="2411" t="s">
        <v>6218</v>
      </c>
      <c r="F356" s="2395" t="s">
        <v>2391</v>
      </c>
      <c r="G356" s="2395">
        <f>G300</f>
        <v>0</v>
      </c>
      <c r="H356" s="2376"/>
      <c r="I356" s="2381"/>
      <c r="J356" s="2376"/>
      <c r="K356" s="2376"/>
      <c r="L356" s="2382">
        <f t="shared" si="45"/>
        <v>0</v>
      </c>
      <c r="M356" s="2382">
        <f t="shared" si="46"/>
        <v>0</v>
      </c>
      <c r="N356" s="2382">
        <f t="shared" si="47"/>
        <v>0</v>
      </c>
      <c r="O356" s="2381">
        <f t="shared" si="48"/>
        <v>0</v>
      </c>
      <c r="P356" s="2408"/>
    </row>
    <row r="357" spans="1:16" s="2358" customFormat="1" ht="14.4" outlineLevel="1">
      <c r="A357" s="2361" t="e">
        <f t="shared" si="49"/>
        <v>#N/A</v>
      </c>
      <c r="B357" s="2383"/>
      <c r="C357" s="2395"/>
      <c r="D357" s="2399"/>
      <c r="E357" s="2401" t="s">
        <v>6207</v>
      </c>
      <c r="F357" s="2395"/>
      <c r="G357" s="2395"/>
      <c r="H357" s="2376"/>
      <c r="I357" s="2381"/>
      <c r="J357" s="2376"/>
      <c r="K357" s="2376"/>
      <c r="L357" s="2382">
        <f t="shared" si="45"/>
        <v>0</v>
      </c>
      <c r="M357" s="2382">
        <f t="shared" si="46"/>
        <v>0</v>
      </c>
      <c r="N357" s="2382">
        <f t="shared" si="47"/>
        <v>0</v>
      </c>
      <c r="O357" s="2381">
        <f t="shared" si="48"/>
        <v>0</v>
      </c>
      <c r="P357" s="2408"/>
    </row>
    <row r="358" spans="1:16" s="2358" customFormat="1" outlineLevel="1">
      <c r="A358" s="2361" t="str">
        <f t="shared" si="49"/>
        <v>Cáp đồng bọc CV120</v>
      </c>
      <c r="B358" s="2383" t="s">
        <v>49</v>
      </c>
      <c r="C358" s="2395"/>
      <c r="D358" s="2373">
        <v>0</v>
      </c>
      <c r="E358" s="2374" t="s">
        <v>2803</v>
      </c>
      <c r="F358" s="2373" t="s">
        <v>2538</v>
      </c>
      <c r="G358" s="2380">
        <f>G356*9</f>
        <v>0</v>
      </c>
      <c r="H358" s="2376">
        <v>236300</v>
      </c>
      <c r="I358" s="2376"/>
      <c r="J358" s="2376">
        <v>0</v>
      </c>
      <c r="K358" s="2376">
        <v>0</v>
      </c>
      <c r="L358" s="2382">
        <f t="shared" si="45"/>
        <v>0</v>
      </c>
      <c r="M358" s="2382">
        <f t="shared" si="46"/>
        <v>0</v>
      </c>
      <c r="N358" s="2382">
        <f t="shared" si="47"/>
        <v>0</v>
      </c>
      <c r="O358" s="2381">
        <f t="shared" si="48"/>
        <v>0</v>
      </c>
      <c r="P358" s="2408"/>
    </row>
    <row r="359" spans="1:16" s="2358" customFormat="1" outlineLevel="1">
      <c r="A359" s="2361" t="str">
        <f t="shared" si="49"/>
        <v xml:space="preserve">Cáp CVV 4x2,5mm2  </v>
      </c>
      <c r="B359" s="2383" t="s">
        <v>1069</v>
      </c>
      <c r="C359" s="2380"/>
      <c r="D359" s="2373" t="s">
        <v>1530</v>
      </c>
      <c r="E359" s="2374" t="s">
        <v>2792</v>
      </c>
      <c r="F359" s="2373" t="s">
        <v>2538</v>
      </c>
      <c r="G359" s="2380">
        <f>4*G356</f>
        <v>0</v>
      </c>
      <c r="H359" s="2376">
        <v>28200</v>
      </c>
      <c r="I359" s="2376"/>
      <c r="J359" s="2376">
        <v>0</v>
      </c>
      <c r="K359" s="2376">
        <v>0</v>
      </c>
      <c r="L359" s="2382">
        <f>H359*G359</f>
        <v>0</v>
      </c>
      <c r="M359" s="2382">
        <f>I359*G359</f>
        <v>0</v>
      </c>
      <c r="N359" s="2382">
        <f>J359*G359</f>
        <v>0</v>
      </c>
      <c r="O359" s="2381">
        <f>K359*G359</f>
        <v>0</v>
      </c>
      <c r="P359" s="2408"/>
    </row>
    <row r="360" spans="1:16" s="2358" customFormat="1" outlineLevel="1">
      <c r="A360" s="2361" t="str">
        <f t="shared" ref="A360:A391" si="50">VLOOKUP(B360,DonGia,3,0)</f>
        <v>Đầu cosse ép Cu 95mm2</v>
      </c>
      <c r="B360" s="2383" t="s">
        <v>6219</v>
      </c>
      <c r="C360" s="2380"/>
      <c r="D360" s="2373" t="s">
        <v>5789</v>
      </c>
      <c r="E360" s="2374" t="s">
        <v>3499</v>
      </c>
      <c r="F360" s="2373" t="s">
        <v>2563</v>
      </c>
      <c r="G360" s="2380">
        <f>G356*G305</f>
        <v>0</v>
      </c>
      <c r="H360" s="2376">
        <v>21000</v>
      </c>
      <c r="I360" s="2376"/>
      <c r="J360" s="2376">
        <v>21217.910000000003</v>
      </c>
      <c r="K360" s="2376">
        <v>3332.427897</v>
      </c>
      <c r="L360" s="2382">
        <f t="shared" si="45"/>
        <v>0</v>
      </c>
      <c r="M360" s="2382">
        <f t="shared" si="46"/>
        <v>0</v>
      </c>
      <c r="N360" s="2382">
        <f t="shared" si="47"/>
        <v>0</v>
      </c>
      <c r="O360" s="2381">
        <f t="shared" si="48"/>
        <v>0</v>
      </c>
      <c r="P360" s="2408"/>
    </row>
    <row r="361" spans="1:16" s="2358" customFormat="1" outlineLevel="1">
      <c r="A361" s="2361" t="str">
        <f t="shared" si="50"/>
        <v>Đầu cosse ép Cu 50mm2</v>
      </c>
      <c r="B361" s="2383" t="s">
        <v>6220</v>
      </c>
      <c r="C361" s="2380"/>
      <c r="D361" s="2373" t="s">
        <v>5787</v>
      </c>
      <c r="E361" s="2374" t="s">
        <v>3497</v>
      </c>
      <c r="F361" s="2373" t="s">
        <v>2563</v>
      </c>
      <c r="G361" s="2380">
        <f>G356</f>
        <v>0</v>
      </c>
      <c r="H361" s="2376">
        <v>9100</v>
      </c>
      <c r="I361" s="2376"/>
      <c r="J361" s="2376">
        <v>10608.955000000002</v>
      </c>
      <c r="K361" s="2376">
        <v>2777.0232475000003</v>
      </c>
      <c r="L361" s="2382">
        <f>H361*G361</f>
        <v>0</v>
      </c>
      <c r="M361" s="2382">
        <f>I361*G361</f>
        <v>0</v>
      </c>
      <c r="N361" s="2382">
        <f>J361*G361</f>
        <v>0</v>
      </c>
      <c r="O361" s="2381">
        <f>K361*G361</f>
        <v>0</v>
      </c>
      <c r="P361" s="2408"/>
    </row>
    <row r="362" spans="1:16" s="2358" customFormat="1" outlineLevel="1">
      <c r="A362" s="2361" t="str">
        <f t="shared" si="50"/>
        <v>Chụp đầu cosse  95mm2</v>
      </c>
      <c r="B362" s="2383" t="s">
        <v>94</v>
      </c>
      <c r="C362" s="2380"/>
      <c r="D362" s="2373">
        <v>0</v>
      </c>
      <c r="E362" s="2374" t="s">
        <v>3513</v>
      </c>
      <c r="F362" s="2373" t="s">
        <v>2563</v>
      </c>
      <c r="G362" s="2380">
        <f>G360</f>
        <v>0</v>
      </c>
      <c r="H362" s="2376">
        <v>4000</v>
      </c>
      <c r="I362" s="2376"/>
      <c r="J362" s="2376">
        <v>0</v>
      </c>
      <c r="K362" s="2376">
        <v>0</v>
      </c>
      <c r="L362" s="2382">
        <f>H362*G362</f>
        <v>0</v>
      </c>
      <c r="M362" s="2382">
        <f>I362*G362</f>
        <v>0</v>
      </c>
      <c r="N362" s="2382">
        <f>J362*G362</f>
        <v>0</v>
      </c>
      <c r="O362" s="2381">
        <f>K362*G362</f>
        <v>0</v>
      </c>
      <c r="P362" s="2408"/>
    </row>
    <row r="363" spans="1:16" s="2358" customFormat="1" outlineLevel="1">
      <c r="A363" s="2361" t="str">
        <f t="shared" si="50"/>
        <v>Chụp đầu cosse  50mm2</v>
      </c>
      <c r="B363" s="2383" t="s">
        <v>6221</v>
      </c>
      <c r="C363" s="2380"/>
      <c r="D363" s="2373">
        <v>0</v>
      </c>
      <c r="E363" s="2374" t="s">
        <v>3511</v>
      </c>
      <c r="F363" s="2373" t="s">
        <v>2563</v>
      </c>
      <c r="G363" s="2380">
        <f>G361</f>
        <v>0</v>
      </c>
      <c r="H363" s="2376">
        <v>1000</v>
      </c>
      <c r="I363" s="2376"/>
      <c r="J363" s="2376">
        <v>0</v>
      </c>
      <c r="K363" s="2376">
        <v>0</v>
      </c>
      <c r="L363" s="2382">
        <f t="shared" si="45"/>
        <v>0</v>
      </c>
      <c r="M363" s="2382">
        <f t="shared" si="46"/>
        <v>0</v>
      </c>
      <c r="N363" s="2382">
        <f t="shared" si="47"/>
        <v>0</v>
      </c>
      <c r="O363" s="2381">
        <f t="shared" si="48"/>
        <v>0</v>
      </c>
      <c r="P363" s="2408"/>
    </row>
    <row r="364" spans="1:16" s="2358" customFormat="1" outlineLevel="1">
      <c r="A364" s="2361" t="str">
        <f t="shared" si="50"/>
        <v>Nắp che đầu sứ MBA</v>
      </c>
      <c r="B364" s="2383" t="s">
        <v>6204</v>
      </c>
      <c r="C364" s="2380"/>
      <c r="D364" s="2373">
        <v>0</v>
      </c>
      <c r="E364" s="2374" t="s">
        <v>5770</v>
      </c>
      <c r="F364" s="2373" t="s">
        <v>2563</v>
      </c>
      <c r="G364" s="2380">
        <f>+$G$300</f>
        <v>0</v>
      </c>
      <c r="H364" s="2376">
        <v>56700</v>
      </c>
      <c r="I364" s="2376"/>
      <c r="J364" s="2376">
        <v>0</v>
      </c>
      <c r="K364" s="2376">
        <v>0</v>
      </c>
      <c r="L364" s="2382">
        <f>H364*G364</f>
        <v>0</v>
      </c>
      <c r="M364" s="2382">
        <f>I364*G364</f>
        <v>0</v>
      </c>
      <c r="N364" s="2382">
        <f>J364*G364</f>
        <v>0</v>
      </c>
      <c r="O364" s="2381">
        <f>K364*G364</f>
        <v>0</v>
      </c>
      <c r="P364" s="2408"/>
    </row>
    <row r="365" spans="1:16" s="2358" customFormat="1" outlineLevel="1">
      <c r="A365" s="2361" t="str">
        <f t="shared" si="50"/>
        <v xml:space="preserve">Ống PVC D90x3,8mm </v>
      </c>
      <c r="B365" s="2383" t="s">
        <v>282</v>
      </c>
      <c r="C365" s="2380"/>
      <c r="D365" s="2373">
        <v>0</v>
      </c>
      <c r="E365" s="2374" t="s">
        <v>3550</v>
      </c>
      <c r="F365" s="2373" t="s">
        <v>1827</v>
      </c>
      <c r="G365" s="2380">
        <f>8*G356</f>
        <v>0</v>
      </c>
      <c r="H365" s="2376">
        <v>63200</v>
      </c>
      <c r="I365" s="2381"/>
      <c r="J365" s="2376">
        <v>0</v>
      </c>
      <c r="K365" s="2376">
        <v>0</v>
      </c>
      <c r="L365" s="2382">
        <f t="shared" si="45"/>
        <v>0</v>
      </c>
      <c r="M365" s="2382">
        <f t="shared" si="46"/>
        <v>0</v>
      </c>
      <c r="N365" s="2382">
        <f t="shared" si="47"/>
        <v>0</v>
      </c>
      <c r="O365" s="2381">
        <f t="shared" si="48"/>
        <v>0</v>
      </c>
      <c r="P365" s="2408"/>
    </row>
    <row r="366" spans="1:16" s="2358" customFormat="1" outlineLevel="1">
      <c r="A366" s="2361" t="str">
        <f t="shared" si="50"/>
        <v>Cổ dê kẹp ống PVC Ø 90</v>
      </c>
      <c r="B366" s="2386" t="s">
        <v>276</v>
      </c>
      <c r="C366" s="2380"/>
      <c r="D366" s="2373">
        <v>0</v>
      </c>
      <c r="E366" s="2374" t="s">
        <v>5318</v>
      </c>
      <c r="F366" s="2373" t="s">
        <v>2445</v>
      </c>
      <c r="G366" s="2380">
        <f>3*G356</f>
        <v>0</v>
      </c>
      <c r="H366" s="2376">
        <v>49000</v>
      </c>
      <c r="I366" s="2381"/>
      <c r="J366" s="2376">
        <v>0</v>
      </c>
      <c r="K366" s="2376">
        <v>0</v>
      </c>
      <c r="L366" s="2382">
        <f t="shared" si="45"/>
        <v>0</v>
      </c>
      <c r="M366" s="2382">
        <f t="shared" si="46"/>
        <v>0</v>
      </c>
      <c r="N366" s="2382">
        <f t="shared" si="47"/>
        <v>0</v>
      </c>
      <c r="O366" s="2381">
        <f t="shared" si="48"/>
        <v>0</v>
      </c>
      <c r="P366" s="2408"/>
    </row>
    <row r="367" spans="1:16" s="2358" customFormat="1" outlineLevel="1">
      <c r="A367" s="2361" t="str">
        <f t="shared" si="50"/>
        <v>Co  90 độ PVC 90</v>
      </c>
      <c r="B367" s="2383" t="s">
        <v>69</v>
      </c>
      <c r="C367" s="2380"/>
      <c r="D367" s="2373">
        <v>0</v>
      </c>
      <c r="E367" s="2374" t="s">
        <v>5859</v>
      </c>
      <c r="F367" s="2373" t="s">
        <v>2563</v>
      </c>
      <c r="G367" s="2380">
        <f>2*G356</f>
        <v>0</v>
      </c>
      <c r="H367" s="2376">
        <v>45400</v>
      </c>
      <c r="I367" s="2381"/>
      <c r="J367" s="2376">
        <v>0</v>
      </c>
      <c r="K367" s="2376">
        <v>0</v>
      </c>
      <c r="L367" s="2382">
        <f t="shared" si="45"/>
        <v>0</v>
      </c>
      <c r="M367" s="2382">
        <f t="shared" si="46"/>
        <v>0</v>
      </c>
      <c r="N367" s="2382">
        <f t="shared" si="47"/>
        <v>0</v>
      </c>
      <c r="O367" s="2381">
        <f t="shared" si="48"/>
        <v>0</v>
      </c>
      <c r="P367" s="2408"/>
    </row>
    <row r="368" spans="1:16" s="2358" customFormat="1" outlineLevel="1">
      <c r="A368" s="2361" t="str">
        <f t="shared" si="50"/>
        <v xml:space="preserve">Nối thẳng ống PVC 90 </v>
      </c>
      <c r="B368" s="2383" t="s">
        <v>725</v>
      </c>
      <c r="C368" s="2380"/>
      <c r="D368" s="2373">
        <v>0</v>
      </c>
      <c r="E368" s="2374" t="s">
        <v>3573</v>
      </c>
      <c r="F368" s="2373" t="s">
        <v>2563</v>
      </c>
      <c r="G368" s="2380">
        <f>G356</f>
        <v>0</v>
      </c>
      <c r="H368" s="2376">
        <v>12400</v>
      </c>
      <c r="I368" s="2381"/>
      <c r="J368" s="2376">
        <v>0</v>
      </c>
      <c r="K368" s="2376">
        <v>0</v>
      </c>
      <c r="L368" s="2382">
        <f t="shared" si="45"/>
        <v>0</v>
      </c>
      <c r="M368" s="2382">
        <f t="shared" si="46"/>
        <v>0</v>
      </c>
      <c r="N368" s="2382">
        <f t="shared" si="47"/>
        <v>0</v>
      </c>
      <c r="O368" s="2381">
        <f t="shared" si="48"/>
        <v>0</v>
      </c>
      <c r="P368" s="2408"/>
    </row>
    <row r="369" spans="1:16" s="2358" customFormat="1" outlineLevel="1">
      <c r="A369" s="2361" t="str">
        <f t="shared" si="50"/>
        <v>Keo dán ống PVC (100gr)</v>
      </c>
      <c r="B369" s="2383" t="s">
        <v>2080</v>
      </c>
      <c r="C369" s="2380"/>
      <c r="D369" s="2373">
        <v>0</v>
      </c>
      <c r="E369" s="2374" t="s">
        <v>3588</v>
      </c>
      <c r="F369" s="2373" t="s">
        <v>3589</v>
      </c>
      <c r="G369" s="2380">
        <f>G356</f>
        <v>0</v>
      </c>
      <c r="H369" s="2376">
        <v>11500</v>
      </c>
      <c r="I369" s="2381"/>
      <c r="J369" s="2376">
        <v>0</v>
      </c>
      <c r="K369" s="2376">
        <v>0</v>
      </c>
      <c r="L369" s="2382">
        <f t="shared" si="45"/>
        <v>0</v>
      </c>
      <c r="M369" s="2382">
        <f t="shared" si="46"/>
        <v>0</v>
      </c>
      <c r="N369" s="2382">
        <f t="shared" si="47"/>
        <v>0</v>
      </c>
      <c r="O369" s="2381">
        <f t="shared" si="48"/>
        <v>0</v>
      </c>
      <c r="P369" s="2408"/>
    </row>
    <row r="370" spans="1:16" s="2358" customFormat="1" outlineLevel="1">
      <c r="A370" s="2361" t="str">
        <f t="shared" si="50"/>
        <v>Keo silicon bít miệng ống</v>
      </c>
      <c r="B370" s="2383" t="s">
        <v>489</v>
      </c>
      <c r="C370" s="2380"/>
      <c r="D370" s="2373">
        <v>0</v>
      </c>
      <c r="E370" s="2374" t="s">
        <v>3585</v>
      </c>
      <c r="F370" s="2373" t="s">
        <v>5868</v>
      </c>
      <c r="G370" s="2380">
        <f>G356</f>
        <v>0</v>
      </c>
      <c r="H370" s="2376">
        <v>45000</v>
      </c>
      <c r="I370" s="2381"/>
      <c r="J370" s="2376">
        <v>0</v>
      </c>
      <c r="K370" s="2376">
        <v>0</v>
      </c>
      <c r="L370" s="2382">
        <f>H370*G370</f>
        <v>0</v>
      </c>
      <c r="M370" s="2382">
        <f>I370*G370</f>
        <v>0</v>
      </c>
      <c r="N370" s="2382">
        <f>J370*G370</f>
        <v>0</v>
      </c>
      <c r="O370" s="2381">
        <f>K370*G370</f>
        <v>0</v>
      </c>
      <c r="P370" s="2408"/>
    </row>
    <row r="371" spans="1:16" s="2358" customFormat="1" outlineLevel="1">
      <c r="A371" s="2361" t="str">
        <f t="shared" si="50"/>
        <v>Băng keo cách điện</v>
      </c>
      <c r="B371" s="2386" t="s">
        <v>672</v>
      </c>
      <c r="C371" s="2380"/>
      <c r="D371" s="2403"/>
      <c r="E371" s="2374" t="s">
        <v>5863</v>
      </c>
      <c r="F371" s="2373" t="s">
        <v>3584</v>
      </c>
      <c r="G371" s="2380">
        <f>G356</f>
        <v>0</v>
      </c>
      <c r="H371" s="2376">
        <v>6500</v>
      </c>
      <c r="I371" s="2381"/>
      <c r="J371" s="2376">
        <v>0</v>
      </c>
      <c r="K371" s="2376">
        <v>0</v>
      </c>
      <c r="L371" s="2382">
        <f t="shared" si="45"/>
        <v>0</v>
      </c>
      <c r="M371" s="2382">
        <f t="shared" si="46"/>
        <v>0</v>
      </c>
      <c r="N371" s="2382">
        <f t="shared" si="47"/>
        <v>0</v>
      </c>
      <c r="O371" s="2381">
        <f t="shared" si="48"/>
        <v>0</v>
      </c>
      <c r="P371" s="2408"/>
    </row>
    <row r="372" spans="1:16" s="2358" customFormat="1" outlineLevel="1">
      <c r="A372" s="2361" t="str">
        <f t="shared" si="50"/>
        <v>Lắp ống nhựa PVC D90</v>
      </c>
      <c r="B372" s="2383" t="s">
        <v>2188</v>
      </c>
      <c r="C372" s="2380"/>
      <c r="D372" s="2373" t="s">
        <v>5609</v>
      </c>
      <c r="E372" s="2374" t="s">
        <v>3270</v>
      </c>
      <c r="F372" s="2373" t="s">
        <v>2538</v>
      </c>
      <c r="G372" s="2380">
        <f>G365</f>
        <v>0</v>
      </c>
      <c r="H372" s="2376"/>
      <c r="I372" s="2381"/>
      <c r="J372" s="2376">
        <v>55493.02</v>
      </c>
      <c r="K372" s="2376">
        <v>0</v>
      </c>
      <c r="L372" s="2382">
        <f t="shared" si="45"/>
        <v>0</v>
      </c>
      <c r="M372" s="2382">
        <f t="shared" si="46"/>
        <v>0</v>
      </c>
      <c r="N372" s="2382">
        <f t="shared" si="47"/>
        <v>0</v>
      </c>
      <c r="O372" s="2381">
        <f t="shared" si="48"/>
        <v>0</v>
      </c>
      <c r="P372" s="2408"/>
    </row>
    <row r="373" spans="1:16" s="2358" customFormat="1" outlineLevel="1">
      <c r="A373" s="2361" t="str">
        <f t="shared" si="50"/>
        <v>Lắp cáp đồng xuống thiết bị D ≤ 95mm2</v>
      </c>
      <c r="B373" s="2386" t="s">
        <v>1528</v>
      </c>
      <c r="C373" s="2380"/>
      <c r="D373" s="2373" t="s">
        <v>5633</v>
      </c>
      <c r="E373" s="2374" t="s">
        <v>3310</v>
      </c>
      <c r="F373" s="2373" t="s">
        <v>1827</v>
      </c>
      <c r="G373" s="2380">
        <f>G358</f>
        <v>0</v>
      </c>
      <c r="H373" s="2376"/>
      <c r="I373" s="2381"/>
      <c r="J373" s="2376">
        <v>13915</v>
      </c>
      <c r="K373" s="2376">
        <v>0</v>
      </c>
      <c r="L373" s="2382">
        <f>H373*G373</f>
        <v>0</v>
      </c>
      <c r="M373" s="2382">
        <f>I373*G373</f>
        <v>0</v>
      </c>
      <c r="N373" s="2382">
        <f>J373*G373</f>
        <v>0</v>
      </c>
      <c r="O373" s="2381">
        <f>K373*G373</f>
        <v>0</v>
      </c>
      <c r="P373" s="2408"/>
    </row>
    <row r="374" spans="1:16" s="2358" customFormat="1" outlineLevel="1">
      <c r="A374" s="2361" t="str">
        <f t="shared" si="50"/>
        <v>Bảng tên trạm, bảng báo nguy hiểm + đinh vít</v>
      </c>
      <c r="B374" s="2383" t="s">
        <v>289</v>
      </c>
      <c r="C374" s="2413">
        <f>IF(G374&gt;0,C356+1,C356)</f>
        <v>0</v>
      </c>
      <c r="D374" s="2414"/>
      <c r="E374" s="2374" t="s">
        <v>5774</v>
      </c>
      <c r="F374" s="2373" t="s">
        <v>2563</v>
      </c>
      <c r="G374" s="2413">
        <f>G323</f>
        <v>0</v>
      </c>
      <c r="H374" s="2376">
        <v>300000</v>
      </c>
      <c r="I374" s="2416"/>
      <c r="J374" s="2376">
        <v>0</v>
      </c>
      <c r="K374" s="2376">
        <v>0</v>
      </c>
      <c r="L374" s="2415">
        <f t="shared" si="45"/>
        <v>0</v>
      </c>
      <c r="M374" s="2415">
        <f t="shared" si="46"/>
        <v>0</v>
      </c>
      <c r="N374" s="2415">
        <f t="shared" si="47"/>
        <v>0</v>
      </c>
      <c r="O374" s="2416">
        <f t="shared" si="48"/>
        <v>0</v>
      </c>
      <c r="P374" s="2432"/>
    </row>
    <row r="375" spans="1:16" s="2358" customFormat="1" outlineLevel="1">
      <c r="A375" s="2361" t="e">
        <f t="shared" si="50"/>
        <v>#N/A</v>
      </c>
      <c r="B375" s="2383"/>
      <c r="C375" s="2418"/>
      <c r="D375" s="2419"/>
      <c r="E375" s="2392"/>
      <c r="F375" s="2875"/>
      <c r="G375" s="2875"/>
      <c r="H375" s="2875"/>
      <c r="I375" s="2875"/>
      <c r="J375" s="2911" t="s">
        <v>6205</v>
      </c>
      <c r="K375" s="2911"/>
      <c r="L375" s="2420">
        <f>SUM(L311:L374)</f>
        <v>0</v>
      </c>
      <c r="M375" s="2420"/>
      <c r="N375" s="2420">
        <f>SUM(N311:N374)</f>
        <v>0</v>
      </c>
      <c r="O375" s="2420">
        <f>SUM(O311:O374)</f>
        <v>0</v>
      </c>
      <c r="P375" s="2423"/>
    </row>
    <row r="376" spans="1:16" s="2358" customFormat="1" ht="13.8" customHeight="1">
      <c r="A376" s="2402" t="str">
        <f>IF(G381&lt;&gt;0,1,"")</f>
        <v/>
      </c>
      <c r="B376" s="2384"/>
      <c r="C376" s="2876"/>
      <c r="D376" s="2402"/>
    </row>
    <row r="377" spans="1:16" s="2358" customFormat="1" outlineLevel="1">
      <c r="A377" s="2361" t="e">
        <f t="shared" ref="A377:A408" si="51">VLOOKUP(B377,DonGia,3,0)</f>
        <v>#N/A</v>
      </c>
      <c r="B377" s="2384"/>
      <c r="C377" s="2397" t="str">
        <f>"BẢNG TỔNG HỢP VẬT LIỆU, NHÂN CÔNG, MÁY THI CÔNG: "&amp;H10&amp;" TRẠM 1P_75KVA"</f>
        <v>BẢNG TỔNG HỢP VẬT LIỆU, NHÂN CÔNG, MÁY THI CÔNG: 0 TRẠM 1P_75KVA</v>
      </c>
      <c r="D377" s="2878"/>
      <c r="E377" s="2397"/>
      <c r="F377" s="2397"/>
      <c r="G377" s="2397"/>
      <c r="H377" s="2397"/>
      <c r="I377" s="2397"/>
      <c r="J377" s="2397"/>
      <c r="K377" s="2397"/>
      <c r="L377" s="2397"/>
      <c r="M377" s="2397"/>
      <c r="N377" s="2397"/>
      <c r="O377" s="2397"/>
      <c r="P377" s="2402"/>
    </row>
    <row r="378" spans="1:16" s="2358" customFormat="1" outlineLevel="1">
      <c r="A378" s="2361" t="e">
        <f t="shared" si="51"/>
        <v>#N/A</v>
      </c>
      <c r="B378" s="2383" t="s">
        <v>6186</v>
      </c>
      <c r="C378" s="2901" t="s">
        <v>1712</v>
      </c>
      <c r="D378" s="2902" t="s">
        <v>2605</v>
      </c>
      <c r="E378" s="2904" t="s">
        <v>2606</v>
      </c>
      <c r="F378" s="2901" t="s">
        <v>2601</v>
      </c>
      <c r="G378" s="2362" t="s">
        <v>6187</v>
      </c>
      <c r="H378" s="2365" t="s">
        <v>6188</v>
      </c>
      <c r="I378" s="2872"/>
      <c r="J378" s="2872"/>
      <c r="K378" s="2873"/>
      <c r="L378" s="2365" t="s">
        <v>6189</v>
      </c>
      <c r="M378" s="2872"/>
      <c r="N378" s="2872"/>
      <c r="O378" s="2873"/>
      <c r="P378" s="2901" t="s">
        <v>2607</v>
      </c>
    </row>
    <row r="379" spans="1:16" s="2358" customFormat="1" outlineLevel="1">
      <c r="A379" s="2361" t="e">
        <f t="shared" si="51"/>
        <v>#N/A</v>
      </c>
      <c r="B379" s="2383"/>
      <c r="C379" s="2901"/>
      <c r="D379" s="2903"/>
      <c r="E379" s="2905"/>
      <c r="F379" s="2901"/>
      <c r="G379" s="2364" t="s">
        <v>2292</v>
      </c>
      <c r="H379" s="2365" t="s">
        <v>6190</v>
      </c>
      <c r="I379" s="2365" t="s">
        <v>6191</v>
      </c>
      <c r="J379" s="2365" t="s">
        <v>6192</v>
      </c>
      <c r="K379" s="2365" t="s">
        <v>6193</v>
      </c>
      <c r="L379" s="2365" t="s">
        <v>6190</v>
      </c>
      <c r="M379" s="2365" t="s">
        <v>6191</v>
      </c>
      <c r="N379" s="2365" t="s">
        <v>6192</v>
      </c>
      <c r="O379" s="2365" t="s">
        <v>6193</v>
      </c>
      <c r="P379" s="2901"/>
    </row>
    <row r="380" spans="1:16" s="2358" customFormat="1" outlineLevel="1">
      <c r="A380" s="2361" t="e">
        <f t="shared" si="51"/>
        <v>#N/A</v>
      </c>
      <c r="B380" s="2383"/>
      <c r="C380" s="2366"/>
      <c r="D380" s="2367"/>
      <c r="E380" s="2368" t="s">
        <v>3690</v>
      </c>
      <c r="F380" s="2369"/>
      <c r="G380" s="2369"/>
      <c r="H380" s="2369"/>
      <c r="I380" s="2369"/>
      <c r="J380" s="2369"/>
      <c r="K380" s="2369"/>
      <c r="L380" s="2369"/>
      <c r="M380" s="2369"/>
      <c r="N380" s="2369"/>
      <c r="O380" s="2367"/>
      <c r="P380" s="2370"/>
    </row>
    <row r="381" spans="1:16" s="2358" customFormat="1" outlineLevel="1">
      <c r="A381" s="2361" t="str">
        <f t="shared" si="51"/>
        <v>Máy biến áp 12,7/0,23-0,46kV  75kVA</v>
      </c>
      <c r="B381" s="2371" t="str">
        <f>IF($F$8=22,"TR751","TR75")</f>
        <v>TR751</v>
      </c>
      <c r="C381" s="2372">
        <f>IF(G381&gt;0,1,0)</f>
        <v>0</v>
      </c>
      <c r="D381" s="2373" t="s">
        <v>5647</v>
      </c>
      <c r="E381" s="2374" t="s">
        <v>5650</v>
      </c>
      <c r="F381" s="2373" t="s">
        <v>3318</v>
      </c>
      <c r="G381" s="2436">
        <f>H10</f>
        <v>0</v>
      </c>
      <c r="H381" s="2376">
        <v>0</v>
      </c>
      <c r="I381" s="2376"/>
      <c r="J381" s="2376">
        <v>838653</v>
      </c>
      <c r="K381" s="2376">
        <v>284508</v>
      </c>
      <c r="L381" s="2382">
        <f t="shared" ref="L381:L389" si="52">H381*G381</f>
        <v>0</v>
      </c>
      <c r="M381" s="2382">
        <f t="shared" ref="M381:M386" si="53">I381*G381</f>
        <v>0</v>
      </c>
      <c r="N381" s="2382">
        <f t="shared" ref="N381:N386" si="54">J381*G381</f>
        <v>0</v>
      </c>
      <c r="O381" s="2381">
        <f t="shared" ref="O381:O386" si="55">K381*G381</f>
        <v>0</v>
      </c>
      <c r="P381" s="2408"/>
    </row>
    <row r="382" spans="1:16" s="2358" customFormat="1" outlineLevel="1">
      <c r="A382" s="2361" t="str">
        <f t="shared" si="51"/>
        <v>FCO 27kV - 100A</v>
      </c>
      <c r="B382" s="2371" t="str">
        <f>"FCO100-"&amp;$F$8</f>
        <v>FCO100-22</v>
      </c>
      <c r="C382" s="2372">
        <f t="shared" ref="C382:C389" si="56">IF(G382&gt;0,C381+1,C381)</f>
        <v>0</v>
      </c>
      <c r="D382" s="2373" t="s">
        <v>5660</v>
      </c>
      <c r="E382" s="2374" t="s">
        <v>95</v>
      </c>
      <c r="F382" s="2373" t="s">
        <v>2563</v>
      </c>
      <c r="G382" s="2437">
        <f>+G381</f>
        <v>0</v>
      </c>
      <c r="H382" s="2376">
        <v>2244280</v>
      </c>
      <c r="I382" s="2376"/>
      <c r="J382" s="2376">
        <v>222639.99999999997</v>
      </c>
      <c r="K382" s="2376">
        <v>0</v>
      </c>
      <c r="L382" s="2382">
        <f t="shared" si="52"/>
        <v>0</v>
      </c>
      <c r="M382" s="2382">
        <f t="shared" si="53"/>
        <v>0</v>
      </c>
      <c r="N382" s="2382">
        <f t="shared" si="54"/>
        <v>0</v>
      </c>
      <c r="O382" s="2381">
        <f t="shared" si="55"/>
        <v>0</v>
      </c>
      <c r="P382" s="2408"/>
    </row>
    <row r="383" spans="1:16" s="2358" customFormat="1" outlineLevel="1">
      <c r="A383" s="2361" t="str">
        <f t="shared" si="51"/>
        <v>Dây chảy 8K</v>
      </c>
      <c r="B383" s="2371" t="s">
        <v>1027</v>
      </c>
      <c r="C383" s="2372">
        <f t="shared" si="56"/>
        <v>0</v>
      </c>
      <c r="D383" s="2373">
        <v>0</v>
      </c>
      <c r="E383" s="2374" t="s">
        <v>3442</v>
      </c>
      <c r="F383" s="2373" t="s">
        <v>2608</v>
      </c>
      <c r="G383" s="2437">
        <f>G382</f>
        <v>0</v>
      </c>
      <c r="H383" s="2376">
        <v>84000</v>
      </c>
      <c r="I383" s="2376"/>
      <c r="J383" s="2376">
        <v>0</v>
      </c>
      <c r="K383" s="2376">
        <v>0</v>
      </c>
      <c r="L383" s="2382">
        <f t="shared" si="52"/>
        <v>0</v>
      </c>
      <c r="M383" s="2382">
        <f t="shared" si="53"/>
        <v>0</v>
      </c>
      <c r="N383" s="2382">
        <f t="shared" si="54"/>
        <v>0</v>
      </c>
      <c r="O383" s="2381">
        <f t="shared" si="55"/>
        <v>0</v>
      </c>
      <c r="P383" s="2408"/>
    </row>
    <row r="384" spans="1:16" s="2358" customFormat="1" outlineLevel="1">
      <c r="A384" s="2361" t="str">
        <f t="shared" si="51"/>
        <v>Chống sét van LA-18KV-10KA</v>
      </c>
      <c r="B384" s="2384" t="str">
        <f>"LA"&amp;$F$6</f>
        <v>LA18</v>
      </c>
      <c r="C384" s="2372">
        <f t="shared" si="56"/>
        <v>0</v>
      </c>
      <c r="D384" s="2373" t="s">
        <v>5664</v>
      </c>
      <c r="E384" s="2374" t="s">
        <v>1193</v>
      </c>
      <c r="F384" s="2373" t="s">
        <v>2563</v>
      </c>
      <c r="G384" s="2437">
        <f>G382</f>
        <v>0</v>
      </c>
      <c r="H384" s="2376">
        <v>1106000</v>
      </c>
      <c r="I384" s="2376"/>
      <c r="J384" s="2376">
        <v>83490</v>
      </c>
      <c r="K384" s="2376">
        <v>0</v>
      </c>
      <c r="L384" s="2382">
        <f t="shared" si="52"/>
        <v>0</v>
      </c>
      <c r="M384" s="2382">
        <f t="shared" si="53"/>
        <v>0</v>
      </c>
      <c r="N384" s="2382">
        <f t="shared" si="54"/>
        <v>0</v>
      </c>
      <c r="O384" s="2381">
        <f t="shared" si="55"/>
        <v>0</v>
      </c>
      <c r="P384" s="2408"/>
    </row>
    <row r="385" spans="1:18" s="2358" customFormat="1" outlineLevel="1">
      <c r="A385" s="2361" t="str">
        <f t="shared" si="51"/>
        <v xml:space="preserve">Biến dòng 600V - 200/5A </v>
      </c>
      <c r="B385" s="2385" t="s">
        <v>1116</v>
      </c>
      <c r="C385" s="2372">
        <f t="shared" si="56"/>
        <v>0</v>
      </c>
      <c r="D385" s="2373">
        <v>0</v>
      </c>
      <c r="E385" s="2374" t="s">
        <v>3377</v>
      </c>
      <c r="F385" s="2373" t="s">
        <v>2563</v>
      </c>
      <c r="G385" s="2437">
        <f>G381*2</f>
        <v>0</v>
      </c>
      <c r="H385" s="2376">
        <v>0</v>
      </c>
      <c r="I385" s="2376"/>
      <c r="J385" s="2376">
        <v>0</v>
      </c>
      <c r="K385" s="2376">
        <v>0</v>
      </c>
      <c r="L385" s="2382">
        <f t="shared" si="52"/>
        <v>0</v>
      </c>
      <c r="M385" s="2382">
        <f t="shared" si="53"/>
        <v>0</v>
      </c>
      <c r="N385" s="2382">
        <f t="shared" si="54"/>
        <v>0</v>
      </c>
      <c r="O385" s="2381">
        <f t="shared" si="55"/>
        <v>0</v>
      </c>
      <c r="P385" s="2408"/>
    </row>
    <row r="386" spans="1:18" s="2358" customFormat="1" outlineLevel="1">
      <c r="A386" s="2361" t="str">
        <f t="shared" si="51"/>
        <v>MCCB 3 cực 400V -200A - 35KA</v>
      </c>
      <c r="B386" s="2412" t="s">
        <v>1430</v>
      </c>
      <c r="C386" s="2372">
        <f t="shared" si="56"/>
        <v>0</v>
      </c>
      <c r="D386" s="2373">
        <v>0</v>
      </c>
      <c r="E386" s="2374" t="s">
        <v>5743</v>
      </c>
      <c r="F386" s="2373" t="s">
        <v>2563</v>
      </c>
      <c r="G386" s="2437">
        <f>G381</f>
        <v>0</v>
      </c>
      <c r="H386" s="2438">
        <v>9508000</v>
      </c>
      <c r="I386" s="2376"/>
      <c r="J386" s="2376"/>
      <c r="K386" s="2376">
        <v>0</v>
      </c>
      <c r="L386" s="2382">
        <f t="shared" si="52"/>
        <v>0</v>
      </c>
      <c r="M386" s="2382">
        <f t="shared" si="53"/>
        <v>0</v>
      </c>
      <c r="N386" s="2382">
        <f t="shared" si="54"/>
        <v>0</v>
      </c>
      <c r="O386" s="2381">
        <f t="shared" si="55"/>
        <v>0</v>
      </c>
      <c r="P386" s="2380" t="s">
        <v>2609</v>
      </c>
    </row>
    <row r="387" spans="1:18" s="2358" customFormat="1" outlineLevel="1">
      <c r="A387" s="2361" t="str">
        <f t="shared" si="51"/>
        <v>Điện kế 1 pha 2 dây 220V-5A</v>
      </c>
      <c r="B387" s="2386" t="s">
        <v>287</v>
      </c>
      <c r="C387" s="2372">
        <f>IF(G387&gt;0,C386+1,C386)</f>
        <v>0</v>
      </c>
      <c r="D387" s="2373">
        <v>0</v>
      </c>
      <c r="E387" s="2374" t="s">
        <v>3457</v>
      </c>
      <c r="F387" s="2373" t="s">
        <v>2563</v>
      </c>
      <c r="G387" s="2437">
        <f>G381*2</f>
        <v>0</v>
      </c>
      <c r="H387" s="2376">
        <v>0</v>
      </c>
      <c r="I387" s="2376"/>
      <c r="J387" s="2376">
        <v>0</v>
      </c>
      <c r="K387" s="2376">
        <v>0</v>
      </c>
      <c r="L387" s="2382">
        <f t="shared" si="52"/>
        <v>0</v>
      </c>
      <c r="M387" s="2382">
        <f>I387*G387</f>
        <v>0</v>
      </c>
      <c r="N387" s="2382">
        <f>J387*G387</f>
        <v>0</v>
      </c>
      <c r="O387" s="2381">
        <f>K387*G387</f>
        <v>0</v>
      </c>
      <c r="P387" s="2380" t="s">
        <v>2609</v>
      </c>
    </row>
    <row r="388" spans="1:18" s="2358" customFormat="1" outlineLevel="1">
      <c r="A388" s="2361" t="str">
        <f t="shared" si="51"/>
        <v xml:space="preserve">Ampe kế 100/5A-600v +AS </v>
      </c>
      <c r="B388" s="2383" t="s">
        <v>199</v>
      </c>
      <c r="C388" s="2372">
        <f t="shared" si="56"/>
        <v>0</v>
      </c>
      <c r="D388" s="2373">
        <v>0</v>
      </c>
      <c r="E388" s="2374" t="s">
        <v>3613</v>
      </c>
      <c r="F388" s="2373" t="s">
        <v>2391</v>
      </c>
      <c r="G388" s="2380">
        <f>G387*0</f>
        <v>0</v>
      </c>
      <c r="H388" s="2376"/>
      <c r="I388" s="2376"/>
      <c r="J388" s="2376">
        <v>0</v>
      </c>
      <c r="K388" s="2376">
        <v>0</v>
      </c>
      <c r="L388" s="2382">
        <f t="shared" si="52"/>
        <v>0</v>
      </c>
      <c r="M388" s="2382">
        <f>I388*G388</f>
        <v>0</v>
      </c>
      <c r="N388" s="2382">
        <f>J388*G388</f>
        <v>0</v>
      </c>
      <c r="O388" s="2381">
        <f>K388*G388</f>
        <v>0</v>
      </c>
      <c r="P388" s="2408"/>
    </row>
    <row r="389" spans="1:18" s="2358" customFormat="1" outlineLevel="1">
      <c r="A389" s="2361" t="str">
        <f t="shared" si="51"/>
        <v>Volt kế 500V + VS + 2xChì ống 1A-230V</v>
      </c>
      <c r="B389" s="2383" t="s">
        <v>200</v>
      </c>
      <c r="C389" s="2372">
        <f t="shared" si="56"/>
        <v>0</v>
      </c>
      <c r="D389" s="2373">
        <v>0</v>
      </c>
      <c r="E389" s="2374" t="s">
        <v>3614</v>
      </c>
      <c r="F389" s="2373" t="s">
        <v>2391</v>
      </c>
      <c r="G389" s="2380">
        <f>G388</f>
        <v>0</v>
      </c>
      <c r="H389" s="2376"/>
      <c r="I389" s="2376"/>
      <c r="J389" s="2376">
        <v>0</v>
      </c>
      <c r="K389" s="2376">
        <v>0</v>
      </c>
      <c r="L389" s="2382">
        <f t="shared" si="52"/>
        <v>0</v>
      </c>
      <c r="M389" s="2382">
        <f>I389*G389</f>
        <v>0</v>
      </c>
      <c r="N389" s="2382">
        <f>J389*G389</f>
        <v>0</v>
      </c>
      <c r="O389" s="2381">
        <f>K389*G389</f>
        <v>0</v>
      </c>
      <c r="P389" s="2432"/>
    </row>
    <row r="390" spans="1:18" s="2358" customFormat="1" outlineLevel="1">
      <c r="A390" s="2361" t="e">
        <f t="shared" si="51"/>
        <v>#N/A</v>
      </c>
      <c r="B390" s="2383"/>
      <c r="C390" s="2388"/>
      <c r="D390" s="2389"/>
      <c r="E390" s="2370"/>
      <c r="F390" s="2388"/>
      <c r="G390" s="2879"/>
      <c r="H390" s="2388"/>
      <c r="I390" s="2388"/>
      <c r="J390" s="2370" t="s">
        <v>6195</v>
      </c>
      <c r="K390" s="2388"/>
      <c r="L390" s="2370">
        <f>SUM(L381:L389)</f>
        <v>0</v>
      </c>
      <c r="M390" s="2370"/>
      <c r="N390" s="2370">
        <f>SUM(N381:N389)</f>
        <v>0</v>
      </c>
      <c r="O390" s="2370">
        <f>SUM(O381:O389)</f>
        <v>0</v>
      </c>
      <c r="P390" s="2423"/>
    </row>
    <row r="391" spans="1:18" s="2358" customFormat="1" outlineLevel="1">
      <c r="A391" s="2361" t="e">
        <f t="shared" si="51"/>
        <v>#N/A</v>
      </c>
      <c r="B391" s="2383"/>
      <c r="C391" s="2390"/>
      <c r="D391" s="2391"/>
      <c r="E391" s="2392" t="s">
        <v>3691</v>
      </c>
      <c r="F391" s="2392"/>
      <c r="G391" s="2439"/>
      <c r="H391" s="2392"/>
      <c r="I391" s="2392"/>
      <c r="J391" s="2392"/>
      <c r="K391" s="2392"/>
      <c r="L391" s="2392"/>
      <c r="M391" s="2392"/>
      <c r="N391" s="2392"/>
      <c r="O391" s="2391"/>
      <c r="P391" s="2423"/>
    </row>
    <row r="392" spans="1:18" s="2358" customFormat="1" outlineLevel="1">
      <c r="A392" s="2361" t="str">
        <f t="shared" si="51"/>
        <v>Boulon 16x300+ 2 long đền vuông D18-50x50x3/Zn</v>
      </c>
      <c r="B392" s="2383" t="s">
        <v>1613</v>
      </c>
      <c r="C392" s="2393">
        <f>IF(G404&gt;0,1,0)</f>
        <v>0</v>
      </c>
      <c r="D392" s="2399"/>
      <c r="E392" s="2374" t="s">
        <v>2657</v>
      </c>
      <c r="F392" s="2373" t="s">
        <v>2445</v>
      </c>
      <c r="G392" s="2440">
        <f>2*SUM(G381:G381)</f>
        <v>0</v>
      </c>
      <c r="H392" s="2376">
        <v>25400</v>
      </c>
      <c r="I392" s="2381"/>
      <c r="J392" s="2376">
        <v>0</v>
      </c>
      <c r="K392" s="2376">
        <v>0</v>
      </c>
      <c r="L392" s="2382">
        <f t="shared" ref="L392:L456" si="57">H392*G392</f>
        <v>0</v>
      </c>
      <c r="M392" s="2382">
        <f t="shared" ref="M392:M456" si="58">I392*G392</f>
        <v>0</v>
      </c>
      <c r="N392" s="2382">
        <f t="shared" ref="N392:N427" si="59">J392*G392</f>
        <v>0</v>
      </c>
      <c r="O392" s="2381">
        <f t="shared" ref="O392:O456" si="60">K392*G392</f>
        <v>0</v>
      </c>
      <c r="P392" s="2422"/>
    </row>
    <row r="393" spans="1:18" s="2358" customFormat="1" outlineLevel="1">
      <c r="A393" s="2361" t="e">
        <f t="shared" si="51"/>
        <v>#N/A</v>
      </c>
      <c r="B393" s="2383"/>
      <c r="C393" s="2398">
        <f>IF(G393&gt;0,C392+1,C392)</f>
        <v>0</v>
      </c>
      <c r="D393" s="2399"/>
      <c r="E393" s="2400" t="s">
        <v>6212</v>
      </c>
      <c r="F393" s="2395" t="s">
        <v>2391</v>
      </c>
      <c r="G393" s="2395">
        <f>G381*0</f>
        <v>0</v>
      </c>
      <c r="H393" s="2381"/>
      <c r="I393" s="2381"/>
      <c r="J393" s="2381"/>
      <c r="K393" s="2381"/>
      <c r="L393" s="2382">
        <f t="shared" si="57"/>
        <v>0</v>
      </c>
      <c r="M393" s="2382">
        <f t="shared" si="58"/>
        <v>0</v>
      </c>
      <c r="N393" s="2382">
        <f t="shared" si="59"/>
        <v>0</v>
      </c>
      <c r="O393" s="2381">
        <f t="shared" si="60"/>
        <v>0</v>
      </c>
      <c r="P393" s="2380"/>
    </row>
    <row r="394" spans="1:18" s="2358" customFormat="1" ht="14.4" outlineLevel="1">
      <c r="A394" s="2361" t="e">
        <f t="shared" si="51"/>
        <v>#N/A</v>
      </c>
      <c r="B394" s="2383"/>
      <c r="C394" s="2395"/>
      <c r="D394" s="2399"/>
      <c r="E394" s="2401" t="s">
        <v>6207</v>
      </c>
      <c r="F394" s="2380"/>
      <c r="G394" s="2380"/>
      <c r="H394" s="2381"/>
      <c r="I394" s="2381"/>
      <c r="J394" s="2381"/>
      <c r="K394" s="2381"/>
      <c r="L394" s="2382">
        <f t="shared" si="57"/>
        <v>0</v>
      </c>
      <c r="M394" s="2382">
        <f t="shared" si="58"/>
        <v>0</v>
      </c>
      <c r="N394" s="2382">
        <f t="shared" si="59"/>
        <v>0</v>
      </c>
      <c r="O394" s="2381">
        <f t="shared" si="60"/>
        <v>0</v>
      </c>
      <c r="P394" s="2380"/>
      <c r="R394" s="2402"/>
    </row>
    <row r="395" spans="1:18" s="2358" customFormat="1" outlineLevel="1">
      <c r="A395" s="2361" t="str">
        <f t="shared" si="51"/>
        <v>Trụ BTLT 12m F350 dự ứng lực</v>
      </c>
      <c r="B395" s="2386" t="s">
        <v>115</v>
      </c>
      <c r="C395" s="2380"/>
      <c r="D395" s="2373">
        <v>0</v>
      </c>
      <c r="E395" s="2374" t="s">
        <v>3009</v>
      </c>
      <c r="F395" s="2373" t="s">
        <v>2839</v>
      </c>
      <c r="G395" s="2380">
        <f>1*G393</f>
        <v>0</v>
      </c>
      <c r="H395" s="2376">
        <v>4400000</v>
      </c>
      <c r="I395" s="2376"/>
      <c r="J395" s="2376">
        <v>0</v>
      </c>
      <c r="K395" s="2376">
        <v>0</v>
      </c>
      <c r="L395" s="2382">
        <f t="shared" si="57"/>
        <v>0</v>
      </c>
      <c r="M395" s="2382">
        <f t="shared" si="58"/>
        <v>0</v>
      </c>
      <c r="N395" s="2382">
        <f t="shared" si="59"/>
        <v>0</v>
      </c>
      <c r="O395" s="2381">
        <f t="shared" si="60"/>
        <v>0</v>
      </c>
      <c r="P395" s="2380"/>
      <c r="R395" s="2402"/>
    </row>
    <row r="396" spans="1:18" s="2358" customFormat="1" outlineLevel="1">
      <c r="A396" s="2361" t="str">
        <f t="shared" si="51"/>
        <v>Vật liệu dựng trụ</v>
      </c>
      <c r="B396" s="2386" t="s">
        <v>1818</v>
      </c>
      <c r="C396" s="2380"/>
      <c r="D396" s="2403"/>
      <c r="E396" s="2374" t="s">
        <v>2838</v>
      </c>
      <c r="F396" s="2373" t="s">
        <v>2839</v>
      </c>
      <c r="G396" s="2380">
        <f>G395</f>
        <v>0</v>
      </c>
      <c r="H396" s="2376">
        <v>17400</v>
      </c>
      <c r="I396" s="2376"/>
      <c r="J396" s="2376">
        <v>0</v>
      </c>
      <c r="K396" s="2376">
        <v>0</v>
      </c>
      <c r="L396" s="2382">
        <f t="shared" si="57"/>
        <v>0</v>
      </c>
      <c r="M396" s="2382">
        <f t="shared" si="58"/>
        <v>0</v>
      </c>
      <c r="N396" s="2382">
        <f t="shared" si="59"/>
        <v>0</v>
      </c>
      <c r="O396" s="2381">
        <f t="shared" si="60"/>
        <v>0</v>
      </c>
      <c r="P396" s="2380"/>
      <c r="R396" s="2402"/>
    </row>
    <row r="397" spans="1:18" s="2358" customFormat="1" outlineLevel="1">
      <c r="A397" s="2361" t="str">
        <f t="shared" si="51"/>
        <v>Dựng trụ BTLT 12m trong TBA bằng thủ công + cơ giới</v>
      </c>
      <c r="B397" s="2386" t="s">
        <v>2132</v>
      </c>
      <c r="C397" s="2380"/>
      <c r="D397" s="2403"/>
      <c r="E397" s="2374" t="s">
        <v>3185</v>
      </c>
      <c r="F397" s="2373" t="s">
        <v>2839</v>
      </c>
      <c r="G397" s="2380">
        <f>G395</f>
        <v>0</v>
      </c>
      <c r="H397" s="2376">
        <v>0</v>
      </c>
      <c r="I397" s="2376"/>
      <c r="J397" s="2376">
        <v>112286</v>
      </c>
      <c r="K397" s="2376">
        <v>105970</v>
      </c>
      <c r="L397" s="2382">
        <f t="shared" si="57"/>
        <v>0</v>
      </c>
      <c r="M397" s="2382">
        <f t="shared" si="58"/>
        <v>0</v>
      </c>
      <c r="N397" s="2382">
        <f t="shared" si="59"/>
        <v>0</v>
      </c>
      <c r="O397" s="2381">
        <f t="shared" si="60"/>
        <v>0</v>
      </c>
      <c r="P397" s="2380"/>
      <c r="R397" s="2402"/>
    </row>
    <row r="398" spans="1:18" s="2358" customFormat="1" outlineLevel="1">
      <c r="A398" s="2361" t="e">
        <f t="shared" si="51"/>
        <v>#N/A</v>
      </c>
      <c r="B398" s="2383"/>
      <c r="C398" s="2398">
        <f>IF(G398&gt;0,C393+1,C393)</f>
        <v>0</v>
      </c>
      <c r="D398" s="2399"/>
      <c r="E398" s="2400" t="s">
        <v>6222</v>
      </c>
      <c r="F398" s="2395" t="s">
        <v>2391</v>
      </c>
      <c r="G398" s="2440">
        <f>G381</f>
        <v>0</v>
      </c>
      <c r="H398" s="2381"/>
      <c r="I398" s="2381"/>
      <c r="J398" s="2381"/>
      <c r="K398" s="2381"/>
      <c r="L398" s="2382">
        <f t="shared" si="57"/>
        <v>0</v>
      </c>
      <c r="M398" s="2382">
        <f t="shared" si="58"/>
        <v>0</v>
      </c>
      <c r="N398" s="2382">
        <f t="shared" si="59"/>
        <v>0</v>
      </c>
      <c r="O398" s="2381">
        <f t="shared" si="60"/>
        <v>0</v>
      </c>
      <c r="P398" s="2380"/>
    </row>
    <row r="399" spans="1:18" s="2358" customFormat="1" ht="14.4" outlineLevel="1">
      <c r="A399" s="2361" t="e">
        <f t="shared" si="51"/>
        <v>#N/A</v>
      </c>
      <c r="B399" s="2383"/>
      <c r="C399" s="2395"/>
      <c r="D399" s="2399"/>
      <c r="E399" s="2401" t="s">
        <v>6207</v>
      </c>
      <c r="F399" s="2380"/>
      <c r="G399" s="2380"/>
      <c r="H399" s="2381"/>
      <c r="I399" s="2381"/>
      <c r="J399" s="2381"/>
      <c r="K399" s="2381"/>
      <c r="L399" s="2382">
        <f t="shared" si="57"/>
        <v>0</v>
      </c>
      <c r="M399" s="2382">
        <f t="shared" si="58"/>
        <v>0</v>
      </c>
      <c r="N399" s="2382">
        <f t="shared" si="59"/>
        <v>0</v>
      </c>
      <c r="O399" s="2381">
        <f t="shared" si="60"/>
        <v>0</v>
      </c>
      <c r="P399" s="2380"/>
      <c r="R399" s="2402"/>
    </row>
    <row r="400" spans="1:18" s="2358" customFormat="1" outlineLevel="1">
      <c r="A400" s="2361" t="str">
        <f t="shared" si="51"/>
        <v>Đà U160x68x5x2800 đỡ MBA</v>
      </c>
      <c r="B400" s="2433" t="s">
        <v>1136</v>
      </c>
      <c r="C400" s="2380"/>
      <c r="D400" s="2373">
        <v>0</v>
      </c>
      <c r="E400" s="2374" t="s">
        <v>6395</v>
      </c>
      <c r="F400" s="2373" t="s">
        <v>2254</v>
      </c>
      <c r="G400" s="2437">
        <f>1*G398</f>
        <v>0</v>
      </c>
      <c r="H400" s="2376">
        <v>31625</v>
      </c>
      <c r="I400" s="2376"/>
      <c r="J400" s="2376">
        <v>0</v>
      </c>
      <c r="K400" s="2376">
        <v>0</v>
      </c>
      <c r="L400" s="2382">
        <f t="shared" si="57"/>
        <v>0</v>
      </c>
      <c r="M400" s="2382">
        <f t="shared" si="58"/>
        <v>0</v>
      </c>
      <c r="N400" s="2382">
        <f t="shared" si="59"/>
        <v>0</v>
      </c>
      <c r="O400" s="2381">
        <f t="shared" si="60"/>
        <v>0</v>
      </c>
      <c r="P400" s="2380"/>
      <c r="R400" s="2402"/>
    </row>
    <row r="401" spans="1:18" s="2358" customFormat="1" outlineLevel="1">
      <c r="A401" s="2361" t="str">
        <f t="shared" si="51"/>
        <v>Boulon 16x250+ 2 long đền vuông D18-50x50x3/Zn</v>
      </c>
      <c r="B401" s="2386" t="s">
        <v>6223</v>
      </c>
      <c r="C401" s="2380"/>
      <c r="D401" s="2373">
        <v>0</v>
      </c>
      <c r="E401" s="2374" t="s">
        <v>2653</v>
      </c>
      <c r="F401" s="2373" t="s">
        <v>2445</v>
      </c>
      <c r="G401" s="2437">
        <f>G398*2</f>
        <v>0</v>
      </c>
      <c r="H401" s="2376">
        <v>13400</v>
      </c>
      <c r="I401" s="2376"/>
      <c r="J401" s="2376">
        <v>0</v>
      </c>
      <c r="K401" s="2376">
        <v>0</v>
      </c>
      <c r="L401" s="2382">
        <f t="shared" si="57"/>
        <v>0</v>
      </c>
      <c r="M401" s="2382">
        <f t="shared" si="58"/>
        <v>0</v>
      </c>
      <c r="N401" s="2382">
        <f t="shared" si="59"/>
        <v>0</v>
      </c>
      <c r="O401" s="2381">
        <f t="shared" si="60"/>
        <v>0</v>
      </c>
      <c r="P401" s="2380"/>
      <c r="R401" s="2402"/>
    </row>
    <row r="402" spans="1:18" s="2358" customFormat="1" outlineLevel="1">
      <c r="A402" s="2361" t="str">
        <f t="shared" si="51"/>
        <v>Lắp xà đỡ 2,8m đơn (42,84kg)</v>
      </c>
      <c r="B402" s="2433" t="s">
        <v>5460</v>
      </c>
      <c r="C402" s="2380"/>
      <c r="D402" s="2373" t="s">
        <v>5461</v>
      </c>
      <c r="E402" s="2374" t="s">
        <v>5462</v>
      </c>
      <c r="F402" s="2373" t="s">
        <v>2445</v>
      </c>
      <c r="G402" s="2437">
        <f>G398*1</f>
        <v>0</v>
      </c>
      <c r="H402" s="2376">
        <v>0</v>
      </c>
      <c r="I402" s="2376"/>
      <c r="J402" s="2376">
        <v>296914</v>
      </c>
      <c r="K402" s="2376">
        <v>0</v>
      </c>
      <c r="L402" s="2382">
        <f t="shared" si="57"/>
        <v>0</v>
      </c>
      <c r="M402" s="2382">
        <f t="shared" si="58"/>
        <v>0</v>
      </c>
      <c r="N402" s="2382">
        <f t="shared" si="59"/>
        <v>0</v>
      </c>
      <c r="O402" s="2381">
        <f t="shared" si="60"/>
        <v>0</v>
      </c>
      <c r="P402" s="2380"/>
      <c r="R402" s="2402"/>
    </row>
    <row r="403" spans="1:18" s="2358" customFormat="1" outlineLevel="1">
      <c r="A403" s="2361" t="str">
        <f t="shared" si="51"/>
        <v>Đắp đất hố móng, độ chặt k=0,95</v>
      </c>
      <c r="B403" s="2386" t="s">
        <v>21</v>
      </c>
      <c r="C403" s="2380"/>
      <c r="D403" s="2373" t="s">
        <v>5387</v>
      </c>
      <c r="E403" s="2374" t="s">
        <v>5388</v>
      </c>
      <c r="F403" s="2373" t="s">
        <v>856</v>
      </c>
      <c r="G403" s="2437"/>
      <c r="H403" s="2376">
        <v>0</v>
      </c>
      <c r="I403" s="2376"/>
      <c r="J403" s="2376">
        <v>117703.6</v>
      </c>
      <c r="K403" s="2376">
        <v>0</v>
      </c>
      <c r="L403" s="2382">
        <f t="shared" si="57"/>
        <v>0</v>
      </c>
      <c r="M403" s="2382">
        <f t="shared" si="58"/>
        <v>0</v>
      </c>
      <c r="N403" s="2382">
        <f t="shared" si="59"/>
        <v>0</v>
      </c>
      <c r="O403" s="2381">
        <f t="shared" si="60"/>
        <v>0</v>
      </c>
      <c r="P403" s="2380"/>
      <c r="R403" s="2402"/>
    </row>
    <row r="404" spans="1:18" s="2358" customFormat="1" outlineLevel="1">
      <c r="A404" s="2361" t="e">
        <f t="shared" si="51"/>
        <v>#N/A</v>
      </c>
      <c r="B404" s="2383"/>
      <c r="C404" s="2398">
        <f>IF(G404&gt;0,C398+1,C398)</f>
        <v>0</v>
      </c>
      <c r="D404" s="2399"/>
      <c r="E404" s="2424" t="s">
        <v>3693</v>
      </c>
      <c r="F404" s="2395" t="s">
        <v>2391</v>
      </c>
      <c r="G404" s="2440">
        <f>SUM(G381:G381)</f>
        <v>0</v>
      </c>
      <c r="H404" s="2376"/>
      <c r="I404" s="2381"/>
      <c r="J404" s="2376"/>
      <c r="K404" s="2376"/>
      <c r="L404" s="2382">
        <f t="shared" si="57"/>
        <v>0</v>
      </c>
      <c r="M404" s="2382">
        <f t="shared" si="58"/>
        <v>0</v>
      </c>
      <c r="N404" s="2382">
        <f t="shared" si="59"/>
        <v>0</v>
      </c>
      <c r="O404" s="2381">
        <f t="shared" si="60"/>
        <v>0</v>
      </c>
      <c r="P404" s="2408"/>
    </row>
    <row r="405" spans="1:18" s="2358" customFormat="1" ht="14.4" outlineLevel="1">
      <c r="A405" s="2361" t="e">
        <f t="shared" si="51"/>
        <v>#N/A</v>
      </c>
      <c r="B405" s="2383"/>
      <c r="C405" s="2395"/>
      <c r="D405" s="2399"/>
      <c r="E405" s="2425" t="s">
        <v>6207</v>
      </c>
      <c r="F405" s="2380"/>
      <c r="G405" s="2437"/>
      <c r="H405" s="2376"/>
      <c r="I405" s="2381"/>
      <c r="J405" s="2376"/>
      <c r="K405" s="2376"/>
      <c r="L405" s="2382">
        <f t="shared" si="57"/>
        <v>0</v>
      </c>
      <c r="M405" s="2382">
        <f t="shared" si="58"/>
        <v>0</v>
      </c>
      <c r="N405" s="2382">
        <f t="shared" si="59"/>
        <v>0</v>
      </c>
      <c r="O405" s="2381">
        <f t="shared" si="60"/>
        <v>0</v>
      </c>
      <c r="P405" s="2408"/>
    </row>
    <row r="406" spans="1:18" s="2358" customFormat="1" outlineLevel="1">
      <c r="A406" s="2361" t="str">
        <f t="shared" si="51"/>
        <v>Đà Composite 110x80x5x800</v>
      </c>
      <c r="B406" s="2386" t="s">
        <v>5218</v>
      </c>
      <c r="C406" s="2380"/>
      <c r="D406" s="2373">
        <v>0</v>
      </c>
      <c r="E406" s="2374" t="s">
        <v>4904</v>
      </c>
      <c r="F406" s="2373" t="s">
        <v>2598</v>
      </c>
      <c r="G406" s="2437">
        <f>G404</f>
        <v>0</v>
      </c>
      <c r="H406" s="2376">
        <v>320000</v>
      </c>
      <c r="I406" s="2381"/>
      <c r="J406" s="2376">
        <v>0</v>
      </c>
      <c r="K406" s="2376">
        <v>0</v>
      </c>
      <c r="L406" s="2382">
        <f t="shared" si="57"/>
        <v>0</v>
      </c>
      <c r="M406" s="2382">
        <f>I406*G406</f>
        <v>0</v>
      </c>
      <c r="N406" s="2382">
        <f t="shared" si="59"/>
        <v>0</v>
      </c>
      <c r="O406" s="2381">
        <f t="shared" si="60"/>
        <v>0</v>
      </c>
      <c r="P406" s="2408"/>
    </row>
    <row r="407" spans="1:18" s="2358" customFormat="1" outlineLevel="1">
      <c r="A407" s="2361" t="str">
        <f t="shared" si="51"/>
        <v>Chống Composite 40x10x710</v>
      </c>
      <c r="B407" s="2386" t="s">
        <v>5222</v>
      </c>
      <c r="C407" s="2380"/>
      <c r="D407" s="2373">
        <v>0</v>
      </c>
      <c r="E407" s="2374" t="s">
        <v>5223</v>
      </c>
      <c r="F407" s="2373" t="s">
        <v>5221</v>
      </c>
      <c r="G407" s="2437">
        <f>G406*1</f>
        <v>0</v>
      </c>
      <c r="H407" s="2376">
        <v>95000</v>
      </c>
      <c r="I407" s="2381"/>
      <c r="J407" s="2376">
        <v>0</v>
      </c>
      <c r="K407" s="2376">
        <v>0</v>
      </c>
      <c r="L407" s="2382">
        <f t="shared" si="57"/>
        <v>0</v>
      </c>
      <c r="M407" s="2382">
        <f>I407*G407</f>
        <v>0</v>
      </c>
      <c r="N407" s="2382">
        <f t="shared" si="59"/>
        <v>0</v>
      </c>
      <c r="O407" s="2381">
        <f t="shared" si="60"/>
        <v>0</v>
      </c>
      <c r="P407" s="2408"/>
    </row>
    <row r="408" spans="1:18" s="2358" customFormat="1" outlineLevel="1">
      <c r="A408" s="2361" t="str">
        <f t="shared" si="51"/>
        <v>Bass LL bắt FCO, LA</v>
      </c>
      <c r="B408" s="2386" t="s">
        <v>1844</v>
      </c>
      <c r="C408" s="2380"/>
      <c r="D408" s="2373">
        <v>0</v>
      </c>
      <c r="E408" s="2374" t="s">
        <v>5130</v>
      </c>
      <c r="F408" s="2373" t="s">
        <v>2445</v>
      </c>
      <c r="G408" s="2437">
        <f>G404*1</f>
        <v>0</v>
      </c>
      <c r="H408" s="2376">
        <v>65000</v>
      </c>
      <c r="I408" s="2381"/>
      <c r="J408" s="2376">
        <v>0</v>
      </c>
      <c r="K408" s="2376">
        <v>0</v>
      </c>
      <c r="L408" s="2382">
        <f t="shared" si="57"/>
        <v>0</v>
      </c>
      <c r="M408" s="2382"/>
      <c r="N408" s="2382">
        <f t="shared" si="59"/>
        <v>0</v>
      </c>
      <c r="O408" s="2381">
        <f t="shared" si="60"/>
        <v>0</v>
      </c>
      <c r="P408" s="2408"/>
    </row>
    <row r="409" spans="1:18" s="2358" customFormat="1" outlineLevel="1">
      <c r="A409" s="2361" t="str">
        <f t="shared" ref="A409:A440" si="61">VLOOKUP(B409,DonGia,3,0)</f>
        <v>Boulon 16x150+ 2 long đền vuông D18-50x50x3/Zn</v>
      </c>
      <c r="B409" s="2386" t="s">
        <v>244</v>
      </c>
      <c r="C409" s="2380"/>
      <c r="D409" s="2373">
        <v>0</v>
      </c>
      <c r="E409" s="2374" t="s">
        <v>2649</v>
      </c>
      <c r="F409" s="2373" t="s">
        <v>2445</v>
      </c>
      <c r="G409" s="2437">
        <f>G404</f>
        <v>0</v>
      </c>
      <c r="H409" s="2376">
        <v>18900</v>
      </c>
      <c r="I409" s="2381"/>
      <c r="J409" s="2376">
        <v>0</v>
      </c>
      <c r="K409" s="2376">
        <v>0</v>
      </c>
      <c r="L409" s="2382">
        <f t="shared" si="57"/>
        <v>0</v>
      </c>
      <c r="M409" s="2382">
        <f>I409*G409</f>
        <v>0</v>
      </c>
      <c r="N409" s="2382">
        <f t="shared" si="59"/>
        <v>0</v>
      </c>
      <c r="O409" s="2381">
        <f t="shared" si="60"/>
        <v>0</v>
      </c>
      <c r="P409" s="2408"/>
    </row>
    <row r="410" spans="1:18" s="2358" customFormat="1" outlineLevel="1">
      <c r="A410" s="2361" t="str">
        <f t="shared" si="61"/>
        <v>Boulon 16x250+ 2 long đền vuông D18-50x50x3/Zn</v>
      </c>
      <c r="B410" s="2386" t="s">
        <v>1612</v>
      </c>
      <c r="C410" s="2380"/>
      <c r="D410" s="2373">
        <v>0</v>
      </c>
      <c r="E410" s="2374" t="s">
        <v>2653</v>
      </c>
      <c r="F410" s="2373" t="s">
        <v>2445</v>
      </c>
      <c r="G410" s="2437">
        <f>1*G404</f>
        <v>0</v>
      </c>
      <c r="H410" s="2376">
        <v>13400</v>
      </c>
      <c r="I410" s="2381"/>
      <c r="J410" s="2376">
        <v>0</v>
      </c>
      <c r="K410" s="2376">
        <v>0</v>
      </c>
      <c r="L410" s="2382">
        <f>H410*G410</f>
        <v>0</v>
      </c>
      <c r="M410" s="2382">
        <f>I410*G410</f>
        <v>0</v>
      </c>
      <c r="N410" s="2382">
        <f t="shared" si="59"/>
        <v>0</v>
      </c>
      <c r="O410" s="2381">
        <f>K410*G410</f>
        <v>0</v>
      </c>
      <c r="P410" s="2408"/>
    </row>
    <row r="411" spans="1:18" s="2358" customFormat="1" outlineLevel="1">
      <c r="A411" s="2361" t="str">
        <f t="shared" si="61"/>
        <v>Boulon 16x350+ 2 long đền vuông D18-50x50x3/Zn</v>
      </c>
      <c r="B411" s="2386" t="s">
        <v>1079</v>
      </c>
      <c r="C411" s="2380"/>
      <c r="D411" s="2373">
        <v>0</v>
      </c>
      <c r="E411" s="2374" t="s">
        <v>2659</v>
      </c>
      <c r="F411" s="2373" t="s">
        <v>2445</v>
      </c>
      <c r="G411" s="2437">
        <f>1*G404</f>
        <v>0</v>
      </c>
      <c r="H411" s="2376">
        <v>27900</v>
      </c>
      <c r="I411" s="2381"/>
      <c r="J411" s="2376">
        <v>0</v>
      </c>
      <c r="K411" s="2376">
        <v>0</v>
      </c>
      <c r="L411" s="2382">
        <f t="shared" si="57"/>
        <v>0</v>
      </c>
      <c r="M411" s="2382">
        <f>I411*G411</f>
        <v>0</v>
      </c>
      <c r="N411" s="2382">
        <f t="shared" si="59"/>
        <v>0</v>
      </c>
      <c r="O411" s="2381">
        <f t="shared" si="60"/>
        <v>0</v>
      </c>
      <c r="P411" s="2408"/>
    </row>
    <row r="412" spans="1:18" s="2358" customFormat="1" outlineLevel="1">
      <c r="A412" s="2361" t="str">
        <f t="shared" si="61"/>
        <v>Lắp xà đỡ composite dài 800mm (3kg)</v>
      </c>
      <c r="B412" s="2386" t="s">
        <v>5432</v>
      </c>
      <c r="C412" s="2380"/>
      <c r="D412" s="2373" t="s">
        <v>5209</v>
      </c>
      <c r="E412" s="2374" t="s">
        <v>5433</v>
      </c>
      <c r="F412" s="2373" t="s">
        <v>2445</v>
      </c>
      <c r="G412" s="2437">
        <f>G404</f>
        <v>0</v>
      </c>
      <c r="H412" s="2376">
        <v>0</v>
      </c>
      <c r="I412" s="2381"/>
      <c r="J412" s="2406" t="s">
        <v>6387</v>
      </c>
      <c r="K412" s="2376">
        <v>0</v>
      </c>
      <c r="L412" s="2382">
        <f t="shared" si="57"/>
        <v>0</v>
      </c>
      <c r="M412" s="2382">
        <f>I412*G412</f>
        <v>0</v>
      </c>
      <c r="N412" s="2382">
        <v>0</v>
      </c>
      <c r="O412" s="2381">
        <f t="shared" si="60"/>
        <v>0</v>
      </c>
      <c r="P412" s="2408"/>
    </row>
    <row r="413" spans="1:18" s="2358" customFormat="1" outlineLevel="1">
      <c r="A413" s="2361" t="e">
        <f t="shared" si="61"/>
        <v>#N/A</v>
      </c>
      <c r="B413" s="2383"/>
      <c r="C413" s="2395">
        <f>IF(G413&gt;0,C404+1,C404)</f>
        <v>0</v>
      </c>
      <c r="D413" s="2399"/>
      <c r="E413" s="2424" t="s">
        <v>3694</v>
      </c>
      <c r="F413" s="2395" t="s">
        <v>2391</v>
      </c>
      <c r="G413" s="2440">
        <f>G404</f>
        <v>0</v>
      </c>
      <c r="H413" s="2376"/>
      <c r="I413" s="2381"/>
      <c r="J413" s="2376"/>
      <c r="K413" s="2376"/>
      <c r="L413" s="2382">
        <f t="shared" si="57"/>
        <v>0</v>
      </c>
      <c r="M413" s="2382">
        <f t="shared" si="58"/>
        <v>0</v>
      </c>
      <c r="N413" s="2382">
        <f t="shared" si="59"/>
        <v>0</v>
      </c>
      <c r="O413" s="2381">
        <f t="shared" si="60"/>
        <v>0</v>
      </c>
      <c r="P413" s="2408"/>
    </row>
    <row r="414" spans="1:18" s="2358" customFormat="1" ht="14.4" outlineLevel="1">
      <c r="A414" s="2361" t="e">
        <f t="shared" si="61"/>
        <v>#N/A</v>
      </c>
      <c r="B414" s="2383"/>
      <c r="C414" s="2380"/>
      <c r="D414" s="2403"/>
      <c r="E414" s="2425" t="s">
        <v>6207</v>
      </c>
      <c r="F414" s="2380"/>
      <c r="G414" s="2437"/>
      <c r="H414" s="2376"/>
      <c r="I414" s="2381"/>
      <c r="J414" s="2376"/>
      <c r="K414" s="2376"/>
      <c r="L414" s="2382">
        <f t="shared" si="57"/>
        <v>0</v>
      </c>
      <c r="M414" s="2382">
        <f t="shared" si="58"/>
        <v>0</v>
      </c>
      <c r="N414" s="2382">
        <f t="shared" si="59"/>
        <v>0</v>
      </c>
      <c r="O414" s="2381">
        <f t="shared" si="60"/>
        <v>0</v>
      </c>
      <c r="P414" s="2408"/>
    </row>
    <row r="415" spans="1:18" s="2358" customFormat="1" outlineLevel="1">
      <c r="A415" s="2361" t="str">
        <f t="shared" si="61"/>
        <v>Cáp đồng trần M25mm2</v>
      </c>
      <c r="B415" s="2383" t="s">
        <v>1033</v>
      </c>
      <c r="C415" s="2380"/>
      <c r="D415" s="2373">
        <v>0</v>
      </c>
      <c r="E415" s="2374" t="s">
        <v>6388</v>
      </c>
      <c r="F415" s="2373" t="s">
        <v>2254</v>
      </c>
      <c r="G415" s="2437">
        <f>66*G413*0.224</f>
        <v>0</v>
      </c>
      <c r="H415" s="2376">
        <v>255500</v>
      </c>
      <c r="I415" s="2381"/>
      <c r="J415" s="2376">
        <v>0</v>
      </c>
      <c r="K415" s="2376">
        <v>0</v>
      </c>
      <c r="L415" s="2382">
        <f t="shared" si="57"/>
        <v>0</v>
      </c>
      <c r="M415" s="2382">
        <f t="shared" si="58"/>
        <v>0</v>
      </c>
      <c r="N415" s="2382">
        <f t="shared" si="59"/>
        <v>0</v>
      </c>
      <c r="O415" s="2381">
        <f t="shared" si="60"/>
        <v>0</v>
      </c>
      <c r="P415" s="2408"/>
    </row>
    <row r="416" spans="1:18" s="2358" customFormat="1" outlineLevel="1">
      <c r="A416" s="2361" t="str">
        <f t="shared" si="61"/>
        <v>Cọc tiếp đất Þ 16- 2,4m + kẹp cọc mạ đồng</v>
      </c>
      <c r="B416" s="2383" t="s">
        <v>1511</v>
      </c>
      <c r="C416" s="2380"/>
      <c r="D416" s="2373">
        <v>0</v>
      </c>
      <c r="E416" s="2374" t="s">
        <v>5224</v>
      </c>
      <c r="F416" s="2373" t="s">
        <v>2445</v>
      </c>
      <c r="G416" s="2437">
        <f>12*G413</f>
        <v>0</v>
      </c>
      <c r="H416" s="2376">
        <v>160000</v>
      </c>
      <c r="I416" s="2381"/>
      <c r="J416" s="2376">
        <v>0</v>
      </c>
      <c r="K416" s="2376">
        <v>0</v>
      </c>
      <c r="L416" s="2382">
        <f t="shared" si="57"/>
        <v>0</v>
      </c>
      <c r="M416" s="2382">
        <f t="shared" si="58"/>
        <v>0</v>
      </c>
      <c r="N416" s="2382">
        <f t="shared" si="59"/>
        <v>0</v>
      </c>
      <c r="O416" s="2381">
        <f t="shared" si="60"/>
        <v>0</v>
      </c>
      <c r="P416" s="2408"/>
    </row>
    <row r="417" spans="1:16" s="2358" customFormat="1" outlineLevel="1">
      <c r="A417" s="2361" t="str">
        <f t="shared" si="61"/>
        <v xml:space="preserve">Ống PVC D21x1,6mm </v>
      </c>
      <c r="B417" s="2383" t="s">
        <v>1493</v>
      </c>
      <c r="C417" s="2380"/>
      <c r="D417" s="2373">
        <v>0</v>
      </c>
      <c r="E417" s="2374" t="s">
        <v>3554</v>
      </c>
      <c r="F417" s="2373" t="s">
        <v>1827</v>
      </c>
      <c r="G417" s="2437">
        <f>4*G413</f>
        <v>0</v>
      </c>
      <c r="H417" s="2376">
        <v>6200</v>
      </c>
      <c r="I417" s="2381"/>
      <c r="J417" s="2376"/>
      <c r="K417" s="2376">
        <v>0</v>
      </c>
      <c r="L417" s="2382">
        <f t="shared" si="57"/>
        <v>0</v>
      </c>
      <c r="M417" s="2382">
        <f t="shared" si="58"/>
        <v>0</v>
      </c>
      <c r="N417" s="2382">
        <f t="shared" si="59"/>
        <v>0</v>
      </c>
      <c r="O417" s="2381">
        <f t="shared" si="60"/>
        <v>0</v>
      </c>
      <c r="P417" s="2408"/>
    </row>
    <row r="418" spans="1:16" s="2358" customFormat="1" outlineLevel="1">
      <c r="A418" s="2361" t="str">
        <f t="shared" si="61"/>
        <v>Cut PVC 21</v>
      </c>
      <c r="B418" s="2383" t="s">
        <v>6224</v>
      </c>
      <c r="C418" s="2380"/>
      <c r="D418" s="2373">
        <v>0</v>
      </c>
      <c r="E418" s="2374" t="s">
        <v>5858</v>
      </c>
      <c r="F418" s="2373" t="s">
        <v>2563</v>
      </c>
      <c r="G418" s="2437">
        <f>G413*1</f>
        <v>0</v>
      </c>
      <c r="H418" s="2376">
        <v>2100</v>
      </c>
      <c r="I418" s="2381"/>
      <c r="J418" s="2376">
        <v>0</v>
      </c>
      <c r="K418" s="2376">
        <v>0</v>
      </c>
      <c r="L418" s="2382">
        <f>H418*G418</f>
        <v>0</v>
      </c>
      <c r="M418" s="2382">
        <f>I418*G418</f>
        <v>0</v>
      </c>
      <c r="N418" s="2382">
        <f>J418*G418</f>
        <v>0</v>
      </c>
      <c r="O418" s="2381">
        <f>K418*G418</f>
        <v>0</v>
      </c>
      <c r="P418" s="2408"/>
    </row>
    <row r="419" spans="1:16" s="2358" customFormat="1" outlineLevel="1">
      <c r="A419" s="2361" t="str">
        <f t="shared" si="61"/>
        <v>Kẹp ép WR cỡ dây 50mm2</v>
      </c>
      <c r="B419" s="2383" t="s">
        <v>1582</v>
      </c>
      <c r="C419" s="2380"/>
      <c r="D419" s="2373">
        <v>0</v>
      </c>
      <c r="E419" s="2374" t="s">
        <v>2889</v>
      </c>
      <c r="F419" s="2373" t="s">
        <v>2563</v>
      </c>
      <c r="G419" s="2437">
        <f>2*G413</f>
        <v>0</v>
      </c>
      <c r="H419" s="2376">
        <v>8000</v>
      </c>
      <c r="I419" s="2376"/>
      <c r="J419" s="2376">
        <v>0</v>
      </c>
      <c r="K419" s="2376">
        <v>0</v>
      </c>
      <c r="L419" s="2382">
        <f t="shared" si="57"/>
        <v>0</v>
      </c>
      <c r="M419" s="2382">
        <f t="shared" si="58"/>
        <v>0</v>
      </c>
      <c r="N419" s="2382">
        <f t="shared" si="59"/>
        <v>0</v>
      </c>
      <c r="O419" s="2381">
        <f t="shared" si="60"/>
        <v>0</v>
      </c>
      <c r="P419" s="2408"/>
    </row>
    <row r="420" spans="1:16" s="2358" customFormat="1" outlineLevel="1">
      <c r="A420" s="2361" t="str">
        <f t="shared" si="61"/>
        <v>Kẹp ép cỡ dây 25mm2</v>
      </c>
      <c r="B420" s="2383" t="s">
        <v>1114</v>
      </c>
      <c r="C420" s="2380"/>
      <c r="D420" s="2373">
        <v>0</v>
      </c>
      <c r="E420" s="2374" t="s">
        <v>2887</v>
      </c>
      <c r="F420" s="2373" t="s">
        <v>2563</v>
      </c>
      <c r="G420" s="2437">
        <f>G413*12</f>
        <v>0</v>
      </c>
      <c r="H420" s="2376">
        <v>6000</v>
      </c>
      <c r="I420" s="2376"/>
      <c r="J420" s="2376">
        <v>0</v>
      </c>
      <c r="K420" s="2376">
        <v>0</v>
      </c>
      <c r="L420" s="2382">
        <f t="shared" si="57"/>
        <v>0</v>
      </c>
      <c r="M420" s="2382">
        <f t="shared" si="58"/>
        <v>0</v>
      </c>
      <c r="N420" s="2382">
        <f t="shared" si="59"/>
        <v>0</v>
      </c>
      <c r="O420" s="2381">
        <f t="shared" si="60"/>
        <v>0</v>
      </c>
      <c r="P420" s="2408"/>
    </row>
    <row r="421" spans="1:16" s="2358" customFormat="1" outlineLevel="1">
      <c r="A421" s="2361" t="str">
        <f t="shared" si="61"/>
        <v>Cổ dê kẹp ống PVC  21</v>
      </c>
      <c r="B421" s="2383" t="s">
        <v>525</v>
      </c>
      <c r="C421" s="2380"/>
      <c r="D421" s="2373">
        <v>0</v>
      </c>
      <c r="E421" s="2374" t="s">
        <v>5313</v>
      </c>
      <c r="F421" s="2373" t="s">
        <v>2445</v>
      </c>
      <c r="G421" s="2437">
        <f>G413*3</f>
        <v>0</v>
      </c>
      <c r="H421" s="2376">
        <v>43000</v>
      </c>
      <c r="I421" s="2376"/>
      <c r="J421" s="2376">
        <v>0</v>
      </c>
      <c r="K421" s="2376">
        <v>0</v>
      </c>
      <c r="L421" s="2382">
        <f>H421*G421</f>
        <v>0</v>
      </c>
      <c r="M421" s="2382">
        <f>I421*G421</f>
        <v>0</v>
      </c>
      <c r="N421" s="2382">
        <f>J421*G421</f>
        <v>0</v>
      </c>
      <c r="O421" s="2381">
        <f>K421*G421</f>
        <v>0</v>
      </c>
      <c r="P421" s="2408"/>
    </row>
    <row r="422" spans="1:16" s="2358" customFormat="1" outlineLevel="1">
      <c r="A422" s="2361" t="str">
        <f t="shared" si="61"/>
        <v>Boulon 12x40+ 2 long đền vuông D14-50x50x3/Zn</v>
      </c>
      <c r="B422" s="2383" t="s">
        <v>2023</v>
      </c>
      <c r="C422" s="2380"/>
      <c r="D422" s="2373">
        <v>0</v>
      </c>
      <c r="E422" s="2374" t="s">
        <v>2635</v>
      </c>
      <c r="F422" s="2373" t="s">
        <v>2445</v>
      </c>
      <c r="G422" s="2437"/>
      <c r="H422" s="2376">
        <v>8500</v>
      </c>
      <c r="I422" s="2376"/>
      <c r="J422" s="2376">
        <v>0</v>
      </c>
      <c r="K422" s="2376">
        <v>0</v>
      </c>
      <c r="L422" s="2382">
        <f>H422*G422</f>
        <v>0</v>
      </c>
      <c r="M422" s="2382">
        <f>I422*G422</f>
        <v>0</v>
      </c>
      <c r="N422" s="2382">
        <f>J422*G422</f>
        <v>0</v>
      </c>
      <c r="O422" s="2381">
        <f>K422*G422</f>
        <v>0</v>
      </c>
      <c r="P422" s="2408"/>
    </row>
    <row r="423" spans="1:16" s="2358" customFormat="1" outlineLevel="1">
      <c r="A423" s="2361" t="str">
        <f t="shared" si="61"/>
        <v>Đai thép Inox</v>
      </c>
      <c r="B423" s="2383" t="s">
        <v>5242</v>
      </c>
      <c r="C423" s="2380"/>
      <c r="D423" s="2373">
        <v>0</v>
      </c>
      <c r="E423" s="2374" t="s">
        <v>5243</v>
      </c>
      <c r="F423" s="2373" t="s">
        <v>2538</v>
      </c>
      <c r="G423" s="2437"/>
      <c r="H423" s="2376">
        <v>11000</v>
      </c>
      <c r="I423" s="2376"/>
      <c r="J423" s="2376">
        <v>0</v>
      </c>
      <c r="K423" s="2376">
        <v>0</v>
      </c>
      <c r="L423" s="2382">
        <f>H423*G423</f>
        <v>0</v>
      </c>
      <c r="M423" s="2382">
        <f>I423*G423</f>
        <v>0</v>
      </c>
      <c r="N423" s="2382">
        <f>J423*G423</f>
        <v>0</v>
      </c>
      <c r="O423" s="2381">
        <f>K423*G423</f>
        <v>0</v>
      </c>
      <c r="P423" s="2408"/>
    </row>
    <row r="424" spans="1:16" s="2358" customFormat="1" outlineLevel="1">
      <c r="A424" s="2361" t="str">
        <f t="shared" si="61"/>
        <v>Khóa đai Inox</v>
      </c>
      <c r="B424" s="2383" t="s">
        <v>5244</v>
      </c>
      <c r="C424" s="2380"/>
      <c r="D424" s="2373">
        <v>0</v>
      </c>
      <c r="E424" s="2374" t="s">
        <v>5245</v>
      </c>
      <c r="F424" s="2373" t="s">
        <v>2563</v>
      </c>
      <c r="G424" s="2437"/>
      <c r="H424" s="2376">
        <v>4000</v>
      </c>
      <c r="I424" s="2376"/>
      <c r="J424" s="2376">
        <v>0</v>
      </c>
      <c r="K424" s="2376">
        <v>0</v>
      </c>
      <c r="L424" s="2382">
        <f>H424*G424</f>
        <v>0</v>
      </c>
      <c r="M424" s="2382">
        <f>I424*G424</f>
        <v>0</v>
      </c>
      <c r="N424" s="2382">
        <f>J424*G424</f>
        <v>0</v>
      </c>
      <c r="O424" s="2381">
        <f>K424*G424</f>
        <v>0</v>
      </c>
      <c r="P424" s="2408"/>
    </row>
    <row r="425" spans="1:16" s="2358" customFormat="1" outlineLevel="1">
      <c r="A425" s="2361" t="str">
        <f t="shared" si="61"/>
        <v>Cổ dê kẹp ống PVC  21</v>
      </c>
      <c r="B425" s="2386" t="s">
        <v>525</v>
      </c>
      <c r="C425" s="2380"/>
      <c r="D425" s="2373">
        <v>0</v>
      </c>
      <c r="E425" s="2374" t="s">
        <v>5313</v>
      </c>
      <c r="F425" s="2373" t="s">
        <v>2445</v>
      </c>
      <c r="G425" s="2437"/>
      <c r="H425" s="2376">
        <v>43000</v>
      </c>
      <c r="I425" s="2381"/>
      <c r="J425" s="2376">
        <v>0</v>
      </c>
      <c r="K425" s="2376">
        <v>0</v>
      </c>
      <c r="L425" s="2382">
        <f t="shared" si="57"/>
        <v>0</v>
      </c>
      <c r="M425" s="2382">
        <f t="shared" si="58"/>
        <v>0</v>
      </c>
      <c r="N425" s="2382">
        <f t="shared" si="59"/>
        <v>0</v>
      </c>
      <c r="O425" s="2381">
        <f t="shared" si="60"/>
        <v>0</v>
      </c>
      <c r="P425" s="2408"/>
    </row>
    <row r="426" spans="1:16" s="2358" customFormat="1" outlineLevel="1">
      <c r="A426" s="2361" t="str">
        <f t="shared" si="61"/>
        <v>Giếng tiếp địa khoan đất</v>
      </c>
      <c r="B426" s="2383" t="s">
        <v>6225</v>
      </c>
      <c r="C426" s="2380"/>
      <c r="D426" s="2373">
        <v>0</v>
      </c>
      <c r="E426" s="2374" t="s">
        <v>5775</v>
      </c>
      <c r="F426" s="2373" t="s">
        <v>3463</v>
      </c>
      <c r="G426" s="2437"/>
      <c r="H426" s="2376">
        <v>0</v>
      </c>
      <c r="I426" s="2376"/>
      <c r="J426" s="2376">
        <v>1500000</v>
      </c>
      <c r="K426" s="2376">
        <v>0</v>
      </c>
      <c r="L426" s="2382">
        <f>H426*G426</f>
        <v>0</v>
      </c>
      <c r="M426" s="2382">
        <f>I426*G426</f>
        <v>0</v>
      </c>
      <c r="N426" s="2382">
        <f>J426*G426</f>
        <v>0</v>
      </c>
      <c r="O426" s="2381">
        <f>K426*G426</f>
        <v>0</v>
      </c>
      <c r="P426" s="2408"/>
    </row>
    <row r="427" spans="1:16" s="2358" customFormat="1" outlineLevel="1">
      <c r="A427" s="2361" t="str">
        <f t="shared" si="61"/>
        <v>Kéo dây tiếp địa trong TBA</v>
      </c>
      <c r="B427" s="2383" t="s">
        <v>2189</v>
      </c>
      <c r="C427" s="2380"/>
      <c r="D427" s="2373" t="s">
        <v>5408</v>
      </c>
      <c r="E427" s="2374" t="s">
        <v>5409</v>
      </c>
      <c r="F427" s="2373" t="s">
        <v>2538</v>
      </c>
      <c r="G427" s="2437">
        <f>G415/0.224</f>
        <v>0</v>
      </c>
      <c r="H427" s="2376">
        <v>0</v>
      </c>
      <c r="I427" s="2376"/>
      <c r="J427" s="2376">
        <v>8070.7000000000007</v>
      </c>
      <c r="K427" s="2376">
        <v>2044.9974999999999</v>
      </c>
      <c r="L427" s="2382">
        <f t="shared" si="57"/>
        <v>0</v>
      </c>
      <c r="M427" s="2382">
        <f t="shared" si="58"/>
        <v>0</v>
      </c>
      <c r="N427" s="2382">
        <f t="shared" si="59"/>
        <v>0</v>
      </c>
      <c r="O427" s="2381">
        <f t="shared" si="60"/>
        <v>0</v>
      </c>
      <c r="P427" s="2408"/>
    </row>
    <row r="428" spans="1:16" s="2358" customFormat="1" outlineLevel="1">
      <c r="A428" s="2361" t="str">
        <f t="shared" si="61"/>
        <v>Đóng cọc tiếp địa trong TBA</v>
      </c>
      <c r="B428" s="2386" t="s">
        <v>902</v>
      </c>
      <c r="C428" s="2380"/>
      <c r="D428" s="2373" t="s">
        <v>5413</v>
      </c>
      <c r="E428" s="2374" t="s">
        <v>5414</v>
      </c>
      <c r="F428" s="2373" t="s">
        <v>2284</v>
      </c>
      <c r="G428" s="2437">
        <f>G416</f>
        <v>0</v>
      </c>
      <c r="H428" s="2376">
        <v>0</v>
      </c>
      <c r="I428" s="2381"/>
      <c r="J428" s="2376">
        <v>90355.896000000008</v>
      </c>
      <c r="K428" s="2376">
        <v>1573.075</v>
      </c>
      <c r="L428" s="2382">
        <f t="shared" si="57"/>
        <v>0</v>
      </c>
      <c r="M428" s="2382">
        <f t="shared" si="58"/>
        <v>0</v>
      </c>
      <c r="N428" s="2376">
        <v>0</v>
      </c>
      <c r="O428" s="2381">
        <f t="shared" si="60"/>
        <v>0</v>
      </c>
      <c r="P428" s="2408"/>
    </row>
    <row r="429" spans="1:16" s="2358" customFormat="1" outlineLevel="1">
      <c r="A429" s="2361" t="str">
        <f t="shared" si="61"/>
        <v>Đào rãnh tiếp địa đất cấp 3</v>
      </c>
      <c r="B429" s="2383" t="s">
        <v>1055</v>
      </c>
      <c r="C429" s="2380"/>
      <c r="D429" s="2373" t="s">
        <v>5398</v>
      </c>
      <c r="E429" s="2374" t="s">
        <v>3086</v>
      </c>
      <c r="F429" s="2373" t="s">
        <v>856</v>
      </c>
      <c r="G429" s="2437">
        <f>G413*48*0.3*0.5</f>
        <v>0</v>
      </c>
      <c r="H429" s="2376">
        <v>0</v>
      </c>
      <c r="I429" s="2376"/>
      <c r="J429" s="2376">
        <v>283749.75</v>
      </c>
      <c r="K429" s="2376">
        <v>0</v>
      </c>
      <c r="L429" s="2382">
        <f t="shared" si="57"/>
        <v>0</v>
      </c>
      <c r="M429" s="2382">
        <f t="shared" si="58"/>
        <v>0</v>
      </c>
      <c r="N429" s="2382">
        <f t="shared" ref="N429:N466" si="62">J429*G429</f>
        <v>0</v>
      </c>
      <c r="O429" s="2381">
        <f t="shared" si="60"/>
        <v>0</v>
      </c>
      <c r="P429" s="2408"/>
    </row>
    <row r="430" spans="1:16" s="2358" customFormat="1" outlineLevel="1">
      <c r="A430" s="2361" t="str">
        <f t="shared" si="61"/>
        <v>Đắp đất rãnh tiếp độ chặt k=0,85</v>
      </c>
      <c r="B430" s="2386" t="s">
        <v>1056</v>
      </c>
      <c r="C430" s="2380"/>
      <c r="D430" s="2373" t="s">
        <v>5387</v>
      </c>
      <c r="E430" s="2374" t="s">
        <v>5399</v>
      </c>
      <c r="F430" s="2373" t="s">
        <v>856</v>
      </c>
      <c r="G430" s="2437">
        <f>G429</f>
        <v>0</v>
      </c>
      <c r="H430" s="2376">
        <v>0</v>
      </c>
      <c r="I430" s="2381"/>
      <c r="J430" s="2376">
        <v>117703.6</v>
      </c>
      <c r="K430" s="2376">
        <v>0</v>
      </c>
      <c r="L430" s="2382">
        <f t="shared" si="57"/>
        <v>0</v>
      </c>
      <c r="M430" s="2382">
        <f t="shared" si="58"/>
        <v>0</v>
      </c>
      <c r="N430" s="2382">
        <f t="shared" si="62"/>
        <v>0</v>
      </c>
      <c r="O430" s="2381">
        <f t="shared" si="60"/>
        <v>0</v>
      </c>
      <c r="P430" s="2408"/>
    </row>
    <row r="431" spans="1:16" s="2358" customFormat="1" outlineLevel="1">
      <c r="A431" s="2361" t="e">
        <f t="shared" si="61"/>
        <v>#N/A</v>
      </c>
      <c r="B431" s="2383"/>
      <c r="C431" s="2395">
        <f>IF(G431&gt;0,C413+1,C413)</f>
        <v>0</v>
      </c>
      <c r="D431" s="2399"/>
      <c r="E431" s="2411" t="s">
        <v>3701</v>
      </c>
      <c r="F431" s="2395" t="s">
        <v>2391</v>
      </c>
      <c r="G431" s="2440">
        <f>G404</f>
        <v>0</v>
      </c>
      <c r="H431" s="2376"/>
      <c r="I431" s="2381"/>
      <c r="J431" s="2376"/>
      <c r="K431" s="2376"/>
      <c r="L431" s="2382">
        <f t="shared" si="57"/>
        <v>0</v>
      </c>
      <c r="M431" s="2382">
        <f t="shared" si="58"/>
        <v>0</v>
      </c>
      <c r="N431" s="2382">
        <f t="shared" si="62"/>
        <v>0</v>
      </c>
      <c r="O431" s="2381">
        <f t="shared" si="60"/>
        <v>0</v>
      </c>
      <c r="P431" s="2408"/>
    </row>
    <row r="432" spans="1:16" s="2358" customFormat="1" ht="14.4" outlineLevel="1">
      <c r="A432" s="2361" t="e">
        <f t="shared" si="61"/>
        <v>#N/A</v>
      </c>
      <c r="B432" s="2383"/>
      <c r="C432" s="2395"/>
      <c r="D432" s="2399"/>
      <c r="E432" s="2425" t="s">
        <v>6207</v>
      </c>
      <c r="F432" s="2380"/>
      <c r="G432" s="2437"/>
      <c r="H432" s="2376"/>
      <c r="I432" s="2381"/>
      <c r="J432" s="2376"/>
      <c r="K432" s="2376"/>
      <c r="L432" s="2382">
        <f t="shared" si="57"/>
        <v>0</v>
      </c>
      <c r="M432" s="2382">
        <f t="shared" si="58"/>
        <v>0</v>
      </c>
      <c r="N432" s="2382">
        <f t="shared" si="62"/>
        <v>0</v>
      </c>
      <c r="O432" s="2381">
        <f t="shared" si="60"/>
        <v>0</v>
      </c>
      <c r="P432" s="2408"/>
    </row>
    <row r="433" spans="1:16" s="2358" customFormat="1" outlineLevel="1">
      <c r="A433" s="2361" t="str">
        <f t="shared" si="61"/>
        <v>Tủ MCCB trạm treo 1 pha</v>
      </c>
      <c r="B433" s="2383" t="s">
        <v>5716</v>
      </c>
      <c r="C433" s="2380"/>
      <c r="D433" s="2373" t="s">
        <v>5717</v>
      </c>
      <c r="E433" s="2374" t="s">
        <v>5718</v>
      </c>
      <c r="F433" s="2373" t="s">
        <v>2563</v>
      </c>
      <c r="G433" s="2437">
        <f>G431</f>
        <v>0</v>
      </c>
      <c r="H433" s="2376">
        <v>2971168</v>
      </c>
      <c r="I433" s="2376"/>
      <c r="J433" s="2376">
        <v>599038</v>
      </c>
      <c r="K433" s="2376">
        <v>97369</v>
      </c>
      <c r="L433" s="2382">
        <f t="shared" si="57"/>
        <v>0</v>
      </c>
      <c r="M433" s="2382">
        <f t="shared" si="58"/>
        <v>0</v>
      </c>
      <c r="N433" s="2382">
        <f t="shared" si="62"/>
        <v>0</v>
      </c>
      <c r="O433" s="2381">
        <f t="shared" si="60"/>
        <v>0</v>
      </c>
      <c r="P433" s="2408"/>
    </row>
    <row r="434" spans="1:16" s="2358" customFormat="1" outlineLevel="1">
      <c r="A434" s="2361" t="str">
        <f t="shared" si="61"/>
        <v>Cổ dê bắt tủ</v>
      </c>
      <c r="B434" s="2383" t="s">
        <v>879</v>
      </c>
      <c r="C434" s="2380"/>
      <c r="D434" s="2373">
        <v>0</v>
      </c>
      <c r="E434" s="2374" t="s">
        <v>2999</v>
      </c>
      <c r="F434" s="2373" t="s">
        <v>2445</v>
      </c>
      <c r="G434" s="2437"/>
      <c r="H434" s="2376">
        <v>168000</v>
      </c>
      <c r="I434" s="2381"/>
      <c r="J434" s="2376">
        <v>0</v>
      </c>
      <c r="K434" s="2376">
        <v>0</v>
      </c>
      <c r="L434" s="2382">
        <f t="shared" si="57"/>
        <v>0</v>
      </c>
      <c r="M434" s="2382">
        <f t="shared" si="58"/>
        <v>0</v>
      </c>
      <c r="N434" s="2382">
        <f t="shared" si="62"/>
        <v>0</v>
      </c>
      <c r="O434" s="2381">
        <f t="shared" si="60"/>
        <v>0</v>
      </c>
      <c r="P434" s="2408"/>
    </row>
    <row r="435" spans="1:16" s="2358" customFormat="1" outlineLevel="1">
      <c r="A435" s="2361" t="str">
        <f t="shared" si="61"/>
        <v xml:space="preserve">Bakelit 550x450 dầy 10mm </v>
      </c>
      <c r="B435" s="2383" t="s">
        <v>880</v>
      </c>
      <c r="C435" s="2380"/>
      <c r="D435" s="2373">
        <v>0</v>
      </c>
      <c r="E435" s="2374" t="s">
        <v>5861</v>
      </c>
      <c r="F435" s="2373" t="s">
        <v>2563</v>
      </c>
      <c r="G435" s="2437">
        <f>G431*0</f>
        <v>0</v>
      </c>
      <c r="H435" s="2376">
        <v>284000</v>
      </c>
      <c r="I435" s="2381"/>
      <c r="J435" s="2376">
        <v>5404</v>
      </c>
      <c r="K435" s="2376">
        <v>0</v>
      </c>
      <c r="L435" s="2382">
        <f t="shared" si="57"/>
        <v>0</v>
      </c>
      <c r="M435" s="2382">
        <f t="shared" si="58"/>
        <v>0</v>
      </c>
      <c r="N435" s="2382">
        <f t="shared" si="62"/>
        <v>0</v>
      </c>
      <c r="O435" s="2381">
        <f t="shared" si="60"/>
        <v>0</v>
      </c>
      <c r="P435" s="2408"/>
    </row>
    <row r="436" spans="1:16" s="2358" customFormat="1" outlineLevel="1">
      <c r="A436" s="2361" t="e">
        <f t="shared" si="61"/>
        <v>#N/A</v>
      </c>
      <c r="B436" s="2383"/>
      <c r="C436" s="2395">
        <f>IF(G436&gt;0,C431+1,C431)</f>
        <v>0</v>
      </c>
      <c r="D436" s="2399"/>
      <c r="E436" s="2424" t="s">
        <v>6226</v>
      </c>
      <c r="F436" s="2395" t="s">
        <v>2391</v>
      </c>
      <c r="G436" s="2440">
        <f>G431</f>
        <v>0</v>
      </c>
      <c r="H436" s="2376"/>
      <c r="I436" s="2381"/>
      <c r="J436" s="2376"/>
      <c r="K436" s="2376"/>
      <c r="L436" s="2382">
        <f t="shared" si="57"/>
        <v>0</v>
      </c>
      <c r="M436" s="2382">
        <f t="shared" si="58"/>
        <v>0</v>
      </c>
      <c r="N436" s="2382">
        <f t="shared" si="62"/>
        <v>0</v>
      </c>
      <c r="O436" s="2381">
        <f t="shared" si="60"/>
        <v>0</v>
      </c>
      <c r="P436" s="2408"/>
    </row>
    <row r="437" spans="1:16" s="2358" customFormat="1" ht="14.4" outlineLevel="1">
      <c r="A437" s="2361" t="e">
        <f t="shared" si="61"/>
        <v>#N/A</v>
      </c>
      <c r="B437" s="2383"/>
      <c r="C437" s="2395"/>
      <c r="D437" s="2399"/>
      <c r="E437" s="2425" t="s">
        <v>6207</v>
      </c>
      <c r="F437" s="2380"/>
      <c r="G437" s="2437"/>
      <c r="H437" s="2376"/>
      <c r="I437" s="2381"/>
      <c r="J437" s="2376"/>
      <c r="K437" s="2376"/>
      <c r="L437" s="2382">
        <f t="shared" si="57"/>
        <v>0</v>
      </c>
      <c r="M437" s="2382">
        <f t="shared" si="58"/>
        <v>0</v>
      </c>
      <c r="N437" s="2382">
        <f t="shared" si="62"/>
        <v>0</v>
      </c>
      <c r="O437" s="2381">
        <f t="shared" si="60"/>
        <v>0</v>
      </c>
      <c r="P437" s="2408"/>
    </row>
    <row r="438" spans="1:16" s="2358" customFormat="1" outlineLevel="1">
      <c r="A438" s="2361" t="str">
        <f t="shared" si="61"/>
        <v>Cáp 24KV C/XLPE/PVC 25mm2</v>
      </c>
      <c r="B438" s="2386" t="s">
        <v>697</v>
      </c>
      <c r="C438" s="2380"/>
      <c r="D438" s="2373">
        <v>0</v>
      </c>
      <c r="E438" s="2374" t="s">
        <v>5139</v>
      </c>
      <c r="F438" s="2373" t="s">
        <v>2538</v>
      </c>
      <c r="G438" s="2437">
        <f>4*G436</f>
        <v>0</v>
      </c>
      <c r="H438" s="2376">
        <v>50996</v>
      </c>
      <c r="I438" s="2376"/>
      <c r="J438" s="2376">
        <v>0</v>
      </c>
      <c r="K438" s="2376">
        <v>0</v>
      </c>
      <c r="L438" s="2382">
        <f t="shared" si="57"/>
        <v>0</v>
      </c>
      <c r="M438" s="2382">
        <f t="shared" si="58"/>
        <v>0</v>
      </c>
      <c r="N438" s="2382">
        <f t="shared" si="62"/>
        <v>0</v>
      </c>
      <c r="O438" s="2381">
        <f t="shared" si="60"/>
        <v>0</v>
      </c>
      <c r="P438" s="2408"/>
    </row>
    <row r="439" spans="1:16" s="2358" customFormat="1" outlineLevel="1">
      <c r="A439" s="2361" t="str">
        <f t="shared" si="61"/>
        <v>Kẹp quai 2/0</v>
      </c>
      <c r="B439" s="2371" t="s">
        <v>1482</v>
      </c>
      <c r="C439" s="2380"/>
      <c r="D439" s="2373">
        <v>0</v>
      </c>
      <c r="E439" s="2374" t="s">
        <v>3810</v>
      </c>
      <c r="F439" s="2373" t="s">
        <v>2563</v>
      </c>
      <c r="G439" s="2437">
        <f>G436</f>
        <v>0</v>
      </c>
      <c r="H439" s="2376">
        <v>46000</v>
      </c>
      <c r="I439" s="2376"/>
      <c r="J439" s="2376">
        <v>0</v>
      </c>
      <c r="K439" s="2376">
        <v>0</v>
      </c>
      <c r="L439" s="2382">
        <f t="shared" si="57"/>
        <v>0</v>
      </c>
      <c r="M439" s="2382">
        <f t="shared" si="58"/>
        <v>0</v>
      </c>
      <c r="N439" s="2382">
        <f t="shared" si="62"/>
        <v>0</v>
      </c>
      <c r="O439" s="2381">
        <f t="shared" si="60"/>
        <v>0</v>
      </c>
      <c r="P439" s="2408"/>
    </row>
    <row r="440" spans="1:16" s="2358" customFormat="1" outlineLevel="1">
      <c r="A440" s="2361" t="str">
        <f t="shared" si="61"/>
        <v>Kẹp hotline 2/0</v>
      </c>
      <c r="B440" s="2371" t="s">
        <v>1480</v>
      </c>
      <c r="C440" s="2380"/>
      <c r="D440" s="2373"/>
      <c r="E440" s="2374" t="s">
        <v>4361</v>
      </c>
      <c r="F440" s="2373" t="s">
        <v>2563</v>
      </c>
      <c r="G440" s="2437">
        <f>G436</f>
        <v>0</v>
      </c>
      <c r="H440" s="2376">
        <v>77000</v>
      </c>
      <c r="I440" s="2376"/>
      <c r="J440" s="2376"/>
      <c r="K440" s="2376">
        <v>0</v>
      </c>
      <c r="L440" s="2382">
        <f t="shared" si="57"/>
        <v>0</v>
      </c>
      <c r="M440" s="2382">
        <f t="shared" si="58"/>
        <v>0</v>
      </c>
      <c r="N440" s="2382">
        <f t="shared" si="62"/>
        <v>0</v>
      </c>
      <c r="O440" s="2381">
        <f t="shared" si="60"/>
        <v>0</v>
      </c>
      <c r="P440" s="2408"/>
    </row>
    <row r="441" spans="1:16" s="2358" customFormat="1" outlineLevel="1">
      <c r="A441" s="2361" t="str">
        <f t="shared" ref="A441:A472" si="63">VLOOKUP(B441,DonGia,3,0)</f>
        <v>Nắp che đầu cực FCO</v>
      </c>
      <c r="B441" s="2386" t="s">
        <v>6199</v>
      </c>
      <c r="C441" s="2380"/>
      <c r="D441" s="2373">
        <v>0</v>
      </c>
      <c r="E441" s="2374" t="s">
        <v>5762</v>
      </c>
      <c r="F441" s="2373" t="s">
        <v>2563</v>
      </c>
      <c r="G441" s="2437">
        <f>G382</f>
        <v>0</v>
      </c>
      <c r="H441" s="2376">
        <v>218200</v>
      </c>
      <c r="I441" s="2376"/>
      <c r="J441" s="2376">
        <v>0</v>
      </c>
      <c r="K441" s="2376">
        <v>0</v>
      </c>
      <c r="L441" s="2382">
        <f>H441*G441</f>
        <v>0</v>
      </c>
      <c r="M441" s="2382">
        <f>I441*G441</f>
        <v>0</v>
      </c>
      <c r="N441" s="2382">
        <f>J441*G441</f>
        <v>0</v>
      </c>
      <c r="O441" s="2381">
        <f>K441*G441</f>
        <v>0</v>
      </c>
      <c r="P441" s="2408"/>
    </row>
    <row r="442" spans="1:16" s="2358" customFormat="1" outlineLevel="1">
      <c r="A442" s="2361" t="str">
        <f t="shared" si="63"/>
        <v>Nắp che đầu cực LA</v>
      </c>
      <c r="B442" s="2386" t="s">
        <v>6200</v>
      </c>
      <c r="C442" s="2380"/>
      <c r="D442" s="2373">
        <v>0</v>
      </c>
      <c r="E442" s="2374" t="s">
        <v>5768</v>
      </c>
      <c r="F442" s="2373" t="s">
        <v>2563</v>
      </c>
      <c r="G442" s="2437">
        <f>G384</f>
        <v>0</v>
      </c>
      <c r="H442" s="2376">
        <v>39100</v>
      </c>
      <c r="I442" s="2376"/>
      <c r="J442" s="2376">
        <v>0</v>
      </c>
      <c r="K442" s="2376">
        <v>0</v>
      </c>
      <c r="L442" s="2382">
        <f>H442*G442</f>
        <v>0</v>
      </c>
      <c r="M442" s="2382">
        <f>I442*G442</f>
        <v>0</v>
      </c>
      <c r="N442" s="2382">
        <f>J442*G442</f>
        <v>0</v>
      </c>
      <c r="O442" s="2381">
        <f>K442*G442</f>
        <v>0</v>
      </c>
      <c r="P442" s="2408"/>
    </row>
    <row r="443" spans="1:16" s="2358" customFormat="1" outlineLevel="1">
      <c r="A443" s="2361" t="str">
        <f t="shared" si="63"/>
        <v>Nắp che đầu sứ MBA</v>
      </c>
      <c r="B443" s="2371" t="s">
        <v>6204</v>
      </c>
      <c r="C443" s="2380"/>
      <c r="D443" s="2373">
        <v>0</v>
      </c>
      <c r="E443" s="2374" t="s">
        <v>5770</v>
      </c>
      <c r="F443" s="2373" t="s">
        <v>2563</v>
      </c>
      <c r="G443" s="2437">
        <f>G381</f>
        <v>0</v>
      </c>
      <c r="H443" s="2376">
        <v>56700</v>
      </c>
      <c r="I443" s="2376"/>
      <c r="J443" s="2376">
        <v>0</v>
      </c>
      <c r="K443" s="2376">
        <v>0</v>
      </c>
      <c r="L443" s="2382">
        <f>H443*G443</f>
        <v>0</v>
      </c>
      <c r="M443" s="2382">
        <f>I443*G443</f>
        <v>0</v>
      </c>
      <c r="N443" s="2382">
        <f>J443*G443</f>
        <v>0</v>
      </c>
      <c r="O443" s="2381">
        <f>K443*G443</f>
        <v>0</v>
      </c>
      <c r="P443" s="2408"/>
    </row>
    <row r="444" spans="1:16" s="2358" customFormat="1" outlineLevel="1">
      <c r="A444" s="2361" t="str">
        <f t="shared" si="63"/>
        <v>Chụp cách điện kẹp quai</v>
      </c>
      <c r="B444" s="2371" t="s">
        <v>5766</v>
      </c>
      <c r="C444" s="2380"/>
      <c r="D444" s="2373">
        <v>0</v>
      </c>
      <c r="E444" s="2374" t="s">
        <v>4565</v>
      </c>
      <c r="F444" s="2373" t="s">
        <v>3463</v>
      </c>
      <c r="G444" s="2437">
        <f>G439</f>
        <v>0</v>
      </c>
      <c r="H444" s="2376">
        <v>136800</v>
      </c>
      <c r="I444" s="2376"/>
      <c r="J444" s="2376">
        <v>0</v>
      </c>
      <c r="K444" s="2376">
        <v>0</v>
      </c>
      <c r="L444" s="2382">
        <f>H444*G444</f>
        <v>0</v>
      </c>
      <c r="M444" s="2382">
        <f>I444*G444</f>
        <v>0</v>
      </c>
      <c r="N444" s="2382">
        <f>J444*G444</f>
        <v>0</v>
      </c>
      <c r="O444" s="2381">
        <f>K444*G444</f>
        <v>0</v>
      </c>
      <c r="P444" s="2408"/>
    </row>
    <row r="445" spans="1:16" s="2358" customFormat="1" outlineLevel="1">
      <c r="A445" s="2361" t="str">
        <f t="shared" si="63"/>
        <v>Lắp cáp đồng xuống thiết bị D ≤ 95mm2</v>
      </c>
      <c r="B445" s="2371" t="s">
        <v>1528</v>
      </c>
      <c r="C445" s="2380"/>
      <c r="D445" s="2373" t="s">
        <v>5633</v>
      </c>
      <c r="E445" s="2374" t="s">
        <v>3310</v>
      </c>
      <c r="F445" s="2373" t="s">
        <v>1827</v>
      </c>
      <c r="G445" s="2437">
        <f>G438</f>
        <v>0</v>
      </c>
      <c r="H445" s="2376">
        <v>0</v>
      </c>
      <c r="I445" s="2376"/>
      <c r="J445" s="2376">
        <v>13915</v>
      </c>
      <c r="K445" s="2376">
        <v>0</v>
      </c>
      <c r="L445" s="2382">
        <f t="shared" si="57"/>
        <v>0</v>
      </c>
      <c r="M445" s="2382">
        <f t="shared" si="58"/>
        <v>0</v>
      </c>
      <c r="N445" s="2382">
        <f t="shared" si="62"/>
        <v>0</v>
      </c>
      <c r="O445" s="2381">
        <f t="shared" si="60"/>
        <v>0</v>
      </c>
      <c r="P445" s="2408"/>
    </row>
    <row r="446" spans="1:16" s="2358" customFormat="1" outlineLevel="1">
      <c r="A446" s="2361" t="e">
        <f t="shared" si="63"/>
        <v>#N/A</v>
      </c>
      <c r="B446" s="2383"/>
      <c r="C446" s="2395">
        <f>IF(G446&gt;0,C436+1,C436)</f>
        <v>0</v>
      </c>
      <c r="D446" s="2399"/>
      <c r="E446" s="2411" t="s">
        <v>6227</v>
      </c>
      <c r="F446" s="2395" t="s">
        <v>2391</v>
      </c>
      <c r="G446" s="2440">
        <f>G381</f>
        <v>0</v>
      </c>
      <c r="H446" s="2376"/>
      <c r="I446" s="2381"/>
      <c r="J446" s="2376"/>
      <c r="K446" s="2376"/>
      <c r="L446" s="2382">
        <f t="shared" si="57"/>
        <v>0</v>
      </c>
      <c r="M446" s="2382">
        <f t="shared" si="58"/>
        <v>0</v>
      </c>
      <c r="N446" s="2382">
        <f t="shared" si="62"/>
        <v>0</v>
      </c>
      <c r="O446" s="2381">
        <f t="shared" si="60"/>
        <v>0</v>
      </c>
      <c r="P446" s="2408"/>
    </row>
    <row r="447" spans="1:16" s="2358" customFormat="1" ht="14.4" outlineLevel="1">
      <c r="A447" s="2361" t="e">
        <f t="shared" si="63"/>
        <v>#N/A</v>
      </c>
      <c r="B447" s="2383"/>
      <c r="C447" s="2395"/>
      <c r="D447" s="2399"/>
      <c r="E447" s="2401" t="s">
        <v>6207</v>
      </c>
      <c r="F447" s="2395"/>
      <c r="G447" s="2440"/>
      <c r="H447" s="2376"/>
      <c r="I447" s="2381"/>
      <c r="J447" s="2376"/>
      <c r="K447" s="2376"/>
      <c r="L447" s="2382">
        <f t="shared" si="57"/>
        <v>0</v>
      </c>
      <c r="M447" s="2382">
        <f t="shared" si="58"/>
        <v>0</v>
      </c>
      <c r="N447" s="2382">
        <f t="shared" si="62"/>
        <v>0</v>
      </c>
      <c r="O447" s="2381">
        <f t="shared" si="60"/>
        <v>0</v>
      </c>
      <c r="P447" s="2408"/>
    </row>
    <row r="448" spans="1:16" s="2358" customFormat="1" outlineLevel="1">
      <c r="A448" s="2361" t="str">
        <f t="shared" si="63"/>
        <v>Cáp đồng bọc CV120</v>
      </c>
      <c r="B448" s="2383" t="s">
        <v>32</v>
      </c>
      <c r="C448" s="2395"/>
      <c r="D448" s="2373">
        <v>0</v>
      </c>
      <c r="E448" s="2374" t="s">
        <v>6396</v>
      </c>
      <c r="F448" s="2373" t="s">
        <v>2538</v>
      </c>
      <c r="G448" s="2437">
        <f>G446*2*7</f>
        <v>0</v>
      </c>
      <c r="H448" s="2376">
        <v>236300</v>
      </c>
      <c r="I448" s="2376"/>
      <c r="J448" s="2376">
        <v>0</v>
      </c>
      <c r="K448" s="2376">
        <v>0</v>
      </c>
      <c r="L448" s="2382">
        <f t="shared" si="57"/>
        <v>0</v>
      </c>
      <c r="M448" s="2382">
        <f t="shared" si="58"/>
        <v>0</v>
      </c>
      <c r="N448" s="2382">
        <f t="shared" si="62"/>
        <v>0</v>
      </c>
      <c r="O448" s="2381">
        <f t="shared" si="60"/>
        <v>0</v>
      </c>
      <c r="P448" s="2408"/>
    </row>
    <row r="449" spans="1:16" s="2358" customFormat="1" outlineLevel="1">
      <c r="A449" s="2361" t="str">
        <f t="shared" si="63"/>
        <v>Cáp đồng bọc CV25</v>
      </c>
      <c r="B449" s="2383" t="s">
        <v>1529</v>
      </c>
      <c r="C449" s="2395"/>
      <c r="D449" s="2373">
        <v>0</v>
      </c>
      <c r="E449" s="2374" t="s">
        <v>6397</v>
      </c>
      <c r="F449" s="2373" t="s">
        <v>2538</v>
      </c>
      <c r="G449" s="2437">
        <f>6*G446</f>
        <v>0</v>
      </c>
      <c r="H449" s="2376">
        <v>59600</v>
      </c>
      <c r="I449" s="2376"/>
      <c r="J449" s="2376">
        <v>0</v>
      </c>
      <c r="K449" s="2376">
        <v>0</v>
      </c>
      <c r="L449" s="2382">
        <f t="shared" si="57"/>
        <v>0</v>
      </c>
      <c r="M449" s="2382">
        <f t="shared" si="58"/>
        <v>0</v>
      </c>
      <c r="N449" s="2382">
        <f t="shared" si="62"/>
        <v>0</v>
      </c>
      <c r="O449" s="2381">
        <f t="shared" si="60"/>
        <v>0</v>
      </c>
      <c r="P449" s="2408"/>
    </row>
    <row r="450" spans="1:16" s="2358" customFormat="1" outlineLevel="1">
      <c r="A450" s="2361" t="str">
        <f t="shared" si="63"/>
        <v xml:space="preserve">Cáp CVV 4x4mm2  </v>
      </c>
      <c r="B450" s="2383" t="s">
        <v>4545</v>
      </c>
      <c r="C450" s="2380"/>
      <c r="D450" s="2373">
        <v>0</v>
      </c>
      <c r="E450" s="2374" t="s">
        <v>2794</v>
      </c>
      <c r="F450" s="2373" t="s">
        <v>2538</v>
      </c>
      <c r="G450" s="2437">
        <f>4*G446</f>
        <v>0</v>
      </c>
      <c r="H450" s="2376">
        <v>63200</v>
      </c>
      <c r="I450" s="2376"/>
      <c r="J450" s="2376">
        <v>0</v>
      </c>
      <c r="K450" s="2376">
        <v>0</v>
      </c>
      <c r="L450" s="2382">
        <f t="shared" si="57"/>
        <v>0</v>
      </c>
      <c r="M450" s="2382">
        <f t="shared" si="58"/>
        <v>0</v>
      </c>
      <c r="N450" s="2382">
        <f t="shared" si="62"/>
        <v>0</v>
      </c>
      <c r="O450" s="2381">
        <f t="shared" si="60"/>
        <v>0</v>
      </c>
      <c r="P450" s="2408"/>
    </row>
    <row r="451" spans="1:16" s="2358" customFormat="1" outlineLevel="1">
      <c r="A451" s="2361" t="str">
        <f t="shared" si="63"/>
        <v>Cáp đồng bọc CV120</v>
      </c>
      <c r="B451" s="2383" t="s">
        <v>32</v>
      </c>
      <c r="C451" s="2380"/>
      <c r="D451" s="2373">
        <v>0</v>
      </c>
      <c r="E451" s="2374" t="s">
        <v>6398</v>
      </c>
      <c r="F451" s="2373" t="s">
        <v>2538</v>
      </c>
      <c r="G451" s="2437">
        <f>+G446*2*6.5</f>
        <v>0</v>
      </c>
      <c r="H451" s="2376">
        <v>236300</v>
      </c>
      <c r="I451" s="2376"/>
      <c r="J451" s="2376">
        <v>0</v>
      </c>
      <c r="K451" s="2376">
        <v>0</v>
      </c>
      <c r="L451" s="2382">
        <f t="shared" si="57"/>
        <v>0</v>
      </c>
      <c r="M451" s="2382">
        <f t="shared" si="58"/>
        <v>0</v>
      </c>
      <c r="N451" s="2382">
        <f t="shared" si="62"/>
        <v>0</v>
      </c>
      <c r="O451" s="2381">
        <f t="shared" si="60"/>
        <v>0</v>
      </c>
      <c r="P451" s="2408"/>
    </row>
    <row r="452" spans="1:16" s="2358" customFormat="1" outlineLevel="1">
      <c r="A452" s="2361" t="str">
        <f t="shared" si="63"/>
        <v>Kẹp ép WR cỡ dây 120mm2</v>
      </c>
      <c r="B452" s="2383" t="s">
        <v>13</v>
      </c>
      <c r="C452" s="2380"/>
      <c r="D452" s="2373">
        <v>0</v>
      </c>
      <c r="E452" s="2374" t="s">
        <v>2892</v>
      </c>
      <c r="F452" s="2373" t="s">
        <v>2563</v>
      </c>
      <c r="G452" s="2437">
        <f>+G446*8</f>
        <v>0</v>
      </c>
      <c r="H452" s="2376">
        <v>14000</v>
      </c>
      <c r="I452" s="2376"/>
      <c r="J452" s="2376">
        <v>0</v>
      </c>
      <c r="K452" s="2376">
        <v>0</v>
      </c>
      <c r="L452" s="2382">
        <f>H452*G452</f>
        <v>0</v>
      </c>
      <c r="M452" s="2382">
        <f>I452*G452</f>
        <v>0</v>
      </c>
      <c r="N452" s="2382">
        <f>J452*G452</f>
        <v>0</v>
      </c>
      <c r="O452" s="2381">
        <f>K452*G452</f>
        <v>0</v>
      </c>
      <c r="P452" s="2408"/>
    </row>
    <row r="453" spans="1:16" s="2358" customFormat="1" outlineLevel="1">
      <c r="A453" s="2361" t="str">
        <f t="shared" si="63"/>
        <v>Băng keo cách điện</v>
      </c>
      <c r="B453" s="2383" t="s">
        <v>672</v>
      </c>
      <c r="C453" s="2380"/>
      <c r="D453" s="2373">
        <v>0</v>
      </c>
      <c r="E453" s="2374" t="s">
        <v>5863</v>
      </c>
      <c r="F453" s="2373" t="s">
        <v>3584</v>
      </c>
      <c r="G453" s="2437">
        <f>G446*4</f>
        <v>0</v>
      </c>
      <c r="H453" s="2376">
        <v>6500</v>
      </c>
      <c r="I453" s="2376"/>
      <c r="J453" s="2376">
        <v>0</v>
      </c>
      <c r="K453" s="2376">
        <v>0</v>
      </c>
      <c r="L453" s="2382">
        <f>H453*G453</f>
        <v>0</v>
      </c>
      <c r="M453" s="2382">
        <f>I453*G453</f>
        <v>0</v>
      </c>
      <c r="N453" s="2382">
        <f>J453*G453</f>
        <v>0</v>
      </c>
      <c r="O453" s="2381">
        <f>K453*G453</f>
        <v>0</v>
      </c>
      <c r="P453" s="2408"/>
    </row>
    <row r="454" spans="1:16" s="2358" customFormat="1" outlineLevel="1">
      <c r="A454" s="2361" t="str">
        <f t="shared" si="63"/>
        <v>Đầu cosse ép Cu 120mm2</v>
      </c>
      <c r="B454" s="2383" t="s">
        <v>1308</v>
      </c>
      <c r="C454" s="2380"/>
      <c r="D454" s="2373" t="s">
        <v>5790</v>
      </c>
      <c r="E454" s="2374" t="s">
        <v>3500</v>
      </c>
      <c r="F454" s="2373" t="s">
        <v>2563</v>
      </c>
      <c r="G454" s="2437">
        <f>G446*G386*4</f>
        <v>0</v>
      </c>
      <c r="H454" s="2376">
        <v>27000</v>
      </c>
      <c r="I454" s="2376"/>
      <c r="J454" s="2376">
        <v>27280.17</v>
      </c>
      <c r="K454" s="2376">
        <v>3887.8325465000003</v>
      </c>
      <c r="L454" s="2382">
        <f t="shared" si="57"/>
        <v>0</v>
      </c>
      <c r="M454" s="2382">
        <f t="shared" si="58"/>
        <v>0</v>
      </c>
      <c r="N454" s="2382">
        <f t="shared" si="62"/>
        <v>0</v>
      </c>
      <c r="O454" s="2381">
        <f t="shared" si="60"/>
        <v>0</v>
      </c>
      <c r="P454" s="2408"/>
    </row>
    <row r="455" spans="1:16" s="2358" customFormat="1" outlineLevel="1">
      <c r="A455" s="2361" t="str">
        <f t="shared" si="63"/>
        <v>Đầu cosse ép Cu 25mm2</v>
      </c>
      <c r="B455" s="2383" t="s">
        <v>1073</v>
      </c>
      <c r="C455" s="2380"/>
      <c r="D455" s="2373" t="s">
        <v>5786</v>
      </c>
      <c r="E455" s="2374" t="s">
        <v>3494</v>
      </c>
      <c r="F455" s="2373" t="s">
        <v>2563</v>
      </c>
      <c r="G455" s="2437">
        <f>G446*1</f>
        <v>0</v>
      </c>
      <c r="H455" s="2376">
        <v>6500</v>
      </c>
      <c r="I455" s="2376"/>
      <c r="J455" s="2376">
        <v>6062.26</v>
      </c>
      <c r="K455" s="2376">
        <v>2777.0232475000003</v>
      </c>
      <c r="L455" s="2382">
        <f t="shared" si="57"/>
        <v>0</v>
      </c>
      <c r="M455" s="2382">
        <f t="shared" si="58"/>
        <v>0</v>
      </c>
      <c r="N455" s="2382">
        <f t="shared" si="62"/>
        <v>0</v>
      </c>
      <c r="O455" s="2381">
        <f t="shared" si="60"/>
        <v>0</v>
      </c>
      <c r="P455" s="2408"/>
    </row>
    <row r="456" spans="1:16" s="2358" customFormat="1" outlineLevel="1">
      <c r="A456" s="2361" t="str">
        <f t="shared" si="63"/>
        <v>Chụp đầu cosse  120mm2</v>
      </c>
      <c r="B456" s="2383" t="s">
        <v>1865</v>
      </c>
      <c r="C456" s="2380"/>
      <c r="D456" s="2373">
        <v>0</v>
      </c>
      <c r="E456" s="2374" t="s">
        <v>3514</v>
      </c>
      <c r="F456" s="2373" t="s">
        <v>2563</v>
      </c>
      <c r="G456" s="2437">
        <f>G454</f>
        <v>0</v>
      </c>
      <c r="H456" s="2376">
        <v>4000</v>
      </c>
      <c r="I456" s="2376"/>
      <c r="J456" s="2376">
        <v>0</v>
      </c>
      <c r="K456" s="2376">
        <v>0</v>
      </c>
      <c r="L456" s="2382">
        <f t="shared" si="57"/>
        <v>0</v>
      </c>
      <c r="M456" s="2382">
        <f t="shared" si="58"/>
        <v>0</v>
      </c>
      <c r="N456" s="2382">
        <f t="shared" si="62"/>
        <v>0</v>
      </c>
      <c r="O456" s="2381">
        <f t="shared" si="60"/>
        <v>0</v>
      </c>
      <c r="P456" s="2408"/>
    </row>
    <row r="457" spans="1:16" s="2358" customFormat="1" outlineLevel="1">
      <c r="A457" s="2361" t="str">
        <f t="shared" si="63"/>
        <v>Chụp đầu cosse  25mm2</v>
      </c>
      <c r="B457" s="2383" t="s">
        <v>6228</v>
      </c>
      <c r="C457" s="2380"/>
      <c r="D457" s="2373">
        <v>0</v>
      </c>
      <c r="E457" s="2374" t="s">
        <v>3509</v>
      </c>
      <c r="F457" s="2373" t="s">
        <v>2563</v>
      </c>
      <c r="G457" s="2437">
        <f>G455</f>
        <v>0</v>
      </c>
      <c r="H457" s="2376">
        <v>1000</v>
      </c>
      <c r="I457" s="2376"/>
      <c r="J457" s="2376">
        <v>0</v>
      </c>
      <c r="K457" s="2376">
        <v>0</v>
      </c>
      <c r="L457" s="2382">
        <f t="shared" ref="L457:L466" si="64">H457*G457</f>
        <v>0</v>
      </c>
      <c r="M457" s="2382">
        <f t="shared" ref="M457:M466" si="65">I457*G457</f>
        <v>0</v>
      </c>
      <c r="N457" s="2382">
        <f t="shared" si="62"/>
        <v>0</v>
      </c>
      <c r="O457" s="2381">
        <f t="shared" ref="O457:O466" si="66">K457*G457</f>
        <v>0</v>
      </c>
      <c r="P457" s="2408"/>
    </row>
    <row r="458" spans="1:16" s="2358" customFormat="1" outlineLevel="1">
      <c r="A458" s="2361" t="str">
        <f t="shared" si="63"/>
        <v xml:space="preserve">Ống PVC D114x4,9mm </v>
      </c>
      <c r="B458" s="2383" t="s">
        <v>1042</v>
      </c>
      <c r="C458" s="2380"/>
      <c r="D458" s="2373">
        <v>0</v>
      </c>
      <c r="E458" s="2374" t="s">
        <v>3549</v>
      </c>
      <c r="F458" s="2373" t="s">
        <v>1827</v>
      </c>
      <c r="G458" s="2437">
        <f>6.8*G446</f>
        <v>0</v>
      </c>
      <c r="H458" s="2376">
        <v>103700</v>
      </c>
      <c r="I458" s="2381"/>
      <c r="J458" s="2376">
        <v>0</v>
      </c>
      <c r="K458" s="2376">
        <v>0</v>
      </c>
      <c r="L458" s="2382">
        <f t="shared" si="64"/>
        <v>0</v>
      </c>
      <c r="M458" s="2382">
        <f t="shared" si="65"/>
        <v>0</v>
      </c>
      <c r="N458" s="2382">
        <f t="shared" si="62"/>
        <v>0</v>
      </c>
      <c r="O458" s="2381">
        <f t="shared" si="66"/>
        <v>0</v>
      </c>
      <c r="P458" s="2408"/>
    </row>
    <row r="459" spans="1:16" s="2358" customFormat="1" outlineLevel="1">
      <c r="A459" s="2361" t="str">
        <f t="shared" si="63"/>
        <v>Cổ dê kẹp ống PVC Ø 114</v>
      </c>
      <c r="B459" s="2386" t="s">
        <v>1866</v>
      </c>
      <c r="C459" s="2380"/>
      <c r="D459" s="2373">
        <v>0</v>
      </c>
      <c r="E459" s="2374" t="s">
        <v>5319</v>
      </c>
      <c r="F459" s="2373" t="s">
        <v>2445</v>
      </c>
      <c r="G459" s="2437">
        <f>4*G446</f>
        <v>0</v>
      </c>
      <c r="H459" s="2376">
        <v>50000</v>
      </c>
      <c r="I459" s="2381"/>
      <c r="J459" s="2376">
        <v>0</v>
      </c>
      <c r="K459" s="2376">
        <v>0</v>
      </c>
      <c r="L459" s="2382">
        <f t="shared" si="64"/>
        <v>0</v>
      </c>
      <c r="M459" s="2382">
        <f t="shared" si="65"/>
        <v>0</v>
      </c>
      <c r="N459" s="2382">
        <f t="shared" si="62"/>
        <v>0</v>
      </c>
      <c r="O459" s="2381">
        <f t="shared" si="66"/>
        <v>0</v>
      </c>
      <c r="P459" s="2408"/>
    </row>
    <row r="460" spans="1:16" s="2358" customFormat="1" outlineLevel="1">
      <c r="A460" s="2361" t="str">
        <f t="shared" si="63"/>
        <v>Boulon 12x40+ 2 long đền vuông D14-50x50x3/Zn</v>
      </c>
      <c r="B460" s="2386" t="s">
        <v>2023</v>
      </c>
      <c r="C460" s="2380"/>
      <c r="D460" s="2373">
        <v>0</v>
      </c>
      <c r="E460" s="2374" t="s">
        <v>2635</v>
      </c>
      <c r="F460" s="2373" t="s">
        <v>2445</v>
      </c>
      <c r="G460" s="2437">
        <f>G461*4</f>
        <v>0</v>
      </c>
      <c r="H460" s="2376">
        <v>8500</v>
      </c>
      <c r="I460" s="2381"/>
      <c r="J460" s="2376"/>
      <c r="K460" s="2376">
        <v>0</v>
      </c>
      <c r="L460" s="2382">
        <f>H460*G460</f>
        <v>0</v>
      </c>
      <c r="M460" s="2382">
        <f>I460*G460</f>
        <v>0</v>
      </c>
      <c r="N460" s="2382">
        <f>J460*G460</f>
        <v>0</v>
      </c>
      <c r="O460" s="2381">
        <f>K460*G460</f>
        <v>0</v>
      </c>
      <c r="P460" s="2408"/>
    </row>
    <row r="461" spans="1:16" s="2358" customFormat="1" outlineLevel="1">
      <c r="A461" s="2361" t="str">
        <f t="shared" si="63"/>
        <v>Lắp cổ dề</v>
      </c>
      <c r="B461" s="2386" t="s">
        <v>1131</v>
      </c>
      <c r="C461" s="2380"/>
      <c r="D461" s="2373" t="s">
        <v>5333</v>
      </c>
      <c r="E461" s="2374" t="s">
        <v>5532</v>
      </c>
      <c r="F461" s="2373" t="s">
        <v>2563</v>
      </c>
      <c r="G461" s="2437">
        <f>G446*3*0</f>
        <v>0</v>
      </c>
      <c r="H461" s="2376">
        <v>0</v>
      </c>
      <c r="I461" s="2381"/>
      <c r="J461" s="2376">
        <v>77000</v>
      </c>
      <c r="K461" s="2376">
        <v>0</v>
      </c>
      <c r="L461" s="2382">
        <f>H461*G461</f>
        <v>0</v>
      </c>
      <c r="M461" s="2382">
        <f>I461*G461</f>
        <v>0</v>
      </c>
      <c r="N461" s="2382">
        <f>J461*G461</f>
        <v>0</v>
      </c>
      <c r="O461" s="2381">
        <f>K461*G461</f>
        <v>0</v>
      </c>
      <c r="P461" s="2408"/>
    </row>
    <row r="462" spans="1:16" s="2358" customFormat="1" outlineLevel="1">
      <c r="A462" s="2361" t="str">
        <f t="shared" si="63"/>
        <v>Co  90 độ PVC 90</v>
      </c>
      <c r="B462" s="2383" t="s">
        <v>69</v>
      </c>
      <c r="C462" s="2380"/>
      <c r="D462" s="2373">
        <v>0</v>
      </c>
      <c r="E462" s="2374" t="s">
        <v>5859</v>
      </c>
      <c r="F462" s="2373" t="s">
        <v>2563</v>
      </c>
      <c r="G462" s="2437">
        <f>4*G446</f>
        <v>0</v>
      </c>
      <c r="H462" s="2376">
        <v>45400</v>
      </c>
      <c r="I462" s="2381"/>
      <c r="J462" s="2376">
        <v>0</v>
      </c>
      <c r="K462" s="2376">
        <v>0</v>
      </c>
      <c r="L462" s="2382">
        <f t="shared" si="64"/>
        <v>0</v>
      </c>
      <c r="M462" s="2382">
        <f t="shared" si="65"/>
        <v>0</v>
      </c>
      <c r="N462" s="2382">
        <f t="shared" si="62"/>
        <v>0</v>
      </c>
      <c r="O462" s="2381">
        <f t="shared" si="66"/>
        <v>0</v>
      </c>
      <c r="P462" s="2408"/>
    </row>
    <row r="463" spans="1:16" s="2358" customFormat="1" outlineLevel="1">
      <c r="A463" s="2361" t="str">
        <f t="shared" si="63"/>
        <v>Nối ống PVC 114</v>
      </c>
      <c r="B463" s="2383" t="s">
        <v>688</v>
      </c>
      <c r="C463" s="2380"/>
      <c r="D463" s="2373">
        <v>0</v>
      </c>
      <c r="E463" s="2374" t="s">
        <v>4477</v>
      </c>
      <c r="F463" s="2373" t="s">
        <v>2563</v>
      </c>
      <c r="G463" s="2437">
        <f>G446*0</f>
        <v>0</v>
      </c>
      <c r="H463" s="2376">
        <v>27500</v>
      </c>
      <c r="I463" s="2381"/>
      <c r="J463" s="2376">
        <v>0</v>
      </c>
      <c r="K463" s="2376">
        <v>0</v>
      </c>
      <c r="L463" s="2382">
        <f t="shared" si="64"/>
        <v>0</v>
      </c>
      <c r="M463" s="2382">
        <f t="shared" si="65"/>
        <v>0</v>
      </c>
      <c r="N463" s="2382">
        <f t="shared" si="62"/>
        <v>0</v>
      </c>
      <c r="O463" s="2381">
        <f t="shared" si="66"/>
        <v>0</v>
      </c>
      <c r="P463" s="2408"/>
    </row>
    <row r="464" spans="1:16" s="2358" customFormat="1" outlineLevel="1">
      <c r="A464" s="2361" t="str">
        <f t="shared" si="63"/>
        <v>Khâu ven răng trong D90</v>
      </c>
      <c r="B464" s="2383" t="s">
        <v>2159</v>
      </c>
      <c r="C464" s="2380"/>
      <c r="D464" s="2373">
        <v>0</v>
      </c>
      <c r="E464" s="2374" t="s">
        <v>3592</v>
      </c>
      <c r="F464" s="2373" t="s">
        <v>2563</v>
      </c>
      <c r="G464" s="2437">
        <f>+G446</f>
        <v>0</v>
      </c>
      <c r="H464" s="2376">
        <v>25800</v>
      </c>
      <c r="I464" s="2381"/>
      <c r="J464" s="2376">
        <v>0</v>
      </c>
      <c r="K464" s="2376">
        <v>0</v>
      </c>
      <c r="L464" s="2382">
        <f>H464*G464</f>
        <v>0</v>
      </c>
      <c r="M464" s="2382">
        <f>I464*G464</f>
        <v>0</v>
      </c>
      <c r="N464" s="2382">
        <f>J464*G464</f>
        <v>0</v>
      </c>
      <c r="O464" s="2381">
        <f>K464*G464</f>
        <v>0</v>
      </c>
      <c r="P464" s="2408"/>
    </row>
    <row r="465" spans="1:16" s="2358" customFormat="1" outlineLevel="1">
      <c r="A465" s="2361" t="str">
        <f t="shared" si="63"/>
        <v>Khâu ven răng ngoài D90</v>
      </c>
      <c r="B465" s="2383" t="s">
        <v>2160</v>
      </c>
      <c r="C465" s="2380"/>
      <c r="D465" s="2373">
        <v>0</v>
      </c>
      <c r="E465" s="2374" t="s">
        <v>3596</v>
      </c>
      <c r="F465" s="2373" t="s">
        <v>2563</v>
      </c>
      <c r="G465" s="2437">
        <f>G464</f>
        <v>0</v>
      </c>
      <c r="H465" s="2376">
        <v>21500</v>
      </c>
      <c r="I465" s="2381"/>
      <c r="J465" s="2376">
        <v>0</v>
      </c>
      <c r="K465" s="2376">
        <v>0</v>
      </c>
      <c r="L465" s="2382">
        <f>H465*G465</f>
        <v>0</v>
      </c>
      <c r="M465" s="2382">
        <f>I465*G465</f>
        <v>0</v>
      </c>
      <c r="N465" s="2382">
        <f>J465*G465</f>
        <v>0</v>
      </c>
      <c r="O465" s="2381">
        <f>K465*G465</f>
        <v>0</v>
      </c>
      <c r="P465" s="2408"/>
    </row>
    <row r="466" spans="1:16" s="2358" customFormat="1" outlineLevel="1">
      <c r="A466" s="2361" t="str">
        <f t="shared" si="63"/>
        <v>Keo dán ống PVC (100gr)</v>
      </c>
      <c r="B466" s="2383" t="s">
        <v>2080</v>
      </c>
      <c r="C466" s="2380"/>
      <c r="D466" s="2373">
        <v>0</v>
      </c>
      <c r="E466" s="2374" t="s">
        <v>3588</v>
      </c>
      <c r="F466" s="2373" t="s">
        <v>3589</v>
      </c>
      <c r="G466" s="2437">
        <f>G446</f>
        <v>0</v>
      </c>
      <c r="H466" s="2376">
        <v>11500</v>
      </c>
      <c r="I466" s="2381"/>
      <c r="J466" s="2376">
        <v>0</v>
      </c>
      <c r="K466" s="2376">
        <v>0</v>
      </c>
      <c r="L466" s="2382">
        <f t="shared" si="64"/>
        <v>0</v>
      </c>
      <c r="M466" s="2382">
        <f t="shared" si="65"/>
        <v>0</v>
      </c>
      <c r="N466" s="2382">
        <f t="shared" si="62"/>
        <v>0</v>
      </c>
      <c r="O466" s="2381">
        <f t="shared" si="66"/>
        <v>0</v>
      </c>
      <c r="P466" s="2408"/>
    </row>
    <row r="467" spans="1:16" s="2358" customFormat="1" outlineLevel="1">
      <c r="A467" s="2361" t="str">
        <f t="shared" si="63"/>
        <v>Keo silicon bít miệng ống</v>
      </c>
      <c r="B467" s="2383" t="s">
        <v>489</v>
      </c>
      <c r="C467" s="2380"/>
      <c r="D467" s="2373">
        <v>0</v>
      </c>
      <c r="E467" s="2374" t="s">
        <v>3585</v>
      </c>
      <c r="F467" s="2373" t="s">
        <v>5868</v>
      </c>
      <c r="G467" s="2437">
        <f>G446</f>
        <v>0</v>
      </c>
      <c r="H467" s="2376">
        <v>45000</v>
      </c>
      <c r="I467" s="2381"/>
      <c r="J467" s="2376">
        <v>0</v>
      </c>
      <c r="K467" s="2376">
        <v>0</v>
      </c>
      <c r="L467" s="2382">
        <f>H467*G467</f>
        <v>0</v>
      </c>
      <c r="M467" s="2382">
        <f>I467*G467</f>
        <v>0</v>
      </c>
      <c r="N467" s="2382">
        <f>J467*G467</f>
        <v>0</v>
      </c>
      <c r="O467" s="2381">
        <f>K467*G467</f>
        <v>0</v>
      </c>
      <c r="P467" s="2408"/>
    </row>
    <row r="468" spans="1:16" s="2358" customFormat="1" outlineLevel="1">
      <c r="A468" s="2361" t="str">
        <f t="shared" si="63"/>
        <v>Băng keo cách điện</v>
      </c>
      <c r="B468" s="2386" t="s">
        <v>672</v>
      </c>
      <c r="C468" s="2380"/>
      <c r="D468" s="2403"/>
      <c r="E468" s="2374" t="s">
        <v>5863</v>
      </c>
      <c r="F468" s="2373" t="s">
        <v>3584</v>
      </c>
      <c r="G468" s="2437"/>
      <c r="H468" s="2376">
        <v>6500</v>
      </c>
      <c r="I468" s="2381"/>
      <c r="J468" s="2376">
        <v>0</v>
      </c>
      <c r="K468" s="2376">
        <v>0</v>
      </c>
      <c r="L468" s="2382">
        <f>H468*G468</f>
        <v>0</v>
      </c>
      <c r="M468" s="2382">
        <f>I468*G468</f>
        <v>0</v>
      </c>
      <c r="N468" s="2382">
        <f>J468*G468</f>
        <v>0</v>
      </c>
      <c r="O468" s="2381">
        <f>K468*G468</f>
        <v>0</v>
      </c>
      <c r="P468" s="2408"/>
    </row>
    <row r="469" spans="1:16" s="2358" customFormat="1" outlineLevel="1">
      <c r="A469" s="2361" t="str">
        <f t="shared" si="63"/>
        <v>Lắp ống nhựa PVC D90</v>
      </c>
      <c r="B469" s="2383" t="s">
        <v>2188</v>
      </c>
      <c r="C469" s="2380"/>
      <c r="D469" s="2373" t="s">
        <v>5609</v>
      </c>
      <c r="E469" s="2374" t="s">
        <v>3270</v>
      </c>
      <c r="F469" s="2373" t="s">
        <v>2538</v>
      </c>
      <c r="G469" s="2437"/>
      <c r="H469" s="2376"/>
      <c r="I469" s="2381"/>
      <c r="J469" s="2376">
        <v>55493.02</v>
      </c>
      <c r="K469" s="2376">
        <v>0</v>
      </c>
      <c r="L469" s="2382">
        <f>H469*G469</f>
        <v>0</v>
      </c>
      <c r="M469" s="2382">
        <f>I469*G469</f>
        <v>0</v>
      </c>
      <c r="N469" s="2382">
        <f>J469*G469</f>
        <v>0</v>
      </c>
      <c r="O469" s="2381">
        <f>K469*G469</f>
        <v>0</v>
      </c>
      <c r="P469" s="2408"/>
    </row>
    <row r="470" spans="1:16" s="2358" customFormat="1" outlineLevel="1">
      <c r="A470" s="2361" t="str">
        <f t="shared" si="63"/>
        <v>Lắp cáp đồng xuống thiết bị D ≤ 150mm2</v>
      </c>
      <c r="B470" s="2386" t="s">
        <v>2010</v>
      </c>
      <c r="C470" s="2380"/>
      <c r="D470" s="2373" t="s">
        <v>5634</v>
      </c>
      <c r="E470" s="2374" t="s">
        <v>3311</v>
      </c>
      <c r="F470" s="2373" t="s">
        <v>1827</v>
      </c>
      <c r="G470" s="2437">
        <f>G448+G449</f>
        <v>0</v>
      </c>
      <c r="H470" s="2376"/>
      <c r="I470" s="2381"/>
      <c r="J470" s="2376">
        <v>33396</v>
      </c>
      <c r="K470" s="2376">
        <v>0</v>
      </c>
      <c r="L470" s="2382">
        <f>H470*G470</f>
        <v>0</v>
      </c>
      <c r="M470" s="2382">
        <f>I470*G470</f>
        <v>0</v>
      </c>
      <c r="N470" s="2382">
        <f>J470*G470</f>
        <v>0</v>
      </c>
      <c r="O470" s="2381">
        <f>K470*G470</f>
        <v>0</v>
      </c>
      <c r="P470" s="2408"/>
    </row>
    <row r="471" spans="1:16" s="2358" customFormat="1" outlineLevel="1">
      <c r="A471" s="2361" t="str">
        <f t="shared" si="63"/>
        <v>Bảng tên trạm, bảng báo nguy hiểm + đinh vít</v>
      </c>
      <c r="B471" s="2383" t="s">
        <v>289</v>
      </c>
      <c r="C471" s="2413">
        <f>IF(G471&gt;0,C446+1,C446)</f>
        <v>0</v>
      </c>
      <c r="D471" s="2414"/>
      <c r="E471" s="2374" t="s">
        <v>5774</v>
      </c>
      <c r="F471" s="2373" t="s">
        <v>2563</v>
      </c>
      <c r="G471" s="2441">
        <f>G404</f>
        <v>0</v>
      </c>
      <c r="H471" s="2376">
        <v>300000</v>
      </c>
      <c r="I471" s="2416"/>
      <c r="J471" s="2376"/>
      <c r="K471" s="2376">
        <v>0</v>
      </c>
      <c r="L471" s="2415">
        <f>H471*G471</f>
        <v>0</v>
      </c>
      <c r="M471" s="2415">
        <f>I471*G471</f>
        <v>0</v>
      </c>
      <c r="N471" s="2415">
        <f>J471*G471</f>
        <v>0</v>
      </c>
      <c r="O471" s="2416">
        <f>K471*G471</f>
        <v>0</v>
      </c>
      <c r="P471" s="2432"/>
    </row>
    <row r="472" spans="1:16" s="2358" customFormat="1" outlineLevel="1">
      <c r="A472" s="2361" t="e">
        <f t="shared" si="63"/>
        <v>#N/A</v>
      </c>
      <c r="B472" s="2383"/>
      <c r="C472" s="2418"/>
      <c r="D472" s="2419"/>
      <c r="E472" s="2392"/>
      <c r="F472" s="2875"/>
      <c r="G472" s="2875"/>
      <c r="H472" s="2875"/>
      <c r="I472" s="2875"/>
      <c r="J472" s="2911" t="s">
        <v>6205</v>
      </c>
      <c r="K472" s="2911"/>
      <c r="L472" s="2420">
        <f>SUM(L392:L471)</f>
        <v>0</v>
      </c>
      <c r="M472" s="2420"/>
      <c r="N472" s="2420">
        <f>SUM(N392:N471)</f>
        <v>0</v>
      </c>
      <c r="O472" s="2420">
        <f>SUM(O392:O471)</f>
        <v>0</v>
      </c>
      <c r="P472" s="2423"/>
    </row>
    <row r="473" spans="1:16" s="2358" customFormat="1" ht="13.8" customHeight="1">
      <c r="A473" s="2402" t="str">
        <f>IF(G478&lt;&gt;0,1,"")</f>
        <v/>
      </c>
      <c r="B473" s="2383"/>
      <c r="C473" s="2876"/>
      <c r="D473" s="2880"/>
      <c r="E473" s="2442"/>
    </row>
    <row r="474" spans="1:16" s="2358" customFormat="1" outlineLevel="1">
      <c r="A474" s="2361" t="e">
        <f t="shared" ref="A474:A505" si="67">VLOOKUP(B474,DonGia,3,0)</f>
        <v>#N/A</v>
      </c>
      <c r="B474" s="2384"/>
      <c r="C474" s="2397" t="str">
        <f>"BẢNG TỔNG HỢP VẬT LIỆU, NHÂN CÔNG, MÁY THI CÔNG: "&amp;H11&amp;   "TRẠM_1P100KVA "</f>
        <v xml:space="preserve">BẢNG TỔNG HỢP VẬT LIỆU, NHÂN CÔNG, MÁY THI CÔNG: 0TRẠM_1P100KVA </v>
      </c>
      <c r="D474" s="2878"/>
      <c r="E474" s="2397"/>
      <c r="F474" s="2397"/>
      <c r="G474" s="2397"/>
      <c r="H474" s="2397"/>
      <c r="I474" s="2397"/>
      <c r="J474" s="2397"/>
      <c r="K474" s="2397"/>
      <c r="L474" s="2397"/>
      <c r="M474" s="2397"/>
      <c r="N474" s="2397"/>
      <c r="O474" s="2397"/>
      <c r="P474" s="2402"/>
    </row>
    <row r="475" spans="1:16" s="2358" customFormat="1" outlineLevel="1">
      <c r="A475" s="2361" t="e">
        <f t="shared" si="67"/>
        <v>#N/A</v>
      </c>
      <c r="B475" s="2383" t="s">
        <v>6186</v>
      </c>
      <c r="C475" s="2901" t="s">
        <v>1712</v>
      </c>
      <c r="D475" s="2902" t="s">
        <v>2605</v>
      </c>
      <c r="E475" s="2904" t="s">
        <v>2606</v>
      </c>
      <c r="F475" s="2901" t="s">
        <v>2601</v>
      </c>
      <c r="G475" s="2362" t="s">
        <v>6187</v>
      </c>
      <c r="H475" s="2365" t="s">
        <v>6188</v>
      </c>
      <c r="I475" s="2872"/>
      <c r="J475" s="2872"/>
      <c r="K475" s="2873"/>
      <c r="L475" s="2365" t="s">
        <v>6189</v>
      </c>
      <c r="M475" s="2872"/>
      <c r="N475" s="2872"/>
      <c r="O475" s="2873"/>
      <c r="P475" s="2901" t="s">
        <v>2607</v>
      </c>
    </row>
    <row r="476" spans="1:16" s="2358" customFormat="1" outlineLevel="1">
      <c r="A476" s="2361" t="e">
        <f t="shared" si="67"/>
        <v>#N/A</v>
      </c>
      <c r="B476" s="2383"/>
      <c r="C476" s="2901"/>
      <c r="D476" s="2903"/>
      <c r="E476" s="2905"/>
      <c r="F476" s="2901"/>
      <c r="G476" s="2364" t="s">
        <v>2292</v>
      </c>
      <c r="H476" s="2365" t="s">
        <v>6190</v>
      </c>
      <c r="I476" s="2365" t="s">
        <v>6191</v>
      </c>
      <c r="J476" s="2365" t="s">
        <v>6192</v>
      </c>
      <c r="K476" s="2365" t="s">
        <v>6193</v>
      </c>
      <c r="L476" s="2365" t="s">
        <v>6190</v>
      </c>
      <c r="M476" s="2365" t="s">
        <v>6191</v>
      </c>
      <c r="N476" s="2365" t="s">
        <v>6192</v>
      </c>
      <c r="O476" s="2365" t="s">
        <v>6193</v>
      </c>
      <c r="P476" s="2901"/>
    </row>
    <row r="477" spans="1:16" s="2358" customFormat="1" outlineLevel="1">
      <c r="A477" s="2361" t="e">
        <f t="shared" si="67"/>
        <v>#N/A</v>
      </c>
      <c r="B477" s="2383"/>
      <c r="C477" s="2366"/>
      <c r="D477" s="2367"/>
      <c r="E477" s="2368" t="s">
        <v>3690</v>
      </c>
      <c r="F477" s="2369"/>
      <c r="G477" s="2369"/>
      <c r="H477" s="2369"/>
      <c r="I477" s="2369"/>
      <c r="J477" s="2369"/>
      <c r="K477" s="2369"/>
      <c r="L477" s="2369"/>
      <c r="M477" s="2369"/>
      <c r="N477" s="2369"/>
      <c r="O477" s="2367"/>
      <c r="P477" s="2370"/>
    </row>
    <row r="478" spans="1:16" s="2358" customFormat="1" outlineLevel="1">
      <c r="A478" s="2361" t="str">
        <f t="shared" si="67"/>
        <v>Máy biến áp 12,7/0,22-0,44kV  100kVA</v>
      </c>
      <c r="B478" s="2371" t="s">
        <v>503</v>
      </c>
      <c r="C478" s="2372">
        <f>IF(G478&gt;0,1,0)</f>
        <v>0</v>
      </c>
      <c r="D478" s="2373" t="s">
        <v>5648</v>
      </c>
      <c r="E478" s="2374" t="s">
        <v>3327</v>
      </c>
      <c r="F478" s="2373" t="s">
        <v>3318</v>
      </c>
      <c r="G478" s="2443">
        <f>H11</f>
        <v>0</v>
      </c>
      <c r="H478" s="2376">
        <v>68939000</v>
      </c>
      <c r="I478" s="2376"/>
      <c r="J478" s="2376">
        <v>891368</v>
      </c>
      <c r="K478" s="2376">
        <v>284508</v>
      </c>
      <c r="L478" s="2382">
        <f t="shared" ref="L478:L486" si="68">H478*G478</f>
        <v>0</v>
      </c>
      <c r="M478" s="2382">
        <f t="shared" ref="M478:M483" si="69">I478*G478</f>
        <v>0</v>
      </c>
      <c r="N478" s="2382">
        <f t="shared" ref="N478:N483" si="70">J478*G478</f>
        <v>0</v>
      </c>
      <c r="O478" s="2381">
        <f t="shared" ref="O478:O483" si="71">K478*G478</f>
        <v>0</v>
      </c>
      <c r="P478" s="2408"/>
    </row>
    <row r="479" spans="1:16" s="2358" customFormat="1" outlineLevel="1">
      <c r="A479" s="2361" t="str">
        <f t="shared" si="67"/>
        <v>FCO 27kV - 100A</v>
      </c>
      <c r="B479" s="2371" t="str">
        <f>"FCO100-"&amp;$F$8</f>
        <v>FCO100-22</v>
      </c>
      <c r="C479" s="2372">
        <f t="shared" ref="C479:C486" si="72">IF(G479&gt;0,C478+1,C478)</f>
        <v>0</v>
      </c>
      <c r="D479" s="2373" t="s">
        <v>5660</v>
      </c>
      <c r="E479" s="2374" t="s">
        <v>95</v>
      </c>
      <c r="F479" s="2373" t="s">
        <v>2563</v>
      </c>
      <c r="G479" s="2444">
        <f>G478</f>
        <v>0</v>
      </c>
      <c r="H479" s="2376">
        <v>2244280</v>
      </c>
      <c r="I479" s="2376"/>
      <c r="J479" s="2376">
        <v>222639.99999999997</v>
      </c>
      <c r="K479" s="2376">
        <v>0</v>
      </c>
      <c r="L479" s="2382">
        <f t="shared" si="68"/>
        <v>0</v>
      </c>
      <c r="M479" s="2382">
        <f t="shared" si="69"/>
        <v>0</v>
      </c>
      <c r="N479" s="2382">
        <f t="shared" si="70"/>
        <v>0</v>
      </c>
      <c r="O479" s="2381">
        <f t="shared" si="71"/>
        <v>0</v>
      </c>
      <c r="P479" s="2408"/>
    </row>
    <row r="480" spans="1:16" s="2358" customFormat="1" outlineLevel="1">
      <c r="A480" s="2361" t="str">
        <f t="shared" si="67"/>
        <v>Dây chảy 20K</v>
      </c>
      <c r="B480" s="2371" t="s">
        <v>1161</v>
      </c>
      <c r="C480" s="2372">
        <f t="shared" si="72"/>
        <v>0</v>
      </c>
      <c r="D480" s="2373">
        <v>0</v>
      </c>
      <c r="E480" s="2374" t="s">
        <v>3446</v>
      </c>
      <c r="F480" s="2373" t="s">
        <v>2608</v>
      </c>
      <c r="G480" s="2444">
        <f>G479</f>
        <v>0</v>
      </c>
      <c r="H480" s="2376">
        <v>110000</v>
      </c>
      <c r="I480" s="2376"/>
      <c r="J480" s="2376">
        <v>0</v>
      </c>
      <c r="K480" s="2376">
        <v>0</v>
      </c>
      <c r="L480" s="2382">
        <f t="shared" si="68"/>
        <v>0</v>
      </c>
      <c r="M480" s="2382">
        <f t="shared" si="69"/>
        <v>0</v>
      </c>
      <c r="N480" s="2382">
        <f t="shared" si="70"/>
        <v>0</v>
      </c>
      <c r="O480" s="2381">
        <f t="shared" si="71"/>
        <v>0</v>
      </c>
      <c r="P480" s="2408"/>
    </row>
    <row r="481" spans="1:18" s="2358" customFormat="1" outlineLevel="1">
      <c r="A481" s="2361" t="str">
        <f t="shared" si="67"/>
        <v>Chống sét van LA-18KV-10KA</v>
      </c>
      <c r="B481" s="2384" t="str">
        <f>"LA"&amp;$F$6</f>
        <v>LA18</v>
      </c>
      <c r="C481" s="2372">
        <f t="shared" si="72"/>
        <v>0</v>
      </c>
      <c r="D481" s="2373" t="s">
        <v>5664</v>
      </c>
      <c r="E481" s="2374" t="s">
        <v>1193</v>
      </c>
      <c r="F481" s="2373" t="s">
        <v>2563</v>
      </c>
      <c r="G481" s="2444">
        <f>G480</f>
        <v>0</v>
      </c>
      <c r="H481" s="2376">
        <v>1106000</v>
      </c>
      <c r="I481" s="2376"/>
      <c r="J481" s="2376">
        <v>83490</v>
      </c>
      <c r="K481" s="2376">
        <v>0</v>
      </c>
      <c r="L481" s="2382">
        <f t="shared" si="68"/>
        <v>0</v>
      </c>
      <c r="M481" s="2382">
        <f t="shared" si="69"/>
        <v>0</v>
      </c>
      <c r="N481" s="2382">
        <f t="shared" si="70"/>
        <v>0</v>
      </c>
      <c r="O481" s="2381">
        <f t="shared" si="71"/>
        <v>0</v>
      </c>
      <c r="P481" s="2408"/>
    </row>
    <row r="482" spans="1:18" s="2358" customFormat="1" outlineLevel="1">
      <c r="A482" s="2361" t="str">
        <f t="shared" si="67"/>
        <v>Biến dòng 600V - 250/5A</v>
      </c>
      <c r="B482" s="2385" t="s">
        <v>1672</v>
      </c>
      <c r="C482" s="2372">
        <f t="shared" si="72"/>
        <v>0</v>
      </c>
      <c r="D482" s="2373">
        <v>0</v>
      </c>
      <c r="E482" s="2374" t="s">
        <v>3378</v>
      </c>
      <c r="F482" s="2373" t="s">
        <v>2563</v>
      </c>
      <c r="G482" s="2444">
        <f>G478*2</f>
        <v>0</v>
      </c>
      <c r="H482" s="2376">
        <v>0</v>
      </c>
      <c r="I482" s="2376"/>
      <c r="J482" s="2376">
        <v>0</v>
      </c>
      <c r="K482" s="2376">
        <v>0</v>
      </c>
      <c r="L482" s="2382">
        <f t="shared" si="68"/>
        <v>0</v>
      </c>
      <c r="M482" s="2382">
        <f t="shared" si="69"/>
        <v>0</v>
      </c>
      <c r="N482" s="2382">
        <f t="shared" si="70"/>
        <v>0</v>
      </c>
      <c r="O482" s="2381">
        <f t="shared" si="71"/>
        <v>0</v>
      </c>
      <c r="P482" s="2408"/>
    </row>
    <row r="483" spans="1:18" s="2358" customFormat="1" outlineLevel="1">
      <c r="A483" s="2361" t="str">
        <f t="shared" si="67"/>
        <v xml:space="preserve">MCCB 3 cực 600V -250A - 36KA </v>
      </c>
      <c r="B483" s="2412" t="s">
        <v>710</v>
      </c>
      <c r="C483" s="2372">
        <f t="shared" si="72"/>
        <v>0</v>
      </c>
      <c r="D483" s="2373">
        <v>0</v>
      </c>
      <c r="E483" s="2374" t="s">
        <v>5744</v>
      </c>
      <c r="F483" s="2373" t="s">
        <v>2563</v>
      </c>
      <c r="G483" s="2444">
        <f>G478</f>
        <v>0</v>
      </c>
      <c r="H483" s="2376">
        <v>4990000</v>
      </c>
      <c r="I483" s="2376"/>
      <c r="J483" s="2376">
        <v>0</v>
      </c>
      <c r="K483" s="2376">
        <v>0</v>
      </c>
      <c r="L483" s="2382">
        <f t="shared" si="68"/>
        <v>0</v>
      </c>
      <c r="M483" s="2382">
        <f t="shared" si="69"/>
        <v>0</v>
      </c>
      <c r="N483" s="2382">
        <f t="shared" si="70"/>
        <v>0</v>
      </c>
      <c r="O483" s="2381">
        <f t="shared" si="71"/>
        <v>0</v>
      </c>
      <c r="P483" s="2380" t="s">
        <v>2609</v>
      </c>
    </row>
    <row r="484" spans="1:18" s="2358" customFormat="1" outlineLevel="1">
      <c r="A484" s="2361" t="str">
        <f t="shared" si="67"/>
        <v>Điện kế 1 pha 2 dây 220V-5A</v>
      </c>
      <c r="B484" s="2386" t="s">
        <v>287</v>
      </c>
      <c r="C484" s="2372">
        <f t="shared" si="72"/>
        <v>0</v>
      </c>
      <c r="D484" s="2373">
        <v>0</v>
      </c>
      <c r="E484" s="2374" t="s">
        <v>3457</v>
      </c>
      <c r="F484" s="2373" t="s">
        <v>2563</v>
      </c>
      <c r="G484" s="2444">
        <f>G478*2</f>
        <v>0</v>
      </c>
      <c r="H484" s="2376">
        <v>0</v>
      </c>
      <c r="I484" s="2376"/>
      <c r="J484" s="2376">
        <v>0</v>
      </c>
      <c r="K484" s="2376">
        <v>0</v>
      </c>
      <c r="L484" s="2382">
        <f t="shared" si="68"/>
        <v>0</v>
      </c>
      <c r="M484" s="2382">
        <f>I484*G484</f>
        <v>0</v>
      </c>
      <c r="N484" s="2382">
        <f>J484*G484</f>
        <v>0</v>
      </c>
      <c r="O484" s="2381">
        <f>K484*G484</f>
        <v>0</v>
      </c>
      <c r="P484" s="2380" t="s">
        <v>2609</v>
      </c>
    </row>
    <row r="485" spans="1:18" s="2358" customFormat="1" outlineLevel="1">
      <c r="A485" s="2361" t="str">
        <f t="shared" si="67"/>
        <v xml:space="preserve">Ampe kế 100/5A-600v +AS </v>
      </c>
      <c r="B485" s="2383" t="s">
        <v>199</v>
      </c>
      <c r="C485" s="2372">
        <f t="shared" si="72"/>
        <v>0</v>
      </c>
      <c r="D485" s="2373">
        <v>0</v>
      </c>
      <c r="E485" s="2374" t="s">
        <v>3613</v>
      </c>
      <c r="F485" s="2373" t="s">
        <v>2391</v>
      </c>
      <c r="G485" s="2380">
        <f>G484*0</f>
        <v>0</v>
      </c>
      <c r="H485" s="2376"/>
      <c r="I485" s="2376"/>
      <c r="J485" s="2376">
        <v>0</v>
      </c>
      <c r="K485" s="2376">
        <v>0</v>
      </c>
      <c r="L485" s="2382">
        <f t="shared" si="68"/>
        <v>0</v>
      </c>
      <c r="M485" s="2382">
        <f>I485*G485</f>
        <v>0</v>
      </c>
      <c r="N485" s="2382">
        <f>J485*G485</f>
        <v>0</v>
      </c>
      <c r="O485" s="2381">
        <f>K485*G485</f>
        <v>0</v>
      </c>
      <c r="P485" s="2408"/>
    </row>
    <row r="486" spans="1:18" s="2358" customFormat="1" outlineLevel="1">
      <c r="A486" s="2361" t="str">
        <f t="shared" si="67"/>
        <v>Volt kế 500V + VS + 2xChì ống 1A-230V</v>
      </c>
      <c r="B486" s="2383" t="s">
        <v>200</v>
      </c>
      <c r="C486" s="2372">
        <f t="shared" si="72"/>
        <v>0</v>
      </c>
      <c r="D486" s="2373">
        <v>0</v>
      </c>
      <c r="E486" s="2374" t="s">
        <v>3614</v>
      </c>
      <c r="F486" s="2373" t="s">
        <v>2391</v>
      </c>
      <c r="G486" s="2380">
        <f>G485*0</f>
        <v>0</v>
      </c>
      <c r="H486" s="2376"/>
      <c r="I486" s="2376"/>
      <c r="J486" s="2376">
        <v>0</v>
      </c>
      <c r="K486" s="2376">
        <v>0</v>
      </c>
      <c r="L486" s="2382">
        <f t="shared" si="68"/>
        <v>0</v>
      </c>
      <c r="M486" s="2382">
        <f>I486*G486</f>
        <v>0</v>
      </c>
      <c r="N486" s="2382">
        <f>J486*G486</f>
        <v>0</v>
      </c>
      <c r="O486" s="2381">
        <f>K486*G486</f>
        <v>0</v>
      </c>
      <c r="P486" s="2432"/>
    </row>
    <row r="487" spans="1:18" s="2358" customFormat="1" outlineLevel="1">
      <c r="A487" s="2361" t="e">
        <f t="shared" si="67"/>
        <v>#N/A</v>
      </c>
      <c r="B487" s="2383"/>
      <c r="C487" s="2388"/>
      <c r="D487" s="2389"/>
      <c r="E487" s="2370"/>
      <c r="F487" s="2388"/>
      <c r="G487" s="2445"/>
      <c r="H487" s="2388"/>
      <c r="I487" s="2388"/>
      <c r="J487" s="2370" t="s">
        <v>6195</v>
      </c>
      <c r="K487" s="2388"/>
      <c r="L487" s="2370">
        <f>SUM(L478:L486)</f>
        <v>0</v>
      </c>
      <c r="M487" s="2370"/>
      <c r="N487" s="2370">
        <f>SUM(N478:N486)</f>
        <v>0</v>
      </c>
      <c r="O487" s="2370">
        <f>SUM(O478:O486)</f>
        <v>0</v>
      </c>
      <c r="P487" s="2423"/>
    </row>
    <row r="488" spans="1:18" s="2358" customFormat="1" outlineLevel="1">
      <c r="A488" s="2361" t="e">
        <f t="shared" si="67"/>
        <v>#N/A</v>
      </c>
      <c r="B488" s="2383"/>
      <c r="C488" s="2390"/>
      <c r="D488" s="2391"/>
      <c r="E488" s="2392" t="s">
        <v>3691</v>
      </c>
      <c r="F488" s="2392"/>
      <c r="G488" s="2392"/>
      <c r="H488" s="2392"/>
      <c r="I488" s="2392"/>
      <c r="J488" s="2392"/>
      <c r="K488" s="2392"/>
      <c r="L488" s="2392"/>
      <c r="M488" s="2392"/>
      <c r="N488" s="2392"/>
      <c r="O488" s="2391"/>
      <c r="P488" s="2423"/>
    </row>
    <row r="489" spans="1:18" s="2358" customFormat="1" outlineLevel="1">
      <c r="A489" s="2361" t="str">
        <f t="shared" si="67"/>
        <v>Boulon 16x300+ 2 long đền vuông D18-50x50x3/Zn</v>
      </c>
      <c r="B489" s="2383" t="s">
        <v>1613</v>
      </c>
      <c r="C489" s="2393">
        <f>IF(G501&gt;0,1,0)</f>
        <v>0</v>
      </c>
      <c r="D489" s="2399"/>
      <c r="E489" s="2374" t="s">
        <v>2657</v>
      </c>
      <c r="F489" s="2373" t="s">
        <v>2445</v>
      </c>
      <c r="G489" s="2446">
        <f>2*SUM(G478:G478)</f>
        <v>0</v>
      </c>
      <c r="H489" s="2376">
        <v>25400</v>
      </c>
      <c r="I489" s="2381"/>
      <c r="J489" s="2376">
        <v>0</v>
      </c>
      <c r="K489" s="2376">
        <v>0</v>
      </c>
      <c r="L489" s="2382">
        <f t="shared" ref="L489:L552" si="73">H489*G489</f>
        <v>0</v>
      </c>
      <c r="M489" s="2382">
        <f t="shared" ref="M489:M552" si="74">I489*G489</f>
        <v>0</v>
      </c>
      <c r="N489" s="2382">
        <f t="shared" ref="N489:N523" si="75">J489*G489</f>
        <v>0</v>
      </c>
      <c r="O489" s="2381">
        <f t="shared" ref="O489:O552" si="76">K489*G489</f>
        <v>0</v>
      </c>
      <c r="P489" s="2422"/>
    </row>
    <row r="490" spans="1:18" s="2358" customFormat="1" outlineLevel="1">
      <c r="A490" s="2361" t="e">
        <f t="shared" si="67"/>
        <v>#N/A</v>
      </c>
      <c r="B490" s="2383"/>
      <c r="C490" s="2398">
        <f>IF(G490&gt;0,C489+1,C489)</f>
        <v>0</v>
      </c>
      <c r="D490" s="2399"/>
      <c r="E490" s="2400" t="s">
        <v>6212</v>
      </c>
      <c r="F490" s="2395" t="s">
        <v>2391</v>
      </c>
      <c r="G490" s="2395">
        <f>G478*0</f>
        <v>0</v>
      </c>
      <c r="H490" s="2381"/>
      <c r="I490" s="2381"/>
      <c r="J490" s="2381"/>
      <c r="K490" s="2381"/>
      <c r="L490" s="2382">
        <f t="shared" si="73"/>
        <v>0</v>
      </c>
      <c r="M490" s="2382">
        <f t="shared" si="74"/>
        <v>0</v>
      </c>
      <c r="N490" s="2382">
        <f t="shared" si="75"/>
        <v>0</v>
      </c>
      <c r="O490" s="2381">
        <f t="shared" si="76"/>
        <v>0</v>
      </c>
      <c r="P490" s="2380"/>
    </row>
    <row r="491" spans="1:18" s="2358" customFormat="1" ht="14.4" outlineLevel="1">
      <c r="A491" s="2361" t="e">
        <f t="shared" si="67"/>
        <v>#N/A</v>
      </c>
      <c r="B491" s="2383"/>
      <c r="C491" s="2395"/>
      <c r="D491" s="2399"/>
      <c r="E491" s="2401" t="s">
        <v>6207</v>
      </c>
      <c r="F491" s="2380"/>
      <c r="G491" s="2380"/>
      <c r="H491" s="2381"/>
      <c r="I491" s="2381"/>
      <c r="J491" s="2381"/>
      <c r="K491" s="2381"/>
      <c r="L491" s="2382">
        <f t="shared" si="73"/>
        <v>0</v>
      </c>
      <c r="M491" s="2382">
        <f t="shared" si="74"/>
        <v>0</v>
      </c>
      <c r="N491" s="2382">
        <f t="shared" si="75"/>
        <v>0</v>
      </c>
      <c r="O491" s="2381">
        <f t="shared" si="76"/>
        <v>0</v>
      </c>
      <c r="P491" s="2380"/>
      <c r="R491" s="2402"/>
    </row>
    <row r="492" spans="1:18" s="2358" customFormat="1" outlineLevel="1">
      <c r="A492" s="2361" t="str">
        <f t="shared" si="67"/>
        <v>Trụ BTLT 12m F350 dự ứng lực</v>
      </c>
      <c r="B492" s="2386" t="s">
        <v>115</v>
      </c>
      <c r="C492" s="2380"/>
      <c r="D492" s="2373">
        <v>0</v>
      </c>
      <c r="E492" s="2374" t="s">
        <v>3009</v>
      </c>
      <c r="F492" s="2373" t="s">
        <v>2839</v>
      </c>
      <c r="G492" s="2380">
        <f>1*G490</f>
        <v>0</v>
      </c>
      <c r="H492" s="2376">
        <v>4400000</v>
      </c>
      <c r="I492" s="2376"/>
      <c r="J492" s="2376">
        <v>0</v>
      </c>
      <c r="K492" s="2376">
        <v>0</v>
      </c>
      <c r="L492" s="2382">
        <f t="shared" si="73"/>
        <v>0</v>
      </c>
      <c r="M492" s="2382">
        <f t="shared" si="74"/>
        <v>0</v>
      </c>
      <c r="N492" s="2382">
        <f t="shared" si="75"/>
        <v>0</v>
      </c>
      <c r="O492" s="2381">
        <f t="shared" si="76"/>
        <v>0</v>
      </c>
      <c r="P492" s="2380"/>
      <c r="R492" s="2402"/>
    </row>
    <row r="493" spans="1:18" s="2358" customFormat="1" outlineLevel="1">
      <c r="A493" s="2361" t="str">
        <f t="shared" si="67"/>
        <v>Vật liệu dựng trụ</v>
      </c>
      <c r="B493" s="2386" t="s">
        <v>1818</v>
      </c>
      <c r="C493" s="2380"/>
      <c r="D493" s="2403"/>
      <c r="E493" s="2374" t="s">
        <v>2838</v>
      </c>
      <c r="F493" s="2373" t="s">
        <v>2839</v>
      </c>
      <c r="G493" s="2380">
        <f>G492</f>
        <v>0</v>
      </c>
      <c r="H493" s="2376">
        <v>17400</v>
      </c>
      <c r="I493" s="2376"/>
      <c r="J493" s="2376">
        <v>0</v>
      </c>
      <c r="K493" s="2376">
        <v>0</v>
      </c>
      <c r="L493" s="2382">
        <f t="shared" si="73"/>
        <v>0</v>
      </c>
      <c r="M493" s="2382">
        <f t="shared" si="74"/>
        <v>0</v>
      </c>
      <c r="N493" s="2382">
        <f t="shared" si="75"/>
        <v>0</v>
      </c>
      <c r="O493" s="2381">
        <f t="shared" si="76"/>
        <v>0</v>
      </c>
      <c r="P493" s="2380"/>
      <c r="R493" s="2402"/>
    </row>
    <row r="494" spans="1:18" s="2358" customFormat="1" outlineLevel="1">
      <c r="A494" s="2361" t="str">
        <f t="shared" si="67"/>
        <v>Dựng trụ BTLT 12m trong TBA bằng thủ công + cơ giới</v>
      </c>
      <c r="B494" s="2386" t="s">
        <v>2132</v>
      </c>
      <c r="C494" s="2380"/>
      <c r="D494" s="2403"/>
      <c r="E494" s="2374" t="s">
        <v>3185</v>
      </c>
      <c r="F494" s="2373" t="s">
        <v>2839</v>
      </c>
      <c r="G494" s="2380">
        <f>G492</f>
        <v>0</v>
      </c>
      <c r="H494" s="2376">
        <v>0</v>
      </c>
      <c r="I494" s="2376"/>
      <c r="J494" s="2376">
        <v>112286</v>
      </c>
      <c r="K494" s="2376">
        <v>105970</v>
      </c>
      <c r="L494" s="2382">
        <f t="shared" si="73"/>
        <v>0</v>
      </c>
      <c r="M494" s="2382">
        <f t="shared" si="74"/>
        <v>0</v>
      </c>
      <c r="N494" s="2382">
        <f t="shared" si="75"/>
        <v>0</v>
      </c>
      <c r="O494" s="2381">
        <f t="shared" si="76"/>
        <v>0</v>
      </c>
      <c r="P494" s="2380"/>
      <c r="R494" s="2402"/>
    </row>
    <row r="495" spans="1:18" s="2358" customFormat="1" outlineLevel="1">
      <c r="A495" s="2361" t="e">
        <f t="shared" si="67"/>
        <v>#N/A</v>
      </c>
      <c r="B495" s="2383"/>
      <c r="C495" s="2398">
        <f>IF(G495&gt;0,C490+1,C490)</f>
        <v>0</v>
      </c>
      <c r="D495" s="2399"/>
      <c r="E495" s="2400" t="s">
        <v>2358</v>
      </c>
      <c r="F495" s="2395" t="s">
        <v>2391</v>
      </c>
      <c r="G495" s="2395">
        <f>G490</f>
        <v>0</v>
      </c>
      <c r="H495" s="2381"/>
      <c r="I495" s="2381"/>
      <c r="J495" s="2381"/>
      <c r="K495" s="2381"/>
      <c r="L495" s="2382">
        <f t="shared" si="73"/>
        <v>0</v>
      </c>
      <c r="M495" s="2382">
        <f t="shared" si="74"/>
        <v>0</v>
      </c>
      <c r="N495" s="2382">
        <f t="shared" si="75"/>
        <v>0</v>
      </c>
      <c r="O495" s="2381">
        <f t="shared" si="76"/>
        <v>0</v>
      </c>
      <c r="P495" s="2380"/>
    </row>
    <row r="496" spans="1:18" s="2358" customFormat="1" ht="14.4" outlineLevel="1">
      <c r="A496" s="2361" t="e">
        <f t="shared" si="67"/>
        <v>#N/A</v>
      </c>
      <c r="B496" s="2383"/>
      <c r="C496" s="2395"/>
      <c r="D496" s="2399"/>
      <c r="E496" s="2401" t="s">
        <v>6207</v>
      </c>
      <c r="F496" s="2380"/>
      <c r="G496" s="2380"/>
      <c r="H496" s="2381"/>
      <c r="I496" s="2381"/>
      <c r="J496" s="2381"/>
      <c r="K496" s="2381"/>
      <c r="L496" s="2382">
        <f t="shared" si="73"/>
        <v>0</v>
      </c>
      <c r="M496" s="2382">
        <f t="shared" si="74"/>
        <v>0</v>
      </c>
      <c r="N496" s="2382">
        <f t="shared" si="75"/>
        <v>0</v>
      </c>
      <c r="O496" s="2381">
        <f t="shared" si="76"/>
        <v>0</v>
      </c>
      <c r="P496" s="2380"/>
      <c r="R496" s="2402"/>
    </row>
    <row r="497" spans="1:18" s="2358" customFormat="1" outlineLevel="1">
      <c r="A497" s="2361" t="str">
        <f t="shared" si="67"/>
        <v>Đà cản BTCT 1,2m</v>
      </c>
      <c r="B497" s="2386" t="s">
        <v>636</v>
      </c>
      <c r="C497" s="2380"/>
      <c r="D497" s="2373" t="s">
        <v>5099</v>
      </c>
      <c r="E497" s="2374" t="s">
        <v>2615</v>
      </c>
      <c r="F497" s="2373" t="s">
        <v>2563</v>
      </c>
      <c r="G497" s="2380">
        <f>1*G495</f>
        <v>0</v>
      </c>
      <c r="H497" s="2376">
        <v>354545</v>
      </c>
      <c r="I497" s="2376"/>
      <c r="J497" s="2376">
        <v>37220.25</v>
      </c>
      <c r="K497" s="2376">
        <v>0</v>
      </c>
      <c r="L497" s="2382">
        <f t="shared" si="73"/>
        <v>0</v>
      </c>
      <c r="M497" s="2382">
        <f t="shared" si="74"/>
        <v>0</v>
      </c>
      <c r="N497" s="2382">
        <f t="shared" si="75"/>
        <v>0</v>
      </c>
      <c r="O497" s="2381">
        <f t="shared" si="76"/>
        <v>0</v>
      </c>
      <c r="P497" s="2380"/>
      <c r="R497" s="2402"/>
    </row>
    <row r="498" spans="1:18" s="2358" customFormat="1" outlineLevel="1">
      <c r="A498" s="2361" t="str">
        <f t="shared" si="67"/>
        <v>Boulon 22x650+ 2 long đền vuông D24-50x50x3/Zn</v>
      </c>
      <c r="B498" s="2386" t="s">
        <v>566</v>
      </c>
      <c r="C498" s="2380"/>
      <c r="D498" s="2373">
        <v>0</v>
      </c>
      <c r="E498" s="2374" t="s">
        <v>5124</v>
      </c>
      <c r="F498" s="2373" t="s">
        <v>2445</v>
      </c>
      <c r="G498" s="2380">
        <f>G495</f>
        <v>0</v>
      </c>
      <c r="H498" s="2376">
        <v>92200</v>
      </c>
      <c r="I498" s="2376"/>
      <c r="J498" s="2376">
        <v>0</v>
      </c>
      <c r="K498" s="2376">
        <v>0</v>
      </c>
      <c r="L498" s="2382">
        <f t="shared" si="73"/>
        <v>0</v>
      </c>
      <c r="M498" s="2382">
        <f t="shared" si="74"/>
        <v>0</v>
      </c>
      <c r="N498" s="2382">
        <f t="shared" si="75"/>
        <v>0</v>
      </c>
      <c r="O498" s="2381">
        <f t="shared" si="76"/>
        <v>0</v>
      </c>
      <c r="P498" s="2380"/>
      <c r="R498" s="2402"/>
    </row>
    <row r="499" spans="1:18" s="2358" customFormat="1" outlineLevel="1">
      <c r="A499" s="2361" t="str">
        <f t="shared" si="67"/>
        <v>Đào hố móng đất cấp 3 sâu &gt;1m</v>
      </c>
      <c r="B499" s="2386" t="s">
        <v>639</v>
      </c>
      <c r="C499" s="2380"/>
      <c r="D499" s="2373" t="s">
        <v>1751</v>
      </c>
      <c r="E499" s="2374" t="s">
        <v>5386</v>
      </c>
      <c r="F499" s="2373" t="s">
        <v>856</v>
      </c>
      <c r="G499" s="2404">
        <f>G495*1.45</f>
        <v>0</v>
      </c>
      <c r="H499" s="2376">
        <v>0</v>
      </c>
      <c r="I499" s="2376"/>
      <c r="J499" s="2376">
        <v>296500.89999999997</v>
      </c>
      <c r="K499" s="2376">
        <v>0</v>
      </c>
      <c r="L499" s="2382">
        <f t="shared" si="73"/>
        <v>0</v>
      </c>
      <c r="M499" s="2382">
        <f t="shared" si="74"/>
        <v>0</v>
      </c>
      <c r="N499" s="2382">
        <f t="shared" si="75"/>
        <v>0</v>
      </c>
      <c r="O499" s="2381">
        <f t="shared" si="76"/>
        <v>0</v>
      </c>
      <c r="P499" s="2380"/>
      <c r="R499" s="2402"/>
    </row>
    <row r="500" spans="1:18" s="2358" customFormat="1" outlineLevel="1">
      <c r="A500" s="2361" t="str">
        <f t="shared" si="67"/>
        <v>Đắp đất hố móng, độ chặt k=0,95</v>
      </c>
      <c r="B500" s="2386" t="s">
        <v>21</v>
      </c>
      <c r="C500" s="2380"/>
      <c r="D500" s="2373" t="s">
        <v>5387</v>
      </c>
      <c r="E500" s="2374" t="s">
        <v>5388</v>
      </c>
      <c r="F500" s="2373" t="s">
        <v>856</v>
      </c>
      <c r="G500" s="2404">
        <f>G495*1.37</f>
        <v>0</v>
      </c>
      <c r="H500" s="2376">
        <v>0</v>
      </c>
      <c r="I500" s="2376"/>
      <c r="J500" s="2376">
        <v>117703.6</v>
      </c>
      <c r="K500" s="2376">
        <v>0</v>
      </c>
      <c r="L500" s="2382">
        <f t="shared" si="73"/>
        <v>0</v>
      </c>
      <c r="M500" s="2382">
        <f t="shared" si="74"/>
        <v>0</v>
      </c>
      <c r="N500" s="2382">
        <f t="shared" si="75"/>
        <v>0</v>
      </c>
      <c r="O500" s="2381">
        <f t="shared" si="76"/>
        <v>0</v>
      </c>
      <c r="P500" s="2380"/>
      <c r="R500" s="2402"/>
    </row>
    <row r="501" spans="1:18" s="2358" customFormat="1" outlineLevel="1">
      <c r="A501" s="2361" t="e">
        <f t="shared" si="67"/>
        <v>#N/A</v>
      </c>
      <c r="B501" s="2383"/>
      <c r="C501" s="2398">
        <f>IF(G501&gt;0,C495+1,C495)</f>
        <v>0</v>
      </c>
      <c r="D501" s="2399"/>
      <c r="E501" s="2424" t="s">
        <v>3693</v>
      </c>
      <c r="F501" s="2395" t="s">
        <v>2391</v>
      </c>
      <c r="G501" s="2446">
        <f>SUM(G478:G478)</f>
        <v>0</v>
      </c>
      <c r="H501" s="2376"/>
      <c r="I501" s="2381"/>
      <c r="J501" s="2376"/>
      <c r="K501" s="2376"/>
      <c r="L501" s="2382">
        <f t="shared" si="73"/>
        <v>0</v>
      </c>
      <c r="M501" s="2382">
        <f t="shared" si="74"/>
        <v>0</v>
      </c>
      <c r="N501" s="2382">
        <f t="shared" si="75"/>
        <v>0</v>
      </c>
      <c r="O501" s="2381">
        <f t="shared" si="76"/>
        <v>0</v>
      </c>
      <c r="P501" s="2408"/>
    </row>
    <row r="502" spans="1:18" s="2358" customFormat="1" ht="14.4" outlineLevel="1">
      <c r="A502" s="2361" t="e">
        <f t="shared" si="67"/>
        <v>#N/A</v>
      </c>
      <c r="B502" s="2383"/>
      <c r="C502" s="2395"/>
      <c r="D502" s="2399"/>
      <c r="E502" s="2425" t="s">
        <v>6207</v>
      </c>
      <c r="F502" s="2380"/>
      <c r="G502" s="2444"/>
      <c r="H502" s="2376"/>
      <c r="I502" s="2381"/>
      <c r="J502" s="2376"/>
      <c r="K502" s="2376"/>
      <c r="L502" s="2382">
        <f t="shared" si="73"/>
        <v>0</v>
      </c>
      <c r="M502" s="2382">
        <f t="shared" si="74"/>
        <v>0</v>
      </c>
      <c r="N502" s="2382">
        <f t="shared" si="75"/>
        <v>0</v>
      </c>
      <c r="O502" s="2381">
        <f t="shared" si="76"/>
        <v>0</v>
      </c>
      <c r="P502" s="2408"/>
    </row>
    <row r="503" spans="1:18" s="2358" customFormat="1" outlineLevel="1">
      <c r="A503" s="2361" t="str">
        <f t="shared" si="67"/>
        <v>Đà Composite 110x80x5x800</v>
      </c>
      <c r="B503" s="2386" t="s">
        <v>5218</v>
      </c>
      <c r="C503" s="2380"/>
      <c r="D503" s="2373">
        <v>0</v>
      </c>
      <c r="E503" s="2374" t="s">
        <v>4904</v>
      </c>
      <c r="F503" s="2405" t="s">
        <v>2598</v>
      </c>
      <c r="G503" s="2444">
        <f>G501</f>
        <v>0</v>
      </c>
      <c r="H503" s="2376">
        <v>320000</v>
      </c>
      <c r="I503" s="2381"/>
      <c r="J503" s="2376">
        <v>0</v>
      </c>
      <c r="K503" s="2376">
        <v>0</v>
      </c>
      <c r="L503" s="2382">
        <f t="shared" si="73"/>
        <v>0</v>
      </c>
      <c r="M503" s="2382">
        <f t="shared" si="74"/>
        <v>0</v>
      </c>
      <c r="N503" s="2382">
        <f t="shared" si="75"/>
        <v>0</v>
      </c>
      <c r="O503" s="2381">
        <f t="shared" si="76"/>
        <v>0</v>
      </c>
      <c r="P503" s="2408"/>
    </row>
    <row r="504" spans="1:18" s="2358" customFormat="1" outlineLevel="1">
      <c r="A504" s="2361" t="str">
        <f t="shared" si="67"/>
        <v>Chống Composite 40x10x710</v>
      </c>
      <c r="B504" s="2386" t="s">
        <v>5222</v>
      </c>
      <c r="C504" s="2380"/>
      <c r="D504" s="2403"/>
      <c r="E504" s="2374" t="s">
        <v>5223</v>
      </c>
      <c r="F504" s="2373" t="s">
        <v>5221</v>
      </c>
      <c r="G504" s="2444">
        <f>G501*1</f>
        <v>0</v>
      </c>
      <c r="H504" s="2376">
        <v>95000</v>
      </c>
      <c r="I504" s="2381"/>
      <c r="J504" s="2376">
        <v>0</v>
      </c>
      <c r="K504" s="2376">
        <v>0</v>
      </c>
      <c r="L504" s="2382">
        <f t="shared" si="73"/>
        <v>0</v>
      </c>
      <c r="M504" s="2382">
        <f t="shared" si="74"/>
        <v>0</v>
      </c>
      <c r="N504" s="2382">
        <f t="shared" si="75"/>
        <v>0</v>
      </c>
      <c r="O504" s="2381">
        <f t="shared" si="76"/>
        <v>0</v>
      </c>
      <c r="P504" s="2408"/>
    </row>
    <row r="505" spans="1:18" s="2358" customFormat="1" outlineLevel="1">
      <c r="A505" s="2361" t="str">
        <f t="shared" si="67"/>
        <v>Bass LL bắt FCO, LA</v>
      </c>
      <c r="B505" s="2386" t="s">
        <v>6229</v>
      </c>
      <c r="C505" s="2380"/>
      <c r="D505" s="2403"/>
      <c r="E505" s="2374" t="s">
        <v>5130</v>
      </c>
      <c r="F505" s="2373" t="s">
        <v>2445</v>
      </c>
      <c r="G505" s="2444">
        <f>G503*1</f>
        <v>0</v>
      </c>
      <c r="H505" s="2376">
        <v>65000</v>
      </c>
      <c r="I505" s="2381"/>
      <c r="J505" s="2376">
        <v>0</v>
      </c>
      <c r="K505" s="2376">
        <v>0</v>
      </c>
      <c r="L505" s="2382">
        <f>H505*G505</f>
        <v>0</v>
      </c>
      <c r="M505" s="2382">
        <f>I505*G505</f>
        <v>0</v>
      </c>
      <c r="N505" s="2382">
        <f>J505*G505</f>
        <v>0</v>
      </c>
      <c r="O505" s="2381">
        <f>K505*G505</f>
        <v>0</v>
      </c>
      <c r="P505" s="2408"/>
    </row>
    <row r="506" spans="1:18" s="2358" customFormat="1" outlineLevel="1">
      <c r="A506" s="2361" t="str">
        <f t="shared" ref="A506:A537" si="77">VLOOKUP(B506,DonGia,3,0)</f>
        <v>Boulon 12x150+ 2 long đền vuông D14-50x50x3/Zn</v>
      </c>
      <c r="B506" s="2383" t="s">
        <v>1246</v>
      </c>
      <c r="C506" s="2380"/>
      <c r="D506" s="2403"/>
      <c r="E506" s="2374" t="s">
        <v>2640</v>
      </c>
      <c r="F506" s="2373" t="s">
        <v>2445</v>
      </c>
      <c r="G506" s="2444">
        <f>G503</f>
        <v>0</v>
      </c>
      <c r="H506" s="2376">
        <v>11500</v>
      </c>
      <c r="I506" s="2381"/>
      <c r="J506" s="2376">
        <v>0</v>
      </c>
      <c r="K506" s="2376">
        <v>0</v>
      </c>
      <c r="L506" s="2382">
        <f>H506*G506</f>
        <v>0</v>
      </c>
      <c r="M506" s="2382">
        <f>I506*G506</f>
        <v>0</v>
      </c>
      <c r="N506" s="2382">
        <f>J506*G506</f>
        <v>0</v>
      </c>
      <c r="O506" s="2381">
        <f>K506*G506</f>
        <v>0</v>
      </c>
      <c r="P506" s="2408"/>
    </row>
    <row r="507" spans="1:18" s="2358" customFormat="1" outlineLevel="1">
      <c r="A507" s="2361" t="str">
        <f t="shared" si="77"/>
        <v>Boulon 16x350+ 2 long đền vuông D18-50x50x3/Zn</v>
      </c>
      <c r="B507" s="2383" t="s">
        <v>1079</v>
      </c>
      <c r="C507" s="2380"/>
      <c r="D507" s="2403"/>
      <c r="E507" s="2374" t="s">
        <v>2659</v>
      </c>
      <c r="F507" s="2373" t="s">
        <v>2445</v>
      </c>
      <c r="G507" s="2444">
        <f>G504*2</f>
        <v>0</v>
      </c>
      <c r="H507" s="2376">
        <v>27900</v>
      </c>
      <c r="I507" s="2381"/>
      <c r="J507" s="2376">
        <v>0</v>
      </c>
      <c r="K507" s="2376">
        <v>0</v>
      </c>
      <c r="L507" s="2382">
        <f t="shared" si="73"/>
        <v>0</v>
      </c>
      <c r="M507" s="2382">
        <f t="shared" si="74"/>
        <v>0</v>
      </c>
      <c r="N507" s="2382">
        <f t="shared" si="75"/>
        <v>0</v>
      </c>
      <c r="O507" s="2381">
        <f t="shared" si="76"/>
        <v>0</v>
      </c>
      <c r="P507" s="2408"/>
    </row>
    <row r="508" spans="1:18" s="2358" customFormat="1" outlineLevel="1">
      <c r="A508" s="2361" t="str">
        <f t="shared" si="77"/>
        <v>Lắp xà đỡ 15kg</v>
      </c>
      <c r="B508" s="2383" t="s">
        <v>5438</v>
      </c>
      <c r="C508" s="2380"/>
      <c r="D508" s="2403"/>
      <c r="E508" s="2374" t="s">
        <v>5439</v>
      </c>
      <c r="F508" s="2373" t="s">
        <v>2445</v>
      </c>
      <c r="G508" s="2444">
        <f>G506</f>
        <v>0</v>
      </c>
      <c r="H508" s="2376">
        <v>0</v>
      </c>
      <c r="I508" s="2381"/>
      <c r="J508" s="2406" t="s">
        <v>6399</v>
      </c>
      <c r="K508" s="2376">
        <v>0</v>
      </c>
      <c r="L508" s="2382">
        <f>H508*G508</f>
        <v>0</v>
      </c>
      <c r="M508" s="2382">
        <f>I508*G508</f>
        <v>0</v>
      </c>
      <c r="N508" s="2382">
        <v>0</v>
      </c>
      <c r="O508" s="2381">
        <f>K508*G508</f>
        <v>0</v>
      </c>
      <c r="P508" s="2408"/>
    </row>
    <row r="509" spans="1:18" s="2358" customFormat="1" outlineLevel="1">
      <c r="A509" s="2361" t="e">
        <f t="shared" si="77"/>
        <v>#N/A</v>
      </c>
      <c r="B509" s="2383"/>
      <c r="C509" s="2395">
        <f>IF(G509&gt;0,C501+1,C501)</f>
        <v>0</v>
      </c>
      <c r="D509" s="2399"/>
      <c r="E509" s="2424" t="s">
        <v>3694</v>
      </c>
      <c r="F509" s="2395" t="s">
        <v>2391</v>
      </c>
      <c r="G509" s="2446">
        <f>G501</f>
        <v>0</v>
      </c>
      <c r="H509" s="2376"/>
      <c r="I509" s="2381"/>
      <c r="J509" s="2376"/>
      <c r="K509" s="2376"/>
      <c r="L509" s="2382">
        <f t="shared" si="73"/>
        <v>0</v>
      </c>
      <c r="M509" s="2382">
        <f t="shared" si="74"/>
        <v>0</v>
      </c>
      <c r="N509" s="2382">
        <f t="shared" si="75"/>
        <v>0</v>
      </c>
      <c r="O509" s="2381">
        <f t="shared" si="76"/>
        <v>0</v>
      </c>
      <c r="P509" s="2408"/>
    </row>
    <row r="510" spans="1:18" s="2358" customFormat="1" ht="14.4" outlineLevel="1">
      <c r="A510" s="2361" t="e">
        <f t="shared" si="77"/>
        <v>#N/A</v>
      </c>
      <c r="B510" s="2383"/>
      <c r="C510" s="2380"/>
      <c r="D510" s="2403"/>
      <c r="E510" s="2425" t="s">
        <v>6207</v>
      </c>
      <c r="F510" s="2380"/>
      <c r="G510" s="2444"/>
      <c r="H510" s="2376"/>
      <c r="I510" s="2381"/>
      <c r="J510" s="2376"/>
      <c r="K510" s="2376"/>
      <c r="L510" s="2382">
        <f t="shared" si="73"/>
        <v>0</v>
      </c>
      <c r="M510" s="2382">
        <f t="shared" si="74"/>
        <v>0</v>
      </c>
      <c r="N510" s="2382">
        <f t="shared" si="75"/>
        <v>0</v>
      </c>
      <c r="O510" s="2381">
        <f t="shared" si="76"/>
        <v>0</v>
      </c>
      <c r="P510" s="2408"/>
    </row>
    <row r="511" spans="1:18" s="2358" customFormat="1" outlineLevel="1">
      <c r="A511" s="2361" t="str">
        <f t="shared" si="77"/>
        <v>Cáp đồng trần M25mm2</v>
      </c>
      <c r="B511" s="2383" t="s">
        <v>1033</v>
      </c>
      <c r="C511" s="2380"/>
      <c r="D511" s="2373">
        <v>0</v>
      </c>
      <c r="E511" s="2374" t="s">
        <v>2708</v>
      </c>
      <c r="F511" s="2373" t="s">
        <v>2254</v>
      </c>
      <c r="G511" s="2444">
        <f>90*G509*0.224</f>
        <v>0</v>
      </c>
      <c r="H511" s="2376">
        <v>255500</v>
      </c>
      <c r="I511" s="2381"/>
      <c r="J511" s="2376">
        <v>0</v>
      </c>
      <c r="K511" s="2376">
        <v>0</v>
      </c>
      <c r="L511" s="2382">
        <f t="shared" si="73"/>
        <v>0</v>
      </c>
      <c r="M511" s="2382">
        <f t="shared" si="74"/>
        <v>0</v>
      </c>
      <c r="N511" s="2382">
        <f t="shared" si="75"/>
        <v>0</v>
      </c>
      <c r="O511" s="2381">
        <f t="shared" si="76"/>
        <v>0</v>
      </c>
      <c r="P511" s="2408"/>
    </row>
    <row r="512" spans="1:18" s="2358" customFormat="1" outlineLevel="1">
      <c r="A512" s="2361" t="str">
        <f t="shared" si="77"/>
        <v>Cọc tiếp đất Þ 16- 2,4m + kẹp cọc mạ đồng</v>
      </c>
      <c r="B512" s="2386" t="s">
        <v>1511</v>
      </c>
      <c r="C512" s="2380"/>
      <c r="D512" s="2373">
        <v>0</v>
      </c>
      <c r="E512" s="2374" t="s">
        <v>5224</v>
      </c>
      <c r="F512" s="2373" t="s">
        <v>2445</v>
      </c>
      <c r="G512" s="2444">
        <f>13*G509</f>
        <v>0</v>
      </c>
      <c r="H512" s="2376">
        <v>160000</v>
      </c>
      <c r="I512" s="2381"/>
      <c r="J512" s="2376">
        <v>0</v>
      </c>
      <c r="K512" s="2376">
        <v>0</v>
      </c>
      <c r="L512" s="2382">
        <f t="shared" si="73"/>
        <v>0</v>
      </c>
      <c r="M512" s="2382">
        <f t="shared" si="74"/>
        <v>0</v>
      </c>
      <c r="N512" s="2382">
        <f t="shared" si="75"/>
        <v>0</v>
      </c>
      <c r="O512" s="2381">
        <f t="shared" si="76"/>
        <v>0</v>
      </c>
      <c r="P512" s="2408"/>
    </row>
    <row r="513" spans="1:16" s="2358" customFormat="1" outlineLevel="1">
      <c r="A513" s="2361" t="str">
        <f t="shared" si="77"/>
        <v>Ông sắt tráng kẽm D21</v>
      </c>
      <c r="B513" s="2386" t="s">
        <v>5361</v>
      </c>
      <c r="C513" s="2380"/>
      <c r="D513" s="2373" t="s">
        <v>5362</v>
      </c>
      <c r="E513" s="2374" t="s">
        <v>5363</v>
      </c>
      <c r="F513" s="2373" t="s">
        <v>2538</v>
      </c>
      <c r="G513" s="2444">
        <f>3*G509</f>
        <v>0</v>
      </c>
      <c r="H513" s="2376">
        <v>42000</v>
      </c>
      <c r="I513" s="2381"/>
      <c r="J513" s="2376">
        <v>25037.1</v>
      </c>
      <c r="K513" s="2376">
        <v>0</v>
      </c>
      <c r="L513" s="2382">
        <f t="shared" si="73"/>
        <v>0</v>
      </c>
      <c r="M513" s="2382">
        <f t="shared" si="74"/>
        <v>0</v>
      </c>
      <c r="N513" s="2382">
        <f t="shared" si="75"/>
        <v>0</v>
      </c>
      <c r="O513" s="2381">
        <f t="shared" si="76"/>
        <v>0</v>
      </c>
      <c r="P513" s="2408"/>
    </row>
    <row r="514" spans="1:16" s="2358" customFormat="1" outlineLevel="1">
      <c r="A514" s="2361" t="str">
        <f t="shared" si="77"/>
        <v>Cut PVC 21</v>
      </c>
      <c r="B514" s="2386" t="s">
        <v>6224</v>
      </c>
      <c r="C514" s="2380"/>
      <c r="D514" s="2373">
        <v>0</v>
      </c>
      <c r="E514" s="2374" t="s">
        <v>5858</v>
      </c>
      <c r="F514" s="2373" t="s">
        <v>2563</v>
      </c>
      <c r="G514" s="2444">
        <f>G509*1</f>
        <v>0</v>
      </c>
      <c r="H514" s="2376">
        <v>2100</v>
      </c>
      <c r="I514" s="2381"/>
      <c r="J514" s="2376">
        <v>0</v>
      </c>
      <c r="K514" s="2376">
        <v>0</v>
      </c>
      <c r="L514" s="2382">
        <f>H514*G514</f>
        <v>0</v>
      </c>
      <c r="M514" s="2382">
        <f>I514*G514</f>
        <v>0</v>
      </c>
      <c r="N514" s="2382">
        <f>J514*G514</f>
        <v>0</v>
      </c>
      <c r="O514" s="2381">
        <f>K514*G514</f>
        <v>0</v>
      </c>
      <c r="P514" s="2408"/>
    </row>
    <row r="515" spans="1:16" s="2358" customFormat="1" outlineLevel="1">
      <c r="A515" s="2361" t="str">
        <f t="shared" si="77"/>
        <v>Kẹp ép WR cỡ dây 50mm2</v>
      </c>
      <c r="B515" s="2383" t="s">
        <v>1582</v>
      </c>
      <c r="C515" s="2380"/>
      <c r="D515" s="2373">
        <v>0</v>
      </c>
      <c r="E515" s="2374" t="s">
        <v>2889</v>
      </c>
      <c r="F515" s="2373" t="s">
        <v>2563</v>
      </c>
      <c r="G515" s="2444">
        <f>2*G509</f>
        <v>0</v>
      </c>
      <c r="H515" s="2376">
        <v>8000</v>
      </c>
      <c r="I515" s="2376"/>
      <c r="J515" s="2376">
        <v>0</v>
      </c>
      <c r="K515" s="2376">
        <v>0</v>
      </c>
      <c r="L515" s="2382">
        <f t="shared" si="73"/>
        <v>0</v>
      </c>
      <c r="M515" s="2382">
        <f t="shared" si="74"/>
        <v>0</v>
      </c>
      <c r="N515" s="2382">
        <f t="shared" si="75"/>
        <v>0</v>
      </c>
      <c r="O515" s="2381">
        <f t="shared" si="76"/>
        <v>0</v>
      </c>
      <c r="P515" s="2408"/>
    </row>
    <row r="516" spans="1:16" s="2358" customFormat="1" outlineLevel="1">
      <c r="A516" s="2361" t="str">
        <f t="shared" si="77"/>
        <v>Ốc siết cáp cỡ 25mm2</v>
      </c>
      <c r="B516" s="2383" t="s">
        <v>816</v>
      </c>
      <c r="C516" s="2380"/>
      <c r="D516" s="2373">
        <v>0</v>
      </c>
      <c r="E516" s="2374" t="s">
        <v>3599</v>
      </c>
      <c r="F516" s="2373" t="s">
        <v>2563</v>
      </c>
      <c r="G516" s="2444">
        <f>G509*19</f>
        <v>0</v>
      </c>
      <c r="H516" s="2376">
        <v>17600</v>
      </c>
      <c r="I516" s="2376"/>
      <c r="J516" s="2376">
        <v>0</v>
      </c>
      <c r="K516" s="2376">
        <v>0</v>
      </c>
      <c r="L516" s="2382">
        <f t="shared" si="73"/>
        <v>0</v>
      </c>
      <c r="M516" s="2382">
        <f t="shared" si="74"/>
        <v>0</v>
      </c>
      <c r="N516" s="2382">
        <f t="shared" si="75"/>
        <v>0</v>
      </c>
      <c r="O516" s="2381">
        <f t="shared" si="76"/>
        <v>0</v>
      </c>
      <c r="P516" s="2408"/>
    </row>
    <row r="517" spans="1:16" s="2358" customFormat="1" outlineLevel="1">
      <c r="A517" s="2361" t="str">
        <f t="shared" si="77"/>
        <v>Đầu cosse ép Cu 35mm2</v>
      </c>
      <c r="B517" s="2383" t="s">
        <v>377</v>
      </c>
      <c r="C517" s="2380"/>
      <c r="D517" s="2373" t="s">
        <v>5787</v>
      </c>
      <c r="E517" s="2374" t="s">
        <v>3495</v>
      </c>
      <c r="F517" s="2373" t="s">
        <v>2563</v>
      </c>
      <c r="G517" s="2444">
        <f>G509*4</f>
        <v>0</v>
      </c>
      <c r="H517" s="2376">
        <v>7800</v>
      </c>
      <c r="I517" s="2376"/>
      <c r="J517" s="2376">
        <v>10608.955000000002</v>
      </c>
      <c r="K517" s="2376">
        <v>2777.0232475000003</v>
      </c>
      <c r="L517" s="2382">
        <f>H517*G517</f>
        <v>0</v>
      </c>
      <c r="M517" s="2382">
        <f>I517*G517</f>
        <v>0</v>
      </c>
      <c r="N517" s="2382">
        <f>J517*G517</f>
        <v>0</v>
      </c>
      <c r="O517" s="2381">
        <f>K517*G517</f>
        <v>0</v>
      </c>
      <c r="P517" s="2408"/>
    </row>
    <row r="518" spans="1:16" s="2358" customFormat="1" outlineLevel="1">
      <c r="A518" s="2361" t="str">
        <f t="shared" si="77"/>
        <v>Boulon 12x40+ 2 long đền vuông D14-50x50x3/Zn</v>
      </c>
      <c r="B518" s="2383" t="s">
        <v>2023</v>
      </c>
      <c r="C518" s="2380"/>
      <c r="D518" s="2373">
        <v>0</v>
      </c>
      <c r="E518" s="2374" t="s">
        <v>2635</v>
      </c>
      <c r="F518" s="2373" t="s">
        <v>2445</v>
      </c>
      <c r="G518" s="2444">
        <f>G509*3</f>
        <v>0</v>
      </c>
      <c r="H518" s="2376">
        <v>8500</v>
      </c>
      <c r="I518" s="2376"/>
      <c r="J518" s="2376">
        <v>0</v>
      </c>
      <c r="K518" s="2376">
        <v>0</v>
      </c>
      <c r="L518" s="2382">
        <f>H518*G518</f>
        <v>0</v>
      </c>
      <c r="M518" s="2382">
        <f>I518*G518</f>
        <v>0</v>
      </c>
      <c r="N518" s="2382">
        <f>J518*G518</f>
        <v>0</v>
      </c>
      <c r="O518" s="2381">
        <f>K518*G518</f>
        <v>0</v>
      </c>
      <c r="P518" s="2408"/>
    </row>
    <row r="519" spans="1:16" s="2358" customFormat="1" outlineLevel="1">
      <c r="A519" s="2361" t="str">
        <f t="shared" si="77"/>
        <v>Đai thép Inox</v>
      </c>
      <c r="B519" s="2383" t="s">
        <v>5242</v>
      </c>
      <c r="C519" s="2380"/>
      <c r="D519" s="2373">
        <v>0</v>
      </c>
      <c r="E519" s="2374" t="s">
        <v>5243</v>
      </c>
      <c r="F519" s="2373" t="s">
        <v>2538</v>
      </c>
      <c r="G519" s="2444">
        <f>G509*2</f>
        <v>0</v>
      </c>
      <c r="H519" s="2376">
        <v>11000</v>
      </c>
      <c r="I519" s="2376"/>
      <c r="J519" s="2376">
        <v>0</v>
      </c>
      <c r="K519" s="2376">
        <v>0</v>
      </c>
      <c r="L519" s="2382">
        <f>H519*G519</f>
        <v>0</v>
      </c>
      <c r="M519" s="2382">
        <f>I519*G519</f>
        <v>0</v>
      </c>
      <c r="N519" s="2382">
        <f>J519*G519</f>
        <v>0</v>
      </c>
      <c r="O519" s="2381">
        <f>K519*G519</f>
        <v>0</v>
      </c>
      <c r="P519" s="2408"/>
    </row>
    <row r="520" spans="1:16" s="2358" customFormat="1" outlineLevel="1">
      <c r="A520" s="2361" t="str">
        <f t="shared" si="77"/>
        <v>Khóa đai Inox</v>
      </c>
      <c r="B520" s="2383" t="s">
        <v>5244</v>
      </c>
      <c r="C520" s="2380"/>
      <c r="D520" s="2373">
        <v>0</v>
      </c>
      <c r="E520" s="2374" t="s">
        <v>5245</v>
      </c>
      <c r="F520" s="2373" t="s">
        <v>2563</v>
      </c>
      <c r="G520" s="2444">
        <f>G509*2</f>
        <v>0</v>
      </c>
      <c r="H520" s="2376">
        <v>4000</v>
      </c>
      <c r="I520" s="2376"/>
      <c r="J520" s="2376">
        <v>0</v>
      </c>
      <c r="K520" s="2376">
        <v>0</v>
      </c>
      <c r="L520" s="2382">
        <f>H520*G520</f>
        <v>0</v>
      </c>
      <c r="M520" s="2382">
        <f>I520*G520</f>
        <v>0</v>
      </c>
      <c r="N520" s="2382">
        <f>J520*G520</f>
        <v>0</v>
      </c>
      <c r="O520" s="2381">
        <f>K520*G520</f>
        <v>0</v>
      </c>
      <c r="P520" s="2408"/>
    </row>
    <row r="521" spans="1:16" s="2358" customFormat="1" outlineLevel="1">
      <c r="A521" s="2361" t="str">
        <f t="shared" si="77"/>
        <v>Cổ dê kẹp ống PVC  21</v>
      </c>
      <c r="B521" s="2386" t="s">
        <v>525</v>
      </c>
      <c r="C521" s="2380"/>
      <c r="D521" s="2373">
        <v>0</v>
      </c>
      <c r="E521" s="2374" t="s">
        <v>5313</v>
      </c>
      <c r="F521" s="2373" t="s">
        <v>2445</v>
      </c>
      <c r="G521" s="2444">
        <f>2*G509</f>
        <v>0</v>
      </c>
      <c r="H521" s="2376">
        <v>43000</v>
      </c>
      <c r="I521" s="2381"/>
      <c r="J521" s="2376">
        <v>0</v>
      </c>
      <c r="K521" s="2376">
        <v>0</v>
      </c>
      <c r="L521" s="2382">
        <f t="shared" si="73"/>
        <v>0</v>
      </c>
      <c r="M521" s="2382">
        <f t="shared" si="74"/>
        <v>0</v>
      </c>
      <c r="N521" s="2382">
        <f t="shared" si="75"/>
        <v>0</v>
      </c>
      <c r="O521" s="2381">
        <f t="shared" si="76"/>
        <v>0</v>
      </c>
      <c r="P521" s="2408"/>
    </row>
    <row r="522" spans="1:16" s="2358" customFormat="1" outlineLevel="1">
      <c r="A522" s="2361" t="str">
        <f t="shared" si="77"/>
        <v>Giếng tiếp địa khoan đất</v>
      </c>
      <c r="B522" s="2383" t="s">
        <v>6225</v>
      </c>
      <c r="C522" s="2380"/>
      <c r="D522" s="2373">
        <v>0</v>
      </c>
      <c r="E522" s="2374" t="s">
        <v>5775</v>
      </c>
      <c r="F522" s="2373" t="s">
        <v>3463</v>
      </c>
      <c r="G522" s="2444">
        <f>G509</f>
        <v>0</v>
      </c>
      <c r="H522" s="2376">
        <v>0</v>
      </c>
      <c r="I522" s="2376"/>
      <c r="J522" s="2376">
        <v>1500000</v>
      </c>
      <c r="K522" s="2376">
        <v>0</v>
      </c>
      <c r="L522" s="2382">
        <f>H522*G522</f>
        <v>0</v>
      </c>
      <c r="M522" s="2382">
        <f>I522*G522</f>
        <v>0</v>
      </c>
      <c r="N522" s="2382">
        <f>J522*G522</f>
        <v>0</v>
      </c>
      <c r="O522" s="2381">
        <f>K522*G522</f>
        <v>0</v>
      </c>
      <c r="P522" s="2408"/>
    </row>
    <row r="523" spans="1:16" s="2358" customFormat="1" outlineLevel="1">
      <c r="A523" s="2361" t="str">
        <f t="shared" si="77"/>
        <v>Kéo dây tiếp địa trong TBA</v>
      </c>
      <c r="B523" s="2383" t="s">
        <v>2189</v>
      </c>
      <c r="C523" s="2380"/>
      <c r="D523" s="2373" t="s">
        <v>5408</v>
      </c>
      <c r="E523" s="2374" t="s">
        <v>5409</v>
      </c>
      <c r="F523" s="2373" t="s">
        <v>2538</v>
      </c>
      <c r="G523" s="2444">
        <f>G511/0.224</f>
        <v>0</v>
      </c>
      <c r="H523" s="2376">
        <v>0</v>
      </c>
      <c r="I523" s="2376"/>
      <c r="J523" s="2376">
        <v>8070.7000000000007</v>
      </c>
      <c r="K523" s="2376">
        <v>2044.9974999999999</v>
      </c>
      <c r="L523" s="2382">
        <f t="shared" si="73"/>
        <v>0</v>
      </c>
      <c r="M523" s="2382">
        <f t="shared" si="74"/>
        <v>0</v>
      </c>
      <c r="N523" s="2382">
        <f t="shared" si="75"/>
        <v>0</v>
      </c>
      <c r="O523" s="2381">
        <f t="shared" si="76"/>
        <v>0</v>
      </c>
      <c r="P523" s="2408"/>
    </row>
    <row r="524" spans="1:16" s="2358" customFormat="1" outlineLevel="1">
      <c r="A524" s="2361" t="str">
        <f t="shared" si="77"/>
        <v>Đóng cọc tiếp địa trong TBA</v>
      </c>
      <c r="B524" s="2386" t="s">
        <v>902</v>
      </c>
      <c r="C524" s="2380"/>
      <c r="D524" s="2373" t="s">
        <v>5413</v>
      </c>
      <c r="E524" s="2374" t="s">
        <v>5414</v>
      </c>
      <c r="F524" s="2373" t="s">
        <v>2284</v>
      </c>
      <c r="G524" s="2444">
        <f>G512</f>
        <v>0</v>
      </c>
      <c r="H524" s="2376">
        <v>0</v>
      </c>
      <c r="I524" s="2381"/>
      <c r="J524" s="2376" t="s">
        <v>6389</v>
      </c>
      <c r="K524" s="2376">
        <v>1573.075</v>
      </c>
      <c r="L524" s="2382">
        <f t="shared" si="73"/>
        <v>0</v>
      </c>
      <c r="M524" s="2382">
        <f t="shared" si="74"/>
        <v>0</v>
      </c>
      <c r="N524" s="2376">
        <v>0</v>
      </c>
      <c r="O524" s="2381">
        <f t="shared" si="76"/>
        <v>0</v>
      </c>
      <c r="P524" s="2408"/>
    </row>
    <row r="525" spans="1:16" s="2358" customFormat="1" outlineLevel="1">
      <c r="A525" s="2361" t="str">
        <f t="shared" si="77"/>
        <v>Đào rãnh tiếp địa đất cấp 3</v>
      </c>
      <c r="B525" s="2383" t="s">
        <v>1055</v>
      </c>
      <c r="C525" s="2380"/>
      <c r="D525" s="2373" t="s">
        <v>5398</v>
      </c>
      <c r="E525" s="2374" t="s">
        <v>3086</v>
      </c>
      <c r="F525" s="2373" t="s">
        <v>856</v>
      </c>
      <c r="G525" s="2444">
        <f>G509*53*0.3*0.5</f>
        <v>0</v>
      </c>
      <c r="H525" s="2376">
        <v>0</v>
      </c>
      <c r="I525" s="2376"/>
      <c r="J525" s="2376">
        <v>283749.75</v>
      </c>
      <c r="K525" s="2376">
        <v>0</v>
      </c>
      <c r="L525" s="2382">
        <f t="shared" si="73"/>
        <v>0</v>
      </c>
      <c r="M525" s="2382">
        <f t="shared" si="74"/>
        <v>0</v>
      </c>
      <c r="N525" s="2382">
        <f t="shared" ref="N525:N555" si="78">J525*G525</f>
        <v>0</v>
      </c>
      <c r="O525" s="2381">
        <f t="shared" si="76"/>
        <v>0</v>
      </c>
      <c r="P525" s="2408"/>
    </row>
    <row r="526" spans="1:16" s="2358" customFormat="1" outlineLevel="1">
      <c r="A526" s="2361" t="str">
        <f t="shared" si="77"/>
        <v>Đắp đất rãnh tiếp độ chặt k=0,85</v>
      </c>
      <c r="B526" s="2386" t="s">
        <v>1056</v>
      </c>
      <c r="C526" s="2380"/>
      <c r="D526" s="2373" t="s">
        <v>5387</v>
      </c>
      <c r="E526" s="2374" t="s">
        <v>5399</v>
      </c>
      <c r="F526" s="2373" t="s">
        <v>856</v>
      </c>
      <c r="G526" s="2444">
        <f>G525</f>
        <v>0</v>
      </c>
      <c r="H526" s="2376">
        <v>0</v>
      </c>
      <c r="I526" s="2381"/>
      <c r="J526" s="2376">
        <v>117703.6</v>
      </c>
      <c r="K526" s="2376">
        <v>0</v>
      </c>
      <c r="L526" s="2382">
        <f t="shared" si="73"/>
        <v>0</v>
      </c>
      <c r="M526" s="2382">
        <f t="shared" si="74"/>
        <v>0</v>
      </c>
      <c r="N526" s="2382">
        <f t="shared" si="78"/>
        <v>0</v>
      </c>
      <c r="O526" s="2381">
        <f t="shared" si="76"/>
        <v>0</v>
      </c>
      <c r="P526" s="2408"/>
    </row>
    <row r="527" spans="1:16" s="2358" customFormat="1" outlineLevel="1">
      <c r="A527" s="2361" t="e">
        <f t="shared" si="77"/>
        <v>#N/A</v>
      </c>
      <c r="B527" s="2383"/>
      <c r="C527" s="2395">
        <f>IF(G527&gt;0,C509+1,C509)</f>
        <v>0</v>
      </c>
      <c r="D527" s="2399"/>
      <c r="E527" s="2411" t="s">
        <v>3701</v>
      </c>
      <c r="F527" s="2395" t="s">
        <v>2391</v>
      </c>
      <c r="G527" s="2446">
        <f>G501</f>
        <v>0</v>
      </c>
      <c r="H527" s="2376"/>
      <c r="I527" s="2381"/>
      <c r="J527" s="2376"/>
      <c r="K527" s="2376"/>
      <c r="L527" s="2382">
        <f t="shared" si="73"/>
        <v>0</v>
      </c>
      <c r="M527" s="2382">
        <f t="shared" si="74"/>
        <v>0</v>
      </c>
      <c r="N527" s="2382">
        <f t="shared" si="78"/>
        <v>0</v>
      </c>
      <c r="O527" s="2381">
        <f t="shared" si="76"/>
        <v>0</v>
      </c>
      <c r="P527" s="2408"/>
    </row>
    <row r="528" spans="1:16" s="2358" customFormat="1" ht="14.4" outlineLevel="1">
      <c r="A528" s="2361" t="e">
        <f t="shared" si="77"/>
        <v>#N/A</v>
      </c>
      <c r="B528" s="2383"/>
      <c r="C528" s="2395"/>
      <c r="D528" s="2399"/>
      <c r="E528" s="2425" t="s">
        <v>6207</v>
      </c>
      <c r="F528" s="2380"/>
      <c r="G528" s="2444"/>
      <c r="H528" s="2376"/>
      <c r="I528" s="2381"/>
      <c r="J528" s="2376"/>
      <c r="K528" s="2376"/>
      <c r="L528" s="2382">
        <f t="shared" si="73"/>
        <v>0</v>
      </c>
      <c r="M528" s="2382">
        <f t="shared" si="74"/>
        <v>0</v>
      </c>
      <c r="N528" s="2382">
        <f t="shared" si="78"/>
        <v>0</v>
      </c>
      <c r="O528" s="2381">
        <f t="shared" si="76"/>
        <v>0</v>
      </c>
      <c r="P528" s="2408"/>
    </row>
    <row r="529" spans="1:16" s="2358" customFormat="1" outlineLevel="1">
      <c r="A529" s="2361" t="str">
        <f t="shared" si="77"/>
        <v>Tủ MCCB trạm treo 1 pha</v>
      </c>
      <c r="B529" s="2434" t="s">
        <v>5716</v>
      </c>
      <c r="C529" s="2380"/>
      <c r="D529" s="2373" t="s">
        <v>5717</v>
      </c>
      <c r="E529" s="2374" t="s">
        <v>5718</v>
      </c>
      <c r="F529" s="2373" t="s">
        <v>2563</v>
      </c>
      <c r="G529" s="2444">
        <f>G527</f>
        <v>0</v>
      </c>
      <c r="H529" s="2376">
        <v>2971168</v>
      </c>
      <c r="I529" s="2376"/>
      <c r="J529" s="2376">
        <v>599038</v>
      </c>
      <c r="K529" s="2376">
        <v>97369</v>
      </c>
      <c r="L529" s="2382">
        <f t="shared" si="73"/>
        <v>0</v>
      </c>
      <c r="M529" s="2382">
        <f t="shared" si="74"/>
        <v>0</v>
      </c>
      <c r="N529" s="2382">
        <f t="shared" si="78"/>
        <v>0</v>
      </c>
      <c r="O529" s="2381">
        <f t="shared" si="76"/>
        <v>0</v>
      </c>
      <c r="P529" s="2408"/>
    </row>
    <row r="530" spans="1:16" s="2358" customFormat="1" outlineLevel="1">
      <c r="A530" s="2361" t="str">
        <f t="shared" si="77"/>
        <v>Cổ dê CDĐKĐT( bắt thùng điện kế)</v>
      </c>
      <c r="B530" s="2383" t="s">
        <v>319</v>
      </c>
      <c r="C530" s="2380"/>
      <c r="D530" s="2373">
        <v>0</v>
      </c>
      <c r="E530" s="2374" t="s">
        <v>5330</v>
      </c>
      <c r="F530" s="2373" t="s">
        <v>2445</v>
      </c>
      <c r="G530" s="2444">
        <f>2*G527</f>
        <v>0</v>
      </c>
      <c r="H530" s="2376">
        <v>168000</v>
      </c>
      <c r="I530" s="2381"/>
      <c r="J530" s="2376">
        <v>0</v>
      </c>
      <c r="K530" s="2376">
        <v>0</v>
      </c>
      <c r="L530" s="2382">
        <f t="shared" si="73"/>
        <v>0</v>
      </c>
      <c r="M530" s="2382">
        <f t="shared" si="74"/>
        <v>0</v>
      </c>
      <c r="N530" s="2382">
        <f t="shared" si="78"/>
        <v>0</v>
      </c>
      <c r="O530" s="2381">
        <f t="shared" si="76"/>
        <v>0</v>
      </c>
      <c r="P530" s="2408"/>
    </row>
    <row r="531" spans="1:16" s="2358" customFormat="1" outlineLevel="1">
      <c r="A531" s="2361" t="str">
        <f t="shared" si="77"/>
        <v xml:space="preserve">Bakelit 550x450 dầy 10mm </v>
      </c>
      <c r="B531" s="2383" t="s">
        <v>880</v>
      </c>
      <c r="C531" s="2380"/>
      <c r="D531" s="2373">
        <v>0</v>
      </c>
      <c r="E531" s="2374" t="s">
        <v>5861</v>
      </c>
      <c r="F531" s="2373" t="s">
        <v>2563</v>
      </c>
      <c r="G531" s="2444">
        <f>G527*0</f>
        <v>0</v>
      </c>
      <c r="H531" s="2376">
        <v>284000</v>
      </c>
      <c r="I531" s="2381"/>
      <c r="J531" s="2376">
        <v>5404</v>
      </c>
      <c r="K531" s="2376">
        <v>0</v>
      </c>
      <c r="L531" s="2382">
        <f t="shared" si="73"/>
        <v>0</v>
      </c>
      <c r="M531" s="2382">
        <f t="shared" si="74"/>
        <v>0</v>
      </c>
      <c r="N531" s="2382">
        <f t="shared" si="78"/>
        <v>0</v>
      </c>
      <c r="O531" s="2381">
        <f t="shared" si="76"/>
        <v>0</v>
      </c>
      <c r="P531" s="2408"/>
    </row>
    <row r="532" spans="1:16" s="2358" customFormat="1" outlineLevel="1">
      <c r="A532" s="2361" t="e">
        <f t="shared" si="77"/>
        <v>#N/A</v>
      </c>
      <c r="B532" s="2383"/>
      <c r="C532" s="2395">
        <f>IF(G532&gt;0,C527+1,C527)</f>
        <v>0</v>
      </c>
      <c r="D532" s="2399"/>
      <c r="E532" s="2424" t="s">
        <v>6213</v>
      </c>
      <c r="F532" s="2395" t="s">
        <v>2391</v>
      </c>
      <c r="G532" s="2446">
        <f>G527</f>
        <v>0</v>
      </c>
      <c r="H532" s="2376"/>
      <c r="I532" s="2381"/>
      <c r="J532" s="2376"/>
      <c r="K532" s="2376"/>
      <c r="L532" s="2382">
        <f t="shared" si="73"/>
        <v>0</v>
      </c>
      <c r="M532" s="2382">
        <f t="shared" si="74"/>
        <v>0</v>
      </c>
      <c r="N532" s="2382">
        <f t="shared" si="78"/>
        <v>0</v>
      </c>
      <c r="O532" s="2381">
        <f t="shared" si="76"/>
        <v>0</v>
      </c>
      <c r="P532" s="2408"/>
    </row>
    <row r="533" spans="1:16" s="2358" customFormat="1" ht="14.4" outlineLevel="1">
      <c r="A533" s="2361" t="e">
        <f t="shared" si="77"/>
        <v>#N/A</v>
      </c>
      <c r="B533" s="2383"/>
      <c r="C533" s="2395"/>
      <c r="D533" s="2399"/>
      <c r="E533" s="2425" t="s">
        <v>6207</v>
      </c>
      <c r="F533" s="2380"/>
      <c r="G533" s="2444"/>
      <c r="H533" s="2376"/>
      <c r="I533" s="2381"/>
      <c r="J533" s="2376"/>
      <c r="K533" s="2376"/>
      <c r="L533" s="2382">
        <f t="shared" si="73"/>
        <v>0</v>
      </c>
      <c r="M533" s="2382">
        <f t="shared" si="74"/>
        <v>0</v>
      </c>
      <c r="N533" s="2382">
        <f t="shared" si="78"/>
        <v>0</v>
      </c>
      <c r="O533" s="2381">
        <f t="shared" si="76"/>
        <v>0</v>
      </c>
      <c r="P533" s="2408"/>
    </row>
    <row r="534" spans="1:16" s="2358" customFormat="1" outlineLevel="1">
      <c r="A534" s="2361" t="str">
        <f t="shared" si="77"/>
        <v>Cáp 24KV C/XLPE/PVC 25mm2</v>
      </c>
      <c r="B534" s="2386" t="s">
        <v>697</v>
      </c>
      <c r="C534" s="2380"/>
      <c r="D534" s="2373">
        <v>0</v>
      </c>
      <c r="E534" s="2374" t="s">
        <v>5139</v>
      </c>
      <c r="F534" s="2373" t="s">
        <v>2538</v>
      </c>
      <c r="G534" s="2444">
        <f>4*G532</f>
        <v>0</v>
      </c>
      <c r="H534" s="2376">
        <v>50996</v>
      </c>
      <c r="I534" s="2376"/>
      <c r="J534" s="2376">
        <v>0</v>
      </c>
      <c r="K534" s="2376">
        <v>0</v>
      </c>
      <c r="L534" s="2382">
        <f t="shared" si="73"/>
        <v>0</v>
      </c>
      <c r="M534" s="2382">
        <f t="shared" si="74"/>
        <v>0</v>
      </c>
      <c r="N534" s="2382">
        <f t="shared" si="78"/>
        <v>0</v>
      </c>
      <c r="O534" s="2381">
        <f t="shared" si="76"/>
        <v>0</v>
      </c>
      <c r="P534" s="2408"/>
    </row>
    <row r="535" spans="1:16" s="2358" customFormat="1" outlineLevel="1">
      <c r="A535" s="2361" t="str">
        <f t="shared" si="77"/>
        <v>Kẹp quai 2/0</v>
      </c>
      <c r="B535" s="2371" t="s">
        <v>1482</v>
      </c>
      <c r="C535" s="2380"/>
      <c r="D535" s="2373">
        <v>0</v>
      </c>
      <c r="E535" s="2374" t="s">
        <v>3810</v>
      </c>
      <c r="F535" s="2373" t="s">
        <v>2563</v>
      </c>
      <c r="G535" s="2444">
        <f>G532</f>
        <v>0</v>
      </c>
      <c r="H535" s="2376">
        <v>46000</v>
      </c>
      <c r="I535" s="2376"/>
      <c r="J535" s="2376">
        <v>0</v>
      </c>
      <c r="K535" s="2376">
        <v>0</v>
      </c>
      <c r="L535" s="2382">
        <f t="shared" si="73"/>
        <v>0</v>
      </c>
      <c r="M535" s="2382">
        <f t="shared" si="74"/>
        <v>0</v>
      </c>
      <c r="N535" s="2382">
        <f t="shared" si="78"/>
        <v>0</v>
      </c>
      <c r="O535" s="2381">
        <f t="shared" si="76"/>
        <v>0</v>
      </c>
      <c r="P535" s="2408"/>
    </row>
    <row r="536" spans="1:16" s="2358" customFormat="1" outlineLevel="1">
      <c r="A536" s="2361" t="str">
        <f t="shared" si="77"/>
        <v>Kẹp hotline 2/0</v>
      </c>
      <c r="B536" s="2371" t="s">
        <v>1480</v>
      </c>
      <c r="C536" s="2380"/>
      <c r="D536" s="2373">
        <v>0</v>
      </c>
      <c r="E536" s="2374" t="s">
        <v>4361</v>
      </c>
      <c r="F536" s="2373" t="s">
        <v>2563</v>
      </c>
      <c r="G536" s="2444">
        <f>G532</f>
        <v>0</v>
      </c>
      <c r="H536" s="2376">
        <v>77000</v>
      </c>
      <c r="I536" s="2376"/>
      <c r="J536" s="2376">
        <v>0</v>
      </c>
      <c r="K536" s="2376">
        <v>0</v>
      </c>
      <c r="L536" s="2382">
        <f t="shared" si="73"/>
        <v>0</v>
      </c>
      <c r="M536" s="2382">
        <f t="shared" si="74"/>
        <v>0</v>
      </c>
      <c r="N536" s="2382">
        <f t="shared" si="78"/>
        <v>0</v>
      </c>
      <c r="O536" s="2381">
        <f t="shared" si="76"/>
        <v>0</v>
      </c>
      <c r="P536" s="2408"/>
    </row>
    <row r="537" spans="1:16" s="2358" customFormat="1" outlineLevel="1">
      <c r="A537" s="2361" t="str">
        <f t="shared" si="77"/>
        <v>Nắp che đầu cực FCO</v>
      </c>
      <c r="B537" s="2371" t="s">
        <v>6199</v>
      </c>
      <c r="C537" s="2380"/>
      <c r="D537" s="2373">
        <v>0</v>
      </c>
      <c r="E537" s="2447" t="s">
        <v>5762</v>
      </c>
      <c r="F537" s="2405" t="s">
        <v>2563</v>
      </c>
      <c r="G537" s="2444">
        <f>G479</f>
        <v>0</v>
      </c>
      <c r="H537" s="2376">
        <v>218200</v>
      </c>
      <c r="I537" s="2376"/>
      <c r="J537" s="2376">
        <v>0</v>
      </c>
      <c r="K537" s="2376">
        <v>0</v>
      </c>
      <c r="L537" s="2382">
        <f>H537*G537</f>
        <v>0</v>
      </c>
      <c r="M537" s="2382">
        <f>I537*G537</f>
        <v>0</v>
      </c>
      <c r="N537" s="2382">
        <f>J537*G537</f>
        <v>0</v>
      </c>
      <c r="O537" s="2381">
        <f>K537*G537</f>
        <v>0</v>
      </c>
      <c r="P537" s="2408"/>
    </row>
    <row r="538" spans="1:16" s="2358" customFormat="1" outlineLevel="1">
      <c r="A538" s="2361" t="str">
        <f t="shared" ref="A538:A569" si="79">VLOOKUP(B538,DonGia,3,0)</f>
        <v>Nắp che đầu cực LA</v>
      </c>
      <c r="B538" s="2371" t="s">
        <v>5767</v>
      </c>
      <c r="C538" s="2380"/>
      <c r="D538" s="2373">
        <v>0</v>
      </c>
      <c r="E538" s="2447" t="s">
        <v>5768</v>
      </c>
      <c r="F538" s="2405" t="s">
        <v>2563</v>
      </c>
      <c r="G538" s="2444">
        <f>G481</f>
        <v>0</v>
      </c>
      <c r="H538" s="2376">
        <v>39100</v>
      </c>
      <c r="I538" s="2376"/>
      <c r="J538" s="2376">
        <v>0</v>
      </c>
      <c r="K538" s="2376">
        <v>0</v>
      </c>
      <c r="L538" s="2382">
        <f>H538*G538</f>
        <v>0</v>
      </c>
      <c r="M538" s="2382">
        <f>I538*G538</f>
        <v>0</v>
      </c>
      <c r="N538" s="2382">
        <f>J538*G538</f>
        <v>0</v>
      </c>
      <c r="O538" s="2381">
        <f>K538*G538</f>
        <v>0</v>
      </c>
      <c r="P538" s="2408"/>
    </row>
    <row r="539" spans="1:16" s="2358" customFormat="1" outlineLevel="1">
      <c r="A539" s="2361" t="str">
        <f t="shared" si="79"/>
        <v>Nắp che đầu sứ MBA</v>
      </c>
      <c r="B539" s="2371" t="s">
        <v>5769</v>
      </c>
      <c r="C539" s="2380"/>
      <c r="D539" s="2373">
        <v>0</v>
      </c>
      <c r="E539" s="2447" t="s">
        <v>5770</v>
      </c>
      <c r="F539" s="2405" t="s">
        <v>2563</v>
      </c>
      <c r="G539" s="2444">
        <f>G478</f>
        <v>0</v>
      </c>
      <c r="H539" s="2376">
        <v>56700</v>
      </c>
      <c r="I539" s="2376"/>
      <c r="J539" s="2376">
        <v>0</v>
      </c>
      <c r="K539" s="2376">
        <v>0</v>
      </c>
      <c r="L539" s="2382">
        <f>H539*G539</f>
        <v>0</v>
      </c>
      <c r="M539" s="2382">
        <f>I539*G539</f>
        <v>0</v>
      </c>
      <c r="N539" s="2382">
        <f>J539*G539</f>
        <v>0</v>
      </c>
      <c r="O539" s="2381">
        <f>K539*G539</f>
        <v>0</v>
      </c>
      <c r="P539" s="2408"/>
    </row>
    <row r="540" spans="1:16" s="2358" customFormat="1" outlineLevel="1">
      <c r="A540" s="2361" t="str">
        <f t="shared" si="79"/>
        <v>Chụp cách điện kẹp quai</v>
      </c>
      <c r="B540" s="2371" t="s">
        <v>6230</v>
      </c>
      <c r="C540" s="2380"/>
      <c r="D540" s="2373">
        <v>0</v>
      </c>
      <c r="E540" s="2447" t="s">
        <v>4565</v>
      </c>
      <c r="F540" s="2405" t="s">
        <v>3463</v>
      </c>
      <c r="G540" s="2444">
        <f>G535</f>
        <v>0</v>
      </c>
      <c r="H540" s="2376">
        <v>136800</v>
      </c>
      <c r="I540" s="2376"/>
      <c r="J540" s="2376">
        <v>0</v>
      </c>
      <c r="K540" s="2376">
        <v>0</v>
      </c>
      <c r="L540" s="2382">
        <f>H540*G540</f>
        <v>0</v>
      </c>
      <c r="M540" s="2382">
        <f>I540*G540</f>
        <v>0</v>
      </c>
      <c r="N540" s="2382">
        <f>J540*G540</f>
        <v>0</v>
      </c>
      <c r="O540" s="2381">
        <f>K540*G540</f>
        <v>0</v>
      </c>
      <c r="P540" s="2408"/>
    </row>
    <row r="541" spans="1:16" s="2358" customFormat="1" outlineLevel="1">
      <c r="A541" s="2361" t="str">
        <f t="shared" si="79"/>
        <v>Lắp cáp đồng xuống thiết bị D ≤ 95mm2</v>
      </c>
      <c r="B541" s="2371" t="s">
        <v>1528</v>
      </c>
      <c r="C541" s="2380"/>
      <c r="D541" s="2373" t="s">
        <v>5633</v>
      </c>
      <c r="E541" s="2374" t="s">
        <v>3310</v>
      </c>
      <c r="F541" s="2373" t="s">
        <v>1827</v>
      </c>
      <c r="G541" s="2444">
        <f>G534</f>
        <v>0</v>
      </c>
      <c r="H541" s="2376">
        <v>0</v>
      </c>
      <c r="I541" s="2376"/>
      <c r="J541" s="2376">
        <v>13915</v>
      </c>
      <c r="K541" s="2376">
        <v>0</v>
      </c>
      <c r="L541" s="2382">
        <f t="shared" si="73"/>
        <v>0</v>
      </c>
      <c r="M541" s="2382">
        <f t="shared" si="74"/>
        <v>0</v>
      </c>
      <c r="N541" s="2382">
        <f t="shared" si="78"/>
        <v>0</v>
      </c>
      <c r="O541" s="2381">
        <f t="shared" si="76"/>
        <v>0</v>
      </c>
      <c r="P541" s="2408"/>
    </row>
    <row r="542" spans="1:16" s="2358" customFormat="1" outlineLevel="1">
      <c r="A542" s="2361" t="e">
        <f t="shared" si="79"/>
        <v>#N/A</v>
      </c>
      <c r="B542" s="2383"/>
      <c r="C542" s="2395">
        <f>IF(G542&gt;0,C532+1,C532)</f>
        <v>0</v>
      </c>
      <c r="D542" s="2399"/>
      <c r="E542" s="2411" t="s">
        <v>6231</v>
      </c>
      <c r="F542" s="2395" t="s">
        <v>2391</v>
      </c>
      <c r="G542" s="2446">
        <f>G478</f>
        <v>0</v>
      </c>
      <c r="H542" s="2376"/>
      <c r="I542" s="2381"/>
      <c r="J542" s="2376"/>
      <c r="K542" s="2376"/>
      <c r="L542" s="2382">
        <f t="shared" si="73"/>
        <v>0</v>
      </c>
      <c r="M542" s="2382">
        <f t="shared" si="74"/>
        <v>0</v>
      </c>
      <c r="N542" s="2382">
        <f t="shared" si="78"/>
        <v>0</v>
      </c>
      <c r="O542" s="2381">
        <f t="shared" si="76"/>
        <v>0</v>
      </c>
      <c r="P542" s="2408"/>
    </row>
    <row r="543" spans="1:16" s="2358" customFormat="1" ht="14.4" outlineLevel="1">
      <c r="A543" s="2361" t="e">
        <f t="shared" si="79"/>
        <v>#N/A</v>
      </c>
      <c r="B543" s="2383"/>
      <c r="C543" s="2395"/>
      <c r="D543" s="2399"/>
      <c r="E543" s="2401" t="s">
        <v>6207</v>
      </c>
      <c r="F543" s="2395"/>
      <c r="G543" s="2446"/>
      <c r="H543" s="2376"/>
      <c r="I543" s="2381"/>
      <c r="J543" s="2376"/>
      <c r="K543" s="2376"/>
      <c r="L543" s="2382">
        <f t="shared" si="73"/>
        <v>0</v>
      </c>
      <c r="M543" s="2382">
        <f t="shared" si="74"/>
        <v>0</v>
      </c>
      <c r="N543" s="2382">
        <f t="shared" si="78"/>
        <v>0</v>
      </c>
      <c r="O543" s="2381">
        <f t="shared" si="76"/>
        <v>0</v>
      </c>
      <c r="P543" s="2408"/>
    </row>
    <row r="544" spans="1:16" s="2358" customFormat="1" outlineLevel="1">
      <c r="A544" s="2361" t="str">
        <f t="shared" si="79"/>
        <v>Cáp đồng bọc CV150</v>
      </c>
      <c r="B544" s="2383" t="s">
        <v>6232</v>
      </c>
      <c r="C544" s="2395"/>
      <c r="D544" s="2373">
        <v>0</v>
      </c>
      <c r="E544" s="2374" t="s">
        <v>2804</v>
      </c>
      <c r="F544" s="2373" t="s">
        <v>2538</v>
      </c>
      <c r="G544" s="2444">
        <f>G542*9*3</f>
        <v>0</v>
      </c>
      <c r="H544" s="2376">
        <v>194893</v>
      </c>
      <c r="I544" s="2376"/>
      <c r="J544" s="2376">
        <v>0</v>
      </c>
      <c r="K544" s="2376">
        <v>0</v>
      </c>
      <c r="L544" s="2382">
        <f t="shared" si="73"/>
        <v>0</v>
      </c>
      <c r="M544" s="2382">
        <f t="shared" si="74"/>
        <v>0</v>
      </c>
      <c r="N544" s="2382">
        <f t="shared" si="78"/>
        <v>0</v>
      </c>
      <c r="O544" s="2381">
        <f t="shared" si="76"/>
        <v>0</v>
      </c>
      <c r="P544" s="2408"/>
    </row>
    <row r="545" spans="1:16" s="2358" customFormat="1" outlineLevel="1">
      <c r="A545" s="2361" t="str">
        <f t="shared" si="79"/>
        <v>Cáp đồng bọc CV120</v>
      </c>
      <c r="B545" s="2383" t="s">
        <v>49</v>
      </c>
      <c r="C545" s="2395"/>
      <c r="D545" s="2373">
        <v>0</v>
      </c>
      <c r="E545" s="2374" t="s">
        <v>2803</v>
      </c>
      <c r="F545" s="2373" t="s">
        <v>2538</v>
      </c>
      <c r="G545" s="2380">
        <f>G542*9*0</f>
        <v>0</v>
      </c>
      <c r="H545" s="2376">
        <v>236300</v>
      </c>
      <c r="I545" s="2376"/>
      <c r="J545" s="2376">
        <v>0</v>
      </c>
      <c r="K545" s="2376">
        <v>0</v>
      </c>
      <c r="L545" s="2382">
        <f t="shared" si="73"/>
        <v>0</v>
      </c>
      <c r="M545" s="2382">
        <f t="shared" si="74"/>
        <v>0</v>
      </c>
      <c r="N545" s="2382">
        <f t="shared" si="78"/>
        <v>0</v>
      </c>
      <c r="O545" s="2381">
        <f t="shared" si="76"/>
        <v>0</v>
      </c>
      <c r="P545" s="2408"/>
    </row>
    <row r="546" spans="1:16" s="2358" customFormat="1" outlineLevel="1">
      <c r="A546" s="2361" t="str">
        <f t="shared" si="79"/>
        <v xml:space="preserve">Cáp CVV 4x4mm2  </v>
      </c>
      <c r="B546" s="2383" t="s">
        <v>4545</v>
      </c>
      <c r="C546" s="2380"/>
      <c r="D546" s="2373">
        <v>0</v>
      </c>
      <c r="E546" s="2374" t="s">
        <v>2794</v>
      </c>
      <c r="F546" s="2373" t="s">
        <v>2538</v>
      </c>
      <c r="G546" s="2444">
        <f>4*G542</f>
        <v>0</v>
      </c>
      <c r="H546" s="2376">
        <v>63200</v>
      </c>
      <c r="I546" s="2376"/>
      <c r="J546" s="2376">
        <v>0</v>
      </c>
      <c r="K546" s="2376">
        <v>0</v>
      </c>
      <c r="L546" s="2382">
        <f t="shared" si="73"/>
        <v>0</v>
      </c>
      <c r="M546" s="2382">
        <f t="shared" si="74"/>
        <v>0</v>
      </c>
      <c r="N546" s="2382">
        <f t="shared" si="78"/>
        <v>0</v>
      </c>
      <c r="O546" s="2381">
        <f t="shared" si="76"/>
        <v>0</v>
      </c>
      <c r="P546" s="2408"/>
    </row>
    <row r="547" spans="1:16" s="2358" customFormat="1" outlineLevel="1">
      <c r="A547" s="2361" t="str">
        <f t="shared" si="79"/>
        <v>Đầu cosse ép Cu 150mm2</v>
      </c>
      <c r="B547" s="2383" t="s">
        <v>0</v>
      </c>
      <c r="C547" s="2380"/>
      <c r="D547" s="2373" t="s">
        <v>5791</v>
      </c>
      <c r="E547" s="2374" t="s">
        <v>3501</v>
      </c>
      <c r="F547" s="2373" t="s">
        <v>2563</v>
      </c>
      <c r="G547" s="2444">
        <f>G542*3</f>
        <v>0</v>
      </c>
      <c r="H547" s="2376">
        <v>36000</v>
      </c>
      <c r="I547" s="2376"/>
      <c r="J547" s="2376">
        <v>33342.43</v>
      </c>
      <c r="K547" s="2376">
        <v>4443.237196</v>
      </c>
      <c r="L547" s="2382">
        <f t="shared" si="73"/>
        <v>0</v>
      </c>
      <c r="M547" s="2382">
        <f t="shared" si="74"/>
        <v>0</v>
      </c>
      <c r="N547" s="2382">
        <f t="shared" si="78"/>
        <v>0</v>
      </c>
      <c r="O547" s="2381">
        <f t="shared" si="76"/>
        <v>0</v>
      </c>
      <c r="P547" s="2408"/>
    </row>
    <row r="548" spans="1:16" s="2358" customFormat="1" outlineLevel="1">
      <c r="A548" s="2361" t="str">
        <f t="shared" si="79"/>
        <v>Đầu cosse ép Cu 120mm2</v>
      </c>
      <c r="B548" s="2383" t="str">
        <f>IF(G542=1,"Cos"&amp;RIGHT(B$545,3),"Cos"&amp;RIGHT(B$545,3))</f>
        <v>Cos120</v>
      </c>
      <c r="C548" s="2380"/>
      <c r="D548" s="2373" t="s">
        <v>5790</v>
      </c>
      <c r="E548" s="2374" t="s">
        <v>3500</v>
      </c>
      <c r="F548" s="2373" t="s">
        <v>2563</v>
      </c>
      <c r="G548" s="2380">
        <f>G542*0</f>
        <v>0</v>
      </c>
      <c r="H548" s="2376">
        <v>27000</v>
      </c>
      <c r="I548" s="2376"/>
      <c r="J548" s="2376">
        <v>27280.17</v>
      </c>
      <c r="K548" s="2376">
        <v>3887.8325465000003</v>
      </c>
      <c r="L548" s="2382">
        <f t="shared" si="73"/>
        <v>0</v>
      </c>
      <c r="M548" s="2382">
        <f t="shared" si="74"/>
        <v>0</v>
      </c>
      <c r="N548" s="2382">
        <f t="shared" si="78"/>
        <v>0</v>
      </c>
      <c r="O548" s="2381">
        <f t="shared" si="76"/>
        <v>0</v>
      </c>
      <c r="P548" s="2408"/>
    </row>
    <row r="549" spans="1:16" s="2358" customFormat="1" outlineLevel="1">
      <c r="A549" s="2361" t="str">
        <f t="shared" si="79"/>
        <v>Chụp đầu cosse  150mm2</v>
      </c>
      <c r="B549" s="2383" t="s">
        <v>91</v>
      </c>
      <c r="C549" s="2380"/>
      <c r="D549" s="2373">
        <v>0</v>
      </c>
      <c r="E549" s="2374" t="s">
        <v>3515</v>
      </c>
      <c r="F549" s="2373" t="s">
        <v>2563</v>
      </c>
      <c r="G549" s="2444">
        <f>G547</f>
        <v>0</v>
      </c>
      <c r="H549" s="2376">
        <v>5000</v>
      </c>
      <c r="I549" s="2376"/>
      <c r="J549" s="2376">
        <v>0</v>
      </c>
      <c r="K549" s="2376">
        <v>0</v>
      </c>
      <c r="L549" s="2382">
        <f t="shared" si="73"/>
        <v>0</v>
      </c>
      <c r="M549" s="2382">
        <f t="shared" si="74"/>
        <v>0</v>
      </c>
      <c r="N549" s="2382">
        <f t="shared" si="78"/>
        <v>0</v>
      </c>
      <c r="O549" s="2381">
        <f t="shared" si="76"/>
        <v>0</v>
      </c>
      <c r="P549" s="2408"/>
    </row>
    <row r="550" spans="1:16" s="2358" customFormat="1" outlineLevel="1">
      <c r="A550" s="2361" t="str">
        <f t="shared" si="79"/>
        <v>Chụp đầu cosse  120mm2</v>
      </c>
      <c r="B550" s="2383" t="s">
        <v>1865</v>
      </c>
      <c r="C550" s="2380"/>
      <c r="D550" s="2373">
        <v>0</v>
      </c>
      <c r="E550" s="2374" t="s">
        <v>3514</v>
      </c>
      <c r="F550" s="2373" t="s">
        <v>2563</v>
      </c>
      <c r="G550" s="2380">
        <f>G548*0</f>
        <v>0</v>
      </c>
      <c r="H550" s="2376">
        <v>4000</v>
      </c>
      <c r="I550" s="2376"/>
      <c r="J550" s="2376">
        <v>0</v>
      </c>
      <c r="K550" s="2376">
        <v>0</v>
      </c>
      <c r="L550" s="2382">
        <f t="shared" si="73"/>
        <v>0</v>
      </c>
      <c r="M550" s="2382">
        <f t="shared" si="74"/>
        <v>0</v>
      </c>
      <c r="N550" s="2382">
        <f t="shared" si="78"/>
        <v>0</v>
      </c>
      <c r="O550" s="2381">
        <f t="shared" si="76"/>
        <v>0</v>
      </c>
      <c r="P550" s="2408"/>
    </row>
    <row r="551" spans="1:16" s="2358" customFormat="1" outlineLevel="1">
      <c r="A551" s="2361" t="str">
        <f t="shared" si="79"/>
        <v xml:space="preserve">Ống PVC D90x3,8mm </v>
      </c>
      <c r="B551" s="2383" t="s">
        <v>282</v>
      </c>
      <c r="C551" s="2380"/>
      <c r="D551" s="2373">
        <v>0</v>
      </c>
      <c r="E551" s="2374" t="s">
        <v>3550</v>
      </c>
      <c r="F551" s="2373" t="s">
        <v>1827</v>
      </c>
      <c r="G551" s="2444">
        <f>8*G542</f>
        <v>0</v>
      </c>
      <c r="H551" s="2376">
        <v>63200</v>
      </c>
      <c r="I551" s="2381"/>
      <c r="J551" s="2376">
        <v>0</v>
      </c>
      <c r="K551" s="2376">
        <v>0</v>
      </c>
      <c r="L551" s="2382">
        <f t="shared" si="73"/>
        <v>0</v>
      </c>
      <c r="M551" s="2382">
        <f t="shared" si="74"/>
        <v>0</v>
      </c>
      <c r="N551" s="2382">
        <f t="shared" si="78"/>
        <v>0</v>
      </c>
      <c r="O551" s="2381">
        <f t="shared" si="76"/>
        <v>0</v>
      </c>
      <c r="P551" s="2408"/>
    </row>
    <row r="552" spans="1:16" s="2358" customFormat="1" outlineLevel="1">
      <c r="A552" s="2361" t="str">
        <f t="shared" si="79"/>
        <v>Cổ dê kẹp ống PVC Ø 90</v>
      </c>
      <c r="B552" s="2386" t="s">
        <v>276</v>
      </c>
      <c r="C552" s="2380"/>
      <c r="D552" s="2373">
        <v>0</v>
      </c>
      <c r="E552" s="2374" t="s">
        <v>5318</v>
      </c>
      <c r="F552" s="2373" t="s">
        <v>2445</v>
      </c>
      <c r="G552" s="2444">
        <f>3*G542</f>
        <v>0</v>
      </c>
      <c r="H552" s="2376">
        <v>49000</v>
      </c>
      <c r="I552" s="2381"/>
      <c r="J552" s="2376">
        <v>0</v>
      </c>
      <c r="K552" s="2376">
        <v>0</v>
      </c>
      <c r="L552" s="2382">
        <f t="shared" si="73"/>
        <v>0</v>
      </c>
      <c r="M552" s="2382">
        <f t="shared" si="74"/>
        <v>0</v>
      </c>
      <c r="N552" s="2382">
        <f t="shared" si="78"/>
        <v>0</v>
      </c>
      <c r="O552" s="2381">
        <f t="shared" si="76"/>
        <v>0</v>
      </c>
      <c r="P552" s="2408"/>
    </row>
    <row r="553" spans="1:16" s="2358" customFormat="1" outlineLevel="1">
      <c r="A553" s="2361" t="str">
        <f t="shared" si="79"/>
        <v>Co  90 độ PVC 90</v>
      </c>
      <c r="B553" s="2383" t="s">
        <v>69</v>
      </c>
      <c r="C553" s="2380"/>
      <c r="D553" s="2373">
        <v>0</v>
      </c>
      <c r="E553" s="2374" t="s">
        <v>5859</v>
      </c>
      <c r="F553" s="2373" t="s">
        <v>2563</v>
      </c>
      <c r="G553" s="2444">
        <f>2*G542</f>
        <v>0</v>
      </c>
      <c r="H553" s="2376">
        <v>45400</v>
      </c>
      <c r="I553" s="2381"/>
      <c r="J553" s="2376">
        <v>0</v>
      </c>
      <c r="K553" s="2376">
        <v>0</v>
      </c>
      <c r="L553" s="2382">
        <f t="shared" ref="L553:L555" si="80">H553*G553</f>
        <v>0</v>
      </c>
      <c r="M553" s="2382">
        <f t="shared" ref="M553:M555" si="81">I553*G553</f>
        <v>0</v>
      </c>
      <c r="N553" s="2382">
        <f t="shared" si="78"/>
        <v>0</v>
      </c>
      <c r="O553" s="2381">
        <f t="shared" ref="O553:O555" si="82">K553*G553</f>
        <v>0</v>
      </c>
      <c r="P553" s="2408"/>
    </row>
    <row r="554" spans="1:16" s="2358" customFormat="1" outlineLevel="1">
      <c r="A554" s="2361" t="str">
        <f t="shared" si="79"/>
        <v xml:space="preserve">Nối thẳng ống PVC 90 </v>
      </c>
      <c r="B554" s="2383" t="s">
        <v>725</v>
      </c>
      <c r="C554" s="2380"/>
      <c r="D554" s="2373">
        <v>0</v>
      </c>
      <c r="E554" s="2374" t="s">
        <v>3573</v>
      </c>
      <c r="F554" s="2373" t="s">
        <v>2563</v>
      </c>
      <c r="G554" s="2444">
        <f>G542*0</f>
        <v>0</v>
      </c>
      <c r="H554" s="2376">
        <v>12400</v>
      </c>
      <c r="I554" s="2381"/>
      <c r="J554" s="2376">
        <v>0</v>
      </c>
      <c r="K554" s="2376">
        <v>0</v>
      </c>
      <c r="L554" s="2382">
        <f t="shared" si="80"/>
        <v>0</v>
      </c>
      <c r="M554" s="2382">
        <f t="shared" si="81"/>
        <v>0</v>
      </c>
      <c r="N554" s="2382">
        <f t="shared" si="78"/>
        <v>0</v>
      </c>
      <c r="O554" s="2381">
        <f t="shared" si="82"/>
        <v>0</v>
      </c>
      <c r="P554" s="2408"/>
    </row>
    <row r="555" spans="1:16" s="2358" customFormat="1" outlineLevel="1">
      <c r="A555" s="2361" t="str">
        <f t="shared" si="79"/>
        <v>Keo dán ống PVC (100gr)</v>
      </c>
      <c r="B555" s="2383" t="s">
        <v>2080</v>
      </c>
      <c r="C555" s="2380"/>
      <c r="D555" s="2373">
        <v>0</v>
      </c>
      <c r="E555" s="2374" t="s">
        <v>3588</v>
      </c>
      <c r="F555" s="2373" t="s">
        <v>3589</v>
      </c>
      <c r="G555" s="2444">
        <f>G542</f>
        <v>0</v>
      </c>
      <c r="H555" s="2376">
        <v>11500</v>
      </c>
      <c r="I555" s="2381"/>
      <c r="J555" s="2376">
        <v>0</v>
      </c>
      <c r="K555" s="2376">
        <v>0</v>
      </c>
      <c r="L555" s="2382">
        <f t="shared" si="80"/>
        <v>0</v>
      </c>
      <c r="M555" s="2382">
        <f t="shared" si="81"/>
        <v>0</v>
      </c>
      <c r="N555" s="2382">
        <f t="shared" si="78"/>
        <v>0</v>
      </c>
      <c r="O555" s="2381">
        <f t="shared" si="82"/>
        <v>0</v>
      </c>
      <c r="P555" s="2408"/>
    </row>
    <row r="556" spans="1:16" s="2358" customFormat="1" outlineLevel="1">
      <c r="A556" s="2361" t="str">
        <f t="shared" si="79"/>
        <v>Keo silicon bít miệng ống</v>
      </c>
      <c r="B556" s="2383" t="s">
        <v>489</v>
      </c>
      <c r="C556" s="2380"/>
      <c r="D556" s="2373">
        <v>0</v>
      </c>
      <c r="E556" s="2374" t="s">
        <v>3585</v>
      </c>
      <c r="F556" s="2373" t="s">
        <v>5868</v>
      </c>
      <c r="G556" s="2444">
        <f>G542</f>
        <v>0</v>
      </c>
      <c r="H556" s="2376">
        <v>45000</v>
      </c>
      <c r="I556" s="2381"/>
      <c r="J556" s="2376">
        <v>0</v>
      </c>
      <c r="K556" s="2376">
        <v>0</v>
      </c>
      <c r="L556" s="2382">
        <f>H556*G556</f>
        <v>0</v>
      </c>
      <c r="M556" s="2382">
        <f>I556*G556</f>
        <v>0</v>
      </c>
      <c r="N556" s="2382">
        <f>J556*G556</f>
        <v>0</v>
      </c>
      <c r="O556" s="2381">
        <f>K556*G556</f>
        <v>0</v>
      </c>
      <c r="P556" s="2408"/>
    </row>
    <row r="557" spans="1:16" s="2358" customFormat="1" outlineLevel="1">
      <c r="A557" s="2361" t="str">
        <f t="shared" si="79"/>
        <v>Băng keo cách điện</v>
      </c>
      <c r="B557" s="2386" t="s">
        <v>672</v>
      </c>
      <c r="C557" s="2380"/>
      <c r="D557" s="2403"/>
      <c r="E557" s="2374" t="s">
        <v>5863</v>
      </c>
      <c r="F557" s="2373" t="s">
        <v>3584</v>
      </c>
      <c r="G557" s="2444">
        <f>G542</f>
        <v>0</v>
      </c>
      <c r="H557" s="2376">
        <v>6500</v>
      </c>
      <c r="I557" s="2381"/>
      <c r="J557" s="2376">
        <v>0</v>
      </c>
      <c r="K557" s="2376">
        <v>0</v>
      </c>
      <c r="L557" s="2382">
        <f>H557*G557</f>
        <v>0</v>
      </c>
      <c r="M557" s="2382">
        <f>I557*G557</f>
        <v>0</v>
      </c>
      <c r="N557" s="2382">
        <f>J557*G557</f>
        <v>0</v>
      </c>
      <c r="O557" s="2381">
        <f>K557*G557</f>
        <v>0</v>
      </c>
      <c r="P557" s="2408"/>
    </row>
    <row r="558" spans="1:16" s="2358" customFormat="1" outlineLevel="1">
      <c r="A558" s="2361" t="str">
        <f t="shared" si="79"/>
        <v>Lắp ống nhựa PVC D90</v>
      </c>
      <c r="B558" s="2383" t="s">
        <v>2188</v>
      </c>
      <c r="C558" s="2380"/>
      <c r="D558" s="2373" t="s">
        <v>5609</v>
      </c>
      <c r="E558" s="2374" t="s">
        <v>3270</v>
      </c>
      <c r="F558" s="2373" t="s">
        <v>2538</v>
      </c>
      <c r="G558" s="2444">
        <f>G551</f>
        <v>0</v>
      </c>
      <c r="H558" s="2376"/>
      <c r="I558" s="2381"/>
      <c r="J558" s="2376">
        <v>55493.02</v>
      </c>
      <c r="K558" s="2376">
        <v>0</v>
      </c>
      <c r="L558" s="2382">
        <f>H558*G558</f>
        <v>0</v>
      </c>
      <c r="M558" s="2382">
        <f>I558*G558</f>
        <v>0</v>
      </c>
      <c r="N558" s="2382">
        <f>J558*G558</f>
        <v>0</v>
      </c>
      <c r="O558" s="2381">
        <f>K558*G558</f>
        <v>0</v>
      </c>
      <c r="P558" s="2408"/>
    </row>
    <row r="559" spans="1:16" s="2358" customFormat="1" outlineLevel="1">
      <c r="A559" s="2361" t="str">
        <f t="shared" si="79"/>
        <v>Lắp cáp đồng xuống thiết bị D ≤ 150mm2</v>
      </c>
      <c r="B559" s="2386" t="s">
        <v>2010</v>
      </c>
      <c r="C559" s="2380"/>
      <c r="D559" s="2373" t="s">
        <v>5634</v>
      </c>
      <c r="E559" s="2374" t="s">
        <v>3311</v>
      </c>
      <c r="F559" s="2373" t="s">
        <v>1827</v>
      </c>
      <c r="G559" s="2444">
        <f>G544+G545</f>
        <v>0</v>
      </c>
      <c r="H559" s="2376"/>
      <c r="I559" s="2381"/>
      <c r="J559" s="2376">
        <v>33396</v>
      </c>
      <c r="K559" s="2376">
        <v>0</v>
      </c>
      <c r="L559" s="2382">
        <f>H559*G559</f>
        <v>0</v>
      </c>
      <c r="M559" s="2382">
        <f>I559*G559</f>
        <v>0</v>
      </c>
      <c r="N559" s="2382">
        <f>J559*G559</f>
        <v>0</v>
      </c>
      <c r="O559" s="2381">
        <f>K559*G559</f>
        <v>0</v>
      </c>
      <c r="P559" s="2408"/>
    </row>
    <row r="560" spans="1:16" s="2358" customFormat="1" outlineLevel="1">
      <c r="A560" s="2361" t="str">
        <f t="shared" si="79"/>
        <v>Bảng tên trạm, bảng báo nguy hiểm + đinh vít</v>
      </c>
      <c r="B560" s="2383" t="s">
        <v>289</v>
      </c>
      <c r="C560" s="2413">
        <f>IF(G560&gt;0,C542+1,C542)</f>
        <v>0</v>
      </c>
      <c r="D560" s="2414"/>
      <c r="E560" s="2374" t="s">
        <v>5774</v>
      </c>
      <c r="F560" s="2373" t="s">
        <v>2563</v>
      </c>
      <c r="G560" s="2448">
        <f>G501</f>
        <v>0</v>
      </c>
      <c r="H560" s="2376">
        <v>300000</v>
      </c>
      <c r="I560" s="2416"/>
      <c r="J560" s="2376">
        <v>0</v>
      </c>
      <c r="K560" s="2376">
        <v>0</v>
      </c>
      <c r="L560" s="2415">
        <f>H560*G560</f>
        <v>0</v>
      </c>
      <c r="M560" s="2415">
        <f>I560*G560</f>
        <v>0</v>
      </c>
      <c r="N560" s="2415">
        <f>J560*G560</f>
        <v>0</v>
      </c>
      <c r="O560" s="2416">
        <f>K560*G560</f>
        <v>0</v>
      </c>
      <c r="P560" s="2432"/>
    </row>
    <row r="561" spans="1:16" s="2358" customFormat="1" outlineLevel="1">
      <c r="A561" s="2361" t="e">
        <f t="shared" si="79"/>
        <v>#N/A</v>
      </c>
      <c r="B561" s="2383"/>
      <c r="C561" s="2418"/>
      <c r="D561" s="2419"/>
      <c r="E561" s="2392"/>
      <c r="F561" s="2875"/>
      <c r="G561" s="2875"/>
      <c r="H561" s="2875"/>
      <c r="I561" s="2875"/>
      <c r="J561" s="2911" t="s">
        <v>6205</v>
      </c>
      <c r="K561" s="2911"/>
      <c r="L561" s="2420">
        <f>SUM(L489:L560)</f>
        <v>0</v>
      </c>
      <c r="M561" s="2420"/>
      <c r="N561" s="2420">
        <f>SUM(N489:N560)</f>
        <v>0</v>
      </c>
      <c r="O561" s="2420">
        <f>SUM(O489:O560)</f>
        <v>0</v>
      </c>
      <c r="P561" s="2423"/>
    </row>
    <row r="562" spans="1:16" s="2358" customFormat="1" ht="13.8" customHeight="1">
      <c r="A562" s="2402" t="str">
        <f>IF(G567&lt;&gt;0,1,"")</f>
        <v/>
      </c>
      <c r="B562" s="2383"/>
      <c r="C562" s="2876"/>
      <c r="D562" s="2880"/>
      <c r="E562" s="2442"/>
    </row>
    <row r="563" spans="1:16" s="2358" customFormat="1" outlineLevel="1">
      <c r="A563" s="2361" t="e">
        <f t="shared" ref="A563:A594" si="83">VLOOKUP(B563,DonGia,3,0)</f>
        <v>#N/A</v>
      </c>
      <c r="B563" s="2383"/>
      <c r="C563" s="2397" t="str">
        <f>" BẢNG TỔNG HỢP VẬT LIỆU, NHÂN CÔNG, MÁY THI CÔNG: "&amp;K6&amp;" TRẠM 3P 3x15KVA"</f>
        <v xml:space="preserve"> BẢNG TỔNG HỢP VẬT LIỆU, NHÂN CÔNG, MÁY THI CÔNG: 0 TRẠM 3P 3x15KVA</v>
      </c>
      <c r="D563" s="2878"/>
      <c r="E563" s="2397"/>
      <c r="F563" s="2397"/>
      <c r="G563" s="2397"/>
      <c r="H563" s="2397"/>
      <c r="I563" s="2397"/>
      <c r="J563" s="2397"/>
      <c r="K563" s="2397"/>
      <c r="L563" s="2397"/>
      <c r="M563" s="2397"/>
      <c r="N563" s="2397"/>
      <c r="O563" s="2397"/>
    </row>
    <row r="564" spans="1:16" s="2358" customFormat="1" outlineLevel="1">
      <c r="A564" s="2361" t="e">
        <f t="shared" si="83"/>
        <v>#N/A</v>
      </c>
      <c r="B564" s="2383" t="s">
        <v>6186</v>
      </c>
      <c r="C564" s="2901" t="s">
        <v>1712</v>
      </c>
      <c r="D564" s="2902" t="s">
        <v>2605</v>
      </c>
      <c r="E564" s="2904" t="s">
        <v>2606</v>
      </c>
      <c r="F564" s="2901" t="s">
        <v>2601</v>
      </c>
      <c r="G564" s="2362" t="s">
        <v>6187</v>
      </c>
      <c r="H564" s="2365" t="s">
        <v>6188</v>
      </c>
      <c r="I564" s="2872"/>
      <c r="J564" s="2872"/>
      <c r="K564" s="2873"/>
      <c r="L564" s="2365" t="s">
        <v>6189</v>
      </c>
      <c r="M564" s="2872"/>
      <c r="N564" s="2872"/>
      <c r="O564" s="2873"/>
      <c r="P564" s="2901" t="s">
        <v>2607</v>
      </c>
    </row>
    <row r="565" spans="1:16" s="2358" customFormat="1" outlineLevel="1">
      <c r="A565" s="2361" t="e">
        <f t="shared" si="83"/>
        <v>#N/A</v>
      </c>
      <c r="B565" s="2383"/>
      <c r="C565" s="2901"/>
      <c r="D565" s="2903"/>
      <c r="E565" s="2905"/>
      <c r="F565" s="2901"/>
      <c r="G565" s="2364" t="s">
        <v>2292</v>
      </c>
      <c r="H565" s="2365" t="s">
        <v>6190</v>
      </c>
      <c r="I565" s="2365" t="s">
        <v>6191</v>
      </c>
      <c r="J565" s="2365" t="s">
        <v>6192</v>
      </c>
      <c r="K565" s="2365" t="s">
        <v>6193</v>
      </c>
      <c r="L565" s="2365" t="s">
        <v>6190</v>
      </c>
      <c r="M565" s="2365" t="s">
        <v>6191</v>
      </c>
      <c r="N565" s="2365" t="s">
        <v>6192</v>
      </c>
      <c r="O565" s="2365" t="s">
        <v>6193</v>
      </c>
      <c r="P565" s="2901"/>
    </row>
    <row r="566" spans="1:16" s="2358" customFormat="1" outlineLevel="1">
      <c r="A566" s="2361" t="e">
        <f t="shared" si="83"/>
        <v>#N/A</v>
      </c>
      <c r="B566" s="2383"/>
      <c r="C566" s="2366"/>
      <c r="D566" s="2367"/>
      <c r="E566" s="2368" t="s">
        <v>3690</v>
      </c>
      <c r="F566" s="2369"/>
      <c r="G566" s="2369"/>
      <c r="H566" s="2369"/>
      <c r="I566" s="2369"/>
      <c r="J566" s="2369"/>
      <c r="K566" s="2369"/>
      <c r="L566" s="2369"/>
      <c r="M566" s="2369"/>
      <c r="N566" s="2369"/>
      <c r="O566" s="2367"/>
      <c r="P566" s="2370"/>
    </row>
    <row r="567" spans="1:16" s="2358" customFormat="1" outlineLevel="1">
      <c r="A567" s="2361" t="str">
        <f t="shared" si="83"/>
        <v>Máy biến áp 12,7/0,22-0,44kV  15kVA</v>
      </c>
      <c r="B567" s="2371" t="str">
        <f>IF($F$8=22,"TR151","TR15")</f>
        <v>TR151</v>
      </c>
      <c r="C567" s="2372">
        <f>IF(G567&gt;0,1,0)</f>
        <v>0</v>
      </c>
      <c r="D567" s="2373" t="s">
        <v>5645</v>
      </c>
      <c r="E567" s="2374" t="s">
        <v>3324</v>
      </c>
      <c r="F567" s="2373" t="s">
        <v>3318</v>
      </c>
      <c r="G567" s="2421">
        <f>$K$6*3</f>
        <v>0</v>
      </c>
      <c r="H567" s="2376">
        <v>25444000</v>
      </c>
      <c r="I567" s="2376"/>
      <c r="J567" s="2376">
        <v>546322</v>
      </c>
      <c r="K567" s="2376">
        <v>284508</v>
      </c>
      <c r="L567" s="2382">
        <f t="shared" ref="L567:L572" si="84">H567*G567</f>
        <v>0</v>
      </c>
      <c r="M567" s="2382">
        <f t="shared" ref="M567:M572" si="85">I567*G567</f>
        <v>0</v>
      </c>
      <c r="N567" s="2382">
        <f t="shared" ref="N567:N572" si="86">J567*G567</f>
        <v>0</v>
      </c>
      <c r="O567" s="2381">
        <f t="shared" ref="O567:O572" si="87">K567*G567</f>
        <v>0</v>
      </c>
      <c r="P567" s="2408"/>
    </row>
    <row r="568" spans="1:16" s="2358" customFormat="1" outlineLevel="1">
      <c r="A568" s="2361" t="str">
        <f t="shared" si="83"/>
        <v>FCO 27kV - 100A</v>
      </c>
      <c r="B568" s="2371" t="str">
        <f>"FCO100-"&amp;$F$8</f>
        <v>FCO100-22</v>
      </c>
      <c r="C568" s="2380">
        <f>IF(G568&gt;0,C567+1,C567)</f>
        <v>0</v>
      </c>
      <c r="D568" s="2373" t="s">
        <v>5660</v>
      </c>
      <c r="E568" s="2374" t="s">
        <v>95</v>
      </c>
      <c r="F568" s="2373" t="s">
        <v>2563</v>
      </c>
      <c r="G568" s="2380">
        <f>+G567</f>
        <v>0</v>
      </c>
      <c r="H568" s="2376">
        <v>2244280</v>
      </c>
      <c r="I568" s="2376"/>
      <c r="J568" s="2376">
        <v>222639.99999999997</v>
      </c>
      <c r="K568" s="2376">
        <v>0</v>
      </c>
      <c r="L568" s="2382">
        <f t="shared" si="84"/>
        <v>0</v>
      </c>
      <c r="M568" s="2382">
        <f t="shared" si="85"/>
        <v>0</v>
      </c>
      <c r="N568" s="2382">
        <f t="shared" si="86"/>
        <v>0</v>
      </c>
      <c r="O568" s="2381">
        <f t="shared" si="87"/>
        <v>0</v>
      </c>
      <c r="P568" s="2408"/>
    </row>
    <row r="569" spans="1:16" s="2358" customFormat="1" outlineLevel="1">
      <c r="A569" s="2361" t="str">
        <f t="shared" si="83"/>
        <v>Dây chảy 3K</v>
      </c>
      <c r="B569" s="2371" t="str">
        <f>IF($F$8=22,"CHI3K","CHI6K")</f>
        <v>CHI3K</v>
      </c>
      <c r="C569" s="2380">
        <f>IF(G569&gt;0,C568+1,C568)</f>
        <v>0</v>
      </c>
      <c r="D569" s="2373">
        <v>0</v>
      </c>
      <c r="E569" s="2374" t="s">
        <v>3440</v>
      </c>
      <c r="F569" s="2373" t="s">
        <v>2608</v>
      </c>
      <c r="G569" s="2380">
        <f>G568</f>
        <v>0</v>
      </c>
      <c r="H569" s="2376">
        <v>84000</v>
      </c>
      <c r="I569" s="2376"/>
      <c r="J569" s="2376">
        <v>0</v>
      </c>
      <c r="K569" s="2376">
        <v>0</v>
      </c>
      <c r="L569" s="2382">
        <f t="shared" si="84"/>
        <v>0</v>
      </c>
      <c r="M569" s="2382">
        <f t="shared" si="85"/>
        <v>0</v>
      </c>
      <c r="N569" s="2382">
        <f t="shared" si="86"/>
        <v>0</v>
      </c>
      <c r="O569" s="2381">
        <f t="shared" si="87"/>
        <v>0</v>
      </c>
      <c r="P569" s="2408"/>
    </row>
    <row r="570" spans="1:16" s="2358" customFormat="1" outlineLevel="1">
      <c r="A570" s="2361" t="str">
        <f t="shared" si="83"/>
        <v>Chống sét van LA-18KV-10KA</v>
      </c>
      <c r="B570" s="2383" t="str">
        <f>"LA"&amp;$F$6</f>
        <v>LA18</v>
      </c>
      <c r="C570" s="2380">
        <f>IF(G570&gt;0,C569+1,C569)</f>
        <v>0</v>
      </c>
      <c r="D570" s="2373" t="s">
        <v>5664</v>
      </c>
      <c r="E570" s="2374" t="s">
        <v>1193</v>
      </c>
      <c r="F570" s="2373" t="s">
        <v>2563</v>
      </c>
      <c r="G570" s="2380">
        <f>G568</f>
        <v>0</v>
      </c>
      <c r="H570" s="2376">
        <v>1106000</v>
      </c>
      <c r="I570" s="2376"/>
      <c r="J570" s="2376">
        <v>83490</v>
      </c>
      <c r="K570" s="2376">
        <v>0</v>
      </c>
      <c r="L570" s="2382">
        <f t="shared" si="84"/>
        <v>0</v>
      </c>
      <c r="M570" s="2382">
        <f t="shared" si="85"/>
        <v>0</v>
      </c>
      <c r="N570" s="2382">
        <f t="shared" si="86"/>
        <v>0</v>
      </c>
      <c r="O570" s="2381">
        <f t="shared" si="87"/>
        <v>0</v>
      </c>
      <c r="P570" s="2408"/>
    </row>
    <row r="571" spans="1:16" s="2358" customFormat="1" outlineLevel="1">
      <c r="A571" s="2361" t="str">
        <f t="shared" si="83"/>
        <v>MCCB 3 cực 400V-75A - 10KA</v>
      </c>
      <c r="B571" s="2385" t="s">
        <v>81</v>
      </c>
      <c r="C571" s="2380">
        <f>IF(G571&gt;0,C570+1,C570)</f>
        <v>0</v>
      </c>
      <c r="D571" s="2373">
        <v>0</v>
      </c>
      <c r="E571" s="2374" t="s">
        <v>5741</v>
      </c>
      <c r="F571" s="2373" t="s">
        <v>2563</v>
      </c>
      <c r="G571" s="2380">
        <f>G567/3</f>
        <v>0</v>
      </c>
      <c r="H571" s="2376">
        <v>2616000</v>
      </c>
      <c r="I571" s="2376"/>
      <c r="J571" s="2376">
        <v>0</v>
      </c>
      <c r="K571" s="2376">
        <v>0</v>
      </c>
      <c r="L571" s="2382">
        <f t="shared" si="84"/>
        <v>0</v>
      </c>
      <c r="M571" s="2382">
        <f t="shared" si="85"/>
        <v>0</v>
      </c>
      <c r="N571" s="2382">
        <f t="shared" si="86"/>
        <v>0</v>
      </c>
      <c r="O571" s="2381">
        <f t="shared" si="87"/>
        <v>0</v>
      </c>
      <c r="P571" s="2408"/>
    </row>
    <row r="572" spans="1:16" s="2358" customFormat="1" outlineLevel="1">
      <c r="A572" s="2361" t="str">
        <f t="shared" si="83"/>
        <v>Điện kế 3 pha 4 dây 220/380V-50(100)A</v>
      </c>
      <c r="B572" s="2386" t="s">
        <v>1394</v>
      </c>
      <c r="C572" s="2380">
        <f>IF(G572&gt;0,C571+1,C571)</f>
        <v>0</v>
      </c>
      <c r="D572" s="2373">
        <v>0</v>
      </c>
      <c r="E572" s="2374" t="s">
        <v>3458</v>
      </c>
      <c r="F572" s="2373" t="s">
        <v>2563</v>
      </c>
      <c r="G572" s="2380">
        <f>G569/3</f>
        <v>0</v>
      </c>
      <c r="H572" s="2376"/>
      <c r="I572" s="2376"/>
      <c r="J572" s="2376"/>
      <c r="K572" s="2376">
        <v>0</v>
      </c>
      <c r="L572" s="2382">
        <f t="shared" si="84"/>
        <v>0</v>
      </c>
      <c r="M572" s="2382">
        <f t="shared" si="85"/>
        <v>0</v>
      </c>
      <c r="N572" s="2382">
        <f t="shared" si="86"/>
        <v>0</v>
      </c>
      <c r="O572" s="2381">
        <f t="shared" si="87"/>
        <v>0</v>
      </c>
      <c r="P572" s="2432" t="s">
        <v>2609</v>
      </c>
    </row>
    <row r="573" spans="1:16" s="2358" customFormat="1" outlineLevel="1">
      <c r="A573" s="2361" t="e">
        <f t="shared" si="83"/>
        <v>#N/A</v>
      </c>
      <c r="B573" s="2383"/>
      <c r="C573" s="2388"/>
      <c r="D573" s="2449"/>
      <c r="E573" s="2370"/>
      <c r="F573" s="2388"/>
      <c r="G573" s="2388"/>
      <c r="H573" s="2388"/>
      <c r="I573" s="2388"/>
      <c r="J573" s="2370" t="s">
        <v>6195</v>
      </c>
      <c r="K573" s="2388"/>
      <c r="L573" s="2370">
        <f>SUM(L567:L572)</f>
        <v>0</v>
      </c>
      <c r="M573" s="2370"/>
      <c r="N573" s="2370">
        <f>SUM(N567:N572)</f>
        <v>0</v>
      </c>
      <c r="O573" s="2370">
        <f>SUM(O567:O572)</f>
        <v>0</v>
      </c>
      <c r="P573" s="2450"/>
    </row>
    <row r="574" spans="1:16" s="2358" customFormat="1" outlineLevel="1">
      <c r="A574" s="2361" t="e">
        <f t="shared" si="83"/>
        <v>#N/A</v>
      </c>
      <c r="B574" s="2383"/>
      <c r="C574" s="2390"/>
      <c r="D574" s="2451"/>
      <c r="E574" s="2392" t="s">
        <v>3691</v>
      </c>
      <c r="F574" s="2392"/>
      <c r="G574" s="2392"/>
      <c r="H574" s="2392"/>
      <c r="I574" s="2392"/>
      <c r="J574" s="2392"/>
      <c r="K574" s="2392"/>
      <c r="L574" s="2392"/>
      <c r="M574" s="2392"/>
      <c r="N574" s="2392"/>
      <c r="O574" s="2391"/>
      <c r="P574" s="2423"/>
    </row>
    <row r="575" spans="1:16" s="2358" customFormat="1" outlineLevel="1">
      <c r="A575" s="2361" t="e">
        <f t="shared" si="83"/>
        <v>#N/A</v>
      </c>
      <c r="B575" s="2383"/>
      <c r="C575" s="2396">
        <f>IF(G575&gt;0,1,0)</f>
        <v>0</v>
      </c>
      <c r="D575" s="2452"/>
      <c r="E575" s="2453" t="s">
        <v>3710</v>
      </c>
      <c r="F575" s="2396" t="s">
        <v>2391</v>
      </c>
      <c r="G575" s="2396">
        <f>G567/3</f>
        <v>0</v>
      </c>
      <c r="H575" s="2454"/>
      <c r="I575" s="2454"/>
      <c r="J575" s="2454"/>
      <c r="K575" s="2454"/>
      <c r="L575" s="2454"/>
      <c r="M575" s="2454"/>
      <c r="N575" s="2454"/>
      <c r="O575" s="2396"/>
      <c r="P575" s="2422"/>
    </row>
    <row r="576" spans="1:16" s="2358" customFormat="1" ht="14.4" outlineLevel="1">
      <c r="A576" s="2361" t="e">
        <f t="shared" si="83"/>
        <v>#N/A</v>
      </c>
      <c r="B576" s="2383"/>
      <c r="C576" s="2395"/>
      <c r="D576" s="2455"/>
      <c r="E576" s="2425" t="s">
        <v>6207</v>
      </c>
      <c r="F576" s="2380"/>
      <c r="G576" s="2380"/>
      <c r="H576" s="2456"/>
      <c r="I576" s="2456"/>
      <c r="J576" s="2456"/>
      <c r="K576" s="2456"/>
      <c r="L576" s="2456"/>
      <c r="M576" s="2456"/>
      <c r="N576" s="2456"/>
      <c r="O576" s="2457"/>
      <c r="P576" s="2408"/>
    </row>
    <row r="577" spans="1:18" s="2358" customFormat="1" outlineLevel="1">
      <c r="A577" s="2361" t="str">
        <f t="shared" si="83"/>
        <v>Giá chùm treo máy biến áp 3x15</v>
      </c>
      <c r="B577" s="2386" t="s">
        <v>1589</v>
      </c>
      <c r="C577" s="2395"/>
      <c r="D577" s="2373">
        <v>0</v>
      </c>
      <c r="E577" s="2374" t="s">
        <v>5776</v>
      </c>
      <c r="F577" s="2373" t="s">
        <v>3475</v>
      </c>
      <c r="G577" s="2404">
        <f>G575*24.13*0+1*G575</f>
        <v>0</v>
      </c>
      <c r="H577" s="2376">
        <v>563000</v>
      </c>
      <c r="I577" s="2387"/>
      <c r="J577" s="2376">
        <v>0</v>
      </c>
      <c r="K577" s="2376">
        <v>0</v>
      </c>
      <c r="L577" s="2382">
        <f>H577*G577</f>
        <v>0</v>
      </c>
      <c r="M577" s="2382">
        <f t="shared" ref="M577:M651" si="88">I577*G577</f>
        <v>0</v>
      </c>
      <c r="N577" s="2382">
        <f>J577*G575</f>
        <v>0</v>
      </c>
      <c r="O577" s="2381">
        <f t="shared" ref="O577:O651" si="89">K577*G577</f>
        <v>0</v>
      </c>
      <c r="P577" s="2408"/>
    </row>
    <row r="578" spans="1:18" s="2358" customFormat="1" outlineLevel="1">
      <c r="A578" s="2361" t="str">
        <f t="shared" si="83"/>
        <v>Boulon 16x50+ 2 long đền vuông D18-50x50x3/Zn</v>
      </c>
      <c r="B578" s="2383" t="s">
        <v>1790</v>
      </c>
      <c r="C578" s="2395"/>
      <c r="D578" s="2373">
        <v>0</v>
      </c>
      <c r="E578" s="2374" t="s">
        <v>2647</v>
      </c>
      <c r="F578" s="2373" t="s">
        <v>2445</v>
      </c>
      <c r="G578" s="2380">
        <f>6*G575</f>
        <v>0</v>
      </c>
      <c r="H578" s="2376">
        <v>12400</v>
      </c>
      <c r="I578" s="2387"/>
      <c r="J578" s="2376">
        <v>0</v>
      </c>
      <c r="K578" s="2376">
        <v>0</v>
      </c>
      <c r="L578" s="2382">
        <f t="shared" ref="L578:L651" si="90">H578*G578</f>
        <v>0</v>
      </c>
      <c r="M578" s="2382">
        <f t="shared" si="88"/>
        <v>0</v>
      </c>
      <c r="N578" s="2382">
        <f t="shared" ref="N578:N651" si="91">J578*G578</f>
        <v>0</v>
      </c>
      <c r="O578" s="2381">
        <f t="shared" si="89"/>
        <v>0</v>
      </c>
      <c r="P578" s="2408"/>
    </row>
    <row r="579" spans="1:18" s="2358" customFormat="1" outlineLevel="1">
      <c r="A579" s="2361" t="str">
        <f t="shared" si="83"/>
        <v>Boulon 16x300+ 2 long đền vuông D18-50x50x3/Zn</v>
      </c>
      <c r="B579" s="2383" t="s">
        <v>1613</v>
      </c>
      <c r="C579" s="2395"/>
      <c r="D579" s="2373">
        <v>0</v>
      </c>
      <c r="E579" s="2374" t="s">
        <v>2657</v>
      </c>
      <c r="F579" s="2373" t="s">
        <v>2445</v>
      </c>
      <c r="G579" s="2380">
        <f>2*G575</f>
        <v>0</v>
      </c>
      <c r="H579" s="2376">
        <v>25400</v>
      </c>
      <c r="I579" s="2387"/>
      <c r="J579" s="2376">
        <v>0</v>
      </c>
      <c r="K579" s="2376">
        <v>0</v>
      </c>
      <c r="L579" s="2382">
        <f t="shared" si="90"/>
        <v>0</v>
      </c>
      <c r="M579" s="2382">
        <f t="shared" si="88"/>
        <v>0</v>
      </c>
      <c r="N579" s="2382">
        <f t="shared" si="91"/>
        <v>0</v>
      </c>
      <c r="O579" s="2381">
        <f t="shared" si="89"/>
        <v>0</v>
      </c>
      <c r="P579" s="2408"/>
    </row>
    <row r="580" spans="1:18" s="2358" customFormat="1" outlineLevel="1">
      <c r="A580" s="2361" t="e">
        <f t="shared" si="83"/>
        <v>#N/A</v>
      </c>
      <c r="B580" s="2383"/>
      <c r="C580" s="2398">
        <f>IF(G580&gt;0,C575+1,C575)</f>
        <v>0</v>
      </c>
      <c r="D580" s="2399"/>
      <c r="E580" s="2400" t="s">
        <v>6212</v>
      </c>
      <c r="F580" s="2395" t="s">
        <v>2391</v>
      </c>
      <c r="G580" s="2395"/>
      <c r="H580" s="2381"/>
      <c r="I580" s="2381"/>
      <c r="J580" s="2381"/>
      <c r="K580" s="2381"/>
      <c r="L580" s="2382">
        <f t="shared" si="90"/>
        <v>0</v>
      </c>
      <c r="M580" s="2382">
        <f t="shared" si="88"/>
        <v>0</v>
      </c>
      <c r="N580" s="2382">
        <f t="shared" si="91"/>
        <v>0</v>
      </c>
      <c r="O580" s="2381">
        <f t="shared" si="89"/>
        <v>0</v>
      </c>
      <c r="P580" s="2380"/>
    </row>
    <row r="581" spans="1:18" s="2358" customFormat="1" ht="14.4" outlineLevel="1">
      <c r="A581" s="2361" t="e">
        <f t="shared" si="83"/>
        <v>#N/A</v>
      </c>
      <c r="B581" s="2383"/>
      <c r="C581" s="2395"/>
      <c r="D581" s="2399"/>
      <c r="E581" s="2401" t="s">
        <v>6207</v>
      </c>
      <c r="F581" s="2380"/>
      <c r="G581" s="2380"/>
      <c r="H581" s="2381"/>
      <c r="I581" s="2381"/>
      <c r="J581" s="2381"/>
      <c r="K581" s="2381"/>
      <c r="L581" s="2382">
        <f t="shared" si="90"/>
        <v>0</v>
      </c>
      <c r="M581" s="2382">
        <f t="shared" si="88"/>
        <v>0</v>
      </c>
      <c r="N581" s="2382">
        <f t="shared" si="91"/>
        <v>0</v>
      </c>
      <c r="O581" s="2381">
        <f t="shared" si="89"/>
        <v>0</v>
      </c>
      <c r="P581" s="2380"/>
      <c r="R581" s="2402"/>
    </row>
    <row r="582" spans="1:18" s="2358" customFormat="1" outlineLevel="1">
      <c r="A582" s="2361" t="str">
        <f t="shared" si="83"/>
        <v>Trụ BTLT 12m F350 dự ứng lực</v>
      </c>
      <c r="B582" s="2386" t="s">
        <v>115</v>
      </c>
      <c r="C582" s="2380"/>
      <c r="D582" s="2373">
        <v>0</v>
      </c>
      <c r="E582" s="2374" t="s">
        <v>3009</v>
      </c>
      <c r="F582" s="2373" t="s">
        <v>2839</v>
      </c>
      <c r="G582" s="2380">
        <f>1*G580</f>
        <v>0</v>
      </c>
      <c r="H582" s="2376">
        <v>4400000</v>
      </c>
      <c r="I582" s="2376"/>
      <c r="J582" s="2376">
        <v>0</v>
      </c>
      <c r="K582" s="2376">
        <v>0</v>
      </c>
      <c r="L582" s="2382">
        <f t="shared" si="90"/>
        <v>0</v>
      </c>
      <c r="M582" s="2382">
        <f t="shared" si="88"/>
        <v>0</v>
      </c>
      <c r="N582" s="2382">
        <f t="shared" si="91"/>
        <v>0</v>
      </c>
      <c r="O582" s="2381">
        <f t="shared" si="89"/>
        <v>0</v>
      </c>
      <c r="P582" s="2380"/>
      <c r="R582" s="2402"/>
    </row>
    <row r="583" spans="1:18" s="2358" customFormat="1" outlineLevel="1">
      <c r="A583" s="2361" t="str">
        <f t="shared" si="83"/>
        <v>Vật liệu dựng trụ</v>
      </c>
      <c r="B583" s="2386" t="s">
        <v>1818</v>
      </c>
      <c r="C583" s="2380"/>
      <c r="D583" s="2403"/>
      <c r="E583" s="2374" t="s">
        <v>2838</v>
      </c>
      <c r="F583" s="2373" t="s">
        <v>2839</v>
      </c>
      <c r="G583" s="2380">
        <f>G582</f>
        <v>0</v>
      </c>
      <c r="H583" s="2376">
        <v>17400</v>
      </c>
      <c r="I583" s="2376"/>
      <c r="J583" s="2376">
        <v>0</v>
      </c>
      <c r="K583" s="2376">
        <v>0</v>
      </c>
      <c r="L583" s="2382">
        <f t="shared" si="90"/>
        <v>0</v>
      </c>
      <c r="M583" s="2382">
        <f t="shared" si="88"/>
        <v>0</v>
      </c>
      <c r="N583" s="2382">
        <f t="shared" si="91"/>
        <v>0</v>
      </c>
      <c r="O583" s="2381">
        <f t="shared" si="89"/>
        <v>0</v>
      </c>
      <c r="P583" s="2380"/>
      <c r="R583" s="2402"/>
    </row>
    <row r="584" spans="1:18" s="2358" customFormat="1" outlineLevel="1">
      <c r="A584" s="2361" t="str">
        <f t="shared" si="83"/>
        <v>Dựng trụ BTLT 12m trong TBA bằng thủ công + cơ giới</v>
      </c>
      <c r="B584" s="2386" t="s">
        <v>2132</v>
      </c>
      <c r="C584" s="2380"/>
      <c r="D584" s="2403"/>
      <c r="E584" s="2374" t="s">
        <v>3185</v>
      </c>
      <c r="F584" s="2373" t="s">
        <v>2839</v>
      </c>
      <c r="G584" s="2380">
        <f>G582</f>
        <v>0</v>
      </c>
      <c r="H584" s="2376">
        <v>0</v>
      </c>
      <c r="I584" s="2376"/>
      <c r="J584" s="2376">
        <v>112286</v>
      </c>
      <c r="K584" s="2376">
        <v>105970</v>
      </c>
      <c r="L584" s="2382">
        <f t="shared" si="90"/>
        <v>0</v>
      </c>
      <c r="M584" s="2382">
        <f t="shared" si="88"/>
        <v>0</v>
      </c>
      <c r="N584" s="2382">
        <f t="shared" si="91"/>
        <v>0</v>
      </c>
      <c r="O584" s="2381">
        <f t="shared" si="89"/>
        <v>0</v>
      </c>
      <c r="P584" s="2380"/>
      <c r="R584" s="2402"/>
    </row>
    <row r="585" spans="1:18" s="2358" customFormat="1" outlineLevel="1">
      <c r="A585" s="2361" t="e">
        <f t="shared" si="83"/>
        <v>#N/A</v>
      </c>
      <c r="B585" s="2383"/>
      <c r="C585" s="2398">
        <f>IF(G585&gt;0,C580+1,C580)</f>
        <v>0</v>
      </c>
      <c r="D585" s="2399"/>
      <c r="E585" s="2400" t="s">
        <v>2358</v>
      </c>
      <c r="F585" s="2395" t="s">
        <v>2391</v>
      </c>
      <c r="G585" s="2395"/>
      <c r="H585" s="2381"/>
      <c r="I585" s="2381"/>
      <c r="J585" s="2381"/>
      <c r="K585" s="2381"/>
      <c r="L585" s="2382">
        <f t="shared" si="90"/>
        <v>0</v>
      </c>
      <c r="M585" s="2382">
        <f t="shared" si="88"/>
        <v>0</v>
      </c>
      <c r="N585" s="2382">
        <f t="shared" si="91"/>
        <v>0</v>
      </c>
      <c r="O585" s="2381">
        <f t="shared" si="89"/>
        <v>0</v>
      </c>
      <c r="P585" s="2380"/>
    </row>
    <row r="586" spans="1:18" s="2358" customFormat="1" ht="14.4" outlineLevel="1">
      <c r="A586" s="2361" t="e">
        <f t="shared" si="83"/>
        <v>#N/A</v>
      </c>
      <c r="B586" s="2383"/>
      <c r="C586" s="2395"/>
      <c r="D586" s="2399"/>
      <c r="E586" s="2401" t="s">
        <v>6207</v>
      </c>
      <c r="F586" s="2380"/>
      <c r="G586" s="2380"/>
      <c r="H586" s="2381"/>
      <c r="I586" s="2381"/>
      <c r="J586" s="2381"/>
      <c r="K586" s="2381"/>
      <c r="L586" s="2382">
        <f t="shared" si="90"/>
        <v>0</v>
      </c>
      <c r="M586" s="2382">
        <f t="shared" si="88"/>
        <v>0</v>
      </c>
      <c r="N586" s="2382">
        <f t="shared" si="91"/>
        <v>0</v>
      </c>
      <c r="O586" s="2381">
        <f t="shared" si="89"/>
        <v>0</v>
      </c>
      <c r="P586" s="2380"/>
      <c r="R586" s="2402"/>
    </row>
    <row r="587" spans="1:18" s="2358" customFormat="1" outlineLevel="1">
      <c r="A587" s="2361" t="str">
        <f t="shared" si="83"/>
        <v>Đà cản BTCT 1,2m</v>
      </c>
      <c r="B587" s="2386" t="s">
        <v>230</v>
      </c>
      <c r="C587" s="2380"/>
      <c r="D587" s="2373" t="s">
        <v>5099</v>
      </c>
      <c r="E587" s="2374" t="s">
        <v>2615</v>
      </c>
      <c r="F587" s="2373" t="s">
        <v>2563</v>
      </c>
      <c r="G587" s="2380">
        <f>1*G585</f>
        <v>0</v>
      </c>
      <c r="H587" s="2376">
        <v>354545</v>
      </c>
      <c r="I587" s="2376"/>
      <c r="J587" s="2376">
        <v>37220.25</v>
      </c>
      <c r="K587" s="2376">
        <v>0</v>
      </c>
      <c r="L587" s="2382">
        <f t="shared" si="90"/>
        <v>0</v>
      </c>
      <c r="M587" s="2382">
        <f t="shared" si="88"/>
        <v>0</v>
      </c>
      <c r="N587" s="2382">
        <f t="shared" si="91"/>
        <v>0</v>
      </c>
      <c r="O587" s="2381">
        <f t="shared" si="89"/>
        <v>0</v>
      </c>
      <c r="P587" s="2380"/>
      <c r="R587" s="2402"/>
    </row>
    <row r="588" spans="1:18" s="2358" customFormat="1" outlineLevel="1">
      <c r="A588" s="2361" t="str">
        <f t="shared" si="83"/>
        <v>Boulon 22x650+ 2 long đền vuông D24-50x50x3/Zn</v>
      </c>
      <c r="B588" s="2386" t="s">
        <v>398</v>
      </c>
      <c r="C588" s="2380"/>
      <c r="D588" s="2373">
        <v>0</v>
      </c>
      <c r="E588" s="2374" t="s">
        <v>5124</v>
      </c>
      <c r="F588" s="2373" t="s">
        <v>2445</v>
      </c>
      <c r="G588" s="2380">
        <f>G585</f>
        <v>0</v>
      </c>
      <c r="H588" s="2376">
        <v>92200</v>
      </c>
      <c r="I588" s="2376"/>
      <c r="J588" s="2376">
        <v>0</v>
      </c>
      <c r="K588" s="2376">
        <v>0</v>
      </c>
      <c r="L588" s="2382">
        <f t="shared" si="90"/>
        <v>0</v>
      </c>
      <c r="M588" s="2382">
        <f t="shared" si="88"/>
        <v>0</v>
      </c>
      <c r="N588" s="2382">
        <f t="shared" si="91"/>
        <v>0</v>
      </c>
      <c r="O588" s="2381">
        <f t="shared" si="89"/>
        <v>0</v>
      </c>
      <c r="P588" s="2380"/>
      <c r="R588" s="2402"/>
    </row>
    <row r="589" spans="1:18" s="2358" customFormat="1" outlineLevel="1">
      <c r="A589" s="2361" t="str">
        <f t="shared" si="83"/>
        <v>Đào hố móng đất cấp 3 sâu &gt;1m</v>
      </c>
      <c r="B589" s="2386" t="s">
        <v>639</v>
      </c>
      <c r="C589" s="2380"/>
      <c r="D589" s="2373" t="s">
        <v>1751</v>
      </c>
      <c r="E589" s="2374" t="s">
        <v>5386</v>
      </c>
      <c r="F589" s="2373" t="s">
        <v>856</v>
      </c>
      <c r="G589" s="2404">
        <f>G585*1.45</f>
        <v>0</v>
      </c>
      <c r="H589" s="2376">
        <v>0</v>
      </c>
      <c r="I589" s="2376"/>
      <c r="J589" s="2376">
        <v>296500.89999999997</v>
      </c>
      <c r="K589" s="2376">
        <v>0</v>
      </c>
      <c r="L589" s="2382">
        <f t="shared" si="90"/>
        <v>0</v>
      </c>
      <c r="M589" s="2382">
        <f t="shared" si="88"/>
        <v>0</v>
      </c>
      <c r="N589" s="2382">
        <f t="shared" si="91"/>
        <v>0</v>
      </c>
      <c r="O589" s="2381">
        <f t="shared" si="89"/>
        <v>0</v>
      </c>
      <c r="P589" s="2380"/>
      <c r="R589" s="2402"/>
    </row>
    <row r="590" spans="1:18" s="2358" customFormat="1" outlineLevel="1">
      <c r="A590" s="2361" t="str">
        <f t="shared" si="83"/>
        <v>Đắp đất hố móng, độ chặt k=0,95</v>
      </c>
      <c r="B590" s="2386" t="s">
        <v>21</v>
      </c>
      <c r="C590" s="2380"/>
      <c r="D590" s="2373" t="s">
        <v>5387</v>
      </c>
      <c r="E590" s="2374" t="s">
        <v>5388</v>
      </c>
      <c r="F590" s="2373" t="s">
        <v>856</v>
      </c>
      <c r="G590" s="2404">
        <f>G585*1.37</f>
        <v>0</v>
      </c>
      <c r="H590" s="2376">
        <v>0</v>
      </c>
      <c r="I590" s="2376"/>
      <c r="J590" s="2376">
        <v>117703.6</v>
      </c>
      <c r="K590" s="2376">
        <v>0</v>
      </c>
      <c r="L590" s="2382">
        <f t="shared" si="90"/>
        <v>0</v>
      </c>
      <c r="M590" s="2382">
        <f t="shared" si="88"/>
        <v>0</v>
      </c>
      <c r="N590" s="2382">
        <f t="shared" si="91"/>
        <v>0</v>
      </c>
      <c r="O590" s="2381">
        <f t="shared" si="89"/>
        <v>0</v>
      </c>
      <c r="P590" s="2380"/>
      <c r="R590" s="2402"/>
    </row>
    <row r="591" spans="1:18" s="2358" customFormat="1" outlineLevel="1">
      <c r="A591" s="2361" t="e">
        <f t="shared" si="83"/>
        <v>#N/A</v>
      </c>
      <c r="B591" s="2386" t="s">
        <v>6233</v>
      </c>
      <c r="C591" s="2395">
        <f>IF(G591&gt;0,C585+1,C585)</f>
        <v>0</v>
      </c>
      <c r="D591" s="2455"/>
      <c r="E591" s="2424" t="s">
        <v>6234</v>
      </c>
      <c r="F591" s="2395" t="s">
        <v>2391</v>
      </c>
      <c r="G591" s="2395">
        <f>G575</f>
        <v>0</v>
      </c>
      <c r="H591" s="2381"/>
      <c r="I591" s="2381"/>
      <c r="J591" s="2381"/>
      <c r="K591" s="2381"/>
      <c r="L591" s="2382">
        <f t="shared" si="90"/>
        <v>0</v>
      </c>
      <c r="M591" s="2382">
        <f t="shared" si="88"/>
        <v>0</v>
      </c>
      <c r="N591" s="2382">
        <f t="shared" si="91"/>
        <v>0</v>
      </c>
      <c r="O591" s="2381">
        <f t="shared" si="89"/>
        <v>0</v>
      </c>
      <c r="P591" s="2408"/>
    </row>
    <row r="592" spans="1:18" s="2358" customFormat="1" outlineLevel="1">
      <c r="A592" s="2361" t="str">
        <f t="shared" si="83"/>
        <v>Đà Composite 110x80x5x2400</v>
      </c>
      <c r="B592" s="2386" t="s">
        <v>5212</v>
      </c>
      <c r="C592" s="2380"/>
      <c r="D592" s="2373">
        <v>0</v>
      </c>
      <c r="E592" s="2374" t="s">
        <v>5213</v>
      </c>
      <c r="F592" s="2373" t="s">
        <v>2598</v>
      </c>
      <c r="G592" s="2380">
        <f>G591</f>
        <v>0</v>
      </c>
      <c r="H592" s="2376">
        <v>960000</v>
      </c>
      <c r="I592" s="2376"/>
      <c r="J592" s="2376">
        <v>0</v>
      </c>
      <c r="K592" s="2376">
        <v>0</v>
      </c>
      <c r="L592" s="2382">
        <f t="shared" si="90"/>
        <v>0</v>
      </c>
      <c r="M592" s="2382">
        <f t="shared" si="88"/>
        <v>0</v>
      </c>
      <c r="N592" s="2382">
        <f t="shared" si="91"/>
        <v>0</v>
      </c>
      <c r="O592" s="2381">
        <f t="shared" si="89"/>
        <v>0</v>
      </c>
      <c r="P592" s="2380"/>
      <c r="R592" s="2402"/>
    </row>
    <row r="593" spans="1:18" s="2358" customFormat="1" outlineLevel="1">
      <c r="A593" s="2361" t="str">
        <f t="shared" si="83"/>
        <v>Chống Composite 40x10x920</v>
      </c>
      <c r="B593" s="2386" t="s">
        <v>5219</v>
      </c>
      <c r="C593" s="2380"/>
      <c r="D593" s="2373">
        <v>0</v>
      </c>
      <c r="E593" s="2374" t="s">
        <v>5220</v>
      </c>
      <c r="F593" s="2373" t="s">
        <v>5221</v>
      </c>
      <c r="G593" s="2380">
        <f>G592*2</f>
        <v>0</v>
      </c>
      <c r="H593" s="2376">
        <v>140000</v>
      </c>
      <c r="I593" s="2376"/>
      <c r="J593" s="2376">
        <v>0</v>
      </c>
      <c r="K593" s="2376">
        <v>0</v>
      </c>
      <c r="L593" s="2382">
        <f t="shared" si="90"/>
        <v>0</v>
      </c>
      <c r="M593" s="2382">
        <f t="shared" si="88"/>
        <v>0</v>
      </c>
      <c r="N593" s="2382">
        <f t="shared" si="91"/>
        <v>0</v>
      </c>
      <c r="O593" s="2381">
        <f t="shared" si="89"/>
        <v>0</v>
      </c>
      <c r="P593" s="2380"/>
      <c r="R593" s="2402"/>
    </row>
    <row r="594" spans="1:18" s="2358" customFormat="1" outlineLevel="1">
      <c r="A594" s="2361" t="str">
        <f t="shared" si="83"/>
        <v>Bass LL bắt FCO, LA</v>
      </c>
      <c r="B594" s="2383" t="s">
        <v>488</v>
      </c>
      <c r="C594" s="2380"/>
      <c r="D594" s="2373">
        <v>0</v>
      </c>
      <c r="E594" s="2374" t="s">
        <v>5130</v>
      </c>
      <c r="F594" s="2373" t="s">
        <v>2445</v>
      </c>
      <c r="G594" s="2380">
        <f>G591*3</f>
        <v>0</v>
      </c>
      <c r="H594" s="2376">
        <v>65000</v>
      </c>
      <c r="I594" s="2376"/>
      <c r="J594" s="2376">
        <v>0</v>
      </c>
      <c r="K594" s="2376">
        <v>0</v>
      </c>
      <c r="L594" s="2382">
        <f t="shared" si="90"/>
        <v>0</v>
      </c>
      <c r="M594" s="2382">
        <f t="shared" si="88"/>
        <v>0</v>
      </c>
      <c r="N594" s="2382">
        <f t="shared" si="91"/>
        <v>0</v>
      </c>
      <c r="O594" s="2381">
        <f t="shared" si="89"/>
        <v>0</v>
      </c>
      <c r="P594" s="2380"/>
      <c r="R594" s="2402"/>
    </row>
    <row r="595" spans="1:18" s="2358" customFormat="1" outlineLevel="1">
      <c r="A595" s="2361" t="str">
        <f t="shared" ref="A595:A626" si="92">VLOOKUP(B595,DonGia,3,0)</f>
        <v>Boulon 16x350+ 2 long đền vuông D18-50x50x3/Zn</v>
      </c>
      <c r="B595" s="2386" t="s">
        <v>1079</v>
      </c>
      <c r="C595" s="2380"/>
      <c r="D595" s="2373">
        <v>0</v>
      </c>
      <c r="E595" s="2374" t="s">
        <v>2659</v>
      </c>
      <c r="F595" s="2373" t="s">
        <v>2445</v>
      </c>
      <c r="G595" s="2380">
        <f>+G592*1</f>
        <v>0</v>
      </c>
      <c r="H595" s="2376">
        <v>27900</v>
      </c>
      <c r="I595" s="2376"/>
      <c r="J595" s="2376">
        <v>0</v>
      </c>
      <c r="K595" s="2376">
        <v>0</v>
      </c>
      <c r="L595" s="2382">
        <f t="shared" si="90"/>
        <v>0</v>
      </c>
      <c r="M595" s="2382">
        <f t="shared" si="88"/>
        <v>0</v>
      </c>
      <c r="N595" s="2382">
        <f t="shared" si="91"/>
        <v>0</v>
      </c>
      <c r="O595" s="2381">
        <f t="shared" si="89"/>
        <v>0</v>
      </c>
      <c r="P595" s="2380"/>
      <c r="R595" s="2402"/>
    </row>
    <row r="596" spans="1:18" s="2358" customFormat="1" outlineLevel="1">
      <c r="A596" s="2361" t="str">
        <f t="shared" si="92"/>
        <v>Boulon 16x300+ 2 long đền vuông D18-50x50x3/Zn</v>
      </c>
      <c r="B596" s="2386" t="s">
        <v>1613</v>
      </c>
      <c r="C596" s="2380"/>
      <c r="D596" s="2373">
        <v>0</v>
      </c>
      <c r="E596" s="2374" t="s">
        <v>2657</v>
      </c>
      <c r="F596" s="2373" t="s">
        <v>2445</v>
      </c>
      <c r="G596" s="2380">
        <f>+G592*1</f>
        <v>0</v>
      </c>
      <c r="H596" s="2376">
        <v>25400</v>
      </c>
      <c r="I596" s="2376"/>
      <c r="J596" s="2376">
        <v>0</v>
      </c>
      <c r="K596" s="2376">
        <v>0</v>
      </c>
      <c r="L596" s="2382">
        <f t="shared" si="90"/>
        <v>0</v>
      </c>
      <c r="M596" s="2382">
        <f t="shared" si="88"/>
        <v>0</v>
      </c>
      <c r="N596" s="2382">
        <f t="shared" si="91"/>
        <v>0</v>
      </c>
      <c r="O596" s="2381">
        <f t="shared" si="89"/>
        <v>0</v>
      </c>
      <c r="P596" s="2380"/>
      <c r="R596" s="2402"/>
    </row>
    <row r="597" spans="1:18" s="2358" customFormat="1" outlineLevel="1">
      <c r="A597" s="2361" t="str">
        <f t="shared" si="92"/>
        <v>Boulon 16x150+ 2 long đền vuông D18-50x50x3/Zn</v>
      </c>
      <c r="B597" s="2386" t="s">
        <v>244</v>
      </c>
      <c r="C597" s="2380"/>
      <c r="D597" s="2373">
        <v>0</v>
      </c>
      <c r="E597" s="2374" t="s">
        <v>2649</v>
      </c>
      <c r="F597" s="2373" t="s">
        <v>2445</v>
      </c>
      <c r="G597" s="2380">
        <f>+G592*2</f>
        <v>0</v>
      </c>
      <c r="H597" s="2376">
        <v>18900</v>
      </c>
      <c r="I597" s="2376"/>
      <c r="J597" s="2376">
        <v>0</v>
      </c>
      <c r="K597" s="2376">
        <v>0</v>
      </c>
      <c r="L597" s="2382">
        <f t="shared" si="90"/>
        <v>0</v>
      </c>
      <c r="M597" s="2382">
        <f t="shared" si="88"/>
        <v>0</v>
      </c>
      <c r="N597" s="2382">
        <f t="shared" si="91"/>
        <v>0</v>
      </c>
      <c r="O597" s="2381">
        <f t="shared" si="89"/>
        <v>0</v>
      </c>
      <c r="P597" s="2380"/>
      <c r="R597" s="2402"/>
    </row>
    <row r="598" spans="1:18" s="2358" customFormat="1" outlineLevel="1">
      <c r="A598" s="2361" t="str">
        <f t="shared" si="92"/>
        <v>Lắp xà đỡ ≤ 50kg</v>
      </c>
      <c r="B598" s="2383" t="s">
        <v>516</v>
      </c>
      <c r="C598" s="2395"/>
      <c r="D598" s="2373" t="s">
        <v>5483</v>
      </c>
      <c r="E598" s="2374" t="s">
        <v>5484</v>
      </c>
      <c r="F598" s="2373" t="s">
        <v>2445</v>
      </c>
      <c r="G598" s="2380">
        <f>G591</f>
        <v>0</v>
      </c>
      <c r="H598" s="2376">
        <v>0</v>
      </c>
      <c r="I598" s="2387"/>
      <c r="J598" s="2406" t="s">
        <v>6400</v>
      </c>
      <c r="K598" s="2376">
        <v>0</v>
      </c>
      <c r="L598" s="2382">
        <f t="shared" si="90"/>
        <v>0</v>
      </c>
      <c r="M598" s="2382">
        <f t="shared" si="88"/>
        <v>0</v>
      </c>
      <c r="N598" s="2376">
        <v>0</v>
      </c>
      <c r="O598" s="2381">
        <f t="shared" si="89"/>
        <v>0</v>
      </c>
      <c r="P598" s="2408"/>
    </row>
    <row r="599" spans="1:18" s="2358" customFormat="1" outlineLevel="1">
      <c r="A599" s="2361" t="e">
        <f t="shared" si="92"/>
        <v>#N/A</v>
      </c>
      <c r="B599" s="2383"/>
      <c r="C599" s="2395">
        <f>IF(G599&gt;0,C585+1,C585)</f>
        <v>0</v>
      </c>
      <c r="D599" s="2455"/>
      <c r="E599" s="2424" t="s">
        <v>6235</v>
      </c>
      <c r="F599" s="2395" t="s">
        <v>2391</v>
      </c>
      <c r="G599" s="2395">
        <f>+G575</f>
        <v>0</v>
      </c>
      <c r="H599" s="2381"/>
      <c r="I599" s="2387"/>
      <c r="J599" s="2387"/>
      <c r="K599" s="2387"/>
      <c r="L599" s="2382">
        <f t="shared" si="90"/>
        <v>0</v>
      </c>
      <c r="M599" s="2382">
        <f t="shared" si="88"/>
        <v>0</v>
      </c>
      <c r="N599" s="2382">
        <f t="shared" si="91"/>
        <v>0</v>
      </c>
      <c r="O599" s="2381">
        <f t="shared" si="89"/>
        <v>0</v>
      </c>
      <c r="P599" s="2408"/>
    </row>
    <row r="600" spans="1:18" s="2358" customFormat="1" ht="14.4" outlineLevel="1">
      <c r="A600" s="2361" t="e">
        <f t="shared" si="92"/>
        <v>#N/A</v>
      </c>
      <c r="B600" s="2383"/>
      <c r="C600" s="2395"/>
      <c r="D600" s="2455"/>
      <c r="E600" s="2425" t="s">
        <v>6207</v>
      </c>
      <c r="F600" s="2380"/>
      <c r="G600" s="2380"/>
      <c r="H600" s="2381"/>
      <c r="I600" s="2387"/>
      <c r="J600" s="2387"/>
      <c r="K600" s="2387"/>
      <c r="L600" s="2382">
        <f t="shared" si="90"/>
        <v>0</v>
      </c>
      <c r="M600" s="2382">
        <f t="shared" si="88"/>
        <v>0</v>
      </c>
      <c r="N600" s="2382">
        <f t="shared" si="91"/>
        <v>0</v>
      </c>
      <c r="O600" s="2381">
        <f t="shared" si="89"/>
        <v>0</v>
      </c>
      <c r="P600" s="2408"/>
    </row>
    <row r="601" spans="1:18" s="2358" customFormat="1" outlineLevel="1">
      <c r="A601" s="2361" t="str">
        <f t="shared" si="92"/>
        <v>Sắt góc L75 x75 x8</v>
      </c>
      <c r="B601" s="2386" t="s">
        <v>109</v>
      </c>
      <c r="C601" s="2395"/>
      <c r="D601" s="2373">
        <v>0</v>
      </c>
      <c r="E601" s="2374" t="s">
        <v>2443</v>
      </c>
      <c r="F601" s="2373" t="s">
        <v>2254</v>
      </c>
      <c r="G601" s="2404">
        <f>G599*9.02*(2.2+4*0.07)</f>
        <v>0</v>
      </c>
      <c r="H601" s="2376">
        <v>31625</v>
      </c>
      <c r="I601" s="2387"/>
      <c r="J601" s="2376">
        <v>0</v>
      </c>
      <c r="K601" s="2376">
        <v>0</v>
      </c>
      <c r="L601" s="2382">
        <f t="shared" si="90"/>
        <v>0</v>
      </c>
      <c r="M601" s="2382">
        <f t="shared" si="88"/>
        <v>0</v>
      </c>
      <c r="N601" s="2382">
        <f t="shared" si="91"/>
        <v>0</v>
      </c>
      <c r="O601" s="2381">
        <f t="shared" si="89"/>
        <v>0</v>
      </c>
      <c r="P601" s="2408"/>
    </row>
    <row r="602" spans="1:18" s="2358" customFormat="1" outlineLevel="1">
      <c r="A602" s="2361" t="str">
        <f t="shared" si="92"/>
        <v>Sắt góc L50 x50 x5</v>
      </c>
      <c r="B602" s="2383" t="s">
        <v>457</v>
      </c>
      <c r="C602" s="2395"/>
      <c r="D602" s="2373">
        <v>0</v>
      </c>
      <c r="E602" s="2374" t="s">
        <v>2972</v>
      </c>
      <c r="F602" s="2373" t="s">
        <v>2254</v>
      </c>
      <c r="G602" s="2404">
        <f>G599*2*3.77*0.81</f>
        <v>0</v>
      </c>
      <c r="H602" s="2376">
        <v>31625</v>
      </c>
      <c r="I602" s="2387"/>
      <c r="J602" s="2376">
        <v>0</v>
      </c>
      <c r="K602" s="2376">
        <v>0</v>
      </c>
      <c r="L602" s="2382">
        <f t="shared" si="90"/>
        <v>0</v>
      </c>
      <c r="M602" s="2382">
        <f t="shared" si="88"/>
        <v>0</v>
      </c>
      <c r="N602" s="2382">
        <f t="shared" si="91"/>
        <v>0</v>
      </c>
      <c r="O602" s="2381">
        <f t="shared" si="89"/>
        <v>0</v>
      </c>
      <c r="P602" s="2408"/>
    </row>
    <row r="603" spans="1:18" s="2358" customFormat="1" outlineLevel="1">
      <c r="A603" s="2361" t="str">
        <f t="shared" si="92"/>
        <v>Boulon 16x50+ 2 long đền vuông D18-50x50x3/Zn</v>
      </c>
      <c r="B603" s="2383" t="s">
        <v>1790</v>
      </c>
      <c r="C603" s="2395"/>
      <c r="D603" s="2373">
        <v>0</v>
      </c>
      <c r="E603" s="2374" t="s">
        <v>2647</v>
      </c>
      <c r="F603" s="2373" t="s">
        <v>2445</v>
      </c>
      <c r="G603" s="2380">
        <f>4*G599</f>
        <v>0</v>
      </c>
      <c r="H603" s="2376">
        <v>12400</v>
      </c>
      <c r="I603" s="2387"/>
      <c r="J603" s="2376">
        <v>0</v>
      </c>
      <c r="K603" s="2376">
        <v>0</v>
      </c>
      <c r="L603" s="2382">
        <f t="shared" si="90"/>
        <v>0</v>
      </c>
      <c r="M603" s="2382">
        <f t="shared" si="88"/>
        <v>0</v>
      </c>
      <c r="N603" s="2382">
        <f t="shared" si="91"/>
        <v>0</v>
      </c>
      <c r="O603" s="2381">
        <f t="shared" si="89"/>
        <v>0</v>
      </c>
      <c r="P603" s="2408"/>
    </row>
    <row r="604" spans="1:18" s="2358" customFormat="1" outlineLevel="1">
      <c r="A604" s="2361" t="str">
        <f t="shared" si="92"/>
        <v>Boulon 16x250+ 2 long đền vuông D18-50x50x3/Zn</v>
      </c>
      <c r="B604" s="2383" t="s">
        <v>1612</v>
      </c>
      <c r="C604" s="2395"/>
      <c r="D604" s="2373">
        <v>0</v>
      </c>
      <c r="E604" s="2374" t="s">
        <v>2653</v>
      </c>
      <c r="F604" s="2373" t="s">
        <v>2445</v>
      </c>
      <c r="G604" s="2380">
        <f>2*G599</f>
        <v>0</v>
      </c>
      <c r="H604" s="2376">
        <v>13400</v>
      </c>
      <c r="I604" s="2387"/>
      <c r="J604" s="2376">
        <v>0</v>
      </c>
      <c r="K604" s="2376">
        <v>0</v>
      </c>
      <c r="L604" s="2382">
        <f t="shared" si="90"/>
        <v>0</v>
      </c>
      <c r="M604" s="2382">
        <f t="shared" si="88"/>
        <v>0</v>
      </c>
      <c r="N604" s="2382">
        <f t="shared" si="91"/>
        <v>0</v>
      </c>
      <c r="O604" s="2381">
        <f t="shared" si="89"/>
        <v>0</v>
      </c>
      <c r="P604" s="2408"/>
    </row>
    <row r="605" spans="1:18" s="2358" customFormat="1" outlineLevel="1">
      <c r="A605" s="2361" t="str">
        <f t="shared" si="92"/>
        <v>Lắp xà đỡ ≤ 50kg</v>
      </c>
      <c r="B605" s="2383" t="s">
        <v>516</v>
      </c>
      <c r="C605" s="2395"/>
      <c r="D605" s="2373" t="s">
        <v>5483</v>
      </c>
      <c r="E605" s="2374" t="s">
        <v>5484</v>
      </c>
      <c r="F605" s="2373" t="s">
        <v>2445</v>
      </c>
      <c r="G605" s="2380">
        <f>G599</f>
        <v>0</v>
      </c>
      <c r="H605" s="2376">
        <v>0</v>
      </c>
      <c r="I605" s="2387"/>
      <c r="J605" s="2406" t="s">
        <v>6400</v>
      </c>
      <c r="K605" s="2376">
        <v>0</v>
      </c>
      <c r="L605" s="2382">
        <f>H605*G605</f>
        <v>0</v>
      </c>
      <c r="M605" s="2382">
        <f>I605*G605</f>
        <v>0</v>
      </c>
      <c r="N605" s="2376">
        <v>0</v>
      </c>
      <c r="O605" s="2381">
        <f>K605*G605</f>
        <v>0</v>
      </c>
      <c r="P605" s="2408"/>
    </row>
    <row r="606" spans="1:18" s="2358" customFormat="1" outlineLevel="1">
      <c r="A606" s="2361" t="e">
        <f t="shared" si="92"/>
        <v>#N/A</v>
      </c>
      <c r="B606" s="2383"/>
      <c r="C606" s="2395">
        <f>IF(G606&gt;0,C599+1,C599)</f>
        <v>0</v>
      </c>
      <c r="D606" s="2455"/>
      <c r="E606" s="2424" t="s">
        <v>3712</v>
      </c>
      <c r="F606" s="2395" t="s">
        <v>2391</v>
      </c>
      <c r="G606" s="2395">
        <f>G575</f>
        <v>0</v>
      </c>
      <c r="H606" s="2381"/>
      <c r="I606" s="2387"/>
      <c r="J606" s="2387"/>
      <c r="K606" s="2387"/>
      <c r="L606" s="2382">
        <f t="shared" si="90"/>
        <v>0</v>
      </c>
      <c r="M606" s="2382">
        <f t="shared" si="88"/>
        <v>0</v>
      </c>
      <c r="N606" s="2382">
        <f t="shared" si="91"/>
        <v>0</v>
      </c>
      <c r="O606" s="2381">
        <f t="shared" si="89"/>
        <v>0</v>
      </c>
      <c r="P606" s="2408"/>
    </row>
    <row r="607" spans="1:18" s="2358" customFormat="1" ht="14.4" outlineLevel="1">
      <c r="A607" s="2361" t="e">
        <f t="shared" si="92"/>
        <v>#N/A</v>
      </c>
      <c r="B607" s="2383"/>
      <c r="C607" s="2395"/>
      <c r="D607" s="2455"/>
      <c r="E607" s="2425" t="s">
        <v>6236</v>
      </c>
      <c r="F607" s="2380"/>
      <c r="G607" s="2380"/>
      <c r="H607" s="2381"/>
      <c r="I607" s="2387"/>
      <c r="J607" s="2387"/>
      <c r="K607" s="2387"/>
      <c r="L607" s="2382">
        <f t="shared" si="90"/>
        <v>0</v>
      </c>
      <c r="M607" s="2382">
        <f t="shared" si="88"/>
        <v>0</v>
      </c>
      <c r="N607" s="2382">
        <f t="shared" si="91"/>
        <v>0</v>
      </c>
      <c r="O607" s="2381">
        <f t="shared" si="89"/>
        <v>0</v>
      </c>
      <c r="P607" s="2408"/>
    </row>
    <row r="608" spans="1:18" s="2358" customFormat="1" outlineLevel="1">
      <c r="A608" s="2361" t="str">
        <f t="shared" si="92"/>
        <v>Cáp đồng trần M25mm2</v>
      </c>
      <c r="B608" s="2383" t="s">
        <v>1033</v>
      </c>
      <c r="C608" s="2380"/>
      <c r="D608" s="2373">
        <v>0</v>
      </c>
      <c r="E608" s="2374" t="s">
        <v>2708</v>
      </c>
      <c r="F608" s="2373" t="s">
        <v>2254</v>
      </c>
      <c r="G608" s="2409">
        <f>$H$3*G606*0.224</f>
        <v>0</v>
      </c>
      <c r="H608" s="2376">
        <v>255500</v>
      </c>
      <c r="I608" s="2381"/>
      <c r="J608" s="2376">
        <v>0</v>
      </c>
      <c r="K608" s="2376">
        <v>0</v>
      </c>
      <c r="L608" s="2382">
        <f>H608*G608</f>
        <v>0</v>
      </c>
      <c r="M608" s="2382">
        <f t="shared" si="88"/>
        <v>0</v>
      </c>
      <c r="N608" s="2382">
        <f t="shared" si="91"/>
        <v>0</v>
      </c>
      <c r="O608" s="2381">
        <f t="shared" si="89"/>
        <v>0</v>
      </c>
      <c r="P608" s="2408"/>
    </row>
    <row r="609" spans="1:16" s="2358" customFormat="1" outlineLevel="1">
      <c r="A609" s="2361" t="str">
        <f t="shared" si="92"/>
        <v>Cọc tiếp đất Þ 16- 2,4m + kẹp cọc mạ đồng</v>
      </c>
      <c r="B609" s="2386" t="s">
        <v>1511</v>
      </c>
      <c r="C609" s="2380"/>
      <c r="D609" s="2373">
        <v>0</v>
      </c>
      <c r="E609" s="2374" t="s">
        <v>5224</v>
      </c>
      <c r="F609" s="2373" t="s">
        <v>2445</v>
      </c>
      <c r="G609" s="2380">
        <f>($H$2)*G606</f>
        <v>0</v>
      </c>
      <c r="H609" s="2376">
        <v>160000</v>
      </c>
      <c r="I609" s="2387"/>
      <c r="J609" s="2376">
        <v>0</v>
      </c>
      <c r="K609" s="2376">
        <v>0</v>
      </c>
      <c r="L609" s="2382">
        <f t="shared" si="90"/>
        <v>0</v>
      </c>
      <c r="M609" s="2382">
        <f t="shared" si="88"/>
        <v>0</v>
      </c>
      <c r="N609" s="2382">
        <f t="shared" si="91"/>
        <v>0</v>
      </c>
      <c r="O609" s="2381">
        <f t="shared" si="89"/>
        <v>0</v>
      </c>
      <c r="P609" s="2408"/>
    </row>
    <row r="610" spans="1:16" s="2358" customFormat="1" outlineLevel="1">
      <c r="A610" s="2361" t="str">
        <f t="shared" si="92"/>
        <v>Giếng tiếp địa khoan đá</v>
      </c>
      <c r="B610" s="2386" t="s">
        <v>3464</v>
      </c>
      <c r="C610" s="2380"/>
      <c r="D610" s="2373">
        <v>0</v>
      </c>
      <c r="E610" s="2374" t="s">
        <v>3465</v>
      </c>
      <c r="F610" s="2373" t="s">
        <v>3463</v>
      </c>
      <c r="G610" s="2380">
        <f>L3*G606</f>
        <v>0</v>
      </c>
      <c r="H610" s="2376">
        <v>0</v>
      </c>
      <c r="I610" s="2387"/>
      <c r="J610" s="2376">
        <v>2500000</v>
      </c>
      <c r="K610" s="2376">
        <v>0</v>
      </c>
      <c r="L610" s="2382">
        <f>H610*G610</f>
        <v>0</v>
      </c>
      <c r="M610" s="2382">
        <f>I610*G610</f>
        <v>0</v>
      </c>
      <c r="N610" s="2382">
        <f>J610*G610</f>
        <v>0</v>
      </c>
      <c r="O610" s="2381">
        <f>K610*G610</f>
        <v>0</v>
      </c>
      <c r="P610" s="2408"/>
    </row>
    <row r="611" spans="1:16" s="2358" customFormat="1" outlineLevel="1">
      <c r="A611" s="2361" t="str">
        <f t="shared" si="92"/>
        <v xml:space="preserve">Ống PVC D21x1,6mm </v>
      </c>
      <c r="B611" s="2386" t="s">
        <v>576</v>
      </c>
      <c r="C611" s="2380"/>
      <c r="D611" s="2373">
        <v>0</v>
      </c>
      <c r="E611" s="2374" t="s">
        <v>3554</v>
      </c>
      <c r="F611" s="2373" t="s">
        <v>1827</v>
      </c>
      <c r="G611" s="2380">
        <f>3*G606</f>
        <v>0</v>
      </c>
      <c r="H611" s="2376">
        <v>6200</v>
      </c>
      <c r="I611" s="2387"/>
      <c r="J611" s="2376">
        <v>0</v>
      </c>
      <c r="K611" s="2376">
        <v>0</v>
      </c>
      <c r="L611" s="2382">
        <f t="shared" si="90"/>
        <v>0</v>
      </c>
      <c r="M611" s="2382">
        <f t="shared" si="88"/>
        <v>0</v>
      </c>
      <c r="N611" s="2382">
        <f t="shared" si="91"/>
        <v>0</v>
      </c>
      <c r="O611" s="2381">
        <f t="shared" si="89"/>
        <v>0</v>
      </c>
      <c r="P611" s="2408"/>
    </row>
    <row r="612" spans="1:16" s="2358" customFormat="1" outlineLevel="1">
      <c r="A612" s="2361" t="str">
        <f t="shared" si="92"/>
        <v>Kẹp ép WR cỡ dây 50mm2</v>
      </c>
      <c r="B612" s="2383" t="s">
        <v>1582</v>
      </c>
      <c r="C612" s="2380"/>
      <c r="D612" s="2373">
        <v>0</v>
      </c>
      <c r="E612" s="2374" t="s">
        <v>2889</v>
      </c>
      <c r="F612" s="2373" t="s">
        <v>2563</v>
      </c>
      <c r="G612" s="2380">
        <f>2*G606</f>
        <v>0</v>
      </c>
      <c r="H612" s="2376">
        <v>8000</v>
      </c>
      <c r="I612" s="2376"/>
      <c r="J612" s="2376">
        <v>0</v>
      </c>
      <c r="K612" s="2376">
        <v>0</v>
      </c>
      <c r="L612" s="2382">
        <f t="shared" si="90"/>
        <v>0</v>
      </c>
      <c r="M612" s="2382">
        <f t="shared" si="88"/>
        <v>0</v>
      </c>
      <c r="N612" s="2382">
        <f t="shared" si="91"/>
        <v>0</v>
      </c>
      <c r="O612" s="2381">
        <f t="shared" si="89"/>
        <v>0</v>
      </c>
      <c r="P612" s="2408"/>
    </row>
    <row r="613" spans="1:16" s="2358" customFormat="1" outlineLevel="1">
      <c r="A613" s="2361" t="str">
        <f t="shared" si="92"/>
        <v>Ốc siết cáp cỡ 25mm2</v>
      </c>
      <c r="B613" s="2383" t="s">
        <v>816</v>
      </c>
      <c r="C613" s="2380"/>
      <c r="D613" s="2373"/>
      <c r="E613" s="2374" t="s">
        <v>3599</v>
      </c>
      <c r="F613" s="2373" t="s">
        <v>2563</v>
      </c>
      <c r="G613" s="2380">
        <f>11*G606</f>
        <v>0</v>
      </c>
      <c r="H613" s="2376">
        <v>17600</v>
      </c>
      <c r="I613" s="2376"/>
      <c r="J613" s="2376">
        <v>0</v>
      </c>
      <c r="K613" s="2376">
        <v>0</v>
      </c>
      <c r="L613" s="2382">
        <f t="shared" si="90"/>
        <v>0</v>
      </c>
      <c r="M613" s="2382">
        <f t="shared" si="88"/>
        <v>0</v>
      </c>
      <c r="N613" s="2382">
        <f t="shared" si="91"/>
        <v>0</v>
      </c>
      <c r="O613" s="2381">
        <f t="shared" si="89"/>
        <v>0</v>
      </c>
      <c r="P613" s="2408"/>
    </row>
    <row r="614" spans="1:16" s="2358" customFormat="1" outlineLevel="1">
      <c r="A614" s="2361" t="str">
        <f t="shared" si="92"/>
        <v>Cổ dê kẹp ống PVC  21</v>
      </c>
      <c r="B614" s="2386" t="s">
        <v>1595</v>
      </c>
      <c r="C614" s="2380"/>
      <c r="D614" s="2373">
        <v>0</v>
      </c>
      <c r="E614" s="2374" t="s">
        <v>5313</v>
      </c>
      <c r="F614" s="2373" t="s">
        <v>2445</v>
      </c>
      <c r="G614" s="2404">
        <f>G606*2</f>
        <v>0</v>
      </c>
      <c r="H614" s="2376">
        <v>43000</v>
      </c>
      <c r="I614" s="2387"/>
      <c r="J614" s="2376">
        <v>0</v>
      </c>
      <c r="K614" s="2376">
        <v>0</v>
      </c>
      <c r="L614" s="2382">
        <f t="shared" si="90"/>
        <v>0</v>
      </c>
      <c r="M614" s="2382">
        <f t="shared" si="88"/>
        <v>0</v>
      </c>
      <c r="N614" s="2382">
        <f t="shared" si="91"/>
        <v>0</v>
      </c>
      <c r="O614" s="2381">
        <f t="shared" si="89"/>
        <v>0</v>
      </c>
      <c r="P614" s="2408"/>
    </row>
    <row r="615" spans="1:16" s="2358" customFormat="1" outlineLevel="1">
      <c r="A615" s="2361" t="str">
        <f t="shared" si="92"/>
        <v>Lắp cổ dề</v>
      </c>
      <c r="B615" s="2386" t="s">
        <v>1130</v>
      </c>
      <c r="C615" s="2380"/>
      <c r="D615" s="2373" t="s">
        <v>5333</v>
      </c>
      <c r="E615" s="2374" t="s">
        <v>5532</v>
      </c>
      <c r="F615" s="2373" t="s">
        <v>2563</v>
      </c>
      <c r="G615" s="2404">
        <f>G607*2</f>
        <v>0</v>
      </c>
      <c r="H615" s="2376">
        <v>0</v>
      </c>
      <c r="I615" s="2387"/>
      <c r="J615" s="2376">
        <v>77000</v>
      </c>
      <c r="K615" s="2376">
        <v>0</v>
      </c>
      <c r="L615" s="2382">
        <f>H615*G615</f>
        <v>0</v>
      </c>
      <c r="M615" s="2382">
        <f>I615*G615</f>
        <v>0</v>
      </c>
      <c r="N615" s="2382">
        <f>J615*G615</f>
        <v>0</v>
      </c>
      <c r="O615" s="2381">
        <f>K615*G615</f>
        <v>0</v>
      </c>
      <c r="P615" s="2408"/>
    </row>
    <row r="616" spans="1:16" s="2358" customFormat="1" outlineLevel="1">
      <c r="A616" s="2361" t="str">
        <f t="shared" si="92"/>
        <v>Kéo dây tiếp địa trong TBA</v>
      </c>
      <c r="B616" s="2383" t="s">
        <v>389</v>
      </c>
      <c r="C616" s="2380"/>
      <c r="D616" s="2373" t="s">
        <v>5408</v>
      </c>
      <c r="E616" s="2374" t="s">
        <v>5409</v>
      </c>
      <c r="F616" s="2373" t="s">
        <v>2538</v>
      </c>
      <c r="G616" s="2380">
        <f>G606*$H$3</f>
        <v>0</v>
      </c>
      <c r="H616" s="2376">
        <v>0</v>
      </c>
      <c r="I616" s="2376"/>
      <c r="J616" s="2376">
        <v>8070.7000000000007</v>
      </c>
      <c r="K616" s="2376">
        <v>2044.9974999999999</v>
      </c>
      <c r="L616" s="2382">
        <f>H616*G616</f>
        <v>0</v>
      </c>
      <c r="M616" s="2382">
        <f>I616*G616</f>
        <v>0</v>
      </c>
      <c r="N616" s="2382">
        <f>J616*G616</f>
        <v>0</v>
      </c>
      <c r="O616" s="2381">
        <f>K616*G616</f>
        <v>0</v>
      </c>
      <c r="P616" s="2408"/>
    </row>
    <row r="617" spans="1:16" s="2358" customFormat="1" outlineLevel="1">
      <c r="A617" s="2361" t="str">
        <f t="shared" si="92"/>
        <v>Đóng cọc tiếp địa trong TBA</v>
      </c>
      <c r="B617" s="2386" t="s">
        <v>1441</v>
      </c>
      <c r="C617" s="2380"/>
      <c r="D617" s="2373" t="s">
        <v>5413</v>
      </c>
      <c r="E617" s="2374" t="s">
        <v>5414</v>
      </c>
      <c r="F617" s="2373" t="s">
        <v>2284</v>
      </c>
      <c r="G617" s="2380">
        <f>G609</f>
        <v>0</v>
      </c>
      <c r="H617" s="2376">
        <v>0</v>
      </c>
      <c r="I617" s="2381"/>
      <c r="J617" s="2406" t="s">
        <v>6389</v>
      </c>
      <c r="K617" s="2376">
        <v>1573.075</v>
      </c>
      <c r="L617" s="2382">
        <f>H617*G617</f>
        <v>0</v>
      </c>
      <c r="M617" s="2382">
        <f>I617*G617</f>
        <v>0</v>
      </c>
      <c r="N617" s="2376">
        <v>0</v>
      </c>
      <c r="O617" s="2381">
        <f>K617*G617</f>
        <v>0</v>
      </c>
      <c r="P617" s="2408"/>
    </row>
    <row r="618" spans="1:16" s="2358" customFormat="1" outlineLevel="1">
      <c r="A618" s="2361" t="str">
        <f t="shared" si="92"/>
        <v>Đào rãnh tiếp địa đất cấp 2</v>
      </c>
      <c r="B618" s="2383" t="s">
        <v>24</v>
      </c>
      <c r="C618" s="2380"/>
      <c r="D618" s="2373" t="s">
        <v>5397</v>
      </c>
      <c r="E618" s="2374" t="s">
        <v>3085</v>
      </c>
      <c r="F618" s="2373" t="s">
        <v>856</v>
      </c>
      <c r="G618" s="2404">
        <f>G606*$H$4</f>
        <v>0</v>
      </c>
      <c r="H618" s="2376">
        <v>0</v>
      </c>
      <c r="I618" s="2376"/>
      <c r="J618" s="2376">
        <v>85640</v>
      </c>
      <c r="K618" s="2376">
        <v>0</v>
      </c>
      <c r="L618" s="2382">
        <f>H618*G618</f>
        <v>0</v>
      </c>
      <c r="M618" s="2382">
        <f>I618*G618</f>
        <v>0</v>
      </c>
      <c r="N618" s="2382">
        <f>J618*G618</f>
        <v>0</v>
      </c>
      <c r="O618" s="2381">
        <f>K618*G618</f>
        <v>0</v>
      </c>
      <c r="P618" s="2408"/>
    </row>
    <row r="619" spans="1:16" s="2358" customFormat="1" outlineLevel="1">
      <c r="A619" s="2361" t="str">
        <f t="shared" si="92"/>
        <v>Đắp đất rãnh tiếp độ chặt k=0,85</v>
      </c>
      <c r="B619" s="2383" t="s">
        <v>1056</v>
      </c>
      <c r="C619" s="2380"/>
      <c r="D619" s="2373" t="s">
        <v>5387</v>
      </c>
      <c r="E619" s="2374" t="s">
        <v>5399</v>
      </c>
      <c r="F619" s="2373" t="s">
        <v>856</v>
      </c>
      <c r="G619" s="2404">
        <f>G618</f>
        <v>0</v>
      </c>
      <c r="H619" s="2376">
        <v>0</v>
      </c>
      <c r="I619" s="2387"/>
      <c r="J619" s="2376">
        <v>117703.6</v>
      </c>
      <c r="K619" s="2376">
        <v>0</v>
      </c>
      <c r="L619" s="2382">
        <f>H619*G619</f>
        <v>0</v>
      </c>
      <c r="M619" s="2382">
        <f>I619*G619</f>
        <v>0</v>
      </c>
      <c r="N619" s="2382">
        <f>J619*G619</f>
        <v>0</v>
      </c>
      <c r="O619" s="2381">
        <f>K619*G619</f>
        <v>0</v>
      </c>
      <c r="P619" s="2408"/>
    </row>
    <row r="620" spans="1:16" s="2358" customFormat="1" outlineLevel="1">
      <c r="A620" s="2361" t="e">
        <f t="shared" si="92"/>
        <v>#N/A</v>
      </c>
      <c r="B620" s="2383"/>
      <c r="C620" s="2395">
        <f>IF(G620&gt;0,C606+1,C606)</f>
        <v>0</v>
      </c>
      <c r="D620" s="2455"/>
      <c r="E620" s="2411" t="s">
        <v>3714</v>
      </c>
      <c r="F620" s="2395" t="s">
        <v>2391</v>
      </c>
      <c r="G620" s="2395">
        <f>G575</f>
        <v>0</v>
      </c>
      <c r="H620" s="2381"/>
      <c r="I620" s="2387"/>
      <c r="J620" s="2387"/>
      <c r="K620" s="2387"/>
      <c r="L620" s="2382">
        <f t="shared" si="90"/>
        <v>0</v>
      </c>
      <c r="M620" s="2382">
        <f t="shared" si="88"/>
        <v>0</v>
      </c>
      <c r="N620" s="2382">
        <f t="shared" si="91"/>
        <v>0</v>
      </c>
      <c r="O620" s="2381">
        <f t="shared" si="89"/>
        <v>0</v>
      </c>
      <c r="P620" s="2408"/>
    </row>
    <row r="621" spans="1:16" s="2358" customFormat="1" ht="14.4" outlineLevel="1">
      <c r="A621" s="2361" t="e">
        <f t="shared" si="92"/>
        <v>#N/A</v>
      </c>
      <c r="B621" s="2383"/>
      <c r="C621" s="2395"/>
      <c r="D621" s="2455"/>
      <c r="E621" s="2425" t="s">
        <v>6207</v>
      </c>
      <c r="F621" s="2380"/>
      <c r="G621" s="2380"/>
      <c r="H621" s="2381"/>
      <c r="I621" s="2387"/>
      <c r="J621" s="2387"/>
      <c r="K621" s="2387"/>
      <c r="L621" s="2382">
        <f t="shared" si="90"/>
        <v>0</v>
      </c>
      <c r="M621" s="2382">
        <f t="shared" si="88"/>
        <v>0</v>
      </c>
      <c r="N621" s="2382">
        <f t="shared" si="91"/>
        <v>0</v>
      </c>
      <c r="O621" s="2381">
        <f t="shared" si="89"/>
        <v>0</v>
      </c>
      <c r="P621" s="2408"/>
    </row>
    <row r="622" spans="1:16" s="2358" customFormat="1" outlineLevel="1">
      <c r="A622" s="2361" t="str">
        <f t="shared" si="92"/>
        <v>Tủ CB trạm 1 pha + khóa + boulon</v>
      </c>
      <c r="B622" s="2386" t="s">
        <v>616</v>
      </c>
      <c r="C622" s="2380"/>
      <c r="D622" s="2373" t="s">
        <v>5717</v>
      </c>
      <c r="E622" s="2374" t="s">
        <v>3410</v>
      </c>
      <c r="F622" s="2373" t="s">
        <v>2563</v>
      </c>
      <c r="G622" s="2380">
        <f>G620</f>
        <v>0</v>
      </c>
      <c r="H622" s="2376">
        <v>3793194</v>
      </c>
      <c r="I622" s="2376"/>
      <c r="J622" s="2376">
        <v>599038</v>
      </c>
      <c r="K622" s="2376">
        <v>97369</v>
      </c>
      <c r="L622" s="2382">
        <f t="shared" si="90"/>
        <v>0</v>
      </c>
      <c r="M622" s="2382">
        <f t="shared" si="88"/>
        <v>0</v>
      </c>
      <c r="N622" s="2382">
        <f t="shared" si="91"/>
        <v>0</v>
      </c>
      <c r="O622" s="2381">
        <f t="shared" si="89"/>
        <v>0</v>
      </c>
      <c r="P622" s="2408"/>
    </row>
    <row r="623" spans="1:16" s="2358" customFormat="1" outlineLevel="1">
      <c r="A623" s="2361" t="str">
        <f t="shared" si="92"/>
        <v>Cổ dê bắt tủ</v>
      </c>
      <c r="B623" s="2383" t="s">
        <v>879</v>
      </c>
      <c r="C623" s="2380"/>
      <c r="D623" s="2373"/>
      <c r="E623" s="2374" t="s">
        <v>2999</v>
      </c>
      <c r="F623" s="2373" t="s">
        <v>2445</v>
      </c>
      <c r="G623" s="2380">
        <f>G620*2</f>
        <v>0</v>
      </c>
      <c r="H623" s="2376">
        <v>168000</v>
      </c>
      <c r="I623" s="2387"/>
      <c r="J623" s="2376"/>
      <c r="K623" s="2376">
        <v>0</v>
      </c>
      <c r="L623" s="2382">
        <f>H623*G623</f>
        <v>0</v>
      </c>
      <c r="M623" s="2382">
        <f t="shared" si="88"/>
        <v>0</v>
      </c>
      <c r="N623" s="2382">
        <f t="shared" si="91"/>
        <v>0</v>
      </c>
      <c r="O623" s="2381">
        <f t="shared" si="89"/>
        <v>0</v>
      </c>
      <c r="P623" s="2408"/>
    </row>
    <row r="624" spans="1:16" s="2358" customFormat="1" outlineLevel="1">
      <c r="A624" s="2361" t="str">
        <f t="shared" si="92"/>
        <v>Lắp cổ dề</v>
      </c>
      <c r="B624" s="2386" t="s">
        <v>1130</v>
      </c>
      <c r="C624" s="2380"/>
      <c r="D624" s="2373" t="s">
        <v>5333</v>
      </c>
      <c r="E624" s="2374" t="s">
        <v>5532</v>
      </c>
      <c r="F624" s="2373" t="s">
        <v>2563</v>
      </c>
      <c r="G624" s="2380">
        <f>G620*2</f>
        <v>0</v>
      </c>
      <c r="H624" s="2376">
        <v>0</v>
      </c>
      <c r="I624" s="2387"/>
      <c r="J624" s="2376">
        <v>77000</v>
      </c>
      <c r="K624" s="2376">
        <v>0</v>
      </c>
      <c r="L624" s="2382">
        <f>H624*G624</f>
        <v>0</v>
      </c>
      <c r="M624" s="2382">
        <f>I624*G624</f>
        <v>0</v>
      </c>
      <c r="N624" s="2382">
        <f>J624*G624</f>
        <v>0</v>
      </c>
      <c r="O624" s="2381">
        <f>K624*G624</f>
        <v>0</v>
      </c>
      <c r="P624" s="2408"/>
    </row>
    <row r="625" spans="1:16" s="2358" customFormat="1" outlineLevel="1">
      <c r="A625" s="2361" t="str">
        <f t="shared" si="92"/>
        <v>Boulon 12x40+ 2 long đền vuông D14-50x50x3/Zn</v>
      </c>
      <c r="B625" s="2383" t="s">
        <v>138</v>
      </c>
      <c r="C625" s="2380"/>
      <c r="D625" s="2373">
        <v>0</v>
      </c>
      <c r="E625" s="2374" t="s">
        <v>2635</v>
      </c>
      <c r="F625" s="2373" t="s">
        <v>2445</v>
      </c>
      <c r="G625" s="2380">
        <f>G620*4*0</f>
        <v>0</v>
      </c>
      <c r="H625" s="2376">
        <v>8500</v>
      </c>
      <c r="I625" s="2387"/>
      <c r="J625" s="2376">
        <v>0</v>
      </c>
      <c r="K625" s="2376">
        <v>0</v>
      </c>
      <c r="L625" s="2382">
        <f>H625*G625</f>
        <v>0</v>
      </c>
      <c r="M625" s="2382">
        <f>I625*G625</f>
        <v>0</v>
      </c>
      <c r="N625" s="2382">
        <f>J625*G625</f>
        <v>0</v>
      </c>
      <c r="O625" s="2381">
        <f>K625*G625</f>
        <v>0</v>
      </c>
      <c r="P625" s="2408"/>
    </row>
    <row r="626" spans="1:16" s="2358" customFormat="1" outlineLevel="1">
      <c r="A626" s="2361" t="str">
        <f t="shared" si="92"/>
        <v xml:space="preserve">Bakelit 550x450 dầy 10mm </v>
      </c>
      <c r="B626" s="2383" t="s">
        <v>880</v>
      </c>
      <c r="C626" s="2380"/>
      <c r="D626" s="2373">
        <v>0</v>
      </c>
      <c r="E626" s="2374" t="s">
        <v>5861</v>
      </c>
      <c r="F626" s="2373" t="s">
        <v>2563</v>
      </c>
      <c r="G626" s="2380">
        <f>G620*2</f>
        <v>0</v>
      </c>
      <c r="H626" s="2376">
        <v>284000</v>
      </c>
      <c r="I626" s="2387"/>
      <c r="J626" s="2376">
        <v>5404</v>
      </c>
      <c r="K626" s="2376">
        <v>0</v>
      </c>
      <c r="L626" s="2382">
        <f t="shared" si="90"/>
        <v>0</v>
      </c>
      <c r="M626" s="2382">
        <f t="shared" si="88"/>
        <v>0</v>
      </c>
      <c r="N626" s="2382">
        <f t="shared" si="91"/>
        <v>0</v>
      </c>
      <c r="O626" s="2381">
        <f t="shared" si="89"/>
        <v>0</v>
      </c>
      <c r="P626" s="2408"/>
    </row>
    <row r="627" spans="1:16" s="2358" customFormat="1" outlineLevel="1">
      <c r="A627" s="2361" t="e">
        <f t="shared" ref="A627:A658" si="93">VLOOKUP(B627,DonGia,3,0)</f>
        <v>#N/A</v>
      </c>
      <c r="B627" s="2383"/>
      <c r="C627" s="2395">
        <f>IF(G627&gt;0,C620+1,C620)</f>
        <v>0</v>
      </c>
      <c r="D627" s="2455"/>
      <c r="E627" s="2427" t="s">
        <v>6237</v>
      </c>
      <c r="F627" s="2395" t="s">
        <v>2391</v>
      </c>
      <c r="G627" s="2395">
        <f>G575</f>
        <v>0</v>
      </c>
      <c r="H627" s="2381"/>
      <c r="I627" s="2387"/>
      <c r="J627" s="2387"/>
      <c r="K627" s="2387"/>
      <c r="L627" s="2382">
        <f t="shared" si="90"/>
        <v>0</v>
      </c>
      <c r="M627" s="2382">
        <f t="shared" si="88"/>
        <v>0</v>
      </c>
      <c r="N627" s="2382">
        <f t="shared" si="91"/>
        <v>0</v>
      </c>
      <c r="O627" s="2381">
        <f t="shared" si="89"/>
        <v>0</v>
      </c>
      <c r="P627" s="2408"/>
    </row>
    <row r="628" spans="1:16" s="2358" customFormat="1" ht="14.4" outlineLevel="1">
      <c r="A628" s="2361" t="e">
        <f t="shared" si="93"/>
        <v>#N/A</v>
      </c>
      <c r="B628" s="2383"/>
      <c r="C628" s="2395"/>
      <c r="D628" s="2455"/>
      <c r="E628" s="2425" t="s">
        <v>6207</v>
      </c>
      <c r="F628" s="2380"/>
      <c r="G628" s="2380"/>
      <c r="H628" s="2381"/>
      <c r="I628" s="2387"/>
      <c r="J628" s="2387"/>
      <c r="K628" s="2387"/>
      <c r="L628" s="2382">
        <f t="shared" si="90"/>
        <v>0</v>
      </c>
      <c r="M628" s="2382">
        <f t="shared" si="88"/>
        <v>0</v>
      </c>
      <c r="N628" s="2382">
        <f t="shared" si="91"/>
        <v>0</v>
      </c>
      <c r="O628" s="2381">
        <f t="shared" si="89"/>
        <v>0</v>
      </c>
      <c r="P628" s="2408"/>
    </row>
    <row r="629" spans="1:16" s="2358" customFormat="1" outlineLevel="1">
      <c r="A629" s="2361" t="str">
        <f t="shared" si="93"/>
        <v>Cáp 24KV C/XLPE/PVC 25mm2</v>
      </c>
      <c r="B629" s="2386" t="s">
        <v>697</v>
      </c>
      <c r="C629" s="2380"/>
      <c r="D629" s="2373">
        <v>0</v>
      </c>
      <c r="E629" s="2374" t="s">
        <v>6401</v>
      </c>
      <c r="F629" s="2373" t="s">
        <v>2538</v>
      </c>
      <c r="G629" s="2380">
        <f>G627*3*3</f>
        <v>0</v>
      </c>
      <c r="H629" s="2376">
        <v>50996</v>
      </c>
      <c r="I629" s="2376"/>
      <c r="J629" s="2376">
        <v>0</v>
      </c>
      <c r="K629" s="2376">
        <v>0</v>
      </c>
      <c r="L629" s="2382">
        <f t="shared" si="90"/>
        <v>0</v>
      </c>
      <c r="M629" s="2382">
        <f t="shared" si="88"/>
        <v>0</v>
      </c>
      <c r="N629" s="2382">
        <f t="shared" si="91"/>
        <v>0</v>
      </c>
      <c r="O629" s="2381">
        <f t="shared" si="89"/>
        <v>0</v>
      </c>
      <c r="P629" s="2408"/>
    </row>
    <row r="630" spans="1:16" s="2358" customFormat="1" outlineLevel="1">
      <c r="A630" s="2361" t="str">
        <f t="shared" si="93"/>
        <v>Kẹp quai 2/0</v>
      </c>
      <c r="B630" s="2371" t="s">
        <v>1482</v>
      </c>
      <c r="C630" s="2380"/>
      <c r="D630" s="2373">
        <v>0</v>
      </c>
      <c r="E630" s="2374" t="s">
        <v>3810</v>
      </c>
      <c r="F630" s="2373" t="s">
        <v>2563</v>
      </c>
      <c r="G630" s="2380">
        <f>3*G627</f>
        <v>0</v>
      </c>
      <c r="H630" s="2376">
        <v>46000</v>
      </c>
      <c r="I630" s="2376"/>
      <c r="J630" s="2376">
        <v>0</v>
      </c>
      <c r="K630" s="2376">
        <v>0</v>
      </c>
      <c r="L630" s="2382">
        <f t="shared" si="90"/>
        <v>0</v>
      </c>
      <c r="M630" s="2382">
        <f t="shared" si="88"/>
        <v>0</v>
      </c>
      <c r="N630" s="2382">
        <f t="shared" si="91"/>
        <v>0</v>
      </c>
      <c r="O630" s="2381">
        <f t="shared" si="89"/>
        <v>0</v>
      </c>
      <c r="P630" s="2408"/>
    </row>
    <row r="631" spans="1:16" s="2358" customFormat="1" outlineLevel="1">
      <c r="A631" s="2361" t="str">
        <f t="shared" si="93"/>
        <v>Kẹp hotline 2/0</v>
      </c>
      <c r="B631" s="2371" t="s">
        <v>1480</v>
      </c>
      <c r="C631" s="2380"/>
      <c r="D631" s="2373">
        <v>0</v>
      </c>
      <c r="E631" s="2374" t="s">
        <v>4361</v>
      </c>
      <c r="F631" s="2373" t="s">
        <v>2563</v>
      </c>
      <c r="G631" s="2380">
        <f>3*G624</f>
        <v>0</v>
      </c>
      <c r="H631" s="2376">
        <v>77000</v>
      </c>
      <c r="I631" s="2376"/>
      <c r="J631" s="2376">
        <v>0</v>
      </c>
      <c r="K631" s="2376">
        <v>0</v>
      </c>
      <c r="L631" s="2382">
        <f t="shared" si="90"/>
        <v>0</v>
      </c>
      <c r="M631" s="2382">
        <f>I631*G631</f>
        <v>0</v>
      </c>
      <c r="N631" s="2382">
        <f>J631*G631</f>
        <v>0</v>
      </c>
      <c r="O631" s="2381">
        <f>K631*G631</f>
        <v>0</v>
      </c>
      <c r="P631" s="2408"/>
    </row>
    <row r="632" spans="1:16" s="2358" customFormat="1" outlineLevel="1">
      <c r="A632" s="2361" t="str">
        <f t="shared" si="93"/>
        <v>Nắp che đầu cực FCO</v>
      </c>
      <c r="B632" s="2371" t="s">
        <v>5761</v>
      </c>
      <c r="C632" s="2380"/>
      <c r="D632" s="2373">
        <v>0</v>
      </c>
      <c r="E632" s="2374" t="s">
        <v>5762</v>
      </c>
      <c r="F632" s="2405" t="s">
        <v>2563</v>
      </c>
      <c r="G632" s="2380">
        <f>3*G625</f>
        <v>0</v>
      </c>
      <c r="H632" s="2376">
        <v>218200</v>
      </c>
      <c r="I632" s="2376"/>
      <c r="J632" s="2376">
        <v>0</v>
      </c>
      <c r="K632" s="2376">
        <v>0</v>
      </c>
      <c r="L632" s="2382">
        <f t="shared" si="90"/>
        <v>0</v>
      </c>
      <c r="M632" s="2382">
        <f>I632*G632</f>
        <v>0</v>
      </c>
      <c r="N632" s="2382">
        <f>J632*G632</f>
        <v>0</v>
      </c>
      <c r="O632" s="2381">
        <f>K632*G632</f>
        <v>0</v>
      </c>
      <c r="P632" s="2408"/>
    </row>
    <row r="633" spans="1:16" s="2358" customFormat="1" outlineLevel="1">
      <c r="A633" s="2361" t="str">
        <f t="shared" si="93"/>
        <v>Nắp che đầu cực LA</v>
      </c>
      <c r="B633" s="2371" t="s">
        <v>5767</v>
      </c>
      <c r="C633" s="2380"/>
      <c r="D633" s="2373">
        <v>0</v>
      </c>
      <c r="E633" s="2374" t="s">
        <v>5768</v>
      </c>
      <c r="F633" s="2405" t="s">
        <v>2563</v>
      </c>
      <c r="G633" s="2380">
        <f>3*G626</f>
        <v>0</v>
      </c>
      <c r="H633" s="2376">
        <v>39100</v>
      </c>
      <c r="I633" s="2376"/>
      <c r="J633" s="2376">
        <v>0</v>
      </c>
      <c r="K633" s="2376">
        <v>0</v>
      </c>
      <c r="L633" s="2382">
        <f t="shared" si="90"/>
        <v>0</v>
      </c>
      <c r="M633" s="2382">
        <f>I633*G633</f>
        <v>0</v>
      </c>
      <c r="N633" s="2382">
        <f>J633*G633</f>
        <v>0</v>
      </c>
      <c r="O633" s="2381">
        <f>K633*G633</f>
        <v>0</v>
      </c>
      <c r="P633" s="2408"/>
    </row>
    <row r="634" spans="1:16" s="2358" customFormat="1" outlineLevel="1">
      <c r="A634" s="2361" t="str">
        <f t="shared" si="93"/>
        <v>Nắp che đầu sứ MBA</v>
      </c>
      <c r="B634" s="2371" t="s">
        <v>5769</v>
      </c>
      <c r="C634" s="2380"/>
      <c r="D634" s="2373">
        <v>0</v>
      </c>
      <c r="E634" s="2374" t="s">
        <v>5770</v>
      </c>
      <c r="F634" s="2405" t="s">
        <v>2563</v>
      </c>
      <c r="G634" s="2380">
        <f>3*G627</f>
        <v>0</v>
      </c>
      <c r="H634" s="2376">
        <v>56700</v>
      </c>
      <c r="I634" s="2376"/>
      <c r="J634" s="2376">
        <v>0</v>
      </c>
      <c r="K634" s="2376">
        <v>0</v>
      </c>
      <c r="L634" s="2382">
        <f t="shared" si="90"/>
        <v>0</v>
      </c>
      <c r="M634" s="2382">
        <f t="shared" si="88"/>
        <v>0</v>
      </c>
      <c r="N634" s="2382">
        <f t="shared" si="91"/>
        <v>0</v>
      </c>
      <c r="O634" s="2381">
        <f t="shared" si="89"/>
        <v>0</v>
      </c>
      <c r="P634" s="2408"/>
    </row>
    <row r="635" spans="1:16" s="2358" customFormat="1" outlineLevel="1">
      <c r="A635" s="2361" t="str">
        <f t="shared" si="93"/>
        <v>Lắp cáp đồng xuống thiết bị D ≤ 95mm2</v>
      </c>
      <c r="B635" s="2371" t="s">
        <v>1528</v>
      </c>
      <c r="C635" s="2380"/>
      <c r="D635" s="2373" t="s">
        <v>5633</v>
      </c>
      <c r="E635" s="2374" t="s">
        <v>3310</v>
      </c>
      <c r="F635" s="2373" t="s">
        <v>1827</v>
      </c>
      <c r="G635" s="2380">
        <f>G629</f>
        <v>0</v>
      </c>
      <c r="H635" s="2376">
        <v>0</v>
      </c>
      <c r="I635" s="2376"/>
      <c r="J635" s="2376">
        <v>13915</v>
      </c>
      <c r="K635" s="2376">
        <v>0</v>
      </c>
      <c r="L635" s="2382">
        <f t="shared" si="90"/>
        <v>0</v>
      </c>
      <c r="M635" s="2382">
        <f>I635*G635</f>
        <v>0</v>
      </c>
      <c r="N635" s="2382">
        <f>J635*G635</f>
        <v>0</v>
      </c>
      <c r="O635" s="2381">
        <f>K635*G635</f>
        <v>0</v>
      </c>
      <c r="P635" s="2408"/>
    </row>
    <row r="636" spans="1:16" s="2358" customFormat="1" outlineLevel="1">
      <c r="A636" s="2361" t="e">
        <f t="shared" si="93"/>
        <v>#N/A</v>
      </c>
      <c r="B636" s="2383"/>
      <c r="C636" s="2395">
        <f>IF(G636&gt;0,C627+1,C627)</f>
        <v>0</v>
      </c>
      <c r="D636" s="2455"/>
      <c r="E636" s="2411" t="s">
        <v>6238</v>
      </c>
      <c r="F636" s="2395" t="s">
        <v>2391</v>
      </c>
      <c r="G636" s="2395">
        <f>G567/3</f>
        <v>0</v>
      </c>
      <c r="H636" s="2381"/>
      <c r="I636" s="2387"/>
      <c r="J636" s="2387"/>
      <c r="K636" s="2387"/>
      <c r="L636" s="2382">
        <f t="shared" si="90"/>
        <v>0</v>
      </c>
      <c r="M636" s="2382">
        <f t="shared" si="88"/>
        <v>0</v>
      </c>
      <c r="N636" s="2382">
        <f t="shared" si="91"/>
        <v>0</v>
      </c>
      <c r="O636" s="2381">
        <f t="shared" si="89"/>
        <v>0</v>
      </c>
      <c r="P636" s="2408"/>
    </row>
    <row r="637" spans="1:16" s="2358" customFormat="1" ht="14.4" outlineLevel="1">
      <c r="A637" s="2361" t="e">
        <f t="shared" si="93"/>
        <v>#N/A</v>
      </c>
      <c r="B637" s="2383"/>
      <c r="C637" s="2395"/>
      <c r="D637" s="2455"/>
      <c r="E637" s="2425" t="s">
        <v>6207</v>
      </c>
      <c r="F637" s="2380"/>
      <c r="G637" s="2380"/>
      <c r="H637" s="2381"/>
      <c r="I637" s="2387"/>
      <c r="J637" s="2387"/>
      <c r="K637" s="2387"/>
      <c r="L637" s="2382">
        <f t="shared" si="90"/>
        <v>0</v>
      </c>
      <c r="M637" s="2382">
        <f t="shared" si="88"/>
        <v>0</v>
      </c>
      <c r="N637" s="2382">
        <f t="shared" si="91"/>
        <v>0</v>
      </c>
      <c r="O637" s="2381">
        <f t="shared" si="89"/>
        <v>0</v>
      </c>
      <c r="P637" s="2408"/>
    </row>
    <row r="638" spans="1:16" s="2358" customFormat="1" outlineLevel="1">
      <c r="A638" s="2361" t="str">
        <f t="shared" si="93"/>
        <v>Cáp đồng bọc CV50</v>
      </c>
      <c r="B638" s="2383" t="s">
        <v>82</v>
      </c>
      <c r="C638" s="2380"/>
      <c r="D638" s="2373">
        <v>0</v>
      </c>
      <c r="E638" s="2374" t="s">
        <v>2800</v>
      </c>
      <c r="F638" s="2373" t="s">
        <v>2538</v>
      </c>
      <c r="G638" s="2380">
        <f>4*7*G636</f>
        <v>0</v>
      </c>
      <c r="H638" s="2376">
        <v>91800</v>
      </c>
      <c r="I638" s="2376"/>
      <c r="J638" s="2376">
        <v>0</v>
      </c>
      <c r="K638" s="2376">
        <v>0</v>
      </c>
      <c r="L638" s="2382">
        <f>H638*G638</f>
        <v>0</v>
      </c>
      <c r="M638" s="2382">
        <f t="shared" si="88"/>
        <v>0</v>
      </c>
      <c r="N638" s="2382">
        <f t="shared" si="91"/>
        <v>0</v>
      </c>
      <c r="O638" s="2381">
        <f t="shared" si="89"/>
        <v>0</v>
      </c>
      <c r="P638" s="2408"/>
    </row>
    <row r="639" spans="1:16" s="2358" customFormat="1" outlineLevel="1">
      <c r="A639" s="2361" t="str">
        <f t="shared" si="93"/>
        <v xml:space="preserve">Cáp CVV 4x2,5mm2  </v>
      </c>
      <c r="B639" s="2383" t="s">
        <v>1069</v>
      </c>
      <c r="C639" s="2380"/>
      <c r="D639" s="2373" t="s">
        <v>1530</v>
      </c>
      <c r="E639" s="2374" t="s">
        <v>2792</v>
      </c>
      <c r="F639" s="2373" t="s">
        <v>2538</v>
      </c>
      <c r="G639" s="2380">
        <f>4*G636</f>
        <v>0</v>
      </c>
      <c r="H639" s="2376">
        <v>28200</v>
      </c>
      <c r="I639" s="2376"/>
      <c r="J639" s="2376">
        <v>0</v>
      </c>
      <c r="K639" s="2376">
        <v>0</v>
      </c>
      <c r="L639" s="2382">
        <f>H639*G639</f>
        <v>0</v>
      </c>
      <c r="M639" s="2382">
        <f>I639*G639</f>
        <v>0</v>
      </c>
      <c r="N639" s="2382">
        <f>J639*G639</f>
        <v>0</v>
      </c>
      <c r="O639" s="2381">
        <f>K639*G639</f>
        <v>0</v>
      </c>
      <c r="P639" s="2408"/>
    </row>
    <row r="640" spans="1:16" s="2358" customFormat="1" outlineLevel="1">
      <c r="A640" s="2361" t="str">
        <f t="shared" si="93"/>
        <v>Đầu cosse ép Cu 50mm2</v>
      </c>
      <c r="B640" s="2383" t="s">
        <v>1305</v>
      </c>
      <c r="C640" s="2380"/>
      <c r="D640" s="2373" t="s">
        <v>5787</v>
      </c>
      <c r="E640" s="2374" t="s">
        <v>3497</v>
      </c>
      <c r="F640" s="2373" t="s">
        <v>2563</v>
      </c>
      <c r="G640" s="2380">
        <f>4*G636</f>
        <v>0</v>
      </c>
      <c r="H640" s="2376">
        <v>9100</v>
      </c>
      <c r="I640" s="2376"/>
      <c r="J640" s="2376">
        <v>10608.955000000002</v>
      </c>
      <c r="K640" s="2376">
        <v>2777.0232475000003</v>
      </c>
      <c r="L640" s="2382">
        <f t="shared" si="90"/>
        <v>0</v>
      </c>
      <c r="M640" s="2382">
        <f t="shared" si="88"/>
        <v>0</v>
      </c>
      <c r="N640" s="2382">
        <f t="shared" si="91"/>
        <v>0</v>
      </c>
      <c r="O640" s="2381">
        <f t="shared" si="89"/>
        <v>0</v>
      </c>
      <c r="P640" s="2408"/>
    </row>
    <row r="641" spans="1:16" s="2358" customFormat="1" outlineLevel="1">
      <c r="A641" s="2361" t="str">
        <f t="shared" si="93"/>
        <v>Chụp đầu cosse  50mm2</v>
      </c>
      <c r="B641" s="2383" t="s">
        <v>2157</v>
      </c>
      <c r="C641" s="2380"/>
      <c r="D641" s="2373">
        <v>0</v>
      </c>
      <c r="E641" s="2374" t="s">
        <v>3511</v>
      </c>
      <c r="F641" s="2373" t="s">
        <v>2563</v>
      </c>
      <c r="G641" s="2380">
        <f>G640</f>
        <v>0</v>
      </c>
      <c r="H641" s="2376">
        <v>1000</v>
      </c>
      <c r="I641" s="2376"/>
      <c r="J641" s="2376">
        <v>0</v>
      </c>
      <c r="K641" s="2376">
        <v>0</v>
      </c>
      <c r="L641" s="2382">
        <f>H641*G641</f>
        <v>0</v>
      </c>
      <c r="M641" s="2382">
        <f>I641*G641</f>
        <v>0</v>
      </c>
      <c r="N641" s="2382">
        <f>J641*G641</f>
        <v>0</v>
      </c>
      <c r="O641" s="2381">
        <f>K641*G641</f>
        <v>0</v>
      </c>
      <c r="P641" s="2408"/>
    </row>
    <row r="642" spans="1:16" s="2358" customFormat="1" outlineLevel="1">
      <c r="A642" s="2361" t="str">
        <f t="shared" si="93"/>
        <v xml:space="preserve">Ống PVC D90x3,8mm </v>
      </c>
      <c r="B642" s="2383" t="s">
        <v>282</v>
      </c>
      <c r="C642" s="2380"/>
      <c r="D642" s="2373">
        <v>0</v>
      </c>
      <c r="E642" s="2374" t="s">
        <v>3550</v>
      </c>
      <c r="F642" s="2373" t="s">
        <v>1827</v>
      </c>
      <c r="G642" s="2380">
        <f>6*G636</f>
        <v>0</v>
      </c>
      <c r="H642" s="2376">
        <v>63200</v>
      </c>
      <c r="I642" s="2387"/>
      <c r="J642" s="2376">
        <v>0</v>
      </c>
      <c r="K642" s="2376">
        <v>0</v>
      </c>
      <c r="L642" s="2382">
        <f t="shared" si="90"/>
        <v>0</v>
      </c>
      <c r="M642" s="2382">
        <f t="shared" si="88"/>
        <v>0</v>
      </c>
      <c r="N642" s="2382">
        <f t="shared" si="91"/>
        <v>0</v>
      </c>
      <c r="O642" s="2381">
        <f t="shared" si="89"/>
        <v>0</v>
      </c>
      <c r="P642" s="2408"/>
    </row>
    <row r="643" spans="1:16" s="2358" customFormat="1" outlineLevel="1">
      <c r="A643" s="2361" t="str">
        <f t="shared" si="93"/>
        <v>Cổ dê kẹp ống PVC Ø 90</v>
      </c>
      <c r="B643" s="2386" t="s">
        <v>1994</v>
      </c>
      <c r="C643" s="2380"/>
      <c r="D643" s="2373">
        <v>0</v>
      </c>
      <c r="E643" s="2374" t="s">
        <v>5318</v>
      </c>
      <c r="F643" s="2373" t="s">
        <v>2445</v>
      </c>
      <c r="G643" s="2380">
        <f>3*G636</f>
        <v>0</v>
      </c>
      <c r="H643" s="2376">
        <v>49000</v>
      </c>
      <c r="I643" s="2387"/>
      <c r="J643" s="2376">
        <v>0</v>
      </c>
      <c r="K643" s="2376">
        <v>0</v>
      </c>
      <c r="L643" s="2382">
        <f t="shared" si="90"/>
        <v>0</v>
      </c>
      <c r="M643" s="2382">
        <f t="shared" si="88"/>
        <v>0</v>
      </c>
      <c r="N643" s="2382">
        <f t="shared" si="91"/>
        <v>0</v>
      </c>
      <c r="O643" s="2381">
        <f t="shared" si="89"/>
        <v>0</v>
      </c>
      <c r="P643" s="2408"/>
    </row>
    <row r="644" spans="1:16" s="2358" customFormat="1" outlineLevel="1">
      <c r="A644" s="2361" t="str">
        <f t="shared" si="93"/>
        <v>Lắp cổ dề</v>
      </c>
      <c r="B644" s="2386" t="s">
        <v>1130</v>
      </c>
      <c r="C644" s="2380"/>
      <c r="D644" s="2373" t="s">
        <v>5333</v>
      </c>
      <c r="E644" s="2374" t="s">
        <v>5532</v>
      </c>
      <c r="F644" s="2373" t="s">
        <v>2563</v>
      </c>
      <c r="G644" s="2380">
        <f>3*G637</f>
        <v>0</v>
      </c>
      <c r="H644" s="2376">
        <v>0</v>
      </c>
      <c r="I644" s="2387"/>
      <c r="J644" s="2376">
        <v>77000</v>
      </c>
      <c r="K644" s="2376">
        <v>0</v>
      </c>
      <c r="L644" s="2382">
        <f>H644*G644</f>
        <v>0</v>
      </c>
      <c r="M644" s="2382">
        <f>I644*G644</f>
        <v>0</v>
      </c>
      <c r="N644" s="2382">
        <f>J644*G644</f>
        <v>0</v>
      </c>
      <c r="O644" s="2381">
        <f>K644*G644</f>
        <v>0</v>
      </c>
      <c r="P644" s="2408"/>
    </row>
    <row r="645" spans="1:16" s="2358" customFormat="1" outlineLevel="1">
      <c r="A645" s="2361" t="str">
        <f t="shared" si="93"/>
        <v>Co  90 độ PVC 90</v>
      </c>
      <c r="B645" s="2383" t="s">
        <v>70</v>
      </c>
      <c r="C645" s="2380"/>
      <c r="D645" s="2373">
        <v>0</v>
      </c>
      <c r="E645" s="2374" t="s">
        <v>5859</v>
      </c>
      <c r="F645" s="2373" t="s">
        <v>2563</v>
      </c>
      <c r="G645" s="2380">
        <f>2*G636</f>
        <v>0</v>
      </c>
      <c r="H645" s="2376">
        <v>45400</v>
      </c>
      <c r="I645" s="2387"/>
      <c r="J645" s="2376">
        <v>0</v>
      </c>
      <c r="K645" s="2376">
        <v>0</v>
      </c>
      <c r="L645" s="2382">
        <f t="shared" si="90"/>
        <v>0</v>
      </c>
      <c r="M645" s="2382">
        <f t="shared" si="88"/>
        <v>0</v>
      </c>
      <c r="N645" s="2382">
        <f t="shared" si="91"/>
        <v>0</v>
      </c>
      <c r="O645" s="2381">
        <f t="shared" si="89"/>
        <v>0</v>
      </c>
      <c r="P645" s="2408"/>
    </row>
    <row r="646" spans="1:16" s="2358" customFormat="1" outlineLevel="1">
      <c r="A646" s="2361" t="str">
        <f t="shared" si="93"/>
        <v>Khâu ven răng trong D90</v>
      </c>
      <c r="B646" s="2383" t="s">
        <v>2159</v>
      </c>
      <c r="C646" s="2380"/>
      <c r="D646" s="2373">
        <v>0</v>
      </c>
      <c r="E646" s="2374" t="s">
        <v>3592</v>
      </c>
      <c r="F646" s="2373" t="s">
        <v>2563</v>
      </c>
      <c r="G646" s="2380">
        <f>G636</f>
        <v>0</v>
      </c>
      <c r="H646" s="2376">
        <v>25800</v>
      </c>
      <c r="I646" s="2387"/>
      <c r="J646" s="2376">
        <v>0</v>
      </c>
      <c r="K646" s="2376">
        <v>0</v>
      </c>
      <c r="L646" s="2382">
        <f>H646*G646</f>
        <v>0</v>
      </c>
      <c r="M646" s="2382">
        <f>I646*G646</f>
        <v>0</v>
      </c>
      <c r="N646" s="2382">
        <f>J646*G646</f>
        <v>0</v>
      </c>
      <c r="O646" s="2381">
        <f>K646*G646</f>
        <v>0</v>
      </c>
      <c r="P646" s="2408"/>
    </row>
    <row r="647" spans="1:16" s="2358" customFormat="1" outlineLevel="1">
      <c r="A647" s="2361" t="str">
        <f t="shared" si="93"/>
        <v>Khâu ven răng ngoài D90</v>
      </c>
      <c r="B647" s="2383" t="s">
        <v>2160</v>
      </c>
      <c r="C647" s="2380"/>
      <c r="D647" s="2373">
        <v>0</v>
      </c>
      <c r="E647" s="2374" t="s">
        <v>3596</v>
      </c>
      <c r="F647" s="2373" t="s">
        <v>2563</v>
      </c>
      <c r="G647" s="2380">
        <f>G646</f>
        <v>0</v>
      </c>
      <c r="H647" s="2376">
        <v>21500</v>
      </c>
      <c r="I647" s="2387"/>
      <c r="J647" s="2376">
        <v>0</v>
      </c>
      <c r="K647" s="2376">
        <v>0</v>
      </c>
      <c r="L647" s="2382">
        <f>H647*G647</f>
        <v>0</v>
      </c>
      <c r="M647" s="2382">
        <f>I647*G647</f>
        <v>0</v>
      </c>
      <c r="N647" s="2382">
        <f>J647*G647</f>
        <v>0</v>
      </c>
      <c r="O647" s="2381">
        <f>K647*G647</f>
        <v>0</v>
      </c>
      <c r="P647" s="2408"/>
    </row>
    <row r="648" spans="1:16" s="2358" customFormat="1" outlineLevel="1">
      <c r="A648" s="2361" t="str">
        <f t="shared" si="93"/>
        <v>Keo dán ống PVC (100gr)</v>
      </c>
      <c r="B648" s="2383" t="s">
        <v>419</v>
      </c>
      <c r="C648" s="2380"/>
      <c r="D648" s="2373">
        <v>0</v>
      </c>
      <c r="E648" s="2374" t="s">
        <v>3588</v>
      </c>
      <c r="F648" s="2373" t="s">
        <v>3589</v>
      </c>
      <c r="G648" s="2380">
        <f>G636</f>
        <v>0</v>
      </c>
      <c r="H648" s="2376">
        <v>11500</v>
      </c>
      <c r="I648" s="2387"/>
      <c r="J648" s="2376">
        <v>0</v>
      </c>
      <c r="K648" s="2376">
        <v>0</v>
      </c>
      <c r="L648" s="2382">
        <f>H648*G648</f>
        <v>0</v>
      </c>
      <c r="M648" s="2382">
        <f>I648*G648</f>
        <v>0</v>
      </c>
      <c r="N648" s="2382">
        <f>J648*G648</f>
        <v>0</v>
      </c>
      <c r="O648" s="2381">
        <f>K648*G648</f>
        <v>0</v>
      </c>
      <c r="P648" s="2408"/>
    </row>
    <row r="649" spans="1:16" s="2358" customFormat="1" outlineLevel="1">
      <c r="A649" s="2361" t="str">
        <f t="shared" si="93"/>
        <v>Keo silicon bít miệng ống</v>
      </c>
      <c r="B649" s="2383" t="s">
        <v>1179</v>
      </c>
      <c r="C649" s="2380"/>
      <c r="D649" s="2373">
        <v>0</v>
      </c>
      <c r="E649" s="2374" t="s">
        <v>3585</v>
      </c>
      <c r="F649" s="2373" t="s">
        <v>5868</v>
      </c>
      <c r="G649" s="2380">
        <f>G636</f>
        <v>0</v>
      </c>
      <c r="H649" s="2376">
        <v>45000</v>
      </c>
      <c r="I649" s="2387"/>
      <c r="J649" s="2376">
        <v>0</v>
      </c>
      <c r="K649" s="2376">
        <v>0</v>
      </c>
      <c r="L649" s="2382">
        <f>H649*G649</f>
        <v>0</v>
      </c>
      <c r="M649" s="2382">
        <f>I649*G649</f>
        <v>0</v>
      </c>
      <c r="N649" s="2382">
        <f>J649*G649</f>
        <v>0</v>
      </c>
      <c r="O649" s="2381">
        <f>K649*G649</f>
        <v>0</v>
      </c>
      <c r="P649" s="2408"/>
    </row>
    <row r="650" spans="1:16" s="2358" customFormat="1" outlineLevel="1">
      <c r="A650" s="2361" t="str">
        <f t="shared" si="93"/>
        <v>Băng keo cách điện</v>
      </c>
      <c r="B650" s="2386" t="s">
        <v>672</v>
      </c>
      <c r="C650" s="2380"/>
      <c r="D650" s="2373">
        <v>0</v>
      </c>
      <c r="E650" s="2374" t="s">
        <v>5863</v>
      </c>
      <c r="F650" s="2373" t="s">
        <v>3584</v>
      </c>
      <c r="G650" s="2380">
        <f>G636</f>
        <v>0</v>
      </c>
      <c r="H650" s="2376">
        <v>6500</v>
      </c>
      <c r="I650" s="2387"/>
      <c r="J650" s="2376">
        <v>0</v>
      </c>
      <c r="K650" s="2376">
        <v>0</v>
      </c>
      <c r="L650" s="2382">
        <f t="shared" si="90"/>
        <v>0</v>
      </c>
      <c r="M650" s="2382">
        <f t="shared" si="88"/>
        <v>0</v>
      </c>
      <c r="N650" s="2382">
        <f t="shared" si="91"/>
        <v>0</v>
      </c>
      <c r="O650" s="2381">
        <f t="shared" si="89"/>
        <v>0</v>
      </c>
      <c r="P650" s="2408"/>
    </row>
    <row r="651" spans="1:16" s="2358" customFormat="1" outlineLevel="1">
      <c r="A651" s="2361" t="str">
        <f t="shared" si="93"/>
        <v>Lắp ống nhựa PVC D90</v>
      </c>
      <c r="B651" s="2383" t="s">
        <v>552</v>
      </c>
      <c r="C651" s="2380"/>
      <c r="D651" s="2373" t="s">
        <v>5609</v>
      </c>
      <c r="E651" s="2374" t="s">
        <v>3270</v>
      </c>
      <c r="F651" s="2373" t="s">
        <v>2538</v>
      </c>
      <c r="G651" s="2380">
        <f>G642</f>
        <v>0</v>
      </c>
      <c r="H651" s="2376"/>
      <c r="I651" s="2381"/>
      <c r="J651" s="2376">
        <v>55493.02</v>
      </c>
      <c r="K651" s="2376">
        <v>0</v>
      </c>
      <c r="L651" s="2382">
        <f t="shared" si="90"/>
        <v>0</v>
      </c>
      <c r="M651" s="2382">
        <f t="shared" si="88"/>
        <v>0</v>
      </c>
      <c r="N651" s="2382">
        <f t="shared" si="91"/>
        <v>0</v>
      </c>
      <c r="O651" s="2381">
        <f t="shared" si="89"/>
        <v>0</v>
      </c>
      <c r="P651" s="2408"/>
    </row>
    <row r="652" spans="1:16" s="2358" customFormat="1" outlineLevel="1">
      <c r="A652" s="2361" t="str">
        <f t="shared" si="93"/>
        <v>Lắp cáp đồng xuống thiết bị D ≤ 95mm2</v>
      </c>
      <c r="B652" s="2386" t="s">
        <v>1528</v>
      </c>
      <c r="C652" s="2380"/>
      <c r="D652" s="2373" t="s">
        <v>5633</v>
      </c>
      <c r="E652" s="2374" t="s">
        <v>3310</v>
      </c>
      <c r="F652" s="2373" t="s">
        <v>1827</v>
      </c>
      <c r="G652" s="2380">
        <f>G638</f>
        <v>0</v>
      </c>
      <c r="H652" s="2376"/>
      <c r="I652" s="2381"/>
      <c r="J652" s="2376">
        <v>13915</v>
      </c>
      <c r="K652" s="2376">
        <v>0</v>
      </c>
      <c r="L652" s="2382">
        <f>H652*G652</f>
        <v>0</v>
      </c>
      <c r="M652" s="2382">
        <f>I652*G652</f>
        <v>0</v>
      </c>
      <c r="N652" s="2382">
        <f>J652*G652</f>
        <v>0</v>
      </c>
      <c r="O652" s="2381">
        <f>K652*G652</f>
        <v>0</v>
      </c>
      <c r="P652" s="2408"/>
    </row>
    <row r="653" spans="1:16" s="2358" customFormat="1" outlineLevel="1">
      <c r="A653" s="2361" t="str">
        <f t="shared" si="93"/>
        <v>Bảng tên trạm, bảng báo nguy hiểm + đinh vít</v>
      </c>
      <c r="B653" s="2383" t="s">
        <v>289</v>
      </c>
      <c r="C653" s="2413">
        <f>IF(G653&gt;0,C636+1,C636)</f>
        <v>0</v>
      </c>
      <c r="D653" s="2414"/>
      <c r="E653" s="2374" t="s">
        <v>5774</v>
      </c>
      <c r="F653" s="2373" t="s">
        <v>2563</v>
      </c>
      <c r="G653" s="2417">
        <f>G599</f>
        <v>0</v>
      </c>
      <c r="H653" s="2376">
        <v>300000</v>
      </c>
      <c r="I653" s="2458"/>
      <c r="J653" s="2376">
        <v>0</v>
      </c>
      <c r="K653" s="2376">
        <v>0</v>
      </c>
      <c r="L653" s="2415">
        <f>H653*G653</f>
        <v>0</v>
      </c>
      <c r="M653" s="2415">
        <f>I653*G653</f>
        <v>0</v>
      </c>
      <c r="N653" s="2415">
        <f>J653*G653</f>
        <v>0</v>
      </c>
      <c r="O653" s="2416">
        <f>K653*G653</f>
        <v>0</v>
      </c>
      <c r="P653" s="2432"/>
    </row>
    <row r="654" spans="1:16" s="2358" customFormat="1" outlineLevel="1">
      <c r="A654" s="2361" t="e">
        <f t="shared" si="93"/>
        <v>#N/A</v>
      </c>
      <c r="B654" s="2383"/>
      <c r="C654" s="2418"/>
      <c r="D654" s="2419"/>
      <c r="E654" s="2392"/>
      <c r="F654" s="2875"/>
      <c r="G654" s="2875"/>
      <c r="H654" s="2875"/>
      <c r="I654" s="2875"/>
      <c r="J654" s="2911" t="s">
        <v>6205</v>
      </c>
      <c r="K654" s="2911"/>
      <c r="L654" s="2420">
        <f>SUM(L577:L653)</f>
        <v>0</v>
      </c>
      <c r="M654" s="2420"/>
      <c r="N654" s="2420">
        <f>SUM(N577:N653)</f>
        <v>0</v>
      </c>
      <c r="O654" s="2420">
        <f>SUM(O577:O653)</f>
        <v>0</v>
      </c>
      <c r="P654" s="2423"/>
    </row>
    <row r="655" spans="1:16" s="2358" customFormat="1" ht="13.8" customHeight="1">
      <c r="A655" s="2402" t="str">
        <f>IF(G661&lt;&gt;0,1,"")</f>
        <v/>
      </c>
      <c r="B655" s="2384"/>
      <c r="C655" s="2876"/>
      <c r="D655" s="2880"/>
    </row>
    <row r="656" spans="1:16" s="2358" customFormat="1" ht="13.8" customHeight="1">
      <c r="A656" s="2402"/>
      <c r="B656" s="2384"/>
      <c r="C656" s="2876"/>
      <c r="D656" s="2880"/>
      <c r="E656" s="2397"/>
    </row>
    <row r="657" spans="1:16" s="2358" customFormat="1" outlineLevel="1">
      <c r="A657" s="2361" t="str">
        <f>A655</f>
        <v/>
      </c>
      <c r="B657" s="2384"/>
      <c r="C657" s="2397" t="str">
        <f>"BẢNG TỔNG HỢP VẬT LIỆU, NHÂN CÔNG, MÁY THI CÔNG: "&amp;K7&amp;" TRẠM 3P 3x25KVA"</f>
        <v>BẢNG TỔNG HỢP VẬT LIỆU, NHÂN CÔNG, MÁY THI CÔNG: 0 TRẠM 3P 3x25KVA</v>
      </c>
      <c r="D657" s="2397"/>
      <c r="E657" s="2397"/>
      <c r="F657" s="2397"/>
      <c r="G657" s="2397"/>
      <c r="H657" s="2397"/>
      <c r="I657" s="2397"/>
      <c r="J657" s="2397"/>
      <c r="K657" s="2397"/>
      <c r="L657" s="2397"/>
      <c r="M657" s="2397"/>
      <c r="N657" s="2397"/>
      <c r="O657" s="2397"/>
      <c r="P657" s="2402"/>
    </row>
    <row r="658" spans="1:16" s="2358" customFormat="1" outlineLevel="1">
      <c r="A658" s="2361" t="str">
        <f>A657</f>
        <v/>
      </c>
      <c r="B658" s="2383" t="s">
        <v>6186</v>
      </c>
      <c r="C658" s="2901" t="s">
        <v>1712</v>
      </c>
      <c r="D658" s="2902" t="s">
        <v>2605</v>
      </c>
      <c r="E658" s="2904" t="s">
        <v>2606</v>
      </c>
      <c r="F658" s="2901" t="s">
        <v>2601</v>
      </c>
      <c r="G658" s="2362" t="s">
        <v>6187</v>
      </c>
      <c r="H658" s="2365" t="s">
        <v>6188</v>
      </c>
      <c r="I658" s="2872"/>
      <c r="J658" s="2872"/>
      <c r="K658" s="2873"/>
      <c r="L658" s="2365" t="s">
        <v>6189</v>
      </c>
      <c r="M658" s="2872"/>
      <c r="N658" s="2872"/>
      <c r="O658" s="2873"/>
      <c r="P658" s="2901" t="s">
        <v>2607</v>
      </c>
    </row>
    <row r="659" spans="1:16" s="2358" customFormat="1" outlineLevel="1">
      <c r="A659" s="2361" t="str">
        <f>A658</f>
        <v/>
      </c>
      <c r="B659" s="2383"/>
      <c r="C659" s="2901"/>
      <c r="D659" s="2903"/>
      <c r="E659" s="2905"/>
      <c r="F659" s="2901"/>
      <c r="G659" s="2364" t="s">
        <v>2292</v>
      </c>
      <c r="H659" s="2365" t="s">
        <v>6190</v>
      </c>
      <c r="I659" s="2365" t="s">
        <v>6191</v>
      </c>
      <c r="J659" s="2365" t="s">
        <v>6192</v>
      </c>
      <c r="K659" s="2365" t="s">
        <v>6193</v>
      </c>
      <c r="L659" s="2365" t="s">
        <v>6190</v>
      </c>
      <c r="M659" s="2365" t="s">
        <v>6191</v>
      </c>
      <c r="N659" s="2365" t="s">
        <v>6192</v>
      </c>
      <c r="O659" s="2365" t="s">
        <v>6193</v>
      </c>
      <c r="P659" s="2901"/>
    </row>
    <row r="660" spans="1:16" s="2358" customFormat="1" outlineLevel="1">
      <c r="A660" s="2361" t="str">
        <f>A659</f>
        <v/>
      </c>
      <c r="B660" s="2383"/>
      <c r="C660" s="2366"/>
      <c r="D660" s="2367"/>
      <c r="E660" s="2368" t="s">
        <v>3690</v>
      </c>
      <c r="F660" s="2369"/>
      <c r="G660" s="2369"/>
      <c r="H660" s="2369"/>
      <c r="I660" s="2369"/>
      <c r="J660" s="2369"/>
      <c r="K660" s="2369"/>
      <c r="L660" s="2369"/>
      <c r="M660" s="2369"/>
      <c r="N660" s="2369"/>
      <c r="O660" s="2367"/>
      <c r="P660" s="2370"/>
    </row>
    <row r="661" spans="1:16" s="2358" customFormat="1" outlineLevel="1">
      <c r="A661" s="2361">
        <f>IF(G661&lt;&gt;0,1,0)</f>
        <v>0</v>
      </c>
      <c r="B661" s="2371" t="str">
        <f>IF($F$8=22,"TR251","TR25")</f>
        <v>TR251</v>
      </c>
      <c r="C661" s="2372">
        <f>IF(G661&gt;0,1,0)</f>
        <v>0</v>
      </c>
      <c r="D661" s="2373" t="s">
        <v>5645</v>
      </c>
      <c r="E661" s="2374" t="s">
        <v>3325</v>
      </c>
      <c r="F661" s="2373" t="s">
        <v>3318</v>
      </c>
      <c r="G661" s="2421">
        <f>K7*3</f>
        <v>0</v>
      </c>
      <c r="H661" s="2376">
        <v>41513000</v>
      </c>
      <c r="I661" s="2376"/>
      <c r="J661" s="2376">
        <v>546322</v>
      </c>
      <c r="K661" s="2376">
        <v>284508</v>
      </c>
      <c r="L661" s="2382">
        <f t="shared" ref="L661:L667" si="94">H661*G661</f>
        <v>0</v>
      </c>
      <c r="M661" s="2382">
        <f t="shared" ref="M661:M666" si="95">I661*G661</f>
        <v>0</v>
      </c>
      <c r="N661" s="2382">
        <f t="shared" ref="N661:N666" si="96">J661*G661</f>
        <v>0</v>
      </c>
      <c r="O661" s="2381">
        <f t="shared" ref="O661:O666" si="97">K661*G661</f>
        <v>0</v>
      </c>
      <c r="P661" s="2422"/>
    </row>
    <row r="662" spans="1:16" s="2358" customFormat="1" outlineLevel="1">
      <c r="A662" s="2361">
        <f t="shared" ref="A662:A731" si="98">IF(G662&lt;&gt;0,1,0)</f>
        <v>0</v>
      </c>
      <c r="B662" s="2371" t="str">
        <f>"FCO100-"&amp;$F$8</f>
        <v>FCO100-22</v>
      </c>
      <c r="C662" s="2372">
        <f t="shared" ref="C662:C667" si="99">IF(G662&gt;0,C661+1,C661)</f>
        <v>0</v>
      </c>
      <c r="D662" s="2373" t="s">
        <v>5660</v>
      </c>
      <c r="E662" s="2374" t="s">
        <v>95</v>
      </c>
      <c r="F662" s="2373" t="s">
        <v>2563</v>
      </c>
      <c r="G662" s="2380">
        <f>+G661</f>
        <v>0</v>
      </c>
      <c r="H662" s="2376">
        <v>2244280</v>
      </c>
      <c r="I662" s="2376"/>
      <c r="J662" s="2376">
        <v>222639.99999999997</v>
      </c>
      <c r="K662" s="2376">
        <v>0</v>
      </c>
      <c r="L662" s="2382">
        <f t="shared" si="94"/>
        <v>0</v>
      </c>
      <c r="M662" s="2382">
        <f t="shared" si="95"/>
        <v>0</v>
      </c>
      <c r="N662" s="2382">
        <f t="shared" si="96"/>
        <v>0</v>
      </c>
      <c r="O662" s="2381">
        <f t="shared" si="97"/>
        <v>0</v>
      </c>
      <c r="P662" s="2408"/>
    </row>
    <row r="663" spans="1:16" s="2358" customFormat="1" outlineLevel="1">
      <c r="A663" s="2361">
        <f t="shared" si="98"/>
        <v>0</v>
      </c>
      <c r="B663" s="2371" t="str">
        <f>IF($F$8=22,"CHI3K","CHI6K")</f>
        <v>CHI3K</v>
      </c>
      <c r="C663" s="2372">
        <f t="shared" si="99"/>
        <v>0</v>
      </c>
      <c r="D663" s="2373">
        <v>0</v>
      </c>
      <c r="E663" s="2374" t="s">
        <v>3440</v>
      </c>
      <c r="F663" s="2373" t="s">
        <v>2608</v>
      </c>
      <c r="G663" s="2380">
        <f>G662</f>
        <v>0</v>
      </c>
      <c r="H663" s="2376">
        <v>84000</v>
      </c>
      <c r="I663" s="2376"/>
      <c r="J663" s="2376">
        <v>0</v>
      </c>
      <c r="K663" s="2376">
        <v>0</v>
      </c>
      <c r="L663" s="2382">
        <f t="shared" si="94"/>
        <v>0</v>
      </c>
      <c r="M663" s="2382">
        <f t="shared" si="95"/>
        <v>0</v>
      </c>
      <c r="N663" s="2382">
        <f t="shared" si="96"/>
        <v>0</v>
      </c>
      <c r="O663" s="2381">
        <f t="shared" si="97"/>
        <v>0</v>
      </c>
      <c r="P663" s="2408"/>
    </row>
    <row r="664" spans="1:16" s="2358" customFormat="1" outlineLevel="1">
      <c r="A664" s="2361">
        <f t="shared" si="98"/>
        <v>0</v>
      </c>
      <c r="B664" s="2384" t="str">
        <f>"LA"&amp;$F$6</f>
        <v>LA18</v>
      </c>
      <c r="C664" s="2372">
        <f t="shared" si="99"/>
        <v>0</v>
      </c>
      <c r="D664" s="2373" t="s">
        <v>5664</v>
      </c>
      <c r="E664" s="2374" t="s">
        <v>1193</v>
      </c>
      <c r="F664" s="2373" t="s">
        <v>2563</v>
      </c>
      <c r="G664" s="2380">
        <f>G661</f>
        <v>0</v>
      </c>
      <c r="H664" s="2376">
        <v>1106000</v>
      </c>
      <c r="I664" s="2376"/>
      <c r="J664" s="2376">
        <v>83490</v>
      </c>
      <c r="K664" s="2376">
        <v>0</v>
      </c>
      <c r="L664" s="2382">
        <f t="shared" si="94"/>
        <v>0</v>
      </c>
      <c r="M664" s="2382">
        <f t="shared" si="95"/>
        <v>0</v>
      </c>
      <c r="N664" s="2382">
        <f t="shared" si="96"/>
        <v>0</v>
      </c>
      <c r="O664" s="2381">
        <f t="shared" si="97"/>
        <v>0</v>
      </c>
      <c r="P664" s="2408"/>
    </row>
    <row r="665" spans="1:16" s="2358" customFormat="1" outlineLevel="1">
      <c r="A665" s="2361">
        <f t="shared" si="98"/>
        <v>0</v>
      </c>
      <c r="B665" s="2385" t="s">
        <v>1422</v>
      </c>
      <c r="C665" s="2372">
        <f t="shared" si="99"/>
        <v>0</v>
      </c>
      <c r="D665" s="2373">
        <v>0</v>
      </c>
      <c r="E665" s="2374" t="s">
        <v>5742</v>
      </c>
      <c r="F665" s="2373" t="s">
        <v>2563</v>
      </c>
      <c r="G665" s="2380">
        <f>+G661/3</f>
        <v>0</v>
      </c>
      <c r="H665" s="2376">
        <v>2440000</v>
      </c>
      <c r="I665" s="2376"/>
      <c r="J665" s="2376">
        <v>0</v>
      </c>
      <c r="K665" s="2376">
        <v>0</v>
      </c>
      <c r="L665" s="2382">
        <f t="shared" si="94"/>
        <v>0</v>
      </c>
      <c r="M665" s="2382">
        <f t="shared" si="95"/>
        <v>0</v>
      </c>
      <c r="N665" s="2382">
        <f t="shared" si="96"/>
        <v>0</v>
      </c>
      <c r="O665" s="2381">
        <f t="shared" si="97"/>
        <v>0</v>
      </c>
      <c r="P665" s="2408"/>
    </row>
    <row r="666" spans="1:16" s="2358" customFormat="1" outlineLevel="1">
      <c r="A666" s="2361">
        <f t="shared" si="98"/>
        <v>0</v>
      </c>
      <c r="B666" s="2386" t="s">
        <v>2048</v>
      </c>
      <c r="C666" s="2372">
        <f t="shared" si="99"/>
        <v>0</v>
      </c>
      <c r="D666" s="2373">
        <v>0</v>
      </c>
      <c r="E666" s="2374" t="s">
        <v>3374</v>
      </c>
      <c r="F666" s="2373" t="s">
        <v>2563</v>
      </c>
      <c r="G666" s="2417">
        <f>+G665*3</f>
        <v>0</v>
      </c>
      <c r="H666" s="2376"/>
      <c r="I666" s="2376"/>
      <c r="J666" s="2376"/>
      <c r="K666" s="2376">
        <v>0</v>
      </c>
      <c r="L666" s="2382">
        <f t="shared" si="94"/>
        <v>0</v>
      </c>
      <c r="M666" s="2382">
        <f t="shared" si="95"/>
        <v>0</v>
      </c>
      <c r="N666" s="2382">
        <f t="shared" si="96"/>
        <v>0</v>
      </c>
      <c r="O666" s="2381">
        <f t="shared" si="97"/>
        <v>0</v>
      </c>
      <c r="P666" s="2380" t="s">
        <v>2609</v>
      </c>
    </row>
    <row r="667" spans="1:16" s="2358" customFormat="1" outlineLevel="1">
      <c r="A667" s="2361">
        <f t="shared" si="98"/>
        <v>0</v>
      </c>
      <c r="B667" s="2459" t="s">
        <v>288</v>
      </c>
      <c r="C667" s="2372">
        <f t="shared" si="99"/>
        <v>0</v>
      </c>
      <c r="D667" s="2373">
        <v>0</v>
      </c>
      <c r="E667" s="2374" t="s">
        <v>3459</v>
      </c>
      <c r="F667" s="2373" t="s">
        <v>2563</v>
      </c>
      <c r="G667" s="2380">
        <f>+G665</f>
        <v>0</v>
      </c>
      <c r="H667" s="2376"/>
      <c r="I667" s="2376"/>
      <c r="J667" s="2376"/>
      <c r="K667" s="2376">
        <v>0</v>
      </c>
      <c r="L667" s="2382">
        <f t="shared" si="94"/>
        <v>0</v>
      </c>
      <c r="M667" s="2382">
        <f>I667*G667</f>
        <v>0</v>
      </c>
      <c r="N667" s="2382">
        <f>J667*G667</f>
        <v>0</v>
      </c>
      <c r="O667" s="2381">
        <f>K667*G667</f>
        <v>0</v>
      </c>
      <c r="P667" s="2380" t="s">
        <v>2609</v>
      </c>
    </row>
    <row r="668" spans="1:16" s="2358" customFormat="1" outlineLevel="1">
      <c r="A668" s="2361" t="str">
        <f>A660</f>
        <v/>
      </c>
      <c r="B668" s="2383"/>
      <c r="C668" s="2388"/>
      <c r="D668" s="2449"/>
      <c r="E668" s="2370"/>
      <c r="F668" s="2388"/>
      <c r="G668" s="2388"/>
      <c r="H668" s="2388"/>
      <c r="I668" s="2388"/>
      <c r="J668" s="2370" t="s">
        <v>6195</v>
      </c>
      <c r="K668" s="2388"/>
      <c r="L668" s="2370">
        <f>SUM(L661:L667)</f>
        <v>0</v>
      </c>
      <c r="M668" s="2370">
        <f>SUM(M661:M667)</f>
        <v>0</v>
      </c>
      <c r="N668" s="2370">
        <f>SUM(N661:N667)</f>
        <v>0</v>
      </c>
      <c r="O668" s="2370">
        <f>SUM(O661:O667)</f>
        <v>0</v>
      </c>
      <c r="P668" s="2423"/>
    </row>
    <row r="669" spans="1:16" s="2358" customFormat="1" outlineLevel="1">
      <c r="A669" s="2361" t="str">
        <f>A668</f>
        <v/>
      </c>
      <c r="B669" s="2383"/>
      <c r="C669" s="2390"/>
      <c r="D669" s="2451"/>
      <c r="E669" s="2392" t="s">
        <v>3691</v>
      </c>
      <c r="F669" s="2392"/>
      <c r="G669" s="2392"/>
      <c r="H669" s="2392"/>
      <c r="I669" s="2392"/>
      <c r="J669" s="2392"/>
      <c r="K669" s="2392"/>
      <c r="L669" s="2392"/>
      <c r="M669" s="2392"/>
      <c r="N669" s="2392"/>
      <c r="O669" s="2391"/>
      <c r="P669" s="2423"/>
    </row>
    <row r="670" spans="1:16" s="2358" customFormat="1" outlineLevel="1">
      <c r="A670" s="2361">
        <f t="shared" si="98"/>
        <v>0</v>
      </c>
      <c r="B670" s="2383"/>
      <c r="C670" s="2396">
        <f>IF(G670&gt;0,1,0)</f>
        <v>0</v>
      </c>
      <c r="D670" s="2452"/>
      <c r="E670" s="2453" t="s">
        <v>3710</v>
      </c>
      <c r="F670" s="2396" t="s">
        <v>2391</v>
      </c>
      <c r="G670" s="2396">
        <f>G661/3</f>
        <v>0</v>
      </c>
      <c r="H670" s="2454"/>
      <c r="I670" s="2454"/>
      <c r="J670" s="2454"/>
      <c r="K670" s="2454"/>
      <c r="L670" s="2454"/>
      <c r="M670" s="2454"/>
      <c r="N670" s="2454"/>
      <c r="O670" s="2396"/>
      <c r="P670" s="2422"/>
    </row>
    <row r="671" spans="1:16" s="2358" customFormat="1" ht="14.4" outlineLevel="1">
      <c r="A671" s="2361">
        <f>A670</f>
        <v>0</v>
      </c>
      <c r="B671" s="2383"/>
      <c r="C671" s="2395"/>
      <c r="D671" s="2455"/>
      <c r="E671" s="2425" t="s">
        <v>6207</v>
      </c>
      <c r="F671" s="2380"/>
      <c r="G671" s="2380"/>
      <c r="H671" s="2456"/>
      <c r="I671" s="2456"/>
      <c r="J671" s="2456"/>
      <c r="K671" s="2456"/>
      <c r="L671" s="2456"/>
      <c r="M671" s="2456"/>
      <c r="N671" s="2456"/>
      <c r="O671" s="2457"/>
      <c r="P671" s="2408"/>
    </row>
    <row r="672" spans="1:16" s="2358" customFormat="1" outlineLevel="1">
      <c r="A672" s="2361">
        <f t="shared" si="98"/>
        <v>0</v>
      </c>
      <c r="B672" s="2386" t="s">
        <v>1000</v>
      </c>
      <c r="C672" s="2395"/>
      <c r="D672" s="2373">
        <v>0</v>
      </c>
      <c r="E672" s="2374" t="s">
        <v>5777</v>
      </c>
      <c r="F672" s="2373" t="s">
        <v>3475</v>
      </c>
      <c r="G672" s="2380">
        <f>G670</f>
        <v>0</v>
      </c>
      <c r="H672" s="2376">
        <v>784000</v>
      </c>
      <c r="I672" s="2381"/>
      <c r="J672" s="2376">
        <v>0</v>
      </c>
      <c r="K672" s="2376">
        <v>0</v>
      </c>
      <c r="L672" s="2382">
        <f t="shared" ref="L672:L736" si="100">H672*G672</f>
        <v>0</v>
      </c>
      <c r="M672" s="2382">
        <f t="shared" ref="M672:M736" si="101">I672*G672</f>
        <v>0</v>
      </c>
      <c r="N672" s="2382">
        <f t="shared" ref="N672:N736" si="102">J672*G672</f>
        <v>0</v>
      </c>
      <c r="O672" s="2381">
        <f t="shared" ref="O672:O736" si="103">K672*G672</f>
        <v>0</v>
      </c>
      <c r="P672" s="2408"/>
    </row>
    <row r="673" spans="1:18" s="2358" customFormat="1" outlineLevel="1">
      <c r="A673" s="2361">
        <f t="shared" si="98"/>
        <v>0</v>
      </c>
      <c r="B673" s="2383" t="s">
        <v>1790</v>
      </c>
      <c r="C673" s="2395"/>
      <c r="D673" s="2455"/>
      <c r="E673" s="2374" t="s">
        <v>2647</v>
      </c>
      <c r="F673" s="2373" t="s">
        <v>2445</v>
      </c>
      <c r="G673" s="2380">
        <f>6*G670</f>
        <v>0</v>
      </c>
      <c r="H673" s="2376">
        <v>12400</v>
      </c>
      <c r="I673" s="2381"/>
      <c r="J673" s="2376">
        <v>0</v>
      </c>
      <c r="K673" s="2376">
        <v>0</v>
      </c>
      <c r="L673" s="2382">
        <f t="shared" si="100"/>
        <v>0</v>
      </c>
      <c r="M673" s="2382">
        <f t="shared" si="101"/>
        <v>0</v>
      </c>
      <c r="N673" s="2382">
        <f t="shared" si="102"/>
        <v>0</v>
      </c>
      <c r="O673" s="2381">
        <f t="shared" si="103"/>
        <v>0</v>
      </c>
      <c r="P673" s="2408"/>
    </row>
    <row r="674" spans="1:18" s="2358" customFormat="1" outlineLevel="1">
      <c r="A674" s="2361">
        <f t="shared" si="98"/>
        <v>0</v>
      </c>
      <c r="B674" s="2383" t="s">
        <v>1613</v>
      </c>
      <c r="C674" s="2395"/>
      <c r="D674" s="2455"/>
      <c r="E674" s="2374" t="s">
        <v>2657</v>
      </c>
      <c r="F674" s="2373" t="s">
        <v>2445</v>
      </c>
      <c r="G674" s="2380">
        <f>2*G670</f>
        <v>0</v>
      </c>
      <c r="H674" s="2376">
        <v>25400</v>
      </c>
      <c r="I674" s="2381"/>
      <c r="J674" s="2376">
        <v>0</v>
      </c>
      <c r="K674" s="2376">
        <v>0</v>
      </c>
      <c r="L674" s="2382">
        <f t="shared" si="100"/>
        <v>0</v>
      </c>
      <c r="M674" s="2382">
        <f t="shared" si="101"/>
        <v>0</v>
      </c>
      <c r="N674" s="2382">
        <f t="shared" si="102"/>
        <v>0</v>
      </c>
      <c r="O674" s="2381">
        <f t="shared" si="103"/>
        <v>0</v>
      </c>
      <c r="P674" s="2408"/>
    </row>
    <row r="675" spans="1:18" s="2358" customFormat="1" outlineLevel="1">
      <c r="A675" s="2361">
        <f>IF(G675&lt;&gt;0,1,)</f>
        <v>0</v>
      </c>
      <c r="B675" s="2383"/>
      <c r="C675" s="2398">
        <f>IF(G675&gt;0,C670+1,C670)</f>
        <v>0</v>
      </c>
      <c r="D675" s="2399"/>
      <c r="E675" s="2400" t="s">
        <v>6212</v>
      </c>
      <c r="F675" s="2395" t="s">
        <v>2391</v>
      </c>
      <c r="G675" s="2395">
        <f>G670*0</f>
        <v>0</v>
      </c>
      <c r="H675" s="2381"/>
      <c r="I675" s="2381"/>
      <c r="J675" s="2381"/>
      <c r="K675" s="2381"/>
      <c r="L675" s="2382">
        <f t="shared" si="100"/>
        <v>0</v>
      </c>
      <c r="M675" s="2382">
        <f t="shared" si="101"/>
        <v>0</v>
      </c>
      <c r="N675" s="2382">
        <f t="shared" si="102"/>
        <v>0</v>
      </c>
      <c r="O675" s="2381">
        <f t="shared" si="103"/>
        <v>0</v>
      </c>
      <c r="P675" s="2380"/>
    </row>
    <row r="676" spans="1:18" s="2358" customFormat="1" ht="14.4" outlineLevel="1">
      <c r="A676" s="2361">
        <f>A675</f>
        <v>0</v>
      </c>
      <c r="B676" s="2383"/>
      <c r="C676" s="2395"/>
      <c r="D676" s="2399"/>
      <c r="E676" s="2401" t="s">
        <v>6207</v>
      </c>
      <c r="F676" s="2380"/>
      <c r="G676" s="2380"/>
      <c r="H676" s="2381"/>
      <c r="I676" s="2381"/>
      <c r="J676" s="2381"/>
      <c r="K676" s="2381"/>
      <c r="L676" s="2382">
        <f t="shared" si="100"/>
        <v>0</v>
      </c>
      <c r="M676" s="2382">
        <f t="shared" si="101"/>
        <v>0</v>
      </c>
      <c r="N676" s="2382">
        <f t="shared" si="102"/>
        <v>0</v>
      </c>
      <c r="O676" s="2381">
        <f t="shared" si="103"/>
        <v>0</v>
      </c>
      <c r="P676" s="2380"/>
      <c r="R676" s="2402"/>
    </row>
    <row r="677" spans="1:18" s="2358" customFormat="1" outlineLevel="1">
      <c r="A677" s="2361">
        <f>IF(G677&lt;&gt;0,1,)</f>
        <v>0</v>
      </c>
      <c r="B677" s="2386" t="s">
        <v>115</v>
      </c>
      <c r="C677" s="2380"/>
      <c r="D677" s="2373">
        <v>0</v>
      </c>
      <c r="E677" s="2374" t="s">
        <v>3009</v>
      </c>
      <c r="F677" s="2373" t="s">
        <v>2839</v>
      </c>
      <c r="G677" s="2380">
        <f>1*G675</f>
        <v>0</v>
      </c>
      <c r="H677" s="2376">
        <v>4400000</v>
      </c>
      <c r="I677" s="2376"/>
      <c r="J677" s="2376">
        <v>0</v>
      </c>
      <c r="K677" s="2376">
        <v>0</v>
      </c>
      <c r="L677" s="2382">
        <f t="shared" si="100"/>
        <v>0</v>
      </c>
      <c r="M677" s="2382">
        <f t="shared" si="101"/>
        <v>0</v>
      </c>
      <c r="N677" s="2382">
        <f t="shared" si="102"/>
        <v>0</v>
      </c>
      <c r="O677" s="2381">
        <f t="shared" si="103"/>
        <v>0</v>
      </c>
      <c r="P677" s="2380"/>
      <c r="R677" s="2402"/>
    </row>
    <row r="678" spans="1:18" s="2358" customFormat="1" outlineLevel="1">
      <c r="A678" s="2361">
        <f>IF(G678&lt;&gt;0,1,)</f>
        <v>0</v>
      </c>
      <c r="B678" s="2386" t="s">
        <v>1818</v>
      </c>
      <c r="C678" s="2380"/>
      <c r="D678" s="2403"/>
      <c r="E678" s="2374" t="s">
        <v>2838</v>
      </c>
      <c r="F678" s="2373" t="s">
        <v>2839</v>
      </c>
      <c r="G678" s="2380">
        <f>G677</f>
        <v>0</v>
      </c>
      <c r="H678" s="2376">
        <v>17400</v>
      </c>
      <c r="I678" s="2376"/>
      <c r="J678" s="2376">
        <v>0</v>
      </c>
      <c r="K678" s="2376">
        <v>0</v>
      </c>
      <c r="L678" s="2382">
        <f t="shared" si="100"/>
        <v>0</v>
      </c>
      <c r="M678" s="2382">
        <f t="shared" si="101"/>
        <v>0</v>
      </c>
      <c r="N678" s="2382">
        <f t="shared" si="102"/>
        <v>0</v>
      </c>
      <c r="O678" s="2381">
        <f t="shared" si="103"/>
        <v>0</v>
      </c>
      <c r="P678" s="2380"/>
      <c r="R678" s="2402"/>
    </row>
    <row r="679" spans="1:18" s="2358" customFormat="1" outlineLevel="1">
      <c r="A679" s="2361">
        <f>IF(G679&lt;&gt;0,1,)</f>
        <v>0</v>
      </c>
      <c r="B679" s="2386" t="s">
        <v>2132</v>
      </c>
      <c r="C679" s="2380"/>
      <c r="D679" s="2403"/>
      <c r="E679" s="2374" t="s">
        <v>3185</v>
      </c>
      <c r="F679" s="2373" t="s">
        <v>2839</v>
      </c>
      <c r="G679" s="2380">
        <f>G677</f>
        <v>0</v>
      </c>
      <c r="H679" s="2376">
        <v>0</v>
      </c>
      <c r="I679" s="2376"/>
      <c r="J679" s="2376">
        <v>112286</v>
      </c>
      <c r="K679" s="2376">
        <v>105970</v>
      </c>
      <c r="L679" s="2382">
        <f t="shared" si="100"/>
        <v>0</v>
      </c>
      <c r="M679" s="2382">
        <f t="shared" si="101"/>
        <v>0</v>
      </c>
      <c r="N679" s="2382">
        <f t="shared" si="102"/>
        <v>0</v>
      </c>
      <c r="O679" s="2381">
        <f t="shared" si="103"/>
        <v>0</v>
      </c>
      <c r="P679" s="2380"/>
      <c r="R679" s="2402"/>
    </row>
    <row r="680" spans="1:18" s="2358" customFormat="1" outlineLevel="1">
      <c r="A680" s="2361">
        <f>IF(G680&lt;&gt;0,1,)</f>
        <v>0</v>
      </c>
      <c r="B680" s="2383"/>
      <c r="C680" s="2398">
        <f>IF(G680&gt;0,C675+1,C675)</f>
        <v>0</v>
      </c>
      <c r="D680" s="2399"/>
      <c r="E680" s="2400" t="s">
        <v>2358</v>
      </c>
      <c r="F680" s="2395" t="s">
        <v>2391</v>
      </c>
      <c r="G680" s="2395">
        <f>G675</f>
        <v>0</v>
      </c>
      <c r="H680" s="2381"/>
      <c r="I680" s="2381"/>
      <c r="J680" s="2381"/>
      <c r="K680" s="2381"/>
      <c r="L680" s="2382">
        <f t="shared" si="100"/>
        <v>0</v>
      </c>
      <c r="M680" s="2382">
        <f t="shared" si="101"/>
        <v>0</v>
      </c>
      <c r="N680" s="2382">
        <f t="shared" si="102"/>
        <v>0</v>
      </c>
      <c r="O680" s="2381">
        <f t="shared" si="103"/>
        <v>0</v>
      </c>
      <c r="P680" s="2380"/>
    </row>
    <row r="681" spans="1:18" s="2358" customFormat="1" ht="14.4" outlineLevel="1">
      <c r="A681" s="2361">
        <f>A680</f>
        <v>0</v>
      </c>
      <c r="B681" s="2383"/>
      <c r="C681" s="2395"/>
      <c r="D681" s="2399"/>
      <c r="E681" s="2401" t="s">
        <v>6207</v>
      </c>
      <c r="F681" s="2380"/>
      <c r="G681" s="2380"/>
      <c r="H681" s="2381"/>
      <c r="I681" s="2381"/>
      <c r="J681" s="2381"/>
      <c r="K681" s="2381"/>
      <c r="L681" s="2382">
        <f t="shared" si="100"/>
        <v>0</v>
      </c>
      <c r="M681" s="2382">
        <f t="shared" si="101"/>
        <v>0</v>
      </c>
      <c r="N681" s="2382">
        <f t="shared" si="102"/>
        <v>0</v>
      </c>
      <c r="O681" s="2381">
        <f t="shared" si="103"/>
        <v>0</v>
      </c>
      <c r="P681" s="2380"/>
      <c r="R681" s="2402"/>
    </row>
    <row r="682" spans="1:18" s="2358" customFormat="1" outlineLevel="1">
      <c r="A682" s="2361">
        <f>IF(G682&lt;&gt;0,1,)</f>
        <v>0</v>
      </c>
      <c r="B682" s="2386" t="s">
        <v>636</v>
      </c>
      <c r="C682" s="2380"/>
      <c r="D682" s="2373" t="s">
        <v>5099</v>
      </c>
      <c r="E682" s="2374" t="s">
        <v>2615</v>
      </c>
      <c r="F682" s="2373" t="s">
        <v>2563</v>
      </c>
      <c r="G682" s="2380">
        <f>1*G680</f>
        <v>0</v>
      </c>
      <c r="H682" s="2376">
        <v>354545</v>
      </c>
      <c r="I682" s="2376"/>
      <c r="J682" s="2376">
        <v>37220.25</v>
      </c>
      <c r="K682" s="2376">
        <v>0</v>
      </c>
      <c r="L682" s="2382">
        <f t="shared" si="100"/>
        <v>0</v>
      </c>
      <c r="M682" s="2382">
        <f t="shared" si="101"/>
        <v>0</v>
      </c>
      <c r="N682" s="2382">
        <f t="shared" si="102"/>
        <v>0</v>
      </c>
      <c r="O682" s="2381">
        <f t="shared" si="103"/>
        <v>0</v>
      </c>
      <c r="P682" s="2380"/>
      <c r="R682" s="2402"/>
    </row>
    <row r="683" spans="1:18" s="2358" customFormat="1" outlineLevel="1">
      <c r="A683" s="2361">
        <f>IF(G683&lt;&gt;0,1,)</f>
        <v>0</v>
      </c>
      <c r="B683" s="2386" t="s">
        <v>566</v>
      </c>
      <c r="C683" s="2380"/>
      <c r="D683" s="2373">
        <v>0</v>
      </c>
      <c r="E683" s="2374" t="s">
        <v>5124</v>
      </c>
      <c r="F683" s="2373" t="s">
        <v>2445</v>
      </c>
      <c r="G683" s="2380">
        <f>G680</f>
        <v>0</v>
      </c>
      <c r="H683" s="2376">
        <v>92200</v>
      </c>
      <c r="I683" s="2376"/>
      <c r="J683" s="2376">
        <v>0</v>
      </c>
      <c r="K683" s="2376">
        <v>0</v>
      </c>
      <c r="L683" s="2382">
        <f t="shared" si="100"/>
        <v>0</v>
      </c>
      <c r="M683" s="2382">
        <f t="shared" si="101"/>
        <v>0</v>
      </c>
      <c r="N683" s="2382">
        <f t="shared" si="102"/>
        <v>0</v>
      </c>
      <c r="O683" s="2381">
        <f t="shared" si="103"/>
        <v>0</v>
      </c>
      <c r="P683" s="2380"/>
      <c r="R683" s="2402"/>
    </row>
    <row r="684" spans="1:18" s="2358" customFormat="1" outlineLevel="1">
      <c r="A684" s="2361">
        <f>IF(G684&lt;&gt;0,1,)</f>
        <v>0</v>
      </c>
      <c r="B684" s="2386" t="s">
        <v>639</v>
      </c>
      <c r="C684" s="2380"/>
      <c r="D684" s="2373" t="s">
        <v>1751</v>
      </c>
      <c r="E684" s="2374" t="s">
        <v>5386</v>
      </c>
      <c r="F684" s="2373" t="s">
        <v>856</v>
      </c>
      <c r="G684" s="2404">
        <f>G680*1.45</f>
        <v>0</v>
      </c>
      <c r="H684" s="2376">
        <v>0</v>
      </c>
      <c r="I684" s="2376"/>
      <c r="J684" s="2376">
        <v>296500.89999999997</v>
      </c>
      <c r="K684" s="2376">
        <v>0</v>
      </c>
      <c r="L684" s="2382">
        <f t="shared" si="100"/>
        <v>0</v>
      </c>
      <c r="M684" s="2382">
        <f t="shared" si="101"/>
        <v>0</v>
      </c>
      <c r="N684" s="2382">
        <f t="shared" si="102"/>
        <v>0</v>
      </c>
      <c r="O684" s="2381">
        <f t="shared" si="103"/>
        <v>0</v>
      </c>
      <c r="P684" s="2380"/>
      <c r="R684" s="2402"/>
    </row>
    <row r="685" spans="1:18" s="2358" customFormat="1" outlineLevel="1">
      <c r="A685" s="2361">
        <f>IF(G685&lt;&gt;0,1,)</f>
        <v>0</v>
      </c>
      <c r="B685" s="2386" t="s">
        <v>21</v>
      </c>
      <c r="C685" s="2380"/>
      <c r="D685" s="2373" t="s">
        <v>5387</v>
      </c>
      <c r="E685" s="2374" t="s">
        <v>5388</v>
      </c>
      <c r="F685" s="2373" t="s">
        <v>856</v>
      </c>
      <c r="G685" s="2404">
        <f>G680*1.37</f>
        <v>0</v>
      </c>
      <c r="H685" s="2376">
        <v>0</v>
      </c>
      <c r="I685" s="2376"/>
      <c r="J685" s="2376">
        <v>117703.6</v>
      </c>
      <c r="K685" s="2376">
        <v>0</v>
      </c>
      <c r="L685" s="2382">
        <f t="shared" si="100"/>
        <v>0</v>
      </c>
      <c r="M685" s="2382">
        <f t="shared" si="101"/>
        <v>0</v>
      </c>
      <c r="N685" s="2382">
        <f t="shared" si="102"/>
        <v>0</v>
      </c>
      <c r="O685" s="2381">
        <f t="shared" si="103"/>
        <v>0</v>
      </c>
      <c r="P685" s="2380"/>
      <c r="R685" s="2402"/>
    </row>
    <row r="686" spans="1:18" s="2358" customFormat="1" outlineLevel="1">
      <c r="A686" s="2361">
        <f t="shared" si="98"/>
        <v>0</v>
      </c>
      <c r="B686" s="2386" t="s">
        <v>6233</v>
      </c>
      <c r="C686" s="2395">
        <f>IF(G686&gt;0,C680+1,C680)</f>
        <v>0</v>
      </c>
      <c r="D686" s="2455"/>
      <c r="E686" s="2424" t="s">
        <v>6234</v>
      </c>
      <c r="F686" s="2395" t="s">
        <v>2391</v>
      </c>
      <c r="G686" s="2395">
        <f>G670</f>
        <v>0</v>
      </c>
      <c r="H686" s="2381"/>
      <c r="I686" s="2381"/>
      <c r="J686" s="2381"/>
      <c r="K686" s="2381"/>
      <c r="L686" s="2382">
        <f t="shared" si="100"/>
        <v>0</v>
      </c>
      <c r="M686" s="2382">
        <f t="shared" si="101"/>
        <v>0</v>
      </c>
      <c r="N686" s="2382">
        <f t="shared" si="102"/>
        <v>0</v>
      </c>
      <c r="O686" s="2381">
        <f t="shared" si="103"/>
        <v>0</v>
      </c>
      <c r="P686" s="2408"/>
    </row>
    <row r="687" spans="1:18" s="2358" customFormat="1" ht="14.4" outlineLevel="1">
      <c r="A687" s="2361">
        <f>A686</f>
        <v>0</v>
      </c>
      <c r="B687" s="2383"/>
      <c r="C687" s="2395"/>
      <c r="D687" s="2455"/>
      <c r="E687" s="2425" t="s">
        <v>6207</v>
      </c>
      <c r="F687" s="2380"/>
      <c r="G687" s="2380"/>
      <c r="H687" s="2381"/>
      <c r="I687" s="2381"/>
      <c r="J687" s="2381"/>
      <c r="K687" s="2381"/>
      <c r="L687" s="2382">
        <f t="shared" si="100"/>
        <v>0</v>
      </c>
      <c r="M687" s="2382">
        <f t="shared" si="101"/>
        <v>0</v>
      </c>
      <c r="N687" s="2382">
        <f t="shared" si="102"/>
        <v>0</v>
      </c>
      <c r="O687" s="2381">
        <f t="shared" si="103"/>
        <v>0</v>
      </c>
      <c r="P687" s="2408"/>
    </row>
    <row r="688" spans="1:18" s="2358" customFormat="1" outlineLevel="1">
      <c r="A688" s="2361">
        <f t="shared" si="98"/>
        <v>0</v>
      </c>
      <c r="B688" s="2386" t="s">
        <v>5212</v>
      </c>
      <c r="C688" s="2395"/>
      <c r="D688" s="2373">
        <v>0</v>
      </c>
      <c r="E688" s="2374" t="s">
        <v>5213</v>
      </c>
      <c r="F688" s="2373" t="s">
        <v>2598</v>
      </c>
      <c r="G688" s="2404">
        <f>+G686</f>
        <v>0</v>
      </c>
      <c r="H688" s="2376">
        <v>960000</v>
      </c>
      <c r="I688" s="2381"/>
      <c r="J688" s="2376">
        <v>0</v>
      </c>
      <c r="K688" s="2376">
        <v>0</v>
      </c>
      <c r="L688" s="2382">
        <f t="shared" si="100"/>
        <v>0</v>
      </c>
      <c r="M688" s="2382">
        <f t="shared" si="101"/>
        <v>0</v>
      </c>
      <c r="N688" s="2382">
        <f t="shared" si="102"/>
        <v>0</v>
      </c>
      <c r="O688" s="2381">
        <f t="shared" si="103"/>
        <v>0</v>
      </c>
      <c r="P688" s="2408"/>
    </row>
    <row r="689" spans="1:16" s="2358" customFormat="1" outlineLevel="1">
      <c r="A689" s="2361">
        <f t="shared" si="98"/>
        <v>0</v>
      </c>
      <c r="B689" s="2386" t="s">
        <v>5219</v>
      </c>
      <c r="C689" s="2395"/>
      <c r="D689" s="2373">
        <v>0</v>
      </c>
      <c r="E689" s="2374" t="s">
        <v>5220</v>
      </c>
      <c r="F689" s="2373" t="s">
        <v>5221</v>
      </c>
      <c r="G689" s="2404">
        <f>+G688*2</f>
        <v>0</v>
      </c>
      <c r="H689" s="2376">
        <v>140000</v>
      </c>
      <c r="I689" s="2381"/>
      <c r="J689" s="2376">
        <v>0</v>
      </c>
      <c r="K689" s="2376">
        <v>0</v>
      </c>
      <c r="L689" s="2382">
        <f t="shared" si="100"/>
        <v>0</v>
      </c>
      <c r="M689" s="2382">
        <f t="shared" si="101"/>
        <v>0</v>
      </c>
      <c r="N689" s="2382">
        <f t="shared" si="102"/>
        <v>0</v>
      </c>
      <c r="O689" s="2381">
        <f t="shared" si="103"/>
        <v>0</v>
      </c>
      <c r="P689" s="2408"/>
    </row>
    <row r="690" spans="1:16" s="2358" customFormat="1" outlineLevel="1">
      <c r="A690" s="2361">
        <f t="shared" si="98"/>
        <v>0</v>
      </c>
      <c r="B690" s="2383" t="s">
        <v>488</v>
      </c>
      <c r="C690" s="2395"/>
      <c r="D690" s="2373">
        <v>0</v>
      </c>
      <c r="E690" s="2374" t="s">
        <v>5130</v>
      </c>
      <c r="F690" s="2373" t="s">
        <v>2445</v>
      </c>
      <c r="G690" s="2380">
        <f>G686*3</f>
        <v>0</v>
      </c>
      <c r="H690" s="2376">
        <v>65000</v>
      </c>
      <c r="I690" s="2381"/>
      <c r="J690" s="2376">
        <v>0</v>
      </c>
      <c r="K690" s="2376">
        <v>0</v>
      </c>
      <c r="L690" s="2382">
        <f t="shared" si="100"/>
        <v>0</v>
      </c>
      <c r="M690" s="2382">
        <f t="shared" si="101"/>
        <v>0</v>
      </c>
      <c r="N690" s="2382">
        <f t="shared" si="102"/>
        <v>0</v>
      </c>
      <c r="O690" s="2381">
        <f t="shared" si="103"/>
        <v>0</v>
      </c>
      <c r="P690" s="2408"/>
    </row>
    <row r="691" spans="1:16" s="2358" customFormat="1" outlineLevel="1">
      <c r="A691" s="2361">
        <f t="shared" si="98"/>
        <v>0</v>
      </c>
      <c r="B691" s="2383" t="s">
        <v>244</v>
      </c>
      <c r="C691" s="2395"/>
      <c r="D691" s="2373">
        <v>0</v>
      </c>
      <c r="E691" s="2374" t="s">
        <v>2649</v>
      </c>
      <c r="F691" s="2373" t="s">
        <v>2445</v>
      </c>
      <c r="G691" s="2380">
        <f>2*G686</f>
        <v>0</v>
      </c>
      <c r="H691" s="2376">
        <v>18900</v>
      </c>
      <c r="I691" s="2381"/>
      <c r="J691" s="2376">
        <v>0</v>
      </c>
      <c r="K691" s="2376">
        <v>0</v>
      </c>
      <c r="L691" s="2382">
        <f t="shared" si="100"/>
        <v>0</v>
      </c>
      <c r="M691" s="2382">
        <f t="shared" si="101"/>
        <v>0</v>
      </c>
      <c r="N691" s="2382">
        <f t="shared" si="102"/>
        <v>0</v>
      </c>
      <c r="O691" s="2381">
        <f t="shared" si="103"/>
        <v>0</v>
      </c>
      <c r="P691" s="2408"/>
    </row>
    <row r="692" spans="1:16" s="2358" customFormat="1" outlineLevel="1">
      <c r="A692" s="2361">
        <f>IF(G692&lt;&gt;0,1,0)</f>
        <v>0</v>
      </c>
      <c r="B692" s="2383" t="s">
        <v>1079</v>
      </c>
      <c r="C692" s="2395"/>
      <c r="D692" s="2373">
        <v>0</v>
      </c>
      <c r="E692" s="2374" t="s">
        <v>2659</v>
      </c>
      <c r="F692" s="2373" t="s">
        <v>2445</v>
      </c>
      <c r="G692" s="2380">
        <f>1*G686</f>
        <v>0</v>
      </c>
      <c r="H692" s="2376">
        <v>27900</v>
      </c>
      <c r="I692" s="2381"/>
      <c r="J692" s="2376">
        <v>0</v>
      </c>
      <c r="K692" s="2376">
        <v>0</v>
      </c>
      <c r="L692" s="2382">
        <f>H692*G692</f>
        <v>0</v>
      </c>
      <c r="M692" s="2382">
        <f>I692*G692</f>
        <v>0</v>
      </c>
      <c r="N692" s="2382">
        <f>J692*G692</f>
        <v>0</v>
      </c>
      <c r="O692" s="2381">
        <f>K692*G692</f>
        <v>0</v>
      </c>
      <c r="P692" s="2408"/>
    </row>
    <row r="693" spans="1:16" s="2358" customFormat="1" outlineLevel="1">
      <c r="A693" s="2361">
        <f t="shared" si="98"/>
        <v>0</v>
      </c>
      <c r="B693" s="2383" t="s">
        <v>1613</v>
      </c>
      <c r="C693" s="2395"/>
      <c r="D693" s="2373">
        <v>0</v>
      </c>
      <c r="E693" s="2374" t="s">
        <v>2657</v>
      </c>
      <c r="F693" s="2373" t="s">
        <v>2445</v>
      </c>
      <c r="G693" s="2380">
        <f>1*G686</f>
        <v>0</v>
      </c>
      <c r="H693" s="2376">
        <v>25400</v>
      </c>
      <c r="I693" s="2381"/>
      <c r="J693" s="2376">
        <v>0</v>
      </c>
      <c r="K693" s="2376">
        <v>0</v>
      </c>
      <c r="L693" s="2382">
        <f t="shared" si="100"/>
        <v>0</v>
      </c>
      <c r="M693" s="2382">
        <f t="shared" si="101"/>
        <v>0</v>
      </c>
      <c r="N693" s="2382">
        <f t="shared" si="102"/>
        <v>0</v>
      </c>
      <c r="O693" s="2381">
        <f t="shared" si="103"/>
        <v>0</v>
      </c>
      <c r="P693" s="2408"/>
    </row>
    <row r="694" spans="1:16" s="2358" customFormat="1" outlineLevel="1">
      <c r="A694" s="2361">
        <f>IF(G694&lt;&gt;0,1,0)</f>
        <v>0</v>
      </c>
      <c r="B694" s="2383" t="s">
        <v>420</v>
      </c>
      <c r="C694" s="2395"/>
      <c r="D694" s="2373" t="s">
        <v>5483</v>
      </c>
      <c r="E694" s="2374" t="s">
        <v>5484</v>
      </c>
      <c r="F694" s="2373" t="s">
        <v>2445</v>
      </c>
      <c r="G694" s="2380">
        <f>G686</f>
        <v>0</v>
      </c>
      <c r="H694" s="2376">
        <v>0</v>
      </c>
      <c r="I694" s="2381"/>
      <c r="J694" s="2376" t="s">
        <v>6400</v>
      </c>
      <c r="K694" s="2376">
        <v>0</v>
      </c>
      <c r="L694" s="2382">
        <f>H694*G694</f>
        <v>0</v>
      </c>
      <c r="M694" s="2382">
        <f>I694*G694</f>
        <v>0</v>
      </c>
      <c r="N694" s="2376">
        <v>0</v>
      </c>
      <c r="O694" s="2381">
        <f>K694*G694</f>
        <v>0</v>
      </c>
      <c r="P694" s="2408"/>
    </row>
    <row r="695" spans="1:16" s="2358" customFormat="1" outlineLevel="1">
      <c r="A695" s="2361">
        <f t="shared" si="98"/>
        <v>0</v>
      </c>
      <c r="B695" s="2383"/>
      <c r="C695" s="2395">
        <f>IF(G695&gt;0,C686+1,C686)</f>
        <v>0</v>
      </c>
      <c r="D695" s="2455"/>
      <c r="E695" s="2424" t="s">
        <v>3712</v>
      </c>
      <c r="F695" s="2395" t="s">
        <v>2391</v>
      </c>
      <c r="G695" s="2395">
        <f>G670</f>
        <v>0</v>
      </c>
      <c r="H695" s="2381"/>
      <c r="I695" s="2381"/>
      <c r="J695" s="2381"/>
      <c r="K695" s="2381"/>
      <c r="L695" s="2382">
        <f t="shared" si="100"/>
        <v>0</v>
      </c>
      <c r="M695" s="2382">
        <f t="shared" si="101"/>
        <v>0</v>
      </c>
      <c r="N695" s="2382">
        <f t="shared" si="102"/>
        <v>0</v>
      </c>
      <c r="O695" s="2381">
        <f t="shared" si="103"/>
        <v>0</v>
      </c>
      <c r="P695" s="2408"/>
    </row>
    <row r="696" spans="1:16" s="2358" customFormat="1" ht="14.4" outlineLevel="1">
      <c r="A696" s="2361">
        <f>A695</f>
        <v>0</v>
      </c>
      <c r="B696" s="2383"/>
      <c r="C696" s="2395"/>
      <c r="D696" s="2455"/>
      <c r="E696" s="2425" t="s">
        <v>6207</v>
      </c>
      <c r="F696" s="2380"/>
      <c r="G696" s="2380"/>
      <c r="H696" s="2381"/>
      <c r="I696" s="2381"/>
      <c r="J696" s="2381"/>
      <c r="K696" s="2381"/>
      <c r="L696" s="2382">
        <f t="shared" si="100"/>
        <v>0</v>
      </c>
      <c r="M696" s="2382">
        <f t="shared" si="101"/>
        <v>0</v>
      </c>
      <c r="N696" s="2382">
        <f t="shared" si="102"/>
        <v>0</v>
      </c>
      <c r="O696" s="2381">
        <f t="shared" si="103"/>
        <v>0</v>
      </c>
      <c r="P696" s="2408"/>
    </row>
    <row r="697" spans="1:16" s="2358" customFormat="1" outlineLevel="1">
      <c r="A697" s="2361">
        <f t="shared" si="98"/>
        <v>0</v>
      </c>
      <c r="B697" s="2383" t="s">
        <v>1033</v>
      </c>
      <c r="C697" s="2380"/>
      <c r="D697" s="2373">
        <v>0</v>
      </c>
      <c r="E697" s="2374" t="s">
        <v>2708</v>
      </c>
      <c r="F697" s="2373" t="s">
        <v>2254</v>
      </c>
      <c r="G697" s="2409">
        <f>G695*0.224*H3</f>
        <v>0</v>
      </c>
      <c r="H697" s="2376">
        <v>255500</v>
      </c>
      <c r="I697" s="2381"/>
      <c r="J697" s="2376">
        <v>0</v>
      </c>
      <c r="K697" s="2376">
        <v>0</v>
      </c>
      <c r="L697" s="2382">
        <f t="shared" si="100"/>
        <v>0</v>
      </c>
      <c r="M697" s="2382">
        <f t="shared" si="101"/>
        <v>0</v>
      </c>
      <c r="N697" s="2382">
        <f t="shared" si="102"/>
        <v>0</v>
      </c>
      <c r="O697" s="2381">
        <f t="shared" si="103"/>
        <v>0</v>
      </c>
      <c r="P697" s="2408"/>
    </row>
    <row r="698" spans="1:16" s="2358" customFormat="1" outlineLevel="1">
      <c r="A698" s="2361">
        <f t="shared" si="98"/>
        <v>0</v>
      </c>
      <c r="B698" s="2386" t="s">
        <v>1511</v>
      </c>
      <c r="C698" s="2380"/>
      <c r="D698" s="2373">
        <v>0</v>
      </c>
      <c r="E698" s="2374" t="s">
        <v>5224</v>
      </c>
      <c r="F698" s="2373" t="s">
        <v>2445</v>
      </c>
      <c r="G698" s="2380">
        <f>9*G695</f>
        <v>0</v>
      </c>
      <c r="H698" s="2376">
        <v>160000</v>
      </c>
      <c r="I698" s="2381"/>
      <c r="J698" s="2376">
        <v>0</v>
      </c>
      <c r="K698" s="2376">
        <v>0</v>
      </c>
      <c r="L698" s="2382">
        <f t="shared" si="100"/>
        <v>0</v>
      </c>
      <c r="M698" s="2382">
        <f t="shared" si="101"/>
        <v>0</v>
      </c>
      <c r="N698" s="2382">
        <f t="shared" si="102"/>
        <v>0</v>
      </c>
      <c r="O698" s="2381">
        <f t="shared" si="103"/>
        <v>0</v>
      </c>
      <c r="P698" s="2408"/>
    </row>
    <row r="699" spans="1:16" s="2358" customFormat="1" outlineLevel="1">
      <c r="A699" s="2361">
        <f t="shared" si="98"/>
        <v>0</v>
      </c>
      <c r="B699" s="2386" t="s">
        <v>1493</v>
      </c>
      <c r="C699" s="2380"/>
      <c r="D699" s="2373">
        <v>0</v>
      </c>
      <c r="E699" s="2374" t="s">
        <v>3554</v>
      </c>
      <c r="F699" s="2373" t="s">
        <v>1827</v>
      </c>
      <c r="G699" s="2380"/>
      <c r="H699" s="2376">
        <v>6200</v>
      </c>
      <c r="I699" s="2381"/>
      <c r="J699" s="2376">
        <v>0</v>
      </c>
      <c r="K699" s="2376">
        <v>0</v>
      </c>
      <c r="L699" s="2382">
        <f t="shared" si="100"/>
        <v>0</v>
      </c>
      <c r="M699" s="2382">
        <f t="shared" si="101"/>
        <v>0</v>
      </c>
      <c r="N699" s="2382">
        <f t="shared" si="102"/>
        <v>0</v>
      </c>
      <c r="O699" s="2381">
        <f t="shared" si="103"/>
        <v>0</v>
      </c>
      <c r="P699" s="2408"/>
    </row>
    <row r="700" spans="1:16" s="2358" customFormat="1" outlineLevel="1">
      <c r="A700" s="2361">
        <f t="shared" si="98"/>
        <v>0</v>
      </c>
      <c r="B700" s="2383" t="s">
        <v>905</v>
      </c>
      <c r="C700" s="2380"/>
      <c r="D700" s="2373">
        <v>0</v>
      </c>
      <c r="E700" s="2374" t="s">
        <v>6402</v>
      </c>
      <c r="F700" s="2373" t="s">
        <v>2563</v>
      </c>
      <c r="G700" s="2380">
        <f>2*G695</f>
        <v>0</v>
      </c>
      <c r="H700" s="2376">
        <v>8000</v>
      </c>
      <c r="I700" s="2376"/>
      <c r="J700" s="2376">
        <v>0</v>
      </c>
      <c r="K700" s="2376">
        <v>0</v>
      </c>
      <c r="L700" s="2382">
        <f t="shared" si="100"/>
        <v>0</v>
      </c>
      <c r="M700" s="2382">
        <f t="shared" si="101"/>
        <v>0</v>
      </c>
      <c r="N700" s="2382">
        <f t="shared" si="102"/>
        <v>0</v>
      </c>
      <c r="O700" s="2381">
        <f t="shared" si="103"/>
        <v>0</v>
      </c>
      <c r="P700" s="2408"/>
    </row>
    <row r="701" spans="1:16" s="2358" customFormat="1" outlineLevel="1">
      <c r="A701" s="2361">
        <f t="shared" si="98"/>
        <v>0</v>
      </c>
      <c r="B701" s="2383" t="s">
        <v>816</v>
      </c>
      <c r="C701" s="2380"/>
      <c r="D701" s="2373">
        <v>0</v>
      </c>
      <c r="E701" s="2374" t="s">
        <v>3599</v>
      </c>
      <c r="F701" s="2373" t="s">
        <v>2563</v>
      </c>
      <c r="G701" s="2380">
        <f>G695*11</f>
        <v>0</v>
      </c>
      <c r="H701" s="2376">
        <v>17600</v>
      </c>
      <c r="I701" s="2376"/>
      <c r="J701" s="2376">
        <v>0</v>
      </c>
      <c r="K701" s="2376">
        <v>0</v>
      </c>
      <c r="L701" s="2382">
        <f t="shared" si="100"/>
        <v>0</v>
      </c>
      <c r="M701" s="2382">
        <f t="shared" si="101"/>
        <v>0</v>
      </c>
      <c r="N701" s="2382">
        <f t="shared" si="102"/>
        <v>0</v>
      </c>
      <c r="O701" s="2381">
        <f t="shared" si="103"/>
        <v>0</v>
      </c>
      <c r="P701" s="2408"/>
    </row>
    <row r="702" spans="1:16" s="2358" customFormat="1" outlineLevel="1">
      <c r="A702" s="2361">
        <f t="shared" si="98"/>
        <v>0</v>
      </c>
      <c r="B702" s="2386" t="s">
        <v>525</v>
      </c>
      <c r="C702" s="2380"/>
      <c r="D702" s="2373">
        <v>0</v>
      </c>
      <c r="E702" s="2374" t="s">
        <v>5313</v>
      </c>
      <c r="F702" s="2373" t="s">
        <v>2445</v>
      </c>
      <c r="G702" s="2380"/>
      <c r="H702" s="2376">
        <v>43000</v>
      </c>
      <c r="I702" s="2381"/>
      <c r="J702" s="2376">
        <v>0</v>
      </c>
      <c r="K702" s="2376">
        <v>0</v>
      </c>
      <c r="L702" s="2382">
        <f t="shared" si="100"/>
        <v>0</v>
      </c>
      <c r="M702" s="2382">
        <f t="shared" si="101"/>
        <v>0</v>
      </c>
      <c r="N702" s="2382">
        <f>J702*A702</f>
        <v>0</v>
      </c>
      <c r="O702" s="2381">
        <f t="shared" si="103"/>
        <v>0</v>
      </c>
      <c r="P702" s="2408"/>
    </row>
    <row r="703" spans="1:16" s="2358" customFormat="1" outlineLevel="1">
      <c r="A703" s="2361">
        <f>+A697</f>
        <v>0</v>
      </c>
      <c r="B703" s="2383" t="s">
        <v>2189</v>
      </c>
      <c r="C703" s="2380"/>
      <c r="D703" s="2373" t="s">
        <v>5408</v>
      </c>
      <c r="E703" s="2374" t="s">
        <v>5409</v>
      </c>
      <c r="F703" s="2373" t="s">
        <v>2538</v>
      </c>
      <c r="G703" s="2380">
        <f>G697/0.224</f>
        <v>0</v>
      </c>
      <c r="H703" s="2376">
        <v>0</v>
      </c>
      <c r="I703" s="2376"/>
      <c r="J703" s="2376">
        <v>8070.7000000000007</v>
      </c>
      <c r="K703" s="2376">
        <v>2044.9974999999999</v>
      </c>
      <c r="L703" s="2382">
        <f>H703*G703</f>
        <v>0</v>
      </c>
      <c r="M703" s="2382">
        <f>I703*G703</f>
        <v>0</v>
      </c>
      <c r="N703" s="2382">
        <f>J703*G703</f>
        <v>0</v>
      </c>
      <c r="O703" s="2381">
        <f>K703*G703</f>
        <v>0</v>
      </c>
      <c r="P703" s="2408"/>
    </row>
    <row r="704" spans="1:16" s="2358" customFormat="1" outlineLevel="1">
      <c r="A704" s="2361">
        <f>+A698</f>
        <v>0</v>
      </c>
      <c r="B704" s="2386" t="s">
        <v>902</v>
      </c>
      <c r="C704" s="2380"/>
      <c r="D704" s="2373" t="s">
        <v>5413</v>
      </c>
      <c r="E704" s="2374" t="s">
        <v>5414</v>
      </c>
      <c r="F704" s="2373" t="s">
        <v>2284</v>
      </c>
      <c r="G704" s="2380">
        <f>G698</f>
        <v>0</v>
      </c>
      <c r="H704" s="2376">
        <v>0</v>
      </c>
      <c r="I704" s="2381"/>
      <c r="J704" s="2376" t="s">
        <v>6389</v>
      </c>
      <c r="K704" s="2376">
        <v>1573.075</v>
      </c>
      <c r="L704" s="2382">
        <f>H704*G704</f>
        <v>0</v>
      </c>
      <c r="M704" s="2382">
        <f>I704*G704</f>
        <v>0</v>
      </c>
      <c r="N704" s="2376">
        <v>0</v>
      </c>
      <c r="O704" s="2381">
        <f>K704*G704</f>
        <v>0</v>
      </c>
      <c r="P704" s="2408"/>
    </row>
    <row r="705" spans="1:16" s="2358" customFormat="1" outlineLevel="1">
      <c r="A705" s="2361">
        <f>IF(G705&lt;&gt;0,1,0)</f>
        <v>0</v>
      </c>
      <c r="B705" s="2383" t="s">
        <v>1055</v>
      </c>
      <c r="C705" s="2380"/>
      <c r="D705" s="2373" t="s">
        <v>5398</v>
      </c>
      <c r="E705" s="2374" t="s">
        <v>3086</v>
      </c>
      <c r="F705" s="2373" t="s">
        <v>856</v>
      </c>
      <c r="G705" s="2404">
        <f>G695*H4</f>
        <v>0</v>
      </c>
      <c r="H705" s="2376">
        <v>0</v>
      </c>
      <c r="I705" s="2376"/>
      <c r="J705" s="2376">
        <v>283749.75</v>
      </c>
      <c r="K705" s="2376">
        <v>0</v>
      </c>
      <c r="L705" s="2382">
        <f>H705*G705</f>
        <v>0</v>
      </c>
      <c r="M705" s="2382">
        <f>I705*G705</f>
        <v>0</v>
      </c>
      <c r="N705" s="2382">
        <f>J705*G705</f>
        <v>0</v>
      </c>
      <c r="O705" s="2381">
        <f>K705*G705</f>
        <v>0</v>
      </c>
      <c r="P705" s="2408"/>
    </row>
    <row r="706" spans="1:16" s="2358" customFormat="1" outlineLevel="1">
      <c r="A706" s="2361">
        <f>IF(G706&lt;&gt;0,1,0)</f>
        <v>0</v>
      </c>
      <c r="B706" s="2386" t="s">
        <v>1056</v>
      </c>
      <c r="C706" s="2380"/>
      <c r="D706" s="2373" t="s">
        <v>5387</v>
      </c>
      <c r="E706" s="2374" t="s">
        <v>5399</v>
      </c>
      <c r="F706" s="2373" t="s">
        <v>856</v>
      </c>
      <c r="G706" s="2404">
        <f>G705</f>
        <v>0</v>
      </c>
      <c r="H706" s="2376">
        <v>0</v>
      </c>
      <c r="I706" s="2381"/>
      <c r="J706" s="2376">
        <v>117703.6</v>
      </c>
      <c r="K706" s="2376">
        <v>0</v>
      </c>
      <c r="L706" s="2382">
        <f>H706*G706</f>
        <v>0</v>
      </c>
      <c r="M706" s="2382">
        <f>I706*G706</f>
        <v>0</v>
      </c>
      <c r="N706" s="2382">
        <f>J706*G706</f>
        <v>0</v>
      </c>
      <c r="O706" s="2381">
        <f>K706*G706</f>
        <v>0</v>
      </c>
      <c r="P706" s="2408"/>
    </row>
    <row r="707" spans="1:16" s="2358" customFormat="1" outlineLevel="1">
      <c r="A707" s="2361">
        <f t="shared" si="98"/>
        <v>0</v>
      </c>
      <c r="B707" s="2383"/>
      <c r="C707" s="2395">
        <f>IF(G707&gt;0,C695+1,C695)</f>
        <v>0</v>
      </c>
      <c r="D707" s="2455"/>
      <c r="E707" s="2411" t="s">
        <v>3718</v>
      </c>
      <c r="F707" s="2395" t="s">
        <v>2391</v>
      </c>
      <c r="G707" s="2395">
        <f>G695</f>
        <v>0</v>
      </c>
      <c r="H707" s="2381"/>
      <c r="I707" s="2381"/>
      <c r="J707" s="2381"/>
      <c r="K707" s="2381"/>
      <c r="L707" s="2382">
        <f t="shared" si="100"/>
        <v>0</v>
      </c>
      <c r="M707" s="2382">
        <f t="shared" si="101"/>
        <v>0</v>
      </c>
      <c r="N707" s="2382">
        <f t="shared" si="102"/>
        <v>0</v>
      </c>
      <c r="O707" s="2381">
        <f t="shared" si="103"/>
        <v>0</v>
      </c>
      <c r="P707" s="2408"/>
    </row>
    <row r="708" spans="1:16" s="2358" customFormat="1" ht="14.4" outlineLevel="1">
      <c r="A708" s="2361">
        <f>A707</f>
        <v>0</v>
      </c>
      <c r="B708" s="2383"/>
      <c r="C708" s="2395"/>
      <c r="D708" s="2455"/>
      <c r="E708" s="2425" t="s">
        <v>6207</v>
      </c>
      <c r="F708" s="2380"/>
      <c r="G708" s="2380"/>
      <c r="H708" s="2381"/>
      <c r="I708" s="2381"/>
      <c r="J708" s="2381"/>
      <c r="K708" s="2381"/>
      <c r="L708" s="2382">
        <f t="shared" si="100"/>
        <v>0</v>
      </c>
      <c r="M708" s="2382">
        <f t="shared" si="101"/>
        <v>0</v>
      </c>
      <c r="N708" s="2382">
        <f t="shared" si="102"/>
        <v>0</v>
      </c>
      <c r="O708" s="2381">
        <f t="shared" si="103"/>
        <v>0</v>
      </c>
      <c r="P708" s="2408"/>
    </row>
    <row r="709" spans="1:16" s="2358" customFormat="1" outlineLevel="1">
      <c r="A709" s="2361">
        <f t="shared" si="98"/>
        <v>0</v>
      </c>
      <c r="B709" s="2386" t="s">
        <v>616</v>
      </c>
      <c r="C709" s="2380"/>
      <c r="D709" s="2373" t="s">
        <v>5717</v>
      </c>
      <c r="E709" s="2374" t="s">
        <v>3410</v>
      </c>
      <c r="F709" s="2373" t="s">
        <v>2563</v>
      </c>
      <c r="G709" s="2380">
        <f>G707</f>
        <v>0</v>
      </c>
      <c r="H709" s="2376">
        <v>3793194</v>
      </c>
      <c r="I709" s="2376"/>
      <c r="J709" s="2376">
        <v>599038</v>
      </c>
      <c r="K709" s="2376">
        <v>97369</v>
      </c>
      <c r="L709" s="2382">
        <f t="shared" si="100"/>
        <v>0</v>
      </c>
      <c r="M709" s="2382">
        <f t="shared" si="101"/>
        <v>0</v>
      </c>
      <c r="N709" s="2382">
        <f t="shared" si="102"/>
        <v>0</v>
      </c>
      <c r="O709" s="2381">
        <f t="shared" si="103"/>
        <v>0</v>
      </c>
      <c r="P709" s="2408"/>
    </row>
    <row r="710" spans="1:16" s="2358" customFormat="1" outlineLevel="1">
      <c r="A710" s="2361">
        <f t="shared" si="98"/>
        <v>0</v>
      </c>
      <c r="B710" s="2383" t="s">
        <v>879</v>
      </c>
      <c r="C710" s="2380"/>
      <c r="D710" s="2460"/>
      <c r="E710" s="2374" t="s">
        <v>2999</v>
      </c>
      <c r="F710" s="2373" t="s">
        <v>2445</v>
      </c>
      <c r="G710" s="2380">
        <f>+G709*2</f>
        <v>0</v>
      </c>
      <c r="H710" s="2376">
        <v>168000</v>
      </c>
      <c r="I710" s="2381"/>
      <c r="J710" s="2376">
        <v>0</v>
      </c>
      <c r="K710" s="2376">
        <v>0</v>
      </c>
      <c r="L710" s="2382">
        <f t="shared" si="100"/>
        <v>0</v>
      </c>
      <c r="M710" s="2382">
        <f t="shared" si="101"/>
        <v>0</v>
      </c>
      <c r="N710" s="2382">
        <f t="shared" si="102"/>
        <v>0</v>
      </c>
      <c r="O710" s="2381">
        <f t="shared" si="103"/>
        <v>0</v>
      </c>
      <c r="P710" s="2408"/>
    </row>
    <row r="711" spans="1:16" s="2358" customFormat="1" outlineLevel="1">
      <c r="A711" s="2361">
        <f t="shared" si="98"/>
        <v>0</v>
      </c>
      <c r="B711" s="2383" t="s">
        <v>880</v>
      </c>
      <c r="C711" s="2380"/>
      <c r="D711" s="2460"/>
      <c r="E711" s="2374" t="s">
        <v>5861</v>
      </c>
      <c r="F711" s="2373" t="s">
        <v>2563</v>
      </c>
      <c r="G711" s="2380">
        <f>+G709</f>
        <v>0</v>
      </c>
      <c r="H711" s="2376">
        <v>284000</v>
      </c>
      <c r="I711" s="2381"/>
      <c r="J711" s="2376">
        <v>5404</v>
      </c>
      <c r="K711" s="2376">
        <v>0</v>
      </c>
      <c r="L711" s="2382">
        <f t="shared" si="100"/>
        <v>0</v>
      </c>
      <c r="M711" s="2382">
        <f t="shared" si="101"/>
        <v>0</v>
      </c>
      <c r="N711" s="2382">
        <f t="shared" si="102"/>
        <v>0</v>
      </c>
      <c r="O711" s="2381">
        <f t="shared" si="103"/>
        <v>0</v>
      </c>
      <c r="P711" s="2408"/>
    </row>
    <row r="712" spans="1:16" s="2358" customFormat="1" outlineLevel="1">
      <c r="A712" s="2361">
        <f t="shared" si="98"/>
        <v>0</v>
      </c>
      <c r="B712" s="2383"/>
      <c r="C712" s="2395">
        <f>IF(G712&gt;0,C707+1,C707)</f>
        <v>0</v>
      </c>
      <c r="D712" s="2455"/>
      <c r="E712" s="2427" t="s">
        <v>6239</v>
      </c>
      <c r="F712" s="2395" t="s">
        <v>2391</v>
      </c>
      <c r="G712" s="2395">
        <f>G670</f>
        <v>0</v>
      </c>
      <c r="H712" s="2381"/>
      <c r="I712" s="2381"/>
      <c r="J712" s="2381"/>
      <c r="K712" s="2381"/>
      <c r="L712" s="2382">
        <f t="shared" si="100"/>
        <v>0</v>
      </c>
      <c r="M712" s="2382">
        <f t="shared" si="101"/>
        <v>0</v>
      </c>
      <c r="N712" s="2382">
        <f t="shared" si="102"/>
        <v>0</v>
      </c>
      <c r="O712" s="2381">
        <f t="shared" si="103"/>
        <v>0</v>
      </c>
      <c r="P712" s="2408"/>
    </row>
    <row r="713" spans="1:16" s="2358" customFormat="1" ht="14.4" outlineLevel="1">
      <c r="A713" s="2361">
        <f>A712</f>
        <v>0</v>
      </c>
      <c r="B713" s="2383"/>
      <c r="C713" s="2395"/>
      <c r="D713" s="2455"/>
      <c r="E713" s="2425" t="s">
        <v>6207</v>
      </c>
      <c r="F713" s="2380"/>
      <c r="G713" s="2380"/>
      <c r="H713" s="2381"/>
      <c r="I713" s="2381"/>
      <c r="J713" s="2381"/>
      <c r="K713" s="2381"/>
      <c r="L713" s="2382">
        <f t="shared" si="100"/>
        <v>0</v>
      </c>
      <c r="M713" s="2382">
        <f t="shared" si="101"/>
        <v>0</v>
      </c>
      <c r="N713" s="2382">
        <f t="shared" si="102"/>
        <v>0</v>
      </c>
      <c r="O713" s="2381">
        <f t="shared" si="103"/>
        <v>0</v>
      </c>
      <c r="P713" s="2408"/>
    </row>
    <row r="714" spans="1:16" s="2358" customFormat="1" outlineLevel="1">
      <c r="A714" s="2361">
        <f t="shared" si="98"/>
        <v>0</v>
      </c>
      <c r="B714" s="2412" t="s">
        <v>697</v>
      </c>
      <c r="C714" s="2380"/>
      <c r="D714" s="2373">
        <v>0</v>
      </c>
      <c r="E714" s="2374" t="s">
        <v>5139</v>
      </c>
      <c r="F714" s="2373" t="s">
        <v>2538</v>
      </c>
      <c r="G714" s="2380">
        <f>9*G712</f>
        <v>0</v>
      </c>
      <c r="H714" s="2376">
        <v>50996</v>
      </c>
      <c r="I714" s="2376"/>
      <c r="J714" s="2376">
        <v>0</v>
      </c>
      <c r="K714" s="2376">
        <v>0</v>
      </c>
      <c r="L714" s="2382">
        <f t="shared" si="100"/>
        <v>0</v>
      </c>
      <c r="M714" s="2382">
        <f t="shared" si="101"/>
        <v>0</v>
      </c>
      <c r="N714" s="2382">
        <f t="shared" si="102"/>
        <v>0</v>
      </c>
      <c r="O714" s="2381">
        <f t="shared" si="103"/>
        <v>0</v>
      </c>
      <c r="P714" s="2408"/>
    </row>
    <row r="715" spans="1:16" s="2358" customFormat="1" outlineLevel="1">
      <c r="A715" s="2361">
        <f>IF(G715&lt;&gt;0,1,0)</f>
        <v>0</v>
      </c>
      <c r="B715" s="2371" t="s">
        <v>905</v>
      </c>
      <c r="C715" s="2380"/>
      <c r="D715" s="2373">
        <v>0</v>
      </c>
      <c r="E715" s="2374" t="s">
        <v>2889</v>
      </c>
      <c r="F715" s="2373" t="s">
        <v>2563</v>
      </c>
      <c r="G715" s="2380">
        <f>3*G711</f>
        <v>0</v>
      </c>
      <c r="H715" s="2376">
        <v>8000</v>
      </c>
      <c r="I715" s="2376"/>
      <c r="J715" s="2376">
        <v>0</v>
      </c>
      <c r="K715" s="2376">
        <v>0</v>
      </c>
      <c r="L715" s="2382">
        <f>H715*G715</f>
        <v>0</v>
      </c>
      <c r="M715" s="2382">
        <f>I715*G715</f>
        <v>0</v>
      </c>
      <c r="N715" s="2382">
        <f>J715*G715</f>
        <v>0</v>
      </c>
      <c r="O715" s="2381">
        <f>K715*G715</f>
        <v>0</v>
      </c>
      <c r="P715" s="2408"/>
    </row>
    <row r="716" spans="1:16" s="2358" customFormat="1" outlineLevel="1">
      <c r="A716" s="2361">
        <f t="shared" si="98"/>
        <v>0</v>
      </c>
      <c r="B716" s="2371" t="s">
        <v>1482</v>
      </c>
      <c r="C716" s="2380"/>
      <c r="D716" s="2373">
        <v>0</v>
      </c>
      <c r="E716" s="2374" t="s">
        <v>3810</v>
      </c>
      <c r="F716" s="2373" t="s">
        <v>2563</v>
      </c>
      <c r="G716" s="2380">
        <f>3*G712*0</f>
        <v>0</v>
      </c>
      <c r="H716" s="2376">
        <v>46000</v>
      </c>
      <c r="I716" s="2376"/>
      <c r="J716" s="2376">
        <v>0</v>
      </c>
      <c r="K716" s="2376">
        <v>0</v>
      </c>
      <c r="L716" s="2382">
        <f t="shared" si="100"/>
        <v>0</v>
      </c>
      <c r="M716" s="2382">
        <f t="shared" si="101"/>
        <v>0</v>
      </c>
      <c r="N716" s="2382">
        <f t="shared" si="102"/>
        <v>0</v>
      </c>
      <c r="O716" s="2381">
        <f t="shared" si="103"/>
        <v>0</v>
      </c>
      <c r="P716" s="2408"/>
    </row>
    <row r="717" spans="1:16" s="2358" customFormat="1" outlineLevel="1">
      <c r="A717" s="2361">
        <f t="shared" si="98"/>
        <v>0</v>
      </c>
      <c r="B717" s="2371" t="s">
        <v>1480</v>
      </c>
      <c r="C717" s="2380"/>
      <c r="D717" s="2373">
        <v>0</v>
      </c>
      <c r="E717" s="2374" t="s">
        <v>4361</v>
      </c>
      <c r="F717" s="2373" t="s">
        <v>2563</v>
      </c>
      <c r="G717" s="2380">
        <f>3*G712*0</f>
        <v>0</v>
      </c>
      <c r="H717" s="2376">
        <v>77000</v>
      </c>
      <c r="I717" s="2376"/>
      <c r="J717" s="2376">
        <v>0</v>
      </c>
      <c r="K717" s="2376">
        <v>0</v>
      </c>
      <c r="L717" s="2382">
        <f t="shared" si="100"/>
        <v>0</v>
      </c>
      <c r="M717" s="2382">
        <f t="shared" si="101"/>
        <v>0</v>
      </c>
      <c r="N717" s="2382">
        <f t="shared" si="102"/>
        <v>0</v>
      </c>
      <c r="O717" s="2381">
        <f t="shared" si="103"/>
        <v>0</v>
      </c>
      <c r="P717" s="2408"/>
    </row>
    <row r="718" spans="1:16" s="2358" customFormat="1" outlineLevel="1">
      <c r="A718" s="2361">
        <f>IF(G718&lt;&gt;0,1,0)</f>
        <v>0</v>
      </c>
      <c r="B718" s="2371" t="s">
        <v>5761</v>
      </c>
      <c r="C718" s="2380"/>
      <c r="D718" s="2373">
        <v>0</v>
      </c>
      <c r="E718" s="2374" t="s">
        <v>5762</v>
      </c>
      <c r="F718" s="2405" t="s">
        <v>2563</v>
      </c>
      <c r="G718" s="2380">
        <f>3*G712</f>
        <v>0</v>
      </c>
      <c r="H718" s="2376">
        <v>218200</v>
      </c>
      <c r="I718" s="2376"/>
      <c r="J718" s="2376">
        <v>0</v>
      </c>
      <c r="K718" s="2376">
        <v>0</v>
      </c>
      <c r="L718" s="2382">
        <f>H718*G718</f>
        <v>0</v>
      </c>
      <c r="M718" s="2382">
        <f>I718*G718</f>
        <v>0</v>
      </c>
      <c r="N718" s="2382">
        <f>J718*G718</f>
        <v>0</v>
      </c>
      <c r="O718" s="2381">
        <f>K718*G718</f>
        <v>0</v>
      </c>
      <c r="P718" s="2408"/>
    </row>
    <row r="719" spans="1:16" s="2358" customFormat="1" outlineLevel="1">
      <c r="A719" s="2361">
        <f>IF(G719&lt;&gt;0,1,0)</f>
        <v>0</v>
      </c>
      <c r="B719" s="2371" t="s">
        <v>5767</v>
      </c>
      <c r="C719" s="2380"/>
      <c r="D719" s="2373">
        <v>0</v>
      </c>
      <c r="E719" s="2374" t="s">
        <v>5768</v>
      </c>
      <c r="F719" s="2405" t="s">
        <v>2563</v>
      </c>
      <c r="G719" s="2380">
        <f>3*G712</f>
        <v>0</v>
      </c>
      <c r="H719" s="2376">
        <v>39100</v>
      </c>
      <c r="I719" s="2376"/>
      <c r="J719" s="2376">
        <v>0</v>
      </c>
      <c r="K719" s="2376">
        <v>0</v>
      </c>
      <c r="L719" s="2382">
        <f>H719*G719</f>
        <v>0</v>
      </c>
      <c r="M719" s="2382">
        <f>I719*G719</f>
        <v>0</v>
      </c>
      <c r="N719" s="2382">
        <f>J719*G719</f>
        <v>0</v>
      </c>
      <c r="O719" s="2381">
        <f>K719*G719</f>
        <v>0</v>
      </c>
      <c r="P719" s="2408"/>
    </row>
    <row r="720" spans="1:16" s="2358" customFormat="1" outlineLevel="1">
      <c r="A720" s="2361">
        <f>IF(G720&lt;&gt;0,1,0)</f>
        <v>0</v>
      </c>
      <c r="B720" s="2371" t="s">
        <v>5769</v>
      </c>
      <c r="C720" s="2380"/>
      <c r="D720" s="2373">
        <v>0</v>
      </c>
      <c r="E720" s="2374" t="s">
        <v>5770</v>
      </c>
      <c r="F720" s="2405" t="s">
        <v>2563</v>
      </c>
      <c r="G720" s="2380">
        <f>3*G712</f>
        <v>0</v>
      </c>
      <c r="H720" s="2376">
        <v>56700</v>
      </c>
      <c r="I720" s="2376"/>
      <c r="J720" s="2376">
        <v>0</v>
      </c>
      <c r="K720" s="2376">
        <v>0</v>
      </c>
      <c r="L720" s="2382">
        <f>H720*G720</f>
        <v>0</v>
      </c>
      <c r="M720" s="2382">
        <f>I720*G720</f>
        <v>0</v>
      </c>
      <c r="N720" s="2382">
        <f>J720*G720</f>
        <v>0</v>
      </c>
      <c r="O720" s="2381">
        <f>K720*G720</f>
        <v>0</v>
      </c>
      <c r="P720" s="2408"/>
    </row>
    <row r="721" spans="1:16" s="2358" customFormat="1" outlineLevel="1">
      <c r="A721" s="2361">
        <f>IF(G721&lt;&gt;0,1,0)</f>
        <v>0</v>
      </c>
      <c r="B721" s="2371" t="s">
        <v>1528</v>
      </c>
      <c r="C721" s="2380"/>
      <c r="D721" s="2373" t="s">
        <v>5633</v>
      </c>
      <c r="E721" s="2374" t="s">
        <v>3310</v>
      </c>
      <c r="F721" s="2373" t="s">
        <v>1827</v>
      </c>
      <c r="G721" s="2380">
        <f>G714</f>
        <v>0</v>
      </c>
      <c r="H721" s="2376">
        <v>0</v>
      </c>
      <c r="I721" s="2376"/>
      <c r="J721" s="2376">
        <v>13915</v>
      </c>
      <c r="K721" s="2376">
        <v>0</v>
      </c>
      <c r="L721" s="2382">
        <f>H721*G721</f>
        <v>0</v>
      </c>
      <c r="M721" s="2382">
        <f>I721*G721</f>
        <v>0</v>
      </c>
      <c r="N721" s="2382">
        <f>J721*G721</f>
        <v>0</v>
      </c>
      <c r="O721" s="2381">
        <f>K721*G721</f>
        <v>0</v>
      </c>
      <c r="P721" s="2408"/>
    </row>
    <row r="722" spans="1:16" s="2358" customFormat="1" outlineLevel="1">
      <c r="A722" s="2361">
        <f t="shared" si="98"/>
        <v>0</v>
      </c>
      <c r="B722" s="2383"/>
      <c r="C722" s="2395">
        <f>IF(G722&gt;0,C712+1,C712)</f>
        <v>0</v>
      </c>
      <c r="D722" s="2455"/>
      <c r="E722" s="2427" t="s">
        <v>6240</v>
      </c>
      <c r="F722" s="2395" t="s">
        <v>2391</v>
      </c>
      <c r="G722" s="2395">
        <f>+G670</f>
        <v>0</v>
      </c>
      <c r="H722" s="2381"/>
      <c r="I722" s="2381"/>
      <c r="J722" s="2381"/>
      <c r="K722" s="2381"/>
      <c r="L722" s="2382">
        <f t="shared" si="100"/>
        <v>0</v>
      </c>
      <c r="M722" s="2382">
        <f t="shared" si="101"/>
        <v>0</v>
      </c>
      <c r="N722" s="2382">
        <f t="shared" si="102"/>
        <v>0</v>
      </c>
      <c r="O722" s="2381">
        <f t="shared" si="103"/>
        <v>0</v>
      </c>
      <c r="P722" s="2408"/>
    </row>
    <row r="723" spans="1:16" s="2358" customFormat="1" ht="14.4" outlineLevel="1">
      <c r="A723" s="2361">
        <f>A722</f>
        <v>0</v>
      </c>
      <c r="B723" s="2383"/>
      <c r="C723" s="2395"/>
      <c r="D723" s="2455"/>
      <c r="E723" s="2425" t="s">
        <v>6207</v>
      </c>
      <c r="F723" s="2395"/>
      <c r="G723" s="2395"/>
      <c r="H723" s="2381"/>
      <c r="I723" s="2381"/>
      <c r="J723" s="2381"/>
      <c r="K723" s="2381"/>
      <c r="L723" s="2382">
        <f t="shared" si="100"/>
        <v>0</v>
      </c>
      <c r="M723" s="2382">
        <f t="shared" si="101"/>
        <v>0</v>
      </c>
      <c r="N723" s="2382">
        <f t="shared" si="102"/>
        <v>0</v>
      </c>
      <c r="O723" s="2381">
        <f t="shared" si="103"/>
        <v>0</v>
      </c>
      <c r="P723" s="2408"/>
    </row>
    <row r="724" spans="1:16" s="2358" customFormat="1" outlineLevel="1">
      <c r="A724" s="2361">
        <f t="shared" si="98"/>
        <v>0</v>
      </c>
      <c r="B724" s="2383" t="s">
        <v>82</v>
      </c>
      <c r="C724" s="2380"/>
      <c r="D724" s="2373">
        <v>0</v>
      </c>
      <c r="E724" s="2374" t="s">
        <v>2800</v>
      </c>
      <c r="F724" s="2373" t="s">
        <v>2538</v>
      </c>
      <c r="G724" s="2380">
        <f>7*4*G722</f>
        <v>0</v>
      </c>
      <c r="H724" s="2376">
        <v>91800</v>
      </c>
      <c r="I724" s="2376"/>
      <c r="J724" s="2376">
        <v>0</v>
      </c>
      <c r="K724" s="2376">
        <v>0</v>
      </c>
      <c r="L724" s="2382">
        <f t="shared" si="100"/>
        <v>0</v>
      </c>
      <c r="M724" s="2382">
        <f t="shared" si="101"/>
        <v>0</v>
      </c>
      <c r="N724" s="2382">
        <f t="shared" si="102"/>
        <v>0</v>
      </c>
      <c r="O724" s="2381">
        <f t="shared" si="103"/>
        <v>0</v>
      </c>
      <c r="P724" s="2408"/>
    </row>
    <row r="725" spans="1:16" s="2358" customFormat="1" outlineLevel="1">
      <c r="A725" s="2361">
        <f t="shared" si="98"/>
        <v>0</v>
      </c>
      <c r="B725" s="2383" t="s">
        <v>1826</v>
      </c>
      <c r="C725" s="2380"/>
      <c r="D725" s="2373" t="s">
        <v>1530</v>
      </c>
      <c r="E725" s="2374" t="s">
        <v>2792</v>
      </c>
      <c r="F725" s="2373" t="s">
        <v>2538</v>
      </c>
      <c r="G725" s="2380">
        <f>4*G722</f>
        <v>0</v>
      </c>
      <c r="H725" s="2376">
        <v>28200</v>
      </c>
      <c r="I725" s="2376"/>
      <c r="J725" s="2376">
        <v>0</v>
      </c>
      <c r="K725" s="2376">
        <v>0</v>
      </c>
      <c r="L725" s="2382">
        <f t="shared" si="100"/>
        <v>0</v>
      </c>
      <c r="M725" s="2382">
        <f t="shared" si="101"/>
        <v>0</v>
      </c>
      <c r="N725" s="2382">
        <f t="shared" si="102"/>
        <v>0</v>
      </c>
      <c r="O725" s="2381">
        <f t="shared" si="103"/>
        <v>0</v>
      </c>
      <c r="P725" s="2408"/>
    </row>
    <row r="726" spans="1:16" s="2358" customFormat="1" outlineLevel="1">
      <c r="A726" s="2361">
        <f t="shared" si="98"/>
        <v>0</v>
      </c>
      <c r="B726" s="2383" t="s">
        <v>1305</v>
      </c>
      <c r="C726" s="2380"/>
      <c r="D726" s="2373" t="s">
        <v>5787</v>
      </c>
      <c r="E726" s="2374" t="s">
        <v>3497</v>
      </c>
      <c r="F726" s="2373" t="s">
        <v>2563</v>
      </c>
      <c r="G726" s="2461">
        <f>6*G722</f>
        <v>0</v>
      </c>
      <c r="H726" s="2376">
        <v>9100</v>
      </c>
      <c r="I726" s="2376"/>
      <c r="J726" s="2376">
        <v>10608.955000000002</v>
      </c>
      <c r="K726" s="2376">
        <v>2777.0232475000003</v>
      </c>
      <c r="L726" s="2462">
        <f t="shared" si="100"/>
        <v>0</v>
      </c>
      <c r="M726" s="2462">
        <f t="shared" si="101"/>
        <v>0</v>
      </c>
      <c r="N726" s="2462">
        <f t="shared" si="102"/>
        <v>0</v>
      </c>
      <c r="O726" s="2463">
        <f t="shared" si="103"/>
        <v>0</v>
      </c>
      <c r="P726" s="2408"/>
    </row>
    <row r="727" spans="1:16" s="2358" customFormat="1" outlineLevel="1">
      <c r="A727" s="2361">
        <f t="shared" si="98"/>
        <v>0</v>
      </c>
      <c r="B727" s="2383" t="s">
        <v>1178</v>
      </c>
      <c r="C727" s="2380"/>
      <c r="D727" s="2373">
        <v>0</v>
      </c>
      <c r="E727" s="2374" t="s">
        <v>3511</v>
      </c>
      <c r="F727" s="2373" t="s">
        <v>2563</v>
      </c>
      <c r="G727" s="2380">
        <f>G726</f>
        <v>0</v>
      </c>
      <c r="H727" s="2376">
        <v>1000</v>
      </c>
      <c r="I727" s="2376"/>
      <c r="J727" s="2376">
        <v>0</v>
      </c>
      <c r="K727" s="2376">
        <v>0</v>
      </c>
      <c r="L727" s="2382">
        <f t="shared" si="100"/>
        <v>0</v>
      </c>
      <c r="M727" s="2382">
        <f t="shared" si="101"/>
        <v>0</v>
      </c>
      <c r="N727" s="2382">
        <f t="shared" si="102"/>
        <v>0</v>
      </c>
      <c r="O727" s="2381">
        <f t="shared" si="103"/>
        <v>0</v>
      </c>
      <c r="P727" s="2408"/>
    </row>
    <row r="728" spans="1:16" s="2358" customFormat="1" outlineLevel="1">
      <c r="A728" s="2361">
        <f t="shared" si="98"/>
        <v>0</v>
      </c>
      <c r="B728" s="2383" t="s">
        <v>282</v>
      </c>
      <c r="C728" s="2380"/>
      <c r="D728" s="2373">
        <v>0</v>
      </c>
      <c r="E728" s="2374" t="s">
        <v>3550</v>
      </c>
      <c r="F728" s="2373" t="s">
        <v>1827</v>
      </c>
      <c r="G728" s="2380">
        <f>6*G722</f>
        <v>0</v>
      </c>
      <c r="H728" s="2376">
        <v>63200</v>
      </c>
      <c r="I728" s="2381"/>
      <c r="J728" s="2376">
        <v>0</v>
      </c>
      <c r="K728" s="2376">
        <v>0</v>
      </c>
      <c r="L728" s="2382">
        <f t="shared" si="100"/>
        <v>0</v>
      </c>
      <c r="M728" s="2382">
        <f t="shared" si="101"/>
        <v>0</v>
      </c>
      <c r="N728" s="2382">
        <f t="shared" si="102"/>
        <v>0</v>
      </c>
      <c r="O728" s="2381">
        <f t="shared" si="103"/>
        <v>0</v>
      </c>
      <c r="P728" s="2408"/>
    </row>
    <row r="729" spans="1:16" s="2358" customFormat="1" outlineLevel="1">
      <c r="A729" s="2361">
        <f t="shared" si="98"/>
        <v>0</v>
      </c>
      <c r="B729" s="2386" t="s">
        <v>1994</v>
      </c>
      <c r="C729" s="2380"/>
      <c r="D729" s="2373">
        <v>0</v>
      </c>
      <c r="E729" s="2374" t="s">
        <v>5318</v>
      </c>
      <c r="F729" s="2373" t="s">
        <v>2445</v>
      </c>
      <c r="G729" s="2380">
        <f>+G722*3</f>
        <v>0</v>
      </c>
      <c r="H729" s="2376">
        <v>49000</v>
      </c>
      <c r="I729" s="2381"/>
      <c r="J729" s="2376">
        <v>0</v>
      </c>
      <c r="K729" s="2376">
        <v>0</v>
      </c>
      <c r="L729" s="2382">
        <f t="shared" si="100"/>
        <v>0</v>
      </c>
      <c r="M729" s="2382">
        <f t="shared" si="101"/>
        <v>0</v>
      </c>
      <c r="N729" s="2382">
        <f>J729*A729</f>
        <v>0</v>
      </c>
      <c r="O729" s="2381">
        <f t="shared" si="103"/>
        <v>0</v>
      </c>
      <c r="P729" s="2408"/>
    </row>
    <row r="730" spans="1:16" s="2358" customFormat="1" outlineLevel="1">
      <c r="A730" s="2361">
        <f t="shared" si="98"/>
        <v>0</v>
      </c>
      <c r="B730" s="2383" t="s">
        <v>69</v>
      </c>
      <c r="C730" s="2380"/>
      <c r="D730" s="2373">
        <v>0</v>
      </c>
      <c r="E730" s="2374" t="s">
        <v>5859</v>
      </c>
      <c r="F730" s="2373" t="s">
        <v>2563</v>
      </c>
      <c r="G730" s="2380">
        <f>2*G722</f>
        <v>0</v>
      </c>
      <c r="H730" s="2376">
        <v>45400</v>
      </c>
      <c r="I730" s="2381"/>
      <c r="J730" s="2376">
        <v>0</v>
      </c>
      <c r="K730" s="2376">
        <v>0</v>
      </c>
      <c r="L730" s="2382">
        <f t="shared" si="100"/>
        <v>0</v>
      </c>
      <c r="M730" s="2382">
        <f t="shared" si="101"/>
        <v>0</v>
      </c>
      <c r="N730" s="2382">
        <f t="shared" si="102"/>
        <v>0</v>
      </c>
      <c r="O730" s="2381">
        <f t="shared" si="103"/>
        <v>0</v>
      </c>
      <c r="P730" s="2408"/>
    </row>
    <row r="731" spans="1:16" s="2358" customFormat="1" outlineLevel="1">
      <c r="A731" s="2361">
        <f t="shared" si="98"/>
        <v>0</v>
      </c>
      <c r="B731" s="2383" t="s">
        <v>2159</v>
      </c>
      <c r="C731" s="2380"/>
      <c r="D731" s="2373">
        <v>0</v>
      </c>
      <c r="E731" s="2374" t="s">
        <v>3592</v>
      </c>
      <c r="F731" s="2373" t="s">
        <v>2563</v>
      </c>
      <c r="G731" s="2461">
        <f>+G722</f>
        <v>0</v>
      </c>
      <c r="H731" s="2376">
        <v>25800</v>
      </c>
      <c r="I731" s="2381"/>
      <c r="J731" s="2376">
        <v>0</v>
      </c>
      <c r="K731" s="2376">
        <v>0</v>
      </c>
      <c r="L731" s="2462">
        <f>H731*G731</f>
        <v>0</v>
      </c>
      <c r="M731" s="2462">
        <f>I731*G731</f>
        <v>0</v>
      </c>
      <c r="N731" s="2462">
        <f>J731*G731</f>
        <v>0</v>
      </c>
      <c r="O731" s="2463">
        <f>K731*G731</f>
        <v>0</v>
      </c>
      <c r="P731" s="2408"/>
    </row>
    <row r="732" spans="1:16" s="2358" customFormat="1" outlineLevel="1">
      <c r="A732" s="2361">
        <f>IF(G732&lt;&gt;0,1,0)</f>
        <v>0</v>
      </c>
      <c r="B732" s="2383" t="s">
        <v>2160</v>
      </c>
      <c r="C732" s="2380"/>
      <c r="D732" s="2373">
        <v>0</v>
      </c>
      <c r="E732" s="2374" t="s">
        <v>3596</v>
      </c>
      <c r="F732" s="2373" t="s">
        <v>2563</v>
      </c>
      <c r="G732" s="2461">
        <f>+G731</f>
        <v>0</v>
      </c>
      <c r="H732" s="2376">
        <v>21500</v>
      </c>
      <c r="I732" s="2381"/>
      <c r="J732" s="2376">
        <v>0</v>
      </c>
      <c r="K732" s="2376">
        <v>0</v>
      </c>
      <c r="L732" s="2462">
        <f>H732*G732</f>
        <v>0</v>
      </c>
      <c r="M732" s="2462">
        <f>I732*G732</f>
        <v>0</v>
      </c>
      <c r="N732" s="2462">
        <f>J732*G732</f>
        <v>0</v>
      </c>
      <c r="O732" s="2463">
        <f>K732*G732</f>
        <v>0</v>
      </c>
      <c r="P732" s="2408"/>
    </row>
    <row r="733" spans="1:16" s="2358" customFormat="1" outlineLevel="1">
      <c r="A733" s="2361">
        <f>IF(G733&lt;&gt;0,1,0)</f>
        <v>0</v>
      </c>
      <c r="B733" s="2383" t="s">
        <v>419</v>
      </c>
      <c r="C733" s="2380"/>
      <c r="D733" s="2373">
        <v>0</v>
      </c>
      <c r="E733" s="2374" t="s">
        <v>3588</v>
      </c>
      <c r="F733" s="2373" t="s">
        <v>3589</v>
      </c>
      <c r="G733" s="2380">
        <f>G722</f>
        <v>0</v>
      </c>
      <c r="H733" s="2376">
        <v>11500</v>
      </c>
      <c r="I733" s="2381"/>
      <c r="J733" s="2376">
        <v>0</v>
      </c>
      <c r="K733" s="2376">
        <v>0</v>
      </c>
      <c r="L733" s="2382">
        <f t="shared" si="100"/>
        <v>0</v>
      </c>
      <c r="M733" s="2382">
        <f t="shared" si="101"/>
        <v>0</v>
      </c>
      <c r="N733" s="2382">
        <f t="shared" si="102"/>
        <v>0</v>
      </c>
      <c r="O733" s="2381">
        <f t="shared" si="103"/>
        <v>0</v>
      </c>
      <c r="P733" s="2408"/>
    </row>
    <row r="734" spans="1:16" s="2358" customFormat="1" outlineLevel="1">
      <c r="A734" s="2361">
        <f>IF(G734&lt;&gt;0,1,0)</f>
        <v>0</v>
      </c>
      <c r="B734" s="2383" t="s">
        <v>1179</v>
      </c>
      <c r="C734" s="2380"/>
      <c r="D734" s="2373">
        <v>0</v>
      </c>
      <c r="E734" s="2374" t="s">
        <v>3585</v>
      </c>
      <c r="F734" s="2373" t="s">
        <v>5868</v>
      </c>
      <c r="G734" s="2380">
        <f>G722</f>
        <v>0</v>
      </c>
      <c r="H734" s="2376">
        <v>45000</v>
      </c>
      <c r="I734" s="2381"/>
      <c r="J734" s="2376">
        <v>0</v>
      </c>
      <c r="K734" s="2376">
        <v>0</v>
      </c>
      <c r="L734" s="2382">
        <f>H734*G734</f>
        <v>0</v>
      </c>
      <c r="M734" s="2382">
        <f>I734*G734</f>
        <v>0</v>
      </c>
      <c r="N734" s="2382">
        <f>J734*G734</f>
        <v>0</v>
      </c>
      <c r="O734" s="2381">
        <f>K734*G734</f>
        <v>0</v>
      </c>
      <c r="P734" s="2408"/>
    </row>
    <row r="735" spans="1:16" s="2358" customFormat="1" outlineLevel="1">
      <c r="A735" s="2361">
        <f>IF(G735&lt;&gt;0,1,0)</f>
        <v>0</v>
      </c>
      <c r="B735" s="2386" t="s">
        <v>672</v>
      </c>
      <c r="C735" s="2380"/>
      <c r="D735" s="2373">
        <v>0</v>
      </c>
      <c r="E735" s="2374" t="s">
        <v>5863</v>
      </c>
      <c r="F735" s="2373" t="s">
        <v>3584</v>
      </c>
      <c r="G735" s="2380">
        <f>G722*2</f>
        <v>0</v>
      </c>
      <c r="H735" s="2376">
        <v>6500</v>
      </c>
      <c r="I735" s="2381"/>
      <c r="J735" s="2376">
        <v>0</v>
      </c>
      <c r="K735" s="2376">
        <v>0</v>
      </c>
      <c r="L735" s="2382">
        <f t="shared" si="100"/>
        <v>0</v>
      </c>
      <c r="M735" s="2382">
        <f t="shared" si="101"/>
        <v>0</v>
      </c>
      <c r="N735" s="2382">
        <f t="shared" si="102"/>
        <v>0</v>
      </c>
      <c r="O735" s="2381">
        <f t="shared" si="103"/>
        <v>0</v>
      </c>
      <c r="P735" s="2408"/>
    </row>
    <row r="736" spans="1:16" s="2358" customFormat="1" outlineLevel="1">
      <c r="A736" s="2361">
        <f>A735</f>
        <v>0</v>
      </c>
      <c r="B736" s="2383" t="s">
        <v>2188</v>
      </c>
      <c r="C736" s="2380"/>
      <c r="D736" s="2373" t="s">
        <v>5609</v>
      </c>
      <c r="E736" s="2374" t="s">
        <v>3270</v>
      </c>
      <c r="F736" s="2373" t="s">
        <v>2538</v>
      </c>
      <c r="G736" s="2380">
        <f>G728</f>
        <v>0</v>
      </c>
      <c r="H736" s="2376"/>
      <c r="I736" s="2381"/>
      <c r="J736" s="2376">
        <v>55493.02</v>
      </c>
      <c r="K736" s="2376">
        <v>0</v>
      </c>
      <c r="L736" s="2382">
        <f t="shared" si="100"/>
        <v>0</v>
      </c>
      <c r="M736" s="2382">
        <f t="shared" si="101"/>
        <v>0</v>
      </c>
      <c r="N736" s="2382">
        <f t="shared" si="102"/>
        <v>0</v>
      </c>
      <c r="O736" s="2381">
        <f t="shared" si="103"/>
        <v>0</v>
      </c>
      <c r="P736" s="2408"/>
    </row>
    <row r="737" spans="1:16" s="2358" customFormat="1" outlineLevel="1">
      <c r="A737" s="2361">
        <f>A735</f>
        <v>0</v>
      </c>
      <c r="B737" s="2386" t="s">
        <v>1528</v>
      </c>
      <c r="C737" s="2380"/>
      <c r="D737" s="2373" t="s">
        <v>5633</v>
      </c>
      <c r="E737" s="2374" t="s">
        <v>3310</v>
      </c>
      <c r="F737" s="2373" t="s">
        <v>1827</v>
      </c>
      <c r="G737" s="2380">
        <f>G724</f>
        <v>0</v>
      </c>
      <c r="H737" s="2376"/>
      <c r="I737" s="2381"/>
      <c r="J737" s="2376">
        <v>13915</v>
      </c>
      <c r="K737" s="2376">
        <v>0</v>
      </c>
      <c r="L737" s="2382">
        <f>H737*G737</f>
        <v>0</v>
      </c>
      <c r="M737" s="2382">
        <f>I737*G737</f>
        <v>0</v>
      </c>
      <c r="N737" s="2382">
        <f>J737*G737</f>
        <v>0</v>
      </c>
      <c r="O737" s="2381">
        <f>K737*G737</f>
        <v>0</v>
      </c>
      <c r="P737" s="2408"/>
    </row>
    <row r="738" spans="1:16" s="2358" customFormat="1" outlineLevel="1">
      <c r="A738" s="2361">
        <f>IF(G738&lt;&gt;0,1,0)</f>
        <v>0</v>
      </c>
      <c r="B738" s="2383" t="s">
        <v>289</v>
      </c>
      <c r="C738" s="2413">
        <f>IF(G738&gt;0,C722+1,C722)</f>
        <v>0</v>
      </c>
      <c r="D738" s="2414"/>
      <c r="E738" s="2464" t="s">
        <v>6241</v>
      </c>
      <c r="F738" s="2373" t="s">
        <v>2563</v>
      </c>
      <c r="G738" s="2413">
        <f>G686</f>
        <v>0</v>
      </c>
      <c r="H738" s="2376">
        <v>300000</v>
      </c>
      <c r="I738" s="2416"/>
      <c r="J738" s="2376">
        <v>0</v>
      </c>
      <c r="K738" s="2376">
        <v>0</v>
      </c>
      <c r="L738" s="2415">
        <f>H738*G738</f>
        <v>0</v>
      </c>
      <c r="M738" s="2415">
        <f>I738*G738</f>
        <v>0</v>
      </c>
      <c r="N738" s="2415">
        <f>J738*G738</f>
        <v>0</v>
      </c>
      <c r="O738" s="2416">
        <f>K738*G738</f>
        <v>0</v>
      </c>
      <c r="P738" s="2432"/>
    </row>
    <row r="739" spans="1:16" s="2358" customFormat="1" outlineLevel="1">
      <c r="A739" s="2361">
        <f>A738</f>
        <v>0</v>
      </c>
      <c r="B739" s="2384"/>
      <c r="C739" s="2418"/>
      <c r="D739" s="2419"/>
      <c r="E739" s="2392"/>
      <c r="F739" s="2875"/>
      <c r="G739" s="2875"/>
      <c r="H739" s="2875"/>
      <c r="I739" s="2875"/>
      <c r="J739" s="2911" t="s">
        <v>6205</v>
      </c>
      <c r="K739" s="2911"/>
      <c r="L739" s="2420">
        <f>SUM(L672:L738)</f>
        <v>0</v>
      </c>
      <c r="M739" s="2420">
        <f>SUM(M672:M738)</f>
        <v>0</v>
      </c>
      <c r="N739" s="2420">
        <f>SUM(N672:N738)</f>
        <v>0</v>
      </c>
      <c r="O739" s="2420">
        <f>SUM(O672:O738)</f>
        <v>0</v>
      </c>
      <c r="P739" s="2423"/>
    </row>
    <row r="740" spans="1:16" s="2358" customFormat="1" ht="13.8" customHeight="1">
      <c r="A740" s="2402" t="str">
        <f>IF(G745&lt;&gt;0,1,"")</f>
        <v/>
      </c>
      <c r="B740" s="2465"/>
      <c r="C740" s="2876"/>
      <c r="D740" s="2880"/>
      <c r="E740" s="2466"/>
      <c r="F740" s="2466"/>
      <c r="G740" s="2466"/>
      <c r="H740" s="2466"/>
      <c r="I740" s="2466"/>
      <c r="J740" s="2466"/>
      <c r="K740" s="2466"/>
      <c r="L740" s="2466"/>
      <c r="M740" s="2466"/>
      <c r="N740" s="2466"/>
      <c r="O740" s="2466"/>
    </row>
    <row r="741" spans="1:16" s="2358" customFormat="1" outlineLevel="1">
      <c r="A741" s="2361" t="str">
        <f>A740</f>
        <v/>
      </c>
      <c r="B741" s="2465"/>
      <c r="C741" s="2397" t="str">
        <f>"BẢNG TỔNG HỢP VẬT LIỆU, NHÂN CÔNG, MÁY THI CÔNG: "&amp;K8&amp;" TRẠM 3P_ 3x37,5KVA"</f>
        <v>BẢNG TỔNG HỢP VẬT LIỆU, NHÂN CÔNG, MÁY THI CÔNG: 0 TRẠM 3P_ 3x37,5KVA</v>
      </c>
      <c r="D741" s="2878"/>
      <c r="E741" s="2554"/>
      <c r="F741" s="2554"/>
      <c r="G741" s="2554"/>
      <c r="H741" s="2554"/>
      <c r="I741" s="2554"/>
      <c r="J741" s="2554"/>
      <c r="K741" s="2554"/>
      <c r="L741" s="2554"/>
      <c r="M741" s="2554"/>
      <c r="N741" s="2554"/>
      <c r="O741" s="2554"/>
      <c r="P741" s="2402"/>
    </row>
    <row r="742" spans="1:16" s="2358" customFormat="1" outlineLevel="1">
      <c r="A742" s="2361" t="str">
        <f>A741</f>
        <v/>
      </c>
      <c r="B742" s="2383" t="s">
        <v>6186</v>
      </c>
      <c r="C742" s="2901" t="s">
        <v>1712</v>
      </c>
      <c r="D742" s="2902" t="s">
        <v>2605</v>
      </c>
      <c r="E742" s="2904" t="s">
        <v>2606</v>
      </c>
      <c r="F742" s="2901" t="s">
        <v>2601</v>
      </c>
      <c r="G742" s="2362" t="s">
        <v>6187</v>
      </c>
      <c r="H742" s="2365" t="s">
        <v>6188</v>
      </c>
      <c r="I742" s="2872"/>
      <c r="J742" s="2872"/>
      <c r="K742" s="2873"/>
      <c r="L742" s="2365" t="s">
        <v>6189</v>
      </c>
      <c r="M742" s="2872"/>
      <c r="N742" s="2872"/>
      <c r="O742" s="2873"/>
      <c r="P742" s="2901" t="s">
        <v>2607</v>
      </c>
    </row>
    <row r="743" spans="1:16" s="2358" customFormat="1" outlineLevel="1">
      <c r="A743" s="2361" t="str">
        <f>A742</f>
        <v/>
      </c>
      <c r="B743" s="2383"/>
      <c r="C743" s="2901"/>
      <c r="D743" s="2903"/>
      <c r="E743" s="2905"/>
      <c r="F743" s="2901"/>
      <c r="G743" s="2364" t="s">
        <v>2292</v>
      </c>
      <c r="H743" s="2365" t="s">
        <v>6190</v>
      </c>
      <c r="I743" s="2365" t="s">
        <v>6191</v>
      </c>
      <c r="J743" s="2365" t="s">
        <v>6192</v>
      </c>
      <c r="K743" s="2365" t="s">
        <v>6193</v>
      </c>
      <c r="L743" s="2365" t="s">
        <v>6190</v>
      </c>
      <c r="M743" s="2365" t="s">
        <v>6191</v>
      </c>
      <c r="N743" s="2365" t="s">
        <v>6192</v>
      </c>
      <c r="O743" s="2365" t="s">
        <v>6193</v>
      </c>
      <c r="P743" s="2901"/>
    </row>
    <row r="744" spans="1:16" s="2358" customFormat="1" outlineLevel="1">
      <c r="A744" s="2361" t="str">
        <f>A743</f>
        <v/>
      </c>
      <c r="B744" s="2383"/>
      <c r="C744" s="2366"/>
      <c r="D744" s="2367"/>
      <c r="E744" s="2368" t="s">
        <v>3690</v>
      </c>
      <c r="F744" s="2369"/>
      <c r="G744" s="2369"/>
      <c r="H744" s="2369"/>
      <c r="I744" s="2369"/>
      <c r="J744" s="2369"/>
      <c r="K744" s="2369"/>
      <c r="L744" s="2369"/>
      <c r="M744" s="2369"/>
      <c r="N744" s="2369"/>
      <c r="O744" s="2367"/>
      <c r="P744" s="2370"/>
    </row>
    <row r="745" spans="1:16" s="2358" customFormat="1" outlineLevel="1">
      <c r="A745" s="2435" t="str">
        <f>IF(G745&lt;&gt;0,1,"")</f>
        <v/>
      </c>
      <c r="B745" s="2371" t="str">
        <f>IF($F$8=22,"TR371","TR37")</f>
        <v>TR371</v>
      </c>
      <c r="C745" s="2372">
        <f>IF(G745&gt;0,1,0)</f>
        <v>0</v>
      </c>
      <c r="D745" s="2373" t="s">
        <v>5646</v>
      </c>
      <c r="E745" s="2374" t="s">
        <v>3326</v>
      </c>
      <c r="F745" s="2373" t="s">
        <v>3318</v>
      </c>
      <c r="G745" s="2436">
        <f>K8*3</f>
        <v>0</v>
      </c>
      <c r="H745" s="2376">
        <v>51310000</v>
      </c>
      <c r="I745" s="2376"/>
      <c r="J745" s="2376">
        <v>630187</v>
      </c>
      <c r="K745" s="2376">
        <v>284508</v>
      </c>
      <c r="L745" s="2462">
        <f t="shared" ref="L745:L752" si="104">H745*G745</f>
        <v>0</v>
      </c>
      <c r="M745" s="2462">
        <f t="shared" ref="M745:M751" si="105">I745*G745</f>
        <v>0</v>
      </c>
      <c r="N745" s="2462">
        <f t="shared" ref="N745:N751" si="106">J745*G745</f>
        <v>0</v>
      </c>
      <c r="O745" s="2463">
        <f t="shared" ref="O745:O751" si="107">K745*G745</f>
        <v>0</v>
      </c>
      <c r="P745" s="2380" t="s">
        <v>2609</v>
      </c>
    </row>
    <row r="746" spans="1:16" s="2358" customFormat="1" outlineLevel="1">
      <c r="A746" s="2435" t="str">
        <f t="shared" ref="A746:A752" si="108">IF(G746&lt;&gt;0,1,"")</f>
        <v/>
      </c>
      <c r="B746" s="2371" t="str">
        <f>"FCO100-"&amp;$F$8</f>
        <v>FCO100-22</v>
      </c>
      <c r="C746" s="2372">
        <f>IF(G746&gt;0,C745+1,C745)</f>
        <v>0</v>
      </c>
      <c r="D746" s="2373" t="s">
        <v>5660</v>
      </c>
      <c r="E746" s="2374" t="s">
        <v>95</v>
      </c>
      <c r="F746" s="2373" t="s">
        <v>2563</v>
      </c>
      <c r="G746" s="2437">
        <f>+G745</f>
        <v>0</v>
      </c>
      <c r="H746" s="2376">
        <v>2244280</v>
      </c>
      <c r="I746" s="2376"/>
      <c r="J746" s="2376">
        <v>222639.99999999997</v>
      </c>
      <c r="K746" s="2376">
        <v>0</v>
      </c>
      <c r="L746" s="2462">
        <f t="shared" si="104"/>
        <v>0</v>
      </c>
      <c r="M746" s="2462">
        <f t="shared" si="105"/>
        <v>0</v>
      </c>
      <c r="N746" s="2462">
        <f t="shared" si="106"/>
        <v>0</v>
      </c>
      <c r="O746" s="2463">
        <f t="shared" si="107"/>
        <v>0</v>
      </c>
      <c r="P746" s="2408"/>
    </row>
    <row r="747" spans="1:16" s="2358" customFormat="1" outlineLevel="1">
      <c r="A747" s="2435" t="str">
        <f t="shared" si="108"/>
        <v/>
      </c>
      <c r="B747" s="2383" t="s">
        <v>26</v>
      </c>
      <c r="C747" s="2372">
        <f t="shared" ref="C747:C752" si="109">IF(G747&gt;0,C746+1,C746)</f>
        <v>0</v>
      </c>
      <c r="D747" s="2373">
        <v>0</v>
      </c>
      <c r="E747" s="2374" t="s">
        <v>3441</v>
      </c>
      <c r="F747" s="2373" t="s">
        <v>2608</v>
      </c>
      <c r="G747" s="2437">
        <f>G746</f>
        <v>0</v>
      </c>
      <c r="H747" s="2376">
        <v>84000</v>
      </c>
      <c r="I747" s="2376"/>
      <c r="J747" s="2376">
        <v>0</v>
      </c>
      <c r="K747" s="2376">
        <v>0</v>
      </c>
      <c r="L747" s="2462">
        <f t="shared" si="104"/>
        <v>0</v>
      </c>
      <c r="M747" s="2462">
        <f t="shared" si="105"/>
        <v>0</v>
      </c>
      <c r="N747" s="2462">
        <f t="shared" si="106"/>
        <v>0</v>
      </c>
      <c r="O747" s="2463">
        <f t="shared" si="107"/>
        <v>0</v>
      </c>
      <c r="P747" s="2408"/>
    </row>
    <row r="748" spans="1:16" s="2358" customFormat="1" outlineLevel="1">
      <c r="A748" s="2435" t="str">
        <f t="shared" si="108"/>
        <v/>
      </c>
      <c r="B748" s="2384" t="str">
        <f>"LA"&amp;$F$6</f>
        <v>LA18</v>
      </c>
      <c r="C748" s="2372">
        <f t="shared" si="109"/>
        <v>0</v>
      </c>
      <c r="D748" s="2373" t="s">
        <v>5664</v>
      </c>
      <c r="E748" s="2374" t="s">
        <v>1193</v>
      </c>
      <c r="F748" s="2373" t="s">
        <v>2563</v>
      </c>
      <c r="G748" s="2437">
        <f>G746</f>
        <v>0</v>
      </c>
      <c r="H748" s="2376">
        <v>1106000</v>
      </c>
      <c r="I748" s="2376"/>
      <c r="J748" s="2376">
        <v>83490</v>
      </c>
      <c r="K748" s="2376">
        <v>0</v>
      </c>
      <c r="L748" s="2462">
        <f t="shared" si="104"/>
        <v>0</v>
      </c>
      <c r="M748" s="2462">
        <f t="shared" si="105"/>
        <v>0</v>
      </c>
      <c r="N748" s="2462">
        <f t="shared" si="106"/>
        <v>0</v>
      </c>
      <c r="O748" s="2463">
        <f t="shared" si="107"/>
        <v>0</v>
      </c>
      <c r="P748" s="2408"/>
    </row>
    <row r="749" spans="1:16" s="2358" customFormat="1" outlineLevel="1">
      <c r="A749" s="2435" t="str">
        <f t="shared" si="108"/>
        <v/>
      </c>
      <c r="B749" s="2385" t="s">
        <v>4968</v>
      </c>
      <c r="C749" s="2372">
        <f t="shared" si="109"/>
        <v>0</v>
      </c>
      <c r="D749" s="2373">
        <v>0</v>
      </c>
      <c r="E749" s="2374" t="s">
        <v>5743</v>
      </c>
      <c r="F749" s="2373" t="s">
        <v>2563</v>
      </c>
      <c r="G749" s="2437">
        <f>+G745/3</f>
        <v>0</v>
      </c>
      <c r="H749" s="2376">
        <v>3865000</v>
      </c>
      <c r="I749" s="2376"/>
      <c r="J749" s="2376">
        <v>0</v>
      </c>
      <c r="K749" s="2376">
        <v>0</v>
      </c>
      <c r="L749" s="2382">
        <f t="shared" si="104"/>
        <v>0</v>
      </c>
      <c r="M749" s="2462">
        <f t="shared" si="105"/>
        <v>0</v>
      </c>
      <c r="N749" s="2462">
        <f t="shared" si="106"/>
        <v>0</v>
      </c>
      <c r="O749" s="2463">
        <f t="shared" si="107"/>
        <v>0</v>
      </c>
      <c r="P749" s="2408"/>
    </row>
    <row r="750" spans="1:16" s="2358" customFormat="1" outlineLevel="1">
      <c r="A750" s="2435" t="str">
        <f t="shared" si="108"/>
        <v/>
      </c>
      <c r="B750" s="2385" t="s">
        <v>2198</v>
      </c>
      <c r="C750" s="2372">
        <f t="shared" si="109"/>
        <v>0</v>
      </c>
      <c r="D750" s="2373" t="s">
        <v>1025</v>
      </c>
      <c r="E750" s="2374" t="s">
        <v>3401</v>
      </c>
      <c r="F750" s="2373" t="s">
        <v>3388</v>
      </c>
      <c r="G750" s="2461">
        <f>+G749*0</f>
        <v>0</v>
      </c>
      <c r="H750" s="2376"/>
      <c r="I750" s="2376"/>
      <c r="J750" s="2376">
        <v>98101</v>
      </c>
      <c r="K750" s="2376">
        <v>59254</v>
      </c>
      <c r="L750" s="2382">
        <f>H750*G750</f>
        <v>0</v>
      </c>
      <c r="M750" s="2462">
        <f>I750*G750</f>
        <v>0</v>
      </c>
      <c r="N750" s="2462">
        <f>J750*G750</f>
        <v>0</v>
      </c>
      <c r="O750" s="2463">
        <f>K750*G750</f>
        <v>0</v>
      </c>
      <c r="P750" s="2408"/>
    </row>
    <row r="751" spans="1:16" s="2358" customFormat="1" outlineLevel="1">
      <c r="A751" s="2435" t="str">
        <f t="shared" si="108"/>
        <v/>
      </c>
      <c r="B751" s="2412" t="s">
        <v>1116</v>
      </c>
      <c r="C751" s="2372">
        <f t="shared" si="109"/>
        <v>0</v>
      </c>
      <c r="D751" s="2373">
        <v>0</v>
      </c>
      <c r="E751" s="2374" t="s">
        <v>3377</v>
      </c>
      <c r="F751" s="2373" t="s">
        <v>2563</v>
      </c>
      <c r="G751" s="2467">
        <f>+G745</f>
        <v>0</v>
      </c>
      <c r="H751" s="2376">
        <v>0</v>
      </c>
      <c r="I751" s="2376"/>
      <c r="J751" s="2376">
        <v>0</v>
      </c>
      <c r="K751" s="2376">
        <v>0</v>
      </c>
      <c r="L751" s="2382">
        <f t="shared" si="104"/>
        <v>0</v>
      </c>
      <c r="M751" s="2462">
        <f t="shared" si="105"/>
        <v>0</v>
      </c>
      <c r="N751" s="2462">
        <f t="shared" si="106"/>
        <v>0</v>
      </c>
      <c r="O751" s="2463">
        <f t="shared" si="107"/>
        <v>0</v>
      </c>
      <c r="P751" s="2380" t="s">
        <v>2609</v>
      </c>
    </row>
    <row r="752" spans="1:16" s="2358" customFormat="1" outlineLevel="1">
      <c r="A752" s="2435" t="str">
        <f t="shared" si="108"/>
        <v/>
      </c>
      <c r="B752" s="2386" t="s">
        <v>288</v>
      </c>
      <c r="C752" s="2372">
        <f t="shared" si="109"/>
        <v>0</v>
      </c>
      <c r="D752" s="2373">
        <v>0</v>
      </c>
      <c r="E752" s="2374" t="s">
        <v>3459</v>
      </c>
      <c r="F752" s="2373" t="s">
        <v>2563</v>
      </c>
      <c r="G752" s="2437">
        <f>+G749</f>
        <v>0</v>
      </c>
      <c r="H752" s="2376">
        <v>0</v>
      </c>
      <c r="I752" s="2376"/>
      <c r="J752" s="2376">
        <v>0</v>
      </c>
      <c r="K752" s="2376">
        <v>0</v>
      </c>
      <c r="L752" s="2382">
        <f t="shared" si="104"/>
        <v>0</v>
      </c>
      <c r="M752" s="2462">
        <f>I752*G752</f>
        <v>0</v>
      </c>
      <c r="N752" s="2462">
        <f>J752*G752</f>
        <v>0</v>
      </c>
      <c r="O752" s="2463">
        <f>K752*G752</f>
        <v>0</v>
      </c>
      <c r="P752" s="2380" t="s">
        <v>2609</v>
      </c>
    </row>
    <row r="753" spans="1:18" s="2358" customFormat="1" outlineLevel="1">
      <c r="A753" s="2435" t="str">
        <f>+A741</f>
        <v/>
      </c>
      <c r="B753" s="2383"/>
      <c r="C753" s="2370"/>
      <c r="D753" s="2449"/>
      <c r="E753" s="2468"/>
      <c r="F753" s="2881"/>
      <c r="G753" s="2879"/>
      <c r="H753" s="2881"/>
      <c r="I753" s="2469"/>
      <c r="J753" s="2370" t="s">
        <v>6195</v>
      </c>
      <c r="K753" s="2468"/>
      <c r="L753" s="2469">
        <f>SUM(L745:L752)</f>
        <v>0</v>
      </c>
      <c r="M753" s="2469">
        <f>SUM(M745:M752)</f>
        <v>0</v>
      </c>
      <c r="N753" s="2469">
        <f>SUM(N745:N752)</f>
        <v>0</v>
      </c>
      <c r="O753" s="2469">
        <f>SUM(O745:O752)</f>
        <v>0</v>
      </c>
      <c r="P753" s="2469"/>
    </row>
    <row r="754" spans="1:18" s="2358" customFormat="1" outlineLevel="1">
      <c r="A754" s="2435"/>
      <c r="B754" s="2383"/>
      <c r="C754" s="2370"/>
      <c r="D754" s="2449"/>
      <c r="E754" s="2470" t="s">
        <v>3691</v>
      </c>
      <c r="F754" s="2470"/>
      <c r="G754" s="2470"/>
      <c r="H754" s="2470"/>
      <c r="I754" s="2470"/>
      <c r="J754" s="2470"/>
      <c r="K754" s="2470"/>
      <c r="L754" s="2470"/>
      <c r="M754" s="2470"/>
      <c r="N754" s="2470"/>
      <c r="O754" s="2468"/>
      <c r="P754" s="2423"/>
    </row>
    <row r="755" spans="1:18" s="2358" customFormat="1" outlineLevel="1">
      <c r="A755" s="2435" t="str">
        <f>IF(G755&lt;&gt;0,1,"")</f>
        <v/>
      </c>
      <c r="B755" s="2383"/>
      <c r="C755" s="2471">
        <f>IF(G755&gt;0,1,0)</f>
        <v>0</v>
      </c>
      <c r="D755" s="2472"/>
      <c r="E755" s="2473" t="s">
        <v>3710</v>
      </c>
      <c r="F755" s="2474" t="s">
        <v>2391</v>
      </c>
      <c r="G755" s="2475">
        <f>G745/3</f>
        <v>0</v>
      </c>
      <c r="H755" s="2476"/>
      <c r="I755" s="2476"/>
      <c r="J755" s="2476"/>
      <c r="K755" s="2476"/>
      <c r="L755" s="2476"/>
      <c r="M755" s="2476"/>
      <c r="N755" s="2476"/>
      <c r="O755" s="2474"/>
      <c r="P755" s="2408"/>
    </row>
    <row r="756" spans="1:18" s="2358" customFormat="1" ht="14.4" outlineLevel="1">
      <c r="A756" s="2361" t="str">
        <f>A755</f>
        <v/>
      </c>
      <c r="B756" s="2383"/>
      <c r="C756" s="2395"/>
      <c r="D756" s="2477"/>
      <c r="E756" s="2478" t="s">
        <v>6207</v>
      </c>
      <c r="F756" s="2461"/>
      <c r="G756" s="2437"/>
      <c r="H756" s="2479"/>
      <c r="I756" s="2479"/>
      <c r="J756" s="2479"/>
      <c r="K756" s="2479"/>
      <c r="L756" s="2479"/>
      <c r="M756" s="2479"/>
      <c r="N756" s="2479"/>
      <c r="O756" s="2480"/>
      <c r="P756" s="2408"/>
    </row>
    <row r="757" spans="1:18" s="2358" customFormat="1" outlineLevel="1">
      <c r="A757" s="2361" t="str">
        <f>A756</f>
        <v/>
      </c>
      <c r="B757" s="2386" t="s">
        <v>1590</v>
      </c>
      <c r="C757" s="2395"/>
      <c r="D757" s="2373">
        <v>0</v>
      </c>
      <c r="E757" s="2374" t="s">
        <v>5778</v>
      </c>
      <c r="F757" s="2373" t="s">
        <v>3475</v>
      </c>
      <c r="G757" s="2437">
        <f>G755*1</f>
        <v>0</v>
      </c>
      <c r="H757" s="2376">
        <v>1470000</v>
      </c>
      <c r="I757" s="2381"/>
      <c r="J757" s="2376">
        <v>0</v>
      </c>
      <c r="K757" s="2376">
        <v>0</v>
      </c>
      <c r="L757" s="2462">
        <f t="shared" ref="L757:L876" si="110">H757*G757</f>
        <v>0</v>
      </c>
      <c r="M757" s="2462">
        <f t="shared" ref="M757:M876" si="111">I757*G757</f>
        <v>0</v>
      </c>
      <c r="N757" s="2462">
        <f t="shared" ref="N757:N876" si="112">J757*G757</f>
        <v>0</v>
      </c>
      <c r="O757" s="2463">
        <f t="shared" ref="O757:O876" si="113">K757*G757</f>
        <v>0</v>
      </c>
      <c r="P757" s="2408"/>
    </row>
    <row r="758" spans="1:18" s="2358" customFormat="1" outlineLevel="1">
      <c r="A758" s="2361" t="str">
        <f>A757</f>
        <v/>
      </c>
      <c r="B758" s="2383" t="s">
        <v>1790</v>
      </c>
      <c r="C758" s="2395"/>
      <c r="D758" s="2373">
        <v>0</v>
      </c>
      <c r="E758" s="2374" t="s">
        <v>2647</v>
      </c>
      <c r="F758" s="2373" t="s">
        <v>2445</v>
      </c>
      <c r="G758" s="2437">
        <f>6*G755</f>
        <v>0</v>
      </c>
      <c r="H758" s="2376">
        <v>12400</v>
      </c>
      <c r="I758" s="2381"/>
      <c r="J758" s="2376">
        <v>0</v>
      </c>
      <c r="K758" s="2376">
        <v>0</v>
      </c>
      <c r="L758" s="2462">
        <f t="shared" si="110"/>
        <v>0</v>
      </c>
      <c r="M758" s="2462">
        <f t="shared" si="111"/>
        <v>0</v>
      </c>
      <c r="N758" s="2462">
        <f t="shared" si="112"/>
        <v>0</v>
      </c>
      <c r="O758" s="2463">
        <f t="shared" si="113"/>
        <v>0</v>
      </c>
      <c r="P758" s="2408"/>
    </row>
    <row r="759" spans="1:18" s="2358" customFormat="1" outlineLevel="1">
      <c r="A759" s="2361" t="str">
        <f>A758</f>
        <v/>
      </c>
      <c r="B759" s="2383" t="s">
        <v>1613</v>
      </c>
      <c r="C759" s="2395"/>
      <c r="D759" s="2373">
        <v>0</v>
      </c>
      <c r="E759" s="2374" t="s">
        <v>2657</v>
      </c>
      <c r="F759" s="2373" t="s">
        <v>2445</v>
      </c>
      <c r="G759" s="2437">
        <f>2*G755</f>
        <v>0</v>
      </c>
      <c r="H759" s="2376">
        <v>25400</v>
      </c>
      <c r="I759" s="2381"/>
      <c r="J759" s="2376">
        <v>0</v>
      </c>
      <c r="K759" s="2376">
        <v>0</v>
      </c>
      <c r="L759" s="2462">
        <f t="shared" si="110"/>
        <v>0</v>
      </c>
      <c r="M759" s="2462">
        <f t="shared" si="111"/>
        <v>0</v>
      </c>
      <c r="N759" s="2462">
        <f t="shared" si="112"/>
        <v>0</v>
      </c>
      <c r="O759" s="2463">
        <f t="shared" si="113"/>
        <v>0</v>
      </c>
      <c r="P759" s="2408"/>
    </row>
    <row r="760" spans="1:18" s="2358" customFormat="1" ht="14.25" customHeight="1" outlineLevel="1">
      <c r="A760" s="2361" t="str">
        <f>A759</f>
        <v/>
      </c>
      <c r="B760" s="2386" t="s">
        <v>516</v>
      </c>
      <c r="C760" s="2395"/>
      <c r="D760" s="2373" t="s">
        <v>5483</v>
      </c>
      <c r="E760" s="2374" t="s">
        <v>5484</v>
      </c>
      <c r="F760" s="2373" t="s">
        <v>2445</v>
      </c>
      <c r="G760" s="2437">
        <v>1</v>
      </c>
      <c r="H760" s="2376">
        <v>0</v>
      </c>
      <c r="I760" s="2381"/>
      <c r="J760" s="2376">
        <v>296544.75</v>
      </c>
      <c r="K760" s="2376">
        <v>0</v>
      </c>
      <c r="L760" s="2462">
        <f>H760*G760</f>
        <v>0</v>
      </c>
      <c r="M760" s="2462"/>
      <c r="N760" s="2462">
        <f>J760*G760</f>
        <v>296544.75</v>
      </c>
      <c r="O760" s="2463">
        <f>K760*G760</f>
        <v>0</v>
      </c>
      <c r="P760" s="2408"/>
    </row>
    <row r="761" spans="1:18" s="2358" customFormat="1" ht="27.6" outlineLevel="1">
      <c r="A761" s="2361">
        <f>IF(G761&lt;&gt;0,1,)</f>
        <v>0</v>
      </c>
      <c r="B761" s="2383"/>
      <c r="C761" s="2395">
        <f>IF(G761&gt;0,C755+1,C755)</f>
        <v>0</v>
      </c>
      <c r="D761" s="2399"/>
      <c r="E761" s="2481" t="s">
        <v>6242</v>
      </c>
      <c r="F761" s="2482" t="s">
        <v>2391</v>
      </c>
      <c r="G761" s="2483"/>
      <c r="H761" s="2381"/>
      <c r="I761" s="2381"/>
      <c r="J761" s="2381"/>
      <c r="K761" s="2381"/>
      <c r="L761" s="2382">
        <f t="shared" si="110"/>
        <v>0</v>
      </c>
      <c r="M761" s="2382">
        <f t="shared" si="111"/>
        <v>0</v>
      </c>
      <c r="N761" s="2382">
        <f t="shared" si="112"/>
        <v>0</v>
      </c>
      <c r="O761" s="2381">
        <f t="shared" si="113"/>
        <v>0</v>
      </c>
      <c r="P761" s="2380"/>
    </row>
    <row r="762" spans="1:18" s="2358" customFormat="1" outlineLevel="1">
      <c r="A762" s="2361">
        <f t="shared" ref="A762:A767" si="114">IF(G762&lt;&gt;0,1,)</f>
        <v>0</v>
      </c>
      <c r="B762" s="2484" t="s">
        <v>5897</v>
      </c>
      <c r="C762" s="2380"/>
      <c r="D762" s="2373">
        <v>0</v>
      </c>
      <c r="E762" s="2374" t="s">
        <v>5898</v>
      </c>
      <c r="F762" s="2373" t="s">
        <v>2254</v>
      </c>
      <c r="G762" s="2485"/>
      <c r="H762" s="2376">
        <v>31625</v>
      </c>
      <c r="I762" s="2376"/>
      <c r="J762" s="2376">
        <v>0</v>
      </c>
      <c r="K762" s="2376">
        <v>0</v>
      </c>
      <c r="L762" s="2382">
        <f t="shared" si="110"/>
        <v>0</v>
      </c>
      <c r="M762" s="2382">
        <f t="shared" si="111"/>
        <v>0</v>
      </c>
      <c r="N762" s="2382">
        <f t="shared" si="112"/>
        <v>0</v>
      </c>
      <c r="O762" s="2381">
        <f t="shared" si="113"/>
        <v>0</v>
      </c>
      <c r="P762" s="2380"/>
      <c r="R762" s="2402"/>
    </row>
    <row r="763" spans="1:18" s="2358" customFormat="1" outlineLevel="1">
      <c r="A763" s="2361">
        <f t="shared" si="114"/>
        <v>0</v>
      </c>
      <c r="B763" s="2484" t="s">
        <v>700</v>
      </c>
      <c r="C763" s="2380"/>
      <c r="D763" s="2373">
        <v>0</v>
      </c>
      <c r="E763" s="2374" t="s">
        <v>2976</v>
      </c>
      <c r="F763" s="2373" t="s">
        <v>2254</v>
      </c>
      <c r="G763" s="2485"/>
      <c r="H763" s="2376">
        <v>31625</v>
      </c>
      <c r="I763" s="2376"/>
      <c r="J763" s="2376">
        <v>0</v>
      </c>
      <c r="K763" s="2376">
        <v>0</v>
      </c>
      <c r="L763" s="2382">
        <f t="shared" si="110"/>
        <v>0</v>
      </c>
      <c r="M763" s="2382">
        <f t="shared" si="111"/>
        <v>0</v>
      </c>
      <c r="N763" s="2382">
        <f t="shared" si="112"/>
        <v>0</v>
      </c>
      <c r="O763" s="2381">
        <f t="shared" si="113"/>
        <v>0</v>
      </c>
      <c r="P763" s="2380"/>
      <c r="R763" s="2402"/>
    </row>
    <row r="764" spans="1:18" s="2358" customFormat="1" outlineLevel="1">
      <c r="A764" s="2361">
        <f t="shared" si="114"/>
        <v>0</v>
      </c>
      <c r="B764" s="2484" t="s">
        <v>6243</v>
      </c>
      <c r="C764" s="2380"/>
      <c r="D764" s="2373">
        <v>0</v>
      </c>
      <c r="E764" s="2374" t="s">
        <v>2666</v>
      </c>
      <c r="F764" s="2373" t="s">
        <v>2445</v>
      </c>
      <c r="G764" s="2485"/>
      <c r="H764" s="2376">
        <v>26800</v>
      </c>
      <c r="I764" s="2376"/>
      <c r="J764" s="2376">
        <v>0</v>
      </c>
      <c r="K764" s="2376">
        <v>0</v>
      </c>
      <c r="L764" s="2382">
        <f t="shared" si="110"/>
        <v>0</v>
      </c>
      <c r="M764" s="2382">
        <f t="shared" si="111"/>
        <v>0</v>
      </c>
      <c r="N764" s="2382">
        <f t="shared" si="112"/>
        <v>0</v>
      </c>
      <c r="O764" s="2381">
        <f t="shared" si="113"/>
        <v>0</v>
      </c>
      <c r="P764" s="2380"/>
      <c r="R764" s="2402"/>
    </row>
    <row r="765" spans="1:18" s="2358" customFormat="1" outlineLevel="1">
      <c r="A765" s="2361">
        <f t="shared" si="114"/>
        <v>0</v>
      </c>
      <c r="B765" s="2484" t="s">
        <v>6244</v>
      </c>
      <c r="C765" s="2380"/>
      <c r="D765" s="2373">
        <v>0</v>
      </c>
      <c r="E765" s="2374" t="s">
        <v>2669</v>
      </c>
      <c r="F765" s="2373" t="s">
        <v>2445</v>
      </c>
      <c r="G765" s="2485"/>
      <c r="H765" s="2376">
        <v>32800</v>
      </c>
      <c r="I765" s="2376"/>
      <c r="J765" s="2376">
        <v>0</v>
      </c>
      <c r="K765" s="2376">
        <v>0</v>
      </c>
      <c r="L765" s="2382">
        <f t="shared" si="110"/>
        <v>0</v>
      </c>
      <c r="M765" s="2382">
        <f t="shared" si="111"/>
        <v>0</v>
      </c>
      <c r="N765" s="2382">
        <f t="shared" si="112"/>
        <v>0</v>
      </c>
      <c r="O765" s="2381">
        <f t="shared" si="113"/>
        <v>0</v>
      </c>
      <c r="P765" s="2380"/>
      <c r="R765" s="2402"/>
    </row>
    <row r="766" spans="1:18" s="2358" customFormat="1" outlineLevel="1">
      <c r="A766" s="2361">
        <f t="shared" si="114"/>
        <v>0</v>
      </c>
      <c r="B766" s="2484" t="s">
        <v>1185</v>
      </c>
      <c r="C766" s="2380"/>
      <c r="D766" s="2373">
        <v>0</v>
      </c>
      <c r="E766" s="2374" t="s">
        <v>2659</v>
      </c>
      <c r="F766" s="2373" t="s">
        <v>2445</v>
      </c>
      <c r="G766" s="2485"/>
      <c r="H766" s="2376">
        <v>27900</v>
      </c>
      <c r="I766" s="2376"/>
      <c r="J766" s="2376">
        <v>0</v>
      </c>
      <c r="K766" s="2376">
        <v>0</v>
      </c>
      <c r="L766" s="2382">
        <f t="shared" si="110"/>
        <v>0</v>
      </c>
      <c r="M766" s="2382">
        <f t="shared" si="111"/>
        <v>0</v>
      </c>
      <c r="N766" s="2382">
        <f t="shared" si="112"/>
        <v>0</v>
      </c>
      <c r="O766" s="2381">
        <f t="shared" si="113"/>
        <v>0</v>
      </c>
      <c r="P766" s="2380"/>
      <c r="R766" s="2402"/>
    </row>
    <row r="767" spans="1:18" s="2358" customFormat="1" outlineLevel="1">
      <c r="A767" s="2361">
        <f t="shared" si="114"/>
        <v>0</v>
      </c>
      <c r="B767" s="2484" t="s">
        <v>516</v>
      </c>
      <c r="C767" s="2380"/>
      <c r="D767" s="2373" t="s">
        <v>5483</v>
      </c>
      <c r="E767" s="2374" t="s">
        <v>5484</v>
      </c>
      <c r="F767" s="2373" t="s">
        <v>2445</v>
      </c>
      <c r="G767" s="2485"/>
      <c r="H767" s="2376">
        <v>0</v>
      </c>
      <c r="I767" s="2376"/>
      <c r="J767" s="2376">
        <v>296544.75</v>
      </c>
      <c r="K767" s="2376">
        <v>0</v>
      </c>
      <c r="L767" s="2382">
        <f t="shared" si="110"/>
        <v>0</v>
      </c>
      <c r="M767" s="2382">
        <f t="shared" si="111"/>
        <v>0</v>
      </c>
      <c r="N767" s="2382">
        <f t="shared" si="112"/>
        <v>0</v>
      </c>
      <c r="O767" s="2381">
        <f t="shared" si="113"/>
        <v>0</v>
      </c>
      <c r="P767" s="2380"/>
      <c r="R767" s="2402"/>
    </row>
    <row r="768" spans="1:18" s="2358" customFormat="1" outlineLevel="1">
      <c r="A768" s="2361">
        <f>IF(G768&lt;&gt;0,1,)</f>
        <v>0</v>
      </c>
      <c r="B768" s="2383"/>
      <c r="C768" s="2395">
        <f>IF(G768&gt;0,C761+1,C761)</f>
        <v>0</v>
      </c>
      <c r="D768" s="2399"/>
      <c r="E768" s="2486" t="s">
        <v>6245</v>
      </c>
      <c r="F768" s="2482" t="s">
        <v>2391</v>
      </c>
      <c r="G768" s="2440"/>
      <c r="H768" s="2381"/>
      <c r="I768" s="2381"/>
      <c r="J768" s="2381"/>
      <c r="K768" s="2381"/>
      <c r="L768" s="2382">
        <f t="shared" si="110"/>
        <v>0</v>
      </c>
      <c r="M768" s="2382">
        <f t="shared" si="111"/>
        <v>0</v>
      </c>
      <c r="N768" s="2382">
        <f t="shared" si="112"/>
        <v>0</v>
      </c>
      <c r="O768" s="2381">
        <f t="shared" si="113"/>
        <v>0</v>
      </c>
      <c r="P768" s="2380"/>
    </row>
    <row r="769" spans="1:18" s="2358" customFormat="1" outlineLevel="1">
      <c r="A769" s="2361">
        <f>IF(G769&lt;&gt;0,1,)</f>
        <v>0</v>
      </c>
      <c r="B769" s="2484" t="s">
        <v>1581</v>
      </c>
      <c r="C769" s="2380"/>
      <c r="D769" s="2373">
        <v>0</v>
      </c>
      <c r="E769" s="2374" t="s">
        <v>2840</v>
      </c>
      <c r="F769" s="2373" t="s">
        <v>2563</v>
      </c>
      <c r="G769" s="2485"/>
      <c r="H769" s="2376">
        <v>38000</v>
      </c>
      <c r="I769" s="2376"/>
      <c r="J769" s="2376">
        <v>0</v>
      </c>
      <c r="K769" s="2376">
        <v>0</v>
      </c>
      <c r="L769" s="2382">
        <f t="shared" si="110"/>
        <v>0</v>
      </c>
      <c r="M769" s="2382">
        <f t="shared" si="111"/>
        <v>0</v>
      </c>
      <c r="N769" s="2382">
        <f t="shared" si="112"/>
        <v>0</v>
      </c>
      <c r="O769" s="2381">
        <f t="shared" si="113"/>
        <v>0</v>
      </c>
      <c r="P769" s="2380"/>
      <c r="R769" s="2402"/>
    </row>
    <row r="770" spans="1:18" s="2358" customFormat="1" outlineLevel="1">
      <c r="A770" s="2361">
        <f>IF(G770&lt;&gt;0,1,)</f>
        <v>0</v>
      </c>
      <c r="B770" s="2484" t="s">
        <v>275</v>
      </c>
      <c r="C770" s="2380"/>
      <c r="D770" s="2373">
        <v>0</v>
      </c>
      <c r="E770" s="2374" t="s">
        <v>2827</v>
      </c>
      <c r="F770" s="2373" t="s">
        <v>2254</v>
      </c>
      <c r="G770" s="2487"/>
      <c r="H770" s="2376">
        <v>47300</v>
      </c>
      <c r="I770" s="2376"/>
      <c r="J770" s="2376">
        <v>0</v>
      </c>
      <c r="K770" s="2376">
        <v>0</v>
      </c>
      <c r="L770" s="2382">
        <f t="shared" si="110"/>
        <v>0</v>
      </c>
      <c r="M770" s="2382">
        <f t="shared" si="111"/>
        <v>0</v>
      </c>
      <c r="N770" s="2382">
        <f t="shared" si="112"/>
        <v>0</v>
      </c>
      <c r="O770" s="2381">
        <f t="shared" si="113"/>
        <v>0</v>
      </c>
      <c r="P770" s="2380"/>
      <c r="R770" s="2402"/>
    </row>
    <row r="771" spans="1:18" s="2358" customFormat="1" outlineLevel="1">
      <c r="A771" s="2361">
        <f>IF(G771&lt;&gt;0,1,)</f>
        <v>0</v>
      </c>
      <c r="B771" s="2383"/>
      <c r="C771" s="2395">
        <f>IF(G771&gt;0,C768+1,C768)</f>
        <v>0</v>
      </c>
      <c r="D771" s="2399"/>
      <c r="E771" s="2400" t="s">
        <v>2358</v>
      </c>
      <c r="F771" s="2395" t="s">
        <v>2391</v>
      </c>
      <c r="G771" s="2395"/>
      <c r="H771" s="2381"/>
      <c r="I771" s="2381"/>
      <c r="J771" s="2381"/>
      <c r="K771" s="2381"/>
      <c r="L771" s="2382">
        <f t="shared" si="110"/>
        <v>0</v>
      </c>
      <c r="M771" s="2382">
        <f t="shared" si="111"/>
        <v>0</v>
      </c>
      <c r="N771" s="2382">
        <f t="shared" si="112"/>
        <v>0</v>
      </c>
      <c r="O771" s="2381">
        <f t="shared" si="113"/>
        <v>0</v>
      </c>
      <c r="P771" s="2380"/>
    </row>
    <row r="772" spans="1:18" s="2358" customFormat="1" ht="14.4" outlineLevel="1">
      <c r="A772" s="2361">
        <f>A771</f>
        <v>0</v>
      </c>
      <c r="B772" s="2383"/>
      <c r="C772" s="2395"/>
      <c r="D772" s="2399"/>
      <c r="E772" s="2401" t="s">
        <v>6207</v>
      </c>
      <c r="F772" s="2380"/>
      <c r="G772" s="2380"/>
      <c r="H772" s="2381"/>
      <c r="I772" s="2381"/>
      <c r="J772" s="2381"/>
      <c r="K772" s="2381"/>
      <c r="L772" s="2382">
        <f t="shared" si="110"/>
        <v>0</v>
      </c>
      <c r="M772" s="2382">
        <f t="shared" si="111"/>
        <v>0</v>
      </c>
      <c r="N772" s="2382">
        <f t="shared" si="112"/>
        <v>0</v>
      </c>
      <c r="O772" s="2381">
        <f t="shared" si="113"/>
        <v>0</v>
      </c>
      <c r="P772" s="2380"/>
      <c r="R772" s="2402"/>
    </row>
    <row r="773" spans="1:18" s="2358" customFormat="1" outlineLevel="1">
      <c r="A773" s="2361">
        <f>IF(G773&lt;&gt;0,1,)</f>
        <v>0</v>
      </c>
      <c r="B773" s="2386" t="s">
        <v>636</v>
      </c>
      <c r="C773" s="2380"/>
      <c r="D773" s="2373" t="s">
        <v>5099</v>
      </c>
      <c r="E773" s="2374" t="s">
        <v>2615</v>
      </c>
      <c r="F773" s="2373" t="s">
        <v>2563</v>
      </c>
      <c r="G773" s="2380">
        <f>1*G771</f>
        <v>0</v>
      </c>
      <c r="H773" s="2376">
        <v>354545</v>
      </c>
      <c r="I773" s="2376"/>
      <c r="J773" s="2376">
        <v>37220.25</v>
      </c>
      <c r="K773" s="2376">
        <v>0</v>
      </c>
      <c r="L773" s="2382">
        <f t="shared" si="110"/>
        <v>0</v>
      </c>
      <c r="M773" s="2382">
        <f t="shared" si="111"/>
        <v>0</v>
      </c>
      <c r="N773" s="2382">
        <f t="shared" si="112"/>
        <v>0</v>
      </c>
      <c r="O773" s="2381">
        <f t="shared" si="113"/>
        <v>0</v>
      </c>
      <c r="P773" s="2380"/>
      <c r="R773" s="2402"/>
    </row>
    <row r="774" spans="1:18" s="2358" customFormat="1" outlineLevel="1">
      <c r="A774" s="2361">
        <f>IF(G774&lt;&gt;0,1,)</f>
        <v>0</v>
      </c>
      <c r="B774" s="2386" t="s">
        <v>566</v>
      </c>
      <c r="C774" s="2380"/>
      <c r="D774" s="2373">
        <v>0</v>
      </c>
      <c r="E774" s="2374" t="s">
        <v>5124</v>
      </c>
      <c r="F774" s="2373" t="s">
        <v>2445</v>
      </c>
      <c r="G774" s="2380">
        <f>G771</f>
        <v>0</v>
      </c>
      <c r="H774" s="2376">
        <v>92200</v>
      </c>
      <c r="I774" s="2376"/>
      <c r="J774" s="2376">
        <v>0</v>
      </c>
      <c r="K774" s="2376">
        <v>0</v>
      </c>
      <c r="L774" s="2382">
        <f t="shared" si="110"/>
        <v>0</v>
      </c>
      <c r="M774" s="2382">
        <f t="shared" si="111"/>
        <v>0</v>
      </c>
      <c r="N774" s="2382">
        <f t="shared" si="112"/>
        <v>0</v>
      </c>
      <c r="O774" s="2381">
        <f t="shared" si="113"/>
        <v>0</v>
      </c>
      <c r="P774" s="2380"/>
      <c r="R774" s="2402"/>
    </row>
    <row r="775" spans="1:18" s="2358" customFormat="1" outlineLevel="1">
      <c r="A775" s="2361">
        <f>IF(G775&lt;&gt;0,1,)</f>
        <v>0</v>
      </c>
      <c r="B775" s="2386" t="s">
        <v>639</v>
      </c>
      <c r="C775" s="2380"/>
      <c r="D775" s="2373" t="s">
        <v>1751</v>
      </c>
      <c r="E775" s="2374" t="s">
        <v>5386</v>
      </c>
      <c r="F775" s="2373" t="s">
        <v>856</v>
      </c>
      <c r="G775" s="2404">
        <f>G771*1.45</f>
        <v>0</v>
      </c>
      <c r="H775" s="2376">
        <v>0</v>
      </c>
      <c r="I775" s="2376"/>
      <c r="J775" s="2376">
        <v>296500.89999999997</v>
      </c>
      <c r="K775" s="2376">
        <v>0</v>
      </c>
      <c r="L775" s="2382">
        <f t="shared" si="110"/>
        <v>0</v>
      </c>
      <c r="M775" s="2382">
        <f t="shared" si="111"/>
        <v>0</v>
      </c>
      <c r="N775" s="2382">
        <f t="shared" si="112"/>
        <v>0</v>
      </c>
      <c r="O775" s="2381">
        <f t="shared" si="113"/>
        <v>0</v>
      </c>
      <c r="P775" s="2380"/>
      <c r="R775" s="2402"/>
    </row>
    <row r="776" spans="1:18" s="2358" customFormat="1" outlineLevel="1">
      <c r="A776" s="2361">
        <f>IF(G776&lt;&gt;0,1,)</f>
        <v>0</v>
      </c>
      <c r="B776" s="2386" t="s">
        <v>21</v>
      </c>
      <c r="C776" s="2380"/>
      <c r="D776" s="2373" t="s">
        <v>5387</v>
      </c>
      <c r="E776" s="2374" t="s">
        <v>5388</v>
      </c>
      <c r="F776" s="2373" t="s">
        <v>856</v>
      </c>
      <c r="G776" s="2404">
        <f>G771*1.37</f>
        <v>0</v>
      </c>
      <c r="H776" s="2376">
        <v>0</v>
      </c>
      <c r="I776" s="2376"/>
      <c r="J776" s="2376">
        <v>117703.6</v>
      </c>
      <c r="K776" s="2376">
        <v>0</v>
      </c>
      <c r="L776" s="2382">
        <f t="shared" si="110"/>
        <v>0</v>
      </c>
      <c r="M776" s="2382">
        <f t="shared" si="111"/>
        <v>0</v>
      </c>
      <c r="N776" s="2382">
        <f t="shared" si="112"/>
        <v>0</v>
      </c>
      <c r="O776" s="2381">
        <f t="shared" si="113"/>
        <v>0</v>
      </c>
      <c r="P776" s="2380"/>
      <c r="R776" s="2402"/>
    </row>
    <row r="777" spans="1:18" s="2358" customFormat="1" outlineLevel="1">
      <c r="A777" s="2361"/>
      <c r="B777" s="2386"/>
      <c r="C777" s="2395">
        <f>IF(G777&gt;0,C771+1,C771)</f>
        <v>0</v>
      </c>
      <c r="D777" s="2488"/>
      <c r="E777" s="2489" t="s">
        <v>6246</v>
      </c>
      <c r="F777" s="2490" t="s">
        <v>2391</v>
      </c>
      <c r="G777" s="2440"/>
      <c r="H777" s="2376"/>
      <c r="I777" s="2376"/>
      <c r="J777" s="2376"/>
      <c r="K777" s="2376"/>
      <c r="L777" s="2382"/>
      <c r="M777" s="2382"/>
      <c r="N777" s="2382"/>
      <c r="O777" s="2381"/>
      <c r="P777" s="2380"/>
      <c r="R777" s="2402"/>
    </row>
    <row r="778" spans="1:18" s="2500" customFormat="1" outlineLevel="1">
      <c r="A778" s="2491">
        <f t="shared" ref="A778:A787" si="115">IF(G778&lt;&gt;0,1,)</f>
        <v>0</v>
      </c>
      <c r="B778" s="2492" t="s">
        <v>5297</v>
      </c>
      <c r="C778" s="2493"/>
      <c r="D778" s="2494">
        <v>0</v>
      </c>
      <c r="E778" s="2495" t="s">
        <v>5298</v>
      </c>
      <c r="F778" s="2494" t="s">
        <v>5235</v>
      </c>
      <c r="G778" s="2496"/>
      <c r="H778" s="2497"/>
      <c r="I778" s="2497"/>
      <c r="J778" s="2497">
        <v>0</v>
      </c>
      <c r="K778" s="2497">
        <v>0</v>
      </c>
      <c r="L778" s="2498">
        <f t="shared" ref="L778:L787" si="116">H778*G778</f>
        <v>0</v>
      </c>
      <c r="M778" s="2498">
        <f t="shared" ref="M778:M787" si="117">I778*G778</f>
        <v>0</v>
      </c>
      <c r="N778" s="2498">
        <f t="shared" ref="N778:N787" si="118">J778*G778</f>
        <v>0</v>
      </c>
      <c r="O778" s="2499">
        <f t="shared" ref="O778:O787" si="119">K778*G778</f>
        <v>0</v>
      </c>
      <c r="P778" s="2493" t="s">
        <v>6247</v>
      </c>
      <c r="R778" s="2501"/>
    </row>
    <row r="779" spans="1:18" s="2500" customFormat="1" outlineLevel="1">
      <c r="A779" s="2491">
        <f t="shared" si="115"/>
        <v>0</v>
      </c>
      <c r="B779" s="2492" t="s">
        <v>5289</v>
      </c>
      <c r="C779" s="2493"/>
      <c r="D779" s="2494">
        <v>0</v>
      </c>
      <c r="E779" s="2495" t="s">
        <v>6248</v>
      </c>
      <c r="F779" s="2494" t="s">
        <v>5235</v>
      </c>
      <c r="G779" s="2496"/>
      <c r="H779" s="2497"/>
      <c r="I779" s="2497"/>
      <c r="J779" s="2497">
        <v>0</v>
      </c>
      <c r="K779" s="2497">
        <v>0</v>
      </c>
      <c r="L779" s="2498">
        <f t="shared" si="116"/>
        <v>0</v>
      </c>
      <c r="M779" s="2498">
        <f t="shared" si="117"/>
        <v>0</v>
      </c>
      <c r="N779" s="2498">
        <f t="shared" si="118"/>
        <v>0</v>
      </c>
      <c r="O779" s="2499">
        <f t="shared" si="119"/>
        <v>0</v>
      </c>
      <c r="P779" s="2493" t="s">
        <v>6247</v>
      </c>
      <c r="R779" s="2501"/>
    </row>
    <row r="780" spans="1:18" s="2500" customFormat="1" outlineLevel="1">
      <c r="A780" s="2491">
        <f t="shared" si="115"/>
        <v>0</v>
      </c>
      <c r="B780" s="2492" t="s">
        <v>1612</v>
      </c>
      <c r="C780" s="2493"/>
      <c r="D780" s="2494">
        <v>0</v>
      </c>
      <c r="E780" s="2495" t="s">
        <v>2653</v>
      </c>
      <c r="F780" s="2494" t="s">
        <v>2445</v>
      </c>
      <c r="G780" s="2496"/>
      <c r="H780" s="2497"/>
      <c r="I780" s="2497"/>
      <c r="J780" s="2497">
        <v>0</v>
      </c>
      <c r="K780" s="2497">
        <v>0</v>
      </c>
      <c r="L780" s="2498">
        <f t="shared" si="116"/>
        <v>0</v>
      </c>
      <c r="M780" s="2498">
        <f t="shared" si="117"/>
        <v>0</v>
      </c>
      <c r="N780" s="2498">
        <f t="shared" si="118"/>
        <v>0</v>
      </c>
      <c r="O780" s="2499">
        <f t="shared" si="119"/>
        <v>0</v>
      </c>
      <c r="P780" s="2493" t="s">
        <v>6247</v>
      </c>
      <c r="R780" s="2501"/>
    </row>
    <row r="781" spans="1:18" s="2500" customFormat="1" outlineLevel="1">
      <c r="A781" s="2491">
        <f t="shared" si="115"/>
        <v>0</v>
      </c>
      <c r="B781" s="2492" t="s">
        <v>1295</v>
      </c>
      <c r="C781" s="2493"/>
      <c r="D781" s="2494">
        <v>0</v>
      </c>
      <c r="E781" s="2495" t="s">
        <v>2667</v>
      </c>
      <c r="F781" s="2494" t="s">
        <v>2445</v>
      </c>
      <c r="G781" s="2496"/>
      <c r="H781" s="2497"/>
      <c r="I781" s="2497"/>
      <c r="J781" s="2497">
        <v>0</v>
      </c>
      <c r="K781" s="2497">
        <v>0</v>
      </c>
      <c r="L781" s="2498">
        <f t="shared" si="116"/>
        <v>0</v>
      </c>
      <c r="M781" s="2498">
        <f t="shared" si="117"/>
        <v>0</v>
      </c>
      <c r="N781" s="2498">
        <f t="shared" si="118"/>
        <v>0</v>
      </c>
      <c r="O781" s="2499">
        <f t="shared" si="119"/>
        <v>0</v>
      </c>
      <c r="P781" s="2493" t="s">
        <v>6247</v>
      </c>
      <c r="R781" s="2501"/>
    </row>
    <row r="782" spans="1:18" s="2500" customFormat="1" outlineLevel="1">
      <c r="A782" s="2491">
        <f t="shared" si="115"/>
        <v>0</v>
      </c>
      <c r="B782" s="2492" t="s">
        <v>1789</v>
      </c>
      <c r="C782" s="2493"/>
      <c r="D782" s="2494">
        <v>0</v>
      </c>
      <c r="E782" s="2495" t="s">
        <v>2645</v>
      </c>
      <c r="F782" s="2494" t="s">
        <v>2445</v>
      </c>
      <c r="G782" s="2496"/>
      <c r="H782" s="2497"/>
      <c r="I782" s="2497"/>
      <c r="J782" s="2497">
        <v>0</v>
      </c>
      <c r="K782" s="2497">
        <v>0</v>
      </c>
      <c r="L782" s="2498">
        <f t="shared" si="116"/>
        <v>0</v>
      </c>
      <c r="M782" s="2498">
        <f t="shared" si="117"/>
        <v>0</v>
      </c>
      <c r="N782" s="2498">
        <f t="shared" si="118"/>
        <v>0</v>
      </c>
      <c r="O782" s="2499">
        <f t="shared" si="119"/>
        <v>0</v>
      </c>
      <c r="P782" s="2493" t="s">
        <v>6247</v>
      </c>
      <c r="R782" s="2501"/>
    </row>
    <row r="783" spans="1:18" s="2358" customFormat="1" outlineLevel="1">
      <c r="A783" s="2361">
        <f>IF(G783&lt;&gt;0,1,)</f>
        <v>0</v>
      </c>
      <c r="B783" s="2502" t="s">
        <v>2002</v>
      </c>
      <c r="C783" s="2380"/>
      <c r="D783" s="2373" t="s">
        <v>5490</v>
      </c>
      <c r="E783" s="2374" t="s">
        <v>5491</v>
      </c>
      <c r="F783" s="2373" t="s">
        <v>2445</v>
      </c>
      <c r="G783" s="2437"/>
      <c r="H783" s="2376">
        <v>0</v>
      </c>
      <c r="I783" s="2376"/>
      <c r="J783" s="2376" t="s">
        <v>6403</v>
      </c>
      <c r="K783" s="2376">
        <v>0</v>
      </c>
      <c r="L783" s="2382">
        <f>H783*G783</f>
        <v>0</v>
      </c>
      <c r="M783" s="2382">
        <f>I783*G783</f>
        <v>0</v>
      </c>
      <c r="N783" s="2382">
        <v>0</v>
      </c>
      <c r="O783" s="2381">
        <f>K783*G783</f>
        <v>0</v>
      </c>
      <c r="P783" s="2380"/>
      <c r="R783" s="2402"/>
    </row>
    <row r="784" spans="1:18" s="2358" customFormat="1" outlineLevel="1">
      <c r="A784" s="2361">
        <f>IF(G784&lt;&gt;0,1,)</f>
        <v>0</v>
      </c>
      <c r="B784" s="2503"/>
      <c r="C784" s="2395">
        <f>IF(G784&gt;0,C777+1,C777)</f>
        <v>0</v>
      </c>
      <c r="D784" s="2373"/>
      <c r="E784" s="2489" t="s">
        <v>6249</v>
      </c>
      <c r="F784" s="2490" t="s">
        <v>2445</v>
      </c>
      <c r="G784" s="2440"/>
      <c r="H784" s="2376"/>
      <c r="I784" s="2376"/>
      <c r="J784" s="2376"/>
      <c r="K784" s="2376"/>
      <c r="L784" s="2382"/>
      <c r="M784" s="2382">
        <f>I784*G784</f>
        <v>0</v>
      </c>
      <c r="N784" s="2382"/>
      <c r="O784" s="2381"/>
      <c r="P784" s="2380"/>
      <c r="R784" s="2402"/>
    </row>
    <row r="785" spans="1:18" s="2500" customFormat="1" outlineLevel="1">
      <c r="A785" s="2491">
        <f t="shared" si="115"/>
        <v>0</v>
      </c>
      <c r="B785" s="2504" t="s">
        <v>696</v>
      </c>
      <c r="C785" s="2493"/>
      <c r="D785" s="2494">
        <v>0</v>
      </c>
      <c r="E785" s="2495" t="s">
        <v>2952</v>
      </c>
      <c r="F785" s="2494" t="s">
        <v>2563</v>
      </c>
      <c r="G785" s="2496"/>
      <c r="H785" s="2497"/>
      <c r="I785" s="2497"/>
      <c r="J785" s="2497">
        <v>0</v>
      </c>
      <c r="K785" s="2497">
        <v>0</v>
      </c>
      <c r="L785" s="2498">
        <f t="shared" si="116"/>
        <v>0</v>
      </c>
      <c r="M785" s="2498">
        <f t="shared" si="117"/>
        <v>0</v>
      </c>
      <c r="N785" s="2498">
        <f t="shared" si="118"/>
        <v>0</v>
      </c>
      <c r="O785" s="2499">
        <f t="shared" si="119"/>
        <v>0</v>
      </c>
      <c r="P785" s="2493" t="s">
        <v>6247</v>
      </c>
      <c r="R785" s="2501"/>
    </row>
    <row r="786" spans="1:18" s="2500" customFormat="1" outlineLevel="1">
      <c r="A786" s="2491">
        <f t="shared" si="115"/>
        <v>0</v>
      </c>
      <c r="B786" s="2504" t="s">
        <v>1268</v>
      </c>
      <c r="C786" s="2493"/>
      <c r="D786" s="2494">
        <v>0</v>
      </c>
      <c r="E786" s="2495" t="s">
        <v>2831</v>
      </c>
      <c r="F786" s="2494" t="s">
        <v>2563</v>
      </c>
      <c r="G786" s="2496"/>
      <c r="H786" s="2497"/>
      <c r="I786" s="2497"/>
      <c r="J786" s="2497">
        <v>0</v>
      </c>
      <c r="K786" s="2497">
        <v>0</v>
      </c>
      <c r="L786" s="2498">
        <f t="shared" si="116"/>
        <v>0</v>
      </c>
      <c r="M786" s="2498">
        <f t="shared" si="117"/>
        <v>0</v>
      </c>
      <c r="N786" s="2498">
        <f t="shared" si="118"/>
        <v>0</v>
      </c>
      <c r="O786" s="2499">
        <f t="shared" si="119"/>
        <v>0</v>
      </c>
      <c r="P786" s="2493" t="s">
        <v>6247</v>
      </c>
      <c r="R786" s="2501"/>
    </row>
    <row r="787" spans="1:18" s="2358" customFormat="1" outlineLevel="1">
      <c r="A787" s="2361">
        <f t="shared" si="115"/>
        <v>0</v>
      </c>
      <c r="B787" s="2505" t="s">
        <v>1568</v>
      </c>
      <c r="C787" s="2380"/>
      <c r="D787" s="2373" t="s">
        <v>5622</v>
      </c>
      <c r="E787" s="2374" t="s">
        <v>3289</v>
      </c>
      <c r="F787" s="2373" t="s">
        <v>2445</v>
      </c>
      <c r="G787" s="2437"/>
      <c r="H787" s="2376">
        <v>510</v>
      </c>
      <c r="I787" s="2376"/>
      <c r="J787" s="2376">
        <v>58277.49</v>
      </c>
      <c r="K787" s="2376">
        <v>0</v>
      </c>
      <c r="L787" s="2382">
        <f t="shared" si="116"/>
        <v>0</v>
      </c>
      <c r="M787" s="2382">
        <f t="shared" si="117"/>
        <v>0</v>
      </c>
      <c r="N787" s="2382">
        <f t="shared" si="118"/>
        <v>0</v>
      </c>
      <c r="O787" s="2381">
        <f t="shared" si="119"/>
        <v>0</v>
      </c>
      <c r="P787" s="2380"/>
      <c r="R787" s="2402"/>
    </row>
    <row r="788" spans="1:18" s="2358" customFormat="1" outlineLevel="1">
      <c r="A788" s="2361">
        <f>IF(G788&lt;&gt;0,1,0)</f>
        <v>0</v>
      </c>
      <c r="B788" s="2386" t="s">
        <v>6233</v>
      </c>
      <c r="C788" s="2395">
        <f>IF(G788&gt;0,C784+1,C784)</f>
        <v>0</v>
      </c>
      <c r="D788" s="2455"/>
      <c r="E788" s="2424" t="s">
        <v>6234</v>
      </c>
      <c r="F788" s="2395" t="s">
        <v>2391</v>
      </c>
      <c r="G788" s="2440">
        <f>G755</f>
        <v>0</v>
      </c>
      <c r="H788" s="2381"/>
      <c r="I788" s="2381"/>
      <c r="J788" s="2381"/>
      <c r="K788" s="2381"/>
      <c r="L788" s="2382">
        <f t="shared" si="110"/>
        <v>0</v>
      </c>
      <c r="M788" s="2382">
        <f t="shared" si="111"/>
        <v>0</v>
      </c>
      <c r="N788" s="2382">
        <f t="shared" si="112"/>
        <v>0</v>
      </c>
      <c r="O788" s="2381">
        <f t="shared" si="113"/>
        <v>0</v>
      </c>
      <c r="P788" s="2408"/>
    </row>
    <row r="789" spans="1:18" s="2358" customFormat="1" ht="14.4" outlineLevel="1">
      <c r="A789" s="2361">
        <f>A788</f>
        <v>0</v>
      </c>
      <c r="B789" s="2383"/>
      <c r="C789" s="2395"/>
      <c r="D789" s="2455"/>
      <c r="E789" s="2425" t="s">
        <v>6207</v>
      </c>
      <c r="F789" s="2380"/>
      <c r="G789" s="2437"/>
      <c r="H789" s="2381"/>
      <c r="I789" s="2381"/>
      <c r="J789" s="2381"/>
      <c r="K789" s="2381"/>
      <c r="L789" s="2382">
        <f t="shared" si="110"/>
        <v>0</v>
      </c>
      <c r="M789" s="2382">
        <f t="shared" si="111"/>
        <v>0</v>
      </c>
      <c r="N789" s="2382">
        <f t="shared" si="112"/>
        <v>0</v>
      </c>
      <c r="O789" s="2381">
        <f t="shared" si="113"/>
        <v>0</v>
      </c>
      <c r="P789" s="2408"/>
    </row>
    <row r="790" spans="1:18" s="2358" customFormat="1" outlineLevel="1">
      <c r="A790" s="2361">
        <f t="shared" ref="A790:A795" si="120">IF(G790&lt;&gt;0,1,0)</f>
        <v>0</v>
      </c>
      <c r="B790" s="2386" t="s">
        <v>5212</v>
      </c>
      <c r="C790" s="2395"/>
      <c r="D790" s="2373">
        <v>0</v>
      </c>
      <c r="E790" s="2374" t="s">
        <v>5213</v>
      </c>
      <c r="F790" s="2373" t="s">
        <v>2598</v>
      </c>
      <c r="G790" s="2437">
        <f>+G788</f>
        <v>0</v>
      </c>
      <c r="H790" s="2376">
        <v>960000</v>
      </c>
      <c r="I790" s="2381"/>
      <c r="J790" s="2376">
        <v>0</v>
      </c>
      <c r="K790" s="2376">
        <v>0</v>
      </c>
      <c r="L790" s="2382">
        <f t="shared" si="110"/>
        <v>0</v>
      </c>
      <c r="M790" s="2382">
        <f t="shared" si="111"/>
        <v>0</v>
      </c>
      <c r="N790" s="2382">
        <f t="shared" si="112"/>
        <v>0</v>
      </c>
      <c r="O790" s="2381">
        <f t="shared" si="113"/>
        <v>0</v>
      </c>
      <c r="P790" s="2408"/>
    </row>
    <row r="791" spans="1:18" s="2358" customFormat="1" outlineLevel="1">
      <c r="A791" s="2361">
        <f t="shared" si="120"/>
        <v>0</v>
      </c>
      <c r="B791" s="2386" t="s">
        <v>5219</v>
      </c>
      <c r="C791" s="2395"/>
      <c r="D791" s="2373">
        <v>0</v>
      </c>
      <c r="E791" s="2374" t="s">
        <v>5220</v>
      </c>
      <c r="F791" s="2373" t="s">
        <v>5221</v>
      </c>
      <c r="G791" s="2437">
        <f>+G790*2</f>
        <v>0</v>
      </c>
      <c r="H791" s="2376">
        <v>140000</v>
      </c>
      <c r="I791" s="2381"/>
      <c r="J791" s="2376">
        <v>0</v>
      </c>
      <c r="K791" s="2376">
        <v>0</v>
      </c>
      <c r="L791" s="2382">
        <f t="shared" si="110"/>
        <v>0</v>
      </c>
      <c r="M791" s="2382">
        <f t="shared" si="111"/>
        <v>0</v>
      </c>
      <c r="N791" s="2382">
        <f t="shared" si="112"/>
        <v>0</v>
      </c>
      <c r="O791" s="2381">
        <f t="shared" si="113"/>
        <v>0</v>
      </c>
      <c r="P791" s="2408"/>
    </row>
    <row r="792" spans="1:18" s="2358" customFormat="1" outlineLevel="1">
      <c r="A792" s="2361">
        <f t="shared" si="120"/>
        <v>0</v>
      </c>
      <c r="B792" s="2383" t="s">
        <v>488</v>
      </c>
      <c r="C792" s="2395"/>
      <c r="D792" s="2373">
        <v>0</v>
      </c>
      <c r="E792" s="2374" t="s">
        <v>5130</v>
      </c>
      <c r="F792" s="2373" t="s">
        <v>2445</v>
      </c>
      <c r="G792" s="2437">
        <f>G788*3</f>
        <v>0</v>
      </c>
      <c r="H792" s="2376">
        <v>65000</v>
      </c>
      <c r="I792" s="2381"/>
      <c r="J792" s="2376">
        <v>0</v>
      </c>
      <c r="K792" s="2376">
        <v>0</v>
      </c>
      <c r="L792" s="2382">
        <f t="shared" si="110"/>
        <v>0</v>
      </c>
      <c r="M792" s="2382">
        <f t="shared" si="111"/>
        <v>0</v>
      </c>
      <c r="N792" s="2382">
        <f t="shared" si="112"/>
        <v>0</v>
      </c>
      <c r="O792" s="2381">
        <f t="shared" si="113"/>
        <v>0</v>
      </c>
      <c r="P792" s="2408"/>
    </row>
    <row r="793" spans="1:18" s="2358" customFormat="1" outlineLevel="1">
      <c r="A793" s="2361">
        <f t="shared" si="120"/>
        <v>0</v>
      </c>
      <c r="B793" s="2383" t="s">
        <v>244</v>
      </c>
      <c r="C793" s="2395"/>
      <c r="D793" s="2373">
        <v>0</v>
      </c>
      <c r="E793" s="2374" t="s">
        <v>2649</v>
      </c>
      <c r="F793" s="2373" t="s">
        <v>2445</v>
      </c>
      <c r="G793" s="2437">
        <f>2*G788</f>
        <v>0</v>
      </c>
      <c r="H793" s="2376">
        <v>18900</v>
      </c>
      <c r="I793" s="2381"/>
      <c r="J793" s="2376">
        <v>0</v>
      </c>
      <c r="K793" s="2376">
        <v>0</v>
      </c>
      <c r="L793" s="2382">
        <f t="shared" si="110"/>
        <v>0</v>
      </c>
      <c r="M793" s="2382">
        <f t="shared" si="111"/>
        <v>0</v>
      </c>
      <c r="N793" s="2382">
        <f t="shared" si="112"/>
        <v>0</v>
      </c>
      <c r="O793" s="2381">
        <f t="shared" si="113"/>
        <v>0</v>
      </c>
      <c r="P793" s="2408"/>
    </row>
    <row r="794" spans="1:18" s="2358" customFormat="1" outlineLevel="1">
      <c r="A794" s="2361">
        <f t="shared" si="120"/>
        <v>0</v>
      </c>
      <c r="B794" s="2383" t="s">
        <v>1079</v>
      </c>
      <c r="C794" s="2395"/>
      <c r="D794" s="2373">
        <v>0</v>
      </c>
      <c r="E794" s="2374" t="s">
        <v>2659</v>
      </c>
      <c r="F794" s="2373" t="s">
        <v>2445</v>
      </c>
      <c r="G794" s="2437">
        <f>1*G788</f>
        <v>0</v>
      </c>
      <c r="H794" s="2376">
        <v>27900</v>
      </c>
      <c r="I794" s="2381"/>
      <c r="J794" s="2376">
        <v>0</v>
      </c>
      <c r="K794" s="2376">
        <v>0</v>
      </c>
      <c r="L794" s="2382">
        <f t="shared" si="110"/>
        <v>0</v>
      </c>
      <c r="M794" s="2382">
        <f t="shared" si="111"/>
        <v>0</v>
      </c>
      <c r="N794" s="2382">
        <f t="shared" si="112"/>
        <v>0</v>
      </c>
      <c r="O794" s="2381">
        <f t="shared" si="113"/>
        <v>0</v>
      </c>
      <c r="P794" s="2408"/>
    </row>
    <row r="795" spans="1:18" s="2358" customFormat="1" outlineLevel="1">
      <c r="A795" s="2361">
        <f t="shared" si="120"/>
        <v>0</v>
      </c>
      <c r="B795" s="2383" t="s">
        <v>1613</v>
      </c>
      <c r="C795" s="2395"/>
      <c r="D795" s="2373">
        <v>0</v>
      </c>
      <c r="E795" s="2374" t="s">
        <v>2657</v>
      </c>
      <c r="F795" s="2373" t="s">
        <v>2445</v>
      </c>
      <c r="G795" s="2437">
        <f>1*G788</f>
        <v>0</v>
      </c>
      <c r="H795" s="2376">
        <v>25400</v>
      </c>
      <c r="I795" s="2381"/>
      <c r="J795" s="2376">
        <v>0</v>
      </c>
      <c r="K795" s="2376">
        <v>0</v>
      </c>
      <c r="L795" s="2382">
        <f t="shared" si="110"/>
        <v>0</v>
      </c>
      <c r="M795" s="2382">
        <f t="shared" si="111"/>
        <v>0</v>
      </c>
      <c r="N795" s="2382">
        <f t="shared" si="112"/>
        <v>0</v>
      </c>
      <c r="O795" s="2381">
        <f t="shared" si="113"/>
        <v>0</v>
      </c>
      <c r="P795" s="2408"/>
    </row>
    <row r="796" spans="1:18" s="2358" customFormat="1" outlineLevel="1">
      <c r="A796" s="2361">
        <f>IF(G796&lt;&gt;0,1,0)</f>
        <v>0</v>
      </c>
      <c r="B796" s="2433" t="s">
        <v>5434</v>
      </c>
      <c r="C796" s="2395"/>
      <c r="D796" s="2373" t="s">
        <v>5209</v>
      </c>
      <c r="E796" s="2374" t="s">
        <v>5435</v>
      </c>
      <c r="F796" s="2373" t="s">
        <v>2445</v>
      </c>
      <c r="G796" s="2437">
        <f>G788</f>
        <v>0</v>
      </c>
      <c r="H796" s="2376">
        <v>0</v>
      </c>
      <c r="I796" s="2381"/>
      <c r="J796" s="2376" t="s">
        <v>6404</v>
      </c>
      <c r="K796" s="2376">
        <v>0</v>
      </c>
      <c r="L796" s="2382">
        <f>H796*G796</f>
        <v>0</v>
      </c>
      <c r="M796" s="2382">
        <f>I796*G796</f>
        <v>0</v>
      </c>
      <c r="N796" s="2376">
        <v>0</v>
      </c>
      <c r="O796" s="2381">
        <f>K796*G796</f>
        <v>0</v>
      </c>
      <c r="P796" s="2408"/>
    </row>
    <row r="797" spans="1:18" s="2358" customFormat="1" outlineLevel="1">
      <c r="A797" s="2361">
        <f>IF(G797&lt;&gt;0,1,)</f>
        <v>0</v>
      </c>
      <c r="B797" s="2383"/>
      <c r="C797" s="2395">
        <f>IF(G797&gt;0,C788+1,C788)</f>
        <v>0</v>
      </c>
      <c r="D797" s="2477"/>
      <c r="E797" s="2424" t="s">
        <v>6250</v>
      </c>
      <c r="F797" s="2506" t="s">
        <v>2391</v>
      </c>
      <c r="G797" s="2506">
        <f>G755*0</f>
        <v>0</v>
      </c>
      <c r="H797" s="2381"/>
      <c r="I797" s="2381"/>
      <c r="J797" s="2381"/>
      <c r="K797" s="2381"/>
      <c r="L797" s="2462">
        <f t="shared" si="110"/>
        <v>0</v>
      </c>
      <c r="M797" s="2462">
        <f t="shared" si="111"/>
        <v>0</v>
      </c>
      <c r="N797" s="2462">
        <f t="shared" si="112"/>
        <v>0</v>
      </c>
      <c r="O797" s="2463">
        <f t="shared" si="113"/>
        <v>0</v>
      </c>
      <c r="P797" s="2408"/>
    </row>
    <row r="798" spans="1:18" s="2358" customFormat="1" ht="14.4" outlineLevel="1">
      <c r="A798" s="2361">
        <f>A799</f>
        <v>0</v>
      </c>
      <c r="B798" s="2383"/>
      <c r="C798" s="2471"/>
      <c r="D798" s="2507"/>
      <c r="E798" s="2478" t="s">
        <v>6207</v>
      </c>
      <c r="F798" s="2461"/>
      <c r="G798" s="2461"/>
      <c r="H798" s="2381"/>
      <c r="I798" s="2381"/>
      <c r="J798" s="2381"/>
      <c r="K798" s="2381"/>
      <c r="L798" s="2462">
        <f t="shared" si="110"/>
        <v>0</v>
      </c>
      <c r="M798" s="2462">
        <f t="shared" si="111"/>
        <v>0</v>
      </c>
      <c r="N798" s="2462">
        <f t="shared" si="112"/>
        <v>0</v>
      </c>
      <c r="O798" s="2463">
        <f t="shared" si="113"/>
        <v>0</v>
      </c>
      <c r="P798" s="2408"/>
    </row>
    <row r="799" spans="1:18" s="2358" customFormat="1" outlineLevel="1">
      <c r="A799" s="2361">
        <f>IF(G799&lt;&gt;0,1,)</f>
        <v>0</v>
      </c>
      <c r="B799" s="2386" t="s">
        <v>2026</v>
      </c>
      <c r="C799" s="2395"/>
      <c r="D799" s="2373">
        <v>0</v>
      </c>
      <c r="E799" s="2374" t="s">
        <v>2443</v>
      </c>
      <c r="F799" s="2373" t="s">
        <v>2254</v>
      </c>
      <c r="G799" s="2508">
        <f>G797*9.02*(2.2+4*0.07)</f>
        <v>0</v>
      </c>
      <c r="H799" s="2376">
        <v>31625</v>
      </c>
      <c r="I799" s="2381"/>
      <c r="J799" s="2376">
        <v>0</v>
      </c>
      <c r="K799" s="2376">
        <v>0</v>
      </c>
      <c r="L799" s="2462">
        <f t="shared" si="110"/>
        <v>0</v>
      </c>
      <c r="M799" s="2462">
        <f t="shared" si="111"/>
        <v>0</v>
      </c>
      <c r="N799" s="2462">
        <f t="shared" si="112"/>
        <v>0</v>
      </c>
      <c r="O799" s="2463">
        <f t="shared" si="113"/>
        <v>0</v>
      </c>
      <c r="P799" s="2408"/>
    </row>
    <row r="800" spans="1:18" s="2358" customFormat="1" outlineLevel="1">
      <c r="A800" s="2361">
        <f>IF(G800&lt;&gt;0,1,)</f>
        <v>0</v>
      </c>
      <c r="B800" s="2383" t="s">
        <v>1035</v>
      </c>
      <c r="C800" s="2395"/>
      <c r="D800" s="2373">
        <v>0</v>
      </c>
      <c r="E800" s="2374" t="s">
        <v>2972</v>
      </c>
      <c r="F800" s="2373" t="s">
        <v>2254</v>
      </c>
      <c r="G800" s="2508">
        <f>G797*2*3.77*0.81</f>
        <v>0</v>
      </c>
      <c r="H800" s="2376">
        <v>31625</v>
      </c>
      <c r="I800" s="2381"/>
      <c r="J800" s="2376">
        <v>0</v>
      </c>
      <c r="K800" s="2376">
        <v>0</v>
      </c>
      <c r="L800" s="2462">
        <f t="shared" si="110"/>
        <v>0</v>
      </c>
      <c r="M800" s="2462">
        <f t="shared" si="111"/>
        <v>0</v>
      </c>
      <c r="N800" s="2462">
        <f t="shared" si="112"/>
        <v>0</v>
      </c>
      <c r="O800" s="2463">
        <f t="shared" si="113"/>
        <v>0</v>
      </c>
      <c r="P800" s="2408"/>
    </row>
    <row r="801" spans="1:16" s="2358" customFormat="1" outlineLevel="1">
      <c r="A801" s="2361">
        <f>IF(G801&lt;&gt;0,1,)</f>
        <v>0</v>
      </c>
      <c r="B801" s="2383" t="s">
        <v>1790</v>
      </c>
      <c r="C801" s="2395"/>
      <c r="D801" s="2373">
        <v>0</v>
      </c>
      <c r="E801" s="2374" t="s">
        <v>2647</v>
      </c>
      <c r="F801" s="2373" t="s">
        <v>2445</v>
      </c>
      <c r="G801" s="2461">
        <f>4*G797</f>
        <v>0</v>
      </c>
      <c r="H801" s="2376">
        <v>12400</v>
      </c>
      <c r="I801" s="2381"/>
      <c r="J801" s="2376">
        <v>0</v>
      </c>
      <c r="K801" s="2376">
        <v>0</v>
      </c>
      <c r="L801" s="2462">
        <f t="shared" si="110"/>
        <v>0</v>
      </c>
      <c r="M801" s="2462">
        <f t="shared" si="111"/>
        <v>0</v>
      </c>
      <c r="N801" s="2462">
        <f t="shared" si="112"/>
        <v>0</v>
      </c>
      <c r="O801" s="2463">
        <f t="shared" si="113"/>
        <v>0</v>
      </c>
      <c r="P801" s="2408"/>
    </row>
    <row r="802" spans="1:16" s="2358" customFormat="1" outlineLevel="1">
      <c r="A802" s="2361">
        <f>IF(G802&lt;&gt;0,1,)</f>
        <v>0</v>
      </c>
      <c r="B802" s="2383" t="s">
        <v>1612</v>
      </c>
      <c r="C802" s="2395"/>
      <c r="D802" s="2373">
        <v>0</v>
      </c>
      <c r="E802" s="2374" t="s">
        <v>2653</v>
      </c>
      <c r="F802" s="2373" t="s">
        <v>2445</v>
      </c>
      <c r="G802" s="2461">
        <f>2*G797</f>
        <v>0</v>
      </c>
      <c r="H802" s="2376">
        <v>13400</v>
      </c>
      <c r="I802" s="2381"/>
      <c r="J802" s="2376">
        <v>0</v>
      </c>
      <c r="K802" s="2376">
        <v>0</v>
      </c>
      <c r="L802" s="2462">
        <f t="shared" si="110"/>
        <v>0</v>
      </c>
      <c r="M802" s="2462">
        <f t="shared" si="111"/>
        <v>0</v>
      </c>
      <c r="N802" s="2462">
        <f t="shared" si="112"/>
        <v>0</v>
      </c>
      <c r="O802" s="2463">
        <f t="shared" si="113"/>
        <v>0</v>
      </c>
      <c r="P802" s="2408"/>
    </row>
    <row r="803" spans="1:16" s="2358" customFormat="1" outlineLevel="1">
      <c r="A803" s="2361">
        <f>IF(G803&lt;&gt;0,1,)</f>
        <v>0</v>
      </c>
      <c r="B803" s="2383" t="s">
        <v>516</v>
      </c>
      <c r="C803" s="2395"/>
      <c r="D803" s="2373" t="s">
        <v>5483</v>
      </c>
      <c r="E803" s="2374" t="s">
        <v>5484</v>
      </c>
      <c r="F803" s="2373" t="s">
        <v>2445</v>
      </c>
      <c r="G803" s="2461">
        <f>G797</f>
        <v>0</v>
      </c>
      <c r="H803" s="2376">
        <v>0</v>
      </c>
      <c r="I803" s="2381"/>
      <c r="J803" s="2376">
        <v>296544.75</v>
      </c>
      <c r="K803" s="2376">
        <v>0</v>
      </c>
      <c r="L803" s="2462">
        <f>H803*G803</f>
        <v>0</v>
      </c>
      <c r="M803" s="2462">
        <f>I803*G803</f>
        <v>0</v>
      </c>
      <c r="N803" s="2462">
        <f>J803*G803</f>
        <v>0</v>
      </c>
      <c r="O803" s="2463">
        <f>K803*G803</f>
        <v>0</v>
      </c>
      <c r="P803" s="2408"/>
    </row>
    <row r="804" spans="1:16" s="2358" customFormat="1" outlineLevel="1">
      <c r="A804" s="2435" t="str">
        <f t="shared" ref="A804:A818" si="121">IF(G804&lt;&gt;0,1,"")</f>
        <v/>
      </c>
      <c r="B804" s="2383"/>
      <c r="C804" s="2395">
        <f>IF(G804&gt;0,C797+1,C797)</f>
        <v>0</v>
      </c>
      <c r="D804" s="2509"/>
      <c r="E804" s="2510" t="s">
        <v>3712</v>
      </c>
      <c r="F804" s="2506" t="s">
        <v>2391</v>
      </c>
      <c r="G804" s="2440">
        <f>K8</f>
        <v>0</v>
      </c>
      <c r="H804" s="2381"/>
      <c r="I804" s="2381"/>
      <c r="J804" s="2381"/>
      <c r="K804" s="2381"/>
      <c r="L804" s="2462">
        <f t="shared" si="110"/>
        <v>0</v>
      </c>
      <c r="M804" s="2462">
        <f t="shared" si="111"/>
        <v>0</v>
      </c>
      <c r="N804" s="2462">
        <f t="shared" si="112"/>
        <v>0</v>
      </c>
      <c r="O804" s="2463">
        <f t="shared" si="113"/>
        <v>0</v>
      </c>
      <c r="P804" s="2408"/>
    </row>
    <row r="805" spans="1:16" s="2358" customFormat="1" ht="14.4" outlineLevel="1">
      <c r="A805" s="2361" t="str">
        <f>A804</f>
        <v/>
      </c>
      <c r="B805" s="2383"/>
      <c r="C805" s="2395"/>
      <c r="D805" s="2509"/>
      <c r="E805" s="2478" t="s">
        <v>6207</v>
      </c>
      <c r="F805" s="2461"/>
      <c r="G805" s="2437"/>
      <c r="H805" s="2381"/>
      <c r="I805" s="2381"/>
      <c r="J805" s="2381"/>
      <c r="K805" s="2381"/>
      <c r="L805" s="2462">
        <f t="shared" si="110"/>
        <v>0</v>
      </c>
      <c r="M805" s="2462">
        <f t="shared" si="111"/>
        <v>0</v>
      </c>
      <c r="N805" s="2462">
        <f t="shared" si="112"/>
        <v>0</v>
      </c>
      <c r="O805" s="2463">
        <f t="shared" si="113"/>
        <v>0</v>
      </c>
      <c r="P805" s="2408"/>
    </row>
    <row r="806" spans="1:16" s="2358" customFormat="1" outlineLevel="1">
      <c r="A806" s="2435" t="str">
        <f t="shared" si="121"/>
        <v/>
      </c>
      <c r="B806" s="2383" t="s">
        <v>1033</v>
      </c>
      <c r="C806" s="2395"/>
      <c r="D806" s="2373">
        <v>0</v>
      </c>
      <c r="E806" s="2374" t="s">
        <v>6405</v>
      </c>
      <c r="F806" s="2373" t="s">
        <v>2254</v>
      </c>
      <c r="G806" s="2437">
        <f>ROUND(G804*0.224*69.9,1)</f>
        <v>0</v>
      </c>
      <c r="H806" s="2376">
        <v>255500</v>
      </c>
      <c r="I806" s="2381"/>
      <c r="J806" s="2376">
        <v>0</v>
      </c>
      <c r="K806" s="2376">
        <v>0</v>
      </c>
      <c r="L806" s="2462">
        <f t="shared" si="110"/>
        <v>0</v>
      </c>
      <c r="M806" s="2462">
        <f t="shared" si="111"/>
        <v>0</v>
      </c>
      <c r="N806" s="2462">
        <f t="shared" si="112"/>
        <v>0</v>
      </c>
      <c r="O806" s="2463">
        <f t="shared" si="113"/>
        <v>0</v>
      </c>
      <c r="P806" s="2408"/>
    </row>
    <row r="807" spans="1:16" s="2358" customFormat="1" outlineLevel="1">
      <c r="A807" s="2435" t="str">
        <f t="shared" si="121"/>
        <v/>
      </c>
      <c r="B807" s="2386" t="s">
        <v>1511</v>
      </c>
      <c r="C807" s="2395"/>
      <c r="D807" s="2373">
        <v>0</v>
      </c>
      <c r="E807" s="2374" t="s">
        <v>5224</v>
      </c>
      <c r="F807" s="2373" t="s">
        <v>2445</v>
      </c>
      <c r="G807" s="2437">
        <f>+H2*G804</f>
        <v>0</v>
      </c>
      <c r="H807" s="2376">
        <v>160000</v>
      </c>
      <c r="I807" s="2381"/>
      <c r="J807" s="2376">
        <v>0</v>
      </c>
      <c r="K807" s="2376">
        <v>0</v>
      </c>
      <c r="L807" s="2462">
        <f t="shared" si="110"/>
        <v>0</v>
      </c>
      <c r="M807" s="2462">
        <f t="shared" si="111"/>
        <v>0</v>
      </c>
      <c r="N807" s="2462">
        <f t="shared" si="112"/>
        <v>0</v>
      </c>
      <c r="O807" s="2463">
        <f t="shared" si="113"/>
        <v>0</v>
      </c>
      <c r="P807" s="2408"/>
    </row>
    <row r="808" spans="1:16" s="2358" customFormat="1" outlineLevel="1">
      <c r="A808" s="2435" t="str">
        <f>IF(G808&lt;&gt;0,1,"")</f>
        <v/>
      </c>
      <c r="B808" s="2386" t="s">
        <v>1588</v>
      </c>
      <c r="C808" s="2380"/>
      <c r="D808" s="2373">
        <v>0</v>
      </c>
      <c r="E808" s="2374" t="s">
        <v>5775</v>
      </c>
      <c r="F808" s="2373" t="s">
        <v>3463</v>
      </c>
      <c r="G808" s="2380">
        <f>+L3*G804</f>
        <v>0</v>
      </c>
      <c r="H808" s="2376">
        <v>0</v>
      </c>
      <c r="I808" s="2376" t="s">
        <v>6251</v>
      </c>
      <c r="J808" s="2376" t="s">
        <v>6406</v>
      </c>
      <c r="K808" s="2376">
        <v>0</v>
      </c>
      <c r="L808" s="2382">
        <f>H808*G808</f>
        <v>0</v>
      </c>
      <c r="M808" s="2381">
        <v>0</v>
      </c>
      <c r="N808" s="2376">
        <v>0</v>
      </c>
      <c r="O808" s="2381">
        <f>K808*G808</f>
        <v>0</v>
      </c>
      <c r="P808" s="2408"/>
    </row>
    <row r="809" spans="1:16" s="2358" customFormat="1" outlineLevel="1">
      <c r="A809" s="2435" t="str">
        <f t="shared" si="121"/>
        <v/>
      </c>
      <c r="B809" s="2386" t="s">
        <v>1493</v>
      </c>
      <c r="C809" s="2380"/>
      <c r="D809" s="2373">
        <v>0</v>
      </c>
      <c r="E809" s="2374" t="s">
        <v>3554</v>
      </c>
      <c r="F809" s="2373" t="s">
        <v>1827</v>
      </c>
      <c r="G809" s="2437">
        <f>4*G804</f>
        <v>0</v>
      </c>
      <c r="H809" s="2376">
        <v>6200</v>
      </c>
      <c r="I809" s="2381"/>
      <c r="J809" s="2376"/>
      <c r="K809" s="2376">
        <v>0</v>
      </c>
      <c r="L809" s="2462">
        <f t="shared" si="110"/>
        <v>0</v>
      </c>
      <c r="M809" s="2462">
        <f t="shared" si="111"/>
        <v>0</v>
      </c>
      <c r="N809" s="2462">
        <f t="shared" si="112"/>
        <v>0</v>
      </c>
      <c r="O809" s="2463">
        <f t="shared" si="113"/>
        <v>0</v>
      </c>
      <c r="P809" s="2408"/>
    </row>
    <row r="810" spans="1:16" s="2358" customFormat="1" outlineLevel="1">
      <c r="A810" s="2435" t="str">
        <f t="shared" si="121"/>
        <v/>
      </c>
      <c r="B810" s="2383" t="s">
        <v>1582</v>
      </c>
      <c r="C810" s="2395"/>
      <c r="D810" s="2373">
        <v>0</v>
      </c>
      <c r="E810" s="2374" t="s">
        <v>2889</v>
      </c>
      <c r="F810" s="2373" t="s">
        <v>2563</v>
      </c>
      <c r="G810" s="2437">
        <f>G804*2</f>
        <v>0</v>
      </c>
      <c r="H810" s="2376">
        <v>8000</v>
      </c>
      <c r="I810" s="2376"/>
      <c r="J810" s="2376">
        <v>0</v>
      </c>
      <c r="K810" s="2376">
        <v>0</v>
      </c>
      <c r="L810" s="2462">
        <f t="shared" si="110"/>
        <v>0</v>
      </c>
      <c r="M810" s="2462">
        <f t="shared" si="111"/>
        <v>0</v>
      </c>
      <c r="N810" s="2462">
        <f t="shared" si="112"/>
        <v>0</v>
      </c>
      <c r="O810" s="2463">
        <f t="shared" si="113"/>
        <v>0</v>
      </c>
      <c r="P810" s="2408"/>
    </row>
    <row r="811" spans="1:16" s="2358" customFormat="1" outlineLevel="1">
      <c r="A811" s="2435" t="str">
        <f t="shared" si="121"/>
        <v/>
      </c>
      <c r="B811" s="2383" t="s">
        <v>1114</v>
      </c>
      <c r="C811" s="2395"/>
      <c r="D811" s="2373">
        <v>0</v>
      </c>
      <c r="E811" s="2374" t="s">
        <v>2887</v>
      </c>
      <c r="F811" s="2373" t="s">
        <v>2563</v>
      </c>
      <c r="G811" s="2437"/>
      <c r="H811" s="2376">
        <v>6000</v>
      </c>
      <c r="I811" s="2376"/>
      <c r="J811" s="2376">
        <v>0</v>
      </c>
      <c r="K811" s="2376">
        <v>0</v>
      </c>
      <c r="L811" s="2462">
        <f t="shared" si="110"/>
        <v>0</v>
      </c>
      <c r="M811" s="2462">
        <f t="shared" si="111"/>
        <v>0</v>
      </c>
      <c r="N811" s="2462">
        <f t="shared" si="112"/>
        <v>0</v>
      </c>
      <c r="O811" s="2463">
        <f t="shared" si="113"/>
        <v>0</v>
      </c>
      <c r="P811" s="2408"/>
    </row>
    <row r="812" spans="1:16" s="2358" customFormat="1" outlineLevel="1">
      <c r="A812" s="2435" t="str">
        <f>IF(G812&lt;&gt;0,1,"")</f>
        <v/>
      </c>
      <c r="B812" s="2383" t="s">
        <v>6217</v>
      </c>
      <c r="C812" s="2380"/>
      <c r="D812" s="2373" t="s">
        <v>5787</v>
      </c>
      <c r="E812" s="2374" t="s">
        <v>3497</v>
      </c>
      <c r="F812" s="2373" t="s">
        <v>2563</v>
      </c>
      <c r="G812" s="2437"/>
      <c r="H812" s="2376">
        <v>9100</v>
      </c>
      <c r="I812" s="2376"/>
      <c r="J812" s="2376">
        <v>10608.955000000002</v>
      </c>
      <c r="K812" s="2376">
        <v>2777.0232475000003</v>
      </c>
      <c r="L812" s="2462">
        <f>H812*G812</f>
        <v>0</v>
      </c>
      <c r="M812" s="2462">
        <f>I812*G812</f>
        <v>0</v>
      </c>
      <c r="N812" s="2462">
        <f>J812*G812</f>
        <v>0</v>
      </c>
      <c r="O812" s="2463">
        <f>K812*G812</f>
        <v>0</v>
      </c>
      <c r="P812" s="2408"/>
    </row>
    <row r="813" spans="1:16" s="2358" customFormat="1" outlineLevel="1">
      <c r="A813" s="2435" t="str">
        <f t="shared" si="121"/>
        <v/>
      </c>
      <c r="B813" s="2383" t="s">
        <v>6252</v>
      </c>
      <c r="C813" s="2380"/>
      <c r="D813" s="2373" t="s">
        <v>5788</v>
      </c>
      <c r="E813" s="2374" t="s">
        <v>3498</v>
      </c>
      <c r="F813" s="2373" t="s">
        <v>2563</v>
      </c>
      <c r="G813" s="2437"/>
      <c r="H813" s="2376">
        <v>14000</v>
      </c>
      <c r="I813" s="2376"/>
      <c r="J813" s="2376">
        <v>16671.215</v>
      </c>
      <c r="K813" s="2376">
        <v>3332.427897</v>
      </c>
      <c r="L813" s="2462">
        <f t="shared" si="110"/>
        <v>0</v>
      </c>
      <c r="M813" s="2462">
        <f t="shared" si="111"/>
        <v>0</v>
      </c>
      <c r="N813" s="2462">
        <f t="shared" si="112"/>
        <v>0</v>
      </c>
      <c r="O813" s="2463">
        <f t="shared" si="113"/>
        <v>0</v>
      </c>
      <c r="P813" s="2408"/>
    </row>
    <row r="814" spans="1:16" s="2358" customFormat="1" outlineLevel="1">
      <c r="A814" s="2435" t="str">
        <f>IF(G814&lt;&gt;0,1,"")</f>
        <v/>
      </c>
      <c r="B814" s="2383" t="s">
        <v>2023</v>
      </c>
      <c r="C814" s="2380"/>
      <c r="D814" s="2373">
        <v>0</v>
      </c>
      <c r="E814" s="2374" t="s">
        <v>2635</v>
      </c>
      <c r="F814" s="2373" t="s">
        <v>2445</v>
      </c>
      <c r="G814" s="2437"/>
      <c r="H814" s="2376">
        <v>8500</v>
      </c>
      <c r="I814" s="2376"/>
      <c r="J814" s="2376">
        <v>0</v>
      </c>
      <c r="K814" s="2376">
        <v>0</v>
      </c>
      <c r="L814" s="2462">
        <f>H814*G814</f>
        <v>0</v>
      </c>
      <c r="M814" s="2462">
        <f>I814*G814</f>
        <v>0</v>
      </c>
      <c r="N814" s="2462">
        <f>J814*G814</f>
        <v>0</v>
      </c>
      <c r="O814" s="2463">
        <f>K814*G814</f>
        <v>0</v>
      </c>
      <c r="P814" s="2408"/>
    </row>
    <row r="815" spans="1:16" s="2358" customFormat="1" outlineLevel="1">
      <c r="A815" s="2435" t="str">
        <f t="shared" si="121"/>
        <v/>
      </c>
      <c r="B815" s="2386" t="s">
        <v>525</v>
      </c>
      <c r="C815" s="2395"/>
      <c r="D815" s="2373">
        <v>0</v>
      </c>
      <c r="E815" s="2374" t="s">
        <v>5313</v>
      </c>
      <c r="F815" s="2373" t="s">
        <v>2445</v>
      </c>
      <c r="G815" s="2437">
        <f>2*G804</f>
        <v>0</v>
      </c>
      <c r="H815" s="2376">
        <v>43000</v>
      </c>
      <c r="I815" s="2381"/>
      <c r="J815" s="2376">
        <v>0</v>
      </c>
      <c r="K815" s="2376">
        <v>0</v>
      </c>
      <c r="L815" s="2462">
        <f t="shared" si="110"/>
        <v>0</v>
      </c>
      <c r="M815" s="2462">
        <f t="shared" si="111"/>
        <v>0</v>
      </c>
      <c r="N815" s="2462">
        <f t="shared" si="112"/>
        <v>0</v>
      </c>
      <c r="O815" s="2463">
        <f t="shared" si="113"/>
        <v>0</v>
      </c>
      <c r="P815" s="2408"/>
    </row>
    <row r="816" spans="1:16" s="2358" customFormat="1" outlineLevel="1">
      <c r="A816" s="2435" t="str">
        <f t="shared" si="121"/>
        <v/>
      </c>
      <c r="B816" s="2383" t="s">
        <v>2189</v>
      </c>
      <c r="C816" s="2380"/>
      <c r="D816" s="2373" t="s">
        <v>5408</v>
      </c>
      <c r="E816" s="2374" t="s">
        <v>5409</v>
      </c>
      <c r="F816" s="2373" t="s">
        <v>2538</v>
      </c>
      <c r="G816" s="2437"/>
      <c r="H816" s="2376">
        <v>0</v>
      </c>
      <c r="I816" s="2376"/>
      <c r="J816" s="2376">
        <v>8070.7000000000007</v>
      </c>
      <c r="K816" s="2376">
        <v>2044.9974999999999</v>
      </c>
      <c r="L816" s="2382">
        <f>H816*G816</f>
        <v>0</v>
      </c>
      <c r="M816" s="2382">
        <f>I816*G816</f>
        <v>0</v>
      </c>
      <c r="N816" s="2382">
        <f>J816*G816</f>
        <v>0</v>
      </c>
      <c r="O816" s="2381">
        <f>K816*G816</f>
        <v>0</v>
      </c>
      <c r="P816" s="2408"/>
    </row>
    <row r="817" spans="1:20" s="2358" customFormat="1" outlineLevel="1">
      <c r="A817" s="2435" t="str">
        <f t="shared" si="121"/>
        <v/>
      </c>
      <c r="B817" s="2386" t="s">
        <v>902</v>
      </c>
      <c r="C817" s="2380"/>
      <c r="D817" s="2373" t="s">
        <v>5413</v>
      </c>
      <c r="E817" s="2374" t="s">
        <v>5414</v>
      </c>
      <c r="F817" s="2373" t="s">
        <v>2284</v>
      </c>
      <c r="G817" s="2437">
        <f>+G807*G804</f>
        <v>0</v>
      </c>
      <c r="H817" s="2376">
        <v>0</v>
      </c>
      <c r="I817" s="2381"/>
      <c r="J817" s="2376">
        <v>90355.896000000008</v>
      </c>
      <c r="K817" s="2376">
        <v>1573.075</v>
      </c>
      <c r="L817" s="2382">
        <f>H817*G817</f>
        <v>0</v>
      </c>
      <c r="M817" s="2382">
        <f>I817*G817</f>
        <v>0</v>
      </c>
      <c r="N817" s="2376">
        <f>J817*G817</f>
        <v>0</v>
      </c>
      <c r="O817" s="2381">
        <f>K817*G817</f>
        <v>0</v>
      </c>
      <c r="P817" s="2408"/>
    </row>
    <row r="818" spans="1:20" s="2358" customFormat="1" outlineLevel="1">
      <c r="A818" s="2435" t="str">
        <f t="shared" si="121"/>
        <v/>
      </c>
      <c r="B818" s="2383" t="s">
        <v>1055</v>
      </c>
      <c r="C818" s="2380"/>
      <c r="D818" s="2373" t="s">
        <v>5398</v>
      </c>
      <c r="E818" s="2374" t="s">
        <v>3086</v>
      </c>
      <c r="F818" s="2373" t="s">
        <v>856</v>
      </c>
      <c r="G818" s="2437"/>
      <c r="H818" s="2376">
        <v>0</v>
      </c>
      <c r="I818" s="2376"/>
      <c r="J818" s="2376">
        <v>283749.75</v>
      </c>
      <c r="K818" s="2376">
        <v>0</v>
      </c>
      <c r="L818" s="2382">
        <f>H818*G818</f>
        <v>0</v>
      </c>
      <c r="M818" s="2382">
        <f>I818*G818</f>
        <v>0</v>
      </c>
      <c r="N818" s="2382">
        <f>J818*G818</f>
        <v>0</v>
      </c>
      <c r="O818" s="2381">
        <f>K818*G818</f>
        <v>0</v>
      </c>
      <c r="P818" s="2408"/>
    </row>
    <row r="819" spans="1:20" s="2358" customFormat="1" outlineLevel="1">
      <c r="A819" s="2361">
        <f t="shared" ref="A819:A824" si="122">IF(G819&lt;&gt;0,1,0)</f>
        <v>0</v>
      </c>
      <c r="B819" s="2383"/>
      <c r="C819" s="2511">
        <f>IF(G819&gt;0,C804+1,C804)</f>
        <v>0</v>
      </c>
      <c r="D819" s="2512"/>
      <c r="E819" s="2513" t="s">
        <v>3718</v>
      </c>
      <c r="F819" s="2511" t="s">
        <v>2391</v>
      </c>
      <c r="G819" s="2483">
        <f>G755</f>
        <v>0</v>
      </c>
      <c r="H819" s="2381"/>
      <c r="I819" s="2381"/>
      <c r="J819" s="2381"/>
      <c r="K819" s="2381"/>
      <c r="L819" s="2462">
        <f t="shared" si="110"/>
        <v>0</v>
      </c>
      <c r="M819" s="2462">
        <f t="shared" si="111"/>
        <v>0</v>
      </c>
      <c r="N819" s="2462">
        <f t="shared" si="112"/>
        <v>0</v>
      </c>
      <c r="O819" s="2463">
        <f t="shared" si="113"/>
        <v>0</v>
      </c>
      <c r="P819" s="2408"/>
    </row>
    <row r="820" spans="1:20" s="2358" customFormat="1" ht="14.4" outlineLevel="1">
      <c r="A820" s="2361">
        <f t="shared" si="122"/>
        <v>0</v>
      </c>
      <c r="B820" s="2383"/>
      <c r="C820" s="2395"/>
      <c r="D820" s="2509"/>
      <c r="E820" s="2478" t="s">
        <v>6207</v>
      </c>
      <c r="F820" s="2461"/>
      <c r="G820" s="2461"/>
      <c r="H820" s="2381"/>
      <c r="I820" s="2381"/>
      <c r="J820" s="2381"/>
      <c r="K820" s="2381"/>
      <c r="L820" s="2462">
        <f t="shared" si="110"/>
        <v>0</v>
      </c>
      <c r="M820" s="2462">
        <f t="shared" si="111"/>
        <v>0</v>
      </c>
      <c r="N820" s="2462">
        <f t="shared" si="112"/>
        <v>0</v>
      </c>
      <c r="O820" s="2463">
        <f t="shared" si="113"/>
        <v>0</v>
      </c>
      <c r="P820" s="2408"/>
    </row>
    <row r="821" spans="1:20" s="2358" customFormat="1" outlineLevel="1">
      <c r="A821" s="2361">
        <f t="shared" si="122"/>
        <v>0</v>
      </c>
      <c r="B821" s="2433" t="s">
        <v>5719</v>
      </c>
      <c r="C821" s="2395"/>
      <c r="D821" s="2373" t="s">
        <v>5695</v>
      </c>
      <c r="E821" s="2374" t="s">
        <v>5720</v>
      </c>
      <c r="F821" s="2373" t="s">
        <v>2563</v>
      </c>
      <c r="G821" s="2437">
        <f>G819</f>
        <v>0</v>
      </c>
      <c r="H821" s="2376">
        <v>3664446</v>
      </c>
      <c r="I821" s="2376"/>
      <c r="J821" s="2376">
        <v>690091</v>
      </c>
      <c r="K821" s="2376">
        <v>97369</v>
      </c>
      <c r="L821" s="2462">
        <f t="shared" si="110"/>
        <v>0</v>
      </c>
      <c r="M821" s="2462">
        <f t="shared" si="111"/>
        <v>0</v>
      </c>
      <c r="N821" s="2462">
        <f t="shared" si="112"/>
        <v>0</v>
      </c>
      <c r="O821" s="2463">
        <f t="shared" si="113"/>
        <v>0</v>
      </c>
      <c r="P821" s="2408"/>
    </row>
    <row r="822" spans="1:20" s="2358" customFormat="1" outlineLevel="1">
      <c r="A822" s="2361">
        <f t="shared" si="122"/>
        <v>0</v>
      </c>
      <c r="B822" s="2383" t="s">
        <v>879</v>
      </c>
      <c r="C822" s="2395"/>
      <c r="D822" s="2509"/>
      <c r="E822" s="2374" t="s">
        <v>2999</v>
      </c>
      <c r="F822" s="2373" t="s">
        <v>2445</v>
      </c>
      <c r="G822" s="2461"/>
      <c r="H822" s="2376">
        <v>168000</v>
      </c>
      <c r="I822" s="2381"/>
      <c r="J822" s="2376">
        <v>0</v>
      </c>
      <c r="K822" s="2376">
        <v>0</v>
      </c>
      <c r="L822" s="2462">
        <f t="shared" si="110"/>
        <v>0</v>
      </c>
      <c r="M822" s="2462">
        <f t="shared" si="111"/>
        <v>0</v>
      </c>
      <c r="N822" s="2462">
        <f t="shared" si="112"/>
        <v>0</v>
      </c>
      <c r="O822" s="2463">
        <f t="shared" si="113"/>
        <v>0</v>
      </c>
      <c r="P822" s="2408"/>
    </row>
    <row r="823" spans="1:20" s="2358" customFormat="1" outlineLevel="1">
      <c r="A823" s="2361">
        <f t="shared" si="122"/>
        <v>0</v>
      </c>
      <c r="B823" s="2383" t="s">
        <v>880</v>
      </c>
      <c r="C823" s="2395"/>
      <c r="D823" s="2509"/>
      <c r="E823" s="2374" t="s">
        <v>5861</v>
      </c>
      <c r="F823" s="2373" t="s">
        <v>2563</v>
      </c>
      <c r="G823" s="2461"/>
      <c r="H823" s="2376">
        <v>284000</v>
      </c>
      <c r="I823" s="2381"/>
      <c r="J823" s="2376">
        <v>5404</v>
      </c>
      <c r="K823" s="2376">
        <v>0</v>
      </c>
      <c r="L823" s="2462">
        <f t="shared" si="110"/>
        <v>0</v>
      </c>
      <c r="M823" s="2462">
        <f t="shared" si="111"/>
        <v>0</v>
      </c>
      <c r="N823" s="2462">
        <f t="shared" si="112"/>
        <v>0</v>
      </c>
      <c r="O823" s="2463">
        <f t="shared" si="113"/>
        <v>0</v>
      </c>
      <c r="P823" s="2408"/>
    </row>
    <row r="824" spans="1:20" s="2358" customFormat="1" outlineLevel="1">
      <c r="A824" s="2361">
        <f t="shared" si="122"/>
        <v>0</v>
      </c>
      <c r="B824" s="2514"/>
      <c r="C824" s="2511">
        <f>IF(G824&gt;0,C819+1,C819)</f>
        <v>0</v>
      </c>
      <c r="D824" s="2512"/>
      <c r="E824" s="2515" t="s">
        <v>3725</v>
      </c>
      <c r="F824" s="2511" t="s">
        <v>2391</v>
      </c>
      <c r="G824" s="2516">
        <f>G755*0</f>
        <v>0</v>
      </c>
      <c r="H824" s="2517"/>
      <c r="I824" s="2517"/>
      <c r="J824" s="2517"/>
      <c r="K824" s="2517"/>
      <c r="L824" s="2517">
        <f t="shared" si="110"/>
        <v>0</v>
      </c>
      <c r="M824" s="2517">
        <f t="shared" si="111"/>
        <v>0</v>
      </c>
      <c r="N824" s="2517">
        <f t="shared" si="112"/>
        <v>0</v>
      </c>
      <c r="O824" s="2517">
        <f t="shared" si="113"/>
        <v>0</v>
      </c>
      <c r="P824" s="2518"/>
      <c r="Q824" s="2519"/>
      <c r="R824" s="2519"/>
      <c r="S824" s="2519"/>
    </row>
    <row r="825" spans="1:20" s="2358" customFormat="1" ht="14.4" outlineLevel="1">
      <c r="A825" s="2361">
        <f>A824</f>
        <v>0</v>
      </c>
      <c r="B825" s="2514"/>
      <c r="C825" s="2511"/>
      <c r="D825" s="2512"/>
      <c r="E825" s="2520" t="s">
        <v>6207</v>
      </c>
      <c r="F825" s="2521"/>
      <c r="G825" s="2522"/>
      <c r="H825" s="2517"/>
      <c r="I825" s="2517"/>
      <c r="J825" s="2517"/>
      <c r="K825" s="2517"/>
      <c r="L825" s="2517">
        <f t="shared" si="110"/>
        <v>0</v>
      </c>
      <c r="M825" s="2517">
        <f t="shared" si="111"/>
        <v>0</v>
      </c>
      <c r="N825" s="2517">
        <f t="shared" si="112"/>
        <v>0</v>
      </c>
      <c r="O825" s="2517">
        <f t="shared" si="113"/>
        <v>0</v>
      </c>
      <c r="P825" s="2518"/>
      <c r="Q825" s="2519"/>
      <c r="R825" s="2519"/>
      <c r="S825" s="2519"/>
    </row>
    <row r="826" spans="1:20" s="2358" customFormat="1" outlineLevel="1">
      <c r="A826" s="2435" t="str">
        <f>IF(G826&lt;&gt;0,1,"")</f>
        <v/>
      </c>
      <c r="B826" s="2514" t="s">
        <v>653</v>
      </c>
      <c r="C826" s="2521"/>
      <c r="D826" s="2405">
        <v>0</v>
      </c>
      <c r="E826" s="2447" t="s">
        <v>5351</v>
      </c>
      <c r="F826" s="2405" t="s">
        <v>2254</v>
      </c>
      <c r="G826" s="2523">
        <f>G829*Q829</f>
        <v>0</v>
      </c>
      <c r="H826" s="2517">
        <v>1740</v>
      </c>
      <c r="I826" s="2517"/>
      <c r="J826" s="2517">
        <v>0</v>
      </c>
      <c r="K826" s="2517">
        <v>0</v>
      </c>
      <c r="L826" s="2517">
        <f t="shared" si="110"/>
        <v>0</v>
      </c>
      <c r="M826" s="2517">
        <f t="shared" si="111"/>
        <v>0</v>
      </c>
      <c r="N826" s="2517">
        <f t="shared" si="112"/>
        <v>0</v>
      </c>
      <c r="O826" s="2517">
        <f t="shared" si="113"/>
        <v>0</v>
      </c>
      <c r="P826" s="2518"/>
      <c r="Q826" s="2519"/>
      <c r="R826" s="2519"/>
      <c r="S826" s="2519"/>
    </row>
    <row r="827" spans="1:20" s="2358" customFormat="1" outlineLevel="1">
      <c r="A827" s="2435" t="str">
        <f>IF(G827&lt;&gt;0,1,"")</f>
        <v/>
      </c>
      <c r="B827" s="2514" t="s">
        <v>752</v>
      </c>
      <c r="C827" s="2511"/>
      <c r="D827" s="2405">
        <v>0</v>
      </c>
      <c r="E827" s="2447" t="s">
        <v>3022</v>
      </c>
      <c r="F827" s="2405" t="s">
        <v>856</v>
      </c>
      <c r="G827" s="2524">
        <f>G829*R829</f>
        <v>0</v>
      </c>
      <c r="H827" s="2517">
        <v>512000</v>
      </c>
      <c r="I827" s="2517"/>
      <c r="J827" s="2517">
        <v>0</v>
      </c>
      <c r="K827" s="2517">
        <v>0</v>
      </c>
      <c r="L827" s="2517">
        <f t="shared" si="110"/>
        <v>0</v>
      </c>
      <c r="M827" s="2517">
        <f t="shared" si="111"/>
        <v>0</v>
      </c>
      <c r="N827" s="2517">
        <f t="shared" si="112"/>
        <v>0</v>
      </c>
      <c r="O827" s="2517">
        <f t="shared" si="113"/>
        <v>0</v>
      </c>
      <c r="P827" s="2518"/>
      <c r="Q827" s="2519"/>
      <c r="R827" s="2519"/>
      <c r="S827" s="2519"/>
    </row>
    <row r="828" spans="1:20" s="2358" customFormat="1" outlineLevel="1">
      <c r="A828" s="2435" t="str">
        <f>IF(G828&lt;&gt;0,1,"")</f>
        <v/>
      </c>
      <c r="B828" s="2514" t="s">
        <v>216</v>
      </c>
      <c r="C828" s="2511"/>
      <c r="D828" s="2405">
        <v>0</v>
      </c>
      <c r="E828" s="2447" t="s">
        <v>3018</v>
      </c>
      <c r="F828" s="2405" t="s">
        <v>856</v>
      </c>
      <c r="G828" s="2524">
        <f>G829*S829</f>
        <v>0</v>
      </c>
      <c r="H828" s="2517">
        <v>335000</v>
      </c>
      <c r="I828" s="2517"/>
      <c r="J828" s="2517">
        <v>0</v>
      </c>
      <c r="K828" s="2517">
        <v>0</v>
      </c>
      <c r="L828" s="2517">
        <f t="shared" si="110"/>
        <v>0</v>
      </c>
      <c r="M828" s="2517">
        <f t="shared" si="111"/>
        <v>0</v>
      </c>
      <c r="N828" s="2517">
        <f t="shared" si="112"/>
        <v>0</v>
      </c>
      <c r="O828" s="2517">
        <f t="shared" si="113"/>
        <v>0</v>
      </c>
      <c r="P828" s="2518"/>
      <c r="Q828" s="2519"/>
      <c r="R828" s="2519"/>
      <c r="S828" s="2519"/>
    </row>
    <row r="829" spans="1:20" s="2358" customFormat="1" outlineLevel="1">
      <c r="A829" s="2435" t="str">
        <f>IF(G829&lt;&gt;0,1,"")</f>
        <v/>
      </c>
      <c r="B829" s="2514" t="s">
        <v>654</v>
      </c>
      <c r="C829" s="2521"/>
      <c r="D829" s="2405" t="s">
        <v>5533</v>
      </c>
      <c r="E829" s="2447" t="s">
        <v>5536</v>
      </c>
      <c r="F829" s="2405" t="s">
        <v>856</v>
      </c>
      <c r="G829" s="2523">
        <f>G824*(0.4*1.5-2*3.14*0.15^2)</f>
        <v>0</v>
      </c>
      <c r="H829" s="2517"/>
      <c r="I829" s="2517"/>
      <c r="J829" s="2517">
        <v>466397.5</v>
      </c>
      <c r="K829" s="2517">
        <v>0</v>
      </c>
      <c r="L829" s="2517">
        <f t="shared" si="110"/>
        <v>0</v>
      </c>
      <c r="M829" s="2517">
        <f t="shared" si="111"/>
        <v>0</v>
      </c>
      <c r="N829" s="2517">
        <f t="shared" si="112"/>
        <v>0</v>
      </c>
      <c r="O829" s="2517">
        <f t="shared" si="113"/>
        <v>0</v>
      </c>
      <c r="P829" s="2518"/>
      <c r="Q829" s="2525">
        <f>1.025*361</f>
        <v>370.02499999999998</v>
      </c>
      <c r="R829" s="2525">
        <f>1.025*0.45</f>
        <v>0.46124999999999999</v>
      </c>
      <c r="S829" s="2525">
        <f>1.025*0.866</f>
        <v>0.88764999999999994</v>
      </c>
      <c r="T829" s="2526"/>
    </row>
    <row r="830" spans="1:20" s="2358" customFormat="1" outlineLevel="1">
      <c r="A830" s="2435" t="str">
        <f>IF(G830&lt;&gt;0,1,"")</f>
        <v/>
      </c>
      <c r="B830" s="2514"/>
      <c r="C830" s="2511">
        <f>IF(G830&gt;0,C824+1,C824)</f>
        <v>0</v>
      </c>
      <c r="D830" s="2512"/>
      <c r="E830" s="2513" t="s">
        <v>3726</v>
      </c>
      <c r="F830" s="2511" t="s">
        <v>2391</v>
      </c>
      <c r="G830" s="2516">
        <f>G824</f>
        <v>0</v>
      </c>
      <c r="H830" s="2517"/>
      <c r="I830" s="2517"/>
      <c r="J830" s="2517"/>
      <c r="K830" s="2517"/>
      <c r="L830" s="2517"/>
      <c r="M830" s="2517"/>
      <c r="N830" s="2517"/>
      <c r="O830" s="2517"/>
      <c r="P830" s="2518"/>
      <c r="Q830" s="2519"/>
      <c r="R830" s="2519"/>
      <c r="S830" s="2519"/>
    </row>
    <row r="831" spans="1:20" s="2358" customFormat="1" ht="14.4" outlineLevel="1">
      <c r="A831" s="2435" t="str">
        <f>A830</f>
        <v/>
      </c>
      <c r="B831" s="2514"/>
      <c r="C831" s="2511"/>
      <c r="D831" s="2512"/>
      <c r="E831" s="2527" t="s">
        <v>6207</v>
      </c>
      <c r="F831" s="2511"/>
      <c r="G831" s="2516"/>
      <c r="H831" s="2517"/>
      <c r="I831" s="2517"/>
      <c r="J831" s="2517"/>
      <c r="K831" s="2517"/>
      <c r="L831" s="2517"/>
      <c r="M831" s="2517"/>
      <c r="N831" s="2517"/>
      <c r="O831" s="2517"/>
      <c r="P831" s="2518"/>
      <c r="Q831" s="2519"/>
      <c r="R831" s="2519"/>
      <c r="S831" s="2519"/>
    </row>
    <row r="832" spans="1:20" s="2358" customFormat="1" outlineLevel="1">
      <c r="A832" s="2435" t="str">
        <f>IF(G832&lt;&gt;0,1,"")</f>
        <v/>
      </c>
      <c r="B832" s="2514" t="s">
        <v>1492</v>
      </c>
      <c r="C832" s="2521"/>
      <c r="D832" s="2405">
        <v>0</v>
      </c>
      <c r="E832" s="2447" t="s">
        <v>3550</v>
      </c>
      <c r="F832" s="2405" t="s">
        <v>1827</v>
      </c>
      <c r="G832" s="2522">
        <f>G830*2</f>
        <v>0</v>
      </c>
      <c r="H832" s="2517">
        <v>63200</v>
      </c>
      <c r="I832" s="2517"/>
      <c r="J832" s="2517">
        <v>0</v>
      </c>
      <c r="K832" s="2517">
        <v>0</v>
      </c>
      <c r="L832" s="2517">
        <f>H832*G832</f>
        <v>0</v>
      </c>
      <c r="M832" s="2517">
        <f>I832*G832</f>
        <v>0</v>
      </c>
      <c r="N832" s="2517">
        <f>J832*G832</f>
        <v>0</v>
      </c>
      <c r="O832" s="2517">
        <f>K832*G832</f>
        <v>0</v>
      </c>
      <c r="P832" s="2518"/>
      <c r="Q832" s="2519"/>
      <c r="R832" s="2519"/>
      <c r="S832" s="2519"/>
    </row>
    <row r="833" spans="1:19" s="2358" customFormat="1" outlineLevel="1">
      <c r="A833" s="2435" t="str">
        <f>IF(G833&lt;&gt;0,1,"")</f>
        <v/>
      </c>
      <c r="B833" s="2514" t="s">
        <v>86</v>
      </c>
      <c r="C833" s="2521"/>
      <c r="D833" s="2405">
        <v>0</v>
      </c>
      <c r="E833" s="2447" t="s">
        <v>5859</v>
      </c>
      <c r="F833" s="2405" t="s">
        <v>2563</v>
      </c>
      <c r="G833" s="2522">
        <f>G830</f>
        <v>0</v>
      </c>
      <c r="H833" s="2517">
        <v>45400</v>
      </c>
      <c r="I833" s="2517"/>
      <c r="J833" s="2517">
        <v>0</v>
      </c>
      <c r="K833" s="2517">
        <v>0</v>
      </c>
      <c r="L833" s="2517">
        <f>H833*G833</f>
        <v>0</v>
      </c>
      <c r="M833" s="2517">
        <f>I833*G833</f>
        <v>0</v>
      </c>
      <c r="N833" s="2517">
        <f>J833*G833</f>
        <v>0</v>
      </c>
      <c r="O833" s="2517">
        <f>K833*G833</f>
        <v>0</v>
      </c>
      <c r="P833" s="2518"/>
      <c r="Q833" s="2519"/>
      <c r="R833" s="2519"/>
      <c r="S833" s="2519"/>
    </row>
    <row r="834" spans="1:19" s="2358" customFormat="1" outlineLevel="1">
      <c r="A834" s="2361">
        <f>IF(G834&lt;&gt;0,1,0)</f>
        <v>0</v>
      </c>
      <c r="B834" s="2383"/>
      <c r="C834" s="2395">
        <f>IF(G834&gt;0,C830+1,C830)</f>
        <v>0</v>
      </c>
      <c r="D834" s="2509"/>
      <c r="E834" s="2528" t="s">
        <v>6239</v>
      </c>
      <c r="F834" s="2506" t="s">
        <v>2391</v>
      </c>
      <c r="G834" s="2440">
        <f>G755</f>
        <v>0</v>
      </c>
      <c r="H834" s="2381"/>
      <c r="I834" s="2381"/>
      <c r="J834" s="2381"/>
      <c r="K834" s="2381"/>
      <c r="L834" s="2462">
        <f t="shared" si="110"/>
        <v>0</v>
      </c>
      <c r="M834" s="2462">
        <f t="shared" si="111"/>
        <v>0</v>
      </c>
      <c r="N834" s="2462">
        <f t="shared" si="112"/>
        <v>0</v>
      </c>
      <c r="O834" s="2463">
        <f t="shared" si="113"/>
        <v>0</v>
      </c>
      <c r="P834" s="2408"/>
    </row>
    <row r="835" spans="1:19" s="2358" customFormat="1" ht="14.4" outlineLevel="1">
      <c r="A835" s="2361">
        <f>A834</f>
        <v>0</v>
      </c>
      <c r="B835" s="2383"/>
      <c r="C835" s="2395"/>
      <c r="D835" s="2509"/>
      <c r="E835" s="2478" t="s">
        <v>6207</v>
      </c>
      <c r="F835" s="2461"/>
      <c r="G835" s="2437"/>
      <c r="H835" s="2381"/>
      <c r="I835" s="2381"/>
      <c r="J835" s="2381"/>
      <c r="K835" s="2381"/>
      <c r="L835" s="2462">
        <f t="shared" si="110"/>
        <v>0</v>
      </c>
      <c r="M835" s="2462">
        <f t="shared" si="111"/>
        <v>0</v>
      </c>
      <c r="N835" s="2462">
        <f t="shared" si="112"/>
        <v>0</v>
      </c>
      <c r="O835" s="2463">
        <f t="shared" si="113"/>
        <v>0</v>
      </c>
      <c r="P835" s="2408"/>
    </row>
    <row r="836" spans="1:19" s="2358" customFormat="1" outlineLevel="1">
      <c r="A836" s="2361">
        <f>A835</f>
        <v>0</v>
      </c>
      <c r="B836" s="2412" t="s">
        <v>697</v>
      </c>
      <c r="C836" s="2395"/>
      <c r="D836" s="2373">
        <v>0</v>
      </c>
      <c r="E836" s="2374" t="s">
        <v>5139</v>
      </c>
      <c r="F836" s="2373" t="s">
        <v>2538</v>
      </c>
      <c r="G836" s="2437">
        <f>12*G834</f>
        <v>0</v>
      </c>
      <c r="H836" s="2376">
        <v>50996</v>
      </c>
      <c r="I836" s="2376"/>
      <c r="J836" s="2376">
        <v>0</v>
      </c>
      <c r="K836" s="2376">
        <v>0</v>
      </c>
      <c r="L836" s="2462">
        <f t="shared" si="110"/>
        <v>0</v>
      </c>
      <c r="M836" s="2462">
        <f t="shared" si="111"/>
        <v>0</v>
      </c>
      <c r="N836" s="2462">
        <f t="shared" si="112"/>
        <v>0</v>
      </c>
      <c r="O836" s="2463">
        <f t="shared" si="113"/>
        <v>0</v>
      </c>
      <c r="P836" s="2408"/>
    </row>
    <row r="837" spans="1:19" s="2358" customFormat="1" outlineLevel="1">
      <c r="A837" s="2361">
        <f>A836</f>
        <v>0</v>
      </c>
      <c r="B837" s="2371" t="s">
        <v>1482</v>
      </c>
      <c r="C837" s="2395"/>
      <c r="D837" s="2373">
        <v>0</v>
      </c>
      <c r="E837" s="2374" t="s">
        <v>3810</v>
      </c>
      <c r="F837" s="2373" t="s">
        <v>2563</v>
      </c>
      <c r="G837" s="2437">
        <f>G834*3</f>
        <v>0</v>
      </c>
      <c r="H837" s="2376">
        <v>46000</v>
      </c>
      <c r="I837" s="2376"/>
      <c r="J837" s="2376">
        <v>0</v>
      </c>
      <c r="K837" s="2376">
        <v>0</v>
      </c>
      <c r="L837" s="2462">
        <f t="shared" si="110"/>
        <v>0</v>
      </c>
      <c r="M837" s="2462">
        <f t="shared" si="111"/>
        <v>0</v>
      </c>
      <c r="N837" s="2462">
        <f t="shared" si="112"/>
        <v>0</v>
      </c>
      <c r="O837" s="2463">
        <f t="shared" si="113"/>
        <v>0</v>
      </c>
      <c r="P837" s="2408"/>
    </row>
    <row r="838" spans="1:19" s="2358" customFormat="1" outlineLevel="1">
      <c r="A838" s="2361">
        <f>A837</f>
        <v>0</v>
      </c>
      <c r="B838" s="2371" t="s">
        <v>1480</v>
      </c>
      <c r="C838" s="2395"/>
      <c r="D838" s="2373"/>
      <c r="E838" s="2374" t="s">
        <v>4361</v>
      </c>
      <c r="F838" s="2373" t="s">
        <v>2563</v>
      </c>
      <c r="G838" s="2437">
        <f>G837</f>
        <v>0</v>
      </c>
      <c r="H838" s="2376">
        <v>77000</v>
      </c>
      <c r="I838" s="2376"/>
      <c r="J838" s="2376"/>
      <c r="K838" s="2376">
        <v>0</v>
      </c>
      <c r="L838" s="2462">
        <f t="shared" si="110"/>
        <v>0</v>
      </c>
      <c r="M838" s="2462">
        <f t="shared" si="111"/>
        <v>0</v>
      </c>
      <c r="N838" s="2462">
        <f t="shared" si="112"/>
        <v>0</v>
      </c>
      <c r="O838" s="2463">
        <f t="shared" si="113"/>
        <v>0</v>
      </c>
      <c r="P838" s="2408"/>
    </row>
    <row r="839" spans="1:19" s="2358" customFormat="1" outlineLevel="1">
      <c r="A839" s="2361">
        <f>IF(G839&lt;&gt;0,1,0)</f>
        <v>0</v>
      </c>
      <c r="B839" s="2433" t="s">
        <v>5766</v>
      </c>
      <c r="C839" s="2380"/>
      <c r="D839" s="2373">
        <v>0</v>
      </c>
      <c r="E839" s="2374" t="s">
        <v>4565</v>
      </c>
      <c r="F839" s="2405" t="s">
        <v>3463</v>
      </c>
      <c r="G839" s="2437"/>
      <c r="H839" s="2376">
        <v>136800</v>
      </c>
      <c r="I839" s="2376"/>
      <c r="J839" s="2376">
        <v>0</v>
      </c>
      <c r="K839" s="2376">
        <v>0</v>
      </c>
      <c r="L839" s="2382">
        <f>H839*G839</f>
        <v>0</v>
      </c>
      <c r="M839" s="2382">
        <f>I839*G839</f>
        <v>0</v>
      </c>
      <c r="N839" s="2382">
        <f>J839*G839</f>
        <v>0</v>
      </c>
      <c r="O839" s="2381">
        <f>K839*G839</f>
        <v>0</v>
      </c>
      <c r="P839" s="2408"/>
    </row>
    <row r="840" spans="1:19" s="2358" customFormat="1" outlineLevel="1">
      <c r="A840" s="2361">
        <f>IF(G840&lt;&gt;0,1,0)</f>
        <v>0</v>
      </c>
      <c r="B840" s="2371" t="s">
        <v>5761</v>
      </c>
      <c r="C840" s="2380"/>
      <c r="D840" s="2373">
        <v>0</v>
      </c>
      <c r="E840" s="2374" t="s">
        <v>5762</v>
      </c>
      <c r="F840" s="2405" t="s">
        <v>2563</v>
      </c>
      <c r="G840" s="2437">
        <f>3*G834</f>
        <v>0</v>
      </c>
      <c r="H840" s="2376">
        <v>218200</v>
      </c>
      <c r="I840" s="2376"/>
      <c r="J840" s="2376">
        <v>0</v>
      </c>
      <c r="K840" s="2376">
        <v>0</v>
      </c>
      <c r="L840" s="2382">
        <f t="shared" si="110"/>
        <v>0</v>
      </c>
      <c r="M840" s="2382">
        <f t="shared" si="111"/>
        <v>0</v>
      </c>
      <c r="N840" s="2382">
        <f t="shared" si="112"/>
        <v>0</v>
      </c>
      <c r="O840" s="2381">
        <f t="shared" si="113"/>
        <v>0</v>
      </c>
      <c r="P840" s="2408"/>
    </row>
    <row r="841" spans="1:19" s="2358" customFormat="1" outlineLevel="1">
      <c r="A841" s="2361">
        <f>IF(G841&lt;&gt;0,1,0)</f>
        <v>0</v>
      </c>
      <c r="B841" s="2371" t="s">
        <v>5767</v>
      </c>
      <c r="C841" s="2380"/>
      <c r="D841" s="2373">
        <v>0</v>
      </c>
      <c r="E841" s="2374" t="s">
        <v>5768</v>
      </c>
      <c r="F841" s="2405" t="s">
        <v>2563</v>
      </c>
      <c r="G841" s="2437">
        <f>3*G834</f>
        <v>0</v>
      </c>
      <c r="H841" s="2376">
        <v>39100</v>
      </c>
      <c r="I841" s="2376"/>
      <c r="J841" s="2376">
        <v>0</v>
      </c>
      <c r="K841" s="2376">
        <v>0</v>
      </c>
      <c r="L841" s="2382">
        <f t="shared" si="110"/>
        <v>0</v>
      </c>
      <c r="M841" s="2382">
        <f t="shared" si="111"/>
        <v>0</v>
      </c>
      <c r="N841" s="2382">
        <f t="shared" si="112"/>
        <v>0</v>
      </c>
      <c r="O841" s="2381">
        <f t="shared" si="113"/>
        <v>0</v>
      </c>
      <c r="P841" s="2408"/>
    </row>
    <row r="842" spans="1:19" s="2358" customFormat="1" outlineLevel="1">
      <c r="A842" s="2361">
        <f>IF(G842&lt;&gt;0,1,0)</f>
        <v>0</v>
      </c>
      <c r="B842" s="2371" t="s">
        <v>5769</v>
      </c>
      <c r="C842" s="2380"/>
      <c r="D842" s="2373">
        <v>0</v>
      </c>
      <c r="E842" s="2374" t="s">
        <v>5770</v>
      </c>
      <c r="F842" s="2405" t="s">
        <v>2563</v>
      </c>
      <c r="G842" s="2437">
        <f>3*G834</f>
        <v>0</v>
      </c>
      <c r="H842" s="2376">
        <v>56700</v>
      </c>
      <c r="I842" s="2376"/>
      <c r="J842" s="2376">
        <v>0</v>
      </c>
      <c r="K842" s="2376">
        <v>0</v>
      </c>
      <c r="L842" s="2382">
        <f t="shared" si="110"/>
        <v>0</v>
      </c>
      <c r="M842" s="2382">
        <f t="shared" si="111"/>
        <v>0</v>
      </c>
      <c r="N842" s="2382">
        <f t="shared" si="112"/>
        <v>0</v>
      </c>
      <c r="O842" s="2381">
        <f t="shared" si="113"/>
        <v>0</v>
      </c>
      <c r="P842" s="2408"/>
    </row>
    <row r="843" spans="1:19" s="2358" customFormat="1" outlineLevel="1">
      <c r="A843" s="2435" t="str">
        <f>IF(G843&lt;&gt;0,1,"")</f>
        <v/>
      </c>
      <c r="B843" s="2383" t="s">
        <v>6217</v>
      </c>
      <c r="C843" s="2380"/>
      <c r="D843" s="2373" t="s">
        <v>5787</v>
      </c>
      <c r="E843" s="2374" t="s">
        <v>3497</v>
      </c>
      <c r="F843" s="2373" t="s">
        <v>2563</v>
      </c>
      <c r="G843" s="2437"/>
      <c r="H843" s="2376">
        <v>9100</v>
      </c>
      <c r="I843" s="2376"/>
      <c r="J843" s="2376">
        <v>10608.955000000002</v>
      </c>
      <c r="K843" s="2376">
        <v>2777.0232475000003</v>
      </c>
      <c r="L843" s="2462">
        <f>H843*G843</f>
        <v>0</v>
      </c>
      <c r="M843" s="2462">
        <f>I843*G843</f>
        <v>0</v>
      </c>
      <c r="N843" s="2462">
        <f>J843*G843</f>
        <v>0</v>
      </c>
      <c r="O843" s="2463">
        <f>K843*G843</f>
        <v>0</v>
      </c>
      <c r="P843" s="2408"/>
    </row>
    <row r="844" spans="1:19" s="2358" customFormat="1" outlineLevel="1">
      <c r="A844" s="2435" t="str">
        <f>IF(G844&lt;&gt;0,1,"")</f>
        <v/>
      </c>
      <c r="B844" s="2383" t="s">
        <v>6252</v>
      </c>
      <c r="C844" s="2380"/>
      <c r="D844" s="2373" t="s">
        <v>5788</v>
      </c>
      <c r="E844" s="2374" t="s">
        <v>3498</v>
      </c>
      <c r="F844" s="2373" t="s">
        <v>2563</v>
      </c>
      <c r="G844" s="2437"/>
      <c r="H844" s="2376">
        <v>14000</v>
      </c>
      <c r="I844" s="2376"/>
      <c r="J844" s="2376">
        <v>16671.215</v>
      </c>
      <c r="K844" s="2376">
        <v>3332.427897</v>
      </c>
      <c r="L844" s="2462">
        <f>H844*G844</f>
        <v>0</v>
      </c>
      <c r="M844" s="2462">
        <f>I844*G844</f>
        <v>0</v>
      </c>
      <c r="N844" s="2462">
        <f>J844*G844</f>
        <v>0</v>
      </c>
      <c r="O844" s="2463">
        <f>K844*G844</f>
        <v>0</v>
      </c>
      <c r="P844" s="2408"/>
    </row>
    <row r="845" spans="1:19" s="2358" customFormat="1" outlineLevel="1">
      <c r="A845" s="2435" t="str">
        <f>IF(G845&lt;&gt;0,1,"")</f>
        <v/>
      </c>
      <c r="B845" s="2383" t="s">
        <v>6253</v>
      </c>
      <c r="C845" s="2380"/>
      <c r="D845" s="2373" t="s">
        <v>5787</v>
      </c>
      <c r="E845" s="2374" t="s">
        <v>5822</v>
      </c>
      <c r="F845" s="2373" t="s">
        <v>2563</v>
      </c>
      <c r="G845" s="2437"/>
      <c r="H845" s="2376">
        <v>0</v>
      </c>
      <c r="I845" s="2376"/>
      <c r="J845" s="2376">
        <v>8387</v>
      </c>
      <c r="K845" s="2376">
        <v>2688</v>
      </c>
      <c r="L845" s="2462">
        <f t="shared" si="110"/>
        <v>0</v>
      </c>
      <c r="M845" s="2462">
        <f t="shared" si="111"/>
        <v>0</v>
      </c>
      <c r="N845" s="2462">
        <f t="shared" si="112"/>
        <v>0</v>
      </c>
      <c r="O845" s="2463">
        <f t="shared" si="113"/>
        <v>0</v>
      </c>
      <c r="P845" s="2408"/>
    </row>
    <row r="846" spans="1:19" s="2358" customFormat="1" outlineLevel="1">
      <c r="A846" s="2435" t="str">
        <f>IF(G846&lt;&gt;0,1,"")</f>
        <v/>
      </c>
      <c r="B846" s="2383" t="s">
        <v>6254</v>
      </c>
      <c r="C846" s="2380"/>
      <c r="D846" s="2373" t="s">
        <v>5788</v>
      </c>
      <c r="E846" s="2374" t="s">
        <v>5824</v>
      </c>
      <c r="F846" s="2373" t="s">
        <v>2563</v>
      </c>
      <c r="G846" s="2437"/>
      <c r="H846" s="2376">
        <v>0</v>
      </c>
      <c r="I846" s="2376"/>
      <c r="J846" s="2376">
        <v>13179</v>
      </c>
      <c r="K846" s="2376">
        <v>3226</v>
      </c>
      <c r="L846" s="2462">
        <f>H846*G846</f>
        <v>0</v>
      </c>
      <c r="M846" s="2462">
        <f>I846*G846</f>
        <v>0</v>
      </c>
      <c r="N846" s="2462">
        <f>J846*G846</f>
        <v>0</v>
      </c>
      <c r="O846" s="2463">
        <f>K846*G846</f>
        <v>0</v>
      </c>
      <c r="P846" s="2408"/>
    </row>
    <row r="847" spans="1:19" s="2358" customFormat="1" outlineLevel="1">
      <c r="A847" s="2361">
        <f>A838</f>
        <v>0</v>
      </c>
      <c r="B847" s="2371" t="s">
        <v>1528</v>
      </c>
      <c r="C847" s="2395"/>
      <c r="D847" s="2373" t="s">
        <v>5633</v>
      </c>
      <c r="E847" s="2374" t="s">
        <v>3310</v>
      </c>
      <c r="F847" s="2373" t="s">
        <v>1827</v>
      </c>
      <c r="G847" s="2437">
        <f>G836</f>
        <v>0</v>
      </c>
      <c r="H847" s="2376">
        <v>0</v>
      </c>
      <c r="I847" s="2376"/>
      <c r="J847" s="2376">
        <v>13915</v>
      </c>
      <c r="K847" s="2376">
        <v>0</v>
      </c>
      <c r="L847" s="2462">
        <f>H847*G847</f>
        <v>0</v>
      </c>
      <c r="M847" s="2462">
        <f>I847*G847</f>
        <v>0</v>
      </c>
      <c r="N847" s="2462">
        <f>J847*G847</f>
        <v>0</v>
      </c>
      <c r="O847" s="2463">
        <f>K847*G847</f>
        <v>0</v>
      </c>
      <c r="P847" s="2408"/>
    </row>
    <row r="848" spans="1:19" s="2358" customFormat="1" outlineLevel="1">
      <c r="A848" s="2435" t="str">
        <f>IF(G848&lt;&gt;0,1,"")</f>
        <v/>
      </c>
      <c r="B848" s="2383"/>
      <c r="C848" s="2395">
        <f>IF(G848&gt;0,C834+1,C834)</f>
        <v>0</v>
      </c>
      <c r="D848" s="2509"/>
      <c r="E848" s="2529" t="s">
        <v>6255</v>
      </c>
      <c r="F848" s="2506" t="s">
        <v>2391</v>
      </c>
      <c r="G848" s="2440">
        <f>K8</f>
        <v>0</v>
      </c>
      <c r="H848" s="2381"/>
      <c r="I848" s="2381"/>
      <c r="J848" s="2381"/>
      <c r="K848" s="2381"/>
      <c r="L848" s="2462">
        <f t="shared" si="110"/>
        <v>0</v>
      </c>
      <c r="M848" s="2462">
        <f t="shared" si="111"/>
        <v>0</v>
      </c>
      <c r="N848" s="2462">
        <f t="shared" si="112"/>
        <v>0</v>
      </c>
      <c r="O848" s="2463">
        <f t="shared" si="113"/>
        <v>0</v>
      </c>
      <c r="P848" s="2408"/>
    </row>
    <row r="849" spans="1:16" s="2358" customFormat="1" ht="14.4" outlineLevel="1">
      <c r="A849" s="2361" t="str">
        <f>A848</f>
        <v/>
      </c>
      <c r="B849" s="2383"/>
      <c r="C849" s="2395"/>
      <c r="D849" s="2509"/>
      <c r="E849" s="2530" t="s">
        <v>6207</v>
      </c>
      <c r="F849" s="2506"/>
      <c r="G849" s="2440"/>
      <c r="H849" s="2381"/>
      <c r="I849" s="2381"/>
      <c r="J849" s="2381"/>
      <c r="K849" s="2381"/>
      <c r="L849" s="2462">
        <f t="shared" si="110"/>
        <v>0</v>
      </c>
      <c r="M849" s="2462">
        <f t="shared" si="111"/>
        <v>0</v>
      </c>
      <c r="N849" s="2462">
        <f t="shared" si="112"/>
        <v>0</v>
      </c>
      <c r="O849" s="2463">
        <f t="shared" si="113"/>
        <v>0</v>
      </c>
      <c r="P849" s="2408"/>
    </row>
    <row r="850" spans="1:16" s="2358" customFormat="1" ht="27.6" outlineLevel="1">
      <c r="A850" s="2435" t="str">
        <f t="shared" ref="A850:A879" si="123">IF(G850&lt;&gt;0,1,"")</f>
        <v/>
      </c>
      <c r="B850" s="2383" t="s">
        <v>32</v>
      </c>
      <c r="C850" s="2380"/>
      <c r="D850" s="2373">
        <v>0</v>
      </c>
      <c r="E850" s="2531" t="s">
        <v>6407</v>
      </c>
      <c r="F850" s="2373" t="s">
        <v>2538</v>
      </c>
      <c r="G850" s="2437">
        <f>(3*7.5+3*2)*G848</f>
        <v>0</v>
      </c>
      <c r="H850" s="2376">
        <v>236300</v>
      </c>
      <c r="I850" s="2376"/>
      <c r="J850" s="2376">
        <v>0</v>
      </c>
      <c r="K850" s="2376">
        <v>0</v>
      </c>
      <c r="L850" s="2462">
        <f t="shared" si="110"/>
        <v>0</v>
      </c>
      <c r="M850" s="2462">
        <f t="shared" si="111"/>
        <v>0</v>
      </c>
      <c r="N850" s="2462">
        <f t="shared" si="112"/>
        <v>0</v>
      </c>
      <c r="O850" s="2463">
        <f t="shared" si="113"/>
        <v>0</v>
      </c>
      <c r="P850" s="2408"/>
    </row>
    <row r="851" spans="1:16" s="2358" customFormat="1" outlineLevel="1">
      <c r="A851" s="2435" t="str">
        <f t="shared" si="123"/>
        <v/>
      </c>
      <c r="B851" s="2383" t="s">
        <v>1409</v>
      </c>
      <c r="C851" s="2380"/>
      <c r="D851" s="2373">
        <v>0</v>
      </c>
      <c r="E851" s="2374" t="s">
        <v>6408</v>
      </c>
      <c r="F851" s="2373" t="s">
        <v>2538</v>
      </c>
      <c r="G851" s="2437">
        <f>7.5*G848</f>
        <v>0</v>
      </c>
      <c r="H851" s="2376">
        <v>59600</v>
      </c>
      <c r="I851" s="2376"/>
      <c r="J851" s="2376">
        <v>0</v>
      </c>
      <c r="K851" s="2376">
        <v>0</v>
      </c>
      <c r="L851" s="2462">
        <f t="shared" si="110"/>
        <v>0</v>
      </c>
      <c r="M851" s="2462">
        <f t="shared" si="111"/>
        <v>0</v>
      </c>
      <c r="N851" s="2462">
        <f t="shared" si="112"/>
        <v>0</v>
      </c>
      <c r="O851" s="2463">
        <f t="shared" si="113"/>
        <v>0</v>
      </c>
      <c r="P851" s="2408"/>
    </row>
    <row r="852" spans="1:16" s="2358" customFormat="1" outlineLevel="1">
      <c r="A852" s="2435" t="str">
        <f t="shared" si="123"/>
        <v/>
      </c>
      <c r="B852" s="2383" t="s">
        <v>6256</v>
      </c>
      <c r="C852" s="2380"/>
      <c r="D852" s="2373">
        <v>0</v>
      </c>
      <c r="E852" s="2374" t="s">
        <v>6409</v>
      </c>
      <c r="F852" s="2373" t="s">
        <v>2538</v>
      </c>
      <c r="G852" s="2437"/>
      <c r="H852" s="2376">
        <v>119400</v>
      </c>
      <c r="I852" s="2376"/>
      <c r="J852" s="2376">
        <v>0</v>
      </c>
      <c r="K852" s="2376">
        <v>0</v>
      </c>
      <c r="L852" s="2462">
        <f>H852*G852</f>
        <v>0</v>
      </c>
      <c r="M852" s="2462">
        <f>I852*G852</f>
        <v>0</v>
      </c>
      <c r="N852" s="2462">
        <f>J852*G852</f>
        <v>0</v>
      </c>
      <c r="O852" s="2463">
        <f>K852*G852</f>
        <v>0</v>
      </c>
      <c r="P852" s="2408"/>
    </row>
    <row r="853" spans="1:16" s="2358" customFormat="1" outlineLevel="1">
      <c r="A853" s="2435" t="str">
        <f t="shared" si="123"/>
        <v/>
      </c>
      <c r="B853" s="2383" t="s">
        <v>2282</v>
      </c>
      <c r="C853" s="2380"/>
      <c r="D853" s="2373"/>
      <c r="E853" s="2374" t="s">
        <v>2794</v>
      </c>
      <c r="F853" s="2373" t="s">
        <v>2538</v>
      </c>
      <c r="G853" s="2437">
        <f>4*G848</f>
        <v>0</v>
      </c>
      <c r="H853" s="2376">
        <v>63200</v>
      </c>
      <c r="I853" s="2376"/>
      <c r="J853" s="2376">
        <v>0</v>
      </c>
      <c r="K853" s="2376">
        <v>0</v>
      </c>
      <c r="L853" s="2462">
        <f t="shared" si="110"/>
        <v>0</v>
      </c>
      <c r="M853" s="2462">
        <f t="shared" si="111"/>
        <v>0</v>
      </c>
      <c r="N853" s="2462">
        <f t="shared" si="112"/>
        <v>0</v>
      </c>
      <c r="O853" s="2463">
        <f t="shared" si="113"/>
        <v>0</v>
      </c>
      <c r="P853" s="2408"/>
    </row>
    <row r="854" spans="1:16" s="2358" customFormat="1" outlineLevel="1">
      <c r="A854" s="2435" t="str">
        <f t="shared" si="123"/>
        <v/>
      </c>
      <c r="B854" s="2383" t="s">
        <v>6257</v>
      </c>
      <c r="C854" s="2380"/>
      <c r="D854" s="2373" t="s">
        <v>5790</v>
      </c>
      <c r="E854" s="2374" t="s">
        <v>3500</v>
      </c>
      <c r="F854" s="2373" t="s">
        <v>2563</v>
      </c>
      <c r="G854" s="2437"/>
      <c r="H854" s="2376">
        <v>27000</v>
      </c>
      <c r="I854" s="2376"/>
      <c r="J854" s="2376">
        <v>27280.17</v>
      </c>
      <c r="K854" s="2376">
        <v>3887.8325465000003</v>
      </c>
      <c r="L854" s="2462">
        <f t="shared" si="110"/>
        <v>0</v>
      </c>
      <c r="M854" s="2462">
        <f t="shared" si="111"/>
        <v>0</v>
      </c>
      <c r="N854" s="2462">
        <f t="shared" si="112"/>
        <v>0</v>
      </c>
      <c r="O854" s="2463">
        <f t="shared" si="113"/>
        <v>0</v>
      </c>
      <c r="P854" s="2408"/>
    </row>
    <row r="855" spans="1:16" s="2358" customFormat="1" outlineLevel="1">
      <c r="A855" s="2435" t="str">
        <f t="shared" si="123"/>
        <v/>
      </c>
      <c r="B855" s="2383" t="s">
        <v>2149</v>
      </c>
      <c r="C855" s="2380"/>
      <c r="D855" s="2373" t="s">
        <v>5790</v>
      </c>
      <c r="E855" s="2374" t="s">
        <v>3481</v>
      </c>
      <c r="F855" s="2373" t="s">
        <v>2563</v>
      </c>
      <c r="G855" s="2437"/>
      <c r="H855" s="2376">
        <v>34000</v>
      </c>
      <c r="I855" s="2376"/>
      <c r="J855" s="2376">
        <v>27280.17</v>
      </c>
      <c r="K855" s="2376">
        <v>3887.8325465000003</v>
      </c>
      <c r="L855" s="2462">
        <f t="shared" si="110"/>
        <v>0</v>
      </c>
      <c r="M855" s="2462">
        <f t="shared" si="111"/>
        <v>0</v>
      </c>
      <c r="N855" s="2462">
        <f t="shared" si="112"/>
        <v>0</v>
      </c>
      <c r="O855" s="2463">
        <f t="shared" si="113"/>
        <v>0</v>
      </c>
      <c r="P855" s="2408"/>
    </row>
    <row r="856" spans="1:16" s="2358" customFormat="1" outlineLevel="1">
      <c r="A856" s="2435" t="str">
        <f t="shared" si="123"/>
        <v/>
      </c>
      <c r="B856" s="2383" t="s">
        <v>6216</v>
      </c>
      <c r="C856" s="2380"/>
      <c r="D856" s="2373" t="s">
        <v>5786</v>
      </c>
      <c r="E856" s="2374" t="s">
        <v>5799</v>
      </c>
      <c r="F856" s="2373" t="s">
        <v>2563</v>
      </c>
      <c r="G856" s="2437"/>
      <c r="H856" s="2376">
        <v>6500</v>
      </c>
      <c r="I856" s="2376"/>
      <c r="J856" s="2376">
        <v>6062.26</v>
      </c>
      <c r="K856" s="2376">
        <v>2777.0232475000003</v>
      </c>
      <c r="L856" s="2462">
        <f>H856*G856</f>
        <v>0</v>
      </c>
      <c r="M856" s="2462">
        <f>I856*G856</f>
        <v>0</v>
      </c>
      <c r="N856" s="2462">
        <f>J856*G856</f>
        <v>0</v>
      </c>
      <c r="O856" s="2463">
        <f>K856*G856</f>
        <v>0</v>
      </c>
      <c r="P856" s="2408"/>
    </row>
    <row r="857" spans="1:16" s="2358" customFormat="1" outlineLevel="1">
      <c r="A857" s="2435" t="str">
        <f t="shared" si="123"/>
        <v/>
      </c>
      <c r="B857" s="2383" t="s">
        <v>6258</v>
      </c>
      <c r="C857" s="2380"/>
      <c r="D857" s="2373" t="s">
        <v>5789</v>
      </c>
      <c r="E857" s="2374" t="s">
        <v>5826</v>
      </c>
      <c r="F857" s="2373" t="s">
        <v>2563</v>
      </c>
      <c r="G857" s="2437"/>
      <c r="H857" s="2376">
        <v>0</v>
      </c>
      <c r="I857" s="2376"/>
      <c r="J857" s="2376">
        <v>16773</v>
      </c>
      <c r="K857" s="2376">
        <v>3226</v>
      </c>
      <c r="L857" s="2462">
        <f>H857*G857</f>
        <v>0</v>
      </c>
      <c r="M857" s="2462">
        <f>I857*G857</f>
        <v>0</v>
      </c>
      <c r="N857" s="2462">
        <f>J857*G857</f>
        <v>0</v>
      </c>
      <c r="O857" s="2463">
        <f>K857*G857</f>
        <v>0</v>
      </c>
      <c r="P857" s="2408"/>
    </row>
    <row r="858" spans="1:16" s="2358" customFormat="1" outlineLevel="1">
      <c r="A858" s="2435" t="str">
        <f t="shared" si="123"/>
        <v/>
      </c>
      <c r="B858" s="2383" t="s">
        <v>6259</v>
      </c>
      <c r="C858" s="2380"/>
      <c r="D858" s="2373" t="s">
        <v>5790</v>
      </c>
      <c r="E858" s="2374" t="s">
        <v>5828</v>
      </c>
      <c r="F858" s="2373" t="s">
        <v>2563</v>
      </c>
      <c r="G858" s="2437"/>
      <c r="H858" s="2376">
        <v>0</v>
      </c>
      <c r="I858" s="2376"/>
      <c r="J858" s="2376">
        <v>21565</v>
      </c>
      <c r="K858" s="2376">
        <v>3764</v>
      </c>
      <c r="L858" s="2462">
        <f>H858*G858</f>
        <v>0</v>
      </c>
      <c r="M858" s="2462">
        <f>I858*G858</f>
        <v>0</v>
      </c>
      <c r="N858" s="2462">
        <f>J858*G858</f>
        <v>0</v>
      </c>
      <c r="O858" s="2463">
        <f>K858*G858</f>
        <v>0</v>
      </c>
      <c r="P858" s="2408"/>
    </row>
    <row r="859" spans="1:16" s="2358" customFormat="1" outlineLevel="1">
      <c r="A859" s="2435" t="str">
        <f t="shared" si="123"/>
        <v/>
      </c>
      <c r="B859" s="2383" t="s">
        <v>6260</v>
      </c>
      <c r="C859" s="2380"/>
      <c r="D859" s="2373" t="s">
        <v>5786</v>
      </c>
      <c r="E859" s="2374" t="s">
        <v>5820</v>
      </c>
      <c r="F859" s="2373" t="s">
        <v>2563</v>
      </c>
      <c r="G859" s="2437">
        <f>G848*1</f>
        <v>0</v>
      </c>
      <c r="H859" s="2376">
        <v>0</v>
      </c>
      <c r="I859" s="2376"/>
      <c r="J859" s="2376">
        <v>4792</v>
      </c>
      <c r="K859" s="2376">
        <v>2688</v>
      </c>
      <c r="L859" s="2462">
        <f t="shared" si="110"/>
        <v>0</v>
      </c>
      <c r="M859" s="2462">
        <f t="shared" si="111"/>
        <v>0</v>
      </c>
      <c r="N859" s="2462">
        <f t="shared" si="112"/>
        <v>0</v>
      </c>
      <c r="O859" s="2463">
        <f t="shared" si="113"/>
        <v>0</v>
      </c>
      <c r="P859" s="2408"/>
    </row>
    <row r="860" spans="1:16" s="2358" customFormat="1" outlineLevel="1">
      <c r="A860" s="2435" t="str">
        <f t="shared" si="123"/>
        <v/>
      </c>
      <c r="B860" s="2383" t="s">
        <v>13</v>
      </c>
      <c r="C860" s="2380"/>
      <c r="D860" s="2373">
        <v>0</v>
      </c>
      <c r="E860" s="2374" t="s">
        <v>2892</v>
      </c>
      <c r="F860" s="2373" t="s">
        <v>2563</v>
      </c>
      <c r="G860" s="2437"/>
      <c r="H860" s="2376">
        <v>14000</v>
      </c>
      <c r="I860" s="2376"/>
      <c r="J860" s="2376">
        <v>0</v>
      </c>
      <c r="K860" s="2376">
        <v>0</v>
      </c>
      <c r="L860" s="2462">
        <f>H860*G860</f>
        <v>0</v>
      </c>
      <c r="M860" s="2462">
        <f>I860*G860</f>
        <v>0</v>
      </c>
      <c r="N860" s="2462">
        <f>J860*G860</f>
        <v>0</v>
      </c>
      <c r="O860" s="2463">
        <f>K860*G860</f>
        <v>0</v>
      </c>
      <c r="P860" s="2408"/>
    </row>
    <row r="861" spans="1:16" s="2358" customFormat="1" outlineLevel="1">
      <c r="A861" s="2435" t="str">
        <f t="shared" si="123"/>
        <v/>
      </c>
      <c r="B861" s="2383" t="s">
        <v>13</v>
      </c>
      <c r="C861" s="2380"/>
      <c r="D861" s="2373">
        <v>0</v>
      </c>
      <c r="E861" s="2531" t="s">
        <v>2892</v>
      </c>
      <c r="F861" s="2373" t="s">
        <v>2563</v>
      </c>
      <c r="G861" s="2437"/>
      <c r="H861" s="2376">
        <v>14000</v>
      </c>
      <c r="I861" s="2376"/>
      <c r="J861" s="2376">
        <v>0</v>
      </c>
      <c r="K861" s="2376">
        <v>0</v>
      </c>
      <c r="L861" s="2462">
        <f>H861*G861</f>
        <v>0</v>
      </c>
      <c r="M861" s="2462">
        <f>I861*G861</f>
        <v>0</v>
      </c>
      <c r="N861" s="2462">
        <f>J861*G861</f>
        <v>0</v>
      </c>
      <c r="O861" s="2463">
        <f>K861*G861</f>
        <v>0</v>
      </c>
      <c r="P861" s="2408"/>
    </row>
    <row r="862" spans="1:16" s="2358" customFormat="1" outlineLevel="1">
      <c r="A862" s="2435" t="str">
        <f t="shared" si="123"/>
        <v/>
      </c>
      <c r="B862" s="2386" t="s">
        <v>672</v>
      </c>
      <c r="C862" s="2380"/>
      <c r="D862" s="2373">
        <v>0</v>
      </c>
      <c r="E862" s="2374" t="s">
        <v>5863</v>
      </c>
      <c r="F862" s="2373" t="s">
        <v>3584</v>
      </c>
      <c r="G862" s="2437"/>
      <c r="H862" s="2376">
        <v>6500</v>
      </c>
      <c r="I862" s="2381"/>
      <c r="J862" s="2376">
        <v>0</v>
      </c>
      <c r="K862" s="2376">
        <v>0</v>
      </c>
      <c r="L862" s="2462">
        <f>H862*G862</f>
        <v>0</v>
      </c>
      <c r="M862" s="2462">
        <f>I862*G862</f>
        <v>0</v>
      </c>
      <c r="N862" s="2462">
        <f>J862*G862</f>
        <v>0</v>
      </c>
      <c r="O862" s="2463">
        <f>K862*G862</f>
        <v>0</v>
      </c>
      <c r="P862" s="2408"/>
    </row>
    <row r="863" spans="1:16" s="2358" customFormat="1" outlineLevel="1">
      <c r="A863" s="2435" t="str">
        <f t="shared" si="123"/>
        <v/>
      </c>
      <c r="B863" s="2383" t="s">
        <v>93</v>
      </c>
      <c r="C863" s="2380"/>
      <c r="D863" s="2373">
        <v>0</v>
      </c>
      <c r="E863" s="2374" t="s">
        <v>3514</v>
      </c>
      <c r="F863" s="2373" t="s">
        <v>2563</v>
      </c>
      <c r="G863" s="2437"/>
      <c r="H863" s="2376">
        <v>4000</v>
      </c>
      <c r="I863" s="2376"/>
      <c r="J863" s="2376">
        <v>0</v>
      </c>
      <c r="K863" s="2376">
        <v>0</v>
      </c>
      <c r="L863" s="2462">
        <f t="shared" si="110"/>
        <v>0</v>
      </c>
      <c r="M863" s="2462">
        <f t="shared" si="111"/>
        <v>0</v>
      </c>
      <c r="N863" s="2462">
        <f t="shared" si="112"/>
        <v>0</v>
      </c>
      <c r="O863" s="2463">
        <f t="shared" si="113"/>
        <v>0</v>
      </c>
      <c r="P863" s="2408"/>
    </row>
    <row r="864" spans="1:16" s="2358" customFormat="1" outlineLevel="1">
      <c r="A864" s="2435" t="str">
        <f t="shared" si="123"/>
        <v/>
      </c>
      <c r="B864" s="2383" t="s">
        <v>93</v>
      </c>
      <c r="C864" s="2380"/>
      <c r="D864" s="2373">
        <v>0</v>
      </c>
      <c r="E864" s="2374" t="s">
        <v>3514</v>
      </c>
      <c r="F864" s="2373" t="s">
        <v>2563</v>
      </c>
      <c r="G864" s="2437"/>
      <c r="H864" s="2376">
        <v>4000</v>
      </c>
      <c r="I864" s="2376"/>
      <c r="J864" s="2376">
        <v>0</v>
      </c>
      <c r="K864" s="2376">
        <v>0</v>
      </c>
      <c r="L864" s="2462">
        <f>H864*G864</f>
        <v>0</v>
      </c>
      <c r="M864" s="2462">
        <f>I864*G864</f>
        <v>0</v>
      </c>
      <c r="N864" s="2462">
        <f>J864*G864</f>
        <v>0</v>
      </c>
      <c r="O864" s="2463">
        <f>K864*G864</f>
        <v>0</v>
      </c>
      <c r="P864" s="2408"/>
    </row>
    <row r="865" spans="1:16" s="2358" customFormat="1" outlineLevel="1">
      <c r="A865" s="2435" t="str">
        <f t="shared" si="123"/>
        <v/>
      </c>
      <c r="B865" s="2383" t="s">
        <v>1920</v>
      </c>
      <c r="C865" s="2380"/>
      <c r="D865" s="2373">
        <v>0</v>
      </c>
      <c r="E865" s="2374" t="s">
        <v>3509</v>
      </c>
      <c r="F865" s="2373" t="s">
        <v>2563</v>
      </c>
      <c r="G865" s="2437">
        <f>G859</f>
        <v>0</v>
      </c>
      <c r="H865" s="2376">
        <v>1000</v>
      </c>
      <c r="I865" s="2376"/>
      <c r="J865" s="2376">
        <v>0</v>
      </c>
      <c r="K865" s="2376">
        <v>0</v>
      </c>
      <c r="L865" s="2462">
        <f t="shared" si="110"/>
        <v>0</v>
      </c>
      <c r="M865" s="2462">
        <f t="shared" si="111"/>
        <v>0</v>
      </c>
      <c r="N865" s="2462">
        <f t="shared" si="112"/>
        <v>0</v>
      </c>
      <c r="O865" s="2463">
        <f t="shared" si="113"/>
        <v>0</v>
      </c>
      <c r="P865" s="2408"/>
    </row>
    <row r="866" spans="1:16" s="2358" customFormat="1" outlineLevel="1">
      <c r="A866" s="2435" t="str">
        <f t="shared" si="123"/>
        <v/>
      </c>
      <c r="B866" s="2433" t="s">
        <v>5864</v>
      </c>
      <c r="C866" s="2380"/>
      <c r="D866" s="2373">
        <v>0</v>
      </c>
      <c r="E866" s="2374" t="s">
        <v>5865</v>
      </c>
      <c r="F866" s="2373" t="s">
        <v>2563</v>
      </c>
      <c r="G866" s="2437"/>
      <c r="H866" s="2376">
        <v>190000</v>
      </c>
      <c r="I866" s="2376"/>
      <c r="J866" s="2376">
        <v>0</v>
      </c>
      <c r="K866" s="2376">
        <v>0</v>
      </c>
      <c r="L866" s="2462">
        <f>H866*G866</f>
        <v>0</v>
      </c>
      <c r="M866" s="2462">
        <f>I866*G866</f>
        <v>0</v>
      </c>
      <c r="N866" s="2462">
        <f>J866*G866</f>
        <v>0</v>
      </c>
      <c r="O866" s="2463">
        <f>K866*G866</f>
        <v>0</v>
      </c>
      <c r="P866" s="2408"/>
    </row>
    <row r="867" spans="1:16" s="2358" customFormat="1" outlineLevel="1">
      <c r="A867" s="2435" t="str">
        <f t="shared" si="123"/>
        <v/>
      </c>
      <c r="B867" s="2383" t="s">
        <v>1042</v>
      </c>
      <c r="C867" s="2380"/>
      <c r="D867" s="2373">
        <v>0</v>
      </c>
      <c r="E867" s="2374" t="s">
        <v>3549</v>
      </c>
      <c r="F867" s="2373" t="s">
        <v>1827</v>
      </c>
      <c r="G867" s="2437"/>
      <c r="H867" s="2376">
        <v>103700</v>
      </c>
      <c r="I867" s="2381"/>
      <c r="J867" s="2376">
        <v>0</v>
      </c>
      <c r="K867" s="2376">
        <v>0</v>
      </c>
      <c r="L867" s="2462">
        <f t="shared" si="110"/>
        <v>0</v>
      </c>
      <c r="M867" s="2462">
        <f t="shared" si="111"/>
        <v>0</v>
      </c>
      <c r="N867" s="2462">
        <f t="shared" si="112"/>
        <v>0</v>
      </c>
      <c r="O867" s="2463">
        <f t="shared" si="113"/>
        <v>0</v>
      </c>
      <c r="P867" s="2408"/>
    </row>
    <row r="868" spans="1:16" s="2358" customFormat="1" outlineLevel="1">
      <c r="A868" s="2435" t="str">
        <f t="shared" si="123"/>
        <v/>
      </c>
      <c r="B868" s="2433" t="s">
        <v>1744</v>
      </c>
      <c r="C868" s="2380"/>
      <c r="D868" s="2373">
        <v>0</v>
      </c>
      <c r="E868" s="2374" t="s">
        <v>5857</v>
      </c>
      <c r="F868" s="2373" t="s">
        <v>1827</v>
      </c>
      <c r="G868" s="2437"/>
      <c r="H868" s="2376">
        <v>58700</v>
      </c>
      <c r="I868" s="2381"/>
      <c r="J868" s="2376">
        <v>0</v>
      </c>
      <c r="K868" s="2376">
        <v>0</v>
      </c>
      <c r="L868" s="2462">
        <f>H868*G868</f>
        <v>0</v>
      </c>
      <c r="M868" s="2462">
        <f>I868*G868</f>
        <v>0</v>
      </c>
      <c r="N868" s="2462">
        <f>J868*G868</f>
        <v>0</v>
      </c>
      <c r="O868" s="2463">
        <f>K868*G868</f>
        <v>0</v>
      </c>
      <c r="P868" s="2408"/>
    </row>
    <row r="869" spans="1:16" s="2358" customFormat="1" outlineLevel="1">
      <c r="A869" s="2435" t="str">
        <f t="shared" si="123"/>
        <v/>
      </c>
      <c r="B869" s="2433" t="s">
        <v>1968</v>
      </c>
      <c r="C869" s="2380"/>
      <c r="D869" s="2373">
        <v>0</v>
      </c>
      <c r="E869" s="2374" t="s">
        <v>3593</v>
      </c>
      <c r="F869" s="2373" t="s">
        <v>2563</v>
      </c>
      <c r="G869" s="2437"/>
      <c r="H869" s="2376">
        <v>41900</v>
      </c>
      <c r="I869" s="2381"/>
      <c r="J869" s="2376">
        <v>0</v>
      </c>
      <c r="K869" s="2376">
        <v>0</v>
      </c>
      <c r="L869" s="2462">
        <f>H869*G869</f>
        <v>0</v>
      </c>
      <c r="M869" s="2462">
        <f>I869*G869</f>
        <v>0</v>
      </c>
      <c r="N869" s="2462">
        <f>J869*G869</f>
        <v>0</v>
      </c>
      <c r="O869" s="2463">
        <f>K869*G869</f>
        <v>0</v>
      </c>
      <c r="P869" s="2408"/>
    </row>
    <row r="870" spans="1:16" s="2358" customFormat="1" outlineLevel="1">
      <c r="A870" s="2435" t="str">
        <f t="shared" si="123"/>
        <v/>
      </c>
      <c r="B870" s="2433" t="s">
        <v>1969</v>
      </c>
      <c r="C870" s="2380"/>
      <c r="D870" s="2373">
        <v>0</v>
      </c>
      <c r="E870" s="2374" t="s">
        <v>3597</v>
      </c>
      <c r="F870" s="2373" t="s">
        <v>2563</v>
      </c>
      <c r="G870" s="2437"/>
      <c r="H870" s="2376">
        <v>41900</v>
      </c>
      <c r="I870" s="2381"/>
      <c r="J870" s="2376">
        <v>0</v>
      </c>
      <c r="K870" s="2376">
        <v>0</v>
      </c>
      <c r="L870" s="2462">
        <f>H870*G870</f>
        <v>0</v>
      </c>
      <c r="M870" s="2462">
        <f>I870*G870</f>
        <v>0</v>
      </c>
      <c r="N870" s="2462">
        <f>J870*G870</f>
        <v>0</v>
      </c>
      <c r="O870" s="2463">
        <f>K870*G870</f>
        <v>0</v>
      </c>
      <c r="P870" s="2408"/>
    </row>
    <row r="871" spans="1:16" s="2358" customFormat="1" outlineLevel="1">
      <c r="A871" s="2435" t="str">
        <f t="shared" si="123"/>
        <v/>
      </c>
      <c r="B871" s="2386" t="s">
        <v>1866</v>
      </c>
      <c r="C871" s="2380"/>
      <c r="D871" s="2373">
        <v>0</v>
      </c>
      <c r="E871" s="2374" t="s">
        <v>5319</v>
      </c>
      <c r="F871" s="2373" t="s">
        <v>2445</v>
      </c>
      <c r="G871" s="2437"/>
      <c r="H871" s="2376">
        <v>50000</v>
      </c>
      <c r="I871" s="2381"/>
      <c r="J871" s="2376">
        <v>0</v>
      </c>
      <c r="K871" s="2376">
        <v>0</v>
      </c>
      <c r="L871" s="2462">
        <f t="shared" si="110"/>
        <v>0</v>
      </c>
      <c r="M871" s="2462">
        <f t="shared" si="111"/>
        <v>0</v>
      </c>
      <c r="N871" s="2462">
        <f t="shared" si="112"/>
        <v>0</v>
      </c>
      <c r="O871" s="2463">
        <f t="shared" si="113"/>
        <v>0</v>
      </c>
      <c r="P871" s="2408"/>
    </row>
    <row r="872" spans="1:16" s="2358" customFormat="1" outlineLevel="1">
      <c r="A872" s="2435" t="str">
        <f t="shared" si="123"/>
        <v/>
      </c>
      <c r="B872" s="2383" t="s">
        <v>1868</v>
      </c>
      <c r="C872" s="2380"/>
      <c r="D872" s="2373">
        <v>0</v>
      </c>
      <c r="E872" s="2374" t="s">
        <v>3567</v>
      </c>
      <c r="F872" s="2373" t="s">
        <v>2563</v>
      </c>
      <c r="G872" s="2437"/>
      <c r="H872" s="2376">
        <v>104800</v>
      </c>
      <c r="I872" s="2381"/>
      <c r="J872" s="2376">
        <v>0</v>
      </c>
      <c r="K872" s="2376">
        <v>0</v>
      </c>
      <c r="L872" s="2462">
        <f t="shared" si="110"/>
        <v>0</v>
      </c>
      <c r="M872" s="2462">
        <f t="shared" si="111"/>
        <v>0</v>
      </c>
      <c r="N872" s="2462">
        <f t="shared" si="112"/>
        <v>0</v>
      </c>
      <c r="O872" s="2463">
        <f t="shared" si="113"/>
        <v>0</v>
      </c>
      <c r="P872" s="2408"/>
    </row>
    <row r="873" spans="1:16" s="2358" customFormat="1" outlineLevel="1">
      <c r="A873" s="2435" t="str">
        <f t="shared" si="123"/>
        <v/>
      </c>
      <c r="B873" s="2383" t="s">
        <v>725</v>
      </c>
      <c r="C873" s="2380"/>
      <c r="D873" s="2373">
        <v>0</v>
      </c>
      <c r="E873" s="2374" t="s">
        <v>3573</v>
      </c>
      <c r="F873" s="2373" t="s">
        <v>2563</v>
      </c>
      <c r="G873" s="2461">
        <f>G848*0</f>
        <v>0</v>
      </c>
      <c r="H873" s="2376">
        <v>12400</v>
      </c>
      <c r="I873" s="2381"/>
      <c r="J873" s="2376">
        <v>0</v>
      </c>
      <c r="K873" s="2376">
        <v>0</v>
      </c>
      <c r="L873" s="2462">
        <f>H873*G873</f>
        <v>0</v>
      </c>
      <c r="M873" s="2462">
        <f>I873*G873</f>
        <v>0</v>
      </c>
      <c r="N873" s="2462">
        <f>J873*G873</f>
        <v>0</v>
      </c>
      <c r="O873" s="2463">
        <f>K873*G873</f>
        <v>0</v>
      </c>
      <c r="P873" s="2408"/>
    </row>
    <row r="874" spans="1:16" s="2358" customFormat="1" outlineLevel="1">
      <c r="A874" s="2435" t="str">
        <f t="shared" si="123"/>
        <v/>
      </c>
      <c r="B874" s="2383" t="s">
        <v>419</v>
      </c>
      <c r="C874" s="2380"/>
      <c r="D874" s="2373">
        <v>0</v>
      </c>
      <c r="E874" s="2374" t="s">
        <v>3588</v>
      </c>
      <c r="F874" s="2373" t="s">
        <v>3589</v>
      </c>
      <c r="G874" s="2437"/>
      <c r="H874" s="2376">
        <v>11500</v>
      </c>
      <c r="I874" s="2381"/>
      <c r="J874" s="2376">
        <v>0</v>
      </c>
      <c r="K874" s="2376">
        <v>0</v>
      </c>
      <c r="L874" s="2462">
        <f t="shared" si="110"/>
        <v>0</v>
      </c>
      <c r="M874" s="2462">
        <f t="shared" si="111"/>
        <v>0</v>
      </c>
      <c r="N874" s="2462">
        <f t="shared" si="112"/>
        <v>0</v>
      </c>
      <c r="O874" s="2463">
        <f t="shared" si="113"/>
        <v>0</v>
      </c>
      <c r="P874" s="2408"/>
    </row>
    <row r="875" spans="1:16" s="2358" customFormat="1" outlineLevel="1">
      <c r="A875" s="2435" t="str">
        <f t="shared" si="123"/>
        <v/>
      </c>
      <c r="B875" s="2383" t="s">
        <v>1179</v>
      </c>
      <c r="C875" s="2380"/>
      <c r="D875" s="2373">
        <v>0</v>
      </c>
      <c r="E875" s="2374" t="s">
        <v>3585</v>
      </c>
      <c r="F875" s="2373" t="s">
        <v>5868</v>
      </c>
      <c r="G875" s="2437"/>
      <c r="H875" s="2376">
        <v>45000</v>
      </c>
      <c r="I875" s="2381"/>
      <c r="J875" s="2376">
        <v>0</v>
      </c>
      <c r="K875" s="2376">
        <v>0</v>
      </c>
      <c r="L875" s="2462">
        <f>H875*G875</f>
        <v>0</v>
      </c>
      <c r="M875" s="2462">
        <f>I875*G875</f>
        <v>0</v>
      </c>
      <c r="N875" s="2462">
        <f>J875*G875</f>
        <v>0</v>
      </c>
      <c r="O875" s="2463">
        <f>K875*G875</f>
        <v>0</v>
      </c>
      <c r="P875" s="2408"/>
    </row>
    <row r="876" spans="1:16" s="2358" customFormat="1" outlineLevel="1">
      <c r="A876" s="2435" t="str">
        <f t="shared" si="123"/>
        <v/>
      </c>
      <c r="B876" s="2383" t="s">
        <v>1867</v>
      </c>
      <c r="C876" s="2380"/>
      <c r="D876" s="2373" t="s">
        <v>5610</v>
      </c>
      <c r="E876" s="2374" t="s">
        <v>3271</v>
      </c>
      <c r="F876" s="2373" t="s">
        <v>2538</v>
      </c>
      <c r="G876" s="2437"/>
      <c r="H876" s="2376"/>
      <c r="I876" s="2381"/>
      <c r="J876" s="2376">
        <v>65150.03</v>
      </c>
      <c r="K876" s="2376">
        <v>0</v>
      </c>
      <c r="L876" s="2382">
        <f t="shared" si="110"/>
        <v>0</v>
      </c>
      <c r="M876" s="2382">
        <f t="shared" si="111"/>
        <v>0</v>
      </c>
      <c r="N876" s="2382">
        <f t="shared" si="112"/>
        <v>0</v>
      </c>
      <c r="O876" s="2381">
        <f t="shared" si="113"/>
        <v>0</v>
      </c>
      <c r="P876" s="2408"/>
    </row>
    <row r="877" spans="1:16" s="2358" customFormat="1" outlineLevel="1">
      <c r="A877" s="2435" t="str">
        <f t="shared" si="123"/>
        <v/>
      </c>
      <c r="B877" s="2386" t="s">
        <v>1528</v>
      </c>
      <c r="C877" s="2380"/>
      <c r="D877" s="2373" t="s">
        <v>5633</v>
      </c>
      <c r="E877" s="2374" t="s">
        <v>3310</v>
      </c>
      <c r="F877" s="2373" t="s">
        <v>1827</v>
      </c>
      <c r="G877" s="2437">
        <f>G851+G850</f>
        <v>0</v>
      </c>
      <c r="H877" s="2376"/>
      <c r="I877" s="2381"/>
      <c r="J877" s="2376">
        <v>13915</v>
      </c>
      <c r="K877" s="2376">
        <v>0</v>
      </c>
      <c r="L877" s="2382">
        <f>H877*G877</f>
        <v>0</v>
      </c>
      <c r="M877" s="2382">
        <f>I877*G877</f>
        <v>0</v>
      </c>
      <c r="N877" s="2382">
        <f>J877*G877</f>
        <v>0</v>
      </c>
      <c r="O877" s="2381">
        <f>K877*G877</f>
        <v>0</v>
      </c>
      <c r="P877" s="2408"/>
    </row>
    <row r="878" spans="1:16" s="2358" customFormat="1" outlineLevel="1">
      <c r="A878" s="2435" t="str">
        <f t="shared" si="123"/>
        <v/>
      </c>
      <c r="B878" s="2386" t="s">
        <v>6261</v>
      </c>
      <c r="C878" s="2380"/>
      <c r="D878" s="2373" t="s">
        <v>5555</v>
      </c>
      <c r="E878" s="2374" t="s">
        <v>5563</v>
      </c>
      <c r="F878" s="2373" t="s">
        <v>2042</v>
      </c>
      <c r="G878" s="2437">
        <f>G852/1000</f>
        <v>0</v>
      </c>
      <c r="H878" s="2376"/>
      <c r="I878" s="2381"/>
      <c r="J878" s="2376">
        <v>9637980</v>
      </c>
      <c r="K878" s="2376">
        <v>0</v>
      </c>
      <c r="L878" s="2382">
        <f>H878*G878</f>
        <v>0</v>
      </c>
      <c r="M878" s="2382">
        <f>I878*G878</f>
        <v>0</v>
      </c>
      <c r="N878" s="2382">
        <f>J878*G878</f>
        <v>0</v>
      </c>
      <c r="O878" s="2381">
        <f>K878*G878</f>
        <v>0</v>
      </c>
      <c r="P878" s="2408"/>
    </row>
    <row r="879" spans="1:16" s="2541" customFormat="1" outlineLevel="1">
      <c r="A879" s="2532" t="str">
        <f t="shared" si="123"/>
        <v/>
      </c>
      <c r="B879" s="2533" t="s">
        <v>289</v>
      </c>
      <c r="C879" s="2413">
        <f>IF(G879&gt;0,C848+1,C848)</f>
        <v>0</v>
      </c>
      <c r="D879" s="2534"/>
      <c r="E879" s="2535" t="s">
        <v>5774</v>
      </c>
      <c r="F879" s="2536" t="s">
        <v>2563</v>
      </c>
      <c r="G879" s="2441">
        <f>G788</f>
        <v>0</v>
      </c>
      <c r="H879" s="2537">
        <v>300000</v>
      </c>
      <c r="I879" s="2538"/>
      <c r="J879" s="2537">
        <v>0</v>
      </c>
      <c r="K879" s="2537">
        <v>0</v>
      </c>
      <c r="L879" s="2539">
        <f>H879*G879</f>
        <v>0</v>
      </c>
      <c r="M879" s="2539">
        <f>I879*G879</f>
        <v>0</v>
      </c>
      <c r="N879" s="2539">
        <f>J879*G879</f>
        <v>0</v>
      </c>
      <c r="O879" s="2540">
        <f>K879*G879</f>
        <v>0</v>
      </c>
      <c r="P879" s="2424"/>
    </row>
    <row r="880" spans="1:16" s="2358" customFormat="1" outlineLevel="1">
      <c r="A880" s="2435"/>
      <c r="B880" s="2383"/>
      <c r="C880" s="2413">
        <f>C879+1</f>
        <v>1</v>
      </c>
      <c r="D880" s="2542"/>
      <c r="E880" s="2535" t="s">
        <v>6262</v>
      </c>
      <c r="F880" s="2373"/>
      <c r="G880" s="2543"/>
      <c r="H880" s="2376"/>
      <c r="I880" s="2416"/>
      <c r="J880" s="2376"/>
      <c r="K880" s="2376"/>
      <c r="L880" s="2544"/>
      <c r="M880" s="2544"/>
      <c r="N880" s="2544"/>
      <c r="O880" s="2545"/>
      <c r="P880" s="2408"/>
    </row>
    <row r="881" spans="1:16" s="2358" customFormat="1" outlineLevel="1">
      <c r="A881" s="2435" t="str">
        <f t="shared" ref="A881:A887" si="124">IF(G881&lt;&gt;0,1,"")</f>
        <v/>
      </c>
      <c r="B881" s="2546" t="s">
        <v>5261</v>
      </c>
      <c r="C881" s="2413"/>
      <c r="D881" s="2542"/>
      <c r="E881" s="2547" t="s">
        <v>4797</v>
      </c>
      <c r="F881" s="2373" t="s">
        <v>2563</v>
      </c>
      <c r="G881" s="2437"/>
      <c r="H881" s="2376">
        <v>50000</v>
      </c>
      <c r="I881" s="2416"/>
      <c r="J881" s="2376">
        <v>0</v>
      </c>
      <c r="K881" s="2376">
        <v>0</v>
      </c>
      <c r="L881" s="2544">
        <f t="shared" ref="L881:L887" si="125">H881*G881</f>
        <v>0</v>
      </c>
      <c r="M881" s="2544">
        <f t="shared" ref="M881:M887" si="126">I881*G881</f>
        <v>0</v>
      </c>
      <c r="N881" s="2544">
        <f t="shared" ref="N881:N887" si="127">J881*G881</f>
        <v>0</v>
      </c>
      <c r="O881" s="2545">
        <f t="shared" ref="O881:O887" si="128">K881*G881</f>
        <v>0</v>
      </c>
      <c r="P881" s="2408"/>
    </row>
    <row r="882" spans="1:16" s="2358" customFormat="1" outlineLevel="1">
      <c r="A882" s="2435" t="str">
        <f t="shared" si="124"/>
        <v/>
      </c>
      <c r="B882" s="2548" t="s">
        <v>6263</v>
      </c>
      <c r="C882" s="2413"/>
      <c r="D882" s="2542"/>
      <c r="E882" s="2374" t="s">
        <v>5127</v>
      </c>
      <c r="F882" s="2373" t="s">
        <v>2445</v>
      </c>
      <c r="G882" s="2437"/>
      <c r="H882" s="2376">
        <v>30200</v>
      </c>
      <c r="I882" s="2416"/>
      <c r="J882" s="2376">
        <v>0</v>
      </c>
      <c r="K882" s="2376">
        <v>0</v>
      </c>
      <c r="L882" s="2544">
        <f t="shared" si="125"/>
        <v>0</v>
      </c>
      <c r="M882" s="2544">
        <f t="shared" si="126"/>
        <v>0</v>
      </c>
      <c r="N882" s="2544">
        <f t="shared" si="127"/>
        <v>0</v>
      </c>
      <c r="O882" s="2545">
        <f t="shared" si="128"/>
        <v>0</v>
      </c>
      <c r="P882" s="2408"/>
    </row>
    <row r="883" spans="1:16" s="2358" customFormat="1" outlineLevel="1">
      <c r="A883" s="2435" t="str">
        <f t="shared" si="124"/>
        <v/>
      </c>
      <c r="B883" s="2525" t="s">
        <v>5289</v>
      </c>
      <c r="C883" s="2413"/>
      <c r="D883" s="2542"/>
      <c r="E883" s="2374" t="s">
        <v>5290</v>
      </c>
      <c r="F883" s="2373" t="s">
        <v>5235</v>
      </c>
      <c r="G883" s="2437"/>
      <c r="H883" s="2376">
        <v>86065.309080000006</v>
      </c>
      <c r="I883" s="2416"/>
      <c r="J883" s="2376">
        <v>0</v>
      </c>
      <c r="K883" s="2376">
        <v>0</v>
      </c>
      <c r="L883" s="2544">
        <f t="shared" si="125"/>
        <v>0</v>
      </c>
      <c r="M883" s="2544">
        <f t="shared" si="126"/>
        <v>0</v>
      </c>
      <c r="N883" s="2544">
        <f t="shared" si="127"/>
        <v>0</v>
      </c>
      <c r="O883" s="2545">
        <f t="shared" si="128"/>
        <v>0</v>
      </c>
      <c r="P883" s="2408"/>
    </row>
    <row r="884" spans="1:16" s="2358" customFormat="1" outlineLevel="1">
      <c r="A884" s="2435" t="str">
        <f t="shared" si="124"/>
        <v/>
      </c>
      <c r="B884" s="2546" t="s">
        <v>5261</v>
      </c>
      <c r="C884" s="2413"/>
      <c r="D884" s="2542"/>
      <c r="E884" s="2547" t="s">
        <v>4797</v>
      </c>
      <c r="F884" s="2373" t="s">
        <v>2563</v>
      </c>
      <c r="G884" s="2437"/>
      <c r="H884" s="2376">
        <v>50000</v>
      </c>
      <c r="I884" s="2416"/>
      <c r="J884" s="2376">
        <v>0</v>
      </c>
      <c r="K884" s="2376">
        <v>0</v>
      </c>
      <c r="L884" s="2544">
        <f t="shared" si="125"/>
        <v>0</v>
      </c>
      <c r="M884" s="2544">
        <f t="shared" si="126"/>
        <v>0</v>
      </c>
      <c r="N884" s="2544">
        <f t="shared" si="127"/>
        <v>0</v>
      </c>
      <c r="O884" s="2545">
        <f t="shared" si="128"/>
        <v>0</v>
      </c>
      <c r="P884" s="2408"/>
    </row>
    <row r="885" spans="1:16" s="2358" customFormat="1" outlineLevel="1">
      <c r="A885" s="2435" t="str">
        <f t="shared" si="124"/>
        <v/>
      </c>
      <c r="B885" s="2548" t="s">
        <v>525</v>
      </c>
      <c r="C885" s="2413"/>
      <c r="D885" s="2542"/>
      <c r="E885" s="2374" t="s">
        <v>5313</v>
      </c>
      <c r="F885" s="2373" t="s">
        <v>2445</v>
      </c>
      <c r="G885" s="2437"/>
      <c r="H885" s="2376">
        <v>43000</v>
      </c>
      <c r="I885" s="2416"/>
      <c r="J885" s="2376">
        <v>0</v>
      </c>
      <c r="K885" s="2376">
        <v>0</v>
      </c>
      <c r="L885" s="2544">
        <f t="shared" si="125"/>
        <v>0</v>
      </c>
      <c r="M885" s="2544">
        <f t="shared" si="126"/>
        <v>0</v>
      </c>
      <c r="N885" s="2544">
        <f t="shared" si="127"/>
        <v>0</v>
      </c>
      <c r="O885" s="2545">
        <f t="shared" si="128"/>
        <v>0</v>
      </c>
      <c r="P885" s="2408"/>
    </row>
    <row r="886" spans="1:16" s="2358" customFormat="1" outlineLevel="1">
      <c r="A886" s="2435" t="str">
        <f t="shared" si="124"/>
        <v/>
      </c>
      <c r="B886" s="2525" t="s">
        <v>5289</v>
      </c>
      <c r="C886" s="2413"/>
      <c r="D886" s="2542"/>
      <c r="E886" s="2374" t="s">
        <v>5290</v>
      </c>
      <c r="F886" s="2373" t="s">
        <v>5235</v>
      </c>
      <c r="G886" s="2437"/>
      <c r="H886" s="2376">
        <v>86065.309080000006</v>
      </c>
      <c r="I886" s="2416"/>
      <c r="J886" s="2376">
        <v>0</v>
      </c>
      <c r="K886" s="2376">
        <v>0</v>
      </c>
      <c r="L886" s="2544">
        <f t="shared" si="125"/>
        <v>0</v>
      </c>
      <c r="M886" s="2544">
        <f t="shared" si="126"/>
        <v>0</v>
      </c>
      <c r="N886" s="2544">
        <f t="shared" si="127"/>
        <v>0</v>
      </c>
      <c r="O886" s="2545">
        <f t="shared" si="128"/>
        <v>0</v>
      </c>
      <c r="P886" s="2408"/>
    </row>
    <row r="887" spans="1:16" s="2358" customFormat="1" ht="27.6" outlineLevel="1">
      <c r="A887" s="2435" t="str">
        <f t="shared" si="124"/>
        <v/>
      </c>
      <c r="B887" s="2383" t="s">
        <v>36</v>
      </c>
      <c r="C887" s="2413"/>
      <c r="D887" s="2542"/>
      <c r="E887" s="2531" t="s">
        <v>6410</v>
      </c>
      <c r="F887" s="2373" t="s">
        <v>2563</v>
      </c>
      <c r="G887" s="2437"/>
      <c r="H887" s="2376">
        <v>13000</v>
      </c>
      <c r="I887" s="2416"/>
      <c r="J887" s="2376">
        <v>0</v>
      </c>
      <c r="K887" s="2376">
        <v>0</v>
      </c>
      <c r="L887" s="2544">
        <f t="shared" si="125"/>
        <v>0</v>
      </c>
      <c r="M887" s="2544">
        <f t="shared" si="126"/>
        <v>0</v>
      </c>
      <c r="N887" s="2544">
        <f t="shared" si="127"/>
        <v>0</v>
      </c>
      <c r="O887" s="2545">
        <f t="shared" si="128"/>
        <v>0</v>
      </c>
      <c r="P887" s="2408"/>
    </row>
    <row r="888" spans="1:16" s="2358" customFormat="1" outlineLevel="1">
      <c r="A888" s="2435"/>
      <c r="B888" s="2383"/>
      <c r="C888" s="2413">
        <f>C880+1</f>
        <v>2</v>
      </c>
      <c r="D888" s="2542"/>
      <c r="E888" s="2535" t="s">
        <v>6264</v>
      </c>
      <c r="F888" s="2373"/>
      <c r="G888" s="2543"/>
      <c r="H888" s="2376"/>
      <c r="I888" s="2416"/>
      <c r="J888" s="2376"/>
      <c r="K888" s="2376"/>
      <c r="L888" s="2544"/>
      <c r="M888" s="2544"/>
      <c r="N888" s="2544"/>
      <c r="O888" s="2545"/>
      <c r="P888" s="2408"/>
    </row>
    <row r="889" spans="1:16" s="2358" customFormat="1" outlineLevel="1">
      <c r="A889" s="2435" t="str">
        <f t="shared" ref="A889:A899" si="129">IF(G889&lt;&gt;0,1,"")</f>
        <v/>
      </c>
      <c r="B889" s="2549" t="s">
        <v>1601</v>
      </c>
      <c r="C889" s="2413"/>
      <c r="D889" s="2542"/>
      <c r="E889" s="2547" t="s">
        <v>2904</v>
      </c>
      <c r="F889" s="2373" t="s">
        <v>2563</v>
      </c>
      <c r="G889" s="2437"/>
      <c r="H889" s="2376">
        <v>17000</v>
      </c>
      <c r="I889" s="2416"/>
      <c r="J889" s="2376">
        <v>0</v>
      </c>
      <c r="K889" s="2376">
        <v>0</v>
      </c>
      <c r="L889" s="2544">
        <f t="shared" ref="L889:L899" si="130">H889*G889</f>
        <v>0</v>
      </c>
      <c r="M889" s="2544">
        <f t="shared" ref="M889:M899" si="131">I889*G889</f>
        <v>0</v>
      </c>
      <c r="N889" s="2544">
        <f t="shared" ref="N889:N899" si="132">J889*G889</f>
        <v>0</v>
      </c>
      <c r="O889" s="2545">
        <f t="shared" ref="O889:O899" si="133">K889*G889</f>
        <v>0</v>
      </c>
      <c r="P889" s="2408"/>
    </row>
    <row r="890" spans="1:16" s="2358" customFormat="1" outlineLevel="1">
      <c r="A890" s="2435" t="str">
        <f t="shared" si="129"/>
        <v/>
      </c>
      <c r="B890" s="2386" t="s">
        <v>278</v>
      </c>
      <c r="C890" s="2413"/>
      <c r="D890" s="2542"/>
      <c r="E890" s="2374" t="s">
        <v>2950</v>
      </c>
      <c r="F890" s="2373" t="s">
        <v>2445</v>
      </c>
      <c r="G890" s="2437"/>
      <c r="H890" s="2376">
        <v>147000</v>
      </c>
      <c r="I890" s="2416"/>
      <c r="J890" s="2376">
        <v>0</v>
      </c>
      <c r="K890" s="2376">
        <v>0</v>
      </c>
      <c r="L890" s="2544">
        <f t="shared" si="130"/>
        <v>0</v>
      </c>
      <c r="M890" s="2544">
        <f t="shared" si="131"/>
        <v>0</v>
      </c>
      <c r="N890" s="2544">
        <f t="shared" si="132"/>
        <v>0</v>
      </c>
      <c r="O890" s="2545">
        <f t="shared" si="133"/>
        <v>0</v>
      </c>
      <c r="P890" s="2408"/>
    </row>
    <row r="891" spans="1:16" s="2358" customFormat="1" outlineLevel="1">
      <c r="A891" s="2435" t="str">
        <f t="shared" si="129"/>
        <v/>
      </c>
      <c r="B891" s="2386" t="s">
        <v>1571</v>
      </c>
      <c r="C891" s="2413"/>
      <c r="D891" s="2542"/>
      <c r="E891" s="2374" t="s">
        <v>5288</v>
      </c>
      <c r="F891" s="2373" t="s">
        <v>2445</v>
      </c>
      <c r="G891" s="2437"/>
      <c r="H891" s="2376">
        <v>35000</v>
      </c>
      <c r="I891" s="2416"/>
      <c r="J891" s="2376">
        <v>0</v>
      </c>
      <c r="K891" s="2376">
        <v>0</v>
      </c>
      <c r="L891" s="2544">
        <f>H891*G891</f>
        <v>0</v>
      </c>
      <c r="M891" s="2544">
        <f>I891*G891</f>
        <v>0</v>
      </c>
      <c r="N891" s="2544">
        <f>J891*G891</f>
        <v>0</v>
      </c>
      <c r="O891" s="2545">
        <f>K891*G891</f>
        <v>0</v>
      </c>
      <c r="P891" s="2408"/>
    </row>
    <row r="892" spans="1:16" s="2358" customFormat="1" outlineLevel="1">
      <c r="A892" s="2435" t="str">
        <f t="shared" si="129"/>
        <v/>
      </c>
      <c r="B892" s="2386" t="s">
        <v>6223</v>
      </c>
      <c r="C892" s="2413"/>
      <c r="D892" s="2542"/>
      <c r="E892" s="2374" t="s">
        <v>2653</v>
      </c>
      <c r="F892" s="2373" t="s">
        <v>2445</v>
      </c>
      <c r="G892" s="2437"/>
      <c r="H892" s="2376">
        <v>13400</v>
      </c>
      <c r="I892" s="2416"/>
      <c r="J892" s="2376">
        <v>0</v>
      </c>
      <c r="K892" s="2376">
        <v>0</v>
      </c>
      <c r="L892" s="2544">
        <f>H892*G892</f>
        <v>0</v>
      </c>
      <c r="M892" s="2544">
        <f>I892*G892</f>
        <v>0</v>
      </c>
      <c r="N892" s="2544">
        <f>J892*G892</f>
        <v>0</v>
      </c>
      <c r="O892" s="2545">
        <f>K892*G892</f>
        <v>0</v>
      </c>
      <c r="P892" s="2408"/>
    </row>
    <row r="893" spans="1:16" s="2358" customFormat="1" outlineLevel="1">
      <c r="A893" s="2435" t="str">
        <f t="shared" si="129"/>
        <v/>
      </c>
      <c r="B893" s="2386" t="s">
        <v>6265</v>
      </c>
      <c r="C893" s="2413"/>
      <c r="D893" s="2542"/>
      <c r="E893" s="2374" t="s">
        <v>5312</v>
      </c>
      <c r="F893" s="2373" t="s">
        <v>2445</v>
      </c>
      <c r="G893" s="2437"/>
      <c r="H893" s="2376">
        <v>43000</v>
      </c>
      <c r="I893" s="2416"/>
      <c r="J893" s="2376">
        <v>0</v>
      </c>
      <c r="K893" s="2376">
        <v>0</v>
      </c>
      <c r="L893" s="2544">
        <f>H893*G893</f>
        <v>0</v>
      </c>
      <c r="M893" s="2544">
        <f>I893*G893</f>
        <v>0</v>
      </c>
      <c r="N893" s="2544">
        <f>J893*G893</f>
        <v>0</v>
      </c>
      <c r="O893" s="2545">
        <f>K893*G893</f>
        <v>0</v>
      </c>
      <c r="P893" s="2408"/>
    </row>
    <row r="894" spans="1:16" s="2358" customFormat="1" outlineLevel="1">
      <c r="A894" s="2435" t="str">
        <f t="shared" si="129"/>
        <v/>
      </c>
      <c r="B894" s="2383" t="s">
        <v>211</v>
      </c>
      <c r="C894" s="2413"/>
      <c r="D894" s="2542"/>
      <c r="E894" s="2374" t="s">
        <v>2777</v>
      </c>
      <c r="F894" s="2373" t="s">
        <v>2538</v>
      </c>
      <c r="G894" s="2437"/>
      <c r="H894" s="2376">
        <v>20200</v>
      </c>
      <c r="I894" s="2416"/>
      <c r="J894" s="2376">
        <v>0</v>
      </c>
      <c r="K894" s="2376">
        <v>0</v>
      </c>
      <c r="L894" s="2544">
        <f>H894*G894</f>
        <v>0</v>
      </c>
      <c r="M894" s="2544">
        <f>I894*G894</f>
        <v>0</v>
      </c>
      <c r="N894" s="2544">
        <f>J894*G894</f>
        <v>0</v>
      </c>
      <c r="O894" s="2545">
        <f>K894*G894</f>
        <v>0</v>
      </c>
      <c r="P894" s="2408"/>
    </row>
    <row r="895" spans="1:16" s="2358" customFormat="1" outlineLevel="1">
      <c r="A895" s="2435" t="str">
        <f t="shared" si="129"/>
        <v/>
      </c>
      <c r="B895" s="2550" t="s">
        <v>523</v>
      </c>
      <c r="C895" s="2413"/>
      <c r="D895" s="2542"/>
      <c r="E895" s="2374" t="s">
        <v>2936</v>
      </c>
      <c r="F895" s="2373" t="s">
        <v>2563</v>
      </c>
      <c r="G895" s="2437"/>
      <c r="H895" s="2376">
        <v>18000</v>
      </c>
      <c r="I895" s="2416"/>
      <c r="J895" s="2376">
        <v>0</v>
      </c>
      <c r="K895" s="2376">
        <v>0</v>
      </c>
      <c r="L895" s="2544">
        <f t="shared" si="130"/>
        <v>0</v>
      </c>
      <c r="M895" s="2544">
        <f t="shared" si="131"/>
        <v>0</v>
      </c>
      <c r="N895" s="2544">
        <f t="shared" si="132"/>
        <v>0</v>
      </c>
      <c r="O895" s="2545">
        <f t="shared" si="133"/>
        <v>0</v>
      </c>
      <c r="P895" s="2408"/>
    </row>
    <row r="896" spans="1:16" s="2358" customFormat="1" outlineLevel="1">
      <c r="A896" s="2435" t="str">
        <f t="shared" si="129"/>
        <v/>
      </c>
      <c r="B896" s="2383" t="s">
        <v>672</v>
      </c>
      <c r="C896" s="2413"/>
      <c r="D896" s="2542"/>
      <c r="E896" s="2374" t="s">
        <v>5863</v>
      </c>
      <c r="F896" s="2373" t="s">
        <v>3584</v>
      </c>
      <c r="G896" s="2437"/>
      <c r="H896" s="2376">
        <v>6500</v>
      </c>
      <c r="I896" s="2416"/>
      <c r="J896" s="2376">
        <v>0</v>
      </c>
      <c r="K896" s="2376">
        <v>0</v>
      </c>
      <c r="L896" s="2544">
        <f t="shared" si="130"/>
        <v>0</v>
      </c>
      <c r="M896" s="2544">
        <f t="shared" si="131"/>
        <v>0</v>
      </c>
      <c r="N896" s="2544">
        <f t="shared" si="132"/>
        <v>0</v>
      </c>
      <c r="O896" s="2545">
        <f t="shared" si="133"/>
        <v>0</v>
      </c>
      <c r="P896" s="2408"/>
    </row>
    <row r="897" spans="1:16" s="2358" customFormat="1" outlineLevel="1">
      <c r="A897" s="2435" t="str">
        <f t="shared" si="129"/>
        <v/>
      </c>
      <c r="B897" s="2386" t="s">
        <v>689</v>
      </c>
      <c r="C897" s="2413"/>
      <c r="D897" s="2373" t="s">
        <v>5631</v>
      </c>
      <c r="E897" s="2374" t="s">
        <v>3299</v>
      </c>
      <c r="F897" s="2373" t="s">
        <v>2445</v>
      </c>
      <c r="G897" s="2437"/>
      <c r="H897" s="2376">
        <v>0</v>
      </c>
      <c r="I897" s="2416"/>
      <c r="J897" s="2376">
        <v>112115</v>
      </c>
      <c r="K897" s="2376">
        <v>0</v>
      </c>
      <c r="L897" s="2544">
        <f>H897*G897</f>
        <v>0</v>
      </c>
      <c r="M897" s="2544">
        <f>I897*G897</f>
        <v>0</v>
      </c>
      <c r="N897" s="2544">
        <f>J897*G897</f>
        <v>0</v>
      </c>
      <c r="O897" s="2545">
        <f>K897*G897</f>
        <v>0</v>
      </c>
      <c r="P897" s="2408"/>
    </row>
    <row r="898" spans="1:16" s="2358" customFormat="1" outlineLevel="1">
      <c r="A898" s="2435" t="str">
        <f t="shared" si="129"/>
        <v/>
      </c>
      <c r="B898" s="2386" t="s">
        <v>452</v>
      </c>
      <c r="C898" s="2413"/>
      <c r="D898" s="2373" t="s">
        <v>5630</v>
      </c>
      <c r="E898" s="2374" t="s">
        <v>3298</v>
      </c>
      <c r="F898" s="2373" t="s">
        <v>2445</v>
      </c>
      <c r="G898" s="2437"/>
      <c r="H898" s="2376">
        <v>0</v>
      </c>
      <c r="I898" s="2416"/>
      <c r="J898" s="2376">
        <v>79500</v>
      </c>
      <c r="K898" s="2376">
        <v>0</v>
      </c>
      <c r="L898" s="2544">
        <f t="shared" si="130"/>
        <v>0</v>
      </c>
      <c r="M898" s="2544">
        <f t="shared" si="131"/>
        <v>0</v>
      </c>
      <c r="N898" s="2544">
        <f t="shared" si="132"/>
        <v>0</v>
      </c>
      <c r="O898" s="2545">
        <f t="shared" si="133"/>
        <v>0</v>
      </c>
      <c r="P898" s="2408"/>
    </row>
    <row r="899" spans="1:16" s="2358" customFormat="1" outlineLevel="1">
      <c r="A899" s="2435" t="str">
        <f t="shared" si="129"/>
        <v/>
      </c>
      <c r="B899" s="2386" t="s">
        <v>1899</v>
      </c>
      <c r="C899" s="2413"/>
      <c r="D899" s="2373" t="s">
        <v>5629</v>
      </c>
      <c r="E899" s="2374" t="s">
        <v>3296</v>
      </c>
      <c r="F899" s="2373" t="s">
        <v>2445</v>
      </c>
      <c r="G899" s="2437"/>
      <c r="H899" s="2376">
        <v>115</v>
      </c>
      <c r="I899" s="2416"/>
      <c r="J899" s="2376">
        <v>15471.9</v>
      </c>
      <c r="K899" s="2376">
        <v>0</v>
      </c>
      <c r="L899" s="2544">
        <f t="shared" si="130"/>
        <v>0</v>
      </c>
      <c r="M899" s="2544">
        <f t="shared" si="131"/>
        <v>0</v>
      </c>
      <c r="N899" s="2544">
        <f t="shared" si="132"/>
        <v>0</v>
      </c>
      <c r="O899" s="2545">
        <f t="shared" si="133"/>
        <v>0</v>
      </c>
      <c r="P899" s="2408"/>
    </row>
    <row r="900" spans="1:16" s="2358" customFormat="1" outlineLevel="1">
      <c r="A900" s="2361"/>
      <c r="B900" s="2465"/>
      <c r="C900" s="2388"/>
      <c r="D900" s="2389"/>
      <c r="E900" s="2470"/>
      <c r="F900" s="2882"/>
      <c r="G900" s="2882"/>
      <c r="H900" s="2882"/>
      <c r="I900" s="2882"/>
      <c r="J900" s="2910" t="s">
        <v>6205</v>
      </c>
      <c r="K900" s="2910"/>
      <c r="L900" s="2551">
        <f>SUM(L757:M899)</f>
        <v>0</v>
      </c>
      <c r="M900" s="2551"/>
      <c r="N900" s="2551">
        <f>SUM(N757:O899)</f>
        <v>296544.75</v>
      </c>
      <c r="O900" s="2551">
        <f>SUM(O757:P899)</f>
        <v>0</v>
      </c>
      <c r="P900" s="2552"/>
    </row>
    <row r="901" spans="1:16" s="2358" customFormat="1" outlineLevel="1">
      <c r="A901" s="2402" t="str">
        <f>IF(G907&lt;&gt;0,1,"")</f>
        <v/>
      </c>
      <c r="B901" s="2465"/>
      <c r="C901" s="2402"/>
      <c r="D901" s="2553"/>
      <c r="E901" s="2554"/>
      <c r="F901" s="2883"/>
      <c r="G901" s="2883"/>
      <c r="H901" s="2883"/>
      <c r="I901" s="2883"/>
      <c r="J901" s="2554"/>
      <c r="K901" s="2554"/>
      <c r="L901" s="2555"/>
      <c r="M901" s="2555"/>
      <c r="N901" s="2555"/>
      <c r="O901" s="2555"/>
    </row>
    <row r="902" spans="1:16" s="2358" customFormat="1" outlineLevel="1">
      <c r="A902" s="2402"/>
      <c r="B902" s="2465"/>
      <c r="C902" s="2402"/>
      <c r="D902" s="2553"/>
      <c r="E902" s="2397" t="s">
        <v>6266</v>
      </c>
      <c r="F902" s="2883"/>
      <c r="G902" s="2883"/>
      <c r="H902" s="2883"/>
      <c r="I902" s="2883"/>
      <c r="J902" s="2554"/>
      <c r="K902" s="2554"/>
      <c r="L902" s="2555"/>
      <c r="M902" s="2555"/>
      <c r="N902" s="2555"/>
      <c r="O902" s="2555"/>
    </row>
    <row r="903" spans="1:16" s="2358" customFormat="1" outlineLevel="1">
      <c r="A903" s="2402" t="str">
        <f>A901</f>
        <v/>
      </c>
      <c r="B903" s="2556"/>
      <c r="C903" s="2877" t="str">
        <f>"BẢNG TỔNG HỢP VẬT LIỆU, NHÂN CÔNG, MÁY THI CÔNG: "&amp;K9&amp;" TRẠM 3P_3x50KVA"</f>
        <v>BẢNG TỔNG HỢP VẬT LIỆU, NHÂN CÔNG, MÁY THI CÔNG: 0 TRẠM 3P_3x50KVA</v>
      </c>
      <c r="D903" s="2877"/>
      <c r="E903" s="2877"/>
      <c r="F903" s="2877"/>
      <c r="G903" s="2877"/>
      <c r="H903" s="2877"/>
      <c r="I903" s="2877"/>
      <c r="J903" s="2877"/>
      <c r="K903" s="2877"/>
      <c r="L903" s="2877"/>
      <c r="M903" s="2877"/>
      <c r="N903" s="2877"/>
      <c r="O903" s="2877"/>
    </row>
    <row r="904" spans="1:16" s="2358" customFormat="1" outlineLevel="1">
      <c r="A904" s="2361" t="str">
        <f>A903</f>
        <v/>
      </c>
      <c r="B904" s="2383" t="s">
        <v>6186</v>
      </c>
      <c r="C904" s="2901" t="s">
        <v>1712</v>
      </c>
      <c r="D904" s="2902" t="s">
        <v>2605</v>
      </c>
      <c r="E904" s="2904" t="s">
        <v>2606</v>
      </c>
      <c r="F904" s="2901" t="s">
        <v>2601</v>
      </c>
      <c r="G904" s="2362" t="s">
        <v>6187</v>
      </c>
      <c r="H904" s="2365" t="s">
        <v>6188</v>
      </c>
      <c r="I904" s="2872"/>
      <c r="J904" s="2872"/>
      <c r="K904" s="2873"/>
      <c r="L904" s="2365" t="s">
        <v>6189</v>
      </c>
      <c r="M904" s="2872"/>
      <c r="N904" s="2872"/>
      <c r="O904" s="2873"/>
      <c r="P904" s="2901" t="s">
        <v>2607</v>
      </c>
    </row>
    <row r="905" spans="1:16" s="2358" customFormat="1" outlineLevel="1">
      <c r="A905" s="2361" t="str">
        <f>A904</f>
        <v/>
      </c>
      <c r="B905" s="2383"/>
      <c r="C905" s="2901"/>
      <c r="D905" s="2903"/>
      <c r="E905" s="2905"/>
      <c r="F905" s="2901"/>
      <c r="G905" s="2364" t="s">
        <v>2292</v>
      </c>
      <c r="H905" s="2365" t="s">
        <v>6190</v>
      </c>
      <c r="I905" s="2365" t="s">
        <v>6191</v>
      </c>
      <c r="J905" s="2365" t="s">
        <v>6192</v>
      </c>
      <c r="K905" s="2365" t="s">
        <v>6193</v>
      </c>
      <c r="L905" s="2365" t="s">
        <v>6190</v>
      </c>
      <c r="M905" s="2365" t="s">
        <v>6191</v>
      </c>
      <c r="N905" s="2365" t="s">
        <v>6192</v>
      </c>
      <c r="O905" s="2365" t="s">
        <v>6193</v>
      </c>
      <c r="P905" s="2901"/>
    </row>
    <row r="906" spans="1:16" s="2358" customFormat="1" outlineLevel="1">
      <c r="A906" s="2361" t="str">
        <f>A905</f>
        <v/>
      </c>
      <c r="B906" s="2383"/>
      <c r="C906" s="2366"/>
      <c r="D906" s="2367"/>
      <c r="E906" s="2368" t="s">
        <v>3690</v>
      </c>
      <c r="F906" s="2369"/>
      <c r="G906" s="2369"/>
      <c r="H906" s="2369"/>
      <c r="I906" s="2369"/>
      <c r="J906" s="2369"/>
      <c r="K906" s="2369"/>
      <c r="L906" s="2369"/>
      <c r="M906" s="2369"/>
      <c r="N906" s="2369"/>
      <c r="O906" s="2367"/>
      <c r="P906" s="2370"/>
    </row>
    <row r="907" spans="1:16" s="2358" customFormat="1" outlineLevel="1">
      <c r="A907" s="2361" t="str">
        <f>IF(G907&lt;&gt;0,1,"")</f>
        <v/>
      </c>
      <c r="B907" s="2371" t="str">
        <f>IF($F$8=22,"TR501","TR50")</f>
        <v>TR501</v>
      </c>
      <c r="C907" s="2372">
        <f>IF(G907&gt;0,1,0)</f>
        <v>0</v>
      </c>
      <c r="D907" s="2373" t="s">
        <v>5646</v>
      </c>
      <c r="E907" s="2374" t="s">
        <v>5649</v>
      </c>
      <c r="F907" s="2373" t="s">
        <v>3318</v>
      </c>
      <c r="G907" s="2436">
        <f>K9*3</f>
        <v>0</v>
      </c>
      <c r="H907" s="2376">
        <v>44055000</v>
      </c>
      <c r="I907" s="2376"/>
      <c r="J907" s="2376">
        <v>630187</v>
      </c>
      <c r="K907" s="2376">
        <v>284508</v>
      </c>
      <c r="L907" s="2557">
        <f t="shared" ref="L907:L914" si="134">H907*G907</f>
        <v>0</v>
      </c>
      <c r="M907" s="2557">
        <f t="shared" ref="M907:M913" si="135">I907*G907</f>
        <v>0</v>
      </c>
      <c r="N907" s="2557">
        <f t="shared" ref="N907:N913" si="136">J907*G907</f>
        <v>0</v>
      </c>
      <c r="O907" s="2558">
        <f t="shared" ref="O907:O913" si="137">K907*G907</f>
        <v>0</v>
      </c>
      <c r="P907" s="2422"/>
    </row>
    <row r="908" spans="1:16" s="2358" customFormat="1" outlineLevel="1">
      <c r="A908" s="2361" t="str">
        <f t="shared" ref="A908:A914" si="138">IF(G908&lt;&gt;0,1,"")</f>
        <v/>
      </c>
      <c r="B908" s="2371" t="str">
        <f>"FCO100-"&amp;$F$8</f>
        <v>FCO100-22</v>
      </c>
      <c r="C908" s="2372">
        <f t="shared" ref="C908:C914" si="139">IF(G908&gt;0,C907+1,C907)</f>
        <v>0</v>
      </c>
      <c r="D908" s="2373" t="s">
        <v>5660</v>
      </c>
      <c r="E908" s="2374" t="s">
        <v>95</v>
      </c>
      <c r="F908" s="2373" t="s">
        <v>2563</v>
      </c>
      <c r="G908" s="2437">
        <f>+G907</f>
        <v>0</v>
      </c>
      <c r="H908" s="2376">
        <v>2244280</v>
      </c>
      <c r="I908" s="2376"/>
      <c r="J908" s="2376">
        <v>222639.99999999997</v>
      </c>
      <c r="K908" s="2376">
        <v>0</v>
      </c>
      <c r="L908" s="2557">
        <f t="shared" si="134"/>
        <v>0</v>
      </c>
      <c r="M908" s="2557">
        <f t="shared" si="135"/>
        <v>0</v>
      </c>
      <c r="N908" s="2557">
        <f t="shared" si="136"/>
        <v>0</v>
      </c>
      <c r="O908" s="2558">
        <f t="shared" si="137"/>
        <v>0</v>
      </c>
      <c r="P908" s="2408"/>
    </row>
    <row r="909" spans="1:16" s="2358" customFormat="1" outlineLevel="1">
      <c r="A909" s="2361" t="str">
        <f t="shared" si="138"/>
        <v/>
      </c>
      <c r="B909" s="2383" t="s">
        <v>26</v>
      </c>
      <c r="C909" s="2372">
        <f t="shared" si="139"/>
        <v>0</v>
      </c>
      <c r="D909" s="2373">
        <v>0</v>
      </c>
      <c r="E909" s="2374" t="s">
        <v>3441</v>
      </c>
      <c r="F909" s="2373" t="s">
        <v>2608</v>
      </c>
      <c r="G909" s="2437">
        <f>G908</f>
        <v>0</v>
      </c>
      <c r="H909" s="2376">
        <v>84000</v>
      </c>
      <c r="I909" s="2376"/>
      <c r="J909" s="2376">
        <v>0</v>
      </c>
      <c r="K909" s="2376">
        <v>0</v>
      </c>
      <c r="L909" s="2557">
        <f t="shared" si="134"/>
        <v>0</v>
      </c>
      <c r="M909" s="2557">
        <f t="shared" si="135"/>
        <v>0</v>
      </c>
      <c r="N909" s="2557">
        <f t="shared" si="136"/>
        <v>0</v>
      </c>
      <c r="O909" s="2558">
        <f t="shared" si="137"/>
        <v>0</v>
      </c>
      <c r="P909" s="2408"/>
    </row>
    <row r="910" spans="1:16" s="2358" customFormat="1" outlineLevel="1">
      <c r="A910" s="2361" t="str">
        <f t="shared" si="138"/>
        <v/>
      </c>
      <c r="B910" s="2383" t="str">
        <f>IF($F$6=12,"LA12","LA18")</f>
        <v>LA18</v>
      </c>
      <c r="C910" s="2372">
        <f t="shared" si="139"/>
        <v>0</v>
      </c>
      <c r="D910" s="2373" t="s">
        <v>5664</v>
      </c>
      <c r="E910" s="2374" t="s">
        <v>1193</v>
      </c>
      <c r="F910" s="2373" t="s">
        <v>2563</v>
      </c>
      <c r="G910" s="2437">
        <f>G908</f>
        <v>0</v>
      </c>
      <c r="H910" s="2376">
        <v>1106000</v>
      </c>
      <c r="I910" s="2376"/>
      <c r="J910" s="2376">
        <v>83490</v>
      </c>
      <c r="K910" s="2376">
        <v>0</v>
      </c>
      <c r="L910" s="2557">
        <f t="shared" si="134"/>
        <v>0</v>
      </c>
      <c r="M910" s="2557">
        <f t="shared" si="135"/>
        <v>0</v>
      </c>
      <c r="N910" s="2557">
        <f t="shared" si="136"/>
        <v>0</v>
      </c>
      <c r="O910" s="2558">
        <f t="shared" si="137"/>
        <v>0</v>
      </c>
      <c r="P910" s="2408"/>
    </row>
    <row r="911" spans="1:16" s="2358" customFormat="1" outlineLevel="1">
      <c r="A911" s="2361" t="str">
        <f t="shared" si="138"/>
        <v/>
      </c>
      <c r="B911" s="2371" t="s">
        <v>710</v>
      </c>
      <c r="C911" s="2372">
        <f t="shared" si="139"/>
        <v>0</v>
      </c>
      <c r="D911" s="2373">
        <v>0</v>
      </c>
      <c r="E911" s="2374" t="s">
        <v>5744</v>
      </c>
      <c r="F911" s="2373" t="s">
        <v>2563</v>
      </c>
      <c r="G911" s="2559">
        <f>G907/3</f>
        <v>0</v>
      </c>
      <c r="H911" s="2376">
        <v>4990000</v>
      </c>
      <c r="I911" s="2376"/>
      <c r="J911" s="2376"/>
      <c r="K911" s="2376">
        <v>0</v>
      </c>
      <c r="L911" s="2382">
        <f t="shared" si="134"/>
        <v>0</v>
      </c>
      <c r="M911" s="2557">
        <f t="shared" si="135"/>
        <v>0</v>
      </c>
      <c r="N911" s="2557">
        <f t="shared" si="136"/>
        <v>0</v>
      </c>
      <c r="O911" s="2558">
        <f t="shared" si="137"/>
        <v>0</v>
      </c>
      <c r="P911" s="2408"/>
    </row>
    <row r="912" spans="1:16" s="2358" customFormat="1" outlineLevel="1">
      <c r="A912" s="2361" t="str">
        <f>IF(G912&lt;&gt;0,1,"")</f>
        <v/>
      </c>
      <c r="B912" s="2371" t="s">
        <v>2198</v>
      </c>
      <c r="C912" s="2372">
        <f t="shared" si="139"/>
        <v>0</v>
      </c>
      <c r="D912" s="2373" t="s">
        <v>1025</v>
      </c>
      <c r="E912" s="2374" t="s">
        <v>3401</v>
      </c>
      <c r="F912" s="2373" t="s">
        <v>3388</v>
      </c>
      <c r="G912" s="2560">
        <f>+G911*0</f>
        <v>0</v>
      </c>
      <c r="H912" s="2376">
        <v>9797887</v>
      </c>
      <c r="I912" s="2376"/>
      <c r="J912" s="2376">
        <v>98101</v>
      </c>
      <c r="K912" s="2376">
        <v>59254</v>
      </c>
      <c r="L912" s="2382">
        <f>H912*G912</f>
        <v>0</v>
      </c>
      <c r="M912" s="2557">
        <f>I912*G912</f>
        <v>0</v>
      </c>
      <c r="N912" s="2557">
        <f>J912*G912</f>
        <v>0</v>
      </c>
      <c r="O912" s="2558">
        <f>K912*G912</f>
        <v>0</v>
      </c>
      <c r="P912" s="2408"/>
    </row>
    <row r="913" spans="1:18" s="2358" customFormat="1" outlineLevel="1">
      <c r="A913" s="2361" t="str">
        <f t="shared" si="138"/>
        <v/>
      </c>
      <c r="B913" s="2412" t="s">
        <v>1116</v>
      </c>
      <c r="C913" s="2372">
        <f t="shared" si="139"/>
        <v>0</v>
      </c>
      <c r="D913" s="2373">
        <v>0</v>
      </c>
      <c r="E913" s="2374" t="s">
        <v>3377</v>
      </c>
      <c r="F913" s="2373" t="s">
        <v>2563</v>
      </c>
      <c r="G913" s="2437">
        <f>G907</f>
        <v>0</v>
      </c>
      <c r="H913" s="2376">
        <v>0</v>
      </c>
      <c r="I913" s="2376"/>
      <c r="J913" s="2376">
        <v>0</v>
      </c>
      <c r="K913" s="2376">
        <v>0</v>
      </c>
      <c r="L913" s="2382">
        <f t="shared" si="134"/>
        <v>0</v>
      </c>
      <c r="M913" s="2557">
        <f t="shared" si="135"/>
        <v>0</v>
      </c>
      <c r="N913" s="2557">
        <f t="shared" si="136"/>
        <v>0</v>
      </c>
      <c r="O913" s="2558">
        <f t="shared" si="137"/>
        <v>0</v>
      </c>
      <c r="P913" s="2380" t="s">
        <v>2609</v>
      </c>
    </row>
    <row r="914" spans="1:18" s="2358" customFormat="1" outlineLevel="1">
      <c r="A914" s="2361" t="str">
        <f t="shared" si="138"/>
        <v/>
      </c>
      <c r="B914" s="2386" t="s">
        <v>288</v>
      </c>
      <c r="C914" s="2372">
        <f t="shared" si="139"/>
        <v>0</v>
      </c>
      <c r="D914" s="2373">
        <v>0</v>
      </c>
      <c r="E914" s="2374" t="s">
        <v>3459</v>
      </c>
      <c r="F914" s="2373" t="s">
        <v>2563</v>
      </c>
      <c r="G914" s="2437">
        <f>G909/3</f>
        <v>0</v>
      </c>
      <c r="H914" s="2376">
        <v>0</v>
      </c>
      <c r="I914" s="2376"/>
      <c r="J914" s="2376">
        <v>0</v>
      </c>
      <c r="K914" s="2376">
        <v>0</v>
      </c>
      <c r="L914" s="2382">
        <f t="shared" si="134"/>
        <v>0</v>
      </c>
      <c r="M914" s="2557">
        <f>I914*G914</f>
        <v>0</v>
      </c>
      <c r="N914" s="2557">
        <f>J914*G914</f>
        <v>0</v>
      </c>
      <c r="O914" s="2558">
        <f>K914*G914</f>
        <v>0</v>
      </c>
      <c r="P914" s="2380" t="s">
        <v>2609</v>
      </c>
    </row>
    <row r="915" spans="1:18" s="2358" customFormat="1" outlineLevel="1">
      <c r="A915" s="2361" t="str">
        <f>A914</f>
        <v/>
      </c>
      <c r="B915" s="2383"/>
      <c r="C915" s="2561"/>
      <c r="D915" s="2562"/>
      <c r="E915" s="2563"/>
      <c r="F915" s="2561"/>
      <c r="G915" s="2881"/>
      <c r="H915" s="2561"/>
      <c r="I915" s="2561"/>
      <c r="J915" s="2370" t="s">
        <v>6195</v>
      </c>
      <c r="K915" s="2561"/>
      <c r="L915" s="2563">
        <f>SUM(L907:L914)</f>
        <v>0</v>
      </c>
      <c r="M915" s="2563"/>
      <c r="N915" s="2563">
        <f>SUM(N907:N914)</f>
        <v>0</v>
      </c>
      <c r="O915" s="2563">
        <f>SUM(O907:O914)</f>
        <v>0</v>
      </c>
      <c r="P915" s="2552"/>
    </row>
    <row r="916" spans="1:18" s="2358" customFormat="1" outlineLevel="1">
      <c r="A916" s="2361" t="str">
        <f>A915</f>
        <v/>
      </c>
      <c r="B916" s="2383"/>
      <c r="C916" s="2564"/>
      <c r="D916" s="2565"/>
      <c r="E916" s="2566" t="s">
        <v>3691</v>
      </c>
      <c r="F916" s="2566"/>
      <c r="G916" s="2470"/>
      <c r="H916" s="2566"/>
      <c r="I916" s="2566"/>
      <c r="J916" s="2566"/>
      <c r="K916" s="2566"/>
      <c r="L916" s="2566"/>
      <c r="M916" s="2566"/>
      <c r="N916" s="2566"/>
      <c r="O916" s="2565"/>
      <c r="P916" s="2423"/>
    </row>
    <row r="917" spans="1:18" s="2358" customFormat="1" outlineLevel="1">
      <c r="A917" s="2361" t="str">
        <f>A916</f>
        <v/>
      </c>
      <c r="B917" s="2383"/>
      <c r="C917" s="2393">
        <f>IF(G917&gt;0,1,0)</f>
        <v>0</v>
      </c>
      <c r="D917" s="2567"/>
      <c r="E917" s="2568" t="s">
        <v>3710</v>
      </c>
      <c r="F917" s="2393" t="s">
        <v>2391</v>
      </c>
      <c r="G917" s="2569">
        <f>G907/3</f>
        <v>0</v>
      </c>
      <c r="H917" s="2570"/>
      <c r="I917" s="2570"/>
      <c r="J917" s="2570"/>
      <c r="K917" s="2570"/>
      <c r="L917" s="2570"/>
      <c r="M917" s="2570"/>
      <c r="N917" s="2570"/>
      <c r="O917" s="2393"/>
      <c r="P917" s="2422"/>
    </row>
    <row r="918" spans="1:18" s="2358" customFormat="1" ht="14.4" outlineLevel="1">
      <c r="A918" s="2361" t="str">
        <f>A917</f>
        <v/>
      </c>
      <c r="B918" s="2383"/>
      <c r="C918" s="2398"/>
      <c r="D918" s="2571"/>
      <c r="E918" s="2572" t="s">
        <v>6207</v>
      </c>
      <c r="F918" s="2372"/>
      <c r="G918" s="2573"/>
      <c r="H918" s="2574"/>
      <c r="I918" s="2574"/>
      <c r="J918" s="2574"/>
      <c r="K918" s="2574"/>
      <c r="L918" s="2574"/>
      <c r="M918" s="2574"/>
      <c r="N918" s="2574"/>
      <c r="O918" s="2575"/>
      <c r="P918" s="2408"/>
    </row>
    <row r="919" spans="1:18" s="2358" customFormat="1" outlineLevel="1">
      <c r="A919" s="2361" t="str">
        <f>IF(G919&lt;&gt;0,1,"")</f>
        <v/>
      </c>
      <c r="B919" s="2386" t="s">
        <v>1041</v>
      </c>
      <c r="C919" s="2398"/>
      <c r="D919" s="2373">
        <v>0</v>
      </c>
      <c r="E919" s="2374" t="s">
        <v>5779</v>
      </c>
      <c r="F919" s="2373" t="s">
        <v>3475</v>
      </c>
      <c r="G919" s="2573">
        <f>G917</f>
        <v>0</v>
      </c>
      <c r="H919" s="2376">
        <v>1540000</v>
      </c>
      <c r="I919" s="2381"/>
      <c r="J919" s="2376"/>
      <c r="K919" s="2376">
        <v>0</v>
      </c>
      <c r="L919" s="2557">
        <f t="shared" ref="L919:L973" si="140">H919*G919</f>
        <v>0</v>
      </c>
      <c r="M919" s="2557">
        <f t="shared" ref="M919:M973" si="141">I919*G919</f>
        <v>0</v>
      </c>
      <c r="N919" s="2557">
        <f t="shared" ref="N919:N973" si="142">J919*G919</f>
        <v>0</v>
      </c>
      <c r="O919" s="2558">
        <f t="shared" ref="O919:O973" si="143">K919*G919</f>
        <v>0</v>
      </c>
      <c r="P919" s="2408"/>
    </row>
    <row r="920" spans="1:18" s="2358" customFormat="1" outlineLevel="1">
      <c r="A920" s="2361" t="str">
        <f>IF(G920&lt;&gt;0,1,"")</f>
        <v/>
      </c>
      <c r="B920" s="2383" t="s">
        <v>1790</v>
      </c>
      <c r="C920" s="2398"/>
      <c r="D920" s="2373">
        <v>0</v>
      </c>
      <c r="E920" s="2374" t="s">
        <v>2647</v>
      </c>
      <c r="F920" s="2373" t="s">
        <v>2445</v>
      </c>
      <c r="G920" s="2573">
        <f>6*G917</f>
        <v>0</v>
      </c>
      <c r="H920" s="2376">
        <v>12400</v>
      </c>
      <c r="I920" s="2381"/>
      <c r="J920" s="2376">
        <v>0</v>
      </c>
      <c r="K920" s="2376">
        <v>0</v>
      </c>
      <c r="L920" s="2557">
        <f t="shared" si="140"/>
        <v>0</v>
      </c>
      <c r="M920" s="2557">
        <f t="shared" si="141"/>
        <v>0</v>
      </c>
      <c r="N920" s="2557">
        <f t="shared" si="142"/>
        <v>0</v>
      </c>
      <c r="O920" s="2558">
        <f t="shared" si="143"/>
        <v>0</v>
      </c>
      <c r="P920" s="2408"/>
    </row>
    <row r="921" spans="1:18" s="2358" customFormat="1" outlineLevel="1">
      <c r="A921" s="2361" t="str">
        <f>IF(G921&lt;&gt;0,1,"")</f>
        <v/>
      </c>
      <c r="B921" s="2383" t="s">
        <v>1613</v>
      </c>
      <c r="C921" s="2398"/>
      <c r="D921" s="2373">
        <v>0</v>
      </c>
      <c r="E921" s="2374" t="s">
        <v>2657</v>
      </c>
      <c r="F921" s="2373" t="s">
        <v>2445</v>
      </c>
      <c r="G921" s="2573">
        <f>2*G917</f>
        <v>0</v>
      </c>
      <c r="H921" s="2376">
        <v>25400</v>
      </c>
      <c r="I921" s="2381"/>
      <c r="J921" s="2376">
        <v>0</v>
      </c>
      <c r="K921" s="2376">
        <v>0</v>
      </c>
      <c r="L921" s="2557">
        <f>H921*G921</f>
        <v>0</v>
      </c>
      <c r="M921" s="2557">
        <f>I921*G921</f>
        <v>0</v>
      </c>
      <c r="N921" s="2557">
        <f>J921*G921</f>
        <v>0</v>
      </c>
      <c r="O921" s="2558">
        <f>K921*G921</f>
        <v>0</v>
      </c>
      <c r="P921" s="2408"/>
    </row>
    <row r="922" spans="1:18" s="2358" customFormat="1" outlineLevel="1">
      <c r="A922" s="2361" t="str">
        <f>IF(G922&lt;&gt;0,1,"")</f>
        <v/>
      </c>
      <c r="B922" s="2386" t="s">
        <v>5782</v>
      </c>
      <c r="C922" s="2398"/>
      <c r="D922" s="2373" t="s">
        <v>5488</v>
      </c>
      <c r="E922" s="2374" t="s">
        <v>5783</v>
      </c>
      <c r="F922" s="2373" t="s">
        <v>3475</v>
      </c>
      <c r="G922" s="2573">
        <f>45*G917</f>
        <v>0</v>
      </c>
      <c r="H922" s="2376">
        <v>0</v>
      </c>
      <c r="I922" s="2381"/>
      <c r="J922" s="2376">
        <v>2025</v>
      </c>
      <c r="K922" s="2376">
        <v>0</v>
      </c>
      <c r="L922" s="2557">
        <f t="shared" si="140"/>
        <v>0</v>
      </c>
      <c r="M922" s="2557">
        <f t="shared" si="141"/>
        <v>0</v>
      </c>
      <c r="N922" s="2557">
        <f t="shared" si="142"/>
        <v>0</v>
      </c>
      <c r="O922" s="2558">
        <f t="shared" si="143"/>
        <v>0</v>
      </c>
      <c r="P922" s="2408"/>
    </row>
    <row r="923" spans="1:18" s="2358" customFormat="1" outlineLevel="1">
      <c r="A923" s="2361">
        <f>IF(G923&lt;&gt;0,1,)</f>
        <v>0</v>
      </c>
      <c r="B923" s="2383"/>
      <c r="C923" s="2398">
        <f>IF(G923&gt;0,C917+1,C917)</f>
        <v>0</v>
      </c>
      <c r="D923" s="2399"/>
      <c r="E923" s="2400" t="s">
        <v>6212</v>
      </c>
      <c r="F923" s="2395" t="s">
        <v>2391</v>
      </c>
      <c r="G923" s="2395"/>
      <c r="H923" s="2381"/>
      <c r="I923" s="2381"/>
      <c r="J923" s="2381"/>
      <c r="K923" s="2381"/>
      <c r="L923" s="2382">
        <f t="shared" si="140"/>
        <v>0</v>
      </c>
      <c r="M923" s="2382">
        <f t="shared" si="141"/>
        <v>0</v>
      </c>
      <c r="N923" s="2382">
        <f t="shared" si="142"/>
        <v>0</v>
      </c>
      <c r="O923" s="2381">
        <f t="shared" si="143"/>
        <v>0</v>
      </c>
      <c r="P923" s="2380"/>
    </row>
    <row r="924" spans="1:18" s="2358" customFormat="1" ht="14.4" outlineLevel="1">
      <c r="A924" s="2361">
        <f>A923</f>
        <v>0</v>
      </c>
      <c r="B924" s="2383"/>
      <c r="C924" s="2395"/>
      <c r="D924" s="2399"/>
      <c r="E924" s="2401" t="s">
        <v>6207</v>
      </c>
      <c r="F924" s="2380"/>
      <c r="G924" s="2380"/>
      <c r="H924" s="2381"/>
      <c r="I924" s="2381"/>
      <c r="J924" s="2381"/>
      <c r="K924" s="2381"/>
      <c r="L924" s="2382">
        <f t="shared" si="140"/>
        <v>0</v>
      </c>
      <c r="M924" s="2382">
        <f t="shared" si="141"/>
        <v>0</v>
      </c>
      <c r="N924" s="2382">
        <f t="shared" si="142"/>
        <v>0</v>
      </c>
      <c r="O924" s="2381">
        <f t="shared" si="143"/>
        <v>0</v>
      </c>
      <c r="P924" s="2380"/>
      <c r="R924" s="2402"/>
    </row>
    <row r="925" spans="1:18" s="2358" customFormat="1" outlineLevel="1">
      <c r="A925" s="2361">
        <f>IF(G925&lt;&gt;0,1,)</f>
        <v>0</v>
      </c>
      <c r="B925" s="2386" t="s">
        <v>115</v>
      </c>
      <c r="C925" s="2380"/>
      <c r="D925" s="2373">
        <v>0</v>
      </c>
      <c r="E925" s="2374" t="s">
        <v>3009</v>
      </c>
      <c r="F925" s="2373" t="s">
        <v>2839</v>
      </c>
      <c r="G925" s="2380">
        <f>1*G923</f>
        <v>0</v>
      </c>
      <c r="H925" s="2376">
        <v>4400000</v>
      </c>
      <c r="I925" s="2376"/>
      <c r="J925" s="2376">
        <v>0</v>
      </c>
      <c r="K925" s="2376">
        <v>0</v>
      </c>
      <c r="L925" s="2382">
        <f t="shared" si="140"/>
        <v>0</v>
      </c>
      <c r="M925" s="2382">
        <f t="shared" si="141"/>
        <v>0</v>
      </c>
      <c r="N925" s="2382">
        <f t="shared" si="142"/>
        <v>0</v>
      </c>
      <c r="O925" s="2381">
        <f t="shared" si="143"/>
        <v>0</v>
      </c>
      <c r="P925" s="2380"/>
      <c r="R925" s="2402"/>
    </row>
    <row r="926" spans="1:18" s="2358" customFormat="1" outlineLevel="1">
      <c r="A926" s="2361">
        <f>IF(G926&lt;&gt;0,1,)</f>
        <v>0</v>
      </c>
      <c r="B926" s="2386" t="s">
        <v>1818</v>
      </c>
      <c r="C926" s="2380"/>
      <c r="D926" s="2403"/>
      <c r="E926" s="2374" t="s">
        <v>2838</v>
      </c>
      <c r="F926" s="2373" t="s">
        <v>2839</v>
      </c>
      <c r="G926" s="2380">
        <f>G925</f>
        <v>0</v>
      </c>
      <c r="H926" s="2376">
        <v>17400</v>
      </c>
      <c r="I926" s="2376"/>
      <c r="J926" s="2376">
        <v>0</v>
      </c>
      <c r="K926" s="2376">
        <v>0</v>
      </c>
      <c r="L926" s="2382">
        <f t="shared" si="140"/>
        <v>0</v>
      </c>
      <c r="M926" s="2382">
        <f t="shared" si="141"/>
        <v>0</v>
      </c>
      <c r="N926" s="2382">
        <f t="shared" si="142"/>
        <v>0</v>
      </c>
      <c r="O926" s="2381">
        <f t="shared" si="143"/>
        <v>0</v>
      </c>
      <c r="P926" s="2380"/>
      <c r="R926" s="2402"/>
    </row>
    <row r="927" spans="1:18" s="2358" customFormat="1" outlineLevel="1">
      <c r="A927" s="2361">
        <f>IF(G927&lt;&gt;0,1,)</f>
        <v>0</v>
      </c>
      <c r="B927" s="2386" t="s">
        <v>2132</v>
      </c>
      <c r="C927" s="2380"/>
      <c r="D927" s="2403"/>
      <c r="E927" s="2374" t="s">
        <v>3185</v>
      </c>
      <c r="F927" s="2373" t="s">
        <v>2839</v>
      </c>
      <c r="G927" s="2380">
        <f>G925</f>
        <v>0</v>
      </c>
      <c r="H927" s="2376">
        <v>0</v>
      </c>
      <c r="I927" s="2376"/>
      <c r="J927" s="2376">
        <v>112286</v>
      </c>
      <c r="K927" s="2376">
        <v>105970</v>
      </c>
      <c r="L927" s="2382">
        <f t="shared" si="140"/>
        <v>0</v>
      </c>
      <c r="M927" s="2382">
        <f t="shared" si="141"/>
        <v>0</v>
      </c>
      <c r="N927" s="2382">
        <f t="shared" si="142"/>
        <v>0</v>
      </c>
      <c r="O927" s="2381">
        <f t="shared" si="143"/>
        <v>0</v>
      </c>
      <c r="P927" s="2380"/>
      <c r="R927" s="2402"/>
    </row>
    <row r="928" spans="1:18" s="2358" customFormat="1" outlineLevel="1">
      <c r="A928" s="2361">
        <f>IF(G928&lt;&gt;0,1,)</f>
        <v>0</v>
      </c>
      <c r="B928" s="2383"/>
      <c r="C928" s="2398">
        <f>IF(G928&gt;0,C923+1,C923)</f>
        <v>0</v>
      </c>
      <c r="D928" s="2399"/>
      <c r="E928" s="2400" t="s">
        <v>2358</v>
      </c>
      <c r="F928" s="2395" t="s">
        <v>2391</v>
      </c>
      <c r="G928" s="2395">
        <f>G923</f>
        <v>0</v>
      </c>
      <c r="H928" s="2381"/>
      <c r="I928" s="2381"/>
      <c r="J928" s="2381"/>
      <c r="K928" s="2381"/>
      <c r="L928" s="2382">
        <f t="shared" si="140"/>
        <v>0</v>
      </c>
      <c r="M928" s="2382">
        <f t="shared" si="141"/>
        <v>0</v>
      </c>
      <c r="N928" s="2382">
        <f t="shared" si="142"/>
        <v>0</v>
      </c>
      <c r="O928" s="2381">
        <f t="shared" si="143"/>
        <v>0</v>
      </c>
      <c r="P928" s="2380"/>
    </row>
    <row r="929" spans="1:18" s="2358" customFormat="1" ht="14.4" outlineLevel="1">
      <c r="A929" s="2361">
        <f>A928</f>
        <v>0</v>
      </c>
      <c r="B929" s="2383"/>
      <c r="C929" s="2395"/>
      <c r="D929" s="2399"/>
      <c r="E929" s="2401" t="s">
        <v>6207</v>
      </c>
      <c r="F929" s="2380"/>
      <c r="G929" s="2380"/>
      <c r="H929" s="2381"/>
      <c r="I929" s="2381"/>
      <c r="J929" s="2381"/>
      <c r="K929" s="2381"/>
      <c r="L929" s="2382">
        <f t="shared" si="140"/>
        <v>0</v>
      </c>
      <c r="M929" s="2382">
        <f t="shared" si="141"/>
        <v>0</v>
      </c>
      <c r="N929" s="2382">
        <f t="shared" si="142"/>
        <v>0</v>
      </c>
      <c r="O929" s="2381">
        <f t="shared" si="143"/>
        <v>0</v>
      </c>
      <c r="P929" s="2380"/>
      <c r="R929" s="2402"/>
    </row>
    <row r="930" spans="1:18" s="2358" customFormat="1" outlineLevel="1">
      <c r="A930" s="2361">
        <f>IF(G930&lt;&gt;0,1,)</f>
        <v>0</v>
      </c>
      <c r="B930" s="2386" t="s">
        <v>636</v>
      </c>
      <c r="C930" s="2380"/>
      <c r="D930" s="2373" t="s">
        <v>5099</v>
      </c>
      <c r="E930" s="2374" t="s">
        <v>2615</v>
      </c>
      <c r="F930" s="2373" t="s">
        <v>2563</v>
      </c>
      <c r="G930" s="2380">
        <f>1*G928</f>
        <v>0</v>
      </c>
      <c r="H930" s="2376">
        <v>354545</v>
      </c>
      <c r="I930" s="2376"/>
      <c r="J930" s="2376">
        <v>37220.25</v>
      </c>
      <c r="K930" s="2376">
        <v>0</v>
      </c>
      <c r="L930" s="2382">
        <f t="shared" si="140"/>
        <v>0</v>
      </c>
      <c r="M930" s="2382">
        <f t="shared" si="141"/>
        <v>0</v>
      </c>
      <c r="N930" s="2382">
        <f t="shared" si="142"/>
        <v>0</v>
      </c>
      <c r="O930" s="2381">
        <f t="shared" si="143"/>
        <v>0</v>
      </c>
      <c r="P930" s="2380"/>
      <c r="R930" s="2402"/>
    </row>
    <row r="931" spans="1:18" s="2358" customFormat="1" outlineLevel="1">
      <c r="A931" s="2361">
        <f>IF(G931&lt;&gt;0,1,)</f>
        <v>0</v>
      </c>
      <c r="B931" s="2386" t="s">
        <v>566</v>
      </c>
      <c r="C931" s="2380"/>
      <c r="D931" s="2373">
        <v>0</v>
      </c>
      <c r="E931" s="2374" t="s">
        <v>5124</v>
      </c>
      <c r="F931" s="2373" t="s">
        <v>2445</v>
      </c>
      <c r="G931" s="2380">
        <f>G928</f>
        <v>0</v>
      </c>
      <c r="H931" s="2376">
        <v>92200</v>
      </c>
      <c r="I931" s="2376"/>
      <c r="J931" s="2376">
        <v>0</v>
      </c>
      <c r="K931" s="2376">
        <v>0</v>
      </c>
      <c r="L931" s="2382">
        <f t="shared" si="140"/>
        <v>0</v>
      </c>
      <c r="M931" s="2382">
        <f t="shared" si="141"/>
        <v>0</v>
      </c>
      <c r="N931" s="2382">
        <f t="shared" si="142"/>
        <v>0</v>
      </c>
      <c r="O931" s="2381">
        <f t="shared" si="143"/>
        <v>0</v>
      </c>
      <c r="P931" s="2380"/>
      <c r="R931" s="2402"/>
    </row>
    <row r="932" spans="1:18" s="2358" customFormat="1" outlineLevel="1">
      <c r="A932" s="2361">
        <f>IF(G932&lt;&gt;0,1,)</f>
        <v>0</v>
      </c>
      <c r="B932" s="2386" t="s">
        <v>639</v>
      </c>
      <c r="C932" s="2380"/>
      <c r="D932" s="2373" t="s">
        <v>1751</v>
      </c>
      <c r="E932" s="2374" t="s">
        <v>5386</v>
      </c>
      <c r="F932" s="2373" t="s">
        <v>856</v>
      </c>
      <c r="G932" s="2404">
        <f>G928*0.87</f>
        <v>0</v>
      </c>
      <c r="H932" s="2376">
        <v>0</v>
      </c>
      <c r="I932" s="2376"/>
      <c r="J932" s="2376">
        <v>296500.89999999997</v>
      </c>
      <c r="K932" s="2376">
        <v>0</v>
      </c>
      <c r="L932" s="2382">
        <f t="shared" si="140"/>
        <v>0</v>
      </c>
      <c r="M932" s="2382">
        <f t="shared" si="141"/>
        <v>0</v>
      </c>
      <c r="N932" s="2382">
        <f t="shared" si="142"/>
        <v>0</v>
      </c>
      <c r="O932" s="2381">
        <f t="shared" si="143"/>
        <v>0</v>
      </c>
      <c r="P932" s="2380"/>
      <c r="R932" s="2402"/>
    </row>
    <row r="933" spans="1:18" s="2358" customFormat="1" outlineLevel="1">
      <c r="A933" s="2361">
        <f>IF(G933&lt;&gt;0,1,)</f>
        <v>0</v>
      </c>
      <c r="B933" s="2386" t="s">
        <v>21</v>
      </c>
      <c r="C933" s="2380"/>
      <c r="D933" s="2373" t="s">
        <v>5387</v>
      </c>
      <c r="E933" s="2374" t="s">
        <v>5388</v>
      </c>
      <c r="F933" s="2373" t="s">
        <v>856</v>
      </c>
      <c r="G933" s="2404">
        <f>G928*0.79</f>
        <v>0</v>
      </c>
      <c r="H933" s="2376">
        <v>0</v>
      </c>
      <c r="I933" s="2376"/>
      <c r="J933" s="2376">
        <v>117703.6</v>
      </c>
      <c r="K933" s="2376">
        <v>0</v>
      </c>
      <c r="L933" s="2382">
        <f t="shared" si="140"/>
        <v>0</v>
      </c>
      <c r="M933" s="2382">
        <f t="shared" si="141"/>
        <v>0</v>
      </c>
      <c r="N933" s="2382">
        <f t="shared" si="142"/>
        <v>0</v>
      </c>
      <c r="O933" s="2381">
        <f t="shared" si="143"/>
        <v>0</v>
      </c>
      <c r="P933" s="2380"/>
      <c r="R933" s="2402"/>
    </row>
    <row r="934" spans="1:18" s="2358" customFormat="1" outlineLevel="1">
      <c r="A934" s="2361">
        <f>IF(G934&lt;&gt;0,1,0)</f>
        <v>0</v>
      </c>
      <c r="B934" s="2386" t="s">
        <v>6233</v>
      </c>
      <c r="C934" s="2395">
        <f>IF(G934&gt;0,C928+1,C928)</f>
        <v>0</v>
      </c>
      <c r="D934" s="2455"/>
      <c r="E934" s="2424" t="s">
        <v>6234</v>
      </c>
      <c r="F934" s="2395" t="s">
        <v>2391</v>
      </c>
      <c r="G934" s="2446">
        <f>G907/3</f>
        <v>0</v>
      </c>
      <c r="H934" s="2381"/>
      <c r="I934" s="2381"/>
      <c r="J934" s="2381"/>
      <c r="K934" s="2381"/>
      <c r="L934" s="2382">
        <f t="shared" si="140"/>
        <v>0</v>
      </c>
      <c r="M934" s="2382">
        <f t="shared" si="141"/>
        <v>0</v>
      </c>
      <c r="N934" s="2382">
        <f t="shared" si="142"/>
        <v>0</v>
      </c>
      <c r="O934" s="2381">
        <f t="shared" si="143"/>
        <v>0</v>
      </c>
      <c r="P934" s="2408"/>
    </row>
    <row r="935" spans="1:18" s="2358" customFormat="1" ht="14.4" outlineLevel="1">
      <c r="A935" s="2361">
        <f>A934</f>
        <v>0</v>
      </c>
      <c r="B935" s="2383"/>
      <c r="C935" s="2395"/>
      <c r="D935" s="2455"/>
      <c r="E935" s="2425" t="s">
        <v>6207</v>
      </c>
      <c r="F935" s="2380"/>
      <c r="G935" s="2576"/>
      <c r="H935" s="2381"/>
      <c r="I935" s="2381"/>
      <c r="J935" s="2381"/>
      <c r="K935" s="2381"/>
      <c r="L935" s="2382">
        <f t="shared" si="140"/>
        <v>0</v>
      </c>
      <c r="M935" s="2382">
        <f t="shared" si="141"/>
        <v>0</v>
      </c>
      <c r="N935" s="2382">
        <f t="shared" si="142"/>
        <v>0</v>
      </c>
      <c r="O935" s="2381">
        <f t="shared" si="143"/>
        <v>0</v>
      </c>
      <c r="P935" s="2408"/>
    </row>
    <row r="936" spans="1:18" s="2358" customFormat="1" outlineLevel="1">
      <c r="A936" s="2361">
        <f t="shared" ref="A936:A941" si="144">IF(G936&lt;&gt;0,1,0)</f>
        <v>0</v>
      </c>
      <c r="B936" s="2386" t="s">
        <v>5212</v>
      </c>
      <c r="C936" s="2395"/>
      <c r="D936" s="2373">
        <v>0</v>
      </c>
      <c r="E936" s="2374" t="s">
        <v>5213</v>
      </c>
      <c r="F936" s="2373" t="s">
        <v>2598</v>
      </c>
      <c r="G936" s="2444">
        <f>+G934</f>
        <v>0</v>
      </c>
      <c r="H936" s="2376">
        <v>960000</v>
      </c>
      <c r="I936" s="2381"/>
      <c r="J936" s="2376">
        <v>0</v>
      </c>
      <c r="K936" s="2376">
        <v>0</v>
      </c>
      <c r="L936" s="2382">
        <f t="shared" si="140"/>
        <v>0</v>
      </c>
      <c r="M936" s="2382">
        <f t="shared" si="141"/>
        <v>0</v>
      </c>
      <c r="N936" s="2382">
        <f t="shared" si="142"/>
        <v>0</v>
      </c>
      <c r="O936" s="2381">
        <f t="shared" si="143"/>
        <v>0</v>
      </c>
      <c r="P936" s="2408"/>
    </row>
    <row r="937" spans="1:18" s="2358" customFormat="1" outlineLevel="1">
      <c r="A937" s="2361">
        <f t="shared" si="144"/>
        <v>0</v>
      </c>
      <c r="B937" s="2386" t="s">
        <v>5219</v>
      </c>
      <c r="C937" s="2395"/>
      <c r="D937" s="2373">
        <v>0</v>
      </c>
      <c r="E937" s="2374" t="s">
        <v>5220</v>
      </c>
      <c r="F937" s="2373" t="s">
        <v>5221</v>
      </c>
      <c r="G937" s="2444">
        <f>+G936*2</f>
        <v>0</v>
      </c>
      <c r="H937" s="2376">
        <v>140000</v>
      </c>
      <c r="I937" s="2381"/>
      <c r="J937" s="2376">
        <v>0</v>
      </c>
      <c r="K937" s="2376">
        <v>0</v>
      </c>
      <c r="L937" s="2382">
        <f t="shared" si="140"/>
        <v>0</v>
      </c>
      <c r="M937" s="2382">
        <f t="shared" si="141"/>
        <v>0</v>
      </c>
      <c r="N937" s="2382">
        <f t="shared" si="142"/>
        <v>0</v>
      </c>
      <c r="O937" s="2381">
        <f t="shared" si="143"/>
        <v>0</v>
      </c>
      <c r="P937" s="2408"/>
    </row>
    <row r="938" spans="1:18" s="2358" customFormat="1" outlineLevel="1">
      <c r="A938" s="2361">
        <f t="shared" si="144"/>
        <v>0</v>
      </c>
      <c r="B938" s="2383" t="s">
        <v>488</v>
      </c>
      <c r="C938" s="2395"/>
      <c r="D938" s="2373">
        <v>0</v>
      </c>
      <c r="E938" s="2374" t="s">
        <v>5130</v>
      </c>
      <c r="F938" s="2373" t="s">
        <v>2445</v>
      </c>
      <c r="G938" s="2444">
        <f>G934*3</f>
        <v>0</v>
      </c>
      <c r="H938" s="2376">
        <v>65000</v>
      </c>
      <c r="I938" s="2381"/>
      <c r="J938" s="2376">
        <v>0</v>
      </c>
      <c r="K938" s="2376">
        <v>0</v>
      </c>
      <c r="L938" s="2382">
        <f t="shared" si="140"/>
        <v>0</v>
      </c>
      <c r="M938" s="2382">
        <f t="shared" si="141"/>
        <v>0</v>
      </c>
      <c r="N938" s="2382">
        <f t="shared" si="142"/>
        <v>0</v>
      </c>
      <c r="O938" s="2381">
        <f t="shared" si="143"/>
        <v>0</v>
      </c>
      <c r="P938" s="2408"/>
    </row>
    <row r="939" spans="1:18" s="2358" customFormat="1" outlineLevel="1">
      <c r="A939" s="2361">
        <f t="shared" si="144"/>
        <v>0</v>
      </c>
      <c r="B939" s="2383" t="s">
        <v>244</v>
      </c>
      <c r="C939" s="2395"/>
      <c r="D939" s="2373">
        <v>0</v>
      </c>
      <c r="E939" s="2374" t="s">
        <v>2649</v>
      </c>
      <c r="F939" s="2373" t="s">
        <v>2445</v>
      </c>
      <c r="G939" s="2444">
        <f>2*G934</f>
        <v>0</v>
      </c>
      <c r="H939" s="2376">
        <v>18900</v>
      </c>
      <c r="I939" s="2381"/>
      <c r="J939" s="2376">
        <v>0</v>
      </c>
      <c r="K939" s="2376">
        <v>0</v>
      </c>
      <c r="L939" s="2382">
        <f t="shared" si="140"/>
        <v>0</v>
      </c>
      <c r="M939" s="2382">
        <f t="shared" si="141"/>
        <v>0</v>
      </c>
      <c r="N939" s="2382">
        <f t="shared" si="142"/>
        <v>0</v>
      </c>
      <c r="O939" s="2381">
        <f t="shared" si="143"/>
        <v>0</v>
      </c>
      <c r="P939" s="2408"/>
    </row>
    <row r="940" spans="1:18" s="2358" customFormat="1" outlineLevel="1">
      <c r="A940" s="2361">
        <f t="shared" si="144"/>
        <v>0</v>
      </c>
      <c r="B940" s="2383" t="s">
        <v>1612</v>
      </c>
      <c r="C940" s="2395"/>
      <c r="D940" s="2373">
        <v>0</v>
      </c>
      <c r="E940" s="2374" t="s">
        <v>2653</v>
      </c>
      <c r="F940" s="2373" t="s">
        <v>2445</v>
      </c>
      <c r="G940" s="2444">
        <f>1*G934</f>
        <v>0</v>
      </c>
      <c r="H940" s="2376">
        <v>13400</v>
      </c>
      <c r="I940" s="2381"/>
      <c r="J940" s="2376">
        <v>0</v>
      </c>
      <c r="K940" s="2376">
        <v>0</v>
      </c>
      <c r="L940" s="2382">
        <f t="shared" si="140"/>
        <v>0</v>
      </c>
      <c r="M940" s="2382">
        <f t="shared" si="141"/>
        <v>0</v>
      </c>
      <c r="N940" s="2382">
        <f t="shared" si="142"/>
        <v>0</v>
      </c>
      <c r="O940" s="2381">
        <f t="shared" si="143"/>
        <v>0</v>
      </c>
      <c r="P940" s="2408"/>
    </row>
    <row r="941" spans="1:18" s="2358" customFormat="1" outlineLevel="1">
      <c r="A941" s="2361">
        <f t="shared" si="144"/>
        <v>0</v>
      </c>
      <c r="B941" s="2383" t="s">
        <v>1079</v>
      </c>
      <c r="C941" s="2395"/>
      <c r="D941" s="2373">
        <v>0</v>
      </c>
      <c r="E941" s="2374" t="s">
        <v>2659</v>
      </c>
      <c r="F941" s="2373" t="s">
        <v>2445</v>
      </c>
      <c r="G941" s="2444">
        <f>1*G934</f>
        <v>0</v>
      </c>
      <c r="H941" s="2376">
        <v>27900</v>
      </c>
      <c r="I941" s="2381"/>
      <c r="J941" s="2376">
        <v>0</v>
      </c>
      <c r="K941" s="2376">
        <v>0</v>
      </c>
      <c r="L941" s="2382">
        <f t="shared" si="140"/>
        <v>0</v>
      </c>
      <c r="M941" s="2382">
        <f t="shared" si="141"/>
        <v>0</v>
      </c>
      <c r="N941" s="2382">
        <f t="shared" si="142"/>
        <v>0</v>
      </c>
      <c r="O941" s="2381">
        <f t="shared" si="143"/>
        <v>0</v>
      </c>
      <c r="P941" s="2408"/>
    </row>
    <row r="942" spans="1:18" s="2358" customFormat="1" outlineLevel="1">
      <c r="A942" s="2361">
        <f>IF(G942&lt;&gt;0,1,0)</f>
        <v>0</v>
      </c>
      <c r="B942" s="2433" t="s">
        <v>5434</v>
      </c>
      <c r="C942" s="2395"/>
      <c r="D942" s="2373" t="s">
        <v>5209</v>
      </c>
      <c r="E942" s="2374" t="s">
        <v>5435</v>
      </c>
      <c r="F942" s="2373" t="s">
        <v>2445</v>
      </c>
      <c r="G942" s="2444">
        <f>G934</f>
        <v>0</v>
      </c>
      <c r="H942" s="2376">
        <v>0</v>
      </c>
      <c r="I942" s="2381"/>
      <c r="J942" s="2376" t="s">
        <v>6411</v>
      </c>
      <c r="K942" s="2376">
        <v>0</v>
      </c>
      <c r="L942" s="2382">
        <f>H942*G942</f>
        <v>0</v>
      </c>
      <c r="M942" s="2382">
        <f>I942*G942</f>
        <v>0</v>
      </c>
      <c r="N942" s="2376">
        <v>0</v>
      </c>
      <c r="O942" s="2381">
        <f>K942*G942</f>
        <v>0</v>
      </c>
      <c r="P942" s="2408"/>
    </row>
    <row r="943" spans="1:18" s="2358" customFormat="1" outlineLevel="1">
      <c r="A943" s="2361">
        <f>+IF(G943&gt;0,1,0)</f>
        <v>0</v>
      </c>
      <c r="B943" s="2383"/>
      <c r="C943" s="2398">
        <f>IF(G943&gt;0,C934+1,C934)</f>
        <v>0</v>
      </c>
      <c r="D943" s="2571"/>
      <c r="E943" s="2577" t="s">
        <v>3712</v>
      </c>
      <c r="F943" s="2398" t="s">
        <v>2391</v>
      </c>
      <c r="G943" s="2578">
        <f>+G907/3</f>
        <v>0</v>
      </c>
      <c r="H943" s="2381"/>
      <c r="I943" s="2381"/>
      <c r="J943" s="2381"/>
      <c r="K943" s="2381"/>
      <c r="L943" s="2557">
        <f t="shared" si="140"/>
        <v>0</v>
      </c>
      <c r="M943" s="2557">
        <f t="shared" si="141"/>
        <v>0</v>
      </c>
      <c r="N943" s="2557">
        <f t="shared" si="142"/>
        <v>0</v>
      </c>
      <c r="O943" s="2558">
        <f t="shared" si="143"/>
        <v>0</v>
      </c>
      <c r="P943" s="2408"/>
    </row>
    <row r="944" spans="1:18" s="2358" customFormat="1" ht="14.4" outlineLevel="1">
      <c r="A944" s="2361">
        <f>A943</f>
        <v>0</v>
      </c>
      <c r="B944" s="2383"/>
      <c r="C944" s="2398"/>
      <c r="D944" s="2571"/>
      <c r="E944" s="2572" t="s">
        <v>6207</v>
      </c>
      <c r="F944" s="2373"/>
      <c r="G944" s="2573"/>
      <c r="H944" s="2381"/>
      <c r="I944" s="2381"/>
      <c r="J944" s="2381"/>
      <c r="K944" s="2381"/>
      <c r="L944" s="2557">
        <f t="shared" si="140"/>
        <v>0</v>
      </c>
      <c r="M944" s="2557">
        <f t="shared" si="141"/>
        <v>0</v>
      </c>
      <c r="N944" s="2557">
        <f t="shared" si="142"/>
        <v>0</v>
      </c>
      <c r="O944" s="2558">
        <f t="shared" si="143"/>
        <v>0</v>
      </c>
      <c r="P944" s="2408"/>
    </row>
    <row r="945" spans="1:16" s="2358" customFormat="1" outlineLevel="1">
      <c r="A945" s="2361" t="str">
        <f t="shared" ref="A945:A956" si="145">IF(G945&lt;&gt;0,1,"")</f>
        <v/>
      </c>
      <c r="B945" s="2383" t="s">
        <v>1033</v>
      </c>
      <c r="C945" s="2372"/>
      <c r="D945" s="2373">
        <v>0</v>
      </c>
      <c r="E945" s="2374" t="s">
        <v>2708</v>
      </c>
      <c r="F945" s="2373" t="s">
        <v>2254</v>
      </c>
      <c r="G945" s="2444">
        <f>64.7*G943*0.224</f>
        <v>0</v>
      </c>
      <c r="H945" s="2376">
        <v>255500</v>
      </c>
      <c r="I945" s="2381"/>
      <c r="J945" s="2376">
        <v>0</v>
      </c>
      <c r="K945" s="2376">
        <v>0</v>
      </c>
      <c r="L945" s="2557">
        <f t="shared" si="140"/>
        <v>0</v>
      </c>
      <c r="M945" s="2557">
        <f t="shared" si="141"/>
        <v>0</v>
      </c>
      <c r="N945" s="2557">
        <f t="shared" si="142"/>
        <v>0</v>
      </c>
      <c r="O945" s="2558">
        <f t="shared" si="143"/>
        <v>0</v>
      </c>
      <c r="P945" s="2408"/>
    </row>
    <row r="946" spans="1:16" s="2358" customFormat="1" outlineLevel="1">
      <c r="A946" s="2361" t="str">
        <f t="shared" si="145"/>
        <v/>
      </c>
      <c r="B946" s="2386" t="s">
        <v>1511</v>
      </c>
      <c r="C946" s="2372"/>
      <c r="D946" s="2373">
        <v>0</v>
      </c>
      <c r="E946" s="2374" t="s">
        <v>5224</v>
      </c>
      <c r="F946" s="2373" t="s">
        <v>2445</v>
      </c>
      <c r="G946" s="2444">
        <f>12*G943</f>
        <v>0</v>
      </c>
      <c r="H946" s="2376">
        <v>160000</v>
      </c>
      <c r="I946" s="2381"/>
      <c r="J946" s="2376">
        <v>0</v>
      </c>
      <c r="K946" s="2376">
        <v>0</v>
      </c>
      <c r="L946" s="2557">
        <f t="shared" si="140"/>
        <v>0</v>
      </c>
      <c r="M946" s="2557">
        <f t="shared" si="141"/>
        <v>0</v>
      </c>
      <c r="N946" s="2557">
        <f t="shared" si="142"/>
        <v>0</v>
      </c>
      <c r="O946" s="2558">
        <f t="shared" si="143"/>
        <v>0</v>
      </c>
      <c r="P946" s="2408"/>
    </row>
    <row r="947" spans="1:16" s="2358" customFormat="1" outlineLevel="1">
      <c r="A947" s="2361" t="str">
        <f t="shared" si="145"/>
        <v/>
      </c>
      <c r="B947" s="2386" t="s">
        <v>1493</v>
      </c>
      <c r="C947" s="2380"/>
      <c r="D947" s="2373">
        <v>0</v>
      </c>
      <c r="E947" s="2374" t="s">
        <v>3554</v>
      </c>
      <c r="F947" s="2373" t="s">
        <v>1827</v>
      </c>
      <c r="G947" s="2444">
        <f>1*G943</f>
        <v>0</v>
      </c>
      <c r="H947" s="2376">
        <v>6200</v>
      </c>
      <c r="I947" s="2381"/>
      <c r="J947" s="2376">
        <v>0</v>
      </c>
      <c r="K947" s="2376">
        <v>0</v>
      </c>
      <c r="L947" s="2557">
        <f t="shared" si="140"/>
        <v>0</v>
      </c>
      <c r="M947" s="2557">
        <f t="shared" si="141"/>
        <v>0</v>
      </c>
      <c r="N947" s="2557">
        <f t="shared" si="142"/>
        <v>0</v>
      </c>
      <c r="O947" s="2558">
        <f t="shared" si="143"/>
        <v>0</v>
      </c>
      <c r="P947" s="2408"/>
    </row>
    <row r="948" spans="1:16" s="2358" customFormat="1" outlineLevel="1">
      <c r="A948" s="2361" t="str">
        <f>IF(G948&lt;&gt;0,1,"")</f>
        <v/>
      </c>
      <c r="B948" s="2386" t="s">
        <v>6224</v>
      </c>
      <c r="C948" s="2380"/>
      <c r="D948" s="2373">
        <v>0</v>
      </c>
      <c r="E948" s="2374" t="s">
        <v>5858</v>
      </c>
      <c r="F948" s="2373" t="s">
        <v>2563</v>
      </c>
      <c r="G948" s="2444"/>
      <c r="H948" s="2376">
        <v>2100</v>
      </c>
      <c r="I948" s="2381"/>
      <c r="J948" s="2376">
        <v>0</v>
      </c>
      <c r="K948" s="2376">
        <v>0</v>
      </c>
      <c r="L948" s="2557">
        <f>H948*G948</f>
        <v>0</v>
      </c>
      <c r="M948" s="2557">
        <f>I948*G948</f>
        <v>0</v>
      </c>
      <c r="N948" s="2557">
        <f>J948*G948</f>
        <v>0</v>
      </c>
      <c r="O948" s="2558">
        <f>K948*G948</f>
        <v>0</v>
      </c>
      <c r="P948" s="2408"/>
    </row>
    <row r="949" spans="1:16" s="2358" customFormat="1" outlineLevel="1">
      <c r="A949" s="2361" t="str">
        <f t="shared" si="145"/>
        <v/>
      </c>
      <c r="B949" s="2383" t="s">
        <v>1582</v>
      </c>
      <c r="C949" s="2372"/>
      <c r="D949" s="2373">
        <v>0</v>
      </c>
      <c r="E949" s="2374" t="s">
        <v>2889</v>
      </c>
      <c r="F949" s="2373" t="s">
        <v>2563</v>
      </c>
      <c r="G949" s="2444">
        <f>2*G943</f>
        <v>0</v>
      </c>
      <c r="H949" s="2376">
        <v>8000</v>
      </c>
      <c r="I949" s="2376"/>
      <c r="J949" s="2376">
        <v>0</v>
      </c>
      <c r="K949" s="2376">
        <v>0</v>
      </c>
      <c r="L949" s="2557">
        <f t="shared" si="140"/>
        <v>0</v>
      </c>
      <c r="M949" s="2557">
        <f t="shared" si="141"/>
        <v>0</v>
      </c>
      <c r="N949" s="2557">
        <f t="shared" si="142"/>
        <v>0</v>
      </c>
      <c r="O949" s="2558">
        <f t="shared" si="143"/>
        <v>0</v>
      </c>
      <c r="P949" s="2408"/>
    </row>
    <row r="950" spans="1:16" s="2358" customFormat="1" outlineLevel="1">
      <c r="A950" s="2361" t="str">
        <f t="shared" si="145"/>
        <v/>
      </c>
      <c r="B950" s="2383" t="s">
        <v>816</v>
      </c>
      <c r="C950" s="2372"/>
      <c r="D950" s="2373">
        <v>0</v>
      </c>
      <c r="E950" s="2374" t="s">
        <v>3599</v>
      </c>
      <c r="F950" s="2373" t="s">
        <v>2563</v>
      </c>
      <c r="G950" s="2444">
        <f>G943*3</f>
        <v>0</v>
      </c>
      <c r="H950" s="2376">
        <v>17600</v>
      </c>
      <c r="I950" s="2376"/>
      <c r="J950" s="2376">
        <v>0</v>
      </c>
      <c r="K950" s="2376">
        <v>0</v>
      </c>
      <c r="L950" s="2557">
        <f t="shared" si="140"/>
        <v>0</v>
      </c>
      <c r="M950" s="2557">
        <f t="shared" si="141"/>
        <v>0</v>
      </c>
      <c r="N950" s="2557">
        <f t="shared" si="142"/>
        <v>0</v>
      </c>
      <c r="O950" s="2558">
        <f t="shared" si="143"/>
        <v>0</v>
      </c>
      <c r="P950" s="2408"/>
    </row>
    <row r="951" spans="1:16" s="2358" customFormat="1" outlineLevel="1">
      <c r="A951" s="2361" t="str">
        <f>IF(G951&lt;&gt;0,1,"")</f>
        <v/>
      </c>
      <c r="B951" s="2383" t="s">
        <v>6267</v>
      </c>
      <c r="C951" s="2372"/>
      <c r="D951" s="2373" t="s">
        <v>5787</v>
      </c>
      <c r="E951" s="2374" t="s">
        <v>3497</v>
      </c>
      <c r="F951" s="2373" t="s">
        <v>2563</v>
      </c>
      <c r="G951" s="2444">
        <f>G942*7</f>
        <v>0</v>
      </c>
      <c r="H951" s="2376">
        <v>9100</v>
      </c>
      <c r="I951" s="2376"/>
      <c r="J951" s="2376">
        <v>10608.955000000002</v>
      </c>
      <c r="K951" s="2376">
        <v>2777.0232475000003</v>
      </c>
      <c r="L951" s="2557">
        <f>H951*G951</f>
        <v>0</v>
      </c>
      <c r="M951" s="2557">
        <f>I951*G951</f>
        <v>0</v>
      </c>
      <c r="N951" s="2557">
        <f>J951*G951</f>
        <v>0</v>
      </c>
      <c r="O951" s="2558">
        <f>K951*G951</f>
        <v>0</v>
      </c>
      <c r="P951" s="2408"/>
    </row>
    <row r="952" spans="1:16" s="2358" customFormat="1" outlineLevel="1">
      <c r="A952" s="2361" t="str">
        <f>IF(G952&lt;&gt;0,1,"")</f>
        <v/>
      </c>
      <c r="B952" s="2383" t="s">
        <v>6268</v>
      </c>
      <c r="C952" s="2372"/>
      <c r="D952" s="2373" t="s">
        <v>5788</v>
      </c>
      <c r="E952" s="2374" t="s">
        <v>3498</v>
      </c>
      <c r="F952" s="2373" t="s">
        <v>2563</v>
      </c>
      <c r="G952" s="2444">
        <f>G943*2</f>
        <v>0</v>
      </c>
      <c r="H952" s="2376">
        <v>14000</v>
      </c>
      <c r="I952" s="2376"/>
      <c r="J952" s="2376">
        <v>16671.215</v>
      </c>
      <c r="K952" s="2376">
        <v>3332.427897</v>
      </c>
      <c r="L952" s="2557">
        <f>H952*G952</f>
        <v>0</v>
      </c>
      <c r="M952" s="2557">
        <f>I952*G952</f>
        <v>0</v>
      </c>
      <c r="N952" s="2557">
        <f>J952*G952</f>
        <v>0</v>
      </c>
      <c r="O952" s="2558">
        <f>K952*G952</f>
        <v>0</v>
      </c>
      <c r="P952" s="2408"/>
    </row>
    <row r="953" spans="1:16" s="2358" customFormat="1" outlineLevel="1">
      <c r="A953" s="2361" t="str">
        <f>IF(G953&lt;&gt;0,1,"")</f>
        <v/>
      </c>
      <c r="B953" s="2383" t="s">
        <v>2023</v>
      </c>
      <c r="C953" s="2372"/>
      <c r="D953" s="2373">
        <v>0</v>
      </c>
      <c r="E953" s="2374" t="s">
        <v>2635</v>
      </c>
      <c r="F953" s="2373" t="s">
        <v>2445</v>
      </c>
      <c r="G953" s="2444">
        <f>G943*2</f>
        <v>0</v>
      </c>
      <c r="H953" s="2376">
        <v>8500</v>
      </c>
      <c r="I953" s="2376"/>
      <c r="J953" s="2376">
        <v>0</v>
      </c>
      <c r="K953" s="2376">
        <v>0</v>
      </c>
      <c r="L953" s="2557">
        <f>H953*G953</f>
        <v>0</v>
      </c>
      <c r="M953" s="2557">
        <f>I953*G953</f>
        <v>0</v>
      </c>
      <c r="N953" s="2557">
        <f>J953*G953</f>
        <v>0</v>
      </c>
      <c r="O953" s="2558">
        <f>K953*G953</f>
        <v>0</v>
      </c>
      <c r="P953" s="2408"/>
    </row>
    <row r="954" spans="1:16" s="2358" customFormat="1" outlineLevel="1">
      <c r="A954" s="2361" t="str">
        <f>IF(G954&lt;&gt;0,1,"")</f>
        <v/>
      </c>
      <c r="B954" s="2383" t="s">
        <v>5242</v>
      </c>
      <c r="C954" s="2372"/>
      <c r="D954" s="2373">
        <v>0</v>
      </c>
      <c r="E954" s="2374" t="s">
        <v>5243</v>
      </c>
      <c r="F954" s="2373" t="s">
        <v>2538</v>
      </c>
      <c r="G954" s="2444"/>
      <c r="H954" s="2376">
        <v>11000</v>
      </c>
      <c r="I954" s="2376"/>
      <c r="J954" s="2376">
        <v>0</v>
      </c>
      <c r="K954" s="2376">
        <v>0</v>
      </c>
      <c r="L954" s="2557">
        <f>H954*G954</f>
        <v>0</v>
      </c>
      <c r="M954" s="2557">
        <f>I954*G954</f>
        <v>0</v>
      </c>
      <c r="N954" s="2557">
        <f>J954*G954</f>
        <v>0</v>
      </c>
      <c r="O954" s="2558">
        <f>K954*G954</f>
        <v>0</v>
      </c>
      <c r="P954" s="2408"/>
    </row>
    <row r="955" spans="1:16" s="2358" customFormat="1" outlineLevel="1">
      <c r="A955" s="2361" t="str">
        <f>IF(G955&lt;&gt;0,1,"")</f>
        <v/>
      </c>
      <c r="B955" s="2383" t="s">
        <v>5244</v>
      </c>
      <c r="C955" s="2372"/>
      <c r="D955" s="2373">
        <v>0</v>
      </c>
      <c r="E955" s="2374" t="s">
        <v>5245</v>
      </c>
      <c r="F955" s="2373" t="s">
        <v>2563</v>
      </c>
      <c r="G955" s="2444">
        <f>G943*2</f>
        <v>0</v>
      </c>
      <c r="H955" s="2376">
        <v>4000</v>
      </c>
      <c r="I955" s="2376"/>
      <c r="J955" s="2376">
        <v>0</v>
      </c>
      <c r="K955" s="2376">
        <v>0</v>
      </c>
      <c r="L955" s="2557">
        <f>H955*G955</f>
        <v>0</v>
      </c>
      <c r="M955" s="2557">
        <f>I955*G955</f>
        <v>0</v>
      </c>
      <c r="N955" s="2557">
        <f>J955*G955</f>
        <v>0</v>
      </c>
      <c r="O955" s="2558">
        <f>K955*G955</f>
        <v>0</v>
      </c>
      <c r="P955" s="2408"/>
    </row>
    <row r="956" spans="1:16" s="2358" customFormat="1" outlineLevel="1">
      <c r="A956" s="2361" t="str">
        <f t="shared" si="145"/>
        <v/>
      </c>
      <c r="B956" s="2386" t="s">
        <v>525</v>
      </c>
      <c r="C956" s="2372"/>
      <c r="D956" s="2373">
        <v>0</v>
      </c>
      <c r="E956" s="2374" t="s">
        <v>5313</v>
      </c>
      <c r="F956" s="2373" t="s">
        <v>2445</v>
      </c>
      <c r="G956" s="2444"/>
      <c r="H956" s="2376">
        <v>43000</v>
      </c>
      <c r="I956" s="2381"/>
      <c r="J956" s="2376">
        <v>0</v>
      </c>
      <c r="K956" s="2376">
        <v>0</v>
      </c>
      <c r="L956" s="2557">
        <f t="shared" si="140"/>
        <v>0</v>
      </c>
      <c r="M956" s="2557">
        <f t="shared" si="141"/>
        <v>0</v>
      </c>
      <c r="N956" s="2557">
        <f t="shared" si="142"/>
        <v>0</v>
      </c>
      <c r="O956" s="2558">
        <f t="shared" si="143"/>
        <v>0</v>
      </c>
      <c r="P956" s="2408"/>
    </row>
    <row r="957" spans="1:16" s="2358" customFormat="1" outlineLevel="1">
      <c r="A957" s="2361" t="str">
        <f>IF(G957&lt;&gt;0,1,"")</f>
        <v/>
      </c>
      <c r="B957" s="2383" t="s">
        <v>6225</v>
      </c>
      <c r="C957" s="2372"/>
      <c r="D957" s="2373">
        <v>0</v>
      </c>
      <c r="E957" s="2374" t="s">
        <v>5775</v>
      </c>
      <c r="F957" s="2373" t="s">
        <v>3463</v>
      </c>
      <c r="G957" s="2444"/>
      <c r="H957" s="2376">
        <v>0</v>
      </c>
      <c r="I957" s="2381"/>
      <c r="J957" s="2382">
        <v>1500000</v>
      </c>
      <c r="K957" s="2382">
        <v>0</v>
      </c>
      <c r="L957" s="2382">
        <f>H957*G957</f>
        <v>0</v>
      </c>
      <c r="M957" s="2382">
        <f>I957*G957</f>
        <v>0</v>
      </c>
      <c r="N957" s="2382">
        <f>J957*G957</f>
        <v>0</v>
      </c>
      <c r="O957" s="2558">
        <f>K957*G957</f>
        <v>0</v>
      </c>
      <c r="P957" s="2408"/>
    </row>
    <row r="958" spans="1:16" s="2358" customFormat="1" outlineLevel="1">
      <c r="A958" s="2361" t="str">
        <f>IF(G958&lt;&gt;0,1,"")</f>
        <v/>
      </c>
      <c r="B958" s="2383" t="s">
        <v>2189</v>
      </c>
      <c r="C958" s="2372"/>
      <c r="D958" s="2373" t="s">
        <v>5408</v>
      </c>
      <c r="E958" s="2374" t="s">
        <v>5409</v>
      </c>
      <c r="F958" s="2373" t="s">
        <v>2538</v>
      </c>
      <c r="G958" s="2444">
        <f>G945/0.224</f>
        <v>0</v>
      </c>
      <c r="H958" s="2376">
        <v>0</v>
      </c>
      <c r="I958" s="2376"/>
      <c r="J958" s="2376">
        <v>8070.7000000000007</v>
      </c>
      <c r="K958" s="2376">
        <v>2044.9974999999999</v>
      </c>
      <c r="L958" s="2557">
        <f>H958*G958</f>
        <v>0</v>
      </c>
      <c r="M958" s="2557">
        <f>I958*G958</f>
        <v>0</v>
      </c>
      <c r="N958" s="2557">
        <f>J958*G958</f>
        <v>0</v>
      </c>
      <c r="O958" s="2558">
        <f>K958*G958</f>
        <v>0</v>
      </c>
      <c r="P958" s="2408"/>
    </row>
    <row r="959" spans="1:16" s="2358" customFormat="1" outlineLevel="1">
      <c r="A959" s="2361" t="str">
        <f>IF(G959&lt;&gt;0,1,"")</f>
        <v/>
      </c>
      <c r="B959" s="2386" t="s">
        <v>902</v>
      </c>
      <c r="C959" s="2372"/>
      <c r="D959" s="2373" t="s">
        <v>5413</v>
      </c>
      <c r="E959" s="2374" t="s">
        <v>5414</v>
      </c>
      <c r="F959" s="2373" t="s">
        <v>2284</v>
      </c>
      <c r="G959" s="2444">
        <f>G946</f>
        <v>0</v>
      </c>
      <c r="H959" s="2376">
        <v>0</v>
      </c>
      <c r="I959" s="2376"/>
      <c r="J959" s="2382" t="s">
        <v>6386</v>
      </c>
      <c r="K959" s="2382">
        <v>0</v>
      </c>
      <c r="L959" s="2382">
        <f>H959*$G959</f>
        <v>0</v>
      </c>
      <c r="M959" s="2382">
        <f>I959*$G959</f>
        <v>0</v>
      </c>
      <c r="N959" s="2382">
        <v>0</v>
      </c>
      <c r="O959" s="2558">
        <f>K959*G959</f>
        <v>0</v>
      </c>
      <c r="P959" s="2408"/>
    </row>
    <row r="960" spans="1:16" s="2358" customFormat="1" outlineLevel="1">
      <c r="A960" s="2361" t="str">
        <f>IF(G960&lt;&gt;0,1,"")</f>
        <v/>
      </c>
      <c r="B960" s="2383" t="s">
        <v>1055</v>
      </c>
      <c r="C960" s="2372"/>
      <c r="D960" s="2373" t="s">
        <v>5398</v>
      </c>
      <c r="E960" s="2374" t="s">
        <v>3086</v>
      </c>
      <c r="F960" s="2373" t="s">
        <v>856</v>
      </c>
      <c r="G960" s="2444">
        <f>G943*48*0.3*0.5</f>
        <v>0</v>
      </c>
      <c r="H960" s="2376">
        <v>0</v>
      </c>
      <c r="I960" s="2376"/>
      <c r="J960" s="2382">
        <v>283749.75</v>
      </c>
      <c r="K960" s="2382">
        <v>0</v>
      </c>
      <c r="L960" s="2382">
        <f>H960*G960</f>
        <v>0</v>
      </c>
      <c r="M960" s="2382">
        <f>I960*G960</f>
        <v>0</v>
      </c>
      <c r="N960" s="2382">
        <f>J960*G960</f>
        <v>0</v>
      </c>
      <c r="O960" s="2558">
        <f>K960*G960</f>
        <v>0</v>
      </c>
      <c r="P960" s="2408"/>
    </row>
    <row r="961" spans="1:16" s="2589" customFormat="1" outlineLevel="1">
      <c r="A961" s="2579">
        <f>+IF(G961&gt;0,1,0)</f>
        <v>0</v>
      </c>
      <c r="B961" s="2579"/>
      <c r="C961" s="2580">
        <f>IF(G961&gt;0,C943+1,C943)</f>
        <v>0</v>
      </c>
      <c r="D961" s="2581"/>
      <c r="E961" s="2582" t="s">
        <v>6269</v>
      </c>
      <c r="F961" s="2583" t="s">
        <v>2391</v>
      </c>
      <c r="G961" s="2584">
        <f>G917</f>
        <v>0</v>
      </c>
      <c r="H961" s="2585"/>
      <c r="I961" s="2585"/>
      <c r="J961" s="2585"/>
      <c r="K961" s="2585"/>
      <c r="L961" s="2586">
        <f t="shared" si="140"/>
        <v>0</v>
      </c>
      <c r="M961" s="2586">
        <f t="shared" si="141"/>
        <v>0</v>
      </c>
      <c r="N961" s="2586">
        <f t="shared" si="142"/>
        <v>0</v>
      </c>
      <c r="O961" s="2587">
        <f t="shared" si="143"/>
        <v>0</v>
      </c>
      <c r="P961" s="2588"/>
    </row>
    <row r="962" spans="1:16" s="2358" customFormat="1" outlineLevel="1">
      <c r="A962" s="2361" t="str">
        <f>IF(G962&lt;&gt;0,1,"")</f>
        <v/>
      </c>
      <c r="B962" s="2433" t="s">
        <v>5719</v>
      </c>
      <c r="C962" s="2590"/>
      <c r="D962" s="2373" t="s">
        <v>5695</v>
      </c>
      <c r="E962" s="2374" t="s">
        <v>5720</v>
      </c>
      <c r="F962" s="2373" t="s">
        <v>2563</v>
      </c>
      <c r="G962" s="2573">
        <f>G961</f>
        <v>0</v>
      </c>
      <c r="H962" s="2376">
        <v>3664446</v>
      </c>
      <c r="I962" s="2376"/>
      <c r="J962" s="2376">
        <v>690091</v>
      </c>
      <c r="K962" s="2376">
        <v>97369</v>
      </c>
      <c r="L962" s="2557">
        <f>H962*G962</f>
        <v>0</v>
      </c>
      <c r="M962" s="2557">
        <f>I962*G962</f>
        <v>0</v>
      </c>
      <c r="N962" s="2557">
        <f>J962*G962</f>
        <v>0</v>
      </c>
      <c r="O962" s="2558">
        <f>K962*G962</f>
        <v>0</v>
      </c>
      <c r="P962" s="2408"/>
    </row>
    <row r="963" spans="1:16" s="2358" customFormat="1" outlineLevel="1">
      <c r="A963" s="2361" t="str">
        <f>IF(G963&lt;&gt;0,1,"")</f>
        <v/>
      </c>
      <c r="B963" s="2383" t="s">
        <v>319</v>
      </c>
      <c r="C963" s="2372"/>
      <c r="D963" s="2373">
        <v>0</v>
      </c>
      <c r="E963" s="2374" t="s">
        <v>5330</v>
      </c>
      <c r="F963" s="2373" t="s">
        <v>2445</v>
      </c>
      <c r="G963" s="2573"/>
      <c r="H963" s="2376">
        <v>168000</v>
      </c>
      <c r="I963" s="2381"/>
      <c r="J963" s="2376">
        <v>0</v>
      </c>
      <c r="K963" s="2376">
        <v>0</v>
      </c>
      <c r="L963" s="2557">
        <f t="shared" si="140"/>
        <v>0</v>
      </c>
      <c r="M963" s="2557">
        <f t="shared" si="141"/>
        <v>0</v>
      </c>
      <c r="N963" s="2557">
        <f t="shared" si="142"/>
        <v>0</v>
      </c>
      <c r="O963" s="2558">
        <f t="shared" si="143"/>
        <v>0</v>
      </c>
      <c r="P963" s="2408"/>
    </row>
    <row r="964" spans="1:16" s="2358" customFormat="1" outlineLevel="1">
      <c r="A964" s="2361" t="str">
        <f>IF(G964&lt;&gt;0,1,"")</f>
        <v/>
      </c>
      <c r="B964" s="2383" t="s">
        <v>880</v>
      </c>
      <c r="C964" s="2372"/>
      <c r="D964" s="2591"/>
      <c r="E964" s="2374" t="s">
        <v>5861</v>
      </c>
      <c r="F964" s="2373" t="s">
        <v>2563</v>
      </c>
      <c r="G964" s="2573"/>
      <c r="H964" s="2376">
        <v>284000</v>
      </c>
      <c r="I964" s="2381"/>
      <c r="J964" s="2376">
        <v>5404</v>
      </c>
      <c r="K964" s="2376">
        <v>0</v>
      </c>
      <c r="L964" s="2557">
        <f t="shared" si="140"/>
        <v>0</v>
      </c>
      <c r="M964" s="2557">
        <f t="shared" si="141"/>
        <v>0</v>
      </c>
      <c r="N964" s="2557">
        <f t="shared" si="142"/>
        <v>0</v>
      </c>
      <c r="O964" s="2558">
        <f t="shared" si="143"/>
        <v>0</v>
      </c>
      <c r="P964" s="2408"/>
    </row>
    <row r="965" spans="1:16" s="2358" customFormat="1" outlineLevel="1">
      <c r="A965" s="2579">
        <f>+IF(G965&gt;0,1,0)</f>
        <v>0</v>
      </c>
      <c r="B965" s="2383"/>
      <c r="C965" s="2398">
        <f>IF(G965&gt;0,C961+1,C961)</f>
        <v>0</v>
      </c>
      <c r="D965" s="2571"/>
      <c r="E965" s="2592" t="s">
        <v>6239</v>
      </c>
      <c r="F965" s="2398" t="s">
        <v>2391</v>
      </c>
      <c r="G965" s="2578">
        <f>G917</f>
        <v>0</v>
      </c>
      <c r="H965" s="2381"/>
      <c r="I965" s="2381"/>
      <c r="J965" s="2381"/>
      <c r="K965" s="2381"/>
      <c r="L965" s="2557">
        <f t="shared" si="140"/>
        <v>0</v>
      </c>
      <c r="M965" s="2557">
        <f t="shared" si="141"/>
        <v>0</v>
      </c>
      <c r="N965" s="2557">
        <f t="shared" si="142"/>
        <v>0</v>
      </c>
      <c r="O965" s="2558">
        <f t="shared" si="143"/>
        <v>0</v>
      </c>
      <c r="P965" s="2408"/>
    </row>
    <row r="966" spans="1:16" s="2358" customFormat="1" ht="14.4" outlineLevel="1">
      <c r="A966" s="2361">
        <f>A965</f>
        <v>0</v>
      </c>
      <c r="B966" s="2383"/>
      <c r="C966" s="2398"/>
      <c r="D966" s="2571"/>
      <c r="E966" s="2572" t="s">
        <v>6207</v>
      </c>
      <c r="F966" s="2373"/>
      <c r="G966" s="2573"/>
      <c r="H966" s="2381"/>
      <c r="I966" s="2381"/>
      <c r="J966" s="2381"/>
      <c r="K966" s="2381"/>
      <c r="L966" s="2557">
        <f t="shared" si="140"/>
        <v>0</v>
      </c>
      <c r="M966" s="2557">
        <f t="shared" si="141"/>
        <v>0</v>
      </c>
      <c r="N966" s="2557">
        <f t="shared" si="142"/>
        <v>0</v>
      </c>
      <c r="O966" s="2558">
        <f t="shared" si="143"/>
        <v>0</v>
      </c>
      <c r="P966" s="2408"/>
    </row>
    <row r="967" spans="1:16" s="2358" customFormat="1" outlineLevel="1">
      <c r="A967" s="2361" t="str">
        <f>IF(G967&lt;&gt;0,1,"")</f>
        <v/>
      </c>
      <c r="B967" s="2386" t="s">
        <v>697</v>
      </c>
      <c r="C967" s="2372"/>
      <c r="D967" s="2373">
        <v>0</v>
      </c>
      <c r="E967" s="2374" t="s">
        <v>5139</v>
      </c>
      <c r="F967" s="2373" t="s">
        <v>2538</v>
      </c>
      <c r="G967" s="2573">
        <f>3*G965*4</f>
        <v>0</v>
      </c>
      <c r="H967" s="2376">
        <v>50996</v>
      </c>
      <c r="I967" s="2376"/>
      <c r="J967" s="2376">
        <v>0</v>
      </c>
      <c r="K967" s="2376">
        <v>0</v>
      </c>
      <c r="L967" s="2557">
        <f t="shared" si="140"/>
        <v>0</v>
      </c>
      <c r="M967" s="2557">
        <f t="shared" si="141"/>
        <v>0</v>
      </c>
      <c r="N967" s="2557">
        <f t="shared" si="142"/>
        <v>0</v>
      </c>
      <c r="O967" s="2558">
        <f t="shared" si="143"/>
        <v>0</v>
      </c>
      <c r="P967" s="2408"/>
    </row>
    <row r="968" spans="1:16" s="2358" customFormat="1" outlineLevel="1">
      <c r="A968" s="2361" t="str">
        <f>IF(G968&lt;&gt;0,1,"")</f>
        <v/>
      </c>
      <c r="B968" s="2386" t="s">
        <v>905</v>
      </c>
      <c r="C968" s="2372"/>
      <c r="D968" s="2373">
        <v>0</v>
      </c>
      <c r="E968" s="2374" t="s">
        <v>2889</v>
      </c>
      <c r="F968" s="2373" t="s">
        <v>2563</v>
      </c>
      <c r="G968" s="2437">
        <f>3*G965*2*0</f>
        <v>0</v>
      </c>
      <c r="H968" s="2376">
        <v>8000</v>
      </c>
      <c r="I968" s="2376"/>
      <c r="J968" s="2376">
        <v>0</v>
      </c>
      <c r="K968" s="2376">
        <v>0</v>
      </c>
      <c r="L968" s="2557">
        <f>H968*G968</f>
        <v>0</v>
      </c>
      <c r="M968" s="2557">
        <f>I968*G968</f>
        <v>0</v>
      </c>
      <c r="N968" s="2557">
        <f>J968*G968</f>
        <v>0</v>
      </c>
      <c r="O968" s="2558">
        <f>K968*G968</f>
        <v>0</v>
      </c>
      <c r="P968" s="2408"/>
    </row>
    <row r="969" spans="1:16" s="2358" customFormat="1" outlineLevel="1">
      <c r="A969" s="2361" t="str">
        <f>IF(G969&lt;&gt;0,1,"")</f>
        <v/>
      </c>
      <c r="B969" s="2371" t="s">
        <v>1482</v>
      </c>
      <c r="C969" s="2372"/>
      <c r="D969" s="2373">
        <v>0</v>
      </c>
      <c r="E969" s="2374" t="s">
        <v>3810</v>
      </c>
      <c r="F969" s="2373" t="s">
        <v>2563</v>
      </c>
      <c r="G969" s="2573">
        <f>3*G965</f>
        <v>0</v>
      </c>
      <c r="H969" s="2376">
        <v>46000</v>
      </c>
      <c r="I969" s="2376"/>
      <c r="J969" s="2376">
        <v>0</v>
      </c>
      <c r="K969" s="2376">
        <v>0</v>
      </c>
      <c r="L969" s="2557">
        <f t="shared" si="140"/>
        <v>0</v>
      </c>
      <c r="M969" s="2557">
        <f t="shared" si="141"/>
        <v>0</v>
      </c>
      <c r="N969" s="2557">
        <f t="shared" si="142"/>
        <v>0</v>
      </c>
      <c r="O969" s="2558">
        <f t="shared" si="143"/>
        <v>0</v>
      </c>
      <c r="P969" s="2408"/>
    </row>
    <row r="970" spans="1:16" s="2358" customFormat="1" outlineLevel="1">
      <c r="A970" s="2361" t="str">
        <f>IF(G970&lt;&gt;0,1,"")</f>
        <v/>
      </c>
      <c r="B970" s="2371" t="s">
        <v>1480</v>
      </c>
      <c r="C970" s="2372"/>
      <c r="D970" s="2373"/>
      <c r="E970" s="2374" t="s">
        <v>4361</v>
      </c>
      <c r="F970" s="2373" t="s">
        <v>2563</v>
      </c>
      <c r="G970" s="2573">
        <f>3*G965</f>
        <v>0</v>
      </c>
      <c r="H970" s="2376">
        <v>77000</v>
      </c>
      <c r="I970" s="2376"/>
      <c r="J970" s="2376"/>
      <c r="K970" s="2376">
        <v>0</v>
      </c>
      <c r="L970" s="2557">
        <f t="shared" si="140"/>
        <v>0</v>
      </c>
      <c r="M970" s="2557">
        <f t="shared" si="141"/>
        <v>0</v>
      </c>
      <c r="N970" s="2557">
        <f t="shared" si="142"/>
        <v>0</v>
      </c>
      <c r="O970" s="2558">
        <f t="shared" si="143"/>
        <v>0</v>
      </c>
      <c r="P970" s="2408"/>
    </row>
    <row r="971" spans="1:16" s="2358" customFormat="1" outlineLevel="1">
      <c r="A971" s="2361">
        <f>IF(G971&lt;&gt;0,1,0)</f>
        <v>0</v>
      </c>
      <c r="B971" s="2371" t="s">
        <v>5761</v>
      </c>
      <c r="C971" s="2380"/>
      <c r="D971" s="2373">
        <v>0</v>
      </c>
      <c r="E971" s="2374" t="s">
        <v>5762</v>
      </c>
      <c r="F971" s="2405" t="s">
        <v>2563</v>
      </c>
      <c r="G971" s="2573">
        <f>G908</f>
        <v>0</v>
      </c>
      <c r="H971" s="2376">
        <v>218200</v>
      </c>
      <c r="I971" s="2376"/>
      <c r="J971" s="2376">
        <v>0</v>
      </c>
      <c r="K971" s="2376">
        <v>0</v>
      </c>
      <c r="L971" s="2382">
        <f t="shared" si="140"/>
        <v>0</v>
      </c>
      <c r="M971" s="2382">
        <f t="shared" si="141"/>
        <v>0</v>
      </c>
      <c r="N971" s="2382">
        <f t="shared" si="142"/>
        <v>0</v>
      </c>
      <c r="O971" s="2381">
        <f t="shared" si="143"/>
        <v>0</v>
      </c>
      <c r="P971" s="2408"/>
    </row>
    <row r="972" spans="1:16" s="2358" customFormat="1" outlineLevel="1">
      <c r="A972" s="2361">
        <f>IF(G972&lt;&gt;0,1,0)</f>
        <v>0</v>
      </c>
      <c r="B972" s="2371" t="s">
        <v>5767</v>
      </c>
      <c r="C972" s="2380"/>
      <c r="D972" s="2373">
        <v>0</v>
      </c>
      <c r="E972" s="2374" t="s">
        <v>5768</v>
      </c>
      <c r="F972" s="2405" t="s">
        <v>2563</v>
      </c>
      <c r="G972" s="2573">
        <f>G910</f>
        <v>0</v>
      </c>
      <c r="H972" s="2376">
        <v>39100</v>
      </c>
      <c r="I972" s="2376"/>
      <c r="J972" s="2376">
        <v>0</v>
      </c>
      <c r="K972" s="2376">
        <v>0</v>
      </c>
      <c r="L972" s="2382">
        <f t="shared" si="140"/>
        <v>0</v>
      </c>
      <c r="M972" s="2382">
        <f t="shared" si="141"/>
        <v>0</v>
      </c>
      <c r="N972" s="2382">
        <f t="shared" si="142"/>
        <v>0</v>
      </c>
      <c r="O972" s="2381">
        <f t="shared" si="143"/>
        <v>0</v>
      </c>
      <c r="P972" s="2408"/>
    </row>
    <row r="973" spans="1:16" s="2358" customFormat="1" outlineLevel="1">
      <c r="A973" s="2361">
        <f>IF(G973&lt;&gt;0,1,0)</f>
        <v>0</v>
      </c>
      <c r="B973" s="2371" t="s">
        <v>5769</v>
      </c>
      <c r="C973" s="2380"/>
      <c r="D973" s="2373">
        <v>0</v>
      </c>
      <c r="E973" s="2374" t="s">
        <v>5770</v>
      </c>
      <c r="F973" s="2405" t="s">
        <v>2563</v>
      </c>
      <c r="G973" s="2573">
        <f>G907</f>
        <v>0</v>
      </c>
      <c r="H973" s="2376">
        <v>56700</v>
      </c>
      <c r="I973" s="2376"/>
      <c r="J973" s="2376">
        <v>0</v>
      </c>
      <c r="K973" s="2376">
        <v>0</v>
      </c>
      <c r="L973" s="2382">
        <f t="shared" si="140"/>
        <v>0</v>
      </c>
      <c r="M973" s="2382">
        <f t="shared" si="141"/>
        <v>0</v>
      </c>
      <c r="N973" s="2382">
        <f t="shared" si="142"/>
        <v>0</v>
      </c>
      <c r="O973" s="2381">
        <f t="shared" si="143"/>
        <v>0</v>
      </c>
      <c r="P973" s="2408"/>
    </row>
    <row r="974" spans="1:16" s="2358" customFormat="1" outlineLevel="1">
      <c r="A974" s="2361">
        <f>IF(G974&lt;&gt;0,1,0)</f>
        <v>0</v>
      </c>
      <c r="B974" s="2371" t="s">
        <v>6230</v>
      </c>
      <c r="C974" s="2380"/>
      <c r="D974" s="2373">
        <v>0</v>
      </c>
      <c r="E974" s="2374" t="s">
        <v>4565</v>
      </c>
      <c r="F974" s="2405" t="s">
        <v>3463</v>
      </c>
      <c r="G974" s="2573">
        <f>G969</f>
        <v>0</v>
      </c>
      <c r="H974" s="2376">
        <v>136800</v>
      </c>
      <c r="I974" s="2376"/>
      <c r="J974" s="2376">
        <v>0</v>
      </c>
      <c r="K974" s="2376">
        <v>0</v>
      </c>
      <c r="L974" s="2382">
        <f>H974*G974</f>
        <v>0</v>
      </c>
      <c r="M974" s="2382">
        <f>I974*G974</f>
        <v>0</v>
      </c>
      <c r="N974" s="2382">
        <f>J974*G974</f>
        <v>0</v>
      </c>
      <c r="O974" s="2381">
        <f>K974*G974</f>
        <v>0</v>
      </c>
      <c r="P974" s="2408"/>
    </row>
    <row r="975" spans="1:16" s="2358" customFormat="1" outlineLevel="1">
      <c r="A975" s="2361" t="str">
        <f>IF(G975&lt;&gt;0,1,"")</f>
        <v/>
      </c>
      <c r="B975" s="2371" t="s">
        <v>1528</v>
      </c>
      <c r="C975" s="2372"/>
      <c r="D975" s="2373" t="s">
        <v>5633</v>
      </c>
      <c r="E975" s="2374" t="s">
        <v>3310</v>
      </c>
      <c r="F975" s="2373" t="s">
        <v>1827</v>
      </c>
      <c r="G975" s="2573">
        <f>G967</f>
        <v>0</v>
      </c>
      <c r="H975" s="2376">
        <v>0</v>
      </c>
      <c r="I975" s="2376"/>
      <c r="J975" s="2376">
        <v>13915</v>
      </c>
      <c r="K975" s="2376">
        <v>0</v>
      </c>
      <c r="L975" s="2557">
        <f>H975*G975</f>
        <v>0</v>
      </c>
      <c r="M975" s="2557">
        <f>I975*G975</f>
        <v>0</v>
      </c>
      <c r="N975" s="2557">
        <f>J975*G975</f>
        <v>0</v>
      </c>
      <c r="O975" s="2558">
        <f>K975*G975</f>
        <v>0</v>
      </c>
      <c r="P975" s="2408"/>
    </row>
    <row r="976" spans="1:16" s="2358" customFormat="1" outlineLevel="1">
      <c r="A976" s="2361" t="str">
        <f>A970</f>
        <v/>
      </c>
      <c r="B976" s="2383"/>
      <c r="C976" s="2398">
        <f>IF(G976&gt;0,C965+1,C965)</f>
        <v>0</v>
      </c>
      <c r="D976" s="2571"/>
      <c r="E976" s="2593" t="s">
        <v>6270</v>
      </c>
      <c r="F976" s="2398" t="s">
        <v>2391</v>
      </c>
      <c r="G976" s="2578">
        <f>G917</f>
        <v>0</v>
      </c>
      <c r="H976" s="2381"/>
      <c r="I976" s="2381"/>
      <c r="J976" s="2381"/>
      <c r="K976" s="2381"/>
      <c r="L976" s="2557">
        <f>H976*G976</f>
        <v>0</v>
      </c>
      <c r="M976" s="2557">
        <f>I976*G976</f>
        <v>0</v>
      </c>
      <c r="N976" s="2557">
        <f>J976*G976</f>
        <v>0</v>
      </c>
      <c r="O976" s="2558">
        <f>K976*G976</f>
        <v>0</v>
      </c>
      <c r="P976" s="2408"/>
    </row>
    <row r="977" spans="1:16" s="2358" customFormat="1" ht="14.4" outlineLevel="1">
      <c r="A977" s="2361" t="str">
        <f>A976</f>
        <v/>
      </c>
      <c r="B977" s="2383"/>
      <c r="C977" s="2398"/>
      <c r="D977" s="2571"/>
      <c r="E977" s="2594" t="s">
        <v>6207</v>
      </c>
      <c r="F977" s="2373"/>
      <c r="G977" s="2480"/>
      <c r="H977" s="2381"/>
      <c r="I977" s="2381"/>
      <c r="J977" s="2381"/>
      <c r="K977" s="2381"/>
      <c r="L977" s="2557">
        <f t="shared" ref="L977:L993" si="146">H977*G977</f>
        <v>0</v>
      </c>
      <c r="M977" s="2557">
        <f t="shared" ref="M977:M993" si="147">I977*G977</f>
        <v>0</v>
      </c>
      <c r="N977" s="2557">
        <f t="shared" ref="N977:N993" si="148">J977*G977</f>
        <v>0</v>
      </c>
      <c r="O977" s="2558">
        <f t="shared" ref="O977:O993" si="149">K977*G977</f>
        <v>0</v>
      </c>
      <c r="P977" s="2408"/>
    </row>
    <row r="978" spans="1:16" s="2358" customFormat="1" outlineLevel="1">
      <c r="A978" s="2361" t="str">
        <f>IF(G978&lt;&gt;0,1,"")</f>
        <v/>
      </c>
      <c r="B978" s="2383" t="s">
        <v>6232</v>
      </c>
      <c r="C978" s="2372"/>
      <c r="D978" s="2373">
        <v>0</v>
      </c>
      <c r="E978" s="2374" t="s">
        <v>2804</v>
      </c>
      <c r="F978" s="2373" t="s">
        <v>2538</v>
      </c>
      <c r="G978" s="2573">
        <f>G976*27.5</f>
        <v>0</v>
      </c>
      <c r="H978" s="2376">
        <v>194893</v>
      </c>
      <c r="I978" s="2376"/>
      <c r="J978" s="2376">
        <v>0</v>
      </c>
      <c r="K978" s="2376">
        <v>0</v>
      </c>
      <c r="L978" s="2557">
        <f t="shared" si="146"/>
        <v>0</v>
      </c>
      <c r="M978" s="2557">
        <f t="shared" si="147"/>
        <v>0</v>
      </c>
      <c r="N978" s="2557">
        <f t="shared" si="148"/>
        <v>0</v>
      </c>
      <c r="O978" s="2558">
        <f t="shared" si="149"/>
        <v>0</v>
      </c>
      <c r="P978" s="2408"/>
    </row>
    <row r="979" spans="1:16" s="2358" customFormat="1" outlineLevel="1">
      <c r="A979" s="2361" t="str">
        <f t="shared" ref="A979:A995" si="150">IF(G979&lt;&gt;0,1,"")</f>
        <v/>
      </c>
      <c r="B979" s="2383" t="s">
        <v>1409</v>
      </c>
      <c r="C979" s="2372"/>
      <c r="D979" s="2373">
        <v>0</v>
      </c>
      <c r="E979" s="2374" t="s">
        <v>2798</v>
      </c>
      <c r="F979" s="2373" t="s">
        <v>2538</v>
      </c>
      <c r="G979" s="2573">
        <f>G976*7</f>
        <v>0</v>
      </c>
      <c r="H979" s="2376">
        <v>59600</v>
      </c>
      <c r="I979" s="2376"/>
      <c r="J979" s="2376">
        <v>0</v>
      </c>
      <c r="K979" s="2376">
        <v>0</v>
      </c>
      <c r="L979" s="2557">
        <f t="shared" si="146"/>
        <v>0</v>
      </c>
      <c r="M979" s="2557">
        <f t="shared" si="147"/>
        <v>0</v>
      </c>
      <c r="N979" s="2557">
        <f t="shared" si="148"/>
        <v>0</v>
      </c>
      <c r="O979" s="2558">
        <f t="shared" si="149"/>
        <v>0</v>
      </c>
      <c r="P979" s="2408"/>
    </row>
    <row r="980" spans="1:16" s="2358" customFormat="1" outlineLevel="1">
      <c r="A980" s="2361" t="str">
        <f t="shared" si="150"/>
        <v/>
      </c>
      <c r="B980" s="2383" t="s">
        <v>2282</v>
      </c>
      <c r="C980" s="2380"/>
      <c r="D980" s="2373"/>
      <c r="E980" s="2374" t="s">
        <v>2794</v>
      </c>
      <c r="F980" s="2373" t="s">
        <v>2538</v>
      </c>
      <c r="G980" s="2573">
        <f>4*G976</f>
        <v>0</v>
      </c>
      <c r="H980" s="2376">
        <v>63200</v>
      </c>
      <c r="I980" s="2376"/>
      <c r="J980" s="2376">
        <v>0</v>
      </c>
      <c r="K980" s="2376">
        <v>0</v>
      </c>
      <c r="L980" s="2462">
        <f t="shared" si="146"/>
        <v>0</v>
      </c>
      <c r="M980" s="2462">
        <f t="shared" si="147"/>
        <v>0</v>
      </c>
      <c r="N980" s="2462">
        <f t="shared" si="148"/>
        <v>0</v>
      </c>
      <c r="O980" s="2463">
        <f t="shared" si="149"/>
        <v>0</v>
      </c>
      <c r="P980" s="2408"/>
    </row>
    <row r="981" spans="1:16" s="2358" customFormat="1" outlineLevel="1">
      <c r="A981" s="2361" t="str">
        <f t="shared" si="150"/>
        <v/>
      </c>
      <c r="B981" s="2383" t="s">
        <v>6271</v>
      </c>
      <c r="C981" s="2372"/>
      <c r="D981" s="2373" t="s">
        <v>5791</v>
      </c>
      <c r="E981" s="2374" t="s">
        <v>3501</v>
      </c>
      <c r="F981" s="2373" t="s">
        <v>2563</v>
      </c>
      <c r="G981" s="2573">
        <f>G976*6</f>
        <v>0</v>
      </c>
      <c r="H981" s="2376">
        <v>36000</v>
      </c>
      <c r="I981" s="2376"/>
      <c r="J981" s="2376">
        <v>33342.43</v>
      </c>
      <c r="K981" s="2376">
        <v>4443.237196</v>
      </c>
      <c r="L981" s="2557">
        <f t="shared" si="146"/>
        <v>0</v>
      </c>
      <c r="M981" s="2557">
        <f t="shared" si="147"/>
        <v>0</v>
      </c>
      <c r="N981" s="2557">
        <f t="shared" si="148"/>
        <v>0</v>
      </c>
      <c r="O981" s="2558">
        <f t="shared" si="149"/>
        <v>0</v>
      </c>
      <c r="P981" s="2408"/>
    </row>
    <row r="982" spans="1:16" s="2358" customFormat="1" outlineLevel="1">
      <c r="A982" s="2361" t="str">
        <f t="shared" si="150"/>
        <v/>
      </c>
      <c r="B982" s="2383" t="s">
        <v>6272</v>
      </c>
      <c r="C982" s="2372"/>
      <c r="D982" s="2373" t="s">
        <v>5787</v>
      </c>
      <c r="E982" s="2374" t="s">
        <v>3497</v>
      </c>
      <c r="F982" s="2373" t="s">
        <v>2563</v>
      </c>
      <c r="G982" s="2573">
        <f>G976*2</f>
        <v>0</v>
      </c>
      <c r="H982" s="2376">
        <v>9100</v>
      </c>
      <c r="I982" s="2376"/>
      <c r="J982" s="2376">
        <v>10608.955000000002</v>
      </c>
      <c r="K982" s="2376">
        <v>2777.0232475000003</v>
      </c>
      <c r="L982" s="2557">
        <f t="shared" si="146"/>
        <v>0</v>
      </c>
      <c r="M982" s="2557">
        <f t="shared" si="147"/>
        <v>0</v>
      </c>
      <c r="N982" s="2557">
        <f t="shared" si="148"/>
        <v>0</v>
      </c>
      <c r="O982" s="2558">
        <f t="shared" si="149"/>
        <v>0</v>
      </c>
      <c r="P982" s="2408"/>
    </row>
    <row r="983" spans="1:16" s="2358" customFormat="1" outlineLevel="1">
      <c r="A983" s="2361" t="str">
        <f t="shared" si="150"/>
        <v/>
      </c>
      <c r="B983" s="2383" t="s">
        <v>6273</v>
      </c>
      <c r="C983" s="2372"/>
      <c r="D983" s="2373">
        <v>0</v>
      </c>
      <c r="E983" s="2374" t="s">
        <v>3515</v>
      </c>
      <c r="F983" s="2373" t="s">
        <v>2563</v>
      </c>
      <c r="G983" s="2573">
        <f>G981</f>
        <v>0</v>
      </c>
      <c r="H983" s="2376">
        <v>5000</v>
      </c>
      <c r="I983" s="2376"/>
      <c r="J983" s="2376">
        <v>0</v>
      </c>
      <c r="K983" s="2376">
        <v>0</v>
      </c>
      <c r="L983" s="2557">
        <f t="shared" si="146"/>
        <v>0</v>
      </c>
      <c r="M983" s="2557">
        <f t="shared" si="147"/>
        <v>0</v>
      </c>
      <c r="N983" s="2557">
        <f t="shared" si="148"/>
        <v>0</v>
      </c>
      <c r="O983" s="2558">
        <f t="shared" si="149"/>
        <v>0</v>
      </c>
      <c r="P983" s="2408"/>
    </row>
    <row r="984" spans="1:16" s="2358" customFormat="1" outlineLevel="1">
      <c r="A984" s="2361" t="str">
        <f t="shared" si="150"/>
        <v/>
      </c>
      <c r="B984" s="2383" t="s">
        <v>1178</v>
      </c>
      <c r="C984" s="2372"/>
      <c r="D984" s="2373">
        <v>0</v>
      </c>
      <c r="E984" s="2374" t="s">
        <v>3511</v>
      </c>
      <c r="F984" s="2373" t="s">
        <v>2563</v>
      </c>
      <c r="G984" s="2573">
        <f>G982</f>
        <v>0</v>
      </c>
      <c r="H984" s="2376">
        <v>1000</v>
      </c>
      <c r="I984" s="2376"/>
      <c r="J984" s="2376">
        <v>0</v>
      </c>
      <c r="K984" s="2376">
        <v>0</v>
      </c>
      <c r="L984" s="2557">
        <f t="shared" si="146"/>
        <v>0</v>
      </c>
      <c r="M984" s="2557">
        <f t="shared" si="147"/>
        <v>0</v>
      </c>
      <c r="N984" s="2557">
        <f t="shared" si="148"/>
        <v>0</v>
      </c>
      <c r="O984" s="2558">
        <f t="shared" si="149"/>
        <v>0</v>
      </c>
      <c r="P984" s="2408"/>
    </row>
    <row r="985" spans="1:16" s="2358" customFormat="1" outlineLevel="1">
      <c r="A985" s="2361" t="str">
        <f t="shared" si="150"/>
        <v/>
      </c>
      <c r="B985" s="2383" t="s">
        <v>1042</v>
      </c>
      <c r="C985" s="2372"/>
      <c r="D985" s="2373">
        <v>0</v>
      </c>
      <c r="E985" s="2374" t="s">
        <v>3549</v>
      </c>
      <c r="F985" s="2373" t="s">
        <v>1827</v>
      </c>
      <c r="G985" s="2573">
        <f>4*G976</f>
        <v>0</v>
      </c>
      <c r="H985" s="2376">
        <v>103700</v>
      </c>
      <c r="I985" s="2381"/>
      <c r="J985" s="2376">
        <v>0</v>
      </c>
      <c r="K985" s="2376">
        <v>0</v>
      </c>
      <c r="L985" s="2557">
        <f t="shared" si="146"/>
        <v>0</v>
      </c>
      <c r="M985" s="2557">
        <f t="shared" si="147"/>
        <v>0</v>
      </c>
      <c r="N985" s="2557">
        <f t="shared" si="148"/>
        <v>0</v>
      </c>
      <c r="O985" s="2558">
        <f t="shared" si="149"/>
        <v>0</v>
      </c>
      <c r="P985" s="2408"/>
    </row>
    <row r="986" spans="1:16" s="2358" customFormat="1" outlineLevel="1">
      <c r="A986" s="2361" t="str">
        <f t="shared" si="150"/>
        <v/>
      </c>
      <c r="B986" s="2386" t="s">
        <v>1866</v>
      </c>
      <c r="C986" s="2372"/>
      <c r="D986" s="2373">
        <v>0</v>
      </c>
      <c r="E986" s="2374" t="s">
        <v>5319</v>
      </c>
      <c r="F986" s="2373" t="s">
        <v>2445</v>
      </c>
      <c r="G986" s="2573">
        <f>2*G976</f>
        <v>0</v>
      </c>
      <c r="H986" s="2376">
        <v>50000</v>
      </c>
      <c r="I986" s="2381"/>
      <c r="J986" s="2376">
        <v>0</v>
      </c>
      <c r="K986" s="2376">
        <v>0</v>
      </c>
      <c r="L986" s="2557">
        <f t="shared" si="146"/>
        <v>0</v>
      </c>
      <c r="M986" s="2557">
        <f t="shared" si="147"/>
        <v>0</v>
      </c>
      <c r="N986" s="2557">
        <f t="shared" si="148"/>
        <v>0</v>
      </c>
      <c r="O986" s="2558">
        <f t="shared" si="149"/>
        <v>0</v>
      </c>
      <c r="P986" s="2408"/>
    </row>
    <row r="987" spans="1:16" s="2358" customFormat="1" outlineLevel="1">
      <c r="A987" s="2361" t="str">
        <f t="shared" si="150"/>
        <v/>
      </c>
      <c r="B987" s="2383" t="s">
        <v>70</v>
      </c>
      <c r="C987" s="2372"/>
      <c r="D987" s="2373">
        <v>0</v>
      </c>
      <c r="E987" s="2374" t="s">
        <v>5859</v>
      </c>
      <c r="F987" s="2373" t="s">
        <v>2563</v>
      </c>
      <c r="G987" s="2573">
        <f>2*G976</f>
        <v>0</v>
      </c>
      <c r="H987" s="2376">
        <v>45400</v>
      </c>
      <c r="I987" s="2381"/>
      <c r="J987" s="2376">
        <v>0</v>
      </c>
      <c r="K987" s="2376">
        <v>0</v>
      </c>
      <c r="L987" s="2557">
        <f t="shared" si="146"/>
        <v>0</v>
      </c>
      <c r="M987" s="2557">
        <f t="shared" si="147"/>
        <v>0</v>
      </c>
      <c r="N987" s="2557">
        <f t="shared" si="148"/>
        <v>0</v>
      </c>
      <c r="O987" s="2558">
        <f t="shared" si="149"/>
        <v>0</v>
      </c>
      <c r="P987" s="2408"/>
    </row>
    <row r="988" spans="1:16" s="2358" customFormat="1" outlineLevel="1">
      <c r="A988" s="2361" t="str">
        <f t="shared" si="150"/>
        <v/>
      </c>
      <c r="B988" s="2383" t="s">
        <v>2173</v>
      </c>
      <c r="C988" s="2372"/>
      <c r="D988" s="2373">
        <v>0</v>
      </c>
      <c r="E988" s="2374" t="s">
        <v>3593</v>
      </c>
      <c r="F988" s="2373" t="s">
        <v>2563</v>
      </c>
      <c r="G988" s="2573">
        <f>+G976</f>
        <v>0</v>
      </c>
      <c r="H988" s="2376">
        <v>41900</v>
      </c>
      <c r="I988" s="2381"/>
      <c r="J988" s="2376">
        <v>0</v>
      </c>
      <c r="K988" s="2376">
        <v>0</v>
      </c>
      <c r="L988" s="2557">
        <f t="shared" si="146"/>
        <v>0</v>
      </c>
      <c r="M988" s="2557">
        <f t="shared" si="147"/>
        <v>0</v>
      </c>
      <c r="N988" s="2557">
        <f t="shared" si="148"/>
        <v>0</v>
      </c>
      <c r="O988" s="2558">
        <f t="shared" si="149"/>
        <v>0</v>
      </c>
      <c r="P988" s="2408"/>
    </row>
    <row r="989" spans="1:16" s="2358" customFormat="1" outlineLevel="1">
      <c r="A989" s="2361" t="str">
        <f t="shared" si="150"/>
        <v/>
      </c>
      <c r="B989" s="2383" t="s">
        <v>2174</v>
      </c>
      <c r="C989" s="2372"/>
      <c r="D989" s="2373">
        <v>0</v>
      </c>
      <c r="E989" s="2374" t="s">
        <v>3597</v>
      </c>
      <c r="F989" s="2373" t="s">
        <v>2563</v>
      </c>
      <c r="G989" s="2573">
        <f>+G988</f>
        <v>0</v>
      </c>
      <c r="H989" s="2376">
        <v>41900</v>
      </c>
      <c r="I989" s="2381"/>
      <c r="J989" s="2376">
        <v>0</v>
      </c>
      <c r="K989" s="2376">
        <v>0</v>
      </c>
      <c r="L989" s="2557">
        <f>H989*G989</f>
        <v>0</v>
      </c>
      <c r="M989" s="2557">
        <f>I989*G989</f>
        <v>0</v>
      </c>
      <c r="N989" s="2557">
        <f>J989*G989</f>
        <v>0</v>
      </c>
      <c r="O989" s="2558">
        <f>K989*G989</f>
        <v>0</v>
      </c>
      <c r="P989" s="2408"/>
    </row>
    <row r="990" spans="1:16" s="2358" customFormat="1" outlineLevel="1">
      <c r="A990" s="2361" t="str">
        <f t="shared" si="150"/>
        <v/>
      </c>
      <c r="B990" s="2383" t="s">
        <v>419</v>
      </c>
      <c r="C990" s="2372"/>
      <c r="D990" s="2373">
        <v>0</v>
      </c>
      <c r="E990" s="2374" t="s">
        <v>3588</v>
      </c>
      <c r="F990" s="2373" t="s">
        <v>3589</v>
      </c>
      <c r="G990" s="2573">
        <f>G976*1</f>
        <v>0</v>
      </c>
      <c r="H990" s="2376">
        <v>11500</v>
      </c>
      <c r="I990" s="2381"/>
      <c r="J990" s="2376">
        <v>0</v>
      </c>
      <c r="K990" s="2376">
        <v>0</v>
      </c>
      <c r="L990" s="2557">
        <f t="shared" si="146"/>
        <v>0</v>
      </c>
      <c r="M990" s="2557">
        <f t="shared" si="147"/>
        <v>0</v>
      </c>
      <c r="N990" s="2557">
        <f t="shared" si="148"/>
        <v>0</v>
      </c>
      <c r="O990" s="2558">
        <f t="shared" si="149"/>
        <v>0</v>
      </c>
      <c r="P990" s="2408"/>
    </row>
    <row r="991" spans="1:16" s="2358" customFormat="1" outlineLevel="1">
      <c r="A991" s="2361" t="str">
        <f t="shared" si="150"/>
        <v/>
      </c>
      <c r="B991" s="2383" t="s">
        <v>489</v>
      </c>
      <c r="C991" s="2372"/>
      <c r="D991" s="2373">
        <v>0</v>
      </c>
      <c r="E991" s="2374" t="s">
        <v>3585</v>
      </c>
      <c r="F991" s="2373" t="s">
        <v>5868</v>
      </c>
      <c r="G991" s="2573">
        <f>G990</f>
        <v>0</v>
      </c>
      <c r="H991" s="2376">
        <v>45000</v>
      </c>
      <c r="I991" s="2381"/>
      <c r="J991" s="2376">
        <v>0</v>
      </c>
      <c r="K991" s="2376">
        <v>0</v>
      </c>
      <c r="L991" s="2557">
        <f>H991*G991</f>
        <v>0</v>
      </c>
      <c r="M991" s="2557">
        <f>I991*G991</f>
        <v>0</v>
      </c>
      <c r="N991" s="2557">
        <f>J991*G991</f>
        <v>0</v>
      </c>
      <c r="O991" s="2558">
        <f>K991*G991</f>
        <v>0</v>
      </c>
      <c r="P991" s="2408"/>
    </row>
    <row r="992" spans="1:16" s="2358" customFormat="1" outlineLevel="1">
      <c r="A992" s="2361" t="str">
        <f t="shared" si="150"/>
        <v/>
      </c>
      <c r="B992" s="2386" t="s">
        <v>672</v>
      </c>
      <c r="C992" s="2372"/>
      <c r="D992" s="2373">
        <v>0</v>
      </c>
      <c r="E992" s="2374" t="s">
        <v>5863</v>
      </c>
      <c r="F992" s="2373" t="s">
        <v>3584</v>
      </c>
      <c r="G992" s="2573">
        <f>G976*2</f>
        <v>0</v>
      </c>
      <c r="H992" s="2376">
        <v>6500</v>
      </c>
      <c r="I992" s="2381"/>
      <c r="J992" s="2376">
        <v>0</v>
      </c>
      <c r="K992" s="2376">
        <v>0</v>
      </c>
      <c r="L992" s="2557">
        <f t="shared" si="146"/>
        <v>0</v>
      </c>
      <c r="M992" s="2557">
        <f t="shared" si="147"/>
        <v>0</v>
      </c>
      <c r="N992" s="2557">
        <f t="shared" si="148"/>
        <v>0</v>
      </c>
      <c r="O992" s="2558">
        <f t="shared" si="149"/>
        <v>0</v>
      </c>
      <c r="P992" s="2432"/>
    </row>
    <row r="993" spans="1:18" s="2358" customFormat="1" outlineLevel="1">
      <c r="A993" s="2361" t="str">
        <f t="shared" si="150"/>
        <v/>
      </c>
      <c r="B993" s="2383" t="s">
        <v>2188</v>
      </c>
      <c r="C993" s="2380"/>
      <c r="D993" s="2373" t="s">
        <v>5609</v>
      </c>
      <c r="E993" s="2374" t="s">
        <v>3270</v>
      </c>
      <c r="F993" s="2373" t="s">
        <v>2538</v>
      </c>
      <c r="G993" s="2573"/>
      <c r="H993" s="2376"/>
      <c r="I993" s="2381"/>
      <c r="J993" s="2376">
        <v>55493.02</v>
      </c>
      <c r="K993" s="2376">
        <v>0</v>
      </c>
      <c r="L993" s="2382">
        <f t="shared" si="146"/>
        <v>0</v>
      </c>
      <c r="M993" s="2382">
        <f t="shared" si="147"/>
        <v>0</v>
      </c>
      <c r="N993" s="2382">
        <f t="shared" si="148"/>
        <v>0</v>
      </c>
      <c r="O993" s="2381">
        <f t="shared" si="149"/>
        <v>0</v>
      </c>
      <c r="P993" s="2408"/>
    </row>
    <row r="994" spans="1:18" s="2358" customFormat="1" outlineLevel="1">
      <c r="A994" s="2361" t="str">
        <f t="shared" si="150"/>
        <v/>
      </c>
      <c r="B994" s="2386" t="s">
        <v>1528</v>
      </c>
      <c r="C994" s="2380"/>
      <c r="D994" s="2373" t="s">
        <v>5633</v>
      </c>
      <c r="E994" s="2374" t="s">
        <v>3310</v>
      </c>
      <c r="F994" s="2373" t="s">
        <v>1827</v>
      </c>
      <c r="G994" s="2573">
        <f>G978+G979</f>
        <v>0</v>
      </c>
      <c r="H994" s="2376"/>
      <c r="I994" s="2381"/>
      <c r="J994" s="2376">
        <v>13915</v>
      </c>
      <c r="K994" s="2376">
        <v>0</v>
      </c>
      <c r="L994" s="2382">
        <f>H994*G994</f>
        <v>0</v>
      </c>
      <c r="M994" s="2382">
        <f>I994*G994</f>
        <v>0</v>
      </c>
      <c r="N994" s="2382">
        <f>J994*G994</f>
        <v>0</v>
      </c>
      <c r="O994" s="2381">
        <f>K994*G994</f>
        <v>0</v>
      </c>
      <c r="P994" s="2408"/>
    </row>
    <row r="995" spans="1:18" s="2358" customFormat="1" outlineLevel="1">
      <c r="A995" s="2361" t="str">
        <f t="shared" si="150"/>
        <v/>
      </c>
      <c r="B995" s="2383" t="s">
        <v>289</v>
      </c>
      <c r="C995" s="2595">
        <f>IF(G995&gt;0,C976+1,C976)</f>
        <v>0</v>
      </c>
      <c r="D995" s="2596"/>
      <c r="E995" s="2374" t="s">
        <v>5774</v>
      </c>
      <c r="F995" s="2373" t="s">
        <v>2563</v>
      </c>
      <c r="G995" s="2573">
        <f>G976</f>
        <v>0</v>
      </c>
      <c r="H995" s="2376">
        <v>300000</v>
      </c>
      <c r="I995" s="2416"/>
      <c r="J995" s="2376"/>
      <c r="K995" s="2376">
        <v>0</v>
      </c>
      <c r="L995" s="2597">
        <f>H995*G995</f>
        <v>0</v>
      </c>
      <c r="M995" s="2597">
        <f>I995*G995</f>
        <v>0</v>
      </c>
      <c r="N995" s="2597">
        <f>J995*G995</f>
        <v>0</v>
      </c>
      <c r="O995" s="2598">
        <f>K995*G995</f>
        <v>0</v>
      </c>
      <c r="P995" s="2552"/>
    </row>
    <row r="996" spans="1:18" s="2358" customFormat="1" outlineLevel="1">
      <c r="A996" s="2361" t="str">
        <f>A995</f>
        <v/>
      </c>
      <c r="B996" s="2383"/>
      <c r="C996" s="2599"/>
      <c r="D996" s="2600"/>
      <c r="E996" s="2566"/>
      <c r="F996" s="2884"/>
      <c r="G996" s="2884"/>
      <c r="H996" s="2884"/>
      <c r="I996" s="2884"/>
      <c r="J996" s="2909" t="s">
        <v>6205</v>
      </c>
      <c r="K996" s="2909"/>
      <c r="L996" s="2601">
        <f>SUM(L919:L995)</f>
        <v>0</v>
      </c>
      <c r="M996" s="2601"/>
      <c r="N996" s="2601">
        <f>SUM(N919:N995)</f>
        <v>0</v>
      </c>
      <c r="O996" s="2601">
        <f>SUM(O919:O995)</f>
        <v>0</v>
      </c>
      <c r="P996" s="2602"/>
    </row>
    <row r="997" spans="1:18" s="2358" customFormat="1" outlineLevel="1">
      <c r="A997" s="2361"/>
      <c r="B997" s="2383"/>
      <c r="C997" s="2603"/>
      <c r="D997" s="2603"/>
      <c r="E997" s="2604"/>
      <c r="F997" s="2885"/>
      <c r="G997" s="2885"/>
      <c r="H997" s="2885"/>
      <c r="I997" s="2885"/>
      <c r="J997" s="2604"/>
      <c r="K997" s="2604"/>
      <c r="L997" s="2605"/>
      <c r="M997" s="2605"/>
      <c r="N997" s="2605"/>
      <c r="O997" s="2605"/>
    </row>
    <row r="998" spans="1:18" s="2358" customFormat="1" outlineLevel="1">
      <c r="A998" s="2402" t="str">
        <f>IF(G1004&lt;&gt;0,1,"")</f>
        <v/>
      </c>
      <c r="B998" s="2383"/>
      <c r="C998" s="2603"/>
      <c r="D998" s="2603"/>
      <c r="E998" s="2604"/>
      <c r="F998" s="2885"/>
      <c r="G998" s="2885"/>
      <c r="H998" s="2885"/>
      <c r="I998" s="2885"/>
      <c r="J998" s="2604"/>
      <c r="K998" s="2604"/>
      <c r="L998" s="2605"/>
      <c r="M998" s="2605"/>
      <c r="N998" s="2605"/>
      <c r="O998" s="2605"/>
      <c r="P998" s="2606"/>
    </row>
    <row r="999" spans="1:18" s="2358" customFormat="1" outlineLevel="1">
      <c r="A999" s="2402"/>
      <c r="B999" s="2465"/>
      <c r="C999" s="2402"/>
      <c r="D999" s="2553"/>
      <c r="E999" s="2397" t="s">
        <v>6274</v>
      </c>
      <c r="F999" s="2883"/>
      <c r="G999" s="2883"/>
      <c r="H999" s="2883"/>
      <c r="I999" s="2883"/>
      <c r="J999" s="2554"/>
      <c r="K999" s="2554"/>
      <c r="L999" s="2555"/>
      <c r="M999" s="2555"/>
      <c r="N999" s="2555"/>
      <c r="O999" s="2555"/>
    </row>
    <row r="1000" spans="1:18" s="2358" customFormat="1" outlineLevel="1">
      <c r="A1000" s="2402" t="str">
        <f>A998</f>
        <v/>
      </c>
      <c r="B1000" s="2556"/>
      <c r="C1000" s="2877" t="str">
        <f>"BẢNG TỔNG HỢP VẬT LIỆU, NHÂN CÔNG, MÁY THI CÔNG 1 TRẠM3P_3x100KVA"</f>
        <v>BẢNG TỔNG HỢP VẬT LIỆU, NHÂN CÔNG, MÁY THI CÔNG 1 TRẠM3P_3x100KVA</v>
      </c>
      <c r="D1000" s="2877"/>
      <c r="E1000" s="2877"/>
      <c r="F1000" s="2877"/>
      <c r="G1000" s="2877"/>
      <c r="H1000" s="2877"/>
      <c r="I1000" s="2877"/>
      <c r="J1000" s="2877"/>
      <c r="K1000" s="2877"/>
      <c r="L1000" s="2877"/>
      <c r="M1000" s="2877"/>
      <c r="N1000" s="2877"/>
      <c r="O1000" s="2877"/>
      <c r="P1000" s="2606"/>
    </row>
    <row r="1001" spans="1:18" s="2358" customFormat="1" outlineLevel="1">
      <c r="A1001" s="2361" t="str">
        <f>A1000</f>
        <v/>
      </c>
      <c r="B1001" s="2383" t="s">
        <v>6186</v>
      </c>
      <c r="C1001" s="2901" t="s">
        <v>1712</v>
      </c>
      <c r="D1001" s="2902" t="s">
        <v>2605</v>
      </c>
      <c r="E1001" s="2904" t="s">
        <v>2606</v>
      </c>
      <c r="F1001" s="2901" t="s">
        <v>2601</v>
      </c>
      <c r="G1001" s="2362" t="s">
        <v>6187</v>
      </c>
      <c r="H1001" s="2365" t="s">
        <v>6188</v>
      </c>
      <c r="I1001" s="2872"/>
      <c r="J1001" s="2872"/>
      <c r="K1001" s="2873"/>
      <c r="L1001" s="2365" t="s">
        <v>6189</v>
      </c>
      <c r="M1001" s="2872"/>
      <c r="N1001" s="2872"/>
      <c r="O1001" s="2873"/>
      <c r="P1001" s="2901" t="s">
        <v>2607</v>
      </c>
    </row>
    <row r="1002" spans="1:18" s="2358" customFormat="1" outlineLevel="1">
      <c r="A1002" s="2361" t="str">
        <f>A1001</f>
        <v/>
      </c>
      <c r="B1002" s="2383"/>
      <c r="C1002" s="2901"/>
      <c r="D1002" s="2903"/>
      <c r="E1002" s="2905"/>
      <c r="F1002" s="2901"/>
      <c r="G1002" s="2364" t="s">
        <v>2292</v>
      </c>
      <c r="H1002" s="2365" t="s">
        <v>6190</v>
      </c>
      <c r="I1002" s="2365" t="s">
        <v>6191</v>
      </c>
      <c r="J1002" s="2365" t="s">
        <v>6192</v>
      </c>
      <c r="K1002" s="2365" t="s">
        <v>6193</v>
      </c>
      <c r="L1002" s="2365" t="s">
        <v>6190</v>
      </c>
      <c r="M1002" s="2365" t="s">
        <v>6191</v>
      </c>
      <c r="N1002" s="2365" t="s">
        <v>6192</v>
      </c>
      <c r="O1002" s="2365" t="s">
        <v>6193</v>
      </c>
      <c r="P1002" s="2901"/>
    </row>
    <row r="1003" spans="1:18" s="2358" customFormat="1" outlineLevel="1">
      <c r="A1003" s="2361" t="str">
        <f>A1002</f>
        <v/>
      </c>
      <c r="B1003" s="2383"/>
      <c r="C1003" s="2366"/>
      <c r="D1003" s="2367"/>
      <c r="E1003" s="2368" t="s">
        <v>3690</v>
      </c>
      <c r="F1003" s="2369"/>
      <c r="G1003" s="2369"/>
      <c r="H1003" s="2369"/>
      <c r="I1003" s="2369"/>
      <c r="J1003" s="2369"/>
      <c r="K1003" s="2369"/>
      <c r="L1003" s="2369"/>
      <c r="M1003" s="2369"/>
      <c r="N1003" s="2369"/>
      <c r="O1003" s="2367"/>
      <c r="P1003" s="2607"/>
    </row>
    <row r="1004" spans="1:18" s="2358" customFormat="1" outlineLevel="1">
      <c r="A1004" s="2361" t="str">
        <f t="shared" ref="A1004:A1013" si="151">IF(G1004&lt;&gt;0,1,"")</f>
        <v/>
      </c>
      <c r="B1004" s="2371" t="s">
        <v>6275</v>
      </c>
      <c r="C1004" s="2372">
        <f>IF(G1004&gt;0,1,0)</f>
        <v>0</v>
      </c>
      <c r="D1004" s="2373" t="s">
        <v>5648</v>
      </c>
      <c r="E1004" s="2374" t="s">
        <v>3327</v>
      </c>
      <c r="F1004" s="2373" t="s">
        <v>3318</v>
      </c>
      <c r="G1004" s="2558"/>
      <c r="H1004" s="2376"/>
      <c r="I1004" s="2376"/>
      <c r="J1004" s="2376">
        <v>891368</v>
      </c>
      <c r="K1004" s="2376">
        <v>284508</v>
      </c>
      <c r="L1004" s="2557">
        <f t="shared" ref="L1004:L1013" si="152">H1004*G1004</f>
        <v>0</v>
      </c>
      <c r="M1004" s="2557">
        <f t="shared" ref="M1004:M1013" si="153">I1004*G1004</f>
        <v>0</v>
      </c>
      <c r="N1004" s="2557">
        <f t="shared" ref="N1004:N1013" si="154">J1004*G1004</f>
        <v>0</v>
      </c>
      <c r="O1004" s="2558">
        <f t="shared" ref="O1004:O1013" si="155">K1004*G1004</f>
        <v>0</v>
      </c>
      <c r="P1004" s="2608" t="s">
        <v>6247</v>
      </c>
    </row>
    <row r="1005" spans="1:18" s="2358" customFormat="1" outlineLevel="1">
      <c r="A1005" s="2361" t="str">
        <f t="shared" si="151"/>
        <v/>
      </c>
      <c r="B1005" s="2371" t="str">
        <f>"FCO100-"&amp;$F$8</f>
        <v>FCO100-22</v>
      </c>
      <c r="C1005" s="2372">
        <f t="shared" ref="C1005:C1013" si="156">IF(G1005&gt;0,C1004+1,C1004)</f>
        <v>0</v>
      </c>
      <c r="D1005" s="2373" t="s">
        <v>5660</v>
      </c>
      <c r="E1005" s="2374" t="s">
        <v>95</v>
      </c>
      <c r="F1005" s="2373" t="s">
        <v>2563</v>
      </c>
      <c r="G1005" s="2609">
        <f>+G1004-G1006</f>
        <v>0</v>
      </c>
      <c r="H1005" s="2517">
        <v>2244280</v>
      </c>
      <c r="I1005" s="2376"/>
      <c r="J1005" s="2376">
        <v>222639.99999999997</v>
      </c>
      <c r="K1005" s="2376">
        <v>0</v>
      </c>
      <c r="L1005" s="2557">
        <f t="shared" si="152"/>
        <v>0</v>
      </c>
      <c r="M1005" s="2557">
        <f t="shared" si="153"/>
        <v>0</v>
      </c>
      <c r="N1005" s="2557">
        <f t="shared" si="154"/>
        <v>0</v>
      </c>
      <c r="O1005" s="2558">
        <f t="shared" si="155"/>
        <v>0</v>
      </c>
      <c r="P1005" s="2608"/>
    </row>
    <row r="1006" spans="1:18" s="2519" customFormat="1" ht="27.6" outlineLevel="1">
      <c r="A1006" s="2435" t="str">
        <f>IF(G1006&lt;&gt;0,1,"")</f>
        <v/>
      </c>
      <c r="B1006" s="2610" t="str">
        <f>"FCO100-"&amp;$F$8</f>
        <v>FCO100-22</v>
      </c>
      <c r="C1006" s="2521">
        <f>IF(G1006&gt;0,C1005+1,C1005)</f>
        <v>0</v>
      </c>
      <c r="D1006" s="2405" t="s">
        <v>5660</v>
      </c>
      <c r="E1006" s="2447" t="s">
        <v>95</v>
      </c>
      <c r="F1006" s="2405" t="s">
        <v>2563</v>
      </c>
      <c r="G1006" s="2611"/>
      <c r="H1006" s="2612"/>
      <c r="I1006" s="2376"/>
      <c r="J1006" s="2612">
        <v>222639.99999999997</v>
      </c>
      <c r="K1006" s="2612">
        <v>0</v>
      </c>
      <c r="L1006" s="2613">
        <f>H1006*G1006</f>
        <v>0</v>
      </c>
      <c r="M1006" s="2613">
        <f>I1006*G1006</f>
        <v>0</v>
      </c>
      <c r="N1006" s="2613">
        <f>J1006*G1006</f>
        <v>0</v>
      </c>
      <c r="O1006" s="2614">
        <f>K1006*G1006</f>
        <v>0</v>
      </c>
      <c r="P1006" s="2615" t="s">
        <v>6276</v>
      </c>
      <c r="R1006" s="2358"/>
    </row>
    <row r="1007" spans="1:18" s="2358" customFormat="1" outlineLevel="1">
      <c r="A1007" s="2361" t="str">
        <f t="shared" si="151"/>
        <v/>
      </c>
      <c r="B1007" s="2383" t="s">
        <v>1146</v>
      </c>
      <c r="C1007" s="2372">
        <f>IF(G1007&gt;0,C1005+1,C1005)</f>
        <v>0</v>
      </c>
      <c r="D1007" s="2373">
        <v>0</v>
      </c>
      <c r="E1007" s="2374" t="s">
        <v>3443</v>
      </c>
      <c r="F1007" s="2373" t="s">
        <v>2608</v>
      </c>
      <c r="G1007" s="2616"/>
      <c r="H1007" s="2376">
        <v>84000</v>
      </c>
      <c r="I1007" s="2376"/>
      <c r="J1007" s="2376">
        <v>0</v>
      </c>
      <c r="K1007" s="2376">
        <v>0</v>
      </c>
      <c r="L1007" s="2557">
        <f t="shared" si="152"/>
        <v>0</v>
      </c>
      <c r="M1007" s="2557">
        <f t="shared" si="153"/>
        <v>0</v>
      </c>
      <c r="N1007" s="2557">
        <f t="shared" si="154"/>
        <v>0</v>
      </c>
      <c r="O1007" s="2558">
        <f t="shared" si="155"/>
        <v>0</v>
      </c>
      <c r="P1007" s="2617"/>
    </row>
    <row r="1008" spans="1:18" s="2358" customFormat="1" outlineLevel="1">
      <c r="A1008" s="2361" t="str">
        <f t="shared" si="151"/>
        <v/>
      </c>
      <c r="B1008" s="2383" t="str">
        <f>IF($F$6=12,"LA12","LA18")</f>
        <v>LA18</v>
      </c>
      <c r="C1008" s="2372">
        <f t="shared" si="156"/>
        <v>0</v>
      </c>
      <c r="D1008" s="2373" t="s">
        <v>5664</v>
      </c>
      <c r="E1008" s="2374" t="s">
        <v>1193</v>
      </c>
      <c r="F1008" s="2373" t="s">
        <v>2563</v>
      </c>
      <c r="G1008" s="2609">
        <f>G1004-G1009</f>
        <v>0</v>
      </c>
      <c r="H1008" s="2517">
        <v>1106000</v>
      </c>
      <c r="I1008" s="2376"/>
      <c r="J1008" s="2376">
        <v>83490</v>
      </c>
      <c r="K1008" s="2376">
        <v>0</v>
      </c>
      <c r="L1008" s="2557">
        <f t="shared" si="152"/>
        <v>0</v>
      </c>
      <c r="M1008" s="2557">
        <f t="shared" si="153"/>
        <v>0</v>
      </c>
      <c r="N1008" s="2557">
        <f t="shared" si="154"/>
        <v>0</v>
      </c>
      <c r="O1008" s="2558">
        <f t="shared" si="155"/>
        <v>0</v>
      </c>
      <c r="P1008" s="2608"/>
    </row>
    <row r="1009" spans="1:18" s="2519" customFormat="1" ht="41.4" outlineLevel="1">
      <c r="A1009" s="2435" t="str">
        <f>IF(G1009&lt;&gt;0,1,"")</f>
        <v/>
      </c>
      <c r="B1009" s="2514" t="str">
        <f>IF($F$6=12,"LA12","LA18")</f>
        <v>LA18</v>
      </c>
      <c r="C1009" s="2521">
        <f>IF(G1009&gt;0,C1008+1,C1008)</f>
        <v>0</v>
      </c>
      <c r="D1009" s="2405" t="s">
        <v>5664</v>
      </c>
      <c r="E1009" s="2447" t="s">
        <v>1193</v>
      </c>
      <c r="F1009" s="2405" t="s">
        <v>2563</v>
      </c>
      <c r="G1009" s="2611"/>
      <c r="H1009" s="2612"/>
      <c r="I1009" s="2376"/>
      <c r="J1009" s="2612">
        <v>83490</v>
      </c>
      <c r="K1009" s="2612">
        <v>0</v>
      </c>
      <c r="L1009" s="2613">
        <f>H1009*G1009</f>
        <v>0</v>
      </c>
      <c r="M1009" s="2613">
        <f>I1009*G1009</f>
        <v>0</v>
      </c>
      <c r="N1009" s="2613">
        <f>J1009*G1009</f>
        <v>0</v>
      </c>
      <c r="O1009" s="2614">
        <f>K1009*G1009</f>
        <v>0</v>
      </c>
      <c r="P1009" s="2615" t="s">
        <v>6277</v>
      </c>
      <c r="R1009" s="2358"/>
    </row>
    <row r="1010" spans="1:18" s="2358" customFormat="1" outlineLevel="1">
      <c r="A1010" s="2402" t="str">
        <f t="shared" si="151"/>
        <v/>
      </c>
      <c r="B1010" s="2526" t="s">
        <v>1462</v>
      </c>
      <c r="C1010" s="2372">
        <f>IF(G1010&gt;0,C1008+1,C1008)</f>
        <v>0</v>
      </c>
      <c r="D1010" s="2373">
        <v>0</v>
      </c>
      <c r="E1010" s="2374" t="s">
        <v>5749</v>
      </c>
      <c r="F1010" s="2373" t="s">
        <v>2563</v>
      </c>
      <c r="G1010" s="2616"/>
      <c r="H1010" s="2376">
        <v>11490000</v>
      </c>
      <c r="I1010" s="2376"/>
      <c r="J1010" s="2376">
        <v>0</v>
      </c>
      <c r="K1010" s="2376">
        <v>0</v>
      </c>
      <c r="L1010" s="2387">
        <f t="shared" si="152"/>
        <v>0</v>
      </c>
      <c r="M1010" s="2618">
        <f t="shared" si="153"/>
        <v>0</v>
      </c>
      <c r="N1010" s="2618">
        <f t="shared" si="154"/>
        <v>0</v>
      </c>
      <c r="O1010" s="2619">
        <f t="shared" si="155"/>
        <v>0</v>
      </c>
      <c r="P1010" s="2620"/>
    </row>
    <row r="1011" spans="1:18" s="2358" customFormat="1" outlineLevel="1">
      <c r="A1011" s="2361" t="str">
        <f t="shared" si="151"/>
        <v/>
      </c>
      <c r="B1011" s="2371" t="s">
        <v>2198</v>
      </c>
      <c r="C1011" s="2372">
        <f t="shared" si="156"/>
        <v>0</v>
      </c>
      <c r="D1011" s="2373" t="s">
        <v>1025</v>
      </c>
      <c r="E1011" s="2374" t="s">
        <v>3401</v>
      </c>
      <c r="F1011" s="2373" t="s">
        <v>3388</v>
      </c>
      <c r="G1011" s="2560">
        <f>+G1010*0</f>
        <v>0</v>
      </c>
      <c r="H1011" s="2376">
        <v>9797887</v>
      </c>
      <c r="I1011" s="2376"/>
      <c r="J1011" s="2376">
        <v>98101</v>
      </c>
      <c r="K1011" s="2376">
        <v>59254</v>
      </c>
      <c r="L1011" s="2382">
        <f t="shared" si="152"/>
        <v>0</v>
      </c>
      <c r="M1011" s="2557">
        <f t="shared" si="153"/>
        <v>0</v>
      </c>
      <c r="N1011" s="2557">
        <f t="shared" si="154"/>
        <v>0</v>
      </c>
      <c r="O1011" s="2558">
        <f t="shared" si="155"/>
        <v>0</v>
      </c>
      <c r="P1011" s="2408"/>
    </row>
    <row r="1012" spans="1:18" s="2358" customFormat="1" outlineLevel="1">
      <c r="A1012" s="2361" t="str">
        <f t="shared" si="151"/>
        <v/>
      </c>
      <c r="B1012" s="2412" t="s">
        <v>6278</v>
      </c>
      <c r="C1012" s="2372">
        <f t="shared" si="156"/>
        <v>0</v>
      </c>
      <c r="D1012" s="2373">
        <v>0</v>
      </c>
      <c r="E1012" s="2374" t="s">
        <v>3380</v>
      </c>
      <c r="F1012" s="2373" t="s">
        <v>2563</v>
      </c>
      <c r="G1012" s="2616">
        <f>G1004</f>
        <v>0</v>
      </c>
      <c r="H1012" s="2376">
        <v>0</v>
      </c>
      <c r="I1012" s="2376"/>
      <c r="J1012" s="2376">
        <v>0</v>
      </c>
      <c r="K1012" s="2376">
        <v>0</v>
      </c>
      <c r="L1012" s="2382">
        <f t="shared" si="152"/>
        <v>0</v>
      </c>
      <c r="M1012" s="2557">
        <f t="shared" si="153"/>
        <v>0</v>
      </c>
      <c r="N1012" s="2557">
        <f t="shared" si="154"/>
        <v>0</v>
      </c>
      <c r="O1012" s="2558">
        <f t="shared" si="155"/>
        <v>0</v>
      </c>
      <c r="P1012" s="2617" t="s">
        <v>2609</v>
      </c>
    </row>
    <row r="1013" spans="1:18" s="2358" customFormat="1" outlineLevel="1">
      <c r="A1013" s="2361" t="str">
        <f t="shared" si="151"/>
        <v/>
      </c>
      <c r="B1013" s="2386" t="s">
        <v>288</v>
      </c>
      <c r="C1013" s="2372">
        <f t="shared" si="156"/>
        <v>0</v>
      </c>
      <c r="D1013" s="2373">
        <v>0</v>
      </c>
      <c r="E1013" s="2374" t="s">
        <v>3459</v>
      </c>
      <c r="F1013" s="2373" t="s">
        <v>2563</v>
      </c>
      <c r="G1013" s="2616">
        <f>G1007/3</f>
        <v>0</v>
      </c>
      <c r="H1013" s="2376">
        <v>0</v>
      </c>
      <c r="I1013" s="2376"/>
      <c r="J1013" s="2376">
        <v>0</v>
      </c>
      <c r="K1013" s="2376">
        <v>0</v>
      </c>
      <c r="L1013" s="2382">
        <f t="shared" si="152"/>
        <v>0</v>
      </c>
      <c r="M1013" s="2557">
        <f t="shared" si="153"/>
        <v>0</v>
      </c>
      <c r="N1013" s="2557">
        <f t="shared" si="154"/>
        <v>0</v>
      </c>
      <c r="O1013" s="2558">
        <f t="shared" si="155"/>
        <v>0</v>
      </c>
      <c r="P1013" s="2617" t="s">
        <v>2609</v>
      </c>
    </row>
    <row r="1014" spans="1:18" s="2358" customFormat="1" outlineLevel="1">
      <c r="A1014" s="2361" t="str">
        <f>A1004</f>
        <v/>
      </c>
      <c r="B1014" s="2383"/>
      <c r="C1014" s="2561"/>
      <c r="D1014" s="2562"/>
      <c r="E1014" s="2563"/>
      <c r="F1014" s="2561"/>
      <c r="G1014" s="2621"/>
      <c r="H1014" s="2561"/>
      <c r="I1014" s="2561"/>
      <c r="J1014" s="2370" t="s">
        <v>6195</v>
      </c>
      <c r="K1014" s="2561"/>
      <c r="L1014" s="2563">
        <f>SUM(L1004:L1013)</f>
        <v>0</v>
      </c>
      <c r="M1014" s="2563"/>
      <c r="N1014" s="2563">
        <f>SUM(N1004:N1013)</f>
        <v>0</v>
      </c>
      <c r="O1014" s="2563">
        <f>SUM(O1004:O1013)</f>
        <v>0</v>
      </c>
      <c r="P1014" s="2622"/>
    </row>
    <row r="1015" spans="1:18" s="2358" customFormat="1" outlineLevel="1">
      <c r="A1015" s="2361" t="str">
        <f>A1014</f>
        <v/>
      </c>
      <c r="B1015" s="2383"/>
      <c r="C1015" s="2564"/>
      <c r="D1015" s="2565"/>
      <c r="E1015" s="2566" t="s">
        <v>3691</v>
      </c>
      <c r="F1015" s="2566"/>
      <c r="G1015" s="2623"/>
      <c r="H1015" s="2566"/>
      <c r="I1015" s="2566"/>
      <c r="J1015" s="2566"/>
      <c r="K1015" s="2566"/>
      <c r="L1015" s="2566"/>
      <c r="M1015" s="2566"/>
      <c r="N1015" s="2566"/>
      <c r="O1015" s="2565"/>
      <c r="P1015" s="2624"/>
    </row>
    <row r="1016" spans="1:18" s="2358" customFormat="1" outlineLevel="1">
      <c r="A1016" s="2361" t="str">
        <f>A1015</f>
        <v/>
      </c>
      <c r="B1016" s="2383"/>
      <c r="C1016" s="2393">
        <f>IF(G1016&gt;0,1,0)</f>
        <v>0</v>
      </c>
      <c r="D1016" s="2567"/>
      <c r="E1016" s="2568" t="s">
        <v>3710</v>
      </c>
      <c r="F1016" s="2393" t="s">
        <v>2391</v>
      </c>
      <c r="G1016" s="2625">
        <f>G1004/3</f>
        <v>0</v>
      </c>
      <c r="H1016" s="2570"/>
      <c r="I1016" s="2570"/>
      <c r="J1016" s="2570"/>
      <c r="K1016" s="2570"/>
      <c r="L1016" s="2570"/>
      <c r="M1016" s="2570"/>
      <c r="N1016" s="2570"/>
      <c r="O1016" s="2393"/>
      <c r="P1016" s="2608" t="s">
        <v>6247</v>
      </c>
    </row>
    <row r="1017" spans="1:18" s="2358" customFormat="1" ht="14.4" outlineLevel="1">
      <c r="A1017" s="2361" t="str">
        <f>A1016</f>
        <v/>
      </c>
      <c r="B1017" s="2383"/>
      <c r="C1017" s="2398"/>
      <c r="D1017" s="2571"/>
      <c r="E1017" s="2572" t="s">
        <v>6207</v>
      </c>
      <c r="F1017" s="2372"/>
      <c r="G1017" s="2616"/>
      <c r="H1017" s="2574"/>
      <c r="I1017" s="2574"/>
      <c r="J1017" s="2574"/>
      <c r="K1017" s="2574"/>
      <c r="L1017" s="2574"/>
      <c r="M1017" s="2574"/>
      <c r="N1017" s="2574"/>
      <c r="O1017" s="2575"/>
      <c r="P1017" s="2626"/>
    </row>
    <row r="1018" spans="1:18" s="2358" customFormat="1" outlineLevel="1">
      <c r="A1018" s="2361" t="str">
        <f>IF(G1018&lt;&gt;0,1,"")</f>
        <v/>
      </c>
      <c r="B1018" s="2386" t="s">
        <v>5784</v>
      </c>
      <c r="C1018" s="2398"/>
      <c r="D1018" s="2373" t="s">
        <v>691</v>
      </c>
      <c r="E1018" s="2374" t="s">
        <v>5785</v>
      </c>
      <c r="F1018" s="2373" t="s">
        <v>3475</v>
      </c>
      <c r="G1018" s="2609">
        <f>G1016*0</f>
        <v>0</v>
      </c>
      <c r="H1018" s="2376">
        <v>1470000</v>
      </c>
      <c r="I1018" s="2381"/>
      <c r="J1018" s="2376">
        <v>26506</v>
      </c>
      <c r="K1018" s="2376">
        <v>0</v>
      </c>
      <c r="L1018" s="2557">
        <f t="shared" ref="L1018:L1052" si="157">H1018*G1018</f>
        <v>0</v>
      </c>
      <c r="M1018" s="2557">
        <f t="shared" ref="M1018:M1039" si="158">I1018*G1018</f>
        <v>0</v>
      </c>
      <c r="N1018" s="2557">
        <f t="shared" ref="N1018:N1039" si="159">J1018*G1018</f>
        <v>0</v>
      </c>
      <c r="O1018" s="2558">
        <f t="shared" ref="O1018:O1081" si="160">K1018*G1018</f>
        <v>0</v>
      </c>
      <c r="P1018" s="2626"/>
    </row>
    <row r="1019" spans="1:18" s="2358" customFormat="1" outlineLevel="1">
      <c r="A1019" s="2361" t="str">
        <f>IF(G1019&lt;&gt;0,1,"")</f>
        <v/>
      </c>
      <c r="B1019" s="2383" t="s">
        <v>1790</v>
      </c>
      <c r="C1019" s="2398"/>
      <c r="D1019" s="2373">
        <v>0</v>
      </c>
      <c r="E1019" s="2374" t="s">
        <v>2647</v>
      </c>
      <c r="F1019" s="2373" t="s">
        <v>2445</v>
      </c>
      <c r="G1019" s="2609">
        <f>6*G1016*0</f>
        <v>0</v>
      </c>
      <c r="H1019" s="2376">
        <v>12400</v>
      </c>
      <c r="I1019" s="2381"/>
      <c r="J1019" s="2376">
        <v>0</v>
      </c>
      <c r="K1019" s="2376">
        <v>0</v>
      </c>
      <c r="L1019" s="2557">
        <f t="shared" si="157"/>
        <v>0</v>
      </c>
      <c r="M1019" s="2557">
        <f t="shared" si="158"/>
        <v>0</v>
      </c>
      <c r="N1019" s="2557">
        <f t="shared" si="159"/>
        <v>0</v>
      </c>
      <c r="O1019" s="2558">
        <f t="shared" si="160"/>
        <v>0</v>
      </c>
      <c r="P1019" s="2626"/>
    </row>
    <row r="1020" spans="1:18" s="2358" customFormat="1" outlineLevel="1">
      <c r="A1020" s="2361" t="str">
        <f>IF(G1020&lt;&gt;0,1,"")</f>
        <v/>
      </c>
      <c r="B1020" s="2383" t="s">
        <v>1613</v>
      </c>
      <c r="C1020" s="2398"/>
      <c r="D1020" s="2373">
        <v>0</v>
      </c>
      <c r="E1020" s="2374" t="s">
        <v>2657</v>
      </c>
      <c r="F1020" s="2373" t="s">
        <v>2445</v>
      </c>
      <c r="G1020" s="2609">
        <f>2*G1016*0</f>
        <v>0</v>
      </c>
      <c r="H1020" s="2376">
        <v>25400</v>
      </c>
      <c r="I1020" s="2381"/>
      <c r="J1020" s="2376">
        <v>0</v>
      </c>
      <c r="K1020" s="2376">
        <v>0</v>
      </c>
      <c r="L1020" s="2557">
        <f t="shared" si="157"/>
        <v>0</v>
      </c>
      <c r="M1020" s="2557">
        <f t="shared" si="158"/>
        <v>0</v>
      </c>
      <c r="N1020" s="2557">
        <f t="shared" si="159"/>
        <v>0</v>
      </c>
      <c r="O1020" s="2558">
        <f t="shared" si="160"/>
        <v>0</v>
      </c>
      <c r="P1020" s="2626"/>
    </row>
    <row r="1021" spans="1:18" s="2358" customFormat="1" outlineLevel="1">
      <c r="A1021" s="2361">
        <f>IF(G1021&lt;&gt;0,1,)</f>
        <v>0</v>
      </c>
      <c r="B1021" s="2383"/>
      <c r="C1021" s="2398">
        <f>IF(G1021&gt;0,C1016+1,C1016)</f>
        <v>0</v>
      </c>
      <c r="D1021" s="2399"/>
      <c r="E1021" s="2400" t="s">
        <v>6212</v>
      </c>
      <c r="F1021" s="2395" t="s">
        <v>2391</v>
      </c>
      <c r="G1021" s="2395"/>
      <c r="H1021" s="2381"/>
      <c r="I1021" s="2381"/>
      <c r="J1021" s="2381"/>
      <c r="K1021" s="2381"/>
      <c r="L1021" s="2382">
        <f t="shared" si="157"/>
        <v>0</v>
      </c>
      <c r="M1021" s="2382">
        <f t="shared" si="158"/>
        <v>0</v>
      </c>
      <c r="N1021" s="2382">
        <f t="shared" si="159"/>
        <v>0</v>
      </c>
      <c r="O1021" s="2381">
        <f t="shared" si="160"/>
        <v>0</v>
      </c>
      <c r="P1021" s="2380"/>
    </row>
    <row r="1022" spans="1:18" s="2358" customFormat="1" ht="14.4" outlineLevel="1">
      <c r="A1022" s="2361">
        <f>A1021</f>
        <v>0</v>
      </c>
      <c r="B1022" s="2383"/>
      <c r="C1022" s="2395"/>
      <c r="D1022" s="2399"/>
      <c r="E1022" s="2401" t="s">
        <v>6207</v>
      </c>
      <c r="F1022" s="2380"/>
      <c r="G1022" s="2380"/>
      <c r="H1022" s="2381"/>
      <c r="I1022" s="2381"/>
      <c r="J1022" s="2381"/>
      <c r="K1022" s="2381"/>
      <c r="L1022" s="2382">
        <f t="shared" si="157"/>
        <v>0</v>
      </c>
      <c r="M1022" s="2382">
        <f t="shared" si="158"/>
        <v>0</v>
      </c>
      <c r="N1022" s="2382">
        <f t="shared" si="159"/>
        <v>0</v>
      </c>
      <c r="O1022" s="2381">
        <f t="shared" si="160"/>
        <v>0</v>
      </c>
      <c r="P1022" s="2380"/>
      <c r="R1022" s="2402"/>
    </row>
    <row r="1023" spans="1:18" s="2358" customFormat="1" outlineLevel="1">
      <c r="A1023" s="2361">
        <f>IF(G1023&lt;&gt;0,1,)</f>
        <v>0</v>
      </c>
      <c r="B1023" s="2386" t="s">
        <v>115</v>
      </c>
      <c r="C1023" s="2380"/>
      <c r="D1023" s="2373">
        <v>0</v>
      </c>
      <c r="E1023" s="2374" t="s">
        <v>3009</v>
      </c>
      <c r="F1023" s="2373" t="s">
        <v>2839</v>
      </c>
      <c r="G1023" s="2380">
        <f>1*G1021</f>
        <v>0</v>
      </c>
      <c r="H1023" s="2376">
        <v>4400000</v>
      </c>
      <c r="I1023" s="2376"/>
      <c r="J1023" s="2376">
        <v>0</v>
      </c>
      <c r="K1023" s="2376">
        <v>0</v>
      </c>
      <c r="L1023" s="2382">
        <f t="shared" si="157"/>
        <v>0</v>
      </c>
      <c r="M1023" s="2382">
        <f t="shared" si="158"/>
        <v>0</v>
      </c>
      <c r="N1023" s="2382">
        <f t="shared" si="159"/>
        <v>0</v>
      </c>
      <c r="O1023" s="2381">
        <f t="shared" si="160"/>
        <v>0</v>
      </c>
      <c r="P1023" s="2380"/>
      <c r="R1023" s="2402"/>
    </row>
    <row r="1024" spans="1:18" s="2358" customFormat="1" outlineLevel="1">
      <c r="A1024" s="2361">
        <f>IF(G1024&lt;&gt;0,1,)</f>
        <v>0</v>
      </c>
      <c r="B1024" s="2386" t="s">
        <v>1818</v>
      </c>
      <c r="C1024" s="2380"/>
      <c r="D1024" s="2403"/>
      <c r="E1024" s="2374" t="s">
        <v>2838</v>
      </c>
      <c r="F1024" s="2373" t="s">
        <v>2839</v>
      </c>
      <c r="G1024" s="2380">
        <f>G1023</f>
        <v>0</v>
      </c>
      <c r="H1024" s="2376">
        <v>17400</v>
      </c>
      <c r="I1024" s="2376"/>
      <c r="J1024" s="2376">
        <v>0</v>
      </c>
      <c r="K1024" s="2376">
        <v>0</v>
      </c>
      <c r="L1024" s="2382">
        <f t="shared" si="157"/>
        <v>0</v>
      </c>
      <c r="M1024" s="2382">
        <f t="shared" si="158"/>
        <v>0</v>
      </c>
      <c r="N1024" s="2382">
        <f t="shared" si="159"/>
        <v>0</v>
      </c>
      <c r="O1024" s="2381">
        <f t="shared" si="160"/>
        <v>0</v>
      </c>
      <c r="P1024" s="2380"/>
      <c r="R1024" s="2402"/>
    </row>
    <row r="1025" spans="1:18" s="2358" customFormat="1" outlineLevel="1">
      <c r="A1025" s="2361">
        <f>IF(G1025&lt;&gt;0,1,)</f>
        <v>0</v>
      </c>
      <c r="B1025" s="2386" t="s">
        <v>2132</v>
      </c>
      <c r="C1025" s="2380"/>
      <c r="D1025" s="2403"/>
      <c r="E1025" s="2374" t="s">
        <v>3185</v>
      </c>
      <c r="F1025" s="2373" t="s">
        <v>2839</v>
      </c>
      <c r="G1025" s="2380">
        <f>G1023</f>
        <v>0</v>
      </c>
      <c r="H1025" s="2376">
        <v>0</v>
      </c>
      <c r="I1025" s="2376"/>
      <c r="J1025" s="2376">
        <v>112286</v>
      </c>
      <c r="K1025" s="2376">
        <v>105970</v>
      </c>
      <c r="L1025" s="2382">
        <f t="shared" si="157"/>
        <v>0</v>
      </c>
      <c r="M1025" s="2382">
        <f t="shared" si="158"/>
        <v>0</v>
      </c>
      <c r="N1025" s="2382">
        <f t="shared" si="159"/>
        <v>0</v>
      </c>
      <c r="O1025" s="2381">
        <f t="shared" si="160"/>
        <v>0</v>
      </c>
      <c r="P1025" s="2380"/>
      <c r="R1025" s="2402"/>
    </row>
    <row r="1026" spans="1:18" s="2358" customFormat="1" outlineLevel="1">
      <c r="A1026" s="2361">
        <f>IF(G1026&lt;&gt;0,1,)</f>
        <v>0</v>
      </c>
      <c r="B1026" s="2383"/>
      <c r="C1026" s="2398">
        <f>IF(G1026&gt;0,C1021+1,C1021)</f>
        <v>0</v>
      </c>
      <c r="D1026" s="2399"/>
      <c r="E1026" s="2400" t="s">
        <v>2358</v>
      </c>
      <c r="F1026" s="2395" t="s">
        <v>2391</v>
      </c>
      <c r="G1026" s="2395">
        <f>G1021</f>
        <v>0</v>
      </c>
      <c r="H1026" s="2381"/>
      <c r="I1026" s="2381"/>
      <c r="J1026" s="2381"/>
      <c r="K1026" s="2381"/>
      <c r="L1026" s="2382">
        <f t="shared" si="157"/>
        <v>0</v>
      </c>
      <c r="M1026" s="2382">
        <f t="shared" si="158"/>
        <v>0</v>
      </c>
      <c r="N1026" s="2382">
        <f t="shared" si="159"/>
        <v>0</v>
      </c>
      <c r="O1026" s="2381">
        <f t="shared" si="160"/>
        <v>0</v>
      </c>
      <c r="P1026" s="2380"/>
    </row>
    <row r="1027" spans="1:18" s="2358" customFormat="1" ht="14.4" outlineLevel="1">
      <c r="A1027" s="2361">
        <f>A1026</f>
        <v>0</v>
      </c>
      <c r="B1027" s="2383"/>
      <c r="C1027" s="2395"/>
      <c r="D1027" s="2399"/>
      <c r="E1027" s="2401" t="s">
        <v>6207</v>
      </c>
      <c r="F1027" s="2380"/>
      <c r="G1027" s="2380"/>
      <c r="H1027" s="2381"/>
      <c r="I1027" s="2381"/>
      <c r="J1027" s="2381"/>
      <c r="K1027" s="2381"/>
      <c r="L1027" s="2382">
        <f t="shared" si="157"/>
        <v>0</v>
      </c>
      <c r="M1027" s="2382">
        <f t="shared" si="158"/>
        <v>0</v>
      </c>
      <c r="N1027" s="2382">
        <f t="shared" si="159"/>
        <v>0</v>
      </c>
      <c r="O1027" s="2381">
        <f t="shared" si="160"/>
        <v>0</v>
      </c>
      <c r="P1027" s="2380"/>
      <c r="R1027" s="2402"/>
    </row>
    <row r="1028" spans="1:18" s="2358" customFormat="1" outlineLevel="1">
      <c r="A1028" s="2361">
        <f>IF(G1028&lt;&gt;0,1,)</f>
        <v>0</v>
      </c>
      <c r="B1028" s="2386" t="s">
        <v>636</v>
      </c>
      <c r="C1028" s="2380"/>
      <c r="D1028" s="2373" t="s">
        <v>5099</v>
      </c>
      <c r="E1028" s="2374" t="s">
        <v>2615</v>
      </c>
      <c r="F1028" s="2373" t="s">
        <v>2563</v>
      </c>
      <c r="G1028" s="2380">
        <f>1*G1026</f>
        <v>0</v>
      </c>
      <c r="H1028" s="2376">
        <v>354545</v>
      </c>
      <c r="I1028" s="2376"/>
      <c r="J1028" s="2376">
        <v>37220.25</v>
      </c>
      <c r="K1028" s="2376">
        <v>0</v>
      </c>
      <c r="L1028" s="2382">
        <f t="shared" si="157"/>
        <v>0</v>
      </c>
      <c r="M1028" s="2382">
        <f t="shared" si="158"/>
        <v>0</v>
      </c>
      <c r="N1028" s="2382">
        <f t="shared" si="159"/>
        <v>0</v>
      </c>
      <c r="O1028" s="2381">
        <f t="shared" si="160"/>
        <v>0</v>
      </c>
      <c r="P1028" s="2380"/>
      <c r="R1028" s="2402"/>
    </row>
    <row r="1029" spans="1:18" s="2358" customFormat="1" outlineLevel="1">
      <c r="A1029" s="2361">
        <f>IF(G1029&lt;&gt;0,1,)</f>
        <v>0</v>
      </c>
      <c r="B1029" s="2386" t="s">
        <v>566</v>
      </c>
      <c r="C1029" s="2380"/>
      <c r="D1029" s="2373">
        <v>0</v>
      </c>
      <c r="E1029" s="2374" t="s">
        <v>5124</v>
      </c>
      <c r="F1029" s="2373" t="s">
        <v>2445</v>
      </c>
      <c r="G1029" s="2380">
        <f>G1026</f>
        <v>0</v>
      </c>
      <c r="H1029" s="2376">
        <v>92200</v>
      </c>
      <c r="I1029" s="2376"/>
      <c r="J1029" s="2376">
        <v>0</v>
      </c>
      <c r="K1029" s="2376">
        <v>0</v>
      </c>
      <c r="L1029" s="2382">
        <f t="shared" si="157"/>
        <v>0</v>
      </c>
      <c r="M1029" s="2382">
        <f t="shared" si="158"/>
        <v>0</v>
      </c>
      <c r="N1029" s="2382">
        <f t="shared" si="159"/>
        <v>0</v>
      </c>
      <c r="O1029" s="2381">
        <f t="shared" si="160"/>
        <v>0</v>
      </c>
      <c r="P1029" s="2380"/>
      <c r="R1029" s="2402"/>
    </row>
    <row r="1030" spans="1:18" s="2358" customFormat="1" outlineLevel="1">
      <c r="A1030" s="2361">
        <f>IF(G1030&lt;&gt;0,1,)</f>
        <v>0</v>
      </c>
      <c r="B1030" s="2386" t="s">
        <v>639</v>
      </c>
      <c r="C1030" s="2380"/>
      <c r="D1030" s="2373" t="s">
        <v>1751</v>
      </c>
      <c r="E1030" s="2374" t="s">
        <v>5386</v>
      </c>
      <c r="F1030" s="2373" t="s">
        <v>856</v>
      </c>
      <c r="G1030" s="2404">
        <f>G1026*0.87</f>
        <v>0</v>
      </c>
      <c r="H1030" s="2376">
        <v>0</v>
      </c>
      <c r="I1030" s="2376"/>
      <c r="J1030" s="2376">
        <v>296500.89999999997</v>
      </c>
      <c r="K1030" s="2376">
        <v>0</v>
      </c>
      <c r="L1030" s="2382">
        <f t="shared" si="157"/>
        <v>0</v>
      </c>
      <c r="M1030" s="2382">
        <f t="shared" si="158"/>
        <v>0</v>
      </c>
      <c r="N1030" s="2382">
        <f t="shared" si="159"/>
        <v>0</v>
      </c>
      <c r="O1030" s="2381">
        <f t="shared" si="160"/>
        <v>0</v>
      </c>
      <c r="P1030" s="2380"/>
      <c r="R1030" s="2402"/>
    </row>
    <row r="1031" spans="1:18" s="2358" customFormat="1" outlineLevel="1">
      <c r="A1031" s="2361">
        <f>IF(G1031&lt;&gt;0,1,)</f>
        <v>0</v>
      </c>
      <c r="B1031" s="2386" t="s">
        <v>21</v>
      </c>
      <c r="C1031" s="2380"/>
      <c r="D1031" s="2373" t="s">
        <v>5387</v>
      </c>
      <c r="E1031" s="2374" t="s">
        <v>5388</v>
      </c>
      <c r="F1031" s="2373" t="s">
        <v>856</v>
      </c>
      <c r="G1031" s="2404">
        <f>G1026*0.79</f>
        <v>0</v>
      </c>
      <c r="H1031" s="2376">
        <v>0</v>
      </c>
      <c r="I1031" s="2376"/>
      <c r="J1031" s="2376">
        <v>117703.6</v>
      </c>
      <c r="K1031" s="2376">
        <v>0</v>
      </c>
      <c r="L1031" s="2382">
        <f t="shared" si="157"/>
        <v>0</v>
      </c>
      <c r="M1031" s="2382">
        <f t="shared" si="158"/>
        <v>0</v>
      </c>
      <c r="N1031" s="2382">
        <f t="shared" si="159"/>
        <v>0</v>
      </c>
      <c r="O1031" s="2381">
        <f t="shared" si="160"/>
        <v>0</v>
      </c>
      <c r="P1031" s="2380"/>
      <c r="R1031" s="2402"/>
    </row>
    <row r="1032" spans="1:18" s="2358" customFormat="1" outlineLevel="1">
      <c r="A1032" s="2361">
        <f>IF(G1032&lt;&gt;0,1,0)</f>
        <v>0</v>
      </c>
      <c r="B1032" s="2386" t="s">
        <v>6233</v>
      </c>
      <c r="C1032" s="2395">
        <f>IF(G1032&gt;0,C1026+1,C1026)</f>
        <v>0</v>
      </c>
      <c r="D1032" s="2455"/>
      <c r="E1032" s="2424" t="s">
        <v>6234</v>
      </c>
      <c r="F1032" s="2395" t="s">
        <v>2391</v>
      </c>
      <c r="G1032" s="2457">
        <f>G1004/3</f>
        <v>0</v>
      </c>
      <c r="H1032" s="2381"/>
      <c r="I1032" s="2381"/>
      <c r="J1032" s="2381"/>
      <c r="K1032" s="2381"/>
      <c r="L1032" s="2382">
        <f t="shared" si="157"/>
        <v>0</v>
      </c>
      <c r="M1032" s="2382">
        <f t="shared" si="158"/>
        <v>0</v>
      </c>
      <c r="N1032" s="2382">
        <f t="shared" si="159"/>
        <v>0</v>
      </c>
      <c r="O1032" s="2381">
        <f t="shared" si="160"/>
        <v>0</v>
      </c>
      <c r="P1032" s="2627" t="s">
        <v>6279</v>
      </c>
    </row>
    <row r="1033" spans="1:18" s="2358" customFormat="1" ht="14.4" outlineLevel="1">
      <c r="A1033" s="2361">
        <f>A1032</f>
        <v>0</v>
      </c>
      <c r="B1033" s="2383"/>
      <c r="C1033" s="2395"/>
      <c r="D1033" s="2455"/>
      <c r="E1033" s="2425" t="s">
        <v>6207</v>
      </c>
      <c r="F1033" s="2380"/>
      <c r="G1033" s="2576"/>
      <c r="H1033" s="2381"/>
      <c r="I1033" s="2381"/>
      <c r="J1033" s="2381"/>
      <c r="K1033" s="2381"/>
      <c r="L1033" s="2382">
        <f t="shared" si="157"/>
        <v>0</v>
      </c>
      <c r="M1033" s="2382">
        <f t="shared" si="158"/>
        <v>0</v>
      </c>
      <c r="N1033" s="2382">
        <f t="shared" si="159"/>
        <v>0</v>
      </c>
      <c r="O1033" s="2381">
        <f t="shared" si="160"/>
        <v>0</v>
      </c>
      <c r="P1033" s="2626"/>
    </row>
    <row r="1034" spans="1:18" s="2358" customFormat="1" outlineLevel="1">
      <c r="A1034" s="2361">
        <f t="shared" ref="A1034:A1039" si="161">IF(G1034&lt;&gt;0,1,0)</f>
        <v>0</v>
      </c>
      <c r="B1034" s="2386" t="s">
        <v>5212</v>
      </c>
      <c r="C1034" s="2395"/>
      <c r="D1034" s="2373">
        <v>0</v>
      </c>
      <c r="E1034" s="2374" t="s">
        <v>5213</v>
      </c>
      <c r="F1034" s="2373" t="s">
        <v>2598</v>
      </c>
      <c r="G1034" s="2404">
        <f>+G1032*0</f>
        <v>0</v>
      </c>
      <c r="H1034" s="2376">
        <v>960000</v>
      </c>
      <c r="I1034" s="2381"/>
      <c r="J1034" s="2376">
        <v>0</v>
      </c>
      <c r="K1034" s="2376">
        <v>0</v>
      </c>
      <c r="L1034" s="2382">
        <f t="shared" si="157"/>
        <v>0</v>
      </c>
      <c r="M1034" s="2382">
        <f t="shared" si="158"/>
        <v>0</v>
      </c>
      <c r="N1034" s="2382">
        <f t="shared" si="159"/>
        <v>0</v>
      </c>
      <c r="O1034" s="2381">
        <f t="shared" si="160"/>
        <v>0</v>
      </c>
      <c r="P1034" s="2408"/>
    </row>
    <row r="1035" spans="1:18" s="2358" customFormat="1" outlineLevel="1">
      <c r="A1035" s="2361">
        <f t="shared" si="161"/>
        <v>0</v>
      </c>
      <c r="B1035" s="2386" t="s">
        <v>5219</v>
      </c>
      <c r="C1035" s="2395"/>
      <c r="D1035" s="2373">
        <v>0</v>
      </c>
      <c r="E1035" s="2374" t="s">
        <v>5220</v>
      </c>
      <c r="F1035" s="2373" t="s">
        <v>5221</v>
      </c>
      <c r="G1035" s="2404">
        <f>+G1034*2</f>
        <v>0</v>
      </c>
      <c r="H1035" s="2376">
        <v>140000</v>
      </c>
      <c r="I1035" s="2381"/>
      <c r="J1035" s="2376">
        <v>0</v>
      </c>
      <c r="K1035" s="2376">
        <v>0</v>
      </c>
      <c r="L1035" s="2382">
        <f t="shared" si="157"/>
        <v>0</v>
      </c>
      <c r="M1035" s="2382">
        <f t="shared" si="158"/>
        <v>0</v>
      </c>
      <c r="N1035" s="2382">
        <f t="shared" si="159"/>
        <v>0</v>
      </c>
      <c r="O1035" s="2381">
        <f t="shared" si="160"/>
        <v>0</v>
      </c>
      <c r="P1035" s="2408"/>
    </row>
    <row r="1036" spans="1:18" s="2358" customFormat="1" outlineLevel="1">
      <c r="A1036" s="2361">
        <f t="shared" si="161"/>
        <v>0</v>
      </c>
      <c r="B1036" s="2383" t="s">
        <v>488</v>
      </c>
      <c r="C1036" s="2395"/>
      <c r="D1036" s="2373">
        <v>0</v>
      </c>
      <c r="E1036" s="2374" t="s">
        <v>5130</v>
      </c>
      <c r="F1036" s="2373" t="s">
        <v>2445</v>
      </c>
      <c r="G1036" s="2380">
        <f>G1032*1*0</f>
        <v>0</v>
      </c>
      <c r="H1036" s="2376">
        <v>65000</v>
      </c>
      <c r="I1036" s="2381"/>
      <c r="J1036" s="2376">
        <v>0</v>
      </c>
      <c r="K1036" s="2376">
        <v>0</v>
      </c>
      <c r="L1036" s="2382">
        <f t="shared" si="157"/>
        <v>0</v>
      </c>
      <c r="M1036" s="2382">
        <f t="shared" si="158"/>
        <v>0</v>
      </c>
      <c r="N1036" s="2382">
        <f t="shared" si="159"/>
        <v>0</v>
      </c>
      <c r="O1036" s="2381">
        <f t="shared" si="160"/>
        <v>0</v>
      </c>
      <c r="P1036" s="2626"/>
    </row>
    <row r="1037" spans="1:18" s="2358" customFormat="1" outlineLevel="1">
      <c r="A1037" s="2361">
        <f t="shared" si="161"/>
        <v>0</v>
      </c>
      <c r="B1037" s="2383" t="s">
        <v>244</v>
      </c>
      <c r="C1037" s="2395"/>
      <c r="D1037" s="2373">
        <v>0</v>
      </c>
      <c r="E1037" s="2374" t="s">
        <v>2649</v>
      </c>
      <c r="F1037" s="2373" t="s">
        <v>2445</v>
      </c>
      <c r="G1037" s="2380">
        <f>2*G1032*0</f>
        <v>0</v>
      </c>
      <c r="H1037" s="2376">
        <v>18900</v>
      </c>
      <c r="I1037" s="2381"/>
      <c r="J1037" s="2376">
        <v>0</v>
      </c>
      <c r="K1037" s="2376">
        <v>0</v>
      </c>
      <c r="L1037" s="2382">
        <f t="shared" si="157"/>
        <v>0</v>
      </c>
      <c r="M1037" s="2382">
        <f t="shared" si="158"/>
        <v>0</v>
      </c>
      <c r="N1037" s="2382">
        <f t="shared" si="159"/>
        <v>0</v>
      </c>
      <c r="O1037" s="2381">
        <f t="shared" si="160"/>
        <v>0</v>
      </c>
      <c r="P1037" s="2408"/>
    </row>
    <row r="1038" spans="1:18" s="2358" customFormat="1" outlineLevel="1">
      <c r="A1038" s="2361">
        <f t="shared" si="161"/>
        <v>0</v>
      </c>
      <c r="B1038" s="2383" t="s">
        <v>1079</v>
      </c>
      <c r="C1038" s="2395"/>
      <c r="D1038" s="2373">
        <v>0</v>
      </c>
      <c r="E1038" s="2374" t="s">
        <v>2659</v>
      </c>
      <c r="F1038" s="2373" t="s">
        <v>2445</v>
      </c>
      <c r="G1038" s="2380">
        <f>1*G1032*0</f>
        <v>0</v>
      </c>
      <c r="H1038" s="2376">
        <v>27900</v>
      </c>
      <c r="I1038" s="2381"/>
      <c r="J1038" s="2376">
        <v>0</v>
      </c>
      <c r="K1038" s="2376">
        <v>0</v>
      </c>
      <c r="L1038" s="2382">
        <f t="shared" si="157"/>
        <v>0</v>
      </c>
      <c r="M1038" s="2382">
        <f t="shared" si="158"/>
        <v>0</v>
      </c>
      <c r="N1038" s="2382">
        <f t="shared" si="159"/>
        <v>0</v>
      </c>
      <c r="O1038" s="2381">
        <f t="shared" si="160"/>
        <v>0</v>
      </c>
      <c r="P1038" s="2408"/>
    </row>
    <row r="1039" spans="1:18" s="2358" customFormat="1" outlineLevel="1">
      <c r="A1039" s="2361">
        <f t="shared" si="161"/>
        <v>0</v>
      </c>
      <c r="B1039" s="2383" t="s">
        <v>1613</v>
      </c>
      <c r="C1039" s="2395"/>
      <c r="D1039" s="2373">
        <v>0</v>
      </c>
      <c r="E1039" s="2374" t="s">
        <v>2657</v>
      </c>
      <c r="F1039" s="2373" t="s">
        <v>2445</v>
      </c>
      <c r="G1039" s="2380">
        <f>1*G1032*0</f>
        <v>0</v>
      </c>
      <c r="H1039" s="2376">
        <v>25400</v>
      </c>
      <c r="I1039" s="2381"/>
      <c r="J1039" s="2376">
        <v>0</v>
      </c>
      <c r="K1039" s="2376">
        <v>0</v>
      </c>
      <c r="L1039" s="2382">
        <f t="shared" si="157"/>
        <v>0</v>
      </c>
      <c r="M1039" s="2382">
        <f t="shared" si="158"/>
        <v>0</v>
      </c>
      <c r="N1039" s="2382">
        <f t="shared" si="159"/>
        <v>0</v>
      </c>
      <c r="O1039" s="2381">
        <f t="shared" si="160"/>
        <v>0</v>
      </c>
      <c r="P1039" s="2408"/>
    </row>
    <row r="1040" spans="1:18" s="2358" customFormat="1" outlineLevel="1">
      <c r="A1040" s="2361">
        <f>IF(G1040&lt;&gt;0,1,0)</f>
        <v>0</v>
      </c>
      <c r="B1040" s="2383" t="s">
        <v>420</v>
      </c>
      <c r="C1040" s="2395"/>
      <c r="D1040" s="2373" t="s">
        <v>5483</v>
      </c>
      <c r="E1040" s="2374" t="s">
        <v>5484</v>
      </c>
      <c r="F1040" s="2373" t="s">
        <v>2445</v>
      </c>
      <c r="G1040" s="2628">
        <f>G1032*0</f>
        <v>0</v>
      </c>
      <c r="H1040" s="2376">
        <v>0</v>
      </c>
      <c r="I1040" s="2381"/>
      <c r="J1040" s="2376" t="s">
        <v>6400</v>
      </c>
      <c r="K1040" s="2376">
        <v>0</v>
      </c>
      <c r="L1040" s="2382">
        <f t="shared" si="157"/>
        <v>0</v>
      </c>
      <c r="M1040" s="2382">
        <f>I1040*G1040</f>
        <v>0</v>
      </c>
      <c r="N1040" s="2376">
        <v>0</v>
      </c>
      <c r="O1040" s="2381">
        <f t="shared" si="160"/>
        <v>0</v>
      </c>
      <c r="P1040" s="2626"/>
    </row>
    <row r="1041" spans="1:16" s="2358" customFormat="1" outlineLevel="1">
      <c r="A1041" s="2361">
        <f>+IF(G1041&gt;0,1,0)</f>
        <v>0</v>
      </c>
      <c r="B1041" s="2383"/>
      <c r="C1041" s="2398">
        <f>IF(G1041&gt;0,C1032+1,C1032)</f>
        <v>0</v>
      </c>
      <c r="D1041" s="2571"/>
      <c r="E1041" s="2577" t="s">
        <v>3712</v>
      </c>
      <c r="F1041" s="2398" t="s">
        <v>2391</v>
      </c>
      <c r="G1041" s="2480">
        <f>+G1004/3</f>
        <v>0</v>
      </c>
      <c r="H1041" s="2381"/>
      <c r="I1041" s="2381"/>
      <c r="J1041" s="2381"/>
      <c r="K1041" s="2381"/>
      <c r="L1041" s="2557">
        <f t="shared" si="157"/>
        <v>0</v>
      </c>
      <c r="M1041" s="2557">
        <f>I1041*G1041</f>
        <v>0</v>
      </c>
      <c r="N1041" s="2557">
        <f t="shared" ref="N1041:N1052" si="162">J1041*G1041</f>
        <v>0</v>
      </c>
      <c r="O1041" s="2558">
        <f t="shared" si="160"/>
        <v>0</v>
      </c>
      <c r="P1041" s="2627" t="s">
        <v>6279</v>
      </c>
    </row>
    <row r="1042" spans="1:16" s="2358" customFormat="1" ht="14.4" outlineLevel="1">
      <c r="A1042" s="2361">
        <f>A1041</f>
        <v>0</v>
      </c>
      <c r="B1042" s="2383"/>
      <c r="C1042" s="2398"/>
      <c r="D1042" s="2571"/>
      <c r="E1042" s="2572" t="s">
        <v>6207</v>
      </c>
      <c r="F1042" s="2373"/>
      <c r="G1042" s="2616"/>
      <c r="H1042" s="2381"/>
      <c r="I1042" s="2381"/>
      <c r="J1042" s="2381"/>
      <c r="K1042" s="2381"/>
      <c r="L1042" s="2557">
        <f t="shared" si="157"/>
        <v>0</v>
      </c>
      <c r="M1042" s="2557">
        <f>I1042*G1042</f>
        <v>0</v>
      </c>
      <c r="N1042" s="2557">
        <f t="shared" si="162"/>
        <v>0</v>
      </c>
      <c r="O1042" s="2558">
        <f t="shared" si="160"/>
        <v>0</v>
      </c>
      <c r="P1042" s="2626"/>
    </row>
    <row r="1043" spans="1:16" s="2358" customFormat="1" outlineLevel="1">
      <c r="A1043" s="2361" t="str">
        <f t="shared" ref="A1043:A1054" si="163">IF(G1043&lt;&gt;0,1,"")</f>
        <v/>
      </c>
      <c r="B1043" s="2383" t="s">
        <v>1033</v>
      </c>
      <c r="C1043" s="2372"/>
      <c r="D1043" s="2373">
        <v>0</v>
      </c>
      <c r="E1043" s="2374" t="s">
        <v>2708</v>
      </c>
      <c r="F1043" s="2373" t="s">
        <v>2254</v>
      </c>
      <c r="G1043" s="2576">
        <f>$H$3*G1041*0.224*0+G1041*4.5*0.224</f>
        <v>0</v>
      </c>
      <c r="H1043" s="2376">
        <v>255500</v>
      </c>
      <c r="I1043" s="2381"/>
      <c r="J1043" s="2376">
        <v>0</v>
      </c>
      <c r="K1043" s="2376">
        <v>0</v>
      </c>
      <c r="L1043" s="2557">
        <f t="shared" si="157"/>
        <v>0</v>
      </c>
      <c r="M1043" s="2557">
        <f>I1043*G1043</f>
        <v>0</v>
      </c>
      <c r="N1043" s="2557">
        <f t="shared" si="162"/>
        <v>0</v>
      </c>
      <c r="O1043" s="2558">
        <f t="shared" si="160"/>
        <v>0</v>
      </c>
      <c r="P1043" s="2626" t="s">
        <v>6280</v>
      </c>
    </row>
    <row r="1044" spans="1:16" s="2358" customFormat="1" outlineLevel="1">
      <c r="A1044" s="2361" t="str">
        <f t="shared" si="163"/>
        <v/>
      </c>
      <c r="B1044" s="2386" t="s">
        <v>1511</v>
      </c>
      <c r="C1044" s="2372"/>
      <c r="D1044" s="2373">
        <v>0</v>
      </c>
      <c r="E1044" s="2374" t="s">
        <v>5224</v>
      </c>
      <c r="F1044" s="2373" t="s">
        <v>2445</v>
      </c>
      <c r="G1044" s="2380">
        <f>(H92+L93)*G1041</f>
        <v>0</v>
      </c>
      <c r="H1044" s="2376">
        <v>160000</v>
      </c>
      <c r="I1044" s="2381"/>
      <c r="J1044" s="2376">
        <v>0</v>
      </c>
      <c r="K1044" s="2376">
        <v>0</v>
      </c>
      <c r="L1044" s="2557">
        <f t="shared" si="157"/>
        <v>0</v>
      </c>
      <c r="M1044" s="2557">
        <f>I1044*G1044</f>
        <v>0</v>
      </c>
      <c r="N1044" s="2557">
        <f t="shared" si="162"/>
        <v>0</v>
      </c>
      <c r="O1044" s="2558">
        <f t="shared" si="160"/>
        <v>0</v>
      </c>
      <c r="P1044" s="2408"/>
    </row>
    <row r="1045" spans="1:16" s="2358" customFormat="1" outlineLevel="1">
      <c r="A1045" s="2361" t="str">
        <f t="shared" si="163"/>
        <v/>
      </c>
      <c r="B1045" s="2386" t="s">
        <v>6281</v>
      </c>
      <c r="C1045" s="2372"/>
      <c r="D1045" s="2373">
        <v>0</v>
      </c>
      <c r="E1045" s="2374" t="s">
        <v>5775</v>
      </c>
      <c r="F1045" s="2373" t="s">
        <v>3463</v>
      </c>
      <c r="G1045" s="2380">
        <f>L93*G1041</f>
        <v>0</v>
      </c>
      <c r="H1045" s="2376">
        <v>0</v>
      </c>
      <c r="I1045" s="2381"/>
      <c r="J1045" s="2376">
        <v>1500000</v>
      </c>
      <c r="K1045" s="2376">
        <v>0</v>
      </c>
      <c r="L1045" s="2557">
        <f t="shared" si="157"/>
        <v>0</v>
      </c>
      <c r="M1045" s="2557"/>
      <c r="N1045" s="2557">
        <f t="shared" si="162"/>
        <v>0</v>
      </c>
      <c r="O1045" s="2558">
        <f t="shared" si="160"/>
        <v>0</v>
      </c>
      <c r="P1045" s="2408"/>
    </row>
    <row r="1046" spans="1:16" s="2358" customFormat="1" outlineLevel="1">
      <c r="A1046" s="2361" t="str">
        <f t="shared" si="163"/>
        <v/>
      </c>
      <c r="B1046" s="2386" t="s">
        <v>1493</v>
      </c>
      <c r="C1046" s="2380"/>
      <c r="D1046" s="2373">
        <v>0</v>
      </c>
      <c r="E1046" s="2374" t="s">
        <v>3554</v>
      </c>
      <c r="F1046" s="2373" t="s">
        <v>1827</v>
      </c>
      <c r="G1046" s="2461">
        <f>3*G1041*0</f>
        <v>0</v>
      </c>
      <c r="H1046" s="2376">
        <v>6200</v>
      </c>
      <c r="I1046" s="2381"/>
      <c r="J1046" s="2376">
        <v>0</v>
      </c>
      <c r="K1046" s="2376">
        <v>0</v>
      </c>
      <c r="L1046" s="2557">
        <f t="shared" si="157"/>
        <v>0</v>
      </c>
      <c r="M1046" s="2557">
        <f t="shared" ref="M1046:M1052" si="164">I1046*G1046</f>
        <v>0</v>
      </c>
      <c r="N1046" s="2557">
        <f t="shared" si="162"/>
        <v>0</v>
      </c>
      <c r="O1046" s="2558">
        <f t="shared" si="160"/>
        <v>0</v>
      </c>
      <c r="P1046" s="2408"/>
    </row>
    <row r="1047" spans="1:16" s="2358" customFormat="1" outlineLevel="1">
      <c r="A1047" s="2361" t="str">
        <f t="shared" si="163"/>
        <v/>
      </c>
      <c r="B1047" s="2383" t="s">
        <v>1582</v>
      </c>
      <c r="C1047" s="2372"/>
      <c r="D1047" s="2373">
        <v>0</v>
      </c>
      <c r="E1047" s="2374" t="s">
        <v>2889</v>
      </c>
      <c r="F1047" s="2373" t="s">
        <v>2563</v>
      </c>
      <c r="G1047" s="2616">
        <f>2*G1041</f>
        <v>0</v>
      </c>
      <c r="H1047" s="2376">
        <v>8000</v>
      </c>
      <c r="I1047" s="2376"/>
      <c r="J1047" s="2376">
        <v>0</v>
      </c>
      <c r="K1047" s="2376">
        <v>0</v>
      </c>
      <c r="L1047" s="2557">
        <f t="shared" si="157"/>
        <v>0</v>
      </c>
      <c r="M1047" s="2557">
        <f t="shared" si="164"/>
        <v>0</v>
      </c>
      <c r="N1047" s="2557">
        <f t="shared" si="162"/>
        <v>0</v>
      </c>
      <c r="O1047" s="2558">
        <f t="shared" si="160"/>
        <v>0</v>
      </c>
      <c r="P1047" s="2626" t="s">
        <v>6280</v>
      </c>
    </row>
    <row r="1048" spans="1:16" s="2358" customFormat="1" outlineLevel="1">
      <c r="A1048" s="2361" t="str">
        <f t="shared" si="163"/>
        <v/>
      </c>
      <c r="B1048" s="2383" t="s">
        <v>6282</v>
      </c>
      <c r="C1048" s="2372"/>
      <c r="D1048" s="2373" t="s">
        <v>5787</v>
      </c>
      <c r="E1048" s="2374" t="s">
        <v>3497</v>
      </c>
      <c r="F1048" s="2373" t="s">
        <v>2563</v>
      </c>
      <c r="G1048" s="2616">
        <f>G1041*3</f>
        <v>0</v>
      </c>
      <c r="H1048" s="2376">
        <v>9100</v>
      </c>
      <c r="I1048" s="2376"/>
      <c r="J1048" s="2376">
        <v>10608.955000000002</v>
      </c>
      <c r="K1048" s="2376">
        <v>2777.0232475000003</v>
      </c>
      <c r="L1048" s="2557">
        <f t="shared" si="157"/>
        <v>0</v>
      </c>
      <c r="M1048" s="2557">
        <f t="shared" si="164"/>
        <v>0</v>
      </c>
      <c r="N1048" s="2557">
        <f t="shared" si="162"/>
        <v>0</v>
      </c>
      <c r="O1048" s="2558">
        <f t="shared" si="160"/>
        <v>0</v>
      </c>
      <c r="P1048" s="2626" t="s">
        <v>6280</v>
      </c>
    </row>
    <row r="1049" spans="1:16" s="2358" customFormat="1" outlineLevel="1">
      <c r="A1049" s="2361" t="str">
        <f t="shared" si="163"/>
        <v/>
      </c>
      <c r="B1049" s="2383" t="s">
        <v>816</v>
      </c>
      <c r="C1049" s="2372"/>
      <c r="D1049" s="2373">
        <v>0</v>
      </c>
      <c r="E1049" s="2374" t="s">
        <v>3599</v>
      </c>
      <c r="F1049" s="2373" t="s">
        <v>2563</v>
      </c>
      <c r="G1049" s="2616">
        <f>G1041*3</f>
        <v>0</v>
      </c>
      <c r="H1049" s="2376">
        <v>17600</v>
      </c>
      <c r="I1049" s="2376"/>
      <c r="J1049" s="2376">
        <v>0</v>
      </c>
      <c r="K1049" s="2376">
        <v>0</v>
      </c>
      <c r="L1049" s="2557">
        <f t="shared" si="157"/>
        <v>0</v>
      </c>
      <c r="M1049" s="2557">
        <f t="shared" si="164"/>
        <v>0</v>
      </c>
      <c r="N1049" s="2557">
        <f t="shared" si="162"/>
        <v>0</v>
      </c>
      <c r="O1049" s="2558">
        <f t="shared" si="160"/>
        <v>0</v>
      </c>
      <c r="P1049" s="2626" t="s">
        <v>6280</v>
      </c>
    </row>
    <row r="1050" spans="1:16" s="2358" customFormat="1" outlineLevel="1">
      <c r="A1050" s="2361" t="str">
        <f t="shared" si="163"/>
        <v/>
      </c>
      <c r="B1050" s="2386" t="s">
        <v>525</v>
      </c>
      <c r="C1050" s="2372"/>
      <c r="D1050" s="2373">
        <v>0</v>
      </c>
      <c r="E1050" s="2374" t="s">
        <v>5313</v>
      </c>
      <c r="F1050" s="2373" t="s">
        <v>2445</v>
      </c>
      <c r="G1050" s="2461">
        <f>2*G1041*0</f>
        <v>0</v>
      </c>
      <c r="H1050" s="2376">
        <v>43000</v>
      </c>
      <c r="I1050" s="2381"/>
      <c r="J1050" s="2376">
        <v>0</v>
      </c>
      <c r="K1050" s="2376">
        <v>0</v>
      </c>
      <c r="L1050" s="2557">
        <f t="shared" si="157"/>
        <v>0</v>
      </c>
      <c r="M1050" s="2557">
        <f t="shared" si="164"/>
        <v>0</v>
      </c>
      <c r="N1050" s="2557">
        <f t="shared" si="162"/>
        <v>0</v>
      </c>
      <c r="O1050" s="2558">
        <f t="shared" si="160"/>
        <v>0</v>
      </c>
      <c r="P1050" s="2408"/>
    </row>
    <row r="1051" spans="1:16" s="2358" customFormat="1" outlineLevel="1">
      <c r="A1051" s="2361" t="str">
        <f t="shared" si="163"/>
        <v/>
      </c>
      <c r="B1051" s="2386" t="s">
        <v>794</v>
      </c>
      <c r="C1051" s="2372"/>
      <c r="D1051" s="2373" t="s">
        <v>5398</v>
      </c>
      <c r="E1051" s="2374" t="s">
        <v>3086</v>
      </c>
      <c r="F1051" s="2373" t="s">
        <v>856</v>
      </c>
      <c r="G1051" s="2508">
        <f>H94*G1041</f>
        <v>0</v>
      </c>
      <c r="H1051" s="2376">
        <v>0</v>
      </c>
      <c r="I1051" s="2376"/>
      <c r="J1051" s="2376">
        <v>283749.75</v>
      </c>
      <c r="K1051" s="2376">
        <v>0</v>
      </c>
      <c r="L1051" s="2557">
        <f t="shared" si="157"/>
        <v>0</v>
      </c>
      <c r="M1051" s="2557">
        <f t="shared" si="164"/>
        <v>0</v>
      </c>
      <c r="N1051" s="2557">
        <f t="shared" si="162"/>
        <v>0</v>
      </c>
      <c r="O1051" s="2558">
        <f t="shared" si="160"/>
        <v>0</v>
      </c>
      <c r="P1051" s="2408"/>
    </row>
    <row r="1052" spans="1:16" s="2358" customFormat="1" outlineLevel="1">
      <c r="A1052" s="2361" t="str">
        <f t="shared" si="163"/>
        <v/>
      </c>
      <c r="B1052" s="2386" t="s">
        <v>798</v>
      </c>
      <c r="C1052" s="2372"/>
      <c r="D1052" s="2373" t="s">
        <v>5387</v>
      </c>
      <c r="E1052" s="2374" t="s">
        <v>5399</v>
      </c>
      <c r="F1052" s="2373" t="s">
        <v>856</v>
      </c>
      <c r="G1052" s="2508">
        <f>G1051</f>
        <v>0</v>
      </c>
      <c r="H1052" s="2376">
        <v>0</v>
      </c>
      <c r="I1052" s="2381"/>
      <c r="J1052" s="2376">
        <v>117703.6</v>
      </c>
      <c r="K1052" s="2376">
        <v>0</v>
      </c>
      <c r="L1052" s="2557">
        <f t="shared" si="157"/>
        <v>0</v>
      </c>
      <c r="M1052" s="2557">
        <f t="shared" si="164"/>
        <v>0</v>
      </c>
      <c r="N1052" s="2557">
        <f t="shared" si="162"/>
        <v>0</v>
      </c>
      <c r="O1052" s="2558">
        <f t="shared" si="160"/>
        <v>0</v>
      </c>
      <c r="P1052" s="2408"/>
    </row>
    <row r="1053" spans="1:16" s="2358" customFormat="1" outlineLevel="1">
      <c r="A1053" s="2361" t="str">
        <f t="shared" si="163"/>
        <v/>
      </c>
      <c r="B1053" s="2386" t="s">
        <v>902</v>
      </c>
      <c r="C1053" s="2372"/>
      <c r="D1053" s="2373" t="s">
        <v>5413</v>
      </c>
      <c r="E1053" s="2374" t="s">
        <v>5414</v>
      </c>
      <c r="F1053" s="2373" t="s">
        <v>2284</v>
      </c>
      <c r="G1053" s="2508">
        <f>G1044</f>
        <v>0</v>
      </c>
      <c r="H1053" s="2376">
        <v>0</v>
      </c>
      <c r="I1053" s="2376"/>
      <c r="J1053" s="2382" t="s">
        <v>6386</v>
      </c>
      <c r="K1053" s="2382">
        <v>0</v>
      </c>
      <c r="L1053" s="2382">
        <f>H1053*$G1053</f>
        <v>0</v>
      </c>
      <c r="M1053" s="2382">
        <f>I1053*$G1053</f>
        <v>0</v>
      </c>
      <c r="N1053" s="2382">
        <v>0</v>
      </c>
      <c r="O1053" s="2558">
        <f t="shared" si="160"/>
        <v>0</v>
      </c>
      <c r="P1053" s="2408"/>
    </row>
    <row r="1054" spans="1:16" s="2358" customFormat="1" outlineLevel="1">
      <c r="A1054" s="2361" t="str">
        <f t="shared" si="163"/>
        <v/>
      </c>
      <c r="B1054" s="2386" t="s">
        <v>1440</v>
      </c>
      <c r="C1054" s="2372"/>
      <c r="D1054" s="2373" t="s">
        <v>5408</v>
      </c>
      <c r="E1054" s="2374" t="s">
        <v>5409</v>
      </c>
      <c r="F1054" s="2373" t="s">
        <v>2538</v>
      </c>
      <c r="G1054" s="2508">
        <f>G1041*H93</f>
        <v>0</v>
      </c>
      <c r="H1054" s="2376">
        <v>0</v>
      </c>
      <c r="I1054" s="2381"/>
      <c r="J1054" s="2382">
        <v>8070.7000000000007</v>
      </c>
      <c r="K1054" s="2382">
        <v>2044.9974999999999</v>
      </c>
      <c r="L1054" s="2382">
        <f>H1054*G1054</f>
        <v>0</v>
      </c>
      <c r="M1054" s="2382">
        <f>I1054*G1054</f>
        <v>0</v>
      </c>
      <c r="N1054" s="2382">
        <f>J1054*G1054</f>
        <v>0</v>
      </c>
      <c r="O1054" s="2558">
        <f t="shared" si="160"/>
        <v>0</v>
      </c>
      <c r="P1054" s="2408"/>
    </row>
    <row r="1055" spans="1:16" s="2589" customFormat="1" outlineLevel="1">
      <c r="A1055" s="2579">
        <f>+IF(G1055&gt;0,1,0)</f>
        <v>0</v>
      </c>
      <c r="B1055" s="2514"/>
      <c r="C1055" s="2511">
        <f>IF(G1055&gt;0,C1049+4,C1049)</f>
        <v>0</v>
      </c>
      <c r="D1055" s="2512"/>
      <c r="E1055" s="2629" t="s">
        <v>6283</v>
      </c>
      <c r="F1055" s="2511" t="s">
        <v>2391</v>
      </c>
      <c r="G1055" s="2630">
        <f>G1004/3</f>
        <v>0</v>
      </c>
      <c r="H1055" s="2585"/>
      <c r="I1055" s="2585"/>
      <c r="J1055" s="2585"/>
      <c r="K1055" s="2585"/>
      <c r="L1055" s="2586">
        <f t="shared" ref="L1055:L1097" si="165">H1055*G1055</f>
        <v>0</v>
      </c>
      <c r="M1055" s="2586">
        <f t="shared" ref="M1055:M1097" si="166">I1055*G1055</f>
        <v>0</v>
      </c>
      <c r="N1055" s="2586">
        <f t="shared" ref="N1055:N1097" si="167">J1055*G1055</f>
        <v>0</v>
      </c>
      <c r="O1055" s="2587">
        <f t="shared" si="160"/>
        <v>0</v>
      </c>
      <c r="P1055" s="2627" t="s">
        <v>6279</v>
      </c>
    </row>
    <row r="1056" spans="1:16" s="2358" customFormat="1" ht="14.4" outlineLevel="1">
      <c r="A1056" s="2361">
        <f>A1055</f>
        <v>0</v>
      </c>
      <c r="B1056" s="2514"/>
      <c r="C1056" s="2511"/>
      <c r="D1056" s="2512"/>
      <c r="E1056" s="2520" t="s">
        <v>6207</v>
      </c>
      <c r="F1056" s="2521"/>
      <c r="G1056" s="2611"/>
      <c r="H1056" s="2381"/>
      <c r="I1056" s="2381"/>
      <c r="J1056" s="2381"/>
      <c r="K1056" s="2381"/>
      <c r="L1056" s="2557">
        <f t="shared" si="165"/>
        <v>0</v>
      </c>
      <c r="M1056" s="2557">
        <f t="shared" si="166"/>
        <v>0</v>
      </c>
      <c r="N1056" s="2557">
        <f t="shared" si="167"/>
        <v>0</v>
      </c>
      <c r="O1056" s="2558">
        <f t="shared" si="160"/>
        <v>0</v>
      </c>
      <c r="P1056" s="2626"/>
    </row>
    <row r="1057" spans="1:18" s="2358" customFormat="1" outlineLevel="1">
      <c r="A1057" s="2361" t="str">
        <f>IF(G1057&lt;&gt;0,1,"")</f>
        <v/>
      </c>
      <c r="B1057" s="2374" t="s">
        <v>5719</v>
      </c>
      <c r="C1057" s="2521"/>
      <c r="D1057" s="2405" t="s">
        <v>5695</v>
      </c>
      <c r="E1057" s="2447" t="s">
        <v>5720</v>
      </c>
      <c r="F1057" s="2405" t="s">
        <v>2563</v>
      </c>
      <c r="G1057" s="2631">
        <f>G1055*0</f>
        <v>0</v>
      </c>
      <c r="H1057" s="2376">
        <v>3664446</v>
      </c>
      <c r="I1057" s="2376"/>
      <c r="J1057" s="2376">
        <v>690091</v>
      </c>
      <c r="K1057" s="2376">
        <v>97369</v>
      </c>
      <c r="L1057" s="2557">
        <f t="shared" si="165"/>
        <v>0</v>
      </c>
      <c r="M1057" s="2557">
        <f t="shared" si="166"/>
        <v>0</v>
      </c>
      <c r="N1057" s="2557">
        <f t="shared" si="167"/>
        <v>0</v>
      </c>
      <c r="O1057" s="2558">
        <f t="shared" si="160"/>
        <v>0</v>
      </c>
      <c r="P1057" s="2408"/>
    </row>
    <row r="1058" spans="1:18" s="2358" customFormat="1" outlineLevel="1">
      <c r="A1058" s="2361" t="str">
        <f>IF(G1058&lt;&gt;0,1,"")</f>
        <v/>
      </c>
      <c r="B1058" s="2514" t="s">
        <v>880</v>
      </c>
      <c r="C1058" s="2511"/>
      <c r="D1058" s="2405">
        <v>0</v>
      </c>
      <c r="E1058" s="2447" t="s">
        <v>5861</v>
      </c>
      <c r="F1058" s="2405" t="s">
        <v>2563</v>
      </c>
      <c r="G1058" s="2631">
        <f>G1057</f>
        <v>0</v>
      </c>
      <c r="H1058" s="2376">
        <v>284000</v>
      </c>
      <c r="I1058" s="2381"/>
      <c r="J1058" s="2376">
        <v>5404</v>
      </c>
      <c r="K1058" s="2376">
        <v>0</v>
      </c>
      <c r="L1058" s="2557">
        <f t="shared" si="165"/>
        <v>0</v>
      </c>
      <c r="M1058" s="2557">
        <f t="shared" si="166"/>
        <v>0</v>
      </c>
      <c r="N1058" s="2557">
        <f t="shared" si="167"/>
        <v>0</v>
      </c>
      <c r="O1058" s="2558">
        <f t="shared" si="160"/>
        <v>0</v>
      </c>
      <c r="P1058" s="2408"/>
    </row>
    <row r="1059" spans="1:18" s="2358" customFormat="1" outlineLevel="1">
      <c r="A1059" s="2361" t="str">
        <f>IF(G1059&lt;&gt;0,1,"")</f>
        <v/>
      </c>
      <c r="B1059" s="2514" t="s">
        <v>289</v>
      </c>
      <c r="C1059" s="2511"/>
      <c r="D1059" s="2405">
        <v>0</v>
      </c>
      <c r="E1059" s="2447" t="s">
        <v>5774</v>
      </c>
      <c r="F1059" s="2405" t="s">
        <v>2563</v>
      </c>
      <c r="G1059" s="2631">
        <f>G1055*0</f>
        <v>0</v>
      </c>
      <c r="H1059" s="2376">
        <v>300000</v>
      </c>
      <c r="I1059" s="2381"/>
      <c r="J1059" s="2376">
        <v>0</v>
      </c>
      <c r="K1059" s="2376">
        <v>0</v>
      </c>
      <c r="L1059" s="2557">
        <f>H1059*G1059</f>
        <v>0</v>
      </c>
      <c r="M1059" s="2557">
        <f>I1059*G1059</f>
        <v>0</v>
      </c>
      <c r="N1059" s="2557">
        <f>J1059*G1059</f>
        <v>0</v>
      </c>
      <c r="O1059" s="2558">
        <f>K1059*G1059</f>
        <v>0</v>
      </c>
      <c r="P1059" s="2408"/>
    </row>
    <row r="1060" spans="1:18" s="2358" customFormat="1" outlineLevel="1">
      <c r="A1060" s="2361" t="str">
        <f t="shared" ref="A1060:A1066" si="168">IF(G1060&lt;&gt;0,1,"")</f>
        <v/>
      </c>
      <c r="B1060" s="2374" t="s">
        <v>588</v>
      </c>
      <c r="C1060" s="2521"/>
      <c r="D1060" s="2405">
        <v>0</v>
      </c>
      <c r="E1060" s="2447" t="s">
        <v>2999</v>
      </c>
      <c r="F1060" s="2405" t="s">
        <v>2445</v>
      </c>
      <c r="G1060" s="2631">
        <f>G1055*2*0</f>
        <v>0</v>
      </c>
      <c r="H1060" s="2376">
        <v>168000</v>
      </c>
      <c r="I1060" s="2381"/>
      <c r="J1060" s="2376">
        <v>0</v>
      </c>
      <c r="K1060" s="2376">
        <v>0</v>
      </c>
      <c r="L1060" s="2557">
        <f t="shared" ref="L1060:L1066" si="169">H1060*G1060</f>
        <v>0</v>
      </c>
      <c r="M1060" s="2557">
        <f t="shared" ref="M1060:M1066" si="170">I1060*G1060</f>
        <v>0</v>
      </c>
      <c r="N1060" s="2557">
        <f t="shared" ref="N1060:N1066" si="171">J1060*G1060</f>
        <v>0</v>
      </c>
      <c r="O1060" s="2558">
        <f t="shared" ref="O1060:O1066" si="172">K1060*G1060</f>
        <v>0</v>
      </c>
      <c r="P1060" s="2408"/>
    </row>
    <row r="1061" spans="1:18" s="2358" customFormat="1" outlineLevel="1">
      <c r="A1061" s="2361" t="str">
        <f t="shared" si="168"/>
        <v/>
      </c>
      <c r="B1061" s="2514"/>
      <c r="C1061" s="2511">
        <f>IF(G1061&gt;0,C1054+1,C1054)</f>
        <v>0</v>
      </c>
      <c r="D1061" s="2512"/>
      <c r="E1061" s="2629" t="s">
        <v>6284</v>
      </c>
      <c r="F1061" s="2511" t="s">
        <v>2391</v>
      </c>
      <c r="G1061" s="2632">
        <f>G1004/3*0</f>
        <v>0</v>
      </c>
      <c r="H1061" s="2376"/>
      <c r="I1061" s="2381"/>
      <c r="J1061" s="2376"/>
      <c r="K1061" s="2376"/>
      <c r="L1061" s="2557"/>
      <c r="M1061" s="2557"/>
      <c r="N1061" s="2557"/>
      <c r="O1061" s="2558"/>
      <c r="P1061" s="2408"/>
    </row>
    <row r="1062" spans="1:18" s="2358" customFormat="1" ht="14.4" outlineLevel="1">
      <c r="A1062" s="2361" t="str">
        <f t="shared" si="168"/>
        <v/>
      </c>
      <c r="B1062" s="2514"/>
      <c r="C1062" s="2511"/>
      <c r="D1062" s="2512"/>
      <c r="E1062" s="2520" t="s">
        <v>6207</v>
      </c>
      <c r="F1062" s="2521"/>
      <c r="G1062" s="2631"/>
      <c r="H1062" s="2376"/>
      <c r="I1062" s="2381"/>
      <c r="J1062" s="2376"/>
      <c r="K1062" s="2376"/>
      <c r="L1062" s="2557"/>
      <c r="M1062" s="2557"/>
      <c r="N1062" s="2557"/>
      <c r="O1062" s="2558"/>
      <c r="P1062" s="2408"/>
    </row>
    <row r="1063" spans="1:18" s="2358" customFormat="1" outlineLevel="1">
      <c r="A1063" s="2361" t="str">
        <f t="shared" si="168"/>
        <v/>
      </c>
      <c r="B1063" s="2374" t="s">
        <v>838</v>
      </c>
      <c r="C1063" s="2521"/>
      <c r="D1063" s="2405" t="s">
        <v>5717</v>
      </c>
      <c r="E1063" s="2447" t="s">
        <v>5721</v>
      </c>
      <c r="F1063" s="2405" t="s">
        <v>2563</v>
      </c>
      <c r="G1063" s="2631">
        <f>G1061*1</f>
        <v>0</v>
      </c>
      <c r="H1063" s="2376">
        <v>783952</v>
      </c>
      <c r="I1063" s="2381"/>
      <c r="J1063" s="2376">
        <v>599038</v>
      </c>
      <c r="K1063" s="2376">
        <v>97369</v>
      </c>
      <c r="L1063" s="2557">
        <f t="shared" si="169"/>
        <v>0</v>
      </c>
      <c r="M1063" s="2557">
        <f t="shared" si="170"/>
        <v>0</v>
      </c>
      <c r="N1063" s="2557">
        <f t="shared" si="171"/>
        <v>0</v>
      </c>
      <c r="O1063" s="2558">
        <f t="shared" si="172"/>
        <v>0</v>
      </c>
      <c r="P1063" s="2408"/>
    </row>
    <row r="1064" spans="1:18" s="2358" customFormat="1" outlineLevel="1">
      <c r="A1064" s="2361" t="str">
        <f t="shared" si="168"/>
        <v/>
      </c>
      <c r="B1064" s="2514" t="s">
        <v>880</v>
      </c>
      <c r="C1064" s="2511"/>
      <c r="D1064" s="2405">
        <v>0</v>
      </c>
      <c r="E1064" s="2447" t="s">
        <v>5861</v>
      </c>
      <c r="F1064" s="2405" t="s">
        <v>2563</v>
      </c>
      <c r="G1064" s="2631">
        <f>G1063</f>
        <v>0</v>
      </c>
      <c r="H1064" s="2376">
        <v>284000</v>
      </c>
      <c r="I1064" s="2381"/>
      <c r="J1064" s="2376">
        <v>5404</v>
      </c>
      <c r="K1064" s="2376">
        <v>0</v>
      </c>
      <c r="L1064" s="2557">
        <f t="shared" si="169"/>
        <v>0</v>
      </c>
      <c r="M1064" s="2557">
        <f t="shared" si="170"/>
        <v>0</v>
      </c>
      <c r="N1064" s="2557">
        <f t="shared" si="171"/>
        <v>0</v>
      </c>
      <c r="O1064" s="2558">
        <f t="shared" si="172"/>
        <v>0</v>
      </c>
      <c r="P1064" s="2408"/>
    </row>
    <row r="1065" spans="1:18" s="2358" customFormat="1" outlineLevel="1">
      <c r="A1065" s="2361" t="str">
        <f t="shared" si="168"/>
        <v/>
      </c>
      <c r="B1065" s="2514" t="s">
        <v>289</v>
      </c>
      <c r="C1065" s="2511"/>
      <c r="D1065" s="2405">
        <v>0</v>
      </c>
      <c r="E1065" s="2447" t="s">
        <v>5774</v>
      </c>
      <c r="F1065" s="2405" t="s">
        <v>2563</v>
      </c>
      <c r="G1065" s="2631">
        <f>G1061</f>
        <v>0</v>
      </c>
      <c r="H1065" s="2376">
        <v>300000</v>
      </c>
      <c r="I1065" s="2381"/>
      <c r="J1065" s="2376">
        <v>0</v>
      </c>
      <c r="K1065" s="2376">
        <v>0</v>
      </c>
      <c r="L1065" s="2557">
        <f t="shared" si="169"/>
        <v>0</v>
      </c>
      <c r="M1065" s="2557">
        <f t="shared" si="170"/>
        <v>0</v>
      </c>
      <c r="N1065" s="2557">
        <f t="shared" si="171"/>
        <v>0</v>
      </c>
      <c r="O1065" s="2558">
        <f t="shared" si="172"/>
        <v>0</v>
      </c>
      <c r="P1065" s="2408"/>
    </row>
    <row r="1066" spans="1:18" s="2358" customFormat="1" outlineLevel="1">
      <c r="A1066" s="2361" t="str">
        <f t="shared" si="168"/>
        <v/>
      </c>
      <c r="B1066" s="2374" t="s">
        <v>588</v>
      </c>
      <c r="C1066" s="2521"/>
      <c r="D1066" s="2405">
        <v>0</v>
      </c>
      <c r="E1066" s="2447" t="s">
        <v>2999</v>
      </c>
      <c r="F1066" s="2405" t="s">
        <v>2445</v>
      </c>
      <c r="G1066" s="2631">
        <f>G1063*2</f>
        <v>0</v>
      </c>
      <c r="H1066" s="2376">
        <v>168000</v>
      </c>
      <c r="I1066" s="2381"/>
      <c r="J1066" s="2376">
        <v>0</v>
      </c>
      <c r="K1066" s="2376">
        <v>0</v>
      </c>
      <c r="L1066" s="2557">
        <f t="shared" si="169"/>
        <v>0</v>
      </c>
      <c r="M1066" s="2557">
        <f t="shared" si="170"/>
        <v>0</v>
      </c>
      <c r="N1066" s="2557">
        <f t="shared" si="171"/>
        <v>0</v>
      </c>
      <c r="O1066" s="2558">
        <f t="shared" si="172"/>
        <v>0</v>
      </c>
      <c r="P1066" s="2408"/>
    </row>
    <row r="1067" spans="1:18" s="2358" customFormat="1" outlineLevel="1">
      <c r="A1067" s="2579">
        <f>+IF(G1067&gt;0,1,0)</f>
        <v>0</v>
      </c>
      <c r="B1067" s="2383"/>
      <c r="C1067" s="2398">
        <f>IF(G1067&gt;0,C1055+1,C1055)</f>
        <v>0</v>
      </c>
      <c r="D1067" s="2571"/>
      <c r="E1067" s="2592" t="s">
        <v>6239</v>
      </c>
      <c r="F1067" s="2398" t="s">
        <v>2391</v>
      </c>
      <c r="G1067" s="2480">
        <f>G1016</f>
        <v>0</v>
      </c>
      <c r="H1067" s="2381"/>
      <c r="I1067" s="2381"/>
      <c r="J1067" s="2381"/>
      <c r="K1067" s="2381"/>
      <c r="L1067" s="2557">
        <f t="shared" si="165"/>
        <v>0</v>
      </c>
      <c r="M1067" s="2557">
        <f t="shared" si="166"/>
        <v>0</v>
      </c>
      <c r="N1067" s="2557">
        <f t="shared" si="167"/>
        <v>0</v>
      </c>
      <c r="O1067" s="2558">
        <f t="shared" si="160"/>
        <v>0</v>
      </c>
      <c r="P1067" s="2626"/>
    </row>
    <row r="1068" spans="1:18" s="2358" customFormat="1" ht="14.4" outlineLevel="1">
      <c r="A1068" s="2361">
        <f>A1067</f>
        <v>0</v>
      </c>
      <c r="B1068" s="2383"/>
      <c r="C1068" s="2398"/>
      <c r="D1068" s="2571"/>
      <c r="E1068" s="2572" t="s">
        <v>6207</v>
      </c>
      <c r="F1068" s="2373"/>
      <c r="G1068" s="2616"/>
      <c r="H1068" s="2381"/>
      <c r="I1068" s="2381"/>
      <c r="J1068" s="2381"/>
      <c r="K1068" s="2381"/>
      <c r="L1068" s="2557">
        <f t="shared" si="165"/>
        <v>0</v>
      </c>
      <c r="M1068" s="2557">
        <f t="shared" si="166"/>
        <v>0</v>
      </c>
      <c r="N1068" s="2557">
        <f t="shared" si="167"/>
        <v>0</v>
      </c>
      <c r="O1068" s="2558">
        <f t="shared" si="160"/>
        <v>0</v>
      </c>
      <c r="P1068" s="2626"/>
    </row>
    <row r="1069" spans="1:18" s="2519" customFormat="1" ht="41.4" outlineLevel="1">
      <c r="A1069" s="2435" t="str">
        <f>IF(G1069&lt;&gt;0,1,"")</f>
        <v/>
      </c>
      <c r="B1069" s="2505" t="s">
        <v>697</v>
      </c>
      <c r="C1069" s="2521"/>
      <c r="D1069" s="2405">
        <v>0</v>
      </c>
      <c r="E1069" s="2447" t="s">
        <v>5139</v>
      </c>
      <c r="F1069" s="2405" t="s">
        <v>2538</v>
      </c>
      <c r="G1069" s="2611">
        <f>G1067*6</f>
        <v>0</v>
      </c>
      <c r="H1069" s="2612">
        <v>50996</v>
      </c>
      <c r="I1069" s="2376"/>
      <c r="J1069" s="2612">
        <v>0</v>
      </c>
      <c r="K1069" s="2612">
        <v>0</v>
      </c>
      <c r="L1069" s="2613">
        <f t="shared" si="165"/>
        <v>0</v>
      </c>
      <c r="M1069" s="2613">
        <f t="shared" si="166"/>
        <v>0</v>
      </c>
      <c r="N1069" s="2613">
        <f t="shared" si="167"/>
        <v>0</v>
      </c>
      <c r="O1069" s="2614">
        <f t="shared" si="160"/>
        <v>0</v>
      </c>
      <c r="P1069" s="2633" t="s">
        <v>6285</v>
      </c>
      <c r="R1069" s="2358"/>
    </row>
    <row r="1070" spans="1:18" s="2358" customFormat="1" outlineLevel="1">
      <c r="A1070" s="2361" t="str">
        <f>IF(G1070&lt;&gt;0,1,"")</f>
        <v/>
      </c>
      <c r="B1070" s="2386" t="s">
        <v>905</v>
      </c>
      <c r="C1070" s="2372"/>
      <c r="D1070" s="2373">
        <v>0</v>
      </c>
      <c r="E1070" s="2374" t="s">
        <v>2889</v>
      </c>
      <c r="F1070" s="2373" t="s">
        <v>2563</v>
      </c>
      <c r="G1070" s="2609">
        <f>3*G1067*2*0</f>
        <v>0</v>
      </c>
      <c r="H1070" s="2376">
        <v>8000</v>
      </c>
      <c r="I1070" s="2376"/>
      <c r="J1070" s="2376">
        <v>0</v>
      </c>
      <c r="K1070" s="2376">
        <v>0</v>
      </c>
      <c r="L1070" s="2557">
        <f t="shared" si="165"/>
        <v>0</v>
      </c>
      <c r="M1070" s="2557">
        <f t="shared" si="166"/>
        <v>0</v>
      </c>
      <c r="N1070" s="2557">
        <f t="shared" si="167"/>
        <v>0</v>
      </c>
      <c r="O1070" s="2558">
        <f t="shared" si="160"/>
        <v>0</v>
      </c>
      <c r="P1070" s="2626"/>
    </row>
    <row r="1071" spans="1:18" s="2519" customFormat="1" ht="27.6" outlineLevel="1">
      <c r="A1071" s="2435" t="str">
        <f>IF(G1071&lt;&gt;0,1,"")</f>
        <v/>
      </c>
      <c r="B1071" s="2610" t="s">
        <v>1482</v>
      </c>
      <c r="C1071" s="2521"/>
      <c r="D1071" s="2405">
        <v>0</v>
      </c>
      <c r="E1071" s="2447" t="s">
        <v>3810</v>
      </c>
      <c r="F1071" s="2405" t="s">
        <v>2563</v>
      </c>
      <c r="G1071" s="2611">
        <f>2*G1067</f>
        <v>0</v>
      </c>
      <c r="H1071" s="2612">
        <v>46000</v>
      </c>
      <c r="I1071" s="2376"/>
      <c r="J1071" s="2612">
        <v>0</v>
      </c>
      <c r="K1071" s="2612">
        <v>0</v>
      </c>
      <c r="L1071" s="2613">
        <f t="shared" si="165"/>
        <v>0</v>
      </c>
      <c r="M1071" s="2613">
        <f t="shared" si="166"/>
        <v>0</v>
      </c>
      <c r="N1071" s="2613">
        <f t="shared" si="167"/>
        <v>0</v>
      </c>
      <c r="O1071" s="2614">
        <f t="shared" si="160"/>
        <v>0</v>
      </c>
      <c r="P1071" s="2633" t="s">
        <v>6286</v>
      </c>
      <c r="R1071" s="2358"/>
    </row>
    <row r="1072" spans="1:18" s="2358" customFormat="1" outlineLevel="1">
      <c r="A1072" s="2361" t="str">
        <f>IF(G1072&lt;&gt;0,1,"")</f>
        <v/>
      </c>
      <c r="B1072" s="2371" t="s">
        <v>1480</v>
      </c>
      <c r="C1072" s="2372"/>
      <c r="D1072" s="2373">
        <v>0</v>
      </c>
      <c r="E1072" s="2374" t="s">
        <v>4361</v>
      </c>
      <c r="F1072" s="2373" t="s">
        <v>2563</v>
      </c>
      <c r="G1072" s="2616">
        <f>G1071</f>
        <v>0</v>
      </c>
      <c r="H1072" s="2376">
        <v>77000</v>
      </c>
      <c r="I1072" s="2376"/>
      <c r="J1072" s="2376">
        <v>0</v>
      </c>
      <c r="K1072" s="2376">
        <v>0</v>
      </c>
      <c r="L1072" s="2557">
        <f t="shared" si="165"/>
        <v>0</v>
      </c>
      <c r="M1072" s="2557">
        <f t="shared" si="166"/>
        <v>0</v>
      </c>
      <c r="N1072" s="2557">
        <f t="shared" si="167"/>
        <v>0</v>
      </c>
      <c r="O1072" s="2558">
        <f t="shared" si="160"/>
        <v>0</v>
      </c>
      <c r="P1072" s="2626"/>
    </row>
    <row r="1073" spans="1:16" s="2358" customFormat="1" outlineLevel="1">
      <c r="A1073" s="2361">
        <f>IF(G1073&lt;&gt;0,1,0)</f>
        <v>0</v>
      </c>
      <c r="B1073" s="2371" t="s">
        <v>5761</v>
      </c>
      <c r="C1073" s="2380"/>
      <c r="D1073" s="2373">
        <v>0</v>
      </c>
      <c r="E1073" s="2374" t="s">
        <v>5762</v>
      </c>
      <c r="F1073" s="2405" t="s">
        <v>2563</v>
      </c>
      <c r="G1073" s="2380">
        <f>3*G1067*0</f>
        <v>0</v>
      </c>
      <c r="H1073" s="2376">
        <v>218200</v>
      </c>
      <c r="I1073" s="2376"/>
      <c r="J1073" s="2376">
        <v>0</v>
      </c>
      <c r="K1073" s="2376">
        <v>0</v>
      </c>
      <c r="L1073" s="2382">
        <f t="shared" si="165"/>
        <v>0</v>
      </c>
      <c r="M1073" s="2382">
        <f t="shared" si="166"/>
        <v>0</v>
      </c>
      <c r="N1073" s="2382">
        <f t="shared" si="167"/>
        <v>0</v>
      </c>
      <c r="O1073" s="2381">
        <f t="shared" si="160"/>
        <v>0</v>
      </c>
      <c r="P1073" s="2408"/>
    </row>
    <row r="1074" spans="1:16" s="2358" customFormat="1" outlineLevel="1">
      <c r="A1074" s="2361">
        <f>IF(G1074&lt;&gt;0,1,0)</f>
        <v>0</v>
      </c>
      <c r="B1074" s="2371" t="s">
        <v>5767</v>
      </c>
      <c r="C1074" s="2380"/>
      <c r="D1074" s="2373">
        <v>0</v>
      </c>
      <c r="E1074" s="2374" t="s">
        <v>5768</v>
      </c>
      <c r="F1074" s="2405" t="s">
        <v>2563</v>
      </c>
      <c r="G1074" s="2380">
        <f>3*G1067*0</f>
        <v>0</v>
      </c>
      <c r="H1074" s="2376">
        <v>39100</v>
      </c>
      <c r="I1074" s="2376"/>
      <c r="J1074" s="2376">
        <v>0</v>
      </c>
      <c r="K1074" s="2376">
        <v>0</v>
      </c>
      <c r="L1074" s="2382">
        <f t="shared" si="165"/>
        <v>0</v>
      </c>
      <c r="M1074" s="2382">
        <f t="shared" si="166"/>
        <v>0</v>
      </c>
      <c r="N1074" s="2382">
        <f t="shared" si="167"/>
        <v>0</v>
      </c>
      <c r="O1074" s="2381">
        <f t="shared" si="160"/>
        <v>0</v>
      </c>
      <c r="P1074" s="2408"/>
    </row>
    <row r="1075" spans="1:16" s="2358" customFormat="1" outlineLevel="1">
      <c r="A1075" s="2361" t="str">
        <f>IF(G1075&lt;&gt;0,1,"")</f>
        <v/>
      </c>
      <c r="B1075" s="2371" t="s">
        <v>5759</v>
      </c>
      <c r="C1075" s="2380"/>
      <c r="D1075" s="2373"/>
      <c r="E1075" s="2374" t="s">
        <v>5760</v>
      </c>
      <c r="F1075" s="2373" t="s">
        <v>3463</v>
      </c>
      <c r="G1075" s="2616">
        <f>3*G1055</f>
        <v>0</v>
      </c>
      <c r="H1075" s="2376">
        <v>25000</v>
      </c>
      <c r="I1075" s="2376"/>
      <c r="J1075" s="2376">
        <v>0</v>
      </c>
      <c r="K1075" s="2376">
        <v>0</v>
      </c>
      <c r="L1075" s="2557">
        <f>H1075*G1075</f>
        <v>0</v>
      </c>
      <c r="M1075" s="2557">
        <f>I1075*G1075</f>
        <v>0</v>
      </c>
      <c r="N1075" s="2557">
        <f>J1075*G1075</f>
        <v>0</v>
      </c>
      <c r="O1075" s="2558">
        <f>K1075*G1075</f>
        <v>0</v>
      </c>
      <c r="P1075" s="2626"/>
    </row>
    <row r="1076" spans="1:16" s="2358" customFormat="1" outlineLevel="1">
      <c r="A1076" s="2361">
        <f>IF(G1076&lt;&gt;0,1,0)</f>
        <v>0</v>
      </c>
      <c r="B1076" s="2371" t="s">
        <v>5769</v>
      </c>
      <c r="C1076" s="2380"/>
      <c r="D1076" s="2373">
        <v>0</v>
      </c>
      <c r="E1076" s="2374" t="s">
        <v>5770</v>
      </c>
      <c r="F1076" s="2405" t="s">
        <v>2563</v>
      </c>
      <c r="G1076" s="2576"/>
      <c r="H1076" s="2376">
        <v>56700</v>
      </c>
      <c r="I1076" s="2376"/>
      <c r="J1076" s="2376">
        <v>0</v>
      </c>
      <c r="K1076" s="2376">
        <v>0</v>
      </c>
      <c r="L1076" s="2382">
        <f t="shared" si="165"/>
        <v>0</v>
      </c>
      <c r="M1076" s="2382">
        <f t="shared" si="166"/>
        <v>0</v>
      </c>
      <c r="N1076" s="2382">
        <f t="shared" si="167"/>
        <v>0</v>
      </c>
      <c r="O1076" s="2381">
        <f t="shared" si="160"/>
        <v>0</v>
      </c>
      <c r="P1076" s="2626"/>
    </row>
    <row r="1077" spans="1:16" s="2358" customFormat="1" outlineLevel="1">
      <c r="A1077" s="2361" t="str">
        <f>IF(G1077&lt;&gt;0,1,"")</f>
        <v/>
      </c>
      <c r="B1077" s="2371" t="s">
        <v>1528</v>
      </c>
      <c r="C1077" s="2372"/>
      <c r="D1077" s="2373" t="s">
        <v>5633</v>
      </c>
      <c r="E1077" s="2374" t="s">
        <v>3310</v>
      </c>
      <c r="F1077" s="2373" t="s">
        <v>1827</v>
      </c>
      <c r="G1077" s="2616">
        <f>G1069</f>
        <v>0</v>
      </c>
      <c r="H1077" s="2376">
        <v>0</v>
      </c>
      <c r="I1077" s="2376"/>
      <c r="J1077" s="2376">
        <v>13915</v>
      </c>
      <c r="K1077" s="2376">
        <v>0</v>
      </c>
      <c r="L1077" s="2557">
        <f t="shared" si="165"/>
        <v>0</v>
      </c>
      <c r="M1077" s="2557">
        <f t="shared" si="166"/>
        <v>0</v>
      </c>
      <c r="N1077" s="2557">
        <f t="shared" si="167"/>
        <v>0</v>
      </c>
      <c r="O1077" s="2558">
        <f t="shared" si="160"/>
        <v>0</v>
      </c>
      <c r="P1077" s="2626"/>
    </row>
    <row r="1078" spans="1:16" s="2358" customFormat="1" outlineLevel="1">
      <c r="A1078" s="2361" t="str">
        <f>A1072</f>
        <v/>
      </c>
      <c r="B1078" s="2383"/>
      <c r="C1078" s="2398">
        <f>IF(G1078&gt;0,C1067+1,C1067)</f>
        <v>0</v>
      </c>
      <c r="D1078" s="2571"/>
      <c r="E1078" s="2593" t="s">
        <v>6287</v>
      </c>
      <c r="F1078" s="2398" t="s">
        <v>2391</v>
      </c>
      <c r="G1078" s="2634">
        <f>G1016</f>
        <v>0</v>
      </c>
      <c r="H1078" s="2381"/>
      <c r="I1078" s="2381"/>
      <c r="J1078" s="2381"/>
      <c r="K1078" s="2381"/>
      <c r="L1078" s="2557">
        <f t="shared" si="165"/>
        <v>0</v>
      </c>
      <c r="M1078" s="2557">
        <f t="shared" si="166"/>
        <v>0</v>
      </c>
      <c r="N1078" s="2557">
        <f t="shared" si="167"/>
        <v>0</v>
      </c>
      <c r="O1078" s="2558">
        <f t="shared" si="160"/>
        <v>0</v>
      </c>
      <c r="P1078" s="2626"/>
    </row>
    <row r="1079" spans="1:16" s="2358" customFormat="1" ht="14.4" outlineLevel="1">
      <c r="A1079" s="2361" t="str">
        <f>A1078</f>
        <v/>
      </c>
      <c r="B1079" s="2383"/>
      <c r="C1079" s="2398"/>
      <c r="D1079" s="2571"/>
      <c r="E1079" s="2594" t="s">
        <v>6207</v>
      </c>
      <c r="F1079" s="2373"/>
      <c r="G1079" s="2634"/>
      <c r="H1079" s="2381"/>
      <c r="I1079" s="2381"/>
      <c r="J1079" s="2381"/>
      <c r="K1079" s="2381"/>
      <c r="L1079" s="2557">
        <f t="shared" si="165"/>
        <v>0</v>
      </c>
      <c r="M1079" s="2557">
        <f t="shared" si="166"/>
        <v>0</v>
      </c>
      <c r="N1079" s="2557">
        <f t="shared" si="167"/>
        <v>0</v>
      </c>
      <c r="O1079" s="2558">
        <f t="shared" si="160"/>
        <v>0</v>
      </c>
      <c r="P1079" s="2626"/>
    </row>
    <row r="1080" spans="1:16" s="2358" customFormat="1" outlineLevel="1">
      <c r="A1080" s="2361" t="str">
        <f t="shared" ref="A1080:A1090" si="173">IF(G1080&lt;&gt;0,1,"")</f>
        <v/>
      </c>
      <c r="B1080" s="2383" t="s">
        <v>1222</v>
      </c>
      <c r="C1080" s="2372"/>
      <c r="D1080" s="2373">
        <v>0</v>
      </c>
      <c r="E1080" s="2374" t="s">
        <v>2809</v>
      </c>
      <c r="F1080" s="2373" t="s">
        <v>2538</v>
      </c>
      <c r="G1080" s="2616">
        <f>G1078*8*3</f>
        <v>0</v>
      </c>
      <c r="H1080" s="2376">
        <v>684900</v>
      </c>
      <c r="I1080" s="2376"/>
      <c r="J1080" s="2376">
        <v>0</v>
      </c>
      <c r="K1080" s="2376">
        <v>0</v>
      </c>
      <c r="L1080" s="2557">
        <f t="shared" si="165"/>
        <v>0</v>
      </c>
      <c r="M1080" s="2557">
        <f t="shared" si="166"/>
        <v>0</v>
      </c>
      <c r="N1080" s="2557">
        <f t="shared" si="167"/>
        <v>0</v>
      </c>
      <c r="O1080" s="2558">
        <f t="shared" si="160"/>
        <v>0</v>
      </c>
      <c r="P1080" s="2626"/>
    </row>
    <row r="1081" spans="1:16" s="2358" customFormat="1" outlineLevel="1">
      <c r="A1081" s="2361" t="str">
        <f t="shared" si="173"/>
        <v/>
      </c>
      <c r="B1081" s="2383" t="s">
        <v>6232</v>
      </c>
      <c r="C1081" s="2372"/>
      <c r="D1081" s="2373">
        <v>0</v>
      </c>
      <c r="E1081" s="2374" t="s">
        <v>2804</v>
      </c>
      <c r="F1081" s="2373" t="s">
        <v>2538</v>
      </c>
      <c r="G1081" s="2616">
        <f>G1078*8</f>
        <v>0</v>
      </c>
      <c r="H1081" s="2376">
        <v>194893</v>
      </c>
      <c r="I1081" s="2376"/>
      <c r="J1081" s="2376">
        <v>0</v>
      </c>
      <c r="K1081" s="2376">
        <v>0</v>
      </c>
      <c r="L1081" s="2557">
        <f t="shared" si="165"/>
        <v>0</v>
      </c>
      <c r="M1081" s="2557">
        <f t="shared" si="166"/>
        <v>0</v>
      </c>
      <c r="N1081" s="2557">
        <f t="shared" si="167"/>
        <v>0</v>
      </c>
      <c r="O1081" s="2558">
        <f t="shared" si="160"/>
        <v>0</v>
      </c>
      <c r="P1081" s="2626"/>
    </row>
    <row r="1082" spans="1:16" s="2358" customFormat="1" outlineLevel="1">
      <c r="A1082" s="2361" t="str">
        <f t="shared" si="173"/>
        <v/>
      </c>
      <c r="B1082" s="2383" t="s">
        <v>1826</v>
      </c>
      <c r="C1082" s="2380"/>
      <c r="D1082" s="2373" t="s">
        <v>1530</v>
      </c>
      <c r="E1082" s="2374" t="s">
        <v>2792</v>
      </c>
      <c r="F1082" s="2373" t="s">
        <v>2538</v>
      </c>
      <c r="G1082" s="2616">
        <f>4*G1078</f>
        <v>0</v>
      </c>
      <c r="H1082" s="2376">
        <v>28200</v>
      </c>
      <c r="I1082" s="2376"/>
      <c r="J1082" s="2376">
        <v>0</v>
      </c>
      <c r="K1082" s="2376">
        <v>0</v>
      </c>
      <c r="L1082" s="2462">
        <f t="shared" si="165"/>
        <v>0</v>
      </c>
      <c r="M1082" s="2462">
        <f t="shared" si="166"/>
        <v>0</v>
      </c>
      <c r="N1082" s="2462">
        <f t="shared" si="167"/>
        <v>0</v>
      </c>
      <c r="O1082" s="2463">
        <f t="shared" ref="O1082:O1097" si="174">K1082*G1082</f>
        <v>0</v>
      </c>
      <c r="P1082" s="2626"/>
    </row>
    <row r="1083" spans="1:16" s="2358" customFormat="1" outlineLevel="1">
      <c r="A1083" s="2361" t="str">
        <f t="shared" si="173"/>
        <v/>
      </c>
      <c r="B1083" s="2383" t="s">
        <v>449</v>
      </c>
      <c r="C1083" s="2372"/>
      <c r="D1083" s="2373" t="s">
        <v>5794</v>
      </c>
      <c r="E1083" s="2374" t="s">
        <v>3506</v>
      </c>
      <c r="F1083" s="2373" t="s">
        <v>2563</v>
      </c>
      <c r="G1083" s="2616">
        <f>G1078*6</f>
        <v>0</v>
      </c>
      <c r="H1083" s="2376">
        <v>108000</v>
      </c>
      <c r="I1083" s="2376"/>
      <c r="J1083" s="2376">
        <v>59410.148000000001</v>
      </c>
      <c r="K1083" s="2376">
        <v>7775.6650930000005</v>
      </c>
      <c r="L1083" s="2557">
        <f t="shared" si="165"/>
        <v>0</v>
      </c>
      <c r="M1083" s="2557">
        <f t="shared" si="166"/>
        <v>0</v>
      </c>
      <c r="N1083" s="2557">
        <f t="shared" si="167"/>
        <v>0</v>
      </c>
      <c r="O1083" s="2558">
        <f t="shared" si="174"/>
        <v>0</v>
      </c>
      <c r="P1083" s="2626"/>
    </row>
    <row r="1084" spans="1:16" s="2358" customFormat="1" outlineLevel="1">
      <c r="A1084" s="2361" t="str">
        <f t="shared" si="173"/>
        <v/>
      </c>
      <c r="B1084" s="2383" t="s">
        <v>6288</v>
      </c>
      <c r="C1084" s="2372"/>
      <c r="D1084" s="2373" t="s">
        <v>5791</v>
      </c>
      <c r="E1084" s="2374" t="s">
        <v>3501</v>
      </c>
      <c r="F1084" s="2373" t="s">
        <v>2563</v>
      </c>
      <c r="G1084" s="2616">
        <f>G1078*2</f>
        <v>0</v>
      </c>
      <c r="H1084" s="2376">
        <v>36000</v>
      </c>
      <c r="I1084" s="2376"/>
      <c r="J1084" s="2376">
        <v>33342.43</v>
      </c>
      <c r="K1084" s="2376">
        <v>4443.237196</v>
      </c>
      <c r="L1084" s="2557">
        <f t="shared" si="165"/>
        <v>0</v>
      </c>
      <c r="M1084" s="2557">
        <f t="shared" si="166"/>
        <v>0</v>
      </c>
      <c r="N1084" s="2557">
        <f t="shared" si="167"/>
        <v>0</v>
      </c>
      <c r="O1084" s="2558">
        <f t="shared" si="174"/>
        <v>0</v>
      </c>
      <c r="P1084" s="2626"/>
    </row>
    <row r="1085" spans="1:16" s="2358" customFormat="1" outlineLevel="1">
      <c r="A1085" s="2361" t="str">
        <f t="shared" si="173"/>
        <v/>
      </c>
      <c r="B1085" s="2383" t="s">
        <v>6289</v>
      </c>
      <c r="C1085" s="2372"/>
      <c r="D1085" s="2373">
        <v>0</v>
      </c>
      <c r="E1085" s="2374" t="s">
        <v>3520</v>
      </c>
      <c r="F1085" s="2373" t="s">
        <v>2563</v>
      </c>
      <c r="G1085" s="2616">
        <f>G1083</f>
        <v>0</v>
      </c>
      <c r="H1085" s="2376">
        <v>8000</v>
      </c>
      <c r="I1085" s="2376"/>
      <c r="J1085" s="2376">
        <v>0</v>
      </c>
      <c r="K1085" s="2376">
        <v>0</v>
      </c>
      <c r="L1085" s="2557">
        <f t="shared" si="165"/>
        <v>0</v>
      </c>
      <c r="M1085" s="2557">
        <f t="shared" si="166"/>
        <v>0</v>
      </c>
      <c r="N1085" s="2557">
        <f t="shared" si="167"/>
        <v>0</v>
      </c>
      <c r="O1085" s="2558">
        <f t="shared" si="174"/>
        <v>0</v>
      </c>
      <c r="P1085" s="2626"/>
    </row>
    <row r="1086" spans="1:16" s="2358" customFormat="1" outlineLevel="1">
      <c r="A1086" s="2361" t="str">
        <f t="shared" si="173"/>
        <v/>
      </c>
      <c r="B1086" s="2383" t="s">
        <v>6273</v>
      </c>
      <c r="C1086" s="2372"/>
      <c r="D1086" s="2373">
        <v>0</v>
      </c>
      <c r="E1086" s="2374" t="s">
        <v>3515</v>
      </c>
      <c r="F1086" s="2373" t="s">
        <v>2563</v>
      </c>
      <c r="G1086" s="2616">
        <f>G1084</f>
        <v>0</v>
      </c>
      <c r="H1086" s="2376">
        <v>5000</v>
      </c>
      <c r="I1086" s="2376"/>
      <c r="J1086" s="2376">
        <v>0</v>
      </c>
      <c r="K1086" s="2376">
        <v>0</v>
      </c>
      <c r="L1086" s="2557">
        <f t="shared" si="165"/>
        <v>0</v>
      </c>
      <c r="M1086" s="2557">
        <f t="shared" si="166"/>
        <v>0</v>
      </c>
      <c r="N1086" s="2557">
        <f t="shared" si="167"/>
        <v>0</v>
      </c>
      <c r="O1086" s="2558">
        <f t="shared" si="174"/>
        <v>0</v>
      </c>
      <c r="P1086" s="2626"/>
    </row>
    <row r="1087" spans="1:16" s="2358" customFormat="1" outlineLevel="1">
      <c r="A1087" s="2361" t="str">
        <f t="shared" si="173"/>
        <v/>
      </c>
      <c r="B1087" s="2383" t="s">
        <v>1042</v>
      </c>
      <c r="C1087" s="2372"/>
      <c r="D1087" s="2373">
        <v>0</v>
      </c>
      <c r="E1087" s="2374" t="s">
        <v>3549</v>
      </c>
      <c r="F1087" s="2373" t="s">
        <v>1827</v>
      </c>
      <c r="G1087" s="2616">
        <f>8*G1078</f>
        <v>0</v>
      </c>
      <c r="H1087" s="2376">
        <v>103700</v>
      </c>
      <c r="I1087" s="2381"/>
      <c r="J1087" s="2376">
        <v>0</v>
      </c>
      <c r="K1087" s="2376">
        <v>0</v>
      </c>
      <c r="L1087" s="2557">
        <f t="shared" si="165"/>
        <v>0</v>
      </c>
      <c r="M1087" s="2557">
        <f t="shared" si="166"/>
        <v>0</v>
      </c>
      <c r="N1087" s="2557">
        <f t="shared" si="167"/>
        <v>0</v>
      </c>
      <c r="O1087" s="2558">
        <f t="shared" si="174"/>
        <v>0</v>
      </c>
      <c r="P1087" s="2626"/>
    </row>
    <row r="1088" spans="1:16" s="2358" customFormat="1" outlineLevel="1">
      <c r="A1088" s="2361" t="str">
        <f t="shared" si="173"/>
        <v/>
      </c>
      <c r="B1088" s="2386" t="s">
        <v>1866</v>
      </c>
      <c r="C1088" s="2372"/>
      <c r="D1088" s="2373">
        <v>0</v>
      </c>
      <c r="E1088" s="2374" t="s">
        <v>5319</v>
      </c>
      <c r="F1088" s="2373" t="s">
        <v>2445</v>
      </c>
      <c r="G1088" s="2616">
        <f>3*G1078</f>
        <v>0</v>
      </c>
      <c r="H1088" s="2376">
        <v>50000</v>
      </c>
      <c r="I1088" s="2381"/>
      <c r="J1088" s="2376">
        <v>0</v>
      </c>
      <c r="K1088" s="2376">
        <v>0</v>
      </c>
      <c r="L1088" s="2557">
        <f t="shared" si="165"/>
        <v>0</v>
      </c>
      <c r="M1088" s="2557">
        <f t="shared" si="166"/>
        <v>0</v>
      </c>
      <c r="N1088" s="2557">
        <f t="shared" si="167"/>
        <v>0</v>
      </c>
      <c r="O1088" s="2558">
        <f t="shared" si="174"/>
        <v>0</v>
      </c>
      <c r="P1088" s="2626"/>
    </row>
    <row r="1089" spans="1:19" s="2358" customFormat="1" outlineLevel="1">
      <c r="A1089" s="2361" t="str">
        <f t="shared" si="173"/>
        <v/>
      </c>
      <c r="B1089" s="2383" t="s">
        <v>1868</v>
      </c>
      <c r="C1089" s="2372"/>
      <c r="D1089" s="2373">
        <v>0</v>
      </c>
      <c r="E1089" s="2374" t="s">
        <v>3567</v>
      </c>
      <c r="F1089" s="2373" t="s">
        <v>2563</v>
      </c>
      <c r="G1089" s="2616">
        <f>2*G1078</f>
        <v>0</v>
      </c>
      <c r="H1089" s="2376">
        <v>104800</v>
      </c>
      <c r="I1089" s="2381"/>
      <c r="J1089" s="2376">
        <v>0</v>
      </c>
      <c r="K1089" s="2376">
        <v>0</v>
      </c>
      <c r="L1089" s="2557">
        <f t="shared" si="165"/>
        <v>0</v>
      </c>
      <c r="M1089" s="2557">
        <f t="shared" si="166"/>
        <v>0</v>
      </c>
      <c r="N1089" s="2557">
        <f t="shared" si="167"/>
        <v>0</v>
      </c>
      <c r="O1089" s="2558">
        <f t="shared" si="174"/>
        <v>0</v>
      </c>
      <c r="P1089" s="2626"/>
    </row>
    <row r="1090" spans="1:19" s="2358" customFormat="1" outlineLevel="1">
      <c r="A1090" s="2361" t="str">
        <f t="shared" si="173"/>
        <v/>
      </c>
      <c r="B1090" s="2383" t="s">
        <v>2173</v>
      </c>
      <c r="C1090" s="2372"/>
      <c r="D1090" s="2373">
        <v>0</v>
      </c>
      <c r="E1090" s="2374" t="s">
        <v>3593</v>
      </c>
      <c r="F1090" s="2373" t="s">
        <v>2563</v>
      </c>
      <c r="G1090" s="2616">
        <f>+G1078</f>
        <v>0</v>
      </c>
      <c r="H1090" s="2376">
        <v>41900</v>
      </c>
      <c r="I1090" s="2381"/>
      <c r="J1090" s="2376">
        <v>0</v>
      </c>
      <c r="K1090" s="2376">
        <v>0</v>
      </c>
      <c r="L1090" s="2557">
        <f t="shared" si="165"/>
        <v>0</v>
      </c>
      <c r="M1090" s="2557">
        <f t="shared" si="166"/>
        <v>0</v>
      </c>
      <c r="N1090" s="2557">
        <f t="shared" si="167"/>
        <v>0</v>
      </c>
      <c r="O1090" s="2558">
        <f t="shared" si="174"/>
        <v>0</v>
      </c>
      <c r="P1090" s="2626"/>
    </row>
    <row r="1091" spans="1:19" s="2358" customFormat="1" outlineLevel="1">
      <c r="A1091" s="2361" t="str">
        <f>IF(G1091&lt;&gt;0,1,"")</f>
        <v/>
      </c>
      <c r="B1091" s="2383" t="s">
        <v>2174</v>
      </c>
      <c r="C1091" s="2372"/>
      <c r="D1091" s="2373">
        <v>0</v>
      </c>
      <c r="E1091" s="2374" t="s">
        <v>3597</v>
      </c>
      <c r="F1091" s="2373" t="s">
        <v>2563</v>
      </c>
      <c r="G1091" s="2616">
        <f>+G1090</f>
        <v>0</v>
      </c>
      <c r="H1091" s="2376">
        <v>41900</v>
      </c>
      <c r="I1091" s="2381"/>
      <c r="J1091" s="2376">
        <v>0</v>
      </c>
      <c r="K1091" s="2376">
        <v>0</v>
      </c>
      <c r="L1091" s="2557">
        <f t="shared" si="165"/>
        <v>0</v>
      </c>
      <c r="M1091" s="2557">
        <f t="shared" si="166"/>
        <v>0</v>
      </c>
      <c r="N1091" s="2557">
        <f t="shared" si="167"/>
        <v>0</v>
      </c>
      <c r="O1091" s="2558">
        <f t="shared" si="174"/>
        <v>0</v>
      </c>
      <c r="P1091" s="2626"/>
    </row>
    <row r="1092" spans="1:19" s="2358" customFormat="1" outlineLevel="1">
      <c r="A1092" s="2361" t="str">
        <f>IF(G1092&lt;&gt;0,1,"")</f>
        <v/>
      </c>
      <c r="B1092" s="2383" t="s">
        <v>419</v>
      </c>
      <c r="C1092" s="2372"/>
      <c r="D1092" s="2373">
        <v>0</v>
      </c>
      <c r="E1092" s="2374" t="s">
        <v>3588</v>
      </c>
      <c r="F1092" s="2373" t="s">
        <v>3589</v>
      </c>
      <c r="G1092" s="2616">
        <f>G1078*1</f>
        <v>0</v>
      </c>
      <c r="H1092" s="2376">
        <v>11500</v>
      </c>
      <c r="I1092" s="2381"/>
      <c r="J1092" s="2376">
        <v>0</v>
      </c>
      <c r="K1092" s="2376">
        <v>0</v>
      </c>
      <c r="L1092" s="2557">
        <f t="shared" si="165"/>
        <v>0</v>
      </c>
      <c r="M1092" s="2557">
        <f t="shared" si="166"/>
        <v>0</v>
      </c>
      <c r="N1092" s="2557">
        <f t="shared" si="167"/>
        <v>0</v>
      </c>
      <c r="O1092" s="2558">
        <f t="shared" si="174"/>
        <v>0</v>
      </c>
      <c r="P1092" s="2626"/>
    </row>
    <row r="1093" spans="1:19" s="2358" customFormat="1" outlineLevel="1">
      <c r="A1093" s="2361" t="str">
        <f>IF(G1093&lt;&gt;0,1,"")</f>
        <v/>
      </c>
      <c r="B1093" s="2383" t="s">
        <v>489</v>
      </c>
      <c r="C1093" s="2372"/>
      <c r="D1093" s="2373">
        <v>0</v>
      </c>
      <c r="E1093" s="2374" t="s">
        <v>3585</v>
      </c>
      <c r="F1093" s="2373" t="s">
        <v>5868</v>
      </c>
      <c r="G1093" s="2616">
        <f>G1092</f>
        <v>0</v>
      </c>
      <c r="H1093" s="2376">
        <v>45000</v>
      </c>
      <c r="I1093" s="2381"/>
      <c r="J1093" s="2376">
        <v>0</v>
      </c>
      <c r="K1093" s="2376">
        <v>0</v>
      </c>
      <c r="L1093" s="2557">
        <f t="shared" si="165"/>
        <v>0</v>
      </c>
      <c r="M1093" s="2557">
        <f t="shared" si="166"/>
        <v>0</v>
      </c>
      <c r="N1093" s="2557">
        <f t="shared" si="167"/>
        <v>0</v>
      </c>
      <c r="O1093" s="2558">
        <f t="shared" si="174"/>
        <v>0</v>
      </c>
      <c r="P1093" s="2626"/>
    </row>
    <row r="1094" spans="1:19" s="2358" customFormat="1" outlineLevel="1">
      <c r="A1094" s="2361" t="str">
        <f>IF(G1094&lt;&gt;0,1,"")</f>
        <v/>
      </c>
      <c r="B1094" s="2386" t="s">
        <v>672</v>
      </c>
      <c r="C1094" s="2372"/>
      <c r="D1094" s="2373">
        <v>0</v>
      </c>
      <c r="E1094" s="2374" t="s">
        <v>5863</v>
      </c>
      <c r="F1094" s="2373" t="s">
        <v>3584</v>
      </c>
      <c r="G1094" s="2616">
        <f>G1078*2</f>
        <v>0</v>
      </c>
      <c r="H1094" s="2376">
        <v>6500</v>
      </c>
      <c r="I1094" s="2381"/>
      <c r="J1094" s="2376">
        <v>0</v>
      </c>
      <c r="K1094" s="2376">
        <v>0</v>
      </c>
      <c r="L1094" s="2557">
        <f t="shared" si="165"/>
        <v>0</v>
      </c>
      <c r="M1094" s="2557">
        <f t="shared" si="166"/>
        <v>0</v>
      </c>
      <c r="N1094" s="2557">
        <f t="shared" si="167"/>
        <v>0</v>
      </c>
      <c r="O1094" s="2558">
        <f t="shared" si="174"/>
        <v>0</v>
      </c>
      <c r="P1094" s="2635"/>
    </row>
    <row r="1095" spans="1:19" s="2358" customFormat="1" outlineLevel="1">
      <c r="A1095" s="2361" t="str">
        <f>A1094</f>
        <v/>
      </c>
      <c r="B1095" s="2383" t="s">
        <v>1867</v>
      </c>
      <c r="C1095" s="2380"/>
      <c r="D1095" s="2373" t="s">
        <v>5610</v>
      </c>
      <c r="E1095" s="2374" t="s">
        <v>3271</v>
      </c>
      <c r="F1095" s="2373" t="s">
        <v>2538</v>
      </c>
      <c r="G1095" s="2576">
        <f>G1087</f>
        <v>0</v>
      </c>
      <c r="H1095" s="2376"/>
      <c r="I1095" s="2381"/>
      <c r="J1095" s="2376">
        <v>65150.03</v>
      </c>
      <c r="K1095" s="2376">
        <v>0</v>
      </c>
      <c r="L1095" s="2382">
        <f t="shared" si="165"/>
        <v>0</v>
      </c>
      <c r="M1095" s="2382">
        <f t="shared" si="166"/>
        <v>0</v>
      </c>
      <c r="N1095" s="2382">
        <f t="shared" si="167"/>
        <v>0</v>
      </c>
      <c r="O1095" s="2381">
        <f t="shared" si="174"/>
        <v>0</v>
      </c>
      <c r="P1095" s="2626"/>
    </row>
    <row r="1096" spans="1:19" s="2358" customFormat="1" outlineLevel="1">
      <c r="A1096" s="2361" t="str">
        <f>A1094</f>
        <v/>
      </c>
      <c r="B1096" s="2386" t="s">
        <v>247</v>
      </c>
      <c r="C1096" s="2380"/>
      <c r="D1096" s="2373" t="s">
        <v>5635</v>
      </c>
      <c r="E1096" s="2374" t="s">
        <v>5636</v>
      </c>
      <c r="F1096" s="2373" t="s">
        <v>1827</v>
      </c>
      <c r="G1096" s="2576">
        <f>G1080+G1081</f>
        <v>0</v>
      </c>
      <c r="H1096" s="2376"/>
      <c r="I1096" s="2381"/>
      <c r="J1096" s="2376">
        <v>47311</v>
      </c>
      <c r="K1096" s="2376">
        <v>0</v>
      </c>
      <c r="L1096" s="2382">
        <f t="shared" si="165"/>
        <v>0</v>
      </c>
      <c r="M1096" s="2382">
        <f t="shared" si="166"/>
        <v>0</v>
      </c>
      <c r="N1096" s="2382">
        <f t="shared" si="167"/>
        <v>0</v>
      </c>
      <c r="O1096" s="2381">
        <f t="shared" si="174"/>
        <v>0</v>
      </c>
      <c r="P1096" s="2626"/>
    </row>
    <row r="1097" spans="1:19" s="2358" customFormat="1" outlineLevel="1">
      <c r="A1097" s="2361" t="str">
        <f>IF(G1097&lt;&gt;0,1,"")</f>
        <v/>
      </c>
      <c r="B1097" s="2383" t="s">
        <v>289</v>
      </c>
      <c r="C1097" s="2595">
        <f>IF(G1097&gt;0,C1078+1,C1078)</f>
        <v>0</v>
      </c>
      <c r="D1097" s="2596"/>
      <c r="E1097" s="2374" t="s">
        <v>5774</v>
      </c>
      <c r="F1097" s="2373" t="s">
        <v>2563</v>
      </c>
      <c r="G1097" s="2636">
        <f>G1032</f>
        <v>0</v>
      </c>
      <c r="H1097" s="2376">
        <v>300000</v>
      </c>
      <c r="I1097" s="2416"/>
      <c r="J1097" s="2376">
        <v>0</v>
      </c>
      <c r="K1097" s="2376">
        <v>0</v>
      </c>
      <c r="L1097" s="2597">
        <f t="shared" si="165"/>
        <v>0</v>
      </c>
      <c r="M1097" s="2597">
        <f t="shared" si="166"/>
        <v>0</v>
      </c>
      <c r="N1097" s="2597">
        <f t="shared" si="167"/>
        <v>0</v>
      </c>
      <c r="O1097" s="2598">
        <f t="shared" si="174"/>
        <v>0</v>
      </c>
      <c r="P1097" s="2622"/>
    </row>
    <row r="1098" spans="1:19" s="2358" customFormat="1" outlineLevel="1">
      <c r="A1098" s="2361" t="str">
        <f>A1097</f>
        <v/>
      </c>
      <c r="B1098" s="2383"/>
      <c r="C1098" s="2599"/>
      <c r="D1098" s="2600"/>
      <c r="E1098" s="2566"/>
      <c r="F1098" s="2884"/>
      <c r="G1098" s="2884"/>
      <c r="H1098" s="2884"/>
      <c r="I1098" s="2884"/>
      <c r="J1098" s="2909" t="s">
        <v>6205</v>
      </c>
      <c r="K1098" s="2909"/>
      <c r="L1098" s="2601">
        <f>SUM(L1018:L1097)</f>
        <v>0</v>
      </c>
      <c r="M1098" s="2601"/>
      <c r="N1098" s="2601">
        <f>SUM(N1018:N1097)</f>
        <v>0</v>
      </c>
      <c r="O1098" s="2601">
        <f>SUM(O1018:O1097)</f>
        <v>0</v>
      </c>
      <c r="P1098" s="2637"/>
    </row>
    <row r="1099" spans="1:19" s="2358" customFormat="1" outlineLevel="1">
      <c r="A1099" s="2361"/>
      <c r="B1099" s="2383"/>
      <c r="C1099" s="2603"/>
      <c r="D1099" s="2603"/>
      <c r="E1099" s="2604"/>
      <c r="F1099" s="2885"/>
      <c r="G1099" s="2885"/>
      <c r="H1099" s="2885"/>
      <c r="I1099" s="2885"/>
      <c r="J1099" s="2604"/>
      <c r="K1099" s="2604"/>
      <c r="L1099" s="2605"/>
      <c r="M1099" s="2605"/>
      <c r="N1099" s="2605"/>
      <c r="O1099" s="2605"/>
    </row>
    <row r="1100" spans="1:19" s="2358" customFormat="1" ht="13.8" customHeight="1">
      <c r="A1100" s="2435" t="str">
        <f>IF(G1226&lt;&gt;0,1,"")</f>
        <v/>
      </c>
      <c r="B1100" s="2638"/>
      <c r="C1100" s="2886"/>
      <c r="D1100" s="2639"/>
      <c r="E1100" s="2887"/>
      <c r="F1100" s="2639"/>
      <c r="G1100" s="2888"/>
      <c r="H1100" s="2519"/>
      <c r="I1100" s="2519"/>
      <c r="J1100" s="2519"/>
      <c r="K1100" s="2519"/>
      <c r="L1100" s="2519"/>
      <c r="M1100" s="2519"/>
      <c r="N1100" s="2519"/>
      <c r="O1100" s="2519"/>
      <c r="P1100" s="2639"/>
      <c r="Q1100" s="2519"/>
      <c r="R1100" s="2519"/>
      <c r="S1100" s="2519"/>
    </row>
    <row r="1101" spans="1:19" s="2358" customFormat="1" outlineLevel="1">
      <c r="A1101" s="2435" t="str">
        <f>+A1105</f>
        <v/>
      </c>
      <c r="B1101" s="2640"/>
      <c r="C1101" s="2877" t="str">
        <f>"BẢNG TỔNG HỢP VẬT LIỆU, NHÂN CÔNG, MÁY THI CÔNG: "&amp;K23&amp;" TRẠM 3P_180KVA"</f>
        <v>BẢNG TỔNG HỢP VẬT LIỆU, NHÂN CÔNG, MÁY THI CÔNG: 0 TRẠM 3P_180KVA</v>
      </c>
      <c r="D1101" s="2886"/>
      <c r="E1101" s="2886"/>
      <c r="F1101" s="2886"/>
      <c r="G1101" s="2886"/>
      <c r="H1101" s="2781"/>
      <c r="I1101" s="2781"/>
      <c r="J1101" s="2781"/>
      <c r="K1101" s="2781"/>
      <c r="L1101" s="2781"/>
      <c r="M1101" s="2781"/>
      <c r="N1101" s="2781"/>
      <c r="O1101" s="2781"/>
      <c r="P1101" s="2639"/>
      <c r="Q1101" s="2519"/>
      <c r="R1101" s="2519"/>
      <c r="S1101" s="2519"/>
    </row>
    <row r="1102" spans="1:19" s="2358" customFormat="1" outlineLevel="1">
      <c r="A1102" s="2435" t="str">
        <f>+A1105</f>
        <v/>
      </c>
      <c r="B1102" s="2514" t="s">
        <v>6186</v>
      </c>
      <c r="C1102" s="2901" t="s">
        <v>1712</v>
      </c>
      <c r="D1102" s="2902" t="s">
        <v>2605</v>
      </c>
      <c r="E1102" s="2904" t="s">
        <v>2606</v>
      </c>
      <c r="F1102" s="2901" t="s">
        <v>2601</v>
      </c>
      <c r="G1102" s="2362" t="s">
        <v>6187</v>
      </c>
      <c r="H1102" s="2365" t="s">
        <v>6188</v>
      </c>
      <c r="I1102" s="2872"/>
      <c r="J1102" s="2872"/>
      <c r="K1102" s="2873"/>
      <c r="L1102" s="2365" t="s">
        <v>6189</v>
      </c>
      <c r="M1102" s="2872"/>
      <c r="N1102" s="2872"/>
      <c r="O1102" s="2873"/>
      <c r="P1102" s="2901" t="s">
        <v>2607</v>
      </c>
      <c r="Q1102" s="2519"/>
      <c r="R1102" s="2519"/>
      <c r="S1102" s="2519"/>
    </row>
    <row r="1103" spans="1:19" s="2358" customFormat="1" outlineLevel="1">
      <c r="A1103" s="2435" t="str">
        <f>+A1105</f>
        <v/>
      </c>
      <c r="B1103" s="2514"/>
      <c r="C1103" s="2901"/>
      <c r="D1103" s="2903"/>
      <c r="E1103" s="2905"/>
      <c r="F1103" s="2901"/>
      <c r="G1103" s="2364" t="s">
        <v>2292</v>
      </c>
      <c r="H1103" s="2365" t="s">
        <v>6190</v>
      </c>
      <c r="I1103" s="2365" t="s">
        <v>6191</v>
      </c>
      <c r="J1103" s="2365" t="s">
        <v>6192</v>
      </c>
      <c r="K1103" s="2365" t="s">
        <v>6193</v>
      </c>
      <c r="L1103" s="2365" t="s">
        <v>6190</v>
      </c>
      <c r="M1103" s="2365" t="s">
        <v>6191</v>
      </c>
      <c r="N1103" s="2365" t="s">
        <v>6192</v>
      </c>
      <c r="O1103" s="2365" t="s">
        <v>6193</v>
      </c>
      <c r="P1103" s="2901"/>
      <c r="Q1103" s="2519"/>
      <c r="R1103" s="2519"/>
      <c r="S1103" s="2519"/>
    </row>
    <row r="1104" spans="1:19" s="2358" customFormat="1" outlineLevel="1">
      <c r="A1104" s="2435" t="str">
        <f>+A1105</f>
        <v/>
      </c>
      <c r="B1104" s="2514"/>
      <c r="C1104" s="2366"/>
      <c r="D1104" s="2367"/>
      <c r="E1104" s="2368" t="s">
        <v>3690</v>
      </c>
      <c r="F1104" s="2369"/>
      <c r="G1104" s="2369"/>
      <c r="H1104" s="2369"/>
      <c r="I1104" s="2369"/>
      <c r="J1104" s="2369"/>
      <c r="K1104" s="2369"/>
      <c r="L1104" s="2369"/>
      <c r="M1104" s="2369"/>
      <c r="N1104" s="2369"/>
      <c r="O1104" s="2367"/>
      <c r="P1104" s="2370"/>
      <c r="Q1104" s="2519"/>
      <c r="R1104" s="2519"/>
      <c r="S1104" s="2519"/>
    </row>
    <row r="1105" spans="1:19" s="2358" customFormat="1" outlineLevel="1">
      <c r="A1105" s="2435" t="str">
        <f t="shared" ref="A1105:A1112" si="175">IF(G1105&lt;&gt;0,1,"")</f>
        <v/>
      </c>
      <c r="B1105" s="2505" t="str">
        <f>IF($F$8=15,"tr180","tr1801")</f>
        <v>tr1801</v>
      </c>
      <c r="C1105" s="2521">
        <f>IF(G1105&gt;0,1,0)</f>
        <v>0</v>
      </c>
      <c r="D1105" s="2405" t="s">
        <v>5652</v>
      </c>
      <c r="E1105" s="2447" t="s">
        <v>3346</v>
      </c>
      <c r="F1105" s="2405" t="s">
        <v>3318</v>
      </c>
      <c r="G1105" s="2521">
        <f>$K$23</f>
        <v>0</v>
      </c>
      <c r="H1105" s="2612">
        <v>180737000</v>
      </c>
      <c r="I1105" s="2612"/>
      <c r="J1105" s="2612">
        <v>1190887</v>
      </c>
      <c r="K1105" s="2612">
        <v>284508</v>
      </c>
      <c r="L1105" s="2613">
        <f t="shared" ref="L1105:L1112" si="176">H1105*G1105</f>
        <v>0</v>
      </c>
      <c r="M1105" s="2613">
        <f t="shared" ref="M1105:M1112" si="177">I1105*G1105</f>
        <v>0</v>
      </c>
      <c r="N1105" s="2613">
        <f t="shared" ref="N1105:N1112" si="178">J1105*G1105</f>
        <v>0</v>
      </c>
      <c r="O1105" s="2614">
        <f t="shared" ref="O1105:O1112" si="179">K1105*G1105</f>
        <v>0</v>
      </c>
      <c r="P1105" s="2641"/>
      <c r="Q1105" s="2519"/>
      <c r="R1105" s="2519"/>
      <c r="S1105" s="2519"/>
    </row>
    <row r="1106" spans="1:19" s="2358" customFormat="1" outlineLevel="1">
      <c r="A1106" s="2435" t="str">
        <f t="shared" si="175"/>
        <v/>
      </c>
      <c r="B1106" s="2371" t="str">
        <f>"FCO100-"&amp;$F$8</f>
        <v>FCO100-22</v>
      </c>
      <c r="C1106" s="2521">
        <f>IF(G1106&gt;0,C1105+1,C1105)</f>
        <v>0</v>
      </c>
      <c r="D1106" s="2405" t="s">
        <v>5660</v>
      </c>
      <c r="E1106" s="2447" t="s">
        <v>95</v>
      </c>
      <c r="F1106" s="2405" t="s">
        <v>2563</v>
      </c>
      <c r="G1106" s="2522">
        <f>+G1105*3</f>
        <v>0</v>
      </c>
      <c r="H1106" s="2517">
        <v>2244280</v>
      </c>
      <c r="I1106" s="2517">
        <v>0</v>
      </c>
      <c r="J1106" s="2517">
        <v>222639.99999999997</v>
      </c>
      <c r="K1106" s="2517">
        <v>0</v>
      </c>
      <c r="L1106" s="2517">
        <f t="shared" si="176"/>
        <v>0</v>
      </c>
      <c r="M1106" s="2517">
        <f t="shared" si="177"/>
        <v>0</v>
      </c>
      <c r="N1106" s="2517">
        <f t="shared" si="178"/>
        <v>0</v>
      </c>
      <c r="O1106" s="2517">
        <f t="shared" si="179"/>
        <v>0</v>
      </c>
      <c r="P1106" s="2642"/>
      <c r="Q1106" s="2519"/>
      <c r="R1106" s="2519"/>
      <c r="S1106" s="2519"/>
    </row>
    <row r="1107" spans="1:19" s="2358" customFormat="1" outlineLevel="1">
      <c r="A1107" s="2435" t="str">
        <f t="shared" si="175"/>
        <v/>
      </c>
      <c r="B1107" s="2505" t="str">
        <f>IF($F$14=15,"chi10","chi8k")</f>
        <v>chi8k</v>
      </c>
      <c r="C1107" s="2521">
        <f t="shared" ref="C1107:C1112" si="180">IF(G1107&gt;0,C1106+1,C1106)</f>
        <v>0</v>
      </c>
      <c r="D1107" s="2405">
        <v>0</v>
      </c>
      <c r="E1107" s="2447" t="s">
        <v>3442</v>
      </c>
      <c r="F1107" s="2405" t="s">
        <v>2608</v>
      </c>
      <c r="G1107" s="2522">
        <f>G1106</f>
        <v>0</v>
      </c>
      <c r="H1107" s="2517">
        <v>84000</v>
      </c>
      <c r="I1107" s="2517">
        <v>0</v>
      </c>
      <c r="J1107" s="2517">
        <v>0</v>
      </c>
      <c r="K1107" s="2517">
        <v>0</v>
      </c>
      <c r="L1107" s="2517">
        <f t="shared" si="176"/>
        <v>0</v>
      </c>
      <c r="M1107" s="2517">
        <f t="shared" si="177"/>
        <v>0</v>
      </c>
      <c r="N1107" s="2517">
        <f t="shared" si="178"/>
        <v>0</v>
      </c>
      <c r="O1107" s="2517">
        <f t="shared" si="179"/>
        <v>0</v>
      </c>
      <c r="P1107" s="2642"/>
      <c r="Q1107" s="2519"/>
      <c r="R1107" s="2519"/>
      <c r="S1107" s="2519"/>
    </row>
    <row r="1108" spans="1:19" s="2358" customFormat="1" outlineLevel="1">
      <c r="A1108" s="2435" t="str">
        <f t="shared" si="175"/>
        <v/>
      </c>
      <c r="B1108" s="2514" t="str">
        <f>"LA"&amp;$F$6</f>
        <v>LA18</v>
      </c>
      <c r="C1108" s="2521">
        <f t="shared" si="180"/>
        <v>0</v>
      </c>
      <c r="D1108" s="2405" t="s">
        <v>5664</v>
      </c>
      <c r="E1108" s="2447" t="s">
        <v>1193</v>
      </c>
      <c r="F1108" s="2405" t="s">
        <v>2563</v>
      </c>
      <c r="G1108" s="2522">
        <f>G1106</f>
        <v>0</v>
      </c>
      <c r="H1108" s="2517">
        <v>1106000</v>
      </c>
      <c r="I1108" s="2517">
        <v>0</v>
      </c>
      <c r="J1108" s="2517">
        <v>83490</v>
      </c>
      <c r="K1108" s="2517">
        <v>0</v>
      </c>
      <c r="L1108" s="2517">
        <f t="shared" si="176"/>
        <v>0</v>
      </c>
      <c r="M1108" s="2517">
        <f t="shared" si="177"/>
        <v>0</v>
      </c>
      <c r="N1108" s="2517">
        <f t="shared" si="178"/>
        <v>0</v>
      </c>
      <c r="O1108" s="2517">
        <f t="shared" si="179"/>
        <v>0</v>
      </c>
      <c r="P1108" s="2642"/>
      <c r="Q1108" s="2519"/>
      <c r="R1108" s="2519"/>
      <c r="S1108" s="2519"/>
    </row>
    <row r="1109" spans="1:19" s="2358" customFormat="1" outlineLevel="1">
      <c r="A1109" s="2435" t="str">
        <f t="shared" si="175"/>
        <v/>
      </c>
      <c r="B1109" s="2610" t="s">
        <v>6290</v>
      </c>
      <c r="C1109" s="2521">
        <f t="shared" si="180"/>
        <v>0</v>
      </c>
      <c r="D1109" s="2405">
        <v>0</v>
      </c>
      <c r="E1109" s="2447" t="s">
        <v>5746</v>
      </c>
      <c r="F1109" s="2405" t="s">
        <v>2563</v>
      </c>
      <c r="G1109" s="2522">
        <f>+G1105</f>
        <v>0</v>
      </c>
      <c r="H1109" s="2517">
        <v>6780000</v>
      </c>
      <c r="I1109" s="2517">
        <v>0</v>
      </c>
      <c r="J1109" s="2517">
        <v>0</v>
      </c>
      <c r="K1109" s="2517">
        <v>0</v>
      </c>
      <c r="L1109" s="2517">
        <f t="shared" si="176"/>
        <v>0</v>
      </c>
      <c r="M1109" s="2517">
        <f t="shared" si="177"/>
        <v>0</v>
      </c>
      <c r="N1109" s="2517">
        <f t="shared" si="178"/>
        <v>0</v>
      </c>
      <c r="O1109" s="2517">
        <f t="shared" si="179"/>
        <v>0</v>
      </c>
      <c r="P1109" s="2642"/>
      <c r="Q1109" s="2519"/>
      <c r="R1109" s="2519"/>
      <c r="S1109" s="2519"/>
    </row>
    <row r="1110" spans="1:19" s="2358" customFormat="1" outlineLevel="1">
      <c r="A1110" s="2435" t="str">
        <f t="shared" si="175"/>
        <v/>
      </c>
      <c r="B1110" s="2610" t="s">
        <v>685</v>
      </c>
      <c r="C1110" s="2521">
        <f t="shared" si="180"/>
        <v>0</v>
      </c>
      <c r="D1110" s="2405" t="s">
        <v>1025</v>
      </c>
      <c r="E1110" s="2447" t="s">
        <v>3400</v>
      </c>
      <c r="F1110" s="2405" t="s">
        <v>3388</v>
      </c>
      <c r="G1110" s="2522">
        <f>+G1105</f>
        <v>0</v>
      </c>
      <c r="H1110" s="2517">
        <v>12786992</v>
      </c>
      <c r="I1110" s="2517">
        <v>0</v>
      </c>
      <c r="J1110" s="2517">
        <v>98101</v>
      </c>
      <c r="K1110" s="2517">
        <v>59254</v>
      </c>
      <c r="L1110" s="2517">
        <f t="shared" si="176"/>
        <v>0</v>
      </c>
      <c r="M1110" s="2517">
        <f t="shared" si="177"/>
        <v>0</v>
      </c>
      <c r="N1110" s="2517">
        <f t="shared" si="178"/>
        <v>0</v>
      </c>
      <c r="O1110" s="2517">
        <f t="shared" si="179"/>
        <v>0</v>
      </c>
      <c r="P1110" s="2642"/>
      <c r="Q1110" s="2519"/>
      <c r="R1110" s="2519"/>
      <c r="S1110" s="2519"/>
    </row>
    <row r="1111" spans="1:19" s="2358" customFormat="1" outlineLevel="1">
      <c r="A1111" s="2435" t="str">
        <f t="shared" si="175"/>
        <v/>
      </c>
      <c r="B1111" s="2505" t="s">
        <v>1672</v>
      </c>
      <c r="C1111" s="2521">
        <f t="shared" si="180"/>
        <v>0</v>
      </c>
      <c r="D1111" s="2405">
        <v>0</v>
      </c>
      <c r="E1111" s="2447" t="s">
        <v>3378</v>
      </c>
      <c r="F1111" s="2405" t="s">
        <v>2563</v>
      </c>
      <c r="G1111" s="2643">
        <f>+G1105*3</f>
        <v>0</v>
      </c>
      <c r="H1111" s="2517">
        <v>0</v>
      </c>
      <c r="I1111" s="2517">
        <v>0</v>
      </c>
      <c r="J1111" s="2517">
        <v>0</v>
      </c>
      <c r="K1111" s="2517">
        <v>0</v>
      </c>
      <c r="L1111" s="2517">
        <f t="shared" si="176"/>
        <v>0</v>
      </c>
      <c r="M1111" s="2517">
        <f t="shared" si="177"/>
        <v>0</v>
      </c>
      <c r="N1111" s="2517">
        <f t="shared" si="178"/>
        <v>0</v>
      </c>
      <c r="O1111" s="2517">
        <f t="shared" si="179"/>
        <v>0</v>
      </c>
      <c r="P1111" s="2644" t="s">
        <v>2609</v>
      </c>
      <c r="Q1111" s="2519"/>
      <c r="R1111" s="2519"/>
      <c r="S1111" s="2519"/>
    </row>
    <row r="1112" spans="1:19" s="2358" customFormat="1" outlineLevel="1">
      <c r="A1112" s="2435" t="str">
        <f t="shared" si="175"/>
        <v/>
      </c>
      <c r="B1112" s="2505" t="s">
        <v>1463</v>
      </c>
      <c r="C1112" s="2521">
        <f t="shared" si="180"/>
        <v>0</v>
      </c>
      <c r="D1112" s="2405">
        <v>0</v>
      </c>
      <c r="E1112" s="2447" t="s">
        <v>3459</v>
      </c>
      <c r="F1112" s="2405" t="s">
        <v>2563</v>
      </c>
      <c r="G1112" s="2643">
        <f>+G1105</f>
        <v>0</v>
      </c>
      <c r="H1112" s="2517">
        <v>0</v>
      </c>
      <c r="I1112" s="2517">
        <v>0</v>
      </c>
      <c r="J1112" s="2517">
        <v>0</v>
      </c>
      <c r="K1112" s="2517">
        <v>0</v>
      </c>
      <c r="L1112" s="2517">
        <f t="shared" si="176"/>
        <v>0</v>
      </c>
      <c r="M1112" s="2613">
        <f t="shared" si="177"/>
        <v>0</v>
      </c>
      <c r="N1112" s="2613">
        <f t="shared" si="178"/>
        <v>0</v>
      </c>
      <c r="O1112" s="2614">
        <f t="shared" si="179"/>
        <v>0</v>
      </c>
      <c r="P1112" s="2645" t="s">
        <v>2609</v>
      </c>
      <c r="Q1112" s="2519"/>
      <c r="R1112" s="2519"/>
      <c r="S1112" s="2519"/>
    </row>
    <row r="1113" spans="1:19" s="2358" customFormat="1" outlineLevel="1">
      <c r="A1113" s="2435">
        <f>+IF(L1113+N1113+O1113&gt;0,1,0)</f>
        <v>0</v>
      </c>
      <c r="B1113" s="2514"/>
      <c r="C1113" s="2646"/>
      <c r="D1113" s="2647"/>
      <c r="E1113" s="2648"/>
      <c r="F1113" s="2646"/>
      <c r="G1113" s="2889"/>
      <c r="H1113" s="2646"/>
      <c r="I1113" s="2646"/>
      <c r="J1113" s="2370" t="s">
        <v>6195</v>
      </c>
      <c r="K1113" s="2646"/>
      <c r="L1113" s="2648">
        <f>SUM(L1105:L1112)</f>
        <v>0</v>
      </c>
      <c r="M1113" s="2648">
        <f>SUM(M1105:M1112)</f>
        <v>0</v>
      </c>
      <c r="N1113" s="2648">
        <f>SUM(N1105:N1112)</f>
        <v>0</v>
      </c>
      <c r="O1113" s="2648">
        <f>SUM(O1105:O1112)</f>
        <v>0</v>
      </c>
      <c r="P1113" s="2649"/>
      <c r="Q1113" s="2519"/>
      <c r="R1113" s="2519"/>
      <c r="S1113" s="2519"/>
    </row>
    <row r="1114" spans="1:19" s="2358" customFormat="1" outlineLevel="1">
      <c r="A1114" s="2435"/>
      <c r="B1114" s="2514"/>
      <c r="C1114" s="2650"/>
      <c r="D1114" s="2651"/>
      <c r="E1114" s="2652" t="s">
        <v>3691</v>
      </c>
      <c r="F1114" s="2652"/>
      <c r="G1114" s="2653"/>
      <c r="H1114" s="2652"/>
      <c r="I1114" s="2652"/>
      <c r="J1114" s="2652"/>
      <c r="K1114" s="2652"/>
      <c r="L1114" s="2652"/>
      <c r="M1114" s="2652"/>
      <c r="N1114" s="2652"/>
      <c r="O1114" s="2651"/>
      <c r="P1114" s="2649"/>
      <c r="Q1114" s="2519"/>
      <c r="R1114" s="2519"/>
      <c r="S1114" s="2519"/>
    </row>
    <row r="1115" spans="1:19" s="2358" customFormat="1" outlineLevel="1">
      <c r="A1115" s="2435" t="str">
        <f t="shared" ref="A1115:A1133" si="181">IF(G1115&lt;&gt;0,1,"")</f>
        <v/>
      </c>
      <c r="B1115" s="2654"/>
      <c r="C1115" s="2655">
        <f>IF(G1115&gt;0,1,0)</f>
        <v>0</v>
      </c>
      <c r="D1115" s="2405"/>
      <c r="E1115" s="2656" t="s">
        <v>6196</v>
      </c>
      <c r="F1115" s="2657" t="s">
        <v>2283</v>
      </c>
      <c r="G1115" s="2658">
        <f>G1105*2</f>
        <v>0</v>
      </c>
      <c r="H1115" s="2657"/>
      <c r="I1115" s="2657"/>
      <c r="J1115" s="2657"/>
      <c r="K1115" s="2657"/>
      <c r="L1115" s="2658"/>
      <c r="M1115" s="2658"/>
      <c r="N1115" s="2658"/>
      <c r="O1115" s="2659"/>
      <c r="P1115" s="2642"/>
      <c r="Q1115" s="2519"/>
      <c r="R1115" s="2519"/>
      <c r="S1115" s="2519"/>
    </row>
    <row r="1116" spans="1:19" s="2358" customFormat="1" outlineLevel="1">
      <c r="A1116" s="2435" t="str">
        <f t="shared" si="181"/>
        <v/>
      </c>
      <c r="B1116" s="2610" t="s">
        <v>115</v>
      </c>
      <c r="C1116" s="2660"/>
      <c r="D1116" s="2405"/>
      <c r="E1116" s="2661" t="s">
        <v>3009</v>
      </c>
      <c r="F1116" s="2405" t="s">
        <v>2839</v>
      </c>
      <c r="G1116" s="2405">
        <f>G1115</f>
        <v>0</v>
      </c>
      <c r="H1116" s="2612">
        <v>4400000</v>
      </c>
      <c r="I1116" s="2511"/>
      <c r="J1116" s="2612"/>
      <c r="K1116" s="2511"/>
      <c r="L1116" s="2613">
        <f>H1116*G1116</f>
        <v>0</v>
      </c>
      <c r="M1116" s="2613">
        <f>I1116*G1116</f>
        <v>0</v>
      </c>
      <c r="N1116" s="2613">
        <f>J1116*G1116</f>
        <v>0</v>
      </c>
      <c r="O1116" s="2613">
        <f>K1116*G1116</f>
        <v>0</v>
      </c>
      <c r="P1116" s="2642"/>
      <c r="Q1116" s="2519"/>
      <c r="R1116" s="2519"/>
      <c r="S1116" s="2519"/>
    </row>
    <row r="1117" spans="1:19" s="2358" customFormat="1" outlineLevel="1">
      <c r="A1117" s="2435" t="str">
        <f t="shared" si="181"/>
        <v/>
      </c>
      <c r="B1117" s="2610" t="s">
        <v>1818</v>
      </c>
      <c r="C1117" s="2660"/>
      <c r="D1117" s="2405"/>
      <c r="E1117" s="2661" t="s">
        <v>2838</v>
      </c>
      <c r="F1117" s="2405" t="s">
        <v>2839</v>
      </c>
      <c r="G1117" s="2405">
        <f>G1116</f>
        <v>0</v>
      </c>
      <c r="H1117" s="2612">
        <v>17400</v>
      </c>
      <c r="I1117" s="2612"/>
      <c r="J1117" s="2511"/>
      <c r="K1117" s="2511"/>
      <c r="L1117" s="2613">
        <f>H1117*G1117</f>
        <v>0</v>
      </c>
      <c r="M1117" s="2613">
        <f>I1117*G1117</f>
        <v>0</v>
      </c>
      <c r="N1117" s="2613">
        <f>J1117*G1117</f>
        <v>0</v>
      </c>
      <c r="O1117" s="2613">
        <f>K1117*G1117</f>
        <v>0</v>
      </c>
      <c r="P1117" s="2642"/>
      <c r="Q1117" s="2519"/>
      <c r="R1117" s="2519"/>
      <c r="S1117" s="2519"/>
    </row>
    <row r="1118" spans="1:19" s="2358" customFormat="1" outlineLevel="1">
      <c r="A1118" s="2435" t="str">
        <f t="shared" si="181"/>
        <v/>
      </c>
      <c r="B1118" s="2610" t="s">
        <v>643</v>
      </c>
      <c r="C1118" s="2660"/>
      <c r="D1118" s="2405" t="s">
        <v>2133</v>
      </c>
      <c r="E1118" s="2661" t="s">
        <v>3185</v>
      </c>
      <c r="F1118" s="2405" t="s">
        <v>2839</v>
      </c>
      <c r="G1118" s="2405">
        <f>G1116</f>
        <v>0</v>
      </c>
      <c r="H1118" s="2661"/>
      <c r="I1118" s="2612"/>
      <c r="J1118" s="2612">
        <v>112286</v>
      </c>
      <c r="K1118" s="2612">
        <v>105970</v>
      </c>
      <c r="L1118" s="2613">
        <f>H1118*G1118</f>
        <v>0</v>
      </c>
      <c r="M1118" s="2613">
        <f>I1118*G1118</f>
        <v>0</v>
      </c>
      <c r="N1118" s="2613">
        <f>J1118*G1118</f>
        <v>0</v>
      </c>
      <c r="O1118" s="2613">
        <f>K1118*G1118</f>
        <v>0</v>
      </c>
      <c r="P1118" s="2642"/>
      <c r="Q1118" s="2519"/>
      <c r="R1118" s="2519"/>
      <c r="S1118" s="2519"/>
    </row>
    <row r="1119" spans="1:19" s="2358" customFormat="1" outlineLevel="1">
      <c r="A1119" s="2435" t="str">
        <f t="shared" si="181"/>
        <v/>
      </c>
      <c r="B1119" s="2654"/>
      <c r="C1119" s="2655">
        <f>IF(G1119&gt;0,1,0)</f>
        <v>0</v>
      </c>
      <c r="D1119" s="2405"/>
      <c r="E1119" s="2656" t="s">
        <v>6291</v>
      </c>
      <c r="F1119" s="2657" t="s">
        <v>2283</v>
      </c>
      <c r="G1119" s="2658">
        <f>G1105*2</f>
        <v>0</v>
      </c>
      <c r="H1119" s="2657"/>
      <c r="I1119" s="2657"/>
      <c r="J1119" s="2657"/>
      <c r="K1119" s="2657"/>
      <c r="L1119" s="2658"/>
      <c r="M1119" s="2658"/>
      <c r="N1119" s="2658"/>
      <c r="O1119" s="2659"/>
      <c r="P1119" s="2518"/>
      <c r="Q1119" s="2519"/>
      <c r="R1119" s="2519"/>
      <c r="S1119" s="2519"/>
    </row>
    <row r="1120" spans="1:19" s="2358" customFormat="1" outlineLevel="1">
      <c r="A1120" s="2435" t="str">
        <f t="shared" si="181"/>
        <v/>
      </c>
      <c r="B1120" s="2610" t="s">
        <v>114</v>
      </c>
      <c r="C1120" s="2660"/>
      <c r="D1120" s="2405"/>
      <c r="E1120" s="2661" t="s">
        <v>3008</v>
      </c>
      <c r="F1120" s="2405" t="s">
        <v>2839</v>
      </c>
      <c r="G1120" s="2405">
        <f>G1119</f>
        <v>0</v>
      </c>
      <c r="H1120" s="2612">
        <v>4200000</v>
      </c>
      <c r="I1120" s="2511"/>
      <c r="J1120" s="2612"/>
      <c r="K1120" s="2511"/>
      <c r="L1120" s="2613">
        <f>H1120*G1120</f>
        <v>0</v>
      </c>
      <c r="M1120" s="2613">
        <f>I1120*G1120</f>
        <v>0</v>
      </c>
      <c r="N1120" s="2613">
        <f>J1120*G1120</f>
        <v>0</v>
      </c>
      <c r="O1120" s="2613">
        <f>K1120*G1120</f>
        <v>0</v>
      </c>
      <c r="P1120" s="2518"/>
      <c r="Q1120" s="2519"/>
      <c r="R1120" s="2519"/>
      <c r="S1120" s="2519"/>
    </row>
    <row r="1121" spans="1:19" s="2358" customFormat="1" outlineLevel="1">
      <c r="A1121" s="2435" t="str">
        <f t="shared" si="181"/>
        <v/>
      </c>
      <c r="B1121" s="2610" t="s">
        <v>1818</v>
      </c>
      <c r="C1121" s="2660"/>
      <c r="D1121" s="2405"/>
      <c r="E1121" s="2661" t="s">
        <v>2838</v>
      </c>
      <c r="F1121" s="2405" t="s">
        <v>2839</v>
      </c>
      <c r="G1121" s="2405">
        <f>G1120</f>
        <v>0</v>
      </c>
      <c r="H1121" s="2612">
        <v>17400</v>
      </c>
      <c r="I1121" s="2612"/>
      <c r="J1121" s="2511"/>
      <c r="K1121" s="2511"/>
      <c r="L1121" s="2613">
        <f>H1121*G1121</f>
        <v>0</v>
      </c>
      <c r="M1121" s="2613">
        <f>I1121*G1121</f>
        <v>0</v>
      </c>
      <c r="N1121" s="2613">
        <f>J1121*G1121</f>
        <v>0</v>
      </c>
      <c r="O1121" s="2613">
        <f>K1121*G1121</f>
        <v>0</v>
      </c>
      <c r="P1121" s="2518"/>
      <c r="Q1121" s="2519"/>
      <c r="R1121" s="2519"/>
      <c r="S1121" s="2519"/>
    </row>
    <row r="1122" spans="1:19" s="2358" customFormat="1" outlineLevel="1">
      <c r="A1122" s="2435" t="str">
        <f t="shared" si="181"/>
        <v/>
      </c>
      <c r="B1122" s="2610" t="s">
        <v>644</v>
      </c>
      <c r="C1122" s="2660"/>
      <c r="D1122" s="2405" t="s">
        <v>2133</v>
      </c>
      <c r="E1122" s="2661" t="s">
        <v>3186</v>
      </c>
      <c r="F1122" s="2405" t="s">
        <v>2839</v>
      </c>
      <c r="G1122" s="2405">
        <f>G1120</f>
        <v>0</v>
      </c>
      <c r="H1122" s="2661"/>
      <c r="I1122" s="2612"/>
      <c r="J1122" s="2612">
        <v>112286</v>
      </c>
      <c r="K1122" s="2612">
        <v>105970</v>
      </c>
      <c r="L1122" s="2613">
        <f>H1122*G1122</f>
        <v>0</v>
      </c>
      <c r="M1122" s="2613">
        <f>I1122*G1122</f>
        <v>0</v>
      </c>
      <c r="N1122" s="2613">
        <f>J1122*G1122</f>
        <v>0</v>
      </c>
      <c r="O1122" s="2613">
        <f>K1122*G1122</f>
        <v>0</v>
      </c>
      <c r="P1122" s="2518"/>
      <c r="Q1122" s="2519"/>
      <c r="R1122" s="2519"/>
      <c r="S1122" s="2519"/>
    </row>
    <row r="1123" spans="1:19" s="2358" customFormat="1" outlineLevel="1">
      <c r="A1123" s="2435" t="str">
        <f t="shared" si="181"/>
        <v/>
      </c>
      <c r="B1123" s="2610"/>
      <c r="C1123" s="2511">
        <f>IF(G1123&gt;0,C1115+1,C1115)</f>
        <v>0</v>
      </c>
      <c r="D1123" s="2405"/>
      <c r="E1123" s="2656" t="s">
        <v>2358</v>
      </c>
      <c r="F1123" s="2657" t="s">
        <v>2333</v>
      </c>
      <c r="G1123" s="2662">
        <f>G1115</f>
        <v>0</v>
      </c>
      <c r="H1123" s="2511"/>
      <c r="I1123" s="2511"/>
      <c r="J1123" s="2511"/>
      <c r="K1123" s="2511"/>
      <c r="L1123" s="2511"/>
      <c r="M1123" s="2511"/>
      <c r="N1123" s="2511"/>
      <c r="O1123" s="2663"/>
      <c r="P1123" s="2642"/>
      <c r="Q1123" s="2519"/>
      <c r="R1123" s="2519"/>
      <c r="S1123" s="2519"/>
    </row>
    <row r="1124" spans="1:19" s="2358" customFormat="1" outlineLevel="1">
      <c r="A1124" s="2435" t="str">
        <f t="shared" si="181"/>
        <v/>
      </c>
      <c r="B1124" s="2610" t="s">
        <v>636</v>
      </c>
      <c r="C1124" s="2660"/>
      <c r="D1124" s="2405" t="s">
        <v>5099</v>
      </c>
      <c r="E1124" s="2661" t="s">
        <v>2615</v>
      </c>
      <c r="F1124" s="2405" t="s">
        <v>2563</v>
      </c>
      <c r="G1124" s="2405">
        <f>G1123</f>
        <v>0</v>
      </c>
      <c r="H1124" s="2612">
        <v>354545</v>
      </c>
      <c r="I1124" s="2612"/>
      <c r="J1124" s="2612">
        <v>37220.25</v>
      </c>
      <c r="K1124" s="2511"/>
      <c r="L1124" s="2613">
        <f>H1124*G1124</f>
        <v>0</v>
      </c>
      <c r="M1124" s="2613">
        <f>I1124*G1124</f>
        <v>0</v>
      </c>
      <c r="N1124" s="2613">
        <f>J1124*G1124</f>
        <v>0</v>
      </c>
      <c r="O1124" s="2613">
        <f>K1124*G1124</f>
        <v>0</v>
      </c>
      <c r="P1124" s="2642"/>
      <c r="Q1124" s="2519"/>
      <c r="R1124" s="2519"/>
      <c r="S1124" s="2519"/>
    </row>
    <row r="1125" spans="1:19" s="2358" customFormat="1" outlineLevel="1">
      <c r="A1125" s="2435" t="str">
        <f t="shared" si="181"/>
        <v/>
      </c>
      <c r="B1125" s="2610" t="s">
        <v>566</v>
      </c>
      <c r="C1125" s="2660"/>
      <c r="D1125" s="2405"/>
      <c r="E1125" s="2661" t="s">
        <v>5124</v>
      </c>
      <c r="F1125" s="2405" t="s">
        <v>2445</v>
      </c>
      <c r="G1125" s="2405">
        <f>G1124</f>
        <v>0</v>
      </c>
      <c r="H1125" s="2612">
        <v>92200</v>
      </c>
      <c r="I1125" s="2661"/>
      <c r="J1125" s="2661"/>
      <c r="K1125" s="2511"/>
      <c r="L1125" s="2613">
        <f>H1125*G1125</f>
        <v>0</v>
      </c>
      <c r="M1125" s="2613">
        <f>I1125*G1125</f>
        <v>0</v>
      </c>
      <c r="N1125" s="2613">
        <f>J1125*G1125</f>
        <v>0</v>
      </c>
      <c r="O1125" s="2613">
        <f>K1125*G1125</f>
        <v>0</v>
      </c>
      <c r="P1125" s="2642"/>
      <c r="Q1125" s="2519"/>
      <c r="R1125" s="2519"/>
      <c r="S1125" s="2519"/>
    </row>
    <row r="1126" spans="1:19" s="2358" customFormat="1" outlineLevel="1">
      <c r="A1126" s="2435" t="str">
        <f t="shared" si="181"/>
        <v/>
      </c>
      <c r="B1126" s="2610" t="s">
        <v>639</v>
      </c>
      <c r="C1126" s="2660"/>
      <c r="D1126" s="2405" t="s">
        <v>1751</v>
      </c>
      <c r="E1126" s="2661" t="s">
        <v>5386</v>
      </c>
      <c r="F1126" s="2405" t="s">
        <v>856</v>
      </c>
      <c r="G1126" s="2405">
        <f>1.45*G1124</f>
        <v>0</v>
      </c>
      <c r="H1126" s="2612">
        <v>0</v>
      </c>
      <c r="I1126" s="2612"/>
      <c r="J1126" s="2612">
        <v>296500.89999999997</v>
      </c>
      <c r="K1126" s="2511"/>
      <c r="L1126" s="2613">
        <f>H1126*G1126</f>
        <v>0</v>
      </c>
      <c r="M1126" s="2613">
        <f>I1126*G1126</f>
        <v>0</v>
      </c>
      <c r="N1126" s="2613">
        <f>J1126*G1126</f>
        <v>0</v>
      </c>
      <c r="O1126" s="2613">
        <f>K1126*G1126</f>
        <v>0</v>
      </c>
      <c r="P1126" s="2642"/>
      <c r="Q1126" s="2519"/>
      <c r="R1126" s="2519"/>
      <c r="S1126" s="2519"/>
    </row>
    <row r="1127" spans="1:19" s="2358" customFormat="1" outlineLevel="1">
      <c r="A1127" s="2435" t="str">
        <f t="shared" si="181"/>
        <v/>
      </c>
      <c r="B1127" s="2610" t="s">
        <v>21</v>
      </c>
      <c r="C1127" s="2660"/>
      <c r="D1127" s="2405" t="s">
        <v>5387</v>
      </c>
      <c r="E1127" s="2661" t="s">
        <v>5388</v>
      </c>
      <c r="F1127" s="2405" t="s">
        <v>856</v>
      </c>
      <c r="G1127" s="2405">
        <f>1.37*G1123</f>
        <v>0</v>
      </c>
      <c r="H1127" s="2612">
        <v>0</v>
      </c>
      <c r="I1127" s="2612"/>
      <c r="J1127" s="2612">
        <v>117703.6</v>
      </c>
      <c r="K1127" s="2511"/>
      <c r="L1127" s="2613">
        <f>H1127*G1127</f>
        <v>0</v>
      </c>
      <c r="M1127" s="2613">
        <f>I1127*G1127</f>
        <v>0</v>
      </c>
      <c r="N1127" s="2613">
        <f>J1127*G1127</f>
        <v>0</v>
      </c>
      <c r="O1127" s="2613">
        <f>K1127*G1127</f>
        <v>0</v>
      </c>
      <c r="P1127" s="2642"/>
      <c r="Q1127" s="2519"/>
      <c r="R1127" s="2519"/>
      <c r="S1127" s="2519"/>
    </row>
    <row r="1128" spans="1:19" s="2358" customFormat="1" outlineLevel="1">
      <c r="A1128" s="2435" t="str">
        <f t="shared" si="181"/>
        <v/>
      </c>
      <c r="B1128" s="2610"/>
      <c r="C1128" s="2511">
        <f>IF(G1128&gt;0,C1120+1,C1120)</f>
        <v>0</v>
      </c>
      <c r="D1128" s="2405"/>
      <c r="E1128" s="2656" t="s">
        <v>3731</v>
      </c>
      <c r="F1128" s="2657" t="s">
        <v>2333</v>
      </c>
      <c r="G1128" s="2662">
        <f>G1119</f>
        <v>0</v>
      </c>
      <c r="H1128" s="2511"/>
      <c r="I1128" s="2511"/>
      <c r="J1128" s="2511"/>
      <c r="K1128" s="2511"/>
      <c r="L1128" s="2511"/>
      <c r="M1128" s="2511"/>
      <c r="N1128" s="2511"/>
      <c r="O1128" s="2663"/>
      <c r="P1128" s="2518"/>
      <c r="Q1128" s="2519"/>
      <c r="R1128" s="2519"/>
      <c r="S1128" s="2519"/>
    </row>
    <row r="1129" spans="1:19" s="2358" customFormat="1" outlineLevel="1">
      <c r="A1129" s="2435" t="str">
        <f t="shared" si="181"/>
        <v/>
      </c>
      <c r="B1129" s="2610" t="s">
        <v>636</v>
      </c>
      <c r="C1129" s="2660"/>
      <c r="D1129" s="2405" t="s">
        <v>5099</v>
      </c>
      <c r="E1129" s="2661" t="s">
        <v>2615</v>
      </c>
      <c r="F1129" s="2405" t="s">
        <v>2563</v>
      </c>
      <c r="G1129" s="2405">
        <f>G1128</f>
        <v>0</v>
      </c>
      <c r="H1129" s="2612">
        <v>354545</v>
      </c>
      <c r="I1129" s="2612"/>
      <c r="J1129" s="2612">
        <v>37220.25</v>
      </c>
      <c r="K1129" s="2511"/>
      <c r="L1129" s="2613">
        <f>H1129*G1129</f>
        <v>0</v>
      </c>
      <c r="M1129" s="2613">
        <f>I1129*G1129</f>
        <v>0</v>
      </c>
      <c r="N1129" s="2613">
        <f>J1129*G1129</f>
        <v>0</v>
      </c>
      <c r="O1129" s="2613">
        <f>K1129*G1129</f>
        <v>0</v>
      </c>
      <c r="P1129" s="2518"/>
      <c r="Q1129" s="2519"/>
      <c r="R1129" s="2519"/>
      <c r="S1129" s="2519"/>
    </row>
    <row r="1130" spans="1:19" s="2358" customFormat="1" outlineLevel="1">
      <c r="A1130" s="2435" t="str">
        <f t="shared" si="181"/>
        <v/>
      </c>
      <c r="B1130" s="2610" t="s">
        <v>566</v>
      </c>
      <c r="C1130" s="2660"/>
      <c r="D1130" s="2405"/>
      <c r="E1130" s="2661" t="s">
        <v>5124</v>
      </c>
      <c r="F1130" s="2405" t="s">
        <v>2445</v>
      </c>
      <c r="G1130" s="2405">
        <f>G1129</f>
        <v>0</v>
      </c>
      <c r="H1130" s="2612">
        <v>92200</v>
      </c>
      <c r="I1130" s="2661"/>
      <c r="J1130" s="2661"/>
      <c r="K1130" s="2511"/>
      <c r="L1130" s="2613">
        <f>H1130*G1130</f>
        <v>0</v>
      </c>
      <c r="M1130" s="2613">
        <f>I1130*G1130</f>
        <v>0</v>
      </c>
      <c r="N1130" s="2613">
        <f>J1130*G1130</f>
        <v>0</v>
      </c>
      <c r="O1130" s="2613">
        <f>K1130*G1130</f>
        <v>0</v>
      </c>
      <c r="P1130" s="2518"/>
      <c r="Q1130" s="2519"/>
      <c r="R1130" s="2519"/>
      <c r="S1130" s="2519"/>
    </row>
    <row r="1131" spans="1:19" s="2358" customFormat="1" outlineLevel="1">
      <c r="A1131" s="2435" t="str">
        <f t="shared" si="181"/>
        <v/>
      </c>
      <c r="B1131" s="2610" t="s">
        <v>639</v>
      </c>
      <c r="C1131" s="2660"/>
      <c r="D1131" s="2405" t="s">
        <v>1751</v>
      </c>
      <c r="E1131" s="2661" t="s">
        <v>5386</v>
      </c>
      <c r="F1131" s="2405" t="s">
        <v>856</v>
      </c>
      <c r="G1131" s="2405">
        <f>1.48*G1129</f>
        <v>0</v>
      </c>
      <c r="H1131" s="2612">
        <v>0</v>
      </c>
      <c r="I1131" s="2612"/>
      <c r="J1131" s="2612">
        <v>296500.89999999997</v>
      </c>
      <c r="K1131" s="2511"/>
      <c r="L1131" s="2613">
        <f>H1131*G1131</f>
        <v>0</v>
      </c>
      <c r="M1131" s="2613">
        <f>I1131*G1131</f>
        <v>0</v>
      </c>
      <c r="N1131" s="2613">
        <f>J1131*G1131</f>
        <v>0</v>
      </c>
      <c r="O1131" s="2613">
        <f>K1131*G1131</f>
        <v>0</v>
      </c>
      <c r="P1131" s="2518"/>
      <c r="Q1131" s="2519"/>
      <c r="R1131" s="2519"/>
      <c r="S1131" s="2519"/>
    </row>
    <row r="1132" spans="1:19" s="2358" customFormat="1" outlineLevel="1">
      <c r="A1132" s="2435" t="str">
        <f t="shared" si="181"/>
        <v/>
      </c>
      <c r="B1132" s="2610" t="s">
        <v>21</v>
      </c>
      <c r="C1132" s="2660"/>
      <c r="D1132" s="2405" t="s">
        <v>5387</v>
      </c>
      <c r="E1132" s="2661" t="s">
        <v>5388</v>
      </c>
      <c r="F1132" s="2405" t="s">
        <v>856</v>
      </c>
      <c r="G1132" s="2405">
        <f>1.39*G1128</f>
        <v>0</v>
      </c>
      <c r="H1132" s="2612">
        <v>0</v>
      </c>
      <c r="I1132" s="2612"/>
      <c r="J1132" s="2612">
        <v>117703.6</v>
      </c>
      <c r="K1132" s="2511"/>
      <c r="L1132" s="2613">
        <f>H1132*G1132</f>
        <v>0</v>
      </c>
      <c r="M1132" s="2613">
        <f>I1132*G1132</f>
        <v>0</v>
      </c>
      <c r="N1132" s="2613">
        <f>J1132*G1132</f>
        <v>0</v>
      </c>
      <c r="O1132" s="2613">
        <f>K1132*G1132</f>
        <v>0</v>
      </c>
      <c r="P1132" s="2518"/>
      <c r="Q1132" s="2519"/>
      <c r="R1132" s="2519"/>
      <c r="S1132" s="2519"/>
    </row>
    <row r="1133" spans="1:19" s="2358" customFormat="1" outlineLevel="1">
      <c r="A1133" s="2435" t="str">
        <f t="shared" si="181"/>
        <v/>
      </c>
      <c r="B1133" s="2514"/>
      <c r="C1133" s="2511">
        <f>IF(G1133&gt;0,C1123+1,C1123)</f>
        <v>0</v>
      </c>
      <c r="D1133" s="2664"/>
      <c r="E1133" s="2656" t="s">
        <v>3732</v>
      </c>
      <c r="F1133" s="2655" t="s">
        <v>2391</v>
      </c>
      <c r="G1133" s="2665">
        <f>G1105</f>
        <v>0</v>
      </c>
      <c r="H1133" s="2666"/>
      <c r="I1133" s="2666"/>
      <c r="J1133" s="2666"/>
      <c r="K1133" s="2666"/>
      <c r="L1133" s="2666"/>
      <c r="M1133" s="2666"/>
      <c r="N1133" s="2666"/>
      <c r="O1133" s="2666"/>
      <c r="P1133" s="2518"/>
      <c r="Q1133" s="2519"/>
      <c r="R1133" s="2519"/>
      <c r="S1133" s="2519"/>
    </row>
    <row r="1134" spans="1:19" s="2358" customFormat="1" ht="14.4" outlineLevel="1">
      <c r="A1134" s="2435" t="str">
        <f>A1133</f>
        <v/>
      </c>
      <c r="B1134" s="2514"/>
      <c r="C1134" s="2511"/>
      <c r="D1134" s="2667"/>
      <c r="E1134" s="2520" t="s">
        <v>6207</v>
      </c>
      <c r="F1134" s="2521"/>
      <c r="G1134" s="2522"/>
      <c r="H1134" s="2668"/>
      <c r="I1134" s="2668"/>
      <c r="J1134" s="2668"/>
      <c r="K1134" s="2668"/>
      <c r="L1134" s="2668"/>
      <c r="M1134" s="2668"/>
      <c r="N1134" s="2668"/>
      <c r="O1134" s="2668"/>
      <c r="P1134" s="2518"/>
      <c r="Q1134" s="2519"/>
      <c r="R1134" s="2519"/>
      <c r="S1134" s="2519"/>
    </row>
    <row r="1135" spans="1:19" s="2358" customFormat="1" outlineLevel="1">
      <c r="A1135" s="2435" t="str">
        <f t="shared" ref="A1135:A1140" si="182">IF(G1135&lt;&gt;0,1,"")</f>
        <v/>
      </c>
      <c r="B1135" s="2505" t="s">
        <v>1136</v>
      </c>
      <c r="C1135" s="2511"/>
      <c r="D1135" s="2405">
        <v>0</v>
      </c>
      <c r="E1135" s="2447" t="s">
        <v>6412</v>
      </c>
      <c r="F1135" s="2405" t="s">
        <v>2254</v>
      </c>
      <c r="G1135" s="2523">
        <f>15.3*2.8*2*G1133</f>
        <v>0</v>
      </c>
      <c r="H1135" s="2612">
        <v>31625</v>
      </c>
      <c r="I1135" s="2669"/>
      <c r="J1135" s="2612"/>
      <c r="K1135" s="2612">
        <v>0</v>
      </c>
      <c r="L1135" s="2613">
        <f t="shared" ref="L1135:L1168" si="183">H1135*G1135</f>
        <v>0</v>
      </c>
      <c r="M1135" s="2613">
        <f t="shared" ref="M1135:M1147" si="184">I1135*G1135</f>
        <v>0</v>
      </c>
      <c r="N1135" s="2612"/>
      <c r="O1135" s="2613">
        <f t="shared" ref="O1135:O1147" si="185">K1135*G1135</f>
        <v>0</v>
      </c>
      <c r="P1135" s="2518"/>
      <c r="Q1135" s="2519"/>
      <c r="R1135" s="2519"/>
      <c r="S1135" s="2519"/>
    </row>
    <row r="1136" spans="1:19" s="2358" customFormat="1" outlineLevel="1">
      <c r="A1136" s="2435" t="str">
        <f t="shared" si="182"/>
        <v/>
      </c>
      <c r="B1136" s="2505" t="s">
        <v>1137</v>
      </c>
      <c r="C1136" s="2511"/>
      <c r="D1136" s="2405">
        <v>0</v>
      </c>
      <c r="E1136" s="2447" t="s">
        <v>6413</v>
      </c>
      <c r="F1136" s="2405" t="s">
        <v>2254</v>
      </c>
      <c r="G1136" s="2523">
        <f>8.59*0.4*4*G1133</f>
        <v>0</v>
      </c>
      <c r="H1136" s="2612">
        <v>31625</v>
      </c>
      <c r="I1136" s="2669"/>
      <c r="J1136" s="2612"/>
      <c r="K1136" s="2612">
        <v>0</v>
      </c>
      <c r="L1136" s="2613">
        <f t="shared" si="183"/>
        <v>0</v>
      </c>
      <c r="M1136" s="2613">
        <f t="shared" si="184"/>
        <v>0</v>
      </c>
      <c r="N1136" s="2612"/>
      <c r="O1136" s="2613">
        <f t="shared" si="185"/>
        <v>0</v>
      </c>
      <c r="P1136" s="2518"/>
      <c r="Q1136" s="2519"/>
      <c r="R1136" s="2519"/>
      <c r="S1136" s="2519"/>
    </row>
    <row r="1137" spans="1:19" s="2358" customFormat="1" outlineLevel="1">
      <c r="A1137" s="2435" t="str">
        <f t="shared" si="182"/>
        <v/>
      </c>
      <c r="B1137" s="2505" t="s">
        <v>1138</v>
      </c>
      <c r="C1137" s="2511"/>
      <c r="D1137" s="2405">
        <v>0</v>
      </c>
      <c r="E1137" s="2447" t="s">
        <v>6414</v>
      </c>
      <c r="F1137" s="2405" t="s">
        <v>2254</v>
      </c>
      <c r="G1137" s="2523">
        <f>8.59*0.8*2*G1133</f>
        <v>0</v>
      </c>
      <c r="H1137" s="2612">
        <v>31625</v>
      </c>
      <c r="I1137" s="2669"/>
      <c r="J1137" s="2612"/>
      <c r="K1137" s="2612">
        <v>0</v>
      </c>
      <c r="L1137" s="2613">
        <f t="shared" si="183"/>
        <v>0</v>
      </c>
      <c r="M1137" s="2613">
        <f t="shared" si="184"/>
        <v>0</v>
      </c>
      <c r="N1137" s="2612"/>
      <c r="O1137" s="2613">
        <f t="shared" si="185"/>
        <v>0</v>
      </c>
      <c r="P1137" s="2518"/>
      <c r="Q1137" s="2519"/>
      <c r="R1137" s="2519"/>
      <c r="S1137" s="2519"/>
    </row>
    <row r="1138" spans="1:19" s="2358" customFormat="1" outlineLevel="1">
      <c r="A1138" s="2435" t="str">
        <f t="shared" si="182"/>
        <v/>
      </c>
      <c r="B1138" s="2514" t="s">
        <v>1785</v>
      </c>
      <c r="C1138" s="2511"/>
      <c r="D1138" s="2405">
        <v>0</v>
      </c>
      <c r="E1138" s="2447" t="s">
        <v>2670</v>
      </c>
      <c r="F1138" s="2405" t="s">
        <v>2445</v>
      </c>
      <c r="G1138" s="2522">
        <f>G1133*10</f>
        <v>0</v>
      </c>
      <c r="H1138" s="2612">
        <v>34800</v>
      </c>
      <c r="I1138" s="2669"/>
      <c r="J1138" s="2612">
        <v>0</v>
      </c>
      <c r="K1138" s="2612">
        <v>0</v>
      </c>
      <c r="L1138" s="2613">
        <f t="shared" si="183"/>
        <v>0</v>
      </c>
      <c r="M1138" s="2613">
        <f t="shared" si="184"/>
        <v>0</v>
      </c>
      <c r="N1138" s="2613">
        <f t="shared" ref="N1138:N1152" si="186">J1138*G1138</f>
        <v>0</v>
      </c>
      <c r="O1138" s="2613">
        <f t="shared" si="185"/>
        <v>0</v>
      </c>
      <c r="P1138" s="2518"/>
      <c r="Q1138" s="2519"/>
      <c r="R1138" s="2519"/>
      <c r="S1138" s="2519"/>
    </row>
    <row r="1139" spans="1:19" s="2358" customFormat="1" outlineLevel="1">
      <c r="A1139" s="2435" t="str">
        <f t="shared" si="182"/>
        <v/>
      </c>
      <c r="B1139" s="2514" t="s">
        <v>1083</v>
      </c>
      <c r="C1139" s="2511"/>
      <c r="D1139" s="2405">
        <v>0</v>
      </c>
      <c r="E1139" s="2447" t="s">
        <v>2660</v>
      </c>
      <c r="F1139" s="2405" t="s">
        <v>2445</v>
      </c>
      <c r="G1139" s="2522">
        <f>G1133*2</f>
        <v>0</v>
      </c>
      <c r="H1139" s="2612">
        <v>29900</v>
      </c>
      <c r="I1139" s="2669"/>
      <c r="J1139" s="2612">
        <v>0</v>
      </c>
      <c r="K1139" s="2612">
        <v>0</v>
      </c>
      <c r="L1139" s="2613">
        <f t="shared" si="183"/>
        <v>0</v>
      </c>
      <c r="M1139" s="2613">
        <f t="shared" si="184"/>
        <v>0</v>
      </c>
      <c r="N1139" s="2613">
        <f t="shared" si="186"/>
        <v>0</v>
      </c>
      <c r="O1139" s="2613">
        <f t="shared" si="185"/>
        <v>0</v>
      </c>
      <c r="P1139" s="2518"/>
      <c r="Q1139" s="2519"/>
      <c r="R1139" s="2519"/>
      <c r="S1139" s="2519"/>
    </row>
    <row r="1140" spans="1:19" s="2358" customFormat="1" outlineLevel="1">
      <c r="A1140" s="2435" t="str">
        <f t="shared" si="182"/>
        <v/>
      </c>
      <c r="B1140" s="2514" t="s">
        <v>1079</v>
      </c>
      <c r="C1140" s="2511"/>
      <c r="D1140" s="2405">
        <v>0</v>
      </c>
      <c r="E1140" s="2447" t="s">
        <v>2659</v>
      </c>
      <c r="F1140" s="2405" t="s">
        <v>2445</v>
      </c>
      <c r="G1140" s="2522">
        <f>G1133*12</f>
        <v>0</v>
      </c>
      <c r="H1140" s="2612">
        <v>27900</v>
      </c>
      <c r="I1140" s="2669"/>
      <c r="J1140" s="2612">
        <v>0</v>
      </c>
      <c r="K1140" s="2612">
        <v>0</v>
      </c>
      <c r="L1140" s="2613">
        <f t="shared" si="183"/>
        <v>0</v>
      </c>
      <c r="M1140" s="2613">
        <f t="shared" si="184"/>
        <v>0</v>
      </c>
      <c r="N1140" s="2613">
        <f t="shared" si="186"/>
        <v>0</v>
      </c>
      <c r="O1140" s="2613">
        <f t="shared" si="185"/>
        <v>0</v>
      </c>
      <c r="P1140" s="2518"/>
      <c r="Q1140" s="2519"/>
      <c r="R1140" s="2519"/>
      <c r="S1140" s="2519"/>
    </row>
    <row r="1141" spans="1:19" s="2358" customFormat="1" outlineLevel="1">
      <c r="A1141" s="2435" t="str">
        <f>IF(G1141&lt;&gt;0,1,"")</f>
        <v/>
      </c>
      <c r="B1141" s="2505" t="s">
        <v>2248</v>
      </c>
      <c r="C1141" s="2511"/>
      <c r="D1141" s="2405" t="s">
        <v>5506</v>
      </c>
      <c r="E1141" s="2447" t="s">
        <v>6415</v>
      </c>
      <c r="F1141" s="2405" t="s">
        <v>2445</v>
      </c>
      <c r="G1141" s="2522">
        <f>+G1133*1</f>
        <v>0</v>
      </c>
      <c r="H1141" s="2612">
        <v>0</v>
      </c>
      <c r="I1141" s="2669"/>
      <c r="J1141" s="2612" t="s">
        <v>6416</v>
      </c>
      <c r="K1141" s="2612">
        <v>0</v>
      </c>
      <c r="L1141" s="2613">
        <f>H1141*G1141</f>
        <v>0</v>
      </c>
      <c r="M1141" s="2613">
        <f t="shared" si="184"/>
        <v>0</v>
      </c>
      <c r="N1141" s="2612">
        <v>0</v>
      </c>
      <c r="O1141" s="2613">
        <f t="shared" si="185"/>
        <v>0</v>
      </c>
      <c r="P1141" s="2518"/>
      <c r="Q1141" s="2519"/>
      <c r="R1141" s="2519"/>
      <c r="S1141" s="2519"/>
    </row>
    <row r="1142" spans="1:19" s="2358" customFormat="1" outlineLevel="1">
      <c r="A1142" s="2435" t="str">
        <f>IF(G1142&lt;&gt;0,1,"")</f>
        <v/>
      </c>
      <c r="B1142" s="2505" t="s">
        <v>6292</v>
      </c>
      <c r="C1142" s="2511"/>
      <c r="D1142" s="2405" t="s">
        <v>5440</v>
      </c>
      <c r="E1142" s="2447" t="s">
        <v>6417</v>
      </c>
      <c r="F1142" s="2405" t="s">
        <v>2445</v>
      </c>
      <c r="G1142" s="2522">
        <f>+G1133*(IF(G1136&gt;0,2,0)+IF(G1137&gt;0,1,0))</f>
        <v>0</v>
      </c>
      <c r="H1142" s="2612">
        <v>0</v>
      </c>
      <c r="I1142" s="2669"/>
      <c r="J1142" s="2612" t="s">
        <v>6418</v>
      </c>
      <c r="K1142" s="2612">
        <v>0</v>
      </c>
      <c r="L1142" s="2613">
        <f>H1142*G1142</f>
        <v>0</v>
      </c>
      <c r="M1142" s="2613">
        <f>I1142*G1142</f>
        <v>0</v>
      </c>
      <c r="N1142" s="2612">
        <v>0</v>
      </c>
      <c r="O1142" s="2613">
        <f>K1142*G1142</f>
        <v>0</v>
      </c>
      <c r="P1142" s="2518"/>
      <c r="Q1142" s="2519"/>
      <c r="R1142" s="2519"/>
      <c r="S1142" s="2519"/>
    </row>
    <row r="1143" spans="1:19" s="2358" customFormat="1" outlineLevel="1">
      <c r="A1143" s="2435" t="str">
        <f>IF(G1143&lt;&gt;0,1,"")</f>
        <v/>
      </c>
      <c r="B1143" s="2514"/>
      <c r="C1143" s="2511">
        <f>IF(G1143&gt;0,C1128+1,C1128)</f>
        <v>0</v>
      </c>
      <c r="D1143" s="2512"/>
      <c r="E1143" s="2670" t="s">
        <v>6293</v>
      </c>
      <c r="F1143" s="2511" t="s">
        <v>2391</v>
      </c>
      <c r="G1143" s="2516">
        <f>+G1105*1</f>
        <v>0</v>
      </c>
      <c r="H1143" s="2669"/>
      <c r="I1143" s="2669"/>
      <c r="J1143" s="2669"/>
      <c r="K1143" s="2669"/>
      <c r="L1143" s="2613">
        <f t="shared" ref="L1143:L1148" si="187">H1143*G1143</f>
        <v>0</v>
      </c>
      <c r="M1143" s="2613">
        <f t="shared" si="184"/>
        <v>0</v>
      </c>
      <c r="N1143" s="2613">
        <f>J1143*G1143</f>
        <v>0</v>
      </c>
      <c r="O1143" s="2613">
        <f t="shared" si="185"/>
        <v>0</v>
      </c>
      <c r="P1143" s="2518"/>
      <c r="Q1143" s="2519"/>
      <c r="R1143" s="2519"/>
      <c r="S1143" s="2519"/>
    </row>
    <row r="1144" spans="1:19" s="2358" customFormat="1" ht="14.4" outlineLevel="1">
      <c r="A1144" s="2435" t="str">
        <f>A1143</f>
        <v/>
      </c>
      <c r="B1144" s="2514"/>
      <c r="C1144" s="2511"/>
      <c r="D1144" s="2512"/>
      <c r="E1144" s="2520" t="s">
        <v>6207</v>
      </c>
      <c r="F1144" s="2521"/>
      <c r="G1144" s="2522"/>
      <c r="H1144" s="2669"/>
      <c r="I1144" s="2669"/>
      <c r="J1144" s="2669"/>
      <c r="K1144" s="2669"/>
      <c r="L1144" s="2613">
        <f t="shared" si="187"/>
        <v>0</v>
      </c>
      <c r="M1144" s="2613">
        <f t="shared" si="184"/>
        <v>0</v>
      </c>
      <c r="N1144" s="2613">
        <f>J1144*G1144</f>
        <v>0</v>
      </c>
      <c r="O1144" s="2613">
        <f t="shared" si="185"/>
        <v>0</v>
      </c>
      <c r="P1144" s="2518"/>
      <c r="Q1144" s="2519"/>
      <c r="R1144" s="2519"/>
      <c r="S1144" s="2519"/>
    </row>
    <row r="1145" spans="1:19" s="2358" customFormat="1" outlineLevel="1">
      <c r="A1145" s="2435" t="str">
        <f>IF(G1145&lt;&gt;0,1,"")</f>
        <v/>
      </c>
      <c r="B1145" s="2386" t="s">
        <v>5216</v>
      </c>
      <c r="C1145" s="2511"/>
      <c r="D1145" s="2405">
        <v>0</v>
      </c>
      <c r="E1145" s="2447" t="s">
        <v>5217</v>
      </c>
      <c r="F1145" s="2405" t="s">
        <v>2598</v>
      </c>
      <c r="G1145" s="2523">
        <f>+G1143*1</f>
        <v>0</v>
      </c>
      <c r="H1145" s="2612">
        <v>878000</v>
      </c>
      <c r="I1145" s="2612"/>
      <c r="J1145" s="2612">
        <v>0</v>
      </c>
      <c r="K1145" s="2612">
        <v>0</v>
      </c>
      <c r="L1145" s="2613">
        <f t="shared" si="187"/>
        <v>0</v>
      </c>
      <c r="M1145" s="2613">
        <f t="shared" si="184"/>
        <v>0</v>
      </c>
      <c r="N1145" s="2613">
        <f>J1145*G1145</f>
        <v>0</v>
      </c>
      <c r="O1145" s="2613">
        <f t="shared" si="185"/>
        <v>0</v>
      </c>
      <c r="P1145" s="2518"/>
      <c r="Q1145" s="2519"/>
      <c r="R1145" s="2519"/>
      <c r="S1145" s="2519"/>
    </row>
    <row r="1146" spans="1:19" s="2358" customFormat="1" outlineLevel="1">
      <c r="A1146" s="2435" t="str">
        <f>IF(G1146&lt;&gt;0,1,"")</f>
        <v/>
      </c>
      <c r="B1146" s="2383" t="s">
        <v>488</v>
      </c>
      <c r="C1146" s="2511"/>
      <c r="D1146" s="2405">
        <v>0</v>
      </c>
      <c r="E1146" s="2447" t="s">
        <v>5130</v>
      </c>
      <c r="F1146" s="2405" t="s">
        <v>2445</v>
      </c>
      <c r="G1146" s="2522">
        <f>+G1143*3</f>
        <v>0</v>
      </c>
      <c r="H1146" s="2612">
        <v>65000</v>
      </c>
      <c r="I1146" s="2612">
        <v>0</v>
      </c>
      <c r="J1146" s="2612">
        <v>0</v>
      </c>
      <c r="K1146" s="2612">
        <v>0</v>
      </c>
      <c r="L1146" s="2613">
        <f t="shared" si="187"/>
        <v>0</v>
      </c>
      <c r="M1146" s="2613">
        <f t="shared" si="184"/>
        <v>0</v>
      </c>
      <c r="N1146" s="2613">
        <f>J1146*G1146</f>
        <v>0</v>
      </c>
      <c r="O1146" s="2613">
        <f t="shared" si="185"/>
        <v>0</v>
      </c>
      <c r="P1146" s="2518"/>
      <c r="Q1146" s="2519"/>
      <c r="R1146" s="2519"/>
      <c r="S1146" s="2519"/>
    </row>
    <row r="1147" spans="1:19" s="2358" customFormat="1" outlineLevel="1">
      <c r="A1147" s="2435" t="str">
        <f>IF(G1147&lt;&gt;0,1,"")</f>
        <v/>
      </c>
      <c r="B1147" s="2514" t="s">
        <v>1079</v>
      </c>
      <c r="C1147" s="2511"/>
      <c r="D1147" s="2405">
        <v>0</v>
      </c>
      <c r="E1147" s="2447" t="s">
        <v>2659</v>
      </c>
      <c r="F1147" s="2405" t="s">
        <v>2445</v>
      </c>
      <c r="G1147" s="2522">
        <f>+G1143*2</f>
        <v>0</v>
      </c>
      <c r="H1147" s="2612">
        <v>27900</v>
      </c>
      <c r="I1147" s="2669"/>
      <c r="J1147" s="2612">
        <v>0</v>
      </c>
      <c r="K1147" s="2612">
        <v>0</v>
      </c>
      <c r="L1147" s="2613">
        <f t="shared" si="187"/>
        <v>0</v>
      </c>
      <c r="M1147" s="2613">
        <f t="shared" si="184"/>
        <v>0</v>
      </c>
      <c r="N1147" s="2613">
        <f>J1147*G1147</f>
        <v>0</v>
      </c>
      <c r="O1147" s="2613">
        <f t="shared" si="185"/>
        <v>0</v>
      </c>
      <c r="P1147" s="2518"/>
      <c r="Q1147" s="2519"/>
      <c r="R1147" s="2519"/>
      <c r="S1147" s="2519"/>
    </row>
    <row r="1148" spans="1:19" s="2358" customFormat="1" outlineLevel="1">
      <c r="A1148" s="2435" t="str">
        <f>IF(G1148&lt;&gt;0,1,"")</f>
        <v/>
      </c>
      <c r="B1148" s="2383" t="s">
        <v>2248</v>
      </c>
      <c r="C1148" s="2511"/>
      <c r="D1148" s="2405" t="s">
        <v>5506</v>
      </c>
      <c r="E1148" s="2447" t="s">
        <v>2446</v>
      </c>
      <c r="F1148" s="2405" t="s">
        <v>2445</v>
      </c>
      <c r="G1148" s="2522">
        <f>+G1143</f>
        <v>0</v>
      </c>
      <c r="H1148" s="2517">
        <v>0</v>
      </c>
      <c r="I1148" s="2612"/>
      <c r="J1148" s="2612" t="s">
        <v>6419</v>
      </c>
      <c r="K1148" s="2612"/>
      <c r="L1148" s="2613">
        <f t="shared" si="187"/>
        <v>0</v>
      </c>
      <c r="M1148" s="2613"/>
      <c r="N1148" s="2612">
        <v>0</v>
      </c>
      <c r="O1148" s="2613"/>
      <c r="P1148" s="2518"/>
      <c r="Q1148" s="2519"/>
      <c r="R1148" s="2519"/>
      <c r="S1148" s="2519"/>
    </row>
    <row r="1149" spans="1:19" s="2358" customFormat="1" outlineLevel="1">
      <c r="A1149" s="2435" t="str">
        <f>IF(G1149&lt;&gt;0,1,"")</f>
        <v/>
      </c>
      <c r="B1149" s="2514"/>
      <c r="C1149" s="2511">
        <f>IF(G1149&gt;0,C1133+1,C1133)</f>
        <v>0</v>
      </c>
      <c r="D1149" s="2512"/>
      <c r="E1149" s="2670" t="s">
        <v>6294</v>
      </c>
      <c r="F1149" s="2511" t="s">
        <v>2391</v>
      </c>
      <c r="G1149" s="2516">
        <f>+G1133*2</f>
        <v>0</v>
      </c>
      <c r="H1149" s="2669"/>
      <c r="I1149" s="2669"/>
      <c r="J1149" s="2669"/>
      <c r="K1149" s="2669"/>
      <c r="L1149" s="2613">
        <f t="shared" si="183"/>
        <v>0</v>
      </c>
      <c r="M1149" s="2613">
        <f>I1149*G1149</f>
        <v>0</v>
      </c>
      <c r="N1149" s="2613">
        <f t="shared" si="186"/>
        <v>0</v>
      </c>
      <c r="O1149" s="2613">
        <f>K1149*G1149</f>
        <v>0</v>
      </c>
      <c r="P1149" s="2518"/>
      <c r="Q1149" s="2519"/>
      <c r="R1149" s="2519"/>
      <c r="S1149" s="2519"/>
    </row>
    <row r="1150" spans="1:19" s="2358" customFormat="1" ht="14.4" outlineLevel="1">
      <c r="A1150" s="2435" t="str">
        <f>A1149</f>
        <v/>
      </c>
      <c r="B1150" s="2514"/>
      <c r="C1150" s="2511"/>
      <c r="D1150" s="2512"/>
      <c r="E1150" s="2520" t="s">
        <v>6207</v>
      </c>
      <c r="F1150" s="2521"/>
      <c r="G1150" s="2522"/>
      <c r="H1150" s="2669"/>
      <c r="I1150" s="2669"/>
      <c r="J1150" s="2669"/>
      <c r="K1150" s="2669"/>
      <c r="L1150" s="2613">
        <f t="shared" si="183"/>
        <v>0</v>
      </c>
      <c r="M1150" s="2613">
        <f>I1150*G1150</f>
        <v>0</v>
      </c>
      <c r="N1150" s="2613">
        <f t="shared" si="186"/>
        <v>0</v>
      </c>
      <c r="O1150" s="2613">
        <f>K1150*G1150</f>
        <v>0</v>
      </c>
      <c r="P1150" s="2518"/>
      <c r="Q1150" s="2519"/>
      <c r="R1150" s="2519"/>
      <c r="S1150" s="2519"/>
    </row>
    <row r="1151" spans="1:19" s="2358" customFormat="1" outlineLevel="1">
      <c r="A1151" s="2435" t="str">
        <f>IF(G1151&lt;&gt;0,1,"")</f>
        <v/>
      </c>
      <c r="B1151" s="2505" t="s">
        <v>2026</v>
      </c>
      <c r="C1151" s="2511"/>
      <c r="D1151" s="2405">
        <v>0</v>
      </c>
      <c r="E1151" s="2447" t="s">
        <v>2443</v>
      </c>
      <c r="F1151" s="2405" t="s">
        <v>2254</v>
      </c>
      <c r="G1151" s="2523">
        <f>G1149*9.02*(2.6+3*0.07)</f>
        <v>0</v>
      </c>
      <c r="H1151" s="2517">
        <v>32074</v>
      </c>
      <c r="I1151" s="2612"/>
      <c r="J1151" s="2612">
        <v>0</v>
      </c>
      <c r="K1151" s="2612">
        <v>0</v>
      </c>
      <c r="L1151" s="2613">
        <f t="shared" si="183"/>
        <v>0</v>
      </c>
      <c r="M1151" s="2613">
        <f>I1151*G1151</f>
        <v>0</v>
      </c>
      <c r="N1151" s="2613">
        <f t="shared" si="186"/>
        <v>0</v>
      </c>
      <c r="O1151" s="2613">
        <f>K1151*G1151</f>
        <v>0</v>
      </c>
      <c r="P1151" s="2518"/>
      <c r="Q1151" s="2519"/>
      <c r="R1151" s="2519"/>
      <c r="S1151" s="2519"/>
    </row>
    <row r="1152" spans="1:19" s="2358" customFormat="1" outlineLevel="1">
      <c r="A1152" s="2435" t="str">
        <f>IF(G1152&lt;&gt;0,1,"")</f>
        <v/>
      </c>
      <c r="B1152" s="2514" t="s">
        <v>1613</v>
      </c>
      <c r="C1152" s="2511"/>
      <c r="D1152" s="2405">
        <v>0</v>
      </c>
      <c r="E1152" s="2447" t="s">
        <v>2657</v>
      </c>
      <c r="F1152" s="2405" t="s">
        <v>2445</v>
      </c>
      <c r="G1152" s="2522">
        <f>IF(G1149=0,0,2)*2</f>
        <v>0</v>
      </c>
      <c r="H1152" s="2517">
        <v>25400</v>
      </c>
      <c r="I1152" s="2612">
        <v>0</v>
      </c>
      <c r="J1152" s="2612">
        <v>0</v>
      </c>
      <c r="K1152" s="2612">
        <v>0</v>
      </c>
      <c r="L1152" s="2613">
        <f t="shared" si="183"/>
        <v>0</v>
      </c>
      <c r="M1152" s="2613">
        <f>I1152*G1152</f>
        <v>0</v>
      </c>
      <c r="N1152" s="2613">
        <f t="shared" si="186"/>
        <v>0</v>
      </c>
      <c r="O1152" s="2613">
        <f>K1152*G1152</f>
        <v>0</v>
      </c>
      <c r="P1152" s="2518"/>
      <c r="Q1152" s="2519"/>
      <c r="R1152" s="2519"/>
      <c r="S1152" s="2519"/>
    </row>
    <row r="1153" spans="1:19" s="2358" customFormat="1" outlineLevel="1">
      <c r="A1153" s="2435" t="str">
        <f>IF(G1153&lt;&gt;0,1,"")</f>
        <v/>
      </c>
      <c r="B1153" s="2514" t="s">
        <v>2248</v>
      </c>
      <c r="C1153" s="2511"/>
      <c r="D1153" s="2405" t="s">
        <v>5506</v>
      </c>
      <c r="E1153" s="2447" t="s">
        <v>2446</v>
      </c>
      <c r="F1153" s="2405" t="s">
        <v>2445</v>
      </c>
      <c r="G1153" s="2522">
        <f>+G1149</f>
        <v>0</v>
      </c>
      <c r="H1153" s="2517">
        <v>0</v>
      </c>
      <c r="I1153" s="2612"/>
      <c r="J1153" s="2612" t="s">
        <v>6419</v>
      </c>
      <c r="K1153" s="2612"/>
      <c r="L1153" s="2613">
        <f t="shared" si="183"/>
        <v>0</v>
      </c>
      <c r="M1153" s="2613"/>
      <c r="N1153" s="2612">
        <v>0</v>
      </c>
      <c r="O1153" s="2613"/>
      <c r="P1153" s="2518"/>
      <c r="Q1153" s="2519"/>
      <c r="R1153" s="2519"/>
      <c r="S1153" s="2519"/>
    </row>
    <row r="1154" spans="1:19" s="2358" customFormat="1" outlineLevel="1">
      <c r="A1154" s="2435" t="str">
        <f>IF(G1154&lt;&gt;0,1,"")</f>
        <v/>
      </c>
      <c r="B1154" s="2514"/>
      <c r="C1154" s="2511">
        <f>IF(G1154&gt;0,C1149+1,C1149)</f>
        <v>0</v>
      </c>
      <c r="D1154" s="2512"/>
      <c r="E1154" s="2670" t="s">
        <v>6295</v>
      </c>
      <c r="F1154" s="2511" t="s">
        <v>2391</v>
      </c>
      <c r="G1154" s="2516">
        <f>+G1105*2</f>
        <v>0</v>
      </c>
      <c r="H1154" s="2669"/>
      <c r="I1154" s="2669"/>
      <c r="J1154" s="2669"/>
      <c r="K1154" s="2669"/>
      <c r="L1154" s="2613">
        <f t="shared" si="183"/>
        <v>0</v>
      </c>
      <c r="M1154" s="2613">
        <f>I1154*G1154</f>
        <v>0</v>
      </c>
      <c r="N1154" s="2613">
        <f>J1154*G1154</f>
        <v>0</v>
      </c>
      <c r="O1154" s="2613">
        <f>K1154*G1154</f>
        <v>0</v>
      </c>
      <c r="P1154" s="2518"/>
      <c r="Q1154" s="2519"/>
      <c r="R1154" s="2519"/>
      <c r="S1154" s="2519"/>
    </row>
    <row r="1155" spans="1:19" s="2358" customFormat="1" ht="14.4" outlineLevel="1">
      <c r="A1155" s="2435" t="str">
        <f>A1154</f>
        <v/>
      </c>
      <c r="B1155" s="2514"/>
      <c r="C1155" s="2511"/>
      <c r="D1155" s="2512"/>
      <c r="E1155" s="2520" t="s">
        <v>6207</v>
      </c>
      <c r="F1155" s="2521"/>
      <c r="G1155" s="2522"/>
      <c r="H1155" s="2669"/>
      <c r="I1155" s="2669"/>
      <c r="J1155" s="2669"/>
      <c r="K1155" s="2669"/>
      <c r="L1155" s="2613">
        <f t="shared" si="183"/>
        <v>0</v>
      </c>
      <c r="M1155" s="2613">
        <f>I1155*G1155</f>
        <v>0</v>
      </c>
      <c r="N1155" s="2613">
        <f>J1155*G1155</f>
        <v>0</v>
      </c>
      <c r="O1155" s="2613">
        <f>K1155*G1155</f>
        <v>0</v>
      </c>
      <c r="P1155" s="2518"/>
      <c r="Q1155" s="2519"/>
      <c r="R1155" s="2519"/>
      <c r="S1155" s="2519"/>
    </row>
    <row r="1156" spans="1:19" s="2358" customFormat="1" outlineLevel="1">
      <c r="A1156" s="2435" t="str">
        <f>IF(G1156&lt;&gt;0,1,"")</f>
        <v/>
      </c>
      <c r="B1156" s="2514" t="s">
        <v>2026</v>
      </c>
      <c r="C1156" s="2511"/>
      <c r="D1156" s="2405">
        <v>0</v>
      </c>
      <c r="E1156" s="2447" t="s">
        <v>2443</v>
      </c>
      <c r="F1156" s="2405" t="s">
        <v>2254</v>
      </c>
      <c r="G1156" s="2523">
        <f>G1154*9.02*2.6</f>
        <v>0</v>
      </c>
      <c r="H1156" s="2517">
        <v>32074</v>
      </c>
      <c r="I1156" s="2612"/>
      <c r="J1156" s="2612">
        <v>0</v>
      </c>
      <c r="K1156" s="2612"/>
      <c r="L1156" s="2613">
        <f t="shared" si="183"/>
        <v>0</v>
      </c>
      <c r="M1156" s="2613"/>
      <c r="N1156" s="2613"/>
      <c r="O1156" s="2613"/>
      <c r="P1156" s="2518"/>
      <c r="Q1156" s="2519"/>
      <c r="R1156" s="2519"/>
      <c r="S1156" s="2519"/>
    </row>
    <row r="1157" spans="1:19" s="2358" customFormat="1" outlineLevel="1">
      <c r="A1157" s="2435" t="str">
        <f>IF(G1157&lt;&gt;0,1,"")</f>
        <v/>
      </c>
      <c r="B1157" s="2514" t="s">
        <v>1083</v>
      </c>
      <c r="C1157" s="2511"/>
      <c r="D1157" s="2405">
        <v>0</v>
      </c>
      <c r="E1157" s="2447" t="s">
        <v>2660</v>
      </c>
      <c r="F1157" s="2405" t="s">
        <v>2445</v>
      </c>
      <c r="G1157" s="2522">
        <f>G1154*2</f>
        <v>0</v>
      </c>
      <c r="H1157" s="2517">
        <v>29900</v>
      </c>
      <c r="I1157" s="2612">
        <v>0</v>
      </c>
      <c r="J1157" s="2612">
        <v>0</v>
      </c>
      <c r="K1157" s="2612"/>
      <c r="L1157" s="2613">
        <f t="shared" si="183"/>
        <v>0</v>
      </c>
      <c r="M1157" s="2613"/>
      <c r="N1157" s="2613"/>
      <c r="O1157" s="2613"/>
      <c r="P1157" s="2518"/>
      <c r="Q1157" s="2519"/>
      <c r="R1157" s="2519"/>
      <c r="S1157" s="2519"/>
    </row>
    <row r="1158" spans="1:19" s="2358" customFormat="1" outlineLevel="1">
      <c r="A1158" s="2435" t="str">
        <f>IF(G1158&lt;&gt;0,1,"")</f>
        <v/>
      </c>
      <c r="B1158" s="2514" t="s">
        <v>138</v>
      </c>
      <c r="C1158" s="2511"/>
      <c r="D1158" s="2405">
        <v>0</v>
      </c>
      <c r="E1158" s="2447" t="s">
        <v>2635</v>
      </c>
      <c r="F1158" s="2405" t="s">
        <v>2445</v>
      </c>
      <c r="G1158" s="2522">
        <f>G1154*2</f>
        <v>0</v>
      </c>
      <c r="H1158" s="2517">
        <v>8500</v>
      </c>
      <c r="I1158" s="2612">
        <v>0</v>
      </c>
      <c r="J1158" s="2612">
        <v>0</v>
      </c>
      <c r="K1158" s="2612"/>
      <c r="L1158" s="2613">
        <f t="shared" si="183"/>
        <v>0</v>
      </c>
      <c r="M1158" s="2613"/>
      <c r="N1158" s="2613"/>
      <c r="O1158" s="2613"/>
      <c r="P1158" s="2518"/>
      <c r="Q1158" s="2519"/>
      <c r="R1158" s="2519"/>
      <c r="S1158" s="2519"/>
    </row>
    <row r="1159" spans="1:19" s="2358" customFormat="1" outlineLevel="1">
      <c r="A1159" s="2435" t="str">
        <f>IF(G1159&lt;&gt;0,1,"")</f>
        <v/>
      </c>
      <c r="B1159" s="2514" t="s">
        <v>2248</v>
      </c>
      <c r="C1159" s="2511"/>
      <c r="D1159" s="2405" t="s">
        <v>5506</v>
      </c>
      <c r="E1159" s="2447" t="s">
        <v>2446</v>
      </c>
      <c r="F1159" s="2405" t="s">
        <v>2445</v>
      </c>
      <c r="G1159" s="2522">
        <f>G1154/2</f>
        <v>0</v>
      </c>
      <c r="H1159" s="2517">
        <v>0</v>
      </c>
      <c r="I1159" s="2612"/>
      <c r="J1159" s="2612" t="s">
        <v>6419</v>
      </c>
      <c r="K1159" s="2612"/>
      <c r="L1159" s="2613">
        <f t="shared" si="183"/>
        <v>0</v>
      </c>
      <c r="M1159" s="2613"/>
      <c r="N1159" s="2612">
        <v>0</v>
      </c>
      <c r="O1159" s="2613"/>
      <c r="P1159" s="2518"/>
      <c r="Q1159" s="2519"/>
      <c r="R1159" s="2519"/>
      <c r="S1159" s="2519"/>
    </row>
    <row r="1160" spans="1:19" s="2358" customFormat="1" outlineLevel="1">
      <c r="A1160" s="2435" t="str">
        <f>IF(G1160&lt;&gt;0,1,"")</f>
        <v/>
      </c>
      <c r="B1160" s="2514"/>
      <c r="C1160" s="2511">
        <f>IF(G1160&gt;0,C1154+1,C1154)</f>
        <v>0</v>
      </c>
      <c r="D1160" s="2512"/>
      <c r="E1160" s="2670" t="s">
        <v>3738</v>
      </c>
      <c r="F1160" s="2511" t="s">
        <v>2391</v>
      </c>
      <c r="G1160" s="2516">
        <f>G1105</f>
        <v>0</v>
      </c>
      <c r="H1160" s="2517"/>
      <c r="I1160" s="2517"/>
      <c r="J1160" s="2517"/>
      <c r="K1160" s="2517"/>
      <c r="L1160" s="2517">
        <f t="shared" si="183"/>
        <v>0</v>
      </c>
      <c r="M1160" s="2517">
        <f>I1160*G1160</f>
        <v>0</v>
      </c>
      <c r="N1160" s="2517">
        <f t="shared" ref="N1160:N1168" si="188">J1160*G1160</f>
        <v>0</v>
      </c>
      <c r="O1160" s="2517">
        <f>K1160*G1160</f>
        <v>0</v>
      </c>
      <c r="P1160" s="2642"/>
      <c r="Q1160" s="2519"/>
      <c r="R1160" s="2519"/>
      <c r="S1160" s="2519"/>
    </row>
    <row r="1161" spans="1:19" s="2358" customFormat="1" ht="14.4" outlineLevel="1">
      <c r="A1161" s="2435" t="str">
        <f>+A1160</f>
        <v/>
      </c>
      <c r="B1161" s="2671"/>
      <c r="C1161" s="2511"/>
      <c r="D1161" s="2512"/>
      <c r="E1161" s="2520" t="s">
        <v>6207</v>
      </c>
      <c r="F1161" s="2521"/>
      <c r="G1161" s="2522"/>
      <c r="H1161" s="2517"/>
      <c r="I1161" s="2517"/>
      <c r="J1161" s="2517"/>
      <c r="K1161" s="2517"/>
      <c r="L1161" s="2517">
        <f t="shared" si="183"/>
        <v>0</v>
      </c>
      <c r="M1161" s="2517">
        <f>I1161*G1161</f>
        <v>0</v>
      </c>
      <c r="N1161" s="2517">
        <f t="shared" si="188"/>
        <v>0</v>
      </c>
      <c r="O1161" s="2517">
        <f>K1161*G1161</f>
        <v>0</v>
      </c>
      <c r="P1161" s="2642"/>
      <c r="Q1161" s="2519"/>
      <c r="R1161" s="2519"/>
      <c r="S1161" s="2519"/>
    </row>
    <row r="1162" spans="1:19" s="2358" customFormat="1" outlineLevel="1">
      <c r="A1162" s="2435" t="str">
        <f t="shared" ref="A1162:A1168" si="189">IF(G1162&lt;&gt;0,1,"")</f>
        <v/>
      </c>
      <c r="B1162" s="2514" t="s">
        <v>1033</v>
      </c>
      <c r="C1162" s="2511"/>
      <c r="D1162" s="2405">
        <v>0</v>
      </c>
      <c r="E1162" s="2447" t="s">
        <v>2708</v>
      </c>
      <c r="F1162" s="2405" t="s">
        <v>2254</v>
      </c>
      <c r="G1162" s="2523">
        <f>$H$3*0.224*G1160</f>
        <v>0</v>
      </c>
      <c r="H1162" s="2517">
        <v>255500</v>
      </c>
      <c r="I1162" s="2517"/>
      <c r="J1162" s="2517">
        <v>0</v>
      </c>
      <c r="K1162" s="2517">
        <v>0</v>
      </c>
      <c r="L1162" s="2517">
        <f t="shared" si="183"/>
        <v>0</v>
      </c>
      <c r="M1162" s="2517">
        <f>I1162*G1162</f>
        <v>0</v>
      </c>
      <c r="N1162" s="2517">
        <f t="shared" si="188"/>
        <v>0</v>
      </c>
      <c r="O1162" s="2517">
        <f>K1162*G1162</f>
        <v>0</v>
      </c>
      <c r="P1162" s="2642"/>
      <c r="Q1162" s="2519"/>
      <c r="R1162" s="2519"/>
      <c r="S1162" s="2519"/>
    </row>
    <row r="1163" spans="1:19" s="2358" customFormat="1" outlineLevel="1">
      <c r="A1163" s="2435" t="str">
        <f t="shared" si="189"/>
        <v/>
      </c>
      <c r="B1163" s="2505" t="s">
        <v>1511</v>
      </c>
      <c r="C1163" s="2511"/>
      <c r="D1163" s="2405">
        <v>0</v>
      </c>
      <c r="E1163" s="2447" t="s">
        <v>5224</v>
      </c>
      <c r="F1163" s="2405" t="s">
        <v>2445</v>
      </c>
      <c r="G1163" s="2522">
        <f>$H$2*G1160</f>
        <v>0</v>
      </c>
      <c r="H1163" s="2517">
        <v>160000</v>
      </c>
      <c r="I1163" s="2517"/>
      <c r="J1163" s="2517">
        <v>0</v>
      </c>
      <c r="K1163" s="2517">
        <v>0</v>
      </c>
      <c r="L1163" s="2517">
        <f t="shared" si="183"/>
        <v>0</v>
      </c>
      <c r="M1163" s="2517">
        <f>I1163*G1163</f>
        <v>0</v>
      </c>
      <c r="N1163" s="2517">
        <f t="shared" si="188"/>
        <v>0</v>
      </c>
      <c r="O1163" s="2517">
        <f>K1163*G1163</f>
        <v>0</v>
      </c>
      <c r="P1163" s="2642"/>
      <c r="Q1163" s="2519"/>
      <c r="R1163" s="2519"/>
      <c r="S1163" s="2519"/>
    </row>
    <row r="1164" spans="1:19" s="2358" customFormat="1" outlineLevel="1">
      <c r="A1164" s="2435" t="str">
        <f t="shared" si="189"/>
        <v/>
      </c>
      <c r="B1164" s="2514" t="s">
        <v>1582</v>
      </c>
      <c r="C1164" s="2511"/>
      <c r="D1164" s="2405">
        <v>0</v>
      </c>
      <c r="E1164" s="2447" t="s">
        <v>2889</v>
      </c>
      <c r="F1164" s="2405" t="s">
        <v>2563</v>
      </c>
      <c r="G1164" s="2522">
        <f>2*G1160</f>
        <v>0</v>
      </c>
      <c r="H1164" s="2517">
        <v>8000</v>
      </c>
      <c r="I1164" s="2517"/>
      <c r="J1164" s="2517">
        <v>0</v>
      </c>
      <c r="K1164" s="2517"/>
      <c r="L1164" s="2517">
        <f t="shared" si="183"/>
        <v>0</v>
      </c>
      <c r="M1164" s="2517"/>
      <c r="N1164" s="2517">
        <f t="shared" si="188"/>
        <v>0</v>
      </c>
      <c r="O1164" s="2517"/>
      <c r="P1164" s="2642"/>
      <c r="Q1164" s="2519"/>
      <c r="R1164" s="2519"/>
      <c r="S1164" s="2519"/>
    </row>
    <row r="1165" spans="1:19" s="2358" customFormat="1" outlineLevel="1">
      <c r="A1165" s="2435" t="str">
        <f t="shared" si="189"/>
        <v/>
      </c>
      <c r="B1165" s="2514" t="s">
        <v>1062</v>
      </c>
      <c r="C1165" s="2672"/>
      <c r="D1165" s="2405">
        <v>0</v>
      </c>
      <c r="E1165" s="2447" t="s">
        <v>3599</v>
      </c>
      <c r="F1165" s="2405" t="s">
        <v>2563</v>
      </c>
      <c r="G1165" s="2522">
        <f>IF(G1163&lt;=12,15,21)*G1160</f>
        <v>0</v>
      </c>
      <c r="H1165" s="2517">
        <v>17600</v>
      </c>
      <c r="I1165" s="2517"/>
      <c r="J1165" s="2517">
        <v>0</v>
      </c>
      <c r="K1165" s="2517"/>
      <c r="L1165" s="2517">
        <f t="shared" si="183"/>
        <v>0</v>
      </c>
      <c r="M1165" s="2517">
        <f>I1165*G1165</f>
        <v>0</v>
      </c>
      <c r="N1165" s="2517">
        <f t="shared" si="188"/>
        <v>0</v>
      </c>
      <c r="O1165" s="2517">
        <f>K1165*G1165</f>
        <v>0</v>
      </c>
      <c r="P1165" s="2642"/>
      <c r="Q1165" s="2519"/>
      <c r="R1165" s="2519"/>
      <c r="S1165" s="2519"/>
    </row>
    <row r="1166" spans="1:19" s="2358" customFormat="1" outlineLevel="1">
      <c r="A1166" s="2435" t="str">
        <f t="shared" si="189"/>
        <v/>
      </c>
      <c r="B1166" s="2505" t="s">
        <v>1493</v>
      </c>
      <c r="C1166" s="2511"/>
      <c r="D1166" s="2405">
        <v>0</v>
      </c>
      <c r="E1166" s="2447" t="s">
        <v>3554</v>
      </c>
      <c r="F1166" s="2405" t="s">
        <v>1827</v>
      </c>
      <c r="G1166" s="2522">
        <f>G1160*6</f>
        <v>0</v>
      </c>
      <c r="H1166" s="2517">
        <v>6200</v>
      </c>
      <c r="I1166" s="2517"/>
      <c r="J1166" s="2517">
        <v>0</v>
      </c>
      <c r="K1166" s="2517">
        <v>0</v>
      </c>
      <c r="L1166" s="2517">
        <f t="shared" si="183"/>
        <v>0</v>
      </c>
      <c r="M1166" s="2517">
        <f>I1166*G1166</f>
        <v>0</v>
      </c>
      <c r="N1166" s="2517">
        <f t="shared" si="188"/>
        <v>0</v>
      </c>
      <c r="O1166" s="2517">
        <f>K1166*G1166</f>
        <v>0</v>
      </c>
      <c r="P1166" s="2518"/>
      <c r="Q1166" s="2519"/>
      <c r="R1166" s="2519"/>
      <c r="S1166" s="2519"/>
    </row>
    <row r="1167" spans="1:19" s="2358" customFormat="1" outlineLevel="1">
      <c r="A1167" s="2435" t="str">
        <f t="shared" si="189"/>
        <v/>
      </c>
      <c r="B1167" s="2505" t="s">
        <v>525</v>
      </c>
      <c r="C1167" s="2511"/>
      <c r="D1167" s="2405">
        <v>0</v>
      </c>
      <c r="E1167" s="2447" t="s">
        <v>5313</v>
      </c>
      <c r="F1167" s="2405" t="s">
        <v>2445</v>
      </c>
      <c r="G1167" s="2522">
        <f>G1160*4</f>
        <v>0</v>
      </c>
      <c r="H1167" s="2517">
        <v>43000</v>
      </c>
      <c r="I1167" s="2517"/>
      <c r="J1167" s="2517">
        <v>0</v>
      </c>
      <c r="K1167" s="2517">
        <v>0</v>
      </c>
      <c r="L1167" s="2517">
        <f t="shared" si="183"/>
        <v>0</v>
      </c>
      <c r="M1167" s="2517">
        <f>I1167*G1167</f>
        <v>0</v>
      </c>
      <c r="N1167" s="2517">
        <f t="shared" si="188"/>
        <v>0</v>
      </c>
      <c r="O1167" s="2517">
        <f>K1167*G1167</f>
        <v>0</v>
      </c>
      <c r="P1167" s="2518"/>
      <c r="Q1167" s="2519"/>
      <c r="R1167" s="2519"/>
      <c r="S1167" s="2519"/>
    </row>
    <row r="1168" spans="1:19" s="2358" customFormat="1" outlineLevel="1">
      <c r="A1168" s="2435" t="str">
        <f t="shared" si="189"/>
        <v/>
      </c>
      <c r="B1168" s="2505" t="s">
        <v>1588</v>
      </c>
      <c r="C1168" s="2511"/>
      <c r="D1168" s="2405">
        <v>0</v>
      </c>
      <c r="E1168" s="2447" t="s">
        <v>5775</v>
      </c>
      <c r="F1168" s="2405" t="s">
        <v>3463</v>
      </c>
      <c r="G1168" s="2522"/>
      <c r="H1168" s="2517">
        <v>0</v>
      </c>
      <c r="I1168" s="2517"/>
      <c r="J1168" s="2517">
        <v>1500000</v>
      </c>
      <c r="K1168" s="2517">
        <v>0</v>
      </c>
      <c r="L1168" s="2517">
        <f t="shared" si="183"/>
        <v>0</v>
      </c>
      <c r="M1168" s="2517">
        <f>I1168*G1168</f>
        <v>0</v>
      </c>
      <c r="N1168" s="2517">
        <f t="shared" si="188"/>
        <v>0</v>
      </c>
      <c r="O1168" s="2517">
        <f>K1168*G1168</f>
        <v>0</v>
      </c>
      <c r="P1168" s="2642"/>
      <c r="Q1168" s="2519"/>
      <c r="R1168" s="2519"/>
      <c r="S1168" s="2519"/>
    </row>
    <row r="1169" spans="1:20" s="2358" customFormat="1" outlineLevel="1">
      <c r="A1169" s="2435">
        <f>IF(G1169=0,0,1)</f>
        <v>0</v>
      </c>
      <c r="B1169" s="2505" t="s">
        <v>794</v>
      </c>
      <c r="C1169" s="2521"/>
      <c r="D1169" s="2405" t="s">
        <v>5398</v>
      </c>
      <c r="E1169" s="2447" t="s">
        <v>3086</v>
      </c>
      <c r="F1169" s="2405" t="s">
        <v>856</v>
      </c>
      <c r="G1169" s="2673">
        <f>$H$4*G1160</f>
        <v>0</v>
      </c>
      <c r="H1169" s="2517">
        <v>0</v>
      </c>
      <c r="I1169" s="2517"/>
      <c r="J1169" s="2517">
        <v>283749.75</v>
      </c>
      <c r="K1169" s="2517">
        <v>0</v>
      </c>
      <c r="L1169" s="2517">
        <f t="shared" ref="L1169:O1170" si="190">H1169*$G1169</f>
        <v>0</v>
      </c>
      <c r="M1169" s="2517">
        <f t="shared" si="190"/>
        <v>0</v>
      </c>
      <c r="N1169" s="2517">
        <f t="shared" si="190"/>
        <v>0</v>
      </c>
      <c r="O1169" s="2517">
        <f t="shared" si="190"/>
        <v>0</v>
      </c>
      <c r="P1169" s="2642"/>
      <c r="Q1169" s="2519"/>
      <c r="R1169" s="2519"/>
      <c r="S1169" s="2519"/>
    </row>
    <row r="1170" spans="1:20" s="2358" customFormat="1" outlineLevel="1">
      <c r="A1170" s="2435">
        <f>IF(G1170=0,0,1)</f>
        <v>0</v>
      </c>
      <c r="B1170" s="2505" t="s">
        <v>798</v>
      </c>
      <c r="C1170" s="2521"/>
      <c r="D1170" s="2405" t="s">
        <v>5387</v>
      </c>
      <c r="E1170" s="2447" t="s">
        <v>5399</v>
      </c>
      <c r="F1170" s="2405" t="s">
        <v>856</v>
      </c>
      <c r="G1170" s="2673">
        <f>G1169</f>
        <v>0</v>
      </c>
      <c r="H1170" s="2517">
        <v>0</v>
      </c>
      <c r="I1170" s="2517"/>
      <c r="J1170" s="2517">
        <v>117703.6</v>
      </c>
      <c r="K1170" s="2517">
        <v>0</v>
      </c>
      <c r="L1170" s="2517">
        <f t="shared" si="190"/>
        <v>0</v>
      </c>
      <c r="M1170" s="2517">
        <f t="shared" si="190"/>
        <v>0</v>
      </c>
      <c r="N1170" s="2517">
        <f t="shared" si="190"/>
        <v>0</v>
      </c>
      <c r="O1170" s="2517">
        <f t="shared" si="190"/>
        <v>0</v>
      </c>
      <c r="P1170" s="2642"/>
      <c r="Q1170" s="2519"/>
      <c r="R1170" s="2519"/>
      <c r="S1170" s="2519"/>
    </row>
    <row r="1171" spans="1:20" s="2358" customFormat="1" outlineLevel="1">
      <c r="A1171" s="2435">
        <f>IF(G1171=0,0,1)</f>
        <v>0</v>
      </c>
      <c r="B1171" s="2505" t="s">
        <v>902</v>
      </c>
      <c r="C1171" s="2521"/>
      <c r="D1171" s="2405" t="s">
        <v>5413</v>
      </c>
      <c r="E1171" s="2447" t="s">
        <v>5414</v>
      </c>
      <c r="F1171" s="2405" t="s">
        <v>2284</v>
      </c>
      <c r="G1171" s="2642">
        <f>G1163</f>
        <v>0</v>
      </c>
      <c r="H1171" s="2517">
        <v>0</v>
      </c>
      <c r="I1171" s="2517"/>
      <c r="J1171" s="2517" t="s">
        <v>6386</v>
      </c>
      <c r="K1171" s="2517">
        <v>0</v>
      </c>
      <c r="L1171" s="2517">
        <f>H1171*$G1171</f>
        <v>0</v>
      </c>
      <c r="M1171" s="2517">
        <f>I1171*$G1171</f>
        <v>0</v>
      </c>
      <c r="N1171" s="2517">
        <v>0</v>
      </c>
      <c r="O1171" s="2517">
        <f>K1171*$G1171</f>
        <v>0</v>
      </c>
      <c r="P1171" s="2642"/>
      <c r="Q1171" s="2519"/>
      <c r="R1171" s="2519"/>
      <c r="S1171" s="2519"/>
    </row>
    <row r="1172" spans="1:20" s="2358" customFormat="1" outlineLevel="1">
      <c r="A1172" s="2435" t="str">
        <f>IF(G1172&lt;&gt;0,1,"")</f>
        <v/>
      </c>
      <c r="B1172" s="2505" t="s">
        <v>1440</v>
      </c>
      <c r="C1172" s="2511"/>
      <c r="D1172" s="2405" t="s">
        <v>5408</v>
      </c>
      <c r="E1172" s="2447" t="s">
        <v>5409</v>
      </c>
      <c r="F1172" s="2405" t="s">
        <v>2538</v>
      </c>
      <c r="G1172" s="2522">
        <f>G1160*$H$3</f>
        <v>0</v>
      </c>
      <c r="H1172" s="2517">
        <v>0</v>
      </c>
      <c r="I1172" s="2517"/>
      <c r="J1172" s="2517">
        <v>8070.7000000000007</v>
      </c>
      <c r="K1172" s="2517">
        <v>2044.9974999999999</v>
      </c>
      <c r="L1172" s="2517">
        <f>H1172*G1172</f>
        <v>0</v>
      </c>
      <c r="M1172" s="2517">
        <f>I1172*G1172</f>
        <v>0</v>
      </c>
      <c r="N1172" s="2517">
        <f>J1172*G1172</f>
        <v>0</v>
      </c>
      <c r="O1172" s="2517">
        <f>K1172*G1172</f>
        <v>0</v>
      </c>
      <c r="P1172" s="2642"/>
      <c r="Q1172" s="2519"/>
      <c r="R1172" s="2519"/>
      <c r="S1172" s="2519"/>
    </row>
    <row r="1173" spans="1:20" s="2358" customFormat="1" outlineLevel="1">
      <c r="A1173" s="2435" t="str">
        <f>IF(G1173&lt;&gt;0,1,"")</f>
        <v/>
      </c>
      <c r="B1173" s="2514"/>
      <c r="C1173" s="2511">
        <f>IF(G1173&gt;0,C1160+1,C1160)</f>
        <v>0</v>
      </c>
      <c r="D1173" s="2512"/>
      <c r="E1173" s="2515" t="s">
        <v>6296</v>
      </c>
      <c r="F1173" s="2511" t="s">
        <v>2391</v>
      </c>
      <c r="G1173" s="2516">
        <f>G1110</f>
        <v>0</v>
      </c>
      <c r="H1173" s="2517"/>
      <c r="I1173" s="2517"/>
      <c r="J1173" s="2517"/>
      <c r="K1173" s="2517"/>
      <c r="L1173" s="2517">
        <f t="shared" ref="L1173:L1178" si="191">H1173*G1173</f>
        <v>0</v>
      </c>
      <c r="M1173" s="2517">
        <f t="shared" ref="M1173:M1178" si="192">I1173*G1173</f>
        <v>0</v>
      </c>
      <c r="N1173" s="2517">
        <f t="shared" ref="N1173:N1178" si="193">J1173*G1173</f>
        <v>0</v>
      </c>
      <c r="O1173" s="2517">
        <f t="shared" ref="O1173:O1178" si="194">K1173*G1173</f>
        <v>0</v>
      </c>
      <c r="P1173" s="2518"/>
      <c r="Q1173" s="2519"/>
      <c r="R1173" s="2519"/>
      <c r="S1173" s="2519"/>
    </row>
    <row r="1174" spans="1:20" s="2358" customFormat="1" ht="14.4" outlineLevel="1">
      <c r="A1174" s="2435" t="str">
        <f>A1173</f>
        <v/>
      </c>
      <c r="B1174" s="2514"/>
      <c r="C1174" s="2511"/>
      <c r="D1174" s="2512"/>
      <c r="E1174" s="2520" t="s">
        <v>6207</v>
      </c>
      <c r="F1174" s="2521"/>
      <c r="G1174" s="2522"/>
      <c r="H1174" s="2517"/>
      <c r="I1174" s="2517"/>
      <c r="J1174" s="2517"/>
      <c r="K1174" s="2517"/>
      <c r="L1174" s="2517">
        <f t="shared" si="191"/>
        <v>0</v>
      </c>
      <c r="M1174" s="2517">
        <f t="shared" si="192"/>
        <v>0</v>
      </c>
      <c r="N1174" s="2517">
        <f t="shared" si="193"/>
        <v>0</v>
      </c>
      <c r="O1174" s="2517">
        <f t="shared" si="194"/>
        <v>0</v>
      </c>
      <c r="P1174" s="2518"/>
      <c r="Q1174" s="2519"/>
      <c r="R1174" s="2519"/>
      <c r="S1174" s="2519"/>
    </row>
    <row r="1175" spans="1:20" s="2358" customFormat="1" outlineLevel="1">
      <c r="A1175" s="2435" t="str">
        <f>IF(G1175&lt;&gt;0,1,"")</f>
        <v/>
      </c>
      <c r="B1175" s="2514" t="s">
        <v>653</v>
      </c>
      <c r="C1175" s="2521"/>
      <c r="D1175" s="2405">
        <v>0</v>
      </c>
      <c r="E1175" s="2447" t="s">
        <v>5351</v>
      </c>
      <c r="F1175" s="2405" t="s">
        <v>2254</v>
      </c>
      <c r="G1175" s="2523">
        <f>+G1178*296</f>
        <v>0</v>
      </c>
      <c r="H1175" s="2517">
        <v>1740</v>
      </c>
      <c r="I1175" s="2517"/>
      <c r="J1175" s="2517">
        <v>0</v>
      </c>
      <c r="K1175" s="2517">
        <v>0</v>
      </c>
      <c r="L1175" s="2517">
        <f t="shared" si="191"/>
        <v>0</v>
      </c>
      <c r="M1175" s="2517">
        <f t="shared" si="192"/>
        <v>0</v>
      </c>
      <c r="N1175" s="2517">
        <f t="shared" si="193"/>
        <v>0</v>
      </c>
      <c r="O1175" s="2517">
        <f t="shared" si="194"/>
        <v>0</v>
      </c>
      <c r="P1175" s="2518"/>
      <c r="Q1175" s="2519"/>
      <c r="R1175" s="2519"/>
      <c r="S1175" s="2519"/>
    </row>
    <row r="1176" spans="1:20" s="2358" customFormat="1" outlineLevel="1">
      <c r="A1176" s="2435" t="str">
        <f>IF(G1176&lt;&gt;0,1,"")</f>
        <v/>
      </c>
      <c r="B1176" s="2514" t="s">
        <v>752</v>
      </c>
      <c r="C1176" s="2511"/>
      <c r="D1176" s="2405">
        <v>0</v>
      </c>
      <c r="E1176" s="2447" t="s">
        <v>3022</v>
      </c>
      <c r="F1176" s="2405" t="s">
        <v>856</v>
      </c>
      <c r="G1176" s="2523">
        <f>G1178*0.475</f>
        <v>0</v>
      </c>
      <c r="H1176" s="2517">
        <v>512000</v>
      </c>
      <c r="I1176" s="2517"/>
      <c r="J1176" s="2517">
        <v>0</v>
      </c>
      <c r="K1176" s="2517">
        <v>0</v>
      </c>
      <c r="L1176" s="2517">
        <f t="shared" si="191"/>
        <v>0</v>
      </c>
      <c r="M1176" s="2517">
        <f t="shared" si="192"/>
        <v>0</v>
      </c>
      <c r="N1176" s="2517">
        <f t="shared" si="193"/>
        <v>0</v>
      </c>
      <c r="O1176" s="2517">
        <f t="shared" si="194"/>
        <v>0</v>
      </c>
      <c r="P1176" s="2518"/>
      <c r="Q1176" s="2519"/>
      <c r="R1176" s="2519"/>
      <c r="S1176" s="2519"/>
    </row>
    <row r="1177" spans="1:20" s="2358" customFormat="1" outlineLevel="1">
      <c r="A1177" s="2435" t="str">
        <f>IF(G1177&lt;&gt;0,1,"")</f>
        <v/>
      </c>
      <c r="B1177" s="2514" t="s">
        <v>216</v>
      </c>
      <c r="C1177" s="2511"/>
      <c r="D1177" s="2405">
        <v>0</v>
      </c>
      <c r="E1177" s="2447" t="s">
        <v>3018</v>
      </c>
      <c r="F1177" s="2405" t="s">
        <v>856</v>
      </c>
      <c r="G1177" s="2523">
        <f>G1178*0.881</f>
        <v>0</v>
      </c>
      <c r="H1177" s="2517">
        <v>335000</v>
      </c>
      <c r="I1177" s="2517"/>
      <c r="J1177" s="2517">
        <v>0</v>
      </c>
      <c r="K1177" s="2517">
        <v>0</v>
      </c>
      <c r="L1177" s="2517">
        <f t="shared" si="191"/>
        <v>0</v>
      </c>
      <c r="M1177" s="2517">
        <f t="shared" si="192"/>
        <v>0</v>
      </c>
      <c r="N1177" s="2517">
        <f t="shared" si="193"/>
        <v>0</v>
      </c>
      <c r="O1177" s="2517">
        <f t="shared" si="194"/>
        <v>0</v>
      </c>
      <c r="P1177" s="2518"/>
      <c r="Q1177" s="2519"/>
      <c r="R1177" s="2519"/>
      <c r="S1177" s="2519"/>
    </row>
    <row r="1178" spans="1:20" s="2358" customFormat="1" outlineLevel="1">
      <c r="A1178" s="2435" t="str">
        <f>IF(G1178&lt;&gt;0,1,"")</f>
        <v/>
      </c>
      <c r="B1178" s="2514" t="s">
        <v>654</v>
      </c>
      <c r="C1178" s="2521"/>
      <c r="D1178" s="2405" t="s">
        <v>5533</v>
      </c>
      <c r="E1178" s="2447" t="s">
        <v>5536</v>
      </c>
      <c r="F1178" s="2405" t="s">
        <v>856</v>
      </c>
      <c r="G1178" s="2523">
        <f>G1173*(0.4*3*1-2*3.14*0.15^2*0.4)</f>
        <v>0</v>
      </c>
      <c r="H1178" s="2517"/>
      <c r="I1178" s="2517"/>
      <c r="J1178" s="2517">
        <v>466397.5</v>
      </c>
      <c r="K1178" s="2517">
        <v>0</v>
      </c>
      <c r="L1178" s="2517">
        <f t="shared" si="191"/>
        <v>0</v>
      </c>
      <c r="M1178" s="2517">
        <f t="shared" si="192"/>
        <v>0</v>
      </c>
      <c r="N1178" s="2517">
        <f t="shared" si="193"/>
        <v>0</v>
      </c>
      <c r="O1178" s="2517">
        <f t="shared" si="194"/>
        <v>0</v>
      </c>
      <c r="P1178" s="2518"/>
      <c r="Q1178" s="2525">
        <f>1.025*361</f>
        <v>370.02499999999998</v>
      </c>
      <c r="R1178" s="2525">
        <f>1.025*0.45</f>
        <v>0.46124999999999999</v>
      </c>
      <c r="S1178" s="2525">
        <f>1.025*0.866</f>
        <v>0.88764999999999994</v>
      </c>
      <c r="T1178" s="2526"/>
    </row>
    <row r="1179" spans="1:20" s="2358" customFormat="1" outlineLevel="1">
      <c r="A1179" s="2435" t="str">
        <f>IF(G1179&lt;&gt;0,1,"")</f>
        <v/>
      </c>
      <c r="B1179" s="2514"/>
      <c r="C1179" s="2511">
        <f>IF(G1179&gt;0,C1173+1,C1173)</f>
        <v>0</v>
      </c>
      <c r="D1179" s="2512"/>
      <c r="E1179" s="2629" t="s">
        <v>6283</v>
      </c>
      <c r="F1179" s="2511" t="s">
        <v>2391</v>
      </c>
      <c r="G1179" s="2516">
        <f>G1105</f>
        <v>0</v>
      </c>
      <c r="H1179" s="2517"/>
      <c r="I1179" s="2517"/>
      <c r="J1179" s="2517"/>
      <c r="K1179" s="2517"/>
      <c r="L1179" s="2517">
        <f>H1179*G1179</f>
        <v>0</v>
      </c>
      <c r="M1179" s="2517">
        <f>I1179*G1179</f>
        <v>0</v>
      </c>
      <c r="N1179" s="2517">
        <f>J1179*G1179</f>
        <v>0</v>
      </c>
      <c r="O1179" s="2517">
        <f>K1179*G1179</f>
        <v>0</v>
      </c>
      <c r="P1179" s="2642"/>
      <c r="Q1179" s="2519"/>
      <c r="R1179" s="2519"/>
      <c r="S1179" s="2519"/>
    </row>
    <row r="1180" spans="1:20" s="2358" customFormat="1" ht="14.4" outlineLevel="1">
      <c r="A1180" s="2435" t="str">
        <f>A1179</f>
        <v/>
      </c>
      <c r="B1180" s="2514"/>
      <c r="C1180" s="2511"/>
      <c r="D1180" s="2512"/>
      <c r="E1180" s="2520" t="s">
        <v>6207</v>
      </c>
      <c r="F1180" s="2521"/>
      <c r="G1180" s="2522"/>
      <c r="H1180" s="2517"/>
      <c r="I1180" s="2517"/>
      <c r="J1180" s="2517"/>
      <c r="K1180" s="2517"/>
      <c r="L1180" s="2517">
        <f>H1180*G1180</f>
        <v>0</v>
      </c>
      <c r="M1180" s="2517">
        <f>I1180*G1180</f>
        <v>0</v>
      </c>
      <c r="N1180" s="2517">
        <f>J1180*G1180</f>
        <v>0</v>
      </c>
      <c r="O1180" s="2517">
        <f>K1180*G1180</f>
        <v>0</v>
      </c>
      <c r="P1180" s="2642"/>
      <c r="Q1180" s="2519"/>
      <c r="R1180" s="2519"/>
      <c r="S1180" s="2519"/>
    </row>
    <row r="1181" spans="1:20" s="2358" customFormat="1" outlineLevel="1">
      <c r="A1181" s="2435" t="str">
        <f>IF(G1181&lt;&gt;0,1,"")</f>
        <v/>
      </c>
      <c r="B1181" s="2514" t="s">
        <v>5707</v>
      </c>
      <c r="C1181" s="2521"/>
      <c r="D1181" s="2405" t="s">
        <v>5695</v>
      </c>
      <c r="E1181" s="2447" t="s">
        <v>5708</v>
      </c>
      <c r="F1181" s="2405" t="s">
        <v>2563</v>
      </c>
      <c r="G1181" s="2522">
        <f>+G1105</f>
        <v>0</v>
      </c>
      <c r="H1181" s="2517">
        <v>5000000</v>
      </c>
      <c r="I1181" s="2517"/>
      <c r="J1181" s="2517">
        <v>690091</v>
      </c>
      <c r="K1181" s="2517">
        <v>97369</v>
      </c>
      <c r="L1181" s="2517">
        <f>H1181*G1181</f>
        <v>0</v>
      </c>
      <c r="M1181" s="2517">
        <f>I1181*G1181</f>
        <v>0</v>
      </c>
      <c r="N1181" s="2517">
        <f>J1181*G1181</f>
        <v>0</v>
      </c>
      <c r="O1181" s="2517">
        <f>K1181*G1181</f>
        <v>0</v>
      </c>
      <c r="P1181" s="2642"/>
      <c r="Q1181" s="2519"/>
      <c r="R1181" s="2519"/>
      <c r="S1181" s="2519"/>
    </row>
    <row r="1182" spans="1:20" s="2358" customFormat="1" outlineLevel="1">
      <c r="A1182" s="2435" t="str">
        <f>IF(G1182&lt;&gt;0,1,"")</f>
        <v/>
      </c>
      <c r="B1182" s="2514" t="s">
        <v>880</v>
      </c>
      <c r="C1182" s="2511"/>
      <c r="D1182" s="2405">
        <v>0</v>
      </c>
      <c r="E1182" s="2447" t="s">
        <v>5861</v>
      </c>
      <c r="F1182" s="2405" t="s">
        <v>2563</v>
      </c>
      <c r="G1182" s="2516">
        <f>G1179*1</f>
        <v>0</v>
      </c>
      <c r="H1182" s="2517">
        <v>284000</v>
      </c>
      <c r="I1182" s="2517"/>
      <c r="J1182" s="2517">
        <v>5404</v>
      </c>
      <c r="K1182" s="2517">
        <v>0</v>
      </c>
      <c r="L1182" s="2517">
        <f>H1182*G1182</f>
        <v>0</v>
      </c>
      <c r="M1182" s="2517">
        <f>I1182*G1182</f>
        <v>0</v>
      </c>
      <c r="N1182" s="2517">
        <f>J1182*G1182</f>
        <v>0</v>
      </c>
      <c r="O1182" s="2517">
        <f>K1182*G1182</f>
        <v>0</v>
      </c>
      <c r="P1182" s="2642"/>
      <c r="Q1182" s="2519"/>
      <c r="R1182" s="2519"/>
      <c r="S1182" s="2519"/>
    </row>
    <row r="1183" spans="1:20" s="2358" customFormat="1" outlineLevel="1">
      <c r="A1183" s="2435" t="str">
        <f>IF(G1183&lt;&gt;0,1,"")</f>
        <v/>
      </c>
      <c r="B1183" s="2514" t="s">
        <v>289</v>
      </c>
      <c r="C1183" s="2521"/>
      <c r="D1183" s="2405">
        <v>0</v>
      </c>
      <c r="E1183" s="2447" t="s">
        <v>5774</v>
      </c>
      <c r="F1183" s="2405" t="s">
        <v>2563</v>
      </c>
      <c r="G1183" s="2522">
        <f>G1179</f>
        <v>0</v>
      </c>
      <c r="H1183" s="2517">
        <v>300000</v>
      </c>
      <c r="I1183" s="2517"/>
      <c r="J1183" s="2517">
        <v>0</v>
      </c>
      <c r="K1183" s="2517">
        <v>0</v>
      </c>
      <c r="L1183" s="2517">
        <f>H1183*G1183</f>
        <v>0</v>
      </c>
      <c r="M1183" s="2517">
        <f>I1183*G1183</f>
        <v>0</v>
      </c>
      <c r="N1183" s="2517">
        <f>J1183*G1183</f>
        <v>0</v>
      </c>
      <c r="O1183" s="2517">
        <f>K1183*G1183</f>
        <v>0</v>
      </c>
      <c r="P1183" s="2642"/>
      <c r="Q1183" s="2519"/>
      <c r="R1183" s="2519"/>
      <c r="S1183" s="2519"/>
    </row>
    <row r="1184" spans="1:20" s="2358" customFormat="1" outlineLevel="1">
      <c r="A1184" s="2435" t="str">
        <f>IF(G1184&lt;&gt;0,1,"")</f>
        <v/>
      </c>
      <c r="B1184" s="2514"/>
      <c r="C1184" s="2511">
        <f>IF(G1184&gt;0,C1179+1,C1179)</f>
        <v>0</v>
      </c>
      <c r="D1184" s="2512"/>
      <c r="E1184" s="2513" t="s">
        <v>3745</v>
      </c>
      <c r="F1184" s="2511" t="s">
        <v>2391</v>
      </c>
      <c r="G1184" s="2516">
        <f>G1105</f>
        <v>0</v>
      </c>
      <c r="H1184" s="2517"/>
      <c r="I1184" s="2517"/>
      <c r="J1184" s="2517"/>
      <c r="K1184" s="2517"/>
      <c r="L1184" s="2517"/>
      <c r="M1184" s="2517"/>
      <c r="N1184" s="2517"/>
      <c r="O1184" s="2517"/>
      <c r="P1184" s="2642"/>
      <c r="Q1184" s="2519"/>
      <c r="R1184" s="2519"/>
      <c r="S1184" s="2519"/>
    </row>
    <row r="1185" spans="1:19" s="2358" customFormat="1" ht="14.4" outlineLevel="1">
      <c r="A1185" s="2435" t="str">
        <f>A1184</f>
        <v/>
      </c>
      <c r="B1185" s="2514"/>
      <c r="C1185" s="2511"/>
      <c r="D1185" s="2512"/>
      <c r="E1185" s="2527" t="s">
        <v>6207</v>
      </c>
      <c r="F1185" s="2511"/>
      <c r="G1185" s="2516"/>
      <c r="H1185" s="2517"/>
      <c r="I1185" s="2517"/>
      <c r="J1185" s="2517"/>
      <c r="K1185" s="2517"/>
      <c r="L1185" s="2517"/>
      <c r="M1185" s="2517"/>
      <c r="N1185" s="2517"/>
      <c r="O1185" s="2517"/>
      <c r="P1185" s="2642"/>
      <c r="Q1185" s="2519"/>
      <c r="R1185" s="2519"/>
      <c r="S1185" s="2519"/>
    </row>
    <row r="1186" spans="1:19" s="2358" customFormat="1" outlineLevel="1">
      <c r="A1186" s="2435" t="str">
        <f>IF(G1186&lt;&gt;0,1,"")</f>
        <v/>
      </c>
      <c r="B1186" s="2505" t="s">
        <v>697</v>
      </c>
      <c r="C1186" s="2521"/>
      <c r="D1186" s="2405">
        <v>0</v>
      </c>
      <c r="E1186" s="2447" t="s">
        <v>5139</v>
      </c>
      <c r="F1186" s="2405" t="s">
        <v>2538</v>
      </c>
      <c r="G1186" s="2522">
        <f>G1184*(7)*3</f>
        <v>0</v>
      </c>
      <c r="H1186" s="2517">
        <v>50996</v>
      </c>
      <c r="I1186" s="2517"/>
      <c r="J1186" s="2517">
        <v>0</v>
      </c>
      <c r="K1186" s="2517">
        <v>0</v>
      </c>
      <c r="L1186" s="2517">
        <f>H1186*G1186</f>
        <v>0</v>
      </c>
      <c r="M1186" s="2517">
        <f>I1186*G1186</f>
        <v>0</v>
      </c>
      <c r="N1186" s="2517">
        <f>J1186*G1186</f>
        <v>0</v>
      </c>
      <c r="O1186" s="2517">
        <f>K1186*G1186</f>
        <v>0</v>
      </c>
      <c r="P1186" s="2642"/>
      <c r="Q1186" s="2519"/>
      <c r="R1186" s="2519"/>
      <c r="S1186" s="2519"/>
    </row>
    <row r="1187" spans="1:19" s="2358" customFormat="1" outlineLevel="1">
      <c r="A1187" s="2435" t="str">
        <f t="shared" ref="A1187:A1193" si="195">IF(G1187&lt;&gt;0,1,"")</f>
        <v/>
      </c>
      <c r="B1187" s="2610" t="s">
        <v>1482</v>
      </c>
      <c r="C1187" s="2521"/>
      <c r="D1187" s="2405">
        <v>0</v>
      </c>
      <c r="E1187" s="2447" t="s">
        <v>3810</v>
      </c>
      <c r="F1187" s="2405" t="s">
        <v>2563</v>
      </c>
      <c r="G1187" s="2522">
        <f>+G1184*3</f>
        <v>0</v>
      </c>
      <c r="H1187" s="2517">
        <v>46000</v>
      </c>
      <c r="I1187" s="2517"/>
      <c r="J1187" s="2517">
        <v>0</v>
      </c>
      <c r="K1187" s="2517">
        <v>0</v>
      </c>
      <c r="L1187" s="2517">
        <f t="shared" ref="L1187:L1193" si="196">H1187*G1187</f>
        <v>0</v>
      </c>
      <c r="M1187" s="2517">
        <f t="shared" ref="M1187:M1193" si="197">I1187*G1187</f>
        <v>0</v>
      </c>
      <c r="N1187" s="2517">
        <f t="shared" ref="N1187:N1193" si="198">J1187*G1187</f>
        <v>0</v>
      </c>
      <c r="O1187" s="2517">
        <f t="shared" ref="O1187:O1193" si="199">K1187*G1187</f>
        <v>0</v>
      </c>
      <c r="P1187" s="2642"/>
      <c r="Q1187" s="2519"/>
      <c r="R1187" s="2519"/>
      <c r="S1187" s="2519"/>
    </row>
    <row r="1188" spans="1:19" s="2358" customFormat="1" outlineLevel="1">
      <c r="A1188" s="2435" t="str">
        <f>IF(G1188&lt;&gt;0,1,"")</f>
        <v/>
      </c>
      <c r="B1188" s="2610" t="s">
        <v>1480</v>
      </c>
      <c r="C1188" s="2521"/>
      <c r="D1188" s="2405">
        <v>0</v>
      </c>
      <c r="E1188" s="2447" t="s">
        <v>6420</v>
      </c>
      <c r="F1188" s="2405" t="s">
        <v>2563</v>
      </c>
      <c r="G1188" s="2522">
        <f>G1184*3</f>
        <v>0</v>
      </c>
      <c r="H1188" s="2517">
        <v>77000</v>
      </c>
      <c r="I1188" s="2517"/>
      <c r="J1188" s="2517">
        <v>0</v>
      </c>
      <c r="K1188" s="2517">
        <v>0</v>
      </c>
      <c r="L1188" s="2517">
        <f>H1188*G1188</f>
        <v>0</v>
      </c>
      <c r="M1188" s="2517">
        <f>I1188*G1188</f>
        <v>0</v>
      </c>
      <c r="N1188" s="2517">
        <f>J1188*G1188</f>
        <v>0</v>
      </c>
      <c r="O1188" s="2517">
        <f>K1188*G1188</f>
        <v>0</v>
      </c>
      <c r="P1188" s="2642"/>
      <c r="Q1188" s="2519"/>
      <c r="R1188" s="2519"/>
      <c r="S1188" s="2519"/>
    </row>
    <row r="1189" spans="1:19" s="2358" customFormat="1" outlineLevel="1">
      <c r="A1189" s="2435" t="str">
        <f>IF(G1189&lt;&gt;0,1,"")</f>
        <v/>
      </c>
      <c r="B1189" s="2610" t="s">
        <v>5761</v>
      </c>
      <c r="C1189" s="2521"/>
      <c r="D1189" s="2405">
        <v>0</v>
      </c>
      <c r="E1189" s="2447" t="s">
        <v>6421</v>
      </c>
      <c r="F1189" s="2405" t="s">
        <v>2563</v>
      </c>
      <c r="G1189" s="2522">
        <f>+G1184*3</f>
        <v>0</v>
      </c>
      <c r="H1189" s="2517">
        <v>218200</v>
      </c>
      <c r="I1189" s="2517"/>
      <c r="J1189" s="2517">
        <v>0</v>
      </c>
      <c r="K1189" s="2517">
        <v>0</v>
      </c>
      <c r="L1189" s="2517">
        <f>H1189*G1189</f>
        <v>0</v>
      </c>
      <c r="M1189" s="2517">
        <f>I1189*G1189</f>
        <v>0</v>
      </c>
      <c r="N1189" s="2517">
        <f>J1189*G1189</f>
        <v>0</v>
      </c>
      <c r="O1189" s="2517">
        <f>K1189*G1189</f>
        <v>0</v>
      </c>
      <c r="P1189" s="2642"/>
      <c r="Q1189" s="2519"/>
      <c r="R1189" s="2519"/>
      <c r="S1189" s="2519"/>
    </row>
    <row r="1190" spans="1:19" s="2358" customFormat="1" outlineLevel="1">
      <c r="A1190" s="2435" t="str">
        <f>IF(G1190&lt;&gt;0,1,"")</f>
        <v/>
      </c>
      <c r="B1190" s="2610" t="s">
        <v>5767</v>
      </c>
      <c r="C1190" s="2521"/>
      <c r="D1190" s="2405">
        <v>0</v>
      </c>
      <c r="E1190" s="2447" t="s">
        <v>6422</v>
      </c>
      <c r="F1190" s="2405" t="s">
        <v>2563</v>
      </c>
      <c r="G1190" s="2522">
        <f>+G1184*3</f>
        <v>0</v>
      </c>
      <c r="H1190" s="2517">
        <v>39100</v>
      </c>
      <c r="I1190" s="2517"/>
      <c r="J1190" s="2517">
        <v>0</v>
      </c>
      <c r="K1190" s="2517">
        <v>0</v>
      </c>
      <c r="L1190" s="2517">
        <f>H1190*G1190</f>
        <v>0</v>
      </c>
      <c r="M1190" s="2517">
        <f>I1190*G1190</f>
        <v>0</v>
      </c>
      <c r="N1190" s="2517">
        <f>J1190*G1190</f>
        <v>0</v>
      </c>
      <c r="O1190" s="2517">
        <f>K1190*G1190</f>
        <v>0</v>
      </c>
      <c r="P1190" s="2642"/>
      <c r="Q1190" s="2519"/>
      <c r="R1190" s="2519"/>
      <c r="S1190" s="2519"/>
    </row>
    <row r="1191" spans="1:19" s="2358" customFormat="1" outlineLevel="1">
      <c r="A1191" s="2435" t="str">
        <f t="shared" si="195"/>
        <v/>
      </c>
      <c r="B1191" s="2610" t="s">
        <v>5769</v>
      </c>
      <c r="C1191" s="2521"/>
      <c r="D1191" s="2405">
        <v>0</v>
      </c>
      <c r="E1191" s="2447" t="s">
        <v>6423</v>
      </c>
      <c r="F1191" s="2405" t="s">
        <v>2563</v>
      </c>
      <c r="G1191" s="2522">
        <f>+G1184*3</f>
        <v>0</v>
      </c>
      <c r="H1191" s="2517">
        <v>56700</v>
      </c>
      <c r="I1191" s="2517"/>
      <c r="J1191" s="2517">
        <v>0</v>
      </c>
      <c r="K1191" s="2517">
        <v>0</v>
      </c>
      <c r="L1191" s="2517">
        <f t="shared" si="196"/>
        <v>0</v>
      </c>
      <c r="M1191" s="2517">
        <f t="shared" si="197"/>
        <v>0</v>
      </c>
      <c r="N1191" s="2517">
        <f t="shared" si="198"/>
        <v>0</v>
      </c>
      <c r="O1191" s="2517">
        <f t="shared" si="199"/>
        <v>0</v>
      </c>
      <c r="P1191" s="2642"/>
      <c r="Q1191" s="2519"/>
      <c r="R1191" s="2519"/>
      <c r="S1191" s="2519"/>
    </row>
    <row r="1192" spans="1:19" s="2358" customFormat="1" outlineLevel="1">
      <c r="A1192" s="2435" t="str">
        <f t="shared" si="195"/>
        <v/>
      </c>
      <c r="B1192" s="2505" t="s">
        <v>696</v>
      </c>
      <c r="C1192" s="2642"/>
      <c r="D1192" s="2405">
        <v>0</v>
      </c>
      <c r="E1192" s="2447" t="s">
        <v>2952</v>
      </c>
      <c r="F1192" s="2405" t="s">
        <v>2563</v>
      </c>
      <c r="G1192" s="2522">
        <f>+G1184*6</f>
        <v>0</v>
      </c>
      <c r="H1192" s="2517">
        <v>205000</v>
      </c>
      <c r="I1192" s="2517"/>
      <c r="J1192" s="2517">
        <v>0</v>
      </c>
      <c r="K1192" s="2517">
        <v>0</v>
      </c>
      <c r="L1192" s="2517">
        <f t="shared" si="196"/>
        <v>0</v>
      </c>
      <c r="M1192" s="2517">
        <f t="shared" si="197"/>
        <v>0</v>
      </c>
      <c r="N1192" s="2517">
        <f t="shared" si="198"/>
        <v>0</v>
      </c>
      <c r="O1192" s="2517">
        <f t="shared" si="199"/>
        <v>0</v>
      </c>
      <c r="P1192" s="2642"/>
      <c r="Q1192" s="2519"/>
      <c r="R1192" s="2519"/>
      <c r="S1192" s="2519"/>
    </row>
    <row r="1193" spans="1:19" s="2358" customFormat="1" outlineLevel="1">
      <c r="A1193" s="2435" t="str">
        <f t="shared" si="195"/>
        <v/>
      </c>
      <c r="B1193" s="2505" t="s">
        <v>1268</v>
      </c>
      <c r="C1193" s="2521"/>
      <c r="D1193" s="2405">
        <v>0</v>
      </c>
      <c r="E1193" s="2447" t="s">
        <v>2831</v>
      </c>
      <c r="F1193" s="2405" t="s">
        <v>2563</v>
      </c>
      <c r="G1193" s="2522">
        <f>G1192</f>
        <v>0</v>
      </c>
      <c r="H1193" s="2517">
        <v>65000</v>
      </c>
      <c r="I1193" s="2517"/>
      <c r="J1193" s="2517">
        <v>0</v>
      </c>
      <c r="K1193" s="2517">
        <v>0</v>
      </c>
      <c r="L1193" s="2517">
        <f t="shared" si="196"/>
        <v>0</v>
      </c>
      <c r="M1193" s="2517">
        <f t="shared" si="197"/>
        <v>0</v>
      </c>
      <c r="N1193" s="2517">
        <f t="shared" si="198"/>
        <v>0</v>
      </c>
      <c r="O1193" s="2517">
        <f t="shared" si="199"/>
        <v>0</v>
      </c>
      <c r="P1193" s="2642"/>
      <c r="Q1193" s="2519"/>
      <c r="R1193" s="2519"/>
      <c r="S1193" s="2519"/>
    </row>
    <row r="1194" spans="1:19" s="2358" customFormat="1" outlineLevel="1">
      <c r="A1194" s="2435" t="str">
        <f>IF(G1194&lt;&gt;0,1,"")</f>
        <v/>
      </c>
      <c r="B1194" s="2505" t="s">
        <v>1568</v>
      </c>
      <c r="C1194" s="2521"/>
      <c r="D1194" s="2405" t="s">
        <v>5622</v>
      </c>
      <c r="E1194" s="2447" t="s">
        <v>3289</v>
      </c>
      <c r="F1194" s="2405" t="s">
        <v>2445</v>
      </c>
      <c r="G1194" s="2522">
        <f>G1193</f>
        <v>0</v>
      </c>
      <c r="H1194" s="2517"/>
      <c r="I1194" s="2517"/>
      <c r="J1194" s="2517">
        <v>58277.49</v>
      </c>
      <c r="K1194" s="2517"/>
      <c r="L1194" s="2517">
        <f>H1194*G1194</f>
        <v>0</v>
      </c>
      <c r="M1194" s="2517">
        <f>I1194*G1194</f>
        <v>0</v>
      </c>
      <c r="N1194" s="2517">
        <f>J1194*G1194</f>
        <v>0</v>
      </c>
      <c r="O1194" s="2517">
        <f>K1194*G1194</f>
        <v>0</v>
      </c>
      <c r="P1194" s="2642"/>
      <c r="Q1194" s="2519"/>
      <c r="R1194" s="2519"/>
      <c r="S1194" s="2519"/>
    </row>
    <row r="1195" spans="1:19" s="2358" customFormat="1" outlineLevel="1">
      <c r="A1195" s="2435" t="str">
        <f>IF(G1195&lt;&gt;0,1,"")</f>
        <v/>
      </c>
      <c r="B1195" s="2505" t="s">
        <v>1528</v>
      </c>
      <c r="C1195" s="2521"/>
      <c r="D1195" s="2405" t="s">
        <v>5633</v>
      </c>
      <c r="E1195" s="2447" t="s">
        <v>3310</v>
      </c>
      <c r="F1195" s="2405" t="s">
        <v>1827</v>
      </c>
      <c r="G1195" s="2522">
        <f>G1186</f>
        <v>0</v>
      </c>
      <c r="H1195" s="2517"/>
      <c r="I1195" s="2517"/>
      <c r="J1195" s="2517">
        <v>13915</v>
      </c>
      <c r="K1195" s="2517"/>
      <c r="L1195" s="2517">
        <f>H1195*G1195</f>
        <v>0</v>
      </c>
      <c r="M1195" s="2517">
        <f>I1195*G1195</f>
        <v>0</v>
      </c>
      <c r="N1195" s="2517">
        <f>J1195*G1195</f>
        <v>0</v>
      </c>
      <c r="O1195" s="2517">
        <f>K1195*G1195</f>
        <v>0</v>
      </c>
      <c r="P1195" s="2642"/>
      <c r="Q1195" s="2519"/>
      <c r="R1195" s="2519"/>
      <c r="S1195" s="2519"/>
    </row>
    <row r="1196" spans="1:19" s="2358" customFormat="1" outlineLevel="1">
      <c r="A1196" s="2435" t="str">
        <f>IF(G1196&lt;&gt;0,1,"")</f>
        <v/>
      </c>
      <c r="B1196" s="2514"/>
      <c r="C1196" s="2511">
        <f>IF(G1196&gt;0,C1184+1,C1184)</f>
        <v>0</v>
      </c>
      <c r="D1196" s="2512"/>
      <c r="E1196" s="2513" t="s">
        <v>3726</v>
      </c>
      <c r="F1196" s="2511" t="s">
        <v>2391</v>
      </c>
      <c r="G1196" s="2516">
        <f>G1133</f>
        <v>0</v>
      </c>
      <c r="H1196" s="2517"/>
      <c r="I1196" s="2517"/>
      <c r="J1196" s="2517"/>
      <c r="K1196" s="2517"/>
      <c r="L1196" s="2517"/>
      <c r="M1196" s="2517"/>
      <c r="N1196" s="2517"/>
      <c r="O1196" s="2517"/>
      <c r="P1196" s="2518"/>
      <c r="Q1196" s="2519"/>
      <c r="R1196" s="2519"/>
      <c r="S1196" s="2519"/>
    </row>
    <row r="1197" spans="1:19" s="2358" customFormat="1" ht="14.4" outlineLevel="1">
      <c r="A1197" s="2435" t="str">
        <f>A1196</f>
        <v/>
      </c>
      <c r="B1197" s="2514"/>
      <c r="C1197" s="2511"/>
      <c r="D1197" s="2512"/>
      <c r="E1197" s="2527" t="s">
        <v>6207</v>
      </c>
      <c r="F1197" s="2511"/>
      <c r="G1197" s="2516"/>
      <c r="H1197" s="2517"/>
      <c r="I1197" s="2517"/>
      <c r="J1197" s="2517"/>
      <c r="K1197" s="2517"/>
      <c r="L1197" s="2517"/>
      <c r="M1197" s="2517"/>
      <c r="N1197" s="2517"/>
      <c r="O1197" s="2517"/>
      <c r="P1197" s="2518"/>
      <c r="Q1197" s="2519"/>
      <c r="R1197" s="2519"/>
      <c r="S1197" s="2519"/>
    </row>
    <row r="1198" spans="1:19" s="2358" customFormat="1" outlineLevel="1">
      <c r="A1198" s="2435" t="str">
        <f>IF(G1198&lt;&gt;0,1,"")</f>
        <v/>
      </c>
      <c r="B1198" s="2514" t="s">
        <v>1492</v>
      </c>
      <c r="C1198" s="2521"/>
      <c r="D1198" s="2405">
        <v>0</v>
      </c>
      <c r="E1198" s="2447" t="s">
        <v>3550</v>
      </c>
      <c r="F1198" s="2405" t="s">
        <v>1827</v>
      </c>
      <c r="G1198" s="2522">
        <f>G1196*2</f>
        <v>0</v>
      </c>
      <c r="H1198" s="2517">
        <v>63200</v>
      </c>
      <c r="I1198" s="2517"/>
      <c r="J1198" s="2517">
        <v>0</v>
      </c>
      <c r="K1198" s="2517">
        <v>0</v>
      </c>
      <c r="L1198" s="2517">
        <f>H1198*G1198</f>
        <v>0</v>
      </c>
      <c r="M1198" s="2517">
        <f>I1198*G1198</f>
        <v>0</v>
      </c>
      <c r="N1198" s="2517">
        <f>J1198*G1198</f>
        <v>0</v>
      </c>
      <c r="O1198" s="2517">
        <f>K1198*G1198</f>
        <v>0</v>
      </c>
      <c r="P1198" s="2518"/>
      <c r="Q1198" s="2519"/>
      <c r="R1198" s="2519"/>
      <c r="S1198" s="2519"/>
    </row>
    <row r="1199" spans="1:19" s="2358" customFormat="1" outlineLevel="1">
      <c r="A1199" s="2435" t="str">
        <f>IF(G1199&lt;&gt;0,1,"")</f>
        <v/>
      </c>
      <c r="B1199" s="2514" t="s">
        <v>86</v>
      </c>
      <c r="C1199" s="2521"/>
      <c r="D1199" s="2405">
        <v>0</v>
      </c>
      <c r="E1199" s="2447" t="s">
        <v>5859</v>
      </c>
      <c r="F1199" s="2405" t="s">
        <v>2563</v>
      </c>
      <c r="G1199" s="2522">
        <f>G1196</f>
        <v>0</v>
      </c>
      <c r="H1199" s="2517">
        <v>45400</v>
      </c>
      <c r="I1199" s="2517"/>
      <c r="J1199" s="2517">
        <v>0</v>
      </c>
      <c r="K1199" s="2517">
        <v>0</v>
      </c>
      <c r="L1199" s="2517">
        <f>H1199*G1199</f>
        <v>0</v>
      </c>
      <c r="M1199" s="2517">
        <f>I1199*G1199</f>
        <v>0</v>
      </c>
      <c r="N1199" s="2517">
        <f>J1199*G1199</f>
        <v>0</v>
      </c>
      <c r="O1199" s="2517">
        <f>K1199*G1199</f>
        <v>0</v>
      </c>
      <c r="P1199" s="2518"/>
      <c r="Q1199" s="2519"/>
      <c r="R1199" s="2519"/>
      <c r="S1199" s="2519"/>
    </row>
    <row r="1200" spans="1:19" s="2358" customFormat="1" outlineLevel="1">
      <c r="A1200" s="2435" t="str">
        <f>IF(G1200&lt;&gt;0,1,"")</f>
        <v/>
      </c>
      <c r="B1200" s="2514" t="s">
        <v>931</v>
      </c>
      <c r="C1200" s="2521"/>
      <c r="D1200" s="2405">
        <v>0</v>
      </c>
      <c r="E1200" s="2447" t="s">
        <v>3592</v>
      </c>
      <c r="F1200" s="2405" t="s">
        <v>2563</v>
      </c>
      <c r="G1200" s="2522">
        <f>G1196*2</f>
        <v>0</v>
      </c>
      <c r="H1200" s="2517">
        <v>25800</v>
      </c>
      <c r="I1200" s="2517"/>
      <c r="J1200" s="2517">
        <v>0</v>
      </c>
      <c r="K1200" s="2517">
        <v>0</v>
      </c>
      <c r="L1200" s="2517">
        <f>H1200*G1200</f>
        <v>0</v>
      </c>
      <c r="M1200" s="2517">
        <f>I1200*G1200</f>
        <v>0</v>
      </c>
      <c r="N1200" s="2517">
        <f>J1200*G1200</f>
        <v>0</v>
      </c>
      <c r="O1200" s="2517">
        <f>K1200*G1200</f>
        <v>0</v>
      </c>
      <c r="P1200" s="2518"/>
      <c r="Q1200" s="2519"/>
      <c r="R1200" s="2519"/>
      <c r="S1200" s="2519"/>
    </row>
    <row r="1201" spans="1:19" s="2358" customFormat="1" outlineLevel="1">
      <c r="A1201" s="2435" t="str">
        <f>IF(G1201&lt;&gt;0,1,"")</f>
        <v/>
      </c>
      <c r="B1201" s="2514" t="s">
        <v>930</v>
      </c>
      <c r="C1201" s="2521"/>
      <c r="D1201" s="2405">
        <v>0</v>
      </c>
      <c r="E1201" s="2447" t="s">
        <v>3596</v>
      </c>
      <c r="F1201" s="2405" t="s">
        <v>2563</v>
      </c>
      <c r="G1201" s="2522">
        <f>G1200</f>
        <v>0</v>
      </c>
      <c r="H1201" s="2517">
        <v>21500</v>
      </c>
      <c r="I1201" s="2517"/>
      <c r="J1201" s="2517">
        <v>0</v>
      </c>
      <c r="K1201" s="2517">
        <v>0</v>
      </c>
      <c r="L1201" s="2517">
        <f>H1201*G1201</f>
        <v>0</v>
      </c>
      <c r="M1201" s="2517">
        <f>I1201*G1201</f>
        <v>0</v>
      </c>
      <c r="N1201" s="2517">
        <f>J1201*G1201</f>
        <v>0</v>
      </c>
      <c r="O1201" s="2517">
        <f>K1201*G1201</f>
        <v>0</v>
      </c>
      <c r="P1201" s="2518"/>
      <c r="Q1201" s="2519"/>
      <c r="R1201" s="2519"/>
      <c r="S1201" s="2519"/>
    </row>
    <row r="1202" spans="1:19" s="2358" customFormat="1" outlineLevel="1">
      <c r="A1202" s="2435" t="str">
        <f>IF(G1202&lt;&gt;0,1,"")</f>
        <v/>
      </c>
      <c r="B1202" s="2505"/>
      <c r="C1202" s="2511">
        <f>IF(G1202&gt;0,C1196+1,C1196)</f>
        <v>0</v>
      </c>
      <c r="D1202" s="2512"/>
      <c r="E1202" s="2513" t="s">
        <v>6297</v>
      </c>
      <c r="F1202" s="2511" t="s">
        <v>2391</v>
      </c>
      <c r="G1202" s="2522">
        <f>+G1105</f>
        <v>0</v>
      </c>
      <c r="H1202" s="2517"/>
      <c r="I1202" s="2517"/>
      <c r="J1202" s="2517"/>
      <c r="K1202" s="2517"/>
      <c r="L1202" s="2517"/>
      <c r="M1202" s="2517"/>
      <c r="N1202" s="2517"/>
      <c r="O1202" s="2517"/>
      <c r="P1202" s="2642"/>
      <c r="Q1202" s="2519"/>
      <c r="R1202" s="2519"/>
      <c r="S1202" s="2519"/>
    </row>
    <row r="1203" spans="1:19" s="2358" customFormat="1" ht="14.4" outlineLevel="1">
      <c r="A1203" s="2435" t="str">
        <f>A1202</f>
        <v/>
      </c>
      <c r="B1203" s="2505"/>
      <c r="C1203" s="2511"/>
      <c r="D1203" s="2512"/>
      <c r="E1203" s="2527" t="s">
        <v>6207</v>
      </c>
      <c r="F1203" s="2511"/>
      <c r="G1203" s="2522"/>
      <c r="H1203" s="2517"/>
      <c r="I1203" s="2517"/>
      <c r="J1203" s="2517"/>
      <c r="K1203" s="2517"/>
      <c r="L1203" s="2517"/>
      <c r="M1203" s="2517"/>
      <c r="N1203" s="2517"/>
      <c r="O1203" s="2517"/>
      <c r="P1203" s="2642"/>
      <c r="Q1203" s="2519"/>
      <c r="R1203" s="2519"/>
      <c r="S1203" s="2519"/>
    </row>
    <row r="1204" spans="1:19" s="2358" customFormat="1" outlineLevel="1">
      <c r="A1204" s="2435" t="str">
        <f>IF(G1204&lt;&gt;0,1,"")</f>
        <v/>
      </c>
      <c r="B1204" s="2514" t="s">
        <v>34</v>
      </c>
      <c r="C1204" s="2521"/>
      <c r="D1204" s="2405">
        <v>0</v>
      </c>
      <c r="E1204" s="2447" t="s">
        <v>2804</v>
      </c>
      <c r="F1204" s="2405" t="s">
        <v>2538</v>
      </c>
      <c r="G1204" s="2674">
        <f>+G1202*3*6</f>
        <v>0</v>
      </c>
      <c r="H1204" s="2517">
        <v>194893</v>
      </c>
      <c r="I1204" s="2517"/>
      <c r="J1204" s="2517">
        <v>0</v>
      </c>
      <c r="K1204" s="2517">
        <v>0</v>
      </c>
      <c r="L1204" s="2517">
        <f>H1204*G1204</f>
        <v>0</v>
      </c>
      <c r="M1204" s="2517">
        <f>I1204*G1204</f>
        <v>0</v>
      </c>
      <c r="N1204" s="2517">
        <f>J1204*G1204</f>
        <v>0</v>
      </c>
      <c r="O1204" s="2517">
        <f>K1204*G1204</f>
        <v>0</v>
      </c>
      <c r="P1204" s="2642"/>
      <c r="Q1204" s="2519"/>
      <c r="R1204" s="2519"/>
      <c r="S1204" s="2519"/>
    </row>
    <row r="1205" spans="1:19" s="2358" customFormat="1" outlineLevel="1">
      <c r="A1205" s="2435" t="str">
        <f>IF(G1205&lt;&gt;0,1,"")</f>
        <v/>
      </c>
      <c r="B1205" s="2514" t="s">
        <v>274</v>
      </c>
      <c r="C1205" s="2521"/>
      <c r="D1205" s="2405">
        <v>0</v>
      </c>
      <c r="E1205" s="2447" t="s">
        <v>2802</v>
      </c>
      <c r="F1205" s="2405" t="s">
        <v>2538</v>
      </c>
      <c r="G1205" s="2674">
        <f>+G1202*6</f>
        <v>0</v>
      </c>
      <c r="H1205" s="2517">
        <v>120529</v>
      </c>
      <c r="I1205" s="2517"/>
      <c r="J1205" s="2517">
        <v>0</v>
      </c>
      <c r="K1205" s="2517">
        <v>0</v>
      </c>
      <c r="L1205" s="2517">
        <f>H1205*G1205</f>
        <v>0</v>
      </c>
      <c r="M1205" s="2517">
        <f>I1205*G1205</f>
        <v>0</v>
      </c>
      <c r="N1205" s="2517">
        <f>J1205*G1205</f>
        <v>0</v>
      </c>
      <c r="O1205" s="2517">
        <f>K1205*G1205</f>
        <v>0</v>
      </c>
      <c r="P1205" s="2642"/>
      <c r="Q1205" s="2519"/>
      <c r="R1205" s="2519"/>
      <c r="S1205" s="2519"/>
    </row>
    <row r="1206" spans="1:19" s="2358" customFormat="1" outlineLevel="1">
      <c r="A1206" s="2435" t="str">
        <f>IF(G1206&lt;&gt;0,1,"")</f>
        <v/>
      </c>
      <c r="B1206" s="2514" t="s">
        <v>1826</v>
      </c>
      <c r="C1206" s="2521"/>
      <c r="D1206" s="2405" t="s">
        <v>1530</v>
      </c>
      <c r="E1206" s="2447" t="s">
        <v>2792</v>
      </c>
      <c r="F1206" s="2405" t="s">
        <v>2538</v>
      </c>
      <c r="G1206" s="2522">
        <f>+G1202*4</f>
        <v>0</v>
      </c>
      <c r="H1206" s="2517">
        <v>28200</v>
      </c>
      <c r="I1206" s="2517"/>
      <c r="J1206" s="2517">
        <v>0</v>
      </c>
      <c r="K1206" s="2517">
        <v>0</v>
      </c>
      <c r="L1206" s="2517">
        <f>H1206*G1206</f>
        <v>0</v>
      </c>
      <c r="M1206" s="2517">
        <f>I1206*G1206</f>
        <v>0</v>
      </c>
      <c r="N1206" s="2517">
        <f>J1206*G1206</f>
        <v>0</v>
      </c>
      <c r="O1206" s="2517">
        <f>K1206*G1206</f>
        <v>0</v>
      </c>
      <c r="P1206" s="2518"/>
      <c r="Q1206" s="2519"/>
      <c r="R1206" s="2519"/>
      <c r="S1206" s="2519"/>
    </row>
    <row r="1207" spans="1:19" s="2358" customFormat="1" outlineLevel="1">
      <c r="A1207" s="2435" t="str">
        <f t="shared" ref="A1207:A1219" si="200">IF(G1207&lt;&gt;0,1,"")</f>
        <v/>
      </c>
      <c r="B1207" s="2514" t="s">
        <v>2161</v>
      </c>
      <c r="C1207" s="2521"/>
      <c r="D1207" s="2405" t="s">
        <v>5791</v>
      </c>
      <c r="E1207" s="2447" t="s">
        <v>3501</v>
      </c>
      <c r="F1207" s="2405" t="s">
        <v>2563</v>
      </c>
      <c r="G1207" s="2522">
        <f>+G1202*6</f>
        <v>0</v>
      </c>
      <c r="H1207" s="2517">
        <v>36000</v>
      </c>
      <c r="I1207" s="2517"/>
      <c r="J1207" s="2517">
        <v>33342.43</v>
      </c>
      <c r="K1207" s="2517">
        <v>4443.237196</v>
      </c>
      <c r="L1207" s="2517">
        <f t="shared" ref="L1207:L1216" si="201">H1207*G1207</f>
        <v>0</v>
      </c>
      <c r="M1207" s="2517">
        <f t="shared" ref="M1207:M1216" si="202">I1207*G1207</f>
        <v>0</v>
      </c>
      <c r="N1207" s="2517">
        <f t="shared" ref="N1207:N1216" si="203">J1207*G1207</f>
        <v>0</v>
      </c>
      <c r="O1207" s="2517">
        <f t="shared" ref="O1207:O1216" si="204">K1207*G1207</f>
        <v>0</v>
      </c>
      <c r="P1207" s="2642"/>
      <c r="Q1207" s="2519"/>
      <c r="R1207" s="2519"/>
      <c r="S1207" s="2519"/>
    </row>
    <row r="1208" spans="1:19" s="2358" customFormat="1" outlineLevel="1">
      <c r="A1208" s="2435" t="str">
        <f t="shared" si="200"/>
        <v/>
      </c>
      <c r="B1208" s="2514" t="s">
        <v>1307</v>
      </c>
      <c r="C1208" s="2521"/>
      <c r="D1208" s="2405" t="s">
        <v>5789</v>
      </c>
      <c r="E1208" s="2447" t="s">
        <v>3499</v>
      </c>
      <c r="F1208" s="2405" t="s">
        <v>2563</v>
      </c>
      <c r="G1208" s="2522">
        <f>G1202*2</f>
        <v>0</v>
      </c>
      <c r="H1208" s="2517">
        <v>21000</v>
      </c>
      <c r="I1208" s="2517"/>
      <c r="J1208" s="2517">
        <v>21217.910000000003</v>
      </c>
      <c r="K1208" s="2517">
        <v>3332.427897</v>
      </c>
      <c r="L1208" s="2517">
        <f t="shared" si="201"/>
        <v>0</v>
      </c>
      <c r="M1208" s="2517">
        <f t="shared" si="202"/>
        <v>0</v>
      </c>
      <c r="N1208" s="2517">
        <f t="shared" si="203"/>
        <v>0</v>
      </c>
      <c r="O1208" s="2517">
        <f t="shared" si="204"/>
        <v>0</v>
      </c>
      <c r="P1208" s="2642"/>
      <c r="Q1208" s="2519"/>
      <c r="R1208" s="2519"/>
      <c r="S1208" s="2519"/>
    </row>
    <row r="1209" spans="1:19" s="2358" customFormat="1" outlineLevel="1">
      <c r="A1209" s="2435" t="str">
        <f t="shared" si="200"/>
        <v/>
      </c>
      <c r="B1209" s="2514" t="s">
        <v>91</v>
      </c>
      <c r="C1209" s="2521"/>
      <c r="D1209" s="2405">
        <v>0</v>
      </c>
      <c r="E1209" s="2447" t="s">
        <v>3515</v>
      </c>
      <c r="F1209" s="2405" t="s">
        <v>2563</v>
      </c>
      <c r="G1209" s="2522">
        <f>G1207</f>
        <v>0</v>
      </c>
      <c r="H1209" s="2517">
        <v>5000</v>
      </c>
      <c r="I1209" s="2517"/>
      <c r="J1209" s="2517">
        <v>0</v>
      </c>
      <c r="K1209" s="2517">
        <v>0</v>
      </c>
      <c r="L1209" s="2517">
        <f t="shared" si="201"/>
        <v>0</v>
      </c>
      <c r="M1209" s="2517">
        <f t="shared" si="202"/>
        <v>0</v>
      </c>
      <c r="N1209" s="2517">
        <f t="shared" si="203"/>
        <v>0</v>
      </c>
      <c r="O1209" s="2517">
        <f t="shared" si="204"/>
        <v>0</v>
      </c>
      <c r="P1209" s="2642"/>
      <c r="Q1209" s="2519"/>
      <c r="R1209" s="2519"/>
      <c r="S1209" s="2519"/>
    </row>
    <row r="1210" spans="1:19" s="2358" customFormat="1" outlineLevel="1">
      <c r="A1210" s="2435" t="str">
        <f t="shared" si="200"/>
        <v/>
      </c>
      <c r="B1210" s="2514" t="s">
        <v>94</v>
      </c>
      <c r="C1210" s="2521"/>
      <c r="D1210" s="2405">
        <v>0</v>
      </c>
      <c r="E1210" s="2447" t="s">
        <v>3513</v>
      </c>
      <c r="F1210" s="2405" t="s">
        <v>2563</v>
      </c>
      <c r="G1210" s="2522">
        <f>G1208</f>
        <v>0</v>
      </c>
      <c r="H1210" s="2517">
        <v>4000</v>
      </c>
      <c r="I1210" s="2517"/>
      <c r="J1210" s="2517">
        <v>0</v>
      </c>
      <c r="K1210" s="2517">
        <v>0</v>
      </c>
      <c r="L1210" s="2517">
        <f t="shared" si="201"/>
        <v>0</v>
      </c>
      <c r="M1210" s="2517">
        <f t="shared" si="202"/>
        <v>0</v>
      </c>
      <c r="N1210" s="2517">
        <f t="shared" si="203"/>
        <v>0</v>
      </c>
      <c r="O1210" s="2517">
        <f t="shared" si="204"/>
        <v>0</v>
      </c>
      <c r="P1210" s="2642"/>
      <c r="Q1210" s="2519"/>
      <c r="R1210" s="2519"/>
      <c r="S1210" s="2519"/>
    </row>
    <row r="1211" spans="1:19" s="2358" customFormat="1" outlineLevel="1">
      <c r="A1211" s="2435" t="str">
        <f t="shared" si="200"/>
        <v/>
      </c>
      <c r="B1211" s="2514" t="s">
        <v>1042</v>
      </c>
      <c r="C1211" s="2521"/>
      <c r="D1211" s="2405">
        <v>0</v>
      </c>
      <c r="E1211" s="2447" t="s">
        <v>3549</v>
      </c>
      <c r="F1211" s="2405" t="s">
        <v>1827</v>
      </c>
      <c r="G1211" s="2674">
        <f>+G1202*4</f>
        <v>0</v>
      </c>
      <c r="H1211" s="2517">
        <v>103700</v>
      </c>
      <c r="I1211" s="2517"/>
      <c r="J1211" s="2517">
        <v>0</v>
      </c>
      <c r="K1211" s="2517">
        <v>0</v>
      </c>
      <c r="L1211" s="2517">
        <f t="shared" si="201"/>
        <v>0</v>
      </c>
      <c r="M1211" s="2517">
        <f t="shared" si="202"/>
        <v>0</v>
      </c>
      <c r="N1211" s="2517">
        <f t="shared" si="203"/>
        <v>0</v>
      </c>
      <c r="O1211" s="2517">
        <f t="shared" si="204"/>
        <v>0</v>
      </c>
      <c r="P1211" s="2642"/>
      <c r="Q1211" s="2519"/>
      <c r="R1211" s="2519"/>
      <c r="S1211" s="2519"/>
    </row>
    <row r="1212" spans="1:19" s="2358" customFormat="1" outlineLevel="1">
      <c r="A1212" s="2435" t="str">
        <f t="shared" si="200"/>
        <v/>
      </c>
      <c r="B1212" s="2505" t="s">
        <v>731</v>
      </c>
      <c r="C1212" s="2521"/>
      <c r="D1212" s="2405">
        <v>0</v>
      </c>
      <c r="E1212" s="2447" t="s">
        <v>5319</v>
      </c>
      <c r="F1212" s="2405" t="s">
        <v>2445</v>
      </c>
      <c r="G1212" s="2522">
        <f>+G1202*2</f>
        <v>0</v>
      </c>
      <c r="H1212" s="2517">
        <v>50000</v>
      </c>
      <c r="I1212" s="2517"/>
      <c r="J1212" s="2517">
        <v>0</v>
      </c>
      <c r="K1212" s="2517">
        <v>0</v>
      </c>
      <c r="L1212" s="2517">
        <f t="shared" si="201"/>
        <v>0</v>
      </c>
      <c r="M1212" s="2517">
        <f t="shared" si="202"/>
        <v>0</v>
      </c>
      <c r="N1212" s="2517">
        <f t="shared" si="203"/>
        <v>0</v>
      </c>
      <c r="O1212" s="2517">
        <f t="shared" si="204"/>
        <v>0</v>
      </c>
      <c r="P1212" s="2642"/>
      <c r="Q1212" s="2675"/>
      <c r="R1212" s="2519"/>
      <c r="S1212" s="2519"/>
    </row>
    <row r="1213" spans="1:19" s="2358" customFormat="1" outlineLevel="1">
      <c r="A1213" s="2435" t="str">
        <f t="shared" si="200"/>
        <v/>
      </c>
      <c r="B1213" s="2514" t="s">
        <v>2173</v>
      </c>
      <c r="C1213" s="2521"/>
      <c r="D1213" s="2405">
        <v>0</v>
      </c>
      <c r="E1213" s="2447" t="s">
        <v>3593</v>
      </c>
      <c r="F1213" s="2405" t="s">
        <v>2563</v>
      </c>
      <c r="G1213" s="2522">
        <f>+G1202</f>
        <v>0</v>
      </c>
      <c r="H1213" s="2517">
        <v>41900</v>
      </c>
      <c r="I1213" s="2517"/>
      <c r="J1213" s="2517">
        <v>0</v>
      </c>
      <c r="K1213" s="2517">
        <v>0</v>
      </c>
      <c r="L1213" s="2517">
        <f t="shared" si="201"/>
        <v>0</v>
      </c>
      <c r="M1213" s="2517">
        <f t="shared" si="202"/>
        <v>0</v>
      </c>
      <c r="N1213" s="2517">
        <f t="shared" si="203"/>
        <v>0</v>
      </c>
      <c r="O1213" s="2517">
        <f t="shared" si="204"/>
        <v>0</v>
      </c>
      <c r="P1213" s="2642"/>
      <c r="Q1213" s="2519"/>
      <c r="R1213" s="2519"/>
      <c r="S1213" s="2519"/>
    </row>
    <row r="1214" spans="1:19" s="2358" customFormat="1" outlineLevel="1">
      <c r="A1214" s="2435" t="str">
        <f t="shared" si="200"/>
        <v/>
      </c>
      <c r="B1214" s="2514" t="s">
        <v>2174</v>
      </c>
      <c r="C1214" s="2521"/>
      <c r="D1214" s="2405">
        <v>0</v>
      </c>
      <c r="E1214" s="2447" t="s">
        <v>3597</v>
      </c>
      <c r="F1214" s="2405" t="s">
        <v>2563</v>
      </c>
      <c r="G1214" s="2522">
        <f>G1213</f>
        <v>0</v>
      </c>
      <c r="H1214" s="2517">
        <v>41900</v>
      </c>
      <c r="I1214" s="2517"/>
      <c r="J1214" s="2517">
        <v>0</v>
      </c>
      <c r="K1214" s="2517">
        <v>0</v>
      </c>
      <c r="L1214" s="2517">
        <f t="shared" si="201"/>
        <v>0</v>
      </c>
      <c r="M1214" s="2517">
        <f t="shared" si="202"/>
        <v>0</v>
      </c>
      <c r="N1214" s="2517">
        <f t="shared" si="203"/>
        <v>0</v>
      </c>
      <c r="O1214" s="2517">
        <f t="shared" si="204"/>
        <v>0</v>
      </c>
      <c r="P1214" s="2642"/>
      <c r="Q1214" s="2519"/>
      <c r="R1214" s="2519"/>
      <c r="S1214" s="2519"/>
    </row>
    <row r="1215" spans="1:19" s="2358" customFormat="1" outlineLevel="1">
      <c r="A1215" s="2435" t="str">
        <f t="shared" si="200"/>
        <v/>
      </c>
      <c r="B1215" s="2514" t="s">
        <v>2080</v>
      </c>
      <c r="C1215" s="2521"/>
      <c r="D1215" s="2405">
        <v>0</v>
      </c>
      <c r="E1215" s="2447" t="s">
        <v>3588</v>
      </c>
      <c r="F1215" s="2405" t="s">
        <v>3589</v>
      </c>
      <c r="G1215" s="2522">
        <f>+G1202</f>
        <v>0</v>
      </c>
      <c r="H1215" s="2517">
        <v>11500</v>
      </c>
      <c r="I1215" s="2517"/>
      <c r="J1215" s="2517">
        <v>0</v>
      </c>
      <c r="K1215" s="2517">
        <v>0</v>
      </c>
      <c r="L1215" s="2517">
        <f t="shared" si="201"/>
        <v>0</v>
      </c>
      <c r="M1215" s="2517">
        <f t="shared" si="202"/>
        <v>0</v>
      </c>
      <c r="N1215" s="2517">
        <f t="shared" si="203"/>
        <v>0</v>
      </c>
      <c r="O1215" s="2517">
        <f t="shared" si="204"/>
        <v>0</v>
      </c>
      <c r="P1215" s="2642"/>
      <c r="Q1215" s="2519"/>
      <c r="R1215" s="2519"/>
      <c r="S1215" s="2519"/>
    </row>
    <row r="1216" spans="1:19" s="2358" customFormat="1" outlineLevel="1">
      <c r="A1216" s="2435" t="str">
        <f t="shared" si="200"/>
        <v/>
      </c>
      <c r="B1216" s="2505" t="s">
        <v>6</v>
      </c>
      <c r="C1216" s="2521"/>
      <c r="D1216" s="2405"/>
      <c r="E1216" s="2447" t="s">
        <v>3585</v>
      </c>
      <c r="F1216" s="2405" t="s">
        <v>5868</v>
      </c>
      <c r="G1216" s="2522">
        <f>G1202*2</f>
        <v>0</v>
      </c>
      <c r="H1216" s="2517">
        <v>45000</v>
      </c>
      <c r="I1216" s="2517"/>
      <c r="J1216" s="2517"/>
      <c r="K1216" s="2517"/>
      <c r="L1216" s="2517">
        <f t="shared" si="201"/>
        <v>0</v>
      </c>
      <c r="M1216" s="2517">
        <f t="shared" si="202"/>
        <v>0</v>
      </c>
      <c r="N1216" s="2517">
        <f t="shared" si="203"/>
        <v>0</v>
      </c>
      <c r="O1216" s="2517">
        <f t="shared" si="204"/>
        <v>0</v>
      </c>
      <c r="P1216" s="2518"/>
      <c r="Q1216" s="2519"/>
      <c r="R1216" s="2519"/>
      <c r="S1216" s="2519"/>
    </row>
    <row r="1217" spans="1:19" s="2358" customFormat="1" outlineLevel="1">
      <c r="A1217" s="2435" t="str">
        <f t="shared" si="200"/>
        <v/>
      </c>
      <c r="B1217" s="2514" t="s">
        <v>1351</v>
      </c>
      <c r="C1217" s="2521"/>
      <c r="D1217" s="2405">
        <v>0</v>
      </c>
      <c r="E1217" s="2447" t="s">
        <v>3536</v>
      </c>
      <c r="F1217" s="2405" t="s">
        <v>3537</v>
      </c>
      <c r="G1217" s="2522">
        <f>+G1202</f>
        <v>0</v>
      </c>
      <c r="H1217" s="2517">
        <v>15000</v>
      </c>
      <c r="I1217" s="2517"/>
      <c r="J1217" s="2517">
        <v>0</v>
      </c>
      <c r="K1217" s="2517">
        <v>0</v>
      </c>
      <c r="L1217" s="2517">
        <f>H1217*G1217</f>
        <v>0</v>
      </c>
      <c r="M1217" s="2517">
        <f>I1217*G1217</f>
        <v>0</v>
      </c>
      <c r="N1217" s="2517">
        <f>J1217*G1217</f>
        <v>0</v>
      </c>
      <c r="O1217" s="2517">
        <f>K1217*G1217</f>
        <v>0</v>
      </c>
      <c r="P1217" s="2518"/>
      <c r="Q1217" s="2519"/>
      <c r="R1217" s="2519"/>
      <c r="S1217" s="2519"/>
    </row>
    <row r="1218" spans="1:19" s="2358" customFormat="1" outlineLevel="1">
      <c r="A1218" s="2435" t="str">
        <f t="shared" si="200"/>
        <v/>
      </c>
      <c r="B1218" s="2505" t="s">
        <v>672</v>
      </c>
      <c r="C1218" s="2521"/>
      <c r="D1218" s="2405">
        <v>0</v>
      </c>
      <c r="E1218" s="2447" t="s">
        <v>5863</v>
      </c>
      <c r="F1218" s="2405" t="s">
        <v>3584</v>
      </c>
      <c r="G1218" s="2522">
        <f>G1202*1</f>
        <v>0</v>
      </c>
      <c r="H1218" s="2517">
        <v>6500</v>
      </c>
      <c r="I1218" s="2517"/>
      <c r="J1218" s="2517">
        <v>0</v>
      </c>
      <c r="K1218" s="2517">
        <v>0</v>
      </c>
      <c r="L1218" s="2517">
        <f>H1218*G1218</f>
        <v>0</v>
      </c>
      <c r="M1218" s="2517">
        <f>I1218*G1218</f>
        <v>0</v>
      </c>
      <c r="N1218" s="2517">
        <f>J1218*G1218</f>
        <v>0</v>
      </c>
      <c r="O1218" s="2517">
        <f>K1218*G1218</f>
        <v>0</v>
      </c>
      <c r="P1218" s="2642"/>
      <c r="Q1218" s="2519"/>
      <c r="R1218" s="2519"/>
      <c r="S1218" s="2519"/>
    </row>
    <row r="1219" spans="1:19" s="2358" customFormat="1" outlineLevel="1">
      <c r="A1219" s="2435" t="str">
        <f t="shared" si="200"/>
        <v/>
      </c>
      <c r="B1219" s="2505" t="s">
        <v>2010</v>
      </c>
      <c r="C1219" s="2521"/>
      <c r="D1219" s="2405" t="s">
        <v>5634</v>
      </c>
      <c r="E1219" s="2447" t="s">
        <v>6424</v>
      </c>
      <c r="F1219" s="2405" t="s">
        <v>1827</v>
      </c>
      <c r="G1219" s="2522">
        <f>G1204+G1205</f>
        <v>0</v>
      </c>
      <c r="H1219" s="2517">
        <v>0</v>
      </c>
      <c r="I1219" s="2517"/>
      <c r="J1219" s="2517">
        <v>33396</v>
      </c>
      <c r="K1219" s="2517">
        <v>0</v>
      </c>
      <c r="L1219" s="2517">
        <f>H1219*G1219</f>
        <v>0</v>
      </c>
      <c r="M1219" s="2517">
        <f>I1219*G1219</f>
        <v>0</v>
      </c>
      <c r="N1219" s="2517">
        <f>J1219*G1219</f>
        <v>0</v>
      </c>
      <c r="O1219" s="2517">
        <f>K1219*G1219</f>
        <v>0</v>
      </c>
      <c r="P1219" s="2642"/>
      <c r="Q1219" s="2519"/>
      <c r="R1219" s="2519"/>
      <c r="S1219" s="2519"/>
    </row>
    <row r="1220" spans="1:19" s="2358" customFormat="1" outlineLevel="1">
      <c r="A1220" s="2435">
        <f>+IF(L1220+N1220+O1220&gt;0,1,0)</f>
        <v>0</v>
      </c>
      <c r="B1220" s="2610"/>
      <c r="C1220" s="2676"/>
      <c r="D1220" s="2677"/>
      <c r="E1220" s="2652"/>
      <c r="F1220" s="2890"/>
      <c r="G1220" s="2891"/>
      <c r="H1220" s="2890"/>
      <c r="I1220" s="2890"/>
      <c r="J1220" s="2900" t="s">
        <v>6205</v>
      </c>
      <c r="K1220" s="2900"/>
      <c r="L1220" s="2678">
        <f>SUM(L1116:L1219)</f>
        <v>0</v>
      </c>
      <c r="M1220" s="2678">
        <f>SUM(M1116:M1219)</f>
        <v>0</v>
      </c>
      <c r="N1220" s="2678">
        <f>SUM(N1116:N1219)</f>
        <v>0</v>
      </c>
      <c r="O1220" s="2678">
        <f>SUM(O1116:O1219)</f>
        <v>0</v>
      </c>
      <c r="P1220" s="2649"/>
      <c r="Q1220" s="2519"/>
      <c r="R1220" s="2519"/>
      <c r="S1220" s="2519"/>
    </row>
    <row r="1221" spans="1:19" s="2358" customFormat="1" ht="13.8" customHeight="1">
      <c r="A1221" s="2435"/>
      <c r="B1221" s="2638"/>
      <c r="C1221" s="2886"/>
      <c r="D1221" s="2639"/>
      <c r="E1221" s="2887"/>
      <c r="F1221" s="2639"/>
      <c r="G1221" s="2888"/>
      <c r="H1221" s="2519"/>
      <c r="I1221" s="2519"/>
      <c r="J1221" s="2519"/>
      <c r="K1221" s="2519"/>
      <c r="L1221" s="2519"/>
      <c r="M1221" s="2519"/>
      <c r="N1221" s="2519"/>
      <c r="O1221" s="2519"/>
      <c r="P1221" s="2639"/>
      <c r="Q1221" s="2519"/>
      <c r="R1221" s="2519"/>
      <c r="S1221" s="2519"/>
    </row>
    <row r="1222" spans="1:19" s="2358" customFormat="1" outlineLevel="1">
      <c r="A1222" s="2435" t="str">
        <f>A1100</f>
        <v/>
      </c>
      <c r="B1222" s="2640"/>
      <c r="C1222" s="2877" t="str">
        <f>"BẢNG TỔNG HỢP VẬT LIỆU, NHÂN CÔNG, MÁY THI CÔNG: "&amp;K10&amp;" TRẠM 3P_160KVA"</f>
        <v>BẢNG TỔNG HỢP VẬT LIỆU, NHÂN CÔNG, MÁY THI CÔNG: 0 TRẠM 3P_160KVA</v>
      </c>
      <c r="D1222" s="2886"/>
      <c r="E1222" s="2886"/>
      <c r="F1222" s="2886"/>
      <c r="G1222" s="2886"/>
      <c r="H1222" s="2781"/>
      <c r="I1222" s="2781"/>
      <c r="J1222" s="2781"/>
      <c r="K1222" s="2781"/>
      <c r="L1222" s="2781"/>
      <c r="M1222" s="2781"/>
      <c r="N1222" s="2781"/>
      <c r="O1222" s="2781"/>
      <c r="P1222" s="2639"/>
      <c r="Q1222" s="2519"/>
      <c r="R1222" s="2519"/>
      <c r="S1222" s="2519"/>
    </row>
    <row r="1223" spans="1:19" s="2358" customFormat="1" outlineLevel="1">
      <c r="A1223" s="2435" t="str">
        <f>A1100</f>
        <v/>
      </c>
      <c r="B1223" s="2514" t="s">
        <v>2290</v>
      </c>
      <c r="C1223" s="2901" t="s">
        <v>1712</v>
      </c>
      <c r="D1223" s="2902" t="s">
        <v>2605</v>
      </c>
      <c r="E1223" s="2904" t="s">
        <v>2606</v>
      </c>
      <c r="F1223" s="2901" t="s">
        <v>2601</v>
      </c>
      <c r="G1223" s="2362" t="s">
        <v>6187</v>
      </c>
      <c r="H1223" s="2365" t="s">
        <v>6188</v>
      </c>
      <c r="I1223" s="2872"/>
      <c r="J1223" s="2872"/>
      <c r="K1223" s="2873"/>
      <c r="L1223" s="2365" t="s">
        <v>6189</v>
      </c>
      <c r="M1223" s="2872"/>
      <c r="N1223" s="2872"/>
      <c r="O1223" s="2873"/>
      <c r="P1223" s="2901" t="s">
        <v>2607</v>
      </c>
      <c r="Q1223" s="2519"/>
      <c r="R1223" s="2519"/>
      <c r="S1223" s="2519"/>
    </row>
    <row r="1224" spans="1:19" s="2358" customFormat="1" outlineLevel="1">
      <c r="A1224" s="2435" t="str">
        <f>A1223</f>
        <v/>
      </c>
      <c r="B1224" s="2514"/>
      <c r="C1224" s="2901"/>
      <c r="D1224" s="2903"/>
      <c r="E1224" s="2905"/>
      <c r="F1224" s="2901"/>
      <c r="G1224" s="2364" t="s">
        <v>2292</v>
      </c>
      <c r="H1224" s="2365" t="s">
        <v>6190</v>
      </c>
      <c r="I1224" s="2365" t="s">
        <v>6191</v>
      </c>
      <c r="J1224" s="2365" t="s">
        <v>6192</v>
      </c>
      <c r="K1224" s="2365" t="s">
        <v>6193</v>
      </c>
      <c r="L1224" s="2365" t="s">
        <v>6190</v>
      </c>
      <c r="M1224" s="2365" t="s">
        <v>6191</v>
      </c>
      <c r="N1224" s="2365" t="s">
        <v>6192</v>
      </c>
      <c r="O1224" s="2365" t="s">
        <v>6193</v>
      </c>
      <c r="P1224" s="2901"/>
      <c r="Q1224" s="2519"/>
      <c r="R1224" s="2519"/>
      <c r="S1224" s="2519"/>
    </row>
    <row r="1225" spans="1:19" s="2358" customFormat="1" outlineLevel="1">
      <c r="A1225" s="2435" t="str">
        <f>A1224</f>
        <v/>
      </c>
      <c r="B1225" s="2514"/>
      <c r="C1225" s="2366"/>
      <c r="D1225" s="2367"/>
      <c r="E1225" s="2368" t="s">
        <v>3690</v>
      </c>
      <c r="F1225" s="2369"/>
      <c r="G1225" s="2369"/>
      <c r="H1225" s="2369"/>
      <c r="I1225" s="2369"/>
      <c r="J1225" s="2369"/>
      <c r="K1225" s="2369"/>
      <c r="L1225" s="2369"/>
      <c r="M1225" s="2369"/>
      <c r="N1225" s="2369"/>
      <c r="O1225" s="2367"/>
      <c r="P1225" s="2370"/>
      <c r="Q1225" s="2519"/>
      <c r="R1225" s="2519"/>
      <c r="S1225" s="2519"/>
    </row>
    <row r="1226" spans="1:19" s="2358" customFormat="1" outlineLevel="1">
      <c r="A1226" s="2435" t="str">
        <f>IF(G1226&lt;&gt;0,1,"")</f>
        <v/>
      </c>
      <c r="B1226" s="2505" t="str">
        <f>IF($F$8=15,"tr160","tr1601")</f>
        <v>tr1601</v>
      </c>
      <c r="C1226" s="2521">
        <f>IF(G1226&gt;0,1,0)</f>
        <v>0</v>
      </c>
      <c r="D1226" s="2405" t="s">
        <v>5652</v>
      </c>
      <c r="E1226" s="2447" t="s">
        <v>3345</v>
      </c>
      <c r="F1226" s="2405" t="s">
        <v>3318</v>
      </c>
      <c r="G1226" s="2679">
        <f>$K$10</f>
        <v>0</v>
      </c>
      <c r="H1226" s="2612">
        <v>0</v>
      </c>
      <c r="I1226" s="2612"/>
      <c r="J1226" s="2612">
        <v>1190887</v>
      </c>
      <c r="K1226" s="2612">
        <v>284508</v>
      </c>
      <c r="L1226" s="2613">
        <f t="shared" ref="L1226:L1235" si="205">H1226*G1226</f>
        <v>0</v>
      </c>
      <c r="M1226" s="2613">
        <f t="shared" ref="M1226:M1235" si="206">I1226*G1226</f>
        <v>0</v>
      </c>
      <c r="N1226" s="2613">
        <f t="shared" ref="N1226:N1235" si="207">J1226*G1226</f>
        <v>0</v>
      </c>
      <c r="O1226" s="2614">
        <f t="shared" ref="O1226:O1235" si="208">K1226*G1226</f>
        <v>0</v>
      </c>
      <c r="P1226" s="2641"/>
      <c r="Q1226" s="2519"/>
      <c r="R1226" s="2519"/>
      <c r="S1226" s="2519"/>
    </row>
    <row r="1227" spans="1:19" s="2358" customFormat="1" outlineLevel="1">
      <c r="A1227" s="2435" t="str">
        <f>IF(G1227&lt;&gt;0,1,"")</f>
        <v/>
      </c>
      <c r="B1227" s="2505" t="str">
        <f>IF($F$8=15,"tr160","tr1601")</f>
        <v>tr1601</v>
      </c>
      <c r="C1227" s="2521">
        <f>IF(G1227&gt;0,1,0)</f>
        <v>0</v>
      </c>
      <c r="D1227" s="2405" t="s">
        <v>5652</v>
      </c>
      <c r="E1227" s="2447" t="s">
        <v>6298</v>
      </c>
      <c r="F1227" s="2405" t="s">
        <v>3318</v>
      </c>
      <c r="G1227" s="2679">
        <f>$K$10*0</f>
        <v>0</v>
      </c>
      <c r="H1227" s="2612">
        <v>450000000</v>
      </c>
      <c r="I1227" s="2612"/>
      <c r="J1227" s="2612">
        <v>1190887</v>
      </c>
      <c r="K1227" s="2612">
        <v>284508</v>
      </c>
      <c r="L1227" s="2613">
        <f>H1227*G1227</f>
        <v>0</v>
      </c>
      <c r="M1227" s="2613">
        <f>I1227*G1227</f>
        <v>0</v>
      </c>
      <c r="N1227" s="2613">
        <f>J1227*G1227</f>
        <v>0</v>
      </c>
      <c r="O1227" s="2614">
        <f>K1227*G1227</f>
        <v>0</v>
      </c>
      <c r="P1227" s="2641"/>
      <c r="Q1227" s="2519"/>
      <c r="R1227" s="2519"/>
      <c r="S1227" s="2519"/>
    </row>
    <row r="1228" spans="1:19" s="2358" customFormat="1" outlineLevel="1">
      <c r="A1228" s="2435" t="str">
        <f t="shared" ref="A1228:A1235" si="209">IF(G1228&lt;&gt;0,1,"")</f>
        <v/>
      </c>
      <c r="B1228" s="2371" t="str">
        <f>"FCO100-"&amp;$F$8</f>
        <v>FCO100-22</v>
      </c>
      <c r="C1228" s="2521">
        <f>IF(G1228&gt;0,C1226+1,C1226)</f>
        <v>0</v>
      </c>
      <c r="D1228" s="2405" t="s">
        <v>5660</v>
      </c>
      <c r="E1228" s="2447" t="s">
        <v>95</v>
      </c>
      <c r="F1228" s="2405" t="s">
        <v>2563</v>
      </c>
      <c r="G1228" s="2679">
        <f>$G$1226*3</f>
        <v>0</v>
      </c>
      <c r="H1228" s="2517">
        <v>2244280</v>
      </c>
      <c r="I1228" s="2517">
        <v>0</v>
      </c>
      <c r="J1228" s="2517">
        <v>222639.99999999997</v>
      </c>
      <c r="K1228" s="2517">
        <v>0</v>
      </c>
      <c r="L1228" s="2517">
        <f t="shared" si="205"/>
        <v>0</v>
      </c>
      <c r="M1228" s="2517">
        <f t="shared" si="206"/>
        <v>0</v>
      </c>
      <c r="N1228" s="2517">
        <f t="shared" si="207"/>
        <v>0</v>
      </c>
      <c r="O1228" s="2517">
        <f t="shared" si="208"/>
        <v>0</v>
      </c>
      <c r="P1228" s="2642"/>
      <c r="Q1228" s="2519"/>
      <c r="R1228" s="2519"/>
      <c r="S1228" s="2519"/>
    </row>
    <row r="1229" spans="1:19" s="2358" customFormat="1" outlineLevel="1">
      <c r="A1229" s="2435" t="str">
        <f t="shared" si="209"/>
        <v/>
      </c>
      <c r="B1229" s="2505" t="s">
        <v>1027</v>
      </c>
      <c r="C1229" s="2521">
        <f t="shared" ref="C1229:C1235" si="210">IF(G1229&gt;0,C1228+1,C1228)</f>
        <v>0</v>
      </c>
      <c r="D1229" s="2405">
        <v>0</v>
      </c>
      <c r="E1229" s="2447" t="s">
        <v>3442</v>
      </c>
      <c r="F1229" s="2405" t="s">
        <v>2608</v>
      </c>
      <c r="G1229" s="2679">
        <f>G1228</f>
        <v>0</v>
      </c>
      <c r="H1229" s="2517">
        <v>84000</v>
      </c>
      <c r="I1229" s="2517">
        <v>0</v>
      </c>
      <c r="J1229" s="2517">
        <v>0</v>
      </c>
      <c r="K1229" s="2517">
        <v>0</v>
      </c>
      <c r="L1229" s="2517">
        <f t="shared" si="205"/>
        <v>0</v>
      </c>
      <c r="M1229" s="2517">
        <f t="shared" si="206"/>
        <v>0</v>
      </c>
      <c r="N1229" s="2517">
        <f t="shared" si="207"/>
        <v>0</v>
      </c>
      <c r="O1229" s="2517">
        <f t="shared" si="208"/>
        <v>0</v>
      </c>
      <c r="P1229" s="2642"/>
      <c r="Q1229" s="2519"/>
      <c r="R1229" s="2519"/>
      <c r="S1229" s="2519"/>
    </row>
    <row r="1230" spans="1:19" s="2358" customFormat="1" outlineLevel="1">
      <c r="A1230" s="2435" t="str">
        <f t="shared" si="209"/>
        <v/>
      </c>
      <c r="B1230" s="2514" t="str">
        <f>"LA"&amp;$F$6</f>
        <v>LA18</v>
      </c>
      <c r="C1230" s="2521">
        <f t="shared" si="210"/>
        <v>0</v>
      </c>
      <c r="D1230" s="2405" t="s">
        <v>5664</v>
      </c>
      <c r="E1230" s="2447" t="s">
        <v>1193</v>
      </c>
      <c r="F1230" s="2405" t="s">
        <v>2563</v>
      </c>
      <c r="G1230" s="2679">
        <f>G1228</f>
        <v>0</v>
      </c>
      <c r="H1230" s="2517">
        <v>1106000</v>
      </c>
      <c r="I1230" s="2517">
        <v>0</v>
      </c>
      <c r="J1230" s="2517">
        <v>83490</v>
      </c>
      <c r="K1230" s="2517">
        <v>0</v>
      </c>
      <c r="L1230" s="2517">
        <f t="shared" si="205"/>
        <v>0</v>
      </c>
      <c r="M1230" s="2517">
        <f t="shared" si="206"/>
        <v>0</v>
      </c>
      <c r="N1230" s="2517">
        <f t="shared" si="207"/>
        <v>0</v>
      </c>
      <c r="O1230" s="2517">
        <f t="shared" si="208"/>
        <v>0</v>
      </c>
      <c r="P1230" s="2642"/>
      <c r="Q1230" s="2519"/>
      <c r="R1230" s="2519"/>
      <c r="S1230" s="2519"/>
    </row>
    <row r="1231" spans="1:19" s="2358" customFormat="1" outlineLevel="1">
      <c r="A1231" s="2435" t="str">
        <f>IF(G1231&lt;&gt;0,1,"")</f>
        <v/>
      </c>
      <c r="B1231" s="2610" t="s">
        <v>710</v>
      </c>
      <c r="C1231" s="2521">
        <f>IF(G1231&gt;0,C1229+1,C1229)</f>
        <v>0</v>
      </c>
      <c r="D1231" s="2405">
        <v>0</v>
      </c>
      <c r="E1231" s="2447" t="s">
        <v>6299</v>
      </c>
      <c r="F1231" s="2405" t="s">
        <v>2563</v>
      </c>
      <c r="G1231" s="2679">
        <f>$G$1226*0</f>
        <v>0</v>
      </c>
      <c r="H1231" s="2517">
        <v>20000000</v>
      </c>
      <c r="I1231" s="2517">
        <v>0</v>
      </c>
      <c r="J1231" s="2517">
        <v>0</v>
      </c>
      <c r="K1231" s="2517">
        <v>0</v>
      </c>
      <c r="L1231" s="2517">
        <f>H1231*G1231</f>
        <v>0</v>
      </c>
      <c r="M1231" s="2517">
        <f>I1231*G1231</f>
        <v>0</v>
      </c>
      <c r="N1231" s="2517">
        <f>J1231*G1231</f>
        <v>0</v>
      </c>
      <c r="O1231" s="2517">
        <f>K1231*G1231</f>
        <v>0</v>
      </c>
      <c r="P1231" s="2642"/>
      <c r="Q1231" s="2519"/>
      <c r="R1231" s="2519"/>
      <c r="S1231" s="2519"/>
    </row>
    <row r="1232" spans="1:19" s="2358" customFormat="1" outlineLevel="1">
      <c r="A1232" s="2435" t="str">
        <f t="shared" si="209"/>
        <v/>
      </c>
      <c r="B1232" s="2610" t="s">
        <v>710</v>
      </c>
      <c r="C1232" s="2521">
        <f>IF(G1232&gt;0,C1230+1,C1230)</f>
        <v>0</v>
      </c>
      <c r="D1232" s="2405">
        <v>0</v>
      </c>
      <c r="E1232" s="2447" t="s">
        <v>5744</v>
      </c>
      <c r="F1232" s="2405" t="s">
        <v>2563</v>
      </c>
      <c r="G1232" s="2679">
        <f>$G$1226</f>
        <v>0</v>
      </c>
      <c r="H1232" s="2517">
        <v>4990000</v>
      </c>
      <c r="I1232" s="2517">
        <v>0</v>
      </c>
      <c r="J1232" s="2517"/>
      <c r="K1232" s="2517">
        <v>0</v>
      </c>
      <c r="L1232" s="2517">
        <f t="shared" si="205"/>
        <v>0</v>
      </c>
      <c r="M1232" s="2517">
        <f t="shared" si="206"/>
        <v>0</v>
      </c>
      <c r="N1232" s="2517">
        <f t="shared" si="207"/>
        <v>0</v>
      </c>
      <c r="O1232" s="2517">
        <f t="shared" si="208"/>
        <v>0</v>
      </c>
      <c r="P1232" s="2642"/>
      <c r="Q1232" s="2519"/>
      <c r="R1232" s="2519"/>
      <c r="S1232" s="2519"/>
    </row>
    <row r="1233" spans="1:19" s="2358" customFormat="1" outlineLevel="1">
      <c r="A1233" s="2435" t="str">
        <f>IF(G1233&lt;&gt;0,1,"")</f>
        <v/>
      </c>
      <c r="B1233" s="2610" t="s">
        <v>6300</v>
      </c>
      <c r="C1233" s="2521">
        <f t="shared" si="210"/>
        <v>0</v>
      </c>
      <c r="D1233" s="2405" t="s">
        <v>1025</v>
      </c>
      <c r="E1233" s="2447" t="s">
        <v>5687</v>
      </c>
      <c r="F1233" s="2405" t="s">
        <v>3388</v>
      </c>
      <c r="G1233" s="2679">
        <f>$G$1226*0</f>
        <v>0</v>
      </c>
      <c r="H1233" s="2517">
        <v>11869777</v>
      </c>
      <c r="I1233" s="2517">
        <v>0</v>
      </c>
      <c r="J1233" s="2517">
        <v>98101</v>
      </c>
      <c r="K1233" s="2517">
        <v>59254</v>
      </c>
      <c r="L1233" s="2517">
        <f>H1233*G1233</f>
        <v>0</v>
      </c>
      <c r="M1233" s="2517">
        <f>I1233*G1233</f>
        <v>0</v>
      </c>
      <c r="N1233" s="2517">
        <f>J1233*G1233</f>
        <v>0</v>
      </c>
      <c r="O1233" s="2517">
        <f>K1233*G1233</f>
        <v>0</v>
      </c>
      <c r="P1233" s="2642"/>
      <c r="Q1233" s="2519"/>
      <c r="R1233" s="2519"/>
      <c r="S1233" s="2519"/>
    </row>
    <row r="1234" spans="1:19" s="2358" customFormat="1" outlineLevel="1">
      <c r="A1234" s="2435" t="str">
        <f>IF(G1234&lt;&gt;0,1,"")</f>
        <v/>
      </c>
      <c r="B1234" s="2505" t="s">
        <v>1672</v>
      </c>
      <c r="C1234" s="2521">
        <f t="shared" si="210"/>
        <v>0</v>
      </c>
      <c r="D1234" s="2405">
        <v>0</v>
      </c>
      <c r="E1234" s="2447" t="s">
        <v>3378</v>
      </c>
      <c r="F1234" s="2405" t="s">
        <v>2563</v>
      </c>
      <c r="G1234" s="2680">
        <f>$G$1226*3</f>
        <v>0</v>
      </c>
      <c r="H1234" s="2517">
        <v>0</v>
      </c>
      <c r="I1234" s="2517">
        <v>0</v>
      </c>
      <c r="J1234" s="2517">
        <v>0</v>
      </c>
      <c r="K1234" s="2517">
        <v>0</v>
      </c>
      <c r="L1234" s="2517">
        <f>H1234*G1234</f>
        <v>0</v>
      </c>
      <c r="M1234" s="2517">
        <f>I1234*G1234</f>
        <v>0</v>
      </c>
      <c r="N1234" s="2517">
        <f>J1234*G1234</f>
        <v>0</v>
      </c>
      <c r="O1234" s="2517">
        <f>K1234*G1234</f>
        <v>0</v>
      </c>
      <c r="P1234" s="2644" t="s">
        <v>2609</v>
      </c>
      <c r="Q1234" s="2519"/>
      <c r="R1234" s="2519"/>
      <c r="S1234" s="2519"/>
    </row>
    <row r="1235" spans="1:19" s="2358" customFormat="1" outlineLevel="1">
      <c r="A1235" s="2435" t="str">
        <f t="shared" si="209"/>
        <v/>
      </c>
      <c r="B1235" s="2505" t="s">
        <v>1463</v>
      </c>
      <c r="C1235" s="2521">
        <f t="shared" si="210"/>
        <v>0</v>
      </c>
      <c r="D1235" s="2405">
        <v>0</v>
      </c>
      <c r="E1235" s="2447" t="s">
        <v>3459</v>
      </c>
      <c r="F1235" s="2405" t="s">
        <v>2563</v>
      </c>
      <c r="G1235" s="2680">
        <f>$G$1226</f>
        <v>0</v>
      </c>
      <c r="H1235" s="2517">
        <v>0</v>
      </c>
      <c r="I1235" s="2517">
        <v>0</v>
      </c>
      <c r="J1235" s="2517">
        <v>0</v>
      </c>
      <c r="K1235" s="2517">
        <v>0</v>
      </c>
      <c r="L1235" s="2517">
        <f t="shared" si="205"/>
        <v>0</v>
      </c>
      <c r="M1235" s="2613">
        <f t="shared" si="206"/>
        <v>0</v>
      </c>
      <c r="N1235" s="2613">
        <f t="shared" si="207"/>
        <v>0</v>
      </c>
      <c r="O1235" s="2614">
        <f t="shared" si="208"/>
        <v>0</v>
      </c>
      <c r="P1235" s="2645" t="s">
        <v>2609</v>
      </c>
      <c r="Q1235" s="2519"/>
      <c r="R1235" s="2519"/>
      <c r="S1235" s="2519"/>
    </row>
    <row r="1236" spans="1:19" s="2358" customFormat="1" outlineLevel="1">
      <c r="A1236" s="2435" t="str">
        <f>A1100</f>
        <v/>
      </c>
      <c r="B1236" s="2514"/>
      <c r="C1236" s="2646"/>
      <c r="D1236" s="2647"/>
      <c r="E1236" s="2648"/>
      <c r="F1236" s="2646"/>
      <c r="G1236" s="2889"/>
      <c r="H1236" s="2646"/>
      <c r="I1236" s="2646"/>
      <c r="J1236" s="2370" t="s">
        <v>6195</v>
      </c>
      <c r="K1236" s="2646"/>
      <c r="L1236" s="2648">
        <f>SUM(L1226:L1235)</f>
        <v>0</v>
      </c>
      <c r="M1236" s="2648">
        <f>SUM(M1226:M1235)</f>
        <v>0</v>
      </c>
      <c r="N1236" s="2648">
        <f>SUM(N1226:N1235)</f>
        <v>0</v>
      </c>
      <c r="O1236" s="2648">
        <f>SUM(O1226:O1235)</f>
        <v>0</v>
      </c>
      <c r="P1236" s="2649"/>
      <c r="Q1236" s="2519"/>
      <c r="R1236" s="2519"/>
      <c r="S1236" s="2519"/>
    </row>
    <row r="1237" spans="1:19" s="2358" customFormat="1" outlineLevel="1">
      <c r="A1237" s="2435" t="str">
        <f>A1100</f>
        <v/>
      </c>
      <c r="B1237" s="2514"/>
      <c r="C1237" s="2650"/>
      <c r="D1237" s="2651"/>
      <c r="E1237" s="2652" t="s">
        <v>3691</v>
      </c>
      <c r="F1237" s="2652"/>
      <c r="G1237" s="2653"/>
      <c r="H1237" s="2652"/>
      <c r="I1237" s="2652"/>
      <c r="J1237" s="2652"/>
      <c r="K1237" s="2652"/>
      <c r="L1237" s="2652"/>
      <c r="M1237" s="2652"/>
      <c r="N1237" s="2652"/>
      <c r="O1237" s="2651"/>
      <c r="P1237" s="2649"/>
      <c r="Q1237" s="2519"/>
      <c r="R1237" s="2519"/>
      <c r="S1237" s="2519"/>
    </row>
    <row r="1238" spans="1:19" s="2358" customFormat="1" outlineLevel="1">
      <c r="A1238" s="2435" t="str">
        <f t="shared" ref="A1238:A1256" si="211">IF(G1238&lt;&gt;0,1,"")</f>
        <v/>
      </c>
      <c r="B1238" s="2654"/>
      <c r="C1238" s="2655">
        <f>IF(G1238&gt;0,1,0)</f>
        <v>0</v>
      </c>
      <c r="D1238" s="2405"/>
      <c r="E1238" s="2656" t="s">
        <v>6196</v>
      </c>
      <c r="F1238" s="2657" t="s">
        <v>2283</v>
      </c>
      <c r="G1238" s="2658">
        <f>G1226*2*0</f>
        <v>0</v>
      </c>
      <c r="H1238" s="2657"/>
      <c r="I1238" s="2657"/>
      <c r="J1238" s="2657"/>
      <c r="K1238" s="2657"/>
      <c r="L1238" s="2658"/>
      <c r="M1238" s="2658"/>
      <c r="N1238" s="2658"/>
      <c r="O1238" s="2659"/>
      <c r="P1238" s="2642"/>
      <c r="Q1238" s="2519"/>
      <c r="R1238" s="2519"/>
      <c r="S1238" s="2519"/>
    </row>
    <row r="1239" spans="1:19" s="2358" customFormat="1" outlineLevel="1">
      <c r="A1239" s="2435" t="str">
        <f t="shared" si="211"/>
        <v/>
      </c>
      <c r="B1239" s="2610" t="s">
        <v>115</v>
      </c>
      <c r="C1239" s="2660"/>
      <c r="D1239" s="2405"/>
      <c r="E1239" s="2661" t="s">
        <v>3009</v>
      </c>
      <c r="F1239" s="2405" t="s">
        <v>2839</v>
      </c>
      <c r="G1239" s="2405">
        <f>G1238</f>
        <v>0</v>
      </c>
      <c r="H1239" s="2612">
        <v>4400000</v>
      </c>
      <c r="I1239" s="2511"/>
      <c r="J1239" s="2612"/>
      <c r="K1239" s="2511"/>
      <c r="L1239" s="2613">
        <f>H1239*G1239</f>
        <v>0</v>
      </c>
      <c r="M1239" s="2613">
        <f>I1239*G1239</f>
        <v>0</v>
      </c>
      <c r="N1239" s="2613">
        <f>J1239*G1239</f>
        <v>0</v>
      </c>
      <c r="O1239" s="2613">
        <f>K1239*G1239</f>
        <v>0</v>
      </c>
      <c r="P1239" s="2642"/>
      <c r="Q1239" s="2519"/>
      <c r="R1239" s="2519"/>
      <c r="S1239" s="2519"/>
    </row>
    <row r="1240" spans="1:19" s="2358" customFormat="1" outlineLevel="1">
      <c r="A1240" s="2435" t="str">
        <f t="shared" si="211"/>
        <v/>
      </c>
      <c r="B1240" s="2610" t="s">
        <v>1818</v>
      </c>
      <c r="C1240" s="2660"/>
      <c r="D1240" s="2405"/>
      <c r="E1240" s="2661" t="s">
        <v>2838</v>
      </c>
      <c r="F1240" s="2405" t="s">
        <v>2839</v>
      </c>
      <c r="G1240" s="2405">
        <f>G1239</f>
        <v>0</v>
      </c>
      <c r="H1240" s="2612">
        <v>17400</v>
      </c>
      <c r="I1240" s="2612"/>
      <c r="J1240" s="2511"/>
      <c r="K1240" s="2511"/>
      <c r="L1240" s="2613">
        <f>H1240*G1240</f>
        <v>0</v>
      </c>
      <c r="M1240" s="2613">
        <f>I1240*G1240</f>
        <v>0</v>
      </c>
      <c r="N1240" s="2613">
        <f>J1240*G1240</f>
        <v>0</v>
      </c>
      <c r="O1240" s="2613">
        <f>K1240*G1240</f>
        <v>0</v>
      </c>
      <c r="P1240" s="2642"/>
      <c r="Q1240" s="2519"/>
      <c r="R1240" s="2519"/>
      <c r="S1240" s="2519"/>
    </row>
    <row r="1241" spans="1:19" s="2358" customFormat="1" outlineLevel="1">
      <c r="A1241" s="2435" t="str">
        <f t="shared" si="211"/>
        <v/>
      </c>
      <c r="B1241" s="2610" t="s">
        <v>643</v>
      </c>
      <c r="C1241" s="2660"/>
      <c r="D1241" s="2405" t="s">
        <v>2133</v>
      </c>
      <c r="E1241" s="2661" t="s">
        <v>3185</v>
      </c>
      <c r="F1241" s="2405" t="s">
        <v>2839</v>
      </c>
      <c r="G1241" s="2405">
        <f>G1239</f>
        <v>0</v>
      </c>
      <c r="H1241" s="2661"/>
      <c r="I1241" s="2612"/>
      <c r="J1241" s="2612">
        <v>112286</v>
      </c>
      <c r="K1241" s="2612">
        <v>105970</v>
      </c>
      <c r="L1241" s="2613">
        <f>H1241*G1241</f>
        <v>0</v>
      </c>
      <c r="M1241" s="2613">
        <f>I1241*G1241</f>
        <v>0</v>
      </c>
      <c r="N1241" s="2613">
        <f>J1241*G1241</f>
        <v>0</v>
      </c>
      <c r="O1241" s="2613">
        <f>K1241*G1241</f>
        <v>0</v>
      </c>
      <c r="P1241" s="2642"/>
      <c r="Q1241" s="2519"/>
      <c r="R1241" s="2519"/>
      <c r="S1241" s="2519"/>
    </row>
    <row r="1242" spans="1:19" s="2358" customFormat="1" outlineLevel="1">
      <c r="A1242" s="2435" t="str">
        <f>IF(G1242&lt;&gt;0,1,"")</f>
        <v/>
      </c>
      <c r="B1242" s="2654"/>
      <c r="C1242" s="2655">
        <f>IF(G1242&gt;0,1,0)</f>
        <v>0</v>
      </c>
      <c r="D1242" s="2405"/>
      <c r="E1242" s="2656" t="s">
        <v>6291</v>
      </c>
      <c r="F1242" s="2657" t="s">
        <v>2283</v>
      </c>
      <c r="G1242" s="2658">
        <f>G1226*2*0</f>
        <v>0</v>
      </c>
      <c r="H1242" s="2657"/>
      <c r="I1242" s="2657"/>
      <c r="J1242" s="2657"/>
      <c r="K1242" s="2657"/>
      <c r="L1242" s="2658"/>
      <c r="M1242" s="2658"/>
      <c r="N1242" s="2658"/>
      <c r="O1242" s="2659"/>
      <c r="P1242" s="2518"/>
      <c r="Q1242" s="2519"/>
      <c r="R1242" s="2519"/>
      <c r="S1242" s="2519"/>
    </row>
    <row r="1243" spans="1:19" s="2358" customFormat="1" outlineLevel="1">
      <c r="A1243" s="2435" t="str">
        <f>IF(G1243&lt;&gt;0,1,"")</f>
        <v/>
      </c>
      <c r="B1243" s="2610" t="s">
        <v>114</v>
      </c>
      <c r="C1243" s="2660"/>
      <c r="D1243" s="2405"/>
      <c r="E1243" s="2661" t="s">
        <v>3008</v>
      </c>
      <c r="F1243" s="2405" t="s">
        <v>2839</v>
      </c>
      <c r="G1243" s="2405">
        <f>G1242</f>
        <v>0</v>
      </c>
      <c r="H1243" s="2612">
        <v>4200000</v>
      </c>
      <c r="I1243" s="2511"/>
      <c r="J1243" s="2612"/>
      <c r="K1243" s="2511"/>
      <c r="L1243" s="2613">
        <f>H1243*G1243</f>
        <v>0</v>
      </c>
      <c r="M1243" s="2613">
        <f>I1243*G1243</f>
        <v>0</v>
      </c>
      <c r="N1243" s="2613">
        <f>J1243*G1243</f>
        <v>0</v>
      </c>
      <c r="O1243" s="2613">
        <f>K1243*G1243</f>
        <v>0</v>
      </c>
      <c r="P1243" s="2518"/>
      <c r="Q1243" s="2519"/>
      <c r="R1243" s="2519"/>
      <c r="S1243" s="2519"/>
    </row>
    <row r="1244" spans="1:19" s="2358" customFormat="1" outlineLevel="1">
      <c r="A1244" s="2435" t="str">
        <f>IF(G1244&lt;&gt;0,1,"")</f>
        <v/>
      </c>
      <c r="B1244" s="2610" t="s">
        <v>1818</v>
      </c>
      <c r="C1244" s="2660"/>
      <c r="D1244" s="2405"/>
      <c r="E1244" s="2661" t="s">
        <v>2838</v>
      </c>
      <c r="F1244" s="2405" t="s">
        <v>2839</v>
      </c>
      <c r="G1244" s="2405">
        <f>G1243</f>
        <v>0</v>
      </c>
      <c r="H1244" s="2612">
        <v>17400</v>
      </c>
      <c r="I1244" s="2612"/>
      <c r="J1244" s="2511"/>
      <c r="K1244" s="2511"/>
      <c r="L1244" s="2613">
        <f>H1244*G1244</f>
        <v>0</v>
      </c>
      <c r="M1244" s="2613">
        <f>I1244*G1244</f>
        <v>0</v>
      </c>
      <c r="N1244" s="2613">
        <f>J1244*G1244</f>
        <v>0</v>
      </c>
      <c r="O1244" s="2613">
        <f>K1244*G1244</f>
        <v>0</v>
      </c>
      <c r="P1244" s="2518"/>
      <c r="Q1244" s="2519"/>
      <c r="R1244" s="2519"/>
      <c r="S1244" s="2519"/>
    </row>
    <row r="1245" spans="1:19" s="2358" customFormat="1" outlineLevel="1">
      <c r="A1245" s="2435" t="str">
        <f>IF(G1245&lt;&gt;0,1,"")</f>
        <v/>
      </c>
      <c r="B1245" s="2610" t="s">
        <v>644</v>
      </c>
      <c r="C1245" s="2660"/>
      <c r="D1245" s="2405" t="s">
        <v>2133</v>
      </c>
      <c r="E1245" s="2661" t="s">
        <v>3186</v>
      </c>
      <c r="F1245" s="2405" t="s">
        <v>2839</v>
      </c>
      <c r="G1245" s="2405">
        <f>G1243</f>
        <v>0</v>
      </c>
      <c r="H1245" s="2661"/>
      <c r="I1245" s="2612"/>
      <c r="J1245" s="2612">
        <v>112286</v>
      </c>
      <c r="K1245" s="2612">
        <v>105970</v>
      </c>
      <c r="L1245" s="2613">
        <f>H1245*G1245</f>
        <v>0</v>
      </c>
      <c r="M1245" s="2613">
        <f>I1245*G1245</f>
        <v>0</v>
      </c>
      <c r="N1245" s="2613">
        <f>J1245*G1245</f>
        <v>0</v>
      </c>
      <c r="O1245" s="2613">
        <f>K1245*G1245</f>
        <v>0</v>
      </c>
      <c r="P1245" s="2518"/>
      <c r="Q1245" s="2519"/>
      <c r="R1245" s="2519"/>
      <c r="S1245" s="2519"/>
    </row>
    <row r="1246" spans="1:19" s="2358" customFormat="1" outlineLevel="1">
      <c r="A1246" s="2435" t="str">
        <f t="shared" si="211"/>
        <v/>
      </c>
      <c r="B1246" s="2610"/>
      <c r="C1246" s="2511">
        <f>IF(G1246&gt;0,C1238+1,C1238)</f>
        <v>0</v>
      </c>
      <c r="D1246" s="2405"/>
      <c r="E1246" s="2656" t="s">
        <v>2358</v>
      </c>
      <c r="F1246" s="2657" t="s">
        <v>2333</v>
      </c>
      <c r="G1246" s="2662">
        <f>G1238</f>
        <v>0</v>
      </c>
      <c r="H1246" s="2511"/>
      <c r="I1246" s="2511"/>
      <c r="J1246" s="2511"/>
      <c r="K1246" s="2511"/>
      <c r="L1246" s="2511"/>
      <c r="M1246" s="2511"/>
      <c r="N1246" s="2511"/>
      <c r="O1246" s="2663"/>
      <c r="P1246" s="2642"/>
      <c r="Q1246" s="2519"/>
      <c r="R1246" s="2519"/>
      <c r="S1246" s="2519"/>
    </row>
    <row r="1247" spans="1:19" s="2358" customFormat="1" outlineLevel="1">
      <c r="A1247" s="2435" t="str">
        <f t="shared" si="211"/>
        <v/>
      </c>
      <c r="B1247" s="2610" t="s">
        <v>636</v>
      </c>
      <c r="C1247" s="2660"/>
      <c r="D1247" s="2405" t="s">
        <v>5099</v>
      </c>
      <c r="E1247" s="2661" t="s">
        <v>2615</v>
      </c>
      <c r="F1247" s="2405" t="s">
        <v>2563</v>
      </c>
      <c r="G1247" s="2405">
        <f>G1246</f>
        <v>0</v>
      </c>
      <c r="H1247" s="2612">
        <v>354545</v>
      </c>
      <c r="I1247" s="2612"/>
      <c r="J1247" s="2612">
        <v>37220.25</v>
      </c>
      <c r="K1247" s="2511"/>
      <c r="L1247" s="2613">
        <f>H1247*G1247</f>
        <v>0</v>
      </c>
      <c r="M1247" s="2613">
        <f>I1247*G1247</f>
        <v>0</v>
      </c>
      <c r="N1247" s="2613">
        <f>J1247*G1247</f>
        <v>0</v>
      </c>
      <c r="O1247" s="2613">
        <f>K1247*G1247</f>
        <v>0</v>
      </c>
      <c r="P1247" s="2642"/>
      <c r="Q1247" s="2519"/>
      <c r="R1247" s="2519"/>
      <c r="S1247" s="2519"/>
    </row>
    <row r="1248" spans="1:19" s="2358" customFormat="1" outlineLevel="1">
      <c r="A1248" s="2435" t="str">
        <f t="shared" si="211"/>
        <v/>
      </c>
      <c r="B1248" s="2610" t="s">
        <v>566</v>
      </c>
      <c r="C1248" s="2660"/>
      <c r="D1248" s="2405"/>
      <c r="E1248" s="2661" t="s">
        <v>5124</v>
      </c>
      <c r="F1248" s="2405" t="s">
        <v>2445</v>
      </c>
      <c r="G1248" s="2405">
        <f>G1247</f>
        <v>0</v>
      </c>
      <c r="H1248" s="2612">
        <v>92200</v>
      </c>
      <c r="I1248" s="2661"/>
      <c r="J1248" s="2661"/>
      <c r="K1248" s="2511"/>
      <c r="L1248" s="2613">
        <f>H1248*G1248</f>
        <v>0</v>
      </c>
      <c r="M1248" s="2613">
        <f>I1248*G1248</f>
        <v>0</v>
      </c>
      <c r="N1248" s="2613">
        <f>J1248*G1248</f>
        <v>0</v>
      </c>
      <c r="O1248" s="2613">
        <f>K1248*G1248</f>
        <v>0</v>
      </c>
      <c r="P1248" s="2642"/>
      <c r="Q1248" s="2519"/>
      <c r="R1248" s="2519"/>
      <c r="S1248" s="2519"/>
    </row>
    <row r="1249" spans="1:21" s="2358" customFormat="1" outlineLevel="1">
      <c r="A1249" s="2435" t="str">
        <f t="shared" si="211"/>
        <v/>
      </c>
      <c r="B1249" s="2610" t="s">
        <v>639</v>
      </c>
      <c r="C1249" s="2660"/>
      <c r="D1249" s="2405" t="s">
        <v>1751</v>
      </c>
      <c r="E1249" s="2661" t="s">
        <v>5386</v>
      </c>
      <c r="F1249" s="2405" t="s">
        <v>856</v>
      </c>
      <c r="G1249" s="2405">
        <f>1.45*G1247</f>
        <v>0</v>
      </c>
      <c r="H1249" s="2612">
        <v>0</v>
      </c>
      <c r="I1249" s="2612"/>
      <c r="J1249" s="2612">
        <v>296500.89999999997</v>
      </c>
      <c r="K1249" s="2511"/>
      <c r="L1249" s="2613">
        <f>H1249*G1249</f>
        <v>0</v>
      </c>
      <c r="M1249" s="2613">
        <f>I1249*G1249</f>
        <v>0</v>
      </c>
      <c r="N1249" s="2613">
        <f>J1249*G1249</f>
        <v>0</v>
      </c>
      <c r="O1249" s="2613">
        <f>K1249*G1249</f>
        <v>0</v>
      </c>
      <c r="P1249" s="2642"/>
      <c r="Q1249" s="2519"/>
      <c r="R1249" s="2519"/>
      <c r="S1249" s="2519"/>
    </row>
    <row r="1250" spans="1:21" s="2358" customFormat="1" outlineLevel="1">
      <c r="A1250" s="2435" t="str">
        <f t="shared" si="211"/>
        <v/>
      </c>
      <c r="B1250" s="2610" t="s">
        <v>21</v>
      </c>
      <c r="C1250" s="2660"/>
      <c r="D1250" s="2405" t="s">
        <v>5387</v>
      </c>
      <c r="E1250" s="2661" t="s">
        <v>5388</v>
      </c>
      <c r="F1250" s="2405" t="s">
        <v>856</v>
      </c>
      <c r="G1250" s="2405">
        <f>1.37*G1246</f>
        <v>0</v>
      </c>
      <c r="H1250" s="2612">
        <v>0</v>
      </c>
      <c r="I1250" s="2612"/>
      <c r="J1250" s="2612">
        <v>117703.6</v>
      </c>
      <c r="K1250" s="2511"/>
      <c r="L1250" s="2613">
        <f>H1250*G1250</f>
        <v>0</v>
      </c>
      <c r="M1250" s="2613">
        <f>I1250*G1250</f>
        <v>0</v>
      </c>
      <c r="N1250" s="2613">
        <f>J1250*G1250</f>
        <v>0</v>
      </c>
      <c r="O1250" s="2613">
        <f>K1250*G1250</f>
        <v>0</v>
      </c>
      <c r="P1250" s="2642"/>
      <c r="Q1250" s="2519"/>
      <c r="R1250" s="2519"/>
      <c r="S1250" s="2519"/>
    </row>
    <row r="1251" spans="1:21" s="2358" customFormat="1" outlineLevel="1">
      <c r="A1251" s="2435" t="str">
        <f>IF(G1251&lt;&gt;0,1,"")</f>
        <v/>
      </c>
      <c r="B1251" s="2610"/>
      <c r="C1251" s="2511">
        <f>IF(G1251&gt;0,C1243+1,C1243)</f>
        <v>0</v>
      </c>
      <c r="D1251" s="2405"/>
      <c r="E1251" s="2656" t="s">
        <v>3731</v>
      </c>
      <c r="F1251" s="2657" t="s">
        <v>2333</v>
      </c>
      <c r="G1251" s="2662">
        <f>G1242</f>
        <v>0</v>
      </c>
      <c r="H1251" s="2511"/>
      <c r="I1251" s="2511"/>
      <c r="J1251" s="2511"/>
      <c r="K1251" s="2511"/>
      <c r="L1251" s="2511"/>
      <c r="M1251" s="2511"/>
      <c r="N1251" s="2511"/>
      <c r="O1251" s="2663"/>
      <c r="P1251" s="2518"/>
      <c r="Q1251" s="2519"/>
      <c r="R1251" s="2519"/>
      <c r="S1251" s="2519"/>
    </row>
    <row r="1252" spans="1:21" s="2358" customFormat="1" outlineLevel="1">
      <c r="A1252" s="2435" t="str">
        <f>IF(G1252&lt;&gt;0,1,"")</f>
        <v/>
      </c>
      <c r="B1252" s="2610" t="s">
        <v>636</v>
      </c>
      <c r="C1252" s="2660"/>
      <c r="D1252" s="2405" t="s">
        <v>5099</v>
      </c>
      <c r="E1252" s="2661" t="s">
        <v>2615</v>
      </c>
      <c r="F1252" s="2405" t="s">
        <v>2563</v>
      </c>
      <c r="G1252" s="2405">
        <f>G1251</f>
        <v>0</v>
      </c>
      <c r="H1252" s="2612">
        <v>354545</v>
      </c>
      <c r="I1252" s="2612"/>
      <c r="J1252" s="2612">
        <v>37220.25</v>
      </c>
      <c r="K1252" s="2511"/>
      <c r="L1252" s="2613">
        <f>H1252*G1252</f>
        <v>0</v>
      </c>
      <c r="M1252" s="2613">
        <f>I1252*G1252</f>
        <v>0</v>
      </c>
      <c r="N1252" s="2613">
        <f>J1252*G1252</f>
        <v>0</v>
      </c>
      <c r="O1252" s="2613">
        <f>K1252*G1252</f>
        <v>0</v>
      </c>
      <c r="P1252" s="2518"/>
      <c r="Q1252" s="2519"/>
      <c r="R1252" s="2519"/>
      <c r="S1252" s="2519"/>
    </row>
    <row r="1253" spans="1:21" s="2358" customFormat="1" outlineLevel="1">
      <c r="A1253" s="2435" t="str">
        <f>IF(G1253&lt;&gt;0,1,"")</f>
        <v/>
      </c>
      <c r="B1253" s="2610" t="s">
        <v>566</v>
      </c>
      <c r="C1253" s="2660"/>
      <c r="D1253" s="2405"/>
      <c r="E1253" s="2661" t="s">
        <v>5124</v>
      </c>
      <c r="F1253" s="2405" t="s">
        <v>2445</v>
      </c>
      <c r="G1253" s="2405">
        <f>G1252</f>
        <v>0</v>
      </c>
      <c r="H1253" s="2612">
        <v>92200</v>
      </c>
      <c r="I1253" s="2661"/>
      <c r="J1253" s="2661"/>
      <c r="K1253" s="2511"/>
      <c r="L1253" s="2613">
        <f>H1253*G1253</f>
        <v>0</v>
      </c>
      <c r="M1253" s="2613">
        <f>I1253*G1253</f>
        <v>0</v>
      </c>
      <c r="N1253" s="2613">
        <f>J1253*G1253</f>
        <v>0</v>
      </c>
      <c r="O1253" s="2613">
        <f>K1253*G1253</f>
        <v>0</v>
      </c>
      <c r="P1253" s="2518"/>
      <c r="Q1253" s="2519"/>
      <c r="R1253" s="2519"/>
      <c r="S1253" s="2519"/>
    </row>
    <row r="1254" spans="1:21" s="2358" customFormat="1" outlineLevel="1">
      <c r="A1254" s="2435" t="str">
        <f>IF(G1254&lt;&gt;0,1,"")</f>
        <v/>
      </c>
      <c r="B1254" s="2610" t="s">
        <v>639</v>
      </c>
      <c r="C1254" s="2660"/>
      <c r="D1254" s="2405" t="s">
        <v>1751</v>
      </c>
      <c r="E1254" s="2661" t="s">
        <v>5386</v>
      </c>
      <c r="F1254" s="2405" t="s">
        <v>856</v>
      </c>
      <c r="G1254" s="2405">
        <f>1.48*G1252</f>
        <v>0</v>
      </c>
      <c r="H1254" s="2612">
        <v>0</v>
      </c>
      <c r="I1254" s="2612"/>
      <c r="J1254" s="2612">
        <v>296500.89999999997</v>
      </c>
      <c r="K1254" s="2511"/>
      <c r="L1254" s="2613">
        <f>H1254*G1254</f>
        <v>0</v>
      </c>
      <c r="M1254" s="2613">
        <f>I1254*G1254</f>
        <v>0</v>
      </c>
      <c r="N1254" s="2613">
        <f>J1254*G1254</f>
        <v>0</v>
      </c>
      <c r="O1254" s="2613">
        <f>K1254*G1254</f>
        <v>0</v>
      </c>
      <c r="P1254" s="2518"/>
      <c r="Q1254" s="2519"/>
      <c r="R1254" s="2519"/>
      <c r="S1254" s="2519"/>
    </row>
    <row r="1255" spans="1:21" s="2358" customFormat="1" outlineLevel="1">
      <c r="A1255" s="2435" t="str">
        <f>IF(G1255&lt;&gt;0,1,"")</f>
        <v/>
      </c>
      <c r="B1255" s="2610" t="s">
        <v>21</v>
      </c>
      <c r="C1255" s="2660"/>
      <c r="D1255" s="2405" t="s">
        <v>5387</v>
      </c>
      <c r="E1255" s="2661" t="s">
        <v>5388</v>
      </c>
      <c r="F1255" s="2405" t="s">
        <v>856</v>
      </c>
      <c r="G1255" s="2405">
        <f>1.39*G1251</f>
        <v>0</v>
      </c>
      <c r="H1255" s="2612">
        <v>0</v>
      </c>
      <c r="I1255" s="2612"/>
      <c r="J1255" s="2612">
        <v>117703.6</v>
      </c>
      <c r="K1255" s="2511"/>
      <c r="L1255" s="2613">
        <f>H1255*G1255</f>
        <v>0</v>
      </c>
      <c r="M1255" s="2613">
        <f>I1255*G1255</f>
        <v>0</v>
      </c>
      <c r="N1255" s="2613">
        <f>J1255*G1255</f>
        <v>0</v>
      </c>
      <c r="O1255" s="2613">
        <f>K1255*G1255</f>
        <v>0</v>
      </c>
      <c r="P1255" s="2518"/>
      <c r="Q1255" s="2519"/>
      <c r="R1255" s="2519"/>
      <c r="S1255" s="2519"/>
    </row>
    <row r="1256" spans="1:21" s="2358" customFormat="1" outlineLevel="1">
      <c r="A1256" s="2435" t="str">
        <f t="shared" si="211"/>
        <v/>
      </c>
      <c r="B1256" s="2514"/>
      <c r="C1256" s="2511">
        <f>IF(G1256&gt;0,C1246+1,C1246)</f>
        <v>0</v>
      </c>
      <c r="D1256" s="2664"/>
      <c r="E1256" s="2656" t="s">
        <v>3732</v>
      </c>
      <c r="F1256" s="2655" t="s">
        <v>2391</v>
      </c>
      <c r="G1256" s="2681">
        <f>G1226</f>
        <v>0</v>
      </c>
      <c r="H1256" s="2666"/>
      <c r="I1256" s="2666"/>
      <c r="J1256" s="2666"/>
      <c r="K1256" s="2666"/>
      <c r="L1256" s="2666"/>
      <c r="M1256" s="2666"/>
      <c r="N1256" s="2666"/>
      <c r="O1256" s="2666"/>
      <c r="P1256" s="2518"/>
      <c r="Q1256" s="2519">
        <f>+SUM(L1258:L1264)</f>
        <v>0</v>
      </c>
      <c r="R1256" s="2519">
        <f>+SUM(M1258:M1264)</f>
        <v>0</v>
      </c>
      <c r="S1256" s="2519">
        <f>+SUM(N1258:N1264)</f>
        <v>0</v>
      </c>
      <c r="T1256" s="2519">
        <f>+SUM(O1258:O1264)</f>
        <v>0</v>
      </c>
      <c r="U1256" s="2519">
        <f>+SUM(P1258:P1264)</f>
        <v>0</v>
      </c>
    </row>
    <row r="1257" spans="1:21" s="2358" customFormat="1" ht="14.4" outlineLevel="1">
      <c r="A1257" s="2435" t="str">
        <f>A1256</f>
        <v/>
      </c>
      <c r="B1257" s="2514"/>
      <c r="C1257" s="2511"/>
      <c r="D1257" s="2667"/>
      <c r="E1257" s="2520" t="s">
        <v>6207</v>
      </c>
      <c r="F1257" s="2521"/>
      <c r="G1257" s="2679"/>
      <c r="H1257" s="2668"/>
      <c r="I1257" s="2668"/>
      <c r="J1257" s="2668"/>
      <c r="K1257" s="2668"/>
      <c r="L1257" s="2668"/>
      <c r="M1257" s="2668"/>
      <c r="N1257" s="2668"/>
      <c r="O1257" s="2668"/>
      <c r="P1257" s="2518"/>
      <c r="Q1257" s="2519"/>
      <c r="R1257" s="2519"/>
      <c r="S1257" s="2519"/>
    </row>
    <row r="1258" spans="1:21" s="2358" customFormat="1" outlineLevel="1">
      <c r="A1258" s="2435" t="str">
        <f t="shared" ref="A1258:A1263" si="212">IF(G1258&lt;&gt;0,1,"")</f>
        <v/>
      </c>
      <c r="B1258" s="2505" t="s">
        <v>1136</v>
      </c>
      <c r="C1258" s="2511"/>
      <c r="D1258" s="2405">
        <v>0</v>
      </c>
      <c r="E1258" s="2447" t="s">
        <v>6412</v>
      </c>
      <c r="F1258" s="2405" t="s">
        <v>2254</v>
      </c>
      <c r="G1258" s="2679">
        <f>2*G1256</f>
        <v>0</v>
      </c>
      <c r="H1258" s="2612">
        <v>31625</v>
      </c>
      <c r="I1258" s="2669"/>
      <c r="J1258" s="2612"/>
      <c r="K1258" s="2612">
        <v>0</v>
      </c>
      <c r="L1258" s="2613">
        <f t="shared" ref="L1258:L1263" si="213">H1258*G1258</f>
        <v>0</v>
      </c>
      <c r="M1258" s="2613">
        <f t="shared" ref="M1258:M1274" si="214">I1258*G1258</f>
        <v>0</v>
      </c>
      <c r="N1258" s="2612"/>
      <c r="O1258" s="2613">
        <f t="shared" ref="O1258:O1264" si="215">K1258*G1258</f>
        <v>0</v>
      </c>
      <c r="P1258" s="2518"/>
      <c r="Q1258" s="2519"/>
      <c r="R1258" s="2519"/>
      <c r="S1258" s="2519"/>
    </row>
    <row r="1259" spans="1:21" s="2358" customFormat="1" outlineLevel="1">
      <c r="A1259" s="2435" t="str">
        <f t="shared" si="212"/>
        <v/>
      </c>
      <c r="B1259" s="2505" t="s">
        <v>1137</v>
      </c>
      <c r="C1259" s="2511"/>
      <c r="D1259" s="2405">
        <v>0</v>
      </c>
      <c r="E1259" s="2447" t="s">
        <v>6413</v>
      </c>
      <c r="F1259" s="2405" t="s">
        <v>2254</v>
      </c>
      <c r="G1259" s="2679">
        <f>4*G1256</f>
        <v>0</v>
      </c>
      <c r="H1259" s="2612">
        <v>31625</v>
      </c>
      <c r="I1259" s="2669"/>
      <c r="J1259" s="2612"/>
      <c r="K1259" s="2612">
        <v>0</v>
      </c>
      <c r="L1259" s="2613">
        <f t="shared" si="213"/>
        <v>0</v>
      </c>
      <c r="M1259" s="2613">
        <f t="shared" si="214"/>
        <v>0</v>
      </c>
      <c r="N1259" s="2612"/>
      <c r="O1259" s="2613">
        <f t="shared" si="215"/>
        <v>0</v>
      </c>
      <c r="P1259" s="2518"/>
      <c r="Q1259" s="2519"/>
      <c r="R1259" s="2519"/>
      <c r="S1259" s="2519"/>
    </row>
    <row r="1260" spans="1:21" s="2358" customFormat="1" outlineLevel="1">
      <c r="A1260" s="2435" t="str">
        <f t="shared" si="212"/>
        <v/>
      </c>
      <c r="B1260" s="2505" t="s">
        <v>1138</v>
      </c>
      <c r="C1260" s="2511"/>
      <c r="D1260" s="2405">
        <v>0</v>
      </c>
      <c r="E1260" s="2447" t="s">
        <v>6414</v>
      </c>
      <c r="F1260" s="2405" t="s">
        <v>2254</v>
      </c>
      <c r="G1260" s="2679">
        <f>2*G1256</f>
        <v>0</v>
      </c>
      <c r="H1260" s="2612">
        <v>31625</v>
      </c>
      <c r="I1260" s="2669"/>
      <c r="J1260" s="2612"/>
      <c r="K1260" s="2612">
        <v>0</v>
      </c>
      <c r="L1260" s="2613">
        <f t="shared" si="213"/>
        <v>0</v>
      </c>
      <c r="M1260" s="2613">
        <f t="shared" si="214"/>
        <v>0</v>
      </c>
      <c r="N1260" s="2612"/>
      <c r="O1260" s="2613">
        <f t="shared" si="215"/>
        <v>0</v>
      </c>
      <c r="P1260" s="2518"/>
      <c r="Q1260" s="2519"/>
      <c r="R1260" s="2519"/>
      <c r="S1260" s="2519"/>
    </row>
    <row r="1261" spans="1:21" s="2358" customFormat="1" outlineLevel="1">
      <c r="A1261" s="2435" t="str">
        <f t="shared" si="212"/>
        <v/>
      </c>
      <c r="B1261" s="2514" t="s">
        <v>1785</v>
      </c>
      <c r="C1261" s="2511"/>
      <c r="D1261" s="2405">
        <v>0</v>
      </c>
      <c r="E1261" s="2447" t="s">
        <v>2670</v>
      </c>
      <c r="F1261" s="2405" t="s">
        <v>2445</v>
      </c>
      <c r="G1261" s="2679">
        <f>$G$1256*10</f>
        <v>0</v>
      </c>
      <c r="H1261" s="2612">
        <v>34800</v>
      </c>
      <c r="I1261" s="2669"/>
      <c r="J1261" s="2612">
        <v>0</v>
      </c>
      <c r="K1261" s="2612">
        <v>0</v>
      </c>
      <c r="L1261" s="2613">
        <f t="shared" si="213"/>
        <v>0</v>
      </c>
      <c r="M1261" s="2613">
        <f t="shared" si="214"/>
        <v>0</v>
      </c>
      <c r="N1261" s="2613">
        <f t="shared" ref="N1261:N1268" si="216">J1261*G1261</f>
        <v>0</v>
      </c>
      <c r="O1261" s="2613">
        <f t="shared" si="215"/>
        <v>0</v>
      </c>
      <c r="P1261" s="2518"/>
      <c r="Q1261" s="2519"/>
      <c r="R1261" s="2519"/>
      <c r="S1261" s="2519"/>
    </row>
    <row r="1262" spans="1:21" s="2358" customFormat="1" outlineLevel="1">
      <c r="A1262" s="2435" t="str">
        <f t="shared" si="212"/>
        <v/>
      </c>
      <c r="B1262" s="2514" t="s">
        <v>1083</v>
      </c>
      <c r="C1262" s="2511"/>
      <c r="D1262" s="2405">
        <v>0</v>
      </c>
      <c r="E1262" s="2447" t="s">
        <v>2660</v>
      </c>
      <c r="F1262" s="2405" t="s">
        <v>2445</v>
      </c>
      <c r="G1262" s="2679">
        <f>$G$1256*2</f>
        <v>0</v>
      </c>
      <c r="H1262" s="2612">
        <v>29900</v>
      </c>
      <c r="I1262" s="2669"/>
      <c r="J1262" s="2612">
        <v>0</v>
      </c>
      <c r="K1262" s="2612">
        <v>0</v>
      </c>
      <c r="L1262" s="2613">
        <f t="shared" si="213"/>
        <v>0</v>
      </c>
      <c r="M1262" s="2613">
        <f t="shared" si="214"/>
        <v>0</v>
      </c>
      <c r="N1262" s="2613">
        <f t="shared" si="216"/>
        <v>0</v>
      </c>
      <c r="O1262" s="2613">
        <f t="shared" si="215"/>
        <v>0</v>
      </c>
      <c r="P1262" s="2518"/>
      <c r="Q1262" s="2519"/>
      <c r="R1262" s="2519"/>
      <c r="S1262" s="2519"/>
    </row>
    <row r="1263" spans="1:21" s="2358" customFormat="1" outlineLevel="1">
      <c r="A1263" s="2435" t="str">
        <f t="shared" si="212"/>
        <v/>
      </c>
      <c r="B1263" s="2514" t="s">
        <v>1079</v>
      </c>
      <c r="C1263" s="2511"/>
      <c r="D1263" s="2405">
        <v>0</v>
      </c>
      <c r="E1263" s="2447" t="s">
        <v>2659</v>
      </c>
      <c r="F1263" s="2405" t="s">
        <v>2445</v>
      </c>
      <c r="G1263" s="2679">
        <f>$G$1256*12</f>
        <v>0</v>
      </c>
      <c r="H1263" s="2612">
        <v>27900</v>
      </c>
      <c r="I1263" s="2669"/>
      <c r="J1263" s="2612">
        <v>0</v>
      </c>
      <c r="K1263" s="2612">
        <v>0</v>
      </c>
      <c r="L1263" s="2613">
        <f t="shared" si="213"/>
        <v>0</v>
      </c>
      <c r="M1263" s="2613">
        <f t="shared" si="214"/>
        <v>0</v>
      </c>
      <c r="N1263" s="2613">
        <f t="shared" si="216"/>
        <v>0</v>
      </c>
      <c r="O1263" s="2613">
        <f t="shared" si="215"/>
        <v>0</v>
      </c>
      <c r="P1263" s="2518"/>
      <c r="Q1263" s="2519"/>
      <c r="R1263" s="2519"/>
      <c r="S1263" s="2519"/>
    </row>
    <row r="1264" spans="1:21" s="2358" customFormat="1" outlineLevel="1">
      <c r="A1264" s="2435" t="str">
        <f>IF(G1264&lt;&gt;0,1,"")</f>
        <v/>
      </c>
      <c r="B1264" s="2374" t="s">
        <v>5487</v>
      </c>
      <c r="C1264" s="2511"/>
      <c r="D1264" s="2405" t="s">
        <v>5488</v>
      </c>
      <c r="E1264" s="2447" t="s">
        <v>5489</v>
      </c>
      <c r="F1264" s="2405" t="s">
        <v>2254</v>
      </c>
      <c r="G1264" s="2679"/>
      <c r="H1264" s="2612">
        <v>0</v>
      </c>
      <c r="I1264" s="2669"/>
      <c r="J1264" s="2612">
        <v>2025</v>
      </c>
      <c r="K1264" s="2612">
        <v>0</v>
      </c>
      <c r="L1264" s="2613">
        <f>H1264*G1264</f>
        <v>0</v>
      </c>
      <c r="M1264" s="2613">
        <f t="shared" si="214"/>
        <v>0</v>
      </c>
      <c r="N1264" s="2612">
        <v>0</v>
      </c>
      <c r="O1264" s="2613">
        <f t="shared" si="215"/>
        <v>0</v>
      </c>
      <c r="P1264" s="2518"/>
      <c r="Q1264" s="2519"/>
      <c r="R1264" s="2519"/>
      <c r="S1264" s="2519"/>
    </row>
    <row r="1265" spans="1:20" s="2358" customFormat="1" outlineLevel="1">
      <c r="A1265" s="2435" t="str">
        <f>IF(G1265&lt;&gt;0,1,"")</f>
        <v/>
      </c>
      <c r="B1265" s="2514"/>
      <c r="C1265" s="2511">
        <f>IF(G1265&gt;0,C1256+1,C1256)</f>
        <v>0</v>
      </c>
      <c r="D1265" s="2512"/>
      <c r="E1265" s="2670" t="s">
        <v>6301</v>
      </c>
      <c r="F1265" s="2511" t="s">
        <v>2391</v>
      </c>
      <c r="G1265" s="2483">
        <f>+G1256*2</f>
        <v>0</v>
      </c>
      <c r="H1265" s="2669"/>
      <c r="I1265" s="2669"/>
      <c r="J1265" s="2669"/>
      <c r="K1265" s="2669"/>
      <c r="L1265" s="2613">
        <f t="shared" ref="L1265:L1279" si="217">H1265*G1265</f>
        <v>0</v>
      </c>
      <c r="M1265" s="2613">
        <f t="shared" si="214"/>
        <v>0</v>
      </c>
      <c r="N1265" s="2613">
        <f t="shared" si="216"/>
        <v>0</v>
      </c>
      <c r="O1265" s="2613">
        <f>K1265*G1265</f>
        <v>0</v>
      </c>
      <c r="P1265" s="2518"/>
      <c r="Q1265" s="2519">
        <f>+SUM(L1266:L1269)</f>
        <v>0</v>
      </c>
      <c r="R1265" s="2519">
        <f>+SUM(M1266:M1269)</f>
        <v>0</v>
      </c>
      <c r="S1265" s="2519">
        <f>+SUM(N1266:N1269)</f>
        <v>0</v>
      </c>
      <c r="T1265" s="2519">
        <f>+SUM(O1266:O1269)</f>
        <v>0</v>
      </c>
    </row>
    <row r="1266" spans="1:20" s="2358" customFormat="1" ht="14.4" outlineLevel="1">
      <c r="A1266" s="2435" t="str">
        <f>A1265</f>
        <v/>
      </c>
      <c r="B1266" s="2514"/>
      <c r="C1266" s="2511"/>
      <c r="D1266" s="2512"/>
      <c r="E1266" s="2520" t="s">
        <v>6207</v>
      </c>
      <c r="F1266" s="2521"/>
      <c r="G1266" s="2679"/>
      <c r="H1266" s="2669"/>
      <c r="I1266" s="2669"/>
      <c r="J1266" s="2669"/>
      <c r="K1266" s="2669"/>
      <c r="L1266" s="2613">
        <f t="shared" si="217"/>
        <v>0</v>
      </c>
      <c r="M1266" s="2613">
        <f t="shared" si="214"/>
        <v>0</v>
      </c>
      <c r="N1266" s="2613">
        <f t="shared" si="216"/>
        <v>0</v>
      </c>
      <c r="O1266" s="2613">
        <f>K1266*G1266</f>
        <v>0</v>
      </c>
      <c r="P1266" s="2518"/>
      <c r="Q1266" s="2519"/>
      <c r="R1266" s="2519"/>
      <c r="S1266" s="2519"/>
    </row>
    <row r="1267" spans="1:20" s="2358" customFormat="1" outlineLevel="1">
      <c r="A1267" s="2435" t="str">
        <f>IF(G1267&lt;&gt;0,1,"")</f>
        <v/>
      </c>
      <c r="B1267" s="2505" t="s">
        <v>6302</v>
      </c>
      <c r="C1267" s="2511"/>
      <c r="D1267" s="2405">
        <v>0</v>
      </c>
      <c r="E1267" s="2447" t="s">
        <v>5304</v>
      </c>
      <c r="F1267" s="2405" t="s">
        <v>5235</v>
      </c>
      <c r="G1267" s="2679">
        <f>1*G1265</f>
        <v>0</v>
      </c>
      <c r="H1267" s="2517">
        <v>470449</v>
      </c>
      <c r="I1267" s="2612"/>
      <c r="J1267" s="2612">
        <v>0</v>
      </c>
      <c r="K1267" s="2612">
        <v>0</v>
      </c>
      <c r="L1267" s="2613">
        <f t="shared" si="217"/>
        <v>0</v>
      </c>
      <c r="M1267" s="2613">
        <f t="shared" si="214"/>
        <v>0</v>
      </c>
      <c r="N1267" s="2613">
        <f t="shared" si="216"/>
        <v>0</v>
      </c>
      <c r="O1267" s="2613">
        <f>K1267*G1267</f>
        <v>0</v>
      </c>
      <c r="P1267" s="2518"/>
      <c r="Q1267" s="2519"/>
      <c r="R1267" s="2519"/>
      <c r="S1267" s="2519"/>
    </row>
    <row r="1268" spans="1:20" s="2358" customFormat="1" outlineLevel="1">
      <c r="A1268" s="2435" t="str">
        <f>IF(G1268&lt;&gt;0,1,"")</f>
        <v/>
      </c>
      <c r="B1268" s="2514" t="s">
        <v>1613</v>
      </c>
      <c r="C1268" s="2511"/>
      <c r="D1268" s="2405">
        <v>0</v>
      </c>
      <c r="E1268" s="2447" t="s">
        <v>2657</v>
      </c>
      <c r="F1268" s="2405" t="s">
        <v>2445</v>
      </c>
      <c r="G1268" s="2679">
        <f>+G1265*2</f>
        <v>0</v>
      </c>
      <c r="H1268" s="2517">
        <v>25400</v>
      </c>
      <c r="I1268" s="2612">
        <v>0</v>
      </c>
      <c r="J1268" s="2612">
        <v>0</v>
      </c>
      <c r="K1268" s="2612">
        <v>0</v>
      </c>
      <c r="L1268" s="2613">
        <f>H1268*G1268</f>
        <v>0</v>
      </c>
      <c r="M1268" s="2613">
        <f t="shared" si="214"/>
        <v>0</v>
      </c>
      <c r="N1268" s="2613">
        <f t="shared" si="216"/>
        <v>0</v>
      </c>
      <c r="O1268" s="2613">
        <f>K1268*G1268</f>
        <v>0</v>
      </c>
      <c r="P1268" s="2518"/>
      <c r="Q1268" s="2519"/>
      <c r="R1268" s="2519"/>
      <c r="S1268" s="2519"/>
    </row>
    <row r="1269" spans="1:20" s="2358" customFormat="1" outlineLevel="1">
      <c r="A1269" s="2435" t="str">
        <f>IF(G1269&lt;&gt;0,1,"")</f>
        <v/>
      </c>
      <c r="B1269" s="2374" t="s">
        <v>5487</v>
      </c>
      <c r="C1269" s="2511"/>
      <c r="D1269" s="2405" t="s">
        <v>5488</v>
      </c>
      <c r="E1269" s="2447" t="s">
        <v>5489</v>
      </c>
      <c r="F1269" s="2405" t="s">
        <v>2254</v>
      </c>
      <c r="G1269" s="2679">
        <f>9.02*(2.6+3*0.07)*G1265</f>
        <v>0</v>
      </c>
      <c r="H1269" s="2517">
        <v>0</v>
      </c>
      <c r="I1269" s="2612"/>
      <c r="J1269" s="2612">
        <v>2025</v>
      </c>
      <c r="K1269" s="2612">
        <v>0</v>
      </c>
      <c r="L1269" s="2613">
        <f>H1269*G1269</f>
        <v>0</v>
      </c>
      <c r="M1269" s="2613">
        <f t="shared" si="214"/>
        <v>0</v>
      </c>
      <c r="N1269" s="2612">
        <v>0</v>
      </c>
      <c r="O1269" s="2613"/>
      <c r="P1269" s="2518"/>
      <c r="Q1269" s="2519"/>
      <c r="R1269" s="2519"/>
      <c r="S1269" s="2519"/>
    </row>
    <row r="1270" spans="1:20" s="2358" customFormat="1" outlineLevel="1">
      <c r="A1270" s="2435" t="str">
        <f>IF(G1270&lt;&gt;0,1,"")</f>
        <v/>
      </c>
      <c r="B1270" s="2514"/>
      <c r="C1270" s="2511">
        <f>IF(G1270&gt;0,C1257+1,C1257)</f>
        <v>0</v>
      </c>
      <c r="D1270" s="2512"/>
      <c r="E1270" s="2670" t="s">
        <v>6293</v>
      </c>
      <c r="F1270" s="2511" t="s">
        <v>2391</v>
      </c>
      <c r="G1270" s="2483">
        <f>+G1226*1</f>
        <v>0</v>
      </c>
      <c r="H1270" s="2669"/>
      <c r="I1270" s="2669"/>
      <c r="J1270" s="2669"/>
      <c r="K1270" s="2669"/>
      <c r="L1270" s="2613">
        <f t="shared" ref="L1270:L1275" si="218">H1270*G1270</f>
        <v>0</v>
      </c>
      <c r="M1270" s="2613">
        <f t="shared" si="214"/>
        <v>0</v>
      </c>
      <c r="N1270" s="2613">
        <f>J1270*G1270</f>
        <v>0</v>
      </c>
      <c r="O1270" s="2613">
        <f>K1270*G1270</f>
        <v>0</v>
      </c>
      <c r="P1270" s="2518"/>
      <c r="Q1270" s="2519">
        <f>+SUM(L1271:L1275)</f>
        <v>0</v>
      </c>
      <c r="R1270" s="2519"/>
      <c r="S1270" s="2519">
        <f>+SUM(N1271:N1275)</f>
        <v>0</v>
      </c>
      <c r="T1270" s="2519">
        <f>+SUM(O1271:O1275)</f>
        <v>0</v>
      </c>
    </row>
    <row r="1271" spans="1:20" s="2358" customFormat="1" ht="14.4" outlineLevel="1">
      <c r="A1271" s="2435" t="str">
        <f>A1270</f>
        <v/>
      </c>
      <c r="B1271" s="2514"/>
      <c r="C1271" s="2511"/>
      <c r="D1271" s="2512"/>
      <c r="E1271" s="2520" t="s">
        <v>6207</v>
      </c>
      <c r="F1271" s="2521"/>
      <c r="G1271" s="2679"/>
      <c r="H1271" s="2669"/>
      <c r="I1271" s="2669"/>
      <c r="J1271" s="2669"/>
      <c r="K1271" s="2669"/>
      <c r="L1271" s="2613">
        <f t="shared" si="218"/>
        <v>0</v>
      </c>
      <c r="M1271" s="2613">
        <f t="shared" si="214"/>
        <v>0</v>
      </c>
      <c r="N1271" s="2613">
        <f>J1271*G1271</f>
        <v>0</v>
      </c>
      <c r="O1271" s="2613">
        <f>K1271*G1271</f>
        <v>0</v>
      </c>
      <c r="P1271" s="2518"/>
      <c r="Q1271" s="2519"/>
      <c r="R1271" s="2519"/>
      <c r="S1271" s="2519"/>
    </row>
    <row r="1272" spans="1:20" s="2358" customFormat="1" outlineLevel="1">
      <c r="A1272" s="2435" t="str">
        <f>IF(G1272&lt;&gt;0,1,"")</f>
        <v/>
      </c>
      <c r="B1272" s="2386" t="s">
        <v>5216</v>
      </c>
      <c r="C1272" s="2511"/>
      <c r="D1272" s="2405">
        <v>0</v>
      </c>
      <c r="E1272" s="2447" t="s">
        <v>5217</v>
      </c>
      <c r="F1272" s="2405" t="s">
        <v>2598</v>
      </c>
      <c r="G1272" s="2679">
        <f>+G1270*1</f>
        <v>0</v>
      </c>
      <c r="H1272" s="2612">
        <v>878000</v>
      </c>
      <c r="I1272" s="2612"/>
      <c r="J1272" s="2612">
        <v>0</v>
      </c>
      <c r="K1272" s="2612">
        <v>0</v>
      </c>
      <c r="L1272" s="2613">
        <f t="shared" si="218"/>
        <v>0</v>
      </c>
      <c r="M1272" s="2613">
        <f t="shared" si="214"/>
        <v>0</v>
      </c>
      <c r="N1272" s="2613">
        <f>J1272*G1272</f>
        <v>0</v>
      </c>
      <c r="O1272" s="2613">
        <f>K1272*G1272</f>
        <v>0</v>
      </c>
      <c r="P1272" s="2518"/>
      <c r="Q1272" s="2519"/>
      <c r="R1272" s="2519"/>
      <c r="S1272" s="2519"/>
    </row>
    <row r="1273" spans="1:20" s="2358" customFormat="1" outlineLevel="1">
      <c r="A1273" s="2435" t="str">
        <f>IF(G1273&lt;&gt;0,1,"")</f>
        <v/>
      </c>
      <c r="B1273" s="2383" t="s">
        <v>488</v>
      </c>
      <c r="C1273" s="2511"/>
      <c r="D1273" s="2405">
        <v>0</v>
      </c>
      <c r="E1273" s="2447" t="s">
        <v>5130</v>
      </c>
      <c r="F1273" s="2405" t="s">
        <v>2445</v>
      </c>
      <c r="G1273" s="2679">
        <f>+G1270*3</f>
        <v>0</v>
      </c>
      <c r="H1273" s="2612">
        <v>65000</v>
      </c>
      <c r="I1273" s="2612">
        <v>0</v>
      </c>
      <c r="J1273" s="2612">
        <v>0</v>
      </c>
      <c r="K1273" s="2612">
        <v>0</v>
      </c>
      <c r="L1273" s="2613">
        <f t="shared" si="218"/>
        <v>0</v>
      </c>
      <c r="M1273" s="2613">
        <f t="shared" si="214"/>
        <v>0</v>
      </c>
      <c r="N1273" s="2613">
        <f>J1273*G1273</f>
        <v>0</v>
      </c>
      <c r="O1273" s="2613">
        <f>K1273*G1273</f>
        <v>0</v>
      </c>
      <c r="P1273" s="2518"/>
      <c r="Q1273" s="2519"/>
      <c r="R1273" s="2519"/>
      <c r="S1273" s="2519"/>
    </row>
    <row r="1274" spans="1:20" s="2358" customFormat="1" outlineLevel="1">
      <c r="A1274" s="2435" t="str">
        <f>IF(G1274&lt;&gt;0,1,"")</f>
        <v/>
      </c>
      <c r="B1274" s="2514" t="s">
        <v>1079</v>
      </c>
      <c r="C1274" s="2511"/>
      <c r="D1274" s="2405">
        <v>0</v>
      </c>
      <c r="E1274" s="2447" t="s">
        <v>2659</v>
      </c>
      <c r="F1274" s="2405" t="s">
        <v>2445</v>
      </c>
      <c r="G1274" s="2679">
        <f>+G1270*2</f>
        <v>0</v>
      </c>
      <c r="H1274" s="2612">
        <v>27900</v>
      </c>
      <c r="I1274" s="2669"/>
      <c r="J1274" s="2612">
        <v>0</v>
      </c>
      <c r="K1274" s="2612">
        <v>0</v>
      </c>
      <c r="L1274" s="2613">
        <f t="shared" si="218"/>
        <v>0</v>
      </c>
      <c r="M1274" s="2613">
        <f t="shared" si="214"/>
        <v>0</v>
      </c>
      <c r="N1274" s="2613">
        <f>J1274*G1274</f>
        <v>0</v>
      </c>
      <c r="O1274" s="2613">
        <f>K1274*G1274</f>
        <v>0</v>
      </c>
      <c r="P1274" s="2518"/>
      <c r="Q1274" s="2519"/>
      <c r="R1274" s="2519"/>
      <c r="S1274" s="2519"/>
    </row>
    <row r="1275" spans="1:20" s="2358" customFormat="1" outlineLevel="1">
      <c r="A1275" s="2435" t="str">
        <f>IF(G1275&lt;&gt;0,1,"")</f>
        <v/>
      </c>
      <c r="B1275" s="2374" t="s">
        <v>5436</v>
      </c>
      <c r="C1275" s="2511"/>
      <c r="D1275" s="2405" t="s">
        <v>5209</v>
      </c>
      <c r="E1275" s="2447" t="s">
        <v>5437</v>
      </c>
      <c r="F1275" s="2405" t="s">
        <v>2445</v>
      </c>
      <c r="G1275" s="2679">
        <f>+G1270</f>
        <v>0</v>
      </c>
      <c r="H1275" s="2517">
        <v>0</v>
      </c>
      <c r="I1275" s="2612"/>
      <c r="J1275" s="2612" t="s">
        <v>6425</v>
      </c>
      <c r="K1275" s="2612"/>
      <c r="L1275" s="2613">
        <f t="shared" si="218"/>
        <v>0</v>
      </c>
      <c r="M1275" s="2613"/>
      <c r="N1275" s="2612">
        <v>0</v>
      </c>
      <c r="O1275" s="2613"/>
      <c r="P1275" s="2518"/>
      <c r="Q1275" s="2519"/>
      <c r="R1275" s="2519"/>
      <c r="S1275" s="2519"/>
    </row>
    <row r="1276" spans="1:20" s="2358" customFormat="1" outlineLevel="1">
      <c r="A1276" s="2435" t="str">
        <f>IF(G1276&lt;&gt;0,1,"")</f>
        <v/>
      </c>
      <c r="B1276" s="2514"/>
      <c r="C1276" s="2511">
        <f>IF(G1276&gt;0,C1265+1,C1265)</f>
        <v>0</v>
      </c>
      <c r="D1276" s="2512"/>
      <c r="E1276" s="2670" t="s">
        <v>6295</v>
      </c>
      <c r="F1276" s="2511" t="s">
        <v>2391</v>
      </c>
      <c r="G1276" s="2483">
        <f>$G$1256*2*0</f>
        <v>0</v>
      </c>
      <c r="H1276" s="2669"/>
      <c r="I1276" s="2669"/>
      <c r="J1276" s="2669"/>
      <c r="K1276" s="2669"/>
      <c r="L1276" s="2613">
        <f t="shared" si="217"/>
        <v>0</v>
      </c>
      <c r="M1276" s="2613">
        <f>I1276*G1276</f>
        <v>0</v>
      </c>
      <c r="N1276" s="2613">
        <f>J1276*G1276</f>
        <v>0</v>
      </c>
      <c r="O1276" s="2613">
        <f>K1276*G1276</f>
        <v>0</v>
      </c>
      <c r="P1276" s="2518"/>
      <c r="Q1276" s="2519">
        <f>+SUM(L1277:L1281)</f>
        <v>0</v>
      </c>
      <c r="R1276" s="2519">
        <f>+SUM(M1277:M1281)</f>
        <v>0</v>
      </c>
      <c r="S1276" s="2519">
        <f>+SUM(N1277:N1281)</f>
        <v>0</v>
      </c>
      <c r="T1276" s="2519">
        <f>+SUM(O1277:O1281)</f>
        <v>0</v>
      </c>
    </row>
    <row r="1277" spans="1:20" s="2358" customFormat="1" ht="14.4" outlineLevel="1">
      <c r="A1277" s="2435" t="str">
        <f>A1276</f>
        <v/>
      </c>
      <c r="B1277" s="2514"/>
      <c r="C1277" s="2511"/>
      <c r="D1277" s="2512"/>
      <c r="E1277" s="2520" t="s">
        <v>6207</v>
      </c>
      <c r="F1277" s="2521"/>
      <c r="G1277" s="2679"/>
      <c r="H1277" s="2669"/>
      <c r="I1277" s="2669"/>
      <c r="J1277" s="2669"/>
      <c r="K1277" s="2669"/>
      <c r="L1277" s="2613">
        <f t="shared" si="217"/>
        <v>0</v>
      </c>
      <c r="M1277" s="2613">
        <f>I1277*G1277</f>
        <v>0</v>
      </c>
      <c r="N1277" s="2613">
        <f>J1277*G1277</f>
        <v>0</v>
      </c>
      <c r="O1277" s="2613">
        <f>K1277*G1277</f>
        <v>0</v>
      </c>
      <c r="P1277" s="2518"/>
      <c r="Q1277" s="2519"/>
      <c r="R1277" s="2519"/>
      <c r="S1277" s="2519"/>
    </row>
    <row r="1278" spans="1:20" s="2358" customFormat="1" outlineLevel="1">
      <c r="A1278" s="2435" t="str">
        <f>IF(G1278&lt;&gt;0,1,"")</f>
        <v/>
      </c>
      <c r="B1278" s="2514" t="s">
        <v>2026</v>
      </c>
      <c r="C1278" s="2511"/>
      <c r="D1278" s="2405">
        <v>0</v>
      </c>
      <c r="E1278" s="2447" t="s">
        <v>2443</v>
      </c>
      <c r="F1278" s="2405" t="s">
        <v>2254</v>
      </c>
      <c r="G1278" s="2679">
        <f>$G$1276*9.02*2.6</f>
        <v>0</v>
      </c>
      <c r="H1278" s="2517">
        <v>32074</v>
      </c>
      <c r="I1278" s="2612"/>
      <c r="J1278" s="2612">
        <v>0</v>
      </c>
      <c r="K1278" s="2612"/>
      <c r="L1278" s="2613">
        <f t="shared" si="217"/>
        <v>0</v>
      </c>
      <c r="M1278" s="2613"/>
      <c r="N1278" s="2613"/>
      <c r="O1278" s="2613"/>
      <c r="P1278" s="2518"/>
      <c r="Q1278" s="2519"/>
      <c r="R1278" s="2519"/>
      <c r="S1278" s="2519"/>
    </row>
    <row r="1279" spans="1:20" s="2358" customFormat="1" outlineLevel="1">
      <c r="A1279" s="2435" t="str">
        <f>IF(G1279&lt;&gt;0,1,"")</f>
        <v/>
      </c>
      <c r="B1279" s="2514" t="s">
        <v>1083</v>
      </c>
      <c r="C1279" s="2511"/>
      <c r="D1279" s="2405">
        <v>0</v>
      </c>
      <c r="E1279" s="2447" t="s">
        <v>2660</v>
      </c>
      <c r="F1279" s="2405" t="s">
        <v>2445</v>
      </c>
      <c r="G1279" s="2679">
        <f>$G$1276*2</f>
        <v>0</v>
      </c>
      <c r="H1279" s="2517">
        <v>29900</v>
      </c>
      <c r="I1279" s="2612">
        <v>0</v>
      </c>
      <c r="J1279" s="2612">
        <v>0</v>
      </c>
      <c r="K1279" s="2612"/>
      <c r="L1279" s="2613">
        <f t="shared" si="217"/>
        <v>0</v>
      </c>
      <c r="M1279" s="2613"/>
      <c r="N1279" s="2613"/>
      <c r="O1279" s="2613"/>
      <c r="P1279" s="2518"/>
      <c r="Q1279" s="2519"/>
      <c r="R1279" s="2519"/>
      <c r="S1279" s="2519"/>
    </row>
    <row r="1280" spans="1:20" s="2358" customFormat="1" outlineLevel="1">
      <c r="A1280" s="2435" t="str">
        <f>IF(G1280&lt;&gt;0,1,"")</f>
        <v/>
      </c>
      <c r="B1280" s="2514" t="s">
        <v>138</v>
      </c>
      <c r="C1280" s="2511"/>
      <c r="D1280" s="2405">
        <v>0</v>
      </c>
      <c r="E1280" s="2447" t="s">
        <v>2635</v>
      </c>
      <c r="F1280" s="2405" t="s">
        <v>2445</v>
      </c>
      <c r="G1280" s="2679">
        <f>$G$1276*2</f>
        <v>0</v>
      </c>
      <c r="H1280" s="2517">
        <v>8500</v>
      </c>
      <c r="I1280" s="2612">
        <v>0</v>
      </c>
      <c r="J1280" s="2612">
        <v>0</v>
      </c>
      <c r="K1280" s="2612"/>
      <c r="L1280" s="2613">
        <f>H1280*G1280</f>
        <v>0</v>
      </c>
      <c r="M1280" s="2613"/>
      <c r="N1280" s="2613"/>
      <c r="O1280" s="2613"/>
      <c r="P1280" s="2518"/>
      <c r="Q1280" s="2519"/>
      <c r="R1280" s="2519"/>
      <c r="S1280" s="2519"/>
    </row>
    <row r="1281" spans="1:20" s="2358" customFormat="1" outlineLevel="1">
      <c r="A1281" s="2435" t="str">
        <f>IF(G1281&lt;&gt;0,1,"")</f>
        <v/>
      </c>
      <c r="B1281" s="2374" t="s">
        <v>5487</v>
      </c>
      <c r="C1281" s="2511"/>
      <c r="D1281" s="2405" t="s">
        <v>5488</v>
      </c>
      <c r="E1281" s="2447" t="s">
        <v>5489</v>
      </c>
      <c r="F1281" s="2405" t="s">
        <v>2254</v>
      </c>
      <c r="G1281" s="2679">
        <f>SUM(G1278)</f>
        <v>0</v>
      </c>
      <c r="H1281" s="2517">
        <v>0</v>
      </c>
      <c r="I1281" s="2612"/>
      <c r="J1281" s="2612">
        <v>2025</v>
      </c>
      <c r="K1281" s="2612">
        <v>0</v>
      </c>
      <c r="L1281" s="2613">
        <f>H1281*G1281</f>
        <v>0</v>
      </c>
      <c r="M1281" s="2613">
        <f>I1281*G1281</f>
        <v>0</v>
      </c>
      <c r="N1281" s="2612">
        <v>0</v>
      </c>
      <c r="O1281" s="2613"/>
      <c r="P1281" s="2518"/>
      <c r="Q1281" s="2519"/>
      <c r="R1281" s="2519"/>
      <c r="S1281" s="2519"/>
    </row>
    <row r="1282" spans="1:20" s="2358" customFormat="1" outlineLevel="1">
      <c r="A1282" s="2435" t="str">
        <f>IF(G1282&lt;&gt;0,1,"")</f>
        <v/>
      </c>
      <c r="B1282" s="2514"/>
      <c r="C1282" s="2511">
        <f>IF(G1282&gt;0,C1276+1,C1276)</f>
        <v>0</v>
      </c>
      <c r="D1282" s="2512"/>
      <c r="E1282" s="2670" t="s">
        <v>3738</v>
      </c>
      <c r="F1282" s="2511" t="s">
        <v>2391</v>
      </c>
      <c r="G1282" s="2483">
        <f>G1226</f>
        <v>0</v>
      </c>
      <c r="H1282" s="2517"/>
      <c r="I1282" s="2517"/>
      <c r="J1282" s="2517"/>
      <c r="K1282" s="2517"/>
      <c r="L1282" s="2517">
        <f t="shared" ref="L1282:L1291" si="219">H1282*G1282</f>
        <v>0</v>
      </c>
      <c r="M1282" s="2517">
        <f>I1282*G1282</f>
        <v>0</v>
      </c>
      <c r="N1282" s="2517">
        <f t="shared" ref="N1282:N1291" si="220">J1282*G1282</f>
        <v>0</v>
      </c>
      <c r="O1282" s="2517">
        <f>K1282*G1282</f>
        <v>0</v>
      </c>
      <c r="P1282" s="2642"/>
      <c r="Q1282" s="2519">
        <f>+SUM(L1283:L1299)</f>
        <v>0</v>
      </c>
      <c r="R1282" s="2519">
        <f>+SUM(M1283:M1299)</f>
        <v>0</v>
      </c>
      <c r="S1282" s="2519">
        <f>+SUM(N1283:N1299)</f>
        <v>0</v>
      </c>
      <c r="T1282" s="2519">
        <f>+SUM(O1283:O1299)</f>
        <v>0</v>
      </c>
    </row>
    <row r="1283" spans="1:20" s="2358" customFormat="1" ht="14.4" outlineLevel="1">
      <c r="A1283" s="2435" t="str">
        <f>+A1282</f>
        <v/>
      </c>
      <c r="B1283" s="2671"/>
      <c r="C1283" s="2511"/>
      <c r="D1283" s="2512"/>
      <c r="E1283" s="2520" t="s">
        <v>6207</v>
      </c>
      <c r="F1283" s="2521"/>
      <c r="G1283" s="2679"/>
      <c r="H1283" s="2517"/>
      <c r="I1283" s="2517"/>
      <c r="J1283" s="2517"/>
      <c r="K1283" s="2517"/>
      <c r="L1283" s="2517">
        <f t="shared" si="219"/>
        <v>0</v>
      </c>
      <c r="M1283" s="2517">
        <f>I1283*G1283</f>
        <v>0</v>
      </c>
      <c r="N1283" s="2517">
        <f t="shared" si="220"/>
        <v>0</v>
      </c>
      <c r="O1283" s="2517">
        <f>K1283*G1283</f>
        <v>0</v>
      </c>
      <c r="P1283" s="2642"/>
      <c r="Q1283" s="2519"/>
      <c r="R1283" s="2519"/>
      <c r="S1283" s="2519"/>
    </row>
    <row r="1284" spans="1:20" s="2358" customFormat="1" outlineLevel="1">
      <c r="A1284" s="2435" t="str">
        <f t="shared" ref="A1284:A1295" si="221">IF(G1284&lt;&gt;0,1,"")</f>
        <v/>
      </c>
      <c r="B1284" s="2514" t="s">
        <v>1033</v>
      </c>
      <c r="C1284" s="2511"/>
      <c r="D1284" s="2405">
        <v>0</v>
      </c>
      <c r="E1284" s="2447" t="s">
        <v>2708</v>
      </c>
      <c r="F1284" s="2405" t="s">
        <v>2254</v>
      </c>
      <c r="G1284" s="2679">
        <f>66.75*0.224*G1282</f>
        <v>0</v>
      </c>
      <c r="H1284" s="2517">
        <v>255500</v>
      </c>
      <c r="I1284" s="2517"/>
      <c r="J1284" s="2517">
        <v>0</v>
      </c>
      <c r="K1284" s="2517">
        <v>0</v>
      </c>
      <c r="L1284" s="2517">
        <f t="shared" si="219"/>
        <v>0</v>
      </c>
      <c r="M1284" s="2517">
        <f>I1284*G1284</f>
        <v>0</v>
      </c>
      <c r="N1284" s="2517">
        <f t="shared" si="220"/>
        <v>0</v>
      </c>
      <c r="O1284" s="2517">
        <f>K1284*G1284</f>
        <v>0</v>
      </c>
      <c r="P1284" s="2642"/>
      <c r="Q1284" s="2519"/>
      <c r="R1284" s="2519"/>
      <c r="S1284" s="2519"/>
    </row>
    <row r="1285" spans="1:20" s="2358" customFormat="1" outlineLevel="1">
      <c r="A1285" s="2435" t="str">
        <f t="shared" si="221"/>
        <v/>
      </c>
      <c r="B1285" s="2505" t="s">
        <v>1511</v>
      </c>
      <c r="C1285" s="2511"/>
      <c r="D1285" s="2405">
        <v>0</v>
      </c>
      <c r="E1285" s="2447" t="s">
        <v>5224</v>
      </c>
      <c r="F1285" s="2405" t="s">
        <v>2445</v>
      </c>
      <c r="G1285" s="2679">
        <f>12*G1282</f>
        <v>0</v>
      </c>
      <c r="H1285" s="2517">
        <v>160000</v>
      </c>
      <c r="I1285" s="2517"/>
      <c r="J1285" s="2517">
        <v>0</v>
      </c>
      <c r="K1285" s="2517">
        <v>0</v>
      </c>
      <c r="L1285" s="2517">
        <f t="shared" si="219"/>
        <v>0</v>
      </c>
      <c r="M1285" s="2517">
        <f>I1285*G1285</f>
        <v>0</v>
      </c>
      <c r="N1285" s="2517">
        <f t="shared" si="220"/>
        <v>0</v>
      </c>
      <c r="O1285" s="2517">
        <f>K1285*G1285</f>
        <v>0</v>
      </c>
      <c r="P1285" s="2642"/>
      <c r="Q1285" s="2519"/>
      <c r="R1285" s="2519"/>
      <c r="S1285" s="2519"/>
    </row>
    <row r="1286" spans="1:20" s="2358" customFormat="1" outlineLevel="1">
      <c r="A1286" s="2435" t="str">
        <f t="shared" si="221"/>
        <v/>
      </c>
      <c r="B1286" s="2514" t="s">
        <v>1582</v>
      </c>
      <c r="C1286" s="2511"/>
      <c r="D1286" s="2405">
        <v>0</v>
      </c>
      <c r="E1286" s="2447" t="s">
        <v>2889</v>
      </c>
      <c r="F1286" s="2405" t="s">
        <v>2563</v>
      </c>
      <c r="G1286" s="2679">
        <f>2*G1282</f>
        <v>0</v>
      </c>
      <c r="H1286" s="2517">
        <v>8000</v>
      </c>
      <c r="I1286" s="2517"/>
      <c r="J1286" s="2517">
        <v>0</v>
      </c>
      <c r="K1286" s="2517"/>
      <c r="L1286" s="2517">
        <f>H1286*G1286</f>
        <v>0</v>
      </c>
      <c r="M1286" s="2517"/>
      <c r="N1286" s="2517">
        <f>J1286*G1286</f>
        <v>0</v>
      </c>
      <c r="O1286" s="2517"/>
      <c r="P1286" s="2642"/>
      <c r="Q1286" s="2519"/>
      <c r="R1286" s="2519"/>
      <c r="S1286" s="2519"/>
    </row>
    <row r="1287" spans="1:20" s="2358" customFormat="1" outlineLevel="1">
      <c r="A1287" s="2435" t="str">
        <f t="shared" si="221"/>
        <v/>
      </c>
      <c r="B1287" s="2514" t="s">
        <v>1062</v>
      </c>
      <c r="C1287" s="2672"/>
      <c r="D1287" s="2405">
        <v>0</v>
      </c>
      <c r="E1287" s="2447" t="s">
        <v>3599</v>
      </c>
      <c r="F1287" s="2405" t="s">
        <v>2563</v>
      </c>
      <c r="G1287" s="2679">
        <f>G1282*3</f>
        <v>0</v>
      </c>
      <c r="H1287" s="2517">
        <v>17600</v>
      </c>
      <c r="I1287" s="2517"/>
      <c r="J1287" s="2517">
        <v>0</v>
      </c>
      <c r="K1287" s="2517"/>
      <c r="L1287" s="2517">
        <f>H1287*G1287</f>
        <v>0</v>
      </c>
      <c r="M1287" s="2517">
        <f t="shared" ref="M1287:M1295" si="222">I1287*G1287</f>
        <v>0</v>
      </c>
      <c r="N1287" s="2517">
        <f>J1287*G1287</f>
        <v>0</v>
      </c>
      <c r="O1287" s="2517">
        <f t="shared" ref="O1287:O1295" si="223">K1287*G1287</f>
        <v>0</v>
      </c>
      <c r="P1287" s="2642"/>
      <c r="Q1287" s="2519"/>
      <c r="R1287" s="2519"/>
      <c r="S1287" s="2519"/>
    </row>
    <row r="1288" spans="1:20" s="2358" customFormat="1" outlineLevel="1">
      <c r="A1288" s="2435" t="str">
        <f t="shared" si="221"/>
        <v/>
      </c>
      <c r="B1288" s="2514" t="s">
        <v>2023</v>
      </c>
      <c r="C1288" s="2672"/>
      <c r="D1288" s="2405">
        <v>0</v>
      </c>
      <c r="E1288" s="2447" t="s">
        <v>2635</v>
      </c>
      <c r="F1288" s="2405" t="s">
        <v>2445</v>
      </c>
      <c r="G1288" s="2679">
        <f>2*G1282</f>
        <v>0</v>
      </c>
      <c r="H1288" s="2517">
        <v>8500</v>
      </c>
      <c r="I1288" s="2517"/>
      <c r="J1288" s="2517">
        <v>0</v>
      </c>
      <c r="K1288" s="2517"/>
      <c r="L1288" s="2517">
        <f>H1288*G1288</f>
        <v>0</v>
      </c>
      <c r="M1288" s="2517">
        <f t="shared" si="222"/>
        <v>0</v>
      </c>
      <c r="N1288" s="2517">
        <f>J1288*G1288</f>
        <v>0</v>
      </c>
      <c r="O1288" s="2517">
        <f t="shared" si="223"/>
        <v>0</v>
      </c>
      <c r="P1288" s="2642"/>
      <c r="Q1288" s="2519"/>
      <c r="R1288" s="2519"/>
      <c r="S1288" s="2519"/>
    </row>
    <row r="1289" spans="1:20" s="2358" customFormat="1" outlineLevel="1">
      <c r="A1289" s="2435" t="str">
        <f>IF(G1289&lt;&gt;0,1,"")</f>
        <v/>
      </c>
      <c r="B1289" s="2514" t="s">
        <v>6267</v>
      </c>
      <c r="C1289" s="2672"/>
      <c r="D1289" s="2405" t="s">
        <v>5787</v>
      </c>
      <c r="E1289" s="2447" t="s">
        <v>3497</v>
      </c>
      <c r="F1289" s="2405" t="s">
        <v>2563</v>
      </c>
      <c r="G1289" s="2679">
        <f>G1282*7</f>
        <v>0</v>
      </c>
      <c r="H1289" s="2517">
        <v>9100</v>
      </c>
      <c r="I1289" s="2517"/>
      <c r="J1289" s="2517">
        <v>10608.955000000002</v>
      </c>
      <c r="K1289" s="2612">
        <v>2777.0232475000003</v>
      </c>
      <c r="L1289" s="2517">
        <f>H1289*G1289</f>
        <v>0</v>
      </c>
      <c r="M1289" s="2517">
        <f>I1289*G1289</f>
        <v>0</v>
      </c>
      <c r="N1289" s="2517">
        <f>J1289*G1289</f>
        <v>0</v>
      </c>
      <c r="O1289" s="2517">
        <f>K1289*G1289</f>
        <v>0</v>
      </c>
      <c r="P1289" s="2642"/>
      <c r="Q1289" s="2519"/>
      <c r="R1289" s="2519"/>
      <c r="S1289" s="2519"/>
    </row>
    <row r="1290" spans="1:20" s="2358" customFormat="1" outlineLevel="1">
      <c r="A1290" s="2435" t="str">
        <f t="shared" si="221"/>
        <v/>
      </c>
      <c r="B1290" s="2514" t="s">
        <v>6268</v>
      </c>
      <c r="C1290" s="2672"/>
      <c r="D1290" s="2405" t="s">
        <v>5788</v>
      </c>
      <c r="E1290" s="2447" t="s">
        <v>3498</v>
      </c>
      <c r="F1290" s="2405" t="s">
        <v>2563</v>
      </c>
      <c r="G1290" s="2679">
        <f>G1282*2</f>
        <v>0</v>
      </c>
      <c r="H1290" s="2517">
        <v>14000</v>
      </c>
      <c r="I1290" s="2517"/>
      <c r="J1290" s="2517">
        <v>16671.215</v>
      </c>
      <c r="K1290" s="2612">
        <v>3332.427897</v>
      </c>
      <c r="L1290" s="2517">
        <f>H1290*G1290</f>
        <v>0</v>
      </c>
      <c r="M1290" s="2517">
        <f t="shared" si="222"/>
        <v>0</v>
      </c>
      <c r="N1290" s="2517">
        <f>J1290*G1290</f>
        <v>0</v>
      </c>
      <c r="O1290" s="2517">
        <f t="shared" si="223"/>
        <v>0</v>
      </c>
      <c r="P1290" s="2642"/>
      <c r="Q1290" s="2519"/>
      <c r="R1290" s="2519"/>
      <c r="S1290" s="2519"/>
    </row>
    <row r="1291" spans="1:20" s="2358" customFormat="1" outlineLevel="1">
      <c r="A1291" s="2435" t="str">
        <f t="shared" si="221"/>
        <v/>
      </c>
      <c r="B1291" s="2505" t="s">
        <v>1493</v>
      </c>
      <c r="C1291" s="2511"/>
      <c r="D1291" s="2405">
        <v>0</v>
      </c>
      <c r="E1291" s="2447" t="s">
        <v>3554</v>
      </c>
      <c r="F1291" s="2405" t="s">
        <v>1827</v>
      </c>
      <c r="G1291" s="2679">
        <f>G1282*1</f>
        <v>0</v>
      </c>
      <c r="H1291" s="2517">
        <v>6200</v>
      </c>
      <c r="I1291" s="2517"/>
      <c r="J1291" s="2517">
        <v>0</v>
      </c>
      <c r="K1291" s="2517">
        <v>0</v>
      </c>
      <c r="L1291" s="2517">
        <f t="shared" si="219"/>
        <v>0</v>
      </c>
      <c r="M1291" s="2517">
        <f t="shared" si="222"/>
        <v>0</v>
      </c>
      <c r="N1291" s="2517">
        <f t="shared" si="220"/>
        <v>0</v>
      </c>
      <c r="O1291" s="2517">
        <f t="shared" si="223"/>
        <v>0</v>
      </c>
      <c r="P1291" s="2518"/>
      <c r="Q1291" s="2519"/>
      <c r="R1291" s="2519"/>
      <c r="S1291" s="2519"/>
    </row>
    <row r="1292" spans="1:20" s="2358" customFormat="1" outlineLevel="1">
      <c r="A1292" s="2435" t="str">
        <f t="shared" si="221"/>
        <v/>
      </c>
      <c r="B1292" s="2505" t="s">
        <v>525</v>
      </c>
      <c r="C1292" s="2511"/>
      <c r="D1292" s="2405">
        <v>0</v>
      </c>
      <c r="E1292" s="2447" t="s">
        <v>5313</v>
      </c>
      <c r="F1292" s="2405" t="s">
        <v>2445</v>
      </c>
      <c r="G1292" s="2679"/>
      <c r="H1292" s="2517">
        <v>43000</v>
      </c>
      <c r="I1292" s="2517"/>
      <c r="J1292" s="2517">
        <v>0</v>
      </c>
      <c r="K1292" s="2517">
        <v>0</v>
      </c>
      <c r="L1292" s="2517">
        <f>H1292*G1292</f>
        <v>0</v>
      </c>
      <c r="M1292" s="2517">
        <f t="shared" si="222"/>
        <v>0</v>
      </c>
      <c r="N1292" s="2517">
        <f>J1292*G1292</f>
        <v>0</v>
      </c>
      <c r="O1292" s="2517">
        <f t="shared" si="223"/>
        <v>0</v>
      </c>
      <c r="P1292" s="2518"/>
      <c r="Q1292" s="2519"/>
      <c r="R1292" s="2519"/>
      <c r="S1292" s="2519"/>
    </row>
    <row r="1293" spans="1:20" s="2358" customFormat="1" outlineLevel="1">
      <c r="A1293" s="2435" t="str">
        <f t="shared" si="221"/>
        <v/>
      </c>
      <c r="B1293" s="2383" t="s">
        <v>5242</v>
      </c>
      <c r="C1293" s="2511"/>
      <c r="D1293" s="2405">
        <v>0</v>
      </c>
      <c r="E1293" s="2447" t="s">
        <v>5243</v>
      </c>
      <c r="F1293" s="2405" t="s">
        <v>2538</v>
      </c>
      <c r="G1293" s="2679">
        <f>G1282*2.4</f>
        <v>0</v>
      </c>
      <c r="H1293" s="2517">
        <v>11000</v>
      </c>
      <c r="I1293" s="2517"/>
      <c r="J1293" s="2517">
        <v>0</v>
      </c>
      <c r="K1293" s="2517">
        <v>0</v>
      </c>
      <c r="L1293" s="2517">
        <f>H1293*G1293</f>
        <v>0</v>
      </c>
      <c r="M1293" s="2517">
        <f t="shared" si="222"/>
        <v>0</v>
      </c>
      <c r="N1293" s="2517">
        <f>J1293*G1293</f>
        <v>0</v>
      </c>
      <c r="O1293" s="2517">
        <f t="shared" si="223"/>
        <v>0</v>
      </c>
      <c r="P1293" s="2518"/>
      <c r="Q1293" s="2519"/>
      <c r="R1293" s="2519"/>
      <c r="S1293" s="2519"/>
    </row>
    <row r="1294" spans="1:20" s="2358" customFormat="1" outlineLevel="1">
      <c r="A1294" s="2435" t="str">
        <f t="shared" si="221"/>
        <v/>
      </c>
      <c r="B1294" s="2383" t="s">
        <v>5244</v>
      </c>
      <c r="C1294" s="2511"/>
      <c r="D1294" s="2405">
        <v>0</v>
      </c>
      <c r="E1294" s="2447" t="s">
        <v>5245</v>
      </c>
      <c r="F1294" s="2405" t="s">
        <v>2563</v>
      </c>
      <c r="G1294" s="2679">
        <f>G1282*2</f>
        <v>0</v>
      </c>
      <c r="H1294" s="2517">
        <v>4000</v>
      </c>
      <c r="I1294" s="2517"/>
      <c r="J1294" s="2517">
        <v>0</v>
      </c>
      <c r="K1294" s="2517">
        <v>0</v>
      </c>
      <c r="L1294" s="2517">
        <f>H1294*G1294</f>
        <v>0</v>
      </c>
      <c r="M1294" s="2517">
        <f t="shared" si="222"/>
        <v>0</v>
      </c>
      <c r="N1294" s="2517">
        <f>J1294*G1294</f>
        <v>0</v>
      </c>
      <c r="O1294" s="2517">
        <f t="shared" si="223"/>
        <v>0</v>
      </c>
      <c r="P1294" s="2518"/>
      <c r="Q1294" s="2519"/>
      <c r="R1294" s="2519"/>
      <c r="S1294" s="2519"/>
    </row>
    <row r="1295" spans="1:20" s="2358" customFormat="1" outlineLevel="1">
      <c r="A1295" s="2435" t="str">
        <f t="shared" si="221"/>
        <v/>
      </c>
      <c r="B1295" s="2505" t="s">
        <v>1588</v>
      </c>
      <c r="C1295" s="2511"/>
      <c r="D1295" s="2405">
        <v>0</v>
      </c>
      <c r="E1295" s="2447" t="s">
        <v>5775</v>
      </c>
      <c r="F1295" s="2405" t="s">
        <v>3463</v>
      </c>
      <c r="G1295" s="2679"/>
      <c r="H1295" s="2517">
        <v>0</v>
      </c>
      <c r="I1295" s="2517"/>
      <c r="J1295" s="2517">
        <v>1500000</v>
      </c>
      <c r="K1295" s="2517">
        <v>0</v>
      </c>
      <c r="L1295" s="2517">
        <f>H1295*G1295</f>
        <v>0</v>
      </c>
      <c r="M1295" s="2517">
        <f t="shared" si="222"/>
        <v>0</v>
      </c>
      <c r="N1295" s="2517">
        <f>J1295*G1295</f>
        <v>0</v>
      </c>
      <c r="O1295" s="2517">
        <f t="shared" si="223"/>
        <v>0</v>
      </c>
      <c r="P1295" s="2642"/>
      <c r="Q1295" s="2519"/>
      <c r="R1295" s="2519"/>
      <c r="S1295" s="2519"/>
    </row>
    <row r="1296" spans="1:20" s="2358" customFormat="1" outlineLevel="1">
      <c r="A1296" s="2435">
        <f>IF(G1296=0,0,1)</f>
        <v>0</v>
      </c>
      <c r="B1296" s="2505" t="s">
        <v>794</v>
      </c>
      <c r="C1296" s="2521"/>
      <c r="D1296" s="2405" t="s">
        <v>5398</v>
      </c>
      <c r="E1296" s="2447" t="s">
        <v>3086</v>
      </c>
      <c r="F1296" s="2405" t="s">
        <v>856</v>
      </c>
      <c r="G1296" s="2679">
        <f>G1282*48*0.3*0.5</f>
        <v>0</v>
      </c>
      <c r="H1296" s="2517">
        <v>0</v>
      </c>
      <c r="I1296" s="2517"/>
      <c r="J1296" s="2517">
        <v>283749.75</v>
      </c>
      <c r="K1296" s="2517">
        <v>0</v>
      </c>
      <c r="L1296" s="2517">
        <f t="shared" ref="L1296:O1297" si="224">H1296*$G1296</f>
        <v>0</v>
      </c>
      <c r="M1296" s="2517">
        <f t="shared" si="224"/>
        <v>0</v>
      </c>
      <c r="N1296" s="2517">
        <f t="shared" si="224"/>
        <v>0</v>
      </c>
      <c r="O1296" s="2517">
        <f t="shared" si="224"/>
        <v>0</v>
      </c>
      <c r="P1296" s="2642"/>
      <c r="Q1296" s="2519"/>
      <c r="R1296" s="2519"/>
      <c r="S1296" s="2519"/>
    </row>
    <row r="1297" spans="1:20" s="2358" customFormat="1" outlineLevel="1">
      <c r="A1297" s="2435">
        <f>IF(G1297=0,0,1)</f>
        <v>0</v>
      </c>
      <c r="B1297" s="2505" t="s">
        <v>1056</v>
      </c>
      <c r="C1297" s="2521"/>
      <c r="D1297" s="2405" t="s">
        <v>5387</v>
      </c>
      <c r="E1297" s="2447" t="s">
        <v>5399</v>
      </c>
      <c r="F1297" s="2405" t="s">
        <v>856</v>
      </c>
      <c r="G1297" s="2679">
        <f>G1296</f>
        <v>0</v>
      </c>
      <c r="H1297" s="2517">
        <v>0</v>
      </c>
      <c r="I1297" s="2517"/>
      <c r="J1297" s="2517">
        <v>117703.6</v>
      </c>
      <c r="K1297" s="2517">
        <v>0</v>
      </c>
      <c r="L1297" s="2517">
        <f t="shared" si="224"/>
        <v>0</v>
      </c>
      <c r="M1297" s="2517">
        <f t="shared" si="224"/>
        <v>0</v>
      </c>
      <c r="N1297" s="2517">
        <f>J1297*$G1297</f>
        <v>0</v>
      </c>
      <c r="O1297" s="2517">
        <f t="shared" si="224"/>
        <v>0</v>
      </c>
      <c r="P1297" s="2642"/>
      <c r="Q1297" s="2519"/>
      <c r="R1297" s="2519"/>
      <c r="S1297" s="2519"/>
    </row>
    <row r="1298" spans="1:20" s="2358" customFormat="1" outlineLevel="1">
      <c r="A1298" s="2435">
        <f>IF(G1298=0,0,1)</f>
        <v>0</v>
      </c>
      <c r="B1298" s="2505" t="s">
        <v>902</v>
      </c>
      <c r="C1298" s="2521"/>
      <c r="D1298" s="2405" t="s">
        <v>5413</v>
      </c>
      <c r="E1298" s="2447" t="s">
        <v>5414</v>
      </c>
      <c r="F1298" s="2405" t="s">
        <v>2284</v>
      </c>
      <c r="G1298" s="2679">
        <f>G1285</f>
        <v>0</v>
      </c>
      <c r="H1298" s="2517">
        <v>0</v>
      </c>
      <c r="I1298" s="2517"/>
      <c r="J1298" s="2517" t="s">
        <v>6386</v>
      </c>
      <c r="K1298" s="2517">
        <v>0</v>
      </c>
      <c r="L1298" s="2517">
        <f>H1298*$G1298</f>
        <v>0</v>
      </c>
      <c r="M1298" s="2517">
        <f>I1298*$G1298</f>
        <v>0</v>
      </c>
      <c r="N1298" s="2517">
        <v>0</v>
      </c>
      <c r="O1298" s="2517">
        <f>K1298*$G1298</f>
        <v>0</v>
      </c>
      <c r="P1298" s="2642"/>
      <c r="Q1298" s="2519"/>
      <c r="R1298" s="2519"/>
      <c r="S1298" s="2519"/>
    </row>
    <row r="1299" spans="1:20" s="2358" customFormat="1" outlineLevel="1">
      <c r="A1299" s="2435" t="str">
        <f>IF(G1299&lt;&gt;0,1,"")</f>
        <v/>
      </c>
      <c r="B1299" s="2505" t="s">
        <v>1440</v>
      </c>
      <c r="C1299" s="2511"/>
      <c r="D1299" s="2405" t="s">
        <v>5408</v>
      </c>
      <c r="E1299" s="2447" t="s">
        <v>5409</v>
      </c>
      <c r="F1299" s="2405" t="s">
        <v>2538</v>
      </c>
      <c r="G1299" s="2679">
        <f>G1284/0.224</f>
        <v>0</v>
      </c>
      <c r="H1299" s="2517">
        <v>0</v>
      </c>
      <c r="I1299" s="2517"/>
      <c r="J1299" s="2517">
        <v>8070.7000000000007</v>
      </c>
      <c r="K1299" s="2517">
        <v>2044.9974999999999</v>
      </c>
      <c r="L1299" s="2517">
        <f>H1299*G1299</f>
        <v>0</v>
      </c>
      <c r="M1299" s="2517">
        <f>I1299*G1299</f>
        <v>0</v>
      </c>
      <c r="N1299" s="2517">
        <f>J1299*G1299</f>
        <v>0</v>
      </c>
      <c r="O1299" s="2517">
        <f>K1299*G1299</f>
        <v>0</v>
      </c>
      <c r="P1299" s="2642"/>
      <c r="Q1299" s="2519"/>
      <c r="R1299" s="2519"/>
      <c r="S1299" s="2519"/>
    </row>
    <row r="1300" spans="1:20" s="2358" customFormat="1" outlineLevel="1">
      <c r="A1300" s="2435" t="str">
        <f>IF(G1300&lt;&gt;0,1,"")</f>
        <v/>
      </c>
      <c r="B1300" s="2514"/>
      <c r="C1300" s="2511">
        <f>IF(G1300&gt;0,C1282+1,C1282)</f>
        <v>0</v>
      </c>
      <c r="D1300" s="2512"/>
      <c r="E1300" s="2515" t="s">
        <v>6296</v>
      </c>
      <c r="F1300" s="2511" t="s">
        <v>2391</v>
      </c>
      <c r="G1300" s="2483">
        <f>G1233</f>
        <v>0</v>
      </c>
      <c r="H1300" s="2517"/>
      <c r="I1300" s="2517"/>
      <c r="J1300" s="2517"/>
      <c r="K1300" s="2517"/>
      <c r="L1300" s="2517">
        <f t="shared" ref="L1300:L1305" si="225">H1300*G1300</f>
        <v>0</v>
      </c>
      <c r="M1300" s="2517">
        <f t="shared" ref="M1300:M1305" si="226">I1300*G1300</f>
        <v>0</v>
      </c>
      <c r="N1300" s="2517">
        <f t="shared" ref="N1300:N1305" si="227">J1300*G1300</f>
        <v>0</v>
      </c>
      <c r="O1300" s="2517">
        <f t="shared" ref="O1300:O1305" si="228">K1300*G1300</f>
        <v>0</v>
      </c>
      <c r="P1300" s="2518"/>
      <c r="Q1300" s="2519">
        <f>+SUM(L1301:L1305)</f>
        <v>0</v>
      </c>
      <c r="R1300" s="2519">
        <f>+SUM(M1301:M1305)</f>
        <v>0</v>
      </c>
      <c r="S1300" s="2519">
        <f>+SUM(N1301:N1305)</f>
        <v>0</v>
      </c>
      <c r="T1300" s="2519">
        <f>+SUM(O1301:O1305)</f>
        <v>0</v>
      </c>
    </row>
    <row r="1301" spans="1:20" s="2358" customFormat="1" ht="14.4" outlineLevel="1">
      <c r="A1301" s="2435" t="str">
        <f>A1300</f>
        <v/>
      </c>
      <c r="B1301" s="2514"/>
      <c r="C1301" s="2511"/>
      <c r="D1301" s="2512"/>
      <c r="E1301" s="2520" t="s">
        <v>6207</v>
      </c>
      <c r="F1301" s="2521"/>
      <c r="G1301" s="2679"/>
      <c r="H1301" s="2517"/>
      <c r="I1301" s="2517"/>
      <c r="J1301" s="2517"/>
      <c r="K1301" s="2517"/>
      <c r="L1301" s="2517">
        <f t="shared" si="225"/>
        <v>0</v>
      </c>
      <c r="M1301" s="2517">
        <f t="shared" si="226"/>
        <v>0</v>
      </c>
      <c r="N1301" s="2517">
        <f t="shared" si="227"/>
        <v>0</v>
      </c>
      <c r="O1301" s="2517">
        <f t="shared" si="228"/>
        <v>0</v>
      </c>
      <c r="P1301" s="2518"/>
      <c r="Q1301" s="2519"/>
      <c r="R1301" s="2519"/>
      <c r="S1301" s="2519"/>
    </row>
    <row r="1302" spans="1:20" s="2358" customFormat="1" outlineLevel="1">
      <c r="A1302" s="2435" t="str">
        <f>IF(G1302&lt;&gt;0,1,"")</f>
        <v/>
      </c>
      <c r="B1302" s="2514" t="s">
        <v>653</v>
      </c>
      <c r="C1302" s="2521"/>
      <c r="D1302" s="2405">
        <v>0</v>
      </c>
      <c r="E1302" s="2447" t="s">
        <v>5351</v>
      </c>
      <c r="F1302" s="2405" t="s">
        <v>2254</v>
      </c>
      <c r="G1302" s="2679">
        <f>+G1305*296</f>
        <v>0</v>
      </c>
      <c r="H1302" s="2517">
        <v>1740</v>
      </c>
      <c r="I1302" s="2517"/>
      <c r="J1302" s="2517">
        <v>0</v>
      </c>
      <c r="K1302" s="2517">
        <v>0</v>
      </c>
      <c r="L1302" s="2517">
        <f t="shared" si="225"/>
        <v>0</v>
      </c>
      <c r="M1302" s="2517">
        <f t="shared" si="226"/>
        <v>0</v>
      </c>
      <c r="N1302" s="2517">
        <f t="shared" si="227"/>
        <v>0</v>
      </c>
      <c r="O1302" s="2517">
        <f t="shared" si="228"/>
        <v>0</v>
      </c>
      <c r="P1302" s="2518"/>
      <c r="Q1302" s="2519"/>
      <c r="R1302" s="2519"/>
      <c r="S1302" s="2519"/>
    </row>
    <row r="1303" spans="1:20" s="2358" customFormat="1" outlineLevel="1">
      <c r="A1303" s="2435" t="str">
        <f>IF(G1303&lt;&gt;0,1,"")</f>
        <v/>
      </c>
      <c r="B1303" s="2514" t="s">
        <v>752</v>
      </c>
      <c r="C1303" s="2511"/>
      <c r="D1303" s="2405">
        <v>0</v>
      </c>
      <c r="E1303" s="2447" t="s">
        <v>3022</v>
      </c>
      <c r="F1303" s="2405" t="s">
        <v>856</v>
      </c>
      <c r="G1303" s="2679">
        <f>G1305*0.475</f>
        <v>0</v>
      </c>
      <c r="H1303" s="2517">
        <v>512000</v>
      </c>
      <c r="I1303" s="2517"/>
      <c r="J1303" s="2517">
        <v>0</v>
      </c>
      <c r="K1303" s="2517">
        <v>0</v>
      </c>
      <c r="L1303" s="2517">
        <f t="shared" si="225"/>
        <v>0</v>
      </c>
      <c r="M1303" s="2517">
        <f t="shared" si="226"/>
        <v>0</v>
      </c>
      <c r="N1303" s="2517">
        <f t="shared" si="227"/>
        <v>0</v>
      </c>
      <c r="O1303" s="2517">
        <f t="shared" si="228"/>
        <v>0</v>
      </c>
      <c r="P1303" s="2518"/>
      <c r="Q1303" s="2519"/>
      <c r="R1303" s="2519"/>
      <c r="S1303" s="2519"/>
    </row>
    <row r="1304" spans="1:20" s="2358" customFormat="1" outlineLevel="1">
      <c r="A1304" s="2435" t="str">
        <f>IF(G1304&lt;&gt;0,1,"")</f>
        <v/>
      </c>
      <c r="B1304" s="2514" t="s">
        <v>216</v>
      </c>
      <c r="C1304" s="2511"/>
      <c r="D1304" s="2405">
        <v>0</v>
      </c>
      <c r="E1304" s="2447" t="s">
        <v>3018</v>
      </c>
      <c r="F1304" s="2405" t="s">
        <v>856</v>
      </c>
      <c r="G1304" s="2679">
        <f>G1305*0.881</f>
        <v>0</v>
      </c>
      <c r="H1304" s="2517">
        <v>335000</v>
      </c>
      <c r="I1304" s="2517"/>
      <c r="J1304" s="2517">
        <v>0</v>
      </c>
      <c r="K1304" s="2517">
        <v>0</v>
      </c>
      <c r="L1304" s="2517">
        <f t="shared" si="225"/>
        <v>0</v>
      </c>
      <c r="M1304" s="2517">
        <f t="shared" si="226"/>
        <v>0</v>
      </c>
      <c r="N1304" s="2517">
        <f t="shared" si="227"/>
        <v>0</v>
      </c>
      <c r="O1304" s="2517">
        <f t="shared" si="228"/>
        <v>0</v>
      </c>
      <c r="P1304" s="2518"/>
      <c r="Q1304" s="2519"/>
      <c r="R1304" s="2519"/>
      <c r="S1304" s="2519"/>
    </row>
    <row r="1305" spans="1:20" s="2358" customFormat="1" outlineLevel="1">
      <c r="A1305" s="2435" t="str">
        <f>IF(G1305&lt;&gt;0,1,"")</f>
        <v/>
      </c>
      <c r="B1305" s="2514" t="s">
        <v>654</v>
      </c>
      <c r="C1305" s="2521"/>
      <c r="D1305" s="2405" t="s">
        <v>5533</v>
      </c>
      <c r="E1305" s="2447" t="s">
        <v>5536</v>
      </c>
      <c r="F1305" s="2405" t="s">
        <v>856</v>
      </c>
      <c r="G1305" s="2679">
        <f>G1300*(0.4*3*1-2*3.14*0.15^2*0.4)</f>
        <v>0</v>
      </c>
      <c r="H1305" s="2517"/>
      <c r="I1305" s="2517"/>
      <c r="J1305" s="2517">
        <v>466397.5</v>
      </c>
      <c r="K1305" s="2517">
        <v>0</v>
      </c>
      <c r="L1305" s="2517">
        <f t="shared" si="225"/>
        <v>0</v>
      </c>
      <c r="M1305" s="2517">
        <f t="shared" si="226"/>
        <v>0</v>
      </c>
      <c r="N1305" s="2517">
        <f t="shared" si="227"/>
        <v>0</v>
      </c>
      <c r="O1305" s="2517">
        <f t="shared" si="228"/>
        <v>0</v>
      </c>
      <c r="P1305" s="2518"/>
      <c r="Q1305" s="2525"/>
      <c r="R1305" s="2525">
        <f>1.025*0.45</f>
        <v>0.46124999999999999</v>
      </c>
      <c r="S1305" s="2525"/>
      <c r="T1305" s="2526"/>
    </row>
    <row r="1306" spans="1:20" s="2358" customFormat="1" outlineLevel="1">
      <c r="A1306" s="2435" t="str">
        <f>IF(G1306&lt;&gt;0,1,"")</f>
        <v/>
      </c>
      <c r="B1306" s="2514"/>
      <c r="C1306" s="2511">
        <f>IF(G1306&gt;0,C1300+1,C1300)</f>
        <v>0</v>
      </c>
      <c r="D1306" s="2512"/>
      <c r="E1306" s="2629" t="s">
        <v>6283</v>
      </c>
      <c r="F1306" s="2511" t="s">
        <v>2391</v>
      </c>
      <c r="G1306" s="2483">
        <f>G1226</f>
        <v>0</v>
      </c>
      <c r="H1306" s="2517"/>
      <c r="I1306" s="2517"/>
      <c r="J1306" s="2517"/>
      <c r="K1306" s="2517"/>
      <c r="L1306" s="2517">
        <f>H1306*G1306</f>
        <v>0</v>
      </c>
      <c r="M1306" s="2517">
        <f>I1306*G1306</f>
        <v>0</v>
      </c>
      <c r="N1306" s="2517">
        <f>J1306*G1306</f>
        <v>0</v>
      </c>
      <c r="O1306" s="2517">
        <f>K1306*G1306</f>
        <v>0</v>
      </c>
      <c r="P1306" s="2642"/>
      <c r="Q1306" s="2519">
        <f>+SUM(L1307:L1310)</f>
        <v>0</v>
      </c>
      <c r="R1306" s="2519">
        <f>+SUM(M1307:M1310)</f>
        <v>0</v>
      </c>
      <c r="S1306" s="2519">
        <f>+SUM(N1307:N1310)</f>
        <v>0</v>
      </c>
      <c r="T1306" s="2519">
        <f>+SUM(O1307:O1310)</f>
        <v>0</v>
      </c>
    </row>
    <row r="1307" spans="1:20" s="2358" customFormat="1" ht="14.4" outlineLevel="1">
      <c r="A1307" s="2435" t="str">
        <f>A1306</f>
        <v/>
      </c>
      <c r="B1307" s="2514"/>
      <c r="C1307" s="2511"/>
      <c r="D1307" s="2512"/>
      <c r="E1307" s="2520" t="s">
        <v>6207</v>
      </c>
      <c r="F1307" s="2521"/>
      <c r="G1307" s="2679"/>
      <c r="H1307" s="2517"/>
      <c r="I1307" s="2517"/>
      <c r="J1307" s="2517"/>
      <c r="K1307" s="2517"/>
      <c r="L1307" s="2517">
        <f>H1307*G1307</f>
        <v>0</v>
      </c>
      <c r="M1307" s="2517">
        <f>I1307*G1307</f>
        <v>0</v>
      </c>
      <c r="N1307" s="2517">
        <f>J1307*G1307</f>
        <v>0</v>
      </c>
      <c r="O1307" s="2517">
        <f>K1307*G1307</f>
        <v>0</v>
      </c>
      <c r="P1307" s="2642"/>
      <c r="Q1307" s="2519"/>
      <c r="R1307" s="2519"/>
      <c r="S1307" s="2519"/>
    </row>
    <row r="1308" spans="1:20" s="2358" customFormat="1" outlineLevel="1">
      <c r="A1308" s="2435" t="str">
        <f>IF(G1308&lt;&gt;0,1,"")</f>
        <v/>
      </c>
      <c r="B1308" s="2433" t="s">
        <v>838</v>
      </c>
      <c r="C1308" s="2521"/>
      <c r="D1308" s="2405"/>
      <c r="E1308" s="2447" t="s">
        <v>5721</v>
      </c>
      <c r="F1308" s="2405" t="s">
        <v>2563</v>
      </c>
      <c r="G1308" s="2679">
        <f>$G$1306</f>
        <v>0</v>
      </c>
      <c r="H1308" s="2517">
        <v>783952</v>
      </c>
      <c r="I1308" s="2517"/>
      <c r="J1308" s="2517"/>
      <c r="K1308" s="2517"/>
      <c r="L1308" s="2517">
        <f>H1308*G1308</f>
        <v>0</v>
      </c>
      <c r="M1308" s="2517">
        <f>I1308*G1308</f>
        <v>0</v>
      </c>
      <c r="N1308" s="2517">
        <f>J1308*G1308</f>
        <v>0</v>
      </c>
      <c r="O1308" s="2517">
        <f>K1308*G1308</f>
        <v>0</v>
      </c>
      <c r="P1308" s="2642"/>
      <c r="Q1308" s="2519"/>
      <c r="R1308" s="2519"/>
      <c r="S1308" s="2519"/>
    </row>
    <row r="1309" spans="1:20" s="2358" customFormat="1" outlineLevel="1">
      <c r="A1309" s="2435" t="str">
        <f>IF(G1309&lt;&gt;0,1,"")</f>
        <v/>
      </c>
      <c r="B1309" s="2433" t="s">
        <v>5705</v>
      </c>
      <c r="C1309" s="2511"/>
      <c r="D1309" s="2405" t="s">
        <v>5695</v>
      </c>
      <c r="E1309" s="2447" t="s">
        <v>5706</v>
      </c>
      <c r="F1309" s="2405" t="s">
        <v>2563</v>
      </c>
      <c r="G1309" s="2679">
        <f>G1306*1</f>
        <v>0</v>
      </c>
      <c r="H1309" s="2517">
        <v>2112489</v>
      </c>
      <c r="I1309" s="2517"/>
      <c r="J1309" s="2517">
        <v>690091</v>
      </c>
      <c r="K1309" s="2517">
        <v>97369</v>
      </c>
      <c r="L1309" s="2517">
        <f>H1309*G1309</f>
        <v>0</v>
      </c>
      <c r="M1309" s="2517">
        <f>I1309*G1309</f>
        <v>0</v>
      </c>
      <c r="N1309" s="2517">
        <f>J1309*G1309</f>
        <v>0</v>
      </c>
      <c r="O1309" s="2517">
        <f>K1309*G1309</f>
        <v>0</v>
      </c>
      <c r="P1309" s="2642"/>
      <c r="Q1309" s="2519"/>
      <c r="R1309" s="2519"/>
      <c r="S1309" s="2519"/>
    </row>
    <row r="1310" spans="1:20" s="2358" customFormat="1" outlineLevel="1">
      <c r="A1310" s="2435" t="str">
        <f>IF(G1310&lt;&gt;0,1,"")</f>
        <v/>
      </c>
      <c r="B1310" s="2514" t="s">
        <v>289</v>
      </c>
      <c r="C1310" s="2521"/>
      <c r="D1310" s="2405"/>
      <c r="E1310" s="2447" t="s">
        <v>5774</v>
      </c>
      <c r="F1310" s="2405" t="s">
        <v>2563</v>
      </c>
      <c r="G1310" s="2679">
        <f>G1306</f>
        <v>0</v>
      </c>
      <c r="H1310" s="2517">
        <v>300000</v>
      </c>
      <c r="I1310" s="2517"/>
      <c r="J1310" s="2517"/>
      <c r="K1310" s="2517">
        <v>0</v>
      </c>
      <c r="L1310" s="2517">
        <f>H1310*G1310</f>
        <v>0</v>
      </c>
      <c r="M1310" s="2517">
        <f>I1310*G1310</f>
        <v>0</v>
      </c>
      <c r="N1310" s="2517">
        <f>J1310*G1310</f>
        <v>0</v>
      </c>
      <c r="O1310" s="2517">
        <f>K1310*G1310</f>
        <v>0</v>
      </c>
      <c r="P1310" s="2642"/>
      <c r="Q1310" s="2519"/>
      <c r="R1310" s="2519"/>
      <c r="S1310" s="2519"/>
    </row>
    <row r="1311" spans="1:20" s="2358" customFormat="1" outlineLevel="1">
      <c r="A1311" s="2435" t="str">
        <f t="shared" ref="A1311:A1321" si="229">IF(G1311&lt;&gt;0,1,"")</f>
        <v/>
      </c>
      <c r="B1311" s="2514"/>
      <c r="C1311" s="2511">
        <f>IF(G1311&gt;0,C1306+1,C1306)</f>
        <v>0</v>
      </c>
      <c r="D1311" s="2512"/>
      <c r="E1311" s="2513" t="s">
        <v>3745</v>
      </c>
      <c r="F1311" s="2511" t="s">
        <v>2391</v>
      </c>
      <c r="G1311" s="2483">
        <f>G1226</f>
        <v>0</v>
      </c>
      <c r="H1311" s="2517"/>
      <c r="I1311" s="2517"/>
      <c r="J1311" s="2517"/>
      <c r="K1311" s="2517"/>
      <c r="L1311" s="2517"/>
      <c r="M1311" s="2517"/>
      <c r="N1311" s="2517"/>
      <c r="O1311" s="2517"/>
      <c r="P1311" s="2642"/>
      <c r="Q1311" s="2519">
        <f>+SUM(L1312:L1323)</f>
        <v>0</v>
      </c>
      <c r="R1311" s="2519">
        <f>+SUM(M1312:M1323)</f>
        <v>0</v>
      </c>
      <c r="S1311" s="2519">
        <f>+SUM(N1312:N1323)</f>
        <v>0</v>
      </c>
      <c r="T1311" s="2519">
        <f>+SUM(O1312:O1323)</f>
        <v>0</v>
      </c>
    </row>
    <row r="1312" spans="1:20" s="2358" customFormat="1" ht="14.4" outlineLevel="1">
      <c r="A1312" s="2435" t="str">
        <f>A1311</f>
        <v/>
      </c>
      <c r="B1312" s="2514"/>
      <c r="C1312" s="2511"/>
      <c r="D1312" s="2512"/>
      <c r="E1312" s="2527" t="s">
        <v>6207</v>
      </c>
      <c r="F1312" s="2511"/>
      <c r="G1312" s="2483"/>
      <c r="H1312" s="2517"/>
      <c r="I1312" s="2517"/>
      <c r="J1312" s="2517"/>
      <c r="K1312" s="2517"/>
      <c r="L1312" s="2517"/>
      <c r="M1312" s="2517"/>
      <c r="N1312" s="2517"/>
      <c r="O1312" s="2517"/>
      <c r="P1312" s="2642"/>
      <c r="Q1312" s="2519"/>
      <c r="R1312" s="2519"/>
      <c r="S1312" s="2519"/>
    </row>
    <row r="1313" spans="1:20" s="2358" customFormat="1" outlineLevel="1">
      <c r="A1313" s="2435" t="str">
        <f>IF(G1313&lt;&gt;0,1,"")</f>
        <v/>
      </c>
      <c r="B1313" s="2505" t="s">
        <v>697</v>
      </c>
      <c r="C1313" s="2521"/>
      <c r="D1313" s="2405">
        <v>0</v>
      </c>
      <c r="E1313" s="2447" t="s">
        <v>5139</v>
      </c>
      <c r="F1313" s="2405" t="s">
        <v>2538</v>
      </c>
      <c r="G1313" s="2679">
        <f>G1311*(7)*3</f>
        <v>0</v>
      </c>
      <c r="H1313" s="2517">
        <v>50996</v>
      </c>
      <c r="I1313" s="2517"/>
      <c r="J1313" s="2517">
        <v>0</v>
      </c>
      <c r="K1313" s="2517">
        <v>0</v>
      </c>
      <c r="L1313" s="2517">
        <f t="shared" ref="L1313:L1321" si="230">H1313*G1313</f>
        <v>0</v>
      </c>
      <c r="M1313" s="2517">
        <f t="shared" ref="M1313:M1321" si="231">I1313*G1313</f>
        <v>0</v>
      </c>
      <c r="N1313" s="2517">
        <f t="shared" ref="N1313:N1321" si="232">J1313*G1313</f>
        <v>0</v>
      </c>
      <c r="O1313" s="2517">
        <f t="shared" ref="O1313:O1321" si="233">K1313*G1313</f>
        <v>0</v>
      </c>
      <c r="P1313" s="2642"/>
      <c r="Q1313" s="2519"/>
      <c r="R1313" s="2519"/>
      <c r="S1313" s="2519"/>
    </row>
    <row r="1314" spans="1:20" s="2358" customFormat="1" outlineLevel="1">
      <c r="A1314" s="2435" t="str">
        <f>IF(G1314&lt;&gt;0,1,"")</f>
        <v/>
      </c>
      <c r="B1314" s="2505" t="s">
        <v>5761</v>
      </c>
      <c r="C1314" s="2521"/>
      <c r="D1314" s="2405">
        <v>0</v>
      </c>
      <c r="E1314" s="2447" t="s">
        <v>5762</v>
      </c>
      <c r="F1314" s="2405" t="s">
        <v>2563</v>
      </c>
      <c r="G1314" s="2679">
        <f>+G1311*3</f>
        <v>0</v>
      </c>
      <c r="H1314" s="2517">
        <v>218200</v>
      </c>
      <c r="I1314" s="2517"/>
      <c r="J1314" s="2517">
        <v>0</v>
      </c>
      <c r="K1314" s="2517">
        <v>0</v>
      </c>
      <c r="L1314" s="2517">
        <f>H1314*G1314</f>
        <v>0</v>
      </c>
      <c r="M1314" s="2517">
        <f t="shared" si="231"/>
        <v>0</v>
      </c>
      <c r="N1314" s="2517">
        <f>J1314*G1314</f>
        <v>0</v>
      </c>
      <c r="O1314" s="2517">
        <f>K1314*G1314</f>
        <v>0</v>
      </c>
      <c r="P1314" s="2642"/>
      <c r="Q1314" s="2519"/>
      <c r="R1314" s="2519"/>
      <c r="S1314" s="2519"/>
    </row>
    <row r="1315" spans="1:20" s="2358" customFormat="1" outlineLevel="1">
      <c r="A1315" s="2435" t="str">
        <f>IF(G1315&lt;&gt;0,1,"")</f>
        <v/>
      </c>
      <c r="B1315" s="2505" t="s">
        <v>5767</v>
      </c>
      <c r="C1315" s="2521"/>
      <c r="D1315" s="2405">
        <v>0</v>
      </c>
      <c r="E1315" s="2447" t="s">
        <v>5768</v>
      </c>
      <c r="F1315" s="2405" t="s">
        <v>2563</v>
      </c>
      <c r="G1315" s="2679">
        <f>+G1311*3</f>
        <v>0</v>
      </c>
      <c r="H1315" s="2517">
        <v>39100</v>
      </c>
      <c r="I1315" s="2517"/>
      <c r="J1315" s="2517">
        <v>0</v>
      </c>
      <c r="K1315" s="2517">
        <v>0</v>
      </c>
      <c r="L1315" s="2517">
        <f>H1315*G1315</f>
        <v>0</v>
      </c>
      <c r="M1315" s="2517">
        <f t="shared" si="231"/>
        <v>0</v>
      </c>
      <c r="N1315" s="2517">
        <f>J1315*G1315</f>
        <v>0</v>
      </c>
      <c r="O1315" s="2517">
        <f>K1315*G1315</f>
        <v>0</v>
      </c>
      <c r="P1315" s="2642"/>
      <c r="Q1315" s="2519"/>
      <c r="R1315" s="2519"/>
      <c r="S1315" s="2519"/>
    </row>
    <row r="1316" spans="1:20" s="2358" customFormat="1" outlineLevel="1">
      <c r="A1316" s="2435" t="str">
        <f>IF(G1316&lt;&gt;0,1,"")</f>
        <v/>
      </c>
      <c r="B1316" s="2505" t="s">
        <v>5769</v>
      </c>
      <c r="C1316" s="2521"/>
      <c r="D1316" s="2405">
        <v>0</v>
      </c>
      <c r="E1316" s="2447" t="s">
        <v>5770</v>
      </c>
      <c r="F1316" s="2405" t="s">
        <v>2563</v>
      </c>
      <c r="G1316" s="2679">
        <f>+G1311*3</f>
        <v>0</v>
      </c>
      <c r="H1316" s="2517">
        <v>56700</v>
      </c>
      <c r="I1316" s="2517"/>
      <c r="J1316" s="2517">
        <v>0</v>
      </c>
      <c r="K1316" s="2517">
        <v>0</v>
      </c>
      <c r="L1316" s="2517">
        <f>H1316*G1316</f>
        <v>0</v>
      </c>
      <c r="M1316" s="2517">
        <f t="shared" si="231"/>
        <v>0</v>
      </c>
      <c r="N1316" s="2517">
        <f>J1316*G1316</f>
        <v>0</v>
      </c>
      <c r="O1316" s="2517">
        <f>K1316*G1316</f>
        <v>0</v>
      </c>
      <c r="P1316" s="2642"/>
      <c r="Q1316" s="2519"/>
      <c r="R1316" s="2519"/>
      <c r="S1316" s="2519"/>
    </row>
    <row r="1317" spans="1:20" s="2358" customFormat="1" outlineLevel="1">
      <c r="A1317" s="2435" t="str">
        <f>IF(G1317&lt;&gt;0,1,"")</f>
        <v/>
      </c>
      <c r="B1317" s="2682" t="s">
        <v>5766</v>
      </c>
      <c r="C1317" s="2521"/>
      <c r="D1317" s="2405">
        <v>0</v>
      </c>
      <c r="E1317" s="2447" t="s">
        <v>4565</v>
      </c>
      <c r="F1317" s="2405" t="s">
        <v>3463</v>
      </c>
      <c r="G1317" s="2679">
        <f>G1318</f>
        <v>0</v>
      </c>
      <c r="H1317" s="2517">
        <v>136800</v>
      </c>
      <c r="I1317" s="2517"/>
      <c r="J1317" s="2517">
        <v>0</v>
      </c>
      <c r="K1317" s="2517">
        <v>0</v>
      </c>
      <c r="L1317" s="2517">
        <f>H1317*G1317</f>
        <v>0</v>
      </c>
      <c r="M1317" s="2517">
        <f>I1317*G1317</f>
        <v>0</v>
      </c>
      <c r="N1317" s="2517">
        <f>J1317*G1317</f>
        <v>0</v>
      </c>
      <c r="O1317" s="2517">
        <f>K1317*G1317</f>
        <v>0</v>
      </c>
      <c r="P1317" s="2642"/>
      <c r="Q1317" s="2519"/>
      <c r="R1317" s="2519"/>
      <c r="S1317" s="2519"/>
    </row>
    <row r="1318" spans="1:20" s="2358" customFormat="1" outlineLevel="1">
      <c r="A1318" s="2435" t="str">
        <f t="shared" si="229"/>
        <v/>
      </c>
      <c r="B1318" s="2505" t="s">
        <v>1482</v>
      </c>
      <c r="C1318" s="2521"/>
      <c r="D1318" s="2405">
        <v>0</v>
      </c>
      <c r="E1318" s="2447" t="s">
        <v>3810</v>
      </c>
      <c r="F1318" s="2405" t="s">
        <v>2563</v>
      </c>
      <c r="G1318" s="2679">
        <f>+G1311*3</f>
        <v>0</v>
      </c>
      <c r="H1318" s="2517">
        <v>46000</v>
      </c>
      <c r="I1318" s="2517"/>
      <c r="J1318" s="2517">
        <v>0</v>
      </c>
      <c r="K1318" s="2517">
        <v>0</v>
      </c>
      <c r="L1318" s="2517">
        <f t="shared" si="230"/>
        <v>0</v>
      </c>
      <c r="M1318" s="2517">
        <f t="shared" si="231"/>
        <v>0</v>
      </c>
      <c r="N1318" s="2517">
        <f t="shared" si="232"/>
        <v>0</v>
      </c>
      <c r="O1318" s="2517">
        <f t="shared" si="233"/>
        <v>0</v>
      </c>
      <c r="P1318" s="2642"/>
      <c r="Q1318" s="2519"/>
      <c r="R1318" s="2519"/>
      <c r="S1318" s="2519"/>
    </row>
    <row r="1319" spans="1:20" s="2358" customFormat="1" outlineLevel="1">
      <c r="A1319" s="2435" t="str">
        <f t="shared" si="229"/>
        <v/>
      </c>
      <c r="B1319" s="2610" t="s">
        <v>1480</v>
      </c>
      <c r="C1319" s="2521"/>
      <c r="D1319" s="2405"/>
      <c r="E1319" s="2447" t="s">
        <v>6420</v>
      </c>
      <c r="F1319" s="2405" t="s">
        <v>2563</v>
      </c>
      <c r="G1319" s="2679">
        <f>G1318</f>
        <v>0</v>
      </c>
      <c r="H1319" s="2517">
        <v>77000</v>
      </c>
      <c r="I1319" s="2517"/>
      <c r="J1319" s="2517"/>
      <c r="K1319" s="2517">
        <v>0</v>
      </c>
      <c r="L1319" s="2517">
        <f t="shared" si="230"/>
        <v>0</v>
      </c>
      <c r="M1319" s="2517">
        <f t="shared" si="231"/>
        <v>0</v>
      </c>
      <c r="N1319" s="2517">
        <f t="shared" si="232"/>
        <v>0</v>
      </c>
      <c r="O1319" s="2517">
        <f t="shared" si="233"/>
        <v>0</v>
      </c>
      <c r="P1319" s="2642"/>
      <c r="Q1319" s="2519"/>
      <c r="R1319" s="2519"/>
      <c r="S1319" s="2519"/>
    </row>
    <row r="1320" spans="1:20" s="2358" customFormat="1" outlineLevel="1">
      <c r="A1320" s="2435" t="str">
        <f t="shared" si="229"/>
        <v/>
      </c>
      <c r="B1320" s="2505" t="s">
        <v>696</v>
      </c>
      <c r="C1320" s="2642"/>
      <c r="D1320" s="2405">
        <v>0</v>
      </c>
      <c r="E1320" s="2447" t="s">
        <v>2952</v>
      </c>
      <c r="F1320" s="2405" t="s">
        <v>2563</v>
      </c>
      <c r="G1320" s="2679">
        <f>+G1311*6</f>
        <v>0</v>
      </c>
      <c r="H1320" s="2517">
        <v>205000</v>
      </c>
      <c r="I1320" s="2517"/>
      <c r="J1320" s="2517">
        <v>0</v>
      </c>
      <c r="K1320" s="2517">
        <v>0</v>
      </c>
      <c r="L1320" s="2517">
        <f t="shared" si="230"/>
        <v>0</v>
      </c>
      <c r="M1320" s="2517">
        <f t="shared" si="231"/>
        <v>0</v>
      </c>
      <c r="N1320" s="2517">
        <f t="shared" si="232"/>
        <v>0</v>
      </c>
      <c r="O1320" s="2517">
        <f t="shared" si="233"/>
        <v>0</v>
      </c>
      <c r="P1320" s="2642"/>
      <c r="Q1320" s="2519"/>
      <c r="R1320" s="2519"/>
      <c r="S1320" s="2519"/>
    </row>
    <row r="1321" spans="1:20" s="2358" customFormat="1" outlineLevel="1">
      <c r="A1321" s="2435" t="str">
        <f t="shared" si="229"/>
        <v/>
      </c>
      <c r="B1321" s="2505" t="s">
        <v>1268</v>
      </c>
      <c r="C1321" s="2521"/>
      <c r="D1321" s="2405">
        <v>0</v>
      </c>
      <c r="E1321" s="2447" t="s">
        <v>2831</v>
      </c>
      <c r="F1321" s="2405" t="s">
        <v>2563</v>
      </c>
      <c r="G1321" s="2679">
        <f>G1320</f>
        <v>0</v>
      </c>
      <c r="H1321" s="2517">
        <v>65000</v>
      </c>
      <c r="I1321" s="2517"/>
      <c r="J1321" s="2517">
        <v>0</v>
      </c>
      <c r="K1321" s="2517">
        <v>0</v>
      </c>
      <c r="L1321" s="2517">
        <f t="shared" si="230"/>
        <v>0</v>
      </c>
      <c r="M1321" s="2517">
        <f t="shared" si="231"/>
        <v>0</v>
      </c>
      <c r="N1321" s="2517">
        <f t="shared" si="232"/>
        <v>0</v>
      </c>
      <c r="O1321" s="2517">
        <f t="shared" si="233"/>
        <v>0</v>
      </c>
      <c r="P1321" s="2642"/>
      <c r="Q1321" s="2519"/>
      <c r="R1321" s="2519"/>
      <c r="S1321" s="2519"/>
    </row>
    <row r="1322" spans="1:20" s="2358" customFormat="1" outlineLevel="1">
      <c r="A1322" s="2435" t="str">
        <f>IF(G1322&lt;&gt;0,1,"")</f>
        <v/>
      </c>
      <c r="B1322" s="2505" t="s">
        <v>1568</v>
      </c>
      <c r="C1322" s="2521"/>
      <c r="D1322" s="2405" t="s">
        <v>5622</v>
      </c>
      <c r="E1322" s="2447" t="s">
        <v>3289</v>
      </c>
      <c r="F1322" s="2405" t="s">
        <v>2445</v>
      </c>
      <c r="G1322" s="2679">
        <f>G1321</f>
        <v>0</v>
      </c>
      <c r="H1322" s="2517"/>
      <c r="I1322" s="2517"/>
      <c r="J1322" s="2517">
        <v>58277.49</v>
      </c>
      <c r="K1322" s="2517"/>
      <c r="L1322" s="2517">
        <f>H1322*G1322</f>
        <v>0</v>
      </c>
      <c r="M1322" s="2517">
        <f>I1322*G1322</f>
        <v>0</v>
      </c>
      <c r="N1322" s="2517">
        <f>J1322*G1322</f>
        <v>0</v>
      </c>
      <c r="O1322" s="2517">
        <f>K1322*G1322</f>
        <v>0</v>
      </c>
      <c r="P1322" s="2642"/>
      <c r="Q1322" s="2519"/>
      <c r="R1322" s="2519"/>
      <c r="S1322" s="2519"/>
    </row>
    <row r="1323" spans="1:20" s="2358" customFormat="1" outlineLevel="1">
      <c r="A1323" s="2435" t="str">
        <f>IF(G1323&lt;&gt;0,1,"")</f>
        <v/>
      </c>
      <c r="B1323" s="2505" t="s">
        <v>1528</v>
      </c>
      <c r="C1323" s="2521"/>
      <c r="D1323" s="2405" t="s">
        <v>5633</v>
      </c>
      <c r="E1323" s="2447" t="s">
        <v>3310</v>
      </c>
      <c r="F1323" s="2405" t="s">
        <v>1827</v>
      </c>
      <c r="G1323" s="2679">
        <f>G1313</f>
        <v>0</v>
      </c>
      <c r="H1323" s="2517"/>
      <c r="I1323" s="2517"/>
      <c r="J1323" s="2517">
        <v>13915</v>
      </c>
      <c r="K1323" s="2517"/>
      <c r="L1323" s="2517">
        <f>H1323*G1323</f>
        <v>0</v>
      </c>
      <c r="M1323" s="2517">
        <f>I1323*G1323</f>
        <v>0</v>
      </c>
      <c r="N1323" s="2517">
        <f>J1323*G1323</f>
        <v>0</v>
      </c>
      <c r="O1323" s="2517">
        <f>K1323*G1323</f>
        <v>0</v>
      </c>
      <c r="P1323" s="2642"/>
      <c r="Q1323" s="2519"/>
      <c r="R1323" s="2519"/>
      <c r="S1323" s="2519"/>
    </row>
    <row r="1324" spans="1:20" s="2358" customFormat="1" outlineLevel="1">
      <c r="A1324" s="2435" t="str">
        <f>IF(G1324&lt;&gt;0,1,"")</f>
        <v/>
      </c>
      <c r="B1324" s="2514"/>
      <c r="C1324" s="2511">
        <f>IF(G1324&gt;0,C1311+1,C1311)</f>
        <v>0</v>
      </c>
      <c r="D1324" s="2512"/>
      <c r="E1324" s="2513" t="s">
        <v>3726</v>
      </c>
      <c r="F1324" s="2511" t="s">
        <v>2391</v>
      </c>
      <c r="G1324" s="2483">
        <f>G1256*0</f>
        <v>0</v>
      </c>
      <c r="H1324" s="2517"/>
      <c r="I1324" s="2517"/>
      <c r="J1324" s="2517"/>
      <c r="K1324" s="2517"/>
      <c r="L1324" s="2517"/>
      <c r="M1324" s="2517"/>
      <c r="N1324" s="2517"/>
      <c r="O1324" s="2517"/>
      <c r="P1324" s="2518"/>
      <c r="Q1324" s="2519">
        <f>+SUM(L1325:L1329)</f>
        <v>0</v>
      </c>
      <c r="R1324" s="2519">
        <f>+SUM(M1325:M1329)</f>
        <v>0</v>
      </c>
      <c r="S1324" s="2519">
        <f>+SUM(N1325:N1329)</f>
        <v>0</v>
      </c>
      <c r="T1324" s="2519">
        <f>+SUM(O1325:O1329)</f>
        <v>0</v>
      </c>
    </row>
    <row r="1325" spans="1:20" s="2358" customFormat="1" ht="14.4" outlineLevel="1">
      <c r="A1325" s="2435" t="str">
        <f>A1324</f>
        <v/>
      </c>
      <c r="B1325" s="2514"/>
      <c r="C1325" s="2511"/>
      <c r="D1325" s="2512"/>
      <c r="E1325" s="2527" t="s">
        <v>6207</v>
      </c>
      <c r="F1325" s="2511"/>
      <c r="G1325" s="2483"/>
      <c r="H1325" s="2517"/>
      <c r="I1325" s="2517"/>
      <c r="J1325" s="2517"/>
      <c r="K1325" s="2517"/>
      <c r="L1325" s="2517"/>
      <c r="M1325" s="2517"/>
      <c r="N1325" s="2517"/>
      <c r="O1325" s="2517"/>
      <c r="P1325" s="2518"/>
      <c r="Q1325" s="2519"/>
      <c r="R1325" s="2519"/>
      <c r="S1325" s="2519"/>
    </row>
    <row r="1326" spans="1:20" s="2358" customFormat="1" outlineLevel="1">
      <c r="A1326" s="2435" t="str">
        <f>IF(G1326&lt;&gt;0,1,"")</f>
        <v/>
      </c>
      <c r="B1326" s="2514" t="s">
        <v>1492</v>
      </c>
      <c r="C1326" s="2521"/>
      <c r="D1326" s="2405">
        <v>0</v>
      </c>
      <c r="E1326" s="2447" t="s">
        <v>3550</v>
      </c>
      <c r="F1326" s="2405" t="s">
        <v>1827</v>
      </c>
      <c r="G1326" s="2679">
        <f>G1324*2</f>
        <v>0</v>
      </c>
      <c r="H1326" s="2517">
        <v>63200</v>
      </c>
      <c r="I1326" s="2517"/>
      <c r="J1326" s="2517">
        <v>0</v>
      </c>
      <c r="K1326" s="2517">
        <v>0</v>
      </c>
      <c r="L1326" s="2517">
        <f>H1326*G1326</f>
        <v>0</v>
      </c>
      <c r="M1326" s="2517">
        <f>I1326*G1326</f>
        <v>0</v>
      </c>
      <c r="N1326" s="2517">
        <f>J1326*G1326</f>
        <v>0</v>
      </c>
      <c r="O1326" s="2517">
        <f>K1326*G1326</f>
        <v>0</v>
      </c>
      <c r="P1326" s="2518"/>
      <c r="Q1326" s="2519"/>
      <c r="R1326" s="2519"/>
      <c r="S1326" s="2519"/>
    </row>
    <row r="1327" spans="1:20" s="2358" customFormat="1" outlineLevel="1">
      <c r="A1327" s="2435" t="str">
        <f>IF(G1327&lt;&gt;0,1,"")</f>
        <v/>
      </c>
      <c r="B1327" s="2514" t="s">
        <v>86</v>
      </c>
      <c r="C1327" s="2521"/>
      <c r="D1327" s="2405">
        <v>0</v>
      </c>
      <c r="E1327" s="2447" t="s">
        <v>5859</v>
      </c>
      <c r="F1327" s="2405" t="s">
        <v>2563</v>
      </c>
      <c r="G1327" s="2679">
        <f>G1324</f>
        <v>0</v>
      </c>
      <c r="H1327" s="2517">
        <v>45400</v>
      </c>
      <c r="I1327" s="2517"/>
      <c r="J1327" s="2517">
        <v>0</v>
      </c>
      <c r="K1327" s="2517">
        <v>0</v>
      </c>
      <c r="L1327" s="2517">
        <f>H1327*G1327</f>
        <v>0</v>
      </c>
      <c r="M1327" s="2517">
        <f>I1327*G1327</f>
        <v>0</v>
      </c>
      <c r="N1327" s="2517">
        <f>J1327*G1327</f>
        <v>0</v>
      </c>
      <c r="O1327" s="2517">
        <f>K1327*G1327</f>
        <v>0</v>
      </c>
      <c r="P1327" s="2518"/>
      <c r="Q1327" s="2519"/>
      <c r="R1327" s="2519"/>
      <c r="S1327" s="2519"/>
    </row>
    <row r="1328" spans="1:20" s="2358" customFormat="1" outlineLevel="1">
      <c r="A1328" s="2435" t="str">
        <f>IF(G1328&lt;&gt;0,1,"")</f>
        <v/>
      </c>
      <c r="B1328" s="2514" t="s">
        <v>931</v>
      </c>
      <c r="C1328" s="2521"/>
      <c r="D1328" s="2405">
        <v>0</v>
      </c>
      <c r="E1328" s="2447" t="s">
        <v>3592</v>
      </c>
      <c r="F1328" s="2405" t="s">
        <v>2563</v>
      </c>
      <c r="G1328" s="2679">
        <f>G1324*2</f>
        <v>0</v>
      </c>
      <c r="H1328" s="2517">
        <v>25800</v>
      </c>
      <c r="I1328" s="2517"/>
      <c r="J1328" s="2517">
        <v>0</v>
      </c>
      <c r="K1328" s="2517">
        <v>0</v>
      </c>
      <c r="L1328" s="2517">
        <f>H1328*G1328</f>
        <v>0</v>
      </c>
      <c r="M1328" s="2517">
        <f>I1328*G1328</f>
        <v>0</v>
      </c>
      <c r="N1328" s="2517">
        <f>J1328*G1328</f>
        <v>0</v>
      </c>
      <c r="O1328" s="2517">
        <f>K1328*G1328</f>
        <v>0</v>
      </c>
      <c r="P1328" s="2518"/>
      <c r="Q1328" s="2519"/>
      <c r="R1328" s="2519"/>
      <c r="S1328" s="2519"/>
    </row>
    <row r="1329" spans="1:20" s="2358" customFormat="1" outlineLevel="1">
      <c r="A1329" s="2435" t="str">
        <f>IF(G1329&lt;&gt;0,1,"")</f>
        <v/>
      </c>
      <c r="B1329" s="2514" t="s">
        <v>930</v>
      </c>
      <c r="C1329" s="2521"/>
      <c r="D1329" s="2405">
        <v>0</v>
      </c>
      <c r="E1329" s="2447" t="s">
        <v>3596</v>
      </c>
      <c r="F1329" s="2405" t="s">
        <v>2563</v>
      </c>
      <c r="G1329" s="2679">
        <f>G1328</f>
        <v>0</v>
      </c>
      <c r="H1329" s="2517">
        <v>21500</v>
      </c>
      <c r="I1329" s="2517"/>
      <c r="J1329" s="2517">
        <v>0</v>
      </c>
      <c r="K1329" s="2517">
        <v>0</v>
      </c>
      <c r="L1329" s="2517">
        <f>H1329*G1329</f>
        <v>0</v>
      </c>
      <c r="M1329" s="2517">
        <f>I1329*G1329</f>
        <v>0</v>
      </c>
      <c r="N1329" s="2517">
        <f>J1329*G1329</f>
        <v>0</v>
      </c>
      <c r="O1329" s="2517">
        <f>K1329*G1329</f>
        <v>0</v>
      </c>
      <c r="P1329" s="2518"/>
      <c r="Q1329" s="2519"/>
      <c r="R1329" s="2519"/>
      <c r="S1329" s="2519"/>
    </row>
    <row r="1330" spans="1:20" s="2541" customFormat="1" outlineLevel="1">
      <c r="A1330" s="2532" t="str">
        <f>IF(G1330&lt;&gt;0,1,"")</f>
        <v/>
      </c>
      <c r="B1330" s="2683"/>
      <c r="C1330" s="2511">
        <f>IF(G1330&gt;0,C1324+1,C1324)</f>
        <v>0</v>
      </c>
      <c r="D1330" s="2512"/>
      <c r="E1330" s="2513" t="s">
        <v>6297</v>
      </c>
      <c r="F1330" s="2511" t="s">
        <v>2391</v>
      </c>
      <c r="G1330" s="2483">
        <f>$G$1226</f>
        <v>0</v>
      </c>
      <c r="H1330" s="2684"/>
      <c r="I1330" s="2517"/>
      <c r="J1330" s="2684"/>
      <c r="K1330" s="2684"/>
      <c r="L1330" s="2684"/>
      <c r="M1330" s="2684"/>
      <c r="N1330" s="2684"/>
      <c r="O1330" s="2684"/>
      <c r="P1330" s="2685"/>
      <c r="Q1330" s="2686">
        <f>+SUM(L1331:L1352)</f>
        <v>0</v>
      </c>
      <c r="R1330" s="2519">
        <f>+SUM(M1331:M1352)</f>
        <v>0</v>
      </c>
      <c r="S1330" s="2686">
        <f>+SUM(N1331:N1352)</f>
        <v>0</v>
      </c>
      <c r="T1330" s="2686">
        <f>+SUM(O1331:O1352)</f>
        <v>0</v>
      </c>
    </row>
    <row r="1331" spans="1:20" s="2358" customFormat="1" ht="14.4" outlineLevel="1">
      <c r="A1331" s="2435" t="str">
        <f>A1330</f>
        <v/>
      </c>
      <c r="B1331" s="2505"/>
      <c r="C1331" s="2511"/>
      <c r="D1331" s="2512"/>
      <c r="E1331" s="2527" t="s">
        <v>6207</v>
      </c>
      <c r="F1331" s="2511"/>
      <c r="G1331" s="2679"/>
      <c r="H1331" s="2517"/>
      <c r="I1331" s="2517"/>
      <c r="J1331" s="2517"/>
      <c r="K1331" s="2517"/>
      <c r="L1331" s="2517"/>
      <c r="M1331" s="2517"/>
      <c r="N1331" s="2517"/>
      <c r="O1331" s="2517"/>
      <c r="P1331" s="2642"/>
      <c r="Q1331" s="2519"/>
      <c r="R1331" s="2519"/>
      <c r="S1331" s="2519"/>
    </row>
    <row r="1332" spans="1:20" s="2358" customFormat="1" outlineLevel="1">
      <c r="A1332" s="2435" t="str">
        <f t="shared" ref="A1332:A1348" si="234">IF(G1332&lt;&gt;0,1,"")</f>
        <v/>
      </c>
      <c r="B1332" s="2514" t="s">
        <v>34</v>
      </c>
      <c r="C1332" s="2521"/>
      <c r="D1332" s="2405">
        <v>0</v>
      </c>
      <c r="E1332" s="2447" t="s">
        <v>2804</v>
      </c>
      <c r="F1332" s="2405" t="s">
        <v>2538</v>
      </c>
      <c r="G1332" s="2679">
        <f>+G1330*3*7</f>
        <v>0</v>
      </c>
      <c r="H1332" s="2517">
        <v>194893</v>
      </c>
      <c r="I1332" s="2517"/>
      <c r="J1332" s="2517">
        <v>0</v>
      </c>
      <c r="K1332" s="2517">
        <v>0</v>
      </c>
      <c r="L1332" s="2517">
        <f t="shared" ref="L1332:L1348" si="235">H1332*G1332</f>
        <v>0</v>
      </c>
      <c r="M1332" s="2517">
        <f t="shared" ref="M1332:M1348" si="236">I1332*G1332</f>
        <v>0</v>
      </c>
      <c r="N1332" s="2517">
        <f t="shared" ref="N1332:N1348" si="237">J1332*G1332</f>
        <v>0</v>
      </c>
      <c r="O1332" s="2517">
        <f t="shared" ref="O1332:O1348" si="238">K1332*G1332</f>
        <v>0</v>
      </c>
      <c r="P1332" s="2642"/>
      <c r="Q1332" s="2519"/>
      <c r="R1332" s="2519"/>
      <c r="S1332" s="2519"/>
    </row>
    <row r="1333" spans="1:20" s="2358" customFormat="1" outlineLevel="1">
      <c r="A1333" s="2435" t="str">
        <f t="shared" si="234"/>
        <v/>
      </c>
      <c r="B1333" s="2514" t="s">
        <v>1626</v>
      </c>
      <c r="C1333" s="2521"/>
      <c r="D1333" s="2405">
        <v>0</v>
      </c>
      <c r="E1333" s="2447" t="s">
        <v>2801</v>
      </c>
      <c r="F1333" s="2405" t="s">
        <v>2538</v>
      </c>
      <c r="G1333" s="2679">
        <f>+G1330*7</f>
        <v>0</v>
      </c>
      <c r="H1333" s="2517">
        <v>87805</v>
      </c>
      <c r="I1333" s="2517"/>
      <c r="J1333" s="2517">
        <v>0</v>
      </c>
      <c r="K1333" s="2517">
        <v>0</v>
      </c>
      <c r="L1333" s="2517">
        <f t="shared" si="235"/>
        <v>0</v>
      </c>
      <c r="M1333" s="2517">
        <f t="shared" si="236"/>
        <v>0</v>
      </c>
      <c r="N1333" s="2517">
        <f t="shared" si="237"/>
        <v>0</v>
      </c>
      <c r="O1333" s="2517">
        <f t="shared" si="238"/>
        <v>0</v>
      </c>
      <c r="P1333" s="2642"/>
      <c r="Q1333" s="2519"/>
      <c r="R1333" s="2519"/>
      <c r="S1333" s="2519"/>
    </row>
    <row r="1334" spans="1:20" s="2358" customFormat="1" outlineLevel="1">
      <c r="A1334" s="2435" t="str">
        <f>IF(G1334&lt;&gt;0,1,"")</f>
        <v/>
      </c>
      <c r="B1334" s="2514" t="s">
        <v>2282</v>
      </c>
      <c r="C1334" s="2521"/>
      <c r="D1334" s="2405"/>
      <c r="E1334" s="2447" t="s">
        <v>2794</v>
      </c>
      <c r="F1334" s="2405" t="s">
        <v>2538</v>
      </c>
      <c r="G1334" s="2679">
        <f>+G1330*4</f>
        <v>0</v>
      </c>
      <c r="H1334" s="2517">
        <v>63200</v>
      </c>
      <c r="I1334" s="2517"/>
      <c r="J1334" s="2517">
        <v>0</v>
      </c>
      <c r="K1334" s="2517">
        <v>0</v>
      </c>
      <c r="L1334" s="2517">
        <f>H1334*G1334</f>
        <v>0</v>
      </c>
      <c r="M1334" s="2517">
        <f>I1334*G1334</f>
        <v>0</v>
      </c>
      <c r="N1334" s="2517">
        <f>J1334*G1334</f>
        <v>0</v>
      </c>
      <c r="O1334" s="2517">
        <f>K1334*G1334</f>
        <v>0</v>
      </c>
      <c r="P1334" s="2518"/>
      <c r="Q1334" s="2519"/>
      <c r="R1334" s="2519"/>
      <c r="S1334" s="2519"/>
    </row>
    <row r="1335" spans="1:20" s="2358" customFormat="1" outlineLevel="1">
      <c r="A1335" s="2435" t="str">
        <f t="shared" si="234"/>
        <v/>
      </c>
      <c r="B1335" s="2514" t="s">
        <v>6257</v>
      </c>
      <c r="C1335" s="2521"/>
      <c r="D1335" s="2405" t="s">
        <v>5790</v>
      </c>
      <c r="E1335" s="2447" t="s">
        <v>3500</v>
      </c>
      <c r="F1335" s="2405" t="s">
        <v>2563</v>
      </c>
      <c r="G1335" s="2679">
        <f>+G1330*6</f>
        <v>0</v>
      </c>
      <c r="H1335" s="2517">
        <v>27000</v>
      </c>
      <c r="I1335" s="2517"/>
      <c r="J1335" s="2517">
        <v>27280.17</v>
      </c>
      <c r="K1335" s="2517">
        <v>3887.8325465000003</v>
      </c>
      <c r="L1335" s="2517">
        <f t="shared" si="235"/>
        <v>0</v>
      </c>
      <c r="M1335" s="2517">
        <f t="shared" si="236"/>
        <v>0</v>
      </c>
      <c r="N1335" s="2517">
        <f t="shared" si="237"/>
        <v>0</v>
      </c>
      <c r="O1335" s="2517">
        <f t="shared" si="238"/>
        <v>0</v>
      </c>
      <c r="P1335" s="2642"/>
      <c r="Q1335" s="2519"/>
      <c r="R1335" s="2519"/>
      <c r="S1335" s="2519"/>
    </row>
    <row r="1336" spans="1:20" s="2358" customFormat="1" outlineLevel="1">
      <c r="A1336" s="2435" t="str">
        <f t="shared" si="234"/>
        <v/>
      </c>
      <c r="B1336" s="2514" t="s">
        <v>6252</v>
      </c>
      <c r="C1336" s="2521"/>
      <c r="D1336" s="2405" t="s">
        <v>5788</v>
      </c>
      <c r="E1336" s="2447" t="s">
        <v>3498</v>
      </c>
      <c r="F1336" s="2405" t="s">
        <v>2563</v>
      </c>
      <c r="G1336" s="2679">
        <f>G1330*2</f>
        <v>0</v>
      </c>
      <c r="H1336" s="2517">
        <v>14000</v>
      </c>
      <c r="I1336" s="2517"/>
      <c r="J1336" s="2517">
        <v>16671.215</v>
      </c>
      <c r="K1336" s="2517">
        <v>3332.427897</v>
      </c>
      <c r="L1336" s="2517">
        <f t="shared" si="235"/>
        <v>0</v>
      </c>
      <c r="M1336" s="2517">
        <f t="shared" si="236"/>
        <v>0</v>
      </c>
      <c r="N1336" s="2517">
        <f t="shared" si="237"/>
        <v>0</v>
      </c>
      <c r="O1336" s="2517">
        <f t="shared" si="238"/>
        <v>0</v>
      </c>
      <c r="P1336" s="2642"/>
      <c r="Q1336" s="2519"/>
      <c r="R1336" s="2519"/>
      <c r="S1336" s="2519"/>
    </row>
    <row r="1337" spans="1:20" s="2358" customFormat="1" outlineLevel="1">
      <c r="A1337" s="2435" t="str">
        <f t="shared" si="234"/>
        <v/>
      </c>
      <c r="B1337" s="2514" t="s">
        <v>91</v>
      </c>
      <c r="C1337" s="2521"/>
      <c r="D1337" s="2405">
        <v>0</v>
      </c>
      <c r="E1337" s="2447" t="s">
        <v>3515</v>
      </c>
      <c r="F1337" s="2405" t="s">
        <v>2563</v>
      </c>
      <c r="G1337" s="2679">
        <f>G1335</f>
        <v>0</v>
      </c>
      <c r="H1337" s="2517">
        <v>5000</v>
      </c>
      <c r="I1337" s="2517"/>
      <c r="J1337" s="2517">
        <v>0</v>
      </c>
      <c r="K1337" s="2517">
        <v>0</v>
      </c>
      <c r="L1337" s="2517">
        <f t="shared" si="235"/>
        <v>0</v>
      </c>
      <c r="M1337" s="2517">
        <f t="shared" si="236"/>
        <v>0</v>
      </c>
      <c r="N1337" s="2517">
        <f t="shared" si="237"/>
        <v>0</v>
      </c>
      <c r="O1337" s="2517">
        <f t="shared" si="238"/>
        <v>0</v>
      </c>
      <c r="P1337" s="2642"/>
      <c r="Q1337" s="2519"/>
      <c r="R1337" s="2519"/>
      <c r="S1337" s="2519"/>
    </row>
    <row r="1338" spans="1:20" s="2358" customFormat="1" outlineLevel="1">
      <c r="A1338" s="2435" t="str">
        <f t="shared" si="234"/>
        <v/>
      </c>
      <c r="B1338" s="2514" t="s">
        <v>611</v>
      </c>
      <c r="C1338" s="2521"/>
      <c r="D1338" s="2405">
        <v>0</v>
      </c>
      <c r="E1338" s="2447" t="s">
        <v>3512</v>
      </c>
      <c r="F1338" s="2405" t="s">
        <v>2563</v>
      </c>
      <c r="G1338" s="2679">
        <f>G1336</f>
        <v>0</v>
      </c>
      <c r="H1338" s="2517">
        <v>3000</v>
      </c>
      <c r="I1338" s="2517"/>
      <c r="J1338" s="2517">
        <v>0</v>
      </c>
      <c r="K1338" s="2517">
        <v>0</v>
      </c>
      <c r="L1338" s="2517">
        <f t="shared" si="235"/>
        <v>0</v>
      </c>
      <c r="M1338" s="2517">
        <f t="shared" si="236"/>
        <v>0</v>
      </c>
      <c r="N1338" s="2517">
        <f t="shared" si="237"/>
        <v>0</v>
      </c>
      <c r="O1338" s="2517">
        <f t="shared" si="238"/>
        <v>0</v>
      </c>
      <c r="P1338" s="2642"/>
      <c r="Q1338" s="2519"/>
      <c r="R1338" s="2519"/>
      <c r="S1338" s="2519"/>
    </row>
    <row r="1339" spans="1:20" s="2358" customFormat="1" outlineLevel="1">
      <c r="A1339" s="2435" t="str">
        <f t="shared" si="234"/>
        <v/>
      </c>
      <c r="B1339" s="2514" t="s">
        <v>1042</v>
      </c>
      <c r="C1339" s="2521"/>
      <c r="D1339" s="2405">
        <v>0</v>
      </c>
      <c r="E1339" s="2447" t="s">
        <v>3549</v>
      </c>
      <c r="F1339" s="2405" t="s">
        <v>1827</v>
      </c>
      <c r="G1339" s="2679">
        <f>+G1330*4</f>
        <v>0</v>
      </c>
      <c r="H1339" s="2517">
        <v>103700</v>
      </c>
      <c r="I1339" s="2517"/>
      <c r="J1339" s="2517">
        <v>0</v>
      </c>
      <c r="K1339" s="2517">
        <v>0</v>
      </c>
      <c r="L1339" s="2517">
        <f t="shared" si="235"/>
        <v>0</v>
      </c>
      <c r="M1339" s="2517">
        <f t="shared" si="236"/>
        <v>0</v>
      </c>
      <c r="N1339" s="2517">
        <f t="shared" si="237"/>
        <v>0</v>
      </c>
      <c r="O1339" s="2517">
        <f t="shared" si="238"/>
        <v>0</v>
      </c>
      <c r="P1339" s="2642"/>
      <c r="Q1339" s="2519"/>
      <c r="R1339" s="2519"/>
      <c r="S1339" s="2519"/>
    </row>
    <row r="1340" spans="1:20" s="2358" customFormat="1" outlineLevel="1">
      <c r="A1340" s="2435" t="str">
        <f t="shared" si="234"/>
        <v/>
      </c>
      <c r="B1340" s="2505" t="s">
        <v>731</v>
      </c>
      <c r="C1340" s="2521"/>
      <c r="D1340" s="2405">
        <v>0</v>
      </c>
      <c r="E1340" s="2447" t="s">
        <v>5319</v>
      </c>
      <c r="F1340" s="2405" t="s">
        <v>2445</v>
      </c>
      <c r="G1340" s="2679">
        <f>+G1330*2</f>
        <v>0</v>
      </c>
      <c r="H1340" s="2517">
        <v>50000</v>
      </c>
      <c r="I1340" s="2517"/>
      <c r="J1340" s="2517">
        <v>0</v>
      </c>
      <c r="K1340" s="2517">
        <v>0</v>
      </c>
      <c r="L1340" s="2517">
        <f t="shared" si="235"/>
        <v>0</v>
      </c>
      <c r="M1340" s="2517">
        <f t="shared" si="236"/>
        <v>0</v>
      </c>
      <c r="N1340" s="2517">
        <f t="shared" si="237"/>
        <v>0</v>
      </c>
      <c r="O1340" s="2517">
        <f t="shared" si="238"/>
        <v>0</v>
      </c>
      <c r="P1340" s="2642"/>
      <c r="Q1340" s="2675"/>
      <c r="R1340" s="2519"/>
      <c r="S1340" s="2519"/>
    </row>
    <row r="1341" spans="1:20" s="2358" customFormat="1" outlineLevel="1">
      <c r="A1341" s="2435" t="str">
        <f t="shared" si="234"/>
        <v/>
      </c>
      <c r="B1341" s="2514" t="s">
        <v>2173</v>
      </c>
      <c r="C1341" s="2521"/>
      <c r="D1341" s="2405">
        <v>0</v>
      </c>
      <c r="E1341" s="2447" t="s">
        <v>3593</v>
      </c>
      <c r="F1341" s="2405" t="s">
        <v>2563</v>
      </c>
      <c r="G1341" s="2679">
        <f>+G1330</f>
        <v>0</v>
      </c>
      <c r="H1341" s="2517">
        <v>41900</v>
      </c>
      <c r="I1341" s="2517"/>
      <c r="J1341" s="2517">
        <v>0</v>
      </c>
      <c r="K1341" s="2517">
        <v>0</v>
      </c>
      <c r="L1341" s="2517">
        <f t="shared" si="235"/>
        <v>0</v>
      </c>
      <c r="M1341" s="2517">
        <f t="shared" si="236"/>
        <v>0</v>
      </c>
      <c r="N1341" s="2517">
        <f t="shared" si="237"/>
        <v>0</v>
      </c>
      <c r="O1341" s="2517">
        <f t="shared" si="238"/>
        <v>0</v>
      </c>
      <c r="P1341" s="2642"/>
      <c r="Q1341" s="2519"/>
      <c r="R1341" s="2519"/>
      <c r="S1341" s="2519"/>
    </row>
    <row r="1342" spans="1:20" s="2358" customFormat="1" outlineLevel="1">
      <c r="A1342" s="2435" t="str">
        <f t="shared" si="234"/>
        <v/>
      </c>
      <c r="B1342" s="2514" t="s">
        <v>2174</v>
      </c>
      <c r="C1342" s="2521"/>
      <c r="D1342" s="2405">
        <v>0</v>
      </c>
      <c r="E1342" s="2447" t="s">
        <v>3597</v>
      </c>
      <c r="F1342" s="2405" t="s">
        <v>2563</v>
      </c>
      <c r="G1342" s="2679">
        <f>G1341</f>
        <v>0</v>
      </c>
      <c r="H1342" s="2517">
        <v>41900</v>
      </c>
      <c r="I1342" s="2517"/>
      <c r="J1342" s="2517">
        <v>0</v>
      </c>
      <c r="K1342" s="2517">
        <v>0</v>
      </c>
      <c r="L1342" s="2517">
        <f t="shared" si="235"/>
        <v>0</v>
      </c>
      <c r="M1342" s="2517">
        <f t="shared" si="236"/>
        <v>0</v>
      </c>
      <c r="N1342" s="2517">
        <f t="shared" si="237"/>
        <v>0</v>
      </c>
      <c r="O1342" s="2517">
        <f t="shared" si="238"/>
        <v>0</v>
      </c>
      <c r="P1342" s="2642"/>
      <c r="Q1342" s="2519"/>
      <c r="R1342" s="2519"/>
      <c r="S1342" s="2519"/>
    </row>
    <row r="1343" spans="1:20" s="2358" customFormat="1" outlineLevel="1">
      <c r="A1343" s="2435" t="str">
        <f t="shared" si="234"/>
        <v/>
      </c>
      <c r="B1343" s="2374" t="s">
        <v>1744</v>
      </c>
      <c r="C1343" s="2521"/>
      <c r="D1343" s="2405">
        <v>0</v>
      </c>
      <c r="E1343" s="2447" t="s">
        <v>5857</v>
      </c>
      <c r="F1343" s="2405" t="s">
        <v>1827</v>
      </c>
      <c r="G1343" s="2679">
        <f>+G1330*1.5</f>
        <v>0</v>
      </c>
      <c r="H1343" s="2517">
        <v>58700</v>
      </c>
      <c r="I1343" s="2517"/>
      <c r="J1343" s="2517">
        <v>0</v>
      </c>
      <c r="K1343" s="2517">
        <v>0</v>
      </c>
      <c r="L1343" s="2517">
        <f>H1343*G1343</f>
        <v>0</v>
      </c>
      <c r="M1343" s="2517">
        <f>I1343*G1343</f>
        <v>0</v>
      </c>
      <c r="N1343" s="2517">
        <f>J1343*G1343</f>
        <v>0</v>
      </c>
      <c r="O1343" s="2517">
        <f>K1343*G1343</f>
        <v>0</v>
      </c>
      <c r="P1343" s="2642"/>
      <c r="Q1343" s="2519"/>
      <c r="R1343" s="2519"/>
      <c r="S1343" s="2519"/>
    </row>
    <row r="1344" spans="1:20" s="2358" customFormat="1" outlineLevel="1">
      <c r="A1344" s="2435" t="str">
        <f t="shared" si="234"/>
        <v/>
      </c>
      <c r="B1344" s="2687" t="s">
        <v>5849</v>
      </c>
      <c r="C1344" s="2521"/>
      <c r="D1344" s="2405"/>
      <c r="E1344" s="2447" t="s">
        <v>5850</v>
      </c>
      <c r="F1344" s="2405" t="s">
        <v>1827</v>
      </c>
      <c r="G1344" s="2679">
        <f>G1330*3.5</f>
        <v>0</v>
      </c>
      <c r="H1344" s="2517">
        <v>12300</v>
      </c>
      <c r="I1344" s="2517"/>
      <c r="J1344" s="2517"/>
      <c r="K1344" s="2517"/>
      <c r="L1344" s="2517">
        <f>H1344*G1344</f>
        <v>0</v>
      </c>
      <c r="M1344" s="2517">
        <f>I1344*G1344</f>
        <v>0</v>
      </c>
      <c r="N1344" s="2517">
        <f>J1344*G1344</f>
        <v>0</v>
      </c>
      <c r="O1344" s="2517">
        <f>K1344*G1344</f>
        <v>0</v>
      </c>
      <c r="P1344" s="2518"/>
      <c r="Q1344" s="2519"/>
      <c r="R1344" s="2519"/>
      <c r="S1344" s="2519"/>
    </row>
    <row r="1345" spans="1:19" s="2358" customFormat="1" outlineLevel="1">
      <c r="A1345" s="2435" t="str">
        <f t="shared" si="234"/>
        <v/>
      </c>
      <c r="B1345" s="2433" t="s">
        <v>5853</v>
      </c>
      <c r="C1345" s="2521"/>
      <c r="D1345" s="2405">
        <v>0</v>
      </c>
      <c r="E1345" s="2447" t="s">
        <v>5854</v>
      </c>
      <c r="F1345" s="2405" t="s">
        <v>1827</v>
      </c>
      <c r="G1345" s="2679">
        <f>G1330*1.5</f>
        <v>0</v>
      </c>
      <c r="H1345" s="2517">
        <v>3100</v>
      </c>
      <c r="I1345" s="2517"/>
      <c r="J1345" s="2517">
        <v>0</v>
      </c>
      <c r="K1345" s="2517">
        <v>0</v>
      </c>
      <c r="L1345" s="2517">
        <f>H1345*G1345</f>
        <v>0</v>
      </c>
      <c r="M1345" s="2517">
        <f>I1345*G1345</f>
        <v>0</v>
      </c>
      <c r="N1345" s="2517">
        <f>J1345*G1345</f>
        <v>0</v>
      </c>
      <c r="O1345" s="2517">
        <f>K1345*G1345</f>
        <v>0</v>
      </c>
      <c r="P1345" s="2518"/>
      <c r="Q1345" s="2519"/>
      <c r="R1345" s="2519"/>
      <c r="S1345" s="2519"/>
    </row>
    <row r="1346" spans="1:19" s="2358" customFormat="1" outlineLevel="1">
      <c r="A1346" s="2435" t="str">
        <f t="shared" si="234"/>
        <v/>
      </c>
      <c r="B1346" s="2688" t="s">
        <v>5314</v>
      </c>
      <c r="C1346" s="2521"/>
      <c r="D1346" s="2405">
        <v>0</v>
      </c>
      <c r="E1346" s="2447" t="s">
        <v>5315</v>
      </c>
      <c r="F1346" s="2405" t="s">
        <v>2445</v>
      </c>
      <c r="G1346" s="2679">
        <f>G1330*2</f>
        <v>0</v>
      </c>
      <c r="H1346" s="2517">
        <v>43000</v>
      </c>
      <c r="I1346" s="2517"/>
      <c r="J1346" s="2517">
        <v>0</v>
      </c>
      <c r="K1346" s="2517">
        <v>0</v>
      </c>
      <c r="L1346" s="2517">
        <f>H1346*G1346</f>
        <v>0</v>
      </c>
      <c r="M1346" s="2517">
        <f>I1346*G1346</f>
        <v>0</v>
      </c>
      <c r="N1346" s="2517">
        <f>J1346*G1346</f>
        <v>0</v>
      </c>
      <c r="O1346" s="2517">
        <f>K1346*G1346</f>
        <v>0</v>
      </c>
      <c r="P1346" s="2518"/>
      <c r="Q1346" s="2519"/>
      <c r="R1346" s="2519"/>
      <c r="S1346" s="2519"/>
    </row>
    <row r="1347" spans="1:19" s="2358" customFormat="1" outlineLevel="1">
      <c r="A1347" s="2435" t="str">
        <f t="shared" si="234"/>
        <v/>
      </c>
      <c r="B1347" s="2687" t="s">
        <v>6303</v>
      </c>
      <c r="C1347" s="2521"/>
      <c r="D1347" s="2405">
        <v>0</v>
      </c>
      <c r="E1347" s="2447" t="s">
        <v>5870</v>
      </c>
      <c r="F1347" s="2405" t="s">
        <v>2563</v>
      </c>
      <c r="G1347" s="2679">
        <f>+G1330</f>
        <v>0</v>
      </c>
      <c r="H1347" s="2517">
        <v>3700</v>
      </c>
      <c r="I1347" s="2517"/>
      <c r="J1347" s="2517">
        <v>0</v>
      </c>
      <c r="K1347" s="2517">
        <v>0</v>
      </c>
      <c r="L1347" s="2517">
        <f t="shared" si="235"/>
        <v>0</v>
      </c>
      <c r="M1347" s="2517">
        <f t="shared" si="236"/>
        <v>0</v>
      </c>
      <c r="N1347" s="2517">
        <f t="shared" si="237"/>
        <v>0</v>
      </c>
      <c r="O1347" s="2517">
        <f t="shared" si="238"/>
        <v>0</v>
      </c>
      <c r="P1347" s="2642"/>
      <c r="Q1347" s="2519"/>
      <c r="R1347" s="2519"/>
      <c r="S1347" s="2519"/>
    </row>
    <row r="1348" spans="1:19" s="2358" customFormat="1" outlineLevel="1">
      <c r="A1348" s="2435" t="str">
        <f t="shared" si="234"/>
        <v/>
      </c>
      <c r="B1348" s="2687" t="s">
        <v>6304</v>
      </c>
      <c r="C1348" s="2521"/>
      <c r="D1348" s="2405"/>
      <c r="E1348" s="2447" t="s">
        <v>5874</v>
      </c>
      <c r="F1348" s="2405" t="s">
        <v>2563</v>
      </c>
      <c r="G1348" s="2679">
        <f>G1330*1</f>
        <v>0</v>
      </c>
      <c r="H1348" s="2517">
        <v>3600</v>
      </c>
      <c r="I1348" s="2517"/>
      <c r="J1348" s="2517"/>
      <c r="K1348" s="2517"/>
      <c r="L1348" s="2517">
        <f t="shared" si="235"/>
        <v>0</v>
      </c>
      <c r="M1348" s="2517">
        <f t="shared" si="236"/>
        <v>0</v>
      </c>
      <c r="N1348" s="2517">
        <f t="shared" si="237"/>
        <v>0</v>
      </c>
      <c r="O1348" s="2517">
        <f t="shared" si="238"/>
        <v>0</v>
      </c>
      <c r="P1348" s="2518"/>
      <c r="Q1348" s="2519"/>
      <c r="R1348" s="2519"/>
      <c r="S1348" s="2519"/>
    </row>
    <row r="1349" spans="1:19" s="2358" customFormat="1" outlineLevel="1">
      <c r="A1349" s="2435" t="str">
        <f>IF(G1349&lt;&gt;0,1,"")</f>
        <v/>
      </c>
      <c r="B1349" s="2688" t="s">
        <v>6</v>
      </c>
      <c r="C1349" s="2521"/>
      <c r="D1349" s="2405">
        <v>0</v>
      </c>
      <c r="E1349" s="2447" t="s">
        <v>3585</v>
      </c>
      <c r="F1349" s="2405" t="s">
        <v>5868</v>
      </c>
      <c r="G1349" s="2679">
        <f>G1330*2</f>
        <v>0</v>
      </c>
      <c r="H1349" s="2517">
        <v>45000</v>
      </c>
      <c r="I1349" s="2517"/>
      <c r="J1349" s="2517">
        <v>0</v>
      </c>
      <c r="K1349" s="2517">
        <v>0</v>
      </c>
      <c r="L1349" s="2517">
        <f>H1349*G1349</f>
        <v>0</v>
      </c>
      <c r="M1349" s="2517">
        <f>I1349*G1349</f>
        <v>0</v>
      </c>
      <c r="N1349" s="2517">
        <f>J1349*G1349</f>
        <v>0</v>
      </c>
      <c r="O1349" s="2517">
        <f>K1349*G1349</f>
        <v>0</v>
      </c>
      <c r="P1349" s="2518"/>
      <c r="Q1349" s="2519"/>
      <c r="R1349" s="2519"/>
      <c r="S1349" s="2519"/>
    </row>
    <row r="1350" spans="1:19" s="2358" customFormat="1" outlineLevel="1">
      <c r="A1350" s="2435" t="str">
        <f>IF(G1350&lt;&gt;0,1,"")</f>
        <v/>
      </c>
      <c r="B1350" s="2505" t="s">
        <v>672</v>
      </c>
      <c r="C1350" s="2521"/>
      <c r="D1350" s="2405">
        <v>0</v>
      </c>
      <c r="E1350" s="2447" t="s">
        <v>5863</v>
      </c>
      <c r="F1350" s="2405" t="s">
        <v>3584</v>
      </c>
      <c r="G1350" s="2679">
        <f>G1330*3</f>
        <v>0</v>
      </c>
      <c r="H1350" s="2517">
        <v>6500</v>
      </c>
      <c r="I1350" s="2517"/>
      <c r="J1350" s="2517">
        <v>0</v>
      </c>
      <c r="K1350" s="2517">
        <v>0</v>
      </c>
      <c r="L1350" s="2517">
        <f>H1350*G1350</f>
        <v>0</v>
      </c>
      <c r="M1350" s="2517">
        <f>I1350*G1350</f>
        <v>0</v>
      </c>
      <c r="N1350" s="2517">
        <f>J1350*G1350</f>
        <v>0</v>
      </c>
      <c r="O1350" s="2517">
        <f>K1350*G1350</f>
        <v>0</v>
      </c>
      <c r="P1350" s="2642"/>
      <c r="Q1350" s="2519"/>
      <c r="R1350" s="2519"/>
      <c r="S1350" s="2519"/>
    </row>
    <row r="1351" spans="1:19" s="2358" customFormat="1" outlineLevel="1">
      <c r="A1351" s="2435" t="str">
        <f>IF(G1351&lt;&gt;0,1,"")</f>
        <v/>
      </c>
      <c r="B1351" s="2505" t="s">
        <v>1528</v>
      </c>
      <c r="C1351" s="2521"/>
      <c r="D1351" s="2405" t="s">
        <v>5633</v>
      </c>
      <c r="E1351" s="2447" t="s">
        <v>6426</v>
      </c>
      <c r="F1351" s="2405" t="s">
        <v>1827</v>
      </c>
      <c r="G1351" s="2679">
        <f>G1333</f>
        <v>0</v>
      </c>
      <c r="H1351" s="2517">
        <v>0</v>
      </c>
      <c r="I1351" s="2517"/>
      <c r="J1351" s="2517">
        <v>13915</v>
      </c>
      <c r="K1351" s="2517">
        <v>0</v>
      </c>
      <c r="L1351" s="2517">
        <f>H1351*G1351</f>
        <v>0</v>
      </c>
      <c r="M1351" s="2517">
        <f>I1351*G1351</f>
        <v>0</v>
      </c>
      <c r="N1351" s="2517">
        <f>J1351*G1351</f>
        <v>0</v>
      </c>
      <c r="O1351" s="2517">
        <f>K1351*G1351</f>
        <v>0</v>
      </c>
      <c r="P1351" s="2642"/>
      <c r="Q1351" s="2519"/>
      <c r="R1351" s="2519"/>
      <c r="S1351" s="2519"/>
    </row>
    <row r="1352" spans="1:19" s="2358" customFormat="1" outlineLevel="1">
      <c r="A1352" s="2435" t="str">
        <f>IF(G1352&lt;&gt;0,1,"")</f>
        <v/>
      </c>
      <c r="B1352" s="2505" t="s">
        <v>2010</v>
      </c>
      <c r="C1352" s="2521"/>
      <c r="D1352" s="2405" t="s">
        <v>5634</v>
      </c>
      <c r="E1352" s="2447" t="s">
        <v>6424</v>
      </c>
      <c r="F1352" s="2405" t="s">
        <v>1827</v>
      </c>
      <c r="G1352" s="2679">
        <f>G1332</f>
        <v>0</v>
      </c>
      <c r="H1352" s="2517">
        <v>0</v>
      </c>
      <c r="I1352" s="2517"/>
      <c r="J1352" s="2517">
        <v>33396</v>
      </c>
      <c r="K1352" s="2517">
        <v>0</v>
      </c>
      <c r="L1352" s="2517">
        <f>H1352*G1352</f>
        <v>0</v>
      </c>
      <c r="M1352" s="2517">
        <f>I1352*G1352</f>
        <v>0</v>
      </c>
      <c r="N1352" s="2517">
        <f>J1352*G1352</f>
        <v>0</v>
      </c>
      <c r="O1352" s="2517">
        <f>K1352*G1352</f>
        <v>0</v>
      </c>
      <c r="P1352" s="2642"/>
      <c r="Q1352" s="2519"/>
      <c r="R1352" s="2519"/>
      <c r="S1352" s="2519"/>
    </row>
    <row r="1353" spans="1:19" s="2358" customFormat="1" outlineLevel="1">
      <c r="A1353" s="2435" t="str">
        <f>A1100</f>
        <v/>
      </c>
      <c r="B1353" s="2610"/>
      <c r="C1353" s="2676"/>
      <c r="D1353" s="2677"/>
      <c r="E1353" s="2652"/>
      <c r="F1353" s="2890"/>
      <c r="G1353" s="2891"/>
      <c r="H1353" s="2890"/>
      <c r="I1353" s="2890"/>
      <c r="J1353" s="2900" t="s">
        <v>6205</v>
      </c>
      <c r="K1353" s="2900"/>
      <c r="L1353" s="2678">
        <f>SUM(L1239:L1352)</f>
        <v>0</v>
      </c>
      <c r="M1353" s="2678">
        <f>SUM(M1239:M1352)</f>
        <v>0</v>
      </c>
      <c r="N1353" s="2678">
        <f>SUM(N1239:N1352)</f>
        <v>0</v>
      </c>
      <c r="O1353" s="2678">
        <f>SUM(O1239:O1352)</f>
        <v>0</v>
      </c>
      <c r="P1353" s="2649"/>
      <c r="Q1353" s="2519"/>
      <c r="R1353" s="2519"/>
      <c r="S1353" s="2519"/>
    </row>
    <row r="1354" spans="1:19" s="2358" customFormat="1" ht="13.8" customHeight="1">
      <c r="A1354" s="2639">
        <f>IF(G1359&gt;0,1,)</f>
        <v>0</v>
      </c>
      <c r="B1354" s="2505"/>
      <c r="C1354" s="2519"/>
      <c r="D1354" s="2519"/>
      <c r="E1354" s="2689"/>
      <c r="F1354" s="2519"/>
      <c r="G1354" s="2690"/>
      <c r="H1354" s="2519"/>
      <c r="I1354" s="2519"/>
      <c r="J1354" s="2519"/>
      <c r="K1354" s="2519"/>
      <c r="L1354" s="2519"/>
      <c r="M1354" s="2519"/>
      <c r="N1354" s="2519"/>
      <c r="O1354" s="2519"/>
      <c r="P1354" s="2691"/>
      <c r="Q1354" s="2519"/>
      <c r="R1354" s="2519"/>
      <c r="S1354" s="2519"/>
    </row>
    <row r="1355" spans="1:19" s="2358" customFormat="1" outlineLevel="1">
      <c r="A1355" s="2435">
        <f>A1354</f>
        <v>0</v>
      </c>
      <c r="B1355" s="2640"/>
      <c r="C1355" s="2877" t="str">
        <f>"BẢNG TỔNG HỢP VẬT LIỆU, NHÂN CÔNG, MÁY THI CÔNG: "&amp;K11&amp;" TRẠM 3P_250KVA"</f>
        <v>BẢNG TỔNG HỢP VẬT LIỆU, NHÂN CÔNG, MÁY THI CÔNG: 0 TRẠM 3P_250KVA</v>
      </c>
      <c r="D1355" s="2892"/>
      <c r="E1355" s="2892"/>
      <c r="F1355" s="2892"/>
      <c r="G1355" s="2892"/>
      <c r="H1355" s="2893"/>
      <c r="I1355" s="2781"/>
      <c r="J1355" s="2893"/>
      <c r="K1355" s="2893"/>
      <c r="L1355" s="2893"/>
      <c r="M1355" s="2781"/>
      <c r="N1355" s="2893"/>
      <c r="O1355" s="2893"/>
      <c r="P1355" s="2894"/>
      <c r="Q1355" s="2519"/>
      <c r="R1355" s="2519"/>
      <c r="S1355" s="2519"/>
    </row>
    <row r="1356" spans="1:19" s="2358" customFormat="1" outlineLevel="1">
      <c r="A1356" s="2435">
        <f>A1354</f>
        <v>0</v>
      </c>
      <c r="B1356" s="2514" t="s">
        <v>6186</v>
      </c>
      <c r="C1356" s="2901" t="s">
        <v>1712</v>
      </c>
      <c r="D1356" s="2902" t="s">
        <v>2605</v>
      </c>
      <c r="E1356" s="2904" t="s">
        <v>2606</v>
      </c>
      <c r="F1356" s="2901" t="s">
        <v>2601</v>
      </c>
      <c r="G1356" s="2362" t="s">
        <v>6187</v>
      </c>
      <c r="H1356" s="2365" t="s">
        <v>6188</v>
      </c>
      <c r="I1356" s="2872"/>
      <c r="J1356" s="2872"/>
      <c r="K1356" s="2873"/>
      <c r="L1356" s="2365" t="s">
        <v>6189</v>
      </c>
      <c r="M1356" s="2872"/>
      <c r="N1356" s="2872"/>
      <c r="O1356" s="2873"/>
      <c r="P1356" s="2786" t="s">
        <v>2607</v>
      </c>
      <c r="Q1356" s="2519"/>
      <c r="R1356" s="2519"/>
      <c r="S1356" s="2519"/>
    </row>
    <row r="1357" spans="1:19" s="2358" customFormat="1" outlineLevel="1">
      <c r="A1357" s="2435">
        <f>A1356</f>
        <v>0</v>
      </c>
      <c r="B1357" s="2514"/>
      <c r="C1357" s="2901"/>
      <c r="D1357" s="2903"/>
      <c r="E1357" s="2905"/>
      <c r="F1357" s="2901"/>
      <c r="G1357" s="2364" t="s">
        <v>2292</v>
      </c>
      <c r="H1357" s="2365" t="s">
        <v>6190</v>
      </c>
      <c r="I1357" s="2365" t="s">
        <v>6191</v>
      </c>
      <c r="J1357" s="2365" t="s">
        <v>6192</v>
      </c>
      <c r="K1357" s="2365" t="s">
        <v>6193</v>
      </c>
      <c r="L1357" s="2365" t="s">
        <v>6190</v>
      </c>
      <c r="M1357" s="2365" t="s">
        <v>6191</v>
      </c>
      <c r="N1357" s="2365" t="s">
        <v>6192</v>
      </c>
      <c r="O1357" s="2365" t="s">
        <v>6193</v>
      </c>
      <c r="P1357" s="2786"/>
      <c r="Q1357" s="2519"/>
      <c r="R1357" s="2519"/>
      <c r="S1357" s="2519"/>
    </row>
    <row r="1358" spans="1:19" s="2358" customFormat="1" outlineLevel="1">
      <c r="A1358" s="2435">
        <f>A1357</f>
        <v>0</v>
      </c>
      <c r="B1358" s="2514"/>
      <c r="C1358" s="2366"/>
      <c r="D1358" s="2367"/>
      <c r="E1358" s="2368" t="s">
        <v>3690</v>
      </c>
      <c r="F1358" s="2369"/>
      <c r="G1358" s="2369"/>
      <c r="H1358" s="2369"/>
      <c r="I1358" s="2369"/>
      <c r="J1358" s="2369"/>
      <c r="K1358" s="2369"/>
      <c r="L1358" s="2369"/>
      <c r="M1358" s="2369"/>
      <c r="N1358" s="2369"/>
      <c r="O1358" s="2367"/>
      <c r="P1358" s="2607"/>
      <c r="Q1358" s="2519"/>
      <c r="R1358" s="2519"/>
      <c r="S1358" s="2519"/>
    </row>
    <row r="1359" spans="1:19" s="2358" customFormat="1" outlineLevel="1">
      <c r="A1359" s="2435" t="str">
        <f t="shared" ref="A1359:A1368" si="239">IF(G1359&lt;&gt;0,1,"")</f>
        <v/>
      </c>
      <c r="B1359" s="2505" t="str">
        <f>IF($F$8=15,"tr250","tr2501")</f>
        <v>tr2501</v>
      </c>
      <c r="C1359" s="2521">
        <f>IF(G1359&gt;0,1,0)</f>
        <v>0</v>
      </c>
      <c r="D1359" s="2405" t="s">
        <v>5653</v>
      </c>
      <c r="E1359" s="2447" t="s">
        <v>3347</v>
      </c>
      <c r="F1359" s="2405" t="s">
        <v>3318</v>
      </c>
      <c r="G1359" s="2692">
        <f>$K$11</f>
        <v>0</v>
      </c>
      <c r="H1359" s="2517">
        <v>168104000</v>
      </c>
      <c r="I1359" s="2612"/>
      <c r="J1359" s="2612">
        <v>1392163</v>
      </c>
      <c r="K1359" s="2612">
        <v>361106</v>
      </c>
      <c r="L1359" s="2613">
        <f t="shared" ref="L1359:L1368" si="240">H1359*G1359</f>
        <v>0</v>
      </c>
      <c r="M1359" s="2613">
        <f t="shared" ref="M1359:M1368" si="241">I1359*G1359</f>
        <v>0</v>
      </c>
      <c r="N1359" s="2613">
        <f t="shared" ref="N1359:N1368" si="242">J1359*G1359</f>
        <v>0</v>
      </c>
      <c r="O1359" s="2614">
        <f t="shared" ref="O1359:O1368" si="243">K1359*G1359</f>
        <v>0</v>
      </c>
      <c r="P1359" s="2693"/>
      <c r="Q1359" s="2519"/>
      <c r="R1359" s="2519"/>
      <c r="S1359" s="2519"/>
    </row>
    <row r="1360" spans="1:19" s="2358" customFormat="1" outlineLevel="1">
      <c r="A1360" s="2435" t="str">
        <f t="shared" si="239"/>
        <v/>
      </c>
      <c r="B1360" s="2371" t="str">
        <f>"FCO100-"&amp;$F$8</f>
        <v>FCO100-22</v>
      </c>
      <c r="C1360" s="2521">
        <f>IF(G1360&gt;0,C1359+1,C1359)</f>
        <v>0</v>
      </c>
      <c r="D1360" s="2405" t="s">
        <v>5660</v>
      </c>
      <c r="E1360" s="2447" t="s">
        <v>95</v>
      </c>
      <c r="F1360" s="2405" t="s">
        <v>2563</v>
      </c>
      <c r="G1360" s="2692">
        <f>G1359*3</f>
        <v>0</v>
      </c>
      <c r="H1360" s="2517">
        <v>2244280</v>
      </c>
      <c r="I1360" s="2517">
        <v>0</v>
      </c>
      <c r="J1360" s="2517">
        <v>222639.99999999997</v>
      </c>
      <c r="K1360" s="2517">
        <v>0</v>
      </c>
      <c r="L1360" s="2517">
        <f t="shared" si="240"/>
        <v>0</v>
      </c>
      <c r="M1360" s="2517">
        <f t="shared" si="241"/>
        <v>0</v>
      </c>
      <c r="N1360" s="2517">
        <f t="shared" si="242"/>
        <v>0</v>
      </c>
      <c r="O1360" s="2517">
        <f t="shared" si="243"/>
        <v>0</v>
      </c>
      <c r="P1360" s="2694"/>
      <c r="Q1360" s="2519"/>
      <c r="R1360" s="2519"/>
      <c r="S1360" s="2519"/>
    </row>
    <row r="1361" spans="1:19" s="2358" customFormat="1" outlineLevel="1">
      <c r="A1361" s="2435" t="str">
        <f t="shared" si="239"/>
        <v/>
      </c>
      <c r="B1361" s="2374" t="s">
        <v>1146</v>
      </c>
      <c r="C1361" s="2521">
        <f t="shared" ref="C1361:C1366" si="244">IF(G1361&gt;0,C1360+1,C1360)</f>
        <v>0</v>
      </c>
      <c r="D1361" s="2405">
        <v>0</v>
      </c>
      <c r="E1361" s="2447" t="s">
        <v>3443</v>
      </c>
      <c r="F1361" s="2405" t="s">
        <v>2608</v>
      </c>
      <c r="G1361" s="2692">
        <f>G1360</f>
        <v>0</v>
      </c>
      <c r="H1361" s="2517">
        <v>84000</v>
      </c>
      <c r="I1361" s="2517">
        <v>0</v>
      </c>
      <c r="J1361" s="2517">
        <v>0</v>
      </c>
      <c r="K1361" s="2517">
        <v>0</v>
      </c>
      <c r="L1361" s="2517">
        <f t="shared" si="240"/>
        <v>0</v>
      </c>
      <c r="M1361" s="2517">
        <f t="shared" si="241"/>
        <v>0</v>
      </c>
      <c r="N1361" s="2517">
        <f t="shared" si="242"/>
        <v>0</v>
      </c>
      <c r="O1361" s="2517">
        <f t="shared" si="243"/>
        <v>0</v>
      </c>
      <c r="P1361" s="2694"/>
      <c r="Q1361" s="2519"/>
      <c r="R1361" s="2519"/>
      <c r="S1361" s="2519"/>
    </row>
    <row r="1362" spans="1:19" s="2358" customFormat="1" outlineLevel="1">
      <c r="A1362" s="2435" t="str">
        <f t="shared" si="239"/>
        <v/>
      </c>
      <c r="B1362" s="2514" t="str">
        <f>"LA"&amp;$F$6</f>
        <v>LA18</v>
      </c>
      <c r="C1362" s="2521">
        <f t="shared" si="244"/>
        <v>0</v>
      </c>
      <c r="D1362" s="2405" t="s">
        <v>5664</v>
      </c>
      <c r="E1362" s="2447" t="s">
        <v>1193</v>
      </c>
      <c r="F1362" s="2405" t="s">
        <v>2563</v>
      </c>
      <c r="G1362" s="2692">
        <f>G1360</f>
        <v>0</v>
      </c>
      <c r="H1362" s="2517">
        <v>1106000</v>
      </c>
      <c r="I1362" s="2517">
        <v>0</v>
      </c>
      <c r="J1362" s="2517">
        <v>83490</v>
      </c>
      <c r="K1362" s="2517">
        <v>0</v>
      </c>
      <c r="L1362" s="2517">
        <f t="shared" si="240"/>
        <v>0</v>
      </c>
      <c r="M1362" s="2517">
        <f t="shared" si="241"/>
        <v>0</v>
      </c>
      <c r="N1362" s="2517">
        <f t="shared" si="242"/>
        <v>0</v>
      </c>
      <c r="O1362" s="2517">
        <f t="shared" si="243"/>
        <v>0</v>
      </c>
      <c r="P1362" s="2694"/>
      <c r="Q1362" s="2519"/>
      <c r="R1362" s="2519"/>
      <c r="S1362" s="2519"/>
    </row>
    <row r="1363" spans="1:19" s="2358" customFormat="1" outlineLevel="1">
      <c r="A1363" s="2435" t="str">
        <f t="shared" si="239"/>
        <v/>
      </c>
      <c r="B1363" s="2610" t="s">
        <v>953</v>
      </c>
      <c r="C1363" s="2521">
        <f t="shared" si="244"/>
        <v>0</v>
      </c>
      <c r="D1363" s="2405" t="s">
        <v>5747</v>
      </c>
      <c r="E1363" s="2447" t="s">
        <v>5748</v>
      </c>
      <c r="F1363" s="2405" t="s">
        <v>2563</v>
      </c>
      <c r="G1363" s="2522">
        <f>G1359*0</f>
        <v>0</v>
      </c>
      <c r="H1363" s="2517">
        <v>7180000</v>
      </c>
      <c r="I1363" s="2517">
        <v>0</v>
      </c>
      <c r="J1363" s="2517">
        <v>974050</v>
      </c>
      <c r="K1363" s="2517">
        <v>0</v>
      </c>
      <c r="L1363" s="2517">
        <f t="shared" si="240"/>
        <v>0</v>
      </c>
      <c r="M1363" s="2517">
        <f t="shared" si="241"/>
        <v>0</v>
      </c>
      <c r="N1363" s="2517">
        <f t="shared" si="242"/>
        <v>0</v>
      </c>
      <c r="O1363" s="2517">
        <f t="shared" si="243"/>
        <v>0</v>
      </c>
      <c r="P1363" s="2642"/>
      <c r="Q1363" s="2519"/>
      <c r="R1363" s="2519"/>
      <c r="S1363" s="2519"/>
    </row>
    <row r="1364" spans="1:19" s="2358" customFormat="1" outlineLevel="1">
      <c r="A1364" s="2435" t="str">
        <f>IF(G1364&lt;&gt;0,1,"")</f>
        <v/>
      </c>
      <c r="B1364" s="2610" t="s">
        <v>953</v>
      </c>
      <c r="C1364" s="2521">
        <f>IF(G1364&gt;0,C1363+1,C1363)</f>
        <v>0</v>
      </c>
      <c r="D1364" s="2405" t="s">
        <v>5747</v>
      </c>
      <c r="E1364" s="2447" t="s">
        <v>5748</v>
      </c>
      <c r="F1364" s="2405" t="s">
        <v>2563</v>
      </c>
      <c r="G1364" s="2692">
        <f>G1359</f>
        <v>0</v>
      </c>
      <c r="H1364" s="2517">
        <v>7180000</v>
      </c>
      <c r="I1364" s="2517">
        <v>0</v>
      </c>
      <c r="J1364" s="2517">
        <v>974050</v>
      </c>
      <c r="K1364" s="2517">
        <v>0</v>
      </c>
      <c r="L1364" s="2517">
        <f>H1364*G1364</f>
        <v>0</v>
      </c>
      <c r="M1364" s="2517">
        <f>I1364*G1364</f>
        <v>0</v>
      </c>
      <c r="N1364" s="2517">
        <f>J1364*G1364</f>
        <v>0</v>
      </c>
      <c r="O1364" s="2517">
        <f>K1364*G1364</f>
        <v>0</v>
      </c>
      <c r="P1364" s="2694"/>
      <c r="Q1364" s="2519"/>
      <c r="R1364" s="2519"/>
      <c r="S1364" s="2519"/>
    </row>
    <row r="1365" spans="1:19" s="2358" customFormat="1" outlineLevel="1">
      <c r="A1365" s="2435" t="str">
        <f t="shared" si="239"/>
        <v/>
      </c>
      <c r="B1365" s="2610" t="s">
        <v>6305</v>
      </c>
      <c r="C1365" s="2521">
        <f>IF(G1365&gt;0,C1363+1,C1363)</f>
        <v>0</v>
      </c>
      <c r="D1365" s="2405" t="s">
        <v>1025</v>
      </c>
      <c r="E1365" s="2447" t="s">
        <v>3399</v>
      </c>
      <c r="F1365" s="2405" t="s">
        <v>3388</v>
      </c>
      <c r="G1365" s="2522">
        <f>G1359*0</f>
        <v>0</v>
      </c>
      <c r="H1365" s="2517">
        <v>13270912</v>
      </c>
      <c r="I1365" s="2517">
        <v>0</v>
      </c>
      <c r="J1365" s="2517">
        <v>98101</v>
      </c>
      <c r="K1365" s="2517">
        <v>59254</v>
      </c>
      <c r="L1365" s="2517">
        <f t="shared" si="240"/>
        <v>0</v>
      </c>
      <c r="M1365" s="2517">
        <f t="shared" si="241"/>
        <v>0</v>
      </c>
      <c r="N1365" s="2517">
        <f t="shared" si="242"/>
        <v>0</v>
      </c>
      <c r="O1365" s="2517">
        <f t="shared" si="243"/>
        <v>0</v>
      </c>
      <c r="P1365" s="2642"/>
      <c r="Q1365" s="2519"/>
      <c r="R1365" s="2519"/>
      <c r="S1365" s="2519"/>
    </row>
    <row r="1366" spans="1:19" s="2358" customFormat="1" outlineLevel="1">
      <c r="A1366" s="2435" t="str">
        <f t="shared" si="239"/>
        <v/>
      </c>
      <c r="B1366" s="2505" t="s">
        <v>897</v>
      </c>
      <c r="C1366" s="2521">
        <f t="shared" si="244"/>
        <v>0</v>
      </c>
      <c r="D1366" s="2405">
        <v>0</v>
      </c>
      <c r="E1366" s="2447" t="s">
        <v>3380</v>
      </c>
      <c r="F1366" s="2405" t="s">
        <v>2563</v>
      </c>
      <c r="G1366" s="2695">
        <f>3*G1359</f>
        <v>0</v>
      </c>
      <c r="H1366" s="2517">
        <v>0</v>
      </c>
      <c r="I1366" s="2517">
        <v>0</v>
      </c>
      <c r="J1366" s="2517">
        <v>0</v>
      </c>
      <c r="K1366" s="2517">
        <v>0</v>
      </c>
      <c r="L1366" s="2517">
        <f t="shared" si="240"/>
        <v>0</v>
      </c>
      <c r="M1366" s="2517">
        <f t="shared" si="241"/>
        <v>0</v>
      </c>
      <c r="N1366" s="2517">
        <f t="shared" si="242"/>
        <v>0</v>
      </c>
      <c r="O1366" s="2517">
        <f t="shared" si="243"/>
        <v>0</v>
      </c>
      <c r="P1366" s="2696" t="s">
        <v>2609</v>
      </c>
      <c r="Q1366" s="2519"/>
      <c r="R1366" s="2519"/>
      <c r="S1366" s="2519"/>
    </row>
    <row r="1367" spans="1:19" s="2358" customFormat="1" outlineLevel="1">
      <c r="A1367" s="2435" t="str">
        <f>IF(G1367&lt;&gt;0,1,"")</f>
        <v/>
      </c>
      <c r="B1367" s="2505" t="s">
        <v>1116</v>
      </c>
      <c r="C1367" s="2521">
        <f>IF(G1367&gt;0,C1366+1,C1366)</f>
        <v>0</v>
      </c>
      <c r="D1367" s="2405">
        <v>0</v>
      </c>
      <c r="E1367" s="2447" t="s">
        <v>3377</v>
      </c>
      <c r="F1367" s="2405" t="s">
        <v>2563</v>
      </c>
      <c r="G1367" s="2643">
        <f>3*G1359*2*0</f>
        <v>0</v>
      </c>
      <c r="H1367" s="2517">
        <v>0</v>
      </c>
      <c r="I1367" s="2517">
        <v>0</v>
      </c>
      <c r="J1367" s="2517">
        <v>0</v>
      </c>
      <c r="K1367" s="2517">
        <v>0</v>
      </c>
      <c r="L1367" s="2517">
        <f>H1367*G1367</f>
        <v>0</v>
      </c>
      <c r="M1367" s="2517">
        <f>I1367*G1367</f>
        <v>0</v>
      </c>
      <c r="N1367" s="2517">
        <f>J1367*G1367</f>
        <v>0</v>
      </c>
      <c r="O1367" s="2517">
        <f>K1367*G1367</f>
        <v>0</v>
      </c>
      <c r="P1367" s="2644" t="s">
        <v>2609</v>
      </c>
      <c r="Q1367" s="2519"/>
      <c r="R1367" s="2519"/>
      <c r="S1367" s="2519"/>
    </row>
    <row r="1368" spans="1:19" s="2358" customFormat="1" outlineLevel="1">
      <c r="A1368" s="2435" t="str">
        <f t="shared" si="239"/>
        <v/>
      </c>
      <c r="B1368" s="2505" t="s">
        <v>1463</v>
      </c>
      <c r="C1368" s="2521">
        <f>IF(G1368&gt;0,C1366+1,C1366)</f>
        <v>0</v>
      </c>
      <c r="D1368" s="2405">
        <v>0</v>
      </c>
      <c r="E1368" s="2447" t="s">
        <v>3459</v>
      </c>
      <c r="F1368" s="2405" t="s">
        <v>2563</v>
      </c>
      <c r="G1368" s="2695">
        <f>G1359*1</f>
        <v>0</v>
      </c>
      <c r="H1368" s="2517">
        <v>0</v>
      </c>
      <c r="I1368" s="2517">
        <v>0</v>
      </c>
      <c r="J1368" s="2517">
        <v>0</v>
      </c>
      <c r="K1368" s="2517">
        <v>0</v>
      </c>
      <c r="L1368" s="2517">
        <f t="shared" si="240"/>
        <v>0</v>
      </c>
      <c r="M1368" s="2613">
        <f t="shared" si="241"/>
        <v>0</v>
      </c>
      <c r="N1368" s="2613">
        <f t="shared" si="242"/>
        <v>0</v>
      </c>
      <c r="O1368" s="2614">
        <f t="shared" si="243"/>
        <v>0</v>
      </c>
      <c r="P1368" s="2697" t="s">
        <v>2609</v>
      </c>
      <c r="Q1368" s="2519"/>
      <c r="R1368" s="2519"/>
      <c r="S1368" s="2519"/>
    </row>
    <row r="1369" spans="1:19" s="2358" customFormat="1" outlineLevel="1">
      <c r="A1369" s="2435">
        <f>A1354</f>
        <v>0</v>
      </c>
      <c r="B1369" s="2514"/>
      <c r="C1369" s="2646"/>
      <c r="D1369" s="2647"/>
      <c r="E1369" s="2648"/>
      <c r="F1369" s="2646"/>
      <c r="G1369" s="2698"/>
      <c r="H1369" s="2646"/>
      <c r="I1369" s="2646"/>
      <c r="J1369" s="2370" t="s">
        <v>6195</v>
      </c>
      <c r="K1369" s="2646"/>
      <c r="L1369" s="2648">
        <f>SUM(L1359:L1368)</f>
        <v>0</v>
      </c>
      <c r="M1369" s="2648">
        <f>SUM(M1359:M1368)</f>
        <v>0</v>
      </c>
      <c r="N1369" s="2648">
        <f>SUM(N1359:N1368)</f>
        <v>0</v>
      </c>
      <c r="O1369" s="2648">
        <f>SUM(O1359:O1368)</f>
        <v>0</v>
      </c>
      <c r="P1369" s="2699"/>
      <c r="Q1369" s="2519"/>
      <c r="R1369" s="2519"/>
      <c r="S1369" s="2519"/>
    </row>
    <row r="1370" spans="1:19" s="2358" customFormat="1" outlineLevel="1">
      <c r="A1370" s="2435">
        <f>A1354</f>
        <v>0</v>
      </c>
      <c r="B1370" s="2514"/>
      <c r="C1370" s="2650"/>
      <c r="D1370" s="2651"/>
      <c r="E1370" s="2652" t="s">
        <v>3691</v>
      </c>
      <c r="F1370" s="2652"/>
      <c r="G1370" s="2700"/>
      <c r="H1370" s="2652"/>
      <c r="I1370" s="2652"/>
      <c r="J1370" s="2652"/>
      <c r="K1370" s="2652"/>
      <c r="L1370" s="2652"/>
      <c r="M1370" s="2652"/>
      <c r="N1370" s="2652"/>
      <c r="O1370" s="2651"/>
      <c r="P1370" s="2699"/>
      <c r="Q1370" s="2519"/>
      <c r="R1370" s="2519"/>
      <c r="S1370" s="2519"/>
    </row>
    <row r="1371" spans="1:19" s="2358" customFormat="1" outlineLevel="1">
      <c r="A1371" s="2435" t="str">
        <f t="shared" ref="A1371:A1389" si="245">IF(G1371&lt;&gt;0,1,"")</f>
        <v/>
      </c>
      <c r="B1371" s="2654"/>
      <c r="C1371" s="2655">
        <f>IF(G1371&gt;0,1,0)</f>
        <v>0</v>
      </c>
      <c r="D1371" s="2405"/>
      <c r="E1371" s="2656" t="s">
        <v>6306</v>
      </c>
      <c r="F1371" s="2657" t="s">
        <v>2283</v>
      </c>
      <c r="G1371" s="2658">
        <f>G1359*0</f>
        <v>0</v>
      </c>
      <c r="H1371" s="2657"/>
      <c r="I1371" s="2657"/>
      <c r="J1371" s="2657"/>
      <c r="K1371" s="2657"/>
      <c r="L1371" s="2658"/>
      <c r="M1371" s="2658"/>
      <c r="N1371" s="2658"/>
      <c r="O1371" s="2659"/>
      <c r="P1371" s="2642"/>
      <c r="Q1371" s="2519"/>
      <c r="R1371" s="2519"/>
      <c r="S1371" s="2519"/>
    </row>
    <row r="1372" spans="1:19" s="2358" customFormat="1" outlineLevel="1">
      <c r="A1372" s="2435" t="str">
        <f t="shared" si="245"/>
        <v/>
      </c>
      <c r="B1372" s="2610" t="s">
        <v>115</v>
      </c>
      <c r="C1372" s="2660"/>
      <c r="D1372" s="2405"/>
      <c r="E1372" s="2661" t="s">
        <v>3009</v>
      </c>
      <c r="F1372" s="2405" t="s">
        <v>2839</v>
      </c>
      <c r="G1372" s="2405">
        <f>G1371</f>
        <v>0</v>
      </c>
      <c r="H1372" s="2612">
        <v>4400000</v>
      </c>
      <c r="I1372" s="2511"/>
      <c r="J1372" s="2612"/>
      <c r="K1372" s="2511"/>
      <c r="L1372" s="2613">
        <f>H1372*G1372</f>
        <v>0</v>
      </c>
      <c r="M1372" s="2613">
        <f>I1372*G1372</f>
        <v>0</v>
      </c>
      <c r="N1372" s="2613">
        <f>J1372*G1372</f>
        <v>0</v>
      </c>
      <c r="O1372" s="2613">
        <f>K1372*G1372</f>
        <v>0</v>
      </c>
      <c r="P1372" s="2642"/>
      <c r="Q1372" s="2519"/>
      <c r="R1372" s="2519"/>
      <c r="S1372" s="2519"/>
    </row>
    <row r="1373" spans="1:19" s="2358" customFormat="1" outlineLevel="1">
      <c r="A1373" s="2435" t="str">
        <f t="shared" si="245"/>
        <v/>
      </c>
      <c r="B1373" s="2610" t="s">
        <v>1818</v>
      </c>
      <c r="C1373" s="2660"/>
      <c r="D1373" s="2405"/>
      <c r="E1373" s="2661" t="s">
        <v>2838</v>
      </c>
      <c r="F1373" s="2405" t="s">
        <v>2839</v>
      </c>
      <c r="G1373" s="2405">
        <f>G1372</f>
        <v>0</v>
      </c>
      <c r="H1373" s="2612">
        <v>17400</v>
      </c>
      <c r="I1373" s="2612"/>
      <c r="J1373" s="2511"/>
      <c r="K1373" s="2511"/>
      <c r="L1373" s="2613">
        <f>H1373*G1373</f>
        <v>0</v>
      </c>
      <c r="M1373" s="2613">
        <f>I1373*G1373</f>
        <v>0</v>
      </c>
      <c r="N1373" s="2613">
        <f>J1373*G1373</f>
        <v>0</v>
      </c>
      <c r="O1373" s="2613">
        <f>K1373*G1373</f>
        <v>0</v>
      </c>
      <c r="P1373" s="2642"/>
      <c r="Q1373" s="2519"/>
      <c r="R1373" s="2519"/>
      <c r="S1373" s="2519"/>
    </row>
    <row r="1374" spans="1:19" s="2358" customFormat="1" outlineLevel="1">
      <c r="A1374" s="2435" t="str">
        <f t="shared" si="245"/>
        <v/>
      </c>
      <c r="B1374" s="2610" t="s">
        <v>643</v>
      </c>
      <c r="C1374" s="2660"/>
      <c r="D1374" s="2405" t="s">
        <v>2133</v>
      </c>
      <c r="E1374" s="2661" t="s">
        <v>3185</v>
      </c>
      <c r="F1374" s="2405" t="s">
        <v>2839</v>
      </c>
      <c r="G1374" s="2405">
        <f>G1372</f>
        <v>0</v>
      </c>
      <c r="H1374" s="2661"/>
      <c r="I1374" s="2612"/>
      <c r="J1374" s="2612">
        <v>112286</v>
      </c>
      <c r="K1374" s="2612">
        <v>105970</v>
      </c>
      <c r="L1374" s="2613">
        <f>H1374*G1374</f>
        <v>0</v>
      </c>
      <c r="M1374" s="2613">
        <f>I1374*G1374</f>
        <v>0</v>
      </c>
      <c r="N1374" s="2613">
        <f>J1374*G1374</f>
        <v>0</v>
      </c>
      <c r="O1374" s="2613">
        <f>K1374*G1374</f>
        <v>0</v>
      </c>
      <c r="P1374" s="2642"/>
      <c r="Q1374" s="2519"/>
      <c r="R1374" s="2519"/>
      <c r="S1374" s="2519"/>
    </row>
    <row r="1375" spans="1:19" s="2358" customFormat="1" outlineLevel="1">
      <c r="A1375" s="2435" t="str">
        <f t="shared" si="245"/>
        <v/>
      </c>
      <c r="B1375" s="2654"/>
      <c r="C1375" s="2655">
        <f>IF(G1375&gt;0,1,0)</f>
        <v>0</v>
      </c>
      <c r="D1375" s="2405"/>
      <c r="E1375" s="2656" t="s">
        <v>6291</v>
      </c>
      <c r="F1375" s="2657" t="s">
        <v>2283</v>
      </c>
      <c r="G1375" s="2658">
        <f>G1359*2*0</f>
        <v>0</v>
      </c>
      <c r="H1375" s="2657"/>
      <c r="I1375" s="2657"/>
      <c r="J1375" s="2657"/>
      <c r="K1375" s="2657"/>
      <c r="L1375" s="2658"/>
      <c r="M1375" s="2658"/>
      <c r="N1375" s="2658"/>
      <c r="O1375" s="2659"/>
      <c r="P1375" s="2518"/>
      <c r="Q1375" s="2519"/>
      <c r="R1375" s="2519"/>
      <c r="S1375" s="2519"/>
    </row>
    <row r="1376" spans="1:19" s="2358" customFormat="1" outlineLevel="1">
      <c r="A1376" s="2435" t="str">
        <f t="shared" si="245"/>
        <v/>
      </c>
      <c r="B1376" s="2610" t="s">
        <v>114</v>
      </c>
      <c r="C1376" s="2660"/>
      <c r="D1376" s="2405"/>
      <c r="E1376" s="2661" t="s">
        <v>3008</v>
      </c>
      <c r="F1376" s="2405" t="s">
        <v>2839</v>
      </c>
      <c r="G1376" s="2405">
        <f>G1375</f>
        <v>0</v>
      </c>
      <c r="H1376" s="2612">
        <v>4200000</v>
      </c>
      <c r="I1376" s="2511"/>
      <c r="J1376" s="2612"/>
      <c r="K1376" s="2511"/>
      <c r="L1376" s="2613">
        <f>H1376*G1376</f>
        <v>0</v>
      </c>
      <c r="M1376" s="2613">
        <f>I1376*G1376</f>
        <v>0</v>
      </c>
      <c r="N1376" s="2613">
        <f>J1376*G1376</f>
        <v>0</v>
      </c>
      <c r="O1376" s="2613">
        <f>K1376*G1376</f>
        <v>0</v>
      </c>
      <c r="P1376" s="2518"/>
      <c r="Q1376" s="2519"/>
      <c r="R1376" s="2519"/>
      <c r="S1376" s="2519"/>
    </row>
    <row r="1377" spans="1:19" s="2358" customFormat="1" outlineLevel="1">
      <c r="A1377" s="2435" t="str">
        <f t="shared" si="245"/>
        <v/>
      </c>
      <c r="B1377" s="2610" t="s">
        <v>1818</v>
      </c>
      <c r="C1377" s="2660"/>
      <c r="D1377" s="2405"/>
      <c r="E1377" s="2661" t="s">
        <v>2838</v>
      </c>
      <c r="F1377" s="2405" t="s">
        <v>2839</v>
      </c>
      <c r="G1377" s="2405">
        <f>G1376</f>
        <v>0</v>
      </c>
      <c r="H1377" s="2612">
        <v>17400</v>
      </c>
      <c r="I1377" s="2612"/>
      <c r="J1377" s="2511"/>
      <c r="K1377" s="2511"/>
      <c r="L1377" s="2613">
        <f>H1377*G1377</f>
        <v>0</v>
      </c>
      <c r="M1377" s="2613">
        <f>I1377*G1377</f>
        <v>0</v>
      </c>
      <c r="N1377" s="2613">
        <f>J1377*G1377</f>
        <v>0</v>
      </c>
      <c r="O1377" s="2613">
        <f>K1377*G1377</f>
        <v>0</v>
      </c>
      <c r="P1377" s="2518"/>
      <c r="Q1377" s="2519"/>
      <c r="R1377" s="2519"/>
      <c r="S1377" s="2519"/>
    </row>
    <row r="1378" spans="1:19" s="2358" customFormat="1" outlineLevel="1">
      <c r="A1378" s="2435" t="str">
        <f t="shared" si="245"/>
        <v/>
      </c>
      <c r="B1378" s="2610" t="s">
        <v>644</v>
      </c>
      <c r="C1378" s="2660"/>
      <c r="D1378" s="2405" t="s">
        <v>2133</v>
      </c>
      <c r="E1378" s="2661" t="s">
        <v>3186</v>
      </c>
      <c r="F1378" s="2405" t="s">
        <v>2839</v>
      </c>
      <c r="G1378" s="2405">
        <f>G1376</f>
        <v>0</v>
      </c>
      <c r="H1378" s="2661"/>
      <c r="I1378" s="2612"/>
      <c r="J1378" s="2612">
        <v>112286</v>
      </c>
      <c r="K1378" s="2612">
        <v>105970</v>
      </c>
      <c r="L1378" s="2613">
        <f>H1378*G1378</f>
        <v>0</v>
      </c>
      <c r="M1378" s="2613">
        <f>I1378*G1378</f>
        <v>0</v>
      </c>
      <c r="N1378" s="2613">
        <f>J1378*G1378</f>
        <v>0</v>
      </c>
      <c r="O1378" s="2613">
        <f>K1378*G1378</f>
        <v>0</v>
      </c>
      <c r="P1378" s="2518"/>
      <c r="Q1378" s="2519"/>
      <c r="R1378" s="2519"/>
      <c r="S1378" s="2519"/>
    </row>
    <row r="1379" spans="1:19" s="2358" customFormat="1" outlineLevel="1">
      <c r="A1379" s="2435" t="str">
        <f t="shared" si="245"/>
        <v/>
      </c>
      <c r="B1379" s="2610"/>
      <c r="C1379" s="2511">
        <f>IF(G1379&gt;0,C1371+1,C1371)</f>
        <v>0</v>
      </c>
      <c r="D1379" s="2405"/>
      <c r="E1379" s="2656" t="s">
        <v>2358</v>
      </c>
      <c r="F1379" s="2657" t="s">
        <v>2333</v>
      </c>
      <c r="G1379" s="2662">
        <f>G1371</f>
        <v>0</v>
      </c>
      <c r="H1379" s="2511"/>
      <c r="I1379" s="2511"/>
      <c r="J1379" s="2511"/>
      <c r="K1379" s="2511"/>
      <c r="L1379" s="2511"/>
      <c r="M1379" s="2511"/>
      <c r="N1379" s="2511"/>
      <c r="O1379" s="2663"/>
      <c r="P1379" s="2642"/>
      <c r="Q1379" s="2519"/>
      <c r="R1379" s="2519"/>
      <c r="S1379" s="2519"/>
    </row>
    <row r="1380" spans="1:19" s="2358" customFormat="1" outlineLevel="1">
      <c r="A1380" s="2435" t="str">
        <f t="shared" si="245"/>
        <v/>
      </c>
      <c r="B1380" s="2610" t="s">
        <v>636</v>
      </c>
      <c r="C1380" s="2660"/>
      <c r="D1380" s="2405" t="s">
        <v>5099</v>
      </c>
      <c r="E1380" s="2661" t="s">
        <v>2615</v>
      </c>
      <c r="F1380" s="2405" t="s">
        <v>2563</v>
      </c>
      <c r="G1380" s="2405">
        <f>G1379</f>
        <v>0</v>
      </c>
      <c r="H1380" s="2612">
        <v>354545</v>
      </c>
      <c r="I1380" s="2612"/>
      <c r="J1380" s="2612">
        <v>37220.25</v>
      </c>
      <c r="K1380" s="2511"/>
      <c r="L1380" s="2613">
        <f>H1380*G1380</f>
        <v>0</v>
      </c>
      <c r="M1380" s="2613">
        <f>I1380*G1380</f>
        <v>0</v>
      </c>
      <c r="N1380" s="2613">
        <f>J1380*G1380</f>
        <v>0</v>
      </c>
      <c r="O1380" s="2613">
        <f>K1380*G1380</f>
        <v>0</v>
      </c>
      <c r="P1380" s="2642"/>
      <c r="Q1380" s="2519"/>
      <c r="R1380" s="2519"/>
      <c r="S1380" s="2519"/>
    </row>
    <row r="1381" spans="1:19" s="2358" customFormat="1" outlineLevel="1">
      <c r="A1381" s="2435" t="str">
        <f t="shared" si="245"/>
        <v/>
      </c>
      <c r="B1381" s="2610" t="s">
        <v>566</v>
      </c>
      <c r="C1381" s="2660"/>
      <c r="D1381" s="2405"/>
      <c r="E1381" s="2661" t="s">
        <v>5124</v>
      </c>
      <c r="F1381" s="2405" t="s">
        <v>2445</v>
      </c>
      <c r="G1381" s="2405">
        <f>G1380</f>
        <v>0</v>
      </c>
      <c r="H1381" s="2612">
        <v>92200</v>
      </c>
      <c r="I1381" s="2661"/>
      <c r="J1381" s="2661"/>
      <c r="K1381" s="2511"/>
      <c r="L1381" s="2613">
        <f>H1381*G1381</f>
        <v>0</v>
      </c>
      <c r="M1381" s="2613">
        <f>I1381*G1381</f>
        <v>0</v>
      </c>
      <c r="N1381" s="2613">
        <f>J1381*G1381</f>
        <v>0</v>
      </c>
      <c r="O1381" s="2613">
        <f>K1381*G1381</f>
        <v>0</v>
      </c>
      <c r="P1381" s="2642"/>
      <c r="Q1381" s="2519"/>
      <c r="R1381" s="2519"/>
      <c r="S1381" s="2519"/>
    </row>
    <row r="1382" spans="1:19" s="2358" customFormat="1" outlineLevel="1">
      <c r="A1382" s="2435" t="str">
        <f t="shared" si="245"/>
        <v/>
      </c>
      <c r="B1382" s="2610" t="s">
        <v>639</v>
      </c>
      <c r="C1382" s="2660"/>
      <c r="D1382" s="2405" t="s">
        <v>1751</v>
      </c>
      <c r="E1382" s="2661" t="s">
        <v>5386</v>
      </c>
      <c r="F1382" s="2405" t="s">
        <v>856</v>
      </c>
      <c r="G1382" s="2405">
        <f>0.87*G1380</f>
        <v>0</v>
      </c>
      <c r="H1382" s="2612">
        <v>0</v>
      </c>
      <c r="I1382" s="2612"/>
      <c r="J1382" s="2612">
        <v>296500.89999999997</v>
      </c>
      <c r="K1382" s="2511"/>
      <c r="L1382" s="2613">
        <f>H1382*G1382</f>
        <v>0</v>
      </c>
      <c r="M1382" s="2613">
        <f>I1382*G1382</f>
        <v>0</v>
      </c>
      <c r="N1382" s="2613">
        <f>J1382*G1382</f>
        <v>0</v>
      </c>
      <c r="O1382" s="2613">
        <f>K1382*G1382</f>
        <v>0</v>
      </c>
      <c r="P1382" s="2642"/>
      <c r="Q1382" s="2519"/>
      <c r="R1382" s="2519"/>
      <c r="S1382" s="2519"/>
    </row>
    <row r="1383" spans="1:19" s="2358" customFormat="1" outlineLevel="1">
      <c r="A1383" s="2435" t="str">
        <f t="shared" si="245"/>
        <v/>
      </c>
      <c r="B1383" s="2610" t="s">
        <v>21</v>
      </c>
      <c r="C1383" s="2660"/>
      <c r="D1383" s="2405" t="s">
        <v>5387</v>
      </c>
      <c r="E1383" s="2661" t="s">
        <v>5388</v>
      </c>
      <c r="F1383" s="2405" t="s">
        <v>856</v>
      </c>
      <c r="G1383" s="2405">
        <f>0.79*G1379</f>
        <v>0</v>
      </c>
      <c r="H1383" s="2612">
        <v>0</v>
      </c>
      <c r="I1383" s="2612"/>
      <c r="J1383" s="2612">
        <v>117703.6</v>
      </c>
      <c r="K1383" s="2511"/>
      <c r="L1383" s="2613">
        <f>H1383*G1383</f>
        <v>0</v>
      </c>
      <c r="M1383" s="2613">
        <f>I1383*G1383</f>
        <v>0</v>
      </c>
      <c r="N1383" s="2613">
        <f>J1383*G1383</f>
        <v>0</v>
      </c>
      <c r="O1383" s="2613">
        <f>K1383*G1383</f>
        <v>0</v>
      </c>
      <c r="P1383" s="2642"/>
      <c r="Q1383" s="2519"/>
      <c r="R1383" s="2519"/>
      <c r="S1383" s="2519"/>
    </row>
    <row r="1384" spans="1:19" s="2358" customFormat="1" outlineLevel="1">
      <c r="A1384" s="2435" t="str">
        <f t="shared" si="245"/>
        <v/>
      </c>
      <c r="B1384" s="2610"/>
      <c r="C1384" s="2511">
        <f>IF(G1384&gt;0,C1376+1,C1376)</f>
        <v>0</v>
      </c>
      <c r="D1384" s="2405"/>
      <c r="E1384" s="2656" t="s">
        <v>3731</v>
      </c>
      <c r="F1384" s="2657" t="s">
        <v>2333</v>
      </c>
      <c r="G1384" s="2662">
        <f>G1375</f>
        <v>0</v>
      </c>
      <c r="H1384" s="2511"/>
      <c r="I1384" s="2511"/>
      <c r="J1384" s="2511"/>
      <c r="K1384" s="2511"/>
      <c r="L1384" s="2511"/>
      <c r="M1384" s="2511"/>
      <c r="N1384" s="2511"/>
      <c r="O1384" s="2663"/>
      <c r="P1384" s="2518"/>
      <c r="Q1384" s="2519"/>
      <c r="R1384" s="2519"/>
      <c r="S1384" s="2519"/>
    </row>
    <row r="1385" spans="1:19" s="2358" customFormat="1" outlineLevel="1">
      <c r="A1385" s="2435" t="str">
        <f t="shared" si="245"/>
        <v/>
      </c>
      <c r="B1385" s="2610" t="s">
        <v>636</v>
      </c>
      <c r="C1385" s="2660"/>
      <c r="D1385" s="2405" t="s">
        <v>5099</v>
      </c>
      <c r="E1385" s="2661" t="s">
        <v>2615</v>
      </c>
      <c r="F1385" s="2405" t="s">
        <v>2563</v>
      </c>
      <c r="G1385" s="2405">
        <f>G1384</f>
        <v>0</v>
      </c>
      <c r="H1385" s="2612">
        <v>354545</v>
      </c>
      <c r="I1385" s="2612"/>
      <c r="J1385" s="2612">
        <v>37220.25</v>
      </c>
      <c r="K1385" s="2511"/>
      <c r="L1385" s="2613">
        <f>H1385*G1385</f>
        <v>0</v>
      </c>
      <c r="M1385" s="2613">
        <f>I1385*G1385</f>
        <v>0</v>
      </c>
      <c r="N1385" s="2613">
        <f>J1385*G1385</f>
        <v>0</v>
      </c>
      <c r="O1385" s="2613">
        <f>K1385*G1385</f>
        <v>0</v>
      </c>
      <c r="P1385" s="2518"/>
      <c r="Q1385" s="2519"/>
      <c r="R1385" s="2519"/>
      <c r="S1385" s="2519"/>
    </row>
    <row r="1386" spans="1:19" s="2358" customFormat="1" outlineLevel="1">
      <c r="A1386" s="2435" t="str">
        <f t="shared" si="245"/>
        <v/>
      </c>
      <c r="B1386" s="2610" t="s">
        <v>566</v>
      </c>
      <c r="C1386" s="2660"/>
      <c r="D1386" s="2405"/>
      <c r="E1386" s="2661" t="s">
        <v>5124</v>
      </c>
      <c r="F1386" s="2405" t="s">
        <v>2445</v>
      </c>
      <c r="G1386" s="2405">
        <f>G1385</f>
        <v>0</v>
      </c>
      <c r="H1386" s="2612">
        <v>92200</v>
      </c>
      <c r="I1386" s="2661"/>
      <c r="J1386" s="2661"/>
      <c r="K1386" s="2511"/>
      <c r="L1386" s="2613">
        <f>H1386*G1386</f>
        <v>0</v>
      </c>
      <c r="M1386" s="2613">
        <f>I1386*G1386</f>
        <v>0</v>
      </c>
      <c r="N1386" s="2613">
        <f>J1386*G1386</f>
        <v>0</v>
      </c>
      <c r="O1386" s="2613">
        <f>K1386*G1386</f>
        <v>0</v>
      </c>
      <c r="P1386" s="2518"/>
      <c r="Q1386" s="2519"/>
      <c r="R1386" s="2519"/>
      <c r="S1386" s="2519"/>
    </row>
    <row r="1387" spans="1:19" s="2358" customFormat="1" outlineLevel="1">
      <c r="A1387" s="2435" t="str">
        <f t="shared" si="245"/>
        <v/>
      </c>
      <c r="B1387" s="2610" t="s">
        <v>639</v>
      </c>
      <c r="C1387" s="2660"/>
      <c r="D1387" s="2405" t="s">
        <v>1751</v>
      </c>
      <c r="E1387" s="2661" t="s">
        <v>5386</v>
      </c>
      <c r="F1387" s="2405" t="s">
        <v>856</v>
      </c>
      <c r="G1387" s="2405">
        <f>0.78*G1385</f>
        <v>0</v>
      </c>
      <c r="H1387" s="2612">
        <v>0</v>
      </c>
      <c r="I1387" s="2612"/>
      <c r="J1387" s="2612">
        <v>296500.89999999997</v>
      </c>
      <c r="K1387" s="2511"/>
      <c r="L1387" s="2613">
        <f>H1387*G1387</f>
        <v>0</v>
      </c>
      <c r="M1387" s="2613">
        <f>I1387*G1387</f>
        <v>0</v>
      </c>
      <c r="N1387" s="2613">
        <f>J1387*G1387</f>
        <v>0</v>
      </c>
      <c r="O1387" s="2613">
        <f>K1387*G1387</f>
        <v>0</v>
      </c>
      <c r="P1387" s="2518"/>
      <c r="Q1387" s="2519"/>
      <c r="R1387" s="2519"/>
      <c r="S1387" s="2519"/>
    </row>
    <row r="1388" spans="1:19" s="2358" customFormat="1" outlineLevel="1">
      <c r="A1388" s="2435" t="str">
        <f t="shared" si="245"/>
        <v/>
      </c>
      <c r="B1388" s="2610" t="s">
        <v>21</v>
      </c>
      <c r="C1388" s="2660"/>
      <c r="D1388" s="2405" t="s">
        <v>5387</v>
      </c>
      <c r="E1388" s="2661" t="s">
        <v>5388</v>
      </c>
      <c r="F1388" s="2405" t="s">
        <v>856</v>
      </c>
      <c r="G1388" s="2405">
        <f>0.74*G1384</f>
        <v>0</v>
      </c>
      <c r="H1388" s="2612">
        <v>0</v>
      </c>
      <c r="I1388" s="2612"/>
      <c r="J1388" s="2612">
        <v>117703.6</v>
      </c>
      <c r="K1388" s="2511"/>
      <c r="L1388" s="2613">
        <f>H1388*G1388</f>
        <v>0</v>
      </c>
      <c r="M1388" s="2613">
        <f>I1388*G1388</f>
        <v>0</v>
      </c>
      <c r="N1388" s="2613">
        <f>J1388*G1388</f>
        <v>0</v>
      </c>
      <c r="O1388" s="2613">
        <f>K1388*G1388</f>
        <v>0</v>
      </c>
      <c r="P1388" s="2518"/>
      <c r="Q1388" s="2519"/>
      <c r="R1388" s="2519"/>
      <c r="S1388" s="2519"/>
    </row>
    <row r="1389" spans="1:19" s="2358" customFormat="1" outlineLevel="1">
      <c r="A1389" s="2435" t="str">
        <f t="shared" si="245"/>
        <v/>
      </c>
      <c r="B1389" s="2514"/>
      <c r="C1389" s="2511">
        <f>IF(G1389&gt;0,C1379+1,C1379)</f>
        <v>0</v>
      </c>
      <c r="D1389" s="2664"/>
      <c r="E1389" s="2656" t="s">
        <v>3732</v>
      </c>
      <c r="F1389" s="2655" t="s">
        <v>2391</v>
      </c>
      <c r="G1389" s="2701">
        <f>G1359*1</f>
        <v>0</v>
      </c>
      <c r="H1389" s="2666"/>
      <c r="I1389" s="2666"/>
      <c r="J1389" s="2666"/>
      <c r="K1389" s="2666"/>
      <c r="L1389" s="2666"/>
      <c r="M1389" s="2666"/>
      <c r="N1389" s="2666"/>
      <c r="O1389" s="2666"/>
      <c r="P1389" s="2702"/>
      <c r="Q1389" s="2519"/>
      <c r="R1389" s="2519"/>
      <c r="S1389" s="2519"/>
    </row>
    <row r="1390" spans="1:19" s="2358" customFormat="1" ht="14.4" outlineLevel="1">
      <c r="A1390" s="2435" t="str">
        <f>A1389</f>
        <v/>
      </c>
      <c r="B1390" s="2514"/>
      <c r="C1390" s="2511"/>
      <c r="D1390" s="2667"/>
      <c r="E1390" s="2520" t="s">
        <v>6207</v>
      </c>
      <c r="F1390" s="2521"/>
      <c r="G1390" s="2703"/>
      <c r="H1390" s="2668"/>
      <c r="I1390" s="2668"/>
      <c r="J1390" s="2668"/>
      <c r="K1390" s="2668"/>
      <c r="L1390" s="2668"/>
      <c r="M1390" s="2668"/>
      <c r="N1390" s="2668"/>
      <c r="O1390" s="2668"/>
      <c r="P1390" s="2702"/>
      <c r="Q1390" s="2519"/>
      <c r="R1390" s="2519"/>
      <c r="S1390" s="2519"/>
    </row>
    <row r="1391" spans="1:19" s="2358" customFormat="1" outlineLevel="1">
      <c r="A1391" s="2435" t="str">
        <f t="shared" ref="A1391:A1396" si="246">IF(G1391&lt;&gt;0,1,"")</f>
        <v/>
      </c>
      <c r="B1391" s="2505" t="s">
        <v>1411</v>
      </c>
      <c r="C1391" s="2511"/>
      <c r="D1391" s="2405">
        <v>0</v>
      </c>
      <c r="E1391" s="2447" t="s">
        <v>6427</v>
      </c>
      <c r="F1391" s="2405" t="s">
        <v>2254</v>
      </c>
      <c r="G1391" s="2703">
        <f>19.8*2.8*2*G1389</f>
        <v>0</v>
      </c>
      <c r="H1391" s="2612">
        <v>31625</v>
      </c>
      <c r="I1391" s="2669"/>
      <c r="J1391" s="2612"/>
      <c r="K1391" s="2612">
        <v>0</v>
      </c>
      <c r="L1391" s="2613">
        <f t="shared" ref="L1391:L1430" si="247">H1391*G1391</f>
        <v>0</v>
      </c>
      <c r="M1391" s="2613">
        <f t="shared" ref="M1391:M1398" si="248">I1391*G1391</f>
        <v>0</v>
      </c>
      <c r="N1391" s="2612"/>
      <c r="O1391" s="2613">
        <f t="shared" ref="O1391:O1398" si="249">K1391*G1391</f>
        <v>0</v>
      </c>
      <c r="P1391" s="2702"/>
      <c r="Q1391" s="2519">
        <f>980000*2/104.1</f>
        <v>18828.04995196926</v>
      </c>
      <c r="R1391" s="2519"/>
      <c r="S1391" s="2519"/>
    </row>
    <row r="1392" spans="1:19" s="2358" customFormat="1" outlineLevel="1">
      <c r="A1392" s="2435" t="str">
        <f t="shared" si="246"/>
        <v/>
      </c>
      <c r="B1392" s="2505" t="s">
        <v>1137</v>
      </c>
      <c r="C1392" s="2511"/>
      <c r="D1392" s="2405">
        <v>0</v>
      </c>
      <c r="E1392" s="2447" t="s">
        <v>6413</v>
      </c>
      <c r="F1392" s="2405" t="s">
        <v>2254</v>
      </c>
      <c r="G1392" s="2703">
        <f>8.59*0.4*4*G1389</f>
        <v>0</v>
      </c>
      <c r="H1392" s="2612">
        <v>31625</v>
      </c>
      <c r="I1392" s="2669"/>
      <c r="J1392" s="2612"/>
      <c r="K1392" s="2612">
        <v>0</v>
      </c>
      <c r="L1392" s="2613">
        <f t="shared" si="247"/>
        <v>0</v>
      </c>
      <c r="M1392" s="2613">
        <f t="shared" si="248"/>
        <v>0</v>
      </c>
      <c r="N1392" s="2612"/>
      <c r="O1392" s="2613">
        <f t="shared" si="249"/>
        <v>0</v>
      </c>
      <c r="P1392" s="2702"/>
      <c r="Q1392" s="2519">
        <f>47000*4/10.85</f>
        <v>17327.188940092168</v>
      </c>
      <c r="R1392" s="2519"/>
      <c r="S1392" s="2519"/>
    </row>
    <row r="1393" spans="1:19" s="2358" customFormat="1" outlineLevel="1">
      <c r="A1393" s="2435" t="str">
        <f t="shared" si="246"/>
        <v/>
      </c>
      <c r="B1393" s="2505" t="s">
        <v>1138</v>
      </c>
      <c r="C1393" s="2511"/>
      <c r="D1393" s="2405">
        <v>0</v>
      </c>
      <c r="E1393" s="2447" t="s">
        <v>6414</v>
      </c>
      <c r="F1393" s="2405" t="s">
        <v>2254</v>
      </c>
      <c r="G1393" s="2703">
        <f>8.59*0.8*2*G1389</f>
        <v>0</v>
      </c>
      <c r="H1393" s="2612">
        <v>31625</v>
      </c>
      <c r="I1393" s="2669"/>
      <c r="J1393" s="2612"/>
      <c r="K1393" s="2612">
        <v>0</v>
      </c>
      <c r="L1393" s="2613">
        <f t="shared" si="247"/>
        <v>0</v>
      </c>
      <c r="M1393" s="2613">
        <f t="shared" si="248"/>
        <v>0</v>
      </c>
      <c r="N1393" s="2612"/>
      <c r="O1393" s="2613">
        <f t="shared" si="249"/>
        <v>0</v>
      </c>
      <c r="P1393" s="2702"/>
      <c r="Q1393" s="2519">
        <f>94000*2/10.85</f>
        <v>17327.188940092168</v>
      </c>
      <c r="R1393" s="2519"/>
      <c r="S1393" s="2519"/>
    </row>
    <row r="1394" spans="1:19" s="2358" customFormat="1" outlineLevel="1">
      <c r="A1394" s="2435" t="str">
        <f t="shared" si="246"/>
        <v/>
      </c>
      <c r="B1394" s="2514" t="s">
        <v>1785</v>
      </c>
      <c r="C1394" s="2511"/>
      <c r="D1394" s="2405">
        <v>0</v>
      </c>
      <c r="E1394" s="2447" t="s">
        <v>2670</v>
      </c>
      <c r="F1394" s="2405" t="s">
        <v>2445</v>
      </c>
      <c r="G1394" s="2703">
        <f>G1389*10</f>
        <v>0</v>
      </c>
      <c r="H1394" s="2612">
        <v>34800</v>
      </c>
      <c r="I1394" s="2669"/>
      <c r="J1394" s="2612">
        <v>0</v>
      </c>
      <c r="K1394" s="2612">
        <v>0</v>
      </c>
      <c r="L1394" s="2613">
        <f t="shared" si="247"/>
        <v>0</v>
      </c>
      <c r="M1394" s="2613">
        <f t="shared" si="248"/>
        <v>0</v>
      </c>
      <c r="N1394" s="2613">
        <f>J1394*G1394</f>
        <v>0</v>
      </c>
      <c r="O1394" s="2613">
        <f t="shared" si="249"/>
        <v>0</v>
      </c>
      <c r="P1394" s="2702"/>
      <c r="Q1394" s="2519"/>
      <c r="R1394" s="2519"/>
      <c r="S1394" s="2519"/>
    </row>
    <row r="1395" spans="1:19" s="2358" customFormat="1" outlineLevel="1">
      <c r="A1395" s="2435" t="str">
        <f t="shared" si="246"/>
        <v/>
      </c>
      <c r="B1395" s="2514" t="s">
        <v>1083</v>
      </c>
      <c r="C1395" s="2511"/>
      <c r="D1395" s="2405">
        <v>0</v>
      </c>
      <c r="E1395" s="2447" t="s">
        <v>2660</v>
      </c>
      <c r="F1395" s="2405" t="s">
        <v>2445</v>
      </c>
      <c r="G1395" s="2703">
        <f>G1389*2</f>
        <v>0</v>
      </c>
      <c r="H1395" s="2612">
        <v>29900</v>
      </c>
      <c r="I1395" s="2669"/>
      <c r="J1395" s="2612">
        <v>0</v>
      </c>
      <c r="K1395" s="2612">
        <v>0</v>
      </c>
      <c r="L1395" s="2613">
        <f t="shared" si="247"/>
        <v>0</v>
      </c>
      <c r="M1395" s="2613">
        <f t="shared" si="248"/>
        <v>0</v>
      </c>
      <c r="N1395" s="2613">
        <f>J1395*G1395</f>
        <v>0</v>
      </c>
      <c r="O1395" s="2613">
        <f t="shared" si="249"/>
        <v>0</v>
      </c>
      <c r="P1395" s="2702"/>
      <c r="Q1395" s="2519"/>
      <c r="R1395" s="2519"/>
      <c r="S1395" s="2519"/>
    </row>
    <row r="1396" spans="1:19" s="2358" customFormat="1" outlineLevel="1">
      <c r="A1396" s="2435" t="str">
        <f t="shared" si="246"/>
        <v/>
      </c>
      <c r="B1396" s="2514" t="s">
        <v>1079</v>
      </c>
      <c r="C1396" s="2511"/>
      <c r="D1396" s="2405">
        <v>0</v>
      </c>
      <c r="E1396" s="2447" t="s">
        <v>2659</v>
      </c>
      <c r="F1396" s="2405" t="s">
        <v>2445</v>
      </c>
      <c r="G1396" s="2703">
        <f>G1389*12</f>
        <v>0</v>
      </c>
      <c r="H1396" s="2612">
        <v>27900</v>
      </c>
      <c r="I1396" s="2669"/>
      <c r="J1396" s="2612">
        <v>0</v>
      </c>
      <c r="K1396" s="2612">
        <v>0</v>
      </c>
      <c r="L1396" s="2613">
        <f t="shared" si="247"/>
        <v>0</v>
      </c>
      <c r="M1396" s="2613">
        <f t="shared" si="248"/>
        <v>0</v>
      </c>
      <c r="N1396" s="2613">
        <f>J1396*G1396</f>
        <v>0</v>
      </c>
      <c r="O1396" s="2613">
        <f t="shared" si="249"/>
        <v>0</v>
      </c>
      <c r="P1396" s="2702"/>
      <c r="Q1396" s="2519"/>
      <c r="R1396" s="2519"/>
      <c r="S1396" s="2519"/>
    </row>
    <row r="1397" spans="1:19" s="2358" customFormat="1" outlineLevel="1">
      <c r="A1397" s="2435" t="str">
        <f>IF(G1397&lt;&gt;0,1,"")</f>
        <v/>
      </c>
      <c r="B1397" s="2505" t="s">
        <v>2248</v>
      </c>
      <c r="C1397" s="2511"/>
      <c r="D1397" s="2405" t="s">
        <v>5506</v>
      </c>
      <c r="E1397" s="2447" t="s">
        <v>2446</v>
      </c>
      <c r="F1397" s="2405" t="s">
        <v>2445</v>
      </c>
      <c r="G1397" s="2523">
        <f>+G1389*1*0</f>
        <v>0</v>
      </c>
      <c r="H1397" s="2612">
        <v>0</v>
      </c>
      <c r="I1397" s="2669"/>
      <c r="J1397" s="2612" t="s">
        <v>6416</v>
      </c>
      <c r="K1397" s="2612">
        <v>0</v>
      </c>
      <c r="L1397" s="2613">
        <f>H1397*G1397</f>
        <v>0</v>
      </c>
      <c r="M1397" s="2613">
        <f t="shared" si="248"/>
        <v>0</v>
      </c>
      <c r="N1397" s="2612">
        <v>0</v>
      </c>
      <c r="O1397" s="2613">
        <f t="shared" si="249"/>
        <v>0</v>
      </c>
      <c r="P1397" s="2518"/>
      <c r="Q1397" s="2519"/>
      <c r="R1397" s="2519"/>
      <c r="S1397" s="2519"/>
    </row>
    <row r="1398" spans="1:19" s="2358" customFormat="1" outlineLevel="1">
      <c r="A1398" s="2435" t="str">
        <f>IF(G1398&lt;&gt;0,1,"")</f>
        <v/>
      </c>
      <c r="B1398" s="2374" t="s">
        <v>5487</v>
      </c>
      <c r="C1398" s="2511"/>
      <c r="D1398" s="2405" t="s">
        <v>5488</v>
      </c>
      <c r="E1398" s="2447" t="s">
        <v>5489</v>
      </c>
      <c r="F1398" s="2405" t="s">
        <v>2254</v>
      </c>
      <c r="G1398" s="2703">
        <f>SUM(G1391:G1393)</f>
        <v>0</v>
      </c>
      <c r="H1398" s="2612"/>
      <c r="I1398" s="2669"/>
      <c r="J1398" s="2612">
        <v>2025</v>
      </c>
      <c r="K1398" s="2612">
        <v>0</v>
      </c>
      <c r="L1398" s="2613">
        <f>H1398*G1398</f>
        <v>0</v>
      </c>
      <c r="M1398" s="2613">
        <f t="shared" si="248"/>
        <v>0</v>
      </c>
      <c r="N1398" s="2612">
        <v>0</v>
      </c>
      <c r="O1398" s="2613">
        <f t="shared" si="249"/>
        <v>0</v>
      </c>
      <c r="P1398" s="2702"/>
      <c r="Q1398" s="2519"/>
      <c r="R1398" s="2519"/>
      <c r="S1398" s="2519"/>
    </row>
    <row r="1399" spans="1:19" s="2358" customFormat="1" outlineLevel="1">
      <c r="A1399" s="2435" t="str">
        <f>IF(G1399&lt;&gt;0,1,"")</f>
        <v/>
      </c>
      <c r="B1399" s="2514"/>
      <c r="C1399" s="2511">
        <f>IF(G1399&gt;0,C1389+1,C1385)</f>
        <v>0</v>
      </c>
      <c r="D1399" s="2512"/>
      <c r="E1399" s="2670" t="s">
        <v>6293</v>
      </c>
      <c r="F1399" s="2511" t="s">
        <v>2391</v>
      </c>
      <c r="G1399" s="2704">
        <f>+G1359*1</f>
        <v>0</v>
      </c>
      <c r="H1399" s="2669"/>
      <c r="I1399" s="2669"/>
      <c r="J1399" s="2669"/>
      <c r="K1399" s="2669"/>
      <c r="L1399" s="2613">
        <f t="shared" si="247"/>
        <v>0</v>
      </c>
      <c r="M1399" s="2613">
        <f>I1399*G1399</f>
        <v>0</v>
      </c>
      <c r="N1399" s="2613">
        <f>J1399*G1399</f>
        <v>0</v>
      </c>
      <c r="O1399" s="2613">
        <f>K1399*G1399</f>
        <v>0</v>
      </c>
      <c r="P1399" s="2702"/>
      <c r="Q1399" s="2519"/>
      <c r="R1399" s="2519"/>
      <c r="S1399" s="2519"/>
    </row>
    <row r="1400" spans="1:19" s="2358" customFormat="1" ht="14.4" outlineLevel="1">
      <c r="A1400" s="2435" t="str">
        <f>A1399</f>
        <v/>
      </c>
      <c r="B1400" s="2514"/>
      <c r="C1400" s="2511"/>
      <c r="D1400" s="2512"/>
      <c r="E1400" s="2520" t="s">
        <v>6207</v>
      </c>
      <c r="F1400" s="2521"/>
      <c r="G1400" s="2703"/>
      <c r="H1400" s="2669"/>
      <c r="I1400" s="2669"/>
      <c r="J1400" s="2669"/>
      <c r="K1400" s="2669"/>
      <c r="L1400" s="2613">
        <f t="shared" si="247"/>
        <v>0</v>
      </c>
      <c r="M1400" s="2613">
        <f>I1400*G1400</f>
        <v>0</v>
      </c>
      <c r="N1400" s="2613">
        <f>J1400*G1400</f>
        <v>0</v>
      </c>
      <c r="O1400" s="2613">
        <f>K1400*G1400</f>
        <v>0</v>
      </c>
      <c r="P1400" s="2702"/>
      <c r="Q1400" s="2519"/>
      <c r="R1400" s="2519"/>
      <c r="S1400" s="2519"/>
    </row>
    <row r="1401" spans="1:19" s="2358" customFormat="1" outlineLevel="1">
      <c r="A1401" s="2435" t="str">
        <f>IF(G1401&lt;&gt;0,1,"")</f>
        <v/>
      </c>
      <c r="B1401" s="2386" t="s">
        <v>5216</v>
      </c>
      <c r="C1401" s="2511"/>
      <c r="D1401" s="2405">
        <v>0</v>
      </c>
      <c r="E1401" s="2447" t="s">
        <v>5217</v>
      </c>
      <c r="F1401" s="2405" t="s">
        <v>2598</v>
      </c>
      <c r="G1401" s="2703">
        <f>+G1399*1</f>
        <v>0</v>
      </c>
      <c r="H1401" s="2612">
        <v>878000</v>
      </c>
      <c r="I1401" s="2612"/>
      <c r="J1401" s="2612">
        <v>0</v>
      </c>
      <c r="K1401" s="2612">
        <v>0</v>
      </c>
      <c r="L1401" s="2613">
        <f t="shared" si="247"/>
        <v>0</v>
      </c>
      <c r="M1401" s="2613">
        <f>I1401*G1401</f>
        <v>0</v>
      </c>
      <c r="N1401" s="2613">
        <f>J1401*G1401</f>
        <v>0</v>
      </c>
      <c r="O1401" s="2613">
        <f>K1401*G1401</f>
        <v>0</v>
      </c>
      <c r="P1401" s="2702"/>
      <c r="Q1401" s="2519"/>
      <c r="R1401" s="2519"/>
      <c r="S1401" s="2519"/>
    </row>
    <row r="1402" spans="1:19" s="2358" customFormat="1" outlineLevel="1">
      <c r="A1402" s="2435" t="str">
        <f>IF(G1402&lt;&gt;0,1,"")</f>
        <v/>
      </c>
      <c r="B1402" s="2383" t="s">
        <v>488</v>
      </c>
      <c r="C1402" s="2511"/>
      <c r="D1402" s="2405">
        <v>0</v>
      </c>
      <c r="E1402" s="2447" t="s">
        <v>5130</v>
      </c>
      <c r="F1402" s="2405" t="s">
        <v>2445</v>
      </c>
      <c r="G1402" s="2703">
        <f>+G1399*3</f>
        <v>0</v>
      </c>
      <c r="H1402" s="2612">
        <v>65000</v>
      </c>
      <c r="I1402" s="2612">
        <v>0</v>
      </c>
      <c r="J1402" s="2612">
        <v>0</v>
      </c>
      <c r="K1402" s="2612">
        <v>0</v>
      </c>
      <c r="L1402" s="2613">
        <f t="shared" si="247"/>
        <v>0</v>
      </c>
      <c r="M1402" s="2613">
        <f>I1402*G1402</f>
        <v>0</v>
      </c>
      <c r="N1402" s="2613">
        <f>J1402*G1402</f>
        <v>0</v>
      </c>
      <c r="O1402" s="2613">
        <f>K1402*G1402</f>
        <v>0</v>
      </c>
      <c r="P1402" s="2702"/>
      <c r="Q1402" s="2519"/>
      <c r="R1402" s="2519"/>
      <c r="S1402" s="2519"/>
    </row>
    <row r="1403" spans="1:19" s="2358" customFormat="1" outlineLevel="1">
      <c r="A1403" s="2435" t="str">
        <f>IF(G1403&lt;&gt;0,1,"")</f>
        <v/>
      </c>
      <c r="B1403" s="2514" t="s">
        <v>1079</v>
      </c>
      <c r="C1403" s="2511"/>
      <c r="D1403" s="2405">
        <v>0</v>
      </c>
      <c r="E1403" s="2447" t="s">
        <v>2659</v>
      </c>
      <c r="F1403" s="2405" t="s">
        <v>2445</v>
      </c>
      <c r="G1403" s="2703">
        <f>+G1399*2</f>
        <v>0</v>
      </c>
      <c r="H1403" s="2612">
        <v>27900</v>
      </c>
      <c r="I1403" s="2669"/>
      <c r="J1403" s="2612">
        <v>0</v>
      </c>
      <c r="K1403" s="2612">
        <v>0</v>
      </c>
      <c r="L1403" s="2613">
        <f t="shared" si="247"/>
        <v>0</v>
      </c>
      <c r="M1403" s="2613">
        <f>I1403*G1403</f>
        <v>0</v>
      </c>
      <c r="N1403" s="2613">
        <f>J1403*G1403</f>
        <v>0</v>
      </c>
      <c r="O1403" s="2613">
        <f>K1403*G1403</f>
        <v>0</v>
      </c>
      <c r="P1403" s="2702"/>
      <c r="Q1403" s="2519"/>
      <c r="R1403" s="2519"/>
      <c r="S1403" s="2519"/>
    </row>
    <row r="1404" spans="1:19" s="2358" customFormat="1" outlineLevel="1">
      <c r="A1404" s="2435" t="str">
        <f>IF(G1404&lt;&gt;0,1,"")</f>
        <v/>
      </c>
      <c r="B1404" s="2374" t="s">
        <v>5438</v>
      </c>
      <c r="C1404" s="2511"/>
      <c r="D1404" s="2405" t="s">
        <v>5209</v>
      </c>
      <c r="E1404" s="2447" t="s">
        <v>5439</v>
      </c>
      <c r="F1404" s="2405" t="s">
        <v>2445</v>
      </c>
      <c r="G1404" s="2703">
        <f>+G1399</f>
        <v>0</v>
      </c>
      <c r="H1404" s="2517">
        <v>0</v>
      </c>
      <c r="I1404" s="2612"/>
      <c r="J1404" s="2612" t="s">
        <v>6428</v>
      </c>
      <c r="K1404" s="2612"/>
      <c r="L1404" s="2613">
        <f t="shared" si="247"/>
        <v>0</v>
      </c>
      <c r="M1404" s="2613"/>
      <c r="N1404" s="2612">
        <v>0</v>
      </c>
      <c r="O1404" s="2613"/>
      <c r="P1404" s="2702"/>
      <c r="Q1404" s="2519"/>
      <c r="R1404" s="2519"/>
      <c r="S1404" s="2519"/>
    </row>
    <row r="1405" spans="1:19" s="2358" customFormat="1" outlineLevel="1">
      <c r="A1405" s="2435" t="str">
        <f>IF(G1405&lt;&gt;0,1,"")</f>
        <v/>
      </c>
      <c r="B1405" s="2514"/>
      <c r="C1405" s="2511">
        <f>IF(G1405&gt;0,C1389+2,C1389)</f>
        <v>0</v>
      </c>
      <c r="D1405" s="2512"/>
      <c r="E1405" s="2670" t="s">
        <v>6307</v>
      </c>
      <c r="F1405" s="2511" t="s">
        <v>2391</v>
      </c>
      <c r="G1405" s="2704">
        <f>G1359*1</f>
        <v>0</v>
      </c>
      <c r="H1405" s="2669"/>
      <c r="I1405" s="2669"/>
      <c r="J1405" s="2669"/>
      <c r="K1405" s="2669"/>
      <c r="L1405" s="2613">
        <f t="shared" si="247"/>
        <v>0</v>
      </c>
      <c r="M1405" s="2613">
        <f>I1405*G1405</f>
        <v>0</v>
      </c>
      <c r="N1405" s="2613">
        <f>J1405*G1405</f>
        <v>0</v>
      </c>
      <c r="O1405" s="2613">
        <f>K1405*G1405</f>
        <v>0</v>
      </c>
      <c r="P1405" s="2702"/>
      <c r="Q1405" s="2519"/>
      <c r="R1405" s="2519"/>
      <c r="S1405" s="2519"/>
    </row>
    <row r="1406" spans="1:19" s="2358" customFormat="1" ht="14.4" outlineLevel="1">
      <c r="A1406" s="2435" t="str">
        <f>A1405</f>
        <v/>
      </c>
      <c r="B1406" s="2514"/>
      <c r="C1406" s="2511"/>
      <c r="D1406" s="2512"/>
      <c r="E1406" s="2520" t="s">
        <v>6207</v>
      </c>
      <c r="F1406" s="2521"/>
      <c r="G1406" s="2703"/>
      <c r="H1406" s="2669"/>
      <c r="I1406" s="2669"/>
      <c r="J1406" s="2669"/>
      <c r="K1406" s="2669"/>
      <c r="L1406" s="2613">
        <f t="shared" si="247"/>
        <v>0</v>
      </c>
      <c r="M1406" s="2613">
        <f>I1406*G1406</f>
        <v>0</v>
      </c>
      <c r="N1406" s="2613">
        <f>J1406*G1406</f>
        <v>0</v>
      </c>
      <c r="O1406" s="2613">
        <f>K1406*G1406</f>
        <v>0</v>
      </c>
      <c r="P1406" s="2702"/>
      <c r="Q1406" s="2519"/>
      <c r="R1406" s="2519"/>
      <c r="S1406" s="2519"/>
    </row>
    <row r="1407" spans="1:19" s="2358" customFormat="1" outlineLevel="1">
      <c r="A1407" s="2435" t="str">
        <f>IF(G1407&lt;&gt;0,1,"")</f>
        <v/>
      </c>
      <c r="B1407" s="2505" t="s">
        <v>2026</v>
      </c>
      <c r="C1407" s="2511"/>
      <c r="D1407" s="2405">
        <v>0</v>
      </c>
      <c r="E1407" s="2447" t="s">
        <v>2443</v>
      </c>
      <c r="F1407" s="2405" t="s">
        <v>2254</v>
      </c>
      <c r="G1407" s="2703">
        <f>G1405*9.02*(2.6+3*0.07)</f>
        <v>0</v>
      </c>
      <c r="H1407" s="2517">
        <v>31625</v>
      </c>
      <c r="I1407" s="2612"/>
      <c r="J1407" s="2612">
        <v>0</v>
      </c>
      <c r="K1407" s="2612">
        <v>0</v>
      </c>
      <c r="L1407" s="2613">
        <f t="shared" si="247"/>
        <v>0</v>
      </c>
      <c r="M1407" s="2613">
        <f>I1407*G1407</f>
        <v>0</v>
      </c>
      <c r="N1407" s="2613">
        <f>J1407*G1407</f>
        <v>0</v>
      </c>
      <c r="O1407" s="2613">
        <f>K1407*G1407</f>
        <v>0</v>
      </c>
      <c r="P1407" s="2702"/>
      <c r="Q1407" s="2519"/>
      <c r="R1407" s="2519"/>
      <c r="S1407" s="2519"/>
    </row>
    <row r="1408" spans="1:19" s="2358" customFormat="1" outlineLevel="1">
      <c r="A1408" s="2435" t="str">
        <f>IF(G1408&lt;&gt;0,1,"")</f>
        <v/>
      </c>
      <c r="B1408" s="2514" t="s">
        <v>1613</v>
      </c>
      <c r="C1408" s="2511"/>
      <c r="D1408" s="2405">
        <v>0</v>
      </c>
      <c r="E1408" s="2447" t="s">
        <v>2657</v>
      </c>
      <c r="F1408" s="2405" t="s">
        <v>2445</v>
      </c>
      <c r="G1408" s="2703">
        <f>G1405*2</f>
        <v>0</v>
      </c>
      <c r="H1408" s="2517">
        <v>25400</v>
      </c>
      <c r="I1408" s="2612">
        <v>0</v>
      </c>
      <c r="J1408" s="2612">
        <v>0</v>
      </c>
      <c r="K1408" s="2612">
        <v>0</v>
      </c>
      <c r="L1408" s="2613">
        <f t="shared" si="247"/>
        <v>0</v>
      </c>
      <c r="M1408" s="2613">
        <f>I1408*G1408</f>
        <v>0</v>
      </c>
      <c r="N1408" s="2613">
        <f>J1408*G1408</f>
        <v>0</v>
      </c>
      <c r="O1408" s="2613">
        <f>K1408*G1408</f>
        <v>0</v>
      </c>
      <c r="P1408" s="2702"/>
      <c r="Q1408" s="2519"/>
      <c r="R1408" s="2519"/>
      <c r="S1408" s="2519"/>
    </row>
    <row r="1409" spans="1:19" s="2358" customFormat="1" outlineLevel="1">
      <c r="A1409" s="2435" t="str">
        <f>IF(G1409&lt;&gt;0,1,"")</f>
        <v/>
      </c>
      <c r="B1409" s="2374" t="s">
        <v>5487</v>
      </c>
      <c r="C1409" s="2511"/>
      <c r="D1409" s="2405" t="s">
        <v>5488</v>
      </c>
      <c r="E1409" s="2447" t="s">
        <v>5489</v>
      </c>
      <c r="F1409" s="2405" t="s">
        <v>2254</v>
      </c>
      <c r="G1409" s="2703">
        <f>SUM(G1407)</f>
        <v>0</v>
      </c>
      <c r="H1409" s="2517">
        <v>0</v>
      </c>
      <c r="I1409" s="2612"/>
      <c r="J1409" s="2612">
        <v>2025</v>
      </c>
      <c r="K1409" s="2612"/>
      <c r="L1409" s="2613">
        <f t="shared" si="247"/>
        <v>0</v>
      </c>
      <c r="M1409" s="2613"/>
      <c r="N1409" s="2612">
        <v>0</v>
      </c>
      <c r="O1409" s="2613"/>
      <c r="P1409" s="2702"/>
      <c r="Q1409" s="2519"/>
      <c r="R1409" s="2519"/>
      <c r="S1409" s="2519"/>
    </row>
    <row r="1410" spans="1:19" s="2358" customFormat="1" outlineLevel="1">
      <c r="A1410" s="2435" t="str">
        <f>IF(G1410&lt;&gt;0,1,"")</f>
        <v/>
      </c>
      <c r="B1410" s="2514"/>
      <c r="C1410" s="2511">
        <f>IF(G1410&gt;0,C1405+1,C1405)</f>
        <v>0</v>
      </c>
      <c r="D1410" s="2512"/>
      <c r="E1410" s="2670" t="s">
        <v>6295</v>
      </c>
      <c r="F1410" s="2511" t="s">
        <v>2391</v>
      </c>
      <c r="G1410" s="2704">
        <f>G1359*2</f>
        <v>0</v>
      </c>
      <c r="H1410" s="2669"/>
      <c r="I1410" s="2669"/>
      <c r="J1410" s="2669"/>
      <c r="K1410" s="2669"/>
      <c r="L1410" s="2613">
        <f t="shared" si="247"/>
        <v>0</v>
      </c>
      <c r="M1410" s="2613">
        <f>I1410*G1410</f>
        <v>0</v>
      </c>
      <c r="N1410" s="2613">
        <f>J1410*G1410</f>
        <v>0</v>
      </c>
      <c r="O1410" s="2613">
        <f>K1410*G1410</f>
        <v>0</v>
      </c>
      <c r="P1410" s="2518"/>
      <c r="Q1410" s="2519"/>
      <c r="R1410" s="2519"/>
      <c r="S1410" s="2519"/>
    </row>
    <row r="1411" spans="1:19" s="2358" customFormat="1" ht="14.4" outlineLevel="1">
      <c r="A1411" s="2435" t="str">
        <f>A1410</f>
        <v/>
      </c>
      <c r="B1411" s="2514"/>
      <c r="C1411" s="2511"/>
      <c r="D1411" s="2512"/>
      <c r="E1411" s="2520" t="s">
        <v>6207</v>
      </c>
      <c r="F1411" s="2521"/>
      <c r="G1411" s="2522"/>
      <c r="H1411" s="2669"/>
      <c r="I1411" s="2669"/>
      <c r="J1411" s="2669"/>
      <c r="K1411" s="2669"/>
      <c r="L1411" s="2613">
        <f t="shared" si="247"/>
        <v>0</v>
      </c>
      <c r="M1411" s="2613">
        <f>I1411*G1411</f>
        <v>0</v>
      </c>
      <c r="N1411" s="2613">
        <f>J1411*G1411</f>
        <v>0</v>
      </c>
      <c r="O1411" s="2613">
        <f>K1411*G1411</f>
        <v>0</v>
      </c>
      <c r="P1411" s="2518"/>
      <c r="Q1411" s="2519"/>
      <c r="R1411" s="2519"/>
      <c r="S1411" s="2519"/>
    </row>
    <row r="1412" spans="1:19" s="2358" customFormat="1" outlineLevel="1">
      <c r="A1412" s="2435" t="str">
        <f>IF(G1412&lt;&gt;0,1,"")</f>
        <v/>
      </c>
      <c r="B1412" s="2514" t="s">
        <v>2026</v>
      </c>
      <c r="C1412" s="2511"/>
      <c r="D1412" s="2405">
        <v>0</v>
      </c>
      <c r="E1412" s="2447" t="s">
        <v>2443</v>
      </c>
      <c r="F1412" s="2405" t="s">
        <v>2254</v>
      </c>
      <c r="G1412" s="2679">
        <f>G1410*9.02*2.6</f>
        <v>0</v>
      </c>
      <c r="H1412" s="2517">
        <v>32074</v>
      </c>
      <c r="I1412" s="2612"/>
      <c r="J1412" s="2612">
        <v>0</v>
      </c>
      <c r="K1412" s="2612"/>
      <c r="L1412" s="2613">
        <f t="shared" si="247"/>
        <v>0</v>
      </c>
      <c r="M1412" s="2613"/>
      <c r="N1412" s="2613"/>
      <c r="O1412" s="2613"/>
      <c r="P1412" s="2518"/>
      <c r="Q1412" s="2519"/>
      <c r="R1412" s="2519"/>
      <c r="S1412" s="2519"/>
    </row>
    <row r="1413" spans="1:19" s="2358" customFormat="1" outlineLevel="1">
      <c r="A1413" s="2435" t="str">
        <f>IF(G1413&lt;&gt;0,1,"")</f>
        <v/>
      </c>
      <c r="B1413" s="2514" t="s">
        <v>1083</v>
      </c>
      <c r="C1413" s="2511"/>
      <c r="D1413" s="2405">
        <v>0</v>
      </c>
      <c r="E1413" s="2447" t="s">
        <v>2660</v>
      </c>
      <c r="F1413" s="2405" t="s">
        <v>2445</v>
      </c>
      <c r="G1413" s="2679">
        <f>G1410*2</f>
        <v>0</v>
      </c>
      <c r="H1413" s="2517">
        <v>29900</v>
      </c>
      <c r="I1413" s="2612">
        <v>0</v>
      </c>
      <c r="J1413" s="2612">
        <v>0</v>
      </c>
      <c r="K1413" s="2612"/>
      <c r="L1413" s="2613">
        <f t="shared" si="247"/>
        <v>0</v>
      </c>
      <c r="M1413" s="2613"/>
      <c r="N1413" s="2613"/>
      <c r="O1413" s="2613"/>
      <c r="P1413" s="2518"/>
      <c r="Q1413" s="2519"/>
      <c r="R1413" s="2519"/>
      <c r="S1413" s="2519"/>
    </row>
    <row r="1414" spans="1:19" s="2358" customFormat="1" outlineLevel="1">
      <c r="A1414" s="2435" t="str">
        <f>IF(G1414&lt;&gt;0,1,"")</f>
        <v/>
      </c>
      <c r="B1414" s="2514" t="s">
        <v>138</v>
      </c>
      <c r="C1414" s="2511"/>
      <c r="D1414" s="2405">
        <v>0</v>
      </c>
      <c r="E1414" s="2447" t="s">
        <v>2635</v>
      </c>
      <c r="F1414" s="2405" t="s">
        <v>2445</v>
      </c>
      <c r="G1414" s="2679">
        <f>G1410*2</f>
        <v>0</v>
      </c>
      <c r="H1414" s="2517">
        <v>8500</v>
      </c>
      <c r="I1414" s="2612">
        <v>0</v>
      </c>
      <c r="J1414" s="2612">
        <v>0</v>
      </c>
      <c r="K1414" s="2612"/>
      <c r="L1414" s="2613">
        <f t="shared" si="247"/>
        <v>0</v>
      </c>
      <c r="M1414" s="2613"/>
      <c r="N1414" s="2613"/>
      <c r="O1414" s="2613"/>
      <c r="P1414" s="2518"/>
      <c r="Q1414" s="2519"/>
      <c r="R1414" s="2519"/>
      <c r="S1414" s="2519"/>
    </row>
    <row r="1415" spans="1:19" s="2358" customFormat="1" outlineLevel="1">
      <c r="A1415" s="2435" t="str">
        <f>IF(G1415&lt;&gt;0,1,"")</f>
        <v/>
      </c>
      <c r="B1415" s="2374" t="s">
        <v>5487</v>
      </c>
      <c r="C1415" s="2511"/>
      <c r="D1415" s="2405" t="s">
        <v>5488</v>
      </c>
      <c r="E1415" s="2447" t="s">
        <v>5489</v>
      </c>
      <c r="F1415" s="2405" t="s">
        <v>2254</v>
      </c>
      <c r="G1415" s="2679">
        <f>SUM(G1412)</f>
        <v>0</v>
      </c>
      <c r="H1415" s="2517">
        <v>0</v>
      </c>
      <c r="I1415" s="2612"/>
      <c r="J1415" s="2612">
        <v>2025</v>
      </c>
      <c r="K1415" s="2612"/>
      <c r="L1415" s="2613">
        <f t="shared" si="247"/>
        <v>0</v>
      </c>
      <c r="M1415" s="2613"/>
      <c r="N1415" s="2612">
        <v>0</v>
      </c>
      <c r="O1415" s="2613"/>
      <c r="P1415" s="2518"/>
      <c r="Q1415" s="2519"/>
      <c r="R1415" s="2519"/>
      <c r="S1415" s="2519"/>
    </row>
    <row r="1416" spans="1:19" s="2358" customFormat="1" outlineLevel="1">
      <c r="A1416" s="2435" t="str">
        <f>IF(G1416&lt;&gt;0,1,"")</f>
        <v/>
      </c>
      <c r="B1416" s="2514"/>
      <c r="C1416" s="2511">
        <f>IF(G1416&gt;0,C1410+1,C1410)</f>
        <v>0</v>
      </c>
      <c r="D1416" s="2512"/>
      <c r="E1416" s="2670" t="s">
        <v>3738</v>
      </c>
      <c r="F1416" s="2511" t="s">
        <v>2391</v>
      </c>
      <c r="G1416" s="2704">
        <f>G1359</f>
        <v>0</v>
      </c>
      <c r="H1416" s="2517"/>
      <c r="I1416" s="2517"/>
      <c r="J1416" s="2517"/>
      <c r="K1416" s="2517"/>
      <c r="L1416" s="2517">
        <f t="shared" si="247"/>
        <v>0</v>
      </c>
      <c r="M1416" s="2517">
        <f>I1416*G1416</f>
        <v>0</v>
      </c>
      <c r="N1416" s="2517">
        <f t="shared" ref="N1416:N1429" si="250">J1416*G1416</f>
        <v>0</v>
      </c>
      <c r="O1416" s="2517">
        <f>K1416*G1416</f>
        <v>0</v>
      </c>
      <c r="P1416" s="2694"/>
      <c r="Q1416" s="2519"/>
      <c r="R1416" s="2519"/>
      <c r="S1416" s="2519"/>
    </row>
    <row r="1417" spans="1:19" s="2358" customFormat="1" ht="14.4" outlineLevel="1">
      <c r="A1417" s="2435" t="str">
        <f>+A1416</f>
        <v/>
      </c>
      <c r="B1417" s="2671"/>
      <c r="C1417" s="2511"/>
      <c r="D1417" s="2512"/>
      <c r="E1417" s="2520" t="s">
        <v>6207</v>
      </c>
      <c r="F1417" s="2521"/>
      <c r="G1417" s="2703"/>
      <c r="H1417" s="2517"/>
      <c r="I1417" s="2517"/>
      <c r="J1417" s="2517"/>
      <c r="K1417" s="2517"/>
      <c r="L1417" s="2517">
        <f t="shared" si="247"/>
        <v>0</v>
      </c>
      <c r="M1417" s="2517">
        <f>I1417*G1417</f>
        <v>0</v>
      </c>
      <c r="N1417" s="2517">
        <f t="shared" si="250"/>
        <v>0</v>
      </c>
      <c r="O1417" s="2517">
        <f>K1417*G1417</f>
        <v>0</v>
      </c>
      <c r="P1417" s="2694"/>
      <c r="Q1417" s="2519"/>
      <c r="R1417" s="2519"/>
      <c r="S1417" s="2519"/>
    </row>
    <row r="1418" spans="1:19" s="2358" customFormat="1" outlineLevel="1">
      <c r="A1418" s="2435" t="str">
        <f t="shared" ref="A1418:A1438" si="251">IF(G1418&lt;&gt;0,1,"")</f>
        <v/>
      </c>
      <c r="B1418" s="2514" t="s">
        <v>1033</v>
      </c>
      <c r="C1418" s="2511"/>
      <c r="D1418" s="2405">
        <v>0</v>
      </c>
      <c r="E1418" s="2447" t="s">
        <v>2708</v>
      </c>
      <c r="F1418" s="2405" t="s">
        <v>2254</v>
      </c>
      <c r="G1418" s="2679">
        <f>95*0.224*G1416</f>
        <v>0</v>
      </c>
      <c r="H1418" s="2517">
        <v>255500</v>
      </c>
      <c r="I1418" s="2517"/>
      <c r="J1418" s="2517">
        <v>0</v>
      </c>
      <c r="K1418" s="2517">
        <v>0</v>
      </c>
      <c r="L1418" s="2517">
        <f t="shared" si="247"/>
        <v>0</v>
      </c>
      <c r="M1418" s="2517">
        <f>I1418*G1418</f>
        <v>0</v>
      </c>
      <c r="N1418" s="2517">
        <f t="shared" si="250"/>
        <v>0</v>
      </c>
      <c r="O1418" s="2517">
        <f>K1418*G1418</f>
        <v>0</v>
      </c>
      <c r="P1418" s="2694"/>
      <c r="Q1418" s="2519"/>
      <c r="R1418" s="2519"/>
      <c r="S1418" s="2519"/>
    </row>
    <row r="1419" spans="1:19" s="2358" customFormat="1" outlineLevel="1">
      <c r="A1419" s="2435" t="str">
        <f t="shared" si="251"/>
        <v/>
      </c>
      <c r="B1419" s="2505" t="s">
        <v>1511</v>
      </c>
      <c r="C1419" s="2511"/>
      <c r="D1419" s="2405">
        <v>0</v>
      </c>
      <c r="E1419" s="2447" t="s">
        <v>5224</v>
      </c>
      <c r="F1419" s="2405" t="s">
        <v>2445</v>
      </c>
      <c r="G1419" s="2679">
        <f>13*G1416</f>
        <v>0</v>
      </c>
      <c r="H1419" s="2517">
        <v>160000</v>
      </c>
      <c r="I1419" s="2517"/>
      <c r="J1419" s="2517">
        <v>0</v>
      </c>
      <c r="K1419" s="2517">
        <v>0</v>
      </c>
      <c r="L1419" s="2517">
        <f t="shared" si="247"/>
        <v>0</v>
      </c>
      <c r="M1419" s="2517">
        <f>I1419*G1419</f>
        <v>0</v>
      </c>
      <c r="N1419" s="2517">
        <f t="shared" si="250"/>
        <v>0</v>
      </c>
      <c r="O1419" s="2517">
        <f>K1419*G1419</f>
        <v>0</v>
      </c>
      <c r="P1419" s="2694"/>
      <c r="Q1419" s="2519"/>
      <c r="R1419" s="2519"/>
      <c r="S1419" s="2519"/>
    </row>
    <row r="1420" spans="1:19" s="2358" customFormat="1" outlineLevel="1">
      <c r="A1420" s="2435" t="str">
        <f t="shared" si="251"/>
        <v/>
      </c>
      <c r="B1420" s="2514" t="s">
        <v>1582</v>
      </c>
      <c r="C1420" s="2511"/>
      <c r="D1420" s="2405">
        <v>0</v>
      </c>
      <c r="E1420" s="2447" t="s">
        <v>2889</v>
      </c>
      <c r="F1420" s="2405" t="s">
        <v>2563</v>
      </c>
      <c r="G1420" s="2679">
        <f>2*G1416</f>
        <v>0</v>
      </c>
      <c r="H1420" s="2517">
        <v>8000</v>
      </c>
      <c r="I1420" s="2517"/>
      <c r="J1420" s="2517">
        <v>0</v>
      </c>
      <c r="K1420" s="2517">
        <v>0</v>
      </c>
      <c r="L1420" s="2517">
        <f t="shared" si="247"/>
        <v>0</v>
      </c>
      <c r="M1420" s="2517">
        <f>I1420*G1420</f>
        <v>0</v>
      </c>
      <c r="N1420" s="2517">
        <f t="shared" si="250"/>
        <v>0</v>
      </c>
      <c r="O1420" s="2517">
        <f>K1420*G1420</f>
        <v>0</v>
      </c>
      <c r="P1420" s="2702"/>
      <c r="Q1420" s="2519"/>
      <c r="R1420" s="2519"/>
      <c r="S1420" s="2519"/>
    </row>
    <row r="1421" spans="1:19" s="2358" customFormat="1" outlineLevel="1">
      <c r="A1421" s="2435" t="str">
        <f t="shared" si="251"/>
        <v/>
      </c>
      <c r="B1421" s="2514" t="s">
        <v>1062</v>
      </c>
      <c r="C1421" s="2511"/>
      <c r="D1421" s="2405">
        <v>0</v>
      </c>
      <c r="E1421" s="2447" t="s">
        <v>3599</v>
      </c>
      <c r="F1421" s="2405" t="s">
        <v>2563</v>
      </c>
      <c r="G1421" s="2679">
        <f>G1416*18</f>
        <v>0</v>
      </c>
      <c r="H1421" s="2517">
        <v>17600</v>
      </c>
      <c r="I1421" s="2517"/>
      <c r="J1421" s="2517">
        <v>0</v>
      </c>
      <c r="K1421" s="2517"/>
      <c r="L1421" s="2517">
        <f t="shared" si="247"/>
        <v>0</v>
      </c>
      <c r="M1421" s="2517"/>
      <c r="N1421" s="2517">
        <f t="shared" si="250"/>
        <v>0</v>
      </c>
      <c r="O1421" s="2517"/>
      <c r="P1421" s="2694"/>
      <c r="Q1421" s="2519"/>
      <c r="R1421" s="2519"/>
      <c r="S1421" s="2519"/>
    </row>
    <row r="1422" spans="1:19" s="2358" customFormat="1" outlineLevel="1">
      <c r="A1422" s="2435" t="str">
        <f>IF(G1422&lt;&gt;0,1,"")</f>
        <v/>
      </c>
      <c r="B1422" s="2514" t="s">
        <v>2023</v>
      </c>
      <c r="C1422" s="2511"/>
      <c r="D1422" s="2405">
        <v>0</v>
      </c>
      <c r="E1422" s="2447" t="s">
        <v>2635</v>
      </c>
      <c r="F1422" s="2405" t="s">
        <v>2445</v>
      </c>
      <c r="G1422" s="2679">
        <f>G1416*1</f>
        <v>0</v>
      </c>
      <c r="H1422" s="2517">
        <v>8500</v>
      </c>
      <c r="I1422" s="2517"/>
      <c r="J1422" s="2517">
        <v>0</v>
      </c>
      <c r="K1422" s="2517"/>
      <c r="L1422" s="2517">
        <f>H1422*G1422</f>
        <v>0</v>
      </c>
      <c r="M1422" s="2517"/>
      <c r="N1422" s="2517">
        <f>J1422*G1422</f>
        <v>0</v>
      </c>
      <c r="O1422" s="2517"/>
      <c r="P1422" s="2694"/>
      <c r="Q1422" s="2519"/>
      <c r="R1422" s="2519"/>
      <c r="S1422" s="2519"/>
    </row>
    <row r="1423" spans="1:19" s="2358" customFormat="1" outlineLevel="1">
      <c r="A1423" s="2435" t="str">
        <f t="shared" ref="A1423:A1428" si="252">IF(G1423&lt;&gt;0,1,"")</f>
        <v/>
      </c>
      <c r="B1423" s="2514" t="s">
        <v>377</v>
      </c>
      <c r="C1423" s="2511"/>
      <c r="D1423" s="2405" t="s">
        <v>5787</v>
      </c>
      <c r="E1423" s="2447" t="s">
        <v>3495</v>
      </c>
      <c r="F1423" s="2405" t="s">
        <v>2563</v>
      </c>
      <c r="G1423" s="2679">
        <f>G1416*9</f>
        <v>0</v>
      </c>
      <c r="H1423" s="2517">
        <v>7800</v>
      </c>
      <c r="I1423" s="2517"/>
      <c r="J1423" s="2517">
        <v>10608.955000000002</v>
      </c>
      <c r="K1423" s="2517"/>
      <c r="L1423" s="2517">
        <f t="shared" ref="L1423:L1428" si="253">H1423*G1423</f>
        <v>0</v>
      </c>
      <c r="M1423" s="2517"/>
      <c r="N1423" s="2517">
        <f t="shared" ref="N1423:N1428" si="254">J1423*G1423</f>
        <v>0</v>
      </c>
      <c r="O1423" s="2517"/>
      <c r="P1423" s="2694"/>
      <c r="Q1423" s="2519"/>
      <c r="R1423" s="2519"/>
      <c r="S1423" s="2519"/>
    </row>
    <row r="1424" spans="1:19" s="2358" customFormat="1" outlineLevel="1">
      <c r="A1424" s="2435" t="str">
        <f t="shared" si="252"/>
        <v/>
      </c>
      <c r="B1424" s="2505" t="s">
        <v>5361</v>
      </c>
      <c r="C1424" s="2511"/>
      <c r="D1424" s="2405" t="s">
        <v>5362</v>
      </c>
      <c r="E1424" s="2447" t="s">
        <v>5363</v>
      </c>
      <c r="F1424" s="2405" t="s">
        <v>2538</v>
      </c>
      <c r="G1424" s="2679">
        <f>G1416*6</f>
        <v>0</v>
      </c>
      <c r="H1424" s="2517">
        <v>42000</v>
      </c>
      <c r="I1424" s="2517"/>
      <c r="J1424" s="2517">
        <v>25037.1</v>
      </c>
      <c r="K1424" s="2517"/>
      <c r="L1424" s="2517">
        <f t="shared" si="253"/>
        <v>0</v>
      </c>
      <c r="M1424" s="2517"/>
      <c r="N1424" s="2517">
        <f t="shared" si="254"/>
        <v>0</v>
      </c>
      <c r="O1424" s="2517"/>
      <c r="P1424" s="2694"/>
      <c r="Q1424" s="2519"/>
      <c r="R1424" s="2519"/>
      <c r="S1424" s="2519"/>
    </row>
    <row r="1425" spans="1:19" s="2358" customFormat="1" outlineLevel="1">
      <c r="A1425" s="2435" t="str">
        <f t="shared" si="252"/>
        <v/>
      </c>
      <c r="B1425" s="2505" t="s">
        <v>525</v>
      </c>
      <c r="C1425" s="2511"/>
      <c r="D1425" s="2405">
        <v>0</v>
      </c>
      <c r="E1425" s="2447" t="s">
        <v>5313</v>
      </c>
      <c r="F1425" s="2405" t="s">
        <v>2445</v>
      </c>
      <c r="G1425" s="2679">
        <f>G1416*5</f>
        <v>0</v>
      </c>
      <c r="H1425" s="2517">
        <v>43000</v>
      </c>
      <c r="I1425" s="2517"/>
      <c r="J1425" s="2517">
        <v>0</v>
      </c>
      <c r="K1425" s="2517"/>
      <c r="L1425" s="2517">
        <f t="shared" si="253"/>
        <v>0</v>
      </c>
      <c r="M1425" s="2517"/>
      <c r="N1425" s="2517">
        <f t="shared" si="254"/>
        <v>0</v>
      </c>
      <c r="O1425" s="2517"/>
      <c r="P1425" s="2694"/>
      <c r="Q1425" s="2519"/>
      <c r="R1425" s="2519"/>
      <c r="S1425" s="2519"/>
    </row>
    <row r="1426" spans="1:19" s="2358" customFormat="1" outlineLevel="1">
      <c r="A1426" s="2435" t="str">
        <f t="shared" si="252"/>
        <v/>
      </c>
      <c r="B1426" s="2383" t="s">
        <v>5242</v>
      </c>
      <c r="C1426" s="2511"/>
      <c r="D1426" s="2405">
        <v>0</v>
      </c>
      <c r="E1426" s="2447" t="s">
        <v>5243</v>
      </c>
      <c r="F1426" s="2405" t="s">
        <v>2538</v>
      </c>
      <c r="G1426" s="2679">
        <f>G1416*4</f>
        <v>0</v>
      </c>
      <c r="H1426" s="2517">
        <v>11000</v>
      </c>
      <c r="I1426" s="2517"/>
      <c r="J1426" s="2517">
        <v>0</v>
      </c>
      <c r="K1426" s="2517"/>
      <c r="L1426" s="2517">
        <f t="shared" si="253"/>
        <v>0</v>
      </c>
      <c r="M1426" s="2517"/>
      <c r="N1426" s="2517">
        <f t="shared" si="254"/>
        <v>0</v>
      </c>
      <c r="O1426" s="2517"/>
      <c r="P1426" s="2694"/>
      <c r="Q1426" s="2519"/>
      <c r="R1426" s="2519"/>
      <c r="S1426" s="2519"/>
    </row>
    <row r="1427" spans="1:19" s="2358" customFormat="1" outlineLevel="1">
      <c r="A1427" s="2435" t="str">
        <f t="shared" si="252"/>
        <v/>
      </c>
      <c r="B1427" s="2383" t="s">
        <v>5244</v>
      </c>
      <c r="C1427" s="2511"/>
      <c r="D1427" s="2405">
        <v>0</v>
      </c>
      <c r="E1427" s="2447" t="s">
        <v>5245</v>
      </c>
      <c r="F1427" s="2405" t="s">
        <v>2563</v>
      </c>
      <c r="G1427" s="2679">
        <f>G1416*4</f>
        <v>0</v>
      </c>
      <c r="H1427" s="2517">
        <v>4000</v>
      </c>
      <c r="I1427" s="2517"/>
      <c r="J1427" s="2517">
        <v>0</v>
      </c>
      <c r="K1427" s="2517"/>
      <c r="L1427" s="2517">
        <f t="shared" si="253"/>
        <v>0</v>
      </c>
      <c r="M1427" s="2517"/>
      <c r="N1427" s="2517">
        <f t="shared" si="254"/>
        <v>0</v>
      </c>
      <c r="O1427" s="2517"/>
      <c r="P1427" s="2694"/>
      <c r="Q1427" s="2519"/>
      <c r="R1427" s="2519"/>
      <c r="S1427" s="2519"/>
    </row>
    <row r="1428" spans="1:19" s="2358" customFormat="1" outlineLevel="1">
      <c r="A1428" s="2435" t="str">
        <f t="shared" si="252"/>
        <v/>
      </c>
      <c r="B1428" s="2505" t="s">
        <v>1588</v>
      </c>
      <c r="C1428" s="2511"/>
      <c r="D1428" s="2405">
        <v>0</v>
      </c>
      <c r="E1428" s="2447" t="s">
        <v>5775</v>
      </c>
      <c r="F1428" s="2405" t="s">
        <v>3463</v>
      </c>
      <c r="G1428" s="2679">
        <f>G1416</f>
        <v>0</v>
      </c>
      <c r="H1428" s="2517">
        <v>0</v>
      </c>
      <c r="I1428" s="2517"/>
      <c r="J1428" s="2517">
        <v>1500000</v>
      </c>
      <c r="K1428" s="2517"/>
      <c r="L1428" s="2517">
        <f t="shared" si="253"/>
        <v>0</v>
      </c>
      <c r="M1428" s="2517"/>
      <c r="N1428" s="2517">
        <f t="shared" si="254"/>
        <v>0</v>
      </c>
      <c r="O1428" s="2517"/>
      <c r="P1428" s="2694"/>
      <c r="Q1428" s="2519"/>
      <c r="R1428" s="2519"/>
      <c r="S1428" s="2519"/>
    </row>
    <row r="1429" spans="1:19" s="2358" customFormat="1" outlineLevel="1">
      <c r="A1429" s="2435" t="str">
        <f t="shared" si="251"/>
        <v/>
      </c>
      <c r="B1429" s="2505" t="s">
        <v>794</v>
      </c>
      <c r="C1429" s="2672"/>
      <c r="D1429" s="2405" t="s">
        <v>5398</v>
      </c>
      <c r="E1429" s="2447" t="s">
        <v>3086</v>
      </c>
      <c r="F1429" s="2405" t="s">
        <v>856</v>
      </c>
      <c r="G1429" s="2679">
        <f>G1416*0.3*0.5*53</f>
        <v>0</v>
      </c>
      <c r="H1429" s="2517">
        <v>0</v>
      </c>
      <c r="I1429" s="2517"/>
      <c r="J1429" s="2517">
        <v>283749.75</v>
      </c>
      <c r="K1429" s="2517"/>
      <c r="L1429" s="2517">
        <f t="shared" si="247"/>
        <v>0</v>
      </c>
      <c r="M1429" s="2517">
        <f>I1429*G1429</f>
        <v>0</v>
      </c>
      <c r="N1429" s="2517">
        <f t="shared" si="250"/>
        <v>0</v>
      </c>
      <c r="O1429" s="2517">
        <f>K1429*G1429</f>
        <v>0</v>
      </c>
      <c r="P1429" s="2694"/>
      <c r="Q1429" s="2519"/>
      <c r="R1429" s="2519"/>
      <c r="S1429" s="2519"/>
    </row>
    <row r="1430" spans="1:19" s="2358" customFormat="1" outlineLevel="1">
      <c r="A1430" s="2435" t="str">
        <f t="shared" si="251"/>
        <v/>
      </c>
      <c r="B1430" s="2505" t="s">
        <v>798</v>
      </c>
      <c r="C1430" s="2511"/>
      <c r="D1430" s="2405" t="s">
        <v>5387</v>
      </c>
      <c r="E1430" s="2447" t="s">
        <v>5399</v>
      </c>
      <c r="F1430" s="2405" t="s">
        <v>856</v>
      </c>
      <c r="G1430" s="2679">
        <f>G1429</f>
        <v>0</v>
      </c>
      <c r="H1430" s="2517">
        <v>22240</v>
      </c>
      <c r="I1430" s="2517"/>
      <c r="J1430" s="2517">
        <v>117703.6</v>
      </c>
      <c r="K1430" s="2517">
        <v>0</v>
      </c>
      <c r="L1430" s="2517">
        <f t="shared" si="247"/>
        <v>0</v>
      </c>
      <c r="M1430" s="2517">
        <f>I1430*G1430</f>
        <v>0</v>
      </c>
      <c r="N1430" s="2517">
        <f>J1430*G1430</f>
        <v>0</v>
      </c>
      <c r="O1430" s="2517">
        <f>K1430*G1430</f>
        <v>0</v>
      </c>
      <c r="P1430" s="2702"/>
      <c r="Q1430" s="2705">
        <f>53*0.3*0.5</f>
        <v>7.9499999999999993</v>
      </c>
      <c r="R1430" s="2519"/>
      <c r="S1430" s="2519"/>
    </row>
    <row r="1431" spans="1:19" s="2358" customFormat="1" outlineLevel="1">
      <c r="A1431" s="2435" t="str">
        <f t="shared" si="251"/>
        <v/>
      </c>
      <c r="B1431" s="2505" t="s">
        <v>902</v>
      </c>
      <c r="C1431" s="2511"/>
      <c r="D1431" s="2405" t="s">
        <v>5413</v>
      </c>
      <c r="E1431" s="2447" t="s">
        <v>5414</v>
      </c>
      <c r="F1431" s="2405" t="s">
        <v>2284</v>
      </c>
      <c r="G1431" s="2679">
        <f>G1419</f>
        <v>0</v>
      </c>
      <c r="H1431" s="2517">
        <v>0</v>
      </c>
      <c r="I1431" s="2517"/>
      <c r="J1431" s="2517" t="s">
        <v>6386</v>
      </c>
      <c r="K1431" s="2517">
        <v>0</v>
      </c>
      <c r="L1431" s="2517">
        <f>H1431*$G1431</f>
        <v>0</v>
      </c>
      <c r="M1431" s="2517">
        <f>I1431*$G1431</f>
        <v>0</v>
      </c>
      <c r="N1431" s="2517">
        <v>0</v>
      </c>
      <c r="O1431" s="2517">
        <f>K1431*$G1431</f>
        <v>0</v>
      </c>
      <c r="P1431" s="2694"/>
      <c r="Q1431" s="2519"/>
      <c r="R1431" s="2519"/>
      <c r="S1431" s="2519"/>
    </row>
    <row r="1432" spans="1:19" s="2358" customFormat="1" outlineLevel="1">
      <c r="A1432" s="2435" t="str">
        <f t="shared" si="251"/>
        <v/>
      </c>
      <c r="B1432" s="2505" t="s">
        <v>1440</v>
      </c>
      <c r="C1432" s="2511"/>
      <c r="D1432" s="2405" t="s">
        <v>5408</v>
      </c>
      <c r="E1432" s="2447" t="s">
        <v>5409</v>
      </c>
      <c r="F1432" s="2405" t="s">
        <v>2538</v>
      </c>
      <c r="G1432" s="2679">
        <f>G1418/0.224</f>
        <v>0</v>
      </c>
      <c r="H1432" s="2517">
        <v>0</v>
      </c>
      <c r="I1432" s="2517"/>
      <c r="J1432" s="2517">
        <v>8070.7000000000007</v>
      </c>
      <c r="K1432" s="2517">
        <v>2044.9974999999999</v>
      </c>
      <c r="L1432" s="2517">
        <f t="shared" ref="L1432:L1438" si="255">H1432*G1432</f>
        <v>0</v>
      </c>
      <c r="M1432" s="2517">
        <f t="shared" ref="M1432:M1438" si="256">I1432*G1432</f>
        <v>0</v>
      </c>
      <c r="N1432" s="2517">
        <f t="shared" ref="N1432:N1438" si="257">J1432*G1432</f>
        <v>0</v>
      </c>
      <c r="O1432" s="2517">
        <f t="shared" ref="O1432:O1438" si="258">K1432*G1432</f>
        <v>0</v>
      </c>
      <c r="P1432" s="2694"/>
      <c r="Q1432" s="2519"/>
      <c r="R1432" s="2519"/>
      <c r="S1432" s="2519"/>
    </row>
    <row r="1433" spans="1:19" s="2358" customFormat="1" outlineLevel="1">
      <c r="A1433" s="2435" t="str">
        <f t="shared" si="251"/>
        <v/>
      </c>
      <c r="B1433" s="2505" t="s">
        <v>5236</v>
      </c>
      <c r="C1433" s="2511"/>
      <c r="D1433" s="2405">
        <v>0</v>
      </c>
      <c r="E1433" s="2447" t="s">
        <v>5237</v>
      </c>
      <c r="F1433" s="2405" t="s">
        <v>5235</v>
      </c>
      <c r="G1433" s="2703">
        <f>G1416*6*0</f>
        <v>0</v>
      </c>
      <c r="H1433" s="2517">
        <v>38105</v>
      </c>
      <c r="I1433" s="2517"/>
      <c r="J1433" s="2517">
        <v>0</v>
      </c>
      <c r="K1433" s="2517">
        <v>0</v>
      </c>
      <c r="L1433" s="2517">
        <f t="shared" si="255"/>
        <v>0</v>
      </c>
      <c r="M1433" s="2517">
        <f t="shared" si="256"/>
        <v>0</v>
      </c>
      <c r="N1433" s="2517">
        <f t="shared" si="257"/>
        <v>0</v>
      </c>
      <c r="O1433" s="2517">
        <f t="shared" si="258"/>
        <v>0</v>
      </c>
      <c r="P1433" s="2694"/>
      <c r="Q1433" s="2519"/>
      <c r="R1433" s="2519"/>
      <c r="S1433" s="2519"/>
    </row>
    <row r="1434" spans="1:19" s="2358" customFormat="1" outlineLevel="1">
      <c r="A1434" s="2435" t="str">
        <f t="shared" si="251"/>
        <v/>
      </c>
      <c r="B1434" s="2505" t="s">
        <v>5238</v>
      </c>
      <c r="C1434" s="2511"/>
      <c r="D1434" s="2405">
        <v>0</v>
      </c>
      <c r="E1434" s="2447" t="s">
        <v>5239</v>
      </c>
      <c r="F1434" s="2405" t="s">
        <v>5235</v>
      </c>
      <c r="G1434" s="2522">
        <f>G1421*2*0</f>
        <v>0</v>
      </c>
      <c r="H1434" s="2517">
        <v>69188</v>
      </c>
      <c r="I1434" s="2517"/>
      <c r="J1434" s="2517">
        <v>0</v>
      </c>
      <c r="K1434" s="2517">
        <v>0</v>
      </c>
      <c r="L1434" s="2517">
        <f t="shared" si="255"/>
        <v>0</v>
      </c>
      <c r="M1434" s="2517">
        <f t="shared" si="256"/>
        <v>0</v>
      </c>
      <c r="N1434" s="2517">
        <f t="shared" si="257"/>
        <v>0</v>
      </c>
      <c r="O1434" s="2517">
        <f t="shared" si="258"/>
        <v>0</v>
      </c>
      <c r="P1434" s="2642"/>
      <c r="Q1434" s="2519"/>
      <c r="R1434" s="2519"/>
      <c r="S1434" s="2519"/>
    </row>
    <row r="1435" spans="1:19" s="2358" customFormat="1" outlineLevel="1">
      <c r="A1435" s="2435" t="str">
        <f t="shared" si="251"/>
        <v/>
      </c>
      <c r="B1435" s="2706" t="s">
        <v>5240</v>
      </c>
      <c r="C1435" s="2511"/>
      <c r="D1435" s="2405">
        <v>0</v>
      </c>
      <c r="E1435" s="2447" t="s">
        <v>5241</v>
      </c>
      <c r="F1435" s="2405" t="s">
        <v>5235</v>
      </c>
      <c r="G1435" s="2703">
        <f>G1416*2*0</f>
        <v>0</v>
      </c>
      <c r="H1435" s="2517">
        <v>53008</v>
      </c>
      <c r="I1435" s="2517"/>
      <c r="J1435" s="2517">
        <v>0</v>
      </c>
      <c r="K1435" s="2517">
        <v>0</v>
      </c>
      <c r="L1435" s="2517">
        <f t="shared" si="255"/>
        <v>0</v>
      </c>
      <c r="M1435" s="2517">
        <f t="shared" si="256"/>
        <v>0</v>
      </c>
      <c r="N1435" s="2517">
        <f t="shared" si="257"/>
        <v>0</v>
      </c>
      <c r="O1435" s="2517">
        <f t="shared" si="258"/>
        <v>0</v>
      </c>
      <c r="P1435" s="2694"/>
      <c r="Q1435" s="2519"/>
      <c r="R1435" s="2519"/>
      <c r="S1435" s="2519"/>
    </row>
    <row r="1436" spans="1:19" s="2358" customFormat="1" outlineLevel="1">
      <c r="A1436" s="2435" t="str">
        <f>IF(G1436&lt;&gt;0,1,"")</f>
        <v/>
      </c>
      <c r="B1436" s="2706" t="s">
        <v>6308</v>
      </c>
      <c r="C1436" s="2511"/>
      <c r="D1436" s="2405">
        <v>0</v>
      </c>
      <c r="E1436" s="2447" t="s">
        <v>5103</v>
      </c>
      <c r="F1436" s="2405" t="s">
        <v>2445</v>
      </c>
      <c r="G1436" s="2703">
        <f>G1416*20*0</f>
        <v>0</v>
      </c>
      <c r="H1436" s="2517">
        <v>8400</v>
      </c>
      <c r="I1436" s="2517"/>
      <c r="J1436" s="2517">
        <v>0</v>
      </c>
      <c r="K1436" s="2517">
        <v>0</v>
      </c>
      <c r="L1436" s="2517">
        <f>H1436*G1436</f>
        <v>0</v>
      </c>
      <c r="M1436" s="2517">
        <f>I1436*G1436</f>
        <v>0</v>
      </c>
      <c r="N1436" s="2517">
        <f>J1436*G1436</f>
        <v>0</v>
      </c>
      <c r="O1436" s="2517">
        <f>K1436*G1436</f>
        <v>0</v>
      </c>
      <c r="P1436" s="2694"/>
      <c r="Q1436" s="2519"/>
      <c r="R1436" s="2519"/>
      <c r="S1436" s="2519"/>
    </row>
    <row r="1437" spans="1:19" s="2358" customFormat="1" outlineLevel="1">
      <c r="A1437" s="2435" t="str">
        <f t="shared" si="251"/>
        <v/>
      </c>
      <c r="B1437" s="2505" t="s">
        <v>5242</v>
      </c>
      <c r="C1437" s="2511"/>
      <c r="D1437" s="2405">
        <v>0</v>
      </c>
      <c r="E1437" s="2447" t="s">
        <v>5243</v>
      </c>
      <c r="F1437" s="2405" t="s">
        <v>2538</v>
      </c>
      <c r="G1437" s="2703">
        <f>G1433+G1435</f>
        <v>0</v>
      </c>
      <c r="H1437" s="2517">
        <v>11000</v>
      </c>
      <c r="I1437" s="2517"/>
      <c r="J1437" s="2517">
        <v>0</v>
      </c>
      <c r="K1437" s="2517">
        <v>0</v>
      </c>
      <c r="L1437" s="2517">
        <f t="shared" si="255"/>
        <v>0</v>
      </c>
      <c r="M1437" s="2517">
        <f t="shared" si="256"/>
        <v>0</v>
      </c>
      <c r="N1437" s="2517">
        <f t="shared" si="257"/>
        <v>0</v>
      </c>
      <c r="O1437" s="2517">
        <f t="shared" si="258"/>
        <v>0</v>
      </c>
      <c r="P1437" s="2694"/>
      <c r="Q1437" s="2519"/>
      <c r="R1437" s="2519"/>
      <c r="S1437" s="2519"/>
    </row>
    <row r="1438" spans="1:19" s="2358" customFormat="1" outlineLevel="1">
      <c r="A1438" s="2435" t="str">
        <f t="shared" si="251"/>
        <v/>
      </c>
      <c r="B1438" s="2505" t="s">
        <v>5244</v>
      </c>
      <c r="C1438" s="2511"/>
      <c r="D1438" s="2405">
        <v>0</v>
      </c>
      <c r="E1438" s="2447" t="s">
        <v>5245</v>
      </c>
      <c r="F1438" s="2405" t="s">
        <v>2563</v>
      </c>
      <c r="G1438" s="2703">
        <f>G1437</f>
        <v>0</v>
      </c>
      <c r="H1438" s="2517">
        <v>4000</v>
      </c>
      <c r="I1438" s="2517"/>
      <c r="J1438" s="2517">
        <v>0</v>
      </c>
      <c r="K1438" s="2517">
        <v>0</v>
      </c>
      <c r="L1438" s="2517">
        <f t="shared" si="255"/>
        <v>0</v>
      </c>
      <c r="M1438" s="2517">
        <f t="shared" si="256"/>
        <v>0</v>
      </c>
      <c r="N1438" s="2517">
        <f t="shared" si="257"/>
        <v>0</v>
      </c>
      <c r="O1438" s="2517">
        <f t="shared" si="258"/>
        <v>0</v>
      </c>
      <c r="P1438" s="2694"/>
      <c r="Q1438" s="2519"/>
      <c r="R1438" s="2519"/>
      <c r="S1438" s="2519"/>
    </row>
    <row r="1439" spans="1:19" s="2358" customFormat="1" outlineLevel="1">
      <c r="A1439" s="2435">
        <f>IF(G1439=0,0,1)</f>
        <v>0</v>
      </c>
      <c r="B1439" s="2505" t="s">
        <v>794</v>
      </c>
      <c r="C1439" s="2521"/>
      <c r="D1439" s="2405" t="s">
        <v>5398</v>
      </c>
      <c r="E1439" s="2447" t="s">
        <v>3086</v>
      </c>
      <c r="F1439" s="2405" t="s">
        <v>856</v>
      </c>
      <c r="G1439" s="2707">
        <f>G1416*(52+20)*0.3*0.5*0</f>
        <v>0</v>
      </c>
      <c r="H1439" s="2517">
        <v>0</v>
      </c>
      <c r="I1439" s="2517"/>
      <c r="J1439" s="2517">
        <v>283749.75</v>
      </c>
      <c r="K1439" s="2517">
        <v>0</v>
      </c>
      <c r="L1439" s="2517">
        <f t="shared" ref="L1439:O1440" si="259">H1439*$G1439</f>
        <v>0</v>
      </c>
      <c r="M1439" s="2517">
        <f t="shared" si="259"/>
        <v>0</v>
      </c>
      <c r="N1439" s="2517">
        <f t="shared" si="259"/>
        <v>0</v>
      </c>
      <c r="O1439" s="2517">
        <f t="shared" si="259"/>
        <v>0</v>
      </c>
      <c r="P1439" s="2694"/>
      <c r="Q1439" s="2519"/>
      <c r="R1439" s="2519"/>
      <c r="S1439" s="2519"/>
    </row>
    <row r="1440" spans="1:19" s="2358" customFormat="1" outlineLevel="1">
      <c r="A1440" s="2435">
        <f>IF(G1440=0,0,1)</f>
        <v>0</v>
      </c>
      <c r="B1440" s="2505" t="s">
        <v>798</v>
      </c>
      <c r="C1440" s="2521"/>
      <c r="D1440" s="2405" t="s">
        <v>5387</v>
      </c>
      <c r="E1440" s="2447" t="s">
        <v>5399</v>
      </c>
      <c r="F1440" s="2405" t="s">
        <v>856</v>
      </c>
      <c r="G1440" s="2707">
        <f>G1439</f>
        <v>0</v>
      </c>
      <c r="H1440" s="2517">
        <v>0</v>
      </c>
      <c r="I1440" s="2517"/>
      <c r="J1440" s="2517">
        <v>117703.6</v>
      </c>
      <c r="K1440" s="2517">
        <v>0</v>
      </c>
      <c r="L1440" s="2517">
        <f t="shared" si="259"/>
        <v>0</v>
      </c>
      <c r="M1440" s="2517">
        <f t="shared" si="259"/>
        <v>0</v>
      </c>
      <c r="N1440" s="2517">
        <f t="shared" si="259"/>
        <v>0</v>
      </c>
      <c r="O1440" s="2517">
        <f t="shared" si="259"/>
        <v>0</v>
      </c>
      <c r="P1440" s="2694"/>
      <c r="Q1440" s="2519"/>
      <c r="R1440" s="2519"/>
      <c r="S1440" s="2519"/>
    </row>
    <row r="1441" spans="1:20" s="2358" customFormat="1" outlineLevel="1">
      <c r="A1441" s="2435">
        <f>IF(G1441=0,0,1)</f>
        <v>0</v>
      </c>
      <c r="B1441" s="2505" t="s">
        <v>902</v>
      </c>
      <c r="C1441" s="2521"/>
      <c r="D1441" s="2405" t="s">
        <v>5413</v>
      </c>
      <c r="E1441" s="2447" t="s">
        <v>5414</v>
      </c>
      <c r="F1441" s="2405" t="s">
        <v>2284</v>
      </c>
      <c r="G1441" s="2707">
        <f>G1419*0</f>
        <v>0</v>
      </c>
      <c r="H1441" s="2517">
        <v>0</v>
      </c>
      <c r="I1441" s="2517"/>
      <c r="J1441" s="2517" t="s">
        <v>6386</v>
      </c>
      <c r="K1441" s="2517">
        <v>0</v>
      </c>
      <c r="L1441" s="2517">
        <f>H1441*$G1441</f>
        <v>0</v>
      </c>
      <c r="M1441" s="2517">
        <f>I1441*$G1441</f>
        <v>0</v>
      </c>
      <c r="N1441" s="2517">
        <v>0</v>
      </c>
      <c r="O1441" s="2517">
        <f>K1441*$G1441</f>
        <v>0</v>
      </c>
      <c r="P1441" s="2694"/>
      <c r="Q1441" s="2519"/>
      <c r="R1441" s="2519"/>
      <c r="S1441" s="2519"/>
    </row>
    <row r="1442" spans="1:20" s="2358" customFormat="1" outlineLevel="1">
      <c r="A1442" s="2435" t="str">
        <f>IF(G1442&lt;&gt;0,1,"")</f>
        <v/>
      </c>
      <c r="B1442" s="2505" t="s">
        <v>1440</v>
      </c>
      <c r="C1442" s="2511"/>
      <c r="D1442" s="2405" t="s">
        <v>5408</v>
      </c>
      <c r="E1442" s="2447" t="s">
        <v>5409</v>
      </c>
      <c r="F1442" s="2405" t="s">
        <v>2538</v>
      </c>
      <c r="G1442" s="2703">
        <f>G1418/0.224*0</f>
        <v>0</v>
      </c>
      <c r="H1442" s="2517">
        <v>0</v>
      </c>
      <c r="I1442" s="2517"/>
      <c r="J1442" s="2517">
        <v>8070.7000000000007</v>
      </c>
      <c r="K1442" s="2517">
        <v>2044.9974999999999</v>
      </c>
      <c r="L1442" s="2517">
        <f>H1442*G1442</f>
        <v>0</v>
      </c>
      <c r="M1442" s="2517">
        <f>I1442*G1442</f>
        <v>0</v>
      </c>
      <c r="N1442" s="2517">
        <f>J1442*G1442</f>
        <v>0</v>
      </c>
      <c r="O1442" s="2517">
        <f>K1442*G1442</f>
        <v>0</v>
      </c>
      <c r="P1442" s="2694"/>
      <c r="Q1442" s="2519"/>
      <c r="R1442" s="2519"/>
      <c r="S1442" s="2519"/>
    </row>
    <row r="1443" spans="1:20" s="2358" customFormat="1" outlineLevel="1">
      <c r="A1443" s="2435" t="str">
        <f>IF(G1443&lt;&gt;0,1,"")</f>
        <v/>
      </c>
      <c r="B1443" s="2514"/>
      <c r="C1443" s="2511">
        <f>IF(G1443&gt;0,C1416+1,C1416)</f>
        <v>0</v>
      </c>
      <c r="D1443" s="2512"/>
      <c r="E1443" s="2515" t="s">
        <v>6296</v>
      </c>
      <c r="F1443" s="2511" t="s">
        <v>2391</v>
      </c>
      <c r="G1443" s="2516">
        <f>G1365</f>
        <v>0</v>
      </c>
      <c r="H1443" s="2517"/>
      <c r="I1443" s="2517"/>
      <c r="J1443" s="2517"/>
      <c r="K1443" s="2517"/>
      <c r="L1443" s="2517">
        <f t="shared" ref="L1443:L1460" si="260">H1443*G1443</f>
        <v>0</v>
      </c>
      <c r="M1443" s="2517">
        <f t="shared" ref="M1443:M1460" si="261">I1443*G1443</f>
        <v>0</v>
      </c>
      <c r="N1443" s="2517">
        <f t="shared" ref="N1443:N1460" si="262">J1443*G1443</f>
        <v>0</v>
      </c>
      <c r="O1443" s="2517">
        <f t="shared" ref="O1443:O1460" si="263">K1443*G1443</f>
        <v>0</v>
      </c>
      <c r="P1443" s="2518"/>
      <c r="Q1443" s="2519"/>
      <c r="R1443" s="2519"/>
      <c r="S1443" s="2519"/>
    </row>
    <row r="1444" spans="1:20" s="2358" customFormat="1" ht="14.4" outlineLevel="1">
      <c r="A1444" s="2435" t="str">
        <f>A1443</f>
        <v/>
      </c>
      <c r="B1444" s="2514"/>
      <c r="C1444" s="2511"/>
      <c r="D1444" s="2512"/>
      <c r="E1444" s="2520" t="s">
        <v>6207</v>
      </c>
      <c r="F1444" s="2521"/>
      <c r="G1444" s="2522"/>
      <c r="H1444" s="2517"/>
      <c r="I1444" s="2517"/>
      <c r="J1444" s="2517"/>
      <c r="K1444" s="2517"/>
      <c r="L1444" s="2517">
        <f t="shared" si="260"/>
        <v>0</v>
      </c>
      <c r="M1444" s="2517">
        <f t="shared" si="261"/>
        <v>0</v>
      </c>
      <c r="N1444" s="2517">
        <f t="shared" si="262"/>
        <v>0</v>
      </c>
      <c r="O1444" s="2517">
        <f t="shared" si="263"/>
        <v>0</v>
      </c>
      <c r="P1444" s="2518"/>
      <c r="Q1444" s="2519"/>
      <c r="R1444" s="2519"/>
      <c r="S1444" s="2519"/>
    </row>
    <row r="1445" spans="1:20" s="2358" customFormat="1" outlineLevel="1">
      <c r="A1445" s="2435" t="str">
        <f>IF(G1445&lt;&gt;0,1,"")</f>
        <v/>
      </c>
      <c r="B1445" s="2514" t="s">
        <v>653</v>
      </c>
      <c r="C1445" s="2521"/>
      <c r="D1445" s="2405">
        <v>0</v>
      </c>
      <c r="E1445" s="2447" t="s">
        <v>5351</v>
      </c>
      <c r="F1445" s="2405" t="s">
        <v>2254</v>
      </c>
      <c r="G1445" s="2523">
        <f>+G1448*296</f>
        <v>0</v>
      </c>
      <c r="H1445" s="2517">
        <v>1740</v>
      </c>
      <c r="I1445" s="2517"/>
      <c r="J1445" s="2517">
        <v>0</v>
      </c>
      <c r="K1445" s="2517">
        <v>0</v>
      </c>
      <c r="L1445" s="2517">
        <f t="shared" si="260"/>
        <v>0</v>
      </c>
      <c r="M1445" s="2517">
        <f t="shared" si="261"/>
        <v>0</v>
      </c>
      <c r="N1445" s="2517">
        <f t="shared" si="262"/>
        <v>0</v>
      </c>
      <c r="O1445" s="2517">
        <f t="shared" si="263"/>
        <v>0</v>
      </c>
      <c r="P1445" s="2518"/>
      <c r="Q1445" s="2519"/>
      <c r="R1445" s="2519"/>
      <c r="S1445" s="2519"/>
    </row>
    <row r="1446" spans="1:20" s="2358" customFormat="1" outlineLevel="1">
      <c r="A1446" s="2435" t="str">
        <f>IF(G1446&lt;&gt;0,1,"")</f>
        <v/>
      </c>
      <c r="B1446" s="2514" t="s">
        <v>752</v>
      </c>
      <c r="C1446" s="2511"/>
      <c r="D1446" s="2405">
        <v>0</v>
      </c>
      <c r="E1446" s="2447" t="s">
        <v>3022</v>
      </c>
      <c r="F1446" s="2405" t="s">
        <v>856</v>
      </c>
      <c r="G1446" s="2523">
        <f>G1448*0.475</f>
        <v>0</v>
      </c>
      <c r="H1446" s="2517">
        <v>512000</v>
      </c>
      <c r="I1446" s="2517"/>
      <c r="J1446" s="2517">
        <v>0</v>
      </c>
      <c r="K1446" s="2517">
        <v>0</v>
      </c>
      <c r="L1446" s="2517">
        <f t="shared" si="260"/>
        <v>0</v>
      </c>
      <c r="M1446" s="2517">
        <f t="shared" si="261"/>
        <v>0</v>
      </c>
      <c r="N1446" s="2517">
        <f t="shared" si="262"/>
        <v>0</v>
      </c>
      <c r="O1446" s="2517">
        <f t="shared" si="263"/>
        <v>0</v>
      </c>
      <c r="P1446" s="2518"/>
      <c r="Q1446" s="2519"/>
      <c r="R1446" s="2519"/>
      <c r="S1446" s="2519"/>
    </row>
    <row r="1447" spans="1:20" s="2358" customFormat="1" outlineLevel="1">
      <c r="A1447" s="2435" t="str">
        <f>IF(G1447&lt;&gt;0,1,"")</f>
        <v/>
      </c>
      <c r="B1447" s="2514" t="s">
        <v>216</v>
      </c>
      <c r="C1447" s="2511"/>
      <c r="D1447" s="2405">
        <v>0</v>
      </c>
      <c r="E1447" s="2447" t="s">
        <v>3018</v>
      </c>
      <c r="F1447" s="2405" t="s">
        <v>856</v>
      </c>
      <c r="G1447" s="2523">
        <f>G1448*0.881</f>
        <v>0</v>
      </c>
      <c r="H1447" s="2517">
        <v>335000</v>
      </c>
      <c r="I1447" s="2517"/>
      <c r="J1447" s="2517">
        <v>0</v>
      </c>
      <c r="K1447" s="2517">
        <v>0</v>
      </c>
      <c r="L1447" s="2517">
        <f t="shared" si="260"/>
        <v>0</v>
      </c>
      <c r="M1447" s="2517">
        <f t="shared" si="261"/>
        <v>0</v>
      </c>
      <c r="N1447" s="2517">
        <f t="shared" si="262"/>
        <v>0</v>
      </c>
      <c r="O1447" s="2517">
        <f t="shared" si="263"/>
        <v>0</v>
      </c>
      <c r="P1447" s="2518"/>
      <c r="Q1447" s="2519"/>
      <c r="R1447" s="2519"/>
      <c r="S1447" s="2519"/>
    </row>
    <row r="1448" spans="1:20" s="2358" customFormat="1" outlineLevel="1">
      <c r="A1448" s="2435" t="str">
        <f>IF(G1448&lt;&gt;0,1,"")</f>
        <v/>
      </c>
      <c r="B1448" s="2514" t="s">
        <v>654</v>
      </c>
      <c r="C1448" s="2521"/>
      <c r="D1448" s="2405" t="s">
        <v>5533</v>
      </c>
      <c r="E1448" s="2447" t="s">
        <v>5536</v>
      </c>
      <c r="F1448" s="2405" t="s">
        <v>856</v>
      </c>
      <c r="G1448" s="2523">
        <f>G1443*(0.4*3*1-2*3.14*0.15^2*0.4)</f>
        <v>0</v>
      </c>
      <c r="H1448" s="2517"/>
      <c r="I1448" s="2517"/>
      <c r="J1448" s="2517">
        <v>466397.5</v>
      </c>
      <c r="K1448" s="2517">
        <v>0</v>
      </c>
      <c r="L1448" s="2517">
        <f t="shared" si="260"/>
        <v>0</v>
      </c>
      <c r="M1448" s="2517">
        <f t="shared" si="261"/>
        <v>0</v>
      </c>
      <c r="N1448" s="2517">
        <f t="shared" si="262"/>
        <v>0</v>
      </c>
      <c r="O1448" s="2517">
        <f t="shared" si="263"/>
        <v>0</v>
      </c>
      <c r="P1448" s="2518"/>
      <c r="Q1448" s="2525">
        <f>1.025*361</f>
        <v>370.02499999999998</v>
      </c>
      <c r="R1448" s="2525">
        <f>1.025*0.45</f>
        <v>0.46124999999999999</v>
      </c>
      <c r="S1448" s="2525">
        <f>1.025*0.866</f>
        <v>0.88764999999999994</v>
      </c>
      <c r="T1448" s="2526"/>
    </row>
    <row r="1449" spans="1:20" s="2358" customFormat="1" outlineLevel="1">
      <c r="A1449" s="2435" t="str">
        <f>IF(G1449&lt;&gt;0,1,"")</f>
        <v/>
      </c>
      <c r="B1449" s="2514"/>
      <c r="C1449" s="2511">
        <f>IF(G1449&gt;0,C1443+1,C1443)</f>
        <v>0</v>
      </c>
      <c r="D1449" s="2512"/>
      <c r="E1449" s="2629" t="s">
        <v>6283</v>
      </c>
      <c r="F1449" s="2511" t="s">
        <v>2391</v>
      </c>
      <c r="G1449" s="2704">
        <f>G1359</f>
        <v>0</v>
      </c>
      <c r="H1449" s="2517"/>
      <c r="I1449" s="2517"/>
      <c r="J1449" s="2517"/>
      <c r="K1449" s="2517"/>
      <c r="L1449" s="2517">
        <f t="shared" si="260"/>
        <v>0</v>
      </c>
      <c r="M1449" s="2517">
        <f t="shared" si="261"/>
        <v>0</v>
      </c>
      <c r="N1449" s="2517">
        <f t="shared" si="262"/>
        <v>0</v>
      </c>
      <c r="O1449" s="2517">
        <f t="shared" si="263"/>
        <v>0</v>
      </c>
      <c r="P1449" s="2694"/>
      <c r="Q1449" s="2519"/>
      <c r="R1449" s="2519"/>
      <c r="S1449" s="2519"/>
    </row>
    <row r="1450" spans="1:20" s="2358" customFormat="1" ht="14.4" outlineLevel="1">
      <c r="A1450" s="2435" t="str">
        <f>A1449</f>
        <v/>
      </c>
      <c r="B1450" s="2514"/>
      <c r="C1450" s="2511"/>
      <c r="D1450" s="2512"/>
      <c r="E1450" s="2520" t="s">
        <v>6207</v>
      </c>
      <c r="F1450" s="2521"/>
      <c r="G1450" s="2703"/>
      <c r="H1450" s="2517"/>
      <c r="I1450" s="2517"/>
      <c r="J1450" s="2517"/>
      <c r="K1450" s="2517"/>
      <c r="L1450" s="2517">
        <f t="shared" si="260"/>
        <v>0</v>
      </c>
      <c r="M1450" s="2517">
        <f t="shared" si="261"/>
        <v>0</v>
      </c>
      <c r="N1450" s="2517">
        <f t="shared" si="262"/>
        <v>0</v>
      </c>
      <c r="O1450" s="2517">
        <f t="shared" si="263"/>
        <v>0</v>
      </c>
      <c r="P1450" s="2694"/>
      <c r="Q1450" s="2519"/>
      <c r="R1450" s="2519"/>
      <c r="S1450" s="2519"/>
    </row>
    <row r="1451" spans="1:20" s="2358" customFormat="1" outlineLevel="1">
      <c r="A1451" s="2435" t="str">
        <f>IF(G1451&lt;&gt;0,1,"")</f>
        <v/>
      </c>
      <c r="B1451" s="2514" t="s">
        <v>5707</v>
      </c>
      <c r="C1451" s="2521"/>
      <c r="D1451" s="2405" t="s">
        <v>5695</v>
      </c>
      <c r="E1451" s="2447" t="s">
        <v>5708</v>
      </c>
      <c r="F1451" s="2405" t="s">
        <v>2563</v>
      </c>
      <c r="G1451" s="2703">
        <f>G1449</f>
        <v>0</v>
      </c>
      <c r="H1451" s="2517">
        <v>5000000</v>
      </c>
      <c r="I1451" s="2517"/>
      <c r="J1451" s="2517">
        <v>690091</v>
      </c>
      <c r="K1451" s="2517">
        <v>97369</v>
      </c>
      <c r="L1451" s="2517">
        <f t="shared" si="260"/>
        <v>0</v>
      </c>
      <c r="M1451" s="2517">
        <f t="shared" si="261"/>
        <v>0</v>
      </c>
      <c r="N1451" s="2517">
        <f t="shared" si="262"/>
        <v>0</v>
      </c>
      <c r="O1451" s="2517">
        <f t="shared" si="263"/>
        <v>0</v>
      </c>
      <c r="P1451" s="2694"/>
      <c r="Q1451" s="2519"/>
      <c r="R1451" s="2519"/>
      <c r="S1451" s="2519"/>
    </row>
    <row r="1452" spans="1:20" s="2358" customFormat="1" outlineLevel="1">
      <c r="A1452" s="2435" t="str">
        <f>IF(G1452&lt;&gt;0,1,"")</f>
        <v/>
      </c>
      <c r="B1452" s="2514" t="s">
        <v>880</v>
      </c>
      <c r="C1452" s="2511"/>
      <c r="D1452" s="2405">
        <v>0</v>
      </c>
      <c r="E1452" s="2447" t="s">
        <v>5861</v>
      </c>
      <c r="F1452" s="2405" t="s">
        <v>2563</v>
      </c>
      <c r="G1452" s="2703">
        <f>G1451</f>
        <v>0</v>
      </c>
      <c r="H1452" s="2517">
        <v>284000</v>
      </c>
      <c r="I1452" s="2517"/>
      <c r="J1452" s="2517">
        <v>0</v>
      </c>
      <c r="K1452" s="2517">
        <v>0</v>
      </c>
      <c r="L1452" s="2517">
        <f t="shared" si="260"/>
        <v>0</v>
      </c>
      <c r="M1452" s="2517">
        <f t="shared" si="261"/>
        <v>0</v>
      </c>
      <c r="N1452" s="2517">
        <f t="shared" si="262"/>
        <v>0</v>
      </c>
      <c r="O1452" s="2517">
        <f t="shared" si="263"/>
        <v>0</v>
      </c>
      <c r="P1452" s="2694"/>
      <c r="Q1452" s="2519"/>
      <c r="R1452" s="2519"/>
      <c r="S1452" s="2519"/>
    </row>
    <row r="1453" spans="1:20" s="2358" customFormat="1" outlineLevel="1">
      <c r="A1453" s="2435" t="str">
        <f>IF(G1453&lt;&gt;0,1,"")</f>
        <v/>
      </c>
      <c r="B1453" s="2514" t="s">
        <v>289</v>
      </c>
      <c r="C1453" s="2521"/>
      <c r="D1453" s="2405">
        <v>0</v>
      </c>
      <c r="E1453" s="2447" t="s">
        <v>5774</v>
      </c>
      <c r="F1453" s="2405" t="s">
        <v>2563</v>
      </c>
      <c r="G1453" s="2631">
        <f>G1449</f>
        <v>0</v>
      </c>
      <c r="H1453" s="2517">
        <v>300000</v>
      </c>
      <c r="I1453" s="2517"/>
      <c r="J1453" s="2517">
        <v>0</v>
      </c>
      <c r="K1453" s="2517">
        <v>0</v>
      </c>
      <c r="L1453" s="2517">
        <f t="shared" si="260"/>
        <v>0</v>
      </c>
      <c r="M1453" s="2517">
        <f t="shared" si="261"/>
        <v>0</v>
      </c>
      <c r="N1453" s="2517">
        <f t="shared" si="262"/>
        <v>0</v>
      </c>
      <c r="O1453" s="2517">
        <f t="shared" si="263"/>
        <v>0</v>
      </c>
      <c r="P1453" s="2642"/>
      <c r="Q1453" s="2519"/>
      <c r="R1453" s="2519"/>
      <c r="S1453" s="2519"/>
    </row>
    <row r="1454" spans="1:20" s="2358" customFormat="1" outlineLevel="1">
      <c r="A1454" s="2435" t="str">
        <f>IF(G1454&lt;&gt;0,1,"")</f>
        <v/>
      </c>
      <c r="B1454" s="2374" t="s">
        <v>588</v>
      </c>
      <c r="C1454" s="2521"/>
      <c r="D1454" s="2405">
        <v>0</v>
      </c>
      <c r="E1454" s="2447" t="s">
        <v>2999</v>
      </c>
      <c r="F1454" s="2405" t="s">
        <v>2445</v>
      </c>
      <c r="G1454" s="2611">
        <f>G1451*2*0</f>
        <v>0</v>
      </c>
      <c r="H1454" s="2517">
        <v>0</v>
      </c>
      <c r="I1454" s="2517"/>
      <c r="J1454" s="2517">
        <v>0</v>
      </c>
      <c r="K1454" s="2517">
        <v>0</v>
      </c>
      <c r="L1454" s="2517">
        <f t="shared" si="260"/>
        <v>0</v>
      </c>
      <c r="M1454" s="2517">
        <f t="shared" si="261"/>
        <v>0</v>
      </c>
      <c r="N1454" s="2517">
        <f t="shared" si="262"/>
        <v>0</v>
      </c>
      <c r="O1454" s="2517">
        <f t="shared" si="263"/>
        <v>0</v>
      </c>
      <c r="P1454" s="2694"/>
      <c r="Q1454" s="2519"/>
      <c r="R1454" s="2519"/>
      <c r="S1454" s="2519"/>
    </row>
    <row r="1455" spans="1:20" s="2358" customFormat="1" outlineLevel="1">
      <c r="A1455" s="2435" t="str">
        <f>IF(G1455&lt;&gt;0,1,"")</f>
        <v/>
      </c>
      <c r="B1455" s="2514"/>
      <c r="C1455" s="2511">
        <f>IF(G1455&gt;0,C1449+1,C1449)</f>
        <v>0</v>
      </c>
      <c r="D1455" s="2512"/>
      <c r="E1455" s="2629" t="s">
        <v>6284</v>
      </c>
      <c r="F1455" s="2511" t="s">
        <v>2391</v>
      </c>
      <c r="G1455" s="2704">
        <f>G1359*0</f>
        <v>0</v>
      </c>
      <c r="H1455" s="2517"/>
      <c r="I1455" s="2517"/>
      <c r="J1455" s="2517"/>
      <c r="K1455" s="2517"/>
      <c r="L1455" s="2517">
        <f t="shared" si="260"/>
        <v>0</v>
      </c>
      <c r="M1455" s="2517">
        <f t="shared" si="261"/>
        <v>0</v>
      </c>
      <c r="N1455" s="2517">
        <f t="shared" si="262"/>
        <v>0</v>
      </c>
      <c r="O1455" s="2517">
        <f t="shared" si="263"/>
        <v>0</v>
      </c>
      <c r="P1455" s="2694"/>
      <c r="Q1455" s="2519"/>
      <c r="R1455" s="2519"/>
      <c r="S1455" s="2519"/>
    </row>
    <row r="1456" spans="1:20" s="2358" customFormat="1" ht="14.4" outlineLevel="1">
      <c r="A1456" s="2435" t="str">
        <f>A1455</f>
        <v/>
      </c>
      <c r="B1456" s="2514"/>
      <c r="C1456" s="2511"/>
      <c r="D1456" s="2512"/>
      <c r="E1456" s="2520" t="s">
        <v>6207</v>
      </c>
      <c r="F1456" s="2521"/>
      <c r="G1456" s="2703"/>
      <c r="H1456" s="2517"/>
      <c r="I1456" s="2517"/>
      <c r="J1456" s="2517"/>
      <c r="K1456" s="2517"/>
      <c r="L1456" s="2517">
        <f t="shared" si="260"/>
        <v>0</v>
      </c>
      <c r="M1456" s="2517">
        <f t="shared" si="261"/>
        <v>0</v>
      </c>
      <c r="N1456" s="2517">
        <f t="shared" si="262"/>
        <v>0</v>
      </c>
      <c r="O1456" s="2517">
        <f t="shared" si="263"/>
        <v>0</v>
      </c>
      <c r="P1456" s="2694"/>
      <c r="Q1456" s="2519"/>
      <c r="R1456" s="2519"/>
      <c r="S1456" s="2519"/>
    </row>
    <row r="1457" spans="1:19" s="2358" customFormat="1" outlineLevel="1">
      <c r="A1457" s="2435" t="str">
        <f>IF(G1457&lt;&gt;0,1,"")</f>
        <v/>
      </c>
      <c r="B1457" s="2374" t="s">
        <v>838</v>
      </c>
      <c r="C1457" s="2521"/>
      <c r="D1457" s="2405" t="s">
        <v>5717</v>
      </c>
      <c r="E1457" s="2447" t="s">
        <v>5721</v>
      </c>
      <c r="F1457" s="2405" t="s">
        <v>2563</v>
      </c>
      <c r="G1457" s="2703">
        <f>G1455*1</f>
        <v>0</v>
      </c>
      <c r="H1457" s="2517">
        <v>783952</v>
      </c>
      <c r="I1457" s="2517"/>
      <c r="J1457" s="2517">
        <v>599038</v>
      </c>
      <c r="K1457" s="2517">
        <v>97369</v>
      </c>
      <c r="L1457" s="2517">
        <f t="shared" si="260"/>
        <v>0</v>
      </c>
      <c r="M1457" s="2517">
        <f t="shared" si="261"/>
        <v>0</v>
      </c>
      <c r="N1457" s="2517">
        <f t="shared" si="262"/>
        <v>0</v>
      </c>
      <c r="O1457" s="2517">
        <f t="shared" si="263"/>
        <v>0</v>
      </c>
      <c r="P1457" s="2694"/>
      <c r="Q1457" s="2519"/>
      <c r="R1457" s="2519"/>
      <c r="S1457" s="2519"/>
    </row>
    <row r="1458" spans="1:19" s="2358" customFormat="1" outlineLevel="1">
      <c r="A1458" s="2435" t="str">
        <f>IF(G1458&lt;&gt;0,1,"")</f>
        <v/>
      </c>
      <c r="B1458" s="2514" t="s">
        <v>880</v>
      </c>
      <c r="C1458" s="2511"/>
      <c r="D1458" s="2405">
        <v>0</v>
      </c>
      <c r="E1458" s="2447" t="s">
        <v>5861</v>
      </c>
      <c r="F1458" s="2405" t="s">
        <v>2563</v>
      </c>
      <c r="G1458" s="2703">
        <f>G1457</f>
        <v>0</v>
      </c>
      <c r="H1458" s="2517">
        <v>284000</v>
      </c>
      <c r="I1458" s="2517"/>
      <c r="J1458" s="2517">
        <v>5404</v>
      </c>
      <c r="K1458" s="2517">
        <v>0</v>
      </c>
      <c r="L1458" s="2517">
        <f t="shared" si="260"/>
        <v>0</v>
      </c>
      <c r="M1458" s="2517">
        <f t="shared" si="261"/>
        <v>0</v>
      </c>
      <c r="N1458" s="2517">
        <f t="shared" si="262"/>
        <v>0</v>
      </c>
      <c r="O1458" s="2517">
        <f t="shared" si="263"/>
        <v>0</v>
      </c>
      <c r="P1458" s="2694"/>
      <c r="Q1458" s="2519"/>
      <c r="R1458" s="2519"/>
      <c r="S1458" s="2519"/>
    </row>
    <row r="1459" spans="1:19" s="2358" customFormat="1" outlineLevel="1">
      <c r="A1459" s="2435" t="str">
        <f>IF(G1459&lt;&gt;0,1,"")</f>
        <v/>
      </c>
      <c r="B1459" s="2514" t="s">
        <v>289</v>
      </c>
      <c r="C1459" s="2511"/>
      <c r="D1459" s="2405">
        <v>0</v>
      </c>
      <c r="E1459" s="2447" t="s">
        <v>5774</v>
      </c>
      <c r="F1459" s="2405" t="s">
        <v>2563</v>
      </c>
      <c r="G1459" s="2703">
        <f>G1455</f>
        <v>0</v>
      </c>
      <c r="H1459" s="2517">
        <v>300000</v>
      </c>
      <c r="I1459" s="2517"/>
      <c r="J1459" s="2517">
        <v>0</v>
      </c>
      <c r="K1459" s="2517">
        <v>0</v>
      </c>
      <c r="L1459" s="2517">
        <f t="shared" si="260"/>
        <v>0</v>
      </c>
      <c r="M1459" s="2517">
        <f t="shared" si="261"/>
        <v>0</v>
      </c>
      <c r="N1459" s="2517">
        <f t="shared" si="262"/>
        <v>0</v>
      </c>
      <c r="O1459" s="2517">
        <f t="shared" si="263"/>
        <v>0</v>
      </c>
      <c r="P1459" s="2694"/>
      <c r="Q1459" s="2519"/>
      <c r="R1459" s="2519"/>
      <c r="S1459" s="2519"/>
    </row>
    <row r="1460" spans="1:19" s="2358" customFormat="1" outlineLevel="1">
      <c r="A1460" s="2435" t="str">
        <f>IF(G1460&lt;&gt;0,1,"")</f>
        <v/>
      </c>
      <c r="B1460" s="2374" t="s">
        <v>588</v>
      </c>
      <c r="C1460" s="2521"/>
      <c r="D1460" s="2405">
        <v>0</v>
      </c>
      <c r="E1460" s="2447" t="s">
        <v>2999</v>
      </c>
      <c r="F1460" s="2405" t="s">
        <v>2445</v>
      </c>
      <c r="G1460" s="2611">
        <f>G1457*2*0</f>
        <v>0</v>
      </c>
      <c r="H1460" s="2517">
        <v>168000</v>
      </c>
      <c r="I1460" s="2517"/>
      <c r="J1460" s="2517">
        <v>0</v>
      </c>
      <c r="K1460" s="2517">
        <v>0</v>
      </c>
      <c r="L1460" s="2517">
        <f t="shared" si="260"/>
        <v>0</v>
      </c>
      <c r="M1460" s="2517">
        <f t="shared" si="261"/>
        <v>0</v>
      </c>
      <c r="N1460" s="2517">
        <f t="shared" si="262"/>
        <v>0</v>
      </c>
      <c r="O1460" s="2517">
        <f t="shared" si="263"/>
        <v>0</v>
      </c>
      <c r="P1460" s="2694"/>
      <c r="Q1460" s="2519"/>
      <c r="R1460" s="2519"/>
      <c r="S1460" s="2519"/>
    </row>
    <row r="1461" spans="1:19" s="2358" customFormat="1" outlineLevel="1">
      <c r="A1461" s="2435" t="str">
        <f>IF(G1461&lt;&gt;0,1,"")</f>
        <v/>
      </c>
      <c r="B1461" s="2514"/>
      <c r="C1461" s="2511">
        <f>IF(G1461&gt;0,C1449+2,C1449)</f>
        <v>0</v>
      </c>
      <c r="D1461" s="2512"/>
      <c r="E1461" s="2513" t="s">
        <v>3754</v>
      </c>
      <c r="F1461" s="2511" t="s">
        <v>2391</v>
      </c>
      <c r="G1461" s="2704">
        <f>G1359</f>
        <v>0</v>
      </c>
      <c r="H1461" s="2517"/>
      <c r="I1461" s="2517"/>
      <c r="J1461" s="2517"/>
      <c r="K1461" s="2517"/>
      <c r="L1461" s="2517"/>
      <c r="M1461" s="2517"/>
      <c r="N1461" s="2517"/>
      <c r="O1461" s="2517"/>
      <c r="P1461" s="2694"/>
      <c r="Q1461" s="2519"/>
      <c r="R1461" s="2519"/>
      <c r="S1461" s="2519"/>
    </row>
    <row r="1462" spans="1:19" s="2358" customFormat="1" ht="14.4" outlineLevel="1">
      <c r="A1462" s="2435" t="str">
        <f>A1461</f>
        <v/>
      </c>
      <c r="B1462" s="2514"/>
      <c r="C1462" s="2511"/>
      <c r="D1462" s="2512"/>
      <c r="E1462" s="2527" t="s">
        <v>6207</v>
      </c>
      <c r="F1462" s="2511"/>
      <c r="G1462" s="2704"/>
      <c r="H1462" s="2517"/>
      <c r="I1462" s="2517"/>
      <c r="J1462" s="2517"/>
      <c r="K1462" s="2517"/>
      <c r="L1462" s="2517"/>
      <c r="M1462" s="2517"/>
      <c r="N1462" s="2517"/>
      <c r="O1462" s="2517"/>
      <c r="P1462" s="2694"/>
      <c r="Q1462" s="2519"/>
      <c r="R1462" s="2519"/>
      <c r="S1462" s="2519"/>
    </row>
    <row r="1463" spans="1:19" s="2358" customFormat="1" outlineLevel="1">
      <c r="A1463" s="2435" t="str">
        <f>IF(G1463&lt;&gt;0,1,"")</f>
        <v/>
      </c>
      <c r="B1463" s="2505" t="s">
        <v>697</v>
      </c>
      <c r="C1463" s="2521"/>
      <c r="D1463" s="2405">
        <v>0</v>
      </c>
      <c r="E1463" s="2447" t="s">
        <v>5139</v>
      </c>
      <c r="F1463" s="2405" t="s">
        <v>2538</v>
      </c>
      <c r="G1463" s="2703">
        <f>G1461*21</f>
        <v>0</v>
      </c>
      <c r="H1463" s="2517">
        <v>50996</v>
      </c>
      <c r="I1463" s="2517"/>
      <c r="J1463" s="2517">
        <v>0</v>
      </c>
      <c r="K1463" s="2517">
        <v>0</v>
      </c>
      <c r="L1463" s="2517">
        <f t="shared" ref="L1463:L1473" si="264">H1463*G1463</f>
        <v>0</v>
      </c>
      <c r="M1463" s="2517">
        <f t="shared" ref="M1463:M1473" si="265">I1463*G1463</f>
        <v>0</v>
      </c>
      <c r="N1463" s="2517">
        <f t="shared" ref="N1463:N1473" si="266">J1463*G1463</f>
        <v>0</v>
      </c>
      <c r="O1463" s="2517">
        <f t="shared" ref="O1463:O1473" si="267">K1463*G1463</f>
        <v>0</v>
      </c>
      <c r="P1463" s="2694"/>
      <c r="Q1463" s="2519"/>
      <c r="R1463" s="2519"/>
      <c r="S1463" s="2519"/>
    </row>
    <row r="1464" spans="1:19" s="2358" customFormat="1" outlineLevel="1">
      <c r="A1464" s="2435" t="str">
        <f t="shared" ref="A1464:A1474" si="268">IF(G1464&lt;&gt;0,1,"")</f>
        <v/>
      </c>
      <c r="B1464" s="2610" t="s">
        <v>1482</v>
      </c>
      <c r="C1464" s="2521"/>
      <c r="D1464" s="2405">
        <v>0</v>
      </c>
      <c r="E1464" s="2447" t="s">
        <v>3810</v>
      </c>
      <c r="F1464" s="2405" t="s">
        <v>2563</v>
      </c>
      <c r="G1464" s="2703">
        <f>G1461*3</f>
        <v>0</v>
      </c>
      <c r="H1464" s="2517">
        <v>46000</v>
      </c>
      <c r="I1464" s="2517"/>
      <c r="J1464" s="2517">
        <v>0</v>
      </c>
      <c r="K1464" s="2517">
        <v>0</v>
      </c>
      <c r="L1464" s="2517">
        <f t="shared" si="264"/>
        <v>0</v>
      </c>
      <c r="M1464" s="2517">
        <f t="shared" si="265"/>
        <v>0</v>
      </c>
      <c r="N1464" s="2517">
        <f t="shared" si="266"/>
        <v>0</v>
      </c>
      <c r="O1464" s="2517">
        <f t="shared" si="267"/>
        <v>0</v>
      </c>
      <c r="P1464" s="2694"/>
      <c r="Q1464" s="2519"/>
      <c r="R1464" s="2519"/>
      <c r="S1464" s="2519"/>
    </row>
    <row r="1465" spans="1:19" s="2358" customFormat="1" outlineLevel="1">
      <c r="A1465" s="2435" t="str">
        <f t="shared" si="268"/>
        <v/>
      </c>
      <c r="B1465" s="2610" t="s">
        <v>1480</v>
      </c>
      <c r="C1465" s="2521"/>
      <c r="D1465" s="2405">
        <v>0</v>
      </c>
      <c r="E1465" s="2447" t="s">
        <v>4361</v>
      </c>
      <c r="F1465" s="2405" t="s">
        <v>2563</v>
      </c>
      <c r="G1465" s="2703">
        <f>G1464</f>
        <v>0</v>
      </c>
      <c r="H1465" s="2517">
        <v>77000</v>
      </c>
      <c r="I1465" s="2517"/>
      <c r="J1465" s="2517">
        <v>0</v>
      </c>
      <c r="K1465" s="2517">
        <v>0</v>
      </c>
      <c r="L1465" s="2517">
        <f t="shared" si="264"/>
        <v>0</v>
      </c>
      <c r="M1465" s="2517">
        <f t="shared" si="265"/>
        <v>0</v>
      </c>
      <c r="N1465" s="2517">
        <f t="shared" si="266"/>
        <v>0</v>
      </c>
      <c r="O1465" s="2517">
        <f t="shared" si="267"/>
        <v>0</v>
      </c>
      <c r="P1465" s="2694"/>
      <c r="Q1465" s="2519"/>
      <c r="R1465" s="2519"/>
      <c r="S1465" s="2519"/>
    </row>
    <row r="1466" spans="1:19" s="2358" customFormat="1" outlineLevel="1">
      <c r="A1466" s="2435" t="str">
        <f>IF(G1466&lt;&gt;0,1,"")</f>
        <v/>
      </c>
      <c r="B1466" s="2610" t="s">
        <v>5761</v>
      </c>
      <c r="C1466" s="2521"/>
      <c r="D1466" s="2405">
        <v>0</v>
      </c>
      <c r="E1466" s="2447" t="s">
        <v>5762</v>
      </c>
      <c r="F1466" s="2405" t="s">
        <v>2563</v>
      </c>
      <c r="G1466" s="2703">
        <f>+G1461*3</f>
        <v>0</v>
      </c>
      <c r="H1466" s="2517">
        <v>218200</v>
      </c>
      <c r="I1466" s="2517"/>
      <c r="J1466" s="2517">
        <v>0</v>
      </c>
      <c r="K1466" s="2517">
        <v>0</v>
      </c>
      <c r="L1466" s="2517">
        <f>H1466*G1466</f>
        <v>0</v>
      </c>
      <c r="M1466" s="2517">
        <f t="shared" si="265"/>
        <v>0</v>
      </c>
      <c r="N1466" s="2517">
        <f>J1466*G1466</f>
        <v>0</v>
      </c>
      <c r="O1466" s="2517">
        <f>K1466*G1466</f>
        <v>0</v>
      </c>
      <c r="P1466" s="2694"/>
      <c r="Q1466" s="2519"/>
      <c r="R1466" s="2519"/>
    </row>
    <row r="1467" spans="1:19" s="2358" customFormat="1" outlineLevel="1">
      <c r="A1467" s="2435" t="str">
        <f>IF(G1467&lt;&gt;0,1,"")</f>
        <v/>
      </c>
      <c r="B1467" s="2610" t="s">
        <v>5767</v>
      </c>
      <c r="C1467" s="2521"/>
      <c r="D1467" s="2405">
        <v>0</v>
      </c>
      <c r="E1467" s="2447" t="s">
        <v>5768</v>
      </c>
      <c r="F1467" s="2405" t="s">
        <v>2563</v>
      </c>
      <c r="G1467" s="2703">
        <f>+G1461*3</f>
        <v>0</v>
      </c>
      <c r="H1467" s="2517">
        <v>39100</v>
      </c>
      <c r="I1467" s="2517"/>
      <c r="J1467" s="2517">
        <v>0</v>
      </c>
      <c r="K1467" s="2517">
        <v>0</v>
      </c>
      <c r="L1467" s="2517">
        <f>H1467*G1467</f>
        <v>0</v>
      </c>
      <c r="M1467" s="2517">
        <f t="shared" si="265"/>
        <v>0</v>
      </c>
      <c r="N1467" s="2517">
        <f>J1467*G1467</f>
        <v>0</v>
      </c>
      <c r="O1467" s="2517">
        <f>K1467*G1467</f>
        <v>0</v>
      </c>
      <c r="P1467" s="2694"/>
      <c r="Q1467" s="2519"/>
    </row>
    <row r="1468" spans="1:19" s="2358" customFormat="1" outlineLevel="1">
      <c r="A1468" s="2435" t="str">
        <f>IF(G1468&lt;&gt;0,1,"")</f>
        <v/>
      </c>
      <c r="B1468" s="2610" t="s">
        <v>5769</v>
      </c>
      <c r="C1468" s="2521"/>
      <c r="D1468" s="2405">
        <v>0</v>
      </c>
      <c r="E1468" s="2447" t="s">
        <v>5770</v>
      </c>
      <c r="F1468" s="2405" t="s">
        <v>2563</v>
      </c>
      <c r="G1468" s="2703">
        <f>+G1461*3</f>
        <v>0</v>
      </c>
      <c r="H1468" s="2517">
        <v>56700</v>
      </c>
      <c r="I1468" s="2517"/>
      <c r="J1468" s="2517">
        <v>0</v>
      </c>
      <c r="K1468" s="2517">
        <v>0</v>
      </c>
      <c r="L1468" s="2517">
        <f>H1468*G1468</f>
        <v>0</v>
      </c>
      <c r="M1468" s="2517">
        <f t="shared" si="265"/>
        <v>0</v>
      </c>
      <c r="N1468" s="2517">
        <f>J1468*G1468</f>
        <v>0</v>
      </c>
      <c r="O1468" s="2517">
        <f>K1468*G1468</f>
        <v>0</v>
      </c>
      <c r="P1468" s="2694"/>
      <c r="Q1468" s="2519"/>
    </row>
    <row r="1469" spans="1:19" s="2358" customFormat="1" outlineLevel="1">
      <c r="A1469" s="2435" t="str">
        <f>IF(G1469&lt;&gt;0,1,"")</f>
        <v/>
      </c>
      <c r="B1469" s="2610" t="s">
        <v>5766</v>
      </c>
      <c r="C1469" s="2521"/>
      <c r="D1469" s="2405">
        <v>0</v>
      </c>
      <c r="E1469" s="2447" t="s">
        <v>4565</v>
      </c>
      <c r="F1469" s="2405" t="s">
        <v>3463</v>
      </c>
      <c r="G1469" s="2703">
        <f>G1464</f>
        <v>0</v>
      </c>
      <c r="H1469" s="2517">
        <v>136800</v>
      </c>
      <c r="I1469" s="2517"/>
      <c r="J1469" s="2517">
        <v>0</v>
      </c>
      <c r="K1469" s="2517">
        <v>0</v>
      </c>
      <c r="L1469" s="2517">
        <f>H1469*G1469</f>
        <v>0</v>
      </c>
      <c r="M1469" s="2517">
        <f>I1469*G1469</f>
        <v>0</v>
      </c>
      <c r="N1469" s="2517">
        <f>J1469*G1469</f>
        <v>0</v>
      </c>
      <c r="O1469" s="2517">
        <f>K1469*G1469</f>
        <v>0</v>
      </c>
      <c r="P1469" s="2694"/>
      <c r="Q1469" s="2519"/>
    </row>
    <row r="1470" spans="1:19" s="2358" customFormat="1" outlineLevel="1">
      <c r="A1470" s="2435" t="str">
        <f t="shared" si="268"/>
        <v/>
      </c>
      <c r="B1470" s="2505" t="s">
        <v>696</v>
      </c>
      <c r="C1470" s="2642"/>
      <c r="D1470" s="2405">
        <v>0</v>
      </c>
      <c r="E1470" s="2447" t="s">
        <v>2952</v>
      </c>
      <c r="F1470" s="2405" t="s">
        <v>2563</v>
      </c>
      <c r="G1470" s="2703">
        <f>G1461*3</f>
        <v>0</v>
      </c>
      <c r="H1470" s="2517">
        <v>205000</v>
      </c>
      <c r="I1470" s="2517"/>
      <c r="J1470" s="2517">
        <v>0</v>
      </c>
      <c r="K1470" s="2517">
        <v>0</v>
      </c>
      <c r="L1470" s="2517">
        <f t="shared" si="264"/>
        <v>0</v>
      </c>
      <c r="M1470" s="2517">
        <f t="shared" si="265"/>
        <v>0</v>
      </c>
      <c r="N1470" s="2517">
        <f t="shared" si="266"/>
        <v>0</v>
      </c>
      <c r="O1470" s="2517">
        <f t="shared" si="267"/>
        <v>0</v>
      </c>
      <c r="P1470" s="2694"/>
      <c r="Q1470" s="2519"/>
      <c r="R1470" s="2519"/>
      <c r="S1470" s="2519"/>
    </row>
    <row r="1471" spans="1:19" s="2358" customFormat="1" outlineLevel="1">
      <c r="A1471" s="2435" t="str">
        <f t="shared" si="268"/>
        <v/>
      </c>
      <c r="B1471" s="2505" t="s">
        <v>1268</v>
      </c>
      <c r="C1471" s="2521"/>
      <c r="D1471" s="2405">
        <v>0</v>
      </c>
      <c r="E1471" s="2447" t="s">
        <v>2831</v>
      </c>
      <c r="F1471" s="2405" t="s">
        <v>2563</v>
      </c>
      <c r="G1471" s="2703">
        <f>G1470</f>
        <v>0</v>
      </c>
      <c r="H1471" s="2517">
        <v>65000</v>
      </c>
      <c r="I1471" s="2517"/>
      <c r="J1471" s="2517">
        <v>0</v>
      </c>
      <c r="K1471" s="2517">
        <v>0</v>
      </c>
      <c r="L1471" s="2517">
        <f t="shared" si="264"/>
        <v>0</v>
      </c>
      <c r="M1471" s="2517">
        <f t="shared" si="265"/>
        <v>0</v>
      </c>
      <c r="N1471" s="2517">
        <f t="shared" si="266"/>
        <v>0</v>
      </c>
      <c r="O1471" s="2517">
        <f t="shared" si="267"/>
        <v>0</v>
      </c>
      <c r="P1471" s="2694"/>
      <c r="Q1471" s="2519"/>
      <c r="R1471" s="2519"/>
      <c r="S1471" s="2519"/>
    </row>
    <row r="1472" spans="1:19" s="2358" customFormat="1" outlineLevel="1">
      <c r="A1472" s="2435" t="str">
        <f t="shared" si="268"/>
        <v/>
      </c>
      <c r="B1472" s="2505" t="s">
        <v>1568</v>
      </c>
      <c r="C1472" s="2521"/>
      <c r="D1472" s="2405" t="s">
        <v>5622</v>
      </c>
      <c r="E1472" s="2447" t="s">
        <v>3289</v>
      </c>
      <c r="F1472" s="2405" t="s">
        <v>2445</v>
      </c>
      <c r="G1472" s="2703">
        <f>G1471</f>
        <v>0</v>
      </c>
      <c r="H1472" s="2517">
        <v>510</v>
      </c>
      <c r="I1472" s="2517"/>
      <c r="J1472" s="2517">
        <v>58277.49</v>
      </c>
      <c r="K1472" s="2517">
        <v>0</v>
      </c>
      <c r="L1472" s="2517">
        <f>H1472*G1472</f>
        <v>0</v>
      </c>
      <c r="M1472" s="2517">
        <f t="shared" si="265"/>
        <v>0</v>
      </c>
      <c r="N1472" s="2517">
        <f>J1472*G1472</f>
        <v>0</v>
      </c>
      <c r="O1472" s="2517">
        <f>K1472*G1472</f>
        <v>0</v>
      </c>
      <c r="P1472" s="2694"/>
      <c r="Q1472" s="2519"/>
      <c r="R1472" s="2519"/>
      <c r="S1472" s="2519"/>
    </row>
    <row r="1473" spans="1:19" s="2358" customFormat="1" outlineLevel="1">
      <c r="A1473" s="2435" t="str">
        <f t="shared" si="268"/>
        <v/>
      </c>
      <c r="B1473" s="2505" t="s">
        <v>1528</v>
      </c>
      <c r="C1473" s="2521"/>
      <c r="D1473" s="2405" t="s">
        <v>5633</v>
      </c>
      <c r="E1473" s="2447" t="s">
        <v>3310</v>
      </c>
      <c r="F1473" s="2405" t="s">
        <v>1827</v>
      </c>
      <c r="G1473" s="2703">
        <f>G1463</f>
        <v>0</v>
      </c>
      <c r="H1473" s="2517"/>
      <c r="I1473" s="2517"/>
      <c r="J1473" s="2517">
        <v>13915</v>
      </c>
      <c r="K1473" s="2517"/>
      <c r="L1473" s="2517">
        <f t="shared" si="264"/>
        <v>0</v>
      </c>
      <c r="M1473" s="2517">
        <f t="shared" si="265"/>
        <v>0</v>
      </c>
      <c r="N1473" s="2517">
        <f t="shared" si="266"/>
        <v>0</v>
      </c>
      <c r="O1473" s="2517">
        <f t="shared" si="267"/>
        <v>0</v>
      </c>
      <c r="P1473" s="2694"/>
      <c r="Q1473" s="2519"/>
      <c r="R1473" s="2519"/>
      <c r="S1473" s="2519"/>
    </row>
    <row r="1474" spans="1:19" s="2358" customFormat="1" outlineLevel="1">
      <c r="A1474" s="2435" t="str">
        <f t="shared" si="268"/>
        <v/>
      </c>
      <c r="B1474" s="2514"/>
      <c r="C1474" s="2511">
        <f>IF(G1474&gt;0,C1461+1,C1461)</f>
        <v>0</v>
      </c>
      <c r="D1474" s="2512"/>
      <c r="E1474" s="2513" t="s">
        <v>3726</v>
      </c>
      <c r="F1474" s="2511" t="s">
        <v>2391</v>
      </c>
      <c r="G1474" s="2516">
        <f>G1389*0</f>
        <v>0</v>
      </c>
      <c r="H1474" s="2517"/>
      <c r="I1474" s="2517"/>
      <c r="J1474" s="2517"/>
      <c r="K1474" s="2517"/>
      <c r="L1474" s="2517"/>
      <c r="M1474" s="2517"/>
      <c r="N1474" s="2517"/>
      <c r="O1474" s="2517"/>
      <c r="P1474" s="2518"/>
      <c r="Q1474" s="2519"/>
      <c r="R1474" s="2519"/>
      <c r="S1474" s="2519"/>
    </row>
    <row r="1475" spans="1:19" s="2358" customFormat="1" ht="14.4" outlineLevel="1">
      <c r="A1475" s="2435" t="str">
        <f>A1474</f>
        <v/>
      </c>
      <c r="B1475" s="2514"/>
      <c r="C1475" s="2511"/>
      <c r="D1475" s="2512"/>
      <c r="E1475" s="2527" t="s">
        <v>6207</v>
      </c>
      <c r="F1475" s="2511"/>
      <c r="G1475" s="2516"/>
      <c r="H1475" s="2517"/>
      <c r="I1475" s="2517"/>
      <c r="J1475" s="2517"/>
      <c r="K1475" s="2517"/>
      <c r="L1475" s="2517"/>
      <c r="M1475" s="2517"/>
      <c r="N1475" s="2517"/>
      <c r="O1475" s="2517"/>
      <c r="P1475" s="2518"/>
      <c r="Q1475" s="2519"/>
      <c r="R1475" s="2519"/>
      <c r="S1475" s="2519"/>
    </row>
    <row r="1476" spans="1:19" s="2358" customFormat="1" outlineLevel="1">
      <c r="A1476" s="2435" t="str">
        <f t="shared" ref="A1476:A1484" si="269">IF(G1476&lt;&gt;0,1,"")</f>
        <v/>
      </c>
      <c r="B1476" s="2514" t="s">
        <v>282</v>
      </c>
      <c r="C1476" s="2521"/>
      <c r="D1476" s="2405">
        <v>0</v>
      </c>
      <c r="E1476" s="2447" t="s">
        <v>3550</v>
      </c>
      <c r="F1476" s="2405" t="s">
        <v>1827</v>
      </c>
      <c r="G1476" s="2522">
        <f>G1474*2*0</f>
        <v>0</v>
      </c>
      <c r="H1476" s="2517">
        <v>63200</v>
      </c>
      <c r="I1476" s="2517"/>
      <c r="J1476" s="2517">
        <v>0</v>
      </c>
      <c r="K1476" s="2517">
        <v>0</v>
      </c>
      <c r="L1476" s="2517">
        <f t="shared" ref="L1476:L1483" si="270">H1476*G1476</f>
        <v>0</v>
      </c>
      <c r="M1476" s="2517">
        <f>I1476*G1476</f>
        <v>0</v>
      </c>
      <c r="N1476" s="2517">
        <f>J1476*G1476</f>
        <v>0</v>
      </c>
      <c r="O1476" s="2517">
        <f t="shared" ref="O1476:O1483" si="271">K1476*G1476</f>
        <v>0</v>
      </c>
      <c r="P1476" s="2518"/>
      <c r="Q1476" s="2519"/>
      <c r="R1476" s="2519"/>
      <c r="S1476" s="2519"/>
    </row>
    <row r="1477" spans="1:19" s="2358" customFormat="1" outlineLevel="1">
      <c r="A1477" s="2435" t="str">
        <f t="shared" si="269"/>
        <v/>
      </c>
      <c r="B1477" s="2514" t="s">
        <v>86</v>
      </c>
      <c r="C1477" s="2521"/>
      <c r="D1477" s="2405">
        <v>0</v>
      </c>
      <c r="E1477" s="2447" t="s">
        <v>5859</v>
      </c>
      <c r="F1477" s="2405" t="s">
        <v>2563</v>
      </c>
      <c r="G1477" s="2522">
        <f>G1474*2</f>
        <v>0</v>
      </c>
      <c r="H1477" s="2517">
        <v>45400</v>
      </c>
      <c r="I1477" s="2517"/>
      <c r="J1477" s="2517">
        <v>0</v>
      </c>
      <c r="K1477" s="2517">
        <v>0</v>
      </c>
      <c r="L1477" s="2517">
        <f t="shared" si="270"/>
        <v>0</v>
      </c>
      <c r="M1477" s="2517">
        <f>I1477*G1477</f>
        <v>0</v>
      </c>
      <c r="N1477" s="2517">
        <f>J1477*G1477</f>
        <v>0</v>
      </c>
      <c r="O1477" s="2517">
        <f t="shared" si="271"/>
        <v>0</v>
      </c>
      <c r="P1477" s="2518"/>
      <c r="Q1477" s="2519"/>
      <c r="R1477" s="2519"/>
      <c r="S1477" s="2519"/>
    </row>
    <row r="1478" spans="1:19" s="2358" customFormat="1" outlineLevel="1">
      <c r="A1478" s="2435" t="str">
        <f t="shared" si="269"/>
        <v/>
      </c>
      <c r="B1478" s="2386" t="s">
        <v>276</v>
      </c>
      <c r="C1478" s="2521"/>
      <c r="D1478" s="2405">
        <v>0</v>
      </c>
      <c r="E1478" s="2447" t="s">
        <v>6429</v>
      </c>
      <c r="F1478" s="2405" t="s">
        <v>2445</v>
      </c>
      <c r="G1478" s="2523">
        <f>G1474*1.21</f>
        <v>0</v>
      </c>
      <c r="H1478" s="2517">
        <v>49000</v>
      </c>
      <c r="I1478" s="2517"/>
      <c r="J1478" s="2517">
        <v>0</v>
      </c>
      <c r="K1478" s="2517">
        <v>0</v>
      </c>
      <c r="L1478" s="2517">
        <f t="shared" si="270"/>
        <v>0</v>
      </c>
      <c r="M1478" s="2517"/>
      <c r="N1478" s="2517">
        <f>J1478*G1478/1</f>
        <v>0</v>
      </c>
      <c r="O1478" s="2517">
        <f t="shared" si="271"/>
        <v>0</v>
      </c>
      <c r="P1478" s="2518"/>
      <c r="Q1478" s="2519"/>
      <c r="R1478" s="2519"/>
      <c r="S1478" s="2519"/>
    </row>
    <row r="1479" spans="1:19" s="2358" customFormat="1" outlineLevel="1">
      <c r="A1479" s="2435" t="str">
        <f t="shared" si="269"/>
        <v/>
      </c>
      <c r="B1479" s="2386" t="s">
        <v>86</v>
      </c>
      <c r="C1479" s="2521"/>
      <c r="D1479" s="2405">
        <v>0</v>
      </c>
      <c r="E1479" s="2447" t="s">
        <v>5859</v>
      </c>
      <c r="F1479" s="2405" t="s">
        <v>2563</v>
      </c>
      <c r="G1479" s="2522">
        <f>G1474*3</f>
        <v>0</v>
      </c>
      <c r="H1479" s="2517">
        <v>45400</v>
      </c>
      <c r="I1479" s="2517"/>
      <c r="J1479" s="2517">
        <v>0</v>
      </c>
      <c r="K1479" s="2517">
        <v>0</v>
      </c>
      <c r="L1479" s="2517">
        <f t="shared" si="270"/>
        <v>0</v>
      </c>
      <c r="M1479" s="2517"/>
      <c r="N1479" s="2517">
        <f>J1479*G1479</f>
        <v>0</v>
      </c>
      <c r="O1479" s="2517">
        <f t="shared" si="271"/>
        <v>0</v>
      </c>
      <c r="P1479" s="2518"/>
      <c r="Q1479" s="2519"/>
      <c r="R1479" s="2519"/>
      <c r="S1479" s="2519"/>
    </row>
    <row r="1480" spans="1:19" s="2358" customFormat="1" outlineLevel="1">
      <c r="A1480" s="2435" t="str">
        <f t="shared" si="269"/>
        <v/>
      </c>
      <c r="B1480" s="2386" t="s">
        <v>138</v>
      </c>
      <c r="C1480" s="2521"/>
      <c r="D1480" s="2405">
        <v>0</v>
      </c>
      <c r="E1480" s="2447" t="s">
        <v>2635</v>
      </c>
      <c r="F1480" s="2405" t="s">
        <v>2445</v>
      </c>
      <c r="G1480" s="2522">
        <f>G1474*2*0</f>
        <v>0</v>
      </c>
      <c r="H1480" s="2517">
        <v>8500</v>
      </c>
      <c r="I1480" s="2517"/>
      <c r="J1480" s="2517">
        <v>0</v>
      </c>
      <c r="K1480" s="2517">
        <v>0</v>
      </c>
      <c r="L1480" s="2517">
        <f t="shared" si="270"/>
        <v>0</v>
      </c>
      <c r="M1480" s="2517"/>
      <c r="N1480" s="2517">
        <f>J1480*G1480</f>
        <v>0</v>
      </c>
      <c r="O1480" s="2517">
        <f t="shared" si="271"/>
        <v>0</v>
      </c>
      <c r="P1480" s="2518"/>
      <c r="Q1480" s="2519"/>
      <c r="R1480" s="2519"/>
      <c r="S1480" s="2519"/>
    </row>
    <row r="1481" spans="1:19" s="2358" customFormat="1" outlineLevel="1">
      <c r="A1481" s="2435" t="str">
        <f t="shared" si="269"/>
        <v/>
      </c>
      <c r="B1481" s="2386" t="s">
        <v>1989</v>
      </c>
      <c r="C1481" s="2521"/>
      <c r="D1481" s="2405">
        <v>0</v>
      </c>
      <c r="E1481" s="2447" t="s">
        <v>2637</v>
      </c>
      <c r="F1481" s="2405" t="s">
        <v>2445</v>
      </c>
      <c r="G1481" s="2522">
        <f>G1480*0</f>
        <v>0</v>
      </c>
      <c r="H1481" s="2517">
        <v>9000</v>
      </c>
      <c r="I1481" s="2517"/>
      <c r="J1481" s="2517">
        <v>0</v>
      </c>
      <c r="K1481" s="2517">
        <v>0</v>
      </c>
      <c r="L1481" s="2517">
        <f t="shared" si="270"/>
        <v>0</v>
      </c>
      <c r="M1481" s="2517"/>
      <c r="N1481" s="2517">
        <f>J1481*G1481</f>
        <v>0</v>
      </c>
      <c r="O1481" s="2517">
        <f t="shared" si="271"/>
        <v>0</v>
      </c>
      <c r="P1481" s="2518"/>
      <c r="Q1481" s="2519"/>
      <c r="R1481" s="2519"/>
      <c r="S1481" s="2519"/>
    </row>
    <row r="1482" spans="1:19" s="2358" customFormat="1" outlineLevel="1">
      <c r="A1482" s="2435" t="str">
        <f t="shared" si="269"/>
        <v/>
      </c>
      <c r="B1482" s="2514" t="s">
        <v>931</v>
      </c>
      <c r="C1482" s="2521"/>
      <c r="D1482" s="2405">
        <v>0</v>
      </c>
      <c r="E1482" s="2447" t="s">
        <v>3592</v>
      </c>
      <c r="F1482" s="2405" t="s">
        <v>2563</v>
      </c>
      <c r="G1482" s="2522">
        <f>G1474*2</f>
        <v>0</v>
      </c>
      <c r="H1482" s="2517">
        <v>25800</v>
      </c>
      <c r="I1482" s="2517"/>
      <c r="J1482" s="2517">
        <v>0</v>
      </c>
      <c r="K1482" s="2517">
        <v>0</v>
      </c>
      <c r="L1482" s="2517">
        <f t="shared" si="270"/>
        <v>0</v>
      </c>
      <c r="M1482" s="2517">
        <f>I1482*G1482</f>
        <v>0</v>
      </c>
      <c r="N1482" s="2517">
        <f>J1482*G1482</f>
        <v>0</v>
      </c>
      <c r="O1482" s="2517">
        <f t="shared" si="271"/>
        <v>0</v>
      </c>
      <c r="P1482" s="2518"/>
      <c r="Q1482" s="2519"/>
      <c r="R1482" s="2519"/>
      <c r="S1482" s="2519"/>
    </row>
    <row r="1483" spans="1:19" s="2358" customFormat="1" outlineLevel="1">
      <c r="A1483" s="2435" t="str">
        <f t="shared" si="269"/>
        <v/>
      </c>
      <c r="B1483" s="2514" t="s">
        <v>930</v>
      </c>
      <c r="C1483" s="2521"/>
      <c r="D1483" s="2405">
        <v>0</v>
      </c>
      <c r="E1483" s="2447" t="s">
        <v>3596</v>
      </c>
      <c r="F1483" s="2405" t="s">
        <v>2563</v>
      </c>
      <c r="G1483" s="2522">
        <f>G1482</f>
        <v>0</v>
      </c>
      <c r="H1483" s="2517">
        <v>21500</v>
      </c>
      <c r="I1483" s="2517"/>
      <c r="J1483" s="2517">
        <v>0</v>
      </c>
      <c r="K1483" s="2517">
        <v>0</v>
      </c>
      <c r="L1483" s="2517">
        <f t="shared" si="270"/>
        <v>0</v>
      </c>
      <c r="M1483" s="2517">
        <f>I1483*G1483</f>
        <v>0</v>
      </c>
      <c r="N1483" s="2517">
        <f>J1483*G1483</f>
        <v>0</v>
      </c>
      <c r="O1483" s="2517">
        <f t="shared" si="271"/>
        <v>0</v>
      </c>
      <c r="P1483" s="2518"/>
      <c r="Q1483" s="2519"/>
      <c r="R1483" s="2519"/>
      <c r="S1483" s="2519"/>
    </row>
    <row r="1484" spans="1:19" s="2358" customFormat="1" outlineLevel="1">
      <c r="A1484" s="2435" t="str">
        <f t="shared" si="269"/>
        <v/>
      </c>
      <c r="B1484" s="2505"/>
      <c r="C1484" s="2511">
        <f>IF(G1484&gt;0,C1474+1,C1474)</f>
        <v>0</v>
      </c>
      <c r="D1484" s="2512"/>
      <c r="E1484" s="2513" t="s">
        <v>3746</v>
      </c>
      <c r="F1484" s="2511" t="s">
        <v>2391</v>
      </c>
      <c r="G1484" s="2703">
        <f>G1449</f>
        <v>0</v>
      </c>
      <c r="H1484" s="2517"/>
      <c r="I1484" s="2517"/>
      <c r="J1484" s="2517"/>
      <c r="K1484" s="2517"/>
      <c r="L1484" s="2517"/>
      <c r="M1484" s="2517"/>
      <c r="N1484" s="2517"/>
      <c r="O1484" s="2517"/>
      <c r="P1484" s="2694"/>
      <c r="Q1484" s="2519"/>
      <c r="R1484" s="2519"/>
      <c r="S1484" s="2519"/>
    </row>
    <row r="1485" spans="1:19" s="2358" customFormat="1" ht="14.4" outlineLevel="1">
      <c r="A1485" s="2435" t="str">
        <f>A1484</f>
        <v/>
      </c>
      <c r="B1485" s="2505"/>
      <c r="C1485" s="2511"/>
      <c r="D1485" s="2512"/>
      <c r="E1485" s="2527" t="s">
        <v>6207</v>
      </c>
      <c r="F1485" s="2511"/>
      <c r="G1485" s="2703"/>
      <c r="H1485" s="2517"/>
      <c r="I1485" s="2517"/>
      <c r="J1485" s="2517"/>
      <c r="K1485" s="2517"/>
      <c r="L1485" s="2517"/>
      <c r="M1485" s="2517"/>
      <c r="N1485" s="2517"/>
      <c r="O1485" s="2517"/>
      <c r="P1485" s="2694"/>
      <c r="Q1485" s="2519"/>
      <c r="R1485" s="2519"/>
      <c r="S1485" s="2519"/>
    </row>
    <row r="1486" spans="1:19" s="2358" customFormat="1" outlineLevel="1">
      <c r="A1486" s="2435" t="str">
        <f t="shared" ref="A1486:A1504" si="272">IF(G1486&lt;&gt;0,1,"")</f>
        <v/>
      </c>
      <c r="B1486" s="2514" t="s">
        <v>32</v>
      </c>
      <c r="C1486" s="2521"/>
      <c r="D1486" s="2405">
        <v>0</v>
      </c>
      <c r="E1486" s="2447" t="s">
        <v>2803</v>
      </c>
      <c r="F1486" s="2405" t="s">
        <v>2538</v>
      </c>
      <c r="G1486" s="2703">
        <f>+G1484*7</f>
        <v>0</v>
      </c>
      <c r="H1486" s="2517">
        <v>236300</v>
      </c>
      <c r="I1486" s="2517"/>
      <c r="J1486" s="2517">
        <v>0</v>
      </c>
      <c r="K1486" s="2517">
        <v>0</v>
      </c>
      <c r="L1486" s="2517">
        <f t="shared" ref="L1486:L1503" si="273">H1486*G1486</f>
        <v>0</v>
      </c>
      <c r="M1486" s="2517">
        <f t="shared" ref="M1486:M1503" si="274">I1486*G1486</f>
        <v>0</v>
      </c>
      <c r="N1486" s="2517">
        <f t="shared" ref="N1486:N1503" si="275">J1486*G1486</f>
        <v>0</v>
      </c>
      <c r="O1486" s="2517">
        <f t="shared" ref="O1486:O1503" si="276">K1486*G1486</f>
        <v>0</v>
      </c>
      <c r="P1486" s="2694"/>
      <c r="Q1486" s="2519"/>
      <c r="R1486" s="2519"/>
      <c r="S1486" s="2519"/>
    </row>
    <row r="1487" spans="1:19" s="2358" customFormat="1" outlineLevel="1">
      <c r="A1487" s="2435" t="str">
        <f t="shared" si="272"/>
        <v/>
      </c>
      <c r="B1487" s="2514" t="s">
        <v>1574</v>
      </c>
      <c r="C1487" s="2521"/>
      <c r="D1487" s="2405">
        <v>0</v>
      </c>
      <c r="E1487" s="2447" t="s">
        <v>2807</v>
      </c>
      <c r="F1487" s="2405" t="s">
        <v>2538</v>
      </c>
      <c r="G1487" s="2631">
        <f>+G1484*7*3</f>
        <v>0</v>
      </c>
      <c r="H1487" s="2517">
        <v>567100</v>
      </c>
      <c r="I1487" s="2517"/>
      <c r="J1487" s="2517">
        <v>0</v>
      </c>
      <c r="K1487" s="2517">
        <v>0</v>
      </c>
      <c r="L1487" s="2517">
        <f t="shared" si="273"/>
        <v>0</v>
      </c>
      <c r="M1487" s="2517">
        <f t="shared" si="274"/>
        <v>0</v>
      </c>
      <c r="N1487" s="2517">
        <f t="shared" si="275"/>
        <v>0</v>
      </c>
      <c r="O1487" s="2517">
        <f t="shared" si="276"/>
        <v>0</v>
      </c>
      <c r="P1487" s="2642"/>
      <c r="Q1487" s="2519"/>
      <c r="R1487" s="2519"/>
      <c r="S1487" s="2519"/>
    </row>
    <row r="1488" spans="1:19" s="2358" customFormat="1" outlineLevel="1">
      <c r="A1488" s="2435" t="str">
        <f>IF(G1488&lt;&gt;0,1,"")</f>
        <v/>
      </c>
      <c r="B1488" s="2514" t="s">
        <v>2282</v>
      </c>
      <c r="C1488" s="2521"/>
      <c r="D1488" s="2405">
        <v>0</v>
      </c>
      <c r="E1488" s="2447" t="s">
        <v>2794</v>
      </c>
      <c r="F1488" s="2405" t="s">
        <v>2538</v>
      </c>
      <c r="G1488" s="2703">
        <f>+G1484*10/2</f>
        <v>0</v>
      </c>
      <c r="H1488" s="2517">
        <v>63200</v>
      </c>
      <c r="I1488" s="2517"/>
      <c r="J1488" s="2517">
        <v>0</v>
      </c>
      <c r="K1488" s="2517">
        <v>0</v>
      </c>
      <c r="L1488" s="2517">
        <f>H1488*G1488</f>
        <v>0</v>
      </c>
      <c r="M1488" s="2517">
        <f>I1488*G1488</f>
        <v>0</v>
      </c>
      <c r="N1488" s="2517">
        <f>J1488*G1488</f>
        <v>0</v>
      </c>
      <c r="O1488" s="2517">
        <f>K1488*G1488</f>
        <v>0</v>
      </c>
      <c r="P1488" s="2702"/>
      <c r="Q1488" s="2519"/>
      <c r="R1488" s="2519"/>
      <c r="S1488" s="2519"/>
    </row>
    <row r="1489" spans="1:19" s="2358" customFormat="1" outlineLevel="1">
      <c r="A1489" s="2435" t="str">
        <f t="shared" si="272"/>
        <v/>
      </c>
      <c r="B1489" s="2514" t="s">
        <v>2162</v>
      </c>
      <c r="C1489" s="2521"/>
      <c r="D1489" s="2405" t="s">
        <v>5793</v>
      </c>
      <c r="E1489" s="2447" t="s">
        <v>3504</v>
      </c>
      <c r="F1489" s="2405" t="s">
        <v>2563</v>
      </c>
      <c r="G1489" s="2631">
        <f>G1484*3</f>
        <v>0</v>
      </c>
      <c r="H1489" s="2517">
        <v>70000</v>
      </c>
      <c r="I1489" s="2517"/>
      <c r="J1489" s="2517">
        <v>50013.645000000004</v>
      </c>
      <c r="K1489" s="2517">
        <v>5554.0464950000005</v>
      </c>
      <c r="L1489" s="2517">
        <f t="shared" si="273"/>
        <v>0</v>
      </c>
      <c r="M1489" s="2517">
        <f t="shared" si="274"/>
        <v>0</v>
      </c>
      <c r="N1489" s="2517">
        <f t="shared" si="275"/>
        <v>0</v>
      </c>
      <c r="O1489" s="2517">
        <f t="shared" si="276"/>
        <v>0</v>
      </c>
      <c r="P1489" s="2642"/>
      <c r="Q1489" s="2519"/>
      <c r="R1489" s="2519"/>
      <c r="S1489" s="2519"/>
    </row>
    <row r="1490" spans="1:19" s="2358" customFormat="1" outlineLevel="1">
      <c r="A1490" s="2435" t="str">
        <f t="shared" si="272"/>
        <v/>
      </c>
      <c r="B1490" s="2514" t="s">
        <v>1308</v>
      </c>
      <c r="C1490" s="2521"/>
      <c r="D1490" s="2405" t="s">
        <v>5790</v>
      </c>
      <c r="E1490" s="2447" t="s">
        <v>3500</v>
      </c>
      <c r="F1490" s="2405" t="s">
        <v>2563</v>
      </c>
      <c r="G1490" s="2703">
        <f>G1484*1</f>
        <v>0</v>
      </c>
      <c r="H1490" s="2517">
        <v>27000</v>
      </c>
      <c r="I1490" s="2517"/>
      <c r="J1490" s="2517">
        <v>27280.17</v>
      </c>
      <c r="K1490" s="2517">
        <v>3887.8325465000003</v>
      </c>
      <c r="L1490" s="2517">
        <f t="shared" si="273"/>
        <v>0</v>
      </c>
      <c r="M1490" s="2517">
        <f t="shared" si="274"/>
        <v>0</v>
      </c>
      <c r="N1490" s="2517">
        <f t="shared" si="275"/>
        <v>0</v>
      </c>
      <c r="O1490" s="2517">
        <f t="shared" si="276"/>
        <v>0</v>
      </c>
      <c r="P1490" s="2694"/>
      <c r="Q1490" s="2519"/>
      <c r="R1490" s="2519"/>
      <c r="S1490" s="2519"/>
    </row>
    <row r="1491" spans="1:19" s="2358" customFormat="1" outlineLevel="1">
      <c r="A1491" s="2435" t="str">
        <f t="shared" si="272"/>
        <v/>
      </c>
      <c r="B1491" s="2514" t="s">
        <v>90</v>
      </c>
      <c r="C1491" s="2521"/>
      <c r="D1491" s="2405">
        <v>0</v>
      </c>
      <c r="E1491" s="2447" t="s">
        <v>3518</v>
      </c>
      <c r="F1491" s="2405" t="s">
        <v>2563</v>
      </c>
      <c r="G1491" s="2631">
        <f>G1489</f>
        <v>0</v>
      </c>
      <c r="H1491" s="2517">
        <v>6000</v>
      </c>
      <c r="I1491" s="2517"/>
      <c r="J1491" s="2517">
        <v>0</v>
      </c>
      <c r="K1491" s="2517">
        <v>0</v>
      </c>
      <c r="L1491" s="2517">
        <f t="shared" si="273"/>
        <v>0</v>
      </c>
      <c r="M1491" s="2517">
        <f t="shared" si="274"/>
        <v>0</v>
      </c>
      <c r="N1491" s="2517">
        <f t="shared" si="275"/>
        <v>0</v>
      </c>
      <c r="O1491" s="2517">
        <f t="shared" si="276"/>
        <v>0</v>
      </c>
      <c r="P1491" s="2642"/>
      <c r="Q1491" s="2519"/>
      <c r="R1491" s="2519"/>
      <c r="S1491" s="2519"/>
    </row>
    <row r="1492" spans="1:19" s="2358" customFormat="1" outlineLevel="1">
      <c r="A1492" s="2435" t="str">
        <f t="shared" si="272"/>
        <v/>
      </c>
      <c r="B1492" s="2514" t="s">
        <v>93</v>
      </c>
      <c r="C1492" s="2521"/>
      <c r="D1492" s="2405">
        <v>0</v>
      </c>
      <c r="E1492" s="2447" t="s">
        <v>3514</v>
      </c>
      <c r="F1492" s="2405" t="s">
        <v>2563</v>
      </c>
      <c r="G1492" s="2703">
        <f>G1490</f>
        <v>0</v>
      </c>
      <c r="H1492" s="2517">
        <v>4000</v>
      </c>
      <c r="I1492" s="2517"/>
      <c r="J1492" s="2517">
        <v>0</v>
      </c>
      <c r="K1492" s="2517">
        <v>0</v>
      </c>
      <c r="L1492" s="2517">
        <f t="shared" si="273"/>
        <v>0</v>
      </c>
      <c r="M1492" s="2517">
        <f t="shared" si="274"/>
        <v>0</v>
      </c>
      <c r="N1492" s="2517">
        <f t="shared" si="275"/>
        <v>0</v>
      </c>
      <c r="O1492" s="2517">
        <f t="shared" si="276"/>
        <v>0</v>
      </c>
      <c r="P1492" s="2694"/>
      <c r="Q1492" s="2519"/>
      <c r="R1492" s="2519"/>
      <c r="S1492" s="2519"/>
    </row>
    <row r="1493" spans="1:19" s="2358" customFormat="1" outlineLevel="1">
      <c r="A1493" s="2435" t="str">
        <f t="shared" si="272"/>
        <v/>
      </c>
      <c r="B1493" s="2514" t="s">
        <v>1042</v>
      </c>
      <c r="C1493" s="2521"/>
      <c r="D1493" s="2405">
        <v>0</v>
      </c>
      <c r="E1493" s="2447" t="s">
        <v>3549</v>
      </c>
      <c r="F1493" s="2405" t="s">
        <v>1827</v>
      </c>
      <c r="G1493" s="2703">
        <f>G1484*6</f>
        <v>0</v>
      </c>
      <c r="H1493" s="2517">
        <v>103700</v>
      </c>
      <c r="I1493" s="2517"/>
      <c r="J1493" s="2517">
        <v>0</v>
      </c>
      <c r="K1493" s="2517">
        <v>0</v>
      </c>
      <c r="L1493" s="2517">
        <f t="shared" si="273"/>
        <v>0</v>
      </c>
      <c r="M1493" s="2517">
        <f t="shared" si="274"/>
        <v>0</v>
      </c>
      <c r="N1493" s="2517">
        <f t="shared" si="275"/>
        <v>0</v>
      </c>
      <c r="O1493" s="2517">
        <f t="shared" si="276"/>
        <v>0</v>
      </c>
      <c r="P1493" s="2694"/>
      <c r="Q1493" s="2519"/>
      <c r="R1493" s="2519"/>
      <c r="S1493" s="2519"/>
    </row>
    <row r="1494" spans="1:19" s="2358" customFormat="1" outlineLevel="1">
      <c r="A1494" s="2435" t="str">
        <f>IF(G1494&lt;&gt;0,1,"")</f>
        <v/>
      </c>
      <c r="B1494" s="2514" t="s">
        <v>1349</v>
      </c>
      <c r="C1494" s="2521"/>
      <c r="D1494" s="2405">
        <v>0</v>
      </c>
      <c r="E1494" s="2447" t="s">
        <v>3567</v>
      </c>
      <c r="F1494" s="2405" t="s">
        <v>2563</v>
      </c>
      <c r="G1494" s="2703">
        <f>G1484*3</f>
        <v>0</v>
      </c>
      <c r="H1494" s="2517">
        <v>104800</v>
      </c>
      <c r="I1494" s="2517"/>
      <c r="J1494" s="2517">
        <v>0</v>
      </c>
      <c r="K1494" s="2517">
        <v>0</v>
      </c>
      <c r="L1494" s="2517">
        <f>H1494*G1494</f>
        <v>0</v>
      </c>
      <c r="M1494" s="2517"/>
      <c r="N1494" s="2517">
        <f>J1494*G1494</f>
        <v>0</v>
      </c>
      <c r="O1494" s="2517">
        <f>K1494*G1494</f>
        <v>0</v>
      </c>
      <c r="P1494" s="2694"/>
      <c r="Q1494" s="2519"/>
      <c r="R1494" s="2519"/>
      <c r="S1494" s="2519"/>
    </row>
    <row r="1495" spans="1:19" s="2358" customFormat="1" outlineLevel="1">
      <c r="A1495" s="2435" t="str">
        <f>IF(G1495&lt;&gt;0,1,"")</f>
        <v/>
      </c>
      <c r="B1495" s="2514" t="s">
        <v>4627</v>
      </c>
      <c r="C1495" s="2521"/>
      <c r="D1495" s="2405">
        <v>0</v>
      </c>
      <c r="E1495" s="2447" t="s">
        <v>5860</v>
      </c>
      <c r="F1495" s="2405" t="s">
        <v>2563</v>
      </c>
      <c r="G1495" s="2611"/>
      <c r="H1495" s="2517">
        <v>104800</v>
      </c>
      <c r="I1495" s="2517"/>
      <c r="J1495" s="2517">
        <v>0</v>
      </c>
      <c r="K1495" s="2517">
        <v>0</v>
      </c>
      <c r="L1495" s="2517">
        <f>H1495*G1495</f>
        <v>0</v>
      </c>
      <c r="M1495" s="2517"/>
      <c r="N1495" s="2517">
        <f>J1495*G1495</f>
        <v>0</v>
      </c>
      <c r="O1495" s="2517">
        <f>K1495*G1495</f>
        <v>0</v>
      </c>
      <c r="P1495" s="2694"/>
      <c r="Q1495" s="2519"/>
      <c r="R1495" s="2519"/>
      <c r="S1495" s="2519"/>
    </row>
    <row r="1496" spans="1:19" s="2358" customFormat="1" outlineLevel="1">
      <c r="A1496" s="2435" t="str">
        <f t="shared" si="272"/>
        <v/>
      </c>
      <c r="B1496" s="2505" t="s">
        <v>731</v>
      </c>
      <c r="C1496" s="2521"/>
      <c r="D1496" s="2405">
        <v>0</v>
      </c>
      <c r="E1496" s="2447" t="s">
        <v>5319</v>
      </c>
      <c r="F1496" s="2405" t="s">
        <v>2445</v>
      </c>
      <c r="G1496" s="2703">
        <f>+G1484*2</f>
        <v>0</v>
      </c>
      <c r="H1496" s="2517">
        <v>50000</v>
      </c>
      <c r="I1496" s="2517"/>
      <c r="J1496" s="2517">
        <v>0</v>
      </c>
      <c r="K1496" s="2517">
        <v>0</v>
      </c>
      <c r="L1496" s="2517">
        <f t="shared" si="273"/>
        <v>0</v>
      </c>
      <c r="M1496" s="2517">
        <f t="shared" si="274"/>
        <v>0</v>
      </c>
      <c r="N1496" s="2517">
        <f t="shared" si="275"/>
        <v>0</v>
      </c>
      <c r="O1496" s="2517">
        <f t="shared" si="276"/>
        <v>0</v>
      </c>
      <c r="P1496" s="2694"/>
      <c r="Q1496" s="2675">
        <f>28000/1.259</f>
        <v>22239.872915011914</v>
      </c>
      <c r="R1496" s="2519"/>
      <c r="S1496" s="2519"/>
    </row>
    <row r="1497" spans="1:19" s="2358" customFormat="1" outlineLevel="1">
      <c r="A1497" s="2435" t="str">
        <f t="shared" si="272"/>
        <v/>
      </c>
      <c r="B1497" s="2514" t="s">
        <v>2173</v>
      </c>
      <c r="C1497" s="2521"/>
      <c r="D1497" s="2405">
        <v>0</v>
      </c>
      <c r="E1497" s="2447" t="s">
        <v>3593</v>
      </c>
      <c r="F1497" s="2405" t="s">
        <v>2563</v>
      </c>
      <c r="G1497" s="2703">
        <f>G1484</f>
        <v>0</v>
      </c>
      <c r="H1497" s="2517">
        <v>41900</v>
      </c>
      <c r="I1497" s="2517"/>
      <c r="J1497" s="2517">
        <v>0</v>
      </c>
      <c r="K1497" s="2517">
        <v>0</v>
      </c>
      <c r="L1497" s="2517">
        <f t="shared" si="273"/>
        <v>0</v>
      </c>
      <c r="M1497" s="2517">
        <f t="shared" si="274"/>
        <v>0</v>
      </c>
      <c r="N1497" s="2517">
        <f t="shared" si="275"/>
        <v>0</v>
      </c>
      <c r="O1497" s="2517">
        <f t="shared" si="276"/>
        <v>0</v>
      </c>
      <c r="P1497" s="2694"/>
      <c r="Q1497" s="2519"/>
      <c r="R1497" s="2519"/>
      <c r="S1497" s="2519"/>
    </row>
    <row r="1498" spans="1:19" s="2358" customFormat="1" outlineLevel="1">
      <c r="A1498" s="2435" t="str">
        <f t="shared" si="272"/>
        <v/>
      </c>
      <c r="B1498" s="2514" t="s">
        <v>2174</v>
      </c>
      <c r="C1498" s="2521"/>
      <c r="D1498" s="2405">
        <v>0</v>
      </c>
      <c r="E1498" s="2447" t="s">
        <v>3597</v>
      </c>
      <c r="F1498" s="2405" t="s">
        <v>2563</v>
      </c>
      <c r="G1498" s="2703">
        <f>G1484</f>
        <v>0</v>
      </c>
      <c r="H1498" s="2517">
        <v>41900</v>
      </c>
      <c r="I1498" s="2517"/>
      <c r="J1498" s="2517">
        <v>0</v>
      </c>
      <c r="K1498" s="2517">
        <v>0</v>
      </c>
      <c r="L1498" s="2517">
        <f t="shared" si="273"/>
        <v>0</v>
      </c>
      <c r="M1498" s="2517">
        <f t="shared" si="274"/>
        <v>0</v>
      </c>
      <c r="N1498" s="2517">
        <f t="shared" si="275"/>
        <v>0</v>
      </c>
      <c r="O1498" s="2517">
        <f t="shared" si="276"/>
        <v>0</v>
      </c>
      <c r="P1498" s="2694"/>
      <c r="Q1498" s="2519"/>
      <c r="R1498" s="2519"/>
      <c r="S1498" s="2519"/>
    </row>
    <row r="1499" spans="1:19" s="2358" customFormat="1" outlineLevel="1">
      <c r="A1499" s="2435" t="str">
        <f>IF(G1499&lt;&gt;0,1,"")</f>
        <v/>
      </c>
      <c r="B1499" s="2374" t="s">
        <v>1744</v>
      </c>
      <c r="C1499" s="2521"/>
      <c r="D1499" s="2405">
        <v>0</v>
      </c>
      <c r="E1499" s="2447" t="s">
        <v>5857</v>
      </c>
      <c r="F1499" s="2405" t="s">
        <v>1827</v>
      </c>
      <c r="G1499" s="2703">
        <f>G1484*1.2</f>
        <v>0</v>
      </c>
      <c r="H1499" s="2517">
        <v>58700</v>
      </c>
      <c r="I1499" s="2517"/>
      <c r="J1499" s="2517">
        <v>0</v>
      </c>
      <c r="K1499" s="2517">
        <v>0</v>
      </c>
      <c r="L1499" s="2517">
        <f>H1499*G1499</f>
        <v>0</v>
      </c>
      <c r="M1499" s="2517">
        <f>I1499*G1499</f>
        <v>0</v>
      </c>
      <c r="N1499" s="2517">
        <f>J1499*G1499</f>
        <v>0</v>
      </c>
      <c r="O1499" s="2517">
        <f>K1499*G1499</f>
        <v>0</v>
      </c>
      <c r="P1499" s="2694"/>
      <c r="Q1499" s="2519"/>
      <c r="R1499" s="2519"/>
      <c r="S1499" s="2519"/>
    </row>
    <row r="1500" spans="1:19" s="2358" customFormat="1" outlineLevel="1">
      <c r="A1500" s="2435" t="str">
        <f t="shared" si="272"/>
        <v/>
      </c>
      <c r="B1500" s="2514" t="s">
        <v>2080</v>
      </c>
      <c r="C1500" s="2521"/>
      <c r="D1500" s="2405">
        <v>0</v>
      </c>
      <c r="E1500" s="2447" t="s">
        <v>3588</v>
      </c>
      <c r="F1500" s="2405" t="s">
        <v>3589</v>
      </c>
      <c r="G1500" s="2703">
        <f>G1484</f>
        <v>0</v>
      </c>
      <c r="H1500" s="2517">
        <v>11500</v>
      </c>
      <c r="I1500" s="2517"/>
      <c r="J1500" s="2517">
        <v>0</v>
      </c>
      <c r="K1500" s="2517">
        <v>0</v>
      </c>
      <c r="L1500" s="2517">
        <f t="shared" si="273"/>
        <v>0</v>
      </c>
      <c r="M1500" s="2517">
        <f t="shared" si="274"/>
        <v>0</v>
      </c>
      <c r="N1500" s="2517">
        <f t="shared" si="275"/>
        <v>0</v>
      </c>
      <c r="O1500" s="2517">
        <f t="shared" si="276"/>
        <v>0</v>
      </c>
      <c r="P1500" s="2694"/>
      <c r="Q1500" s="2519"/>
      <c r="R1500" s="2519"/>
      <c r="S1500" s="2519"/>
    </row>
    <row r="1501" spans="1:19" s="2358" customFormat="1" outlineLevel="1">
      <c r="A1501" s="2435" t="str">
        <f t="shared" si="272"/>
        <v/>
      </c>
      <c r="B1501" s="2505" t="s">
        <v>6</v>
      </c>
      <c r="C1501" s="2521"/>
      <c r="D1501" s="2405"/>
      <c r="E1501" s="2447" t="s">
        <v>3585</v>
      </c>
      <c r="F1501" s="2405" t="s">
        <v>5868</v>
      </c>
      <c r="G1501" s="2703">
        <f>G1484</f>
        <v>0</v>
      </c>
      <c r="H1501" s="2517">
        <v>45000</v>
      </c>
      <c r="I1501" s="2517"/>
      <c r="J1501" s="2517"/>
      <c r="K1501" s="2517"/>
      <c r="L1501" s="2517">
        <f t="shared" si="273"/>
        <v>0</v>
      </c>
      <c r="M1501" s="2517">
        <f t="shared" si="274"/>
        <v>0</v>
      </c>
      <c r="N1501" s="2517">
        <f t="shared" si="275"/>
        <v>0</v>
      </c>
      <c r="O1501" s="2517">
        <f t="shared" si="276"/>
        <v>0</v>
      </c>
      <c r="P1501" s="2702"/>
      <c r="Q1501" s="2519"/>
      <c r="R1501" s="2519"/>
      <c r="S1501" s="2519"/>
    </row>
    <row r="1502" spans="1:19" s="2358" customFormat="1" outlineLevel="1">
      <c r="A1502" s="2435" t="str">
        <f t="shared" si="272"/>
        <v/>
      </c>
      <c r="B1502" s="2514" t="s">
        <v>1351</v>
      </c>
      <c r="C1502" s="2521"/>
      <c r="D1502" s="2405">
        <v>0</v>
      </c>
      <c r="E1502" s="2447" t="s">
        <v>3536</v>
      </c>
      <c r="F1502" s="2405" t="s">
        <v>3537</v>
      </c>
      <c r="G1502" s="2703">
        <f>+G1484</f>
        <v>0</v>
      </c>
      <c r="H1502" s="2517">
        <v>15000</v>
      </c>
      <c r="I1502" s="2517"/>
      <c r="J1502" s="2517">
        <v>0</v>
      </c>
      <c r="K1502" s="2517">
        <v>0</v>
      </c>
      <c r="L1502" s="2517">
        <f t="shared" si="273"/>
        <v>0</v>
      </c>
      <c r="M1502" s="2517">
        <f t="shared" si="274"/>
        <v>0</v>
      </c>
      <c r="N1502" s="2517">
        <f t="shared" si="275"/>
        <v>0</v>
      </c>
      <c r="O1502" s="2517">
        <f t="shared" si="276"/>
        <v>0</v>
      </c>
      <c r="P1502" s="2702"/>
      <c r="Q1502" s="2519"/>
      <c r="R1502" s="2519"/>
      <c r="S1502" s="2519"/>
    </row>
    <row r="1503" spans="1:19" s="2358" customFormat="1" outlineLevel="1">
      <c r="A1503" s="2435" t="str">
        <f t="shared" si="272"/>
        <v/>
      </c>
      <c r="B1503" s="2505" t="s">
        <v>672</v>
      </c>
      <c r="C1503" s="2521"/>
      <c r="D1503" s="2405">
        <v>0</v>
      </c>
      <c r="E1503" s="2447" t="s">
        <v>5863</v>
      </c>
      <c r="F1503" s="2405" t="s">
        <v>3584</v>
      </c>
      <c r="G1503" s="2703">
        <f>G1484*2</f>
        <v>0</v>
      </c>
      <c r="H1503" s="2517">
        <v>6500</v>
      </c>
      <c r="I1503" s="2517"/>
      <c r="J1503" s="2517">
        <v>0</v>
      </c>
      <c r="K1503" s="2517">
        <v>0</v>
      </c>
      <c r="L1503" s="2517">
        <f t="shared" si="273"/>
        <v>0</v>
      </c>
      <c r="M1503" s="2517">
        <f t="shared" si="274"/>
        <v>0</v>
      </c>
      <c r="N1503" s="2517">
        <f t="shared" si="275"/>
        <v>0</v>
      </c>
      <c r="O1503" s="2517">
        <f t="shared" si="276"/>
        <v>0</v>
      </c>
      <c r="P1503" s="2694"/>
      <c r="Q1503" s="2519"/>
      <c r="R1503" s="2519"/>
      <c r="S1503" s="2519"/>
    </row>
    <row r="1504" spans="1:19" s="2358" customFormat="1" outlineLevel="1">
      <c r="A1504" s="2435" t="str">
        <f t="shared" si="272"/>
        <v/>
      </c>
      <c r="B1504" s="2505" t="s">
        <v>247</v>
      </c>
      <c r="C1504" s="2521"/>
      <c r="D1504" s="2405" t="s">
        <v>5635</v>
      </c>
      <c r="E1504" s="2447" t="s">
        <v>5636</v>
      </c>
      <c r="F1504" s="2405" t="s">
        <v>1827</v>
      </c>
      <c r="G1504" s="2703">
        <f>G1486+G1487</f>
        <v>0</v>
      </c>
      <c r="H1504" s="2517">
        <v>0</v>
      </c>
      <c r="I1504" s="2517"/>
      <c r="J1504" s="2517">
        <v>47311</v>
      </c>
      <c r="K1504" s="2517">
        <v>0</v>
      </c>
      <c r="L1504" s="2517">
        <f>H1504*G1504</f>
        <v>0</v>
      </c>
      <c r="M1504" s="2517">
        <f>I1504*G1504</f>
        <v>0</v>
      </c>
      <c r="N1504" s="2517">
        <f>J1504*G1504</f>
        <v>0</v>
      </c>
      <c r="O1504" s="2517">
        <f>K1504*G1504</f>
        <v>0</v>
      </c>
      <c r="P1504" s="2694"/>
      <c r="Q1504" s="2519"/>
      <c r="R1504" s="2519"/>
      <c r="S1504" s="2519"/>
    </row>
    <row r="1505" spans="1:19" s="2358" customFormat="1" outlineLevel="1">
      <c r="A1505" s="2435">
        <f>A1354</f>
        <v>0</v>
      </c>
      <c r="B1505" s="2610"/>
      <c r="C1505" s="2676"/>
      <c r="D1505" s="2677"/>
      <c r="E1505" s="2652"/>
      <c r="F1505" s="2890"/>
      <c r="G1505" s="2891"/>
      <c r="H1505" s="2890"/>
      <c r="I1505" s="2890"/>
      <c r="J1505" s="2900" t="s">
        <v>6205</v>
      </c>
      <c r="K1505" s="2900"/>
      <c r="L1505" s="2678">
        <f>SUM(L1372:L1504)</f>
        <v>0</v>
      </c>
      <c r="M1505" s="2678">
        <f>SUM(M1372:M1504)</f>
        <v>0</v>
      </c>
      <c r="N1505" s="2678">
        <f>SUM(N1372:N1504)</f>
        <v>0</v>
      </c>
      <c r="O1505" s="2678">
        <f>SUM(O1372:O1504)</f>
        <v>0</v>
      </c>
      <c r="P1505" s="2699"/>
      <c r="Q1505" s="2519"/>
      <c r="R1505" s="2519"/>
      <c r="S1505" s="2519"/>
    </row>
    <row r="1506" spans="1:19" s="2358" customFormat="1" ht="13.8" customHeight="1">
      <c r="A1506" s="2639">
        <f>IF(G1511&gt;0,1,)</f>
        <v>0</v>
      </c>
      <c r="B1506" s="2505"/>
      <c r="C1506" s="2519"/>
      <c r="D1506" s="2519"/>
      <c r="E1506" s="2689"/>
      <c r="F1506" s="2519"/>
      <c r="G1506" s="2690"/>
      <c r="H1506" s="2519"/>
      <c r="I1506" s="2519"/>
      <c r="J1506" s="2519"/>
      <c r="K1506" s="2519"/>
      <c r="L1506" s="2519"/>
      <c r="M1506" s="2519"/>
      <c r="N1506" s="2519"/>
      <c r="O1506" s="2519"/>
      <c r="P1506" s="2519"/>
      <c r="Q1506" s="2519"/>
      <c r="R1506" s="2519"/>
      <c r="S1506" s="2519"/>
    </row>
    <row r="1507" spans="1:19" s="2358" customFormat="1" outlineLevel="1">
      <c r="A1507" s="2435">
        <f>A1506</f>
        <v>0</v>
      </c>
      <c r="B1507" s="2640"/>
      <c r="C1507" s="2877" t="str">
        <f>"BẢNG TỔNG HỢP VẬT LIỆU, NHÂN CÔNG, MÁY THI CÔNG: "&amp;K12&amp;" TRẠM 3P_320KVA "</f>
        <v xml:space="preserve">BẢNG TỔNG HỢP VẬT LIỆU, NHÂN CÔNG, MÁY THI CÔNG: 0 TRẠM 3P_320KVA </v>
      </c>
      <c r="D1507" s="2892"/>
      <c r="E1507" s="2892"/>
      <c r="F1507" s="2892"/>
      <c r="G1507" s="2892"/>
      <c r="H1507" s="2893"/>
      <c r="I1507" s="2781"/>
      <c r="J1507" s="2893"/>
      <c r="K1507" s="2893"/>
      <c r="L1507" s="2893"/>
      <c r="M1507" s="2781"/>
      <c r="N1507" s="2893"/>
      <c r="O1507" s="2893"/>
      <c r="P1507" s="2895"/>
      <c r="Q1507" s="2519"/>
      <c r="R1507" s="2519"/>
      <c r="S1507" s="2519"/>
    </row>
    <row r="1508" spans="1:19" s="2358" customFormat="1" outlineLevel="1">
      <c r="A1508" s="2435">
        <f>A1506</f>
        <v>0</v>
      </c>
      <c r="B1508" s="2514" t="s">
        <v>6186</v>
      </c>
      <c r="C1508" s="2901" t="s">
        <v>1712</v>
      </c>
      <c r="D1508" s="2902" t="s">
        <v>2605</v>
      </c>
      <c r="E1508" s="2904" t="s">
        <v>2606</v>
      </c>
      <c r="F1508" s="2901" t="s">
        <v>2601</v>
      </c>
      <c r="G1508" s="2362" t="s">
        <v>6187</v>
      </c>
      <c r="H1508" s="2365" t="s">
        <v>6188</v>
      </c>
      <c r="I1508" s="2872"/>
      <c r="J1508" s="2872"/>
      <c r="K1508" s="2873"/>
      <c r="L1508" s="2365" t="s">
        <v>6189</v>
      </c>
      <c r="M1508" s="2872"/>
      <c r="N1508" s="2872"/>
      <c r="O1508" s="2873"/>
      <c r="P1508" s="2901" t="s">
        <v>2607</v>
      </c>
      <c r="Q1508" s="2519"/>
      <c r="R1508" s="2519"/>
      <c r="S1508" s="2519"/>
    </row>
    <row r="1509" spans="1:19" s="2358" customFormat="1" outlineLevel="1">
      <c r="A1509" s="2435">
        <f>A1508</f>
        <v>0</v>
      </c>
      <c r="B1509" s="2514"/>
      <c r="C1509" s="2901"/>
      <c r="D1509" s="2903"/>
      <c r="E1509" s="2905"/>
      <c r="F1509" s="2901"/>
      <c r="G1509" s="2364" t="s">
        <v>2292</v>
      </c>
      <c r="H1509" s="2365" t="s">
        <v>6190</v>
      </c>
      <c r="I1509" s="2365" t="s">
        <v>6191</v>
      </c>
      <c r="J1509" s="2365" t="s">
        <v>6192</v>
      </c>
      <c r="K1509" s="2365" t="s">
        <v>6193</v>
      </c>
      <c r="L1509" s="2365" t="s">
        <v>6190</v>
      </c>
      <c r="M1509" s="2365" t="s">
        <v>6191</v>
      </c>
      <c r="N1509" s="2365" t="s">
        <v>6192</v>
      </c>
      <c r="O1509" s="2365" t="s">
        <v>6193</v>
      </c>
      <c r="P1509" s="2901"/>
      <c r="Q1509" s="2519"/>
      <c r="R1509" s="2519"/>
      <c r="S1509" s="2519"/>
    </row>
    <row r="1510" spans="1:19" s="2358" customFormat="1" outlineLevel="1">
      <c r="A1510" s="2435">
        <f>A1509</f>
        <v>0</v>
      </c>
      <c r="B1510" s="2514"/>
      <c r="C1510" s="2366"/>
      <c r="D1510" s="2367"/>
      <c r="E1510" s="2368" t="s">
        <v>3690</v>
      </c>
      <c r="F1510" s="2369"/>
      <c r="G1510" s="2369"/>
      <c r="H1510" s="2369"/>
      <c r="I1510" s="2369"/>
      <c r="J1510" s="2369"/>
      <c r="K1510" s="2369"/>
      <c r="L1510" s="2369"/>
      <c r="M1510" s="2369"/>
      <c r="N1510" s="2369"/>
      <c r="O1510" s="2367"/>
      <c r="P1510" s="2370"/>
      <c r="Q1510" s="2519"/>
      <c r="R1510" s="2519"/>
      <c r="S1510" s="2519"/>
    </row>
    <row r="1511" spans="1:19" s="2358" customFormat="1" outlineLevel="1">
      <c r="A1511" s="2435" t="str">
        <f t="shared" ref="A1511:A1518" si="277">IF(G1511&lt;&gt;0,1,"")</f>
        <v/>
      </c>
      <c r="B1511" s="2505" t="str">
        <f>IF($F$8=15,"tr320","tr3201")</f>
        <v>tr3201</v>
      </c>
      <c r="C1511" s="2521">
        <f>IF(G1511&gt;0,1,0)</f>
        <v>0</v>
      </c>
      <c r="D1511" s="2405" t="s">
        <v>5653</v>
      </c>
      <c r="E1511" s="2447" t="s">
        <v>3348</v>
      </c>
      <c r="F1511" s="2405" t="s">
        <v>3318</v>
      </c>
      <c r="G1511" s="2521">
        <f>$K$12</f>
        <v>0</v>
      </c>
      <c r="H1511" s="2612">
        <v>202869000</v>
      </c>
      <c r="I1511" s="2612"/>
      <c r="J1511" s="2612">
        <v>1392163</v>
      </c>
      <c r="K1511" s="2612">
        <v>361106</v>
      </c>
      <c r="L1511" s="2613">
        <f t="shared" ref="L1511:L1518" si="278">H1511*G1511</f>
        <v>0</v>
      </c>
      <c r="M1511" s="2613">
        <f t="shared" ref="M1511:M1518" si="279">I1511*G1511</f>
        <v>0</v>
      </c>
      <c r="N1511" s="2613">
        <f t="shared" ref="N1511:N1518" si="280">J1511*G1511</f>
        <v>0</v>
      </c>
      <c r="O1511" s="2614">
        <f t="shared" ref="O1511:O1518" si="281">K1511*G1511</f>
        <v>0</v>
      </c>
      <c r="P1511" s="2641"/>
      <c r="Q1511" s="2519"/>
      <c r="R1511" s="2519"/>
      <c r="S1511" s="2519"/>
    </row>
    <row r="1512" spans="1:19" s="2358" customFormat="1" outlineLevel="1">
      <c r="A1512" s="2435" t="str">
        <f t="shared" si="277"/>
        <v/>
      </c>
      <c r="B1512" s="2371" t="str">
        <f>"FCO100-"&amp;$F$8</f>
        <v>FCO100-22</v>
      </c>
      <c r="C1512" s="2521">
        <f t="shared" ref="C1512:C1518" si="282">IF(G1512&gt;0,C1511+1,C1511)</f>
        <v>0</v>
      </c>
      <c r="D1512" s="2405" t="s">
        <v>5660</v>
      </c>
      <c r="E1512" s="2447" t="s">
        <v>95</v>
      </c>
      <c r="F1512" s="2405" t="s">
        <v>2563</v>
      </c>
      <c r="G1512" s="2522">
        <f>G1511*3</f>
        <v>0</v>
      </c>
      <c r="H1512" s="2517">
        <v>2244280</v>
      </c>
      <c r="I1512" s="2517">
        <v>0</v>
      </c>
      <c r="J1512" s="2517">
        <v>222639.99999999997</v>
      </c>
      <c r="K1512" s="2517">
        <v>0</v>
      </c>
      <c r="L1512" s="2517">
        <f t="shared" si="278"/>
        <v>0</v>
      </c>
      <c r="M1512" s="2517">
        <f t="shared" si="279"/>
        <v>0</v>
      </c>
      <c r="N1512" s="2517">
        <f t="shared" si="280"/>
        <v>0</v>
      </c>
      <c r="O1512" s="2517">
        <f t="shared" si="281"/>
        <v>0</v>
      </c>
      <c r="P1512" s="2642"/>
      <c r="Q1512" s="2519"/>
      <c r="R1512" s="2519"/>
      <c r="S1512" s="2519"/>
    </row>
    <row r="1513" spans="1:19" s="2358" customFormat="1" outlineLevel="1">
      <c r="A1513" s="2435" t="str">
        <f t="shared" si="277"/>
        <v/>
      </c>
      <c r="B1513" s="2505" t="str">
        <f>IF($F$8=15,"chi20k","chi12k")</f>
        <v>chi12k</v>
      </c>
      <c r="C1513" s="2521">
        <f t="shared" si="282"/>
        <v>0</v>
      </c>
      <c r="D1513" s="2405">
        <v>0</v>
      </c>
      <c r="E1513" s="2447" t="s">
        <v>3444</v>
      </c>
      <c r="F1513" s="2405" t="s">
        <v>2608</v>
      </c>
      <c r="G1513" s="2522">
        <f>G1512</f>
        <v>0</v>
      </c>
      <c r="H1513" s="2517">
        <v>95000</v>
      </c>
      <c r="I1513" s="2517">
        <v>0</v>
      </c>
      <c r="J1513" s="2517">
        <v>0</v>
      </c>
      <c r="K1513" s="2517">
        <v>0</v>
      </c>
      <c r="L1513" s="2517">
        <f t="shared" si="278"/>
        <v>0</v>
      </c>
      <c r="M1513" s="2517">
        <f t="shared" si="279"/>
        <v>0</v>
      </c>
      <c r="N1513" s="2517">
        <f t="shared" si="280"/>
        <v>0</v>
      </c>
      <c r="O1513" s="2517">
        <f t="shared" si="281"/>
        <v>0</v>
      </c>
      <c r="P1513" s="2642"/>
      <c r="Q1513" s="2519"/>
      <c r="R1513" s="2519"/>
      <c r="S1513" s="2519"/>
    </row>
    <row r="1514" spans="1:19" s="2358" customFormat="1" outlineLevel="1">
      <c r="A1514" s="2435" t="str">
        <f t="shared" si="277"/>
        <v/>
      </c>
      <c r="B1514" s="2514" t="str">
        <f>"LA"&amp;$F$6</f>
        <v>LA18</v>
      </c>
      <c r="C1514" s="2521">
        <f t="shared" si="282"/>
        <v>0</v>
      </c>
      <c r="D1514" s="2405" t="s">
        <v>5664</v>
      </c>
      <c r="E1514" s="2447" t="s">
        <v>1193</v>
      </c>
      <c r="F1514" s="2405" t="s">
        <v>2563</v>
      </c>
      <c r="G1514" s="2522">
        <f>G1512</f>
        <v>0</v>
      </c>
      <c r="H1514" s="2517">
        <v>1106000</v>
      </c>
      <c r="I1514" s="2517">
        <v>0</v>
      </c>
      <c r="J1514" s="2517">
        <v>83490</v>
      </c>
      <c r="K1514" s="2517">
        <v>0</v>
      </c>
      <c r="L1514" s="2517">
        <f t="shared" si="278"/>
        <v>0</v>
      </c>
      <c r="M1514" s="2517">
        <f t="shared" si="279"/>
        <v>0</v>
      </c>
      <c r="N1514" s="2517">
        <f t="shared" si="280"/>
        <v>0</v>
      </c>
      <c r="O1514" s="2517">
        <f t="shared" si="281"/>
        <v>0</v>
      </c>
      <c r="P1514" s="2642"/>
      <c r="Q1514" s="2519"/>
      <c r="R1514" s="2519"/>
      <c r="S1514" s="2519"/>
    </row>
    <row r="1515" spans="1:19" s="2358" customFormat="1" outlineLevel="1">
      <c r="A1515" s="2435" t="str">
        <f t="shared" si="277"/>
        <v/>
      </c>
      <c r="B1515" s="2610" t="s">
        <v>1462</v>
      </c>
      <c r="C1515" s="2521">
        <f t="shared" si="282"/>
        <v>0</v>
      </c>
      <c r="D1515" s="2405">
        <v>0</v>
      </c>
      <c r="E1515" s="2447" t="s">
        <v>5749</v>
      </c>
      <c r="F1515" s="2405" t="s">
        <v>2563</v>
      </c>
      <c r="G1515" s="2522">
        <f>G1511</f>
        <v>0</v>
      </c>
      <c r="H1515" s="2517">
        <v>11490000</v>
      </c>
      <c r="I1515" s="2517">
        <v>0</v>
      </c>
      <c r="J1515" s="2517">
        <v>0</v>
      </c>
      <c r="K1515" s="2517">
        <v>0</v>
      </c>
      <c r="L1515" s="2517">
        <f t="shared" si="278"/>
        <v>0</v>
      </c>
      <c r="M1515" s="2517">
        <f t="shared" si="279"/>
        <v>0</v>
      </c>
      <c r="N1515" s="2517">
        <f t="shared" si="280"/>
        <v>0</v>
      </c>
      <c r="O1515" s="2517">
        <f t="shared" si="281"/>
        <v>0</v>
      </c>
      <c r="P1515" s="2642"/>
      <c r="Q1515" s="2519"/>
      <c r="R1515" s="2519"/>
      <c r="S1515" s="2519"/>
    </row>
    <row r="1516" spans="1:19" s="2358" customFormat="1" outlineLevel="1">
      <c r="A1516" s="2435" t="str">
        <f t="shared" si="277"/>
        <v/>
      </c>
      <c r="B1516" s="2610" t="s">
        <v>1461</v>
      </c>
      <c r="C1516" s="2521">
        <f t="shared" si="282"/>
        <v>0</v>
      </c>
      <c r="D1516" s="2405" t="s">
        <v>1025</v>
      </c>
      <c r="E1516" s="2447" t="s">
        <v>3397</v>
      </c>
      <c r="F1516" s="2405" t="s">
        <v>3388</v>
      </c>
      <c r="G1516" s="2522">
        <f>G1511</f>
        <v>0</v>
      </c>
      <c r="H1516" s="2517">
        <v>17205630</v>
      </c>
      <c r="I1516" s="2517">
        <v>0</v>
      </c>
      <c r="J1516" s="2517">
        <v>98101</v>
      </c>
      <c r="K1516" s="2517">
        <v>59254</v>
      </c>
      <c r="L1516" s="2517">
        <f t="shared" si="278"/>
        <v>0</v>
      </c>
      <c r="M1516" s="2517">
        <f t="shared" si="279"/>
        <v>0</v>
      </c>
      <c r="N1516" s="2517">
        <f t="shared" si="280"/>
        <v>0</v>
      </c>
      <c r="O1516" s="2517">
        <f t="shared" si="281"/>
        <v>0</v>
      </c>
      <c r="P1516" s="2642"/>
      <c r="Q1516" s="2519"/>
      <c r="R1516" s="2519"/>
      <c r="S1516" s="2519"/>
    </row>
    <row r="1517" spans="1:19" s="2358" customFormat="1" outlineLevel="1">
      <c r="A1517" s="2435" t="str">
        <f t="shared" si="277"/>
        <v/>
      </c>
      <c r="B1517" s="2505" t="s">
        <v>897</v>
      </c>
      <c r="C1517" s="2521">
        <f t="shared" si="282"/>
        <v>0</v>
      </c>
      <c r="D1517" s="2405">
        <v>0</v>
      </c>
      <c r="E1517" s="2447" t="s">
        <v>3380</v>
      </c>
      <c r="F1517" s="2405" t="s">
        <v>2563</v>
      </c>
      <c r="G1517" s="2643">
        <f>G1511*3</f>
        <v>0</v>
      </c>
      <c r="H1517" s="2517">
        <v>0</v>
      </c>
      <c r="I1517" s="2517">
        <v>0</v>
      </c>
      <c r="J1517" s="2517">
        <v>0</v>
      </c>
      <c r="K1517" s="2517">
        <v>0</v>
      </c>
      <c r="L1517" s="2517">
        <f t="shared" si="278"/>
        <v>0</v>
      </c>
      <c r="M1517" s="2517">
        <f t="shared" si="279"/>
        <v>0</v>
      </c>
      <c r="N1517" s="2517">
        <f t="shared" si="280"/>
        <v>0</v>
      </c>
      <c r="O1517" s="2517">
        <f t="shared" si="281"/>
        <v>0</v>
      </c>
      <c r="P1517" s="2644" t="s">
        <v>2609</v>
      </c>
      <c r="Q1517" s="2519"/>
      <c r="R1517" s="2519"/>
      <c r="S1517" s="2519"/>
    </row>
    <row r="1518" spans="1:19" s="2358" customFormat="1" outlineLevel="1">
      <c r="A1518" s="2435" t="str">
        <f t="shared" si="277"/>
        <v/>
      </c>
      <c r="B1518" s="2505" t="s">
        <v>1463</v>
      </c>
      <c r="C1518" s="2521">
        <f t="shared" si="282"/>
        <v>0</v>
      </c>
      <c r="D1518" s="2405">
        <v>0</v>
      </c>
      <c r="E1518" s="2447" t="s">
        <v>3459</v>
      </c>
      <c r="F1518" s="2405" t="s">
        <v>2563</v>
      </c>
      <c r="G1518" s="2643">
        <f>G1511</f>
        <v>0</v>
      </c>
      <c r="H1518" s="2517">
        <v>0</v>
      </c>
      <c r="I1518" s="2517">
        <v>0</v>
      </c>
      <c r="J1518" s="2517">
        <v>0</v>
      </c>
      <c r="K1518" s="2517">
        <v>0</v>
      </c>
      <c r="L1518" s="2517">
        <f t="shared" si="278"/>
        <v>0</v>
      </c>
      <c r="M1518" s="2613">
        <f t="shared" si="279"/>
        <v>0</v>
      </c>
      <c r="N1518" s="2613">
        <f t="shared" si="280"/>
        <v>0</v>
      </c>
      <c r="O1518" s="2614">
        <f t="shared" si="281"/>
        <v>0</v>
      </c>
      <c r="P1518" s="2645" t="s">
        <v>2609</v>
      </c>
      <c r="Q1518" s="2519"/>
      <c r="R1518" s="2519"/>
      <c r="S1518" s="2519"/>
    </row>
    <row r="1519" spans="1:19" s="2358" customFormat="1" outlineLevel="1">
      <c r="A1519" s="2435">
        <f>A1506</f>
        <v>0</v>
      </c>
      <c r="B1519" s="2514"/>
      <c r="C1519" s="2646"/>
      <c r="D1519" s="2647"/>
      <c r="E1519" s="2648"/>
      <c r="F1519" s="2646"/>
      <c r="G1519" s="2889"/>
      <c r="H1519" s="2646"/>
      <c r="I1519" s="2646"/>
      <c r="J1519" s="2370" t="s">
        <v>6195</v>
      </c>
      <c r="K1519" s="2646"/>
      <c r="L1519" s="2648">
        <f>SUM(L1511:L1518)</f>
        <v>0</v>
      </c>
      <c r="M1519" s="2648">
        <f>SUM(M1511:M1518)</f>
        <v>0</v>
      </c>
      <c r="N1519" s="2648">
        <f>SUM(N1511:N1518)</f>
        <v>0</v>
      </c>
      <c r="O1519" s="2648">
        <f>SUM(O1511:O1518)</f>
        <v>0</v>
      </c>
      <c r="P1519" s="2649"/>
      <c r="Q1519" s="2519"/>
      <c r="R1519" s="2519"/>
      <c r="S1519" s="2519"/>
    </row>
    <row r="1520" spans="1:19" s="2358" customFormat="1" outlineLevel="1">
      <c r="A1520" s="2435">
        <f>A1506</f>
        <v>0</v>
      </c>
      <c r="B1520" s="2514"/>
      <c r="C1520" s="2650"/>
      <c r="D1520" s="2651"/>
      <c r="E1520" s="2652" t="s">
        <v>3691</v>
      </c>
      <c r="F1520" s="2652"/>
      <c r="G1520" s="2653"/>
      <c r="H1520" s="2652"/>
      <c r="I1520" s="2652"/>
      <c r="J1520" s="2652"/>
      <c r="K1520" s="2652"/>
      <c r="L1520" s="2652"/>
      <c r="M1520" s="2652"/>
      <c r="N1520" s="2652"/>
      <c r="O1520" s="2651"/>
      <c r="P1520" s="2649"/>
      <c r="Q1520" s="2519"/>
      <c r="R1520" s="2519"/>
      <c r="S1520" s="2519"/>
    </row>
    <row r="1521" spans="1:19" s="2358" customFormat="1" outlineLevel="1">
      <c r="A1521" s="2435" t="str">
        <f t="shared" ref="A1521:A1539" si="283">IF(G1521&lt;&gt;0,1,"")</f>
        <v/>
      </c>
      <c r="B1521" s="2654"/>
      <c r="C1521" s="2655">
        <f>IF(G1521&gt;0,1,0)</f>
        <v>0</v>
      </c>
      <c r="D1521" s="2405"/>
      <c r="E1521" s="2656" t="s">
        <v>6196</v>
      </c>
      <c r="F1521" s="2657" t="s">
        <v>2283</v>
      </c>
      <c r="G1521" s="2658">
        <f>G1511*2</f>
        <v>0</v>
      </c>
      <c r="H1521" s="2657"/>
      <c r="I1521" s="2657"/>
      <c r="J1521" s="2657"/>
      <c r="K1521" s="2657"/>
      <c r="L1521" s="2658"/>
      <c r="M1521" s="2658"/>
      <c r="N1521" s="2658"/>
      <c r="O1521" s="2659"/>
      <c r="P1521" s="2642"/>
      <c r="Q1521" s="2519"/>
      <c r="R1521" s="2519"/>
      <c r="S1521" s="2519"/>
    </row>
    <row r="1522" spans="1:19" s="2358" customFormat="1" outlineLevel="1">
      <c r="A1522" s="2435" t="str">
        <f t="shared" si="283"/>
        <v/>
      </c>
      <c r="B1522" s="2610" t="s">
        <v>115</v>
      </c>
      <c r="C1522" s="2660"/>
      <c r="D1522" s="2405"/>
      <c r="E1522" s="2661" t="s">
        <v>3009</v>
      </c>
      <c r="F1522" s="2405" t="s">
        <v>2839</v>
      </c>
      <c r="G1522" s="2405">
        <f>G1521</f>
        <v>0</v>
      </c>
      <c r="H1522" s="2612">
        <v>4400000</v>
      </c>
      <c r="I1522" s="2511"/>
      <c r="J1522" s="2612"/>
      <c r="K1522" s="2511"/>
      <c r="L1522" s="2613">
        <f>H1522*G1522</f>
        <v>0</v>
      </c>
      <c r="M1522" s="2613">
        <f>I1522*G1522</f>
        <v>0</v>
      </c>
      <c r="N1522" s="2613">
        <f>J1522*G1522</f>
        <v>0</v>
      </c>
      <c r="O1522" s="2613">
        <f>K1522*G1522</f>
        <v>0</v>
      </c>
      <c r="P1522" s="2642"/>
      <c r="Q1522" s="2519"/>
      <c r="R1522" s="2519"/>
      <c r="S1522" s="2519"/>
    </row>
    <row r="1523" spans="1:19" s="2358" customFormat="1" outlineLevel="1">
      <c r="A1523" s="2435" t="str">
        <f t="shared" si="283"/>
        <v/>
      </c>
      <c r="B1523" s="2610" t="s">
        <v>1818</v>
      </c>
      <c r="C1523" s="2660"/>
      <c r="D1523" s="2405"/>
      <c r="E1523" s="2661" t="s">
        <v>2838</v>
      </c>
      <c r="F1523" s="2405" t="s">
        <v>2839</v>
      </c>
      <c r="G1523" s="2405">
        <f>G1522</f>
        <v>0</v>
      </c>
      <c r="H1523" s="2612">
        <v>17400</v>
      </c>
      <c r="I1523" s="2612"/>
      <c r="J1523" s="2511"/>
      <c r="K1523" s="2511"/>
      <c r="L1523" s="2613">
        <f>H1523*G1523</f>
        <v>0</v>
      </c>
      <c r="M1523" s="2613">
        <f>I1523*G1523</f>
        <v>0</v>
      </c>
      <c r="N1523" s="2613">
        <f>J1523*G1523</f>
        <v>0</v>
      </c>
      <c r="O1523" s="2613">
        <f>K1523*G1523</f>
        <v>0</v>
      </c>
      <c r="P1523" s="2642"/>
      <c r="Q1523" s="2519"/>
      <c r="R1523" s="2519"/>
      <c r="S1523" s="2519"/>
    </row>
    <row r="1524" spans="1:19" s="2358" customFormat="1" outlineLevel="1">
      <c r="A1524" s="2435" t="str">
        <f t="shared" si="283"/>
        <v/>
      </c>
      <c r="B1524" s="2610" t="s">
        <v>643</v>
      </c>
      <c r="C1524" s="2660"/>
      <c r="D1524" s="2405" t="s">
        <v>2133</v>
      </c>
      <c r="E1524" s="2661" t="s">
        <v>3185</v>
      </c>
      <c r="F1524" s="2405" t="s">
        <v>2839</v>
      </c>
      <c r="G1524" s="2405">
        <f>G1522</f>
        <v>0</v>
      </c>
      <c r="H1524" s="2661"/>
      <c r="I1524" s="2612"/>
      <c r="J1524" s="2612">
        <v>112286</v>
      </c>
      <c r="K1524" s="2612">
        <v>105970</v>
      </c>
      <c r="L1524" s="2613">
        <f>H1524*G1524</f>
        <v>0</v>
      </c>
      <c r="M1524" s="2613">
        <f>I1524*G1524</f>
        <v>0</v>
      </c>
      <c r="N1524" s="2613">
        <f>J1524*G1524</f>
        <v>0</v>
      </c>
      <c r="O1524" s="2613">
        <f>K1524*G1524</f>
        <v>0</v>
      </c>
      <c r="P1524" s="2642"/>
      <c r="Q1524" s="2519"/>
      <c r="R1524" s="2519"/>
      <c r="S1524" s="2519"/>
    </row>
    <row r="1525" spans="1:19" s="2358" customFormat="1" outlineLevel="1">
      <c r="A1525" s="2435" t="str">
        <f t="shared" si="283"/>
        <v/>
      </c>
      <c r="B1525" s="2654"/>
      <c r="C1525" s="2655">
        <f>IF(G1525&gt;0,1,0)</f>
        <v>0</v>
      </c>
      <c r="D1525" s="2405"/>
      <c r="E1525" s="2656" t="s">
        <v>6291</v>
      </c>
      <c r="F1525" s="2657" t="s">
        <v>2283</v>
      </c>
      <c r="G1525" s="2658">
        <f>G1511*2</f>
        <v>0</v>
      </c>
      <c r="H1525" s="2657"/>
      <c r="I1525" s="2657"/>
      <c r="J1525" s="2657"/>
      <c r="K1525" s="2657"/>
      <c r="L1525" s="2658"/>
      <c r="M1525" s="2658"/>
      <c r="N1525" s="2658"/>
      <c r="O1525" s="2659"/>
      <c r="P1525" s="2518"/>
      <c r="Q1525" s="2519"/>
      <c r="R1525" s="2519"/>
      <c r="S1525" s="2519"/>
    </row>
    <row r="1526" spans="1:19" s="2358" customFormat="1" outlineLevel="1">
      <c r="A1526" s="2435" t="str">
        <f t="shared" si="283"/>
        <v/>
      </c>
      <c r="B1526" s="2610" t="s">
        <v>114</v>
      </c>
      <c r="C1526" s="2660"/>
      <c r="D1526" s="2405"/>
      <c r="E1526" s="2661" t="s">
        <v>3008</v>
      </c>
      <c r="F1526" s="2405" t="s">
        <v>2839</v>
      </c>
      <c r="G1526" s="2405">
        <f>G1525</f>
        <v>0</v>
      </c>
      <c r="H1526" s="2612">
        <v>4200000</v>
      </c>
      <c r="I1526" s="2511"/>
      <c r="J1526" s="2612"/>
      <c r="K1526" s="2511"/>
      <c r="L1526" s="2613">
        <f>H1526*G1526</f>
        <v>0</v>
      </c>
      <c r="M1526" s="2613">
        <f>I1526*G1526</f>
        <v>0</v>
      </c>
      <c r="N1526" s="2613">
        <f>J1526*G1526</f>
        <v>0</v>
      </c>
      <c r="O1526" s="2613">
        <f>K1526*G1526</f>
        <v>0</v>
      </c>
      <c r="P1526" s="2518"/>
      <c r="Q1526" s="2519"/>
      <c r="R1526" s="2519"/>
      <c r="S1526" s="2519"/>
    </row>
    <row r="1527" spans="1:19" s="2358" customFormat="1" outlineLevel="1">
      <c r="A1527" s="2435" t="str">
        <f t="shared" si="283"/>
        <v/>
      </c>
      <c r="B1527" s="2610" t="s">
        <v>1818</v>
      </c>
      <c r="C1527" s="2660"/>
      <c r="D1527" s="2405"/>
      <c r="E1527" s="2661" t="s">
        <v>2838</v>
      </c>
      <c r="F1527" s="2405" t="s">
        <v>2839</v>
      </c>
      <c r="G1527" s="2405">
        <f>G1526</f>
        <v>0</v>
      </c>
      <c r="H1527" s="2612">
        <v>17400</v>
      </c>
      <c r="I1527" s="2612"/>
      <c r="J1527" s="2511"/>
      <c r="K1527" s="2511"/>
      <c r="L1527" s="2613">
        <f>H1527*G1527</f>
        <v>0</v>
      </c>
      <c r="M1527" s="2613">
        <f>I1527*G1527</f>
        <v>0</v>
      </c>
      <c r="N1527" s="2613">
        <f>J1527*G1527</f>
        <v>0</v>
      </c>
      <c r="O1527" s="2613">
        <f>K1527*G1527</f>
        <v>0</v>
      </c>
      <c r="P1527" s="2518"/>
      <c r="Q1527" s="2519"/>
      <c r="R1527" s="2519"/>
      <c r="S1527" s="2519"/>
    </row>
    <row r="1528" spans="1:19" s="2358" customFormat="1" outlineLevel="1">
      <c r="A1528" s="2435" t="str">
        <f t="shared" si="283"/>
        <v/>
      </c>
      <c r="B1528" s="2610" t="s">
        <v>644</v>
      </c>
      <c r="C1528" s="2660"/>
      <c r="D1528" s="2405" t="s">
        <v>2133</v>
      </c>
      <c r="E1528" s="2661" t="s">
        <v>3186</v>
      </c>
      <c r="F1528" s="2405" t="s">
        <v>2839</v>
      </c>
      <c r="G1528" s="2405">
        <f>G1526</f>
        <v>0</v>
      </c>
      <c r="H1528" s="2661"/>
      <c r="I1528" s="2612"/>
      <c r="J1528" s="2612">
        <v>112286</v>
      </c>
      <c r="K1528" s="2612">
        <v>105970</v>
      </c>
      <c r="L1528" s="2613">
        <f>H1528*G1528</f>
        <v>0</v>
      </c>
      <c r="M1528" s="2613">
        <f>I1528*G1528</f>
        <v>0</v>
      </c>
      <c r="N1528" s="2613">
        <f>J1528*G1528</f>
        <v>0</v>
      </c>
      <c r="O1528" s="2613">
        <f>K1528*G1528</f>
        <v>0</v>
      </c>
      <c r="P1528" s="2518"/>
      <c r="Q1528" s="2519"/>
      <c r="R1528" s="2519"/>
      <c r="S1528" s="2519"/>
    </row>
    <row r="1529" spans="1:19" s="2358" customFormat="1" outlineLevel="1">
      <c r="A1529" s="2435" t="str">
        <f t="shared" si="283"/>
        <v/>
      </c>
      <c r="B1529" s="2610"/>
      <c r="C1529" s="2511">
        <f>IF(G1529&gt;0,C1521+1,C1521)</f>
        <v>0</v>
      </c>
      <c r="D1529" s="2405"/>
      <c r="E1529" s="2656" t="s">
        <v>2358</v>
      </c>
      <c r="F1529" s="2657" t="s">
        <v>2333</v>
      </c>
      <c r="G1529" s="2662">
        <f>G1521</f>
        <v>0</v>
      </c>
      <c r="H1529" s="2511"/>
      <c r="I1529" s="2511"/>
      <c r="J1529" s="2511"/>
      <c r="K1529" s="2511"/>
      <c r="L1529" s="2511"/>
      <c r="M1529" s="2511"/>
      <c r="N1529" s="2511"/>
      <c r="O1529" s="2663"/>
      <c r="P1529" s="2642"/>
      <c r="Q1529" s="2519"/>
      <c r="R1529" s="2519"/>
      <c r="S1529" s="2519"/>
    </row>
    <row r="1530" spans="1:19" s="2358" customFormat="1" outlineLevel="1">
      <c r="A1530" s="2435" t="str">
        <f t="shared" si="283"/>
        <v/>
      </c>
      <c r="B1530" s="2610" t="s">
        <v>636</v>
      </c>
      <c r="C1530" s="2660"/>
      <c r="D1530" s="2405" t="s">
        <v>5099</v>
      </c>
      <c r="E1530" s="2661" t="s">
        <v>2615</v>
      </c>
      <c r="F1530" s="2405" t="s">
        <v>2563</v>
      </c>
      <c r="G1530" s="2405">
        <f>G1529</f>
        <v>0</v>
      </c>
      <c r="H1530" s="2612">
        <v>354545</v>
      </c>
      <c r="I1530" s="2612"/>
      <c r="J1530" s="2612">
        <v>37220.25</v>
      </c>
      <c r="K1530" s="2511"/>
      <c r="L1530" s="2613">
        <f>H1530*G1530</f>
        <v>0</v>
      </c>
      <c r="M1530" s="2613">
        <f>I1530*G1530</f>
        <v>0</v>
      </c>
      <c r="N1530" s="2613">
        <f>J1530*G1530</f>
        <v>0</v>
      </c>
      <c r="O1530" s="2613">
        <f>K1530*G1530</f>
        <v>0</v>
      </c>
      <c r="P1530" s="2642"/>
      <c r="Q1530" s="2519"/>
      <c r="R1530" s="2519"/>
      <c r="S1530" s="2519"/>
    </row>
    <row r="1531" spans="1:19" s="2358" customFormat="1" outlineLevel="1">
      <c r="A1531" s="2435" t="str">
        <f t="shared" si="283"/>
        <v/>
      </c>
      <c r="B1531" s="2610" t="s">
        <v>566</v>
      </c>
      <c r="C1531" s="2660"/>
      <c r="D1531" s="2405"/>
      <c r="E1531" s="2661" t="s">
        <v>5124</v>
      </c>
      <c r="F1531" s="2405" t="s">
        <v>2445</v>
      </c>
      <c r="G1531" s="2405">
        <f>G1530</f>
        <v>0</v>
      </c>
      <c r="H1531" s="2612">
        <v>92200</v>
      </c>
      <c r="I1531" s="2661"/>
      <c r="J1531" s="2661"/>
      <c r="K1531" s="2511"/>
      <c r="L1531" s="2613">
        <f>H1531*G1531</f>
        <v>0</v>
      </c>
      <c r="M1531" s="2613">
        <f>I1531*G1531</f>
        <v>0</v>
      </c>
      <c r="N1531" s="2613">
        <f>J1531*G1531</f>
        <v>0</v>
      </c>
      <c r="O1531" s="2613">
        <f>K1531*G1531</f>
        <v>0</v>
      </c>
      <c r="P1531" s="2642"/>
      <c r="Q1531" s="2519"/>
      <c r="R1531" s="2519"/>
      <c r="S1531" s="2519"/>
    </row>
    <row r="1532" spans="1:19" s="2358" customFormat="1" outlineLevel="1">
      <c r="A1532" s="2435" t="str">
        <f t="shared" si="283"/>
        <v/>
      </c>
      <c r="B1532" s="2610" t="s">
        <v>639</v>
      </c>
      <c r="C1532" s="2660"/>
      <c r="D1532" s="2405" t="s">
        <v>1751</v>
      </c>
      <c r="E1532" s="2661" t="s">
        <v>5386</v>
      </c>
      <c r="F1532" s="2405" t="s">
        <v>856</v>
      </c>
      <c r="G1532" s="2523">
        <f>0.87*G1529</f>
        <v>0</v>
      </c>
      <c r="H1532" s="2612">
        <v>0</v>
      </c>
      <c r="I1532" s="2612"/>
      <c r="J1532" s="2612">
        <v>296500.89999999997</v>
      </c>
      <c r="K1532" s="2511"/>
      <c r="L1532" s="2613">
        <f>H1532*G1532</f>
        <v>0</v>
      </c>
      <c r="M1532" s="2613">
        <f>I1532*G1532</f>
        <v>0</v>
      </c>
      <c r="N1532" s="2613">
        <f>J1532*G1532</f>
        <v>0</v>
      </c>
      <c r="O1532" s="2613">
        <f>K1532*G1532</f>
        <v>0</v>
      </c>
      <c r="P1532" s="2642"/>
      <c r="Q1532" s="2519"/>
      <c r="R1532" s="2519"/>
      <c r="S1532" s="2519"/>
    </row>
    <row r="1533" spans="1:19" s="2358" customFormat="1" outlineLevel="1">
      <c r="A1533" s="2435" t="str">
        <f t="shared" si="283"/>
        <v/>
      </c>
      <c r="B1533" s="2610" t="s">
        <v>21</v>
      </c>
      <c r="C1533" s="2660"/>
      <c r="D1533" s="2405" t="s">
        <v>5387</v>
      </c>
      <c r="E1533" s="2661" t="s">
        <v>5388</v>
      </c>
      <c r="F1533" s="2405" t="s">
        <v>856</v>
      </c>
      <c r="G1533" s="2523">
        <f>0.79*G1529</f>
        <v>0</v>
      </c>
      <c r="H1533" s="2612">
        <v>0</v>
      </c>
      <c r="I1533" s="2612"/>
      <c r="J1533" s="2612">
        <v>117703.6</v>
      </c>
      <c r="K1533" s="2511"/>
      <c r="L1533" s="2613">
        <f>H1533*G1533</f>
        <v>0</v>
      </c>
      <c r="M1533" s="2613">
        <f>I1533*G1533</f>
        <v>0</v>
      </c>
      <c r="N1533" s="2613">
        <f>J1533*G1533</f>
        <v>0</v>
      </c>
      <c r="O1533" s="2613">
        <f>K1533*G1533</f>
        <v>0</v>
      </c>
      <c r="P1533" s="2642"/>
      <c r="Q1533" s="2519"/>
      <c r="R1533" s="2519"/>
      <c r="S1533" s="2519"/>
    </row>
    <row r="1534" spans="1:19" s="2358" customFormat="1" outlineLevel="1">
      <c r="A1534" s="2435" t="str">
        <f t="shared" si="283"/>
        <v/>
      </c>
      <c r="B1534" s="2610"/>
      <c r="C1534" s="2511">
        <f>IF(G1534&gt;0,C1526+1,C1526)</f>
        <v>0</v>
      </c>
      <c r="D1534" s="2405"/>
      <c r="E1534" s="2656" t="s">
        <v>3731</v>
      </c>
      <c r="F1534" s="2657" t="s">
        <v>2333</v>
      </c>
      <c r="G1534" s="2662">
        <f>G1525</f>
        <v>0</v>
      </c>
      <c r="H1534" s="2511"/>
      <c r="I1534" s="2511"/>
      <c r="J1534" s="2511"/>
      <c r="K1534" s="2511"/>
      <c r="L1534" s="2511"/>
      <c r="M1534" s="2511"/>
      <c r="N1534" s="2511"/>
      <c r="O1534" s="2663"/>
      <c r="P1534" s="2518"/>
      <c r="Q1534" s="2519"/>
      <c r="R1534" s="2519"/>
      <c r="S1534" s="2519"/>
    </row>
    <row r="1535" spans="1:19" s="2358" customFormat="1" outlineLevel="1">
      <c r="A1535" s="2435" t="str">
        <f t="shared" si="283"/>
        <v/>
      </c>
      <c r="B1535" s="2610" t="s">
        <v>636</v>
      </c>
      <c r="C1535" s="2660"/>
      <c r="D1535" s="2405" t="s">
        <v>5099</v>
      </c>
      <c r="E1535" s="2661" t="s">
        <v>2615</v>
      </c>
      <c r="F1535" s="2405" t="s">
        <v>2563</v>
      </c>
      <c r="G1535" s="2405">
        <f>G1534</f>
        <v>0</v>
      </c>
      <c r="H1535" s="2612">
        <v>354545</v>
      </c>
      <c r="I1535" s="2612"/>
      <c r="J1535" s="2612">
        <v>37220.25</v>
      </c>
      <c r="K1535" s="2511"/>
      <c r="L1535" s="2613">
        <f>H1535*G1535</f>
        <v>0</v>
      </c>
      <c r="M1535" s="2613">
        <f>I1535*G1535</f>
        <v>0</v>
      </c>
      <c r="N1535" s="2613">
        <f>J1535*G1535</f>
        <v>0</v>
      </c>
      <c r="O1535" s="2613">
        <f>K1535*G1535</f>
        <v>0</v>
      </c>
      <c r="P1535" s="2518"/>
      <c r="Q1535" s="2519"/>
      <c r="R1535" s="2519"/>
      <c r="S1535" s="2519"/>
    </row>
    <row r="1536" spans="1:19" s="2358" customFormat="1" outlineLevel="1">
      <c r="A1536" s="2435" t="str">
        <f t="shared" si="283"/>
        <v/>
      </c>
      <c r="B1536" s="2610" t="s">
        <v>566</v>
      </c>
      <c r="C1536" s="2660"/>
      <c r="D1536" s="2405"/>
      <c r="E1536" s="2661" t="s">
        <v>5124</v>
      </c>
      <c r="F1536" s="2405" t="s">
        <v>2445</v>
      </c>
      <c r="G1536" s="2405">
        <f>G1535</f>
        <v>0</v>
      </c>
      <c r="H1536" s="2612">
        <v>92200</v>
      </c>
      <c r="I1536" s="2661"/>
      <c r="J1536" s="2661"/>
      <c r="K1536" s="2511"/>
      <c r="L1536" s="2613">
        <f>H1536*G1536</f>
        <v>0</v>
      </c>
      <c r="M1536" s="2613">
        <f>I1536*G1536</f>
        <v>0</v>
      </c>
      <c r="N1536" s="2613">
        <f>J1536*G1536</f>
        <v>0</v>
      </c>
      <c r="O1536" s="2613">
        <f>K1536*G1536</f>
        <v>0</v>
      </c>
      <c r="P1536" s="2518"/>
      <c r="Q1536" s="2519"/>
      <c r="R1536" s="2519"/>
      <c r="S1536" s="2519"/>
    </row>
    <row r="1537" spans="1:19" s="2358" customFormat="1" outlineLevel="1">
      <c r="A1537" s="2435" t="str">
        <f t="shared" si="283"/>
        <v/>
      </c>
      <c r="B1537" s="2610" t="s">
        <v>639</v>
      </c>
      <c r="C1537" s="2660"/>
      <c r="D1537" s="2405" t="s">
        <v>1751</v>
      </c>
      <c r="E1537" s="2661" t="s">
        <v>5386</v>
      </c>
      <c r="F1537" s="2405" t="s">
        <v>856</v>
      </c>
      <c r="G1537" s="2523">
        <f>1.48*G1535</f>
        <v>0</v>
      </c>
      <c r="H1537" s="2612">
        <v>0</v>
      </c>
      <c r="I1537" s="2612"/>
      <c r="J1537" s="2612">
        <v>296500.89999999997</v>
      </c>
      <c r="K1537" s="2511"/>
      <c r="L1537" s="2613">
        <f>H1537*G1537</f>
        <v>0</v>
      </c>
      <c r="M1537" s="2613">
        <f>I1537*G1537</f>
        <v>0</v>
      </c>
      <c r="N1537" s="2613">
        <f>J1537*G1537</f>
        <v>0</v>
      </c>
      <c r="O1537" s="2613">
        <f>K1537*G1537</f>
        <v>0</v>
      </c>
      <c r="P1537" s="2518"/>
      <c r="Q1537" s="2519"/>
      <c r="R1537" s="2519"/>
      <c r="S1537" s="2519"/>
    </row>
    <row r="1538" spans="1:19" s="2358" customFormat="1" outlineLevel="1">
      <c r="A1538" s="2435" t="str">
        <f t="shared" si="283"/>
        <v/>
      </c>
      <c r="B1538" s="2610" t="s">
        <v>21</v>
      </c>
      <c r="C1538" s="2660"/>
      <c r="D1538" s="2405" t="s">
        <v>5387</v>
      </c>
      <c r="E1538" s="2661" t="s">
        <v>5388</v>
      </c>
      <c r="F1538" s="2405" t="s">
        <v>856</v>
      </c>
      <c r="G1538" s="2523">
        <f>1.39*G1534</f>
        <v>0</v>
      </c>
      <c r="H1538" s="2612">
        <v>0</v>
      </c>
      <c r="I1538" s="2612"/>
      <c r="J1538" s="2612">
        <v>117703.6</v>
      </c>
      <c r="K1538" s="2511"/>
      <c r="L1538" s="2613">
        <f>H1538*G1538</f>
        <v>0</v>
      </c>
      <c r="M1538" s="2613">
        <f>I1538*G1538</f>
        <v>0</v>
      </c>
      <c r="N1538" s="2613">
        <f>J1538*G1538</f>
        <v>0</v>
      </c>
      <c r="O1538" s="2613">
        <f>K1538*G1538</f>
        <v>0</v>
      </c>
      <c r="P1538" s="2518"/>
      <c r="Q1538" s="2519"/>
      <c r="R1538" s="2519"/>
      <c r="S1538" s="2519"/>
    </row>
    <row r="1539" spans="1:19" s="2358" customFormat="1" outlineLevel="1">
      <c r="A1539" s="2435" t="str">
        <f t="shared" si="283"/>
        <v/>
      </c>
      <c r="B1539" s="2514"/>
      <c r="C1539" s="2511">
        <f>IF(G1539&gt;0,C1529+1,C1529)</f>
        <v>0</v>
      </c>
      <c r="D1539" s="2664"/>
      <c r="E1539" s="2656" t="s">
        <v>3732</v>
      </c>
      <c r="F1539" s="2655" t="s">
        <v>2391</v>
      </c>
      <c r="G1539" s="2665">
        <f>G1511*1</f>
        <v>0</v>
      </c>
      <c r="H1539" s="2666"/>
      <c r="I1539" s="2666"/>
      <c r="J1539" s="2666"/>
      <c r="K1539" s="2666"/>
      <c r="L1539" s="2666"/>
      <c r="M1539" s="2666"/>
      <c r="N1539" s="2666"/>
      <c r="O1539" s="2666"/>
      <c r="P1539" s="2518"/>
      <c r="Q1539" s="2519"/>
      <c r="R1539" s="2519"/>
      <c r="S1539" s="2519"/>
    </row>
    <row r="1540" spans="1:19" s="2358" customFormat="1" ht="14.4" outlineLevel="1">
      <c r="A1540" s="2435" t="str">
        <f>A1539</f>
        <v/>
      </c>
      <c r="B1540" s="2514"/>
      <c r="C1540" s="2511"/>
      <c r="D1540" s="2667"/>
      <c r="E1540" s="2520" t="s">
        <v>6207</v>
      </c>
      <c r="F1540" s="2521"/>
      <c r="G1540" s="2522"/>
      <c r="H1540" s="2668"/>
      <c r="I1540" s="2668"/>
      <c r="J1540" s="2668"/>
      <c r="K1540" s="2668"/>
      <c r="L1540" s="2668"/>
      <c r="M1540" s="2668"/>
      <c r="N1540" s="2668"/>
      <c r="O1540" s="2668"/>
      <c r="P1540" s="2518"/>
      <c r="Q1540" s="2519"/>
      <c r="R1540" s="2519"/>
      <c r="S1540" s="2519"/>
    </row>
    <row r="1541" spans="1:19" s="2358" customFormat="1" outlineLevel="1">
      <c r="A1541" s="2435" t="str">
        <f t="shared" ref="A1541:A1546" si="284">IF(G1541&lt;&gt;0,1,"")</f>
        <v/>
      </c>
      <c r="B1541" s="2505" t="s">
        <v>1136</v>
      </c>
      <c r="C1541" s="2511"/>
      <c r="D1541" s="2405">
        <v>0</v>
      </c>
      <c r="E1541" s="2447" t="s">
        <v>6412</v>
      </c>
      <c r="F1541" s="2405" t="s">
        <v>2254</v>
      </c>
      <c r="G1541" s="2523">
        <f>15.3*2.8*2*G1539</f>
        <v>0</v>
      </c>
      <c r="H1541" s="2612">
        <v>31625</v>
      </c>
      <c r="I1541" s="2669"/>
      <c r="J1541" s="2612"/>
      <c r="K1541" s="2612">
        <v>0</v>
      </c>
      <c r="L1541" s="2613">
        <f t="shared" ref="L1541:L1546" si="285">H1541*G1541</f>
        <v>0</v>
      </c>
      <c r="M1541" s="2613">
        <f t="shared" ref="M1541:M1548" si="286">I1541*G1541</f>
        <v>0</v>
      </c>
      <c r="N1541" s="2612"/>
      <c r="O1541" s="2613">
        <f t="shared" ref="O1541:O1548" si="287">K1541*G1541</f>
        <v>0</v>
      </c>
      <c r="P1541" s="2518"/>
      <c r="Q1541" s="2519"/>
      <c r="R1541" s="2519"/>
      <c r="S1541" s="2519"/>
    </row>
    <row r="1542" spans="1:19" s="2358" customFormat="1" outlineLevel="1">
      <c r="A1542" s="2435" t="str">
        <f t="shared" si="284"/>
        <v/>
      </c>
      <c r="B1542" s="2505" t="s">
        <v>1137</v>
      </c>
      <c r="C1542" s="2511"/>
      <c r="D1542" s="2405">
        <v>0</v>
      </c>
      <c r="E1542" s="2447" t="s">
        <v>6413</v>
      </c>
      <c r="F1542" s="2405" t="s">
        <v>2254</v>
      </c>
      <c r="G1542" s="2523">
        <f>8.59*0.4*4*G1539</f>
        <v>0</v>
      </c>
      <c r="H1542" s="2612">
        <v>31625</v>
      </c>
      <c r="I1542" s="2669"/>
      <c r="J1542" s="2612"/>
      <c r="K1542" s="2612">
        <v>0</v>
      </c>
      <c r="L1542" s="2613">
        <f t="shared" si="285"/>
        <v>0</v>
      </c>
      <c r="M1542" s="2613">
        <f t="shared" si="286"/>
        <v>0</v>
      </c>
      <c r="N1542" s="2612"/>
      <c r="O1542" s="2613">
        <f t="shared" si="287"/>
        <v>0</v>
      </c>
      <c r="P1542" s="2518"/>
      <c r="Q1542" s="2519"/>
      <c r="R1542" s="2519"/>
      <c r="S1542" s="2519"/>
    </row>
    <row r="1543" spans="1:19" s="2358" customFormat="1" outlineLevel="1">
      <c r="A1543" s="2435" t="str">
        <f t="shared" si="284"/>
        <v/>
      </c>
      <c r="B1543" s="2505" t="s">
        <v>1138</v>
      </c>
      <c r="C1543" s="2511"/>
      <c r="D1543" s="2405">
        <v>0</v>
      </c>
      <c r="E1543" s="2447" t="s">
        <v>6414</v>
      </c>
      <c r="F1543" s="2405" t="s">
        <v>2254</v>
      </c>
      <c r="G1543" s="2523">
        <f>8.59*0.8*2*G1539</f>
        <v>0</v>
      </c>
      <c r="H1543" s="2612">
        <v>31625</v>
      </c>
      <c r="I1543" s="2669"/>
      <c r="J1543" s="2612"/>
      <c r="K1543" s="2612">
        <v>0</v>
      </c>
      <c r="L1543" s="2613">
        <f t="shared" si="285"/>
        <v>0</v>
      </c>
      <c r="M1543" s="2613">
        <f t="shared" si="286"/>
        <v>0</v>
      </c>
      <c r="N1543" s="2612"/>
      <c r="O1543" s="2613">
        <f t="shared" si="287"/>
        <v>0</v>
      </c>
      <c r="P1543" s="2518"/>
      <c r="Q1543" s="2519"/>
      <c r="R1543" s="2519"/>
      <c r="S1543" s="2519"/>
    </row>
    <row r="1544" spans="1:19" s="2358" customFormat="1" outlineLevel="1">
      <c r="A1544" s="2435" t="str">
        <f t="shared" si="284"/>
        <v/>
      </c>
      <c r="B1544" s="2514" t="s">
        <v>1785</v>
      </c>
      <c r="C1544" s="2511"/>
      <c r="D1544" s="2405">
        <v>0</v>
      </c>
      <c r="E1544" s="2447" t="s">
        <v>2670</v>
      </c>
      <c r="F1544" s="2405" t="s">
        <v>2445</v>
      </c>
      <c r="G1544" s="2522">
        <f>G1539*10</f>
        <v>0</v>
      </c>
      <c r="H1544" s="2612">
        <v>34800</v>
      </c>
      <c r="I1544" s="2669"/>
      <c r="J1544" s="2612">
        <v>0</v>
      </c>
      <c r="K1544" s="2612">
        <v>0</v>
      </c>
      <c r="L1544" s="2613">
        <f t="shared" si="285"/>
        <v>0</v>
      </c>
      <c r="M1544" s="2613">
        <f t="shared" si="286"/>
        <v>0</v>
      </c>
      <c r="N1544" s="2613">
        <f>J1544*G1544</f>
        <v>0</v>
      </c>
      <c r="O1544" s="2613">
        <f t="shared" si="287"/>
        <v>0</v>
      </c>
      <c r="P1544" s="2518"/>
      <c r="Q1544" s="2519"/>
      <c r="R1544" s="2519"/>
      <c r="S1544" s="2519"/>
    </row>
    <row r="1545" spans="1:19" s="2358" customFormat="1" outlineLevel="1">
      <c r="A1545" s="2435" t="str">
        <f t="shared" si="284"/>
        <v/>
      </c>
      <c r="B1545" s="2514" t="s">
        <v>1083</v>
      </c>
      <c r="C1545" s="2511"/>
      <c r="D1545" s="2405">
        <v>0</v>
      </c>
      <c r="E1545" s="2447" t="s">
        <v>2660</v>
      </c>
      <c r="F1545" s="2405" t="s">
        <v>2445</v>
      </c>
      <c r="G1545" s="2522">
        <f>G1539*2</f>
        <v>0</v>
      </c>
      <c r="H1545" s="2612">
        <v>29900</v>
      </c>
      <c r="I1545" s="2669"/>
      <c r="J1545" s="2612">
        <v>0</v>
      </c>
      <c r="K1545" s="2612">
        <v>0</v>
      </c>
      <c r="L1545" s="2613">
        <f t="shared" si="285"/>
        <v>0</v>
      </c>
      <c r="M1545" s="2613">
        <f t="shared" si="286"/>
        <v>0</v>
      </c>
      <c r="N1545" s="2613">
        <f>J1545*G1545</f>
        <v>0</v>
      </c>
      <c r="O1545" s="2613">
        <f t="shared" si="287"/>
        <v>0</v>
      </c>
      <c r="P1545" s="2518"/>
      <c r="Q1545" s="2519"/>
      <c r="R1545" s="2519"/>
      <c r="S1545" s="2519"/>
    </row>
    <row r="1546" spans="1:19" s="2358" customFormat="1" outlineLevel="1">
      <c r="A1546" s="2435" t="str">
        <f t="shared" si="284"/>
        <v/>
      </c>
      <c r="B1546" s="2514" t="s">
        <v>1079</v>
      </c>
      <c r="C1546" s="2511"/>
      <c r="D1546" s="2405">
        <v>0</v>
      </c>
      <c r="E1546" s="2447" t="s">
        <v>2659</v>
      </c>
      <c r="F1546" s="2405" t="s">
        <v>2445</v>
      </c>
      <c r="G1546" s="2522">
        <f>G1539*12</f>
        <v>0</v>
      </c>
      <c r="H1546" s="2612">
        <v>27900</v>
      </c>
      <c r="I1546" s="2669"/>
      <c r="J1546" s="2612">
        <v>0</v>
      </c>
      <c r="K1546" s="2612">
        <v>0</v>
      </c>
      <c r="L1546" s="2613">
        <f t="shared" si="285"/>
        <v>0</v>
      </c>
      <c r="M1546" s="2613">
        <f t="shared" si="286"/>
        <v>0</v>
      </c>
      <c r="N1546" s="2613">
        <f>J1546*G1546</f>
        <v>0</v>
      </c>
      <c r="O1546" s="2613">
        <f t="shared" si="287"/>
        <v>0</v>
      </c>
      <c r="P1546" s="2518"/>
      <c r="Q1546" s="2519"/>
      <c r="R1546" s="2519"/>
      <c r="S1546" s="2519"/>
    </row>
    <row r="1547" spans="1:19" s="2358" customFormat="1" outlineLevel="1">
      <c r="A1547" s="2435" t="str">
        <f>IF(G1547&lt;&gt;0,1,"")</f>
        <v/>
      </c>
      <c r="B1547" s="2505" t="s">
        <v>2248</v>
      </c>
      <c r="C1547" s="2511"/>
      <c r="D1547" s="2405" t="s">
        <v>5506</v>
      </c>
      <c r="E1547" s="2447" t="s">
        <v>6415</v>
      </c>
      <c r="F1547" s="2405" t="s">
        <v>2445</v>
      </c>
      <c r="G1547" s="2522">
        <f>+G1539*1</f>
        <v>0</v>
      </c>
      <c r="H1547" s="2612">
        <v>0</v>
      </c>
      <c r="I1547" s="2669"/>
      <c r="J1547" s="2612" t="s">
        <v>6416</v>
      </c>
      <c r="K1547" s="2612">
        <v>0</v>
      </c>
      <c r="L1547" s="2613">
        <f>H1547*G1547</f>
        <v>0</v>
      </c>
      <c r="M1547" s="2613">
        <f t="shared" si="286"/>
        <v>0</v>
      </c>
      <c r="N1547" s="2612">
        <v>0</v>
      </c>
      <c r="O1547" s="2613">
        <f t="shared" si="287"/>
        <v>0</v>
      </c>
      <c r="P1547" s="2518"/>
      <c r="Q1547" s="2519"/>
      <c r="R1547" s="2519"/>
      <c r="S1547" s="2519"/>
    </row>
    <row r="1548" spans="1:19" s="2358" customFormat="1" outlineLevel="1">
      <c r="A1548" s="2435" t="str">
        <f>IF(G1548&lt;&gt;0,1,"")</f>
        <v/>
      </c>
      <c r="B1548" s="2505" t="s">
        <v>6292</v>
      </c>
      <c r="C1548" s="2511"/>
      <c r="D1548" s="2405" t="s">
        <v>5440</v>
      </c>
      <c r="E1548" s="2447" t="s">
        <v>6417</v>
      </c>
      <c r="F1548" s="2405" t="s">
        <v>2445</v>
      </c>
      <c r="G1548" s="2522">
        <f>+G1539*(IF(G1542&gt;0,2,0)+IF(G1543&gt;0,1,0))</f>
        <v>0</v>
      </c>
      <c r="H1548" s="2612">
        <v>0</v>
      </c>
      <c r="I1548" s="2669"/>
      <c r="J1548" s="2612" t="s">
        <v>6418</v>
      </c>
      <c r="K1548" s="2612">
        <v>0</v>
      </c>
      <c r="L1548" s="2613">
        <f>H1548*G1548</f>
        <v>0</v>
      </c>
      <c r="M1548" s="2613">
        <f t="shared" si="286"/>
        <v>0</v>
      </c>
      <c r="N1548" s="2612">
        <v>0</v>
      </c>
      <c r="O1548" s="2613">
        <f t="shared" si="287"/>
        <v>0</v>
      </c>
      <c r="P1548" s="2518"/>
      <c r="Q1548" s="2519"/>
      <c r="R1548" s="2519"/>
      <c r="S1548" s="2519"/>
    </row>
    <row r="1549" spans="1:19" s="2358" customFormat="1" outlineLevel="1">
      <c r="A1549" s="2435" t="str">
        <f>IF(G1549&lt;&gt;0,1,"")</f>
        <v/>
      </c>
      <c r="B1549" s="2514"/>
      <c r="C1549" s="2511">
        <f>IF(G1549&gt;0,C1535+1,C1535)</f>
        <v>0</v>
      </c>
      <c r="D1549" s="2512"/>
      <c r="E1549" s="2670" t="s">
        <v>6293</v>
      </c>
      <c r="F1549" s="2511" t="s">
        <v>2391</v>
      </c>
      <c r="G1549" s="2516">
        <f>+G1511*1</f>
        <v>0</v>
      </c>
      <c r="H1549" s="2669"/>
      <c r="I1549" s="2669"/>
      <c r="J1549" s="2669"/>
      <c r="K1549" s="2669"/>
      <c r="L1549" s="2613">
        <f t="shared" ref="L1549:L1574" si="288">H1549*G1549</f>
        <v>0</v>
      </c>
      <c r="M1549" s="2613">
        <f>I1549*G1549</f>
        <v>0</v>
      </c>
      <c r="N1549" s="2613">
        <f>J1549*G1549</f>
        <v>0</v>
      </c>
      <c r="O1549" s="2613">
        <f>K1549*G1549</f>
        <v>0</v>
      </c>
      <c r="P1549" s="2518"/>
      <c r="Q1549" s="2519"/>
      <c r="R1549" s="2519"/>
      <c r="S1549" s="2519"/>
    </row>
    <row r="1550" spans="1:19" s="2358" customFormat="1" ht="14.4" outlineLevel="1">
      <c r="A1550" s="2435" t="str">
        <f>A1549</f>
        <v/>
      </c>
      <c r="B1550" s="2514"/>
      <c r="C1550" s="2511"/>
      <c r="D1550" s="2512"/>
      <c r="E1550" s="2520" t="s">
        <v>6207</v>
      </c>
      <c r="F1550" s="2521"/>
      <c r="G1550" s="2522"/>
      <c r="H1550" s="2669"/>
      <c r="I1550" s="2669"/>
      <c r="J1550" s="2669"/>
      <c r="K1550" s="2669"/>
      <c r="L1550" s="2613">
        <f t="shared" si="288"/>
        <v>0</v>
      </c>
      <c r="M1550" s="2613">
        <f>I1550*G1550</f>
        <v>0</v>
      </c>
      <c r="N1550" s="2613">
        <f>J1550*G1550</f>
        <v>0</v>
      </c>
      <c r="O1550" s="2613">
        <f>K1550*G1550</f>
        <v>0</v>
      </c>
      <c r="P1550" s="2518"/>
      <c r="Q1550" s="2519"/>
      <c r="R1550" s="2519"/>
      <c r="S1550" s="2519"/>
    </row>
    <row r="1551" spans="1:19" s="2358" customFormat="1" outlineLevel="1">
      <c r="A1551" s="2435" t="str">
        <f>IF(G1551&lt;&gt;0,1,"")</f>
        <v/>
      </c>
      <c r="B1551" s="2386" t="s">
        <v>5216</v>
      </c>
      <c r="C1551" s="2511"/>
      <c r="D1551" s="2405">
        <v>0</v>
      </c>
      <c r="E1551" s="2447" t="s">
        <v>5217</v>
      </c>
      <c r="F1551" s="2405" t="s">
        <v>2598</v>
      </c>
      <c r="G1551" s="2523">
        <f>+G1549*1</f>
        <v>0</v>
      </c>
      <c r="H1551" s="2612">
        <v>878000</v>
      </c>
      <c r="I1551" s="2612"/>
      <c r="J1551" s="2612">
        <v>0</v>
      </c>
      <c r="K1551" s="2612">
        <v>0</v>
      </c>
      <c r="L1551" s="2613">
        <f t="shared" si="288"/>
        <v>0</v>
      </c>
      <c r="M1551" s="2613">
        <f>I1551*G1551</f>
        <v>0</v>
      </c>
      <c r="N1551" s="2613">
        <f>J1551*G1551</f>
        <v>0</v>
      </c>
      <c r="O1551" s="2613">
        <f>K1551*G1551</f>
        <v>0</v>
      </c>
      <c r="P1551" s="2518"/>
      <c r="Q1551" s="2519"/>
      <c r="R1551" s="2519"/>
      <c r="S1551" s="2519"/>
    </row>
    <row r="1552" spans="1:19" s="2358" customFormat="1" outlineLevel="1">
      <c r="A1552" s="2435" t="str">
        <f>IF(G1552&lt;&gt;0,1,"")</f>
        <v/>
      </c>
      <c r="B1552" s="2383" t="s">
        <v>488</v>
      </c>
      <c r="C1552" s="2511"/>
      <c r="D1552" s="2405">
        <v>0</v>
      </c>
      <c r="E1552" s="2447" t="s">
        <v>5130</v>
      </c>
      <c r="F1552" s="2405" t="s">
        <v>2445</v>
      </c>
      <c r="G1552" s="2522">
        <f>+G1549*3</f>
        <v>0</v>
      </c>
      <c r="H1552" s="2612">
        <v>65000</v>
      </c>
      <c r="I1552" s="2612">
        <v>0</v>
      </c>
      <c r="J1552" s="2612">
        <v>0</v>
      </c>
      <c r="K1552" s="2612">
        <v>0</v>
      </c>
      <c r="L1552" s="2613">
        <f t="shared" si="288"/>
        <v>0</v>
      </c>
      <c r="M1552" s="2613">
        <f>I1552*G1552</f>
        <v>0</v>
      </c>
      <c r="N1552" s="2613">
        <f>J1552*G1552</f>
        <v>0</v>
      </c>
      <c r="O1552" s="2613">
        <f>K1552*G1552</f>
        <v>0</v>
      </c>
      <c r="P1552" s="2518"/>
      <c r="Q1552" s="2519"/>
      <c r="R1552" s="2519"/>
      <c r="S1552" s="2519"/>
    </row>
    <row r="1553" spans="1:19" s="2358" customFormat="1" outlineLevel="1">
      <c r="A1553" s="2435" t="str">
        <f>IF(G1553&lt;&gt;0,1,"")</f>
        <v/>
      </c>
      <c r="B1553" s="2514" t="s">
        <v>1079</v>
      </c>
      <c r="C1553" s="2511"/>
      <c r="D1553" s="2405">
        <v>0</v>
      </c>
      <c r="E1553" s="2447" t="s">
        <v>2659</v>
      </c>
      <c r="F1553" s="2405" t="s">
        <v>2445</v>
      </c>
      <c r="G1553" s="2522">
        <f>+G1549*2</f>
        <v>0</v>
      </c>
      <c r="H1553" s="2612">
        <v>27900</v>
      </c>
      <c r="I1553" s="2669"/>
      <c r="J1553" s="2612">
        <v>0</v>
      </c>
      <c r="K1553" s="2612">
        <v>0</v>
      </c>
      <c r="L1553" s="2613">
        <f t="shared" si="288"/>
        <v>0</v>
      </c>
      <c r="M1553" s="2613">
        <f>I1553*G1553</f>
        <v>0</v>
      </c>
      <c r="N1553" s="2613">
        <f>J1553*G1553</f>
        <v>0</v>
      </c>
      <c r="O1553" s="2613">
        <f>K1553*G1553</f>
        <v>0</v>
      </c>
      <c r="P1553" s="2518"/>
      <c r="Q1553" s="2519"/>
      <c r="R1553" s="2519"/>
      <c r="S1553" s="2519"/>
    </row>
    <row r="1554" spans="1:19" s="2358" customFormat="1" outlineLevel="1">
      <c r="A1554" s="2435" t="str">
        <f>IF(G1554&lt;&gt;0,1,"")</f>
        <v/>
      </c>
      <c r="B1554" s="2505" t="s">
        <v>2248</v>
      </c>
      <c r="C1554" s="2511"/>
      <c r="D1554" s="2405" t="s">
        <v>5506</v>
      </c>
      <c r="E1554" s="2447" t="s">
        <v>2446</v>
      </c>
      <c r="F1554" s="2405" t="s">
        <v>2445</v>
      </c>
      <c r="G1554" s="2522">
        <f>+G1549</f>
        <v>0</v>
      </c>
      <c r="H1554" s="2517">
        <v>0</v>
      </c>
      <c r="I1554" s="2612"/>
      <c r="J1554" s="2612" t="s">
        <v>6419</v>
      </c>
      <c r="K1554" s="2612"/>
      <c r="L1554" s="2613">
        <f t="shared" si="288"/>
        <v>0</v>
      </c>
      <c r="M1554" s="2613"/>
      <c r="N1554" s="2612">
        <v>0</v>
      </c>
      <c r="O1554" s="2613"/>
      <c r="P1554" s="2518"/>
      <c r="Q1554" s="2519"/>
      <c r="R1554" s="2519"/>
      <c r="S1554" s="2519"/>
    </row>
    <row r="1555" spans="1:19" s="2358" customFormat="1" outlineLevel="1">
      <c r="A1555" s="2435" t="str">
        <f>IF(G1555&lt;&gt;0,1,"")</f>
        <v/>
      </c>
      <c r="B1555" s="2514"/>
      <c r="C1555" s="2511">
        <f>IF(G1555&gt;0,C1539+1,C1539)</f>
        <v>0</v>
      </c>
      <c r="D1555" s="2512"/>
      <c r="E1555" s="2670" t="s">
        <v>6294</v>
      </c>
      <c r="F1555" s="2511" t="s">
        <v>2391</v>
      </c>
      <c r="G1555" s="2516">
        <f>+G1539*2</f>
        <v>0</v>
      </c>
      <c r="H1555" s="2669"/>
      <c r="I1555" s="2669"/>
      <c r="J1555" s="2669"/>
      <c r="K1555" s="2669"/>
      <c r="L1555" s="2613">
        <f t="shared" si="288"/>
        <v>0</v>
      </c>
      <c r="M1555" s="2613">
        <f>I1555*G1555</f>
        <v>0</v>
      </c>
      <c r="N1555" s="2613">
        <f>J1555*G1555</f>
        <v>0</v>
      </c>
      <c r="O1555" s="2613">
        <f>K1555*G1555</f>
        <v>0</v>
      </c>
      <c r="P1555" s="2518"/>
      <c r="Q1555" s="2519"/>
      <c r="R1555" s="2519"/>
      <c r="S1555" s="2519"/>
    </row>
    <row r="1556" spans="1:19" s="2358" customFormat="1" ht="14.4" outlineLevel="1">
      <c r="A1556" s="2435" t="str">
        <f>A1555</f>
        <v/>
      </c>
      <c r="B1556" s="2514"/>
      <c r="C1556" s="2511"/>
      <c r="D1556" s="2512"/>
      <c r="E1556" s="2520" t="s">
        <v>6207</v>
      </c>
      <c r="F1556" s="2521"/>
      <c r="G1556" s="2522"/>
      <c r="H1556" s="2669"/>
      <c r="I1556" s="2669"/>
      <c r="J1556" s="2669"/>
      <c r="K1556" s="2669"/>
      <c r="L1556" s="2613">
        <f t="shared" si="288"/>
        <v>0</v>
      </c>
      <c r="M1556" s="2613">
        <f>I1556*G1556</f>
        <v>0</v>
      </c>
      <c r="N1556" s="2613">
        <f>J1556*G1556</f>
        <v>0</v>
      </c>
      <c r="O1556" s="2613">
        <f>K1556*G1556</f>
        <v>0</v>
      </c>
      <c r="P1556" s="2518"/>
      <c r="Q1556" s="2519"/>
      <c r="R1556" s="2519"/>
      <c r="S1556" s="2519"/>
    </row>
    <row r="1557" spans="1:19" s="2358" customFormat="1" outlineLevel="1">
      <c r="A1557" s="2435" t="str">
        <f>IF(G1557&lt;&gt;0,1,"")</f>
        <v/>
      </c>
      <c r="B1557" s="2505" t="s">
        <v>2026</v>
      </c>
      <c r="C1557" s="2511"/>
      <c r="D1557" s="2405">
        <v>0</v>
      </c>
      <c r="E1557" s="2447" t="s">
        <v>2443</v>
      </c>
      <c r="F1557" s="2405" t="s">
        <v>2254</v>
      </c>
      <c r="G1557" s="2523">
        <f>G1555*9.02*(2.6+3*0.07)</f>
        <v>0</v>
      </c>
      <c r="H1557" s="2517">
        <v>32074</v>
      </c>
      <c r="I1557" s="2612"/>
      <c r="J1557" s="2612">
        <v>0</v>
      </c>
      <c r="K1557" s="2612">
        <v>0</v>
      </c>
      <c r="L1557" s="2613">
        <f t="shared" si="288"/>
        <v>0</v>
      </c>
      <c r="M1557" s="2613">
        <f>I1557*G1557</f>
        <v>0</v>
      </c>
      <c r="N1557" s="2613">
        <f>J1557*G1557</f>
        <v>0</v>
      </c>
      <c r="O1557" s="2613">
        <f>K1557*G1557</f>
        <v>0</v>
      </c>
      <c r="P1557" s="2518"/>
      <c r="Q1557" s="2519"/>
      <c r="R1557" s="2519"/>
      <c r="S1557" s="2519"/>
    </row>
    <row r="1558" spans="1:19" s="2358" customFormat="1" outlineLevel="1">
      <c r="A1558" s="2435" t="str">
        <f>IF(G1558&lt;&gt;0,1,"")</f>
        <v/>
      </c>
      <c r="B1558" s="2514" t="s">
        <v>1613</v>
      </c>
      <c r="C1558" s="2511"/>
      <c r="D1558" s="2405">
        <v>0</v>
      </c>
      <c r="E1558" s="2447" t="s">
        <v>2657</v>
      </c>
      <c r="F1558" s="2405" t="s">
        <v>2445</v>
      </c>
      <c r="G1558" s="2522">
        <f>G1555*2</f>
        <v>0</v>
      </c>
      <c r="H1558" s="2517">
        <v>25400</v>
      </c>
      <c r="I1558" s="2612">
        <v>0</v>
      </c>
      <c r="J1558" s="2612">
        <v>0</v>
      </c>
      <c r="K1558" s="2612">
        <v>0</v>
      </c>
      <c r="L1558" s="2613">
        <f t="shared" si="288"/>
        <v>0</v>
      </c>
      <c r="M1558" s="2613">
        <f>I1558*G1558</f>
        <v>0</v>
      </c>
      <c r="N1558" s="2613">
        <f>J1558*G1558</f>
        <v>0</v>
      </c>
      <c r="O1558" s="2613">
        <f>K1558*G1558</f>
        <v>0</v>
      </c>
      <c r="P1558" s="2518"/>
      <c r="Q1558" s="2519"/>
      <c r="R1558" s="2519"/>
      <c r="S1558" s="2519"/>
    </row>
    <row r="1559" spans="1:19" s="2358" customFormat="1" outlineLevel="1">
      <c r="A1559" s="2435" t="str">
        <f>IF(G1559&lt;&gt;0,1,"")</f>
        <v/>
      </c>
      <c r="B1559" s="2514" t="s">
        <v>2248</v>
      </c>
      <c r="C1559" s="2511"/>
      <c r="D1559" s="2405" t="s">
        <v>5506</v>
      </c>
      <c r="E1559" s="2447" t="s">
        <v>2446</v>
      </c>
      <c r="F1559" s="2405" t="s">
        <v>2445</v>
      </c>
      <c r="G1559" s="2522">
        <f>G1511</f>
        <v>0</v>
      </c>
      <c r="H1559" s="2517">
        <v>0</v>
      </c>
      <c r="I1559" s="2612"/>
      <c r="J1559" s="2612" t="s">
        <v>6419</v>
      </c>
      <c r="K1559" s="2612"/>
      <c r="L1559" s="2613">
        <f t="shared" si="288"/>
        <v>0</v>
      </c>
      <c r="M1559" s="2613"/>
      <c r="N1559" s="2612">
        <v>0</v>
      </c>
      <c r="O1559" s="2613"/>
      <c r="P1559" s="2518"/>
      <c r="Q1559" s="2519"/>
      <c r="R1559" s="2519"/>
      <c r="S1559" s="2519"/>
    </row>
    <row r="1560" spans="1:19" s="2358" customFormat="1" outlineLevel="1">
      <c r="A1560" s="2435" t="str">
        <f>IF(G1560&lt;&gt;0,1,"")</f>
        <v/>
      </c>
      <c r="B1560" s="2514"/>
      <c r="C1560" s="2511">
        <f>IF(G1560&gt;0,C1555+1,C1555)</f>
        <v>0</v>
      </c>
      <c r="D1560" s="2512"/>
      <c r="E1560" s="2670" t="s">
        <v>6295</v>
      </c>
      <c r="F1560" s="2511" t="s">
        <v>2391</v>
      </c>
      <c r="G1560" s="2516">
        <f>G1511*2</f>
        <v>0</v>
      </c>
      <c r="H1560" s="2669"/>
      <c r="I1560" s="2669"/>
      <c r="J1560" s="2669"/>
      <c r="K1560" s="2669"/>
      <c r="L1560" s="2613">
        <f t="shared" si="288"/>
        <v>0</v>
      </c>
      <c r="M1560" s="2613">
        <f>I1560*G1560</f>
        <v>0</v>
      </c>
      <c r="N1560" s="2613">
        <f>J1560*G1560</f>
        <v>0</v>
      </c>
      <c r="O1560" s="2613">
        <f>K1560*G1560</f>
        <v>0</v>
      </c>
      <c r="P1560" s="2518"/>
      <c r="Q1560" s="2519"/>
      <c r="R1560" s="2519"/>
      <c r="S1560" s="2519"/>
    </row>
    <row r="1561" spans="1:19" s="2358" customFormat="1" ht="14.4" outlineLevel="1">
      <c r="A1561" s="2435" t="str">
        <f>A1560</f>
        <v/>
      </c>
      <c r="B1561" s="2514"/>
      <c r="C1561" s="2511"/>
      <c r="D1561" s="2512"/>
      <c r="E1561" s="2520" t="s">
        <v>6207</v>
      </c>
      <c r="F1561" s="2521"/>
      <c r="G1561" s="2522"/>
      <c r="H1561" s="2669"/>
      <c r="I1561" s="2669"/>
      <c r="J1561" s="2669"/>
      <c r="K1561" s="2669"/>
      <c r="L1561" s="2613">
        <f t="shared" si="288"/>
        <v>0</v>
      </c>
      <c r="M1561" s="2613">
        <f>I1561*G1561</f>
        <v>0</v>
      </c>
      <c r="N1561" s="2613">
        <f>J1561*G1561</f>
        <v>0</v>
      </c>
      <c r="O1561" s="2613">
        <f>K1561*G1561</f>
        <v>0</v>
      </c>
      <c r="P1561" s="2518"/>
      <c r="Q1561" s="2519"/>
      <c r="R1561" s="2519"/>
      <c r="S1561" s="2519"/>
    </row>
    <row r="1562" spans="1:19" s="2358" customFormat="1" outlineLevel="1">
      <c r="A1562" s="2435" t="str">
        <f>IF(G1562&lt;&gt;0,1,"")</f>
        <v/>
      </c>
      <c r="B1562" s="2514" t="s">
        <v>2026</v>
      </c>
      <c r="C1562" s="2511"/>
      <c r="D1562" s="2405">
        <v>0</v>
      </c>
      <c r="E1562" s="2447" t="s">
        <v>2443</v>
      </c>
      <c r="F1562" s="2405" t="s">
        <v>2254</v>
      </c>
      <c r="G1562" s="2523">
        <f>G1560*9.02*2.6</f>
        <v>0</v>
      </c>
      <c r="H1562" s="2517">
        <v>32074</v>
      </c>
      <c r="I1562" s="2612"/>
      <c r="J1562" s="2612">
        <v>0</v>
      </c>
      <c r="K1562" s="2612"/>
      <c r="L1562" s="2613">
        <f t="shared" si="288"/>
        <v>0</v>
      </c>
      <c r="M1562" s="2613"/>
      <c r="N1562" s="2613"/>
      <c r="O1562" s="2613"/>
      <c r="P1562" s="2518"/>
      <c r="Q1562" s="2519"/>
      <c r="R1562" s="2519"/>
      <c r="S1562" s="2519"/>
    </row>
    <row r="1563" spans="1:19" s="2358" customFormat="1" outlineLevel="1">
      <c r="A1563" s="2435" t="str">
        <f>IF(G1563&lt;&gt;0,1,"")</f>
        <v/>
      </c>
      <c r="B1563" s="2514" t="s">
        <v>1083</v>
      </c>
      <c r="C1563" s="2511"/>
      <c r="D1563" s="2405">
        <v>0</v>
      </c>
      <c r="E1563" s="2447" t="s">
        <v>2660</v>
      </c>
      <c r="F1563" s="2405" t="s">
        <v>2445</v>
      </c>
      <c r="G1563" s="2522">
        <f>G1560*2</f>
        <v>0</v>
      </c>
      <c r="H1563" s="2517">
        <v>29900</v>
      </c>
      <c r="I1563" s="2612">
        <v>0</v>
      </c>
      <c r="J1563" s="2612">
        <v>0</v>
      </c>
      <c r="K1563" s="2612"/>
      <c r="L1563" s="2613">
        <f t="shared" si="288"/>
        <v>0</v>
      </c>
      <c r="M1563" s="2613"/>
      <c r="N1563" s="2613"/>
      <c r="O1563" s="2613"/>
      <c r="P1563" s="2518"/>
      <c r="Q1563" s="2519"/>
      <c r="R1563" s="2519"/>
      <c r="S1563" s="2519"/>
    </row>
    <row r="1564" spans="1:19" s="2358" customFormat="1" outlineLevel="1">
      <c r="A1564" s="2435" t="str">
        <f>IF(G1564&lt;&gt;0,1,"")</f>
        <v/>
      </c>
      <c r="B1564" s="2514" t="s">
        <v>138</v>
      </c>
      <c r="C1564" s="2511"/>
      <c r="D1564" s="2405">
        <v>0</v>
      </c>
      <c r="E1564" s="2447" t="s">
        <v>2635</v>
      </c>
      <c r="F1564" s="2405" t="s">
        <v>2445</v>
      </c>
      <c r="G1564" s="2522">
        <f>G1560*2</f>
        <v>0</v>
      </c>
      <c r="H1564" s="2517">
        <v>8500</v>
      </c>
      <c r="I1564" s="2612">
        <v>0</v>
      </c>
      <c r="J1564" s="2612">
        <v>0</v>
      </c>
      <c r="K1564" s="2612"/>
      <c r="L1564" s="2613">
        <f t="shared" si="288"/>
        <v>0</v>
      </c>
      <c r="M1564" s="2613"/>
      <c r="N1564" s="2613"/>
      <c r="O1564" s="2613"/>
      <c r="P1564" s="2518"/>
      <c r="Q1564" s="2519"/>
      <c r="R1564" s="2519"/>
      <c r="S1564" s="2519"/>
    </row>
    <row r="1565" spans="1:19" s="2358" customFormat="1" outlineLevel="1">
      <c r="A1565" s="2435" t="str">
        <f>IF(G1565&lt;&gt;0,1,"")</f>
        <v/>
      </c>
      <c r="B1565" s="2514" t="s">
        <v>2248</v>
      </c>
      <c r="C1565" s="2511"/>
      <c r="D1565" s="2405" t="s">
        <v>5506</v>
      </c>
      <c r="E1565" s="2447" t="s">
        <v>2446</v>
      </c>
      <c r="F1565" s="2405" t="s">
        <v>2445</v>
      </c>
      <c r="G1565" s="2522">
        <f>G1560/2</f>
        <v>0</v>
      </c>
      <c r="H1565" s="2517">
        <v>0</v>
      </c>
      <c r="I1565" s="2612"/>
      <c r="J1565" s="2612" t="s">
        <v>6419</v>
      </c>
      <c r="K1565" s="2612"/>
      <c r="L1565" s="2613">
        <f t="shared" si="288"/>
        <v>0</v>
      </c>
      <c r="M1565" s="2613"/>
      <c r="N1565" s="2612">
        <v>0</v>
      </c>
      <c r="O1565" s="2613"/>
      <c r="P1565" s="2518"/>
      <c r="Q1565" s="2519"/>
      <c r="R1565" s="2519"/>
      <c r="S1565" s="2519"/>
    </row>
    <row r="1566" spans="1:19" s="2358" customFormat="1" outlineLevel="1">
      <c r="A1566" s="2435" t="str">
        <f>IF(G1566&lt;&gt;0,1,"")</f>
        <v/>
      </c>
      <c r="B1566" s="2514"/>
      <c r="C1566" s="2511">
        <f>IF(G1566&gt;0,C1560+1,C1560)</f>
        <v>0</v>
      </c>
      <c r="D1566" s="2512"/>
      <c r="E1566" s="2670" t="s">
        <v>3738</v>
      </c>
      <c r="F1566" s="2511" t="s">
        <v>2391</v>
      </c>
      <c r="G1566" s="2516">
        <f>G1511</f>
        <v>0</v>
      </c>
      <c r="H1566" s="2517"/>
      <c r="I1566" s="2517"/>
      <c r="J1566" s="2517"/>
      <c r="K1566" s="2517"/>
      <c r="L1566" s="2517">
        <f t="shared" si="288"/>
        <v>0</v>
      </c>
      <c r="M1566" s="2517">
        <f>I1566*G1566</f>
        <v>0</v>
      </c>
      <c r="N1566" s="2517">
        <f t="shared" ref="N1566:N1572" si="289">J1566*G1566</f>
        <v>0</v>
      </c>
      <c r="O1566" s="2517">
        <f>K1566*G1566</f>
        <v>0</v>
      </c>
      <c r="P1566" s="2642"/>
      <c r="Q1566" s="2519"/>
      <c r="R1566" s="2519"/>
      <c r="S1566" s="2519"/>
    </row>
    <row r="1567" spans="1:19" s="2358" customFormat="1" ht="14.4" outlineLevel="1">
      <c r="A1567" s="2435" t="str">
        <f>+A1566</f>
        <v/>
      </c>
      <c r="B1567" s="2671"/>
      <c r="C1567" s="2511"/>
      <c r="D1567" s="2512"/>
      <c r="E1567" s="2520" t="s">
        <v>6207</v>
      </c>
      <c r="F1567" s="2521"/>
      <c r="G1567" s="2522"/>
      <c r="H1567" s="2517"/>
      <c r="I1567" s="2517"/>
      <c r="J1567" s="2517"/>
      <c r="K1567" s="2517"/>
      <c r="L1567" s="2517">
        <f t="shared" si="288"/>
        <v>0</v>
      </c>
      <c r="M1567" s="2517">
        <f>I1567*G1567</f>
        <v>0</v>
      </c>
      <c r="N1567" s="2517">
        <f t="shared" si="289"/>
        <v>0</v>
      </c>
      <c r="O1567" s="2517">
        <f>K1567*G1567</f>
        <v>0</v>
      </c>
      <c r="P1567" s="2642"/>
      <c r="Q1567" s="2519"/>
      <c r="R1567" s="2519"/>
      <c r="S1567" s="2519"/>
    </row>
    <row r="1568" spans="1:19" s="2358" customFormat="1" outlineLevel="1">
      <c r="A1568" s="2435" t="str">
        <f t="shared" ref="A1568:A1574" si="290">IF(G1568&lt;&gt;0,1,"")</f>
        <v/>
      </c>
      <c r="B1568" s="2514" t="s">
        <v>1033</v>
      </c>
      <c r="C1568" s="2511"/>
      <c r="D1568" s="2405">
        <v>0</v>
      </c>
      <c r="E1568" s="2447" t="s">
        <v>2708</v>
      </c>
      <c r="F1568" s="2405" t="s">
        <v>2254</v>
      </c>
      <c r="G1568" s="2523">
        <f>$H$3*0.224*G1566</f>
        <v>0</v>
      </c>
      <c r="H1568" s="2517">
        <v>255500</v>
      </c>
      <c r="I1568" s="2517"/>
      <c r="J1568" s="2517">
        <v>0</v>
      </c>
      <c r="K1568" s="2517">
        <v>0</v>
      </c>
      <c r="L1568" s="2517">
        <f t="shared" si="288"/>
        <v>0</v>
      </c>
      <c r="M1568" s="2517">
        <f>I1568*G1568</f>
        <v>0</v>
      </c>
      <c r="N1568" s="2517">
        <f t="shared" si="289"/>
        <v>0</v>
      </c>
      <c r="O1568" s="2517">
        <f>K1568*G1568</f>
        <v>0</v>
      </c>
      <c r="P1568" s="2642"/>
      <c r="Q1568" s="2519"/>
      <c r="R1568" s="2519"/>
      <c r="S1568" s="2519"/>
    </row>
    <row r="1569" spans="1:20" s="2358" customFormat="1" outlineLevel="1">
      <c r="A1569" s="2435" t="str">
        <f t="shared" si="290"/>
        <v/>
      </c>
      <c r="B1569" s="2505" t="s">
        <v>1511</v>
      </c>
      <c r="C1569" s="2511"/>
      <c r="D1569" s="2405">
        <v>0</v>
      </c>
      <c r="E1569" s="2447" t="s">
        <v>5224</v>
      </c>
      <c r="F1569" s="2405" t="s">
        <v>2445</v>
      </c>
      <c r="G1569" s="2522">
        <f>$H$2*G1566</f>
        <v>0</v>
      </c>
      <c r="H1569" s="2517">
        <v>160000</v>
      </c>
      <c r="I1569" s="2517"/>
      <c r="J1569" s="2517">
        <v>0</v>
      </c>
      <c r="K1569" s="2517">
        <v>0</v>
      </c>
      <c r="L1569" s="2517">
        <f t="shared" si="288"/>
        <v>0</v>
      </c>
      <c r="M1569" s="2517">
        <f>I1569*G1569</f>
        <v>0</v>
      </c>
      <c r="N1569" s="2517">
        <f t="shared" si="289"/>
        <v>0</v>
      </c>
      <c r="O1569" s="2517">
        <f>K1569*G1569</f>
        <v>0</v>
      </c>
      <c r="P1569" s="2642"/>
      <c r="Q1569" s="2519"/>
      <c r="R1569" s="2519"/>
      <c r="S1569" s="2519"/>
    </row>
    <row r="1570" spans="1:20" s="2358" customFormat="1" outlineLevel="1">
      <c r="A1570" s="2435" t="str">
        <f t="shared" si="290"/>
        <v/>
      </c>
      <c r="B1570" s="2505" t="s">
        <v>1493</v>
      </c>
      <c r="C1570" s="2511"/>
      <c r="D1570" s="2405">
        <v>0</v>
      </c>
      <c r="E1570" s="2447" t="s">
        <v>3554</v>
      </c>
      <c r="F1570" s="2405" t="s">
        <v>1827</v>
      </c>
      <c r="G1570" s="2522">
        <f>G1566*16</f>
        <v>0</v>
      </c>
      <c r="H1570" s="2517">
        <v>6200</v>
      </c>
      <c r="I1570" s="2517"/>
      <c r="J1570" s="2517">
        <v>0</v>
      </c>
      <c r="K1570" s="2517">
        <v>0</v>
      </c>
      <c r="L1570" s="2517">
        <f t="shared" si="288"/>
        <v>0</v>
      </c>
      <c r="M1570" s="2517">
        <f>I1570*G1570</f>
        <v>0</v>
      </c>
      <c r="N1570" s="2517">
        <f t="shared" si="289"/>
        <v>0</v>
      </c>
      <c r="O1570" s="2517">
        <f>K1570*G1570</f>
        <v>0</v>
      </c>
      <c r="P1570" s="2518"/>
      <c r="Q1570" s="2519"/>
      <c r="R1570" s="2519"/>
      <c r="S1570" s="2519"/>
    </row>
    <row r="1571" spans="1:20" s="2358" customFormat="1" outlineLevel="1">
      <c r="A1571" s="2435" t="str">
        <f t="shared" si="290"/>
        <v/>
      </c>
      <c r="B1571" s="2514" t="s">
        <v>1582</v>
      </c>
      <c r="C1571" s="2511"/>
      <c r="D1571" s="2405">
        <v>0</v>
      </c>
      <c r="E1571" s="2447" t="s">
        <v>2889</v>
      </c>
      <c r="F1571" s="2405" t="s">
        <v>2563</v>
      </c>
      <c r="G1571" s="2522">
        <f>2*G1566</f>
        <v>0</v>
      </c>
      <c r="H1571" s="2517">
        <v>8000</v>
      </c>
      <c r="I1571" s="2517"/>
      <c r="J1571" s="2517">
        <v>0</v>
      </c>
      <c r="K1571" s="2517"/>
      <c r="L1571" s="2517">
        <f t="shared" si="288"/>
        <v>0</v>
      </c>
      <c r="M1571" s="2517"/>
      <c r="N1571" s="2517">
        <f t="shared" si="289"/>
        <v>0</v>
      </c>
      <c r="O1571" s="2517"/>
      <c r="P1571" s="2642"/>
      <c r="Q1571" s="2519"/>
      <c r="R1571" s="2519"/>
      <c r="S1571" s="2519"/>
    </row>
    <row r="1572" spans="1:20" s="2358" customFormat="1" outlineLevel="1">
      <c r="A1572" s="2435" t="str">
        <f t="shared" si="290"/>
        <v/>
      </c>
      <c r="B1572" s="2514" t="s">
        <v>816</v>
      </c>
      <c r="C1572" s="2672"/>
      <c r="D1572" s="2405">
        <v>0</v>
      </c>
      <c r="E1572" s="2447" t="s">
        <v>3599</v>
      </c>
      <c r="F1572" s="2405" t="s">
        <v>2563</v>
      </c>
      <c r="G1572" s="2522">
        <f>+IF(G1569&lt;=12,15,21)*G1566</f>
        <v>0</v>
      </c>
      <c r="H1572" s="2517">
        <v>17600</v>
      </c>
      <c r="I1572" s="2517"/>
      <c r="J1572" s="2517">
        <v>0</v>
      </c>
      <c r="K1572" s="2517"/>
      <c r="L1572" s="2517">
        <f t="shared" si="288"/>
        <v>0</v>
      </c>
      <c r="M1572" s="2517">
        <f>I1572*G1572</f>
        <v>0</v>
      </c>
      <c r="N1572" s="2517">
        <f t="shared" si="289"/>
        <v>0</v>
      </c>
      <c r="O1572" s="2517">
        <f>K1572*G1572</f>
        <v>0</v>
      </c>
      <c r="P1572" s="2642"/>
      <c r="Q1572" s="2519"/>
      <c r="R1572" s="2519"/>
      <c r="S1572" s="2519"/>
    </row>
    <row r="1573" spans="1:20" s="2358" customFormat="1" outlineLevel="1">
      <c r="A1573" s="2435" t="str">
        <f t="shared" si="290"/>
        <v/>
      </c>
      <c r="B1573" s="2505" t="s">
        <v>525</v>
      </c>
      <c r="C1573" s="2511"/>
      <c r="D1573" s="2405">
        <v>0</v>
      </c>
      <c r="E1573" s="2447" t="s">
        <v>5313</v>
      </c>
      <c r="F1573" s="2405" t="s">
        <v>2445</v>
      </c>
      <c r="G1573" s="2522">
        <f>+G1566*4</f>
        <v>0</v>
      </c>
      <c r="H1573" s="2517">
        <v>43000</v>
      </c>
      <c r="I1573" s="2517"/>
      <c r="J1573" s="2517">
        <v>0</v>
      </c>
      <c r="K1573" s="2517">
        <v>0</v>
      </c>
      <c r="L1573" s="2517">
        <f t="shared" si="288"/>
        <v>0</v>
      </c>
      <c r="M1573" s="2517">
        <f>I1573*G1573</f>
        <v>0</v>
      </c>
      <c r="N1573" s="2517">
        <f>J1573*G1573</f>
        <v>0</v>
      </c>
      <c r="O1573" s="2517">
        <f>K1573*G1573</f>
        <v>0</v>
      </c>
      <c r="P1573" s="2518"/>
      <c r="Q1573" s="2519"/>
      <c r="R1573" s="2519"/>
      <c r="S1573" s="2519"/>
    </row>
    <row r="1574" spans="1:20" s="2358" customFormat="1" outlineLevel="1">
      <c r="A1574" s="2435" t="str">
        <f t="shared" si="290"/>
        <v/>
      </c>
      <c r="B1574" s="2505" t="s">
        <v>1588</v>
      </c>
      <c r="C1574" s="2511"/>
      <c r="D1574" s="2405">
        <v>0</v>
      </c>
      <c r="E1574" s="2447" t="s">
        <v>5775</v>
      </c>
      <c r="F1574" s="2405" t="s">
        <v>3463</v>
      </c>
      <c r="G1574" s="2522">
        <f>$L$3*G1566</f>
        <v>0</v>
      </c>
      <c r="H1574" s="2517">
        <v>0</v>
      </c>
      <c r="I1574" s="2517"/>
      <c r="J1574" s="2517">
        <v>1500000</v>
      </c>
      <c r="K1574" s="2517">
        <v>0</v>
      </c>
      <c r="L1574" s="2517">
        <f t="shared" si="288"/>
        <v>0</v>
      </c>
      <c r="M1574" s="2517">
        <f>I1574*G1574</f>
        <v>0</v>
      </c>
      <c r="N1574" s="2517">
        <f>J1574*G1574</f>
        <v>0</v>
      </c>
      <c r="O1574" s="2517">
        <f>K1574*G1574</f>
        <v>0</v>
      </c>
      <c r="P1574" s="2642"/>
      <c r="Q1574" s="2519"/>
      <c r="R1574" s="2519"/>
      <c r="S1574" s="2519"/>
    </row>
    <row r="1575" spans="1:20" s="2358" customFormat="1" outlineLevel="1">
      <c r="A1575" s="2435">
        <f>IF(G1575=0,0,1)</f>
        <v>0</v>
      </c>
      <c r="B1575" s="2505" t="s">
        <v>794</v>
      </c>
      <c r="C1575" s="2521"/>
      <c r="D1575" s="2405" t="s">
        <v>5398</v>
      </c>
      <c r="E1575" s="2447" t="s">
        <v>3086</v>
      </c>
      <c r="F1575" s="2405" t="s">
        <v>856</v>
      </c>
      <c r="G1575" s="2673">
        <f>H2*G1566</f>
        <v>0</v>
      </c>
      <c r="H1575" s="2517">
        <v>0</v>
      </c>
      <c r="I1575" s="2517"/>
      <c r="J1575" s="2517">
        <v>283749.75</v>
      </c>
      <c r="K1575" s="2517">
        <v>0</v>
      </c>
      <c r="L1575" s="2517">
        <f t="shared" ref="L1575:O1576" si="291">H1575*$G1575</f>
        <v>0</v>
      </c>
      <c r="M1575" s="2517">
        <f t="shared" si="291"/>
        <v>0</v>
      </c>
      <c r="N1575" s="2517">
        <f t="shared" si="291"/>
        <v>0</v>
      </c>
      <c r="O1575" s="2517">
        <f t="shared" si="291"/>
        <v>0</v>
      </c>
      <c r="P1575" s="2642"/>
      <c r="Q1575" s="2519"/>
      <c r="R1575" s="2519"/>
      <c r="S1575" s="2519"/>
    </row>
    <row r="1576" spans="1:20" s="2358" customFormat="1" outlineLevel="1">
      <c r="A1576" s="2435">
        <f>IF(G1576=0,0,1)</f>
        <v>0</v>
      </c>
      <c r="B1576" s="2505" t="s">
        <v>798</v>
      </c>
      <c r="C1576" s="2521"/>
      <c r="D1576" s="2405" t="s">
        <v>5387</v>
      </c>
      <c r="E1576" s="2447" t="s">
        <v>5399</v>
      </c>
      <c r="F1576" s="2405" t="s">
        <v>856</v>
      </c>
      <c r="G1576" s="2673">
        <f>G1575</f>
        <v>0</v>
      </c>
      <c r="H1576" s="2517">
        <v>0</v>
      </c>
      <c r="I1576" s="2517"/>
      <c r="J1576" s="2517">
        <v>117703.6</v>
      </c>
      <c r="K1576" s="2517">
        <v>0</v>
      </c>
      <c r="L1576" s="2517">
        <f t="shared" si="291"/>
        <v>0</v>
      </c>
      <c r="M1576" s="2517">
        <f t="shared" si="291"/>
        <v>0</v>
      </c>
      <c r="N1576" s="2517">
        <f t="shared" si="291"/>
        <v>0</v>
      </c>
      <c r="O1576" s="2517">
        <f t="shared" si="291"/>
        <v>0</v>
      </c>
      <c r="P1576" s="2642"/>
      <c r="Q1576" s="2519"/>
      <c r="R1576" s="2519"/>
      <c r="S1576" s="2519"/>
    </row>
    <row r="1577" spans="1:20" s="2358" customFormat="1" outlineLevel="1">
      <c r="A1577" s="2435">
        <f>IF(G1577=0,0,1)</f>
        <v>0</v>
      </c>
      <c r="B1577" s="2505" t="s">
        <v>902</v>
      </c>
      <c r="C1577" s="2521"/>
      <c r="D1577" s="2405" t="s">
        <v>5413</v>
      </c>
      <c r="E1577" s="2447" t="s">
        <v>5414</v>
      </c>
      <c r="F1577" s="2405" t="s">
        <v>2284</v>
      </c>
      <c r="G1577" s="2642">
        <f>G1569</f>
        <v>0</v>
      </c>
      <c r="H1577" s="2517">
        <v>0</v>
      </c>
      <c r="I1577" s="2517"/>
      <c r="J1577" s="2517" t="s">
        <v>6386</v>
      </c>
      <c r="K1577" s="2517">
        <v>0</v>
      </c>
      <c r="L1577" s="2517">
        <f>H1577*$G1577</f>
        <v>0</v>
      </c>
      <c r="M1577" s="2517">
        <f>I1577*$G1577</f>
        <v>0</v>
      </c>
      <c r="N1577" s="2517">
        <v>0</v>
      </c>
      <c r="O1577" s="2517">
        <f>K1577*$G1577</f>
        <v>0</v>
      </c>
      <c r="P1577" s="2642"/>
      <c r="Q1577" s="2519"/>
      <c r="R1577" s="2519"/>
      <c r="S1577" s="2519"/>
    </row>
    <row r="1578" spans="1:20" s="2358" customFormat="1" outlineLevel="1">
      <c r="A1578" s="2435" t="str">
        <f>IF(G1578&lt;&gt;0,1,"")</f>
        <v/>
      </c>
      <c r="B1578" s="2505" t="s">
        <v>1440</v>
      </c>
      <c r="C1578" s="2511"/>
      <c r="D1578" s="2405" t="s">
        <v>5408</v>
      </c>
      <c r="E1578" s="2447" t="s">
        <v>5409</v>
      </c>
      <c r="F1578" s="2405" t="s">
        <v>2538</v>
      </c>
      <c r="G1578" s="2522">
        <f>G1566*$H$3</f>
        <v>0</v>
      </c>
      <c r="H1578" s="2517">
        <v>0</v>
      </c>
      <c r="I1578" s="2517"/>
      <c r="J1578" s="2517">
        <v>8070.7000000000007</v>
      </c>
      <c r="K1578" s="2517">
        <v>2044.9974999999999</v>
      </c>
      <c r="L1578" s="2517">
        <f>H1578*G1578</f>
        <v>0</v>
      </c>
      <c r="M1578" s="2517">
        <f>I1578*G1578</f>
        <v>0</v>
      </c>
      <c r="N1578" s="2517">
        <f>J1578*G1578</f>
        <v>0</v>
      </c>
      <c r="O1578" s="2517">
        <f>K1578*G1578</f>
        <v>0</v>
      </c>
      <c r="P1578" s="2642"/>
      <c r="Q1578" s="2519"/>
      <c r="R1578" s="2519"/>
      <c r="S1578" s="2519"/>
    </row>
    <row r="1579" spans="1:20" s="2358" customFormat="1" outlineLevel="1">
      <c r="A1579" s="2435" t="str">
        <f>IF(G1579&lt;&gt;0,1,"")</f>
        <v/>
      </c>
      <c r="B1579" s="2514"/>
      <c r="C1579" s="2511">
        <f>IF(G1579&gt;0,C1566+1,C1566)</f>
        <v>0</v>
      </c>
      <c r="D1579" s="2512"/>
      <c r="E1579" s="2515" t="s">
        <v>6296</v>
      </c>
      <c r="F1579" s="2511" t="s">
        <v>2391</v>
      </c>
      <c r="G1579" s="2516">
        <f>G1516</f>
        <v>0</v>
      </c>
      <c r="H1579" s="2517"/>
      <c r="I1579" s="2517"/>
      <c r="J1579" s="2517"/>
      <c r="K1579" s="2517"/>
      <c r="L1579" s="2517">
        <f t="shared" ref="L1579:L1584" si="292">H1579*G1579</f>
        <v>0</v>
      </c>
      <c r="M1579" s="2517">
        <f t="shared" ref="M1579:M1584" si="293">I1579*G1579</f>
        <v>0</v>
      </c>
      <c r="N1579" s="2517">
        <f t="shared" ref="N1579:N1584" si="294">J1579*G1579</f>
        <v>0</v>
      </c>
      <c r="O1579" s="2517">
        <f t="shared" ref="O1579:O1584" si="295">K1579*G1579</f>
        <v>0</v>
      </c>
      <c r="P1579" s="2518"/>
      <c r="Q1579" s="2519"/>
      <c r="R1579" s="2519"/>
      <c r="S1579" s="2519"/>
    </row>
    <row r="1580" spans="1:20" s="2358" customFormat="1" ht="14.4" outlineLevel="1">
      <c r="A1580" s="2435" t="str">
        <f>A1579</f>
        <v/>
      </c>
      <c r="B1580" s="2514"/>
      <c r="C1580" s="2511"/>
      <c r="D1580" s="2512"/>
      <c r="E1580" s="2520" t="s">
        <v>6207</v>
      </c>
      <c r="F1580" s="2521"/>
      <c r="G1580" s="2522"/>
      <c r="H1580" s="2517"/>
      <c r="I1580" s="2517"/>
      <c r="J1580" s="2517"/>
      <c r="K1580" s="2517"/>
      <c r="L1580" s="2517">
        <f t="shared" si="292"/>
        <v>0</v>
      </c>
      <c r="M1580" s="2517">
        <f t="shared" si="293"/>
        <v>0</v>
      </c>
      <c r="N1580" s="2517">
        <f t="shared" si="294"/>
        <v>0</v>
      </c>
      <c r="O1580" s="2517">
        <f t="shared" si="295"/>
        <v>0</v>
      </c>
      <c r="P1580" s="2518"/>
      <c r="Q1580" s="2519"/>
      <c r="R1580" s="2519"/>
      <c r="S1580" s="2519"/>
    </row>
    <row r="1581" spans="1:20" s="2358" customFormat="1" outlineLevel="1">
      <c r="A1581" s="2435" t="str">
        <f>IF(G1581&lt;&gt;0,1,"")</f>
        <v/>
      </c>
      <c r="B1581" s="2514" t="s">
        <v>653</v>
      </c>
      <c r="C1581" s="2521"/>
      <c r="D1581" s="2405">
        <v>0</v>
      </c>
      <c r="E1581" s="2447" t="s">
        <v>5351</v>
      </c>
      <c r="F1581" s="2405" t="s">
        <v>2254</v>
      </c>
      <c r="G1581" s="2523">
        <f>+G1584*296</f>
        <v>0</v>
      </c>
      <c r="H1581" s="2517">
        <v>1740</v>
      </c>
      <c r="I1581" s="2517"/>
      <c r="J1581" s="2517">
        <v>0</v>
      </c>
      <c r="K1581" s="2517">
        <v>0</v>
      </c>
      <c r="L1581" s="2517">
        <f t="shared" si="292"/>
        <v>0</v>
      </c>
      <c r="M1581" s="2517">
        <f t="shared" si="293"/>
        <v>0</v>
      </c>
      <c r="N1581" s="2517">
        <f t="shared" si="294"/>
        <v>0</v>
      </c>
      <c r="O1581" s="2517">
        <f t="shared" si="295"/>
        <v>0</v>
      </c>
      <c r="P1581" s="2518"/>
      <c r="Q1581" s="2519"/>
      <c r="R1581" s="2519"/>
      <c r="S1581" s="2519"/>
    </row>
    <row r="1582" spans="1:20" s="2358" customFormat="1" outlineLevel="1">
      <c r="A1582" s="2435" t="str">
        <f>IF(G1582&lt;&gt;0,1,"")</f>
        <v/>
      </c>
      <c r="B1582" s="2514" t="s">
        <v>752</v>
      </c>
      <c r="C1582" s="2511"/>
      <c r="D1582" s="2405">
        <v>0</v>
      </c>
      <c r="E1582" s="2447" t="s">
        <v>3022</v>
      </c>
      <c r="F1582" s="2405" t="s">
        <v>856</v>
      </c>
      <c r="G1582" s="2523">
        <f>G1584*0.475</f>
        <v>0</v>
      </c>
      <c r="H1582" s="2517">
        <v>512000</v>
      </c>
      <c r="I1582" s="2517"/>
      <c r="J1582" s="2517">
        <v>0</v>
      </c>
      <c r="K1582" s="2517">
        <v>0</v>
      </c>
      <c r="L1582" s="2517">
        <f t="shared" si="292"/>
        <v>0</v>
      </c>
      <c r="M1582" s="2517">
        <f t="shared" si="293"/>
        <v>0</v>
      </c>
      <c r="N1582" s="2517">
        <f t="shared" si="294"/>
        <v>0</v>
      </c>
      <c r="O1582" s="2517">
        <f t="shared" si="295"/>
        <v>0</v>
      </c>
      <c r="P1582" s="2518"/>
      <c r="Q1582" s="2519"/>
      <c r="R1582" s="2519"/>
      <c r="S1582" s="2519"/>
    </row>
    <row r="1583" spans="1:20" s="2358" customFormat="1" outlineLevel="1">
      <c r="A1583" s="2435" t="str">
        <f>IF(G1583&lt;&gt;0,1,"")</f>
        <v/>
      </c>
      <c r="B1583" s="2514" t="s">
        <v>216</v>
      </c>
      <c r="C1583" s="2511"/>
      <c r="D1583" s="2405">
        <v>0</v>
      </c>
      <c r="E1583" s="2447" t="s">
        <v>3018</v>
      </c>
      <c r="F1583" s="2405" t="s">
        <v>856</v>
      </c>
      <c r="G1583" s="2523">
        <f>G1584*0.881</f>
        <v>0</v>
      </c>
      <c r="H1583" s="2517">
        <v>335000</v>
      </c>
      <c r="I1583" s="2517"/>
      <c r="J1583" s="2517">
        <v>0</v>
      </c>
      <c r="K1583" s="2517">
        <v>0</v>
      </c>
      <c r="L1583" s="2517">
        <f t="shared" si="292"/>
        <v>0</v>
      </c>
      <c r="M1583" s="2517">
        <f t="shared" si="293"/>
        <v>0</v>
      </c>
      <c r="N1583" s="2517">
        <f t="shared" si="294"/>
        <v>0</v>
      </c>
      <c r="O1583" s="2517">
        <f t="shared" si="295"/>
        <v>0</v>
      </c>
      <c r="P1583" s="2518"/>
      <c r="Q1583" s="2519"/>
      <c r="R1583" s="2519"/>
      <c r="S1583" s="2519"/>
    </row>
    <row r="1584" spans="1:20" s="2358" customFormat="1" outlineLevel="1">
      <c r="A1584" s="2435" t="str">
        <f>IF(G1584&lt;&gt;0,1,"")</f>
        <v/>
      </c>
      <c r="B1584" s="2514" t="s">
        <v>654</v>
      </c>
      <c r="C1584" s="2521"/>
      <c r="D1584" s="2405" t="s">
        <v>5533</v>
      </c>
      <c r="E1584" s="2447" t="s">
        <v>5536</v>
      </c>
      <c r="F1584" s="2405" t="s">
        <v>856</v>
      </c>
      <c r="G1584" s="2523">
        <f>G1579*(0.4*3*1-2*3.14*0.15^2*0.4)</f>
        <v>0</v>
      </c>
      <c r="H1584" s="2517"/>
      <c r="I1584" s="2517"/>
      <c r="J1584" s="2517">
        <v>466397.5</v>
      </c>
      <c r="K1584" s="2517">
        <v>0</v>
      </c>
      <c r="L1584" s="2517">
        <f t="shared" si="292"/>
        <v>0</v>
      </c>
      <c r="M1584" s="2517">
        <f t="shared" si="293"/>
        <v>0</v>
      </c>
      <c r="N1584" s="2517">
        <f t="shared" si="294"/>
        <v>0</v>
      </c>
      <c r="O1584" s="2517">
        <f t="shared" si="295"/>
        <v>0</v>
      </c>
      <c r="P1584" s="2518"/>
      <c r="Q1584" s="2525">
        <f>1.025*361</f>
        <v>370.02499999999998</v>
      </c>
      <c r="R1584" s="2525">
        <f>1.025*0.45</f>
        <v>0.46124999999999999</v>
      </c>
      <c r="S1584" s="2525">
        <f>1.025*0.866</f>
        <v>0.88764999999999994</v>
      </c>
      <c r="T1584" s="2526"/>
    </row>
    <row r="1585" spans="1:19" s="2358" customFormat="1" outlineLevel="1">
      <c r="A1585" s="2435" t="str">
        <f>IF(G1585&lt;&gt;0,1,"")</f>
        <v/>
      </c>
      <c r="B1585" s="2514"/>
      <c r="C1585" s="2511">
        <f>IF(G1585&gt;0,C1579+1,C1579)</f>
        <v>0</v>
      </c>
      <c r="D1585" s="2512"/>
      <c r="E1585" s="2629" t="s">
        <v>6283</v>
      </c>
      <c r="F1585" s="2511" t="s">
        <v>2391</v>
      </c>
      <c r="G1585" s="2516">
        <f>G1511</f>
        <v>0</v>
      </c>
      <c r="H1585" s="2517"/>
      <c r="I1585" s="2517"/>
      <c r="J1585" s="2517"/>
      <c r="K1585" s="2517"/>
      <c r="L1585" s="2517">
        <f>H1585*G1585</f>
        <v>0</v>
      </c>
      <c r="M1585" s="2517">
        <f>I1585*G1585</f>
        <v>0</v>
      </c>
      <c r="N1585" s="2517">
        <f>J1585*G1585</f>
        <v>0</v>
      </c>
      <c r="O1585" s="2517">
        <f>K1585*G1585</f>
        <v>0</v>
      </c>
      <c r="P1585" s="2642"/>
      <c r="Q1585" s="2519"/>
      <c r="R1585" s="2519"/>
      <c r="S1585" s="2519"/>
    </row>
    <row r="1586" spans="1:19" s="2358" customFormat="1" ht="14.4" outlineLevel="1">
      <c r="A1586" s="2435" t="str">
        <f>A1585</f>
        <v/>
      </c>
      <c r="B1586" s="2514"/>
      <c r="C1586" s="2511"/>
      <c r="D1586" s="2512"/>
      <c r="E1586" s="2520" t="s">
        <v>6207</v>
      </c>
      <c r="F1586" s="2521"/>
      <c r="G1586" s="2522"/>
      <c r="H1586" s="2517"/>
      <c r="I1586" s="2517"/>
      <c r="J1586" s="2517"/>
      <c r="K1586" s="2517"/>
      <c r="L1586" s="2517">
        <f>H1586*G1586</f>
        <v>0</v>
      </c>
      <c r="M1586" s="2517">
        <f>I1586*G1586</f>
        <v>0</v>
      </c>
      <c r="N1586" s="2517">
        <f>J1586*G1586</f>
        <v>0</v>
      </c>
      <c r="O1586" s="2517">
        <f>K1586*G1586</f>
        <v>0</v>
      </c>
      <c r="P1586" s="2642"/>
      <c r="Q1586" s="2519"/>
      <c r="R1586" s="2519"/>
      <c r="S1586" s="2519"/>
    </row>
    <row r="1587" spans="1:19" s="2358" customFormat="1" outlineLevel="1">
      <c r="A1587" s="2435" t="str">
        <f>IF(G1587&lt;&gt;0,1,"")</f>
        <v/>
      </c>
      <c r="B1587" s="2514" t="s">
        <v>5707</v>
      </c>
      <c r="C1587" s="2521"/>
      <c r="D1587" s="2405" t="s">
        <v>5695</v>
      </c>
      <c r="E1587" s="2447" t="s">
        <v>6430</v>
      </c>
      <c r="F1587" s="2405" t="s">
        <v>2563</v>
      </c>
      <c r="G1587" s="2522">
        <f>G1585</f>
        <v>0</v>
      </c>
      <c r="H1587" s="2517">
        <v>5000000</v>
      </c>
      <c r="I1587" s="2517"/>
      <c r="J1587" s="2517">
        <v>690091</v>
      </c>
      <c r="K1587" s="2517">
        <v>97369</v>
      </c>
      <c r="L1587" s="2517">
        <f>H1587*G1587</f>
        <v>0</v>
      </c>
      <c r="M1587" s="2517">
        <f>I1587*G1587</f>
        <v>0</v>
      </c>
      <c r="N1587" s="2517">
        <f>J1587*G1587</f>
        <v>0</v>
      </c>
      <c r="O1587" s="2517">
        <f>K1587*G1587</f>
        <v>0</v>
      </c>
      <c r="P1587" s="2642"/>
      <c r="Q1587" s="2519"/>
      <c r="R1587" s="2519"/>
      <c r="S1587" s="2519"/>
    </row>
    <row r="1588" spans="1:19" s="2358" customFormat="1" outlineLevel="1">
      <c r="A1588" s="2435" t="str">
        <f>IF(G1588&lt;&gt;0,1,"")</f>
        <v/>
      </c>
      <c r="B1588" s="2514" t="s">
        <v>880</v>
      </c>
      <c r="C1588" s="2511"/>
      <c r="D1588" s="2405">
        <v>0</v>
      </c>
      <c r="E1588" s="2447" t="s">
        <v>5861</v>
      </c>
      <c r="F1588" s="2405" t="s">
        <v>2563</v>
      </c>
      <c r="G1588" s="2516">
        <f>G1585*1</f>
        <v>0</v>
      </c>
      <c r="H1588" s="2517">
        <v>284000</v>
      </c>
      <c r="I1588" s="2517"/>
      <c r="J1588" s="2517">
        <v>5404</v>
      </c>
      <c r="K1588" s="2517">
        <v>0</v>
      </c>
      <c r="L1588" s="2517">
        <f>H1588*G1588</f>
        <v>0</v>
      </c>
      <c r="M1588" s="2517">
        <f>I1588*G1588</f>
        <v>0</v>
      </c>
      <c r="N1588" s="2517">
        <f>J1588*G1588</f>
        <v>0</v>
      </c>
      <c r="O1588" s="2517">
        <f>K1588*G1588</f>
        <v>0</v>
      </c>
      <c r="P1588" s="2642"/>
      <c r="Q1588" s="2519"/>
      <c r="R1588" s="2519"/>
      <c r="S1588" s="2519"/>
    </row>
    <row r="1589" spans="1:19" s="2358" customFormat="1" outlineLevel="1">
      <c r="A1589" s="2435" t="str">
        <f>IF(G1589&lt;&gt;0,1,"")</f>
        <v/>
      </c>
      <c r="B1589" s="2514" t="s">
        <v>289</v>
      </c>
      <c r="C1589" s="2521"/>
      <c r="D1589" s="2405">
        <v>0</v>
      </c>
      <c r="E1589" s="2447" t="s">
        <v>5774</v>
      </c>
      <c r="F1589" s="2405" t="s">
        <v>2563</v>
      </c>
      <c r="G1589" s="2522">
        <f>G1585</f>
        <v>0</v>
      </c>
      <c r="H1589" s="2517">
        <v>300000</v>
      </c>
      <c r="I1589" s="2517"/>
      <c r="J1589" s="2517">
        <v>0</v>
      </c>
      <c r="K1589" s="2517">
        <v>0</v>
      </c>
      <c r="L1589" s="2517">
        <f>H1589*G1589</f>
        <v>0</v>
      </c>
      <c r="M1589" s="2517">
        <f>I1589*G1589</f>
        <v>0</v>
      </c>
      <c r="N1589" s="2517">
        <f>J1589*G1589</f>
        <v>0</v>
      </c>
      <c r="O1589" s="2517">
        <f>K1589*G1589</f>
        <v>0</v>
      </c>
      <c r="P1589" s="2642"/>
      <c r="Q1589" s="2519"/>
      <c r="R1589" s="2519"/>
      <c r="S1589" s="2519"/>
    </row>
    <row r="1590" spans="1:19" s="2358" customFormat="1" outlineLevel="1">
      <c r="A1590" s="2435" t="str">
        <f>IF(G1590&lt;&gt;0,1,"")</f>
        <v/>
      </c>
      <c r="B1590" s="2514"/>
      <c r="C1590" s="2511">
        <f>IF(G1590&gt;0,C1585+1,C1585)</f>
        <v>0</v>
      </c>
      <c r="D1590" s="2512"/>
      <c r="E1590" s="2513" t="s">
        <v>6237</v>
      </c>
      <c r="F1590" s="2511" t="s">
        <v>2391</v>
      </c>
      <c r="G1590" s="2516">
        <f>G1511</f>
        <v>0</v>
      </c>
      <c r="H1590" s="2517"/>
      <c r="I1590" s="2517"/>
      <c r="J1590" s="2517"/>
      <c r="K1590" s="2517"/>
      <c r="L1590" s="2517"/>
      <c r="M1590" s="2517"/>
      <c r="N1590" s="2517"/>
      <c r="O1590" s="2517"/>
      <c r="P1590" s="2642"/>
      <c r="Q1590" s="2519"/>
      <c r="R1590" s="2519"/>
      <c r="S1590" s="2519"/>
    </row>
    <row r="1591" spans="1:19" s="2358" customFormat="1" ht="14.4" outlineLevel="1">
      <c r="A1591" s="2435" t="str">
        <f>A1590</f>
        <v/>
      </c>
      <c r="B1591" s="2514"/>
      <c r="C1591" s="2511"/>
      <c r="D1591" s="2512"/>
      <c r="E1591" s="2527" t="s">
        <v>6207</v>
      </c>
      <c r="F1591" s="2511"/>
      <c r="G1591" s="2516"/>
      <c r="H1591" s="2517"/>
      <c r="I1591" s="2517"/>
      <c r="J1591" s="2517"/>
      <c r="K1591" s="2517"/>
      <c r="L1591" s="2517"/>
      <c r="M1591" s="2517"/>
      <c r="N1591" s="2517"/>
      <c r="O1591" s="2517"/>
      <c r="P1591" s="2642"/>
      <c r="Q1591" s="2519"/>
      <c r="R1591" s="2519"/>
      <c r="S1591" s="2519"/>
    </row>
    <row r="1592" spans="1:19" s="2358" customFormat="1" outlineLevel="1">
      <c r="A1592" s="2435" t="str">
        <f>IF(G1592&lt;&gt;0,1,"")</f>
        <v/>
      </c>
      <c r="B1592" s="2505" t="s">
        <v>697</v>
      </c>
      <c r="C1592" s="2521"/>
      <c r="D1592" s="2405">
        <v>0</v>
      </c>
      <c r="E1592" s="2447" t="s">
        <v>5139</v>
      </c>
      <c r="F1592" s="2405" t="s">
        <v>2538</v>
      </c>
      <c r="G1592" s="2522">
        <f>G1590*(7)*3</f>
        <v>0</v>
      </c>
      <c r="H1592" s="2517">
        <v>50996</v>
      </c>
      <c r="I1592" s="2517"/>
      <c r="J1592" s="2517">
        <v>0</v>
      </c>
      <c r="K1592" s="2517">
        <v>0</v>
      </c>
      <c r="L1592" s="2517">
        <f t="shared" ref="L1592:L1601" si="296">H1592*G1592</f>
        <v>0</v>
      </c>
      <c r="M1592" s="2517">
        <f>I1592*G1592</f>
        <v>0</v>
      </c>
      <c r="N1592" s="2517">
        <f t="shared" ref="N1592:N1601" si="297">J1592*G1592</f>
        <v>0</v>
      </c>
      <c r="O1592" s="2517">
        <f t="shared" ref="O1592:O1601" si="298">K1592*G1592</f>
        <v>0</v>
      </c>
      <c r="P1592" s="2642"/>
      <c r="Q1592" s="2519"/>
      <c r="R1592" s="2519"/>
      <c r="S1592" s="2519"/>
    </row>
    <row r="1593" spans="1:19" s="2358" customFormat="1" outlineLevel="1">
      <c r="A1593" s="2435" t="str">
        <f t="shared" ref="A1593:A1602" si="299">IF(G1593&lt;&gt;0,1,"")</f>
        <v/>
      </c>
      <c r="B1593" s="2610" t="s">
        <v>1482</v>
      </c>
      <c r="C1593" s="2521"/>
      <c r="D1593" s="2405">
        <v>0</v>
      </c>
      <c r="E1593" s="2447" t="s">
        <v>3810</v>
      </c>
      <c r="F1593" s="2405" t="s">
        <v>2563</v>
      </c>
      <c r="G1593" s="2522">
        <f>G1590*3</f>
        <v>0</v>
      </c>
      <c r="H1593" s="2517">
        <v>46000</v>
      </c>
      <c r="I1593" s="2517"/>
      <c r="J1593" s="2517">
        <v>0</v>
      </c>
      <c r="K1593" s="2517">
        <v>0</v>
      </c>
      <c r="L1593" s="2517">
        <f t="shared" si="296"/>
        <v>0</v>
      </c>
      <c r="M1593" s="2517">
        <f t="shared" ref="M1593:M1601" si="300">I1593*G1593</f>
        <v>0</v>
      </c>
      <c r="N1593" s="2517">
        <f t="shared" si="297"/>
        <v>0</v>
      </c>
      <c r="O1593" s="2517">
        <f t="shared" si="298"/>
        <v>0</v>
      </c>
      <c r="P1593" s="2642"/>
      <c r="Q1593" s="2519"/>
      <c r="R1593" s="2519"/>
      <c r="S1593" s="2519"/>
    </row>
    <row r="1594" spans="1:19" s="2358" customFormat="1" outlineLevel="1">
      <c r="A1594" s="2435" t="str">
        <f t="shared" si="299"/>
        <v/>
      </c>
      <c r="B1594" s="2610" t="s">
        <v>1480</v>
      </c>
      <c r="C1594" s="2521"/>
      <c r="D1594" s="2405">
        <v>0</v>
      </c>
      <c r="E1594" s="2447" t="s">
        <v>4361</v>
      </c>
      <c r="F1594" s="2405" t="s">
        <v>2563</v>
      </c>
      <c r="G1594" s="2522">
        <f>G1593</f>
        <v>0</v>
      </c>
      <c r="H1594" s="2517">
        <v>77000</v>
      </c>
      <c r="I1594" s="2517"/>
      <c r="J1594" s="2517">
        <v>0</v>
      </c>
      <c r="K1594" s="2517">
        <v>0</v>
      </c>
      <c r="L1594" s="2517">
        <f t="shared" si="296"/>
        <v>0</v>
      </c>
      <c r="M1594" s="2517">
        <f t="shared" si="300"/>
        <v>0</v>
      </c>
      <c r="N1594" s="2517">
        <f t="shared" si="297"/>
        <v>0</v>
      </c>
      <c r="O1594" s="2517">
        <f t="shared" si="298"/>
        <v>0</v>
      </c>
      <c r="P1594" s="2642"/>
      <c r="Q1594" s="2519"/>
      <c r="R1594" s="2519"/>
      <c r="S1594" s="2519"/>
    </row>
    <row r="1595" spans="1:19" s="2358" customFormat="1" outlineLevel="1">
      <c r="A1595" s="2435" t="str">
        <f>IF(G1595&lt;&gt;0,1,"")</f>
        <v/>
      </c>
      <c r="B1595" s="2610" t="s">
        <v>5761</v>
      </c>
      <c r="C1595" s="2521"/>
      <c r="D1595" s="2405">
        <v>0</v>
      </c>
      <c r="E1595" s="2447" t="s">
        <v>5762</v>
      </c>
      <c r="F1595" s="2405" t="s">
        <v>2563</v>
      </c>
      <c r="G1595" s="2522">
        <f>+G1590*3</f>
        <v>0</v>
      </c>
      <c r="H1595" s="2517">
        <v>218200</v>
      </c>
      <c r="I1595" s="2517"/>
      <c r="J1595" s="2517">
        <v>0</v>
      </c>
      <c r="K1595" s="2517">
        <v>0</v>
      </c>
      <c r="L1595" s="2517">
        <f>H1595*G1595</f>
        <v>0</v>
      </c>
      <c r="M1595" s="2517">
        <f>I1595*G1595</f>
        <v>0</v>
      </c>
      <c r="N1595" s="2517">
        <f>J1595*G1595</f>
        <v>0</v>
      </c>
      <c r="O1595" s="2517">
        <f>K1595*G1595</f>
        <v>0</v>
      </c>
      <c r="P1595" s="2518"/>
      <c r="Q1595" s="2519"/>
      <c r="R1595" s="2519"/>
      <c r="S1595" s="2519"/>
    </row>
    <row r="1596" spans="1:19" s="2358" customFormat="1" outlineLevel="1">
      <c r="A1596" s="2435" t="str">
        <f>IF(G1596&lt;&gt;0,1,"")</f>
        <v/>
      </c>
      <c r="B1596" s="2610" t="s">
        <v>5767</v>
      </c>
      <c r="C1596" s="2521"/>
      <c r="D1596" s="2405">
        <v>0</v>
      </c>
      <c r="E1596" s="2447" t="s">
        <v>5768</v>
      </c>
      <c r="F1596" s="2405" t="s">
        <v>2563</v>
      </c>
      <c r="G1596" s="2522">
        <f>+G1590*3</f>
        <v>0</v>
      </c>
      <c r="H1596" s="2517">
        <v>39100</v>
      </c>
      <c r="I1596" s="2517"/>
      <c r="J1596" s="2517">
        <v>0</v>
      </c>
      <c r="K1596" s="2517">
        <v>0</v>
      </c>
      <c r="L1596" s="2517">
        <f>H1596*G1596</f>
        <v>0</v>
      </c>
      <c r="M1596" s="2517">
        <f>I1596*G1596</f>
        <v>0</v>
      </c>
      <c r="N1596" s="2517">
        <f>J1596*G1596</f>
        <v>0</v>
      </c>
      <c r="O1596" s="2517">
        <f>K1596*G1596</f>
        <v>0</v>
      </c>
      <c r="P1596" s="2518"/>
      <c r="Q1596" s="2519"/>
      <c r="R1596" s="2519"/>
      <c r="S1596" s="2519"/>
    </row>
    <row r="1597" spans="1:19" s="2358" customFormat="1" outlineLevel="1">
      <c r="A1597" s="2435" t="str">
        <f>IF(G1597&lt;&gt;0,1,"")</f>
        <v/>
      </c>
      <c r="B1597" s="2610" t="s">
        <v>5769</v>
      </c>
      <c r="C1597" s="2521"/>
      <c r="D1597" s="2405">
        <v>0</v>
      </c>
      <c r="E1597" s="2447" t="s">
        <v>5770</v>
      </c>
      <c r="F1597" s="2405" t="s">
        <v>2563</v>
      </c>
      <c r="G1597" s="2522">
        <f>+G1590*3</f>
        <v>0</v>
      </c>
      <c r="H1597" s="2517">
        <v>56700</v>
      </c>
      <c r="I1597" s="2517"/>
      <c r="J1597" s="2517">
        <v>0</v>
      </c>
      <c r="K1597" s="2517">
        <v>0</v>
      </c>
      <c r="L1597" s="2517">
        <f>H1597*G1597</f>
        <v>0</v>
      </c>
      <c r="M1597" s="2517">
        <f>I1597*G1597</f>
        <v>0</v>
      </c>
      <c r="N1597" s="2517">
        <f>J1597*G1597</f>
        <v>0</v>
      </c>
      <c r="O1597" s="2517">
        <f>K1597*G1597</f>
        <v>0</v>
      </c>
      <c r="P1597" s="2518"/>
      <c r="Q1597" s="2519"/>
      <c r="R1597" s="2519"/>
      <c r="S1597" s="2519"/>
    </row>
    <row r="1598" spans="1:19" s="2358" customFormat="1" outlineLevel="1">
      <c r="A1598" s="2435" t="str">
        <f t="shared" si="299"/>
        <v/>
      </c>
      <c r="B1598" s="2505" t="s">
        <v>696</v>
      </c>
      <c r="C1598" s="2642"/>
      <c r="D1598" s="2405">
        <v>0</v>
      </c>
      <c r="E1598" s="2447" t="s">
        <v>2952</v>
      </c>
      <c r="F1598" s="2405" t="s">
        <v>2563</v>
      </c>
      <c r="G1598" s="2522">
        <f>G1590*6</f>
        <v>0</v>
      </c>
      <c r="H1598" s="2517">
        <v>205000</v>
      </c>
      <c r="I1598" s="2517"/>
      <c r="J1598" s="2517">
        <v>0</v>
      </c>
      <c r="K1598" s="2517">
        <v>0</v>
      </c>
      <c r="L1598" s="2517">
        <f t="shared" si="296"/>
        <v>0</v>
      </c>
      <c r="M1598" s="2517">
        <f t="shared" si="300"/>
        <v>0</v>
      </c>
      <c r="N1598" s="2517">
        <f t="shared" si="297"/>
        <v>0</v>
      </c>
      <c r="O1598" s="2517">
        <f t="shared" si="298"/>
        <v>0</v>
      </c>
      <c r="P1598" s="2642"/>
      <c r="Q1598" s="2519"/>
      <c r="R1598" s="2519"/>
      <c r="S1598" s="2519"/>
    </row>
    <row r="1599" spans="1:19" s="2358" customFormat="1" outlineLevel="1">
      <c r="A1599" s="2435" t="str">
        <f t="shared" si="299"/>
        <v/>
      </c>
      <c r="B1599" s="2505" t="s">
        <v>1268</v>
      </c>
      <c r="C1599" s="2521"/>
      <c r="D1599" s="2405">
        <v>0</v>
      </c>
      <c r="E1599" s="2447" t="s">
        <v>2831</v>
      </c>
      <c r="F1599" s="2405" t="s">
        <v>2563</v>
      </c>
      <c r="G1599" s="2522">
        <f>G1598</f>
        <v>0</v>
      </c>
      <c r="H1599" s="2517">
        <v>65000</v>
      </c>
      <c r="I1599" s="2517"/>
      <c r="J1599" s="2517">
        <v>0</v>
      </c>
      <c r="K1599" s="2517">
        <v>0</v>
      </c>
      <c r="L1599" s="2517">
        <f t="shared" si="296"/>
        <v>0</v>
      </c>
      <c r="M1599" s="2517">
        <f t="shared" si="300"/>
        <v>0</v>
      </c>
      <c r="N1599" s="2517">
        <f t="shared" si="297"/>
        <v>0</v>
      </c>
      <c r="O1599" s="2517">
        <f t="shared" si="298"/>
        <v>0</v>
      </c>
      <c r="P1599" s="2642"/>
      <c r="Q1599" s="2519"/>
      <c r="R1599" s="2519"/>
      <c r="S1599" s="2519"/>
    </row>
    <row r="1600" spans="1:19" s="2358" customFormat="1" outlineLevel="1">
      <c r="A1600" s="2435" t="str">
        <f t="shared" si="299"/>
        <v/>
      </c>
      <c r="B1600" s="2505" t="s">
        <v>1568</v>
      </c>
      <c r="C1600" s="2521"/>
      <c r="D1600" s="2405" t="s">
        <v>5622</v>
      </c>
      <c r="E1600" s="2447" t="s">
        <v>3289</v>
      </c>
      <c r="F1600" s="2405" t="s">
        <v>2445</v>
      </c>
      <c r="G1600" s="2522">
        <f>G1599</f>
        <v>0</v>
      </c>
      <c r="H1600" s="2517"/>
      <c r="I1600" s="2517"/>
      <c r="J1600" s="2517">
        <v>58277.49</v>
      </c>
      <c r="K1600" s="2517"/>
      <c r="L1600" s="2517">
        <f t="shared" si="296"/>
        <v>0</v>
      </c>
      <c r="M1600" s="2517">
        <f t="shared" si="300"/>
        <v>0</v>
      </c>
      <c r="N1600" s="2517">
        <f t="shared" si="297"/>
        <v>0</v>
      </c>
      <c r="O1600" s="2517">
        <f t="shared" si="298"/>
        <v>0</v>
      </c>
      <c r="P1600" s="2642"/>
      <c r="Q1600" s="2519"/>
      <c r="R1600" s="2519"/>
      <c r="S1600" s="2519"/>
    </row>
    <row r="1601" spans="1:19" s="2358" customFormat="1" outlineLevel="1">
      <c r="A1601" s="2435" t="str">
        <f t="shared" si="299"/>
        <v/>
      </c>
      <c r="B1601" s="2505" t="s">
        <v>1528</v>
      </c>
      <c r="C1601" s="2521"/>
      <c r="D1601" s="2405" t="s">
        <v>5633</v>
      </c>
      <c r="E1601" s="2447" t="s">
        <v>3310</v>
      </c>
      <c r="F1601" s="2405" t="s">
        <v>1827</v>
      </c>
      <c r="G1601" s="2522">
        <f>G1592</f>
        <v>0</v>
      </c>
      <c r="H1601" s="2517"/>
      <c r="I1601" s="2517"/>
      <c r="J1601" s="2517">
        <v>13915</v>
      </c>
      <c r="K1601" s="2517"/>
      <c r="L1601" s="2517">
        <f t="shared" si="296"/>
        <v>0</v>
      </c>
      <c r="M1601" s="2517">
        <f t="shared" si="300"/>
        <v>0</v>
      </c>
      <c r="N1601" s="2517">
        <f t="shared" si="297"/>
        <v>0</v>
      </c>
      <c r="O1601" s="2517">
        <f t="shared" si="298"/>
        <v>0</v>
      </c>
      <c r="P1601" s="2642"/>
      <c r="Q1601" s="2519"/>
      <c r="R1601" s="2519"/>
      <c r="S1601" s="2519"/>
    </row>
    <row r="1602" spans="1:19" s="2358" customFormat="1" outlineLevel="1">
      <c r="A1602" s="2435" t="str">
        <f t="shared" si="299"/>
        <v/>
      </c>
      <c r="B1602" s="2514"/>
      <c r="C1602" s="2511">
        <f>IF(G1602&gt;0,C1590+1,C1590)</f>
        <v>0</v>
      </c>
      <c r="D1602" s="2512"/>
      <c r="E1602" s="2513" t="s">
        <v>3726</v>
      </c>
      <c r="F1602" s="2511" t="s">
        <v>2391</v>
      </c>
      <c r="G1602" s="2516">
        <f>+G1516</f>
        <v>0</v>
      </c>
      <c r="H1602" s="2517"/>
      <c r="I1602" s="2517"/>
      <c r="J1602" s="2517"/>
      <c r="K1602" s="2517"/>
      <c r="L1602" s="2517"/>
      <c r="M1602" s="2517"/>
      <c r="N1602" s="2517"/>
      <c r="O1602" s="2517"/>
      <c r="P1602" s="2518"/>
      <c r="Q1602" s="2519"/>
      <c r="R1602" s="2519"/>
      <c r="S1602" s="2519"/>
    </row>
    <row r="1603" spans="1:19" s="2358" customFormat="1" ht="14.4" outlineLevel="1">
      <c r="A1603" s="2435" t="str">
        <f>A1602</f>
        <v/>
      </c>
      <c r="B1603" s="2514"/>
      <c r="C1603" s="2511"/>
      <c r="D1603" s="2512"/>
      <c r="E1603" s="2527" t="s">
        <v>6207</v>
      </c>
      <c r="F1603" s="2511"/>
      <c r="G1603" s="2516"/>
      <c r="H1603" s="2517"/>
      <c r="I1603" s="2517"/>
      <c r="J1603" s="2517"/>
      <c r="K1603" s="2517"/>
      <c r="L1603" s="2517"/>
      <c r="M1603" s="2517"/>
      <c r="N1603" s="2517"/>
      <c r="O1603" s="2517"/>
      <c r="P1603" s="2518"/>
      <c r="Q1603" s="2519"/>
      <c r="R1603" s="2519"/>
      <c r="S1603" s="2519"/>
    </row>
    <row r="1604" spans="1:19" s="2358" customFormat="1" outlineLevel="1">
      <c r="A1604" s="2435" t="str">
        <f>IF(G1604&lt;&gt;0,1,"")</f>
        <v/>
      </c>
      <c r="B1604" s="2514" t="s">
        <v>1492</v>
      </c>
      <c r="C1604" s="2521"/>
      <c r="D1604" s="2405">
        <v>0</v>
      </c>
      <c r="E1604" s="2447" t="s">
        <v>3550</v>
      </c>
      <c r="F1604" s="2405" t="s">
        <v>1827</v>
      </c>
      <c r="G1604" s="2522">
        <f>G1602*2</f>
        <v>0</v>
      </c>
      <c r="H1604" s="2517">
        <v>63200</v>
      </c>
      <c r="I1604" s="2517"/>
      <c r="J1604" s="2517">
        <v>0</v>
      </c>
      <c r="K1604" s="2517">
        <v>0</v>
      </c>
      <c r="L1604" s="2517">
        <f>H1604*G1604</f>
        <v>0</v>
      </c>
      <c r="M1604" s="2517">
        <f>I1604*G1604</f>
        <v>0</v>
      </c>
      <c r="N1604" s="2517">
        <f>J1604*G1604</f>
        <v>0</v>
      </c>
      <c r="O1604" s="2517">
        <f>K1604*G1604</f>
        <v>0</v>
      </c>
      <c r="P1604" s="2518"/>
      <c r="Q1604" s="2519"/>
      <c r="R1604" s="2519"/>
      <c r="S1604" s="2519"/>
    </row>
    <row r="1605" spans="1:19" s="2358" customFormat="1" outlineLevel="1">
      <c r="A1605" s="2435" t="str">
        <f>IF(G1605&lt;&gt;0,1,"")</f>
        <v/>
      </c>
      <c r="B1605" s="2514" t="s">
        <v>86</v>
      </c>
      <c r="C1605" s="2521"/>
      <c r="D1605" s="2405">
        <v>0</v>
      </c>
      <c r="E1605" s="2447" t="s">
        <v>5859</v>
      </c>
      <c r="F1605" s="2405" t="s">
        <v>2563</v>
      </c>
      <c r="G1605" s="2522">
        <f>G1602*2</f>
        <v>0</v>
      </c>
      <c r="H1605" s="2517">
        <v>45400</v>
      </c>
      <c r="I1605" s="2517"/>
      <c r="J1605" s="2517">
        <v>0</v>
      </c>
      <c r="K1605" s="2517">
        <v>0</v>
      </c>
      <c r="L1605" s="2517">
        <f>H1605*G1605</f>
        <v>0</v>
      </c>
      <c r="M1605" s="2517">
        <f>I1605*G1605</f>
        <v>0</v>
      </c>
      <c r="N1605" s="2517">
        <f>J1605*G1605</f>
        <v>0</v>
      </c>
      <c r="O1605" s="2517">
        <f>K1605*G1605</f>
        <v>0</v>
      </c>
      <c r="P1605" s="2518"/>
      <c r="Q1605" s="2519"/>
      <c r="R1605" s="2519"/>
      <c r="S1605" s="2519"/>
    </row>
    <row r="1606" spans="1:19" s="2358" customFormat="1" outlineLevel="1">
      <c r="A1606" s="2435" t="str">
        <f>IF(G1606&lt;&gt;0,1,"")</f>
        <v/>
      </c>
      <c r="B1606" s="2514" t="s">
        <v>931</v>
      </c>
      <c r="C1606" s="2521"/>
      <c r="D1606" s="2405">
        <v>0</v>
      </c>
      <c r="E1606" s="2447" t="s">
        <v>3592</v>
      </c>
      <c r="F1606" s="2405" t="s">
        <v>2563</v>
      </c>
      <c r="G1606" s="2522">
        <f>G1602*1</f>
        <v>0</v>
      </c>
      <c r="H1606" s="2517">
        <v>25800</v>
      </c>
      <c r="I1606" s="2517"/>
      <c r="J1606" s="2517">
        <v>0</v>
      </c>
      <c r="K1606" s="2517">
        <v>0</v>
      </c>
      <c r="L1606" s="2517">
        <f>H1606*G1606</f>
        <v>0</v>
      </c>
      <c r="M1606" s="2517">
        <f>I1606*G1606</f>
        <v>0</v>
      </c>
      <c r="N1606" s="2517">
        <f>J1606*G1606</f>
        <v>0</v>
      </c>
      <c r="O1606" s="2517">
        <f>K1606*G1606</f>
        <v>0</v>
      </c>
      <c r="P1606" s="2518"/>
      <c r="Q1606" s="2519"/>
      <c r="R1606" s="2519"/>
      <c r="S1606" s="2519"/>
    </row>
    <row r="1607" spans="1:19" s="2358" customFormat="1" outlineLevel="1">
      <c r="A1607" s="2435" t="str">
        <f>IF(G1607&lt;&gt;0,1,"")</f>
        <v/>
      </c>
      <c r="B1607" s="2514" t="s">
        <v>930</v>
      </c>
      <c r="C1607" s="2521"/>
      <c r="D1607" s="2405">
        <v>0</v>
      </c>
      <c r="E1607" s="2447" t="s">
        <v>3596</v>
      </c>
      <c r="F1607" s="2405" t="s">
        <v>2563</v>
      </c>
      <c r="G1607" s="2522">
        <f>G1606</f>
        <v>0</v>
      </c>
      <c r="H1607" s="2517">
        <v>21500</v>
      </c>
      <c r="I1607" s="2517"/>
      <c r="J1607" s="2517">
        <v>0</v>
      </c>
      <c r="K1607" s="2517">
        <v>0</v>
      </c>
      <c r="L1607" s="2517">
        <f>H1607*G1607</f>
        <v>0</v>
      </c>
      <c r="M1607" s="2517">
        <f>I1607*G1607</f>
        <v>0</v>
      </c>
      <c r="N1607" s="2517">
        <f>J1607*G1607</f>
        <v>0</v>
      </c>
      <c r="O1607" s="2517">
        <f>K1607*G1607</f>
        <v>0</v>
      </c>
      <c r="P1607" s="2518"/>
      <c r="Q1607" s="2519"/>
      <c r="R1607" s="2519"/>
      <c r="S1607" s="2519"/>
    </row>
    <row r="1608" spans="1:19" s="2358" customFormat="1" outlineLevel="1">
      <c r="A1608" s="2435" t="str">
        <f>IF(G1608&lt;&gt;0,1,"")</f>
        <v/>
      </c>
      <c r="B1608" s="2505"/>
      <c r="C1608" s="2511">
        <f>IF(G1608&gt;0,C1602+1,C1602)</f>
        <v>0</v>
      </c>
      <c r="D1608" s="2512"/>
      <c r="E1608" s="2513" t="s">
        <v>3746</v>
      </c>
      <c r="F1608" s="2511" t="s">
        <v>2391</v>
      </c>
      <c r="G1608" s="2522">
        <f>G1585</f>
        <v>0</v>
      </c>
      <c r="H1608" s="2517"/>
      <c r="I1608" s="2517"/>
      <c r="J1608" s="2517"/>
      <c r="K1608" s="2517"/>
      <c r="L1608" s="2517"/>
      <c r="M1608" s="2517"/>
      <c r="N1608" s="2517"/>
      <c r="O1608" s="2517"/>
      <c r="P1608" s="2642"/>
      <c r="Q1608" s="2519"/>
      <c r="R1608" s="2519"/>
      <c r="S1608" s="2519"/>
    </row>
    <row r="1609" spans="1:19" s="2358" customFormat="1" ht="14.4" outlineLevel="1">
      <c r="A1609" s="2435" t="str">
        <f>A1608</f>
        <v/>
      </c>
      <c r="B1609" s="2505"/>
      <c r="C1609" s="2511"/>
      <c r="D1609" s="2512"/>
      <c r="E1609" s="2527" t="s">
        <v>6207</v>
      </c>
      <c r="F1609" s="2511"/>
      <c r="G1609" s="2522"/>
      <c r="H1609" s="2517"/>
      <c r="I1609" s="2517"/>
      <c r="J1609" s="2517"/>
      <c r="K1609" s="2517"/>
      <c r="L1609" s="2517"/>
      <c r="M1609" s="2517"/>
      <c r="N1609" s="2517"/>
      <c r="O1609" s="2517"/>
      <c r="P1609" s="2642"/>
      <c r="Q1609" s="2519"/>
      <c r="R1609" s="2519"/>
      <c r="S1609" s="2519"/>
    </row>
    <row r="1610" spans="1:19" s="2358" customFormat="1" outlineLevel="1">
      <c r="A1610" s="2435" t="str">
        <f t="shared" ref="A1610:A1625" si="301">IF(G1610&lt;&gt;0,1,"")</f>
        <v/>
      </c>
      <c r="B1610" s="2514" t="s">
        <v>2154</v>
      </c>
      <c r="C1610" s="2521"/>
      <c r="D1610" s="2405">
        <v>0</v>
      </c>
      <c r="E1610" s="2447" t="s">
        <v>2809</v>
      </c>
      <c r="F1610" s="2405" t="s">
        <v>2538</v>
      </c>
      <c r="G1610" s="2674">
        <f>6*3*G1608</f>
        <v>0</v>
      </c>
      <c r="H1610" s="2517">
        <v>684900</v>
      </c>
      <c r="I1610" s="2517"/>
      <c r="J1610" s="2517">
        <v>0</v>
      </c>
      <c r="K1610" s="2517">
        <v>0</v>
      </c>
      <c r="L1610" s="2517">
        <f t="shared" ref="L1610:L1624" si="302">H1610*G1610</f>
        <v>0</v>
      </c>
      <c r="M1610" s="2517">
        <f t="shared" ref="M1610:M1624" si="303">I1610*G1610</f>
        <v>0</v>
      </c>
      <c r="N1610" s="2517">
        <f t="shared" ref="N1610:N1624" si="304">J1610*G1610</f>
        <v>0</v>
      </c>
      <c r="O1610" s="2517">
        <f t="shared" ref="O1610:O1624" si="305">K1610*G1610</f>
        <v>0</v>
      </c>
      <c r="P1610" s="2642"/>
      <c r="Q1610" s="2519"/>
      <c r="R1610" s="2519"/>
      <c r="S1610" s="2519"/>
    </row>
    <row r="1611" spans="1:19" s="2358" customFormat="1" outlineLevel="1">
      <c r="A1611" s="2435" t="str">
        <f t="shared" si="301"/>
        <v/>
      </c>
      <c r="B1611" s="2514" t="s">
        <v>34</v>
      </c>
      <c r="C1611" s="2521"/>
      <c r="D1611" s="2405">
        <v>0</v>
      </c>
      <c r="E1611" s="2447" t="s">
        <v>2804</v>
      </c>
      <c r="F1611" s="2405" t="s">
        <v>2538</v>
      </c>
      <c r="G1611" s="2674">
        <f>6*G1608</f>
        <v>0</v>
      </c>
      <c r="H1611" s="2517">
        <v>194893</v>
      </c>
      <c r="I1611" s="2517"/>
      <c r="J1611" s="2517">
        <v>0</v>
      </c>
      <c r="K1611" s="2517">
        <v>0</v>
      </c>
      <c r="L1611" s="2517">
        <f t="shared" si="302"/>
        <v>0</v>
      </c>
      <c r="M1611" s="2517">
        <f t="shared" si="303"/>
        <v>0</v>
      </c>
      <c r="N1611" s="2517">
        <f t="shared" si="304"/>
        <v>0</v>
      </c>
      <c r="O1611" s="2517">
        <f t="shared" si="305"/>
        <v>0</v>
      </c>
      <c r="P1611" s="2642"/>
      <c r="Q1611" s="2519"/>
      <c r="R1611" s="2519"/>
      <c r="S1611" s="2519"/>
    </row>
    <row r="1612" spans="1:19" s="2358" customFormat="1" outlineLevel="1">
      <c r="A1612" s="2435" t="str">
        <f>IF(G1612&lt;&gt;0,1,"")</f>
        <v/>
      </c>
      <c r="B1612" s="2514" t="s">
        <v>1826</v>
      </c>
      <c r="C1612" s="2521"/>
      <c r="D1612" s="2405" t="s">
        <v>1530</v>
      </c>
      <c r="E1612" s="2447" t="s">
        <v>2792</v>
      </c>
      <c r="F1612" s="2405" t="s">
        <v>2538</v>
      </c>
      <c r="G1612" s="2522">
        <f>+G1608*4</f>
        <v>0</v>
      </c>
      <c r="H1612" s="2517">
        <v>28200</v>
      </c>
      <c r="I1612" s="2517"/>
      <c r="J1612" s="2517">
        <v>0</v>
      </c>
      <c r="K1612" s="2517">
        <v>0</v>
      </c>
      <c r="L1612" s="2517">
        <f>H1612*G1612</f>
        <v>0</v>
      </c>
      <c r="M1612" s="2517">
        <f>I1612*G1612</f>
        <v>0</v>
      </c>
      <c r="N1612" s="2517">
        <f>J1612*G1612</f>
        <v>0</v>
      </c>
      <c r="O1612" s="2517">
        <f>K1612*G1612</f>
        <v>0</v>
      </c>
      <c r="P1612" s="2518"/>
      <c r="Q1612" s="2519"/>
      <c r="R1612" s="2519"/>
      <c r="S1612" s="2519"/>
    </row>
    <row r="1613" spans="1:19" s="2358" customFormat="1" outlineLevel="1">
      <c r="A1613" s="2435" t="str">
        <f t="shared" si="301"/>
        <v/>
      </c>
      <c r="B1613" s="2514" t="s">
        <v>449</v>
      </c>
      <c r="C1613" s="2521"/>
      <c r="D1613" s="2405" t="s">
        <v>5794</v>
      </c>
      <c r="E1613" s="2447" t="s">
        <v>3506</v>
      </c>
      <c r="F1613" s="2405" t="s">
        <v>2563</v>
      </c>
      <c r="G1613" s="2522">
        <f>G1608*6</f>
        <v>0</v>
      </c>
      <c r="H1613" s="2517">
        <v>108000</v>
      </c>
      <c r="I1613" s="2517"/>
      <c r="J1613" s="2517">
        <v>59410.148000000001</v>
      </c>
      <c r="K1613" s="2517">
        <v>7775.6650930000005</v>
      </c>
      <c r="L1613" s="2517">
        <f t="shared" si="302"/>
        <v>0</v>
      </c>
      <c r="M1613" s="2517">
        <f t="shared" si="303"/>
        <v>0</v>
      </c>
      <c r="N1613" s="2517">
        <f t="shared" si="304"/>
        <v>0</v>
      </c>
      <c r="O1613" s="2517">
        <f t="shared" si="305"/>
        <v>0</v>
      </c>
      <c r="P1613" s="2642"/>
      <c r="Q1613" s="2519"/>
      <c r="R1613" s="2519"/>
      <c r="S1613" s="2519"/>
    </row>
    <row r="1614" spans="1:19" s="2358" customFormat="1" outlineLevel="1">
      <c r="A1614" s="2435" t="str">
        <f t="shared" si="301"/>
        <v/>
      </c>
      <c r="B1614" s="2514" t="s">
        <v>2161</v>
      </c>
      <c r="C1614" s="2521"/>
      <c r="D1614" s="2405" t="s">
        <v>5791</v>
      </c>
      <c r="E1614" s="2447" t="s">
        <v>3501</v>
      </c>
      <c r="F1614" s="2405" t="s">
        <v>2563</v>
      </c>
      <c r="G1614" s="2522">
        <f>G1608*2</f>
        <v>0</v>
      </c>
      <c r="H1614" s="2517">
        <v>36000</v>
      </c>
      <c r="I1614" s="2517"/>
      <c r="J1614" s="2517">
        <v>33342.43</v>
      </c>
      <c r="K1614" s="2517">
        <v>4443.237196</v>
      </c>
      <c r="L1614" s="2517">
        <f t="shared" si="302"/>
        <v>0</v>
      </c>
      <c r="M1614" s="2517">
        <f t="shared" si="303"/>
        <v>0</v>
      </c>
      <c r="N1614" s="2517">
        <f t="shared" si="304"/>
        <v>0</v>
      </c>
      <c r="O1614" s="2517">
        <f t="shared" si="305"/>
        <v>0</v>
      </c>
      <c r="P1614" s="2642"/>
      <c r="Q1614" s="2519"/>
      <c r="R1614" s="2519"/>
      <c r="S1614" s="2519"/>
    </row>
    <row r="1615" spans="1:19" s="2358" customFormat="1" outlineLevel="1">
      <c r="A1615" s="2435" t="str">
        <f t="shared" si="301"/>
        <v/>
      </c>
      <c r="B1615" s="2514" t="s">
        <v>975</v>
      </c>
      <c r="C1615" s="2521"/>
      <c r="D1615" s="2405">
        <v>0</v>
      </c>
      <c r="E1615" s="2447" t="s">
        <v>3520</v>
      </c>
      <c r="F1615" s="2405" t="s">
        <v>2563</v>
      </c>
      <c r="G1615" s="2522">
        <f>G1613</f>
        <v>0</v>
      </c>
      <c r="H1615" s="2517">
        <v>8000</v>
      </c>
      <c r="I1615" s="2517"/>
      <c r="J1615" s="2517">
        <v>0</v>
      </c>
      <c r="K1615" s="2517">
        <v>0</v>
      </c>
      <c r="L1615" s="2517">
        <f t="shared" si="302"/>
        <v>0</v>
      </c>
      <c r="M1615" s="2517">
        <f t="shared" si="303"/>
        <v>0</v>
      </c>
      <c r="N1615" s="2517">
        <f t="shared" si="304"/>
        <v>0</v>
      </c>
      <c r="O1615" s="2517">
        <f t="shared" si="305"/>
        <v>0</v>
      </c>
      <c r="P1615" s="2642"/>
      <c r="Q1615" s="2519"/>
      <c r="R1615" s="2519"/>
      <c r="S1615" s="2519"/>
    </row>
    <row r="1616" spans="1:19" s="2358" customFormat="1" outlineLevel="1">
      <c r="A1616" s="2435" t="str">
        <f t="shared" si="301"/>
        <v/>
      </c>
      <c r="B1616" s="2514" t="s">
        <v>91</v>
      </c>
      <c r="C1616" s="2521"/>
      <c r="D1616" s="2405">
        <v>0</v>
      </c>
      <c r="E1616" s="2447" t="s">
        <v>3515</v>
      </c>
      <c r="F1616" s="2405" t="s">
        <v>2563</v>
      </c>
      <c r="G1616" s="2522">
        <f>G1614</f>
        <v>0</v>
      </c>
      <c r="H1616" s="2517">
        <v>5000</v>
      </c>
      <c r="I1616" s="2517"/>
      <c r="J1616" s="2517">
        <v>0</v>
      </c>
      <c r="K1616" s="2517">
        <v>0</v>
      </c>
      <c r="L1616" s="2517">
        <f t="shared" si="302"/>
        <v>0</v>
      </c>
      <c r="M1616" s="2517">
        <f t="shared" si="303"/>
        <v>0</v>
      </c>
      <c r="N1616" s="2517">
        <f t="shared" si="304"/>
        <v>0</v>
      </c>
      <c r="O1616" s="2517">
        <f t="shared" si="305"/>
        <v>0</v>
      </c>
      <c r="P1616" s="2642"/>
      <c r="Q1616" s="2519"/>
      <c r="R1616" s="2519"/>
      <c r="S1616" s="2519"/>
    </row>
    <row r="1617" spans="1:19" s="2358" customFormat="1" outlineLevel="1">
      <c r="A1617" s="2435" t="str">
        <f t="shared" si="301"/>
        <v/>
      </c>
      <c r="B1617" s="2514" t="s">
        <v>1042</v>
      </c>
      <c r="C1617" s="2521"/>
      <c r="D1617" s="2405">
        <v>0</v>
      </c>
      <c r="E1617" s="2447" t="s">
        <v>3549</v>
      </c>
      <c r="F1617" s="2405" t="s">
        <v>1827</v>
      </c>
      <c r="G1617" s="2522">
        <f>+G1608*3</f>
        <v>0</v>
      </c>
      <c r="H1617" s="2517">
        <v>103700</v>
      </c>
      <c r="I1617" s="2517"/>
      <c r="J1617" s="2517">
        <v>0</v>
      </c>
      <c r="K1617" s="2517">
        <v>0</v>
      </c>
      <c r="L1617" s="2517">
        <f t="shared" si="302"/>
        <v>0</v>
      </c>
      <c r="M1617" s="2517">
        <f t="shared" si="303"/>
        <v>0</v>
      </c>
      <c r="N1617" s="2517">
        <f t="shared" si="304"/>
        <v>0</v>
      </c>
      <c r="O1617" s="2517">
        <f t="shared" si="305"/>
        <v>0</v>
      </c>
      <c r="P1617" s="2642"/>
      <c r="Q1617" s="2519"/>
      <c r="R1617" s="2519"/>
      <c r="S1617" s="2519"/>
    </row>
    <row r="1618" spans="1:19" s="2358" customFormat="1" outlineLevel="1">
      <c r="A1618" s="2435" t="str">
        <f t="shared" si="301"/>
        <v/>
      </c>
      <c r="B1618" s="2505" t="s">
        <v>731</v>
      </c>
      <c r="C1618" s="2521"/>
      <c r="D1618" s="2405">
        <v>0</v>
      </c>
      <c r="E1618" s="2447" t="s">
        <v>5319</v>
      </c>
      <c r="F1618" s="2405" t="s">
        <v>2445</v>
      </c>
      <c r="G1618" s="2522">
        <f>G1608*2</f>
        <v>0</v>
      </c>
      <c r="H1618" s="2517">
        <v>50000</v>
      </c>
      <c r="I1618" s="2517"/>
      <c r="J1618" s="2517">
        <v>0</v>
      </c>
      <c r="K1618" s="2517">
        <v>0</v>
      </c>
      <c r="L1618" s="2517">
        <f t="shared" si="302"/>
        <v>0</v>
      </c>
      <c r="M1618" s="2517">
        <f t="shared" si="303"/>
        <v>0</v>
      </c>
      <c r="N1618" s="2517">
        <f t="shared" si="304"/>
        <v>0</v>
      </c>
      <c r="O1618" s="2517">
        <f t="shared" si="305"/>
        <v>0</v>
      </c>
      <c r="P1618" s="2642"/>
      <c r="Q1618" s="2675"/>
      <c r="R1618" s="2519"/>
      <c r="S1618" s="2519"/>
    </row>
    <row r="1619" spans="1:19" s="2358" customFormat="1" outlineLevel="1">
      <c r="A1619" s="2435" t="str">
        <f t="shared" si="301"/>
        <v/>
      </c>
      <c r="B1619" s="2514" t="s">
        <v>2173</v>
      </c>
      <c r="C1619" s="2521"/>
      <c r="D1619" s="2405">
        <v>0</v>
      </c>
      <c r="E1619" s="2447" t="s">
        <v>3593</v>
      </c>
      <c r="F1619" s="2405" t="s">
        <v>2563</v>
      </c>
      <c r="G1619" s="2522">
        <f>G1608*1</f>
        <v>0</v>
      </c>
      <c r="H1619" s="2517">
        <v>41900</v>
      </c>
      <c r="I1619" s="2517"/>
      <c r="J1619" s="2517">
        <v>0</v>
      </c>
      <c r="K1619" s="2517">
        <v>0</v>
      </c>
      <c r="L1619" s="2517">
        <f t="shared" si="302"/>
        <v>0</v>
      </c>
      <c r="M1619" s="2517">
        <f t="shared" si="303"/>
        <v>0</v>
      </c>
      <c r="N1619" s="2517">
        <f t="shared" si="304"/>
        <v>0</v>
      </c>
      <c r="O1619" s="2517">
        <f t="shared" si="305"/>
        <v>0</v>
      </c>
      <c r="P1619" s="2642"/>
      <c r="Q1619" s="2519"/>
      <c r="R1619" s="2519"/>
      <c r="S1619" s="2519"/>
    </row>
    <row r="1620" spans="1:19" s="2358" customFormat="1" outlineLevel="1">
      <c r="A1620" s="2435" t="str">
        <f t="shared" si="301"/>
        <v/>
      </c>
      <c r="B1620" s="2514" t="s">
        <v>2174</v>
      </c>
      <c r="C1620" s="2521"/>
      <c r="D1620" s="2405">
        <v>0</v>
      </c>
      <c r="E1620" s="2447" t="s">
        <v>3597</v>
      </c>
      <c r="F1620" s="2405" t="s">
        <v>2563</v>
      </c>
      <c r="G1620" s="2522">
        <f>G1619</f>
        <v>0</v>
      </c>
      <c r="H1620" s="2517">
        <v>41900</v>
      </c>
      <c r="I1620" s="2517"/>
      <c r="J1620" s="2517">
        <v>0</v>
      </c>
      <c r="K1620" s="2517">
        <v>0</v>
      </c>
      <c r="L1620" s="2517">
        <f t="shared" si="302"/>
        <v>0</v>
      </c>
      <c r="M1620" s="2517">
        <f t="shared" si="303"/>
        <v>0</v>
      </c>
      <c r="N1620" s="2517">
        <f t="shared" si="304"/>
        <v>0</v>
      </c>
      <c r="O1620" s="2517">
        <f t="shared" si="305"/>
        <v>0</v>
      </c>
      <c r="P1620" s="2642"/>
      <c r="Q1620" s="2519"/>
      <c r="R1620" s="2519"/>
      <c r="S1620" s="2519"/>
    </row>
    <row r="1621" spans="1:19" s="2358" customFormat="1" outlineLevel="1">
      <c r="A1621" s="2435" t="str">
        <f t="shared" si="301"/>
        <v/>
      </c>
      <c r="B1621" s="2514" t="s">
        <v>2080</v>
      </c>
      <c r="C1621" s="2521"/>
      <c r="D1621" s="2405">
        <v>0</v>
      </c>
      <c r="E1621" s="2447" t="s">
        <v>3588</v>
      </c>
      <c r="F1621" s="2405" t="s">
        <v>3589</v>
      </c>
      <c r="G1621" s="2522">
        <f>G1620</f>
        <v>0</v>
      </c>
      <c r="H1621" s="2517">
        <v>11500</v>
      </c>
      <c r="I1621" s="2517"/>
      <c r="J1621" s="2517">
        <v>0</v>
      </c>
      <c r="K1621" s="2517">
        <v>0</v>
      </c>
      <c r="L1621" s="2517">
        <f t="shared" si="302"/>
        <v>0</v>
      </c>
      <c r="M1621" s="2517">
        <f t="shared" si="303"/>
        <v>0</v>
      </c>
      <c r="N1621" s="2517">
        <f t="shared" si="304"/>
        <v>0</v>
      </c>
      <c r="O1621" s="2517">
        <f t="shared" si="305"/>
        <v>0</v>
      </c>
      <c r="P1621" s="2642"/>
      <c r="Q1621" s="2519"/>
      <c r="R1621" s="2519"/>
      <c r="S1621" s="2519"/>
    </row>
    <row r="1622" spans="1:19" s="2358" customFormat="1" outlineLevel="1">
      <c r="A1622" s="2435" t="str">
        <f t="shared" si="301"/>
        <v/>
      </c>
      <c r="B1622" s="2505" t="s">
        <v>6</v>
      </c>
      <c r="C1622" s="2521"/>
      <c r="D1622" s="2405"/>
      <c r="E1622" s="2447" t="s">
        <v>3585</v>
      </c>
      <c r="F1622" s="2405" t="s">
        <v>5868</v>
      </c>
      <c r="G1622" s="2522">
        <f>G1621</f>
        <v>0</v>
      </c>
      <c r="H1622" s="2517">
        <v>45000</v>
      </c>
      <c r="I1622" s="2517"/>
      <c r="J1622" s="2517"/>
      <c r="K1622" s="2517"/>
      <c r="L1622" s="2517">
        <f t="shared" si="302"/>
        <v>0</v>
      </c>
      <c r="M1622" s="2517">
        <f t="shared" si="303"/>
        <v>0</v>
      </c>
      <c r="N1622" s="2517">
        <f t="shared" si="304"/>
        <v>0</v>
      </c>
      <c r="O1622" s="2517">
        <f t="shared" si="305"/>
        <v>0</v>
      </c>
      <c r="P1622" s="2518"/>
      <c r="Q1622" s="2519"/>
      <c r="R1622" s="2519"/>
      <c r="S1622" s="2519"/>
    </row>
    <row r="1623" spans="1:19" s="2358" customFormat="1" outlineLevel="1">
      <c r="A1623" s="2435" t="str">
        <f t="shared" si="301"/>
        <v/>
      </c>
      <c r="B1623" s="2514" t="s">
        <v>1351</v>
      </c>
      <c r="C1623" s="2521"/>
      <c r="D1623" s="2405">
        <v>0</v>
      </c>
      <c r="E1623" s="2447" t="s">
        <v>3536</v>
      </c>
      <c r="F1623" s="2405" t="s">
        <v>3537</v>
      </c>
      <c r="G1623" s="2522">
        <f>+G1608</f>
        <v>0</v>
      </c>
      <c r="H1623" s="2517">
        <v>15000</v>
      </c>
      <c r="I1623" s="2517"/>
      <c r="J1623" s="2517">
        <v>0</v>
      </c>
      <c r="K1623" s="2517">
        <v>0</v>
      </c>
      <c r="L1623" s="2517">
        <f t="shared" si="302"/>
        <v>0</v>
      </c>
      <c r="M1623" s="2517">
        <f t="shared" si="303"/>
        <v>0</v>
      </c>
      <c r="N1623" s="2517">
        <f t="shared" si="304"/>
        <v>0</v>
      </c>
      <c r="O1623" s="2517">
        <f t="shared" si="305"/>
        <v>0</v>
      </c>
      <c r="P1623" s="2518"/>
      <c r="Q1623" s="2519"/>
      <c r="R1623" s="2519"/>
      <c r="S1623" s="2519"/>
    </row>
    <row r="1624" spans="1:19" s="2358" customFormat="1" outlineLevel="1">
      <c r="A1624" s="2435" t="str">
        <f t="shared" si="301"/>
        <v/>
      </c>
      <c r="B1624" s="2505" t="s">
        <v>672</v>
      </c>
      <c r="C1624" s="2521"/>
      <c r="D1624" s="2405">
        <v>0</v>
      </c>
      <c r="E1624" s="2447" t="s">
        <v>6431</v>
      </c>
      <c r="F1624" s="2405" t="s">
        <v>3584</v>
      </c>
      <c r="G1624" s="2522">
        <f>G1622*2</f>
        <v>0</v>
      </c>
      <c r="H1624" s="2517">
        <v>6500</v>
      </c>
      <c r="I1624" s="2517"/>
      <c r="J1624" s="2517">
        <v>0</v>
      </c>
      <c r="K1624" s="2517">
        <v>0</v>
      </c>
      <c r="L1624" s="2517">
        <f t="shared" si="302"/>
        <v>0</v>
      </c>
      <c r="M1624" s="2517">
        <f t="shared" si="303"/>
        <v>0</v>
      </c>
      <c r="N1624" s="2517">
        <f t="shared" si="304"/>
        <v>0</v>
      </c>
      <c r="O1624" s="2517">
        <f t="shared" si="305"/>
        <v>0</v>
      </c>
      <c r="P1624" s="2642"/>
      <c r="Q1624" s="2519"/>
      <c r="R1624" s="2519"/>
      <c r="S1624" s="2519"/>
    </row>
    <row r="1625" spans="1:19" s="2358" customFormat="1" outlineLevel="1">
      <c r="A1625" s="2435" t="str">
        <f t="shared" si="301"/>
        <v/>
      </c>
      <c r="B1625" s="2505" t="s">
        <v>247</v>
      </c>
      <c r="C1625" s="2521"/>
      <c r="D1625" s="2405" t="s">
        <v>5635</v>
      </c>
      <c r="E1625" s="2447" t="s">
        <v>5636</v>
      </c>
      <c r="F1625" s="2405" t="s">
        <v>1827</v>
      </c>
      <c r="G1625" s="2522">
        <f>G1610+G1611</f>
        <v>0</v>
      </c>
      <c r="H1625" s="2517">
        <v>0</v>
      </c>
      <c r="I1625" s="2517"/>
      <c r="J1625" s="2517">
        <v>47311</v>
      </c>
      <c r="K1625" s="2517">
        <v>0</v>
      </c>
      <c r="L1625" s="2517">
        <f>H1625*G1625</f>
        <v>0</v>
      </c>
      <c r="M1625" s="2517">
        <f>I1625*G1625</f>
        <v>0</v>
      </c>
      <c r="N1625" s="2517">
        <f>J1625*G1625</f>
        <v>0</v>
      </c>
      <c r="O1625" s="2517">
        <f>K1625*G1625</f>
        <v>0</v>
      </c>
      <c r="P1625" s="2642"/>
      <c r="Q1625" s="2519"/>
      <c r="R1625" s="2519"/>
      <c r="S1625" s="2519"/>
    </row>
    <row r="1626" spans="1:19" s="2358" customFormat="1" outlineLevel="1">
      <c r="A1626" s="2435">
        <f>A1506</f>
        <v>0</v>
      </c>
      <c r="B1626" s="2610"/>
      <c r="C1626" s="2676"/>
      <c r="D1626" s="2677"/>
      <c r="E1626" s="2652"/>
      <c r="F1626" s="2890"/>
      <c r="G1626" s="2891"/>
      <c r="H1626" s="2890"/>
      <c r="I1626" s="2890"/>
      <c r="J1626" s="2900" t="s">
        <v>6205</v>
      </c>
      <c r="K1626" s="2900"/>
      <c r="L1626" s="2678">
        <f>SUM(L1521:L1625)</f>
        <v>0</v>
      </c>
      <c r="M1626" s="2678">
        <f>SUM(M1522:M1625)</f>
        <v>0</v>
      </c>
      <c r="N1626" s="2678">
        <f>SUM(N1522:N1625)</f>
        <v>0</v>
      </c>
      <c r="O1626" s="2678">
        <f>SUM(O1522:O1625)</f>
        <v>0</v>
      </c>
      <c r="P1626" s="2649"/>
      <c r="Q1626" s="2519"/>
      <c r="R1626" s="2519"/>
      <c r="S1626" s="2519"/>
    </row>
    <row r="1627" spans="1:19" s="2358" customFormat="1" ht="13.8" customHeight="1">
      <c r="A1627" s="2639">
        <f>IF(G1632&gt;0,1,)</f>
        <v>0</v>
      </c>
      <c r="B1627" s="2505"/>
      <c r="C1627" s="2519"/>
      <c r="D1627" s="2519"/>
      <c r="E1627" s="2689"/>
      <c r="F1627" s="2519"/>
      <c r="G1627" s="2690"/>
      <c r="H1627" s="2519"/>
      <c r="I1627" s="2519"/>
      <c r="J1627" s="2519"/>
      <c r="K1627" s="2519"/>
      <c r="L1627" s="2519"/>
      <c r="M1627" s="2519"/>
      <c r="N1627" s="2519"/>
      <c r="O1627" s="2519"/>
      <c r="P1627" s="2691"/>
      <c r="Q1627" s="2519"/>
      <c r="R1627" s="2519"/>
      <c r="S1627" s="2519"/>
    </row>
    <row r="1628" spans="1:19" s="2358" customFormat="1" outlineLevel="1">
      <c r="A1628" s="2435">
        <f>A1627</f>
        <v>0</v>
      </c>
      <c r="B1628" s="2640"/>
      <c r="C1628" s="2877" t="str">
        <f>"BẢNG TỔNG HỢP VẬT LIỆU, NHÂN CÔNG, MÁY THI CÔNG: "&amp;K13&amp;" TRẠM 3P_3000KVA"</f>
        <v>BẢNG TỔNG HỢP VẬT LIỆU, NHÂN CÔNG, MÁY THI CÔNG: 0 TRẠM 3P_3000KVA</v>
      </c>
      <c r="D1628" s="2892"/>
      <c r="E1628" s="2892"/>
      <c r="F1628" s="2892"/>
      <c r="G1628" s="2892"/>
      <c r="H1628" s="2893"/>
      <c r="I1628" s="2781"/>
      <c r="J1628" s="2893"/>
      <c r="K1628" s="2893"/>
      <c r="L1628" s="2893"/>
      <c r="M1628" s="2781"/>
      <c r="N1628" s="2893"/>
      <c r="O1628" s="2893"/>
      <c r="P1628" s="2894"/>
      <c r="Q1628" s="2519"/>
      <c r="R1628" s="2519"/>
      <c r="S1628" s="2519"/>
    </row>
    <row r="1629" spans="1:19" s="2358" customFormat="1" outlineLevel="1">
      <c r="A1629" s="2435">
        <f>A1627</f>
        <v>0</v>
      </c>
      <c r="B1629" s="2514" t="s">
        <v>6186</v>
      </c>
      <c r="C1629" s="2901" t="s">
        <v>1712</v>
      </c>
      <c r="D1629" s="2902" t="s">
        <v>2605</v>
      </c>
      <c r="E1629" s="2904" t="s">
        <v>2606</v>
      </c>
      <c r="F1629" s="2901" t="s">
        <v>2601</v>
      </c>
      <c r="G1629" s="2362" t="s">
        <v>6187</v>
      </c>
      <c r="H1629" s="2365" t="s">
        <v>6188</v>
      </c>
      <c r="I1629" s="2872"/>
      <c r="J1629" s="2872"/>
      <c r="K1629" s="2873"/>
      <c r="L1629" s="2365" t="s">
        <v>6189</v>
      </c>
      <c r="M1629" s="2872"/>
      <c r="N1629" s="2872"/>
      <c r="O1629" s="2873"/>
      <c r="P1629" s="2786" t="s">
        <v>2607</v>
      </c>
      <c r="Q1629" s="2519"/>
      <c r="R1629" s="2519"/>
      <c r="S1629" s="2519"/>
    </row>
    <row r="1630" spans="1:19" s="2358" customFormat="1" outlineLevel="1">
      <c r="A1630" s="2435">
        <f>A1629</f>
        <v>0</v>
      </c>
      <c r="B1630" s="2514"/>
      <c r="C1630" s="2901"/>
      <c r="D1630" s="2903"/>
      <c r="E1630" s="2905"/>
      <c r="F1630" s="2901"/>
      <c r="G1630" s="2364" t="s">
        <v>2292</v>
      </c>
      <c r="H1630" s="2365" t="s">
        <v>6190</v>
      </c>
      <c r="I1630" s="2365" t="s">
        <v>6191</v>
      </c>
      <c r="J1630" s="2365" t="s">
        <v>6192</v>
      </c>
      <c r="K1630" s="2365" t="s">
        <v>6193</v>
      </c>
      <c r="L1630" s="2365" t="s">
        <v>6190</v>
      </c>
      <c r="M1630" s="2365" t="s">
        <v>6191</v>
      </c>
      <c r="N1630" s="2365" t="s">
        <v>6192</v>
      </c>
      <c r="O1630" s="2365" t="s">
        <v>6193</v>
      </c>
      <c r="P1630" s="2786"/>
      <c r="Q1630" s="2519"/>
      <c r="R1630" s="2519"/>
      <c r="S1630" s="2519"/>
    </row>
    <row r="1631" spans="1:19" s="2358" customFormat="1" outlineLevel="1">
      <c r="A1631" s="2435">
        <f>A1630</f>
        <v>0</v>
      </c>
      <c r="B1631" s="2514"/>
      <c r="C1631" s="2366"/>
      <c r="D1631" s="2367"/>
      <c r="E1631" s="2368" t="s">
        <v>3690</v>
      </c>
      <c r="F1631" s="2369"/>
      <c r="G1631" s="2369"/>
      <c r="H1631" s="2369"/>
      <c r="I1631" s="2369"/>
      <c r="J1631" s="2369"/>
      <c r="K1631" s="2369"/>
      <c r="L1631" s="2369"/>
      <c r="M1631" s="2369"/>
      <c r="N1631" s="2369"/>
      <c r="O1631" s="2367"/>
      <c r="P1631" s="2607"/>
      <c r="Q1631" s="2519"/>
      <c r="R1631" s="2519"/>
      <c r="S1631" s="2519"/>
    </row>
    <row r="1632" spans="1:19" s="2358" customFormat="1" outlineLevel="1">
      <c r="A1632" s="2435" t="str">
        <f t="shared" ref="A1632:A1643" si="306">IF(G1632&lt;&gt;0,1,"")</f>
        <v/>
      </c>
      <c r="B1632" s="2505" t="s">
        <v>1282</v>
      </c>
      <c r="C1632" s="2521">
        <f>IF(G1632&gt;0,1,0)</f>
        <v>0</v>
      </c>
      <c r="D1632" s="2405" t="s">
        <v>5656</v>
      </c>
      <c r="E1632" s="2708" t="s">
        <v>6432</v>
      </c>
      <c r="F1632" s="2405" t="s">
        <v>3318</v>
      </c>
      <c r="G1632" s="2709">
        <f>$K$13</f>
        <v>0</v>
      </c>
      <c r="H1632" s="2710">
        <v>1064770000</v>
      </c>
      <c r="I1632" s="2612"/>
      <c r="J1632" s="2612">
        <v>2440059.6500000004</v>
      </c>
      <c r="K1632" s="2612">
        <v>426761</v>
      </c>
      <c r="L1632" s="2613">
        <f t="shared" ref="L1632:L1643" si="307">H1632*G1632</f>
        <v>0</v>
      </c>
      <c r="M1632" s="2613">
        <f t="shared" ref="M1632:M1643" si="308">I1632*G1632</f>
        <v>0</v>
      </c>
      <c r="N1632" s="2613">
        <f t="shared" ref="N1632:N1643" si="309">J1632*G1632</f>
        <v>0</v>
      </c>
      <c r="O1632" s="2614">
        <f t="shared" ref="O1632:O1643" si="310">K1632*G1632</f>
        <v>0</v>
      </c>
      <c r="P1632" s="2693"/>
      <c r="Q1632" s="2519"/>
      <c r="R1632" s="2519"/>
      <c r="S1632" s="2519"/>
    </row>
    <row r="1633" spans="1:19" s="2358" customFormat="1" ht="27.6" outlineLevel="1">
      <c r="A1633" s="2435" t="str">
        <f t="shared" si="306"/>
        <v/>
      </c>
      <c r="B1633" s="2371" t="s">
        <v>5693</v>
      </c>
      <c r="C1633" s="2521">
        <f t="shared" ref="C1633:C1643" si="311">IF(G1633&gt;0,C1632+1,C1632)</f>
        <v>0</v>
      </c>
      <c r="D1633" s="2405" t="s">
        <v>5691</v>
      </c>
      <c r="E1633" s="2708" t="s">
        <v>5694</v>
      </c>
      <c r="F1633" s="2405" t="s">
        <v>3388</v>
      </c>
      <c r="G1633" s="2703"/>
      <c r="H1633" s="2517">
        <v>300000000</v>
      </c>
      <c r="I1633" s="2517">
        <v>0</v>
      </c>
      <c r="J1633" s="2517">
        <v>2546149.2000000002</v>
      </c>
      <c r="K1633" s="2517">
        <v>55839</v>
      </c>
      <c r="L1633" s="2517">
        <f t="shared" si="307"/>
        <v>0</v>
      </c>
      <c r="M1633" s="2517">
        <f t="shared" si="308"/>
        <v>0</v>
      </c>
      <c r="N1633" s="2517">
        <f t="shared" si="309"/>
        <v>0</v>
      </c>
      <c r="O1633" s="2517">
        <f t="shared" si="310"/>
        <v>0</v>
      </c>
      <c r="P1633" s="2694"/>
      <c r="Q1633" s="2519"/>
      <c r="R1633" s="2519"/>
      <c r="S1633" s="2519"/>
    </row>
    <row r="1634" spans="1:19" s="2358" customFormat="1" outlineLevel="1">
      <c r="A1634" s="2435" t="str">
        <f t="shared" si="306"/>
        <v/>
      </c>
      <c r="B1634" s="2371" t="str">
        <f>"FCO200-"&amp;$F$8</f>
        <v>FCO200-22</v>
      </c>
      <c r="C1634" s="2521">
        <f>IF(G1634&gt;0,C1633+1,C1633)</f>
        <v>0</v>
      </c>
      <c r="D1634" s="2405" t="s">
        <v>5660</v>
      </c>
      <c r="E1634" s="2447" t="s">
        <v>2034</v>
      </c>
      <c r="F1634" s="2405" t="s">
        <v>2563</v>
      </c>
      <c r="G1634" s="2703"/>
      <c r="H1634" s="2517">
        <v>4076000</v>
      </c>
      <c r="I1634" s="2517">
        <v>0</v>
      </c>
      <c r="J1634" s="2517">
        <v>176000</v>
      </c>
      <c r="K1634" s="2517">
        <v>0</v>
      </c>
      <c r="L1634" s="2517">
        <f>H1634*G1634</f>
        <v>0</v>
      </c>
      <c r="M1634" s="2517">
        <f>I1634*G1634</f>
        <v>0</v>
      </c>
      <c r="N1634" s="2517">
        <f>J1634*G1634</f>
        <v>0</v>
      </c>
      <c r="O1634" s="2517">
        <f>K1634*G1634</f>
        <v>0</v>
      </c>
      <c r="P1634" s="2694" t="s">
        <v>6309</v>
      </c>
      <c r="Q1634" s="2519"/>
      <c r="R1634" s="2519"/>
      <c r="S1634" s="2519"/>
    </row>
    <row r="1635" spans="1:19" s="2358" customFormat="1" outlineLevel="1">
      <c r="A1635" s="2435" t="str">
        <f t="shared" si="306"/>
        <v/>
      </c>
      <c r="B1635" s="2505" t="s">
        <v>561</v>
      </c>
      <c r="C1635" s="2521">
        <f>IF(G1635&gt;0,C1633+1,C1633)</f>
        <v>0</v>
      </c>
      <c r="D1635" s="2405">
        <v>0</v>
      </c>
      <c r="E1635" s="2447" t="s">
        <v>3453</v>
      </c>
      <c r="F1635" s="2405" t="s">
        <v>2608</v>
      </c>
      <c r="G1635" s="2703"/>
      <c r="H1635" s="2517">
        <v>225000</v>
      </c>
      <c r="I1635" s="2517">
        <v>0</v>
      </c>
      <c r="J1635" s="2517">
        <v>0</v>
      </c>
      <c r="K1635" s="2517">
        <v>0</v>
      </c>
      <c r="L1635" s="2517">
        <f t="shared" si="307"/>
        <v>0</v>
      </c>
      <c r="M1635" s="2517">
        <f t="shared" si="308"/>
        <v>0</v>
      </c>
      <c r="N1635" s="2517">
        <f t="shared" si="309"/>
        <v>0</v>
      </c>
      <c r="O1635" s="2517">
        <f t="shared" si="310"/>
        <v>0</v>
      </c>
      <c r="P1635" s="2694"/>
      <c r="Q1635" s="2519">
        <f>3000*1.5</f>
        <v>4500</v>
      </c>
      <c r="R1635" s="2519"/>
      <c r="S1635" s="2519"/>
    </row>
    <row r="1636" spans="1:19" s="2358" customFormat="1" outlineLevel="1">
      <c r="A1636" s="2435" t="str">
        <f t="shared" si="306"/>
        <v/>
      </c>
      <c r="B1636" s="2514" t="str">
        <f>"LA"&amp;$F$6</f>
        <v>LA18</v>
      </c>
      <c r="C1636" s="2521">
        <f t="shared" si="311"/>
        <v>0</v>
      </c>
      <c r="D1636" s="2405" t="s">
        <v>5664</v>
      </c>
      <c r="E1636" s="2447" t="s">
        <v>1193</v>
      </c>
      <c r="F1636" s="2405" t="s">
        <v>2563</v>
      </c>
      <c r="G1636" s="2703"/>
      <c r="H1636" s="2517">
        <v>1106000</v>
      </c>
      <c r="I1636" s="2517">
        <v>0</v>
      </c>
      <c r="J1636" s="2517">
        <v>83490</v>
      </c>
      <c r="K1636" s="2517">
        <v>0</v>
      </c>
      <c r="L1636" s="2517">
        <f t="shared" si="307"/>
        <v>0</v>
      </c>
      <c r="M1636" s="2517">
        <f t="shared" si="308"/>
        <v>0</v>
      </c>
      <c r="N1636" s="2517">
        <f t="shared" si="309"/>
        <v>0</v>
      </c>
      <c r="O1636" s="2517">
        <f t="shared" si="310"/>
        <v>0</v>
      </c>
      <c r="P1636" s="2694"/>
      <c r="Q1636" s="2519"/>
      <c r="R1636" s="2519"/>
      <c r="S1636" s="2519"/>
    </row>
    <row r="1637" spans="1:19" s="2358" customFormat="1" outlineLevel="1">
      <c r="A1637" s="2435" t="str">
        <f t="shared" si="306"/>
        <v/>
      </c>
      <c r="B1637" s="2514" t="str">
        <f>"LA"&amp;$F$6</f>
        <v>LA18</v>
      </c>
      <c r="C1637" s="2521">
        <f t="shared" si="311"/>
        <v>0</v>
      </c>
      <c r="D1637" s="2405" t="s">
        <v>5664</v>
      </c>
      <c r="E1637" s="2447" t="s">
        <v>1193</v>
      </c>
      <c r="F1637" s="2405" t="s">
        <v>2563</v>
      </c>
      <c r="G1637" s="2703"/>
      <c r="H1637" s="2517"/>
      <c r="I1637" s="2517">
        <v>0</v>
      </c>
      <c r="J1637" s="2517">
        <v>83490</v>
      </c>
      <c r="K1637" s="2517">
        <v>0</v>
      </c>
      <c r="L1637" s="2517">
        <f t="shared" si="307"/>
        <v>0</v>
      </c>
      <c r="M1637" s="2517">
        <f>I1637*G1637</f>
        <v>0</v>
      </c>
      <c r="N1637" s="2517">
        <f>J1637*G1637</f>
        <v>0</v>
      </c>
      <c r="O1637" s="2517">
        <f>K1637*G1637</f>
        <v>0</v>
      </c>
      <c r="P1637" s="2694" t="s">
        <v>6309</v>
      </c>
      <c r="Q1637" s="2519"/>
      <c r="R1637" s="2519"/>
      <c r="S1637" s="2519"/>
    </row>
    <row r="1638" spans="1:19" s="2358" customFormat="1" outlineLevel="1">
      <c r="A1638" s="2435" t="str">
        <f t="shared" si="306"/>
        <v/>
      </c>
      <c r="B1638" s="2610" t="s">
        <v>5753</v>
      </c>
      <c r="C1638" s="2521">
        <f t="shared" si="311"/>
        <v>0</v>
      </c>
      <c r="D1638" s="2405" t="s">
        <v>5750</v>
      </c>
      <c r="E1638" s="2447" t="s">
        <v>5754</v>
      </c>
      <c r="F1638" s="2405" t="s">
        <v>2563</v>
      </c>
      <c r="G1638" s="2703">
        <f>G1632</f>
        <v>0</v>
      </c>
      <c r="H1638" s="2711">
        <v>549444800</v>
      </c>
      <c r="I1638" s="2517">
        <v>0</v>
      </c>
      <c r="J1638" s="2517">
        <v>1391500</v>
      </c>
      <c r="K1638" s="2517">
        <v>0</v>
      </c>
      <c r="L1638" s="2517">
        <f t="shared" si="307"/>
        <v>0</v>
      </c>
      <c r="M1638" s="2517">
        <f t="shared" si="308"/>
        <v>0</v>
      </c>
      <c r="N1638" s="2517">
        <f t="shared" si="309"/>
        <v>0</v>
      </c>
      <c r="O1638" s="2517">
        <f t="shared" si="310"/>
        <v>0</v>
      </c>
      <c r="P1638" s="2642"/>
      <c r="Q1638" s="2519"/>
      <c r="R1638" s="2519"/>
      <c r="S1638" s="2519"/>
    </row>
    <row r="1639" spans="1:19" s="2358" customFormat="1" outlineLevel="1">
      <c r="A1639" s="2435" t="str">
        <f t="shared" si="306"/>
        <v/>
      </c>
      <c r="B1639" s="2610" t="s">
        <v>953</v>
      </c>
      <c r="C1639" s="2521">
        <f t="shared" si="311"/>
        <v>0</v>
      </c>
      <c r="D1639" s="2405" t="s">
        <v>5747</v>
      </c>
      <c r="E1639" s="2447" t="s">
        <v>5748</v>
      </c>
      <c r="F1639" s="2405" t="s">
        <v>2563</v>
      </c>
      <c r="G1639" s="2703"/>
      <c r="H1639" s="2517">
        <v>7180000</v>
      </c>
      <c r="I1639" s="2517">
        <v>0</v>
      </c>
      <c r="J1639" s="2517">
        <v>974050</v>
      </c>
      <c r="K1639" s="2517">
        <v>0</v>
      </c>
      <c r="L1639" s="2517">
        <f t="shared" si="307"/>
        <v>0</v>
      </c>
      <c r="M1639" s="2517">
        <f>I1639*G1639</f>
        <v>0</v>
      </c>
      <c r="N1639" s="2517">
        <f>J1639*G1639</f>
        <v>0</v>
      </c>
      <c r="O1639" s="2517">
        <f>K1639*G1639</f>
        <v>0</v>
      </c>
      <c r="P1639" s="2694"/>
      <c r="Q1639" s="2519"/>
      <c r="R1639" s="2519"/>
      <c r="S1639" s="2519"/>
    </row>
    <row r="1640" spans="1:19" s="2358" customFormat="1" outlineLevel="1">
      <c r="A1640" s="2435" t="str">
        <f t="shared" si="306"/>
        <v/>
      </c>
      <c r="B1640" s="2610" t="s">
        <v>6310</v>
      </c>
      <c r="C1640" s="2521">
        <f t="shared" si="311"/>
        <v>0</v>
      </c>
      <c r="D1640" s="2405" t="s">
        <v>5675</v>
      </c>
      <c r="E1640" s="2447" t="s">
        <v>5676</v>
      </c>
      <c r="F1640" s="2405" t="s">
        <v>3388</v>
      </c>
      <c r="G1640" s="2703">
        <f>G1632</f>
        <v>0</v>
      </c>
      <c r="H1640" s="2517">
        <v>240000000</v>
      </c>
      <c r="I1640" s="2517">
        <v>0</v>
      </c>
      <c r="J1640" s="2517">
        <v>694734.99600000004</v>
      </c>
      <c r="K1640" s="2517">
        <v>59254</v>
      </c>
      <c r="L1640" s="2517">
        <f t="shared" si="307"/>
        <v>0</v>
      </c>
      <c r="M1640" s="2517">
        <f t="shared" si="308"/>
        <v>0</v>
      </c>
      <c r="N1640" s="2517">
        <f t="shared" si="309"/>
        <v>0</v>
      </c>
      <c r="O1640" s="2517">
        <f t="shared" si="310"/>
        <v>0</v>
      </c>
      <c r="P1640" s="2642"/>
      <c r="Q1640" s="2519"/>
      <c r="R1640" s="2519"/>
      <c r="S1640" s="2519"/>
    </row>
    <row r="1641" spans="1:19" s="2358" customFormat="1" outlineLevel="1">
      <c r="A1641" s="2435" t="str">
        <f t="shared" si="306"/>
        <v/>
      </c>
      <c r="B1641" s="2502" t="s">
        <v>1474</v>
      </c>
      <c r="C1641" s="2521">
        <f t="shared" si="311"/>
        <v>0</v>
      </c>
      <c r="D1641" s="2405">
        <v>0</v>
      </c>
      <c r="E1641" s="2447" t="s">
        <v>3371</v>
      </c>
      <c r="F1641" s="2405" t="s">
        <v>2563</v>
      </c>
      <c r="G1641" s="2703"/>
      <c r="H1641" s="2517">
        <v>0</v>
      </c>
      <c r="I1641" s="2517">
        <v>0</v>
      </c>
      <c r="J1641" s="2517">
        <v>0</v>
      </c>
      <c r="K1641" s="2517">
        <v>0</v>
      </c>
      <c r="L1641" s="2517">
        <f t="shared" si="307"/>
        <v>0</v>
      </c>
      <c r="M1641" s="2517">
        <f t="shared" si="308"/>
        <v>0</v>
      </c>
      <c r="N1641" s="2517">
        <f t="shared" si="309"/>
        <v>0</v>
      </c>
      <c r="O1641" s="2517">
        <f t="shared" si="310"/>
        <v>0</v>
      </c>
      <c r="P1641" s="2644" t="s">
        <v>2609</v>
      </c>
      <c r="Q1641" s="2519"/>
      <c r="R1641" s="2519"/>
      <c r="S1641" s="2519"/>
    </row>
    <row r="1642" spans="1:19" s="2358" customFormat="1" outlineLevel="1">
      <c r="A1642" s="2435" t="str">
        <f t="shared" si="306"/>
        <v/>
      </c>
      <c r="B1642" s="2502" t="s">
        <v>2193</v>
      </c>
      <c r="C1642" s="2521">
        <f t="shared" si="311"/>
        <v>0</v>
      </c>
      <c r="D1642" s="2405">
        <v>0</v>
      </c>
      <c r="E1642" s="2447" t="s">
        <v>5673</v>
      </c>
      <c r="F1642" s="2405" t="s">
        <v>2563</v>
      </c>
      <c r="G1642" s="2703"/>
      <c r="H1642" s="2517">
        <v>0</v>
      </c>
      <c r="I1642" s="2517">
        <v>0</v>
      </c>
      <c r="J1642" s="2517"/>
      <c r="K1642" s="2517"/>
      <c r="L1642" s="2517">
        <f>H1642*G1642</f>
        <v>0</v>
      </c>
      <c r="M1642" s="2517">
        <f>I1642*G1642</f>
        <v>0</v>
      </c>
      <c r="N1642" s="2517">
        <f>J1642*G1642</f>
        <v>0</v>
      </c>
      <c r="O1642" s="2517">
        <f>K1642*G1642</f>
        <v>0</v>
      </c>
      <c r="P1642" s="2696" t="s">
        <v>2609</v>
      </c>
      <c r="Q1642" s="2519"/>
      <c r="R1642" s="2519"/>
      <c r="S1642" s="2519"/>
    </row>
    <row r="1643" spans="1:19" s="2358" customFormat="1" outlineLevel="1">
      <c r="A1643" s="2435" t="str">
        <f t="shared" si="306"/>
        <v/>
      </c>
      <c r="B1643" s="2505" t="s">
        <v>1463</v>
      </c>
      <c r="C1643" s="2521">
        <f t="shared" si="311"/>
        <v>0</v>
      </c>
      <c r="D1643" s="2405">
        <v>0</v>
      </c>
      <c r="E1643" s="2447" t="s">
        <v>3459</v>
      </c>
      <c r="F1643" s="2405" t="s">
        <v>2563</v>
      </c>
      <c r="G1643" s="2712"/>
      <c r="H1643" s="2517">
        <v>0</v>
      </c>
      <c r="I1643" s="2517">
        <v>0</v>
      </c>
      <c r="J1643" s="2517">
        <v>0</v>
      </c>
      <c r="K1643" s="2517">
        <v>0</v>
      </c>
      <c r="L1643" s="2517">
        <f t="shared" si="307"/>
        <v>0</v>
      </c>
      <c r="M1643" s="2613">
        <f t="shared" si="308"/>
        <v>0</v>
      </c>
      <c r="N1643" s="2613">
        <f t="shared" si="309"/>
        <v>0</v>
      </c>
      <c r="O1643" s="2614">
        <f t="shared" si="310"/>
        <v>0</v>
      </c>
      <c r="P1643" s="2697" t="s">
        <v>2609</v>
      </c>
      <c r="Q1643" s="2519"/>
      <c r="R1643" s="2519"/>
      <c r="S1643" s="2519"/>
    </row>
    <row r="1644" spans="1:19" s="2358" customFormat="1" ht="19.5" customHeight="1" outlineLevel="1">
      <c r="A1644" s="2361">
        <f>A1627</f>
        <v>0</v>
      </c>
      <c r="B1644" s="2383"/>
      <c r="C1644" s="2561"/>
      <c r="D1644" s="2562"/>
      <c r="E1644" s="2563"/>
      <c r="F1644" s="2561"/>
      <c r="G1644" s="2621"/>
      <c r="H1644" s="2561"/>
      <c r="I1644" s="2561"/>
      <c r="J1644" s="2370" t="s">
        <v>6195</v>
      </c>
      <c r="K1644" s="2561"/>
      <c r="L1644" s="2563">
        <f>SUM(L1632:L1643)</f>
        <v>0</v>
      </c>
      <c r="M1644" s="2563">
        <f>SUM(M1632:M1643)</f>
        <v>0</v>
      </c>
      <c r="N1644" s="2563">
        <f>SUM(N1632:N1643)</f>
        <v>0</v>
      </c>
      <c r="O1644" s="2563">
        <f>SUM(O1632:O1643)</f>
        <v>0</v>
      </c>
      <c r="P1644" s="2713"/>
    </row>
    <row r="1645" spans="1:19" s="2358" customFormat="1" outlineLevel="1">
      <c r="A1645" s="2435">
        <f>A1627</f>
        <v>0</v>
      </c>
      <c r="B1645" s="2514"/>
      <c r="C1645" s="2650"/>
      <c r="D1645" s="2651"/>
      <c r="E1645" s="2652" t="s">
        <v>3691</v>
      </c>
      <c r="F1645" s="2652"/>
      <c r="G1645" s="2700"/>
      <c r="H1645" s="2652"/>
      <c r="I1645" s="2652"/>
      <c r="J1645" s="2652"/>
      <c r="K1645" s="2652"/>
      <c r="L1645" s="2652"/>
      <c r="M1645" s="2652"/>
      <c r="N1645" s="2652"/>
      <c r="O1645" s="2651"/>
      <c r="P1645" s="2699"/>
      <c r="Q1645" s="2519"/>
      <c r="R1645" s="2519"/>
      <c r="S1645" s="2519"/>
    </row>
    <row r="1646" spans="1:19" s="2358" customFormat="1" outlineLevel="1">
      <c r="A1646" s="2435" t="str">
        <f t="shared" ref="A1646:A1664" si="312">IF(G1646&lt;&gt;0,1,"")</f>
        <v/>
      </c>
      <c r="B1646" s="2654"/>
      <c r="C1646" s="2655">
        <f>IF(G1646&gt;0,1,0)</f>
        <v>0</v>
      </c>
      <c r="D1646" s="2405"/>
      <c r="E1646" s="2656" t="s">
        <v>6196</v>
      </c>
      <c r="F1646" s="2657" t="s">
        <v>2283</v>
      </c>
      <c r="G1646" s="2714"/>
      <c r="H1646" s="2657"/>
      <c r="I1646" s="2657"/>
      <c r="J1646" s="2657"/>
      <c r="K1646" s="2657"/>
      <c r="L1646" s="2658"/>
      <c r="M1646" s="2658"/>
      <c r="N1646" s="2658"/>
      <c r="O1646" s="2659"/>
      <c r="P1646" s="2642"/>
      <c r="Q1646" s="2519"/>
      <c r="R1646" s="2519"/>
      <c r="S1646" s="2519"/>
    </row>
    <row r="1647" spans="1:19" s="2358" customFormat="1" outlineLevel="1">
      <c r="A1647" s="2435" t="str">
        <f t="shared" si="312"/>
        <v/>
      </c>
      <c r="B1647" s="2610" t="s">
        <v>115</v>
      </c>
      <c r="C1647" s="2660"/>
      <c r="D1647" s="2405"/>
      <c r="E1647" s="2661" t="s">
        <v>3009</v>
      </c>
      <c r="F1647" s="2405" t="s">
        <v>2839</v>
      </c>
      <c r="G1647" s="2715">
        <f>G1646</f>
        <v>0</v>
      </c>
      <c r="H1647" s="2612">
        <v>4400000</v>
      </c>
      <c r="I1647" s="2511"/>
      <c r="J1647" s="2612"/>
      <c r="K1647" s="2511"/>
      <c r="L1647" s="2613">
        <f>H1647*G1647</f>
        <v>0</v>
      </c>
      <c r="M1647" s="2613">
        <f>I1647*G1647</f>
        <v>0</v>
      </c>
      <c r="N1647" s="2613">
        <f>J1647*G1647</f>
        <v>0</v>
      </c>
      <c r="O1647" s="2613">
        <f>K1647*G1647</f>
        <v>0</v>
      </c>
      <c r="P1647" s="2642"/>
      <c r="Q1647" s="2519"/>
      <c r="R1647" s="2519"/>
      <c r="S1647" s="2519"/>
    </row>
    <row r="1648" spans="1:19" s="2358" customFormat="1" outlineLevel="1">
      <c r="A1648" s="2435" t="str">
        <f t="shared" si="312"/>
        <v/>
      </c>
      <c r="B1648" s="2610" t="s">
        <v>1818</v>
      </c>
      <c r="C1648" s="2660"/>
      <c r="D1648" s="2405"/>
      <c r="E1648" s="2661" t="s">
        <v>2838</v>
      </c>
      <c r="F1648" s="2405" t="s">
        <v>2839</v>
      </c>
      <c r="G1648" s="2715">
        <f>G1647</f>
        <v>0</v>
      </c>
      <c r="H1648" s="2612">
        <v>17400</v>
      </c>
      <c r="I1648" s="2612"/>
      <c r="J1648" s="2511"/>
      <c r="K1648" s="2511"/>
      <c r="L1648" s="2613">
        <f>H1648*G1648</f>
        <v>0</v>
      </c>
      <c r="M1648" s="2613">
        <f>I1648*G1648</f>
        <v>0</v>
      </c>
      <c r="N1648" s="2613">
        <f>J1648*G1648</f>
        <v>0</v>
      </c>
      <c r="O1648" s="2613">
        <f>K1648*G1648</f>
        <v>0</v>
      </c>
      <c r="P1648" s="2642"/>
      <c r="Q1648" s="2519"/>
      <c r="R1648" s="2519"/>
      <c r="S1648" s="2519"/>
    </row>
    <row r="1649" spans="1:19" s="2358" customFormat="1" outlineLevel="1">
      <c r="A1649" s="2435" t="str">
        <f t="shared" si="312"/>
        <v/>
      </c>
      <c r="B1649" s="2610" t="s">
        <v>643</v>
      </c>
      <c r="C1649" s="2660"/>
      <c r="D1649" s="2405" t="s">
        <v>2133</v>
      </c>
      <c r="E1649" s="2661" t="s">
        <v>3185</v>
      </c>
      <c r="F1649" s="2405" t="s">
        <v>2839</v>
      </c>
      <c r="G1649" s="2715">
        <f>G1647</f>
        <v>0</v>
      </c>
      <c r="H1649" s="2661"/>
      <c r="I1649" s="2612"/>
      <c r="J1649" s="2612">
        <v>112286</v>
      </c>
      <c r="K1649" s="2612">
        <v>105970</v>
      </c>
      <c r="L1649" s="2613">
        <f>H1649*G1649</f>
        <v>0</v>
      </c>
      <c r="M1649" s="2613">
        <f>I1649*G1649</f>
        <v>0</v>
      </c>
      <c r="N1649" s="2613">
        <f>J1649*G1649</f>
        <v>0</v>
      </c>
      <c r="O1649" s="2613">
        <f>K1649*G1649</f>
        <v>0</v>
      </c>
      <c r="P1649" s="2642"/>
      <c r="Q1649" s="2519"/>
      <c r="R1649" s="2519"/>
      <c r="S1649" s="2519"/>
    </row>
    <row r="1650" spans="1:19" s="2358" customFormat="1" outlineLevel="1">
      <c r="A1650" s="2435" t="str">
        <f t="shared" si="312"/>
        <v/>
      </c>
      <c r="B1650" s="2654"/>
      <c r="C1650" s="2655">
        <f>IF(G1650&gt;0,1,0)</f>
        <v>0</v>
      </c>
      <c r="D1650" s="2405"/>
      <c r="E1650" s="2656" t="s">
        <v>6291</v>
      </c>
      <c r="F1650" s="2657" t="s">
        <v>2283</v>
      </c>
      <c r="G1650" s="2714">
        <f>G1632*1*0</f>
        <v>0</v>
      </c>
      <c r="H1650" s="2657"/>
      <c r="I1650" s="2657"/>
      <c r="J1650" s="2657"/>
      <c r="K1650" s="2657"/>
      <c r="L1650" s="2658"/>
      <c r="M1650" s="2658"/>
      <c r="N1650" s="2658"/>
      <c r="O1650" s="2659"/>
      <c r="P1650" s="2518"/>
      <c r="Q1650" s="2519"/>
      <c r="R1650" s="2519"/>
      <c r="S1650" s="2519"/>
    </row>
    <row r="1651" spans="1:19" s="2358" customFormat="1" outlineLevel="1">
      <c r="A1651" s="2435" t="str">
        <f t="shared" si="312"/>
        <v/>
      </c>
      <c r="B1651" s="2610" t="s">
        <v>114</v>
      </c>
      <c r="C1651" s="2660"/>
      <c r="D1651" s="2405"/>
      <c r="E1651" s="2661" t="s">
        <v>3008</v>
      </c>
      <c r="F1651" s="2405" t="s">
        <v>2839</v>
      </c>
      <c r="G1651" s="2715">
        <f>G1650</f>
        <v>0</v>
      </c>
      <c r="H1651" s="2612">
        <v>4200000</v>
      </c>
      <c r="I1651" s="2511"/>
      <c r="J1651" s="2612"/>
      <c r="K1651" s="2511"/>
      <c r="L1651" s="2613">
        <f>H1651*G1651</f>
        <v>0</v>
      </c>
      <c r="M1651" s="2613">
        <f>I1651*G1651</f>
        <v>0</v>
      </c>
      <c r="N1651" s="2613">
        <f>J1651*G1651</f>
        <v>0</v>
      </c>
      <c r="O1651" s="2613">
        <f>K1651*G1651</f>
        <v>0</v>
      </c>
      <c r="P1651" s="2518"/>
      <c r="Q1651" s="2519"/>
      <c r="R1651" s="2519"/>
      <c r="S1651" s="2519"/>
    </row>
    <row r="1652" spans="1:19" s="2358" customFormat="1" outlineLevel="1">
      <c r="A1652" s="2435" t="str">
        <f t="shared" si="312"/>
        <v/>
      </c>
      <c r="B1652" s="2610" t="s">
        <v>1818</v>
      </c>
      <c r="C1652" s="2660"/>
      <c r="D1652" s="2405"/>
      <c r="E1652" s="2661" t="s">
        <v>2838</v>
      </c>
      <c r="F1652" s="2405" t="s">
        <v>2839</v>
      </c>
      <c r="G1652" s="2715">
        <f>G1651</f>
        <v>0</v>
      </c>
      <c r="H1652" s="2612">
        <v>17400</v>
      </c>
      <c r="I1652" s="2612"/>
      <c r="J1652" s="2511"/>
      <c r="K1652" s="2511"/>
      <c r="L1652" s="2613">
        <f>H1652*G1652</f>
        <v>0</v>
      </c>
      <c r="M1652" s="2613">
        <f>I1652*G1652</f>
        <v>0</v>
      </c>
      <c r="N1652" s="2613">
        <f>J1652*G1652</f>
        <v>0</v>
      </c>
      <c r="O1652" s="2613">
        <f>K1652*G1652</f>
        <v>0</v>
      </c>
      <c r="P1652" s="2518"/>
      <c r="Q1652" s="2519"/>
      <c r="R1652" s="2519"/>
      <c r="S1652" s="2519"/>
    </row>
    <row r="1653" spans="1:19" s="2358" customFormat="1" outlineLevel="1">
      <c r="A1653" s="2435" t="str">
        <f t="shared" si="312"/>
        <v/>
      </c>
      <c r="B1653" s="2610" t="s">
        <v>644</v>
      </c>
      <c r="C1653" s="2660"/>
      <c r="D1653" s="2405" t="s">
        <v>2133</v>
      </c>
      <c r="E1653" s="2661" t="s">
        <v>3186</v>
      </c>
      <c r="F1653" s="2405" t="s">
        <v>2839</v>
      </c>
      <c r="G1653" s="2715">
        <f>G1651</f>
        <v>0</v>
      </c>
      <c r="H1653" s="2661"/>
      <c r="I1653" s="2612"/>
      <c r="J1653" s="2612">
        <v>112286</v>
      </c>
      <c r="K1653" s="2612">
        <v>105970</v>
      </c>
      <c r="L1653" s="2613">
        <f>H1653*G1653</f>
        <v>0</v>
      </c>
      <c r="M1653" s="2613">
        <f>I1653*G1653</f>
        <v>0</v>
      </c>
      <c r="N1653" s="2613">
        <f>J1653*G1653</f>
        <v>0</v>
      </c>
      <c r="O1653" s="2613">
        <f>K1653*G1653</f>
        <v>0</v>
      </c>
      <c r="P1653" s="2518"/>
      <c r="Q1653" s="2519"/>
      <c r="R1653" s="2519"/>
      <c r="S1653" s="2519"/>
    </row>
    <row r="1654" spans="1:19" s="2358" customFormat="1" outlineLevel="1">
      <c r="A1654" s="2435" t="str">
        <f t="shared" si="312"/>
        <v/>
      </c>
      <c r="B1654" s="2610"/>
      <c r="C1654" s="2511">
        <f>IF(G1654&gt;0,C1646+1,C1646)</f>
        <v>0</v>
      </c>
      <c r="D1654" s="2405"/>
      <c r="E1654" s="2656" t="s">
        <v>2358</v>
      </c>
      <c r="F1654" s="2657" t="s">
        <v>2333</v>
      </c>
      <c r="G1654" s="2714">
        <f>G1646</f>
        <v>0</v>
      </c>
      <c r="H1654" s="2511"/>
      <c r="I1654" s="2511"/>
      <c r="J1654" s="2511"/>
      <c r="K1654" s="2511"/>
      <c r="L1654" s="2511"/>
      <c r="M1654" s="2511"/>
      <c r="N1654" s="2511"/>
      <c r="O1654" s="2663"/>
      <c r="P1654" s="2642"/>
      <c r="Q1654" s="2519"/>
      <c r="R1654" s="2519"/>
      <c r="S1654" s="2519"/>
    </row>
    <row r="1655" spans="1:19" s="2358" customFormat="1" outlineLevel="1">
      <c r="A1655" s="2435" t="str">
        <f t="shared" si="312"/>
        <v/>
      </c>
      <c r="B1655" s="2610" t="s">
        <v>636</v>
      </c>
      <c r="C1655" s="2660"/>
      <c r="D1655" s="2405" t="s">
        <v>5099</v>
      </c>
      <c r="E1655" s="2661" t="s">
        <v>2615</v>
      </c>
      <c r="F1655" s="2405" t="s">
        <v>2563</v>
      </c>
      <c r="G1655" s="2715">
        <f>G1654</f>
        <v>0</v>
      </c>
      <c r="H1655" s="2612">
        <v>354545</v>
      </c>
      <c r="I1655" s="2612"/>
      <c r="J1655" s="2612">
        <v>37220.25</v>
      </c>
      <c r="K1655" s="2511"/>
      <c r="L1655" s="2613">
        <f>H1655*G1655</f>
        <v>0</v>
      </c>
      <c r="M1655" s="2613">
        <f>I1655*G1655</f>
        <v>0</v>
      </c>
      <c r="N1655" s="2613">
        <f>J1655*G1655</f>
        <v>0</v>
      </c>
      <c r="O1655" s="2613">
        <f>K1655*G1655</f>
        <v>0</v>
      </c>
      <c r="P1655" s="2642"/>
      <c r="Q1655" s="2519"/>
      <c r="R1655" s="2519"/>
      <c r="S1655" s="2519"/>
    </row>
    <row r="1656" spans="1:19" s="2358" customFormat="1" outlineLevel="1">
      <c r="A1656" s="2435" t="str">
        <f t="shared" si="312"/>
        <v/>
      </c>
      <c r="B1656" s="2610" t="s">
        <v>566</v>
      </c>
      <c r="C1656" s="2660"/>
      <c r="D1656" s="2405"/>
      <c r="E1656" s="2661" t="s">
        <v>5124</v>
      </c>
      <c r="F1656" s="2405" t="s">
        <v>2445</v>
      </c>
      <c r="G1656" s="2523">
        <f>G1655</f>
        <v>0</v>
      </c>
      <c r="H1656" s="2612">
        <v>92200</v>
      </c>
      <c r="I1656" s="2661"/>
      <c r="J1656" s="2661"/>
      <c r="K1656" s="2511"/>
      <c r="L1656" s="2613">
        <f>H1656*G1656</f>
        <v>0</v>
      </c>
      <c r="M1656" s="2613">
        <f>I1656*G1656</f>
        <v>0</v>
      </c>
      <c r="N1656" s="2613">
        <f>J1656*G1656</f>
        <v>0</v>
      </c>
      <c r="O1656" s="2613">
        <f>K1656*G1656</f>
        <v>0</v>
      </c>
      <c r="P1656" s="2642"/>
      <c r="Q1656" s="2519"/>
      <c r="R1656" s="2519"/>
      <c r="S1656" s="2519"/>
    </row>
    <row r="1657" spans="1:19" s="2358" customFormat="1" outlineLevel="1">
      <c r="A1657" s="2435" t="str">
        <f t="shared" si="312"/>
        <v/>
      </c>
      <c r="B1657" s="2610" t="s">
        <v>639</v>
      </c>
      <c r="C1657" s="2660"/>
      <c r="D1657" s="2405" t="s">
        <v>1751</v>
      </c>
      <c r="E1657" s="2661" t="s">
        <v>5386</v>
      </c>
      <c r="F1657" s="2405" t="s">
        <v>856</v>
      </c>
      <c r="G1657" s="2523">
        <f>1.45*G1655</f>
        <v>0</v>
      </c>
      <c r="H1657" s="2612">
        <v>0</v>
      </c>
      <c r="I1657" s="2612"/>
      <c r="J1657" s="2612">
        <v>296500.89999999997</v>
      </c>
      <c r="K1657" s="2511"/>
      <c r="L1657" s="2613">
        <f>H1657*G1657</f>
        <v>0</v>
      </c>
      <c r="M1657" s="2613">
        <f>I1657*G1657</f>
        <v>0</v>
      </c>
      <c r="N1657" s="2613">
        <f>J1657*G1657</f>
        <v>0</v>
      </c>
      <c r="O1657" s="2613">
        <f>K1657*G1657</f>
        <v>0</v>
      </c>
      <c r="P1657" s="2642"/>
      <c r="Q1657" s="2519"/>
      <c r="R1657" s="2519"/>
      <c r="S1657" s="2519"/>
    </row>
    <row r="1658" spans="1:19" s="2358" customFormat="1" outlineLevel="1">
      <c r="A1658" s="2435" t="str">
        <f t="shared" si="312"/>
        <v/>
      </c>
      <c r="B1658" s="2610" t="s">
        <v>21</v>
      </c>
      <c r="C1658" s="2660"/>
      <c r="D1658" s="2405" t="s">
        <v>5387</v>
      </c>
      <c r="E1658" s="2661" t="s">
        <v>5388</v>
      </c>
      <c r="F1658" s="2405" t="s">
        <v>856</v>
      </c>
      <c r="G1658" s="2523">
        <f>1.37*G1654</f>
        <v>0</v>
      </c>
      <c r="H1658" s="2612">
        <v>0</v>
      </c>
      <c r="I1658" s="2612"/>
      <c r="J1658" s="2612">
        <v>117703.6</v>
      </c>
      <c r="K1658" s="2511"/>
      <c r="L1658" s="2613">
        <f>H1658*G1658</f>
        <v>0</v>
      </c>
      <c r="M1658" s="2613">
        <f>I1658*G1658</f>
        <v>0</v>
      </c>
      <c r="N1658" s="2613">
        <f>J1658*G1658</f>
        <v>0</v>
      </c>
      <c r="O1658" s="2613">
        <f>K1658*G1658</f>
        <v>0</v>
      </c>
      <c r="P1658" s="2642"/>
      <c r="Q1658" s="2519"/>
      <c r="R1658" s="2519"/>
      <c r="S1658" s="2519"/>
    </row>
    <row r="1659" spans="1:19" s="2358" customFormat="1" outlineLevel="1">
      <c r="A1659" s="2435" t="str">
        <f t="shared" si="312"/>
        <v/>
      </c>
      <c r="B1659" s="2610"/>
      <c r="C1659" s="2511">
        <f>IF(G1659&gt;0,C1651+1,C1651)</f>
        <v>0</v>
      </c>
      <c r="D1659" s="2405"/>
      <c r="E1659" s="2656" t="s">
        <v>3731</v>
      </c>
      <c r="F1659" s="2657" t="s">
        <v>2333</v>
      </c>
      <c r="G1659" s="2714">
        <f>G1650</f>
        <v>0</v>
      </c>
      <c r="H1659" s="2511"/>
      <c r="I1659" s="2511"/>
      <c r="J1659" s="2511"/>
      <c r="K1659" s="2511"/>
      <c r="L1659" s="2511"/>
      <c r="M1659" s="2511"/>
      <c r="N1659" s="2511"/>
      <c r="O1659" s="2663"/>
      <c r="P1659" s="2518"/>
      <c r="Q1659" s="2519"/>
      <c r="R1659" s="2519"/>
      <c r="S1659" s="2519"/>
    </row>
    <row r="1660" spans="1:19" s="2358" customFormat="1" outlineLevel="1">
      <c r="A1660" s="2435" t="str">
        <f t="shared" si="312"/>
        <v/>
      </c>
      <c r="B1660" s="2610" t="s">
        <v>636</v>
      </c>
      <c r="C1660" s="2660"/>
      <c r="D1660" s="2405" t="s">
        <v>5099</v>
      </c>
      <c r="E1660" s="2661" t="s">
        <v>2615</v>
      </c>
      <c r="F1660" s="2405" t="s">
        <v>2563</v>
      </c>
      <c r="G1660" s="2715">
        <f>G1659</f>
        <v>0</v>
      </c>
      <c r="H1660" s="2612">
        <v>354545</v>
      </c>
      <c r="I1660" s="2612"/>
      <c r="J1660" s="2612">
        <v>37220.25</v>
      </c>
      <c r="K1660" s="2511"/>
      <c r="L1660" s="2613">
        <f>H1660*G1660</f>
        <v>0</v>
      </c>
      <c r="M1660" s="2613">
        <f>I1660*G1660</f>
        <v>0</v>
      </c>
      <c r="N1660" s="2613">
        <f>J1660*G1660</f>
        <v>0</v>
      </c>
      <c r="O1660" s="2613">
        <f>K1660*G1660</f>
        <v>0</v>
      </c>
      <c r="P1660" s="2518"/>
      <c r="Q1660" s="2519"/>
      <c r="R1660" s="2519"/>
      <c r="S1660" s="2519"/>
    </row>
    <row r="1661" spans="1:19" s="2358" customFormat="1" outlineLevel="1">
      <c r="A1661" s="2435" t="str">
        <f t="shared" si="312"/>
        <v/>
      </c>
      <c r="B1661" s="2610" t="s">
        <v>566</v>
      </c>
      <c r="C1661" s="2660"/>
      <c r="D1661" s="2405"/>
      <c r="E1661" s="2661" t="s">
        <v>5124</v>
      </c>
      <c r="F1661" s="2405" t="s">
        <v>2445</v>
      </c>
      <c r="G1661" s="2715">
        <f>G1660</f>
        <v>0</v>
      </c>
      <c r="H1661" s="2612">
        <v>92200</v>
      </c>
      <c r="I1661" s="2661"/>
      <c r="J1661" s="2661"/>
      <c r="K1661" s="2511"/>
      <c r="L1661" s="2613">
        <f>H1661*G1661</f>
        <v>0</v>
      </c>
      <c r="M1661" s="2613">
        <f>I1661*G1661</f>
        <v>0</v>
      </c>
      <c r="N1661" s="2613">
        <f>J1661*G1661</f>
        <v>0</v>
      </c>
      <c r="O1661" s="2613">
        <f>K1661*G1661</f>
        <v>0</v>
      </c>
      <c r="P1661" s="2518"/>
      <c r="Q1661" s="2519"/>
      <c r="R1661" s="2519"/>
      <c r="S1661" s="2519"/>
    </row>
    <row r="1662" spans="1:19" s="2358" customFormat="1" outlineLevel="1">
      <c r="A1662" s="2435" t="str">
        <f t="shared" si="312"/>
        <v/>
      </c>
      <c r="B1662" s="2610" t="s">
        <v>639</v>
      </c>
      <c r="C1662" s="2660"/>
      <c r="D1662" s="2405" t="s">
        <v>1751</v>
      </c>
      <c r="E1662" s="2661" t="s">
        <v>5386</v>
      </c>
      <c r="F1662" s="2405" t="s">
        <v>856</v>
      </c>
      <c r="G1662" s="2523">
        <f>1.48*G1660</f>
        <v>0</v>
      </c>
      <c r="H1662" s="2612">
        <v>0</v>
      </c>
      <c r="I1662" s="2612"/>
      <c r="J1662" s="2612">
        <v>296500.89999999997</v>
      </c>
      <c r="K1662" s="2511"/>
      <c r="L1662" s="2613">
        <f>H1662*G1662</f>
        <v>0</v>
      </c>
      <c r="M1662" s="2613">
        <f>I1662*G1662</f>
        <v>0</v>
      </c>
      <c r="N1662" s="2613">
        <f>J1662*G1662</f>
        <v>0</v>
      </c>
      <c r="O1662" s="2613">
        <f>K1662*G1662</f>
        <v>0</v>
      </c>
      <c r="P1662" s="2518"/>
      <c r="Q1662" s="2519"/>
      <c r="R1662" s="2519"/>
      <c r="S1662" s="2519"/>
    </row>
    <row r="1663" spans="1:19" s="2358" customFormat="1" outlineLevel="1">
      <c r="A1663" s="2435" t="str">
        <f t="shared" si="312"/>
        <v/>
      </c>
      <c r="B1663" s="2610" t="s">
        <v>21</v>
      </c>
      <c r="C1663" s="2660"/>
      <c r="D1663" s="2405" t="s">
        <v>5387</v>
      </c>
      <c r="E1663" s="2661" t="s">
        <v>5388</v>
      </c>
      <c r="F1663" s="2405" t="s">
        <v>856</v>
      </c>
      <c r="G1663" s="2523">
        <f>1.39*G1659</f>
        <v>0</v>
      </c>
      <c r="H1663" s="2612">
        <v>0</v>
      </c>
      <c r="I1663" s="2612"/>
      <c r="J1663" s="2612">
        <v>117703.6</v>
      </c>
      <c r="K1663" s="2511"/>
      <c r="L1663" s="2613">
        <f>H1663*G1663</f>
        <v>0</v>
      </c>
      <c r="M1663" s="2613">
        <f>I1663*G1663</f>
        <v>0</v>
      </c>
      <c r="N1663" s="2613">
        <f>J1663*G1663</f>
        <v>0</v>
      </c>
      <c r="O1663" s="2613">
        <f>K1663*G1663</f>
        <v>0</v>
      </c>
      <c r="P1663" s="2518"/>
      <c r="Q1663" s="2519"/>
      <c r="R1663" s="2519"/>
      <c r="S1663" s="2519"/>
    </row>
    <row r="1664" spans="1:19" s="2358" customFormat="1" outlineLevel="1">
      <c r="A1664" s="2435" t="str">
        <f t="shared" si="312"/>
        <v/>
      </c>
      <c r="B1664" s="2514"/>
      <c r="C1664" s="2511">
        <f>IF(G1664&gt;0,C1654+1,C1654)</f>
        <v>0</v>
      </c>
      <c r="D1664" s="2664"/>
      <c r="E1664" s="2656" t="s">
        <v>3732</v>
      </c>
      <c r="F1664" s="2655" t="s">
        <v>2391</v>
      </c>
      <c r="G1664" s="2701"/>
      <c r="H1664" s="2666"/>
      <c r="I1664" s="2666"/>
      <c r="J1664" s="2666"/>
      <c r="K1664" s="2666"/>
      <c r="L1664" s="2666"/>
      <c r="M1664" s="2666"/>
      <c r="N1664" s="2666"/>
      <c r="O1664" s="2666"/>
      <c r="P1664" s="2702"/>
      <c r="Q1664" s="2519"/>
      <c r="R1664" s="2519"/>
      <c r="S1664" s="2519"/>
    </row>
    <row r="1665" spans="1:16383" s="2358" customFormat="1" ht="14.4" outlineLevel="1">
      <c r="A1665" s="2435" t="str">
        <f>A1664</f>
        <v/>
      </c>
      <c r="B1665" s="2514"/>
      <c r="C1665" s="2511"/>
      <c r="D1665" s="2667"/>
      <c r="E1665" s="2520" t="s">
        <v>6207</v>
      </c>
      <c r="F1665" s="2521"/>
      <c r="G1665" s="2703"/>
      <c r="H1665" s="2668"/>
      <c r="I1665" s="2668"/>
      <c r="J1665" s="2668"/>
      <c r="K1665" s="2668"/>
      <c r="L1665" s="2668"/>
      <c r="M1665" s="2668"/>
      <c r="N1665" s="2668"/>
      <c r="O1665" s="2668"/>
      <c r="P1665" s="2702"/>
      <c r="Q1665" s="2519"/>
      <c r="R1665" s="2519"/>
      <c r="S1665" s="2519"/>
    </row>
    <row r="1666" spans="1:16383" s="2358" customFormat="1" outlineLevel="1">
      <c r="A1666" s="2435" t="str">
        <f t="shared" ref="A1666:A1671" si="313">IF(G1666&lt;&gt;0,1,"")</f>
        <v/>
      </c>
      <c r="B1666" s="2505" t="s">
        <v>1411</v>
      </c>
      <c r="C1666" s="2511"/>
      <c r="D1666" s="2405">
        <v>0</v>
      </c>
      <c r="E1666" s="2447" t="s">
        <v>6427</v>
      </c>
      <c r="F1666" s="2405" t="s">
        <v>2254</v>
      </c>
      <c r="G1666" s="2703">
        <f>19.8*2.8*2*G1664</f>
        <v>0</v>
      </c>
      <c r="H1666" s="2612">
        <v>31625</v>
      </c>
      <c r="I1666" s="2669"/>
      <c r="J1666" s="2612"/>
      <c r="K1666" s="2612">
        <v>0</v>
      </c>
      <c r="L1666" s="2613">
        <f t="shared" ref="L1666:L1729" si="314">H1666*G1666</f>
        <v>0</v>
      </c>
      <c r="M1666" s="2613">
        <f t="shared" ref="M1666:M1671" si="315">I1666*G1666</f>
        <v>0</v>
      </c>
      <c r="N1666" s="2612"/>
      <c r="O1666" s="2613">
        <f t="shared" ref="O1666:O1671" si="316">K1666*G1666</f>
        <v>0</v>
      </c>
      <c r="P1666" s="2702"/>
      <c r="Q1666" s="2519">
        <f>L1666/2</f>
        <v>0</v>
      </c>
      <c r="R1666" s="2519"/>
      <c r="S1666" s="2519"/>
    </row>
    <row r="1667" spans="1:16383" s="2358" customFormat="1" outlineLevel="1">
      <c r="A1667" s="2435" t="str">
        <f t="shared" si="313"/>
        <v/>
      </c>
      <c r="B1667" s="2505" t="s">
        <v>1137</v>
      </c>
      <c r="C1667" s="2511"/>
      <c r="D1667" s="2405">
        <v>0</v>
      </c>
      <c r="E1667" s="2447" t="s">
        <v>6413</v>
      </c>
      <c r="F1667" s="2405" t="s">
        <v>2254</v>
      </c>
      <c r="G1667" s="2703">
        <f>8.59*0.4*4*G1664</f>
        <v>0</v>
      </c>
      <c r="H1667" s="2612">
        <v>31625</v>
      </c>
      <c r="I1667" s="2669"/>
      <c r="J1667" s="2612"/>
      <c r="K1667" s="2612">
        <v>0</v>
      </c>
      <c r="L1667" s="2613">
        <f t="shared" si="314"/>
        <v>0</v>
      </c>
      <c r="M1667" s="2613">
        <f t="shared" si="315"/>
        <v>0</v>
      </c>
      <c r="N1667" s="2612"/>
      <c r="O1667" s="2613">
        <f t="shared" si="316"/>
        <v>0</v>
      </c>
      <c r="P1667" s="2702"/>
      <c r="Q1667" s="2519">
        <f>L1667/4</f>
        <v>0</v>
      </c>
      <c r="R1667" s="2519"/>
      <c r="S1667" s="2519"/>
    </row>
    <row r="1668" spans="1:16383" s="2358" customFormat="1" outlineLevel="1">
      <c r="A1668" s="2435" t="str">
        <f t="shared" si="313"/>
        <v/>
      </c>
      <c r="B1668" s="2505" t="s">
        <v>1138</v>
      </c>
      <c r="C1668" s="2511"/>
      <c r="D1668" s="2405">
        <v>0</v>
      </c>
      <c r="E1668" s="2447" t="s">
        <v>6414</v>
      </c>
      <c r="F1668" s="2405" t="s">
        <v>2254</v>
      </c>
      <c r="G1668" s="2703">
        <f>8.59*0.8*2*G1664</f>
        <v>0</v>
      </c>
      <c r="H1668" s="2612">
        <v>31625</v>
      </c>
      <c r="I1668" s="2669"/>
      <c r="J1668" s="2612"/>
      <c r="K1668" s="2612">
        <v>0</v>
      </c>
      <c r="L1668" s="2613">
        <f t="shared" si="314"/>
        <v>0</v>
      </c>
      <c r="M1668" s="2613">
        <f t="shared" si="315"/>
        <v>0</v>
      </c>
      <c r="N1668" s="2612"/>
      <c r="O1668" s="2613">
        <f t="shared" si="316"/>
        <v>0</v>
      </c>
      <c r="P1668" s="2702"/>
      <c r="Q1668" s="2519"/>
      <c r="R1668" s="2519"/>
      <c r="S1668" s="2519"/>
    </row>
    <row r="1669" spans="1:16383" s="2358" customFormat="1" outlineLevel="1">
      <c r="A1669" s="2435" t="str">
        <f t="shared" si="313"/>
        <v/>
      </c>
      <c r="B1669" s="2514" t="s">
        <v>1785</v>
      </c>
      <c r="C1669" s="2511"/>
      <c r="D1669" s="2405">
        <v>0</v>
      </c>
      <c r="E1669" s="2447" t="s">
        <v>2670</v>
      </c>
      <c r="F1669" s="2405" t="s">
        <v>2445</v>
      </c>
      <c r="G1669" s="2703">
        <f>G1664*10</f>
        <v>0</v>
      </c>
      <c r="H1669" s="2612">
        <v>34800</v>
      </c>
      <c r="I1669" s="2669"/>
      <c r="J1669" s="2612">
        <v>0</v>
      </c>
      <c r="K1669" s="2612">
        <v>0</v>
      </c>
      <c r="L1669" s="2613">
        <f t="shared" si="314"/>
        <v>0</v>
      </c>
      <c r="M1669" s="2613">
        <f t="shared" si="315"/>
        <v>0</v>
      </c>
      <c r="N1669" s="2613">
        <f>J1669*G1669</f>
        <v>0</v>
      </c>
      <c r="O1669" s="2613">
        <f t="shared" si="316"/>
        <v>0</v>
      </c>
      <c r="P1669" s="2702"/>
      <c r="Q1669" s="2519"/>
      <c r="R1669" s="2519"/>
      <c r="S1669" s="2519"/>
    </row>
    <row r="1670" spans="1:16383" s="2358" customFormat="1" outlineLevel="1">
      <c r="A1670" s="2435" t="str">
        <f t="shared" si="313"/>
        <v/>
      </c>
      <c r="B1670" s="2514" t="s">
        <v>1083</v>
      </c>
      <c r="C1670" s="2511"/>
      <c r="D1670" s="2405">
        <v>0</v>
      </c>
      <c r="E1670" s="2447" t="s">
        <v>2660</v>
      </c>
      <c r="F1670" s="2405" t="s">
        <v>2445</v>
      </c>
      <c r="G1670" s="2703">
        <f>G1664*2</f>
        <v>0</v>
      </c>
      <c r="H1670" s="2612">
        <v>29900</v>
      </c>
      <c r="I1670" s="2669"/>
      <c r="J1670" s="2612">
        <v>0</v>
      </c>
      <c r="K1670" s="2612">
        <v>0</v>
      </c>
      <c r="L1670" s="2613">
        <f t="shared" si="314"/>
        <v>0</v>
      </c>
      <c r="M1670" s="2613">
        <f t="shared" si="315"/>
        <v>0</v>
      </c>
      <c r="N1670" s="2613">
        <f>J1670*G1670</f>
        <v>0</v>
      </c>
      <c r="O1670" s="2613">
        <f t="shared" si="316"/>
        <v>0</v>
      </c>
      <c r="P1670" s="2702"/>
      <c r="Q1670" s="2519"/>
      <c r="R1670" s="2519"/>
      <c r="S1670" s="2519"/>
    </row>
    <row r="1671" spans="1:16383" s="2358" customFormat="1" outlineLevel="1">
      <c r="A1671" s="2435" t="str">
        <f t="shared" si="313"/>
        <v/>
      </c>
      <c r="B1671" s="2514" t="s">
        <v>1079</v>
      </c>
      <c r="C1671" s="2511"/>
      <c r="D1671" s="2405">
        <v>0</v>
      </c>
      <c r="E1671" s="2447" t="s">
        <v>2659</v>
      </c>
      <c r="F1671" s="2405" t="s">
        <v>2445</v>
      </c>
      <c r="G1671" s="2703">
        <f>G1664*12</f>
        <v>0</v>
      </c>
      <c r="H1671" s="2612">
        <v>27900</v>
      </c>
      <c r="I1671" s="2669"/>
      <c r="J1671" s="2612">
        <v>0</v>
      </c>
      <c r="K1671" s="2612">
        <v>0</v>
      </c>
      <c r="L1671" s="2613">
        <f t="shared" si="314"/>
        <v>0</v>
      </c>
      <c r="M1671" s="2613">
        <f t="shared" si="315"/>
        <v>0</v>
      </c>
      <c r="N1671" s="2613">
        <f>J1671*G1671</f>
        <v>0</v>
      </c>
      <c r="O1671" s="2613">
        <f t="shared" si="316"/>
        <v>0</v>
      </c>
      <c r="P1671" s="2702"/>
      <c r="Q1671" s="2519"/>
      <c r="R1671" s="2519"/>
      <c r="S1671" s="2519"/>
    </row>
    <row r="1672" spans="1:16383" s="2358" customFormat="1" outlineLevel="1">
      <c r="A1672" s="2435" t="str">
        <f>IF(G1672&lt;&gt;0,1,"")</f>
        <v/>
      </c>
      <c r="B1672" s="2374" t="s">
        <v>5487</v>
      </c>
      <c r="C1672" s="2511"/>
      <c r="D1672" s="2405" t="s">
        <v>5488</v>
      </c>
      <c r="E1672" s="2447" t="s">
        <v>5489</v>
      </c>
      <c r="F1672" s="2405" t="s">
        <v>2254</v>
      </c>
      <c r="G1672" s="2703">
        <f>SUM(G1666:G1668)</f>
        <v>0</v>
      </c>
      <c r="H1672" s="2612">
        <v>0</v>
      </c>
      <c r="I1672" s="2669"/>
      <c r="J1672" s="2612">
        <v>2025</v>
      </c>
      <c r="K1672" s="2612">
        <v>0</v>
      </c>
      <c r="L1672" s="2613">
        <f t="shared" si="314"/>
        <v>0</v>
      </c>
      <c r="M1672" s="2613">
        <f>I1672*G1672</f>
        <v>0</v>
      </c>
      <c r="N1672" s="2612">
        <v>0</v>
      </c>
      <c r="O1672" s="2613">
        <f>K1672*G1672</f>
        <v>0</v>
      </c>
      <c r="P1672" s="2702"/>
      <c r="Q1672" s="2519"/>
      <c r="R1672" s="2519"/>
      <c r="S1672" s="2519"/>
    </row>
    <row r="1673" spans="1:16383" s="2358" customFormat="1" outlineLevel="1">
      <c r="A1673" s="2435" t="str">
        <f>IF(G1673&lt;&gt;0,1,"")</f>
        <v/>
      </c>
      <c r="B1673" s="2514"/>
      <c r="C1673" s="2716">
        <f>IF(G1673&gt;0,C1664+1,C1664)</f>
        <v>0</v>
      </c>
      <c r="D1673" s="2717"/>
      <c r="E1673" s="2718" t="s">
        <v>6311</v>
      </c>
      <c r="F1673" s="2719" t="s">
        <v>2391</v>
      </c>
      <c r="G1673" s="2720"/>
      <c r="H1673" s="2721"/>
      <c r="I1673" s="2722"/>
      <c r="J1673" s="2723"/>
      <c r="K1673" s="2723"/>
      <c r="L1673" s="2724">
        <f t="shared" si="314"/>
        <v>0</v>
      </c>
      <c r="M1673" s="2725">
        <f t="shared" ref="M1673:M1678" si="317">I1673*G1673</f>
        <v>0</v>
      </c>
      <c r="N1673" s="2724">
        <f t="shared" ref="N1673:N1678" si="318">J1673*G1673</f>
        <v>0</v>
      </c>
      <c r="O1673" s="2716">
        <f t="shared" ref="O1673:O1678" si="319">K1673*G1673</f>
        <v>0</v>
      </c>
      <c r="P1673" s="2717"/>
      <c r="Q1673" s="2519"/>
      <c r="R1673" s="2519"/>
      <c r="S1673" s="2519"/>
    </row>
    <row r="1674" spans="1:16383" s="2358" customFormat="1" ht="14.4" outlineLevel="1">
      <c r="A1674" s="2435" t="str">
        <f>A1673</f>
        <v/>
      </c>
      <c r="B1674" s="2514"/>
      <c r="C1674" s="2511"/>
      <c r="D1674" s="2512"/>
      <c r="E1674" s="2520" t="s">
        <v>6207</v>
      </c>
      <c r="F1674" s="2521"/>
      <c r="G1674" s="2703"/>
      <c r="H1674" s="2669"/>
      <c r="I1674" s="2669"/>
      <c r="J1674" s="2669"/>
      <c r="K1674" s="2669"/>
      <c r="L1674" s="2613">
        <f t="shared" si="314"/>
        <v>0</v>
      </c>
      <c r="M1674" s="2613">
        <f t="shared" si="317"/>
        <v>0</v>
      </c>
      <c r="N1674" s="2613">
        <f t="shared" si="318"/>
        <v>0</v>
      </c>
      <c r="O1674" s="2613">
        <f t="shared" si="319"/>
        <v>0</v>
      </c>
      <c r="P1674" s="2702"/>
      <c r="Q1674" s="2519"/>
      <c r="R1674" s="2519"/>
      <c r="S1674" s="2519"/>
    </row>
    <row r="1675" spans="1:16383" s="2358" customFormat="1" outlineLevel="1">
      <c r="A1675" s="2435" t="str">
        <f>IF(G1675&lt;&gt;0,1,"")</f>
        <v/>
      </c>
      <c r="B1675" s="2386" t="s">
        <v>5216</v>
      </c>
      <c r="C1675" s="2511"/>
      <c r="D1675" s="2405">
        <v>0</v>
      </c>
      <c r="E1675" s="2447" t="s">
        <v>5217</v>
      </c>
      <c r="F1675" s="2405" t="s">
        <v>2598</v>
      </c>
      <c r="G1675" s="2703">
        <f>+G1673*1</f>
        <v>0</v>
      </c>
      <c r="H1675" s="2612">
        <v>878000</v>
      </c>
      <c r="I1675" s="2612"/>
      <c r="J1675" s="2612">
        <v>0</v>
      </c>
      <c r="K1675" s="2612">
        <v>0</v>
      </c>
      <c r="L1675" s="2613">
        <f t="shared" si="314"/>
        <v>0</v>
      </c>
      <c r="M1675" s="2613">
        <f t="shared" si="317"/>
        <v>0</v>
      </c>
      <c r="N1675" s="2613">
        <f t="shared" si="318"/>
        <v>0</v>
      </c>
      <c r="O1675" s="2613">
        <f t="shared" si="319"/>
        <v>0</v>
      </c>
      <c r="P1675" s="2702"/>
      <c r="Q1675" s="2519"/>
      <c r="R1675" s="2519"/>
      <c r="S1675" s="2519"/>
    </row>
    <row r="1676" spans="1:16383" s="2358" customFormat="1" outlineLevel="1">
      <c r="A1676" s="2435"/>
      <c r="B1676" s="2386" t="s">
        <v>5219</v>
      </c>
      <c r="C1676" s="2511"/>
      <c r="D1676" s="2405">
        <v>0</v>
      </c>
      <c r="E1676" s="2447" t="s">
        <v>5220</v>
      </c>
      <c r="F1676" s="2405" t="s">
        <v>5221</v>
      </c>
      <c r="G1676" s="2703">
        <f>G1673*2</f>
        <v>0</v>
      </c>
      <c r="H1676" s="2612">
        <v>140000</v>
      </c>
      <c r="I1676" s="2612"/>
      <c r="J1676" s="2612">
        <v>0</v>
      </c>
      <c r="K1676" s="2612">
        <v>0</v>
      </c>
      <c r="L1676" s="2613">
        <f>H1676*G1676</f>
        <v>0</v>
      </c>
      <c r="M1676" s="2613">
        <f>I1676*G1676</f>
        <v>0</v>
      </c>
      <c r="N1676" s="2613">
        <f>J1676*G1676</f>
        <v>0</v>
      </c>
      <c r="O1676" s="2613">
        <f>K1676*G1676</f>
        <v>0</v>
      </c>
      <c r="P1676" s="2702"/>
      <c r="Q1676" s="2519"/>
      <c r="R1676" s="2519"/>
      <c r="S1676" s="2519"/>
    </row>
    <row r="1677" spans="1:16383" s="2358" customFormat="1" outlineLevel="1">
      <c r="A1677" s="2435" t="str">
        <f>IF(G1677&lt;&gt;0,1,"")</f>
        <v/>
      </c>
      <c r="B1677" s="2383" t="s">
        <v>488</v>
      </c>
      <c r="C1677" s="2511"/>
      <c r="D1677" s="2405">
        <v>0</v>
      </c>
      <c r="E1677" s="2447" t="s">
        <v>5130</v>
      </c>
      <c r="F1677" s="2405" t="s">
        <v>2445</v>
      </c>
      <c r="G1677" s="2703">
        <f>+G1673*3</f>
        <v>0</v>
      </c>
      <c r="H1677" s="2612">
        <v>65000</v>
      </c>
      <c r="I1677" s="2612">
        <v>0</v>
      </c>
      <c r="J1677" s="2612">
        <v>0</v>
      </c>
      <c r="K1677" s="2612">
        <v>0</v>
      </c>
      <c r="L1677" s="2613">
        <f t="shared" si="314"/>
        <v>0</v>
      </c>
      <c r="M1677" s="2613">
        <f t="shared" si="317"/>
        <v>0</v>
      </c>
      <c r="N1677" s="2613">
        <f t="shared" si="318"/>
        <v>0</v>
      </c>
      <c r="O1677" s="2613">
        <f t="shared" si="319"/>
        <v>0</v>
      </c>
      <c r="P1677" s="2702"/>
      <c r="Q1677" s="2519"/>
      <c r="R1677" s="2519"/>
      <c r="S1677" s="2519"/>
    </row>
    <row r="1678" spans="1:16383" s="2358" customFormat="1" outlineLevel="1">
      <c r="A1678" s="2435" t="str">
        <f>IF(G1678&lt;&gt;0,1,"")</f>
        <v/>
      </c>
      <c r="B1678" s="2514" t="s">
        <v>1079</v>
      </c>
      <c r="C1678" s="2511"/>
      <c r="D1678" s="2405">
        <v>0</v>
      </c>
      <c r="E1678" s="2447" t="s">
        <v>2659</v>
      </c>
      <c r="F1678" s="2405" t="s">
        <v>2445</v>
      </c>
      <c r="G1678" s="2703">
        <f>+G1673*2</f>
        <v>0</v>
      </c>
      <c r="H1678" s="2612">
        <v>27900</v>
      </c>
      <c r="I1678" s="2669"/>
      <c r="J1678" s="2612">
        <v>0</v>
      </c>
      <c r="K1678" s="2612">
        <v>0</v>
      </c>
      <c r="L1678" s="2613">
        <f t="shared" si="314"/>
        <v>0</v>
      </c>
      <c r="M1678" s="2613">
        <f t="shared" si="317"/>
        <v>0</v>
      </c>
      <c r="N1678" s="2613">
        <f t="shared" si="318"/>
        <v>0</v>
      </c>
      <c r="O1678" s="2613">
        <f t="shared" si="319"/>
        <v>0</v>
      </c>
      <c r="P1678" s="2702"/>
      <c r="Q1678" s="2519"/>
      <c r="R1678" s="2519"/>
      <c r="S1678" s="2519"/>
    </row>
    <row r="1679" spans="1:16383" s="2358" customFormat="1" outlineLevel="1">
      <c r="A1679" s="2435" t="str">
        <f>IF(G1679&lt;&gt;0,1,"")</f>
        <v/>
      </c>
      <c r="B1679" s="2726" t="s">
        <v>5434</v>
      </c>
      <c r="C1679" s="2511"/>
      <c r="D1679" s="2405" t="s">
        <v>5209</v>
      </c>
      <c r="E1679" s="2447" t="s">
        <v>5435</v>
      </c>
      <c r="F1679" s="2405" t="s">
        <v>2445</v>
      </c>
      <c r="G1679" s="2703">
        <f>+G1673</f>
        <v>0</v>
      </c>
      <c r="H1679" s="2517">
        <v>0</v>
      </c>
      <c r="I1679" s="2612"/>
      <c r="J1679" s="2612">
        <v>51981</v>
      </c>
      <c r="K1679" s="2612"/>
      <c r="L1679" s="2613">
        <f t="shared" si="314"/>
        <v>0</v>
      </c>
      <c r="M1679" s="2613"/>
      <c r="N1679" s="2612">
        <f>G1679*J1679</f>
        <v>0</v>
      </c>
      <c r="O1679" s="2613"/>
      <c r="P1679" s="2702"/>
      <c r="Q1679" s="2519"/>
      <c r="R1679" s="2519"/>
      <c r="S1679" s="2519"/>
    </row>
    <row r="1680" spans="1:16383" s="2358" customFormat="1" outlineLevel="1" collapsed="1">
      <c r="A1680" s="2727" t="str">
        <f>IF(G1680&lt;&gt;0,1,"")</f>
        <v/>
      </c>
      <c r="B1680" s="2728"/>
      <c r="C1680" s="2716">
        <f>IF(G1680&gt;0,C1673+1,C1673)</f>
        <v>0</v>
      </c>
      <c r="D1680" s="2717"/>
      <c r="E1680" s="2718" t="s">
        <v>3736</v>
      </c>
      <c r="F1680" s="2719" t="s">
        <v>2391</v>
      </c>
      <c r="G1680" s="2720"/>
      <c r="H1680" s="2721"/>
      <c r="I1680" s="2722"/>
      <c r="J1680" s="2723"/>
      <c r="K1680" s="2723"/>
      <c r="L1680" s="2724">
        <f t="shared" si="314"/>
        <v>0</v>
      </c>
      <c r="M1680" s="2725">
        <f>I1680*G1680</f>
        <v>0</v>
      </c>
      <c r="N1680" s="2724">
        <f>J1680*G1680</f>
        <v>0</v>
      </c>
      <c r="O1680" s="2724">
        <f>K1680*G1680</f>
        <v>0</v>
      </c>
      <c r="P1680" s="2729"/>
      <c r="Q1680" s="2730"/>
      <c r="R1680" s="2730"/>
      <c r="S1680" s="2730"/>
      <c r="T1680" s="2730"/>
      <c r="U1680" s="2730"/>
      <c r="V1680" s="2730"/>
      <c r="W1680" s="2730"/>
      <c r="X1680" s="2730"/>
      <c r="Y1680" s="2730"/>
      <c r="Z1680" s="2730"/>
      <c r="AA1680" s="2730"/>
      <c r="AB1680" s="2730"/>
      <c r="AC1680" s="2730"/>
      <c r="AD1680" s="2730"/>
      <c r="AE1680" s="2730"/>
      <c r="AF1680" s="2730"/>
      <c r="AG1680" s="2730"/>
      <c r="AH1680" s="2730"/>
      <c r="AI1680" s="2730"/>
      <c r="AJ1680" s="2730"/>
      <c r="AK1680" s="2730"/>
      <c r="AL1680" s="2730"/>
      <c r="AM1680" s="2730"/>
      <c r="AN1680" s="2730"/>
      <c r="AO1680" s="2730"/>
      <c r="AP1680" s="2730"/>
      <c r="AQ1680" s="2730"/>
      <c r="AR1680" s="2730"/>
      <c r="AS1680" s="2730"/>
      <c r="AT1680" s="2730"/>
      <c r="AU1680" s="2730"/>
      <c r="AV1680" s="2730"/>
      <c r="AW1680" s="2730"/>
      <c r="AX1680" s="2730"/>
      <c r="AY1680" s="2730"/>
      <c r="AZ1680" s="2730"/>
      <c r="BA1680" s="2730"/>
      <c r="BB1680" s="2730"/>
      <c r="BC1680" s="2730"/>
      <c r="BD1680" s="2730"/>
      <c r="BE1680" s="2730"/>
      <c r="BF1680" s="2730"/>
      <c r="BG1680" s="2730"/>
      <c r="BH1680" s="2730"/>
      <c r="BI1680" s="2730"/>
      <c r="BJ1680" s="2730"/>
      <c r="BK1680" s="2730"/>
      <c r="BL1680" s="2730"/>
      <c r="BM1680" s="2730"/>
      <c r="BN1680" s="2730"/>
      <c r="BO1680" s="2730"/>
      <c r="BP1680" s="2730"/>
      <c r="BQ1680" s="2730"/>
      <c r="BR1680" s="2730"/>
      <c r="BS1680" s="2730"/>
      <c r="BT1680" s="2730"/>
      <c r="BU1680" s="2730"/>
      <c r="BV1680" s="2730"/>
      <c r="BW1680" s="2730"/>
      <c r="BX1680" s="2730"/>
      <c r="BY1680" s="2730"/>
      <c r="BZ1680" s="2730"/>
      <c r="CA1680" s="2730"/>
      <c r="CB1680" s="2730"/>
      <c r="CC1680" s="2730"/>
      <c r="CD1680" s="2730"/>
      <c r="CE1680" s="2730"/>
      <c r="CF1680" s="2730"/>
      <c r="CG1680" s="2730"/>
      <c r="CH1680" s="2730"/>
      <c r="CI1680" s="2730"/>
      <c r="CJ1680" s="2730"/>
      <c r="CK1680" s="2730"/>
      <c r="CL1680" s="2730"/>
      <c r="CM1680" s="2730"/>
      <c r="CN1680" s="2730"/>
      <c r="CO1680" s="2730"/>
      <c r="CP1680" s="2730"/>
      <c r="CQ1680" s="2730"/>
      <c r="CR1680" s="2730"/>
      <c r="CS1680" s="2730"/>
      <c r="CT1680" s="2730"/>
      <c r="CU1680" s="2730"/>
      <c r="CV1680" s="2730"/>
      <c r="CW1680" s="2730"/>
      <c r="CX1680" s="2730"/>
      <c r="CY1680" s="2730"/>
      <c r="CZ1680" s="2730"/>
      <c r="DA1680" s="2730"/>
      <c r="DB1680" s="2730"/>
      <c r="DC1680" s="2730"/>
      <c r="DD1680" s="2730"/>
      <c r="DE1680" s="2730"/>
      <c r="DF1680" s="2730"/>
      <c r="DG1680" s="2730"/>
      <c r="DH1680" s="2730"/>
      <c r="DI1680" s="2730"/>
      <c r="DJ1680" s="2730"/>
      <c r="DK1680" s="2730"/>
      <c r="DL1680" s="2730"/>
      <c r="DM1680" s="2730"/>
      <c r="DN1680" s="2730"/>
      <c r="DO1680" s="2730"/>
      <c r="DP1680" s="2730"/>
      <c r="DQ1680" s="2730"/>
      <c r="DR1680" s="2730"/>
      <c r="DS1680" s="2730"/>
      <c r="DT1680" s="2730"/>
      <c r="DU1680" s="2730"/>
      <c r="DV1680" s="2730"/>
      <c r="DW1680" s="2730"/>
      <c r="DX1680" s="2730"/>
      <c r="DY1680" s="2730"/>
      <c r="DZ1680" s="2730"/>
      <c r="EA1680" s="2730"/>
      <c r="EB1680" s="2730"/>
      <c r="EC1680" s="2730"/>
      <c r="ED1680" s="2730"/>
      <c r="EE1680" s="2730"/>
      <c r="EF1680" s="2730"/>
      <c r="EG1680" s="2730"/>
      <c r="EH1680" s="2730"/>
      <c r="EI1680" s="2730"/>
      <c r="EJ1680" s="2730"/>
      <c r="EK1680" s="2730"/>
      <c r="EL1680" s="2730"/>
      <c r="EM1680" s="2730"/>
      <c r="EN1680" s="2730"/>
      <c r="EO1680" s="2730"/>
      <c r="EP1680" s="2730"/>
      <c r="EQ1680" s="2730"/>
      <c r="ER1680" s="2730"/>
      <c r="ES1680" s="2730"/>
      <c r="ET1680" s="2730"/>
      <c r="EU1680" s="2730"/>
      <c r="EV1680" s="2730"/>
      <c r="EW1680" s="2730"/>
      <c r="EX1680" s="2730"/>
      <c r="EY1680" s="2730"/>
      <c r="EZ1680" s="2730"/>
      <c r="FA1680" s="2730"/>
      <c r="FB1680" s="2730"/>
      <c r="FC1680" s="2730"/>
      <c r="FD1680" s="2730"/>
      <c r="FE1680" s="2730"/>
      <c r="FF1680" s="2730"/>
      <c r="FG1680" s="2730"/>
      <c r="FH1680" s="2730"/>
      <c r="FI1680" s="2730"/>
      <c r="FJ1680" s="2730"/>
      <c r="FK1680" s="2730"/>
      <c r="FL1680" s="2730"/>
      <c r="FM1680" s="2730"/>
      <c r="FN1680" s="2730"/>
      <c r="FO1680" s="2730"/>
      <c r="FP1680" s="2730"/>
      <c r="FQ1680" s="2730"/>
      <c r="FR1680" s="2730"/>
      <c r="FS1680" s="2730"/>
      <c r="FT1680" s="2730"/>
      <c r="FU1680" s="2730"/>
      <c r="FV1680" s="2730"/>
      <c r="FW1680" s="2730"/>
      <c r="FX1680" s="2730"/>
      <c r="FY1680" s="2730"/>
      <c r="FZ1680" s="2730"/>
      <c r="GA1680" s="2730"/>
      <c r="GB1680" s="2730"/>
      <c r="GC1680" s="2730"/>
      <c r="GD1680" s="2730"/>
      <c r="GE1680" s="2730"/>
      <c r="GF1680" s="2730"/>
      <c r="GG1680" s="2730"/>
      <c r="GH1680" s="2730"/>
      <c r="GI1680" s="2730"/>
      <c r="GJ1680" s="2730"/>
      <c r="GK1680" s="2730"/>
      <c r="GL1680" s="2730"/>
      <c r="GM1680" s="2730"/>
      <c r="GN1680" s="2730"/>
      <c r="GO1680" s="2730"/>
      <c r="GP1680" s="2730"/>
      <c r="GQ1680" s="2730"/>
      <c r="GR1680" s="2730"/>
      <c r="GS1680" s="2730"/>
      <c r="GT1680" s="2730"/>
      <c r="GU1680" s="2730"/>
      <c r="GV1680" s="2730"/>
      <c r="GW1680" s="2730"/>
      <c r="GX1680" s="2730"/>
      <c r="GY1680" s="2730"/>
      <c r="GZ1680" s="2730"/>
      <c r="HA1680" s="2730"/>
      <c r="HB1680" s="2730"/>
      <c r="HC1680" s="2730"/>
      <c r="HD1680" s="2730"/>
      <c r="HE1680" s="2730"/>
      <c r="HF1680" s="2730"/>
      <c r="HG1680" s="2730"/>
      <c r="HH1680" s="2730"/>
      <c r="HI1680" s="2730"/>
      <c r="HJ1680" s="2730"/>
      <c r="HK1680" s="2730"/>
      <c r="HL1680" s="2730"/>
      <c r="HM1680" s="2730"/>
      <c r="HN1680" s="2730"/>
      <c r="HO1680" s="2730"/>
      <c r="HP1680" s="2730"/>
      <c r="HQ1680" s="2730"/>
      <c r="HR1680" s="2730"/>
      <c r="HS1680" s="2730"/>
      <c r="HT1680" s="2730"/>
      <c r="HU1680" s="2730"/>
      <c r="HV1680" s="2730"/>
      <c r="HW1680" s="2730"/>
      <c r="HX1680" s="2730"/>
      <c r="HY1680" s="2730"/>
      <c r="HZ1680" s="2730"/>
      <c r="IA1680" s="2730"/>
      <c r="IB1680" s="2730"/>
      <c r="IC1680" s="2730"/>
      <c r="ID1680" s="2730"/>
      <c r="IE1680" s="2730"/>
      <c r="IF1680" s="2730"/>
      <c r="IG1680" s="2730"/>
      <c r="IH1680" s="2730"/>
      <c r="II1680" s="2730"/>
      <c r="IJ1680" s="2730"/>
      <c r="IK1680" s="2730"/>
      <c r="IL1680" s="2730"/>
      <c r="IM1680" s="2730"/>
      <c r="IN1680" s="2730"/>
      <c r="IO1680" s="2730"/>
      <c r="IP1680" s="2730"/>
      <c r="IQ1680" s="2730"/>
      <c r="IR1680" s="2730"/>
      <c r="IS1680" s="2730"/>
      <c r="IT1680" s="2730"/>
      <c r="IU1680" s="2730"/>
      <c r="IV1680" s="2730"/>
      <c r="IW1680" s="2730"/>
      <c r="IX1680" s="2730"/>
      <c r="IY1680" s="2730"/>
      <c r="IZ1680" s="2730"/>
      <c r="JA1680" s="2730"/>
      <c r="JB1680" s="2730"/>
      <c r="JC1680" s="2730"/>
      <c r="JD1680" s="2730"/>
      <c r="JE1680" s="2730"/>
      <c r="JF1680" s="2730"/>
      <c r="JG1680" s="2730"/>
      <c r="JH1680" s="2730"/>
      <c r="JI1680" s="2730"/>
      <c r="JJ1680" s="2730"/>
      <c r="JK1680" s="2730"/>
      <c r="JL1680" s="2730"/>
      <c r="JM1680" s="2730"/>
      <c r="JN1680" s="2730"/>
      <c r="JO1680" s="2730"/>
      <c r="JP1680" s="2730"/>
      <c r="JQ1680" s="2730"/>
      <c r="JR1680" s="2730"/>
      <c r="JS1680" s="2730"/>
      <c r="JT1680" s="2730"/>
      <c r="JU1680" s="2730"/>
      <c r="JV1680" s="2730"/>
      <c r="JW1680" s="2730"/>
      <c r="JX1680" s="2730"/>
      <c r="JY1680" s="2730"/>
      <c r="JZ1680" s="2730"/>
      <c r="KA1680" s="2730"/>
      <c r="KB1680" s="2730"/>
      <c r="KC1680" s="2730"/>
      <c r="KD1680" s="2730"/>
      <c r="KE1680" s="2730"/>
      <c r="KF1680" s="2730"/>
      <c r="KG1680" s="2730"/>
      <c r="KH1680" s="2730"/>
      <c r="KI1680" s="2730"/>
      <c r="KJ1680" s="2730"/>
      <c r="KK1680" s="2730"/>
      <c r="KL1680" s="2730"/>
      <c r="KM1680" s="2730"/>
      <c r="KN1680" s="2730"/>
      <c r="KO1680" s="2730"/>
      <c r="KP1680" s="2730"/>
      <c r="KQ1680" s="2730"/>
      <c r="KR1680" s="2730"/>
      <c r="KS1680" s="2730"/>
      <c r="KT1680" s="2730"/>
      <c r="KU1680" s="2730"/>
      <c r="KV1680" s="2730"/>
      <c r="KW1680" s="2730"/>
      <c r="KX1680" s="2730"/>
      <c r="KY1680" s="2730"/>
      <c r="KZ1680" s="2730"/>
      <c r="LA1680" s="2730"/>
      <c r="LB1680" s="2730"/>
      <c r="LC1680" s="2730"/>
      <c r="LD1680" s="2730"/>
      <c r="LE1680" s="2730"/>
      <c r="LF1680" s="2730"/>
      <c r="LG1680" s="2730"/>
      <c r="LH1680" s="2730"/>
      <c r="LI1680" s="2730"/>
      <c r="LJ1680" s="2730"/>
      <c r="LK1680" s="2730"/>
      <c r="LL1680" s="2730"/>
      <c r="LM1680" s="2730"/>
      <c r="LN1680" s="2730"/>
      <c r="LO1680" s="2730"/>
      <c r="LP1680" s="2730"/>
      <c r="LQ1680" s="2730"/>
      <c r="LR1680" s="2730"/>
      <c r="LS1680" s="2730"/>
      <c r="LT1680" s="2730"/>
      <c r="LU1680" s="2730"/>
      <c r="LV1680" s="2730"/>
      <c r="LW1680" s="2730"/>
      <c r="LX1680" s="2730"/>
      <c r="LY1680" s="2730"/>
      <c r="LZ1680" s="2730"/>
      <c r="MA1680" s="2730"/>
      <c r="MB1680" s="2730"/>
      <c r="MC1680" s="2730"/>
      <c r="MD1680" s="2730"/>
      <c r="ME1680" s="2730"/>
      <c r="MF1680" s="2730"/>
      <c r="MG1680" s="2730"/>
      <c r="MH1680" s="2730"/>
      <c r="MI1680" s="2730"/>
      <c r="MJ1680" s="2730"/>
      <c r="MK1680" s="2730"/>
      <c r="ML1680" s="2730"/>
      <c r="MM1680" s="2730"/>
      <c r="MN1680" s="2730"/>
      <c r="MO1680" s="2730"/>
      <c r="MP1680" s="2730"/>
      <c r="MQ1680" s="2730"/>
      <c r="MR1680" s="2730"/>
      <c r="MS1680" s="2730"/>
      <c r="MT1680" s="2730"/>
      <c r="MU1680" s="2730"/>
      <c r="MV1680" s="2730"/>
      <c r="MW1680" s="2730"/>
      <c r="MX1680" s="2730"/>
      <c r="MY1680" s="2730"/>
      <c r="MZ1680" s="2730"/>
      <c r="NA1680" s="2730"/>
      <c r="NB1680" s="2730"/>
      <c r="NC1680" s="2730"/>
      <c r="ND1680" s="2730"/>
      <c r="NE1680" s="2730"/>
      <c r="NF1680" s="2730"/>
      <c r="NG1680" s="2730"/>
      <c r="NH1680" s="2730"/>
      <c r="NI1680" s="2730"/>
      <c r="NJ1680" s="2730"/>
      <c r="NK1680" s="2730"/>
      <c r="NL1680" s="2730"/>
      <c r="NM1680" s="2730"/>
      <c r="NN1680" s="2730"/>
      <c r="NO1680" s="2730"/>
      <c r="NP1680" s="2730"/>
      <c r="NQ1680" s="2730"/>
      <c r="NR1680" s="2730"/>
      <c r="NS1680" s="2730"/>
      <c r="NT1680" s="2730"/>
      <c r="NU1680" s="2730"/>
      <c r="NV1680" s="2730"/>
      <c r="NW1680" s="2730"/>
      <c r="NX1680" s="2730"/>
      <c r="NY1680" s="2730"/>
      <c r="NZ1680" s="2730"/>
      <c r="OA1680" s="2730"/>
      <c r="OB1680" s="2730"/>
      <c r="OC1680" s="2730"/>
      <c r="OD1680" s="2730"/>
      <c r="OE1680" s="2730"/>
      <c r="OF1680" s="2730"/>
      <c r="OG1680" s="2730"/>
      <c r="OH1680" s="2730"/>
      <c r="OI1680" s="2730"/>
      <c r="OJ1680" s="2730"/>
      <c r="OK1680" s="2730"/>
      <c r="OL1680" s="2730"/>
      <c r="OM1680" s="2730"/>
      <c r="ON1680" s="2730"/>
      <c r="OO1680" s="2730"/>
      <c r="OP1680" s="2730"/>
      <c r="OQ1680" s="2730"/>
      <c r="OR1680" s="2730"/>
      <c r="OS1680" s="2730"/>
      <c r="OT1680" s="2730"/>
      <c r="OU1680" s="2730"/>
      <c r="OV1680" s="2730"/>
      <c r="OW1680" s="2730"/>
      <c r="OX1680" s="2730"/>
      <c r="OY1680" s="2730"/>
      <c r="OZ1680" s="2730"/>
      <c r="PA1680" s="2730"/>
      <c r="PB1680" s="2730"/>
      <c r="PC1680" s="2730"/>
      <c r="PD1680" s="2730"/>
      <c r="PE1680" s="2730"/>
      <c r="PF1680" s="2730"/>
      <c r="PG1680" s="2730"/>
      <c r="PH1680" s="2730"/>
      <c r="PI1680" s="2730"/>
      <c r="PJ1680" s="2730"/>
      <c r="PK1680" s="2730"/>
      <c r="PL1680" s="2730"/>
      <c r="PM1680" s="2730"/>
      <c r="PN1680" s="2730"/>
      <c r="PO1680" s="2730"/>
      <c r="PP1680" s="2730"/>
      <c r="PQ1680" s="2730"/>
      <c r="PR1680" s="2730"/>
      <c r="PS1680" s="2730"/>
      <c r="PT1680" s="2730"/>
      <c r="PU1680" s="2730"/>
      <c r="PV1680" s="2730"/>
      <c r="PW1680" s="2730"/>
      <c r="PX1680" s="2730"/>
      <c r="PY1680" s="2730"/>
      <c r="PZ1680" s="2730"/>
      <c r="QA1680" s="2730"/>
      <c r="QB1680" s="2730"/>
      <c r="QC1680" s="2730"/>
      <c r="QD1680" s="2730"/>
      <c r="QE1680" s="2730"/>
      <c r="QF1680" s="2730"/>
      <c r="QG1680" s="2730"/>
      <c r="QH1680" s="2730"/>
      <c r="QI1680" s="2730"/>
      <c r="QJ1680" s="2730"/>
      <c r="QK1680" s="2730"/>
      <c r="QL1680" s="2730"/>
      <c r="QM1680" s="2730"/>
      <c r="QN1680" s="2730"/>
      <c r="QO1680" s="2730"/>
      <c r="QP1680" s="2730"/>
      <c r="QQ1680" s="2730"/>
      <c r="QR1680" s="2730"/>
      <c r="QS1680" s="2730"/>
      <c r="QT1680" s="2730"/>
      <c r="QU1680" s="2730"/>
      <c r="QV1680" s="2730"/>
      <c r="QW1680" s="2730"/>
      <c r="QX1680" s="2730"/>
      <c r="QY1680" s="2730"/>
      <c r="QZ1680" s="2730"/>
      <c r="RA1680" s="2730"/>
      <c r="RB1680" s="2730"/>
      <c r="RC1680" s="2730"/>
      <c r="RD1680" s="2730"/>
      <c r="RE1680" s="2730"/>
      <c r="RF1680" s="2730"/>
      <c r="RG1680" s="2730"/>
      <c r="RH1680" s="2730"/>
      <c r="RI1680" s="2730"/>
      <c r="RJ1680" s="2730"/>
      <c r="RK1680" s="2730"/>
      <c r="RL1680" s="2730"/>
      <c r="RM1680" s="2730"/>
      <c r="RN1680" s="2730"/>
      <c r="RO1680" s="2730"/>
      <c r="RP1680" s="2730"/>
      <c r="RQ1680" s="2730"/>
      <c r="RR1680" s="2730"/>
      <c r="RS1680" s="2730"/>
      <c r="RT1680" s="2730"/>
      <c r="RU1680" s="2730"/>
      <c r="RV1680" s="2730"/>
      <c r="RW1680" s="2730"/>
      <c r="RX1680" s="2730"/>
      <c r="RY1680" s="2730"/>
      <c r="RZ1680" s="2730"/>
      <c r="SA1680" s="2730"/>
      <c r="SB1680" s="2730"/>
      <c r="SC1680" s="2730"/>
      <c r="SD1680" s="2730"/>
      <c r="SE1680" s="2730"/>
      <c r="SF1680" s="2730"/>
      <c r="SG1680" s="2730"/>
      <c r="SH1680" s="2730"/>
      <c r="SI1680" s="2730"/>
      <c r="SJ1680" s="2730"/>
      <c r="SK1680" s="2730"/>
      <c r="SL1680" s="2730"/>
      <c r="SM1680" s="2730"/>
      <c r="SN1680" s="2730"/>
      <c r="SO1680" s="2730"/>
      <c r="SP1680" s="2730"/>
      <c r="SQ1680" s="2730"/>
      <c r="SR1680" s="2730"/>
      <c r="SS1680" s="2730"/>
      <c r="ST1680" s="2730"/>
      <c r="SU1680" s="2730"/>
      <c r="SV1680" s="2730"/>
      <c r="SW1680" s="2730"/>
      <c r="SX1680" s="2730"/>
      <c r="SY1680" s="2730"/>
      <c r="SZ1680" s="2730"/>
      <c r="TA1680" s="2730"/>
      <c r="TB1680" s="2730"/>
      <c r="TC1680" s="2730"/>
      <c r="TD1680" s="2730"/>
      <c r="TE1680" s="2730"/>
      <c r="TF1680" s="2730"/>
      <c r="TG1680" s="2730"/>
      <c r="TH1680" s="2730"/>
      <c r="TI1680" s="2730"/>
      <c r="TJ1680" s="2730"/>
      <c r="TK1680" s="2730"/>
      <c r="TL1680" s="2730"/>
      <c r="TM1680" s="2730"/>
      <c r="TN1680" s="2730"/>
      <c r="TO1680" s="2730"/>
      <c r="TP1680" s="2730"/>
      <c r="TQ1680" s="2730"/>
      <c r="TR1680" s="2730"/>
      <c r="TS1680" s="2730"/>
      <c r="TT1680" s="2730"/>
      <c r="TU1680" s="2730"/>
      <c r="TV1680" s="2730"/>
      <c r="TW1680" s="2730"/>
      <c r="TX1680" s="2730"/>
      <c r="TY1680" s="2730"/>
      <c r="TZ1680" s="2730"/>
      <c r="UA1680" s="2730"/>
      <c r="UB1680" s="2730"/>
      <c r="UC1680" s="2730"/>
      <c r="UD1680" s="2730"/>
      <c r="UE1680" s="2730"/>
      <c r="UF1680" s="2730"/>
      <c r="UG1680" s="2730"/>
      <c r="UH1680" s="2730"/>
      <c r="UI1680" s="2730"/>
      <c r="UJ1680" s="2730"/>
      <c r="UK1680" s="2730"/>
      <c r="UL1680" s="2730"/>
      <c r="UM1680" s="2730"/>
      <c r="UN1680" s="2730"/>
      <c r="UO1680" s="2730"/>
      <c r="UP1680" s="2730"/>
      <c r="UQ1680" s="2730"/>
      <c r="UR1680" s="2730"/>
      <c r="US1680" s="2730"/>
      <c r="UT1680" s="2730"/>
      <c r="UU1680" s="2730"/>
      <c r="UV1680" s="2730"/>
      <c r="UW1680" s="2730"/>
      <c r="UX1680" s="2730"/>
      <c r="UY1680" s="2730"/>
      <c r="UZ1680" s="2730"/>
      <c r="VA1680" s="2730"/>
      <c r="VB1680" s="2730"/>
      <c r="VC1680" s="2730"/>
      <c r="VD1680" s="2730"/>
      <c r="VE1680" s="2730"/>
      <c r="VF1680" s="2730"/>
      <c r="VG1680" s="2730"/>
      <c r="VH1680" s="2730"/>
      <c r="VI1680" s="2730"/>
      <c r="VJ1680" s="2730"/>
      <c r="VK1680" s="2730"/>
      <c r="VL1680" s="2730"/>
      <c r="VM1680" s="2730"/>
      <c r="VN1680" s="2730"/>
      <c r="VO1680" s="2730"/>
      <c r="VP1680" s="2730"/>
      <c r="VQ1680" s="2730"/>
      <c r="VR1680" s="2730"/>
      <c r="VS1680" s="2730"/>
      <c r="VT1680" s="2730"/>
      <c r="VU1680" s="2730"/>
      <c r="VV1680" s="2730"/>
      <c r="VW1680" s="2730"/>
      <c r="VX1680" s="2730"/>
      <c r="VY1680" s="2730"/>
      <c r="VZ1680" s="2730"/>
      <c r="WA1680" s="2730"/>
      <c r="WB1680" s="2730"/>
      <c r="WC1680" s="2730"/>
      <c r="WD1680" s="2730"/>
      <c r="WE1680" s="2730"/>
      <c r="WF1680" s="2730"/>
      <c r="WG1680" s="2730"/>
      <c r="WH1680" s="2730"/>
      <c r="WI1680" s="2730"/>
      <c r="WJ1680" s="2730"/>
      <c r="WK1680" s="2730"/>
      <c r="WL1680" s="2730"/>
      <c r="WM1680" s="2730"/>
      <c r="WN1680" s="2730"/>
      <c r="WO1680" s="2730"/>
      <c r="WP1680" s="2730"/>
      <c r="WQ1680" s="2730"/>
      <c r="WR1680" s="2730"/>
      <c r="WS1680" s="2730"/>
      <c r="WT1680" s="2730"/>
      <c r="WU1680" s="2730"/>
      <c r="WV1680" s="2730"/>
      <c r="WW1680" s="2730"/>
      <c r="WX1680" s="2730"/>
      <c r="WY1680" s="2730"/>
      <c r="WZ1680" s="2730"/>
      <c r="XA1680" s="2730"/>
      <c r="XB1680" s="2730"/>
      <c r="XC1680" s="2730"/>
      <c r="XD1680" s="2730"/>
      <c r="XE1680" s="2730"/>
      <c r="XF1680" s="2730"/>
      <c r="XG1680" s="2730"/>
      <c r="XH1680" s="2730"/>
      <c r="XI1680" s="2730"/>
      <c r="XJ1680" s="2730"/>
      <c r="XK1680" s="2730"/>
      <c r="XL1680" s="2730"/>
      <c r="XM1680" s="2730"/>
      <c r="XN1680" s="2730"/>
      <c r="XO1680" s="2730"/>
      <c r="XP1680" s="2730"/>
      <c r="XQ1680" s="2730"/>
      <c r="XR1680" s="2730"/>
      <c r="XS1680" s="2730"/>
      <c r="XT1680" s="2730"/>
      <c r="XU1680" s="2730"/>
      <c r="XV1680" s="2730"/>
      <c r="XW1680" s="2730"/>
      <c r="XX1680" s="2730"/>
      <c r="XY1680" s="2730"/>
      <c r="XZ1680" s="2730"/>
      <c r="YA1680" s="2730"/>
      <c r="YB1680" s="2730"/>
      <c r="YC1680" s="2730"/>
      <c r="YD1680" s="2730"/>
      <c r="YE1680" s="2730"/>
      <c r="YF1680" s="2730"/>
      <c r="YG1680" s="2730"/>
      <c r="YH1680" s="2730"/>
      <c r="YI1680" s="2730"/>
      <c r="YJ1680" s="2730"/>
      <c r="YK1680" s="2730"/>
      <c r="YL1680" s="2730"/>
      <c r="YM1680" s="2730"/>
      <c r="YN1680" s="2730"/>
      <c r="YO1680" s="2730"/>
      <c r="YP1680" s="2730"/>
      <c r="YQ1680" s="2730"/>
      <c r="YR1680" s="2730"/>
      <c r="YS1680" s="2730"/>
      <c r="YT1680" s="2730"/>
      <c r="YU1680" s="2730"/>
      <c r="YV1680" s="2730"/>
      <c r="YW1680" s="2730"/>
      <c r="YX1680" s="2730"/>
      <c r="YY1680" s="2730"/>
      <c r="YZ1680" s="2730"/>
      <c r="ZA1680" s="2730"/>
      <c r="ZB1680" s="2730"/>
      <c r="ZC1680" s="2730"/>
      <c r="ZD1680" s="2730"/>
      <c r="ZE1680" s="2730"/>
      <c r="ZF1680" s="2730"/>
      <c r="ZG1680" s="2730"/>
      <c r="ZH1680" s="2730"/>
      <c r="ZI1680" s="2730"/>
      <c r="ZJ1680" s="2730"/>
      <c r="ZK1680" s="2730"/>
      <c r="ZL1680" s="2730"/>
      <c r="ZM1680" s="2730"/>
      <c r="ZN1680" s="2730"/>
      <c r="ZO1680" s="2730"/>
      <c r="ZP1680" s="2730"/>
      <c r="ZQ1680" s="2730"/>
      <c r="ZR1680" s="2730"/>
      <c r="ZS1680" s="2730"/>
      <c r="ZT1680" s="2730"/>
      <c r="ZU1680" s="2730"/>
      <c r="ZV1680" s="2730"/>
      <c r="ZW1680" s="2730"/>
      <c r="ZX1680" s="2730"/>
      <c r="ZY1680" s="2730"/>
      <c r="ZZ1680" s="2730"/>
      <c r="AAA1680" s="2730"/>
      <c r="AAB1680" s="2730"/>
      <c r="AAC1680" s="2730"/>
      <c r="AAD1680" s="2730"/>
      <c r="AAE1680" s="2730"/>
      <c r="AAF1680" s="2730"/>
      <c r="AAG1680" s="2730"/>
      <c r="AAH1680" s="2730"/>
      <c r="AAI1680" s="2730"/>
      <c r="AAJ1680" s="2730"/>
      <c r="AAK1680" s="2730"/>
      <c r="AAL1680" s="2730"/>
      <c r="AAM1680" s="2730"/>
      <c r="AAN1680" s="2730"/>
      <c r="AAO1680" s="2730"/>
      <c r="AAP1680" s="2730"/>
      <c r="AAQ1680" s="2730"/>
      <c r="AAR1680" s="2730"/>
      <c r="AAS1680" s="2730"/>
      <c r="AAT1680" s="2730"/>
      <c r="AAU1680" s="2730"/>
      <c r="AAV1680" s="2730"/>
      <c r="AAW1680" s="2730"/>
      <c r="AAX1680" s="2730"/>
      <c r="AAY1680" s="2730"/>
      <c r="AAZ1680" s="2730"/>
      <c r="ABA1680" s="2730"/>
      <c r="ABB1680" s="2730"/>
      <c r="ABC1680" s="2730"/>
      <c r="ABD1680" s="2730"/>
      <c r="ABE1680" s="2730"/>
      <c r="ABF1680" s="2730"/>
      <c r="ABG1680" s="2730"/>
      <c r="ABH1680" s="2730"/>
      <c r="ABI1680" s="2730"/>
      <c r="ABJ1680" s="2730"/>
      <c r="ABK1680" s="2730"/>
      <c r="ABL1680" s="2730"/>
      <c r="ABM1680" s="2730"/>
      <c r="ABN1680" s="2730"/>
      <c r="ABO1680" s="2730"/>
      <c r="ABP1680" s="2730"/>
      <c r="ABQ1680" s="2730"/>
      <c r="ABR1680" s="2730"/>
      <c r="ABS1680" s="2730"/>
      <c r="ABT1680" s="2730"/>
      <c r="ABU1680" s="2730"/>
      <c r="ABV1680" s="2730"/>
      <c r="ABW1680" s="2730"/>
      <c r="ABX1680" s="2730"/>
      <c r="ABY1680" s="2730"/>
      <c r="ABZ1680" s="2730"/>
      <c r="ACA1680" s="2730"/>
      <c r="ACB1680" s="2730"/>
      <c r="ACC1680" s="2730"/>
      <c r="ACD1680" s="2730"/>
      <c r="ACE1680" s="2730"/>
      <c r="ACF1680" s="2730"/>
      <c r="ACG1680" s="2730"/>
      <c r="ACH1680" s="2730"/>
      <c r="ACI1680" s="2730"/>
      <c r="ACJ1680" s="2730"/>
      <c r="ACK1680" s="2730"/>
      <c r="ACL1680" s="2730"/>
      <c r="ACM1680" s="2730"/>
      <c r="ACN1680" s="2730"/>
      <c r="ACO1680" s="2730"/>
      <c r="ACP1680" s="2730"/>
      <c r="ACQ1680" s="2730"/>
      <c r="ACR1680" s="2730"/>
      <c r="ACS1680" s="2730"/>
      <c r="ACT1680" s="2730"/>
      <c r="ACU1680" s="2730"/>
      <c r="ACV1680" s="2730"/>
      <c r="ACW1680" s="2730"/>
      <c r="ACX1680" s="2730"/>
      <c r="ACY1680" s="2730"/>
      <c r="ACZ1680" s="2730"/>
      <c r="ADA1680" s="2730"/>
      <c r="ADB1680" s="2730"/>
      <c r="ADC1680" s="2730"/>
      <c r="ADD1680" s="2730"/>
      <c r="ADE1680" s="2730"/>
      <c r="ADF1680" s="2730"/>
      <c r="ADG1680" s="2730"/>
      <c r="ADH1680" s="2730"/>
      <c r="ADI1680" s="2730"/>
      <c r="ADJ1680" s="2730"/>
      <c r="ADK1680" s="2730"/>
      <c r="ADL1680" s="2730"/>
      <c r="ADM1680" s="2730"/>
      <c r="ADN1680" s="2730"/>
      <c r="ADO1680" s="2730"/>
      <c r="ADP1680" s="2730"/>
      <c r="ADQ1680" s="2730"/>
      <c r="ADR1680" s="2730"/>
      <c r="ADS1680" s="2730"/>
      <c r="ADT1680" s="2730"/>
      <c r="ADU1680" s="2730"/>
      <c r="ADV1680" s="2730"/>
      <c r="ADW1680" s="2730"/>
      <c r="ADX1680" s="2730"/>
      <c r="ADY1680" s="2730"/>
      <c r="ADZ1680" s="2730"/>
      <c r="AEA1680" s="2730"/>
      <c r="AEB1680" s="2730"/>
      <c r="AEC1680" s="2730"/>
      <c r="AED1680" s="2730"/>
      <c r="AEE1680" s="2730"/>
      <c r="AEF1680" s="2730"/>
      <c r="AEG1680" s="2730"/>
      <c r="AEH1680" s="2730"/>
      <c r="AEI1680" s="2730"/>
      <c r="AEJ1680" s="2730"/>
      <c r="AEK1680" s="2730"/>
      <c r="AEL1680" s="2730"/>
      <c r="AEM1680" s="2730"/>
      <c r="AEN1680" s="2730"/>
      <c r="AEO1680" s="2730"/>
      <c r="AEP1680" s="2730"/>
      <c r="AEQ1680" s="2730"/>
      <c r="AER1680" s="2730"/>
      <c r="AES1680" s="2730"/>
      <c r="AET1680" s="2730"/>
      <c r="AEU1680" s="2730"/>
      <c r="AEV1680" s="2730"/>
      <c r="AEW1680" s="2730"/>
      <c r="AEX1680" s="2730"/>
      <c r="AEY1680" s="2730"/>
      <c r="AEZ1680" s="2730"/>
      <c r="AFA1680" s="2730"/>
      <c r="AFB1680" s="2730"/>
      <c r="AFC1680" s="2730"/>
      <c r="AFD1680" s="2730"/>
      <c r="AFE1680" s="2730"/>
      <c r="AFF1680" s="2730"/>
      <c r="AFG1680" s="2730"/>
      <c r="AFH1680" s="2730"/>
      <c r="AFI1680" s="2730"/>
      <c r="AFJ1680" s="2730"/>
      <c r="AFK1680" s="2730"/>
      <c r="AFL1680" s="2730"/>
      <c r="AFM1680" s="2730"/>
      <c r="AFN1680" s="2730"/>
      <c r="AFO1680" s="2730"/>
      <c r="AFP1680" s="2730"/>
      <c r="AFQ1680" s="2730"/>
      <c r="AFR1680" s="2730"/>
      <c r="AFS1680" s="2730"/>
      <c r="AFT1680" s="2730"/>
      <c r="AFU1680" s="2730"/>
      <c r="AFV1680" s="2730"/>
      <c r="AFW1680" s="2730"/>
      <c r="AFX1680" s="2730"/>
      <c r="AFY1680" s="2730"/>
      <c r="AFZ1680" s="2730"/>
      <c r="AGA1680" s="2730"/>
      <c r="AGB1680" s="2730"/>
      <c r="AGC1680" s="2730"/>
      <c r="AGD1680" s="2730"/>
      <c r="AGE1680" s="2730"/>
      <c r="AGF1680" s="2730"/>
      <c r="AGG1680" s="2730"/>
      <c r="AGH1680" s="2730"/>
      <c r="AGI1680" s="2730"/>
      <c r="AGJ1680" s="2730"/>
      <c r="AGK1680" s="2730"/>
      <c r="AGL1680" s="2730"/>
      <c r="AGM1680" s="2730"/>
      <c r="AGN1680" s="2730"/>
      <c r="AGO1680" s="2730"/>
      <c r="AGP1680" s="2730"/>
      <c r="AGQ1680" s="2730"/>
      <c r="AGR1680" s="2730"/>
      <c r="AGS1680" s="2730"/>
      <c r="AGT1680" s="2730"/>
      <c r="AGU1680" s="2730"/>
      <c r="AGV1680" s="2730"/>
      <c r="AGW1680" s="2730"/>
      <c r="AGX1680" s="2730"/>
      <c r="AGY1680" s="2730"/>
      <c r="AGZ1680" s="2730"/>
      <c r="AHA1680" s="2730"/>
      <c r="AHB1680" s="2730"/>
      <c r="AHC1680" s="2730"/>
      <c r="AHD1680" s="2730"/>
      <c r="AHE1680" s="2730"/>
      <c r="AHF1680" s="2730"/>
      <c r="AHG1680" s="2730"/>
      <c r="AHH1680" s="2730"/>
      <c r="AHI1680" s="2730"/>
      <c r="AHJ1680" s="2730"/>
      <c r="AHK1680" s="2730"/>
      <c r="AHL1680" s="2730"/>
      <c r="AHM1680" s="2730"/>
      <c r="AHN1680" s="2730"/>
      <c r="AHO1680" s="2730"/>
      <c r="AHP1680" s="2730"/>
      <c r="AHQ1680" s="2730"/>
      <c r="AHR1680" s="2730"/>
      <c r="AHS1680" s="2730"/>
      <c r="AHT1680" s="2730"/>
      <c r="AHU1680" s="2730"/>
      <c r="AHV1680" s="2730"/>
      <c r="AHW1680" s="2730"/>
      <c r="AHX1680" s="2730"/>
      <c r="AHY1680" s="2730"/>
      <c r="AHZ1680" s="2730"/>
      <c r="AIA1680" s="2730"/>
      <c r="AIB1680" s="2730"/>
      <c r="AIC1680" s="2730"/>
      <c r="AID1680" s="2730"/>
      <c r="AIE1680" s="2730"/>
      <c r="AIF1680" s="2730"/>
      <c r="AIG1680" s="2730"/>
      <c r="AIH1680" s="2730"/>
      <c r="AII1680" s="2730"/>
      <c r="AIJ1680" s="2730"/>
      <c r="AIK1680" s="2730"/>
      <c r="AIL1680" s="2730"/>
      <c r="AIM1680" s="2730"/>
      <c r="AIN1680" s="2730"/>
      <c r="AIO1680" s="2730"/>
      <c r="AIP1680" s="2730"/>
      <c r="AIQ1680" s="2730"/>
      <c r="AIR1680" s="2730"/>
      <c r="AIS1680" s="2730"/>
      <c r="AIT1680" s="2730"/>
      <c r="AIU1680" s="2730"/>
      <c r="AIV1680" s="2730"/>
      <c r="AIW1680" s="2730"/>
      <c r="AIX1680" s="2730"/>
      <c r="AIY1680" s="2730"/>
      <c r="AIZ1680" s="2730"/>
      <c r="AJA1680" s="2730"/>
      <c r="AJB1680" s="2730"/>
      <c r="AJC1680" s="2730"/>
      <c r="AJD1680" s="2730"/>
      <c r="AJE1680" s="2730"/>
      <c r="AJF1680" s="2730"/>
      <c r="AJG1680" s="2730"/>
      <c r="AJH1680" s="2730"/>
      <c r="AJI1680" s="2730"/>
      <c r="AJJ1680" s="2730"/>
      <c r="AJK1680" s="2730"/>
      <c r="AJL1680" s="2730"/>
      <c r="AJM1680" s="2730"/>
      <c r="AJN1680" s="2730"/>
      <c r="AJO1680" s="2730"/>
      <c r="AJP1680" s="2730"/>
      <c r="AJQ1680" s="2730"/>
      <c r="AJR1680" s="2730"/>
      <c r="AJS1680" s="2730"/>
      <c r="AJT1680" s="2730"/>
      <c r="AJU1680" s="2730"/>
      <c r="AJV1680" s="2730"/>
      <c r="AJW1680" s="2730"/>
      <c r="AJX1680" s="2730"/>
      <c r="AJY1680" s="2730"/>
      <c r="AJZ1680" s="2730"/>
      <c r="AKA1680" s="2730"/>
      <c r="AKB1680" s="2730"/>
      <c r="AKC1680" s="2730"/>
      <c r="AKD1680" s="2730"/>
      <c r="AKE1680" s="2730"/>
      <c r="AKF1680" s="2730"/>
      <c r="AKG1680" s="2730"/>
      <c r="AKH1680" s="2730"/>
      <c r="AKI1680" s="2730"/>
      <c r="AKJ1680" s="2730"/>
      <c r="AKK1680" s="2730"/>
      <c r="AKL1680" s="2730"/>
      <c r="AKM1680" s="2730"/>
      <c r="AKN1680" s="2730"/>
      <c r="AKO1680" s="2730"/>
      <c r="AKP1680" s="2730"/>
      <c r="AKQ1680" s="2730"/>
      <c r="AKR1680" s="2730"/>
      <c r="AKS1680" s="2730"/>
      <c r="AKT1680" s="2730"/>
      <c r="AKU1680" s="2730"/>
      <c r="AKV1680" s="2730"/>
      <c r="AKW1680" s="2730"/>
      <c r="AKX1680" s="2730"/>
      <c r="AKY1680" s="2730"/>
      <c r="AKZ1680" s="2730"/>
      <c r="ALA1680" s="2730"/>
      <c r="ALB1680" s="2730"/>
      <c r="ALC1680" s="2730"/>
      <c r="ALD1680" s="2730"/>
      <c r="ALE1680" s="2730"/>
      <c r="ALF1680" s="2730"/>
      <c r="ALG1680" s="2730"/>
      <c r="ALH1680" s="2730"/>
      <c r="ALI1680" s="2730"/>
      <c r="ALJ1680" s="2730"/>
      <c r="ALK1680" s="2730"/>
      <c r="ALL1680" s="2730"/>
      <c r="ALM1680" s="2730"/>
      <c r="ALN1680" s="2730"/>
      <c r="ALO1680" s="2730"/>
      <c r="ALP1680" s="2730"/>
      <c r="ALQ1680" s="2730"/>
      <c r="ALR1680" s="2730"/>
      <c r="ALS1680" s="2730"/>
      <c r="ALT1680" s="2730"/>
      <c r="ALU1680" s="2730"/>
      <c r="ALV1680" s="2730"/>
      <c r="ALW1680" s="2730"/>
      <c r="ALX1680" s="2730"/>
      <c r="ALY1680" s="2730"/>
      <c r="ALZ1680" s="2730"/>
      <c r="AMA1680" s="2730"/>
      <c r="AMB1680" s="2730"/>
      <c r="AMC1680" s="2730"/>
      <c r="AMD1680" s="2730"/>
      <c r="AME1680" s="2730"/>
      <c r="AMF1680" s="2730"/>
      <c r="AMG1680" s="2730"/>
      <c r="AMH1680" s="2730"/>
      <c r="AMI1680" s="2730"/>
      <c r="AMJ1680" s="2730"/>
      <c r="AMK1680" s="2730"/>
      <c r="AML1680" s="2730"/>
      <c r="AMM1680" s="2730"/>
      <c r="AMN1680" s="2730"/>
      <c r="AMO1680" s="2730"/>
      <c r="AMP1680" s="2730"/>
      <c r="AMQ1680" s="2730"/>
      <c r="AMR1680" s="2730"/>
      <c r="AMS1680" s="2730"/>
      <c r="AMT1680" s="2730"/>
      <c r="AMU1680" s="2730"/>
      <c r="AMV1680" s="2730"/>
      <c r="AMW1680" s="2730"/>
      <c r="AMX1680" s="2730"/>
      <c r="AMY1680" s="2730"/>
      <c r="AMZ1680" s="2730"/>
      <c r="ANA1680" s="2730"/>
      <c r="ANB1680" s="2730"/>
      <c r="ANC1680" s="2730"/>
      <c r="AND1680" s="2730"/>
      <c r="ANE1680" s="2730"/>
      <c r="ANF1680" s="2730"/>
      <c r="ANG1680" s="2730"/>
      <c r="ANH1680" s="2730"/>
      <c r="ANI1680" s="2730"/>
      <c r="ANJ1680" s="2730"/>
      <c r="ANK1680" s="2730"/>
      <c r="ANL1680" s="2730"/>
      <c r="ANM1680" s="2730"/>
      <c r="ANN1680" s="2730"/>
      <c r="ANO1680" s="2730"/>
      <c r="ANP1680" s="2730"/>
      <c r="ANQ1680" s="2730"/>
      <c r="ANR1680" s="2730"/>
      <c r="ANS1680" s="2730"/>
      <c r="ANT1680" s="2730"/>
      <c r="ANU1680" s="2730"/>
      <c r="ANV1680" s="2730"/>
      <c r="ANW1680" s="2730"/>
      <c r="ANX1680" s="2730"/>
      <c r="ANY1680" s="2730"/>
      <c r="ANZ1680" s="2730"/>
      <c r="AOA1680" s="2730"/>
      <c r="AOB1680" s="2730"/>
      <c r="AOC1680" s="2730"/>
      <c r="AOD1680" s="2730"/>
      <c r="AOE1680" s="2730"/>
      <c r="AOF1680" s="2730"/>
      <c r="AOG1680" s="2730"/>
      <c r="AOH1680" s="2730"/>
      <c r="AOI1680" s="2730"/>
      <c r="AOJ1680" s="2730"/>
      <c r="AOK1680" s="2730"/>
      <c r="AOL1680" s="2730"/>
      <c r="AOM1680" s="2730"/>
      <c r="AON1680" s="2730"/>
      <c r="AOO1680" s="2730"/>
      <c r="AOP1680" s="2730"/>
      <c r="AOQ1680" s="2730"/>
      <c r="AOR1680" s="2730"/>
      <c r="AOS1680" s="2730"/>
      <c r="AOT1680" s="2730"/>
      <c r="AOU1680" s="2730"/>
      <c r="AOV1680" s="2730"/>
      <c r="AOW1680" s="2730"/>
      <c r="AOX1680" s="2730"/>
      <c r="AOY1680" s="2730"/>
      <c r="AOZ1680" s="2730"/>
      <c r="APA1680" s="2730"/>
      <c r="APB1680" s="2730"/>
      <c r="APC1680" s="2730"/>
      <c r="APD1680" s="2730"/>
      <c r="APE1680" s="2730"/>
      <c r="APF1680" s="2730"/>
      <c r="APG1680" s="2730"/>
      <c r="APH1680" s="2730"/>
      <c r="API1680" s="2730"/>
      <c r="APJ1680" s="2730"/>
      <c r="APK1680" s="2730"/>
      <c r="APL1680" s="2730"/>
      <c r="APM1680" s="2730"/>
      <c r="APN1680" s="2730"/>
      <c r="APO1680" s="2730"/>
      <c r="APP1680" s="2730"/>
      <c r="APQ1680" s="2730"/>
      <c r="APR1680" s="2730"/>
      <c r="APS1680" s="2730"/>
      <c r="APT1680" s="2730"/>
      <c r="APU1680" s="2730"/>
      <c r="APV1680" s="2730"/>
      <c r="APW1680" s="2730"/>
      <c r="APX1680" s="2730"/>
      <c r="APY1680" s="2730"/>
      <c r="APZ1680" s="2730"/>
      <c r="AQA1680" s="2730"/>
      <c r="AQB1680" s="2730"/>
      <c r="AQC1680" s="2730"/>
      <c r="AQD1680" s="2730"/>
      <c r="AQE1680" s="2730"/>
      <c r="AQF1680" s="2730"/>
      <c r="AQG1680" s="2730"/>
      <c r="AQH1680" s="2730"/>
      <c r="AQI1680" s="2730"/>
      <c r="AQJ1680" s="2730"/>
      <c r="AQK1680" s="2730"/>
      <c r="AQL1680" s="2730"/>
      <c r="AQM1680" s="2730"/>
      <c r="AQN1680" s="2730"/>
      <c r="AQO1680" s="2730"/>
      <c r="AQP1680" s="2730"/>
      <c r="AQQ1680" s="2730"/>
      <c r="AQR1680" s="2730"/>
      <c r="AQS1680" s="2730"/>
      <c r="AQT1680" s="2730"/>
      <c r="AQU1680" s="2730"/>
      <c r="AQV1680" s="2730"/>
      <c r="AQW1680" s="2730"/>
      <c r="AQX1680" s="2730"/>
      <c r="AQY1680" s="2730"/>
      <c r="AQZ1680" s="2730"/>
      <c r="ARA1680" s="2730"/>
      <c r="ARB1680" s="2730"/>
      <c r="ARC1680" s="2730"/>
      <c r="ARD1680" s="2730"/>
      <c r="ARE1680" s="2730"/>
      <c r="ARF1680" s="2730"/>
      <c r="ARG1680" s="2730"/>
      <c r="ARH1680" s="2730"/>
      <c r="ARI1680" s="2730"/>
      <c r="ARJ1680" s="2730"/>
      <c r="ARK1680" s="2730"/>
      <c r="ARL1680" s="2730"/>
      <c r="ARM1680" s="2730"/>
      <c r="ARN1680" s="2730"/>
      <c r="ARO1680" s="2730"/>
      <c r="ARP1680" s="2730"/>
      <c r="ARQ1680" s="2730"/>
      <c r="ARR1680" s="2730"/>
      <c r="ARS1680" s="2730"/>
      <c r="ART1680" s="2730"/>
      <c r="ARU1680" s="2730"/>
      <c r="ARV1680" s="2730"/>
      <c r="ARW1680" s="2730"/>
      <c r="ARX1680" s="2730"/>
      <c r="ARY1680" s="2730"/>
      <c r="ARZ1680" s="2730"/>
      <c r="ASA1680" s="2730"/>
      <c r="ASB1680" s="2730"/>
      <c r="ASC1680" s="2730"/>
      <c r="ASD1680" s="2730"/>
      <c r="ASE1680" s="2730"/>
      <c r="ASF1680" s="2730"/>
      <c r="ASG1680" s="2730"/>
      <c r="ASH1680" s="2730"/>
      <c r="ASI1680" s="2730"/>
      <c r="ASJ1680" s="2730"/>
      <c r="ASK1680" s="2730"/>
      <c r="ASL1680" s="2730"/>
      <c r="ASM1680" s="2730"/>
      <c r="ASN1680" s="2730"/>
      <c r="ASO1680" s="2730"/>
      <c r="ASP1680" s="2730"/>
      <c r="ASQ1680" s="2730"/>
      <c r="ASR1680" s="2730"/>
      <c r="ASS1680" s="2730"/>
      <c r="AST1680" s="2730"/>
      <c r="ASU1680" s="2730"/>
      <c r="ASV1680" s="2730"/>
      <c r="ASW1680" s="2730"/>
      <c r="ASX1680" s="2730"/>
      <c r="ASY1680" s="2730"/>
      <c r="ASZ1680" s="2730"/>
      <c r="ATA1680" s="2730"/>
      <c r="ATB1680" s="2730"/>
      <c r="ATC1680" s="2730"/>
      <c r="ATD1680" s="2730"/>
      <c r="ATE1680" s="2730"/>
      <c r="ATF1680" s="2730"/>
      <c r="ATG1680" s="2730"/>
      <c r="ATH1680" s="2730"/>
      <c r="ATI1680" s="2730"/>
      <c r="ATJ1680" s="2730"/>
      <c r="ATK1680" s="2730"/>
      <c r="ATL1680" s="2730"/>
      <c r="ATM1680" s="2730"/>
      <c r="ATN1680" s="2730"/>
      <c r="ATO1680" s="2730"/>
      <c r="ATP1680" s="2730"/>
      <c r="ATQ1680" s="2730"/>
      <c r="ATR1680" s="2730"/>
      <c r="ATS1680" s="2730"/>
      <c r="ATT1680" s="2730"/>
      <c r="ATU1680" s="2730"/>
      <c r="ATV1680" s="2730"/>
      <c r="ATW1680" s="2730"/>
      <c r="ATX1680" s="2730"/>
      <c r="ATY1680" s="2730"/>
      <c r="ATZ1680" s="2730"/>
      <c r="AUA1680" s="2730"/>
      <c r="AUB1680" s="2730"/>
      <c r="AUC1680" s="2730"/>
      <c r="AUD1680" s="2730"/>
      <c r="AUE1680" s="2730"/>
      <c r="AUF1680" s="2730"/>
      <c r="AUG1680" s="2730"/>
      <c r="AUH1680" s="2730"/>
      <c r="AUI1680" s="2730"/>
      <c r="AUJ1680" s="2730"/>
      <c r="AUK1680" s="2730"/>
      <c r="AUL1680" s="2730"/>
      <c r="AUM1680" s="2730"/>
      <c r="AUN1680" s="2730"/>
      <c r="AUO1680" s="2730"/>
      <c r="AUP1680" s="2730"/>
      <c r="AUQ1680" s="2730"/>
      <c r="AUR1680" s="2730"/>
      <c r="AUS1680" s="2730"/>
      <c r="AUT1680" s="2730"/>
      <c r="AUU1680" s="2730"/>
      <c r="AUV1680" s="2730"/>
      <c r="AUW1680" s="2730"/>
      <c r="AUX1680" s="2730"/>
      <c r="AUY1680" s="2730"/>
      <c r="AUZ1680" s="2730"/>
      <c r="AVA1680" s="2730"/>
      <c r="AVB1680" s="2730"/>
      <c r="AVC1680" s="2730"/>
      <c r="AVD1680" s="2730"/>
      <c r="AVE1680" s="2730"/>
      <c r="AVF1680" s="2730"/>
      <c r="AVG1680" s="2730"/>
      <c r="AVH1680" s="2730"/>
      <c r="AVI1680" s="2730"/>
      <c r="AVJ1680" s="2730"/>
      <c r="AVK1680" s="2730"/>
      <c r="AVL1680" s="2730"/>
      <c r="AVM1680" s="2730"/>
      <c r="AVN1680" s="2730"/>
      <c r="AVO1680" s="2730"/>
      <c r="AVP1680" s="2730"/>
      <c r="AVQ1680" s="2730"/>
      <c r="AVR1680" s="2730"/>
      <c r="AVS1680" s="2730"/>
      <c r="AVT1680" s="2730"/>
      <c r="AVU1680" s="2730"/>
      <c r="AVV1680" s="2730"/>
      <c r="AVW1680" s="2730"/>
      <c r="AVX1680" s="2730"/>
      <c r="AVY1680" s="2730"/>
      <c r="AVZ1680" s="2730"/>
      <c r="AWA1680" s="2730"/>
      <c r="AWB1680" s="2730"/>
      <c r="AWC1680" s="2730"/>
      <c r="AWD1680" s="2730"/>
      <c r="AWE1680" s="2730"/>
      <c r="AWF1680" s="2730"/>
      <c r="AWG1680" s="2730"/>
      <c r="AWH1680" s="2730"/>
      <c r="AWI1680" s="2730"/>
      <c r="AWJ1680" s="2730"/>
      <c r="AWK1680" s="2730"/>
      <c r="AWL1680" s="2730"/>
      <c r="AWM1680" s="2730"/>
      <c r="AWN1680" s="2730"/>
      <c r="AWO1680" s="2730"/>
      <c r="AWP1680" s="2730"/>
      <c r="AWQ1680" s="2730"/>
      <c r="AWR1680" s="2730"/>
      <c r="AWS1680" s="2730"/>
      <c r="AWT1680" s="2730"/>
      <c r="AWU1680" s="2730"/>
      <c r="AWV1680" s="2730"/>
      <c r="AWW1680" s="2730"/>
      <c r="AWX1680" s="2730"/>
      <c r="AWY1680" s="2730"/>
      <c r="AWZ1680" s="2730"/>
      <c r="AXA1680" s="2730"/>
      <c r="AXB1680" s="2730"/>
      <c r="AXC1680" s="2730"/>
      <c r="AXD1680" s="2730"/>
      <c r="AXE1680" s="2730"/>
      <c r="AXF1680" s="2730"/>
      <c r="AXG1680" s="2730"/>
      <c r="AXH1680" s="2730"/>
      <c r="AXI1680" s="2730"/>
      <c r="AXJ1680" s="2730"/>
      <c r="AXK1680" s="2730"/>
      <c r="AXL1680" s="2730"/>
      <c r="AXM1680" s="2730"/>
      <c r="AXN1680" s="2730"/>
      <c r="AXO1680" s="2730"/>
      <c r="AXP1680" s="2730"/>
      <c r="AXQ1680" s="2730"/>
      <c r="AXR1680" s="2730"/>
      <c r="AXS1680" s="2730"/>
      <c r="AXT1680" s="2730"/>
      <c r="AXU1680" s="2730"/>
      <c r="AXV1680" s="2730"/>
      <c r="AXW1680" s="2730"/>
      <c r="AXX1680" s="2730"/>
      <c r="AXY1680" s="2730"/>
      <c r="AXZ1680" s="2730"/>
      <c r="AYA1680" s="2730"/>
      <c r="AYB1680" s="2730"/>
      <c r="AYC1680" s="2730"/>
      <c r="AYD1680" s="2730"/>
      <c r="AYE1680" s="2730"/>
      <c r="AYF1680" s="2730"/>
      <c r="AYG1680" s="2730"/>
      <c r="AYH1680" s="2730"/>
      <c r="AYI1680" s="2730"/>
      <c r="AYJ1680" s="2730"/>
      <c r="AYK1680" s="2730"/>
      <c r="AYL1680" s="2730"/>
      <c r="AYM1680" s="2730"/>
      <c r="AYN1680" s="2730"/>
      <c r="AYO1680" s="2730"/>
      <c r="AYP1680" s="2730"/>
      <c r="AYQ1680" s="2730"/>
      <c r="AYR1680" s="2730"/>
      <c r="AYS1680" s="2730"/>
      <c r="AYT1680" s="2730"/>
      <c r="AYU1680" s="2730"/>
      <c r="AYV1680" s="2730"/>
      <c r="AYW1680" s="2730"/>
      <c r="AYX1680" s="2730"/>
      <c r="AYY1680" s="2730"/>
      <c r="AYZ1680" s="2730"/>
      <c r="AZA1680" s="2730"/>
      <c r="AZB1680" s="2730"/>
      <c r="AZC1680" s="2730"/>
      <c r="AZD1680" s="2730"/>
      <c r="AZE1680" s="2730"/>
      <c r="AZF1680" s="2730"/>
      <c r="AZG1680" s="2730"/>
      <c r="AZH1680" s="2730"/>
      <c r="AZI1680" s="2730"/>
      <c r="AZJ1680" s="2730"/>
      <c r="AZK1680" s="2730"/>
      <c r="AZL1680" s="2730"/>
      <c r="AZM1680" s="2730"/>
      <c r="AZN1680" s="2730"/>
      <c r="AZO1680" s="2730"/>
      <c r="AZP1680" s="2730"/>
      <c r="AZQ1680" s="2730"/>
      <c r="AZR1680" s="2730"/>
      <c r="AZS1680" s="2730"/>
      <c r="AZT1680" s="2730"/>
      <c r="AZU1680" s="2730"/>
      <c r="AZV1680" s="2730"/>
      <c r="AZW1680" s="2730"/>
      <c r="AZX1680" s="2730"/>
      <c r="AZY1680" s="2730"/>
      <c r="AZZ1680" s="2730"/>
      <c r="BAA1680" s="2730"/>
      <c r="BAB1680" s="2730"/>
      <c r="BAC1680" s="2730"/>
      <c r="BAD1680" s="2730"/>
      <c r="BAE1680" s="2730"/>
      <c r="BAF1680" s="2730"/>
      <c r="BAG1680" s="2730"/>
      <c r="BAH1680" s="2730"/>
      <c r="BAI1680" s="2730"/>
      <c r="BAJ1680" s="2730"/>
      <c r="BAK1680" s="2730"/>
      <c r="BAL1680" s="2730"/>
      <c r="BAM1680" s="2730"/>
      <c r="BAN1680" s="2730"/>
      <c r="BAO1680" s="2730"/>
      <c r="BAP1680" s="2730"/>
      <c r="BAQ1680" s="2730"/>
      <c r="BAR1680" s="2730"/>
      <c r="BAS1680" s="2730"/>
      <c r="BAT1680" s="2730"/>
      <c r="BAU1680" s="2730"/>
      <c r="BAV1680" s="2730"/>
      <c r="BAW1680" s="2730"/>
      <c r="BAX1680" s="2730"/>
      <c r="BAY1680" s="2730"/>
      <c r="BAZ1680" s="2730"/>
      <c r="BBA1680" s="2730"/>
      <c r="BBB1680" s="2730"/>
      <c r="BBC1680" s="2730"/>
      <c r="BBD1680" s="2730"/>
      <c r="BBE1680" s="2730"/>
      <c r="BBF1680" s="2730"/>
      <c r="BBG1680" s="2730"/>
      <c r="BBH1680" s="2730"/>
      <c r="BBI1680" s="2730"/>
      <c r="BBJ1680" s="2730"/>
      <c r="BBK1680" s="2730"/>
      <c r="BBL1680" s="2730"/>
      <c r="BBM1680" s="2730"/>
      <c r="BBN1680" s="2730"/>
      <c r="BBO1680" s="2730"/>
      <c r="BBP1680" s="2730"/>
      <c r="BBQ1680" s="2730"/>
      <c r="BBR1680" s="2730"/>
      <c r="BBS1680" s="2730"/>
      <c r="BBT1680" s="2730"/>
      <c r="BBU1680" s="2730"/>
      <c r="BBV1680" s="2730"/>
      <c r="BBW1680" s="2730"/>
      <c r="BBX1680" s="2730"/>
      <c r="BBY1680" s="2730"/>
      <c r="BBZ1680" s="2730"/>
      <c r="BCA1680" s="2730"/>
      <c r="BCB1680" s="2730"/>
      <c r="BCC1680" s="2730"/>
      <c r="BCD1680" s="2730"/>
      <c r="BCE1680" s="2730"/>
      <c r="BCF1680" s="2730"/>
      <c r="BCG1680" s="2730"/>
      <c r="BCH1680" s="2730"/>
      <c r="BCI1680" s="2730"/>
      <c r="BCJ1680" s="2730"/>
      <c r="BCK1680" s="2730"/>
      <c r="BCL1680" s="2730"/>
      <c r="BCM1680" s="2730"/>
      <c r="BCN1680" s="2730"/>
      <c r="BCO1680" s="2730"/>
      <c r="BCP1680" s="2730"/>
      <c r="BCQ1680" s="2730"/>
      <c r="BCR1680" s="2730"/>
      <c r="BCS1680" s="2730"/>
      <c r="BCT1680" s="2730"/>
      <c r="BCU1680" s="2730"/>
      <c r="BCV1680" s="2730"/>
      <c r="BCW1680" s="2730"/>
      <c r="BCX1680" s="2730"/>
      <c r="BCY1680" s="2730"/>
      <c r="BCZ1680" s="2730"/>
      <c r="BDA1680" s="2730"/>
      <c r="BDB1680" s="2730"/>
      <c r="BDC1680" s="2730"/>
      <c r="BDD1680" s="2730"/>
      <c r="BDE1680" s="2730"/>
      <c r="BDF1680" s="2730"/>
      <c r="BDG1680" s="2730"/>
      <c r="BDH1680" s="2730"/>
      <c r="BDI1680" s="2730"/>
      <c r="BDJ1680" s="2730"/>
      <c r="BDK1680" s="2730"/>
      <c r="BDL1680" s="2730"/>
      <c r="BDM1680" s="2730"/>
      <c r="BDN1680" s="2730"/>
      <c r="BDO1680" s="2730"/>
      <c r="BDP1680" s="2730"/>
      <c r="BDQ1680" s="2730"/>
      <c r="BDR1680" s="2730"/>
      <c r="BDS1680" s="2730"/>
      <c r="BDT1680" s="2730"/>
      <c r="BDU1680" s="2730"/>
      <c r="BDV1680" s="2730"/>
      <c r="BDW1680" s="2730"/>
      <c r="BDX1680" s="2730"/>
      <c r="BDY1680" s="2730"/>
      <c r="BDZ1680" s="2730"/>
      <c r="BEA1680" s="2730"/>
      <c r="BEB1680" s="2730"/>
      <c r="BEC1680" s="2730"/>
      <c r="BED1680" s="2730"/>
      <c r="BEE1680" s="2730"/>
      <c r="BEF1680" s="2730"/>
      <c r="BEG1680" s="2730"/>
      <c r="BEH1680" s="2730"/>
      <c r="BEI1680" s="2730"/>
      <c r="BEJ1680" s="2730"/>
      <c r="BEK1680" s="2730"/>
      <c r="BEL1680" s="2730"/>
      <c r="BEM1680" s="2730"/>
      <c r="BEN1680" s="2730"/>
      <c r="BEO1680" s="2730"/>
      <c r="BEP1680" s="2730"/>
      <c r="BEQ1680" s="2730"/>
      <c r="BER1680" s="2730"/>
      <c r="BES1680" s="2730"/>
      <c r="BET1680" s="2730"/>
      <c r="BEU1680" s="2730"/>
      <c r="BEV1680" s="2730"/>
      <c r="BEW1680" s="2730"/>
      <c r="BEX1680" s="2730"/>
      <c r="BEY1680" s="2730"/>
      <c r="BEZ1680" s="2730"/>
      <c r="BFA1680" s="2730"/>
      <c r="BFB1680" s="2730"/>
      <c r="BFC1680" s="2730"/>
      <c r="BFD1680" s="2730"/>
      <c r="BFE1680" s="2730"/>
      <c r="BFF1680" s="2730"/>
      <c r="BFG1680" s="2730"/>
      <c r="BFH1680" s="2730"/>
      <c r="BFI1680" s="2730"/>
      <c r="BFJ1680" s="2730"/>
      <c r="BFK1680" s="2730"/>
      <c r="BFL1680" s="2730"/>
      <c r="BFM1680" s="2730"/>
      <c r="BFN1680" s="2730"/>
      <c r="BFO1680" s="2730"/>
      <c r="BFP1680" s="2730"/>
      <c r="BFQ1680" s="2730"/>
      <c r="BFR1680" s="2730"/>
      <c r="BFS1680" s="2730"/>
      <c r="BFT1680" s="2730"/>
      <c r="BFU1680" s="2730"/>
      <c r="BFV1680" s="2730"/>
      <c r="BFW1680" s="2730"/>
      <c r="BFX1680" s="2730"/>
      <c r="BFY1680" s="2730"/>
      <c r="BFZ1680" s="2730"/>
      <c r="BGA1680" s="2730"/>
      <c r="BGB1680" s="2730"/>
      <c r="BGC1680" s="2730"/>
      <c r="BGD1680" s="2730"/>
      <c r="BGE1680" s="2730"/>
      <c r="BGF1680" s="2730"/>
      <c r="BGG1680" s="2730"/>
      <c r="BGH1680" s="2730"/>
      <c r="BGI1680" s="2730"/>
      <c r="BGJ1680" s="2730"/>
      <c r="BGK1680" s="2730"/>
      <c r="BGL1680" s="2730"/>
      <c r="BGM1680" s="2730"/>
      <c r="BGN1680" s="2730"/>
      <c r="BGO1680" s="2730"/>
      <c r="BGP1680" s="2730"/>
      <c r="BGQ1680" s="2730"/>
      <c r="BGR1680" s="2730"/>
      <c r="BGS1680" s="2730"/>
      <c r="BGT1680" s="2730"/>
      <c r="BGU1680" s="2730"/>
      <c r="BGV1680" s="2730"/>
      <c r="BGW1680" s="2730"/>
      <c r="BGX1680" s="2730"/>
      <c r="BGY1680" s="2730"/>
      <c r="BGZ1680" s="2730"/>
      <c r="BHA1680" s="2730"/>
      <c r="BHB1680" s="2730"/>
      <c r="BHC1680" s="2730"/>
      <c r="BHD1680" s="2730"/>
      <c r="BHE1680" s="2730"/>
      <c r="BHF1680" s="2730"/>
      <c r="BHG1680" s="2730"/>
      <c r="BHH1680" s="2730"/>
      <c r="BHI1680" s="2730"/>
      <c r="BHJ1680" s="2730"/>
      <c r="BHK1680" s="2730"/>
      <c r="BHL1680" s="2730"/>
      <c r="BHM1680" s="2730"/>
      <c r="BHN1680" s="2730"/>
      <c r="BHO1680" s="2730"/>
      <c r="BHP1680" s="2730"/>
      <c r="BHQ1680" s="2730"/>
      <c r="BHR1680" s="2730"/>
      <c r="BHS1680" s="2730"/>
      <c r="BHT1680" s="2730"/>
      <c r="BHU1680" s="2730"/>
      <c r="BHV1680" s="2730"/>
      <c r="BHW1680" s="2730"/>
      <c r="BHX1680" s="2730"/>
      <c r="BHY1680" s="2730"/>
      <c r="BHZ1680" s="2730"/>
      <c r="BIA1680" s="2730"/>
      <c r="BIB1680" s="2730"/>
      <c r="BIC1680" s="2730"/>
      <c r="BID1680" s="2730"/>
      <c r="BIE1680" s="2730"/>
      <c r="BIF1680" s="2730"/>
      <c r="BIG1680" s="2730"/>
      <c r="BIH1680" s="2730"/>
      <c r="BII1680" s="2730"/>
      <c r="BIJ1680" s="2730"/>
      <c r="BIK1680" s="2730"/>
      <c r="BIL1680" s="2730"/>
      <c r="BIM1680" s="2730"/>
      <c r="BIN1680" s="2730"/>
      <c r="BIO1680" s="2730"/>
      <c r="BIP1680" s="2730"/>
      <c r="BIQ1680" s="2730"/>
      <c r="BIR1680" s="2730"/>
      <c r="BIS1680" s="2730"/>
      <c r="BIT1680" s="2730"/>
      <c r="BIU1680" s="2730"/>
      <c r="BIV1680" s="2730"/>
      <c r="BIW1680" s="2730"/>
      <c r="BIX1680" s="2730"/>
      <c r="BIY1680" s="2730"/>
      <c r="BIZ1680" s="2730"/>
      <c r="BJA1680" s="2730"/>
      <c r="BJB1680" s="2730"/>
      <c r="BJC1680" s="2730"/>
      <c r="BJD1680" s="2730"/>
      <c r="BJE1680" s="2730"/>
      <c r="BJF1680" s="2730"/>
      <c r="BJG1680" s="2730"/>
      <c r="BJH1680" s="2730"/>
      <c r="BJI1680" s="2730"/>
      <c r="BJJ1680" s="2730"/>
      <c r="BJK1680" s="2730"/>
      <c r="BJL1680" s="2730"/>
      <c r="BJM1680" s="2730"/>
      <c r="BJN1680" s="2730"/>
      <c r="BJO1680" s="2730"/>
      <c r="BJP1680" s="2730"/>
      <c r="BJQ1680" s="2730"/>
      <c r="BJR1680" s="2730"/>
      <c r="BJS1680" s="2730"/>
      <c r="BJT1680" s="2730"/>
      <c r="BJU1680" s="2730"/>
      <c r="BJV1680" s="2730"/>
      <c r="BJW1680" s="2730"/>
      <c r="BJX1680" s="2730"/>
      <c r="BJY1680" s="2730"/>
      <c r="BJZ1680" s="2730"/>
      <c r="BKA1680" s="2730"/>
      <c r="BKB1680" s="2730"/>
      <c r="BKC1680" s="2730"/>
      <c r="BKD1680" s="2730"/>
      <c r="BKE1680" s="2730"/>
      <c r="BKF1680" s="2730"/>
      <c r="BKG1680" s="2730"/>
      <c r="BKH1680" s="2730"/>
      <c r="BKI1680" s="2730"/>
      <c r="BKJ1680" s="2730"/>
      <c r="BKK1680" s="2730"/>
      <c r="BKL1680" s="2730"/>
      <c r="BKM1680" s="2730"/>
      <c r="BKN1680" s="2730"/>
      <c r="BKO1680" s="2730"/>
      <c r="BKP1680" s="2730"/>
      <c r="BKQ1680" s="2730"/>
      <c r="BKR1680" s="2730"/>
      <c r="BKS1680" s="2730"/>
      <c r="BKT1680" s="2730"/>
      <c r="BKU1680" s="2730"/>
      <c r="BKV1680" s="2730"/>
      <c r="BKW1680" s="2730"/>
      <c r="BKX1680" s="2730"/>
      <c r="BKY1680" s="2730"/>
      <c r="BKZ1680" s="2730"/>
      <c r="BLA1680" s="2730"/>
      <c r="BLB1680" s="2730"/>
      <c r="BLC1680" s="2730"/>
      <c r="BLD1680" s="2730"/>
      <c r="BLE1680" s="2730"/>
      <c r="BLF1680" s="2730"/>
      <c r="BLG1680" s="2730"/>
      <c r="BLH1680" s="2730"/>
      <c r="BLI1680" s="2730"/>
      <c r="BLJ1680" s="2730"/>
      <c r="BLK1680" s="2730"/>
      <c r="BLL1680" s="2730"/>
      <c r="BLM1680" s="2730"/>
      <c r="BLN1680" s="2730"/>
      <c r="BLO1680" s="2730"/>
      <c r="BLP1680" s="2730"/>
      <c r="BLQ1680" s="2730"/>
      <c r="BLR1680" s="2730"/>
      <c r="BLS1680" s="2730"/>
      <c r="BLT1680" s="2730"/>
      <c r="BLU1680" s="2730"/>
      <c r="BLV1680" s="2730"/>
      <c r="BLW1680" s="2730"/>
      <c r="BLX1680" s="2730"/>
      <c r="BLY1680" s="2730"/>
      <c r="BLZ1680" s="2730"/>
      <c r="BMA1680" s="2730"/>
      <c r="BMB1680" s="2730"/>
      <c r="BMC1680" s="2730"/>
      <c r="BMD1680" s="2730"/>
      <c r="BME1680" s="2730"/>
      <c r="BMF1680" s="2730"/>
      <c r="BMG1680" s="2730"/>
      <c r="BMH1680" s="2730"/>
      <c r="BMI1680" s="2730"/>
      <c r="BMJ1680" s="2730"/>
      <c r="BMK1680" s="2730"/>
      <c r="BML1680" s="2730"/>
      <c r="BMM1680" s="2730"/>
      <c r="BMN1680" s="2730"/>
      <c r="BMO1680" s="2730"/>
      <c r="BMP1680" s="2730"/>
      <c r="BMQ1680" s="2730"/>
      <c r="BMR1680" s="2730"/>
      <c r="BMS1680" s="2730"/>
      <c r="BMT1680" s="2730"/>
      <c r="BMU1680" s="2730"/>
      <c r="BMV1680" s="2730"/>
      <c r="BMW1680" s="2730"/>
      <c r="BMX1680" s="2730"/>
      <c r="BMY1680" s="2730"/>
      <c r="BMZ1680" s="2730"/>
      <c r="BNA1680" s="2730"/>
      <c r="BNB1680" s="2730"/>
      <c r="BNC1680" s="2730"/>
      <c r="BND1680" s="2730"/>
      <c r="BNE1680" s="2730"/>
      <c r="BNF1680" s="2730"/>
      <c r="BNG1680" s="2730"/>
      <c r="BNH1680" s="2730"/>
      <c r="BNI1680" s="2730"/>
      <c r="BNJ1680" s="2730"/>
      <c r="BNK1680" s="2730"/>
      <c r="BNL1680" s="2730"/>
      <c r="BNM1680" s="2730"/>
      <c r="BNN1680" s="2730"/>
      <c r="BNO1680" s="2730"/>
      <c r="BNP1680" s="2730"/>
      <c r="BNQ1680" s="2730"/>
      <c r="BNR1680" s="2730"/>
      <c r="BNS1680" s="2730"/>
      <c r="BNT1680" s="2730"/>
      <c r="BNU1680" s="2730"/>
      <c r="BNV1680" s="2730"/>
      <c r="BNW1680" s="2730"/>
      <c r="BNX1680" s="2730"/>
      <c r="BNY1680" s="2730"/>
      <c r="BNZ1680" s="2730"/>
      <c r="BOA1680" s="2730"/>
      <c r="BOB1680" s="2730"/>
      <c r="BOC1680" s="2730"/>
      <c r="BOD1680" s="2730"/>
      <c r="BOE1680" s="2730"/>
      <c r="BOF1680" s="2730"/>
      <c r="BOG1680" s="2730"/>
      <c r="BOH1680" s="2730"/>
      <c r="BOI1680" s="2730"/>
      <c r="BOJ1680" s="2730"/>
      <c r="BOK1680" s="2730"/>
      <c r="BOL1680" s="2730"/>
      <c r="BOM1680" s="2730"/>
      <c r="BON1680" s="2730"/>
      <c r="BOO1680" s="2730"/>
      <c r="BOP1680" s="2730"/>
      <c r="BOQ1680" s="2730"/>
      <c r="BOR1680" s="2730"/>
      <c r="BOS1680" s="2730"/>
      <c r="BOT1680" s="2730"/>
      <c r="BOU1680" s="2730"/>
      <c r="BOV1680" s="2730"/>
      <c r="BOW1680" s="2730"/>
      <c r="BOX1680" s="2730"/>
      <c r="BOY1680" s="2730"/>
      <c r="BOZ1680" s="2730"/>
      <c r="BPA1680" s="2730"/>
      <c r="BPB1680" s="2730"/>
      <c r="BPC1680" s="2730"/>
      <c r="BPD1680" s="2730"/>
      <c r="BPE1680" s="2730"/>
      <c r="BPF1680" s="2730"/>
      <c r="BPG1680" s="2730"/>
      <c r="BPH1680" s="2730"/>
      <c r="BPI1680" s="2730"/>
      <c r="BPJ1680" s="2730"/>
      <c r="BPK1680" s="2730"/>
      <c r="BPL1680" s="2730"/>
      <c r="BPM1680" s="2730"/>
      <c r="BPN1680" s="2730"/>
      <c r="BPO1680" s="2730"/>
      <c r="BPP1680" s="2730"/>
      <c r="BPQ1680" s="2730"/>
      <c r="BPR1680" s="2730"/>
      <c r="BPS1680" s="2730"/>
      <c r="BPT1680" s="2730"/>
      <c r="BPU1680" s="2730"/>
      <c r="BPV1680" s="2730"/>
      <c r="BPW1680" s="2730"/>
      <c r="BPX1680" s="2730"/>
      <c r="BPY1680" s="2730"/>
      <c r="BPZ1680" s="2730"/>
      <c r="BQA1680" s="2730"/>
      <c r="BQB1680" s="2730"/>
      <c r="BQC1680" s="2730"/>
      <c r="BQD1680" s="2730"/>
      <c r="BQE1680" s="2730"/>
      <c r="BQF1680" s="2730"/>
      <c r="BQG1680" s="2730"/>
      <c r="BQH1680" s="2730"/>
      <c r="BQI1680" s="2730"/>
      <c r="BQJ1680" s="2730"/>
      <c r="BQK1680" s="2730"/>
      <c r="BQL1680" s="2730"/>
      <c r="BQM1680" s="2730"/>
      <c r="BQN1680" s="2730"/>
      <c r="BQO1680" s="2730"/>
      <c r="BQP1680" s="2730"/>
      <c r="BQQ1680" s="2730"/>
      <c r="BQR1680" s="2730"/>
      <c r="BQS1680" s="2730"/>
      <c r="BQT1680" s="2730"/>
      <c r="BQU1680" s="2730"/>
      <c r="BQV1680" s="2730"/>
      <c r="BQW1680" s="2730"/>
      <c r="BQX1680" s="2730"/>
      <c r="BQY1680" s="2730"/>
      <c r="BQZ1680" s="2730"/>
      <c r="BRA1680" s="2730"/>
      <c r="BRB1680" s="2730"/>
      <c r="BRC1680" s="2730"/>
      <c r="BRD1680" s="2730"/>
      <c r="BRE1680" s="2730"/>
      <c r="BRF1680" s="2730"/>
      <c r="BRG1680" s="2730"/>
      <c r="BRH1680" s="2730"/>
      <c r="BRI1680" s="2730"/>
      <c r="BRJ1680" s="2730"/>
      <c r="BRK1680" s="2730"/>
      <c r="BRL1680" s="2730"/>
      <c r="BRM1680" s="2730"/>
      <c r="BRN1680" s="2730"/>
      <c r="BRO1680" s="2730"/>
      <c r="BRP1680" s="2730"/>
      <c r="BRQ1680" s="2730"/>
      <c r="BRR1680" s="2730"/>
      <c r="BRS1680" s="2730"/>
      <c r="BRT1680" s="2730"/>
      <c r="BRU1680" s="2730"/>
      <c r="BRV1680" s="2730"/>
      <c r="BRW1680" s="2730"/>
      <c r="BRX1680" s="2730"/>
      <c r="BRY1680" s="2730"/>
      <c r="BRZ1680" s="2730"/>
      <c r="BSA1680" s="2730"/>
      <c r="BSB1680" s="2730"/>
      <c r="BSC1680" s="2730"/>
      <c r="BSD1680" s="2730"/>
      <c r="BSE1680" s="2730"/>
      <c r="BSF1680" s="2730"/>
      <c r="BSG1680" s="2730"/>
      <c r="BSH1680" s="2730"/>
      <c r="BSI1680" s="2730"/>
      <c r="BSJ1680" s="2730"/>
      <c r="BSK1680" s="2730"/>
      <c r="BSL1680" s="2730"/>
      <c r="BSM1680" s="2730"/>
      <c r="BSN1680" s="2730"/>
      <c r="BSO1680" s="2730"/>
      <c r="BSP1680" s="2730"/>
      <c r="BSQ1680" s="2730"/>
      <c r="BSR1680" s="2730"/>
      <c r="BSS1680" s="2730"/>
      <c r="BST1680" s="2730"/>
      <c r="BSU1680" s="2730"/>
      <c r="BSV1680" s="2730"/>
      <c r="BSW1680" s="2730"/>
      <c r="BSX1680" s="2730"/>
      <c r="BSY1680" s="2730"/>
      <c r="BSZ1680" s="2730"/>
      <c r="BTA1680" s="2730"/>
      <c r="BTB1680" s="2730"/>
      <c r="BTC1680" s="2730"/>
      <c r="BTD1680" s="2730"/>
      <c r="BTE1680" s="2730"/>
      <c r="BTF1680" s="2730"/>
      <c r="BTG1680" s="2730"/>
      <c r="BTH1680" s="2730"/>
      <c r="BTI1680" s="2730"/>
      <c r="BTJ1680" s="2730"/>
      <c r="BTK1680" s="2730"/>
      <c r="BTL1680" s="2730"/>
      <c r="BTM1680" s="2730"/>
      <c r="BTN1680" s="2730"/>
      <c r="BTO1680" s="2730"/>
      <c r="BTP1680" s="2730"/>
      <c r="BTQ1680" s="2730"/>
      <c r="BTR1680" s="2730"/>
      <c r="BTS1680" s="2730"/>
      <c r="BTT1680" s="2730"/>
      <c r="BTU1680" s="2730"/>
      <c r="BTV1680" s="2730"/>
      <c r="BTW1680" s="2730"/>
      <c r="BTX1680" s="2730"/>
      <c r="BTY1680" s="2730"/>
      <c r="BTZ1680" s="2730"/>
      <c r="BUA1680" s="2730"/>
      <c r="BUB1680" s="2730"/>
      <c r="BUC1680" s="2730"/>
      <c r="BUD1680" s="2730"/>
      <c r="BUE1680" s="2730"/>
      <c r="BUF1680" s="2730"/>
      <c r="BUG1680" s="2730"/>
      <c r="BUH1680" s="2730"/>
      <c r="BUI1680" s="2730"/>
      <c r="BUJ1680" s="2730"/>
      <c r="BUK1680" s="2730"/>
      <c r="BUL1680" s="2730"/>
      <c r="BUM1680" s="2730"/>
      <c r="BUN1680" s="2730"/>
      <c r="BUO1680" s="2730"/>
      <c r="BUP1680" s="2730"/>
      <c r="BUQ1680" s="2730"/>
      <c r="BUR1680" s="2730"/>
      <c r="BUS1680" s="2730"/>
      <c r="BUT1680" s="2730"/>
      <c r="BUU1680" s="2730"/>
      <c r="BUV1680" s="2730"/>
      <c r="BUW1680" s="2730"/>
      <c r="BUX1680" s="2730"/>
      <c r="BUY1680" s="2730"/>
      <c r="BUZ1680" s="2730"/>
      <c r="BVA1680" s="2730"/>
      <c r="BVB1680" s="2730"/>
      <c r="BVC1680" s="2730"/>
      <c r="BVD1680" s="2730"/>
      <c r="BVE1680" s="2730"/>
      <c r="BVF1680" s="2730"/>
      <c r="BVG1680" s="2730"/>
      <c r="BVH1680" s="2730"/>
      <c r="BVI1680" s="2730"/>
      <c r="BVJ1680" s="2730"/>
      <c r="BVK1680" s="2730"/>
      <c r="BVL1680" s="2730"/>
      <c r="BVM1680" s="2730"/>
      <c r="BVN1680" s="2730"/>
      <c r="BVO1680" s="2730"/>
      <c r="BVP1680" s="2730"/>
      <c r="BVQ1680" s="2730"/>
      <c r="BVR1680" s="2730"/>
      <c r="BVS1680" s="2730"/>
      <c r="BVT1680" s="2730"/>
      <c r="BVU1680" s="2730"/>
      <c r="BVV1680" s="2730"/>
      <c r="BVW1680" s="2730"/>
      <c r="BVX1680" s="2730"/>
      <c r="BVY1680" s="2730"/>
      <c r="BVZ1680" s="2730"/>
      <c r="BWA1680" s="2730"/>
      <c r="BWB1680" s="2730"/>
      <c r="BWC1680" s="2730"/>
      <c r="BWD1680" s="2730"/>
      <c r="BWE1680" s="2730"/>
      <c r="BWF1680" s="2730"/>
      <c r="BWG1680" s="2730"/>
      <c r="BWH1680" s="2730"/>
      <c r="BWI1680" s="2730"/>
      <c r="BWJ1680" s="2730"/>
      <c r="BWK1680" s="2730"/>
      <c r="BWL1680" s="2730"/>
      <c r="BWM1680" s="2730"/>
      <c r="BWN1680" s="2730"/>
      <c r="BWO1680" s="2730"/>
      <c r="BWP1680" s="2730"/>
      <c r="BWQ1680" s="2730"/>
      <c r="BWR1680" s="2730"/>
      <c r="BWS1680" s="2730"/>
      <c r="BWT1680" s="2730"/>
      <c r="BWU1680" s="2730"/>
      <c r="BWV1680" s="2730"/>
      <c r="BWW1680" s="2730"/>
      <c r="BWX1680" s="2730"/>
      <c r="BWY1680" s="2730"/>
      <c r="BWZ1680" s="2730"/>
      <c r="BXA1680" s="2730"/>
      <c r="BXB1680" s="2730"/>
      <c r="BXC1680" s="2730"/>
      <c r="BXD1680" s="2730"/>
      <c r="BXE1680" s="2730"/>
      <c r="BXF1680" s="2730"/>
      <c r="BXG1680" s="2730"/>
      <c r="BXH1680" s="2730"/>
      <c r="BXI1680" s="2730"/>
      <c r="BXJ1680" s="2730"/>
      <c r="BXK1680" s="2730"/>
      <c r="BXL1680" s="2730"/>
      <c r="BXM1680" s="2730"/>
      <c r="BXN1680" s="2730"/>
      <c r="BXO1680" s="2730"/>
      <c r="BXP1680" s="2730"/>
      <c r="BXQ1680" s="2730"/>
      <c r="BXR1680" s="2730"/>
      <c r="BXS1680" s="2730"/>
      <c r="BXT1680" s="2730"/>
      <c r="BXU1680" s="2730"/>
      <c r="BXV1680" s="2730"/>
      <c r="BXW1680" s="2730"/>
      <c r="BXX1680" s="2730"/>
      <c r="BXY1680" s="2730"/>
      <c r="BXZ1680" s="2730"/>
      <c r="BYA1680" s="2730"/>
      <c r="BYB1680" s="2730"/>
      <c r="BYC1680" s="2730"/>
      <c r="BYD1680" s="2730"/>
      <c r="BYE1680" s="2730"/>
      <c r="BYF1680" s="2730"/>
      <c r="BYG1680" s="2730"/>
      <c r="BYH1680" s="2730"/>
      <c r="BYI1680" s="2730"/>
      <c r="BYJ1680" s="2730"/>
      <c r="BYK1680" s="2730"/>
      <c r="BYL1680" s="2730"/>
      <c r="BYM1680" s="2730"/>
      <c r="BYN1680" s="2730"/>
      <c r="BYO1680" s="2730"/>
      <c r="BYP1680" s="2730"/>
      <c r="BYQ1680" s="2730"/>
      <c r="BYR1680" s="2730"/>
      <c r="BYS1680" s="2730"/>
      <c r="BYT1680" s="2730"/>
      <c r="BYU1680" s="2730"/>
      <c r="BYV1680" s="2730"/>
      <c r="BYW1680" s="2730"/>
      <c r="BYX1680" s="2730"/>
      <c r="BYY1680" s="2730"/>
      <c r="BYZ1680" s="2730"/>
      <c r="BZA1680" s="2730"/>
      <c r="BZB1680" s="2730"/>
      <c r="BZC1680" s="2730"/>
      <c r="BZD1680" s="2730"/>
      <c r="BZE1680" s="2730"/>
      <c r="BZF1680" s="2730"/>
      <c r="BZG1680" s="2730"/>
      <c r="BZH1680" s="2730"/>
      <c r="BZI1680" s="2730"/>
      <c r="BZJ1680" s="2730"/>
      <c r="BZK1680" s="2730"/>
      <c r="BZL1680" s="2730"/>
      <c r="BZM1680" s="2730"/>
      <c r="BZN1680" s="2730"/>
      <c r="BZO1680" s="2730"/>
      <c r="BZP1680" s="2730"/>
      <c r="BZQ1680" s="2730"/>
      <c r="BZR1680" s="2730"/>
      <c r="BZS1680" s="2730"/>
      <c r="BZT1680" s="2730"/>
      <c r="BZU1680" s="2730"/>
      <c r="BZV1680" s="2730"/>
      <c r="BZW1680" s="2730"/>
      <c r="BZX1680" s="2730"/>
      <c r="BZY1680" s="2730"/>
      <c r="BZZ1680" s="2730"/>
      <c r="CAA1680" s="2730"/>
      <c r="CAB1680" s="2730"/>
      <c r="CAC1680" s="2730"/>
      <c r="CAD1680" s="2730"/>
      <c r="CAE1680" s="2730"/>
      <c r="CAF1680" s="2730"/>
      <c r="CAG1680" s="2730"/>
      <c r="CAH1680" s="2730"/>
      <c r="CAI1680" s="2730"/>
      <c r="CAJ1680" s="2730"/>
      <c r="CAK1680" s="2730"/>
      <c r="CAL1680" s="2730"/>
      <c r="CAM1680" s="2730"/>
      <c r="CAN1680" s="2730"/>
      <c r="CAO1680" s="2730"/>
      <c r="CAP1680" s="2730"/>
      <c r="CAQ1680" s="2730"/>
      <c r="CAR1680" s="2730"/>
      <c r="CAS1680" s="2730"/>
      <c r="CAT1680" s="2730"/>
      <c r="CAU1680" s="2730"/>
      <c r="CAV1680" s="2730"/>
      <c r="CAW1680" s="2730"/>
      <c r="CAX1680" s="2730"/>
      <c r="CAY1680" s="2730"/>
      <c r="CAZ1680" s="2730"/>
      <c r="CBA1680" s="2730"/>
      <c r="CBB1680" s="2730"/>
      <c r="CBC1680" s="2730"/>
      <c r="CBD1680" s="2730"/>
      <c r="CBE1680" s="2730"/>
      <c r="CBF1680" s="2730"/>
      <c r="CBG1680" s="2730"/>
      <c r="CBH1680" s="2730"/>
      <c r="CBI1680" s="2730"/>
      <c r="CBJ1680" s="2730"/>
      <c r="CBK1680" s="2730"/>
      <c r="CBL1680" s="2730"/>
      <c r="CBM1680" s="2730"/>
      <c r="CBN1680" s="2730"/>
      <c r="CBO1680" s="2730"/>
      <c r="CBP1680" s="2730"/>
      <c r="CBQ1680" s="2730"/>
      <c r="CBR1680" s="2730"/>
      <c r="CBS1680" s="2730"/>
      <c r="CBT1680" s="2730"/>
      <c r="CBU1680" s="2730"/>
      <c r="CBV1680" s="2730"/>
      <c r="CBW1680" s="2730"/>
      <c r="CBX1680" s="2730"/>
      <c r="CBY1680" s="2730"/>
      <c r="CBZ1680" s="2730"/>
      <c r="CCA1680" s="2730"/>
      <c r="CCB1680" s="2730"/>
      <c r="CCC1680" s="2730"/>
      <c r="CCD1680" s="2730"/>
      <c r="CCE1680" s="2730"/>
      <c r="CCF1680" s="2730"/>
      <c r="CCG1680" s="2730"/>
      <c r="CCH1680" s="2730"/>
      <c r="CCI1680" s="2730"/>
      <c r="CCJ1680" s="2730"/>
      <c r="CCK1680" s="2730"/>
      <c r="CCL1680" s="2730"/>
      <c r="CCM1680" s="2730"/>
      <c r="CCN1680" s="2730"/>
      <c r="CCO1680" s="2730"/>
      <c r="CCP1680" s="2730"/>
      <c r="CCQ1680" s="2730"/>
      <c r="CCR1680" s="2730"/>
      <c r="CCS1680" s="2730"/>
      <c r="CCT1680" s="2730"/>
      <c r="CCU1680" s="2730"/>
      <c r="CCV1680" s="2730"/>
      <c r="CCW1680" s="2730"/>
      <c r="CCX1680" s="2730"/>
      <c r="CCY1680" s="2730"/>
      <c r="CCZ1680" s="2730"/>
      <c r="CDA1680" s="2730"/>
      <c r="CDB1680" s="2730"/>
      <c r="CDC1680" s="2730"/>
      <c r="CDD1680" s="2730"/>
      <c r="CDE1680" s="2730"/>
      <c r="CDF1680" s="2730"/>
      <c r="CDG1680" s="2730"/>
      <c r="CDH1680" s="2730"/>
      <c r="CDI1680" s="2730"/>
      <c r="CDJ1680" s="2730"/>
      <c r="CDK1680" s="2730"/>
      <c r="CDL1680" s="2730"/>
      <c r="CDM1680" s="2730"/>
      <c r="CDN1680" s="2730"/>
      <c r="CDO1680" s="2730"/>
      <c r="CDP1680" s="2730"/>
      <c r="CDQ1680" s="2730"/>
      <c r="CDR1680" s="2730"/>
      <c r="CDS1680" s="2730"/>
      <c r="CDT1680" s="2730"/>
      <c r="CDU1680" s="2730"/>
      <c r="CDV1680" s="2730"/>
      <c r="CDW1680" s="2730"/>
      <c r="CDX1680" s="2730"/>
      <c r="CDY1680" s="2730"/>
      <c r="CDZ1680" s="2730"/>
      <c r="CEA1680" s="2730"/>
      <c r="CEB1680" s="2730"/>
      <c r="CEC1680" s="2730"/>
      <c r="CED1680" s="2730"/>
      <c r="CEE1680" s="2730"/>
      <c r="CEF1680" s="2730"/>
      <c r="CEG1680" s="2730"/>
      <c r="CEH1680" s="2730"/>
      <c r="CEI1680" s="2730"/>
      <c r="CEJ1680" s="2730"/>
      <c r="CEK1680" s="2730"/>
      <c r="CEL1680" s="2730"/>
      <c r="CEM1680" s="2730"/>
      <c r="CEN1680" s="2730"/>
      <c r="CEO1680" s="2730"/>
      <c r="CEP1680" s="2730"/>
      <c r="CEQ1680" s="2730"/>
      <c r="CER1680" s="2730"/>
      <c r="CES1680" s="2730"/>
      <c r="CET1680" s="2730"/>
      <c r="CEU1680" s="2730"/>
      <c r="CEV1680" s="2730"/>
      <c r="CEW1680" s="2730"/>
      <c r="CEX1680" s="2730"/>
      <c r="CEY1680" s="2730"/>
      <c r="CEZ1680" s="2730"/>
      <c r="CFA1680" s="2730"/>
      <c r="CFB1680" s="2730"/>
      <c r="CFC1680" s="2730"/>
      <c r="CFD1680" s="2730"/>
      <c r="CFE1680" s="2730"/>
      <c r="CFF1680" s="2730"/>
      <c r="CFG1680" s="2730"/>
      <c r="CFH1680" s="2730"/>
      <c r="CFI1680" s="2730"/>
      <c r="CFJ1680" s="2730"/>
      <c r="CFK1680" s="2730"/>
      <c r="CFL1680" s="2730"/>
      <c r="CFM1680" s="2730"/>
      <c r="CFN1680" s="2730"/>
      <c r="CFO1680" s="2730"/>
      <c r="CFP1680" s="2730"/>
      <c r="CFQ1680" s="2730"/>
      <c r="CFR1680" s="2730"/>
      <c r="CFS1680" s="2730"/>
      <c r="CFT1680" s="2730"/>
      <c r="CFU1680" s="2730"/>
      <c r="CFV1680" s="2730"/>
      <c r="CFW1680" s="2730"/>
      <c r="CFX1680" s="2730"/>
      <c r="CFY1680" s="2730"/>
      <c r="CFZ1680" s="2730"/>
      <c r="CGA1680" s="2730"/>
      <c r="CGB1680" s="2730"/>
      <c r="CGC1680" s="2730"/>
      <c r="CGD1680" s="2730"/>
      <c r="CGE1680" s="2730"/>
      <c r="CGF1680" s="2730"/>
      <c r="CGG1680" s="2730"/>
      <c r="CGH1680" s="2730"/>
      <c r="CGI1680" s="2730"/>
      <c r="CGJ1680" s="2730"/>
      <c r="CGK1680" s="2730"/>
      <c r="CGL1680" s="2730"/>
      <c r="CGM1680" s="2730"/>
      <c r="CGN1680" s="2730"/>
      <c r="CGO1680" s="2730"/>
      <c r="CGP1680" s="2730"/>
      <c r="CGQ1680" s="2730"/>
      <c r="CGR1680" s="2730"/>
      <c r="CGS1680" s="2730"/>
      <c r="CGT1680" s="2730"/>
      <c r="CGU1680" s="2730"/>
      <c r="CGV1680" s="2730"/>
      <c r="CGW1680" s="2730"/>
      <c r="CGX1680" s="2730"/>
      <c r="CGY1680" s="2730"/>
      <c r="CGZ1680" s="2730"/>
      <c r="CHA1680" s="2730"/>
      <c r="CHB1680" s="2730"/>
      <c r="CHC1680" s="2730"/>
      <c r="CHD1680" s="2730"/>
      <c r="CHE1680" s="2730"/>
      <c r="CHF1680" s="2730"/>
      <c r="CHG1680" s="2730"/>
      <c r="CHH1680" s="2730"/>
      <c r="CHI1680" s="2730"/>
      <c r="CHJ1680" s="2730"/>
      <c r="CHK1680" s="2730"/>
      <c r="CHL1680" s="2730"/>
      <c r="CHM1680" s="2730"/>
      <c r="CHN1680" s="2730"/>
      <c r="CHO1680" s="2730"/>
      <c r="CHP1680" s="2730"/>
      <c r="CHQ1680" s="2730"/>
      <c r="CHR1680" s="2730"/>
      <c r="CHS1680" s="2730"/>
      <c r="CHT1680" s="2730"/>
      <c r="CHU1680" s="2730"/>
      <c r="CHV1680" s="2730"/>
      <c r="CHW1680" s="2730"/>
      <c r="CHX1680" s="2730"/>
      <c r="CHY1680" s="2730"/>
      <c r="CHZ1680" s="2730"/>
      <c r="CIA1680" s="2730"/>
      <c r="CIB1680" s="2730"/>
      <c r="CIC1680" s="2730"/>
      <c r="CID1680" s="2730"/>
      <c r="CIE1680" s="2730"/>
      <c r="CIF1680" s="2730"/>
      <c r="CIG1680" s="2730"/>
      <c r="CIH1680" s="2730"/>
      <c r="CII1680" s="2730"/>
      <c r="CIJ1680" s="2730"/>
      <c r="CIK1680" s="2730"/>
      <c r="CIL1680" s="2730"/>
      <c r="CIM1680" s="2730"/>
      <c r="CIN1680" s="2730"/>
      <c r="CIO1680" s="2730"/>
      <c r="CIP1680" s="2730"/>
      <c r="CIQ1680" s="2730"/>
      <c r="CIR1680" s="2730"/>
      <c r="CIS1680" s="2730"/>
      <c r="CIT1680" s="2730"/>
      <c r="CIU1680" s="2730"/>
      <c r="CIV1680" s="2730"/>
      <c r="CIW1680" s="2730"/>
      <c r="CIX1680" s="2730"/>
      <c r="CIY1680" s="2730"/>
      <c r="CIZ1680" s="2730"/>
      <c r="CJA1680" s="2730"/>
      <c r="CJB1680" s="2730"/>
      <c r="CJC1680" s="2730"/>
      <c r="CJD1680" s="2730"/>
      <c r="CJE1680" s="2730"/>
      <c r="CJF1680" s="2730"/>
      <c r="CJG1680" s="2730"/>
      <c r="CJH1680" s="2730"/>
      <c r="CJI1680" s="2730"/>
      <c r="CJJ1680" s="2730"/>
      <c r="CJK1680" s="2730"/>
      <c r="CJL1680" s="2730"/>
      <c r="CJM1680" s="2730"/>
      <c r="CJN1680" s="2730"/>
      <c r="CJO1680" s="2730"/>
      <c r="CJP1680" s="2730"/>
      <c r="CJQ1680" s="2730"/>
      <c r="CJR1680" s="2730"/>
      <c r="CJS1680" s="2730"/>
      <c r="CJT1680" s="2730"/>
      <c r="CJU1680" s="2730"/>
      <c r="CJV1680" s="2730"/>
      <c r="CJW1680" s="2730"/>
      <c r="CJX1680" s="2730"/>
      <c r="CJY1680" s="2730"/>
      <c r="CJZ1680" s="2730"/>
      <c r="CKA1680" s="2730"/>
      <c r="CKB1680" s="2730"/>
      <c r="CKC1680" s="2730"/>
      <c r="CKD1680" s="2730"/>
      <c r="CKE1680" s="2730"/>
      <c r="CKF1680" s="2730"/>
      <c r="CKG1680" s="2730"/>
      <c r="CKH1680" s="2730"/>
      <c r="CKI1680" s="2730"/>
      <c r="CKJ1680" s="2730"/>
      <c r="CKK1680" s="2730"/>
      <c r="CKL1680" s="2730"/>
      <c r="CKM1680" s="2730"/>
      <c r="CKN1680" s="2730"/>
      <c r="CKO1680" s="2730"/>
      <c r="CKP1680" s="2730"/>
      <c r="CKQ1680" s="2730"/>
      <c r="CKR1680" s="2730"/>
      <c r="CKS1680" s="2730"/>
      <c r="CKT1680" s="2730"/>
      <c r="CKU1680" s="2730"/>
      <c r="CKV1680" s="2730"/>
      <c r="CKW1680" s="2730"/>
      <c r="CKX1680" s="2730"/>
      <c r="CKY1680" s="2730"/>
      <c r="CKZ1680" s="2730"/>
      <c r="CLA1680" s="2730"/>
      <c r="CLB1680" s="2730"/>
      <c r="CLC1680" s="2730"/>
      <c r="CLD1680" s="2730"/>
      <c r="CLE1680" s="2730"/>
      <c r="CLF1680" s="2730"/>
      <c r="CLG1680" s="2730"/>
      <c r="CLH1680" s="2730"/>
      <c r="CLI1680" s="2730"/>
      <c r="CLJ1680" s="2730"/>
      <c r="CLK1680" s="2730"/>
      <c r="CLL1680" s="2730"/>
      <c r="CLM1680" s="2730"/>
      <c r="CLN1680" s="2730"/>
      <c r="CLO1680" s="2730"/>
      <c r="CLP1680" s="2730"/>
      <c r="CLQ1680" s="2730"/>
      <c r="CLR1680" s="2730"/>
      <c r="CLS1680" s="2730"/>
      <c r="CLT1680" s="2730"/>
      <c r="CLU1680" s="2730"/>
      <c r="CLV1680" s="2730"/>
      <c r="CLW1680" s="2730"/>
      <c r="CLX1680" s="2730"/>
      <c r="CLY1680" s="2730"/>
      <c r="CLZ1680" s="2730"/>
      <c r="CMA1680" s="2730"/>
      <c r="CMB1680" s="2730"/>
      <c r="CMC1680" s="2730"/>
      <c r="CMD1680" s="2730"/>
      <c r="CME1680" s="2730"/>
      <c r="CMF1680" s="2730"/>
      <c r="CMG1680" s="2730"/>
      <c r="CMH1680" s="2730"/>
      <c r="CMI1680" s="2730"/>
      <c r="CMJ1680" s="2730"/>
      <c r="CMK1680" s="2730"/>
      <c r="CML1680" s="2730"/>
      <c r="CMM1680" s="2730"/>
      <c r="CMN1680" s="2730"/>
      <c r="CMO1680" s="2730"/>
      <c r="CMP1680" s="2730"/>
      <c r="CMQ1680" s="2730"/>
      <c r="CMR1680" s="2730"/>
      <c r="CMS1680" s="2730"/>
      <c r="CMT1680" s="2730"/>
      <c r="CMU1680" s="2730"/>
      <c r="CMV1680" s="2730"/>
      <c r="CMW1680" s="2730"/>
      <c r="CMX1680" s="2730"/>
      <c r="CMY1680" s="2730"/>
      <c r="CMZ1680" s="2730"/>
      <c r="CNA1680" s="2730"/>
      <c r="CNB1680" s="2730"/>
      <c r="CNC1680" s="2730"/>
      <c r="CND1680" s="2730"/>
      <c r="CNE1680" s="2730"/>
      <c r="CNF1680" s="2730"/>
      <c r="CNG1680" s="2730"/>
      <c r="CNH1680" s="2730"/>
      <c r="CNI1680" s="2730"/>
      <c r="CNJ1680" s="2730"/>
      <c r="CNK1680" s="2730"/>
      <c r="CNL1680" s="2730"/>
      <c r="CNM1680" s="2730"/>
      <c r="CNN1680" s="2730"/>
      <c r="CNO1680" s="2730"/>
      <c r="CNP1680" s="2730"/>
      <c r="CNQ1680" s="2730"/>
      <c r="CNR1680" s="2730"/>
      <c r="CNS1680" s="2730"/>
      <c r="CNT1680" s="2730"/>
      <c r="CNU1680" s="2730"/>
      <c r="CNV1680" s="2730"/>
      <c r="CNW1680" s="2730"/>
      <c r="CNX1680" s="2730"/>
      <c r="CNY1680" s="2730"/>
      <c r="CNZ1680" s="2730"/>
      <c r="COA1680" s="2730"/>
      <c r="COB1680" s="2730"/>
      <c r="COC1680" s="2730"/>
      <c r="COD1680" s="2730"/>
      <c r="COE1680" s="2730"/>
      <c r="COF1680" s="2730"/>
      <c r="COG1680" s="2730"/>
      <c r="COH1680" s="2730"/>
      <c r="COI1680" s="2730"/>
      <c r="COJ1680" s="2730"/>
      <c r="COK1680" s="2730"/>
      <c r="COL1680" s="2730"/>
      <c r="COM1680" s="2730"/>
      <c r="CON1680" s="2730"/>
      <c r="COO1680" s="2730"/>
      <c r="COP1680" s="2730"/>
      <c r="COQ1680" s="2730"/>
      <c r="COR1680" s="2730"/>
      <c r="COS1680" s="2730"/>
      <c r="COT1680" s="2730"/>
      <c r="COU1680" s="2730"/>
      <c r="COV1680" s="2730"/>
      <c r="COW1680" s="2730"/>
      <c r="COX1680" s="2730"/>
      <c r="COY1680" s="2730"/>
      <c r="COZ1680" s="2730"/>
      <c r="CPA1680" s="2730"/>
      <c r="CPB1680" s="2730"/>
      <c r="CPC1680" s="2730"/>
      <c r="CPD1680" s="2730"/>
      <c r="CPE1680" s="2730"/>
      <c r="CPF1680" s="2730"/>
      <c r="CPG1680" s="2730"/>
      <c r="CPH1680" s="2730"/>
      <c r="CPI1680" s="2730"/>
      <c r="CPJ1680" s="2730"/>
      <c r="CPK1680" s="2730"/>
      <c r="CPL1680" s="2730"/>
      <c r="CPM1680" s="2730"/>
      <c r="CPN1680" s="2730"/>
      <c r="CPO1680" s="2730"/>
      <c r="CPP1680" s="2730"/>
      <c r="CPQ1680" s="2730"/>
      <c r="CPR1680" s="2730"/>
      <c r="CPS1680" s="2730"/>
      <c r="CPT1680" s="2730"/>
      <c r="CPU1680" s="2730"/>
      <c r="CPV1680" s="2730"/>
      <c r="CPW1680" s="2730"/>
      <c r="CPX1680" s="2730"/>
      <c r="CPY1680" s="2730"/>
      <c r="CPZ1680" s="2730"/>
      <c r="CQA1680" s="2730"/>
      <c r="CQB1680" s="2730"/>
      <c r="CQC1680" s="2730"/>
      <c r="CQD1680" s="2730"/>
      <c r="CQE1680" s="2730"/>
      <c r="CQF1680" s="2730"/>
      <c r="CQG1680" s="2730"/>
      <c r="CQH1680" s="2730"/>
      <c r="CQI1680" s="2730"/>
      <c r="CQJ1680" s="2730"/>
      <c r="CQK1680" s="2730"/>
      <c r="CQL1680" s="2730"/>
      <c r="CQM1680" s="2730"/>
      <c r="CQN1680" s="2730"/>
      <c r="CQO1680" s="2730"/>
      <c r="CQP1680" s="2730"/>
      <c r="CQQ1680" s="2730"/>
      <c r="CQR1680" s="2730"/>
      <c r="CQS1680" s="2730"/>
      <c r="CQT1680" s="2730"/>
      <c r="CQU1680" s="2730"/>
      <c r="CQV1680" s="2730"/>
      <c r="CQW1680" s="2730"/>
      <c r="CQX1680" s="2730"/>
      <c r="CQY1680" s="2730"/>
      <c r="CQZ1680" s="2730"/>
      <c r="CRA1680" s="2730"/>
      <c r="CRB1680" s="2730"/>
      <c r="CRC1680" s="2730"/>
      <c r="CRD1680" s="2730"/>
      <c r="CRE1680" s="2730"/>
      <c r="CRF1680" s="2730"/>
      <c r="CRG1680" s="2730"/>
      <c r="CRH1680" s="2730"/>
      <c r="CRI1680" s="2730"/>
      <c r="CRJ1680" s="2730"/>
      <c r="CRK1680" s="2730"/>
      <c r="CRL1680" s="2730"/>
      <c r="CRM1680" s="2730"/>
      <c r="CRN1680" s="2730"/>
      <c r="CRO1680" s="2730"/>
      <c r="CRP1680" s="2730"/>
      <c r="CRQ1680" s="2730"/>
      <c r="CRR1680" s="2730"/>
      <c r="CRS1680" s="2730"/>
      <c r="CRT1680" s="2730"/>
      <c r="CRU1680" s="2730"/>
      <c r="CRV1680" s="2730"/>
      <c r="CRW1680" s="2730"/>
      <c r="CRX1680" s="2730"/>
      <c r="CRY1680" s="2730"/>
      <c r="CRZ1680" s="2730"/>
      <c r="CSA1680" s="2730"/>
      <c r="CSB1680" s="2730"/>
      <c r="CSC1680" s="2730"/>
      <c r="CSD1680" s="2730"/>
      <c r="CSE1680" s="2730"/>
      <c r="CSF1680" s="2730"/>
      <c r="CSG1680" s="2730"/>
      <c r="CSH1680" s="2730"/>
      <c r="CSI1680" s="2730"/>
      <c r="CSJ1680" s="2730"/>
      <c r="CSK1680" s="2730"/>
      <c r="CSL1680" s="2730"/>
      <c r="CSM1680" s="2730"/>
      <c r="CSN1680" s="2730"/>
      <c r="CSO1680" s="2730"/>
      <c r="CSP1680" s="2730"/>
      <c r="CSQ1680" s="2730"/>
      <c r="CSR1680" s="2730"/>
      <c r="CSS1680" s="2730"/>
      <c r="CST1680" s="2730"/>
      <c r="CSU1680" s="2730"/>
      <c r="CSV1680" s="2730"/>
      <c r="CSW1680" s="2730"/>
      <c r="CSX1680" s="2730"/>
      <c r="CSY1680" s="2730"/>
      <c r="CSZ1680" s="2730"/>
      <c r="CTA1680" s="2730"/>
      <c r="CTB1680" s="2730"/>
      <c r="CTC1680" s="2730"/>
      <c r="CTD1680" s="2730"/>
      <c r="CTE1680" s="2730"/>
      <c r="CTF1680" s="2730"/>
      <c r="CTG1680" s="2730"/>
      <c r="CTH1680" s="2730"/>
      <c r="CTI1680" s="2730"/>
      <c r="CTJ1680" s="2730"/>
      <c r="CTK1680" s="2730"/>
      <c r="CTL1680" s="2730"/>
      <c r="CTM1680" s="2730"/>
      <c r="CTN1680" s="2730"/>
      <c r="CTO1680" s="2730"/>
      <c r="CTP1680" s="2730"/>
      <c r="CTQ1680" s="2730"/>
      <c r="CTR1680" s="2730"/>
      <c r="CTS1680" s="2730"/>
      <c r="CTT1680" s="2730"/>
      <c r="CTU1680" s="2730"/>
      <c r="CTV1680" s="2730"/>
      <c r="CTW1680" s="2730"/>
      <c r="CTX1680" s="2730"/>
      <c r="CTY1680" s="2730"/>
      <c r="CTZ1680" s="2730"/>
      <c r="CUA1680" s="2730"/>
      <c r="CUB1680" s="2730"/>
      <c r="CUC1680" s="2730"/>
      <c r="CUD1680" s="2730"/>
      <c r="CUE1680" s="2730"/>
      <c r="CUF1680" s="2730"/>
      <c r="CUG1680" s="2730"/>
      <c r="CUH1680" s="2730"/>
      <c r="CUI1680" s="2730"/>
      <c r="CUJ1680" s="2730"/>
      <c r="CUK1680" s="2730"/>
      <c r="CUL1680" s="2730"/>
      <c r="CUM1680" s="2730"/>
      <c r="CUN1680" s="2730"/>
      <c r="CUO1680" s="2730"/>
      <c r="CUP1680" s="2730"/>
      <c r="CUQ1680" s="2730"/>
      <c r="CUR1680" s="2730"/>
      <c r="CUS1680" s="2730"/>
      <c r="CUT1680" s="2730"/>
      <c r="CUU1680" s="2730"/>
      <c r="CUV1680" s="2730"/>
      <c r="CUW1680" s="2730"/>
      <c r="CUX1680" s="2730"/>
      <c r="CUY1680" s="2730"/>
      <c r="CUZ1680" s="2730"/>
      <c r="CVA1680" s="2730"/>
      <c r="CVB1680" s="2730"/>
      <c r="CVC1680" s="2730"/>
      <c r="CVD1680" s="2730"/>
      <c r="CVE1680" s="2730"/>
      <c r="CVF1680" s="2730"/>
      <c r="CVG1680" s="2730"/>
      <c r="CVH1680" s="2730"/>
      <c r="CVI1680" s="2730"/>
      <c r="CVJ1680" s="2730"/>
      <c r="CVK1680" s="2730"/>
      <c r="CVL1680" s="2730"/>
      <c r="CVM1680" s="2730"/>
      <c r="CVN1680" s="2730"/>
      <c r="CVO1680" s="2730"/>
      <c r="CVP1680" s="2730"/>
      <c r="CVQ1680" s="2730"/>
      <c r="CVR1680" s="2730"/>
      <c r="CVS1680" s="2730"/>
      <c r="CVT1680" s="2730"/>
      <c r="CVU1680" s="2730"/>
      <c r="CVV1680" s="2730"/>
      <c r="CVW1680" s="2730"/>
      <c r="CVX1680" s="2730"/>
      <c r="CVY1680" s="2730"/>
      <c r="CVZ1680" s="2730"/>
      <c r="CWA1680" s="2730"/>
      <c r="CWB1680" s="2730"/>
      <c r="CWC1680" s="2730"/>
      <c r="CWD1680" s="2730"/>
      <c r="CWE1680" s="2730"/>
      <c r="CWF1680" s="2730"/>
      <c r="CWG1680" s="2730"/>
      <c r="CWH1680" s="2730"/>
      <c r="CWI1680" s="2730"/>
      <c r="CWJ1680" s="2730"/>
      <c r="CWK1680" s="2730"/>
      <c r="CWL1680" s="2730"/>
      <c r="CWM1680" s="2730"/>
      <c r="CWN1680" s="2730"/>
      <c r="CWO1680" s="2730"/>
      <c r="CWP1680" s="2730"/>
      <c r="CWQ1680" s="2730"/>
      <c r="CWR1680" s="2730"/>
      <c r="CWS1680" s="2730"/>
      <c r="CWT1680" s="2730"/>
      <c r="CWU1680" s="2730"/>
      <c r="CWV1680" s="2730"/>
      <c r="CWW1680" s="2730"/>
      <c r="CWX1680" s="2730"/>
      <c r="CWY1680" s="2730"/>
      <c r="CWZ1680" s="2730"/>
      <c r="CXA1680" s="2730"/>
      <c r="CXB1680" s="2730"/>
      <c r="CXC1680" s="2730"/>
      <c r="CXD1680" s="2730"/>
      <c r="CXE1680" s="2730"/>
      <c r="CXF1680" s="2730"/>
      <c r="CXG1680" s="2730"/>
      <c r="CXH1680" s="2730"/>
      <c r="CXI1680" s="2730"/>
      <c r="CXJ1680" s="2730"/>
      <c r="CXK1680" s="2730"/>
      <c r="CXL1680" s="2730"/>
      <c r="CXM1680" s="2730"/>
      <c r="CXN1680" s="2730"/>
      <c r="CXO1680" s="2730"/>
      <c r="CXP1680" s="2730"/>
      <c r="CXQ1680" s="2730"/>
      <c r="CXR1680" s="2730"/>
      <c r="CXS1680" s="2730"/>
      <c r="CXT1680" s="2730"/>
      <c r="CXU1680" s="2730"/>
      <c r="CXV1680" s="2730"/>
      <c r="CXW1680" s="2730"/>
      <c r="CXX1680" s="2730"/>
      <c r="CXY1680" s="2730"/>
      <c r="CXZ1680" s="2730"/>
      <c r="CYA1680" s="2730"/>
      <c r="CYB1680" s="2730"/>
      <c r="CYC1680" s="2730"/>
      <c r="CYD1680" s="2730"/>
      <c r="CYE1680" s="2730"/>
      <c r="CYF1680" s="2730"/>
      <c r="CYG1680" s="2730"/>
      <c r="CYH1680" s="2730"/>
      <c r="CYI1680" s="2730"/>
      <c r="CYJ1680" s="2730"/>
      <c r="CYK1680" s="2730"/>
      <c r="CYL1680" s="2730"/>
      <c r="CYM1680" s="2730"/>
      <c r="CYN1680" s="2730"/>
      <c r="CYO1680" s="2730"/>
      <c r="CYP1680" s="2730"/>
      <c r="CYQ1680" s="2730"/>
      <c r="CYR1680" s="2730"/>
      <c r="CYS1680" s="2730"/>
      <c r="CYT1680" s="2730"/>
      <c r="CYU1680" s="2730"/>
      <c r="CYV1680" s="2730"/>
      <c r="CYW1680" s="2730"/>
      <c r="CYX1680" s="2730"/>
      <c r="CYY1680" s="2730"/>
      <c r="CYZ1680" s="2730"/>
      <c r="CZA1680" s="2730"/>
      <c r="CZB1680" s="2730"/>
      <c r="CZC1680" s="2730"/>
      <c r="CZD1680" s="2730"/>
      <c r="CZE1680" s="2730"/>
      <c r="CZF1680" s="2730"/>
      <c r="CZG1680" s="2730"/>
      <c r="CZH1680" s="2730"/>
      <c r="CZI1680" s="2730"/>
      <c r="CZJ1680" s="2730"/>
      <c r="CZK1680" s="2730"/>
      <c r="CZL1680" s="2730"/>
      <c r="CZM1680" s="2730"/>
      <c r="CZN1680" s="2730"/>
      <c r="CZO1680" s="2730"/>
      <c r="CZP1680" s="2730"/>
      <c r="CZQ1680" s="2730"/>
      <c r="CZR1680" s="2730"/>
      <c r="CZS1680" s="2730"/>
      <c r="CZT1680" s="2730"/>
      <c r="CZU1680" s="2730"/>
      <c r="CZV1680" s="2730"/>
      <c r="CZW1680" s="2730"/>
      <c r="CZX1680" s="2730"/>
      <c r="CZY1680" s="2730"/>
      <c r="CZZ1680" s="2730"/>
      <c r="DAA1680" s="2730"/>
      <c r="DAB1680" s="2730"/>
      <c r="DAC1680" s="2730"/>
      <c r="DAD1680" s="2730"/>
      <c r="DAE1680" s="2730"/>
      <c r="DAF1680" s="2730"/>
      <c r="DAG1680" s="2730"/>
      <c r="DAH1680" s="2730"/>
      <c r="DAI1680" s="2730"/>
      <c r="DAJ1680" s="2730"/>
      <c r="DAK1680" s="2730"/>
      <c r="DAL1680" s="2730"/>
      <c r="DAM1680" s="2730"/>
      <c r="DAN1680" s="2730"/>
      <c r="DAO1680" s="2730"/>
      <c r="DAP1680" s="2730"/>
      <c r="DAQ1680" s="2730"/>
      <c r="DAR1680" s="2730"/>
      <c r="DAS1680" s="2730"/>
      <c r="DAT1680" s="2730"/>
      <c r="DAU1680" s="2730"/>
      <c r="DAV1680" s="2730"/>
      <c r="DAW1680" s="2730"/>
      <c r="DAX1680" s="2730"/>
      <c r="DAY1680" s="2730"/>
      <c r="DAZ1680" s="2730"/>
      <c r="DBA1680" s="2730"/>
      <c r="DBB1680" s="2730"/>
      <c r="DBC1680" s="2730"/>
      <c r="DBD1680" s="2730"/>
      <c r="DBE1680" s="2730"/>
      <c r="DBF1680" s="2730"/>
      <c r="DBG1680" s="2730"/>
      <c r="DBH1680" s="2730"/>
      <c r="DBI1680" s="2730"/>
      <c r="DBJ1680" s="2730"/>
      <c r="DBK1680" s="2730"/>
      <c r="DBL1680" s="2730"/>
      <c r="DBM1680" s="2730"/>
      <c r="DBN1680" s="2730"/>
      <c r="DBO1680" s="2730"/>
      <c r="DBP1680" s="2730"/>
      <c r="DBQ1680" s="2730"/>
      <c r="DBR1680" s="2730"/>
      <c r="DBS1680" s="2730"/>
      <c r="DBT1680" s="2730"/>
      <c r="DBU1680" s="2730"/>
      <c r="DBV1680" s="2730"/>
      <c r="DBW1680" s="2730"/>
      <c r="DBX1680" s="2730"/>
      <c r="DBY1680" s="2730"/>
      <c r="DBZ1680" s="2730"/>
      <c r="DCA1680" s="2730"/>
      <c r="DCB1680" s="2730"/>
      <c r="DCC1680" s="2730"/>
      <c r="DCD1680" s="2730"/>
      <c r="DCE1680" s="2730"/>
      <c r="DCF1680" s="2730"/>
      <c r="DCG1680" s="2730"/>
      <c r="DCH1680" s="2730"/>
      <c r="DCI1680" s="2730"/>
      <c r="DCJ1680" s="2730"/>
      <c r="DCK1680" s="2730"/>
      <c r="DCL1680" s="2730"/>
      <c r="DCM1680" s="2730"/>
      <c r="DCN1680" s="2730"/>
      <c r="DCO1680" s="2730"/>
      <c r="DCP1680" s="2730"/>
      <c r="DCQ1680" s="2730"/>
      <c r="DCR1680" s="2730"/>
      <c r="DCS1680" s="2730"/>
      <c r="DCT1680" s="2730"/>
      <c r="DCU1680" s="2730"/>
      <c r="DCV1680" s="2730"/>
      <c r="DCW1680" s="2730"/>
      <c r="DCX1680" s="2730"/>
      <c r="DCY1680" s="2730"/>
      <c r="DCZ1680" s="2730"/>
      <c r="DDA1680" s="2730"/>
      <c r="DDB1680" s="2730"/>
      <c r="DDC1680" s="2730"/>
      <c r="DDD1680" s="2730"/>
      <c r="DDE1680" s="2730"/>
      <c r="DDF1680" s="2730"/>
      <c r="DDG1680" s="2730"/>
      <c r="DDH1680" s="2730"/>
      <c r="DDI1680" s="2730"/>
      <c r="DDJ1680" s="2730"/>
      <c r="DDK1680" s="2730"/>
      <c r="DDL1680" s="2730"/>
      <c r="DDM1680" s="2730"/>
      <c r="DDN1680" s="2730"/>
      <c r="DDO1680" s="2730"/>
      <c r="DDP1680" s="2730"/>
      <c r="DDQ1680" s="2730"/>
      <c r="DDR1680" s="2730"/>
      <c r="DDS1680" s="2730"/>
      <c r="DDT1680" s="2730"/>
      <c r="DDU1680" s="2730"/>
      <c r="DDV1680" s="2730"/>
      <c r="DDW1680" s="2730"/>
      <c r="DDX1680" s="2730"/>
      <c r="DDY1680" s="2730"/>
      <c r="DDZ1680" s="2730"/>
      <c r="DEA1680" s="2730"/>
      <c r="DEB1680" s="2730"/>
      <c r="DEC1680" s="2730"/>
      <c r="DED1680" s="2730"/>
      <c r="DEE1680" s="2730"/>
      <c r="DEF1680" s="2730"/>
      <c r="DEG1680" s="2730"/>
      <c r="DEH1680" s="2730"/>
      <c r="DEI1680" s="2730"/>
      <c r="DEJ1680" s="2730"/>
      <c r="DEK1680" s="2730"/>
      <c r="DEL1680" s="2730"/>
      <c r="DEM1680" s="2730"/>
      <c r="DEN1680" s="2730"/>
      <c r="DEO1680" s="2730"/>
      <c r="DEP1680" s="2730"/>
      <c r="DEQ1680" s="2730"/>
      <c r="DER1680" s="2730"/>
      <c r="DES1680" s="2730"/>
      <c r="DET1680" s="2730"/>
      <c r="DEU1680" s="2730"/>
      <c r="DEV1680" s="2730"/>
      <c r="DEW1680" s="2730"/>
      <c r="DEX1680" s="2730"/>
      <c r="DEY1680" s="2730"/>
      <c r="DEZ1680" s="2730"/>
      <c r="DFA1680" s="2730"/>
      <c r="DFB1680" s="2730"/>
      <c r="DFC1680" s="2730"/>
      <c r="DFD1680" s="2730"/>
      <c r="DFE1680" s="2730"/>
      <c r="DFF1680" s="2730"/>
      <c r="DFG1680" s="2730"/>
      <c r="DFH1680" s="2730"/>
      <c r="DFI1680" s="2730"/>
      <c r="DFJ1680" s="2730"/>
      <c r="DFK1680" s="2730"/>
      <c r="DFL1680" s="2730"/>
      <c r="DFM1680" s="2730"/>
      <c r="DFN1680" s="2730"/>
      <c r="DFO1680" s="2730"/>
      <c r="DFP1680" s="2730"/>
      <c r="DFQ1680" s="2730"/>
      <c r="DFR1680" s="2730"/>
      <c r="DFS1680" s="2730"/>
      <c r="DFT1680" s="2730"/>
      <c r="DFU1680" s="2730"/>
      <c r="DFV1680" s="2730"/>
      <c r="DFW1680" s="2730"/>
      <c r="DFX1680" s="2730"/>
      <c r="DFY1680" s="2730"/>
      <c r="DFZ1680" s="2730"/>
      <c r="DGA1680" s="2730"/>
      <c r="DGB1680" s="2730"/>
      <c r="DGC1680" s="2730"/>
      <c r="DGD1680" s="2730"/>
      <c r="DGE1680" s="2730"/>
      <c r="DGF1680" s="2730"/>
      <c r="DGG1680" s="2730"/>
      <c r="DGH1680" s="2730"/>
      <c r="DGI1680" s="2730"/>
      <c r="DGJ1680" s="2730"/>
      <c r="DGK1680" s="2730"/>
      <c r="DGL1680" s="2730"/>
      <c r="DGM1680" s="2730"/>
      <c r="DGN1680" s="2730"/>
      <c r="DGO1680" s="2730"/>
      <c r="DGP1680" s="2730"/>
      <c r="DGQ1680" s="2730"/>
      <c r="DGR1680" s="2730"/>
      <c r="DGS1680" s="2730"/>
      <c r="DGT1680" s="2730"/>
      <c r="DGU1680" s="2730"/>
      <c r="DGV1680" s="2730"/>
      <c r="DGW1680" s="2730"/>
      <c r="DGX1680" s="2730"/>
      <c r="DGY1680" s="2730"/>
      <c r="DGZ1680" s="2730"/>
      <c r="DHA1680" s="2730"/>
      <c r="DHB1680" s="2730"/>
      <c r="DHC1680" s="2730"/>
      <c r="DHD1680" s="2730"/>
      <c r="DHE1680" s="2730"/>
      <c r="DHF1680" s="2730"/>
      <c r="DHG1680" s="2730"/>
      <c r="DHH1680" s="2730"/>
      <c r="DHI1680" s="2730"/>
      <c r="DHJ1680" s="2730"/>
      <c r="DHK1680" s="2730"/>
      <c r="DHL1680" s="2730"/>
      <c r="DHM1680" s="2730"/>
      <c r="DHN1680" s="2730"/>
      <c r="DHO1680" s="2730"/>
      <c r="DHP1680" s="2730"/>
      <c r="DHQ1680" s="2730"/>
      <c r="DHR1680" s="2730"/>
      <c r="DHS1680" s="2730"/>
      <c r="DHT1680" s="2730"/>
      <c r="DHU1680" s="2730"/>
      <c r="DHV1680" s="2730"/>
      <c r="DHW1680" s="2730"/>
      <c r="DHX1680" s="2730"/>
      <c r="DHY1680" s="2730"/>
      <c r="DHZ1680" s="2730"/>
      <c r="DIA1680" s="2730"/>
      <c r="DIB1680" s="2730"/>
      <c r="DIC1680" s="2730"/>
      <c r="DID1680" s="2730"/>
      <c r="DIE1680" s="2730"/>
      <c r="DIF1680" s="2730"/>
      <c r="DIG1680" s="2730"/>
      <c r="DIH1680" s="2730"/>
      <c r="DII1680" s="2730"/>
      <c r="DIJ1680" s="2730"/>
      <c r="DIK1680" s="2730"/>
      <c r="DIL1680" s="2730"/>
      <c r="DIM1680" s="2730"/>
      <c r="DIN1680" s="2730"/>
      <c r="DIO1680" s="2730"/>
      <c r="DIP1680" s="2730"/>
      <c r="DIQ1680" s="2730"/>
      <c r="DIR1680" s="2730"/>
      <c r="DIS1680" s="2730"/>
      <c r="DIT1680" s="2730"/>
      <c r="DIU1680" s="2730"/>
      <c r="DIV1680" s="2730"/>
      <c r="DIW1680" s="2730"/>
      <c r="DIX1680" s="2730"/>
      <c r="DIY1680" s="2730"/>
      <c r="DIZ1680" s="2730"/>
      <c r="DJA1680" s="2730"/>
      <c r="DJB1680" s="2730"/>
      <c r="DJC1680" s="2730"/>
      <c r="DJD1680" s="2730"/>
      <c r="DJE1680" s="2730"/>
      <c r="DJF1680" s="2730"/>
      <c r="DJG1680" s="2730"/>
      <c r="DJH1680" s="2730"/>
      <c r="DJI1680" s="2730"/>
      <c r="DJJ1680" s="2730"/>
      <c r="DJK1680" s="2730"/>
      <c r="DJL1680" s="2730"/>
      <c r="DJM1680" s="2730"/>
      <c r="DJN1680" s="2730"/>
      <c r="DJO1680" s="2730"/>
      <c r="DJP1680" s="2730"/>
      <c r="DJQ1680" s="2730"/>
      <c r="DJR1680" s="2730"/>
      <c r="DJS1680" s="2730"/>
      <c r="DJT1680" s="2730"/>
      <c r="DJU1680" s="2730"/>
      <c r="DJV1680" s="2730"/>
      <c r="DJW1680" s="2730"/>
      <c r="DJX1680" s="2730"/>
      <c r="DJY1680" s="2730"/>
      <c r="DJZ1680" s="2730"/>
      <c r="DKA1680" s="2730"/>
      <c r="DKB1680" s="2730"/>
      <c r="DKC1680" s="2730"/>
      <c r="DKD1680" s="2730"/>
      <c r="DKE1680" s="2730"/>
      <c r="DKF1680" s="2730"/>
      <c r="DKG1680" s="2730"/>
      <c r="DKH1680" s="2730"/>
      <c r="DKI1680" s="2730"/>
      <c r="DKJ1680" s="2730"/>
      <c r="DKK1680" s="2730"/>
      <c r="DKL1680" s="2730"/>
      <c r="DKM1680" s="2730"/>
      <c r="DKN1680" s="2730"/>
      <c r="DKO1680" s="2730"/>
      <c r="DKP1680" s="2730"/>
      <c r="DKQ1680" s="2730"/>
      <c r="DKR1680" s="2730"/>
      <c r="DKS1680" s="2730"/>
      <c r="DKT1680" s="2730"/>
      <c r="DKU1680" s="2730"/>
      <c r="DKV1680" s="2730"/>
      <c r="DKW1680" s="2730"/>
      <c r="DKX1680" s="2730"/>
      <c r="DKY1680" s="2730"/>
      <c r="DKZ1680" s="2730"/>
      <c r="DLA1680" s="2730"/>
      <c r="DLB1680" s="2730"/>
      <c r="DLC1680" s="2730"/>
      <c r="DLD1680" s="2730"/>
      <c r="DLE1680" s="2730"/>
      <c r="DLF1680" s="2730"/>
      <c r="DLG1680" s="2730"/>
      <c r="DLH1680" s="2730"/>
      <c r="DLI1680" s="2730"/>
      <c r="DLJ1680" s="2730"/>
      <c r="DLK1680" s="2730"/>
      <c r="DLL1680" s="2730"/>
      <c r="DLM1680" s="2730"/>
      <c r="DLN1680" s="2730"/>
      <c r="DLO1680" s="2730"/>
      <c r="DLP1680" s="2730"/>
      <c r="DLQ1680" s="2730"/>
      <c r="DLR1680" s="2730"/>
      <c r="DLS1680" s="2730"/>
      <c r="DLT1680" s="2730"/>
      <c r="DLU1680" s="2730"/>
      <c r="DLV1680" s="2730"/>
      <c r="DLW1680" s="2730"/>
      <c r="DLX1680" s="2730"/>
      <c r="DLY1680" s="2730"/>
      <c r="DLZ1680" s="2730"/>
      <c r="DMA1680" s="2730"/>
      <c r="DMB1680" s="2730"/>
      <c r="DMC1680" s="2730"/>
      <c r="DMD1680" s="2730"/>
      <c r="DME1680" s="2730"/>
      <c r="DMF1680" s="2730"/>
      <c r="DMG1680" s="2730"/>
      <c r="DMH1680" s="2730"/>
      <c r="DMI1680" s="2730"/>
      <c r="DMJ1680" s="2730"/>
      <c r="DMK1680" s="2730"/>
      <c r="DML1680" s="2730"/>
      <c r="DMM1680" s="2730"/>
      <c r="DMN1680" s="2730"/>
      <c r="DMO1680" s="2730"/>
      <c r="DMP1680" s="2730"/>
      <c r="DMQ1680" s="2730"/>
      <c r="DMR1680" s="2730"/>
      <c r="DMS1680" s="2730"/>
      <c r="DMT1680" s="2730"/>
      <c r="DMU1680" s="2730"/>
      <c r="DMV1680" s="2730"/>
      <c r="DMW1680" s="2730"/>
      <c r="DMX1680" s="2730"/>
      <c r="DMY1680" s="2730"/>
      <c r="DMZ1680" s="2730"/>
      <c r="DNA1680" s="2730"/>
      <c r="DNB1680" s="2730"/>
      <c r="DNC1680" s="2730"/>
      <c r="DND1680" s="2730"/>
      <c r="DNE1680" s="2730"/>
      <c r="DNF1680" s="2730"/>
      <c r="DNG1680" s="2730"/>
      <c r="DNH1680" s="2730"/>
      <c r="DNI1680" s="2730"/>
      <c r="DNJ1680" s="2730"/>
      <c r="DNK1680" s="2730"/>
      <c r="DNL1680" s="2730"/>
      <c r="DNM1680" s="2730"/>
      <c r="DNN1680" s="2730"/>
      <c r="DNO1680" s="2730"/>
      <c r="DNP1680" s="2730"/>
      <c r="DNQ1680" s="2730"/>
      <c r="DNR1680" s="2730"/>
      <c r="DNS1680" s="2730"/>
      <c r="DNT1680" s="2730"/>
      <c r="DNU1680" s="2730"/>
      <c r="DNV1680" s="2730"/>
      <c r="DNW1680" s="2730"/>
      <c r="DNX1680" s="2730"/>
      <c r="DNY1680" s="2730"/>
      <c r="DNZ1680" s="2730"/>
      <c r="DOA1680" s="2730"/>
      <c r="DOB1680" s="2730"/>
      <c r="DOC1680" s="2730"/>
      <c r="DOD1680" s="2730"/>
      <c r="DOE1680" s="2730"/>
      <c r="DOF1680" s="2730"/>
      <c r="DOG1680" s="2730"/>
      <c r="DOH1680" s="2730"/>
      <c r="DOI1680" s="2730"/>
      <c r="DOJ1680" s="2730"/>
      <c r="DOK1680" s="2730"/>
      <c r="DOL1680" s="2730"/>
      <c r="DOM1680" s="2730"/>
      <c r="DON1680" s="2730"/>
      <c r="DOO1680" s="2730"/>
      <c r="DOP1680" s="2730"/>
      <c r="DOQ1680" s="2730"/>
      <c r="DOR1680" s="2730"/>
      <c r="DOS1680" s="2730"/>
      <c r="DOT1680" s="2730"/>
      <c r="DOU1680" s="2730"/>
      <c r="DOV1680" s="2730"/>
      <c r="DOW1680" s="2730"/>
      <c r="DOX1680" s="2730"/>
      <c r="DOY1680" s="2730"/>
      <c r="DOZ1680" s="2730"/>
      <c r="DPA1680" s="2730"/>
      <c r="DPB1680" s="2730"/>
      <c r="DPC1680" s="2730"/>
      <c r="DPD1680" s="2730"/>
      <c r="DPE1680" s="2730"/>
      <c r="DPF1680" s="2730"/>
      <c r="DPG1680" s="2730"/>
      <c r="DPH1680" s="2730"/>
      <c r="DPI1680" s="2730"/>
      <c r="DPJ1680" s="2730"/>
      <c r="DPK1680" s="2730"/>
      <c r="DPL1680" s="2730"/>
      <c r="DPM1680" s="2730"/>
      <c r="DPN1680" s="2730"/>
      <c r="DPO1680" s="2730"/>
      <c r="DPP1680" s="2730"/>
      <c r="DPQ1680" s="2730"/>
      <c r="DPR1680" s="2730"/>
      <c r="DPS1680" s="2730"/>
      <c r="DPT1680" s="2730"/>
      <c r="DPU1680" s="2730"/>
      <c r="DPV1680" s="2730"/>
      <c r="DPW1680" s="2730"/>
      <c r="DPX1680" s="2730"/>
      <c r="DPY1680" s="2730"/>
      <c r="DPZ1680" s="2730"/>
      <c r="DQA1680" s="2730"/>
      <c r="DQB1680" s="2730"/>
      <c r="DQC1680" s="2730"/>
      <c r="DQD1680" s="2730"/>
      <c r="DQE1680" s="2730"/>
      <c r="DQF1680" s="2730"/>
      <c r="DQG1680" s="2730"/>
      <c r="DQH1680" s="2730"/>
      <c r="DQI1680" s="2730"/>
      <c r="DQJ1680" s="2730"/>
      <c r="DQK1680" s="2730"/>
      <c r="DQL1680" s="2730"/>
      <c r="DQM1680" s="2730"/>
      <c r="DQN1680" s="2730"/>
      <c r="DQO1680" s="2730"/>
      <c r="DQP1680" s="2730"/>
      <c r="DQQ1680" s="2730"/>
      <c r="DQR1680" s="2730"/>
      <c r="DQS1680" s="2730"/>
      <c r="DQT1680" s="2730"/>
      <c r="DQU1680" s="2730"/>
      <c r="DQV1680" s="2730"/>
      <c r="DQW1680" s="2730"/>
      <c r="DQX1680" s="2730"/>
      <c r="DQY1680" s="2730"/>
      <c r="DQZ1680" s="2730"/>
      <c r="DRA1680" s="2730"/>
      <c r="DRB1680" s="2730"/>
      <c r="DRC1680" s="2730"/>
      <c r="DRD1680" s="2730"/>
      <c r="DRE1680" s="2730"/>
      <c r="DRF1680" s="2730"/>
      <c r="DRG1680" s="2730"/>
      <c r="DRH1680" s="2730"/>
      <c r="DRI1680" s="2730"/>
      <c r="DRJ1680" s="2730"/>
      <c r="DRK1680" s="2730"/>
      <c r="DRL1680" s="2730"/>
      <c r="DRM1680" s="2730"/>
      <c r="DRN1680" s="2730"/>
      <c r="DRO1680" s="2730"/>
      <c r="DRP1680" s="2730"/>
      <c r="DRQ1680" s="2730"/>
      <c r="DRR1680" s="2730"/>
      <c r="DRS1680" s="2730"/>
      <c r="DRT1680" s="2730"/>
      <c r="DRU1680" s="2730"/>
      <c r="DRV1680" s="2730"/>
      <c r="DRW1680" s="2730"/>
      <c r="DRX1680" s="2730"/>
      <c r="DRY1680" s="2730"/>
      <c r="DRZ1680" s="2730"/>
      <c r="DSA1680" s="2730"/>
      <c r="DSB1680" s="2730"/>
      <c r="DSC1680" s="2730"/>
      <c r="DSD1680" s="2730"/>
      <c r="DSE1680" s="2730"/>
      <c r="DSF1680" s="2730"/>
      <c r="DSG1680" s="2730"/>
      <c r="DSH1680" s="2730"/>
      <c r="DSI1680" s="2730"/>
      <c r="DSJ1680" s="2730"/>
      <c r="DSK1680" s="2730"/>
      <c r="DSL1680" s="2730"/>
      <c r="DSM1680" s="2730"/>
      <c r="DSN1680" s="2730"/>
      <c r="DSO1680" s="2730"/>
      <c r="DSP1680" s="2730"/>
      <c r="DSQ1680" s="2730"/>
      <c r="DSR1680" s="2730"/>
      <c r="DSS1680" s="2730"/>
      <c r="DST1680" s="2730"/>
      <c r="DSU1680" s="2730"/>
      <c r="DSV1680" s="2730"/>
      <c r="DSW1680" s="2730"/>
      <c r="DSX1680" s="2730"/>
      <c r="DSY1680" s="2730"/>
      <c r="DSZ1680" s="2730"/>
      <c r="DTA1680" s="2730"/>
      <c r="DTB1680" s="2730"/>
      <c r="DTC1680" s="2730"/>
      <c r="DTD1680" s="2730"/>
      <c r="DTE1680" s="2730"/>
      <c r="DTF1680" s="2730"/>
      <c r="DTG1680" s="2730"/>
      <c r="DTH1680" s="2730"/>
      <c r="DTI1680" s="2730"/>
      <c r="DTJ1680" s="2730"/>
      <c r="DTK1680" s="2730"/>
      <c r="DTL1680" s="2730"/>
      <c r="DTM1680" s="2730"/>
      <c r="DTN1680" s="2730"/>
      <c r="DTO1680" s="2730"/>
      <c r="DTP1680" s="2730"/>
      <c r="DTQ1680" s="2730"/>
      <c r="DTR1680" s="2730"/>
      <c r="DTS1680" s="2730"/>
      <c r="DTT1680" s="2730"/>
      <c r="DTU1680" s="2730"/>
      <c r="DTV1680" s="2730"/>
      <c r="DTW1680" s="2730"/>
      <c r="DTX1680" s="2730"/>
      <c r="DTY1680" s="2730"/>
      <c r="DTZ1680" s="2730"/>
      <c r="DUA1680" s="2730"/>
      <c r="DUB1680" s="2730"/>
      <c r="DUC1680" s="2730"/>
      <c r="DUD1680" s="2730"/>
      <c r="DUE1680" s="2730"/>
      <c r="DUF1680" s="2730"/>
      <c r="DUG1680" s="2730"/>
      <c r="DUH1680" s="2730"/>
      <c r="DUI1680" s="2730"/>
      <c r="DUJ1680" s="2730"/>
      <c r="DUK1680" s="2730"/>
      <c r="DUL1680" s="2730"/>
      <c r="DUM1680" s="2730"/>
      <c r="DUN1680" s="2730"/>
      <c r="DUO1680" s="2730"/>
      <c r="DUP1680" s="2730"/>
      <c r="DUQ1680" s="2730"/>
      <c r="DUR1680" s="2730"/>
      <c r="DUS1680" s="2730"/>
      <c r="DUT1680" s="2730"/>
      <c r="DUU1680" s="2730"/>
      <c r="DUV1680" s="2730"/>
      <c r="DUW1680" s="2730"/>
      <c r="DUX1680" s="2730"/>
      <c r="DUY1680" s="2730"/>
      <c r="DUZ1680" s="2730"/>
      <c r="DVA1680" s="2730"/>
      <c r="DVB1680" s="2730"/>
      <c r="DVC1680" s="2730"/>
      <c r="DVD1680" s="2730"/>
      <c r="DVE1680" s="2730"/>
      <c r="DVF1680" s="2730"/>
      <c r="DVG1680" s="2730"/>
      <c r="DVH1680" s="2730"/>
      <c r="DVI1680" s="2730"/>
      <c r="DVJ1680" s="2730"/>
      <c r="DVK1680" s="2730"/>
      <c r="DVL1680" s="2730"/>
      <c r="DVM1680" s="2730"/>
      <c r="DVN1680" s="2730"/>
      <c r="DVO1680" s="2730"/>
      <c r="DVP1680" s="2730"/>
      <c r="DVQ1680" s="2730"/>
      <c r="DVR1680" s="2730"/>
      <c r="DVS1680" s="2730"/>
      <c r="DVT1680" s="2730"/>
      <c r="DVU1680" s="2730"/>
      <c r="DVV1680" s="2730"/>
      <c r="DVW1680" s="2730"/>
      <c r="DVX1680" s="2730"/>
      <c r="DVY1680" s="2730"/>
      <c r="DVZ1680" s="2730"/>
      <c r="DWA1680" s="2730"/>
      <c r="DWB1680" s="2730"/>
      <c r="DWC1680" s="2730"/>
      <c r="DWD1680" s="2730"/>
      <c r="DWE1680" s="2730"/>
      <c r="DWF1680" s="2730"/>
      <c r="DWG1680" s="2730"/>
      <c r="DWH1680" s="2730"/>
      <c r="DWI1680" s="2730"/>
      <c r="DWJ1680" s="2730"/>
      <c r="DWK1680" s="2730"/>
      <c r="DWL1680" s="2730"/>
      <c r="DWM1680" s="2730"/>
      <c r="DWN1680" s="2730"/>
      <c r="DWO1680" s="2730"/>
      <c r="DWP1680" s="2730"/>
      <c r="DWQ1680" s="2730"/>
      <c r="DWR1680" s="2730"/>
      <c r="DWS1680" s="2730"/>
      <c r="DWT1680" s="2730"/>
      <c r="DWU1680" s="2730"/>
      <c r="DWV1680" s="2730"/>
      <c r="DWW1680" s="2730"/>
      <c r="DWX1680" s="2730"/>
      <c r="DWY1680" s="2730"/>
      <c r="DWZ1680" s="2730"/>
      <c r="DXA1680" s="2730"/>
      <c r="DXB1680" s="2730"/>
      <c r="DXC1680" s="2730"/>
      <c r="DXD1680" s="2730"/>
      <c r="DXE1680" s="2730"/>
      <c r="DXF1680" s="2730"/>
      <c r="DXG1680" s="2730"/>
      <c r="DXH1680" s="2730"/>
      <c r="DXI1680" s="2730"/>
      <c r="DXJ1680" s="2730"/>
      <c r="DXK1680" s="2730"/>
      <c r="DXL1680" s="2730"/>
      <c r="DXM1680" s="2730"/>
      <c r="DXN1680" s="2730"/>
      <c r="DXO1680" s="2730"/>
      <c r="DXP1680" s="2730"/>
      <c r="DXQ1680" s="2730"/>
      <c r="DXR1680" s="2730"/>
      <c r="DXS1680" s="2730"/>
      <c r="DXT1680" s="2730"/>
      <c r="DXU1680" s="2730"/>
      <c r="DXV1680" s="2730"/>
      <c r="DXW1680" s="2730"/>
      <c r="DXX1680" s="2730"/>
      <c r="DXY1680" s="2730"/>
      <c r="DXZ1680" s="2730"/>
      <c r="DYA1680" s="2730"/>
      <c r="DYB1680" s="2730"/>
      <c r="DYC1680" s="2730"/>
      <c r="DYD1680" s="2730"/>
      <c r="DYE1680" s="2730"/>
      <c r="DYF1680" s="2730"/>
      <c r="DYG1680" s="2730"/>
      <c r="DYH1680" s="2730"/>
      <c r="DYI1680" s="2730"/>
      <c r="DYJ1680" s="2730"/>
      <c r="DYK1680" s="2730"/>
      <c r="DYL1680" s="2730"/>
      <c r="DYM1680" s="2730"/>
      <c r="DYN1680" s="2730"/>
      <c r="DYO1680" s="2730"/>
      <c r="DYP1680" s="2730"/>
      <c r="DYQ1680" s="2730"/>
      <c r="DYR1680" s="2730"/>
      <c r="DYS1680" s="2730"/>
      <c r="DYT1680" s="2730"/>
      <c r="DYU1680" s="2730"/>
      <c r="DYV1680" s="2730"/>
      <c r="DYW1680" s="2730"/>
      <c r="DYX1680" s="2730"/>
      <c r="DYY1680" s="2730"/>
      <c r="DYZ1680" s="2730"/>
      <c r="DZA1680" s="2730"/>
      <c r="DZB1680" s="2730"/>
      <c r="DZC1680" s="2730"/>
      <c r="DZD1680" s="2730"/>
      <c r="DZE1680" s="2730"/>
      <c r="DZF1680" s="2730"/>
      <c r="DZG1680" s="2730"/>
      <c r="DZH1680" s="2730"/>
      <c r="DZI1680" s="2730"/>
      <c r="DZJ1680" s="2730"/>
      <c r="DZK1680" s="2730"/>
      <c r="DZL1680" s="2730"/>
      <c r="DZM1680" s="2730"/>
      <c r="DZN1680" s="2730"/>
      <c r="DZO1680" s="2730"/>
      <c r="DZP1680" s="2730"/>
      <c r="DZQ1680" s="2730"/>
      <c r="DZR1680" s="2730"/>
      <c r="DZS1680" s="2730"/>
      <c r="DZT1680" s="2730"/>
      <c r="DZU1680" s="2730"/>
      <c r="DZV1680" s="2730"/>
      <c r="DZW1680" s="2730"/>
      <c r="DZX1680" s="2730"/>
      <c r="DZY1680" s="2730"/>
      <c r="DZZ1680" s="2730"/>
      <c r="EAA1680" s="2730"/>
      <c r="EAB1680" s="2730"/>
      <c r="EAC1680" s="2730"/>
      <c r="EAD1680" s="2730"/>
      <c r="EAE1680" s="2730"/>
      <c r="EAF1680" s="2730"/>
      <c r="EAG1680" s="2730"/>
      <c r="EAH1680" s="2730"/>
      <c r="EAI1680" s="2730"/>
      <c r="EAJ1680" s="2730"/>
      <c r="EAK1680" s="2730"/>
      <c r="EAL1680" s="2730"/>
      <c r="EAM1680" s="2730"/>
      <c r="EAN1680" s="2730"/>
      <c r="EAO1680" s="2730"/>
      <c r="EAP1680" s="2730"/>
      <c r="EAQ1680" s="2730"/>
      <c r="EAR1680" s="2730"/>
      <c r="EAS1680" s="2730"/>
      <c r="EAT1680" s="2730"/>
      <c r="EAU1680" s="2730"/>
      <c r="EAV1680" s="2730"/>
      <c r="EAW1680" s="2730"/>
      <c r="EAX1680" s="2730"/>
      <c r="EAY1680" s="2730"/>
      <c r="EAZ1680" s="2730"/>
      <c r="EBA1680" s="2730"/>
      <c r="EBB1680" s="2730"/>
      <c r="EBC1680" s="2730"/>
      <c r="EBD1680" s="2730"/>
      <c r="EBE1680" s="2730"/>
      <c r="EBF1680" s="2730"/>
      <c r="EBG1680" s="2730"/>
      <c r="EBH1680" s="2730"/>
      <c r="EBI1680" s="2730"/>
      <c r="EBJ1680" s="2730"/>
      <c r="EBK1680" s="2730"/>
      <c r="EBL1680" s="2730"/>
      <c r="EBM1680" s="2730"/>
      <c r="EBN1680" s="2730"/>
      <c r="EBO1680" s="2730"/>
      <c r="EBP1680" s="2730"/>
      <c r="EBQ1680" s="2730"/>
      <c r="EBR1680" s="2730"/>
      <c r="EBS1680" s="2730"/>
      <c r="EBT1680" s="2730"/>
      <c r="EBU1680" s="2730"/>
      <c r="EBV1680" s="2730"/>
      <c r="EBW1680" s="2730"/>
      <c r="EBX1680" s="2730"/>
      <c r="EBY1680" s="2730"/>
      <c r="EBZ1680" s="2730"/>
      <c r="ECA1680" s="2730"/>
      <c r="ECB1680" s="2730"/>
      <c r="ECC1680" s="2730"/>
      <c r="ECD1680" s="2730"/>
      <c r="ECE1680" s="2730"/>
      <c r="ECF1680" s="2730"/>
      <c r="ECG1680" s="2730"/>
      <c r="ECH1680" s="2730"/>
      <c r="ECI1680" s="2730"/>
      <c r="ECJ1680" s="2730"/>
      <c r="ECK1680" s="2730"/>
      <c r="ECL1680" s="2730"/>
      <c r="ECM1680" s="2730"/>
      <c r="ECN1680" s="2730"/>
      <c r="ECO1680" s="2730"/>
      <c r="ECP1680" s="2730"/>
      <c r="ECQ1680" s="2730"/>
      <c r="ECR1680" s="2730"/>
      <c r="ECS1680" s="2730"/>
      <c r="ECT1680" s="2730"/>
      <c r="ECU1680" s="2730"/>
      <c r="ECV1680" s="2730"/>
      <c r="ECW1680" s="2730"/>
      <c r="ECX1680" s="2730"/>
      <c r="ECY1680" s="2730"/>
      <c r="ECZ1680" s="2730"/>
      <c r="EDA1680" s="2730"/>
      <c r="EDB1680" s="2730"/>
      <c r="EDC1680" s="2730"/>
      <c r="EDD1680" s="2730"/>
      <c r="EDE1680" s="2730"/>
      <c r="EDF1680" s="2730"/>
      <c r="EDG1680" s="2730"/>
      <c r="EDH1680" s="2730"/>
      <c r="EDI1680" s="2730"/>
      <c r="EDJ1680" s="2730"/>
      <c r="EDK1680" s="2730"/>
      <c r="EDL1680" s="2730"/>
      <c r="EDM1680" s="2730"/>
      <c r="EDN1680" s="2730"/>
      <c r="EDO1680" s="2730"/>
      <c r="EDP1680" s="2730"/>
      <c r="EDQ1680" s="2730"/>
      <c r="EDR1680" s="2730"/>
      <c r="EDS1680" s="2730"/>
      <c r="EDT1680" s="2730"/>
      <c r="EDU1680" s="2730"/>
      <c r="EDV1680" s="2730"/>
      <c r="EDW1680" s="2730"/>
      <c r="EDX1680" s="2730"/>
      <c r="EDY1680" s="2730"/>
      <c r="EDZ1680" s="2730"/>
      <c r="EEA1680" s="2730"/>
      <c r="EEB1680" s="2730"/>
      <c r="EEC1680" s="2730"/>
      <c r="EED1680" s="2730"/>
      <c r="EEE1680" s="2730"/>
      <c r="EEF1680" s="2730"/>
      <c r="EEG1680" s="2730"/>
      <c r="EEH1680" s="2730"/>
      <c r="EEI1680" s="2730"/>
      <c r="EEJ1680" s="2730"/>
      <c r="EEK1680" s="2730"/>
      <c r="EEL1680" s="2730"/>
      <c r="EEM1680" s="2730"/>
      <c r="EEN1680" s="2730"/>
      <c r="EEO1680" s="2730"/>
      <c r="EEP1680" s="2730"/>
      <c r="EEQ1680" s="2730"/>
      <c r="EER1680" s="2730"/>
      <c r="EES1680" s="2730"/>
      <c r="EET1680" s="2730"/>
      <c r="EEU1680" s="2730"/>
      <c r="EEV1680" s="2730"/>
      <c r="EEW1680" s="2730"/>
      <c r="EEX1680" s="2730"/>
      <c r="EEY1680" s="2730"/>
      <c r="EEZ1680" s="2730"/>
      <c r="EFA1680" s="2730"/>
      <c r="EFB1680" s="2730"/>
      <c r="EFC1680" s="2730"/>
      <c r="EFD1680" s="2730"/>
      <c r="EFE1680" s="2730"/>
      <c r="EFF1680" s="2730"/>
      <c r="EFG1680" s="2730"/>
      <c r="EFH1680" s="2730"/>
      <c r="EFI1680" s="2730"/>
      <c r="EFJ1680" s="2730"/>
      <c r="EFK1680" s="2730"/>
      <c r="EFL1680" s="2730"/>
      <c r="EFM1680" s="2730"/>
      <c r="EFN1680" s="2730"/>
      <c r="EFO1680" s="2730"/>
      <c r="EFP1680" s="2730"/>
      <c r="EFQ1680" s="2730"/>
      <c r="EFR1680" s="2730"/>
      <c r="EFS1680" s="2730"/>
      <c r="EFT1680" s="2730"/>
      <c r="EFU1680" s="2730"/>
      <c r="EFV1680" s="2730"/>
      <c r="EFW1680" s="2730"/>
      <c r="EFX1680" s="2730"/>
      <c r="EFY1680" s="2730"/>
      <c r="EFZ1680" s="2730"/>
      <c r="EGA1680" s="2730"/>
      <c r="EGB1680" s="2730"/>
      <c r="EGC1680" s="2730"/>
      <c r="EGD1680" s="2730"/>
      <c r="EGE1680" s="2730"/>
      <c r="EGF1680" s="2730"/>
      <c r="EGG1680" s="2730"/>
      <c r="EGH1680" s="2730"/>
      <c r="EGI1680" s="2730"/>
      <c r="EGJ1680" s="2730"/>
      <c r="EGK1680" s="2730"/>
      <c r="EGL1680" s="2730"/>
      <c r="EGM1680" s="2730"/>
      <c r="EGN1680" s="2730"/>
      <c r="EGO1680" s="2730"/>
      <c r="EGP1680" s="2730"/>
      <c r="EGQ1680" s="2730"/>
      <c r="EGR1680" s="2730"/>
      <c r="EGS1680" s="2730"/>
      <c r="EGT1680" s="2730"/>
      <c r="EGU1680" s="2730"/>
      <c r="EGV1680" s="2730"/>
      <c r="EGW1680" s="2730"/>
      <c r="EGX1680" s="2730"/>
      <c r="EGY1680" s="2730"/>
      <c r="EGZ1680" s="2730"/>
      <c r="EHA1680" s="2730"/>
      <c r="EHB1680" s="2730"/>
      <c r="EHC1680" s="2730"/>
      <c r="EHD1680" s="2730"/>
      <c r="EHE1680" s="2730"/>
      <c r="EHF1680" s="2730"/>
      <c r="EHG1680" s="2730"/>
      <c r="EHH1680" s="2730"/>
      <c r="EHI1680" s="2730"/>
      <c r="EHJ1680" s="2730"/>
      <c r="EHK1680" s="2730"/>
      <c r="EHL1680" s="2730"/>
      <c r="EHM1680" s="2730"/>
      <c r="EHN1680" s="2730"/>
      <c r="EHO1680" s="2730"/>
      <c r="EHP1680" s="2730"/>
      <c r="EHQ1680" s="2730"/>
      <c r="EHR1680" s="2730"/>
      <c r="EHS1680" s="2730"/>
      <c r="EHT1680" s="2730"/>
      <c r="EHU1680" s="2730"/>
      <c r="EHV1680" s="2730"/>
      <c r="EHW1680" s="2730"/>
      <c r="EHX1680" s="2730"/>
      <c r="EHY1680" s="2730"/>
      <c r="EHZ1680" s="2730"/>
      <c r="EIA1680" s="2730"/>
      <c r="EIB1680" s="2730"/>
      <c r="EIC1680" s="2730"/>
      <c r="EID1680" s="2730"/>
      <c r="EIE1680" s="2730"/>
      <c r="EIF1680" s="2730"/>
      <c r="EIG1680" s="2730"/>
      <c r="EIH1680" s="2730"/>
      <c r="EII1680" s="2730"/>
      <c r="EIJ1680" s="2730"/>
      <c r="EIK1680" s="2730"/>
      <c r="EIL1680" s="2730"/>
      <c r="EIM1680" s="2730"/>
      <c r="EIN1680" s="2730"/>
      <c r="EIO1680" s="2730"/>
      <c r="EIP1680" s="2730"/>
      <c r="EIQ1680" s="2730"/>
      <c r="EIR1680" s="2730"/>
      <c r="EIS1680" s="2730"/>
      <c r="EIT1680" s="2730"/>
      <c r="EIU1680" s="2730"/>
      <c r="EIV1680" s="2730"/>
      <c r="EIW1680" s="2730"/>
      <c r="EIX1680" s="2730"/>
      <c r="EIY1680" s="2730"/>
      <c r="EIZ1680" s="2730"/>
      <c r="EJA1680" s="2730"/>
      <c r="EJB1680" s="2730"/>
      <c r="EJC1680" s="2730"/>
      <c r="EJD1680" s="2730"/>
      <c r="EJE1680" s="2730"/>
      <c r="EJF1680" s="2730"/>
      <c r="EJG1680" s="2730"/>
      <c r="EJH1680" s="2730"/>
      <c r="EJI1680" s="2730"/>
      <c r="EJJ1680" s="2730"/>
      <c r="EJK1680" s="2730"/>
      <c r="EJL1680" s="2730"/>
      <c r="EJM1680" s="2730"/>
      <c r="EJN1680" s="2730"/>
      <c r="EJO1680" s="2730"/>
      <c r="EJP1680" s="2730"/>
      <c r="EJQ1680" s="2730"/>
      <c r="EJR1680" s="2730"/>
      <c r="EJS1680" s="2730"/>
      <c r="EJT1680" s="2730"/>
      <c r="EJU1680" s="2730"/>
      <c r="EJV1680" s="2730"/>
      <c r="EJW1680" s="2730"/>
      <c r="EJX1680" s="2730"/>
      <c r="EJY1680" s="2730"/>
      <c r="EJZ1680" s="2730"/>
      <c r="EKA1680" s="2730"/>
      <c r="EKB1680" s="2730"/>
      <c r="EKC1680" s="2730"/>
      <c r="EKD1680" s="2730"/>
      <c r="EKE1680" s="2730"/>
      <c r="EKF1680" s="2730"/>
      <c r="EKG1680" s="2730"/>
      <c r="EKH1680" s="2730"/>
      <c r="EKI1680" s="2730"/>
      <c r="EKJ1680" s="2730"/>
      <c r="EKK1680" s="2730"/>
      <c r="EKL1680" s="2730"/>
      <c r="EKM1680" s="2730"/>
      <c r="EKN1680" s="2730"/>
      <c r="EKO1680" s="2730"/>
      <c r="EKP1680" s="2730"/>
      <c r="EKQ1680" s="2730"/>
      <c r="EKR1680" s="2730"/>
      <c r="EKS1680" s="2730"/>
      <c r="EKT1680" s="2730"/>
      <c r="EKU1680" s="2730"/>
      <c r="EKV1680" s="2730"/>
      <c r="EKW1680" s="2730"/>
      <c r="EKX1680" s="2730"/>
      <c r="EKY1680" s="2730"/>
      <c r="EKZ1680" s="2730"/>
      <c r="ELA1680" s="2730"/>
      <c r="ELB1680" s="2730"/>
      <c r="ELC1680" s="2730"/>
      <c r="ELD1680" s="2730"/>
      <c r="ELE1680" s="2730"/>
      <c r="ELF1680" s="2730"/>
      <c r="ELG1680" s="2730"/>
      <c r="ELH1680" s="2730"/>
      <c r="ELI1680" s="2730"/>
      <c r="ELJ1680" s="2730"/>
      <c r="ELK1680" s="2730"/>
      <c r="ELL1680" s="2730"/>
      <c r="ELM1680" s="2730"/>
      <c r="ELN1680" s="2730"/>
      <c r="ELO1680" s="2730"/>
      <c r="ELP1680" s="2730"/>
      <c r="ELQ1680" s="2730"/>
      <c r="ELR1680" s="2730"/>
      <c r="ELS1680" s="2730"/>
      <c r="ELT1680" s="2730"/>
      <c r="ELU1680" s="2730"/>
      <c r="ELV1680" s="2730"/>
      <c r="ELW1680" s="2730"/>
      <c r="ELX1680" s="2730"/>
      <c r="ELY1680" s="2730"/>
      <c r="ELZ1680" s="2730"/>
      <c r="EMA1680" s="2730"/>
      <c r="EMB1680" s="2730"/>
      <c r="EMC1680" s="2730"/>
      <c r="EMD1680" s="2730"/>
      <c r="EME1680" s="2730"/>
      <c r="EMF1680" s="2730"/>
      <c r="EMG1680" s="2730"/>
      <c r="EMH1680" s="2730"/>
      <c r="EMI1680" s="2730"/>
      <c r="EMJ1680" s="2730"/>
      <c r="EMK1680" s="2730"/>
      <c r="EML1680" s="2730"/>
      <c r="EMM1680" s="2730"/>
      <c r="EMN1680" s="2730"/>
      <c r="EMO1680" s="2730"/>
      <c r="EMP1680" s="2730"/>
      <c r="EMQ1680" s="2730"/>
      <c r="EMR1680" s="2730"/>
      <c r="EMS1680" s="2730"/>
      <c r="EMT1680" s="2730"/>
      <c r="EMU1680" s="2730"/>
      <c r="EMV1680" s="2730"/>
      <c r="EMW1680" s="2730"/>
      <c r="EMX1680" s="2730"/>
      <c r="EMY1680" s="2730"/>
      <c r="EMZ1680" s="2730"/>
      <c r="ENA1680" s="2730"/>
      <c r="ENB1680" s="2730"/>
      <c r="ENC1680" s="2730"/>
      <c r="END1680" s="2730"/>
      <c r="ENE1680" s="2730"/>
      <c r="ENF1680" s="2730"/>
      <c r="ENG1680" s="2730"/>
      <c r="ENH1680" s="2730"/>
      <c r="ENI1680" s="2730"/>
      <c r="ENJ1680" s="2730"/>
      <c r="ENK1680" s="2730"/>
      <c r="ENL1680" s="2730"/>
      <c r="ENM1680" s="2730"/>
      <c r="ENN1680" s="2730"/>
      <c r="ENO1680" s="2730"/>
      <c r="ENP1680" s="2730"/>
      <c r="ENQ1680" s="2730"/>
      <c r="ENR1680" s="2730"/>
      <c r="ENS1680" s="2730"/>
      <c r="ENT1680" s="2730"/>
      <c r="ENU1680" s="2730"/>
      <c r="ENV1680" s="2730"/>
      <c r="ENW1680" s="2730"/>
      <c r="ENX1680" s="2730"/>
      <c r="ENY1680" s="2730"/>
      <c r="ENZ1680" s="2730"/>
      <c r="EOA1680" s="2730"/>
      <c r="EOB1680" s="2730"/>
      <c r="EOC1680" s="2730"/>
      <c r="EOD1680" s="2730"/>
      <c r="EOE1680" s="2730"/>
      <c r="EOF1680" s="2730"/>
      <c r="EOG1680" s="2730"/>
      <c r="EOH1680" s="2730"/>
      <c r="EOI1680" s="2730"/>
      <c r="EOJ1680" s="2730"/>
      <c r="EOK1680" s="2730"/>
      <c r="EOL1680" s="2730"/>
      <c r="EOM1680" s="2730"/>
      <c r="EON1680" s="2730"/>
      <c r="EOO1680" s="2730"/>
      <c r="EOP1680" s="2730"/>
      <c r="EOQ1680" s="2730"/>
      <c r="EOR1680" s="2730"/>
      <c r="EOS1680" s="2730"/>
      <c r="EOT1680" s="2730"/>
      <c r="EOU1680" s="2730"/>
      <c r="EOV1680" s="2730"/>
      <c r="EOW1680" s="2730"/>
      <c r="EOX1680" s="2730"/>
      <c r="EOY1680" s="2730"/>
      <c r="EOZ1680" s="2730"/>
      <c r="EPA1680" s="2730"/>
      <c r="EPB1680" s="2730"/>
      <c r="EPC1680" s="2730"/>
      <c r="EPD1680" s="2730"/>
      <c r="EPE1680" s="2730"/>
      <c r="EPF1680" s="2730"/>
      <c r="EPG1680" s="2730"/>
      <c r="EPH1680" s="2730"/>
      <c r="EPI1680" s="2730"/>
      <c r="EPJ1680" s="2730"/>
      <c r="EPK1680" s="2730"/>
      <c r="EPL1680" s="2730"/>
      <c r="EPM1680" s="2730"/>
      <c r="EPN1680" s="2730"/>
      <c r="EPO1680" s="2730"/>
      <c r="EPP1680" s="2730"/>
      <c r="EPQ1680" s="2730"/>
      <c r="EPR1680" s="2730"/>
      <c r="EPS1680" s="2730"/>
      <c r="EPT1680" s="2730"/>
      <c r="EPU1680" s="2730"/>
      <c r="EPV1680" s="2730"/>
      <c r="EPW1680" s="2730"/>
      <c r="EPX1680" s="2730"/>
      <c r="EPY1680" s="2730"/>
      <c r="EPZ1680" s="2730"/>
      <c r="EQA1680" s="2730"/>
      <c r="EQB1680" s="2730"/>
      <c r="EQC1680" s="2730"/>
      <c r="EQD1680" s="2730"/>
      <c r="EQE1680" s="2730"/>
      <c r="EQF1680" s="2730"/>
      <c r="EQG1680" s="2730"/>
      <c r="EQH1680" s="2730"/>
      <c r="EQI1680" s="2730"/>
      <c r="EQJ1680" s="2730"/>
      <c r="EQK1680" s="2730"/>
      <c r="EQL1680" s="2730"/>
      <c r="EQM1680" s="2730"/>
      <c r="EQN1680" s="2730"/>
      <c r="EQO1680" s="2730"/>
      <c r="EQP1680" s="2730"/>
      <c r="EQQ1680" s="2730"/>
      <c r="EQR1680" s="2730"/>
      <c r="EQS1680" s="2730"/>
      <c r="EQT1680" s="2730"/>
      <c r="EQU1680" s="2730"/>
      <c r="EQV1680" s="2730"/>
      <c r="EQW1680" s="2730"/>
      <c r="EQX1680" s="2730"/>
      <c r="EQY1680" s="2730"/>
      <c r="EQZ1680" s="2730"/>
      <c r="ERA1680" s="2730"/>
      <c r="ERB1680" s="2730"/>
      <c r="ERC1680" s="2730"/>
      <c r="ERD1680" s="2730"/>
      <c r="ERE1680" s="2730"/>
      <c r="ERF1680" s="2730"/>
      <c r="ERG1680" s="2730"/>
      <c r="ERH1680" s="2730"/>
      <c r="ERI1680" s="2730"/>
      <c r="ERJ1680" s="2730"/>
      <c r="ERK1680" s="2730"/>
      <c r="ERL1680" s="2730"/>
      <c r="ERM1680" s="2730"/>
      <c r="ERN1680" s="2730"/>
      <c r="ERO1680" s="2730"/>
      <c r="ERP1680" s="2730"/>
      <c r="ERQ1680" s="2730"/>
      <c r="ERR1680" s="2730"/>
      <c r="ERS1680" s="2730"/>
      <c r="ERT1680" s="2730"/>
      <c r="ERU1680" s="2730"/>
      <c r="ERV1680" s="2730"/>
      <c r="ERW1680" s="2730"/>
      <c r="ERX1680" s="2730"/>
      <c r="ERY1680" s="2730"/>
      <c r="ERZ1680" s="2730"/>
      <c r="ESA1680" s="2730"/>
      <c r="ESB1680" s="2730"/>
      <c r="ESC1680" s="2730"/>
      <c r="ESD1680" s="2730"/>
      <c r="ESE1680" s="2730"/>
      <c r="ESF1680" s="2730"/>
      <c r="ESG1680" s="2730"/>
      <c r="ESH1680" s="2730"/>
      <c r="ESI1680" s="2730"/>
      <c r="ESJ1680" s="2730"/>
      <c r="ESK1680" s="2730"/>
      <c r="ESL1680" s="2730"/>
      <c r="ESM1680" s="2730"/>
      <c r="ESN1680" s="2730"/>
      <c r="ESO1680" s="2730"/>
      <c r="ESP1680" s="2730"/>
      <c r="ESQ1680" s="2730"/>
      <c r="ESR1680" s="2730"/>
      <c r="ESS1680" s="2730"/>
      <c r="EST1680" s="2730"/>
      <c r="ESU1680" s="2730"/>
      <c r="ESV1680" s="2730"/>
      <c r="ESW1680" s="2730"/>
      <c r="ESX1680" s="2730"/>
      <c r="ESY1680" s="2730"/>
      <c r="ESZ1680" s="2730"/>
      <c r="ETA1680" s="2730"/>
      <c r="ETB1680" s="2730"/>
      <c r="ETC1680" s="2730"/>
      <c r="ETD1680" s="2730"/>
      <c r="ETE1680" s="2730"/>
      <c r="ETF1680" s="2730"/>
      <c r="ETG1680" s="2730"/>
      <c r="ETH1680" s="2730"/>
      <c r="ETI1680" s="2730"/>
      <c r="ETJ1680" s="2730"/>
      <c r="ETK1680" s="2730"/>
      <c r="ETL1680" s="2730"/>
      <c r="ETM1680" s="2730"/>
      <c r="ETN1680" s="2730"/>
      <c r="ETO1680" s="2730"/>
      <c r="ETP1680" s="2730"/>
      <c r="ETQ1680" s="2730"/>
      <c r="ETR1680" s="2730"/>
      <c r="ETS1680" s="2730"/>
      <c r="ETT1680" s="2730"/>
      <c r="ETU1680" s="2730"/>
      <c r="ETV1680" s="2730"/>
      <c r="ETW1680" s="2730"/>
      <c r="ETX1680" s="2730"/>
      <c r="ETY1680" s="2730"/>
      <c r="ETZ1680" s="2730"/>
      <c r="EUA1680" s="2730"/>
      <c r="EUB1680" s="2730"/>
      <c r="EUC1680" s="2730"/>
      <c r="EUD1680" s="2730"/>
      <c r="EUE1680" s="2730"/>
      <c r="EUF1680" s="2730"/>
      <c r="EUG1680" s="2730"/>
      <c r="EUH1680" s="2730"/>
      <c r="EUI1680" s="2730"/>
      <c r="EUJ1680" s="2730"/>
      <c r="EUK1680" s="2730"/>
      <c r="EUL1680" s="2730"/>
      <c r="EUM1680" s="2730"/>
      <c r="EUN1680" s="2730"/>
      <c r="EUO1680" s="2730"/>
      <c r="EUP1680" s="2730"/>
      <c r="EUQ1680" s="2730"/>
      <c r="EUR1680" s="2730"/>
      <c r="EUS1680" s="2730"/>
      <c r="EUT1680" s="2730"/>
      <c r="EUU1680" s="2730"/>
      <c r="EUV1680" s="2730"/>
      <c r="EUW1680" s="2730"/>
      <c r="EUX1680" s="2730"/>
      <c r="EUY1680" s="2730"/>
      <c r="EUZ1680" s="2730"/>
      <c r="EVA1680" s="2730"/>
      <c r="EVB1680" s="2730"/>
      <c r="EVC1680" s="2730"/>
      <c r="EVD1680" s="2730"/>
      <c r="EVE1680" s="2730"/>
      <c r="EVF1680" s="2730"/>
      <c r="EVG1680" s="2730"/>
      <c r="EVH1680" s="2730"/>
      <c r="EVI1680" s="2730"/>
      <c r="EVJ1680" s="2730"/>
      <c r="EVK1680" s="2730"/>
      <c r="EVL1680" s="2730"/>
      <c r="EVM1680" s="2730"/>
      <c r="EVN1680" s="2730"/>
      <c r="EVO1680" s="2730"/>
      <c r="EVP1680" s="2730"/>
      <c r="EVQ1680" s="2730"/>
      <c r="EVR1680" s="2730"/>
      <c r="EVS1680" s="2730"/>
      <c r="EVT1680" s="2730"/>
      <c r="EVU1680" s="2730"/>
      <c r="EVV1680" s="2730"/>
      <c r="EVW1680" s="2730"/>
      <c r="EVX1680" s="2730"/>
      <c r="EVY1680" s="2730"/>
      <c r="EVZ1680" s="2730"/>
      <c r="EWA1680" s="2730"/>
      <c r="EWB1680" s="2730"/>
      <c r="EWC1680" s="2730"/>
      <c r="EWD1680" s="2730"/>
      <c r="EWE1680" s="2730"/>
      <c r="EWF1680" s="2730"/>
      <c r="EWG1680" s="2730"/>
      <c r="EWH1680" s="2730"/>
      <c r="EWI1680" s="2730"/>
      <c r="EWJ1680" s="2730"/>
      <c r="EWK1680" s="2730"/>
      <c r="EWL1680" s="2730"/>
      <c r="EWM1680" s="2730"/>
      <c r="EWN1680" s="2730"/>
      <c r="EWO1680" s="2730"/>
      <c r="EWP1680" s="2730"/>
      <c r="EWQ1680" s="2730"/>
      <c r="EWR1680" s="2730"/>
      <c r="EWS1680" s="2730"/>
      <c r="EWT1680" s="2730"/>
      <c r="EWU1680" s="2730"/>
      <c r="EWV1680" s="2730"/>
      <c r="EWW1680" s="2730"/>
      <c r="EWX1680" s="2730"/>
      <c r="EWY1680" s="2730"/>
      <c r="EWZ1680" s="2730"/>
      <c r="EXA1680" s="2730"/>
      <c r="EXB1680" s="2730"/>
      <c r="EXC1680" s="2730"/>
      <c r="EXD1680" s="2730"/>
      <c r="EXE1680" s="2730"/>
      <c r="EXF1680" s="2730"/>
      <c r="EXG1680" s="2730"/>
      <c r="EXH1680" s="2730"/>
      <c r="EXI1680" s="2730"/>
      <c r="EXJ1680" s="2730"/>
      <c r="EXK1680" s="2730"/>
      <c r="EXL1680" s="2730"/>
      <c r="EXM1680" s="2730"/>
      <c r="EXN1680" s="2730"/>
      <c r="EXO1680" s="2730"/>
      <c r="EXP1680" s="2730"/>
      <c r="EXQ1680" s="2730"/>
      <c r="EXR1680" s="2730"/>
      <c r="EXS1680" s="2730"/>
      <c r="EXT1680" s="2730"/>
      <c r="EXU1680" s="2730"/>
      <c r="EXV1680" s="2730"/>
      <c r="EXW1680" s="2730"/>
      <c r="EXX1680" s="2730"/>
      <c r="EXY1680" s="2730"/>
      <c r="EXZ1680" s="2730"/>
      <c r="EYA1680" s="2730"/>
      <c r="EYB1680" s="2730"/>
      <c r="EYC1680" s="2730"/>
      <c r="EYD1680" s="2730"/>
      <c r="EYE1680" s="2730"/>
      <c r="EYF1680" s="2730"/>
      <c r="EYG1680" s="2730"/>
      <c r="EYH1680" s="2730"/>
      <c r="EYI1680" s="2730"/>
      <c r="EYJ1680" s="2730"/>
      <c r="EYK1680" s="2730"/>
      <c r="EYL1680" s="2730"/>
      <c r="EYM1680" s="2730"/>
      <c r="EYN1680" s="2730"/>
      <c r="EYO1680" s="2730"/>
      <c r="EYP1680" s="2730"/>
      <c r="EYQ1680" s="2730"/>
      <c r="EYR1680" s="2730"/>
      <c r="EYS1680" s="2730"/>
      <c r="EYT1680" s="2730"/>
      <c r="EYU1680" s="2730"/>
      <c r="EYV1680" s="2730"/>
      <c r="EYW1680" s="2730"/>
      <c r="EYX1680" s="2730"/>
      <c r="EYY1680" s="2730"/>
      <c r="EYZ1680" s="2730"/>
      <c r="EZA1680" s="2730"/>
      <c r="EZB1680" s="2730"/>
      <c r="EZC1680" s="2730"/>
      <c r="EZD1680" s="2730"/>
      <c r="EZE1680" s="2730"/>
      <c r="EZF1680" s="2730"/>
      <c r="EZG1680" s="2730"/>
      <c r="EZH1680" s="2730"/>
      <c r="EZI1680" s="2730"/>
      <c r="EZJ1680" s="2730"/>
      <c r="EZK1680" s="2730"/>
      <c r="EZL1680" s="2730"/>
      <c r="EZM1680" s="2730"/>
      <c r="EZN1680" s="2730"/>
      <c r="EZO1680" s="2730"/>
      <c r="EZP1680" s="2730"/>
      <c r="EZQ1680" s="2730"/>
      <c r="EZR1680" s="2730"/>
      <c r="EZS1680" s="2730"/>
      <c r="EZT1680" s="2730"/>
      <c r="EZU1680" s="2730"/>
      <c r="EZV1680" s="2730"/>
      <c r="EZW1680" s="2730"/>
      <c r="EZX1680" s="2730"/>
      <c r="EZY1680" s="2730"/>
      <c r="EZZ1680" s="2730"/>
      <c r="FAA1680" s="2730"/>
      <c r="FAB1680" s="2730"/>
      <c r="FAC1680" s="2730"/>
      <c r="FAD1680" s="2730"/>
      <c r="FAE1680" s="2730"/>
      <c r="FAF1680" s="2730"/>
      <c r="FAG1680" s="2730"/>
      <c r="FAH1680" s="2730"/>
      <c r="FAI1680" s="2730"/>
      <c r="FAJ1680" s="2730"/>
      <c r="FAK1680" s="2730"/>
      <c r="FAL1680" s="2730"/>
      <c r="FAM1680" s="2730"/>
      <c r="FAN1680" s="2730"/>
      <c r="FAO1680" s="2730"/>
      <c r="FAP1680" s="2730"/>
      <c r="FAQ1680" s="2730"/>
      <c r="FAR1680" s="2730"/>
      <c r="FAS1680" s="2730"/>
      <c r="FAT1680" s="2730"/>
      <c r="FAU1680" s="2730"/>
      <c r="FAV1680" s="2730"/>
      <c r="FAW1680" s="2730"/>
      <c r="FAX1680" s="2730"/>
      <c r="FAY1680" s="2730"/>
      <c r="FAZ1680" s="2730"/>
      <c r="FBA1680" s="2730"/>
      <c r="FBB1680" s="2730"/>
      <c r="FBC1680" s="2730"/>
      <c r="FBD1680" s="2730"/>
      <c r="FBE1680" s="2730"/>
      <c r="FBF1680" s="2730"/>
      <c r="FBG1680" s="2730"/>
      <c r="FBH1680" s="2730"/>
      <c r="FBI1680" s="2730"/>
      <c r="FBJ1680" s="2730"/>
      <c r="FBK1680" s="2730"/>
      <c r="FBL1680" s="2730"/>
      <c r="FBM1680" s="2730"/>
      <c r="FBN1680" s="2730"/>
      <c r="FBO1680" s="2730"/>
      <c r="FBP1680" s="2730"/>
      <c r="FBQ1680" s="2730"/>
      <c r="FBR1680" s="2730"/>
      <c r="FBS1680" s="2730"/>
      <c r="FBT1680" s="2730"/>
      <c r="FBU1680" s="2730"/>
      <c r="FBV1680" s="2730"/>
      <c r="FBW1680" s="2730"/>
      <c r="FBX1680" s="2730"/>
      <c r="FBY1680" s="2730"/>
      <c r="FBZ1680" s="2730"/>
      <c r="FCA1680" s="2730"/>
      <c r="FCB1680" s="2730"/>
      <c r="FCC1680" s="2730"/>
      <c r="FCD1680" s="2730"/>
      <c r="FCE1680" s="2730"/>
      <c r="FCF1680" s="2730"/>
      <c r="FCG1680" s="2730"/>
      <c r="FCH1680" s="2730"/>
      <c r="FCI1680" s="2730"/>
      <c r="FCJ1680" s="2730"/>
      <c r="FCK1680" s="2730"/>
      <c r="FCL1680" s="2730"/>
      <c r="FCM1680" s="2730"/>
      <c r="FCN1680" s="2730"/>
      <c r="FCO1680" s="2730"/>
      <c r="FCP1680" s="2730"/>
      <c r="FCQ1680" s="2730"/>
      <c r="FCR1680" s="2730"/>
      <c r="FCS1680" s="2730"/>
      <c r="FCT1680" s="2730"/>
      <c r="FCU1680" s="2730"/>
      <c r="FCV1680" s="2730"/>
      <c r="FCW1680" s="2730"/>
      <c r="FCX1680" s="2730"/>
      <c r="FCY1680" s="2730"/>
      <c r="FCZ1680" s="2730"/>
      <c r="FDA1680" s="2730"/>
      <c r="FDB1680" s="2730"/>
      <c r="FDC1680" s="2730"/>
      <c r="FDD1680" s="2730"/>
      <c r="FDE1680" s="2730"/>
      <c r="FDF1680" s="2730"/>
      <c r="FDG1680" s="2730"/>
      <c r="FDH1680" s="2730"/>
      <c r="FDI1680" s="2730"/>
      <c r="FDJ1680" s="2730"/>
      <c r="FDK1680" s="2730"/>
      <c r="FDL1680" s="2730"/>
      <c r="FDM1680" s="2730"/>
      <c r="FDN1680" s="2730"/>
      <c r="FDO1680" s="2730"/>
      <c r="FDP1680" s="2730"/>
      <c r="FDQ1680" s="2730"/>
      <c r="FDR1680" s="2730"/>
      <c r="FDS1680" s="2730"/>
      <c r="FDT1680" s="2730"/>
      <c r="FDU1680" s="2730"/>
      <c r="FDV1680" s="2730"/>
      <c r="FDW1680" s="2730"/>
      <c r="FDX1680" s="2730"/>
      <c r="FDY1680" s="2730"/>
      <c r="FDZ1680" s="2730"/>
      <c r="FEA1680" s="2730"/>
      <c r="FEB1680" s="2730"/>
      <c r="FEC1680" s="2730"/>
      <c r="FED1680" s="2730"/>
      <c r="FEE1680" s="2730"/>
      <c r="FEF1680" s="2730"/>
      <c r="FEG1680" s="2730"/>
      <c r="FEH1680" s="2730"/>
      <c r="FEI1680" s="2730"/>
      <c r="FEJ1680" s="2730"/>
      <c r="FEK1680" s="2730"/>
      <c r="FEL1680" s="2730"/>
      <c r="FEM1680" s="2730"/>
      <c r="FEN1680" s="2730"/>
      <c r="FEO1680" s="2730"/>
      <c r="FEP1680" s="2730"/>
      <c r="FEQ1680" s="2730"/>
      <c r="FER1680" s="2730"/>
      <c r="FES1680" s="2730"/>
      <c r="FET1680" s="2730"/>
      <c r="FEU1680" s="2730"/>
      <c r="FEV1680" s="2730"/>
      <c r="FEW1680" s="2730"/>
      <c r="FEX1680" s="2730"/>
      <c r="FEY1680" s="2730"/>
      <c r="FEZ1680" s="2730"/>
      <c r="FFA1680" s="2730"/>
      <c r="FFB1680" s="2730"/>
      <c r="FFC1680" s="2730"/>
      <c r="FFD1680" s="2730"/>
      <c r="FFE1680" s="2730"/>
      <c r="FFF1680" s="2730"/>
      <c r="FFG1680" s="2730"/>
      <c r="FFH1680" s="2730"/>
      <c r="FFI1680" s="2730"/>
      <c r="FFJ1680" s="2730"/>
      <c r="FFK1680" s="2730"/>
      <c r="FFL1680" s="2730"/>
      <c r="FFM1680" s="2730"/>
      <c r="FFN1680" s="2730"/>
      <c r="FFO1680" s="2730"/>
      <c r="FFP1680" s="2730"/>
      <c r="FFQ1680" s="2730"/>
      <c r="FFR1680" s="2730"/>
      <c r="FFS1680" s="2730"/>
      <c r="FFT1680" s="2730"/>
      <c r="FFU1680" s="2730"/>
      <c r="FFV1680" s="2730"/>
      <c r="FFW1680" s="2730"/>
      <c r="FFX1680" s="2730"/>
      <c r="FFY1680" s="2730"/>
      <c r="FFZ1680" s="2730"/>
      <c r="FGA1680" s="2730"/>
      <c r="FGB1680" s="2730"/>
      <c r="FGC1680" s="2730"/>
      <c r="FGD1680" s="2730"/>
      <c r="FGE1680" s="2730"/>
      <c r="FGF1680" s="2730"/>
      <c r="FGG1680" s="2730"/>
      <c r="FGH1680" s="2730"/>
      <c r="FGI1680" s="2730"/>
      <c r="FGJ1680" s="2730"/>
      <c r="FGK1680" s="2730"/>
      <c r="FGL1680" s="2730"/>
      <c r="FGM1680" s="2730"/>
      <c r="FGN1680" s="2730"/>
      <c r="FGO1680" s="2730"/>
      <c r="FGP1680" s="2730"/>
      <c r="FGQ1680" s="2730"/>
      <c r="FGR1680" s="2730"/>
      <c r="FGS1680" s="2730"/>
      <c r="FGT1680" s="2730"/>
      <c r="FGU1680" s="2730"/>
      <c r="FGV1680" s="2730"/>
      <c r="FGW1680" s="2730"/>
      <c r="FGX1680" s="2730"/>
      <c r="FGY1680" s="2730"/>
      <c r="FGZ1680" s="2730"/>
      <c r="FHA1680" s="2730"/>
      <c r="FHB1680" s="2730"/>
      <c r="FHC1680" s="2730"/>
      <c r="FHD1680" s="2730"/>
      <c r="FHE1680" s="2730"/>
      <c r="FHF1680" s="2730"/>
      <c r="FHG1680" s="2730"/>
      <c r="FHH1680" s="2730"/>
      <c r="FHI1680" s="2730"/>
      <c r="FHJ1680" s="2730"/>
      <c r="FHK1680" s="2730"/>
      <c r="FHL1680" s="2730"/>
      <c r="FHM1680" s="2730"/>
      <c r="FHN1680" s="2730"/>
      <c r="FHO1680" s="2730"/>
      <c r="FHP1680" s="2730"/>
      <c r="FHQ1680" s="2730"/>
      <c r="FHR1680" s="2730"/>
      <c r="FHS1680" s="2730"/>
      <c r="FHT1680" s="2730"/>
      <c r="FHU1680" s="2730"/>
      <c r="FHV1680" s="2730"/>
      <c r="FHW1680" s="2730"/>
      <c r="FHX1680" s="2730"/>
      <c r="FHY1680" s="2730"/>
      <c r="FHZ1680" s="2730"/>
      <c r="FIA1680" s="2730"/>
      <c r="FIB1680" s="2730"/>
      <c r="FIC1680" s="2730"/>
      <c r="FID1680" s="2730"/>
      <c r="FIE1680" s="2730"/>
      <c r="FIF1680" s="2730"/>
      <c r="FIG1680" s="2730"/>
      <c r="FIH1680" s="2730"/>
      <c r="FII1680" s="2730"/>
      <c r="FIJ1680" s="2730"/>
      <c r="FIK1680" s="2730"/>
      <c r="FIL1680" s="2730"/>
      <c r="FIM1680" s="2730"/>
      <c r="FIN1680" s="2730"/>
      <c r="FIO1680" s="2730"/>
      <c r="FIP1680" s="2730"/>
      <c r="FIQ1680" s="2730"/>
      <c r="FIR1680" s="2730"/>
      <c r="FIS1680" s="2730"/>
      <c r="FIT1680" s="2730"/>
      <c r="FIU1680" s="2730"/>
      <c r="FIV1680" s="2730"/>
      <c r="FIW1680" s="2730"/>
      <c r="FIX1680" s="2730"/>
      <c r="FIY1680" s="2730"/>
      <c r="FIZ1680" s="2730"/>
      <c r="FJA1680" s="2730"/>
      <c r="FJB1680" s="2730"/>
      <c r="FJC1680" s="2730"/>
      <c r="FJD1680" s="2730"/>
      <c r="FJE1680" s="2730"/>
      <c r="FJF1680" s="2730"/>
      <c r="FJG1680" s="2730"/>
      <c r="FJH1680" s="2730"/>
      <c r="FJI1680" s="2730"/>
      <c r="FJJ1680" s="2730"/>
      <c r="FJK1680" s="2730"/>
      <c r="FJL1680" s="2730"/>
      <c r="FJM1680" s="2730"/>
      <c r="FJN1680" s="2730"/>
      <c r="FJO1680" s="2730"/>
      <c r="FJP1680" s="2730"/>
      <c r="FJQ1680" s="2730"/>
      <c r="FJR1680" s="2730"/>
      <c r="FJS1680" s="2730"/>
      <c r="FJT1680" s="2730"/>
      <c r="FJU1680" s="2730"/>
      <c r="FJV1680" s="2730"/>
      <c r="FJW1680" s="2730"/>
      <c r="FJX1680" s="2730"/>
      <c r="FJY1680" s="2730"/>
      <c r="FJZ1680" s="2730"/>
      <c r="FKA1680" s="2730"/>
      <c r="FKB1680" s="2730"/>
      <c r="FKC1680" s="2730"/>
      <c r="FKD1680" s="2730"/>
      <c r="FKE1680" s="2730"/>
      <c r="FKF1680" s="2730"/>
      <c r="FKG1680" s="2730"/>
      <c r="FKH1680" s="2730"/>
      <c r="FKI1680" s="2730"/>
      <c r="FKJ1680" s="2730"/>
      <c r="FKK1680" s="2730"/>
      <c r="FKL1680" s="2730"/>
      <c r="FKM1680" s="2730"/>
      <c r="FKN1680" s="2730"/>
      <c r="FKO1680" s="2730"/>
      <c r="FKP1680" s="2730"/>
      <c r="FKQ1680" s="2730"/>
      <c r="FKR1680" s="2730"/>
      <c r="FKS1680" s="2730"/>
      <c r="FKT1680" s="2730"/>
      <c r="FKU1680" s="2730"/>
      <c r="FKV1680" s="2730"/>
      <c r="FKW1680" s="2730"/>
      <c r="FKX1680" s="2730"/>
      <c r="FKY1680" s="2730"/>
      <c r="FKZ1680" s="2730"/>
      <c r="FLA1680" s="2730"/>
      <c r="FLB1680" s="2730"/>
      <c r="FLC1680" s="2730"/>
      <c r="FLD1680" s="2730"/>
      <c r="FLE1680" s="2730"/>
      <c r="FLF1680" s="2730"/>
      <c r="FLG1680" s="2730"/>
      <c r="FLH1680" s="2730"/>
      <c r="FLI1680" s="2730"/>
      <c r="FLJ1680" s="2730"/>
      <c r="FLK1680" s="2730"/>
      <c r="FLL1680" s="2730"/>
      <c r="FLM1680" s="2730"/>
      <c r="FLN1680" s="2730"/>
      <c r="FLO1680" s="2730"/>
      <c r="FLP1680" s="2730"/>
      <c r="FLQ1680" s="2730"/>
      <c r="FLR1680" s="2730"/>
      <c r="FLS1680" s="2730"/>
      <c r="FLT1680" s="2730"/>
      <c r="FLU1680" s="2730"/>
      <c r="FLV1680" s="2730"/>
      <c r="FLW1680" s="2730"/>
      <c r="FLX1680" s="2730"/>
      <c r="FLY1680" s="2730"/>
      <c r="FLZ1680" s="2730"/>
      <c r="FMA1680" s="2730"/>
      <c r="FMB1680" s="2730"/>
      <c r="FMC1680" s="2730"/>
      <c r="FMD1680" s="2730"/>
      <c r="FME1680" s="2730"/>
      <c r="FMF1680" s="2730"/>
      <c r="FMG1680" s="2730"/>
      <c r="FMH1680" s="2730"/>
      <c r="FMI1680" s="2730"/>
      <c r="FMJ1680" s="2730"/>
      <c r="FMK1680" s="2730"/>
      <c r="FML1680" s="2730"/>
      <c r="FMM1680" s="2730"/>
      <c r="FMN1680" s="2730"/>
      <c r="FMO1680" s="2730"/>
      <c r="FMP1680" s="2730"/>
      <c r="FMQ1680" s="2730"/>
      <c r="FMR1680" s="2730"/>
      <c r="FMS1680" s="2730"/>
      <c r="FMT1680" s="2730"/>
      <c r="FMU1680" s="2730"/>
      <c r="FMV1680" s="2730"/>
      <c r="FMW1680" s="2730"/>
      <c r="FMX1680" s="2730"/>
      <c r="FMY1680" s="2730"/>
      <c r="FMZ1680" s="2730"/>
      <c r="FNA1680" s="2730"/>
      <c r="FNB1680" s="2730"/>
      <c r="FNC1680" s="2730"/>
      <c r="FND1680" s="2730"/>
      <c r="FNE1680" s="2730"/>
      <c r="FNF1680" s="2730"/>
      <c r="FNG1680" s="2730"/>
      <c r="FNH1680" s="2730"/>
      <c r="FNI1680" s="2730"/>
      <c r="FNJ1680" s="2730"/>
      <c r="FNK1680" s="2730"/>
      <c r="FNL1680" s="2730"/>
      <c r="FNM1680" s="2730"/>
      <c r="FNN1680" s="2730"/>
      <c r="FNO1680" s="2730"/>
      <c r="FNP1680" s="2730"/>
      <c r="FNQ1680" s="2730"/>
      <c r="FNR1680" s="2730"/>
      <c r="FNS1680" s="2730"/>
      <c r="FNT1680" s="2730"/>
      <c r="FNU1680" s="2730"/>
      <c r="FNV1680" s="2730"/>
      <c r="FNW1680" s="2730"/>
      <c r="FNX1680" s="2730"/>
      <c r="FNY1680" s="2730"/>
      <c r="FNZ1680" s="2730"/>
      <c r="FOA1680" s="2730"/>
      <c r="FOB1680" s="2730"/>
      <c r="FOC1680" s="2730"/>
      <c r="FOD1680" s="2730"/>
      <c r="FOE1680" s="2730"/>
      <c r="FOF1680" s="2730"/>
      <c r="FOG1680" s="2730"/>
      <c r="FOH1680" s="2730"/>
      <c r="FOI1680" s="2730"/>
      <c r="FOJ1680" s="2730"/>
      <c r="FOK1680" s="2730"/>
      <c r="FOL1680" s="2730"/>
      <c r="FOM1680" s="2730"/>
      <c r="FON1680" s="2730"/>
      <c r="FOO1680" s="2730"/>
      <c r="FOP1680" s="2730"/>
      <c r="FOQ1680" s="2730"/>
      <c r="FOR1680" s="2730"/>
      <c r="FOS1680" s="2730"/>
      <c r="FOT1680" s="2730"/>
      <c r="FOU1680" s="2730"/>
      <c r="FOV1680" s="2730"/>
      <c r="FOW1680" s="2730"/>
      <c r="FOX1680" s="2730"/>
      <c r="FOY1680" s="2730"/>
      <c r="FOZ1680" s="2730"/>
      <c r="FPA1680" s="2730"/>
      <c r="FPB1680" s="2730"/>
      <c r="FPC1680" s="2730"/>
      <c r="FPD1680" s="2730"/>
      <c r="FPE1680" s="2730"/>
      <c r="FPF1680" s="2730"/>
      <c r="FPG1680" s="2730"/>
      <c r="FPH1680" s="2730"/>
      <c r="FPI1680" s="2730"/>
      <c r="FPJ1680" s="2730"/>
      <c r="FPK1680" s="2730"/>
      <c r="FPL1680" s="2730"/>
      <c r="FPM1680" s="2730"/>
      <c r="FPN1680" s="2730"/>
      <c r="FPO1680" s="2730"/>
      <c r="FPP1680" s="2730"/>
      <c r="FPQ1680" s="2730"/>
      <c r="FPR1680" s="2730"/>
      <c r="FPS1680" s="2730"/>
      <c r="FPT1680" s="2730"/>
      <c r="FPU1680" s="2730"/>
      <c r="FPV1680" s="2730"/>
      <c r="FPW1680" s="2730"/>
      <c r="FPX1680" s="2730"/>
      <c r="FPY1680" s="2730"/>
      <c r="FPZ1680" s="2730"/>
      <c r="FQA1680" s="2730"/>
      <c r="FQB1680" s="2730"/>
      <c r="FQC1680" s="2730"/>
      <c r="FQD1680" s="2730"/>
      <c r="FQE1680" s="2730"/>
      <c r="FQF1680" s="2730"/>
      <c r="FQG1680" s="2730"/>
      <c r="FQH1680" s="2730"/>
      <c r="FQI1680" s="2730"/>
      <c r="FQJ1680" s="2730"/>
      <c r="FQK1680" s="2730"/>
      <c r="FQL1680" s="2730"/>
      <c r="FQM1680" s="2730"/>
      <c r="FQN1680" s="2730"/>
      <c r="FQO1680" s="2730"/>
      <c r="FQP1680" s="2730"/>
      <c r="FQQ1680" s="2730"/>
      <c r="FQR1680" s="2730"/>
      <c r="FQS1680" s="2730"/>
      <c r="FQT1680" s="2730"/>
      <c r="FQU1680" s="2730"/>
      <c r="FQV1680" s="2730"/>
      <c r="FQW1680" s="2730"/>
      <c r="FQX1680" s="2730"/>
      <c r="FQY1680" s="2730"/>
      <c r="FQZ1680" s="2730"/>
      <c r="FRA1680" s="2730"/>
      <c r="FRB1680" s="2730"/>
      <c r="FRC1680" s="2730"/>
      <c r="FRD1680" s="2730"/>
      <c r="FRE1680" s="2730"/>
      <c r="FRF1680" s="2730"/>
      <c r="FRG1680" s="2730"/>
      <c r="FRH1680" s="2730"/>
      <c r="FRI1680" s="2730"/>
      <c r="FRJ1680" s="2730"/>
      <c r="FRK1680" s="2730"/>
      <c r="FRL1680" s="2730"/>
      <c r="FRM1680" s="2730"/>
      <c r="FRN1680" s="2730"/>
      <c r="FRO1680" s="2730"/>
      <c r="FRP1680" s="2730"/>
      <c r="FRQ1680" s="2730"/>
      <c r="FRR1680" s="2730"/>
      <c r="FRS1680" s="2730"/>
      <c r="FRT1680" s="2730"/>
      <c r="FRU1680" s="2730"/>
      <c r="FRV1680" s="2730"/>
      <c r="FRW1680" s="2730"/>
      <c r="FRX1680" s="2730"/>
      <c r="FRY1680" s="2730"/>
      <c r="FRZ1680" s="2730"/>
      <c r="FSA1680" s="2730"/>
      <c r="FSB1680" s="2730"/>
      <c r="FSC1680" s="2730"/>
      <c r="FSD1680" s="2730"/>
      <c r="FSE1680" s="2730"/>
      <c r="FSF1680" s="2730"/>
      <c r="FSG1680" s="2730"/>
      <c r="FSH1680" s="2730"/>
      <c r="FSI1680" s="2730"/>
      <c r="FSJ1680" s="2730"/>
      <c r="FSK1680" s="2730"/>
      <c r="FSL1680" s="2730"/>
      <c r="FSM1680" s="2730"/>
      <c r="FSN1680" s="2730"/>
      <c r="FSO1680" s="2730"/>
      <c r="FSP1680" s="2730"/>
      <c r="FSQ1680" s="2730"/>
      <c r="FSR1680" s="2730"/>
      <c r="FSS1680" s="2730"/>
      <c r="FST1680" s="2730"/>
      <c r="FSU1680" s="2730"/>
      <c r="FSV1680" s="2730"/>
      <c r="FSW1680" s="2730"/>
      <c r="FSX1680" s="2730"/>
      <c r="FSY1680" s="2730"/>
      <c r="FSZ1680" s="2730"/>
      <c r="FTA1680" s="2730"/>
      <c r="FTB1680" s="2730"/>
      <c r="FTC1680" s="2730"/>
      <c r="FTD1680" s="2730"/>
      <c r="FTE1680" s="2730"/>
      <c r="FTF1680" s="2730"/>
      <c r="FTG1680" s="2730"/>
      <c r="FTH1680" s="2730"/>
      <c r="FTI1680" s="2730"/>
      <c r="FTJ1680" s="2730"/>
      <c r="FTK1680" s="2730"/>
      <c r="FTL1680" s="2730"/>
      <c r="FTM1680" s="2730"/>
      <c r="FTN1680" s="2730"/>
      <c r="FTO1680" s="2730"/>
      <c r="FTP1680" s="2730"/>
      <c r="FTQ1680" s="2730"/>
      <c r="FTR1680" s="2730"/>
      <c r="FTS1680" s="2730"/>
      <c r="FTT1680" s="2730"/>
      <c r="FTU1680" s="2730"/>
      <c r="FTV1680" s="2730"/>
      <c r="FTW1680" s="2730"/>
      <c r="FTX1680" s="2730"/>
      <c r="FTY1680" s="2730"/>
      <c r="FTZ1680" s="2730"/>
      <c r="FUA1680" s="2730"/>
      <c r="FUB1680" s="2730"/>
      <c r="FUC1680" s="2730"/>
      <c r="FUD1680" s="2730"/>
      <c r="FUE1680" s="2730"/>
      <c r="FUF1680" s="2730"/>
      <c r="FUG1680" s="2730"/>
      <c r="FUH1680" s="2730"/>
      <c r="FUI1680" s="2730"/>
      <c r="FUJ1680" s="2730"/>
      <c r="FUK1680" s="2730"/>
      <c r="FUL1680" s="2730"/>
      <c r="FUM1680" s="2730"/>
      <c r="FUN1680" s="2730"/>
      <c r="FUO1680" s="2730"/>
      <c r="FUP1680" s="2730"/>
      <c r="FUQ1680" s="2730"/>
      <c r="FUR1680" s="2730"/>
      <c r="FUS1680" s="2730"/>
      <c r="FUT1680" s="2730"/>
      <c r="FUU1680" s="2730"/>
      <c r="FUV1680" s="2730"/>
      <c r="FUW1680" s="2730"/>
      <c r="FUX1680" s="2730"/>
      <c r="FUY1680" s="2730"/>
      <c r="FUZ1680" s="2730"/>
      <c r="FVA1680" s="2730"/>
      <c r="FVB1680" s="2730"/>
      <c r="FVC1680" s="2730"/>
      <c r="FVD1680" s="2730"/>
      <c r="FVE1680" s="2730"/>
      <c r="FVF1680" s="2730"/>
      <c r="FVG1680" s="2730"/>
      <c r="FVH1680" s="2730"/>
      <c r="FVI1680" s="2730"/>
      <c r="FVJ1680" s="2730"/>
      <c r="FVK1680" s="2730"/>
      <c r="FVL1680" s="2730"/>
      <c r="FVM1680" s="2730"/>
      <c r="FVN1680" s="2730"/>
      <c r="FVO1680" s="2730"/>
      <c r="FVP1680" s="2730"/>
      <c r="FVQ1680" s="2730"/>
      <c r="FVR1680" s="2730"/>
      <c r="FVS1680" s="2730"/>
      <c r="FVT1680" s="2730"/>
      <c r="FVU1680" s="2730"/>
      <c r="FVV1680" s="2730"/>
      <c r="FVW1680" s="2730"/>
      <c r="FVX1680" s="2730"/>
      <c r="FVY1680" s="2730"/>
      <c r="FVZ1680" s="2730"/>
      <c r="FWA1680" s="2730"/>
      <c r="FWB1680" s="2730"/>
      <c r="FWC1680" s="2730"/>
      <c r="FWD1680" s="2730"/>
      <c r="FWE1680" s="2730"/>
      <c r="FWF1680" s="2730"/>
      <c r="FWG1680" s="2730"/>
      <c r="FWH1680" s="2730"/>
      <c r="FWI1680" s="2730"/>
      <c r="FWJ1680" s="2730"/>
      <c r="FWK1680" s="2730"/>
      <c r="FWL1680" s="2730"/>
      <c r="FWM1680" s="2730"/>
      <c r="FWN1680" s="2730"/>
      <c r="FWO1680" s="2730"/>
      <c r="FWP1680" s="2730"/>
      <c r="FWQ1680" s="2730"/>
      <c r="FWR1680" s="2730"/>
      <c r="FWS1680" s="2730"/>
      <c r="FWT1680" s="2730"/>
      <c r="FWU1680" s="2730"/>
      <c r="FWV1680" s="2730"/>
      <c r="FWW1680" s="2730"/>
      <c r="FWX1680" s="2730"/>
      <c r="FWY1680" s="2730"/>
      <c r="FWZ1680" s="2730"/>
      <c r="FXA1680" s="2730"/>
      <c r="FXB1680" s="2730"/>
      <c r="FXC1680" s="2730"/>
      <c r="FXD1680" s="2730"/>
      <c r="FXE1680" s="2730"/>
      <c r="FXF1680" s="2730"/>
      <c r="FXG1680" s="2730"/>
      <c r="FXH1680" s="2730"/>
      <c r="FXI1680" s="2730"/>
      <c r="FXJ1680" s="2730"/>
      <c r="FXK1680" s="2730"/>
      <c r="FXL1680" s="2730"/>
      <c r="FXM1680" s="2730"/>
      <c r="FXN1680" s="2730"/>
      <c r="FXO1680" s="2730"/>
      <c r="FXP1680" s="2730"/>
      <c r="FXQ1680" s="2730"/>
      <c r="FXR1680" s="2730"/>
      <c r="FXS1680" s="2730"/>
      <c r="FXT1680" s="2730"/>
      <c r="FXU1680" s="2730"/>
      <c r="FXV1680" s="2730"/>
      <c r="FXW1680" s="2730"/>
      <c r="FXX1680" s="2730"/>
      <c r="FXY1680" s="2730"/>
      <c r="FXZ1680" s="2730"/>
      <c r="FYA1680" s="2730"/>
      <c r="FYB1680" s="2730"/>
      <c r="FYC1680" s="2730"/>
      <c r="FYD1680" s="2730"/>
      <c r="FYE1680" s="2730"/>
      <c r="FYF1680" s="2730"/>
      <c r="FYG1680" s="2730"/>
      <c r="FYH1680" s="2730"/>
      <c r="FYI1680" s="2730"/>
      <c r="FYJ1680" s="2730"/>
      <c r="FYK1680" s="2730"/>
      <c r="FYL1680" s="2730"/>
      <c r="FYM1680" s="2730"/>
      <c r="FYN1680" s="2730"/>
      <c r="FYO1680" s="2730"/>
      <c r="FYP1680" s="2730"/>
      <c r="FYQ1680" s="2730"/>
      <c r="FYR1680" s="2730"/>
      <c r="FYS1680" s="2730"/>
      <c r="FYT1680" s="2730"/>
      <c r="FYU1680" s="2730"/>
      <c r="FYV1680" s="2730"/>
      <c r="FYW1680" s="2730"/>
      <c r="FYX1680" s="2730"/>
      <c r="FYY1680" s="2730"/>
      <c r="FYZ1680" s="2730"/>
      <c r="FZA1680" s="2730"/>
      <c r="FZB1680" s="2730"/>
      <c r="FZC1680" s="2730"/>
      <c r="FZD1680" s="2730"/>
      <c r="FZE1680" s="2730"/>
      <c r="FZF1680" s="2730"/>
      <c r="FZG1680" s="2730"/>
      <c r="FZH1680" s="2730"/>
      <c r="FZI1680" s="2730"/>
      <c r="FZJ1680" s="2730"/>
      <c r="FZK1680" s="2730"/>
      <c r="FZL1680" s="2730"/>
      <c r="FZM1680" s="2730"/>
      <c r="FZN1680" s="2730"/>
      <c r="FZO1680" s="2730"/>
      <c r="FZP1680" s="2730"/>
      <c r="FZQ1680" s="2730"/>
      <c r="FZR1680" s="2730"/>
      <c r="FZS1680" s="2730"/>
      <c r="FZT1680" s="2730"/>
      <c r="FZU1680" s="2730"/>
      <c r="FZV1680" s="2730"/>
      <c r="FZW1680" s="2730"/>
      <c r="FZX1680" s="2730"/>
      <c r="FZY1680" s="2730"/>
      <c r="FZZ1680" s="2730"/>
      <c r="GAA1680" s="2730"/>
      <c r="GAB1680" s="2730"/>
      <c r="GAC1680" s="2730"/>
      <c r="GAD1680" s="2730"/>
      <c r="GAE1680" s="2730"/>
      <c r="GAF1680" s="2730"/>
      <c r="GAG1680" s="2730"/>
      <c r="GAH1680" s="2730"/>
      <c r="GAI1680" s="2730"/>
      <c r="GAJ1680" s="2730"/>
      <c r="GAK1680" s="2730"/>
      <c r="GAL1680" s="2730"/>
      <c r="GAM1680" s="2730"/>
      <c r="GAN1680" s="2730"/>
      <c r="GAO1680" s="2730"/>
      <c r="GAP1680" s="2730"/>
      <c r="GAQ1680" s="2730"/>
      <c r="GAR1680" s="2730"/>
      <c r="GAS1680" s="2730"/>
      <c r="GAT1680" s="2730"/>
      <c r="GAU1680" s="2730"/>
      <c r="GAV1680" s="2730"/>
      <c r="GAW1680" s="2730"/>
      <c r="GAX1680" s="2730"/>
      <c r="GAY1680" s="2730"/>
      <c r="GAZ1680" s="2730"/>
      <c r="GBA1680" s="2730"/>
      <c r="GBB1680" s="2730"/>
      <c r="GBC1680" s="2730"/>
      <c r="GBD1680" s="2730"/>
      <c r="GBE1680" s="2730"/>
      <c r="GBF1680" s="2730"/>
      <c r="GBG1680" s="2730"/>
      <c r="GBH1680" s="2730"/>
      <c r="GBI1680" s="2730"/>
      <c r="GBJ1680" s="2730"/>
      <c r="GBK1680" s="2730"/>
      <c r="GBL1680" s="2730"/>
      <c r="GBM1680" s="2730"/>
      <c r="GBN1680" s="2730"/>
      <c r="GBO1680" s="2730"/>
      <c r="GBP1680" s="2730"/>
      <c r="GBQ1680" s="2730"/>
      <c r="GBR1680" s="2730"/>
      <c r="GBS1680" s="2730"/>
      <c r="GBT1680" s="2730"/>
      <c r="GBU1680" s="2730"/>
      <c r="GBV1680" s="2730"/>
      <c r="GBW1680" s="2730"/>
      <c r="GBX1680" s="2730"/>
      <c r="GBY1680" s="2730"/>
      <c r="GBZ1680" s="2730"/>
      <c r="GCA1680" s="2730"/>
      <c r="GCB1680" s="2730"/>
      <c r="GCC1680" s="2730"/>
      <c r="GCD1680" s="2730"/>
      <c r="GCE1680" s="2730"/>
      <c r="GCF1680" s="2730"/>
      <c r="GCG1680" s="2730"/>
      <c r="GCH1680" s="2730"/>
      <c r="GCI1680" s="2730"/>
      <c r="GCJ1680" s="2730"/>
      <c r="GCK1680" s="2730"/>
      <c r="GCL1680" s="2730"/>
      <c r="GCM1680" s="2730"/>
      <c r="GCN1680" s="2730"/>
      <c r="GCO1680" s="2730"/>
      <c r="GCP1680" s="2730"/>
      <c r="GCQ1680" s="2730"/>
      <c r="GCR1680" s="2730"/>
      <c r="GCS1680" s="2730"/>
      <c r="GCT1680" s="2730"/>
      <c r="GCU1680" s="2730"/>
      <c r="GCV1680" s="2730"/>
      <c r="GCW1680" s="2730"/>
      <c r="GCX1680" s="2730"/>
      <c r="GCY1680" s="2730"/>
      <c r="GCZ1680" s="2730"/>
      <c r="GDA1680" s="2730"/>
      <c r="GDB1680" s="2730"/>
      <c r="GDC1680" s="2730"/>
      <c r="GDD1680" s="2730"/>
      <c r="GDE1680" s="2730"/>
      <c r="GDF1680" s="2730"/>
      <c r="GDG1680" s="2730"/>
      <c r="GDH1680" s="2730"/>
      <c r="GDI1680" s="2730"/>
      <c r="GDJ1680" s="2730"/>
      <c r="GDK1680" s="2730"/>
      <c r="GDL1680" s="2730"/>
      <c r="GDM1680" s="2730"/>
      <c r="GDN1680" s="2730"/>
      <c r="GDO1680" s="2730"/>
      <c r="GDP1680" s="2730"/>
      <c r="GDQ1680" s="2730"/>
      <c r="GDR1680" s="2730"/>
      <c r="GDS1680" s="2730"/>
      <c r="GDT1680" s="2730"/>
      <c r="GDU1680" s="2730"/>
      <c r="GDV1680" s="2730"/>
      <c r="GDW1680" s="2730"/>
      <c r="GDX1680" s="2730"/>
      <c r="GDY1680" s="2730"/>
      <c r="GDZ1680" s="2730"/>
      <c r="GEA1680" s="2730"/>
      <c r="GEB1680" s="2730"/>
      <c r="GEC1680" s="2730"/>
      <c r="GED1680" s="2730"/>
      <c r="GEE1680" s="2730"/>
      <c r="GEF1680" s="2730"/>
      <c r="GEG1680" s="2730"/>
      <c r="GEH1680" s="2730"/>
      <c r="GEI1680" s="2730"/>
      <c r="GEJ1680" s="2730"/>
      <c r="GEK1680" s="2730"/>
      <c r="GEL1680" s="2730"/>
      <c r="GEM1680" s="2730"/>
      <c r="GEN1680" s="2730"/>
      <c r="GEO1680" s="2730"/>
      <c r="GEP1680" s="2730"/>
      <c r="GEQ1680" s="2730"/>
      <c r="GER1680" s="2730"/>
      <c r="GES1680" s="2730"/>
      <c r="GET1680" s="2730"/>
      <c r="GEU1680" s="2730"/>
      <c r="GEV1680" s="2730"/>
      <c r="GEW1680" s="2730"/>
      <c r="GEX1680" s="2730"/>
      <c r="GEY1680" s="2730"/>
      <c r="GEZ1680" s="2730"/>
      <c r="GFA1680" s="2730"/>
      <c r="GFB1680" s="2730"/>
      <c r="GFC1680" s="2730"/>
      <c r="GFD1680" s="2730"/>
      <c r="GFE1680" s="2730"/>
      <c r="GFF1680" s="2730"/>
      <c r="GFG1680" s="2730"/>
      <c r="GFH1680" s="2730"/>
      <c r="GFI1680" s="2730"/>
      <c r="GFJ1680" s="2730"/>
      <c r="GFK1680" s="2730"/>
      <c r="GFL1680" s="2730"/>
      <c r="GFM1680" s="2730"/>
      <c r="GFN1680" s="2730"/>
      <c r="GFO1680" s="2730"/>
      <c r="GFP1680" s="2730"/>
      <c r="GFQ1680" s="2730"/>
      <c r="GFR1680" s="2730"/>
      <c r="GFS1680" s="2730"/>
      <c r="GFT1680" s="2730"/>
      <c r="GFU1680" s="2730"/>
      <c r="GFV1680" s="2730"/>
      <c r="GFW1680" s="2730"/>
      <c r="GFX1680" s="2730"/>
      <c r="GFY1680" s="2730"/>
      <c r="GFZ1680" s="2730"/>
      <c r="GGA1680" s="2730"/>
      <c r="GGB1680" s="2730"/>
      <c r="GGC1680" s="2730"/>
      <c r="GGD1680" s="2730"/>
      <c r="GGE1680" s="2730"/>
      <c r="GGF1680" s="2730"/>
      <c r="GGG1680" s="2730"/>
      <c r="GGH1680" s="2730"/>
      <c r="GGI1680" s="2730"/>
      <c r="GGJ1680" s="2730"/>
      <c r="GGK1680" s="2730"/>
      <c r="GGL1680" s="2730"/>
      <c r="GGM1680" s="2730"/>
      <c r="GGN1680" s="2730"/>
      <c r="GGO1680" s="2730"/>
      <c r="GGP1680" s="2730"/>
      <c r="GGQ1680" s="2730"/>
      <c r="GGR1680" s="2730"/>
      <c r="GGS1680" s="2730"/>
      <c r="GGT1680" s="2730"/>
      <c r="GGU1680" s="2730"/>
      <c r="GGV1680" s="2730"/>
      <c r="GGW1680" s="2730"/>
      <c r="GGX1680" s="2730"/>
      <c r="GGY1680" s="2730"/>
      <c r="GGZ1680" s="2730"/>
      <c r="GHA1680" s="2730"/>
      <c r="GHB1680" s="2730"/>
      <c r="GHC1680" s="2730"/>
      <c r="GHD1680" s="2730"/>
      <c r="GHE1680" s="2730"/>
      <c r="GHF1680" s="2730"/>
      <c r="GHG1680" s="2730"/>
      <c r="GHH1680" s="2730"/>
      <c r="GHI1680" s="2730"/>
      <c r="GHJ1680" s="2730"/>
      <c r="GHK1680" s="2730"/>
      <c r="GHL1680" s="2730"/>
      <c r="GHM1680" s="2730"/>
      <c r="GHN1680" s="2730"/>
      <c r="GHO1680" s="2730"/>
      <c r="GHP1680" s="2730"/>
      <c r="GHQ1680" s="2730"/>
      <c r="GHR1680" s="2730"/>
      <c r="GHS1680" s="2730"/>
      <c r="GHT1680" s="2730"/>
      <c r="GHU1680" s="2730"/>
      <c r="GHV1680" s="2730"/>
      <c r="GHW1680" s="2730"/>
      <c r="GHX1680" s="2730"/>
      <c r="GHY1680" s="2730"/>
      <c r="GHZ1680" s="2730"/>
      <c r="GIA1680" s="2730"/>
      <c r="GIB1680" s="2730"/>
      <c r="GIC1680" s="2730"/>
      <c r="GID1680" s="2730"/>
      <c r="GIE1680" s="2730"/>
      <c r="GIF1680" s="2730"/>
      <c r="GIG1680" s="2730"/>
      <c r="GIH1680" s="2730"/>
      <c r="GII1680" s="2730"/>
      <c r="GIJ1680" s="2730"/>
      <c r="GIK1680" s="2730"/>
      <c r="GIL1680" s="2730"/>
      <c r="GIM1680" s="2730"/>
      <c r="GIN1680" s="2730"/>
      <c r="GIO1680" s="2730"/>
      <c r="GIP1680" s="2730"/>
      <c r="GIQ1680" s="2730"/>
      <c r="GIR1680" s="2730"/>
      <c r="GIS1680" s="2730"/>
      <c r="GIT1680" s="2730"/>
      <c r="GIU1680" s="2730"/>
      <c r="GIV1680" s="2730"/>
      <c r="GIW1680" s="2730"/>
      <c r="GIX1680" s="2730"/>
      <c r="GIY1680" s="2730"/>
      <c r="GIZ1680" s="2730"/>
      <c r="GJA1680" s="2730"/>
      <c r="GJB1680" s="2730"/>
      <c r="GJC1680" s="2730"/>
      <c r="GJD1680" s="2730"/>
      <c r="GJE1680" s="2730"/>
      <c r="GJF1680" s="2730"/>
      <c r="GJG1680" s="2730"/>
      <c r="GJH1680" s="2730"/>
      <c r="GJI1680" s="2730"/>
      <c r="GJJ1680" s="2730"/>
      <c r="GJK1680" s="2730"/>
      <c r="GJL1680" s="2730"/>
      <c r="GJM1680" s="2730"/>
      <c r="GJN1680" s="2730"/>
      <c r="GJO1680" s="2730"/>
      <c r="GJP1680" s="2730"/>
      <c r="GJQ1680" s="2730"/>
      <c r="GJR1680" s="2730"/>
      <c r="GJS1680" s="2730"/>
      <c r="GJT1680" s="2730"/>
      <c r="GJU1680" s="2730"/>
      <c r="GJV1680" s="2730"/>
      <c r="GJW1680" s="2730"/>
      <c r="GJX1680" s="2730"/>
      <c r="GJY1680" s="2730"/>
      <c r="GJZ1680" s="2730"/>
      <c r="GKA1680" s="2730"/>
      <c r="GKB1680" s="2730"/>
      <c r="GKC1680" s="2730"/>
      <c r="GKD1680" s="2730"/>
      <c r="GKE1680" s="2730"/>
      <c r="GKF1680" s="2730"/>
      <c r="GKG1680" s="2730"/>
      <c r="GKH1680" s="2730"/>
      <c r="GKI1680" s="2730"/>
      <c r="GKJ1680" s="2730"/>
      <c r="GKK1680" s="2730"/>
      <c r="GKL1680" s="2730"/>
      <c r="GKM1680" s="2730"/>
      <c r="GKN1680" s="2730"/>
      <c r="GKO1680" s="2730"/>
      <c r="GKP1680" s="2730"/>
      <c r="GKQ1680" s="2730"/>
      <c r="GKR1680" s="2730"/>
      <c r="GKS1680" s="2730"/>
      <c r="GKT1680" s="2730"/>
      <c r="GKU1680" s="2730"/>
      <c r="GKV1680" s="2730"/>
      <c r="GKW1680" s="2730"/>
      <c r="GKX1680" s="2730"/>
      <c r="GKY1680" s="2730"/>
      <c r="GKZ1680" s="2730"/>
      <c r="GLA1680" s="2730"/>
      <c r="GLB1680" s="2730"/>
      <c r="GLC1680" s="2730"/>
      <c r="GLD1680" s="2730"/>
      <c r="GLE1680" s="2730"/>
      <c r="GLF1680" s="2730"/>
      <c r="GLG1680" s="2730"/>
      <c r="GLH1680" s="2730"/>
      <c r="GLI1680" s="2730"/>
      <c r="GLJ1680" s="2730"/>
      <c r="GLK1680" s="2730"/>
      <c r="GLL1680" s="2730"/>
      <c r="GLM1680" s="2730"/>
      <c r="GLN1680" s="2730"/>
      <c r="GLO1680" s="2730"/>
      <c r="GLP1680" s="2730"/>
      <c r="GLQ1680" s="2730"/>
      <c r="GLR1680" s="2730"/>
      <c r="GLS1680" s="2730"/>
      <c r="GLT1680" s="2730"/>
      <c r="GLU1680" s="2730"/>
      <c r="GLV1680" s="2730"/>
      <c r="GLW1680" s="2730"/>
      <c r="GLX1680" s="2730"/>
      <c r="GLY1680" s="2730"/>
      <c r="GLZ1680" s="2730"/>
      <c r="GMA1680" s="2730"/>
      <c r="GMB1680" s="2730"/>
      <c r="GMC1680" s="2730"/>
      <c r="GMD1680" s="2730"/>
      <c r="GME1680" s="2730"/>
      <c r="GMF1680" s="2730"/>
      <c r="GMG1680" s="2730"/>
      <c r="GMH1680" s="2730"/>
      <c r="GMI1680" s="2730"/>
      <c r="GMJ1680" s="2730"/>
      <c r="GMK1680" s="2730"/>
      <c r="GML1680" s="2730"/>
      <c r="GMM1680" s="2730"/>
      <c r="GMN1680" s="2730"/>
      <c r="GMO1680" s="2730"/>
      <c r="GMP1680" s="2730"/>
      <c r="GMQ1680" s="2730"/>
      <c r="GMR1680" s="2730"/>
      <c r="GMS1680" s="2730"/>
      <c r="GMT1680" s="2730"/>
      <c r="GMU1680" s="2730"/>
      <c r="GMV1680" s="2730"/>
      <c r="GMW1680" s="2730"/>
      <c r="GMX1680" s="2730"/>
      <c r="GMY1680" s="2730"/>
      <c r="GMZ1680" s="2730"/>
      <c r="GNA1680" s="2730"/>
      <c r="GNB1680" s="2730"/>
      <c r="GNC1680" s="2730"/>
      <c r="GND1680" s="2730"/>
      <c r="GNE1680" s="2730"/>
      <c r="GNF1680" s="2730"/>
      <c r="GNG1680" s="2730"/>
      <c r="GNH1680" s="2730"/>
      <c r="GNI1680" s="2730"/>
      <c r="GNJ1680" s="2730"/>
      <c r="GNK1680" s="2730"/>
      <c r="GNL1680" s="2730"/>
      <c r="GNM1680" s="2730"/>
      <c r="GNN1680" s="2730"/>
      <c r="GNO1680" s="2730"/>
      <c r="GNP1680" s="2730"/>
      <c r="GNQ1680" s="2730"/>
      <c r="GNR1680" s="2730"/>
      <c r="GNS1680" s="2730"/>
      <c r="GNT1680" s="2730"/>
      <c r="GNU1680" s="2730"/>
      <c r="GNV1680" s="2730"/>
      <c r="GNW1680" s="2730"/>
      <c r="GNX1680" s="2730"/>
      <c r="GNY1680" s="2730"/>
      <c r="GNZ1680" s="2730"/>
      <c r="GOA1680" s="2730"/>
      <c r="GOB1680" s="2730"/>
      <c r="GOC1680" s="2730"/>
      <c r="GOD1680" s="2730"/>
      <c r="GOE1680" s="2730"/>
      <c r="GOF1680" s="2730"/>
      <c r="GOG1680" s="2730"/>
      <c r="GOH1680" s="2730"/>
      <c r="GOI1680" s="2730"/>
      <c r="GOJ1680" s="2730"/>
      <c r="GOK1680" s="2730"/>
      <c r="GOL1680" s="2730"/>
      <c r="GOM1680" s="2730"/>
      <c r="GON1680" s="2730"/>
      <c r="GOO1680" s="2730"/>
      <c r="GOP1680" s="2730"/>
      <c r="GOQ1680" s="2730"/>
      <c r="GOR1680" s="2730"/>
      <c r="GOS1680" s="2730"/>
      <c r="GOT1680" s="2730"/>
      <c r="GOU1680" s="2730"/>
      <c r="GOV1680" s="2730"/>
      <c r="GOW1680" s="2730"/>
      <c r="GOX1680" s="2730"/>
      <c r="GOY1680" s="2730"/>
      <c r="GOZ1680" s="2730"/>
      <c r="GPA1680" s="2730"/>
      <c r="GPB1680" s="2730"/>
      <c r="GPC1680" s="2730"/>
      <c r="GPD1680" s="2730"/>
      <c r="GPE1680" s="2730"/>
      <c r="GPF1680" s="2730"/>
      <c r="GPG1680" s="2730"/>
      <c r="GPH1680" s="2730"/>
      <c r="GPI1680" s="2730"/>
      <c r="GPJ1680" s="2730"/>
      <c r="GPK1680" s="2730"/>
      <c r="GPL1680" s="2730"/>
      <c r="GPM1680" s="2730"/>
      <c r="GPN1680" s="2730"/>
      <c r="GPO1680" s="2730"/>
      <c r="GPP1680" s="2730"/>
      <c r="GPQ1680" s="2730"/>
      <c r="GPR1680" s="2730"/>
      <c r="GPS1680" s="2730"/>
      <c r="GPT1680" s="2730"/>
      <c r="GPU1680" s="2730"/>
      <c r="GPV1680" s="2730"/>
      <c r="GPW1680" s="2730"/>
      <c r="GPX1680" s="2730"/>
      <c r="GPY1680" s="2730"/>
      <c r="GPZ1680" s="2730"/>
      <c r="GQA1680" s="2730"/>
      <c r="GQB1680" s="2730"/>
      <c r="GQC1680" s="2730"/>
      <c r="GQD1680" s="2730"/>
      <c r="GQE1680" s="2730"/>
      <c r="GQF1680" s="2730"/>
      <c r="GQG1680" s="2730"/>
      <c r="GQH1680" s="2730"/>
      <c r="GQI1680" s="2730"/>
      <c r="GQJ1680" s="2730"/>
      <c r="GQK1680" s="2730"/>
      <c r="GQL1680" s="2730"/>
      <c r="GQM1680" s="2730"/>
      <c r="GQN1680" s="2730"/>
      <c r="GQO1680" s="2730"/>
      <c r="GQP1680" s="2730"/>
      <c r="GQQ1680" s="2730"/>
      <c r="GQR1680" s="2730"/>
      <c r="GQS1680" s="2730"/>
      <c r="GQT1680" s="2730"/>
      <c r="GQU1680" s="2730"/>
      <c r="GQV1680" s="2730"/>
      <c r="GQW1680" s="2730"/>
      <c r="GQX1680" s="2730"/>
      <c r="GQY1680" s="2730"/>
      <c r="GQZ1680" s="2730"/>
      <c r="GRA1680" s="2730"/>
      <c r="GRB1680" s="2730"/>
      <c r="GRC1680" s="2730"/>
      <c r="GRD1680" s="2730"/>
      <c r="GRE1680" s="2730"/>
      <c r="GRF1680" s="2730"/>
      <c r="GRG1680" s="2730"/>
      <c r="GRH1680" s="2730"/>
      <c r="GRI1680" s="2730"/>
      <c r="GRJ1680" s="2730"/>
      <c r="GRK1680" s="2730"/>
      <c r="GRL1680" s="2730"/>
      <c r="GRM1680" s="2730"/>
      <c r="GRN1680" s="2730"/>
      <c r="GRO1680" s="2730"/>
      <c r="GRP1680" s="2730"/>
      <c r="GRQ1680" s="2730"/>
      <c r="GRR1680" s="2730"/>
      <c r="GRS1680" s="2730"/>
      <c r="GRT1680" s="2730"/>
      <c r="GRU1680" s="2730"/>
      <c r="GRV1680" s="2730"/>
      <c r="GRW1680" s="2730"/>
      <c r="GRX1680" s="2730"/>
      <c r="GRY1680" s="2730"/>
      <c r="GRZ1680" s="2730"/>
      <c r="GSA1680" s="2730"/>
      <c r="GSB1680" s="2730"/>
      <c r="GSC1680" s="2730"/>
      <c r="GSD1680" s="2730"/>
      <c r="GSE1680" s="2730"/>
      <c r="GSF1680" s="2730"/>
      <c r="GSG1680" s="2730"/>
      <c r="GSH1680" s="2730"/>
      <c r="GSI1680" s="2730"/>
      <c r="GSJ1680" s="2730"/>
      <c r="GSK1680" s="2730"/>
      <c r="GSL1680" s="2730"/>
      <c r="GSM1680" s="2730"/>
      <c r="GSN1680" s="2730"/>
      <c r="GSO1680" s="2730"/>
      <c r="GSP1680" s="2730"/>
      <c r="GSQ1680" s="2730"/>
      <c r="GSR1680" s="2730"/>
      <c r="GSS1680" s="2730"/>
      <c r="GST1680" s="2730"/>
      <c r="GSU1680" s="2730"/>
      <c r="GSV1680" s="2730"/>
      <c r="GSW1680" s="2730"/>
      <c r="GSX1680" s="2730"/>
      <c r="GSY1680" s="2730"/>
      <c r="GSZ1680" s="2730"/>
      <c r="GTA1680" s="2730"/>
      <c r="GTB1680" s="2730"/>
      <c r="GTC1680" s="2730"/>
      <c r="GTD1680" s="2730"/>
      <c r="GTE1680" s="2730"/>
      <c r="GTF1680" s="2730"/>
      <c r="GTG1680" s="2730"/>
      <c r="GTH1680" s="2730"/>
      <c r="GTI1680" s="2730"/>
      <c r="GTJ1680" s="2730"/>
      <c r="GTK1680" s="2730"/>
      <c r="GTL1680" s="2730"/>
      <c r="GTM1680" s="2730"/>
      <c r="GTN1680" s="2730"/>
      <c r="GTO1680" s="2730"/>
      <c r="GTP1680" s="2730"/>
      <c r="GTQ1680" s="2730"/>
      <c r="GTR1680" s="2730"/>
      <c r="GTS1680" s="2730"/>
      <c r="GTT1680" s="2730"/>
      <c r="GTU1680" s="2730"/>
      <c r="GTV1680" s="2730"/>
      <c r="GTW1680" s="2730"/>
      <c r="GTX1680" s="2730"/>
      <c r="GTY1680" s="2730"/>
      <c r="GTZ1680" s="2730"/>
      <c r="GUA1680" s="2730"/>
      <c r="GUB1680" s="2730"/>
      <c r="GUC1680" s="2730"/>
      <c r="GUD1680" s="2730"/>
      <c r="GUE1680" s="2730"/>
      <c r="GUF1680" s="2730"/>
      <c r="GUG1680" s="2730"/>
      <c r="GUH1680" s="2730"/>
      <c r="GUI1680" s="2730"/>
      <c r="GUJ1680" s="2730"/>
      <c r="GUK1680" s="2730"/>
      <c r="GUL1680" s="2730"/>
      <c r="GUM1680" s="2730"/>
      <c r="GUN1680" s="2730"/>
      <c r="GUO1680" s="2730"/>
      <c r="GUP1680" s="2730"/>
      <c r="GUQ1680" s="2730"/>
      <c r="GUR1680" s="2730"/>
      <c r="GUS1680" s="2730"/>
      <c r="GUT1680" s="2730"/>
      <c r="GUU1680" s="2730"/>
      <c r="GUV1680" s="2730"/>
      <c r="GUW1680" s="2730"/>
      <c r="GUX1680" s="2730"/>
      <c r="GUY1680" s="2730"/>
      <c r="GUZ1680" s="2730"/>
      <c r="GVA1680" s="2730"/>
      <c r="GVB1680" s="2730"/>
      <c r="GVC1680" s="2730"/>
      <c r="GVD1680" s="2730"/>
      <c r="GVE1680" s="2730"/>
      <c r="GVF1680" s="2730"/>
      <c r="GVG1680" s="2730"/>
      <c r="GVH1680" s="2730"/>
      <c r="GVI1680" s="2730"/>
      <c r="GVJ1680" s="2730"/>
      <c r="GVK1680" s="2730"/>
      <c r="GVL1680" s="2730"/>
      <c r="GVM1680" s="2730"/>
      <c r="GVN1680" s="2730"/>
      <c r="GVO1680" s="2730"/>
      <c r="GVP1680" s="2730"/>
      <c r="GVQ1680" s="2730"/>
      <c r="GVR1680" s="2730"/>
      <c r="GVS1680" s="2730"/>
      <c r="GVT1680" s="2730"/>
      <c r="GVU1680" s="2730"/>
      <c r="GVV1680" s="2730"/>
      <c r="GVW1680" s="2730"/>
      <c r="GVX1680" s="2730"/>
      <c r="GVY1680" s="2730"/>
      <c r="GVZ1680" s="2730"/>
      <c r="GWA1680" s="2730"/>
      <c r="GWB1680" s="2730"/>
      <c r="GWC1680" s="2730"/>
      <c r="GWD1680" s="2730"/>
      <c r="GWE1680" s="2730"/>
      <c r="GWF1680" s="2730"/>
      <c r="GWG1680" s="2730"/>
      <c r="GWH1680" s="2730"/>
      <c r="GWI1680" s="2730"/>
      <c r="GWJ1680" s="2730"/>
      <c r="GWK1680" s="2730"/>
      <c r="GWL1680" s="2730"/>
      <c r="GWM1680" s="2730"/>
      <c r="GWN1680" s="2730"/>
      <c r="GWO1680" s="2730"/>
      <c r="GWP1680" s="2730"/>
      <c r="GWQ1680" s="2730"/>
      <c r="GWR1680" s="2730"/>
      <c r="GWS1680" s="2730"/>
      <c r="GWT1680" s="2730"/>
      <c r="GWU1680" s="2730"/>
      <c r="GWV1680" s="2730"/>
      <c r="GWW1680" s="2730"/>
      <c r="GWX1680" s="2730"/>
      <c r="GWY1680" s="2730"/>
      <c r="GWZ1680" s="2730"/>
      <c r="GXA1680" s="2730"/>
      <c r="GXB1680" s="2730"/>
      <c r="GXC1680" s="2730"/>
      <c r="GXD1680" s="2730"/>
      <c r="GXE1680" s="2730"/>
      <c r="GXF1680" s="2730"/>
      <c r="GXG1680" s="2730"/>
      <c r="GXH1680" s="2730"/>
      <c r="GXI1680" s="2730"/>
      <c r="GXJ1680" s="2730"/>
      <c r="GXK1680" s="2730"/>
      <c r="GXL1680" s="2730"/>
      <c r="GXM1680" s="2730"/>
      <c r="GXN1680" s="2730"/>
      <c r="GXO1680" s="2730"/>
      <c r="GXP1680" s="2730"/>
      <c r="GXQ1680" s="2730"/>
      <c r="GXR1680" s="2730"/>
      <c r="GXS1680" s="2730"/>
      <c r="GXT1680" s="2730"/>
      <c r="GXU1680" s="2730"/>
      <c r="GXV1680" s="2730"/>
      <c r="GXW1680" s="2730"/>
      <c r="GXX1680" s="2730"/>
      <c r="GXY1680" s="2730"/>
      <c r="GXZ1680" s="2730"/>
      <c r="GYA1680" s="2730"/>
      <c r="GYB1680" s="2730"/>
      <c r="GYC1680" s="2730"/>
      <c r="GYD1680" s="2730"/>
      <c r="GYE1680" s="2730"/>
      <c r="GYF1680" s="2730"/>
      <c r="GYG1680" s="2730"/>
      <c r="GYH1680" s="2730"/>
      <c r="GYI1680" s="2730"/>
      <c r="GYJ1680" s="2730"/>
      <c r="GYK1680" s="2730"/>
      <c r="GYL1680" s="2730"/>
      <c r="GYM1680" s="2730"/>
      <c r="GYN1680" s="2730"/>
      <c r="GYO1680" s="2730"/>
      <c r="GYP1680" s="2730"/>
      <c r="GYQ1680" s="2730"/>
      <c r="GYR1680" s="2730"/>
      <c r="GYS1680" s="2730"/>
      <c r="GYT1680" s="2730"/>
      <c r="GYU1680" s="2730"/>
      <c r="GYV1680" s="2730"/>
      <c r="GYW1680" s="2730"/>
      <c r="GYX1680" s="2730"/>
      <c r="GYY1680" s="2730"/>
      <c r="GYZ1680" s="2730"/>
      <c r="GZA1680" s="2730"/>
      <c r="GZB1680" s="2730"/>
      <c r="GZC1680" s="2730"/>
      <c r="GZD1680" s="2730"/>
      <c r="GZE1680" s="2730"/>
      <c r="GZF1680" s="2730"/>
      <c r="GZG1680" s="2730"/>
      <c r="GZH1680" s="2730"/>
      <c r="GZI1680" s="2730"/>
      <c r="GZJ1680" s="2730"/>
      <c r="GZK1680" s="2730"/>
      <c r="GZL1680" s="2730"/>
      <c r="GZM1680" s="2730"/>
      <c r="GZN1680" s="2730"/>
      <c r="GZO1680" s="2730"/>
      <c r="GZP1680" s="2730"/>
      <c r="GZQ1680" s="2730"/>
      <c r="GZR1680" s="2730"/>
      <c r="GZS1680" s="2730"/>
      <c r="GZT1680" s="2730"/>
      <c r="GZU1680" s="2730"/>
      <c r="GZV1680" s="2730"/>
      <c r="GZW1680" s="2730"/>
      <c r="GZX1680" s="2730"/>
      <c r="GZY1680" s="2730"/>
      <c r="GZZ1680" s="2730"/>
      <c r="HAA1680" s="2730"/>
      <c r="HAB1680" s="2730"/>
      <c r="HAC1680" s="2730"/>
      <c r="HAD1680" s="2730"/>
      <c r="HAE1680" s="2730"/>
      <c r="HAF1680" s="2730"/>
      <c r="HAG1680" s="2730"/>
      <c r="HAH1680" s="2730"/>
      <c r="HAI1680" s="2730"/>
      <c r="HAJ1680" s="2730"/>
      <c r="HAK1680" s="2730"/>
      <c r="HAL1680" s="2730"/>
      <c r="HAM1680" s="2730"/>
      <c r="HAN1680" s="2730"/>
      <c r="HAO1680" s="2730"/>
      <c r="HAP1680" s="2730"/>
      <c r="HAQ1680" s="2730"/>
      <c r="HAR1680" s="2730"/>
      <c r="HAS1680" s="2730"/>
      <c r="HAT1680" s="2730"/>
      <c r="HAU1680" s="2730"/>
      <c r="HAV1680" s="2730"/>
      <c r="HAW1680" s="2730"/>
      <c r="HAX1680" s="2730"/>
      <c r="HAY1680" s="2730"/>
      <c r="HAZ1680" s="2730"/>
      <c r="HBA1680" s="2730"/>
      <c r="HBB1680" s="2730"/>
      <c r="HBC1680" s="2730"/>
      <c r="HBD1680" s="2730"/>
      <c r="HBE1680" s="2730"/>
      <c r="HBF1680" s="2730"/>
      <c r="HBG1680" s="2730"/>
      <c r="HBH1680" s="2730"/>
      <c r="HBI1680" s="2730"/>
      <c r="HBJ1680" s="2730"/>
      <c r="HBK1680" s="2730"/>
      <c r="HBL1680" s="2730"/>
      <c r="HBM1680" s="2730"/>
      <c r="HBN1680" s="2730"/>
      <c r="HBO1680" s="2730"/>
      <c r="HBP1680" s="2730"/>
      <c r="HBQ1680" s="2730"/>
      <c r="HBR1680" s="2730"/>
      <c r="HBS1680" s="2730"/>
      <c r="HBT1680" s="2730"/>
      <c r="HBU1680" s="2730"/>
      <c r="HBV1680" s="2730"/>
      <c r="HBW1680" s="2730"/>
      <c r="HBX1680" s="2730"/>
      <c r="HBY1680" s="2730"/>
      <c r="HBZ1680" s="2730"/>
      <c r="HCA1680" s="2730"/>
      <c r="HCB1680" s="2730"/>
      <c r="HCC1680" s="2730"/>
      <c r="HCD1680" s="2730"/>
      <c r="HCE1680" s="2730"/>
      <c r="HCF1680" s="2730"/>
      <c r="HCG1680" s="2730"/>
      <c r="HCH1680" s="2730"/>
      <c r="HCI1680" s="2730"/>
      <c r="HCJ1680" s="2730"/>
      <c r="HCK1680" s="2730"/>
      <c r="HCL1680" s="2730"/>
      <c r="HCM1680" s="2730"/>
      <c r="HCN1680" s="2730"/>
      <c r="HCO1680" s="2730"/>
      <c r="HCP1680" s="2730"/>
      <c r="HCQ1680" s="2730"/>
      <c r="HCR1680" s="2730"/>
      <c r="HCS1680" s="2730"/>
      <c r="HCT1680" s="2730"/>
      <c r="HCU1680" s="2730"/>
      <c r="HCV1680" s="2730"/>
      <c r="HCW1680" s="2730"/>
      <c r="HCX1680" s="2730"/>
      <c r="HCY1680" s="2730"/>
      <c r="HCZ1680" s="2730"/>
      <c r="HDA1680" s="2730"/>
      <c r="HDB1680" s="2730"/>
      <c r="HDC1680" s="2730"/>
      <c r="HDD1680" s="2730"/>
      <c r="HDE1680" s="2730"/>
      <c r="HDF1680" s="2730"/>
      <c r="HDG1680" s="2730"/>
      <c r="HDH1680" s="2730"/>
      <c r="HDI1680" s="2730"/>
      <c r="HDJ1680" s="2730"/>
      <c r="HDK1680" s="2730"/>
      <c r="HDL1680" s="2730"/>
      <c r="HDM1680" s="2730"/>
      <c r="HDN1680" s="2730"/>
      <c r="HDO1680" s="2730"/>
      <c r="HDP1680" s="2730"/>
      <c r="HDQ1680" s="2730"/>
      <c r="HDR1680" s="2730"/>
      <c r="HDS1680" s="2730"/>
      <c r="HDT1680" s="2730"/>
      <c r="HDU1680" s="2730"/>
      <c r="HDV1680" s="2730"/>
      <c r="HDW1680" s="2730"/>
      <c r="HDX1680" s="2730"/>
      <c r="HDY1680" s="2730"/>
      <c r="HDZ1680" s="2730"/>
      <c r="HEA1680" s="2730"/>
      <c r="HEB1680" s="2730"/>
      <c r="HEC1680" s="2730"/>
      <c r="HED1680" s="2730"/>
      <c r="HEE1680" s="2730"/>
      <c r="HEF1680" s="2730"/>
      <c r="HEG1680" s="2730"/>
      <c r="HEH1680" s="2730"/>
      <c r="HEI1680" s="2730"/>
      <c r="HEJ1680" s="2730"/>
      <c r="HEK1680" s="2730"/>
      <c r="HEL1680" s="2730"/>
      <c r="HEM1680" s="2730"/>
      <c r="HEN1680" s="2730"/>
      <c r="HEO1680" s="2730"/>
      <c r="HEP1680" s="2730"/>
      <c r="HEQ1680" s="2730"/>
      <c r="HER1680" s="2730"/>
      <c r="HES1680" s="2730"/>
      <c r="HET1680" s="2730"/>
      <c r="HEU1680" s="2730"/>
      <c r="HEV1680" s="2730"/>
      <c r="HEW1680" s="2730"/>
      <c r="HEX1680" s="2730"/>
      <c r="HEY1680" s="2730"/>
      <c r="HEZ1680" s="2730"/>
      <c r="HFA1680" s="2730"/>
      <c r="HFB1680" s="2730"/>
      <c r="HFC1680" s="2730"/>
      <c r="HFD1680" s="2730"/>
      <c r="HFE1680" s="2730"/>
      <c r="HFF1680" s="2730"/>
      <c r="HFG1680" s="2730"/>
      <c r="HFH1680" s="2730"/>
      <c r="HFI1680" s="2730"/>
      <c r="HFJ1680" s="2730"/>
      <c r="HFK1680" s="2730"/>
      <c r="HFL1680" s="2730"/>
      <c r="HFM1680" s="2730"/>
      <c r="HFN1680" s="2730"/>
      <c r="HFO1680" s="2730"/>
      <c r="HFP1680" s="2730"/>
      <c r="HFQ1680" s="2730"/>
      <c r="HFR1680" s="2730"/>
      <c r="HFS1680" s="2730"/>
      <c r="HFT1680" s="2730"/>
      <c r="HFU1680" s="2730"/>
      <c r="HFV1680" s="2730"/>
      <c r="HFW1680" s="2730"/>
      <c r="HFX1680" s="2730"/>
      <c r="HFY1680" s="2730"/>
      <c r="HFZ1680" s="2730"/>
      <c r="HGA1680" s="2730"/>
      <c r="HGB1680" s="2730"/>
      <c r="HGC1680" s="2730"/>
      <c r="HGD1680" s="2730"/>
      <c r="HGE1680" s="2730"/>
      <c r="HGF1680" s="2730"/>
      <c r="HGG1680" s="2730"/>
      <c r="HGH1680" s="2730"/>
      <c r="HGI1680" s="2730"/>
      <c r="HGJ1680" s="2730"/>
      <c r="HGK1680" s="2730"/>
      <c r="HGL1680" s="2730"/>
      <c r="HGM1680" s="2730"/>
      <c r="HGN1680" s="2730"/>
      <c r="HGO1680" s="2730"/>
      <c r="HGP1680" s="2730"/>
      <c r="HGQ1680" s="2730"/>
      <c r="HGR1680" s="2730"/>
      <c r="HGS1680" s="2730"/>
      <c r="HGT1680" s="2730"/>
      <c r="HGU1680" s="2730"/>
      <c r="HGV1680" s="2730"/>
      <c r="HGW1680" s="2730"/>
      <c r="HGX1680" s="2730"/>
      <c r="HGY1680" s="2730"/>
      <c r="HGZ1680" s="2730"/>
      <c r="HHA1680" s="2730"/>
      <c r="HHB1680" s="2730"/>
      <c r="HHC1680" s="2730"/>
      <c r="HHD1680" s="2730"/>
      <c r="HHE1680" s="2730"/>
      <c r="HHF1680" s="2730"/>
      <c r="HHG1680" s="2730"/>
      <c r="HHH1680" s="2730"/>
      <c r="HHI1680" s="2730"/>
      <c r="HHJ1680" s="2730"/>
      <c r="HHK1680" s="2730"/>
      <c r="HHL1680" s="2730"/>
      <c r="HHM1680" s="2730"/>
      <c r="HHN1680" s="2730"/>
      <c r="HHO1680" s="2730"/>
      <c r="HHP1680" s="2730"/>
      <c r="HHQ1680" s="2730"/>
      <c r="HHR1680" s="2730"/>
      <c r="HHS1680" s="2730"/>
      <c r="HHT1680" s="2730"/>
      <c r="HHU1680" s="2730"/>
      <c r="HHV1680" s="2730"/>
      <c r="HHW1680" s="2730"/>
      <c r="HHX1680" s="2730"/>
      <c r="HHY1680" s="2730"/>
      <c r="HHZ1680" s="2730"/>
      <c r="HIA1680" s="2730"/>
      <c r="HIB1680" s="2730"/>
      <c r="HIC1680" s="2730"/>
      <c r="HID1680" s="2730"/>
      <c r="HIE1680" s="2730"/>
      <c r="HIF1680" s="2730"/>
      <c r="HIG1680" s="2730"/>
      <c r="HIH1680" s="2730"/>
      <c r="HII1680" s="2730"/>
      <c r="HIJ1680" s="2730"/>
      <c r="HIK1680" s="2730"/>
      <c r="HIL1680" s="2730"/>
      <c r="HIM1680" s="2730"/>
      <c r="HIN1680" s="2730"/>
      <c r="HIO1680" s="2730"/>
      <c r="HIP1680" s="2730"/>
      <c r="HIQ1680" s="2730"/>
      <c r="HIR1680" s="2730"/>
      <c r="HIS1680" s="2730"/>
      <c r="HIT1680" s="2730"/>
      <c r="HIU1680" s="2730"/>
      <c r="HIV1680" s="2730"/>
      <c r="HIW1680" s="2730"/>
      <c r="HIX1680" s="2730"/>
      <c r="HIY1680" s="2730"/>
      <c r="HIZ1680" s="2730"/>
      <c r="HJA1680" s="2730"/>
      <c r="HJB1680" s="2730"/>
      <c r="HJC1680" s="2730"/>
      <c r="HJD1680" s="2730"/>
      <c r="HJE1680" s="2730"/>
      <c r="HJF1680" s="2730"/>
      <c r="HJG1680" s="2730"/>
      <c r="HJH1680" s="2730"/>
      <c r="HJI1680" s="2730"/>
      <c r="HJJ1680" s="2730"/>
      <c r="HJK1680" s="2730"/>
      <c r="HJL1680" s="2730"/>
      <c r="HJM1680" s="2730"/>
      <c r="HJN1680" s="2730"/>
      <c r="HJO1680" s="2730"/>
      <c r="HJP1680" s="2730"/>
      <c r="HJQ1680" s="2730"/>
      <c r="HJR1680" s="2730"/>
      <c r="HJS1680" s="2730"/>
      <c r="HJT1680" s="2730"/>
      <c r="HJU1680" s="2730"/>
      <c r="HJV1680" s="2730"/>
      <c r="HJW1680" s="2730"/>
      <c r="HJX1680" s="2730"/>
      <c r="HJY1680" s="2730"/>
      <c r="HJZ1680" s="2730"/>
      <c r="HKA1680" s="2730"/>
      <c r="HKB1680" s="2730"/>
      <c r="HKC1680" s="2730"/>
      <c r="HKD1680" s="2730"/>
      <c r="HKE1680" s="2730"/>
      <c r="HKF1680" s="2730"/>
      <c r="HKG1680" s="2730"/>
      <c r="HKH1680" s="2730"/>
      <c r="HKI1680" s="2730"/>
      <c r="HKJ1680" s="2730"/>
      <c r="HKK1680" s="2730"/>
      <c r="HKL1680" s="2730"/>
      <c r="HKM1680" s="2730"/>
      <c r="HKN1680" s="2730"/>
      <c r="HKO1680" s="2730"/>
      <c r="HKP1680" s="2730"/>
      <c r="HKQ1680" s="2730"/>
      <c r="HKR1680" s="2730"/>
      <c r="HKS1680" s="2730"/>
      <c r="HKT1680" s="2730"/>
      <c r="HKU1680" s="2730"/>
      <c r="HKV1680" s="2730"/>
      <c r="HKW1680" s="2730"/>
      <c r="HKX1680" s="2730"/>
      <c r="HKY1680" s="2730"/>
      <c r="HKZ1680" s="2730"/>
      <c r="HLA1680" s="2730"/>
      <c r="HLB1680" s="2730"/>
      <c r="HLC1680" s="2730"/>
      <c r="HLD1680" s="2730"/>
      <c r="HLE1680" s="2730"/>
      <c r="HLF1680" s="2730"/>
      <c r="HLG1680" s="2730"/>
      <c r="HLH1680" s="2730"/>
      <c r="HLI1680" s="2730"/>
      <c r="HLJ1680" s="2730"/>
      <c r="HLK1680" s="2730"/>
      <c r="HLL1680" s="2730"/>
      <c r="HLM1680" s="2730"/>
      <c r="HLN1680" s="2730"/>
      <c r="HLO1680" s="2730"/>
      <c r="HLP1680" s="2730"/>
      <c r="HLQ1680" s="2730"/>
      <c r="HLR1680" s="2730"/>
      <c r="HLS1680" s="2730"/>
      <c r="HLT1680" s="2730"/>
      <c r="HLU1680" s="2730"/>
      <c r="HLV1680" s="2730"/>
      <c r="HLW1680" s="2730"/>
      <c r="HLX1680" s="2730"/>
      <c r="HLY1680" s="2730"/>
      <c r="HLZ1680" s="2730"/>
      <c r="HMA1680" s="2730"/>
      <c r="HMB1680" s="2730"/>
      <c r="HMC1680" s="2730"/>
      <c r="HMD1680" s="2730"/>
      <c r="HME1680" s="2730"/>
      <c r="HMF1680" s="2730"/>
      <c r="HMG1680" s="2730"/>
      <c r="HMH1680" s="2730"/>
      <c r="HMI1680" s="2730"/>
      <c r="HMJ1680" s="2730"/>
      <c r="HMK1680" s="2730"/>
      <c r="HML1680" s="2730"/>
      <c r="HMM1680" s="2730"/>
      <c r="HMN1680" s="2730"/>
      <c r="HMO1680" s="2730"/>
      <c r="HMP1680" s="2730"/>
      <c r="HMQ1680" s="2730"/>
      <c r="HMR1680" s="2730"/>
      <c r="HMS1680" s="2730"/>
      <c r="HMT1680" s="2730"/>
      <c r="HMU1680" s="2730"/>
      <c r="HMV1680" s="2730"/>
      <c r="HMW1680" s="2730"/>
      <c r="HMX1680" s="2730"/>
      <c r="HMY1680" s="2730"/>
      <c r="HMZ1680" s="2730"/>
      <c r="HNA1680" s="2730"/>
      <c r="HNB1680" s="2730"/>
      <c r="HNC1680" s="2730"/>
      <c r="HND1680" s="2730"/>
      <c r="HNE1680" s="2730"/>
      <c r="HNF1680" s="2730"/>
      <c r="HNG1680" s="2730"/>
      <c r="HNH1680" s="2730"/>
      <c r="HNI1680" s="2730"/>
      <c r="HNJ1680" s="2730"/>
      <c r="HNK1680" s="2730"/>
      <c r="HNL1680" s="2730"/>
      <c r="HNM1680" s="2730"/>
      <c r="HNN1680" s="2730"/>
      <c r="HNO1680" s="2730"/>
      <c r="HNP1680" s="2730"/>
      <c r="HNQ1680" s="2730"/>
      <c r="HNR1680" s="2730"/>
      <c r="HNS1680" s="2730"/>
      <c r="HNT1680" s="2730"/>
      <c r="HNU1680" s="2730"/>
      <c r="HNV1680" s="2730"/>
      <c r="HNW1680" s="2730"/>
      <c r="HNX1680" s="2730"/>
      <c r="HNY1680" s="2730"/>
      <c r="HNZ1680" s="2730"/>
      <c r="HOA1680" s="2730"/>
      <c r="HOB1680" s="2730"/>
      <c r="HOC1680" s="2730"/>
      <c r="HOD1680" s="2730"/>
      <c r="HOE1680" s="2730"/>
      <c r="HOF1680" s="2730"/>
      <c r="HOG1680" s="2730"/>
      <c r="HOH1680" s="2730"/>
      <c r="HOI1680" s="2730"/>
      <c r="HOJ1680" s="2730"/>
      <c r="HOK1680" s="2730"/>
      <c r="HOL1680" s="2730"/>
      <c r="HOM1680" s="2730"/>
      <c r="HON1680" s="2730"/>
      <c r="HOO1680" s="2730"/>
      <c r="HOP1680" s="2730"/>
      <c r="HOQ1680" s="2730"/>
      <c r="HOR1680" s="2730"/>
      <c r="HOS1680" s="2730"/>
      <c r="HOT1680" s="2730"/>
      <c r="HOU1680" s="2730"/>
      <c r="HOV1680" s="2730"/>
      <c r="HOW1680" s="2730"/>
      <c r="HOX1680" s="2730"/>
      <c r="HOY1680" s="2730"/>
      <c r="HOZ1680" s="2730"/>
      <c r="HPA1680" s="2730"/>
      <c r="HPB1680" s="2730"/>
      <c r="HPC1680" s="2730"/>
      <c r="HPD1680" s="2730"/>
      <c r="HPE1680" s="2730"/>
      <c r="HPF1680" s="2730"/>
      <c r="HPG1680" s="2730"/>
      <c r="HPH1680" s="2730"/>
      <c r="HPI1680" s="2730"/>
      <c r="HPJ1680" s="2730"/>
      <c r="HPK1680" s="2730"/>
      <c r="HPL1680" s="2730"/>
      <c r="HPM1680" s="2730"/>
      <c r="HPN1680" s="2730"/>
      <c r="HPO1680" s="2730"/>
      <c r="HPP1680" s="2730"/>
      <c r="HPQ1680" s="2730"/>
      <c r="HPR1680" s="2730"/>
      <c r="HPS1680" s="2730"/>
      <c r="HPT1680" s="2730"/>
      <c r="HPU1680" s="2730"/>
      <c r="HPV1680" s="2730"/>
      <c r="HPW1680" s="2730"/>
      <c r="HPX1680" s="2730"/>
      <c r="HPY1680" s="2730"/>
      <c r="HPZ1680" s="2730"/>
      <c r="HQA1680" s="2730"/>
      <c r="HQB1680" s="2730"/>
      <c r="HQC1680" s="2730"/>
      <c r="HQD1680" s="2730"/>
      <c r="HQE1680" s="2730"/>
      <c r="HQF1680" s="2730"/>
      <c r="HQG1680" s="2730"/>
      <c r="HQH1680" s="2730"/>
      <c r="HQI1680" s="2730"/>
      <c r="HQJ1680" s="2730"/>
      <c r="HQK1680" s="2730"/>
      <c r="HQL1680" s="2730"/>
      <c r="HQM1680" s="2730"/>
      <c r="HQN1680" s="2730"/>
      <c r="HQO1680" s="2730"/>
      <c r="HQP1680" s="2730"/>
      <c r="HQQ1680" s="2730"/>
      <c r="HQR1680" s="2730"/>
      <c r="HQS1680" s="2730"/>
      <c r="HQT1680" s="2730"/>
      <c r="HQU1680" s="2730"/>
      <c r="HQV1680" s="2730"/>
      <c r="HQW1680" s="2730"/>
      <c r="HQX1680" s="2730"/>
      <c r="HQY1680" s="2730"/>
      <c r="HQZ1680" s="2730"/>
      <c r="HRA1680" s="2730"/>
      <c r="HRB1680" s="2730"/>
      <c r="HRC1680" s="2730"/>
      <c r="HRD1680" s="2730"/>
      <c r="HRE1680" s="2730"/>
      <c r="HRF1680" s="2730"/>
      <c r="HRG1680" s="2730"/>
      <c r="HRH1680" s="2730"/>
      <c r="HRI1680" s="2730"/>
      <c r="HRJ1680" s="2730"/>
      <c r="HRK1680" s="2730"/>
      <c r="HRL1680" s="2730"/>
      <c r="HRM1680" s="2730"/>
      <c r="HRN1680" s="2730"/>
      <c r="HRO1680" s="2730"/>
      <c r="HRP1680" s="2730"/>
      <c r="HRQ1680" s="2730"/>
      <c r="HRR1680" s="2730"/>
      <c r="HRS1680" s="2730"/>
      <c r="HRT1680" s="2730"/>
      <c r="HRU1680" s="2730"/>
      <c r="HRV1680" s="2730"/>
      <c r="HRW1680" s="2730"/>
      <c r="HRX1680" s="2730"/>
      <c r="HRY1680" s="2730"/>
      <c r="HRZ1680" s="2730"/>
      <c r="HSA1680" s="2730"/>
      <c r="HSB1680" s="2730"/>
      <c r="HSC1680" s="2730"/>
      <c r="HSD1680" s="2730"/>
      <c r="HSE1680" s="2730"/>
      <c r="HSF1680" s="2730"/>
      <c r="HSG1680" s="2730"/>
      <c r="HSH1680" s="2730"/>
      <c r="HSI1680" s="2730"/>
      <c r="HSJ1680" s="2730"/>
      <c r="HSK1680" s="2730"/>
      <c r="HSL1680" s="2730"/>
      <c r="HSM1680" s="2730"/>
      <c r="HSN1680" s="2730"/>
      <c r="HSO1680" s="2730"/>
      <c r="HSP1680" s="2730"/>
      <c r="HSQ1680" s="2730"/>
      <c r="HSR1680" s="2730"/>
      <c r="HSS1680" s="2730"/>
      <c r="HST1680" s="2730"/>
      <c r="HSU1680" s="2730"/>
      <c r="HSV1680" s="2730"/>
      <c r="HSW1680" s="2730"/>
      <c r="HSX1680" s="2730"/>
      <c r="HSY1680" s="2730"/>
      <c r="HSZ1680" s="2730"/>
      <c r="HTA1680" s="2730"/>
      <c r="HTB1680" s="2730"/>
      <c r="HTC1680" s="2730"/>
      <c r="HTD1680" s="2730"/>
      <c r="HTE1680" s="2730"/>
      <c r="HTF1680" s="2730"/>
      <c r="HTG1680" s="2730"/>
      <c r="HTH1680" s="2730"/>
      <c r="HTI1680" s="2730"/>
      <c r="HTJ1680" s="2730"/>
      <c r="HTK1680" s="2730"/>
      <c r="HTL1680" s="2730"/>
      <c r="HTM1680" s="2730"/>
      <c r="HTN1680" s="2730"/>
      <c r="HTO1680" s="2730"/>
      <c r="HTP1680" s="2730"/>
      <c r="HTQ1680" s="2730"/>
      <c r="HTR1680" s="2730"/>
      <c r="HTS1680" s="2730"/>
      <c r="HTT1680" s="2730"/>
      <c r="HTU1680" s="2730"/>
      <c r="HTV1680" s="2730"/>
      <c r="HTW1680" s="2730"/>
      <c r="HTX1680" s="2730"/>
      <c r="HTY1680" s="2730"/>
      <c r="HTZ1680" s="2730"/>
      <c r="HUA1680" s="2730"/>
      <c r="HUB1680" s="2730"/>
      <c r="HUC1680" s="2730"/>
      <c r="HUD1680" s="2730"/>
      <c r="HUE1680" s="2730"/>
      <c r="HUF1680" s="2730"/>
      <c r="HUG1680" s="2730"/>
      <c r="HUH1680" s="2730"/>
      <c r="HUI1680" s="2730"/>
      <c r="HUJ1680" s="2730"/>
      <c r="HUK1680" s="2730"/>
      <c r="HUL1680" s="2730"/>
      <c r="HUM1680" s="2730"/>
      <c r="HUN1680" s="2730"/>
      <c r="HUO1680" s="2730"/>
      <c r="HUP1680" s="2730"/>
      <c r="HUQ1680" s="2730"/>
      <c r="HUR1680" s="2730"/>
      <c r="HUS1680" s="2730"/>
      <c r="HUT1680" s="2730"/>
      <c r="HUU1680" s="2730"/>
      <c r="HUV1680" s="2730"/>
      <c r="HUW1680" s="2730"/>
      <c r="HUX1680" s="2730"/>
      <c r="HUY1680" s="2730"/>
      <c r="HUZ1680" s="2730"/>
      <c r="HVA1680" s="2730"/>
      <c r="HVB1680" s="2730"/>
      <c r="HVC1680" s="2730"/>
      <c r="HVD1680" s="2730"/>
      <c r="HVE1680" s="2730"/>
      <c r="HVF1680" s="2730"/>
      <c r="HVG1680" s="2730"/>
      <c r="HVH1680" s="2730"/>
      <c r="HVI1680" s="2730"/>
      <c r="HVJ1680" s="2730"/>
      <c r="HVK1680" s="2730"/>
      <c r="HVL1680" s="2730"/>
      <c r="HVM1680" s="2730"/>
      <c r="HVN1680" s="2730"/>
      <c r="HVO1680" s="2730"/>
      <c r="HVP1680" s="2730"/>
      <c r="HVQ1680" s="2730"/>
      <c r="HVR1680" s="2730"/>
      <c r="HVS1680" s="2730"/>
      <c r="HVT1680" s="2730"/>
      <c r="HVU1680" s="2730"/>
      <c r="HVV1680" s="2730"/>
      <c r="HVW1680" s="2730"/>
      <c r="HVX1680" s="2730"/>
      <c r="HVY1680" s="2730"/>
      <c r="HVZ1680" s="2730"/>
      <c r="HWA1680" s="2730"/>
      <c r="HWB1680" s="2730"/>
      <c r="HWC1680" s="2730"/>
      <c r="HWD1680" s="2730"/>
      <c r="HWE1680" s="2730"/>
      <c r="HWF1680" s="2730"/>
      <c r="HWG1680" s="2730"/>
      <c r="HWH1680" s="2730"/>
      <c r="HWI1680" s="2730"/>
      <c r="HWJ1680" s="2730"/>
      <c r="HWK1680" s="2730"/>
      <c r="HWL1680" s="2730"/>
      <c r="HWM1680" s="2730"/>
      <c r="HWN1680" s="2730"/>
      <c r="HWO1680" s="2730"/>
      <c r="HWP1680" s="2730"/>
      <c r="HWQ1680" s="2730"/>
      <c r="HWR1680" s="2730"/>
      <c r="HWS1680" s="2730"/>
      <c r="HWT1680" s="2730"/>
      <c r="HWU1680" s="2730"/>
      <c r="HWV1680" s="2730"/>
      <c r="HWW1680" s="2730"/>
      <c r="HWX1680" s="2730"/>
      <c r="HWY1680" s="2730"/>
      <c r="HWZ1680" s="2730"/>
      <c r="HXA1680" s="2730"/>
      <c r="HXB1680" s="2730"/>
      <c r="HXC1680" s="2730"/>
      <c r="HXD1680" s="2730"/>
      <c r="HXE1680" s="2730"/>
      <c r="HXF1680" s="2730"/>
      <c r="HXG1680" s="2730"/>
      <c r="HXH1680" s="2730"/>
      <c r="HXI1680" s="2730"/>
      <c r="HXJ1680" s="2730"/>
      <c r="HXK1680" s="2730"/>
      <c r="HXL1680" s="2730"/>
      <c r="HXM1680" s="2730"/>
      <c r="HXN1680" s="2730"/>
      <c r="HXO1680" s="2730"/>
      <c r="HXP1680" s="2730"/>
      <c r="HXQ1680" s="2730"/>
      <c r="HXR1680" s="2730"/>
      <c r="HXS1680" s="2730"/>
      <c r="HXT1680" s="2730"/>
      <c r="HXU1680" s="2730"/>
      <c r="HXV1680" s="2730"/>
      <c r="HXW1680" s="2730"/>
      <c r="HXX1680" s="2730"/>
      <c r="HXY1680" s="2730"/>
      <c r="HXZ1680" s="2730"/>
      <c r="HYA1680" s="2730"/>
      <c r="HYB1680" s="2730"/>
      <c r="HYC1680" s="2730"/>
      <c r="HYD1680" s="2730"/>
      <c r="HYE1680" s="2730"/>
      <c r="HYF1680" s="2730"/>
      <c r="HYG1680" s="2730"/>
      <c r="HYH1680" s="2730"/>
      <c r="HYI1680" s="2730"/>
      <c r="HYJ1680" s="2730"/>
      <c r="HYK1680" s="2730"/>
      <c r="HYL1680" s="2730"/>
      <c r="HYM1680" s="2730"/>
      <c r="HYN1680" s="2730"/>
      <c r="HYO1680" s="2730"/>
      <c r="HYP1680" s="2730"/>
      <c r="HYQ1680" s="2730"/>
      <c r="HYR1680" s="2730"/>
      <c r="HYS1680" s="2730"/>
      <c r="HYT1680" s="2730"/>
      <c r="HYU1680" s="2730"/>
      <c r="HYV1680" s="2730"/>
      <c r="HYW1680" s="2730"/>
      <c r="HYX1680" s="2730"/>
      <c r="HYY1680" s="2730"/>
      <c r="HYZ1680" s="2730"/>
      <c r="HZA1680" s="2730"/>
      <c r="HZB1680" s="2730"/>
      <c r="HZC1680" s="2730"/>
      <c r="HZD1680" s="2730"/>
      <c r="HZE1680" s="2730"/>
      <c r="HZF1680" s="2730"/>
      <c r="HZG1680" s="2730"/>
      <c r="HZH1680" s="2730"/>
      <c r="HZI1680" s="2730"/>
      <c r="HZJ1680" s="2730"/>
      <c r="HZK1680" s="2730"/>
      <c r="HZL1680" s="2730"/>
      <c r="HZM1680" s="2730"/>
      <c r="HZN1680" s="2730"/>
      <c r="HZO1680" s="2730"/>
      <c r="HZP1680" s="2730"/>
      <c r="HZQ1680" s="2730"/>
      <c r="HZR1680" s="2730"/>
      <c r="HZS1680" s="2730"/>
      <c r="HZT1680" s="2730"/>
      <c r="HZU1680" s="2730"/>
      <c r="HZV1680" s="2730"/>
      <c r="HZW1680" s="2730"/>
      <c r="HZX1680" s="2730"/>
      <c r="HZY1680" s="2730"/>
      <c r="HZZ1680" s="2730"/>
      <c r="IAA1680" s="2730"/>
      <c r="IAB1680" s="2730"/>
      <c r="IAC1680" s="2730"/>
      <c r="IAD1680" s="2730"/>
      <c r="IAE1680" s="2730"/>
      <c r="IAF1680" s="2730"/>
      <c r="IAG1680" s="2730"/>
      <c r="IAH1680" s="2730"/>
      <c r="IAI1680" s="2730"/>
      <c r="IAJ1680" s="2730"/>
      <c r="IAK1680" s="2730"/>
      <c r="IAL1680" s="2730"/>
      <c r="IAM1680" s="2730"/>
      <c r="IAN1680" s="2730"/>
      <c r="IAO1680" s="2730"/>
      <c r="IAP1680" s="2730"/>
      <c r="IAQ1680" s="2730"/>
      <c r="IAR1680" s="2730"/>
      <c r="IAS1680" s="2730"/>
      <c r="IAT1680" s="2730"/>
      <c r="IAU1680" s="2730"/>
      <c r="IAV1680" s="2730"/>
      <c r="IAW1680" s="2730"/>
      <c r="IAX1680" s="2730"/>
      <c r="IAY1680" s="2730"/>
      <c r="IAZ1680" s="2730"/>
      <c r="IBA1680" s="2730"/>
      <c r="IBB1680" s="2730"/>
      <c r="IBC1680" s="2730"/>
      <c r="IBD1680" s="2730"/>
      <c r="IBE1680" s="2730"/>
      <c r="IBF1680" s="2730"/>
      <c r="IBG1680" s="2730"/>
      <c r="IBH1680" s="2730"/>
      <c r="IBI1680" s="2730"/>
      <c r="IBJ1680" s="2730"/>
      <c r="IBK1680" s="2730"/>
      <c r="IBL1680" s="2730"/>
      <c r="IBM1680" s="2730"/>
      <c r="IBN1680" s="2730"/>
      <c r="IBO1680" s="2730"/>
      <c r="IBP1680" s="2730"/>
      <c r="IBQ1680" s="2730"/>
      <c r="IBR1680" s="2730"/>
      <c r="IBS1680" s="2730"/>
      <c r="IBT1680" s="2730"/>
      <c r="IBU1680" s="2730"/>
      <c r="IBV1680" s="2730"/>
      <c r="IBW1680" s="2730"/>
      <c r="IBX1680" s="2730"/>
      <c r="IBY1680" s="2730"/>
      <c r="IBZ1680" s="2730"/>
      <c r="ICA1680" s="2730"/>
      <c r="ICB1680" s="2730"/>
      <c r="ICC1680" s="2730"/>
      <c r="ICD1680" s="2730"/>
      <c r="ICE1680" s="2730"/>
      <c r="ICF1680" s="2730"/>
      <c r="ICG1680" s="2730"/>
      <c r="ICH1680" s="2730"/>
      <c r="ICI1680" s="2730"/>
      <c r="ICJ1680" s="2730"/>
      <c r="ICK1680" s="2730"/>
      <c r="ICL1680" s="2730"/>
      <c r="ICM1680" s="2730"/>
      <c r="ICN1680" s="2730"/>
      <c r="ICO1680" s="2730"/>
      <c r="ICP1680" s="2730"/>
      <c r="ICQ1680" s="2730"/>
      <c r="ICR1680" s="2730"/>
      <c r="ICS1680" s="2730"/>
      <c r="ICT1680" s="2730"/>
      <c r="ICU1680" s="2730"/>
      <c r="ICV1680" s="2730"/>
      <c r="ICW1680" s="2730"/>
      <c r="ICX1680" s="2730"/>
      <c r="ICY1680" s="2730"/>
      <c r="ICZ1680" s="2730"/>
      <c r="IDA1680" s="2730"/>
      <c r="IDB1680" s="2730"/>
      <c r="IDC1680" s="2730"/>
      <c r="IDD1680" s="2730"/>
      <c r="IDE1680" s="2730"/>
      <c r="IDF1680" s="2730"/>
      <c r="IDG1680" s="2730"/>
      <c r="IDH1680" s="2730"/>
      <c r="IDI1680" s="2730"/>
      <c r="IDJ1680" s="2730"/>
      <c r="IDK1680" s="2730"/>
      <c r="IDL1680" s="2730"/>
      <c r="IDM1680" s="2730"/>
      <c r="IDN1680" s="2730"/>
      <c r="IDO1680" s="2730"/>
      <c r="IDP1680" s="2730"/>
      <c r="IDQ1680" s="2730"/>
      <c r="IDR1680" s="2730"/>
      <c r="IDS1680" s="2730"/>
      <c r="IDT1680" s="2730"/>
      <c r="IDU1680" s="2730"/>
      <c r="IDV1680" s="2730"/>
      <c r="IDW1680" s="2730"/>
      <c r="IDX1680" s="2730"/>
      <c r="IDY1680" s="2730"/>
      <c r="IDZ1680" s="2730"/>
      <c r="IEA1680" s="2730"/>
      <c r="IEB1680" s="2730"/>
      <c r="IEC1680" s="2730"/>
      <c r="IED1680" s="2730"/>
      <c r="IEE1680" s="2730"/>
      <c r="IEF1680" s="2730"/>
      <c r="IEG1680" s="2730"/>
      <c r="IEH1680" s="2730"/>
      <c r="IEI1680" s="2730"/>
      <c r="IEJ1680" s="2730"/>
      <c r="IEK1680" s="2730"/>
      <c r="IEL1680" s="2730"/>
      <c r="IEM1680" s="2730"/>
      <c r="IEN1680" s="2730"/>
      <c r="IEO1680" s="2730"/>
      <c r="IEP1680" s="2730"/>
      <c r="IEQ1680" s="2730"/>
      <c r="IER1680" s="2730"/>
      <c r="IES1680" s="2730"/>
      <c r="IET1680" s="2730"/>
      <c r="IEU1680" s="2730"/>
      <c r="IEV1680" s="2730"/>
      <c r="IEW1680" s="2730"/>
      <c r="IEX1680" s="2730"/>
      <c r="IEY1680" s="2730"/>
      <c r="IEZ1680" s="2730"/>
      <c r="IFA1680" s="2730"/>
      <c r="IFB1680" s="2730"/>
      <c r="IFC1680" s="2730"/>
      <c r="IFD1680" s="2730"/>
      <c r="IFE1680" s="2730"/>
      <c r="IFF1680" s="2730"/>
      <c r="IFG1680" s="2730"/>
      <c r="IFH1680" s="2730"/>
      <c r="IFI1680" s="2730"/>
      <c r="IFJ1680" s="2730"/>
      <c r="IFK1680" s="2730"/>
      <c r="IFL1680" s="2730"/>
      <c r="IFM1680" s="2730"/>
      <c r="IFN1680" s="2730"/>
      <c r="IFO1680" s="2730"/>
      <c r="IFP1680" s="2730"/>
      <c r="IFQ1680" s="2730"/>
      <c r="IFR1680" s="2730"/>
      <c r="IFS1680" s="2730"/>
      <c r="IFT1680" s="2730"/>
      <c r="IFU1680" s="2730"/>
      <c r="IFV1680" s="2730"/>
      <c r="IFW1680" s="2730"/>
      <c r="IFX1680" s="2730"/>
      <c r="IFY1680" s="2730"/>
      <c r="IFZ1680" s="2730"/>
      <c r="IGA1680" s="2730"/>
      <c r="IGB1680" s="2730"/>
      <c r="IGC1680" s="2730"/>
      <c r="IGD1680" s="2730"/>
      <c r="IGE1680" s="2730"/>
      <c r="IGF1680" s="2730"/>
      <c r="IGG1680" s="2730"/>
      <c r="IGH1680" s="2730"/>
      <c r="IGI1680" s="2730"/>
      <c r="IGJ1680" s="2730"/>
      <c r="IGK1680" s="2730"/>
      <c r="IGL1680" s="2730"/>
      <c r="IGM1680" s="2730"/>
      <c r="IGN1680" s="2730"/>
      <c r="IGO1680" s="2730"/>
      <c r="IGP1680" s="2730"/>
      <c r="IGQ1680" s="2730"/>
      <c r="IGR1680" s="2730"/>
      <c r="IGS1680" s="2730"/>
      <c r="IGT1680" s="2730"/>
      <c r="IGU1680" s="2730"/>
      <c r="IGV1680" s="2730"/>
      <c r="IGW1680" s="2730"/>
      <c r="IGX1680" s="2730"/>
      <c r="IGY1680" s="2730"/>
      <c r="IGZ1680" s="2730"/>
      <c r="IHA1680" s="2730"/>
      <c r="IHB1680" s="2730"/>
      <c r="IHC1680" s="2730"/>
      <c r="IHD1680" s="2730"/>
      <c r="IHE1680" s="2730"/>
      <c r="IHF1680" s="2730"/>
      <c r="IHG1680" s="2730"/>
      <c r="IHH1680" s="2730"/>
      <c r="IHI1680" s="2730"/>
      <c r="IHJ1680" s="2730"/>
      <c r="IHK1680" s="2730"/>
      <c r="IHL1680" s="2730"/>
      <c r="IHM1680" s="2730"/>
      <c r="IHN1680" s="2730"/>
      <c r="IHO1680" s="2730"/>
      <c r="IHP1680" s="2730"/>
      <c r="IHQ1680" s="2730"/>
      <c r="IHR1680" s="2730"/>
      <c r="IHS1680" s="2730"/>
      <c r="IHT1680" s="2730"/>
      <c r="IHU1680" s="2730"/>
      <c r="IHV1680" s="2730"/>
      <c r="IHW1680" s="2730"/>
      <c r="IHX1680" s="2730"/>
      <c r="IHY1680" s="2730"/>
      <c r="IHZ1680" s="2730"/>
      <c r="IIA1680" s="2730"/>
      <c r="IIB1680" s="2730"/>
      <c r="IIC1680" s="2730"/>
      <c r="IID1680" s="2730"/>
      <c r="IIE1680" s="2730"/>
      <c r="IIF1680" s="2730"/>
      <c r="IIG1680" s="2730"/>
      <c r="IIH1680" s="2730"/>
      <c r="III1680" s="2730"/>
      <c r="IIJ1680" s="2730"/>
      <c r="IIK1680" s="2730"/>
      <c r="IIL1680" s="2730"/>
      <c r="IIM1680" s="2730"/>
      <c r="IIN1680" s="2730"/>
      <c r="IIO1680" s="2730"/>
      <c r="IIP1680" s="2730"/>
      <c r="IIQ1680" s="2730"/>
      <c r="IIR1680" s="2730"/>
      <c r="IIS1680" s="2730"/>
      <c r="IIT1680" s="2730"/>
      <c r="IIU1680" s="2730"/>
      <c r="IIV1680" s="2730"/>
      <c r="IIW1680" s="2730"/>
      <c r="IIX1680" s="2730"/>
      <c r="IIY1680" s="2730"/>
      <c r="IIZ1680" s="2730"/>
      <c r="IJA1680" s="2730"/>
      <c r="IJB1680" s="2730"/>
      <c r="IJC1680" s="2730"/>
      <c r="IJD1680" s="2730"/>
      <c r="IJE1680" s="2730"/>
      <c r="IJF1680" s="2730"/>
      <c r="IJG1680" s="2730"/>
      <c r="IJH1680" s="2730"/>
      <c r="IJI1680" s="2730"/>
      <c r="IJJ1680" s="2730"/>
      <c r="IJK1680" s="2730"/>
      <c r="IJL1680" s="2730"/>
      <c r="IJM1680" s="2730"/>
      <c r="IJN1680" s="2730"/>
      <c r="IJO1680" s="2730"/>
      <c r="IJP1680" s="2730"/>
      <c r="IJQ1680" s="2730"/>
      <c r="IJR1680" s="2730"/>
      <c r="IJS1680" s="2730"/>
      <c r="IJT1680" s="2730"/>
      <c r="IJU1680" s="2730"/>
      <c r="IJV1680" s="2730"/>
      <c r="IJW1680" s="2730"/>
      <c r="IJX1680" s="2730"/>
      <c r="IJY1680" s="2730"/>
      <c r="IJZ1680" s="2730"/>
      <c r="IKA1680" s="2730"/>
      <c r="IKB1680" s="2730"/>
      <c r="IKC1680" s="2730"/>
      <c r="IKD1680" s="2730"/>
      <c r="IKE1680" s="2730"/>
      <c r="IKF1680" s="2730"/>
      <c r="IKG1680" s="2730"/>
      <c r="IKH1680" s="2730"/>
      <c r="IKI1680" s="2730"/>
      <c r="IKJ1680" s="2730"/>
      <c r="IKK1680" s="2730"/>
      <c r="IKL1680" s="2730"/>
      <c r="IKM1680" s="2730"/>
      <c r="IKN1680" s="2730"/>
      <c r="IKO1680" s="2730"/>
      <c r="IKP1680" s="2730"/>
      <c r="IKQ1680" s="2730"/>
      <c r="IKR1680" s="2730"/>
      <c r="IKS1680" s="2730"/>
      <c r="IKT1680" s="2730"/>
      <c r="IKU1680" s="2730"/>
      <c r="IKV1680" s="2730"/>
      <c r="IKW1680" s="2730"/>
      <c r="IKX1680" s="2730"/>
      <c r="IKY1680" s="2730"/>
      <c r="IKZ1680" s="2730"/>
      <c r="ILA1680" s="2730"/>
      <c r="ILB1680" s="2730"/>
      <c r="ILC1680" s="2730"/>
      <c r="ILD1680" s="2730"/>
      <c r="ILE1680" s="2730"/>
      <c r="ILF1680" s="2730"/>
      <c r="ILG1680" s="2730"/>
      <c r="ILH1680" s="2730"/>
      <c r="ILI1680" s="2730"/>
      <c r="ILJ1680" s="2730"/>
      <c r="ILK1680" s="2730"/>
      <c r="ILL1680" s="2730"/>
      <c r="ILM1680" s="2730"/>
      <c r="ILN1680" s="2730"/>
      <c r="ILO1680" s="2730"/>
      <c r="ILP1680" s="2730"/>
      <c r="ILQ1680" s="2730"/>
      <c r="ILR1680" s="2730"/>
      <c r="ILS1680" s="2730"/>
      <c r="ILT1680" s="2730"/>
      <c r="ILU1680" s="2730"/>
      <c r="ILV1680" s="2730"/>
      <c r="ILW1680" s="2730"/>
      <c r="ILX1680" s="2730"/>
      <c r="ILY1680" s="2730"/>
      <c r="ILZ1680" s="2730"/>
      <c r="IMA1680" s="2730"/>
      <c r="IMB1680" s="2730"/>
      <c r="IMC1680" s="2730"/>
      <c r="IMD1680" s="2730"/>
      <c r="IME1680" s="2730"/>
      <c r="IMF1680" s="2730"/>
      <c r="IMG1680" s="2730"/>
      <c r="IMH1680" s="2730"/>
      <c r="IMI1680" s="2730"/>
      <c r="IMJ1680" s="2730"/>
      <c r="IMK1680" s="2730"/>
      <c r="IML1680" s="2730"/>
      <c r="IMM1680" s="2730"/>
      <c r="IMN1680" s="2730"/>
      <c r="IMO1680" s="2730"/>
      <c r="IMP1680" s="2730"/>
      <c r="IMQ1680" s="2730"/>
      <c r="IMR1680" s="2730"/>
      <c r="IMS1680" s="2730"/>
      <c r="IMT1680" s="2730"/>
      <c r="IMU1680" s="2730"/>
      <c r="IMV1680" s="2730"/>
      <c r="IMW1680" s="2730"/>
      <c r="IMX1680" s="2730"/>
      <c r="IMY1680" s="2730"/>
      <c r="IMZ1680" s="2730"/>
      <c r="INA1680" s="2730"/>
      <c r="INB1680" s="2730"/>
      <c r="INC1680" s="2730"/>
      <c r="IND1680" s="2730"/>
      <c r="INE1680" s="2730"/>
      <c r="INF1680" s="2730"/>
      <c r="ING1680" s="2730"/>
      <c r="INH1680" s="2730"/>
      <c r="INI1680" s="2730"/>
      <c r="INJ1680" s="2730"/>
      <c r="INK1680" s="2730"/>
      <c r="INL1680" s="2730"/>
      <c r="INM1680" s="2730"/>
      <c r="INN1680" s="2730"/>
      <c r="INO1680" s="2730"/>
      <c r="INP1680" s="2730"/>
      <c r="INQ1680" s="2730"/>
      <c r="INR1680" s="2730"/>
      <c r="INS1680" s="2730"/>
      <c r="INT1680" s="2730"/>
      <c r="INU1680" s="2730"/>
      <c r="INV1680" s="2730"/>
      <c r="INW1680" s="2730"/>
      <c r="INX1680" s="2730"/>
      <c r="INY1680" s="2730"/>
      <c r="INZ1680" s="2730"/>
      <c r="IOA1680" s="2730"/>
      <c r="IOB1680" s="2730"/>
      <c r="IOC1680" s="2730"/>
      <c r="IOD1680" s="2730"/>
      <c r="IOE1680" s="2730"/>
      <c r="IOF1680" s="2730"/>
      <c r="IOG1680" s="2730"/>
      <c r="IOH1680" s="2730"/>
      <c r="IOI1680" s="2730"/>
      <c r="IOJ1680" s="2730"/>
      <c r="IOK1680" s="2730"/>
      <c r="IOL1680" s="2730"/>
      <c r="IOM1680" s="2730"/>
      <c r="ION1680" s="2730"/>
      <c r="IOO1680" s="2730"/>
      <c r="IOP1680" s="2730"/>
      <c r="IOQ1680" s="2730"/>
      <c r="IOR1680" s="2730"/>
      <c r="IOS1680" s="2730"/>
      <c r="IOT1680" s="2730"/>
      <c r="IOU1680" s="2730"/>
      <c r="IOV1680" s="2730"/>
      <c r="IOW1680" s="2730"/>
      <c r="IOX1680" s="2730"/>
      <c r="IOY1680" s="2730"/>
      <c r="IOZ1680" s="2730"/>
      <c r="IPA1680" s="2730"/>
      <c r="IPB1680" s="2730"/>
      <c r="IPC1680" s="2730"/>
      <c r="IPD1680" s="2730"/>
      <c r="IPE1680" s="2730"/>
      <c r="IPF1680" s="2730"/>
      <c r="IPG1680" s="2730"/>
      <c r="IPH1680" s="2730"/>
      <c r="IPI1680" s="2730"/>
      <c r="IPJ1680" s="2730"/>
      <c r="IPK1680" s="2730"/>
      <c r="IPL1680" s="2730"/>
      <c r="IPM1680" s="2730"/>
      <c r="IPN1680" s="2730"/>
      <c r="IPO1680" s="2730"/>
      <c r="IPP1680" s="2730"/>
      <c r="IPQ1680" s="2730"/>
      <c r="IPR1680" s="2730"/>
      <c r="IPS1680" s="2730"/>
      <c r="IPT1680" s="2730"/>
      <c r="IPU1680" s="2730"/>
      <c r="IPV1680" s="2730"/>
      <c r="IPW1680" s="2730"/>
      <c r="IPX1680" s="2730"/>
      <c r="IPY1680" s="2730"/>
      <c r="IPZ1680" s="2730"/>
      <c r="IQA1680" s="2730"/>
      <c r="IQB1680" s="2730"/>
      <c r="IQC1680" s="2730"/>
      <c r="IQD1680" s="2730"/>
      <c r="IQE1680" s="2730"/>
      <c r="IQF1680" s="2730"/>
      <c r="IQG1680" s="2730"/>
      <c r="IQH1680" s="2730"/>
      <c r="IQI1680" s="2730"/>
      <c r="IQJ1680" s="2730"/>
      <c r="IQK1680" s="2730"/>
      <c r="IQL1680" s="2730"/>
      <c r="IQM1680" s="2730"/>
      <c r="IQN1680" s="2730"/>
      <c r="IQO1680" s="2730"/>
      <c r="IQP1680" s="2730"/>
      <c r="IQQ1680" s="2730"/>
      <c r="IQR1680" s="2730"/>
      <c r="IQS1680" s="2730"/>
      <c r="IQT1680" s="2730"/>
      <c r="IQU1680" s="2730"/>
      <c r="IQV1680" s="2730"/>
      <c r="IQW1680" s="2730"/>
      <c r="IQX1680" s="2730"/>
      <c r="IQY1680" s="2730"/>
      <c r="IQZ1680" s="2730"/>
      <c r="IRA1680" s="2730"/>
      <c r="IRB1680" s="2730"/>
      <c r="IRC1680" s="2730"/>
      <c r="IRD1680" s="2730"/>
      <c r="IRE1680" s="2730"/>
      <c r="IRF1680" s="2730"/>
      <c r="IRG1680" s="2730"/>
      <c r="IRH1680" s="2730"/>
      <c r="IRI1680" s="2730"/>
      <c r="IRJ1680" s="2730"/>
      <c r="IRK1680" s="2730"/>
      <c r="IRL1680" s="2730"/>
      <c r="IRM1680" s="2730"/>
      <c r="IRN1680" s="2730"/>
      <c r="IRO1680" s="2730"/>
      <c r="IRP1680" s="2730"/>
      <c r="IRQ1680" s="2730"/>
      <c r="IRR1680" s="2730"/>
      <c r="IRS1680" s="2730"/>
      <c r="IRT1680" s="2730"/>
      <c r="IRU1680" s="2730"/>
      <c r="IRV1680" s="2730"/>
      <c r="IRW1680" s="2730"/>
      <c r="IRX1680" s="2730"/>
      <c r="IRY1680" s="2730"/>
      <c r="IRZ1680" s="2730"/>
      <c r="ISA1680" s="2730"/>
      <c r="ISB1680" s="2730"/>
      <c r="ISC1680" s="2730"/>
      <c r="ISD1680" s="2730"/>
      <c r="ISE1680" s="2730"/>
      <c r="ISF1680" s="2730"/>
      <c r="ISG1680" s="2730"/>
      <c r="ISH1680" s="2730"/>
      <c r="ISI1680" s="2730"/>
      <c r="ISJ1680" s="2730"/>
      <c r="ISK1680" s="2730"/>
      <c r="ISL1680" s="2730"/>
      <c r="ISM1680" s="2730"/>
      <c r="ISN1680" s="2730"/>
      <c r="ISO1680" s="2730"/>
      <c r="ISP1680" s="2730"/>
      <c r="ISQ1680" s="2730"/>
      <c r="ISR1680" s="2730"/>
      <c r="ISS1680" s="2730"/>
      <c r="IST1680" s="2730"/>
      <c r="ISU1680" s="2730"/>
      <c r="ISV1680" s="2730"/>
      <c r="ISW1680" s="2730"/>
      <c r="ISX1680" s="2730"/>
      <c r="ISY1680" s="2730"/>
      <c r="ISZ1680" s="2730"/>
      <c r="ITA1680" s="2730"/>
      <c r="ITB1680" s="2730"/>
      <c r="ITC1680" s="2730"/>
      <c r="ITD1680" s="2730"/>
      <c r="ITE1680" s="2730"/>
      <c r="ITF1680" s="2730"/>
      <c r="ITG1680" s="2730"/>
      <c r="ITH1680" s="2730"/>
      <c r="ITI1680" s="2730"/>
      <c r="ITJ1680" s="2730"/>
      <c r="ITK1680" s="2730"/>
      <c r="ITL1680" s="2730"/>
      <c r="ITM1680" s="2730"/>
      <c r="ITN1680" s="2730"/>
      <c r="ITO1680" s="2730"/>
      <c r="ITP1680" s="2730"/>
      <c r="ITQ1680" s="2730"/>
      <c r="ITR1680" s="2730"/>
      <c r="ITS1680" s="2730"/>
      <c r="ITT1680" s="2730"/>
      <c r="ITU1680" s="2730"/>
      <c r="ITV1680" s="2730"/>
      <c r="ITW1680" s="2730"/>
      <c r="ITX1680" s="2730"/>
      <c r="ITY1680" s="2730"/>
      <c r="ITZ1680" s="2730"/>
      <c r="IUA1680" s="2730"/>
      <c r="IUB1680" s="2730"/>
      <c r="IUC1680" s="2730"/>
      <c r="IUD1680" s="2730"/>
      <c r="IUE1680" s="2730"/>
      <c r="IUF1680" s="2730"/>
      <c r="IUG1680" s="2730"/>
      <c r="IUH1680" s="2730"/>
      <c r="IUI1680" s="2730"/>
      <c r="IUJ1680" s="2730"/>
      <c r="IUK1680" s="2730"/>
      <c r="IUL1680" s="2730"/>
      <c r="IUM1680" s="2730"/>
      <c r="IUN1680" s="2730"/>
      <c r="IUO1680" s="2730"/>
      <c r="IUP1680" s="2730"/>
      <c r="IUQ1680" s="2730"/>
      <c r="IUR1680" s="2730"/>
      <c r="IUS1680" s="2730"/>
      <c r="IUT1680" s="2730"/>
      <c r="IUU1680" s="2730"/>
      <c r="IUV1680" s="2730"/>
      <c r="IUW1680" s="2730"/>
      <c r="IUX1680" s="2730"/>
      <c r="IUY1680" s="2730"/>
      <c r="IUZ1680" s="2730"/>
      <c r="IVA1680" s="2730"/>
      <c r="IVB1680" s="2730"/>
      <c r="IVC1680" s="2730"/>
      <c r="IVD1680" s="2730"/>
      <c r="IVE1680" s="2730"/>
      <c r="IVF1680" s="2730"/>
      <c r="IVG1680" s="2730"/>
      <c r="IVH1680" s="2730"/>
      <c r="IVI1680" s="2730"/>
      <c r="IVJ1680" s="2730"/>
      <c r="IVK1680" s="2730"/>
      <c r="IVL1680" s="2730"/>
      <c r="IVM1680" s="2730"/>
      <c r="IVN1680" s="2730"/>
      <c r="IVO1680" s="2730"/>
      <c r="IVP1680" s="2730"/>
      <c r="IVQ1680" s="2730"/>
      <c r="IVR1680" s="2730"/>
      <c r="IVS1680" s="2730"/>
      <c r="IVT1680" s="2730"/>
      <c r="IVU1680" s="2730"/>
      <c r="IVV1680" s="2730"/>
      <c r="IVW1680" s="2730"/>
      <c r="IVX1680" s="2730"/>
      <c r="IVY1680" s="2730"/>
      <c r="IVZ1680" s="2730"/>
      <c r="IWA1680" s="2730"/>
      <c r="IWB1680" s="2730"/>
      <c r="IWC1680" s="2730"/>
      <c r="IWD1680" s="2730"/>
      <c r="IWE1680" s="2730"/>
      <c r="IWF1680" s="2730"/>
      <c r="IWG1680" s="2730"/>
      <c r="IWH1680" s="2730"/>
      <c r="IWI1680" s="2730"/>
      <c r="IWJ1680" s="2730"/>
      <c r="IWK1680" s="2730"/>
      <c r="IWL1680" s="2730"/>
      <c r="IWM1680" s="2730"/>
      <c r="IWN1680" s="2730"/>
      <c r="IWO1680" s="2730"/>
      <c r="IWP1680" s="2730"/>
      <c r="IWQ1680" s="2730"/>
      <c r="IWR1680" s="2730"/>
      <c r="IWS1680" s="2730"/>
      <c r="IWT1680" s="2730"/>
      <c r="IWU1680" s="2730"/>
      <c r="IWV1680" s="2730"/>
      <c r="IWW1680" s="2730"/>
      <c r="IWX1680" s="2730"/>
      <c r="IWY1680" s="2730"/>
      <c r="IWZ1680" s="2730"/>
      <c r="IXA1680" s="2730"/>
      <c r="IXB1680" s="2730"/>
      <c r="IXC1680" s="2730"/>
      <c r="IXD1680" s="2730"/>
      <c r="IXE1680" s="2730"/>
      <c r="IXF1680" s="2730"/>
      <c r="IXG1680" s="2730"/>
      <c r="IXH1680" s="2730"/>
      <c r="IXI1680" s="2730"/>
      <c r="IXJ1680" s="2730"/>
      <c r="IXK1680" s="2730"/>
      <c r="IXL1680" s="2730"/>
      <c r="IXM1680" s="2730"/>
      <c r="IXN1680" s="2730"/>
      <c r="IXO1680" s="2730"/>
      <c r="IXP1680" s="2730"/>
      <c r="IXQ1680" s="2730"/>
      <c r="IXR1680" s="2730"/>
      <c r="IXS1680" s="2730"/>
      <c r="IXT1680" s="2730"/>
      <c r="IXU1680" s="2730"/>
      <c r="IXV1680" s="2730"/>
      <c r="IXW1680" s="2730"/>
      <c r="IXX1680" s="2730"/>
      <c r="IXY1680" s="2730"/>
      <c r="IXZ1680" s="2730"/>
      <c r="IYA1680" s="2730"/>
      <c r="IYB1680" s="2730"/>
      <c r="IYC1680" s="2730"/>
      <c r="IYD1680" s="2730"/>
      <c r="IYE1680" s="2730"/>
      <c r="IYF1680" s="2730"/>
      <c r="IYG1680" s="2730"/>
      <c r="IYH1680" s="2730"/>
      <c r="IYI1680" s="2730"/>
      <c r="IYJ1680" s="2730"/>
      <c r="IYK1680" s="2730"/>
      <c r="IYL1680" s="2730"/>
      <c r="IYM1680" s="2730"/>
      <c r="IYN1680" s="2730"/>
      <c r="IYO1680" s="2730"/>
      <c r="IYP1680" s="2730"/>
      <c r="IYQ1680" s="2730"/>
      <c r="IYR1680" s="2730"/>
      <c r="IYS1680" s="2730"/>
      <c r="IYT1680" s="2730"/>
      <c r="IYU1680" s="2730"/>
      <c r="IYV1680" s="2730"/>
      <c r="IYW1680" s="2730"/>
      <c r="IYX1680" s="2730"/>
      <c r="IYY1680" s="2730"/>
      <c r="IYZ1680" s="2730"/>
      <c r="IZA1680" s="2730"/>
      <c r="IZB1680" s="2730"/>
      <c r="IZC1680" s="2730"/>
      <c r="IZD1680" s="2730"/>
      <c r="IZE1680" s="2730"/>
      <c r="IZF1680" s="2730"/>
      <c r="IZG1680" s="2730"/>
      <c r="IZH1680" s="2730"/>
      <c r="IZI1680" s="2730"/>
      <c r="IZJ1680" s="2730"/>
      <c r="IZK1680" s="2730"/>
      <c r="IZL1680" s="2730"/>
      <c r="IZM1680" s="2730"/>
      <c r="IZN1680" s="2730"/>
      <c r="IZO1680" s="2730"/>
      <c r="IZP1680" s="2730"/>
      <c r="IZQ1680" s="2730"/>
      <c r="IZR1680" s="2730"/>
      <c r="IZS1680" s="2730"/>
      <c r="IZT1680" s="2730"/>
      <c r="IZU1680" s="2730"/>
      <c r="IZV1680" s="2730"/>
      <c r="IZW1680" s="2730"/>
      <c r="IZX1680" s="2730"/>
      <c r="IZY1680" s="2730"/>
      <c r="IZZ1680" s="2730"/>
      <c r="JAA1680" s="2730"/>
      <c r="JAB1680" s="2730"/>
      <c r="JAC1680" s="2730"/>
      <c r="JAD1680" s="2730"/>
      <c r="JAE1680" s="2730"/>
      <c r="JAF1680" s="2730"/>
      <c r="JAG1680" s="2730"/>
      <c r="JAH1680" s="2730"/>
      <c r="JAI1680" s="2730"/>
      <c r="JAJ1680" s="2730"/>
      <c r="JAK1680" s="2730"/>
      <c r="JAL1680" s="2730"/>
      <c r="JAM1680" s="2730"/>
      <c r="JAN1680" s="2730"/>
      <c r="JAO1680" s="2730"/>
      <c r="JAP1680" s="2730"/>
      <c r="JAQ1680" s="2730"/>
      <c r="JAR1680" s="2730"/>
      <c r="JAS1680" s="2730"/>
      <c r="JAT1680" s="2730"/>
      <c r="JAU1680" s="2730"/>
      <c r="JAV1680" s="2730"/>
      <c r="JAW1680" s="2730"/>
      <c r="JAX1680" s="2730"/>
      <c r="JAY1680" s="2730"/>
      <c r="JAZ1680" s="2730"/>
      <c r="JBA1680" s="2730"/>
      <c r="JBB1680" s="2730"/>
      <c r="JBC1680" s="2730"/>
      <c r="JBD1680" s="2730"/>
      <c r="JBE1680" s="2730"/>
      <c r="JBF1680" s="2730"/>
      <c r="JBG1680" s="2730"/>
      <c r="JBH1680" s="2730"/>
      <c r="JBI1680" s="2730"/>
      <c r="JBJ1680" s="2730"/>
      <c r="JBK1680" s="2730"/>
      <c r="JBL1680" s="2730"/>
      <c r="JBM1680" s="2730"/>
      <c r="JBN1680" s="2730"/>
      <c r="JBO1680" s="2730"/>
      <c r="JBP1680" s="2730"/>
      <c r="JBQ1680" s="2730"/>
      <c r="JBR1680" s="2730"/>
      <c r="JBS1680" s="2730"/>
      <c r="JBT1680" s="2730"/>
      <c r="JBU1680" s="2730"/>
      <c r="JBV1680" s="2730"/>
      <c r="JBW1680" s="2730"/>
      <c r="JBX1680" s="2730"/>
      <c r="JBY1680" s="2730"/>
      <c r="JBZ1680" s="2730"/>
      <c r="JCA1680" s="2730"/>
      <c r="JCB1680" s="2730"/>
      <c r="JCC1680" s="2730"/>
      <c r="JCD1680" s="2730"/>
      <c r="JCE1680" s="2730"/>
      <c r="JCF1680" s="2730"/>
      <c r="JCG1680" s="2730"/>
      <c r="JCH1680" s="2730"/>
      <c r="JCI1680" s="2730"/>
      <c r="JCJ1680" s="2730"/>
      <c r="JCK1680" s="2730"/>
      <c r="JCL1680" s="2730"/>
      <c r="JCM1680" s="2730"/>
      <c r="JCN1680" s="2730"/>
      <c r="JCO1680" s="2730"/>
      <c r="JCP1680" s="2730"/>
      <c r="JCQ1680" s="2730"/>
      <c r="JCR1680" s="2730"/>
      <c r="JCS1680" s="2730"/>
      <c r="JCT1680" s="2730"/>
      <c r="JCU1680" s="2730"/>
      <c r="JCV1680" s="2730"/>
      <c r="JCW1680" s="2730"/>
      <c r="JCX1680" s="2730"/>
      <c r="JCY1680" s="2730"/>
      <c r="JCZ1680" s="2730"/>
      <c r="JDA1680" s="2730"/>
      <c r="JDB1680" s="2730"/>
      <c r="JDC1680" s="2730"/>
      <c r="JDD1680" s="2730"/>
      <c r="JDE1680" s="2730"/>
      <c r="JDF1680" s="2730"/>
      <c r="JDG1680" s="2730"/>
      <c r="JDH1680" s="2730"/>
      <c r="JDI1680" s="2730"/>
      <c r="JDJ1680" s="2730"/>
      <c r="JDK1680" s="2730"/>
      <c r="JDL1680" s="2730"/>
      <c r="JDM1680" s="2730"/>
      <c r="JDN1680" s="2730"/>
      <c r="JDO1680" s="2730"/>
      <c r="JDP1680" s="2730"/>
      <c r="JDQ1680" s="2730"/>
      <c r="JDR1680" s="2730"/>
      <c r="JDS1680" s="2730"/>
      <c r="JDT1680" s="2730"/>
      <c r="JDU1680" s="2730"/>
      <c r="JDV1680" s="2730"/>
      <c r="JDW1680" s="2730"/>
      <c r="JDX1680" s="2730"/>
      <c r="JDY1680" s="2730"/>
      <c r="JDZ1680" s="2730"/>
      <c r="JEA1680" s="2730"/>
      <c r="JEB1680" s="2730"/>
      <c r="JEC1680" s="2730"/>
      <c r="JED1680" s="2730"/>
      <c r="JEE1680" s="2730"/>
      <c r="JEF1680" s="2730"/>
      <c r="JEG1680" s="2730"/>
      <c r="JEH1680" s="2730"/>
      <c r="JEI1680" s="2730"/>
      <c r="JEJ1680" s="2730"/>
      <c r="JEK1680" s="2730"/>
      <c r="JEL1680" s="2730"/>
      <c r="JEM1680" s="2730"/>
      <c r="JEN1680" s="2730"/>
      <c r="JEO1680" s="2730"/>
      <c r="JEP1680" s="2730"/>
      <c r="JEQ1680" s="2730"/>
      <c r="JER1680" s="2730"/>
      <c r="JES1680" s="2730"/>
      <c r="JET1680" s="2730"/>
      <c r="JEU1680" s="2730"/>
      <c r="JEV1680" s="2730"/>
      <c r="JEW1680" s="2730"/>
      <c r="JEX1680" s="2730"/>
      <c r="JEY1680" s="2730"/>
      <c r="JEZ1680" s="2730"/>
      <c r="JFA1680" s="2730"/>
      <c r="JFB1680" s="2730"/>
      <c r="JFC1680" s="2730"/>
      <c r="JFD1680" s="2730"/>
      <c r="JFE1680" s="2730"/>
      <c r="JFF1680" s="2730"/>
      <c r="JFG1680" s="2730"/>
      <c r="JFH1680" s="2730"/>
      <c r="JFI1680" s="2730"/>
      <c r="JFJ1680" s="2730"/>
      <c r="JFK1680" s="2730"/>
      <c r="JFL1680" s="2730"/>
      <c r="JFM1680" s="2730"/>
      <c r="JFN1680" s="2730"/>
      <c r="JFO1680" s="2730"/>
      <c r="JFP1680" s="2730"/>
      <c r="JFQ1680" s="2730"/>
      <c r="JFR1680" s="2730"/>
      <c r="JFS1680" s="2730"/>
      <c r="JFT1680" s="2730"/>
      <c r="JFU1680" s="2730"/>
      <c r="JFV1680" s="2730"/>
      <c r="JFW1680" s="2730"/>
      <c r="JFX1680" s="2730"/>
      <c r="JFY1680" s="2730"/>
      <c r="JFZ1680" s="2730"/>
      <c r="JGA1680" s="2730"/>
      <c r="JGB1680" s="2730"/>
      <c r="JGC1680" s="2730"/>
      <c r="JGD1680" s="2730"/>
      <c r="JGE1680" s="2730"/>
      <c r="JGF1680" s="2730"/>
      <c r="JGG1680" s="2730"/>
      <c r="JGH1680" s="2730"/>
      <c r="JGI1680" s="2730"/>
      <c r="JGJ1680" s="2730"/>
      <c r="JGK1680" s="2730"/>
      <c r="JGL1680" s="2730"/>
      <c r="JGM1680" s="2730"/>
      <c r="JGN1680" s="2730"/>
      <c r="JGO1680" s="2730"/>
      <c r="JGP1680" s="2730"/>
      <c r="JGQ1680" s="2730"/>
      <c r="JGR1680" s="2730"/>
      <c r="JGS1680" s="2730"/>
      <c r="JGT1680" s="2730"/>
      <c r="JGU1680" s="2730"/>
      <c r="JGV1680" s="2730"/>
      <c r="JGW1680" s="2730"/>
      <c r="JGX1680" s="2730"/>
      <c r="JGY1680" s="2730"/>
      <c r="JGZ1680" s="2730"/>
      <c r="JHA1680" s="2730"/>
      <c r="JHB1680" s="2730"/>
      <c r="JHC1680" s="2730"/>
      <c r="JHD1680" s="2730"/>
      <c r="JHE1680" s="2730"/>
      <c r="JHF1680" s="2730"/>
      <c r="JHG1680" s="2730"/>
      <c r="JHH1680" s="2730"/>
      <c r="JHI1680" s="2730"/>
      <c r="JHJ1680" s="2730"/>
      <c r="JHK1680" s="2730"/>
      <c r="JHL1680" s="2730"/>
      <c r="JHM1680" s="2730"/>
      <c r="JHN1680" s="2730"/>
      <c r="JHO1680" s="2730"/>
      <c r="JHP1680" s="2730"/>
      <c r="JHQ1680" s="2730"/>
      <c r="JHR1680" s="2730"/>
      <c r="JHS1680" s="2730"/>
      <c r="JHT1680" s="2730"/>
      <c r="JHU1680" s="2730"/>
      <c r="JHV1680" s="2730"/>
      <c r="JHW1680" s="2730"/>
      <c r="JHX1680" s="2730"/>
      <c r="JHY1680" s="2730"/>
      <c r="JHZ1680" s="2730"/>
      <c r="JIA1680" s="2730"/>
      <c r="JIB1680" s="2730"/>
      <c r="JIC1680" s="2730"/>
      <c r="JID1680" s="2730"/>
      <c r="JIE1680" s="2730"/>
      <c r="JIF1680" s="2730"/>
      <c r="JIG1680" s="2730"/>
      <c r="JIH1680" s="2730"/>
      <c r="JII1680" s="2730"/>
      <c r="JIJ1680" s="2730"/>
      <c r="JIK1680" s="2730"/>
      <c r="JIL1680" s="2730"/>
      <c r="JIM1680" s="2730"/>
      <c r="JIN1680" s="2730"/>
      <c r="JIO1680" s="2730"/>
      <c r="JIP1680" s="2730"/>
      <c r="JIQ1680" s="2730"/>
      <c r="JIR1680" s="2730"/>
      <c r="JIS1680" s="2730"/>
      <c r="JIT1680" s="2730"/>
      <c r="JIU1680" s="2730"/>
      <c r="JIV1680" s="2730"/>
      <c r="JIW1680" s="2730"/>
      <c r="JIX1680" s="2730"/>
      <c r="JIY1680" s="2730"/>
      <c r="JIZ1680" s="2730"/>
      <c r="JJA1680" s="2730"/>
      <c r="JJB1680" s="2730"/>
      <c r="JJC1680" s="2730"/>
      <c r="JJD1680" s="2730"/>
      <c r="JJE1680" s="2730"/>
      <c r="JJF1680" s="2730"/>
      <c r="JJG1680" s="2730"/>
      <c r="JJH1680" s="2730"/>
      <c r="JJI1680" s="2730"/>
      <c r="JJJ1680" s="2730"/>
      <c r="JJK1680" s="2730"/>
      <c r="JJL1680" s="2730"/>
      <c r="JJM1680" s="2730"/>
      <c r="JJN1680" s="2730"/>
      <c r="JJO1680" s="2730"/>
      <c r="JJP1680" s="2730"/>
      <c r="JJQ1680" s="2730"/>
      <c r="JJR1680" s="2730"/>
      <c r="JJS1680" s="2730"/>
      <c r="JJT1680" s="2730"/>
      <c r="JJU1680" s="2730"/>
      <c r="JJV1680" s="2730"/>
      <c r="JJW1680" s="2730"/>
      <c r="JJX1680" s="2730"/>
      <c r="JJY1680" s="2730"/>
      <c r="JJZ1680" s="2730"/>
      <c r="JKA1680" s="2730"/>
      <c r="JKB1680" s="2730"/>
      <c r="JKC1680" s="2730"/>
      <c r="JKD1680" s="2730"/>
      <c r="JKE1680" s="2730"/>
      <c r="JKF1680" s="2730"/>
      <c r="JKG1680" s="2730"/>
      <c r="JKH1680" s="2730"/>
      <c r="JKI1680" s="2730"/>
      <c r="JKJ1680" s="2730"/>
      <c r="JKK1680" s="2730"/>
      <c r="JKL1680" s="2730"/>
      <c r="JKM1680" s="2730"/>
      <c r="JKN1680" s="2730"/>
      <c r="JKO1680" s="2730"/>
      <c r="JKP1680" s="2730"/>
      <c r="JKQ1680" s="2730"/>
      <c r="JKR1680" s="2730"/>
      <c r="JKS1680" s="2730"/>
      <c r="JKT1680" s="2730"/>
      <c r="JKU1680" s="2730"/>
      <c r="JKV1680" s="2730"/>
      <c r="JKW1680" s="2730"/>
      <c r="JKX1680" s="2730"/>
      <c r="JKY1680" s="2730"/>
      <c r="JKZ1680" s="2730"/>
      <c r="JLA1680" s="2730"/>
      <c r="JLB1680" s="2730"/>
      <c r="JLC1680" s="2730"/>
      <c r="JLD1680" s="2730"/>
      <c r="JLE1680" s="2730"/>
      <c r="JLF1680" s="2730"/>
      <c r="JLG1680" s="2730"/>
      <c r="JLH1680" s="2730"/>
      <c r="JLI1680" s="2730"/>
      <c r="JLJ1680" s="2730"/>
      <c r="JLK1680" s="2730"/>
      <c r="JLL1680" s="2730"/>
      <c r="JLM1680" s="2730"/>
      <c r="JLN1680" s="2730"/>
      <c r="JLO1680" s="2730"/>
      <c r="JLP1680" s="2730"/>
      <c r="JLQ1680" s="2730"/>
      <c r="JLR1680" s="2730"/>
      <c r="JLS1680" s="2730"/>
      <c r="JLT1680" s="2730"/>
      <c r="JLU1680" s="2730"/>
      <c r="JLV1680" s="2730"/>
      <c r="JLW1680" s="2730"/>
      <c r="JLX1680" s="2730"/>
      <c r="JLY1680" s="2730"/>
      <c r="JLZ1680" s="2730"/>
      <c r="JMA1680" s="2730"/>
      <c r="JMB1680" s="2730"/>
      <c r="JMC1680" s="2730"/>
      <c r="JMD1680" s="2730"/>
      <c r="JME1680" s="2730"/>
      <c r="JMF1680" s="2730"/>
      <c r="JMG1680" s="2730"/>
      <c r="JMH1680" s="2730"/>
      <c r="JMI1680" s="2730"/>
      <c r="JMJ1680" s="2730"/>
      <c r="JMK1680" s="2730"/>
      <c r="JML1680" s="2730"/>
      <c r="JMM1680" s="2730"/>
      <c r="JMN1680" s="2730"/>
      <c r="JMO1680" s="2730"/>
      <c r="JMP1680" s="2730"/>
      <c r="JMQ1680" s="2730"/>
      <c r="JMR1680" s="2730"/>
      <c r="JMS1680" s="2730"/>
      <c r="JMT1680" s="2730"/>
      <c r="JMU1680" s="2730"/>
      <c r="JMV1680" s="2730"/>
      <c r="JMW1680" s="2730"/>
      <c r="JMX1680" s="2730"/>
      <c r="JMY1680" s="2730"/>
      <c r="JMZ1680" s="2730"/>
      <c r="JNA1680" s="2730"/>
      <c r="JNB1680" s="2730"/>
      <c r="JNC1680" s="2730"/>
      <c r="JND1680" s="2730"/>
      <c r="JNE1680" s="2730"/>
      <c r="JNF1680" s="2730"/>
      <c r="JNG1680" s="2730"/>
      <c r="JNH1680" s="2730"/>
      <c r="JNI1680" s="2730"/>
      <c r="JNJ1680" s="2730"/>
      <c r="JNK1680" s="2730"/>
      <c r="JNL1680" s="2730"/>
      <c r="JNM1680" s="2730"/>
      <c r="JNN1680" s="2730"/>
      <c r="JNO1680" s="2730"/>
      <c r="JNP1680" s="2730"/>
      <c r="JNQ1680" s="2730"/>
      <c r="JNR1680" s="2730"/>
      <c r="JNS1680" s="2730"/>
      <c r="JNT1680" s="2730"/>
      <c r="JNU1680" s="2730"/>
      <c r="JNV1680" s="2730"/>
      <c r="JNW1680" s="2730"/>
      <c r="JNX1680" s="2730"/>
      <c r="JNY1680" s="2730"/>
      <c r="JNZ1680" s="2730"/>
      <c r="JOA1680" s="2730"/>
      <c r="JOB1680" s="2730"/>
      <c r="JOC1680" s="2730"/>
      <c r="JOD1680" s="2730"/>
      <c r="JOE1680" s="2730"/>
      <c r="JOF1680" s="2730"/>
      <c r="JOG1680" s="2730"/>
      <c r="JOH1680" s="2730"/>
      <c r="JOI1680" s="2730"/>
      <c r="JOJ1680" s="2730"/>
      <c r="JOK1680" s="2730"/>
      <c r="JOL1680" s="2730"/>
      <c r="JOM1680" s="2730"/>
      <c r="JON1680" s="2730"/>
      <c r="JOO1680" s="2730"/>
      <c r="JOP1680" s="2730"/>
      <c r="JOQ1680" s="2730"/>
      <c r="JOR1680" s="2730"/>
      <c r="JOS1680" s="2730"/>
      <c r="JOT1680" s="2730"/>
      <c r="JOU1680" s="2730"/>
      <c r="JOV1680" s="2730"/>
      <c r="JOW1680" s="2730"/>
      <c r="JOX1680" s="2730"/>
      <c r="JOY1680" s="2730"/>
      <c r="JOZ1680" s="2730"/>
      <c r="JPA1680" s="2730"/>
      <c r="JPB1680" s="2730"/>
      <c r="JPC1680" s="2730"/>
      <c r="JPD1680" s="2730"/>
      <c r="JPE1680" s="2730"/>
      <c r="JPF1680" s="2730"/>
      <c r="JPG1680" s="2730"/>
      <c r="JPH1680" s="2730"/>
      <c r="JPI1680" s="2730"/>
      <c r="JPJ1680" s="2730"/>
      <c r="JPK1680" s="2730"/>
      <c r="JPL1680" s="2730"/>
      <c r="JPM1680" s="2730"/>
      <c r="JPN1680" s="2730"/>
      <c r="JPO1680" s="2730"/>
      <c r="JPP1680" s="2730"/>
      <c r="JPQ1680" s="2730"/>
      <c r="JPR1680" s="2730"/>
      <c r="JPS1680" s="2730"/>
      <c r="JPT1680" s="2730"/>
      <c r="JPU1680" s="2730"/>
      <c r="JPV1680" s="2730"/>
      <c r="JPW1680" s="2730"/>
      <c r="JPX1680" s="2730"/>
      <c r="JPY1680" s="2730"/>
      <c r="JPZ1680" s="2730"/>
      <c r="JQA1680" s="2730"/>
      <c r="JQB1680" s="2730"/>
      <c r="JQC1680" s="2730"/>
      <c r="JQD1680" s="2730"/>
      <c r="JQE1680" s="2730"/>
      <c r="JQF1680" s="2730"/>
      <c r="JQG1680" s="2730"/>
      <c r="JQH1680" s="2730"/>
      <c r="JQI1680" s="2730"/>
      <c r="JQJ1680" s="2730"/>
      <c r="JQK1680" s="2730"/>
      <c r="JQL1680" s="2730"/>
      <c r="JQM1680" s="2730"/>
      <c r="JQN1680" s="2730"/>
      <c r="JQO1680" s="2730"/>
      <c r="JQP1680" s="2730"/>
      <c r="JQQ1680" s="2730"/>
      <c r="JQR1680" s="2730"/>
      <c r="JQS1680" s="2730"/>
      <c r="JQT1680" s="2730"/>
      <c r="JQU1680" s="2730"/>
      <c r="JQV1680" s="2730"/>
      <c r="JQW1680" s="2730"/>
      <c r="JQX1680" s="2730"/>
      <c r="JQY1680" s="2730"/>
      <c r="JQZ1680" s="2730"/>
      <c r="JRA1680" s="2730"/>
      <c r="JRB1680" s="2730"/>
      <c r="JRC1680" s="2730"/>
      <c r="JRD1680" s="2730"/>
      <c r="JRE1680" s="2730"/>
      <c r="JRF1680" s="2730"/>
      <c r="JRG1680" s="2730"/>
      <c r="JRH1680" s="2730"/>
      <c r="JRI1680" s="2730"/>
      <c r="JRJ1680" s="2730"/>
      <c r="JRK1680" s="2730"/>
      <c r="JRL1680" s="2730"/>
      <c r="JRM1680" s="2730"/>
      <c r="JRN1680" s="2730"/>
      <c r="JRO1680" s="2730"/>
      <c r="JRP1680" s="2730"/>
      <c r="JRQ1680" s="2730"/>
      <c r="JRR1680" s="2730"/>
      <c r="JRS1680" s="2730"/>
      <c r="JRT1680" s="2730"/>
      <c r="JRU1680" s="2730"/>
      <c r="JRV1680" s="2730"/>
      <c r="JRW1680" s="2730"/>
      <c r="JRX1680" s="2730"/>
      <c r="JRY1680" s="2730"/>
      <c r="JRZ1680" s="2730"/>
      <c r="JSA1680" s="2730"/>
      <c r="JSB1680" s="2730"/>
      <c r="JSC1680" s="2730"/>
      <c r="JSD1680" s="2730"/>
      <c r="JSE1680" s="2730"/>
      <c r="JSF1680" s="2730"/>
      <c r="JSG1680" s="2730"/>
      <c r="JSH1680" s="2730"/>
      <c r="JSI1680" s="2730"/>
      <c r="JSJ1680" s="2730"/>
      <c r="JSK1680" s="2730"/>
      <c r="JSL1680" s="2730"/>
      <c r="JSM1680" s="2730"/>
      <c r="JSN1680" s="2730"/>
      <c r="JSO1680" s="2730"/>
      <c r="JSP1680" s="2730"/>
      <c r="JSQ1680" s="2730"/>
      <c r="JSR1680" s="2730"/>
      <c r="JSS1680" s="2730"/>
      <c r="JST1680" s="2730"/>
      <c r="JSU1680" s="2730"/>
      <c r="JSV1680" s="2730"/>
      <c r="JSW1680" s="2730"/>
      <c r="JSX1680" s="2730"/>
      <c r="JSY1680" s="2730"/>
      <c r="JSZ1680" s="2730"/>
      <c r="JTA1680" s="2730"/>
      <c r="JTB1680" s="2730"/>
      <c r="JTC1680" s="2730"/>
      <c r="JTD1680" s="2730"/>
      <c r="JTE1680" s="2730"/>
      <c r="JTF1680" s="2730"/>
      <c r="JTG1680" s="2730"/>
      <c r="JTH1680" s="2730"/>
      <c r="JTI1680" s="2730"/>
      <c r="JTJ1680" s="2730"/>
      <c r="JTK1680" s="2730"/>
      <c r="JTL1680" s="2730"/>
      <c r="JTM1680" s="2730"/>
      <c r="JTN1680" s="2730"/>
      <c r="JTO1680" s="2730"/>
      <c r="JTP1680" s="2730"/>
      <c r="JTQ1680" s="2730"/>
      <c r="JTR1680" s="2730"/>
      <c r="JTS1680" s="2730"/>
      <c r="JTT1680" s="2730"/>
      <c r="JTU1680" s="2730"/>
      <c r="JTV1680" s="2730"/>
      <c r="JTW1680" s="2730"/>
      <c r="JTX1680" s="2730"/>
      <c r="JTY1680" s="2730"/>
      <c r="JTZ1680" s="2730"/>
      <c r="JUA1680" s="2730"/>
      <c r="JUB1680" s="2730"/>
      <c r="JUC1680" s="2730"/>
      <c r="JUD1680" s="2730"/>
      <c r="JUE1680" s="2730"/>
      <c r="JUF1680" s="2730"/>
      <c r="JUG1680" s="2730"/>
      <c r="JUH1680" s="2730"/>
      <c r="JUI1680" s="2730"/>
      <c r="JUJ1680" s="2730"/>
      <c r="JUK1680" s="2730"/>
      <c r="JUL1680" s="2730"/>
      <c r="JUM1680" s="2730"/>
      <c r="JUN1680" s="2730"/>
      <c r="JUO1680" s="2730"/>
      <c r="JUP1680" s="2730"/>
      <c r="JUQ1680" s="2730"/>
      <c r="JUR1680" s="2730"/>
      <c r="JUS1680" s="2730"/>
      <c r="JUT1680" s="2730"/>
      <c r="JUU1680" s="2730"/>
      <c r="JUV1680" s="2730"/>
      <c r="JUW1680" s="2730"/>
      <c r="JUX1680" s="2730"/>
      <c r="JUY1680" s="2730"/>
      <c r="JUZ1680" s="2730"/>
      <c r="JVA1680" s="2730"/>
      <c r="JVB1680" s="2730"/>
      <c r="JVC1680" s="2730"/>
      <c r="JVD1680" s="2730"/>
      <c r="JVE1680" s="2730"/>
      <c r="JVF1680" s="2730"/>
      <c r="JVG1680" s="2730"/>
      <c r="JVH1680" s="2730"/>
      <c r="JVI1680" s="2730"/>
      <c r="JVJ1680" s="2730"/>
      <c r="JVK1680" s="2730"/>
      <c r="JVL1680" s="2730"/>
      <c r="JVM1680" s="2730"/>
      <c r="JVN1680" s="2730"/>
      <c r="JVO1680" s="2730"/>
      <c r="JVP1680" s="2730"/>
      <c r="JVQ1680" s="2730"/>
      <c r="JVR1680" s="2730"/>
      <c r="JVS1680" s="2730"/>
      <c r="JVT1680" s="2730"/>
      <c r="JVU1680" s="2730"/>
      <c r="JVV1680" s="2730"/>
      <c r="JVW1680" s="2730"/>
      <c r="JVX1680" s="2730"/>
      <c r="JVY1680" s="2730"/>
      <c r="JVZ1680" s="2730"/>
      <c r="JWA1680" s="2730"/>
      <c r="JWB1680" s="2730"/>
      <c r="JWC1680" s="2730"/>
      <c r="JWD1680" s="2730"/>
      <c r="JWE1680" s="2730"/>
      <c r="JWF1680" s="2730"/>
      <c r="JWG1680" s="2730"/>
      <c r="JWH1680" s="2730"/>
      <c r="JWI1680" s="2730"/>
      <c r="JWJ1680" s="2730"/>
      <c r="JWK1680" s="2730"/>
      <c r="JWL1680" s="2730"/>
      <c r="JWM1680" s="2730"/>
      <c r="JWN1680" s="2730"/>
      <c r="JWO1680" s="2730"/>
      <c r="JWP1680" s="2730"/>
      <c r="JWQ1680" s="2730"/>
      <c r="JWR1680" s="2730"/>
      <c r="JWS1680" s="2730"/>
      <c r="JWT1680" s="2730"/>
      <c r="JWU1680" s="2730"/>
      <c r="JWV1680" s="2730"/>
      <c r="JWW1680" s="2730"/>
      <c r="JWX1680" s="2730"/>
      <c r="JWY1680" s="2730"/>
      <c r="JWZ1680" s="2730"/>
      <c r="JXA1680" s="2730"/>
      <c r="JXB1680" s="2730"/>
      <c r="JXC1680" s="2730"/>
      <c r="JXD1680" s="2730"/>
      <c r="JXE1680" s="2730"/>
      <c r="JXF1680" s="2730"/>
      <c r="JXG1680" s="2730"/>
      <c r="JXH1680" s="2730"/>
      <c r="JXI1680" s="2730"/>
      <c r="JXJ1680" s="2730"/>
      <c r="JXK1680" s="2730"/>
      <c r="JXL1680" s="2730"/>
      <c r="JXM1680" s="2730"/>
      <c r="JXN1680" s="2730"/>
      <c r="JXO1680" s="2730"/>
      <c r="JXP1680" s="2730"/>
      <c r="JXQ1680" s="2730"/>
      <c r="JXR1680" s="2730"/>
      <c r="JXS1680" s="2730"/>
      <c r="JXT1680" s="2730"/>
      <c r="JXU1680" s="2730"/>
      <c r="JXV1680" s="2730"/>
      <c r="JXW1680" s="2730"/>
      <c r="JXX1680" s="2730"/>
      <c r="JXY1680" s="2730"/>
      <c r="JXZ1680" s="2730"/>
      <c r="JYA1680" s="2730"/>
      <c r="JYB1680" s="2730"/>
      <c r="JYC1680" s="2730"/>
      <c r="JYD1680" s="2730"/>
      <c r="JYE1680" s="2730"/>
      <c r="JYF1680" s="2730"/>
      <c r="JYG1680" s="2730"/>
      <c r="JYH1680" s="2730"/>
      <c r="JYI1680" s="2730"/>
      <c r="JYJ1680" s="2730"/>
      <c r="JYK1680" s="2730"/>
      <c r="JYL1680" s="2730"/>
      <c r="JYM1680" s="2730"/>
      <c r="JYN1680" s="2730"/>
      <c r="JYO1680" s="2730"/>
      <c r="JYP1680" s="2730"/>
      <c r="JYQ1680" s="2730"/>
      <c r="JYR1680" s="2730"/>
      <c r="JYS1680" s="2730"/>
      <c r="JYT1680" s="2730"/>
      <c r="JYU1680" s="2730"/>
      <c r="JYV1680" s="2730"/>
      <c r="JYW1680" s="2730"/>
      <c r="JYX1680" s="2730"/>
      <c r="JYY1680" s="2730"/>
      <c r="JYZ1680" s="2730"/>
      <c r="JZA1680" s="2730"/>
      <c r="JZB1680" s="2730"/>
      <c r="JZC1680" s="2730"/>
      <c r="JZD1680" s="2730"/>
      <c r="JZE1680" s="2730"/>
      <c r="JZF1680" s="2730"/>
      <c r="JZG1680" s="2730"/>
      <c r="JZH1680" s="2730"/>
      <c r="JZI1680" s="2730"/>
      <c r="JZJ1680" s="2730"/>
      <c r="JZK1680" s="2730"/>
      <c r="JZL1680" s="2730"/>
      <c r="JZM1680" s="2730"/>
      <c r="JZN1680" s="2730"/>
      <c r="JZO1680" s="2730"/>
      <c r="JZP1680" s="2730"/>
      <c r="JZQ1680" s="2730"/>
      <c r="JZR1680" s="2730"/>
      <c r="JZS1680" s="2730"/>
      <c r="JZT1680" s="2730"/>
      <c r="JZU1680" s="2730"/>
      <c r="JZV1680" s="2730"/>
      <c r="JZW1680" s="2730"/>
      <c r="JZX1680" s="2730"/>
      <c r="JZY1680" s="2730"/>
      <c r="JZZ1680" s="2730"/>
      <c r="KAA1680" s="2730"/>
      <c r="KAB1680" s="2730"/>
      <c r="KAC1680" s="2730"/>
      <c r="KAD1680" s="2730"/>
      <c r="KAE1680" s="2730"/>
      <c r="KAF1680" s="2730"/>
      <c r="KAG1680" s="2730"/>
      <c r="KAH1680" s="2730"/>
      <c r="KAI1680" s="2730"/>
      <c r="KAJ1680" s="2730"/>
      <c r="KAK1680" s="2730"/>
      <c r="KAL1680" s="2730"/>
      <c r="KAM1680" s="2730"/>
      <c r="KAN1680" s="2730"/>
      <c r="KAO1680" s="2730"/>
      <c r="KAP1680" s="2730"/>
      <c r="KAQ1680" s="2730"/>
      <c r="KAR1680" s="2730"/>
      <c r="KAS1680" s="2730"/>
      <c r="KAT1680" s="2730"/>
      <c r="KAU1680" s="2730"/>
      <c r="KAV1680" s="2730"/>
      <c r="KAW1680" s="2730"/>
      <c r="KAX1680" s="2730"/>
      <c r="KAY1680" s="2730"/>
      <c r="KAZ1680" s="2730"/>
      <c r="KBA1680" s="2730"/>
      <c r="KBB1680" s="2730"/>
      <c r="KBC1680" s="2730"/>
      <c r="KBD1680" s="2730"/>
      <c r="KBE1680" s="2730"/>
      <c r="KBF1680" s="2730"/>
      <c r="KBG1680" s="2730"/>
      <c r="KBH1680" s="2730"/>
      <c r="KBI1680" s="2730"/>
      <c r="KBJ1680" s="2730"/>
      <c r="KBK1680" s="2730"/>
      <c r="KBL1680" s="2730"/>
      <c r="KBM1680" s="2730"/>
      <c r="KBN1680" s="2730"/>
      <c r="KBO1680" s="2730"/>
      <c r="KBP1680" s="2730"/>
      <c r="KBQ1680" s="2730"/>
      <c r="KBR1680" s="2730"/>
      <c r="KBS1680" s="2730"/>
      <c r="KBT1680" s="2730"/>
      <c r="KBU1680" s="2730"/>
      <c r="KBV1680" s="2730"/>
      <c r="KBW1680" s="2730"/>
      <c r="KBX1680" s="2730"/>
      <c r="KBY1680" s="2730"/>
      <c r="KBZ1680" s="2730"/>
      <c r="KCA1680" s="2730"/>
      <c r="KCB1680" s="2730"/>
      <c r="KCC1680" s="2730"/>
      <c r="KCD1680" s="2730"/>
      <c r="KCE1680" s="2730"/>
      <c r="KCF1680" s="2730"/>
      <c r="KCG1680" s="2730"/>
      <c r="KCH1680" s="2730"/>
      <c r="KCI1680" s="2730"/>
      <c r="KCJ1680" s="2730"/>
      <c r="KCK1680" s="2730"/>
      <c r="KCL1680" s="2730"/>
      <c r="KCM1680" s="2730"/>
      <c r="KCN1680" s="2730"/>
      <c r="KCO1680" s="2730"/>
      <c r="KCP1680" s="2730"/>
      <c r="KCQ1680" s="2730"/>
      <c r="KCR1680" s="2730"/>
      <c r="KCS1680" s="2730"/>
      <c r="KCT1680" s="2730"/>
      <c r="KCU1680" s="2730"/>
      <c r="KCV1680" s="2730"/>
      <c r="KCW1680" s="2730"/>
      <c r="KCX1680" s="2730"/>
      <c r="KCY1680" s="2730"/>
      <c r="KCZ1680" s="2730"/>
      <c r="KDA1680" s="2730"/>
      <c r="KDB1680" s="2730"/>
      <c r="KDC1680" s="2730"/>
      <c r="KDD1680" s="2730"/>
      <c r="KDE1680" s="2730"/>
      <c r="KDF1680" s="2730"/>
      <c r="KDG1680" s="2730"/>
      <c r="KDH1680" s="2730"/>
      <c r="KDI1680" s="2730"/>
      <c r="KDJ1680" s="2730"/>
      <c r="KDK1680" s="2730"/>
      <c r="KDL1680" s="2730"/>
      <c r="KDM1680" s="2730"/>
      <c r="KDN1680" s="2730"/>
      <c r="KDO1680" s="2730"/>
      <c r="KDP1680" s="2730"/>
      <c r="KDQ1680" s="2730"/>
      <c r="KDR1680" s="2730"/>
      <c r="KDS1680" s="2730"/>
      <c r="KDT1680" s="2730"/>
      <c r="KDU1680" s="2730"/>
      <c r="KDV1680" s="2730"/>
      <c r="KDW1680" s="2730"/>
      <c r="KDX1680" s="2730"/>
      <c r="KDY1680" s="2730"/>
      <c r="KDZ1680" s="2730"/>
      <c r="KEA1680" s="2730"/>
      <c r="KEB1680" s="2730"/>
      <c r="KEC1680" s="2730"/>
      <c r="KED1680" s="2730"/>
      <c r="KEE1680" s="2730"/>
      <c r="KEF1680" s="2730"/>
      <c r="KEG1680" s="2730"/>
      <c r="KEH1680" s="2730"/>
      <c r="KEI1680" s="2730"/>
      <c r="KEJ1680" s="2730"/>
      <c r="KEK1680" s="2730"/>
      <c r="KEL1680" s="2730"/>
      <c r="KEM1680" s="2730"/>
      <c r="KEN1680" s="2730"/>
      <c r="KEO1680" s="2730"/>
      <c r="KEP1680" s="2730"/>
      <c r="KEQ1680" s="2730"/>
      <c r="KER1680" s="2730"/>
      <c r="KES1680" s="2730"/>
      <c r="KET1680" s="2730"/>
      <c r="KEU1680" s="2730"/>
      <c r="KEV1680" s="2730"/>
      <c r="KEW1680" s="2730"/>
      <c r="KEX1680" s="2730"/>
      <c r="KEY1680" s="2730"/>
      <c r="KEZ1680" s="2730"/>
      <c r="KFA1680" s="2730"/>
      <c r="KFB1680" s="2730"/>
      <c r="KFC1680" s="2730"/>
      <c r="KFD1680" s="2730"/>
      <c r="KFE1680" s="2730"/>
      <c r="KFF1680" s="2730"/>
      <c r="KFG1680" s="2730"/>
      <c r="KFH1680" s="2730"/>
      <c r="KFI1680" s="2730"/>
      <c r="KFJ1680" s="2730"/>
      <c r="KFK1680" s="2730"/>
      <c r="KFL1680" s="2730"/>
      <c r="KFM1680" s="2730"/>
      <c r="KFN1680" s="2730"/>
      <c r="KFO1680" s="2730"/>
      <c r="KFP1680" s="2730"/>
      <c r="KFQ1680" s="2730"/>
      <c r="KFR1680" s="2730"/>
      <c r="KFS1680" s="2730"/>
      <c r="KFT1680" s="2730"/>
      <c r="KFU1680" s="2730"/>
      <c r="KFV1680" s="2730"/>
      <c r="KFW1680" s="2730"/>
      <c r="KFX1680" s="2730"/>
      <c r="KFY1680" s="2730"/>
      <c r="KFZ1680" s="2730"/>
      <c r="KGA1680" s="2730"/>
      <c r="KGB1680" s="2730"/>
      <c r="KGC1680" s="2730"/>
      <c r="KGD1680" s="2730"/>
      <c r="KGE1680" s="2730"/>
      <c r="KGF1680" s="2730"/>
      <c r="KGG1680" s="2730"/>
      <c r="KGH1680" s="2730"/>
      <c r="KGI1680" s="2730"/>
      <c r="KGJ1680" s="2730"/>
      <c r="KGK1680" s="2730"/>
      <c r="KGL1680" s="2730"/>
      <c r="KGM1680" s="2730"/>
      <c r="KGN1680" s="2730"/>
      <c r="KGO1680" s="2730"/>
      <c r="KGP1680" s="2730"/>
      <c r="KGQ1680" s="2730"/>
      <c r="KGR1680" s="2730"/>
      <c r="KGS1680" s="2730"/>
      <c r="KGT1680" s="2730"/>
      <c r="KGU1680" s="2730"/>
      <c r="KGV1680" s="2730"/>
      <c r="KGW1680" s="2730"/>
      <c r="KGX1680" s="2730"/>
      <c r="KGY1680" s="2730"/>
      <c r="KGZ1680" s="2730"/>
      <c r="KHA1680" s="2730"/>
      <c r="KHB1680" s="2730"/>
      <c r="KHC1680" s="2730"/>
      <c r="KHD1680" s="2730"/>
      <c r="KHE1680" s="2730"/>
      <c r="KHF1680" s="2730"/>
      <c r="KHG1680" s="2730"/>
      <c r="KHH1680" s="2730"/>
      <c r="KHI1680" s="2730"/>
      <c r="KHJ1680" s="2730"/>
      <c r="KHK1680" s="2730"/>
      <c r="KHL1680" s="2730"/>
      <c r="KHM1680" s="2730"/>
      <c r="KHN1680" s="2730"/>
      <c r="KHO1680" s="2730"/>
      <c r="KHP1680" s="2730"/>
      <c r="KHQ1680" s="2730"/>
      <c r="KHR1680" s="2730"/>
      <c r="KHS1680" s="2730"/>
      <c r="KHT1680" s="2730"/>
      <c r="KHU1680" s="2730"/>
      <c r="KHV1680" s="2730"/>
      <c r="KHW1680" s="2730"/>
      <c r="KHX1680" s="2730"/>
      <c r="KHY1680" s="2730"/>
      <c r="KHZ1680" s="2730"/>
      <c r="KIA1680" s="2730"/>
      <c r="KIB1680" s="2730"/>
      <c r="KIC1680" s="2730"/>
      <c r="KID1680" s="2730"/>
      <c r="KIE1680" s="2730"/>
      <c r="KIF1680" s="2730"/>
      <c r="KIG1680" s="2730"/>
      <c r="KIH1680" s="2730"/>
      <c r="KII1680" s="2730"/>
      <c r="KIJ1680" s="2730"/>
      <c r="KIK1680" s="2730"/>
      <c r="KIL1680" s="2730"/>
      <c r="KIM1680" s="2730"/>
      <c r="KIN1680" s="2730"/>
      <c r="KIO1680" s="2730"/>
      <c r="KIP1680" s="2730"/>
      <c r="KIQ1680" s="2730"/>
      <c r="KIR1680" s="2730"/>
      <c r="KIS1680" s="2730"/>
      <c r="KIT1680" s="2730"/>
      <c r="KIU1680" s="2730"/>
      <c r="KIV1680" s="2730"/>
      <c r="KIW1680" s="2730"/>
      <c r="KIX1680" s="2730"/>
      <c r="KIY1680" s="2730"/>
      <c r="KIZ1680" s="2730"/>
      <c r="KJA1680" s="2730"/>
      <c r="KJB1680" s="2730"/>
      <c r="KJC1680" s="2730"/>
      <c r="KJD1680" s="2730"/>
      <c r="KJE1680" s="2730"/>
      <c r="KJF1680" s="2730"/>
      <c r="KJG1680" s="2730"/>
      <c r="KJH1680" s="2730"/>
      <c r="KJI1680" s="2730"/>
      <c r="KJJ1680" s="2730"/>
      <c r="KJK1680" s="2730"/>
      <c r="KJL1680" s="2730"/>
      <c r="KJM1680" s="2730"/>
      <c r="KJN1680" s="2730"/>
      <c r="KJO1680" s="2730"/>
      <c r="KJP1680" s="2730"/>
      <c r="KJQ1680" s="2730"/>
      <c r="KJR1680" s="2730"/>
      <c r="KJS1680" s="2730"/>
      <c r="KJT1680" s="2730"/>
      <c r="KJU1680" s="2730"/>
      <c r="KJV1680" s="2730"/>
      <c r="KJW1680" s="2730"/>
      <c r="KJX1680" s="2730"/>
      <c r="KJY1680" s="2730"/>
      <c r="KJZ1680" s="2730"/>
      <c r="KKA1680" s="2730"/>
      <c r="KKB1680" s="2730"/>
      <c r="KKC1680" s="2730"/>
      <c r="KKD1680" s="2730"/>
      <c r="KKE1680" s="2730"/>
      <c r="KKF1680" s="2730"/>
      <c r="KKG1680" s="2730"/>
      <c r="KKH1680" s="2730"/>
      <c r="KKI1680" s="2730"/>
      <c r="KKJ1680" s="2730"/>
      <c r="KKK1680" s="2730"/>
      <c r="KKL1680" s="2730"/>
      <c r="KKM1680" s="2730"/>
      <c r="KKN1680" s="2730"/>
      <c r="KKO1680" s="2730"/>
      <c r="KKP1680" s="2730"/>
      <c r="KKQ1680" s="2730"/>
      <c r="KKR1680" s="2730"/>
      <c r="KKS1680" s="2730"/>
      <c r="KKT1680" s="2730"/>
      <c r="KKU1680" s="2730"/>
      <c r="KKV1680" s="2730"/>
      <c r="KKW1680" s="2730"/>
      <c r="KKX1680" s="2730"/>
      <c r="KKY1680" s="2730"/>
      <c r="KKZ1680" s="2730"/>
      <c r="KLA1680" s="2730"/>
      <c r="KLB1680" s="2730"/>
      <c r="KLC1680" s="2730"/>
      <c r="KLD1680" s="2730"/>
      <c r="KLE1680" s="2730"/>
      <c r="KLF1680" s="2730"/>
      <c r="KLG1680" s="2730"/>
      <c r="KLH1680" s="2730"/>
      <c r="KLI1680" s="2730"/>
      <c r="KLJ1680" s="2730"/>
      <c r="KLK1680" s="2730"/>
      <c r="KLL1680" s="2730"/>
      <c r="KLM1680" s="2730"/>
      <c r="KLN1680" s="2730"/>
      <c r="KLO1680" s="2730"/>
      <c r="KLP1680" s="2730"/>
      <c r="KLQ1680" s="2730"/>
      <c r="KLR1680" s="2730"/>
      <c r="KLS1680" s="2730"/>
      <c r="KLT1680" s="2730"/>
      <c r="KLU1680" s="2730"/>
      <c r="KLV1680" s="2730"/>
      <c r="KLW1680" s="2730"/>
      <c r="KLX1680" s="2730"/>
      <c r="KLY1680" s="2730"/>
      <c r="KLZ1680" s="2730"/>
      <c r="KMA1680" s="2730"/>
      <c r="KMB1680" s="2730"/>
      <c r="KMC1680" s="2730"/>
      <c r="KMD1680" s="2730"/>
      <c r="KME1680" s="2730"/>
      <c r="KMF1680" s="2730"/>
      <c r="KMG1680" s="2730"/>
      <c r="KMH1680" s="2730"/>
      <c r="KMI1680" s="2730"/>
      <c r="KMJ1680" s="2730"/>
      <c r="KMK1680" s="2730"/>
      <c r="KML1680" s="2730"/>
      <c r="KMM1680" s="2730"/>
      <c r="KMN1680" s="2730"/>
      <c r="KMO1680" s="2730"/>
      <c r="KMP1680" s="2730"/>
      <c r="KMQ1680" s="2730"/>
      <c r="KMR1680" s="2730"/>
      <c r="KMS1680" s="2730"/>
      <c r="KMT1680" s="2730"/>
      <c r="KMU1680" s="2730"/>
      <c r="KMV1680" s="2730"/>
      <c r="KMW1680" s="2730"/>
      <c r="KMX1680" s="2730"/>
      <c r="KMY1680" s="2730"/>
      <c r="KMZ1680" s="2730"/>
      <c r="KNA1680" s="2730"/>
      <c r="KNB1680" s="2730"/>
      <c r="KNC1680" s="2730"/>
      <c r="KND1680" s="2730"/>
      <c r="KNE1680" s="2730"/>
      <c r="KNF1680" s="2730"/>
      <c r="KNG1680" s="2730"/>
      <c r="KNH1680" s="2730"/>
      <c r="KNI1680" s="2730"/>
      <c r="KNJ1680" s="2730"/>
      <c r="KNK1680" s="2730"/>
      <c r="KNL1680" s="2730"/>
      <c r="KNM1680" s="2730"/>
      <c r="KNN1680" s="2730"/>
      <c r="KNO1680" s="2730"/>
      <c r="KNP1680" s="2730"/>
      <c r="KNQ1680" s="2730"/>
      <c r="KNR1680" s="2730"/>
      <c r="KNS1680" s="2730"/>
      <c r="KNT1680" s="2730"/>
      <c r="KNU1680" s="2730"/>
      <c r="KNV1680" s="2730"/>
      <c r="KNW1680" s="2730"/>
      <c r="KNX1680" s="2730"/>
      <c r="KNY1680" s="2730"/>
      <c r="KNZ1680" s="2730"/>
      <c r="KOA1680" s="2730"/>
      <c r="KOB1680" s="2730"/>
      <c r="KOC1680" s="2730"/>
      <c r="KOD1680" s="2730"/>
      <c r="KOE1680" s="2730"/>
      <c r="KOF1680" s="2730"/>
      <c r="KOG1680" s="2730"/>
      <c r="KOH1680" s="2730"/>
      <c r="KOI1680" s="2730"/>
      <c r="KOJ1680" s="2730"/>
      <c r="KOK1680" s="2730"/>
      <c r="KOL1680" s="2730"/>
      <c r="KOM1680" s="2730"/>
      <c r="KON1680" s="2730"/>
      <c r="KOO1680" s="2730"/>
      <c r="KOP1680" s="2730"/>
      <c r="KOQ1680" s="2730"/>
      <c r="KOR1680" s="2730"/>
      <c r="KOS1680" s="2730"/>
      <c r="KOT1680" s="2730"/>
      <c r="KOU1680" s="2730"/>
      <c r="KOV1680" s="2730"/>
      <c r="KOW1680" s="2730"/>
      <c r="KOX1680" s="2730"/>
      <c r="KOY1680" s="2730"/>
      <c r="KOZ1680" s="2730"/>
      <c r="KPA1680" s="2730"/>
      <c r="KPB1680" s="2730"/>
      <c r="KPC1680" s="2730"/>
      <c r="KPD1680" s="2730"/>
      <c r="KPE1680" s="2730"/>
      <c r="KPF1680" s="2730"/>
      <c r="KPG1680" s="2730"/>
      <c r="KPH1680" s="2730"/>
      <c r="KPI1680" s="2730"/>
      <c r="KPJ1680" s="2730"/>
      <c r="KPK1680" s="2730"/>
      <c r="KPL1680" s="2730"/>
      <c r="KPM1680" s="2730"/>
      <c r="KPN1680" s="2730"/>
      <c r="KPO1680" s="2730"/>
      <c r="KPP1680" s="2730"/>
      <c r="KPQ1680" s="2730"/>
      <c r="KPR1680" s="2730"/>
      <c r="KPS1680" s="2730"/>
      <c r="KPT1680" s="2730"/>
      <c r="KPU1680" s="2730"/>
      <c r="KPV1680" s="2730"/>
      <c r="KPW1680" s="2730"/>
      <c r="KPX1680" s="2730"/>
      <c r="KPY1680" s="2730"/>
      <c r="KPZ1680" s="2730"/>
      <c r="KQA1680" s="2730"/>
      <c r="KQB1680" s="2730"/>
      <c r="KQC1680" s="2730"/>
      <c r="KQD1680" s="2730"/>
      <c r="KQE1680" s="2730"/>
      <c r="KQF1680" s="2730"/>
      <c r="KQG1680" s="2730"/>
      <c r="KQH1680" s="2730"/>
      <c r="KQI1680" s="2730"/>
      <c r="KQJ1680" s="2730"/>
      <c r="KQK1680" s="2730"/>
      <c r="KQL1680" s="2730"/>
      <c r="KQM1680" s="2730"/>
      <c r="KQN1680" s="2730"/>
      <c r="KQO1680" s="2730"/>
      <c r="KQP1680" s="2730"/>
      <c r="KQQ1680" s="2730"/>
      <c r="KQR1680" s="2730"/>
      <c r="KQS1680" s="2730"/>
      <c r="KQT1680" s="2730"/>
      <c r="KQU1680" s="2730"/>
      <c r="KQV1680" s="2730"/>
      <c r="KQW1680" s="2730"/>
      <c r="KQX1680" s="2730"/>
      <c r="KQY1680" s="2730"/>
      <c r="KQZ1680" s="2730"/>
      <c r="KRA1680" s="2730"/>
      <c r="KRB1680" s="2730"/>
      <c r="KRC1680" s="2730"/>
      <c r="KRD1680" s="2730"/>
      <c r="KRE1680" s="2730"/>
      <c r="KRF1680" s="2730"/>
      <c r="KRG1680" s="2730"/>
      <c r="KRH1680" s="2730"/>
      <c r="KRI1680" s="2730"/>
      <c r="KRJ1680" s="2730"/>
      <c r="KRK1680" s="2730"/>
      <c r="KRL1680" s="2730"/>
      <c r="KRM1680" s="2730"/>
      <c r="KRN1680" s="2730"/>
      <c r="KRO1680" s="2730"/>
      <c r="KRP1680" s="2730"/>
      <c r="KRQ1680" s="2730"/>
      <c r="KRR1680" s="2730"/>
      <c r="KRS1680" s="2730"/>
      <c r="KRT1680" s="2730"/>
      <c r="KRU1680" s="2730"/>
      <c r="KRV1680" s="2730"/>
      <c r="KRW1680" s="2730"/>
      <c r="KRX1680" s="2730"/>
      <c r="KRY1680" s="2730"/>
      <c r="KRZ1680" s="2730"/>
      <c r="KSA1680" s="2730"/>
      <c r="KSB1680" s="2730"/>
      <c r="KSC1680" s="2730"/>
      <c r="KSD1680" s="2730"/>
      <c r="KSE1680" s="2730"/>
      <c r="KSF1680" s="2730"/>
      <c r="KSG1680" s="2730"/>
      <c r="KSH1680" s="2730"/>
      <c r="KSI1680" s="2730"/>
      <c r="KSJ1680" s="2730"/>
      <c r="KSK1680" s="2730"/>
      <c r="KSL1680" s="2730"/>
      <c r="KSM1680" s="2730"/>
      <c r="KSN1680" s="2730"/>
      <c r="KSO1680" s="2730"/>
      <c r="KSP1680" s="2730"/>
      <c r="KSQ1680" s="2730"/>
      <c r="KSR1680" s="2730"/>
      <c r="KSS1680" s="2730"/>
      <c r="KST1680" s="2730"/>
      <c r="KSU1680" s="2730"/>
      <c r="KSV1680" s="2730"/>
      <c r="KSW1680" s="2730"/>
      <c r="KSX1680" s="2730"/>
      <c r="KSY1680" s="2730"/>
      <c r="KSZ1680" s="2730"/>
      <c r="KTA1680" s="2730"/>
      <c r="KTB1680" s="2730"/>
      <c r="KTC1680" s="2730"/>
      <c r="KTD1680" s="2730"/>
      <c r="KTE1680" s="2730"/>
      <c r="KTF1680" s="2730"/>
      <c r="KTG1680" s="2730"/>
      <c r="KTH1680" s="2730"/>
      <c r="KTI1680" s="2730"/>
      <c r="KTJ1680" s="2730"/>
      <c r="KTK1680" s="2730"/>
      <c r="KTL1680" s="2730"/>
      <c r="KTM1680" s="2730"/>
      <c r="KTN1680" s="2730"/>
      <c r="KTO1680" s="2730"/>
      <c r="KTP1680" s="2730"/>
      <c r="KTQ1680" s="2730"/>
      <c r="KTR1680" s="2730"/>
      <c r="KTS1680" s="2730"/>
      <c r="KTT1680" s="2730"/>
      <c r="KTU1680" s="2730"/>
      <c r="KTV1680" s="2730"/>
      <c r="KTW1680" s="2730"/>
      <c r="KTX1680" s="2730"/>
      <c r="KTY1680" s="2730"/>
      <c r="KTZ1680" s="2730"/>
      <c r="KUA1680" s="2730"/>
      <c r="KUB1680" s="2730"/>
      <c r="KUC1680" s="2730"/>
      <c r="KUD1680" s="2730"/>
      <c r="KUE1680" s="2730"/>
      <c r="KUF1680" s="2730"/>
      <c r="KUG1680" s="2730"/>
      <c r="KUH1680" s="2730"/>
      <c r="KUI1680" s="2730"/>
      <c r="KUJ1680" s="2730"/>
      <c r="KUK1680" s="2730"/>
      <c r="KUL1680" s="2730"/>
      <c r="KUM1680" s="2730"/>
      <c r="KUN1680" s="2730"/>
      <c r="KUO1680" s="2730"/>
      <c r="KUP1680" s="2730"/>
      <c r="KUQ1680" s="2730"/>
      <c r="KUR1680" s="2730"/>
      <c r="KUS1680" s="2730"/>
      <c r="KUT1680" s="2730"/>
      <c r="KUU1680" s="2730"/>
      <c r="KUV1680" s="2730"/>
      <c r="KUW1680" s="2730"/>
      <c r="KUX1680" s="2730"/>
      <c r="KUY1680" s="2730"/>
      <c r="KUZ1680" s="2730"/>
      <c r="KVA1680" s="2730"/>
      <c r="KVB1680" s="2730"/>
      <c r="KVC1680" s="2730"/>
      <c r="KVD1680" s="2730"/>
      <c r="KVE1680" s="2730"/>
      <c r="KVF1680" s="2730"/>
      <c r="KVG1680" s="2730"/>
      <c r="KVH1680" s="2730"/>
      <c r="KVI1680" s="2730"/>
      <c r="KVJ1680" s="2730"/>
      <c r="KVK1680" s="2730"/>
      <c r="KVL1680" s="2730"/>
      <c r="KVM1680" s="2730"/>
      <c r="KVN1680" s="2730"/>
      <c r="KVO1680" s="2730"/>
      <c r="KVP1680" s="2730"/>
      <c r="KVQ1680" s="2730"/>
      <c r="KVR1680" s="2730"/>
      <c r="KVS1680" s="2730"/>
      <c r="KVT1680" s="2730"/>
      <c r="KVU1680" s="2730"/>
      <c r="KVV1680" s="2730"/>
      <c r="KVW1680" s="2730"/>
      <c r="KVX1680" s="2730"/>
      <c r="KVY1680" s="2730"/>
      <c r="KVZ1680" s="2730"/>
      <c r="KWA1680" s="2730"/>
      <c r="KWB1680" s="2730"/>
      <c r="KWC1680" s="2730"/>
      <c r="KWD1680" s="2730"/>
      <c r="KWE1680" s="2730"/>
      <c r="KWF1680" s="2730"/>
      <c r="KWG1680" s="2730"/>
      <c r="KWH1680" s="2730"/>
      <c r="KWI1680" s="2730"/>
      <c r="KWJ1680" s="2730"/>
      <c r="KWK1680" s="2730"/>
      <c r="KWL1680" s="2730"/>
      <c r="KWM1680" s="2730"/>
      <c r="KWN1680" s="2730"/>
      <c r="KWO1680" s="2730"/>
      <c r="KWP1680" s="2730"/>
      <c r="KWQ1680" s="2730"/>
      <c r="KWR1680" s="2730"/>
      <c r="KWS1680" s="2730"/>
      <c r="KWT1680" s="2730"/>
      <c r="KWU1680" s="2730"/>
      <c r="KWV1680" s="2730"/>
      <c r="KWW1680" s="2730"/>
      <c r="KWX1680" s="2730"/>
      <c r="KWY1680" s="2730"/>
      <c r="KWZ1680" s="2730"/>
      <c r="KXA1680" s="2730"/>
      <c r="KXB1680" s="2730"/>
      <c r="KXC1680" s="2730"/>
      <c r="KXD1680" s="2730"/>
      <c r="KXE1680" s="2730"/>
      <c r="KXF1680" s="2730"/>
      <c r="KXG1680" s="2730"/>
      <c r="KXH1680" s="2730"/>
      <c r="KXI1680" s="2730"/>
      <c r="KXJ1680" s="2730"/>
      <c r="KXK1680" s="2730"/>
      <c r="KXL1680" s="2730"/>
      <c r="KXM1680" s="2730"/>
      <c r="KXN1680" s="2730"/>
      <c r="KXO1680" s="2730"/>
      <c r="KXP1680" s="2730"/>
      <c r="KXQ1680" s="2730"/>
      <c r="KXR1680" s="2730"/>
      <c r="KXS1680" s="2730"/>
      <c r="KXT1680" s="2730"/>
      <c r="KXU1680" s="2730"/>
      <c r="KXV1680" s="2730"/>
      <c r="KXW1680" s="2730"/>
      <c r="KXX1680" s="2730"/>
      <c r="KXY1680" s="2730"/>
      <c r="KXZ1680" s="2730"/>
      <c r="KYA1680" s="2730"/>
      <c r="KYB1680" s="2730"/>
      <c r="KYC1680" s="2730"/>
      <c r="KYD1680" s="2730"/>
      <c r="KYE1680" s="2730"/>
      <c r="KYF1680" s="2730"/>
      <c r="KYG1680" s="2730"/>
      <c r="KYH1680" s="2730"/>
      <c r="KYI1680" s="2730"/>
      <c r="KYJ1680" s="2730"/>
      <c r="KYK1680" s="2730"/>
      <c r="KYL1680" s="2730"/>
      <c r="KYM1680" s="2730"/>
      <c r="KYN1680" s="2730"/>
      <c r="KYO1680" s="2730"/>
      <c r="KYP1680" s="2730"/>
      <c r="KYQ1680" s="2730"/>
      <c r="KYR1680" s="2730"/>
      <c r="KYS1680" s="2730"/>
      <c r="KYT1680" s="2730"/>
      <c r="KYU1680" s="2730"/>
      <c r="KYV1680" s="2730"/>
      <c r="KYW1680" s="2730"/>
      <c r="KYX1680" s="2730"/>
      <c r="KYY1680" s="2730"/>
      <c r="KYZ1680" s="2730"/>
      <c r="KZA1680" s="2730"/>
      <c r="KZB1680" s="2730"/>
      <c r="KZC1680" s="2730"/>
      <c r="KZD1680" s="2730"/>
      <c r="KZE1680" s="2730"/>
      <c r="KZF1680" s="2730"/>
      <c r="KZG1680" s="2730"/>
      <c r="KZH1680" s="2730"/>
      <c r="KZI1680" s="2730"/>
      <c r="KZJ1680" s="2730"/>
      <c r="KZK1680" s="2730"/>
      <c r="KZL1680" s="2730"/>
      <c r="KZM1680" s="2730"/>
      <c r="KZN1680" s="2730"/>
      <c r="KZO1680" s="2730"/>
      <c r="KZP1680" s="2730"/>
      <c r="KZQ1680" s="2730"/>
      <c r="KZR1680" s="2730"/>
      <c r="KZS1680" s="2730"/>
      <c r="KZT1680" s="2730"/>
      <c r="KZU1680" s="2730"/>
      <c r="KZV1680" s="2730"/>
      <c r="KZW1680" s="2730"/>
      <c r="KZX1680" s="2730"/>
      <c r="KZY1680" s="2730"/>
      <c r="KZZ1680" s="2730"/>
      <c r="LAA1680" s="2730"/>
      <c r="LAB1680" s="2730"/>
      <c r="LAC1680" s="2730"/>
      <c r="LAD1680" s="2730"/>
      <c r="LAE1680" s="2730"/>
      <c r="LAF1680" s="2730"/>
      <c r="LAG1680" s="2730"/>
      <c r="LAH1680" s="2730"/>
      <c r="LAI1680" s="2730"/>
      <c r="LAJ1680" s="2730"/>
      <c r="LAK1680" s="2730"/>
      <c r="LAL1680" s="2730"/>
      <c r="LAM1680" s="2730"/>
      <c r="LAN1680" s="2730"/>
      <c r="LAO1680" s="2730"/>
      <c r="LAP1680" s="2730"/>
      <c r="LAQ1680" s="2730"/>
      <c r="LAR1680" s="2730"/>
      <c r="LAS1680" s="2730"/>
      <c r="LAT1680" s="2730"/>
      <c r="LAU1680" s="2730"/>
      <c r="LAV1680" s="2730"/>
      <c r="LAW1680" s="2730"/>
      <c r="LAX1680" s="2730"/>
      <c r="LAY1680" s="2730"/>
      <c r="LAZ1680" s="2730"/>
      <c r="LBA1680" s="2730"/>
      <c r="LBB1680" s="2730"/>
      <c r="LBC1680" s="2730"/>
      <c r="LBD1680" s="2730"/>
      <c r="LBE1680" s="2730"/>
      <c r="LBF1680" s="2730"/>
      <c r="LBG1680" s="2730"/>
      <c r="LBH1680" s="2730"/>
      <c r="LBI1680" s="2730"/>
      <c r="LBJ1680" s="2730"/>
      <c r="LBK1680" s="2730"/>
      <c r="LBL1680" s="2730"/>
      <c r="LBM1680" s="2730"/>
      <c r="LBN1680" s="2730"/>
      <c r="LBO1680" s="2730"/>
      <c r="LBP1680" s="2730"/>
      <c r="LBQ1680" s="2730"/>
      <c r="LBR1680" s="2730"/>
      <c r="LBS1680" s="2730"/>
      <c r="LBT1680" s="2730"/>
      <c r="LBU1680" s="2730"/>
      <c r="LBV1680" s="2730"/>
      <c r="LBW1680" s="2730"/>
      <c r="LBX1680" s="2730"/>
      <c r="LBY1680" s="2730"/>
      <c r="LBZ1680" s="2730"/>
      <c r="LCA1680" s="2730"/>
      <c r="LCB1680" s="2730"/>
      <c r="LCC1680" s="2730"/>
      <c r="LCD1680" s="2730"/>
      <c r="LCE1680" s="2730"/>
      <c r="LCF1680" s="2730"/>
      <c r="LCG1680" s="2730"/>
      <c r="LCH1680" s="2730"/>
      <c r="LCI1680" s="2730"/>
      <c r="LCJ1680" s="2730"/>
      <c r="LCK1680" s="2730"/>
      <c r="LCL1680" s="2730"/>
      <c r="LCM1680" s="2730"/>
      <c r="LCN1680" s="2730"/>
      <c r="LCO1680" s="2730"/>
      <c r="LCP1680" s="2730"/>
      <c r="LCQ1680" s="2730"/>
      <c r="LCR1680" s="2730"/>
      <c r="LCS1680" s="2730"/>
      <c r="LCT1680" s="2730"/>
      <c r="LCU1680" s="2730"/>
      <c r="LCV1680" s="2730"/>
      <c r="LCW1680" s="2730"/>
      <c r="LCX1680" s="2730"/>
      <c r="LCY1680" s="2730"/>
      <c r="LCZ1680" s="2730"/>
      <c r="LDA1680" s="2730"/>
      <c r="LDB1680" s="2730"/>
      <c r="LDC1680" s="2730"/>
      <c r="LDD1680" s="2730"/>
      <c r="LDE1680" s="2730"/>
      <c r="LDF1680" s="2730"/>
      <c r="LDG1680" s="2730"/>
      <c r="LDH1680" s="2730"/>
      <c r="LDI1680" s="2730"/>
      <c r="LDJ1680" s="2730"/>
      <c r="LDK1680" s="2730"/>
      <c r="LDL1680" s="2730"/>
      <c r="LDM1680" s="2730"/>
      <c r="LDN1680" s="2730"/>
      <c r="LDO1680" s="2730"/>
      <c r="LDP1680" s="2730"/>
      <c r="LDQ1680" s="2730"/>
      <c r="LDR1680" s="2730"/>
      <c r="LDS1680" s="2730"/>
      <c r="LDT1680" s="2730"/>
      <c r="LDU1680" s="2730"/>
      <c r="LDV1680" s="2730"/>
      <c r="LDW1680" s="2730"/>
      <c r="LDX1680" s="2730"/>
      <c r="LDY1680" s="2730"/>
      <c r="LDZ1680" s="2730"/>
      <c r="LEA1680" s="2730"/>
      <c r="LEB1680" s="2730"/>
      <c r="LEC1680" s="2730"/>
      <c r="LED1680" s="2730"/>
      <c r="LEE1680" s="2730"/>
      <c r="LEF1680" s="2730"/>
      <c r="LEG1680" s="2730"/>
      <c r="LEH1680" s="2730"/>
      <c r="LEI1680" s="2730"/>
      <c r="LEJ1680" s="2730"/>
      <c r="LEK1680" s="2730"/>
      <c r="LEL1680" s="2730"/>
      <c r="LEM1680" s="2730"/>
      <c r="LEN1680" s="2730"/>
      <c r="LEO1680" s="2730"/>
      <c r="LEP1680" s="2730"/>
      <c r="LEQ1680" s="2730"/>
      <c r="LER1680" s="2730"/>
      <c r="LES1680" s="2730"/>
      <c r="LET1680" s="2730"/>
      <c r="LEU1680" s="2730"/>
      <c r="LEV1680" s="2730"/>
      <c r="LEW1680" s="2730"/>
      <c r="LEX1680" s="2730"/>
      <c r="LEY1680" s="2730"/>
      <c r="LEZ1680" s="2730"/>
      <c r="LFA1680" s="2730"/>
      <c r="LFB1680" s="2730"/>
      <c r="LFC1680" s="2730"/>
      <c r="LFD1680" s="2730"/>
      <c r="LFE1680" s="2730"/>
      <c r="LFF1680" s="2730"/>
      <c r="LFG1680" s="2730"/>
      <c r="LFH1680" s="2730"/>
      <c r="LFI1680" s="2730"/>
      <c r="LFJ1680" s="2730"/>
      <c r="LFK1680" s="2730"/>
      <c r="LFL1680" s="2730"/>
      <c r="LFM1680" s="2730"/>
      <c r="LFN1680" s="2730"/>
      <c r="LFO1680" s="2730"/>
      <c r="LFP1680" s="2730"/>
      <c r="LFQ1680" s="2730"/>
      <c r="LFR1680" s="2730"/>
      <c r="LFS1680" s="2730"/>
      <c r="LFT1680" s="2730"/>
      <c r="LFU1680" s="2730"/>
      <c r="LFV1680" s="2730"/>
      <c r="LFW1680" s="2730"/>
      <c r="LFX1680" s="2730"/>
      <c r="LFY1680" s="2730"/>
      <c r="LFZ1680" s="2730"/>
      <c r="LGA1680" s="2730"/>
      <c r="LGB1680" s="2730"/>
      <c r="LGC1680" s="2730"/>
      <c r="LGD1680" s="2730"/>
      <c r="LGE1680" s="2730"/>
      <c r="LGF1680" s="2730"/>
      <c r="LGG1680" s="2730"/>
      <c r="LGH1680" s="2730"/>
      <c r="LGI1680" s="2730"/>
      <c r="LGJ1680" s="2730"/>
      <c r="LGK1680" s="2730"/>
      <c r="LGL1680" s="2730"/>
      <c r="LGM1680" s="2730"/>
      <c r="LGN1680" s="2730"/>
      <c r="LGO1680" s="2730"/>
      <c r="LGP1680" s="2730"/>
      <c r="LGQ1680" s="2730"/>
      <c r="LGR1680" s="2730"/>
      <c r="LGS1680" s="2730"/>
      <c r="LGT1680" s="2730"/>
      <c r="LGU1680" s="2730"/>
      <c r="LGV1680" s="2730"/>
      <c r="LGW1680" s="2730"/>
      <c r="LGX1680" s="2730"/>
      <c r="LGY1680" s="2730"/>
      <c r="LGZ1680" s="2730"/>
      <c r="LHA1680" s="2730"/>
      <c r="LHB1680" s="2730"/>
      <c r="LHC1680" s="2730"/>
      <c r="LHD1680" s="2730"/>
      <c r="LHE1680" s="2730"/>
      <c r="LHF1680" s="2730"/>
      <c r="LHG1680" s="2730"/>
      <c r="LHH1680" s="2730"/>
      <c r="LHI1680" s="2730"/>
      <c r="LHJ1680" s="2730"/>
      <c r="LHK1680" s="2730"/>
      <c r="LHL1680" s="2730"/>
      <c r="LHM1680" s="2730"/>
      <c r="LHN1680" s="2730"/>
      <c r="LHO1680" s="2730"/>
      <c r="LHP1680" s="2730"/>
      <c r="LHQ1680" s="2730"/>
      <c r="LHR1680" s="2730"/>
      <c r="LHS1680" s="2730"/>
      <c r="LHT1680" s="2730"/>
      <c r="LHU1680" s="2730"/>
      <c r="LHV1680" s="2730"/>
      <c r="LHW1680" s="2730"/>
      <c r="LHX1680" s="2730"/>
      <c r="LHY1680" s="2730"/>
      <c r="LHZ1680" s="2730"/>
      <c r="LIA1680" s="2730"/>
      <c r="LIB1680" s="2730"/>
      <c r="LIC1680" s="2730"/>
      <c r="LID1680" s="2730"/>
      <c r="LIE1680" s="2730"/>
      <c r="LIF1680" s="2730"/>
      <c r="LIG1680" s="2730"/>
      <c r="LIH1680" s="2730"/>
      <c r="LII1680" s="2730"/>
      <c r="LIJ1680" s="2730"/>
      <c r="LIK1680" s="2730"/>
      <c r="LIL1680" s="2730"/>
      <c r="LIM1680" s="2730"/>
      <c r="LIN1680" s="2730"/>
      <c r="LIO1680" s="2730"/>
      <c r="LIP1680" s="2730"/>
      <c r="LIQ1680" s="2730"/>
      <c r="LIR1680" s="2730"/>
      <c r="LIS1680" s="2730"/>
      <c r="LIT1680" s="2730"/>
      <c r="LIU1680" s="2730"/>
      <c r="LIV1680" s="2730"/>
      <c r="LIW1680" s="2730"/>
      <c r="LIX1680" s="2730"/>
      <c r="LIY1680" s="2730"/>
      <c r="LIZ1680" s="2730"/>
      <c r="LJA1680" s="2730"/>
      <c r="LJB1680" s="2730"/>
      <c r="LJC1680" s="2730"/>
      <c r="LJD1680" s="2730"/>
      <c r="LJE1680" s="2730"/>
      <c r="LJF1680" s="2730"/>
      <c r="LJG1680" s="2730"/>
      <c r="LJH1680" s="2730"/>
      <c r="LJI1680" s="2730"/>
      <c r="LJJ1680" s="2730"/>
      <c r="LJK1680" s="2730"/>
      <c r="LJL1680" s="2730"/>
      <c r="LJM1680" s="2730"/>
      <c r="LJN1680" s="2730"/>
      <c r="LJO1680" s="2730"/>
      <c r="LJP1680" s="2730"/>
      <c r="LJQ1680" s="2730"/>
      <c r="LJR1680" s="2730"/>
      <c r="LJS1680" s="2730"/>
      <c r="LJT1680" s="2730"/>
      <c r="LJU1680" s="2730"/>
      <c r="LJV1680" s="2730"/>
      <c r="LJW1680" s="2730"/>
      <c r="LJX1680" s="2730"/>
      <c r="LJY1680" s="2730"/>
      <c r="LJZ1680" s="2730"/>
      <c r="LKA1680" s="2730"/>
      <c r="LKB1680" s="2730"/>
      <c r="LKC1680" s="2730"/>
      <c r="LKD1680" s="2730"/>
      <c r="LKE1680" s="2730"/>
      <c r="LKF1680" s="2730"/>
      <c r="LKG1680" s="2730"/>
      <c r="LKH1680" s="2730"/>
      <c r="LKI1680" s="2730"/>
      <c r="LKJ1680" s="2730"/>
      <c r="LKK1680" s="2730"/>
      <c r="LKL1680" s="2730"/>
      <c r="LKM1680" s="2730"/>
      <c r="LKN1680" s="2730"/>
      <c r="LKO1680" s="2730"/>
      <c r="LKP1680" s="2730"/>
      <c r="LKQ1680" s="2730"/>
      <c r="LKR1680" s="2730"/>
      <c r="LKS1680" s="2730"/>
      <c r="LKT1680" s="2730"/>
      <c r="LKU1680" s="2730"/>
      <c r="LKV1680" s="2730"/>
      <c r="LKW1680" s="2730"/>
      <c r="LKX1680" s="2730"/>
      <c r="LKY1680" s="2730"/>
      <c r="LKZ1680" s="2730"/>
      <c r="LLA1680" s="2730"/>
      <c r="LLB1680" s="2730"/>
      <c r="LLC1680" s="2730"/>
      <c r="LLD1680" s="2730"/>
      <c r="LLE1680" s="2730"/>
      <c r="LLF1680" s="2730"/>
      <c r="LLG1680" s="2730"/>
      <c r="LLH1680" s="2730"/>
      <c r="LLI1680" s="2730"/>
      <c r="LLJ1680" s="2730"/>
      <c r="LLK1680" s="2730"/>
      <c r="LLL1680" s="2730"/>
      <c r="LLM1680" s="2730"/>
      <c r="LLN1680" s="2730"/>
      <c r="LLO1680" s="2730"/>
      <c r="LLP1680" s="2730"/>
      <c r="LLQ1680" s="2730"/>
      <c r="LLR1680" s="2730"/>
      <c r="LLS1680" s="2730"/>
      <c r="LLT1680" s="2730"/>
      <c r="LLU1680" s="2730"/>
      <c r="LLV1680" s="2730"/>
      <c r="LLW1680" s="2730"/>
      <c r="LLX1680" s="2730"/>
      <c r="LLY1680" s="2730"/>
      <c r="LLZ1680" s="2730"/>
      <c r="LMA1680" s="2730"/>
      <c r="LMB1680" s="2730"/>
      <c r="LMC1680" s="2730"/>
      <c r="LMD1680" s="2730"/>
      <c r="LME1680" s="2730"/>
      <c r="LMF1680" s="2730"/>
      <c r="LMG1680" s="2730"/>
      <c r="LMH1680" s="2730"/>
      <c r="LMI1680" s="2730"/>
      <c r="LMJ1680" s="2730"/>
      <c r="LMK1680" s="2730"/>
      <c r="LML1680" s="2730"/>
      <c r="LMM1680" s="2730"/>
      <c r="LMN1680" s="2730"/>
      <c r="LMO1680" s="2730"/>
      <c r="LMP1680" s="2730"/>
      <c r="LMQ1680" s="2730"/>
      <c r="LMR1680" s="2730"/>
      <c r="LMS1680" s="2730"/>
      <c r="LMT1680" s="2730"/>
      <c r="LMU1680" s="2730"/>
      <c r="LMV1680" s="2730"/>
      <c r="LMW1680" s="2730"/>
      <c r="LMX1680" s="2730"/>
      <c r="LMY1680" s="2730"/>
      <c r="LMZ1680" s="2730"/>
      <c r="LNA1680" s="2730"/>
      <c r="LNB1680" s="2730"/>
      <c r="LNC1680" s="2730"/>
      <c r="LND1680" s="2730"/>
      <c r="LNE1680" s="2730"/>
      <c r="LNF1680" s="2730"/>
      <c r="LNG1680" s="2730"/>
      <c r="LNH1680" s="2730"/>
      <c r="LNI1680" s="2730"/>
      <c r="LNJ1680" s="2730"/>
      <c r="LNK1680" s="2730"/>
      <c r="LNL1680" s="2730"/>
      <c r="LNM1680" s="2730"/>
      <c r="LNN1680" s="2730"/>
      <c r="LNO1680" s="2730"/>
      <c r="LNP1680" s="2730"/>
      <c r="LNQ1680" s="2730"/>
      <c r="LNR1680" s="2730"/>
      <c r="LNS1680" s="2730"/>
      <c r="LNT1680" s="2730"/>
      <c r="LNU1680" s="2730"/>
      <c r="LNV1680" s="2730"/>
      <c r="LNW1680" s="2730"/>
      <c r="LNX1680" s="2730"/>
      <c r="LNY1680" s="2730"/>
      <c r="LNZ1680" s="2730"/>
      <c r="LOA1680" s="2730"/>
      <c r="LOB1680" s="2730"/>
      <c r="LOC1680" s="2730"/>
      <c r="LOD1680" s="2730"/>
      <c r="LOE1680" s="2730"/>
      <c r="LOF1680" s="2730"/>
      <c r="LOG1680" s="2730"/>
      <c r="LOH1680" s="2730"/>
      <c r="LOI1680" s="2730"/>
      <c r="LOJ1680" s="2730"/>
      <c r="LOK1680" s="2730"/>
      <c r="LOL1680" s="2730"/>
      <c r="LOM1680" s="2730"/>
      <c r="LON1680" s="2730"/>
      <c r="LOO1680" s="2730"/>
      <c r="LOP1680" s="2730"/>
      <c r="LOQ1680" s="2730"/>
      <c r="LOR1680" s="2730"/>
      <c r="LOS1680" s="2730"/>
      <c r="LOT1680" s="2730"/>
      <c r="LOU1680" s="2730"/>
      <c r="LOV1680" s="2730"/>
      <c r="LOW1680" s="2730"/>
      <c r="LOX1680" s="2730"/>
      <c r="LOY1680" s="2730"/>
      <c r="LOZ1680" s="2730"/>
      <c r="LPA1680" s="2730"/>
      <c r="LPB1680" s="2730"/>
      <c r="LPC1680" s="2730"/>
      <c r="LPD1680" s="2730"/>
      <c r="LPE1680" s="2730"/>
      <c r="LPF1680" s="2730"/>
      <c r="LPG1680" s="2730"/>
      <c r="LPH1680" s="2730"/>
      <c r="LPI1680" s="2730"/>
      <c r="LPJ1680" s="2730"/>
      <c r="LPK1680" s="2730"/>
      <c r="LPL1680" s="2730"/>
      <c r="LPM1680" s="2730"/>
      <c r="LPN1680" s="2730"/>
      <c r="LPO1680" s="2730"/>
      <c r="LPP1680" s="2730"/>
      <c r="LPQ1680" s="2730"/>
      <c r="LPR1680" s="2730"/>
      <c r="LPS1680" s="2730"/>
      <c r="LPT1680" s="2730"/>
      <c r="LPU1680" s="2730"/>
      <c r="LPV1680" s="2730"/>
      <c r="LPW1680" s="2730"/>
      <c r="LPX1680" s="2730"/>
      <c r="LPY1680" s="2730"/>
      <c r="LPZ1680" s="2730"/>
      <c r="LQA1680" s="2730"/>
      <c r="LQB1680" s="2730"/>
      <c r="LQC1680" s="2730"/>
      <c r="LQD1680" s="2730"/>
      <c r="LQE1680" s="2730"/>
      <c r="LQF1680" s="2730"/>
      <c r="LQG1680" s="2730"/>
      <c r="LQH1680" s="2730"/>
      <c r="LQI1680" s="2730"/>
      <c r="LQJ1680" s="2730"/>
      <c r="LQK1680" s="2730"/>
      <c r="LQL1680" s="2730"/>
      <c r="LQM1680" s="2730"/>
      <c r="LQN1680" s="2730"/>
      <c r="LQO1680" s="2730"/>
      <c r="LQP1680" s="2730"/>
      <c r="LQQ1680" s="2730"/>
      <c r="LQR1680" s="2730"/>
      <c r="LQS1680" s="2730"/>
      <c r="LQT1680" s="2730"/>
      <c r="LQU1680" s="2730"/>
      <c r="LQV1680" s="2730"/>
      <c r="LQW1680" s="2730"/>
      <c r="LQX1680" s="2730"/>
      <c r="LQY1680" s="2730"/>
      <c r="LQZ1680" s="2730"/>
      <c r="LRA1680" s="2730"/>
      <c r="LRB1680" s="2730"/>
      <c r="LRC1680" s="2730"/>
      <c r="LRD1680" s="2730"/>
      <c r="LRE1680" s="2730"/>
      <c r="LRF1680" s="2730"/>
      <c r="LRG1680" s="2730"/>
      <c r="LRH1680" s="2730"/>
      <c r="LRI1680" s="2730"/>
      <c r="LRJ1680" s="2730"/>
      <c r="LRK1680" s="2730"/>
      <c r="LRL1680" s="2730"/>
      <c r="LRM1680" s="2730"/>
      <c r="LRN1680" s="2730"/>
      <c r="LRO1680" s="2730"/>
      <c r="LRP1680" s="2730"/>
      <c r="LRQ1680" s="2730"/>
      <c r="LRR1680" s="2730"/>
      <c r="LRS1680" s="2730"/>
      <c r="LRT1680" s="2730"/>
      <c r="LRU1680" s="2730"/>
      <c r="LRV1680" s="2730"/>
      <c r="LRW1680" s="2730"/>
      <c r="LRX1680" s="2730"/>
      <c r="LRY1680" s="2730"/>
      <c r="LRZ1680" s="2730"/>
      <c r="LSA1680" s="2730"/>
      <c r="LSB1680" s="2730"/>
      <c r="LSC1680" s="2730"/>
      <c r="LSD1680" s="2730"/>
      <c r="LSE1680" s="2730"/>
      <c r="LSF1680" s="2730"/>
      <c r="LSG1680" s="2730"/>
      <c r="LSH1680" s="2730"/>
      <c r="LSI1680" s="2730"/>
      <c r="LSJ1680" s="2730"/>
      <c r="LSK1680" s="2730"/>
      <c r="LSL1680" s="2730"/>
      <c r="LSM1680" s="2730"/>
      <c r="LSN1680" s="2730"/>
      <c r="LSO1680" s="2730"/>
      <c r="LSP1680" s="2730"/>
      <c r="LSQ1680" s="2730"/>
      <c r="LSR1680" s="2730"/>
      <c r="LSS1680" s="2730"/>
      <c r="LST1680" s="2730"/>
      <c r="LSU1680" s="2730"/>
      <c r="LSV1680" s="2730"/>
      <c r="LSW1680" s="2730"/>
      <c r="LSX1680" s="2730"/>
      <c r="LSY1680" s="2730"/>
      <c r="LSZ1680" s="2730"/>
      <c r="LTA1680" s="2730"/>
      <c r="LTB1680" s="2730"/>
      <c r="LTC1680" s="2730"/>
      <c r="LTD1680" s="2730"/>
      <c r="LTE1680" s="2730"/>
      <c r="LTF1680" s="2730"/>
      <c r="LTG1680" s="2730"/>
      <c r="LTH1680" s="2730"/>
      <c r="LTI1680" s="2730"/>
      <c r="LTJ1680" s="2730"/>
      <c r="LTK1680" s="2730"/>
      <c r="LTL1680" s="2730"/>
      <c r="LTM1680" s="2730"/>
      <c r="LTN1680" s="2730"/>
      <c r="LTO1680" s="2730"/>
      <c r="LTP1680" s="2730"/>
      <c r="LTQ1680" s="2730"/>
      <c r="LTR1680" s="2730"/>
      <c r="LTS1680" s="2730"/>
      <c r="LTT1680" s="2730"/>
      <c r="LTU1680" s="2730"/>
      <c r="LTV1680" s="2730"/>
      <c r="LTW1680" s="2730"/>
      <c r="LTX1680" s="2730"/>
      <c r="LTY1680" s="2730"/>
      <c r="LTZ1680" s="2730"/>
      <c r="LUA1680" s="2730"/>
      <c r="LUB1680" s="2730"/>
      <c r="LUC1680" s="2730"/>
      <c r="LUD1680" s="2730"/>
      <c r="LUE1680" s="2730"/>
      <c r="LUF1680" s="2730"/>
      <c r="LUG1680" s="2730"/>
      <c r="LUH1680" s="2730"/>
      <c r="LUI1680" s="2730"/>
      <c r="LUJ1680" s="2730"/>
      <c r="LUK1680" s="2730"/>
      <c r="LUL1680" s="2730"/>
      <c r="LUM1680" s="2730"/>
      <c r="LUN1680" s="2730"/>
      <c r="LUO1680" s="2730"/>
      <c r="LUP1680" s="2730"/>
      <c r="LUQ1680" s="2730"/>
      <c r="LUR1680" s="2730"/>
      <c r="LUS1680" s="2730"/>
      <c r="LUT1680" s="2730"/>
      <c r="LUU1680" s="2730"/>
      <c r="LUV1680" s="2730"/>
      <c r="LUW1680" s="2730"/>
      <c r="LUX1680" s="2730"/>
      <c r="LUY1680" s="2730"/>
      <c r="LUZ1680" s="2730"/>
      <c r="LVA1680" s="2730"/>
      <c r="LVB1680" s="2730"/>
      <c r="LVC1680" s="2730"/>
      <c r="LVD1680" s="2730"/>
      <c r="LVE1680" s="2730"/>
      <c r="LVF1680" s="2730"/>
      <c r="LVG1680" s="2730"/>
      <c r="LVH1680" s="2730"/>
      <c r="LVI1680" s="2730"/>
      <c r="LVJ1680" s="2730"/>
      <c r="LVK1680" s="2730"/>
      <c r="LVL1680" s="2730"/>
      <c r="LVM1680" s="2730"/>
      <c r="LVN1680" s="2730"/>
      <c r="LVO1680" s="2730"/>
      <c r="LVP1680" s="2730"/>
      <c r="LVQ1680" s="2730"/>
      <c r="LVR1680" s="2730"/>
      <c r="LVS1680" s="2730"/>
      <c r="LVT1680" s="2730"/>
      <c r="LVU1680" s="2730"/>
      <c r="LVV1680" s="2730"/>
      <c r="LVW1680" s="2730"/>
      <c r="LVX1680" s="2730"/>
      <c r="LVY1680" s="2730"/>
      <c r="LVZ1680" s="2730"/>
      <c r="LWA1680" s="2730"/>
      <c r="LWB1680" s="2730"/>
      <c r="LWC1680" s="2730"/>
      <c r="LWD1680" s="2730"/>
      <c r="LWE1680" s="2730"/>
      <c r="LWF1680" s="2730"/>
      <c r="LWG1680" s="2730"/>
      <c r="LWH1680" s="2730"/>
      <c r="LWI1680" s="2730"/>
      <c r="LWJ1680" s="2730"/>
      <c r="LWK1680" s="2730"/>
      <c r="LWL1680" s="2730"/>
      <c r="LWM1680" s="2730"/>
      <c r="LWN1680" s="2730"/>
      <c r="LWO1680" s="2730"/>
      <c r="LWP1680" s="2730"/>
      <c r="LWQ1680" s="2730"/>
      <c r="LWR1680" s="2730"/>
      <c r="LWS1680" s="2730"/>
      <c r="LWT1680" s="2730"/>
      <c r="LWU1680" s="2730"/>
      <c r="LWV1680" s="2730"/>
      <c r="LWW1680" s="2730"/>
      <c r="LWX1680" s="2730"/>
      <c r="LWY1680" s="2730"/>
      <c r="LWZ1680" s="2730"/>
      <c r="LXA1680" s="2730"/>
      <c r="LXB1680" s="2730"/>
      <c r="LXC1680" s="2730"/>
      <c r="LXD1680" s="2730"/>
      <c r="LXE1680" s="2730"/>
      <c r="LXF1680" s="2730"/>
      <c r="LXG1680" s="2730"/>
      <c r="LXH1680" s="2730"/>
      <c r="LXI1680" s="2730"/>
      <c r="LXJ1680" s="2730"/>
      <c r="LXK1680" s="2730"/>
      <c r="LXL1680" s="2730"/>
      <c r="LXM1680" s="2730"/>
      <c r="LXN1680" s="2730"/>
      <c r="LXO1680" s="2730"/>
      <c r="LXP1680" s="2730"/>
      <c r="LXQ1680" s="2730"/>
      <c r="LXR1680" s="2730"/>
      <c r="LXS1680" s="2730"/>
      <c r="LXT1680" s="2730"/>
      <c r="LXU1680" s="2730"/>
      <c r="LXV1680" s="2730"/>
      <c r="LXW1680" s="2730"/>
      <c r="LXX1680" s="2730"/>
      <c r="LXY1680" s="2730"/>
      <c r="LXZ1680" s="2730"/>
      <c r="LYA1680" s="2730"/>
      <c r="LYB1680" s="2730"/>
      <c r="LYC1680" s="2730"/>
      <c r="LYD1680" s="2730"/>
      <c r="LYE1680" s="2730"/>
      <c r="LYF1680" s="2730"/>
      <c r="LYG1680" s="2730"/>
      <c r="LYH1680" s="2730"/>
      <c r="LYI1680" s="2730"/>
      <c r="LYJ1680" s="2730"/>
      <c r="LYK1680" s="2730"/>
      <c r="LYL1680" s="2730"/>
      <c r="LYM1680" s="2730"/>
      <c r="LYN1680" s="2730"/>
      <c r="LYO1680" s="2730"/>
      <c r="LYP1680" s="2730"/>
      <c r="LYQ1680" s="2730"/>
      <c r="LYR1680" s="2730"/>
      <c r="LYS1680" s="2730"/>
      <c r="LYT1680" s="2730"/>
      <c r="LYU1680" s="2730"/>
      <c r="LYV1680" s="2730"/>
      <c r="LYW1680" s="2730"/>
      <c r="LYX1680" s="2730"/>
      <c r="LYY1680" s="2730"/>
      <c r="LYZ1680" s="2730"/>
      <c r="LZA1680" s="2730"/>
      <c r="LZB1680" s="2730"/>
      <c r="LZC1680" s="2730"/>
      <c r="LZD1680" s="2730"/>
      <c r="LZE1680" s="2730"/>
      <c r="LZF1680" s="2730"/>
      <c r="LZG1680" s="2730"/>
      <c r="LZH1680" s="2730"/>
      <c r="LZI1680" s="2730"/>
      <c r="LZJ1680" s="2730"/>
      <c r="LZK1680" s="2730"/>
      <c r="LZL1680" s="2730"/>
      <c r="LZM1680" s="2730"/>
      <c r="LZN1680" s="2730"/>
      <c r="LZO1680" s="2730"/>
      <c r="LZP1680" s="2730"/>
      <c r="LZQ1680" s="2730"/>
      <c r="LZR1680" s="2730"/>
      <c r="LZS1680" s="2730"/>
      <c r="LZT1680" s="2730"/>
      <c r="LZU1680" s="2730"/>
      <c r="LZV1680" s="2730"/>
      <c r="LZW1680" s="2730"/>
      <c r="LZX1680" s="2730"/>
      <c r="LZY1680" s="2730"/>
      <c r="LZZ1680" s="2730"/>
      <c r="MAA1680" s="2730"/>
      <c r="MAB1680" s="2730"/>
      <c r="MAC1680" s="2730"/>
      <c r="MAD1680" s="2730"/>
      <c r="MAE1680" s="2730"/>
      <c r="MAF1680" s="2730"/>
      <c r="MAG1680" s="2730"/>
      <c r="MAH1680" s="2730"/>
      <c r="MAI1680" s="2730"/>
      <c r="MAJ1680" s="2730"/>
      <c r="MAK1680" s="2730"/>
      <c r="MAL1680" s="2730"/>
      <c r="MAM1680" s="2730"/>
      <c r="MAN1680" s="2730"/>
      <c r="MAO1680" s="2730"/>
      <c r="MAP1680" s="2730"/>
      <c r="MAQ1680" s="2730"/>
      <c r="MAR1680" s="2730"/>
      <c r="MAS1680" s="2730"/>
      <c r="MAT1680" s="2730"/>
      <c r="MAU1680" s="2730"/>
      <c r="MAV1680" s="2730"/>
      <c r="MAW1680" s="2730"/>
      <c r="MAX1680" s="2730"/>
      <c r="MAY1680" s="2730"/>
      <c r="MAZ1680" s="2730"/>
      <c r="MBA1680" s="2730"/>
      <c r="MBB1680" s="2730"/>
      <c r="MBC1680" s="2730"/>
      <c r="MBD1680" s="2730"/>
      <c r="MBE1680" s="2730"/>
      <c r="MBF1680" s="2730"/>
      <c r="MBG1680" s="2730"/>
      <c r="MBH1680" s="2730"/>
      <c r="MBI1680" s="2730"/>
      <c r="MBJ1680" s="2730"/>
      <c r="MBK1680" s="2730"/>
      <c r="MBL1680" s="2730"/>
      <c r="MBM1680" s="2730"/>
      <c r="MBN1680" s="2730"/>
      <c r="MBO1680" s="2730"/>
      <c r="MBP1680" s="2730"/>
      <c r="MBQ1680" s="2730"/>
      <c r="MBR1680" s="2730"/>
      <c r="MBS1680" s="2730"/>
      <c r="MBT1680" s="2730"/>
      <c r="MBU1680" s="2730"/>
      <c r="MBV1680" s="2730"/>
      <c r="MBW1680" s="2730"/>
      <c r="MBX1680" s="2730"/>
      <c r="MBY1680" s="2730"/>
      <c r="MBZ1680" s="2730"/>
      <c r="MCA1680" s="2730"/>
      <c r="MCB1680" s="2730"/>
      <c r="MCC1680" s="2730"/>
      <c r="MCD1680" s="2730"/>
      <c r="MCE1680" s="2730"/>
      <c r="MCF1680" s="2730"/>
      <c r="MCG1680" s="2730"/>
      <c r="MCH1680" s="2730"/>
      <c r="MCI1680" s="2730"/>
      <c r="MCJ1680" s="2730"/>
      <c r="MCK1680" s="2730"/>
      <c r="MCL1680" s="2730"/>
      <c r="MCM1680" s="2730"/>
      <c r="MCN1680" s="2730"/>
      <c r="MCO1680" s="2730"/>
      <c r="MCP1680" s="2730"/>
      <c r="MCQ1680" s="2730"/>
      <c r="MCR1680" s="2730"/>
      <c r="MCS1680" s="2730"/>
      <c r="MCT1680" s="2730"/>
      <c r="MCU1680" s="2730"/>
      <c r="MCV1680" s="2730"/>
      <c r="MCW1680" s="2730"/>
      <c r="MCX1680" s="2730"/>
      <c r="MCY1680" s="2730"/>
      <c r="MCZ1680" s="2730"/>
      <c r="MDA1680" s="2730"/>
      <c r="MDB1680" s="2730"/>
      <c r="MDC1680" s="2730"/>
      <c r="MDD1680" s="2730"/>
      <c r="MDE1680" s="2730"/>
      <c r="MDF1680" s="2730"/>
      <c r="MDG1680" s="2730"/>
      <c r="MDH1680" s="2730"/>
      <c r="MDI1680" s="2730"/>
      <c r="MDJ1680" s="2730"/>
      <c r="MDK1680" s="2730"/>
      <c r="MDL1680" s="2730"/>
      <c r="MDM1680" s="2730"/>
      <c r="MDN1680" s="2730"/>
      <c r="MDO1680" s="2730"/>
      <c r="MDP1680" s="2730"/>
      <c r="MDQ1680" s="2730"/>
      <c r="MDR1680" s="2730"/>
      <c r="MDS1680" s="2730"/>
      <c r="MDT1680" s="2730"/>
      <c r="MDU1680" s="2730"/>
      <c r="MDV1680" s="2730"/>
      <c r="MDW1680" s="2730"/>
      <c r="MDX1680" s="2730"/>
      <c r="MDY1680" s="2730"/>
      <c r="MDZ1680" s="2730"/>
      <c r="MEA1680" s="2730"/>
      <c r="MEB1680" s="2730"/>
      <c r="MEC1680" s="2730"/>
      <c r="MED1680" s="2730"/>
      <c r="MEE1680" s="2730"/>
      <c r="MEF1680" s="2730"/>
      <c r="MEG1680" s="2730"/>
      <c r="MEH1680" s="2730"/>
      <c r="MEI1680" s="2730"/>
      <c r="MEJ1680" s="2730"/>
      <c r="MEK1680" s="2730"/>
      <c r="MEL1680" s="2730"/>
      <c r="MEM1680" s="2730"/>
      <c r="MEN1680" s="2730"/>
      <c r="MEO1680" s="2730"/>
      <c r="MEP1680" s="2730"/>
      <c r="MEQ1680" s="2730"/>
      <c r="MER1680" s="2730"/>
      <c r="MES1680" s="2730"/>
      <c r="MET1680" s="2730"/>
      <c r="MEU1680" s="2730"/>
      <c r="MEV1680" s="2730"/>
      <c r="MEW1680" s="2730"/>
      <c r="MEX1680" s="2730"/>
      <c r="MEY1680" s="2730"/>
      <c r="MEZ1680" s="2730"/>
      <c r="MFA1680" s="2730"/>
      <c r="MFB1680" s="2730"/>
      <c r="MFC1680" s="2730"/>
      <c r="MFD1680" s="2730"/>
      <c r="MFE1680" s="2730"/>
      <c r="MFF1680" s="2730"/>
      <c r="MFG1680" s="2730"/>
      <c r="MFH1680" s="2730"/>
      <c r="MFI1680" s="2730"/>
      <c r="MFJ1680" s="2730"/>
      <c r="MFK1680" s="2730"/>
      <c r="MFL1680" s="2730"/>
      <c r="MFM1680" s="2730"/>
      <c r="MFN1680" s="2730"/>
      <c r="MFO1680" s="2730"/>
      <c r="MFP1680" s="2730"/>
      <c r="MFQ1680" s="2730"/>
      <c r="MFR1680" s="2730"/>
      <c r="MFS1680" s="2730"/>
      <c r="MFT1680" s="2730"/>
      <c r="MFU1680" s="2730"/>
      <c r="MFV1680" s="2730"/>
      <c r="MFW1680" s="2730"/>
      <c r="MFX1680" s="2730"/>
      <c r="MFY1680" s="2730"/>
      <c r="MFZ1680" s="2730"/>
      <c r="MGA1680" s="2730"/>
      <c r="MGB1680" s="2730"/>
      <c r="MGC1680" s="2730"/>
      <c r="MGD1680" s="2730"/>
      <c r="MGE1680" s="2730"/>
      <c r="MGF1680" s="2730"/>
      <c r="MGG1680" s="2730"/>
      <c r="MGH1680" s="2730"/>
      <c r="MGI1680" s="2730"/>
      <c r="MGJ1680" s="2730"/>
      <c r="MGK1680" s="2730"/>
      <c r="MGL1680" s="2730"/>
      <c r="MGM1680" s="2730"/>
      <c r="MGN1680" s="2730"/>
      <c r="MGO1680" s="2730"/>
      <c r="MGP1680" s="2730"/>
      <c r="MGQ1680" s="2730"/>
      <c r="MGR1680" s="2730"/>
      <c r="MGS1680" s="2730"/>
      <c r="MGT1680" s="2730"/>
      <c r="MGU1680" s="2730"/>
      <c r="MGV1680" s="2730"/>
      <c r="MGW1680" s="2730"/>
      <c r="MGX1680" s="2730"/>
      <c r="MGY1680" s="2730"/>
      <c r="MGZ1680" s="2730"/>
      <c r="MHA1680" s="2730"/>
      <c r="MHB1680" s="2730"/>
      <c r="MHC1680" s="2730"/>
      <c r="MHD1680" s="2730"/>
      <c r="MHE1680" s="2730"/>
      <c r="MHF1680" s="2730"/>
      <c r="MHG1680" s="2730"/>
      <c r="MHH1680" s="2730"/>
      <c r="MHI1680" s="2730"/>
      <c r="MHJ1680" s="2730"/>
      <c r="MHK1680" s="2730"/>
      <c r="MHL1680" s="2730"/>
      <c r="MHM1680" s="2730"/>
      <c r="MHN1680" s="2730"/>
      <c r="MHO1680" s="2730"/>
      <c r="MHP1680" s="2730"/>
      <c r="MHQ1680" s="2730"/>
      <c r="MHR1680" s="2730"/>
      <c r="MHS1680" s="2730"/>
      <c r="MHT1680" s="2730"/>
      <c r="MHU1680" s="2730"/>
      <c r="MHV1680" s="2730"/>
      <c r="MHW1680" s="2730"/>
      <c r="MHX1680" s="2730"/>
      <c r="MHY1680" s="2730"/>
      <c r="MHZ1680" s="2730"/>
      <c r="MIA1680" s="2730"/>
      <c r="MIB1680" s="2730"/>
      <c r="MIC1680" s="2730"/>
      <c r="MID1680" s="2730"/>
      <c r="MIE1680" s="2730"/>
      <c r="MIF1680" s="2730"/>
      <c r="MIG1680" s="2730"/>
      <c r="MIH1680" s="2730"/>
      <c r="MII1680" s="2730"/>
      <c r="MIJ1680" s="2730"/>
      <c r="MIK1680" s="2730"/>
      <c r="MIL1680" s="2730"/>
      <c r="MIM1680" s="2730"/>
      <c r="MIN1680" s="2730"/>
      <c r="MIO1680" s="2730"/>
      <c r="MIP1680" s="2730"/>
      <c r="MIQ1680" s="2730"/>
      <c r="MIR1680" s="2730"/>
      <c r="MIS1680" s="2730"/>
      <c r="MIT1680" s="2730"/>
      <c r="MIU1680" s="2730"/>
      <c r="MIV1680" s="2730"/>
      <c r="MIW1680" s="2730"/>
      <c r="MIX1680" s="2730"/>
      <c r="MIY1680" s="2730"/>
      <c r="MIZ1680" s="2730"/>
      <c r="MJA1680" s="2730"/>
      <c r="MJB1680" s="2730"/>
      <c r="MJC1680" s="2730"/>
      <c r="MJD1680" s="2730"/>
      <c r="MJE1680" s="2730"/>
      <c r="MJF1680" s="2730"/>
      <c r="MJG1680" s="2730"/>
      <c r="MJH1680" s="2730"/>
      <c r="MJI1680" s="2730"/>
      <c r="MJJ1680" s="2730"/>
      <c r="MJK1680" s="2730"/>
      <c r="MJL1680" s="2730"/>
      <c r="MJM1680" s="2730"/>
      <c r="MJN1680" s="2730"/>
      <c r="MJO1680" s="2730"/>
      <c r="MJP1680" s="2730"/>
      <c r="MJQ1680" s="2730"/>
      <c r="MJR1680" s="2730"/>
      <c r="MJS1680" s="2730"/>
      <c r="MJT1680" s="2730"/>
      <c r="MJU1680" s="2730"/>
      <c r="MJV1680" s="2730"/>
      <c r="MJW1680" s="2730"/>
      <c r="MJX1680" s="2730"/>
      <c r="MJY1680" s="2730"/>
      <c r="MJZ1680" s="2730"/>
      <c r="MKA1680" s="2730"/>
      <c r="MKB1680" s="2730"/>
      <c r="MKC1680" s="2730"/>
      <c r="MKD1680" s="2730"/>
      <c r="MKE1680" s="2730"/>
      <c r="MKF1680" s="2730"/>
      <c r="MKG1680" s="2730"/>
      <c r="MKH1680" s="2730"/>
      <c r="MKI1680" s="2730"/>
      <c r="MKJ1680" s="2730"/>
      <c r="MKK1680" s="2730"/>
      <c r="MKL1680" s="2730"/>
      <c r="MKM1680" s="2730"/>
      <c r="MKN1680" s="2730"/>
      <c r="MKO1680" s="2730"/>
      <c r="MKP1680" s="2730"/>
      <c r="MKQ1680" s="2730"/>
      <c r="MKR1680" s="2730"/>
      <c r="MKS1680" s="2730"/>
      <c r="MKT1680" s="2730"/>
      <c r="MKU1680" s="2730"/>
      <c r="MKV1680" s="2730"/>
      <c r="MKW1680" s="2730"/>
      <c r="MKX1680" s="2730"/>
      <c r="MKY1680" s="2730"/>
      <c r="MKZ1680" s="2730"/>
      <c r="MLA1680" s="2730"/>
      <c r="MLB1680" s="2730"/>
      <c r="MLC1680" s="2730"/>
      <c r="MLD1680" s="2730"/>
      <c r="MLE1680" s="2730"/>
      <c r="MLF1680" s="2730"/>
      <c r="MLG1680" s="2730"/>
      <c r="MLH1680" s="2730"/>
      <c r="MLI1680" s="2730"/>
      <c r="MLJ1680" s="2730"/>
      <c r="MLK1680" s="2730"/>
      <c r="MLL1680" s="2730"/>
      <c r="MLM1680" s="2730"/>
      <c r="MLN1680" s="2730"/>
      <c r="MLO1680" s="2730"/>
      <c r="MLP1680" s="2730"/>
      <c r="MLQ1680" s="2730"/>
      <c r="MLR1680" s="2730"/>
      <c r="MLS1680" s="2730"/>
      <c r="MLT1680" s="2730"/>
      <c r="MLU1680" s="2730"/>
      <c r="MLV1680" s="2730"/>
      <c r="MLW1680" s="2730"/>
      <c r="MLX1680" s="2730"/>
      <c r="MLY1680" s="2730"/>
      <c r="MLZ1680" s="2730"/>
      <c r="MMA1680" s="2730"/>
      <c r="MMB1680" s="2730"/>
      <c r="MMC1680" s="2730"/>
      <c r="MMD1680" s="2730"/>
      <c r="MME1680" s="2730"/>
      <c r="MMF1680" s="2730"/>
      <c r="MMG1680" s="2730"/>
      <c r="MMH1680" s="2730"/>
      <c r="MMI1680" s="2730"/>
      <c r="MMJ1680" s="2730"/>
      <c r="MMK1680" s="2730"/>
      <c r="MML1680" s="2730"/>
      <c r="MMM1680" s="2730"/>
      <c r="MMN1680" s="2730"/>
      <c r="MMO1680" s="2730"/>
      <c r="MMP1680" s="2730"/>
      <c r="MMQ1680" s="2730"/>
      <c r="MMR1680" s="2730"/>
      <c r="MMS1680" s="2730"/>
      <c r="MMT1680" s="2730"/>
      <c r="MMU1680" s="2730"/>
      <c r="MMV1680" s="2730"/>
      <c r="MMW1680" s="2730"/>
      <c r="MMX1680" s="2730"/>
      <c r="MMY1680" s="2730"/>
      <c r="MMZ1680" s="2730"/>
      <c r="MNA1680" s="2730"/>
      <c r="MNB1680" s="2730"/>
      <c r="MNC1680" s="2730"/>
      <c r="MND1680" s="2730"/>
      <c r="MNE1680" s="2730"/>
      <c r="MNF1680" s="2730"/>
      <c r="MNG1680" s="2730"/>
      <c r="MNH1680" s="2730"/>
      <c r="MNI1680" s="2730"/>
      <c r="MNJ1680" s="2730"/>
      <c r="MNK1680" s="2730"/>
      <c r="MNL1680" s="2730"/>
      <c r="MNM1680" s="2730"/>
      <c r="MNN1680" s="2730"/>
      <c r="MNO1680" s="2730"/>
      <c r="MNP1680" s="2730"/>
      <c r="MNQ1680" s="2730"/>
      <c r="MNR1680" s="2730"/>
      <c r="MNS1680" s="2730"/>
      <c r="MNT1680" s="2730"/>
      <c r="MNU1680" s="2730"/>
      <c r="MNV1680" s="2730"/>
      <c r="MNW1680" s="2730"/>
      <c r="MNX1680" s="2730"/>
      <c r="MNY1680" s="2730"/>
      <c r="MNZ1680" s="2730"/>
      <c r="MOA1680" s="2730"/>
      <c r="MOB1680" s="2730"/>
      <c r="MOC1680" s="2730"/>
      <c r="MOD1680" s="2730"/>
      <c r="MOE1680" s="2730"/>
      <c r="MOF1680" s="2730"/>
      <c r="MOG1680" s="2730"/>
      <c r="MOH1680" s="2730"/>
      <c r="MOI1680" s="2730"/>
      <c r="MOJ1680" s="2730"/>
      <c r="MOK1680" s="2730"/>
      <c r="MOL1680" s="2730"/>
      <c r="MOM1680" s="2730"/>
      <c r="MON1680" s="2730"/>
      <c r="MOO1680" s="2730"/>
      <c r="MOP1680" s="2730"/>
      <c r="MOQ1680" s="2730"/>
      <c r="MOR1680" s="2730"/>
      <c r="MOS1680" s="2730"/>
      <c r="MOT1680" s="2730"/>
      <c r="MOU1680" s="2730"/>
      <c r="MOV1680" s="2730"/>
      <c r="MOW1680" s="2730"/>
      <c r="MOX1680" s="2730"/>
      <c r="MOY1680" s="2730"/>
      <c r="MOZ1680" s="2730"/>
      <c r="MPA1680" s="2730"/>
      <c r="MPB1680" s="2730"/>
      <c r="MPC1680" s="2730"/>
      <c r="MPD1680" s="2730"/>
      <c r="MPE1680" s="2730"/>
      <c r="MPF1680" s="2730"/>
      <c r="MPG1680" s="2730"/>
      <c r="MPH1680" s="2730"/>
      <c r="MPI1680" s="2730"/>
      <c r="MPJ1680" s="2730"/>
      <c r="MPK1680" s="2730"/>
      <c r="MPL1680" s="2730"/>
      <c r="MPM1680" s="2730"/>
      <c r="MPN1680" s="2730"/>
      <c r="MPO1680" s="2730"/>
      <c r="MPP1680" s="2730"/>
      <c r="MPQ1680" s="2730"/>
      <c r="MPR1680" s="2730"/>
      <c r="MPS1680" s="2730"/>
      <c r="MPT1680" s="2730"/>
      <c r="MPU1680" s="2730"/>
      <c r="MPV1680" s="2730"/>
      <c r="MPW1680" s="2730"/>
      <c r="MPX1680" s="2730"/>
      <c r="MPY1680" s="2730"/>
      <c r="MPZ1680" s="2730"/>
      <c r="MQA1680" s="2730"/>
      <c r="MQB1680" s="2730"/>
      <c r="MQC1680" s="2730"/>
      <c r="MQD1680" s="2730"/>
      <c r="MQE1680" s="2730"/>
      <c r="MQF1680" s="2730"/>
      <c r="MQG1680" s="2730"/>
      <c r="MQH1680" s="2730"/>
      <c r="MQI1680" s="2730"/>
      <c r="MQJ1680" s="2730"/>
      <c r="MQK1680" s="2730"/>
      <c r="MQL1680" s="2730"/>
      <c r="MQM1680" s="2730"/>
      <c r="MQN1680" s="2730"/>
      <c r="MQO1680" s="2730"/>
      <c r="MQP1680" s="2730"/>
      <c r="MQQ1680" s="2730"/>
      <c r="MQR1680" s="2730"/>
      <c r="MQS1680" s="2730"/>
      <c r="MQT1680" s="2730"/>
      <c r="MQU1680" s="2730"/>
      <c r="MQV1680" s="2730"/>
      <c r="MQW1680" s="2730"/>
      <c r="MQX1680" s="2730"/>
      <c r="MQY1680" s="2730"/>
      <c r="MQZ1680" s="2730"/>
      <c r="MRA1680" s="2730"/>
      <c r="MRB1680" s="2730"/>
      <c r="MRC1680" s="2730"/>
      <c r="MRD1680" s="2730"/>
      <c r="MRE1680" s="2730"/>
      <c r="MRF1680" s="2730"/>
      <c r="MRG1680" s="2730"/>
      <c r="MRH1680" s="2730"/>
      <c r="MRI1680" s="2730"/>
      <c r="MRJ1680" s="2730"/>
      <c r="MRK1680" s="2730"/>
      <c r="MRL1680" s="2730"/>
      <c r="MRM1680" s="2730"/>
      <c r="MRN1680" s="2730"/>
      <c r="MRO1680" s="2730"/>
      <c r="MRP1680" s="2730"/>
      <c r="MRQ1680" s="2730"/>
      <c r="MRR1680" s="2730"/>
      <c r="MRS1680" s="2730"/>
      <c r="MRT1680" s="2730"/>
      <c r="MRU1680" s="2730"/>
      <c r="MRV1680" s="2730"/>
      <c r="MRW1680" s="2730"/>
      <c r="MRX1680" s="2730"/>
      <c r="MRY1680" s="2730"/>
      <c r="MRZ1680" s="2730"/>
      <c r="MSA1680" s="2730"/>
      <c r="MSB1680" s="2730"/>
      <c r="MSC1680" s="2730"/>
      <c r="MSD1680" s="2730"/>
      <c r="MSE1680" s="2730"/>
      <c r="MSF1680" s="2730"/>
      <c r="MSG1680" s="2730"/>
      <c r="MSH1680" s="2730"/>
      <c r="MSI1680" s="2730"/>
      <c r="MSJ1680" s="2730"/>
      <c r="MSK1680" s="2730"/>
      <c r="MSL1680" s="2730"/>
      <c r="MSM1680" s="2730"/>
      <c r="MSN1680" s="2730"/>
      <c r="MSO1680" s="2730"/>
      <c r="MSP1680" s="2730"/>
      <c r="MSQ1680" s="2730"/>
      <c r="MSR1680" s="2730"/>
      <c r="MSS1680" s="2730"/>
      <c r="MST1680" s="2730"/>
      <c r="MSU1680" s="2730"/>
      <c r="MSV1680" s="2730"/>
      <c r="MSW1680" s="2730"/>
      <c r="MSX1680" s="2730"/>
      <c r="MSY1680" s="2730"/>
      <c r="MSZ1680" s="2730"/>
      <c r="MTA1680" s="2730"/>
      <c r="MTB1680" s="2730"/>
      <c r="MTC1680" s="2730"/>
      <c r="MTD1680" s="2730"/>
      <c r="MTE1680" s="2730"/>
      <c r="MTF1680" s="2730"/>
      <c r="MTG1680" s="2730"/>
      <c r="MTH1680" s="2730"/>
      <c r="MTI1680" s="2730"/>
      <c r="MTJ1680" s="2730"/>
      <c r="MTK1680" s="2730"/>
      <c r="MTL1680" s="2730"/>
      <c r="MTM1680" s="2730"/>
      <c r="MTN1680" s="2730"/>
      <c r="MTO1680" s="2730"/>
      <c r="MTP1680" s="2730"/>
      <c r="MTQ1680" s="2730"/>
      <c r="MTR1680" s="2730"/>
      <c r="MTS1680" s="2730"/>
      <c r="MTT1680" s="2730"/>
      <c r="MTU1680" s="2730"/>
      <c r="MTV1680" s="2730"/>
      <c r="MTW1680" s="2730"/>
      <c r="MTX1680" s="2730"/>
      <c r="MTY1680" s="2730"/>
      <c r="MTZ1680" s="2730"/>
      <c r="MUA1680" s="2730"/>
      <c r="MUB1680" s="2730"/>
      <c r="MUC1680" s="2730"/>
      <c r="MUD1680" s="2730"/>
      <c r="MUE1680" s="2730"/>
      <c r="MUF1680" s="2730"/>
      <c r="MUG1680" s="2730"/>
      <c r="MUH1680" s="2730"/>
      <c r="MUI1680" s="2730"/>
      <c r="MUJ1680" s="2730"/>
      <c r="MUK1680" s="2730"/>
      <c r="MUL1680" s="2730"/>
      <c r="MUM1680" s="2730"/>
      <c r="MUN1680" s="2730"/>
      <c r="MUO1680" s="2730"/>
      <c r="MUP1680" s="2730"/>
      <c r="MUQ1680" s="2730"/>
      <c r="MUR1680" s="2730"/>
      <c r="MUS1680" s="2730"/>
      <c r="MUT1680" s="2730"/>
      <c r="MUU1680" s="2730"/>
      <c r="MUV1680" s="2730"/>
      <c r="MUW1680" s="2730"/>
      <c r="MUX1680" s="2730"/>
      <c r="MUY1680" s="2730"/>
      <c r="MUZ1680" s="2730"/>
      <c r="MVA1680" s="2730"/>
      <c r="MVB1680" s="2730"/>
      <c r="MVC1680" s="2730"/>
      <c r="MVD1680" s="2730"/>
      <c r="MVE1680" s="2730"/>
      <c r="MVF1680" s="2730"/>
      <c r="MVG1680" s="2730"/>
      <c r="MVH1680" s="2730"/>
      <c r="MVI1680" s="2730"/>
      <c r="MVJ1680" s="2730"/>
      <c r="MVK1680" s="2730"/>
      <c r="MVL1680" s="2730"/>
      <c r="MVM1680" s="2730"/>
      <c r="MVN1680" s="2730"/>
      <c r="MVO1680" s="2730"/>
      <c r="MVP1680" s="2730"/>
      <c r="MVQ1680" s="2730"/>
      <c r="MVR1680" s="2730"/>
      <c r="MVS1680" s="2730"/>
      <c r="MVT1680" s="2730"/>
      <c r="MVU1680" s="2730"/>
      <c r="MVV1680" s="2730"/>
      <c r="MVW1680" s="2730"/>
      <c r="MVX1680" s="2730"/>
      <c r="MVY1680" s="2730"/>
      <c r="MVZ1680" s="2730"/>
      <c r="MWA1680" s="2730"/>
      <c r="MWB1680" s="2730"/>
      <c r="MWC1680" s="2730"/>
      <c r="MWD1680" s="2730"/>
      <c r="MWE1680" s="2730"/>
      <c r="MWF1680" s="2730"/>
      <c r="MWG1680" s="2730"/>
      <c r="MWH1680" s="2730"/>
      <c r="MWI1680" s="2730"/>
      <c r="MWJ1680" s="2730"/>
      <c r="MWK1680" s="2730"/>
      <c r="MWL1680" s="2730"/>
      <c r="MWM1680" s="2730"/>
      <c r="MWN1680" s="2730"/>
      <c r="MWO1680" s="2730"/>
      <c r="MWP1680" s="2730"/>
      <c r="MWQ1680" s="2730"/>
      <c r="MWR1680" s="2730"/>
      <c r="MWS1680" s="2730"/>
      <c r="MWT1680" s="2730"/>
      <c r="MWU1680" s="2730"/>
      <c r="MWV1680" s="2730"/>
      <c r="MWW1680" s="2730"/>
      <c r="MWX1680" s="2730"/>
      <c r="MWY1680" s="2730"/>
      <c r="MWZ1680" s="2730"/>
      <c r="MXA1680" s="2730"/>
      <c r="MXB1680" s="2730"/>
      <c r="MXC1680" s="2730"/>
      <c r="MXD1680" s="2730"/>
      <c r="MXE1680" s="2730"/>
      <c r="MXF1680" s="2730"/>
      <c r="MXG1680" s="2730"/>
      <c r="MXH1680" s="2730"/>
      <c r="MXI1680" s="2730"/>
      <c r="MXJ1680" s="2730"/>
      <c r="MXK1680" s="2730"/>
      <c r="MXL1680" s="2730"/>
      <c r="MXM1680" s="2730"/>
      <c r="MXN1680" s="2730"/>
      <c r="MXO1680" s="2730"/>
      <c r="MXP1680" s="2730"/>
      <c r="MXQ1680" s="2730"/>
      <c r="MXR1680" s="2730"/>
      <c r="MXS1680" s="2730"/>
      <c r="MXT1680" s="2730"/>
      <c r="MXU1680" s="2730"/>
      <c r="MXV1680" s="2730"/>
      <c r="MXW1680" s="2730"/>
      <c r="MXX1680" s="2730"/>
      <c r="MXY1680" s="2730"/>
      <c r="MXZ1680" s="2730"/>
      <c r="MYA1680" s="2730"/>
      <c r="MYB1680" s="2730"/>
      <c r="MYC1680" s="2730"/>
      <c r="MYD1680" s="2730"/>
      <c r="MYE1680" s="2730"/>
      <c r="MYF1680" s="2730"/>
      <c r="MYG1680" s="2730"/>
      <c r="MYH1680" s="2730"/>
      <c r="MYI1680" s="2730"/>
      <c r="MYJ1680" s="2730"/>
      <c r="MYK1680" s="2730"/>
      <c r="MYL1680" s="2730"/>
      <c r="MYM1680" s="2730"/>
      <c r="MYN1680" s="2730"/>
      <c r="MYO1680" s="2730"/>
      <c r="MYP1680" s="2730"/>
      <c r="MYQ1680" s="2730"/>
      <c r="MYR1680" s="2730"/>
      <c r="MYS1680" s="2730"/>
      <c r="MYT1680" s="2730"/>
      <c r="MYU1680" s="2730"/>
      <c r="MYV1680" s="2730"/>
      <c r="MYW1680" s="2730"/>
      <c r="MYX1680" s="2730"/>
      <c r="MYY1680" s="2730"/>
      <c r="MYZ1680" s="2730"/>
      <c r="MZA1680" s="2730"/>
      <c r="MZB1680" s="2730"/>
      <c r="MZC1680" s="2730"/>
      <c r="MZD1680" s="2730"/>
      <c r="MZE1680" s="2730"/>
      <c r="MZF1680" s="2730"/>
      <c r="MZG1680" s="2730"/>
      <c r="MZH1680" s="2730"/>
      <c r="MZI1680" s="2730"/>
      <c r="MZJ1680" s="2730"/>
      <c r="MZK1680" s="2730"/>
      <c r="MZL1680" s="2730"/>
      <c r="MZM1680" s="2730"/>
      <c r="MZN1680" s="2730"/>
      <c r="MZO1680" s="2730"/>
      <c r="MZP1680" s="2730"/>
      <c r="MZQ1680" s="2730"/>
      <c r="MZR1680" s="2730"/>
      <c r="MZS1680" s="2730"/>
      <c r="MZT1680" s="2730"/>
      <c r="MZU1680" s="2730"/>
      <c r="MZV1680" s="2730"/>
      <c r="MZW1680" s="2730"/>
      <c r="MZX1680" s="2730"/>
      <c r="MZY1680" s="2730"/>
      <c r="MZZ1680" s="2730"/>
      <c r="NAA1680" s="2730"/>
      <c r="NAB1680" s="2730"/>
      <c r="NAC1680" s="2730"/>
      <c r="NAD1680" s="2730"/>
      <c r="NAE1680" s="2730"/>
      <c r="NAF1680" s="2730"/>
      <c r="NAG1680" s="2730"/>
      <c r="NAH1680" s="2730"/>
      <c r="NAI1680" s="2730"/>
      <c r="NAJ1680" s="2730"/>
      <c r="NAK1680" s="2730"/>
      <c r="NAL1680" s="2730"/>
      <c r="NAM1680" s="2730"/>
      <c r="NAN1680" s="2730"/>
      <c r="NAO1680" s="2730"/>
      <c r="NAP1680" s="2730"/>
      <c r="NAQ1680" s="2730"/>
      <c r="NAR1680" s="2730"/>
      <c r="NAS1680" s="2730"/>
      <c r="NAT1680" s="2730"/>
      <c r="NAU1680" s="2730"/>
      <c r="NAV1680" s="2730"/>
      <c r="NAW1680" s="2730"/>
      <c r="NAX1680" s="2730"/>
      <c r="NAY1680" s="2730"/>
      <c r="NAZ1680" s="2730"/>
      <c r="NBA1680" s="2730"/>
      <c r="NBB1680" s="2730"/>
      <c r="NBC1680" s="2730"/>
      <c r="NBD1680" s="2730"/>
      <c r="NBE1680" s="2730"/>
      <c r="NBF1680" s="2730"/>
      <c r="NBG1680" s="2730"/>
      <c r="NBH1680" s="2730"/>
      <c r="NBI1680" s="2730"/>
      <c r="NBJ1680" s="2730"/>
      <c r="NBK1680" s="2730"/>
      <c r="NBL1680" s="2730"/>
      <c r="NBM1680" s="2730"/>
      <c r="NBN1680" s="2730"/>
      <c r="NBO1680" s="2730"/>
      <c r="NBP1680" s="2730"/>
      <c r="NBQ1680" s="2730"/>
      <c r="NBR1680" s="2730"/>
      <c r="NBS1680" s="2730"/>
      <c r="NBT1680" s="2730"/>
      <c r="NBU1680" s="2730"/>
      <c r="NBV1680" s="2730"/>
      <c r="NBW1680" s="2730"/>
      <c r="NBX1680" s="2730"/>
      <c r="NBY1680" s="2730"/>
      <c r="NBZ1680" s="2730"/>
      <c r="NCA1680" s="2730"/>
      <c r="NCB1680" s="2730"/>
      <c r="NCC1680" s="2730"/>
      <c r="NCD1680" s="2730"/>
      <c r="NCE1680" s="2730"/>
      <c r="NCF1680" s="2730"/>
      <c r="NCG1680" s="2730"/>
      <c r="NCH1680" s="2730"/>
      <c r="NCI1680" s="2730"/>
      <c r="NCJ1680" s="2730"/>
      <c r="NCK1680" s="2730"/>
      <c r="NCL1680" s="2730"/>
      <c r="NCM1680" s="2730"/>
      <c r="NCN1680" s="2730"/>
      <c r="NCO1680" s="2730"/>
      <c r="NCP1680" s="2730"/>
      <c r="NCQ1680" s="2730"/>
      <c r="NCR1680" s="2730"/>
      <c r="NCS1680" s="2730"/>
      <c r="NCT1680" s="2730"/>
      <c r="NCU1680" s="2730"/>
      <c r="NCV1680" s="2730"/>
      <c r="NCW1680" s="2730"/>
      <c r="NCX1680" s="2730"/>
      <c r="NCY1680" s="2730"/>
      <c r="NCZ1680" s="2730"/>
      <c r="NDA1680" s="2730"/>
      <c r="NDB1680" s="2730"/>
      <c r="NDC1680" s="2730"/>
      <c r="NDD1680" s="2730"/>
      <c r="NDE1680" s="2730"/>
      <c r="NDF1680" s="2730"/>
      <c r="NDG1680" s="2730"/>
      <c r="NDH1680" s="2730"/>
      <c r="NDI1680" s="2730"/>
      <c r="NDJ1680" s="2730"/>
      <c r="NDK1680" s="2730"/>
      <c r="NDL1680" s="2730"/>
      <c r="NDM1680" s="2730"/>
      <c r="NDN1680" s="2730"/>
      <c r="NDO1680" s="2730"/>
      <c r="NDP1680" s="2730"/>
      <c r="NDQ1680" s="2730"/>
      <c r="NDR1680" s="2730"/>
      <c r="NDS1680" s="2730"/>
      <c r="NDT1680" s="2730"/>
      <c r="NDU1680" s="2730"/>
      <c r="NDV1680" s="2730"/>
      <c r="NDW1680" s="2730"/>
      <c r="NDX1680" s="2730"/>
      <c r="NDY1680" s="2730"/>
      <c r="NDZ1680" s="2730"/>
      <c r="NEA1680" s="2730"/>
      <c r="NEB1680" s="2730"/>
      <c r="NEC1680" s="2730"/>
      <c r="NED1680" s="2730"/>
      <c r="NEE1680" s="2730"/>
      <c r="NEF1680" s="2730"/>
      <c r="NEG1680" s="2730"/>
      <c r="NEH1680" s="2730"/>
      <c r="NEI1680" s="2730"/>
      <c r="NEJ1680" s="2730"/>
      <c r="NEK1680" s="2730"/>
      <c r="NEL1680" s="2730"/>
      <c r="NEM1680" s="2730"/>
      <c r="NEN1680" s="2730"/>
      <c r="NEO1680" s="2730"/>
      <c r="NEP1680" s="2730"/>
      <c r="NEQ1680" s="2730"/>
      <c r="NER1680" s="2730"/>
      <c r="NES1680" s="2730"/>
      <c r="NET1680" s="2730"/>
      <c r="NEU1680" s="2730"/>
      <c r="NEV1680" s="2730"/>
      <c r="NEW1680" s="2730"/>
      <c r="NEX1680" s="2730"/>
      <c r="NEY1680" s="2730"/>
      <c r="NEZ1680" s="2730"/>
      <c r="NFA1680" s="2730"/>
      <c r="NFB1680" s="2730"/>
      <c r="NFC1680" s="2730"/>
      <c r="NFD1680" s="2730"/>
      <c r="NFE1680" s="2730"/>
      <c r="NFF1680" s="2730"/>
      <c r="NFG1680" s="2730"/>
      <c r="NFH1680" s="2730"/>
      <c r="NFI1680" s="2730"/>
      <c r="NFJ1680" s="2730"/>
      <c r="NFK1680" s="2730"/>
      <c r="NFL1680" s="2730"/>
      <c r="NFM1680" s="2730"/>
      <c r="NFN1680" s="2730"/>
      <c r="NFO1680" s="2730"/>
      <c r="NFP1680" s="2730"/>
      <c r="NFQ1680" s="2730"/>
      <c r="NFR1680" s="2730"/>
      <c r="NFS1680" s="2730"/>
      <c r="NFT1680" s="2730"/>
      <c r="NFU1680" s="2730"/>
      <c r="NFV1680" s="2730"/>
      <c r="NFW1680" s="2730"/>
      <c r="NFX1680" s="2730"/>
      <c r="NFY1680" s="2730"/>
      <c r="NFZ1680" s="2730"/>
      <c r="NGA1680" s="2730"/>
      <c r="NGB1680" s="2730"/>
      <c r="NGC1680" s="2730"/>
      <c r="NGD1680" s="2730"/>
      <c r="NGE1680" s="2730"/>
      <c r="NGF1680" s="2730"/>
      <c r="NGG1680" s="2730"/>
      <c r="NGH1680" s="2730"/>
      <c r="NGI1680" s="2730"/>
      <c r="NGJ1680" s="2730"/>
      <c r="NGK1680" s="2730"/>
      <c r="NGL1680" s="2730"/>
      <c r="NGM1680" s="2730"/>
      <c r="NGN1680" s="2730"/>
      <c r="NGO1680" s="2730"/>
      <c r="NGP1680" s="2730"/>
      <c r="NGQ1680" s="2730"/>
      <c r="NGR1680" s="2730"/>
      <c r="NGS1680" s="2730"/>
      <c r="NGT1680" s="2730"/>
      <c r="NGU1680" s="2730"/>
      <c r="NGV1680" s="2730"/>
      <c r="NGW1680" s="2730"/>
      <c r="NGX1680" s="2730"/>
      <c r="NGY1680" s="2730"/>
      <c r="NGZ1680" s="2730"/>
      <c r="NHA1680" s="2730"/>
      <c r="NHB1680" s="2730"/>
      <c r="NHC1680" s="2730"/>
      <c r="NHD1680" s="2730"/>
      <c r="NHE1680" s="2730"/>
      <c r="NHF1680" s="2730"/>
      <c r="NHG1680" s="2730"/>
      <c r="NHH1680" s="2730"/>
      <c r="NHI1680" s="2730"/>
      <c r="NHJ1680" s="2730"/>
      <c r="NHK1680" s="2730"/>
      <c r="NHL1680" s="2730"/>
      <c r="NHM1680" s="2730"/>
      <c r="NHN1680" s="2730"/>
      <c r="NHO1680" s="2730"/>
      <c r="NHP1680" s="2730"/>
      <c r="NHQ1680" s="2730"/>
      <c r="NHR1680" s="2730"/>
      <c r="NHS1680" s="2730"/>
      <c r="NHT1680" s="2730"/>
      <c r="NHU1680" s="2730"/>
      <c r="NHV1680" s="2730"/>
      <c r="NHW1680" s="2730"/>
      <c r="NHX1680" s="2730"/>
      <c r="NHY1680" s="2730"/>
      <c r="NHZ1680" s="2730"/>
      <c r="NIA1680" s="2730"/>
      <c r="NIB1680" s="2730"/>
      <c r="NIC1680" s="2730"/>
      <c r="NID1680" s="2730"/>
      <c r="NIE1680" s="2730"/>
      <c r="NIF1680" s="2730"/>
      <c r="NIG1680" s="2730"/>
      <c r="NIH1680" s="2730"/>
      <c r="NII1680" s="2730"/>
      <c r="NIJ1680" s="2730"/>
      <c r="NIK1680" s="2730"/>
      <c r="NIL1680" s="2730"/>
      <c r="NIM1680" s="2730"/>
      <c r="NIN1680" s="2730"/>
      <c r="NIO1680" s="2730"/>
      <c r="NIP1680" s="2730"/>
      <c r="NIQ1680" s="2730"/>
      <c r="NIR1680" s="2730"/>
      <c r="NIS1680" s="2730"/>
      <c r="NIT1680" s="2730"/>
      <c r="NIU1680" s="2730"/>
      <c r="NIV1680" s="2730"/>
      <c r="NIW1680" s="2730"/>
      <c r="NIX1680" s="2730"/>
      <c r="NIY1680" s="2730"/>
      <c r="NIZ1680" s="2730"/>
      <c r="NJA1680" s="2730"/>
      <c r="NJB1680" s="2730"/>
      <c r="NJC1680" s="2730"/>
      <c r="NJD1680" s="2730"/>
      <c r="NJE1680" s="2730"/>
      <c r="NJF1680" s="2730"/>
      <c r="NJG1680" s="2730"/>
      <c r="NJH1680" s="2730"/>
      <c r="NJI1680" s="2730"/>
      <c r="NJJ1680" s="2730"/>
      <c r="NJK1680" s="2730"/>
      <c r="NJL1680" s="2730"/>
      <c r="NJM1680" s="2730"/>
      <c r="NJN1680" s="2730"/>
      <c r="NJO1680" s="2730"/>
      <c r="NJP1680" s="2730"/>
      <c r="NJQ1680" s="2730"/>
      <c r="NJR1680" s="2730"/>
      <c r="NJS1680" s="2730"/>
      <c r="NJT1680" s="2730"/>
      <c r="NJU1680" s="2730"/>
      <c r="NJV1680" s="2730"/>
      <c r="NJW1680" s="2730"/>
      <c r="NJX1680" s="2730"/>
      <c r="NJY1680" s="2730"/>
      <c r="NJZ1680" s="2730"/>
      <c r="NKA1680" s="2730"/>
      <c r="NKB1680" s="2730"/>
      <c r="NKC1680" s="2730"/>
      <c r="NKD1680" s="2730"/>
      <c r="NKE1680" s="2730"/>
      <c r="NKF1680" s="2730"/>
      <c r="NKG1680" s="2730"/>
      <c r="NKH1680" s="2730"/>
      <c r="NKI1680" s="2730"/>
      <c r="NKJ1680" s="2730"/>
      <c r="NKK1680" s="2730"/>
      <c r="NKL1680" s="2730"/>
      <c r="NKM1680" s="2730"/>
      <c r="NKN1680" s="2730"/>
      <c r="NKO1680" s="2730"/>
      <c r="NKP1680" s="2730"/>
      <c r="NKQ1680" s="2730"/>
      <c r="NKR1680" s="2730"/>
      <c r="NKS1680" s="2730"/>
      <c r="NKT1680" s="2730"/>
      <c r="NKU1680" s="2730"/>
      <c r="NKV1680" s="2730"/>
      <c r="NKW1680" s="2730"/>
      <c r="NKX1680" s="2730"/>
      <c r="NKY1680" s="2730"/>
      <c r="NKZ1680" s="2730"/>
      <c r="NLA1680" s="2730"/>
      <c r="NLB1680" s="2730"/>
      <c r="NLC1680" s="2730"/>
      <c r="NLD1680" s="2730"/>
      <c r="NLE1680" s="2730"/>
      <c r="NLF1680" s="2730"/>
      <c r="NLG1680" s="2730"/>
      <c r="NLH1680" s="2730"/>
      <c r="NLI1680" s="2730"/>
      <c r="NLJ1680" s="2730"/>
      <c r="NLK1680" s="2730"/>
      <c r="NLL1680" s="2730"/>
      <c r="NLM1680" s="2730"/>
      <c r="NLN1680" s="2730"/>
      <c r="NLO1680" s="2730"/>
      <c r="NLP1680" s="2730"/>
      <c r="NLQ1680" s="2730"/>
      <c r="NLR1680" s="2730"/>
      <c r="NLS1680" s="2730"/>
      <c r="NLT1680" s="2730"/>
      <c r="NLU1680" s="2730"/>
      <c r="NLV1680" s="2730"/>
      <c r="NLW1680" s="2730"/>
      <c r="NLX1680" s="2730"/>
      <c r="NLY1680" s="2730"/>
      <c r="NLZ1680" s="2730"/>
      <c r="NMA1680" s="2730"/>
      <c r="NMB1680" s="2730"/>
      <c r="NMC1680" s="2730"/>
      <c r="NMD1680" s="2730"/>
      <c r="NME1680" s="2730"/>
      <c r="NMF1680" s="2730"/>
      <c r="NMG1680" s="2730"/>
      <c r="NMH1680" s="2730"/>
      <c r="NMI1680" s="2730"/>
      <c r="NMJ1680" s="2730"/>
      <c r="NMK1680" s="2730"/>
      <c r="NML1680" s="2730"/>
      <c r="NMM1680" s="2730"/>
      <c r="NMN1680" s="2730"/>
      <c r="NMO1680" s="2730"/>
      <c r="NMP1680" s="2730"/>
      <c r="NMQ1680" s="2730"/>
      <c r="NMR1680" s="2730"/>
      <c r="NMS1680" s="2730"/>
      <c r="NMT1680" s="2730"/>
      <c r="NMU1680" s="2730"/>
      <c r="NMV1680" s="2730"/>
      <c r="NMW1680" s="2730"/>
      <c r="NMX1680" s="2730"/>
      <c r="NMY1680" s="2730"/>
      <c r="NMZ1680" s="2730"/>
      <c r="NNA1680" s="2730"/>
      <c r="NNB1680" s="2730"/>
      <c r="NNC1680" s="2730"/>
      <c r="NND1680" s="2730"/>
      <c r="NNE1680" s="2730"/>
      <c r="NNF1680" s="2730"/>
      <c r="NNG1680" s="2730"/>
      <c r="NNH1680" s="2730"/>
      <c r="NNI1680" s="2730"/>
      <c r="NNJ1680" s="2730"/>
      <c r="NNK1680" s="2730"/>
      <c r="NNL1680" s="2730"/>
      <c r="NNM1680" s="2730"/>
      <c r="NNN1680" s="2730"/>
      <c r="NNO1680" s="2730"/>
      <c r="NNP1680" s="2730"/>
      <c r="NNQ1680" s="2730"/>
      <c r="NNR1680" s="2730"/>
      <c r="NNS1680" s="2730"/>
      <c r="NNT1680" s="2730"/>
      <c r="NNU1680" s="2730"/>
      <c r="NNV1680" s="2730"/>
      <c r="NNW1680" s="2730"/>
      <c r="NNX1680" s="2730"/>
      <c r="NNY1680" s="2730"/>
      <c r="NNZ1680" s="2730"/>
      <c r="NOA1680" s="2730"/>
      <c r="NOB1680" s="2730"/>
      <c r="NOC1680" s="2730"/>
      <c r="NOD1680" s="2730"/>
      <c r="NOE1680" s="2730"/>
      <c r="NOF1680" s="2730"/>
      <c r="NOG1680" s="2730"/>
      <c r="NOH1680" s="2730"/>
      <c r="NOI1680" s="2730"/>
      <c r="NOJ1680" s="2730"/>
      <c r="NOK1680" s="2730"/>
      <c r="NOL1680" s="2730"/>
      <c r="NOM1680" s="2730"/>
      <c r="NON1680" s="2730"/>
      <c r="NOO1680" s="2730"/>
      <c r="NOP1680" s="2730"/>
      <c r="NOQ1680" s="2730"/>
      <c r="NOR1680" s="2730"/>
      <c r="NOS1680" s="2730"/>
      <c r="NOT1680" s="2730"/>
      <c r="NOU1680" s="2730"/>
      <c r="NOV1680" s="2730"/>
      <c r="NOW1680" s="2730"/>
      <c r="NOX1680" s="2730"/>
      <c r="NOY1680" s="2730"/>
      <c r="NOZ1680" s="2730"/>
      <c r="NPA1680" s="2730"/>
      <c r="NPB1680" s="2730"/>
      <c r="NPC1680" s="2730"/>
      <c r="NPD1680" s="2730"/>
      <c r="NPE1680" s="2730"/>
      <c r="NPF1680" s="2730"/>
      <c r="NPG1680" s="2730"/>
      <c r="NPH1680" s="2730"/>
      <c r="NPI1680" s="2730"/>
      <c r="NPJ1680" s="2730"/>
      <c r="NPK1680" s="2730"/>
      <c r="NPL1680" s="2730"/>
      <c r="NPM1680" s="2730"/>
      <c r="NPN1680" s="2730"/>
      <c r="NPO1680" s="2730"/>
      <c r="NPP1680" s="2730"/>
      <c r="NPQ1680" s="2730"/>
      <c r="NPR1680" s="2730"/>
      <c r="NPS1680" s="2730"/>
      <c r="NPT1680" s="2730"/>
      <c r="NPU1680" s="2730"/>
      <c r="NPV1680" s="2730"/>
      <c r="NPW1680" s="2730"/>
      <c r="NPX1680" s="2730"/>
      <c r="NPY1680" s="2730"/>
      <c r="NPZ1680" s="2730"/>
      <c r="NQA1680" s="2730"/>
      <c r="NQB1680" s="2730"/>
      <c r="NQC1680" s="2730"/>
      <c r="NQD1680" s="2730"/>
      <c r="NQE1680" s="2730"/>
      <c r="NQF1680" s="2730"/>
      <c r="NQG1680" s="2730"/>
      <c r="NQH1680" s="2730"/>
      <c r="NQI1680" s="2730"/>
      <c r="NQJ1680" s="2730"/>
      <c r="NQK1680" s="2730"/>
      <c r="NQL1680" s="2730"/>
      <c r="NQM1680" s="2730"/>
      <c r="NQN1680" s="2730"/>
      <c r="NQO1680" s="2730"/>
      <c r="NQP1680" s="2730"/>
      <c r="NQQ1680" s="2730"/>
      <c r="NQR1680" s="2730"/>
      <c r="NQS1680" s="2730"/>
      <c r="NQT1680" s="2730"/>
      <c r="NQU1680" s="2730"/>
      <c r="NQV1680" s="2730"/>
      <c r="NQW1680" s="2730"/>
      <c r="NQX1680" s="2730"/>
      <c r="NQY1680" s="2730"/>
      <c r="NQZ1680" s="2730"/>
      <c r="NRA1680" s="2730"/>
      <c r="NRB1680" s="2730"/>
      <c r="NRC1680" s="2730"/>
      <c r="NRD1680" s="2730"/>
      <c r="NRE1680" s="2730"/>
      <c r="NRF1680" s="2730"/>
      <c r="NRG1680" s="2730"/>
      <c r="NRH1680" s="2730"/>
      <c r="NRI1680" s="2730"/>
      <c r="NRJ1680" s="2730"/>
      <c r="NRK1680" s="2730"/>
      <c r="NRL1680" s="2730"/>
      <c r="NRM1680" s="2730"/>
      <c r="NRN1680" s="2730"/>
      <c r="NRO1680" s="2730"/>
      <c r="NRP1680" s="2730"/>
      <c r="NRQ1680" s="2730"/>
      <c r="NRR1680" s="2730"/>
      <c r="NRS1680" s="2730"/>
      <c r="NRT1680" s="2730"/>
      <c r="NRU1680" s="2730"/>
      <c r="NRV1680" s="2730"/>
      <c r="NRW1680" s="2730"/>
      <c r="NRX1680" s="2730"/>
      <c r="NRY1680" s="2730"/>
      <c r="NRZ1680" s="2730"/>
      <c r="NSA1680" s="2730"/>
      <c r="NSB1680" s="2730"/>
      <c r="NSC1680" s="2730"/>
      <c r="NSD1680" s="2730"/>
      <c r="NSE1680" s="2730"/>
      <c r="NSF1680" s="2730"/>
      <c r="NSG1680" s="2730"/>
      <c r="NSH1680" s="2730"/>
      <c r="NSI1680" s="2730"/>
      <c r="NSJ1680" s="2730"/>
      <c r="NSK1680" s="2730"/>
      <c r="NSL1680" s="2730"/>
      <c r="NSM1680" s="2730"/>
      <c r="NSN1680" s="2730"/>
      <c r="NSO1680" s="2730"/>
      <c r="NSP1680" s="2730"/>
      <c r="NSQ1680" s="2730"/>
      <c r="NSR1680" s="2730"/>
      <c r="NSS1680" s="2730"/>
      <c r="NST1680" s="2730"/>
      <c r="NSU1680" s="2730"/>
      <c r="NSV1680" s="2730"/>
      <c r="NSW1680" s="2730"/>
      <c r="NSX1680" s="2730"/>
      <c r="NSY1680" s="2730"/>
      <c r="NSZ1680" s="2730"/>
      <c r="NTA1680" s="2730"/>
      <c r="NTB1680" s="2730"/>
      <c r="NTC1680" s="2730"/>
      <c r="NTD1680" s="2730"/>
      <c r="NTE1680" s="2730"/>
      <c r="NTF1680" s="2730"/>
      <c r="NTG1680" s="2730"/>
      <c r="NTH1680" s="2730"/>
      <c r="NTI1680" s="2730"/>
      <c r="NTJ1680" s="2730"/>
      <c r="NTK1680" s="2730"/>
      <c r="NTL1680" s="2730"/>
      <c r="NTM1680" s="2730"/>
      <c r="NTN1680" s="2730"/>
      <c r="NTO1680" s="2730"/>
      <c r="NTP1680" s="2730"/>
      <c r="NTQ1680" s="2730"/>
      <c r="NTR1680" s="2730"/>
      <c r="NTS1680" s="2730"/>
      <c r="NTT1680" s="2730"/>
      <c r="NTU1680" s="2730"/>
      <c r="NTV1680" s="2730"/>
      <c r="NTW1680" s="2730"/>
      <c r="NTX1680" s="2730"/>
      <c r="NTY1680" s="2730"/>
      <c r="NTZ1680" s="2730"/>
      <c r="NUA1680" s="2730"/>
      <c r="NUB1680" s="2730"/>
      <c r="NUC1680" s="2730"/>
      <c r="NUD1680" s="2730"/>
      <c r="NUE1680" s="2730"/>
      <c r="NUF1680" s="2730"/>
      <c r="NUG1680" s="2730"/>
      <c r="NUH1680" s="2730"/>
      <c r="NUI1680" s="2730"/>
      <c r="NUJ1680" s="2730"/>
      <c r="NUK1680" s="2730"/>
      <c r="NUL1680" s="2730"/>
      <c r="NUM1680" s="2730"/>
      <c r="NUN1680" s="2730"/>
      <c r="NUO1680" s="2730"/>
      <c r="NUP1680" s="2730"/>
      <c r="NUQ1680" s="2730"/>
      <c r="NUR1680" s="2730"/>
      <c r="NUS1680" s="2730"/>
      <c r="NUT1680" s="2730"/>
      <c r="NUU1680" s="2730"/>
      <c r="NUV1680" s="2730"/>
      <c r="NUW1680" s="2730"/>
      <c r="NUX1680" s="2730"/>
      <c r="NUY1680" s="2730"/>
      <c r="NUZ1680" s="2730"/>
      <c r="NVA1680" s="2730"/>
      <c r="NVB1680" s="2730"/>
      <c r="NVC1680" s="2730"/>
      <c r="NVD1680" s="2730"/>
      <c r="NVE1680" s="2730"/>
      <c r="NVF1680" s="2730"/>
      <c r="NVG1680" s="2730"/>
      <c r="NVH1680" s="2730"/>
      <c r="NVI1680" s="2730"/>
      <c r="NVJ1680" s="2730"/>
      <c r="NVK1680" s="2730"/>
      <c r="NVL1680" s="2730"/>
      <c r="NVM1680" s="2730"/>
      <c r="NVN1680" s="2730"/>
      <c r="NVO1680" s="2730"/>
      <c r="NVP1680" s="2730"/>
      <c r="NVQ1680" s="2730"/>
      <c r="NVR1680" s="2730"/>
      <c r="NVS1680" s="2730"/>
      <c r="NVT1680" s="2730"/>
      <c r="NVU1680" s="2730"/>
      <c r="NVV1680" s="2730"/>
      <c r="NVW1680" s="2730"/>
      <c r="NVX1680" s="2730"/>
      <c r="NVY1680" s="2730"/>
      <c r="NVZ1680" s="2730"/>
      <c r="NWA1680" s="2730"/>
      <c r="NWB1680" s="2730"/>
      <c r="NWC1680" s="2730"/>
      <c r="NWD1680" s="2730"/>
      <c r="NWE1680" s="2730"/>
      <c r="NWF1680" s="2730"/>
      <c r="NWG1680" s="2730"/>
      <c r="NWH1680" s="2730"/>
      <c r="NWI1680" s="2730"/>
      <c r="NWJ1680" s="2730"/>
      <c r="NWK1680" s="2730"/>
      <c r="NWL1680" s="2730"/>
      <c r="NWM1680" s="2730"/>
      <c r="NWN1680" s="2730"/>
      <c r="NWO1680" s="2730"/>
      <c r="NWP1680" s="2730"/>
      <c r="NWQ1680" s="2730"/>
      <c r="NWR1680" s="2730"/>
      <c r="NWS1680" s="2730"/>
      <c r="NWT1680" s="2730"/>
      <c r="NWU1680" s="2730"/>
      <c r="NWV1680" s="2730"/>
      <c r="NWW1680" s="2730"/>
      <c r="NWX1680" s="2730"/>
      <c r="NWY1680" s="2730"/>
      <c r="NWZ1680" s="2730"/>
      <c r="NXA1680" s="2730"/>
      <c r="NXB1680" s="2730"/>
      <c r="NXC1680" s="2730"/>
      <c r="NXD1680" s="2730"/>
      <c r="NXE1680" s="2730"/>
      <c r="NXF1680" s="2730"/>
      <c r="NXG1680" s="2730"/>
      <c r="NXH1680" s="2730"/>
      <c r="NXI1680" s="2730"/>
      <c r="NXJ1680" s="2730"/>
      <c r="NXK1680" s="2730"/>
      <c r="NXL1680" s="2730"/>
      <c r="NXM1680" s="2730"/>
      <c r="NXN1680" s="2730"/>
      <c r="NXO1680" s="2730"/>
      <c r="NXP1680" s="2730"/>
      <c r="NXQ1680" s="2730"/>
      <c r="NXR1680" s="2730"/>
      <c r="NXS1680" s="2730"/>
      <c r="NXT1680" s="2730"/>
      <c r="NXU1680" s="2730"/>
      <c r="NXV1680" s="2730"/>
      <c r="NXW1680" s="2730"/>
      <c r="NXX1680" s="2730"/>
      <c r="NXY1680" s="2730"/>
      <c r="NXZ1680" s="2730"/>
      <c r="NYA1680" s="2730"/>
      <c r="NYB1680" s="2730"/>
      <c r="NYC1680" s="2730"/>
      <c r="NYD1680" s="2730"/>
      <c r="NYE1680" s="2730"/>
      <c r="NYF1680" s="2730"/>
      <c r="NYG1680" s="2730"/>
      <c r="NYH1680" s="2730"/>
      <c r="NYI1680" s="2730"/>
      <c r="NYJ1680" s="2730"/>
      <c r="NYK1680" s="2730"/>
      <c r="NYL1680" s="2730"/>
      <c r="NYM1680" s="2730"/>
      <c r="NYN1680" s="2730"/>
      <c r="NYO1680" s="2730"/>
      <c r="NYP1680" s="2730"/>
      <c r="NYQ1680" s="2730"/>
      <c r="NYR1680" s="2730"/>
      <c r="NYS1680" s="2730"/>
      <c r="NYT1680" s="2730"/>
      <c r="NYU1680" s="2730"/>
      <c r="NYV1680" s="2730"/>
      <c r="NYW1680" s="2730"/>
      <c r="NYX1680" s="2730"/>
      <c r="NYY1680" s="2730"/>
      <c r="NYZ1680" s="2730"/>
      <c r="NZA1680" s="2730"/>
      <c r="NZB1680" s="2730"/>
      <c r="NZC1680" s="2730"/>
      <c r="NZD1680" s="2730"/>
      <c r="NZE1680" s="2730"/>
      <c r="NZF1680" s="2730"/>
      <c r="NZG1680" s="2730"/>
      <c r="NZH1680" s="2730"/>
      <c r="NZI1680" s="2730"/>
      <c r="NZJ1680" s="2730"/>
      <c r="NZK1680" s="2730"/>
      <c r="NZL1680" s="2730"/>
      <c r="NZM1680" s="2730"/>
      <c r="NZN1680" s="2730"/>
      <c r="NZO1680" s="2730"/>
      <c r="NZP1680" s="2730"/>
      <c r="NZQ1680" s="2730"/>
      <c r="NZR1680" s="2730"/>
      <c r="NZS1680" s="2730"/>
      <c r="NZT1680" s="2730"/>
      <c r="NZU1680" s="2730"/>
      <c r="NZV1680" s="2730"/>
      <c r="NZW1680" s="2730"/>
      <c r="NZX1680" s="2730"/>
      <c r="NZY1680" s="2730"/>
      <c r="NZZ1680" s="2730"/>
      <c r="OAA1680" s="2730"/>
      <c r="OAB1680" s="2730"/>
      <c r="OAC1680" s="2730"/>
      <c r="OAD1680" s="2730"/>
      <c r="OAE1680" s="2730"/>
      <c r="OAF1680" s="2730"/>
      <c r="OAG1680" s="2730"/>
      <c r="OAH1680" s="2730"/>
      <c r="OAI1680" s="2730"/>
      <c r="OAJ1680" s="2730"/>
      <c r="OAK1680" s="2730"/>
      <c r="OAL1680" s="2730"/>
      <c r="OAM1680" s="2730"/>
      <c r="OAN1680" s="2730"/>
      <c r="OAO1680" s="2730"/>
      <c r="OAP1680" s="2730"/>
      <c r="OAQ1680" s="2730"/>
      <c r="OAR1680" s="2730"/>
      <c r="OAS1680" s="2730"/>
      <c r="OAT1680" s="2730"/>
      <c r="OAU1680" s="2730"/>
      <c r="OAV1680" s="2730"/>
      <c r="OAW1680" s="2730"/>
      <c r="OAX1680" s="2730"/>
      <c r="OAY1680" s="2730"/>
      <c r="OAZ1680" s="2730"/>
      <c r="OBA1680" s="2730"/>
      <c r="OBB1680" s="2730"/>
      <c r="OBC1680" s="2730"/>
      <c r="OBD1680" s="2730"/>
      <c r="OBE1680" s="2730"/>
      <c r="OBF1680" s="2730"/>
      <c r="OBG1680" s="2730"/>
      <c r="OBH1680" s="2730"/>
      <c r="OBI1680" s="2730"/>
      <c r="OBJ1680" s="2730"/>
      <c r="OBK1680" s="2730"/>
      <c r="OBL1680" s="2730"/>
      <c r="OBM1680" s="2730"/>
      <c r="OBN1680" s="2730"/>
      <c r="OBO1680" s="2730"/>
      <c r="OBP1680" s="2730"/>
      <c r="OBQ1680" s="2730"/>
      <c r="OBR1680" s="2730"/>
      <c r="OBS1680" s="2730"/>
      <c r="OBT1680" s="2730"/>
      <c r="OBU1680" s="2730"/>
      <c r="OBV1680" s="2730"/>
      <c r="OBW1680" s="2730"/>
      <c r="OBX1680" s="2730"/>
      <c r="OBY1680" s="2730"/>
      <c r="OBZ1680" s="2730"/>
      <c r="OCA1680" s="2730"/>
      <c r="OCB1680" s="2730"/>
      <c r="OCC1680" s="2730"/>
      <c r="OCD1680" s="2730"/>
      <c r="OCE1680" s="2730"/>
      <c r="OCF1680" s="2730"/>
      <c r="OCG1680" s="2730"/>
      <c r="OCH1680" s="2730"/>
      <c r="OCI1680" s="2730"/>
      <c r="OCJ1680" s="2730"/>
      <c r="OCK1680" s="2730"/>
      <c r="OCL1680" s="2730"/>
      <c r="OCM1680" s="2730"/>
      <c r="OCN1680" s="2730"/>
      <c r="OCO1680" s="2730"/>
      <c r="OCP1680" s="2730"/>
      <c r="OCQ1680" s="2730"/>
      <c r="OCR1680" s="2730"/>
      <c r="OCS1680" s="2730"/>
      <c r="OCT1680" s="2730"/>
      <c r="OCU1680" s="2730"/>
      <c r="OCV1680" s="2730"/>
      <c r="OCW1680" s="2730"/>
      <c r="OCX1680" s="2730"/>
      <c r="OCY1680" s="2730"/>
      <c r="OCZ1680" s="2730"/>
      <c r="ODA1680" s="2730"/>
      <c r="ODB1680" s="2730"/>
      <c r="ODC1680" s="2730"/>
      <c r="ODD1680" s="2730"/>
      <c r="ODE1680" s="2730"/>
      <c r="ODF1680" s="2730"/>
      <c r="ODG1680" s="2730"/>
      <c r="ODH1680" s="2730"/>
      <c r="ODI1680" s="2730"/>
      <c r="ODJ1680" s="2730"/>
      <c r="ODK1680" s="2730"/>
      <c r="ODL1680" s="2730"/>
      <c r="ODM1680" s="2730"/>
      <c r="ODN1680" s="2730"/>
      <c r="ODO1680" s="2730"/>
      <c r="ODP1680" s="2730"/>
      <c r="ODQ1680" s="2730"/>
      <c r="ODR1680" s="2730"/>
      <c r="ODS1680" s="2730"/>
      <c r="ODT1680" s="2730"/>
      <c r="ODU1680" s="2730"/>
      <c r="ODV1680" s="2730"/>
      <c r="ODW1680" s="2730"/>
      <c r="ODX1680" s="2730"/>
      <c r="ODY1680" s="2730"/>
      <c r="ODZ1680" s="2730"/>
      <c r="OEA1680" s="2730"/>
      <c r="OEB1680" s="2730"/>
      <c r="OEC1680" s="2730"/>
      <c r="OED1680" s="2730"/>
      <c r="OEE1680" s="2730"/>
      <c r="OEF1680" s="2730"/>
      <c r="OEG1680" s="2730"/>
      <c r="OEH1680" s="2730"/>
      <c r="OEI1680" s="2730"/>
      <c r="OEJ1680" s="2730"/>
      <c r="OEK1680" s="2730"/>
      <c r="OEL1680" s="2730"/>
      <c r="OEM1680" s="2730"/>
      <c r="OEN1680" s="2730"/>
      <c r="OEO1680" s="2730"/>
      <c r="OEP1680" s="2730"/>
      <c r="OEQ1680" s="2730"/>
      <c r="OER1680" s="2730"/>
      <c r="OES1680" s="2730"/>
      <c r="OET1680" s="2730"/>
      <c r="OEU1680" s="2730"/>
      <c r="OEV1680" s="2730"/>
      <c r="OEW1680" s="2730"/>
      <c r="OEX1680" s="2730"/>
      <c r="OEY1680" s="2730"/>
      <c r="OEZ1680" s="2730"/>
      <c r="OFA1680" s="2730"/>
      <c r="OFB1680" s="2730"/>
      <c r="OFC1680" s="2730"/>
      <c r="OFD1680" s="2730"/>
      <c r="OFE1680" s="2730"/>
      <c r="OFF1680" s="2730"/>
      <c r="OFG1680" s="2730"/>
      <c r="OFH1680" s="2730"/>
      <c r="OFI1680" s="2730"/>
      <c r="OFJ1680" s="2730"/>
      <c r="OFK1680" s="2730"/>
      <c r="OFL1680" s="2730"/>
      <c r="OFM1680" s="2730"/>
      <c r="OFN1680" s="2730"/>
      <c r="OFO1680" s="2730"/>
      <c r="OFP1680" s="2730"/>
      <c r="OFQ1680" s="2730"/>
      <c r="OFR1680" s="2730"/>
      <c r="OFS1680" s="2730"/>
      <c r="OFT1680" s="2730"/>
      <c r="OFU1680" s="2730"/>
      <c r="OFV1680" s="2730"/>
      <c r="OFW1680" s="2730"/>
      <c r="OFX1680" s="2730"/>
      <c r="OFY1680" s="2730"/>
      <c r="OFZ1680" s="2730"/>
      <c r="OGA1680" s="2730"/>
      <c r="OGB1680" s="2730"/>
      <c r="OGC1680" s="2730"/>
      <c r="OGD1680" s="2730"/>
      <c r="OGE1680" s="2730"/>
      <c r="OGF1680" s="2730"/>
      <c r="OGG1680" s="2730"/>
      <c r="OGH1680" s="2730"/>
      <c r="OGI1680" s="2730"/>
      <c r="OGJ1680" s="2730"/>
      <c r="OGK1680" s="2730"/>
      <c r="OGL1680" s="2730"/>
      <c r="OGM1680" s="2730"/>
      <c r="OGN1680" s="2730"/>
      <c r="OGO1680" s="2730"/>
      <c r="OGP1680" s="2730"/>
      <c r="OGQ1680" s="2730"/>
      <c r="OGR1680" s="2730"/>
      <c r="OGS1680" s="2730"/>
      <c r="OGT1680" s="2730"/>
      <c r="OGU1680" s="2730"/>
      <c r="OGV1680" s="2730"/>
      <c r="OGW1680" s="2730"/>
      <c r="OGX1680" s="2730"/>
      <c r="OGY1680" s="2730"/>
      <c r="OGZ1680" s="2730"/>
      <c r="OHA1680" s="2730"/>
      <c r="OHB1680" s="2730"/>
      <c r="OHC1680" s="2730"/>
      <c r="OHD1680" s="2730"/>
      <c r="OHE1680" s="2730"/>
      <c r="OHF1680" s="2730"/>
      <c r="OHG1680" s="2730"/>
      <c r="OHH1680" s="2730"/>
      <c r="OHI1680" s="2730"/>
      <c r="OHJ1680" s="2730"/>
      <c r="OHK1680" s="2730"/>
      <c r="OHL1680" s="2730"/>
      <c r="OHM1680" s="2730"/>
      <c r="OHN1680" s="2730"/>
      <c r="OHO1680" s="2730"/>
      <c r="OHP1680" s="2730"/>
      <c r="OHQ1680" s="2730"/>
      <c r="OHR1680" s="2730"/>
      <c r="OHS1680" s="2730"/>
      <c r="OHT1680" s="2730"/>
      <c r="OHU1680" s="2730"/>
      <c r="OHV1680" s="2730"/>
      <c r="OHW1680" s="2730"/>
      <c r="OHX1680" s="2730"/>
      <c r="OHY1680" s="2730"/>
      <c r="OHZ1680" s="2730"/>
      <c r="OIA1680" s="2730"/>
      <c r="OIB1680" s="2730"/>
      <c r="OIC1680" s="2730"/>
      <c r="OID1680" s="2730"/>
      <c r="OIE1680" s="2730"/>
      <c r="OIF1680" s="2730"/>
      <c r="OIG1680" s="2730"/>
      <c r="OIH1680" s="2730"/>
      <c r="OII1680" s="2730"/>
      <c r="OIJ1680" s="2730"/>
      <c r="OIK1680" s="2730"/>
      <c r="OIL1680" s="2730"/>
      <c r="OIM1680" s="2730"/>
      <c r="OIN1680" s="2730"/>
      <c r="OIO1680" s="2730"/>
      <c r="OIP1680" s="2730"/>
      <c r="OIQ1680" s="2730"/>
      <c r="OIR1680" s="2730"/>
      <c r="OIS1680" s="2730"/>
      <c r="OIT1680" s="2730"/>
      <c r="OIU1680" s="2730"/>
      <c r="OIV1680" s="2730"/>
      <c r="OIW1680" s="2730"/>
      <c r="OIX1680" s="2730"/>
      <c r="OIY1680" s="2730"/>
      <c r="OIZ1680" s="2730"/>
      <c r="OJA1680" s="2730"/>
      <c r="OJB1680" s="2730"/>
      <c r="OJC1680" s="2730"/>
      <c r="OJD1680" s="2730"/>
      <c r="OJE1680" s="2730"/>
      <c r="OJF1680" s="2730"/>
      <c r="OJG1680" s="2730"/>
      <c r="OJH1680" s="2730"/>
      <c r="OJI1680" s="2730"/>
      <c r="OJJ1680" s="2730"/>
      <c r="OJK1680" s="2730"/>
      <c r="OJL1680" s="2730"/>
      <c r="OJM1680" s="2730"/>
      <c r="OJN1680" s="2730"/>
      <c r="OJO1680" s="2730"/>
      <c r="OJP1680" s="2730"/>
      <c r="OJQ1680" s="2730"/>
      <c r="OJR1680" s="2730"/>
      <c r="OJS1680" s="2730"/>
      <c r="OJT1680" s="2730"/>
      <c r="OJU1680" s="2730"/>
      <c r="OJV1680" s="2730"/>
      <c r="OJW1680" s="2730"/>
      <c r="OJX1680" s="2730"/>
      <c r="OJY1680" s="2730"/>
      <c r="OJZ1680" s="2730"/>
      <c r="OKA1680" s="2730"/>
      <c r="OKB1680" s="2730"/>
      <c r="OKC1680" s="2730"/>
      <c r="OKD1680" s="2730"/>
      <c r="OKE1680" s="2730"/>
      <c r="OKF1680" s="2730"/>
      <c r="OKG1680" s="2730"/>
      <c r="OKH1680" s="2730"/>
      <c r="OKI1680" s="2730"/>
      <c r="OKJ1680" s="2730"/>
      <c r="OKK1680" s="2730"/>
      <c r="OKL1680" s="2730"/>
      <c r="OKM1680" s="2730"/>
      <c r="OKN1680" s="2730"/>
      <c r="OKO1680" s="2730"/>
      <c r="OKP1680" s="2730"/>
      <c r="OKQ1680" s="2730"/>
      <c r="OKR1680" s="2730"/>
      <c r="OKS1680" s="2730"/>
      <c r="OKT1680" s="2730"/>
      <c r="OKU1680" s="2730"/>
      <c r="OKV1680" s="2730"/>
      <c r="OKW1680" s="2730"/>
      <c r="OKX1680" s="2730"/>
      <c r="OKY1680" s="2730"/>
      <c r="OKZ1680" s="2730"/>
      <c r="OLA1680" s="2730"/>
      <c r="OLB1680" s="2730"/>
      <c r="OLC1680" s="2730"/>
      <c r="OLD1680" s="2730"/>
      <c r="OLE1680" s="2730"/>
      <c r="OLF1680" s="2730"/>
      <c r="OLG1680" s="2730"/>
      <c r="OLH1680" s="2730"/>
      <c r="OLI1680" s="2730"/>
      <c r="OLJ1680" s="2730"/>
      <c r="OLK1680" s="2730"/>
      <c r="OLL1680" s="2730"/>
      <c r="OLM1680" s="2730"/>
      <c r="OLN1680" s="2730"/>
      <c r="OLO1680" s="2730"/>
      <c r="OLP1680" s="2730"/>
      <c r="OLQ1680" s="2730"/>
      <c r="OLR1680" s="2730"/>
      <c r="OLS1680" s="2730"/>
      <c r="OLT1680" s="2730"/>
      <c r="OLU1680" s="2730"/>
      <c r="OLV1680" s="2730"/>
      <c r="OLW1680" s="2730"/>
      <c r="OLX1680" s="2730"/>
      <c r="OLY1680" s="2730"/>
      <c r="OLZ1680" s="2730"/>
      <c r="OMA1680" s="2730"/>
      <c r="OMB1680" s="2730"/>
      <c r="OMC1680" s="2730"/>
      <c r="OMD1680" s="2730"/>
      <c r="OME1680" s="2730"/>
      <c r="OMF1680" s="2730"/>
      <c r="OMG1680" s="2730"/>
      <c r="OMH1680" s="2730"/>
      <c r="OMI1680" s="2730"/>
      <c r="OMJ1680" s="2730"/>
      <c r="OMK1680" s="2730"/>
      <c r="OML1680" s="2730"/>
      <c r="OMM1680" s="2730"/>
      <c r="OMN1680" s="2730"/>
      <c r="OMO1680" s="2730"/>
      <c r="OMP1680" s="2730"/>
      <c r="OMQ1680" s="2730"/>
      <c r="OMR1680" s="2730"/>
      <c r="OMS1680" s="2730"/>
      <c r="OMT1680" s="2730"/>
      <c r="OMU1680" s="2730"/>
      <c r="OMV1680" s="2730"/>
      <c r="OMW1680" s="2730"/>
      <c r="OMX1680" s="2730"/>
      <c r="OMY1680" s="2730"/>
      <c r="OMZ1680" s="2730"/>
      <c r="ONA1680" s="2730"/>
      <c r="ONB1680" s="2730"/>
      <c r="ONC1680" s="2730"/>
      <c r="OND1680" s="2730"/>
      <c r="ONE1680" s="2730"/>
      <c r="ONF1680" s="2730"/>
      <c r="ONG1680" s="2730"/>
      <c r="ONH1680" s="2730"/>
      <c r="ONI1680" s="2730"/>
      <c r="ONJ1680" s="2730"/>
      <c r="ONK1680" s="2730"/>
      <c r="ONL1680" s="2730"/>
      <c r="ONM1680" s="2730"/>
      <c r="ONN1680" s="2730"/>
      <c r="ONO1680" s="2730"/>
      <c r="ONP1680" s="2730"/>
      <c r="ONQ1680" s="2730"/>
      <c r="ONR1680" s="2730"/>
      <c r="ONS1680" s="2730"/>
      <c r="ONT1680" s="2730"/>
      <c r="ONU1680" s="2730"/>
      <c r="ONV1680" s="2730"/>
      <c r="ONW1680" s="2730"/>
      <c r="ONX1680" s="2730"/>
      <c r="ONY1680" s="2730"/>
      <c r="ONZ1680" s="2730"/>
      <c r="OOA1680" s="2730"/>
      <c r="OOB1680" s="2730"/>
      <c r="OOC1680" s="2730"/>
      <c r="OOD1680" s="2730"/>
      <c r="OOE1680" s="2730"/>
      <c r="OOF1680" s="2730"/>
      <c r="OOG1680" s="2730"/>
      <c r="OOH1680" s="2730"/>
      <c r="OOI1680" s="2730"/>
      <c r="OOJ1680" s="2730"/>
      <c r="OOK1680" s="2730"/>
      <c r="OOL1680" s="2730"/>
      <c r="OOM1680" s="2730"/>
      <c r="OON1680" s="2730"/>
      <c r="OOO1680" s="2730"/>
      <c r="OOP1680" s="2730"/>
      <c r="OOQ1680" s="2730"/>
      <c r="OOR1680" s="2730"/>
      <c r="OOS1680" s="2730"/>
      <c r="OOT1680" s="2730"/>
      <c r="OOU1680" s="2730"/>
      <c r="OOV1680" s="2730"/>
      <c r="OOW1680" s="2730"/>
      <c r="OOX1680" s="2730"/>
      <c r="OOY1680" s="2730"/>
      <c r="OOZ1680" s="2730"/>
      <c r="OPA1680" s="2730"/>
      <c r="OPB1680" s="2730"/>
      <c r="OPC1680" s="2730"/>
      <c r="OPD1680" s="2730"/>
      <c r="OPE1680" s="2730"/>
      <c r="OPF1680" s="2730"/>
      <c r="OPG1680" s="2730"/>
      <c r="OPH1680" s="2730"/>
      <c r="OPI1680" s="2730"/>
      <c r="OPJ1680" s="2730"/>
      <c r="OPK1680" s="2730"/>
      <c r="OPL1680" s="2730"/>
      <c r="OPM1680" s="2730"/>
      <c r="OPN1680" s="2730"/>
      <c r="OPO1680" s="2730"/>
      <c r="OPP1680" s="2730"/>
      <c r="OPQ1680" s="2730"/>
      <c r="OPR1680" s="2730"/>
      <c r="OPS1680" s="2730"/>
      <c r="OPT1680" s="2730"/>
      <c r="OPU1680" s="2730"/>
      <c r="OPV1680" s="2730"/>
      <c r="OPW1680" s="2730"/>
      <c r="OPX1680" s="2730"/>
      <c r="OPY1680" s="2730"/>
      <c r="OPZ1680" s="2730"/>
      <c r="OQA1680" s="2730"/>
      <c r="OQB1680" s="2730"/>
      <c r="OQC1680" s="2730"/>
      <c r="OQD1680" s="2730"/>
      <c r="OQE1680" s="2730"/>
      <c r="OQF1680" s="2730"/>
      <c r="OQG1680" s="2730"/>
      <c r="OQH1680" s="2730"/>
      <c r="OQI1680" s="2730"/>
      <c r="OQJ1680" s="2730"/>
      <c r="OQK1680" s="2730"/>
      <c r="OQL1680" s="2730"/>
      <c r="OQM1680" s="2730"/>
      <c r="OQN1680" s="2730"/>
      <c r="OQO1680" s="2730"/>
      <c r="OQP1680" s="2730"/>
      <c r="OQQ1680" s="2730"/>
      <c r="OQR1680" s="2730"/>
      <c r="OQS1680" s="2730"/>
      <c r="OQT1680" s="2730"/>
      <c r="OQU1680" s="2730"/>
      <c r="OQV1680" s="2730"/>
      <c r="OQW1680" s="2730"/>
      <c r="OQX1680" s="2730"/>
      <c r="OQY1680" s="2730"/>
      <c r="OQZ1680" s="2730"/>
      <c r="ORA1680" s="2730"/>
      <c r="ORB1680" s="2730"/>
      <c r="ORC1680" s="2730"/>
      <c r="ORD1680" s="2730"/>
      <c r="ORE1680" s="2730"/>
      <c r="ORF1680" s="2730"/>
      <c r="ORG1680" s="2730"/>
      <c r="ORH1680" s="2730"/>
      <c r="ORI1680" s="2730"/>
      <c r="ORJ1680" s="2730"/>
      <c r="ORK1680" s="2730"/>
      <c r="ORL1680" s="2730"/>
      <c r="ORM1680" s="2730"/>
      <c r="ORN1680" s="2730"/>
      <c r="ORO1680" s="2730"/>
      <c r="ORP1680" s="2730"/>
      <c r="ORQ1680" s="2730"/>
      <c r="ORR1680" s="2730"/>
      <c r="ORS1680" s="2730"/>
      <c r="ORT1680" s="2730"/>
      <c r="ORU1680" s="2730"/>
      <c r="ORV1680" s="2730"/>
      <c r="ORW1680" s="2730"/>
      <c r="ORX1680" s="2730"/>
      <c r="ORY1680" s="2730"/>
      <c r="ORZ1680" s="2730"/>
      <c r="OSA1680" s="2730"/>
      <c r="OSB1680" s="2730"/>
      <c r="OSC1680" s="2730"/>
      <c r="OSD1680" s="2730"/>
      <c r="OSE1680" s="2730"/>
      <c r="OSF1680" s="2730"/>
      <c r="OSG1680" s="2730"/>
      <c r="OSH1680" s="2730"/>
      <c r="OSI1680" s="2730"/>
      <c r="OSJ1680" s="2730"/>
      <c r="OSK1680" s="2730"/>
      <c r="OSL1680" s="2730"/>
      <c r="OSM1680" s="2730"/>
      <c r="OSN1680" s="2730"/>
      <c r="OSO1680" s="2730"/>
      <c r="OSP1680" s="2730"/>
      <c r="OSQ1680" s="2730"/>
      <c r="OSR1680" s="2730"/>
      <c r="OSS1680" s="2730"/>
      <c r="OST1680" s="2730"/>
      <c r="OSU1680" s="2730"/>
      <c r="OSV1680" s="2730"/>
      <c r="OSW1680" s="2730"/>
      <c r="OSX1680" s="2730"/>
      <c r="OSY1680" s="2730"/>
      <c r="OSZ1680" s="2730"/>
      <c r="OTA1680" s="2730"/>
      <c r="OTB1680" s="2730"/>
      <c r="OTC1680" s="2730"/>
      <c r="OTD1680" s="2730"/>
      <c r="OTE1680" s="2730"/>
      <c r="OTF1680" s="2730"/>
      <c r="OTG1680" s="2730"/>
      <c r="OTH1680" s="2730"/>
      <c r="OTI1680" s="2730"/>
      <c r="OTJ1680" s="2730"/>
      <c r="OTK1680" s="2730"/>
      <c r="OTL1680" s="2730"/>
      <c r="OTM1680" s="2730"/>
      <c r="OTN1680" s="2730"/>
      <c r="OTO1680" s="2730"/>
      <c r="OTP1680" s="2730"/>
      <c r="OTQ1680" s="2730"/>
      <c r="OTR1680" s="2730"/>
      <c r="OTS1680" s="2730"/>
      <c r="OTT1680" s="2730"/>
      <c r="OTU1680" s="2730"/>
      <c r="OTV1680" s="2730"/>
      <c r="OTW1680" s="2730"/>
      <c r="OTX1680" s="2730"/>
      <c r="OTY1680" s="2730"/>
      <c r="OTZ1680" s="2730"/>
      <c r="OUA1680" s="2730"/>
      <c r="OUB1680" s="2730"/>
      <c r="OUC1680" s="2730"/>
      <c r="OUD1680" s="2730"/>
      <c r="OUE1680" s="2730"/>
      <c r="OUF1680" s="2730"/>
      <c r="OUG1680" s="2730"/>
      <c r="OUH1680" s="2730"/>
      <c r="OUI1680" s="2730"/>
      <c r="OUJ1680" s="2730"/>
      <c r="OUK1680" s="2730"/>
      <c r="OUL1680" s="2730"/>
      <c r="OUM1680" s="2730"/>
      <c r="OUN1680" s="2730"/>
      <c r="OUO1680" s="2730"/>
      <c r="OUP1680" s="2730"/>
      <c r="OUQ1680" s="2730"/>
      <c r="OUR1680" s="2730"/>
      <c r="OUS1680" s="2730"/>
      <c r="OUT1680" s="2730"/>
      <c r="OUU1680" s="2730"/>
      <c r="OUV1680" s="2730"/>
      <c r="OUW1680" s="2730"/>
      <c r="OUX1680" s="2730"/>
      <c r="OUY1680" s="2730"/>
      <c r="OUZ1680" s="2730"/>
      <c r="OVA1680" s="2730"/>
      <c r="OVB1680" s="2730"/>
      <c r="OVC1680" s="2730"/>
      <c r="OVD1680" s="2730"/>
      <c r="OVE1680" s="2730"/>
      <c r="OVF1680" s="2730"/>
      <c r="OVG1680" s="2730"/>
      <c r="OVH1680" s="2730"/>
      <c r="OVI1680" s="2730"/>
      <c r="OVJ1680" s="2730"/>
      <c r="OVK1680" s="2730"/>
      <c r="OVL1680" s="2730"/>
      <c r="OVM1680" s="2730"/>
      <c r="OVN1680" s="2730"/>
      <c r="OVO1680" s="2730"/>
      <c r="OVP1680" s="2730"/>
      <c r="OVQ1680" s="2730"/>
      <c r="OVR1680" s="2730"/>
      <c r="OVS1680" s="2730"/>
      <c r="OVT1680" s="2730"/>
      <c r="OVU1680" s="2730"/>
      <c r="OVV1680" s="2730"/>
      <c r="OVW1680" s="2730"/>
      <c r="OVX1680" s="2730"/>
      <c r="OVY1680" s="2730"/>
      <c r="OVZ1680" s="2730"/>
      <c r="OWA1680" s="2730"/>
      <c r="OWB1680" s="2730"/>
      <c r="OWC1680" s="2730"/>
      <c r="OWD1680" s="2730"/>
      <c r="OWE1680" s="2730"/>
      <c r="OWF1680" s="2730"/>
      <c r="OWG1680" s="2730"/>
      <c r="OWH1680" s="2730"/>
      <c r="OWI1680" s="2730"/>
      <c r="OWJ1680" s="2730"/>
      <c r="OWK1680" s="2730"/>
      <c r="OWL1680" s="2730"/>
      <c r="OWM1680" s="2730"/>
      <c r="OWN1680" s="2730"/>
      <c r="OWO1680" s="2730"/>
      <c r="OWP1680" s="2730"/>
      <c r="OWQ1680" s="2730"/>
      <c r="OWR1680" s="2730"/>
      <c r="OWS1680" s="2730"/>
      <c r="OWT1680" s="2730"/>
      <c r="OWU1680" s="2730"/>
      <c r="OWV1680" s="2730"/>
      <c r="OWW1680" s="2730"/>
      <c r="OWX1680" s="2730"/>
      <c r="OWY1680" s="2730"/>
      <c r="OWZ1680" s="2730"/>
      <c r="OXA1680" s="2730"/>
      <c r="OXB1680" s="2730"/>
      <c r="OXC1680" s="2730"/>
      <c r="OXD1680" s="2730"/>
      <c r="OXE1680" s="2730"/>
      <c r="OXF1680" s="2730"/>
      <c r="OXG1680" s="2730"/>
      <c r="OXH1680" s="2730"/>
      <c r="OXI1680" s="2730"/>
      <c r="OXJ1680" s="2730"/>
      <c r="OXK1680" s="2730"/>
      <c r="OXL1680" s="2730"/>
      <c r="OXM1680" s="2730"/>
      <c r="OXN1680" s="2730"/>
      <c r="OXO1680" s="2730"/>
      <c r="OXP1680" s="2730"/>
      <c r="OXQ1680" s="2730"/>
      <c r="OXR1680" s="2730"/>
      <c r="OXS1680" s="2730"/>
      <c r="OXT1680" s="2730"/>
      <c r="OXU1680" s="2730"/>
      <c r="OXV1680" s="2730"/>
      <c r="OXW1680" s="2730"/>
      <c r="OXX1680" s="2730"/>
      <c r="OXY1680" s="2730"/>
      <c r="OXZ1680" s="2730"/>
      <c r="OYA1680" s="2730"/>
      <c r="OYB1680" s="2730"/>
      <c r="OYC1680" s="2730"/>
      <c r="OYD1680" s="2730"/>
      <c r="OYE1680" s="2730"/>
      <c r="OYF1680" s="2730"/>
      <c r="OYG1680" s="2730"/>
      <c r="OYH1680" s="2730"/>
      <c r="OYI1680" s="2730"/>
      <c r="OYJ1680" s="2730"/>
      <c r="OYK1680" s="2730"/>
      <c r="OYL1680" s="2730"/>
      <c r="OYM1680" s="2730"/>
      <c r="OYN1680" s="2730"/>
      <c r="OYO1680" s="2730"/>
      <c r="OYP1680" s="2730"/>
      <c r="OYQ1680" s="2730"/>
      <c r="OYR1680" s="2730"/>
      <c r="OYS1680" s="2730"/>
      <c r="OYT1680" s="2730"/>
      <c r="OYU1680" s="2730"/>
      <c r="OYV1680" s="2730"/>
      <c r="OYW1680" s="2730"/>
      <c r="OYX1680" s="2730"/>
      <c r="OYY1680" s="2730"/>
      <c r="OYZ1680" s="2730"/>
      <c r="OZA1680" s="2730"/>
      <c r="OZB1680" s="2730"/>
      <c r="OZC1680" s="2730"/>
      <c r="OZD1680" s="2730"/>
      <c r="OZE1680" s="2730"/>
      <c r="OZF1680" s="2730"/>
      <c r="OZG1680" s="2730"/>
      <c r="OZH1680" s="2730"/>
      <c r="OZI1680" s="2730"/>
      <c r="OZJ1680" s="2730"/>
      <c r="OZK1680" s="2730"/>
      <c r="OZL1680" s="2730"/>
      <c r="OZM1680" s="2730"/>
      <c r="OZN1680" s="2730"/>
      <c r="OZO1680" s="2730"/>
      <c r="OZP1680" s="2730"/>
      <c r="OZQ1680" s="2730"/>
      <c r="OZR1680" s="2730"/>
      <c r="OZS1680" s="2730"/>
      <c r="OZT1680" s="2730"/>
      <c r="OZU1680" s="2730"/>
      <c r="OZV1680" s="2730"/>
      <c r="OZW1680" s="2730"/>
      <c r="OZX1680" s="2730"/>
      <c r="OZY1680" s="2730"/>
      <c r="OZZ1680" s="2730"/>
      <c r="PAA1680" s="2730"/>
      <c r="PAB1680" s="2730"/>
      <c r="PAC1680" s="2730"/>
      <c r="PAD1680" s="2730"/>
      <c r="PAE1680" s="2730"/>
      <c r="PAF1680" s="2730"/>
      <c r="PAG1680" s="2730"/>
      <c r="PAH1680" s="2730"/>
      <c r="PAI1680" s="2730"/>
      <c r="PAJ1680" s="2730"/>
      <c r="PAK1680" s="2730"/>
      <c r="PAL1680" s="2730"/>
      <c r="PAM1680" s="2730"/>
      <c r="PAN1680" s="2730"/>
      <c r="PAO1680" s="2730"/>
      <c r="PAP1680" s="2730"/>
      <c r="PAQ1680" s="2730"/>
      <c r="PAR1680" s="2730"/>
      <c r="PAS1680" s="2730"/>
      <c r="PAT1680" s="2730"/>
      <c r="PAU1680" s="2730"/>
      <c r="PAV1680" s="2730"/>
      <c r="PAW1680" s="2730"/>
      <c r="PAX1680" s="2730"/>
      <c r="PAY1680" s="2730"/>
      <c r="PAZ1680" s="2730"/>
      <c r="PBA1680" s="2730"/>
      <c r="PBB1680" s="2730"/>
      <c r="PBC1680" s="2730"/>
      <c r="PBD1680" s="2730"/>
      <c r="PBE1680" s="2730"/>
      <c r="PBF1680" s="2730"/>
      <c r="PBG1680" s="2730"/>
      <c r="PBH1680" s="2730"/>
      <c r="PBI1680" s="2730"/>
      <c r="PBJ1680" s="2730"/>
      <c r="PBK1680" s="2730"/>
      <c r="PBL1680" s="2730"/>
      <c r="PBM1680" s="2730"/>
      <c r="PBN1680" s="2730"/>
      <c r="PBO1680" s="2730"/>
      <c r="PBP1680" s="2730"/>
      <c r="PBQ1680" s="2730"/>
      <c r="PBR1680" s="2730"/>
      <c r="PBS1680" s="2730"/>
      <c r="PBT1680" s="2730"/>
      <c r="PBU1680" s="2730"/>
      <c r="PBV1680" s="2730"/>
      <c r="PBW1680" s="2730"/>
      <c r="PBX1680" s="2730"/>
      <c r="PBY1680" s="2730"/>
      <c r="PBZ1680" s="2730"/>
      <c r="PCA1680" s="2730"/>
      <c r="PCB1680" s="2730"/>
      <c r="PCC1680" s="2730"/>
      <c r="PCD1680" s="2730"/>
      <c r="PCE1680" s="2730"/>
      <c r="PCF1680" s="2730"/>
      <c r="PCG1680" s="2730"/>
      <c r="PCH1680" s="2730"/>
      <c r="PCI1680" s="2730"/>
      <c r="PCJ1680" s="2730"/>
      <c r="PCK1680" s="2730"/>
      <c r="PCL1680" s="2730"/>
      <c r="PCM1680" s="2730"/>
      <c r="PCN1680" s="2730"/>
      <c r="PCO1680" s="2730"/>
      <c r="PCP1680" s="2730"/>
      <c r="PCQ1680" s="2730"/>
      <c r="PCR1680" s="2730"/>
      <c r="PCS1680" s="2730"/>
      <c r="PCT1680" s="2730"/>
      <c r="PCU1680" s="2730"/>
      <c r="PCV1680" s="2730"/>
      <c r="PCW1680" s="2730"/>
      <c r="PCX1680" s="2730"/>
      <c r="PCY1680" s="2730"/>
      <c r="PCZ1680" s="2730"/>
      <c r="PDA1680" s="2730"/>
      <c r="PDB1680" s="2730"/>
      <c r="PDC1680" s="2730"/>
      <c r="PDD1680" s="2730"/>
      <c r="PDE1680" s="2730"/>
      <c r="PDF1680" s="2730"/>
      <c r="PDG1680" s="2730"/>
      <c r="PDH1680" s="2730"/>
      <c r="PDI1680" s="2730"/>
      <c r="PDJ1680" s="2730"/>
      <c r="PDK1680" s="2730"/>
      <c r="PDL1680" s="2730"/>
      <c r="PDM1680" s="2730"/>
      <c r="PDN1680" s="2730"/>
      <c r="PDO1680" s="2730"/>
      <c r="PDP1680" s="2730"/>
      <c r="PDQ1680" s="2730"/>
      <c r="PDR1680" s="2730"/>
      <c r="PDS1680" s="2730"/>
      <c r="PDT1680" s="2730"/>
      <c r="PDU1680" s="2730"/>
      <c r="PDV1680" s="2730"/>
      <c r="PDW1680" s="2730"/>
      <c r="PDX1680" s="2730"/>
      <c r="PDY1680" s="2730"/>
      <c r="PDZ1680" s="2730"/>
      <c r="PEA1680" s="2730"/>
      <c r="PEB1680" s="2730"/>
      <c r="PEC1680" s="2730"/>
      <c r="PED1680" s="2730"/>
      <c r="PEE1680" s="2730"/>
      <c r="PEF1680" s="2730"/>
      <c r="PEG1680" s="2730"/>
      <c r="PEH1680" s="2730"/>
      <c r="PEI1680" s="2730"/>
      <c r="PEJ1680" s="2730"/>
      <c r="PEK1680" s="2730"/>
      <c r="PEL1680" s="2730"/>
      <c r="PEM1680" s="2730"/>
      <c r="PEN1680" s="2730"/>
      <c r="PEO1680" s="2730"/>
      <c r="PEP1680" s="2730"/>
      <c r="PEQ1680" s="2730"/>
      <c r="PER1680" s="2730"/>
      <c r="PES1680" s="2730"/>
      <c r="PET1680" s="2730"/>
      <c r="PEU1680" s="2730"/>
      <c r="PEV1680" s="2730"/>
      <c r="PEW1680" s="2730"/>
      <c r="PEX1680" s="2730"/>
      <c r="PEY1680" s="2730"/>
      <c r="PEZ1680" s="2730"/>
      <c r="PFA1680" s="2730"/>
      <c r="PFB1680" s="2730"/>
      <c r="PFC1680" s="2730"/>
      <c r="PFD1680" s="2730"/>
      <c r="PFE1680" s="2730"/>
      <c r="PFF1680" s="2730"/>
      <c r="PFG1680" s="2730"/>
      <c r="PFH1680" s="2730"/>
      <c r="PFI1680" s="2730"/>
      <c r="PFJ1680" s="2730"/>
      <c r="PFK1680" s="2730"/>
      <c r="PFL1680" s="2730"/>
      <c r="PFM1680" s="2730"/>
      <c r="PFN1680" s="2730"/>
      <c r="PFO1680" s="2730"/>
      <c r="PFP1680" s="2730"/>
      <c r="PFQ1680" s="2730"/>
      <c r="PFR1680" s="2730"/>
      <c r="PFS1680" s="2730"/>
      <c r="PFT1680" s="2730"/>
      <c r="PFU1680" s="2730"/>
      <c r="PFV1680" s="2730"/>
      <c r="PFW1680" s="2730"/>
      <c r="PFX1680" s="2730"/>
      <c r="PFY1680" s="2730"/>
      <c r="PFZ1680" s="2730"/>
      <c r="PGA1680" s="2730"/>
      <c r="PGB1680" s="2730"/>
      <c r="PGC1680" s="2730"/>
      <c r="PGD1680" s="2730"/>
      <c r="PGE1680" s="2730"/>
      <c r="PGF1680" s="2730"/>
      <c r="PGG1680" s="2730"/>
      <c r="PGH1680" s="2730"/>
      <c r="PGI1680" s="2730"/>
      <c r="PGJ1680" s="2730"/>
      <c r="PGK1680" s="2730"/>
      <c r="PGL1680" s="2730"/>
      <c r="PGM1680" s="2730"/>
      <c r="PGN1680" s="2730"/>
      <c r="PGO1680" s="2730"/>
      <c r="PGP1680" s="2730"/>
      <c r="PGQ1680" s="2730"/>
      <c r="PGR1680" s="2730"/>
      <c r="PGS1680" s="2730"/>
      <c r="PGT1680" s="2730"/>
      <c r="PGU1680" s="2730"/>
      <c r="PGV1680" s="2730"/>
      <c r="PGW1680" s="2730"/>
      <c r="PGX1680" s="2730"/>
      <c r="PGY1680" s="2730"/>
      <c r="PGZ1680" s="2730"/>
      <c r="PHA1680" s="2730"/>
      <c r="PHB1680" s="2730"/>
      <c r="PHC1680" s="2730"/>
      <c r="PHD1680" s="2730"/>
      <c r="PHE1680" s="2730"/>
      <c r="PHF1680" s="2730"/>
      <c r="PHG1680" s="2730"/>
      <c r="PHH1680" s="2730"/>
      <c r="PHI1680" s="2730"/>
      <c r="PHJ1680" s="2730"/>
      <c r="PHK1680" s="2730"/>
      <c r="PHL1680" s="2730"/>
      <c r="PHM1680" s="2730"/>
      <c r="PHN1680" s="2730"/>
      <c r="PHO1680" s="2730"/>
      <c r="PHP1680" s="2730"/>
      <c r="PHQ1680" s="2730"/>
      <c r="PHR1680" s="2730"/>
      <c r="PHS1680" s="2730"/>
      <c r="PHT1680" s="2730"/>
      <c r="PHU1680" s="2730"/>
      <c r="PHV1680" s="2730"/>
      <c r="PHW1680" s="2730"/>
      <c r="PHX1680" s="2730"/>
      <c r="PHY1680" s="2730"/>
      <c r="PHZ1680" s="2730"/>
      <c r="PIA1680" s="2730"/>
      <c r="PIB1680" s="2730"/>
      <c r="PIC1680" s="2730"/>
      <c r="PID1680" s="2730"/>
      <c r="PIE1680" s="2730"/>
      <c r="PIF1680" s="2730"/>
      <c r="PIG1680" s="2730"/>
      <c r="PIH1680" s="2730"/>
      <c r="PII1680" s="2730"/>
      <c r="PIJ1680" s="2730"/>
      <c r="PIK1680" s="2730"/>
      <c r="PIL1680" s="2730"/>
      <c r="PIM1680" s="2730"/>
      <c r="PIN1680" s="2730"/>
      <c r="PIO1680" s="2730"/>
      <c r="PIP1680" s="2730"/>
      <c r="PIQ1680" s="2730"/>
      <c r="PIR1680" s="2730"/>
      <c r="PIS1680" s="2730"/>
      <c r="PIT1680" s="2730"/>
      <c r="PIU1680" s="2730"/>
      <c r="PIV1680" s="2730"/>
      <c r="PIW1680" s="2730"/>
      <c r="PIX1680" s="2730"/>
      <c r="PIY1680" s="2730"/>
      <c r="PIZ1680" s="2730"/>
      <c r="PJA1680" s="2730"/>
      <c r="PJB1680" s="2730"/>
      <c r="PJC1680" s="2730"/>
      <c r="PJD1680" s="2730"/>
      <c r="PJE1680" s="2730"/>
      <c r="PJF1680" s="2730"/>
      <c r="PJG1680" s="2730"/>
      <c r="PJH1680" s="2730"/>
      <c r="PJI1680" s="2730"/>
      <c r="PJJ1680" s="2730"/>
      <c r="PJK1680" s="2730"/>
      <c r="PJL1680" s="2730"/>
      <c r="PJM1680" s="2730"/>
      <c r="PJN1680" s="2730"/>
      <c r="PJO1680" s="2730"/>
      <c r="PJP1680" s="2730"/>
      <c r="PJQ1680" s="2730"/>
      <c r="PJR1680" s="2730"/>
      <c r="PJS1680" s="2730"/>
      <c r="PJT1680" s="2730"/>
      <c r="PJU1680" s="2730"/>
      <c r="PJV1680" s="2730"/>
      <c r="PJW1680" s="2730"/>
      <c r="PJX1680" s="2730"/>
      <c r="PJY1680" s="2730"/>
      <c r="PJZ1680" s="2730"/>
      <c r="PKA1680" s="2730"/>
      <c r="PKB1680" s="2730"/>
      <c r="PKC1680" s="2730"/>
      <c r="PKD1680" s="2730"/>
      <c r="PKE1680" s="2730"/>
      <c r="PKF1680" s="2730"/>
      <c r="PKG1680" s="2730"/>
      <c r="PKH1680" s="2730"/>
      <c r="PKI1680" s="2730"/>
      <c r="PKJ1680" s="2730"/>
      <c r="PKK1680" s="2730"/>
      <c r="PKL1680" s="2730"/>
      <c r="PKM1680" s="2730"/>
      <c r="PKN1680" s="2730"/>
      <c r="PKO1680" s="2730"/>
      <c r="PKP1680" s="2730"/>
      <c r="PKQ1680" s="2730"/>
      <c r="PKR1680" s="2730"/>
      <c r="PKS1680" s="2730"/>
      <c r="PKT1680" s="2730"/>
      <c r="PKU1680" s="2730"/>
      <c r="PKV1680" s="2730"/>
      <c r="PKW1680" s="2730"/>
      <c r="PKX1680" s="2730"/>
      <c r="PKY1680" s="2730"/>
      <c r="PKZ1680" s="2730"/>
      <c r="PLA1680" s="2730"/>
      <c r="PLB1680" s="2730"/>
      <c r="PLC1680" s="2730"/>
      <c r="PLD1680" s="2730"/>
      <c r="PLE1680" s="2730"/>
      <c r="PLF1680" s="2730"/>
      <c r="PLG1680" s="2730"/>
      <c r="PLH1680" s="2730"/>
      <c r="PLI1680" s="2730"/>
      <c r="PLJ1680" s="2730"/>
      <c r="PLK1680" s="2730"/>
      <c r="PLL1680" s="2730"/>
      <c r="PLM1680" s="2730"/>
      <c r="PLN1680" s="2730"/>
      <c r="PLO1680" s="2730"/>
      <c r="PLP1680" s="2730"/>
      <c r="PLQ1680" s="2730"/>
      <c r="PLR1680" s="2730"/>
      <c r="PLS1680" s="2730"/>
      <c r="PLT1680" s="2730"/>
      <c r="PLU1680" s="2730"/>
      <c r="PLV1680" s="2730"/>
      <c r="PLW1680" s="2730"/>
      <c r="PLX1680" s="2730"/>
      <c r="PLY1680" s="2730"/>
      <c r="PLZ1680" s="2730"/>
      <c r="PMA1680" s="2730"/>
      <c r="PMB1680" s="2730"/>
      <c r="PMC1680" s="2730"/>
      <c r="PMD1680" s="2730"/>
      <c r="PME1680" s="2730"/>
      <c r="PMF1680" s="2730"/>
      <c r="PMG1680" s="2730"/>
      <c r="PMH1680" s="2730"/>
      <c r="PMI1680" s="2730"/>
      <c r="PMJ1680" s="2730"/>
      <c r="PMK1680" s="2730"/>
      <c r="PML1680" s="2730"/>
      <c r="PMM1680" s="2730"/>
      <c r="PMN1680" s="2730"/>
      <c r="PMO1680" s="2730"/>
      <c r="PMP1680" s="2730"/>
      <c r="PMQ1680" s="2730"/>
      <c r="PMR1680" s="2730"/>
      <c r="PMS1680" s="2730"/>
      <c r="PMT1680" s="2730"/>
      <c r="PMU1680" s="2730"/>
      <c r="PMV1680" s="2730"/>
      <c r="PMW1680" s="2730"/>
      <c r="PMX1680" s="2730"/>
      <c r="PMY1680" s="2730"/>
      <c r="PMZ1680" s="2730"/>
      <c r="PNA1680" s="2730"/>
      <c r="PNB1680" s="2730"/>
      <c r="PNC1680" s="2730"/>
      <c r="PND1680" s="2730"/>
      <c r="PNE1680" s="2730"/>
      <c r="PNF1680" s="2730"/>
      <c r="PNG1680" s="2730"/>
      <c r="PNH1680" s="2730"/>
      <c r="PNI1680" s="2730"/>
      <c r="PNJ1680" s="2730"/>
      <c r="PNK1680" s="2730"/>
      <c r="PNL1680" s="2730"/>
      <c r="PNM1680" s="2730"/>
      <c r="PNN1680" s="2730"/>
      <c r="PNO1680" s="2730"/>
      <c r="PNP1680" s="2730"/>
      <c r="PNQ1680" s="2730"/>
      <c r="PNR1680" s="2730"/>
      <c r="PNS1680" s="2730"/>
      <c r="PNT1680" s="2730"/>
      <c r="PNU1680" s="2730"/>
      <c r="PNV1680" s="2730"/>
      <c r="PNW1680" s="2730"/>
      <c r="PNX1680" s="2730"/>
      <c r="PNY1680" s="2730"/>
      <c r="PNZ1680" s="2730"/>
      <c r="POA1680" s="2730"/>
      <c r="POB1680" s="2730"/>
      <c r="POC1680" s="2730"/>
      <c r="POD1680" s="2730"/>
      <c r="POE1680" s="2730"/>
      <c r="POF1680" s="2730"/>
      <c r="POG1680" s="2730"/>
      <c r="POH1680" s="2730"/>
      <c r="POI1680" s="2730"/>
      <c r="POJ1680" s="2730"/>
      <c r="POK1680" s="2730"/>
      <c r="POL1680" s="2730"/>
      <c r="POM1680" s="2730"/>
      <c r="PON1680" s="2730"/>
      <c r="POO1680" s="2730"/>
      <c r="POP1680" s="2730"/>
      <c r="POQ1680" s="2730"/>
      <c r="POR1680" s="2730"/>
      <c r="POS1680" s="2730"/>
      <c r="POT1680" s="2730"/>
      <c r="POU1680" s="2730"/>
      <c r="POV1680" s="2730"/>
      <c r="POW1680" s="2730"/>
      <c r="POX1680" s="2730"/>
      <c r="POY1680" s="2730"/>
      <c r="POZ1680" s="2730"/>
      <c r="PPA1680" s="2730"/>
      <c r="PPB1680" s="2730"/>
      <c r="PPC1680" s="2730"/>
      <c r="PPD1680" s="2730"/>
      <c r="PPE1680" s="2730"/>
      <c r="PPF1680" s="2730"/>
      <c r="PPG1680" s="2730"/>
      <c r="PPH1680" s="2730"/>
      <c r="PPI1680" s="2730"/>
      <c r="PPJ1680" s="2730"/>
      <c r="PPK1680" s="2730"/>
      <c r="PPL1680" s="2730"/>
      <c r="PPM1680" s="2730"/>
      <c r="PPN1680" s="2730"/>
      <c r="PPO1680" s="2730"/>
      <c r="PPP1680" s="2730"/>
      <c r="PPQ1680" s="2730"/>
      <c r="PPR1680" s="2730"/>
      <c r="PPS1680" s="2730"/>
      <c r="PPT1680" s="2730"/>
      <c r="PPU1680" s="2730"/>
      <c r="PPV1680" s="2730"/>
      <c r="PPW1680" s="2730"/>
      <c r="PPX1680" s="2730"/>
      <c r="PPY1680" s="2730"/>
      <c r="PPZ1680" s="2730"/>
      <c r="PQA1680" s="2730"/>
      <c r="PQB1680" s="2730"/>
      <c r="PQC1680" s="2730"/>
      <c r="PQD1680" s="2730"/>
      <c r="PQE1680" s="2730"/>
      <c r="PQF1680" s="2730"/>
      <c r="PQG1680" s="2730"/>
      <c r="PQH1680" s="2730"/>
      <c r="PQI1680" s="2730"/>
      <c r="PQJ1680" s="2730"/>
      <c r="PQK1680" s="2730"/>
      <c r="PQL1680" s="2730"/>
      <c r="PQM1680" s="2730"/>
      <c r="PQN1680" s="2730"/>
      <c r="PQO1680" s="2730"/>
      <c r="PQP1680" s="2730"/>
      <c r="PQQ1680" s="2730"/>
      <c r="PQR1680" s="2730"/>
      <c r="PQS1680" s="2730"/>
      <c r="PQT1680" s="2730"/>
      <c r="PQU1680" s="2730"/>
      <c r="PQV1680" s="2730"/>
      <c r="PQW1680" s="2730"/>
      <c r="PQX1680" s="2730"/>
      <c r="PQY1680" s="2730"/>
      <c r="PQZ1680" s="2730"/>
      <c r="PRA1680" s="2730"/>
      <c r="PRB1680" s="2730"/>
      <c r="PRC1680" s="2730"/>
      <c r="PRD1680" s="2730"/>
      <c r="PRE1680" s="2730"/>
      <c r="PRF1680" s="2730"/>
      <c r="PRG1680" s="2730"/>
      <c r="PRH1680" s="2730"/>
      <c r="PRI1680" s="2730"/>
      <c r="PRJ1680" s="2730"/>
      <c r="PRK1680" s="2730"/>
      <c r="PRL1680" s="2730"/>
      <c r="PRM1680" s="2730"/>
      <c r="PRN1680" s="2730"/>
      <c r="PRO1680" s="2730"/>
      <c r="PRP1680" s="2730"/>
      <c r="PRQ1680" s="2730"/>
      <c r="PRR1680" s="2730"/>
      <c r="PRS1680" s="2730"/>
      <c r="PRT1680" s="2730"/>
      <c r="PRU1680" s="2730"/>
      <c r="PRV1680" s="2730"/>
      <c r="PRW1680" s="2730"/>
      <c r="PRX1680" s="2730"/>
      <c r="PRY1680" s="2730"/>
      <c r="PRZ1680" s="2730"/>
      <c r="PSA1680" s="2730"/>
      <c r="PSB1680" s="2730"/>
      <c r="PSC1680" s="2730"/>
      <c r="PSD1680" s="2730"/>
      <c r="PSE1680" s="2730"/>
      <c r="PSF1680" s="2730"/>
      <c r="PSG1680" s="2730"/>
      <c r="PSH1680" s="2730"/>
      <c r="PSI1680" s="2730"/>
      <c r="PSJ1680" s="2730"/>
      <c r="PSK1680" s="2730"/>
      <c r="PSL1680" s="2730"/>
      <c r="PSM1680" s="2730"/>
      <c r="PSN1680" s="2730"/>
      <c r="PSO1680" s="2730"/>
      <c r="PSP1680" s="2730"/>
      <c r="PSQ1680" s="2730"/>
      <c r="PSR1680" s="2730"/>
      <c r="PSS1680" s="2730"/>
      <c r="PST1680" s="2730"/>
      <c r="PSU1680" s="2730"/>
      <c r="PSV1680" s="2730"/>
      <c r="PSW1680" s="2730"/>
      <c r="PSX1680" s="2730"/>
      <c r="PSY1680" s="2730"/>
      <c r="PSZ1680" s="2730"/>
      <c r="PTA1680" s="2730"/>
      <c r="PTB1680" s="2730"/>
      <c r="PTC1680" s="2730"/>
      <c r="PTD1680" s="2730"/>
      <c r="PTE1680" s="2730"/>
      <c r="PTF1680" s="2730"/>
      <c r="PTG1680" s="2730"/>
      <c r="PTH1680" s="2730"/>
      <c r="PTI1680" s="2730"/>
      <c r="PTJ1680" s="2730"/>
      <c r="PTK1680" s="2730"/>
      <c r="PTL1680" s="2730"/>
      <c r="PTM1680" s="2730"/>
      <c r="PTN1680" s="2730"/>
      <c r="PTO1680" s="2730"/>
      <c r="PTP1680" s="2730"/>
      <c r="PTQ1680" s="2730"/>
      <c r="PTR1680" s="2730"/>
      <c r="PTS1680" s="2730"/>
      <c r="PTT1680" s="2730"/>
      <c r="PTU1680" s="2730"/>
      <c r="PTV1680" s="2730"/>
      <c r="PTW1680" s="2730"/>
      <c r="PTX1680" s="2730"/>
      <c r="PTY1680" s="2730"/>
      <c r="PTZ1680" s="2730"/>
      <c r="PUA1680" s="2730"/>
      <c r="PUB1680" s="2730"/>
      <c r="PUC1680" s="2730"/>
      <c r="PUD1680" s="2730"/>
      <c r="PUE1680" s="2730"/>
      <c r="PUF1680" s="2730"/>
      <c r="PUG1680" s="2730"/>
      <c r="PUH1680" s="2730"/>
      <c r="PUI1680" s="2730"/>
      <c r="PUJ1680" s="2730"/>
      <c r="PUK1680" s="2730"/>
      <c r="PUL1680" s="2730"/>
      <c r="PUM1680" s="2730"/>
      <c r="PUN1680" s="2730"/>
      <c r="PUO1680" s="2730"/>
      <c r="PUP1680" s="2730"/>
      <c r="PUQ1680" s="2730"/>
      <c r="PUR1680" s="2730"/>
      <c r="PUS1680" s="2730"/>
      <c r="PUT1680" s="2730"/>
      <c r="PUU1680" s="2730"/>
      <c r="PUV1680" s="2730"/>
      <c r="PUW1680" s="2730"/>
      <c r="PUX1680" s="2730"/>
      <c r="PUY1680" s="2730"/>
      <c r="PUZ1680" s="2730"/>
      <c r="PVA1680" s="2730"/>
      <c r="PVB1680" s="2730"/>
      <c r="PVC1680" s="2730"/>
      <c r="PVD1680" s="2730"/>
      <c r="PVE1680" s="2730"/>
      <c r="PVF1680" s="2730"/>
      <c r="PVG1680" s="2730"/>
      <c r="PVH1680" s="2730"/>
      <c r="PVI1680" s="2730"/>
      <c r="PVJ1680" s="2730"/>
      <c r="PVK1680" s="2730"/>
      <c r="PVL1680" s="2730"/>
      <c r="PVM1680" s="2730"/>
      <c r="PVN1680" s="2730"/>
      <c r="PVO1680" s="2730"/>
      <c r="PVP1680" s="2730"/>
      <c r="PVQ1680" s="2730"/>
      <c r="PVR1680" s="2730"/>
      <c r="PVS1680" s="2730"/>
      <c r="PVT1680" s="2730"/>
      <c r="PVU1680" s="2730"/>
      <c r="PVV1680" s="2730"/>
      <c r="PVW1680" s="2730"/>
      <c r="PVX1680" s="2730"/>
      <c r="PVY1680" s="2730"/>
      <c r="PVZ1680" s="2730"/>
      <c r="PWA1680" s="2730"/>
      <c r="PWB1680" s="2730"/>
      <c r="PWC1680" s="2730"/>
      <c r="PWD1680" s="2730"/>
      <c r="PWE1680" s="2730"/>
      <c r="PWF1680" s="2730"/>
      <c r="PWG1680" s="2730"/>
      <c r="PWH1680" s="2730"/>
      <c r="PWI1680" s="2730"/>
      <c r="PWJ1680" s="2730"/>
      <c r="PWK1680" s="2730"/>
      <c r="PWL1680" s="2730"/>
      <c r="PWM1680" s="2730"/>
      <c r="PWN1680" s="2730"/>
      <c r="PWO1680" s="2730"/>
      <c r="PWP1680" s="2730"/>
      <c r="PWQ1680" s="2730"/>
      <c r="PWR1680" s="2730"/>
      <c r="PWS1680" s="2730"/>
      <c r="PWT1680" s="2730"/>
      <c r="PWU1680" s="2730"/>
      <c r="PWV1680" s="2730"/>
      <c r="PWW1680" s="2730"/>
      <c r="PWX1680" s="2730"/>
      <c r="PWY1680" s="2730"/>
      <c r="PWZ1680" s="2730"/>
      <c r="PXA1680" s="2730"/>
      <c r="PXB1680" s="2730"/>
      <c r="PXC1680" s="2730"/>
      <c r="PXD1680" s="2730"/>
      <c r="PXE1680" s="2730"/>
      <c r="PXF1680" s="2730"/>
      <c r="PXG1680" s="2730"/>
      <c r="PXH1680" s="2730"/>
      <c r="PXI1680" s="2730"/>
      <c r="PXJ1680" s="2730"/>
      <c r="PXK1680" s="2730"/>
      <c r="PXL1680" s="2730"/>
      <c r="PXM1680" s="2730"/>
      <c r="PXN1680" s="2730"/>
      <c r="PXO1680" s="2730"/>
      <c r="PXP1680" s="2730"/>
      <c r="PXQ1680" s="2730"/>
      <c r="PXR1680" s="2730"/>
      <c r="PXS1680" s="2730"/>
      <c r="PXT1680" s="2730"/>
      <c r="PXU1680" s="2730"/>
      <c r="PXV1680" s="2730"/>
      <c r="PXW1680" s="2730"/>
      <c r="PXX1680" s="2730"/>
      <c r="PXY1680" s="2730"/>
      <c r="PXZ1680" s="2730"/>
      <c r="PYA1680" s="2730"/>
      <c r="PYB1680" s="2730"/>
      <c r="PYC1680" s="2730"/>
      <c r="PYD1680" s="2730"/>
      <c r="PYE1680" s="2730"/>
      <c r="PYF1680" s="2730"/>
      <c r="PYG1680" s="2730"/>
      <c r="PYH1680" s="2730"/>
      <c r="PYI1680" s="2730"/>
      <c r="PYJ1680" s="2730"/>
      <c r="PYK1680" s="2730"/>
      <c r="PYL1680" s="2730"/>
      <c r="PYM1680" s="2730"/>
      <c r="PYN1680" s="2730"/>
      <c r="PYO1680" s="2730"/>
      <c r="PYP1680" s="2730"/>
      <c r="PYQ1680" s="2730"/>
      <c r="PYR1680" s="2730"/>
      <c r="PYS1680" s="2730"/>
      <c r="PYT1680" s="2730"/>
      <c r="PYU1680" s="2730"/>
      <c r="PYV1680" s="2730"/>
      <c r="PYW1680" s="2730"/>
      <c r="PYX1680" s="2730"/>
      <c r="PYY1680" s="2730"/>
      <c r="PYZ1680" s="2730"/>
      <c r="PZA1680" s="2730"/>
      <c r="PZB1680" s="2730"/>
      <c r="PZC1680" s="2730"/>
      <c r="PZD1680" s="2730"/>
      <c r="PZE1680" s="2730"/>
      <c r="PZF1680" s="2730"/>
      <c r="PZG1680" s="2730"/>
      <c r="PZH1680" s="2730"/>
      <c r="PZI1680" s="2730"/>
      <c r="PZJ1680" s="2730"/>
      <c r="PZK1680" s="2730"/>
      <c r="PZL1680" s="2730"/>
      <c r="PZM1680" s="2730"/>
      <c r="PZN1680" s="2730"/>
      <c r="PZO1680" s="2730"/>
      <c r="PZP1680" s="2730"/>
      <c r="PZQ1680" s="2730"/>
      <c r="PZR1680" s="2730"/>
      <c r="PZS1680" s="2730"/>
      <c r="PZT1680" s="2730"/>
      <c r="PZU1680" s="2730"/>
      <c r="PZV1680" s="2730"/>
      <c r="PZW1680" s="2730"/>
      <c r="PZX1680" s="2730"/>
      <c r="PZY1680" s="2730"/>
      <c r="PZZ1680" s="2730"/>
      <c r="QAA1680" s="2730"/>
      <c r="QAB1680" s="2730"/>
      <c r="QAC1680" s="2730"/>
      <c r="QAD1680" s="2730"/>
      <c r="QAE1680" s="2730"/>
      <c r="QAF1680" s="2730"/>
      <c r="QAG1680" s="2730"/>
      <c r="QAH1680" s="2730"/>
      <c r="QAI1680" s="2730"/>
      <c r="QAJ1680" s="2730"/>
      <c r="QAK1680" s="2730"/>
      <c r="QAL1680" s="2730"/>
      <c r="QAM1680" s="2730"/>
      <c r="QAN1680" s="2730"/>
      <c r="QAO1680" s="2730"/>
      <c r="QAP1680" s="2730"/>
      <c r="QAQ1680" s="2730"/>
      <c r="QAR1680" s="2730"/>
      <c r="QAS1680" s="2730"/>
      <c r="QAT1680" s="2730"/>
      <c r="QAU1680" s="2730"/>
      <c r="QAV1680" s="2730"/>
      <c r="QAW1680" s="2730"/>
      <c r="QAX1680" s="2730"/>
      <c r="QAY1680" s="2730"/>
      <c r="QAZ1680" s="2730"/>
      <c r="QBA1680" s="2730"/>
      <c r="QBB1680" s="2730"/>
      <c r="QBC1680" s="2730"/>
      <c r="QBD1680" s="2730"/>
      <c r="QBE1680" s="2730"/>
      <c r="QBF1680" s="2730"/>
      <c r="QBG1680" s="2730"/>
      <c r="QBH1680" s="2730"/>
      <c r="QBI1680" s="2730"/>
      <c r="QBJ1680" s="2730"/>
      <c r="QBK1680" s="2730"/>
      <c r="QBL1680" s="2730"/>
      <c r="QBM1680" s="2730"/>
      <c r="QBN1680" s="2730"/>
      <c r="QBO1680" s="2730"/>
      <c r="QBP1680" s="2730"/>
      <c r="QBQ1680" s="2730"/>
      <c r="QBR1680" s="2730"/>
      <c r="QBS1680" s="2730"/>
      <c r="QBT1680" s="2730"/>
      <c r="QBU1680" s="2730"/>
      <c r="QBV1680" s="2730"/>
      <c r="QBW1680" s="2730"/>
      <c r="QBX1680" s="2730"/>
      <c r="QBY1680" s="2730"/>
      <c r="QBZ1680" s="2730"/>
      <c r="QCA1680" s="2730"/>
      <c r="QCB1680" s="2730"/>
      <c r="QCC1680" s="2730"/>
      <c r="QCD1680" s="2730"/>
      <c r="QCE1680" s="2730"/>
      <c r="QCF1680" s="2730"/>
      <c r="QCG1680" s="2730"/>
      <c r="QCH1680" s="2730"/>
      <c r="QCI1680" s="2730"/>
      <c r="QCJ1680" s="2730"/>
      <c r="QCK1680" s="2730"/>
      <c r="QCL1680" s="2730"/>
      <c r="QCM1680" s="2730"/>
      <c r="QCN1680" s="2730"/>
      <c r="QCO1680" s="2730"/>
      <c r="QCP1680" s="2730"/>
      <c r="QCQ1680" s="2730"/>
      <c r="QCR1680" s="2730"/>
      <c r="QCS1680" s="2730"/>
      <c r="QCT1680" s="2730"/>
      <c r="QCU1680" s="2730"/>
      <c r="QCV1680" s="2730"/>
      <c r="QCW1680" s="2730"/>
      <c r="QCX1680" s="2730"/>
      <c r="QCY1680" s="2730"/>
      <c r="QCZ1680" s="2730"/>
      <c r="QDA1680" s="2730"/>
      <c r="QDB1680" s="2730"/>
      <c r="QDC1680" s="2730"/>
      <c r="QDD1680" s="2730"/>
      <c r="QDE1680" s="2730"/>
      <c r="QDF1680" s="2730"/>
      <c r="QDG1680" s="2730"/>
      <c r="QDH1680" s="2730"/>
      <c r="QDI1680" s="2730"/>
      <c r="QDJ1680" s="2730"/>
      <c r="QDK1680" s="2730"/>
      <c r="QDL1680" s="2730"/>
      <c r="QDM1680" s="2730"/>
      <c r="QDN1680" s="2730"/>
      <c r="QDO1680" s="2730"/>
      <c r="QDP1680" s="2730"/>
      <c r="QDQ1680" s="2730"/>
      <c r="QDR1680" s="2730"/>
      <c r="QDS1680" s="2730"/>
      <c r="QDT1680" s="2730"/>
      <c r="QDU1680" s="2730"/>
      <c r="QDV1680" s="2730"/>
      <c r="QDW1680" s="2730"/>
      <c r="QDX1680" s="2730"/>
      <c r="QDY1680" s="2730"/>
      <c r="QDZ1680" s="2730"/>
      <c r="QEA1680" s="2730"/>
      <c r="QEB1680" s="2730"/>
      <c r="QEC1680" s="2730"/>
      <c r="QED1680" s="2730"/>
      <c r="QEE1680" s="2730"/>
      <c r="QEF1680" s="2730"/>
      <c r="QEG1680" s="2730"/>
      <c r="QEH1680" s="2730"/>
      <c r="QEI1680" s="2730"/>
      <c r="QEJ1680" s="2730"/>
      <c r="QEK1680" s="2730"/>
      <c r="QEL1680" s="2730"/>
      <c r="QEM1680" s="2730"/>
      <c r="QEN1680" s="2730"/>
      <c r="QEO1680" s="2730"/>
      <c r="QEP1680" s="2730"/>
      <c r="QEQ1680" s="2730"/>
      <c r="QER1680" s="2730"/>
      <c r="QES1680" s="2730"/>
      <c r="QET1680" s="2730"/>
      <c r="QEU1680" s="2730"/>
      <c r="QEV1680" s="2730"/>
      <c r="QEW1680" s="2730"/>
      <c r="QEX1680" s="2730"/>
      <c r="QEY1680" s="2730"/>
      <c r="QEZ1680" s="2730"/>
      <c r="QFA1680" s="2730"/>
      <c r="QFB1680" s="2730"/>
      <c r="QFC1680" s="2730"/>
      <c r="QFD1680" s="2730"/>
      <c r="QFE1680" s="2730"/>
      <c r="QFF1680" s="2730"/>
      <c r="QFG1680" s="2730"/>
      <c r="QFH1680" s="2730"/>
      <c r="QFI1680" s="2730"/>
      <c r="QFJ1680" s="2730"/>
      <c r="QFK1680" s="2730"/>
      <c r="QFL1680" s="2730"/>
      <c r="QFM1680" s="2730"/>
      <c r="QFN1680" s="2730"/>
      <c r="QFO1680" s="2730"/>
      <c r="QFP1680" s="2730"/>
      <c r="QFQ1680" s="2730"/>
      <c r="QFR1680" s="2730"/>
      <c r="QFS1680" s="2730"/>
      <c r="QFT1680" s="2730"/>
      <c r="QFU1680" s="2730"/>
      <c r="QFV1680" s="2730"/>
      <c r="QFW1680" s="2730"/>
      <c r="QFX1680" s="2730"/>
      <c r="QFY1680" s="2730"/>
      <c r="QFZ1680" s="2730"/>
      <c r="QGA1680" s="2730"/>
      <c r="QGB1680" s="2730"/>
      <c r="QGC1680" s="2730"/>
      <c r="QGD1680" s="2730"/>
      <c r="QGE1680" s="2730"/>
      <c r="QGF1680" s="2730"/>
      <c r="QGG1680" s="2730"/>
      <c r="QGH1680" s="2730"/>
      <c r="QGI1680" s="2730"/>
      <c r="QGJ1680" s="2730"/>
      <c r="QGK1680" s="2730"/>
      <c r="QGL1680" s="2730"/>
      <c r="QGM1680" s="2730"/>
      <c r="QGN1680" s="2730"/>
      <c r="QGO1680" s="2730"/>
      <c r="QGP1680" s="2730"/>
      <c r="QGQ1680" s="2730"/>
      <c r="QGR1680" s="2730"/>
      <c r="QGS1680" s="2730"/>
      <c r="QGT1680" s="2730"/>
      <c r="QGU1680" s="2730"/>
      <c r="QGV1680" s="2730"/>
      <c r="QGW1680" s="2730"/>
      <c r="QGX1680" s="2730"/>
      <c r="QGY1680" s="2730"/>
      <c r="QGZ1680" s="2730"/>
      <c r="QHA1680" s="2730"/>
      <c r="QHB1680" s="2730"/>
      <c r="QHC1680" s="2730"/>
      <c r="QHD1680" s="2730"/>
      <c r="QHE1680" s="2730"/>
      <c r="QHF1680" s="2730"/>
      <c r="QHG1680" s="2730"/>
      <c r="QHH1680" s="2730"/>
      <c r="QHI1680" s="2730"/>
      <c r="QHJ1680" s="2730"/>
      <c r="QHK1680" s="2730"/>
      <c r="QHL1680" s="2730"/>
      <c r="QHM1680" s="2730"/>
      <c r="QHN1680" s="2730"/>
      <c r="QHO1680" s="2730"/>
      <c r="QHP1680" s="2730"/>
      <c r="QHQ1680" s="2730"/>
      <c r="QHR1680" s="2730"/>
      <c r="QHS1680" s="2730"/>
      <c r="QHT1680" s="2730"/>
      <c r="QHU1680" s="2730"/>
      <c r="QHV1680" s="2730"/>
      <c r="QHW1680" s="2730"/>
      <c r="QHX1680" s="2730"/>
      <c r="QHY1680" s="2730"/>
      <c r="QHZ1680" s="2730"/>
      <c r="QIA1680" s="2730"/>
      <c r="QIB1680" s="2730"/>
      <c r="QIC1680" s="2730"/>
      <c r="QID1680" s="2730"/>
      <c r="QIE1680" s="2730"/>
      <c r="QIF1680" s="2730"/>
      <c r="QIG1680" s="2730"/>
      <c r="QIH1680" s="2730"/>
      <c r="QII1680" s="2730"/>
      <c r="QIJ1680" s="2730"/>
      <c r="QIK1680" s="2730"/>
      <c r="QIL1680" s="2730"/>
      <c r="QIM1680" s="2730"/>
      <c r="QIN1680" s="2730"/>
      <c r="QIO1680" s="2730"/>
      <c r="QIP1680" s="2730"/>
      <c r="QIQ1680" s="2730"/>
      <c r="QIR1680" s="2730"/>
      <c r="QIS1680" s="2730"/>
      <c r="QIT1680" s="2730"/>
      <c r="QIU1680" s="2730"/>
      <c r="QIV1680" s="2730"/>
      <c r="QIW1680" s="2730"/>
      <c r="QIX1680" s="2730"/>
      <c r="QIY1680" s="2730"/>
      <c r="QIZ1680" s="2730"/>
      <c r="QJA1680" s="2730"/>
      <c r="QJB1680" s="2730"/>
      <c r="QJC1680" s="2730"/>
      <c r="QJD1680" s="2730"/>
      <c r="QJE1680" s="2730"/>
      <c r="QJF1680" s="2730"/>
      <c r="QJG1680" s="2730"/>
      <c r="QJH1680" s="2730"/>
      <c r="QJI1680" s="2730"/>
      <c r="QJJ1680" s="2730"/>
      <c r="QJK1680" s="2730"/>
      <c r="QJL1680" s="2730"/>
      <c r="QJM1680" s="2730"/>
      <c r="QJN1680" s="2730"/>
      <c r="QJO1680" s="2730"/>
      <c r="QJP1680" s="2730"/>
      <c r="QJQ1680" s="2730"/>
      <c r="QJR1680" s="2730"/>
      <c r="QJS1680" s="2730"/>
      <c r="QJT1680" s="2730"/>
      <c r="QJU1680" s="2730"/>
      <c r="QJV1680" s="2730"/>
      <c r="QJW1680" s="2730"/>
      <c r="QJX1680" s="2730"/>
      <c r="QJY1680" s="2730"/>
      <c r="QJZ1680" s="2730"/>
      <c r="QKA1680" s="2730"/>
      <c r="QKB1680" s="2730"/>
      <c r="QKC1680" s="2730"/>
      <c r="QKD1680" s="2730"/>
      <c r="QKE1680" s="2730"/>
      <c r="QKF1680" s="2730"/>
      <c r="QKG1680" s="2730"/>
      <c r="QKH1680" s="2730"/>
      <c r="QKI1680" s="2730"/>
      <c r="QKJ1680" s="2730"/>
      <c r="QKK1680" s="2730"/>
      <c r="QKL1680" s="2730"/>
      <c r="QKM1680" s="2730"/>
      <c r="QKN1680" s="2730"/>
      <c r="QKO1680" s="2730"/>
      <c r="QKP1680" s="2730"/>
      <c r="QKQ1680" s="2730"/>
      <c r="QKR1680" s="2730"/>
      <c r="QKS1680" s="2730"/>
      <c r="QKT1680" s="2730"/>
      <c r="QKU1680" s="2730"/>
      <c r="QKV1680" s="2730"/>
      <c r="QKW1680" s="2730"/>
      <c r="QKX1680" s="2730"/>
      <c r="QKY1680" s="2730"/>
      <c r="QKZ1680" s="2730"/>
      <c r="QLA1680" s="2730"/>
      <c r="QLB1680" s="2730"/>
      <c r="QLC1680" s="2730"/>
      <c r="QLD1680" s="2730"/>
      <c r="QLE1680" s="2730"/>
      <c r="QLF1680" s="2730"/>
      <c r="QLG1680" s="2730"/>
      <c r="QLH1680" s="2730"/>
      <c r="QLI1680" s="2730"/>
      <c r="QLJ1680" s="2730"/>
      <c r="QLK1680" s="2730"/>
      <c r="QLL1680" s="2730"/>
      <c r="QLM1680" s="2730"/>
      <c r="QLN1680" s="2730"/>
      <c r="QLO1680" s="2730"/>
      <c r="QLP1680" s="2730"/>
      <c r="QLQ1680" s="2730"/>
      <c r="QLR1680" s="2730"/>
      <c r="QLS1680" s="2730"/>
      <c r="QLT1680" s="2730"/>
      <c r="QLU1680" s="2730"/>
      <c r="QLV1680" s="2730"/>
      <c r="QLW1680" s="2730"/>
      <c r="QLX1680" s="2730"/>
      <c r="QLY1680" s="2730"/>
      <c r="QLZ1680" s="2730"/>
      <c r="QMA1680" s="2730"/>
      <c r="QMB1680" s="2730"/>
      <c r="QMC1680" s="2730"/>
      <c r="QMD1680" s="2730"/>
      <c r="QME1680" s="2730"/>
      <c r="QMF1680" s="2730"/>
      <c r="QMG1680" s="2730"/>
      <c r="QMH1680" s="2730"/>
      <c r="QMI1680" s="2730"/>
      <c r="QMJ1680" s="2730"/>
      <c r="QMK1680" s="2730"/>
      <c r="QML1680" s="2730"/>
      <c r="QMM1680" s="2730"/>
      <c r="QMN1680" s="2730"/>
      <c r="QMO1680" s="2730"/>
      <c r="QMP1680" s="2730"/>
      <c r="QMQ1680" s="2730"/>
      <c r="QMR1680" s="2730"/>
      <c r="QMS1680" s="2730"/>
      <c r="QMT1680" s="2730"/>
      <c r="QMU1680" s="2730"/>
      <c r="QMV1680" s="2730"/>
      <c r="QMW1680" s="2730"/>
      <c r="QMX1680" s="2730"/>
      <c r="QMY1680" s="2730"/>
      <c r="QMZ1680" s="2730"/>
      <c r="QNA1680" s="2730"/>
      <c r="QNB1680" s="2730"/>
      <c r="QNC1680" s="2730"/>
      <c r="QND1680" s="2730"/>
      <c r="QNE1680" s="2730"/>
      <c r="QNF1680" s="2730"/>
      <c r="QNG1680" s="2730"/>
      <c r="QNH1680" s="2730"/>
      <c r="QNI1680" s="2730"/>
      <c r="QNJ1680" s="2730"/>
      <c r="QNK1680" s="2730"/>
      <c r="QNL1680" s="2730"/>
      <c r="QNM1680" s="2730"/>
      <c r="QNN1680" s="2730"/>
      <c r="QNO1680" s="2730"/>
      <c r="QNP1680" s="2730"/>
      <c r="QNQ1680" s="2730"/>
      <c r="QNR1680" s="2730"/>
      <c r="QNS1680" s="2730"/>
      <c r="QNT1680" s="2730"/>
      <c r="QNU1680" s="2730"/>
      <c r="QNV1680" s="2730"/>
      <c r="QNW1680" s="2730"/>
      <c r="QNX1680" s="2730"/>
      <c r="QNY1680" s="2730"/>
      <c r="QNZ1680" s="2730"/>
      <c r="QOA1680" s="2730"/>
      <c r="QOB1680" s="2730"/>
      <c r="QOC1680" s="2730"/>
      <c r="QOD1680" s="2730"/>
      <c r="QOE1680" s="2730"/>
      <c r="QOF1680" s="2730"/>
      <c r="QOG1680" s="2730"/>
      <c r="QOH1680" s="2730"/>
      <c r="QOI1680" s="2730"/>
      <c r="QOJ1680" s="2730"/>
      <c r="QOK1680" s="2730"/>
      <c r="QOL1680" s="2730"/>
      <c r="QOM1680" s="2730"/>
      <c r="QON1680" s="2730"/>
      <c r="QOO1680" s="2730"/>
      <c r="QOP1680" s="2730"/>
      <c r="QOQ1680" s="2730"/>
      <c r="QOR1680" s="2730"/>
      <c r="QOS1680" s="2730"/>
      <c r="QOT1680" s="2730"/>
      <c r="QOU1680" s="2730"/>
      <c r="QOV1680" s="2730"/>
      <c r="QOW1680" s="2730"/>
      <c r="QOX1680" s="2730"/>
      <c r="QOY1680" s="2730"/>
      <c r="QOZ1680" s="2730"/>
      <c r="QPA1680" s="2730"/>
      <c r="QPB1680" s="2730"/>
      <c r="QPC1680" s="2730"/>
      <c r="QPD1680" s="2730"/>
      <c r="QPE1680" s="2730"/>
      <c r="QPF1680" s="2730"/>
      <c r="QPG1680" s="2730"/>
      <c r="QPH1680" s="2730"/>
      <c r="QPI1680" s="2730"/>
      <c r="QPJ1680" s="2730"/>
      <c r="QPK1680" s="2730"/>
      <c r="QPL1680" s="2730"/>
      <c r="QPM1680" s="2730"/>
      <c r="QPN1680" s="2730"/>
      <c r="QPO1680" s="2730"/>
      <c r="QPP1680" s="2730"/>
      <c r="QPQ1680" s="2730"/>
      <c r="QPR1680" s="2730"/>
      <c r="QPS1680" s="2730"/>
      <c r="QPT1680" s="2730"/>
      <c r="QPU1680" s="2730"/>
      <c r="QPV1680" s="2730"/>
      <c r="QPW1680" s="2730"/>
      <c r="QPX1680" s="2730"/>
      <c r="QPY1680" s="2730"/>
      <c r="QPZ1680" s="2730"/>
      <c r="QQA1680" s="2730"/>
      <c r="QQB1680" s="2730"/>
      <c r="QQC1680" s="2730"/>
      <c r="QQD1680" s="2730"/>
      <c r="QQE1680" s="2730"/>
      <c r="QQF1680" s="2730"/>
      <c r="QQG1680" s="2730"/>
      <c r="QQH1680" s="2730"/>
      <c r="QQI1680" s="2730"/>
      <c r="QQJ1680" s="2730"/>
      <c r="QQK1680" s="2730"/>
      <c r="QQL1680" s="2730"/>
      <c r="QQM1680" s="2730"/>
      <c r="QQN1680" s="2730"/>
      <c r="QQO1680" s="2730"/>
      <c r="QQP1680" s="2730"/>
      <c r="QQQ1680" s="2730"/>
      <c r="QQR1680" s="2730"/>
      <c r="QQS1680" s="2730"/>
      <c r="QQT1680" s="2730"/>
      <c r="QQU1680" s="2730"/>
      <c r="QQV1680" s="2730"/>
      <c r="QQW1680" s="2730"/>
      <c r="QQX1680" s="2730"/>
      <c r="QQY1680" s="2730"/>
      <c r="QQZ1680" s="2730"/>
      <c r="QRA1680" s="2730"/>
      <c r="QRB1680" s="2730"/>
      <c r="QRC1680" s="2730"/>
      <c r="QRD1680" s="2730"/>
      <c r="QRE1680" s="2730"/>
      <c r="QRF1680" s="2730"/>
      <c r="QRG1680" s="2730"/>
      <c r="QRH1680" s="2730"/>
      <c r="QRI1680" s="2730"/>
      <c r="QRJ1680" s="2730"/>
      <c r="QRK1680" s="2730"/>
      <c r="QRL1680" s="2730"/>
      <c r="QRM1680" s="2730"/>
      <c r="QRN1680" s="2730"/>
      <c r="QRO1680" s="2730"/>
      <c r="QRP1680" s="2730"/>
      <c r="QRQ1680" s="2730"/>
      <c r="QRR1680" s="2730"/>
      <c r="QRS1680" s="2730"/>
      <c r="QRT1680" s="2730"/>
      <c r="QRU1680" s="2730"/>
      <c r="QRV1680" s="2730"/>
      <c r="QRW1680" s="2730"/>
      <c r="QRX1680" s="2730"/>
      <c r="QRY1680" s="2730"/>
      <c r="QRZ1680" s="2730"/>
      <c r="QSA1680" s="2730"/>
      <c r="QSB1680" s="2730"/>
      <c r="QSC1680" s="2730"/>
      <c r="QSD1680" s="2730"/>
      <c r="QSE1680" s="2730"/>
      <c r="QSF1680" s="2730"/>
      <c r="QSG1680" s="2730"/>
      <c r="QSH1680" s="2730"/>
      <c r="QSI1680" s="2730"/>
      <c r="QSJ1680" s="2730"/>
      <c r="QSK1680" s="2730"/>
      <c r="QSL1680" s="2730"/>
      <c r="QSM1680" s="2730"/>
      <c r="QSN1680" s="2730"/>
      <c r="QSO1680" s="2730"/>
      <c r="QSP1680" s="2730"/>
      <c r="QSQ1680" s="2730"/>
      <c r="QSR1680" s="2730"/>
      <c r="QSS1680" s="2730"/>
      <c r="QST1680" s="2730"/>
      <c r="QSU1680" s="2730"/>
      <c r="QSV1680" s="2730"/>
      <c r="QSW1680" s="2730"/>
      <c r="QSX1680" s="2730"/>
      <c r="QSY1680" s="2730"/>
      <c r="QSZ1680" s="2730"/>
      <c r="QTA1680" s="2730"/>
      <c r="QTB1680" s="2730"/>
      <c r="QTC1680" s="2730"/>
      <c r="QTD1680" s="2730"/>
      <c r="QTE1680" s="2730"/>
      <c r="QTF1680" s="2730"/>
      <c r="QTG1680" s="2730"/>
      <c r="QTH1680" s="2730"/>
      <c r="QTI1680" s="2730"/>
      <c r="QTJ1680" s="2730"/>
      <c r="QTK1680" s="2730"/>
      <c r="QTL1680" s="2730"/>
      <c r="QTM1680" s="2730"/>
      <c r="QTN1680" s="2730"/>
      <c r="QTO1680" s="2730"/>
      <c r="QTP1680" s="2730"/>
      <c r="QTQ1680" s="2730"/>
      <c r="QTR1680" s="2730"/>
      <c r="QTS1680" s="2730"/>
      <c r="QTT1680" s="2730"/>
      <c r="QTU1680" s="2730"/>
      <c r="QTV1680" s="2730"/>
      <c r="QTW1680" s="2730"/>
      <c r="QTX1680" s="2730"/>
      <c r="QTY1680" s="2730"/>
      <c r="QTZ1680" s="2730"/>
      <c r="QUA1680" s="2730"/>
      <c r="QUB1680" s="2730"/>
      <c r="QUC1680" s="2730"/>
      <c r="QUD1680" s="2730"/>
      <c r="QUE1680" s="2730"/>
      <c r="QUF1680" s="2730"/>
      <c r="QUG1680" s="2730"/>
      <c r="QUH1680" s="2730"/>
      <c r="QUI1680" s="2730"/>
      <c r="QUJ1680" s="2730"/>
      <c r="QUK1680" s="2730"/>
      <c r="QUL1680" s="2730"/>
      <c r="QUM1680" s="2730"/>
      <c r="QUN1680" s="2730"/>
      <c r="QUO1680" s="2730"/>
      <c r="QUP1680" s="2730"/>
      <c r="QUQ1680" s="2730"/>
      <c r="QUR1680" s="2730"/>
      <c r="QUS1680" s="2730"/>
      <c r="QUT1680" s="2730"/>
      <c r="QUU1680" s="2730"/>
      <c r="QUV1680" s="2730"/>
      <c r="QUW1680" s="2730"/>
      <c r="QUX1680" s="2730"/>
      <c r="QUY1680" s="2730"/>
      <c r="QUZ1680" s="2730"/>
      <c r="QVA1680" s="2730"/>
      <c r="QVB1680" s="2730"/>
      <c r="QVC1680" s="2730"/>
      <c r="QVD1680" s="2730"/>
      <c r="QVE1680" s="2730"/>
      <c r="QVF1680" s="2730"/>
      <c r="QVG1680" s="2730"/>
      <c r="QVH1680" s="2730"/>
      <c r="QVI1680" s="2730"/>
      <c r="QVJ1680" s="2730"/>
      <c r="QVK1680" s="2730"/>
      <c r="QVL1680" s="2730"/>
      <c r="QVM1680" s="2730"/>
      <c r="QVN1680" s="2730"/>
      <c r="QVO1680" s="2730"/>
      <c r="QVP1680" s="2730"/>
      <c r="QVQ1680" s="2730"/>
      <c r="QVR1680" s="2730"/>
      <c r="QVS1680" s="2730"/>
      <c r="QVT1680" s="2730"/>
      <c r="QVU1680" s="2730"/>
      <c r="QVV1680" s="2730"/>
      <c r="QVW1680" s="2730"/>
      <c r="QVX1680" s="2730"/>
      <c r="QVY1680" s="2730"/>
      <c r="QVZ1680" s="2730"/>
      <c r="QWA1680" s="2730"/>
      <c r="QWB1680" s="2730"/>
      <c r="QWC1680" s="2730"/>
      <c r="QWD1680" s="2730"/>
      <c r="QWE1680" s="2730"/>
      <c r="QWF1680" s="2730"/>
      <c r="QWG1680" s="2730"/>
      <c r="QWH1680" s="2730"/>
      <c r="QWI1680" s="2730"/>
      <c r="QWJ1680" s="2730"/>
      <c r="QWK1680" s="2730"/>
      <c r="QWL1680" s="2730"/>
      <c r="QWM1680" s="2730"/>
      <c r="QWN1680" s="2730"/>
      <c r="QWO1680" s="2730"/>
      <c r="QWP1680" s="2730"/>
      <c r="QWQ1680" s="2730"/>
      <c r="QWR1680" s="2730"/>
      <c r="QWS1680" s="2730"/>
      <c r="QWT1680" s="2730"/>
      <c r="QWU1680" s="2730"/>
      <c r="QWV1680" s="2730"/>
      <c r="QWW1680" s="2730"/>
      <c r="QWX1680" s="2730"/>
      <c r="QWY1680" s="2730"/>
      <c r="QWZ1680" s="2730"/>
      <c r="QXA1680" s="2730"/>
      <c r="QXB1680" s="2730"/>
      <c r="QXC1680" s="2730"/>
      <c r="QXD1680" s="2730"/>
      <c r="QXE1680" s="2730"/>
      <c r="QXF1680" s="2730"/>
      <c r="QXG1680" s="2730"/>
      <c r="QXH1680" s="2730"/>
      <c r="QXI1680" s="2730"/>
      <c r="QXJ1680" s="2730"/>
      <c r="QXK1680" s="2730"/>
      <c r="QXL1680" s="2730"/>
      <c r="QXM1680" s="2730"/>
      <c r="QXN1680" s="2730"/>
      <c r="QXO1680" s="2730"/>
      <c r="QXP1680" s="2730"/>
      <c r="QXQ1680" s="2730"/>
      <c r="QXR1680" s="2730"/>
      <c r="QXS1680" s="2730"/>
      <c r="QXT1680" s="2730"/>
      <c r="QXU1680" s="2730"/>
      <c r="QXV1680" s="2730"/>
      <c r="QXW1680" s="2730"/>
      <c r="QXX1680" s="2730"/>
      <c r="QXY1680" s="2730"/>
      <c r="QXZ1680" s="2730"/>
      <c r="QYA1680" s="2730"/>
      <c r="QYB1680" s="2730"/>
      <c r="QYC1680" s="2730"/>
      <c r="QYD1680" s="2730"/>
      <c r="QYE1680" s="2730"/>
      <c r="QYF1680" s="2730"/>
      <c r="QYG1680" s="2730"/>
      <c r="QYH1680" s="2730"/>
      <c r="QYI1680" s="2730"/>
      <c r="QYJ1680" s="2730"/>
      <c r="QYK1680" s="2730"/>
      <c r="QYL1680" s="2730"/>
      <c r="QYM1680" s="2730"/>
      <c r="QYN1680" s="2730"/>
      <c r="QYO1680" s="2730"/>
      <c r="QYP1680" s="2730"/>
      <c r="QYQ1680" s="2730"/>
      <c r="QYR1680" s="2730"/>
      <c r="QYS1680" s="2730"/>
      <c r="QYT1680" s="2730"/>
      <c r="QYU1680" s="2730"/>
      <c r="QYV1680" s="2730"/>
      <c r="QYW1680" s="2730"/>
      <c r="QYX1680" s="2730"/>
      <c r="QYY1680" s="2730"/>
      <c r="QYZ1680" s="2730"/>
      <c r="QZA1680" s="2730"/>
      <c r="QZB1680" s="2730"/>
      <c r="QZC1680" s="2730"/>
      <c r="QZD1680" s="2730"/>
      <c r="QZE1680" s="2730"/>
      <c r="QZF1680" s="2730"/>
      <c r="QZG1680" s="2730"/>
      <c r="QZH1680" s="2730"/>
      <c r="QZI1680" s="2730"/>
      <c r="QZJ1680" s="2730"/>
      <c r="QZK1680" s="2730"/>
      <c r="QZL1680" s="2730"/>
      <c r="QZM1680" s="2730"/>
      <c r="QZN1680" s="2730"/>
      <c r="QZO1680" s="2730"/>
      <c r="QZP1680" s="2730"/>
      <c r="QZQ1680" s="2730"/>
      <c r="QZR1680" s="2730"/>
      <c r="QZS1680" s="2730"/>
      <c r="QZT1680" s="2730"/>
      <c r="QZU1680" s="2730"/>
      <c r="QZV1680" s="2730"/>
      <c r="QZW1680" s="2730"/>
      <c r="QZX1680" s="2730"/>
      <c r="QZY1680" s="2730"/>
      <c r="QZZ1680" s="2730"/>
      <c r="RAA1680" s="2730"/>
      <c r="RAB1680" s="2730"/>
      <c r="RAC1680" s="2730"/>
      <c r="RAD1680" s="2730"/>
      <c r="RAE1680" s="2730"/>
      <c r="RAF1680" s="2730"/>
      <c r="RAG1680" s="2730"/>
      <c r="RAH1680" s="2730"/>
      <c r="RAI1680" s="2730"/>
      <c r="RAJ1680" s="2730"/>
      <c r="RAK1680" s="2730"/>
      <c r="RAL1680" s="2730"/>
      <c r="RAM1680" s="2730"/>
      <c r="RAN1680" s="2730"/>
      <c r="RAO1680" s="2730"/>
      <c r="RAP1680" s="2730"/>
      <c r="RAQ1680" s="2730"/>
      <c r="RAR1680" s="2730"/>
      <c r="RAS1680" s="2730"/>
      <c r="RAT1680" s="2730"/>
      <c r="RAU1680" s="2730"/>
      <c r="RAV1680" s="2730"/>
      <c r="RAW1680" s="2730"/>
      <c r="RAX1680" s="2730"/>
      <c r="RAY1680" s="2730"/>
      <c r="RAZ1680" s="2730"/>
      <c r="RBA1680" s="2730"/>
      <c r="RBB1680" s="2730"/>
      <c r="RBC1680" s="2730"/>
      <c r="RBD1680" s="2730"/>
      <c r="RBE1680" s="2730"/>
      <c r="RBF1680" s="2730"/>
      <c r="RBG1680" s="2730"/>
      <c r="RBH1680" s="2730"/>
      <c r="RBI1680" s="2730"/>
      <c r="RBJ1680" s="2730"/>
      <c r="RBK1680" s="2730"/>
      <c r="RBL1680" s="2730"/>
      <c r="RBM1680" s="2730"/>
      <c r="RBN1680" s="2730"/>
      <c r="RBO1680" s="2730"/>
      <c r="RBP1680" s="2730"/>
      <c r="RBQ1680" s="2730"/>
      <c r="RBR1680" s="2730"/>
      <c r="RBS1680" s="2730"/>
      <c r="RBT1680" s="2730"/>
      <c r="RBU1680" s="2730"/>
      <c r="RBV1680" s="2730"/>
      <c r="RBW1680" s="2730"/>
      <c r="RBX1680" s="2730"/>
      <c r="RBY1680" s="2730"/>
      <c r="RBZ1680" s="2730"/>
      <c r="RCA1680" s="2730"/>
      <c r="RCB1680" s="2730"/>
      <c r="RCC1680" s="2730"/>
      <c r="RCD1680" s="2730"/>
      <c r="RCE1680" s="2730"/>
      <c r="RCF1680" s="2730"/>
      <c r="RCG1680" s="2730"/>
      <c r="RCH1680" s="2730"/>
      <c r="RCI1680" s="2730"/>
      <c r="RCJ1680" s="2730"/>
      <c r="RCK1680" s="2730"/>
      <c r="RCL1680" s="2730"/>
      <c r="RCM1680" s="2730"/>
      <c r="RCN1680" s="2730"/>
      <c r="RCO1680" s="2730"/>
      <c r="RCP1680" s="2730"/>
      <c r="RCQ1680" s="2730"/>
      <c r="RCR1680" s="2730"/>
      <c r="RCS1680" s="2730"/>
      <c r="RCT1680" s="2730"/>
      <c r="RCU1680" s="2730"/>
      <c r="RCV1680" s="2730"/>
      <c r="RCW1680" s="2730"/>
      <c r="RCX1680" s="2730"/>
      <c r="RCY1680" s="2730"/>
      <c r="RCZ1680" s="2730"/>
      <c r="RDA1680" s="2730"/>
      <c r="RDB1680" s="2730"/>
      <c r="RDC1680" s="2730"/>
      <c r="RDD1680" s="2730"/>
      <c r="RDE1680" s="2730"/>
      <c r="RDF1680" s="2730"/>
      <c r="RDG1680" s="2730"/>
      <c r="RDH1680" s="2730"/>
      <c r="RDI1680" s="2730"/>
      <c r="RDJ1680" s="2730"/>
      <c r="RDK1680" s="2730"/>
      <c r="RDL1680" s="2730"/>
      <c r="RDM1680" s="2730"/>
      <c r="RDN1680" s="2730"/>
      <c r="RDO1680" s="2730"/>
      <c r="RDP1680" s="2730"/>
      <c r="RDQ1680" s="2730"/>
      <c r="RDR1680" s="2730"/>
      <c r="RDS1680" s="2730"/>
      <c r="RDT1680" s="2730"/>
      <c r="RDU1680" s="2730"/>
      <c r="RDV1680" s="2730"/>
      <c r="RDW1680" s="2730"/>
      <c r="RDX1680" s="2730"/>
      <c r="RDY1680" s="2730"/>
      <c r="RDZ1680" s="2730"/>
      <c r="REA1680" s="2730"/>
      <c r="REB1680" s="2730"/>
      <c r="REC1680" s="2730"/>
      <c r="RED1680" s="2730"/>
      <c r="REE1680" s="2730"/>
      <c r="REF1680" s="2730"/>
      <c r="REG1680" s="2730"/>
      <c r="REH1680" s="2730"/>
      <c r="REI1680" s="2730"/>
      <c r="REJ1680" s="2730"/>
      <c r="REK1680" s="2730"/>
      <c r="REL1680" s="2730"/>
      <c r="REM1680" s="2730"/>
      <c r="REN1680" s="2730"/>
      <c r="REO1680" s="2730"/>
      <c r="REP1680" s="2730"/>
      <c r="REQ1680" s="2730"/>
      <c r="RER1680" s="2730"/>
      <c r="RES1680" s="2730"/>
      <c r="RET1680" s="2730"/>
      <c r="REU1680" s="2730"/>
      <c r="REV1680" s="2730"/>
      <c r="REW1680" s="2730"/>
      <c r="REX1680" s="2730"/>
      <c r="REY1680" s="2730"/>
      <c r="REZ1680" s="2730"/>
      <c r="RFA1680" s="2730"/>
      <c r="RFB1680" s="2730"/>
      <c r="RFC1680" s="2730"/>
      <c r="RFD1680" s="2730"/>
      <c r="RFE1680" s="2730"/>
      <c r="RFF1680" s="2730"/>
      <c r="RFG1680" s="2730"/>
      <c r="RFH1680" s="2730"/>
      <c r="RFI1680" s="2730"/>
      <c r="RFJ1680" s="2730"/>
      <c r="RFK1680" s="2730"/>
      <c r="RFL1680" s="2730"/>
      <c r="RFM1680" s="2730"/>
      <c r="RFN1680" s="2730"/>
      <c r="RFO1680" s="2730"/>
      <c r="RFP1680" s="2730"/>
      <c r="RFQ1680" s="2730"/>
      <c r="RFR1680" s="2730"/>
      <c r="RFS1680" s="2730"/>
      <c r="RFT1680" s="2730"/>
      <c r="RFU1680" s="2730"/>
      <c r="RFV1680" s="2730"/>
      <c r="RFW1680" s="2730"/>
      <c r="RFX1680" s="2730"/>
      <c r="RFY1680" s="2730"/>
      <c r="RFZ1680" s="2730"/>
      <c r="RGA1680" s="2730"/>
      <c r="RGB1680" s="2730"/>
      <c r="RGC1680" s="2730"/>
      <c r="RGD1680" s="2730"/>
      <c r="RGE1680" s="2730"/>
      <c r="RGF1680" s="2730"/>
      <c r="RGG1680" s="2730"/>
      <c r="RGH1680" s="2730"/>
      <c r="RGI1680" s="2730"/>
      <c r="RGJ1680" s="2730"/>
      <c r="RGK1680" s="2730"/>
      <c r="RGL1680" s="2730"/>
      <c r="RGM1680" s="2730"/>
      <c r="RGN1680" s="2730"/>
      <c r="RGO1680" s="2730"/>
      <c r="RGP1680" s="2730"/>
      <c r="RGQ1680" s="2730"/>
      <c r="RGR1680" s="2730"/>
      <c r="RGS1680" s="2730"/>
      <c r="RGT1680" s="2730"/>
      <c r="RGU1680" s="2730"/>
      <c r="RGV1680" s="2730"/>
      <c r="RGW1680" s="2730"/>
      <c r="RGX1680" s="2730"/>
      <c r="RGY1680" s="2730"/>
      <c r="RGZ1680" s="2730"/>
      <c r="RHA1680" s="2730"/>
      <c r="RHB1680" s="2730"/>
      <c r="RHC1680" s="2730"/>
      <c r="RHD1680" s="2730"/>
      <c r="RHE1680" s="2730"/>
      <c r="RHF1680" s="2730"/>
      <c r="RHG1680" s="2730"/>
      <c r="RHH1680" s="2730"/>
      <c r="RHI1680" s="2730"/>
      <c r="RHJ1680" s="2730"/>
      <c r="RHK1680" s="2730"/>
      <c r="RHL1680" s="2730"/>
      <c r="RHM1680" s="2730"/>
      <c r="RHN1680" s="2730"/>
      <c r="RHO1680" s="2730"/>
      <c r="RHP1680" s="2730"/>
      <c r="RHQ1680" s="2730"/>
      <c r="RHR1680" s="2730"/>
      <c r="RHS1680" s="2730"/>
      <c r="RHT1680" s="2730"/>
      <c r="RHU1680" s="2730"/>
      <c r="RHV1680" s="2730"/>
      <c r="RHW1680" s="2730"/>
      <c r="RHX1680" s="2730"/>
      <c r="RHY1680" s="2730"/>
      <c r="RHZ1680" s="2730"/>
      <c r="RIA1680" s="2730"/>
      <c r="RIB1680" s="2730"/>
      <c r="RIC1680" s="2730"/>
      <c r="RID1680" s="2730"/>
      <c r="RIE1680" s="2730"/>
      <c r="RIF1680" s="2730"/>
      <c r="RIG1680" s="2730"/>
      <c r="RIH1680" s="2730"/>
      <c r="RII1680" s="2730"/>
      <c r="RIJ1680" s="2730"/>
      <c r="RIK1680" s="2730"/>
      <c r="RIL1680" s="2730"/>
      <c r="RIM1680" s="2730"/>
      <c r="RIN1680" s="2730"/>
      <c r="RIO1680" s="2730"/>
      <c r="RIP1680" s="2730"/>
      <c r="RIQ1680" s="2730"/>
      <c r="RIR1680" s="2730"/>
      <c r="RIS1680" s="2730"/>
      <c r="RIT1680" s="2730"/>
      <c r="RIU1680" s="2730"/>
      <c r="RIV1680" s="2730"/>
      <c r="RIW1680" s="2730"/>
      <c r="RIX1680" s="2730"/>
      <c r="RIY1680" s="2730"/>
      <c r="RIZ1680" s="2730"/>
      <c r="RJA1680" s="2730"/>
      <c r="RJB1680" s="2730"/>
      <c r="RJC1680" s="2730"/>
      <c r="RJD1680" s="2730"/>
      <c r="RJE1680" s="2730"/>
      <c r="RJF1680" s="2730"/>
      <c r="RJG1680" s="2730"/>
      <c r="RJH1680" s="2730"/>
      <c r="RJI1680" s="2730"/>
      <c r="RJJ1680" s="2730"/>
      <c r="RJK1680" s="2730"/>
      <c r="RJL1680" s="2730"/>
      <c r="RJM1680" s="2730"/>
      <c r="RJN1680" s="2730"/>
      <c r="RJO1680" s="2730"/>
      <c r="RJP1680" s="2730"/>
      <c r="RJQ1680" s="2730"/>
      <c r="RJR1680" s="2730"/>
      <c r="RJS1680" s="2730"/>
      <c r="RJT1680" s="2730"/>
      <c r="RJU1680" s="2730"/>
      <c r="RJV1680" s="2730"/>
      <c r="RJW1680" s="2730"/>
      <c r="RJX1680" s="2730"/>
      <c r="RJY1680" s="2730"/>
      <c r="RJZ1680" s="2730"/>
      <c r="RKA1680" s="2730"/>
      <c r="RKB1680" s="2730"/>
      <c r="RKC1680" s="2730"/>
      <c r="RKD1680" s="2730"/>
      <c r="RKE1680" s="2730"/>
      <c r="RKF1680" s="2730"/>
      <c r="RKG1680" s="2730"/>
      <c r="RKH1680" s="2730"/>
      <c r="RKI1680" s="2730"/>
      <c r="RKJ1680" s="2730"/>
      <c r="RKK1680" s="2730"/>
      <c r="RKL1680" s="2730"/>
      <c r="RKM1680" s="2730"/>
      <c r="RKN1680" s="2730"/>
      <c r="RKO1680" s="2730"/>
      <c r="RKP1680" s="2730"/>
      <c r="RKQ1680" s="2730"/>
      <c r="RKR1680" s="2730"/>
      <c r="RKS1680" s="2730"/>
      <c r="RKT1680" s="2730"/>
      <c r="RKU1680" s="2730"/>
      <c r="RKV1680" s="2730"/>
      <c r="RKW1680" s="2730"/>
      <c r="RKX1680" s="2730"/>
      <c r="RKY1680" s="2730"/>
      <c r="RKZ1680" s="2730"/>
      <c r="RLA1680" s="2730"/>
      <c r="RLB1680" s="2730"/>
      <c r="RLC1680" s="2730"/>
      <c r="RLD1680" s="2730"/>
      <c r="RLE1680" s="2730"/>
      <c r="RLF1680" s="2730"/>
      <c r="RLG1680" s="2730"/>
      <c r="RLH1680" s="2730"/>
      <c r="RLI1680" s="2730"/>
      <c r="RLJ1680" s="2730"/>
      <c r="RLK1680" s="2730"/>
      <c r="RLL1680" s="2730"/>
      <c r="RLM1680" s="2730"/>
      <c r="RLN1680" s="2730"/>
      <c r="RLO1680" s="2730"/>
      <c r="RLP1680" s="2730"/>
      <c r="RLQ1680" s="2730"/>
      <c r="RLR1680" s="2730"/>
      <c r="RLS1680" s="2730"/>
      <c r="RLT1680" s="2730"/>
      <c r="RLU1680" s="2730"/>
      <c r="RLV1680" s="2730"/>
      <c r="RLW1680" s="2730"/>
      <c r="RLX1680" s="2730"/>
      <c r="RLY1680" s="2730"/>
      <c r="RLZ1680" s="2730"/>
      <c r="RMA1680" s="2730"/>
      <c r="RMB1680" s="2730"/>
      <c r="RMC1680" s="2730"/>
      <c r="RMD1680" s="2730"/>
      <c r="RME1680" s="2730"/>
      <c r="RMF1680" s="2730"/>
      <c r="RMG1680" s="2730"/>
      <c r="RMH1680" s="2730"/>
      <c r="RMI1680" s="2730"/>
      <c r="RMJ1680" s="2730"/>
      <c r="RMK1680" s="2730"/>
      <c r="RML1680" s="2730"/>
      <c r="RMM1680" s="2730"/>
      <c r="RMN1680" s="2730"/>
      <c r="RMO1680" s="2730"/>
      <c r="RMP1680" s="2730"/>
      <c r="RMQ1680" s="2730"/>
      <c r="RMR1680" s="2730"/>
      <c r="RMS1680" s="2730"/>
      <c r="RMT1680" s="2730"/>
      <c r="RMU1680" s="2730"/>
      <c r="RMV1680" s="2730"/>
      <c r="RMW1680" s="2730"/>
      <c r="RMX1680" s="2730"/>
      <c r="RMY1680" s="2730"/>
      <c r="RMZ1680" s="2730"/>
      <c r="RNA1680" s="2730"/>
      <c r="RNB1680" s="2730"/>
      <c r="RNC1680" s="2730"/>
      <c r="RND1680" s="2730"/>
      <c r="RNE1680" s="2730"/>
      <c r="RNF1680" s="2730"/>
      <c r="RNG1680" s="2730"/>
      <c r="RNH1680" s="2730"/>
      <c r="RNI1680" s="2730"/>
      <c r="RNJ1680" s="2730"/>
      <c r="RNK1680" s="2730"/>
      <c r="RNL1680" s="2730"/>
      <c r="RNM1680" s="2730"/>
      <c r="RNN1680" s="2730"/>
      <c r="RNO1680" s="2730"/>
      <c r="RNP1680" s="2730"/>
      <c r="RNQ1680" s="2730"/>
      <c r="RNR1680" s="2730"/>
      <c r="RNS1680" s="2730"/>
      <c r="RNT1680" s="2730"/>
      <c r="RNU1680" s="2730"/>
      <c r="RNV1680" s="2730"/>
      <c r="RNW1680" s="2730"/>
      <c r="RNX1680" s="2730"/>
      <c r="RNY1680" s="2730"/>
      <c r="RNZ1680" s="2730"/>
      <c r="ROA1680" s="2730"/>
      <c r="ROB1680" s="2730"/>
      <c r="ROC1680" s="2730"/>
      <c r="ROD1680" s="2730"/>
      <c r="ROE1680" s="2730"/>
      <c r="ROF1680" s="2730"/>
      <c r="ROG1680" s="2730"/>
      <c r="ROH1680" s="2730"/>
      <c r="ROI1680" s="2730"/>
      <c r="ROJ1680" s="2730"/>
      <c r="ROK1680" s="2730"/>
      <c r="ROL1680" s="2730"/>
      <c r="ROM1680" s="2730"/>
      <c r="RON1680" s="2730"/>
      <c r="ROO1680" s="2730"/>
      <c r="ROP1680" s="2730"/>
      <c r="ROQ1680" s="2730"/>
      <c r="ROR1680" s="2730"/>
      <c r="ROS1680" s="2730"/>
      <c r="ROT1680" s="2730"/>
      <c r="ROU1680" s="2730"/>
      <c r="ROV1680" s="2730"/>
      <c r="ROW1680" s="2730"/>
      <c r="ROX1680" s="2730"/>
      <c r="ROY1680" s="2730"/>
      <c r="ROZ1680" s="2730"/>
      <c r="RPA1680" s="2730"/>
      <c r="RPB1680" s="2730"/>
      <c r="RPC1680" s="2730"/>
      <c r="RPD1680" s="2730"/>
      <c r="RPE1680" s="2730"/>
      <c r="RPF1680" s="2730"/>
      <c r="RPG1680" s="2730"/>
      <c r="RPH1680" s="2730"/>
      <c r="RPI1680" s="2730"/>
      <c r="RPJ1680" s="2730"/>
      <c r="RPK1680" s="2730"/>
      <c r="RPL1680" s="2730"/>
      <c r="RPM1680" s="2730"/>
      <c r="RPN1680" s="2730"/>
      <c r="RPO1680" s="2730"/>
      <c r="RPP1680" s="2730"/>
      <c r="RPQ1680" s="2730"/>
      <c r="RPR1680" s="2730"/>
      <c r="RPS1680" s="2730"/>
      <c r="RPT1680" s="2730"/>
      <c r="RPU1680" s="2730"/>
      <c r="RPV1680" s="2730"/>
      <c r="RPW1680" s="2730"/>
      <c r="RPX1680" s="2730"/>
      <c r="RPY1680" s="2730"/>
      <c r="RPZ1680" s="2730"/>
      <c r="RQA1680" s="2730"/>
      <c r="RQB1680" s="2730"/>
      <c r="RQC1680" s="2730"/>
      <c r="RQD1680" s="2730"/>
      <c r="RQE1680" s="2730"/>
      <c r="RQF1680" s="2730"/>
      <c r="RQG1680" s="2730"/>
      <c r="RQH1680" s="2730"/>
      <c r="RQI1680" s="2730"/>
      <c r="RQJ1680" s="2730"/>
      <c r="RQK1680" s="2730"/>
      <c r="RQL1680" s="2730"/>
      <c r="RQM1680" s="2730"/>
      <c r="RQN1680" s="2730"/>
      <c r="RQO1680" s="2730"/>
      <c r="RQP1680" s="2730"/>
      <c r="RQQ1680" s="2730"/>
      <c r="RQR1680" s="2730"/>
      <c r="RQS1680" s="2730"/>
      <c r="RQT1680" s="2730"/>
      <c r="RQU1680" s="2730"/>
      <c r="RQV1680" s="2730"/>
      <c r="RQW1680" s="2730"/>
      <c r="RQX1680" s="2730"/>
      <c r="RQY1680" s="2730"/>
      <c r="RQZ1680" s="2730"/>
      <c r="RRA1680" s="2730"/>
      <c r="RRB1680" s="2730"/>
      <c r="RRC1680" s="2730"/>
      <c r="RRD1680" s="2730"/>
      <c r="RRE1680" s="2730"/>
      <c r="RRF1680" s="2730"/>
      <c r="RRG1680" s="2730"/>
      <c r="RRH1680" s="2730"/>
      <c r="RRI1680" s="2730"/>
      <c r="RRJ1680" s="2730"/>
      <c r="RRK1680" s="2730"/>
      <c r="RRL1680" s="2730"/>
      <c r="RRM1680" s="2730"/>
      <c r="RRN1680" s="2730"/>
      <c r="RRO1680" s="2730"/>
      <c r="RRP1680" s="2730"/>
      <c r="RRQ1680" s="2730"/>
      <c r="RRR1680" s="2730"/>
      <c r="RRS1680" s="2730"/>
      <c r="RRT1680" s="2730"/>
      <c r="RRU1680" s="2730"/>
      <c r="RRV1680" s="2730"/>
      <c r="RRW1680" s="2730"/>
      <c r="RRX1680" s="2730"/>
      <c r="RRY1680" s="2730"/>
      <c r="RRZ1680" s="2730"/>
      <c r="RSA1680" s="2730"/>
      <c r="RSB1680" s="2730"/>
      <c r="RSC1680" s="2730"/>
      <c r="RSD1680" s="2730"/>
      <c r="RSE1680" s="2730"/>
      <c r="RSF1680" s="2730"/>
      <c r="RSG1680" s="2730"/>
      <c r="RSH1680" s="2730"/>
      <c r="RSI1680" s="2730"/>
      <c r="RSJ1680" s="2730"/>
      <c r="RSK1680" s="2730"/>
      <c r="RSL1680" s="2730"/>
      <c r="RSM1680" s="2730"/>
      <c r="RSN1680" s="2730"/>
      <c r="RSO1680" s="2730"/>
      <c r="RSP1680" s="2730"/>
      <c r="RSQ1680" s="2730"/>
      <c r="RSR1680" s="2730"/>
      <c r="RSS1680" s="2730"/>
      <c r="RST1680" s="2730"/>
      <c r="RSU1680" s="2730"/>
      <c r="RSV1680" s="2730"/>
      <c r="RSW1680" s="2730"/>
      <c r="RSX1680" s="2730"/>
      <c r="RSY1680" s="2730"/>
      <c r="RSZ1680" s="2730"/>
      <c r="RTA1680" s="2730"/>
      <c r="RTB1680" s="2730"/>
      <c r="RTC1680" s="2730"/>
      <c r="RTD1680" s="2730"/>
      <c r="RTE1680" s="2730"/>
      <c r="RTF1680" s="2730"/>
      <c r="RTG1680" s="2730"/>
      <c r="RTH1680" s="2730"/>
      <c r="RTI1680" s="2730"/>
      <c r="RTJ1680" s="2730"/>
      <c r="RTK1680" s="2730"/>
      <c r="RTL1680" s="2730"/>
      <c r="RTM1680" s="2730"/>
      <c r="RTN1680" s="2730"/>
      <c r="RTO1680" s="2730"/>
      <c r="RTP1680" s="2730"/>
      <c r="RTQ1680" s="2730"/>
      <c r="RTR1680" s="2730"/>
      <c r="RTS1680" s="2730"/>
      <c r="RTT1680" s="2730"/>
      <c r="RTU1680" s="2730"/>
      <c r="RTV1680" s="2730"/>
      <c r="RTW1680" s="2730"/>
      <c r="RTX1680" s="2730"/>
      <c r="RTY1680" s="2730"/>
      <c r="RTZ1680" s="2730"/>
      <c r="RUA1680" s="2730"/>
      <c r="RUB1680" s="2730"/>
      <c r="RUC1680" s="2730"/>
      <c r="RUD1680" s="2730"/>
      <c r="RUE1680" s="2730"/>
      <c r="RUF1680" s="2730"/>
      <c r="RUG1680" s="2730"/>
      <c r="RUH1680" s="2730"/>
      <c r="RUI1680" s="2730"/>
      <c r="RUJ1680" s="2730"/>
      <c r="RUK1680" s="2730"/>
      <c r="RUL1680" s="2730"/>
      <c r="RUM1680" s="2730"/>
      <c r="RUN1680" s="2730"/>
      <c r="RUO1680" s="2730"/>
      <c r="RUP1680" s="2730"/>
      <c r="RUQ1680" s="2730"/>
      <c r="RUR1680" s="2730"/>
      <c r="RUS1680" s="2730"/>
      <c r="RUT1680" s="2730"/>
      <c r="RUU1680" s="2730"/>
      <c r="RUV1680" s="2730"/>
      <c r="RUW1680" s="2730"/>
      <c r="RUX1680" s="2730"/>
      <c r="RUY1680" s="2730"/>
      <c r="RUZ1680" s="2730"/>
      <c r="RVA1680" s="2730"/>
      <c r="RVB1680" s="2730"/>
      <c r="RVC1680" s="2730"/>
      <c r="RVD1680" s="2730"/>
      <c r="RVE1680" s="2730"/>
      <c r="RVF1680" s="2730"/>
      <c r="RVG1680" s="2730"/>
      <c r="RVH1680" s="2730"/>
      <c r="RVI1680" s="2730"/>
      <c r="RVJ1680" s="2730"/>
      <c r="RVK1680" s="2730"/>
      <c r="RVL1680" s="2730"/>
      <c r="RVM1680" s="2730"/>
      <c r="RVN1680" s="2730"/>
      <c r="RVO1680" s="2730"/>
      <c r="RVP1680" s="2730"/>
      <c r="RVQ1680" s="2730"/>
      <c r="RVR1680" s="2730"/>
      <c r="RVS1680" s="2730"/>
      <c r="RVT1680" s="2730"/>
      <c r="RVU1680" s="2730"/>
      <c r="RVV1680" s="2730"/>
      <c r="RVW1680" s="2730"/>
      <c r="RVX1680" s="2730"/>
      <c r="RVY1680" s="2730"/>
      <c r="RVZ1680" s="2730"/>
      <c r="RWA1680" s="2730"/>
      <c r="RWB1680" s="2730"/>
      <c r="RWC1680" s="2730"/>
      <c r="RWD1680" s="2730"/>
      <c r="RWE1680" s="2730"/>
      <c r="RWF1680" s="2730"/>
      <c r="RWG1680" s="2730"/>
      <c r="RWH1680" s="2730"/>
      <c r="RWI1680" s="2730"/>
      <c r="RWJ1680" s="2730"/>
      <c r="RWK1680" s="2730"/>
      <c r="RWL1680" s="2730"/>
      <c r="RWM1680" s="2730"/>
      <c r="RWN1680" s="2730"/>
      <c r="RWO1680" s="2730"/>
      <c r="RWP1680" s="2730"/>
      <c r="RWQ1680" s="2730"/>
      <c r="RWR1680" s="2730"/>
      <c r="RWS1680" s="2730"/>
      <c r="RWT1680" s="2730"/>
      <c r="RWU1680" s="2730"/>
      <c r="RWV1680" s="2730"/>
      <c r="RWW1680" s="2730"/>
      <c r="RWX1680" s="2730"/>
      <c r="RWY1680" s="2730"/>
      <c r="RWZ1680" s="2730"/>
      <c r="RXA1680" s="2730"/>
      <c r="RXB1680" s="2730"/>
      <c r="RXC1680" s="2730"/>
      <c r="RXD1680" s="2730"/>
      <c r="RXE1680" s="2730"/>
      <c r="RXF1680" s="2730"/>
      <c r="RXG1680" s="2730"/>
      <c r="RXH1680" s="2730"/>
      <c r="RXI1680" s="2730"/>
      <c r="RXJ1680" s="2730"/>
      <c r="RXK1680" s="2730"/>
      <c r="RXL1680" s="2730"/>
      <c r="RXM1680" s="2730"/>
      <c r="RXN1680" s="2730"/>
      <c r="RXO1680" s="2730"/>
      <c r="RXP1680" s="2730"/>
      <c r="RXQ1680" s="2730"/>
      <c r="RXR1680" s="2730"/>
      <c r="RXS1680" s="2730"/>
      <c r="RXT1680" s="2730"/>
      <c r="RXU1680" s="2730"/>
      <c r="RXV1680" s="2730"/>
      <c r="RXW1680" s="2730"/>
      <c r="RXX1680" s="2730"/>
      <c r="RXY1680" s="2730"/>
      <c r="RXZ1680" s="2730"/>
      <c r="RYA1680" s="2730"/>
      <c r="RYB1680" s="2730"/>
      <c r="RYC1680" s="2730"/>
      <c r="RYD1680" s="2730"/>
      <c r="RYE1680" s="2730"/>
      <c r="RYF1680" s="2730"/>
      <c r="RYG1680" s="2730"/>
      <c r="RYH1680" s="2730"/>
      <c r="RYI1680" s="2730"/>
      <c r="RYJ1680" s="2730"/>
      <c r="RYK1680" s="2730"/>
      <c r="RYL1680" s="2730"/>
      <c r="RYM1680" s="2730"/>
      <c r="RYN1680" s="2730"/>
      <c r="RYO1680" s="2730"/>
      <c r="RYP1680" s="2730"/>
      <c r="RYQ1680" s="2730"/>
      <c r="RYR1680" s="2730"/>
      <c r="RYS1680" s="2730"/>
      <c r="RYT1680" s="2730"/>
      <c r="RYU1680" s="2730"/>
      <c r="RYV1680" s="2730"/>
      <c r="RYW1680" s="2730"/>
      <c r="RYX1680" s="2730"/>
      <c r="RYY1680" s="2730"/>
      <c r="RYZ1680" s="2730"/>
      <c r="RZA1680" s="2730"/>
      <c r="RZB1680" s="2730"/>
      <c r="RZC1680" s="2730"/>
      <c r="RZD1680" s="2730"/>
      <c r="RZE1680" s="2730"/>
      <c r="RZF1680" s="2730"/>
      <c r="RZG1680" s="2730"/>
      <c r="RZH1680" s="2730"/>
      <c r="RZI1680" s="2730"/>
      <c r="RZJ1680" s="2730"/>
      <c r="RZK1680" s="2730"/>
      <c r="RZL1680" s="2730"/>
      <c r="RZM1680" s="2730"/>
      <c r="RZN1680" s="2730"/>
      <c r="RZO1680" s="2730"/>
      <c r="RZP1680" s="2730"/>
      <c r="RZQ1680" s="2730"/>
      <c r="RZR1680" s="2730"/>
      <c r="RZS1680" s="2730"/>
      <c r="RZT1680" s="2730"/>
      <c r="RZU1680" s="2730"/>
      <c r="RZV1680" s="2730"/>
      <c r="RZW1680" s="2730"/>
      <c r="RZX1680" s="2730"/>
      <c r="RZY1680" s="2730"/>
      <c r="RZZ1680" s="2730"/>
      <c r="SAA1680" s="2730"/>
      <c r="SAB1680" s="2730"/>
      <c r="SAC1680" s="2730"/>
      <c r="SAD1680" s="2730"/>
      <c r="SAE1680" s="2730"/>
      <c r="SAF1680" s="2730"/>
      <c r="SAG1680" s="2730"/>
      <c r="SAH1680" s="2730"/>
      <c r="SAI1680" s="2730"/>
      <c r="SAJ1680" s="2730"/>
      <c r="SAK1680" s="2730"/>
      <c r="SAL1680" s="2730"/>
      <c r="SAM1680" s="2730"/>
      <c r="SAN1680" s="2730"/>
      <c r="SAO1680" s="2730"/>
      <c r="SAP1680" s="2730"/>
      <c r="SAQ1680" s="2730"/>
      <c r="SAR1680" s="2730"/>
      <c r="SAS1680" s="2730"/>
      <c r="SAT1680" s="2730"/>
      <c r="SAU1680" s="2730"/>
      <c r="SAV1680" s="2730"/>
      <c r="SAW1680" s="2730"/>
      <c r="SAX1680" s="2730"/>
      <c r="SAY1680" s="2730"/>
      <c r="SAZ1680" s="2730"/>
      <c r="SBA1680" s="2730"/>
      <c r="SBB1680" s="2730"/>
      <c r="SBC1680" s="2730"/>
      <c r="SBD1680" s="2730"/>
      <c r="SBE1680" s="2730"/>
      <c r="SBF1680" s="2730"/>
      <c r="SBG1680" s="2730"/>
      <c r="SBH1680" s="2730"/>
      <c r="SBI1680" s="2730"/>
      <c r="SBJ1680" s="2730"/>
      <c r="SBK1680" s="2730"/>
      <c r="SBL1680" s="2730"/>
      <c r="SBM1680" s="2730"/>
      <c r="SBN1680" s="2730"/>
      <c r="SBO1680" s="2730"/>
      <c r="SBP1680" s="2730"/>
      <c r="SBQ1680" s="2730"/>
      <c r="SBR1680" s="2730"/>
      <c r="SBS1680" s="2730"/>
      <c r="SBT1680" s="2730"/>
      <c r="SBU1680" s="2730"/>
      <c r="SBV1680" s="2730"/>
      <c r="SBW1680" s="2730"/>
      <c r="SBX1680" s="2730"/>
      <c r="SBY1680" s="2730"/>
      <c r="SBZ1680" s="2730"/>
      <c r="SCA1680" s="2730"/>
      <c r="SCB1680" s="2730"/>
      <c r="SCC1680" s="2730"/>
      <c r="SCD1680" s="2730"/>
      <c r="SCE1680" s="2730"/>
      <c r="SCF1680" s="2730"/>
      <c r="SCG1680" s="2730"/>
      <c r="SCH1680" s="2730"/>
      <c r="SCI1680" s="2730"/>
      <c r="SCJ1680" s="2730"/>
      <c r="SCK1680" s="2730"/>
      <c r="SCL1680" s="2730"/>
      <c r="SCM1680" s="2730"/>
      <c r="SCN1680" s="2730"/>
      <c r="SCO1680" s="2730"/>
      <c r="SCP1680" s="2730"/>
      <c r="SCQ1680" s="2730"/>
      <c r="SCR1680" s="2730"/>
      <c r="SCS1680" s="2730"/>
      <c r="SCT1680" s="2730"/>
      <c r="SCU1680" s="2730"/>
      <c r="SCV1680" s="2730"/>
      <c r="SCW1680" s="2730"/>
      <c r="SCX1680" s="2730"/>
      <c r="SCY1680" s="2730"/>
      <c r="SCZ1680" s="2730"/>
      <c r="SDA1680" s="2730"/>
      <c r="SDB1680" s="2730"/>
      <c r="SDC1680" s="2730"/>
      <c r="SDD1680" s="2730"/>
      <c r="SDE1680" s="2730"/>
      <c r="SDF1680" s="2730"/>
      <c r="SDG1680" s="2730"/>
      <c r="SDH1680" s="2730"/>
      <c r="SDI1680" s="2730"/>
      <c r="SDJ1680" s="2730"/>
      <c r="SDK1680" s="2730"/>
      <c r="SDL1680" s="2730"/>
      <c r="SDM1680" s="2730"/>
      <c r="SDN1680" s="2730"/>
      <c r="SDO1680" s="2730"/>
      <c r="SDP1680" s="2730"/>
      <c r="SDQ1680" s="2730"/>
      <c r="SDR1680" s="2730"/>
      <c r="SDS1680" s="2730"/>
      <c r="SDT1680" s="2730"/>
      <c r="SDU1680" s="2730"/>
      <c r="SDV1680" s="2730"/>
      <c r="SDW1680" s="2730"/>
      <c r="SDX1680" s="2730"/>
      <c r="SDY1680" s="2730"/>
      <c r="SDZ1680" s="2730"/>
      <c r="SEA1680" s="2730"/>
      <c r="SEB1680" s="2730"/>
      <c r="SEC1680" s="2730"/>
      <c r="SED1680" s="2730"/>
      <c r="SEE1680" s="2730"/>
      <c r="SEF1680" s="2730"/>
      <c r="SEG1680" s="2730"/>
      <c r="SEH1680" s="2730"/>
      <c r="SEI1680" s="2730"/>
      <c r="SEJ1680" s="2730"/>
      <c r="SEK1680" s="2730"/>
      <c r="SEL1680" s="2730"/>
      <c r="SEM1680" s="2730"/>
      <c r="SEN1680" s="2730"/>
      <c r="SEO1680" s="2730"/>
      <c r="SEP1680" s="2730"/>
      <c r="SEQ1680" s="2730"/>
      <c r="SER1680" s="2730"/>
      <c r="SES1680" s="2730"/>
      <c r="SET1680" s="2730"/>
      <c r="SEU1680" s="2730"/>
      <c r="SEV1680" s="2730"/>
      <c r="SEW1680" s="2730"/>
      <c r="SEX1680" s="2730"/>
      <c r="SEY1680" s="2730"/>
      <c r="SEZ1680" s="2730"/>
      <c r="SFA1680" s="2730"/>
      <c r="SFB1680" s="2730"/>
      <c r="SFC1680" s="2730"/>
      <c r="SFD1680" s="2730"/>
      <c r="SFE1680" s="2730"/>
      <c r="SFF1680" s="2730"/>
      <c r="SFG1680" s="2730"/>
      <c r="SFH1680" s="2730"/>
      <c r="SFI1680" s="2730"/>
      <c r="SFJ1680" s="2730"/>
      <c r="SFK1680" s="2730"/>
      <c r="SFL1680" s="2730"/>
      <c r="SFM1680" s="2730"/>
      <c r="SFN1680" s="2730"/>
      <c r="SFO1680" s="2730"/>
      <c r="SFP1680" s="2730"/>
      <c r="SFQ1680" s="2730"/>
      <c r="SFR1680" s="2730"/>
      <c r="SFS1680" s="2730"/>
      <c r="SFT1680" s="2730"/>
      <c r="SFU1680" s="2730"/>
      <c r="SFV1680" s="2730"/>
      <c r="SFW1680" s="2730"/>
      <c r="SFX1680" s="2730"/>
      <c r="SFY1680" s="2730"/>
      <c r="SFZ1680" s="2730"/>
      <c r="SGA1680" s="2730"/>
      <c r="SGB1680" s="2730"/>
      <c r="SGC1680" s="2730"/>
      <c r="SGD1680" s="2730"/>
      <c r="SGE1680" s="2730"/>
      <c r="SGF1680" s="2730"/>
      <c r="SGG1680" s="2730"/>
      <c r="SGH1680" s="2730"/>
      <c r="SGI1680" s="2730"/>
      <c r="SGJ1680" s="2730"/>
      <c r="SGK1680" s="2730"/>
      <c r="SGL1680" s="2730"/>
      <c r="SGM1680" s="2730"/>
      <c r="SGN1680" s="2730"/>
      <c r="SGO1680" s="2730"/>
      <c r="SGP1680" s="2730"/>
      <c r="SGQ1680" s="2730"/>
      <c r="SGR1680" s="2730"/>
      <c r="SGS1680" s="2730"/>
      <c r="SGT1680" s="2730"/>
      <c r="SGU1680" s="2730"/>
      <c r="SGV1680" s="2730"/>
      <c r="SGW1680" s="2730"/>
      <c r="SGX1680" s="2730"/>
      <c r="SGY1680" s="2730"/>
      <c r="SGZ1680" s="2730"/>
      <c r="SHA1680" s="2730"/>
      <c r="SHB1680" s="2730"/>
      <c r="SHC1680" s="2730"/>
      <c r="SHD1680" s="2730"/>
      <c r="SHE1680" s="2730"/>
      <c r="SHF1680" s="2730"/>
      <c r="SHG1680" s="2730"/>
      <c r="SHH1680" s="2730"/>
      <c r="SHI1680" s="2730"/>
      <c r="SHJ1680" s="2730"/>
      <c r="SHK1680" s="2730"/>
      <c r="SHL1680" s="2730"/>
      <c r="SHM1680" s="2730"/>
      <c r="SHN1680" s="2730"/>
      <c r="SHO1680" s="2730"/>
      <c r="SHP1680" s="2730"/>
      <c r="SHQ1680" s="2730"/>
      <c r="SHR1680" s="2730"/>
      <c r="SHS1680" s="2730"/>
      <c r="SHT1680" s="2730"/>
      <c r="SHU1680" s="2730"/>
      <c r="SHV1680" s="2730"/>
      <c r="SHW1680" s="2730"/>
      <c r="SHX1680" s="2730"/>
      <c r="SHY1680" s="2730"/>
      <c r="SHZ1680" s="2730"/>
      <c r="SIA1680" s="2730"/>
      <c r="SIB1680" s="2730"/>
      <c r="SIC1680" s="2730"/>
      <c r="SID1680" s="2730"/>
      <c r="SIE1680" s="2730"/>
      <c r="SIF1680" s="2730"/>
      <c r="SIG1680" s="2730"/>
      <c r="SIH1680" s="2730"/>
      <c r="SII1680" s="2730"/>
      <c r="SIJ1680" s="2730"/>
      <c r="SIK1680" s="2730"/>
      <c r="SIL1680" s="2730"/>
      <c r="SIM1680" s="2730"/>
      <c r="SIN1680" s="2730"/>
      <c r="SIO1680" s="2730"/>
      <c r="SIP1680" s="2730"/>
      <c r="SIQ1680" s="2730"/>
      <c r="SIR1680" s="2730"/>
      <c r="SIS1680" s="2730"/>
      <c r="SIT1680" s="2730"/>
      <c r="SIU1680" s="2730"/>
      <c r="SIV1680" s="2730"/>
      <c r="SIW1680" s="2730"/>
      <c r="SIX1680" s="2730"/>
      <c r="SIY1680" s="2730"/>
      <c r="SIZ1680" s="2730"/>
      <c r="SJA1680" s="2730"/>
      <c r="SJB1680" s="2730"/>
      <c r="SJC1680" s="2730"/>
      <c r="SJD1680" s="2730"/>
      <c r="SJE1680" s="2730"/>
      <c r="SJF1680" s="2730"/>
      <c r="SJG1680" s="2730"/>
      <c r="SJH1680" s="2730"/>
      <c r="SJI1680" s="2730"/>
      <c r="SJJ1680" s="2730"/>
      <c r="SJK1680" s="2730"/>
      <c r="SJL1680" s="2730"/>
      <c r="SJM1680" s="2730"/>
      <c r="SJN1680" s="2730"/>
      <c r="SJO1680" s="2730"/>
      <c r="SJP1680" s="2730"/>
      <c r="SJQ1680" s="2730"/>
      <c r="SJR1680" s="2730"/>
      <c r="SJS1680" s="2730"/>
      <c r="SJT1680" s="2730"/>
      <c r="SJU1680" s="2730"/>
      <c r="SJV1680" s="2730"/>
      <c r="SJW1680" s="2730"/>
      <c r="SJX1680" s="2730"/>
      <c r="SJY1680" s="2730"/>
      <c r="SJZ1680" s="2730"/>
      <c r="SKA1680" s="2730"/>
      <c r="SKB1680" s="2730"/>
      <c r="SKC1680" s="2730"/>
      <c r="SKD1680" s="2730"/>
      <c r="SKE1680" s="2730"/>
      <c r="SKF1680" s="2730"/>
      <c r="SKG1680" s="2730"/>
      <c r="SKH1680" s="2730"/>
      <c r="SKI1680" s="2730"/>
      <c r="SKJ1680" s="2730"/>
      <c r="SKK1680" s="2730"/>
      <c r="SKL1680" s="2730"/>
      <c r="SKM1680" s="2730"/>
      <c r="SKN1680" s="2730"/>
      <c r="SKO1680" s="2730"/>
      <c r="SKP1680" s="2730"/>
      <c r="SKQ1680" s="2730"/>
      <c r="SKR1680" s="2730"/>
      <c r="SKS1680" s="2730"/>
      <c r="SKT1680" s="2730"/>
      <c r="SKU1680" s="2730"/>
      <c r="SKV1680" s="2730"/>
      <c r="SKW1680" s="2730"/>
      <c r="SKX1680" s="2730"/>
      <c r="SKY1680" s="2730"/>
      <c r="SKZ1680" s="2730"/>
      <c r="SLA1680" s="2730"/>
      <c r="SLB1680" s="2730"/>
      <c r="SLC1680" s="2730"/>
      <c r="SLD1680" s="2730"/>
      <c r="SLE1680" s="2730"/>
      <c r="SLF1680" s="2730"/>
      <c r="SLG1680" s="2730"/>
      <c r="SLH1680" s="2730"/>
      <c r="SLI1680" s="2730"/>
      <c r="SLJ1680" s="2730"/>
      <c r="SLK1680" s="2730"/>
      <c r="SLL1680" s="2730"/>
      <c r="SLM1680" s="2730"/>
      <c r="SLN1680" s="2730"/>
      <c r="SLO1680" s="2730"/>
      <c r="SLP1680" s="2730"/>
      <c r="SLQ1680" s="2730"/>
      <c r="SLR1680" s="2730"/>
      <c r="SLS1680" s="2730"/>
      <c r="SLT1680" s="2730"/>
      <c r="SLU1680" s="2730"/>
      <c r="SLV1680" s="2730"/>
      <c r="SLW1680" s="2730"/>
      <c r="SLX1680" s="2730"/>
      <c r="SLY1680" s="2730"/>
      <c r="SLZ1680" s="2730"/>
      <c r="SMA1680" s="2730"/>
      <c r="SMB1680" s="2730"/>
      <c r="SMC1680" s="2730"/>
      <c r="SMD1680" s="2730"/>
      <c r="SME1680" s="2730"/>
      <c r="SMF1680" s="2730"/>
      <c r="SMG1680" s="2730"/>
      <c r="SMH1680" s="2730"/>
      <c r="SMI1680" s="2730"/>
      <c r="SMJ1680" s="2730"/>
      <c r="SMK1680" s="2730"/>
      <c r="SML1680" s="2730"/>
      <c r="SMM1680" s="2730"/>
      <c r="SMN1680" s="2730"/>
      <c r="SMO1680" s="2730"/>
      <c r="SMP1680" s="2730"/>
      <c r="SMQ1680" s="2730"/>
      <c r="SMR1680" s="2730"/>
      <c r="SMS1680" s="2730"/>
      <c r="SMT1680" s="2730"/>
      <c r="SMU1680" s="2730"/>
      <c r="SMV1680" s="2730"/>
      <c r="SMW1680" s="2730"/>
      <c r="SMX1680" s="2730"/>
      <c r="SMY1680" s="2730"/>
      <c r="SMZ1680" s="2730"/>
      <c r="SNA1680" s="2730"/>
      <c r="SNB1680" s="2730"/>
      <c r="SNC1680" s="2730"/>
      <c r="SND1680" s="2730"/>
      <c r="SNE1680" s="2730"/>
      <c r="SNF1680" s="2730"/>
      <c r="SNG1680" s="2730"/>
      <c r="SNH1680" s="2730"/>
      <c r="SNI1680" s="2730"/>
      <c r="SNJ1680" s="2730"/>
      <c r="SNK1680" s="2730"/>
      <c r="SNL1680" s="2730"/>
      <c r="SNM1680" s="2730"/>
      <c r="SNN1680" s="2730"/>
      <c r="SNO1680" s="2730"/>
      <c r="SNP1680" s="2730"/>
      <c r="SNQ1680" s="2730"/>
      <c r="SNR1680" s="2730"/>
      <c r="SNS1680" s="2730"/>
      <c r="SNT1680" s="2730"/>
      <c r="SNU1680" s="2730"/>
      <c r="SNV1680" s="2730"/>
      <c r="SNW1680" s="2730"/>
      <c r="SNX1680" s="2730"/>
      <c r="SNY1680" s="2730"/>
      <c r="SNZ1680" s="2730"/>
      <c r="SOA1680" s="2730"/>
      <c r="SOB1680" s="2730"/>
      <c r="SOC1680" s="2730"/>
      <c r="SOD1680" s="2730"/>
      <c r="SOE1680" s="2730"/>
      <c r="SOF1680" s="2730"/>
      <c r="SOG1680" s="2730"/>
      <c r="SOH1680" s="2730"/>
      <c r="SOI1680" s="2730"/>
      <c r="SOJ1680" s="2730"/>
      <c r="SOK1680" s="2730"/>
      <c r="SOL1680" s="2730"/>
      <c r="SOM1680" s="2730"/>
      <c r="SON1680" s="2730"/>
      <c r="SOO1680" s="2730"/>
      <c r="SOP1680" s="2730"/>
      <c r="SOQ1680" s="2730"/>
      <c r="SOR1680" s="2730"/>
      <c r="SOS1680" s="2730"/>
      <c r="SOT1680" s="2730"/>
      <c r="SOU1680" s="2730"/>
      <c r="SOV1680" s="2730"/>
      <c r="SOW1680" s="2730"/>
      <c r="SOX1680" s="2730"/>
      <c r="SOY1680" s="2730"/>
      <c r="SOZ1680" s="2730"/>
      <c r="SPA1680" s="2730"/>
      <c r="SPB1680" s="2730"/>
      <c r="SPC1680" s="2730"/>
      <c r="SPD1680" s="2730"/>
      <c r="SPE1680" s="2730"/>
      <c r="SPF1680" s="2730"/>
      <c r="SPG1680" s="2730"/>
      <c r="SPH1680" s="2730"/>
      <c r="SPI1680" s="2730"/>
      <c r="SPJ1680" s="2730"/>
      <c r="SPK1680" s="2730"/>
      <c r="SPL1680" s="2730"/>
      <c r="SPM1680" s="2730"/>
      <c r="SPN1680" s="2730"/>
      <c r="SPO1680" s="2730"/>
      <c r="SPP1680" s="2730"/>
      <c r="SPQ1680" s="2730"/>
      <c r="SPR1680" s="2730"/>
      <c r="SPS1680" s="2730"/>
      <c r="SPT1680" s="2730"/>
      <c r="SPU1680" s="2730"/>
      <c r="SPV1680" s="2730"/>
      <c r="SPW1680" s="2730"/>
      <c r="SPX1680" s="2730"/>
      <c r="SPY1680" s="2730"/>
      <c r="SPZ1680" s="2730"/>
      <c r="SQA1680" s="2730"/>
      <c r="SQB1680" s="2730"/>
      <c r="SQC1680" s="2730"/>
      <c r="SQD1680" s="2730"/>
      <c r="SQE1680" s="2730"/>
      <c r="SQF1680" s="2730"/>
      <c r="SQG1680" s="2730"/>
      <c r="SQH1680" s="2730"/>
      <c r="SQI1680" s="2730"/>
      <c r="SQJ1680" s="2730"/>
      <c r="SQK1680" s="2730"/>
      <c r="SQL1680" s="2730"/>
      <c r="SQM1680" s="2730"/>
      <c r="SQN1680" s="2730"/>
      <c r="SQO1680" s="2730"/>
      <c r="SQP1680" s="2730"/>
      <c r="SQQ1680" s="2730"/>
      <c r="SQR1680" s="2730"/>
      <c r="SQS1680" s="2730"/>
      <c r="SQT1680" s="2730"/>
      <c r="SQU1680" s="2730"/>
      <c r="SQV1680" s="2730"/>
      <c r="SQW1680" s="2730"/>
      <c r="SQX1680" s="2730"/>
      <c r="SQY1680" s="2730"/>
      <c r="SQZ1680" s="2730"/>
      <c r="SRA1680" s="2730"/>
      <c r="SRB1680" s="2730"/>
      <c r="SRC1680" s="2730"/>
      <c r="SRD1680" s="2730"/>
      <c r="SRE1680" s="2730"/>
      <c r="SRF1680" s="2730"/>
      <c r="SRG1680" s="2730"/>
      <c r="SRH1680" s="2730"/>
      <c r="SRI1680" s="2730"/>
      <c r="SRJ1680" s="2730"/>
      <c r="SRK1680" s="2730"/>
      <c r="SRL1680" s="2730"/>
      <c r="SRM1680" s="2730"/>
      <c r="SRN1680" s="2730"/>
      <c r="SRO1680" s="2730"/>
      <c r="SRP1680" s="2730"/>
      <c r="SRQ1680" s="2730"/>
      <c r="SRR1680" s="2730"/>
      <c r="SRS1680" s="2730"/>
      <c r="SRT1680" s="2730"/>
      <c r="SRU1680" s="2730"/>
      <c r="SRV1680" s="2730"/>
      <c r="SRW1680" s="2730"/>
      <c r="SRX1680" s="2730"/>
      <c r="SRY1680" s="2730"/>
      <c r="SRZ1680" s="2730"/>
      <c r="SSA1680" s="2730"/>
      <c r="SSB1680" s="2730"/>
      <c r="SSC1680" s="2730"/>
      <c r="SSD1680" s="2730"/>
      <c r="SSE1680" s="2730"/>
      <c r="SSF1680" s="2730"/>
      <c r="SSG1680" s="2730"/>
      <c r="SSH1680" s="2730"/>
      <c r="SSI1680" s="2730"/>
      <c r="SSJ1680" s="2730"/>
      <c r="SSK1680" s="2730"/>
      <c r="SSL1680" s="2730"/>
      <c r="SSM1680" s="2730"/>
      <c r="SSN1680" s="2730"/>
      <c r="SSO1680" s="2730"/>
      <c r="SSP1680" s="2730"/>
      <c r="SSQ1680" s="2730"/>
      <c r="SSR1680" s="2730"/>
      <c r="SSS1680" s="2730"/>
      <c r="SST1680" s="2730"/>
      <c r="SSU1680" s="2730"/>
      <c r="SSV1680" s="2730"/>
      <c r="SSW1680" s="2730"/>
      <c r="SSX1680" s="2730"/>
      <c r="SSY1680" s="2730"/>
      <c r="SSZ1680" s="2730"/>
      <c r="STA1680" s="2730"/>
      <c r="STB1680" s="2730"/>
      <c r="STC1680" s="2730"/>
      <c r="STD1680" s="2730"/>
      <c r="STE1680" s="2730"/>
      <c r="STF1680" s="2730"/>
      <c r="STG1680" s="2730"/>
      <c r="STH1680" s="2730"/>
      <c r="STI1680" s="2730"/>
      <c r="STJ1680" s="2730"/>
      <c r="STK1680" s="2730"/>
      <c r="STL1680" s="2730"/>
      <c r="STM1680" s="2730"/>
      <c r="STN1680" s="2730"/>
      <c r="STO1680" s="2730"/>
      <c r="STP1680" s="2730"/>
      <c r="STQ1680" s="2730"/>
      <c r="STR1680" s="2730"/>
      <c r="STS1680" s="2730"/>
      <c r="STT1680" s="2730"/>
      <c r="STU1680" s="2730"/>
      <c r="STV1680" s="2730"/>
      <c r="STW1680" s="2730"/>
      <c r="STX1680" s="2730"/>
      <c r="STY1680" s="2730"/>
      <c r="STZ1680" s="2730"/>
      <c r="SUA1680" s="2730"/>
      <c r="SUB1680" s="2730"/>
      <c r="SUC1680" s="2730"/>
      <c r="SUD1680" s="2730"/>
      <c r="SUE1680" s="2730"/>
      <c r="SUF1680" s="2730"/>
      <c r="SUG1680" s="2730"/>
      <c r="SUH1680" s="2730"/>
      <c r="SUI1680" s="2730"/>
      <c r="SUJ1680" s="2730"/>
      <c r="SUK1680" s="2730"/>
      <c r="SUL1680" s="2730"/>
      <c r="SUM1680" s="2730"/>
      <c r="SUN1680" s="2730"/>
      <c r="SUO1680" s="2730"/>
      <c r="SUP1680" s="2730"/>
      <c r="SUQ1680" s="2730"/>
      <c r="SUR1680" s="2730"/>
      <c r="SUS1680" s="2730"/>
      <c r="SUT1680" s="2730"/>
      <c r="SUU1680" s="2730"/>
      <c r="SUV1680" s="2730"/>
      <c r="SUW1680" s="2730"/>
      <c r="SUX1680" s="2730"/>
      <c r="SUY1680" s="2730"/>
      <c r="SUZ1680" s="2730"/>
      <c r="SVA1680" s="2730"/>
      <c r="SVB1680" s="2730"/>
      <c r="SVC1680" s="2730"/>
      <c r="SVD1680" s="2730"/>
      <c r="SVE1680" s="2730"/>
      <c r="SVF1680" s="2730"/>
      <c r="SVG1680" s="2730"/>
      <c r="SVH1680" s="2730"/>
      <c r="SVI1680" s="2730"/>
      <c r="SVJ1680" s="2730"/>
      <c r="SVK1680" s="2730"/>
      <c r="SVL1680" s="2730"/>
      <c r="SVM1680" s="2730"/>
      <c r="SVN1680" s="2730"/>
      <c r="SVO1680" s="2730"/>
      <c r="SVP1680" s="2730"/>
      <c r="SVQ1680" s="2730"/>
      <c r="SVR1680" s="2730"/>
      <c r="SVS1680" s="2730"/>
      <c r="SVT1680" s="2730"/>
      <c r="SVU1680" s="2730"/>
      <c r="SVV1680" s="2730"/>
      <c r="SVW1680" s="2730"/>
      <c r="SVX1680" s="2730"/>
      <c r="SVY1680" s="2730"/>
      <c r="SVZ1680" s="2730"/>
      <c r="SWA1680" s="2730"/>
      <c r="SWB1680" s="2730"/>
      <c r="SWC1680" s="2730"/>
      <c r="SWD1680" s="2730"/>
      <c r="SWE1680" s="2730"/>
      <c r="SWF1680" s="2730"/>
      <c r="SWG1680" s="2730"/>
      <c r="SWH1680" s="2730"/>
      <c r="SWI1680" s="2730"/>
      <c r="SWJ1680" s="2730"/>
      <c r="SWK1680" s="2730"/>
      <c r="SWL1680" s="2730"/>
      <c r="SWM1680" s="2730"/>
      <c r="SWN1680" s="2730"/>
      <c r="SWO1680" s="2730"/>
      <c r="SWP1680" s="2730"/>
      <c r="SWQ1680" s="2730"/>
      <c r="SWR1680" s="2730"/>
      <c r="SWS1680" s="2730"/>
      <c r="SWT1680" s="2730"/>
      <c r="SWU1680" s="2730"/>
      <c r="SWV1680" s="2730"/>
      <c r="SWW1680" s="2730"/>
      <c r="SWX1680" s="2730"/>
      <c r="SWY1680" s="2730"/>
      <c r="SWZ1680" s="2730"/>
      <c r="SXA1680" s="2730"/>
      <c r="SXB1680" s="2730"/>
      <c r="SXC1680" s="2730"/>
      <c r="SXD1680" s="2730"/>
      <c r="SXE1680" s="2730"/>
      <c r="SXF1680" s="2730"/>
      <c r="SXG1680" s="2730"/>
      <c r="SXH1680" s="2730"/>
      <c r="SXI1680" s="2730"/>
      <c r="SXJ1680" s="2730"/>
      <c r="SXK1680" s="2730"/>
      <c r="SXL1680" s="2730"/>
      <c r="SXM1680" s="2730"/>
      <c r="SXN1680" s="2730"/>
      <c r="SXO1680" s="2730"/>
      <c r="SXP1680" s="2730"/>
      <c r="SXQ1680" s="2730"/>
      <c r="SXR1680" s="2730"/>
      <c r="SXS1680" s="2730"/>
      <c r="SXT1680" s="2730"/>
      <c r="SXU1680" s="2730"/>
      <c r="SXV1680" s="2730"/>
      <c r="SXW1680" s="2730"/>
      <c r="SXX1680" s="2730"/>
      <c r="SXY1680" s="2730"/>
      <c r="SXZ1680" s="2730"/>
      <c r="SYA1680" s="2730"/>
      <c r="SYB1680" s="2730"/>
      <c r="SYC1680" s="2730"/>
      <c r="SYD1680" s="2730"/>
      <c r="SYE1680" s="2730"/>
      <c r="SYF1680" s="2730"/>
      <c r="SYG1680" s="2730"/>
      <c r="SYH1680" s="2730"/>
      <c r="SYI1680" s="2730"/>
      <c r="SYJ1680" s="2730"/>
      <c r="SYK1680" s="2730"/>
      <c r="SYL1680" s="2730"/>
      <c r="SYM1680" s="2730"/>
      <c r="SYN1680" s="2730"/>
      <c r="SYO1680" s="2730"/>
      <c r="SYP1680" s="2730"/>
      <c r="SYQ1680" s="2730"/>
      <c r="SYR1680" s="2730"/>
      <c r="SYS1680" s="2730"/>
      <c r="SYT1680" s="2730"/>
      <c r="SYU1680" s="2730"/>
      <c r="SYV1680" s="2730"/>
      <c r="SYW1680" s="2730"/>
      <c r="SYX1680" s="2730"/>
      <c r="SYY1680" s="2730"/>
      <c r="SYZ1680" s="2730"/>
      <c r="SZA1680" s="2730"/>
      <c r="SZB1680" s="2730"/>
      <c r="SZC1680" s="2730"/>
      <c r="SZD1680" s="2730"/>
      <c r="SZE1680" s="2730"/>
      <c r="SZF1680" s="2730"/>
      <c r="SZG1680" s="2730"/>
      <c r="SZH1680" s="2730"/>
      <c r="SZI1680" s="2730"/>
      <c r="SZJ1680" s="2730"/>
      <c r="SZK1680" s="2730"/>
      <c r="SZL1680" s="2730"/>
      <c r="SZM1680" s="2730"/>
      <c r="SZN1680" s="2730"/>
      <c r="SZO1680" s="2730"/>
      <c r="SZP1680" s="2730"/>
      <c r="SZQ1680" s="2730"/>
      <c r="SZR1680" s="2730"/>
      <c r="SZS1680" s="2730"/>
      <c r="SZT1680" s="2730"/>
      <c r="SZU1680" s="2730"/>
      <c r="SZV1680" s="2730"/>
      <c r="SZW1680" s="2730"/>
      <c r="SZX1680" s="2730"/>
      <c r="SZY1680" s="2730"/>
      <c r="SZZ1680" s="2730"/>
      <c r="TAA1680" s="2730"/>
      <c r="TAB1680" s="2730"/>
      <c r="TAC1680" s="2730"/>
      <c r="TAD1680" s="2730"/>
      <c r="TAE1680" s="2730"/>
      <c r="TAF1680" s="2730"/>
      <c r="TAG1680" s="2730"/>
      <c r="TAH1680" s="2730"/>
      <c r="TAI1680" s="2730"/>
      <c r="TAJ1680" s="2730"/>
      <c r="TAK1680" s="2730"/>
      <c r="TAL1680" s="2730"/>
      <c r="TAM1680" s="2730"/>
      <c r="TAN1680" s="2730"/>
      <c r="TAO1680" s="2730"/>
      <c r="TAP1680" s="2730"/>
      <c r="TAQ1680" s="2730"/>
      <c r="TAR1680" s="2730"/>
      <c r="TAS1680" s="2730"/>
      <c r="TAT1680" s="2730"/>
      <c r="TAU1680" s="2730"/>
      <c r="TAV1680" s="2730"/>
      <c r="TAW1680" s="2730"/>
      <c r="TAX1680" s="2730"/>
      <c r="TAY1680" s="2730"/>
      <c r="TAZ1680" s="2730"/>
      <c r="TBA1680" s="2730"/>
      <c r="TBB1680" s="2730"/>
      <c r="TBC1680" s="2730"/>
      <c r="TBD1680" s="2730"/>
      <c r="TBE1680" s="2730"/>
      <c r="TBF1680" s="2730"/>
      <c r="TBG1680" s="2730"/>
      <c r="TBH1680" s="2730"/>
      <c r="TBI1680" s="2730"/>
      <c r="TBJ1680" s="2730"/>
      <c r="TBK1680" s="2730"/>
      <c r="TBL1680" s="2730"/>
      <c r="TBM1680" s="2730"/>
      <c r="TBN1680" s="2730"/>
      <c r="TBO1680" s="2730"/>
      <c r="TBP1680" s="2730"/>
      <c r="TBQ1680" s="2730"/>
      <c r="TBR1680" s="2730"/>
      <c r="TBS1680" s="2730"/>
      <c r="TBT1680" s="2730"/>
      <c r="TBU1680" s="2730"/>
      <c r="TBV1680" s="2730"/>
      <c r="TBW1680" s="2730"/>
      <c r="TBX1680" s="2730"/>
      <c r="TBY1680" s="2730"/>
      <c r="TBZ1680" s="2730"/>
      <c r="TCA1680" s="2730"/>
      <c r="TCB1680" s="2730"/>
      <c r="TCC1680" s="2730"/>
      <c r="TCD1680" s="2730"/>
      <c r="TCE1680" s="2730"/>
      <c r="TCF1680" s="2730"/>
      <c r="TCG1680" s="2730"/>
      <c r="TCH1680" s="2730"/>
      <c r="TCI1680" s="2730"/>
      <c r="TCJ1680" s="2730"/>
      <c r="TCK1680" s="2730"/>
      <c r="TCL1680" s="2730"/>
      <c r="TCM1680" s="2730"/>
      <c r="TCN1680" s="2730"/>
      <c r="TCO1680" s="2730"/>
      <c r="TCP1680" s="2730"/>
      <c r="TCQ1680" s="2730"/>
      <c r="TCR1680" s="2730"/>
      <c r="TCS1680" s="2730"/>
      <c r="TCT1680" s="2730"/>
      <c r="TCU1680" s="2730"/>
      <c r="TCV1680" s="2730"/>
      <c r="TCW1680" s="2730"/>
      <c r="TCX1680" s="2730"/>
      <c r="TCY1680" s="2730"/>
      <c r="TCZ1680" s="2730"/>
      <c r="TDA1680" s="2730"/>
      <c r="TDB1680" s="2730"/>
      <c r="TDC1680" s="2730"/>
      <c r="TDD1680" s="2730"/>
      <c r="TDE1680" s="2730"/>
      <c r="TDF1680" s="2730"/>
      <c r="TDG1680" s="2730"/>
      <c r="TDH1680" s="2730"/>
      <c r="TDI1680" s="2730"/>
      <c r="TDJ1680" s="2730"/>
      <c r="TDK1680" s="2730"/>
      <c r="TDL1680" s="2730"/>
      <c r="TDM1680" s="2730"/>
      <c r="TDN1680" s="2730"/>
      <c r="TDO1680" s="2730"/>
      <c r="TDP1680" s="2730"/>
      <c r="TDQ1680" s="2730"/>
      <c r="TDR1680" s="2730"/>
      <c r="TDS1680" s="2730"/>
      <c r="TDT1680" s="2730"/>
      <c r="TDU1680" s="2730"/>
      <c r="TDV1680" s="2730"/>
      <c r="TDW1680" s="2730"/>
      <c r="TDX1680" s="2730"/>
      <c r="TDY1680" s="2730"/>
      <c r="TDZ1680" s="2730"/>
      <c r="TEA1680" s="2730"/>
      <c r="TEB1680" s="2730"/>
      <c r="TEC1680" s="2730"/>
      <c r="TED1680" s="2730"/>
      <c r="TEE1680" s="2730"/>
      <c r="TEF1680" s="2730"/>
      <c r="TEG1680" s="2730"/>
      <c r="TEH1680" s="2730"/>
      <c r="TEI1680" s="2730"/>
      <c r="TEJ1680" s="2730"/>
      <c r="TEK1680" s="2730"/>
      <c r="TEL1680" s="2730"/>
      <c r="TEM1680" s="2730"/>
      <c r="TEN1680" s="2730"/>
      <c r="TEO1680" s="2730"/>
      <c r="TEP1680" s="2730"/>
      <c r="TEQ1680" s="2730"/>
      <c r="TER1680" s="2730"/>
      <c r="TES1680" s="2730"/>
      <c r="TET1680" s="2730"/>
      <c r="TEU1680" s="2730"/>
      <c r="TEV1680" s="2730"/>
      <c r="TEW1680" s="2730"/>
      <c r="TEX1680" s="2730"/>
      <c r="TEY1680" s="2730"/>
      <c r="TEZ1680" s="2730"/>
      <c r="TFA1680" s="2730"/>
      <c r="TFB1680" s="2730"/>
      <c r="TFC1680" s="2730"/>
      <c r="TFD1680" s="2730"/>
      <c r="TFE1680" s="2730"/>
      <c r="TFF1680" s="2730"/>
      <c r="TFG1680" s="2730"/>
      <c r="TFH1680" s="2730"/>
      <c r="TFI1680" s="2730"/>
      <c r="TFJ1680" s="2730"/>
      <c r="TFK1680" s="2730"/>
      <c r="TFL1680" s="2730"/>
      <c r="TFM1680" s="2730"/>
      <c r="TFN1680" s="2730"/>
      <c r="TFO1680" s="2730"/>
      <c r="TFP1680" s="2730"/>
      <c r="TFQ1680" s="2730"/>
      <c r="TFR1680" s="2730"/>
      <c r="TFS1680" s="2730"/>
      <c r="TFT1680" s="2730"/>
      <c r="TFU1680" s="2730"/>
      <c r="TFV1680" s="2730"/>
      <c r="TFW1680" s="2730"/>
      <c r="TFX1680" s="2730"/>
      <c r="TFY1680" s="2730"/>
      <c r="TFZ1680" s="2730"/>
      <c r="TGA1680" s="2730"/>
      <c r="TGB1680" s="2730"/>
      <c r="TGC1680" s="2730"/>
      <c r="TGD1680" s="2730"/>
      <c r="TGE1680" s="2730"/>
      <c r="TGF1680" s="2730"/>
      <c r="TGG1680" s="2730"/>
      <c r="TGH1680" s="2730"/>
      <c r="TGI1680" s="2730"/>
      <c r="TGJ1680" s="2730"/>
      <c r="TGK1680" s="2730"/>
      <c r="TGL1680" s="2730"/>
      <c r="TGM1680" s="2730"/>
      <c r="TGN1680" s="2730"/>
      <c r="TGO1680" s="2730"/>
      <c r="TGP1680" s="2730"/>
      <c r="TGQ1680" s="2730"/>
      <c r="TGR1680" s="2730"/>
      <c r="TGS1680" s="2730"/>
      <c r="TGT1680" s="2730"/>
      <c r="TGU1680" s="2730"/>
      <c r="TGV1680" s="2730"/>
      <c r="TGW1680" s="2730"/>
      <c r="TGX1680" s="2730"/>
      <c r="TGY1680" s="2730"/>
      <c r="TGZ1680" s="2730"/>
      <c r="THA1680" s="2730"/>
      <c r="THB1680" s="2730"/>
      <c r="THC1680" s="2730"/>
      <c r="THD1680" s="2730"/>
      <c r="THE1680" s="2730"/>
      <c r="THF1680" s="2730"/>
      <c r="THG1680" s="2730"/>
      <c r="THH1680" s="2730"/>
      <c r="THI1680" s="2730"/>
      <c r="THJ1680" s="2730"/>
      <c r="THK1680" s="2730"/>
      <c r="THL1680" s="2730"/>
      <c r="THM1680" s="2730"/>
      <c r="THN1680" s="2730"/>
      <c r="THO1680" s="2730"/>
      <c r="THP1680" s="2730"/>
      <c r="THQ1680" s="2730"/>
      <c r="THR1680" s="2730"/>
      <c r="THS1680" s="2730"/>
      <c r="THT1680" s="2730"/>
      <c r="THU1680" s="2730"/>
      <c r="THV1680" s="2730"/>
      <c r="THW1680" s="2730"/>
      <c r="THX1680" s="2730"/>
      <c r="THY1680" s="2730"/>
      <c r="THZ1680" s="2730"/>
      <c r="TIA1680" s="2730"/>
      <c r="TIB1680" s="2730"/>
      <c r="TIC1680" s="2730"/>
      <c r="TID1680" s="2730"/>
      <c r="TIE1680" s="2730"/>
      <c r="TIF1680" s="2730"/>
      <c r="TIG1680" s="2730"/>
      <c r="TIH1680" s="2730"/>
      <c r="TII1680" s="2730"/>
      <c r="TIJ1680" s="2730"/>
      <c r="TIK1680" s="2730"/>
      <c r="TIL1680" s="2730"/>
      <c r="TIM1680" s="2730"/>
      <c r="TIN1680" s="2730"/>
      <c r="TIO1680" s="2730"/>
      <c r="TIP1680" s="2730"/>
      <c r="TIQ1680" s="2730"/>
      <c r="TIR1680" s="2730"/>
      <c r="TIS1680" s="2730"/>
      <c r="TIT1680" s="2730"/>
      <c r="TIU1680" s="2730"/>
      <c r="TIV1680" s="2730"/>
      <c r="TIW1680" s="2730"/>
      <c r="TIX1680" s="2730"/>
      <c r="TIY1680" s="2730"/>
      <c r="TIZ1680" s="2730"/>
      <c r="TJA1680" s="2730"/>
      <c r="TJB1680" s="2730"/>
      <c r="TJC1680" s="2730"/>
      <c r="TJD1680" s="2730"/>
      <c r="TJE1680" s="2730"/>
      <c r="TJF1680" s="2730"/>
      <c r="TJG1680" s="2730"/>
      <c r="TJH1680" s="2730"/>
      <c r="TJI1680" s="2730"/>
      <c r="TJJ1680" s="2730"/>
      <c r="TJK1680" s="2730"/>
      <c r="TJL1680" s="2730"/>
      <c r="TJM1680" s="2730"/>
      <c r="TJN1680" s="2730"/>
      <c r="TJO1680" s="2730"/>
      <c r="TJP1680" s="2730"/>
      <c r="TJQ1680" s="2730"/>
      <c r="TJR1680" s="2730"/>
      <c r="TJS1680" s="2730"/>
      <c r="TJT1680" s="2730"/>
      <c r="TJU1680" s="2730"/>
      <c r="TJV1680" s="2730"/>
      <c r="TJW1680" s="2730"/>
      <c r="TJX1680" s="2730"/>
      <c r="TJY1680" s="2730"/>
      <c r="TJZ1680" s="2730"/>
      <c r="TKA1680" s="2730"/>
      <c r="TKB1680" s="2730"/>
      <c r="TKC1680" s="2730"/>
      <c r="TKD1680" s="2730"/>
      <c r="TKE1680" s="2730"/>
      <c r="TKF1680" s="2730"/>
      <c r="TKG1680" s="2730"/>
      <c r="TKH1680" s="2730"/>
      <c r="TKI1680" s="2730"/>
      <c r="TKJ1680" s="2730"/>
      <c r="TKK1680" s="2730"/>
      <c r="TKL1680" s="2730"/>
      <c r="TKM1680" s="2730"/>
      <c r="TKN1680" s="2730"/>
      <c r="TKO1680" s="2730"/>
      <c r="TKP1680" s="2730"/>
      <c r="TKQ1680" s="2730"/>
      <c r="TKR1680" s="2730"/>
      <c r="TKS1680" s="2730"/>
      <c r="TKT1680" s="2730"/>
      <c r="TKU1680" s="2730"/>
      <c r="TKV1680" s="2730"/>
      <c r="TKW1680" s="2730"/>
      <c r="TKX1680" s="2730"/>
      <c r="TKY1680" s="2730"/>
      <c r="TKZ1680" s="2730"/>
      <c r="TLA1680" s="2730"/>
      <c r="TLB1680" s="2730"/>
      <c r="TLC1680" s="2730"/>
      <c r="TLD1680" s="2730"/>
      <c r="TLE1680" s="2730"/>
      <c r="TLF1680" s="2730"/>
      <c r="TLG1680" s="2730"/>
      <c r="TLH1680" s="2730"/>
      <c r="TLI1680" s="2730"/>
      <c r="TLJ1680" s="2730"/>
      <c r="TLK1680" s="2730"/>
      <c r="TLL1680" s="2730"/>
      <c r="TLM1680" s="2730"/>
      <c r="TLN1680" s="2730"/>
      <c r="TLO1680" s="2730"/>
      <c r="TLP1680" s="2730"/>
      <c r="TLQ1680" s="2730"/>
      <c r="TLR1680" s="2730"/>
      <c r="TLS1680" s="2730"/>
      <c r="TLT1680" s="2730"/>
      <c r="TLU1680" s="2730"/>
      <c r="TLV1680" s="2730"/>
      <c r="TLW1680" s="2730"/>
      <c r="TLX1680" s="2730"/>
      <c r="TLY1680" s="2730"/>
      <c r="TLZ1680" s="2730"/>
      <c r="TMA1680" s="2730"/>
      <c r="TMB1680" s="2730"/>
      <c r="TMC1680" s="2730"/>
      <c r="TMD1680" s="2730"/>
      <c r="TME1680" s="2730"/>
      <c r="TMF1680" s="2730"/>
      <c r="TMG1680" s="2730"/>
      <c r="TMH1680" s="2730"/>
      <c r="TMI1680" s="2730"/>
      <c r="TMJ1680" s="2730"/>
      <c r="TMK1680" s="2730"/>
      <c r="TML1680" s="2730"/>
      <c r="TMM1680" s="2730"/>
      <c r="TMN1680" s="2730"/>
      <c r="TMO1680" s="2730"/>
      <c r="TMP1680" s="2730"/>
      <c r="TMQ1680" s="2730"/>
      <c r="TMR1680" s="2730"/>
      <c r="TMS1680" s="2730"/>
      <c r="TMT1680" s="2730"/>
      <c r="TMU1680" s="2730"/>
      <c r="TMV1680" s="2730"/>
      <c r="TMW1680" s="2730"/>
      <c r="TMX1680" s="2730"/>
      <c r="TMY1680" s="2730"/>
      <c r="TMZ1680" s="2730"/>
      <c r="TNA1680" s="2730"/>
      <c r="TNB1680" s="2730"/>
      <c r="TNC1680" s="2730"/>
      <c r="TND1680" s="2730"/>
      <c r="TNE1680" s="2730"/>
      <c r="TNF1680" s="2730"/>
      <c r="TNG1680" s="2730"/>
      <c r="TNH1680" s="2730"/>
      <c r="TNI1680" s="2730"/>
      <c r="TNJ1680" s="2730"/>
      <c r="TNK1680" s="2730"/>
      <c r="TNL1680" s="2730"/>
      <c r="TNM1680" s="2730"/>
      <c r="TNN1680" s="2730"/>
      <c r="TNO1680" s="2730"/>
      <c r="TNP1680" s="2730"/>
      <c r="TNQ1680" s="2730"/>
      <c r="TNR1680" s="2730"/>
      <c r="TNS1680" s="2730"/>
      <c r="TNT1680" s="2730"/>
      <c r="TNU1680" s="2730"/>
      <c r="TNV1680" s="2730"/>
      <c r="TNW1680" s="2730"/>
      <c r="TNX1680" s="2730"/>
      <c r="TNY1680" s="2730"/>
      <c r="TNZ1680" s="2730"/>
      <c r="TOA1680" s="2730"/>
      <c r="TOB1680" s="2730"/>
      <c r="TOC1680" s="2730"/>
      <c r="TOD1680" s="2730"/>
      <c r="TOE1680" s="2730"/>
      <c r="TOF1680" s="2730"/>
      <c r="TOG1680" s="2730"/>
      <c r="TOH1680" s="2730"/>
      <c r="TOI1680" s="2730"/>
      <c r="TOJ1680" s="2730"/>
      <c r="TOK1680" s="2730"/>
      <c r="TOL1680" s="2730"/>
      <c r="TOM1680" s="2730"/>
      <c r="TON1680" s="2730"/>
      <c r="TOO1680" s="2730"/>
      <c r="TOP1680" s="2730"/>
      <c r="TOQ1680" s="2730"/>
      <c r="TOR1680" s="2730"/>
      <c r="TOS1680" s="2730"/>
      <c r="TOT1680" s="2730"/>
      <c r="TOU1680" s="2730"/>
      <c r="TOV1680" s="2730"/>
      <c r="TOW1680" s="2730"/>
      <c r="TOX1680" s="2730"/>
      <c r="TOY1680" s="2730"/>
      <c r="TOZ1680" s="2730"/>
      <c r="TPA1680" s="2730"/>
      <c r="TPB1680" s="2730"/>
      <c r="TPC1680" s="2730"/>
      <c r="TPD1680" s="2730"/>
      <c r="TPE1680" s="2730"/>
      <c r="TPF1680" s="2730"/>
      <c r="TPG1680" s="2730"/>
      <c r="TPH1680" s="2730"/>
      <c r="TPI1680" s="2730"/>
      <c r="TPJ1680" s="2730"/>
      <c r="TPK1680" s="2730"/>
      <c r="TPL1680" s="2730"/>
      <c r="TPM1680" s="2730"/>
      <c r="TPN1680" s="2730"/>
      <c r="TPO1680" s="2730"/>
      <c r="TPP1680" s="2730"/>
      <c r="TPQ1680" s="2730"/>
      <c r="TPR1680" s="2730"/>
      <c r="TPS1680" s="2730"/>
      <c r="TPT1680" s="2730"/>
      <c r="TPU1680" s="2730"/>
      <c r="TPV1680" s="2730"/>
      <c r="TPW1680" s="2730"/>
      <c r="TPX1680" s="2730"/>
      <c r="TPY1680" s="2730"/>
      <c r="TPZ1680" s="2730"/>
      <c r="TQA1680" s="2730"/>
      <c r="TQB1680" s="2730"/>
      <c r="TQC1680" s="2730"/>
      <c r="TQD1680" s="2730"/>
      <c r="TQE1680" s="2730"/>
      <c r="TQF1680" s="2730"/>
      <c r="TQG1680" s="2730"/>
      <c r="TQH1680" s="2730"/>
      <c r="TQI1680" s="2730"/>
      <c r="TQJ1680" s="2730"/>
      <c r="TQK1680" s="2730"/>
      <c r="TQL1680" s="2730"/>
      <c r="TQM1680" s="2730"/>
      <c r="TQN1680" s="2730"/>
      <c r="TQO1680" s="2730"/>
      <c r="TQP1680" s="2730"/>
      <c r="TQQ1680" s="2730"/>
      <c r="TQR1680" s="2730"/>
      <c r="TQS1680" s="2730"/>
      <c r="TQT1680" s="2730"/>
      <c r="TQU1680" s="2730"/>
      <c r="TQV1680" s="2730"/>
      <c r="TQW1680" s="2730"/>
      <c r="TQX1680" s="2730"/>
      <c r="TQY1680" s="2730"/>
      <c r="TQZ1680" s="2730"/>
      <c r="TRA1680" s="2730"/>
      <c r="TRB1680" s="2730"/>
      <c r="TRC1680" s="2730"/>
      <c r="TRD1680" s="2730"/>
      <c r="TRE1680" s="2730"/>
      <c r="TRF1680" s="2730"/>
      <c r="TRG1680" s="2730"/>
      <c r="TRH1680" s="2730"/>
      <c r="TRI1680" s="2730"/>
      <c r="TRJ1680" s="2730"/>
      <c r="TRK1680" s="2730"/>
      <c r="TRL1680" s="2730"/>
      <c r="TRM1680" s="2730"/>
      <c r="TRN1680" s="2730"/>
      <c r="TRO1680" s="2730"/>
      <c r="TRP1680" s="2730"/>
      <c r="TRQ1680" s="2730"/>
      <c r="TRR1680" s="2730"/>
      <c r="TRS1680" s="2730"/>
      <c r="TRT1680" s="2730"/>
      <c r="TRU1680" s="2730"/>
      <c r="TRV1680" s="2730"/>
      <c r="TRW1680" s="2730"/>
      <c r="TRX1680" s="2730"/>
      <c r="TRY1680" s="2730"/>
      <c r="TRZ1680" s="2730"/>
      <c r="TSA1680" s="2730"/>
      <c r="TSB1680" s="2730"/>
      <c r="TSC1680" s="2730"/>
      <c r="TSD1680" s="2730"/>
      <c r="TSE1680" s="2730"/>
      <c r="TSF1680" s="2730"/>
      <c r="TSG1680" s="2730"/>
      <c r="TSH1680" s="2730"/>
      <c r="TSI1680" s="2730"/>
      <c r="TSJ1680" s="2730"/>
      <c r="TSK1680" s="2730"/>
      <c r="TSL1680" s="2730"/>
      <c r="TSM1680" s="2730"/>
      <c r="TSN1680" s="2730"/>
      <c r="TSO1680" s="2730"/>
      <c r="TSP1680" s="2730"/>
      <c r="TSQ1680" s="2730"/>
      <c r="TSR1680" s="2730"/>
      <c r="TSS1680" s="2730"/>
      <c r="TST1680" s="2730"/>
      <c r="TSU1680" s="2730"/>
      <c r="TSV1680" s="2730"/>
      <c r="TSW1680" s="2730"/>
      <c r="TSX1680" s="2730"/>
      <c r="TSY1680" s="2730"/>
      <c r="TSZ1680" s="2730"/>
      <c r="TTA1680" s="2730"/>
      <c r="TTB1680" s="2730"/>
      <c r="TTC1680" s="2730"/>
      <c r="TTD1680" s="2730"/>
      <c r="TTE1680" s="2730"/>
      <c r="TTF1680" s="2730"/>
      <c r="TTG1680" s="2730"/>
      <c r="TTH1680" s="2730"/>
      <c r="TTI1680" s="2730"/>
      <c r="TTJ1680" s="2730"/>
      <c r="TTK1680" s="2730"/>
      <c r="TTL1680" s="2730"/>
      <c r="TTM1680" s="2730"/>
      <c r="TTN1680" s="2730"/>
      <c r="TTO1680" s="2730"/>
      <c r="TTP1680" s="2730"/>
      <c r="TTQ1680" s="2730"/>
      <c r="TTR1680" s="2730"/>
      <c r="TTS1680" s="2730"/>
      <c r="TTT1680" s="2730"/>
      <c r="TTU1680" s="2730"/>
      <c r="TTV1680" s="2730"/>
      <c r="TTW1680" s="2730"/>
      <c r="TTX1680" s="2730"/>
      <c r="TTY1680" s="2730"/>
      <c r="TTZ1680" s="2730"/>
      <c r="TUA1680" s="2730"/>
      <c r="TUB1680" s="2730"/>
      <c r="TUC1680" s="2730"/>
      <c r="TUD1680" s="2730"/>
      <c r="TUE1680" s="2730"/>
      <c r="TUF1680" s="2730"/>
      <c r="TUG1680" s="2730"/>
      <c r="TUH1680" s="2730"/>
      <c r="TUI1680" s="2730"/>
      <c r="TUJ1680" s="2730"/>
      <c r="TUK1680" s="2730"/>
      <c r="TUL1680" s="2730"/>
      <c r="TUM1680" s="2730"/>
      <c r="TUN1680" s="2730"/>
      <c r="TUO1680" s="2730"/>
      <c r="TUP1680" s="2730"/>
      <c r="TUQ1680" s="2730"/>
      <c r="TUR1680" s="2730"/>
      <c r="TUS1680" s="2730"/>
      <c r="TUT1680" s="2730"/>
      <c r="TUU1680" s="2730"/>
      <c r="TUV1680" s="2730"/>
      <c r="TUW1680" s="2730"/>
      <c r="TUX1680" s="2730"/>
      <c r="TUY1680" s="2730"/>
      <c r="TUZ1680" s="2730"/>
      <c r="TVA1680" s="2730"/>
      <c r="TVB1680" s="2730"/>
      <c r="TVC1680" s="2730"/>
      <c r="TVD1680" s="2730"/>
      <c r="TVE1680" s="2730"/>
      <c r="TVF1680" s="2730"/>
      <c r="TVG1680" s="2730"/>
      <c r="TVH1680" s="2730"/>
      <c r="TVI1680" s="2730"/>
      <c r="TVJ1680" s="2730"/>
      <c r="TVK1680" s="2730"/>
      <c r="TVL1680" s="2730"/>
      <c r="TVM1680" s="2730"/>
      <c r="TVN1680" s="2730"/>
      <c r="TVO1680" s="2730"/>
      <c r="TVP1680" s="2730"/>
      <c r="TVQ1680" s="2730"/>
      <c r="TVR1680" s="2730"/>
      <c r="TVS1680" s="2730"/>
      <c r="TVT1680" s="2730"/>
      <c r="TVU1680" s="2730"/>
      <c r="TVV1680" s="2730"/>
      <c r="TVW1680" s="2730"/>
      <c r="TVX1680" s="2730"/>
      <c r="TVY1680" s="2730"/>
      <c r="TVZ1680" s="2730"/>
      <c r="TWA1680" s="2730"/>
      <c r="TWB1680" s="2730"/>
      <c r="TWC1680" s="2730"/>
      <c r="TWD1680" s="2730"/>
      <c r="TWE1680" s="2730"/>
      <c r="TWF1680" s="2730"/>
      <c r="TWG1680" s="2730"/>
      <c r="TWH1680" s="2730"/>
      <c r="TWI1680" s="2730"/>
      <c r="TWJ1680" s="2730"/>
      <c r="TWK1680" s="2730"/>
      <c r="TWL1680" s="2730"/>
      <c r="TWM1680" s="2730"/>
      <c r="TWN1680" s="2730"/>
      <c r="TWO1680" s="2730"/>
      <c r="TWP1680" s="2730"/>
      <c r="TWQ1680" s="2730"/>
      <c r="TWR1680" s="2730"/>
      <c r="TWS1680" s="2730"/>
      <c r="TWT1680" s="2730"/>
      <c r="TWU1680" s="2730"/>
      <c r="TWV1680" s="2730"/>
      <c r="TWW1680" s="2730"/>
      <c r="TWX1680" s="2730"/>
      <c r="TWY1680" s="2730"/>
      <c r="TWZ1680" s="2730"/>
      <c r="TXA1680" s="2730"/>
      <c r="TXB1680" s="2730"/>
      <c r="TXC1680" s="2730"/>
      <c r="TXD1680" s="2730"/>
      <c r="TXE1680" s="2730"/>
      <c r="TXF1680" s="2730"/>
      <c r="TXG1680" s="2730"/>
      <c r="TXH1680" s="2730"/>
      <c r="TXI1680" s="2730"/>
      <c r="TXJ1680" s="2730"/>
      <c r="TXK1680" s="2730"/>
      <c r="TXL1680" s="2730"/>
      <c r="TXM1680" s="2730"/>
      <c r="TXN1680" s="2730"/>
      <c r="TXO1680" s="2730"/>
      <c r="TXP1680" s="2730"/>
      <c r="TXQ1680" s="2730"/>
      <c r="TXR1680" s="2730"/>
      <c r="TXS1680" s="2730"/>
      <c r="TXT1680" s="2730"/>
      <c r="TXU1680" s="2730"/>
      <c r="TXV1680" s="2730"/>
      <c r="TXW1680" s="2730"/>
      <c r="TXX1680" s="2730"/>
      <c r="TXY1680" s="2730"/>
      <c r="TXZ1680" s="2730"/>
      <c r="TYA1680" s="2730"/>
      <c r="TYB1680" s="2730"/>
      <c r="TYC1680" s="2730"/>
      <c r="TYD1680" s="2730"/>
      <c r="TYE1680" s="2730"/>
      <c r="TYF1680" s="2730"/>
      <c r="TYG1680" s="2730"/>
      <c r="TYH1680" s="2730"/>
      <c r="TYI1680" s="2730"/>
      <c r="TYJ1680" s="2730"/>
      <c r="TYK1680" s="2730"/>
      <c r="TYL1680" s="2730"/>
      <c r="TYM1680" s="2730"/>
      <c r="TYN1680" s="2730"/>
      <c r="TYO1680" s="2730"/>
      <c r="TYP1680" s="2730"/>
      <c r="TYQ1680" s="2730"/>
      <c r="TYR1680" s="2730"/>
      <c r="TYS1680" s="2730"/>
      <c r="TYT1680" s="2730"/>
      <c r="TYU1680" s="2730"/>
      <c r="TYV1680" s="2730"/>
      <c r="TYW1680" s="2730"/>
      <c r="TYX1680" s="2730"/>
      <c r="TYY1680" s="2730"/>
      <c r="TYZ1680" s="2730"/>
      <c r="TZA1680" s="2730"/>
      <c r="TZB1680" s="2730"/>
      <c r="TZC1680" s="2730"/>
      <c r="TZD1680" s="2730"/>
      <c r="TZE1680" s="2730"/>
      <c r="TZF1680" s="2730"/>
      <c r="TZG1680" s="2730"/>
      <c r="TZH1680" s="2730"/>
      <c r="TZI1680" s="2730"/>
      <c r="TZJ1680" s="2730"/>
      <c r="TZK1680" s="2730"/>
      <c r="TZL1680" s="2730"/>
      <c r="TZM1680" s="2730"/>
      <c r="TZN1680" s="2730"/>
      <c r="TZO1680" s="2730"/>
      <c r="TZP1680" s="2730"/>
      <c r="TZQ1680" s="2730"/>
      <c r="TZR1680" s="2730"/>
      <c r="TZS1680" s="2730"/>
      <c r="TZT1680" s="2730"/>
      <c r="TZU1680" s="2730"/>
      <c r="TZV1680" s="2730"/>
      <c r="TZW1680" s="2730"/>
      <c r="TZX1680" s="2730"/>
      <c r="TZY1680" s="2730"/>
      <c r="TZZ1680" s="2730"/>
      <c r="UAA1680" s="2730"/>
      <c r="UAB1680" s="2730"/>
      <c r="UAC1680" s="2730"/>
      <c r="UAD1680" s="2730"/>
      <c r="UAE1680" s="2730"/>
      <c r="UAF1680" s="2730"/>
      <c r="UAG1680" s="2730"/>
      <c r="UAH1680" s="2730"/>
      <c r="UAI1680" s="2730"/>
      <c r="UAJ1680" s="2730"/>
      <c r="UAK1680" s="2730"/>
      <c r="UAL1680" s="2730"/>
      <c r="UAM1680" s="2730"/>
      <c r="UAN1680" s="2730"/>
      <c r="UAO1680" s="2730"/>
      <c r="UAP1680" s="2730"/>
      <c r="UAQ1680" s="2730"/>
      <c r="UAR1680" s="2730"/>
      <c r="UAS1680" s="2730"/>
      <c r="UAT1680" s="2730"/>
      <c r="UAU1680" s="2730"/>
      <c r="UAV1680" s="2730"/>
      <c r="UAW1680" s="2730"/>
      <c r="UAX1680" s="2730"/>
      <c r="UAY1680" s="2730"/>
      <c r="UAZ1680" s="2730"/>
      <c r="UBA1680" s="2730"/>
      <c r="UBB1680" s="2730"/>
      <c r="UBC1680" s="2730"/>
      <c r="UBD1680" s="2730"/>
      <c r="UBE1680" s="2730"/>
      <c r="UBF1680" s="2730"/>
      <c r="UBG1680" s="2730"/>
      <c r="UBH1680" s="2730"/>
      <c r="UBI1680" s="2730"/>
      <c r="UBJ1680" s="2730"/>
      <c r="UBK1680" s="2730"/>
      <c r="UBL1680" s="2730"/>
      <c r="UBM1680" s="2730"/>
      <c r="UBN1680" s="2730"/>
      <c r="UBO1680" s="2730"/>
      <c r="UBP1680" s="2730"/>
      <c r="UBQ1680" s="2730"/>
      <c r="UBR1680" s="2730"/>
      <c r="UBS1680" s="2730"/>
      <c r="UBT1680" s="2730"/>
      <c r="UBU1680" s="2730"/>
      <c r="UBV1680" s="2730"/>
      <c r="UBW1680" s="2730"/>
      <c r="UBX1680" s="2730"/>
      <c r="UBY1680" s="2730"/>
      <c r="UBZ1680" s="2730"/>
      <c r="UCA1680" s="2730"/>
      <c r="UCB1680" s="2730"/>
      <c r="UCC1680" s="2730"/>
      <c r="UCD1680" s="2730"/>
      <c r="UCE1680" s="2730"/>
      <c r="UCF1680" s="2730"/>
      <c r="UCG1680" s="2730"/>
      <c r="UCH1680" s="2730"/>
      <c r="UCI1680" s="2730"/>
      <c r="UCJ1680" s="2730"/>
      <c r="UCK1680" s="2730"/>
      <c r="UCL1680" s="2730"/>
      <c r="UCM1680" s="2730"/>
      <c r="UCN1680" s="2730"/>
      <c r="UCO1680" s="2730"/>
      <c r="UCP1680" s="2730"/>
      <c r="UCQ1680" s="2730"/>
      <c r="UCR1680" s="2730"/>
      <c r="UCS1680" s="2730"/>
      <c r="UCT1680" s="2730"/>
      <c r="UCU1680" s="2730"/>
      <c r="UCV1680" s="2730"/>
      <c r="UCW1680" s="2730"/>
      <c r="UCX1680" s="2730"/>
      <c r="UCY1680" s="2730"/>
      <c r="UCZ1680" s="2730"/>
      <c r="UDA1680" s="2730"/>
      <c r="UDB1680" s="2730"/>
      <c r="UDC1680" s="2730"/>
      <c r="UDD1680" s="2730"/>
      <c r="UDE1680" s="2730"/>
      <c r="UDF1680" s="2730"/>
      <c r="UDG1680" s="2730"/>
      <c r="UDH1680" s="2730"/>
      <c r="UDI1680" s="2730"/>
      <c r="UDJ1680" s="2730"/>
      <c r="UDK1680" s="2730"/>
      <c r="UDL1680" s="2730"/>
      <c r="UDM1680" s="2730"/>
      <c r="UDN1680" s="2730"/>
      <c r="UDO1680" s="2730"/>
      <c r="UDP1680" s="2730"/>
      <c r="UDQ1680" s="2730"/>
      <c r="UDR1680" s="2730"/>
      <c r="UDS1680" s="2730"/>
      <c r="UDT1680" s="2730"/>
      <c r="UDU1680" s="2730"/>
      <c r="UDV1680" s="2730"/>
      <c r="UDW1680" s="2730"/>
      <c r="UDX1680" s="2730"/>
      <c r="UDY1680" s="2730"/>
      <c r="UDZ1680" s="2730"/>
      <c r="UEA1680" s="2730"/>
      <c r="UEB1680" s="2730"/>
      <c r="UEC1680" s="2730"/>
      <c r="UED1680" s="2730"/>
      <c r="UEE1680" s="2730"/>
      <c r="UEF1680" s="2730"/>
      <c r="UEG1680" s="2730"/>
      <c r="UEH1680" s="2730"/>
      <c r="UEI1680" s="2730"/>
      <c r="UEJ1680" s="2730"/>
      <c r="UEK1680" s="2730"/>
      <c r="UEL1680" s="2730"/>
      <c r="UEM1680" s="2730"/>
      <c r="UEN1680" s="2730"/>
      <c r="UEO1680" s="2730"/>
      <c r="UEP1680" s="2730"/>
      <c r="UEQ1680" s="2730"/>
      <c r="UER1680" s="2730"/>
      <c r="UES1680" s="2730"/>
      <c r="UET1680" s="2730"/>
      <c r="UEU1680" s="2730"/>
      <c r="UEV1680" s="2730"/>
      <c r="UEW1680" s="2730"/>
      <c r="UEX1680" s="2730"/>
      <c r="UEY1680" s="2730"/>
      <c r="UEZ1680" s="2730"/>
      <c r="UFA1680" s="2730"/>
      <c r="UFB1680" s="2730"/>
      <c r="UFC1680" s="2730"/>
      <c r="UFD1680" s="2730"/>
      <c r="UFE1680" s="2730"/>
      <c r="UFF1680" s="2730"/>
      <c r="UFG1680" s="2730"/>
      <c r="UFH1680" s="2730"/>
      <c r="UFI1680" s="2730"/>
      <c r="UFJ1680" s="2730"/>
      <c r="UFK1680" s="2730"/>
      <c r="UFL1680" s="2730"/>
      <c r="UFM1680" s="2730"/>
      <c r="UFN1680" s="2730"/>
      <c r="UFO1680" s="2730"/>
      <c r="UFP1680" s="2730"/>
      <c r="UFQ1680" s="2730"/>
      <c r="UFR1680" s="2730"/>
      <c r="UFS1680" s="2730"/>
      <c r="UFT1680" s="2730"/>
      <c r="UFU1680" s="2730"/>
      <c r="UFV1680" s="2730"/>
      <c r="UFW1680" s="2730"/>
      <c r="UFX1680" s="2730"/>
      <c r="UFY1680" s="2730"/>
      <c r="UFZ1680" s="2730"/>
      <c r="UGA1680" s="2730"/>
      <c r="UGB1680" s="2730"/>
      <c r="UGC1680" s="2730"/>
      <c r="UGD1680" s="2730"/>
      <c r="UGE1680" s="2730"/>
      <c r="UGF1680" s="2730"/>
      <c r="UGG1680" s="2730"/>
      <c r="UGH1680" s="2730"/>
      <c r="UGI1680" s="2730"/>
      <c r="UGJ1680" s="2730"/>
      <c r="UGK1680" s="2730"/>
      <c r="UGL1680" s="2730"/>
      <c r="UGM1680" s="2730"/>
      <c r="UGN1680" s="2730"/>
      <c r="UGO1680" s="2730"/>
      <c r="UGP1680" s="2730"/>
      <c r="UGQ1680" s="2730"/>
      <c r="UGR1680" s="2730"/>
      <c r="UGS1680" s="2730"/>
      <c r="UGT1680" s="2730"/>
      <c r="UGU1680" s="2730"/>
      <c r="UGV1680" s="2730"/>
      <c r="UGW1680" s="2730"/>
      <c r="UGX1680" s="2730"/>
      <c r="UGY1680" s="2730"/>
      <c r="UGZ1680" s="2730"/>
      <c r="UHA1680" s="2730"/>
      <c r="UHB1680" s="2730"/>
      <c r="UHC1680" s="2730"/>
      <c r="UHD1680" s="2730"/>
      <c r="UHE1680" s="2730"/>
      <c r="UHF1680" s="2730"/>
      <c r="UHG1680" s="2730"/>
      <c r="UHH1680" s="2730"/>
      <c r="UHI1680" s="2730"/>
      <c r="UHJ1680" s="2730"/>
      <c r="UHK1680" s="2730"/>
      <c r="UHL1680" s="2730"/>
      <c r="UHM1680" s="2730"/>
      <c r="UHN1680" s="2730"/>
      <c r="UHO1680" s="2730"/>
      <c r="UHP1680" s="2730"/>
      <c r="UHQ1680" s="2730"/>
      <c r="UHR1680" s="2730"/>
      <c r="UHS1680" s="2730"/>
      <c r="UHT1680" s="2730"/>
      <c r="UHU1680" s="2730"/>
      <c r="UHV1680" s="2730"/>
      <c r="UHW1680" s="2730"/>
      <c r="UHX1680" s="2730"/>
      <c r="UHY1680" s="2730"/>
      <c r="UHZ1680" s="2730"/>
      <c r="UIA1680" s="2730"/>
      <c r="UIB1680" s="2730"/>
      <c r="UIC1680" s="2730"/>
      <c r="UID1680" s="2730"/>
      <c r="UIE1680" s="2730"/>
      <c r="UIF1680" s="2730"/>
      <c r="UIG1680" s="2730"/>
      <c r="UIH1680" s="2730"/>
      <c r="UII1680" s="2730"/>
      <c r="UIJ1680" s="2730"/>
      <c r="UIK1680" s="2730"/>
      <c r="UIL1680" s="2730"/>
      <c r="UIM1680" s="2730"/>
      <c r="UIN1680" s="2730"/>
      <c r="UIO1680" s="2730"/>
      <c r="UIP1680" s="2730"/>
      <c r="UIQ1680" s="2730"/>
      <c r="UIR1680" s="2730"/>
      <c r="UIS1680" s="2730"/>
      <c r="UIT1680" s="2730"/>
      <c r="UIU1680" s="2730"/>
      <c r="UIV1680" s="2730"/>
      <c r="UIW1680" s="2730"/>
      <c r="UIX1680" s="2730"/>
      <c r="UIY1680" s="2730"/>
      <c r="UIZ1680" s="2730"/>
      <c r="UJA1680" s="2730"/>
      <c r="UJB1680" s="2730"/>
      <c r="UJC1680" s="2730"/>
      <c r="UJD1680" s="2730"/>
      <c r="UJE1680" s="2730"/>
      <c r="UJF1680" s="2730"/>
      <c r="UJG1680" s="2730"/>
      <c r="UJH1680" s="2730"/>
      <c r="UJI1680" s="2730"/>
      <c r="UJJ1680" s="2730"/>
      <c r="UJK1680" s="2730"/>
      <c r="UJL1680" s="2730"/>
      <c r="UJM1680" s="2730"/>
      <c r="UJN1680" s="2730"/>
      <c r="UJO1680" s="2730"/>
      <c r="UJP1680" s="2730"/>
      <c r="UJQ1680" s="2730"/>
      <c r="UJR1680" s="2730"/>
      <c r="UJS1680" s="2730"/>
      <c r="UJT1680" s="2730"/>
      <c r="UJU1680" s="2730"/>
      <c r="UJV1680" s="2730"/>
      <c r="UJW1680" s="2730"/>
      <c r="UJX1680" s="2730"/>
      <c r="UJY1680" s="2730"/>
      <c r="UJZ1680" s="2730"/>
      <c r="UKA1680" s="2730"/>
      <c r="UKB1680" s="2730"/>
      <c r="UKC1680" s="2730"/>
      <c r="UKD1680" s="2730"/>
      <c r="UKE1680" s="2730"/>
      <c r="UKF1680" s="2730"/>
      <c r="UKG1680" s="2730"/>
      <c r="UKH1680" s="2730"/>
      <c r="UKI1680" s="2730"/>
      <c r="UKJ1680" s="2730"/>
      <c r="UKK1680" s="2730"/>
      <c r="UKL1680" s="2730"/>
      <c r="UKM1680" s="2730"/>
      <c r="UKN1680" s="2730"/>
      <c r="UKO1680" s="2730"/>
      <c r="UKP1680" s="2730"/>
      <c r="UKQ1680" s="2730"/>
      <c r="UKR1680" s="2730"/>
      <c r="UKS1680" s="2730"/>
      <c r="UKT1680" s="2730"/>
      <c r="UKU1680" s="2730"/>
      <c r="UKV1680" s="2730"/>
      <c r="UKW1680" s="2730"/>
      <c r="UKX1680" s="2730"/>
      <c r="UKY1680" s="2730"/>
      <c r="UKZ1680" s="2730"/>
      <c r="ULA1680" s="2730"/>
      <c r="ULB1680" s="2730"/>
      <c r="ULC1680" s="2730"/>
      <c r="ULD1680" s="2730"/>
      <c r="ULE1680" s="2730"/>
      <c r="ULF1680" s="2730"/>
      <c r="ULG1680" s="2730"/>
      <c r="ULH1680" s="2730"/>
      <c r="ULI1680" s="2730"/>
      <c r="ULJ1680" s="2730"/>
      <c r="ULK1680" s="2730"/>
      <c r="ULL1680" s="2730"/>
      <c r="ULM1680" s="2730"/>
      <c r="ULN1680" s="2730"/>
      <c r="ULO1680" s="2730"/>
      <c r="ULP1680" s="2730"/>
      <c r="ULQ1680" s="2730"/>
      <c r="ULR1680" s="2730"/>
      <c r="ULS1680" s="2730"/>
      <c r="ULT1680" s="2730"/>
      <c r="ULU1680" s="2730"/>
      <c r="ULV1680" s="2730"/>
      <c r="ULW1680" s="2730"/>
      <c r="ULX1680" s="2730"/>
      <c r="ULY1680" s="2730"/>
      <c r="ULZ1680" s="2730"/>
      <c r="UMA1680" s="2730"/>
      <c r="UMB1680" s="2730"/>
      <c r="UMC1680" s="2730"/>
      <c r="UMD1680" s="2730"/>
      <c r="UME1680" s="2730"/>
      <c r="UMF1680" s="2730"/>
      <c r="UMG1680" s="2730"/>
      <c r="UMH1680" s="2730"/>
      <c r="UMI1680" s="2730"/>
      <c r="UMJ1680" s="2730"/>
      <c r="UMK1680" s="2730"/>
      <c r="UML1680" s="2730"/>
      <c r="UMM1680" s="2730"/>
      <c r="UMN1680" s="2730"/>
      <c r="UMO1680" s="2730"/>
      <c r="UMP1680" s="2730"/>
      <c r="UMQ1680" s="2730"/>
      <c r="UMR1680" s="2730"/>
      <c r="UMS1680" s="2730"/>
      <c r="UMT1680" s="2730"/>
      <c r="UMU1680" s="2730"/>
      <c r="UMV1680" s="2730"/>
      <c r="UMW1680" s="2730"/>
      <c r="UMX1680" s="2730"/>
      <c r="UMY1680" s="2730"/>
      <c r="UMZ1680" s="2730"/>
      <c r="UNA1680" s="2730"/>
      <c r="UNB1680" s="2730"/>
      <c r="UNC1680" s="2730"/>
      <c r="UND1680" s="2730"/>
      <c r="UNE1680" s="2730"/>
      <c r="UNF1680" s="2730"/>
      <c r="UNG1680" s="2730"/>
      <c r="UNH1680" s="2730"/>
      <c r="UNI1680" s="2730"/>
      <c r="UNJ1680" s="2730"/>
      <c r="UNK1680" s="2730"/>
      <c r="UNL1680" s="2730"/>
      <c r="UNM1680" s="2730"/>
      <c r="UNN1680" s="2730"/>
      <c r="UNO1680" s="2730"/>
      <c r="UNP1680" s="2730"/>
      <c r="UNQ1680" s="2730"/>
      <c r="UNR1680" s="2730"/>
      <c r="UNS1680" s="2730"/>
      <c r="UNT1680" s="2730"/>
      <c r="UNU1680" s="2730"/>
      <c r="UNV1680" s="2730"/>
      <c r="UNW1680" s="2730"/>
      <c r="UNX1680" s="2730"/>
      <c r="UNY1680" s="2730"/>
      <c r="UNZ1680" s="2730"/>
      <c r="UOA1680" s="2730"/>
      <c r="UOB1680" s="2730"/>
      <c r="UOC1680" s="2730"/>
      <c r="UOD1680" s="2730"/>
      <c r="UOE1680" s="2730"/>
      <c r="UOF1680" s="2730"/>
      <c r="UOG1680" s="2730"/>
      <c r="UOH1680" s="2730"/>
      <c r="UOI1680" s="2730"/>
      <c r="UOJ1680" s="2730"/>
      <c r="UOK1680" s="2730"/>
      <c r="UOL1680" s="2730"/>
      <c r="UOM1680" s="2730"/>
      <c r="UON1680" s="2730"/>
      <c r="UOO1680" s="2730"/>
      <c r="UOP1680" s="2730"/>
      <c r="UOQ1680" s="2730"/>
      <c r="UOR1680" s="2730"/>
      <c r="UOS1680" s="2730"/>
      <c r="UOT1680" s="2730"/>
      <c r="UOU1680" s="2730"/>
      <c r="UOV1680" s="2730"/>
      <c r="UOW1680" s="2730"/>
      <c r="UOX1680" s="2730"/>
      <c r="UOY1680" s="2730"/>
      <c r="UOZ1680" s="2730"/>
      <c r="UPA1680" s="2730"/>
      <c r="UPB1680" s="2730"/>
      <c r="UPC1680" s="2730"/>
      <c r="UPD1680" s="2730"/>
      <c r="UPE1680" s="2730"/>
      <c r="UPF1680" s="2730"/>
      <c r="UPG1680" s="2730"/>
      <c r="UPH1680" s="2730"/>
      <c r="UPI1680" s="2730"/>
      <c r="UPJ1680" s="2730"/>
      <c r="UPK1680" s="2730"/>
      <c r="UPL1680" s="2730"/>
      <c r="UPM1680" s="2730"/>
      <c r="UPN1680" s="2730"/>
      <c r="UPO1680" s="2730"/>
      <c r="UPP1680" s="2730"/>
      <c r="UPQ1680" s="2730"/>
      <c r="UPR1680" s="2730"/>
      <c r="UPS1680" s="2730"/>
      <c r="UPT1680" s="2730"/>
      <c r="UPU1680" s="2730"/>
      <c r="UPV1680" s="2730"/>
      <c r="UPW1680" s="2730"/>
      <c r="UPX1680" s="2730"/>
      <c r="UPY1680" s="2730"/>
      <c r="UPZ1680" s="2730"/>
      <c r="UQA1680" s="2730"/>
      <c r="UQB1680" s="2730"/>
      <c r="UQC1680" s="2730"/>
      <c r="UQD1680" s="2730"/>
      <c r="UQE1680" s="2730"/>
      <c r="UQF1680" s="2730"/>
      <c r="UQG1680" s="2730"/>
      <c r="UQH1680" s="2730"/>
      <c r="UQI1680" s="2730"/>
      <c r="UQJ1680" s="2730"/>
      <c r="UQK1680" s="2730"/>
      <c r="UQL1680" s="2730"/>
      <c r="UQM1680" s="2730"/>
      <c r="UQN1680" s="2730"/>
      <c r="UQO1680" s="2730"/>
      <c r="UQP1680" s="2730"/>
      <c r="UQQ1680" s="2730"/>
      <c r="UQR1680" s="2730"/>
      <c r="UQS1680" s="2730"/>
      <c r="UQT1680" s="2730"/>
      <c r="UQU1680" s="2730"/>
      <c r="UQV1680" s="2730"/>
      <c r="UQW1680" s="2730"/>
      <c r="UQX1680" s="2730"/>
      <c r="UQY1680" s="2730"/>
      <c r="UQZ1680" s="2730"/>
      <c r="URA1680" s="2730"/>
      <c r="URB1680" s="2730"/>
      <c r="URC1680" s="2730"/>
      <c r="URD1680" s="2730"/>
      <c r="URE1680" s="2730"/>
      <c r="URF1680" s="2730"/>
      <c r="URG1680" s="2730"/>
      <c r="URH1680" s="2730"/>
      <c r="URI1680" s="2730"/>
      <c r="URJ1680" s="2730"/>
      <c r="URK1680" s="2730"/>
      <c r="URL1680" s="2730"/>
      <c r="URM1680" s="2730"/>
      <c r="URN1680" s="2730"/>
      <c r="URO1680" s="2730"/>
      <c r="URP1680" s="2730"/>
      <c r="URQ1680" s="2730"/>
      <c r="URR1680" s="2730"/>
      <c r="URS1680" s="2730"/>
      <c r="URT1680" s="2730"/>
      <c r="URU1680" s="2730"/>
      <c r="URV1680" s="2730"/>
      <c r="URW1680" s="2730"/>
      <c r="URX1680" s="2730"/>
      <c r="URY1680" s="2730"/>
      <c r="URZ1680" s="2730"/>
      <c r="USA1680" s="2730"/>
      <c r="USB1680" s="2730"/>
      <c r="USC1680" s="2730"/>
      <c r="USD1680" s="2730"/>
      <c r="USE1680" s="2730"/>
      <c r="USF1680" s="2730"/>
      <c r="USG1680" s="2730"/>
      <c r="USH1680" s="2730"/>
      <c r="USI1680" s="2730"/>
      <c r="USJ1680" s="2730"/>
      <c r="USK1680" s="2730"/>
      <c r="USL1680" s="2730"/>
      <c r="USM1680" s="2730"/>
      <c r="USN1680" s="2730"/>
      <c r="USO1680" s="2730"/>
      <c r="USP1680" s="2730"/>
      <c r="USQ1680" s="2730"/>
      <c r="USR1680" s="2730"/>
      <c r="USS1680" s="2730"/>
      <c r="UST1680" s="2730"/>
      <c r="USU1680" s="2730"/>
      <c r="USV1680" s="2730"/>
      <c r="USW1680" s="2730"/>
      <c r="USX1680" s="2730"/>
      <c r="USY1680" s="2730"/>
      <c r="USZ1680" s="2730"/>
      <c r="UTA1680" s="2730"/>
      <c r="UTB1680" s="2730"/>
      <c r="UTC1680" s="2730"/>
      <c r="UTD1680" s="2730"/>
      <c r="UTE1680" s="2730"/>
      <c r="UTF1680" s="2730"/>
      <c r="UTG1680" s="2730"/>
      <c r="UTH1680" s="2730"/>
      <c r="UTI1680" s="2730"/>
      <c r="UTJ1680" s="2730"/>
      <c r="UTK1680" s="2730"/>
      <c r="UTL1680" s="2730"/>
      <c r="UTM1680" s="2730"/>
      <c r="UTN1680" s="2730"/>
      <c r="UTO1680" s="2730"/>
      <c r="UTP1680" s="2730"/>
      <c r="UTQ1680" s="2730"/>
      <c r="UTR1680" s="2730"/>
      <c r="UTS1680" s="2730"/>
      <c r="UTT1680" s="2730"/>
      <c r="UTU1680" s="2730"/>
      <c r="UTV1680" s="2730"/>
      <c r="UTW1680" s="2730"/>
      <c r="UTX1680" s="2730"/>
      <c r="UTY1680" s="2730"/>
      <c r="UTZ1680" s="2730"/>
      <c r="UUA1680" s="2730"/>
      <c r="UUB1680" s="2730"/>
      <c r="UUC1680" s="2730"/>
      <c r="UUD1680" s="2730"/>
      <c r="UUE1680" s="2730"/>
      <c r="UUF1680" s="2730"/>
      <c r="UUG1680" s="2730"/>
      <c r="UUH1680" s="2730"/>
      <c r="UUI1680" s="2730"/>
      <c r="UUJ1680" s="2730"/>
      <c r="UUK1680" s="2730"/>
      <c r="UUL1680" s="2730"/>
      <c r="UUM1680" s="2730"/>
      <c r="UUN1680" s="2730"/>
      <c r="UUO1680" s="2730"/>
      <c r="UUP1680" s="2730"/>
      <c r="UUQ1680" s="2730"/>
      <c r="UUR1680" s="2730"/>
      <c r="UUS1680" s="2730"/>
      <c r="UUT1680" s="2730"/>
      <c r="UUU1680" s="2730"/>
      <c r="UUV1680" s="2730"/>
      <c r="UUW1680" s="2730"/>
      <c r="UUX1680" s="2730"/>
      <c r="UUY1680" s="2730"/>
      <c r="UUZ1680" s="2730"/>
      <c r="UVA1680" s="2730"/>
      <c r="UVB1680" s="2730"/>
      <c r="UVC1680" s="2730"/>
      <c r="UVD1680" s="2730"/>
      <c r="UVE1680" s="2730"/>
      <c r="UVF1680" s="2730"/>
      <c r="UVG1680" s="2730"/>
      <c r="UVH1680" s="2730"/>
      <c r="UVI1680" s="2730"/>
      <c r="UVJ1680" s="2730"/>
      <c r="UVK1680" s="2730"/>
      <c r="UVL1680" s="2730"/>
      <c r="UVM1680" s="2730"/>
      <c r="UVN1680" s="2730"/>
      <c r="UVO1680" s="2730"/>
      <c r="UVP1680" s="2730"/>
      <c r="UVQ1680" s="2730"/>
      <c r="UVR1680" s="2730"/>
      <c r="UVS1680" s="2730"/>
      <c r="UVT1680" s="2730"/>
      <c r="UVU1680" s="2730"/>
      <c r="UVV1680" s="2730"/>
      <c r="UVW1680" s="2730"/>
      <c r="UVX1680" s="2730"/>
      <c r="UVY1680" s="2730"/>
      <c r="UVZ1680" s="2730"/>
      <c r="UWA1680" s="2730"/>
      <c r="UWB1680" s="2730"/>
      <c r="UWC1680" s="2730"/>
      <c r="UWD1680" s="2730"/>
      <c r="UWE1680" s="2730"/>
      <c r="UWF1680" s="2730"/>
      <c r="UWG1680" s="2730"/>
      <c r="UWH1680" s="2730"/>
      <c r="UWI1680" s="2730"/>
      <c r="UWJ1680" s="2730"/>
      <c r="UWK1680" s="2730"/>
      <c r="UWL1680" s="2730"/>
      <c r="UWM1680" s="2730"/>
      <c r="UWN1680" s="2730"/>
      <c r="UWO1680" s="2730"/>
      <c r="UWP1680" s="2730"/>
      <c r="UWQ1680" s="2730"/>
      <c r="UWR1680" s="2730"/>
      <c r="UWS1680" s="2730"/>
      <c r="UWT1680" s="2730"/>
      <c r="UWU1680" s="2730"/>
      <c r="UWV1680" s="2730"/>
      <c r="UWW1680" s="2730"/>
      <c r="UWX1680" s="2730"/>
      <c r="UWY1680" s="2730"/>
      <c r="UWZ1680" s="2730"/>
      <c r="UXA1680" s="2730"/>
      <c r="UXB1680" s="2730"/>
      <c r="UXC1680" s="2730"/>
      <c r="UXD1680" s="2730"/>
      <c r="UXE1680" s="2730"/>
      <c r="UXF1680" s="2730"/>
      <c r="UXG1680" s="2730"/>
      <c r="UXH1680" s="2730"/>
      <c r="UXI1680" s="2730"/>
      <c r="UXJ1680" s="2730"/>
      <c r="UXK1680" s="2730"/>
      <c r="UXL1680" s="2730"/>
      <c r="UXM1680" s="2730"/>
      <c r="UXN1680" s="2730"/>
      <c r="UXO1680" s="2730"/>
      <c r="UXP1680" s="2730"/>
      <c r="UXQ1680" s="2730"/>
      <c r="UXR1680" s="2730"/>
      <c r="UXS1680" s="2730"/>
      <c r="UXT1680" s="2730"/>
      <c r="UXU1680" s="2730"/>
      <c r="UXV1680" s="2730"/>
      <c r="UXW1680" s="2730"/>
      <c r="UXX1680" s="2730"/>
      <c r="UXY1680" s="2730"/>
      <c r="UXZ1680" s="2730"/>
      <c r="UYA1680" s="2730"/>
      <c r="UYB1680" s="2730"/>
      <c r="UYC1680" s="2730"/>
      <c r="UYD1680" s="2730"/>
      <c r="UYE1680" s="2730"/>
      <c r="UYF1680" s="2730"/>
      <c r="UYG1680" s="2730"/>
      <c r="UYH1680" s="2730"/>
      <c r="UYI1680" s="2730"/>
      <c r="UYJ1680" s="2730"/>
      <c r="UYK1680" s="2730"/>
      <c r="UYL1680" s="2730"/>
      <c r="UYM1680" s="2730"/>
      <c r="UYN1680" s="2730"/>
      <c r="UYO1680" s="2730"/>
      <c r="UYP1680" s="2730"/>
      <c r="UYQ1680" s="2730"/>
      <c r="UYR1680" s="2730"/>
      <c r="UYS1680" s="2730"/>
      <c r="UYT1680" s="2730"/>
      <c r="UYU1680" s="2730"/>
      <c r="UYV1680" s="2730"/>
      <c r="UYW1680" s="2730"/>
      <c r="UYX1680" s="2730"/>
      <c r="UYY1680" s="2730"/>
      <c r="UYZ1680" s="2730"/>
      <c r="UZA1680" s="2730"/>
      <c r="UZB1680" s="2730"/>
      <c r="UZC1680" s="2730"/>
      <c r="UZD1680" s="2730"/>
      <c r="UZE1680" s="2730"/>
      <c r="UZF1680" s="2730"/>
      <c r="UZG1680" s="2730"/>
      <c r="UZH1680" s="2730"/>
      <c r="UZI1680" s="2730"/>
      <c r="UZJ1680" s="2730"/>
      <c r="UZK1680" s="2730"/>
      <c r="UZL1680" s="2730"/>
      <c r="UZM1680" s="2730"/>
      <c r="UZN1680" s="2730"/>
      <c r="UZO1680" s="2730"/>
      <c r="UZP1680" s="2730"/>
      <c r="UZQ1680" s="2730"/>
      <c r="UZR1680" s="2730"/>
      <c r="UZS1680" s="2730"/>
      <c r="UZT1680" s="2730"/>
      <c r="UZU1680" s="2730"/>
      <c r="UZV1680" s="2730"/>
      <c r="UZW1680" s="2730"/>
      <c r="UZX1680" s="2730"/>
      <c r="UZY1680" s="2730"/>
      <c r="UZZ1680" s="2730"/>
      <c r="VAA1680" s="2730"/>
      <c r="VAB1680" s="2730"/>
      <c r="VAC1680" s="2730"/>
      <c r="VAD1680" s="2730"/>
      <c r="VAE1680" s="2730"/>
      <c r="VAF1680" s="2730"/>
      <c r="VAG1680" s="2730"/>
      <c r="VAH1680" s="2730"/>
      <c r="VAI1680" s="2730"/>
      <c r="VAJ1680" s="2730"/>
      <c r="VAK1680" s="2730"/>
      <c r="VAL1680" s="2730"/>
      <c r="VAM1680" s="2730"/>
      <c r="VAN1680" s="2730"/>
      <c r="VAO1680" s="2730"/>
      <c r="VAP1680" s="2730"/>
      <c r="VAQ1680" s="2730"/>
      <c r="VAR1680" s="2730"/>
      <c r="VAS1680" s="2730"/>
      <c r="VAT1680" s="2730"/>
      <c r="VAU1680" s="2730"/>
      <c r="VAV1680" s="2730"/>
      <c r="VAW1680" s="2730"/>
      <c r="VAX1680" s="2730"/>
      <c r="VAY1680" s="2730"/>
      <c r="VAZ1680" s="2730"/>
      <c r="VBA1680" s="2730"/>
      <c r="VBB1680" s="2730"/>
      <c r="VBC1680" s="2730"/>
      <c r="VBD1680" s="2730"/>
      <c r="VBE1680" s="2730"/>
      <c r="VBF1680" s="2730"/>
      <c r="VBG1680" s="2730"/>
      <c r="VBH1680" s="2730"/>
      <c r="VBI1680" s="2730"/>
      <c r="VBJ1680" s="2730"/>
      <c r="VBK1680" s="2730"/>
      <c r="VBL1680" s="2730"/>
      <c r="VBM1680" s="2730"/>
      <c r="VBN1680" s="2730"/>
      <c r="VBO1680" s="2730"/>
      <c r="VBP1680" s="2730"/>
      <c r="VBQ1680" s="2730"/>
      <c r="VBR1680" s="2730"/>
      <c r="VBS1680" s="2730"/>
      <c r="VBT1680" s="2730"/>
      <c r="VBU1680" s="2730"/>
      <c r="VBV1680" s="2730"/>
      <c r="VBW1680" s="2730"/>
      <c r="VBX1680" s="2730"/>
      <c r="VBY1680" s="2730"/>
      <c r="VBZ1680" s="2730"/>
      <c r="VCA1680" s="2730"/>
      <c r="VCB1680" s="2730"/>
      <c r="VCC1680" s="2730"/>
      <c r="VCD1680" s="2730"/>
      <c r="VCE1680" s="2730"/>
      <c r="VCF1680" s="2730"/>
      <c r="VCG1680" s="2730"/>
      <c r="VCH1680" s="2730"/>
      <c r="VCI1680" s="2730"/>
      <c r="VCJ1680" s="2730"/>
      <c r="VCK1680" s="2730"/>
      <c r="VCL1680" s="2730"/>
      <c r="VCM1680" s="2730"/>
      <c r="VCN1680" s="2730"/>
      <c r="VCO1680" s="2730"/>
      <c r="VCP1680" s="2730"/>
      <c r="VCQ1680" s="2730"/>
      <c r="VCR1680" s="2730"/>
      <c r="VCS1680" s="2730"/>
      <c r="VCT1680" s="2730"/>
      <c r="VCU1680" s="2730"/>
      <c r="VCV1680" s="2730"/>
      <c r="VCW1680" s="2730"/>
      <c r="VCX1680" s="2730"/>
      <c r="VCY1680" s="2730"/>
      <c r="VCZ1680" s="2730"/>
      <c r="VDA1680" s="2730"/>
      <c r="VDB1680" s="2730"/>
      <c r="VDC1680" s="2730"/>
      <c r="VDD1680" s="2730"/>
      <c r="VDE1680" s="2730"/>
      <c r="VDF1680" s="2730"/>
      <c r="VDG1680" s="2730"/>
      <c r="VDH1680" s="2730"/>
      <c r="VDI1680" s="2730"/>
      <c r="VDJ1680" s="2730"/>
      <c r="VDK1680" s="2730"/>
      <c r="VDL1680" s="2730"/>
      <c r="VDM1680" s="2730"/>
      <c r="VDN1680" s="2730"/>
      <c r="VDO1680" s="2730"/>
      <c r="VDP1680" s="2730"/>
      <c r="VDQ1680" s="2730"/>
      <c r="VDR1680" s="2730"/>
      <c r="VDS1680" s="2730"/>
      <c r="VDT1680" s="2730"/>
      <c r="VDU1680" s="2730"/>
      <c r="VDV1680" s="2730"/>
      <c r="VDW1680" s="2730"/>
      <c r="VDX1680" s="2730"/>
      <c r="VDY1680" s="2730"/>
      <c r="VDZ1680" s="2730"/>
      <c r="VEA1680" s="2730"/>
      <c r="VEB1680" s="2730"/>
      <c r="VEC1680" s="2730"/>
      <c r="VED1680" s="2730"/>
      <c r="VEE1680" s="2730"/>
      <c r="VEF1680" s="2730"/>
      <c r="VEG1680" s="2730"/>
      <c r="VEH1680" s="2730"/>
      <c r="VEI1680" s="2730"/>
      <c r="VEJ1680" s="2730"/>
      <c r="VEK1680" s="2730"/>
      <c r="VEL1680" s="2730"/>
      <c r="VEM1680" s="2730"/>
      <c r="VEN1680" s="2730"/>
      <c r="VEO1680" s="2730"/>
      <c r="VEP1680" s="2730"/>
      <c r="VEQ1680" s="2730"/>
      <c r="VER1680" s="2730"/>
      <c r="VES1680" s="2730"/>
      <c r="VET1680" s="2730"/>
      <c r="VEU1680" s="2730"/>
      <c r="VEV1680" s="2730"/>
      <c r="VEW1680" s="2730"/>
      <c r="VEX1680" s="2730"/>
      <c r="VEY1680" s="2730"/>
      <c r="VEZ1680" s="2730"/>
      <c r="VFA1680" s="2730"/>
      <c r="VFB1680" s="2730"/>
      <c r="VFC1680" s="2730"/>
      <c r="VFD1680" s="2730"/>
      <c r="VFE1680" s="2730"/>
      <c r="VFF1680" s="2730"/>
      <c r="VFG1680" s="2730"/>
      <c r="VFH1680" s="2730"/>
      <c r="VFI1680" s="2730"/>
      <c r="VFJ1680" s="2730"/>
      <c r="VFK1680" s="2730"/>
      <c r="VFL1680" s="2730"/>
      <c r="VFM1680" s="2730"/>
      <c r="VFN1680" s="2730"/>
      <c r="VFO1680" s="2730"/>
      <c r="VFP1680" s="2730"/>
      <c r="VFQ1680" s="2730"/>
      <c r="VFR1680" s="2730"/>
      <c r="VFS1680" s="2730"/>
      <c r="VFT1680" s="2730"/>
      <c r="VFU1680" s="2730"/>
      <c r="VFV1680" s="2730"/>
      <c r="VFW1680" s="2730"/>
      <c r="VFX1680" s="2730"/>
      <c r="VFY1680" s="2730"/>
      <c r="VFZ1680" s="2730"/>
      <c r="VGA1680" s="2730"/>
      <c r="VGB1680" s="2730"/>
      <c r="VGC1680" s="2730"/>
      <c r="VGD1680" s="2730"/>
      <c r="VGE1680" s="2730"/>
      <c r="VGF1680" s="2730"/>
      <c r="VGG1680" s="2730"/>
      <c r="VGH1680" s="2730"/>
      <c r="VGI1680" s="2730"/>
      <c r="VGJ1680" s="2730"/>
      <c r="VGK1680" s="2730"/>
      <c r="VGL1680" s="2730"/>
      <c r="VGM1680" s="2730"/>
      <c r="VGN1680" s="2730"/>
      <c r="VGO1680" s="2730"/>
      <c r="VGP1680" s="2730"/>
      <c r="VGQ1680" s="2730"/>
      <c r="VGR1680" s="2730"/>
      <c r="VGS1680" s="2730"/>
      <c r="VGT1680" s="2730"/>
      <c r="VGU1680" s="2730"/>
      <c r="VGV1680" s="2730"/>
      <c r="VGW1680" s="2730"/>
      <c r="VGX1680" s="2730"/>
      <c r="VGY1680" s="2730"/>
      <c r="VGZ1680" s="2730"/>
      <c r="VHA1680" s="2730"/>
      <c r="VHB1680" s="2730"/>
      <c r="VHC1680" s="2730"/>
      <c r="VHD1680" s="2730"/>
      <c r="VHE1680" s="2730"/>
      <c r="VHF1680" s="2730"/>
      <c r="VHG1680" s="2730"/>
      <c r="VHH1680" s="2730"/>
      <c r="VHI1680" s="2730"/>
      <c r="VHJ1680" s="2730"/>
      <c r="VHK1680" s="2730"/>
      <c r="VHL1680" s="2730"/>
      <c r="VHM1680" s="2730"/>
      <c r="VHN1680" s="2730"/>
      <c r="VHO1680" s="2730"/>
      <c r="VHP1680" s="2730"/>
      <c r="VHQ1680" s="2730"/>
      <c r="VHR1680" s="2730"/>
      <c r="VHS1680" s="2730"/>
      <c r="VHT1680" s="2730"/>
      <c r="VHU1680" s="2730"/>
      <c r="VHV1680" s="2730"/>
      <c r="VHW1680" s="2730"/>
      <c r="VHX1680" s="2730"/>
      <c r="VHY1680" s="2730"/>
      <c r="VHZ1680" s="2730"/>
      <c r="VIA1680" s="2730"/>
      <c r="VIB1680" s="2730"/>
      <c r="VIC1680" s="2730"/>
      <c r="VID1680" s="2730"/>
      <c r="VIE1680" s="2730"/>
      <c r="VIF1680" s="2730"/>
      <c r="VIG1680" s="2730"/>
      <c r="VIH1680" s="2730"/>
      <c r="VII1680" s="2730"/>
      <c r="VIJ1680" s="2730"/>
      <c r="VIK1680" s="2730"/>
      <c r="VIL1680" s="2730"/>
      <c r="VIM1680" s="2730"/>
      <c r="VIN1680" s="2730"/>
      <c r="VIO1680" s="2730"/>
      <c r="VIP1680" s="2730"/>
      <c r="VIQ1680" s="2730"/>
      <c r="VIR1680" s="2730"/>
      <c r="VIS1680" s="2730"/>
      <c r="VIT1680" s="2730"/>
      <c r="VIU1680" s="2730"/>
      <c r="VIV1680" s="2730"/>
      <c r="VIW1680" s="2730"/>
      <c r="VIX1680" s="2730"/>
      <c r="VIY1680" s="2730"/>
      <c r="VIZ1680" s="2730"/>
      <c r="VJA1680" s="2730"/>
      <c r="VJB1680" s="2730"/>
      <c r="VJC1680" s="2730"/>
      <c r="VJD1680" s="2730"/>
      <c r="VJE1680" s="2730"/>
      <c r="VJF1680" s="2730"/>
      <c r="VJG1680" s="2730"/>
      <c r="VJH1680" s="2730"/>
      <c r="VJI1680" s="2730"/>
      <c r="VJJ1680" s="2730"/>
      <c r="VJK1680" s="2730"/>
      <c r="VJL1680" s="2730"/>
      <c r="VJM1680" s="2730"/>
      <c r="VJN1680" s="2730"/>
      <c r="VJO1680" s="2730"/>
      <c r="VJP1680" s="2730"/>
      <c r="VJQ1680" s="2730"/>
      <c r="VJR1680" s="2730"/>
      <c r="VJS1680" s="2730"/>
      <c r="VJT1680" s="2730"/>
      <c r="VJU1680" s="2730"/>
      <c r="VJV1680" s="2730"/>
      <c r="VJW1680" s="2730"/>
      <c r="VJX1680" s="2730"/>
      <c r="VJY1680" s="2730"/>
      <c r="VJZ1680" s="2730"/>
      <c r="VKA1680" s="2730"/>
      <c r="VKB1680" s="2730"/>
      <c r="VKC1680" s="2730"/>
      <c r="VKD1680" s="2730"/>
      <c r="VKE1680" s="2730"/>
      <c r="VKF1680" s="2730"/>
      <c r="VKG1680" s="2730"/>
      <c r="VKH1680" s="2730"/>
      <c r="VKI1680" s="2730"/>
      <c r="VKJ1680" s="2730"/>
      <c r="VKK1680" s="2730"/>
      <c r="VKL1680" s="2730"/>
      <c r="VKM1680" s="2730"/>
      <c r="VKN1680" s="2730"/>
      <c r="VKO1680" s="2730"/>
      <c r="VKP1680" s="2730"/>
      <c r="VKQ1680" s="2730"/>
      <c r="VKR1680" s="2730"/>
      <c r="VKS1680" s="2730"/>
      <c r="VKT1680" s="2730"/>
      <c r="VKU1680" s="2730"/>
      <c r="VKV1680" s="2730"/>
      <c r="VKW1680" s="2730"/>
      <c r="VKX1680" s="2730"/>
      <c r="VKY1680" s="2730"/>
      <c r="VKZ1680" s="2730"/>
      <c r="VLA1680" s="2730"/>
      <c r="VLB1680" s="2730"/>
      <c r="VLC1680" s="2730"/>
      <c r="VLD1680" s="2730"/>
      <c r="VLE1680" s="2730"/>
      <c r="VLF1680" s="2730"/>
      <c r="VLG1680" s="2730"/>
      <c r="VLH1680" s="2730"/>
      <c r="VLI1680" s="2730"/>
      <c r="VLJ1680" s="2730"/>
      <c r="VLK1680" s="2730"/>
      <c r="VLL1680" s="2730"/>
      <c r="VLM1680" s="2730"/>
      <c r="VLN1680" s="2730"/>
      <c r="VLO1680" s="2730"/>
      <c r="VLP1680" s="2730"/>
      <c r="VLQ1680" s="2730"/>
      <c r="VLR1680" s="2730"/>
      <c r="VLS1680" s="2730"/>
      <c r="VLT1680" s="2730"/>
      <c r="VLU1680" s="2730"/>
      <c r="VLV1680" s="2730"/>
      <c r="VLW1680" s="2730"/>
      <c r="VLX1680" s="2730"/>
      <c r="VLY1680" s="2730"/>
      <c r="VLZ1680" s="2730"/>
      <c r="VMA1680" s="2730"/>
      <c r="VMB1680" s="2730"/>
      <c r="VMC1680" s="2730"/>
      <c r="VMD1680" s="2730"/>
      <c r="VME1680" s="2730"/>
      <c r="VMF1680" s="2730"/>
      <c r="VMG1680" s="2730"/>
      <c r="VMH1680" s="2730"/>
      <c r="VMI1680" s="2730"/>
      <c r="VMJ1680" s="2730"/>
      <c r="VMK1680" s="2730"/>
      <c r="VML1680" s="2730"/>
      <c r="VMM1680" s="2730"/>
      <c r="VMN1680" s="2730"/>
      <c r="VMO1680" s="2730"/>
      <c r="VMP1680" s="2730"/>
      <c r="VMQ1680" s="2730"/>
      <c r="VMR1680" s="2730"/>
      <c r="VMS1680" s="2730"/>
      <c r="VMT1680" s="2730"/>
      <c r="VMU1680" s="2730"/>
      <c r="VMV1680" s="2730"/>
      <c r="VMW1680" s="2730"/>
      <c r="VMX1680" s="2730"/>
      <c r="VMY1680" s="2730"/>
      <c r="VMZ1680" s="2730"/>
      <c r="VNA1680" s="2730"/>
      <c r="VNB1680" s="2730"/>
      <c r="VNC1680" s="2730"/>
      <c r="VND1680" s="2730"/>
      <c r="VNE1680" s="2730"/>
      <c r="VNF1680" s="2730"/>
      <c r="VNG1680" s="2730"/>
      <c r="VNH1680" s="2730"/>
      <c r="VNI1680" s="2730"/>
      <c r="VNJ1680" s="2730"/>
      <c r="VNK1680" s="2730"/>
      <c r="VNL1680" s="2730"/>
      <c r="VNM1680" s="2730"/>
      <c r="VNN1680" s="2730"/>
      <c r="VNO1680" s="2730"/>
      <c r="VNP1680" s="2730"/>
      <c r="VNQ1680" s="2730"/>
      <c r="VNR1680" s="2730"/>
      <c r="VNS1680" s="2730"/>
      <c r="VNT1680" s="2730"/>
      <c r="VNU1680" s="2730"/>
      <c r="VNV1680" s="2730"/>
      <c r="VNW1680" s="2730"/>
      <c r="VNX1680" s="2730"/>
      <c r="VNY1680" s="2730"/>
      <c r="VNZ1680" s="2730"/>
      <c r="VOA1680" s="2730"/>
      <c r="VOB1680" s="2730"/>
      <c r="VOC1680" s="2730"/>
      <c r="VOD1680" s="2730"/>
      <c r="VOE1680" s="2730"/>
      <c r="VOF1680" s="2730"/>
      <c r="VOG1680" s="2730"/>
      <c r="VOH1680" s="2730"/>
      <c r="VOI1680" s="2730"/>
      <c r="VOJ1680" s="2730"/>
      <c r="VOK1680" s="2730"/>
      <c r="VOL1680" s="2730"/>
      <c r="VOM1680" s="2730"/>
      <c r="VON1680" s="2730"/>
      <c r="VOO1680" s="2730"/>
      <c r="VOP1680" s="2730"/>
      <c r="VOQ1680" s="2730"/>
      <c r="VOR1680" s="2730"/>
      <c r="VOS1680" s="2730"/>
      <c r="VOT1680" s="2730"/>
      <c r="VOU1680" s="2730"/>
      <c r="VOV1680" s="2730"/>
      <c r="VOW1680" s="2730"/>
      <c r="VOX1680" s="2730"/>
      <c r="VOY1680" s="2730"/>
      <c r="VOZ1680" s="2730"/>
      <c r="VPA1680" s="2730"/>
      <c r="VPB1680" s="2730"/>
      <c r="VPC1680" s="2730"/>
      <c r="VPD1680" s="2730"/>
      <c r="VPE1680" s="2730"/>
      <c r="VPF1680" s="2730"/>
      <c r="VPG1680" s="2730"/>
      <c r="VPH1680" s="2730"/>
      <c r="VPI1680" s="2730"/>
      <c r="VPJ1680" s="2730"/>
      <c r="VPK1680" s="2730"/>
      <c r="VPL1680" s="2730"/>
      <c r="VPM1680" s="2730"/>
      <c r="VPN1680" s="2730"/>
      <c r="VPO1680" s="2730"/>
      <c r="VPP1680" s="2730"/>
      <c r="VPQ1680" s="2730"/>
      <c r="VPR1680" s="2730"/>
      <c r="VPS1680" s="2730"/>
      <c r="VPT1680" s="2730"/>
      <c r="VPU1680" s="2730"/>
      <c r="VPV1680" s="2730"/>
      <c r="VPW1680" s="2730"/>
      <c r="VPX1680" s="2730"/>
      <c r="VPY1680" s="2730"/>
      <c r="VPZ1680" s="2730"/>
      <c r="VQA1680" s="2730"/>
      <c r="VQB1680" s="2730"/>
      <c r="VQC1680" s="2730"/>
      <c r="VQD1680" s="2730"/>
      <c r="VQE1680" s="2730"/>
      <c r="VQF1680" s="2730"/>
      <c r="VQG1680" s="2730"/>
      <c r="VQH1680" s="2730"/>
      <c r="VQI1680" s="2730"/>
      <c r="VQJ1680" s="2730"/>
      <c r="VQK1680" s="2730"/>
      <c r="VQL1680" s="2730"/>
      <c r="VQM1680" s="2730"/>
      <c r="VQN1680" s="2730"/>
      <c r="VQO1680" s="2730"/>
      <c r="VQP1680" s="2730"/>
      <c r="VQQ1680" s="2730"/>
      <c r="VQR1680" s="2730"/>
      <c r="VQS1680" s="2730"/>
      <c r="VQT1680" s="2730"/>
      <c r="VQU1680" s="2730"/>
      <c r="VQV1680" s="2730"/>
      <c r="VQW1680" s="2730"/>
      <c r="VQX1680" s="2730"/>
      <c r="VQY1680" s="2730"/>
      <c r="VQZ1680" s="2730"/>
      <c r="VRA1680" s="2730"/>
      <c r="VRB1680" s="2730"/>
      <c r="VRC1680" s="2730"/>
      <c r="VRD1680" s="2730"/>
      <c r="VRE1680" s="2730"/>
      <c r="VRF1680" s="2730"/>
      <c r="VRG1680" s="2730"/>
      <c r="VRH1680" s="2730"/>
      <c r="VRI1680" s="2730"/>
      <c r="VRJ1680" s="2730"/>
      <c r="VRK1680" s="2730"/>
      <c r="VRL1680" s="2730"/>
      <c r="VRM1680" s="2730"/>
      <c r="VRN1680" s="2730"/>
      <c r="VRO1680" s="2730"/>
      <c r="VRP1680" s="2730"/>
      <c r="VRQ1680" s="2730"/>
      <c r="VRR1680" s="2730"/>
      <c r="VRS1680" s="2730"/>
      <c r="VRT1680" s="2730"/>
      <c r="VRU1680" s="2730"/>
      <c r="VRV1680" s="2730"/>
      <c r="VRW1680" s="2730"/>
      <c r="VRX1680" s="2730"/>
      <c r="VRY1680" s="2730"/>
      <c r="VRZ1680" s="2730"/>
      <c r="VSA1680" s="2730"/>
      <c r="VSB1680" s="2730"/>
      <c r="VSC1680" s="2730"/>
      <c r="VSD1680" s="2730"/>
      <c r="VSE1680" s="2730"/>
      <c r="VSF1680" s="2730"/>
      <c r="VSG1680" s="2730"/>
      <c r="VSH1680" s="2730"/>
      <c r="VSI1680" s="2730"/>
      <c r="VSJ1680" s="2730"/>
      <c r="VSK1680" s="2730"/>
      <c r="VSL1680" s="2730"/>
      <c r="VSM1680" s="2730"/>
      <c r="VSN1680" s="2730"/>
      <c r="VSO1680" s="2730"/>
      <c r="VSP1680" s="2730"/>
      <c r="VSQ1680" s="2730"/>
      <c r="VSR1680" s="2730"/>
      <c r="VSS1680" s="2730"/>
      <c r="VST1680" s="2730"/>
      <c r="VSU1680" s="2730"/>
      <c r="VSV1680" s="2730"/>
      <c r="VSW1680" s="2730"/>
      <c r="VSX1680" s="2730"/>
      <c r="VSY1680" s="2730"/>
      <c r="VSZ1680" s="2730"/>
      <c r="VTA1680" s="2730"/>
      <c r="VTB1680" s="2730"/>
      <c r="VTC1680" s="2730"/>
      <c r="VTD1680" s="2730"/>
      <c r="VTE1680" s="2730"/>
      <c r="VTF1680" s="2730"/>
      <c r="VTG1680" s="2730"/>
      <c r="VTH1680" s="2730"/>
      <c r="VTI1680" s="2730"/>
      <c r="VTJ1680" s="2730"/>
      <c r="VTK1680" s="2730"/>
      <c r="VTL1680" s="2730"/>
      <c r="VTM1680" s="2730"/>
      <c r="VTN1680" s="2730"/>
      <c r="VTO1680" s="2730"/>
      <c r="VTP1680" s="2730"/>
      <c r="VTQ1680" s="2730"/>
      <c r="VTR1680" s="2730"/>
      <c r="VTS1680" s="2730"/>
      <c r="VTT1680" s="2730"/>
      <c r="VTU1680" s="2730"/>
      <c r="VTV1680" s="2730"/>
      <c r="VTW1680" s="2730"/>
      <c r="VTX1680" s="2730"/>
      <c r="VTY1680" s="2730"/>
      <c r="VTZ1680" s="2730"/>
      <c r="VUA1680" s="2730"/>
      <c r="VUB1680" s="2730"/>
      <c r="VUC1680" s="2730"/>
      <c r="VUD1680" s="2730"/>
      <c r="VUE1680" s="2730"/>
      <c r="VUF1680" s="2730"/>
      <c r="VUG1680" s="2730"/>
      <c r="VUH1680" s="2730"/>
      <c r="VUI1680" s="2730"/>
      <c r="VUJ1680" s="2730"/>
      <c r="VUK1680" s="2730"/>
      <c r="VUL1680" s="2730"/>
      <c r="VUM1680" s="2730"/>
      <c r="VUN1680" s="2730"/>
      <c r="VUO1680" s="2730"/>
      <c r="VUP1680" s="2730"/>
      <c r="VUQ1680" s="2730"/>
      <c r="VUR1680" s="2730"/>
      <c r="VUS1680" s="2730"/>
      <c r="VUT1680" s="2730"/>
      <c r="VUU1680" s="2730"/>
      <c r="VUV1680" s="2730"/>
      <c r="VUW1680" s="2730"/>
      <c r="VUX1680" s="2730"/>
      <c r="VUY1680" s="2730"/>
      <c r="VUZ1680" s="2730"/>
      <c r="VVA1680" s="2730"/>
      <c r="VVB1680" s="2730"/>
      <c r="VVC1680" s="2730"/>
      <c r="VVD1680" s="2730"/>
      <c r="VVE1680" s="2730"/>
      <c r="VVF1680" s="2730"/>
      <c r="VVG1680" s="2730"/>
      <c r="VVH1680" s="2730"/>
      <c r="VVI1680" s="2730"/>
      <c r="VVJ1680" s="2730"/>
      <c r="VVK1680" s="2730"/>
      <c r="VVL1680" s="2730"/>
      <c r="VVM1680" s="2730"/>
      <c r="VVN1680" s="2730"/>
      <c r="VVO1680" s="2730"/>
      <c r="VVP1680" s="2730"/>
      <c r="VVQ1680" s="2730"/>
      <c r="VVR1680" s="2730"/>
      <c r="VVS1680" s="2730"/>
      <c r="VVT1680" s="2730"/>
      <c r="VVU1680" s="2730"/>
      <c r="VVV1680" s="2730"/>
      <c r="VVW1680" s="2730"/>
      <c r="VVX1680" s="2730"/>
      <c r="VVY1680" s="2730"/>
      <c r="VVZ1680" s="2730"/>
      <c r="VWA1680" s="2730"/>
      <c r="VWB1680" s="2730"/>
      <c r="VWC1680" s="2730"/>
      <c r="VWD1680" s="2730"/>
      <c r="VWE1680" s="2730"/>
      <c r="VWF1680" s="2730"/>
      <c r="VWG1680" s="2730"/>
      <c r="VWH1680" s="2730"/>
      <c r="VWI1680" s="2730"/>
      <c r="VWJ1680" s="2730"/>
      <c r="VWK1680" s="2730"/>
      <c r="VWL1680" s="2730"/>
      <c r="VWM1680" s="2730"/>
      <c r="VWN1680" s="2730"/>
      <c r="VWO1680" s="2730"/>
      <c r="VWP1680" s="2730"/>
      <c r="VWQ1680" s="2730"/>
      <c r="VWR1680" s="2730"/>
      <c r="VWS1680" s="2730"/>
      <c r="VWT1680" s="2730"/>
      <c r="VWU1680" s="2730"/>
      <c r="VWV1680" s="2730"/>
      <c r="VWW1680" s="2730"/>
      <c r="VWX1680" s="2730"/>
      <c r="VWY1680" s="2730"/>
      <c r="VWZ1680" s="2730"/>
      <c r="VXA1680" s="2730"/>
      <c r="VXB1680" s="2730"/>
      <c r="VXC1680" s="2730"/>
      <c r="VXD1680" s="2730"/>
      <c r="VXE1680" s="2730"/>
      <c r="VXF1680" s="2730"/>
      <c r="VXG1680" s="2730"/>
      <c r="VXH1680" s="2730"/>
      <c r="VXI1680" s="2730"/>
      <c r="VXJ1680" s="2730"/>
      <c r="VXK1680" s="2730"/>
      <c r="VXL1680" s="2730"/>
      <c r="VXM1680" s="2730"/>
      <c r="VXN1680" s="2730"/>
      <c r="VXO1680" s="2730"/>
      <c r="VXP1680" s="2730"/>
      <c r="VXQ1680" s="2730"/>
      <c r="VXR1680" s="2730"/>
      <c r="VXS1680" s="2730"/>
      <c r="VXT1680" s="2730"/>
      <c r="VXU1680" s="2730"/>
      <c r="VXV1680" s="2730"/>
      <c r="VXW1680" s="2730"/>
      <c r="VXX1680" s="2730"/>
      <c r="VXY1680" s="2730"/>
      <c r="VXZ1680" s="2730"/>
      <c r="VYA1680" s="2730"/>
      <c r="VYB1680" s="2730"/>
      <c r="VYC1680" s="2730"/>
      <c r="VYD1680" s="2730"/>
      <c r="VYE1680" s="2730"/>
      <c r="VYF1680" s="2730"/>
      <c r="VYG1680" s="2730"/>
      <c r="VYH1680" s="2730"/>
      <c r="VYI1680" s="2730"/>
      <c r="VYJ1680" s="2730"/>
      <c r="VYK1680" s="2730"/>
      <c r="VYL1680" s="2730"/>
      <c r="VYM1680" s="2730"/>
      <c r="VYN1680" s="2730"/>
      <c r="VYO1680" s="2730"/>
      <c r="VYP1680" s="2730"/>
      <c r="VYQ1680" s="2730"/>
      <c r="VYR1680" s="2730"/>
      <c r="VYS1680" s="2730"/>
      <c r="VYT1680" s="2730"/>
      <c r="VYU1680" s="2730"/>
      <c r="VYV1680" s="2730"/>
      <c r="VYW1680" s="2730"/>
      <c r="VYX1680" s="2730"/>
      <c r="VYY1680" s="2730"/>
      <c r="VYZ1680" s="2730"/>
      <c r="VZA1680" s="2730"/>
      <c r="VZB1680" s="2730"/>
      <c r="VZC1680" s="2730"/>
      <c r="VZD1680" s="2730"/>
      <c r="VZE1680" s="2730"/>
      <c r="VZF1680" s="2730"/>
      <c r="VZG1680" s="2730"/>
      <c r="VZH1680" s="2730"/>
      <c r="VZI1680" s="2730"/>
      <c r="VZJ1680" s="2730"/>
      <c r="VZK1680" s="2730"/>
      <c r="VZL1680" s="2730"/>
      <c r="VZM1680" s="2730"/>
      <c r="VZN1680" s="2730"/>
      <c r="VZO1680" s="2730"/>
      <c r="VZP1680" s="2730"/>
      <c r="VZQ1680" s="2730"/>
      <c r="VZR1680" s="2730"/>
      <c r="VZS1680" s="2730"/>
      <c r="VZT1680" s="2730"/>
      <c r="VZU1680" s="2730"/>
      <c r="VZV1680" s="2730"/>
      <c r="VZW1680" s="2730"/>
      <c r="VZX1680" s="2730"/>
      <c r="VZY1680" s="2730"/>
      <c r="VZZ1680" s="2730"/>
      <c r="WAA1680" s="2730"/>
      <c r="WAB1680" s="2730"/>
      <c r="WAC1680" s="2730"/>
      <c r="WAD1680" s="2730"/>
      <c r="WAE1680" s="2730"/>
      <c r="WAF1680" s="2730"/>
      <c r="WAG1680" s="2730"/>
      <c r="WAH1680" s="2730"/>
      <c r="WAI1680" s="2730"/>
      <c r="WAJ1680" s="2730"/>
      <c r="WAK1680" s="2730"/>
      <c r="WAL1680" s="2730"/>
      <c r="WAM1680" s="2730"/>
      <c r="WAN1680" s="2730"/>
      <c r="WAO1680" s="2730"/>
      <c r="WAP1680" s="2730"/>
      <c r="WAQ1680" s="2730"/>
      <c r="WAR1680" s="2730"/>
      <c r="WAS1680" s="2730"/>
      <c r="WAT1680" s="2730"/>
      <c r="WAU1680" s="2730"/>
      <c r="WAV1680" s="2730"/>
      <c r="WAW1680" s="2730"/>
      <c r="WAX1680" s="2730"/>
      <c r="WAY1680" s="2730"/>
      <c r="WAZ1680" s="2730"/>
      <c r="WBA1680" s="2730"/>
      <c r="WBB1680" s="2730"/>
      <c r="WBC1680" s="2730"/>
      <c r="WBD1680" s="2730"/>
      <c r="WBE1680" s="2730"/>
      <c r="WBF1680" s="2730"/>
      <c r="WBG1680" s="2730"/>
      <c r="WBH1680" s="2730"/>
      <c r="WBI1680" s="2730"/>
      <c r="WBJ1680" s="2730"/>
      <c r="WBK1680" s="2730"/>
      <c r="WBL1680" s="2730"/>
      <c r="WBM1680" s="2730"/>
      <c r="WBN1680" s="2730"/>
      <c r="WBO1680" s="2730"/>
      <c r="WBP1680" s="2730"/>
      <c r="WBQ1680" s="2730"/>
      <c r="WBR1680" s="2730"/>
      <c r="WBS1680" s="2730"/>
      <c r="WBT1680" s="2730"/>
      <c r="WBU1680" s="2730"/>
      <c r="WBV1680" s="2730"/>
      <c r="WBW1680" s="2730"/>
      <c r="WBX1680" s="2730"/>
      <c r="WBY1680" s="2730"/>
      <c r="WBZ1680" s="2730"/>
      <c r="WCA1680" s="2730"/>
      <c r="WCB1680" s="2730"/>
      <c r="WCC1680" s="2730"/>
      <c r="WCD1680" s="2730"/>
      <c r="WCE1680" s="2730"/>
      <c r="WCF1680" s="2730"/>
      <c r="WCG1680" s="2730"/>
      <c r="WCH1680" s="2730"/>
      <c r="WCI1680" s="2730"/>
      <c r="WCJ1680" s="2730"/>
      <c r="WCK1680" s="2730"/>
      <c r="WCL1680" s="2730"/>
      <c r="WCM1680" s="2730"/>
      <c r="WCN1680" s="2730"/>
      <c r="WCO1680" s="2730"/>
      <c r="WCP1680" s="2730"/>
      <c r="WCQ1680" s="2730"/>
      <c r="WCR1680" s="2730"/>
      <c r="WCS1680" s="2730"/>
      <c r="WCT1680" s="2730"/>
      <c r="WCU1680" s="2730"/>
      <c r="WCV1680" s="2730"/>
      <c r="WCW1680" s="2730"/>
      <c r="WCX1680" s="2730"/>
      <c r="WCY1680" s="2730"/>
      <c r="WCZ1680" s="2730"/>
      <c r="WDA1680" s="2730"/>
      <c r="WDB1680" s="2730"/>
      <c r="WDC1680" s="2730"/>
      <c r="WDD1680" s="2730"/>
      <c r="WDE1680" s="2730"/>
      <c r="WDF1680" s="2730"/>
      <c r="WDG1680" s="2730"/>
      <c r="WDH1680" s="2730"/>
      <c r="WDI1680" s="2730"/>
      <c r="WDJ1680" s="2730"/>
      <c r="WDK1680" s="2730"/>
      <c r="WDL1680" s="2730"/>
      <c r="WDM1680" s="2730"/>
      <c r="WDN1680" s="2730"/>
      <c r="WDO1680" s="2730"/>
      <c r="WDP1680" s="2730"/>
      <c r="WDQ1680" s="2730"/>
      <c r="WDR1680" s="2730"/>
      <c r="WDS1680" s="2730"/>
      <c r="WDT1680" s="2730"/>
      <c r="WDU1680" s="2730"/>
      <c r="WDV1680" s="2730"/>
      <c r="WDW1680" s="2730"/>
      <c r="WDX1680" s="2730"/>
      <c r="WDY1680" s="2730"/>
      <c r="WDZ1680" s="2730"/>
      <c r="WEA1680" s="2730"/>
      <c r="WEB1680" s="2730"/>
      <c r="WEC1680" s="2730"/>
      <c r="WED1680" s="2730"/>
      <c r="WEE1680" s="2730"/>
      <c r="WEF1680" s="2730"/>
      <c r="WEG1680" s="2730"/>
      <c r="WEH1680" s="2730"/>
      <c r="WEI1680" s="2730"/>
      <c r="WEJ1680" s="2730"/>
      <c r="WEK1680" s="2730"/>
      <c r="WEL1680" s="2730"/>
      <c r="WEM1680" s="2730"/>
      <c r="WEN1680" s="2730"/>
      <c r="WEO1680" s="2730"/>
      <c r="WEP1680" s="2730"/>
      <c r="WEQ1680" s="2730"/>
      <c r="WER1680" s="2730"/>
      <c r="WES1680" s="2730"/>
      <c r="WET1680" s="2730"/>
      <c r="WEU1680" s="2730"/>
      <c r="WEV1680" s="2730"/>
      <c r="WEW1680" s="2730"/>
      <c r="WEX1680" s="2730"/>
      <c r="WEY1680" s="2730"/>
      <c r="WEZ1680" s="2730"/>
      <c r="WFA1680" s="2730"/>
      <c r="WFB1680" s="2730"/>
      <c r="WFC1680" s="2730"/>
      <c r="WFD1680" s="2730"/>
      <c r="WFE1680" s="2730"/>
      <c r="WFF1680" s="2730"/>
      <c r="WFG1680" s="2730"/>
      <c r="WFH1680" s="2730"/>
      <c r="WFI1680" s="2730"/>
      <c r="WFJ1680" s="2730"/>
      <c r="WFK1680" s="2730"/>
      <c r="WFL1680" s="2730"/>
      <c r="WFM1680" s="2730"/>
      <c r="WFN1680" s="2730"/>
      <c r="WFO1680" s="2730"/>
      <c r="WFP1680" s="2730"/>
      <c r="WFQ1680" s="2730"/>
      <c r="WFR1680" s="2730"/>
      <c r="WFS1680" s="2730"/>
      <c r="WFT1680" s="2730"/>
      <c r="WFU1680" s="2730"/>
      <c r="WFV1680" s="2730"/>
      <c r="WFW1680" s="2730"/>
      <c r="WFX1680" s="2730"/>
      <c r="WFY1680" s="2730"/>
      <c r="WFZ1680" s="2730"/>
      <c r="WGA1680" s="2730"/>
      <c r="WGB1680" s="2730"/>
      <c r="WGC1680" s="2730"/>
      <c r="WGD1680" s="2730"/>
      <c r="WGE1680" s="2730"/>
      <c r="WGF1680" s="2730"/>
      <c r="WGG1680" s="2730"/>
      <c r="WGH1680" s="2730"/>
      <c r="WGI1680" s="2730"/>
      <c r="WGJ1680" s="2730"/>
      <c r="WGK1680" s="2730"/>
      <c r="WGL1680" s="2730"/>
      <c r="WGM1680" s="2730"/>
      <c r="WGN1680" s="2730"/>
      <c r="WGO1680" s="2730"/>
      <c r="WGP1680" s="2730"/>
      <c r="WGQ1680" s="2730"/>
      <c r="WGR1680" s="2730"/>
      <c r="WGS1680" s="2730"/>
      <c r="WGT1680" s="2730"/>
      <c r="WGU1680" s="2730"/>
      <c r="WGV1680" s="2730"/>
      <c r="WGW1680" s="2730"/>
      <c r="WGX1680" s="2730"/>
      <c r="WGY1680" s="2730"/>
      <c r="WGZ1680" s="2730"/>
      <c r="WHA1680" s="2730"/>
      <c r="WHB1680" s="2730"/>
      <c r="WHC1680" s="2730"/>
      <c r="WHD1680" s="2730"/>
      <c r="WHE1680" s="2730"/>
      <c r="WHF1680" s="2730"/>
      <c r="WHG1680" s="2730"/>
      <c r="WHH1680" s="2730"/>
      <c r="WHI1680" s="2730"/>
      <c r="WHJ1680" s="2730"/>
      <c r="WHK1680" s="2730"/>
      <c r="WHL1680" s="2730"/>
      <c r="WHM1680" s="2730"/>
      <c r="WHN1680" s="2730"/>
      <c r="WHO1680" s="2730"/>
      <c r="WHP1680" s="2730"/>
      <c r="WHQ1680" s="2730"/>
      <c r="WHR1680" s="2730"/>
      <c r="WHS1680" s="2730"/>
      <c r="WHT1680" s="2730"/>
      <c r="WHU1680" s="2730"/>
      <c r="WHV1680" s="2730"/>
      <c r="WHW1680" s="2730"/>
      <c r="WHX1680" s="2730"/>
      <c r="WHY1680" s="2730"/>
      <c r="WHZ1680" s="2730"/>
      <c r="WIA1680" s="2730"/>
      <c r="WIB1680" s="2730"/>
      <c r="WIC1680" s="2730"/>
      <c r="WID1680" s="2730"/>
      <c r="WIE1680" s="2730"/>
      <c r="WIF1680" s="2730"/>
      <c r="WIG1680" s="2730"/>
      <c r="WIH1680" s="2730"/>
      <c r="WII1680" s="2730"/>
      <c r="WIJ1680" s="2730"/>
      <c r="WIK1680" s="2730"/>
      <c r="WIL1680" s="2730"/>
      <c r="WIM1680" s="2730"/>
      <c r="WIN1680" s="2730"/>
      <c r="WIO1680" s="2730"/>
      <c r="WIP1680" s="2730"/>
      <c r="WIQ1680" s="2730"/>
      <c r="WIR1680" s="2730"/>
      <c r="WIS1680" s="2730"/>
      <c r="WIT1680" s="2730"/>
      <c r="WIU1680" s="2730"/>
      <c r="WIV1680" s="2730"/>
      <c r="WIW1680" s="2730"/>
      <c r="WIX1680" s="2730"/>
      <c r="WIY1680" s="2730"/>
      <c r="WIZ1680" s="2730"/>
      <c r="WJA1680" s="2730"/>
      <c r="WJB1680" s="2730"/>
      <c r="WJC1680" s="2730"/>
      <c r="WJD1680" s="2730"/>
      <c r="WJE1680" s="2730"/>
      <c r="WJF1680" s="2730"/>
      <c r="WJG1680" s="2730"/>
      <c r="WJH1680" s="2730"/>
      <c r="WJI1680" s="2730"/>
      <c r="WJJ1680" s="2730"/>
      <c r="WJK1680" s="2730"/>
      <c r="WJL1680" s="2730"/>
      <c r="WJM1680" s="2730"/>
      <c r="WJN1680" s="2730"/>
      <c r="WJO1680" s="2730"/>
      <c r="WJP1680" s="2730"/>
      <c r="WJQ1680" s="2730"/>
      <c r="WJR1680" s="2730"/>
      <c r="WJS1680" s="2730"/>
      <c r="WJT1680" s="2730"/>
      <c r="WJU1680" s="2730"/>
      <c r="WJV1680" s="2730"/>
      <c r="WJW1680" s="2730"/>
      <c r="WJX1680" s="2730"/>
      <c r="WJY1680" s="2730"/>
      <c r="WJZ1680" s="2730"/>
      <c r="WKA1680" s="2730"/>
      <c r="WKB1680" s="2730"/>
      <c r="WKC1680" s="2730"/>
      <c r="WKD1680" s="2730"/>
      <c r="WKE1680" s="2730"/>
      <c r="WKF1680" s="2730"/>
      <c r="WKG1680" s="2730"/>
      <c r="WKH1680" s="2730"/>
      <c r="WKI1680" s="2730"/>
      <c r="WKJ1680" s="2730"/>
      <c r="WKK1680" s="2730"/>
      <c r="WKL1680" s="2730"/>
      <c r="WKM1680" s="2730"/>
      <c r="WKN1680" s="2730"/>
      <c r="WKO1680" s="2730"/>
      <c r="WKP1680" s="2730"/>
      <c r="WKQ1680" s="2730"/>
      <c r="WKR1680" s="2730"/>
      <c r="WKS1680" s="2730"/>
      <c r="WKT1680" s="2730"/>
      <c r="WKU1680" s="2730"/>
      <c r="WKV1680" s="2730"/>
      <c r="WKW1680" s="2730"/>
      <c r="WKX1680" s="2730"/>
      <c r="WKY1680" s="2730"/>
      <c r="WKZ1680" s="2730"/>
      <c r="WLA1680" s="2730"/>
      <c r="WLB1680" s="2730"/>
      <c r="WLC1680" s="2730"/>
      <c r="WLD1680" s="2730"/>
      <c r="WLE1680" s="2730"/>
      <c r="WLF1680" s="2730"/>
      <c r="WLG1680" s="2730"/>
      <c r="WLH1680" s="2730"/>
      <c r="WLI1680" s="2730"/>
      <c r="WLJ1680" s="2730"/>
      <c r="WLK1680" s="2730"/>
      <c r="WLL1680" s="2730"/>
      <c r="WLM1680" s="2730"/>
      <c r="WLN1680" s="2730"/>
      <c r="WLO1680" s="2730"/>
      <c r="WLP1680" s="2730"/>
      <c r="WLQ1680" s="2730"/>
      <c r="WLR1680" s="2730"/>
      <c r="WLS1680" s="2730"/>
      <c r="WLT1680" s="2730"/>
      <c r="WLU1680" s="2730"/>
      <c r="WLV1680" s="2730"/>
      <c r="WLW1680" s="2730"/>
      <c r="WLX1680" s="2730"/>
      <c r="WLY1680" s="2730"/>
      <c r="WLZ1680" s="2730"/>
      <c r="WMA1680" s="2730"/>
      <c r="WMB1680" s="2730"/>
      <c r="WMC1680" s="2730"/>
      <c r="WMD1680" s="2730"/>
      <c r="WME1680" s="2730"/>
      <c r="WMF1680" s="2730"/>
      <c r="WMG1680" s="2730"/>
      <c r="WMH1680" s="2730"/>
      <c r="WMI1680" s="2730"/>
      <c r="WMJ1680" s="2730"/>
      <c r="WMK1680" s="2730"/>
      <c r="WML1680" s="2730"/>
      <c r="WMM1680" s="2730"/>
      <c r="WMN1680" s="2730"/>
      <c r="WMO1680" s="2730"/>
      <c r="WMP1680" s="2730"/>
      <c r="WMQ1680" s="2730"/>
      <c r="WMR1680" s="2730"/>
      <c r="WMS1680" s="2730"/>
      <c r="WMT1680" s="2730"/>
      <c r="WMU1680" s="2730"/>
      <c r="WMV1680" s="2730"/>
      <c r="WMW1680" s="2730"/>
      <c r="WMX1680" s="2730"/>
      <c r="WMY1680" s="2730"/>
      <c r="WMZ1680" s="2730"/>
      <c r="WNA1680" s="2730"/>
      <c r="WNB1680" s="2730"/>
      <c r="WNC1680" s="2730"/>
      <c r="WND1680" s="2730"/>
      <c r="WNE1680" s="2730"/>
      <c r="WNF1680" s="2730"/>
      <c r="WNG1680" s="2730"/>
      <c r="WNH1680" s="2730"/>
      <c r="WNI1680" s="2730"/>
      <c r="WNJ1680" s="2730"/>
      <c r="WNK1680" s="2730"/>
      <c r="WNL1680" s="2730"/>
      <c r="WNM1680" s="2730"/>
      <c r="WNN1680" s="2730"/>
      <c r="WNO1680" s="2730"/>
      <c r="WNP1680" s="2730"/>
      <c r="WNQ1680" s="2730"/>
      <c r="WNR1680" s="2730"/>
      <c r="WNS1680" s="2730"/>
      <c r="WNT1680" s="2730"/>
      <c r="WNU1680" s="2730"/>
      <c r="WNV1680" s="2730"/>
      <c r="WNW1680" s="2730"/>
      <c r="WNX1680" s="2730"/>
      <c r="WNY1680" s="2730"/>
      <c r="WNZ1680" s="2730"/>
      <c r="WOA1680" s="2730"/>
      <c r="WOB1680" s="2730"/>
      <c r="WOC1680" s="2730"/>
      <c r="WOD1680" s="2730"/>
      <c r="WOE1680" s="2730"/>
      <c r="WOF1680" s="2730"/>
      <c r="WOG1680" s="2730"/>
      <c r="WOH1680" s="2730"/>
      <c r="WOI1680" s="2730"/>
      <c r="WOJ1680" s="2730"/>
      <c r="WOK1680" s="2730"/>
      <c r="WOL1680" s="2730"/>
      <c r="WOM1680" s="2730"/>
      <c r="WON1680" s="2730"/>
      <c r="WOO1680" s="2730"/>
      <c r="WOP1680" s="2730"/>
      <c r="WOQ1680" s="2730"/>
      <c r="WOR1680" s="2730"/>
      <c r="WOS1680" s="2730"/>
      <c r="WOT1680" s="2730"/>
      <c r="WOU1680" s="2730"/>
      <c r="WOV1680" s="2730"/>
      <c r="WOW1680" s="2730"/>
      <c r="WOX1680" s="2730"/>
      <c r="WOY1680" s="2730"/>
      <c r="WOZ1680" s="2730"/>
      <c r="WPA1680" s="2730"/>
      <c r="WPB1680" s="2730"/>
      <c r="WPC1680" s="2730"/>
      <c r="WPD1680" s="2730"/>
      <c r="WPE1680" s="2730"/>
      <c r="WPF1680" s="2730"/>
      <c r="WPG1680" s="2730"/>
      <c r="WPH1680" s="2730"/>
      <c r="WPI1680" s="2730"/>
      <c r="WPJ1680" s="2730"/>
      <c r="WPK1680" s="2730"/>
      <c r="WPL1680" s="2730"/>
      <c r="WPM1680" s="2730"/>
      <c r="WPN1680" s="2730"/>
      <c r="WPO1680" s="2730"/>
      <c r="WPP1680" s="2730"/>
      <c r="WPQ1680" s="2730"/>
      <c r="WPR1680" s="2730"/>
      <c r="WPS1680" s="2730"/>
      <c r="WPT1680" s="2730"/>
      <c r="WPU1680" s="2730"/>
      <c r="WPV1680" s="2730"/>
      <c r="WPW1680" s="2730"/>
      <c r="WPX1680" s="2730"/>
      <c r="WPY1680" s="2730"/>
      <c r="WPZ1680" s="2730"/>
      <c r="WQA1680" s="2730"/>
      <c r="WQB1680" s="2730"/>
      <c r="WQC1680" s="2730"/>
      <c r="WQD1680" s="2730"/>
      <c r="WQE1680" s="2730"/>
      <c r="WQF1680" s="2730"/>
      <c r="WQG1680" s="2730"/>
      <c r="WQH1680" s="2730"/>
      <c r="WQI1680" s="2730"/>
      <c r="WQJ1680" s="2730"/>
      <c r="WQK1680" s="2730"/>
      <c r="WQL1680" s="2730"/>
      <c r="WQM1680" s="2730"/>
      <c r="WQN1680" s="2730"/>
      <c r="WQO1680" s="2730"/>
      <c r="WQP1680" s="2730"/>
      <c r="WQQ1680" s="2730"/>
      <c r="WQR1680" s="2730"/>
      <c r="WQS1680" s="2730"/>
      <c r="WQT1680" s="2730"/>
      <c r="WQU1680" s="2730"/>
      <c r="WQV1680" s="2730"/>
      <c r="WQW1680" s="2730"/>
      <c r="WQX1680" s="2730"/>
      <c r="WQY1680" s="2730"/>
      <c r="WQZ1680" s="2730"/>
      <c r="WRA1680" s="2730"/>
      <c r="WRB1680" s="2730"/>
      <c r="WRC1680" s="2730"/>
      <c r="WRD1680" s="2730"/>
      <c r="WRE1680" s="2730"/>
      <c r="WRF1680" s="2730"/>
      <c r="WRG1680" s="2730"/>
      <c r="WRH1680" s="2730"/>
      <c r="WRI1680" s="2730"/>
      <c r="WRJ1680" s="2730"/>
      <c r="WRK1680" s="2730"/>
      <c r="WRL1680" s="2730"/>
      <c r="WRM1680" s="2730"/>
      <c r="WRN1680" s="2730"/>
      <c r="WRO1680" s="2730"/>
      <c r="WRP1680" s="2730"/>
      <c r="WRQ1680" s="2730"/>
      <c r="WRR1680" s="2730"/>
      <c r="WRS1680" s="2730"/>
      <c r="WRT1680" s="2730"/>
      <c r="WRU1680" s="2730"/>
      <c r="WRV1680" s="2730"/>
      <c r="WRW1680" s="2730"/>
      <c r="WRX1680" s="2730"/>
      <c r="WRY1680" s="2730"/>
      <c r="WRZ1680" s="2730"/>
      <c r="WSA1680" s="2730"/>
      <c r="WSB1680" s="2730"/>
      <c r="WSC1680" s="2730"/>
      <c r="WSD1680" s="2730"/>
      <c r="WSE1680" s="2730"/>
      <c r="WSF1680" s="2730"/>
      <c r="WSG1680" s="2730"/>
      <c r="WSH1680" s="2730"/>
      <c r="WSI1680" s="2730"/>
      <c r="WSJ1680" s="2730"/>
      <c r="WSK1680" s="2730"/>
      <c r="WSL1680" s="2730"/>
      <c r="WSM1680" s="2730"/>
      <c r="WSN1680" s="2730"/>
      <c r="WSO1680" s="2730"/>
      <c r="WSP1680" s="2730"/>
      <c r="WSQ1680" s="2730"/>
      <c r="WSR1680" s="2730"/>
      <c r="WSS1680" s="2730"/>
      <c r="WST1680" s="2730"/>
      <c r="WSU1680" s="2730"/>
      <c r="WSV1680" s="2730"/>
      <c r="WSW1680" s="2730"/>
      <c r="WSX1680" s="2730"/>
      <c r="WSY1680" s="2730"/>
      <c r="WSZ1680" s="2730"/>
      <c r="WTA1680" s="2730"/>
      <c r="WTB1680" s="2730"/>
      <c r="WTC1680" s="2730"/>
      <c r="WTD1680" s="2730"/>
      <c r="WTE1680" s="2730"/>
      <c r="WTF1680" s="2730"/>
      <c r="WTG1680" s="2730"/>
      <c r="WTH1680" s="2730"/>
      <c r="WTI1680" s="2730"/>
      <c r="WTJ1680" s="2730"/>
      <c r="WTK1680" s="2730"/>
      <c r="WTL1680" s="2730"/>
      <c r="WTM1680" s="2730"/>
      <c r="WTN1680" s="2730"/>
      <c r="WTO1680" s="2730"/>
      <c r="WTP1680" s="2730"/>
      <c r="WTQ1680" s="2730"/>
      <c r="WTR1680" s="2730"/>
      <c r="WTS1680" s="2730"/>
      <c r="WTT1680" s="2730"/>
      <c r="WTU1680" s="2730"/>
      <c r="WTV1680" s="2730"/>
      <c r="WTW1680" s="2730"/>
      <c r="WTX1680" s="2730"/>
      <c r="WTY1680" s="2730"/>
      <c r="WTZ1680" s="2730"/>
      <c r="WUA1680" s="2730"/>
      <c r="WUB1680" s="2730"/>
      <c r="WUC1680" s="2730"/>
      <c r="WUD1680" s="2730"/>
      <c r="WUE1680" s="2730"/>
      <c r="WUF1680" s="2730"/>
      <c r="WUG1680" s="2730"/>
      <c r="WUH1680" s="2730"/>
      <c r="WUI1680" s="2730"/>
      <c r="WUJ1680" s="2730"/>
      <c r="WUK1680" s="2730"/>
      <c r="WUL1680" s="2730"/>
      <c r="WUM1680" s="2730"/>
      <c r="WUN1680" s="2730"/>
      <c r="WUO1680" s="2730"/>
      <c r="WUP1680" s="2730"/>
      <c r="WUQ1680" s="2730"/>
      <c r="WUR1680" s="2730"/>
      <c r="WUS1680" s="2730"/>
      <c r="WUT1680" s="2730"/>
      <c r="WUU1680" s="2730"/>
      <c r="WUV1680" s="2730"/>
      <c r="WUW1680" s="2730"/>
      <c r="WUX1680" s="2730"/>
      <c r="WUY1680" s="2730"/>
      <c r="WUZ1680" s="2730"/>
      <c r="WVA1680" s="2730"/>
      <c r="WVB1680" s="2730"/>
      <c r="WVC1680" s="2730"/>
      <c r="WVD1680" s="2730"/>
      <c r="WVE1680" s="2730"/>
      <c r="WVF1680" s="2730"/>
      <c r="WVG1680" s="2730"/>
      <c r="WVH1680" s="2730"/>
      <c r="WVI1680" s="2730"/>
      <c r="WVJ1680" s="2730"/>
      <c r="WVK1680" s="2730"/>
      <c r="WVL1680" s="2730"/>
      <c r="WVM1680" s="2730"/>
      <c r="WVN1680" s="2730"/>
      <c r="WVO1680" s="2730"/>
      <c r="WVP1680" s="2730"/>
      <c r="WVQ1680" s="2730"/>
      <c r="WVR1680" s="2730"/>
      <c r="WVS1680" s="2730"/>
      <c r="WVT1680" s="2730"/>
      <c r="WVU1680" s="2730"/>
      <c r="WVV1680" s="2730"/>
      <c r="WVW1680" s="2730"/>
      <c r="WVX1680" s="2730"/>
      <c r="WVY1680" s="2730"/>
      <c r="WVZ1680" s="2730"/>
      <c r="WWA1680" s="2730"/>
      <c r="WWB1680" s="2730"/>
      <c r="WWC1680" s="2730"/>
      <c r="WWD1680" s="2730"/>
      <c r="WWE1680" s="2730"/>
      <c r="WWF1680" s="2730"/>
      <c r="WWG1680" s="2730"/>
      <c r="WWH1680" s="2730"/>
      <c r="WWI1680" s="2730"/>
      <c r="WWJ1680" s="2730"/>
      <c r="WWK1680" s="2730"/>
      <c r="WWL1680" s="2730"/>
      <c r="WWM1680" s="2730"/>
      <c r="WWN1680" s="2730"/>
      <c r="WWO1680" s="2730"/>
      <c r="WWP1680" s="2730"/>
      <c r="WWQ1680" s="2730"/>
      <c r="WWR1680" s="2730"/>
      <c r="WWS1680" s="2730"/>
      <c r="WWT1680" s="2730"/>
      <c r="WWU1680" s="2730"/>
      <c r="WWV1680" s="2730"/>
      <c r="WWW1680" s="2730"/>
      <c r="WWX1680" s="2730"/>
      <c r="WWY1680" s="2730"/>
      <c r="WWZ1680" s="2730"/>
      <c r="WXA1680" s="2730"/>
      <c r="WXB1680" s="2730"/>
      <c r="WXC1680" s="2730"/>
      <c r="WXD1680" s="2730"/>
      <c r="WXE1680" s="2730"/>
      <c r="WXF1680" s="2730"/>
      <c r="WXG1680" s="2730"/>
      <c r="WXH1680" s="2730"/>
      <c r="WXI1680" s="2730"/>
      <c r="WXJ1680" s="2730"/>
      <c r="WXK1680" s="2730"/>
      <c r="WXL1680" s="2730"/>
      <c r="WXM1680" s="2730"/>
      <c r="WXN1680" s="2730"/>
      <c r="WXO1680" s="2730"/>
      <c r="WXP1680" s="2730"/>
      <c r="WXQ1680" s="2730"/>
      <c r="WXR1680" s="2730"/>
      <c r="WXS1680" s="2730"/>
      <c r="WXT1680" s="2730"/>
      <c r="WXU1680" s="2730"/>
      <c r="WXV1680" s="2730"/>
      <c r="WXW1680" s="2730"/>
      <c r="WXX1680" s="2730"/>
      <c r="WXY1680" s="2730"/>
      <c r="WXZ1680" s="2730"/>
      <c r="WYA1680" s="2730"/>
      <c r="WYB1680" s="2730"/>
      <c r="WYC1680" s="2730"/>
      <c r="WYD1680" s="2730"/>
      <c r="WYE1680" s="2730"/>
      <c r="WYF1680" s="2730"/>
      <c r="WYG1680" s="2730"/>
      <c r="WYH1680" s="2730"/>
      <c r="WYI1680" s="2730"/>
      <c r="WYJ1680" s="2730"/>
      <c r="WYK1680" s="2730"/>
      <c r="WYL1680" s="2730"/>
      <c r="WYM1680" s="2730"/>
      <c r="WYN1680" s="2730"/>
      <c r="WYO1680" s="2730"/>
      <c r="WYP1680" s="2730"/>
      <c r="WYQ1680" s="2730"/>
      <c r="WYR1680" s="2730"/>
      <c r="WYS1680" s="2730"/>
      <c r="WYT1680" s="2730"/>
      <c r="WYU1680" s="2730"/>
      <c r="WYV1680" s="2730"/>
      <c r="WYW1680" s="2730"/>
      <c r="WYX1680" s="2730"/>
      <c r="WYY1680" s="2730"/>
      <c r="WYZ1680" s="2730"/>
      <c r="WZA1680" s="2730"/>
      <c r="WZB1680" s="2730"/>
      <c r="WZC1680" s="2730"/>
      <c r="WZD1680" s="2730"/>
      <c r="WZE1680" s="2730"/>
      <c r="WZF1680" s="2730"/>
      <c r="WZG1680" s="2730"/>
      <c r="WZH1680" s="2730"/>
      <c r="WZI1680" s="2730"/>
      <c r="WZJ1680" s="2730"/>
      <c r="WZK1680" s="2730"/>
      <c r="WZL1680" s="2730"/>
      <c r="WZM1680" s="2730"/>
      <c r="WZN1680" s="2730"/>
      <c r="WZO1680" s="2730"/>
      <c r="WZP1680" s="2730"/>
      <c r="WZQ1680" s="2730"/>
      <c r="WZR1680" s="2730"/>
      <c r="WZS1680" s="2730"/>
      <c r="WZT1680" s="2730"/>
      <c r="WZU1680" s="2730"/>
      <c r="WZV1680" s="2730"/>
      <c r="WZW1680" s="2730"/>
      <c r="WZX1680" s="2730"/>
      <c r="WZY1680" s="2730"/>
      <c r="WZZ1680" s="2730"/>
      <c r="XAA1680" s="2730"/>
      <c r="XAB1680" s="2730"/>
      <c r="XAC1680" s="2730"/>
      <c r="XAD1680" s="2730"/>
      <c r="XAE1680" s="2730"/>
      <c r="XAF1680" s="2730"/>
      <c r="XAG1680" s="2730"/>
      <c r="XAH1680" s="2730"/>
      <c r="XAI1680" s="2730"/>
      <c r="XAJ1680" s="2730"/>
      <c r="XAK1680" s="2730"/>
      <c r="XAL1680" s="2730"/>
      <c r="XAM1680" s="2730"/>
      <c r="XAN1680" s="2730"/>
      <c r="XAO1680" s="2730"/>
      <c r="XAP1680" s="2730"/>
      <c r="XAQ1680" s="2730"/>
      <c r="XAR1680" s="2730"/>
      <c r="XAS1680" s="2730"/>
      <c r="XAT1680" s="2730"/>
      <c r="XAU1680" s="2730"/>
      <c r="XAV1680" s="2730"/>
      <c r="XAW1680" s="2730"/>
      <c r="XAX1680" s="2730"/>
      <c r="XAY1680" s="2730"/>
      <c r="XAZ1680" s="2730"/>
      <c r="XBA1680" s="2730"/>
      <c r="XBB1680" s="2730"/>
      <c r="XBC1680" s="2730"/>
      <c r="XBD1680" s="2730"/>
      <c r="XBE1680" s="2730"/>
      <c r="XBF1680" s="2730"/>
      <c r="XBG1680" s="2730"/>
      <c r="XBH1680" s="2730"/>
      <c r="XBI1680" s="2730"/>
      <c r="XBJ1680" s="2730"/>
      <c r="XBK1680" s="2730"/>
      <c r="XBL1680" s="2730"/>
      <c r="XBM1680" s="2730"/>
      <c r="XBN1680" s="2730"/>
      <c r="XBO1680" s="2730"/>
      <c r="XBP1680" s="2730"/>
      <c r="XBQ1680" s="2730"/>
      <c r="XBR1680" s="2730"/>
      <c r="XBS1680" s="2730"/>
      <c r="XBT1680" s="2730"/>
      <c r="XBU1680" s="2730"/>
      <c r="XBV1680" s="2730"/>
      <c r="XBW1680" s="2730"/>
      <c r="XBX1680" s="2730"/>
      <c r="XBY1680" s="2730"/>
      <c r="XBZ1680" s="2730"/>
      <c r="XCA1680" s="2730"/>
      <c r="XCB1680" s="2730"/>
      <c r="XCC1680" s="2730"/>
      <c r="XCD1680" s="2730"/>
      <c r="XCE1680" s="2730"/>
      <c r="XCF1680" s="2730"/>
      <c r="XCG1680" s="2730"/>
      <c r="XCH1680" s="2730"/>
      <c r="XCI1680" s="2730"/>
      <c r="XCJ1680" s="2730"/>
      <c r="XCK1680" s="2730"/>
      <c r="XCL1680" s="2730"/>
      <c r="XCM1680" s="2730"/>
      <c r="XCN1680" s="2730"/>
      <c r="XCO1680" s="2730"/>
      <c r="XCP1680" s="2730"/>
      <c r="XCQ1680" s="2730"/>
      <c r="XCR1680" s="2730"/>
      <c r="XCS1680" s="2730"/>
      <c r="XCT1680" s="2730"/>
      <c r="XCU1680" s="2730"/>
      <c r="XCV1680" s="2730"/>
      <c r="XCW1680" s="2730"/>
      <c r="XCX1680" s="2730"/>
      <c r="XCY1680" s="2730"/>
      <c r="XCZ1680" s="2730"/>
      <c r="XDA1680" s="2730"/>
      <c r="XDB1680" s="2730"/>
      <c r="XDC1680" s="2730"/>
      <c r="XDD1680" s="2730"/>
      <c r="XDE1680" s="2730"/>
      <c r="XDF1680" s="2730"/>
      <c r="XDG1680" s="2730"/>
      <c r="XDH1680" s="2730"/>
      <c r="XDI1680" s="2730"/>
      <c r="XDJ1680" s="2730"/>
      <c r="XDK1680" s="2730"/>
      <c r="XDL1680" s="2730"/>
      <c r="XDM1680" s="2730"/>
      <c r="XDN1680" s="2730"/>
      <c r="XDO1680" s="2730"/>
      <c r="XDP1680" s="2730"/>
      <c r="XDQ1680" s="2730"/>
      <c r="XDR1680" s="2730"/>
      <c r="XDS1680" s="2730"/>
      <c r="XDT1680" s="2730"/>
      <c r="XDU1680" s="2730"/>
      <c r="XDV1680" s="2730"/>
      <c r="XDW1680" s="2730"/>
      <c r="XDX1680" s="2730"/>
      <c r="XDY1680" s="2730"/>
      <c r="XDZ1680" s="2730"/>
      <c r="XEA1680" s="2730"/>
      <c r="XEB1680" s="2730"/>
      <c r="XEC1680" s="2730"/>
      <c r="XED1680" s="2730"/>
      <c r="XEE1680" s="2730"/>
      <c r="XEF1680" s="2730"/>
      <c r="XEG1680" s="2730"/>
      <c r="XEH1680" s="2730"/>
      <c r="XEI1680" s="2730"/>
      <c r="XEJ1680" s="2730"/>
      <c r="XEK1680" s="2730"/>
      <c r="XEL1680" s="2730"/>
      <c r="XEM1680" s="2730"/>
      <c r="XEN1680" s="2730"/>
      <c r="XEO1680" s="2730"/>
      <c r="XEP1680" s="2730"/>
      <c r="XEQ1680" s="2730"/>
      <c r="XER1680" s="2730"/>
      <c r="XES1680" s="2730"/>
      <c r="XET1680" s="2730"/>
      <c r="XEU1680" s="2730"/>
      <c r="XEV1680" s="2730"/>
      <c r="XEW1680" s="2730"/>
      <c r="XEX1680" s="2730"/>
      <c r="XEY1680" s="2730"/>
      <c r="XEZ1680" s="2730"/>
      <c r="XFA1680" s="2730"/>
      <c r="XFB1680" s="2730"/>
      <c r="XFC1680" s="2730"/>
    </row>
    <row r="1681" spans="1:16382" s="2358" customFormat="1" ht="14.4" outlineLevel="1">
      <c r="A1681" s="2435" t="str">
        <f>A1680</f>
        <v/>
      </c>
      <c r="B1681" s="2514"/>
      <c r="C1681" s="2511"/>
      <c r="D1681" s="2512"/>
      <c r="E1681" s="2520" t="s">
        <v>6207</v>
      </c>
      <c r="F1681" s="2521"/>
      <c r="G1681" s="2522"/>
      <c r="H1681" s="2517"/>
      <c r="I1681" s="2517"/>
      <c r="J1681" s="2517"/>
      <c r="K1681" s="2517"/>
      <c r="L1681" s="2517">
        <f t="shared" si="314"/>
        <v>0</v>
      </c>
      <c r="M1681" s="2517">
        <f>I1681*G1681</f>
        <v>0</v>
      </c>
      <c r="N1681" s="2517">
        <f>J1681*G1681</f>
        <v>0</v>
      </c>
      <c r="O1681" s="2517">
        <f>K1681*G1681</f>
        <v>0</v>
      </c>
      <c r="P1681" s="2642"/>
      <c r="Q1681" s="2519"/>
      <c r="R1681" s="2519"/>
      <c r="S1681" s="2519"/>
    </row>
    <row r="1682" spans="1:16382" s="2358" customFormat="1" outlineLevel="1">
      <c r="A1682" s="2435" t="str">
        <f t="shared" ref="A1682:A1688" si="320">IF(G1682&lt;&gt;0,1,"")</f>
        <v/>
      </c>
      <c r="B1682" s="2514" t="s">
        <v>6312</v>
      </c>
      <c r="C1682" s="2511"/>
      <c r="D1682" s="2405">
        <v>0</v>
      </c>
      <c r="E1682" s="2447" t="s">
        <v>5300</v>
      </c>
      <c r="F1682" s="2405" t="s">
        <v>5235</v>
      </c>
      <c r="G1682" s="2703">
        <f>G1680*2</f>
        <v>0</v>
      </c>
      <c r="H1682" s="2517">
        <v>680540.50480000011</v>
      </c>
      <c r="I1682" s="2517"/>
      <c r="J1682" s="2612">
        <v>0</v>
      </c>
      <c r="K1682" s="2517"/>
      <c r="L1682" s="2517">
        <f t="shared" si="314"/>
        <v>0</v>
      </c>
      <c r="M1682" s="2517"/>
      <c r="N1682" s="2517"/>
      <c r="O1682" s="2517"/>
      <c r="P1682" s="2642"/>
      <c r="Q1682" s="2519"/>
      <c r="R1682" s="2519"/>
      <c r="S1682" s="2519"/>
    </row>
    <row r="1683" spans="1:16382" s="2358" customFormat="1" outlineLevel="1">
      <c r="A1683" s="2435" t="str">
        <f t="shared" si="320"/>
        <v/>
      </c>
      <c r="B1683" s="2726" t="s">
        <v>5289</v>
      </c>
      <c r="C1683" s="2511"/>
      <c r="D1683" s="2405">
        <v>0</v>
      </c>
      <c r="E1683" s="2447" t="s">
        <v>6433</v>
      </c>
      <c r="F1683" s="2405" t="s">
        <v>5235</v>
      </c>
      <c r="G1683" s="2703">
        <f>G1682*2</f>
        <v>0</v>
      </c>
      <c r="H1683" s="2517">
        <v>86065.309080000006</v>
      </c>
      <c r="I1683" s="2517"/>
      <c r="J1683" s="2612">
        <v>0</v>
      </c>
      <c r="K1683" s="2517"/>
      <c r="L1683" s="2517">
        <f t="shared" si="314"/>
        <v>0</v>
      </c>
      <c r="M1683" s="2517"/>
      <c r="N1683" s="2517"/>
      <c r="O1683" s="2517"/>
      <c r="P1683" s="2642"/>
      <c r="Q1683" s="2519"/>
      <c r="R1683" s="2519"/>
      <c r="S1683" s="2519"/>
    </row>
    <row r="1684" spans="1:16382" s="2358" customFormat="1" outlineLevel="1">
      <c r="A1684" s="2435" t="str">
        <f t="shared" si="320"/>
        <v/>
      </c>
      <c r="B1684" s="2514" t="s">
        <v>1613</v>
      </c>
      <c r="C1684" s="2511"/>
      <c r="D1684" s="2405">
        <v>0</v>
      </c>
      <c r="E1684" s="2447" t="s">
        <v>2657</v>
      </c>
      <c r="F1684" s="2405" t="s">
        <v>2445</v>
      </c>
      <c r="G1684" s="2703">
        <f>G1680*2</f>
        <v>0</v>
      </c>
      <c r="H1684" s="2517">
        <v>25400</v>
      </c>
      <c r="I1684" s="2517">
        <v>0</v>
      </c>
      <c r="J1684" s="2612">
        <v>0</v>
      </c>
      <c r="K1684" s="2517"/>
      <c r="L1684" s="2517">
        <f t="shared" si="314"/>
        <v>0</v>
      </c>
      <c r="M1684" s="2517"/>
      <c r="N1684" s="2612">
        <f t="shared" ref="N1684:N1696" si="321">G1684*J1684</f>
        <v>0</v>
      </c>
      <c r="O1684" s="2517"/>
      <c r="P1684" s="2642"/>
      <c r="Q1684" s="2519"/>
      <c r="R1684" s="2519"/>
      <c r="S1684" s="2519"/>
    </row>
    <row r="1685" spans="1:16382" s="2358" customFormat="1" outlineLevel="1">
      <c r="A1685" s="2435" t="str">
        <f t="shared" si="320"/>
        <v/>
      </c>
      <c r="B1685" s="2514" t="s">
        <v>1790</v>
      </c>
      <c r="C1685" s="2511"/>
      <c r="D1685" s="2405">
        <v>0</v>
      </c>
      <c r="E1685" s="2447" t="s">
        <v>2647</v>
      </c>
      <c r="F1685" s="2405" t="s">
        <v>2445</v>
      </c>
      <c r="G1685" s="2703">
        <f>G1680*4</f>
        <v>0</v>
      </c>
      <c r="H1685" s="2517">
        <v>12400</v>
      </c>
      <c r="I1685" s="2517">
        <v>0</v>
      </c>
      <c r="J1685" s="2612">
        <v>0</v>
      </c>
      <c r="K1685" s="2517"/>
      <c r="L1685" s="2517">
        <f t="shared" si="314"/>
        <v>0</v>
      </c>
      <c r="M1685" s="2517"/>
      <c r="N1685" s="2612">
        <f t="shared" si="321"/>
        <v>0</v>
      </c>
      <c r="O1685" s="2517"/>
      <c r="P1685" s="2642"/>
      <c r="Q1685" s="2519"/>
      <c r="R1685" s="2519"/>
      <c r="S1685" s="2519"/>
    </row>
    <row r="1686" spans="1:16382" s="2358" customFormat="1" outlineLevel="1">
      <c r="A1686" s="2435" t="str">
        <f t="shared" si="320"/>
        <v/>
      </c>
      <c r="B1686" s="2514" t="s">
        <v>1788</v>
      </c>
      <c r="C1686" s="2511"/>
      <c r="D1686" s="2405">
        <v>0</v>
      </c>
      <c r="E1686" s="2447" t="s">
        <v>2668</v>
      </c>
      <c r="F1686" s="2405" t="s">
        <v>2445</v>
      </c>
      <c r="G1686" s="2703">
        <f>G1680*4</f>
        <v>0</v>
      </c>
      <c r="H1686" s="2517">
        <v>31800</v>
      </c>
      <c r="I1686" s="2517">
        <v>0</v>
      </c>
      <c r="J1686" s="2612">
        <v>0</v>
      </c>
      <c r="K1686" s="2517">
        <v>0</v>
      </c>
      <c r="L1686" s="2517">
        <f t="shared" si="314"/>
        <v>0</v>
      </c>
      <c r="M1686" s="2517">
        <f>I1686*G1686</f>
        <v>0</v>
      </c>
      <c r="N1686" s="2612">
        <f t="shared" si="321"/>
        <v>0</v>
      </c>
      <c r="O1686" s="2517">
        <f>K1686*G1686</f>
        <v>0</v>
      </c>
      <c r="P1686" s="2642"/>
      <c r="Q1686" s="2519"/>
      <c r="R1686" s="2519"/>
      <c r="S1686" s="2519"/>
    </row>
    <row r="1687" spans="1:16382" s="2358" customFormat="1" outlineLevel="1">
      <c r="A1687" s="2435" t="str">
        <f t="shared" si="320"/>
        <v/>
      </c>
      <c r="B1687" s="2502" t="s">
        <v>516</v>
      </c>
      <c r="C1687" s="2511"/>
      <c r="D1687" s="2405" t="s">
        <v>5483</v>
      </c>
      <c r="E1687" s="2447" t="s">
        <v>5484</v>
      </c>
      <c r="F1687" s="2405" t="s">
        <v>2445</v>
      </c>
      <c r="G1687" s="2703">
        <f>G1682</f>
        <v>0</v>
      </c>
      <c r="H1687" s="2517">
        <v>0</v>
      </c>
      <c r="I1687" s="2517"/>
      <c r="J1687" s="2612">
        <v>296544.75</v>
      </c>
      <c r="K1687" s="2517"/>
      <c r="L1687" s="2517">
        <f t="shared" si="314"/>
        <v>0</v>
      </c>
      <c r="M1687" s="2517"/>
      <c r="N1687" s="2612">
        <f t="shared" si="321"/>
        <v>0</v>
      </c>
      <c r="O1687" s="2517"/>
      <c r="P1687" s="2642"/>
      <c r="Q1687" s="2519"/>
      <c r="R1687" s="2519"/>
      <c r="S1687" s="2519"/>
    </row>
    <row r="1688" spans="1:16382" s="2358" customFormat="1" outlineLevel="1">
      <c r="A1688" s="2727" t="str">
        <f t="shared" si="320"/>
        <v/>
      </c>
      <c r="B1688" s="2728"/>
      <c r="C1688" s="2716">
        <f>IF(G1688&gt;0,C1680+1,C1680)</f>
        <v>0</v>
      </c>
      <c r="D1688" s="2717"/>
      <c r="E1688" s="2718" t="s">
        <v>6313</v>
      </c>
      <c r="F1688" s="2719" t="s">
        <v>2391</v>
      </c>
      <c r="G1688" s="2720"/>
      <c r="H1688" s="2721"/>
      <c r="I1688" s="2722"/>
      <c r="J1688" s="2723"/>
      <c r="K1688" s="2723"/>
      <c r="L1688" s="2724">
        <f t="shared" si="314"/>
        <v>0</v>
      </c>
      <c r="M1688" s="2725">
        <f>I1688*G1688</f>
        <v>0</v>
      </c>
      <c r="N1688" s="2724">
        <f t="shared" si="321"/>
        <v>0</v>
      </c>
      <c r="O1688" s="2724">
        <f>K1688*G1688</f>
        <v>0</v>
      </c>
      <c r="P1688" s="2729"/>
      <c r="Q1688" s="2730"/>
      <c r="R1688" s="2730"/>
      <c r="S1688" s="2730"/>
      <c r="T1688" s="2730"/>
      <c r="U1688" s="2730"/>
      <c r="V1688" s="2730"/>
      <c r="W1688" s="2730"/>
      <c r="X1688" s="2730"/>
      <c r="Y1688" s="2730"/>
      <c r="Z1688" s="2730"/>
      <c r="AA1688" s="2730"/>
      <c r="AB1688" s="2730"/>
      <c r="AC1688" s="2730"/>
      <c r="AD1688" s="2730"/>
      <c r="AE1688" s="2730"/>
      <c r="AF1688" s="2730"/>
      <c r="AG1688" s="2730"/>
      <c r="AH1688" s="2730"/>
      <c r="AI1688" s="2730"/>
      <c r="AJ1688" s="2730"/>
      <c r="AK1688" s="2730"/>
      <c r="AL1688" s="2730"/>
      <c r="AM1688" s="2730"/>
      <c r="AN1688" s="2730"/>
      <c r="AO1688" s="2730"/>
      <c r="AP1688" s="2730"/>
      <c r="AQ1688" s="2730"/>
      <c r="AR1688" s="2730"/>
      <c r="AS1688" s="2730"/>
      <c r="AT1688" s="2730"/>
      <c r="AU1688" s="2730"/>
      <c r="AV1688" s="2730"/>
      <c r="AW1688" s="2730"/>
      <c r="AX1688" s="2730"/>
      <c r="AY1688" s="2730"/>
      <c r="AZ1688" s="2730"/>
      <c r="BA1688" s="2730"/>
      <c r="BB1688" s="2730"/>
      <c r="BC1688" s="2730"/>
      <c r="BD1688" s="2730"/>
      <c r="BE1688" s="2730"/>
      <c r="BF1688" s="2730"/>
      <c r="BG1688" s="2730"/>
      <c r="BH1688" s="2730"/>
      <c r="BI1688" s="2730"/>
      <c r="BJ1688" s="2730"/>
      <c r="BK1688" s="2730"/>
      <c r="BL1688" s="2730"/>
      <c r="BM1688" s="2730"/>
      <c r="BN1688" s="2730"/>
      <c r="BO1688" s="2730"/>
      <c r="BP1688" s="2730"/>
      <c r="BQ1688" s="2730"/>
      <c r="BR1688" s="2730"/>
      <c r="BS1688" s="2730"/>
      <c r="BT1688" s="2730"/>
      <c r="BU1688" s="2730"/>
      <c r="BV1688" s="2730"/>
      <c r="BW1688" s="2730"/>
      <c r="BX1688" s="2730"/>
      <c r="BY1688" s="2730"/>
      <c r="BZ1688" s="2730"/>
      <c r="CA1688" s="2730"/>
      <c r="CB1688" s="2730"/>
      <c r="CC1688" s="2730"/>
      <c r="CD1688" s="2730"/>
      <c r="CE1688" s="2730"/>
      <c r="CF1688" s="2730"/>
      <c r="CG1688" s="2730"/>
      <c r="CH1688" s="2730"/>
      <c r="CI1688" s="2730"/>
      <c r="CJ1688" s="2730"/>
      <c r="CK1688" s="2730"/>
      <c r="CL1688" s="2730"/>
      <c r="CM1688" s="2730"/>
      <c r="CN1688" s="2730"/>
      <c r="CO1688" s="2730"/>
      <c r="CP1688" s="2730"/>
      <c r="CQ1688" s="2730"/>
      <c r="CR1688" s="2730"/>
      <c r="CS1688" s="2730"/>
      <c r="CT1688" s="2730"/>
      <c r="CU1688" s="2730"/>
      <c r="CV1688" s="2730"/>
      <c r="CW1688" s="2730"/>
      <c r="CX1688" s="2730"/>
      <c r="CY1688" s="2730"/>
      <c r="CZ1688" s="2730"/>
      <c r="DA1688" s="2730"/>
      <c r="DB1688" s="2730"/>
      <c r="DC1688" s="2730"/>
      <c r="DD1688" s="2730"/>
      <c r="DE1688" s="2730"/>
      <c r="DF1688" s="2730"/>
      <c r="DG1688" s="2730"/>
      <c r="DH1688" s="2730"/>
      <c r="DI1688" s="2730"/>
      <c r="DJ1688" s="2730"/>
      <c r="DK1688" s="2730"/>
      <c r="DL1688" s="2730"/>
      <c r="DM1688" s="2730"/>
      <c r="DN1688" s="2730"/>
      <c r="DO1688" s="2730"/>
      <c r="DP1688" s="2730"/>
      <c r="DQ1688" s="2730"/>
      <c r="DR1688" s="2730"/>
      <c r="DS1688" s="2730"/>
      <c r="DT1688" s="2730"/>
      <c r="DU1688" s="2730"/>
      <c r="DV1688" s="2730"/>
      <c r="DW1688" s="2730"/>
      <c r="DX1688" s="2730"/>
      <c r="DY1688" s="2730"/>
      <c r="DZ1688" s="2730"/>
      <c r="EA1688" s="2730"/>
      <c r="EB1688" s="2730"/>
      <c r="EC1688" s="2730"/>
      <c r="ED1688" s="2730"/>
      <c r="EE1688" s="2730"/>
      <c r="EF1688" s="2730"/>
      <c r="EG1688" s="2730"/>
      <c r="EH1688" s="2730"/>
      <c r="EI1688" s="2730"/>
      <c r="EJ1688" s="2730"/>
      <c r="EK1688" s="2730"/>
      <c r="EL1688" s="2730"/>
      <c r="EM1688" s="2730"/>
      <c r="EN1688" s="2730"/>
      <c r="EO1688" s="2730"/>
      <c r="EP1688" s="2730"/>
      <c r="EQ1688" s="2730"/>
      <c r="ER1688" s="2730"/>
      <c r="ES1688" s="2730"/>
      <c r="ET1688" s="2730"/>
      <c r="EU1688" s="2730"/>
      <c r="EV1688" s="2730"/>
      <c r="EW1688" s="2730"/>
      <c r="EX1688" s="2730"/>
      <c r="EY1688" s="2730"/>
      <c r="EZ1688" s="2730"/>
      <c r="FA1688" s="2730"/>
      <c r="FB1688" s="2730"/>
      <c r="FC1688" s="2730"/>
      <c r="FD1688" s="2730"/>
      <c r="FE1688" s="2730"/>
      <c r="FF1688" s="2730"/>
      <c r="FG1688" s="2730"/>
      <c r="FH1688" s="2730"/>
      <c r="FI1688" s="2730"/>
      <c r="FJ1688" s="2730"/>
      <c r="FK1688" s="2730"/>
      <c r="FL1688" s="2730"/>
      <c r="FM1688" s="2730"/>
      <c r="FN1688" s="2730"/>
      <c r="FO1688" s="2730"/>
      <c r="FP1688" s="2730"/>
      <c r="FQ1688" s="2730"/>
      <c r="FR1688" s="2730"/>
      <c r="FS1688" s="2730"/>
      <c r="FT1688" s="2730"/>
      <c r="FU1688" s="2730"/>
      <c r="FV1688" s="2730"/>
      <c r="FW1688" s="2730"/>
      <c r="FX1688" s="2730"/>
      <c r="FY1688" s="2730"/>
      <c r="FZ1688" s="2730"/>
      <c r="GA1688" s="2730"/>
      <c r="GB1688" s="2730"/>
      <c r="GC1688" s="2730"/>
      <c r="GD1688" s="2730"/>
      <c r="GE1688" s="2730"/>
      <c r="GF1688" s="2730"/>
      <c r="GG1688" s="2730"/>
      <c r="GH1688" s="2730"/>
      <c r="GI1688" s="2730"/>
      <c r="GJ1688" s="2730"/>
      <c r="GK1688" s="2730"/>
      <c r="GL1688" s="2730"/>
      <c r="GM1688" s="2730"/>
      <c r="GN1688" s="2730"/>
      <c r="GO1688" s="2730"/>
      <c r="GP1688" s="2730"/>
      <c r="GQ1688" s="2730"/>
      <c r="GR1688" s="2730"/>
      <c r="GS1688" s="2730"/>
      <c r="GT1688" s="2730"/>
      <c r="GU1688" s="2730"/>
      <c r="GV1688" s="2730"/>
      <c r="GW1688" s="2730"/>
      <c r="GX1688" s="2730"/>
      <c r="GY1688" s="2730"/>
      <c r="GZ1688" s="2730"/>
      <c r="HA1688" s="2730"/>
      <c r="HB1688" s="2730"/>
      <c r="HC1688" s="2730"/>
      <c r="HD1688" s="2730"/>
      <c r="HE1688" s="2730"/>
      <c r="HF1688" s="2730"/>
      <c r="HG1688" s="2730"/>
      <c r="HH1688" s="2730"/>
      <c r="HI1688" s="2730"/>
      <c r="HJ1688" s="2730"/>
      <c r="HK1688" s="2730"/>
      <c r="HL1688" s="2730"/>
      <c r="HM1688" s="2730"/>
      <c r="HN1688" s="2730"/>
      <c r="HO1688" s="2730"/>
      <c r="HP1688" s="2730"/>
      <c r="HQ1688" s="2730"/>
      <c r="HR1688" s="2730"/>
      <c r="HS1688" s="2730"/>
      <c r="HT1688" s="2730"/>
      <c r="HU1688" s="2730"/>
      <c r="HV1688" s="2730"/>
      <c r="HW1688" s="2730"/>
      <c r="HX1688" s="2730"/>
      <c r="HY1688" s="2730"/>
      <c r="HZ1688" s="2730"/>
      <c r="IA1688" s="2730"/>
      <c r="IB1688" s="2730"/>
      <c r="IC1688" s="2730"/>
      <c r="ID1688" s="2730"/>
      <c r="IE1688" s="2730"/>
      <c r="IF1688" s="2730"/>
      <c r="IG1688" s="2730"/>
      <c r="IH1688" s="2730"/>
      <c r="II1688" s="2730"/>
      <c r="IJ1688" s="2730"/>
      <c r="IK1688" s="2730"/>
      <c r="IL1688" s="2730"/>
      <c r="IM1688" s="2730"/>
      <c r="IN1688" s="2730"/>
      <c r="IO1688" s="2730"/>
      <c r="IP1688" s="2730"/>
      <c r="IQ1688" s="2730"/>
      <c r="IR1688" s="2730"/>
      <c r="IS1688" s="2730"/>
      <c r="IT1688" s="2730"/>
      <c r="IU1688" s="2730"/>
      <c r="IV1688" s="2730"/>
      <c r="IW1688" s="2730"/>
      <c r="IX1688" s="2730"/>
      <c r="IY1688" s="2730"/>
      <c r="IZ1688" s="2730"/>
      <c r="JA1688" s="2730"/>
      <c r="JB1688" s="2730"/>
      <c r="JC1688" s="2730"/>
      <c r="JD1688" s="2730"/>
      <c r="JE1688" s="2730"/>
      <c r="JF1688" s="2730"/>
      <c r="JG1688" s="2730"/>
      <c r="JH1688" s="2730"/>
      <c r="JI1688" s="2730"/>
      <c r="JJ1688" s="2730"/>
      <c r="JK1688" s="2730"/>
      <c r="JL1688" s="2730"/>
      <c r="JM1688" s="2730"/>
      <c r="JN1688" s="2730"/>
      <c r="JO1688" s="2730"/>
      <c r="JP1688" s="2730"/>
      <c r="JQ1688" s="2730"/>
      <c r="JR1688" s="2730"/>
      <c r="JS1688" s="2730"/>
      <c r="JT1688" s="2730"/>
      <c r="JU1688" s="2730"/>
      <c r="JV1688" s="2730"/>
      <c r="JW1688" s="2730"/>
      <c r="JX1688" s="2730"/>
      <c r="JY1688" s="2730"/>
      <c r="JZ1688" s="2730"/>
      <c r="KA1688" s="2730"/>
      <c r="KB1688" s="2730"/>
      <c r="KC1688" s="2730"/>
      <c r="KD1688" s="2730"/>
      <c r="KE1688" s="2730"/>
      <c r="KF1688" s="2730"/>
      <c r="KG1688" s="2730"/>
      <c r="KH1688" s="2730"/>
      <c r="KI1688" s="2730"/>
      <c r="KJ1688" s="2730"/>
      <c r="KK1688" s="2730"/>
      <c r="KL1688" s="2730"/>
      <c r="KM1688" s="2730"/>
      <c r="KN1688" s="2730"/>
      <c r="KO1688" s="2730"/>
      <c r="KP1688" s="2730"/>
      <c r="KQ1688" s="2730"/>
      <c r="KR1688" s="2730"/>
      <c r="KS1688" s="2730"/>
      <c r="KT1688" s="2730"/>
      <c r="KU1688" s="2730"/>
      <c r="KV1688" s="2730"/>
      <c r="KW1688" s="2730"/>
      <c r="KX1688" s="2730"/>
      <c r="KY1688" s="2730"/>
      <c r="KZ1688" s="2730"/>
      <c r="LA1688" s="2730"/>
      <c r="LB1688" s="2730"/>
      <c r="LC1688" s="2730"/>
      <c r="LD1688" s="2730"/>
      <c r="LE1688" s="2730"/>
      <c r="LF1688" s="2730"/>
      <c r="LG1688" s="2730"/>
      <c r="LH1688" s="2730"/>
      <c r="LI1688" s="2730"/>
      <c r="LJ1688" s="2730"/>
      <c r="LK1688" s="2730"/>
      <c r="LL1688" s="2730"/>
      <c r="LM1688" s="2730"/>
      <c r="LN1688" s="2730"/>
      <c r="LO1688" s="2730"/>
      <c r="LP1688" s="2730"/>
      <c r="LQ1688" s="2730"/>
      <c r="LR1688" s="2730"/>
      <c r="LS1688" s="2730"/>
      <c r="LT1688" s="2730"/>
      <c r="LU1688" s="2730"/>
      <c r="LV1688" s="2730"/>
      <c r="LW1688" s="2730"/>
      <c r="LX1688" s="2730"/>
      <c r="LY1688" s="2730"/>
      <c r="LZ1688" s="2730"/>
      <c r="MA1688" s="2730"/>
      <c r="MB1688" s="2730"/>
      <c r="MC1688" s="2730"/>
      <c r="MD1688" s="2730"/>
      <c r="ME1688" s="2730"/>
      <c r="MF1688" s="2730"/>
      <c r="MG1688" s="2730"/>
      <c r="MH1688" s="2730"/>
      <c r="MI1688" s="2730"/>
      <c r="MJ1688" s="2730"/>
      <c r="MK1688" s="2730"/>
      <c r="ML1688" s="2730"/>
      <c r="MM1688" s="2730"/>
      <c r="MN1688" s="2730"/>
      <c r="MO1688" s="2730"/>
      <c r="MP1688" s="2730"/>
      <c r="MQ1688" s="2730"/>
      <c r="MR1688" s="2730"/>
      <c r="MS1688" s="2730"/>
      <c r="MT1688" s="2730"/>
      <c r="MU1688" s="2730"/>
      <c r="MV1688" s="2730"/>
      <c r="MW1688" s="2730"/>
      <c r="MX1688" s="2730"/>
      <c r="MY1688" s="2730"/>
      <c r="MZ1688" s="2730"/>
      <c r="NA1688" s="2730"/>
      <c r="NB1688" s="2730"/>
      <c r="NC1688" s="2730"/>
      <c r="ND1688" s="2730"/>
      <c r="NE1688" s="2730"/>
      <c r="NF1688" s="2730"/>
      <c r="NG1688" s="2730"/>
      <c r="NH1688" s="2730"/>
      <c r="NI1688" s="2730"/>
      <c r="NJ1688" s="2730"/>
      <c r="NK1688" s="2730"/>
      <c r="NL1688" s="2730"/>
      <c r="NM1688" s="2730"/>
      <c r="NN1688" s="2730"/>
      <c r="NO1688" s="2730"/>
      <c r="NP1688" s="2730"/>
      <c r="NQ1688" s="2730"/>
      <c r="NR1688" s="2730"/>
      <c r="NS1688" s="2730"/>
      <c r="NT1688" s="2730"/>
      <c r="NU1688" s="2730"/>
      <c r="NV1688" s="2730"/>
      <c r="NW1688" s="2730"/>
      <c r="NX1688" s="2730"/>
      <c r="NY1688" s="2730"/>
      <c r="NZ1688" s="2730"/>
      <c r="OA1688" s="2730"/>
      <c r="OB1688" s="2730"/>
      <c r="OC1688" s="2730"/>
      <c r="OD1688" s="2730"/>
      <c r="OE1688" s="2730"/>
      <c r="OF1688" s="2730"/>
      <c r="OG1688" s="2730"/>
      <c r="OH1688" s="2730"/>
      <c r="OI1688" s="2730"/>
      <c r="OJ1688" s="2730"/>
      <c r="OK1688" s="2730"/>
      <c r="OL1688" s="2730"/>
      <c r="OM1688" s="2730"/>
      <c r="ON1688" s="2730"/>
      <c r="OO1688" s="2730"/>
      <c r="OP1688" s="2730"/>
      <c r="OQ1688" s="2730"/>
      <c r="OR1688" s="2730"/>
      <c r="OS1688" s="2730"/>
      <c r="OT1688" s="2730"/>
      <c r="OU1688" s="2730"/>
      <c r="OV1688" s="2730"/>
      <c r="OW1688" s="2730"/>
      <c r="OX1688" s="2730"/>
      <c r="OY1688" s="2730"/>
      <c r="OZ1688" s="2730"/>
      <c r="PA1688" s="2730"/>
      <c r="PB1688" s="2730"/>
      <c r="PC1688" s="2730"/>
      <c r="PD1688" s="2730"/>
      <c r="PE1688" s="2730"/>
      <c r="PF1688" s="2730"/>
      <c r="PG1688" s="2730"/>
      <c r="PH1688" s="2730"/>
      <c r="PI1688" s="2730"/>
      <c r="PJ1688" s="2730"/>
      <c r="PK1688" s="2730"/>
      <c r="PL1688" s="2730"/>
      <c r="PM1688" s="2730"/>
      <c r="PN1688" s="2730"/>
      <c r="PO1688" s="2730"/>
      <c r="PP1688" s="2730"/>
      <c r="PQ1688" s="2730"/>
      <c r="PR1688" s="2730"/>
      <c r="PS1688" s="2730"/>
      <c r="PT1688" s="2730"/>
      <c r="PU1688" s="2730"/>
      <c r="PV1688" s="2730"/>
      <c r="PW1688" s="2730"/>
      <c r="PX1688" s="2730"/>
      <c r="PY1688" s="2730"/>
      <c r="PZ1688" s="2730"/>
      <c r="QA1688" s="2730"/>
      <c r="QB1688" s="2730"/>
      <c r="QC1688" s="2730"/>
      <c r="QD1688" s="2730"/>
      <c r="QE1688" s="2730"/>
      <c r="QF1688" s="2730"/>
      <c r="QG1688" s="2730"/>
      <c r="QH1688" s="2730"/>
      <c r="QI1688" s="2730"/>
      <c r="QJ1688" s="2730"/>
      <c r="QK1688" s="2730"/>
      <c r="QL1688" s="2730"/>
      <c r="QM1688" s="2730"/>
      <c r="QN1688" s="2730"/>
      <c r="QO1688" s="2730"/>
      <c r="QP1688" s="2730"/>
      <c r="QQ1688" s="2730"/>
      <c r="QR1688" s="2730"/>
      <c r="QS1688" s="2730"/>
      <c r="QT1688" s="2730"/>
      <c r="QU1688" s="2730"/>
      <c r="QV1688" s="2730"/>
      <c r="QW1688" s="2730"/>
      <c r="QX1688" s="2730"/>
      <c r="QY1688" s="2730"/>
      <c r="QZ1688" s="2730"/>
      <c r="RA1688" s="2730"/>
      <c r="RB1688" s="2730"/>
      <c r="RC1688" s="2730"/>
      <c r="RD1688" s="2730"/>
      <c r="RE1688" s="2730"/>
      <c r="RF1688" s="2730"/>
      <c r="RG1688" s="2730"/>
      <c r="RH1688" s="2730"/>
      <c r="RI1688" s="2730"/>
      <c r="RJ1688" s="2730"/>
      <c r="RK1688" s="2730"/>
      <c r="RL1688" s="2730"/>
      <c r="RM1688" s="2730"/>
      <c r="RN1688" s="2730"/>
      <c r="RO1688" s="2730"/>
      <c r="RP1688" s="2730"/>
      <c r="RQ1688" s="2730"/>
      <c r="RR1688" s="2730"/>
      <c r="RS1688" s="2730"/>
      <c r="RT1688" s="2730"/>
      <c r="RU1688" s="2730"/>
      <c r="RV1688" s="2730"/>
      <c r="RW1688" s="2730"/>
      <c r="RX1688" s="2730"/>
      <c r="RY1688" s="2730"/>
      <c r="RZ1688" s="2730"/>
      <c r="SA1688" s="2730"/>
      <c r="SB1688" s="2730"/>
      <c r="SC1688" s="2730"/>
      <c r="SD1688" s="2730"/>
      <c r="SE1688" s="2730"/>
      <c r="SF1688" s="2730"/>
      <c r="SG1688" s="2730"/>
      <c r="SH1688" s="2730"/>
      <c r="SI1688" s="2730"/>
      <c r="SJ1688" s="2730"/>
      <c r="SK1688" s="2730"/>
      <c r="SL1688" s="2730"/>
      <c r="SM1688" s="2730"/>
      <c r="SN1688" s="2730"/>
      <c r="SO1688" s="2730"/>
      <c r="SP1688" s="2730"/>
      <c r="SQ1688" s="2730"/>
      <c r="SR1688" s="2730"/>
      <c r="SS1688" s="2730"/>
      <c r="ST1688" s="2730"/>
      <c r="SU1688" s="2730"/>
      <c r="SV1688" s="2730"/>
      <c r="SW1688" s="2730"/>
      <c r="SX1688" s="2730"/>
      <c r="SY1688" s="2730"/>
      <c r="SZ1688" s="2730"/>
      <c r="TA1688" s="2730"/>
      <c r="TB1688" s="2730"/>
      <c r="TC1688" s="2730"/>
      <c r="TD1688" s="2730"/>
      <c r="TE1688" s="2730"/>
      <c r="TF1688" s="2730"/>
      <c r="TG1688" s="2730"/>
      <c r="TH1688" s="2730"/>
      <c r="TI1688" s="2730"/>
      <c r="TJ1688" s="2730"/>
      <c r="TK1688" s="2730"/>
      <c r="TL1688" s="2730"/>
      <c r="TM1688" s="2730"/>
      <c r="TN1688" s="2730"/>
      <c r="TO1688" s="2730"/>
      <c r="TP1688" s="2730"/>
      <c r="TQ1688" s="2730"/>
      <c r="TR1688" s="2730"/>
      <c r="TS1688" s="2730"/>
      <c r="TT1688" s="2730"/>
      <c r="TU1688" s="2730"/>
      <c r="TV1688" s="2730"/>
      <c r="TW1688" s="2730"/>
      <c r="TX1688" s="2730"/>
      <c r="TY1688" s="2730"/>
      <c r="TZ1688" s="2730"/>
      <c r="UA1688" s="2730"/>
      <c r="UB1688" s="2730"/>
      <c r="UC1688" s="2730"/>
      <c r="UD1688" s="2730"/>
      <c r="UE1688" s="2730"/>
      <c r="UF1688" s="2730"/>
      <c r="UG1688" s="2730"/>
      <c r="UH1688" s="2730"/>
      <c r="UI1688" s="2730"/>
      <c r="UJ1688" s="2730"/>
      <c r="UK1688" s="2730"/>
      <c r="UL1688" s="2730"/>
      <c r="UM1688" s="2730"/>
      <c r="UN1688" s="2730"/>
      <c r="UO1688" s="2730"/>
      <c r="UP1688" s="2730"/>
      <c r="UQ1688" s="2730"/>
      <c r="UR1688" s="2730"/>
      <c r="US1688" s="2730"/>
      <c r="UT1688" s="2730"/>
      <c r="UU1688" s="2730"/>
      <c r="UV1688" s="2730"/>
      <c r="UW1688" s="2730"/>
      <c r="UX1688" s="2730"/>
      <c r="UY1688" s="2730"/>
      <c r="UZ1688" s="2730"/>
      <c r="VA1688" s="2730"/>
      <c r="VB1688" s="2730"/>
      <c r="VC1688" s="2730"/>
      <c r="VD1688" s="2730"/>
      <c r="VE1688" s="2730"/>
      <c r="VF1688" s="2730"/>
      <c r="VG1688" s="2730"/>
      <c r="VH1688" s="2730"/>
      <c r="VI1688" s="2730"/>
      <c r="VJ1688" s="2730"/>
      <c r="VK1688" s="2730"/>
      <c r="VL1688" s="2730"/>
      <c r="VM1688" s="2730"/>
      <c r="VN1688" s="2730"/>
      <c r="VO1688" s="2730"/>
      <c r="VP1688" s="2730"/>
      <c r="VQ1688" s="2730"/>
      <c r="VR1688" s="2730"/>
      <c r="VS1688" s="2730"/>
      <c r="VT1688" s="2730"/>
      <c r="VU1688" s="2730"/>
      <c r="VV1688" s="2730"/>
      <c r="VW1688" s="2730"/>
      <c r="VX1688" s="2730"/>
      <c r="VY1688" s="2730"/>
      <c r="VZ1688" s="2730"/>
      <c r="WA1688" s="2730"/>
      <c r="WB1688" s="2730"/>
      <c r="WC1688" s="2730"/>
      <c r="WD1688" s="2730"/>
      <c r="WE1688" s="2730"/>
      <c r="WF1688" s="2730"/>
      <c r="WG1688" s="2730"/>
      <c r="WH1688" s="2730"/>
      <c r="WI1688" s="2730"/>
      <c r="WJ1688" s="2730"/>
      <c r="WK1688" s="2730"/>
      <c r="WL1688" s="2730"/>
      <c r="WM1688" s="2730"/>
      <c r="WN1688" s="2730"/>
      <c r="WO1688" s="2730"/>
      <c r="WP1688" s="2730"/>
      <c r="WQ1688" s="2730"/>
      <c r="WR1688" s="2730"/>
      <c r="WS1688" s="2730"/>
      <c r="WT1688" s="2730"/>
      <c r="WU1688" s="2730"/>
      <c r="WV1688" s="2730"/>
      <c r="WW1688" s="2730"/>
      <c r="WX1688" s="2730"/>
      <c r="WY1688" s="2730"/>
      <c r="WZ1688" s="2730"/>
      <c r="XA1688" s="2730"/>
      <c r="XB1688" s="2730"/>
      <c r="XC1688" s="2730"/>
      <c r="XD1688" s="2730"/>
      <c r="XE1688" s="2730"/>
      <c r="XF1688" s="2730"/>
      <c r="XG1688" s="2730"/>
      <c r="XH1688" s="2730"/>
      <c r="XI1688" s="2730"/>
      <c r="XJ1688" s="2730"/>
      <c r="XK1688" s="2730"/>
      <c r="XL1688" s="2730"/>
      <c r="XM1688" s="2730"/>
      <c r="XN1688" s="2730"/>
      <c r="XO1688" s="2730"/>
      <c r="XP1688" s="2730"/>
      <c r="XQ1688" s="2730"/>
      <c r="XR1688" s="2730"/>
      <c r="XS1688" s="2730"/>
      <c r="XT1688" s="2730"/>
      <c r="XU1688" s="2730"/>
      <c r="XV1688" s="2730"/>
      <c r="XW1688" s="2730"/>
      <c r="XX1688" s="2730"/>
      <c r="XY1688" s="2730"/>
      <c r="XZ1688" s="2730"/>
      <c r="YA1688" s="2730"/>
      <c r="YB1688" s="2730"/>
      <c r="YC1688" s="2730"/>
      <c r="YD1688" s="2730"/>
      <c r="YE1688" s="2730"/>
      <c r="YF1688" s="2730"/>
      <c r="YG1688" s="2730"/>
      <c r="YH1688" s="2730"/>
      <c r="YI1688" s="2730"/>
      <c r="YJ1688" s="2730"/>
      <c r="YK1688" s="2730"/>
      <c r="YL1688" s="2730"/>
      <c r="YM1688" s="2730"/>
      <c r="YN1688" s="2730"/>
      <c r="YO1688" s="2730"/>
      <c r="YP1688" s="2730"/>
      <c r="YQ1688" s="2730"/>
      <c r="YR1688" s="2730"/>
      <c r="YS1688" s="2730"/>
      <c r="YT1688" s="2730"/>
      <c r="YU1688" s="2730"/>
      <c r="YV1688" s="2730"/>
      <c r="YW1688" s="2730"/>
      <c r="YX1688" s="2730"/>
      <c r="YY1688" s="2730"/>
      <c r="YZ1688" s="2730"/>
      <c r="ZA1688" s="2730"/>
      <c r="ZB1688" s="2730"/>
      <c r="ZC1688" s="2730"/>
      <c r="ZD1688" s="2730"/>
      <c r="ZE1688" s="2730"/>
      <c r="ZF1688" s="2730"/>
      <c r="ZG1688" s="2730"/>
      <c r="ZH1688" s="2730"/>
      <c r="ZI1688" s="2730"/>
      <c r="ZJ1688" s="2730"/>
      <c r="ZK1688" s="2730"/>
      <c r="ZL1688" s="2730"/>
      <c r="ZM1688" s="2730"/>
      <c r="ZN1688" s="2730"/>
      <c r="ZO1688" s="2730"/>
      <c r="ZP1688" s="2730"/>
      <c r="ZQ1688" s="2730"/>
      <c r="ZR1688" s="2730"/>
      <c r="ZS1688" s="2730"/>
      <c r="ZT1688" s="2730"/>
      <c r="ZU1688" s="2730"/>
      <c r="ZV1688" s="2730"/>
      <c r="ZW1688" s="2730"/>
      <c r="ZX1688" s="2730"/>
      <c r="ZY1688" s="2730"/>
      <c r="ZZ1688" s="2730"/>
      <c r="AAA1688" s="2730"/>
      <c r="AAB1688" s="2730"/>
      <c r="AAC1688" s="2730"/>
      <c r="AAD1688" s="2730"/>
      <c r="AAE1688" s="2730"/>
      <c r="AAF1688" s="2730"/>
      <c r="AAG1688" s="2730"/>
      <c r="AAH1688" s="2730"/>
      <c r="AAI1688" s="2730"/>
      <c r="AAJ1688" s="2730"/>
      <c r="AAK1688" s="2730"/>
      <c r="AAL1688" s="2730"/>
      <c r="AAM1688" s="2730"/>
      <c r="AAN1688" s="2730"/>
      <c r="AAO1688" s="2730"/>
      <c r="AAP1688" s="2730"/>
      <c r="AAQ1688" s="2730"/>
      <c r="AAR1688" s="2730"/>
      <c r="AAS1688" s="2730"/>
      <c r="AAT1688" s="2730"/>
      <c r="AAU1688" s="2730"/>
      <c r="AAV1688" s="2730"/>
      <c r="AAW1688" s="2730"/>
      <c r="AAX1688" s="2730"/>
      <c r="AAY1688" s="2730"/>
      <c r="AAZ1688" s="2730"/>
      <c r="ABA1688" s="2730"/>
      <c r="ABB1688" s="2730"/>
      <c r="ABC1688" s="2730"/>
      <c r="ABD1688" s="2730"/>
      <c r="ABE1688" s="2730"/>
      <c r="ABF1688" s="2730"/>
      <c r="ABG1688" s="2730"/>
      <c r="ABH1688" s="2730"/>
      <c r="ABI1688" s="2730"/>
      <c r="ABJ1688" s="2730"/>
      <c r="ABK1688" s="2730"/>
      <c r="ABL1688" s="2730"/>
      <c r="ABM1688" s="2730"/>
      <c r="ABN1688" s="2730"/>
      <c r="ABO1688" s="2730"/>
      <c r="ABP1688" s="2730"/>
      <c r="ABQ1688" s="2730"/>
      <c r="ABR1688" s="2730"/>
      <c r="ABS1688" s="2730"/>
      <c r="ABT1688" s="2730"/>
      <c r="ABU1688" s="2730"/>
      <c r="ABV1688" s="2730"/>
      <c r="ABW1688" s="2730"/>
      <c r="ABX1688" s="2730"/>
      <c r="ABY1688" s="2730"/>
      <c r="ABZ1688" s="2730"/>
      <c r="ACA1688" s="2730"/>
      <c r="ACB1688" s="2730"/>
      <c r="ACC1688" s="2730"/>
      <c r="ACD1688" s="2730"/>
      <c r="ACE1688" s="2730"/>
      <c r="ACF1688" s="2730"/>
      <c r="ACG1688" s="2730"/>
      <c r="ACH1688" s="2730"/>
      <c r="ACI1688" s="2730"/>
      <c r="ACJ1688" s="2730"/>
      <c r="ACK1688" s="2730"/>
      <c r="ACL1688" s="2730"/>
      <c r="ACM1688" s="2730"/>
      <c r="ACN1688" s="2730"/>
      <c r="ACO1688" s="2730"/>
      <c r="ACP1688" s="2730"/>
      <c r="ACQ1688" s="2730"/>
      <c r="ACR1688" s="2730"/>
      <c r="ACS1688" s="2730"/>
      <c r="ACT1688" s="2730"/>
      <c r="ACU1688" s="2730"/>
      <c r="ACV1688" s="2730"/>
      <c r="ACW1688" s="2730"/>
      <c r="ACX1688" s="2730"/>
      <c r="ACY1688" s="2730"/>
      <c r="ACZ1688" s="2730"/>
      <c r="ADA1688" s="2730"/>
      <c r="ADB1688" s="2730"/>
      <c r="ADC1688" s="2730"/>
      <c r="ADD1688" s="2730"/>
      <c r="ADE1688" s="2730"/>
      <c r="ADF1688" s="2730"/>
      <c r="ADG1688" s="2730"/>
      <c r="ADH1688" s="2730"/>
      <c r="ADI1688" s="2730"/>
      <c r="ADJ1688" s="2730"/>
      <c r="ADK1688" s="2730"/>
      <c r="ADL1688" s="2730"/>
      <c r="ADM1688" s="2730"/>
      <c r="ADN1688" s="2730"/>
      <c r="ADO1688" s="2730"/>
      <c r="ADP1688" s="2730"/>
      <c r="ADQ1688" s="2730"/>
      <c r="ADR1688" s="2730"/>
      <c r="ADS1688" s="2730"/>
      <c r="ADT1688" s="2730"/>
      <c r="ADU1688" s="2730"/>
      <c r="ADV1688" s="2730"/>
      <c r="ADW1688" s="2730"/>
      <c r="ADX1688" s="2730"/>
      <c r="ADY1688" s="2730"/>
      <c r="ADZ1688" s="2730"/>
      <c r="AEA1688" s="2730"/>
      <c r="AEB1688" s="2730"/>
      <c r="AEC1688" s="2730"/>
      <c r="AED1688" s="2730"/>
      <c r="AEE1688" s="2730"/>
      <c r="AEF1688" s="2730"/>
      <c r="AEG1688" s="2730"/>
      <c r="AEH1688" s="2730"/>
      <c r="AEI1688" s="2730"/>
      <c r="AEJ1688" s="2730"/>
      <c r="AEK1688" s="2730"/>
      <c r="AEL1688" s="2730"/>
      <c r="AEM1688" s="2730"/>
      <c r="AEN1688" s="2730"/>
      <c r="AEO1688" s="2730"/>
      <c r="AEP1688" s="2730"/>
      <c r="AEQ1688" s="2730"/>
      <c r="AER1688" s="2730"/>
      <c r="AES1688" s="2730"/>
      <c r="AET1688" s="2730"/>
      <c r="AEU1688" s="2730"/>
      <c r="AEV1688" s="2730"/>
      <c r="AEW1688" s="2730"/>
      <c r="AEX1688" s="2730"/>
      <c r="AEY1688" s="2730"/>
      <c r="AEZ1688" s="2730"/>
      <c r="AFA1688" s="2730"/>
      <c r="AFB1688" s="2730"/>
      <c r="AFC1688" s="2730"/>
      <c r="AFD1688" s="2730"/>
      <c r="AFE1688" s="2730"/>
      <c r="AFF1688" s="2730"/>
      <c r="AFG1688" s="2730"/>
      <c r="AFH1688" s="2730"/>
      <c r="AFI1688" s="2730"/>
      <c r="AFJ1688" s="2730"/>
      <c r="AFK1688" s="2730"/>
      <c r="AFL1688" s="2730"/>
      <c r="AFM1688" s="2730"/>
      <c r="AFN1688" s="2730"/>
      <c r="AFO1688" s="2730"/>
      <c r="AFP1688" s="2730"/>
      <c r="AFQ1688" s="2730"/>
      <c r="AFR1688" s="2730"/>
      <c r="AFS1688" s="2730"/>
      <c r="AFT1688" s="2730"/>
      <c r="AFU1688" s="2730"/>
      <c r="AFV1688" s="2730"/>
      <c r="AFW1688" s="2730"/>
      <c r="AFX1688" s="2730"/>
      <c r="AFY1688" s="2730"/>
      <c r="AFZ1688" s="2730"/>
      <c r="AGA1688" s="2730"/>
      <c r="AGB1688" s="2730"/>
      <c r="AGC1688" s="2730"/>
      <c r="AGD1688" s="2730"/>
      <c r="AGE1688" s="2730"/>
      <c r="AGF1688" s="2730"/>
      <c r="AGG1688" s="2730"/>
      <c r="AGH1688" s="2730"/>
      <c r="AGI1688" s="2730"/>
      <c r="AGJ1688" s="2730"/>
      <c r="AGK1688" s="2730"/>
      <c r="AGL1688" s="2730"/>
      <c r="AGM1688" s="2730"/>
      <c r="AGN1688" s="2730"/>
      <c r="AGO1688" s="2730"/>
      <c r="AGP1688" s="2730"/>
      <c r="AGQ1688" s="2730"/>
      <c r="AGR1688" s="2730"/>
      <c r="AGS1688" s="2730"/>
      <c r="AGT1688" s="2730"/>
      <c r="AGU1688" s="2730"/>
      <c r="AGV1688" s="2730"/>
      <c r="AGW1688" s="2730"/>
      <c r="AGX1688" s="2730"/>
      <c r="AGY1688" s="2730"/>
      <c r="AGZ1688" s="2730"/>
      <c r="AHA1688" s="2730"/>
      <c r="AHB1688" s="2730"/>
      <c r="AHC1688" s="2730"/>
      <c r="AHD1688" s="2730"/>
      <c r="AHE1688" s="2730"/>
      <c r="AHF1688" s="2730"/>
      <c r="AHG1688" s="2730"/>
      <c r="AHH1688" s="2730"/>
      <c r="AHI1688" s="2730"/>
      <c r="AHJ1688" s="2730"/>
      <c r="AHK1688" s="2730"/>
      <c r="AHL1688" s="2730"/>
      <c r="AHM1688" s="2730"/>
      <c r="AHN1688" s="2730"/>
      <c r="AHO1688" s="2730"/>
      <c r="AHP1688" s="2730"/>
      <c r="AHQ1688" s="2730"/>
      <c r="AHR1688" s="2730"/>
      <c r="AHS1688" s="2730"/>
      <c r="AHT1688" s="2730"/>
      <c r="AHU1688" s="2730"/>
      <c r="AHV1688" s="2730"/>
      <c r="AHW1688" s="2730"/>
      <c r="AHX1688" s="2730"/>
      <c r="AHY1688" s="2730"/>
      <c r="AHZ1688" s="2730"/>
      <c r="AIA1688" s="2730"/>
      <c r="AIB1688" s="2730"/>
      <c r="AIC1688" s="2730"/>
      <c r="AID1688" s="2730"/>
      <c r="AIE1688" s="2730"/>
      <c r="AIF1688" s="2730"/>
      <c r="AIG1688" s="2730"/>
      <c r="AIH1688" s="2730"/>
      <c r="AII1688" s="2730"/>
      <c r="AIJ1688" s="2730"/>
      <c r="AIK1688" s="2730"/>
      <c r="AIL1688" s="2730"/>
      <c r="AIM1688" s="2730"/>
      <c r="AIN1688" s="2730"/>
      <c r="AIO1688" s="2730"/>
      <c r="AIP1688" s="2730"/>
      <c r="AIQ1688" s="2730"/>
      <c r="AIR1688" s="2730"/>
      <c r="AIS1688" s="2730"/>
      <c r="AIT1688" s="2730"/>
      <c r="AIU1688" s="2730"/>
      <c r="AIV1688" s="2730"/>
      <c r="AIW1688" s="2730"/>
      <c r="AIX1688" s="2730"/>
      <c r="AIY1688" s="2730"/>
      <c r="AIZ1688" s="2730"/>
      <c r="AJA1688" s="2730"/>
      <c r="AJB1688" s="2730"/>
      <c r="AJC1688" s="2730"/>
      <c r="AJD1688" s="2730"/>
      <c r="AJE1688" s="2730"/>
      <c r="AJF1688" s="2730"/>
      <c r="AJG1688" s="2730"/>
      <c r="AJH1688" s="2730"/>
      <c r="AJI1688" s="2730"/>
      <c r="AJJ1688" s="2730"/>
      <c r="AJK1688" s="2730"/>
      <c r="AJL1688" s="2730"/>
      <c r="AJM1688" s="2730"/>
      <c r="AJN1688" s="2730"/>
      <c r="AJO1688" s="2730"/>
      <c r="AJP1688" s="2730"/>
      <c r="AJQ1688" s="2730"/>
      <c r="AJR1688" s="2730"/>
      <c r="AJS1688" s="2730"/>
      <c r="AJT1688" s="2730"/>
      <c r="AJU1688" s="2730"/>
      <c r="AJV1688" s="2730"/>
      <c r="AJW1688" s="2730"/>
      <c r="AJX1688" s="2730"/>
      <c r="AJY1688" s="2730"/>
      <c r="AJZ1688" s="2730"/>
      <c r="AKA1688" s="2730"/>
      <c r="AKB1688" s="2730"/>
      <c r="AKC1688" s="2730"/>
      <c r="AKD1688" s="2730"/>
      <c r="AKE1688" s="2730"/>
      <c r="AKF1688" s="2730"/>
      <c r="AKG1688" s="2730"/>
      <c r="AKH1688" s="2730"/>
      <c r="AKI1688" s="2730"/>
      <c r="AKJ1688" s="2730"/>
      <c r="AKK1688" s="2730"/>
      <c r="AKL1688" s="2730"/>
      <c r="AKM1688" s="2730"/>
      <c r="AKN1688" s="2730"/>
      <c r="AKO1688" s="2730"/>
      <c r="AKP1688" s="2730"/>
      <c r="AKQ1688" s="2730"/>
      <c r="AKR1688" s="2730"/>
      <c r="AKS1688" s="2730"/>
      <c r="AKT1688" s="2730"/>
      <c r="AKU1688" s="2730"/>
      <c r="AKV1688" s="2730"/>
      <c r="AKW1688" s="2730"/>
      <c r="AKX1688" s="2730"/>
      <c r="AKY1688" s="2730"/>
      <c r="AKZ1688" s="2730"/>
      <c r="ALA1688" s="2730"/>
      <c r="ALB1688" s="2730"/>
      <c r="ALC1688" s="2730"/>
      <c r="ALD1688" s="2730"/>
      <c r="ALE1688" s="2730"/>
      <c r="ALF1688" s="2730"/>
      <c r="ALG1688" s="2730"/>
      <c r="ALH1688" s="2730"/>
      <c r="ALI1688" s="2730"/>
      <c r="ALJ1688" s="2730"/>
      <c r="ALK1688" s="2730"/>
      <c r="ALL1688" s="2730"/>
      <c r="ALM1688" s="2730"/>
      <c r="ALN1688" s="2730"/>
      <c r="ALO1688" s="2730"/>
      <c r="ALP1688" s="2730"/>
      <c r="ALQ1688" s="2730"/>
      <c r="ALR1688" s="2730"/>
      <c r="ALS1688" s="2730"/>
      <c r="ALT1688" s="2730"/>
      <c r="ALU1688" s="2730"/>
      <c r="ALV1688" s="2730"/>
      <c r="ALW1688" s="2730"/>
      <c r="ALX1688" s="2730"/>
      <c r="ALY1688" s="2730"/>
      <c r="ALZ1688" s="2730"/>
      <c r="AMA1688" s="2730"/>
      <c r="AMB1688" s="2730"/>
      <c r="AMC1688" s="2730"/>
      <c r="AMD1688" s="2730"/>
      <c r="AME1688" s="2730"/>
      <c r="AMF1688" s="2730"/>
      <c r="AMG1688" s="2730"/>
      <c r="AMH1688" s="2730"/>
      <c r="AMI1688" s="2730"/>
      <c r="AMJ1688" s="2730"/>
      <c r="AMK1688" s="2730"/>
      <c r="AML1688" s="2730"/>
      <c r="AMM1688" s="2730"/>
      <c r="AMN1688" s="2730"/>
      <c r="AMO1688" s="2730"/>
      <c r="AMP1688" s="2730"/>
      <c r="AMQ1688" s="2730"/>
      <c r="AMR1688" s="2730"/>
      <c r="AMS1688" s="2730"/>
      <c r="AMT1688" s="2730"/>
      <c r="AMU1688" s="2730"/>
      <c r="AMV1688" s="2730"/>
      <c r="AMW1688" s="2730"/>
      <c r="AMX1688" s="2730"/>
      <c r="AMY1688" s="2730"/>
      <c r="AMZ1688" s="2730"/>
      <c r="ANA1688" s="2730"/>
      <c r="ANB1688" s="2730"/>
      <c r="ANC1688" s="2730"/>
      <c r="AND1688" s="2730"/>
      <c r="ANE1688" s="2730"/>
      <c r="ANF1688" s="2730"/>
      <c r="ANG1688" s="2730"/>
      <c r="ANH1688" s="2730"/>
      <c r="ANI1688" s="2730"/>
      <c r="ANJ1688" s="2730"/>
      <c r="ANK1688" s="2730"/>
      <c r="ANL1688" s="2730"/>
      <c r="ANM1688" s="2730"/>
      <c r="ANN1688" s="2730"/>
      <c r="ANO1688" s="2730"/>
      <c r="ANP1688" s="2730"/>
      <c r="ANQ1688" s="2730"/>
      <c r="ANR1688" s="2730"/>
      <c r="ANS1688" s="2730"/>
      <c r="ANT1688" s="2730"/>
      <c r="ANU1688" s="2730"/>
      <c r="ANV1688" s="2730"/>
      <c r="ANW1688" s="2730"/>
      <c r="ANX1688" s="2730"/>
      <c r="ANY1688" s="2730"/>
      <c r="ANZ1688" s="2730"/>
      <c r="AOA1688" s="2730"/>
      <c r="AOB1688" s="2730"/>
      <c r="AOC1688" s="2730"/>
      <c r="AOD1688" s="2730"/>
      <c r="AOE1688" s="2730"/>
      <c r="AOF1688" s="2730"/>
      <c r="AOG1688" s="2730"/>
      <c r="AOH1688" s="2730"/>
      <c r="AOI1688" s="2730"/>
      <c r="AOJ1688" s="2730"/>
      <c r="AOK1688" s="2730"/>
      <c r="AOL1688" s="2730"/>
      <c r="AOM1688" s="2730"/>
      <c r="AON1688" s="2730"/>
      <c r="AOO1688" s="2730"/>
      <c r="AOP1688" s="2730"/>
      <c r="AOQ1688" s="2730"/>
      <c r="AOR1688" s="2730"/>
      <c r="AOS1688" s="2730"/>
      <c r="AOT1688" s="2730"/>
      <c r="AOU1688" s="2730"/>
      <c r="AOV1688" s="2730"/>
      <c r="AOW1688" s="2730"/>
      <c r="AOX1688" s="2730"/>
      <c r="AOY1688" s="2730"/>
      <c r="AOZ1688" s="2730"/>
      <c r="APA1688" s="2730"/>
      <c r="APB1688" s="2730"/>
      <c r="APC1688" s="2730"/>
      <c r="APD1688" s="2730"/>
      <c r="APE1688" s="2730"/>
      <c r="APF1688" s="2730"/>
      <c r="APG1688" s="2730"/>
      <c r="APH1688" s="2730"/>
      <c r="API1688" s="2730"/>
      <c r="APJ1688" s="2730"/>
      <c r="APK1688" s="2730"/>
      <c r="APL1688" s="2730"/>
      <c r="APM1688" s="2730"/>
      <c r="APN1688" s="2730"/>
      <c r="APO1688" s="2730"/>
      <c r="APP1688" s="2730"/>
      <c r="APQ1688" s="2730"/>
      <c r="APR1688" s="2730"/>
      <c r="APS1688" s="2730"/>
      <c r="APT1688" s="2730"/>
      <c r="APU1688" s="2730"/>
      <c r="APV1688" s="2730"/>
      <c r="APW1688" s="2730"/>
      <c r="APX1688" s="2730"/>
      <c r="APY1688" s="2730"/>
      <c r="APZ1688" s="2730"/>
      <c r="AQA1688" s="2730"/>
      <c r="AQB1688" s="2730"/>
      <c r="AQC1688" s="2730"/>
      <c r="AQD1688" s="2730"/>
      <c r="AQE1688" s="2730"/>
      <c r="AQF1688" s="2730"/>
      <c r="AQG1688" s="2730"/>
      <c r="AQH1688" s="2730"/>
      <c r="AQI1688" s="2730"/>
      <c r="AQJ1688" s="2730"/>
      <c r="AQK1688" s="2730"/>
      <c r="AQL1688" s="2730"/>
      <c r="AQM1688" s="2730"/>
      <c r="AQN1688" s="2730"/>
      <c r="AQO1688" s="2730"/>
      <c r="AQP1688" s="2730"/>
      <c r="AQQ1688" s="2730"/>
      <c r="AQR1688" s="2730"/>
      <c r="AQS1688" s="2730"/>
      <c r="AQT1688" s="2730"/>
      <c r="AQU1688" s="2730"/>
      <c r="AQV1688" s="2730"/>
      <c r="AQW1688" s="2730"/>
      <c r="AQX1688" s="2730"/>
      <c r="AQY1688" s="2730"/>
      <c r="AQZ1688" s="2730"/>
      <c r="ARA1688" s="2730"/>
      <c r="ARB1688" s="2730"/>
      <c r="ARC1688" s="2730"/>
      <c r="ARD1688" s="2730"/>
      <c r="ARE1688" s="2730"/>
      <c r="ARF1688" s="2730"/>
      <c r="ARG1688" s="2730"/>
      <c r="ARH1688" s="2730"/>
      <c r="ARI1688" s="2730"/>
      <c r="ARJ1688" s="2730"/>
      <c r="ARK1688" s="2730"/>
      <c r="ARL1688" s="2730"/>
      <c r="ARM1688" s="2730"/>
      <c r="ARN1688" s="2730"/>
      <c r="ARO1688" s="2730"/>
      <c r="ARP1688" s="2730"/>
      <c r="ARQ1688" s="2730"/>
      <c r="ARR1688" s="2730"/>
      <c r="ARS1688" s="2730"/>
      <c r="ART1688" s="2730"/>
      <c r="ARU1688" s="2730"/>
      <c r="ARV1688" s="2730"/>
      <c r="ARW1688" s="2730"/>
      <c r="ARX1688" s="2730"/>
      <c r="ARY1688" s="2730"/>
      <c r="ARZ1688" s="2730"/>
      <c r="ASA1688" s="2730"/>
      <c r="ASB1688" s="2730"/>
      <c r="ASC1688" s="2730"/>
      <c r="ASD1688" s="2730"/>
      <c r="ASE1688" s="2730"/>
      <c r="ASF1688" s="2730"/>
      <c r="ASG1688" s="2730"/>
      <c r="ASH1688" s="2730"/>
      <c r="ASI1688" s="2730"/>
      <c r="ASJ1688" s="2730"/>
      <c r="ASK1688" s="2730"/>
      <c r="ASL1688" s="2730"/>
      <c r="ASM1688" s="2730"/>
      <c r="ASN1688" s="2730"/>
      <c r="ASO1688" s="2730"/>
      <c r="ASP1688" s="2730"/>
      <c r="ASQ1688" s="2730"/>
      <c r="ASR1688" s="2730"/>
      <c r="ASS1688" s="2730"/>
      <c r="AST1688" s="2730"/>
      <c r="ASU1688" s="2730"/>
      <c r="ASV1688" s="2730"/>
      <c r="ASW1688" s="2730"/>
      <c r="ASX1688" s="2730"/>
      <c r="ASY1688" s="2730"/>
      <c r="ASZ1688" s="2730"/>
      <c r="ATA1688" s="2730"/>
      <c r="ATB1688" s="2730"/>
      <c r="ATC1688" s="2730"/>
      <c r="ATD1688" s="2730"/>
      <c r="ATE1688" s="2730"/>
      <c r="ATF1688" s="2730"/>
      <c r="ATG1688" s="2730"/>
      <c r="ATH1688" s="2730"/>
      <c r="ATI1688" s="2730"/>
      <c r="ATJ1688" s="2730"/>
      <c r="ATK1688" s="2730"/>
      <c r="ATL1688" s="2730"/>
      <c r="ATM1688" s="2730"/>
      <c r="ATN1688" s="2730"/>
      <c r="ATO1688" s="2730"/>
      <c r="ATP1688" s="2730"/>
      <c r="ATQ1688" s="2730"/>
      <c r="ATR1688" s="2730"/>
      <c r="ATS1688" s="2730"/>
      <c r="ATT1688" s="2730"/>
      <c r="ATU1688" s="2730"/>
      <c r="ATV1688" s="2730"/>
      <c r="ATW1688" s="2730"/>
      <c r="ATX1688" s="2730"/>
      <c r="ATY1688" s="2730"/>
      <c r="ATZ1688" s="2730"/>
      <c r="AUA1688" s="2730"/>
      <c r="AUB1688" s="2730"/>
      <c r="AUC1688" s="2730"/>
      <c r="AUD1688" s="2730"/>
      <c r="AUE1688" s="2730"/>
      <c r="AUF1688" s="2730"/>
      <c r="AUG1688" s="2730"/>
      <c r="AUH1688" s="2730"/>
      <c r="AUI1688" s="2730"/>
      <c r="AUJ1688" s="2730"/>
      <c r="AUK1688" s="2730"/>
      <c r="AUL1688" s="2730"/>
      <c r="AUM1688" s="2730"/>
      <c r="AUN1688" s="2730"/>
      <c r="AUO1688" s="2730"/>
      <c r="AUP1688" s="2730"/>
      <c r="AUQ1688" s="2730"/>
      <c r="AUR1688" s="2730"/>
      <c r="AUS1688" s="2730"/>
      <c r="AUT1688" s="2730"/>
      <c r="AUU1688" s="2730"/>
      <c r="AUV1688" s="2730"/>
      <c r="AUW1688" s="2730"/>
      <c r="AUX1688" s="2730"/>
      <c r="AUY1688" s="2730"/>
      <c r="AUZ1688" s="2730"/>
      <c r="AVA1688" s="2730"/>
      <c r="AVB1688" s="2730"/>
      <c r="AVC1688" s="2730"/>
      <c r="AVD1688" s="2730"/>
      <c r="AVE1688" s="2730"/>
      <c r="AVF1688" s="2730"/>
      <c r="AVG1688" s="2730"/>
      <c r="AVH1688" s="2730"/>
      <c r="AVI1688" s="2730"/>
      <c r="AVJ1688" s="2730"/>
      <c r="AVK1688" s="2730"/>
      <c r="AVL1688" s="2730"/>
      <c r="AVM1688" s="2730"/>
      <c r="AVN1688" s="2730"/>
      <c r="AVO1688" s="2730"/>
      <c r="AVP1688" s="2730"/>
      <c r="AVQ1688" s="2730"/>
      <c r="AVR1688" s="2730"/>
      <c r="AVS1688" s="2730"/>
      <c r="AVT1688" s="2730"/>
      <c r="AVU1688" s="2730"/>
      <c r="AVV1688" s="2730"/>
      <c r="AVW1688" s="2730"/>
      <c r="AVX1688" s="2730"/>
      <c r="AVY1688" s="2730"/>
      <c r="AVZ1688" s="2730"/>
      <c r="AWA1688" s="2730"/>
      <c r="AWB1688" s="2730"/>
      <c r="AWC1688" s="2730"/>
      <c r="AWD1688" s="2730"/>
      <c r="AWE1688" s="2730"/>
      <c r="AWF1688" s="2730"/>
      <c r="AWG1688" s="2730"/>
      <c r="AWH1688" s="2730"/>
      <c r="AWI1688" s="2730"/>
      <c r="AWJ1688" s="2730"/>
      <c r="AWK1688" s="2730"/>
      <c r="AWL1688" s="2730"/>
      <c r="AWM1688" s="2730"/>
      <c r="AWN1688" s="2730"/>
      <c r="AWO1688" s="2730"/>
      <c r="AWP1688" s="2730"/>
      <c r="AWQ1688" s="2730"/>
      <c r="AWR1688" s="2730"/>
      <c r="AWS1688" s="2730"/>
      <c r="AWT1688" s="2730"/>
      <c r="AWU1688" s="2730"/>
      <c r="AWV1688" s="2730"/>
      <c r="AWW1688" s="2730"/>
      <c r="AWX1688" s="2730"/>
      <c r="AWY1688" s="2730"/>
      <c r="AWZ1688" s="2730"/>
      <c r="AXA1688" s="2730"/>
      <c r="AXB1688" s="2730"/>
      <c r="AXC1688" s="2730"/>
      <c r="AXD1688" s="2730"/>
      <c r="AXE1688" s="2730"/>
      <c r="AXF1688" s="2730"/>
      <c r="AXG1688" s="2730"/>
      <c r="AXH1688" s="2730"/>
      <c r="AXI1688" s="2730"/>
      <c r="AXJ1688" s="2730"/>
      <c r="AXK1688" s="2730"/>
      <c r="AXL1688" s="2730"/>
      <c r="AXM1688" s="2730"/>
      <c r="AXN1688" s="2730"/>
      <c r="AXO1688" s="2730"/>
      <c r="AXP1688" s="2730"/>
      <c r="AXQ1688" s="2730"/>
      <c r="AXR1688" s="2730"/>
      <c r="AXS1688" s="2730"/>
      <c r="AXT1688" s="2730"/>
      <c r="AXU1688" s="2730"/>
      <c r="AXV1688" s="2730"/>
      <c r="AXW1688" s="2730"/>
      <c r="AXX1688" s="2730"/>
      <c r="AXY1688" s="2730"/>
      <c r="AXZ1688" s="2730"/>
      <c r="AYA1688" s="2730"/>
      <c r="AYB1688" s="2730"/>
      <c r="AYC1688" s="2730"/>
      <c r="AYD1688" s="2730"/>
      <c r="AYE1688" s="2730"/>
      <c r="AYF1688" s="2730"/>
      <c r="AYG1688" s="2730"/>
      <c r="AYH1688" s="2730"/>
      <c r="AYI1688" s="2730"/>
      <c r="AYJ1688" s="2730"/>
      <c r="AYK1688" s="2730"/>
      <c r="AYL1688" s="2730"/>
      <c r="AYM1688" s="2730"/>
      <c r="AYN1688" s="2730"/>
      <c r="AYO1688" s="2730"/>
      <c r="AYP1688" s="2730"/>
      <c r="AYQ1688" s="2730"/>
      <c r="AYR1688" s="2730"/>
      <c r="AYS1688" s="2730"/>
      <c r="AYT1688" s="2730"/>
      <c r="AYU1688" s="2730"/>
      <c r="AYV1688" s="2730"/>
      <c r="AYW1688" s="2730"/>
      <c r="AYX1688" s="2730"/>
      <c r="AYY1688" s="2730"/>
      <c r="AYZ1688" s="2730"/>
      <c r="AZA1688" s="2730"/>
      <c r="AZB1688" s="2730"/>
      <c r="AZC1688" s="2730"/>
      <c r="AZD1688" s="2730"/>
      <c r="AZE1688" s="2730"/>
      <c r="AZF1688" s="2730"/>
      <c r="AZG1688" s="2730"/>
      <c r="AZH1688" s="2730"/>
      <c r="AZI1688" s="2730"/>
      <c r="AZJ1688" s="2730"/>
      <c r="AZK1688" s="2730"/>
      <c r="AZL1688" s="2730"/>
      <c r="AZM1688" s="2730"/>
      <c r="AZN1688" s="2730"/>
      <c r="AZO1688" s="2730"/>
      <c r="AZP1688" s="2730"/>
      <c r="AZQ1688" s="2730"/>
      <c r="AZR1688" s="2730"/>
      <c r="AZS1688" s="2730"/>
      <c r="AZT1688" s="2730"/>
      <c r="AZU1688" s="2730"/>
      <c r="AZV1688" s="2730"/>
      <c r="AZW1688" s="2730"/>
      <c r="AZX1688" s="2730"/>
      <c r="AZY1688" s="2730"/>
      <c r="AZZ1688" s="2730"/>
      <c r="BAA1688" s="2730"/>
      <c r="BAB1688" s="2730"/>
      <c r="BAC1688" s="2730"/>
      <c r="BAD1688" s="2730"/>
      <c r="BAE1688" s="2730"/>
      <c r="BAF1688" s="2730"/>
      <c r="BAG1688" s="2730"/>
      <c r="BAH1688" s="2730"/>
      <c r="BAI1688" s="2730"/>
      <c r="BAJ1688" s="2730"/>
      <c r="BAK1688" s="2730"/>
      <c r="BAL1688" s="2730"/>
      <c r="BAM1688" s="2730"/>
      <c r="BAN1688" s="2730"/>
      <c r="BAO1688" s="2730"/>
      <c r="BAP1688" s="2730"/>
      <c r="BAQ1688" s="2730"/>
      <c r="BAR1688" s="2730"/>
      <c r="BAS1688" s="2730"/>
      <c r="BAT1688" s="2730"/>
      <c r="BAU1688" s="2730"/>
      <c r="BAV1688" s="2730"/>
      <c r="BAW1688" s="2730"/>
      <c r="BAX1688" s="2730"/>
      <c r="BAY1688" s="2730"/>
      <c r="BAZ1688" s="2730"/>
      <c r="BBA1688" s="2730"/>
      <c r="BBB1688" s="2730"/>
      <c r="BBC1688" s="2730"/>
      <c r="BBD1688" s="2730"/>
      <c r="BBE1688" s="2730"/>
      <c r="BBF1688" s="2730"/>
      <c r="BBG1688" s="2730"/>
      <c r="BBH1688" s="2730"/>
      <c r="BBI1688" s="2730"/>
      <c r="BBJ1688" s="2730"/>
      <c r="BBK1688" s="2730"/>
      <c r="BBL1688" s="2730"/>
      <c r="BBM1688" s="2730"/>
      <c r="BBN1688" s="2730"/>
      <c r="BBO1688" s="2730"/>
      <c r="BBP1688" s="2730"/>
      <c r="BBQ1688" s="2730"/>
      <c r="BBR1688" s="2730"/>
      <c r="BBS1688" s="2730"/>
      <c r="BBT1688" s="2730"/>
      <c r="BBU1688" s="2730"/>
      <c r="BBV1688" s="2730"/>
      <c r="BBW1688" s="2730"/>
      <c r="BBX1688" s="2730"/>
      <c r="BBY1688" s="2730"/>
      <c r="BBZ1688" s="2730"/>
      <c r="BCA1688" s="2730"/>
      <c r="BCB1688" s="2730"/>
      <c r="BCC1688" s="2730"/>
      <c r="BCD1688" s="2730"/>
      <c r="BCE1688" s="2730"/>
      <c r="BCF1688" s="2730"/>
      <c r="BCG1688" s="2730"/>
      <c r="BCH1688" s="2730"/>
      <c r="BCI1688" s="2730"/>
      <c r="BCJ1688" s="2730"/>
      <c r="BCK1688" s="2730"/>
      <c r="BCL1688" s="2730"/>
      <c r="BCM1688" s="2730"/>
      <c r="BCN1688" s="2730"/>
      <c r="BCO1688" s="2730"/>
      <c r="BCP1688" s="2730"/>
      <c r="BCQ1688" s="2730"/>
      <c r="BCR1688" s="2730"/>
      <c r="BCS1688" s="2730"/>
      <c r="BCT1688" s="2730"/>
      <c r="BCU1688" s="2730"/>
      <c r="BCV1688" s="2730"/>
      <c r="BCW1688" s="2730"/>
      <c r="BCX1688" s="2730"/>
      <c r="BCY1688" s="2730"/>
      <c r="BCZ1688" s="2730"/>
      <c r="BDA1688" s="2730"/>
      <c r="BDB1688" s="2730"/>
      <c r="BDC1688" s="2730"/>
      <c r="BDD1688" s="2730"/>
      <c r="BDE1688" s="2730"/>
      <c r="BDF1688" s="2730"/>
      <c r="BDG1688" s="2730"/>
      <c r="BDH1688" s="2730"/>
      <c r="BDI1688" s="2730"/>
      <c r="BDJ1688" s="2730"/>
      <c r="BDK1688" s="2730"/>
      <c r="BDL1688" s="2730"/>
      <c r="BDM1688" s="2730"/>
      <c r="BDN1688" s="2730"/>
      <c r="BDO1688" s="2730"/>
      <c r="BDP1688" s="2730"/>
      <c r="BDQ1688" s="2730"/>
      <c r="BDR1688" s="2730"/>
      <c r="BDS1688" s="2730"/>
      <c r="BDT1688" s="2730"/>
      <c r="BDU1688" s="2730"/>
      <c r="BDV1688" s="2730"/>
      <c r="BDW1688" s="2730"/>
      <c r="BDX1688" s="2730"/>
      <c r="BDY1688" s="2730"/>
      <c r="BDZ1688" s="2730"/>
      <c r="BEA1688" s="2730"/>
      <c r="BEB1688" s="2730"/>
      <c r="BEC1688" s="2730"/>
      <c r="BED1688" s="2730"/>
      <c r="BEE1688" s="2730"/>
      <c r="BEF1688" s="2730"/>
      <c r="BEG1688" s="2730"/>
      <c r="BEH1688" s="2730"/>
      <c r="BEI1688" s="2730"/>
      <c r="BEJ1688" s="2730"/>
      <c r="BEK1688" s="2730"/>
      <c r="BEL1688" s="2730"/>
      <c r="BEM1688" s="2730"/>
      <c r="BEN1688" s="2730"/>
      <c r="BEO1688" s="2730"/>
      <c r="BEP1688" s="2730"/>
      <c r="BEQ1688" s="2730"/>
      <c r="BER1688" s="2730"/>
      <c r="BES1688" s="2730"/>
      <c r="BET1688" s="2730"/>
      <c r="BEU1688" s="2730"/>
      <c r="BEV1688" s="2730"/>
      <c r="BEW1688" s="2730"/>
      <c r="BEX1688" s="2730"/>
      <c r="BEY1688" s="2730"/>
      <c r="BEZ1688" s="2730"/>
      <c r="BFA1688" s="2730"/>
      <c r="BFB1688" s="2730"/>
      <c r="BFC1688" s="2730"/>
      <c r="BFD1688" s="2730"/>
      <c r="BFE1688" s="2730"/>
      <c r="BFF1688" s="2730"/>
      <c r="BFG1688" s="2730"/>
      <c r="BFH1688" s="2730"/>
      <c r="BFI1688" s="2730"/>
      <c r="BFJ1688" s="2730"/>
      <c r="BFK1688" s="2730"/>
      <c r="BFL1688" s="2730"/>
      <c r="BFM1688" s="2730"/>
      <c r="BFN1688" s="2730"/>
      <c r="BFO1688" s="2730"/>
      <c r="BFP1688" s="2730"/>
      <c r="BFQ1688" s="2730"/>
      <c r="BFR1688" s="2730"/>
      <c r="BFS1688" s="2730"/>
      <c r="BFT1688" s="2730"/>
      <c r="BFU1688" s="2730"/>
      <c r="BFV1688" s="2730"/>
      <c r="BFW1688" s="2730"/>
      <c r="BFX1688" s="2730"/>
      <c r="BFY1688" s="2730"/>
      <c r="BFZ1688" s="2730"/>
      <c r="BGA1688" s="2730"/>
      <c r="BGB1688" s="2730"/>
      <c r="BGC1688" s="2730"/>
      <c r="BGD1688" s="2730"/>
      <c r="BGE1688" s="2730"/>
      <c r="BGF1688" s="2730"/>
      <c r="BGG1688" s="2730"/>
      <c r="BGH1688" s="2730"/>
      <c r="BGI1688" s="2730"/>
      <c r="BGJ1688" s="2730"/>
      <c r="BGK1688" s="2730"/>
      <c r="BGL1688" s="2730"/>
      <c r="BGM1688" s="2730"/>
      <c r="BGN1688" s="2730"/>
      <c r="BGO1688" s="2730"/>
      <c r="BGP1688" s="2730"/>
      <c r="BGQ1688" s="2730"/>
      <c r="BGR1688" s="2730"/>
      <c r="BGS1688" s="2730"/>
      <c r="BGT1688" s="2730"/>
      <c r="BGU1688" s="2730"/>
      <c r="BGV1688" s="2730"/>
      <c r="BGW1688" s="2730"/>
      <c r="BGX1688" s="2730"/>
      <c r="BGY1688" s="2730"/>
      <c r="BGZ1688" s="2730"/>
      <c r="BHA1688" s="2730"/>
      <c r="BHB1688" s="2730"/>
      <c r="BHC1688" s="2730"/>
      <c r="BHD1688" s="2730"/>
      <c r="BHE1688" s="2730"/>
      <c r="BHF1688" s="2730"/>
      <c r="BHG1688" s="2730"/>
      <c r="BHH1688" s="2730"/>
      <c r="BHI1688" s="2730"/>
      <c r="BHJ1688" s="2730"/>
      <c r="BHK1688" s="2730"/>
      <c r="BHL1688" s="2730"/>
      <c r="BHM1688" s="2730"/>
      <c r="BHN1688" s="2730"/>
      <c r="BHO1688" s="2730"/>
      <c r="BHP1688" s="2730"/>
      <c r="BHQ1688" s="2730"/>
      <c r="BHR1688" s="2730"/>
      <c r="BHS1688" s="2730"/>
      <c r="BHT1688" s="2730"/>
      <c r="BHU1688" s="2730"/>
      <c r="BHV1688" s="2730"/>
      <c r="BHW1688" s="2730"/>
      <c r="BHX1688" s="2730"/>
      <c r="BHY1688" s="2730"/>
      <c r="BHZ1688" s="2730"/>
      <c r="BIA1688" s="2730"/>
      <c r="BIB1688" s="2730"/>
      <c r="BIC1688" s="2730"/>
      <c r="BID1688" s="2730"/>
      <c r="BIE1688" s="2730"/>
      <c r="BIF1688" s="2730"/>
      <c r="BIG1688" s="2730"/>
      <c r="BIH1688" s="2730"/>
      <c r="BII1688" s="2730"/>
      <c r="BIJ1688" s="2730"/>
      <c r="BIK1688" s="2730"/>
      <c r="BIL1688" s="2730"/>
      <c r="BIM1688" s="2730"/>
      <c r="BIN1688" s="2730"/>
      <c r="BIO1688" s="2730"/>
      <c r="BIP1688" s="2730"/>
      <c r="BIQ1688" s="2730"/>
      <c r="BIR1688" s="2730"/>
      <c r="BIS1688" s="2730"/>
      <c r="BIT1688" s="2730"/>
      <c r="BIU1688" s="2730"/>
      <c r="BIV1688" s="2730"/>
      <c r="BIW1688" s="2730"/>
      <c r="BIX1688" s="2730"/>
      <c r="BIY1688" s="2730"/>
      <c r="BIZ1688" s="2730"/>
      <c r="BJA1688" s="2730"/>
      <c r="BJB1688" s="2730"/>
      <c r="BJC1688" s="2730"/>
      <c r="BJD1688" s="2730"/>
      <c r="BJE1688" s="2730"/>
      <c r="BJF1688" s="2730"/>
      <c r="BJG1688" s="2730"/>
      <c r="BJH1688" s="2730"/>
      <c r="BJI1688" s="2730"/>
      <c r="BJJ1688" s="2730"/>
      <c r="BJK1688" s="2730"/>
      <c r="BJL1688" s="2730"/>
      <c r="BJM1688" s="2730"/>
      <c r="BJN1688" s="2730"/>
      <c r="BJO1688" s="2730"/>
      <c r="BJP1688" s="2730"/>
      <c r="BJQ1688" s="2730"/>
      <c r="BJR1688" s="2730"/>
      <c r="BJS1688" s="2730"/>
      <c r="BJT1688" s="2730"/>
      <c r="BJU1688" s="2730"/>
      <c r="BJV1688" s="2730"/>
      <c r="BJW1688" s="2730"/>
      <c r="BJX1688" s="2730"/>
      <c r="BJY1688" s="2730"/>
      <c r="BJZ1688" s="2730"/>
      <c r="BKA1688" s="2730"/>
      <c r="BKB1688" s="2730"/>
      <c r="BKC1688" s="2730"/>
      <c r="BKD1688" s="2730"/>
      <c r="BKE1688" s="2730"/>
      <c r="BKF1688" s="2730"/>
      <c r="BKG1688" s="2730"/>
      <c r="BKH1688" s="2730"/>
      <c r="BKI1688" s="2730"/>
      <c r="BKJ1688" s="2730"/>
      <c r="BKK1688" s="2730"/>
      <c r="BKL1688" s="2730"/>
      <c r="BKM1688" s="2730"/>
      <c r="BKN1688" s="2730"/>
      <c r="BKO1688" s="2730"/>
      <c r="BKP1688" s="2730"/>
      <c r="BKQ1688" s="2730"/>
      <c r="BKR1688" s="2730"/>
      <c r="BKS1688" s="2730"/>
      <c r="BKT1688" s="2730"/>
      <c r="BKU1688" s="2730"/>
      <c r="BKV1688" s="2730"/>
      <c r="BKW1688" s="2730"/>
      <c r="BKX1688" s="2730"/>
      <c r="BKY1688" s="2730"/>
      <c r="BKZ1688" s="2730"/>
      <c r="BLA1688" s="2730"/>
      <c r="BLB1688" s="2730"/>
      <c r="BLC1688" s="2730"/>
      <c r="BLD1688" s="2730"/>
      <c r="BLE1688" s="2730"/>
      <c r="BLF1688" s="2730"/>
      <c r="BLG1688" s="2730"/>
      <c r="BLH1688" s="2730"/>
      <c r="BLI1688" s="2730"/>
      <c r="BLJ1688" s="2730"/>
      <c r="BLK1688" s="2730"/>
      <c r="BLL1688" s="2730"/>
      <c r="BLM1688" s="2730"/>
      <c r="BLN1688" s="2730"/>
      <c r="BLO1688" s="2730"/>
      <c r="BLP1688" s="2730"/>
      <c r="BLQ1688" s="2730"/>
      <c r="BLR1688" s="2730"/>
      <c r="BLS1688" s="2730"/>
      <c r="BLT1688" s="2730"/>
      <c r="BLU1688" s="2730"/>
      <c r="BLV1688" s="2730"/>
      <c r="BLW1688" s="2730"/>
      <c r="BLX1688" s="2730"/>
      <c r="BLY1688" s="2730"/>
      <c r="BLZ1688" s="2730"/>
      <c r="BMA1688" s="2730"/>
      <c r="BMB1688" s="2730"/>
      <c r="BMC1688" s="2730"/>
      <c r="BMD1688" s="2730"/>
      <c r="BME1688" s="2730"/>
      <c r="BMF1688" s="2730"/>
      <c r="BMG1688" s="2730"/>
      <c r="BMH1688" s="2730"/>
      <c r="BMI1688" s="2730"/>
      <c r="BMJ1688" s="2730"/>
      <c r="BMK1688" s="2730"/>
      <c r="BML1688" s="2730"/>
      <c r="BMM1688" s="2730"/>
      <c r="BMN1688" s="2730"/>
      <c r="BMO1688" s="2730"/>
      <c r="BMP1688" s="2730"/>
      <c r="BMQ1688" s="2730"/>
      <c r="BMR1688" s="2730"/>
      <c r="BMS1688" s="2730"/>
      <c r="BMT1688" s="2730"/>
      <c r="BMU1688" s="2730"/>
      <c r="BMV1688" s="2730"/>
      <c r="BMW1688" s="2730"/>
      <c r="BMX1688" s="2730"/>
      <c r="BMY1688" s="2730"/>
      <c r="BMZ1688" s="2730"/>
      <c r="BNA1688" s="2730"/>
      <c r="BNB1688" s="2730"/>
      <c r="BNC1688" s="2730"/>
      <c r="BND1688" s="2730"/>
      <c r="BNE1688" s="2730"/>
      <c r="BNF1688" s="2730"/>
      <c r="BNG1688" s="2730"/>
      <c r="BNH1688" s="2730"/>
      <c r="BNI1688" s="2730"/>
      <c r="BNJ1688" s="2730"/>
      <c r="BNK1688" s="2730"/>
      <c r="BNL1688" s="2730"/>
      <c r="BNM1688" s="2730"/>
      <c r="BNN1688" s="2730"/>
      <c r="BNO1688" s="2730"/>
      <c r="BNP1688" s="2730"/>
      <c r="BNQ1688" s="2730"/>
      <c r="BNR1688" s="2730"/>
      <c r="BNS1688" s="2730"/>
      <c r="BNT1688" s="2730"/>
      <c r="BNU1688" s="2730"/>
      <c r="BNV1688" s="2730"/>
      <c r="BNW1688" s="2730"/>
      <c r="BNX1688" s="2730"/>
      <c r="BNY1688" s="2730"/>
      <c r="BNZ1688" s="2730"/>
      <c r="BOA1688" s="2730"/>
      <c r="BOB1688" s="2730"/>
      <c r="BOC1688" s="2730"/>
      <c r="BOD1688" s="2730"/>
      <c r="BOE1688" s="2730"/>
      <c r="BOF1688" s="2730"/>
      <c r="BOG1688" s="2730"/>
      <c r="BOH1688" s="2730"/>
      <c r="BOI1688" s="2730"/>
      <c r="BOJ1688" s="2730"/>
      <c r="BOK1688" s="2730"/>
      <c r="BOL1688" s="2730"/>
      <c r="BOM1688" s="2730"/>
      <c r="BON1688" s="2730"/>
      <c r="BOO1688" s="2730"/>
      <c r="BOP1688" s="2730"/>
      <c r="BOQ1688" s="2730"/>
      <c r="BOR1688" s="2730"/>
      <c r="BOS1688" s="2730"/>
      <c r="BOT1688" s="2730"/>
      <c r="BOU1688" s="2730"/>
      <c r="BOV1688" s="2730"/>
      <c r="BOW1688" s="2730"/>
      <c r="BOX1688" s="2730"/>
      <c r="BOY1688" s="2730"/>
      <c r="BOZ1688" s="2730"/>
      <c r="BPA1688" s="2730"/>
      <c r="BPB1688" s="2730"/>
      <c r="BPC1688" s="2730"/>
      <c r="BPD1688" s="2730"/>
      <c r="BPE1688" s="2730"/>
      <c r="BPF1688" s="2730"/>
      <c r="BPG1688" s="2730"/>
      <c r="BPH1688" s="2730"/>
      <c r="BPI1688" s="2730"/>
      <c r="BPJ1688" s="2730"/>
      <c r="BPK1688" s="2730"/>
      <c r="BPL1688" s="2730"/>
      <c r="BPM1688" s="2730"/>
      <c r="BPN1688" s="2730"/>
      <c r="BPO1688" s="2730"/>
      <c r="BPP1688" s="2730"/>
      <c r="BPQ1688" s="2730"/>
      <c r="BPR1688" s="2730"/>
      <c r="BPS1688" s="2730"/>
      <c r="BPT1688" s="2730"/>
      <c r="BPU1688" s="2730"/>
      <c r="BPV1688" s="2730"/>
      <c r="BPW1688" s="2730"/>
      <c r="BPX1688" s="2730"/>
      <c r="BPY1688" s="2730"/>
      <c r="BPZ1688" s="2730"/>
      <c r="BQA1688" s="2730"/>
      <c r="BQB1688" s="2730"/>
      <c r="BQC1688" s="2730"/>
      <c r="BQD1688" s="2730"/>
      <c r="BQE1688" s="2730"/>
      <c r="BQF1688" s="2730"/>
      <c r="BQG1688" s="2730"/>
      <c r="BQH1688" s="2730"/>
      <c r="BQI1688" s="2730"/>
      <c r="BQJ1688" s="2730"/>
      <c r="BQK1688" s="2730"/>
      <c r="BQL1688" s="2730"/>
      <c r="BQM1688" s="2730"/>
      <c r="BQN1688" s="2730"/>
      <c r="BQO1688" s="2730"/>
      <c r="BQP1688" s="2730"/>
      <c r="BQQ1688" s="2730"/>
      <c r="BQR1688" s="2730"/>
      <c r="BQS1688" s="2730"/>
      <c r="BQT1688" s="2730"/>
      <c r="BQU1688" s="2730"/>
      <c r="BQV1688" s="2730"/>
      <c r="BQW1688" s="2730"/>
      <c r="BQX1688" s="2730"/>
      <c r="BQY1688" s="2730"/>
      <c r="BQZ1688" s="2730"/>
      <c r="BRA1688" s="2730"/>
      <c r="BRB1688" s="2730"/>
      <c r="BRC1688" s="2730"/>
      <c r="BRD1688" s="2730"/>
      <c r="BRE1688" s="2730"/>
      <c r="BRF1688" s="2730"/>
      <c r="BRG1688" s="2730"/>
      <c r="BRH1688" s="2730"/>
      <c r="BRI1688" s="2730"/>
      <c r="BRJ1688" s="2730"/>
      <c r="BRK1688" s="2730"/>
      <c r="BRL1688" s="2730"/>
      <c r="BRM1688" s="2730"/>
      <c r="BRN1688" s="2730"/>
      <c r="BRO1688" s="2730"/>
      <c r="BRP1688" s="2730"/>
      <c r="BRQ1688" s="2730"/>
      <c r="BRR1688" s="2730"/>
      <c r="BRS1688" s="2730"/>
      <c r="BRT1688" s="2730"/>
      <c r="BRU1688" s="2730"/>
      <c r="BRV1688" s="2730"/>
      <c r="BRW1688" s="2730"/>
      <c r="BRX1688" s="2730"/>
      <c r="BRY1688" s="2730"/>
      <c r="BRZ1688" s="2730"/>
      <c r="BSA1688" s="2730"/>
      <c r="BSB1688" s="2730"/>
      <c r="BSC1688" s="2730"/>
      <c r="BSD1688" s="2730"/>
      <c r="BSE1688" s="2730"/>
      <c r="BSF1688" s="2730"/>
      <c r="BSG1688" s="2730"/>
      <c r="BSH1688" s="2730"/>
      <c r="BSI1688" s="2730"/>
      <c r="BSJ1688" s="2730"/>
      <c r="BSK1688" s="2730"/>
      <c r="BSL1688" s="2730"/>
      <c r="BSM1688" s="2730"/>
      <c r="BSN1688" s="2730"/>
      <c r="BSO1688" s="2730"/>
      <c r="BSP1688" s="2730"/>
      <c r="BSQ1688" s="2730"/>
      <c r="BSR1688" s="2730"/>
      <c r="BSS1688" s="2730"/>
      <c r="BST1688" s="2730"/>
      <c r="BSU1688" s="2730"/>
      <c r="BSV1688" s="2730"/>
      <c r="BSW1688" s="2730"/>
      <c r="BSX1688" s="2730"/>
      <c r="BSY1688" s="2730"/>
      <c r="BSZ1688" s="2730"/>
      <c r="BTA1688" s="2730"/>
      <c r="BTB1688" s="2730"/>
      <c r="BTC1688" s="2730"/>
      <c r="BTD1688" s="2730"/>
      <c r="BTE1688" s="2730"/>
      <c r="BTF1688" s="2730"/>
      <c r="BTG1688" s="2730"/>
      <c r="BTH1688" s="2730"/>
      <c r="BTI1688" s="2730"/>
      <c r="BTJ1688" s="2730"/>
      <c r="BTK1688" s="2730"/>
      <c r="BTL1688" s="2730"/>
      <c r="BTM1688" s="2730"/>
      <c r="BTN1688" s="2730"/>
      <c r="BTO1688" s="2730"/>
      <c r="BTP1688" s="2730"/>
      <c r="BTQ1688" s="2730"/>
      <c r="BTR1688" s="2730"/>
      <c r="BTS1688" s="2730"/>
      <c r="BTT1688" s="2730"/>
      <c r="BTU1688" s="2730"/>
      <c r="BTV1688" s="2730"/>
      <c r="BTW1688" s="2730"/>
      <c r="BTX1688" s="2730"/>
      <c r="BTY1688" s="2730"/>
      <c r="BTZ1688" s="2730"/>
      <c r="BUA1688" s="2730"/>
      <c r="BUB1688" s="2730"/>
      <c r="BUC1688" s="2730"/>
      <c r="BUD1688" s="2730"/>
      <c r="BUE1688" s="2730"/>
      <c r="BUF1688" s="2730"/>
      <c r="BUG1688" s="2730"/>
      <c r="BUH1688" s="2730"/>
      <c r="BUI1688" s="2730"/>
      <c r="BUJ1688" s="2730"/>
      <c r="BUK1688" s="2730"/>
      <c r="BUL1688" s="2730"/>
      <c r="BUM1688" s="2730"/>
      <c r="BUN1688" s="2730"/>
      <c r="BUO1688" s="2730"/>
      <c r="BUP1688" s="2730"/>
      <c r="BUQ1688" s="2730"/>
      <c r="BUR1688" s="2730"/>
      <c r="BUS1688" s="2730"/>
      <c r="BUT1688" s="2730"/>
      <c r="BUU1688" s="2730"/>
      <c r="BUV1688" s="2730"/>
      <c r="BUW1688" s="2730"/>
      <c r="BUX1688" s="2730"/>
      <c r="BUY1688" s="2730"/>
      <c r="BUZ1688" s="2730"/>
      <c r="BVA1688" s="2730"/>
      <c r="BVB1688" s="2730"/>
      <c r="BVC1688" s="2730"/>
      <c r="BVD1688" s="2730"/>
      <c r="BVE1688" s="2730"/>
      <c r="BVF1688" s="2730"/>
      <c r="BVG1688" s="2730"/>
      <c r="BVH1688" s="2730"/>
      <c r="BVI1688" s="2730"/>
      <c r="BVJ1688" s="2730"/>
      <c r="BVK1688" s="2730"/>
      <c r="BVL1688" s="2730"/>
      <c r="BVM1688" s="2730"/>
      <c r="BVN1688" s="2730"/>
      <c r="BVO1688" s="2730"/>
      <c r="BVP1688" s="2730"/>
      <c r="BVQ1688" s="2730"/>
      <c r="BVR1688" s="2730"/>
      <c r="BVS1688" s="2730"/>
      <c r="BVT1688" s="2730"/>
      <c r="BVU1688" s="2730"/>
      <c r="BVV1688" s="2730"/>
      <c r="BVW1688" s="2730"/>
      <c r="BVX1688" s="2730"/>
      <c r="BVY1688" s="2730"/>
      <c r="BVZ1688" s="2730"/>
      <c r="BWA1688" s="2730"/>
      <c r="BWB1688" s="2730"/>
      <c r="BWC1688" s="2730"/>
      <c r="BWD1688" s="2730"/>
      <c r="BWE1688" s="2730"/>
      <c r="BWF1688" s="2730"/>
      <c r="BWG1688" s="2730"/>
      <c r="BWH1688" s="2730"/>
      <c r="BWI1688" s="2730"/>
      <c r="BWJ1688" s="2730"/>
      <c r="BWK1688" s="2730"/>
      <c r="BWL1688" s="2730"/>
      <c r="BWM1688" s="2730"/>
      <c r="BWN1688" s="2730"/>
      <c r="BWO1688" s="2730"/>
      <c r="BWP1688" s="2730"/>
      <c r="BWQ1688" s="2730"/>
      <c r="BWR1688" s="2730"/>
      <c r="BWS1688" s="2730"/>
      <c r="BWT1688" s="2730"/>
      <c r="BWU1688" s="2730"/>
      <c r="BWV1688" s="2730"/>
      <c r="BWW1688" s="2730"/>
      <c r="BWX1688" s="2730"/>
      <c r="BWY1688" s="2730"/>
      <c r="BWZ1688" s="2730"/>
      <c r="BXA1688" s="2730"/>
      <c r="BXB1688" s="2730"/>
      <c r="BXC1688" s="2730"/>
      <c r="BXD1688" s="2730"/>
      <c r="BXE1688" s="2730"/>
      <c r="BXF1688" s="2730"/>
      <c r="BXG1688" s="2730"/>
      <c r="BXH1688" s="2730"/>
      <c r="BXI1688" s="2730"/>
      <c r="BXJ1688" s="2730"/>
      <c r="BXK1688" s="2730"/>
      <c r="BXL1688" s="2730"/>
      <c r="BXM1688" s="2730"/>
      <c r="BXN1688" s="2730"/>
      <c r="BXO1688" s="2730"/>
      <c r="BXP1688" s="2730"/>
      <c r="BXQ1688" s="2730"/>
      <c r="BXR1688" s="2730"/>
      <c r="BXS1688" s="2730"/>
      <c r="BXT1688" s="2730"/>
      <c r="BXU1688" s="2730"/>
      <c r="BXV1688" s="2730"/>
      <c r="BXW1688" s="2730"/>
      <c r="BXX1688" s="2730"/>
      <c r="BXY1688" s="2730"/>
      <c r="BXZ1688" s="2730"/>
      <c r="BYA1688" s="2730"/>
      <c r="BYB1688" s="2730"/>
      <c r="BYC1688" s="2730"/>
      <c r="BYD1688" s="2730"/>
      <c r="BYE1688" s="2730"/>
      <c r="BYF1688" s="2730"/>
      <c r="BYG1688" s="2730"/>
      <c r="BYH1688" s="2730"/>
      <c r="BYI1688" s="2730"/>
      <c r="BYJ1688" s="2730"/>
      <c r="BYK1688" s="2730"/>
      <c r="BYL1688" s="2730"/>
      <c r="BYM1688" s="2730"/>
      <c r="BYN1688" s="2730"/>
      <c r="BYO1688" s="2730"/>
      <c r="BYP1688" s="2730"/>
      <c r="BYQ1688" s="2730"/>
      <c r="BYR1688" s="2730"/>
      <c r="BYS1688" s="2730"/>
      <c r="BYT1688" s="2730"/>
      <c r="BYU1688" s="2730"/>
      <c r="BYV1688" s="2730"/>
      <c r="BYW1688" s="2730"/>
      <c r="BYX1688" s="2730"/>
      <c r="BYY1688" s="2730"/>
      <c r="BYZ1688" s="2730"/>
      <c r="BZA1688" s="2730"/>
      <c r="BZB1688" s="2730"/>
      <c r="BZC1688" s="2730"/>
      <c r="BZD1688" s="2730"/>
      <c r="BZE1688" s="2730"/>
      <c r="BZF1688" s="2730"/>
      <c r="BZG1688" s="2730"/>
      <c r="BZH1688" s="2730"/>
      <c r="BZI1688" s="2730"/>
      <c r="BZJ1688" s="2730"/>
      <c r="BZK1688" s="2730"/>
      <c r="BZL1688" s="2730"/>
      <c r="BZM1688" s="2730"/>
      <c r="BZN1688" s="2730"/>
      <c r="BZO1688" s="2730"/>
      <c r="BZP1688" s="2730"/>
      <c r="BZQ1688" s="2730"/>
      <c r="BZR1688" s="2730"/>
      <c r="BZS1688" s="2730"/>
      <c r="BZT1688" s="2730"/>
      <c r="BZU1688" s="2730"/>
      <c r="BZV1688" s="2730"/>
      <c r="BZW1688" s="2730"/>
      <c r="BZX1688" s="2730"/>
      <c r="BZY1688" s="2730"/>
      <c r="BZZ1688" s="2730"/>
      <c r="CAA1688" s="2730"/>
      <c r="CAB1688" s="2730"/>
      <c r="CAC1688" s="2730"/>
      <c r="CAD1688" s="2730"/>
      <c r="CAE1688" s="2730"/>
      <c r="CAF1688" s="2730"/>
      <c r="CAG1688" s="2730"/>
      <c r="CAH1688" s="2730"/>
      <c r="CAI1688" s="2730"/>
      <c r="CAJ1688" s="2730"/>
      <c r="CAK1688" s="2730"/>
      <c r="CAL1688" s="2730"/>
      <c r="CAM1688" s="2730"/>
      <c r="CAN1688" s="2730"/>
      <c r="CAO1688" s="2730"/>
      <c r="CAP1688" s="2730"/>
      <c r="CAQ1688" s="2730"/>
      <c r="CAR1688" s="2730"/>
      <c r="CAS1688" s="2730"/>
      <c r="CAT1688" s="2730"/>
      <c r="CAU1688" s="2730"/>
      <c r="CAV1688" s="2730"/>
      <c r="CAW1688" s="2730"/>
      <c r="CAX1688" s="2730"/>
      <c r="CAY1688" s="2730"/>
      <c r="CAZ1688" s="2730"/>
      <c r="CBA1688" s="2730"/>
      <c r="CBB1688" s="2730"/>
      <c r="CBC1688" s="2730"/>
      <c r="CBD1688" s="2730"/>
      <c r="CBE1688" s="2730"/>
      <c r="CBF1688" s="2730"/>
      <c r="CBG1688" s="2730"/>
      <c r="CBH1688" s="2730"/>
      <c r="CBI1688" s="2730"/>
      <c r="CBJ1688" s="2730"/>
      <c r="CBK1688" s="2730"/>
      <c r="CBL1688" s="2730"/>
      <c r="CBM1688" s="2730"/>
      <c r="CBN1688" s="2730"/>
      <c r="CBO1688" s="2730"/>
      <c r="CBP1688" s="2730"/>
      <c r="CBQ1688" s="2730"/>
      <c r="CBR1688" s="2730"/>
      <c r="CBS1688" s="2730"/>
      <c r="CBT1688" s="2730"/>
      <c r="CBU1688" s="2730"/>
      <c r="CBV1688" s="2730"/>
      <c r="CBW1688" s="2730"/>
      <c r="CBX1688" s="2730"/>
      <c r="CBY1688" s="2730"/>
      <c r="CBZ1688" s="2730"/>
      <c r="CCA1688" s="2730"/>
      <c r="CCB1688" s="2730"/>
      <c r="CCC1688" s="2730"/>
      <c r="CCD1688" s="2730"/>
      <c r="CCE1688" s="2730"/>
      <c r="CCF1688" s="2730"/>
      <c r="CCG1688" s="2730"/>
      <c r="CCH1688" s="2730"/>
      <c r="CCI1688" s="2730"/>
      <c r="CCJ1688" s="2730"/>
      <c r="CCK1688" s="2730"/>
      <c r="CCL1688" s="2730"/>
      <c r="CCM1688" s="2730"/>
      <c r="CCN1688" s="2730"/>
      <c r="CCO1688" s="2730"/>
      <c r="CCP1688" s="2730"/>
      <c r="CCQ1688" s="2730"/>
      <c r="CCR1688" s="2730"/>
      <c r="CCS1688" s="2730"/>
      <c r="CCT1688" s="2730"/>
      <c r="CCU1688" s="2730"/>
      <c r="CCV1688" s="2730"/>
      <c r="CCW1688" s="2730"/>
      <c r="CCX1688" s="2730"/>
      <c r="CCY1688" s="2730"/>
      <c r="CCZ1688" s="2730"/>
      <c r="CDA1688" s="2730"/>
      <c r="CDB1688" s="2730"/>
      <c r="CDC1688" s="2730"/>
      <c r="CDD1688" s="2730"/>
      <c r="CDE1688" s="2730"/>
      <c r="CDF1688" s="2730"/>
      <c r="CDG1688" s="2730"/>
      <c r="CDH1688" s="2730"/>
      <c r="CDI1688" s="2730"/>
      <c r="CDJ1688" s="2730"/>
      <c r="CDK1688" s="2730"/>
      <c r="CDL1688" s="2730"/>
      <c r="CDM1688" s="2730"/>
      <c r="CDN1688" s="2730"/>
      <c r="CDO1688" s="2730"/>
      <c r="CDP1688" s="2730"/>
      <c r="CDQ1688" s="2730"/>
      <c r="CDR1688" s="2730"/>
      <c r="CDS1688" s="2730"/>
      <c r="CDT1688" s="2730"/>
      <c r="CDU1688" s="2730"/>
      <c r="CDV1688" s="2730"/>
      <c r="CDW1688" s="2730"/>
      <c r="CDX1688" s="2730"/>
      <c r="CDY1688" s="2730"/>
      <c r="CDZ1688" s="2730"/>
      <c r="CEA1688" s="2730"/>
      <c r="CEB1688" s="2730"/>
      <c r="CEC1688" s="2730"/>
      <c r="CED1688" s="2730"/>
      <c r="CEE1688" s="2730"/>
      <c r="CEF1688" s="2730"/>
      <c r="CEG1688" s="2730"/>
      <c r="CEH1688" s="2730"/>
      <c r="CEI1688" s="2730"/>
      <c r="CEJ1688" s="2730"/>
      <c r="CEK1688" s="2730"/>
      <c r="CEL1688" s="2730"/>
      <c r="CEM1688" s="2730"/>
      <c r="CEN1688" s="2730"/>
      <c r="CEO1688" s="2730"/>
      <c r="CEP1688" s="2730"/>
      <c r="CEQ1688" s="2730"/>
      <c r="CER1688" s="2730"/>
      <c r="CES1688" s="2730"/>
      <c r="CET1688" s="2730"/>
      <c r="CEU1688" s="2730"/>
      <c r="CEV1688" s="2730"/>
      <c r="CEW1688" s="2730"/>
      <c r="CEX1688" s="2730"/>
      <c r="CEY1688" s="2730"/>
      <c r="CEZ1688" s="2730"/>
      <c r="CFA1688" s="2730"/>
      <c r="CFB1688" s="2730"/>
      <c r="CFC1688" s="2730"/>
      <c r="CFD1688" s="2730"/>
      <c r="CFE1688" s="2730"/>
      <c r="CFF1688" s="2730"/>
      <c r="CFG1688" s="2730"/>
      <c r="CFH1688" s="2730"/>
      <c r="CFI1688" s="2730"/>
      <c r="CFJ1688" s="2730"/>
      <c r="CFK1688" s="2730"/>
      <c r="CFL1688" s="2730"/>
      <c r="CFM1688" s="2730"/>
      <c r="CFN1688" s="2730"/>
      <c r="CFO1688" s="2730"/>
      <c r="CFP1688" s="2730"/>
      <c r="CFQ1688" s="2730"/>
      <c r="CFR1688" s="2730"/>
      <c r="CFS1688" s="2730"/>
      <c r="CFT1688" s="2730"/>
      <c r="CFU1688" s="2730"/>
      <c r="CFV1688" s="2730"/>
      <c r="CFW1688" s="2730"/>
      <c r="CFX1688" s="2730"/>
      <c r="CFY1688" s="2730"/>
      <c r="CFZ1688" s="2730"/>
      <c r="CGA1688" s="2730"/>
      <c r="CGB1688" s="2730"/>
      <c r="CGC1688" s="2730"/>
      <c r="CGD1688" s="2730"/>
      <c r="CGE1688" s="2730"/>
      <c r="CGF1688" s="2730"/>
      <c r="CGG1688" s="2730"/>
      <c r="CGH1688" s="2730"/>
      <c r="CGI1688" s="2730"/>
      <c r="CGJ1688" s="2730"/>
      <c r="CGK1688" s="2730"/>
      <c r="CGL1688" s="2730"/>
      <c r="CGM1688" s="2730"/>
      <c r="CGN1688" s="2730"/>
      <c r="CGO1688" s="2730"/>
      <c r="CGP1688" s="2730"/>
      <c r="CGQ1688" s="2730"/>
      <c r="CGR1688" s="2730"/>
      <c r="CGS1688" s="2730"/>
      <c r="CGT1688" s="2730"/>
      <c r="CGU1688" s="2730"/>
      <c r="CGV1688" s="2730"/>
      <c r="CGW1688" s="2730"/>
      <c r="CGX1688" s="2730"/>
      <c r="CGY1688" s="2730"/>
      <c r="CGZ1688" s="2730"/>
      <c r="CHA1688" s="2730"/>
      <c r="CHB1688" s="2730"/>
      <c r="CHC1688" s="2730"/>
      <c r="CHD1688" s="2730"/>
      <c r="CHE1688" s="2730"/>
      <c r="CHF1688" s="2730"/>
      <c r="CHG1688" s="2730"/>
      <c r="CHH1688" s="2730"/>
      <c r="CHI1688" s="2730"/>
      <c r="CHJ1688" s="2730"/>
      <c r="CHK1688" s="2730"/>
      <c r="CHL1688" s="2730"/>
      <c r="CHM1688" s="2730"/>
      <c r="CHN1688" s="2730"/>
      <c r="CHO1688" s="2730"/>
      <c r="CHP1688" s="2730"/>
      <c r="CHQ1688" s="2730"/>
      <c r="CHR1688" s="2730"/>
      <c r="CHS1688" s="2730"/>
      <c r="CHT1688" s="2730"/>
      <c r="CHU1688" s="2730"/>
      <c r="CHV1688" s="2730"/>
      <c r="CHW1688" s="2730"/>
      <c r="CHX1688" s="2730"/>
      <c r="CHY1688" s="2730"/>
      <c r="CHZ1688" s="2730"/>
      <c r="CIA1688" s="2730"/>
      <c r="CIB1688" s="2730"/>
      <c r="CIC1688" s="2730"/>
      <c r="CID1688" s="2730"/>
      <c r="CIE1688" s="2730"/>
      <c r="CIF1688" s="2730"/>
      <c r="CIG1688" s="2730"/>
      <c r="CIH1688" s="2730"/>
      <c r="CII1688" s="2730"/>
      <c r="CIJ1688" s="2730"/>
      <c r="CIK1688" s="2730"/>
      <c r="CIL1688" s="2730"/>
      <c r="CIM1688" s="2730"/>
      <c r="CIN1688" s="2730"/>
      <c r="CIO1688" s="2730"/>
      <c r="CIP1688" s="2730"/>
      <c r="CIQ1688" s="2730"/>
      <c r="CIR1688" s="2730"/>
      <c r="CIS1688" s="2730"/>
      <c r="CIT1688" s="2730"/>
      <c r="CIU1688" s="2730"/>
      <c r="CIV1688" s="2730"/>
      <c r="CIW1688" s="2730"/>
      <c r="CIX1688" s="2730"/>
      <c r="CIY1688" s="2730"/>
      <c r="CIZ1688" s="2730"/>
      <c r="CJA1688" s="2730"/>
      <c r="CJB1688" s="2730"/>
      <c r="CJC1688" s="2730"/>
      <c r="CJD1688" s="2730"/>
      <c r="CJE1688" s="2730"/>
      <c r="CJF1688" s="2730"/>
      <c r="CJG1688" s="2730"/>
      <c r="CJH1688" s="2730"/>
      <c r="CJI1688" s="2730"/>
      <c r="CJJ1688" s="2730"/>
      <c r="CJK1688" s="2730"/>
      <c r="CJL1688" s="2730"/>
      <c r="CJM1688" s="2730"/>
      <c r="CJN1688" s="2730"/>
      <c r="CJO1688" s="2730"/>
      <c r="CJP1688" s="2730"/>
      <c r="CJQ1688" s="2730"/>
      <c r="CJR1688" s="2730"/>
      <c r="CJS1688" s="2730"/>
      <c r="CJT1688" s="2730"/>
      <c r="CJU1688" s="2730"/>
      <c r="CJV1688" s="2730"/>
      <c r="CJW1688" s="2730"/>
      <c r="CJX1688" s="2730"/>
      <c r="CJY1688" s="2730"/>
      <c r="CJZ1688" s="2730"/>
      <c r="CKA1688" s="2730"/>
      <c r="CKB1688" s="2730"/>
      <c r="CKC1688" s="2730"/>
      <c r="CKD1688" s="2730"/>
      <c r="CKE1688" s="2730"/>
      <c r="CKF1688" s="2730"/>
      <c r="CKG1688" s="2730"/>
      <c r="CKH1688" s="2730"/>
      <c r="CKI1688" s="2730"/>
      <c r="CKJ1688" s="2730"/>
      <c r="CKK1688" s="2730"/>
      <c r="CKL1688" s="2730"/>
      <c r="CKM1688" s="2730"/>
      <c r="CKN1688" s="2730"/>
      <c r="CKO1688" s="2730"/>
      <c r="CKP1688" s="2730"/>
      <c r="CKQ1688" s="2730"/>
      <c r="CKR1688" s="2730"/>
      <c r="CKS1688" s="2730"/>
      <c r="CKT1688" s="2730"/>
      <c r="CKU1688" s="2730"/>
      <c r="CKV1688" s="2730"/>
      <c r="CKW1688" s="2730"/>
      <c r="CKX1688" s="2730"/>
      <c r="CKY1688" s="2730"/>
      <c r="CKZ1688" s="2730"/>
      <c r="CLA1688" s="2730"/>
      <c r="CLB1688" s="2730"/>
      <c r="CLC1688" s="2730"/>
      <c r="CLD1688" s="2730"/>
      <c r="CLE1688" s="2730"/>
      <c r="CLF1688" s="2730"/>
      <c r="CLG1688" s="2730"/>
      <c r="CLH1688" s="2730"/>
      <c r="CLI1688" s="2730"/>
      <c r="CLJ1688" s="2730"/>
      <c r="CLK1688" s="2730"/>
      <c r="CLL1688" s="2730"/>
      <c r="CLM1688" s="2730"/>
      <c r="CLN1688" s="2730"/>
      <c r="CLO1688" s="2730"/>
      <c r="CLP1688" s="2730"/>
      <c r="CLQ1688" s="2730"/>
      <c r="CLR1688" s="2730"/>
      <c r="CLS1688" s="2730"/>
      <c r="CLT1688" s="2730"/>
      <c r="CLU1688" s="2730"/>
      <c r="CLV1688" s="2730"/>
      <c r="CLW1688" s="2730"/>
      <c r="CLX1688" s="2730"/>
      <c r="CLY1688" s="2730"/>
      <c r="CLZ1688" s="2730"/>
      <c r="CMA1688" s="2730"/>
      <c r="CMB1688" s="2730"/>
      <c r="CMC1688" s="2730"/>
      <c r="CMD1688" s="2730"/>
      <c r="CME1688" s="2730"/>
      <c r="CMF1688" s="2730"/>
      <c r="CMG1688" s="2730"/>
      <c r="CMH1688" s="2730"/>
      <c r="CMI1688" s="2730"/>
      <c r="CMJ1688" s="2730"/>
      <c r="CMK1688" s="2730"/>
      <c r="CML1688" s="2730"/>
      <c r="CMM1688" s="2730"/>
      <c r="CMN1688" s="2730"/>
      <c r="CMO1688" s="2730"/>
      <c r="CMP1688" s="2730"/>
      <c r="CMQ1688" s="2730"/>
      <c r="CMR1688" s="2730"/>
      <c r="CMS1688" s="2730"/>
      <c r="CMT1688" s="2730"/>
      <c r="CMU1688" s="2730"/>
      <c r="CMV1688" s="2730"/>
      <c r="CMW1688" s="2730"/>
      <c r="CMX1688" s="2730"/>
      <c r="CMY1688" s="2730"/>
      <c r="CMZ1688" s="2730"/>
      <c r="CNA1688" s="2730"/>
      <c r="CNB1688" s="2730"/>
      <c r="CNC1688" s="2730"/>
      <c r="CND1688" s="2730"/>
      <c r="CNE1688" s="2730"/>
      <c r="CNF1688" s="2730"/>
      <c r="CNG1688" s="2730"/>
      <c r="CNH1688" s="2730"/>
      <c r="CNI1688" s="2730"/>
      <c r="CNJ1688" s="2730"/>
      <c r="CNK1688" s="2730"/>
      <c r="CNL1688" s="2730"/>
      <c r="CNM1688" s="2730"/>
      <c r="CNN1688" s="2730"/>
      <c r="CNO1688" s="2730"/>
      <c r="CNP1688" s="2730"/>
      <c r="CNQ1688" s="2730"/>
      <c r="CNR1688" s="2730"/>
      <c r="CNS1688" s="2730"/>
      <c r="CNT1688" s="2730"/>
      <c r="CNU1688" s="2730"/>
      <c r="CNV1688" s="2730"/>
      <c r="CNW1688" s="2730"/>
      <c r="CNX1688" s="2730"/>
      <c r="CNY1688" s="2730"/>
      <c r="CNZ1688" s="2730"/>
      <c r="COA1688" s="2730"/>
      <c r="COB1688" s="2730"/>
      <c r="COC1688" s="2730"/>
      <c r="COD1688" s="2730"/>
      <c r="COE1688" s="2730"/>
      <c r="COF1688" s="2730"/>
      <c r="COG1688" s="2730"/>
      <c r="COH1688" s="2730"/>
      <c r="COI1688" s="2730"/>
      <c r="COJ1688" s="2730"/>
      <c r="COK1688" s="2730"/>
      <c r="COL1688" s="2730"/>
      <c r="COM1688" s="2730"/>
      <c r="CON1688" s="2730"/>
      <c r="COO1688" s="2730"/>
      <c r="COP1688" s="2730"/>
      <c r="COQ1688" s="2730"/>
      <c r="COR1688" s="2730"/>
      <c r="COS1688" s="2730"/>
      <c r="COT1688" s="2730"/>
      <c r="COU1688" s="2730"/>
      <c r="COV1688" s="2730"/>
      <c r="COW1688" s="2730"/>
      <c r="COX1688" s="2730"/>
      <c r="COY1688" s="2730"/>
      <c r="COZ1688" s="2730"/>
      <c r="CPA1688" s="2730"/>
      <c r="CPB1688" s="2730"/>
      <c r="CPC1688" s="2730"/>
      <c r="CPD1688" s="2730"/>
      <c r="CPE1688" s="2730"/>
      <c r="CPF1688" s="2730"/>
      <c r="CPG1688" s="2730"/>
      <c r="CPH1688" s="2730"/>
      <c r="CPI1688" s="2730"/>
      <c r="CPJ1688" s="2730"/>
      <c r="CPK1688" s="2730"/>
      <c r="CPL1688" s="2730"/>
      <c r="CPM1688" s="2730"/>
      <c r="CPN1688" s="2730"/>
      <c r="CPO1688" s="2730"/>
      <c r="CPP1688" s="2730"/>
      <c r="CPQ1688" s="2730"/>
      <c r="CPR1688" s="2730"/>
      <c r="CPS1688" s="2730"/>
      <c r="CPT1688" s="2730"/>
      <c r="CPU1688" s="2730"/>
      <c r="CPV1688" s="2730"/>
      <c r="CPW1688" s="2730"/>
      <c r="CPX1688" s="2730"/>
      <c r="CPY1688" s="2730"/>
      <c r="CPZ1688" s="2730"/>
      <c r="CQA1688" s="2730"/>
      <c r="CQB1688" s="2730"/>
      <c r="CQC1688" s="2730"/>
      <c r="CQD1688" s="2730"/>
      <c r="CQE1688" s="2730"/>
      <c r="CQF1688" s="2730"/>
      <c r="CQG1688" s="2730"/>
      <c r="CQH1688" s="2730"/>
      <c r="CQI1688" s="2730"/>
      <c r="CQJ1688" s="2730"/>
      <c r="CQK1688" s="2730"/>
      <c r="CQL1688" s="2730"/>
      <c r="CQM1688" s="2730"/>
      <c r="CQN1688" s="2730"/>
      <c r="CQO1688" s="2730"/>
      <c r="CQP1688" s="2730"/>
      <c r="CQQ1688" s="2730"/>
      <c r="CQR1688" s="2730"/>
      <c r="CQS1688" s="2730"/>
      <c r="CQT1688" s="2730"/>
      <c r="CQU1688" s="2730"/>
      <c r="CQV1688" s="2730"/>
      <c r="CQW1688" s="2730"/>
      <c r="CQX1688" s="2730"/>
      <c r="CQY1688" s="2730"/>
      <c r="CQZ1688" s="2730"/>
      <c r="CRA1688" s="2730"/>
      <c r="CRB1688" s="2730"/>
      <c r="CRC1688" s="2730"/>
      <c r="CRD1688" s="2730"/>
      <c r="CRE1688" s="2730"/>
      <c r="CRF1688" s="2730"/>
      <c r="CRG1688" s="2730"/>
      <c r="CRH1688" s="2730"/>
      <c r="CRI1688" s="2730"/>
      <c r="CRJ1688" s="2730"/>
      <c r="CRK1688" s="2730"/>
      <c r="CRL1688" s="2730"/>
      <c r="CRM1688" s="2730"/>
      <c r="CRN1688" s="2730"/>
      <c r="CRO1688" s="2730"/>
      <c r="CRP1688" s="2730"/>
      <c r="CRQ1688" s="2730"/>
      <c r="CRR1688" s="2730"/>
      <c r="CRS1688" s="2730"/>
      <c r="CRT1688" s="2730"/>
      <c r="CRU1688" s="2730"/>
      <c r="CRV1688" s="2730"/>
      <c r="CRW1688" s="2730"/>
      <c r="CRX1688" s="2730"/>
      <c r="CRY1688" s="2730"/>
      <c r="CRZ1688" s="2730"/>
      <c r="CSA1688" s="2730"/>
      <c r="CSB1688" s="2730"/>
      <c r="CSC1688" s="2730"/>
      <c r="CSD1688" s="2730"/>
      <c r="CSE1688" s="2730"/>
      <c r="CSF1688" s="2730"/>
      <c r="CSG1688" s="2730"/>
      <c r="CSH1688" s="2730"/>
      <c r="CSI1688" s="2730"/>
      <c r="CSJ1688" s="2730"/>
      <c r="CSK1688" s="2730"/>
      <c r="CSL1688" s="2730"/>
      <c r="CSM1688" s="2730"/>
      <c r="CSN1688" s="2730"/>
      <c r="CSO1688" s="2730"/>
      <c r="CSP1688" s="2730"/>
      <c r="CSQ1688" s="2730"/>
      <c r="CSR1688" s="2730"/>
      <c r="CSS1688" s="2730"/>
      <c r="CST1688" s="2730"/>
      <c r="CSU1688" s="2730"/>
      <c r="CSV1688" s="2730"/>
      <c r="CSW1688" s="2730"/>
      <c r="CSX1688" s="2730"/>
      <c r="CSY1688" s="2730"/>
      <c r="CSZ1688" s="2730"/>
      <c r="CTA1688" s="2730"/>
      <c r="CTB1688" s="2730"/>
      <c r="CTC1688" s="2730"/>
      <c r="CTD1688" s="2730"/>
      <c r="CTE1688" s="2730"/>
      <c r="CTF1688" s="2730"/>
      <c r="CTG1688" s="2730"/>
      <c r="CTH1688" s="2730"/>
      <c r="CTI1688" s="2730"/>
      <c r="CTJ1688" s="2730"/>
      <c r="CTK1688" s="2730"/>
      <c r="CTL1688" s="2730"/>
      <c r="CTM1688" s="2730"/>
      <c r="CTN1688" s="2730"/>
      <c r="CTO1688" s="2730"/>
      <c r="CTP1688" s="2730"/>
      <c r="CTQ1688" s="2730"/>
      <c r="CTR1688" s="2730"/>
      <c r="CTS1688" s="2730"/>
      <c r="CTT1688" s="2730"/>
      <c r="CTU1688" s="2730"/>
      <c r="CTV1688" s="2730"/>
      <c r="CTW1688" s="2730"/>
      <c r="CTX1688" s="2730"/>
      <c r="CTY1688" s="2730"/>
      <c r="CTZ1688" s="2730"/>
      <c r="CUA1688" s="2730"/>
      <c r="CUB1688" s="2730"/>
      <c r="CUC1688" s="2730"/>
      <c r="CUD1688" s="2730"/>
      <c r="CUE1688" s="2730"/>
      <c r="CUF1688" s="2730"/>
      <c r="CUG1688" s="2730"/>
      <c r="CUH1688" s="2730"/>
      <c r="CUI1688" s="2730"/>
      <c r="CUJ1688" s="2730"/>
      <c r="CUK1688" s="2730"/>
      <c r="CUL1688" s="2730"/>
      <c r="CUM1688" s="2730"/>
      <c r="CUN1688" s="2730"/>
      <c r="CUO1688" s="2730"/>
      <c r="CUP1688" s="2730"/>
      <c r="CUQ1688" s="2730"/>
      <c r="CUR1688" s="2730"/>
      <c r="CUS1688" s="2730"/>
      <c r="CUT1688" s="2730"/>
      <c r="CUU1688" s="2730"/>
      <c r="CUV1688" s="2730"/>
      <c r="CUW1688" s="2730"/>
      <c r="CUX1688" s="2730"/>
      <c r="CUY1688" s="2730"/>
      <c r="CUZ1688" s="2730"/>
      <c r="CVA1688" s="2730"/>
      <c r="CVB1688" s="2730"/>
      <c r="CVC1688" s="2730"/>
      <c r="CVD1688" s="2730"/>
      <c r="CVE1688" s="2730"/>
      <c r="CVF1688" s="2730"/>
      <c r="CVG1688" s="2730"/>
      <c r="CVH1688" s="2730"/>
      <c r="CVI1688" s="2730"/>
      <c r="CVJ1688" s="2730"/>
      <c r="CVK1688" s="2730"/>
      <c r="CVL1688" s="2730"/>
      <c r="CVM1688" s="2730"/>
      <c r="CVN1688" s="2730"/>
      <c r="CVO1688" s="2730"/>
      <c r="CVP1688" s="2730"/>
      <c r="CVQ1688" s="2730"/>
      <c r="CVR1688" s="2730"/>
      <c r="CVS1688" s="2730"/>
      <c r="CVT1688" s="2730"/>
      <c r="CVU1688" s="2730"/>
      <c r="CVV1688" s="2730"/>
      <c r="CVW1688" s="2730"/>
      <c r="CVX1688" s="2730"/>
      <c r="CVY1688" s="2730"/>
      <c r="CVZ1688" s="2730"/>
      <c r="CWA1688" s="2730"/>
      <c r="CWB1688" s="2730"/>
      <c r="CWC1688" s="2730"/>
      <c r="CWD1688" s="2730"/>
      <c r="CWE1688" s="2730"/>
      <c r="CWF1688" s="2730"/>
      <c r="CWG1688" s="2730"/>
      <c r="CWH1688" s="2730"/>
      <c r="CWI1688" s="2730"/>
      <c r="CWJ1688" s="2730"/>
      <c r="CWK1688" s="2730"/>
      <c r="CWL1688" s="2730"/>
      <c r="CWM1688" s="2730"/>
      <c r="CWN1688" s="2730"/>
      <c r="CWO1688" s="2730"/>
      <c r="CWP1688" s="2730"/>
      <c r="CWQ1688" s="2730"/>
      <c r="CWR1688" s="2730"/>
      <c r="CWS1688" s="2730"/>
      <c r="CWT1688" s="2730"/>
      <c r="CWU1688" s="2730"/>
      <c r="CWV1688" s="2730"/>
      <c r="CWW1688" s="2730"/>
      <c r="CWX1688" s="2730"/>
      <c r="CWY1688" s="2730"/>
      <c r="CWZ1688" s="2730"/>
      <c r="CXA1688" s="2730"/>
      <c r="CXB1688" s="2730"/>
      <c r="CXC1688" s="2730"/>
      <c r="CXD1688" s="2730"/>
      <c r="CXE1688" s="2730"/>
      <c r="CXF1688" s="2730"/>
      <c r="CXG1688" s="2730"/>
      <c r="CXH1688" s="2730"/>
      <c r="CXI1688" s="2730"/>
      <c r="CXJ1688" s="2730"/>
      <c r="CXK1688" s="2730"/>
      <c r="CXL1688" s="2730"/>
      <c r="CXM1688" s="2730"/>
      <c r="CXN1688" s="2730"/>
      <c r="CXO1688" s="2730"/>
      <c r="CXP1688" s="2730"/>
      <c r="CXQ1688" s="2730"/>
      <c r="CXR1688" s="2730"/>
      <c r="CXS1688" s="2730"/>
      <c r="CXT1688" s="2730"/>
      <c r="CXU1688" s="2730"/>
      <c r="CXV1688" s="2730"/>
      <c r="CXW1688" s="2730"/>
      <c r="CXX1688" s="2730"/>
      <c r="CXY1688" s="2730"/>
      <c r="CXZ1688" s="2730"/>
      <c r="CYA1688" s="2730"/>
      <c r="CYB1688" s="2730"/>
      <c r="CYC1688" s="2730"/>
      <c r="CYD1688" s="2730"/>
      <c r="CYE1688" s="2730"/>
      <c r="CYF1688" s="2730"/>
      <c r="CYG1688" s="2730"/>
      <c r="CYH1688" s="2730"/>
      <c r="CYI1688" s="2730"/>
      <c r="CYJ1688" s="2730"/>
      <c r="CYK1688" s="2730"/>
      <c r="CYL1688" s="2730"/>
      <c r="CYM1688" s="2730"/>
      <c r="CYN1688" s="2730"/>
      <c r="CYO1688" s="2730"/>
      <c r="CYP1688" s="2730"/>
      <c r="CYQ1688" s="2730"/>
      <c r="CYR1688" s="2730"/>
      <c r="CYS1688" s="2730"/>
      <c r="CYT1688" s="2730"/>
      <c r="CYU1688" s="2730"/>
      <c r="CYV1688" s="2730"/>
      <c r="CYW1688" s="2730"/>
      <c r="CYX1688" s="2730"/>
      <c r="CYY1688" s="2730"/>
      <c r="CYZ1688" s="2730"/>
      <c r="CZA1688" s="2730"/>
      <c r="CZB1688" s="2730"/>
      <c r="CZC1688" s="2730"/>
      <c r="CZD1688" s="2730"/>
      <c r="CZE1688" s="2730"/>
      <c r="CZF1688" s="2730"/>
      <c r="CZG1688" s="2730"/>
      <c r="CZH1688" s="2730"/>
      <c r="CZI1688" s="2730"/>
      <c r="CZJ1688" s="2730"/>
      <c r="CZK1688" s="2730"/>
      <c r="CZL1688" s="2730"/>
      <c r="CZM1688" s="2730"/>
      <c r="CZN1688" s="2730"/>
      <c r="CZO1688" s="2730"/>
      <c r="CZP1688" s="2730"/>
      <c r="CZQ1688" s="2730"/>
      <c r="CZR1688" s="2730"/>
      <c r="CZS1688" s="2730"/>
      <c r="CZT1688" s="2730"/>
      <c r="CZU1688" s="2730"/>
      <c r="CZV1688" s="2730"/>
      <c r="CZW1688" s="2730"/>
      <c r="CZX1688" s="2730"/>
      <c r="CZY1688" s="2730"/>
      <c r="CZZ1688" s="2730"/>
      <c r="DAA1688" s="2730"/>
      <c r="DAB1688" s="2730"/>
      <c r="DAC1688" s="2730"/>
      <c r="DAD1688" s="2730"/>
      <c r="DAE1688" s="2730"/>
      <c r="DAF1688" s="2730"/>
      <c r="DAG1688" s="2730"/>
      <c r="DAH1688" s="2730"/>
      <c r="DAI1688" s="2730"/>
      <c r="DAJ1688" s="2730"/>
      <c r="DAK1688" s="2730"/>
      <c r="DAL1688" s="2730"/>
      <c r="DAM1688" s="2730"/>
      <c r="DAN1688" s="2730"/>
      <c r="DAO1688" s="2730"/>
      <c r="DAP1688" s="2730"/>
      <c r="DAQ1688" s="2730"/>
      <c r="DAR1688" s="2730"/>
      <c r="DAS1688" s="2730"/>
      <c r="DAT1688" s="2730"/>
      <c r="DAU1688" s="2730"/>
      <c r="DAV1688" s="2730"/>
      <c r="DAW1688" s="2730"/>
      <c r="DAX1688" s="2730"/>
      <c r="DAY1688" s="2730"/>
      <c r="DAZ1688" s="2730"/>
      <c r="DBA1688" s="2730"/>
      <c r="DBB1688" s="2730"/>
      <c r="DBC1688" s="2730"/>
      <c r="DBD1688" s="2730"/>
      <c r="DBE1688" s="2730"/>
      <c r="DBF1688" s="2730"/>
      <c r="DBG1688" s="2730"/>
      <c r="DBH1688" s="2730"/>
      <c r="DBI1688" s="2730"/>
      <c r="DBJ1688" s="2730"/>
      <c r="DBK1688" s="2730"/>
      <c r="DBL1688" s="2730"/>
      <c r="DBM1688" s="2730"/>
      <c r="DBN1688" s="2730"/>
      <c r="DBO1688" s="2730"/>
      <c r="DBP1688" s="2730"/>
      <c r="DBQ1688" s="2730"/>
      <c r="DBR1688" s="2730"/>
      <c r="DBS1688" s="2730"/>
      <c r="DBT1688" s="2730"/>
      <c r="DBU1688" s="2730"/>
      <c r="DBV1688" s="2730"/>
      <c r="DBW1688" s="2730"/>
      <c r="DBX1688" s="2730"/>
      <c r="DBY1688" s="2730"/>
      <c r="DBZ1688" s="2730"/>
      <c r="DCA1688" s="2730"/>
      <c r="DCB1688" s="2730"/>
      <c r="DCC1688" s="2730"/>
      <c r="DCD1688" s="2730"/>
      <c r="DCE1688" s="2730"/>
      <c r="DCF1688" s="2730"/>
      <c r="DCG1688" s="2730"/>
      <c r="DCH1688" s="2730"/>
      <c r="DCI1688" s="2730"/>
      <c r="DCJ1688" s="2730"/>
      <c r="DCK1688" s="2730"/>
      <c r="DCL1688" s="2730"/>
      <c r="DCM1688" s="2730"/>
      <c r="DCN1688" s="2730"/>
      <c r="DCO1688" s="2730"/>
      <c r="DCP1688" s="2730"/>
      <c r="DCQ1688" s="2730"/>
      <c r="DCR1688" s="2730"/>
      <c r="DCS1688" s="2730"/>
      <c r="DCT1688" s="2730"/>
      <c r="DCU1688" s="2730"/>
      <c r="DCV1688" s="2730"/>
      <c r="DCW1688" s="2730"/>
      <c r="DCX1688" s="2730"/>
      <c r="DCY1688" s="2730"/>
      <c r="DCZ1688" s="2730"/>
      <c r="DDA1688" s="2730"/>
      <c r="DDB1688" s="2730"/>
      <c r="DDC1688" s="2730"/>
      <c r="DDD1688" s="2730"/>
      <c r="DDE1688" s="2730"/>
      <c r="DDF1688" s="2730"/>
      <c r="DDG1688" s="2730"/>
      <c r="DDH1688" s="2730"/>
      <c r="DDI1688" s="2730"/>
      <c r="DDJ1688" s="2730"/>
      <c r="DDK1688" s="2730"/>
      <c r="DDL1688" s="2730"/>
      <c r="DDM1688" s="2730"/>
      <c r="DDN1688" s="2730"/>
      <c r="DDO1688" s="2730"/>
      <c r="DDP1688" s="2730"/>
      <c r="DDQ1688" s="2730"/>
      <c r="DDR1688" s="2730"/>
      <c r="DDS1688" s="2730"/>
      <c r="DDT1688" s="2730"/>
      <c r="DDU1688" s="2730"/>
      <c r="DDV1688" s="2730"/>
      <c r="DDW1688" s="2730"/>
      <c r="DDX1688" s="2730"/>
      <c r="DDY1688" s="2730"/>
      <c r="DDZ1688" s="2730"/>
      <c r="DEA1688" s="2730"/>
      <c r="DEB1688" s="2730"/>
      <c r="DEC1688" s="2730"/>
      <c r="DED1688" s="2730"/>
      <c r="DEE1688" s="2730"/>
      <c r="DEF1688" s="2730"/>
      <c r="DEG1688" s="2730"/>
      <c r="DEH1688" s="2730"/>
      <c r="DEI1688" s="2730"/>
      <c r="DEJ1688" s="2730"/>
      <c r="DEK1688" s="2730"/>
      <c r="DEL1688" s="2730"/>
      <c r="DEM1688" s="2730"/>
      <c r="DEN1688" s="2730"/>
      <c r="DEO1688" s="2730"/>
      <c r="DEP1688" s="2730"/>
      <c r="DEQ1688" s="2730"/>
      <c r="DER1688" s="2730"/>
      <c r="DES1688" s="2730"/>
      <c r="DET1688" s="2730"/>
      <c r="DEU1688" s="2730"/>
      <c r="DEV1688" s="2730"/>
      <c r="DEW1688" s="2730"/>
      <c r="DEX1688" s="2730"/>
      <c r="DEY1688" s="2730"/>
      <c r="DEZ1688" s="2730"/>
      <c r="DFA1688" s="2730"/>
      <c r="DFB1688" s="2730"/>
      <c r="DFC1688" s="2730"/>
      <c r="DFD1688" s="2730"/>
      <c r="DFE1688" s="2730"/>
      <c r="DFF1688" s="2730"/>
      <c r="DFG1688" s="2730"/>
      <c r="DFH1688" s="2730"/>
      <c r="DFI1688" s="2730"/>
      <c r="DFJ1688" s="2730"/>
      <c r="DFK1688" s="2730"/>
      <c r="DFL1688" s="2730"/>
      <c r="DFM1688" s="2730"/>
      <c r="DFN1688" s="2730"/>
      <c r="DFO1688" s="2730"/>
      <c r="DFP1688" s="2730"/>
      <c r="DFQ1688" s="2730"/>
      <c r="DFR1688" s="2730"/>
      <c r="DFS1688" s="2730"/>
      <c r="DFT1688" s="2730"/>
      <c r="DFU1688" s="2730"/>
      <c r="DFV1688" s="2730"/>
      <c r="DFW1688" s="2730"/>
      <c r="DFX1688" s="2730"/>
      <c r="DFY1688" s="2730"/>
      <c r="DFZ1688" s="2730"/>
      <c r="DGA1688" s="2730"/>
      <c r="DGB1688" s="2730"/>
      <c r="DGC1688" s="2730"/>
      <c r="DGD1688" s="2730"/>
      <c r="DGE1688" s="2730"/>
      <c r="DGF1688" s="2730"/>
      <c r="DGG1688" s="2730"/>
      <c r="DGH1688" s="2730"/>
      <c r="DGI1688" s="2730"/>
      <c r="DGJ1688" s="2730"/>
      <c r="DGK1688" s="2730"/>
      <c r="DGL1688" s="2730"/>
      <c r="DGM1688" s="2730"/>
      <c r="DGN1688" s="2730"/>
      <c r="DGO1688" s="2730"/>
      <c r="DGP1688" s="2730"/>
      <c r="DGQ1688" s="2730"/>
      <c r="DGR1688" s="2730"/>
      <c r="DGS1688" s="2730"/>
      <c r="DGT1688" s="2730"/>
      <c r="DGU1688" s="2730"/>
      <c r="DGV1688" s="2730"/>
      <c r="DGW1688" s="2730"/>
      <c r="DGX1688" s="2730"/>
      <c r="DGY1688" s="2730"/>
      <c r="DGZ1688" s="2730"/>
      <c r="DHA1688" s="2730"/>
      <c r="DHB1688" s="2730"/>
      <c r="DHC1688" s="2730"/>
      <c r="DHD1688" s="2730"/>
      <c r="DHE1688" s="2730"/>
      <c r="DHF1688" s="2730"/>
      <c r="DHG1688" s="2730"/>
      <c r="DHH1688" s="2730"/>
      <c r="DHI1688" s="2730"/>
      <c r="DHJ1688" s="2730"/>
      <c r="DHK1688" s="2730"/>
      <c r="DHL1688" s="2730"/>
      <c r="DHM1688" s="2730"/>
      <c r="DHN1688" s="2730"/>
      <c r="DHO1688" s="2730"/>
      <c r="DHP1688" s="2730"/>
      <c r="DHQ1688" s="2730"/>
      <c r="DHR1688" s="2730"/>
      <c r="DHS1688" s="2730"/>
      <c r="DHT1688" s="2730"/>
      <c r="DHU1688" s="2730"/>
      <c r="DHV1688" s="2730"/>
      <c r="DHW1688" s="2730"/>
      <c r="DHX1688" s="2730"/>
      <c r="DHY1688" s="2730"/>
      <c r="DHZ1688" s="2730"/>
      <c r="DIA1688" s="2730"/>
      <c r="DIB1688" s="2730"/>
      <c r="DIC1688" s="2730"/>
      <c r="DID1688" s="2730"/>
      <c r="DIE1688" s="2730"/>
      <c r="DIF1688" s="2730"/>
      <c r="DIG1688" s="2730"/>
      <c r="DIH1688" s="2730"/>
      <c r="DII1688" s="2730"/>
      <c r="DIJ1688" s="2730"/>
      <c r="DIK1688" s="2730"/>
      <c r="DIL1688" s="2730"/>
      <c r="DIM1688" s="2730"/>
      <c r="DIN1688" s="2730"/>
      <c r="DIO1688" s="2730"/>
      <c r="DIP1688" s="2730"/>
      <c r="DIQ1688" s="2730"/>
      <c r="DIR1688" s="2730"/>
      <c r="DIS1688" s="2730"/>
      <c r="DIT1688" s="2730"/>
      <c r="DIU1688" s="2730"/>
      <c r="DIV1688" s="2730"/>
      <c r="DIW1688" s="2730"/>
      <c r="DIX1688" s="2730"/>
      <c r="DIY1688" s="2730"/>
      <c r="DIZ1688" s="2730"/>
      <c r="DJA1688" s="2730"/>
      <c r="DJB1688" s="2730"/>
      <c r="DJC1688" s="2730"/>
      <c r="DJD1688" s="2730"/>
      <c r="DJE1688" s="2730"/>
      <c r="DJF1688" s="2730"/>
      <c r="DJG1688" s="2730"/>
      <c r="DJH1688" s="2730"/>
      <c r="DJI1688" s="2730"/>
      <c r="DJJ1688" s="2730"/>
      <c r="DJK1688" s="2730"/>
      <c r="DJL1688" s="2730"/>
      <c r="DJM1688" s="2730"/>
      <c r="DJN1688" s="2730"/>
      <c r="DJO1688" s="2730"/>
      <c r="DJP1688" s="2730"/>
      <c r="DJQ1688" s="2730"/>
      <c r="DJR1688" s="2730"/>
      <c r="DJS1688" s="2730"/>
      <c r="DJT1688" s="2730"/>
      <c r="DJU1688" s="2730"/>
      <c r="DJV1688" s="2730"/>
      <c r="DJW1688" s="2730"/>
      <c r="DJX1688" s="2730"/>
      <c r="DJY1688" s="2730"/>
      <c r="DJZ1688" s="2730"/>
      <c r="DKA1688" s="2730"/>
      <c r="DKB1688" s="2730"/>
      <c r="DKC1688" s="2730"/>
      <c r="DKD1688" s="2730"/>
      <c r="DKE1688" s="2730"/>
      <c r="DKF1688" s="2730"/>
      <c r="DKG1688" s="2730"/>
      <c r="DKH1688" s="2730"/>
      <c r="DKI1688" s="2730"/>
      <c r="DKJ1688" s="2730"/>
      <c r="DKK1688" s="2730"/>
      <c r="DKL1688" s="2730"/>
      <c r="DKM1688" s="2730"/>
      <c r="DKN1688" s="2730"/>
      <c r="DKO1688" s="2730"/>
      <c r="DKP1688" s="2730"/>
      <c r="DKQ1688" s="2730"/>
      <c r="DKR1688" s="2730"/>
      <c r="DKS1688" s="2730"/>
      <c r="DKT1688" s="2730"/>
      <c r="DKU1688" s="2730"/>
      <c r="DKV1688" s="2730"/>
      <c r="DKW1688" s="2730"/>
      <c r="DKX1688" s="2730"/>
      <c r="DKY1688" s="2730"/>
      <c r="DKZ1688" s="2730"/>
      <c r="DLA1688" s="2730"/>
      <c r="DLB1688" s="2730"/>
      <c r="DLC1688" s="2730"/>
      <c r="DLD1688" s="2730"/>
      <c r="DLE1688" s="2730"/>
      <c r="DLF1688" s="2730"/>
      <c r="DLG1688" s="2730"/>
      <c r="DLH1688" s="2730"/>
      <c r="DLI1688" s="2730"/>
      <c r="DLJ1688" s="2730"/>
      <c r="DLK1688" s="2730"/>
      <c r="DLL1688" s="2730"/>
      <c r="DLM1688" s="2730"/>
      <c r="DLN1688" s="2730"/>
      <c r="DLO1688" s="2730"/>
      <c r="DLP1688" s="2730"/>
      <c r="DLQ1688" s="2730"/>
      <c r="DLR1688" s="2730"/>
      <c r="DLS1688" s="2730"/>
      <c r="DLT1688" s="2730"/>
      <c r="DLU1688" s="2730"/>
      <c r="DLV1688" s="2730"/>
      <c r="DLW1688" s="2730"/>
      <c r="DLX1688" s="2730"/>
      <c r="DLY1688" s="2730"/>
      <c r="DLZ1688" s="2730"/>
      <c r="DMA1688" s="2730"/>
      <c r="DMB1688" s="2730"/>
      <c r="DMC1688" s="2730"/>
      <c r="DMD1688" s="2730"/>
      <c r="DME1688" s="2730"/>
      <c r="DMF1688" s="2730"/>
      <c r="DMG1688" s="2730"/>
      <c r="DMH1688" s="2730"/>
      <c r="DMI1688" s="2730"/>
      <c r="DMJ1688" s="2730"/>
      <c r="DMK1688" s="2730"/>
      <c r="DML1688" s="2730"/>
      <c r="DMM1688" s="2730"/>
      <c r="DMN1688" s="2730"/>
      <c r="DMO1688" s="2730"/>
      <c r="DMP1688" s="2730"/>
      <c r="DMQ1688" s="2730"/>
      <c r="DMR1688" s="2730"/>
      <c r="DMS1688" s="2730"/>
      <c r="DMT1688" s="2730"/>
      <c r="DMU1688" s="2730"/>
      <c r="DMV1688" s="2730"/>
      <c r="DMW1688" s="2730"/>
      <c r="DMX1688" s="2730"/>
      <c r="DMY1688" s="2730"/>
      <c r="DMZ1688" s="2730"/>
      <c r="DNA1688" s="2730"/>
      <c r="DNB1688" s="2730"/>
      <c r="DNC1688" s="2730"/>
      <c r="DND1688" s="2730"/>
      <c r="DNE1688" s="2730"/>
      <c r="DNF1688" s="2730"/>
      <c r="DNG1688" s="2730"/>
      <c r="DNH1688" s="2730"/>
      <c r="DNI1688" s="2730"/>
      <c r="DNJ1688" s="2730"/>
      <c r="DNK1688" s="2730"/>
      <c r="DNL1688" s="2730"/>
      <c r="DNM1688" s="2730"/>
      <c r="DNN1688" s="2730"/>
      <c r="DNO1688" s="2730"/>
      <c r="DNP1688" s="2730"/>
      <c r="DNQ1688" s="2730"/>
      <c r="DNR1688" s="2730"/>
      <c r="DNS1688" s="2730"/>
      <c r="DNT1688" s="2730"/>
      <c r="DNU1688" s="2730"/>
      <c r="DNV1688" s="2730"/>
      <c r="DNW1688" s="2730"/>
      <c r="DNX1688" s="2730"/>
      <c r="DNY1688" s="2730"/>
      <c r="DNZ1688" s="2730"/>
      <c r="DOA1688" s="2730"/>
      <c r="DOB1688" s="2730"/>
      <c r="DOC1688" s="2730"/>
      <c r="DOD1688" s="2730"/>
      <c r="DOE1688" s="2730"/>
      <c r="DOF1688" s="2730"/>
      <c r="DOG1688" s="2730"/>
      <c r="DOH1688" s="2730"/>
      <c r="DOI1688" s="2730"/>
      <c r="DOJ1688" s="2730"/>
      <c r="DOK1688" s="2730"/>
      <c r="DOL1688" s="2730"/>
      <c r="DOM1688" s="2730"/>
      <c r="DON1688" s="2730"/>
      <c r="DOO1688" s="2730"/>
      <c r="DOP1688" s="2730"/>
      <c r="DOQ1688" s="2730"/>
      <c r="DOR1688" s="2730"/>
      <c r="DOS1688" s="2730"/>
      <c r="DOT1688" s="2730"/>
      <c r="DOU1688" s="2730"/>
      <c r="DOV1688" s="2730"/>
      <c r="DOW1688" s="2730"/>
      <c r="DOX1688" s="2730"/>
      <c r="DOY1688" s="2730"/>
      <c r="DOZ1688" s="2730"/>
      <c r="DPA1688" s="2730"/>
      <c r="DPB1688" s="2730"/>
      <c r="DPC1688" s="2730"/>
      <c r="DPD1688" s="2730"/>
      <c r="DPE1688" s="2730"/>
      <c r="DPF1688" s="2730"/>
      <c r="DPG1688" s="2730"/>
      <c r="DPH1688" s="2730"/>
      <c r="DPI1688" s="2730"/>
      <c r="DPJ1688" s="2730"/>
      <c r="DPK1688" s="2730"/>
      <c r="DPL1688" s="2730"/>
      <c r="DPM1688" s="2730"/>
      <c r="DPN1688" s="2730"/>
      <c r="DPO1688" s="2730"/>
      <c r="DPP1688" s="2730"/>
      <c r="DPQ1688" s="2730"/>
      <c r="DPR1688" s="2730"/>
      <c r="DPS1688" s="2730"/>
      <c r="DPT1688" s="2730"/>
      <c r="DPU1688" s="2730"/>
      <c r="DPV1688" s="2730"/>
      <c r="DPW1688" s="2730"/>
      <c r="DPX1688" s="2730"/>
      <c r="DPY1688" s="2730"/>
      <c r="DPZ1688" s="2730"/>
      <c r="DQA1688" s="2730"/>
      <c r="DQB1688" s="2730"/>
      <c r="DQC1688" s="2730"/>
      <c r="DQD1688" s="2730"/>
      <c r="DQE1688" s="2730"/>
      <c r="DQF1688" s="2730"/>
      <c r="DQG1688" s="2730"/>
      <c r="DQH1688" s="2730"/>
      <c r="DQI1688" s="2730"/>
      <c r="DQJ1688" s="2730"/>
      <c r="DQK1688" s="2730"/>
      <c r="DQL1688" s="2730"/>
      <c r="DQM1688" s="2730"/>
      <c r="DQN1688" s="2730"/>
      <c r="DQO1688" s="2730"/>
      <c r="DQP1688" s="2730"/>
      <c r="DQQ1688" s="2730"/>
      <c r="DQR1688" s="2730"/>
      <c r="DQS1688" s="2730"/>
      <c r="DQT1688" s="2730"/>
      <c r="DQU1688" s="2730"/>
      <c r="DQV1688" s="2730"/>
      <c r="DQW1688" s="2730"/>
      <c r="DQX1688" s="2730"/>
      <c r="DQY1688" s="2730"/>
      <c r="DQZ1688" s="2730"/>
      <c r="DRA1688" s="2730"/>
      <c r="DRB1688" s="2730"/>
      <c r="DRC1688" s="2730"/>
      <c r="DRD1688" s="2730"/>
      <c r="DRE1688" s="2730"/>
      <c r="DRF1688" s="2730"/>
      <c r="DRG1688" s="2730"/>
      <c r="DRH1688" s="2730"/>
      <c r="DRI1688" s="2730"/>
      <c r="DRJ1688" s="2730"/>
      <c r="DRK1688" s="2730"/>
      <c r="DRL1688" s="2730"/>
      <c r="DRM1688" s="2730"/>
      <c r="DRN1688" s="2730"/>
      <c r="DRO1688" s="2730"/>
      <c r="DRP1688" s="2730"/>
      <c r="DRQ1688" s="2730"/>
      <c r="DRR1688" s="2730"/>
      <c r="DRS1688" s="2730"/>
      <c r="DRT1688" s="2730"/>
      <c r="DRU1688" s="2730"/>
      <c r="DRV1688" s="2730"/>
      <c r="DRW1688" s="2730"/>
      <c r="DRX1688" s="2730"/>
      <c r="DRY1688" s="2730"/>
      <c r="DRZ1688" s="2730"/>
      <c r="DSA1688" s="2730"/>
      <c r="DSB1688" s="2730"/>
      <c r="DSC1688" s="2730"/>
      <c r="DSD1688" s="2730"/>
      <c r="DSE1688" s="2730"/>
      <c r="DSF1688" s="2730"/>
      <c r="DSG1688" s="2730"/>
      <c r="DSH1688" s="2730"/>
      <c r="DSI1688" s="2730"/>
      <c r="DSJ1688" s="2730"/>
      <c r="DSK1688" s="2730"/>
      <c r="DSL1688" s="2730"/>
      <c r="DSM1688" s="2730"/>
      <c r="DSN1688" s="2730"/>
      <c r="DSO1688" s="2730"/>
      <c r="DSP1688" s="2730"/>
      <c r="DSQ1688" s="2730"/>
      <c r="DSR1688" s="2730"/>
      <c r="DSS1688" s="2730"/>
      <c r="DST1688" s="2730"/>
      <c r="DSU1688" s="2730"/>
      <c r="DSV1688" s="2730"/>
      <c r="DSW1688" s="2730"/>
      <c r="DSX1688" s="2730"/>
      <c r="DSY1688" s="2730"/>
      <c r="DSZ1688" s="2730"/>
      <c r="DTA1688" s="2730"/>
      <c r="DTB1688" s="2730"/>
      <c r="DTC1688" s="2730"/>
      <c r="DTD1688" s="2730"/>
      <c r="DTE1688" s="2730"/>
      <c r="DTF1688" s="2730"/>
      <c r="DTG1688" s="2730"/>
      <c r="DTH1688" s="2730"/>
      <c r="DTI1688" s="2730"/>
      <c r="DTJ1688" s="2730"/>
      <c r="DTK1688" s="2730"/>
      <c r="DTL1688" s="2730"/>
      <c r="DTM1688" s="2730"/>
      <c r="DTN1688" s="2730"/>
      <c r="DTO1688" s="2730"/>
      <c r="DTP1688" s="2730"/>
      <c r="DTQ1688" s="2730"/>
      <c r="DTR1688" s="2730"/>
      <c r="DTS1688" s="2730"/>
      <c r="DTT1688" s="2730"/>
      <c r="DTU1688" s="2730"/>
      <c r="DTV1688" s="2730"/>
      <c r="DTW1688" s="2730"/>
      <c r="DTX1688" s="2730"/>
      <c r="DTY1688" s="2730"/>
      <c r="DTZ1688" s="2730"/>
      <c r="DUA1688" s="2730"/>
      <c r="DUB1688" s="2730"/>
      <c r="DUC1688" s="2730"/>
      <c r="DUD1688" s="2730"/>
      <c r="DUE1688" s="2730"/>
      <c r="DUF1688" s="2730"/>
      <c r="DUG1688" s="2730"/>
      <c r="DUH1688" s="2730"/>
      <c r="DUI1688" s="2730"/>
      <c r="DUJ1688" s="2730"/>
      <c r="DUK1688" s="2730"/>
      <c r="DUL1688" s="2730"/>
      <c r="DUM1688" s="2730"/>
      <c r="DUN1688" s="2730"/>
      <c r="DUO1688" s="2730"/>
      <c r="DUP1688" s="2730"/>
      <c r="DUQ1688" s="2730"/>
      <c r="DUR1688" s="2730"/>
      <c r="DUS1688" s="2730"/>
      <c r="DUT1688" s="2730"/>
      <c r="DUU1688" s="2730"/>
      <c r="DUV1688" s="2730"/>
      <c r="DUW1688" s="2730"/>
      <c r="DUX1688" s="2730"/>
      <c r="DUY1688" s="2730"/>
      <c r="DUZ1688" s="2730"/>
      <c r="DVA1688" s="2730"/>
      <c r="DVB1688" s="2730"/>
      <c r="DVC1688" s="2730"/>
      <c r="DVD1688" s="2730"/>
      <c r="DVE1688" s="2730"/>
      <c r="DVF1688" s="2730"/>
      <c r="DVG1688" s="2730"/>
      <c r="DVH1688" s="2730"/>
      <c r="DVI1688" s="2730"/>
      <c r="DVJ1688" s="2730"/>
      <c r="DVK1688" s="2730"/>
      <c r="DVL1688" s="2730"/>
      <c r="DVM1688" s="2730"/>
      <c r="DVN1688" s="2730"/>
      <c r="DVO1688" s="2730"/>
      <c r="DVP1688" s="2730"/>
      <c r="DVQ1688" s="2730"/>
      <c r="DVR1688" s="2730"/>
      <c r="DVS1688" s="2730"/>
      <c r="DVT1688" s="2730"/>
      <c r="DVU1688" s="2730"/>
      <c r="DVV1688" s="2730"/>
      <c r="DVW1688" s="2730"/>
      <c r="DVX1688" s="2730"/>
      <c r="DVY1688" s="2730"/>
      <c r="DVZ1688" s="2730"/>
      <c r="DWA1688" s="2730"/>
      <c r="DWB1688" s="2730"/>
      <c r="DWC1688" s="2730"/>
      <c r="DWD1688" s="2730"/>
      <c r="DWE1688" s="2730"/>
      <c r="DWF1688" s="2730"/>
      <c r="DWG1688" s="2730"/>
      <c r="DWH1688" s="2730"/>
      <c r="DWI1688" s="2730"/>
      <c r="DWJ1688" s="2730"/>
      <c r="DWK1688" s="2730"/>
      <c r="DWL1688" s="2730"/>
      <c r="DWM1688" s="2730"/>
      <c r="DWN1688" s="2730"/>
      <c r="DWO1688" s="2730"/>
      <c r="DWP1688" s="2730"/>
      <c r="DWQ1688" s="2730"/>
      <c r="DWR1688" s="2730"/>
      <c r="DWS1688" s="2730"/>
      <c r="DWT1688" s="2730"/>
      <c r="DWU1688" s="2730"/>
      <c r="DWV1688" s="2730"/>
      <c r="DWW1688" s="2730"/>
      <c r="DWX1688" s="2730"/>
      <c r="DWY1688" s="2730"/>
      <c r="DWZ1688" s="2730"/>
      <c r="DXA1688" s="2730"/>
      <c r="DXB1688" s="2730"/>
      <c r="DXC1688" s="2730"/>
      <c r="DXD1688" s="2730"/>
      <c r="DXE1688" s="2730"/>
      <c r="DXF1688" s="2730"/>
      <c r="DXG1688" s="2730"/>
      <c r="DXH1688" s="2730"/>
      <c r="DXI1688" s="2730"/>
      <c r="DXJ1688" s="2730"/>
      <c r="DXK1688" s="2730"/>
      <c r="DXL1688" s="2730"/>
      <c r="DXM1688" s="2730"/>
      <c r="DXN1688" s="2730"/>
      <c r="DXO1688" s="2730"/>
      <c r="DXP1688" s="2730"/>
      <c r="DXQ1688" s="2730"/>
      <c r="DXR1688" s="2730"/>
      <c r="DXS1688" s="2730"/>
      <c r="DXT1688" s="2730"/>
      <c r="DXU1688" s="2730"/>
      <c r="DXV1688" s="2730"/>
      <c r="DXW1688" s="2730"/>
      <c r="DXX1688" s="2730"/>
      <c r="DXY1688" s="2730"/>
      <c r="DXZ1688" s="2730"/>
      <c r="DYA1688" s="2730"/>
      <c r="DYB1688" s="2730"/>
      <c r="DYC1688" s="2730"/>
      <c r="DYD1688" s="2730"/>
      <c r="DYE1688" s="2730"/>
      <c r="DYF1688" s="2730"/>
      <c r="DYG1688" s="2730"/>
      <c r="DYH1688" s="2730"/>
      <c r="DYI1688" s="2730"/>
      <c r="DYJ1688" s="2730"/>
      <c r="DYK1688" s="2730"/>
      <c r="DYL1688" s="2730"/>
      <c r="DYM1688" s="2730"/>
      <c r="DYN1688" s="2730"/>
      <c r="DYO1688" s="2730"/>
      <c r="DYP1688" s="2730"/>
      <c r="DYQ1688" s="2730"/>
      <c r="DYR1688" s="2730"/>
      <c r="DYS1688" s="2730"/>
      <c r="DYT1688" s="2730"/>
      <c r="DYU1688" s="2730"/>
      <c r="DYV1688" s="2730"/>
      <c r="DYW1688" s="2730"/>
      <c r="DYX1688" s="2730"/>
      <c r="DYY1688" s="2730"/>
      <c r="DYZ1688" s="2730"/>
      <c r="DZA1688" s="2730"/>
      <c r="DZB1688" s="2730"/>
      <c r="DZC1688" s="2730"/>
      <c r="DZD1688" s="2730"/>
      <c r="DZE1688" s="2730"/>
      <c r="DZF1688" s="2730"/>
      <c r="DZG1688" s="2730"/>
      <c r="DZH1688" s="2730"/>
      <c r="DZI1688" s="2730"/>
      <c r="DZJ1688" s="2730"/>
      <c r="DZK1688" s="2730"/>
      <c r="DZL1688" s="2730"/>
      <c r="DZM1688" s="2730"/>
      <c r="DZN1688" s="2730"/>
      <c r="DZO1688" s="2730"/>
      <c r="DZP1688" s="2730"/>
      <c r="DZQ1688" s="2730"/>
      <c r="DZR1688" s="2730"/>
      <c r="DZS1688" s="2730"/>
      <c r="DZT1688" s="2730"/>
      <c r="DZU1688" s="2730"/>
      <c r="DZV1688" s="2730"/>
      <c r="DZW1688" s="2730"/>
      <c r="DZX1688" s="2730"/>
      <c r="DZY1688" s="2730"/>
      <c r="DZZ1688" s="2730"/>
      <c r="EAA1688" s="2730"/>
      <c r="EAB1688" s="2730"/>
      <c r="EAC1688" s="2730"/>
      <c r="EAD1688" s="2730"/>
      <c r="EAE1688" s="2730"/>
      <c r="EAF1688" s="2730"/>
      <c r="EAG1688" s="2730"/>
      <c r="EAH1688" s="2730"/>
      <c r="EAI1688" s="2730"/>
      <c r="EAJ1688" s="2730"/>
      <c r="EAK1688" s="2730"/>
      <c r="EAL1688" s="2730"/>
      <c r="EAM1688" s="2730"/>
      <c r="EAN1688" s="2730"/>
      <c r="EAO1688" s="2730"/>
      <c r="EAP1688" s="2730"/>
      <c r="EAQ1688" s="2730"/>
      <c r="EAR1688" s="2730"/>
      <c r="EAS1688" s="2730"/>
      <c r="EAT1688" s="2730"/>
      <c r="EAU1688" s="2730"/>
      <c r="EAV1688" s="2730"/>
      <c r="EAW1688" s="2730"/>
      <c r="EAX1688" s="2730"/>
      <c r="EAY1688" s="2730"/>
      <c r="EAZ1688" s="2730"/>
      <c r="EBA1688" s="2730"/>
      <c r="EBB1688" s="2730"/>
      <c r="EBC1688" s="2730"/>
      <c r="EBD1688" s="2730"/>
      <c r="EBE1688" s="2730"/>
      <c r="EBF1688" s="2730"/>
      <c r="EBG1688" s="2730"/>
      <c r="EBH1688" s="2730"/>
      <c r="EBI1688" s="2730"/>
      <c r="EBJ1688" s="2730"/>
      <c r="EBK1688" s="2730"/>
      <c r="EBL1688" s="2730"/>
      <c r="EBM1688" s="2730"/>
      <c r="EBN1688" s="2730"/>
      <c r="EBO1688" s="2730"/>
      <c r="EBP1688" s="2730"/>
      <c r="EBQ1688" s="2730"/>
      <c r="EBR1688" s="2730"/>
      <c r="EBS1688" s="2730"/>
      <c r="EBT1688" s="2730"/>
      <c r="EBU1688" s="2730"/>
      <c r="EBV1688" s="2730"/>
      <c r="EBW1688" s="2730"/>
      <c r="EBX1688" s="2730"/>
      <c r="EBY1688" s="2730"/>
      <c r="EBZ1688" s="2730"/>
      <c r="ECA1688" s="2730"/>
      <c r="ECB1688" s="2730"/>
      <c r="ECC1688" s="2730"/>
      <c r="ECD1688" s="2730"/>
      <c r="ECE1688" s="2730"/>
      <c r="ECF1688" s="2730"/>
      <c r="ECG1688" s="2730"/>
      <c r="ECH1688" s="2730"/>
      <c r="ECI1688" s="2730"/>
      <c r="ECJ1688" s="2730"/>
      <c r="ECK1688" s="2730"/>
      <c r="ECL1688" s="2730"/>
      <c r="ECM1688" s="2730"/>
      <c r="ECN1688" s="2730"/>
      <c r="ECO1688" s="2730"/>
      <c r="ECP1688" s="2730"/>
      <c r="ECQ1688" s="2730"/>
      <c r="ECR1688" s="2730"/>
      <c r="ECS1688" s="2730"/>
      <c r="ECT1688" s="2730"/>
      <c r="ECU1688" s="2730"/>
      <c r="ECV1688" s="2730"/>
      <c r="ECW1688" s="2730"/>
      <c r="ECX1688" s="2730"/>
      <c r="ECY1688" s="2730"/>
      <c r="ECZ1688" s="2730"/>
      <c r="EDA1688" s="2730"/>
      <c r="EDB1688" s="2730"/>
      <c r="EDC1688" s="2730"/>
      <c r="EDD1688" s="2730"/>
      <c r="EDE1688" s="2730"/>
      <c r="EDF1688" s="2730"/>
      <c r="EDG1688" s="2730"/>
      <c r="EDH1688" s="2730"/>
      <c r="EDI1688" s="2730"/>
      <c r="EDJ1688" s="2730"/>
      <c r="EDK1688" s="2730"/>
      <c r="EDL1688" s="2730"/>
      <c r="EDM1688" s="2730"/>
      <c r="EDN1688" s="2730"/>
      <c r="EDO1688" s="2730"/>
      <c r="EDP1688" s="2730"/>
      <c r="EDQ1688" s="2730"/>
      <c r="EDR1688" s="2730"/>
      <c r="EDS1688" s="2730"/>
      <c r="EDT1688" s="2730"/>
      <c r="EDU1688" s="2730"/>
      <c r="EDV1688" s="2730"/>
      <c r="EDW1688" s="2730"/>
      <c r="EDX1688" s="2730"/>
      <c r="EDY1688" s="2730"/>
      <c r="EDZ1688" s="2730"/>
      <c r="EEA1688" s="2730"/>
      <c r="EEB1688" s="2730"/>
      <c r="EEC1688" s="2730"/>
      <c r="EED1688" s="2730"/>
      <c r="EEE1688" s="2730"/>
      <c r="EEF1688" s="2730"/>
      <c r="EEG1688" s="2730"/>
      <c r="EEH1688" s="2730"/>
      <c r="EEI1688" s="2730"/>
      <c r="EEJ1688" s="2730"/>
      <c r="EEK1688" s="2730"/>
      <c r="EEL1688" s="2730"/>
      <c r="EEM1688" s="2730"/>
      <c r="EEN1688" s="2730"/>
      <c r="EEO1688" s="2730"/>
      <c r="EEP1688" s="2730"/>
      <c r="EEQ1688" s="2730"/>
      <c r="EER1688" s="2730"/>
      <c r="EES1688" s="2730"/>
      <c r="EET1688" s="2730"/>
      <c r="EEU1688" s="2730"/>
      <c r="EEV1688" s="2730"/>
      <c r="EEW1688" s="2730"/>
      <c r="EEX1688" s="2730"/>
      <c r="EEY1688" s="2730"/>
      <c r="EEZ1688" s="2730"/>
      <c r="EFA1688" s="2730"/>
      <c r="EFB1688" s="2730"/>
      <c r="EFC1688" s="2730"/>
      <c r="EFD1688" s="2730"/>
      <c r="EFE1688" s="2730"/>
      <c r="EFF1688" s="2730"/>
      <c r="EFG1688" s="2730"/>
      <c r="EFH1688" s="2730"/>
      <c r="EFI1688" s="2730"/>
      <c r="EFJ1688" s="2730"/>
      <c r="EFK1688" s="2730"/>
      <c r="EFL1688" s="2730"/>
      <c r="EFM1688" s="2730"/>
      <c r="EFN1688" s="2730"/>
      <c r="EFO1688" s="2730"/>
      <c r="EFP1688" s="2730"/>
      <c r="EFQ1688" s="2730"/>
      <c r="EFR1688" s="2730"/>
      <c r="EFS1688" s="2730"/>
      <c r="EFT1688" s="2730"/>
      <c r="EFU1688" s="2730"/>
      <c r="EFV1688" s="2730"/>
      <c r="EFW1688" s="2730"/>
      <c r="EFX1688" s="2730"/>
      <c r="EFY1688" s="2730"/>
      <c r="EFZ1688" s="2730"/>
      <c r="EGA1688" s="2730"/>
      <c r="EGB1688" s="2730"/>
      <c r="EGC1688" s="2730"/>
      <c r="EGD1688" s="2730"/>
      <c r="EGE1688" s="2730"/>
      <c r="EGF1688" s="2730"/>
      <c r="EGG1688" s="2730"/>
      <c r="EGH1688" s="2730"/>
      <c r="EGI1688" s="2730"/>
      <c r="EGJ1688" s="2730"/>
      <c r="EGK1688" s="2730"/>
      <c r="EGL1688" s="2730"/>
      <c r="EGM1688" s="2730"/>
      <c r="EGN1688" s="2730"/>
      <c r="EGO1688" s="2730"/>
      <c r="EGP1688" s="2730"/>
      <c r="EGQ1688" s="2730"/>
      <c r="EGR1688" s="2730"/>
      <c r="EGS1688" s="2730"/>
      <c r="EGT1688" s="2730"/>
      <c r="EGU1688" s="2730"/>
      <c r="EGV1688" s="2730"/>
      <c r="EGW1688" s="2730"/>
      <c r="EGX1688" s="2730"/>
      <c r="EGY1688" s="2730"/>
      <c r="EGZ1688" s="2730"/>
      <c r="EHA1688" s="2730"/>
      <c r="EHB1688" s="2730"/>
      <c r="EHC1688" s="2730"/>
      <c r="EHD1688" s="2730"/>
      <c r="EHE1688" s="2730"/>
      <c r="EHF1688" s="2730"/>
      <c r="EHG1688" s="2730"/>
      <c r="EHH1688" s="2730"/>
      <c r="EHI1688" s="2730"/>
      <c r="EHJ1688" s="2730"/>
      <c r="EHK1688" s="2730"/>
      <c r="EHL1688" s="2730"/>
      <c r="EHM1688" s="2730"/>
      <c r="EHN1688" s="2730"/>
      <c r="EHO1688" s="2730"/>
      <c r="EHP1688" s="2730"/>
      <c r="EHQ1688" s="2730"/>
      <c r="EHR1688" s="2730"/>
      <c r="EHS1688" s="2730"/>
      <c r="EHT1688" s="2730"/>
      <c r="EHU1688" s="2730"/>
      <c r="EHV1688" s="2730"/>
      <c r="EHW1688" s="2730"/>
      <c r="EHX1688" s="2730"/>
      <c r="EHY1688" s="2730"/>
      <c r="EHZ1688" s="2730"/>
      <c r="EIA1688" s="2730"/>
      <c r="EIB1688" s="2730"/>
      <c r="EIC1688" s="2730"/>
      <c r="EID1688" s="2730"/>
      <c r="EIE1688" s="2730"/>
      <c r="EIF1688" s="2730"/>
      <c r="EIG1688" s="2730"/>
      <c r="EIH1688" s="2730"/>
      <c r="EII1688" s="2730"/>
      <c r="EIJ1688" s="2730"/>
      <c r="EIK1688" s="2730"/>
      <c r="EIL1688" s="2730"/>
      <c r="EIM1688" s="2730"/>
      <c r="EIN1688" s="2730"/>
      <c r="EIO1688" s="2730"/>
      <c r="EIP1688" s="2730"/>
      <c r="EIQ1688" s="2730"/>
      <c r="EIR1688" s="2730"/>
      <c r="EIS1688" s="2730"/>
      <c r="EIT1688" s="2730"/>
      <c r="EIU1688" s="2730"/>
      <c r="EIV1688" s="2730"/>
      <c r="EIW1688" s="2730"/>
      <c r="EIX1688" s="2730"/>
      <c r="EIY1688" s="2730"/>
      <c r="EIZ1688" s="2730"/>
      <c r="EJA1688" s="2730"/>
      <c r="EJB1688" s="2730"/>
      <c r="EJC1688" s="2730"/>
      <c r="EJD1688" s="2730"/>
      <c r="EJE1688" s="2730"/>
      <c r="EJF1688" s="2730"/>
      <c r="EJG1688" s="2730"/>
      <c r="EJH1688" s="2730"/>
      <c r="EJI1688" s="2730"/>
      <c r="EJJ1688" s="2730"/>
      <c r="EJK1688" s="2730"/>
      <c r="EJL1688" s="2730"/>
      <c r="EJM1688" s="2730"/>
      <c r="EJN1688" s="2730"/>
      <c r="EJO1688" s="2730"/>
      <c r="EJP1688" s="2730"/>
      <c r="EJQ1688" s="2730"/>
      <c r="EJR1688" s="2730"/>
      <c r="EJS1688" s="2730"/>
      <c r="EJT1688" s="2730"/>
      <c r="EJU1688" s="2730"/>
      <c r="EJV1688" s="2730"/>
      <c r="EJW1688" s="2730"/>
      <c r="EJX1688" s="2730"/>
      <c r="EJY1688" s="2730"/>
      <c r="EJZ1688" s="2730"/>
      <c r="EKA1688" s="2730"/>
      <c r="EKB1688" s="2730"/>
      <c r="EKC1688" s="2730"/>
      <c r="EKD1688" s="2730"/>
      <c r="EKE1688" s="2730"/>
      <c r="EKF1688" s="2730"/>
      <c r="EKG1688" s="2730"/>
      <c r="EKH1688" s="2730"/>
      <c r="EKI1688" s="2730"/>
      <c r="EKJ1688" s="2730"/>
      <c r="EKK1688" s="2730"/>
      <c r="EKL1688" s="2730"/>
      <c r="EKM1688" s="2730"/>
      <c r="EKN1688" s="2730"/>
      <c r="EKO1688" s="2730"/>
      <c r="EKP1688" s="2730"/>
      <c r="EKQ1688" s="2730"/>
      <c r="EKR1688" s="2730"/>
      <c r="EKS1688" s="2730"/>
      <c r="EKT1688" s="2730"/>
      <c r="EKU1688" s="2730"/>
      <c r="EKV1688" s="2730"/>
      <c r="EKW1688" s="2730"/>
      <c r="EKX1688" s="2730"/>
      <c r="EKY1688" s="2730"/>
      <c r="EKZ1688" s="2730"/>
      <c r="ELA1688" s="2730"/>
      <c r="ELB1688" s="2730"/>
      <c r="ELC1688" s="2730"/>
      <c r="ELD1688" s="2730"/>
      <c r="ELE1688" s="2730"/>
      <c r="ELF1688" s="2730"/>
      <c r="ELG1688" s="2730"/>
      <c r="ELH1688" s="2730"/>
      <c r="ELI1688" s="2730"/>
      <c r="ELJ1688" s="2730"/>
      <c r="ELK1688" s="2730"/>
      <c r="ELL1688" s="2730"/>
      <c r="ELM1688" s="2730"/>
      <c r="ELN1688" s="2730"/>
      <c r="ELO1688" s="2730"/>
      <c r="ELP1688" s="2730"/>
      <c r="ELQ1688" s="2730"/>
      <c r="ELR1688" s="2730"/>
      <c r="ELS1688" s="2730"/>
      <c r="ELT1688" s="2730"/>
      <c r="ELU1688" s="2730"/>
      <c r="ELV1688" s="2730"/>
      <c r="ELW1688" s="2730"/>
      <c r="ELX1688" s="2730"/>
      <c r="ELY1688" s="2730"/>
      <c r="ELZ1688" s="2730"/>
      <c r="EMA1688" s="2730"/>
      <c r="EMB1688" s="2730"/>
      <c r="EMC1688" s="2730"/>
      <c r="EMD1688" s="2730"/>
      <c r="EME1688" s="2730"/>
      <c r="EMF1688" s="2730"/>
      <c r="EMG1688" s="2730"/>
      <c r="EMH1688" s="2730"/>
      <c r="EMI1688" s="2730"/>
      <c r="EMJ1688" s="2730"/>
      <c r="EMK1688" s="2730"/>
      <c r="EML1688" s="2730"/>
      <c r="EMM1688" s="2730"/>
      <c r="EMN1688" s="2730"/>
      <c r="EMO1688" s="2730"/>
      <c r="EMP1688" s="2730"/>
      <c r="EMQ1688" s="2730"/>
      <c r="EMR1688" s="2730"/>
      <c r="EMS1688" s="2730"/>
      <c r="EMT1688" s="2730"/>
      <c r="EMU1688" s="2730"/>
      <c r="EMV1688" s="2730"/>
      <c r="EMW1688" s="2730"/>
      <c r="EMX1688" s="2730"/>
      <c r="EMY1688" s="2730"/>
      <c r="EMZ1688" s="2730"/>
      <c r="ENA1688" s="2730"/>
      <c r="ENB1688" s="2730"/>
      <c r="ENC1688" s="2730"/>
      <c r="END1688" s="2730"/>
      <c r="ENE1688" s="2730"/>
      <c r="ENF1688" s="2730"/>
      <c r="ENG1688" s="2730"/>
      <c r="ENH1688" s="2730"/>
      <c r="ENI1688" s="2730"/>
      <c r="ENJ1688" s="2730"/>
      <c r="ENK1688" s="2730"/>
      <c r="ENL1688" s="2730"/>
      <c r="ENM1688" s="2730"/>
      <c r="ENN1688" s="2730"/>
      <c r="ENO1688" s="2730"/>
      <c r="ENP1688" s="2730"/>
      <c r="ENQ1688" s="2730"/>
      <c r="ENR1688" s="2730"/>
      <c r="ENS1688" s="2730"/>
      <c r="ENT1688" s="2730"/>
      <c r="ENU1688" s="2730"/>
      <c r="ENV1688" s="2730"/>
      <c r="ENW1688" s="2730"/>
      <c r="ENX1688" s="2730"/>
      <c r="ENY1688" s="2730"/>
      <c r="ENZ1688" s="2730"/>
      <c r="EOA1688" s="2730"/>
      <c r="EOB1688" s="2730"/>
      <c r="EOC1688" s="2730"/>
      <c r="EOD1688" s="2730"/>
      <c r="EOE1688" s="2730"/>
      <c r="EOF1688" s="2730"/>
      <c r="EOG1688" s="2730"/>
      <c r="EOH1688" s="2730"/>
      <c r="EOI1688" s="2730"/>
      <c r="EOJ1688" s="2730"/>
      <c r="EOK1688" s="2730"/>
      <c r="EOL1688" s="2730"/>
      <c r="EOM1688" s="2730"/>
      <c r="EON1688" s="2730"/>
      <c r="EOO1688" s="2730"/>
      <c r="EOP1688" s="2730"/>
      <c r="EOQ1688" s="2730"/>
      <c r="EOR1688" s="2730"/>
      <c r="EOS1688" s="2730"/>
      <c r="EOT1688" s="2730"/>
      <c r="EOU1688" s="2730"/>
      <c r="EOV1688" s="2730"/>
      <c r="EOW1688" s="2730"/>
      <c r="EOX1688" s="2730"/>
      <c r="EOY1688" s="2730"/>
      <c r="EOZ1688" s="2730"/>
      <c r="EPA1688" s="2730"/>
      <c r="EPB1688" s="2730"/>
      <c r="EPC1688" s="2730"/>
      <c r="EPD1688" s="2730"/>
      <c r="EPE1688" s="2730"/>
      <c r="EPF1688" s="2730"/>
      <c r="EPG1688" s="2730"/>
      <c r="EPH1688" s="2730"/>
      <c r="EPI1688" s="2730"/>
      <c r="EPJ1688" s="2730"/>
      <c r="EPK1688" s="2730"/>
      <c r="EPL1688" s="2730"/>
      <c r="EPM1688" s="2730"/>
      <c r="EPN1688" s="2730"/>
      <c r="EPO1688" s="2730"/>
      <c r="EPP1688" s="2730"/>
      <c r="EPQ1688" s="2730"/>
      <c r="EPR1688" s="2730"/>
      <c r="EPS1688" s="2730"/>
      <c r="EPT1688" s="2730"/>
      <c r="EPU1688" s="2730"/>
      <c r="EPV1688" s="2730"/>
      <c r="EPW1688" s="2730"/>
      <c r="EPX1688" s="2730"/>
      <c r="EPY1688" s="2730"/>
      <c r="EPZ1688" s="2730"/>
      <c r="EQA1688" s="2730"/>
      <c r="EQB1688" s="2730"/>
      <c r="EQC1688" s="2730"/>
      <c r="EQD1688" s="2730"/>
      <c r="EQE1688" s="2730"/>
      <c r="EQF1688" s="2730"/>
      <c r="EQG1688" s="2730"/>
      <c r="EQH1688" s="2730"/>
      <c r="EQI1688" s="2730"/>
      <c r="EQJ1688" s="2730"/>
      <c r="EQK1688" s="2730"/>
      <c r="EQL1688" s="2730"/>
      <c r="EQM1688" s="2730"/>
      <c r="EQN1688" s="2730"/>
      <c r="EQO1688" s="2730"/>
      <c r="EQP1688" s="2730"/>
      <c r="EQQ1688" s="2730"/>
      <c r="EQR1688" s="2730"/>
      <c r="EQS1688" s="2730"/>
      <c r="EQT1688" s="2730"/>
      <c r="EQU1688" s="2730"/>
      <c r="EQV1688" s="2730"/>
      <c r="EQW1688" s="2730"/>
      <c r="EQX1688" s="2730"/>
      <c r="EQY1688" s="2730"/>
      <c r="EQZ1688" s="2730"/>
      <c r="ERA1688" s="2730"/>
      <c r="ERB1688" s="2730"/>
      <c r="ERC1688" s="2730"/>
      <c r="ERD1688" s="2730"/>
      <c r="ERE1688" s="2730"/>
      <c r="ERF1688" s="2730"/>
      <c r="ERG1688" s="2730"/>
      <c r="ERH1688" s="2730"/>
      <c r="ERI1688" s="2730"/>
      <c r="ERJ1688" s="2730"/>
      <c r="ERK1688" s="2730"/>
      <c r="ERL1688" s="2730"/>
      <c r="ERM1688" s="2730"/>
      <c r="ERN1688" s="2730"/>
      <c r="ERO1688" s="2730"/>
      <c r="ERP1688" s="2730"/>
      <c r="ERQ1688" s="2730"/>
      <c r="ERR1688" s="2730"/>
      <c r="ERS1688" s="2730"/>
      <c r="ERT1688" s="2730"/>
      <c r="ERU1688" s="2730"/>
      <c r="ERV1688" s="2730"/>
      <c r="ERW1688" s="2730"/>
      <c r="ERX1688" s="2730"/>
      <c r="ERY1688" s="2730"/>
      <c r="ERZ1688" s="2730"/>
      <c r="ESA1688" s="2730"/>
      <c r="ESB1688" s="2730"/>
      <c r="ESC1688" s="2730"/>
      <c r="ESD1688" s="2730"/>
      <c r="ESE1688" s="2730"/>
      <c r="ESF1688" s="2730"/>
      <c r="ESG1688" s="2730"/>
      <c r="ESH1688" s="2730"/>
      <c r="ESI1688" s="2730"/>
      <c r="ESJ1688" s="2730"/>
      <c r="ESK1688" s="2730"/>
      <c r="ESL1688" s="2730"/>
      <c r="ESM1688" s="2730"/>
      <c r="ESN1688" s="2730"/>
      <c r="ESO1688" s="2730"/>
      <c r="ESP1688" s="2730"/>
      <c r="ESQ1688" s="2730"/>
      <c r="ESR1688" s="2730"/>
      <c r="ESS1688" s="2730"/>
      <c r="EST1688" s="2730"/>
      <c r="ESU1688" s="2730"/>
      <c r="ESV1688" s="2730"/>
      <c r="ESW1688" s="2730"/>
      <c r="ESX1688" s="2730"/>
      <c r="ESY1688" s="2730"/>
      <c r="ESZ1688" s="2730"/>
      <c r="ETA1688" s="2730"/>
      <c r="ETB1688" s="2730"/>
      <c r="ETC1688" s="2730"/>
      <c r="ETD1688" s="2730"/>
      <c r="ETE1688" s="2730"/>
      <c r="ETF1688" s="2730"/>
      <c r="ETG1688" s="2730"/>
      <c r="ETH1688" s="2730"/>
      <c r="ETI1688" s="2730"/>
      <c r="ETJ1688" s="2730"/>
      <c r="ETK1688" s="2730"/>
      <c r="ETL1688" s="2730"/>
      <c r="ETM1688" s="2730"/>
      <c r="ETN1688" s="2730"/>
      <c r="ETO1688" s="2730"/>
      <c r="ETP1688" s="2730"/>
      <c r="ETQ1688" s="2730"/>
      <c r="ETR1688" s="2730"/>
      <c r="ETS1688" s="2730"/>
      <c r="ETT1688" s="2730"/>
      <c r="ETU1688" s="2730"/>
      <c r="ETV1688" s="2730"/>
      <c r="ETW1688" s="2730"/>
      <c r="ETX1688" s="2730"/>
      <c r="ETY1688" s="2730"/>
      <c r="ETZ1688" s="2730"/>
      <c r="EUA1688" s="2730"/>
      <c r="EUB1688" s="2730"/>
      <c r="EUC1688" s="2730"/>
      <c r="EUD1688" s="2730"/>
      <c r="EUE1688" s="2730"/>
      <c r="EUF1688" s="2730"/>
      <c r="EUG1688" s="2730"/>
      <c r="EUH1688" s="2730"/>
      <c r="EUI1688" s="2730"/>
      <c r="EUJ1688" s="2730"/>
      <c r="EUK1688" s="2730"/>
      <c r="EUL1688" s="2730"/>
      <c r="EUM1688" s="2730"/>
      <c r="EUN1688" s="2730"/>
      <c r="EUO1688" s="2730"/>
      <c r="EUP1688" s="2730"/>
      <c r="EUQ1688" s="2730"/>
      <c r="EUR1688" s="2730"/>
      <c r="EUS1688" s="2730"/>
      <c r="EUT1688" s="2730"/>
      <c r="EUU1688" s="2730"/>
      <c r="EUV1688" s="2730"/>
      <c r="EUW1688" s="2730"/>
      <c r="EUX1688" s="2730"/>
      <c r="EUY1688" s="2730"/>
      <c r="EUZ1688" s="2730"/>
      <c r="EVA1688" s="2730"/>
      <c r="EVB1688" s="2730"/>
      <c r="EVC1688" s="2730"/>
      <c r="EVD1688" s="2730"/>
      <c r="EVE1688" s="2730"/>
      <c r="EVF1688" s="2730"/>
      <c r="EVG1688" s="2730"/>
      <c r="EVH1688" s="2730"/>
      <c r="EVI1688" s="2730"/>
      <c r="EVJ1688" s="2730"/>
      <c r="EVK1688" s="2730"/>
      <c r="EVL1688" s="2730"/>
      <c r="EVM1688" s="2730"/>
      <c r="EVN1688" s="2730"/>
      <c r="EVO1688" s="2730"/>
      <c r="EVP1688" s="2730"/>
      <c r="EVQ1688" s="2730"/>
      <c r="EVR1688" s="2730"/>
      <c r="EVS1688" s="2730"/>
      <c r="EVT1688" s="2730"/>
      <c r="EVU1688" s="2730"/>
      <c r="EVV1688" s="2730"/>
      <c r="EVW1688" s="2730"/>
      <c r="EVX1688" s="2730"/>
      <c r="EVY1688" s="2730"/>
      <c r="EVZ1688" s="2730"/>
      <c r="EWA1688" s="2730"/>
      <c r="EWB1688" s="2730"/>
      <c r="EWC1688" s="2730"/>
      <c r="EWD1688" s="2730"/>
      <c r="EWE1688" s="2730"/>
      <c r="EWF1688" s="2730"/>
      <c r="EWG1688" s="2730"/>
      <c r="EWH1688" s="2730"/>
      <c r="EWI1688" s="2730"/>
      <c r="EWJ1688" s="2730"/>
      <c r="EWK1688" s="2730"/>
      <c r="EWL1688" s="2730"/>
      <c r="EWM1688" s="2730"/>
      <c r="EWN1688" s="2730"/>
      <c r="EWO1688" s="2730"/>
      <c r="EWP1688" s="2730"/>
      <c r="EWQ1688" s="2730"/>
      <c r="EWR1688" s="2730"/>
      <c r="EWS1688" s="2730"/>
      <c r="EWT1688" s="2730"/>
      <c r="EWU1688" s="2730"/>
      <c r="EWV1688" s="2730"/>
      <c r="EWW1688" s="2730"/>
      <c r="EWX1688" s="2730"/>
      <c r="EWY1688" s="2730"/>
      <c r="EWZ1688" s="2730"/>
      <c r="EXA1688" s="2730"/>
      <c r="EXB1688" s="2730"/>
      <c r="EXC1688" s="2730"/>
      <c r="EXD1688" s="2730"/>
      <c r="EXE1688" s="2730"/>
      <c r="EXF1688" s="2730"/>
      <c r="EXG1688" s="2730"/>
      <c r="EXH1688" s="2730"/>
      <c r="EXI1688" s="2730"/>
      <c r="EXJ1688" s="2730"/>
      <c r="EXK1688" s="2730"/>
      <c r="EXL1688" s="2730"/>
      <c r="EXM1688" s="2730"/>
      <c r="EXN1688" s="2730"/>
      <c r="EXO1688" s="2730"/>
      <c r="EXP1688" s="2730"/>
      <c r="EXQ1688" s="2730"/>
      <c r="EXR1688" s="2730"/>
      <c r="EXS1688" s="2730"/>
      <c r="EXT1688" s="2730"/>
      <c r="EXU1688" s="2730"/>
      <c r="EXV1688" s="2730"/>
      <c r="EXW1688" s="2730"/>
      <c r="EXX1688" s="2730"/>
      <c r="EXY1688" s="2730"/>
      <c r="EXZ1688" s="2730"/>
      <c r="EYA1688" s="2730"/>
      <c r="EYB1688" s="2730"/>
      <c r="EYC1688" s="2730"/>
      <c r="EYD1688" s="2730"/>
      <c r="EYE1688" s="2730"/>
      <c r="EYF1688" s="2730"/>
      <c r="EYG1688" s="2730"/>
      <c r="EYH1688" s="2730"/>
      <c r="EYI1688" s="2730"/>
      <c r="EYJ1688" s="2730"/>
      <c r="EYK1688" s="2730"/>
      <c r="EYL1688" s="2730"/>
      <c r="EYM1688" s="2730"/>
      <c r="EYN1688" s="2730"/>
      <c r="EYO1688" s="2730"/>
      <c r="EYP1688" s="2730"/>
      <c r="EYQ1688" s="2730"/>
      <c r="EYR1688" s="2730"/>
      <c r="EYS1688" s="2730"/>
      <c r="EYT1688" s="2730"/>
      <c r="EYU1688" s="2730"/>
      <c r="EYV1688" s="2730"/>
      <c r="EYW1688" s="2730"/>
      <c r="EYX1688" s="2730"/>
      <c r="EYY1688" s="2730"/>
      <c r="EYZ1688" s="2730"/>
      <c r="EZA1688" s="2730"/>
      <c r="EZB1688" s="2730"/>
      <c r="EZC1688" s="2730"/>
      <c r="EZD1688" s="2730"/>
      <c r="EZE1688" s="2730"/>
      <c r="EZF1688" s="2730"/>
      <c r="EZG1688" s="2730"/>
      <c r="EZH1688" s="2730"/>
      <c r="EZI1688" s="2730"/>
      <c r="EZJ1688" s="2730"/>
      <c r="EZK1688" s="2730"/>
      <c r="EZL1688" s="2730"/>
      <c r="EZM1688" s="2730"/>
      <c r="EZN1688" s="2730"/>
      <c r="EZO1688" s="2730"/>
      <c r="EZP1688" s="2730"/>
      <c r="EZQ1688" s="2730"/>
      <c r="EZR1688" s="2730"/>
      <c r="EZS1688" s="2730"/>
      <c r="EZT1688" s="2730"/>
      <c r="EZU1688" s="2730"/>
      <c r="EZV1688" s="2730"/>
      <c r="EZW1688" s="2730"/>
      <c r="EZX1688" s="2730"/>
      <c r="EZY1688" s="2730"/>
      <c r="EZZ1688" s="2730"/>
      <c r="FAA1688" s="2730"/>
      <c r="FAB1688" s="2730"/>
      <c r="FAC1688" s="2730"/>
      <c r="FAD1688" s="2730"/>
      <c r="FAE1688" s="2730"/>
      <c r="FAF1688" s="2730"/>
      <c r="FAG1688" s="2730"/>
      <c r="FAH1688" s="2730"/>
      <c r="FAI1688" s="2730"/>
      <c r="FAJ1688" s="2730"/>
      <c r="FAK1688" s="2730"/>
      <c r="FAL1688" s="2730"/>
      <c r="FAM1688" s="2730"/>
      <c r="FAN1688" s="2730"/>
      <c r="FAO1688" s="2730"/>
      <c r="FAP1688" s="2730"/>
      <c r="FAQ1688" s="2730"/>
      <c r="FAR1688" s="2730"/>
      <c r="FAS1688" s="2730"/>
      <c r="FAT1688" s="2730"/>
      <c r="FAU1688" s="2730"/>
      <c r="FAV1688" s="2730"/>
      <c r="FAW1688" s="2730"/>
      <c r="FAX1688" s="2730"/>
      <c r="FAY1688" s="2730"/>
      <c r="FAZ1688" s="2730"/>
      <c r="FBA1688" s="2730"/>
      <c r="FBB1688" s="2730"/>
      <c r="FBC1688" s="2730"/>
      <c r="FBD1688" s="2730"/>
      <c r="FBE1688" s="2730"/>
      <c r="FBF1688" s="2730"/>
      <c r="FBG1688" s="2730"/>
      <c r="FBH1688" s="2730"/>
      <c r="FBI1688" s="2730"/>
      <c r="FBJ1688" s="2730"/>
      <c r="FBK1688" s="2730"/>
      <c r="FBL1688" s="2730"/>
      <c r="FBM1688" s="2730"/>
      <c r="FBN1688" s="2730"/>
      <c r="FBO1688" s="2730"/>
      <c r="FBP1688" s="2730"/>
      <c r="FBQ1688" s="2730"/>
      <c r="FBR1688" s="2730"/>
      <c r="FBS1688" s="2730"/>
      <c r="FBT1688" s="2730"/>
      <c r="FBU1688" s="2730"/>
      <c r="FBV1688" s="2730"/>
      <c r="FBW1688" s="2730"/>
      <c r="FBX1688" s="2730"/>
      <c r="FBY1688" s="2730"/>
      <c r="FBZ1688" s="2730"/>
      <c r="FCA1688" s="2730"/>
      <c r="FCB1688" s="2730"/>
      <c r="FCC1688" s="2730"/>
      <c r="FCD1688" s="2730"/>
      <c r="FCE1688" s="2730"/>
      <c r="FCF1688" s="2730"/>
      <c r="FCG1688" s="2730"/>
      <c r="FCH1688" s="2730"/>
      <c r="FCI1688" s="2730"/>
      <c r="FCJ1688" s="2730"/>
      <c r="FCK1688" s="2730"/>
      <c r="FCL1688" s="2730"/>
      <c r="FCM1688" s="2730"/>
      <c r="FCN1688" s="2730"/>
      <c r="FCO1688" s="2730"/>
      <c r="FCP1688" s="2730"/>
      <c r="FCQ1688" s="2730"/>
      <c r="FCR1688" s="2730"/>
      <c r="FCS1688" s="2730"/>
      <c r="FCT1688" s="2730"/>
      <c r="FCU1688" s="2730"/>
      <c r="FCV1688" s="2730"/>
      <c r="FCW1688" s="2730"/>
      <c r="FCX1688" s="2730"/>
      <c r="FCY1688" s="2730"/>
      <c r="FCZ1688" s="2730"/>
      <c r="FDA1688" s="2730"/>
      <c r="FDB1688" s="2730"/>
      <c r="FDC1688" s="2730"/>
      <c r="FDD1688" s="2730"/>
      <c r="FDE1688" s="2730"/>
      <c r="FDF1688" s="2730"/>
      <c r="FDG1688" s="2730"/>
      <c r="FDH1688" s="2730"/>
      <c r="FDI1688" s="2730"/>
      <c r="FDJ1688" s="2730"/>
      <c r="FDK1688" s="2730"/>
      <c r="FDL1688" s="2730"/>
      <c r="FDM1688" s="2730"/>
      <c r="FDN1688" s="2730"/>
      <c r="FDO1688" s="2730"/>
      <c r="FDP1688" s="2730"/>
      <c r="FDQ1688" s="2730"/>
      <c r="FDR1688" s="2730"/>
      <c r="FDS1688" s="2730"/>
      <c r="FDT1688" s="2730"/>
      <c r="FDU1688" s="2730"/>
      <c r="FDV1688" s="2730"/>
      <c r="FDW1688" s="2730"/>
      <c r="FDX1688" s="2730"/>
      <c r="FDY1688" s="2730"/>
      <c r="FDZ1688" s="2730"/>
      <c r="FEA1688" s="2730"/>
      <c r="FEB1688" s="2730"/>
      <c r="FEC1688" s="2730"/>
      <c r="FED1688" s="2730"/>
      <c r="FEE1688" s="2730"/>
      <c r="FEF1688" s="2730"/>
      <c r="FEG1688" s="2730"/>
      <c r="FEH1688" s="2730"/>
      <c r="FEI1688" s="2730"/>
      <c r="FEJ1688" s="2730"/>
      <c r="FEK1688" s="2730"/>
      <c r="FEL1688" s="2730"/>
      <c r="FEM1688" s="2730"/>
      <c r="FEN1688" s="2730"/>
      <c r="FEO1688" s="2730"/>
      <c r="FEP1688" s="2730"/>
      <c r="FEQ1688" s="2730"/>
      <c r="FER1688" s="2730"/>
      <c r="FES1688" s="2730"/>
      <c r="FET1688" s="2730"/>
      <c r="FEU1688" s="2730"/>
      <c r="FEV1688" s="2730"/>
      <c r="FEW1688" s="2730"/>
      <c r="FEX1688" s="2730"/>
      <c r="FEY1688" s="2730"/>
      <c r="FEZ1688" s="2730"/>
      <c r="FFA1688" s="2730"/>
      <c r="FFB1688" s="2730"/>
      <c r="FFC1688" s="2730"/>
      <c r="FFD1688" s="2730"/>
      <c r="FFE1688" s="2730"/>
      <c r="FFF1688" s="2730"/>
      <c r="FFG1688" s="2730"/>
      <c r="FFH1688" s="2730"/>
      <c r="FFI1688" s="2730"/>
      <c r="FFJ1688" s="2730"/>
      <c r="FFK1688" s="2730"/>
      <c r="FFL1688" s="2730"/>
      <c r="FFM1688" s="2730"/>
      <c r="FFN1688" s="2730"/>
      <c r="FFO1688" s="2730"/>
      <c r="FFP1688" s="2730"/>
      <c r="FFQ1688" s="2730"/>
      <c r="FFR1688" s="2730"/>
      <c r="FFS1688" s="2730"/>
      <c r="FFT1688" s="2730"/>
      <c r="FFU1688" s="2730"/>
      <c r="FFV1688" s="2730"/>
      <c r="FFW1688" s="2730"/>
      <c r="FFX1688" s="2730"/>
      <c r="FFY1688" s="2730"/>
      <c r="FFZ1688" s="2730"/>
      <c r="FGA1688" s="2730"/>
      <c r="FGB1688" s="2730"/>
      <c r="FGC1688" s="2730"/>
      <c r="FGD1688" s="2730"/>
      <c r="FGE1688" s="2730"/>
      <c r="FGF1688" s="2730"/>
      <c r="FGG1688" s="2730"/>
      <c r="FGH1688" s="2730"/>
      <c r="FGI1688" s="2730"/>
      <c r="FGJ1688" s="2730"/>
      <c r="FGK1688" s="2730"/>
      <c r="FGL1688" s="2730"/>
      <c r="FGM1688" s="2730"/>
      <c r="FGN1688" s="2730"/>
      <c r="FGO1688" s="2730"/>
      <c r="FGP1688" s="2730"/>
      <c r="FGQ1688" s="2730"/>
      <c r="FGR1688" s="2730"/>
      <c r="FGS1688" s="2730"/>
      <c r="FGT1688" s="2730"/>
      <c r="FGU1688" s="2730"/>
      <c r="FGV1688" s="2730"/>
      <c r="FGW1688" s="2730"/>
      <c r="FGX1688" s="2730"/>
      <c r="FGY1688" s="2730"/>
      <c r="FGZ1688" s="2730"/>
      <c r="FHA1688" s="2730"/>
      <c r="FHB1688" s="2730"/>
      <c r="FHC1688" s="2730"/>
      <c r="FHD1688" s="2730"/>
      <c r="FHE1688" s="2730"/>
      <c r="FHF1688" s="2730"/>
      <c r="FHG1688" s="2730"/>
      <c r="FHH1688" s="2730"/>
      <c r="FHI1688" s="2730"/>
      <c r="FHJ1688" s="2730"/>
      <c r="FHK1688" s="2730"/>
      <c r="FHL1688" s="2730"/>
      <c r="FHM1688" s="2730"/>
      <c r="FHN1688" s="2730"/>
      <c r="FHO1688" s="2730"/>
      <c r="FHP1688" s="2730"/>
      <c r="FHQ1688" s="2730"/>
      <c r="FHR1688" s="2730"/>
      <c r="FHS1688" s="2730"/>
      <c r="FHT1688" s="2730"/>
      <c r="FHU1688" s="2730"/>
      <c r="FHV1688" s="2730"/>
      <c r="FHW1688" s="2730"/>
      <c r="FHX1688" s="2730"/>
      <c r="FHY1688" s="2730"/>
      <c r="FHZ1688" s="2730"/>
      <c r="FIA1688" s="2730"/>
      <c r="FIB1688" s="2730"/>
      <c r="FIC1688" s="2730"/>
      <c r="FID1688" s="2730"/>
      <c r="FIE1688" s="2730"/>
      <c r="FIF1688" s="2730"/>
      <c r="FIG1688" s="2730"/>
      <c r="FIH1688" s="2730"/>
      <c r="FII1688" s="2730"/>
      <c r="FIJ1688" s="2730"/>
      <c r="FIK1688" s="2730"/>
      <c r="FIL1688" s="2730"/>
      <c r="FIM1688" s="2730"/>
      <c r="FIN1688" s="2730"/>
      <c r="FIO1688" s="2730"/>
      <c r="FIP1688" s="2730"/>
      <c r="FIQ1688" s="2730"/>
      <c r="FIR1688" s="2730"/>
      <c r="FIS1688" s="2730"/>
      <c r="FIT1688" s="2730"/>
      <c r="FIU1688" s="2730"/>
      <c r="FIV1688" s="2730"/>
      <c r="FIW1688" s="2730"/>
      <c r="FIX1688" s="2730"/>
      <c r="FIY1688" s="2730"/>
      <c r="FIZ1688" s="2730"/>
      <c r="FJA1688" s="2730"/>
      <c r="FJB1688" s="2730"/>
      <c r="FJC1688" s="2730"/>
      <c r="FJD1688" s="2730"/>
      <c r="FJE1688" s="2730"/>
      <c r="FJF1688" s="2730"/>
      <c r="FJG1688" s="2730"/>
      <c r="FJH1688" s="2730"/>
      <c r="FJI1688" s="2730"/>
      <c r="FJJ1688" s="2730"/>
      <c r="FJK1688" s="2730"/>
      <c r="FJL1688" s="2730"/>
      <c r="FJM1688" s="2730"/>
      <c r="FJN1688" s="2730"/>
      <c r="FJO1688" s="2730"/>
      <c r="FJP1688" s="2730"/>
      <c r="FJQ1688" s="2730"/>
      <c r="FJR1688" s="2730"/>
      <c r="FJS1688" s="2730"/>
      <c r="FJT1688" s="2730"/>
      <c r="FJU1688" s="2730"/>
      <c r="FJV1688" s="2730"/>
      <c r="FJW1688" s="2730"/>
      <c r="FJX1688" s="2730"/>
      <c r="FJY1688" s="2730"/>
      <c r="FJZ1688" s="2730"/>
      <c r="FKA1688" s="2730"/>
      <c r="FKB1688" s="2730"/>
      <c r="FKC1688" s="2730"/>
      <c r="FKD1688" s="2730"/>
      <c r="FKE1688" s="2730"/>
      <c r="FKF1688" s="2730"/>
      <c r="FKG1688" s="2730"/>
      <c r="FKH1688" s="2730"/>
      <c r="FKI1688" s="2730"/>
      <c r="FKJ1688" s="2730"/>
      <c r="FKK1688" s="2730"/>
      <c r="FKL1688" s="2730"/>
      <c r="FKM1688" s="2730"/>
      <c r="FKN1688" s="2730"/>
      <c r="FKO1688" s="2730"/>
      <c r="FKP1688" s="2730"/>
      <c r="FKQ1688" s="2730"/>
      <c r="FKR1688" s="2730"/>
      <c r="FKS1688" s="2730"/>
      <c r="FKT1688" s="2730"/>
      <c r="FKU1688" s="2730"/>
      <c r="FKV1688" s="2730"/>
      <c r="FKW1688" s="2730"/>
      <c r="FKX1688" s="2730"/>
      <c r="FKY1688" s="2730"/>
      <c r="FKZ1688" s="2730"/>
      <c r="FLA1688" s="2730"/>
      <c r="FLB1688" s="2730"/>
      <c r="FLC1688" s="2730"/>
      <c r="FLD1688" s="2730"/>
      <c r="FLE1688" s="2730"/>
      <c r="FLF1688" s="2730"/>
      <c r="FLG1688" s="2730"/>
      <c r="FLH1688" s="2730"/>
      <c r="FLI1688" s="2730"/>
      <c r="FLJ1688" s="2730"/>
      <c r="FLK1688" s="2730"/>
      <c r="FLL1688" s="2730"/>
      <c r="FLM1688" s="2730"/>
      <c r="FLN1688" s="2730"/>
      <c r="FLO1688" s="2730"/>
      <c r="FLP1688" s="2730"/>
      <c r="FLQ1688" s="2730"/>
      <c r="FLR1688" s="2730"/>
      <c r="FLS1688" s="2730"/>
      <c r="FLT1688" s="2730"/>
      <c r="FLU1688" s="2730"/>
      <c r="FLV1688" s="2730"/>
      <c r="FLW1688" s="2730"/>
      <c r="FLX1688" s="2730"/>
      <c r="FLY1688" s="2730"/>
      <c r="FLZ1688" s="2730"/>
      <c r="FMA1688" s="2730"/>
      <c r="FMB1688" s="2730"/>
      <c r="FMC1688" s="2730"/>
      <c r="FMD1688" s="2730"/>
      <c r="FME1688" s="2730"/>
      <c r="FMF1688" s="2730"/>
      <c r="FMG1688" s="2730"/>
      <c r="FMH1688" s="2730"/>
      <c r="FMI1688" s="2730"/>
      <c r="FMJ1688" s="2730"/>
      <c r="FMK1688" s="2730"/>
      <c r="FML1688" s="2730"/>
      <c r="FMM1688" s="2730"/>
      <c r="FMN1688" s="2730"/>
      <c r="FMO1688" s="2730"/>
      <c r="FMP1688" s="2730"/>
      <c r="FMQ1688" s="2730"/>
      <c r="FMR1688" s="2730"/>
      <c r="FMS1688" s="2730"/>
      <c r="FMT1688" s="2730"/>
      <c r="FMU1688" s="2730"/>
      <c r="FMV1688" s="2730"/>
      <c r="FMW1688" s="2730"/>
      <c r="FMX1688" s="2730"/>
      <c r="FMY1688" s="2730"/>
      <c r="FMZ1688" s="2730"/>
      <c r="FNA1688" s="2730"/>
      <c r="FNB1688" s="2730"/>
      <c r="FNC1688" s="2730"/>
      <c r="FND1688" s="2730"/>
      <c r="FNE1688" s="2730"/>
      <c r="FNF1688" s="2730"/>
      <c r="FNG1688" s="2730"/>
      <c r="FNH1688" s="2730"/>
      <c r="FNI1688" s="2730"/>
      <c r="FNJ1688" s="2730"/>
      <c r="FNK1688" s="2730"/>
      <c r="FNL1688" s="2730"/>
      <c r="FNM1688" s="2730"/>
      <c r="FNN1688" s="2730"/>
      <c r="FNO1688" s="2730"/>
      <c r="FNP1688" s="2730"/>
      <c r="FNQ1688" s="2730"/>
      <c r="FNR1688" s="2730"/>
      <c r="FNS1688" s="2730"/>
      <c r="FNT1688" s="2730"/>
      <c r="FNU1688" s="2730"/>
      <c r="FNV1688" s="2730"/>
      <c r="FNW1688" s="2730"/>
      <c r="FNX1688" s="2730"/>
      <c r="FNY1688" s="2730"/>
      <c r="FNZ1688" s="2730"/>
      <c r="FOA1688" s="2730"/>
      <c r="FOB1688" s="2730"/>
      <c r="FOC1688" s="2730"/>
      <c r="FOD1688" s="2730"/>
      <c r="FOE1688" s="2730"/>
      <c r="FOF1688" s="2730"/>
      <c r="FOG1688" s="2730"/>
      <c r="FOH1688" s="2730"/>
      <c r="FOI1688" s="2730"/>
      <c r="FOJ1688" s="2730"/>
      <c r="FOK1688" s="2730"/>
      <c r="FOL1688" s="2730"/>
      <c r="FOM1688" s="2730"/>
      <c r="FON1688" s="2730"/>
      <c r="FOO1688" s="2730"/>
      <c r="FOP1688" s="2730"/>
      <c r="FOQ1688" s="2730"/>
      <c r="FOR1688" s="2730"/>
      <c r="FOS1688" s="2730"/>
      <c r="FOT1688" s="2730"/>
      <c r="FOU1688" s="2730"/>
      <c r="FOV1688" s="2730"/>
      <c r="FOW1688" s="2730"/>
      <c r="FOX1688" s="2730"/>
      <c r="FOY1688" s="2730"/>
      <c r="FOZ1688" s="2730"/>
      <c r="FPA1688" s="2730"/>
      <c r="FPB1688" s="2730"/>
      <c r="FPC1688" s="2730"/>
      <c r="FPD1688" s="2730"/>
      <c r="FPE1688" s="2730"/>
      <c r="FPF1688" s="2730"/>
      <c r="FPG1688" s="2730"/>
      <c r="FPH1688" s="2730"/>
      <c r="FPI1688" s="2730"/>
      <c r="FPJ1688" s="2730"/>
      <c r="FPK1688" s="2730"/>
      <c r="FPL1688" s="2730"/>
      <c r="FPM1688" s="2730"/>
      <c r="FPN1688" s="2730"/>
      <c r="FPO1688" s="2730"/>
      <c r="FPP1688" s="2730"/>
      <c r="FPQ1688" s="2730"/>
      <c r="FPR1688" s="2730"/>
      <c r="FPS1688" s="2730"/>
      <c r="FPT1688" s="2730"/>
      <c r="FPU1688" s="2730"/>
      <c r="FPV1688" s="2730"/>
      <c r="FPW1688" s="2730"/>
      <c r="FPX1688" s="2730"/>
      <c r="FPY1688" s="2730"/>
      <c r="FPZ1688" s="2730"/>
      <c r="FQA1688" s="2730"/>
      <c r="FQB1688" s="2730"/>
      <c r="FQC1688" s="2730"/>
      <c r="FQD1688" s="2730"/>
      <c r="FQE1688" s="2730"/>
      <c r="FQF1688" s="2730"/>
      <c r="FQG1688" s="2730"/>
      <c r="FQH1688" s="2730"/>
      <c r="FQI1688" s="2730"/>
      <c r="FQJ1688" s="2730"/>
      <c r="FQK1688" s="2730"/>
      <c r="FQL1688" s="2730"/>
      <c r="FQM1688" s="2730"/>
      <c r="FQN1688" s="2730"/>
      <c r="FQO1688" s="2730"/>
      <c r="FQP1688" s="2730"/>
      <c r="FQQ1688" s="2730"/>
      <c r="FQR1688" s="2730"/>
      <c r="FQS1688" s="2730"/>
      <c r="FQT1688" s="2730"/>
      <c r="FQU1688" s="2730"/>
      <c r="FQV1688" s="2730"/>
      <c r="FQW1688" s="2730"/>
      <c r="FQX1688" s="2730"/>
      <c r="FQY1688" s="2730"/>
      <c r="FQZ1688" s="2730"/>
      <c r="FRA1688" s="2730"/>
      <c r="FRB1688" s="2730"/>
      <c r="FRC1688" s="2730"/>
      <c r="FRD1688" s="2730"/>
      <c r="FRE1688" s="2730"/>
      <c r="FRF1688" s="2730"/>
      <c r="FRG1688" s="2730"/>
      <c r="FRH1688" s="2730"/>
      <c r="FRI1688" s="2730"/>
      <c r="FRJ1688" s="2730"/>
      <c r="FRK1688" s="2730"/>
      <c r="FRL1688" s="2730"/>
      <c r="FRM1688" s="2730"/>
      <c r="FRN1688" s="2730"/>
      <c r="FRO1688" s="2730"/>
      <c r="FRP1688" s="2730"/>
      <c r="FRQ1688" s="2730"/>
      <c r="FRR1688" s="2730"/>
      <c r="FRS1688" s="2730"/>
      <c r="FRT1688" s="2730"/>
      <c r="FRU1688" s="2730"/>
      <c r="FRV1688" s="2730"/>
      <c r="FRW1688" s="2730"/>
      <c r="FRX1688" s="2730"/>
      <c r="FRY1688" s="2730"/>
      <c r="FRZ1688" s="2730"/>
      <c r="FSA1688" s="2730"/>
      <c r="FSB1688" s="2730"/>
      <c r="FSC1688" s="2730"/>
      <c r="FSD1688" s="2730"/>
      <c r="FSE1688" s="2730"/>
      <c r="FSF1688" s="2730"/>
      <c r="FSG1688" s="2730"/>
      <c r="FSH1688" s="2730"/>
      <c r="FSI1688" s="2730"/>
      <c r="FSJ1688" s="2730"/>
      <c r="FSK1688" s="2730"/>
      <c r="FSL1688" s="2730"/>
      <c r="FSM1688" s="2730"/>
      <c r="FSN1688" s="2730"/>
      <c r="FSO1688" s="2730"/>
      <c r="FSP1688" s="2730"/>
      <c r="FSQ1688" s="2730"/>
      <c r="FSR1688" s="2730"/>
      <c r="FSS1688" s="2730"/>
      <c r="FST1688" s="2730"/>
      <c r="FSU1688" s="2730"/>
      <c r="FSV1688" s="2730"/>
      <c r="FSW1688" s="2730"/>
      <c r="FSX1688" s="2730"/>
      <c r="FSY1688" s="2730"/>
      <c r="FSZ1688" s="2730"/>
      <c r="FTA1688" s="2730"/>
      <c r="FTB1688" s="2730"/>
      <c r="FTC1688" s="2730"/>
      <c r="FTD1688" s="2730"/>
      <c r="FTE1688" s="2730"/>
      <c r="FTF1688" s="2730"/>
      <c r="FTG1688" s="2730"/>
      <c r="FTH1688" s="2730"/>
      <c r="FTI1688" s="2730"/>
      <c r="FTJ1688" s="2730"/>
      <c r="FTK1688" s="2730"/>
      <c r="FTL1688" s="2730"/>
      <c r="FTM1688" s="2730"/>
      <c r="FTN1688" s="2730"/>
      <c r="FTO1688" s="2730"/>
      <c r="FTP1688" s="2730"/>
      <c r="FTQ1688" s="2730"/>
      <c r="FTR1688" s="2730"/>
      <c r="FTS1688" s="2730"/>
      <c r="FTT1688" s="2730"/>
      <c r="FTU1688" s="2730"/>
      <c r="FTV1688" s="2730"/>
      <c r="FTW1688" s="2730"/>
      <c r="FTX1688" s="2730"/>
      <c r="FTY1688" s="2730"/>
      <c r="FTZ1688" s="2730"/>
      <c r="FUA1688" s="2730"/>
      <c r="FUB1688" s="2730"/>
      <c r="FUC1688" s="2730"/>
      <c r="FUD1688" s="2730"/>
      <c r="FUE1688" s="2730"/>
      <c r="FUF1688" s="2730"/>
      <c r="FUG1688" s="2730"/>
      <c r="FUH1688" s="2730"/>
      <c r="FUI1688" s="2730"/>
      <c r="FUJ1688" s="2730"/>
      <c r="FUK1688" s="2730"/>
      <c r="FUL1688" s="2730"/>
      <c r="FUM1688" s="2730"/>
      <c r="FUN1688" s="2730"/>
      <c r="FUO1688" s="2730"/>
      <c r="FUP1688" s="2730"/>
      <c r="FUQ1688" s="2730"/>
      <c r="FUR1688" s="2730"/>
      <c r="FUS1688" s="2730"/>
      <c r="FUT1688" s="2730"/>
      <c r="FUU1688" s="2730"/>
      <c r="FUV1688" s="2730"/>
      <c r="FUW1688" s="2730"/>
      <c r="FUX1688" s="2730"/>
      <c r="FUY1688" s="2730"/>
      <c r="FUZ1688" s="2730"/>
      <c r="FVA1688" s="2730"/>
      <c r="FVB1688" s="2730"/>
      <c r="FVC1688" s="2730"/>
      <c r="FVD1688" s="2730"/>
      <c r="FVE1688" s="2730"/>
      <c r="FVF1688" s="2730"/>
      <c r="FVG1688" s="2730"/>
      <c r="FVH1688" s="2730"/>
      <c r="FVI1688" s="2730"/>
      <c r="FVJ1688" s="2730"/>
      <c r="FVK1688" s="2730"/>
      <c r="FVL1688" s="2730"/>
      <c r="FVM1688" s="2730"/>
      <c r="FVN1688" s="2730"/>
      <c r="FVO1688" s="2730"/>
      <c r="FVP1688" s="2730"/>
      <c r="FVQ1688" s="2730"/>
      <c r="FVR1688" s="2730"/>
      <c r="FVS1688" s="2730"/>
      <c r="FVT1688" s="2730"/>
      <c r="FVU1688" s="2730"/>
      <c r="FVV1688" s="2730"/>
      <c r="FVW1688" s="2730"/>
      <c r="FVX1688" s="2730"/>
      <c r="FVY1688" s="2730"/>
      <c r="FVZ1688" s="2730"/>
      <c r="FWA1688" s="2730"/>
      <c r="FWB1688" s="2730"/>
      <c r="FWC1688" s="2730"/>
      <c r="FWD1688" s="2730"/>
      <c r="FWE1688" s="2730"/>
      <c r="FWF1688" s="2730"/>
      <c r="FWG1688" s="2730"/>
      <c r="FWH1688" s="2730"/>
      <c r="FWI1688" s="2730"/>
      <c r="FWJ1688" s="2730"/>
      <c r="FWK1688" s="2730"/>
      <c r="FWL1688" s="2730"/>
      <c r="FWM1688" s="2730"/>
      <c r="FWN1688" s="2730"/>
      <c r="FWO1688" s="2730"/>
      <c r="FWP1688" s="2730"/>
      <c r="FWQ1688" s="2730"/>
      <c r="FWR1688" s="2730"/>
      <c r="FWS1688" s="2730"/>
      <c r="FWT1688" s="2730"/>
      <c r="FWU1688" s="2730"/>
      <c r="FWV1688" s="2730"/>
      <c r="FWW1688" s="2730"/>
      <c r="FWX1688" s="2730"/>
      <c r="FWY1688" s="2730"/>
      <c r="FWZ1688" s="2730"/>
      <c r="FXA1688" s="2730"/>
      <c r="FXB1688" s="2730"/>
      <c r="FXC1688" s="2730"/>
      <c r="FXD1688" s="2730"/>
      <c r="FXE1688" s="2730"/>
      <c r="FXF1688" s="2730"/>
      <c r="FXG1688" s="2730"/>
      <c r="FXH1688" s="2730"/>
      <c r="FXI1688" s="2730"/>
      <c r="FXJ1688" s="2730"/>
      <c r="FXK1688" s="2730"/>
      <c r="FXL1688" s="2730"/>
      <c r="FXM1688" s="2730"/>
      <c r="FXN1688" s="2730"/>
      <c r="FXO1688" s="2730"/>
      <c r="FXP1688" s="2730"/>
      <c r="FXQ1688" s="2730"/>
      <c r="FXR1688" s="2730"/>
      <c r="FXS1688" s="2730"/>
      <c r="FXT1688" s="2730"/>
      <c r="FXU1688" s="2730"/>
      <c r="FXV1688" s="2730"/>
      <c r="FXW1688" s="2730"/>
      <c r="FXX1688" s="2730"/>
      <c r="FXY1688" s="2730"/>
      <c r="FXZ1688" s="2730"/>
      <c r="FYA1688" s="2730"/>
      <c r="FYB1688" s="2730"/>
      <c r="FYC1688" s="2730"/>
      <c r="FYD1688" s="2730"/>
      <c r="FYE1688" s="2730"/>
      <c r="FYF1688" s="2730"/>
      <c r="FYG1688" s="2730"/>
      <c r="FYH1688" s="2730"/>
      <c r="FYI1688" s="2730"/>
      <c r="FYJ1688" s="2730"/>
      <c r="FYK1688" s="2730"/>
      <c r="FYL1688" s="2730"/>
      <c r="FYM1688" s="2730"/>
      <c r="FYN1688" s="2730"/>
      <c r="FYO1688" s="2730"/>
      <c r="FYP1688" s="2730"/>
      <c r="FYQ1688" s="2730"/>
      <c r="FYR1688" s="2730"/>
      <c r="FYS1688" s="2730"/>
      <c r="FYT1688" s="2730"/>
      <c r="FYU1688" s="2730"/>
      <c r="FYV1688" s="2730"/>
      <c r="FYW1688" s="2730"/>
      <c r="FYX1688" s="2730"/>
      <c r="FYY1688" s="2730"/>
      <c r="FYZ1688" s="2730"/>
      <c r="FZA1688" s="2730"/>
      <c r="FZB1688" s="2730"/>
      <c r="FZC1688" s="2730"/>
      <c r="FZD1688" s="2730"/>
      <c r="FZE1688" s="2730"/>
      <c r="FZF1688" s="2730"/>
      <c r="FZG1688" s="2730"/>
      <c r="FZH1688" s="2730"/>
      <c r="FZI1688" s="2730"/>
      <c r="FZJ1688" s="2730"/>
      <c r="FZK1688" s="2730"/>
      <c r="FZL1688" s="2730"/>
      <c r="FZM1688" s="2730"/>
      <c r="FZN1688" s="2730"/>
      <c r="FZO1688" s="2730"/>
      <c r="FZP1688" s="2730"/>
      <c r="FZQ1688" s="2730"/>
      <c r="FZR1688" s="2730"/>
      <c r="FZS1688" s="2730"/>
      <c r="FZT1688" s="2730"/>
      <c r="FZU1688" s="2730"/>
      <c r="FZV1688" s="2730"/>
      <c r="FZW1688" s="2730"/>
      <c r="FZX1688" s="2730"/>
      <c r="FZY1688" s="2730"/>
      <c r="FZZ1688" s="2730"/>
      <c r="GAA1688" s="2730"/>
      <c r="GAB1688" s="2730"/>
      <c r="GAC1688" s="2730"/>
      <c r="GAD1688" s="2730"/>
      <c r="GAE1688" s="2730"/>
      <c r="GAF1688" s="2730"/>
      <c r="GAG1688" s="2730"/>
      <c r="GAH1688" s="2730"/>
      <c r="GAI1688" s="2730"/>
      <c r="GAJ1688" s="2730"/>
      <c r="GAK1688" s="2730"/>
      <c r="GAL1688" s="2730"/>
      <c r="GAM1688" s="2730"/>
      <c r="GAN1688" s="2730"/>
      <c r="GAO1688" s="2730"/>
      <c r="GAP1688" s="2730"/>
      <c r="GAQ1688" s="2730"/>
      <c r="GAR1688" s="2730"/>
      <c r="GAS1688" s="2730"/>
      <c r="GAT1688" s="2730"/>
      <c r="GAU1688" s="2730"/>
      <c r="GAV1688" s="2730"/>
      <c r="GAW1688" s="2730"/>
      <c r="GAX1688" s="2730"/>
      <c r="GAY1688" s="2730"/>
      <c r="GAZ1688" s="2730"/>
      <c r="GBA1688" s="2730"/>
      <c r="GBB1688" s="2730"/>
      <c r="GBC1688" s="2730"/>
      <c r="GBD1688" s="2730"/>
      <c r="GBE1688" s="2730"/>
      <c r="GBF1688" s="2730"/>
      <c r="GBG1688" s="2730"/>
      <c r="GBH1688" s="2730"/>
      <c r="GBI1688" s="2730"/>
      <c r="GBJ1688" s="2730"/>
      <c r="GBK1688" s="2730"/>
      <c r="GBL1688" s="2730"/>
      <c r="GBM1688" s="2730"/>
      <c r="GBN1688" s="2730"/>
      <c r="GBO1688" s="2730"/>
      <c r="GBP1688" s="2730"/>
      <c r="GBQ1688" s="2730"/>
      <c r="GBR1688" s="2730"/>
      <c r="GBS1688" s="2730"/>
      <c r="GBT1688" s="2730"/>
      <c r="GBU1688" s="2730"/>
      <c r="GBV1688" s="2730"/>
      <c r="GBW1688" s="2730"/>
      <c r="GBX1688" s="2730"/>
      <c r="GBY1688" s="2730"/>
      <c r="GBZ1688" s="2730"/>
      <c r="GCA1688" s="2730"/>
      <c r="GCB1688" s="2730"/>
      <c r="GCC1688" s="2730"/>
      <c r="GCD1688" s="2730"/>
      <c r="GCE1688" s="2730"/>
      <c r="GCF1688" s="2730"/>
      <c r="GCG1688" s="2730"/>
      <c r="GCH1688" s="2730"/>
      <c r="GCI1688" s="2730"/>
      <c r="GCJ1688" s="2730"/>
      <c r="GCK1688" s="2730"/>
      <c r="GCL1688" s="2730"/>
      <c r="GCM1688" s="2730"/>
      <c r="GCN1688" s="2730"/>
      <c r="GCO1688" s="2730"/>
      <c r="GCP1688" s="2730"/>
      <c r="GCQ1688" s="2730"/>
      <c r="GCR1688" s="2730"/>
      <c r="GCS1688" s="2730"/>
      <c r="GCT1688" s="2730"/>
      <c r="GCU1688" s="2730"/>
      <c r="GCV1688" s="2730"/>
      <c r="GCW1688" s="2730"/>
      <c r="GCX1688" s="2730"/>
      <c r="GCY1688" s="2730"/>
      <c r="GCZ1688" s="2730"/>
      <c r="GDA1688" s="2730"/>
      <c r="GDB1688" s="2730"/>
      <c r="GDC1688" s="2730"/>
      <c r="GDD1688" s="2730"/>
      <c r="GDE1688" s="2730"/>
      <c r="GDF1688" s="2730"/>
      <c r="GDG1688" s="2730"/>
      <c r="GDH1688" s="2730"/>
      <c r="GDI1688" s="2730"/>
      <c r="GDJ1688" s="2730"/>
      <c r="GDK1688" s="2730"/>
      <c r="GDL1688" s="2730"/>
      <c r="GDM1688" s="2730"/>
      <c r="GDN1688" s="2730"/>
      <c r="GDO1688" s="2730"/>
      <c r="GDP1688" s="2730"/>
      <c r="GDQ1688" s="2730"/>
      <c r="GDR1688" s="2730"/>
      <c r="GDS1688" s="2730"/>
      <c r="GDT1688" s="2730"/>
      <c r="GDU1688" s="2730"/>
      <c r="GDV1688" s="2730"/>
      <c r="GDW1688" s="2730"/>
      <c r="GDX1688" s="2730"/>
      <c r="GDY1688" s="2730"/>
      <c r="GDZ1688" s="2730"/>
      <c r="GEA1688" s="2730"/>
      <c r="GEB1688" s="2730"/>
      <c r="GEC1688" s="2730"/>
      <c r="GED1688" s="2730"/>
      <c r="GEE1688" s="2730"/>
      <c r="GEF1688" s="2730"/>
      <c r="GEG1688" s="2730"/>
      <c r="GEH1688" s="2730"/>
      <c r="GEI1688" s="2730"/>
      <c r="GEJ1688" s="2730"/>
      <c r="GEK1688" s="2730"/>
      <c r="GEL1688" s="2730"/>
      <c r="GEM1688" s="2730"/>
      <c r="GEN1688" s="2730"/>
      <c r="GEO1688" s="2730"/>
      <c r="GEP1688" s="2730"/>
      <c r="GEQ1688" s="2730"/>
      <c r="GER1688" s="2730"/>
      <c r="GES1688" s="2730"/>
      <c r="GET1688" s="2730"/>
      <c r="GEU1688" s="2730"/>
      <c r="GEV1688" s="2730"/>
      <c r="GEW1688" s="2730"/>
      <c r="GEX1688" s="2730"/>
      <c r="GEY1688" s="2730"/>
      <c r="GEZ1688" s="2730"/>
      <c r="GFA1688" s="2730"/>
      <c r="GFB1688" s="2730"/>
      <c r="GFC1688" s="2730"/>
      <c r="GFD1688" s="2730"/>
      <c r="GFE1688" s="2730"/>
      <c r="GFF1688" s="2730"/>
      <c r="GFG1688" s="2730"/>
      <c r="GFH1688" s="2730"/>
      <c r="GFI1688" s="2730"/>
      <c r="GFJ1688" s="2730"/>
      <c r="GFK1688" s="2730"/>
      <c r="GFL1688" s="2730"/>
      <c r="GFM1688" s="2730"/>
      <c r="GFN1688" s="2730"/>
      <c r="GFO1688" s="2730"/>
      <c r="GFP1688" s="2730"/>
      <c r="GFQ1688" s="2730"/>
      <c r="GFR1688" s="2730"/>
      <c r="GFS1688" s="2730"/>
      <c r="GFT1688" s="2730"/>
      <c r="GFU1688" s="2730"/>
      <c r="GFV1688" s="2730"/>
      <c r="GFW1688" s="2730"/>
      <c r="GFX1688" s="2730"/>
      <c r="GFY1688" s="2730"/>
      <c r="GFZ1688" s="2730"/>
      <c r="GGA1688" s="2730"/>
      <c r="GGB1688" s="2730"/>
      <c r="GGC1688" s="2730"/>
      <c r="GGD1688" s="2730"/>
      <c r="GGE1688" s="2730"/>
      <c r="GGF1688" s="2730"/>
      <c r="GGG1688" s="2730"/>
      <c r="GGH1688" s="2730"/>
      <c r="GGI1688" s="2730"/>
      <c r="GGJ1688" s="2730"/>
      <c r="GGK1688" s="2730"/>
      <c r="GGL1688" s="2730"/>
      <c r="GGM1688" s="2730"/>
      <c r="GGN1688" s="2730"/>
      <c r="GGO1688" s="2730"/>
      <c r="GGP1688" s="2730"/>
      <c r="GGQ1688" s="2730"/>
      <c r="GGR1688" s="2730"/>
      <c r="GGS1688" s="2730"/>
      <c r="GGT1688" s="2730"/>
      <c r="GGU1688" s="2730"/>
      <c r="GGV1688" s="2730"/>
      <c r="GGW1688" s="2730"/>
      <c r="GGX1688" s="2730"/>
      <c r="GGY1688" s="2730"/>
      <c r="GGZ1688" s="2730"/>
      <c r="GHA1688" s="2730"/>
      <c r="GHB1688" s="2730"/>
      <c r="GHC1688" s="2730"/>
      <c r="GHD1688" s="2730"/>
      <c r="GHE1688" s="2730"/>
      <c r="GHF1688" s="2730"/>
      <c r="GHG1688" s="2730"/>
      <c r="GHH1688" s="2730"/>
      <c r="GHI1688" s="2730"/>
      <c r="GHJ1688" s="2730"/>
      <c r="GHK1688" s="2730"/>
      <c r="GHL1688" s="2730"/>
      <c r="GHM1688" s="2730"/>
      <c r="GHN1688" s="2730"/>
      <c r="GHO1688" s="2730"/>
      <c r="GHP1688" s="2730"/>
      <c r="GHQ1688" s="2730"/>
      <c r="GHR1688" s="2730"/>
      <c r="GHS1688" s="2730"/>
      <c r="GHT1688" s="2730"/>
      <c r="GHU1688" s="2730"/>
      <c r="GHV1688" s="2730"/>
      <c r="GHW1688" s="2730"/>
      <c r="GHX1688" s="2730"/>
      <c r="GHY1688" s="2730"/>
      <c r="GHZ1688" s="2730"/>
      <c r="GIA1688" s="2730"/>
      <c r="GIB1688" s="2730"/>
      <c r="GIC1688" s="2730"/>
      <c r="GID1688" s="2730"/>
      <c r="GIE1688" s="2730"/>
      <c r="GIF1688" s="2730"/>
      <c r="GIG1688" s="2730"/>
      <c r="GIH1688" s="2730"/>
      <c r="GII1688" s="2730"/>
      <c r="GIJ1688" s="2730"/>
      <c r="GIK1688" s="2730"/>
      <c r="GIL1688" s="2730"/>
      <c r="GIM1688" s="2730"/>
      <c r="GIN1688" s="2730"/>
      <c r="GIO1688" s="2730"/>
      <c r="GIP1688" s="2730"/>
      <c r="GIQ1688" s="2730"/>
      <c r="GIR1688" s="2730"/>
      <c r="GIS1688" s="2730"/>
      <c r="GIT1688" s="2730"/>
      <c r="GIU1688" s="2730"/>
      <c r="GIV1688" s="2730"/>
      <c r="GIW1688" s="2730"/>
      <c r="GIX1688" s="2730"/>
      <c r="GIY1688" s="2730"/>
      <c r="GIZ1688" s="2730"/>
      <c r="GJA1688" s="2730"/>
      <c r="GJB1688" s="2730"/>
      <c r="GJC1688" s="2730"/>
      <c r="GJD1688" s="2730"/>
      <c r="GJE1688" s="2730"/>
      <c r="GJF1688" s="2730"/>
      <c r="GJG1688" s="2730"/>
      <c r="GJH1688" s="2730"/>
      <c r="GJI1688" s="2730"/>
      <c r="GJJ1688" s="2730"/>
      <c r="GJK1688" s="2730"/>
      <c r="GJL1688" s="2730"/>
      <c r="GJM1688" s="2730"/>
      <c r="GJN1688" s="2730"/>
      <c r="GJO1688" s="2730"/>
      <c r="GJP1688" s="2730"/>
      <c r="GJQ1688" s="2730"/>
      <c r="GJR1688" s="2730"/>
      <c r="GJS1688" s="2730"/>
      <c r="GJT1688" s="2730"/>
      <c r="GJU1688" s="2730"/>
      <c r="GJV1688" s="2730"/>
      <c r="GJW1688" s="2730"/>
      <c r="GJX1688" s="2730"/>
      <c r="GJY1688" s="2730"/>
      <c r="GJZ1688" s="2730"/>
      <c r="GKA1688" s="2730"/>
      <c r="GKB1688" s="2730"/>
      <c r="GKC1688" s="2730"/>
      <c r="GKD1688" s="2730"/>
      <c r="GKE1688" s="2730"/>
      <c r="GKF1688" s="2730"/>
      <c r="GKG1688" s="2730"/>
      <c r="GKH1688" s="2730"/>
      <c r="GKI1688" s="2730"/>
      <c r="GKJ1688" s="2730"/>
      <c r="GKK1688" s="2730"/>
      <c r="GKL1688" s="2730"/>
      <c r="GKM1688" s="2730"/>
      <c r="GKN1688" s="2730"/>
      <c r="GKO1688" s="2730"/>
      <c r="GKP1688" s="2730"/>
      <c r="GKQ1688" s="2730"/>
      <c r="GKR1688" s="2730"/>
      <c r="GKS1688" s="2730"/>
      <c r="GKT1688" s="2730"/>
      <c r="GKU1688" s="2730"/>
      <c r="GKV1688" s="2730"/>
      <c r="GKW1688" s="2730"/>
      <c r="GKX1688" s="2730"/>
      <c r="GKY1688" s="2730"/>
      <c r="GKZ1688" s="2730"/>
      <c r="GLA1688" s="2730"/>
      <c r="GLB1688" s="2730"/>
      <c r="GLC1688" s="2730"/>
      <c r="GLD1688" s="2730"/>
      <c r="GLE1688" s="2730"/>
      <c r="GLF1688" s="2730"/>
      <c r="GLG1688" s="2730"/>
      <c r="GLH1688" s="2730"/>
      <c r="GLI1688" s="2730"/>
      <c r="GLJ1688" s="2730"/>
      <c r="GLK1688" s="2730"/>
      <c r="GLL1688" s="2730"/>
      <c r="GLM1688" s="2730"/>
      <c r="GLN1688" s="2730"/>
      <c r="GLO1688" s="2730"/>
      <c r="GLP1688" s="2730"/>
      <c r="GLQ1688" s="2730"/>
      <c r="GLR1688" s="2730"/>
      <c r="GLS1688" s="2730"/>
      <c r="GLT1688" s="2730"/>
      <c r="GLU1688" s="2730"/>
      <c r="GLV1688" s="2730"/>
      <c r="GLW1688" s="2730"/>
      <c r="GLX1688" s="2730"/>
      <c r="GLY1688" s="2730"/>
      <c r="GLZ1688" s="2730"/>
      <c r="GMA1688" s="2730"/>
      <c r="GMB1688" s="2730"/>
      <c r="GMC1688" s="2730"/>
      <c r="GMD1688" s="2730"/>
      <c r="GME1688" s="2730"/>
      <c r="GMF1688" s="2730"/>
      <c r="GMG1688" s="2730"/>
      <c r="GMH1688" s="2730"/>
      <c r="GMI1688" s="2730"/>
      <c r="GMJ1688" s="2730"/>
      <c r="GMK1688" s="2730"/>
      <c r="GML1688" s="2730"/>
      <c r="GMM1688" s="2730"/>
      <c r="GMN1688" s="2730"/>
      <c r="GMO1688" s="2730"/>
      <c r="GMP1688" s="2730"/>
      <c r="GMQ1688" s="2730"/>
      <c r="GMR1688" s="2730"/>
      <c r="GMS1688" s="2730"/>
      <c r="GMT1688" s="2730"/>
      <c r="GMU1688" s="2730"/>
      <c r="GMV1688" s="2730"/>
      <c r="GMW1688" s="2730"/>
      <c r="GMX1688" s="2730"/>
      <c r="GMY1688" s="2730"/>
      <c r="GMZ1688" s="2730"/>
      <c r="GNA1688" s="2730"/>
      <c r="GNB1688" s="2730"/>
      <c r="GNC1688" s="2730"/>
      <c r="GND1688" s="2730"/>
      <c r="GNE1688" s="2730"/>
      <c r="GNF1688" s="2730"/>
      <c r="GNG1688" s="2730"/>
      <c r="GNH1688" s="2730"/>
      <c r="GNI1688" s="2730"/>
      <c r="GNJ1688" s="2730"/>
      <c r="GNK1688" s="2730"/>
      <c r="GNL1688" s="2730"/>
      <c r="GNM1688" s="2730"/>
      <c r="GNN1688" s="2730"/>
      <c r="GNO1688" s="2730"/>
      <c r="GNP1688" s="2730"/>
      <c r="GNQ1688" s="2730"/>
      <c r="GNR1688" s="2730"/>
      <c r="GNS1688" s="2730"/>
      <c r="GNT1688" s="2730"/>
      <c r="GNU1688" s="2730"/>
      <c r="GNV1688" s="2730"/>
      <c r="GNW1688" s="2730"/>
      <c r="GNX1688" s="2730"/>
      <c r="GNY1688" s="2730"/>
      <c r="GNZ1688" s="2730"/>
      <c r="GOA1688" s="2730"/>
      <c r="GOB1688" s="2730"/>
      <c r="GOC1688" s="2730"/>
      <c r="GOD1688" s="2730"/>
      <c r="GOE1688" s="2730"/>
      <c r="GOF1688" s="2730"/>
      <c r="GOG1688" s="2730"/>
      <c r="GOH1688" s="2730"/>
      <c r="GOI1688" s="2730"/>
      <c r="GOJ1688" s="2730"/>
      <c r="GOK1688" s="2730"/>
      <c r="GOL1688" s="2730"/>
      <c r="GOM1688" s="2730"/>
      <c r="GON1688" s="2730"/>
      <c r="GOO1688" s="2730"/>
      <c r="GOP1688" s="2730"/>
      <c r="GOQ1688" s="2730"/>
      <c r="GOR1688" s="2730"/>
      <c r="GOS1688" s="2730"/>
      <c r="GOT1688" s="2730"/>
      <c r="GOU1688" s="2730"/>
      <c r="GOV1688" s="2730"/>
      <c r="GOW1688" s="2730"/>
      <c r="GOX1688" s="2730"/>
      <c r="GOY1688" s="2730"/>
      <c r="GOZ1688" s="2730"/>
      <c r="GPA1688" s="2730"/>
      <c r="GPB1688" s="2730"/>
      <c r="GPC1688" s="2730"/>
      <c r="GPD1688" s="2730"/>
      <c r="GPE1688" s="2730"/>
      <c r="GPF1688" s="2730"/>
      <c r="GPG1688" s="2730"/>
      <c r="GPH1688" s="2730"/>
      <c r="GPI1688" s="2730"/>
      <c r="GPJ1688" s="2730"/>
      <c r="GPK1688" s="2730"/>
      <c r="GPL1688" s="2730"/>
      <c r="GPM1688" s="2730"/>
      <c r="GPN1688" s="2730"/>
      <c r="GPO1688" s="2730"/>
      <c r="GPP1688" s="2730"/>
      <c r="GPQ1688" s="2730"/>
      <c r="GPR1688" s="2730"/>
      <c r="GPS1688" s="2730"/>
      <c r="GPT1688" s="2730"/>
      <c r="GPU1688" s="2730"/>
      <c r="GPV1688" s="2730"/>
      <c r="GPW1688" s="2730"/>
      <c r="GPX1688" s="2730"/>
      <c r="GPY1688" s="2730"/>
      <c r="GPZ1688" s="2730"/>
      <c r="GQA1688" s="2730"/>
      <c r="GQB1688" s="2730"/>
      <c r="GQC1688" s="2730"/>
      <c r="GQD1688" s="2730"/>
      <c r="GQE1688" s="2730"/>
      <c r="GQF1688" s="2730"/>
      <c r="GQG1688" s="2730"/>
      <c r="GQH1688" s="2730"/>
      <c r="GQI1688" s="2730"/>
      <c r="GQJ1688" s="2730"/>
      <c r="GQK1688" s="2730"/>
      <c r="GQL1688" s="2730"/>
      <c r="GQM1688" s="2730"/>
      <c r="GQN1688" s="2730"/>
      <c r="GQO1688" s="2730"/>
      <c r="GQP1688" s="2730"/>
      <c r="GQQ1688" s="2730"/>
      <c r="GQR1688" s="2730"/>
      <c r="GQS1688" s="2730"/>
      <c r="GQT1688" s="2730"/>
      <c r="GQU1688" s="2730"/>
      <c r="GQV1688" s="2730"/>
      <c r="GQW1688" s="2730"/>
      <c r="GQX1688" s="2730"/>
      <c r="GQY1688" s="2730"/>
      <c r="GQZ1688" s="2730"/>
      <c r="GRA1688" s="2730"/>
      <c r="GRB1688" s="2730"/>
      <c r="GRC1688" s="2730"/>
      <c r="GRD1688" s="2730"/>
      <c r="GRE1688" s="2730"/>
      <c r="GRF1688" s="2730"/>
      <c r="GRG1688" s="2730"/>
      <c r="GRH1688" s="2730"/>
      <c r="GRI1688" s="2730"/>
      <c r="GRJ1688" s="2730"/>
      <c r="GRK1688" s="2730"/>
      <c r="GRL1688" s="2730"/>
      <c r="GRM1688" s="2730"/>
      <c r="GRN1688" s="2730"/>
      <c r="GRO1688" s="2730"/>
      <c r="GRP1688" s="2730"/>
      <c r="GRQ1688" s="2730"/>
      <c r="GRR1688" s="2730"/>
      <c r="GRS1688" s="2730"/>
      <c r="GRT1688" s="2730"/>
      <c r="GRU1688" s="2730"/>
      <c r="GRV1688" s="2730"/>
      <c r="GRW1688" s="2730"/>
      <c r="GRX1688" s="2730"/>
      <c r="GRY1688" s="2730"/>
      <c r="GRZ1688" s="2730"/>
      <c r="GSA1688" s="2730"/>
      <c r="GSB1688" s="2730"/>
      <c r="GSC1688" s="2730"/>
      <c r="GSD1688" s="2730"/>
      <c r="GSE1688" s="2730"/>
      <c r="GSF1688" s="2730"/>
      <c r="GSG1688" s="2730"/>
      <c r="GSH1688" s="2730"/>
      <c r="GSI1688" s="2730"/>
      <c r="GSJ1688" s="2730"/>
      <c r="GSK1688" s="2730"/>
      <c r="GSL1688" s="2730"/>
      <c r="GSM1688" s="2730"/>
      <c r="GSN1688" s="2730"/>
      <c r="GSO1688" s="2730"/>
      <c r="GSP1688" s="2730"/>
      <c r="GSQ1688" s="2730"/>
      <c r="GSR1688" s="2730"/>
      <c r="GSS1688" s="2730"/>
      <c r="GST1688" s="2730"/>
      <c r="GSU1688" s="2730"/>
      <c r="GSV1688" s="2730"/>
      <c r="GSW1688" s="2730"/>
      <c r="GSX1688" s="2730"/>
      <c r="GSY1688" s="2730"/>
      <c r="GSZ1688" s="2730"/>
      <c r="GTA1688" s="2730"/>
      <c r="GTB1688" s="2730"/>
      <c r="GTC1688" s="2730"/>
      <c r="GTD1688" s="2730"/>
      <c r="GTE1688" s="2730"/>
      <c r="GTF1688" s="2730"/>
      <c r="GTG1688" s="2730"/>
      <c r="GTH1688" s="2730"/>
      <c r="GTI1688" s="2730"/>
      <c r="GTJ1688" s="2730"/>
      <c r="GTK1688" s="2730"/>
      <c r="GTL1688" s="2730"/>
      <c r="GTM1688" s="2730"/>
      <c r="GTN1688" s="2730"/>
      <c r="GTO1688" s="2730"/>
      <c r="GTP1688" s="2730"/>
      <c r="GTQ1688" s="2730"/>
      <c r="GTR1688" s="2730"/>
      <c r="GTS1688" s="2730"/>
      <c r="GTT1688" s="2730"/>
      <c r="GTU1688" s="2730"/>
      <c r="GTV1688" s="2730"/>
      <c r="GTW1688" s="2730"/>
      <c r="GTX1688" s="2730"/>
      <c r="GTY1688" s="2730"/>
      <c r="GTZ1688" s="2730"/>
      <c r="GUA1688" s="2730"/>
      <c r="GUB1688" s="2730"/>
      <c r="GUC1688" s="2730"/>
      <c r="GUD1688" s="2730"/>
      <c r="GUE1688" s="2730"/>
      <c r="GUF1688" s="2730"/>
      <c r="GUG1688" s="2730"/>
      <c r="GUH1688" s="2730"/>
      <c r="GUI1688" s="2730"/>
      <c r="GUJ1688" s="2730"/>
      <c r="GUK1688" s="2730"/>
      <c r="GUL1688" s="2730"/>
      <c r="GUM1688" s="2730"/>
      <c r="GUN1688" s="2730"/>
      <c r="GUO1688" s="2730"/>
      <c r="GUP1688" s="2730"/>
      <c r="GUQ1688" s="2730"/>
      <c r="GUR1688" s="2730"/>
      <c r="GUS1688" s="2730"/>
      <c r="GUT1688" s="2730"/>
      <c r="GUU1688" s="2730"/>
      <c r="GUV1688" s="2730"/>
      <c r="GUW1688" s="2730"/>
      <c r="GUX1688" s="2730"/>
      <c r="GUY1688" s="2730"/>
      <c r="GUZ1688" s="2730"/>
      <c r="GVA1688" s="2730"/>
      <c r="GVB1688" s="2730"/>
      <c r="GVC1688" s="2730"/>
      <c r="GVD1688" s="2730"/>
      <c r="GVE1688" s="2730"/>
      <c r="GVF1688" s="2730"/>
      <c r="GVG1688" s="2730"/>
      <c r="GVH1688" s="2730"/>
      <c r="GVI1688" s="2730"/>
      <c r="GVJ1688" s="2730"/>
      <c r="GVK1688" s="2730"/>
      <c r="GVL1688" s="2730"/>
      <c r="GVM1688" s="2730"/>
      <c r="GVN1688" s="2730"/>
      <c r="GVO1688" s="2730"/>
      <c r="GVP1688" s="2730"/>
      <c r="GVQ1688" s="2730"/>
      <c r="GVR1688" s="2730"/>
      <c r="GVS1688" s="2730"/>
      <c r="GVT1688" s="2730"/>
      <c r="GVU1688" s="2730"/>
      <c r="GVV1688" s="2730"/>
      <c r="GVW1688" s="2730"/>
      <c r="GVX1688" s="2730"/>
      <c r="GVY1688" s="2730"/>
      <c r="GVZ1688" s="2730"/>
      <c r="GWA1688" s="2730"/>
      <c r="GWB1688" s="2730"/>
      <c r="GWC1688" s="2730"/>
      <c r="GWD1688" s="2730"/>
      <c r="GWE1688" s="2730"/>
      <c r="GWF1688" s="2730"/>
      <c r="GWG1688" s="2730"/>
      <c r="GWH1688" s="2730"/>
      <c r="GWI1688" s="2730"/>
      <c r="GWJ1688" s="2730"/>
      <c r="GWK1688" s="2730"/>
      <c r="GWL1688" s="2730"/>
      <c r="GWM1688" s="2730"/>
      <c r="GWN1688" s="2730"/>
      <c r="GWO1688" s="2730"/>
      <c r="GWP1688" s="2730"/>
      <c r="GWQ1688" s="2730"/>
      <c r="GWR1688" s="2730"/>
      <c r="GWS1688" s="2730"/>
      <c r="GWT1688" s="2730"/>
      <c r="GWU1688" s="2730"/>
      <c r="GWV1688" s="2730"/>
      <c r="GWW1688" s="2730"/>
      <c r="GWX1688" s="2730"/>
      <c r="GWY1688" s="2730"/>
      <c r="GWZ1688" s="2730"/>
      <c r="GXA1688" s="2730"/>
      <c r="GXB1688" s="2730"/>
      <c r="GXC1688" s="2730"/>
      <c r="GXD1688" s="2730"/>
      <c r="GXE1688" s="2730"/>
      <c r="GXF1688" s="2730"/>
      <c r="GXG1688" s="2730"/>
      <c r="GXH1688" s="2730"/>
      <c r="GXI1688" s="2730"/>
      <c r="GXJ1688" s="2730"/>
      <c r="GXK1688" s="2730"/>
      <c r="GXL1688" s="2730"/>
      <c r="GXM1688" s="2730"/>
      <c r="GXN1688" s="2730"/>
      <c r="GXO1688" s="2730"/>
      <c r="GXP1688" s="2730"/>
      <c r="GXQ1688" s="2730"/>
      <c r="GXR1688" s="2730"/>
      <c r="GXS1688" s="2730"/>
      <c r="GXT1688" s="2730"/>
      <c r="GXU1688" s="2730"/>
      <c r="GXV1688" s="2730"/>
      <c r="GXW1688" s="2730"/>
      <c r="GXX1688" s="2730"/>
      <c r="GXY1688" s="2730"/>
      <c r="GXZ1688" s="2730"/>
      <c r="GYA1688" s="2730"/>
      <c r="GYB1688" s="2730"/>
      <c r="GYC1688" s="2730"/>
      <c r="GYD1688" s="2730"/>
      <c r="GYE1688" s="2730"/>
      <c r="GYF1688" s="2730"/>
      <c r="GYG1688" s="2730"/>
      <c r="GYH1688" s="2730"/>
      <c r="GYI1688" s="2730"/>
      <c r="GYJ1688" s="2730"/>
      <c r="GYK1688" s="2730"/>
      <c r="GYL1688" s="2730"/>
      <c r="GYM1688" s="2730"/>
      <c r="GYN1688" s="2730"/>
      <c r="GYO1688" s="2730"/>
      <c r="GYP1688" s="2730"/>
      <c r="GYQ1688" s="2730"/>
      <c r="GYR1688" s="2730"/>
      <c r="GYS1688" s="2730"/>
      <c r="GYT1688" s="2730"/>
      <c r="GYU1688" s="2730"/>
      <c r="GYV1688" s="2730"/>
      <c r="GYW1688" s="2730"/>
      <c r="GYX1688" s="2730"/>
      <c r="GYY1688" s="2730"/>
      <c r="GYZ1688" s="2730"/>
      <c r="GZA1688" s="2730"/>
      <c r="GZB1688" s="2730"/>
      <c r="GZC1688" s="2730"/>
      <c r="GZD1688" s="2730"/>
      <c r="GZE1688" s="2730"/>
      <c r="GZF1688" s="2730"/>
      <c r="GZG1688" s="2730"/>
      <c r="GZH1688" s="2730"/>
      <c r="GZI1688" s="2730"/>
      <c r="GZJ1688" s="2730"/>
      <c r="GZK1688" s="2730"/>
      <c r="GZL1688" s="2730"/>
      <c r="GZM1688" s="2730"/>
      <c r="GZN1688" s="2730"/>
      <c r="GZO1688" s="2730"/>
      <c r="GZP1688" s="2730"/>
      <c r="GZQ1688" s="2730"/>
      <c r="GZR1688" s="2730"/>
      <c r="GZS1688" s="2730"/>
      <c r="GZT1688" s="2730"/>
      <c r="GZU1688" s="2730"/>
      <c r="GZV1688" s="2730"/>
      <c r="GZW1688" s="2730"/>
      <c r="GZX1688" s="2730"/>
      <c r="GZY1688" s="2730"/>
      <c r="GZZ1688" s="2730"/>
      <c r="HAA1688" s="2730"/>
      <c r="HAB1688" s="2730"/>
      <c r="HAC1688" s="2730"/>
      <c r="HAD1688" s="2730"/>
      <c r="HAE1688" s="2730"/>
      <c r="HAF1688" s="2730"/>
      <c r="HAG1688" s="2730"/>
      <c r="HAH1688" s="2730"/>
      <c r="HAI1688" s="2730"/>
      <c r="HAJ1688" s="2730"/>
      <c r="HAK1688" s="2730"/>
      <c r="HAL1688" s="2730"/>
      <c r="HAM1688" s="2730"/>
      <c r="HAN1688" s="2730"/>
      <c r="HAO1688" s="2730"/>
      <c r="HAP1688" s="2730"/>
      <c r="HAQ1688" s="2730"/>
      <c r="HAR1688" s="2730"/>
      <c r="HAS1688" s="2730"/>
      <c r="HAT1688" s="2730"/>
      <c r="HAU1688" s="2730"/>
      <c r="HAV1688" s="2730"/>
      <c r="HAW1688" s="2730"/>
      <c r="HAX1688" s="2730"/>
      <c r="HAY1688" s="2730"/>
      <c r="HAZ1688" s="2730"/>
      <c r="HBA1688" s="2730"/>
      <c r="HBB1688" s="2730"/>
      <c r="HBC1688" s="2730"/>
      <c r="HBD1688" s="2730"/>
      <c r="HBE1688" s="2730"/>
      <c r="HBF1688" s="2730"/>
      <c r="HBG1688" s="2730"/>
      <c r="HBH1688" s="2730"/>
      <c r="HBI1688" s="2730"/>
      <c r="HBJ1688" s="2730"/>
      <c r="HBK1688" s="2730"/>
      <c r="HBL1688" s="2730"/>
      <c r="HBM1688" s="2730"/>
      <c r="HBN1688" s="2730"/>
      <c r="HBO1688" s="2730"/>
      <c r="HBP1688" s="2730"/>
      <c r="HBQ1688" s="2730"/>
      <c r="HBR1688" s="2730"/>
      <c r="HBS1688" s="2730"/>
      <c r="HBT1688" s="2730"/>
      <c r="HBU1688" s="2730"/>
      <c r="HBV1688" s="2730"/>
      <c r="HBW1688" s="2730"/>
      <c r="HBX1688" s="2730"/>
      <c r="HBY1688" s="2730"/>
      <c r="HBZ1688" s="2730"/>
      <c r="HCA1688" s="2730"/>
      <c r="HCB1688" s="2730"/>
      <c r="HCC1688" s="2730"/>
      <c r="HCD1688" s="2730"/>
      <c r="HCE1688" s="2730"/>
      <c r="HCF1688" s="2730"/>
      <c r="HCG1688" s="2730"/>
      <c r="HCH1688" s="2730"/>
      <c r="HCI1688" s="2730"/>
      <c r="HCJ1688" s="2730"/>
      <c r="HCK1688" s="2730"/>
      <c r="HCL1688" s="2730"/>
      <c r="HCM1688" s="2730"/>
      <c r="HCN1688" s="2730"/>
      <c r="HCO1688" s="2730"/>
      <c r="HCP1688" s="2730"/>
      <c r="HCQ1688" s="2730"/>
      <c r="HCR1688" s="2730"/>
      <c r="HCS1688" s="2730"/>
      <c r="HCT1688" s="2730"/>
      <c r="HCU1688" s="2730"/>
      <c r="HCV1688" s="2730"/>
      <c r="HCW1688" s="2730"/>
      <c r="HCX1688" s="2730"/>
      <c r="HCY1688" s="2730"/>
      <c r="HCZ1688" s="2730"/>
      <c r="HDA1688" s="2730"/>
      <c r="HDB1688" s="2730"/>
      <c r="HDC1688" s="2730"/>
      <c r="HDD1688" s="2730"/>
      <c r="HDE1688" s="2730"/>
      <c r="HDF1688" s="2730"/>
      <c r="HDG1688" s="2730"/>
      <c r="HDH1688" s="2730"/>
      <c r="HDI1688" s="2730"/>
      <c r="HDJ1688" s="2730"/>
      <c r="HDK1688" s="2730"/>
      <c r="HDL1688" s="2730"/>
      <c r="HDM1688" s="2730"/>
      <c r="HDN1688" s="2730"/>
      <c r="HDO1688" s="2730"/>
      <c r="HDP1688" s="2730"/>
      <c r="HDQ1688" s="2730"/>
      <c r="HDR1688" s="2730"/>
      <c r="HDS1688" s="2730"/>
      <c r="HDT1688" s="2730"/>
      <c r="HDU1688" s="2730"/>
      <c r="HDV1688" s="2730"/>
      <c r="HDW1688" s="2730"/>
      <c r="HDX1688" s="2730"/>
      <c r="HDY1688" s="2730"/>
      <c r="HDZ1688" s="2730"/>
      <c r="HEA1688" s="2730"/>
      <c r="HEB1688" s="2730"/>
      <c r="HEC1688" s="2730"/>
      <c r="HED1688" s="2730"/>
      <c r="HEE1688" s="2730"/>
      <c r="HEF1688" s="2730"/>
      <c r="HEG1688" s="2730"/>
      <c r="HEH1688" s="2730"/>
      <c r="HEI1688" s="2730"/>
      <c r="HEJ1688" s="2730"/>
      <c r="HEK1688" s="2730"/>
      <c r="HEL1688" s="2730"/>
      <c r="HEM1688" s="2730"/>
      <c r="HEN1688" s="2730"/>
      <c r="HEO1688" s="2730"/>
      <c r="HEP1688" s="2730"/>
      <c r="HEQ1688" s="2730"/>
      <c r="HER1688" s="2730"/>
      <c r="HES1688" s="2730"/>
      <c r="HET1688" s="2730"/>
      <c r="HEU1688" s="2730"/>
      <c r="HEV1688" s="2730"/>
      <c r="HEW1688" s="2730"/>
      <c r="HEX1688" s="2730"/>
      <c r="HEY1688" s="2730"/>
      <c r="HEZ1688" s="2730"/>
      <c r="HFA1688" s="2730"/>
      <c r="HFB1688" s="2730"/>
      <c r="HFC1688" s="2730"/>
      <c r="HFD1688" s="2730"/>
      <c r="HFE1688" s="2730"/>
      <c r="HFF1688" s="2730"/>
      <c r="HFG1688" s="2730"/>
      <c r="HFH1688" s="2730"/>
      <c r="HFI1688" s="2730"/>
      <c r="HFJ1688" s="2730"/>
      <c r="HFK1688" s="2730"/>
      <c r="HFL1688" s="2730"/>
      <c r="HFM1688" s="2730"/>
      <c r="HFN1688" s="2730"/>
      <c r="HFO1688" s="2730"/>
      <c r="HFP1688" s="2730"/>
      <c r="HFQ1688" s="2730"/>
      <c r="HFR1688" s="2730"/>
      <c r="HFS1688" s="2730"/>
      <c r="HFT1688" s="2730"/>
      <c r="HFU1688" s="2730"/>
      <c r="HFV1688" s="2730"/>
      <c r="HFW1688" s="2730"/>
      <c r="HFX1688" s="2730"/>
      <c r="HFY1688" s="2730"/>
      <c r="HFZ1688" s="2730"/>
      <c r="HGA1688" s="2730"/>
      <c r="HGB1688" s="2730"/>
      <c r="HGC1688" s="2730"/>
      <c r="HGD1688" s="2730"/>
      <c r="HGE1688" s="2730"/>
      <c r="HGF1688" s="2730"/>
      <c r="HGG1688" s="2730"/>
      <c r="HGH1688" s="2730"/>
      <c r="HGI1688" s="2730"/>
      <c r="HGJ1688" s="2730"/>
      <c r="HGK1688" s="2730"/>
      <c r="HGL1688" s="2730"/>
      <c r="HGM1688" s="2730"/>
      <c r="HGN1688" s="2730"/>
      <c r="HGO1688" s="2730"/>
      <c r="HGP1688" s="2730"/>
      <c r="HGQ1688" s="2730"/>
      <c r="HGR1688" s="2730"/>
      <c r="HGS1688" s="2730"/>
      <c r="HGT1688" s="2730"/>
      <c r="HGU1688" s="2730"/>
      <c r="HGV1688" s="2730"/>
      <c r="HGW1688" s="2730"/>
      <c r="HGX1688" s="2730"/>
      <c r="HGY1688" s="2730"/>
      <c r="HGZ1688" s="2730"/>
      <c r="HHA1688" s="2730"/>
      <c r="HHB1688" s="2730"/>
      <c r="HHC1688" s="2730"/>
      <c r="HHD1688" s="2730"/>
      <c r="HHE1688" s="2730"/>
      <c r="HHF1688" s="2730"/>
      <c r="HHG1688" s="2730"/>
      <c r="HHH1688" s="2730"/>
      <c r="HHI1688" s="2730"/>
      <c r="HHJ1688" s="2730"/>
      <c r="HHK1688" s="2730"/>
      <c r="HHL1688" s="2730"/>
      <c r="HHM1688" s="2730"/>
      <c r="HHN1688" s="2730"/>
      <c r="HHO1688" s="2730"/>
      <c r="HHP1688" s="2730"/>
      <c r="HHQ1688" s="2730"/>
      <c r="HHR1688" s="2730"/>
      <c r="HHS1688" s="2730"/>
      <c r="HHT1688" s="2730"/>
      <c r="HHU1688" s="2730"/>
      <c r="HHV1688" s="2730"/>
      <c r="HHW1688" s="2730"/>
      <c r="HHX1688" s="2730"/>
      <c r="HHY1688" s="2730"/>
      <c r="HHZ1688" s="2730"/>
      <c r="HIA1688" s="2730"/>
      <c r="HIB1688" s="2730"/>
      <c r="HIC1688" s="2730"/>
      <c r="HID1688" s="2730"/>
      <c r="HIE1688" s="2730"/>
      <c r="HIF1688" s="2730"/>
      <c r="HIG1688" s="2730"/>
      <c r="HIH1688" s="2730"/>
      <c r="HII1688" s="2730"/>
      <c r="HIJ1688" s="2730"/>
      <c r="HIK1688" s="2730"/>
      <c r="HIL1688" s="2730"/>
      <c r="HIM1688" s="2730"/>
      <c r="HIN1688" s="2730"/>
      <c r="HIO1688" s="2730"/>
      <c r="HIP1688" s="2730"/>
      <c r="HIQ1688" s="2730"/>
      <c r="HIR1688" s="2730"/>
      <c r="HIS1688" s="2730"/>
      <c r="HIT1688" s="2730"/>
      <c r="HIU1688" s="2730"/>
      <c r="HIV1688" s="2730"/>
      <c r="HIW1688" s="2730"/>
      <c r="HIX1688" s="2730"/>
      <c r="HIY1688" s="2730"/>
      <c r="HIZ1688" s="2730"/>
      <c r="HJA1688" s="2730"/>
      <c r="HJB1688" s="2730"/>
      <c r="HJC1688" s="2730"/>
      <c r="HJD1688" s="2730"/>
      <c r="HJE1688" s="2730"/>
      <c r="HJF1688" s="2730"/>
      <c r="HJG1688" s="2730"/>
      <c r="HJH1688" s="2730"/>
      <c r="HJI1688" s="2730"/>
      <c r="HJJ1688" s="2730"/>
      <c r="HJK1688" s="2730"/>
      <c r="HJL1688" s="2730"/>
      <c r="HJM1688" s="2730"/>
      <c r="HJN1688" s="2730"/>
      <c r="HJO1688" s="2730"/>
      <c r="HJP1688" s="2730"/>
      <c r="HJQ1688" s="2730"/>
      <c r="HJR1688" s="2730"/>
      <c r="HJS1688" s="2730"/>
      <c r="HJT1688" s="2730"/>
      <c r="HJU1688" s="2730"/>
      <c r="HJV1688" s="2730"/>
      <c r="HJW1688" s="2730"/>
      <c r="HJX1688" s="2730"/>
      <c r="HJY1688" s="2730"/>
      <c r="HJZ1688" s="2730"/>
      <c r="HKA1688" s="2730"/>
      <c r="HKB1688" s="2730"/>
      <c r="HKC1688" s="2730"/>
      <c r="HKD1688" s="2730"/>
      <c r="HKE1688" s="2730"/>
      <c r="HKF1688" s="2730"/>
      <c r="HKG1688" s="2730"/>
      <c r="HKH1688" s="2730"/>
      <c r="HKI1688" s="2730"/>
      <c r="HKJ1688" s="2730"/>
      <c r="HKK1688" s="2730"/>
      <c r="HKL1688" s="2730"/>
      <c r="HKM1688" s="2730"/>
      <c r="HKN1688" s="2730"/>
      <c r="HKO1688" s="2730"/>
      <c r="HKP1688" s="2730"/>
      <c r="HKQ1688" s="2730"/>
      <c r="HKR1688" s="2730"/>
      <c r="HKS1688" s="2730"/>
      <c r="HKT1688" s="2730"/>
      <c r="HKU1688" s="2730"/>
      <c r="HKV1688" s="2730"/>
      <c r="HKW1688" s="2730"/>
      <c r="HKX1688" s="2730"/>
      <c r="HKY1688" s="2730"/>
      <c r="HKZ1688" s="2730"/>
      <c r="HLA1688" s="2730"/>
      <c r="HLB1688" s="2730"/>
      <c r="HLC1688" s="2730"/>
      <c r="HLD1688" s="2730"/>
      <c r="HLE1688" s="2730"/>
      <c r="HLF1688" s="2730"/>
      <c r="HLG1688" s="2730"/>
      <c r="HLH1688" s="2730"/>
      <c r="HLI1688" s="2730"/>
      <c r="HLJ1688" s="2730"/>
      <c r="HLK1688" s="2730"/>
      <c r="HLL1688" s="2730"/>
      <c r="HLM1688" s="2730"/>
      <c r="HLN1688" s="2730"/>
      <c r="HLO1688" s="2730"/>
      <c r="HLP1688" s="2730"/>
      <c r="HLQ1688" s="2730"/>
      <c r="HLR1688" s="2730"/>
      <c r="HLS1688" s="2730"/>
      <c r="HLT1688" s="2730"/>
      <c r="HLU1688" s="2730"/>
      <c r="HLV1688" s="2730"/>
      <c r="HLW1688" s="2730"/>
      <c r="HLX1688" s="2730"/>
      <c r="HLY1688" s="2730"/>
      <c r="HLZ1688" s="2730"/>
      <c r="HMA1688" s="2730"/>
      <c r="HMB1688" s="2730"/>
      <c r="HMC1688" s="2730"/>
      <c r="HMD1688" s="2730"/>
      <c r="HME1688" s="2730"/>
      <c r="HMF1688" s="2730"/>
      <c r="HMG1688" s="2730"/>
      <c r="HMH1688" s="2730"/>
      <c r="HMI1688" s="2730"/>
      <c r="HMJ1688" s="2730"/>
      <c r="HMK1688" s="2730"/>
      <c r="HML1688" s="2730"/>
      <c r="HMM1688" s="2730"/>
      <c r="HMN1688" s="2730"/>
      <c r="HMO1688" s="2730"/>
      <c r="HMP1688" s="2730"/>
      <c r="HMQ1688" s="2730"/>
      <c r="HMR1688" s="2730"/>
      <c r="HMS1688" s="2730"/>
      <c r="HMT1688" s="2730"/>
      <c r="HMU1688" s="2730"/>
      <c r="HMV1688" s="2730"/>
      <c r="HMW1688" s="2730"/>
      <c r="HMX1688" s="2730"/>
      <c r="HMY1688" s="2730"/>
      <c r="HMZ1688" s="2730"/>
      <c r="HNA1688" s="2730"/>
      <c r="HNB1688" s="2730"/>
      <c r="HNC1688" s="2730"/>
      <c r="HND1688" s="2730"/>
      <c r="HNE1688" s="2730"/>
      <c r="HNF1688" s="2730"/>
      <c r="HNG1688" s="2730"/>
      <c r="HNH1688" s="2730"/>
      <c r="HNI1688" s="2730"/>
      <c r="HNJ1688" s="2730"/>
      <c r="HNK1688" s="2730"/>
      <c r="HNL1688" s="2730"/>
      <c r="HNM1688" s="2730"/>
      <c r="HNN1688" s="2730"/>
      <c r="HNO1688" s="2730"/>
      <c r="HNP1688" s="2730"/>
      <c r="HNQ1688" s="2730"/>
      <c r="HNR1688" s="2730"/>
      <c r="HNS1688" s="2730"/>
      <c r="HNT1688" s="2730"/>
      <c r="HNU1688" s="2730"/>
      <c r="HNV1688" s="2730"/>
      <c r="HNW1688" s="2730"/>
      <c r="HNX1688" s="2730"/>
      <c r="HNY1688" s="2730"/>
      <c r="HNZ1688" s="2730"/>
      <c r="HOA1688" s="2730"/>
      <c r="HOB1688" s="2730"/>
      <c r="HOC1688" s="2730"/>
      <c r="HOD1688" s="2730"/>
      <c r="HOE1688" s="2730"/>
      <c r="HOF1688" s="2730"/>
      <c r="HOG1688" s="2730"/>
      <c r="HOH1688" s="2730"/>
      <c r="HOI1688" s="2730"/>
      <c r="HOJ1688" s="2730"/>
      <c r="HOK1688" s="2730"/>
      <c r="HOL1688" s="2730"/>
      <c r="HOM1688" s="2730"/>
      <c r="HON1688" s="2730"/>
      <c r="HOO1688" s="2730"/>
      <c r="HOP1688" s="2730"/>
      <c r="HOQ1688" s="2730"/>
      <c r="HOR1688" s="2730"/>
      <c r="HOS1688" s="2730"/>
      <c r="HOT1688" s="2730"/>
      <c r="HOU1688" s="2730"/>
      <c r="HOV1688" s="2730"/>
      <c r="HOW1688" s="2730"/>
      <c r="HOX1688" s="2730"/>
      <c r="HOY1688" s="2730"/>
      <c r="HOZ1688" s="2730"/>
      <c r="HPA1688" s="2730"/>
      <c r="HPB1688" s="2730"/>
      <c r="HPC1688" s="2730"/>
      <c r="HPD1688" s="2730"/>
      <c r="HPE1688" s="2730"/>
      <c r="HPF1688" s="2730"/>
      <c r="HPG1688" s="2730"/>
      <c r="HPH1688" s="2730"/>
      <c r="HPI1688" s="2730"/>
      <c r="HPJ1688" s="2730"/>
      <c r="HPK1688" s="2730"/>
      <c r="HPL1688" s="2730"/>
      <c r="HPM1688" s="2730"/>
      <c r="HPN1688" s="2730"/>
      <c r="HPO1688" s="2730"/>
      <c r="HPP1688" s="2730"/>
      <c r="HPQ1688" s="2730"/>
      <c r="HPR1688" s="2730"/>
      <c r="HPS1688" s="2730"/>
      <c r="HPT1688" s="2730"/>
      <c r="HPU1688" s="2730"/>
      <c r="HPV1688" s="2730"/>
      <c r="HPW1688" s="2730"/>
      <c r="HPX1688" s="2730"/>
      <c r="HPY1688" s="2730"/>
      <c r="HPZ1688" s="2730"/>
      <c r="HQA1688" s="2730"/>
      <c r="HQB1688" s="2730"/>
      <c r="HQC1688" s="2730"/>
      <c r="HQD1688" s="2730"/>
      <c r="HQE1688" s="2730"/>
      <c r="HQF1688" s="2730"/>
      <c r="HQG1688" s="2730"/>
      <c r="HQH1688" s="2730"/>
      <c r="HQI1688" s="2730"/>
      <c r="HQJ1688" s="2730"/>
      <c r="HQK1688" s="2730"/>
      <c r="HQL1688" s="2730"/>
      <c r="HQM1688" s="2730"/>
      <c r="HQN1688" s="2730"/>
      <c r="HQO1688" s="2730"/>
      <c r="HQP1688" s="2730"/>
      <c r="HQQ1688" s="2730"/>
      <c r="HQR1688" s="2730"/>
      <c r="HQS1688" s="2730"/>
      <c r="HQT1688" s="2730"/>
      <c r="HQU1688" s="2730"/>
      <c r="HQV1688" s="2730"/>
      <c r="HQW1688" s="2730"/>
      <c r="HQX1688" s="2730"/>
      <c r="HQY1688" s="2730"/>
      <c r="HQZ1688" s="2730"/>
      <c r="HRA1688" s="2730"/>
      <c r="HRB1688" s="2730"/>
      <c r="HRC1688" s="2730"/>
      <c r="HRD1688" s="2730"/>
      <c r="HRE1688" s="2730"/>
      <c r="HRF1688" s="2730"/>
      <c r="HRG1688" s="2730"/>
      <c r="HRH1688" s="2730"/>
      <c r="HRI1688" s="2730"/>
      <c r="HRJ1688" s="2730"/>
      <c r="HRK1688" s="2730"/>
      <c r="HRL1688" s="2730"/>
      <c r="HRM1688" s="2730"/>
      <c r="HRN1688" s="2730"/>
      <c r="HRO1688" s="2730"/>
      <c r="HRP1688" s="2730"/>
      <c r="HRQ1688" s="2730"/>
      <c r="HRR1688" s="2730"/>
      <c r="HRS1688" s="2730"/>
      <c r="HRT1688" s="2730"/>
      <c r="HRU1688" s="2730"/>
      <c r="HRV1688" s="2730"/>
      <c r="HRW1688" s="2730"/>
      <c r="HRX1688" s="2730"/>
      <c r="HRY1688" s="2730"/>
      <c r="HRZ1688" s="2730"/>
      <c r="HSA1688" s="2730"/>
      <c r="HSB1688" s="2730"/>
      <c r="HSC1688" s="2730"/>
      <c r="HSD1688" s="2730"/>
      <c r="HSE1688" s="2730"/>
      <c r="HSF1688" s="2730"/>
      <c r="HSG1688" s="2730"/>
      <c r="HSH1688" s="2730"/>
      <c r="HSI1688" s="2730"/>
      <c r="HSJ1688" s="2730"/>
      <c r="HSK1688" s="2730"/>
      <c r="HSL1688" s="2730"/>
      <c r="HSM1688" s="2730"/>
      <c r="HSN1688" s="2730"/>
      <c r="HSO1688" s="2730"/>
      <c r="HSP1688" s="2730"/>
      <c r="HSQ1688" s="2730"/>
      <c r="HSR1688" s="2730"/>
      <c r="HSS1688" s="2730"/>
      <c r="HST1688" s="2730"/>
      <c r="HSU1688" s="2730"/>
      <c r="HSV1688" s="2730"/>
      <c r="HSW1688" s="2730"/>
      <c r="HSX1688" s="2730"/>
      <c r="HSY1688" s="2730"/>
      <c r="HSZ1688" s="2730"/>
      <c r="HTA1688" s="2730"/>
      <c r="HTB1688" s="2730"/>
      <c r="HTC1688" s="2730"/>
      <c r="HTD1688" s="2730"/>
      <c r="HTE1688" s="2730"/>
      <c r="HTF1688" s="2730"/>
      <c r="HTG1688" s="2730"/>
      <c r="HTH1688" s="2730"/>
      <c r="HTI1688" s="2730"/>
      <c r="HTJ1688" s="2730"/>
      <c r="HTK1688" s="2730"/>
      <c r="HTL1688" s="2730"/>
      <c r="HTM1688" s="2730"/>
      <c r="HTN1688" s="2730"/>
      <c r="HTO1688" s="2730"/>
      <c r="HTP1688" s="2730"/>
      <c r="HTQ1688" s="2730"/>
      <c r="HTR1688" s="2730"/>
      <c r="HTS1688" s="2730"/>
      <c r="HTT1688" s="2730"/>
      <c r="HTU1688" s="2730"/>
      <c r="HTV1688" s="2730"/>
      <c r="HTW1688" s="2730"/>
      <c r="HTX1688" s="2730"/>
      <c r="HTY1688" s="2730"/>
      <c r="HTZ1688" s="2730"/>
      <c r="HUA1688" s="2730"/>
      <c r="HUB1688" s="2730"/>
      <c r="HUC1688" s="2730"/>
      <c r="HUD1688" s="2730"/>
      <c r="HUE1688" s="2730"/>
      <c r="HUF1688" s="2730"/>
      <c r="HUG1688" s="2730"/>
      <c r="HUH1688" s="2730"/>
      <c r="HUI1688" s="2730"/>
      <c r="HUJ1688" s="2730"/>
      <c r="HUK1688" s="2730"/>
      <c r="HUL1688" s="2730"/>
      <c r="HUM1688" s="2730"/>
      <c r="HUN1688" s="2730"/>
      <c r="HUO1688" s="2730"/>
      <c r="HUP1688" s="2730"/>
      <c r="HUQ1688" s="2730"/>
      <c r="HUR1688" s="2730"/>
      <c r="HUS1688" s="2730"/>
      <c r="HUT1688" s="2730"/>
      <c r="HUU1688" s="2730"/>
      <c r="HUV1688" s="2730"/>
      <c r="HUW1688" s="2730"/>
      <c r="HUX1688" s="2730"/>
      <c r="HUY1688" s="2730"/>
      <c r="HUZ1688" s="2730"/>
      <c r="HVA1688" s="2730"/>
      <c r="HVB1688" s="2730"/>
      <c r="HVC1688" s="2730"/>
      <c r="HVD1688" s="2730"/>
      <c r="HVE1688" s="2730"/>
      <c r="HVF1688" s="2730"/>
      <c r="HVG1688" s="2730"/>
      <c r="HVH1688" s="2730"/>
      <c r="HVI1688" s="2730"/>
      <c r="HVJ1688" s="2730"/>
      <c r="HVK1688" s="2730"/>
      <c r="HVL1688" s="2730"/>
      <c r="HVM1688" s="2730"/>
      <c r="HVN1688" s="2730"/>
      <c r="HVO1688" s="2730"/>
      <c r="HVP1688" s="2730"/>
      <c r="HVQ1688" s="2730"/>
      <c r="HVR1688" s="2730"/>
      <c r="HVS1688" s="2730"/>
      <c r="HVT1688" s="2730"/>
      <c r="HVU1688" s="2730"/>
      <c r="HVV1688" s="2730"/>
      <c r="HVW1688" s="2730"/>
      <c r="HVX1688" s="2730"/>
      <c r="HVY1688" s="2730"/>
      <c r="HVZ1688" s="2730"/>
      <c r="HWA1688" s="2730"/>
      <c r="HWB1688" s="2730"/>
      <c r="HWC1688" s="2730"/>
      <c r="HWD1688" s="2730"/>
      <c r="HWE1688" s="2730"/>
      <c r="HWF1688" s="2730"/>
      <c r="HWG1688" s="2730"/>
      <c r="HWH1688" s="2730"/>
      <c r="HWI1688" s="2730"/>
      <c r="HWJ1688" s="2730"/>
      <c r="HWK1688" s="2730"/>
      <c r="HWL1688" s="2730"/>
      <c r="HWM1688" s="2730"/>
      <c r="HWN1688" s="2730"/>
      <c r="HWO1688" s="2730"/>
      <c r="HWP1688" s="2730"/>
      <c r="HWQ1688" s="2730"/>
      <c r="HWR1688" s="2730"/>
      <c r="HWS1688" s="2730"/>
      <c r="HWT1688" s="2730"/>
      <c r="HWU1688" s="2730"/>
      <c r="HWV1688" s="2730"/>
      <c r="HWW1688" s="2730"/>
      <c r="HWX1688" s="2730"/>
      <c r="HWY1688" s="2730"/>
      <c r="HWZ1688" s="2730"/>
      <c r="HXA1688" s="2730"/>
      <c r="HXB1688" s="2730"/>
      <c r="HXC1688" s="2730"/>
      <c r="HXD1688" s="2730"/>
      <c r="HXE1688" s="2730"/>
      <c r="HXF1688" s="2730"/>
      <c r="HXG1688" s="2730"/>
      <c r="HXH1688" s="2730"/>
      <c r="HXI1688" s="2730"/>
      <c r="HXJ1688" s="2730"/>
      <c r="HXK1688" s="2730"/>
      <c r="HXL1688" s="2730"/>
      <c r="HXM1688" s="2730"/>
      <c r="HXN1688" s="2730"/>
      <c r="HXO1688" s="2730"/>
      <c r="HXP1688" s="2730"/>
      <c r="HXQ1688" s="2730"/>
      <c r="HXR1688" s="2730"/>
      <c r="HXS1688" s="2730"/>
      <c r="HXT1688" s="2730"/>
      <c r="HXU1688" s="2730"/>
      <c r="HXV1688" s="2730"/>
      <c r="HXW1688" s="2730"/>
      <c r="HXX1688" s="2730"/>
      <c r="HXY1688" s="2730"/>
      <c r="HXZ1688" s="2730"/>
      <c r="HYA1688" s="2730"/>
      <c r="HYB1688" s="2730"/>
      <c r="HYC1688" s="2730"/>
      <c r="HYD1688" s="2730"/>
      <c r="HYE1688" s="2730"/>
      <c r="HYF1688" s="2730"/>
      <c r="HYG1688" s="2730"/>
      <c r="HYH1688" s="2730"/>
      <c r="HYI1688" s="2730"/>
      <c r="HYJ1688" s="2730"/>
      <c r="HYK1688" s="2730"/>
      <c r="HYL1688" s="2730"/>
      <c r="HYM1688" s="2730"/>
      <c r="HYN1688" s="2730"/>
      <c r="HYO1688" s="2730"/>
      <c r="HYP1688" s="2730"/>
      <c r="HYQ1688" s="2730"/>
      <c r="HYR1688" s="2730"/>
      <c r="HYS1688" s="2730"/>
      <c r="HYT1688" s="2730"/>
      <c r="HYU1688" s="2730"/>
      <c r="HYV1688" s="2730"/>
      <c r="HYW1688" s="2730"/>
      <c r="HYX1688" s="2730"/>
      <c r="HYY1688" s="2730"/>
      <c r="HYZ1688" s="2730"/>
      <c r="HZA1688" s="2730"/>
      <c r="HZB1688" s="2730"/>
      <c r="HZC1688" s="2730"/>
      <c r="HZD1688" s="2730"/>
      <c r="HZE1688" s="2730"/>
      <c r="HZF1688" s="2730"/>
      <c r="HZG1688" s="2730"/>
      <c r="HZH1688" s="2730"/>
      <c r="HZI1688" s="2730"/>
      <c r="HZJ1688" s="2730"/>
      <c r="HZK1688" s="2730"/>
      <c r="HZL1688" s="2730"/>
      <c r="HZM1688" s="2730"/>
      <c r="HZN1688" s="2730"/>
      <c r="HZO1688" s="2730"/>
      <c r="HZP1688" s="2730"/>
      <c r="HZQ1688" s="2730"/>
      <c r="HZR1688" s="2730"/>
      <c r="HZS1688" s="2730"/>
      <c r="HZT1688" s="2730"/>
      <c r="HZU1688" s="2730"/>
      <c r="HZV1688" s="2730"/>
      <c r="HZW1688" s="2730"/>
      <c r="HZX1688" s="2730"/>
      <c r="HZY1688" s="2730"/>
      <c r="HZZ1688" s="2730"/>
      <c r="IAA1688" s="2730"/>
      <c r="IAB1688" s="2730"/>
      <c r="IAC1688" s="2730"/>
      <c r="IAD1688" s="2730"/>
      <c r="IAE1688" s="2730"/>
      <c r="IAF1688" s="2730"/>
      <c r="IAG1688" s="2730"/>
      <c r="IAH1688" s="2730"/>
      <c r="IAI1688" s="2730"/>
      <c r="IAJ1688" s="2730"/>
      <c r="IAK1688" s="2730"/>
      <c r="IAL1688" s="2730"/>
      <c r="IAM1688" s="2730"/>
      <c r="IAN1688" s="2730"/>
      <c r="IAO1688" s="2730"/>
      <c r="IAP1688" s="2730"/>
      <c r="IAQ1688" s="2730"/>
      <c r="IAR1688" s="2730"/>
      <c r="IAS1688" s="2730"/>
      <c r="IAT1688" s="2730"/>
      <c r="IAU1688" s="2730"/>
      <c r="IAV1688" s="2730"/>
      <c r="IAW1688" s="2730"/>
      <c r="IAX1688" s="2730"/>
      <c r="IAY1688" s="2730"/>
      <c r="IAZ1688" s="2730"/>
      <c r="IBA1688" s="2730"/>
      <c r="IBB1688" s="2730"/>
      <c r="IBC1688" s="2730"/>
      <c r="IBD1688" s="2730"/>
      <c r="IBE1688" s="2730"/>
      <c r="IBF1688" s="2730"/>
      <c r="IBG1688" s="2730"/>
      <c r="IBH1688" s="2730"/>
      <c r="IBI1688" s="2730"/>
      <c r="IBJ1688" s="2730"/>
      <c r="IBK1688" s="2730"/>
      <c r="IBL1688" s="2730"/>
      <c r="IBM1688" s="2730"/>
      <c r="IBN1688" s="2730"/>
      <c r="IBO1688" s="2730"/>
      <c r="IBP1688" s="2730"/>
      <c r="IBQ1688" s="2730"/>
      <c r="IBR1688" s="2730"/>
      <c r="IBS1688" s="2730"/>
      <c r="IBT1688" s="2730"/>
      <c r="IBU1688" s="2730"/>
      <c r="IBV1688" s="2730"/>
      <c r="IBW1688" s="2730"/>
      <c r="IBX1688" s="2730"/>
      <c r="IBY1688" s="2730"/>
      <c r="IBZ1688" s="2730"/>
      <c r="ICA1688" s="2730"/>
      <c r="ICB1688" s="2730"/>
      <c r="ICC1688" s="2730"/>
      <c r="ICD1688" s="2730"/>
      <c r="ICE1688" s="2730"/>
      <c r="ICF1688" s="2730"/>
      <c r="ICG1688" s="2730"/>
      <c r="ICH1688" s="2730"/>
      <c r="ICI1688" s="2730"/>
      <c r="ICJ1688" s="2730"/>
      <c r="ICK1688" s="2730"/>
      <c r="ICL1688" s="2730"/>
      <c r="ICM1688" s="2730"/>
      <c r="ICN1688" s="2730"/>
      <c r="ICO1688" s="2730"/>
      <c r="ICP1688" s="2730"/>
      <c r="ICQ1688" s="2730"/>
      <c r="ICR1688" s="2730"/>
      <c r="ICS1688" s="2730"/>
      <c r="ICT1688" s="2730"/>
      <c r="ICU1688" s="2730"/>
      <c r="ICV1688" s="2730"/>
      <c r="ICW1688" s="2730"/>
      <c r="ICX1688" s="2730"/>
      <c r="ICY1688" s="2730"/>
      <c r="ICZ1688" s="2730"/>
      <c r="IDA1688" s="2730"/>
      <c r="IDB1688" s="2730"/>
      <c r="IDC1688" s="2730"/>
      <c r="IDD1688" s="2730"/>
      <c r="IDE1688" s="2730"/>
      <c r="IDF1688" s="2730"/>
      <c r="IDG1688" s="2730"/>
      <c r="IDH1688" s="2730"/>
      <c r="IDI1688" s="2730"/>
      <c r="IDJ1688" s="2730"/>
      <c r="IDK1688" s="2730"/>
      <c r="IDL1688" s="2730"/>
      <c r="IDM1688" s="2730"/>
      <c r="IDN1688" s="2730"/>
      <c r="IDO1688" s="2730"/>
      <c r="IDP1688" s="2730"/>
      <c r="IDQ1688" s="2730"/>
      <c r="IDR1688" s="2730"/>
      <c r="IDS1688" s="2730"/>
      <c r="IDT1688" s="2730"/>
      <c r="IDU1688" s="2730"/>
      <c r="IDV1688" s="2730"/>
      <c r="IDW1688" s="2730"/>
      <c r="IDX1688" s="2730"/>
      <c r="IDY1688" s="2730"/>
      <c r="IDZ1688" s="2730"/>
      <c r="IEA1688" s="2730"/>
      <c r="IEB1688" s="2730"/>
      <c r="IEC1688" s="2730"/>
      <c r="IED1688" s="2730"/>
      <c r="IEE1688" s="2730"/>
      <c r="IEF1688" s="2730"/>
      <c r="IEG1688" s="2730"/>
      <c r="IEH1688" s="2730"/>
      <c r="IEI1688" s="2730"/>
      <c r="IEJ1688" s="2730"/>
      <c r="IEK1688" s="2730"/>
      <c r="IEL1688" s="2730"/>
      <c r="IEM1688" s="2730"/>
      <c r="IEN1688" s="2730"/>
      <c r="IEO1688" s="2730"/>
      <c r="IEP1688" s="2730"/>
      <c r="IEQ1688" s="2730"/>
      <c r="IER1688" s="2730"/>
      <c r="IES1688" s="2730"/>
      <c r="IET1688" s="2730"/>
      <c r="IEU1688" s="2730"/>
      <c r="IEV1688" s="2730"/>
      <c r="IEW1688" s="2730"/>
      <c r="IEX1688" s="2730"/>
      <c r="IEY1688" s="2730"/>
      <c r="IEZ1688" s="2730"/>
      <c r="IFA1688" s="2730"/>
      <c r="IFB1688" s="2730"/>
      <c r="IFC1688" s="2730"/>
      <c r="IFD1688" s="2730"/>
      <c r="IFE1688" s="2730"/>
      <c r="IFF1688" s="2730"/>
      <c r="IFG1688" s="2730"/>
      <c r="IFH1688" s="2730"/>
      <c r="IFI1688" s="2730"/>
      <c r="IFJ1688" s="2730"/>
      <c r="IFK1688" s="2730"/>
      <c r="IFL1688" s="2730"/>
      <c r="IFM1688" s="2730"/>
      <c r="IFN1688" s="2730"/>
      <c r="IFO1688" s="2730"/>
      <c r="IFP1688" s="2730"/>
      <c r="IFQ1688" s="2730"/>
      <c r="IFR1688" s="2730"/>
      <c r="IFS1688" s="2730"/>
      <c r="IFT1688" s="2730"/>
      <c r="IFU1688" s="2730"/>
      <c r="IFV1688" s="2730"/>
      <c r="IFW1688" s="2730"/>
      <c r="IFX1688" s="2730"/>
      <c r="IFY1688" s="2730"/>
      <c r="IFZ1688" s="2730"/>
      <c r="IGA1688" s="2730"/>
      <c r="IGB1688" s="2730"/>
      <c r="IGC1688" s="2730"/>
      <c r="IGD1688" s="2730"/>
      <c r="IGE1688" s="2730"/>
      <c r="IGF1688" s="2730"/>
      <c r="IGG1688" s="2730"/>
      <c r="IGH1688" s="2730"/>
      <c r="IGI1688" s="2730"/>
      <c r="IGJ1688" s="2730"/>
      <c r="IGK1688" s="2730"/>
      <c r="IGL1688" s="2730"/>
      <c r="IGM1688" s="2730"/>
      <c r="IGN1688" s="2730"/>
      <c r="IGO1688" s="2730"/>
      <c r="IGP1688" s="2730"/>
      <c r="IGQ1688" s="2730"/>
      <c r="IGR1688" s="2730"/>
      <c r="IGS1688" s="2730"/>
      <c r="IGT1688" s="2730"/>
      <c r="IGU1688" s="2730"/>
      <c r="IGV1688" s="2730"/>
      <c r="IGW1688" s="2730"/>
      <c r="IGX1688" s="2730"/>
      <c r="IGY1688" s="2730"/>
      <c r="IGZ1688" s="2730"/>
      <c r="IHA1688" s="2730"/>
      <c r="IHB1688" s="2730"/>
      <c r="IHC1688" s="2730"/>
      <c r="IHD1688" s="2730"/>
      <c r="IHE1688" s="2730"/>
      <c r="IHF1688" s="2730"/>
      <c r="IHG1688" s="2730"/>
      <c r="IHH1688" s="2730"/>
      <c r="IHI1688" s="2730"/>
      <c r="IHJ1688" s="2730"/>
      <c r="IHK1688" s="2730"/>
      <c r="IHL1688" s="2730"/>
      <c r="IHM1688" s="2730"/>
      <c r="IHN1688" s="2730"/>
      <c r="IHO1688" s="2730"/>
      <c r="IHP1688" s="2730"/>
      <c r="IHQ1688" s="2730"/>
      <c r="IHR1688" s="2730"/>
      <c r="IHS1688" s="2730"/>
      <c r="IHT1688" s="2730"/>
      <c r="IHU1688" s="2730"/>
      <c r="IHV1688" s="2730"/>
      <c r="IHW1688" s="2730"/>
      <c r="IHX1688" s="2730"/>
      <c r="IHY1688" s="2730"/>
      <c r="IHZ1688" s="2730"/>
      <c r="IIA1688" s="2730"/>
      <c r="IIB1688" s="2730"/>
      <c r="IIC1688" s="2730"/>
      <c r="IID1688" s="2730"/>
      <c r="IIE1688" s="2730"/>
      <c r="IIF1688" s="2730"/>
      <c r="IIG1688" s="2730"/>
      <c r="IIH1688" s="2730"/>
      <c r="III1688" s="2730"/>
      <c r="IIJ1688" s="2730"/>
      <c r="IIK1688" s="2730"/>
      <c r="IIL1688" s="2730"/>
      <c r="IIM1688" s="2730"/>
      <c r="IIN1688" s="2730"/>
      <c r="IIO1688" s="2730"/>
      <c r="IIP1688" s="2730"/>
      <c r="IIQ1688" s="2730"/>
      <c r="IIR1688" s="2730"/>
      <c r="IIS1688" s="2730"/>
      <c r="IIT1688" s="2730"/>
      <c r="IIU1688" s="2730"/>
      <c r="IIV1688" s="2730"/>
      <c r="IIW1688" s="2730"/>
      <c r="IIX1688" s="2730"/>
      <c r="IIY1688" s="2730"/>
      <c r="IIZ1688" s="2730"/>
      <c r="IJA1688" s="2730"/>
      <c r="IJB1688" s="2730"/>
      <c r="IJC1688" s="2730"/>
      <c r="IJD1688" s="2730"/>
      <c r="IJE1688" s="2730"/>
      <c r="IJF1688" s="2730"/>
      <c r="IJG1688" s="2730"/>
      <c r="IJH1688" s="2730"/>
      <c r="IJI1688" s="2730"/>
      <c r="IJJ1688" s="2730"/>
      <c r="IJK1688" s="2730"/>
      <c r="IJL1688" s="2730"/>
      <c r="IJM1688" s="2730"/>
      <c r="IJN1688" s="2730"/>
      <c r="IJO1688" s="2730"/>
      <c r="IJP1688" s="2730"/>
      <c r="IJQ1688" s="2730"/>
      <c r="IJR1688" s="2730"/>
      <c r="IJS1688" s="2730"/>
      <c r="IJT1688" s="2730"/>
      <c r="IJU1688" s="2730"/>
      <c r="IJV1688" s="2730"/>
      <c r="IJW1688" s="2730"/>
      <c r="IJX1688" s="2730"/>
      <c r="IJY1688" s="2730"/>
      <c r="IJZ1688" s="2730"/>
      <c r="IKA1688" s="2730"/>
      <c r="IKB1688" s="2730"/>
      <c r="IKC1688" s="2730"/>
      <c r="IKD1688" s="2730"/>
      <c r="IKE1688" s="2730"/>
      <c r="IKF1688" s="2730"/>
      <c r="IKG1688" s="2730"/>
      <c r="IKH1688" s="2730"/>
      <c r="IKI1688" s="2730"/>
      <c r="IKJ1688" s="2730"/>
      <c r="IKK1688" s="2730"/>
      <c r="IKL1688" s="2730"/>
      <c r="IKM1688" s="2730"/>
      <c r="IKN1688" s="2730"/>
      <c r="IKO1688" s="2730"/>
      <c r="IKP1688" s="2730"/>
      <c r="IKQ1688" s="2730"/>
      <c r="IKR1688" s="2730"/>
      <c r="IKS1688" s="2730"/>
      <c r="IKT1688" s="2730"/>
      <c r="IKU1688" s="2730"/>
      <c r="IKV1688" s="2730"/>
      <c r="IKW1688" s="2730"/>
      <c r="IKX1688" s="2730"/>
      <c r="IKY1688" s="2730"/>
      <c r="IKZ1688" s="2730"/>
      <c r="ILA1688" s="2730"/>
      <c r="ILB1688" s="2730"/>
      <c r="ILC1688" s="2730"/>
      <c r="ILD1688" s="2730"/>
      <c r="ILE1688" s="2730"/>
      <c r="ILF1688" s="2730"/>
      <c r="ILG1688" s="2730"/>
      <c r="ILH1688" s="2730"/>
      <c r="ILI1688" s="2730"/>
      <c r="ILJ1688" s="2730"/>
      <c r="ILK1688" s="2730"/>
      <c r="ILL1688" s="2730"/>
      <c r="ILM1688" s="2730"/>
      <c r="ILN1688" s="2730"/>
      <c r="ILO1688" s="2730"/>
      <c r="ILP1688" s="2730"/>
      <c r="ILQ1688" s="2730"/>
      <c r="ILR1688" s="2730"/>
      <c r="ILS1688" s="2730"/>
      <c r="ILT1688" s="2730"/>
      <c r="ILU1688" s="2730"/>
      <c r="ILV1688" s="2730"/>
      <c r="ILW1688" s="2730"/>
      <c r="ILX1688" s="2730"/>
      <c r="ILY1688" s="2730"/>
      <c r="ILZ1688" s="2730"/>
      <c r="IMA1688" s="2730"/>
      <c r="IMB1688" s="2730"/>
      <c r="IMC1688" s="2730"/>
      <c r="IMD1688" s="2730"/>
      <c r="IME1688" s="2730"/>
      <c r="IMF1688" s="2730"/>
      <c r="IMG1688" s="2730"/>
      <c r="IMH1688" s="2730"/>
      <c r="IMI1688" s="2730"/>
      <c r="IMJ1688" s="2730"/>
      <c r="IMK1688" s="2730"/>
      <c r="IML1688" s="2730"/>
      <c r="IMM1688" s="2730"/>
      <c r="IMN1688" s="2730"/>
      <c r="IMO1688" s="2730"/>
      <c r="IMP1688" s="2730"/>
      <c r="IMQ1688" s="2730"/>
      <c r="IMR1688" s="2730"/>
      <c r="IMS1688" s="2730"/>
      <c r="IMT1688" s="2730"/>
      <c r="IMU1688" s="2730"/>
      <c r="IMV1688" s="2730"/>
      <c r="IMW1688" s="2730"/>
      <c r="IMX1688" s="2730"/>
      <c r="IMY1688" s="2730"/>
      <c r="IMZ1688" s="2730"/>
      <c r="INA1688" s="2730"/>
      <c r="INB1688" s="2730"/>
      <c r="INC1688" s="2730"/>
      <c r="IND1688" s="2730"/>
      <c r="INE1688" s="2730"/>
      <c r="INF1688" s="2730"/>
      <c r="ING1688" s="2730"/>
      <c r="INH1688" s="2730"/>
      <c r="INI1688" s="2730"/>
      <c r="INJ1688" s="2730"/>
      <c r="INK1688" s="2730"/>
      <c r="INL1688" s="2730"/>
      <c r="INM1688" s="2730"/>
      <c r="INN1688" s="2730"/>
      <c r="INO1688" s="2730"/>
      <c r="INP1688" s="2730"/>
      <c r="INQ1688" s="2730"/>
      <c r="INR1688" s="2730"/>
      <c r="INS1688" s="2730"/>
      <c r="INT1688" s="2730"/>
      <c r="INU1688" s="2730"/>
      <c r="INV1688" s="2730"/>
      <c r="INW1688" s="2730"/>
      <c r="INX1688" s="2730"/>
      <c r="INY1688" s="2730"/>
      <c r="INZ1688" s="2730"/>
      <c r="IOA1688" s="2730"/>
      <c r="IOB1688" s="2730"/>
      <c r="IOC1688" s="2730"/>
      <c r="IOD1688" s="2730"/>
      <c r="IOE1688" s="2730"/>
      <c r="IOF1688" s="2730"/>
      <c r="IOG1688" s="2730"/>
      <c r="IOH1688" s="2730"/>
      <c r="IOI1688" s="2730"/>
      <c r="IOJ1688" s="2730"/>
      <c r="IOK1688" s="2730"/>
      <c r="IOL1688" s="2730"/>
      <c r="IOM1688" s="2730"/>
      <c r="ION1688" s="2730"/>
      <c r="IOO1688" s="2730"/>
      <c r="IOP1688" s="2730"/>
      <c r="IOQ1688" s="2730"/>
      <c r="IOR1688" s="2730"/>
      <c r="IOS1688" s="2730"/>
      <c r="IOT1688" s="2730"/>
      <c r="IOU1688" s="2730"/>
      <c r="IOV1688" s="2730"/>
      <c r="IOW1688" s="2730"/>
      <c r="IOX1688" s="2730"/>
      <c r="IOY1688" s="2730"/>
      <c r="IOZ1688" s="2730"/>
      <c r="IPA1688" s="2730"/>
      <c r="IPB1688" s="2730"/>
      <c r="IPC1688" s="2730"/>
      <c r="IPD1688" s="2730"/>
      <c r="IPE1688" s="2730"/>
      <c r="IPF1688" s="2730"/>
      <c r="IPG1688" s="2730"/>
      <c r="IPH1688" s="2730"/>
      <c r="IPI1688" s="2730"/>
      <c r="IPJ1688" s="2730"/>
      <c r="IPK1688" s="2730"/>
      <c r="IPL1688" s="2730"/>
      <c r="IPM1688" s="2730"/>
      <c r="IPN1688" s="2730"/>
      <c r="IPO1688" s="2730"/>
      <c r="IPP1688" s="2730"/>
      <c r="IPQ1688" s="2730"/>
      <c r="IPR1688" s="2730"/>
      <c r="IPS1688" s="2730"/>
      <c r="IPT1688" s="2730"/>
      <c r="IPU1688" s="2730"/>
      <c r="IPV1688" s="2730"/>
      <c r="IPW1688" s="2730"/>
      <c r="IPX1688" s="2730"/>
      <c r="IPY1688" s="2730"/>
      <c r="IPZ1688" s="2730"/>
      <c r="IQA1688" s="2730"/>
      <c r="IQB1688" s="2730"/>
      <c r="IQC1688" s="2730"/>
      <c r="IQD1688" s="2730"/>
      <c r="IQE1688" s="2730"/>
      <c r="IQF1688" s="2730"/>
      <c r="IQG1688" s="2730"/>
      <c r="IQH1688" s="2730"/>
      <c r="IQI1688" s="2730"/>
      <c r="IQJ1688" s="2730"/>
      <c r="IQK1688" s="2730"/>
      <c r="IQL1688" s="2730"/>
      <c r="IQM1688" s="2730"/>
      <c r="IQN1688" s="2730"/>
      <c r="IQO1688" s="2730"/>
      <c r="IQP1688" s="2730"/>
      <c r="IQQ1688" s="2730"/>
      <c r="IQR1688" s="2730"/>
      <c r="IQS1688" s="2730"/>
      <c r="IQT1688" s="2730"/>
      <c r="IQU1688" s="2730"/>
      <c r="IQV1688" s="2730"/>
      <c r="IQW1688" s="2730"/>
      <c r="IQX1688" s="2730"/>
      <c r="IQY1688" s="2730"/>
      <c r="IQZ1688" s="2730"/>
      <c r="IRA1688" s="2730"/>
      <c r="IRB1688" s="2730"/>
      <c r="IRC1688" s="2730"/>
      <c r="IRD1688" s="2730"/>
      <c r="IRE1688" s="2730"/>
      <c r="IRF1688" s="2730"/>
      <c r="IRG1688" s="2730"/>
      <c r="IRH1688" s="2730"/>
      <c r="IRI1688" s="2730"/>
      <c r="IRJ1688" s="2730"/>
      <c r="IRK1688" s="2730"/>
      <c r="IRL1688" s="2730"/>
      <c r="IRM1688" s="2730"/>
      <c r="IRN1688" s="2730"/>
      <c r="IRO1688" s="2730"/>
      <c r="IRP1688" s="2730"/>
      <c r="IRQ1688" s="2730"/>
      <c r="IRR1688" s="2730"/>
      <c r="IRS1688" s="2730"/>
      <c r="IRT1688" s="2730"/>
      <c r="IRU1688" s="2730"/>
      <c r="IRV1688" s="2730"/>
      <c r="IRW1688" s="2730"/>
      <c r="IRX1688" s="2730"/>
      <c r="IRY1688" s="2730"/>
      <c r="IRZ1688" s="2730"/>
      <c r="ISA1688" s="2730"/>
      <c r="ISB1688" s="2730"/>
      <c r="ISC1688" s="2730"/>
      <c r="ISD1688" s="2730"/>
      <c r="ISE1688" s="2730"/>
      <c r="ISF1688" s="2730"/>
      <c r="ISG1688" s="2730"/>
      <c r="ISH1688" s="2730"/>
      <c r="ISI1688" s="2730"/>
      <c r="ISJ1688" s="2730"/>
      <c r="ISK1688" s="2730"/>
      <c r="ISL1688" s="2730"/>
      <c r="ISM1688" s="2730"/>
      <c r="ISN1688" s="2730"/>
      <c r="ISO1688" s="2730"/>
      <c r="ISP1688" s="2730"/>
      <c r="ISQ1688" s="2730"/>
      <c r="ISR1688" s="2730"/>
      <c r="ISS1688" s="2730"/>
      <c r="IST1688" s="2730"/>
      <c r="ISU1688" s="2730"/>
      <c r="ISV1688" s="2730"/>
      <c r="ISW1688" s="2730"/>
      <c r="ISX1688" s="2730"/>
      <c r="ISY1688" s="2730"/>
      <c r="ISZ1688" s="2730"/>
      <c r="ITA1688" s="2730"/>
      <c r="ITB1688" s="2730"/>
      <c r="ITC1688" s="2730"/>
      <c r="ITD1688" s="2730"/>
      <c r="ITE1688" s="2730"/>
      <c r="ITF1688" s="2730"/>
      <c r="ITG1688" s="2730"/>
      <c r="ITH1688" s="2730"/>
      <c r="ITI1688" s="2730"/>
      <c r="ITJ1688" s="2730"/>
      <c r="ITK1688" s="2730"/>
      <c r="ITL1688" s="2730"/>
      <c r="ITM1688" s="2730"/>
      <c r="ITN1688" s="2730"/>
      <c r="ITO1688" s="2730"/>
      <c r="ITP1688" s="2730"/>
      <c r="ITQ1688" s="2730"/>
      <c r="ITR1688" s="2730"/>
      <c r="ITS1688" s="2730"/>
      <c r="ITT1688" s="2730"/>
      <c r="ITU1688" s="2730"/>
      <c r="ITV1688" s="2730"/>
      <c r="ITW1688" s="2730"/>
      <c r="ITX1688" s="2730"/>
      <c r="ITY1688" s="2730"/>
      <c r="ITZ1688" s="2730"/>
      <c r="IUA1688" s="2730"/>
      <c r="IUB1688" s="2730"/>
      <c r="IUC1688" s="2730"/>
      <c r="IUD1688" s="2730"/>
      <c r="IUE1688" s="2730"/>
      <c r="IUF1688" s="2730"/>
      <c r="IUG1688" s="2730"/>
      <c r="IUH1688" s="2730"/>
      <c r="IUI1688" s="2730"/>
      <c r="IUJ1688" s="2730"/>
      <c r="IUK1688" s="2730"/>
      <c r="IUL1688" s="2730"/>
      <c r="IUM1688" s="2730"/>
      <c r="IUN1688" s="2730"/>
      <c r="IUO1688" s="2730"/>
      <c r="IUP1688" s="2730"/>
      <c r="IUQ1688" s="2730"/>
      <c r="IUR1688" s="2730"/>
      <c r="IUS1688" s="2730"/>
      <c r="IUT1688" s="2730"/>
      <c r="IUU1688" s="2730"/>
      <c r="IUV1688" s="2730"/>
      <c r="IUW1688" s="2730"/>
      <c r="IUX1688" s="2730"/>
      <c r="IUY1688" s="2730"/>
      <c r="IUZ1688" s="2730"/>
      <c r="IVA1688" s="2730"/>
      <c r="IVB1688" s="2730"/>
      <c r="IVC1688" s="2730"/>
      <c r="IVD1688" s="2730"/>
      <c r="IVE1688" s="2730"/>
      <c r="IVF1688" s="2730"/>
      <c r="IVG1688" s="2730"/>
      <c r="IVH1688" s="2730"/>
      <c r="IVI1688" s="2730"/>
      <c r="IVJ1688" s="2730"/>
      <c r="IVK1688" s="2730"/>
      <c r="IVL1688" s="2730"/>
      <c r="IVM1688" s="2730"/>
      <c r="IVN1688" s="2730"/>
      <c r="IVO1688" s="2730"/>
      <c r="IVP1688" s="2730"/>
      <c r="IVQ1688" s="2730"/>
      <c r="IVR1688" s="2730"/>
      <c r="IVS1688" s="2730"/>
      <c r="IVT1688" s="2730"/>
      <c r="IVU1688" s="2730"/>
      <c r="IVV1688" s="2730"/>
      <c r="IVW1688" s="2730"/>
      <c r="IVX1688" s="2730"/>
      <c r="IVY1688" s="2730"/>
      <c r="IVZ1688" s="2730"/>
      <c r="IWA1688" s="2730"/>
      <c r="IWB1688" s="2730"/>
      <c r="IWC1688" s="2730"/>
      <c r="IWD1688" s="2730"/>
      <c r="IWE1688" s="2730"/>
      <c r="IWF1688" s="2730"/>
      <c r="IWG1688" s="2730"/>
      <c r="IWH1688" s="2730"/>
      <c r="IWI1688" s="2730"/>
      <c r="IWJ1688" s="2730"/>
      <c r="IWK1688" s="2730"/>
      <c r="IWL1688" s="2730"/>
      <c r="IWM1688" s="2730"/>
      <c r="IWN1688" s="2730"/>
      <c r="IWO1688" s="2730"/>
      <c r="IWP1688" s="2730"/>
      <c r="IWQ1688" s="2730"/>
      <c r="IWR1688" s="2730"/>
      <c r="IWS1688" s="2730"/>
      <c r="IWT1688" s="2730"/>
      <c r="IWU1688" s="2730"/>
      <c r="IWV1688" s="2730"/>
      <c r="IWW1688" s="2730"/>
      <c r="IWX1688" s="2730"/>
      <c r="IWY1688" s="2730"/>
      <c r="IWZ1688" s="2730"/>
      <c r="IXA1688" s="2730"/>
      <c r="IXB1688" s="2730"/>
      <c r="IXC1688" s="2730"/>
      <c r="IXD1688" s="2730"/>
      <c r="IXE1688" s="2730"/>
      <c r="IXF1688" s="2730"/>
      <c r="IXG1688" s="2730"/>
      <c r="IXH1688" s="2730"/>
      <c r="IXI1688" s="2730"/>
      <c r="IXJ1688" s="2730"/>
      <c r="IXK1688" s="2730"/>
      <c r="IXL1688" s="2730"/>
      <c r="IXM1688" s="2730"/>
      <c r="IXN1688" s="2730"/>
      <c r="IXO1688" s="2730"/>
      <c r="IXP1688" s="2730"/>
      <c r="IXQ1688" s="2730"/>
      <c r="IXR1688" s="2730"/>
      <c r="IXS1688" s="2730"/>
      <c r="IXT1688" s="2730"/>
      <c r="IXU1688" s="2730"/>
      <c r="IXV1688" s="2730"/>
      <c r="IXW1688" s="2730"/>
      <c r="IXX1688" s="2730"/>
      <c r="IXY1688" s="2730"/>
      <c r="IXZ1688" s="2730"/>
      <c r="IYA1688" s="2730"/>
      <c r="IYB1688" s="2730"/>
      <c r="IYC1688" s="2730"/>
      <c r="IYD1688" s="2730"/>
      <c r="IYE1688" s="2730"/>
      <c r="IYF1688" s="2730"/>
      <c r="IYG1688" s="2730"/>
      <c r="IYH1688" s="2730"/>
      <c r="IYI1688" s="2730"/>
      <c r="IYJ1688" s="2730"/>
      <c r="IYK1688" s="2730"/>
      <c r="IYL1688" s="2730"/>
      <c r="IYM1688" s="2730"/>
      <c r="IYN1688" s="2730"/>
      <c r="IYO1688" s="2730"/>
      <c r="IYP1688" s="2730"/>
      <c r="IYQ1688" s="2730"/>
      <c r="IYR1688" s="2730"/>
      <c r="IYS1688" s="2730"/>
      <c r="IYT1688" s="2730"/>
      <c r="IYU1688" s="2730"/>
      <c r="IYV1688" s="2730"/>
      <c r="IYW1688" s="2730"/>
      <c r="IYX1688" s="2730"/>
      <c r="IYY1688" s="2730"/>
      <c r="IYZ1688" s="2730"/>
      <c r="IZA1688" s="2730"/>
      <c r="IZB1688" s="2730"/>
      <c r="IZC1688" s="2730"/>
      <c r="IZD1688" s="2730"/>
      <c r="IZE1688" s="2730"/>
      <c r="IZF1688" s="2730"/>
      <c r="IZG1688" s="2730"/>
      <c r="IZH1688" s="2730"/>
      <c r="IZI1688" s="2730"/>
      <c r="IZJ1688" s="2730"/>
      <c r="IZK1688" s="2730"/>
      <c r="IZL1688" s="2730"/>
      <c r="IZM1688" s="2730"/>
      <c r="IZN1688" s="2730"/>
      <c r="IZO1688" s="2730"/>
      <c r="IZP1688" s="2730"/>
      <c r="IZQ1688" s="2730"/>
      <c r="IZR1688" s="2730"/>
      <c r="IZS1688" s="2730"/>
      <c r="IZT1688" s="2730"/>
      <c r="IZU1688" s="2730"/>
      <c r="IZV1688" s="2730"/>
      <c r="IZW1688" s="2730"/>
      <c r="IZX1688" s="2730"/>
      <c r="IZY1688" s="2730"/>
      <c r="IZZ1688" s="2730"/>
      <c r="JAA1688" s="2730"/>
      <c r="JAB1688" s="2730"/>
      <c r="JAC1688" s="2730"/>
      <c r="JAD1688" s="2730"/>
      <c r="JAE1688" s="2730"/>
      <c r="JAF1688" s="2730"/>
      <c r="JAG1688" s="2730"/>
      <c r="JAH1688" s="2730"/>
      <c r="JAI1688" s="2730"/>
      <c r="JAJ1688" s="2730"/>
      <c r="JAK1688" s="2730"/>
      <c r="JAL1688" s="2730"/>
      <c r="JAM1688" s="2730"/>
      <c r="JAN1688" s="2730"/>
      <c r="JAO1688" s="2730"/>
      <c r="JAP1688" s="2730"/>
      <c r="JAQ1688" s="2730"/>
      <c r="JAR1688" s="2730"/>
      <c r="JAS1688" s="2730"/>
      <c r="JAT1688" s="2730"/>
      <c r="JAU1688" s="2730"/>
      <c r="JAV1688" s="2730"/>
      <c r="JAW1688" s="2730"/>
      <c r="JAX1688" s="2730"/>
      <c r="JAY1688" s="2730"/>
      <c r="JAZ1688" s="2730"/>
      <c r="JBA1688" s="2730"/>
      <c r="JBB1688" s="2730"/>
      <c r="JBC1688" s="2730"/>
      <c r="JBD1688" s="2730"/>
      <c r="JBE1688" s="2730"/>
      <c r="JBF1688" s="2730"/>
      <c r="JBG1688" s="2730"/>
      <c r="JBH1688" s="2730"/>
      <c r="JBI1688" s="2730"/>
      <c r="JBJ1688" s="2730"/>
      <c r="JBK1688" s="2730"/>
      <c r="JBL1688" s="2730"/>
      <c r="JBM1688" s="2730"/>
      <c r="JBN1688" s="2730"/>
      <c r="JBO1688" s="2730"/>
      <c r="JBP1688" s="2730"/>
      <c r="JBQ1688" s="2730"/>
      <c r="JBR1688" s="2730"/>
      <c r="JBS1688" s="2730"/>
      <c r="JBT1688" s="2730"/>
      <c r="JBU1688" s="2730"/>
      <c r="JBV1688" s="2730"/>
      <c r="JBW1688" s="2730"/>
      <c r="JBX1688" s="2730"/>
      <c r="JBY1688" s="2730"/>
      <c r="JBZ1688" s="2730"/>
      <c r="JCA1688" s="2730"/>
      <c r="JCB1688" s="2730"/>
      <c r="JCC1688" s="2730"/>
      <c r="JCD1688" s="2730"/>
      <c r="JCE1688" s="2730"/>
      <c r="JCF1688" s="2730"/>
      <c r="JCG1688" s="2730"/>
      <c r="JCH1688" s="2730"/>
      <c r="JCI1688" s="2730"/>
      <c r="JCJ1688" s="2730"/>
      <c r="JCK1688" s="2730"/>
      <c r="JCL1688" s="2730"/>
      <c r="JCM1688" s="2730"/>
      <c r="JCN1688" s="2730"/>
      <c r="JCO1688" s="2730"/>
      <c r="JCP1688" s="2730"/>
      <c r="JCQ1688" s="2730"/>
      <c r="JCR1688" s="2730"/>
      <c r="JCS1688" s="2730"/>
      <c r="JCT1688" s="2730"/>
      <c r="JCU1688" s="2730"/>
      <c r="JCV1688" s="2730"/>
      <c r="JCW1688" s="2730"/>
      <c r="JCX1688" s="2730"/>
      <c r="JCY1688" s="2730"/>
      <c r="JCZ1688" s="2730"/>
      <c r="JDA1688" s="2730"/>
      <c r="JDB1688" s="2730"/>
      <c r="JDC1688" s="2730"/>
      <c r="JDD1688" s="2730"/>
      <c r="JDE1688" s="2730"/>
      <c r="JDF1688" s="2730"/>
      <c r="JDG1688" s="2730"/>
      <c r="JDH1688" s="2730"/>
      <c r="JDI1688" s="2730"/>
      <c r="JDJ1688" s="2730"/>
      <c r="JDK1688" s="2730"/>
      <c r="JDL1688" s="2730"/>
      <c r="JDM1688" s="2730"/>
      <c r="JDN1688" s="2730"/>
      <c r="JDO1688" s="2730"/>
      <c r="JDP1688" s="2730"/>
      <c r="JDQ1688" s="2730"/>
      <c r="JDR1688" s="2730"/>
      <c r="JDS1688" s="2730"/>
      <c r="JDT1688" s="2730"/>
      <c r="JDU1688" s="2730"/>
      <c r="JDV1688" s="2730"/>
      <c r="JDW1688" s="2730"/>
      <c r="JDX1688" s="2730"/>
      <c r="JDY1688" s="2730"/>
      <c r="JDZ1688" s="2730"/>
      <c r="JEA1688" s="2730"/>
      <c r="JEB1688" s="2730"/>
      <c r="JEC1688" s="2730"/>
      <c r="JED1688" s="2730"/>
      <c r="JEE1688" s="2730"/>
      <c r="JEF1688" s="2730"/>
      <c r="JEG1688" s="2730"/>
      <c r="JEH1688" s="2730"/>
      <c r="JEI1688" s="2730"/>
      <c r="JEJ1688" s="2730"/>
      <c r="JEK1688" s="2730"/>
      <c r="JEL1688" s="2730"/>
      <c r="JEM1688" s="2730"/>
      <c r="JEN1688" s="2730"/>
      <c r="JEO1688" s="2730"/>
      <c r="JEP1688" s="2730"/>
      <c r="JEQ1688" s="2730"/>
      <c r="JER1688" s="2730"/>
      <c r="JES1688" s="2730"/>
      <c r="JET1688" s="2730"/>
      <c r="JEU1688" s="2730"/>
      <c r="JEV1688" s="2730"/>
      <c r="JEW1688" s="2730"/>
      <c r="JEX1688" s="2730"/>
      <c r="JEY1688" s="2730"/>
      <c r="JEZ1688" s="2730"/>
      <c r="JFA1688" s="2730"/>
      <c r="JFB1688" s="2730"/>
      <c r="JFC1688" s="2730"/>
      <c r="JFD1688" s="2730"/>
      <c r="JFE1688" s="2730"/>
      <c r="JFF1688" s="2730"/>
      <c r="JFG1688" s="2730"/>
      <c r="JFH1688" s="2730"/>
      <c r="JFI1688" s="2730"/>
      <c r="JFJ1688" s="2730"/>
      <c r="JFK1688" s="2730"/>
      <c r="JFL1688" s="2730"/>
      <c r="JFM1688" s="2730"/>
      <c r="JFN1688" s="2730"/>
      <c r="JFO1688" s="2730"/>
      <c r="JFP1688" s="2730"/>
      <c r="JFQ1688" s="2730"/>
      <c r="JFR1688" s="2730"/>
      <c r="JFS1688" s="2730"/>
      <c r="JFT1688" s="2730"/>
      <c r="JFU1688" s="2730"/>
      <c r="JFV1688" s="2730"/>
      <c r="JFW1688" s="2730"/>
      <c r="JFX1688" s="2730"/>
      <c r="JFY1688" s="2730"/>
      <c r="JFZ1688" s="2730"/>
      <c r="JGA1688" s="2730"/>
      <c r="JGB1688" s="2730"/>
      <c r="JGC1688" s="2730"/>
      <c r="JGD1688" s="2730"/>
      <c r="JGE1688" s="2730"/>
      <c r="JGF1688" s="2730"/>
      <c r="JGG1688" s="2730"/>
      <c r="JGH1688" s="2730"/>
      <c r="JGI1688" s="2730"/>
      <c r="JGJ1688" s="2730"/>
      <c r="JGK1688" s="2730"/>
      <c r="JGL1688" s="2730"/>
      <c r="JGM1688" s="2730"/>
      <c r="JGN1688" s="2730"/>
      <c r="JGO1688" s="2730"/>
      <c r="JGP1688" s="2730"/>
      <c r="JGQ1688" s="2730"/>
      <c r="JGR1688" s="2730"/>
      <c r="JGS1688" s="2730"/>
      <c r="JGT1688" s="2730"/>
      <c r="JGU1688" s="2730"/>
      <c r="JGV1688" s="2730"/>
      <c r="JGW1688" s="2730"/>
      <c r="JGX1688" s="2730"/>
      <c r="JGY1688" s="2730"/>
      <c r="JGZ1688" s="2730"/>
      <c r="JHA1688" s="2730"/>
      <c r="JHB1688" s="2730"/>
      <c r="JHC1688" s="2730"/>
      <c r="JHD1688" s="2730"/>
      <c r="JHE1688" s="2730"/>
      <c r="JHF1688" s="2730"/>
      <c r="JHG1688" s="2730"/>
      <c r="JHH1688" s="2730"/>
      <c r="JHI1688" s="2730"/>
      <c r="JHJ1688" s="2730"/>
      <c r="JHK1688" s="2730"/>
      <c r="JHL1688" s="2730"/>
      <c r="JHM1688" s="2730"/>
      <c r="JHN1688" s="2730"/>
      <c r="JHO1688" s="2730"/>
      <c r="JHP1688" s="2730"/>
      <c r="JHQ1688" s="2730"/>
      <c r="JHR1688" s="2730"/>
      <c r="JHS1688" s="2730"/>
      <c r="JHT1688" s="2730"/>
      <c r="JHU1688" s="2730"/>
      <c r="JHV1688" s="2730"/>
      <c r="JHW1688" s="2730"/>
      <c r="JHX1688" s="2730"/>
      <c r="JHY1688" s="2730"/>
      <c r="JHZ1688" s="2730"/>
      <c r="JIA1688" s="2730"/>
      <c r="JIB1688" s="2730"/>
      <c r="JIC1688" s="2730"/>
      <c r="JID1688" s="2730"/>
      <c r="JIE1688" s="2730"/>
      <c r="JIF1688" s="2730"/>
      <c r="JIG1688" s="2730"/>
      <c r="JIH1688" s="2730"/>
      <c r="JII1688" s="2730"/>
      <c r="JIJ1688" s="2730"/>
      <c r="JIK1688" s="2730"/>
      <c r="JIL1688" s="2730"/>
      <c r="JIM1688" s="2730"/>
      <c r="JIN1688" s="2730"/>
      <c r="JIO1688" s="2730"/>
      <c r="JIP1688" s="2730"/>
      <c r="JIQ1688" s="2730"/>
      <c r="JIR1688" s="2730"/>
      <c r="JIS1688" s="2730"/>
      <c r="JIT1688" s="2730"/>
      <c r="JIU1688" s="2730"/>
      <c r="JIV1688" s="2730"/>
      <c r="JIW1688" s="2730"/>
      <c r="JIX1688" s="2730"/>
      <c r="JIY1688" s="2730"/>
      <c r="JIZ1688" s="2730"/>
      <c r="JJA1688" s="2730"/>
      <c r="JJB1688" s="2730"/>
      <c r="JJC1688" s="2730"/>
      <c r="JJD1688" s="2730"/>
      <c r="JJE1688" s="2730"/>
      <c r="JJF1688" s="2730"/>
      <c r="JJG1688" s="2730"/>
      <c r="JJH1688" s="2730"/>
      <c r="JJI1688" s="2730"/>
      <c r="JJJ1688" s="2730"/>
      <c r="JJK1688" s="2730"/>
      <c r="JJL1688" s="2730"/>
      <c r="JJM1688" s="2730"/>
      <c r="JJN1688" s="2730"/>
      <c r="JJO1688" s="2730"/>
      <c r="JJP1688" s="2730"/>
      <c r="JJQ1688" s="2730"/>
      <c r="JJR1688" s="2730"/>
      <c r="JJS1688" s="2730"/>
      <c r="JJT1688" s="2730"/>
      <c r="JJU1688" s="2730"/>
      <c r="JJV1688" s="2730"/>
      <c r="JJW1688" s="2730"/>
      <c r="JJX1688" s="2730"/>
      <c r="JJY1688" s="2730"/>
      <c r="JJZ1688" s="2730"/>
      <c r="JKA1688" s="2730"/>
      <c r="JKB1688" s="2730"/>
      <c r="JKC1688" s="2730"/>
      <c r="JKD1688" s="2730"/>
      <c r="JKE1688" s="2730"/>
      <c r="JKF1688" s="2730"/>
      <c r="JKG1688" s="2730"/>
      <c r="JKH1688" s="2730"/>
      <c r="JKI1688" s="2730"/>
      <c r="JKJ1688" s="2730"/>
      <c r="JKK1688" s="2730"/>
      <c r="JKL1688" s="2730"/>
      <c r="JKM1688" s="2730"/>
      <c r="JKN1688" s="2730"/>
      <c r="JKO1688" s="2730"/>
      <c r="JKP1688" s="2730"/>
      <c r="JKQ1688" s="2730"/>
      <c r="JKR1688" s="2730"/>
      <c r="JKS1688" s="2730"/>
      <c r="JKT1688" s="2730"/>
      <c r="JKU1688" s="2730"/>
      <c r="JKV1688" s="2730"/>
      <c r="JKW1688" s="2730"/>
      <c r="JKX1688" s="2730"/>
      <c r="JKY1688" s="2730"/>
      <c r="JKZ1688" s="2730"/>
      <c r="JLA1688" s="2730"/>
      <c r="JLB1688" s="2730"/>
      <c r="JLC1688" s="2730"/>
      <c r="JLD1688" s="2730"/>
      <c r="JLE1688" s="2730"/>
      <c r="JLF1688" s="2730"/>
      <c r="JLG1688" s="2730"/>
      <c r="JLH1688" s="2730"/>
      <c r="JLI1688" s="2730"/>
      <c r="JLJ1688" s="2730"/>
      <c r="JLK1688" s="2730"/>
      <c r="JLL1688" s="2730"/>
      <c r="JLM1688" s="2730"/>
      <c r="JLN1688" s="2730"/>
      <c r="JLO1688" s="2730"/>
      <c r="JLP1688" s="2730"/>
      <c r="JLQ1688" s="2730"/>
      <c r="JLR1688" s="2730"/>
      <c r="JLS1688" s="2730"/>
      <c r="JLT1688" s="2730"/>
      <c r="JLU1688" s="2730"/>
      <c r="JLV1688" s="2730"/>
      <c r="JLW1688" s="2730"/>
      <c r="JLX1688" s="2730"/>
      <c r="JLY1688" s="2730"/>
      <c r="JLZ1688" s="2730"/>
      <c r="JMA1688" s="2730"/>
      <c r="JMB1688" s="2730"/>
      <c r="JMC1688" s="2730"/>
      <c r="JMD1688" s="2730"/>
      <c r="JME1688" s="2730"/>
      <c r="JMF1688" s="2730"/>
      <c r="JMG1688" s="2730"/>
      <c r="JMH1688" s="2730"/>
      <c r="JMI1688" s="2730"/>
      <c r="JMJ1688" s="2730"/>
      <c r="JMK1688" s="2730"/>
      <c r="JML1688" s="2730"/>
      <c r="JMM1688" s="2730"/>
      <c r="JMN1688" s="2730"/>
      <c r="JMO1688" s="2730"/>
      <c r="JMP1688" s="2730"/>
      <c r="JMQ1688" s="2730"/>
      <c r="JMR1688" s="2730"/>
      <c r="JMS1688" s="2730"/>
      <c r="JMT1688" s="2730"/>
      <c r="JMU1688" s="2730"/>
      <c r="JMV1688" s="2730"/>
      <c r="JMW1688" s="2730"/>
      <c r="JMX1688" s="2730"/>
      <c r="JMY1688" s="2730"/>
      <c r="JMZ1688" s="2730"/>
      <c r="JNA1688" s="2730"/>
      <c r="JNB1688" s="2730"/>
      <c r="JNC1688" s="2730"/>
      <c r="JND1688" s="2730"/>
      <c r="JNE1688" s="2730"/>
      <c r="JNF1688" s="2730"/>
      <c r="JNG1688" s="2730"/>
      <c r="JNH1688" s="2730"/>
      <c r="JNI1688" s="2730"/>
      <c r="JNJ1688" s="2730"/>
      <c r="JNK1688" s="2730"/>
      <c r="JNL1688" s="2730"/>
      <c r="JNM1688" s="2730"/>
      <c r="JNN1688" s="2730"/>
      <c r="JNO1688" s="2730"/>
      <c r="JNP1688" s="2730"/>
      <c r="JNQ1688" s="2730"/>
      <c r="JNR1688" s="2730"/>
      <c r="JNS1688" s="2730"/>
      <c r="JNT1688" s="2730"/>
      <c r="JNU1688" s="2730"/>
      <c r="JNV1688" s="2730"/>
      <c r="JNW1688" s="2730"/>
      <c r="JNX1688" s="2730"/>
      <c r="JNY1688" s="2730"/>
      <c r="JNZ1688" s="2730"/>
      <c r="JOA1688" s="2730"/>
      <c r="JOB1688" s="2730"/>
      <c r="JOC1688" s="2730"/>
      <c r="JOD1688" s="2730"/>
      <c r="JOE1688" s="2730"/>
      <c r="JOF1688" s="2730"/>
      <c r="JOG1688" s="2730"/>
      <c r="JOH1688" s="2730"/>
      <c r="JOI1688" s="2730"/>
      <c r="JOJ1688" s="2730"/>
      <c r="JOK1688" s="2730"/>
      <c r="JOL1688" s="2730"/>
      <c r="JOM1688" s="2730"/>
      <c r="JON1688" s="2730"/>
      <c r="JOO1688" s="2730"/>
      <c r="JOP1688" s="2730"/>
      <c r="JOQ1688" s="2730"/>
      <c r="JOR1688" s="2730"/>
      <c r="JOS1688" s="2730"/>
      <c r="JOT1688" s="2730"/>
      <c r="JOU1688" s="2730"/>
      <c r="JOV1688" s="2730"/>
      <c r="JOW1688" s="2730"/>
      <c r="JOX1688" s="2730"/>
      <c r="JOY1688" s="2730"/>
      <c r="JOZ1688" s="2730"/>
      <c r="JPA1688" s="2730"/>
      <c r="JPB1688" s="2730"/>
      <c r="JPC1688" s="2730"/>
      <c r="JPD1688" s="2730"/>
      <c r="JPE1688" s="2730"/>
      <c r="JPF1688" s="2730"/>
      <c r="JPG1688" s="2730"/>
      <c r="JPH1688" s="2730"/>
      <c r="JPI1688" s="2730"/>
      <c r="JPJ1688" s="2730"/>
      <c r="JPK1688" s="2730"/>
      <c r="JPL1688" s="2730"/>
      <c r="JPM1688" s="2730"/>
      <c r="JPN1688" s="2730"/>
      <c r="JPO1688" s="2730"/>
      <c r="JPP1688" s="2730"/>
      <c r="JPQ1688" s="2730"/>
      <c r="JPR1688" s="2730"/>
      <c r="JPS1688" s="2730"/>
      <c r="JPT1688" s="2730"/>
      <c r="JPU1688" s="2730"/>
      <c r="JPV1688" s="2730"/>
      <c r="JPW1688" s="2730"/>
      <c r="JPX1688" s="2730"/>
      <c r="JPY1688" s="2730"/>
      <c r="JPZ1688" s="2730"/>
      <c r="JQA1688" s="2730"/>
      <c r="JQB1688" s="2730"/>
      <c r="JQC1688" s="2730"/>
      <c r="JQD1688" s="2730"/>
      <c r="JQE1688" s="2730"/>
      <c r="JQF1688" s="2730"/>
      <c r="JQG1688" s="2730"/>
      <c r="JQH1688" s="2730"/>
      <c r="JQI1688" s="2730"/>
      <c r="JQJ1688" s="2730"/>
      <c r="JQK1688" s="2730"/>
      <c r="JQL1688" s="2730"/>
      <c r="JQM1688" s="2730"/>
      <c r="JQN1688" s="2730"/>
      <c r="JQO1688" s="2730"/>
      <c r="JQP1688" s="2730"/>
      <c r="JQQ1688" s="2730"/>
      <c r="JQR1688" s="2730"/>
      <c r="JQS1688" s="2730"/>
      <c r="JQT1688" s="2730"/>
      <c r="JQU1688" s="2730"/>
      <c r="JQV1688" s="2730"/>
      <c r="JQW1688" s="2730"/>
      <c r="JQX1688" s="2730"/>
      <c r="JQY1688" s="2730"/>
      <c r="JQZ1688" s="2730"/>
      <c r="JRA1688" s="2730"/>
      <c r="JRB1688" s="2730"/>
      <c r="JRC1688" s="2730"/>
      <c r="JRD1688" s="2730"/>
      <c r="JRE1688" s="2730"/>
      <c r="JRF1688" s="2730"/>
      <c r="JRG1688" s="2730"/>
      <c r="JRH1688" s="2730"/>
      <c r="JRI1688" s="2730"/>
      <c r="JRJ1688" s="2730"/>
      <c r="JRK1688" s="2730"/>
      <c r="JRL1688" s="2730"/>
      <c r="JRM1688" s="2730"/>
      <c r="JRN1688" s="2730"/>
      <c r="JRO1688" s="2730"/>
      <c r="JRP1688" s="2730"/>
      <c r="JRQ1688" s="2730"/>
      <c r="JRR1688" s="2730"/>
      <c r="JRS1688" s="2730"/>
      <c r="JRT1688" s="2730"/>
      <c r="JRU1688" s="2730"/>
      <c r="JRV1688" s="2730"/>
      <c r="JRW1688" s="2730"/>
      <c r="JRX1688" s="2730"/>
      <c r="JRY1688" s="2730"/>
      <c r="JRZ1688" s="2730"/>
      <c r="JSA1688" s="2730"/>
      <c r="JSB1688" s="2730"/>
      <c r="JSC1688" s="2730"/>
      <c r="JSD1688" s="2730"/>
      <c r="JSE1688" s="2730"/>
      <c r="JSF1688" s="2730"/>
      <c r="JSG1688" s="2730"/>
      <c r="JSH1688" s="2730"/>
      <c r="JSI1688" s="2730"/>
      <c r="JSJ1688" s="2730"/>
      <c r="JSK1688" s="2730"/>
      <c r="JSL1688" s="2730"/>
      <c r="JSM1688" s="2730"/>
      <c r="JSN1688" s="2730"/>
      <c r="JSO1688" s="2730"/>
      <c r="JSP1688" s="2730"/>
      <c r="JSQ1688" s="2730"/>
      <c r="JSR1688" s="2730"/>
      <c r="JSS1688" s="2730"/>
      <c r="JST1688" s="2730"/>
      <c r="JSU1688" s="2730"/>
      <c r="JSV1688" s="2730"/>
      <c r="JSW1688" s="2730"/>
      <c r="JSX1688" s="2730"/>
      <c r="JSY1688" s="2730"/>
      <c r="JSZ1688" s="2730"/>
      <c r="JTA1688" s="2730"/>
      <c r="JTB1688" s="2730"/>
      <c r="JTC1688" s="2730"/>
      <c r="JTD1688" s="2730"/>
      <c r="JTE1688" s="2730"/>
      <c r="JTF1688" s="2730"/>
      <c r="JTG1688" s="2730"/>
      <c r="JTH1688" s="2730"/>
      <c r="JTI1688" s="2730"/>
      <c r="JTJ1688" s="2730"/>
      <c r="JTK1688" s="2730"/>
      <c r="JTL1688" s="2730"/>
      <c r="JTM1688" s="2730"/>
      <c r="JTN1688" s="2730"/>
      <c r="JTO1688" s="2730"/>
      <c r="JTP1688" s="2730"/>
      <c r="JTQ1688" s="2730"/>
      <c r="JTR1688" s="2730"/>
      <c r="JTS1688" s="2730"/>
      <c r="JTT1688" s="2730"/>
      <c r="JTU1688" s="2730"/>
      <c r="JTV1688" s="2730"/>
      <c r="JTW1688" s="2730"/>
      <c r="JTX1688" s="2730"/>
      <c r="JTY1688" s="2730"/>
      <c r="JTZ1688" s="2730"/>
      <c r="JUA1688" s="2730"/>
      <c r="JUB1688" s="2730"/>
      <c r="JUC1688" s="2730"/>
      <c r="JUD1688" s="2730"/>
      <c r="JUE1688" s="2730"/>
      <c r="JUF1688" s="2730"/>
      <c r="JUG1688" s="2730"/>
      <c r="JUH1688" s="2730"/>
      <c r="JUI1688" s="2730"/>
      <c r="JUJ1688" s="2730"/>
      <c r="JUK1688" s="2730"/>
      <c r="JUL1688" s="2730"/>
      <c r="JUM1688" s="2730"/>
      <c r="JUN1688" s="2730"/>
      <c r="JUO1688" s="2730"/>
      <c r="JUP1688" s="2730"/>
      <c r="JUQ1688" s="2730"/>
      <c r="JUR1688" s="2730"/>
      <c r="JUS1688" s="2730"/>
      <c r="JUT1688" s="2730"/>
      <c r="JUU1688" s="2730"/>
      <c r="JUV1688" s="2730"/>
      <c r="JUW1688" s="2730"/>
      <c r="JUX1688" s="2730"/>
      <c r="JUY1688" s="2730"/>
      <c r="JUZ1688" s="2730"/>
      <c r="JVA1688" s="2730"/>
      <c r="JVB1688" s="2730"/>
      <c r="JVC1688" s="2730"/>
      <c r="JVD1688" s="2730"/>
      <c r="JVE1688" s="2730"/>
      <c r="JVF1688" s="2730"/>
      <c r="JVG1688" s="2730"/>
      <c r="JVH1688" s="2730"/>
      <c r="JVI1688" s="2730"/>
      <c r="JVJ1688" s="2730"/>
      <c r="JVK1688" s="2730"/>
      <c r="JVL1688" s="2730"/>
      <c r="JVM1688" s="2730"/>
      <c r="JVN1688" s="2730"/>
      <c r="JVO1688" s="2730"/>
      <c r="JVP1688" s="2730"/>
      <c r="JVQ1688" s="2730"/>
      <c r="JVR1688" s="2730"/>
      <c r="JVS1688" s="2730"/>
      <c r="JVT1688" s="2730"/>
      <c r="JVU1688" s="2730"/>
      <c r="JVV1688" s="2730"/>
      <c r="JVW1688" s="2730"/>
      <c r="JVX1688" s="2730"/>
      <c r="JVY1688" s="2730"/>
      <c r="JVZ1688" s="2730"/>
      <c r="JWA1688" s="2730"/>
      <c r="JWB1688" s="2730"/>
      <c r="JWC1688" s="2730"/>
      <c r="JWD1688" s="2730"/>
      <c r="JWE1688" s="2730"/>
      <c r="JWF1688" s="2730"/>
      <c r="JWG1688" s="2730"/>
      <c r="JWH1688" s="2730"/>
      <c r="JWI1688" s="2730"/>
      <c r="JWJ1688" s="2730"/>
      <c r="JWK1688" s="2730"/>
      <c r="JWL1688" s="2730"/>
      <c r="JWM1688" s="2730"/>
      <c r="JWN1688" s="2730"/>
      <c r="JWO1688" s="2730"/>
      <c r="JWP1688" s="2730"/>
      <c r="JWQ1688" s="2730"/>
      <c r="JWR1688" s="2730"/>
      <c r="JWS1688" s="2730"/>
      <c r="JWT1688" s="2730"/>
      <c r="JWU1688" s="2730"/>
      <c r="JWV1688" s="2730"/>
      <c r="JWW1688" s="2730"/>
      <c r="JWX1688" s="2730"/>
      <c r="JWY1688" s="2730"/>
      <c r="JWZ1688" s="2730"/>
      <c r="JXA1688" s="2730"/>
      <c r="JXB1688" s="2730"/>
      <c r="JXC1688" s="2730"/>
      <c r="JXD1688" s="2730"/>
      <c r="JXE1688" s="2730"/>
      <c r="JXF1688" s="2730"/>
      <c r="JXG1688" s="2730"/>
      <c r="JXH1688" s="2730"/>
      <c r="JXI1688" s="2730"/>
      <c r="JXJ1688" s="2730"/>
      <c r="JXK1688" s="2730"/>
      <c r="JXL1688" s="2730"/>
      <c r="JXM1688" s="2730"/>
      <c r="JXN1688" s="2730"/>
      <c r="JXO1688" s="2730"/>
      <c r="JXP1688" s="2730"/>
      <c r="JXQ1688" s="2730"/>
      <c r="JXR1688" s="2730"/>
      <c r="JXS1688" s="2730"/>
      <c r="JXT1688" s="2730"/>
      <c r="JXU1688" s="2730"/>
      <c r="JXV1688" s="2730"/>
      <c r="JXW1688" s="2730"/>
      <c r="JXX1688" s="2730"/>
      <c r="JXY1688" s="2730"/>
      <c r="JXZ1688" s="2730"/>
      <c r="JYA1688" s="2730"/>
      <c r="JYB1688" s="2730"/>
      <c r="JYC1688" s="2730"/>
      <c r="JYD1688" s="2730"/>
      <c r="JYE1688" s="2730"/>
      <c r="JYF1688" s="2730"/>
      <c r="JYG1688" s="2730"/>
      <c r="JYH1688" s="2730"/>
      <c r="JYI1688" s="2730"/>
      <c r="JYJ1688" s="2730"/>
      <c r="JYK1688" s="2730"/>
      <c r="JYL1688" s="2730"/>
      <c r="JYM1688" s="2730"/>
      <c r="JYN1688" s="2730"/>
      <c r="JYO1688" s="2730"/>
      <c r="JYP1688" s="2730"/>
      <c r="JYQ1688" s="2730"/>
      <c r="JYR1688" s="2730"/>
      <c r="JYS1688" s="2730"/>
      <c r="JYT1688" s="2730"/>
      <c r="JYU1688" s="2730"/>
      <c r="JYV1688" s="2730"/>
      <c r="JYW1688" s="2730"/>
      <c r="JYX1688" s="2730"/>
      <c r="JYY1688" s="2730"/>
      <c r="JYZ1688" s="2730"/>
      <c r="JZA1688" s="2730"/>
      <c r="JZB1688" s="2730"/>
      <c r="JZC1688" s="2730"/>
      <c r="JZD1688" s="2730"/>
      <c r="JZE1688" s="2730"/>
      <c r="JZF1688" s="2730"/>
      <c r="JZG1688" s="2730"/>
      <c r="JZH1688" s="2730"/>
      <c r="JZI1688" s="2730"/>
      <c r="JZJ1688" s="2730"/>
      <c r="JZK1688" s="2730"/>
      <c r="JZL1688" s="2730"/>
      <c r="JZM1688" s="2730"/>
      <c r="JZN1688" s="2730"/>
      <c r="JZO1688" s="2730"/>
      <c r="JZP1688" s="2730"/>
      <c r="JZQ1688" s="2730"/>
      <c r="JZR1688" s="2730"/>
      <c r="JZS1688" s="2730"/>
      <c r="JZT1688" s="2730"/>
      <c r="JZU1688" s="2730"/>
      <c r="JZV1688" s="2730"/>
      <c r="JZW1688" s="2730"/>
      <c r="JZX1688" s="2730"/>
      <c r="JZY1688" s="2730"/>
      <c r="JZZ1688" s="2730"/>
      <c r="KAA1688" s="2730"/>
      <c r="KAB1688" s="2730"/>
      <c r="KAC1688" s="2730"/>
      <c r="KAD1688" s="2730"/>
      <c r="KAE1688" s="2730"/>
      <c r="KAF1688" s="2730"/>
      <c r="KAG1688" s="2730"/>
      <c r="KAH1688" s="2730"/>
      <c r="KAI1688" s="2730"/>
      <c r="KAJ1688" s="2730"/>
      <c r="KAK1688" s="2730"/>
      <c r="KAL1688" s="2730"/>
      <c r="KAM1688" s="2730"/>
      <c r="KAN1688" s="2730"/>
      <c r="KAO1688" s="2730"/>
      <c r="KAP1688" s="2730"/>
      <c r="KAQ1688" s="2730"/>
      <c r="KAR1688" s="2730"/>
      <c r="KAS1688" s="2730"/>
      <c r="KAT1688" s="2730"/>
      <c r="KAU1688" s="2730"/>
      <c r="KAV1688" s="2730"/>
      <c r="KAW1688" s="2730"/>
      <c r="KAX1688" s="2730"/>
      <c r="KAY1688" s="2730"/>
      <c r="KAZ1688" s="2730"/>
      <c r="KBA1688" s="2730"/>
      <c r="KBB1688" s="2730"/>
      <c r="KBC1688" s="2730"/>
      <c r="KBD1688" s="2730"/>
      <c r="KBE1688" s="2730"/>
      <c r="KBF1688" s="2730"/>
      <c r="KBG1688" s="2730"/>
      <c r="KBH1688" s="2730"/>
      <c r="KBI1688" s="2730"/>
      <c r="KBJ1688" s="2730"/>
      <c r="KBK1688" s="2730"/>
      <c r="KBL1688" s="2730"/>
      <c r="KBM1688" s="2730"/>
      <c r="KBN1688" s="2730"/>
      <c r="KBO1688" s="2730"/>
      <c r="KBP1688" s="2730"/>
      <c r="KBQ1688" s="2730"/>
      <c r="KBR1688" s="2730"/>
      <c r="KBS1688" s="2730"/>
      <c r="KBT1688" s="2730"/>
      <c r="KBU1688" s="2730"/>
      <c r="KBV1688" s="2730"/>
      <c r="KBW1688" s="2730"/>
      <c r="KBX1688" s="2730"/>
      <c r="KBY1688" s="2730"/>
      <c r="KBZ1688" s="2730"/>
      <c r="KCA1688" s="2730"/>
      <c r="KCB1688" s="2730"/>
      <c r="KCC1688" s="2730"/>
      <c r="KCD1688" s="2730"/>
      <c r="KCE1688" s="2730"/>
      <c r="KCF1688" s="2730"/>
      <c r="KCG1688" s="2730"/>
      <c r="KCH1688" s="2730"/>
      <c r="KCI1688" s="2730"/>
      <c r="KCJ1688" s="2730"/>
      <c r="KCK1688" s="2730"/>
      <c r="KCL1688" s="2730"/>
      <c r="KCM1688" s="2730"/>
      <c r="KCN1688" s="2730"/>
      <c r="KCO1688" s="2730"/>
      <c r="KCP1688" s="2730"/>
      <c r="KCQ1688" s="2730"/>
      <c r="KCR1688" s="2730"/>
      <c r="KCS1688" s="2730"/>
      <c r="KCT1688" s="2730"/>
      <c r="KCU1688" s="2730"/>
      <c r="KCV1688" s="2730"/>
      <c r="KCW1688" s="2730"/>
      <c r="KCX1688" s="2730"/>
      <c r="KCY1688" s="2730"/>
      <c r="KCZ1688" s="2730"/>
      <c r="KDA1688" s="2730"/>
      <c r="KDB1688" s="2730"/>
      <c r="KDC1688" s="2730"/>
      <c r="KDD1688" s="2730"/>
      <c r="KDE1688" s="2730"/>
      <c r="KDF1688" s="2730"/>
      <c r="KDG1688" s="2730"/>
      <c r="KDH1688" s="2730"/>
      <c r="KDI1688" s="2730"/>
      <c r="KDJ1688" s="2730"/>
      <c r="KDK1688" s="2730"/>
      <c r="KDL1688" s="2730"/>
      <c r="KDM1688" s="2730"/>
      <c r="KDN1688" s="2730"/>
      <c r="KDO1688" s="2730"/>
      <c r="KDP1688" s="2730"/>
      <c r="KDQ1688" s="2730"/>
      <c r="KDR1688" s="2730"/>
      <c r="KDS1688" s="2730"/>
      <c r="KDT1688" s="2730"/>
      <c r="KDU1688" s="2730"/>
      <c r="KDV1688" s="2730"/>
      <c r="KDW1688" s="2730"/>
      <c r="KDX1688" s="2730"/>
      <c r="KDY1688" s="2730"/>
      <c r="KDZ1688" s="2730"/>
      <c r="KEA1688" s="2730"/>
      <c r="KEB1688" s="2730"/>
      <c r="KEC1688" s="2730"/>
      <c r="KED1688" s="2730"/>
      <c r="KEE1688" s="2730"/>
      <c r="KEF1688" s="2730"/>
      <c r="KEG1688" s="2730"/>
      <c r="KEH1688" s="2730"/>
      <c r="KEI1688" s="2730"/>
      <c r="KEJ1688" s="2730"/>
      <c r="KEK1688" s="2730"/>
      <c r="KEL1688" s="2730"/>
      <c r="KEM1688" s="2730"/>
      <c r="KEN1688" s="2730"/>
      <c r="KEO1688" s="2730"/>
      <c r="KEP1688" s="2730"/>
      <c r="KEQ1688" s="2730"/>
      <c r="KER1688" s="2730"/>
      <c r="KES1688" s="2730"/>
      <c r="KET1688" s="2730"/>
      <c r="KEU1688" s="2730"/>
      <c r="KEV1688" s="2730"/>
      <c r="KEW1688" s="2730"/>
      <c r="KEX1688" s="2730"/>
      <c r="KEY1688" s="2730"/>
      <c r="KEZ1688" s="2730"/>
      <c r="KFA1688" s="2730"/>
      <c r="KFB1688" s="2730"/>
      <c r="KFC1688" s="2730"/>
      <c r="KFD1688" s="2730"/>
      <c r="KFE1688" s="2730"/>
      <c r="KFF1688" s="2730"/>
      <c r="KFG1688" s="2730"/>
      <c r="KFH1688" s="2730"/>
      <c r="KFI1688" s="2730"/>
      <c r="KFJ1688" s="2730"/>
      <c r="KFK1688" s="2730"/>
      <c r="KFL1688" s="2730"/>
      <c r="KFM1688" s="2730"/>
      <c r="KFN1688" s="2730"/>
      <c r="KFO1688" s="2730"/>
      <c r="KFP1688" s="2730"/>
      <c r="KFQ1688" s="2730"/>
      <c r="KFR1688" s="2730"/>
      <c r="KFS1688" s="2730"/>
      <c r="KFT1688" s="2730"/>
      <c r="KFU1688" s="2730"/>
      <c r="KFV1688" s="2730"/>
      <c r="KFW1688" s="2730"/>
      <c r="KFX1688" s="2730"/>
      <c r="KFY1688" s="2730"/>
      <c r="KFZ1688" s="2730"/>
      <c r="KGA1688" s="2730"/>
      <c r="KGB1688" s="2730"/>
      <c r="KGC1688" s="2730"/>
      <c r="KGD1688" s="2730"/>
      <c r="KGE1688" s="2730"/>
      <c r="KGF1688" s="2730"/>
      <c r="KGG1688" s="2730"/>
      <c r="KGH1688" s="2730"/>
      <c r="KGI1688" s="2730"/>
      <c r="KGJ1688" s="2730"/>
      <c r="KGK1688" s="2730"/>
      <c r="KGL1688" s="2730"/>
      <c r="KGM1688" s="2730"/>
      <c r="KGN1688" s="2730"/>
      <c r="KGO1688" s="2730"/>
      <c r="KGP1688" s="2730"/>
      <c r="KGQ1688" s="2730"/>
      <c r="KGR1688" s="2730"/>
      <c r="KGS1688" s="2730"/>
      <c r="KGT1688" s="2730"/>
      <c r="KGU1688" s="2730"/>
      <c r="KGV1688" s="2730"/>
      <c r="KGW1688" s="2730"/>
      <c r="KGX1688" s="2730"/>
      <c r="KGY1688" s="2730"/>
      <c r="KGZ1688" s="2730"/>
      <c r="KHA1688" s="2730"/>
      <c r="KHB1688" s="2730"/>
      <c r="KHC1688" s="2730"/>
      <c r="KHD1688" s="2730"/>
      <c r="KHE1688" s="2730"/>
      <c r="KHF1688" s="2730"/>
      <c r="KHG1688" s="2730"/>
      <c r="KHH1688" s="2730"/>
      <c r="KHI1688" s="2730"/>
      <c r="KHJ1688" s="2730"/>
      <c r="KHK1688" s="2730"/>
      <c r="KHL1688" s="2730"/>
      <c r="KHM1688" s="2730"/>
      <c r="KHN1688" s="2730"/>
      <c r="KHO1688" s="2730"/>
      <c r="KHP1688" s="2730"/>
      <c r="KHQ1688" s="2730"/>
      <c r="KHR1688" s="2730"/>
      <c r="KHS1688" s="2730"/>
      <c r="KHT1688" s="2730"/>
      <c r="KHU1688" s="2730"/>
      <c r="KHV1688" s="2730"/>
      <c r="KHW1688" s="2730"/>
      <c r="KHX1688" s="2730"/>
      <c r="KHY1688" s="2730"/>
      <c r="KHZ1688" s="2730"/>
      <c r="KIA1688" s="2730"/>
      <c r="KIB1688" s="2730"/>
      <c r="KIC1688" s="2730"/>
      <c r="KID1688" s="2730"/>
      <c r="KIE1688" s="2730"/>
      <c r="KIF1688" s="2730"/>
      <c r="KIG1688" s="2730"/>
      <c r="KIH1688" s="2730"/>
      <c r="KII1688" s="2730"/>
      <c r="KIJ1688" s="2730"/>
      <c r="KIK1688" s="2730"/>
      <c r="KIL1688" s="2730"/>
      <c r="KIM1688" s="2730"/>
      <c r="KIN1688" s="2730"/>
      <c r="KIO1688" s="2730"/>
      <c r="KIP1688" s="2730"/>
      <c r="KIQ1688" s="2730"/>
      <c r="KIR1688" s="2730"/>
      <c r="KIS1688" s="2730"/>
      <c r="KIT1688" s="2730"/>
      <c r="KIU1688" s="2730"/>
      <c r="KIV1688" s="2730"/>
      <c r="KIW1688" s="2730"/>
      <c r="KIX1688" s="2730"/>
      <c r="KIY1688" s="2730"/>
      <c r="KIZ1688" s="2730"/>
      <c r="KJA1688" s="2730"/>
      <c r="KJB1688" s="2730"/>
      <c r="KJC1688" s="2730"/>
      <c r="KJD1688" s="2730"/>
      <c r="KJE1688" s="2730"/>
      <c r="KJF1688" s="2730"/>
      <c r="KJG1688" s="2730"/>
      <c r="KJH1688" s="2730"/>
      <c r="KJI1688" s="2730"/>
      <c r="KJJ1688" s="2730"/>
      <c r="KJK1688" s="2730"/>
      <c r="KJL1688" s="2730"/>
      <c r="KJM1688" s="2730"/>
      <c r="KJN1688" s="2730"/>
      <c r="KJO1688" s="2730"/>
      <c r="KJP1688" s="2730"/>
      <c r="KJQ1688" s="2730"/>
      <c r="KJR1688" s="2730"/>
      <c r="KJS1688" s="2730"/>
      <c r="KJT1688" s="2730"/>
      <c r="KJU1688" s="2730"/>
      <c r="KJV1688" s="2730"/>
      <c r="KJW1688" s="2730"/>
      <c r="KJX1688" s="2730"/>
      <c r="KJY1688" s="2730"/>
      <c r="KJZ1688" s="2730"/>
      <c r="KKA1688" s="2730"/>
      <c r="KKB1688" s="2730"/>
      <c r="KKC1688" s="2730"/>
      <c r="KKD1688" s="2730"/>
      <c r="KKE1688" s="2730"/>
      <c r="KKF1688" s="2730"/>
      <c r="KKG1688" s="2730"/>
      <c r="KKH1688" s="2730"/>
      <c r="KKI1688" s="2730"/>
      <c r="KKJ1688" s="2730"/>
      <c r="KKK1688" s="2730"/>
      <c r="KKL1688" s="2730"/>
      <c r="KKM1688" s="2730"/>
      <c r="KKN1688" s="2730"/>
      <c r="KKO1688" s="2730"/>
      <c r="KKP1688" s="2730"/>
      <c r="KKQ1688" s="2730"/>
      <c r="KKR1688" s="2730"/>
      <c r="KKS1688" s="2730"/>
      <c r="KKT1688" s="2730"/>
      <c r="KKU1688" s="2730"/>
      <c r="KKV1688" s="2730"/>
      <c r="KKW1688" s="2730"/>
      <c r="KKX1688" s="2730"/>
      <c r="KKY1688" s="2730"/>
      <c r="KKZ1688" s="2730"/>
      <c r="KLA1688" s="2730"/>
      <c r="KLB1688" s="2730"/>
      <c r="KLC1688" s="2730"/>
      <c r="KLD1688" s="2730"/>
      <c r="KLE1688" s="2730"/>
      <c r="KLF1688" s="2730"/>
      <c r="KLG1688" s="2730"/>
      <c r="KLH1688" s="2730"/>
      <c r="KLI1688" s="2730"/>
      <c r="KLJ1688" s="2730"/>
      <c r="KLK1688" s="2730"/>
      <c r="KLL1688" s="2730"/>
      <c r="KLM1688" s="2730"/>
      <c r="KLN1688" s="2730"/>
      <c r="KLO1688" s="2730"/>
      <c r="KLP1688" s="2730"/>
      <c r="KLQ1688" s="2730"/>
      <c r="KLR1688" s="2730"/>
      <c r="KLS1688" s="2730"/>
      <c r="KLT1688" s="2730"/>
      <c r="KLU1688" s="2730"/>
      <c r="KLV1688" s="2730"/>
      <c r="KLW1688" s="2730"/>
      <c r="KLX1688" s="2730"/>
      <c r="KLY1688" s="2730"/>
      <c r="KLZ1688" s="2730"/>
      <c r="KMA1688" s="2730"/>
      <c r="KMB1688" s="2730"/>
      <c r="KMC1688" s="2730"/>
      <c r="KMD1688" s="2730"/>
      <c r="KME1688" s="2730"/>
      <c r="KMF1688" s="2730"/>
      <c r="KMG1688" s="2730"/>
      <c r="KMH1688" s="2730"/>
      <c r="KMI1688" s="2730"/>
      <c r="KMJ1688" s="2730"/>
      <c r="KMK1688" s="2730"/>
      <c r="KML1688" s="2730"/>
      <c r="KMM1688" s="2730"/>
      <c r="KMN1688" s="2730"/>
      <c r="KMO1688" s="2730"/>
      <c r="KMP1688" s="2730"/>
      <c r="KMQ1688" s="2730"/>
      <c r="KMR1688" s="2730"/>
      <c r="KMS1688" s="2730"/>
      <c r="KMT1688" s="2730"/>
      <c r="KMU1688" s="2730"/>
      <c r="KMV1688" s="2730"/>
      <c r="KMW1688" s="2730"/>
      <c r="KMX1688" s="2730"/>
      <c r="KMY1688" s="2730"/>
      <c r="KMZ1688" s="2730"/>
      <c r="KNA1688" s="2730"/>
      <c r="KNB1688" s="2730"/>
      <c r="KNC1688" s="2730"/>
      <c r="KND1688" s="2730"/>
      <c r="KNE1688" s="2730"/>
      <c r="KNF1688" s="2730"/>
      <c r="KNG1688" s="2730"/>
      <c r="KNH1688" s="2730"/>
      <c r="KNI1688" s="2730"/>
      <c r="KNJ1688" s="2730"/>
      <c r="KNK1688" s="2730"/>
      <c r="KNL1688" s="2730"/>
      <c r="KNM1688" s="2730"/>
      <c r="KNN1688" s="2730"/>
      <c r="KNO1688" s="2730"/>
      <c r="KNP1688" s="2730"/>
      <c r="KNQ1688" s="2730"/>
      <c r="KNR1688" s="2730"/>
      <c r="KNS1688" s="2730"/>
      <c r="KNT1688" s="2730"/>
      <c r="KNU1688" s="2730"/>
      <c r="KNV1688" s="2730"/>
      <c r="KNW1688" s="2730"/>
      <c r="KNX1688" s="2730"/>
      <c r="KNY1688" s="2730"/>
      <c r="KNZ1688" s="2730"/>
      <c r="KOA1688" s="2730"/>
      <c r="KOB1688" s="2730"/>
      <c r="KOC1688" s="2730"/>
      <c r="KOD1688" s="2730"/>
      <c r="KOE1688" s="2730"/>
      <c r="KOF1688" s="2730"/>
      <c r="KOG1688" s="2730"/>
      <c r="KOH1688" s="2730"/>
      <c r="KOI1688" s="2730"/>
      <c r="KOJ1688" s="2730"/>
      <c r="KOK1688" s="2730"/>
      <c r="KOL1688" s="2730"/>
      <c r="KOM1688" s="2730"/>
      <c r="KON1688" s="2730"/>
      <c r="KOO1688" s="2730"/>
      <c r="KOP1688" s="2730"/>
      <c r="KOQ1688" s="2730"/>
      <c r="KOR1688" s="2730"/>
      <c r="KOS1688" s="2730"/>
      <c r="KOT1688" s="2730"/>
      <c r="KOU1688" s="2730"/>
      <c r="KOV1688" s="2730"/>
      <c r="KOW1688" s="2730"/>
      <c r="KOX1688" s="2730"/>
      <c r="KOY1688" s="2730"/>
      <c r="KOZ1688" s="2730"/>
      <c r="KPA1688" s="2730"/>
      <c r="KPB1688" s="2730"/>
      <c r="KPC1688" s="2730"/>
      <c r="KPD1688" s="2730"/>
      <c r="KPE1688" s="2730"/>
      <c r="KPF1688" s="2730"/>
      <c r="KPG1688" s="2730"/>
      <c r="KPH1688" s="2730"/>
      <c r="KPI1688" s="2730"/>
      <c r="KPJ1688" s="2730"/>
      <c r="KPK1688" s="2730"/>
      <c r="KPL1688" s="2730"/>
      <c r="KPM1688" s="2730"/>
      <c r="KPN1688" s="2730"/>
      <c r="KPO1688" s="2730"/>
      <c r="KPP1688" s="2730"/>
      <c r="KPQ1688" s="2730"/>
      <c r="KPR1688" s="2730"/>
      <c r="KPS1688" s="2730"/>
      <c r="KPT1688" s="2730"/>
      <c r="KPU1688" s="2730"/>
      <c r="KPV1688" s="2730"/>
      <c r="KPW1688" s="2730"/>
      <c r="KPX1688" s="2730"/>
      <c r="KPY1688" s="2730"/>
      <c r="KPZ1688" s="2730"/>
      <c r="KQA1688" s="2730"/>
      <c r="KQB1688" s="2730"/>
      <c r="KQC1688" s="2730"/>
      <c r="KQD1688" s="2730"/>
      <c r="KQE1688" s="2730"/>
      <c r="KQF1688" s="2730"/>
      <c r="KQG1688" s="2730"/>
      <c r="KQH1688" s="2730"/>
      <c r="KQI1688" s="2730"/>
      <c r="KQJ1688" s="2730"/>
      <c r="KQK1688" s="2730"/>
      <c r="KQL1688" s="2730"/>
      <c r="KQM1688" s="2730"/>
      <c r="KQN1688" s="2730"/>
      <c r="KQO1688" s="2730"/>
      <c r="KQP1688" s="2730"/>
      <c r="KQQ1688" s="2730"/>
      <c r="KQR1688" s="2730"/>
      <c r="KQS1688" s="2730"/>
      <c r="KQT1688" s="2730"/>
      <c r="KQU1688" s="2730"/>
      <c r="KQV1688" s="2730"/>
      <c r="KQW1688" s="2730"/>
      <c r="KQX1688" s="2730"/>
      <c r="KQY1688" s="2730"/>
      <c r="KQZ1688" s="2730"/>
      <c r="KRA1688" s="2730"/>
      <c r="KRB1688" s="2730"/>
      <c r="KRC1688" s="2730"/>
      <c r="KRD1688" s="2730"/>
      <c r="KRE1688" s="2730"/>
      <c r="KRF1688" s="2730"/>
      <c r="KRG1688" s="2730"/>
      <c r="KRH1688" s="2730"/>
      <c r="KRI1688" s="2730"/>
      <c r="KRJ1688" s="2730"/>
      <c r="KRK1688" s="2730"/>
      <c r="KRL1688" s="2730"/>
      <c r="KRM1688" s="2730"/>
      <c r="KRN1688" s="2730"/>
      <c r="KRO1688" s="2730"/>
      <c r="KRP1688" s="2730"/>
      <c r="KRQ1688" s="2730"/>
      <c r="KRR1688" s="2730"/>
      <c r="KRS1688" s="2730"/>
      <c r="KRT1688" s="2730"/>
      <c r="KRU1688" s="2730"/>
      <c r="KRV1688" s="2730"/>
      <c r="KRW1688" s="2730"/>
      <c r="KRX1688" s="2730"/>
      <c r="KRY1688" s="2730"/>
      <c r="KRZ1688" s="2730"/>
      <c r="KSA1688" s="2730"/>
      <c r="KSB1688" s="2730"/>
      <c r="KSC1688" s="2730"/>
      <c r="KSD1688" s="2730"/>
      <c r="KSE1688" s="2730"/>
      <c r="KSF1688" s="2730"/>
      <c r="KSG1688" s="2730"/>
      <c r="KSH1688" s="2730"/>
      <c r="KSI1688" s="2730"/>
      <c r="KSJ1688" s="2730"/>
      <c r="KSK1688" s="2730"/>
      <c r="KSL1688" s="2730"/>
      <c r="KSM1688" s="2730"/>
      <c r="KSN1688" s="2730"/>
      <c r="KSO1688" s="2730"/>
      <c r="KSP1688" s="2730"/>
      <c r="KSQ1688" s="2730"/>
      <c r="KSR1688" s="2730"/>
      <c r="KSS1688" s="2730"/>
      <c r="KST1688" s="2730"/>
      <c r="KSU1688" s="2730"/>
      <c r="KSV1688" s="2730"/>
      <c r="KSW1688" s="2730"/>
      <c r="KSX1688" s="2730"/>
      <c r="KSY1688" s="2730"/>
      <c r="KSZ1688" s="2730"/>
      <c r="KTA1688" s="2730"/>
      <c r="KTB1688" s="2730"/>
      <c r="KTC1688" s="2730"/>
      <c r="KTD1688" s="2730"/>
      <c r="KTE1688" s="2730"/>
      <c r="KTF1688" s="2730"/>
      <c r="KTG1688" s="2730"/>
      <c r="KTH1688" s="2730"/>
      <c r="KTI1688" s="2730"/>
      <c r="KTJ1688" s="2730"/>
      <c r="KTK1688" s="2730"/>
      <c r="KTL1688" s="2730"/>
      <c r="KTM1688" s="2730"/>
      <c r="KTN1688" s="2730"/>
      <c r="KTO1688" s="2730"/>
      <c r="KTP1688" s="2730"/>
      <c r="KTQ1688" s="2730"/>
      <c r="KTR1688" s="2730"/>
      <c r="KTS1688" s="2730"/>
      <c r="KTT1688" s="2730"/>
      <c r="KTU1688" s="2730"/>
      <c r="KTV1688" s="2730"/>
      <c r="KTW1688" s="2730"/>
      <c r="KTX1688" s="2730"/>
      <c r="KTY1688" s="2730"/>
      <c r="KTZ1688" s="2730"/>
      <c r="KUA1688" s="2730"/>
      <c r="KUB1688" s="2730"/>
      <c r="KUC1688" s="2730"/>
      <c r="KUD1688" s="2730"/>
      <c r="KUE1688" s="2730"/>
      <c r="KUF1688" s="2730"/>
      <c r="KUG1688" s="2730"/>
      <c r="KUH1688" s="2730"/>
      <c r="KUI1688" s="2730"/>
      <c r="KUJ1688" s="2730"/>
      <c r="KUK1688" s="2730"/>
      <c r="KUL1688" s="2730"/>
      <c r="KUM1688" s="2730"/>
      <c r="KUN1688" s="2730"/>
      <c r="KUO1688" s="2730"/>
      <c r="KUP1688" s="2730"/>
      <c r="KUQ1688" s="2730"/>
      <c r="KUR1688" s="2730"/>
      <c r="KUS1688" s="2730"/>
      <c r="KUT1688" s="2730"/>
      <c r="KUU1688" s="2730"/>
      <c r="KUV1688" s="2730"/>
      <c r="KUW1688" s="2730"/>
      <c r="KUX1688" s="2730"/>
      <c r="KUY1688" s="2730"/>
      <c r="KUZ1688" s="2730"/>
      <c r="KVA1688" s="2730"/>
      <c r="KVB1688" s="2730"/>
      <c r="KVC1688" s="2730"/>
      <c r="KVD1688" s="2730"/>
      <c r="KVE1688" s="2730"/>
      <c r="KVF1688" s="2730"/>
      <c r="KVG1688" s="2730"/>
      <c r="KVH1688" s="2730"/>
      <c r="KVI1688" s="2730"/>
      <c r="KVJ1688" s="2730"/>
      <c r="KVK1688" s="2730"/>
      <c r="KVL1688" s="2730"/>
      <c r="KVM1688" s="2730"/>
      <c r="KVN1688" s="2730"/>
      <c r="KVO1688" s="2730"/>
      <c r="KVP1688" s="2730"/>
      <c r="KVQ1688" s="2730"/>
      <c r="KVR1688" s="2730"/>
      <c r="KVS1688" s="2730"/>
      <c r="KVT1688" s="2730"/>
      <c r="KVU1688" s="2730"/>
      <c r="KVV1688" s="2730"/>
      <c r="KVW1688" s="2730"/>
      <c r="KVX1688" s="2730"/>
      <c r="KVY1688" s="2730"/>
      <c r="KVZ1688" s="2730"/>
      <c r="KWA1688" s="2730"/>
      <c r="KWB1688" s="2730"/>
      <c r="KWC1688" s="2730"/>
      <c r="KWD1688" s="2730"/>
      <c r="KWE1688" s="2730"/>
      <c r="KWF1688" s="2730"/>
      <c r="KWG1688" s="2730"/>
      <c r="KWH1688" s="2730"/>
      <c r="KWI1688" s="2730"/>
      <c r="KWJ1688" s="2730"/>
      <c r="KWK1688" s="2730"/>
      <c r="KWL1688" s="2730"/>
      <c r="KWM1688" s="2730"/>
      <c r="KWN1688" s="2730"/>
      <c r="KWO1688" s="2730"/>
      <c r="KWP1688" s="2730"/>
      <c r="KWQ1688" s="2730"/>
      <c r="KWR1688" s="2730"/>
      <c r="KWS1688" s="2730"/>
      <c r="KWT1688" s="2730"/>
      <c r="KWU1688" s="2730"/>
      <c r="KWV1688" s="2730"/>
      <c r="KWW1688" s="2730"/>
      <c r="KWX1688" s="2730"/>
      <c r="KWY1688" s="2730"/>
      <c r="KWZ1688" s="2730"/>
      <c r="KXA1688" s="2730"/>
      <c r="KXB1688" s="2730"/>
      <c r="KXC1688" s="2730"/>
      <c r="KXD1688" s="2730"/>
      <c r="KXE1688" s="2730"/>
      <c r="KXF1688" s="2730"/>
      <c r="KXG1688" s="2730"/>
      <c r="KXH1688" s="2730"/>
      <c r="KXI1688" s="2730"/>
      <c r="KXJ1688" s="2730"/>
      <c r="KXK1688" s="2730"/>
      <c r="KXL1688" s="2730"/>
      <c r="KXM1688" s="2730"/>
      <c r="KXN1688" s="2730"/>
      <c r="KXO1688" s="2730"/>
      <c r="KXP1688" s="2730"/>
      <c r="KXQ1688" s="2730"/>
      <c r="KXR1688" s="2730"/>
      <c r="KXS1688" s="2730"/>
      <c r="KXT1688" s="2730"/>
      <c r="KXU1688" s="2730"/>
      <c r="KXV1688" s="2730"/>
      <c r="KXW1688" s="2730"/>
      <c r="KXX1688" s="2730"/>
      <c r="KXY1688" s="2730"/>
      <c r="KXZ1688" s="2730"/>
      <c r="KYA1688" s="2730"/>
      <c r="KYB1688" s="2730"/>
      <c r="KYC1688" s="2730"/>
      <c r="KYD1688" s="2730"/>
      <c r="KYE1688" s="2730"/>
      <c r="KYF1688" s="2730"/>
      <c r="KYG1688" s="2730"/>
      <c r="KYH1688" s="2730"/>
      <c r="KYI1688" s="2730"/>
      <c r="KYJ1688" s="2730"/>
      <c r="KYK1688" s="2730"/>
      <c r="KYL1688" s="2730"/>
      <c r="KYM1688" s="2730"/>
      <c r="KYN1688" s="2730"/>
      <c r="KYO1688" s="2730"/>
      <c r="KYP1688" s="2730"/>
      <c r="KYQ1688" s="2730"/>
      <c r="KYR1688" s="2730"/>
      <c r="KYS1688" s="2730"/>
      <c r="KYT1688" s="2730"/>
      <c r="KYU1688" s="2730"/>
      <c r="KYV1688" s="2730"/>
      <c r="KYW1688" s="2730"/>
      <c r="KYX1688" s="2730"/>
      <c r="KYY1688" s="2730"/>
      <c r="KYZ1688" s="2730"/>
      <c r="KZA1688" s="2730"/>
      <c r="KZB1688" s="2730"/>
      <c r="KZC1688" s="2730"/>
      <c r="KZD1688" s="2730"/>
      <c r="KZE1688" s="2730"/>
      <c r="KZF1688" s="2730"/>
      <c r="KZG1688" s="2730"/>
      <c r="KZH1688" s="2730"/>
      <c r="KZI1688" s="2730"/>
      <c r="KZJ1688" s="2730"/>
      <c r="KZK1688" s="2730"/>
      <c r="KZL1688" s="2730"/>
      <c r="KZM1688" s="2730"/>
      <c r="KZN1688" s="2730"/>
      <c r="KZO1688" s="2730"/>
      <c r="KZP1688" s="2730"/>
      <c r="KZQ1688" s="2730"/>
      <c r="KZR1688" s="2730"/>
      <c r="KZS1688" s="2730"/>
      <c r="KZT1688" s="2730"/>
      <c r="KZU1688" s="2730"/>
      <c r="KZV1688" s="2730"/>
      <c r="KZW1688" s="2730"/>
      <c r="KZX1688" s="2730"/>
      <c r="KZY1688" s="2730"/>
      <c r="KZZ1688" s="2730"/>
      <c r="LAA1688" s="2730"/>
      <c r="LAB1688" s="2730"/>
      <c r="LAC1688" s="2730"/>
      <c r="LAD1688" s="2730"/>
      <c r="LAE1688" s="2730"/>
      <c r="LAF1688" s="2730"/>
      <c r="LAG1688" s="2730"/>
      <c r="LAH1688" s="2730"/>
      <c r="LAI1688" s="2730"/>
      <c r="LAJ1688" s="2730"/>
      <c r="LAK1688" s="2730"/>
      <c r="LAL1688" s="2730"/>
      <c r="LAM1688" s="2730"/>
      <c r="LAN1688" s="2730"/>
      <c r="LAO1688" s="2730"/>
      <c r="LAP1688" s="2730"/>
      <c r="LAQ1688" s="2730"/>
      <c r="LAR1688" s="2730"/>
      <c r="LAS1688" s="2730"/>
      <c r="LAT1688" s="2730"/>
      <c r="LAU1688" s="2730"/>
      <c r="LAV1688" s="2730"/>
      <c r="LAW1688" s="2730"/>
      <c r="LAX1688" s="2730"/>
      <c r="LAY1688" s="2730"/>
      <c r="LAZ1688" s="2730"/>
      <c r="LBA1688" s="2730"/>
      <c r="LBB1688" s="2730"/>
      <c r="LBC1688" s="2730"/>
      <c r="LBD1688" s="2730"/>
      <c r="LBE1688" s="2730"/>
      <c r="LBF1688" s="2730"/>
      <c r="LBG1688" s="2730"/>
      <c r="LBH1688" s="2730"/>
      <c r="LBI1688" s="2730"/>
      <c r="LBJ1688" s="2730"/>
      <c r="LBK1688" s="2730"/>
      <c r="LBL1688" s="2730"/>
      <c r="LBM1688" s="2730"/>
      <c r="LBN1688" s="2730"/>
      <c r="LBO1688" s="2730"/>
      <c r="LBP1688" s="2730"/>
      <c r="LBQ1688" s="2730"/>
      <c r="LBR1688" s="2730"/>
      <c r="LBS1688" s="2730"/>
      <c r="LBT1688" s="2730"/>
      <c r="LBU1688" s="2730"/>
      <c r="LBV1688" s="2730"/>
      <c r="LBW1688" s="2730"/>
      <c r="LBX1688" s="2730"/>
      <c r="LBY1688" s="2730"/>
      <c r="LBZ1688" s="2730"/>
      <c r="LCA1688" s="2730"/>
      <c r="LCB1688" s="2730"/>
      <c r="LCC1688" s="2730"/>
      <c r="LCD1688" s="2730"/>
      <c r="LCE1688" s="2730"/>
      <c r="LCF1688" s="2730"/>
      <c r="LCG1688" s="2730"/>
      <c r="LCH1688" s="2730"/>
      <c r="LCI1688" s="2730"/>
      <c r="LCJ1688" s="2730"/>
      <c r="LCK1688" s="2730"/>
      <c r="LCL1688" s="2730"/>
      <c r="LCM1688" s="2730"/>
      <c r="LCN1688" s="2730"/>
      <c r="LCO1688" s="2730"/>
      <c r="LCP1688" s="2730"/>
      <c r="LCQ1688" s="2730"/>
      <c r="LCR1688" s="2730"/>
      <c r="LCS1688" s="2730"/>
      <c r="LCT1688" s="2730"/>
      <c r="LCU1688" s="2730"/>
      <c r="LCV1688" s="2730"/>
      <c r="LCW1688" s="2730"/>
      <c r="LCX1688" s="2730"/>
      <c r="LCY1688" s="2730"/>
      <c r="LCZ1688" s="2730"/>
      <c r="LDA1688" s="2730"/>
      <c r="LDB1688" s="2730"/>
      <c r="LDC1688" s="2730"/>
      <c r="LDD1688" s="2730"/>
      <c r="LDE1688" s="2730"/>
      <c r="LDF1688" s="2730"/>
      <c r="LDG1688" s="2730"/>
      <c r="LDH1688" s="2730"/>
      <c r="LDI1688" s="2730"/>
      <c r="LDJ1688" s="2730"/>
      <c r="LDK1688" s="2730"/>
      <c r="LDL1688" s="2730"/>
      <c r="LDM1688" s="2730"/>
      <c r="LDN1688" s="2730"/>
      <c r="LDO1688" s="2730"/>
      <c r="LDP1688" s="2730"/>
      <c r="LDQ1688" s="2730"/>
      <c r="LDR1688" s="2730"/>
      <c r="LDS1688" s="2730"/>
      <c r="LDT1688" s="2730"/>
      <c r="LDU1688" s="2730"/>
      <c r="LDV1688" s="2730"/>
      <c r="LDW1688" s="2730"/>
      <c r="LDX1688" s="2730"/>
      <c r="LDY1688" s="2730"/>
      <c r="LDZ1688" s="2730"/>
      <c r="LEA1688" s="2730"/>
      <c r="LEB1688" s="2730"/>
      <c r="LEC1688" s="2730"/>
      <c r="LED1688" s="2730"/>
      <c r="LEE1688" s="2730"/>
      <c r="LEF1688" s="2730"/>
      <c r="LEG1688" s="2730"/>
      <c r="LEH1688" s="2730"/>
      <c r="LEI1688" s="2730"/>
      <c r="LEJ1688" s="2730"/>
      <c r="LEK1688" s="2730"/>
      <c r="LEL1688" s="2730"/>
      <c r="LEM1688" s="2730"/>
      <c r="LEN1688" s="2730"/>
      <c r="LEO1688" s="2730"/>
      <c r="LEP1688" s="2730"/>
      <c r="LEQ1688" s="2730"/>
      <c r="LER1688" s="2730"/>
      <c r="LES1688" s="2730"/>
      <c r="LET1688" s="2730"/>
      <c r="LEU1688" s="2730"/>
      <c r="LEV1688" s="2730"/>
      <c r="LEW1688" s="2730"/>
      <c r="LEX1688" s="2730"/>
      <c r="LEY1688" s="2730"/>
      <c r="LEZ1688" s="2730"/>
      <c r="LFA1688" s="2730"/>
      <c r="LFB1688" s="2730"/>
      <c r="LFC1688" s="2730"/>
      <c r="LFD1688" s="2730"/>
      <c r="LFE1688" s="2730"/>
      <c r="LFF1688" s="2730"/>
      <c r="LFG1688" s="2730"/>
      <c r="LFH1688" s="2730"/>
      <c r="LFI1688" s="2730"/>
      <c r="LFJ1688" s="2730"/>
      <c r="LFK1688" s="2730"/>
      <c r="LFL1688" s="2730"/>
      <c r="LFM1688" s="2730"/>
      <c r="LFN1688" s="2730"/>
      <c r="LFO1688" s="2730"/>
      <c r="LFP1688" s="2730"/>
      <c r="LFQ1688" s="2730"/>
      <c r="LFR1688" s="2730"/>
      <c r="LFS1688" s="2730"/>
      <c r="LFT1688" s="2730"/>
      <c r="LFU1688" s="2730"/>
      <c r="LFV1688" s="2730"/>
      <c r="LFW1688" s="2730"/>
      <c r="LFX1688" s="2730"/>
      <c r="LFY1688" s="2730"/>
      <c r="LFZ1688" s="2730"/>
      <c r="LGA1688" s="2730"/>
      <c r="LGB1688" s="2730"/>
      <c r="LGC1688" s="2730"/>
      <c r="LGD1688" s="2730"/>
      <c r="LGE1688" s="2730"/>
      <c r="LGF1688" s="2730"/>
      <c r="LGG1688" s="2730"/>
      <c r="LGH1688" s="2730"/>
      <c r="LGI1688" s="2730"/>
      <c r="LGJ1688" s="2730"/>
      <c r="LGK1688" s="2730"/>
      <c r="LGL1688" s="2730"/>
      <c r="LGM1688" s="2730"/>
      <c r="LGN1688" s="2730"/>
      <c r="LGO1688" s="2730"/>
      <c r="LGP1688" s="2730"/>
      <c r="LGQ1688" s="2730"/>
      <c r="LGR1688" s="2730"/>
      <c r="LGS1688" s="2730"/>
      <c r="LGT1688" s="2730"/>
      <c r="LGU1688" s="2730"/>
      <c r="LGV1688" s="2730"/>
      <c r="LGW1688" s="2730"/>
      <c r="LGX1688" s="2730"/>
      <c r="LGY1688" s="2730"/>
      <c r="LGZ1688" s="2730"/>
      <c r="LHA1688" s="2730"/>
      <c r="LHB1688" s="2730"/>
      <c r="LHC1688" s="2730"/>
      <c r="LHD1688" s="2730"/>
      <c r="LHE1688" s="2730"/>
      <c r="LHF1688" s="2730"/>
      <c r="LHG1688" s="2730"/>
      <c r="LHH1688" s="2730"/>
      <c r="LHI1688" s="2730"/>
      <c r="LHJ1688" s="2730"/>
      <c r="LHK1688" s="2730"/>
      <c r="LHL1688" s="2730"/>
      <c r="LHM1688" s="2730"/>
      <c r="LHN1688" s="2730"/>
      <c r="LHO1688" s="2730"/>
      <c r="LHP1688" s="2730"/>
      <c r="LHQ1688" s="2730"/>
      <c r="LHR1688" s="2730"/>
      <c r="LHS1688" s="2730"/>
      <c r="LHT1688" s="2730"/>
      <c r="LHU1688" s="2730"/>
      <c r="LHV1688" s="2730"/>
      <c r="LHW1688" s="2730"/>
      <c r="LHX1688" s="2730"/>
      <c r="LHY1688" s="2730"/>
      <c r="LHZ1688" s="2730"/>
      <c r="LIA1688" s="2730"/>
      <c r="LIB1688" s="2730"/>
      <c r="LIC1688" s="2730"/>
      <c r="LID1688" s="2730"/>
      <c r="LIE1688" s="2730"/>
      <c r="LIF1688" s="2730"/>
      <c r="LIG1688" s="2730"/>
      <c r="LIH1688" s="2730"/>
      <c r="LII1688" s="2730"/>
      <c r="LIJ1688" s="2730"/>
      <c r="LIK1688" s="2730"/>
      <c r="LIL1688" s="2730"/>
      <c r="LIM1688" s="2730"/>
      <c r="LIN1688" s="2730"/>
      <c r="LIO1688" s="2730"/>
      <c r="LIP1688" s="2730"/>
      <c r="LIQ1688" s="2730"/>
      <c r="LIR1688" s="2730"/>
      <c r="LIS1688" s="2730"/>
      <c r="LIT1688" s="2730"/>
      <c r="LIU1688" s="2730"/>
      <c r="LIV1688" s="2730"/>
      <c r="LIW1688" s="2730"/>
      <c r="LIX1688" s="2730"/>
      <c r="LIY1688" s="2730"/>
      <c r="LIZ1688" s="2730"/>
      <c r="LJA1688" s="2730"/>
      <c r="LJB1688" s="2730"/>
      <c r="LJC1688" s="2730"/>
      <c r="LJD1688" s="2730"/>
      <c r="LJE1688" s="2730"/>
      <c r="LJF1688" s="2730"/>
      <c r="LJG1688" s="2730"/>
      <c r="LJH1688" s="2730"/>
      <c r="LJI1688" s="2730"/>
      <c r="LJJ1688" s="2730"/>
      <c r="LJK1688" s="2730"/>
      <c r="LJL1688" s="2730"/>
      <c r="LJM1688" s="2730"/>
      <c r="LJN1688" s="2730"/>
      <c r="LJO1688" s="2730"/>
      <c r="LJP1688" s="2730"/>
      <c r="LJQ1688" s="2730"/>
      <c r="LJR1688" s="2730"/>
      <c r="LJS1688" s="2730"/>
      <c r="LJT1688" s="2730"/>
      <c r="LJU1688" s="2730"/>
      <c r="LJV1688" s="2730"/>
      <c r="LJW1688" s="2730"/>
      <c r="LJX1688" s="2730"/>
      <c r="LJY1688" s="2730"/>
      <c r="LJZ1688" s="2730"/>
      <c r="LKA1688" s="2730"/>
      <c r="LKB1688" s="2730"/>
      <c r="LKC1688" s="2730"/>
      <c r="LKD1688" s="2730"/>
      <c r="LKE1688" s="2730"/>
      <c r="LKF1688" s="2730"/>
      <c r="LKG1688" s="2730"/>
      <c r="LKH1688" s="2730"/>
      <c r="LKI1688" s="2730"/>
      <c r="LKJ1688" s="2730"/>
      <c r="LKK1688" s="2730"/>
      <c r="LKL1688" s="2730"/>
      <c r="LKM1688" s="2730"/>
      <c r="LKN1688" s="2730"/>
      <c r="LKO1688" s="2730"/>
      <c r="LKP1688" s="2730"/>
      <c r="LKQ1688" s="2730"/>
      <c r="LKR1688" s="2730"/>
      <c r="LKS1688" s="2730"/>
      <c r="LKT1688" s="2730"/>
      <c r="LKU1688" s="2730"/>
      <c r="LKV1688" s="2730"/>
      <c r="LKW1688" s="2730"/>
      <c r="LKX1688" s="2730"/>
      <c r="LKY1688" s="2730"/>
      <c r="LKZ1688" s="2730"/>
      <c r="LLA1688" s="2730"/>
      <c r="LLB1688" s="2730"/>
      <c r="LLC1688" s="2730"/>
      <c r="LLD1688" s="2730"/>
      <c r="LLE1688" s="2730"/>
      <c r="LLF1688" s="2730"/>
      <c r="LLG1688" s="2730"/>
      <c r="LLH1688" s="2730"/>
      <c r="LLI1688" s="2730"/>
      <c r="LLJ1688" s="2730"/>
      <c r="LLK1688" s="2730"/>
      <c r="LLL1688" s="2730"/>
      <c r="LLM1688" s="2730"/>
      <c r="LLN1688" s="2730"/>
      <c r="LLO1688" s="2730"/>
      <c r="LLP1688" s="2730"/>
      <c r="LLQ1688" s="2730"/>
      <c r="LLR1688" s="2730"/>
      <c r="LLS1688" s="2730"/>
      <c r="LLT1688" s="2730"/>
      <c r="LLU1688" s="2730"/>
      <c r="LLV1688" s="2730"/>
      <c r="LLW1688" s="2730"/>
      <c r="LLX1688" s="2730"/>
      <c r="LLY1688" s="2730"/>
      <c r="LLZ1688" s="2730"/>
      <c r="LMA1688" s="2730"/>
      <c r="LMB1688" s="2730"/>
      <c r="LMC1688" s="2730"/>
      <c r="LMD1688" s="2730"/>
      <c r="LME1688" s="2730"/>
      <c r="LMF1688" s="2730"/>
      <c r="LMG1688" s="2730"/>
      <c r="LMH1688" s="2730"/>
      <c r="LMI1688" s="2730"/>
      <c r="LMJ1688" s="2730"/>
      <c r="LMK1688" s="2730"/>
      <c r="LML1688" s="2730"/>
      <c r="LMM1688" s="2730"/>
      <c r="LMN1688" s="2730"/>
      <c r="LMO1688" s="2730"/>
      <c r="LMP1688" s="2730"/>
      <c r="LMQ1688" s="2730"/>
      <c r="LMR1688" s="2730"/>
      <c r="LMS1688" s="2730"/>
      <c r="LMT1688" s="2730"/>
      <c r="LMU1688" s="2730"/>
      <c r="LMV1688" s="2730"/>
      <c r="LMW1688" s="2730"/>
      <c r="LMX1688" s="2730"/>
      <c r="LMY1688" s="2730"/>
      <c r="LMZ1688" s="2730"/>
      <c r="LNA1688" s="2730"/>
      <c r="LNB1688" s="2730"/>
      <c r="LNC1688" s="2730"/>
      <c r="LND1688" s="2730"/>
      <c r="LNE1688" s="2730"/>
      <c r="LNF1688" s="2730"/>
      <c r="LNG1688" s="2730"/>
      <c r="LNH1688" s="2730"/>
      <c r="LNI1688" s="2730"/>
      <c r="LNJ1688" s="2730"/>
      <c r="LNK1688" s="2730"/>
      <c r="LNL1688" s="2730"/>
      <c r="LNM1688" s="2730"/>
      <c r="LNN1688" s="2730"/>
      <c r="LNO1688" s="2730"/>
      <c r="LNP1688" s="2730"/>
      <c r="LNQ1688" s="2730"/>
      <c r="LNR1688" s="2730"/>
      <c r="LNS1688" s="2730"/>
      <c r="LNT1688" s="2730"/>
      <c r="LNU1688" s="2730"/>
      <c r="LNV1688" s="2730"/>
      <c r="LNW1688" s="2730"/>
      <c r="LNX1688" s="2730"/>
      <c r="LNY1688" s="2730"/>
      <c r="LNZ1688" s="2730"/>
      <c r="LOA1688" s="2730"/>
      <c r="LOB1688" s="2730"/>
      <c r="LOC1688" s="2730"/>
      <c r="LOD1688" s="2730"/>
      <c r="LOE1688" s="2730"/>
      <c r="LOF1688" s="2730"/>
      <c r="LOG1688" s="2730"/>
      <c r="LOH1688" s="2730"/>
      <c r="LOI1688" s="2730"/>
      <c r="LOJ1688" s="2730"/>
      <c r="LOK1688" s="2730"/>
      <c r="LOL1688" s="2730"/>
      <c r="LOM1688" s="2730"/>
      <c r="LON1688" s="2730"/>
      <c r="LOO1688" s="2730"/>
      <c r="LOP1688" s="2730"/>
      <c r="LOQ1688" s="2730"/>
      <c r="LOR1688" s="2730"/>
      <c r="LOS1688" s="2730"/>
      <c r="LOT1688" s="2730"/>
      <c r="LOU1688" s="2730"/>
      <c r="LOV1688" s="2730"/>
      <c r="LOW1688" s="2730"/>
      <c r="LOX1688" s="2730"/>
      <c r="LOY1688" s="2730"/>
      <c r="LOZ1688" s="2730"/>
      <c r="LPA1688" s="2730"/>
      <c r="LPB1688" s="2730"/>
      <c r="LPC1688" s="2730"/>
      <c r="LPD1688" s="2730"/>
      <c r="LPE1688" s="2730"/>
      <c r="LPF1688" s="2730"/>
      <c r="LPG1688" s="2730"/>
      <c r="LPH1688" s="2730"/>
      <c r="LPI1688" s="2730"/>
      <c r="LPJ1688" s="2730"/>
      <c r="LPK1688" s="2730"/>
      <c r="LPL1688" s="2730"/>
      <c r="LPM1688" s="2730"/>
      <c r="LPN1688" s="2730"/>
      <c r="LPO1688" s="2730"/>
      <c r="LPP1688" s="2730"/>
      <c r="LPQ1688" s="2730"/>
      <c r="LPR1688" s="2730"/>
      <c r="LPS1688" s="2730"/>
      <c r="LPT1688" s="2730"/>
      <c r="LPU1688" s="2730"/>
      <c r="LPV1688" s="2730"/>
      <c r="LPW1688" s="2730"/>
      <c r="LPX1688" s="2730"/>
      <c r="LPY1688" s="2730"/>
      <c r="LPZ1688" s="2730"/>
      <c r="LQA1688" s="2730"/>
      <c r="LQB1688" s="2730"/>
      <c r="LQC1688" s="2730"/>
      <c r="LQD1688" s="2730"/>
      <c r="LQE1688" s="2730"/>
      <c r="LQF1688" s="2730"/>
      <c r="LQG1688" s="2730"/>
      <c r="LQH1688" s="2730"/>
      <c r="LQI1688" s="2730"/>
      <c r="LQJ1688" s="2730"/>
      <c r="LQK1688" s="2730"/>
      <c r="LQL1688" s="2730"/>
      <c r="LQM1688" s="2730"/>
      <c r="LQN1688" s="2730"/>
      <c r="LQO1688" s="2730"/>
      <c r="LQP1688" s="2730"/>
      <c r="LQQ1688" s="2730"/>
      <c r="LQR1688" s="2730"/>
      <c r="LQS1688" s="2730"/>
      <c r="LQT1688" s="2730"/>
      <c r="LQU1688" s="2730"/>
      <c r="LQV1688" s="2730"/>
      <c r="LQW1688" s="2730"/>
      <c r="LQX1688" s="2730"/>
      <c r="LQY1688" s="2730"/>
      <c r="LQZ1688" s="2730"/>
      <c r="LRA1688" s="2730"/>
      <c r="LRB1688" s="2730"/>
      <c r="LRC1688" s="2730"/>
      <c r="LRD1688" s="2730"/>
      <c r="LRE1688" s="2730"/>
      <c r="LRF1688" s="2730"/>
      <c r="LRG1688" s="2730"/>
      <c r="LRH1688" s="2730"/>
      <c r="LRI1688" s="2730"/>
      <c r="LRJ1688" s="2730"/>
      <c r="LRK1688" s="2730"/>
      <c r="LRL1688" s="2730"/>
      <c r="LRM1688" s="2730"/>
      <c r="LRN1688" s="2730"/>
      <c r="LRO1688" s="2730"/>
      <c r="LRP1688" s="2730"/>
      <c r="LRQ1688" s="2730"/>
      <c r="LRR1688" s="2730"/>
      <c r="LRS1688" s="2730"/>
      <c r="LRT1688" s="2730"/>
      <c r="LRU1688" s="2730"/>
      <c r="LRV1688" s="2730"/>
      <c r="LRW1688" s="2730"/>
      <c r="LRX1688" s="2730"/>
      <c r="LRY1688" s="2730"/>
      <c r="LRZ1688" s="2730"/>
      <c r="LSA1688" s="2730"/>
      <c r="LSB1688" s="2730"/>
      <c r="LSC1688" s="2730"/>
      <c r="LSD1688" s="2730"/>
      <c r="LSE1688" s="2730"/>
      <c r="LSF1688" s="2730"/>
      <c r="LSG1688" s="2730"/>
      <c r="LSH1688" s="2730"/>
      <c r="LSI1688" s="2730"/>
      <c r="LSJ1688" s="2730"/>
      <c r="LSK1688" s="2730"/>
      <c r="LSL1688" s="2730"/>
      <c r="LSM1688" s="2730"/>
      <c r="LSN1688" s="2730"/>
      <c r="LSO1688" s="2730"/>
      <c r="LSP1688" s="2730"/>
      <c r="LSQ1688" s="2730"/>
      <c r="LSR1688" s="2730"/>
      <c r="LSS1688" s="2730"/>
      <c r="LST1688" s="2730"/>
      <c r="LSU1688" s="2730"/>
      <c r="LSV1688" s="2730"/>
      <c r="LSW1688" s="2730"/>
      <c r="LSX1688" s="2730"/>
      <c r="LSY1688" s="2730"/>
      <c r="LSZ1688" s="2730"/>
      <c r="LTA1688" s="2730"/>
      <c r="LTB1688" s="2730"/>
      <c r="LTC1688" s="2730"/>
      <c r="LTD1688" s="2730"/>
      <c r="LTE1688" s="2730"/>
      <c r="LTF1688" s="2730"/>
      <c r="LTG1688" s="2730"/>
      <c r="LTH1688" s="2730"/>
      <c r="LTI1688" s="2730"/>
      <c r="LTJ1688" s="2730"/>
      <c r="LTK1688" s="2730"/>
      <c r="LTL1688" s="2730"/>
      <c r="LTM1688" s="2730"/>
      <c r="LTN1688" s="2730"/>
      <c r="LTO1688" s="2730"/>
      <c r="LTP1688" s="2730"/>
      <c r="LTQ1688" s="2730"/>
      <c r="LTR1688" s="2730"/>
      <c r="LTS1688" s="2730"/>
      <c r="LTT1688" s="2730"/>
      <c r="LTU1688" s="2730"/>
      <c r="LTV1688" s="2730"/>
      <c r="LTW1688" s="2730"/>
      <c r="LTX1688" s="2730"/>
      <c r="LTY1688" s="2730"/>
      <c r="LTZ1688" s="2730"/>
      <c r="LUA1688" s="2730"/>
      <c r="LUB1688" s="2730"/>
      <c r="LUC1688" s="2730"/>
      <c r="LUD1688" s="2730"/>
      <c r="LUE1688" s="2730"/>
      <c r="LUF1688" s="2730"/>
      <c r="LUG1688" s="2730"/>
      <c r="LUH1688" s="2730"/>
      <c r="LUI1688" s="2730"/>
      <c r="LUJ1688" s="2730"/>
      <c r="LUK1688" s="2730"/>
      <c r="LUL1688" s="2730"/>
      <c r="LUM1688" s="2730"/>
      <c r="LUN1688" s="2730"/>
      <c r="LUO1688" s="2730"/>
      <c r="LUP1688" s="2730"/>
      <c r="LUQ1688" s="2730"/>
      <c r="LUR1688" s="2730"/>
      <c r="LUS1688" s="2730"/>
      <c r="LUT1688" s="2730"/>
      <c r="LUU1688" s="2730"/>
      <c r="LUV1688" s="2730"/>
      <c r="LUW1688" s="2730"/>
      <c r="LUX1688" s="2730"/>
      <c r="LUY1688" s="2730"/>
      <c r="LUZ1688" s="2730"/>
      <c r="LVA1688" s="2730"/>
      <c r="LVB1688" s="2730"/>
      <c r="LVC1688" s="2730"/>
      <c r="LVD1688" s="2730"/>
      <c r="LVE1688" s="2730"/>
      <c r="LVF1688" s="2730"/>
      <c r="LVG1688" s="2730"/>
      <c r="LVH1688" s="2730"/>
      <c r="LVI1688" s="2730"/>
      <c r="LVJ1688" s="2730"/>
      <c r="LVK1688" s="2730"/>
      <c r="LVL1688" s="2730"/>
      <c r="LVM1688" s="2730"/>
      <c r="LVN1688" s="2730"/>
      <c r="LVO1688" s="2730"/>
      <c r="LVP1688" s="2730"/>
      <c r="LVQ1688" s="2730"/>
      <c r="LVR1688" s="2730"/>
      <c r="LVS1688" s="2730"/>
      <c r="LVT1688" s="2730"/>
      <c r="LVU1688" s="2730"/>
      <c r="LVV1688" s="2730"/>
      <c r="LVW1688" s="2730"/>
      <c r="LVX1688" s="2730"/>
      <c r="LVY1688" s="2730"/>
      <c r="LVZ1688" s="2730"/>
      <c r="LWA1688" s="2730"/>
      <c r="LWB1688" s="2730"/>
      <c r="LWC1688" s="2730"/>
      <c r="LWD1688" s="2730"/>
      <c r="LWE1688" s="2730"/>
      <c r="LWF1688" s="2730"/>
      <c r="LWG1688" s="2730"/>
      <c r="LWH1688" s="2730"/>
      <c r="LWI1688" s="2730"/>
      <c r="LWJ1688" s="2730"/>
      <c r="LWK1688" s="2730"/>
      <c r="LWL1688" s="2730"/>
      <c r="LWM1688" s="2730"/>
      <c r="LWN1688" s="2730"/>
      <c r="LWO1688" s="2730"/>
      <c r="LWP1688" s="2730"/>
      <c r="LWQ1688" s="2730"/>
      <c r="LWR1688" s="2730"/>
      <c r="LWS1688" s="2730"/>
      <c r="LWT1688" s="2730"/>
      <c r="LWU1688" s="2730"/>
      <c r="LWV1688" s="2730"/>
      <c r="LWW1688" s="2730"/>
      <c r="LWX1688" s="2730"/>
      <c r="LWY1688" s="2730"/>
      <c r="LWZ1688" s="2730"/>
      <c r="LXA1688" s="2730"/>
      <c r="LXB1688" s="2730"/>
      <c r="LXC1688" s="2730"/>
      <c r="LXD1688" s="2730"/>
      <c r="LXE1688" s="2730"/>
      <c r="LXF1688" s="2730"/>
      <c r="LXG1688" s="2730"/>
      <c r="LXH1688" s="2730"/>
      <c r="LXI1688" s="2730"/>
      <c r="LXJ1688" s="2730"/>
      <c r="LXK1688" s="2730"/>
      <c r="LXL1688" s="2730"/>
      <c r="LXM1688" s="2730"/>
      <c r="LXN1688" s="2730"/>
      <c r="LXO1688" s="2730"/>
      <c r="LXP1688" s="2730"/>
      <c r="LXQ1688" s="2730"/>
      <c r="LXR1688" s="2730"/>
      <c r="LXS1688" s="2730"/>
      <c r="LXT1688" s="2730"/>
      <c r="LXU1688" s="2730"/>
      <c r="LXV1688" s="2730"/>
      <c r="LXW1688" s="2730"/>
      <c r="LXX1688" s="2730"/>
      <c r="LXY1688" s="2730"/>
      <c r="LXZ1688" s="2730"/>
      <c r="LYA1688" s="2730"/>
      <c r="LYB1688" s="2730"/>
      <c r="LYC1688" s="2730"/>
      <c r="LYD1688" s="2730"/>
      <c r="LYE1688" s="2730"/>
      <c r="LYF1688" s="2730"/>
      <c r="LYG1688" s="2730"/>
      <c r="LYH1688" s="2730"/>
      <c r="LYI1688" s="2730"/>
      <c r="LYJ1688" s="2730"/>
      <c r="LYK1688" s="2730"/>
      <c r="LYL1688" s="2730"/>
      <c r="LYM1688" s="2730"/>
      <c r="LYN1688" s="2730"/>
      <c r="LYO1688" s="2730"/>
      <c r="LYP1688" s="2730"/>
      <c r="LYQ1688" s="2730"/>
      <c r="LYR1688" s="2730"/>
      <c r="LYS1688" s="2730"/>
      <c r="LYT1688" s="2730"/>
      <c r="LYU1688" s="2730"/>
      <c r="LYV1688" s="2730"/>
      <c r="LYW1688" s="2730"/>
      <c r="LYX1688" s="2730"/>
      <c r="LYY1688" s="2730"/>
      <c r="LYZ1688" s="2730"/>
      <c r="LZA1688" s="2730"/>
      <c r="LZB1688" s="2730"/>
      <c r="LZC1688" s="2730"/>
      <c r="LZD1688" s="2730"/>
      <c r="LZE1688" s="2730"/>
      <c r="LZF1688" s="2730"/>
      <c r="LZG1688" s="2730"/>
      <c r="LZH1688" s="2730"/>
      <c r="LZI1688" s="2730"/>
      <c r="LZJ1688" s="2730"/>
      <c r="LZK1688" s="2730"/>
      <c r="LZL1688" s="2730"/>
      <c r="LZM1688" s="2730"/>
      <c r="LZN1688" s="2730"/>
      <c r="LZO1688" s="2730"/>
      <c r="LZP1688" s="2730"/>
      <c r="LZQ1688" s="2730"/>
      <c r="LZR1688" s="2730"/>
      <c r="LZS1688" s="2730"/>
      <c r="LZT1688" s="2730"/>
      <c r="LZU1688" s="2730"/>
      <c r="LZV1688" s="2730"/>
      <c r="LZW1688" s="2730"/>
      <c r="LZX1688" s="2730"/>
      <c r="LZY1688" s="2730"/>
      <c r="LZZ1688" s="2730"/>
      <c r="MAA1688" s="2730"/>
      <c r="MAB1688" s="2730"/>
      <c r="MAC1688" s="2730"/>
      <c r="MAD1688" s="2730"/>
      <c r="MAE1688" s="2730"/>
      <c r="MAF1688" s="2730"/>
      <c r="MAG1688" s="2730"/>
      <c r="MAH1688" s="2730"/>
      <c r="MAI1688" s="2730"/>
      <c r="MAJ1688" s="2730"/>
      <c r="MAK1688" s="2730"/>
      <c r="MAL1688" s="2730"/>
      <c r="MAM1688" s="2730"/>
      <c r="MAN1688" s="2730"/>
      <c r="MAO1688" s="2730"/>
      <c r="MAP1688" s="2730"/>
      <c r="MAQ1688" s="2730"/>
      <c r="MAR1688" s="2730"/>
      <c r="MAS1688" s="2730"/>
      <c r="MAT1688" s="2730"/>
      <c r="MAU1688" s="2730"/>
      <c r="MAV1688" s="2730"/>
      <c r="MAW1688" s="2730"/>
      <c r="MAX1688" s="2730"/>
      <c r="MAY1688" s="2730"/>
      <c r="MAZ1688" s="2730"/>
      <c r="MBA1688" s="2730"/>
      <c r="MBB1688" s="2730"/>
      <c r="MBC1688" s="2730"/>
      <c r="MBD1688" s="2730"/>
      <c r="MBE1688" s="2730"/>
      <c r="MBF1688" s="2730"/>
      <c r="MBG1688" s="2730"/>
      <c r="MBH1688" s="2730"/>
      <c r="MBI1688" s="2730"/>
      <c r="MBJ1688" s="2730"/>
      <c r="MBK1688" s="2730"/>
      <c r="MBL1688" s="2730"/>
      <c r="MBM1688" s="2730"/>
      <c r="MBN1688" s="2730"/>
      <c r="MBO1688" s="2730"/>
      <c r="MBP1688" s="2730"/>
      <c r="MBQ1688" s="2730"/>
      <c r="MBR1688" s="2730"/>
      <c r="MBS1688" s="2730"/>
      <c r="MBT1688" s="2730"/>
      <c r="MBU1688" s="2730"/>
      <c r="MBV1688" s="2730"/>
      <c r="MBW1688" s="2730"/>
      <c r="MBX1688" s="2730"/>
      <c r="MBY1688" s="2730"/>
      <c r="MBZ1688" s="2730"/>
      <c r="MCA1688" s="2730"/>
      <c r="MCB1688" s="2730"/>
      <c r="MCC1688" s="2730"/>
      <c r="MCD1688" s="2730"/>
      <c r="MCE1688" s="2730"/>
      <c r="MCF1688" s="2730"/>
      <c r="MCG1688" s="2730"/>
      <c r="MCH1688" s="2730"/>
      <c r="MCI1688" s="2730"/>
      <c r="MCJ1688" s="2730"/>
      <c r="MCK1688" s="2730"/>
      <c r="MCL1688" s="2730"/>
      <c r="MCM1688" s="2730"/>
      <c r="MCN1688" s="2730"/>
      <c r="MCO1688" s="2730"/>
      <c r="MCP1688" s="2730"/>
      <c r="MCQ1688" s="2730"/>
      <c r="MCR1688" s="2730"/>
      <c r="MCS1688" s="2730"/>
      <c r="MCT1688" s="2730"/>
      <c r="MCU1688" s="2730"/>
      <c r="MCV1688" s="2730"/>
      <c r="MCW1688" s="2730"/>
      <c r="MCX1688" s="2730"/>
      <c r="MCY1688" s="2730"/>
      <c r="MCZ1688" s="2730"/>
      <c r="MDA1688" s="2730"/>
      <c r="MDB1688" s="2730"/>
      <c r="MDC1688" s="2730"/>
      <c r="MDD1688" s="2730"/>
      <c r="MDE1688" s="2730"/>
      <c r="MDF1688" s="2730"/>
      <c r="MDG1688" s="2730"/>
      <c r="MDH1688" s="2730"/>
      <c r="MDI1688" s="2730"/>
      <c r="MDJ1688" s="2730"/>
      <c r="MDK1688" s="2730"/>
      <c r="MDL1688" s="2730"/>
      <c r="MDM1688" s="2730"/>
      <c r="MDN1688" s="2730"/>
      <c r="MDO1688" s="2730"/>
      <c r="MDP1688" s="2730"/>
      <c r="MDQ1688" s="2730"/>
      <c r="MDR1688" s="2730"/>
      <c r="MDS1688" s="2730"/>
      <c r="MDT1688" s="2730"/>
      <c r="MDU1688" s="2730"/>
      <c r="MDV1688" s="2730"/>
      <c r="MDW1688" s="2730"/>
      <c r="MDX1688" s="2730"/>
      <c r="MDY1688" s="2730"/>
      <c r="MDZ1688" s="2730"/>
      <c r="MEA1688" s="2730"/>
      <c r="MEB1688" s="2730"/>
      <c r="MEC1688" s="2730"/>
      <c r="MED1688" s="2730"/>
      <c r="MEE1688" s="2730"/>
      <c r="MEF1688" s="2730"/>
      <c r="MEG1688" s="2730"/>
      <c r="MEH1688" s="2730"/>
      <c r="MEI1688" s="2730"/>
      <c r="MEJ1688" s="2730"/>
      <c r="MEK1688" s="2730"/>
      <c r="MEL1688" s="2730"/>
      <c r="MEM1688" s="2730"/>
      <c r="MEN1688" s="2730"/>
      <c r="MEO1688" s="2730"/>
      <c r="MEP1688" s="2730"/>
      <c r="MEQ1688" s="2730"/>
      <c r="MER1688" s="2730"/>
      <c r="MES1688" s="2730"/>
      <c r="MET1688" s="2730"/>
      <c r="MEU1688" s="2730"/>
      <c r="MEV1688" s="2730"/>
      <c r="MEW1688" s="2730"/>
      <c r="MEX1688" s="2730"/>
      <c r="MEY1688" s="2730"/>
      <c r="MEZ1688" s="2730"/>
      <c r="MFA1688" s="2730"/>
      <c r="MFB1688" s="2730"/>
      <c r="MFC1688" s="2730"/>
      <c r="MFD1688" s="2730"/>
      <c r="MFE1688" s="2730"/>
      <c r="MFF1688" s="2730"/>
      <c r="MFG1688" s="2730"/>
      <c r="MFH1688" s="2730"/>
      <c r="MFI1688" s="2730"/>
      <c r="MFJ1688" s="2730"/>
      <c r="MFK1688" s="2730"/>
      <c r="MFL1688" s="2730"/>
      <c r="MFM1688" s="2730"/>
      <c r="MFN1688" s="2730"/>
      <c r="MFO1688" s="2730"/>
      <c r="MFP1688" s="2730"/>
      <c r="MFQ1688" s="2730"/>
      <c r="MFR1688" s="2730"/>
      <c r="MFS1688" s="2730"/>
      <c r="MFT1688" s="2730"/>
      <c r="MFU1688" s="2730"/>
      <c r="MFV1688" s="2730"/>
      <c r="MFW1688" s="2730"/>
      <c r="MFX1688" s="2730"/>
      <c r="MFY1688" s="2730"/>
      <c r="MFZ1688" s="2730"/>
      <c r="MGA1688" s="2730"/>
      <c r="MGB1688" s="2730"/>
      <c r="MGC1688" s="2730"/>
      <c r="MGD1688" s="2730"/>
      <c r="MGE1688" s="2730"/>
      <c r="MGF1688" s="2730"/>
      <c r="MGG1688" s="2730"/>
      <c r="MGH1688" s="2730"/>
      <c r="MGI1688" s="2730"/>
      <c r="MGJ1688" s="2730"/>
      <c r="MGK1688" s="2730"/>
      <c r="MGL1688" s="2730"/>
      <c r="MGM1688" s="2730"/>
      <c r="MGN1688" s="2730"/>
      <c r="MGO1688" s="2730"/>
      <c r="MGP1688" s="2730"/>
      <c r="MGQ1688" s="2730"/>
      <c r="MGR1688" s="2730"/>
      <c r="MGS1688" s="2730"/>
      <c r="MGT1688" s="2730"/>
      <c r="MGU1688" s="2730"/>
      <c r="MGV1688" s="2730"/>
      <c r="MGW1688" s="2730"/>
      <c r="MGX1688" s="2730"/>
      <c r="MGY1688" s="2730"/>
      <c r="MGZ1688" s="2730"/>
      <c r="MHA1688" s="2730"/>
      <c r="MHB1688" s="2730"/>
      <c r="MHC1688" s="2730"/>
      <c r="MHD1688" s="2730"/>
      <c r="MHE1688" s="2730"/>
      <c r="MHF1688" s="2730"/>
      <c r="MHG1688" s="2730"/>
      <c r="MHH1688" s="2730"/>
      <c r="MHI1688" s="2730"/>
      <c r="MHJ1688" s="2730"/>
      <c r="MHK1688" s="2730"/>
      <c r="MHL1688" s="2730"/>
      <c r="MHM1688" s="2730"/>
      <c r="MHN1688" s="2730"/>
      <c r="MHO1688" s="2730"/>
      <c r="MHP1688" s="2730"/>
      <c r="MHQ1688" s="2730"/>
      <c r="MHR1688" s="2730"/>
      <c r="MHS1688" s="2730"/>
      <c r="MHT1688" s="2730"/>
      <c r="MHU1688" s="2730"/>
      <c r="MHV1688" s="2730"/>
      <c r="MHW1688" s="2730"/>
      <c r="MHX1688" s="2730"/>
      <c r="MHY1688" s="2730"/>
      <c r="MHZ1688" s="2730"/>
      <c r="MIA1688" s="2730"/>
      <c r="MIB1688" s="2730"/>
      <c r="MIC1688" s="2730"/>
      <c r="MID1688" s="2730"/>
      <c r="MIE1688" s="2730"/>
      <c r="MIF1688" s="2730"/>
      <c r="MIG1688" s="2730"/>
      <c r="MIH1688" s="2730"/>
      <c r="MII1688" s="2730"/>
      <c r="MIJ1688" s="2730"/>
      <c r="MIK1688" s="2730"/>
      <c r="MIL1688" s="2730"/>
      <c r="MIM1688" s="2730"/>
      <c r="MIN1688" s="2730"/>
      <c r="MIO1688" s="2730"/>
      <c r="MIP1688" s="2730"/>
      <c r="MIQ1688" s="2730"/>
      <c r="MIR1688" s="2730"/>
      <c r="MIS1688" s="2730"/>
      <c r="MIT1688" s="2730"/>
      <c r="MIU1688" s="2730"/>
      <c r="MIV1688" s="2730"/>
      <c r="MIW1688" s="2730"/>
      <c r="MIX1688" s="2730"/>
      <c r="MIY1688" s="2730"/>
      <c r="MIZ1688" s="2730"/>
      <c r="MJA1688" s="2730"/>
      <c r="MJB1688" s="2730"/>
      <c r="MJC1688" s="2730"/>
      <c r="MJD1688" s="2730"/>
      <c r="MJE1688" s="2730"/>
      <c r="MJF1688" s="2730"/>
      <c r="MJG1688" s="2730"/>
      <c r="MJH1688" s="2730"/>
      <c r="MJI1688" s="2730"/>
      <c r="MJJ1688" s="2730"/>
      <c r="MJK1688" s="2730"/>
      <c r="MJL1688" s="2730"/>
      <c r="MJM1688" s="2730"/>
      <c r="MJN1688" s="2730"/>
      <c r="MJO1688" s="2730"/>
      <c r="MJP1688" s="2730"/>
      <c r="MJQ1688" s="2730"/>
      <c r="MJR1688" s="2730"/>
      <c r="MJS1688" s="2730"/>
      <c r="MJT1688" s="2730"/>
      <c r="MJU1688" s="2730"/>
      <c r="MJV1688" s="2730"/>
      <c r="MJW1688" s="2730"/>
      <c r="MJX1688" s="2730"/>
      <c r="MJY1688" s="2730"/>
      <c r="MJZ1688" s="2730"/>
      <c r="MKA1688" s="2730"/>
      <c r="MKB1688" s="2730"/>
      <c r="MKC1688" s="2730"/>
      <c r="MKD1688" s="2730"/>
      <c r="MKE1688" s="2730"/>
      <c r="MKF1688" s="2730"/>
      <c r="MKG1688" s="2730"/>
      <c r="MKH1688" s="2730"/>
      <c r="MKI1688" s="2730"/>
      <c r="MKJ1688" s="2730"/>
      <c r="MKK1688" s="2730"/>
      <c r="MKL1688" s="2730"/>
      <c r="MKM1688" s="2730"/>
      <c r="MKN1688" s="2730"/>
      <c r="MKO1688" s="2730"/>
      <c r="MKP1688" s="2730"/>
      <c r="MKQ1688" s="2730"/>
      <c r="MKR1688" s="2730"/>
      <c r="MKS1688" s="2730"/>
      <c r="MKT1688" s="2730"/>
      <c r="MKU1688" s="2730"/>
      <c r="MKV1688" s="2730"/>
      <c r="MKW1688" s="2730"/>
      <c r="MKX1688" s="2730"/>
      <c r="MKY1688" s="2730"/>
      <c r="MKZ1688" s="2730"/>
      <c r="MLA1688" s="2730"/>
      <c r="MLB1688" s="2730"/>
      <c r="MLC1688" s="2730"/>
      <c r="MLD1688" s="2730"/>
      <c r="MLE1688" s="2730"/>
      <c r="MLF1688" s="2730"/>
      <c r="MLG1688" s="2730"/>
      <c r="MLH1688" s="2730"/>
      <c r="MLI1688" s="2730"/>
      <c r="MLJ1688" s="2730"/>
      <c r="MLK1688" s="2730"/>
      <c r="MLL1688" s="2730"/>
      <c r="MLM1688" s="2730"/>
      <c r="MLN1688" s="2730"/>
      <c r="MLO1688" s="2730"/>
      <c r="MLP1688" s="2730"/>
      <c r="MLQ1688" s="2730"/>
      <c r="MLR1688" s="2730"/>
      <c r="MLS1688" s="2730"/>
      <c r="MLT1688" s="2730"/>
      <c r="MLU1688" s="2730"/>
      <c r="MLV1688" s="2730"/>
      <c r="MLW1688" s="2730"/>
      <c r="MLX1688" s="2730"/>
      <c r="MLY1688" s="2730"/>
      <c r="MLZ1688" s="2730"/>
      <c r="MMA1688" s="2730"/>
      <c r="MMB1688" s="2730"/>
      <c r="MMC1688" s="2730"/>
      <c r="MMD1688" s="2730"/>
      <c r="MME1688" s="2730"/>
      <c r="MMF1688" s="2730"/>
      <c r="MMG1688" s="2730"/>
      <c r="MMH1688" s="2730"/>
      <c r="MMI1688" s="2730"/>
      <c r="MMJ1688" s="2730"/>
      <c r="MMK1688" s="2730"/>
      <c r="MML1688" s="2730"/>
      <c r="MMM1688" s="2730"/>
      <c r="MMN1688" s="2730"/>
      <c r="MMO1688" s="2730"/>
      <c r="MMP1688" s="2730"/>
      <c r="MMQ1688" s="2730"/>
      <c r="MMR1688" s="2730"/>
      <c r="MMS1688" s="2730"/>
      <c r="MMT1688" s="2730"/>
      <c r="MMU1688" s="2730"/>
      <c r="MMV1688" s="2730"/>
      <c r="MMW1688" s="2730"/>
      <c r="MMX1688" s="2730"/>
      <c r="MMY1688" s="2730"/>
      <c r="MMZ1688" s="2730"/>
      <c r="MNA1688" s="2730"/>
      <c r="MNB1688" s="2730"/>
      <c r="MNC1688" s="2730"/>
      <c r="MND1688" s="2730"/>
      <c r="MNE1688" s="2730"/>
      <c r="MNF1688" s="2730"/>
      <c r="MNG1688" s="2730"/>
      <c r="MNH1688" s="2730"/>
      <c r="MNI1688" s="2730"/>
      <c r="MNJ1688" s="2730"/>
      <c r="MNK1688" s="2730"/>
      <c r="MNL1688" s="2730"/>
      <c r="MNM1688" s="2730"/>
      <c r="MNN1688" s="2730"/>
      <c r="MNO1688" s="2730"/>
      <c r="MNP1688" s="2730"/>
      <c r="MNQ1688" s="2730"/>
      <c r="MNR1688" s="2730"/>
      <c r="MNS1688" s="2730"/>
      <c r="MNT1688" s="2730"/>
      <c r="MNU1688" s="2730"/>
      <c r="MNV1688" s="2730"/>
      <c r="MNW1688" s="2730"/>
      <c r="MNX1688" s="2730"/>
      <c r="MNY1688" s="2730"/>
      <c r="MNZ1688" s="2730"/>
      <c r="MOA1688" s="2730"/>
      <c r="MOB1688" s="2730"/>
      <c r="MOC1688" s="2730"/>
      <c r="MOD1688" s="2730"/>
      <c r="MOE1688" s="2730"/>
      <c r="MOF1688" s="2730"/>
      <c r="MOG1688" s="2730"/>
      <c r="MOH1688" s="2730"/>
      <c r="MOI1688" s="2730"/>
      <c r="MOJ1688" s="2730"/>
      <c r="MOK1688" s="2730"/>
      <c r="MOL1688" s="2730"/>
      <c r="MOM1688" s="2730"/>
      <c r="MON1688" s="2730"/>
      <c r="MOO1688" s="2730"/>
      <c r="MOP1688" s="2730"/>
      <c r="MOQ1688" s="2730"/>
      <c r="MOR1688" s="2730"/>
      <c r="MOS1688" s="2730"/>
      <c r="MOT1688" s="2730"/>
      <c r="MOU1688" s="2730"/>
      <c r="MOV1688" s="2730"/>
      <c r="MOW1688" s="2730"/>
      <c r="MOX1688" s="2730"/>
      <c r="MOY1688" s="2730"/>
      <c r="MOZ1688" s="2730"/>
      <c r="MPA1688" s="2730"/>
      <c r="MPB1688" s="2730"/>
      <c r="MPC1688" s="2730"/>
      <c r="MPD1688" s="2730"/>
      <c r="MPE1688" s="2730"/>
      <c r="MPF1688" s="2730"/>
      <c r="MPG1688" s="2730"/>
      <c r="MPH1688" s="2730"/>
      <c r="MPI1688" s="2730"/>
      <c r="MPJ1688" s="2730"/>
      <c r="MPK1688" s="2730"/>
      <c r="MPL1688" s="2730"/>
      <c r="MPM1688" s="2730"/>
      <c r="MPN1688" s="2730"/>
      <c r="MPO1688" s="2730"/>
      <c r="MPP1688" s="2730"/>
      <c r="MPQ1688" s="2730"/>
      <c r="MPR1688" s="2730"/>
      <c r="MPS1688" s="2730"/>
      <c r="MPT1688" s="2730"/>
      <c r="MPU1688" s="2730"/>
      <c r="MPV1688" s="2730"/>
      <c r="MPW1688" s="2730"/>
      <c r="MPX1688" s="2730"/>
      <c r="MPY1688" s="2730"/>
      <c r="MPZ1688" s="2730"/>
      <c r="MQA1688" s="2730"/>
      <c r="MQB1688" s="2730"/>
      <c r="MQC1688" s="2730"/>
      <c r="MQD1688" s="2730"/>
      <c r="MQE1688" s="2730"/>
      <c r="MQF1688" s="2730"/>
      <c r="MQG1688" s="2730"/>
      <c r="MQH1688" s="2730"/>
      <c r="MQI1688" s="2730"/>
      <c r="MQJ1688" s="2730"/>
      <c r="MQK1688" s="2730"/>
      <c r="MQL1688" s="2730"/>
      <c r="MQM1688" s="2730"/>
      <c r="MQN1688" s="2730"/>
      <c r="MQO1688" s="2730"/>
      <c r="MQP1688" s="2730"/>
      <c r="MQQ1688" s="2730"/>
      <c r="MQR1688" s="2730"/>
      <c r="MQS1688" s="2730"/>
      <c r="MQT1688" s="2730"/>
      <c r="MQU1688" s="2730"/>
      <c r="MQV1688" s="2730"/>
      <c r="MQW1688" s="2730"/>
      <c r="MQX1688" s="2730"/>
      <c r="MQY1688" s="2730"/>
      <c r="MQZ1688" s="2730"/>
      <c r="MRA1688" s="2730"/>
      <c r="MRB1688" s="2730"/>
      <c r="MRC1688" s="2730"/>
      <c r="MRD1688" s="2730"/>
      <c r="MRE1688" s="2730"/>
      <c r="MRF1688" s="2730"/>
      <c r="MRG1688" s="2730"/>
      <c r="MRH1688" s="2730"/>
      <c r="MRI1688" s="2730"/>
      <c r="MRJ1688" s="2730"/>
      <c r="MRK1688" s="2730"/>
      <c r="MRL1688" s="2730"/>
      <c r="MRM1688" s="2730"/>
      <c r="MRN1688" s="2730"/>
      <c r="MRO1688" s="2730"/>
      <c r="MRP1688" s="2730"/>
      <c r="MRQ1688" s="2730"/>
      <c r="MRR1688" s="2730"/>
      <c r="MRS1688" s="2730"/>
      <c r="MRT1688" s="2730"/>
      <c r="MRU1688" s="2730"/>
      <c r="MRV1688" s="2730"/>
      <c r="MRW1688" s="2730"/>
      <c r="MRX1688" s="2730"/>
      <c r="MRY1688" s="2730"/>
      <c r="MRZ1688" s="2730"/>
      <c r="MSA1688" s="2730"/>
      <c r="MSB1688" s="2730"/>
      <c r="MSC1688" s="2730"/>
      <c r="MSD1688" s="2730"/>
      <c r="MSE1688" s="2730"/>
      <c r="MSF1688" s="2730"/>
      <c r="MSG1688" s="2730"/>
      <c r="MSH1688" s="2730"/>
      <c r="MSI1688" s="2730"/>
      <c r="MSJ1688" s="2730"/>
      <c r="MSK1688" s="2730"/>
      <c r="MSL1688" s="2730"/>
      <c r="MSM1688" s="2730"/>
      <c r="MSN1688" s="2730"/>
      <c r="MSO1688" s="2730"/>
      <c r="MSP1688" s="2730"/>
      <c r="MSQ1688" s="2730"/>
      <c r="MSR1688" s="2730"/>
      <c r="MSS1688" s="2730"/>
      <c r="MST1688" s="2730"/>
      <c r="MSU1688" s="2730"/>
      <c r="MSV1688" s="2730"/>
      <c r="MSW1688" s="2730"/>
      <c r="MSX1688" s="2730"/>
      <c r="MSY1688" s="2730"/>
      <c r="MSZ1688" s="2730"/>
      <c r="MTA1688" s="2730"/>
      <c r="MTB1688" s="2730"/>
      <c r="MTC1688" s="2730"/>
      <c r="MTD1688" s="2730"/>
      <c r="MTE1688" s="2730"/>
      <c r="MTF1688" s="2730"/>
      <c r="MTG1688" s="2730"/>
      <c r="MTH1688" s="2730"/>
      <c r="MTI1688" s="2730"/>
      <c r="MTJ1688" s="2730"/>
      <c r="MTK1688" s="2730"/>
      <c r="MTL1688" s="2730"/>
      <c r="MTM1688" s="2730"/>
      <c r="MTN1688" s="2730"/>
      <c r="MTO1688" s="2730"/>
      <c r="MTP1688" s="2730"/>
      <c r="MTQ1688" s="2730"/>
      <c r="MTR1688" s="2730"/>
      <c r="MTS1688" s="2730"/>
      <c r="MTT1688" s="2730"/>
      <c r="MTU1688" s="2730"/>
      <c r="MTV1688" s="2730"/>
      <c r="MTW1688" s="2730"/>
      <c r="MTX1688" s="2730"/>
      <c r="MTY1688" s="2730"/>
      <c r="MTZ1688" s="2730"/>
      <c r="MUA1688" s="2730"/>
      <c r="MUB1688" s="2730"/>
      <c r="MUC1688" s="2730"/>
      <c r="MUD1688" s="2730"/>
      <c r="MUE1688" s="2730"/>
      <c r="MUF1688" s="2730"/>
      <c r="MUG1688" s="2730"/>
      <c r="MUH1688" s="2730"/>
      <c r="MUI1688" s="2730"/>
      <c r="MUJ1688" s="2730"/>
      <c r="MUK1688" s="2730"/>
      <c r="MUL1688" s="2730"/>
      <c r="MUM1688" s="2730"/>
      <c r="MUN1688" s="2730"/>
      <c r="MUO1688" s="2730"/>
      <c r="MUP1688" s="2730"/>
      <c r="MUQ1688" s="2730"/>
      <c r="MUR1688" s="2730"/>
      <c r="MUS1688" s="2730"/>
      <c r="MUT1688" s="2730"/>
      <c r="MUU1688" s="2730"/>
      <c r="MUV1688" s="2730"/>
      <c r="MUW1688" s="2730"/>
      <c r="MUX1688" s="2730"/>
      <c r="MUY1688" s="2730"/>
      <c r="MUZ1688" s="2730"/>
      <c r="MVA1688" s="2730"/>
      <c r="MVB1688" s="2730"/>
      <c r="MVC1688" s="2730"/>
      <c r="MVD1688" s="2730"/>
      <c r="MVE1688" s="2730"/>
      <c r="MVF1688" s="2730"/>
      <c r="MVG1688" s="2730"/>
      <c r="MVH1688" s="2730"/>
      <c r="MVI1688" s="2730"/>
      <c r="MVJ1688" s="2730"/>
      <c r="MVK1688" s="2730"/>
      <c r="MVL1688" s="2730"/>
      <c r="MVM1688" s="2730"/>
      <c r="MVN1688" s="2730"/>
      <c r="MVO1688" s="2730"/>
      <c r="MVP1688" s="2730"/>
      <c r="MVQ1688" s="2730"/>
      <c r="MVR1688" s="2730"/>
      <c r="MVS1688" s="2730"/>
      <c r="MVT1688" s="2730"/>
      <c r="MVU1688" s="2730"/>
      <c r="MVV1688" s="2730"/>
      <c r="MVW1688" s="2730"/>
      <c r="MVX1688" s="2730"/>
      <c r="MVY1688" s="2730"/>
      <c r="MVZ1688" s="2730"/>
      <c r="MWA1688" s="2730"/>
      <c r="MWB1688" s="2730"/>
      <c r="MWC1688" s="2730"/>
      <c r="MWD1688" s="2730"/>
      <c r="MWE1688" s="2730"/>
      <c r="MWF1688" s="2730"/>
      <c r="MWG1688" s="2730"/>
      <c r="MWH1688" s="2730"/>
      <c r="MWI1688" s="2730"/>
      <c r="MWJ1688" s="2730"/>
      <c r="MWK1688" s="2730"/>
      <c r="MWL1688" s="2730"/>
      <c r="MWM1688" s="2730"/>
      <c r="MWN1688" s="2730"/>
      <c r="MWO1688" s="2730"/>
      <c r="MWP1688" s="2730"/>
      <c r="MWQ1688" s="2730"/>
      <c r="MWR1688" s="2730"/>
      <c r="MWS1688" s="2730"/>
      <c r="MWT1688" s="2730"/>
      <c r="MWU1688" s="2730"/>
      <c r="MWV1688" s="2730"/>
      <c r="MWW1688" s="2730"/>
      <c r="MWX1688" s="2730"/>
      <c r="MWY1688" s="2730"/>
      <c r="MWZ1688" s="2730"/>
      <c r="MXA1688" s="2730"/>
      <c r="MXB1688" s="2730"/>
      <c r="MXC1688" s="2730"/>
      <c r="MXD1688" s="2730"/>
      <c r="MXE1688" s="2730"/>
      <c r="MXF1688" s="2730"/>
      <c r="MXG1688" s="2730"/>
      <c r="MXH1688" s="2730"/>
      <c r="MXI1688" s="2730"/>
      <c r="MXJ1688" s="2730"/>
      <c r="MXK1688" s="2730"/>
      <c r="MXL1688" s="2730"/>
      <c r="MXM1688" s="2730"/>
      <c r="MXN1688" s="2730"/>
      <c r="MXO1688" s="2730"/>
      <c r="MXP1688" s="2730"/>
      <c r="MXQ1688" s="2730"/>
      <c r="MXR1688" s="2730"/>
      <c r="MXS1688" s="2730"/>
      <c r="MXT1688" s="2730"/>
      <c r="MXU1688" s="2730"/>
      <c r="MXV1688" s="2730"/>
      <c r="MXW1688" s="2730"/>
      <c r="MXX1688" s="2730"/>
      <c r="MXY1688" s="2730"/>
      <c r="MXZ1688" s="2730"/>
      <c r="MYA1688" s="2730"/>
      <c r="MYB1688" s="2730"/>
      <c r="MYC1688" s="2730"/>
      <c r="MYD1688" s="2730"/>
      <c r="MYE1688" s="2730"/>
      <c r="MYF1688" s="2730"/>
      <c r="MYG1688" s="2730"/>
      <c r="MYH1688" s="2730"/>
      <c r="MYI1688" s="2730"/>
      <c r="MYJ1688" s="2730"/>
      <c r="MYK1688" s="2730"/>
      <c r="MYL1688" s="2730"/>
      <c r="MYM1688" s="2730"/>
      <c r="MYN1688" s="2730"/>
      <c r="MYO1688" s="2730"/>
      <c r="MYP1688" s="2730"/>
      <c r="MYQ1688" s="2730"/>
      <c r="MYR1688" s="2730"/>
      <c r="MYS1688" s="2730"/>
      <c r="MYT1688" s="2730"/>
      <c r="MYU1688" s="2730"/>
      <c r="MYV1688" s="2730"/>
      <c r="MYW1688" s="2730"/>
      <c r="MYX1688" s="2730"/>
      <c r="MYY1688" s="2730"/>
      <c r="MYZ1688" s="2730"/>
      <c r="MZA1688" s="2730"/>
      <c r="MZB1688" s="2730"/>
      <c r="MZC1688" s="2730"/>
      <c r="MZD1688" s="2730"/>
      <c r="MZE1688" s="2730"/>
      <c r="MZF1688" s="2730"/>
      <c r="MZG1688" s="2730"/>
      <c r="MZH1688" s="2730"/>
      <c r="MZI1688" s="2730"/>
      <c r="MZJ1688" s="2730"/>
      <c r="MZK1688" s="2730"/>
      <c r="MZL1688" s="2730"/>
      <c r="MZM1688" s="2730"/>
      <c r="MZN1688" s="2730"/>
      <c r="MZO1688" s="2730"/>
      <c r="MZP1688" s="2730"/>
      <c r="MZQ1688" s="2730"/>
      <c r="MZR1688" s="2730"/>
      <c r="MZS1688" s="2730"/>
      <c r="MZT1688" s="2730"/>
      <c r="MZU1688" s="2730"/>
      <c r="MZV1688" s="2730"/>
      <c r="MZW1688" s="2730"/>
      <c r="MZX1688" s="2730"/>
      <c r="MZY1688" s="2730"/>
      <c r="MZZ1688" s="2730"/>
      <c r="NAA1688" s="2730"/>
      <c r="NAB1688" s="2730"/>
      <c r="NAC1688" s="2730"/>
      <c r="NAD1688" s="2730"/>
      <c r="NAE1688" s="2730"/>
      <c r="NAF1688" s="2730"/>
      <c r="NAG1688" s="2730"/>
      <c r="NAH1688" s="2730"/>
      <c r="NAI1688" s="2730"/>
      <c r="NAJ1688" s="2730"/>
      <c r="NAK1688" s="2730"/>
      <c r="NAL1688" s="2730"/>
      <c r="NAM1688" s="2730"/>
      <c r="NAN1688" s="2730"/>
      <c r="NAO1688" s="2730"/>
      <c r="NAP1688" s="2730"/>
      <c r="NAQ1688" s="2730"/>
      <c r="NAR1688" s="2730"/>
      <c r="NAS1688" s="2730"/>
      <c r="NAT1688" s="2730"/>
      <c r="NAU1688" s="2730"/>
      <c r="NAV1688" s="2730"/>
      <c r="NAW1688" s="2730"/>
      <c r="NAX1688" s="2730"/>
      <c r="NAY1688" s="2730"/>
      <c r="NAZ1688" s="2730"/>
      <c r="NBA1688" s="2730"/>
      <c r="NBB1688" s="2730"/>
      <c r="NBC1688" s="2730"/>
      <c r="NBD1688" s="2730"/>
      <c r="NBE1688" s="2730"/>
      <c r="NBF1688" s="2730"/>
      <c r="NBG1688" s="2730"/>
      <c r="NBH1688" s="2730"/>
      <c r="NBI1688" s="2730"/>
      <c r="NBJ1688" s="2730"/>
      <c r="NBK1688" s="2730"/>
      <c r="NBL1688" s="2730"/>
      <c r="NBM1688" s="2730"/>
      <c r="NBN1688" s="2730"/>
      <c r="NBO1688" s="2730"/>
      <c r="NBP1688" s="2730"/>
      <c r="NBQ1688" s="2730"/>
      <c r="NBR1688" s="2730"/>
      <c r="NBS1688" s="2730"/>
      <c r="NBT1688" s="2730"/>
      <c r="NBU1688" s="2730"/>
      <c r="NBV1688" s="2730"/>
      <c r="NBW1688" s="2730"/>
      <c r="NBX1688" s="2730"/>
      <c r="NBY1688" s="2730"/>
      <c r="NBZ1688" s="2730"/>
      <c r="NCA1688" s="2730"/>
      <c r="NCB1688" s="2730"/>
      <c r="NCC1688" s="2730"/>
      <c r="NCD1688" s="2730"/>
      <c r="NCE1688" s="2730"/>
      <c r="NCF1688" s="2730"/>
      <c r="NCG1688" s="2730"/>
      <c r="NCH1688" s="2730"/>
      <c r="NCI1688" s="2730"/>
      <c r="NCJ1688" s="2730"/>
      <c r="NCK1688" s="2730"/>
      <c r="NCL1688" s="2730"/>
      <c r="NCM1688" s="2730"/>
      <c r="NCN1688" s="2730"/>
      <c r="NCO1688" s="2730"/>
      <c r="NCP1688" s="2730"/>
      <c r="NCQ1688" s="2730"/>
      <c r="NCR1688" s="2730"/>
      <c r="NCS1688" s="2730"/>
      <c r="NCT1688" s="2730"/>
      <c r="NCU1688" s="2730"/>
      <c r="NCV1688" s="2730"/>
      <c r="NCW1688" s="2730"/>
      <c r="NCX1688" s="2730"/>
      <c r="NCY1688" s="2730"/>
      <c r="NCZ1688" s="2730"/>
      <c r="NDA1688" s="2730"/>
      <c r="NDB1688" s="2730"/>
      <c r="NDC1688" s="2730"/>
      <c r="NDD1688" s="2730"/>
      <c r="NDE1688" s="2730"/>
      <c r="NDF1688" s="2730"/>
      <c r="NDG1688" s="2730"/>
      <c r="NDH1688" s="2730"/>
      <c r="NDI1688" s="2730"/>
      <c r="NDJ1688" s="2730"/>
      <c r="NDK1688" s="2730"/>
      <c r="NDL1688" s="2730"/>
      <c r="NDM1688" s="2730"/>
      <c r="NDN1688" s="2730"/>
      <c r="NDO1688" s="2730"/>
      <c r="NDP1688" s="2730"/>
      <c r="NDQ1688" s="2730"/>
      <c r="NDR1688" s="2730"/>
      <c r="NDS1688" s="2730"/>
      <c r="NDT1688" s="2730"/>
      <c r="NDU1688" s="2730"/>
      <c r="NDV1688" s="2730"/>
      <c r="NDW1688" s="2730"/>
      <c r="NDX1688" s="2730"/>
      <c r="NDY1688" s="2730"/>
      <c r="NDZ1688" s="2730"/>
      <c r="NEA1688" s="2730"/>
      <c r="NEB1688" s="2730"/>
      <c r="NEC1688" s="2730"/>
      <c r="NED1688" s="2730"/>
      <c r="NEE1688" s="2730"/>
      <c r="NEF1688" s="2730"/>
      <c r="NEG1688" s="2730"/>
      <c r="NEH1688" s="2730"/>
      <c r="NEI1688" s="2730"/>
      <c r="NEJ1688" s="2730"/>
      <c r="NEK1688" s="2730"/>
      <c r="NEL1688" s="2730"/>
      <c r="NEM1688" s="2730"/>
      <c r="NEN1688" s="2730"/>
      <c r="NEO1688" s="2730"/>
      <c r="NEP1688" s="2730"/>
      <c r="NEQ1688" s="2730"/>
      <c r="NER1688" s="2730"/>
      <c r="NES1688" s="2730"/>
      <c r="NET1688" s="2730"/>
      <c r="NEU1688" s="2730"/>
      <c r="NEV1688" s="2730"/>
      <c r="NEW1688" s="2730"/>
      <c r="NEX1688" s="2730"/>
      <c r="NEY1688" s="2730"/>
      <c r="NEZ1688" s="2730"/>
      <c r="NFA1688" s="2730"/>
      <c r="NFB1688" s="2730"/>
      <c r="NFC1688" s="2730"/>
      <c r="NFD1688" s="2730"/>
      <c r="NFE1688" s="2730"/>
      <c r="NFF1688" s="2730"/>
      <c r="NFG1688" s="2730"/>
      <c r="NFH1688" s="2730"/>
      <c r="NFI1688" s="2730"/>
      <c r="NFJ1688" s="2730"/>
      <c r="NFK1688" s="2730"/>
      <c r="NFL1688" s="2730"/>
      <c r="NFM1688" s="2730"/>
      <c r="NFN1688" s="2730"/>
      <c r="NFO1688" s="2730"/>
      <c r="NFP1688" s="2730"/>
      <c r="NFQ1688" s="2730"/>
      <c r="NFR1688" s="2730"/>
      <c r="NFS1688" s="2730"/>
      <c r="NFT1688" s="2730"/>
      <c r="NFU1688" s="2730"/>
      <c r="NFV1688" s="2730"/>
      <c r="NFW1688" s="2730"/>
      <c r="NFX1688" s="2730"/>
      <c r="NFY1688" s="2730"/>
      <c r="NFZ1688" s="2730"/>
      <c r="NGA1688" s="2730"/>
      <c r="NGB1688" s="2730"/>
      <c r="NGC1688" s="2730"/>
      <c r="NGD1688" s="2730"/>
      <c r="NGE1688" s="2730"/>
      <c r="NGF1688" s="2730"/>
      <c r="NGG1688" s="2730"/>
      <c r="NGH1688" s="2730"/>
      <c r="NGI1688" s="2730"/>
      <c r="NGJ1688" s="2730"/>
      <c r="NGK1688" s="2730"/>
      <c r="NGL1688" s="2730"/>
      <c r="NGM1688" s="2730"/>
      <c r="NGN1688" s="2730"/>
      <c r="NGO1688" s="2730"/>
      <c r="NGP1688" s="2730"/>
      <c r="NGQ1688" s="2730"/>
      <c r="NGR1688" s="2730"/>
      <c r="NGS1688" s="2730"/>
      <c r="NGT1688" s="2730"/>
      <c r="NGU1688" s="2730"/>
      <c r="NGV1688" s="2730"/>
      <c r="NGW1688" s="2730"/>
      <c r="NGX1688" s="2730"/>
      <c r="NGY1688" s="2730"/>
      <c r="NGZ1688" s="2730"/>
      <c r="NHA1688" s="2730"/>
      <c r="NHB1688" s="2730"/>
      <c r="NHC1688" s="2730"/>
      <c r="NHD1688" s="2730"/>
      <c r="NHE1688" s="2730"/>
      <c r="NHF1688" s="2730"/>
      <c r="NHG1688" s="2730"/>
      <c r="NHH1688" s="2730"/>
      <c r="NHI1688" s="2730"/>
      <c r="NHJ1688" s="2730"/>
      <c r="NHK1688" s="2730"/>
      <c r="NHL1688" s="2730"/>
      <c r="NHM1688" s="2730"/>
      <c r="NHN1688" s="2730"/>
      <c r="NHO1688" s="2730"/>
      <c r="NHP1688" s="2730"/>
      <c r="NHQ1688" s="2730"/>
      <c r="NHR1688" s="2730"/>
      <c r="NHS1688" s="2730"/>
      <c r="NHT1688" s="2730"/>
      <c r="NHU1688" s="2730"/>
      <c r="NHV1688" s="2730"/>
      <c r="NHW1688" s="2730"/>
      <c r="NHX1688" s="2730"/>
      <c r="NHY1688" s="2730"/>
      <c r="NHZ1688" s="2730"/>
      <c r="NIA1688" s="2730"/>
      <c r="NIB1688" s="2730"/>
      <c r="NIC1688" s="2730"/>
      <c r="NID1688" s="2730"/>
      <c r="NIE1688" s="2730"/>
      <c r="NIF1688" s="2730"/>
      <c r="NIG1688" s="2730"/>
      <c r="NIH1688" s="2730"/>
      <c r="NII1688" s="2730"/>
      <c r="NIJ1688" s="2730"/>
      <c r="NIK1688" s="2730"/>
      <c r="NIL1688" s="2730"/>
      <c r="NIM1688" s="2730"/>
      <c r="NIN1688" s="2730"/>
      <c r="NIO1688" s="2730"/>
      <c r="NIP1688" s="2730"/>
      <c r="NIQ1688" s="2730"/>
      <c r="NIR1688" s="2730"/>
      <c r="NIS1688" s="2730"/>
      <c r="NIT1688" s="2730"/>
      <c r="NIU1688" s="2730"/>
      <c r="NIV1688" s="2730"/>
      <c r="NIW1688" s="2730"/>
      <c r="NIX1688" s="2730"/>
      <c r="NIY1688" s="2730"/>
      <c r="NIZ1688" s="2730"/>
      <c r="NJA1688" s="2730"/>
      <c r="NJB1688" s="2730"/>
      <c r="NJC1688" s="2730"/>
      <c r="NJD1688" s="2730"/>
      <c r="NJE1688" s="2730"/>
      <c r="NJF1688" s="2730"/>
      <c r="NJG1688" s="2730"/>
      <c r="NJH1688" s="2730"/>
      <c r="NJI1688" s="2730"/>
      <c r="NJJ1688" s="2730"/>
      <c r="NJK1688" s="2730"/>
      <c r="NJL1688" s="2730"/>
      <c r="NJM1688" s="2730"/>
      <c r="NJN1688" s="2730"/>
      <c r="NJO1688" s="2730"/>
      <c r="NJP1688" s="2730"/>
      <c r="NJQ1688" s="2730"/>
      <c r="NJR1688" s="2730"/>
      <c r="NJS1688" s="2730"/>
      <c r="NJT1688" s="2730"/>
      <c r="NJU1688" s="2730"/>
      <c r="NJV1688" s="2730"/>
      <c r="NJW1688" s="2730"/>
      <c r="NJX1688" s="2730"/>
      <c r="NJY1688" s="2730"/>
      <c r="NJZ1688" s="2730"/>
      <c r="NKA1688" s="2730"/>
      <c r="NKB1688" s="2730"/>
      <c r="NKC1688" s="2730"/>
      <c r="NKD1688" s="2730"/>
      <c r="NKE1688" s="2730"/>
      <c r="NKF1688" s="2730"/>
      <c r="NKG1688" s="2730"/>
      <c r="NKH1688" s="2730"/>
      <c r="NKI1688" s="2730"/>
      <c r="NKJ1688" s="2730"/>
      <c r="NKK1688" s="2730"/>
      <c r="NKL1688" s="2730"/>
      <c r="NKM1688" s="2730"/>
      <c r="NKN1688" s="2730"/>
      <c r="NKO1688" s="2730"/>
      <c r="NKP1688" s="2730"/>
      <c r="NKQ1688" s="2730"/>
      <c r="NKR1688" s="2730"/>
      <c r="NKS1688" s="2730"/>
      <c r="NKT1688" s="2730"/>
      <c r="NKU1688" s="2730"/>
      <c r="NKV1688" s="2730"/>
      <c r="NKW1688" s="2730"/>
      <c r="NKX1688" s="2730"/>
      <c r="NKY1688" s="2730"/>
      <c r="NKZ1688" s="2730"/>
      <c r="NLA1688" s="2730"/>
      <c r="NLB1688" s="2730"/>
      <c r="NLC1688" s="2730"/>
      <c r="NLD1688" s="2730"/>
      <c r="NLE1688" s="2730"/>
      <c r="NLF1688" s="2730"/>
      <c r="NLG1688" s="2730"/>
      <c r="NLH1688" s="2730"/>
      <c r="NLI1688" s="2730"/>
      <c r="NLJ1688" s="2730"/>
      <c r="NLK1688" s="2730"/>
      <c r="NLL1688" s="2730"/>
      <c r="NLM1688" s="2730"/>
      <c r="NLN1688" s="2730"/>
      <c r="NLO1688" s="2730"/>
      <c r="NLP1688" s="2730"/>
      <c r="NLQ1688" s="2730"/>
      <c r="NLR1688" s="2730"/>
      <c r="NLS1688" s="2730"/>
      <c r="NLT1688" s="2730"/>
      <c r="NLU1688" s="2730"/>
      <c r="NLV1688" s="2730"/>
      <c r="NLW1688" s="2730"/>
      <c r="NLX1688" s="2730"/>
      <c r="NLY1688" s="2730"/>
      <c r="NLZ1688" s="2730"/>
      <c r="NMA1688" s="2730"/>
      <c r="NMB1688" s="2730"/>
      <c r="NMC1688" s="2730"/>
      <c r="NMD1688" s="2730"/>
      <c r="NME1688" s="2730"/>
      <c r="NMF1688" s="2730"/>
      <c r="NMG1688" s="2730"/>
      <c r="NMH1688" s="2730"/>
      <c r="NMI1688" s="2730"/>
      <c r="NMJ1688" s="2730"/>
      <c r="NMK1688" s="2730"/>
      <c r="NML1688" s="2730"/>
      <c r="NMM1688" s="2730"/>
      <c r="NMN1688" s="2730"/>
      <c r="NMO1688" s="2730"/>
      <c r="NMP1688" s="2730"/>
      <c r="NMQ1688" s="2730"/>
      <c r="NMR1688" s="2730"/>
      <c r="NMS1688" s="2730"/>
      <c r="NMT1688" s="2730"/>
      <c r="NMU1688" s="2730"/>
      <c r="NMV1688" s="2730"/>
      <c r="NMW1688" s="2730"/>
      <c r="NMX1688" s="2730"/>
      <c r="NMY1688" s="2730"/>
      <c r="NMZ1688" s="2730"/>
      <c r="NNA1688" s="2730"/>
      <c r="NNB1688" s="2730"/>
      <c r="NNC1688" s="2730"/>
      <c r="NND1688" s="2730"/>
      <c r="NNE1688" s="2730"/>
      <c r="NNF1688" s="2730"/>
      <c r="NNG1688" s="2730"/>
      <c r="NNH1688" s="2730"/>
      <c r="NNI1688" s="2730"/>
      <c r="NNJ1688" s="2730"/>
      <c r="NNK1688" s="2730"/>
      <c r="NNL1688" s="2730"/>
      <c r="NNM1688" s="2730"/>
      <c r="NNN1688" s="2730"/>
      <c r="NNO1688" s="2730"/>
      <c r="NNP1688" s="2730"/>
      <c r="NNQ1688" s="2730"/>
      <c r="NNR1688" s="2730"/>
      <c r="NNS1688" s="2730"/>
      <c r="NNT1688" s="2730"/>
      <c r="NNU1688" s="2730"/>
      <c r="NNV1688" s="2730"/>
      <c r="NNW1688" s="2730"/>
      <c r="NNX1688" s="2730"/>
      <c r="NNY1688" s="2730"/>
      <c r="NNZ1688" s="2730"/>
      <c r="NOA1688" s="2730"/>
      <c r="NOB1688" s="2730"/>
      <c r="NOC1688" s="2730"/>
      <c r="NOD1688" s="2730"/>
      <c r="NOE1688" s="2730"/>
      <c r="NOF1688" s="2730"/>
      <c r="NOG1688" s="2730"/>
      <c r="NOH1688" s="2730"/>
      <c r="NOI1688" s="2730"/>
      <c r="NOJ1688" s="2730"/>
      <c r="NOK1688" s="2730"/>
      <c r="NOL1688" s="2730"/>
      <c r="NOM1688" s="2730"/>
      <c r="NON1688" s="2730"/>
      <c r="NOO1688" s="2730"/>
      <c r="NOP1688" s="2730"/>
      <c r="NOQ1688" s="2730"/>
      <c r="NOR1688" s="2730"/>
      <c r="NOS1688" s="2730"/>
      <c r="NOT1688" s="2730"/>
      <c r="NOU1688" s="2730"/>
      <c r="NOV1688" s="2730"/>
      <c r="NOW1688" s="2730"/>
      <c r="NOX1688" s="2730"/>
      <c r="NOY1688" s="2730"/>
      <c r="NOZ1688" s="2730"/>
      <c r="NPA1688" s="2730"/>
      <c r="NPB1688" s="2730"/>
      <c r="NPC1688" s="2730"/>
      <c r="NPD1688" s="2730"/>
      <c r="NPE1688" s="2730"/>
      <c r="NPF1688" s="2730"/>
      <c r="NPG1688" s="2730"/>
      <c r="NPH1688" s="2730"/>
      <c r="NPI1688" s="2730"/>
      <c r="NPJ1688" s="2730"/>
      <c r="NPK1688" s="2730"/>
      <c r="NPL1688" s="2730"/>
      <c r="NPM1688" s="2730"/>
      <c r="NPN1688" s="2730"/>
      <c r="NPO1688" s="2730"/>
      <c r="NPP1688" s="2730"/>
      <c r="NPQ1688" s="2730"/>
      <c r="NPR1688" s="2730"/>
      <c r="NPS1688" s="2730"/>
      <c r="NPT1688" s="2730"/>
      <c r="NPU1688" s="2730"/>
      <c r="NPV1688" s="2730"/>
      <c r="NPW1688" s="2730"/>
      <c r="NPX1688" s="2730"/>
      <c r="NPY1688" s="2730"/>
      <c r="NPZ1688" s="2730"/>
      <c r="NQA1688" s="2730"/>
      <c r="NQB1688" s="2730"/>
      <c r="NQC1688" s="2730"/>
      <c r="NQD1688" s="2730"/>
      <c r="NQE1688" s="2730"/>
      <c r="NQF1688" s="2730"/>
      <c r="NQG1688" s="2730"/>
      <c r="NQH1688" s="2730"/>
      <c r="NQI1688" s="2730"/>
      <c r="NQJ1688" s="2730"/>
      <c r="NQK1688" s="2730"/>
      <c r="NQL1688" s="2730"/>
      <c r="NQM1688" s="2730"/>
      <c r="NQN1688" s="2730"/>
      <c r="NQO1688" s="2730"/>
      <c r="NQP1688" s="2730"/>
      <c r="NQQ1688" s="2730"/>
      <c r="NQR1688" s="2730"/>
      <c r="NQS1688" s="2730"/>
      <c r="NQT1688" s="2730"/>
      <c r="NQU1688" s="2730"/>
      <c r="NQV1688" s="2730"/>
      <c r="NQW1688" s="2730"/>
      <c r="NQX1688" s="2730"/>
      <c r="NQY1688" s="2730"/>
      <c r="NQZ1688" s="2730"/>
      <c r="NRA1688" s="2730"/>
      <c r="NRB1688" s="2730"/>
      <c r="NRC1688" s="2730"/>
      <c r="NRD1688" s="2730"/>
      <c r="NRE1688" s="2730"/>
      <c r="NRF1688" s="2730"/>
      <c r="NRG1688" s="2730"/>
      <c r="NRH1688" s="2730"/>
      <c r="NRI1688" s="2730"/>
      <c r="NRJ1688" s="2730"/>
      <c r="NRK1688" s="2730"/>
      <c r="NRL1688" s="2730"/>
      <c r="NRM1688" s="2730"/>
      <c r="NRN1688" s="2730"/>
      <c r="NRO1688" s="2730"/>
      <c r="NRP1688" s="2730"/>
      <c r="NRQ1688" s="2730"/>
      <c r="NRR1688" s="2730"/>
      <c r="NRS1688" s="2730"/>
      <c r="NRT1688" s="2730"/>
      <c r="NRU1688" s="2730"/>
      <c r="NRV1688" s="2730"/>
      <c r="NRW1688" s="2730"/>
      <c r="NRX1688" s="2730"/>
      <c r="NRY1688" s="2730"/>
      <c r="NRZ1688" s="2730"/>
      <c r="NSA1688" s="2730"/>
      <c r="NSB1688" s="2730"/>
      <c r="NSC1688" s="2730"/>
      <c r="NSD1688" s="2730"/>
      <c r="NSE1688" s="2730"/>
      <c r="NSF1688" s="2730"/>
      <c r="NSG1688" s="2730"/>
      <c r="NSH1688" s="2730"/>
      <c r="NSI1688" s="2730"/>
      <c r="NSJ1688" s="2730"/>
      <c r="NSK1688" s="2730"/>
      <c r="NSL1688" s="2730"/>
      <c r="NSM1688" s="2730"/>
      <c r="NSN1688" s="2730"/>
      <c r="NSO1688" s="2730"/>
      <c r="NSP1688" s="2730"/>
      <c r="NSQ1688" s="2730"/>
      <c r="NSR1688" s="2730"/>
      <c r="NSS1688" s="2730"/>
      <c r="NST1688" s="2730"/>
      <c r="NSU1688" s="2730"/>
      <c r="NSV1688" s="2730"/>
      <c r="NSW1688" s="2730"/>
      <c r="NSX1688" s="2730"/>
      <c r="NSY1688" s="2730"/>
      <c r="NSZ1688" s="2730"/>
      <c r="NTA1688" s="2730"/>
      <c r="NTB1688" s="2730"/>
      <c r="NTC1688" s="2730"/>
      <c r="NTD1688" s="2730"/>
      <c r="NTE1688" s="2730"/>
      <c r="NTF1688" s="2730"/>
      <c r="NTG1688" s="2730"/>
      <c r="NTH1688" s="2730"/>
      <c r="NTI1688" s="2730"/>
      <c r="NTJ1688" s="2730"/>
      <c r="NTK1688" s="2730"/>
      <c r="NTL1688" s="2730"/>
      <c r="NTM1688" s="2730"/>
      <c r="NTN1688" s="2730"/>
      <c r="NTO1688" s="2730"/>
      <c r="NTP1688" s="2730"/>
      <c r="NTQ1688" s="2730"/>
      <c r="NTR1688" s="2730"/>
      <c r="NTS1688" s="2730"/>
      <c r="NTT1688" s="2730"/>
      <c r="NTU1688" s="2730"/>
      <c r="NTV1688" s="2730"/>
      <c r="NTW1688" s="2730"/>
      <c r="NTX1688" s="2730"/>
      <c r="NTY1688" s="2730"/>
      <c r="NTZ1688" s="2730"/>
      <c r="NUA1688" s="2730"/>
      <c r="NUB1688" s="2730"/>
      <c r="NUC1688" s="2730"/>
      <c r="NUD1688" s="2730"/>
      <c r="NUE1688" s="2730"/>
      <c r="NUF1688" s="2730"/>
      <c r="NUG1688" s="2730"/>
      <c r="NUH1688" s="2730"/>
      <c r="NUI1688" s="2730"/>
      <c r="NUJ1688" s="2730"/>
      <c r="NUK1688" s="2730"/>
      <c r="NUL1688" s="2730"/>
      <c r="NUM1688" s="2730"/>
      <c r="NUN1688" s="2730"/>
      <c r="NUO1688" s="2730"/>
      <c r="NUP1688" s="2730"/>
      <c r="NUQ1688" s="2730"/>
      <c r="NUR1688" s="2730"/>
      <c r="NUS1688" s="2730"/>
      <c r="NUT1688" s="2730"/>
      <c r="NUU1688" s="2730"/>
      <c r="NUV1688" s="2730"/>
      <c r="NUW1688" s="2730"/>
      <c r="NUX1688" s="2730"/>
      <c r="NUY1688" s="2730"/>
      <c r="NUZ1688" s="2730"/>
      <c r="NVA1688" s="2730"/>
      <c r="NVB1688" s="2730"/>
      <c r="NVC1688" s="2730"/>
      <c r="NVD1688" s="2730"/>
      <c r="NVE1688" s="2730"/>
      <c r="NVF1688" s="2730"/>
      <c r="NVG1688" s="2730"/>
      <c r="NVH1688" s="2730"/>
      <c r="NVI1688" s="2730"/>
      <c r="NVJ1688" s="2730"/>
      <c r="NVK1688" s="2730"/>
      <c r="NVL1688" s="2730"/>
      <c r="NVM1688" s="2730"/>
      <c r="NVN1688" s="2730"/>
      <c r="NVO1688" s="2730"/>
      <c r="NVP1688" s="2730"/>
      <c r="NVQ1688" s="2730"/>
      <c r="NVR1688" s="2730"/>
      <c r="NVS1688" s="2730"/>
      <c r="NVT1688" s="2730"/>
      <c r="NVU1688" s="2730"/>
      <c r="NVV1688" s="2730"/>
      <c r="NVW1688" s="2730"/>
      <c r="NVX1688" s="2730"/>
      <c r="NVY1688" s="2730"/>
      <c r="NVZ1688" s="2730"/>
      <c r="NWA1688" s="2730"/>
      <c r="NWB1688" s="2730"/>
      <c r="NWC1688" s="2730"/>
      <c r="NWD1688" s="2730"/>
      <c r="NWE1688" s="2730"/>
      <c r="NWF1688" s="2730"/>
      <c r="NWG1688" s="2730"/>
      <c r="NWH1688" s="2730"/>
      <c r="NWI1688" s="2730"/>
      <c r="NWJ1688" s="2730"/>
      <c r="NWK1688" s="2730"/>
      <c r="NWL1688" s="2730"/>
      <c r="NWM1688" s="2730"/>
      <c r="NWN1688" s="2730"/>
      <c r="NWO1688" s="2730"/>
      <c r="NWP1688" s="2730"/>
      <c r="NWQ1688" s="2730"/>
      <c r="NWR1688" s="2730"/>
      <c r="NWS1688" s="2730"/>
      <c r="NWT1688" s="2730"/>
      <c r="NWU1688" s="2730"/>
      <c r="NWV1688" s="2730"/>
      <c r="NWW1688" s="2730"/>
      <c r="NWX1688" s="2730"/>
      <c r="NWY1688" s="2730"/>
      <c r="NWZ1688" s="2730"/>
      <c r="NXA1688" s="2730"/>
      <c r="NXB1688" s="2730"/>
      <c r="NXC1688" s="2730"/>
      <c r="NXD1688" s="2730"/>
      <c r="NXE1688" s="2730"/>
      <c r="NXF1688" s="2730"/>
      <c r="NXG1688" s="2730"/>
      <c r="NXH1688" s="2730"/>
      <c r="NXI1688" s="2730"/>
      <c r="NXJ1688" s="2730"/>
      <c r="NXK1688" s="2730"/>
      <c r="NXL1688" s="2730"/>
      <c r="NXM1688" s="2730"/>
      <c r="NXN1688" s="2730"/>
      <c r="NXO1688" s="2730"/>
      <c r="NXP1688" s="2730"/>
      <c r="NXQ1688" s="2730"/>
      <c r="NXR1688" s="2730"/>
      <c r="NXS1688" s="2730"/>
      <c r="NXT1688" s="2730"/>
      <c r="NXU1688" s="2730"/>
      <c r="NXV1688" s="2730"/>
      <c r="NXW1688" s="2730"/>
      <c r="NXX1688" s="2730"/>
      <c r="NXY1688" s="2730"/>
      <c r="NXZ1688" s="2730"/>
      <c r="NYA1688" s="2730"/>
      <c r="NYB1688" s="2730"/>
      <c r="NYC1688" s="2730"/>
      <c r="NYD1688" s="2730"/>
      <c r="NYE1688" s="2730"/>
      <c r="NYF1688" s="2730"/>
      <c r="NYG1688" s="2730"/>
      <c r="NYH1688" s="2730"/>
      <c r="NYI1688" s="2730"/>
      <c r="NYJ1688" s="2730"/>
      <c r="NYK1688" s="2730"/>
      <c r="NYL1688" s="2730"/>
      <c r="NYM1688" s="2730"/>
      <c r="NYN1688" s="2730"/>
      <c r="NYO1688" s="2730"/>
      <c r="NYP1688" s="2730"/>
      <c r="NYQ1688" s="2730"/>
      <c r="NYR1688" s="2730"/>
      <c r="NYS1688" s="2730"/>
      <c r="NYT1688" s="2730"/>
      <c r="NYU1688" s="2730"/>
      <c r="NYV1688" s="2730"/>
      <c r="NYW1688" s="2730"/>
      <c r="NYX1688" s="2730"/>
      <c r="NYY1688" s="2730"/>
      <c r="NYZ1688" s="2730"/>
      <c r="NZA1688" s="2730"/>
      <c r="NZB1688" s="2730"/>
      <c r="NZC1688" s="2730"/>
      <c r="NZD1688" s="2730"/>
      <c r="NZE1688" s="2730"/>
      <c r="NZF1688" s="2730"/>
      <c r="NZG1688" s="2730"/>
      <c r="NZH1688" s="2730"/>
      <c r="NZI1688" s="2730"/>
      <c r="NZJ1688" s="2730"/>
      <c r="NZK1688" s="2730"/>
      <c r="NZL1688" s="2730"/>
      <c r="NZM1688" s="2730"/>
      <c r="NZN1688" s="2730"/>
      <c r="NZO1688" s="2730"/>
      <c r="NZP1688" s="2730"/>
      <c r="NZQ1688" s="2730"/>
      <c r="NZR1688" s="2730"/>
      <c r="NZS1688" s="2730"/>
      <c r="NZT1688" s="2730"/>
      <c r="NZU1688" s="2730"/>
      <c r="NZV1688" s="2730"/>
      <c r="NZW1688" s="2730"/>
      <c r="NZX1688" s="2730"/>
      <c r="NZY1688" s="2730"/>
      <c r="NZZ1688" s="2730"/>
      <c r="OAA1688" s="2730"/>
      <c r="OAB1688" s="2730"/>
      <c r="OAC1688" s="2730"/>
      <c r="OAD1688" s="2730"/>
      <c r="OAE1688" s="2730"/>
      <c r="OAF1688" s="2730"/>
      <c r="OAG1688" s="2730"/>
      <c r="OAH1688" s="2730"/>
      <c r="OAI1688" s="2730"/>
      <c r="OAJ1688" s="2730"/>
      <c r="OAK1688" s="2730"/>
      <c r="OAL1688" s="2730"/>
      <c r="OAM1688" s="2730"/>
      <c r="OAN1688" s="2730"/>
      <c r="OAO1688" s="2730"/>
      <c r="OAP1688" s="2730"/>
      <c r="OAQ1688" s="2730"/>
      <c r="OAR1688" s="2730"/>
      <c r="OAS1688" s="2730"/>
      <c r="OAT1688" s="2730"/>
      <c r="OAU1688" s="2730"/>
      <c r="OAV1688" s="2730"/>
      <c r="OAW1688" s="2730"/>
      <c r="OAX1688" s="2730"/>
      <c r="OAY1688" s="2730"/>
      <c r="OAZ1688" s="2730"/>
      <c r="OBA1688" s="2730"/>
      <c r="OBB1688" s="2730"/>
      <c r="OBC1688" s="2730"/>
      <c r="OBD1688" s="2730"/>
      <c r="OBE1688" s="2730"/>
      <c r="OBF1688" s="2730"/>
      <c r="OBG1688" s="2730"/>
      <c r="OBH1688" s="2730"/>
      <c r="OBI1688" s="2730"/>
      <c r="OBJ1688" s="2730"/>
      <c r="OBK1688" s="2730"/>
      <c r="OBL1688" s="2730"/>
      <c r="OBM1688" s="2730"/>
      <c r="OBN1688" s="2730"/>
      <c r="OBO1688" s="2730"/>
      <c r="OBP1688" s="2730"/>
      <c r="OBQ1688" s="2730"/>
      <c r="OBR1688" s="2730"/>
      <c r="OBS1688" s="2730"/>
      <c r="OBT1688" s="2730"/>
      <c r="OBU1688" s="2730"/>
      <c r="OBV1688" s="2730"/>
      <c r="OBW1688" s="2730"/>
      <c r="OBX1688" s="2730"/>
      <c r="OBY1688" s="2730"/>
      <c r="OBZ1688" s="2730"/>
      <c r="OCA1688" s="2730"/>
      <c r="OCB1688" s="2730"/>
      <c r="OCC1688" s="2730"/>
      <c r="OCD1688" s="2730"/>
      <c r="OCE1688" s="2730"/>
      <c r="OCF1688" s="2730"/>
      <c r="OCG1688" s="2730"/>
      <c r="OCH1688" s="2730"/>
      <c r="OCI1688" s="2730"/>
      <c r="OCJ1688" s="2730"/>
      <c r="OCK1688" s="2730"/>
      <c r="OCL1688" s="2730"/>
      <c r="OCM1688" s="2730"/>
      <c r="OCN1688" s="2730"/>
      <c r="OCO1688" s="2730"/>
      <c r="OCP1688" s="2730"/>
      <c r="OCQ1688" s="2730"/>
      <c r="OCR1688" s="2730"/>
      <c r="OCS1688" s="2730"/>
      <c r="OCT1688" s="2730"/>
      <c r="OCU1688" s="2730"/>
      <c r="OCV1688" s="2730"/>
      <c r="OCW1688" s="2730"/>
      <c r="OCX1688" s="2730"/>
      <c r="OCY1688" s="2730"/>
      <c r="OCZ1688" s="2730"/>
      <c r="ODA1688" s="2730"/>
      <c r="ODB1688" s="2730"/>
      <c r="ODC1688" s="2730"/>
      <c r="ODD1688" s="2730"/>
      <c r="ODE1688" s="2730"/>
      <c r="ODF1688" s="2730"/>
      <c r="ODG1688" s="2730"/>
      <c r="ODH1688" s="2730"/>
      <c r="ODI1688" s="2730"/>
      <c r="ODJ1688" s="2730"/>
      <c r="ODK1688" s="2730"/>
      <c r="ODL1688" s="2730"/>
      <c r="ODM1688" s="2730"/>
      <c r="ODN1688" s="2730"/>
      <c r="ODO1688" s="2730"/>
      <c r="ODP1688" s="2730"/>
      <c r="ODQ1688" s="2730"/>
      <c r="ODR1688" s="2730"/>
      <c r="ODS1688" s="2730"/>
      <c r="ODT1688" s="2730"/>
      <c r="ODU1688" s="2730"/>
      <c r="ODV1688" s="2730"/>
      <c r="ODW1688" s="2730"/>
      <c r="ODX1688" s="2730"/>
      <c r="ODY1688" s="2730"/>
      <c r="ODZ1688" s="2730"/>
      <c r="OEA1688" s="2730"/>
      <c r="OEB1688" s="2730"/>
      <c r="OEC1688" s="2730"/>
      <c r="OED1688" s="2730"/>
      <c r="OEE1688" s="2730"/>
      <c r="OEF1688" s="2730"/>
      <c r="OEG1688" s="2730"/>
      <c r="OEH1688" s="2730"/>
      <c r="OEI1688" s="2730"/>
      <c r="OEJ1688" s="2730"/>
      <c r="OEK1688" s="2730"/>
      <c r="OEL1688" s="2730"/>
      <c r="OEM1688" s="2730"/>
      <c r="OEN1688" s="2730"/>
      <c r="OEO1688" s="2730"/>
      <c r="OEP1688" s="2730"/>
      <c r="OEQ1688" s="2730"/>
      <c r="OER1688" s="2730"/>
      <c r="OES1688" s="2730"/>
      <c r="OET1688" s="2730"/>
      <c r="OEU1688" s="2730"/>
      <c r="OEV1688" s="2730"/>
      <c r="OEW1688" s="2730"/>
      <c r="OEX1688" s="2730"/>
      <c r="OEY1688" s="2730"/>
      <c r="OEZ1688" s="2730"/>
      <c r="OFA1688" s="2730"/>
      <c r="OFB1688" s="2730"/>
      <c r="OFC1688" s="2730"/>
      <c r="OFD1688" s="2730"/>
      <c r="OFE1688" s="2730"/>
      <c r="OFF1688" s="2730"/>
      <c r="OFG1688" s="2730"/>
      <c r="OFH1688" s="2730"/>
      <c r="OFI1688" s="2730"/>
      <c r="OFJ1688" s="2730"/>
      <c r="OFK1688" s="2730"/>
      <c r="OFL1688" s="2730"/>
      <c r="OFM1688" s="2730"/>
      <c r="OFN1688" s="2730"/>
      <c r="OFO1688" s="2730"/>
      <c r="OFP1688" s="2730"/>
      <c r="OFQ1688" s="2730"/>
      <c r="OFR1688" s="2730"/>
      <c r="OFS1688" s="2730"/>
      <c r="OFT1688" s="2730"/>
      <c r="OFU1688" s="2730"/>
      <c r="OFV1688" s="2730"/>
      <c r="OFW1688" s="2730"/>
      <c r="OFX1688" s="2730"/>
      <c r="OFY1688" s="2730"/>
      <c r="OFZ1688" s="2730"/>
      <c r="OGA1688" s="2730"/>
      <c r="OGB1688" s="2730"/>
      <c r="OGC1688" s="2730"/>
      <c r="OGD1688" s="2730"/>
      <c r="OGE1688" s="2730"/>
      <c r="OGF1688" s="2730"/>
      <c r="OGG1688" s="2730"/>
      <c r="OGH1688" s="2730"/>
      <c r="OGI1688" s="2730"/>
      <c r="OGJ1688" s="2730"/>
      <c r="OGK1688" s="2730"/>
      <c r="OGL1688" s="2730"/>
      <c r="OGM1688" s="2730"/>
      <c r="OGN1688" s="2730"/>
      <c r="OGO1688" s="2730"/>
      <c r="OGP1688" s="2730"/>
      <c r="OGQ1688" s="2730"/>
      <c r="OGR1688" s="2730"/>
      <c r="OGS1688" s="2730"/>
      <c r="OGT1688" s="2730"/>
      <c r="OGU1688" s="2730"/>
      <c r="OGV1688" s="2730"/>
      <c r="OGW1688" s="2730"/>
      <c r="OGX1688" s="2730"/>
      <c r="OGY1688" s="2730"/>
      <c r="OGZ1688" s="2730"/>
      <c r="OHA1688" s="2730"/>
      <c r="OHB1688" s="2730"/>
      <c r="OHC1688" s="2730"/>
      <c r="OHD1688" s="2730"/>
      <c r="OHE1688" s="2730"/>
      <c r="OHF1688" s="2730"/>
      <c r="OHG1688" s="2730"/>
      <c r="OHH1688" s="2730"/>
      <c r="OHI1688" s="2730"/>
      <c r="OHJ1688" s="2730"/>
      <c r="OHK1688" s="2730"/>
      <c r="OHL1688" s="2730"/>
      <c r="OHM1688" s="2730"/>
      <c r="OHN1688" s="2730"/>
      <c r="OHO1688" s="2730"/>
      <c r="OHP1688" s="2730"/>
      <c r="OHQ1688" s="2730"/>
      <c r="OHR1688" s="2730"/>
      <c r="OHS1688" s="2730"/>
      <c r="OHT1688" s="2730"/>
      <c r="OHU1688" s="2730"/>
      <c r="OHV1688" s="2730"/>
      <c r="OHW1688" s="2730"/>
      <c r="OHX1688" s="2730"/>
      <c r="OHY1688" s="2730"/>
      <c r="OHZ1688" s="2730"/>
      <c r="OIA1688" s="2730"/>
      <c r="OIB1688" s="2730"/>
      <c r="OIC1688" s="2730"/>
      <c r="OID1688" s="2730"/>
      <c r="OIE1688" s="2730"/>
      <c r="OIF1688" s="2730"/>
      <c r="OIG1688" s="2730"/>
      <c r="OIH1688" s="2730"/>
      <c r="OII1688" s="2730"/>
      <c r="OIJ1688" s="2730"/>
      <c r="OIK1688" s="2730"/>
      <c r="OIL1688" s="2730"/>
      <c r="OIM1688" s="2730"/>
      <c r="OIN1688" s="2730"/>
      <c r="OIO1688" s="2730"/>
      <c r="OIP1688" s="2730"/>
      <c r="OIQ1688" s="2730"/>
      <c r="OIR1688" s="2730"/>
      <c r="OIS1688" s="2730"/>
      <c r="OIT1688" s="2730"/>
      <c r="OIU1688" s="2730"/>
      <c r="OIV1688" s="2730"/>
      <c r="OIW1688" s="2730"/>
      <c r="OIX1688" s="2730"/>
      <c r="OIY1688" s="2730"/>
      <c r="OIZ1688" s="2730"/>
      <c r="OJA1688" s="2730"/>
      <c r="OJB1688" s="2730"/>
      <c r="OJC1688" s="2730"/>
      <c r="OJD1688" s="2730"/>
      <c r="OJE1688" s="2730"/>
      <c r="OJF1688" s="2730"/>
      <c r="OJG1688" s="2730"/>
      <c r="OJH1688" s="2730"/>
      <c r="OJI1688" s="2730"/>
      <c r="OJJ1688" s="2730"/>
      <c r="OJK1688" s="2730"/>
      <c r="OJL1688" s="2730"/>
      <c r="OJM1688" s="2730"/>
      <c r="OJN1688" s="2730"/>
      <c r="OJO1688" s="2730"/>
      <c r="OJP1688" s="2730"/>
      <c r="OJQ1688" s="2730"/>
      <c r="OJR1688" s="2730"/>
      <c r="OJS1688" s="2730"/>
      <c r="OJT1688" s="2730"/>
      <c r="OJU1688" s="2730"/>
      <c r="OJV1688" s="2730"/>
      <c r="OJW1688" s="2730"/>
      <c r="OJX1688" s="2730"/>
      <c r="OJY1688" s="2730"/>
      <c r="OJZ1688" s="2730"/>
      <c r="OKA1688" s="2730"/>
      <c r="OKB1688" s="2730"/>
      <c r="OKC1688" s="2730"/>
      <c r="OKD1688" s="2730"/>
      <c r="OKE1688" s="2730"/>
      <c r="OKF1688" s="2730"/>
      <c r="OKG1688" s="2730"/>
      <c r="OKH1688" s="2730"/>
      <c r="OKI1688" s="2730"/>
      <c r="OKJ1688" s="2730"/>
      <c r="OKK1688" s="2730"/>
      <c r="OKL1688" s="2730"/>
      <c r="OKM1688" s="2730"/>
      <c r="OKN1688" s="2730"/>
      <c r="OKO1688" s="2730"/>
      <c r="OKP1688" s="2730"/>
      <c r="OKQ1688" s="2730"/>
      <c r="OKR1688" s="2730"/>
      <c r="OKS1688" s="2730"/>
      <c r="OKT1688" s="2730"/>
      <c r="OKU1688" s="2730"/>
      <c r="OKV1688" s="2730"/>
      <c r="OKW1688" s="2730"/>
      <c r="OKX1688" s="2730"/>
      <c r="OKY1688" s="2730"/>
      <c r="OKZ1688" s="2730"/>
      <c r="OLA1688" s="2730"/>
      <c r="OLB1688" s="2730"/>
      <c r="OLC1688" s="2730"/>
      <c r="OLD1688" s="2730"/>
      <c r="OLE1688" s="2730"/>
      <c r="OLF1688" s="2730"/>
      <c r="OLG1688" s="2730"/>
      <c r="OLH1688" s="2730"/>
      <c r="OLI1688" s="2730"/>
      <c r="OLJ1688" s="2730"/>
      <c r="OLK1688" s="2730"/>
      <c r="OLL1688" s="2730"/>
      <c r="OLM1688" s="2730"/>
      <c r="OLN1688" s="2730"/>
      <c r="OLO1688" s="2730"/>
      <c r="OLP1688" s="2730"/>
      <c r="OLQ1688" s="2730"/>
      <c r="OLR1688" s="2730"/>
      <c r="OLS1688" s="2730"/>
      <c r="OLT1688" s="2730"/>
      <c r="OLU1688" s="2730"/>
      <c r="OLV1688" s="2730"/>
      <c r="OLW1688" s="2730"/>
      <c r="OLX1688" s="2730"/>
      <c r="OLY1688" s="2730"/>
      <c r="OLZ1688" s="2730"/>
      <c r="OMA1688" s="2730"/>
      <c r="OMB1688" s="2730"/>
      <c r="OMC1688" s="2730"/>
      <c r="OMD1688" s="2730"/>
      <c r="OME1688" s="2730"/>
      <c r="OMF1688" s="2730"/>
      <c r="OMG1688" s="2730"/>
      <c r="OMH1688" s="2730"/>
      <c r="OMI1688" s="2730"/>
      <c r="OMJ1688" s="2730"/>
      <c r="OMK1688" s="2730"/>
      <c r="OML1688" s="2730"/>
      <c r="OMM1688" s="2730"/>
      <c r="OMN1688" s="2730"/>
      <c r="OMO1688" s="2730"/>
      <c r="OMP1688" s="2730"/>
      <c r="OMQ1688" s="2730"/>
      <c r="OMR1688" s="2730"/>
      <c r="OMS1688" s="2730"/>
      <c r="OMT1688" s="2730"/>
      <c r="OMU1688" s="2730"/>
      <c r="OMV1688" s="2730"/>
      <c r="OMW1688" s="2730"/>
      <c r="OMX1688" s="2730"/>
      <c r="OMY1688" s="2730"/>
      <c r="OMZ1688" s="2730"/>
      <c r="ONA1688" s="2730"/>
      <c r="ONB1688" s="2730"/>
      <c r="ONC1688" s="2730"/>
      <c r="OND1688" s="2730"/>
      <c r="ONE1688" s="2730"/>
      <c r="ONF1688" s="2730"/>
      <c r="ONG1688" s="2730"/>
      <c r="ONH1688" s="2730"/>
      <c r="ONI1688" s="2730"/>
      <c r="ONJ1688" s="2730"/>
      <c r="ONK1688" s="2730"/>
      <c r="ONL1688" s="2730"/>
      <c r="ONM1688" s="2730"/>
      <c r="ONN1688" s="2730"/>
      <c r="ONO1688" s="2730"/>
      <c r="ONP1688" s="2730"/>
      <c r="ONQ1688" s="2730"/>
      <c r="ONR1688" s="2730"/>
      <c r="ONS1688" s="2730"/>
      <c r="ONT1688" s="2730"/>
      <c r="ONU1688" s="2730"/>
      <c r="ONV1688" s="2730"/>
      <c r="ONW1688" s="2730"/>
      <c r="ONX1688" s="2730"/>
      <c r="ONY1688" s="2730"/>
      <c r="ONZ1688" s="2730"/>
      <c r="OOA1688" s="2730"/>
      <c r="OOB1688" s="2730"/>
      <c r="OOC1688" s="2730"/>
      <c r="OOD1688" s="2730"/>
      <c r="OOE1688" s="2730"/>
      <c r="OOF1688" s="2730"/>
      <c r="OOG1688" s="2730"/>
      <c r="OOH1688" s="2730"/>
      <c r="OOI1688" s="2730"/>
      <c r="OOJ1688" s="2730"/>
      <c r="OOK1688" s="2730"/>
      <c r="OOL1688" s="2730"/>
      <c r="OOM1688" s="2730"/>
      <c r="OON1688" s="2730"/>
      <c r="OOO1688" s="2730"/>
      <c r="OOP1688" s="2730"/>
      <c r="OOQ1688" s="2730"/>
      <c r="OOR1688" s="2730"/>
      <c r="OOS1688" s="2730"/>
      <c r="OOT1688" s="2730"/>
      <c r="OOU1688" s="2730"/>
      <c r="OOV1688" s="2730"/>
      <c r="OOW1688" s="2730"/>
      <c r="OOX1688" s="2730"/>
      <c r="OOY1688" s="2730"/>
      <c r="OOZ1688" s="2730"/>
      <c r="OPA1688" s="2730"/>
      <c r="OPB1688" s="2730"/>
      <c r="OPC1688" s="2730"/>
      <c r="OPD1688" s="2730"/>
      <c r="OPE1688" s="2730"/>
      <c r="OPF1688" s="2730"/>
      <c r="OPG1688" s="2730"/>
      <c r="OPH1688" s="2730"/>
      <c r="OPI1688" s="2730"/>
      <c r="OPJ1688" s="2730"/>
      <c r="OPK1688" s="2730"/>
      <c r="OPL1688" s="2730"/>
      <c r="OPM1688" s="2730"/>
      <c r="OPN1688" s="2730"/>
      <c r="OPO1688" s="2730"/>
      <c r="OPP1688" s="2730"/>
      <c r="OPQ1688" s="2730"/>
      <c r="OPR1688" s="2730"/>
      <c r="OPS1688" s="2730"/>
      <c r="OPT1688" s="2730"/>
      <c r="OPU1688" s="2730"/>
      <c r="OPV1688" s="2730"/>
      <c r="OPW1688" s="2730"/>
      <c r="OPX1688" s="2730"/>
      <c r="OPY1688" s="2730"/>
      <c r="OPZ1688" s="2730"/>
      <c r="OQA1688" s="2730"/>
      <c r="OQB1688" s="2730"/>
      <c r="OQC1688" s="2730"/>
      <c r="OQD1688" s="2730"/>
      <c r="OQE1688" s="2730"/>
      <c r="OQF1688" s="2730"/>
      <c r="OQG1688" s="2730"/>
      <c r="OQH1688" s="2730"/>
      <c r="OQI1688" s="2730"/>
      <c r="OQJ1688" s="2730"/>
      <c r="OQK1688" s="2730"/>
      <c r="OQL1688" s="2730"/>
      <c r="OQM1688" s="2730"/>
      <c r="OQN1688" s="2730"/>
      <c r="OQO1688" s="2730"/>
      <c r="OQP1688" s="2730"/>
      <c r="OQQ1688" s="2730"/>
      <c r="OQR1688" s="2730"/>
      <c r="OQS1688" s="2730"/>
      <c r="OQT1688" s="2730"/>
      <c r="OQU1688" s="2730"/>
      <c r="OQV1688" s="2730"/>
      <c r="OQW1688" s="2730"/>
      <c r="OQX1688" s="2730"/>
      <c r="OQY1688" s="2730"/>
      <c r="OQZ1688" s="2730"/>
      <c r="ORA1688" s="2730"/>
      <c r="ORB1688" s="2730"/>
      <c r="ORC1688" s="2730"/>
      <c r="ORD1688" s="2730"/>
      <c r="ORE1688" s="2730"/>
      <c r="ORF1688" s="2730"/>
      <c r="ORG1688" s="2730"/>
      <c r="ORH1688" s="2730"/>
      <c r="ORI1688" s="2730"/>
      <c r="ORJ1688" s="2730"/>
      <c r="ORK1688" s="2730"/>
      <c r="ORL1688" s="2730"/>
      <c r="ORM1688" s="2730"/>
      <c r="ORN1688" s="2730"/>
      <c r="ORO1688" s="2730"/>
      <c r="ORP1688" s="2730"/>
      <c r="ORQ1688" s="2730"/>
      <c r="ORR1688" s="2730"/>
      <c r="ORS1688" s="2730"/>
      <c r="ORT1688" s="2730"/>
      <c r="ORU1688" s="2730"/>
      <c r="ORV1688" s="2730"/>
      <c r="ORW1688" s="2730"/>
      <c r="ORX1688" s="2730"/>
      <c r="ORY1688" s="2730"/>
      <c r="ORZ1688" s="2730"/>
      <c r="OSA1688" s="2730"/>
      <c r="OSB1688" s="2730"/>
      <c r="OSC1688" s="2730"/>
      <c r="OSD1688" s="2730"/>
      <c r="OSE1688" s="2730"/>
      <c r="OSF1688" s="2730"/>
      <c r="OSG1688" s="2730"/>
      <c r="OSH1688" s="2730"/>
      <c r="OSI1688" s="2730"/>
      <c r="OSJ1688" s="2730"/>
      <c r="OSK1688" s="2730"/>
      <c r="OSL1688" s="2730"/>
      <c r="OSM1688" s="2730"/>
      <c r="OSN1688" s="2730"/>
      <c r="OSO1688" s="2730"/>
      <c r="OSP1688" s="2730"/>
      <c r="OSQ1688" s="2730"/>
      <c r="OSR1688" s="2730"/>
      <c r="OSS1688" s="2730"/>
      <c r="OST1688" s="2730"/>
      <c r="OSU1688" s="2730"/>
      <c r="OSV1688" s="2730"/>
      <c r="OSW1688" s="2730"/>
      <c r="OSX1688" s="2730"/>
      <c r="OSY1688" s="2730"/>
      <c r="OSZ1688" s="2730"/>
      <c r="OTA1688" s="2730"/>
      <c r="OTB1688" s="2730"/>
      <c r="OTC1688" s="2730"/>
      <c r="OTD1688" s="2730"/>
      <c r="OTE1688" s="2730"/>
      <c r="OTF1688" s="2730"/>
      <c r="OTG1688" s="2730"/>
      <c r="OTH1688" s="2730"/>
      <c r="OTI1688" s="2730"/>
      <c r="OTJ1688" s="2730"/>
      <c r="OTK1688" s="2730"/>
      <c r="OTL1688" s="2730"/>
      <c r="OTM1688" s="2730"/>
      <c r="OTN1688" s="2730"/>
      <c r="OTO1688" s="2730"/>
      <c r="OTP1688" s="2730"/>
      <c r="OTQ1688" s="2730"/>
      <c r="OTR1688" s="2730"/>
      <c r="OTS1688" s="2730"/>
      <c r="OTT1688" s="2730"/>
      <c r="OTU1688" s="2730"/>
      <c r="OTV1688" s="2730"/>
      <c r="OTW1688" s="2730"/>
      <c r="OTX1688" s="2730"/>
      <c r="OTY1688" s="2730"/>
      <c r="OTZ1688" s="2730"/>
      <c r="OUA1688" s="2730"/>
      <c r="OUB1688" s="2730"/>
      <c r="OUC1688" s="2730"/>
      <c r="OUD1688" s="2730"/>
      <c r="OUE1688" s="2730"/>
      <c r="OUF1688" s="2730"/>
      <c r="OUG1688" s="2730"/>
      <c r="OUH1688" s="2730"/>
      <c r="OUI1688" s="2730"/>
      <c r="OUJ1688" s="2730"/>
      <c r="OUK1688" s="2730"/>
      <c r="OUL1688" s="2730"/>
      <c r="OUM1688" s="2730"/>
      <c r="OUN1688" s="2730"/>
      <c r="OUO1688" s="2730"/>
      <c r="OUP1688" s="2730"/>
      <c r="OUQ1688" s="2730"/>
      <c r="OUR1688" s="2730"/>
      <c r="OUS1688" s="2730"/>
      <c r="OUT1688" s="2730"/>
      <c r="OUU1688" s="2730"/>
      <c r="OUV1688" s="2730"/>
      <c r="OUW1688" s="2730"/>
      <c r="OUX1688" s="2730"/>
      <c r="OUY1688" s="2730"/>
      <c r="OUZ1688" s="2730"/>
      <c r="OVA1688" s="2730"/>
      <c r="OVB1688" s="2730"/>
      <c r="OVC1688" s="2730"/>
      <c r="OVD1688" s="2730"/>
      <c r="OVE1688" s="2730"/>
      <c r="OVF1688" s="2730"/>
      <c r="OVG1688" s="2730"/>
      <c r="OVH1688" s="2730"/>
      <c r="OVI1688" s="2730"/>
      <c r="OVJ1688" s="2730"/>
      <c r="OVK1688" s="2730"/>
      <c r="OVL1688" s="2730"/>
      <c r="OVM1688" s="2730"/>
      <c r="OVN1688" s="2730"/>
      <c r="OVO1688" s="2730"/>
      <c r="OVP1688" s="2730"/>
      <c r="OVQ1688" s="2730"/>
      <c r="OVR1688" s="2730"/>
      <c r="OVS1688" s="2730"/>
      <c r="OVT1688" s="2730"/>
      <c r="OVU1688" s="2730"/>
      <c r="OVV1688" s="2730"/>
      <c r="OVW1688" s="2730"/>
      <c r="OVX1688" s="2730"/>
      <c r="OVY1688" s="2730"/>
      <c r="OVZ1688" s="2730"/>
      <c r="OWA1688" s="2730"/>
      <c r="OWB1688" s="2730"/>
      <c r="OWC1688" s="2730"/>
      <c r="OWD1688" s="2730"/>
      <c r="OWE1688" s="2730"/>
      <c r="OWF1688" s="2730"/>
      <c r="OWG1688" s="2730"/>
      <c r="OWH1688" s="2730"/>
      <c r="OWI1688" s="2730"/>
      <c r="OWJ1688" s="2730"/>
      <c r="OWK1688" s="2730"/>
      <c r="OWL1688" s="2730"/>
      <c r="OWM1688" s="2730"/>
      <c r="OWN1688" s="2730"/>
      <c r="OWO1688" s="2730"/>
      <c r="OWP1688" s="2730"/>
      <c r="OWQ1688" s="2730"/>
      <c r="OWR1688" s="2730"/>
      <c r="OWS1688" s="2730"/>
      <c r="OWT1688" s="2730"/>
      <c r="OWU1688" s="2730"/>
      <c r="OWV1688" s="2730"/>
      <c r="OWW1688" s="2730"/>
      <c r="OWX1688" s="2730"/>
      <c r="OWY1688" s="2730"/>
      <c r="OWZ1688" s="2730"/>
      <c r="OXA1688" s="2730"/>
      <c r="OXB1688" s="2730"/>
      <c r="OXC1688" s="2730"/>
      <c r="OXD1688" s="2730"/>
      <c r="OXE1688" s="2730"/>
      <c r="OXF1688" s="2730"/>
      <c r="OXG1688" s="2730"/>
      <c r="OXH1688" s="2730"/>
      <c r="OXI1688" s="2730"/>
      <c r="OXJ1688" s="2730"/>
      <c r="OXK1688" s="2730"/>
      <c r="OXL1688" s="2730"/>
      <c r="OXM1688" s="2730"/>
      <c r="OXN1688" s="2730"/>
      <c r="OXO1688" s="2730"/>
      <c r="OXP1688" s="2730"/>
      <c r="OXQ1688" s="2730"/>
      <c r="OXR1688" s="2730"/>
      <c r="OXS1688" s="2730"/>
      <c r="OXT1688" s="2730"/>
      <c r="OXU1688" s="2730"/>
      <c r="OXV1688" s="2730"/>
      <c r="OXW1688" s="2730"/>
      <c r="OXX1688" s="2730"/>
      <c r="OXY1688" s="2730"/>
      <c r="OXZ1688" s="2730"/>
      <c r="OYA1688" s="2730"/>
      <c r="OYB1688" s="2730"/>
      <c r="OYC1688" s="2730"/>
      <c r="OYD1688" s="2730"/>
      <c r="OYE1688" s="2730"/>
      <c r="OYF1688" s="2730"/>
      <c r="OYG1688" s="2730"/>
      <c r="OYH1688" s="2730"/>
      <c r="OYI1688" s="2730"/>
      <c r="OYJ1688" s="2730"/>
      <c r="OYK1688" s="2730"/>
      <c r="OYL1688" s="2730"/>
      <c r="OYM1688" s="2730"/>
      <c r="OYN1688" s="2730"/>
      <c r="OYO1688" s="2730"/>
      <c r="OYP1688" s="2730"/>
      <c r="OYQ1688" s="2730"/>
      <c r="OYR1688" s="2730"/>
      <c r="OYS1688" s="2730"/>
      <c r="OYT1688" s="2730"/>
      <c r="OYU1688" s="2730"/>
      <c r="OYV1688" s="2730"/>
      <c r="OYW1688" s="2730"/>
      <c r="OYX1688" s="2730"/>
      <c r="OYY1688" s="2730"/>
      <c r="OYZ1688" s="2730"/>
      <c r="OZA1688" s="2730"/>
      <c r="OZB1688" s="2730"/>
      <c r="OZC1688" s="2730"/>
      <c r="OZD1688" s="2730"/>
      <c r="OZE1688" s="2730"/>
      <c r="OZF1688" s="2730"/>
      <c r="OZG1688" s="2730"/>
      <c r="OZH1688" s="2730"/>
      <c r="OZI1688" s="2730"/>
      <c r="OZJ1688" s="2730"/>
      <c r="OZK1688" s="2730"/>
      <c r="OZL1688" s="2730"/>
      <c r="OZM1688" s="2730"/>
      <c r="OZN1688" s="2730"/>
      <c r="OZO1688" s="2730"/>
      <c r="OZP1688" s="2730"/>
      <c r="OZQ1688" s="2730"/>
      <c r="OZR1688" s="2730"/>
      <c r="OZS1688" s="2730"/>
      <c r="OZT1688" s="2730"/>
      <c r="OZU1688" s="2730"/>
      <c r="OZV1688" s="2730"/>
      <c r="OZW1688" s="2730"/>
      <c r="OZX1688" s="2730"/>
      <c r="OZY1688" s="2730"/>
      <c r="OZZ1688" s="2730"/>
      <c r="PAA1688" s="2730"/>
      <c r="PAB1688" s="2730"/>
      <c r="PAC1688" s="2730"/>
      <c r="PAD1688" s="2730"/>
      <c r="PAE1688" s="2730"/>
      <c r="PAF1688" s="2730"/>
      <c r="PAG1688" s="2730"/>
      <c r="PAH1688" s="2730"/>
      <c r="PAI1688" s="2730"/>
      <c r="PAJ1688" s="2730"/>
      <c r="PAK1688" s="2730"/>
      <c r="PAL1688" s="2730"/>
      <c r="PAM1688" s="2730"/>
      <c r="PAN1688" s="2730"/>
      <c r="PAO1688" s="2730"/>
      <c r="PAP1688" s="2730"/>
      <c r="PAQ1688" s="2730"/>
      <c r="PAR1688" s="2730"/>
      <c r="PAS1688" s="2730"/>
      <c r="PAT1688" s="2730"/>
      <c r="PAU1688" s="2730"/>
      <c r="PAV1688" s="2730"/>
      <c r="PAW1688" s="2730"/>
      <c r="PAX1688" s="2730"/>
      <c r="PAY1688" s="2730"/>
      <c r="PAZ1688" s="2730"/>
      <c r="PBA1688" s="2730"/>
      <c r="PBB1688" s="2730"/>
      <c r="PBC1688" s="2730"/>
      <c r="PBD1688" s="2730"/>
      <c r="PBE1688" s="2730"/>
      <c r="PBF1688" s="2730"/>
      <c r="PBG1688" s="2730"/>
      <c r="PBH1688" s="2730"/>
      <c r="PBI1688" s="2730"/>
      <c r="PBJ1688" s="2730"/>
      <c r="PBK1688" s="2730"/>
      <c r="PBL1688" s="2730"/>
      <c r="PBM1688" s="2730"/>
      <c r="PBN1688" s="2730"/>
      <c r="PBO1688" s="2730"/>
      <c r="PBP1688" s="2730"/>
      <c r="PBQ1688" s="2730"/>
      <c r="PBR1688" s="2730"/>
      <c r="PBS1688" s="2730"/>
      <c r="PBT1688" s="2730"/>
      <c r="PBU1688" s="2730"/>
      <c r="PBV1688" s="2730"/>
      <c r="PBW1688" s="2730"/>
      <c r="PBX1688" s="2730"/>
      <c r="PBY1688" s="2730"/>
      <c r="PBZ1688" s="2730"/>
      <c r="PCA1688" s="2730"/>
      <c r="PCB1688" s="2730"/>
      <c r="PCC1688" s="2730"/>
      <c r="PCD1688" s="2730"/>
      <c r="PCE1688" s="2730"/>
      <c r="PCF1688" s="2730"/>
      <c r="PCG1688" s="2730"/>
      <c r="PCH1688" s="2730"/>
      <c r="PCI1688" s="2730"/>
      <c r="PCJ1688" s="2730"/>
      <c r="PCK1688" s="2730"/>
      <c r="PCL1688" s="2730"/>
      <c r="PCM1688" s="2730"/>
      <c r="PCN1688" s="2730"/>
      <c r="PCO1688" s="2730"/>
      <c r="PCP1688" s="2730"/>
      <c r="PCQ1688" s="2730"/>
      <c r="PCR1688" s="2730"/>
      <c r="PCS1688" s="2730"/>
      <c r="PCT1688" s="2730"/>
      <c r="PCU1688" s="2730"/>
      <c r="PCV1688" s="2730"/>
      <c r="PCW1688" s="2730"/>
      <c r="PCX1688" s="2730"/>
      <c r="PCY1688" s="2730"/>
      <c r="PCZ1688" s="2730"/>
      <c r="PDA1688" s="2730"/>
      <c r="PDB1688" s="2730"/>
      <c r="PDC1688" s="2730"/>
      <c r="PDD1688" s="2730"/>
      <c r="PDE1688" s="2730"/>
      <c r="PDF1688" s="2730"/>
      <c r="PDG1688" s="2730"/>
      <c r="PDH1688" s="2730"/>
      <c r="PDI1688" s="2730"/>
      <c r="PDJ1688" s="2730"/>
      <c r="PDK1688" s="2730"/>
      <c r="PDL1688" s="2730"/>
      <c r="PDM1688" s="2730"/>
      <c r="PDN1688" s="2730"/>
      <c r="PDO1688" s="2730"/>
      <c r="PDP1688" s="2730"/>
      <c r="PDQ1688" s="2730"/>
      <c r="PDR1688" s="2730"/>
      <c r="PDS1688" s="2730"/>
      <c r="PDT1688" s="2730"/>
      <c r="PDU1688" s="2730"/>
      <c r="PDV1688" s="2730"/>
      <c r="PDW1688" s="2730"/>
      <c r="PDX1688" s="2730"/>
      <c r="PDY1688" s="2730"/>
      <c r="PDZ1688" s="2730"/>
      <c r="PEA1688" s="2730"/>
      <c r="PEB1688" s="2730"/>
      <c r="PEC1688" s="2730"/>
      <c r="PED1688" s="2730"/>
      <c r="PEE1688" s="2730"/>
      <c r="PEF1688" s="2730"/>
      <c r="PEG1688" s="2730"/>
      <c r="PEH1688" s="2730"/>
      <c r="PEI1688" s="2730"/>
      <c r="PEJ1688" s="2730"/>
      <c r="PEK1688" s="2730"/>
      <c r="PEL1688" s="2730"/>
      <c r="PEM1688" s="2730"/>
      <c r="PEN1688" s="2730"/>
      <c r="PEO1688" s="2730"/>
      <c r="PEP1688" s="2730"/>
      <c r="PEQ1688" s="2730"/>
      <c r="PER1688" s="2730"/>
      <c r="PES1688" s="2730"/>
      <c r="PET1688" s="2730"/>
      <c r="PEU1688" s="2730"/>
      <c r="PEV1688" s="2730"/>
      <c r="PEW1688" s="2730"/>
      <c r="PEX1688" s="2730"/>
      <c r="PEY1688" s="2730"/>
      <c r="PEZ1688" s="2730"/>
      <c r="PFA1688" s="2730"/>
      <c r="PFB1688" s="2730"/>
      <c r="PFC1688" s="2730"/>
      <c r="PFD1688" s="2730"/>
      <c r="PFE1688" s="2730"/>
      <c r="PFF1688" s="2730"/>
      <c r="PFG1688" s="2730"/>
      <c r="PFH1688" s="2730"/>
      <c r="PFI1688" s="2730"/>
      <c r="PFJ1688" s="2730"/>
      <c r="PFK1688" s="2730"/>
      <c r="PFL1688" s="2730"/>
      <c r="PFM1688" s="2730"/>
      <c r="PFN1688" s="2730"/>
      <c r="PFO1688" s="2730"/>
      <c r="PFP1688" s="2730"/>
      <c r="PFQ1688" s="2730"/>
      <c r="PFR1688" s="2730"/>
      <c r="PFS1688" s="2730"/>
      <c r="PFT1688" s="2730"/>
      <c r="PFU1688" s="2730"/>
      <c r="PFV1688" s="2730"/>
      <c r="PFW1688" s="2730"/>
      <c r="PFX1688" s="2730"/>
      <c r="PFY1688" s="2730"/>
      <c r="PFZ1688" s="2730"/>
      <c r="PGA1688" s="2730"/>
      <c r="PGB1688" s="2730"/>
      <c r="PGC1688" s="2730"/>
      <c r="PGD1688" s="2730"/>
      <c r="PGE1688" s="2730"/>
      <c r="PGF1688" s="2730"/>
      <c r="PGG1688" s="2730"/>
      <c r="PGH1688" s="2730"/>
      <c r="PGI1688" s="2730"/>
      <c r="PGJ1688" s="2730"/>
      <c r="PGK1688" s="2730"/>
      <c r="PGL1688" s="2730"/>
      <c r="PGM1688" s="2730"/>
      <c r="PGN1688" s="2730"/>
      <c r="PGO1688" s="2730"/>
      <c r="PGP1688" s="2730"/>
      <c r="PGQ1688" s="2730"/>
      <c r="PGR1688" s="2730"/>
      <c r="PGS1688" s="2730"/>
      <c r="PGT1688" s="2730"/>
      <c r="PGU1688" s="2730"/>
      <c r="PGV1688" s="2730"/>
      <c r="PGW1688" s="2730"/>
      <c r="PGX1688" s="2730"/>
      <c r="PGY1688" s="2730"/>
      <c r="PGZ1688" s="2730"/>
      <c r="PHA1688" s="2730"/>
      <c r="PHB1688" s="2730"/>
      <c r="PHC1688" s="2730"/>
      <c r="PHD1688" s="2730"/>
      <c r="PHE1688" s="2730"/>
      <c r="PHF1688" s="2730"/>
      <c r="PHG1688" s="2730"/>
      <c r="PHH1688" s="2730"/>
      <c r="PHI1688" s="2730"/>
      <c r="PHJ1688" s="2730"/>
      <c r="PHK1688" s="2730"/>
      <c r="PHL1688" s="2730"/>
      <c r="PHM1688" s="2730"/>
      <c r="PHN1688" s="2730"/>
      <c r="PHO1688" s="2730"/>
      <c r="PHP1688" s="2730"/>
      <c r="PHQ1688" s="2730"/>
      <c r="PHR1688" s="2730"/>
      <c r="PHS1688" s="2730"/>
      <c r="PHT1688" s="2730"/>
      <c r="PHU1688" s="2730"/>
      <c r="PHV1688" s="2730"/>
      <c r="PHW1688" s="2730"/>
      <c r="PHX1688" s="2730"/>
      <c r="PHY1688" s="2730"/>
      <c r="PHZ1688" s="2730"/>
      <c r="PIA1688" s="2730"/>
      <c r="PIB1688" s="2730"/>
      <c r="PIC1688" s="2730"/>
      <c r="PID1688" s="2730"/>
      <c r="PIE1688" s="2730"/>
      <c r="PIF1688" s="2730"/>
      <c r="PIG1688" s="2730"/>
      <c r="PIH1688" s="2730"/>
      <c r="PII1688" s="2730"/>
      <c r="PIJ1688" s="2730"/>
      <c r="PIK1688" s="2730"/>
      <c r="PIL1688" s="2730"/>
      <c r="PIM1688" s="2730"/>
      <c r="PIN1688" s="2730"/>
      <c r="PIO1688" s="2730"/>
      <c r="PIP1688" s="2730"/>
      <c r="PIQ1688" s="2730"/>
      <c r="PIR1688" s="2730"/>
      <c r="PIS1688" s="2730"/>
      <c r="PIT1688" s="2730"/>
      <c r="PIU1688" s="2730"/>
      <c r="PIV1688" s="2730"/>
      <c r="PIW1688" s="2730"/>
      <c r="PIX1688" s="2730"/>
      <c r="PIY1688" s="2730"/>
      <c r="PIZ1688" s="2730"/>
      <c r="PJA1688" s="2730"/>
      <c r="PJB1688" s="2730"/>
      <c r="PJC1688" s="2730"/>
      <c r="PJD1688" s="2730"/>
      <c r="PJE1688" s="2730"/>
      <c r="PJF1688" s="2730"/>
      <c r="PJG1688" s="2730"/>
      <c r="PJH1688" s="2730"/>
      <c r="PJI1688" s="2730"/>
      <c r="PJJ1688" s="2730"/>
      <c r="PJK1688" s="2730"/>
      <c r="PJL1688" s="2730"/>
      <c r="PJM1688" s="2730"/>
      <c r="PJN1688" s="2730"/>
      <c r="PJO1688" s="2730"/>
      <c r="PJP1688" s="2730"/>
      <c r="PJQ1688" s="2730"/>
      <c r="PJR1688" s="2730"/>
      <c r="PJS1688" s="2730"/>
      <c r="PJT1688" s="2730"/>
      <c r="PJU1688" s="2730"/>
      <c r="PJV1688" s="2730"/>
      <c r="PJW1688" s="2730"/>
      <c r="PJX1688" s="2730"/>
      <c r="PJY1688" s="2730"/>
      <c r="PJZ1688" s="2730"/>
      <c r="PKA1688" s="2730"/>
      <c r="PKB1688" s="2730"/>
      <c r="PKC1688" s="2730"/>
      <c r="PKD1688" s="2730"/>
      <c r="PKE1688" s="2730"/>
      <c r="PKF1688" s="2730"/>
      <c r="PKG1688" s="2730"/>
      <c r="PKH1688" s="2730"/>
      <c r="PKI1688" s="2730"/>
      <c r="PKJ1688" s="2730"/>
      <c r="PKK1688" s="2730"/>
      <c r="PKL1688" s="2730"/>
      <c r="PKM1688" s="2730"/>
      <c r="PKN1688" s="2730"/>
      <c r="PKO1688" s="2730"/>
      <c r="PKP1688" s="2730"/>
      <c r="PKQ1688" s="2730"/>
      <c r="PKR1688" s="2730"/>
      <c r="PKS1688" s="2730"/>
      <c r="PKT1688" s="2730"/>
      <c r="PKU1688" s="2730"/>
      <c r="PKV1688" s="2730"/>
      <c r="PKW1688" s="2730"/>
      <c r="PKX1688" s="2730"/>
      <c r="PKY1688" s="2730"/>
      <c r="PKZ1688" s="2730"/>
      <c r="PLA1688" s="2730"/>
      <c r="PLB1688" s="2730"/>
      <c r="PLC1688" s="2730"/>
      <c r="PLD1688" s="2730"/>
      <c r="PLE1688" s="2730"/>
      <c r="PLF1688" s="2730"/>
      <c r="PLG1688" s="2730"/>
      <c r="PLH1688" s="2730"/>
      <c r="PLI1688" s="2730"/>
      <c r="PLJ1688" s="2730"/>
      <c r="PLK1688" s="2730"/>
      <c r="PLL1688" s="2730"/>
      <c r="PLM1688" s="2730"/>
      <c r="PLN1688" s="2730"/>
      <c r="PLO1688" s="2730"/>
      <c r="PLP1688" s="2730"/>
      <c r="PLQ1688" s="2730"/>
      <c r="PLR1688" s="2730"/>
      <c r="PLS1688" s="2730"/>
      <c r="PLT1688" s="2730"/>
      <c r="PLU1688" s="2730"/>
      <c r="PLV1688" s="2730"/>
      <c r="PLW1688" s="2730"/>
      <c r="PLX1688" s="2730"/>
      <c r="PLY1688" s="2730"/>
      <c r="PLZ1688" s="2730"/>
      <c r="PMA1688" s="2730"/>
      <c r="PMB1688" s="2730"/>
      <c r="PMC1688" s="2730"/>
      <c r="PMD1688" s="2730"/>
      <c r="PME1688" s="2730"/>
      <c r="PMF1688" s="2730"/>
      <c r="PMG1688" s="2730"/>
      <c r="PMH1688" s="2730"/>
      <c r="PMI1688" s="2730"/>
      <c r="PMJ1688" s="2730"/>
      <c r="PMK1688" s="2730"/>
      <c r="PML1688" s="2730"/>
      <c r="PMM1688" s="2730"/>
      <c r="PMN1688" s="2730"/>
      <c r="PMO1688" s="2730"/>
      <c r="PMP1688" s="2730"/>
      <c r="PMQ1688" s="2730"/>
      <c r="PMR1688" s="2730"/>
      <c r="PMS1688" s="2730"/>
      <c r="PMT1688" s="2730"/>
      <c r="PMU1688" s="2730"/>
      <c r="PMV1688" s="2730"/>
      <c r="PMW1688" s="2730"/>
      <c r="PMX1688" s="2730"/>
      <c r="PMY1688" s="2730"/>
      <c r="PMZ1688" s="2730"/>
      <c r="PNA1688" s="2730"/>
      <c r="PNB1688" s="2730"/>
      <c r="PNC1688" s="2730"/>
      <c r="PND1688" s="2730"/>
      <c r="PNE1688" s="2730"/>
      <c r="PNF1688" s="2730"/>
      <c r="PNG1688" s="2730"/>
      <c r="PNH1688" s="2730"/>
      <c r="PNI1688" s="2730"/>
      <c r="PNJ1688" s="2730"/>
      <c r="PNK1688" s="2730"/>
      <c r="PNL1688" s="2730"/>
      <c r="PNM1688" s="2730"/>
      <c r="PNN1688" s="2730"/>
      <c r="PNO1688" s="2730"/>
      <c r="PNP1688" s="2730"/>
      <c r="PNQ1688" s="2730"/>
      <c r="PNR1688" s="2730"/>
      <c r="PNS1688" s="2730"/>
      <c r="PNT1688" s="2730"/>
      <c r="PNU1688" s="2730"/>
      <c r="PNV1688" s="2730"/>
      <c r="PNW1688" s="2730"/>
      <c r="PNX1688" s="2730"/>
      <c r="PNY1688" s="2730"/>
      <c r="PNZ1688" s="2730"/>
      <c r="POA1688" s="2730"/>
      <c r="POB1688" s="2730"/>
      <c r="POC1688" s="2730"/>
      <c r="POD1688" s="2730"/>
      <c r="POE1688" s="2730"/>
      <c r="POF1688" s="2730"/>
      <c r="POG1688" s="2730"/>
      <c r="POH1688" s="2730"/>
      <c r="POI1688" s="2730"/>
      <c r="POJ1688" s="2730"/>
      <c r="POK1688" s="2730"/>
      <c r="POL1688" s="2730"/>
      <c r="POM1688" s="2730"/>
      <c r="PON1688" s="2730"/>
      <c r="POO1688" s="2730"/>
      <c r="POP1688" s="2730"/>
      <c r="POQ1688" s="2730"/>
      <c r="POR1688" s="2730"/>
      <c r="POS1688" s="2730"/>
      <c r="POT1688" s="2730"/>
      <c r="POU1688" s="2730"/>
      <c r="POV1688" s="2730"/>
      <c r="POW1688" s="2730"/>
      <c r="POX1688" s="2730"/>
      <c r="POY1688" s="2730"/>
      <c r="POZ1688" s="2730"/>
      <c r="PPA1688" s="2730"/>
      <c r="PPB1688" s="2730"/>
      <c r="PPC1688" s="2730"/>
      <c r="PPD1688" s="2730"/>
      <c r="PPE1688" s="2730"/>
      <c r="PPF1688" s="2730"/>
      <c r="PPG1688" s="2730"/>
      <c r="PPH1688" s="2730"/>
      <c r="PPI1688" s="2730"/>
      <c r="PPJ1688" s="2730"/>
      <c r="PPK1688" s="2730"/>
      <c r="PPL1688" s="2730"/>
      <c r="PPM1688" s="2730"/>
      <c r="PPN1688" s="2730"/>
      <c r="PPO1688" s="2730"/>
      <c r="PPP1688" s="2730"/>
      <c r="PPQ1688" s="2730"/>
      <c r="PPR1688" s="2730"/>
      <c r="PPS1688" s="2730"/>
      <c r="PPT1688" s="2730"/>
      <c r="PPU1688" s="2730"/>
      <c r="PPV1688" s="2730"/>
      <c r="PPW1688" s="2730"/>
      <c r="PPX1688" s="2730"/>
      <c r="PPY1688" s="2730"/>
      <c r="PPZ1688" s="2730"/>
      <c r="PQA1688" s="2730"/>
      <c r="PQB1688" s="2730"/>
      <c r="PQC1688" s="2730"/>
      <c r="PQD1688" s="2730"/>
      <c r="PQE1688" s="2730"/>
      <c r="PQF1688" s="2730"/>
      <c r="PQG1688" s="2730"/>
      <c r="PQH1688" s="2730"/>
      <c r="PQI1688" s="2730"/>
      <c r="PQJ1688" s="2730"/>
      <c r="PQK1688" s="2730"/>
      <c r="PQL1688" s="2730"/>
      <c r="PQM1688" s="2730"/>
      <c r="PQN1688" s="2730"/>
      <c r="PQO1688" s="2730"/>
      <c r="PQP1688" s="2730"/>
      <c r="PQQ1688" s="2730"/>
      <c r="PQR1688" s="2730"/>
      <c r="PQS1688" s="2730"/>
      <c r="PQT1688" s="2730"/>
      <c r="PQU1688" s="2730"/>
      <c r="PQV1688" s="2730"/>
      <c r="PQW1688" s="2730"/>
      <c r="PQX1688" s="2730"/>
      <c r="PQY1688" s="2730"/>
      <c r="PQZ1688" s="2730"/>
      <c r="PRA1688" s="2730"/>
      <c r="PRB1688" s="2730"/>
      <c r="PRC1688" s="2730"/>
      <c r="PRD1688" s="2730"/>
      <c r="PRE1688" s="2730"/>
      <c r="PRF1688" s="2730"/>
      <c r="PRG1688" s="2730"/>
      <c r="PRH1688" s="2730"/>
      <c r="PRI1688" s="2730"/>
      <c r="PRJ1688" s="2730"/>
      <c r="PRK1688" s="2730"/>
      <c r="PRL1688" s="2730"/>
      <c r="PRM1688" s="2730"/>
      <c r="PRN1688" s="2730"/>
      <c r="PRO1688" s="2730"/>
      <c r="PRP1688" s="2730"/>
      <c r="PRQ1688" s="2730"/>
      <c r="PRR1688" s="2730"/>
      <c r="PRS1688" s="2730"/>
      <c r="PRT1688" s="2730"/>
      <c r="PRU1688" s="2730"/>
      <c r="PRV1688" s="2730"/>
      <c r="PRW1688" s="2730"/>
      <c r="PRX1688" s="2730"/>
      <c r="PRY1688" s="2730"/>
      <c r="PRZ1688" s="2730"/>
      <c r="PSA1688" s="2730"/>
      <c r="PSB1688" s="2730"/>
      <c r="PSC1688" s="2730"/>
      <c r="PSD1688" s="2730"/>
      <c r="PSE1688" s="2730"/>
      <c r="PSF1688" s="2730"/>
      <c r="PSG1688" s="2730"/>
      <c r="PSH1688" s="2730"/>
      <c r="PSI1688" s="2730"/>
      <c r="PSJ1688" s="2730"/>
      <c r="PSK1688" s="2730"/>
      <c r="PSL1688" s="2730"/>
      <c r="PSM1688" s="2730"/>
      <c r="PSN1688" s="2730"/>
      <c r="PSO1688" s="2730"/>
      <c r="PSP1688" s="2730"/>
      <c r="PSQ1688" s="2730"/>
      <c r="PSR1688" s="2730"/>
      <c r="PSS1688" s="2730"/>
      <c r="PST1688" s="2730"/>
      <c r="PSU1688" s="2730"/>
      <c r="PSV1688" s="2730"/>
      <c r="PSW1688" s="2730"/>
      <c r="PSX1688" s="2730"/>
      <c r="PSY1688" s="2730"/>
      <c r="PSZ1688" s="2730"/>
      <c r="PTA1688" s="2730"/>
      <c r="PTB1688" s="2730"/>
      <c r="PTC1688" s="2730"/>
      <c r="PTD1688" s="2730"/>
      <c r="PTE1688" s="2730"/>
      <c r="PTF1688" s="2730"/>
      <c r="PTG1688" s="2730"/>
      <c r="PTH1688" s="2730"/>
      <c r="PTI1688" s="2730"/>
      <c r="PTJ1688" s="2730"/>
      <c r="PTK1688" s="2730"/>
      <c r="PTL1688" s="2730"/>
      <c r="PTM1688" s="2730"/>
      <c r="PTN1688" s="2730"/>
      <c r="PTO1688" s="2730"/>
      <c r="PTP1688" s="2730"/>
      <c r="PTQ1688" s="2730"/>
      <c r="PTR1688" s="2730"/>
      <c r="PTS1688" s="2730"/>
      <c r="PTT1688" s="2730"/>
      <c r="PTU1688" s="2730"/>
      <c r="PTV1688" s="2730"/>
      <c r="PTW1688" s="2730"/>
      <c r="PTX1688" s="2730"/>
      <c r="PTY1688" s="2730"/>
      <c r="PTZ1688" s="2730"/>
      <c r="PUA1688" s="2730"/>
      <c r="PUB1688" s="2730"/>
      <c r="PUC1688" s="2730"/>
      <c r="PUD1688" s="2730"/>
      <c r="PUE1688" s="2730"/>
      <c r="PUF1688" s="2730"/>
      <c r="PUG1688" s="2730"/>
      <c r="PUH1688" s="2730"/>
      <c r="PUI1688" s="2730"/>
      <c r="PUJ1688" s="2730"/>
      <c r="PUK1688" s="2730"/>
      <c r="PUL1688" s="2730"/>
      <c r="PUM1688" s="2730"/>
      <c r="PUN1688" s="2730"/>
      <c r="PUO1688" s="2730"/>
      <c r="PUP1688" s="2730"/>
      <c r="PUQ1688" s="2730"/>
      <c r="PUR1688" s="2730"/>
      <c r="PUS1688" s="2730"/>
      <c r="PUT1688" s="2730"/>
      <c r="PUU1688" s="2730"/>
      <c r="PUV1688" s="2730"/>
      <c r="PUW1688" s="2730"/>
      <c r="PUX1688" s="2730"/>
      <c r="PUY1688" s="2730"/>
      <c r="PUZ1688" s="2730"/>
      <c r="PVA1688" s="2730"/>
      <c r="PVB1688" s="2730"/>
      <c r="PVC1688" s="2730"/>
      <c r="PVD1688" s="2730"/>
      <c r="PVE1688" s="2730"/>
      <c r="PVF1688" s="2730"/>
      <c r="PVG1688" s="2730"/>
      <c r="PVH1688" s="2730"/>
      <c r="PVI1688" s="2730"/>
      <c r="PVJ1688" s="2730"/>
      <c r="PVK1688" s="2730"/>
      <c r="PVL1688" s="2730"/>
      <c r="PVM1688" s="2730"/>
      <c r="PVN1688" s="2730"/>
      <c r="PVO1688" s="2730"/>
      <c r="PVP1688" s="2730"/>
      <c r="PVQ1688" s="2730"/>
      <c r="PVR1688" s="2730"/>
      <c r="PVS1688" s="2730"/>
      <c r="PVT1688" s="2730"/>
      <c r="PVU1688" s="2730"/>
      <c r="PVV1688" s="2730"/>
      <c r="PVW1688" s="2730"/>
      <c r="PVX1688" s="2730"/>
      <c r="PVY1688" s="2730"/>
      <c r="PVZ1688" s="2730"/>
      <c r="PWA1688" s="2730"/>
      <c r="PWB1688" s="2730"/>
      <c r="PWC1688" s="2730"/>
      <c r="PWD1688" s="2730"/>
      <c r="PWE1688" s="2730"/>
      <c r="PWF1688" s="2730"/>
      <c r="PWG1688" s="2730"/>
      <c r="PWH1688" s="2730"/>
      <c r="PWI1688" s="2730"/>
      <c r="PWJ1688" s="2730"/>
      <c r="PWK1688" s="2730"/>
      <c r="PWL1688" s="2730"/>
      <c r="PWM1688" s="2730"/>
      <c r="PWN1688" s="2730"/>
      <c r="PWO1688" s="2730"/>
      <c r="PWP1688" s="2730"/>
      <c r="PWQ1688" s="2730"/>
      <c r="PWR1688" s="2730"/>
      <c r="PWS1688" s="2730"/>
      <c r="PWT1688" s="2730"/>
      <c r="PWU1688" s="2730"/>
      <c r="PWV1688" s="2730"/>
      <c r="PWW1688" s="2730"/>
      <c r="PWX1688" s="2730"/>
      <c r="PWY1688" s="2730"/>
      <c r="PWZ1688" s="2730"/>
      <c r="PXA1688" s="2730"/>
      <c r="PXB1688" s="2730"/>
      <c r="PXC1688" s="2730"/>
      <c r="PXD1688" s="2730"/>
      <c r="PXE1688" s="2730"/>
      <c r="PXF1688" s="2730"/>
      <c r="PXG1688" s="2730"/>
      <c r="PXH1688" s="2730"/>
      <c r="PXI1688" s="2730"/>
      <c r="PXJ1688" s="2730"/>
      <c r="PXK1688" s="2730"/>
      <c r="PXL1688" s="2730"/>
      <c r="PXM1688" s="2730"/>
      <c r="PXN1688" s="2730"/>
      <c r="PXO1688" s="2730"/>
      <c r="PXP1688" s="2730"/>
      <c r="PXQ1688" s="2730"/>
      <c r="PXR1688" s="2730"/>
      <c r="PXS1688" s="2730"/>
      <c r="PXT1688" s="2730"/>
      <c r="PXU1688" s="2730"/>
      <c r="PXV1688" s="2730"/>
      <c r="PXW1688" s="2730"/>
      <c r="PXX1688" s="2730"/>
      <c r="PXY1688" s="2730"/>
      <c r="PXZ1688" s="2730"/>
      <c r="PYA1688" s="2730"/>
      <c r="PYB1688" s="2730"/>
      <c r="PYC1688" s="2730"/>
      <c r="PYD1688" s="2730"/>
      <c r="PYE1688" s="2730"/>
      <c r="PYF1688" s="2730"/>
      <c r="PYG1688" s="2730"/>
      <c r="PYH1688" s="2730"/>
      <c r="PYI1688" s="2730"/>
      <c r="PYJ1688" s="2730"/>
      <c r="PYK1688" s="2730"/>
      <c r="PYL1688" s="2730"/>
      <c r="PYM1688" s="2730"/>
      <c r="PYN1688" s="2730"/>
      <c r="PYO1688" s="2730"/>
      <c r="PYP1688" s="2730"/>
      <c r="PYQ1688" s="2730"/>
      <c r="PYR1688" s="2730"/>
      <c r="PYS1688" s="2730"/>
      <c r="PYT1688" s="2730"/>
      <c r="PYU1688" s="2730"/>
      <c r="PYV1688" s="2730"/>
      <c r="PYW1688" s="2730"/>
      <c r="PYX1688" s="2730"/>
      <c r="PYY1688" s="2730"/>
      <c r="PYZ1688" s="2730"/>
      <c r="PZA1688" s="2730"/>
      <c r="PZB1688" s="2730"/>
      <c r="PZC1688" s="2730"/>
      <c r="PZD1688" s="2730"/>
      <c r="PZE1688" s="2730"/>
      <c r="PZF1688" s="2730"/>
      <c r="PZG1688" s="2730"/>
      <c r="PZH1688" s="2730"/>
      <c r="PZI1688" s="2730"/>
      <c r="PZJ1688" s="2730"/>
      <c r="PZK1688" s="2730"/>
      <c r="PZL1688" s="2730"/>
      <c r="PZM1688" s="2730"/>
      <c r="PZN1688" s="2730"/>
      <c r="PZO1688" s="2730"/>
      <c r="PZP1688" s="2730"/>
      <c r="PZQ1688" s="2730"/>
      <c r="PZR1688" s="2730"/>
      <c r="PZS1688" s="2730"/>
      <c r="PZT1688" s="2730"/>
      <c r="PZU1688" s="2730"/>
      <c r="PZV1688" s="2730"/>
      <c r="PZW1688" s="2730"/>
      <c r="PZX1688" s="2730"/>
      <c r="PZY1688" s="2730"/>
      <c r="PZZ1688" s="2730"/>
      <c r="QAA1688" s="2730"/>
      <c r="QAB1688" s="2730"/>
      <c r="QAC1688" s="2730"/>
      <c r="QAD1688" s="2730"/>
      <c r="QAE1688" s="2730"/>
      <c r="QAF1688" s="2730"/>
      <c r="QAG1688" s="2730"/>
      <c r="QAH1688" s="2730"/>
      <c r="QAI1688" s="2730"/>
      <c r="QAJ1688" s="2730"/>
      <c r="QAK1688" s="2730"/>
      <c r="QAL1688" s="2730"/>
      <c r="QAM1688" s="2730"/>
      <c r="QAN1688" s="2730"/>
      <c r="QAO1688" s="2730"/>
      <c r="QAP1688" s="2730"/>
      <c r="QAQ1688" s="2730"/>
      <c r="QAR1688" s="2730"/>
      <c r="QAS1688" s="2730"/>
      <c r="QAT1688" s="2730"/>
      <c r="QAU1688" s="2730"/>
      <c r="QAV1688" s="2730"/>
      <c r="QAW1688" s="2730"/>
      <c r="QAX1688" s="2730"/>
      <c r="QAY1688" s="2730"/>
      <c r="QAZ1688" s="2730"/>
      <c r="QBA1688" s="2730"/>
      <c r="QBB1688" s="2730"/>
      <c r="QBC1688" s="2730"/>
      <c r="QBD1688" s="2730"/>
      <c r="QBE1688" s="2730"/>
      <c r="QBF1688" s="2730"/>
      <c r="QBG1688" s="2730"/>
      <c r="QBH1688" s="2730"/>
      <c r="QBI1688" s="2730"/>
      <c r="QBJ1688" s="2730"/>
      <c r="QBK1688" s="2730"/>
      <c r="QBL1688" s="2730"/>
      <c r="QBM1688" s="2730"/>
      <c r="QBN1688" s="2730"/>
      <c r="QBO1688" s="2730"/>
      <c r="QBP1688" s="2730"/>
      <c r="QBQ1688" s="2730"/>
      <c r="QBR1688" s="2730"/>
      <c r="QBS1688" s="2730"/>
      <c r="QBT1688" s="2730"/>
      <c r="QBU1688" s="2730"/>
      <c r="QBV1688" s="2730"/>
      <c r="QBW1688" s="2730"/>
      <c r="QBX1688" s="2730"/>
      <c r="QBY1688" s="2730"/>
      <c r="QBZ1688" s="2730"/>
      <c r="QCA1688" s="2730"/>
      <c r="QCB1688" s="2730"/>
      <c r="QCC1688" s="2730"/>
      <c r="QCD1688" s="2730"/>
      <c r="QCE1688" s="2730"/>
      <c r="QCF1688" s="2730"/>
      <c r="QCG1688" s="2730"/>
      <c r="QCH1688" s="2730"/>
      <c r="QCI1688" s="2730"/>
      <c r="QCJ1688" s="2730"/>
      <c r="QCK1688" s="2730"/>
      <c r="QCL1688" s="2730"/>
      <c r="QCM1688" s="2730"/>
      <c r="QCN1688" s="2730"/>
      <c r="QCO1688" s="2730"/>
      <c r="QCP1688" s="2730"/>
      <c r="QCQ1688" s="2730"/>
      <c r="QCR1688" s="2730"/>
      <c r="QCS1688" s="2730"/>
      <c r="QCT1688" s="2730"/>
      <c r="QCU1688" s="2730"/>
      <c r="QCV1688" s="2730"/>
      <c r="QCW1688" s="2730"/>
      <c r="QCX1688" s="2730"/>
      <c r="QCY1688" s="2730"/>
      <c r="QCZ1688" s="2730"/>
      <c r="QDA1688" s="2730"/>
      <c r="QDB1688" s="2730"/>
      <c r="QDC1688" s="2730"/>
      <c r="QDD1688" s="2730"/>
      <c r="QDE1688" s="2730"/>
      <c r="QDF1688" s="2730"/>
      <c r="QDG1688" s="2730"/>
      <c r="QDH1688" s="2730"/>
      <c r="QDI1688" s="2730"/>
      <c r="QDJ1688" s="2730"/>
      <c r="QDK1688" s="2730"/>
      <c r="QDL1688" s="2730"/>
      <c r="QDM1688" s="2730"/>
      <c r="QDN1688" s="2730"/>
      <c r="QDO1688" s="2730"/>
      <c r="QDP1688" s="2730"/>
      <c r="QDQ1688" s="2730"/>
      <c r="QDR1688" s="2730"/>
      <c r="QDS1688" s="2730"/>
      <c r="QDT1688" s="2730"/>
      <c r="QDU1688" s="2730"/>
      <c r="QDV1688" s="2730"/>
      <c r="QDW1688" s="2730"/>
      <c r="QDX1688" s="2730"/>
      <c r="QDY1688" s="2730"/>
      <c r="QDZ1688" s="2730"/>
      <c r="QEA1688" s="2730"/>
      <c r="QEB1688" s="2730"/>
      <c r="QEC1688" s="2730"/>
      <c r="QED1688" s="2730"/>
      <c r="QEE1688" s="2730"/>
      <c r="QEF1688" s="2730"/>
      <c r="QEG1688" s="2730"/>
      <c r="QEH1688" s="2730"/>
      <c r="QEI1688" s="2730"/>
      <c r="QEJ1688" s="2730"/>
      <c r="QEK1688" s="2730"/>
      <c r="QEL1688" s="2730"/>
      <c r="QEM1688" s="2730"/>
      <c r="QEN1688" s="2730"/>
      <c r="QEO1688" s="2730"/>
      <c r="QEP1688" s="2730"/>
      <c r="QEQ1688" s="2730"/>
      <c r="QER1688" s="2730"/>
      <c r="QES1688" s="2730"/>
      <c r="QET1688" s="2730"/>
      <c r="QEU1688" s="2730"/>
      <c r="QEV1688" s="2730"/>
      <c r="QEW1688" s="2730"/>
      <c r="QEX1688" s="2730"/>
      <c r="QEY1688" s="2730"/>
      <c r="QEZ1688" s="2730"/>
      <c r="QFA1688" s="2730"/>
      <c r="QFB1688" s="2730"/>
      <c r="QFC1688" s="2730"/>
      <c r="QFD1688" s="2730"/>
      <c r="QFE1688" s="2730"/>
      <c r="QFF1688" s="2730"/>
      <c r="QFG1688" s="2730"/>
      <c r="QFH1688" s="2730"/>
      <c r="QFI1688" s="2730"/>
      <c r="QFJ1688" s="2730"/>
      <c r="QFK1688" s="2730"/>
      <c r="QFL1688" s="2730"/>
      <c r="QFM1688" s="2730"/>
      <c r="QFN1688" s="2730"/>
      <c r="QFO1688" s="2730"/>
      <c r="QFP1688" s="2730"/>
      <c r="QFQ1688" s="2730"/>
      <c r="QFR1688" s="2730"/>
      <c r="QFS1688" s="2730"/>
      <c r="QFT1688" s="2730"/>
      <c r="QFU1688" s="2730"/>
      <c r="QFV1688" s="2730"/>
      <c r="QFW1688" s="2730"/>
      <c r="QFX1688" s="2730"/>
      <c r="QFY1688" s="2730"/>
      <c r="QFZ1688" s="2730"/>
      <c r="QGA1688" s="2730"/>
      <c r="QGB1688" s="2730"/>
      <c r="QGC1688" s="2730"/>
      <c r="QGD1688" s="2730"/>
      <c r="QGE1688" s="2730"/>
      <c r="QGF1688" s="2730"/>
      <c r="QGG1688" s="2730"/>
      <c r="QGH1688" s="2730"/>
      <c r="QGI1688" s="2730"/>
      <c r="QGJ1688" s="2730"/>
      <c r="QGK1688" s="2730"/>
      <c r="QGL1688" s="2730"/>
      <c r="QGM1688" s="2730"/>
      <c r="QGN1688" s="2730"/>
      <c r="QGO1688" s="2730"/>
      <c r="QGP1688" s="2730"/>
      <c r="QGQ1688" s="2730"/>
      <c r="QGR1688" s="2730"/>
      <c r="QGS1688" s="2730"/>
      <c r="QGT1688" s="2730"/>
      <c r="QGU1688" s="2730"/>
      <c r="QGV1688" s="2730"/>
      <c r="QGW1688" s="2730"/>
      <c r="QGX1688" s="2730"/>
      <c r="QGY1688" s="2730"/>
      <c r="QGZ1688" s="2730"/>
      <c r="QHA1688" s="2730"/>
      <c r="QHB1688" s="2730"/>
      <c r="QHC1688" s="2730"/>
      <c r="QHD1688" s="2730"/>
      <c r="QHE1688" s="2730"/>
      <c r="QHF1688" s="2730"/>
      <c r="QHG1688" s="2730"/>
      <c r="QHH1688" s="2730"/>
      <c r="QHI1688" s="2730"/>
      <c r="QHJ1688" s="2730"/>
      <c r="QHK1688" s="2730"/>
      <c r="QHL1688" s="2730"/>
      <c r="QHM1688" s="2730"/>
      <c r="QHN1688" s="2730"/>
      <c r="QHO1688" s="2730"/>
      <c r="QHP1688" s="2730"/>
      <c r="QHQ1688" s="2730"/>
      <c r="QHR1688" s="2730"/>
      <c r="QHS1688" s="2730"/>
      <c r="QHT1688" s="2730"/>
      <c r="QHU1688" s="2730"/>
      <c r="QHV1688" s="2730"/>
      <c r="QHW1688" s="2730"/>
      <c r="QHX1688" s="2730"/>
      <c r="QHY1688" s="2730"/>
      <c r="QHZ1688" s="2730"/>
      <c r="QIA1688" s="2730"/>
      <c r="QIB1688" s="2730"/>
      <c r="QIC1688" s="2730"/>
      <c r="QID1688" s="2730"/>
      <c r="QIE1688" s="2730"/>
      <c r="QIF1688" s="2730"/>
      <c r="QIG1688" s="2730"/>
      <c r="QIH1688" s="2730"/>
      <c r="QII1688" s="2730"/>
      <c r="QIJ1688" s="2730"/>
      <c r="QIK1688" s="2730"/>
      <c r="QIL1688" s="2730"/>
      <c r="QIM1688" s="2730"/>
      <c r="QIN1688" s="2730"/>
      <c r="QIO1688" s="2730"/>
      <c r="QIP1688" s="2730"/>
      <c r="QIQ1688" s="2730"/>
      <c r="QIR1688" s="2730"/>
      <c r="QIS1688" s="2730"/>
      <c r="QIT1688" s="2730"/>
      <c r="QIU1688" s="2730"/>
      <c r="QIV1688" s="2730"/>
      <c r="QIW1688" s="2730"/>
      <c r="QIX1688" s="2730"/>
      <c r="QIY1688" s="2730"/>
      <c r="QIZ1688" s="2730"/>
      <c r="QJA1688" s="2730"/>
      <c r="QJB1688" s="2730"/>
      <c r="QJC1688" s="2730"/>
      <c r="QJD1688" s="2730"/>
      <c r="QJE1688" s="2730"/>
      <c r="QJF1688" s="2730"/>
      <c r="QJG1688" s="2730"/>
      <c r="QJH1688" s="2730"/>
      <c r="QJI1688" s="2730"/>
      <c r="QJJ1688" s="2730"/>
      <c r="QJK1688" s="2730"/>
      <c r="QJL1688" s="2730"/>
      <c r="QJM1688" s="2730"/>
      <c r="QJN1688" s="2730"/>
      <c r="QJO1688" s="2730"/>
      <c r="QJP1688" s="2730"/>
      <c r="QJQ1688" s="2730"/>
      <c r="QJR1688" s="2730"/>
      <c r="QJS1688" s="2730"/>
      <c r="QJT1688" s="2730"/>
      <c r="QJU1688" s="2730"/>
      <c r="QJV1688" s="2730"/>
      <c r="QJW1688" s="2730"/>
      <c r="QJX1688" s="2730"/>
      <c r="QJY1688" s="2730"/>
      <c r="QJZ1688" s="2730"/>
      <c r="QKA1688" s="2730"/>
      <c r="QKB1688" s="2730"/>
      <c r="QKC1688" s="2730"/>
      <c r="QKD1688" s="2730"/>
      <c r="QKE1688" s="2730"/>
      <c r="QKF1688" s="2730"/>
      <c r="QKG1688" s="2730"/>
      <c r="QKH1688" s="2730"/>
      <c r="QKI1688" s="2730"/>
      <c r="QKJ1688" s="2730"/>
      <c r="QKK1688" s="2730"/>
      <c r="QKL1688" s="2730"/>
      <c r="QKM1688" s="2730"/>
      <c r="QKN1688" s="2730"/>
      <c r="QKO1688" s="2730"/>
      <c r="QKP1688" s="2730"/>
      <c r="QKQ1688" s="2730"/>
      <c r="QKR1688" s="2730"/>
      <c r="QKS1688" s="2730"/>
      <c r="QKT1688" s="2730"/>
      <c r="QKU1688" s="2730"/>
      <c r="QKV1688" s="2730"/>
      <c r="QKW1688" s="2730"/>
      <c r="QKX1688" s="2730"/>
      <c r="QKY1688" s="2730"/>
      <c r="QKZ1688" s="2730"/>
      <c r="QLA1688" s="2730"/>
      <c r="QLB1688" s="2730"/>
      <c r="QLC1688" s="2730"/>
      <c r="QLD1688" s="2730"/>
      <c r="QLE1688" s="2730"/>
      <c r="QLF1688" s="2730"/>
      <c r="QLG1688" s="2730"/>
      <c r="QLH1688" s="2730"/>
      <c r="QLI1688" s="2730"/>
      <c r="QLJ1688" s="2730"/>
      <c r="QLK1688" s="2730"/>
      <c r="QLL1688" s="2730"/>
      <c r="QLM1688" s="2730"/>
      <c r="QLN1688" s="2730"/>
      <c r="QLO1688" s="2730"/>
      <c r="QLP1688" s="2730"/>
      <c r="QLQ1688" s="2730"/>
      <c r="QLR1688" s="2730"/>
      <c r="QLS1688" s="2730"/>
      <c r="QLT1688" s="2730"/>
      <c r="QLU1688" s="2730"/>
      <c r="QLV1688" s="2730"/>
      <c r="QLW1688" s="2730"/>
      <c r="QLX1688" s="2730"/>
      <c r="QLY1688" s="2730"/>
      <c r="QLZ1688" s="2730"/>
      <c r="QMA1688" s="2730"/>
      <c r="QMB1688" s="2730"/>
      <c r="QMC1688" s="2730"/>
      <c r="QMD1688" s="2730"/>
      <c r="QME1688" s="2730"/>
      <c r="QMF1688" s="2730"/>
      <c r="QMG1688" s="2730"/>
      <c r="QMH1688" s="2730"/>
      <c r="QMI1688" s="2730"/>
      <c r="QMJ1688" s="2730"/>
      <c r="QMK1688" s="2730"/>
      <c r="QML1688" s="2730"/>
      <c r="QMM1688" s="2730"/>
      <c r="QMN1688" s="2730"/>
      <c r="QMO1688" s="2730"/>
      <c r="QMP1688" s="2730"/>
      <c r="QMQ1688" s="2730"/>
      <c r="QMR1688" s="2730"/>
      <c r="QMS1688" s="2730"/>
      <c r="QMT1688" s="2730"/>
      <c r="QMU1688" s="2730"/>
      <c r="QMV1688" s="2730"/>
      <c r="QMW1688" s="2730"/>
      <c r="QMX1688" s="2730"/>
      <c r="QMY1688" s="2730"/>
      <c r="QMZ1688" s="2730"/>
      <c r="QNA1688" s="2730"/>
      <c r="QNB1688" s="2730"/>
      <c r="QNC1688" s="2730"/>
      <c r="QND1688" s="2730"/>
      <c r="QNE1688" s="2730"/>
      <c r="QNF1688" s="2730"/>
      <c r="QNG1688" s="2730"/>
      <c r="QNH1688" s="2730"/>
      <c r="QNI1688" s="2730"/>
      <c r="QNJ1688" s="2730"/>
      <c r="QNK1688" s="2730"/>
      <c r="QNL1688" s="2730"/>
      <c r="QNM1688" s="2730"/>
      <c r="QNN1688" s="2730"/>
      <c r="QNO1688" s="2730"/>
      <c r="QNP1688" s="2730"/>
      <c r="QNQ1688" s="2730"/>
      <c r="QNR1688" s="2730"/>
      <c r="QNS1688" s="2730"/>
      <c r="QNT1688" s="2730"/>
      <c r="QNU1688" s="2730"/>
      <c r="QNV1688" s="2730"/>
      <c r="QNW1688" s="2730"/>
      <c r="QNX1688" s="2730"/>
      <c r="QNY1688" s="2730"/>
      <c r="QNZ1688" s="2730"/>
      <c r="QOA1688" s="2730"/>
      <c r="QOB1688" s="2730"/>
      <c r="QOC1688" s="2730"/>
      <c r="QOD1688" s="2730"/>
      <c r="QOE1688" s="2730"/>
      <c r="QOF1688" s="2730"/>
      <c r="QOG1688" s="2730"/>
      <c r="QOH1688" s="2730"/>
      <c r="QOI1688" s="2730"/>
      <c r="QOJ1688" s="2730"/>
      <c r="QOK1688" s="2730"/>
      <c r="QOL1688" s="2730"/>
      <c r="QOM1688" s="2730"/>
      <c r="QON1688" s="2730"/>
      <c r="QOO1688" s="2730"/>
      <c r="QOP1688" s="2730"/>
      <c r="QOQ1688" s="2730"/>
      <c r="QOR1688" s="2730"/>
      <c r="QOS1688" s="2730"/>
      <c r="QOT1688" s="2730"/>
      <c r="QOU1688" s="2730"/>
      <c r="QOV1688" s="2730"/>
      <c r="QOW1688" s="2730"/>
      <c r="QOX1688" s="2730"/>
      <c r="QOY1688" s="2730"/>
      <c r="QOZ1688" s="2730"/>
      <c r="QPA1688" s="2730"/>
      <c r="QPB1688" s="2730"/>
      <c r="QPC1688" s="2730"/>
      <c r="QPD1688" s="2730"/>
      <c r="QPE1688" s="2730"/>
      <c r="QPF1688" s="2730"/>
      <c r="QPG1688" s="2730"/>
      <c r="QPH1688" s="2730"/>
      <c r="QPI1688" s="2730"/>
      <c r="QPJ1688" s="2730"/>
      <c r="QPK1688" s="2730"/>
      <c r="QPL1688" s="2730"/>
      <c r="QPM1688" s="2730"/>
      <c r="QPN1688" s="2730"/>
      <c r="QPO1688" s="2730"/>
      <c r="QPP1688" s="2730"/>
      <c r="QPQ1688" s="2730"/>
      <c r="QPR1688" s="2730"/>
      <c r="QPS1688" s="2730"/>
      <c r="QPT1688" s="2730"/>
      <c r="QPU1688" s="2730"/>
      <c r="QPV1688" s="2730"/>
      <c r="QPW1688" s="2730"/>
      <c r="QPX1688" s="2730"/>
      <c r="QPY1688" s="2730"/>
      <c r="QPZ1688" s="2730"/>
      <c r="QQA1688" s="2730"/>
      <c r="QQB1688" s="2730"/>
      <c r="QQC1688" s="2730"/>
      <c r="QQD1688" s="2730"/>
      <c r="QQE1688" s="2730"/>
      <c r="QQF1688" s="2730"/>
      <c r="QQG1688" s="2730"/>
      <c r="QQH1688" s="2730"/>
      <c r="QQI1688" s="2730"/>
      <c r="QQJ1688" s="2730"/>
      <c r="QQK1688" s="2730"/>
      <c r="QQL1688" s="2730"/>
      <c r="QQM1688" s="2730"/>
      <c r="QQN1688" s="2730"/>
      <c r="QQO1688" s="2730"/>
      <c r="QQP1688" s="2730"/>
      <c r="QQQ1688" s="2730"/>
      <c r="QQR1688" s="2730"/>
      <c r="QQS1688" s="2730"/>
      <c r="QQT1688" s="2730"/>
      <c r="QQU1688" s="2730"/>
      <c r="QQV1688" s="2730"/>
      <c r="QQW1688" s="2730"/>
      <c r="QQX1688" s="2730"/>
      <c r="QQY1688" s="2730"/>
      <c r="QQZ1688" s="2730"/>
      <c r="QRA1688" s="2730"/>
      <c r="QRB1688" s="2730"/>
      <c r="QRC1688" s="2730"/>
      <c r="QRD1688" s="2730"/>
      <c r="QRE1688" s="2730"/>
      <c r="QRF1688" s="2730"/>
      <c r="QRG1688" s="2730"/>
      <c r="QRH1688" s="2730"/>
      <c r="QRI1688" s="2730"/>
      <c r="QRJ1688" s="2730"/>
      <c r="QRK1688" s="2730"/>
      <c r="QRL1688" s="2730"/>
      <c r="QRM1688" s="2730"/>
      <c r="QRN1688" s="2730"/>
      <c r="QRO1688" s="2730"/>
      <c r="QRP1688" s="2730"/>
      <c r="QRQ1688" s="2730"/>
      <c r="QRR1688" s="2730"/>
      <c r="QRS1688" s="2730"/>
      <c r="QRT1688" s="2730"/>
      <c r="QRU1688" s="2730"/>
      <c r="QRV1688" s="2730"/>
      <c r="QRW1688" s="2730"/>
      <c r="QRX1688" s="2730"/>
      <c r="QRY1688" s="2730"/>
      <c r="QRZ1688" s="2730"/>
      <c r="QSA1688" s="2730"/>
      <c r="QSB1688" s="2730"/>
      <c r="QSC1688" s="2730"/>
      <c r="QSD1688" s="2730"/>
      <c r="QSE1688" s="2730"/>
      <c r="QSF1688" s="2730"/>
      <c r="QSG1688" s="2730"/>
      <c r="QSH1688" s="2730"/>
      <c r="QSI1688" s="2730"/>
      <c r="QSJ1688" s="2730"/>
      <c r="QSK1688" s="2730"/>
      <c r="QSL1688" s="2730"/>
      <c r="QSM1688" s="2730"/>
      <c r="QSN1688" s="2730"/>
      <c r="QSO1688" s="2730"/>
      <c r="QSP1688" s="2730"/>
      <c r="QSQ1688" s="2730"/>
      <c r="QSR1688" s="2730"/>
      <c r="QSS1688" s="2730"/>
      <c r="QST1688" s="2730"/>
      <c r="QSU1688" s="2730"/>
      <c r="QSV1688" s="2730"/>
      <c r="QSW1688" s="2730"/>
      <c r="QSX1688" s="2730"/>
      <c r="QSY1688" s="2730"/>
      <c r="QSZ1688" s="2730"/>
      <c r="QTA1688" s="2730"/>
      <c r="QTB1688" s="2730"/>
      <c r="QTC1688" s="2730"/>
      <c r="QTD1688" s="2730"/>
      <c r="QTE1688" s="2730"/>
      <c r="QTF1688" s="2730"/>
      <c r="QTG1688" s="2730"/>
      <c r="QTH1688" s="2730"/>
      <c r="QTI1688" s="2730"/>
      <c r="QTJ1688" s="2730"/>
      <c r="QTK1688" s="2730"/>
      <c r="QTL1688" s="2730"/>
      <c r="QTM1688" s="2730"/>
      <c r="QTN1688" s="2730"/>
      <c r="QTO1688" s="2730"/>
      <c r="QTP1688" s="2730"/>
      <c r="QTQ1688" s="2730"/>
      <c r="QTR1688" s="2730"/>
      <c r="QTS1688" s="2730"/>
      <c r="QTT1688" s="2730"/>
      <c r="QTU1688" s="2730"/>
      <c r="QTV1688" s="2730"/>
      <c r="QTW1688" s="2730"/>
      <c r="QTX1688" s="2730"/>
      <c r="QTY1688" s="2730"/>
      <c r="QTZ1688" s="2730"/>
      <c r="QUA1688" s="2730"/>
      <c r="QUB1688" s="2730"/>
      <c r="QUC1688" s="2730"/>
      <c r="QUD1688" s="2730"/>
      <c r="QUE1688" s="2730"/>
      <c r="QUF1688" s="2730"/>
      <c r="QUG1688" s="2730"/>
      <c r="QUH1688" s="2730"/>
      <c r="QUI1688" s="2730"/>
      <c r="QUJ1688" s="2730"/>
      <c r="QUK1688" s="2730"/>
      <c r="QUL1688" s="2730"/>
      <c r="QUM1688" s="2730"/>
      <c r="QUN1688" s="2730"/>
      <c r="QUO1688" s="2730"/>
      <c r="QUP1688" s="2730"/>
      <c r="QUQ1688" s="2730"/>
      <c r="QUR1688" s="2730"/>
      <c r="QUS1688" s="2730"/>
      <c r="QUT1688" s="2730"/>
      <c r="QUU1688" s="2730"/>
      <c r="QUV1688" s="2730"/>
      <c r="QUW1688" s="2730"/>
      <c r="QUX1688" s="2730"/>
      <c r="QUY1688" s="2730"/>
      <c r="QUZ1688" s="2730"/>
      <c r="QVA1688" s="2730"/>
      <c r="QVB1688" s="2730"/>
      <c r="QVC1688" s="2730"/>
      <c r="QVD1688" s="2730"/>
      <c r="QVE1688" s="2730"/>
      <c r="QVF1688" s="2730"/>
      <c r="QVG1688" s="2730"/>
      <c r="QVH1688" s="2730"/>
      <c r="QVI1688" s="2730"/>
      <c r="QVJ1688" s="2730"/>
      <c r="QVK1688" s="2730"/>
      <c r="QVL1688" s="2730"/>
      <c r="QVM1688" s="2730"/>
      <c r="QVN1688" s="2730"/>
      <c r="QVO1688" s="2730"/>
      <c r="QVP1688" s="2730"/>
      <c r="QVQ1688" s="2730"/>
      <c r="QVR1688" s="2730"/>
      <c r="QVS1688" s="2730"/>
      <c r="QVT1688" s="2730"/>
      <c r="QVU1688" s="2730"/>
      <c r="QVV1688" s="2730"/>
      <c r="QVW1688" s="2730"/>
      <c r="QVX1688" s="2730"/>
      <c r="QVY1688" s="2730"/>
      <c r="QVZ1688" s="2730"/>
      <c r="QWA1688" s="2730"/>
      <c r="QWB1688" s="2730"/>
      <c r="QWC1688" s="2730"/>
      <c r="QWD1688" s="2730"/>
      <c r="QWE1688" s="2730"/>
      <c r="QWF1688" s="2730"/>
      <c r="QWG1688" s="2730"/>
      <c r="QWH1688" s="2730"/>
      <c r="QWI1688" s="2730"/>
      <c r="QWJ1688" s="2730"/>
      <c r="QWK1688" s="2730"/>
      <c r="QWL1688" s="2730"/>
      <c r="QWM1688" s="2730"/>
      <c r="QWN1688" s="2730"/>
      <c r="QWO1688" s="2730"/>
      <c r="QWP1688" s="2730"/>
      <c r="QWQ1688" s="2730"/>
      <c r="QWR1688" s="2730"/>
      <c r="QWS1688" s="2730"/>
      <c r="QWT1688" s="2730"/>
      <c r="QWU1688" s="2730"/>
      <c r="QWV1688" s="2730"/>
      <c r="QWW1688" s="2730"/>
      <c r="QWX1688" s="2730"/>
      <c r="QWY1688" s="2730"/>
      <c r="QWZ1688" s="2730"/>
      <c r="QXA1688" s="2730"/>
      <c r="QXB1688" s="2730"/>
      <c r="QXC1688" s="2730"/>
      <c r="QXD1688" s="2730"/>
      <c r="QXE1688" s="2730"/>
      <c r="QXF1688" s="2730"/>
      <c r="QXG1688" s="2730"/>
      <c r="QXH1688" s="2730"/>
      <c r="QXI1688" s="2730"/>
      <c r="QXJ1688" s="2730"/>
      <c r="QXK1688" s="2730"/>
      <c r="QXL1688" s="2730"/>
      <c r="QXM1688" s="2730"/>
      <c r="QXN1688" s="2730"/>
      <c r="QXO1688" s="2730"/>
      <c r="QXP1688" s="2730"/>
      <c r="QXQ1688" s="2730"/>
      <c r="QXR1688" s="2730"/>
      <c r="QXS1688" s="2730"/>
      <c r="QXT1688" s="2730"/>
      <c r="QXU1688" s="2730"/>
      <c r="QXV1688" s="2730"/>
      <c r="QXW1688" s="2730"/>
      <c r="QXX1688" s="2730"/>
      <c r="QXY1688" s="2730"/>
      <c r="QXZ1688" s="2730"/>
      <c r="QYA1688" s="2730"/>
      <c r="QYB1688" s="2730"/>
      <c r="QYC1688" s="2730"/>
      <c r="QYD1688" s="2730"/>
      <c r="QYE1688" s="2730"/>
      <c r="QYF1688" s="2730"/>
      <c r="QYG1688" s="2730"/>
      <c r="QYH1688" s="2730"/>
      <c r="QYI1688" s="2730"/>
      <c r="QYJ1688" s="2730"/>
      <c r="QYK1688" s="2730"/>
      <c r="QYL1688" s="2730"/>
      <c r="QYM1688" s="2730"/>
      <c r="QYN1688" s="2730"/>
      <c r="QYO1688" s="2730"/>
      <c r="QYP1688" s="2730"/>
      <c r="QYQ1688" s="2730"/>
      <c r="QYR1688" s="2730"/>
      <c r="QYS1688" s="2730"/>
      <c r="QYT1688" s="2730"/>
      <c r="QYU1688" s="2730"/>
      <c r="QYV1688" s="2730"/>
      <c r="QYW1688" s="2730"/>
      <c r="QYX1688" s="2730"/>
      <c r="QYY1688" s="2730"/>
      <c r="QYZ1688" s="2730"/>
      <c r="QZA1688" s="2730"/>
      <c r="QZB1688" s="2730"/>
      <c r="QZC1688" s="2730"/>
      <c r="QZD1688" s="2730"/>
      <c r="QZE1688" s="2730"/>
      <c r="QZF1688" s="2730"/>
      <c r="QZG1688" s="2730"/>
      <c r="QZH1688" s="2730"/>
      <c r="QZI1688" s="2730"/>
      <c r="QZJ1688" s="2730"/>
      <c r="QZK1688" s="2730"/>
      <c r="QZL1688" s="2730"/>
      <c r="QZM1688" s="2730"/>
      <c r="QZN1688" s="2730"/>
      <c r="QZO1688" s="2730"/>
      <c r="QZP1688" s="2730"/>
      <c r="QZQ1688" s="2730"/>
      <c r="QZR1688" s="2730"/>
      <c r="QZS1688" s="2730"/>
      <c r="QZT1688" s="2730"/>
      <c r="QZU1688" s="2730"/>
      <c r="QZV1688" s="2730"/>
      <c r="QZW1688" s="2730"/>
      <c r="QZX1688" s="2730"/>
      <c r="QZY1688" s="2730"/>
      <c r="QZZ1688" s="2730"/>
      <c r="RAA1688" s="2730"/>
      <c r="RAB1688" s="2730"/>
      <c r="RAC1688" s="2730"/>
      <c r="RAD1688" s="2730"/>
      <c r="RAE1688" s="2730"/>
      <c r="RAF1688" s="2730"/>
      <c r="RAG1688" s="2730"/>
      <c r="RAH1688" s="2730"/>
      <c r="RAI1688" s="2730"/>
      <c r="RAJ1688" s="2730"/>
      <c r="RAK1688" s="2730"/>
      <c r="RAL1688" s="2730"/>
      <c r="RAM1688" s="2730"/>
      <c r="RAN1688" s="2730"/>
      <c r="RAO1688" s="2730"/>
      <c r="RAP1688" s="2730"/>
      <c r="RAQ1688" s="2730"/>
      <c r="RAR1688" s="2730"/>
      <c r="RAS1688" s="2730"/>
      <c r="RAT1688" s="2730"/>
      <c r="RAU1688" s="2730"/>
      <c r="RAV1688" s="2730"/>
      <c r="RAW1688" s="2730"/>
      <c r="RAX1688" s="2730"/>
      <c r="RAY1688" s="2730"/>
      <c r="RAZ1688" s="2730"/>
      <c r="RBA1688" s="2730"/>
      <c r="RBB1688" s="2730"/>
      <c r="RBC1688" s="2730"/>
      <c r="RBD1688" s="2730"/>
      <c r="RBE1688" s="2730"/>
      <c r="RBF1688" s="2730"/>
      <c r="RBG1688" s="2730"/>
      <c r="RBH1688" s="2730"/>
      <c r="RBI1688" s="2730"/>
      <c r="RBJ1688" s="2730"/>
      <c r="RBK1688" s="2730"/>
      <c r="RBL1688" s="2730"/>
      <c r="RBM1688" s="2730"/>
      <c r="RBN1688" s="2730"/>
      <c r="RBO1688" s="2730"/>
      <c r="RBP1688" s="2730"/>
      <c r="RBQ1688" s="2730"/>
      <c r="RBR1688" s="2730"/>
      <c r="RBS1688" s="2730"/>
      <c r="RBT1688" s="2730"/>
      <c r="RBU1688" s="2730"/>
      <c r="RBV1688" s="2730"/>
      <c r="RBW1688" s="2730"/>
      <c r="RBX1688" s="2730"/>
      <c r="RBY1688" s="2730"/>
      <c r="RBZ1688" s="2730"/>
      <c r="RCA1688" s="2730"/>
      <c r="RCB1688" s="2730"/>
      <c r="RCC1688" s="2730"/>
      <c r="RCD1688" s="2730"/>
      <c r="RCE1688" s="2730"/>
      <c r="RCF1688" s="2730"/>
      <c r="RCG1688" s="2730"/>
      <c r="RCH1688" s="2730"/>
      <c r="RCI1688" s="2730"/>
      <c r="RCJ1688" s="2730"/>
      <c r="RCK1688" s="2730"/>
      <c r="RCL1688" s="2730"/>
      <c r="RCM1688" s="2730"/>
      <c r="RCN1688" s="2730"/>
      <c r="RCO1688" s="2730"/>
      <c r="RCP1688" s="2730"/>
      <c r="RCQ1688" s="2730"/>
      <c r="RCR1688" s="2730"/>
      <c r="RCS1688" s="2730"/>
      <c r="RCT1688" s="2730"/>
      <c r="RCU1688" s="2730"/>
      <c r="RCV1688" s="2730"/>
      <c r="RCW1688" s="2730"/>
      <c r="RCX1688" s="2730"/>
      <c r="RCY1688" s="2730"/>
      <c r="RCZ1688" s="2730"/>
      <c r="RDA1688" s="2730"/>
      <c r="RDB1688" s="2730"/>
      <c r="RDC1688" s="2730"/>
      <c r="RDD1688" s="2730"/>
      <c r="RDE1688" s="2730"/>
      <c r="RDF1688" s="2730"/>
      <c r="RDG1688" s="2730"/>
      <c r="RDH1688" s="2730"/>
      <c r="RDI1688" s="2730"/>
      <c r="RDJ1688" s="2730"/>
      <c r="RDK1688" s="2730"/>
      <c r="RDL1688" s="2730"/>
      <c r="RDM1688" s="2730"/>
      <c r="RDN1688" s="2730"/>
      <c r="RDO1688" s="2730"/>
      <c r="RDP1688" s="2730"/>
      <c r="RDQ1688" s="2730"/>
      <c r="RDR1688" s="2730"/>
      <c r="RDS1688" s="2730"/>
      <c r="RDT1688" s="2730"/>
      <c r="RDU1688" s="2730"/>
      <c r="RDV1688" s="2730"/>
      <c r="RDW1688" s="2730"/>
      <c r="RDX1688" s="2730"/>
      <c r="RDY1688" s="2730"/>
      <c r="RDZ1688" s="2730"/>
      <c r="REA1688" s="2730"/>
      <c r="REB1688" s="2730"/>
      <c r="REC1688" s="2730"/>
      <c r="RED1688" s="2730"/>
      <c r="REE1688" s="2730"/>
      <c r="REF1688" s="2730"/>
      <c r="REG1688" s="2730"/>
      <c r="REH1688" s="2730"/>
      <c r="REI1688" s="2730"/>
      <c r="REJ1688" s="2730"/>
      <c r="REK1688" s="2730"/>
      <c r="REL1688" s="2730"/>
      <c r="REM1688" s="2730"/>
      <c r="REN1688" s="2730"/>
      <c r="REO1688" s="2730"/>
      <c r="REP1688" s="2730"/>
      <c r="REQ1688" s="2730"/>
      <c r="RER1688" s="2730"/>
      <c r="RES1688" s="2730"/>
      <c r="RET1688" s="2730"/>
      <c r="REU1688" s="2730"/>
      <c r="REV1688" s="2730"/>
      <c r="REW1688" s="2730"/>
      <c r="REX1688" s="2730"/>
      <c r="REY1688" s="2730"/>
      <c r="REZ1688" s="2730"/>
      <c r="RFA1688" s="2730"/>
      <c r="RFB1688" s="2730"/>
      <c r="RFC1688" s="2730"/>
      <c r="RFD1688" s="2730"/>
      <c r="RFE1688" s="2730"/>
      <c r="RFF1688" s="2730"/>
      <c r="RFG1688" s="2730"/>
      <c r="RFH1688" s="2730"/>
      <c r="RFI1688" s="2730"/>
      <c r="RFJ1688" s="2730"/>
      <c r="RFK1688" s="2730"/>
      <c r="RFL1688" s="2730"/>
      <c r="RFM1688" s="2730"/>
      <c r="RFN1688" s="2730"/>
      <c r="RFO1688" s="2730"/>
      <c r="RFP1688" s="2730"/>
      <c r="RFQ1688" s="2730"/>
      <c r="RFR1688" s="2730"/>
      <c r="RFS1688" s="2730"/>
      <c r="RFT1688" s="2730"/>
      <c r="RFU1688" s="2730"/>
      <c r="RFV1688" s="2730"/>
      <c r="RFW1688" s="2730"/>
      <c r="RFX1688" s="2730"/>
      <c r="RFY1688" s="2730"/>
      <c r="RFZ1688" s="2730"/>
      <c r="RGA1688" s="2730"/>
      <c r="RGB1688" s="2730"/>
      <c r="RGC1688" s="2730"/>
      <c r="RGD1688" s="2730"/>
      <c r="RGE1688" s="2730"/>
      <c r="RGF1688" s="2730"/>
      <c r="RGG1688" s="2730"/>
      <c r="RGH1688" s="2730"/>
      <c r="RGI1688" s="2730"/>
      <c r="RGJ1688" s="2730"/>
      <c r="RGK1688" s="2730"/>
      <c r="RGL1688" s="2730"/>
      <c r="RGM1688" s="2730"/>
      <c r="RGN1688" s="2730"/>
      <c r="RGO1688" s="2730"/>
      <c r="RGP1688" s="2730"/>
      <c r="RGQ1688" s="2730"/>
      <c r="RGR1688" s="2730"/>
      <c r="RGS1688" s="2730"/>
      <c r="RGT1688" s="2730"/>
      <c r="RGU1688" s="2730"/>
      <c r="RGV1688" s="2730"/>
      <c r="RGW1688" s="2730"/>
      <c r="RGX1688" s="2730"/>
      <c r="RGY1688" s="2730"/>
      <c r="RGZ1688" s="2730"/>
      <c r="RHA1688" s="2730"/>
      <c r="RHB1688" s="2730"/>
      <c r="RHC1688" s="2730"/>
      <c r="RHD1688" s="2730"/>
      <c r="RHE1688" s="2730"/>
      <c r="RHF1688" s="2730"/>
      <c r="RHG1688" s="2730"/>
      <c r="RHH1688" s="2730"/>
      <c r="RHI1688" s="2730"/>
      <c r="RHJ1688" s="2730"/>
      <c r="RHK1688" s="2730"/>
      <c r="RHL1688" s="2730"/>
      <c r="RHM1688" s="2730"/>
      <c r="RHN1688" s="2730"/>
      <c r="RHO1688" s="2730"/>
      <c r="RHP1688" s="2730"/>
      <c r="RHQ1688" s="2730"/>
      <c r="RHR1688" s="2730"/>
      <c r="RHS1688" s="2730"/>
      <c r="RHT1688" s="2730"/>
      <c r="RHU1688" s="2730"/>
      <c r="RHV1688" s="2730"/>
      <c r="RHW1688" s="2730"/>
      <c r="RHX1688" s="2730"/>
      <c r="RHY1688" s="2730"/>
      <c r="RHZ1688" s="2730"/>
      <c r="RIA1688" s="2730"/>
      <c r="RIB1688" s="2730"/>
      <c r="RIC1688" s="2730"/>
      <c r="RID1688" s="2730"/>
      <c r="RIE1688" s="2730"/>
      <c r="RIF1688" s="2730"/>
      <c r="RIG1688" s="2730"/>
      <c r="RIH1688" s="2730"/>
      <c r="RII1688" s="2730"/>
      <c r="RIJ1688" s="2730"/>
      <c r="RIK1688" s="2730"/>
      <c r="RIL1688" s="2730"/>
      <c r="RIM1688" s="2730"/>
      <c r="RIN1688" s="2730"/>
      <c r="RIO1688" s="2730"/>
      <c r="RIP1688" s="2730"/>
      <c r="RIQ1688" s="2730"/>
      <c r="RIR1688" s="2730"/>
      <c r="RIS1688" s="2730"/>
      <c r="RIT1688" s="2730"/>
      <c r="RIU1688" s="2730"/>
      <c r="RIV1688" s="2730"/>
      <c r="RIW1688" s="2730"/>
      <c r="RIX1688" s="2730"/>
      <c r="RIY1688" s="2730"/>
      <c r="RIZ1688" s="2730"/>
      <c r="RJA1688" s="2730"/>
      <c r="RJB1688" s="2730"/>
      <c r="RJC1688" s="2730"/>
      <c r="RJD1688" s="2730"/>
      <c r="RJE1688" s="2730"/>
      <c r="RJF1688" s="2730"/>
      <c r="RJG1688" s="2730"/>
      <c r="RJH1688" s="2730"/>
      <c r="RJI1688" s="2730"/>
      <c r="RJJ1688" s="2730"/>
      <c r="RJK1688" s="2730"/>
      <c r="RJL1688" s="2730"/>
      <c r="RJM1688" s="2730"/>
      <c r="RJN1688" s="2730"/>
      <c r="RJO1688" s="2730"/>
      <c r="RJP1688" s="2730"/>
      <c r="RJQ1688" s="2730"/>
      <c r="RJR1688" s="2730"/>
      <c r="RJS1688" s="2730"/>
      <c r="RJT1688" s="2730"/>
      <c r="RJU1688" s="2730"/>
      <c r="RJV1688" s="2730"/>
      <c r="RJW1688" s="2730"/>
      <c r="RJX1688" s="2730"/>
      <c r="RJY1688" s="2730"/>
      <c r="RJZ1688" s="2730"/>
      <c r="RKA1688" s="2730"/>
      <c r="RKB1688" s="2730"/>
      <c r="RKC1688" s="2730"/>
      <c r="RKD1688" s="2730"/>
      <c r="RKE1688" s="2730"/>
      <c r="RKF1688" s="2730"/>
      <c r="RKG1688" s="2730"/>
      <c r="RKH1688" s="2730"/>
      <c r="RKI1688" s="2730"/>
      <c r="RKJ1688" s="2730"/>
      <c r="RKK1688" s="2730"/>
      <c r="RKL1688" s="2730"/>
      <c r="RKM1688" s="2730"/>
      <c r="RKN1688" s="2730"/>
      <c r="RKO1688" s="2730"/>
      <c r="RKP1688" s="2730"/>
      <c r="RKQ1688" s="2730"/>
      <c r="RKR1688" s="2730"/>
      <c r="RKS1688" s="2730"/>
      <c r="RKT1688" s="2730"/>
      <c r="RKU1688" s="2730"/>
      <c r="RKV1688" s="2730"/>
      <c r="RKW1688" s="2730"/>
      <c r="RKX1688" s="2730"/>
      <c r="RKY1688" s="2730"/>
      <c r="RKZ1688" s="2730"/>
      <c r="RLA1688" s="2730"/>
      <c r="RLB1688" s="2730"/>
      <c r="RLC1688" s="2730"/>
      <c r="RLD1688" s="2730"/>
      <c r="RLE1688" s="2730"/>
      <c r="RLF1688" s="2730"/>
      <c r="RLG1688" s="2730"/>
      <c r="RLH1688" s="2730"/>
      <c r="RLI1688" s="2730"/>
      <c r="RLJ1688" s="2730"/>
      <c r="RLK1688" s="2730"/>
      <c r="RLL1688" s="2730"/>
      <c r="RLM1688" s="2730"/>
      <c r="RLN1688" s="2730"/>
      <c r="RLO1688" s="2730"/>
      <c r="RLP1688" s="2730"/>
      <c r="RLQ1688" s="2730"/>
      <c r="RLR1688" s="2730"/>
      <c r="RLS1688" s="2730"/>
      <c r="RLT1688" s="2730"/>
      <c r="RLU1688" s="2730"/>
      <c r="RLV1688" s="2730"/>
      <c r="RLW1688" s="2730"/>
      <c r="RLX1688" s="2730"/>
      <c r="RLY1688" s="2730"/>
      <c r="RLZ1688" s="2730"/>
      <c r="RMA1688" s="2730"/>
      <c r="RMB1688" s="2730"/>
      <c r="RMC1688" s="2730"/>
      <c r="RMD1688" s="2730"/>
      <c r="RME1688" s="2730"/>
      <c r="RMF1688" s="2730"/>
      <c r="RMG1688" s="2730"/>
      <c r="RMH1688" s="2730"/>
      <c r="RMI1688" s="2730"/>
      <c r="RMJ1688" s="2730"/>
      <c r="RMK1688" s="2730"/>
      <c r="RML1688" s="2730"/>
      <c r="RMM1688" s="2730"/>
      <c r="RMN1688" s="2730"/>
      <c r="RMO1688" s="2730"/>
      <c r="RMP1688" s="2730"/>
      <c r="RMQ1688" s="2730"/>
      <c r="RMR1688" s="2730"/>
      <c r="RMS1688" s="2730"/>
      <c r="RMT1688" s="2730"/>
      <c r="RMU1688" s="2730"/>
      <c r="RMV1688" s="2730"/>
      <c r="RMW1688" s="2730"/>
      <c r="RMX1688" s="2730"/>
      <c r="RMY1688" s="2730"/>
      <c r="RMZ1688" s="2730"/>
      <c r="RNA1688" s="2730"/>
      <c r="RNB1688" s="2730"/>
      <c r="RNC1688" s="2730"/>
      <c r="RND1688" s="2730"/>
      <c r="RNE1688" s="2730"/>
      <c r="RNF1688" s="2730"/>
      <c r="RNG1688" s="2730"/>
      <c r="RNH1688" s="2730"/>
      <c r="RNI1688" s="2730"/>
      <c r="RNJ1688" s="2730"/>
      <c r="RNK1688" s="2730"/>
      <c r="RNL1688" s="2730"/>
      <c r="RNM1688" s="2730"/>
      <c r="RNN1688" s="2730"/>
      <c r="RNO1688" s="2730"/>
      <c r="RNP1688" s="2730"/>
      <c r="RNQ1688" s="2730"/>
      <c r="RNR1688" s="2730"/>
      <c r="RNS1688" s="2730"/>
      <c r="RNT1688" s="2730"/>
      <c r="RNU1688" s="2730"/>
      <c r="RNV1688" s="2730"/>
      <c r="RNW1688" s="2730"/>
      <c r="RNX1688" s="2730"/>
      <c r="RNY1688" s="2730"/>
      <c r="RNZ1688" s="2730"/>
      <c r="ROA1688" s="2730"/>
      <c r="ROB1688" s="2730"/>
      <c r="ROC1688" s="2730"/>
      <c r="ROD1688" s="2730"/>
      <c r="ROE1688" s="2730"/>
      <c r="ROF1688" s="2730"/>
      <c r="ROG1688" s="2730"/>
      <c r="ROH1688" s="2730"/>
      <c r="ROI1688" s="2730"/>
      <c r="ROJ1688" s="2730"/>
      <c r="ROK1688" s="2730"/>
      <c r="ROL1688" s="2730"/>
      <c r="ROM1688" s="2730"/>
      <c r="RON1688" s="2730"/>
      <c r="ROO1688" s="2730"/>
      <c r="ROP1688" s="2730"/>
      <c r="ROQ1688" s="2730"/>
      <c r="ROR1688" s="2730"/>
      <c r="ROS1688" s="2730"/>
      <c r="ROT1688" s="2730"/>
      <c r="ROU1688" s="2730"/>
      <c r="ROV1688" s="2730"/>
      <c r="ROW1688" s="2730"/>
      <c r="ROX1688" s="2730"/>
      <c r="ROY1688" s="2730"/>
      <c r="ROZ1688" s="2730"/>
      <c r="RPA1688" s="2730"/>
      <c r="RPB1688" s="2730"/>
      <c r="RPC1688" s="2730"/>
      <c r="RPD1688" s="2730"/>
      <c r="RPE1688" s="2730"/>
      <c r="RPF1688" s="2730"/>
      <c r="RPG1688" s="2730"/>
      <c r="RPH1688" s="2730"/>
      <c r="RPI1688" s="2730"/>
      <c r="RPJ1688" s="2730"/>
      <c r="RPK1688" s="2730"/>
      <c r="RPL1688" s="2730"/>
      <c r="RPM1688" s="2730"/>
      <c r="RPN1688" s="2730"/>
      <c r="RPO1688" s="2730"/>
      <c r="RPP1688" s="2730"/>
      <c r="RPQ1688" s="2730"/>
      <c r="RPR1688" s="2730"/>
      <c r="RPS1688" s="2730"/>
      <c r="RPT1688" s="2730"/>
      <c r="RPU1688" s="2730"/>
      <c r="RPV1688" s="2730"/>
      <c r="RPW1688" s="2730"/>
      <c r="RPX1688" s="2730"/>
      <c r="RPY1688" s="2730"/>
      <c r="RPZ1688" s="2730"/>
      <c r="RQA1688" s="2730"/>
      <c r="RQB1688" s="2730"/>
      <c r="RQC1688" s="2730"/>
      <c r="RQD1688" s="2730"/>
      <c r="RQE1688" s="2730"/>
      <c r="RQF1688" s="2730"/>
      <c r="RQG1688" s="2730"/>
      <c r="RQH1688" s="2730"/>
      <c r="RQI1688" s="2730"/>
      <c r="RQJ1688" s="2730"/>
      <c r="RQK1688" s="2730"/>
      <c r="RQL1688" s="2730"/>
      <c r="RQM1688" s="2730"/>
      <c r="RQN1688" s="2730"/>
      <c r="RQO1688" s="2730"/>
      <c r="RQP1688" s="2730"/>
      <c r="RQQ1688" s="2730"/>
      <c r="RQR1688" s="2730"/>
      <c r="RQS1688" s="2730"/>
      <c r="RQT1688" s="2730"/>
      <c r="RQU1688" s="2730"/>
      <c r="RQV1688" s="2730"/>
      <c r="RQW1688" s="2730"/>
      <c r="RQX1688" s="2730"/>
      <c r="RQY1688" s="2730"/>
      <c r="RQZ1688" s="2730"/>
      <c r="RRA1688" s="2730"/>
      <c r="RRB1688" s="2730"/>
      <c r="RRC1688" s="2730"/>
      <c r="RRD1688" s="2730"/>
      <c r="RRE1688" s="2730"/>
      <c r="RRF1688" s="2730"/>
      <c r="RRG1688" s="2730"/>
      <c r="RRH1688" s="2730"/>
      <c r="RRI1688" s="2730"/>
      <c r="RRJ1688" s="2730"/>
      <c r="RRK1688" s="2730"/>
      <c r="RRL1688" s="2730"/>
      <c r="RRM1688" s="2730"/>
      <c r="RRN1688" s="2730"/>
      <c r="RRO1688" s="2730"/>
      <c r="RRP1688" s="2730"/>
      <c r="RRQ1688" s="2730"/>
      <c r="RRR1688" s="2730"/>
      <c r="RRS1688" s="2730"/>
      <c r="RRT1688" s="2730"/>
      <c r="RRU1688" s="2730"/>
      <c r="RRV1688" s="2730"/>
      <c r="RRW1688" s="2730"/>
      <c r="RRX1688" s="2730"/>
      <c r="RRY1688" s="2730"/>
      <c r="RRZ1688" s="2730"/>
      <c r="RSA1688" s="2730"/>
      <c r="RSB1688" s="2730"/>
      <c r="RSC1688" s="2730"/>
      <c r="RSD1688" s="2730"/>
      <c r="RSE1688" s="2730"/>
      <c r="RSF1688" s="2730"/>
      <c r="RSG1688" s="2730"/>
      <c r="RSH1688" s="2730"/>
      <c r="RSI1688" s="2730"/>
      <c r="RSJ1688" s="2730"/>
      <c r="RSK1688" s="2730"/>
      <c r="RSL1688" s="2730"/>
      <c r="RSM1688" s="2730"/>
      <c r="RSN1688" s="2730"/>
      <c r="RSO1688" s="2730"/>
      <c r="RSP1688" s="2730"/>
      <c r="RSQ1688" s="2730"/>
      <c r="RSR1688" s="2730"/>
      <c r="RSS1688" s="2730"/>
      <c r="RST1688" s="2730"/>
      <c r="RSU1688" s="2730"/>
      <c r="RSV1688" s="2730"/>
      <c r="RSW1688" s="2730"/>
      <c r="RSX1688" s="2730"/>
      <c r="RSY1688" s="2730"/>
      <c r="RSZ1688" s="2730"/>
      <c r="RTA1688" s="2730"/>
      <c r="RTB1688" s="2730"/>
      <c r="RTC1688" s="2730"/>
      <c r="RTD1688" s="2730"/>
      <c r="RTE1688" s="2730"/>
      <c r="RTF1688" s="2730"/>
      <c r="RTG1688" s="2730"/>
      <c r="RTH1688" s="2730"/>
      <c r="RTI1688" s="2730"/>
      <c r="RTJ1688" s="2730"/>
      <c r="RTK1688" s="2730"/>
      <c r="RTL1688" s="2730"/>
      <c r="RTM1688" s="2730"/>
      <c r="RTN1688" s="2730"/>
      <c r="RTO1688" s="2730"/>
      <c r="RTP1688" s="2730"/>
      <c r="RTQ1688" s="2730"/>
      <c r="RTR1688" s="2730"/>
      <c r="RTS1688" s="2730"/>
      <c r="RTT1688" s="2730"/>
      <c r="RTU1688" s="2730"/>
      <c r="RTV1688" s="2730"/>
      <c r="RTW1688" s="2730"/>
      <c r="RTX1688" s="2730"/>
      <c r="RTY1688" s="2730"/>
      <c r="RTZ1688" s="2730"/>
      <c r="RUA1688" s="2730"/>
      <c r="RUB1688" s="2730"/>
      <c r="RUC1688" s="2730"/>
      <c r="RUD1688" s="2730"/>
      <c r="RUE1688" s="2730"/>
      <c r="RUF1688" s="2730"/>
      <c r="RUG1688" s="2730"/>
      <c r="RUH1688" s="2730"/>
      <c r="RUI1688" s="2730"/>
      <c r="RUJ1688" s="2730"/>
      <c r="RUK1688" s="2730"/>
      <c r="RUL1688" s="2730"/>
      <c r="RUM1688" s="2730"/>
      <c r="RUN1688" s="2730"/>
      <c r="RUO1688" s="2730"/>
      <c r="RUP1688" s="2730"/>
      <c r="RUQ1688" s="2730"/>
      <c r="RUR1688" s="2730"/>
      <c r="RUS1688" s="2730"/>
      <c r="RUT1688" s="2730"/>
      <c r="RUU1688" s="2730"/>
      <c r="RUV1688" s="2730"/>
      <c r="RUW1688" s="2730"/>
      <c r="RUX1688" s="2730"/>
      <c r="RUY1688" s="2730"/>
      <c r="RUZ1688" s="2730"/>
      <c r="RVA1688" s="2730"/>
      <c r="RVB1688" s="2730"/>
      <c r="RVC1688" s="2730"/>
      <c r="RVD1688" s="2730"/>
      <c r="RVE1688" s="2730"/>
      <c r="RVF1688" s="2730"/>
      <c r="RVG1688" s="2730"/>
      <c r="RVH1688" s="2730"/>
      <c r="RVI1688" s="2730"/>
      <c r="RVJ1688" s="2730"/>
      <c r="RVK1688" s="2730"/>
      <c r="RVL1688" s="2730"/>
      <c r="RVM1688" s="2730"/>
      <c r="RVN1688" s="2730"/>
      <c r="RVO1688" s="2730"/>
      <c r="RVP1688" s="2730"/>
      <c r="RVQ1688" s="2730"/>
      <c r="RVR1688" s="2730"/>
      <c r="RVS1688" s="2730"/>
      <c r="RVT1688" s="2730"/>
      <c r="RVU1688" s="2730"/>
      <c r="RVV1688" s="2730"/>
      <c r="RVW1688" s="2730"/>
      <c r="RVX1688" s="2730"/>
      <c r="RVY1688" s="2730"/>
      <c r="RVZ1688" s="2730"/>
      <c r="RWA1688" s="2730"/>
      <c r="RWB1688" s="2730"/>
      <c r="RWC1688" s="2730"/>
      <c r="RWD1688" s="2730"/>
      <c r="RWE1688" s="2730"/>
      <c r="RWF1688" s="2730"/>
      <c r="RWG1688" s="2730"/>
      <c r="RWH1688" s="2730"/>
      <c r="RWI1688" s="2730"/>
      <c r="RWJ1688" s="2730"/>
      <c r="RWK1688" s="2730"/>
      <c r="RWL1688" s="2730"/>
      <c r="RWM1688" s="2730"/>
      <c r="RWN1688" s="2730"/>
      <c r="RWO1688" s="2730"/>
      <c r="RWP1688" s="2730"/>
      <c r="RWQ1688" s="2730"/>
      <c r="RWR1688" s="2730"/>
      <c r="RWS1688" s="2730"/>
      <c r="RWT1688" s="2730"/>
      <c r="RWU1688" s="2730"/>
      <c r="RWV1688" s="2730"/>
      <c r="RWW1688" s="2730"/>
      <c r="RWX1688" s="2730"/>
      <c r="RWY1688" s="2730"/>
      <c r="RWZ1688" s="2730"/>
      <c r="RXA1688" s="2730"/>
      <c r="RXB1688" s="2730"/>
      <c r="RXC1688" s="2730"/>
      <c r="RXD1688" s="2730"/>
      <c r="RXE1688" s="2730"/>
      <c r="RXF1688" s="2730"/>
      <c r="RXG1688" s="2730"/>
      <c r="RXH1688" s="2730"/>
      <c r="RXI1688" s="2730"/>
      <c r="RXJ1688" s="2730"/>
      <c r="RXK1688" s="2730"/>
      <c r="RXL1688" s="2730"/>
      <c r="RXM1688" s="2730"/>
      <c r="RXN1688" s="2730"/>
      <c r="RXO1688" s="2730"/>
      <c r="RXP1688" s="2730"/>
      <c r="RXQ1688" s="2730"/>
      <c r="RXR1688" s="2730"/>
      <c r="RXS1688" s="2730"/>
      <c r="RXT1688" s="2730"/>
      <c r="RXU1688" s="2730"/>
      <c r="RXV1688" s="2730"/>
      <c r="RXW1688" s="2730"/>
      <c r="RXX1688" s="2730"/>
      <c r="RXY1688" s="2730"/>
      <c r="RXZ1688" s="2730"/>
      <c r="RYA1688" s="2730"/>
      <c r="RYB1688" s="2730"/>
      <c r="RYC1688" s="2730"/>
      <c r="RYD1688" s="2730"/>
      <c r="RYE1688" s="2730"/>
      <c r="RYF1688" s="2730"/>
      <c r="RYG1688" s="2730"/>
      <c r="RYH1688" s="2730"/>
      <c r="RYI1688" s="2730"/>
      <c r="RYJ1688" s="2730"/>
      <c r="RYK1688" s="2730"/>
      <c r="RYL1688" s="2730"/>
      <c r="RYM1688" s="2730"/>
      <c r="RYN1688" s="2730"/>
      <c r="RYO1688" s="2730"/>
      <c r="RYP1688" s="2730"/>
      <c r="RYQ1688" s="2730"/>
      <c r="RYR1688" s="2730"/>
      <c r="RYS1688" s="2730"/>
      <c r="RYT1688" s="2730"/>
      <c r="RYU1688" s="2730"/>
      <c r="RYV1688" s="2730"/>
      <c r="RYW1688" s="2730"/>
      <c r="RYX1688" s="2730"/>
      <c r="RYY1688" s="2730"/>
      <c r="RYZ1688" s="2730"/>
      <c r="RZA1688" s="2730"/>
      <c r="RZB1688" s="2730"/>
      <c r="RZC1688" s="2730"/>
      <c r="RZD1688" s="2730"/>
      <c r="RZE1688" s="2730"/>
      <c r="RZF1688" s="2730"/>
      <c r="RZG1688" s="2730"/>
      <c r="RZH1688" s="2730"/>
      <c r="RZI1688" s="2730"/>
      <c r="RZJ1688" s="2730"/>
      <c r="RZK1688" s="2730"/>
      <c r="RZL1688" s="2730"/>
      <c r="RZM1688" s="2730"/>
      <c r="RZN1688" s="2730"/>
      <c r="RZO1688" s="2730"/>
      <c r="RZP1688" s="2730"/>
      <c r="RZQ1688" s="2730"/>
      <c r="RZR1688" s="2730"/>
      <c r="RZS1688" s="2730"/>
      <c r="RZT1688" s="2730"/>
      <c r="RZU1688" s="2730"/>
      <c r="RZV1688" s="2730"/>
      <c r="RZW1688" s="2730"/>
      <c r="RZX1688" s="2730"/>
      <c r="RZY1688" s="2730"/>
      <c r="RZZ1688" s="2730"/>
      <c r="SAA1688" s="2730"/>
      <c r="SAB1688" s="2730"/>
      <c r="SAC1688" s="2730"/>
      <c r="SAD1688" s="2730"/>
      <c r="SAE1688" s="2730"/>
      <c r="SAF1688" s="2730"/>
      <c r="SAG1688" s="2730"/>
      <c r="SAH1688" s="2730"/>
      <c r="SAI1688" s="2730"/>
      <c r="SAJ1688" s="2730"/>
      <c r="SAK1688" s="2730"/>
      <c r="SAL1688" s="2730"/>
      <c r="SAM1688" s="2730"/>
      <c r="SAN1688" s="2730"/>
      <c r="SAO1688" s="2730"/>
      <c r="SAP1688" s="2730"/>
      <c r="SAQ1688" s="2730"/>
      <c r="SAR1688" s="2730"/>
      <c r="SAS1688" s="2730"/>
      <c r="SAT1688" s="2730"/>
      <c r="SAU1688" s="2730"/>
      <c r="SAV1688" s="2730"/>
      <c r="SAW1688" s="2730"/>
      <c r="SAX1688" s="2730"/>
      <c r="SAY1688" s="2730"/>
      <c r="SAZ1688" s="2730"/>
      <c r="SBA1688" s="2730"/>
      <c r="SBB1688" s="2730"/>
      <c r="SBC1688" s="2730"/>
      <c r="SBD1688" s="2730"/>
      <c r="SBE1688" s="2730"/>
      <c r="SBF1688" s="2730"/>
      <c r="SBG1688" s="2730"/>
      <c r="SBH1688" s="2730"/>
      <c r="SBI1688" s="2730"/>
      <c r="SBJ1688" s="2730"/>
      <c r="SBK1688" s="2730"/>
      <c r="SBL1688" s="2730"/>
      <c r="SBM1688" s="2730"/>
      <c r="SBN1688" s="2730"/>
      <c r="SBO1688" s="2730"/>
      <c r="SBP1688" s="2730"/>
      <c r="SBQ1688" s="2730"/>
      <c r="SBR1688" s="2730"/>
      <c r="SBS1688" s="2730"/>
      <c r="SBT1688" s="2730"/>
      <c r="SBU1688" s="2730"/>
      <c r="SBV1688" s="2730"/>
      <c r="SBW1688" s="2730"/>
      <c r="SBX1688" s="2730"/>
      <c r="SBY1688" s="2730"/>
      <c r="SBZ1688" s="2730"/>
      <c r="SCA1688" s="2730"/>
      <c r="SCB1688" s="2730"/>
      <c r="SCC1688" s="2730"/>
      <c r="SCD1688" s="2730"/>
      <c r="SCE1688" s="2730"/>
      <c r="SCF1688" s="2730"/>
      <c r="SCG1688" s="2730"/>
      <c r="SCH1688" s="2730"/>
      <c r="SCI1688" s="2730"/>
      <c r="SCJ1688" s="2730"/>
      <c r="SCK1688" s="2730"/>
      <c r="SCL1688" s="2730"/>
      <c r="SCM1688" s="2730"/>
      <c r="SCN1688" s="2730"/>
      <c r="SCO1688" s="2730"/>
      <c r="SCP1688" s="2730"/>
      <c r="SCQ1688" s="2730"/>
      <c r="SCR1688" s="2730"/>
      <c r="SCS1688" s="2730"/>
      <c r="SCT1688" s="2730"/>
      <c r="SCU1688" s="2730"/>
      <c r="SCV1688" s="2730"/>
      <c r="SCW1688" s="2730"/>
      <c r="SCX1688" s="2730"/>
      <c r="SCY1688" s="2730"/>
      <c r="SCZ1688" s="2730"/>
      <c r="SDA1688" s="2730"/>
      <c r="SDB1688" s="2730"/>
      <c r="SDC1688" s="2730"/>
      <c r="SDD1688" s="2730"/>
      <c r="SDE1688" s="2730"/>
      <c r="SDF1688" s="2730"/>
      <c r="SDG1688" s="2730"/>
      <c r="SDH1688" s="2730"/>
      <c r="SDI1688" s="2730"/>
      <c r="SDJ1688" s="2730"/>
      <c r="SDK1688" s="2730"/>
      <c r="SDL1688" s="2730"/>
      <c r="SDM1688" s="2730"/>
      <c r="SDN1688" s="2730"/>
      <c r="SDO1688" s="2730"/>
      <c r="SDP1688" s="2730"/>
      <c r="SDQ1688" s="2730"/>
      <c r="SDR1688" s="2730"/>
      <c r="SDS1688" s="2730"/>
      <c r="SDT1688" s="2730"/>
      <c r="SDU1688" s="2730"/>
      <c r="SDV1688" s="2730"/>
      <c r="SDW1688" s="2730"/>
      <c r="SDX1688" s="2730"/>
      <c r="SDY1688" s="2730"/>
      <c r="SDZ1688" s="2730"/>
      <c r="SEA1688" s="2730"/>
      <c r="SEB1688" s="2730"/>
      <c r="SEC1688" s="2730"/>
      <c r="SED1688" s="2730"/>
      <c r="SEE1688" s="2730"/>
      <c r="SEF1688" s="2730"/>
      <c r="SEG1688" s="2730"/>
      <c r="SEH1688" s="2730"/>
      <c r="SEI1688" s="2730"/>
      <c r="SEJ1688" s="2730"/>
      <c r="SEK1688" s="2730"/>
      <c r="SEL1688" s="2730"/>
      <c r="SEM1688" s="2730"/>
      <c r="SEN1688" s="2730"/>
      <c r="SEO1688" s="2730"/>
      <c r="SEP1688" s="2730"/>
      <c r="SEQ1688" s="2730"/>
      <c r="SER1688" s="2730"/>
      <c r="SES1688" s="2730"/>
      <c r="SET1688" s="2730"/>
      <c r="SEU1688" s="2730"/>
      <c r="SEV1688" s="2730"/>
      <c r="SEW1688" s="2730"/>
      <c r="SEX1688" s="2730"/>
      <c r="SEY1688" s="2730"/>
      <c r="SEZ1688" s="2730"/>
      <c r="SFA1688" s="2730"/>
      <c r="SFB1688" s="2730"/>
      <c r="SFC1688" s="2730"/>
      <c r="SFD1688" s="2730"/>
      <c r="SFE1688" s="2730"/>
      <c r="SFF1688" s="2730"/>
      <c r="SFG1688" s="2730"/>
      <c r="SFH1688" s="2730"/>
      <c r="SFI1688" s="2730"/>
      <c r="SFJ1688" s="2730"/>
      <c r="SFK1688" s="2730"/>
      <c r="SFL1688" s="2730"/>
      <c r="SFM1688" s="2730"/>
      <c r="SFN1688" s="2730"/>
      <c r="SFO1688" s="2730"/>
      <c r="SFP1688" s="2730"/>
      <c r="SFQ1688" s="2730"/>
      <c r="SFR1688" s="2730"/>
      <c r="SFS1688" s="2730"/>
      <c r="SFT1688" s="2730"/>
      <c r="SFU1688" s="2730"/>
      <c r="SFV1688" s="2730"/>
      <c r="SFW1688" s="2730"/>
      <c r="SFX1688" s="2730"/>
      <c r="SFY1688" s="2730"/>
      <c r="SFZ1688" s="2730"/>
      <c r="SGA1688" s="2730"/>
      <c r="SGB1688" s="2730"/>
      <c r="SGC1688" s="2730"/>
      <c r="SGD1688" s="2730"/>
      <c r="SGE1688" s="2730"/>
      <c r="SGF1688" s="2730"/>
      <c r="SGG1688" s="2730"/>
      <c r="SGH1688" s="2730"/>
      <c r="SGI1688" s="2730"/>
      <c r="SGJ1688" s="2730"/>
      <c r="SGK1688" s="2730"/>
      <c r="SGL1688" s="2730"/>
      <c r="SGM1688" s="2730"/>
      <c r="SGN1688" s="2730"/>
      <c r="SGO1688" s="2730"/>
      <c r="SGP1688" s="2730"/>
      <c r="SGQ1688" s="2730"/>
      <c r="SGR1688" s="2730"/>
      <c r="SGS1688" s="2730"/>
      <c r="SGT1688" s="2730"/>
      <c r="SGU1688" s="2730"/>
      <c r="SGV1688" s="2730"/>
      <c r="SGW1688" s="2730"/>
      <c r="SGX1688" s="2730"/>
      <c r="SGY1688" s="2730"/>
      <c r="SGZ1688" s="2730"/>
      <c r="SHA1688" s="2730"/>
      <c r="SHB1688" s="2730"/>
      <c r="SHC1688" s="2730"/>
      <c r="SHD1688" s="2730"/>
      <c r="SHE1688" s="2730"/>
      <c r="SHF1688" s="2730"/>
      <c r="SHG1688" s="2730"/>
      <c r="SHH1688" s="2730"/>
      <c r="SHI1688" s="2730"/>
      <c r="SHJ1688" s="2730"/>
      <c r="SHK1688" s="2730"/>
      <c r="SHL1688" s="2730"/>
      <c r="SHM1688" s="2730"/>
      <c r="SHN1688" s="2730"/>
      <c r="SHO1688" s="2730"/>
      <c r="SHP1688" s="2730"/>
      <c r="SHQ1688" s="2730"/>
      <c r="SHR1688" s="2730"/>
      <c r="SHS1688" s="2730"/>
      <c r="SHT1688" s="2730"/>
      <c r="SHU1688" s="2730"/>
      <c r="SHV1688" s="2730"/>
      <c r="SHW1688" s="2730"/>
      <c r="SHX1688" s="2730"/>
      <c r="SHY1688" s="2730"/>
      <c r="SHZ1688" s="2730"/>
      <c r="SIA1688" s="2730"/>
      <c r="SIB1688" s="2730"/>
      <c r="SIC1688" s="2730"/>
      <c r="SID1688" s="2730"/>
      <c r="SIE1688" s="2730"/>
      <c r="SIF1688" s="2730"/>
      <c r="SIG1688" s="2730"/>
      <c r="SIH1688" s="2730"/>
      <c r="SII1688" s="2730"/>
      <c r="SIJ1688" s="2730"/>
      <c r="SIK1688" s="2730"/>
      <c r="SIL1688" s="2730"/>
      <c r="SIM1688" s="2730"/>
      <c r="SIN1688" s="2730"/>
      <c r="SIO1688" s="2730"/>
      <c r="SIP1688" s="2730"/>
      <c r="SIQ1688" s="2730"/>
      <c r="SIR1688" s="2730"/>
      <c r="SIS1688" s="2730"/>
      <c r="SIT1688" s="2730"/>
      <c r="SIU1688" s="2730"/>
      <c r="SIV1688" s="2730"/>
      <c r="SIW1688" s="2730"/>
      <c r="SIX1688" s="2730"/>
      <c r="SIY1688" s="2730"/>
      <c r="SIZ1688" s="2730"/>
      <c r="SJA1688" s="2730"/>
      <c r="SJB1688" s="2730"/>
      <c r="SJC1688" s="2730"/>
      <c r="SJD1688" s="2730"/>
      <c r="SJE1688" s="2730"/>
      <c r="SJF1688" s="2730"/>
      <c r="SJG1688" s="2730"/>
      <c r="SJH1688" s="2730"/>
      <c r="SJI1688" s="2730"/>
      <c r="SJJ1688" s="2730"/>
      <c r="SJK1688" s="2730"/>
      <c r="SJL1688" s="2730"/>
      <c r="SJM1688" s="2730"/>
      <c r="SJN1688" s="2730"/>
      <c r="SJO1688" s="2730"/>
      <c r="SJP1688" s="2730"/>
      <c r="SJQ1688" s="2730"/>
      <c r="SJR1688" s="2730"/>
      <c r="SJS1688" s="2730"/>
      <c r="SJT1688" s="2730"/>
      <c r="SJU1688" s="2730"/>
      <c r="SJV1688" s="2730"/>
      <c r="SJW1688" s="2730"/>
      <c r="SJX1688" s="2730"/>
      <c r="SJY1688" s="2730"/>
      <c r="SJZ1688" s="2730"/>
      <c r="SKA1688" s="2730"/>
      <c r="SKB1688" s="2730"/>
      <c r="SKC1688" s="2730"/>
      <c r="SKD1688" s="2730"/>
      <c r="SKE1688" s="2730"/>
      <c r="SKF1688" s="2730"/>
      <c r="SKG1688" s="2730"/>
      <c r="SKH1688" s="2730"/>
      <c r="SKI1688" s="2730"/>
      <c r="SKJ1688" s="2730"/>
      <c r="SKK1688" s="2730"/>
      <c r="SKL1688" s="2730"/>
      <c r="SKM1688" s="2730"/>
      <c r="SKN1688" s="2730"/>
      <c r="SKO1688" s="2730"/>
      <c r="SKP1688" s="2730"/>
      <c r="SKQ1688" s="2730"/>
      <c r="SKR1688" s="2730"/>
      <c r="SKS1688" s="2730"/>
      <c r="SKT1688" s="2730"/>
      <c r="SKU1688" s="2730"/>
      <c r="SKV1688" s="2730"/>
      <c r="SKW1688" s="2730"/>
      <c r="SKX1688" s="2730"/>
      <c r="SKY1688" s="2730"/>
      <c r="SKZ1688" s="2730"/>
      <c r="SLA1688" s="2730"/>
      <c r="SLB1688" s="2730"/>
      <c r="SLC1688" s="2730"/>
      <c r="SLD1688" s="2730"/>
      <c r="SLE1688" s="2730"/>
      <c r="SLF1688" s="2730"/>
      <c r="SLG1688" s="2730"/>
      <c r="SLH1688" s="2730"/>
      <c r="SLI1688" s="2730"/>
      <c r="SLJ1688" s="2730"/>
      <c r="SLK1688" s="2730"/>
      <c r="SLL1688" s="2730"/>
      <c r="SLM1688" s="2730"/>
      <c r="SLN1688" s="2730"/>
      <c r="SLO1688" s="2730"/>
      <c r="SLP1688" s="2730"/>
      <c r="SLQ1688" s="2730"/>
      <c r="SLR1688" s="2730"/>
      <c r="SLS1688" s="2730"/>
      <c r="SLT1688" s="2730"/>
      <c r="SLU1688" s="2730"/>
      <c r="SLV1688" s="2730"/>
      <c r="SLW1688" s="2730"/>
      <c r="SLX1688" s="2730"/>
      <c r="SLY1688" s="2730"/>
      <c r="SLZ1688" s="2730"/>
      <c r="SMA1688" s="2730"/>
      <c r="SMB1688" s="2730"/>
      <c r="SMC1688" s="2730"/>
      <c r="SMD1688" s="2730"/>
      <c r="SME1688" s="2730"/>
      <c r="SMF1688" s="2730"/>
      <c r="SMG1688" s="2730"/>
      <c r="SMH1688" s="2730"/>
      <c r="SMI1688" s="2730"/>
      <c r="SMJ1688" s="2730"/>
      <c r="SMK1688" s="2730"/>
      <c r="SML1688" s="2730"/>
      <c r="SMM1688" s="2730"/>
      <c r="SMN1688" s="2730"/>
      <c r="SMO1688" s="2730"/>
      <c r="SMP1688" s="2730"/>
      <c r="SMQ1688" s="2730"/>
      <c r="SMR1688" s="2730"/>
      <c r="SMS1688" s="2730"/>
      <c r="SMT1688" s="2730"/>
      <c r="SMU1688" s="2730"/>
      <c r="SMV1688" s="2730"/>
      <c r="SMW1688" s="2730"/>
      <c r="SMX1688" s="2730"/>
      <c r="SMY1688" s="2730"/>
      <c r="SMZ1688" s="2730"/>
      <c r="SNA1688" s="2730"/>
      <c r="SNB1688" s="2730"/>
      <c r="SNC1688" s="2730"/>
      <c r="SND1688" s="2730"/>
      <c r="SNE1688" s="2730"/>
      <c r="SNF1688" s="2730"/>
      <c r="SNG1688" s="2730"/>
      <c r="SNH1688" s="2730"/>
      <c r="SNI1688" s="2730"/>
      <c r="SNJ1688" s="2730"/>
      <c r="SNK1688" s="2730"/>
      <c r="SNL1688" s="2730"/>
      <c r="SNM1688" s="2730"/>
      <c r="SNN1688" s="2730"/>
      <c r="SNO1688" s="2730"/>
      <c r="SNP1688" s="2730"/>
      <c r="SNQ1688" s="2730"/>
      <c r="SNR1688" s="2730"/>
      <c r="SNS1688" s="2730"/>
      <c r="SNT1688" s="2730"/>
      <c r="SNU1688" s="2730"/>
      <c r="SNV1688" s="2730"/>
      <c r="SNW1688" s="2730"/>
      <c r="SNX1688" s="2730"/>
      <c r="SNY1688" s="2730"/>
      <c r="SNZ1688" s="2730"/>
      <c r="SOA1688" s="2730"/>
      <c r="SOB1688" s="2730"/>
      <c r="SOC1688" s="2730"/>
      <c r="SOD1688" s="2730"/>
      <c r="SOE1688" s="2730"/>
      <c r="SOF1688" s="2730"/>
      <c r="SOG1688" s="2730"/>
      <c r="SOH1688" s="2730"/>
      <c r="SOI1688" s="2730"/>
      <c r="SOJ1688" s="2730"/>
      <c r="SOK1688" s="2730"/>
      <c r="SOL1688" s="2730"/>
      <c r="SOM1688" s="2730"/>
      <c r="SON1688" s="2730"/>
      <c r="SOO1688" s="2730"/>
      <c r="SOP1688" s="2730"/>
      <c r="SOQ1688" s="2730"/>
      <c r="SOR1688" s="2730"/>
      <c r="SOS1688" s="2730"/>
      <c r="SOT1688" s="2730"/>
      <c r="SOU1688" s="2730"/>
      <c r="SOV1688" s="2730"/>
      <c r="SOW1688" s="2730"/>
      <c r="SOX1688" s="2730"/>
      <c r="SOY1688" s="2730"/>
      <c r="SOZ1688" s="2730"/>
      <c r="SPA1688" s="2730"/>
      <c r="SPB1688" s="2730"/>
      <c r="SPC1688" s="2730"/>
      <c r="SPD1688" s="2730"/>
      <c r="SPE1688" s="2730"/>
      <c r="SPF1688" s="2730"/>
      <c r="SPG1688" s="2730"/>
      <c r="SPH1688" s="2730"/>
      <c r="SPI1688" s="2730"/>
      <c r="SPJ1688" s="2730"/>
      <c r="SPK1688" s="2730"/>
      <c r="SPL1688" s="2730"/>
      <c r="SPM1688" s="2730"/>
      <c r="SPN1688" s="2730"/>
      <c r="SPO1688" s="2730"/>
      <c r="SPP1688" s="2730"/>
      <c r="SPQ1688" s="2730"/>
      <c r="SPR1688" s="2730"/>
      <c r="SPS1688" s="2730"/>
      <c r="SPT1688" s="2730"/>
      <c r="SPU1688" s="2730"/>
      <c r="SPV1688" s="2730"/>
      <c r="SPW1688" s="2730"/>
      <c r="SPX1688" s="2730"/>
      <c r="SPY1688" s="2730"/>
      <c r="SPZ1688" s="2730"/>
      <c r="SQA1688" s="2730"/>
      <c r="SQB1688" s="2730"/>
      <c r="SQC1688" s="2730"/>
      <c r="SQD1688" s="2730"/>
      <c r="SQE1688" s="2730"/>
      <c r="SQF1688" s="2730"/>
      <c r="SQG1688" s="2730"/>
      <c r="SQH1688" s="2730"/>
      <c r="SQI1688" s="2730"/>
      <c r="SQJ1688" s="2730"/>
      <c r="SQK1688" s="2730"/>
      <c r="SQL1688" s="2730"/>
      <c r="SQM1688" s="2730"/>
      <c r="SQN1688" s="2730"/>
      <c r="SQO1688" s="2730"/>
      <c r="SQP1688" s="2730"/>
      <c r="SQQ1688" s="2730"/>
      <c r="SQR1688" s="2730"/>
      <c r="SQS1688" s="2730"/>
      <c r="SQT1688" s="2730"/>
      <c r="SQU1688" s="2730"/>
      <c r="SQV1688" s="2730"/>
      <c r="SQW1688" s="2730"/>
      <c r="SQX1688" s="2730"/>
      <c r="SQY1688" s="2730"/>
      <c r="SQZ1688" s="2730"/>
      <c r="SRA1688" s="2730"/>
      <c r="SRB1688" s="2730"/>
      <c r="SRC1688" s="2730"/>
      <c r="SRD1688" s="2730"/>
      <c r="SRE1688" s="2730"/>
      <c r="SRF1688" s="2730"/>
      <c r="SRG1688" s="2730"/>
      <c r="SRH1688" s="2730"/>
      <c r="SRI1688" s="2730"/>
      <c r="SRJ1688" s="2730"/>
      <c r="SRK1688" s="2730"/>
      <c r="SRL1688" s="2730"/>
      <c r="SRM1688" s="2730"/>
      <c r="SRN1688" s="2730"/>
      <c r="SRO1688" s="2730"/>
      <c r="SRP1688" s="2730"/>
      <c r="SRQ1688" s="2730"/>
      <c r="SRR1688" s="2730"/>
      <c r="SRS1688" s="2730"/>
      <c r="SRT1688" s="2730"/>
      <c r="SRU1688" s="2730"/>
      <c r="SRV1688" s="2730"/>
      <c r="SRW1688" s="2730"/>
      <c r="SRX1688" s="2730"/>
      <c r="SRY1688" s="2730"/>
      <c r="SRZ1688" s="2730"/>
      <c r="SSA1688" s="2730"/>
      <c r="SSB1688" s="2730"/>
      <c r="SSC1688" s="2730"/>
      <c r="SSD1688" s="2730"/>
      <c r="SSE1688" s="2730"/>
      <c r="SSF1688" s="2730"/>
      <c r="SSG1688" s="2730"/>
      <c r="SSH1688" s="2730"/>
      <c r="SSI1688" s="2730"/>
      <c r="SSJ1688" s="2730"/>
      <c r="SSK1688" s="2730"/>
      <c r="SSL1688" s="2730"/>
      <c r="SSM1688" s="2730"/>
      <c r="SSN1688" s="2730"/>
      <c r="SSO1688" s="2730"/>
      <c r="SSP1688" s="2730"/>
      <c r="SSQ1688" s="2730"/>
      <c r="SSR1688" s="2730"/>
      <c r="SSS1688" s="2730"/>
      <c r="SST1688" s="2730"/>
      <c r="SSU1688" s="2730"/>
      <c r="SSV1688" s="2730"/>
      <c r="SSW1688" s="2730"/>
      <c r="SSX1688" s="2730"/>
      <c r="SSY1688" s="2730"/>
      <c r="SSZ1688" s="2730"/>
      <c r="STA1688" s="2730"/>
      <c r="STB1688" s="2730"/>
      <c r="STC1688" s="2730"/>
      <c r="STD1688" s="2730"/>
      <c r="STE1688" s="2730"/>
      <c r="STF1688" s="2730"/>
      <c r="STG1688" s="2730"/>
      <c r="STH1688" s="2730"/>
      <c r="STI1688" s="2730"/>
      <c r="STJ1688" s="2730"/>
      <c r="STK1688" s="2730"/>
      <c r="STL1688" s="2730"/>
      <c r="STM1688" s="2730"/>
      <c r="STN1688" s="2730"/>
      <c r="STO1688" s="2730"/>
      <c r="STP1688" s="2730"/>
      <c r="STQ1688" s="2730"/>
      <c r="STR1688" s="2730"/>
      <c r="STS1688" s="2730"/>
      <c r="STT1688" s="2730"/>
      <c r="STU1688" s="2730"/>
      <c r="STV1688" s="2730"/>
      <c r="STW1688" s="2730"/>
      <c r="STX1688" s="2730"/>
      <c r="STY1688" s="2730"/>
      <c r="STZ1688" s="2730"/>
      <c r="SUA1688" s="2730"/>
      <c r="SUB1688" s="2730"/>
      <c r="SUC1688" s="2730"/>
      <c r="SUD1688" s="2730"/>
      <c r="SUE1688" s="2730"/>
      <c r="SUF1688" s="2730"/>
      <c r="SUG1688" s="2730"/>
      <c r="SUH1688" s="2730"/>
      <c r="SUI1688" s="2730"/>
      <c r="SUJ1688" s="2730"/>
      <c r="SUK1688" s="2730"/>
      <c r="SUL1688" s="2730"/>
      <c r="SUM1688" s="2730"/>
      <c r="SUN1688" s="2730"/>
      <c r="SUO1688" s="2730"/>
      <c r="SUP1688" s="2730"/>
      <c r="SUQ1688" s="2730"/>
      <c r="SUR1688" s="2730"/>
      <c r="SUS1688" s="2730"/>
      <c r="SUT1688" s="2730"/>
      <c r="SUU1688" s="2730"/>
      <c r="SUV1688" s="2730"/>
      <c r="SUW1688" s="2730"/>
      <c r="SUX1688" s="2730"/>
      <c r="SUY1688" s="2730"/>
      <c r="SUZ1688" s="2730"/>
      <c r="SVA1688" s="2730"/>
      <c r="SVB1688" s="2730"/>
      <c r="SVC1688" s="2730"/>
      <c r="SVD1688" s="2730"/>
      <c r="SVE1688" s="2730"/>
      <c r="SVF1688" s="2730"/>
      <c r="SVG1688" s="2730"/>
      <c r="SVH1688" s="2730"/>
      <c r="SVI1688" s="2730"/>
      <c r="SVJ1688" s="2730"/>
      <c r="SVK1688" s="2730"/>
      <c r="SVL1688" s="2730"/>
      <c r="SVM1688" s="2730"/>
      <c r="SVN1688" s="2730"/>
      <c r="SVO1688" s="2730"/>
      <c r="SVP1688" s="2730"/>
      <c r="SVQ1688" s="2730"/>
      <c r="SVR1688" s="2730"/>
      <c r="SVS1688" s="2730"/>
      <c r="SVT1688" s="2730"/>
      <c r="SVU1688" s="2730"/>
      <c r="SVV1688" s="2730"/>
      <c r="SVW1688" s="2730"/>
      <c r="SVX1688" s="2730"/>
      <c r="SVY1688" s="2730"/>
      <c r="SVZ1688" s="2730"/>
      <c r="SWA1688" s="2730"/>
      <c r="SWB1688" s="2730"/>
      <c r="SWC1688" s="2730"/>
      <c r="SWD1688" s="2730"/>
      <c r="SWE1688" s="2730"/>
      <c r="SWF1688" s="2730"/>
      <c r="SWG1688" s="2730"/>
      <c r="SWH1688" s="2730"/>
      <c r="SWI1688" s="2730"/>
      <c r="SWJ1688" s="2730"/>
      <c r="SWK1688" s="2730"/>
      <c r="SWL1688" s="2730"/>
      <c r="SWM1688" s="2730"/>
      <c r="SWN1688" s="2730"/>
      <c r="SWO1688" s="2730"/>
      <c r="SWP1688" s="2730"/>
      <c r="SWQ1688" s="2730"/>
      <c r="SWR1688" s="2730"/>
      <c r="SWS1688" s="2730"/>
      <c r="SWT1688" s="2730"/>
      <c r="SWU1688" s="2730"/>
      <c r="SWV1688" s="2730"/>
      <c r="SWW1688" s="2730"/>
      <c r="SWX1688" s="2730"/>
      <c r="SWY1688" s="2730"/>
      <c r="SWZ1688" s="2730"/>
      <c r="SXA1688" s="2730"/>
      <c r="SXB1688" s="2730"/>
      <c r="SXC1688" s="2730"/>
      <c r="SXD1688" s="2730"/>
      <c r="SXE1688" s="2730"/>
      <c r="SXF1688" s="2730"/>
      <c r="SXG1688" s="2730"/>
      <c r="SXH1688" s="2730"/>
      <c r="SXI1688" s="2730"/>
      <c r="SXJ1688" s="2730"/>
      <c r="SXK1688" s="2730"/>
      <c r="SXL1688" s="2730"/>
      <c r="SXM1688" s="2730"/>
      <c r="SXN1688" s="2730"/>
      <c r="SXO1688" s="2730"/>
      <c r="SXP1688" s="2730"/>
      <c r="SXQ1688" s="2730"/>
      <c r="SXR1688" s="2730"/>
      <c r="SXS1688" s="2730"/>
      <c r="SXT1688" s="2730"/>
      <c r="SXU1688" s="2730"/>
      <c r="SXV1688" s="2730"/>
      <c r="SXW1688" s="2730"/>
      <c r="SXX1688" s="2730"/>
      <c r="SXY1688" s="2730"/>
      <c r="SXZ1688" s="2730"/>
      <c r="SYA1688" s="2730"/>
      <c r="SYB1688" s="2730"/>
      <c r="SYC1688" s="2730"/>
      <c r="SYD1688" s="2730"/>
      <c r="SYE1688" s="2730"/>
      <c r="SYF1688" s="2730"/>
      <c r="SYG1688" s="2730"/>
      <c r="SYH1688" s="2730"/>
      <c r="SYI1688" s="2730"/>
      <c r="SYJ1688" s="2730"/>
      <c r="SYK1688" s="2730"/>
      <c r="SYL1688" s="2730"/>
      <c r="SYM1688" s="2730"/>
      <c r="SYN1688" s="2730"/>
      <c r="SYO1688" s="2730"/>
      <c r="SYP1688" s="2730"/>
      <c r="SYQ1688" s="2730"/>
      <c r="SYR1688" s="2730"/>
      <c r="SYS1688" s="2730"/>
      <c r="SYT1688" s="2730"/>
      <c r="SYU1688" s="2730"/>
      <c r="SYV1688" s="2730"/>
      <c r="SYW1688" s="2730"/>
      <c r="SYX1688" s="2730"/>
      <c r="SYY1688" s="2730"/>
      <c r="SYZ1688" s="2730"/>
      <c r="SZA1688" s="2730"/>
      <c r="SZB1688" s="2730"/>
      <c r="SZC1688" s="2730"/>
      <c r="SZD1688" s="2730"/>
      <c r="SZE1688" s="2730"/>
      <c r="SZF1688" s="2730"/>
      <c r="SZG1688" s="2730"/>
      <c r="SZH1688" s="2730"/>
      <c r="SZI1688" s="2730"/>
      <c r="SZJ1688" s="2730"/>
      <c r="SZK1688" s="2730"/>
      <c r="SZL1688" s="2730"/>
      <c r="SZM1688" s="2730"/>
      <c r="SZN1688" s="2730"/>
      <c r="SZO1688" s="2730"/>
      <c r="SZP1688" s="2730"/>
      <c r="SZQ1688" s="2730"/>
      <c r="SZR1688" s="2730"/>
      <c r="SZS1688" s="2730"/>
      <c r="SZT1688" s="2730"/>
      <c r="SZU1688" s="2730"/>
      <c r="SZV1688" s="2730"/>
      <c r="SZW1688" s="2730"/>
      <c r="SZX1688" s="2730"/>
      <c r="SZY1688" s="2730"/>
      <c r="SZZ1688" s="2730"/>
      <c r="TAA1688" s="2730"/>
      <c r="TAB1688" s="2730"/>
      <c r="TAC1688" s="2730"/>
      <c r="TAD1688" s="2730"/>
      <c r="TAE1688" s="2730"/>
      <c r="TAF1688" s="2730"/>
      <c r="TAG1688" s="2730"/>
      <c r="TAH1688" s="2730"/>
      <c r="TAI1688" s="2730"/>
      <c r="TAJ1688" s="2730"/>
      <c r="TAK1688" s="2730"/>
      <c r="TAL1688" s="2730"/>
      <c r="TAM1688" s="2730"/>
      <c r="TAN1688" s="2730"/>
      <c r="TAO1688" s="2730"/>
      <c r="TAP1688" s="2730"/>
      <c r="TAQ1688" s="2730"/>
      <c r="TAR1688" s="2730"/>
      <c r="TAS1688" s="2730"/>
      <c r="TAT1688" s="2730"/>
      <c r="TAU1688" s="2730"/>
      <c r="TAV1688" s="2730"/>
      <c r="TAW1688" s="2730"/>
      <c r="TAX1688" s="2730"/>
      <c r="TAY1688" s="2730"/>
      <c r="TAZ1688" s="2730"/>
      <c r="TBA1688" s="2730"/>
      <c r="TBB1688" s="2730"/>
      <c r="TBC1688" s="2730"/>
      <c r="TBD1688" s="2730"/>
      <c r="TBE1688" s="2730"/>
      <c r="TBF1688" s="2730"/>
      <c r="TBG1688" s="2730"/>
      <c r="TBH1688" s="2730"/>
      <c r="TBI1688" s="2730"/>
      <c r="TBJ1688" s="2730"/>
      <c r="TBK1688" s="2730"/>
      <c r="TBL1688" s="2730"/>
      <c r="TBM1688" s="2730"/>
      <c r="TBN1688" s="2730"/>
      <c r="TBO1688" s="2730"/>
      <c r="TBP1688" s="2730"/>
      <c r="TBQ1688" s="2730"/>
      <c r="TBR1688" s="2730"/>
      <c r="TBS1688" s="2730"/>
      <c r="TBT1688" s="2730"/>
      <c r="TBU1688" s="2730"/>
      <c r="TBV1688" s="2730"/>
      <c r="TBW1688" s="2730"/>
      <c r="TBX1688" s="2730"/>
      <c r="TBY1688" s="2730"/>
      <c r="TBZ1688" s="2730"/>
      <c r="TCA1688" s="2730"/>
      <c r="TCB1688" s="2730"/>
      <c r="TCC1688" s="2730"/>
      <c r="TCD1688" s="2730"/>
      <c r="TCE1688" s="2730"/>
      <c r="TCF1688" s="2730"/>
      <c r="TCG1688" s="2730"/>
      <c r="TCH1688" s="2730"/>
      <c r="TCI1688" s="2730"/>
      <c r="TCJ1688" s="2730"/>
      <c r="TCK1688" s="2730"/>
      <c r="TCL1688" s="2730"/>
      <c r="TCM1688" s="2730"/>
      <c r="TCN1688" s="2730"/>
      <c r="TCO1688" s="2730"/>
      <c r="TCP1688" s="2730"/>
      <c r="TCQ1688" s="2730"/>
      <c r="TCR1688" s="2730"/>
      <c r="TCS1688" s="2730"/>
      <c r="TCT1688" s="2730"/>
      <c r="TCU1688" s="2730"/>
      <c r="TCV1688" s="2730"/>
      <c r="TCW1688" s="2730"/>
      <c r="TCX1688" s="2730"/>
      <c r="TCY1688" s="2730"/>
      <c r="TCZ1688" s="2730"/>
      <c r="TDA1688" s="2730"/>
      <c r="TDB1688" s="2730"/>
      <c r="TDC1688" s="2730"/>
      <c r="TDD1688" s="2730"/>
      <c r="TDE1688" s="2730"/>
      <c r="TDF1688" s="2730"/>
      <c r="TDG1688" s="2730"/>
      <c r="TDH1688" s="2730"/>
      <c r="TDI1688" s="2730"/>
      <c r="TDJ1688" s="2730"/>
      <c r="TDK1688" s="2730"/>
      <c r="TDL1688" s="2730"/>
      <c r="TDM1688" s="2730"/>
      <c r="TDN1688" s="2730"/>
      <c r="TDO1688" s="2730"/>
      <c r="TDP1688" s="2730"/>
      <c r="TDQ1688" s="2730"/>
      <c r="TDR1688" s="2730"/>
      <c r="TDS1688" s="2730"/>
      <c r="TDT1688" s="2730"/>
      <c r="TDU1688" s="2730"/>
      <c r="TDV1688" s="2730"/>
      <c r="TDW1688" s="2730"/>
      <c r="TDX1688" s="2730"/>
      <c r="TDY1688" s="2730"/>
      <c r="TDZ1688" s="2730"/>
      <c r="TEA1688" s="2730"/>
      <c r="TEB1688" s="2730"/>
      <c r="TEC1688" s="2730"/>
      <c r="TED1688" s="2730"/>
      <c r="TEE1688" s="2730"/>
      <c r="TEF1688" s="2730"/>
      <c r="TEG1688" s="2730"/>
      <c r="TEH1688" s="2730"/>
      <c r="TEI1688" s="2730"/>
      <c r="TEJ1688" s="2730"/>
      <c r="TEK1688" s="2730"/>
      <c r="TEL1688" s="2730"/>
      <c r="TEM1688" s="2730"/>
      <c r="TEN1688" s="2730"/>
      <c r="TEO1688" s="2730"/>
      <c r="TEP1688" s="2730"/>
      <c r="TEQ1688" s="2730"/>
      <c r="TER1688" s="2730"/>
      <c r="TES1688" s="2730"/>
      <c r="TET1688" s="2730"/>
      <c r="TEU1688" s="2730"/>
      <c r="TEV1688" s="2730"/>
      <c r="TEW1688" s="2730"/>
      <c r="TEX1688" s="2730"/>
      <c r="TEY1688" s="2730"/>
      <c r="TEZ1688" s="2730"/>
      <c r="TFA1688" s="2730"/>
      <c r="TFB1688" s="2730"/>
      <c r="TFC1688" s="2730"/>
      <c r="TFD1688" s="2730"/>
      <c r="TFE1688" s="2730"/>
      <c r="TFF1688" s="2730"/>
      <c r="TFG1688" s="2730"/>
      <c r="TFH1688" s="2730"/>
      <c r="TFI1688" s="2730"/>
      <c r="TFJ1688" s="2730"/>
      <c r="TFK1688" s="2730"/>
      <c r="TFL1688" s="2730"/>
      <c r="TFM1688" s="2730"/>
      <c r="TFN1688" s="2730"/>
      <c r="TFO1688" s="2730"/>
      <c r="TFP1688" s="2730"/>
      <c r="TFQ1688" s="2730"/>
      <c r="TFR1688" s="2730"/>
      <c r="TFS1688" s="2730"/>
      <c r="TFT1688" s="2730"/>
      <c r="TFU1688" s="2730"/>
      <c r="TFV1688" s="2730"/>
      <c r="TFW1688" s="2730"/>
      <c r="TFX1688" s="2730"/>
      <c r="TFY1688" s="2730"/>
      <c r="TFZ1688" s="2730"/>
      <c r="TGA1688" s="2730"/>
      <c r="TGB1688" s="2730"/>
      <c r="TGC1688" s="2730"/>
      <c r="TGD1688" s="2730"/>
      <c r="TGE1688" s="2730"/>
      <c r="TGF1688" s="2730"/>
      <c r="TGG1688" s="2730"/>
      <c r="TGH1688" s="2730"/>
      <c r="TGI1688" s="2730"/>
      <c r="TGJ1688" s="2730"/>
      <c r="TGK1688" s="2730"/>
      <c r="TGL1688" s="2730"/>
      <c r="TGM1688" s="2730"/>
      <c r="TGN1688" s="2730"/>
      <c r="TGO1688" s="2730"/>
      <c r="TGP1688" s="2730"/>
      <c r="TGQ1688" s="2730"/>
      <c r="TGR1688" s="2730"/>
      <c r="TGS1688" s="2730"/>
      <c r="TGT1688" s="2730"/>
      <c r="TGU1688" s="2730"/>
      <c r="TGV1688" s="2730"/>
      <c r="TGW1688" s="2730"/>
      <c r="TGX1688" s="2730"/>
      <c r="TGY1688" s="2730"/>
      <c r="TGZ1688" s="2730"/>
      <c r="THA1688" s="2730"/>
      <c r="THB1688" s="2730"/>
      <c r="THC1688" s="2730"/>
      <c r="THD1688" s="2730"/>
      <c r="THE1688" s="2730"/>
      <c r="THF1688" s="2730"/>
      <c r="THG1688" s="2730"/>
      <c r="THH1688" s="2730"/>
      <c r="THI1688" s="2730"/>
      <c r="THJ1688" s="2730"/>
      <c r="THK1688" s="2730"/>
      <c r="THL1688" s="2730"/>
      <c r="THM1688" s="2730"/>
      <c r="THN1688" s="2730"/>
      <c r="THO1688" s="2730"/>
      <c r="THP1688" s="2730"/>
      <c r="THQ1688" s="2730"/>
      <c r="THR1688" s="2730"/>
      <c r="THS1688" s="2730"/>
      <c r="THT1688" s="2730"/>
      <c r="THU1688" s="2730"/>
      <c r="THV1688" s="2730"/>
      <c r="THW1688" s="2730"/>
      <c r="THX1688" s="2730"/>
      <c r="THY1688" s="2730"/>
      <c r="THZ1688" s="2730"/>
      <c r="TIA1688" s="2730"/>
      <c r="TIB1688" s="2730"/>
      <c r="TIC1688" s="2730"/>
      <c r="TID1688" s="2730"/>
      <c r="TIE1688" s="2730"/>
      <c r="TIF1688" s="2730"/>
      <c r="TIG1688" s="2730"/>
      <c r="TIH1688" s="2730"/>
      <c r="TII1688" s="2730"/>
      <c r="TIJ1688" s="2730"/>
      <c r="TIK1688" s="2730"/>
      <c r="TIL1688" s="2730"/>
      <c r="TIM1688" s="2730"/>
      <c r="TIN1688" s="2730"/>
      <c r="TIO1688" s="2730"/>
      <c r="TIP1688" s="2730"/>
      <c r="TIQ1688" s="2730"/>
      <c r="TIR1688" s="2730"/>
      <c r="TIS1688" s="2730"/>
      <c r="TIT1688" s="2730"/>
      <c r="TIU1688" s="2730"/>
      <c r="TIV1688" s="2730"/>
      <c r="TIW1688" s="2730"/>
      <c r="TIX1688" s="2730"/>
      <c r="TIY1688" s="2730"/>
      <c r="TIZ1688" s="2730"/>
      <c r="TJA1688" s="2730"/>
      <c r="TJB1688" s="2730"/>
      <c r="TJC1688" s="2730"/>
      <c r="TJD1688" s="2730"/>
      <c r="TJE1688" s="2730"/>
      <c r="TJF1688" s="2730"/>
      <c r="TJG1688" s="2730"/>
      <c r="TJH1688" s="2730"/>
      <c r="TJI1688" s="2730"/>
      <c r="TJJ1688" s="2730"/>
      <c r="TJK1688" s="2730"/>
      <c r="TJL1688" s="2730"/>
      <c r="TJM1688" s="2730"/>
      <c r="TJN1688" s="2730"/>
      <c r="TJO1688" s="2730"/>
      <c r="TJP1688" s="2730"/>
      <c r="TJQ1688" s="2730"/>
      <c r="TJR1688" s="2730"/>
      <c r="TJS1688" s="2730"/>
      <c r="TJT1688" s="2730"/>
      <c r="TJU1688" s="2730"/>
      <c r="TJV1688" s="2730"/>
      <c r="TJW1688" s="2730"/>
      <c r="TJX1688" s="2730"/>
      <c r="TJY1688" s="2730"/>
      <c r="TJZ1688" s="2730"/>
      <c r="TKA1688" s="2730"/>
      <c r="TKB1688" s="2730"/>
      <c r="TKC1688" s="2730"/>
      <c r="TKD1688" s="2730"/>
      <c r="TKE1688" s="2730"/>
      <c r="TKF1688" s="2730"/>
      <c r="TKG1688" s="2730"/>
      <c r="TKH1688" s="2730"/>
      <c r="TKI1688" s="2730"/>
      <c r="TKJ1688" s="2730"/>
      <c r="TKK1688" s="2730"/>
      <c r="TKL1688" s="2730"/>
      <c r="TKM1688" s="2730"/>
      <c r="TKN1688" s="2730"/>
      <c r="TKO1688" s="2730"/>
      <c r="TKP1688" s="2730"/>
      <c r="TKQ1688" s="2730"/>
      <c r="TKR1688" s="2730"/>
      <c r="TKS1688" s="2730"/>
      <c r="TKT1688" s="2730"/>
      <c r="TKU1688" s="2730"/>
      <c r="TKV1688" s="2730"/>
      <c r="TKW1688" s="2730"/>
      <c r="TKX1688" s="2730"/>
      <c r="TKY1688" s="2730"/>
      <c r="TKZ1688" s="2730"/>
      <c r="TLA1688" s="2730"/>
      <c r="TLB1688" s="2730"/>
      <c r="TLC1688" s="2730"/>
      <c r="TLD1688" s="2730"/>
      <c r="TLE1688" s="2730"/>
      <c r="TLF1688" s="2730"/>
      <c r="TLG1688" s="2730"/>
      <c r="TLH1688" s="2730"/>
      <c r="TLI1688" s="2730"/>
      <c r="TLJ1688" s="2730"/>
      <c r="TLK1688" s="2730"/>
      <c r="TLL1688" s="2730"/>
      <c r="TLM1688" s="2730"/>
      <c r="TLN1688" s="2730"/>
      <c r="TLO1688" s="2730"/>
      <c r="TLP1688" s="2730"/>
      <c r="TLQ1688" s="2730"/>
      <c r="TLR1688" s="2730"/>
      <c r="TLS1688" s="2730"/>
      <c r="TLT1688" s="2730"/>
      <c r="TLU1688" s="2730"/>
      <c r="TLV1688" s="2730"/>
      <c r="TLW1688" s="2730"/>
      <c r="TLX1688" s="2730"/>
      <c r="TLY1688" s="2730"/>
      <c r="TLZ1688" s="2730"/>
      <c r="TMA1688" s="2730"/>
      <c r="TMB1688" s="2730"/>
      <c r="TMC1688" s="2730"/>
      <c r="TMD1688" s="2730"/>
      <c r="TME1688" s="2730"/>
      <c r="TMF1688" s="2730"/>
      <c r="TMG1688" s="2730"/>
      <c r="TMH1688" s="2730"/>
      <c r="TMI1688" s="2730"/>
      <c r="TMJ1688" s="2730"/>
      <c r="TMK1688" s="2730"/>
      <c r="TML1688" s="2730"/>
      <c r="TMM1688" s="2730"/>
      <c r="TMN1688" s="2730"/>
      <c r="TMO1688" s="2730"/>
      <c r="TMP1688" s="2730"/>
      <c r="TMQ1688" s="2730"/>
      <c r="TMR1688" s="2730"/>
      <c r="TMS1688" s="2730"/>
      <c r="TMT1688" s="2730"/>
      <c r="TMU1688" s="2730"/>
      <c r="TMV1688" s="2730"/>
      <c r="TMW1688" s="2730"/>
      <c r="TMX1688" s="2730"/>
      <c r="TMY1688" s="2730"/>
      <c r="TMZ1688" s="2730"/>
      <c r="TNA1688" s="2730"/>
      <c r="TNB1688" s="2730"/>
      <c r="TNC1688" s="2730"/>
      <c r="TND1688" s="2730"/>
      <c r="TNE1688" s="2730"/>
      <c r="TNF1688" s="2730"/>
      <c r="TNG1688" s="2730"/>
      <c r="TNH1688" s="2730"/>
      <c r="TNI1688" s="2730"/>
      <c r="TNJ1688" s="2730"/>
      <c r="TNK1688" s="2730"/>
      <c r="TNL1688" s="2730"/>
      <c r="TNM1688" s="2730"/>
      <c r="TNN1688" s="2730"/>
      <c r="TNO1688" s="2730"/>
      <c r="TNP1688" s="2730"/>
      <c r="TNQ1688" s="2730"/>
      <c r="TNR1688" s="2730"/>
      <c r="TNS1688" s="2730"/>
      <c r="TNT1688" s="2730"/>
      <c r="TNU1688" s="2730"/>
      <c r="TNV1688" s="2730"/>
      <c r="TNW1688" s="2730"/>
      <c r="TNX1688" s="2730"/>
      <c r="TNY1688" s="2730"/>
      <c r="TNZ1688" s="2730"/>
      <c r="TOA1688" s="2730"/>
      <c r="TOB1688" s="2730"/>
      <c r="TOC1688" s="2730"/>
      <c r="TOD1688" s="2730"/>
      <c r="TOE1688" s="2730"/>
      <c r="TOF1688" s="2730"/>
      <c r="TOG1688" s="2730"/>
      <c r="TOH1688" s="2730"/>
      <c r="TOI1688" s="2730"/>
      <c r="TOJ1688" s="2730"/>
      <c r="TOK1688" s="2730"/>
      <c r="TOL1688" s="2730"/>
      <c r="TOM1688" s="2730"/>
      <c r="TON1688" s="2730"/>
      <c r="TOO1688" s="2730"/>
      <c r="TOP1688" s="2730"/>
      <c r="TOQ1688" s="2730"/>
      <c r="TOR1688" s="2730"/>
      <c r="TOS1688" s="2730"/>
      <c r="TOT1688" s="2730"/>
      <c r="TOU1688" s="2730"/>
      <c r="TOV1688" s="2730"/>
      <c r="TOW1688" s="2730"/>
      <c r="TOX1688" s="2730"/>
      <c r="TOY1688" s="2730"/>
      <c r="TOZ1688" s="2730"/>
      <c r="TPA1688" s="2730"/>
      <c r="TPB1688" s="2730"/>
      <c r="TPC1688" s="2730"/>
      <c r="TPD1688" s="2730"/>
      <c r="TPE1688" s="2730"/>
      <c r="TPF1688" s="2730"/>
      <c r="TPG1688" s="2730"/>
      <c r="TPH1688" s="2730"/>
      <c r="TPI1688" s="2730"/>
      <c r="TPJ1688" s="2730"/>
      <c r="TPK1688" s="2730"/>
      <c r="TPL1688" s="2730"/>
      <c r="TPM1688" s="2730"/>
      <c r="TPN1688" s="2730"/>
      <c r="TPO1688" s="2730"/>
      <c r="TPP1688" s="2730"/>
      <c r="TPQ1688" s="2730"/>
      <c r="TPR1688" s="2730"/>
      <c r="TPS1688" s="2730"/>
      <c r="TPT1688" s="2730"/>
      <c r="TPU1688" s="2730"/>
      <c r="TPV1688" s="2730"/>
      <c r="TPW1688" s="2730"/>
      <c r="TPX1688" s="2730"/>
      <c r="TPY1688" s="2730"/>
      <c r="TPZ1688" s="2730"/>
      <c r="TQA1688" s="2730"/>
      <c r="TQB1688" s="2730"/>
      <c r="TQC1688" s="2730"/>
      <c r="TQD1688" s="2730"/>
      <c r="TQE1688" s="2730"/>
      <c r="TQF1688" s="2730"/>
      <c r="TQG1688" s="2730"/>
      <c r="TQH1688" s="2730"/>
      <c r="TQI1688" s="2730"/>
      <c r="TQJ1688" s="2730"/>
      <c r="TQK1688" s="2730"/>
      <c r="TQL1688" s="2730"/>
      <c r="TQM1688" s="2730"/>
      <c r="TQN1688" s="2730"/>
      <c r="TQO1688" s="2730"/>
      <c r="TQP1688" s="2730"/>
      <c r="TQQ1688" s="2730"/>
      <c r="TQR1688" s="2730"/>
      <c r="TQS1688" s="2730"/>
      <c r="TQT1688" s="2730"/>
      <c r="TQU1688" s="2730"/>
      <c r="TQV1688" s="2730"/>
      <c r="TQW1688" s="2730"/>
      <c r="TQX1688" s="2730"/>
      <c r="TQY1688" s="2730"/>
      <c r="TQZ1688" s="2730"/>
      <c r="TRA1688" s="2730"/>
      <c r="TRB1688" s="2730"/>
      <c r="TRC1688" s="2730"/>
      <c r="TRD1688" s="2730"/>
      <c r="TRE1688" s="2730"/>
      <c r="TRF1688" s="2730"/>
      <c r="TRG1688" s="2730"/>
      <c r="TRH1688" s="2730"/>
      <c r="TRI1688" s="2730"/>
      <c r="TRJ1688" s="2730"/>
      <c r="TRK1688" s="2730"/>
      <c r="TRL1688" s="2730"/>
      <c r="TRM1688" s="2730"/>
      <c r="TRN1688" s="2730"/>
      <c r="TRO1688" s="2730"/>
      <c r="TRP1688" s="2730"/>
      <c r="TRQ1688" s="2730"/>
      <c r="TRR1688" s="2730"/>
      <c r="TRS1688" s="2730"/>
      <c r="TRT1688" s="2730"/>
      <c r="TRU1688" s="2730"/>
      <c r="TRV1688" s="2730"/>
      <c r="TRW1688" s="2730"/>
      <c r="TRX1688" s="2730"/>
      <c r="TRY1688" s="2730"/>
      <c r="TRZ1688" s="2730"/>
      <c r="TSA1688" s="2730"/>
      <c r="TSB1688" s="2730"/>
      <c r="TSC1688" s="2730"/>
      <c r="TSD1688" s="2730"/>
      <c r="TSE1688" s="2730"/>
      <c r="TSF1688" s="2730"/>
      <c r="TSG1688" s="2730"/>
      <c r="TSH1688" s="2730"/>
      <c r="TSI1688" s="2730"/>
      <c r="TSJ1688" s="2730"/>
      <c r="TSK1688" s="2730"/>
      <c r="TSL1688" s="2730"/>
      <c r="TSM1688" s="2730"/>
      <c r="TSN1688" s="2730"/>
      <c r="TSO1688" s="2730"/>
      <c r="TSP1688" s="2730"/>
      <c r="TSQ1688" s="2730"/>
      <c r="TSR1688" s="2730"/>
      <c r="TSS1688" s="2730"/>
      <c r="TST1688" s="2730"/>
      <c r="TSU1688" s="2730"/>
      <c r="TSV1688" s="2730"/>
      <c r="TSW1688" s="2730"/>
      <c r="TSX1688" s="2730"/>
      <c r="TSY1688" s="2730"/>
      <c r="TSZ1688" s="2730"/>
      <c r="TTA1688" s="2730"/>
      <c r="TTB1688" s="2730"/>
      <c r="TTC1688" s="2730"/>
      <c r="TTD1688" s="2730"/>
      <c r="TTE1688" s="2730"/>
      <c r="TTF1688" s="2730"/>
      <c r="TTG1688" s="2730"/>
      <c r="TTH1688" s="2730"/>
      <c r="TTI1688" s="2730"/>
      <c r="TTJ1688" s="2730"/>
      <c r="TTK1688" s="2730"/>
      <c r="TTL1688" s="2730"/>
      <c r="TTM1688" s="2730"/>
      <c r="TTN1688" s="2730"/>
      <c r="TTO1688" s="2730"/>
      <c r="TTP1688" s="2730"/>
      <c r="TTQ1688" s="2730"/>
      <c r="TTR1688" s="2730"/>
      <c r="TTS1688" s="2730"/>
      <c r="TTT1688" s="2730"/>
      <c r="TTU1688" s="2730"/>
      <c r="TTV1688" s="2730"/>
      <c r="TTW1688" s="2730"/>
      <c r="TTX1688" s="2730"/>
      <c r="TTY1688" s="2730"/>
      <c r="TTZ1688" s="2730"/>
      <c r="TUA1688" s="2730"/>
      <c r="TUB1688" s="2730"/>
      <c r="TUC1688" s="2730"/>
      <c r="TUD1688" s="2730"/>
      <c r="TUE1688" s="2730"/>
      <c r="TUF1688" s="2730"/>
      <c r="TUG1688" s="2730"/>
      <c r="TUH1688" s="2730"/>
      <c r="TUI1688" s="2730"/>
      <c r="TUJ1688" s="2730"/>
      <c r="TUK1688" s="2730"/>
      <c r="TUL1688" s="2730"/>
      <c r="TUM1688" s="2730"/>
      <c r="TUN1688" s="2730"/>
      <c r="TUO1688" s="2730"/>
      <c r="TUP1688" s="2730"/>
      <c r="TUQ1688" s="2730"/>
      <c r="TUR1688" s="2730"/>
      <c r="TUS1688" s="2730"/>
      <c r="TUT1688" s="2730"/>
      <c r="TUU1688" s="2730"/>
      <c r="TUV1688" s="2730"/>
      <c r="TUW1688" s="2730"/>
      <c r="TUX1688" s="2730"/>
      <c r="TUY1688" s="2730"/>
      <c r="TUZ1688" s="2730"/>
      <c r="TVA1688" s="2730"/>
      <c r="TVB1688" s="2730"/>
      <c r="TVC1688" s="2730"/>
      <c r="TVD1688" s="2730"/>
      <c r="TVE1688" s="2730"/>
      <c r="TVF1688" s="2730"/>
      <c r="TVG1688" s="2730"/>
      <c r="TVH1688" s="2730"/>
      <c r="TVI1688" s="2730"/>
      <c r="TVJ1688" s="2730"/>
      <c r="TVK1688" s="2730"/>
      <c r="TVL1688" s="2730"/>
      <c r="TVM1688" s="2730"/>
      <c r="TVN1688" s="2730"/>
      <c r="TVO1688" s="2730"/>
      <c r="TVP1688" s="2730"/>
      <c r="TVQ1688" s="2730"/>
      <c r="TVR1688" s="2730"/>
      <c r="TVS1688" s="2730"/>
      <c r="TVT1688" s="2730"/>
      <c r="TVU1688" s="2730"/>
      <c r="TVV1688" s="2730"/>
      <c r="TVW1688" s="2730"/>
      <c r="TVX1688" s="2730"/>
      <c r="TVY1688" s="2730"/>
      <c r="TVZ1688" s="2730"/>
      <c r="TWA1688" s="2730"/>
      <c r="TWB1688" s="2730"/>
      <c r="TWC1688" s="2730"/>
      <c r="TWD1688" s="2730"/>
      <c r="TWE1688" s="2730"/>
      <c r="TWF1688" s="2730"/>
      <c r="TWG1688" s="2730"/>
      <c r="TWH1688" s="2730"/>
      <c r="TWI1688" s="2730"/>
      <c r="TWJ1688" s="2730"/>
      <c r="TWK1688" s="2730"/>
      <c r="TWL1688" s="2730"/>
      <c r="TWM1688" s="2730"/>
      <c r="TWN1688" s="2730"/>
      <c r="TWO1688" s="2730"/>
      <c r="TWP1688" s="2730"/>
      <c r="TWQ1688" s="2730"/>
      <c r="TWR1688" s="2730"/>
      <c r="TWS1688" s="2730"/>
      <c r="TWT1688" s="2730"/>
      <c r="TWU1688" s="2730"/>
      <c r="TWV1688" s="2730"/>
      <c r="TWW1688" s="2730"/>
      <c r="TWX1688" s="2730"/>
      <c r="TWY1688" s="2730"/>
      <c r="TWZ1688" s="2730"/>
      <c r="TXA1688" s="2730"/>
      <c r="TXB1688" s="2730"/>
      <c r="TXC1688" s="2730"/>
      <c r="TXD1688" s="2730"/>
      <c r="TXE1688" s="2730"/>
      <c r="TXF1688" s="2730"/>
      <c r="TXG1688" s="2730"/>
      <c r="TXH1688" s="2730"/>
      <c r="TXI1688" s="2730"/>
      <c r="TXJ1688" s="2730"/>
      <c r="TXK1688" s="2730"/>
      <c r="TXL1688" s="2730"/>
      <c r="TXM1688" s="2730"/>
      <c r="TXN1688" s="2730"/>
      <c r="TXO1688" s="2730"/>
      <c r="TXP1688" s="2730"/>
      <c r="TXQ1688" s="2730"/>
      <c r="TXR1688" s="2730"/>
      <c r="TXS1688" s="2730"/>
      <c r="TXT1688" s="2730"/>
      <c r="TXU1688" s="2730"/>
      <c r="TXV1688" s="2730"/>
      <c r="TXW1688" s="2730"/>
      <c r="TXX1688" s="2730"/>
      <c r="TXY1688" s="2730"/>
      <c r="TXZ1688" s="2730"/>
      <c r="TYA1688" s="2730"/>
      <c r="TYB1688" s="2730"/>
      <c r="TYC1688" s="2730"/>
      <c r="TYD1688" s="2730"/>
      <c r="TYE1688" s="2730"/>
      <c r="TYF1688" s="2730"/>
      <c r="TYG1688" s="2730"/>
      <c r="TYH1688" s="2730"/>
      <c r="TYI1688" s="2730"/>
      <c r="TYJ1688" s="2730"/>
      <c r="TYK1688" s="2730"/>
      <c r="TYL1688" s="2730"/>
      <c r="TYM1688" s="2730"/>
      <c r="TYN1688" s="2730"/>
      <c r="TYO1688" s="2730"/>
      <c r="TYP1688" s="2730"/>
      <c r="TYQ1688" s="2730"/>
      <c r="TYR1688" s="2730"/>
      <c r="TYS1688" s="2730"/>
      <c r="TYT1688" s="2730"/>
      <c r="TYU1688" s="2730"/>
      <c r="TYV1688" s="2730"/>
      <c r="TYW1688" s="2730"/>
      <c r="TYX1688" s="2730"/>
      <c r="TYY1688" s="2730"/>
      <c r="TYZ1688" s="2730"/>
      <c r="TZA1688" s="2730"/>
      <c r="TZB1688" s="2730"/>
      <c r="TZC1688" s="2730"/>
      <c r="TZD1688" s="2730"/>
      <c r="TZE1688" s="2730"/>
      <c r="TZF1688" s="2730"/>
      <c r="TZG1688" s="2730"/>
      <c r="TZH1688" s="2730"/>
      <c r="TZI1688" s="2730"/>
      <c r="TZJ1688" s="2730"/>
      <c r="TZK1688" s="2730"/>
      <c r="TZL1688" s="2730"/>
      <c r="TZM1688" s="2730"/>
      <c r="TZN1688" s="2730"/>
      <c r="TZO1688" s="2730"/>
      <c r="TZP1688" s="2730"/>
      <c r="TZQ1688" s="2730"/>
      <c r="TZR1688" s="2730"/>
      <c r="TZS1688" s="2730"/>
      <c r="TZT1688" s="2730"/>
      <c r="TZU1688" s="2730"/>
      <c r="TZV1688" s="2730"/>
      <c r="TZW1688" s="2730"/>
      <c r="TZX1688" s="2730"/>
      <c r="TZY1688" s="2730"/>
      <c r="TZZ1688" s="2730"/>
      <c r="UAA1688" s="2730"/>
      <c r="UAB1688" s="2730"/>
      <c r="UAC1688" s="2730"/>
      <c r="UAD1688" s="2730"/>
      <c r="UAE1688" s="2730"/>
      <c r="UAF1688" s="2730"/>
      <c r="UAG1688" s="2730"/>
      <c r="UAH1688" s="2730"/>
      <c r="UAI1688" s="2730"/>
      <c r="UAJ1688" s="2730"/>
      <c r="UAK1688" s="2730"/>
      <c r="UAL1688" s="2730"/>
      <c r="UAM1688" s="2730"/>
      <c r="UAN1688" s="2730"/>
      <c r="UAO1688" s="2730"/>
      <c r="UAP1688" s="2730"/>
      <c r="UAQ1688" s="2730"/>
      <c r="UAR1688" s="2730"/>
      <c r="UAS1688" s="2730"/>
      <c r="UAT1688" s="2730"/>
      <c r="UAU1688" s="2730"/>
      <c r="UAV1688" s="2730"/>
      <c r="UAW1688" s="2730"/>
      <c r="UAX1688" s="2730"/>
      <c r="UAY1688" s="2730"/>
      <c r="UAZ1688" s="2730"/>
      <c r="UBA1688" s="2730"/>
      <c r="UBB1688" s="2730"/>
      <c r="UBC1688" s="2730"/>
      <c r="UBD1688" s="2730"/>
      <c r="UBE1688" s="2730"/>
      <c r="UBF1688" s="2730"/>
      <c r="UBG1688" s="2730"/>
      <c r="UBH1688" s="2730"/>
      <c r="UBI1688" s="2730"/>
      <c r="UBJ1688" s="2730"/>
      <c r="UBK1688" s="2730"/>
      <c r="UBL1688" s="2730"/>
      <c r="UBM1688" s="2730"/>
      <c r="UBN1688" s="2730"/>
      <c r="UBO1688" s="2730"/>
      <c r="UBP1688" s="2730"/>
      <c r="UBQ1688" s="2730"/>
      <c r="UBR1688" s="2730"/>
      <c r="UBS1688" s="2730"/>
      <c r="UBT1688" s="2730"/>
      <c r="UBU1688" s="2730"/>
      <c r="UBV1688" s="2730"/>
      <c r="UBW1688" s="2730"/>
      <c r="UBX1688" s="2730"/>
      <c r="UBY1688" s="2730"/>
      <c r="UBZ1688" s="2730"/>
      <c r="UCA1688" s="2730"/>
      <c r="UCB1688" s="2730"/>
      <c r="UCC1688" s="2730"/>
      <c r="UCD1688" s="2730"/>
      <c r="UCE1688" s="2730"/>
      <c r="UCF1688" s="2730"/>
      <c r="UCG1688" s="2730"/>
      <c r="UCH1688" s="2730"/>
      <c r="UCI1688" s="2730"/>
      <c r="UCJ1688" s="2730"/>
      <c r="UCK1688" s="2730"/>
      <c r="UCL1688" s="2730"/>
      <c r="UCM1688" s="2730"/>
      <c r="UCN1688" s="2730"/>
      <c r="UCO1688" s="2730"/>
      <c r="UCP1688" s="2730"/>
      <c r="UCQ1688" s="2730"/>
      <c r="UCR1688" s="2730"/>
      <c r="UCS1688" s="2730"/>
      <c r="UCT1688" s="2730"/>
      <c r="UCU1688" s="2730"/>
      <c r="UCV1688" s="2730"/>
      <c r="UCW1688" s="2730"/>
      <c r="UCX1688" s="2730"/>
      <c r="UCY1688" s="2730"/>
      <c r="UCZ1688" s="2730"/>
      <c r="UDA1688" s="2730"/>
      <c r="UDB1688" s="2730"/>
      <c r="UDC1688" s="2730"/>
      <c r="UDD1688" s="2730"/>
      <c r="UDE1688" s="2730"/>
      <c r="UDF1688" s="2730"/>
      <c r="UDG1688" s="2730"/>
      <c r="UDH1688" s="2730"/>
      <c r="UDI1688" s="2730"/>
      <c r="UDJ1688" s="2730"/>
      <c r="UDK1688" s="2730"/>
      <c r="UDL1688" s="2730"/>
      <c r="UDM1688" s="2730"/>
      <c r="UDN1688" s="2730"/>
      <c r="UDO1688" s="2730"/>
      <c r="UDP1688" s="2730"/>
      <c r="UDQ1688" s="2730"/>
      <c r="UDR1688" s="2730"/>
      <c r="UDS1688" s="2730"/>
      <c r="UDT1688" s="2730"/>
      <c r="UDU1688" s="2730"/>
      <c r="UDV1688" s="2730"/>
      <c r="UDW1688" s="2730"/>
      <c r="UDX1688" s="2730"/>
      <c r="UDY1688" s="2730"/>
      <c r="UDZ1688" s="2730"/>
      <c r="UEA1688" s="2730"/>
      <c r="UEB1688" s="2730"/>
      <c r="UEC1688" s="2730"/>
      <c r="UED1688" s="2730"/>
      <c r="UEE1688" s="2730"/>
      <c r="UEF1688" s="2730"/>
      <c r="UEG1688" s="2730"/>
      <c r="UEH1688" s="2730"/>
      <c r="UEI1688" s="2730"/>
      <c r="UEJ1688" s="2730"/>
      <c r="UEK1688" s="2730"/>
      <c r="UEL1688" s="2730"/>
      <c r="UEM1688" s="2730"/>
      <c r="UEN1688" s="2730"/>
      <c r="UEO1688" s="2730"/>
      <c r="UEP1688" s="2730"/>
      <c r="UEQ1688" s="2730"/>
      <c r="UER1688" s="2730"/>
      <c r="UES1688" s="2730"/>
      <c r="UET1688" s="2730"/>
      <c r="UEU1688" s="2730"/>
      <c r="UEV1688" s="2730"/>
      <c r="UEW1688" s="2730"/>
      <c r="UEX1688" s="2730"/>
      <c r="UEY1688" s="2730"/>
      <c r="UEZ1688" s="2730"/>
      <c r="UFA1688" s="2730"/>
      <c r="UFB1688" s="2730"/>
      <c r="UFC1688" s="2730"/>
      <c r="UFD1688" s="2730"/>
      <c r="UFE1688" s="2730"/>
      <c r="UFF1688" s="2730"/>
      <c r="UFG1688" s="2730"/>
      <c r="UFH1688" s="2730"/>
      <c r="UFI1688" s="2730"/>
      <c r="UFJ1688" s="2730"/>
      <c r="UFK1688" s="2730"/>
      <c r="UFL1688" s="2730"/>
      <c r="UFM1688" s="2730"/>
      <c r="UFN1688" s="2730"/>
      <c r="UFO1688" s="2730"/>
      <c r="UFP1688" s="2730"/>
      <c r="UFQ1688" s="2730"/>
      <c r="UFR1688" s="2730"/>
      <c r="UFS1688" s="2730"/>
      <c r="UFT1688" s="2730"/>
      <c r="UFU1688" s="2730"/>
      <c r="UFV1688" s="2730"/>
      <c r="UFW1688" s="2730"/>
      <c r="UFX1688" s="2730"/>
      <c r="UFY1688" s="2730"/>
      <c r="UFZ1688" s="2730"/>
      <c r="UGA1688" s="2730"/>
      <c r="UGB1688" s="2730"/>
      <c r="UGC1688" s="2730"/>
      <c r="UGD1688" s="2730"/>
      <c r="UGE1688" s="2730"/>
      <c r="UGF1688" s="2730"/>
      <c r="UGG1688" s="2730"/>
      <c r="UGH1688" s="2730"/>
      <c r="UGI1688" s="2730"/>
      <c r="UGJ1688" s="2730"/>
      <c r="UGK1688" s="2730"/>
      <c r="UGL1688" s="2730"/>
      <c r="UGM1688" s="2730"/>
      <c r="UGN1688" s="2730"/>
      <c r="UGO1688" s="2730"/>
      <c r="UGP1688" s="2730"/>
      <c r="UGQ1688" s="2730"/>
      <c r="UGR1688" s="2730"/>
      <c r="UGS1688" s="2730"/>
      <c r="UGT1688" s="2730"/>
      <c r="UGU1688" s="2730"/>
      <c r="UGV1688" s="2730"/>
      <c r="UGW1688" s="2730"/>
      <c r="UGX1688" s="2730"/>
      <c r="UGY1688" s="2730"/>
      <c r="UGZ1688" s="2730"/>
      <c r="UHA1688" s="2730"/>
      <c r="UHB1688" s="2730"/>
      <c r="UHC1688" s="2730"/>
      <c r="UHD1688" s="2730"/>
      <c r="UHE1688" s="2730"/>
      <c r="UHF1688" s="2730"/>
      <c r="UHG1688" s="2730"/>
      <c r="UHH1688" s="2730"/>
      <c r="UHI1688" s="2730"/>
      <c r="UHJ1688" s="2730"/>
      <c r="UHK1688" s="2730"/>
      <c r="UHL1688" s="2730"/>
      <c r="UHM1688" s="2730"/>
      <c r="UHN1688" s="2730"/>
      <c r="UHO1688" s="2730"/>
      <c r="UHP1688" s="2730"/>
      <c r="UHQ1688" s="2730"/>
      <c r="UHR1688" s="2730"/>
      <c r="UHS1688" s="2730"/>
      <c r="UHT1688" s="2730"/>
      <c r="UHU1688" s="2730"/>
      <c r="UHV1688" s="2730"/>
      <c r="UHW1688" s="2730"/>
      <c r="UHX1688" s="2730"/>
      <c r="UHY1688" s="2730"/>
      <c r="UHZ1688" s="2730"/>
      <c r="UIA1688" s="2730"/>
      <c r="UIB1688" s="2730"/>
      <c r="UIC1688" s="2730"/>
      <c r="UID1688" s="2730"/>
      <c r="UIE1688" s="2730"/>
      <c r="UIF1688" s="2730"/>
      <c r="UIG1688" s="2730"/>
      <c r="UIH1688" s="2730"/>
      <c r="UII1688" s="2730"/>
      <c r="UIJ1688" s="2730"/>
      <c r="UIK1688" s="2730"/>
      <c r="UIL1688" s="2730"/>
      <c r="UIM1688" s="2730"/>
      <c r="UIN1688" s="2730"/>
      <c r="UIO1688" s="2730"/>
      <c r="UIP1688" s="2730"/>
      <c r="UIQ1688" s="2730"/>
      <c r="UIR1688" s="2730"/>
      <c r="UIS1688" s="2730"/>
      <c r="UIT1688" s="2730"/>
      <c r="UIU1688" s="2730"/>
      <c r="UIV1688" s="2730"/>
      <c r="UIW1688" s="2730"/>
      <c r="UIX1688" s="2730"/>
      <c r="UIY1688" s="2730"/>
      <c r="UIZ1688" s="2730"/>
      <c r="UJA1688" s="2730"/>
      <c r="UJB1688" s="2730"/>
      <c r="UJC1688" s="2730"/>
      <c r="UJD1688" s="2730"/>
      <c r="UJE1688" s="2730"/>
      <c r="UJF1688" s="2730"/>
      <c r="UJG1688" s="2730"/>
      <c r="UJH1688" s="2730"/>
      <c r="UJI1688" s="2730"/>
      <c r="UJJ1688" s="2730"/>
      <c r="UJK1688" s="2730"/>
      <c r="UJL1688" s="2730"/>
      <c r="UJM1688" s="2730"/>
      <c r="UJN1688" s="2730"/>
      <c r="UJO1688" s="2730"/>
      <c r="UJP1688" s="2730"/>
      <c r="UJQ1688" s="2730"/>
      <c r="UJR1688" s="2730"/>
      <c r="UJS1688" s="2730"/>
      <c r="UJT1688" s="2730"/>
      <c r="UJU1688" s="2730"/>
      <c r="UJV1688" s="2730"/>
      <c r="UJW1688" s="2730"/>
      <c r="UJX1688" s="2730"/>
      <c r="UJY1688" s="2730"/>
      <c r="UJZ1688" s="2730"/>
      <c r="UKA1688" s="2730"/>
      <c r="UKB1688" s="2730"/>
      <c r="UKC1688" s="2730"/>
      <c r="UKD1688" s="2730"/>
      <c r="UKE1688" s="2730"/>
      <c r="UKF1688" s="2730"/>
      <c r="UKG1688" s="2730"/>
      <c r="UKH1688" s="2730"/>
      <c r="UKI1688" s="2730"/>
      <c r="UKJ1688" s="2730"/>
      <c r="UKK1688" s="2730"/>
      <c r="UKL1688" s="2730"/>
      <c r="UKM1688" s="2730"/>
      <c r="UKN1688" s="2730"/>
      <c r="UKO1688" s="2730"/>
      <c r="UKP1688" s="2730"/>
      <c r="UKQ1688" s="2730"/>
      <c r="UKR1688" s="2730"/>
      <c r="UKS1688" s="2730"/>
      <c r="UKT1688" s="2730"/>
      <c r="UKU1688" s="2730"/>
      <c r="UKV1688" s="2730"/>
      <c r="UKW1688" s="2730"/>
      <c r="UKX1688" s="2730"/>
      <c r="UKY1688" s="2730"/>
      <c r="UKZ1688" s="2730"/>
      <c r="ULA1688" s="2730"/>
      <c r="ULB1688" s="2730"/>
      <c r="ULC1688" s="2730"/>
      <c r="ULD1688" s="2730"/>
      <c r="ULE1688" s="2730"/>
      <c r="ULF1688" s="2730"/>
      <c r="ULG1688" s="2730"/>
      <c r="ULH1688" s="2730"/>
      <c r="ULI1688" s="2730"/>
      <c r="ULJ1688" s="2730"/>
      <c r="ULK1688" s="2730"/>
      <c r="ULL1688" s="2730"/>
      <c r="ULM1688" s="2730"/>
      <c r="ULN1688" s="2730"/>
      <c r="ULO1688" s="2730"/>
      <c r="ULP1688" s="2730"/>
      <c r="ULQ1688" s="2730"/>
      <c r="ULR1688" s="2730"/>
      <c r="ULS1688" s="2730"/>
      <c r="ULT1688" s="2730"/>
      <c r="ULU1688" s="2730"/>
      <c r="ULV1688" s="2730"/>
      <c r="ULW1688" s="2730"/>
      <c r="ULX1688" s="2730"/>
      <c r="ULY1688" s="2730"/>
      <c r="ULZ1688" s="2730"/>
      <c r="UMA1688" s="2730"/>
      <c r="UMB1688" s="2730"/>
      <c r="UMC1688" s="2730"/>
      <c r="UMD1688" s="2730"/>
      <c r="UME1688" s="2730"/>
      <c r="UMF1688" s="2730"/>
      <c r="UMG1688" s="2730"/>
      <c r="UMH1688" s="2730"/>
      <c r="UMI1688" s="2730"/>
      <c r="UMJ1688" s="2730"/>
      <c r="UMK1688" s="2730"/>
      <c r="UML1688" s="2730"/>
      <c r="UMM1688" s="2730"/>
      <c r="UMN1688" s="2730"/>
      <c r="UMO1688" s="2730"/>
      <c r="UMP1688" s="2730"/>
      <c r="UMQ1688" s="2730"/>
      <c r="UMR1688" s="2730"/>
      <c r="UMS1688" s="2730"/>
      <c r="UMT1688" s="2730"/>
      <c r="UMU1688" s="2730"/>
      <c r="UMV1688" s="2730"/>
      <c r="UMW1688" s="2730"/>
      <c r="UMX1688" s="2730"/>
      <c r="UMY1688" s="2730"/>
      <c r="UMZ1688" s="2730"/>
      <c r="UNA1688" s="2730"/>
      <c r="UNB1688" s="2730"/>
      <c r="UNC1688" s="2730"/>
      <c r="UND1688" s="2730"/>
      <c r="UNE1688" s="2730"/>
      <c r="UNF1688" s="2730"/>
      <c r="UNG1688" s="2730"/>
      <c r="UNH1688" s="2730"/>
      <c r="UNI1688" s="2730"/>
      <c r="UNJ1688" s="2730"/>
      <c r="UNK1688" s="2730"/>
      <c r="UNL1688" s="2730"/>
      <c r="UNM1688" s="2730"/>
      <c r="UNN1688" s="2730"/>
      <c r="UNO1688" s="2730"/>
      <c r="UNP1688" s="2730"/>
      <c r="UNQ1688" s="2730"/>
      <c r="UNR1688" s="2730"/>
      <c r="UNS1688" s="2730"/>
      <c r="UNT1688" s="2730"/>
      <c r="UNU1688" s="2730"/>
      <c r="UNV1688" s="2730"/>
      <c r="UNW1688" s="2730"/>
      <c r="UNX1688" s="2730"/>
      <c r="UNY1688" s="2730"/>
      <c r="UNZ1688" s="2730"/>
      <c r="UOA1688" s="2730"/>
      <c r="UOB1688" s="2730"/>
      <c r="UOC1688" s="2730"/>
      <c r="UOD1688" s="2730"/>
      <c r="UOE1688" s="2730"/>
      <c r="UOF1688" s="2730"/>
      <c r="UOG1688" s="2730"/>
      <c r="UOH1688" s="2730"/>
      <c r="UOI1688" s="2730"/>
      <c r="UOJ1688" s="2730"/>
      <c r="UOK1688" s="2730"/>
      <c r="UOL1688" s="2730"/>
      <c r="UOM1688" s="2730"/>
      <c r="UON1688" s="2730"/>
      <c r="UOO1688" s="2730"/>
      <c r="UOP1688" s="2730"/>
      <c r="UOQ1688" s="2730"/>
      <c r="UOR1688" s="2730"/>
      <c r="UOS1688" s="2730"/>
      <c r="UOT1688" s="2730"/>
      <c r="UOU1688" s="2730"/>
      <c r="UOV1688" s="2730"/>
      <c r="UOW1688" s="2730"/>
      <c r="UOX1688" s="2730"/>
      <c r="UOY1688" s="2730"/>
      <c r="UOZ1688" s="2730"/>
      <c r="UPA1688" s="2730"/>
      <c r="UPB1688" s="2730"/>
      <c r="UPC1688" s="2730"/>
      <c r="UPD1688" s="2730"/>
      <c r="UPE1688" s="2730"/>
      <c r="UPF1688" s="2730"/>
      <c r="UPG1688" s="2730"/>
      <c r="UPH1688" s="2730"/>
      <c r="UPI1688" s="2730"/>
      <c r="UPJ1688" s="2730"/>
      <c r="UPK1688" s="2730"/>
      <c r="UPL1688" s="2730"/>
      <c r="UPM1688" s="2730"/>
      <c r="UPN1688" s="2730"/>
      <c r="UPO1688" s="2730"/>
      <c r="UPP1688" s="2730"/>
      <c r="UPQ1688" s="2730"/>
      <c r="UPR1688" s="2730"/>
      <c r="UPS1688" s="2730"/>
      <c r="UPT1688" s="2730"/>
      <c r="UPU1688" s="2730"/>
      <c r="UPV1688" s="2730"/>
      <c r="UPW1688" s="2730"/>
      <c r="UPX1688" s="2730"/>
      <c r="UPY1688" s="2730"/>
      <c r="UPZ1688" s="2730"/>
      <c r="UQA1688" s="2730"/>
      <c r="UQB1688" s="2730"/>
      <c r="UQC1688" s="2730"/>
      <c r="UQD1688" s="2730"/>
      <c r="UQE1688" s="2730"/>
      <c r="UQF1688" s="2730"/>
      <c r="UQG1688" s="2730"/>
      <c r="UQH1688" s="2730"/>
      <c r="UQI1688" s="2730"/>
      <c r="UQJ1688" s="2730"/>
      <c r="UQK1688" s="2730"/>
      <c r="UQL1688" s="2730"/>
      <c r="UQM1688" s="2730"/>
      <c r="UQN1688" s="2730"/>
      <c r="UQO1688" s="2730"/>
      <c r="UQP1688" s="2730"/>
      <c r="UQQ1688" s="2730"/>
      <c r="UQR1688" s="2730"/>
      <c r="UQS1688" s="2730"/>
      <c r="UQT1688" s="2730"/>
      <c r="UQU1688" s="2730"/>
      <c r="UQV1688" s="2730"/>
      <c r="UQW1688" s="2730"/>
      <c r="UQX1688" s="2730"/>
      <c r="UQY1688" s="2730"/>
      <c r="UQZ1688" s="2730"/>
      <c r="URA1688" s="2730"/>
      <c r="URB1688" s="2730"/>
      <c r="URC1688" s="2730"/>
      <c r="URD1688" s="2730"/>
      <c r="URE1688" s="2730"/>
      <c r="URF1688" s="2730"/>
      <c r="URG1688" s="2730"/>
      <c r="URH1688" s="2730"/>
      <c r="URI1688" s="2730"/>
      <c r="URJ1688" s="2730"/>
      <c r="URK1688" s="2730"/>
      <c r="URL1688" s="2730"/>
      <c r="URM1688" s="2730"/>
      <c r="URN1688" s="2730"/>
      <c r="URO1688" s="2730"/>
      <c r="URP1688" s="2730"/>
      <c r="URQ1688" s="2730"/>
      <c r="URR1688" s="2730"/>
      <c r="URS1688" s="2730"/>
      <c r="URT1688" s="2730"/>
      <c r="URU1688" s="2730"/>
      <c r="URV1688" s="2730"/>
      <c r="URW1688" s="2730"/>
      <c r="URX1688" s="2730"/>
      <c r="URY1688" s="2730"/>
      <c r="URZ1688" s="2730"/>
      <c r="USA1688" s="2730"/>
      <c r="USB1688" s="2730"/>
      <c r="USC1688" s="2730"/>
      <c r="USD1688" s="2730"/>
      <c r="USE1688" s="2730"/>
      <c r="USF1688" s="2730"/>
      <c r="USG1688" s="2730"/>
      <c r="USH1688" s="2730"/>
      <c r="USI1688" s="2730"/>
      <c r="USJ1688" s="2730"/>
      <c r="USK1688" s="2730"/>
      <c r="USL1688" s="2730"/>
      <c r="USM1688" s="2730"/>
      <c r="USN1688" s="2730"/>
      <c r="USO1688" s="2730"/>
      <c r="USP1688" s="2730"/>
      <c r="USQ1688" s="2730"/>
      <c r="USR1688" s="2730"/>
      <c r="USS1688" s="2730"/>
      <c r="UST1688" s="2730"/>
      <c r="USU1688" s="2730"/>
      <c r="USV1688" s="2730"/>
      <c r="USW1688" s="2730"/>
      <c r="USX1688" s="2730"/>
      <c r="USY1688" s="2730"/>
      <c r="USZ1688" s="2730"/>
      <c r="UTA1688" s="2730"/>
      <c r="UTB1688" s="2730"/>
      <c r="UTC1688" s="2730"/>
      <c r="UTD1688" s="2730"/>
      <c r="UTE1688" s="2730"/>
      <c r="UTF1688" s="2730"/>
      <c r="UTG1688" s="2730"/>
      <c r="UTH1688" s="2730"/>
      <c r="UTI1688" s="2730"/>
      <c r="UTJ1688" s="2730"/>
      <c r="UTK1688" s="2730"/>
      <c r="UTL1688" s="2730"/>
      <c r="UTM1688" s="2730"/>
      <c r="UTN1688" s="2730"/>
      <c r="UTO1688" s="2730"/>
      <c r="UTP1688" s="2730"/>
      <c r="UTQ1688" s="2730"/>
      <c r="UTR1688" s="2730"/>
      <c r="UTS1688" s="2730"/>
      <c r="UTT1688" s="2730"/>
      <c r="UTU1688" s="2730"/>
      <c r="UTV1688" s="2730"/>
      <c r="UTW1688" s="2730"/>
      <c r="UTX1688" s="2730"/>
      <c r="UTY1688" s="2730"/>
      <c r="UTZ1688" s="2730"/>
      <c r="UUA1688" s="2730"/>
      <c r="UUB1688" s="2730"/>
      <c r="UUC1688" s="2730"/>
      <c r="UUD1688" s="2730"/>
      <c r="UUE1688" s="2730"/>
      <c r="UUF1688" s="2730"/>
      <c r="UUG1688" s="2730"/>
      <c r="UUH1688" s="2730"/>
      <c r="UUI1688" s="2730"/>
      <c r="UUJ1688" s="2730"/>
      <c r="UUK1688" s="2730"/>
      <c r="UUL1688" s="2730"/>
      <c r="UUM1688" s="2730"/>
      <c r="UUN1688" s="2730"/>
      <c r="UUO1688" s="2730"/>
      <c r="UUP1688" s="2730"/>
      <c r="UUQ1688" s="2730"/>
      <c r="UUR1688" s="2730"/>
      <c r="UUS1688" s="2730"/>
      <c r="UUT1688" s="2730"/>
      <c r="UUU1688" s="2730"/>
      <c r="UUV1688" s="2730"/>
      <c r="UUW1688" s="2730"/>
      <c r="UUX1688" s="2730"/>
      <c r="UUY1688" s="2730"/>
      <c r="UUZ1688" s="2730"/>
      <c r="UVA1688" s="2730"/>
      <c r="UVB1688" s="2730"/>
      <c r="UVC1688" s="2730"/>
      <c r="UVD1688" s="2730"/>
      <c r="UVE1688" s="2730"/>
      <c r="UVF1688" s="2730"/>
      <c r="UVG1688" s="2730"/>
      <c r="UVH1688" s="2730"/>
      <c r="UVI1688" s="2730"/>
      <c r="UVJ1688" s="2730"/>
      <c r="UVK1688" s="2730"/>
      <c r="UVL1688" s="2730"/>
      <c r="UVM1688" s="2730"/>
      <c r="UVN1688" s="2730"/>
      <c r="UVO1688" s="2730"/>
      <c r="UVP1688" s="2730"/>
      <c r="UVQ1688" s="2730"/>
      <c r="UVR1688" s="2730"/>
      <c r="UVS1688" s="2730"/>
      <c r="UVT1688" s="2730"/>
      <c r="UVU1688" s="2730"/>
      <c r="UVV1688" s="2730"/>
      <c r="UVW1688" s="2730"/>
      <c r="UVX1688" s="2730"/>
      <c r="UVY1688" s="2730"/>
      <c r="UVZ1688" s="2730"/>
      <c r="UWA1688" s="2730"/>
      <c r="UWB1688" s="2730"/>
      <c r="UWC1688" s="2730"/>
      <c r="UWD1688" s="2730"/>
      <c r="UWE1688" s="2730"/>
      <c r="UWF1688" s="2730"/>
      <c r="UWG1688" s="2730"/>
      <c r="UWH1688" s="2730"/>
      <c r="UWI1688" s="2730"/>
      <c r="UWJ1688" s="2730"/>
      <c r="UWK1688" s="2730"/>
      <c r="UWL1688" s="2730"/>
      <c r="UWM1688" s="2730"/>
      <c r="UWN1688" s="2730"/>
      <c r="UWO1688" s="2730"/>
      <c r="UWP1688" s="2730"/>
      <c r="UWQ1688" s="2730"/>
      <c r="UWR1688" s="2730"/>
      <c r="UWS1688" s="2730"/>
      <c r="UWT1688" s="2730"/>
      <c r="UWU1688" s="2730"/>
      <c r="UWV1688" s="2730"/>
      <c r="UWW1688" s="2730"/>
      <c r="UWX1688" s="2730"/>
      <c r="UWY1688" s="2730"/>
      <c r="UWZ1688" s="2730"/>
      <c r="UXA1688" s="2730"/>
      <c r="UXB1688" s="2730"/>
      <c r="UXC1688" s="2730"/>
      <c r="UXD1688" s="2730"/>
      <c r="UXE1688" s="2730"/>
      <c r="UXF1688" s="2730"/>
      <c r="UXG1688" s="2730"/>
      <c r="UXH1688" s="2730"/>
      <c r="UXI1688" s="2730"/>
      <c r="UXJ1688" s="2730"/>
      <c r="UXK1688" s="2730"/>
      <c r="UXL1688" s="2730"/>
      <c r="UXM1688" s="2730"/>
      <c r="UXN1688" s="2730"/>
      <c r="UXO1688" s="2730"/>
      <c r="UXP1688" s="2730"/>
      <c r="UXQ1688" s="2730"/>
      <c r="UXR1688" s="2730"/>
      <c r="UXS1688" s="2730"/>
      <c r="UXT1688" s="2730"/>
      <c r="UXU1688" s="2730"/>
      <c r="UXV1688" s="2730"/>
      <c r="UXW1688" s="2730"/>
      <c r="UXX1688" s="2730"/>
      <c r="UXY1688" s="2730"/>
      <c r="UXZ1688" s="2730"/>
      <c r="UYA1688" s="2730"/>
      <c r="UYB1688" s="2730"/>
      <c r="UYC1688" s="2730"/>
      <c r="UYD1688" s="2730"/>
      <c r="UYE1688" s="2730"/>
      <c r="UYF1688" s="2730"/>
      <c r="UYG1688" s="2730"/>
      <c r="UYH1688" s="2730"/>
      <c r="UYI1688" s="2730"/>
      <c r="UYJ1688" s="2730"/>
      <c r="UYK1688" s="2730"/>
      <c r="UYL1688" s="2730"/>
      <c r="UYM1688" s="2730"/>
      <c r="UYN1688" s="2730"/>
      <c r="UYO1688" s="2730"/>
      <c r="UYP1688" s="2730"/>
      <c r="UYQ1688" s="2730"/>
      <c r="UYR1688" s="2730"/>
      <c r="UYS1688" s="2730"/>
      <c r="UYT1688" s="2730"/>
      <c r="UYU1688" s="2730"/>
      <c r="UYV1688" s="2730"/>
      <c r="UYW1688" s="2730"/>
      <c r="UYX1688" s="2730"/>
      <c r="UYY1688" s="2730"/>
      <c r="UYZ1688" s="2730"/>
      <c r="UZA1688" s="2730"/>
      <c r="UZB1688" s="2730"/>
      <c r="UZC1688" s="2730"/>
      <c r="UZD1688" s="2730"/>
      <c r="UZE1688" s="2730"/>
      <c r="UZF1688" s="2730"/>
      <c r="UZG1688" s="2730"/>
      <c r="UZH1688" s="2730"/>
      <c r="UZI1688" s="2730"/>
      <c r="UZJ1688" s="2730"/>
      <c r="UZK1688" s="2730"/>
      <c r="UZL1688" s="2730"/>
      <c r="UZM1688" s="2730"/>
      <c r="UZN1688" s="2730"/>
      <c r="UZO1688" s="2730"/>
      <c r="UZP1688" s="2730"/>
      <c r="UZQ1688" s="2730"/>
      <c r="UZR1688" s="2730"/>
      <c r="UZS1688" s="2730"/>
      <c r="UZT1688" s="2730"/>
      <c r="UZU1688" s="2730"/>
      <c r="UZV1688" s="2730"/>
      <c r="UZW1688" s="2730"/>
      <c r="UZX1688" s="2730"/>
      <c r="UZY1688" s="2730"/>
      <c r="UZZ1688" s="2730"/>
      <c r="VAA1688" s="2730"/>
      <c r="VAB1688" s="2730"/>
      <c r="VAC1688" s="2730"/>
      <c r="VAD1688" s="2730"/>
      <c r="VAE1688" s="2730"/>
      <c r="VAF1688" s="2730"/>
      <c r="VAG1688" s="2730"/>
      <c r="VAH1688" s="2730"/>
      <c r="VAI1688" s="2730"/>
      <c r="VAJ1688" s="2730"/>
      <c r="VAK1688" s="2730"/>
      <c r="VAL1688" s="2730"/>
      <c r="VAM1688" s="2730"/>
      <c r="VAN1688" s="2730"/>
      <c r="VAO1688" s="2730"/>
      <c r="VAP1688" s="2730"/>
      <c r="VAQ1688" s="2730"/>
      <c r="VAR1688" s="2730"/>
      <c r="VAS1688" s="2730"/>
      <c r="VAT1688" s="2730"/>
      <c r="VAU1688" s="2730"/>
      <c r="VAV1688" s="2730"/>
      <c r="VAW1688" s="2730"/>
      <c r="VAX1688" s="2730"/>
      <c r="VAY1688" s="2730"/>
      <c r="VAZ1688" s="2730"/>
      <c r="VBA1688" s="2730"/>
      <c r="VBB1688" s="2730"/>
      <c r="VBC1688" s="2730"/>
      <c r="VBD1688" s="2730"/>
      <c r="VBE1688" s="2730"/>
      <c r="VBF1688" s="2730"/>
      <c r="VBG1688" s="2730"/>
      <c r="VBH1688" s="2730"/>
      <c r="VBI1688" s="2730"/>
      <c r="VBJ1688" s="2730"/>
      <c r="VBK1688" s="2730"/>
      <c r="VBL1688" s="2730"/>
      <c r="VBM1688" s="2730"/>
      <c r="VBN1688" s="2730"/>
      <c r="VBO1688" s="2730"/>
      <c r="VBP1688" s="2730"/>
      <c r="VBQ1688" s="2730"/>
      <c r="VBR1688" s="2730"/>
      <c r="VBS1688" s="2730"/>
      <c r="VBT1688" s="2730"/>
      <c r="VBU1688" s="2730"/>
      <c r="VBV1688" s="2730"/>
      <c r="VBW1688" s="2730"/>
      <c r="VBX1688" s="2730"/>
      <c r="VBY1688" s="2730"/>
      <c r="VBZ1688" s="2730"/>
      <c r="VCA1688" s="2730"/>
      <c r="VCB1688" s="2730"/>
      <c r="VCC1688" s="2730"/>
      <c r="VCD1688" s="2730"/>
      <c r="VCE1688" s="2730"/>
      <c r="VCF1688" s="2730"/>
      <c r="VCG1688" s="2730"/>
      <c r="VCH1688" s="2730"/>
      <c r="VCI1688" s="2730"/>
      <c r="VCJ1688" s="2730"/>
      <c r="VCK1688" s="2730"/>
      <c r="VCL1688" s="2730"/>
      <c r="VCM1688" s="2730"/>
      <c r="VCN1688" s="2730"/>
      <c r="VCO1688" s="2730"/>
      <c r="VCP1688" s="2730"/>
      <c r="VCQ1688" s="2730"/>
      <c r="VCR1688" s="2730"/>
      <c r="VCS1688" s="2730"/>
      <c r="VCT1688" s="2730"/>
      <c r="VCU1688" s="2730"/>
      <c r="VCV1688" s="2730"/>
      <c r="VCW1688" s="2730"/>
      <c r="VCX1688" s="2730"/>
      <c r="VCY1688" s="2730"/>
      <c r="VCZ1688" s="2730"/>
      <c r="VDA1688" s="2730"/>
      <c r="VDB1688" s="2730"/>
      <c r="VDC1688" s="2730"/>
      <c r="VDD1688" s="2730"/>
      <c r="VDE1688" s="2730"/>
      <c r="VDF1688" s="2730"/>
      <c r="VDG1688" s="2730"/>
      <c r="VDH1688" s="2730"/>
      <c r="VDI1688" s="2730"/>
      <c r="VDJ1688" s="2730"/>
      <c r="VDK1688" s="2730"/>
      <c r="VDL1688" s="2730"/>
      <c r="VDM1688" s="2730"/>
      <c r="VDN1688" s="2730"/>
      <c r="VDO1688" s="2730"/>
      <c r="VDP1688" s="2730"/>
      <c r="VDQ1688" s="2730"/>
      <c r="VDR1688" s="2730"/>
      <c r="VDS1688" s="2730"/>
      <c r="VDT1688" s="2730"/>
      <c r="VDU1688" s="2730"/>
      <c r="VDV1688" s="2730"/>
      <c r="VDW1688" s="2730"/>
      <c r="VDX1688" s="2730"/>
      <c r="VDY1688" s="2730"/>
      <c r="VDZ1688" s="2730"/>
      <c r="VEA1688" s="2730"/>
      <c r="VEB1688" s="2730"/>
      <c r="VEC1688" s="2730"/>
      <c r="VED1688" s="2730"/>
      <c r="VEE1688" s="2730"/>
      <c r="VEF1688" s="2730"/>
      <c r="VEG1688" s="2730"/>
      <c r="VEH1688" s="2730"/>
      <c r="VEI1688" s="2730"/>
      <c r="VEJ1688" s="2730"/>
      <c r="VEK1688" s="2730"/>
      <c r="VEL1688" s="2730"/>
      <c r="VEM1688" s="2730"/>
      <c r="VEN1688" s="2730"/>
      <c r="VEO1688" s="2730"/>
      <c r="VEP1688" s="2730"/>
      <c r="VEQ1688" s="2730"/>
      <c r="VER1688" s="2730"/>
      <c r="VES1688" s="2730"/>
      <c r="VET1688" s="2730"/>
      <c r="VEU1688" s="2730"/>
      <c r="VEV1688" s="2730"/>
      <c r="VEW1688" s="2730"/>
      <c r="VEX1688" s="2730"/>
      <c r="VEY1688" s="2730"/>
      <c r="VEZ1688" s="2730"/>
      <c r="VFA1688" s="2730"/>
      <c r="VFB1688" s="2730"/>
      <c r="VFC1688" s="2730"/>
      <c r="VFD1688" s="2730"/>
      <c r="VFE1688" s="2730"/>
      <c r="VFF1688" s="2730"/>
      <c r="VFG1688" s="2730"/>
      <c r="VFH1688" s="2730"/>
      <c r="VFI1688" s="2730"/>
      <c r="VFJ1688" s="2730"/>
      <c r="VFK1688" s="2730"/>
      <c r="VFL1688" s="2730"/>
      <c r="VFM1688" s="2730"/>
      <c r="VFN1688" s="2730"/>
      <c r="VFO1688" s="2730"/>
      <c r="VFP1688" s="2730"/>
      <c r="VFQ1688" s="2730"/>
      <c r="VFR1688" s="2730"/>
      <c r="VFS1688" s="2730"/>
      <c r="VFT1688" s="2730"/>
      <c r="VFU1688" s="2730"/>
      <c r="VFV1688" s="2730"/>
      <c r="VFW1688" s="2730"/>
      <c r="VFX1688" s="2730"/>
      <c r="VFY1688" s="2730"/>
      <c r="VFZ1688" s="2730"/>
      <c r="VGA1688" s="2730"/>
      <c r="VGB1688" s="2730"/>
      <c r="VGC1688" s="2730"/>
      <c r="VGD1688" s="2730"/>
      <c r="VGE1688" s="2730"/>
      <c r="VGF1688" s="2730"/>
      <c r="VGG1688" s="2730"/>
      <c r="VGH1688" s="2730"/>
      <c r="VGI1688" s="2730"/>
      <c r="VGJ1688" s="2730"/>
      <c r="VGK1688" s="2730"/>
      <c r="VGL1688" s="2730"/>
      <c r="VGM1688" s="2730"/>
      <c r="VGN1688" s="2730"/>
      <c r="VGO1688" s="2730"/>
      <c r="VGP1688" s="2730"/>
      <c r="VGQ1688" s="2730"/>
      <c r="VGR1688" s="2730"/>
      <c r="VGS1688" s="2730"/>
      <c r="VGT1688" s="2730"/>
      <c r="VGU1688" s="2730"/>
      <c r="VGV1688" s="2730"/>
      <c r="VGW1688" s="2730"/>
      <c r="VGX1688" s="2730"/>
      <c r="VGY1688" s="2730"/>
      <c r="VGZ1688" s="2730"/>
      <c r="VHA1688" s="2730"/>
      <c r="VHB1688" s="2730"/>
      <c r="VHC1688" s="2730"/>
      <c r="VHD1688" s="2730"/>
      <c r="VHE1688" s="2730"/>
      <c r="VHF1688" s="2730"/>
      <c r="VHG1688" s="2730"/>
      <c r="VHH1688" s="2730"/>
      <c r="VHI1688" s="2730"/>
      <c r="VHJ1688" s="2730"/>
      <c r="VHK1688" s="2730"/>
      <c r="VHL1688" s="2730"/>
      <c r="VHM1688" s="2730"/>
      <c r="VHN1688" s="2730"/>
      <c r="VHO1688" s="2730"/>
      <c r="VHP1688" s="2730"/>
      <c r="VHQ1688" s="2730"/>
      <c r="VHR1688" s="2730"/>
      <c r="VHS1688" s="2730"/>
      <c r="VHT1688" s="2730"/>
      <c r="VHU1688" s="2730"/>
      <c r="VHV1688" s="2730"/>
      <c r="VHW1688" s="2730"/>
      <c r="VHX1688" s="2730"/>
      <c r="VHY1688" s="2730"/>
      <c r="VHZ1688" s="2730"/>
      <c r="VIA1688" s="2730"/>
      <c r="VIB1688" s="2730"/>
      <c r="VIC1688" s="2730"/>
      <c r="VID1688" s="2730"/>
      <c r="VIE1688" s="2730"/>
      <c r="VIF1688" s="2730"/>
      <c r="VIG1688" s="2730"/>
      <c r="VIH1688" s="2730"/>
      <c r="VII1688" s="2730"/>
      <c r="VIJ1688" s="2730"/>
      <c r="VIK1688" s="2730"/>
      <c r="VIL1688" s="2730"/>
      <c r="VIM1688" s="2730"/>
      <c r="VIN1688" s="2730"/>
      <c r="VIO1688" s="2730"/>
      <c r="VIP1688" s="2730"/>
      <c r="VIQ1688" s="2730"/>
      <c r="VIR1688" s="2730"/>
      <c r="VIS1688" s="2730"/>
      <c r="VIT1688" s="2730"/>
      <c r="VIU1688" s="2730"/>
      <c r="VIV1688" s="2730"/>
      <c r="VIW1688" s="2730"/>
      <c r="VIX1688" s="2730"/>
      <c r="VIY1688" s="2730"/>
      <c r="VIZ1688" s="2730"/>
      <c r="VJA1688" s="2730"/>
      <c r="VJB1688" s="2730"/>
      <c r="VJC1688" s="2730"/>
      <c r="VJD1688" s="2730"/>
      <c r="VJE1688" s="2730"/>
      <c r="VJF1688" s="2730"/>
      <c r="VJG1688" s="2730"/>
      <c r="VJH1688" s="2730"/>
      <c r="VJI1688" s="2730"/>
      <c r="VJJ1688" s="2730"/>
      <c r="VJK1688" s="2730"/>
      <c r="VJL1688" s="2730"/>
      <c r="VJM1688" s="2730"/>
      <c r="VJN1688" s="2730"/>
      <c r="VJO1688" s="2730"/>
      <c r="VJP1688" s="2730"/>
      <c r="VJQ1688" s="2730"/>
      <c r="VJR1688" s="2730"/>
      <c r="VJS1688" s="2730"/>
      <c r="VJT1688" s="2730"/>
      <c r="VJU1688" s="2730"/>
      <c r="VJV1688" s="2730"/>
      <c r="VJW1688" s="2730"/>
      <c r="VJX1688" s="2730"/>
      <c r="VJY1688" s="2730"/>
      <c r="VJZ1688" s="2730"/>
      <c r="VKA1688" s="2730"/>
      <c r="VKB1688" s="2730"/>
      <c r="VKC1688" s="2730"/>
      <c r="VKD1688" s="2730"/>
      <c r="VKE1688" s="2730"/>
      <c r="VKF1688" s="2730"/>
      <c r="VKG1688" s="2730"/>
      <c r="VKH1688" s="2730"/>
      <c r="VKI1688" s="2730"/>
      <c r="VKJ1688" s="2730"/>
      <c r="VKK1688" s="2730"/>
      <c r="VKL1688" s="2730"/>
      <c r="VKM1688" s="2730"/>
      <c r="VKN1688" s="2730"/>
      <c r="VKO1688" s="2730"/>
      <c r="VKP1688" s="2730"/>
      <c r="VKQ1688" s="2730"/>
      <c r="VKR1688" s="2730"/>
      <c r="VKS1688" s="2730"/>
      <c r="VKT1688" s="2730"/>
      <c r="VKU1688" s="2730"/>
      <c r="VKV1688" s="2730"/>
      <c r="VKW1688" s="2730"/>
      <c r="VKX1688" s="2730"/>
      <c r="VKY1688" s="2730"/>
      <c r="VKZ1688" s="2730"/>
      <c r="VLA1688" s="2730"/>
      <c r="VLB1688" s="2730"/>
      <c r="VLC1688" s="2730"/>
      <c r="VLD1688" s="2730"/>
      <c r="VLE1688" s="2730"/>
      <c r="VLF1688" s="2730"/>
      <c r="VLG1688" s="2730"/>
      <c r="VLH1688" s="2730"/>
      <c r="VLI1688" s="2730"/>
      <c r="VLJ1688" s="2730"/>
      <c r="VLK1688" s="2730"/>
      <c r="VLL1688" s="2730"/>
      <c r="VLM1688" s="2730"/>
      <c r="VLN1688" s="2730"/>
      <c r="VLO1688" s="2730"/>
      <c r="VLP1688" s="2730"/>
      <c r="VLQ1688" s="2730"/>
      <c r="VLR1688" s="2730"/>
      <c r="VLS1688" s="2730"/>
      <c r="VLT1688" s="2730"/>
      <c r="VLU1688" s="2730"/>
      <c r="VLV1688" s="2730"/>
      <c r="VLW1688" s="2730"/>
      <c r="VLX1688" s="2730"/>
      <c r="VLY1688" s="2730"/>
      <c r="VLZ1688" s="2730"/>
      <c r="VMA1688" s="2730"/>
      <c r="VMB1688" s="2730"/>
      <c r="VMC1688" s="2730"/>
      <c r="VMD1688" s="2730"/>
      <c r="VME1688" s="2730"/>
      <c r="VMF1688" s="2730"/>
      <c r="VMG1688" s="2730"/>
      <c r="VMH1688" s="2730"/>
      <c r="VMI1688" s="2730"/>
      <c r="VMJ1688" s="2730"/>
      <c r="VMK1688" s="2730"/>
      <c r="VML1688" s="2730"/>
      <c r="VMM1688" s="2730"/>
      <c r="VMN1688" s="2730"/>
      <c r="VMO1688" s="2730"/>
      <c r="VMP1688" s="2730"/>
      <c r="VMQ1688" s="2730"/>
      <c r="VMR1688" s="2730"/>
      <c r="VMS1688" s="2730"/>
      <c r="VMT1688" s="2730"/>
      <c r="VMU1688" s="2730"/>
      <c r="VMV1688" s="2730"/>
      <c r="VMW1688" s="2730"/>
      <c r="VMX1688" s="2730"/>
      <c r="VMY1688" s="2730"/>
      <c r="VMZ1688" s="2730"/>
      <c r="VNA1688" s="2730"/>
      <c r="VNB1688" s="2730"/>
      <c r="VNC1688" s="2730"/>
      <c r="VND1688" s="2730"/>
      <c r="VNE1688" s="2730"/>
      <c r="VNF1688" s="2730"/>
      <c r="VNG1688" s="2730"/>
      <c r="VNH1688" s="2730"/>
      <c r="VNI1688" s="2730"/>
      <c r="VNJ1688" s="2730"/>
      <c r="VNK1688" s="2730"/>
      <c r="VNL1688" s="2730"/>
      <c r="VNM1688" s="2730"/>
      <c r="VNN1688" s="2730"/>
      <c r="VNO1688" s="2730"/>
      <c r="VNP1688" s="2730"/>
      <c r="VNQ1688" s="2730"/>
      <c r="VNR1688" s="2730"/>
      <c r="VNS1688" s="2730"/>
      <c r="VNT1688" s="2730"/>
      <c r="VNU1688" s="2730"/>
      <c r="VNV1688" s="2730"/>
      <c r="VNW1688" s="2730"/>
      <c r="VNX1688" s="2730"/>
      <c r="VNY1688" s="2730"/>
      <c r="VNZ1688" s="2730"/>
      <c r="VOA1688" s="2730"/>
      <c r="VOB1688" s="2730"/>
      <c r="VOC1688" s="2730"/>
      <c r="VOD1688" s="2730"/>
      <c r="VOE1688" s="2730"/>
      <c r="VOF1688" s="2730"/>
      <c r="VOG1688" s="2730"/>
      <c r="VOH1688" s="2730"/>
      <c r="VOI1688" s="2730"/>
      <c r="VOJ1688" s="2730"/>
      <c r="VOK1688" s="2730"/>
      <c r="VOL1688" s="2730"/>
      <c r="VOM1688" s="2730"/>
      <c r="VON1688" s="2730"/>
      <c r="VOO1688" s="2730"/>
      <c r="VOP1688" s="2730"/>
      <c r="VOQ1688" s="2730"/>
      <c r="VOR1688" s="2730"/>
      <c r="VOS1688" s="2730"/>
      <c r="VOT1688" s="2730"/>
      <c r="VOU1688" s="2730"/>
      <c r="VOV1688" s="2730"/>
      <c r="VOW1688" s="2730"/>
      <c r="VOX1688" s="2730"/>
      <c r="VOY1688" s="2730"/>
      <c r="VOZ1688" s="2730"/>
      <c r="VPA1688" s="2730"/>
      <c r="VPB1688" s="2730"/>
      <c r="VPC1688" s="2730"/>
      <c r="VPD1688" s="2730"/>
      <c r="VPE1688" s="2730"/>
      <c r="VPF1688" s="2730"/>
      <c r="VPG1688" s="2730"/>
      <c r="VPH1688" s="2730"/>
      <c r="VPI1688" s="2730"/>
      <c r="VPJ1688" s="2730"/>
      <c r="VPK1688" s="2730"/>
      <c r="VPL1688" s="2730"/>
      <c r="VPM1688" s="2730"/>
      <c r="VPN1688" s="2730"/>
      <c r="VPO1688" s="2730"/>
      <c r="VPP1688" s="2730"/>
      <c r="VPQ1688" s="2730"/>
      <c r="VPR1688" s="2730"/>
      <c r="VPS1688" s="2730"/>
      <c r="VPT1688" s="2730"/>
      <c r="VPU1688" s="2730"/>
      <c r="VPV1688" s="2730"/>
      <c r="VPW1688" s="2730"/>
      <c r="VPX1688" s="2730"/>
      <c r="VPY1688" s="2730"/>
      <c r="VPZ1688" s="2730"/>
      <c r="VQA1688" s="2730"/>
      <c r="VQB1688" s="2730"/>
      <c r="VQC1688" s="2730"/>
      <c r="VQD1688" s="2730"/>
      <c r="VQE1688" s="2730"/>
      <c r="VQF1688" s="2730"/>
      <c r="VQG1688" s="2730"/>
      <c r="VQH1688" s="2730"/>
      <c r="VQI1688" s="2730"/>
      <c r="VQJ1688" s="2730"/>
      <c r="VQK1688" s="2730"/>
      <c r="VQL1688" s="2730"/>
      <c r="VQM1688" s="2730"/>
      <c r="VQN1688" s="2730"/>
      <c r="VQO1688" s="2730"/>
      <c r="VQP1688" s="2730"/>
      <c r="VQQ1688" s="2730"/>
      <c r="VQR1688" s="2730"/>
      <c r="VQS1688" s="2730"/>
      <c r="VQT1688" s="2730"/>
      <c r="VQU1688" s="2730"/>
      <c r="VQV1688" s="2730"/>
      <c r="VQW1688" s="2730"/>
      <c r="VQX1688" s="2730"/>
      <c r="VQY1688" s="2730"/>
      <c r="VQZ1688" s="2730"/>
      <c r="VRA1688" s="2730"/>
      <c r="VRB1688" s="2730"/>
      <c r="VRC1688" s="2730"/>
      <c r="VRD1688" s="2730"/>
      <c r="VRE1688" s="2730"/>
      <c r="VRF1688" s="2730"/>
      <c r="VRG1688" s="2730"/>
      <c r="VRH1688" s="2730"/>
      <c r="VRI1688" s="2730"/>
      <c r="VRJ1688" s="2730"/>
      <c r="VRK1688" s="2730"/>
      <c r="VRL1688" s="2730"/>
      <c r="VRM1688" s="2730"/>
      <c r="VRN1688" s="2730"/>
      <c r="VRO1688" s="2730"/>
      <c r="VRP1688" s="2730"/>
      <c r="VRQ1688" s="2730"/>
      <c r="VRR1688" s="2730"/>
      <c r="VRS1688" s="2730"/>
      <c r="VRT1688" s="2730"/>
      <c r="VRU1688" s="2730"/>
      <c r="VRV1688" s="2730"/>
      <c r="VRW1688" s="2730"/>
      <c r="VRX1688" s="2730"/>
      <c r="VRY1688" s="2730"/>
      <c r="VRZ1688" s="2730"/>
      <c r="VSA1688" s="2730"/>
      <c r="VSB1688" s="2730"/>
      <c r="VSC1688" s="2730"/>
      <c r="VSD1688" s="2730"/>
      <c r="VSE1688" s="2730"/>
      <c r="VSF1688" s="2730"/>
      <c r="VSG1688" s="2730"/>
      <c r="VSH1688" s="2730"/>
      <c r="VSI1688" s="2730"/>
      <c r="VSJ1688" s="2730"/>
      <c r="VSK1688" s="2730"/>
      <c r="VSL1688" s="2730"/>
      <c r="VSM1688" s="2730"/>
      <c r="VSN1688" s="2730"/>
      <c r="VSO1688" s="2730"/>
      <c r="VSP1688" s="2730"/>
      <c r="VSQ1688" s="2730"/>
      <c r="VSR1688" s="2730"/>
      <c r="VSS1688" s="2730"/>
      <c r="VST1688" s="2730"/>
      <c r="VSU1688" s="2730"/>
      <c r="VSV1688" s="2730"/>
      <c r="VSW1688" s="2730"/>
      <c r="VSX1688" s="2730"/>
      <c r="VSY1688" s="2730"/>
      <c r="VSZ1688" s="2730"/>
      <c r="VTA1688" s="2730"/>
      <c r="VTB1688" s="2730"/>
      <c r="VTC1688" s="2730"/>
      <c r="VTD1688" s="2730"/>
      <c r="VTE1688" s="2730"/>
      <c r="VTF1688" s="2730"/>
      <c r="VTG1688" s="2730"/>
      <c r="VTH1688" s="2730"/>
      <c r="VTI1688" s="2730"/>
      <c r="VTJ1688" s="2730"/>
      <c r="VTK1688" s="2730"/>
      <c r="VTL1688" s="2730"/>
      <c r="VTM1688" s="2730"/>
      <c r="VTN1688" s="2730"/>
      <c r="VTO1688" s="2730"/>
      <c r="VTP1688" s="2730"/>
      <c r="VTQ1688" s="2730"/>
      <c r="VTR1688" s="2730"/>
      <c r="VTS1688" s="2730"/>
      <c r="VTT1688" s="2730"/>
      <c r="VTU1688" s="2730"/>
      <c r="VTV1688" s="2730"/>
      <c r="VTW1688" s="2730"/>
      <c r="VTX1688" s="2730"/>
      <c r="VTY1688" s="2730"/>
      <c r="VTZ1688" s="2730"/>
      <c r="VUA1688" s="2730"/>
      <c r="VUB1688" s="2730"/>
      <c r="VUC1688" s="2730"/>
      <c r="VUD1688" s="2730"/>
      <c r="VUE1688" s="2730"/>
      <c r="VUF1688" s="2730"/>
      <c r="VUG1688" s="2730"/>
      <c r="VUH1688" s="2730"/>
      <c r="VUI1688" s="2730"/>
      <c r="VUJ1688" s="2730"/>
      <c r="VUK1688" s="2730"/>
      <c r="VUL1688" s="2730"/>
      <c r="VUM1688" s="2730"/>
      <c r="VUN1688" s="2730"/>
      <c r="VUO1688" s="2730"/>
      <c r="VUP1688" s="2730"/>
      <c r="VUQ1688" s="2730"/>
      <c r="VUR1688" s="2730"/>
      <c r="VUS1688" s="2730"/>
      <c r="VUT1688" s="2730"/>
      <c r="VUU1688" s="2730"/>
      <c r="VUV1688" s="2730"/>
      <c r="VUW1688" s="2730"/>
      <c r="VUX1688" s="2730"/>
      <c r="VUY1688" s="2730"/>
      <c r="VUZ1688" s="2730"/>
      <c r="VVA1688" s="2730"/>
      <c r="VVB1688" s="2730"/>
      <c r="VVC1688" s="2730"/>
      <c r="VVD1688" s="2730"/>
      <c r="VVE1688" s="2730"/>
      <c r="VVF1688" s="2730"/>
      <c r="VVG1688" s="2730"/>
      <c r="VVH1688" s="2730"/>
      <c r="VVI1688" s="2730"/>
      <c r="VVJ1688" s="2730"/>
      <c r="VVK1688" s="2730"/>
      <c r="VVL1688" s="2730"/>
      <c r="VVM1688" s="2730"/>
      <c r="VVN1688" s="2730"/>
      <c r="VVO1688" s="2730"/>
      <c r="VVP1688" s="2730"/>
      <c r="VVQ1688" s="2730"/>
      <c r="VVR1688" s="2730"/>
      <c r="VVS1688" s="2730"/>
      <c r="VVT1688" s="2730"/>
      <c r="VVU1688" s="2730"/>
      <c r="VVV1688" s="2730"/>
      <c r="VVW1688" s="2730"/>
      <c r="VVX1688" s="2730"/>
      <c r="VVY1688" s="2730"/>
      <c r="VVZ1688" s="2730"/>
      <c r="VWA1688" s="2730"/>
      <c r="VWB1688" s="2730"/>
      <c r="VWC1688" s="2730"/>
      <c r="VWD1688" s="2730"/>
      <c r="VWE1688" s="2730"/>
      <c r="VWF1688" s="2730"/>
      <c r="VWG1688" s="2730"/>
      <c r="VWH1688" s="2730"/>
      <c r="VWI1688" s="2730"/>
      <c r="VWJ1688" s="2730"/>
      <c r="VWK1688" s="2730"/>
      <c r="VWL1688" s="2730"/>
      <c r="VWM1688" s="2730"/>
      <c r="VWN1688" s="2730"/>
      <c r="VWO1688" s="2730"/>
      <c r="VWP1688" s="2730"/>
      <c r="VWQ1688" s="2730"/>
      <c r="VWR1688" s="2730"/>
      <c r="VWS1688" s="2730"/>
      <c r="VWT1688" s="2730"/>
      <c r="VWU1688" s="2730"/>
      <c r="VWV1688" s="2730"/>
      <c r="VWW1688" s="2730"/>
      <c r="VWX1688" s="2730"/>
      <c r="VWY1688" s="2730"/>
      <c r="VWZ1688" s="2730"/>
      <c r="VXA1688" s="2730"/>
      <c r="VXB1688" s="2730"/>
      <c r="VXC1688" s="2730"/>
      <c r="VXD1688" s="2730"/>
      <c r="VXE1688" s="2730"/>
      <c r="VXF1688" s="2730"/>
      <c r="VXG1688" s="2730"/>
      <c r="VXH1688" s="2730"/>
      <c r="VXI1688" s="2730"/>
      <c r="VXJ1688" s="2730"/>
      <c r="VXK1688" s="2730"/>
      <c r="VXL1688" s="2730"/>
      <c r="VXM1688" s="2730"/>
      <c r="VXN1688" s="2730"/>
      <c r="VXO1688" s="2730"/>
      <c r="VXP1688" s="2730"/>
      <c r="VXQ1688" s="2730"/>
      <c r="VXR1688" s="2730"/>
      <c r="VXS1688" s="2730"/>
      <c r="VXT1688" s="2730"/>
      <c r="VXU1688" s="2730"/>
      <c r="VXV1688" s="2730"/>
      <c r="VXW1688" s="2730"/>
      <c r="VXX1688" s="2730"/>
      <c r="VXY1688" s="2730"/>
      <c r="VXZ1688" s="2730"/>
      <c r="VYA1688" s="2730"/>
      <c r="VYB1688" s="2730"/>
      <c r="VYC1688" s="2730"/>
      <c r="VYD1688" s="2730"/>
      <c r="VYE1688" s="2730"/>
      <c r="VYF1688" s="2730"/>
      <c r="VYG1688" s="2730"/>
      <c r="VYH1688" s="2730"/>
      <c r="VYI1688" s="2730"/>
      <c r="VYJ1688" s="2730"/>
      <c r="VYK1688" s="2730"/>
      <c r="VYL1688" s="2730"/>
      <c r="VYM1688" s="2730"/>
      <c r="VYN1688" s="2730"/>
      <c r="VYO1688" s="2730"/>
      <c r="VYP1688" s="2730"/>
      <c r="VYQ1688" s="2730"/>
      <c r="VYR1688" s="2730"/>
      <c r="VYS1688" s="2730"/>
      <c r="VYT1688" s="2730"/>
      <c r="VYU1688" s="2730"/>
      <c r="VYV1688" s="2730"/>
      <c r="VYW1688" s="2730"/>
      <c r="VYX1688" s="2730"/>
      <c r="VYY1688" s="2730"/>
      <c r="VYZ1688" s="2730"/>
      <c r="VZA1688" s="2730"/>
      <c r="VZB1688" s="2730"/>
      <c r="VZC1688" s="2730"/>
      <c r="VZD1688" s="2730"/>
      <c r="VZE1688" s="2730"/>
      <c r="VZF1688" s="2730"/>
      <c r="VZG1688" s="2730"/>
      <c r="VZH1688" s="2730"/>
      <c r="VZI1688" s="2730"/>
      <c r="VZJ1688" s="2730"/>
      <c r="VZK1688" s="2730"/>
      <c r="VZL1688" s="2730"/>
      <c r="VZM1688" s="2730"/>
      <c r="VZN1688" s="2730"/>
      <c r="VZO1688" s="2730"/>
      <c r="VZP1688" s="2730"/>
      <c r="VZQ1688" s="2730"/>
      <c r="VZR1688" s="2730"/>
      <c r="VZS1688" s="2730"/>
      <c r="VZT1688" s="2730"/>
      <c r="VZU1688" s="2730"/>
      <c r="VZV1688" s="2730"/>
      <c r="VZW1688" s="2730"/>
      <c r="VZX1688" s="2730"/>
      <c r="VZY1688" s="2730"/>
      <c r="VZZ1688" s="2730"/>
      <c r="WAA1688" s="2730"/>
      <c r="WAB1688" s="2730"/>
      <c r="WAC1688" s="2730"/>
      <c r="WAD1688" s="2730"/>
      <c r="WAE1688" s="2730"/>
      <c r="WAF1688" s="2730"/>
      <c r="WAG1688" s="2730"/>
      <c r="WAH1688" s="2730"/>
      <c r="WAI1688" s="2730"/>
      <c r="WAJ1688" s="2730"/>
      <c r="WAK1688" s="2730"/>
      <c r="WAL1688" s="2730"/>
      <c r="WAM1688" s="2730"/>
      <c r="WAN1688" s="2730"/>
      <c r="WAO1688" s="2730"/>
      <c r="WAP1688" s="2730"/>
      <c r="WAQ1688" s="2730"/>
      <c r="WAR1688" s="2730"/>
      <c r="WAS1688" s="2730"/>
      <c r="WAT1688" s="2730"/>
      <c r="WAU1688" s="2730"/>
      <c r="WAV1688" s="2730"/>
      <c r="WAW1688" s="2730"/>
      <c r="WAX1688" s="2730"/>
      <c r="WAY1688" s="2730"/>
      <c r="WAZ1688" s="2730"/>
      <c r="WBA1688" s="2730"/>
      <c r="WBB1688" s="2730"/>
      <c r="WBC1688" s="2730"/>
      <c r="WBD1688" s="2730"/>
      <c r="WBE1688" s="2730"/>
      <c r="WBF1688" s="2730"/>
      <c r="WBG1688" s="2730"/>
      <c r="WBH1688" s="2730"/>
      <c r="WBI1688" s="2730"/>
      <c r="WBJ1688" s="2730"/>
      <c r="WBK1688" s="2730"/>
      <c r="WBL1688" s="2730"/>
      <c r="WBM1688" s="2730"/>
      <c r="WBN1688" s="2730"/>
      <c r="WBO1688" s="2730"/>
      <c r="WBP1688" s="2730"/>
      <c r="WBQ1688" s="2730"/>
      <c r="WBR1688" s="2730"/>
      <c r="WBS1688" s="2730"/>
      <c r="WBT1688" s="2730"/>
      <c r="WBU1688" s="2730"/>
      <c r="WBV1688" s="2730"/>
      <c r="WBW1688" s="2730"/>
      <c r="WBX1688" s="2730"/>
      <c r="WBY1688" s="2730"/>
      <c r="WBZ1688" s="2730"/>
      <c r="WCA1688" s="2730"/>
      <c r="WCB1688" s="2730"/>
      <c r="WCC1688" s="2730"/>
      <c r="WCD1688" s="2730"/>
      <c r="WCE1688" s="2730"/>
      <c r="WCF1688" s="2730"/>
      <c r="WCG1688" s="2730"/>
      <c r="WCH1688" s="2730"/>
      <c r="WCI1688" s="2730"/>
      <c r="WCJ1688" s="2730"/>
      <c r="WCK1688" s="2730"/>
      <c r="WCL1688" s="2730"/>
      <c r="WCM1688" s="2730"/>
      <c r="WCN1688" s="2730"/>
      <c r="WCO1688" s="2730"/>
      <c r="WCP1688" s="2730"/>
      <c r="WCQ1688" s="2730"/>
      <c r="WCR1688" s="2730"/>
      <c r="WCS1688" s="2730"/>
      <c r="WCT1688" s="2730"/>
      <c r="WCU1688" s="2730"/>
      <c r="WCV1688" s="2730"/>
      <c r="WCW1688" s="2730"/>
      <c r="WCX1688" s="2730"/>
      <c r="WCY1688" s="2730"/>
      <c r="WCZ1688" s="2730"/>
      <c r="WDA1688" s="2730"/>
      <c r="WDB1688" s="2730"/>
      <c r="WDC1688" s="2730"/>
      <c r="WDD1688" s="2730"/>
      <c r="WDE1688" s="2730"/>
      <c r="WDF1688" s="2730"/>
      <c r="WDG1688" s="2730"/>
      <c r="WDH1688" s="2730"/>
      <c r="WDI1688" s="2730"/>
      <c r="WDJ1688" s="2730"/>
      <c r="WDK1688" s="2730"/>
      <c r="WDL1688" s="2730"/>
      <c r="WDM1688" s="2730"/>
      <c r="WDN1688" s="2730"/>
      <c r="WDO1688" s="2730"/>
      <c r="WDP1688" s="2730"/>
      <c r="WDQ1688" s="2730"/>
      <c r="WDR1688" s="2730"/>
      <c r="WDS1688" s="2730"/>
      <c r="WDT1688" s="2730"/>
      <c r="WDU1688" s="2730"/>
      <c r="WDV1688" s="2730"/>
      <c r="WDW1688" s="2730"/>
      <c r="WDX1688" s="2730"/>
      <c r="WDY1688" s="2730"/>
      <c r="WDZ1688" s="2730"/>
      <c r="WEA1688" s="2730"/>
      <c r="WEB1688" s="2730"/>
      <c r="WEC1688" s="2730"/>
      <c r="WED1688" s="2730"/>
      <c r="WEE1688" s="2730"/>
      <c r="WEF1688" s="2730"/>
      <c r="WEG1688" s="2730"/>
      <c r="WEH1688" s="2730"/>
      <c r="WEI1688" s="2730"/>
      <c r="WEJ1688" s="2730"/>
      <c r="WEK1688" s="2730"/>
      <c r="WEL1688" s="2730"/>
      <c r="WEM1688" s="2730"/>
      <c r="WEN1688" s="2730"/>
      <c r="WEO1688" s="2730"/>
      <c r="WEP1688" s="2730"/>
      <c r="WEQ1688" s="2730"/>
      <c r="WER1688" s="2730"/>
      <c r="WES1688" s="2730"/>
      <c r="WET1688" s="2730"/>
      <c r="WEU1688" s="2730"/>
      <c r="WEV1688" s="2730"/>
      <c r="WEW1688" s="2730"/>
      <c r="WEX1688" s="2730"/>
      <c r="WEY1688" s="2730"/>
      <c r="WEZ1688" s="2730"/>
      <c r="WFA1688" s="2730"/>
      <c r="WFB1688" s="2730"/>
      <c r="WFC1688" s="2730"/>
      <c r="WFD1688" s="2730"/>
      <c r="WFE1688" s="2730"/>
      <c r="WFF1688" s="2730"/>
      <c r="WFG1688" s="2730"/>
      <c r="WFH1688" s="2730"/>
      <c r="WFI1688" s="2730"/>
      <c r="WFJ1688" s="2730"/>
      <c r="WFK1688" s="2730"/>
      <c r="WFL1688" s="2730"/>
      <c r="WFM1688" s="2730"/>
      <c r="WFN1688" s="2730"/>
      <c r="WFO1688" s="2730"/>
      <c r="WFP1688" s="2730"/>
      <c r="WFQ1688" s="2730"/>
      <c r="WFR1688" s="2730"/>
      <c r="WFS1688" s="2730"/>
      <c r="WFT1688" s="2730"/>
      <c r="WFU1688" s="2730"/>
      <c r="WFV1688" s="2730"/>
      <c r="WFW1688" s="2730"/>
      <c r="WFX1688" s="2730"/>
      <c r="WFY1688" s="2730"/>
      <c r="WFZ1688" s="2730"/>
      <c r="WGA1688" s="2730"/>
      <c r="WGB1688" s="2730"/>
      <c r="WGC1688" s="2730"/>
      <c r="WGD1688" s="2730"/>
      <c r="WGE1688" s="2730"/>
      <c r="WGF1688" s="2730"/>
      <c r="WGG1688" s="2730"/>
      <c r="WGH1688" s="2730"/>
      <c r="WGI1688" s="2730"/>
      <c r="WGJ1688" s="2730"/>
      <c r="WGK1688" s="2730"/>
      <c r="WGL1688" s="2730"/>
      <c r="WGM1688" s="2730"/>
      <c r="WGN1688" s="2730"/>
      <c r="WGO1688" s="2730"/>
      <c r="WGP1688" s="2730"/>
      <c r="WGQ1688" s="2730"/>
      <c r="WGR1688" s="2730"/>
      <c r="WGS1688" s="2730"/>
      <c r="WGT1688" s="2730"/>
      <c r="WGU1688" s="2730"/>
      <c r="WGV1688" s="2730"/>
      <c r="WGW1688" s="2730"/>
      <c r="WGX1688" s="2730"/>
      <c r="WGY1688" s="2730"/>
      <c r="WGZ1688" s="2730"/>
      <c r="WHA1688" s="2730"/>
      <c r="WHB1688" s="2730"/>
      <c r="WHC1688" s="2730"/>
      <c r="WHD1688" s="2730"/>
      <c r="WHE1688" s="2730"/>
      <c r="WHF1688" s="2730"/>
      <c r="WHG1688" s="2730"/>
      <c r="WHH1688" s="2730"/>
      <c r="WHI1688" s="2730"/>
      <c r="WHJ1688" s="2730"/>
      <c r="WHK1688" s="2730"/>
      <c r="WHL1688" s="2730"/>
      <c r="WHM1688" s="2730"/>
      <c r="WHN1688" s="2730"/>
      <c r="WHO1688" s="2730"/>
      <c r="WHP1688" s="2730"/>
      <c r="WHQ1688" s="2730"/>
      <c r="WHR1688" s="2730"/>
      <c r="WHS1688" s="2730"/>
      <c r="WHT1688" s="2730"/>
      <c r="WHU1688" s="2730"/>
      <c r="WHV1688" s="2730"/>
      <c r="WHW1688" s="2730"/>
      <c r="WHX1688" s="2730"/>
      <c r="WHY1688" s="2730"/>
      <c r="WHZ1688" s="2730"/>
      <c r="WIA1688" s="2730"/>
      <c r="WIB1688" s="2730"/>
      <c r="WIC1688" s="2730"/>
      <c r="WID1688" s="2730"/>
      <c r="WIE1688" s="2730"/>
      <c r="WIF1688" s="2730"/>
      <c r="WIG1688" s="2730"/>
      <c r="WIH1688" s="2730"/>
      <c r="WII1688" s="2730"/>
      <c r="WIJ1688" s="2730"/>
      <c r="WIK1688" s="2730"/>
      <c r="WIL1688" s="2730"/>
      <c r="WIM1688" s="2730"/>
      <c r="WIN1688" s="2730"/>
      <c r="WIO1688" s="2730"/>
      <c r="WIP1688" s="2730"/>
      <c r="WIQ1688" s="2730"/>
      <c r="WIR1688" s="2730"/>
      <c r="WIS1688" s="2730"/>
      <c r="WIT1688" s="2730"/>
      <c r="WIU1688" s="2730"/>
      <c r="WIV1688" s="2730"/>
      <c r="WIW1688" s="2730"/>
      <c r="WIX1688" s="2730"/>
      <c r="WIY1688" s="2730"/>
      <c r="WIZ1688" s="2730"/>
      <c r="WJA1688" s="2730"/>
      <c r="WJB1688" s="2730"/>
      <c r="WJC1688" s="2730"/>
      <c r="WJD1688" s="2730"/>
      <c r="WJE1688" s="2730"/>
      <c r="WJF1688" s="2730"/>
      <c r="WJG1688" s="2730"/>
      <c r="WJH1688" s="2730"/>
      <c r="WJI1688" s="2730"/>
      <c r="WJJ1688" s="2730"/>
      <c r="WJK1688" s="2730"/>
      <c r="WJL1688" s="2730"/>
      <c r="WJM1688" s="2730"/>
      <c r="WJN1688" s="2730"/>
      <c r="WJO1688" s="2730"/>
      <c r="WJP1688" s="2730"/>
      <c r="WJQ1688" s="2730"/>
      <c r="WJR1688" s="2730"/>
      <c r="WJS1688" s="2730"/>
      <c r="WJT1688" s="2730"/>
      <c r="WJU1688" s="2730"/>
      <c r="WJV1688" s="2730"/>
      <c r="WJW1688" s="2730"/>
      <c r="WJX1688" s="2730"/>
      <c r="WJY1688" s="2730"/>
      <c r="WJZ1688" s="2730"/>
      <c r="WKA1688" s="2730"/>
      <c r="WKB1688" s="2730"/>
      <c r="WKC1688" s="2730"/>
      <c r="WKD1688" s="2730"/>
      <c r="WKE1688" s="2730"/>
      <c r="WKF1688" s="2730"/>
      <c r="WKG1688" s="2730"/>
      <c r="WKH1688" s="2730"/>
      <c r="WKI1688" s="2730"/>
      <c r="WKJ1688" s="2730"/>
      <c r="WKK1688" s="2730"/>
      <c r="WKL1688" s="2730"/>
      <c r="WKM1688" s="2730"/>
      <c r="WKN1688" s="2730"/>
      <c r="WKO1688" s="2730"/>
      <c r="WKP1688" s="2730"/>
      <c r="WKQ1688" s="2730"/>
      <c r="WKR1688" s="2730"/>
      <c r="WKS1688" s="2730"/>
      <c r="WKT1688" s="2730"/>
      <c r="WKU1688" s="2730"/>
      <c r="WKV1688" s="2730"/>
      <c r="WKW1688" s="2730"/>
      <c r="WKX1688" s="2730"/>
      <c r="WKY1688" s="2730"/>
      <c r="WKZ1688" s="2730"/>
      <c r="WLA1688" s="2730"/>
      <c r="WLB1688" s="2730"/>
      <c r="WLC1688" s="2730"/>
      <c r="WLD1688" s="2730"/>
      <c r="WLE1688" s="2730"/>
      <c r="WLF1688" s="2730"/>
      <c r="WLG1688" s="2730"/>
      <c r="WLH1688" s="2730"/>
      <c r="WLI1688" s="2730"/>
      <c r="WLJ1688" s="2730"/>
      <c r="WLK1688" s="2730"/>
      <c r="WLL1688" s="2730"/>
      <c r="WLM1688" s="2730"/>
      <c r="WLN1688" s="2730"/>
      <c r="WLO1688" s="2730"/>
      <c r="WLP1688" s="2730"/>
      <c r="WLQ1688" s="2730"/>
      <c r="WLR1688" s="2730"/>
      <c r="WLS1688" s="2730"/>
      <c r="WLT1688" s="2730"/>
      <c r="WLU1688" s="2730"/>
      <c r="WLV1688" s="2730"/>
      <c r="WLW1688" s="2730"/>
      <c r="WLX1688" s="2730"/>
      <c r="WLY1688" s="2730"/>
      <c r="WLZ1688" s="2730"/>
      <c r="WMA1688" s="2730"/>
      <c r="WMB1688" s="2730"/>
      <c r="WMC1688" s="2730"/>
      <c r="WMD1688" s="2730"/>
      <c r="WME1688" s="2730"/>
      <c r="WMF1688" s="2730"/>
      <c r="WMG1688" s="2730"/>
      <c r="WMH1688" s="2730"/>
      <c r="WMI1688" s="2730"/>
      <c r="WMJ1688" s="2730"/>
      <c r="WMK1688" s="2730"/>
      <c r="WML1688" s="2730"/>
      <c r="WMM1688" s="2730"/>
      <c r="WMN1688" s="2730"/>
      <c r="WMO1688" s="2730"/>
      <c r="WMP1688" s="2730"/>
      <c r="WMQ1688" s="2730"/>
      <c r="WMR1688" s="2730"/>
      <c r="WMS1688" s="2730"/>
      <c r="WMT1688" s="2730"/>
      <c r="WMU1688" s="2730"/>
      <c r="WMV1688" s="2730"/>
      <c r="WMW1688" s="2730"/>
      <c r="WMX1688" s="2730"/>
      <c r="WMY1688" s="2730"/>
      <c r="WMZ1688" s="2730"/>
      <c r="WNA1688" s="2730"/>
      <c r="WNB1688" s="2730"/>
      <c r="WNC1688" s="2730"/>
      <c r="WND1688" s="2730"/>
      <c r="WNE1688" s="2730"/>
      <c r="WNF1688" s="2730"/>
      <c r="WNG1688" s="2730"/>
      <c r="WNH1688" s="2730"/>
      <c r="WNI1688" s="2730"/>
      <c r="WNJ1688" s="2730"/>
      <c r="WNK1688" s="2730"/>
      <c r="WNL1688" s="2730"/>
      <c r="WNM1688" s="2730"/>
      <c r="WNN1688" s="2730"/>
      <c r="WNO1688" s="2730"/>
      <c r="WNP1688" s="2730"/>
      <c r="WNQ1688" s="2730"/>
      <c r="WNR1688" s="2730"/>
      <c r="WNS1688" s="2730"/>
      <c r="WNT1688" s="2730"/>
      <c r="WNU1688" s="2730"/>
      <c r="WNV1688" s="2730"/>
      <c r="WNW1688" s="2730"/>
      <c r="WNX1688" s="2730"/>
      <c r="WNY1688" s="2730"/>
      <c r="WNZ1688" s="2730"/>
      <c r="WOA1688" s="2730"/>
      <c r="WOB1688" s="2730"/>
      <c r="WOC1688" s="2730"/>
      <c r="WOD1688" s="2730"/>
      <c r="WOE1688" s="2730"/>
      <c r="WOF1688" s="2730"/>
      <c r="WOG1688" s="2730"/>
      <c r="WOH1688" s="2730"/>
      <c r="WOI1688" s="2730"/>
      <c r="WOJ1688" s="2730"/>
      <c r="WOK1688" s="2730"/>
      <c r="WOL1688" s="2730"/>
      <c r="WOM1688" s="2730"/>
      <c r="WON1688" s="2730"/>
      <c r="WOO1688" s="2730"/>
      <c r="WOP1688" s="2730"/>
      <c r="WOQ1688" s="2730"/>
      <c r="WOR1688" s="2730"/>
      <c r="WOS1688" s="2730"/>
      <c r="WOT1688" s="2730"/>
      <c r="WOU1688" s="2730"/>
      <c r="WOV1688" s="2730"/>
      <c r="WOW1688" s="2730"/>
      <c r="WOX1688" s="2730"/>
      <c r="WOY1688" s="2730"/>
      <c r="WOZ1688" s="2730"/>
      <c r="WPA1688" s="2730"/>
      <c r="WPB1688" s="2730"/>
      <c r="WPC1688" s="2730"/>
      <c r="WPD1688" s="2730"/>
      <c r="WPE1688" s="2730"/>
      <c r="WPF1688" s="2730"/>
      <c r="WPG1688" s="2730"/>
      <c r="WPH1688" s="2730"/>
      <c r="WPI1688" s="2730"/>
      <c r="WPJ1688" s="2730"/>
      <c r="WPK1688" s="2730"/>
      <c r="WPL1688" s="2730"/>
      <c r="WPM1688" s="2730"/>
      <c r="WPN1688" s="2730"/>
      <c r="WPO1688" s="2730"/>
      <c r="WPP1688" s="2730"/>
      <c r="WPQ1688" s="2730"/>
      <c r="WPR1688" s="2730"/>
      <c r="WPS1688" s="2730"/>
      <c r="WPT1688" s="2730"/>
      <c r="WPU1688" s="2730"/>
      <c r="WPV1688" s="2730"/>
      <c r="WPW1688" s="2730"/>
      <c r="WPX1688" s="2730"/>
      <c r="WPY1688" s="2730"/>
      <c r="WPZ1688" s="2730"/>
      <c r="WQA1688" s="2730"/>
      <c r="WQB1688" s="2730"/>
      <c r="WQC1688" s="2730"/>
      <c r="WQD1688" s="2730"/>
      <c r="WQE1688" s="2730"/>
      <c r="WQF1688" s="2730"/>
      <c r="WQG1688" s="2730"/>
      <c r="WQH1688" s="2730"/>
      <c r="WQI1688" s="2730"/>
      <c r="WQJ1688" s="2730"/>
      <c r="WQK1688" s="2730"/>
      <c r="WQL1688" s="2730"/>
      <c r="WQM1688" s="2730"/>
      <c r="WQN1688" s="2730"/>
      <c r="WQO1688" s="2730"/>
      <c r="WQP1688" s="2730"/>
      <c r="WQQ1688" s="2730"/>
      <c r="WQR1688" s="2730"/>
      <c r="WQS1688" s="2730"/>
      <c r="WQT1688" s="2730"/>
      <c r="WQU1688" s="2730"/>
      <c r="WQV1688" s="2730"/>
      <c r="WQW1688" s="2730"/>
      <c r="WQX1688" s="2730"/>
      <c r="WQY1688" s="2730"/>
      <c r="WQZ1688" s="2730"/>
      <c r="WRA1688" s="2730"/>
      <c r="WRB1688" s="2730"/>
      <c r="WRC1688" s="2730"/>
      <c r="WRD1688" s="2730"/>
      <c r="WRE1688" s="2730"/>
      <c r="WRF1688" s="2730"/>
      <c r="WRG1688" s="2730"/>
      <c r="WRH1688" s="2730"/>
      <c r="WRI1688" s="2730"/>
      <c r="WRJ1688" s="2730"/>
      <c r="WRK1688" s="2730"/>
      <c r="WRL1688" s="2730"/>
      <c r="WRM1688" s="2730"/>
      <c r="WRN1688" s="2730"/>
      <c r="WRO1688" s="2730"/>
      <c r="WRP1688" s="2730"/>
      <c r="WRQ1688" s="2730"/>
      <c r="WRR1688" s="2730"/>
      <c r="WRS1688" s="2730"/>
      <c r="WRT1688" s="2730"/>
      <c r="WRU1688" s="2730"/>
      <c r="WRV1688" s="2730"/>
      <c r="WRW1688" s="2730"/>
      <c r="WRX1688" s="2730"/>
      <c r="WRY1688" s="2730"/>
      <c r="WRZ1688" s="2730"/>
      <c r="WSA1688" s="2730"/>
      <c r="WSB1688" s="2730"/>
      <c r="WSC1688" s="2730"/>
      <c r="WSD1688" s="2730"/>
      <c r="WSE1688" s="2730"/>
      <c r="WSF1688" s="2730"/>
      <c r="WSG1688" s="2730"/>
      <c r="WSH1688" s="2730"/>
      <c r="WSI1688" s="2730"/>
      <c r="WSJ1688" s="2730"/>
      <c r="WSK1688" s="2730"/>
      <c r="WSL1688" s="2730"/>
      <c r="WSM1688" s="2730"/>
      <c r="WSN1688" s="2730"/>
      <c r="WSO1688" s="2730"/>
      <c r="WSP1688" s="2730"/>
      <c r="WSQ1688" s="2730"/>
      <c r="WSR1688" s="2730"/>
      <c r="WSS1688" s="2730"/>
      <c r="WST1688" s="2730"/>
      <c r="WSU1688" s="2730"/>
      <c r="WSV1688" s="2730"/>
      <c r="WSW1688" s="2730"/>
      <c r="WSX1688" s="2730"/>
      <c r="WSY1688" s="2730"/>
      <c r="WSZ1688" s="2730"/>
      <c r="WTA1688" s="2730"/>
      <c r="WTB1688" s="2730"/>
      <c r="WTC1688" s="2730"/>
      <c r="WTD1688" s="2730"/>
      <c r="WTE1688" s="2730"/>
      <c r="WTF1688" s="2730"/>
      <c r="WTG1688" s="2730"/>
      <c r="WTH1688" s="2730"/>
      <c r="WTI1688" s="2730"/>
      <c r="WTJ1688" s="2730"/>
      <c r="WTK1688" s="2730"/>
      <c r="WTL1688" s="2730"/>
      <c r="WTM1688" s="2730"/>
      <c r="WTN1688" s="2730"/>
      <c r="WTO1688" s="2730"/>
      <c r="WTP1688" s="2730"/>
      <c r="WTQ1688" s="2730"/>
      <c r="WTR1688" s="2730"/>
      <c r="WTS1688" s="2730"/>
      <c r="WTT1688" s="2730"/>
      <c r="WTU1688" s="2730"/>
      <c r="WTV1688" s="2730"/>
      <c r="WTW1688" s="2730"/>
      <c r="WTX1688" s="2730"/>
      <c r="WTY1688" s="2730"/>
      <c r="WTZ1688" s="2730"/>
      <c r="WUA1688" s="2730"/>
      <c r="WUB1688" s="2730"/>
      <c r="WUC1688" s="2730"/>
      <c r="WUD1688" s="2730"/>
      <c r="WUE1688" s="2730"/>
      <c r="WUF1688" s="2730"/>
      <c r="WUG1688" s="2730"/>
      <c r="WUH1688" s="2730"/>
      <c r="WUI1688" s="2730"/>
      <c r="WUJ1688" s="2730"/>
      <c r="WUK1688" s="2730"/>
      <c r="WUL1688" s="2730"/>
      <c r="WUM1688" s="2730"/>
      <c r="WUN1688" s="2730"/>
      <c r="WUO1688" s="2730"/>
      <c r="WUP1688" s="2730"/>
      <c r="WUQ1688" s="2730"/>
      <c r="WUR1688" s="2730"/>
      <c r="WUS1688" s="2730"/>
      <c r="WUT1688" s="2730"/>
      <c r="WUU1688" s="2730"/>
      <c r="WUV1688" s="2730"/>
      <c r="WUW1688" s="2730"/>
      <c r="WUX1688" s="2730"/>
      <c r="WUY1688" s="2730"/>
      <c r="WUZ1688" s="2730"/>
      <c r="WVA1688" s="2730"/>
      <c r="WVB1688" s="2730"/>
      <c r="WVC1688" s="2730"/>
      <c r="WVD1688" s="2730"/>
      <c r="WVE1688" s="2730"/>
      <c r="WVF1688" s="2730"/>
      <c r="WVG1688" s="2730"/>
      <c r="WVH1688" s="2730"/>
      <c r="WVI1688" s="2730"/>
      <c r="WVJ1688" s="2730"/>
      <c r="WVK1688" s="2730"/>
      <c r="WVL1688" s="2730"/>
      <c r="WVM1688" s="2730"/>
      <c r="WVN1688" s="2730"/>
      <c r="WVO1688" s="2730"/>
      <c r="WVP1688" s="2730"/>
      <c r="WVQ1688" s="2730"/>
      <c r="WVR1688" s="2730"/>
      <c r="WVS1688" s="2730"/>
      <c r="WVT1688" s="2730"/>
      <c r="WVU1688" s="2730"/>
      <c r="WVV1688" s="2730"/>
      <c r="WVW1688" s="2730"/>
      <c r="WVX1688" s="2730"/>
      <c r="WVY1688" s="2730"/>
      <c r="WVZ1688" s="2730"/>
      <c r="WWA1688" s="2730"/>
      <c r="WWB1688" s="2730"/>
      <c r="WWC1688" s="2730"/>
      <c r="WWD1688" s="2730"/>
      <c r="WWE1688" s="2730"/>
      <c r="WWF1688" s="2730"/>
      <c r="WWG1688" s="2730"/>
      <c r="WWH1688" s="2730"/>
      <c r="WWI1688" s="2730"/>
      <c r="WWJ1688" s="2730"/>
      <c r="WWK1688" s="2730"/>
      <c r="WWL1688" s="2730"/>
      <c r="WWM1688" s="2730"/>
      <c r="WWN1688" s="2730"/>
      <c r="WWO1688" s="2730"/>
      <c r="WWP1688" s="2730"/>
      <c r="WWQ1688" s="2730"/>
      <c r="WWR1688" s="2730"/>
      <c r="WWS1688" s="2730"/>
      <c r="WWT1688" s="2730"/>
      <c r="WWU1688" s="2730"/>
      <c r="WWV1688" s="2730"/>
      <c r="WWW1688" s="2730"/>
      <c r="WWX1688" s="2730"/>
      <c r="WWY1688" s="2730"/>
      <c r="WWZ1688" s="2730"/>
      <c r="WXA1688" s="2730"/>
      <c r="WXB1688" s="2730"/>
      <c r="WXC1688" s="2730"/>
      <c r="WXD1688" s="2730"/>
      <c r="WXE1688" s="2730"/>
      <c r="WXF1688" s="2730"/>
      <c r="WXG1688" s="2730"/>
      <c r="WXH1688" s="2730"/>
      <c r="WXI1688" s="2730"/>
      <c r="WXJ1688" s="2730"/>
      <c r="WXK1688" s="2730"/>
      <c r="WXL1688" s="2730"/>
      <c r="WXM1688" s="2730"/>
      <c r="WXN1688" s="2730"/>
      <c r="WXO1688" s="2730"/>
      <c r="WXP1688" s="2730"/>
      <c r="WXQ1688" s="2730"/>
      <c r="WXR1688" s="2730"/>
      <c r="WXS1688" s="2730"/>
      <c r="WXT1688" s="2730"/>
      <c r="WXU1688" s="2730"/>
      <c r="WXV1688" s="2730"/>
      <c r="WXW1688" s="2730"/>
      <c r="WXX1688" s="2730"/>
      <c r="WXY1688" s="2730"/>
      <c r="WXZ1688" s="2730"/>
      <c r="WYA1688" s="2730"/>
      <c r="WYB1688" s="2730"/>
      <c r="WYC1688" s="2730"/>
      <c r="WYD1688" s="2730"/>
      <c r="WYE1688" s="2730"/>
      <c r="WYF1688" s="2730"/>
      <c r="WYG1688" s="2730"/>
      <c r="WYH1688" s="2730"/>
      <c r="WYI1688" s="2730"/>
      <c r="WYJ1688" s="2730"/>
      <c r="WYK1688" s="2730"/>
      <c r="WYL1688" s="2730"/>
      <c r="WYM1688" s="2730"/>
      <c r="WYN1688" s="2730"/>
      <c r="WYO1688" s="2730"/>
      <c r="WYP1688" s="2730"/>
      <c r="WYQ1688" s="2730"/>
      <c r="WYR1688" s="2730"/>
      <c r="WYS1688" s="2730"/>
      <c r="WYT1688" s="2730"/>
      <c r="WYU1688" s="2730"/>
      <c r="WYV1688" s="2730"/>
      <c r="WYW1688" s="2730"/>
      <c r="WYX1688" s="2730"/>
      <c r="WYY1688" s="2730"/>
      <c r="WYZ1688" s="2730"/>
      <c r="WZA1688" s="2730"/>
      <c r="WZB1688" s="2730"/>
      <c r="WZC1688" s="2730"/>
      <c r="WZD1688" s="2730"/>
      <c r="WZE1688" s="2730"/>
      <c r="WZF1688" s="2730"/>
      <c r="WZG1688" s="2730"/>
      <c r="WZH1688" s="2730"/>
      <c r="WZI1688" s="2730"/>
      <c r="WZJ1688" s="2730"/>
      <c r="WZK1688" s="2730"/>
      <c r="WZL1688" s="2730"/>
      <c r="WZM1688" s="2730"/>
      <c r="WZN1688" s="2730"/>
      <c r="WZO1688" s="2730"/>
      <c r="WZP1688" s="2730"/>
      <c r="WZQ1688" s="2730"/>
      <c r="WZR1688" s="2730"/>
      <c r="WZS1688" s="2730"/>
      <c r="WZT1688" s="2730"/>
      <c r="WZU1688" s="2730"/>
      <c r="WZV1688" s="2730"/>
      <c r="WZW1688" s="2730"/>
      <c r="WZX1688" s="2730"/>
      <c r="WZY1688" s="2730"/>
      <c r="WZZ1688" s="2730"/>
      <c r="XAA1688" s="2730"/>
      <c r="XAB1688" s="2730"/>
      <c r="XAC1688" s="2730"/>
      <c r="XAD1688" s="2730"/>
      <c r="XAE1688" s="2730"/>
      <c r="XAF1688" s="2730"/>
      <c r="XAG1688" s="2730"/>
      <c r="XAH1688" s="2730"/>
      <c r="XAI1688" s="2730"/>
      <c r="XAJ1688" s="2730"/>
      <c r="XAK1688" s="2730"/>
      <c r="XAL1688" s="2730"/>
      <c r="XAM1688" s="2730"/>
      <c r="XAN1688" s="2730"/>
      <c r="XAO1688" s="2730"/>
      <c r="XAP1688" s="2730"/>
      <c r="XAQ1688" s="2730"/>
      <c r="XAR1688" s="2730"/>
      <c r="XAS1688" s="2730"/>
      <c r="XAT1688" s="2730"/>
      <c r="XAU1688" s="2730"/>
      <c r="XAV1688" s="2730"/>
      <c r="XAW1688" s="2730"/>
      <c r="XAX1688" s="2730"/>
      <c r="XAY1688" s="2730"/>
      <c r="XAZ1688" s="2730"/>
      <c r="XBA1688" s="2730"/>
      <c r="XBB1688" s="2730"/>
      <c r="XBC1688" s="2730"/>
      <c r="XBD1688" s="2730"/>
      <c r="XBE1688" s="2730"/>
      <c r="XBF1688" s="2730"/>
      <c r="XBG1688" s="2730"/>
      <c r="XBH1688" s="2730"/>
      <c r="XBI1688" s="2730"/>
      <c r="XBJ1688" s="2730"/>
      <c r="XBK1688" s="2730"/>
      <c r="XBL1688" s="2730"/>
      <c r="XBM1688" s="2730"/>
      <c r="XBN1688" s="2730"/>
      <c r="XBO1688" s="2730"/>
      <c r="XBP1688" s="2730"/>
      <c r="XBQ1688" s="2730"/>
      <c r="XBR1688" s="2730"/>
      <c r="XBS1688" s="2730"/>
      <c r="XBT1688" s="2730"/>
      <c r="XBU1688" s="2730"/>
      <c r="XBV1688" s="2730"/>
      <c r="XBW1688" s="2730"/>
      <c r="XBX1688" s="2730"/>
      <c r="XBY1688" s="2730"/>
      <c r="XBZ1688" s="2730"/>
      <c r="XCA1688" s="2730"/>
      <c r="XCB1688" s="2730"/>
      <c r="XCC1688" s="2730"/>
      <c r="XCD1688" s="2730"/>
      <c r="XCE1688" s="2730"/>
      <c r="XCF1688" s="2730"/>
      <c r="XCG1688" s="2730"/>
      <c r="XCH1688" s="2730"/>
      <c r="XCI1688" s="2730"/>
      <c r="XCJ1688" s="2730"/>
      <c r="XCK1688" s="2730"/>
      <c r="XCL1688" s="2730"/>
      <c r="XCM1688" s="2730"/>
      <c r="XCN1688" s="2730"/>
      <c r="XCO1688" s="2730"/>
      <c r="XCP1688" s="2730"/>
      <c r="XCQ1688" s="2730"/>
      <c r="XCR1688" s="2730"/>
      <c r="XCS1688" s="2730"/>
      <c r="XCT1688" s="2730"/>
      <c r="XCU1688" s="2730"/>
      <c r="XCV1688" s="2730"/>
      <c r="XCW1688" s="2730"/>
      <c r="XCX1688" s="2730"/>
      <c r="XCY1688" s="2730"/>
      <c r="XCZ1688" s="2730"/>
      <c r="XDA1688" s="2730"/>
      <c r="XDB1688" s="2730"/>
      <c r="XDC1688" s="2730"/>
      <c r="XDD1688" s="2730"/>
      <c r="XDE1688" s="2730"/>
      <c r="XDF1688" s="2730"/>
      <c r="XDG1688" s="2730"/>
      <c r="XDH1688" s="2730"/>
      <c r="XDI1688" s="2730"/>
      <c r="XDJ1688" s="2730"/>
      <c r="XDK1688" s="2730"/>
      <c r="XDL1688" s="2730"/>
      <c r="XDM1688" s="2730"/>
      <c r="XDN1688" s="2730"/>
      <c r="XDO1688" s="2730"/>
      <c r="XDP1688" s="2730"/>
      <c r="XDQ1688" s="2730"/>
      <c r="XDR1688" s="2730"/>
      <c r="XDS1688" s="2730"/>
      <c r="XDT1688" s="2730"/>
      <c r="XDU1688" s="2730"/>
      <c r="XDV1688" s="2730"/>
      <c r="XDW1688" s="2730"/>
      <c r="XDX1688" s="2730"/>
      <c r="XDY1688" s="2730"/>
      <c r="XDZ1688" s="2730"/>
      <c r="XEA1688" s="2730"/>
      <c r="XEB1688" s="2730"/>
      <c r="XEC1688" s="2730"/>
      <c r="XED1688" s="2730"/>
      <c r="XEE1688" s="2730"/>
      <c r="XEF1688" s="2730"/>
      <c r="XEG1688" s="2730"/>
      <c r="XEH1688" s="2730"/>
      <c r="XEI1688" s="2730"/>
      <c r="XEJ1688" s="2730"/>
      <c r="XEK1688" s="2730"/>
      <c r="XEL1688" s="2730"/>
      <c r="XEM1688" s="2730"/>
      <c r="XEN1688" s="2730"/>
      <c r="XEO1688" s="2730"/>
      <c r="XEP1688" s="2730"/>
      <c r="XEQ1688" s="2730"/>
      <c r="XER1688" s="2730"/>
      <c r="XES1688" s="2730"/>
      <c r="XET1688" s="2730"/>
      <c r="XEU1688" s="2730"/>
      <c r="XEV1688" s="2730"/>
      <c r="XEW1688" s="2730"/>
      <c r="XEX1688" s="2730"/>
      <c r="XEY1688" s="2730"/>
      <c r="XEZ1688" s="2730"/>
      <c r="XFA1688" s="2730"/>
      <c r="XFB1688" s="2730"/>
    </row>
    <row r="1689" spans="1:16382" s="2358" customFormat="1" ht="14.4" outlineLevel="1">
      <c r="A1689" s="2435" t="str">
        <f>A1688</f>
        <v/>
      </c>
      <c r="B1689" s="2514"/>
      <c r="C1689" s="2511"/>
      <c r="D1689" s="2512"/>
      <c r="E1689" s="2520" t="s">
        <v>6207</v>
      </c>
      <c r="F1689" s="2521"/>
      <c r="G1689" s="2522"/>
      <c r="H1689" s="2517"/>
      <c r="I1689" s="2517"/>
      <c r="J1689" s="2612"/>
      <c r="K1689" s="2517"/>
      <c r="L1689" s="2517">
        <f t="shared" si="314"/>
        <v>0</v>
      </c>
      <c r="M1689" s="2517">
        <f>I1689*G1689</f>
        <v>0</v>
      </c>
      <c r="N1689" s="2612">
        <f t="shared" si="321"/>
        <v>0</v>
      </c>
      <c r="O1689" s="2517">
        <f>K1689*G1689</f>
        <v>0</v>
      </c>
      <c r="P1689" s="2642"/>
      <c r="Q1689" s="2519"/>
      <c r="R1689" s="2519"/>
      <c r="S1689" s="2519"/>
    </row>
    <row r="1690" spans="1:16382" s="2358" customFormat="1" outlineLevel="1">
      <c r="A1690" s="2435" t="str">
        <f t="shared" ref="A1690:A1696" si="322">IF(G1690&lt;&gt;0,1,"")</f>
        <v/>
      </c>
      <c r="B1690" s="2514" t="s">
        <v>6312</v>
      </c>
      <c r="C1690" s="2511"/>
      <c r="D1690" s="2405">
        <v>0</v>
      </c>
      <c r="E1690" s="2447" t="s">
        <v>5300</v>
      </c>
      <c r="F1690" s="2405" t="s">
        <v>5235</v>
      </c>
      <c r="G1690" s="2703">
        <f>G1688</f>
        <v>0</v>
      </c>
      <c r="H1690" s="2517">
        <v>680540.50480000011</v>
      </c>
      <c r="I1690" s="2517"/>
      <c r="J1690" s="2612">
        <v>0</v>
      </c>
      <c r="K1690" s="2517"/>
      <c r="L1690" s="2517">
        <f t="shared" si="314"/>
        <v>0</v>
      </c>
      <c r="M1690" s="2517"/>
      <c r="N1690" s="2612">
        <f t="shared" si="321"/>
        <v>0</v>
      </c>
      <c r="O1690" s="2517"/>
      <c r="P1690" s="2642"/>
      <c r="Q1690" s="2519"/>
      <c r="R1690" s="2519"/>
      <c r="S1690" s="2519"/>
    </row>
    <row r="1691" spans="1:16382" s="2358" customFormat="1" outlineLevel="1">
      <c r="A1691" s="2435" t="str">
        <f t="shared" si="322"/>
        <v/>
      </c>
      <c r="B1691" s="2726" t="s">
        <v>5289</v>
      </c>
      <c r="C1691" s="2511"/>
      <c r="D1691" s="2405">
        <v>0</v>
      </c>
      <c r="E1691" s="2447" t="s">
        <v>6433</v>
      </c>
      <c r="F1691" s="2405" t="s">
        <v>5235</v>
      </c>
      <c r="G1691" s="2703">
        <f>G1690</f>
        <v>0</v>
      </c>
      <c r="H1691" s="2517">
        <v>86065.309080000006</v>
      </c>
      <c r="I1691" s="2517"/>
      <c r="J1691" s="2612">
        <v>0</v>
      </c>
      <c r="K1691" s="2517"/>
      <c r="L1691" s="2517">
        <f t="shared" si="314"/>
        <v>0</v>
      </c>
      <c r="M1691" s="2517"/>
      <c r="N1691" s="2612">
        <f t="shared" si="321"/>
        <v>0</v>
      </c>
      <c r="O1691" s="2517"/>
      <c r="P1691" s="2642"/>
      <c r="Q1691" s="2519"/>
      <c r="R1691" s="2519"/>
      <c r="S1691" s="2519"/>
    </row>
    <row r="1692" spans="1:16382" s="2358" customFormat="1" outlineLevel="1">
      <c r="A1692" s="2435" t="str">
        <f t="shared" si="322"/>
        <v/>
      </c>
      <c r="B1692" s="2514" t="s">
        <v>1079</v>
      </c>
      <c r="C1692" s="2511"/>
      <c r="D1692" s="2405">
        <v>0</v>
      </c>
      <c r="E1692" s="2447" t="s">
        <v>2659</v>
      </c>
      <c r="F1692" s="2405" t="s">
        <v>2445</v>
      </c>
      <c r="G1692" s="2703">
        <f>G1688*2</f>
        <v>0</v>
      </c>
      <c r="H1692" s="2517">
        <v>27900</v>
      </c>
      <c r="I1692" s="2517">
        <v>0</v>
      </c>
      <c r="J1692" s="2612">
        <v>0</v>
      </c>
      <c r="K1692" s="2517"/>
      <c r="L1692" s="2517">
        <f t="shared" si="314"/>
        <v>0</v>
      </c>
      <c r="M1692" s="2517"/>
      <c r="N1692" s="2612">
        <f t="shared" si="321"/>
        <v>0</v>
      </c>
      <c r="O1692" s="2517"/>
      <c r="P1692" s="2642"/>
      <c r="Q1692" s="2519"/>
      <c r="R1692" s="2519"/>
      <c r="S1692" s="2519"/>
    </row>
    <row r="1693" spans="1:16382" s="2358" customFormat="1" outlineLevel="1">
      <c r="A1693" s="2435" t="str">
        <f t="shared" si="322"/>
        <v/>
      </c>
      <c r="B1693" s="2514" t="s">
        <v>1790</v>
      </c>
      <c r="C1693" s="2511"/>
      <c r="D1693" s="2405">
        <v>0</v>
      </c>
      <c r="E1693" s="2447" t="s">
        <v>2647</v>
      </c>
      <c r="F1693" s="2405" t="s">
        <v>2445</v>
      </c>
      <c r="G1693" s="2703">
        <f>G1688*2</f>
        <v>0</v>
      </c>
      <c r="H1693" s="2517">
        <v>12400</v>
      </c>
      <c r="I1693" s="2517">
        <v>0</v>
      </c>
      <c r="J1693" s="2612">
        <v>0</v>
      </c>
      <c r="K1693" s="2517"/>
      <c r="L1693" s="2517">
        <f t="shared" si="314"/>
        <v>0</v>
      </c>
      <c r="M1693" s="2517"/>
      <c r="N1693" s="2612">
        <f t="shared" si="321"/>
        <v>0</v>
      </c>
      <c r="O1693" s="2517"/>
      <c r="P1693" s="2642"/>
      <c r="Q1693" s="2519"/>
      <c r="R1693" s="2519"/>
      <c r="S1693" s="2519"/>
    </row>
    <row r="1694" spans="1:16382" s="2358" customFormat="1" outlineLevel="1">
      <c r="A1694" s="2435" t="str">
        <f t="shared" si="322"/>
        <v/>
      </c>
      <c r="B1694" s="2514" t="s">
        <v>1739</v>
      </c>
      <c r="C1694" s="2511"/>
      <c r="D1694" s="2405">
        <v>0</v>
      </c>
      <c r="E1694" s="2447" t="s">
        <v>2699</v>
      </c>
      <c r="F1694" s="2405" t="s">
        <v>2391</v>
      </c>
      <c r="G1694" s="2703"/>
      <c r="H1694" s="2517">
        <v>34000</v>
      </c>
      <c r="I1694" s="2517">
        <v>0</v>
      </c>
      <c r="J1694" s="2612">
        <v>0</v>
      </c>
      <c r="K1694" s="2517"/>
      <c r="L1694" s="2517">
        <f t="shared" si="314"/>
        <v>0</v>
      </c>
      <c r="M1694" s="2517"/>
      <c r="N1694" s="2612">
        <f t="shared" si="321"/>
        <v>0</v>
      </c>
      <c r="O1694" s="2517"/>
      <c r="P1694" s="2642"/>
      <c r="Q1694" s="2519"/>
      <c r="R1694" s="2519"/>
      <c r="S1694" s="2519"/>
    </row>
    <row r="1695" spans="1:16382" s="2358" customFormat="1" outlineLevel="1">
      <c r="A1695" s="2435" t="str">
        <f t="shared" si="322"/>
        <v/>
      </c>
      <c r="B1695" s="2514" t="s">
        <v>988</v>
      </c>
      <c r="C1695" s="2511"/>
      <c r="D1695" s="2405">
        <v>0</v>
      </c>
      <c r="E1695" s="2447" t="s">
        <v>5331</v>
      </c>
      <c r="F1695" s="2405" t="s">
        <v>2445</v>
      </c>
      <c r="G1695" s="2703"/>
      <c r="H1695" s="2517">
        <v>178900</v>
      </c>
      <c r="I1695" s="2517">
        <v>0</v>
      </c>
      <c r="J1695" s="2612">
        <v>0</v>
      </c>
      <c r="K1695" s="2517"/>
      <c r="L1695" s="2517">
        <f t="shared" si="314"/>
        <v>0</v>
      </c>
      <c r="M1695" s="2517"/>
      <c r="N1695" s="2612">
        <f t="shared" si="321"/>
        <v>0</v>
      </c>
      <c r="O1695" s="2517"/>
      <c r="P1695" s="2642"/>
      <c r="Q1695" s="2519"/>
      <c r="R1695" s="2519"/>
      <c r="S1695" s="2519"/>
    </row>
    <row r="1696" spans="1:16382" s="2358" customFormat="1" outlineLevel="1">
      <c r="A1696" s="2435" t="str">
        <f t="shared" si="322"/>
        <v/>
      </c>
      <c r="B1696" s="2514" t="s">
        <v>1443</v>
      </c>
      <c r="C1696" s="2511"/>
      <c r="D1696" s="2405" t="s">
        <v>5483</v>
      </c>
      <c r="E1696" s="2447" t="s">
        <v>5484</v>
      </c>
      <c r="F1696" s="2405" t="s">
        <v>2445</v>
      </c>
      <c r="G1696" s="2703">
        <f>G1688</f>
        <v>0</v>
      </c>
      <c r="H1696" s="2517">
        <v>0</v>
      </c>
      <c r="I1696" s="2517"/>
      <c r="J1696" s="2612">
        <v>296544.75</v>
      </c>
      <c r="K1696" s="2517"/>
      <c r="L1696" s="2517">
        <f t="shared" si="314"/>
        <v>0</v>
      </c>
      <c r="M1696" s="2517"/>
      <c r="N1696" s="2612">
        <f t="shared" si="321"/>
        <v>0</v>
      </c>
      <c r="O1696" s="2517"/>
      <c r="P1696" s="2642"/>
      <c r="Q1696" s="2519"/>
      <c r="R1696" s="2519"/>
      <c r="S1696" s="2519"/>
    </row>
    <row r="1697" spans="1:19" s="2358" customFormat="1" outlineLevel="1">
      <c r="A1697" s="2435" t="str">
        <f>IF(G1697&lt;&gt;0,1,"")</f>
        <v/>
      </c>
      <c r="B1697" s="2514"/>
      <c r="C1697" s="2716">
        <f>IF(G1697&gt;0,C1688+1,C1688)</f>
        <v>0</v>
      </c>
      <c r="D1697" s="2717"/>
      <c r="E1697" s="2718" t="s">
        <v>6314</v>
      </c>
      <c r="F1697" s="2719" t="s">
        <v>2391</v>
      </c>
      <c r="G1697" s="2720"/>
      <c r="H1697" s="2721"/>
      <c r="I1697" s="2722"/>
      <c r="J1697" s="2723"/>
      <c r="K1697" s="2723"/>
      <c r="L1697" s="2724">
        <f t="shared" si="314"/>
        <v>0</v>
      </c>
      <c r="M1697" s="2725">
        <f t="shared" ref="M1697:M1709" si="323">I1697*G1697</f>
        <v>0</v>
      </c>
      <c r="N1697" s="2724">
        <f t="shared" ref="N1697:N1709" si="324">J1697*G1697</f>
        <v>0</v>
      </c>
      <c r="O1697" s="2716">
        <f t="shared" ref="O1697:O1709" si="325">K1697*G1697</f>
        <v>0</v>
      </c>
      <c r="P1697" s="2717"/>
      <c r="Q1697" s="2519"/>
      <c r="R1697" s="2519"/>
      <c r="S1697" s="2519"/>
    </row>
    <row r="1698" spans="1:19" s="2358" customFormat="1" ht="14.4" outlineLevel="1">
      <c r="A1698" s="2435" t="str">
        <f>A1697</f>
        <v/>
      </c>
      <c r="B1698" s="2514"/>
      <c r="C1698" s="2511"/>
      <c r="D1698" s="2512"/>
      <c r="E1698" s="2520" t="s">
        <v>6207</v>
      </c>
      <c r="F1698" s="2521"/>
      <c r="G1698" s="2703"/>
      <c r="H1698" s="2669"/>
      <c r="I1698" s="2669"/>
      <c r="J1698" s="2669"/>
      <c r="K1698" s="2669"/>
      <c r="L1698" s="2613">
        <f t="shared" si="314"/>
        <v>0</v>
      </c>
      <c r="M1698" s="2613">
        <f t="shared" si="323"/>
        <v>0</v>
      </c>
      <c r="N1698" s="2613">
        <f t="shared" si="324"/>
        <v>0</v>
      </c>
      <c r="O1698" s="2613">
        <f t="shared" si="325"/>
        <v>0</v>
      </c>
      <c r="P1698" s="2702"/>
      <c r="Q1698" s="2519"/>
      <c r="R1698" s="2519"/>
      <c r="S1698" s="2519"/>
    </row>
    <row r="1699" spans="1:19" s="2358" customFormat="1" outlineLevel="1">
      <c r="A1699" s="2435" t="str">
        <f t="shared" ref="A1699:A1705" si="326">IF(G1699&lt;&gt;0,1,"")</f>
        <v/>
      </c>
      <c r="B1699" s="2726" t="s">
        <v>5297</v>
      </c>
      <c r="C1699" s="2511"/>
      <c r="D1699" s="2405">
        <v>0</v>
      </c>
      <c r="E1699" s="2447" t="s">
        <v>5298</v>
      </c>
      <c r="F1699" s="2405" t="s">
        <v>5235</v>
      </c>
      <c r="G1699" s="2703">
        <f>G1697</f>
        <v>0</v>
      </c>
      <c r="H1699" s="2517">
        <v>630129.26240000001</v>
      </c>
      <c r="I1699" s="2612"/>
      <c r="J1699" s="2612">
        <v>0</v>
      </c>
      <c r="K1699" s="2612">
        <v>0</v>
      </c>
      <c r="L1699" s="2613">
        <f t="shared" si="314"/>
        <v>0</v>
      </c>
      <c r="M1699" s="2613">
        <f t="shared" si="323"/>
        <v>0</v>
      </c>
      <c r="N1699" s="2613">
        <f t="shared" si="324"/>
        <v>0</v>
      </c>
      <c r="O1699" s="2613">
        <f t="shared" si="325"/>
        <v>0</v>
      </c>
      <c r="P1699" s="2702"/>
      <c r="Q1699" s="2519"/>
      <c r="R1699" s="2519"/>
      <c r="S1699" s="2519"/>
    </row>
    <row r="1700" spans="1:19" s="2358" customFormat="1" outlineLevel="1">
      <c r="A1700" s="2435" t="str">
        <f t="shared" si="326"/>
        <v/>
      </c>
      <c r="B1700" s="2726" t="s">
        <v>5289</v>
      </c>
      <c r="C1700" s="2511"/>
      <c r="D1700" s="2405">
        <v>0</v>
      </c>
      <c r="E1700" s="2447" t="s">
        <v>5290</v>
      </c>
      <c r="F1700" s="2405" t="s">
        <v>5235</v>
      </c>
      <c r="G1700" s="2703">
        <f>G1697*2</f>
        <v>0</v>
      </c>
      <c r="H1700" s="2517">
        <v>86065.309080000006</v>
      </c>
      <c r="I1700" s="2612"/>
      <c r="J1700" s="2612">
        <v>0</v>
      </c>
      <c r="K1700" s="2612">
        <v>0</v>
      </c>
      <c r="L1700" s="2613">
        <f t="shared" si="314"/>
        <v>0</v>
      </c>
      <c r="M1700" s="2613">
        <f t="shared" si="323"/>
        <v>0</v>
      </c>
      <c r="N1700" s="2613">
        <f t="shared" si="324"/>
        <v>0</v>
      </c>
      <c r="O1700" s="2613">
        <f t="shared" si="325"/>
        <v>0</v>
      </c>
      <c r="P1700" s="2702"/>
      <c r="Q1700" s="2519"/>
      <c r="R1700" s="2519"/>
      <c r="S1700" s="2519"/>
    </row>
    <row r="1701" spans="1:19" s="2358" customFormat="1" outlineLevel="1">
      <c r="A1701" s="2435" t="str">
        <f t="shared" si="326"/>
        <v/>
      </c>
      <c r="B1701" s="2726" t="s">
        <v>1613</v>
      </c>
      <c r="C1701" s="2511"/>
      <c r="D1701" s="2405">
        <v>0</v>
      </c>
      <c r="E1701" s="2447" t="s">
        <v>2657</v>
      </c>
      <c r="F1701" s="2405" t="s">
        <v>2445</v>
      </c>
      <c r="G1701" s="2703">
        <f>G1697*2</f>
        <v>0</v>
      </c>
      <c r="H1701" s="2517">
        <v>25400</v>
      </c>
      <c r="I1701" s="2612"/>
      <c r="J1701" s="2612">
        <v>0</v>
      </c>
      <c r="K1701" s="2612">
        <v>0</v>
      </c>
      <c r="L1701" s="2613">
        <f t="shared" si="314"/>
        <v>0</v>
      </c>
      <c r="M1701" s="2613">
        <f t="shared" si="323"/>
        <v>0</v>
      </c>
      <c r="N1701" s="2613">
        <f t="shared" si="324"/>
        <v>0</v>
      </c>
      <c r="O1701" s="2613">
        <f t="shared" si="325"/>
        <v>0</v>
      </c>
      <c r="P1701" s="2702"/>
      <c r="Q1701" s="2519"/>
      <c r="R1701" s="2519"/>
      <c r="S1701" s="2519"/>
    </row>
    <row r="1702" spans="1:19" s="2358" customFormat="1" outlineLevel="1">
      <c r="A1702" s="2435" t="str">
        <f t="shared" si="326"/>
        <v/>
      </c>
      <c r="B1702" s="2726" t="s">
        <v>1295</v>
      </c>
      <c r="C1702" s="2511"/>
      <c r="D1702" s="2405">
        <v>0</v>
      </c>
      <c r="E1702" s="2447" t="s">
        <v>2667</v>
      </c>
      <c r="F1702" s="2405" t="s">
        <v>2445</v>
      </c>
      <c r="G1702" s="2703"/>
      <c r="H1702" s="2517">
        <v>29800</v>
      </c>
      <c r="I1702" s="2612"/>
      <c r="J1702" s="2612">
        <v>0</v>
      </c>
      <c r="K1702" s="2612">
        <v>0</v>
      </c>
      <c r="L1702" s="2613">
        <f t="shared" si="314"/>
        <v>0</v>
      </c>
      <c r="M1702" s="2613">
        <f t="shared" si="323"/>
        <v>0</v>
      </c>
      <c r="N1702" s="2613">
        <f t="shared" si="324"/>
        <v>0</v>
      </c>
      <c r="O1702" s="2613">
        <f t="shared" si="325"/>
        <v>0</v>
      </c>
      <c r="P1702" s="2702"/>
      <c r="Q1702" s="2519"/>
      <c r="R1702" s="2519"/>
      <c r="S1702" s="2519"/>
    </row>
    <row r="1703" spans="1:19" s="2358" customFormat="1" outlineLevel="1">
      <c r="A1703" s="2435" t="str">
        <f t="shared" si="326"/>
        <v/>
      </c>
      <c r="B1703" s="2726" t="s">
        <v>1790</v>
      </c>
      <c r="C1703" s="2511"/>
      <c r="D1703" s="2405">
        <v>0</v>
      </c>
      <c r="E1703" s="2447" t="s">
        <v>2647</v>
      </c>
      <c r="F1703" s="2405" t="s">
        <v>2445</v>
      </c>
      <c r="G1703" s="2703">
        <f>G1697*2</f>
        <v>0</v>
      </c>
      <c r="H1703" s="2517">
        <v>12400</v>
      </c>
      <c r="I1703" s="2612"/>
      <c r="J1703" s="2612">
        <v>0</v>
      </c>
      <c r="K1703" s="2612">
        <v>0</v>
      </c>
      <c r="L1703" s="2613">
        <f t="shared" si="314"/>
        <v>0</v>
      </c>
      <c r="M1703" s="2613">
        <f t="shared" si="323"/>
        <v>0</v>
      </c>
      <c r="N1703" s="2613">
        <f t="shared" si="324"/>
        <v>0</v>
      </c>
      <c r="O1703" s="2613">
        <f t="shared" si="325"/>
        <v>0</v>
      </c>
      <c r="P1703" s="2702"/>
      <c r="Q1703" s="2519"/>
      <c r="R1703" s="2519"/>
      <c r="S1703" s="2519"/>
    </row>
    <row r="1704" spans="1:19" s="2358" customFormat="1" outlineLevel="1">
      <c r="A1704" s="2435" t="str">
        <f t="shared" si="326"/>
        <v/>
      </c>
      <c r="B1704" s="2726" t="s">
        <v>5469</v>
      </c>
      <c r="C1704" s="2511"/>
      <c r="D1704" s="2405" t="s">
        <v>5461</v>
      </c>
      <c r="E1704" s="2447" t="s">
        <v>5470</v>
      </c>
      <c r="F1704" s="2405" t="s">
        <v>2445</v>
      </c>
      <c r="G1704" s="2703">
        <f>G1697</f>
        <v>0</v>
      </c>
      <c r="H1704" s="2517">
        <v>0</v>
      </c>
      <c r="I1704" s="2612"/>
      <c r="J1704" s="2612">
        <v>184878</v>
      </c>
      <c r="K1704" s="2612">
        <v>0</v>
      </c>
      <c r="L1704" s="2613">
        <f t="shared" si="314"/>
        <v>0</v>
      </c>
      <c r="M1704" s="2613">
        <f t="shared" si="323"/>
        <v>0</v>
      </c>
      <c r="N1704" s="2613">
        <f t="shared" si="324"/>
        <v>0</v>
      </c>
      <c r="O1704" s="2613">
        <f t="shared" si="325"/>
        <v>0</v>
      </c>
      <c r="P1704" s="2702"/>
      <c r="Q1704" s="2519"/>
      <c r="R1704" s="2519"/>
      <c r="S1704" s="2519"/>
    </row>
    <row r="1705" spans="1:19" s="2358" customFormat="1" outlineLevel="1">
      <c r="A1705" s="2435" t="str">
        <f t="shared" si="326"/>
        <v/>
      </c>
      <c r="B1705" s="2514"/>
      <c r="C1705" s="2511">
        <f>IF(G1705&gt;0,C1697+1,C1697)</f>
        <v>0</v>
      </c>
      <c r="D1705" s="2512"/>
      <c r="E1705" s="2670" t="s">
        <v>6293</v>
      </c>
      <c r="F1705" s="2511" t="s">
        <v>2391</v>
      </c>
      <c r="G1705" s="2704"/>
      <c r="H1705" s="2669"/>
      <c r="I1705" s="2669"/>
      <c r="J1705" s="2669"/>
      <c r="K1705" s="2669"/>
      <c r="L1705" s="2613">
        <f t="shared" si="314"/>
        <v>0</v>
      </c>
      <c r="M1705" s="2613">
        <f t="shared" si="323"/>
        <v>0</v>
      </c>
      <c r="N1705" s="2613">
        <f t="shared" si="324"/>
        <v>0</v>
      </c>
      <c r="O1705" s="2613">
        <f t="shared" si="325"/>
        <v>0</v>
      </c>
      <c r="P1705" s="2702"/>
      <c r="Q1705" s="2519"/>
      <c r="R1705" s="2519"/>
      <c r="S1705" s="2519"/>
    </row>
    <row r="1706" spans="1:19" s="2358" customFormat="1" ht="14.4" outlineLevel="1">
      <c r="A1706" s="2435" t="str">
        <f>A1705</f>
        <v/>
      </c>
      <c r="B1706" s="2514"/>
      <c r="C1706" s="2511"/>
      <c r="D1706" s="2512"/>
      <c r="E1706" s="2520" t="s">
        <v>6207</v>
      </c>
      <c r="F1706" s="2521"/>
      <c r="G1706" s="2703"/>
      <c r="H1706" s="2669"/>
      <c r="I1706" s="2669"/>
      <c r="J1706" s="2669"/>
      <c r="K1706" s="2669"/>
      <c r="L1706" s="2613">
        <f t="shared" si="314"/>
        <v>0</v>
      </c>
      <c r="M1706" s="2613">
        <f t="shared" si="323"/>
        <v>0</v>
      </c>
      <c r="N1706" s="2613">
        <f t="shared" si="324"/>
        <v>0</v>
      </c>
      <c r="O1706" s="2613">
        <f t="shared" si="325"/>
        <v>0</v>
      </c>
      <c r="P1706" s="2702"/>
      <c r="Q1706" s="2519"/>
      <c r="R1706" s="2519"/>
      <c r="S1706" s="2519"/>
    </row>
    <row r="1707" spans="1:19" s="2358" customFormat="1" outlineLevel="1">
      <c r="A1707" s="2435" t="str">
        <f>IF(G1707&lt;&gt;0,1,"")</f>
        <v/>
      </c>
      <c r="B1707" s="2386" t="s">
        <v>5216</v>
      </c>
      <c r="C1707" s="2511"/>
      <c r="D1707" s="2405">
        <v>0</v>
      </c>
      <c r="E1707" s="2447" t="s">
        <v>5217</v>
      </c>
      <c r="F1707" s="2405" t="s">
        <v>2598</v>
      </c>
      <c r="G1707" s="2703">
        <f>+G1705*1</f>
        <v>0</v>
      </c>
      <c r="H1707" s="2612">
        <v>878000</v>
      </c>
      <c r="I1707" s="2612"/>
      <c r="J1707" s="2612">
        <v>0</v>
      </c>
      <c r="K1707" s="2612">
        <v>0</v>
      </c>
      <c r="L1707" s="2613">
        <f t="shared" si="314"/>
        <v>0</v>
      </c>
      <c r="M1707" s="2613">
        <f t="shared" si="323"/>
        <v>0</v>
      </c>
      <c r="N1707" s="2613">
        <f t="shared" si="324"/>
        <v>0</v>
      </c>
      <c r="O1707" s="2613">
        <f t="shared" si="325"/>
        <v>0</v>
      </c>
      <c r="P1707" s="2702"/>
      <c r="Q1707" s="2519"/>
      <c r="R1707" s="2519"/>
      <c r="S1707" s="2519"/>
    </row>
    <row r="1708" spans="1:19" s="2358" customFormat="1" outlineLevel="1">
      <c r="A1708" s="2435" t="str">
        <f>IF(G1708&lt;&gt;0,1,"")</f>
        <v/>
      </c>
      <c r="B1708" s="2383" t="s">
        <v>488</v>
      </c>
      <c r="C1708" s="2511"/>
      <c r="D1708" s="2405">
        <v>0</v>
      </c>
      <c r="E1708" s="2447" t="s">
        <v>5130</v>
      </c>
      <c r="F1708" s="2405" t="s">
        <v>2445</v>
      </c>
      <c r="G1708" s="2703">
        <f>+G1705*3</f>
        <v>0</v>
      </c>
      <c r="H1708" s="2612">
        <v>65000</v>
      </c>
      <c r="I1708" s="2612">
        <v>0</v>
      </c>
      <c r="J1708" s="2612">
        <v>0</v>
      </c>
      <c r="K1708" s="2612">
        <v>0</v>
      </c>
      <c r="L1708" s="2613">
        <f t="shared" si="314"/>
        <v>0</v>
      </c>
      <c r="M1708" s="2613">
        <f t="shared" si="323"/>
        <v>0</v>
      </c>
      <c r="N1708" s="2613">
        <f t="shared" si="324"/>
        <v>0</v>
      </c>
      <c r="O1708" s="2613">
        <f t="shared" si="325"/>
        <v>0</v>
      </c>
      <c r="P1708" s="2702"/>
      <c r="Q1708" s="2519"/>
      <c r="R1708" s="2519"/>
      <c r="S1708" s="2519"/>
    </row>
    <row r="1709" spans="1:19" s="2358" customFormat="1" outlineLevel="1">
      <c r="A1709" s="2435" t="str">
        <f>IF(G1709&lt;&gt;0,1,"")</f>
        <v/>
      </c>
      <c r="B1709" s="2514" t="s">
        <v>1079</v>
      </c>
      <c r="C1709" s="2511"/>
      <c r="D1709" s="2405">
        <v>0</v>
      </c>
      <c r="E1709" s="2447" t="s">
        <v>2659</v>
      </c>
      <c r="F1709" s="2405" t="s">
        <v>2445</v>
      </c>
      <c r="G1709" s="2703">
        <f>+G1705*2</f>
        <v>0</v>
      </c>
      <c r="H1709" s="2612">
        <v>27900</v>
      </c>
      <c r="I1709" s="2669"/>
      <c r="J1709" s="2612">
        <v>0</v>
      </c>
      <c r="K1709" s="2612">
        <v>0</v>
      </c>
      <c r="L1709" s="2613">
        <f t="shared" si="314"/>
        <v>0</v>
      </c>
      <c r="M1709" s="2613">
        <f t="shared" si="323"/>
        <v>0</v>
      </c>
      <c r="N1709" s="2613">
        <f t="shared" si="324"/>
        <v>0</v>
      </c>
      <c r="O1709" s="2613">
        <f t="shared" si="325"/>
        <v>0</v>
      </c>
      <c r="P1709" s="2702"/>
      <c r="Q1709" s="2519"/>
      <c r="R1709" s="2519"/>
      <c r="S1709" s="2519"/>
    </row>
    <row r="1710" spans="1:19" s="2358" customFormat="1" outlineLevel="1">
      <c r="A1710" s="2435" t="str">
        <f>IF(G1710&lt;&gt;0,1,"")</f>
        <v/>
      </c>
      <c r="B1710" s="2374" t="s">
        <v>6315</v>
      </c>
      <c r="C1710" s="2511"/>
      <c r="D1710" s="2405" t="s">
        <v>5209</v>
      </c>
      <c r="E1710" s="2447" t="s">
        <v>5439</v>
      </c>
      <c r="F1710" s="2405" t="s">
        <v>2445</v>
      </c>
      <c r="G1710" s="2703">
        <f>+G1705</f>
        <v>0</v>
      </c>
      <c r="H1710" s="2517">
        <v>0</v>
      </c>
      <c r="I1710" s="2612"/>
      <c r="J1710" s="2612">
        <v>131511.15</v>
      </c>
      <c r="K1710" s="2612"/>
      <c r="L1710" s="2613">
        <f t="shared" si="314"/>
        <v>0</v>
      </c>
      <c r="M1710" s="2613"/>
      <c r="N1710" s="2612">
        <v>0</v>
      </c>
      <c r="O1710" s="2613"/>
      <c r="P1710" s="2702"/>
      <c r="Q1710" s="2519"/>
      <c r="R1710" s="2519"/>
      <c r="S1710" s="2519"/>
    </row>
    <row r="1711" spans="1:19" s="2358" customFormat="1" outlineLevel="1">
      <c r="A1711" s="2435" t="str">
        <f>IF(G1711&lt;&gt;0,1,"")</f>
        <v/>
      </c>
      <c r="B1711" s="2514"/>
      <c r="C1711" s="2511">
        <f>IF(G1711&gt;0,C1705+1,C1705)</f>
        <v>0</v>
      </c>
      <c r="D1711" s="2512"/>
      <c r="E1711" s="2670" t="s">
        <v>4478</v>
      </c>
      <c r="F1711" s="2511" t="s">
        <v>2391</v>
      </c>
      <c r="G1711" s="2704"/>
      <c r="H1711" s="2669"/>
      <c r="I1711" s="2669"/>
      <c r="J1711" s="2669"/>
      <c r="K1711" s="2669"/>
      <c r="L1711" s="2613">
        <f t="shared" si="314"/>
        <v>0</v>
      </c>
      <c r="M1711" s="2613">
        <f>I1711*G1711</f>
        <v>0</v>
      </c>
      <c r="N1711" s="2613">
        <f>J1711*G1711</f>
        <v>0</v>
      </c>
      <c r="O1711" s="2613">
        <f>K1711*G1711</f>
        <v>0</v>
      </c>
      <c r="P1711" s="2702"/>
      <c r="Q1711" s="2519"/>
      <c r="R1711" s="2519"/>
      <c r="S1711" s="2519"/>
    </row>
    <row r="1712" spans="1:19" s="2358" customFormat="1" ht="14.4" outlineLevel="1">
      <c r="A1712" s="2435" t="str">
        <f>A1711</f>
        <v/>
      </c>
      <c r="B1712" s="2514"/>
      <c r="C1712" s="2511"/>
      <c r="D1712" s="2512"/>
      <c r="E1712" s="2520" t="s">
        <v>6207</v>
      </c>
      <c r="F1712" s="2521"/>
      <c r="G1712" s="2703"/>
      <c r="H1712" s="2669"/>
      <c r="I1712" s="2669"/>
      <c r="J1712" s="2669"/>
      <c r="K1712" s="2669"/>
      <c r="L1712" s="2613">
        <f t="shared" si="314"/>
        <v>0</v>
      </c>
      <c r="M1712" s="2613">
        <f>I1712*G1712</f>
        <v>0</v>
      </c>
      <c r="N1712" s="2613">
        <f>J1712*G1712</f>
        <v>0</v>
      </c>
      <c r="O1712" s="2613">
        <f>K1712*G1712</f>
        <v>0</v>
      </c>
      <c r="P1712" s="2702"/>
      <c r="Q1712" s="2519"/>
      <c r="R1712" s="2519"/>
      <c r="S1712" s="2519"/>
    </row>
    <row r="1713" spans="1:19" s="2358" customFormat="1" outlineLevel="1">
      <c r="A1713" s="2435" t="str">
        <f>IF(G1713&lt;&gt;0,1,"")</f>
        <v/>
      </c>
      <c r="B1713" s="2505" t="s">
        <v>2026</v>
      </c>
      <c r="C1713" s="2511"/>
      <c r="D1713" s="2405">
        <v>0</v>
      </c>
      <c r="E1713" s="2447" t="s">
        <v>2443</v>
      </c>
      <c r="F1713" s="2405" t="s">
        <v>2254</v>
      </c>
      <c r="G1713" s="2703">
        <f>G1711*9.02*(2.6+3*0.07)</f>
        <v>0</v>
      </c>
      <c r="H1713" s="2517">
        <v>31625</v>
      </c>
      <c r="I1713" s="2612"/>
      <c r="J1713" s="2612">
        <v>0</v>
      </c>
      <c r="K1713" s="2612">
        <v>0</v>
      </c>
      <c r="L1713" s="2613">
        <f t="shared" si="314"/>
        <v>0</v>
      </c>
      <c r="M1713" s="2613">
        <f>I1713*G1713</f>
        <v>0</v>
      </c>
      <c r="N1713" s="2613">
        <f>J1713*G1713</f>
        <v>0</v>
      </c>
      <c r="O1713" s="2613">
        <f>K1713*G1713</f>
        <v>0</v>
      </c>
      <c r="P1713" s="2702"/>
      <c r="Q1713" s="2519"/>
      <c r="R1713" s="2519"/>
      <c r="S1713" s="2519"/>
    </row>
    <row r="1714" spans="1:19" s="2358" customFormat="1" outlineLevel="1">
      <c r="A1714" s="2435" t="str">
        <f>IF(G1714&lt;&gt;0,1,"")</f>
        <v/>
      </c>
      <c r="B1714" s="2514" t="s">
        <v>1613</v>
      </c>
      <c r="C1714" s="2511"/>
      <c r="D1714" s="2405">
        <v>0</v>
      </c>
      <c r="E1714" s="2447" t="s">
        <v>2657</v>
      </c>
      <c r="F1714" s="2405" t="s">
        <v>2445</v>
      </c>
      <c r="G1714" s="2703">
        <f>G1711*2</f>
        <v>0</v>
      </c>
      <c r="H1714" s="2517">
        <v>25400</v>
      </c>
      <c r="I1714" s="2612">
        <v>0</v>
      </c>
      <c r="J1714" s="2612">
        <v>0</v>
      </c>
      <c r="K1714" s="2612">
        <v>0</v>
      </c>
      <c r="L1714" s="2613">
        <f t="shared" si="314"/>
        <v>0</v>
      </c>
      <c r="M1714" s="2613">
        <f>I1714*G1714</f>
        <v>0</v>
      </c>
      <c r="N1714" s="2613">
        <f>J1714*G1714</f>
        <v>0</v>
      </c>
      <c r="O1714" s="2613">
        <f>K1714*G1714</f>
        <v>0</v>
      </c>
      <c r="P1714" s="2702"/>
      <c r="Q1714" s="2519"/>
      <c r="R1714" s="2519"/>
      <c r="S1714" s="2519"/>
    </row>
    <row r="1715" spans="1:19" s="2358" customFormat="1" outlineLevel="1">
      <c r="A1715" s="2435" t="str">
        <f>IF(G1715&lt;&gt;0,1,"")</f>
        <v/>
      </c>
      <c r="B1715" s="2374" t="s">
        <v>5487</v>
      </c>
      <c r="C1715" s="2511"/>
      <c r="D1715" s="2405" t="s">
        <v>5488</v>
      </c>
      <c r="E1715" s="2447" t="s">
        <v>5489</v>
      </c>
      <c r="F1715" s="2405" t="s">
        <v>2254</v>
      </c>
      <c r="G1715" s="2703">
        <f>SUM(G1713)</f>
        <v>0</v>
      </c>
      <c r="H1715" s="2517">
        <v>0</v>
      </c>
      <c r="I1715" s="2612"/>
      <c r="J1715" s="2612">
        <v>2025</v>
      </c>
      <c r="K1715" s="2612"/>
      <c r="L1715" s="2613">
        <f t="shared" si="314"/>
        <v>0</v>
      </c>
      <c r="M1715" s="2613"/>
      <c r="N1715" s="2612">
        <v>0</v>
      </c>
      <c r="O1715" s="2613"/>
      <c r="P1715" s="2702"/>
      <c r="Q1715" s="2519"/>
      <c r="R1715" s="2519"/>
      <c r="S1715" s="2519"/>
    </row>
    <row r="1716" spans="1:19" s="2358" customFormat="1" outlineLevel="1">
      <c r="A1716" s="2435" t="str">
        <f>IF(G1716&lt;&gt;0,1,"")</f>
        <v/>
      </c>
      <c r="B1716" s="2514"/>
      <c r="C1716" s="2511">
        <f>IF(G1716&gt;0,C1711+1,C1711)</f>
        <v>0</v>
      </c>
      <c r="D1716" s="2512"/>
      <c r="E1716" s="2670" t="s">
        <v>6295</v>
      </c>
      <c r="F1716" s="2511" t="s">
        <v>2391</v>
      </c>
      <c r="G1716" s="2704">
        <f>G1632*2*0</f>
        <v>0</v>
      </c>
      <c r="H1716" s="2669"/>
      <c r="I1716" s="2669"/>
      <c r="J1716" s="2669"/>
      <c r="K1716" s="2669"/>
      <c r="L1716" s="2613">
        <f t="shared" si="314"/>
        <v>0</v>
      </c>
      <c r="M1716" s="2613">
        <f>I1716*G1716</f>
        <v>0</v>
      </c>
      <c r="N1716" s="2613">
        <f>J1716*G1716</f>
        <v>0</v>
      </c>
      <c r="O1716" s="2613">
        <f>K1716*G1716</f>
        <v>0</v>
      </c>
      <c r="P1716" s="2518"/>
      <c r="Q1716" s="2519"/>
      <c r="R1716" s="2519"/>
      <c r="S1716" s="2519"/>
    </row>
    <row r="1717" spans="1:19" s="2358" customFormat="1" ht="14.4" outlineLevel="1">
      <c r="A1717" s="2435" t="str">
        <f>A1716</f>
        <v/>
      </c>
      <c r="B1717" s="2514"/>
      <c r="C1717" s="2511"/>
      <c r="D1717" s="2512"/>
      <c r="E1717" s="2520" t="s">
        <v>6207</v>
      </c>
      <c r="F1717" s="2521"/>
      <c r="G1717" s="2703"/>
      <c r="H1717" s="2669"/>
      <c r="I1717" s="2669"/>
      <c r="J1717" s="2669"/>
      <c r="K1717" s="2669"/>
      <c r="L1717" s="2613">
        <f t="shared" si="314"/>
        <v>0</v>
      </c>
      <c r="M1717" s="2613">
        <f>I1717*G1717</f>
        <v>0</v>
      </c>
      <c r="N1717" s="2613">
        <f>J1717*G1717</f>
        <v>0</v>
      </c>
      <c r="O1717" s="2613">
        <f>K1717*G1717</f>
        <v>0</v>
      </c>
      <c r="P1717" s="2518"/>
      <c r="Q1717" s="2519"/>
      <c r="R1717" s="2519"/>
      <c r="S1717" s="2519"/>
    </row>
    <row r="1718" spans="1:19" s="2358" customFormat="1" outlineLevel="1">
      <c r="A1718" s="2435" t="str">
        <f>IF(G1718&lt;&gt;0,1,"")</f>
        <v/>
      </c>
      <c r="B1718" s="2514" t="s">
        <v>2026</v>
      </c>
      <c r="C1718" s="2511"/>
      <c r="D1718" s="2405">
        <v>0</v>
      </c>
      <c r="E1718" s="2447" t="s">
        <v>2443</v>
      </c>
      <c r="F1718" s="2405" t="s">
        <v>2254</v>
      </c>
      <c r="G1718" s="2703">
        <f>G1716*9.02*2.6</f>
        <v>0</v>
      </c>
      <c r="H1718" s="2517">
        <v>31625</v>
      </c>
      <c r="I1718" s="2612"/>
      <c r="J1718" s="2612">
        <v>0</v>
      </c>
      <c r="K1718" s="2612"/>
      <c r="L1718" s="2613">
        <f t="shared" si="314"/>
        <v>0</v>
      </c>
      <c r="M1718" s="2613"/>
      <c r="N1718" s="2613"/>
      <c r="O1718" s="2613"/>
      <c r="P1718" s="2518"/>
      <c r="Q1718" s="2519"/>
      <c r="R1718" s="2519"/>
      <c r="S1718" s="2519"/>
    </row>
    <row r="1719" spans="1:19" s="2358" customFormat="1" outlineLevel="1">
      <c r="A1719" s="2435" t="str">
        <f>IF(G1719&lt;&gt;0,1,"")</f>
        <v/>
      </c>
      <c r="B1719" s="2514" t="s">
        <v>1083</v>
      </c>
      <c r="C1719" s="2511"/>
      <c r="D1719" s="2405">
        <v>0</v>
      </c>
      <c r="E1719" s="2447" t="s">
        <v>2660</v>
      </c>
      <c r="F1719" s="2405" t="s">
        <v>2445</v>
      </c>
      <c r="G1719" s="2703">
        <f>G1716*2</f>
        <v>0</v>
      </c>
      <c r="H1719" s="2517">
        <v>29900</v>
      </c>
      <c r="I1719" s="2612">
        <v>0</v>
      </c>
      <c r="J1719" s="2612">
        <v>0</v>
      </c>
      <c r="K1719" s="2612"/>
      <c r="L1719" s="2613">
        <f t="shared" si="314"/>
        <v>0</v>
      </c>
      <c r="M1719" s="2613"/>
      <c r="N1719" s="2613"/>
      <c r="O1719" s="2613"/>
      <c r="P1719" s="2518"/>
      <c r="Q1719" s="2519"/>
      <c r="R1719" s="2519"/>
      <c r="S1719" s="2519"/>
    </row>
    <row r="1720" spans="1:19" s="2358" customFormat="1" outlineLevel="1">
      <c r="A1720" s="2435" t="str">
        <f>IF(G1720&lt;&gt;0,1,"")</f>
        <v/>
      </c>
      <c r="B1720" s="2514" t="s">
        <v>138</v>
      </c>
      <c r="C1720" s="2511"/>
      <c r="D1720" s="2405">
        <v>0</v>
      </c>
      <c r="E1720" s="2447" t="s">
        <v>2635</v>
      </c>
      <c r="F1720" s="2405" t="s">
        <v>2445</v>
      </c>
      <c r="G1720" s="2703">
        <f>G1716*2</f>
        <v>0</v>
      </c>
      <c r="H1720" s="2517">
        <v>8500</v>
      </c>
      <c r="I1720" s="2612">
        <v>0</v>
      </c>
      <c r="J1720" s="2612">
        <v>0</v>
      </c>
      <c r="K1720" s="2612"/>
      <c r="L1720" s="2613">
        <f t="shared" si="314"/>
        <v>0</v>
      </c>
      <c r="M1720" s="2613"/>
      <c r="N1720" s="2613"/>
      <c r="O1720" s="2613"/>
      <c r="P1720" s="2518"/>
      <c r="Q1720" s="2519"/>
      <c r="R1720" s="2519"/>
      <c r="S1720" s="2519"/>
    </row>
    <row r="1721" spans="1:19" s="2358" customFormat="1" outlineLevel="1">
      <c r="A1721" s="2435" t="str">
        <f>IF(G1721&lt;&gt;0,1,"")</f>
        <v/>
      </c>
      <c r="B1721" s="2374" t="s">
        <v>5487</v>
      </c>
      <c r="C1721" s="2511"/>
      <c r="D1721" s="2405" t="s">
        <v>5488</v>
      </c>
      <c r="E1721" s="2447" t="s">
        <v>5489</v>
      </c>
      <c r="F1721" s="2405" t="s">
        <v>2254</v>
      </c>
      <c r="G1721" s="2703">
        <f>SUM(G1718)</f>
        <v>0</v>
      </c>
      <c r="H1721" s="2517">
        <v>0</v>
      </c>
      <c r="I1721" s="2612"/>
      <c r="J1721" s="2612">
        <v>2025</v>
      </c>
      <c r="K1721" s="2612"/>
      <c r="L1721" s="2613">
        <f t="shared" si="314"/>
        <v>0</v>
      </c>
      <c r="M1721" s="2613"/>
      <c r="N1721" s="2612">
        <v>0</v>
      </c>
      <c r="O1721" s="2613"/>
      <c r="P1721" s="2518"/>
      <c r="Q1721" s="2519"/>
      <c r="R1721" s="2519"/>
      <c r="S1721" s="2519"/>
    </row>
    <row r="1722" spans="1:19" s="2730" customFormat="1" ht="13.8" customHeight="1">
      <c r="A1722" s="2727" t="str">
        <f>IF(G1722&lt;&gt;0,1,"")</f>
        <v/>
      </c>
      <c r="B1722" s="2728"/>
      <c r="C1722" s="2716">
        <f>IF(G1722&gt;0,C1716+1,C1716)</f>
        <v>0</v>
      </c>
      <c r="D1722" s="2717"/>
      <c r="E1722" s="2718" t="s">
        <v>3738</v>
      </c>
      <c r="F1722" s="2719" t="s">
        <v>2391</v>
      </c>
      <c r="G1722" s="2720">
        <f>G1632</f>
        <v>0</v>
      </c>
      <c r="H1722" s="2721"/>
      <c r="I1722" s="2722"/>
      <c r="J1722" s="2723"/>
      <c r="K1722" s="2723"/>
      <c r="L1722" s="2724">
        <f t="shared" si="314"/>
        <v>0</v>
      </c>
      <c r="M1722" s="2725">
        <f>I1722*G1722</f>
        <v>0</v>
      </c>
      <c r="N1722" s="2724">
        <f t="shared" ref="N1722:N1739" si="327">J1722*G1722</f>
        <v>0</v>
      </c>
      <c r="O1722" s="2724">
        <f>K1722*G1722</f>
        <v>0</v>
      </c>
      <c r="P1722" s="2729"/>
      <c r="R1722" s="2731"/>
    </row>
    <row r="1723" spans="1:19" s="2358" customFormat="1" ht="14.4" outlineLevel="1">
      <c r="A1723" s="2435" t="str">
        <f>+A1722</f>
        <v/>
      </c>
      <c r="B1723" s="2671"/>
      <c r="C1723" s="2511"/>
      <c r="D1723" s="2512"/>
      <c r="E1723" s="2520" t="s">
        <v>6207</v>
      </c>
      <c r="F1723" s="2521"/>
      <c r="G1723" s="2703"/>
      <c r="H1723" s="2517"/>
      <c r="I1723" s="2517"/>
      <c r="J1723" s="2517"/>
      <c r="K1723" s="2517"/>
      <c r="L1723" s="2517">
        <f t="shared" si="314"/>
        <v>0</v>
      </c>
      <c r="M1723" s="2517">
        <f>I1723*G1723</f>
        <v>0</v>
      </c>
      <c r="N1723" s="2517">
        <f t="shared" si="327"/>
        <v>0</v>
      </c>
      <c r="O1723" s="2517">
        <f>K1723*G1723</f>
        <v>0</v>
      </c>
      <c r="P1723" s="2694"/>
      <c r="Q1723" s="2519"/>
      <c r="R1723" s="2519"/>
      <c r="S1723" s="2519"/>
    </row>
    <row r="1724" spans="1:19" s="2358" customFormat="1" outlineLevel="1">
      <c r="A1724" s="2435" t="str">
        <f t="shared" ref="A1724:A1740" si="328">IF(G1724&lt;&gt;0,1,"")</f>
        <v/>
      </c>
      <c r="B1724" s="2514" t="s">
        <v>1033</v>
      </c>
      <c r="C1724" s="2511"/>
      <c r="D1724" s="2405">
        <v>0</v>
      </c>
      <c r="E1724" s="2447" t="s">
        <v>2708</v>
      </c>
      <c r="F1724" s="2405" t="s">
        <v>2254</v>
      </c>
      <c r="G1724" s="2703">
        <f>($H$3+20)*0.224*G1722</f>
        <v>0</v>
      </c>
      <c r="H1724" s="2517">
        <v>255500</v>
      </c>
      <c r="I1724" s="2517"/>
      <c r="J1724" s="2517">
        <v>0</v>
      </c>
      <c r="K1724" s="2517">
        <v>0</v>
      </c>
      <c r="L1724" s="2517">
        <f t="shared" si="314"/>
        <v>0</v>
      </c>
      <c r="M1724" s="2517">
        <f>I1724*G1724</f>
        <v>0</v>
      </c>
      <c r="N1724" s="2517">
        <f t="shared" si="327"/>
        <v>0</v>
      </c>
      <c r="O1724" s="2517">
        <f>K1724*G1724</f>
        <v>0</v>
      </c>
      <c r="P1724" s="2694"/>
      <c r="Q1724" s="2519"/>
      <c r="R1724" s="2519"/>
      <c r="S1724" s="2519"/>
    </row>
    <row r="1725" spans="1:19" s="2358" customFormat="1" outlineLevel="1">
      <c r="A1725" s="2435" t="str">
        <f t="shared" si="328"/>
        <v/>
      </c>
      <c r="B1725" s="2505" t="s">
        <v>1511</v>
      </c>
      <c r="C1725" s="2511"/>
      <c r="D1725" s="2405">
        <v>0</v>
      </c>
      <c r="E1725" s="2447" t="s">
        <v>5224</v>
      </c>
      <c r="F1725" s="2405" t="s">
        <v>2445</v>
      </c>
      <c r="G1725" s="2703">
        <f>$H$2*G1722</f>
        <v>0</v>
      </c>
      <c r="H1725" s="2517">
        <v>160000</v>
      </c>
      <c r="I1725" s="2517"/>
      <c r="J1725" s="2517">
        <v>0</v>
      </c>
      <c r="K1725" s="2517">
        <v>0</v>
      </c>
      <c r="L1725" s="2517">
        <f t="shared" si="314"/>
        <v>0</v>
      </c>
      <c r="M1725" s="2517">
        <f>I1725*G1725</f>
        <v>0</v>
      </c>
      <c r="N1725" s="2517">
        <f t="shared" si="327"/>
        <v>0</v>
      </c>
      <c r="O1725" s="2517">
        <f>K1725*G1725</f>
        <v>0</v>
      </c>
      <c r="P1725" s="2694"/>
      <c r="Q1725" s="2519"/>
      <c r="R1725" s="2519"/>
      <c r="S1725" s="2519"/>
    </row>
    <row r="1726" spans="1:19" s="2358" customFormat="1" outlineLevel="1">
      <c r="A1726" s="2435" t="str">
        <f t="shared" si="328"/>
        <v/>
      </c>
      <c r="B1726" s="2505" t="s">
        <v>1493</v>
      </c>
      <c r="C1726" s="2511"/>
      <c r="D1726" s="2405">
        <v>0</v>
      </c>
      <c r="E1726" s="2447" t="s">
        <v>3554</v>
      </c>
      <c r="F1726" s="2405" t="s">
        <v>1827</v>
      </c>
      <c r="G1726" s="2703">
        <f>G1722*8*0</f>
        <v>0</v>
      </c>
      <c r="H1726" s="2517">
        <v>6200</v>
      </c>
      <c r="I1726" s="2517"/>
      <c r="J1726" s="2517">
        <v>0</v>
      </c>
      <c r="K1726" s="2517">
        <v>0</v>
      </c>
      <c r="L1726" s="2517">
        <f t="shared" si="314"/>
        <v>0</v>
      </c>
      <c r="M1726" s="2517">
        <f>I1726*G1726</f>
        <v>0</v>
      </c>
      <c r="N1726" s="2517">
        <f t="shared" si="327"/>
        <v>0</v>
      </c>
      <c r="O1726" s="2517">
        <f>K1726*G1726</f>
        <v>0</v>
      </c>
      <c r="P1726" s="2702"/>
      <c r="Q1726" s="2519"/>
      <c r="R1726" s="2519"/>
      <c r="S1726" s="2519"/>
    </row>
    <row r="1727" spans="1:19" s="2358" customFormat="1" outlineLevel="1">
      <c r="A1727" s="2435" t="str">
        <f t="shared" si="328"/>
        <v/>
      </c>
      <c r="B1727" s="2514" t="s">
        <v>1582</v>
      </c>
      <c r="C1727" s="2511"/>
      <c r="D1727" s="2405">
        <v>0</v>
      </c>
      <c r="E1727" s="2447" t="s">
        <v>2889</v>
      </c>
      <c r="F1727" s="2405" t="s">
        <v>2563</v>
      </c>
      <c r="G1727" s="2703">
        <f>2*G1722*0</f>
        <v>0</v>
      </c>
      <c r="H1727" s="2517">
        <v>8000</v>
      </c>
      <c r="I1727" s="2517"/>
      <c r="J1727" s="2517">
        <v>0</v>
      </c>
      <c r="K1727" s="2517"/>
      <c r="L1727" s="2517">
        <f t="shared" si="314"/>
        <v>0</v>
      </c>
      <c r="M1727" s="2517"/>
      <c r="N1727" s="2517">
        <f t="shared" si="327"/>
        <v>0</v>
      </c>
      <c r="O1727" s="2517"/>
      <c r="P1727" s="2694"/>
      <c r="Q1727" s="2519"/>
      <c r="R1727" s="2519"/>
      <c r="S1727" s="2519"/>
    </row>
    <row r="1728" spans="1:19" s="2358" customFormat="1" outlineLevel="1">
      <c r="A1728" s="2435" t="str">
        <f t="shared" si="328"/>
        <v/>
      </c>
      <c r="B1728" s="2514" t="s">
        <v>6282</v>
      </c>
      <c r="C1728" s="2511"/>
      <c r="D1728" s="2405" t="s">
        <v>5787</v>
      </c>
      <c r="E1728" s="2447" t="s">
        <v>3497</v>
      </c>
      <c r="F1728" s="2405" t="s">
        <v>2563</v>
      </c>
      <c r="G1728" s="2703">
        <f>G1722*14</f>
        <v>0</v>
      </c>
      <c r="H1728" s="2517">
        <v>9100</v>
      </c>
      <c r="I1728" s="2517"/>
      <c r="J1728" s="2517">
        <v>10608.955000000002</v>
      </c>
      <c r="K1728" s="2517"/>
      <c r="L1728" s="2517">
        <f>H1728*G1728</f>
        <v>0</v>
      </c>
      <c r="M1728" s="2517"/>
      <c r="N1728" s="2517">
        <f>J1728*G1728</f>
        <v>0</v>
      </c>
      <c r="O1728" s="2517"/>
      <c r="P1728" s="2694"/>
      <c r="Q1728" s="2519"/>
      <c r="R1728" s="2519"/>
      <c r="S1728" s="2519"/>
    </row>
    <row r="1729" spans="1:19" s="2358" customFormat="1" outlineLevel="1">
      <c r="A1729" s="2435" t="str">
        <f t="shared" si="328"/>
        <v/>
      </c>
      <c r="B1729" s="2514" t="s">
        <v>816</v>
      </c>
      <c r="C1729" s="2672"/>
      <c r="D1729" s="2405">
        <v>0</v>
      </c>
      <c r="E1729" s="2447" t="s">
        <v>3599</v>
      </c>
      <c r="F1729" s="2405" t="s">
        <v>2563</v>
      </c>
      <c r="G1729" s="2703">
        <f>IF(G1726&lt;=12,15,21)*G1722</f>
        <v>0</v>
      </c>
      <c r="H1729" s="2517">
        <v>17600</v>
      </c>
      <c r="I1729" s="2517"/>
      <c r="J1729" s="2517">
        <v>0</v>
      </c>
      <c r="K1729" s="2517"/>
      <c r="L1729" s="2517">
        <f t="shared" si="314"/>
        <v>0</v>
      </c>
      <c r="M1729" s="2517">
        <f>I1729*G1729</f>
        <v>0</v>
      </c>
      <c r="N1729" s="2517">
        <f t="shared" si="327"/>
        <v>0</v>
      </c>
      <c r="O1729" s="2517">
        <f>K1729*G1729</f>
        <v>0</v>
      </c>
      <c r="P1729" s="2694"/>
      <c r="Q1729" s="2519"/>
      <c r="R1729" s="2519"/>
      <c r="S1729" s="2519"/>
    </row>
    <row r="1730" spans="1:19" s="2358" customFormat="1" outlineLevel="1">
      <c r="A1730" s="2435" t="str">
        <f t="shared" si="328"/>
        <v/>
      </c>
      <c r="B1730" s="2505" t="s">
        <v>525</v>
      </c>
      <c r="C1730" s="2672"/>
      <c r="D1730" s="2405">
        <v>0</v>
      </c>
      <c r="E1730" s="2447" t="s">
        <v>5313</v>
      </c>
      <c r="F1730" s="2405" t="s">
        <v>2445</v>
      </c>
      <c r="G1730" s="2703">
        <f>+G1722*4*0</f>
        <v>0</v>
      </c>
      <c r="H1730" s="2517">
        <v>43000</v>
      </c>
      <c r="I1730" s="2517"/>
      <c r="J1730" s="2517">
        <v>0</v>
      </c>
      <c r="K1730" s="2517"/>
      <c r="L1730" s="2517">
        <f t="shared" ref="L1730:L1740" si="329">H1730*G1730</f>
        <v>0</v>
      </c>
      <c r="M1730" s="2517">
        <f t="shared" ref="M1730:M1740" si="330">I1730*G1730</f>
        <v>0</v>
      </c>
      <c r="N1730" s="2517">
        <f t="shared" si="327"/>
        <v>0</v>
      </c>
      <c r="O1730" s="2517">
        <f t="shared" ref="O1730:O1740" si="331">K1730*G1730</f>
        <v>0</v>
      </c>
      <c r="P1730" s="2694"/>
      <c r="Q1730" s="2519"/>
      <c r="R1730" s="2519"/>
      <c r="S1730" s="2519"/>
    </row>
    <row r="1731" spans="1:19" s="2358" customFormat="1" outlineLevel="1">
      <c r="A1731" s="2435" t="str">
        <f t="shared" si="328"/>
        <v/>
      </c>
      <c r="B1731" s="2505" t="s">
        <v>1588</v>
      </c>
      <c r="C1731" s="2672"/>
      <c r="D1731" s="2405">
        <v>0</v>
      </c>
      <c r="E1731" s="2447" t="s">
        <v>5775</v>
      </c>
      <c r="F1731" s="2405" t="s">
        <v>3463</v>
      </c>
      <c r="G1731" s="2703">
        <f>G1722*2*0</f>
        <v>0</v>
      </c>
      <c r="H1731" s="2517">
        <v>0</v>
      </c>
      <c r="I1731" s="2517"/>
      <c r="J1731" s="2517">
        <v>1500000</v>
      </c>
      <c r="K1731" s="2517"/>
      <c r="L1731" s="2517">
        <f t="shared" si="329"/>
        <v>0</v>
      </c>
      <c r="M1731" s="2517">
        <f t="shared" si="330"/>
        <v>0</v>
      </c>
      <c r="N1731" s="2517">
        <f t="shared" si="327"/>
        <v>0</v>
      </c>
      <c r="O1731" s="2517">
        <f t="shared" si="331"/>
        <v>0</v>
      </c>
      <c r="P1731" s="2694"/>
      <c r="Q1731" s="2519"/>
      <c r="R1731" s="2519"/>
      <c r="S1731" s="2519"/>
    </row>
    <row r="1732" spans="1:19" s="2358" customFormat="1" outlineLevel="1">
      <c r="A1732" s="2435" t="str">
        <f t="shared" si="328"/>
        <v/>
      </c>
      <c r="B1732" s="2505" t="s">
        <v>5225</v>
      </c>
      <c r="C1732" s="2672"/>
      <c r="D1732" s="2405">
        <v>0</v>
      </c>
      <c r="E1732" s="2447" t="s">
        <v>5226</v>
      </c>
      <c r="F1732" s="2405" t="s">
        <v>2254</v>
      </c>
      <c r="G1732" s="2703">
        <f>5*16*G1731</f>
        <v>0</v>
      </c>
      <c r="H1732" s="2517">
        <v>31625</v>
      </c>
      <c r="I1732" s="2517"/>
      <c r="J1732" s="2517">
        <v>0</v>
      </c>
      <c r="K1732" s="2517"/>
      <c r="L1732" s="2517">
        <f t="shared" si="329"/>
        <v>0</v>
      </c>
      <c r="M1732" s="2517">
        <f t="shared" si="330"/>
        <v>0</v>
      </c>
      <c r="N1732" s="2517">
        <f t="shared" si="327"/>
        <v>0</v>
      </c>
      <c r="O1732" s="2517">
        <f t="shared" si="331"/>
        <v>0</v>
      </c>
      <c r="P1732" s="2694"/>
      <c r="Q1732" s="2519"/>
      <c r="R1732" s="2519"/>
      <c r="S1732" s="2519"/>
    </row>
    <row r="1733" spans="1:19" s="2358" customFormat="1" outlineLevel="1">
      <c r="A1733" s="2435" t="str">
        <f t="shared" si="328"/>
        <v/>
      </c>
      <c r="B1733" s="2505" t="s">
        <v>5229</v>
      </c>
      <c r="C1733" s="2672"/>
      <c r="D1733" s="2405" t="s">
        <v>5230</v>
      </c>
      <c r="E1733" s="2447" t="s">
        <v>5231</v>
      </c>
      <c r="F1733" s="2405" t="s">
        <v>5232</v>
      </c>
      <c r="G1733" s="2703">
        <f>G1722*4*G1731</f>
        <v>0</v>
      </c>
      <c r="H1733" s="2517">
        <v>0</v>
      </c>
      <c r="I1733" s="2517"/>
      <c r="J1733" s="2517">
        <v>55638</v>
      </c>
      <c r="K1733" s="2517"/>
      <c r="L1733" s="2517">
        <f t="shared" si="329"/>
        <v>0</v>
      </c>
      <c r="M1733" s="2517">
        <f t="shared" si="330"/>
        <v>0</v>
      </c>
      <c r="N1733" s="2517">
        <f t="shared" si="327"/>
        <v>0</v>
      </c>
      <c r="O1733" s="2517">
        <f t="shared" si="331"/>
        <v>0</v>
      </c>
      <c r="P1733" s="2694"/>
      <c r="Q1733" s="2519"/>
      <c r="R1733" s="2519"/>
      <c r="S1733" s="2519"/>
    </row>
    <row r="1734" spans="1:19" s="2358" customFormat="1" outlineLevel="1">
      <c r="A1734" s="2435" t="str">
        <f t="shared" si="328"/>
        <v/>
      </c>
      <c r="B1734" s="2505" t="s">
        <v>5236</v>
      </c>
      <c r="C1734" s="2672"/>
      <c r="D1734" s="2405">
        <v>0</v>
      </c>
      <c r="E1734" s="2447" t="s">
        <v>5237</v>
      </c>
      <c r="F1734" s="2405" t="s">
        <v>5235</v>
      </c>
      <c r="G1734" s="2703">
        <f>G1722*6*0</f>
        <v>0</v>
      </c>
      <c r="H1734" s="2517">
        <v>38105</v>
      </c>
      <c r="I1734" s="2517"/>
      <c r="J1734" s="2517">
        <v>0</v>
      </c>
      <c r="K1734" s="2517"/>
      <c r="L1734" s="2517">
        <f t="shared" si="329"/>
        <v>0</v>
      </c>
      <c r="M1734" s="2517">
        <f t="shared" si="330"/>
        <v>0</v>
      </c>
      <c r="N1734" s="2517">
        <f t="shared" si="327"/>
        <v>0</v>
      </c>
      <c r="O1734" s="2517">
        <f t="shared" si="331"/>
        <v>0</v>
      </c>
      <c r="P1734" s="2694"/>
      <c r="Q1734" s="2519"/>
      <c r="R1734" s="2519"/>
      <c r="S1734" s="2519"/>
    </row>
    <row r="1735" spans="1:19" s="2358" customFormat="1" outlineLevel="1">
      <c r="A1735" s="2435" t="str">
        <f t="shared" si="328"/>
        <v/>
      </c>
      <c r="B1735" s="2505" t="s">
        <v>5240</v>
      </c>
      <c r="C1735" s="2672"/>
      <c r="D1735" s="2405">
        <v>0</v>
      </c>
      <c r="E1735" s="2447" t="s">
        <v>5241</v>
      </c>
      <c r="F1735" s="2405" t="s">
        <v>5235</v>
      </c>
      <c r="G1735" s="2703">
        <f>G1722*2*0</f>
        <v>0</v>
      </c>
      <c r="H1735" s="2517">
        <v>53008</v>
      </c>
      <c r="I1735" s="2517"/>
      <c r="J1735" s="2517">
        <v>0</v>
      </c>
      <c r="K1735" s="2517"/>
      <c r="L1735" s="2517">
        <f t="shared" si="329"/>
        <v>0</v>
      </c>
      <c r="M1735" s="2517">
        <f t="shared" si="330"/>
        <v>0</v>
      </c>
      <c r="N1735" s="2517">
        <f t="shared" si="327"/>
        <v>0</v>
      </c>
      <c r="O1735" s="2517">
        <f t="shared" si="331"/>
        <v>0</v>
      </c>
      <c r="P1735" s="2694"/>
      <c r="Q1735" s="2519"/>
      <c r="R1735" s="2519"/>
      <c r="S1735" s="2519"/>
    </row>
    <row r="1736" spans="1:19" s="2358" customFormat="1" outlineLevel="1">
      <c r="A1736" s="2435" t="str">
        <f t="shared" si="328"/>
        <v/>
      </c>
      <c r="B1736" s="2505" t="s">
        <v>6308</v>
      </c>
      <c r="C1736" s="2672"/>
      <c r="D1736" s="2405">
        <v>0</v>
      </c>
      <c r="E1736" s="2447" t="s">
        <v>5103</v>
      </c>
      <c r="F1736" s="2405" t="s">
        <v>2445</v>
      </c>
      <c r="G1736" s="2703">
        <f>G1722*20</f>
        <v>0</v>
      </c>
      <c r="H1736" s="2517">
        <v>8400</v>
      </c>
      <c r="I1736" s="2517"/>
      <c r="J1736" s="2517">
        <v>0</v>
      </c>
      <c r="K1736" s="2517"/>
      <c r="L1736" s="2517">
        <f>H1736*G1736</f>
        <v>0</v>
      </c>
      <c r="M1736" s="2517">
        <f>I1736*G1736</f>
        <v>0</v>
      </c>
      <c r="N1736" s="2517">
        <f>J1736*G1736</f>
        <v>0</v>
      </c>
      <c r="O1736" s="2517">
        <f>K1736*G1736</f>
        <v>0</v>
      </c>
      <c r="P1736" s="2694"/>
      <c r="Q1736" s="2519"/>
      <c r="R1736" s="2519"/>
      <c r="S1736" s="2519"/>
    </row>
    <row r="1737" spans="1:19" s="2358" customFormat="1" outlineLevel="1">
      <c r="A1737" s="2435" t="str">
        <f t="shared" si="328"/>
        <v/>
      </c>
      <c r="B1737" s="2505" t="s">
        <v>5242</v>
      </c>
      <c r="C1737" s="2672"/>
      <c r="D1737" s="2405">
        <v>0</v>
      </c>
      <c r="E1737" s="2447" t="s">
        <v>5243</v>
      </c>
      <c r="F1737" s="2405" t="s">
        <v>2538</v>
      </c>
      <c r="G1737" s="2703">
        <f>G1734+G1735</f>
        <v>0</v>
      </c>
      <c r="H1737" s="2517">
        <v>11000</v>
      </c>
      <c r="I1737" s="2517"/>
      <c r="J1737" s="2517">
        <v>0</v>
      </c>
      <c r="K1737" s="2517"/>
      <c r="L1737" s="2517">
        <f t="shared" si="329"/>
        <v>0</v>
      </c>
      <c r="M1737" s="2517">
        <f t="shared" si="330"/>
        <v>0</v>
      </c>
      <c r="N1737" s="2517">
        <f t="shared" si="327"/>
        <v>0</v>
      </c>
      <c r="O1737" s="2517">
        <f t="shared" si="331"/>
        <v>0</v>
      </c>
      <c r="P1737" s="2694"/>
      <c r="Q1737" s="2519"/>
      <c r="R1737" s="2519"/>
      <c r="S1737" s="2519"/>
    </row>
    <row r="1738" spans="1:19" s="2358" customFormat="1" outlineLevel="1">
      <c r="A1738" s="2435" t="str">
        <f t="shared" si="328"/>
        <v/>
      </c>
      <c r="B1738" s="2505" t="s">
        <v>5244</v>
      </c>
      <c r="C1738" s="2672"/>
      <c r="D1738" s="2405">
        <v>0</v>
      </c>
      <c r="E1738" s="2447" t="s">
        <v>5245</v>
      </c>
      <c r="F1738" s="2405" t="s">
        <v>2563</v>
      </c>
      <c r="G1738" s="2703">
        <f>G1737</f>
        <v>0</v>
      </c>
      <c r="H1738" s="2517">
        <v>4000</v>
      </c>
      <c r="I1738" s="2517"/>
      <c r="J1738" s="2517">
        <v>0</v>
      </c>
      <c r="K1738" s="2517"/>
      <c r="L1738" s="2517">
        <f t="shared" si="329"/>
        <v>0</v>
      </c>
      <c r="M1738" s="2517">
        <f t="shared" si="330"/>
        <v>0</v>
      </c>
      <c r="N1738" s="2517">
        <f t="shared" si="327"/>
        <v>0</v>
      </c>
      <c r="O1738" s="2517">
        <f t="shared" si="331"/>
        <v>0</v>
      </c>
      <c r="P1738" s="2694"/>
      <c r="Q1738" s="2519"/>
      <c r="R1738" s="2519"/>
      <c r="S1738" s="2519"/>
    </row>
    <row r="1739" spans="1:19" s="2358" customFormat="1" outlineLevel="1">
      <c r="A1739" s="2435" t="str">
        <f t="shared" si="328"/>
        <v/>
      </c>
      <c r="B1739" s="2505" t="s">
        <v>794</v>
      </c>
      <c r="C1739" s="2672"/>
      <c r="D1739" s="2405" t="s">
        <v>5398</v>
      </c>
      <c r="E1739" s="2447" t="s">
        <v>3086</v>
      </c>
      <c r="F1739" s="2405" t="s">
        <v>856</v>
      </c>
      <c r="G1739" s="2703">
        <f>G1722*(52+20)*0.3*0.5</f>
        <v>0</v>
      </c>
      <c r="H1739" s="2517">
        <v>0</v>
      </c>
      <c r="I1739" s="2517"/>
      <c r="J1739" s="2517">
        <v>283749.75</v>
      </c>
      <c r="K1739" s="2517"/>
      <c r="L1739" s="2517">
        <f t="shared" si="329"/>
        <v>0</v>
      </c>
      <c r="M1739" s="2517">
        <f t="shared" si="330"/>
        <v>0</v>
      </c>
      <c r="N1739" s="2517">
        <f t="shared" si="327"/>
        <v>0</v>
      </c>
      <c r="O1739" s="2517">
        <f t="shared" si="331"/>
        <v>0</v>
      </c>
      <c r="P1739" s="2694"/>
      <c r="Q1739" s="2519"/>
      <c r="R1739" s="2519"/>
      <c r="S1739" s="2519"/>
    </row>
    <row r="1740" spans="1:19" s="2358" customFormat="1" outlineLevel="1">
      <c r="A1740" s="2435" t="str">
        <f t="shared" si="328"/>
        <v/>
      </c>
      <c r="B1740" s="2505" t="s">
        <v>798</v>
      </c>
      <c r="C1740" s="2672"/>
      <c r="D1740" s="2405" t="s">
        <v>5387</v>
      </c>
      <c r="E1740" s="2447" t="s">
        <v>5399</v>
      </c>
      <c r="F1740" s="2405" t="s">
        <v>856</v>
      </c>
      <c r="G1740" s="2703">
        <f>G1739</f>
        <v>0</v>
      </c>
      <c r="H1740" s="2517">
        <v>0</v>
      </c>
      <c r="I1740" s="2517"/>
      <c r="J1740" s="2517">
        <v>117703.6</v>
      </c>
      <c r="K1740" s="2517"/>
      <c r="L1740" s="2517">
        <f t="shared" si="329"/>
        <v>0</v>
      </c>
      <c r="M1740" s="2517">
        <f t="shared" si="330"/>
        <v>0</v>
      </c>
      <c r="N1740" s="2517">
        <f>J1740*G1740</f>
        <v>0</v>
      </c>
      <c r="O1740" s="2517">
        <f t="shared" si="331"/>
        <v>0</v>
      </c>
      <c r="P1740" s="2694"/>
      <c r="Q1740" s="2519"/>
      <c r="R1740" s="2519"/>
      <c r="S1740" s="2519"/>
    </row>
    <row r="1741" spans="1:19" s="2358" customFormat="1" outlineLevel="1">
      <c r="A1741" s="2435" t="str">
        <f>IF(G1741&lt;&gt;0,1,"")</f>
        <v/>
      </c>
      <c r="B1741" s="2505" t="s">
        <v>902</v>
      </c>
      <c r="C1741" s="2511"/>
      <c r="D1741" s="2405" t="s">
        <v>5413</v>
      </c>
      <c r="E1741" s="2447" t="s">
        <v>5414</v>
      </c>
      <c r="F1741" s="2405" t="s">
        <v>2391</v>
      </c>
      <c r="G1741" s="2707">
        <f>G1725</f>
        <v>0</v>
      </c>
      <c r="H1741" s="2517">
        <v>0</v>
      </c>
      <c r="I1741" s="2517"/>
      <c r="J1741" s="2517">
        <v>90355.896000000008</v>
      </c>
      <c r="K1741" s="2517">
        <v>1573.075</v>
      </c>
      <c r="L1741" s="2517">
        <f>H1741*G1741</f>
        <v>0</v>
      </c>
      <c r="M1741" s="2517">
        <f>I1741*G1741</f>
        <v>0</v>
      </c>
      <c r="N1741" s="2517">
        <f>J1741*G1741</f>
        <v>0</v>
      </c>
      <c r="O1741" s="2517">
        <f>K1741*G1741</f>
        <v>0</v>
      </c>
      <c r="P1741" s="2702"/>
      <c r="Q1741" s="2519"/>
      <c r="R1741" s="2519"/>
      <c r="S1741" s="2519"/>
    </row>
    <row r="1742" spans="1:19" s="2358" customFormat="1" outlineLevel="1">
      <c r="A1742" s="2435" t="str">
        <f>IF(G1742&lt;&gt;0,1,"")</f>
        <v/>
      </c>
      <c r="B1742" s="2505" t="s">
        <v>1440</v>
      </c>
      <c r="C1742" s="2511"/>
      <c r="D1742" s="2405" t="s">
        <v>5408</v>
      </c>
      <c r="E1742" s="2447" t="s">
        <v>5409</v>
      </c>
      <c r="F1742" s="2405" t="s">
        <v>2538</v>
      </c>
      <c r="G1742" s="2707">
        <f>G1724/0.224</f>
        <v>0</v>
      </c>
      <c r="H1742" s="2517">
        <v>0</v>
      </c>
      <c r="I1742" s="2517"/>
      <c r="J1742" s="2517">
        <v>8070.7000000000007</v>
      </c>
      <c r="K1742" s="2517">
        <v>2044.9974999999999</v>
      </c>
      <c r="L1742" s="2517">
        <f>H1742*G1742</f>
        <v>0</v>
      </c>
      <c r="M1742" s="2517">
        <f>I1742*G1742</f>
        <v>0</v>
      </c>
      <c r="N1742" s="2517">
        <f>J1742*G1742</f>
        <v>0</v>
      </c>
      <c r="O1742" s="2517">
        <f>K1742*G1742</f>
        <v>0</v>
      </c>
      <c r="P1742" s="2694"/>
      <c r="Q1742" s="2519"/>
      <c r="R1742" s="2519"/>
      <c r="S1742" s="2519"/>
    </row>
    <row r="1743" spans="1:19" s="2731" customFormat="1" ht="13.8" customHeight="1">
      <c r="A1743" s="2732" t="str">
        <f>IF(G1743&lt;&gt;0,1,"")</f>
        <v/>
      </c>
      <c r="B1743" s="2733"/>
      <c r="C1743" s="2716">
        <f>IF(G1743&gt;0,C1722+1,C1722)</f>
        <v>0</v>
      </c>
      <c r="D1743" s="2734"/>
      <c r="E1743" s="2718" t="s">
        <v>6296</v>
      </c>
      <c r="F1743" s="2719" t="s">
        <v>2391</v>
      </c>
      <c r="G1743" s="2720">
        <f>G1722</f>
        <v>0</v>
      </c>
      <c r="H1743" s="2722"/>
      <c r="I1743" s="2722"/>
      <c r="J1743" s="2735"/>
      <c r="K1743" s="2735"/>
      <c r="L1743" s="2725">
        <f t="shared" ref="L1743:L1801" si="332">H1743*G1743</f>
        <v>0</v>
      </c>
      <c r="M1743" s="2725">
        <f t="shared" ref="M1743:M1801" si="333">I1743*G1743</f>
        <v>0</v>
      </c>
      <c r="N1743" s="2725">
        <f t="shared" ref="N1743:N1801" si="334">J1743*G1743</f>
        <v>0</v>
      </c>
      <c r="O1743" s="2725">
        <f t="shared" ref="O1743:O1801" si="335">K1743*G1743</f>
        <v>0</v>
      </c>
      <c r="P1743" s="2736"/>
    </row>
    <row r="1744" spans="1:19" s="2358" customFormat="1" ht="14.4" outlineLevel="1">
      <c r="A1744" s="2435" t="str">
        <f>A1743</f>
        <v/>
      </c>
      <c r="B1744" s="2514"/>
      <c r="C1744" s="2511"/>
      <c r="D1744" s="2512"/>
      <c r="E1744" s="2520" t="s">
        <v>6207</v>
      </c>
      <c r="F1744" s="2521"/>
      <c r="G1744" s="2523"/>
      <c r="H1744" s="2517"/>
      <c r="I1744" s="2517"/>
      <c r="J1744" s="2517"/>
      <c r="K1744" s="2517"/>
      <c r="L1744" s="2517">
        <f t="shared" si="332"/>
        <v>0</v>
      </c>
      <c r="M1744" s="2517">
        <f t="shared" si="333"/>
        <v>0</v>
      </c>
      <c r="N1744" s="2517">
        <f t="shared" si="334"/>
        <v>0</v>
      </c>
      <c r="O1744" s="2517">
        <f t="shared" si="335"/>
        <v>0</v>
      </c>
      <c r="P1744" s="2518"/>
      <c r="Q1744" s="2519"/>
      <c r="R1744" s="2519"/>
      <c r="S1744" s="2519"/>
    </row>
    <row r="1745" spans="1:20" s="2358" customFormat="1" outlineLevel="1">
      <c r="A1745" s="2435" t="str">
        <f>IF(G1745&lt;&gt;0,1,"")</f>
        <v/>
      </c>
      <c r="B1745" s="2514" t="s">
        <v>653</v>
      </c>
      <c r="C1745" s="2521"/>
      <c r="D1745" s="2405">
        <v>0</v>
      </c>
      <c r="E1745" s="2447" t="s">
        <v>5351</v>
      </c>
      <c r="F1745" s="2405" t="s">
        <v>2254</v>
      </c>
      <c r="G1745" s="2703">
        <f>+G1748*296</f>
        <v>0</v>
      </c>
      <c r="H1745" s="2517">
        <v>1740</v>
      </c>
      <c r="I1745" s="2517"/>
      <c r="J1745" s="2517">
        <v>0</v>
      </c>
      <c r="K1745" s="2517">
        <v>0</v>
      </c>
      <c r="L1745" s="2517">
        <f t="shared" si="332"/>
        <v>0</v>
      </c>
      <c r="M1745" s="2517">
        <f t="shared" si="333"/>
        <v>0</v>
      </c>
      <c r="N1745" s="2517">
        <f t="shared" si="334"/>
        <v>0</v>
      </c>
      <c r="O1745" s="2517">
        <f t="shared" si="335"/>
        <v>0</v>
      </c>
      <c r="P1745" s="2518"/>
      <c r="Q1745" s="2519"/>
      <c r="R1745" s="2519"/>
      <c r="S1745" s="2519"/>
    </row>
    <row r="1746" spans="1:20" s="2358" customFormat="1" outlineLevel="1">
      <c r="A1746" s="2435" t="str">
        <f>IF(G1746&lt;&gt;0,1,"")</f>
        <v/>
      </c>
      <c r="B1746" s="2514" t="s">
        <v>752</v>
      </c>
      <c r="C1746" s="2511"/>
      <c r="D1746" s="2405">
        <v>0</v>
      </c>
      <c r="E1746" s="2447" t="s">
        <v>3022</v>
      </c>
      <c r="F1746" s="2405" t="s">
        <v>856</v>
      </c>
      <c r="G1746" s="2703">
        <f>G1748*0.475</f>
        <v>0</v>
      </c>
      <c r="H1746" s="2517">
        <v>512000</v>
      </c>
      <c r="I1746" s="2517"/>
      <c r="J1746" s="2517">
        <v>0</v>
      </c>
      <c r="K1746" s="2517">
        <v>0</v>
      </c>
      <c r="L1746" s="2517">
        <f t="shared" si="332"/>
        <v>0</v>
      </c>
      <c r="M1746" s="2517">
        <f t="shared" si="333"/>
        <v>0</v>
      </c>
      <c r="N1746" s="2517">
        <f t="shared" si="334"/>
        <v>0</v>
      </c>
      <c r="O1746" s="2517">
        <f t="shared" si="335"/>
        <v>0</v>
      </c>
      <c r="P1746" s="2518"/>
      <c r="Q1746" s="2519"/>
      <c r="R1746" s="2519"/>
      <c r="S1746" s="2519"/>
    </row>
    <row r="1747" spans="1:20" s="2358" customFormat="1" outlineLevel="1">
      <c r="A1747" s="2435" t="str">
        <f>IF(G1747&lt;&gt;0,1,"")</f>
        <v/>
      </c>
      <c r="B1747" s="2514" t="s">
        <v>216</v>
      </c>
      <c r="C1747" s="2511"/>
      <c r="D1747" s="2405">
        <v>0</v>
      </c>
      <c r="E1747" s="2447" t="s">
        <v>3018</v>
      </c>
      <c r="F1747" s="2405" t="s">
        <v>856</v>
      </c>
      <c r="G1747" s="2703">
        <f>G1748*0.881</f>
        <v>0</v>
      </c>
      <c r="H1747" s="2517">
        <v>335000</v>
      </c>
      <c r="I1747" s="2517"/>
      <c r="J1747" s="2517">
        <v>0</v>
      </c>
      <c r="K1747" s="2517">
        <v>0</v>
      </c>
      <c r="L1747" s="2517">
        <f t="shared" si="332"/>
        <v>0</v>
      </c>
      <c r="M1747" s="2517">
        <f t="shared" si="333"/>
        <v>0</v>
      </c>
      <c r="N1747" s="2517">
        <f t="shared" si="334"/>
        <v>0</v>
      </c>
      <c r="O1747" s="2517">
        <f t="shared" si="335"/>
        <v>0</v>
      </c>
      <c r="P1747" s="2518"/>
      <c r="Q1747" s="2519"/>
      <c r="R1747" s="2519"/>
      <c r="S1747" s="2519"/>
    </row>
    <row r="1748" spans="1:20" s="2358" customFormat="1" outlineLevel="1">
      <c r="A1748" s="2435" t="str">
        <f>IF(G1748&lt;&gt;0,1,"")</f>
        <v/>
      </c>
      <c r="B1748" s="2514" t="s">
        <v>654</v>
      </c>
      <c r="C1748" s="2521"/>
      <c r="D1748" s="2405" t="s">
        <v>5533</v>
      </c>
      <c r="E1748" s="2447" t="s">
        <v>5536</v>
      </c>
      <c r="F1748" s="2405" t="s">
        <v>856</v>
      </c>
      <c r="G1748" s="2703">
        <f>G1743*(0.4*3*1-2*3.14*0.15^2*0.4)</f>
        <v>0</v>
      </c>
      <c r="H1748" s="2517"/>
      <c r="I1748" s="2517"/>
      <c r="J1748" s="2517">
        <v>466397.5</v>
      </c>
      <c r="K1748" s="2517">
        <v>0</v>
      </c>
      <c r="L1748" s="2517">
        <f t="shared" si="332"/>
        <v>0</v>
      </c>
      <c r="M1748" s="2517">
        <f t="shared" si="333"/>
        <v>0</v>
      </c>
      <c r="N1748" s="2517">
        <f t="shared" si="334"/>
        <v>0</v>
      </c>
      <c r="O1748" s="2517">
        <f t="shared" si="335"/>
        <v>0</v>
      </c>
      <c r="P1748" s="2518"/>
      <c r="Q1748" s="2525">
        <f>1.025*361</f>
        <v>370.02499999999998</v>
      </c>
      <c r="R1748" s="2525">
        <f>1.025*0.45</f>
        <v>0.46124999999999999</v>
      </c>
      <c r="S1748" s="2525">
        <f>1.025*0.866</f>
        <v>0.88764999999999994</v>
      </c>
      <c r="T1748" s="2526"/>
    </row>
    <row r="1749" spans="1:20" s="2730" customFormat="1" ht="13.8" customHeight="1">
      <c r="A1749" s="2727" t="str">
        <f>IF(G1749&lt;&gt;0,1,"")</f>
        <v/>
      </c>
      <c r="B1749" s="2728"/>
      <c r="C1749" s="2716">
        <f>IF(G1749&gt;0,C1743+1,C1743)</f>
        <v>0</v>
      </c>
      <c r="D1749" s="2717"/>
      <c r="E1749" s="2718" t="s">
        <v>6316</v>
      </c>
      <c r="F1749" s="2719" t="s">
        <v>2391</v>
      </c>
      <c r="G1749" s="2720">
        <f>+G1632</f>
        <v>0</v>
      </c>
      <c r="H1749" s="2721"/>
      <c r="I1749" s="2721"/>
      <c r="J1749" s="2723"/>
      <c r="K1749" s="2723"/>
      <c r="L1749" s="2724">
        <f t="shared" si="332"/>
        <v>0</v>
      </c>
      <c r="M1749" s="2724">
        <f t="shared" si="333"/>
        <v>0</v>
      </c>
      <c r="N1749" s="2724">
        <f t="shared" si="334"/>
        <v>0</v>
      </c>
      <c r="O1749" s="2724">
        <f t="shared" si="335"/>
        <v>0</v>
      </c>
      <c r="P1749" s="2729"/>
    </row>
    <row r="1750" spans="1:20" s="2358" customFormat="1" ht="14.4" outlineLevel="1">
      <c r="A1750" s="2435" t="str">
        <f>A1749</f>
        <v/>
      </c>
      <c r="B1750" s="2514"/>
      <c r="C1750" s="2511"/>
      <c r="D1750" s="2512"/>
      <c r="E1750" s="2520" t="s">
        <v>6207</v>
      </c>
      <c r="F1750" s="2521"/>
      <c r="G1750" s="2523"/>
      <c r="H1750" s="2517"/>
      <c r="I1750" s="2517"/>
      <c r="J1750" s="2517"/>
      <c r="K1750" s="2517"/>
      <c r="L1750" s="2517">
        <f t="shared" si="332"/>
        <v>0</v>
      </c>
      <c r="M1750" s="2517">
        <f t="shared" si="333"/>
        <v>0</v>
      </c>
      <c r="N1750" s="2517">
        <f t="shared" si="334"/>
        <v>0</v>
      </c>
      <c r="O1750" s="2517">
        <f t="shared" si="335"/>
        <v>0</v>
      </c>
      <c r="P1750" s="2518"/>
      <c r="Q1750" s="2519"/>
      <c r="R1750" s="2519"/>
      <c r="S1750" s="2519"/>
    </row>
    <row r="1751" spans="1:20" s="2358" customFormat="1" outlineLevel="1">
      <c r="A1751" s="2435" t="str">
        <f t="shared" ref="A1751:A1759" si="336">IF(G1751&lt;&gt;0,1,"")</f>
        <v/>
      </c>
      <c r="B1751" s="2737" t="s">
        <v>1427</v>
      </c>
      <c r="C1751" s="2521"/>
      <c r="D1751" s="2405">
        <v>0</v>
      </c>
      <c r="E1751" s="2447" t="s">
        <v>5307</v>
      </c>
      <c r="F1751" s="2405" t="s">
        <v>2254</v>
      </c>
      <c r="G1751" s="2703"/>
      <c r="H1751" s="2517">
        <v>13200</v>
      </c>
      <c r="I1751" s="2517"/>
      <c r="J1751" s="2517">
        <v>0</v>
      </c>
      <c r="K1751" s="2517">
        <v>0</v>
      </c>
      <c r="L1751" s="2517">
        <f>H1751*G1751</f>
        <v>0</v>
      </c>
      <c r="M1751" s="2517">
        <f>I1751*G1751</f>
        <v>0</v>
      </c>
      <c r="N1751" s="2517">
        <f>J1751*G1751</f>
        <v>0</v>
      </c>
      <c r="O1751" s="2517">
        <f>K1751*G1751</f>
        <v>0</v>
      </c>
      <c r="P1751" s="2518"/>
      <c r="Q1751" s="2519"/>
      <c r="R1751" s="2519"/>
      <c r="S1751" s="2519"/>
    </row>
    <row r="1752" spans="1:20" s="2358" customFormat="1" outlineLevel="1">
      <c r="A1752" s="2435" t="str">
        <f t="shared" si="336"/>
        <v/>
      </c>
      <c r="B1752" s="2737" t="s">
        <v>2012</v>
      </c>
      <c r="C1752" s="2521"/>
      <c r="D1752" s="2405">
        <v>0</v>
      </c>
      <c r="E1752" s="2447" t="s">
        <v>5308</v>
      </c>
      <c r="F1752" s="2405" t="s">
        <v>2254</v>
      </c>
      <c r="G1752" s="2703">
        <f>G1749*0.617*30.6</f>
        <v>0</v>
      </c>
      <c r="H1752" s="2517">
        <v>13300</v>
      </c>
      <c r="I1752" s="2517"/>
      <c r="J1752" s="2517">
        <v>0</v>
      </c>
      <c r="K1752" s="2517">
        <v>0</v>
      </c>
      <c r="L1752" s="2517">
        <f>H1752*G1752</f>
        <v>0</v>
      </c>
      <c r="M1752" s="2517">
        <f>I1752*G1752</f>
        <v>0</v>
      </c>
      <c r="N1752" s="2517">
        <f>J1752*G1752</f>
        <v>0</v>
      </c>
      <c r="O1752" s="2517">
        <f>K1752*G1752</f>
        <v>0</v>
      </c>
      <c r="P1752" s="2518"/>
      <c r="Q1752" s="2519"/>
      <c r="R1752" s="2519"/>
      <c r="S1752" s="2519"/>
    </row>
    <row r="1753" spans="1:20" s="2358" customFormat="1" outlineLevel="1">
      <c r="A1753" s="2435" t="str">
        <f t="shared" si="336"/>
        <v/>
      </c>
      <c r="B1753" s="2738" t="s">
        <v>6317</v>
      </c>
      <c r="C1753" s="2521"/>
      <c r="D1753" s="2405">
        <v>0</v>
      </c>
      <c r="E1753" s="2447" t="s">
        <v>5546</v>
      </c>
      <c r="F1753" s="2405" t="s">
        <v>856</v>
      </c>
      <c r="G1753" s="2703">
        <f>G1749*1.08</f>
        <v>0</v>
      </c>
      <c r="H1753" s="2517">
        <v>920580</v>
      </c>
      <c r="I1753" s="2517"/>
      <c r="J1753" s="2517">
        <v>0</v>
      </c>
      <c r="K1753" s="2517">
        <v>0</v>
      </c>
      <c r="L1753" s="2517">
        <f t="shared" si="332"/>
        <v>0</v>
      </c>
      <c r="M1753" s="2517">
        <f t="shared" si="333"/>
        <v>0</v>
      </c>
      <c r="N1753" s="2517">
        <f t="shared" si="334"/>
        <v>0</v>
      </c>
      <c r="O1753" s="2517">
        <f t="shared" si="335"/>
        <v>0</v>
      </c>
      <c r="P1753" s="2518"/>
      <c r="Q1753" s="2739">
        <f>0.9*1*1.2</f>
        <v>1.08</v>
      </c>
      <c r="R1753" s="2519"/>
      <c r="S1753" s="2519"/>
    </row>
    <row r="1754" spans="1:20" s="2358" customFormat="1" outlineLevel="1">
      <c r="A1754" s="2435" t="str">
        <f t="shared" si="336"/>
        <v/>
      </c>
      <c r="B1754" s="2740" t="s">
        <v>5547</v>
      </c>
      <c r="C1754" s="2511"/>
      <c r="D1754" s="2405">
        <v>0</v>
      </c>
      <c r="E1754" s="2447" t="s">
        <v>5548</v>
      </c>
      <c r="F1754" s="2405" t="s">
        <v>856</v>
      </c>
      <c r="G1754" s="2703">
        <f>G1749*0.1*1.4*1.2</f>
        <v>0</v>
      </c>
      <c r="H1754" s="2517">
        <v>371262</v>
      </c>
      <c r="I1754" s="2517"/>
      <c r="J1754" s="2517">
        <v>0</v>
      </c>
      <c r="K1754" s="2517">
        <v>0</v>
      </c>
      <c r="L1754" s="2517">
        <f t="shared" si="332"/>
        <v>0</v>
      </c>
      <c r="M1754" s="2517">
        <f t="shared" si="333"/>
        <v>0</v>
      </c>
      <c r="N1754" s="2517">
        <f t="shared" si="334"/>
        <v>0</v>
      </c>
      <c r="O1754" s="2517">
        <f t="shared" si="335"/>
        <v>0</v>
      </c>
      <c r="P1754" s="2518"/>
      <c r="Q1754" s="2519"/>
      <c r="R1754" s="2519"/>
      <c r="S1754" s="2519"/>
    </row>
    <row r="1755" spans="1:20" s="2358" customFormat="1" outlineLevel="1">
      <c r="A1755" s="2435" t="str">
        <f t="shared" si="336"/>
        <v/>
      </c>
      <c r="B1755" s="2741" t="s">
        <v>9</v>
      </c>
      <c r="C1755" s="2511"/>
      <c r="D1755" s="2405" t="s">
        <v>5540</v>
      </c>
      <c r="E1755" s="2447" t="s">
        <v>3217</v>
      </c>
      <c r="F1755" s="2405" t="s">
        <v>2254</v>
      </c>
      <c r="G1755" s="2703">
        <f>G1751</f>
        <v>0</v>
      </c>
      <c r="H1755" s="2517">
        <v>9814</v>
      </c>
      <c r="I1755" s="2517"/>
      <c r="J1755" s="2517">
        <v>2965.3303999999998</v>
      </c>
      <c r="K1755" s="2517">
        <v>0</v>
      </c>
      <c r="L1755" s="2517">
        <f t="shared" si="332"/>
        <v>0</v>
      </c>
      <c r="M1755" s="2517">
        <f t="shared" si="333"/>
        <v>0</v>
      </c>
      <c r="N1755" s="2517">
        <f t="shared" si="334"/>
        <v>0</v>
      </c>
      <c r="O1755" s="2517">
        <f t="shared" si="335"/>
        <v>0</v>
      </c>
      <c r="P1755" s="2518"/>
      <c r="Q1755" s="2519"/>
      <c r="R1755" s="2519"/>
      <c r="S1755" s="2519"/>
    </row>
    <row r="1756" spans="1:20" s="2358" customFormat="1" outlineLevel="1">
      <c r="A1756" s="2435" t="str">
        <f t="shared" si="336"/>
        <v/>
      </c>
      <c r="B1756" s="2741" t="s">
        <v>585</v>
      </c>
      <c r="C1756" s="2511"/>
      <c r="D1756" s="2405" t="s">
        <v>5541</v>
      </c>
      <c r="E1756" s="2447" t="s">
        <v>3218</v>
      </c>
      <c r="F1756" s="2405" t="s">
        <v>2254</v>
      </c>
      <c r="G1756" s="2703">
        <f>G1752</f>
        <v>0</v>
      </c>
      <c r="H1756" s="2517">
        <v>9970</v>
      </c>
      <c r="I1756" s="2517"/>
      <c r="J1756" s="2517">
        <v>2309.9327999999996</v>
      </c>
      <c r="K1756" s="2517">
        <v>0</v>
      </c>
      <c r="L1756" s="2517">
        <f>H1756*G1756</f>
        <v>0</v>
      </c>
      <c r="M1756" s="2517">
        <f>I1756*G1756</f>
        <v>0</v>
      </c>
      <c r="N1756" s="2517">
        <f>J1756*G1756</f>
        <v>0</v>
      </c>
      <c r="O1756" s="2517">
        <f>K1756*G1756</f>
        <v>0</v>
      </c>
      <c r="P1756" s="2518"/>
      <c r="Q1756" s="2519"/>
      <c r="R1756" s="2519"/>
      <c r="S1756" s="2519"/>
    </row>
    <row r="1757" spans="1:20" s="2358" customFormat="1" outlineLevel="1">
      <c r="A1757" s="2435" t="str">
        <f t="shared" si="336"/>
        <v/>
      </c>
      <c r="B1757" s="2514" t="s">
        <v>654</v>
      </c>
      <c r="C1757" s="2521"/>
      <c r="D1757" s="2405" t="s">
        <v>5533</v>
      </c>
      <c r="E1757" s="2447" t="s">
        <v>5536</v>
      </c>
      <c r="F1757" s="2405" t="s">
        <v>856</v>
      </c>
      <c r="G1757" s="2703">
        <f>G1753</f>
        <v>0</v>
      </c>
      <c r="H1757" s="2517"/>
      <c r="I1757" s="2517"/>
      <c r="J1757" s="2517">
        <v>466397.5</v>
      </c>
      <c r="K1757" s="2517">
        <v>0</v>
      </c>
      <c r="L1757" s="2517">
        <f t="shared" si="332"/>
        <v>0</v>
      </c>
      <c r="M1757" s="2517">
        <f t="shared" si="333"/>
        <v>0</v>
      </c>
      <c r="N1757" s="2517">
        <f t="shared" si="334"/>
        <v>0</v>
      </c>
      <c r="O1757" s="2517">
        <f t="shared" si="335"/>
        <v>0</v>
      </c>
      <c r="P1757" s="2518"/>
      <c r="Q1757" s="2525">
        <f>1.025*361</f>
        <v>370.02499999999998</v>
      </c>
      <c r="R1757" s="2525">
        <f>1.025*0.45</f>
        <v>0.46124999999999999</v>
      </c>
      <c r="S1757" s="2525">
        <f>1.025*0.866</f>
        <v>0.88764999999999994</v>
      </c>
      <c r="T1757" s="2526"/>
    </row>
    <row r="1758" spans="1:20" s="2358" customFormat="1" outlineLevel="1">
      <c r="A1758" s="2435" t="str">
        <f t="shared" si="336"/>
        <v/>
      </c>
      <c r="B1758" s="2742" t="s">
        <v>1959</v>
      </c>
      <c r="C1758" s="2521"/>
      <c r="D1758" s="2405" t="s">
        <v>5533</v>
      </c>
      <c r="E1758" s="2447" t="s">
        <v>5534</v>
      </c>
      <c r="F1758" s="2405" t="s">
        <v>856</v>
      </c>
      <c r="G1758" s="2703">
        <f>G1754</f>
        <v>0</v>
      </c>
      <c r="H1758" s="2517"/>
      <c r="I1758" s="2517"/>
      <c r="J1758" s="2517">
        <v>414064.45</v>
      </c>
      <c r="K1758" s="2517">
        <v>0</v>
      </c>
      <c r="L1758" s="2517">
        <f t="shared" si="332"/>
        <v>0</v>
      </c>
      <c r="M1758" s="2517">
        <f t="shared" si="333"/>
        <v>0</v>
      </c>
      <c r="N1758" s="2517">
        <f t="shared" si="334"/>
        <v>0</v>
      </c>
      <c r="O1758" s="2517">
        <f t="shared" si="335"/>
        <v>0</v>
      </c>
      <c r="P1758" s="2518"/>
      <c r="Q1758" s="2525">
        <f>1.025*361</f>
        <v>370.02499999999998</v>
      </c>
      <c r="R1758" s="2525">
        <f>1.025*0.45</f>
        <v>0.46124999999999999</v>
      </c>
      <c r="S1758" s="2525">
        <f>1.025*0.866</f>
        <v>0.88764999999999994</v>
      </c>
      <c r="T1758" s="2526"/>
    </row>
    <row r="1759" spans="1:20" s="2730" customFormat="1" ht="13.8" customHeight="1">
      <c r="A1759" s="2727" t="str">
        <f t="shared" si="336"/>
        <v/>
      </c>
      <c r="B1759" s="2728"/>
      <c r="C1759" s="2716">
        <f>IF(G1759&gt;0,C1749+1,C1749)</f>
        <v>0</v>
      </c>
      <c r="D1759" s="2717"/>
      <c r="E1759" s="2718" t="s">
        <v>6318</v>
      </c>
      <c r="F1759" s="2719" t="s">
        <v>2391</v>
      </c>
      <c r="G1759" s="2720">
        <f>+G1640</f>
        <v>0</v>
      </c>
      <c r="H1759" s="2721"/>
      <c r="I1759" s="2721"/>
      <c r="J1759" s="2723"/>
      <c r="K1759" s="2723"/>
      <c r="L1759" s="2724">
        <f t="shared" si="332"/>
        <v>0</v>
      </c>
      <c r="M1759" s="2724">
        <f t="shared" si="333"/>
        <v>0</v>
      </c>
      <c r="N1759" s="2724">
        <f t="shared" si="334"/>
        <v>0</v>
      </c>
      <c r="O1759" s="2724">
        <f t="shared" si="335"/>
        <v>0</v>
      </c>
      <c r="P1759" s="2729"/>
    </row>
    <row r="1760" spans="1:20" s="2358" customFormat="1" ht="14.4" outlineLevel="1">
      <c r="A1760" s="2435" t="str">
        <f>A1759</f>
        <v/>
      </c>
      <c r="B1760" s="2514"/>
      <c r="C1760" s="2511"/>
      <c r="D1760" s="2512"/>
      <c r="E1760" s="2520" t="s">
        <v>6207</v>
      </c>
      <c r="F1760" s="2521"/>
      <c r="G1760" s="2523"/>
      <c r="H1760" s="2517"/>
      <c r="I1760" s="2517"/>
      <c r="J1760" s="2517"/>
      <c r="K1760" s="2517"/>
      <c r="L1760" s="2517">
        <f t="shared" si="332"/>
        <v>0</v>
      </c>
      <c r="M1760" s="2517">
        <f t="shared" si="333"/>
        <v>0</v>
      </c>
      <c r="N1760" s="2517">
        <f t="shared" si="334"/>
        <v>0</v>
      </c>
      <c r="O1760" s="2517">
        <f t="shared" si="335"/>
        <v>0</v>
      </c>
      <c r="P1760" s="2518"/>
      <c r="Q1760" s="2519"/>
      <c r="R1760" s="2519"/>
      <c r="S1760" s="2519"/>
    </row>
    <row r="1761" spans="1:21" s="2358" customFormat="1" outlineLevel="1">
      <c r="A1761" s="2435" t="str">
        <f>IF(G1761&lt;&gt;0,1,"")</f>
        <v/>
      </c>
      <c r="B1761" s="2514" t="s">
        <v>5364</v>
      </c>
      <c r="C1761" s="2521"/>
      <c r="D1761" s="2405" t="s">
        <v>5365</v>
      </c>
      <c r="E1761" s="2447" t="s">
        <v>5366</v>
      </c>
      <c r="F1761" s="2405" t="s">
        <v>2538</v>
      </c>
      <c r="G1761" s="2703">
        <f>G1759*10*2</f>
        <v>0</v>
      </c>
      <c r="H1761" s="2517">
        <v>250000</v>
      </c>
      <c r="I1761" s="2517"/>
      <c r="J1761" s="2517">
        <v>109566.8385</v>
      </c>
      <c r="K1761" s="2517">
        <v>0</v>
      </c>
      <c r="L1761" s="2517">
        <f t="shared" si="332"/>
        <v>0</v>
      </c>
      <c r="M1761" s="2517">
        <f t="shared" si="333"/>
        <v>0</v>
      </c>
      <c r="N1761" s="2517">
        <f t="shared" si="334"/>
        <v>0</v>
      </c>
      <c r="O1761" s="2517">
        <f t="shared" si="335"/>
        <v>0</v>
      </c>
      <c r="P1761" s="2518"/>
      <c r="Q1761" s="2519">
        <f>3*4+(4-1.6)</f>
        <v>14.4</v>
      </c>
      <c r="R1761" s="2519"/>
      <c r="S1761" s="2519"/>
    </row>
    <row r="1762" spans="1:21" s="2358" customFormat="1" outlineLevel="1">
      <c r="A1762" s="2435" t="str">
        <f>IF(G1762&lt;&gt;0,1,"")</f>
        <v/>
      </c>
      <c r="B1762" s="2514" t="s">
        <v>5426</v>
      </c>
      <c r="C1762" s="2521"/>
      <c r="D1762" s="2405" t="s">
        <v>5427</v>
      </c>
      <c r="E1762" s="2447" t="s">
        <v>5428</v>
      </c>
      <c r="F1762" s="2405" t="s">
        <v>5429</v>
      </c>
      <c r="G1762" s="2703">
        <f>G1759*G1761</f>
        <v>0</v>
      </c>
      <c r="H1762" s="2517">
        <v>40000</v>
      </c>
      <c r="I1762" s="2517"/>
      <c r="J1762" s="2517">
        <v>13525.75</v>
      </c>
      <c r="K1762" s="2517">
        <v>0</v>
      </c>
      <c r="L1762" s="2517">
        <f t="shared" si="332"/>
        <v>0</v>
      </c>
      <c r="M1762" s="2517">
        <f t="shared" si="333"/>
        <v>0</v>
      </c>
      <c r="N1762" s="2517">
        <f t="shared" si="334"/>
        <v>0</v>
      </c>
      <c r="O1762" s="2517">
        <f t="shared" si="335"/>
        <v>0</v>
      </c>
      <c r="P1762" s="2518"/>
      <c r="Q1762" s="2519"/>
      <c r="R1762" s="2519"/>
      <c r="S1762" s="2519"/>
      <c r="U1762" s="2358">
        <v>0.61699999999999999</v>
      </c>
    </row>
    <row r="1763" spans="1:21" s="2358" customFormat="1" outlineLevel="1">
      <c r="A1763" s="2435" t="str">
        <f>IF(G1763&lt;&gt;0,1,"")</f>
        <v/>
      </c>
      <c r="B1763" s="2514" t="s">
        <v>5225</v>
      </c>
      <c r="C1763" s="2511"/>
      <c r="D1763" s="2405">
        <v>0</v>
      </c>
      <c r="E1763" s="2447" t="s">
        <v>5226</v>
      </c>
      <c r="F1763" s="2405" t="s">
        <v>2254</v>
      </c>
      <c r="G1763" s="2703">
        <f>G1759*Q1763*16/4</f>
        <v>0</v>
      </c>
      <c r="H1763" s="2517">
        <v>31625</v>
      </c>
      <c r="I1763" s="2517"/>
      <c r="J1763" s="2517">
        <v>0</v>
      </c>
      <c r="K1763" s="2517">
        <v>0</v>
      </c>
      <c r="L1763" s="2517">
        <f t="shared" si="332"/>
        <v>0</v>
      </c>
      <c r="M1763" s="2517">
        <f t="shared" si="333"/>
        <v>0</v>
      </c>
      <c r="N1763" s="2517">
        <f t="shared" si="334"/>
        <v>0</v>
      </c>
      <c r="O1763" s="2517">
        <f t="shared" si="335"/>
        <v>0</v>
      </c>
      <c r="P1763" s="2518"/>
      <c r="Q1763" s="2519">
        <f>14*2+16*2</f>
        <v>60</v>
      </c>
      <c r="R1763" s="2519"/>
      <c r="S1763" s="2519"/>
    </row>
    <row r="1764" spans="1:21" s="2358" customFormat="1" outlineLevel="1">
      <c r="A1764" s="2435" t="str">
        <f>IF(G1764&lt;&gt;0,1,"")</f>
        <v/>
      </c>
      <c r="B1764" s="2514" t="s">
        <v>5227</v>
      </c>
      <c r="C1764" s="2511"/>
      <c r="D1764" s="2405">
        <v>0</v>
      </c>
      <c r="E1764" s="2447" t="s">
        <v>5228</v>
      </c>
      <c r="F1764" s="2405" t="s">
        <v>2254</v>
      </c>
      <c r="G1764" s="2703">
        <f>G1759*17.7*14/6</f>
        <v>0</v>
      </c>
      <c r="H1764" s="2517">
        <v>31625</v>
      </c>
      <c r="I1764" s="2517"/>
      <c r="J1764" s="2517">
        <v>0</v>
      </c>
      <c r="K1764" s="2517">
        <v>0</v>
      </c>
      <c r="L1764" s="2517">
        <f t="shared" si="332"/>
        <v>0</v>
      </c>
      <c r="M1764" s="2517">
        <f t="shared" si="333"/>
        <v>0</v>
      </c>
      <c r="N1764" s="2517">
        <f t="shared" si="334"/>
        <v>0</v>
      </c>
      <c r="O1764" s="2517">
        <f t="shared" si="335"/>
        <v>0</v>
      </c>
      <c r="P1764" s="2518"/>
      <c r="Q1764" s="2519"/>
      <c r="R1764" s="2519"/>
      <c r="S1764" s="2519"/>
    </row>
    <row r="1765" spans="1:21" s="2358" customFormat="1" outlineLevel="1">
      <c r="A1765" s="2435" t="str">
        <f t="shared" ref="A1765:A1775" si="337">IF(G1765&lt;&gt;0,1,"")</f>
        <v/>
      </c>
      <c r="B1765" s="2514" t="s">
        <v>279</v>
      </c>
      <c r="C1765" s="2511"/>
      <c r="D1765" s="2405">
        <v>0</v>
      </c>
      <c r="E1765" s="2447" t="s">
        <v>6434</v>
      </c>
      <c r="F1765" s="2405" t="s">
        <v>2254</v>
      </c>
      <c r="G1765" s="2703">
        <f>G1762*0.2*0.467</f>
        <v>0</v>
      </c>
      <c r="H1765" s="2517">
        <v>31625</v>
      </c>
      <c r="I1765" s="2517"/>
      <c r="J1765" s="2517">
        <v>0</v>
      </c>
      <c r="K1765" s="2517">
        <v>0</v>
      </c>
      <c r="L1765" s="2517">
        <f t="shared" si="332"/>
        <v>0</v>
      </c>
      <c r="M1765" s="2517">
        <f t="shared" si="333"/>
        <v>0</v>
      </c>
      <c r="N1765" s="2517">
        <f t="shared" si="334"/>
        <v>0</v>
      </c>
      <c r="O1765" s="2517">
        <f t="shared" si="335"/>
        <v>0</v>
      </c>
      <c r="P1765" s="2518"/>
      <c r="Q1765" s="2519"/>
      <c r="R1765" s="2519"/>
      <c r="S1765" s="2519"/>
    </row>
    <row r="1766" spans="1:21" s="2358" customFormat="1" outlineLevel="1">
      <c r="A1766" s="2435" t="str">
        <f t="shared" si="337"/>
        <v/>
      </c>
      <c r="B1766" s="2514" t="s">
        <v>6319</v>
      </c>
      <c r="C1766" s="2511"/>
      <c r="D1766" s="2405">
        <v>0</v>
      </c>
      <c r="E1766" s="2447" t="s">
        <v>6435</v>
      </c>
      <c r="F1766" s="2405" t="s">
        <v>2538</v>
      </c>
      <c r="G1766" s="2703"/>
      <c r="H1766" s="2517">
        <v>70000</v>
      </c>
      <c r="I1766" s="2517"/>
      <c r="J1766" s="2517">
        <v>0</v>
      </c>
      <c r="K1766" s="2517">
        <v>0</v>
      </c>
      <c r="L1766" s="2517">
        <f t="shared" si="332"/>
        <v>0</v>
      </c>
      <c r="M1766" s="2517">
        <f t="shared" si="333"/>
        <v>0</v>
      </c>
      <c r="N1766" s="2517">
        <f t="shared" si="334"/>
        <v>0</v>
      </c>
      <c r="O1766" s="2517">
        <f t="shared" si="335"/>
        <v>0</v>
      </c>
      <c r="P1766" s="2518"/>
      <c r="Q1766" s="2519"/>
      <c r="R1766" s="2519"/>
      <c r="S1766" s="2519"/>
    </row>
    <row r="1767" spans="1:21" s="2358" customFormat="1" outlineLevel="1">
      <c r="A1767" s="2435" t="str">
        <f t="shared" si="337"/>
        <v/>
      </c>
      <c r="B1767" s="2514" t="s">
        <v>745</v>
      </c>
      <c r="C1767" s="2511"/>
      <c r="D1767" s="2405">
        <v>0</v>
      </c>
      <c r="E1767" s="2447" t="s">
        <v>6436</v>
      </c>
      <c r="F1767" s="2405" t="s">
        <v>2254</v>
      </c>
      <c r="G1767" s="2703">
        <f>G1759*36*0.395</f>
        <v>0</v>
      </c>
      <c r="H1767" s="2517">
        <v>13200</v>
      </c>
      <c r="I1767" s="2517"/>
      <c r="J1767" s="2517">
        <v>0</v>
      </c>
      <c r="K1767" s="2517">
        <v>0</v>
      </c>
      <c r="L1767" s="2517">
        <f t="shared" si="332"/>
        <v>0</v>
      </c>
      <c r="M1767" s="2517">
        <f t="shared" si="333"/>
        <v>0</v>
      </c>
      <c r="N1767" s="2517">
        <f t="shared" si="334"/>
        <v>0</v>
      </c>
      <c r="O1767" s="2517">
        <f t="shared" si="335"/>
        <v>0</v>
      </c>
      <c r="P1767" s="2518"/>
      <c r="Q1767" s="2519"/>
      <c r="R1767" s="2519"/>
      <c r="S1767" s="2519"/>
    </row>
    <row r="1768" spans="1:21" s="2358" customFormat="1" ht="27.6" outlineLevel="1">
      <c r="A1768" s="2435" t="str">
        <f t="shared" si="337"/>
        <v/>
      </c>
      <c r="B1768" s="2514" t="s">
        <v>5110</v>
      </c>
      <c r="C1768" s="2511"/>
      <c r="D1768" s="2405">
        <v>0</v>
      </c>
      <c r="E1768" s="2531" t="s">
        <v>6437</v>
      </c>
      <c r="F1768" s="2405" t="s">
        <v>2445</v>
      </c>
      <c r="G1768" s="2703">
        <f>G1762*4</f>
        <v>0</v>
      </c>
      <c r="H1768" s="2517">
        <v>35600</v>
      </c>
      <c r="I1768" s="2517"/>
      <c r="J1768" s="2517">
        <v>0</v>
      </c>
      <c r="K1768" s="2517">
        <v>0</v>
      </c>
      <c r="L1768" s="2517">
        <f t="shared" si="332"/>
        <v>0</v>
      </c>
      <c r="M1768" s="2517">
        <f t="shared" si="333"/>
        <v>0</v>
      </c>
      <c r="N1768" s="2517">
        <f t="shared" si="334"/>
        <v>0</v>
      </c>
      <c r="O1768" s="2517">
        <f t="shared" si="335"/>
        <v>0</v>
      </c>
      <c r="P1768" s="2518"/>
      <c r="Q1768" s="2519"/>
      <c r="R1768" s="2519"/>
      <c r="S1768" s="2519"/>
    </row>
    <row r="1769" spans="1:21" s="2358" customFormat="1" outlineLevel="1">
      <c r="A1769" s="2435" t="str">
        <f t="shared" si="337"/>
        <v/>
      </c>
      <c r="B1769" s="2514" t="s">
        <v>6317</v>
      </c>
      <c r="C1769" s="2511"/>
      <c r="D1769" s="2405">
        <v>0</v>
      </c>
      <c r="E1769" s="2447" t="s">
        <v>6438</v>
      </c>
      <c r="F1769" s="2405" t="s">
        <v>856</v>
      </c>
      <c r="G1769" s="2703">
        <f>G1759*0.12</f>
        <v>0</v>
      </c>
      <c r="H1769" s="2517">
        <v>920580</v>
      </c>
      <c r="I1769" s="2517"/>
      <c r="J1769" s="2517">
        <v>0</v>
      </c>
      <c r="K1769" s="2517">
        <v>0</v>
      </c>
      <c r="L1769" s="2517">
        <f t="shared" si="332"/>
        <v>0</v>
      </c>
      <c r="M1769" s="2517">
        <f t="shared" si="333"/>
        <v>0</v>
      </c>
      <c r="N1769" s="2517">
        <f t="shared" si="334"/>
        <v>0</v>
      </c>
      <c r="O1769" s="2517">
        <f t="shared" si="335"/>
        <v>0</v>
      </c>
      <c r="P1769" s="2518"/>
      <c r="Q1769" s="2519"/>
      <c r="R1769" s="2519"/>
      <c r="S1769" s="2519"/>
    </row>
    <row r="1770" spans="1:21" s="2358" customFormat="1" outlineLevel="1">
      <c r="A1770" s="2435" t="str">
        <f t="shared" si="337"/>
        <v/>
      </c>
      <c r="B1770" s="2514" t="s">
        <v>934</v>
      </c>
      <c r="C1770" s="2511"/>
      <c r="D1770" s="2405">
        <v>0</v>
      </c>
      <c r="E1770" s="2447" t="s">
        <v>3023</v>
      </c>
      <c r="F1770" s="2405" t="s">
        <v>3024</v>
      </c>
      <c r="G1770" s="2703">
        <f>G1759*140*3</f>
        <v>0</v>
      </c>
      <c r="H1770" s="2517">
        <v>1900</v>
      </c>
      <c r="I1770" s="2517"/>
      <c r="J1770" s="2517">
        <v>0</v>
      </c>
      <c r="K1770" s="2517">
        <v>0</v>
      </c>
      <c r="L1770" s="2517">
        <f t="shared" si="332"/>
        <v>0</v>
      </c>
      <c r="M1770" s="2517"/>
      <c r="N1770" s="2517">
        <f t="shared" si="334"/>
        <v>0</v>
      </c>
      <c r="O1770" s="2517">
        <f t="shared" si="335"/>
        <v>0</v>
      </c>
      <c r="P1770" s="2518"/>
      <c r="Q1770" s="2519"/>
      <c r="R1770" s="2519"/>
      <c r="S1770" s="2519"/>
    </row>
    <row r="1771" spans="1:21" s="2358" customFormat="1" outlineLevel="1">
      <c r="A1771" s="2435" t="str">
        <f t="shared" si="337"/>
        <v/>
      </c>
      <c r="B1771" s="2514" t="s">
        <v>5549</v>
      </c>
      <c r="C1771" s="2511"/>
      <c r="D1771" s="2405" t="s">
        <v>5550</v>
      </c>
      <c r="E1771" s="2447" t="s">
        <v>5551</v>
      </c>
      <c r="F1771" s="2405" t="s">
        <v>856</v>
      </c>
      <c r="G1771" s="2703">
        <f>G1759*14*0.2*0.5</f>
        <v>0</v>
      </c>
      <c r="H1771" s="2517">
        <v>0</v>
      </c>
      <c r="I1771" s="2517"/>
      <c r="J1771" s="2517">
        <v>316240.8</v>
      </c>
      <c r="K1771" s="2517">
        <v>0</v>
      </c>
      <c r="L1771" s="2517">
        <f t="shared" si="332"/>
        <v>0</v>
      </c>
      <c r="M1771" s="2517"/>
      <c r="N1771" s="2517">
        <f t="shared" si="334"/>
        <v>0</v>
      </c>
      <c r="O1771" s="2517">
        <f t="shared" si="335"/>
        <v>0</v>
      </c>
      <c r="P1771" s="2518"/>
      <c r="Q1771" s="2519"/>
      <c r="R1771" s="2519"/>
      <c r="S1771" s="2519"/>
    </row>
    <row r="1772" spans="1:21" s="2358" customFormat="1" outlineLevel="1">
      <c r="A1772" s="2435" t="str">
        <f t="shared" si="337"/>
        <v/>
      </c>
      <c r="B1772" s="2514" t="s">
        <v>9</v>
      </c>
      <c r="C1772" s="2511"/>
      <c r="D1772" s="2405" t="s">
        <v>5540</v>
      </c>
      <c r="E1772" s="2447" t="s">
        <v>3217</v>
      </c>
      <c r="F1772" s="2405" t="s">
        <v>2254</v>
      </c>
      <c r="G1772" s="2703">
        <f>G1767</f>
        <v>0</v>
      </c>
      <c r="H1772" s="2517">
        <v>9814</v>
      </c>
      <c r="I1772" s="2517"/>
      <c r="J1772" s="2517">
        <v>2965.3303999999998</v>
      </c>
      <c r="K1772" s="2517">
        <v>0</v>
      </c>
      <c r="L1772" s="2517">
        <f t="shared" si="332"/>
        <v>0</v>
      </c>
      <c r="M1772" s="2517">
        <f t="shared" si="333"/>
        <v>0</v>
      </c>
      <c r="N1772" s="2517">
        <f t="shared" si="334"/>
        <v>0</v>
      </c>
      <c r="O1772" s="2517">
        <f t="shared" si="335"/>
        <v>0</v>
      </c>
      <c r="P1772" s="2518"/>
      <c r="Q1772" s="2519"/>
      <c r="R1772" s="2519"/>
      <c r="S1772" s="2519"/>
    </row>
    <row r="1773" spans="1:21" s="2358" customFormat="1" outlineLevel="1">
      <c r="A1773" s="2435" t="str">
        <f t="shared" si="337"/>
        <v/>
      </c>
      <c r="B1773" s="2514" t="s">
        <v>654</v>
      </c>
      <c r="C1773" s="2521"/>
      <c r="D1773" s="2405" t="s">
        <v>5533</v>
      </c>
      <c r="E1773" s="2447" t="s">
        <v>5536</v>
      </c>
      <c r="F1773" s="2405" t="s">
        <v>856</v>
      </c>
      <c r="G1773" s="2703">
        <f>G1769</f>
        <v>0</v>
      </c>
      <c r="H1773" s="2517"/>
      <c r="I1773" s="2517"/>
      <c r="J1773" s="2517">
        <v>466397.5</v>
      </c>
      <c r="K1773" s="2517">
        <v>0</v>
      </c>
      <c r="L1773" s="2517">
        <f t="shared" si="332"/>
        <v>0</v>
      </c>
      <c r="M1773" s="2517">
        <f t="shared" si="333"/>
        <v>0</v>
      </c>
      <c r="N1773" s="2517">
        <f t="shared" si="334"/>
        <v>0</v>
      </c>
      <c r="O1773" s="2517">
        <f t="shared" si="335"/>
        <v>0</v>
      </c>
      <c r="P1773" s="2518"/>
      <c r="Q1773" s="2525">
        <f>1.025*361</f>
        <v>370.02499999999998</v>
      </c>
      <c r="R1773" s="2525">
        <f>1.025*0.45</f>
        <v>0.46124999999999999</v>
      </c>
      <c r="S1773" s="2525">
        <f>1.025*0.866</f>
        <v>0.88764999999999994</v>
      </c>
      <c r="T1773" s="2526"/>
    </row>
    <row r="1774" spans="1:21" s="2358" customFormat="1" outlineLevel="1">
      <c r="A1774" s="2435" t="str">
        <f t="shared" si="337"/>
        <v/>
      </c>
      <c r="B1774" s="2514" t="s">
        <v>1959</v>
      </c>
      <c r="C1774" s="2521"/>
      <c r="D1774" s="2405" t="s">
        <v>5533</v>
      </c>
      <c r="E1774" s="2447" t="s">
        <v>5534</v>
      </c>
      <c r="F1774" s="2405" t="s">
        <v>856</v>
      </c>
      <c r="G1774" s="2703"/>
      <c r="H1774" s="2517"/>
      <c r="I1774" s="2517"/>
      <c r="J1774" s="2517">
        <v>414064.45</v>
      </c>
      <c r="K1774" s="2517">
        <v>0</v>
      </c>
      <c r="L1774" s="2517">
        <f t="shared" si="332"/>
        <v>0</v>
      </c>
      <c r="M1774" s="2517">
        <f t="shared" si="333"/>
        <v>0</v>
      </c>
      <c r="N1774" s="2517">
        <f t="shared" si="334"/>
        <v>0</v>
      </c>
      <c r="O1774" s="2517">
        <f t="shared" si="335"/>
        <v>0</v>
      </c>
      <c r="P1774" s="2518"/>
      <c r="Q1774" s="2525">
        <f>1.025*361</f>
        <v>370.02499999999998</v>
      </c>
      <c r="R1774" s="2525">
        <f>1.025*0.45</f>
        <v>0.46124999999999999</v>
      </c>
      <c r="S1774" s="2525">
        <f>1.025*0.866</f>
        <v>0.88764999999999994</v>
      </c>
      <c r="T1774" s="2526"/>
    </row>
    <row r="1775" spans="1:21" s="2358" customFormat="1" outlineLevel="1">
      <c r="A1775" s="2435" t="str">
        <f t="shared" si="337"/>
        <v/>
      </c>
      <c r="B1775" s="2514" t="s">
        <v>5542</v>
      </c>
      <c r="C1775" s="2521"/>
      <c r="D1775" s="2405" t="s">
        <v>5543</v>
      </c>
      <c r="E1775" s="2447" t="s">
        <v>5544</v>
      </c>
      <c r="F1775" s="2405" t="s">
        <v>1964</v>
      </c>
      <c r="G1775" s="2703">
        <f>G1759*(2*5.5+0.2*2.8)</f>
        <v>0</v>
      </c>
      <c r="H1775" s="2517"/>
      <c r="I1775" s="2517"/>
      <c r="J1775" s="2517">
        <v>74440.5</v>
      </c>
      <c r="K1775" s="2517">
        <v>0</v>
      </c>
      <c r="L1775" s="2517">
        <f t="shared" si="332"/>
        <v>0</v>
      </c>
      <c r="M1775" s="2517">
        <f t="shared" si="333"/>
        <v>0</v>
      </c>
      <c r="N1775" s="2517">
        <f t="shared" si="334"/>
        <v>0</v>
      </c>
      <c r="O1775" s="2517">
        <f t="shared" si="335"/>
        <v>0</v>
      </c>
      <c r="P1775" s="2518"/>
      <c r="Q1775" s="2525"/>
      <c r="R1775" s="2525"/>
      <c r="S1775" s="2525"/>
      <c r="T1775" s="2526"/>
    </row>
    <row r="1776" spans="1:21" s="2730" customFormat="1" ht="13.8" customHeight="1">
      <c r="A1776" s="2727" t="str">
        <f>IF(G1776&lt;&gt;0,1,"")</f>
        <v/>
      </c>
      <c r="B1776" s="2514"/>
      <c r="C1776" s="2716">
        <f>IF(G1776&gt;0,C1759+1,C1759)</f>
        <v>0</v>
      </c>
      <c r="D1776" s="2717"/>
      <c r="E1776" s="2718" t="s">
        <v>6283</v>
      </c>
      <c r="F1776" s="2719" t="s">
        <v>2391</v>
      </c>
      <c r="G1776" s="2720">
        <f>G1722</f>
        <v>0</v>
      </c>
      <c r="H1776" s="2721"/>
      <c r="I1776" s="2721"/>
      <c r="J1776" s="2723"/>
      <c r="K1776" s="2723"/>
      <c r="L1776" s="2724">
        <f t="shared" si="332"/>
        <v>0</v>
      </c>
      <c r="M1776" s="2724">
        <f t="shared" si="333"/>
        <v>0</v>
      </c>
      <c r="N1776" s="2724">
        <f t="shared" si="334"/>
        <v>0</v>
      </c>
      <c r="O1776" s="2724">
        <f t="shared" si="335"/>
        <v>0</v>
      </c>
      <c r="P1776" s="2729"/>
    </row>
    <row r="1777" spans="1:19" s="2358" customFormat="1" ht="14.4" outlineLevel="1">
      <c r="A1777" s="2435" t="str">
        <f>A1776</f>
        <v/>
      </c>
      <c r="B1777" s="2514"/>
      <c r="C1777" s="2511"/>
      <c r="D1777" s="2512"/>
      <c r="E1777" s="2520" t="s">
        <v>6207</v>
      </c>
      <c r="F1777" s="2521"/>
      <c r="G1777" s="2703"/>
      <c r="H1777" s="2517"/>
      <c r="I1777" s="2517"/>
      <c r="J1777" s="2517"/>
      <c r="K1777" s="2517"/>
      <c r="L1777" s="2517">
        <f t="shared" si="332"/>
        <v>0</v>
      </c>
      <c r="M1777" s="2517">
        <f t="shared" si="333"/>
        <v>0</v>
      </c>
      <c r="N1777" s="2517">
        <f t="shared" si="334"/>
        <v>0</v>
      </c>
      <c r="O1777" s="2517">
        <f t="shared" si="335"/>
        <v>0</v>
      </c>
      <c r="P1777" s="2694"/>
      <c r="Q1777" s="2519"/>
      <c r="R1777" s="2519"/>
      <c r="S1777" s="2519"/>
    </row>
    <row r="1778" spans="1:19" s="2358" customFormat="1" outlineLevel="1">
      <c r="A1778" s="2435" t="str">
        <f>IF(G1778&lt;&gt;0,1,"")</f>
        <v/>
      </c>
      <c r="B1778" s="2514" t="s">
        <v>5703</v>
      </c>
      <c r="C1778" s="2521"/>
      <c r="D1778" s="2405" t="s">
        <v>5695</v>
      </c>
      <c r="E1778" s="2447" t="s">
        <v>5704</v>
      </c>
      <c r="F1778" s="2405" t="s">
        <v>2563</v>
      </c>
      <c r="G1778" s="2703">
        <f>G1776</f>
        <v>0</v>
      </c>
      <c r="H1778" s="2517">
        <v>90000000</v>
      </c>
      <c r="I1778" s="2517"/>
      <c r="J1778" s="2517">
        <v>872965.44</v>
      </c>
      <c r="K1778" s="2517">
        <v>55839</v>
      </c>
      <c r="L1778" s="2517">
        <f t="shared" si="332"/>
        <v>0</v>
      </c>
      <c r="M1778" s="2517">
        <f t="shared" si="333"/>
        <v>0</v>
      </c>
      <c r="N1778" s="2517">
        <f t="shared" si="334"/>
        <v>0</v>
      </c>
      <c r="O1778" s="2517">
        <f t="shared" si="335"/>
        <v>0</v>
      </c>
      <c r="P1778" s="2694"/>
      <c r="Q1778" s="2519"/>
      <c r="R1778" s="2519"/>
      <c r="S1778" s="2519"/>
    </row>
    <row r="1779" spans="1:19" s="2358" customFormat="1" outlineLevel="1">
      <c r="A1779" s="2435" t="str">
        <f>IF(G1779&lt;&gt;0,1,"")</f>
        <v/>
      </c>
      <c r="B1779" s="2514" t="s">
        <v>880</v>
      </c>
      <c r="C1779" s="2511"/>
      <c r="D1779" s="2405">
        <v>0</v>
      </c>
      <c r="E1779" s="2447" t="s">
        <v>5861</v>
      </c>
      <c r="F1779" s="2405" t="s">
        <v>2563</v>
      </c>
      <c r="G1779" s="2703">
        <f>G1776</f>
        <v>0</v>
      </c>
      <c r="H1779" s="2517">
        <v>284000</v>
      </c>
      <c r="I1779" s="2517"/>
      <c r="J1779" s="2517"/>
      <c r="K1779" s="2517">
        <v>0</v>
      </c>
      <c r="L1779" s="2517">
        <f t="shared" si="332"/>
        <v>0</v>
      </c>
      <c r="M1779" s="2517">
        <f t="shared" si="333"/>
        <v>0</v>
      </c>
      <c r="N1779" s="2517">
        <f t="shared" si="334"/>
        <v>0</v>
      </c>
      <c r="O1779" s="2517">
        <f t="shared" si="335"/>
        <v>0</v>
      </c>
      <c r="P1779" s="2694"/>
      <c r="Q1779" s="2519"/>
      <c r="R1779" s="2519"/>
      <c r="S1779" s="2519"/>
    </row>
    <row r="1780" spans="1:19" s="2358" customFormat="1" outlineLevel="1">
      <c r="A1780" s="2435" t="str">
        <f>IF(G1780&lt;&gt;0,1,"")</f>
        <v/>
      </c>
      <c r="B1780" s="2514" t="s">
        <v>289</v>
      </c>
      <c r="C1780" s="2521"/>
      <c r="D1780" s="2405">
        <v>0</v>
      </c>
      <c r="E1780" s="2447" t="s">
        <v>5774</v>
      </c>
      <c r="F1780" s="2405" t="s">
        <v>2563</v>
      </c>
      <c r="G1780" s="2703">
        <f>G1776</f>
        <v>0</v>
      </c>
      <c r="H1780" s="2517">
        <v>300000</v>
      </c>
      <c r="I1780" s="2517"/>
      <c r="J1780" s="2517">
        <v>0</v>
      </c>
      <c r="K1780" s="2517">
        <v>0</v>
      </c>
      <c r="L1780" s="2517">
        <f t="shared" si="332"/>
        <v>0</v>
      </c>
      <c r="M1780" s="2517">
        <f t="shared" si="333"/>
        <v>0</v>
      </c>
      <c r="N1780" s="2517">
        <f t="shared" si="334"/>
        <v>0</v>
      </c>
      <c r="O1780" s="2517">
        <f t="shared" si="335"/>
        <v>0</v>
      </c>
      <c r="P1780" s="2642"/>
      <c r="Q1780" s="2519"/>
      <c r="R1780" s="2519"/>
      <c r="S1780" s="2519"/>
    </row>
    <row r="1781" spans="1:19" s="2358" customFormat="1" outlineLevel="1">
      <c r="A1781" s="2435" t="str">
        <f t="shared" ref="A1781:A1801" si="338">IF(G1781&lt;&gt;0,1,"")</f>
        <v/>
      </c>
      <c r="B1781" s="2514" t="s">
        <v>588</v>
      </c>
      <c r="C1781" s="2521"/>
      <c r="D1781" s="2405">
        <v>0</v>
      </c>
      <c r="E1781" s="2447" t="s">
        <v>2999</v>
      </c>
      <c r="F1781" s="2405" t="s">
        <v>2445</v>
      </c>
      <c r="G1781" s="2703"/>
      <c r="H1781" s="2517">
        <v>168000</v>
      </c>
      <c r="I1781" s="2517"/>
      <c r="J1781" s="2517">
        <v>0</v>
      </c>
      <c r="K1781" s="2517">
        <v>0</v>
      </c>
      <c r="L1781" s="2517">
        <f t="shared" si="332"/>
        <v>0</v>
      </c>
      <c r="M1781" s="2517">
        <f t="shared" si="333"/>
        <v>0</v>
      </c>
      <c r="N1781" s="2517">
        <f t="shared" si="334"/>
        <v>0</v>
      </c>
      <c r="O1781" s="2517">
        <f t="shared" si="335"/>
        <v>0</v>
      </c>
      <c r="P1781" s="2694"/>
      <c r="Q1781" s="2519"/>
      <c r="R1781" s="2519"/>
      <c r="S1781" s="2519"/>
    </row>
    <row r="1782" spans="1:19" s="2358" customFormat="1" outlineLevel="1">
      <c r="A1782" s="2435" t="str">
        <f t="shared" si="338"/>
        <v/>
      </c>
      <c r="B1782" s="2514" t="s">
        <v>2282</v>
      </c>
      <c r="C1782" s="2521"/>
      <c r="D1782" s="2405">
        <v>0</v>
      </c>
      <c r="E1782" s="2447" t="s">
        <v>2794</v>
      </c>
      <c r="F1782" s="2405" t="s">
        <v>2538</v>
      </c>
      <c r="G1782" s="2703">
        <f>G1776*6*0</f>
        <v>0</v>
      </c>
      <c r="H1782" s="2517">
        <v>63200</v>
      </c>
      <c r="I1782" s="2517"/>
      <c r="J1782" s="2517">
        <v>0</v>
      </c>
      <c r="K1782" s="2517">
        <v>0</v>
      </c>
      <c r="L1782" s="2517">
        <f t="shared" si="332"/>
        <v>0</v>
      </c>
      <c r="M1782" s="2517">
        <f t="shared" si="333"/>
        <v>0</v>
      </c>
      <c r="N1782" s="2517">
        <f t="shared" si="334"/>
        <v>0</v>
      </c>
      <c r="O1782" s="2517">
        <f t="shared" si="335"/>
        <v>0</v>
      </c>
      <c r="P1782" s="2694"/>
      <c r="Q1782" s="2519"/>
      <c r="R1782" s="2519"/>
      <c r="S1782" s="2519"/>
    </row>
    <row r="1783" spans="1:19" s="2358" customFormat="1" outlineLevel="1">
      <c r="A1783" s="2435" t="str">
        <f t="shared" si="338"/>
        <v/>
      </c>
      <c r="B1783" s="2514" t="s">
        <v>5796</v>
      </c>
      <c r="C1783" s="2521"/>
      <c r="D1783" s="2405" t="s">
        <v>5786</v>
      </c>
      <c r="E1783" s="2447" t="s">
        <v>5797</v>
      </c>
      <c r="F1783" s="2405" t="s">
        <v>2563</v>
      </c>
      <c r="G1783" s="2703">
        <f>G1776*4*2*0</f>
        <v>0</v>
      </c>
      <c r="H1783" s="2517">
        <v>1700</v>
      </c>
      <c r="I1783" s="2517"/>
      <c r="J1783" s="2517">
        <v>3637.3560000000002</v>
      </c>
      <c r="K1783" s="2517">
        <v>1666.2139485</v>
      </c>
      <c r="L1783" s="2517">
        <f t="shared" si="332"/>
        <v>0</v>
      </c>
      <c r="M1783" s="2517">
        <f t="shared" si="333"/>
        <v>0</v>
      </c>
      <c r="N1783" s="2517">
        <f t="shared" si="334"/>
        <v>0</v>
      </c>
      <c r="O1783" s="2517">
        <f t="shared" si="335"/>
        <v>0</v>
      </c>
      <c r="P1783" s="2694"/>
      <c r="Q1783" s="2519"/>
      <c r="R1783" s="2519"/>
      <c r="S1783" s="2519"/>
    </row>
    <row r="1784" spans="1:19" s="2731" customFormat="1" ht="13.8" customHeight="1">
      <c r="A1784" s="2732" t="str">
        <f>IF(G1784&lt;&gt;0,1,"")</f>
        <v/>
      </c>
      <c r="B1784" s="2514"/>
      <c r="C1784" s="2716">
        <f>IF(G1784&gt;0,C1776+1,C1776)</f>
        <v>0</v>
      </c>
      <c r="D1784" s="2734"/>
      <c r="E1784" s="2718" t="s">
        <v>6320</v>
      </c>
      <c r="F1784" s="2719" t="s">
        <v>2391</v>
      </c>
      <c r="G1784" s="2743"/>
      <c r="H1784" s="2722"/>
      <c r="I1784" s="2722"/>
      <c r="J1784" s="2735"/>
      <c r="K1784" s="2735"/>
      <c r="L1784" s="2725"/>
      <c r="M1784" s="2725"/>
      <c r="N1784" s="2725"/>
      <c r="O1784" s="2725"/>
      <c r="P1784" s="2736"/>
    </row>
    <row r="1785" spans="1:19" s="2752" customFormat="1" ht="14.4" outlineLevel="1">
      <c r="A1785" s="2744" t="str">
        <f>A1784</f>
        <v/>
      </c>
      <c r="B1785" s="2514"/>
      <c r="C1785" s="2745"/>
      <c r="D1785" s="2746"/>
      <c r="E1785" s="2747" t="s">
        <v>6207</v>
      </c>
      <c r="F1785" s="2746"/>
      <c r="G1785" s="2748"/>
      <c r="H1785" s="2749"/>
      <c r="I1785" s="2749"/>
      <c r="J1785" s="2749"/>
      <c r="K1785" s="2749"/>
      <c r="L1785" s="2749"/>
      <c r="M1785" s="2749"/>
      <c r="N1785" s="2749"/>
      <c r="O1785" s="2749"/>
      <c r="P1785" s="2750"/>
      <c r="Q1785" s="2751"/>
      <c r="R1785" s="2519"/>
      <c r="S1785" s="2751"/>
    </row>
    <row r="1786" spans="1:19" s="2358" customFormat="1" outlineLevel="1">
      <c r="A1786" s="2435" t="str">
        <f t="shared" si="338"/>
        <v/>
      </c>
      <c r="B1786" s="2514" t="s">
        <v>6321</v>
      </c>
      <c r="C1786" s="2521"/>
      <c r="D1786" s="2405" t="s">
        <v>5717</v>
      </c>
      <c r="E1786" s="2447" t="s">
        <v>5721</v>
      </c>
      <c r="F1786" s="2405" t="s">
        <v>2563</v>
      </c>
      <c r="G1786" s="2703">
        <f>G1784</f>
        <v>0</v>
      </c>
      <c r="H1786" s="2517">
        <v>783952</v>
      </c>
      <c r="I1786" s="2517"/>
      <c r="J1786" s="2517">
        <v>599038</v>
      </c>
      <c r="K1786" s="2517">
        <v>97369</v>
      </c>
      <c r="L1786" s="2517">
        <f t="shared" si="332"/>
        <v>0</v>
      </c>
      <c r="M1786" s="2517">
        <f t="shared" si="333"/>
        <v>0</v>
      </c>
      <c r="N1786" s="2517">
        <f t="shared" si="334"/>
        <v>0</v>
      </c>
      <c r="O1786" s="2517">
        <f t="shared" si="335"/>
        <v>0</v>
      </c>
      <c r="P1786" s="2694"/>
      <c r="Q1786" s="2519"/>
      <c r="R1786" s="2519"/>
      <c r="S1786" s="2519"/>
    </row>
    <row r="1787" spans="1:19" s="2358" customFormat="1" outlineLevel="1">
      <c r="A1787" s="2435" t="str">
        <f t="shared" si="338"/>
        <v/>
      </c>
      <c r="B1787" s="2514" t="s">
        <v>880</v>
      </c>
      <c r="C1787" s="2521"/>
      <c r="D1787" s="2405">
        <v>0</v>
      </c>
      <c r="E1787" s="2447" t="s">
        <v>5861</v>
      </c>
      <c r="F1787" s="2405" t="s">
        <v>2563</v>
      </c>
      <c r="G1787" s="2703">
        <f>G1786</f>
        <v>0</v>
      </c>
      <c r="H1787" s="2517">
        <v>284000</v>
      </c>
      <c r="I1787" s="2517"/>
      <c r="J1787" s="2517">
        <v>5404</v>
      </c>
      <c r="K1787" s="2517">
        <v>0</v>
      </c>
      <c r="L1787" s="2517">
        <f t="shared" si="332"/>
        <v>0</v>
      </c>
      <c r="M1787" s="2517">
        <f t="shared" si="333"/>
        <v>0</v>
      </c>
      <c r="N1787" s="2517">
        <f t="shared" si="334"/>
        <v>0</v>
      </c>
      <c r="O1787" s="2517">
        <f t="shared" si="335"/>
        <v>0</v>
      </c>
      <c r="P1787" s="2694"/>
      <c r="Q1787" s="2519"/>
      <c r="R1787" s="2519"/>
      <c r="S1787" s="2519"/>
    </row>
    <row r="1788" spans="1:19" s="2358" customFormat="1" outlineLevel="1">
      <c r="A1788" s="2435" t="str">
        <f>IF(G1788&lt;&gt;0,1,"")</f>
        <v/>
      </c>
      <c r="B1788" s="2514" t="s">
        <v>289</v>
      </c>
      <c r="C1788" s="2521"/>
      <c r="D1788" s="2405">
        <v>0</v>
      </c>
      <c r="E1788" s="2447" t="s">
        <v>5774</v>
      </c>
      <c r="F1788" s="2405" t="s">
        <v>2563</v>
      </c>
      <c r="G1788" s="2703">
        <f>G1784</f>
        <v>0</v>
      </c>
      <c r="H1788" s="2517">
        <v>300000</v>
      </c>
      <c r="I1788" s="2517"/>
      <c r="J1788" s="2517">
        <v>0</v>
      </c>
      <c r="K1788" s="2517">
        <v>0</v>
      </c>
      <c r="L1788" s="2517">
        <f>H1788*G1788</f>
        <v>0</v>
      </c>
      <c r="M1788" s="2517">
        <f>I1788*G1788</f>
        <v>0</v>
      </c>
      <c r="N1788" s="2517">
        <f>J1788*G1788</f>
        <v>0</v>
      </c>
      <c r="O1788" s="2517">
        <f>K1788*G1788</f>
        <v>0</v>
      </c>
      <c r="P1788" s="2694"/>
      <c r="Q1788" s="2519"/>
      <c r="R1788" s="2519"/>
      <c r="S1788" s="2519"/>
    </row>
    <row r="1789" spans="1:19" s="2358" customFormat="1" outlineLevel="1">
      <c r="A1789" s="2435" t="str">
        <f t="shared" si="338"/>
        <v/>
      </c>
      <c r="B1789" s="2514" t="s">
        <v>588</v>
      </c>
      <c r="C1789" s="2521"/>
      <c r="D1789" s="2405">
        <v>0</v>
      </c>
      <c r="E1789" s="2447" t="s">
        <v>2999</v>
      </c>
      <c r="F1789" s="2405" t="s">
        <v>2445</v>
      </c>
      <c r="G1789" s="2703">
        <f>G1786*2</f>
        <v>0</v>
      </c>
      <c r="H1789" s="2517">
        <v>168000</v>
      </c>
      <c r="I1789" s="2517"/>
      <c r="J1789" s="2517">
        <v>0</v>
      </c>
      <c r="K1789" s="2517">
        <v>0</v>
      </c>
      <c r="L1789" s="2517">
        <f t="shared" si="332"/>
        <v>0</v>
      </c>
      <c r="M1789" s="2517">
        <f t="shared" si="333"/>
        <v>0</v>
      </c>
      <c r="N1789" s="2517">
        <f t="shared" si="334"/>
        <v>0</v>
      </c>
      <c r="O1789" s="2517">
        <f t="shared" si="335"/>
        <v>0</v>
      </c>
      <c r="P1789" s="2694"/>
      <c r="Q1789" s="2519"/>
      <c r="R1789" s="2519"/>
      <c r="S1789" s="2519"/>
    </row>
    <row r="1790" spans="1:19" s="2358" customFormat="1" outlineLevel="1">
      <c r="A1790" s="2435" t="str">
        <f t="shared" si="338"/>
        <v/>
      </c>
      <c r="B1790" s="2514" t="s">
        <v>1826</v>
      </c>
      <c r="C1790" s="2521"/>
      <c r="D1790" s="2405" t="s">
        <v>1530</v>
      </c>
      <c r="E1790" s="2447" t="s">
        <v>2792</v>
      </c>
      <c r="F1790" s="2405" t="s">
        <v>2538</v>
      </c>
      <c r="G1790" s="2703">
        <f>G1784*6</f>
        <v>0</v>
      </c>
      <c r="H1790" s="2517">
        <v>28200</v>
      </c>
      <c r="I1790" s="2517"/>
      <c r="J1790" s="2517">
        <v>0</v>
      </c>
      <c r="K1790" s="2517">
        <v>0</v>
      </c>
      <c r="L1790" s="2517">
        <f t="shared" si="332"/>
        <v>0</v>
      </c>
      <c r="M1790" s="2517">
        <f t="shared" si="333"/>
        <v>0</v>
      </c>
      <c r="N1790" s="2517">
        <f t="shared" si="334"/>
        <v>0</v>
      </c>
      <c r="O1790" s="2517">
        <f t="shared" si="335"/>
        <v>0</v>
      </c>
      <c r="P1790" s="2694"/>
      <c r="Q1790" s="2519"/>
      <c r="R1790" s="2519"/>
      <c r="S1790" s="2519"/>
    </row>
    <row r="1791" spans="1:19" s="2358" customFormat="1" outlineLevel="1">
      <c r="A1791" s="2435" t="str">
        <f t="shared" si="338"/>
        <v/>
      </c>
      <c r="B1791" s="2514" t="s">
        <v>1869</v>
      </c>
      <c r="C1791" s="2521"/>
      <c r="D1791" s="2405">
        <v>0</v>
      </c>
      <c r="E1791" s="2447" t="s">
        <v>3489</v>
      </c>
      <c r="F1791" s="2405" t="s">
        <v>2563</v>
      </c>
      <c r="G1791" s="2703">
        <f>G1784*4*2</f>
        <v>0</v>
      </c>
      <c r="H1791" s="2517">
        <v>1700</v>
      </c>
      <c r="I1791" s="2517"/>
      <c r="J1791" s="2517">
        <v>0</v>
      </c>
      <c r="K1791" s="2517">
        <v>0</v>
      </c>
      <c r="L1791" s="2517">
        <f t="shared" si="332"/>
        <v>0</v>
      </c>
      <c r="M1791" s="2517">
        <f t="shared" si="333"/>
        <v>0</v>
      </c>
      <c r="N1791" s="2517">
        <f t="shared" si="334"/>
        <v>0</v>
      </c>
      <c r="O1791" s="2517">
        <f t="shared" si="335"/>
        <v>0</v>
      </c>
      <c r="P1791" s="2694"/>
      <c r="Q1791" s="2519"/>
      <c r="R1791" s="2519"/>
      <c r="S1791" s="2519"/>
    </row>
    <row r="1792" spans="1:19" s="2358" customFormat="1" outlineLevel="1">
      <c r="A1792" s="2435" t="str">
        <f t="shared" si="338"/>
        <v/>
      </c>
      <c r="B1792" s="2514" t="s">
        <v>2147</v>
      </c>
      <c r="C1792" s="2521"/>
      <c r="D1792" s="2405">
        <v>0</v>
      </c>
      <c r="E1792" s="2447" t="s">
        <v>3553</v>
      </c>
      <c r="F1792" s="2405" t="s">
        <v>1827</v>
      </c>
      <c r="G1792" s="2703">
        <f>G1787*4</f>
        <v>0</v>
      </c>
      <c r="H1792" s="2517">
        <v>16100</v>
      </c>
      <c r="I1792" s="2517"/>
      <c r="J1792" s="2517">
        <v>0</v>
      </c>
      <c r="K1792" s="2517">
        <v>0</v>
      </c>
      <c r="L1792" s="2517">
        <f t="shared" si="332"/>
        <v>0</v>
      </c>
      <c r="M1792" s="2517">
        <f t="shared" si="333"/>
        <v>0</v>
      </c>
      <c r="N1792" s="2517">
        <f t="shared" si="334"/>
        <v>0</v>
      </c>
      <c r="O1792" s="2517">
        <f t="shared" si="335"/>
        <v>0</v>
      </c>
      <c r="P1792" s="2694"/>
      <c r="Q1792" s="2519"/>
      <c r="R1792" s="2519"/>
      <c r="S1792" s="2519"/>
    </row>
    <row r="1793" spans="1:19" s="2358" customFormat="1" outlineLevel="1">
      <c r="A1793" s="2435" t="str">
        <f t="shared" si="338"/>
        <v/>
      </c>
      <c r="B1793" s="2514" t="s">
        <v>6322</v>
      </c>
      <c r="C1793" s="2521"/>
      <c r="D1793" s="2405">
        <v>0</v>
      </c>
      <c r="E1793" s="2447" t="s">
        <v>3560</v>
      </c>
      <c r="F1793" s="2405" t="s">
        <v>2563</v>
      </c>
      <c r="G1793" s="2703">
        <f>G1784</f>
        <v>0</v>
      </c>
      <c r="H1793" s="2517">
        <v>11400</v>
      </c>
      <c r="I1793" s="2517"/>
      <c r="J1793" s="2517">
        <v>0</v>
      </c>
      <c r="K1793" s="2517">
        <v>0</v>
      </c>
      <c r="L1793" s="2517">
        <f t="shared" si="332"/>
        <v>0</v>
      </c>
      <c r="M1793" s="2517">
        <f t="shared" si="333"/>
        <v>0</v>
      </c>
      <c r="N1793" s="2517">
        <f t="shared" si="334"/>
        <v>0</v>
      </c>
      <c r="O1793" s="2517">
        <f t="shared" si="335"/>
        <v>0</v>
      </c>
      <c r="P1793" s="2694"/>
      <c r="Q1793" s="2519"/>
      <c r="R1793" s="2519"/>
      <c r="S1793" s="2519"/>
    </row>
    <row r="1794" spans="1:19" s="2358" customFormat="1" outlineLevel="1">
      <c r="A1794" s="2435" t="str">
        <f>IF(G1794&lt;&gt;0,1,"")</f>
        <v/>
      </c>
      <c r="B1794" s="2514" t="s">
        <v>203</v>
      </c>
      <c r="C1794" s="2521"/>
      <c r="D1794" s="2405">
        <v>0</v>
      </c>
      <c r="E1794" s="2447" t="s">
        <v>2996</v>
      </c>
      <c r="F1794" s="2405" t="s">
        <v>2445</v>
      </c>
      <c r="G1794" s="2703">
        <f>G1784*2</f>
        <v>0</v>
      </c>
      <c r="H1794" s="2517">
        <v>34000</v>
      </c>
      <c r="I1794" s="2517"/>
      <c r="J1794" s="2517">
        <v>0</v>
      </c>
      <c r="K1794" s="2517">
        <v>0</v>
      </c>
      <c r="L1794" s="2517">
        <f>H1794*G1794</f>
        <v>0</v>
      </c>
      <c r="M1794" s="2517">
        <f>I1794*G1794</f>
        <v>0</v>
      </c>
      <c r="N1794" s="2517">
        <f>J1794*G1794</f>
        <v>0</v>
      </c>
      <c r="O1794" s="2517">
        <f>K1794*G1794</f>
        <v>0</v>
      </c>
      <c r="P1794" s="2694"/>
      <c r="Q1794" s="2519"/>
      <c r="R1794" s="2519"/>
      <c r="S1794" s="2519"/>
    </row>
    <row r="1795" spans="1:19" s="2358" customFormat="1" outlineLevel="1">
      <c r="A1795" s="2435" t="str">
        <f>IF(G1795&lt;&gt;0,1,"")</f>
        <v/>
      </c>
      <c r="B1795" s="2514" t="s">
        <v>6323</v>
      </c>
      <c r="C1795" s="2521"/>
      <c r="D1795" s="2405">
        <v>0</v>
      </c>
      <c r="E1795" s="2447" t="s">
        <v>3591</v>
      </c>
      <c r="F1795" s="2405" t="s">
        <v>2563</v>
      </c>
      <c r="G1795" s="2703">
        <f>G1784*2</f>
        <v>0</v>
      </c>
      <c r="H1795" s="2517">
        <v>5000</v>
      </c>
      <c r="I1795" s="2517"/>
      <c r="J1795" s="2517">
        <v>0</v>
      </c>
      <c r="K1795" s="2517">
        <v>0</v>
      </c>
      <c r="L1795" s="2517">
        <f>H1795*G1795</f>
        <v>0</v>
      </c>
      <c r="M1795" s="2517">
        <f>I1795*G1795</f>
        <v>0</v>
      </c>
      <c r="N1795" s="2517">
        <f>J1795*G1795</f>
        <v>0</v>
      </c>
      <c r="O1795" s="2517">
        <f>K1795*G1795</f>
        <v>0</v>
      </c>
      <c r="P1795" s="2694"/>
      <c r="Q1795" s="2519"/>
      <c r="R1795" s="2519"/>
      <c r="S1795" s="2519"/>
    </row>
    <row r="1796" spans="1:19" s="2358" customFormat="1" outlineLevel="1">
      <c r="A1796" s="2435" t="str">
        <f>IF(G1796&lt;&gt;0,1,"")</f>
        <v/>
      </c>
      <c r="B1796" s="2514" t="s">
        <v>6324</v>
      </c>
      <c r="C1796" s="2521"/>
      <c r="D1796" s="2405">
        <v>0</v>
      </c>
      <c r="E1796" s="2447" t="s">
        <v>3595</v>
      </c>
      <c r="F1796" s="2405" t="s">
        <v>2563</v>
      </c>
      <c r="G1796" s="2703">
        <f>G1795</f>
        <v>0</v>
      </c>
      <c r="H1796" s="2517">
        <v>5200</v>
      </c>
      <c r="I1796" s="2517"/>
      <c r="J1796" s="2517">
        <v>0</v>
      </c>
      <c r="K1796" s="2517">
        <v>0</v>
      </c>
      <c r="L1796" s="2517">
        <f>H1796*G1796</f>
        <v>0</v>
      </c>
      <c r="M1796" s="2517">
        <f>I1796*G1796</f>
        <v>0</v>
      </c>
      <c r="N1796" s="2517">
        <f>J1796*G1796</f>
        <v>0</v>
      </c>
      <c r="O1796" s="2517">
        <f>K1796*G1796</f>
        <v>0</v>
      </c>
      <c r="P1796" s="2694"/>
      <c r="Q1796" s="2519"/>
      <c r="R1796" s="2519"/>
      <c r="S1796" s="2519"/>
    </row>
    <row r="1797" spans="1:19" s="2358" customFormat="1" outlineLevel="1">
      <c r="A1797" s="2435" t="str">
        <f>IF(G1797&lt;&gt;0,1,"")</f>
        <v/>
      </c>
      <c r="B1797" s="2514" t="s">
        <v>2280</v>
      </c>
      <c r="C1797" s="2521"/>
      <c r="D1797" s="2405">
        <v>0</v>
      </c>
      <c r="E1797" s="2447" t="s">
        <v>3557</v>
      </c>
      <c r="F1797" s="2405" t="s">
        <v>1827</v>
      </c>
      <c r="G1797" s="2703">
        <f>G1784*1.5</f>
        <v>0</v>
      </c>
      <c r="H1797" s="2517">
        <v>3100</v>
      </c>
      <c r="I1797" s="2517"/>
      <c r="J1797" s="2517">
        <v>0</v>
      </c>
      <c r="K1797" s="2517">
        <v>0</v>
      </c>
      <c r="L1797" s="2517">
        <f>H1797*G1797</f>
        <v>0</v>
      </c>
      <c r="M1797" s="2517">
        <f>I1797*G1797</f>
        <v>0</v>
      </c>
      <c r="N1797" s="2517">
        <f>J1797*G1797</f>
        <v>0</v>
      </c>
      <c r="O1797" s="2517">
        <f>K1797*G1797</f>
        <v>0</v>
      </c>
      <c r="P1797" s="2694"/>
      <c r="Q1797" s="2519"/>
      <c r="R1797" s="2519"/>
      <c r="S1797" s="2519"/>
    </row>
    <row r="1798" spans="1:19" s="2358" customFormat="1" outlineLevel="1">
      <c r="A1798" s="2435" t="str">
        <f>IF(G1798&lt;&gt;0,1,"")</f>
        <v/>
      </c>
      <c r="B1798" s="2514" t="s">
        <v>2080</v>
      </c>
      <c r="C1798" s="2521"/>
      <c r="D1798" s="2405">
        <v>0</v>
      </c>
      <c r="E1798" s="2447" t="s">
        <v>3588</v>
      </c>
      <c r="F1798" s="2405" t="s">
        <v>3589</v>
      </c>
      <c r="G1798" s="2703">
        <f>G1784*1</f>
        <v>0</v>
      </c>
      <c r="H1798" s="2517">
        <v>11500</v>
      </c>
      <c r="I1798" s="2517"/>
      <c r="J1798" s="2517">
        <v>0</v>
      </c>
      <c r="K1798" s="2517">
        <v>0</v>
      </c>
      <c r="L1798" s="2517">
        <f>H1798*G1798</f>
        <v>0</v>
      </c>
      <c r="M1798" s="2517">
        <f>I1798*G1798</f>
        <v>0</v>
      </c>
      <c r="N1798" s="2517">
        <f>J1798*G1798</f>
        <v>0</v>
      </c>
      <c r="O1798" s="2517">
        <f>K1798*G1798</f>
        <v>0</v>
      </c>
      <c r="P1798" s="2694"/>
      <c r="Q1798" s="2519"/>
      <c r="R1798" s="2519"/>
      <c r="S1798" s="2519"/>
    </row>
    <row r="1799" spans="1:19" s="2358" customFormat="1" outlineLevel="1">
      <c r="A1799" s="2435" t="str">
        <f t="shared" si="338"/>
        <v/>
      </c>
      <c r="B1799" s="2514" t="s">
        <v>6</v>
      </c>
      <c r="C1799" s="2521"/>
      <c r="D1799" s="2405">
        <v>0</v>
      </c>
      <c r="E1799" s="2447" t="s">
        <v>3585</v>
      </c>
      <c r="F1799" s="2405" t="s">
        <v>5868</v>
      </c>
      <c r="G1799" s="2703">
        <f>G1784*1</f>
        <v>0</v>
      </c>
      <c r="H1799" s="2517">
        <v>45000</v>
      </c>
      <c r="I1799" s="2517"/>
      <c r="J1799" s="2517">
        <v>0</v>
      </c>
      <c r="K1799" s="2517">
        <v>0</v>
      </c>
      <c r="L1799" s="2517">
        <f t="shared" si="332"/>
        <v>0</v>
      </c>
      <c r="M1799" s="2517">
        <f t="shared" si="333"/>
        <v>0</v>
      </c>
      <c r="N1799" s="2517">
        <f t="shared" si="334"/>
        <v>0</v>
      </c>
      <c r="O1799" s="2517">
        <f t="shared" si="335"/>
        <v>0</v>
      </c>
      <c r="P1799" s="2694"/>
      <c r="Q1799" s="2519"/>
      <c r="R1799" s="2519"/>
      <c r="S1799" s="2519"/>
    </row>
    <row r="1800" spans="1:19" s="2358" customFormat="1" outlineLevel="1">
      <c r="A1800" s="2435" t="str">
        <f t="shared" si="338"/>
        <v/>
      </c>
      <c r="B1800" s="2514" t="s">
        <v>672</v>
      </c>
      <c r="C1800" s="2521"/>
      <c r="D1800" s="2405">
        <v>0</v>
      </c>
      <c r="E1800" s="2447" t="s">
        <v>5863</v>
      </c>
      <c r="F1800" s="2405" t="s">
        <v>3584</v>
      </c>
      <c r="G1800" s="2703">
        <f>G1784*2</f>
        <v>0</v>
      </c>
      <c r="H1800" s="2517">
        <v>6500</v>
      </c>
      <c r="I1800" s="2517"/>
      <c r="J1800" s="2517">
        <v>0</v>
      </c>
      <c r="K1800" s="2517">
        <v>0</v>
      </c>
      <c r="L1800" s="2517">
        <f t="shared" si="332"/>
        <v>0</v>
      </c>
      <c r="M1800" s="2517">
        <f t="shared" si="333"/>
        <v>0</v>
      </c>
      <c r="N1800" s="2517">
        <f t="shared" si="334"/>
        <v>0</v>
      </c>
      <c r="O1800" s="2517">
        <f t="shared" si="335"/>
        <v>0</v>
      </c>
      <c r="P1800" s="2694"/>
      <c r="Q1800" s="2519"/>
      <c r="R1800" s="2519"/>
      <c r="S1800" s="2519"/>
    </row>
    <row r="1801" spans="1:19" s="2358" customFormat="1" outlineLevel="1">
      <c r="A1801" s="2435" t="str">
        <f t="shared" si="338"/>
        <v/>
      </c>
      <c r="B1801" s="2514" t="s">
        <v>1528</v>
      </c>
      <c r="C1801" s="2521"/>
      <c r="D1801" s="2405" t="s">
        <v>5633</v>
      </c>
      <c r="E1801" s="2447" t="s">
        <v>3310</v>
      </c>
      <c r="F1801" s="2405" t="s">
        <v>1827</v>
      </c>
      <c r="G1801" s="2703">
        <f>G1792*2</f>
        <v>0</v>
      </c>
      <c r="H1801" s="2517">
        <v>0</v>
      </c>
      <c r="I1801" s="2517"/>
      <c r="J1801" s="2517">
        <v>13915</v>
      </c>
      <c r="K1801" s="2517">
        <v>0</v>
      </c>
      <c r="L1801" s="2517">
        <f t="shared" si="332"/>
        <v>0</v>
      </c>
      <c r="M1801" s="2517">
        <f t="shared" si="333"/>
        <v>0</v>
      </c>
      <c r="N1801" s="2517">
        <f t="shared" si="334"/>
        <v>0</v>
      </c>
      <c r="O1801" s="2517">
        <f t="shared" si="335"/>
        <v>0</v>
      </c>
      <c r="P1801" s="2694"/>
      <c r="Q1801" s="2519"/>
      <c r="R1801" s="2519"/>
      <c r="S1801" s="2519"/>
    </row>
    <row r="1802" spans="1:19" s="2730" customFormat="1" ht="13.8" customHeight="1">
      <c r="A1802" s="2727" t="str">
        <f>IF(G1802&lt;&gt;0,1,"")</f>
        <v/>
      </c>
      <c r="B1802" s="2514"/>
      <c r="C1802" s="2716">
        <f>IF(G1802&gt;0,C1784+1,C1784)</f>
        <v>0</v>
      </c>
      <c r="D1802" s="2717"/>
      <c r="E1802" s="2718" t="s">
        <v>6325</v>
      </c>
      <c r="F1802" s="2719" t="s">
        <v>2391</v>
      </c>
      <c r="G1802" s="2720">
        <f>G1632</f>
        <v>0</v>
      </c>
      <c r="H1802" s="2721"/>
      <c r="I1802" s="2721"/>
      <c r="J1802" s="2723"/>
      <c r="K1802" s="2723"/>
      <c r="L1802" s="2724"/>
      <c r="M1802" s="2724"/>
      <c r="N1802" s="2724"/>
      <c r="O1802" s="2724"/>
      <c r="P1802" s="2729"/>
    </row>
    <row r="1803" spans="1:19" s="2358" customFormat="1" ht="14.4" outlineLevel="1">
      <c r="A1803" s="2435" t="str">
        <f>A1802</f>
        <v/>
      </c>
      <c r="B1803" s="2514"/>
      <c r="C1803" s="2511"/>
      <c r="D1803" s="2512"/>
      <c r="E1803" s="2527" t="s">
        <v>6207</v>
      </c>
      <c r="F1803" s="2511"/>
      <c r="G1803" s="2704"/>
      <c r="H1803" s="2517"/>
      <c r="I1803" s="2517"/>
      <c r="J1803" s="2517"/>
      <c r="K1803" s="2517"/>
      <c r="L1803" s="2517"/>
      <c r="M1803" s="2517"/>
      <c r="N1803" s="2517"/>
      <c r="O1803" s="2517"/>
      <c r="P1803" s="2694"/>
      <c r="Q1803" s="2519"/>
      <c r="R1803" s="2519"/>
      <c r="S1803" s="2519"/>
    </row>
    <row r="1804" spans="1:19" s="2358" customFormat="1" outlineLevel="1">
      <c r="A1804" s="2435" t="str">
        <f t="shared" ref="A1804:A1816" si="339">IF(G1804&lt;&gt;0,1,"")</f>
        <v/>
      </c>
      <c r="B1804" s="2514" t="s">
        <v>5133</v>
      </c>
      <c r="C1804" s="2521"/>
      <c r="D1804" s="2405">
        <v>0</v>
      </c>
      <c r="E1804" s="2447" t="s">
        <v>5134</v>
      </c>
      <c r="F1804" s="2405" t="s">
        <v>2538</v>
      </c>
      <c r="G1804" s="2703"/>
      <c r="H1804" s="2517">
        <v>99600</v>
      </c>
      <c r="I1804" s="2517"/>
      <c r="J1804" s="2517">
        <v>0</v>
      </c>
      <c r="K1804" s="2517">
        <v>0</v>
      </c>
      <c r="L1804" s="2517">
        <f t="shared" ref="L1804:L1818" si="340">H1804*G1804</f>
        <v>0</v>
      </c>
      <c r="M1804" s="2517">
        <f t="shared" ref="M1804:M1818" si="341">I1804*G1804</f>
        <v>0</v>
      </c>
      <c r="N1804" s="2517">
        <f t="shared" ref="N1804:N1818" si="342">J1804*G1804</f>
        <v>0</v>
      </c>
      <c r="O1804" s="2517">
        <f t="shared" ref="O1804:O1818" si="343">K1804*G1804</f>
        <v>0</v>
      </c>
      <c r="P1804" s="2694"/>
      <c r="Q1804" s="2519"/>
      <c r="R1804" s="2519"/>
      <c r="S1804" s="2519"/>
    </row>
    <row r="1805" spans="1:19" s="2358" customFormat="1" outlineLevel="1">
      <c r="A1805" s="2435" t="str">
        <f t="shared" si="339"/>
        <v/>
      </c>
      <c r="B1805" s="2514" t="s">
        <v>4587</v>
      </c>
      <c r="C1805" s="2521"/>
      <c r="D1805" s="2405">
        <v>0</v>
      </c>
      <c r="E1805" s="2447" t="s">
        <v>2952</v>
      </c>
      <c r="F1805" s="2405" t="s">
        <v>2563</v>
      </c>
      <c r="G1805" s="2703"/>
      <c r="H1805" s="2517">
        <v>205000</v>
      </c>
      <c r="I1805" s="2517"/>
      <c r="J1805" s="2517">
        <v>0</v>
      </c>
      <c r="K1805" s="2517">
        <v>0</v>
      </c>
      <c r="L1805" s="2517">
        <f t="shared" si="340"/>
        <v>0</v>
      </c>
      <c r="M1805" s="2517">
        <f t="shared" si="341"/>
        <v>0</v>
      </c>
      <c r="N1805" s="2517">
        <f t="shared" si="342"/>
        <v>0</v>
      </c>
      <c r="O1805" s="2517">
        <f t="shared" si="343"/>
        <v>0</v>
      </c>
      <c r="P1805" s="2694"/>
      <c r="Q1805" s="2519"/>
      <c r="R1805" s="2519"/>
      <c r="S1805" s="2519"/>
    </row>
    <row r="1806" spans="1:19" s="2358" customFormat="1" outlineLevel="1">
      <c r="A1806" s="2435" t="str">
        <f t="shared" si="339"/>
        <v/>
      </c>
      <c r="B1806" s="2514" t="s">
        <v>4588</v>
      </c>
      <c r="C1806" s="2521"/>
      <c r="D1806" s="2405">
        <v>0</v>
      </c>
      <c r="E1806" s="2447" t="s">
        <v>2831</v>
      </c>
      <c r="F1806" s="2405" t="s">
        <v>2563</v>
      </c>
      <c r="G1806" s="2703"/>
      <c r="H1806" s="2517">
        <v>65000</v>
      </c>
      <c r="I1806" s="2517"/>
      <c r="J1806" s="2517">
        <v>0</v>
      </c>
      <c r="K1806" s="2517">
        <v>0</v>
      </c>
      <c r="L1806" s="2517">
        <f>H1806*G1806</f>
        <v>0</v>
      </c>
      <c r="M1806" s="2517">
        <f>I1806*G1806</f>
        <v>0</v>
      </c>
      <c r="N1806" s="2517">
        <f>J1806*G1806</f>
        <v>0</v>
      </c>
      <c r="O1806" s="2517">
        <f>K1806*G1806</f>
        <v>0</v>
      </c>
      <c r="P1806" s="2694"/>
      <c r="Q1806" s="2519"/>
      <c r="R1806" s="2519"/>
      <c r="S1806" s="2519"/>
    </row>
    <row r="1807" spans="1:19" s="2358" customFormat="1" outlineLevel="1">
      <c r="A1807" s="2435" t="str">
        <f t="shared" si="339"/>
        <v/>
      </c>
      <c r="B1807" s="2514" t="s">
        <v>550</v>
      </c>
      <c r="C1807" s="2521"/>
      <c r="D1807" s="2405">
        <v>0</v>
      </c>
      <c r="E1807" s="2447" t="s">
        <v>2699</v>
      </c>
      <c r="F1807" s="2405" t="s">
        <v>2391</v>
      </c>
      <c r="G1807" s="2703"/>
      <c r="H1807" s="2517">
        <v>34000</v>
      </c>
      <c r="I1807" s="2517"/>
      <c r="J1807" s="2517">
        <v>0</v>
      </c>
      <c r="K1807" s="2517">
        <v>0</v>
      </c>
      <c r="L1807" s="2517">
        <f t="shared" si="340"/>
        <v>0</v>
      </c>
      <c r="M1807" s="2517">
        <f t="shared" si="341"/>
        <v>0</v>
      </c>
      <c r="N1807" s="2517">
        <f t="shared" si="342"/>
        <v>0</v>
      </c>
      <c r="O1807" s="2517">
        <f t="shared" si="343"/>
        <v>0</v>
      </c>
      <c r="P1807" s="2694"/>
      <c r="Q1807" s="2519"/>
      <c r="R1807" s="2519"/>
      <c r="S1807" s="2519"/>
    </row>
    <row r="1808" spans="1:19" s="2358" customFormat="1" outlineLevel="1">
      <c r="A1808" s="2435" t="str">
        <f t="shared" si="339"/>
        <v/>
      </c>
      <c r="B1808" s="2610" t="s">
        <v>5761</v>
      </c>
      <c r="C1808" s="2521"/>
      <c r="D1808" s="2405">
        <v>0</v>
      </c>
      <c r="E1808" s="2447" t="s">
        <v>5762</v>
      </c>
      <c r="F1808" s="2405" t="s">
        <v>2563</v>
      </c>
      <c r="G1808" s="2703"/>
      <c r="H1808" s="2517">
        <v>218200</v>
      </c>
      <c r="I1808" s="2517"/>
      <c r="J1808" s="2517">
        <v>0</v>
      </c>
      <c r="K1808" s="2517">
        <v>0</v>
      </c>
      <c r="L1808" s="2517">
        <f t="shared" si="340"/>
        <v>0</v>
      </c>
      <c r="M1808" s="2517">
        <f t="shared" si="341"/>
        <v>0</v>
      </c>
      <c r="N1808" s="2517">
        <f t="shared" si="342"/>
        <v>0</v>
      </c>
      <c r="O1808" s="2517">
        <f t="shared" si="343"/>
        <v>0</v>
      </c>
      <c r="P1808" s="2694"/>
      <c r="Q1808" s="2519"/>
      <c r="R1808" s="2519"/>
      <c r="S1808" s="2519"/>
    </row>
    <row r="1809" spans="1:19" s="2358" customFormat="1" outlineLevel="1">
      <c r="A1809" s="2435" t="str">
        <f t="shared" si="339"/>
        <v/>
      </c>
      <c r="B1809" s="2610" t="s">
        <v>5767</v>
      </c>
      <c r="C1809" s="2521"/>
      <c r="D1809" s="2405">
        <v>0</v>
      </c>
      <c r="E1809" s="2447" t="s">
        <v>5768</v>
      </c>
      <c r="F1809" s="2405" t="s">
        <v>2563</v>
      </c>
      <c r="G1809" s="2703"/>
      <c r="H1809" s="2517">
        <v>39100</v>
      </c>
      <c r="I1809" s="2517"/>
      <c r="J1809" s="2517">
        <v>0</v>
      </c>
      <c r="K1809" s="2517">
        <v>0</v>
      </c>
      <c r="L1809" s="2517">
        <f t="shared" si="340"/>
        <v>0</v>
      </c>
      <c r="M1809" s="2517">
        <f t="shared" si="341"/>
        <v>0</v>
      </c>
      <c r="N1809" s="2517">
        <f t="shared" si="342"/>
        <v>0</v>
      </c>
      <c r="O1809" s="2517">
        <f t="shared" si="343"/>
        <v>0</v>
      </c>
      <c r="P1809" s="2694"/>
      <c r="Q1809" s="2519"/>
      <c r="R1809" s="2519"/>
      <c r="S1809" s="2519"/>
    </row>
    <row r="1810" spans="1:19" s="2358" customFormat="1" outlineLevel="1">
      <c r="A1810" s="2435" t="str">
        <f t="shared" si="339"/>
        <v/>
      </c>
      <c r="B1810" s="2610" t="s">
        <v>5769</v>
      </c>
      <c r="C1810" s="2521"/>
      <c r="D1810" s="2405">
        <v>0</v>
      </c>
      <c r="E1810" s="2447" t="s">
        <v>5770</v>
      </c>
      <c r="F1810" s="2405" t="s">
        <v>2563</v>
      </c>
      <c r="G1810" s="2703">
        <f>G1802*3</f>
        <v>0</v>
      </c>
      <c r="H1810" s="2517">
        <v>56700</v>
      </c>
      <c r="I1810" s="2517"/>
      <c r="J1810" s="2517">
        <v>0</v>
      </c>
      <c r="K1810" s="2517">
        <v>0</v>
      </c>
      <c r="L1810" s="2517">
        <f t="shared" si="340"/>
        <v>0</v>
      </c>
      <c r="M1810" s="2517">
        <f t="shared" si="341"/>
        <v>0</v>
      </c>
      <c r="N1810" s="2517">
        <f t="shared" si="342"/>
        <v>0</v>
      </c>
      <c r="O1810" s="2517">
        <f t="shared" si="343"/>
        <v>0</v>
      </c>
      <c r="P1810" s="2694"/>
      <c r="Q1810" s="2519"/>
      <c r="R1810" s="2519"/>
      <c r="S1810" s="2519"/>
    </row>
    <row r="1811" spans="1:19" s="2358" customFormat="1" outlineLevel="1">
      <c r="A1811" s="2435" t="str">
        <f t="shared" si="339"/>
        <v/>
      </c>
      <c r="B1811" s="2610" t="s">
        <v>5769</v>
      </c>
      <c r="C1811" s="2521"/>
      <c r="D1811" s="2405">
        <v>0</v>
      </c>
      <c r="E1811" s="2447" t="s">
        <v>5770</v>
      </c>
      <c r="F1811" s="2405" t="s">
        <v>2563</v>
      </c>
      <c r="G1811" s="2703">
        <f>G1803*3</f>
        <v>0</v>
      </c>
      <c r="H1811" s="2517">
        <v>56700</v>
      </c>
      <c r="I1811" s="2517"/>
      <c r="J1811" s="2517">
        <v>0</v>
      </c>
      <c r="K1811" s="2517">
        <v>0</v>
      </c>
      <c r="L1811" s="2517">
        <f t="shared" si="340"/>
        <v>0</v>
      </c>
      <c r="M1811" s="2517">
        <f t="shared" si="341"/>
        <v>0</v>
      </c>
      <c r="N1811" s="2517">
        <f t="shared" si="342"/>
        <v>0</v>
      </c>
      <c r="O1811" s="2517">
        <f t="shared" si="343"/>
        <v>0</v>
      </c>
      <c r="P1811" s="2694"/>
      <c r="Q1811" s="2519"/>
      <c r="R1811" s="2519"/>
      <c r="S1811" s="2519"/>
    </row>
    <row r="1812" spans="1:19" s="2358" customFormat="1" outlineLevel="1">
      <c r="A1812" s="2435" t="str">
        <f t="shared" si="339"/>
        <v/>
      </c>
      <c r="B1812" s="2610" t="s">
        <v>1528</v>
      </c>
      <c r="C1812" s="2521"/>
      <c r="D1812" s="2405" t="s">
        <v>5633</v>
      </c>
      <c r="E1812" s="2447" t="s">
        <v>3310</v>
      </c>
      <c r="F1812" s="2405" t="s">
        <v>1827</v>
      </c>
      <c r="G1812" s="2703">
        <f>G1804</f>
        <v>0</v>
      </c>
      <c r="H1812" s="2517">
        <v>0</v>
      </c>
      <c r="I1812" s="2517"/>
      <c r="J1812" s="2517">
        <v>13915</v>
      </c>
      <c r="K1812" s="2517">
        <v>0</v>
      </c>
      <c r="L1812" s="2517">
        <f t="shared" si="340"/>
        <v>0</v>
      </c>
      <c r="M1812" s="2517">
        <f t="shared" si="341"/>
        <v>0</v>
      </c>
      <c r="N1812" s="2517">
        <f t="shared" si="342"/>
        <v>0</v>
      </c>
      <c r="O1812" s="2517">
        <f t="shared" si="343"/>
        <v>0</v>
      </c>
      <c r="P1812" s="2694"/>
      <c r="Q1812" s="2519"/>
      <c r="R1812" s="2519"/>
      <c r="S1812" s="2519"/>
    </row>
    <row r="1813" spans="1:19" s="2358" customFormat="1" outlineLevel="1">
      <c r="A1813" s="2435" t="str">
        <f t="shared" si="339"/>
        <v/>
      </c>
      <c r="B1813" s="2610" t="s">
        <v>347</v>
      </c>
      <c r="C1813" s="2521"/>
      <c r="D1813" s="2405" t="s">
        <v>5622</v>
      </c>
      <c r="E1813" s="2447" t="s">
        <v>3289</v>
      </c>
      <c r="F1813" s="2405" t="s">
        <v>2445</v>
      </c>
      <c r="G1813" s="2703">
        <f>G1805</f>
        <v>0</v>
      </c>
      <c r="H1813" s="2517">
        <v>510</v>
      </c>
      <c r="I1813" s="2517"/>
      <c r="J1813" s="2517">
        <v>58277.49</v>
      </c>
      <c r="K1813" s="2517">
        <v>0</v>
      </c>
      <c r="L1813" s="2517">
        <f t="shared" si="340"/>
        <v>0</v>
      </c>
      <c r="M1813" s="2517">
        <f t="shared" si="341"/>
        <v>0</v>
      </c>
      <c r="N1813" s="2517">
        <f t="shared" si="342"/>
        <v>0</v>
      </c>
      <c r="O1813" s="2517">
        <f t="shared" si="343"/>
        <v>0</v>
      </c>
      <c r="P1813" s="2694"/>
      <c r="Q1813" s="2519"/>
      <c r="R1813" s="2519"/>
      <c r="S1813" s="2519"/>
    </row>
    <row r="1814" spans="1:19" s="2358" customFormat="1" outlineLevel="1">
      <c r="A1814" s="2435" t="str">
        <f t="shared" si="339"/>
        <v/>
      </c>
      <c r="B1814" s="2610" t="s">
        <v>470</v>
      </c>
      <c r="C1814" s="2521"/>
      <c r="D1814" s="2405">
        <v>0</v>
      </c>
      <c r="E1814" s="2447" t="s">
        <v>2747</v>
      </c>
      <c r="F1814" s="2405" t="s">
        <v>2538</v>
      </c>
      <c r="G1814" s="2703">
        <f>G1802*5</f>
        <v>0</v>
      </c>
      <c r="H1814" s="2517">
        <v>763500</v>
      </c>
      <c r="I1814" s="2517"/>
      <c r="J1814" s="2517">
        <v>0</v>
      </c>
      <c r="K1814" s="2517">
        <v>0</v>
      </c>
      <c r="L1814" s="2517">
        <f t="shared" si="340"/>
        <v>0</v>
      </c>
      <c r="M1814" s="2517">
        <f t="shared" si="341"/>
        <v>0</v>
      </c>
      <c r="N1814" s="2517">
        <f t="shared" si="342"/>
        <v>0</v>
      </c>
      <c r="O1814" s="2517">
        <f t="shared" si="343"/>
        <v>0</v>
      </c>
      <c r="P1814" s="2694"/>
      <c r="Q1814" s="2519"/>
      <c r="R1814" s="2519"/>
      <c r="S1814" s="2519"/>
    </row>
    <row r="1815" spans="1:19" s="2358" customFormat="1" outlineLevel="1">
      <c r="A1815" s="2435" t="str">
        <f t="shared" si="339"/>
        <v/>
      </c>
      <c r="B1815" s="2610" t="s">
        <v>6326</v>
      </c>
      <c r="C1815" s="2521"/>
      <c r="D1815" s="2405">
        <v>0</v>
      </c>
      <c r="E1815" s="2447" t="s">
        <v>5518</v>
      </c>
      <c r="F1815" s="2405" t="s">
        <v>2563</v>
      </c>
      <c r="G1815" s="2703">
        <f>G1802*3*0</f>
        <v>0</v>
      </c>
      <c r="H1815" s="2517">
        <v>10510000</v>
      </c>
      <c r="I1815" s="2517"/>
      <c r="J1815" s="2517">
        <v>0</v>
      </c>
      <c r="K1815" s="2517">
        <v>0</v>
      </c>
      <c r="L1815" s="2517">
        <f t="shared" si="340"/>
        <v>0</v>
      </c>
      <c r="M1815" s="2517">
        <f t="shared" si="341"/>
        <v>0</v>
      </c>
      <c r="N1815" s="2517">
        <f t="shared" si="342"/>
        <v>0</v>
      </c>
      <c r="O1815" s="2517">
        <f t="shared" si="343"/>
        <v>0</v>
      </c>
      <c r="P1815" s="2694"/>
      <c r="Q1815" s="2519"/>
      <c r="R1815" s="2519"/>
      <c r="S1815" s="2519"/>
    </row>
    <row r="1816" spans="1:19" s="2358" customFormat="1" outlineLevel="1">
      <c r="A1816" s="2435" t="str">
        <f t="shared" si="339"/>
        <v/>
      </c>
      <c r="B1816" s="2610" t="s">
        <v>5519</v>
      </c>
      <c r="C1816" s="2521"/>
      <c r="D1816" s="2405">
        <v>0</v>
      </c>
      <c r="E1816" s="2447" t="s">
        <v>6439</v>
      </c>
      <c r="F1816" s="2405" t="s">
        <v>2563</v>
      </c>
      <c r="G1816" s="2703">
        <f>G1802</f>
        <v>0</v>
      </c>
      <c r="H1816" s="2517">
        <v>10304000</v>
      </c>
      <c r="I1816" s="2517"/>
      <c r="J1816" s="2517">
        <v>0</v>
      </c>
      <c r="K1816" s="2517">
        <v>0</v>
      </c>
      <c r="L1816" s="2517">
        <f t="shared" si="340"/>
        <v>0</v>
      </c>
      <c r="M1816" s="2517">
        <f t="shared" si="341"/>
        <v>0</v>
      </c>
      <c r="N1816" s="2517">
        <f t="shared" si="342"/>
        <v>0</v>
      </c>
      <c r="O1816" s="2517">
        <f t="shared" si="343"/>
        <v>0</v>
      </c>
      <c r="P1816" s="2694"/>
      <c r="Q1816" s="2519"/>
      <c r="R1816" s="2519"/>
      <c r="S1816" s="2519"/>
    </row>
    <row r="1817" spans="1:19" s="2358" customFormat="1" outlineLevel="1">
      <c r="A1817" s="2435" t="str">
        <f>IF(G1817&lt;&gt;0,1,"")</f>
        <v/>
      </c>
      <c r="B1817" s="2610" t="s">
        <v>1182</v>
      </c>
      <c r="C1817" s="2521"/>
      <c r="D1817" s="2405" t="s">
        <v>5614</v>
      </c>
      <c r="E1817" s="2447" t="s">
        <v>3277</v>
      </c>
      <c r="F1817" s="2405" t="s">
        <v>2538</v>
      </c>
      <c r="G1817" s="2703">
        <f>G1814</f>
        <v>0</v>
      </c>
      <c r="H1817" s="2517">
        <v>546.91999999999996</v>
      </c>
      <c r="I1817" s="2517"/>
      <c r="J1817" s="2517">
        <v>21459.713</v>
      </c>
      <c r="K1817" s="2517">
        <v>0</v>
      </c>
      <c r="L1817" s="2517">
        <f t="shared" si="340"/>
        <v>0</v>
      </c>
      <c r="M1817" s="2517">
        <f t="shared" si="341"/>
        <v>0</v>
      </c>
      <c r="N1817" s="2517">
        <f t="shared" si="342"/>
        <v>0</v>
      </c>
      <c r="O1817" s="2517">
        <f t="shared" si="343"/>
        <v>0</v>
      </c>
      <c r="P1817" s="2702"/>
      <c r="Q1817" s="2519"/>
      <c r="R1817" s="2519"/>
      <c r="S1817" s="2519"/>
    </row>
    <row r="1818" spans="1:19" s="2358" customFormat="1" outlineLevel="1">
      <c r="A1818" s="2435" t="str">
        <f>IF(G1818&lt;&gt;0,1,"")</f>
        <v/>
      </c>
      <c r="B1818" s="2610" t="s">
        <v>1592</v>
      </c>
      <c r="C1818" s="2521"/>
      <c r="D1818" s="2405" t="s">
        <v>5521</v>
      </c>
      <c r="E1818" s="2447" t="s">
        <v>3196</v>
      </c>
      <c r="F1818" s="2405" t="s">
        <v>2563</v>
      </c>
      <c r="G1818" s="2703">
        <f>G1816</f>
        <v>0</v>
      </c>
      <c r="H1818" s="2517">
        <v>11340</v>
      </c>
      <c r="I1818" s="2517"/>
      <c r="J1818" s="2517">
        <v>621381.64999999991</v>
      </c>
      <c r="K1818" s="2517">
        <v>0</v>
      </c>
      <c r="L1818" s="2517">
        <f t="shared" si="340"/>
        <v>0</v>
      </c>
      <c r="M1818" s="2517">
        <f t="shared" si="341"/>
        <v>0</v>
      </c>
      <c r="N1818" s="2517">
        <f t="shared" si="342"/>
        <v>0</v>
      </c>
      <c r="O1818" s="2517">
        <f t="shared" si="343"/>
        <v>0</v>
      </c>
      <c r="P1818" s="2702"/>
      <c r="Q1818" s="2519"/>
      <c r="R1818" s="2519"/>
      <c r="S1818" s="2519"/>
    </row>
    <row r="1819" spans="1:19" s="2730" customFormat="1" ht="13.8" customHeight="1">
      <c r="A1819" s="2727" t="str">
        <f>IF(G1819&lt;&gt;0,1,"")</f>
        <v/>
      </c>
      <c r="B1819" s="2728"/>
      <c r="C1819" s="2716">
        <f>IF(G1819&gt;0,C1802+1,C1802)</f>
        <v>0</v>
      </c>
      <c r="D1819" s="2717"/>
      <c r="E1819" s="2718" t="s">
        <v>6327</v>
      </c>
      <c r="F1819" s="2719" t="s">
        <v>2391</v>
      </c>
      <c r="G1819" s="2720"/>
      <c r="H1819" s="2721"/>
      <c r="I1819" s="2721"/>
      <c r="J1819" s="2723"/>
      <c r="K1819" s="2723"/>
      <c r="L1819" s="2724"/>
      <c r="M1819" s="2724"/>
      <c r="N1819" s="2724"/>
      <c r="O1819" s="2724"/>
      <c r="P1819" s="2729"/>
    </row>
    <row r="1820" spans="1:19" s="2541" customFormat="1" ht="14.4" outlineLevel="1">
      <c r="A1820" s="2435" t="str">
        <f>A1819</f>
        <v/>
      </c>
      <c r="B1820" s="2753"/>
      <c r="C1820" s="2511"/>
      <c r="D1820" s="2512"/>
      <c r="E1820" s="2527" t="s">
        <v>6207</v>
      </c>
      <c r="F1820" s="2511" t="s">
        <v>2391</v>
      </c>
      <c r="G1820" s="2516"/>
      <c r="H1820" s="2517"/>
      <c r="I1820" s="2517"/>
      <c r="J1820" s="2517"/>
      <c r="K1820" s="2517"/>
      <c r="L1820" s="2517">
        <f>SUBTOTAL(9,L1821:L1842)*0</f>
        <v>0</v>
      </c>
      <c r="M1820" s="2517">
        <f>SUBTOTAL(9,M1821:M1842)</f>
        <v>0</v>
      </c>
      <c r="N1820" s="2517">
        <f>SUBTOTAL(9,N1821:N1842)*0</f>
        <v>0</v>
      </c>
      <c r="O1820" s="2517">
        <f>SUBTOTAL(9,O1821:O1842)*0</f>
        <v>0</v>
      </c>
      <c r="P1820" s="2518"/>
      <c r="Q1820" s="2686"/>
      <c r="R1820" s="2686"/>
      <c r="S1820" s="2686"/>
    </row>
    <row r="1821" spans="1:19" s="2358" customFormat="1" outlineLevel="1">
      <c r="A1821" s="2435">
        <f>IF(G1821=0,0,1)</f>
        <v>0</v>
      </c>
      <c r="B1821" s="2514" t="s">
        <v>2282</v>
      </c>
      <c r="C1821" s="2642"/>
      <c r="D1821" s="2405">
        <v>0</v>
      </c>
      <c r="E1821" s="2612" t="s">
        <v>2794</v>
      </c>
      <c r="F1821" s="2754" t="s">
        <v>2538</v>
      </c>
      <c r="G1821" s="2703">
        <f>G1819*26</f>
        <v>0</v>
      </c>
      <c r="H1821" s="2517">
        <v>63200</v>
      </c>
      <c r="I1821" s="2517"/>
      <c r="J1821" s="2517">
        <v>0</v>
      </c>
      <c r="K1821" s="2517">
        <v>0</v>
      </c>
      <c r="L1821" s="2517">
        <f t="shared" ref="L1821:O1842" si="344">H1821*$G1821</f>
        <v>0</v>
      </c>
      <c r="M1821" s="2517">
        <f t="shared" si="344"/>
        <v>0</v>
      </c>
      <c r="N1821" s="2517">
        <f t="shared" si="344"/>
        <v>0</v>
      </c>
      <c r="O1821" s="2517">
        <f t="shared" si="344"/>
        <v>0</v>
      </c>
      <c r="P1821" s="2518"/>
      <c r="Q1821" s="2519"/>
      <c r="R1821" s="2519"/>
      <c r="S1821" s="2519"/>
    </row>
    <row r="1822" spans="1:19" s="2358" customFormat="1" outlineLevel="1">
      <c r="A1822" s="2435">
        <f>IF(G1822=0,0,1)</f>
        <v>0</v>
      </c>
      <c r="B1822" s="2505" t="s">
        <v>6328</v>
      </c>
      <c r="C1822" s="2521"/>
      <c r="D1822" s="2405">
        <v>0</v>
      </c>
      <c r="E1822" s="2612" t="s">
        <v>5105</v>
      </c>
      <c r="F1822" s="2754" t="s">
        <v>2445</v>
      </c>
      <c r="G1822" s="2703">
        <f>G1819*24*0</f>
        <v>0</v>
      </c>
      <c r="H1822" s="2517">
        <v>7900</v>
      </c>
      <c r="I1822" s="2517"/>
      <c r="J1822" s="2517">
        <v>0</v>
      </c>
      <c r="K1822" s="2517">
        <v>0</v>
      </c>
      <c r="L1822" s="2517">
        <f t="shared" si="344"/>
        <v>0</v>
      </c>
      <c r="M1822" s="2517">
        <f t="shared" si="344"/>
        <v>0</v>
      </c>
      <c r="N1822" s="2517">
        <f t="shared" si="344"/>
        <v>0</v>
      </c>
      <c r="O1822" s="2517">
        <f t="shared" si="344"/>
        <v>0</v>
      </c>
      <c r="P1822" s="2518"/>
      <c r="Q1822" s="2519"/>
      <c r="R1822" s="2519"/>
      <c r="S1822" s="2519"/>
    </row>
    <row r="1823" spans="1:19" s="2358" customFormat="1" outlineLevel="1">
      <c r="A1823" s="2435">
        <f>IF(G1823=0,0,1)</f>
        <v>0</v>
      </c>
      <c r="B1823" s="2505" t="s">
        <v>6329</v>
      </c>
      <c r="C1823" s="2521"/>
      <c r="D1823" s="2405">
        <v>0</v>
      </c>
      <c r="E1823" s="2612" t="s">
        <v>2632</v>
      </c>
      <c r="F1823" s="2754" t="s">
        <v>2445</v>
      </c>
      <c r="G1823" s="2703">
        <f>G1822</f>
        <v>0</v>
      </c>
      <c r="H1823" s="2517">
        <v>1500</v>
      </c>
      <c r="I1823" s="2517"/>
      <c r="J1823" s="2517">
        <v>0</v>
      </c>
      <c r="K1823" s="2517">
        <v>0</v>
      </c>
      <c r="L1823" s="2517">
        <f t="shared" si="344"/>
        <v>0</v>
      </c>
      <c r="M1823" s="2517">
        <f t="shared" si="344"/>
        <v>0</v>
      </c>
      <c r="N1823" s="2517">
        <f t="shared" si="344"/>
        <v>0</v>
      </c>
      <c r="O1823" s="2517">
        <f t="shared" si="344"/>
        <v>0</v>
      </c>
      <c r="P1823" s="2518"/>
      <c r="Q1823" s="2519"/>
      <c r="R1823" s="2519"/>
      <c r="S1823" s="2519"/>
    </row>
    <row r="1824" spans="1:19" s="2358" customFormat="1" outlineLevel="1">
      <c r="A1824" s="2435">
        <f t="shared" ref="A1824:A1842" si="345">IF(G1824=0,0,1)</f>
        <v>0</v>
      </c>
      <c r="B1824" s="2514" t="s">
        <v>246</v>
      </c>
      <c r="C1824" s="2642"/>
      <c r="D1824" s="2405">
        <v>0</v>
      </c>
      <c r="E1824" s="2612" t="s">
        <v>5931</v>
      </c>
      <c r="F1824" s="2754" t="s">
        <v>2563</v>
      </c>
      <c r="G1824" s="2703"/>
      <c r="H1824" s="2517">
        <v>40500</v>
      </c>
      <c r="I1824" s="2517"/>
      <c r="J1824" s="2517">
        <v>39758</v>
      </c>
      <c r="K1824" s="2517">
        <v>0</v>
      </c>
      <c r="L1824" s="2517">
        <f t="shared" si="344"/>
        <v>0</v>
      </c>
      <c r="M1824" s="2517">
        <f t="shared" si="344"/>
        <v>0</v>
      </c>
      <c r="N1824" s="2517">
        <f t="shared" si="344"/>
        <v>0</v>
      </c>
      <c r="O1824" s="2517">
        <f t="shared" si="344"/>
        <v>0</v>
      </c>
      <c r="P1824" s="2518"/>
      <c r="Q1824" s="2519"/>
      <c r="R1824" s="2519"/>
      <c r="S1824" s="2519"/>
    </row>
    <row r="1825" spans="1:19" s="2358" customFormat="1" outlineLevel="1">
      <c r="A1825" s="2435">
        <f t="shared" si="345"/>
        <v>0</v>
      </c>
      <c r="B1825" s="2514" t="s">
        <v>5796</v>
      </c>
      <c r="C1825" s="2521"/>
      <c r="D1825" s="2405" t="s">
        <v>5786</v>
      </c>
      <c r="E1825" s="2612" t="s">
        <v>5797</v>
      </c>
      <c r="F1825" s="2754" t="s">
        <v>2563</v>
      </c>
      <c r="G1825" s="2703">
        <f>G1819*16</f>
        <v>0</v>
      </c>
      <c r="H1825" s="2517">
        <v>1700</v>
      </c>
      <c r="I1825" s="2517"/>
      <c r="J1825" s="2517">
        <v>3637.3560000000002</v>
      </c>
      <c r="K1825" s="2517">
        <v>1666.2139485</v>
      </c>
      <c r="L1825" s="2517">
        <f t="shared" si="344"/>
        <v>0</v>
      </c>
      <c r="M1825" s="2517">
        <f t="shared" si="344"/>
        <v>0</v>
      </c>
      <c r="N1825" s="2517">
        <f t="shared" si="344"/>
        <v>0</v>
      </c>
      <c r="O1825" s="2517">
        <f t="shared" si="344"/>
        <v>0</v>
      </c>
      <c r="P1825" s="2518"/>
      <c r="Q1825" s="2519"/>
      <c r="R1825" s="2519"/>
      <c r="S1825" s="2519"/>
    </row>
    <row r="1826" spans="1:19" s="2358" customFormat="1" outlineLevel="1">
      <c r="A1826" s="2435">
        <f t="shared" si="345"/>
        <v>0</v>
      </c>
      <c r="B1826" s="2514" t="s">
        <v>1513</v>
      </c>
      <c r="C1826" s="2521"/>
      <c r="D1826" s="2405">
        <v>0</v>
      </c>
      <c r="E1826" s="2612" t="s">
        <v>3533</v>
      </c>
      <c r="F1826" s="2754" t="s">
        <v>2538</v>
      </c>
      <c r="G1826" s="2703"/>
      <c r="H1826" s="2517">
        <v>860</v>
      </c>
      <c r="I1826" s="2517"/>
      <c r="J1826" s="2517">
        <v>0</v>
      </c>
      <c r="K1826" s="2517">
        <v>0</v>
      </c>
      <c r="L1826" s="2517">
        <f t="shared" si="344"/>
        <v>0</v>
      </c>
      <c r="M1826" s="2517">
        <f t="shared" si="344"/>
        <v>0</v>
      </c>
      <c r="N1826" s="2517">
        <f t="shared" si="344"/>
        <v>0</v>
      </c>
      <c r="O1826" s="2517">
        <f t="shared" si="344"/>
        <v>0</v>
      </c>
      <c r="P1826" s="2518"/>
      <c r="Q1826" s="2519"/>
      <c r="R1826" s="2519"/>
      <c r="S1826" s="2519"/>
    </row>
    <row r="1827" spans="1:19" s="2358" customFormat="1" outlineLevel="1">
      <c r="A1827" s="2435">
        <f t="shared" si="345"/>
        <v>0</v>
      </c>
      <c r="B1827" s="2514" t="s">
        <v>816</v>
      </c>
      <c r="C1827" s="2521"/>
      <c r="D1827" s="2405">
        <v>0</v>
      </c>
      <c r="E1827" s="2612" t="s">
        <v>3599</v>
      </c>
      <c r="F1827" s="2754" t="s">
        <v>2563</v>
      </c>
      <c r="G1827" s="2703">
        <f>+G1819*3</f>
        <v>0</v>
      </c>
      <c r="H1827" s="2517">
        <v>17600</v>
      </c>
      <c r="I1827" s="2517"/>
      <c r="J1827" s="2517">
        <v>0</v>
      </c>
      <c r="K1827" s="2517">
        <v>0</v>
      </c>
      <c r="L1827" s="2517">
        <f t="shared" si="344"/>
        <v>0</v>
      </c>
      <c r="M1827" s="2517">
        <f t="shared" si="344"/>
        <v>0</v>
      </c>
      <c r="N1827" s="2517">
        <f t="shared" si="344"/>
        <v>0</v>
      </c>
      <c r="O1827" s="2517">
        <f t="shared" si="344"/>
        <v>0</v>
      </c>
      <c r="P1827" s="2518"/>
      <c r="Q1827" s="2519"/>
      <c r="R1827" s="2519"/>
      <c r="S1827" s="2519"/>
    </row>
    <row r="1828" spans="1:19" s="2358" customFormat="1" outlineLevel="1">
      <c r="A1828" s="2435">
        <f t="shared" si="345"/>
        <v>0</v>
      </c>
      <c r="B1828" s="2514" t="s">
        <v>2147</v>
      </c>
      <c r="C1828" s="2521"/>
      <c r="D1828" s="2405">
        <v>0</v>
      </c>
      <c r="E1828" s="2612" t="s">
        <v>3553</v>
      </c>
      <c r="F1828" s="2754" t="s">
        <v>1827</v>
      </c>
      <c r="G1828" s="2703">
        <f>G1838*12</f>
        <v>0</v>
      </c>
      <c r="H1828" s="2517">
        <v>16100</v>
      </c>
      <c r="I1828" s="2517"/>
      <c r="J1828" s="2517">
        <v>0</v>
      </c>
      <c r="K1828" s="2517">
        <v>0</v>
      </c>
      <c r="L1828" s="2517">
        <f t="shared" si="344"/>
        <v>0</v>
      </c>
      <c r="M1828" s="2517">
        <f t="shared" si="344"/>
        <v>0</v>
      </c>
      <c r="N1828" s="2517">
        <f t="shared" si="344"/>
        <v>0</v>
      </c>
      <c r="O1828" s="2517">
        <f t="shared" si="344"/>
        <v>0</v>
      </c>
      <c r="P1828" s="2518"/>
      <c r="Q1828" s="2519"/>
      <c r="R1828" s="2519"/>
      <c r="S1828" s="2519"/>
    </row>
    <row r="1829" spans="1:19" s="2358" customFormat="1" outlineLevel="1">
      <c r="A1829" s="2435">
        <f t="shared" si="345"/>
        <v>0</v>
      </c>
      <c r="B1829" s="2755" t="s">
        <v>2014</v>
      </c>
      <c r="C1829" s="2521"/>
      <c r="D1829" s="2405" t="s">
        <v>5608</v>
      </c>
      <c r="E1829" s="2612" t="s">
        <v>3268</v>
      </c>
      <c r="F1829" s="2754" t="s">
        <v>2538</v>
      </c>
      <c r="G1829" s="2703">
        <f>G1828</f>
        <v>0</v>
      </c>
      <c r="H1829" s="2517">
        <v>0</v>
      </c>
      <c r="I1829" s="2517"/>
      <c r="J1829" s="2517">
        <v>38962</v>
      </c>
      <c r="K1829" s="2517">
        <v>0</v>
      </c>
      <c r="L1829" s="2517">
        <f>H1829*$G1829</f>
        <v>0</v>
      </c>
      <c r="M1829" s="2517">
        <f>I1829*$G1829</f>
        <v>0</v>
      </c>
      <c r="N1829" s="2517">
        <f>J1829*$G1829</f>
        <v>0</v>
      </c>
      <c r="O1829" s="2517">
        <f>K1829*$G1829</f>
        <v>0</v>
      </c>
      <c r="P1829" s="2518"/>
      <c r="Q1829" s="2519"/>
      <c r="R1829" s="2519"/>
      <c r="S1829" s="2519"/>
    </row>
    <row r="1830" spans="1:19" s="2358" customFormat="1" outlineLevel="1">
      <c r="A1830" s="2435">
        <f t="shared" si="345"/>
        <v>0</v>
      </c>
      <c r="B1830" s="2505" t="s">
        <v>204</v>
      </c>
      <c r="C1830" s="2521"/>
      <c r="D1830" s="2405">
        <v>0</v>
      </c>
      <c r="E1830" s="2612" t="s">
        <v>2996</v>
      </c>
      <c r="F1830" s="2754" t="s">
        <v>2445</v>
      </c>
      <c r="G1830" s="2703">
        <f>G1819*4</f>
        <v>0</v>
      </c>
      <c r="H1830" s="2517">
        <v>34000</v>
      </c>
      <c r="I1830" s="2517"/>
      <c r="J1830" s="2517">
        <v>0</v>
      </c>
      <c r="K1830" s="2517">
        <v>0</v>
      </c>
      <c r="L1830" s="2517">
        <f t="shared" si="344"/>
        <v>0</v>
      </c>
      <c r="M1830" s="2517">
        <f t="shared" si="344"/>
        <v>0</v>
      </c>
      <c r="N1830" s="2517">
        <f t="shared" si="344"/>
        <v>0</v>
      </c>
      <c r="O1830" s="2517">
        <f t="shared" si="344"/>
        <v>0</v>
      </c>
      <c r="P1830" s="2518"/>
      <c r="Q1830" s="2519"/>
      <c r="R1830" s="2519"/>
      <c r="S1830" s="2519"/>
    </row>
    <row r="1831" spans="1:19" s="2358" customFormat="1" outlineLevel="1">
      <c r="A1831" s="2435">
        <f t="shared" si="345"/>
        <v>0</v>
      </c>
      <c r="B1831" s="2514" t="s">
        <v>1619</v>
      </c>
      <c r="C1831" s="2521"/>
      <c r="D1831" s="2405">
        <v>0</v>
      </c>
      <c r="E1831" s="2612" t="s">
        <v>3560</v>
      </c>
      <c r="F1831" s="2754" t="s">
        <v>2563</v>
      </c>
      <c r="G1831" s="2703">
        <f>G1819*6</f>
        <v>0</v>
      </c>
      <c r="H1831" s="2517">
        <v>11400</v>
      </c>
      <c r="I1831" s="2517"/>
      <c r="J1831" s="2517">
        <v>0</v>
      </c>
      <c r="K1831" s="2517">
        <v>0</v>
      </c>
      <c r="L1831" s="2517">
        <f t="shared" si="344"/>
        <v>0</v>
      </c>
      <c r="M1831" s="2517">
        <f t="shared" si="344"/>
        <v>0</v>
      </c>
      <c r="N1831" s="2517">
        <f t="shared" si="344"/>
        <v>0</v>
      </c>
      <c r="O1831" s="2517">
        <f t="shared" si="344"/>
        <v>0</v>
      </c>
      <c r="P1831" s="2518"/>
      <c r="Q1831" s="2519"/>
      <c r="R1831" s="2519"/>
      <c r="S1831" s="2519"/>
    </row>
    <row r="1832" spans="1:19" s="2358" customFormat="1" outlineLevel="1">
      <c r="A1832" s="2435">
        <f t="shared" si="345"/>
        <v>0</v>
      </c>
      <c r="B1832" s="2514" t="s">
        <v>1050</v>
      </c>
      <c r="C1832" s="2521"/>
      <c r="D1832" s="2405">
        <v>0</v>
      </c>
      <c r="E1832" s="2612" t="s">
        <v>3561</v>
      </c>
      <c r="F1832" s="2754" t="s">
        <v>2563</v>
      </c>
      <c r="G1832" s="2703">
        <f>G1819*5</f>
        <v>0</v>
      </c>
      <c r="H1832" s="2517">
        <v>21000</v>
      </c>
      <c r="I1832" s="2517"/>
      <c r="J1832" s="2517">
        <v>0</v>
      </c>
      <c r="K1832" s="2517">
        <v>0</v>
      </c>
      <c r="L1832" s="2517">
        <f t="shared" si="344"/>
        <v>0</v>
      </c>
      <c r="M1832" s="2517">
        <f t="shared" si="344"/>
        <v>0</v>
      </c>
      <c r="N1832" s="2517">
        <f t="shared" si="344"/>
        <v>0</v>
      </c>
      <c r="O1832" s="2517">
        <f t="shared" si="344"/>
        <v>0</v>
      </c>
      <c r="P1832" s="2518"/>
      <c r="Q1832" s="2519"/>
      <c r="R1832" s="2519"/>
      <c r="S1832" s="2519"/>
    </row>
    <row r="1833" spans="1:19" s="2358" customFormat="1" outlineLevel="1">
      <c r="A1833" s="2435">
        <f t="shared" si="345"/>
        <v>0</v>
      </c>
      <c r="B1833" s="2514" t="s">
        <v>726</v>
      </c>
      <c r="C1833" s="2521"/>
      <c r="D1833" s="2405">
        <v>0</v>
      </c>
      <c r="E1833" s="2612" t="s">
        <v>3590</v>
      </c>
      <c r="F1833" s="2754" t="s">
        <v>388</v>
      </c>
      <c r="G1833" s="2703">
        <f>G1819</f>
        <v>0</v>
      </c>
      <c r="H1833" s="2517">
        <v>54100</v>
      </c>
      <c r="I1833" s="2517"/>
      <c r="J1833" s="2517">
        <v>0</v>
      </c>
      <c r="K1833" s="2517">
        <v>0</v>
      </c>
      <c r="L1833" s="2517">
        <f t="shared" si="344"/>
        <v>0</v>
      </c>
      <c r="M1833" s="2517">
        <f t="shared" si="344"/>
        <v>0</v>
      </c>
      <c r="N1833" s="2517">
        <f t="shared" si="344"/>
        <v>0</v>
      </c>
      <c r="O1833" s="2517">
        <f t="shared" si="344"/>
        <v>0</v>
      </c>
      <c r="P1833" s="2518"/>
      <c r="Q1833" s="2519"/>
      <c r="R1833" s="2519"/>
      <c r="S1833" s="2519"/>
    </row>
    <row r="1834" spans="1:19" s="2358" customFormat="1" outlineLevel="1">
      <c r="A1834" s="2435">
        <f t="shared" si="345"/>
        <v>0</v>
      </c>
      <c r="B1834" s="2505" t="s">
        <v>672</v>
      </c>
      <c r="C1834" s="2521"/>
      <c r="D1834" s="2405">
        <v>0</v>
      </c>
      <c r="E1834" s="2612" t="s">
        <v>5863</v>
      </c>
      <c r="F1834" s="2754" t="s">
        <v>3584</v>
      </c>
      <c r="G1834" s="2703">
        <f>G1819</f>
        <v>0</v>
      </c>
      <c r="H1834" s="2517">
        <v>6500</v>
      </c>
      <c r="I1834" s="2517"/>
      <c r="J1834" s="2517">
        <v>0</v>
      </c>
      <c r="K1834" s="2517">
        <v>0</v>
      </c>
      <c r="L1834" s="2517">
        <f t="shared" si="344"/>
        <v>0</v>
      </c>
      <c r="M1834" s="2517">
        <f t="shared" si="344"/>
        <v>0</v>
      </c>
      <c r="N1834" s="2517">
        <f t="shared" si="344"/>
        <v>0</v>
      </c>
      <c r="O1834" s="2517">
        <f t="shared" si="344"/>
        <v>0</v>
      </c>
      <c r="P1834" s="2518"/>
      <c r="Q1834" s="2519"/>
      <c r="R1834" s="2519"/>
      <c r="S1834" s="2519"/>
    </row>
    <row r="1835" spans="1:19" s="2358" customFormat="1" outlineLevel="1">
      <c r="A1835" s="2435">
        <f t="shared" si="345"/>
        <v>0</v>
      </c>
      <c r="B1835" s="2514" t="s">
        <v>2126</v>
      </c>
      <c r="C1835" s="2521"/>
      <c r="D1835" s="2405">
        <v>0</v>
      </c>
      <c r="E1835" s="2612" t="s">
        <v>3591</v>
      </c>
      <c r="F1835" s="2754" t="s">
        <v>2563</v>
      </c>
      <c r="G1835" s="2703">
        <f>G1819</f>
        <v>0</v>
      </c>
      <c r="H1835" s="2517">
        <v>5000</v>
      </c>
      <c r="I1835" s="2517"/>
      <c r="J1835" s="2517">
        <v>0</v>
      </c>
      <c r="K1835" s="2517">
        <v>0</v>
      </c>
      <c r="L1835" s="2517">
        <f t="shared" si="344"/>
        <v>0</v>
      </c>
      <c r="M1835" s="2517">
        <f t="shared" si="344"/>
        <v>0</v>
      </c>
      <c r="N1835" s="2517">
        <f t="shared" si="344"/>
        <v>0</v>
      </c>
      <c r="O1835" s="2517">
        <f t="shared" si="344"/>
        <v>0</v>
      </c>
      <c r="P1835" s="2518"/>
      <c r="Q1835" s="2519"/>
      <c r="R1835" s="2519"/>
      <c r="S1835" s="2519"/>
    </row>
    <row r="1836" spans="1:19" s="2358" customFormat="1" outlineLevel="1">
      <c r="A1836" s="2435">
        <f t="shared" si="345"/>
        <v>0</v>
      </c>
      <c r="B1836" s="2505" t="s">
        <v>959</v>
      </c>
      <c r="C1836" s="2521"/>
      <c r="D1836" s="2405">
        <v>0</v>
      </c>
      <c r="E1836" s="2612" t="s">
        <v>3595</v>
      </c>
      <c r="F1836" s="2754" t="s">
        <v>2563</v>
      </c>
      <c r="G1836" s="2703">
        <f>G1819</f>
        <v>0</v>
      </c>
      <c r="H1836" s="2517">
        <v>5200</v>
      </c>
      <c r="I1836" s="2517"/>
      <c r="J1836" s="2517">
        <v>0</v>
      </c>
      <c r="K1836" s="2517">
        <v>0</v>
      </c>
      <c r="L1836" s="2517">
        <f t="shared" si="344"/>
        <v>0</v>
      </c>
      <c r="M1836" s="2517">
        <f t="shared" si="344"/>
        <v>0</v>
      </c>
      <c r="N1836" s="2517">
        <f t="shared" si="344"/>
        <v>0</v>
      </c>
      <c r="O1836" s="2517">
        <f t="shared" si="344"/>
        <v>0</v>
      </c>
      <c r="P1836" s="2518"/>
      <c r="Q1836" s="2519"/>
      <c r="R1836" s="2519"/>
      <c r="S1836" s="2519"/>
    </row>
    <row r="1837" spans="1:19" s="2358" customFormat="1" outlineLevel="1">
      <c r="A1837" s="2435">
        <f t="shared" si="345"/>
        <v>0</v>
      </c>
      <c r="B1837" s="2505" t="s">
        <v>319</v>
      </c>
      <c r="C1837" s="2521"/>
      <c r="D1837" s="2405">
        <v>0</v>
      </c>
      <c r="E1837" s="2612" t="s">
        <v>5330</v>
      </c>
      <c r="F1837" s="2754" t="s">
        <v>2445</v>
      </c>
      <c r="G1837" s="2703">
        <f>G1819*2</f>
        <v>0</v>
      </c>
      <c r="H1837" s="2517">
        <v>168000</v>
      </c>
      <c r="I1837" s="2517"/>
      <c r="J1837" s="2517">
        <v>0</v>
      </c>
      <c r="K1837" s="2517">
        <v>0</v>
      </c>
      <c r="L1837" s="2517">
        <f t="shared" si="344"/>
        <v>0</v>
      </c>
      <c r="M1837" s="2517">
        <f t="shared" si="344"/>
        <v>0</v>
      </c>
      <c r="N1837" s="2517">
        <f t="shared" si="344"/>
        <v>0</v>
      </c>
      <c r="O1837" s="2517">
        <f t="shared" si="344"/>
        <v>0</v>
      </c>
      <c r="P1837" s="2518"/>
      <c r="Q1837" s="2519"/>
      <c r="R1837" s="2519"/>
      <c r="S1837" s="2519"/>
    </row>
    <row r="1838" spans="1:19" s="2358" customFormat="1" outlineLevel="1">
      <c r="A1838" s="2435">
        <f t="shared" si="345"/>
        <v>0</v>
      </c>
      <c r="B1838" s="2505" t="s">
        <v>1919</v>
      </c>
      <c r="C1838" s="2521"/>
      <c r="D1838" s="2405" t="s">
        <v>5717</v>
      </c>
      <c r="E1838" s="2612" t="s">
        <v>3412</v>
      </c>
      <c r="F1838" s="2754" t="s">
        <v>2563</v>
      </c>
      <c r="G1838" s="2703">
        <f>G1819</f>
        <v>0</v>
      </c>
      <c r="H1838" s="2517">
        <v>845331</v>
      </c>
      <c r="I1838" s="2517"/>
      <c r="J1838" s="2517">
        <v>599038</v>
      </c>
      <c r="K1838" s="2517">
        <v>97369</v>
      </c>
      <c r="L1838" s="2517">
        <f t="shared" si="344"/>
        <v>0</v>
      </c>
      <c r="M1838" s="2517">
        <f t="shared" si="344"/>
        <v>0</v>
      </c>
      <c r="N1838" s="2517">
        <f t="shared" si="344"/>
        <v>0</v>
      </c>
      <c r="O1838" s="2517">
        <f t="shared" si="344"/>
        <v>0</v>
      </c>
      <c r="P1838" s="2518"/>
      <c r="Q1838" s="2519"/>
      <c r="R1838" s="2519"/>
      <c r="S1838" s="2519"/>
    </row>
    <row r="1839" spans="1:19" s="2358" customFormat="1" outlineLevel="1">
      <c r="A1839" s="2435">
        <f t="shared" si="345"/>
        <v>0</v>
      </c>
      <c r="B1839" s="2505" t="s">
        <v>6</v>
      </c>
      <c r="C1839" s="2521"/>
      <c r="D1839" s="2405">
        <v>0</v>
      </c>
      <c r="E1839" s="2612" t="s">
        <v>3585</v>
      </c>
      <c r="F1839" s="2754" t="s">
        <v>5868</v>
      </c>
      <c r="G1839" s="2703">
        <f>G1819*2</f>
        <v>0</v>
      </c>
      <c r="H1839" s="2517">
        <v>45000</v>
      </c>
      <c r="I1839" s="2517"/>
      <c r="J1839" s="2517">
        <v>0</v>
      </c>
      <c r="K1839" s="2517">
        <v>0</v>
      </c>
      <c r="L1839" s="2517">
        <f t="shared" si="344"/>
        <v>0</v>
      </c>
      <c r="M1839" s="2517">
        <f t="shared" si="344"/>
        <v>0</v>
      </c>
      <c r="N1839" s="2517">
        <f t="shared" si="344"/>
        <v>0</v>
      </c>
      <c r="O1839" s="2517">
        <f t="shared" si="344"/>
        <v>0</v>
      </c>
      <c r="P1839" s="2518"/>
      <c r="Q1839" s="2519"/>
      <c r="R1839" s="2519"/>
      <c r="S1839" s="2519"/>
    </row>
    <row r="1840" spans="1:19" s="2358" customFormat="1" outlineLevel="1">
      <c r="A1840" s="2435">
        <f t="shared" si="345"/>
        <v>0</v>
      </c>
      <c r="B1840" s="2505" t="s">
        <v>2145</v>
      </c>
      <c r="C1840" s="2521"/>
      <c r="D1840" s="2405">
        <v>0</v>
      </c>
      <c r="E1840" s="2612" t="s">
        <v>2793</v>
      </c>
      <c r="F1840" s="2754" t="s">
        <v>2538</v>
      </c>
      <c r="G1840" s="2703"/>
      <c r="H1840" s="2517">
        <v>5000</v>
      </c>
      <c r="I1840" s="2517"/>
      <c r="J1840" s="2517">
        <v>0</v>
      </c>
      <c r="K1840" s="2517">
        <v>0</v>
      </c>
      <c r="L1840" s="2517">
        <f t="shared" si="344"/>
        <v>0</v>
      </c>
      <c r="M1840" s="2517">
        <f t="shared" si="344"/>
        <v>0</v>
      </c>
      <c r="N1840" s="2517">
        <f t="shared" si="344"/>
        <v>0</v>
      </c>
      <c r="O1840" s="2517">
        <f t="shared" si="344"/>
        <v>0</v>
      </c>
      <c r="P1840" s="2518"/>
      <c r="Q1840" s="2519"/>
      <c r="R1840" s="2519"/>
      <c r="S1840" s="2519"/>
    </row>
    <row r="1841" spans="1:19" s="2358" customFormat="1" outlineLevel="1">
      <c r="A1841" s="2435">
        <f t="shared" si="345"/>
        <v>0</v>
      </c>
      <c r="B1841" s="2505" t="s">
        <v>1035</v>
      </c>
      <c r="C1841" s="2521"/>
      <c r="D1841" s="2405">
        <v>0</v>
      </c>
      <c r="E1841" s="2612" t="s">
        <v>2972</v>
      </c>
      <c r="F1841" s="2754" t="s">
        <v>2254</v>
      </c>
      <c r="G1841" s="2703"/>
      <c r="H1841" s="2517">
        <v>31625</v>
      </c>
      <c r="I1841" s="2517"/>
      <c r="J1841" s="2517">
        <v>0</v>
      </c>
      <c r="K1841" s="2517">
        <v>0</v>
      </c>
      <c r="L1841" s="2517">
        <f t="shared" si="344"/>
        <v>0</v>
      </c>
      <c r="M1841" s="2517">
        <f t="shared" si="344"/>
        <v>0</v>
      </c>
      <c r="N1841" s="2517">
        <f t="shared" si="344"/>
        <v>0</v>
      </c>
      <c r="O1841" s="2517">
        <f t="shared" si="344"/>
        <v>0</v>
      </c>
      <c r="P1841" s="2518"/>
      <c r="Q1841" s="2519"/>
      <c r="R1841" s="2519"/>
      <c r="S1841" s="2519"/>
    </row>
    <row r="1842" spans="1:19" s="2358" customFormat="1" outlineLevel="1">
      <c r="A1842" s="2435">
        <f t="shared" si="345"/>
        <v>0</v>
      </c>
      <c r="B1842" s="2505" t="s">
        <v>6329</v>
      </c>
      <c r="C1842" s="2521"/>
      <c r="D1842" s="2405">
        <v>0</v>
      </c>
      <c r="E1842" s="2612" t="s">
        <v>2632</v>
      </c>
      <c r="F1842" s="2754" t="s">
        <v>2445</v>
      </c>
      <c r="G1842" s="2703"/>
      <c r="H1842" s="2517">
        <v>1500</v>
      </c>
      <c r="I1842" s="2517"/>
      <c r="J1842" s="2517">
        <v>0</v>
      </c>
      <c r="K1842" s="2517">
        <v>0</v>
      </c>
      <c r="L1842" s="2517">
        <f t="shared" si="344"/>
        <v>0</v>
      </c>
      <c r="M1842" s="2517">
        <f t="shared" si="344"/>
        <v>0</v>
      </c>
      <c r="N1842" s="2517">
        <f t="shared" si="344"/>
        <v>0</v>
      </c>
      <c r="O1842" s="2517">
        <f t="shared" si="344"/>
        <v>0</v>
      </c>
      <c r="P1842" s="2518"/>
      <c r="Q1842" s="2519"/>
      <c r="R1842" s="2519"/>
      <c r="S1842" s="2519"/>
    </row>
    <row r="1843" spans="1:19" s="2730" customFormat="1" ht="13.8" customHeight="1">
      <c r="A1843" s="2727" t="str">
        <f>IF(G1843=0,"",1)</f>
        <v/>
      </c>
      <c r="B1843" s="2728"/>
      <c r="C1843" s="2716">
        <f>IF(G1843&gt;0,C1819+1,C1819)</f>
        <v>0</v>
      </c>
      <c r="D1843" s="2717"/>
      <c r="E1843" s="2718" t="s">
        <v>6330</v>
      </c>
      <c r="F1843" s="2719" t="s">
        <v>2538</v>
      </c>
      <c r="G1843" s="2720"/>
      <c r="H1843" s="2721"/>
      <c r="I1843" s="2756"/>
      <c r="J1843" s="2723"/>
      <c r="K1843" s="2723"/>
      <c r="L1843" s="2724">
        <f>H1843*$G1843</f>
        <v>0</v>
      </c>
      <c r="M1843" s="2757">
        <f>I1843*$G1843</f>
        <v>0</v>
      </c>
      <c r="N1843" s="2724">
        <f>J1843*$G1843</f>
        <v>0</v>
      </c>
      <c r="O1843" s="2724">
        <f>K1843*$G1843</f>
        <v>0</v>
      </c>
      <c r="P1843" s="2729"/>
    </row>
    <row r="1844" spans="1:19" s="2767" customFormat="1" ht="14.4" customHeight="1">
      <c r="A1844" s="2758" t="str">
        <f>A1843</f>
        <v/>
      </c>
      <c r="B1844" s="2759"/>
      <c r="C1844" s="2760"/>
      <c r="D1844" s="797"/>
      <c r="E1844" s="2761" t="s">
        <v>2285</v>
      </c>
      <c r="F1844" s="2762"/>
      <c r="G1844" s="2763"/>
      <c r="H1844" s="2760"/>
      <c r="I1844" s="2896"/>
      <c r="J1844" s="2766"/>
      <c r="K1844" s="2760"/>
      <c r="L1844" s="2764"/>
      <c r="M1844" s="2765"/>
      <c r="N1844" s="2764"/>
      <c r="O1844" s="2764"/>
      <c r="P1844" s="2766"/>
    </row>
    <row r="1845" spans="1:19" s="2767" customFormat="1" ht="13.8" customHeight="1">
      <c r="A1845" s="2758" t="str">
        <f t="shared" ref="A1845:A1856" si="346">IF(G1845=0,"",1)</f>
        <v/>
      </c>
      <c r="B1845" s="2768" t="s">
        <v>5042</v>
      </c>
      <c r="C1845" s="113"/>
      <c r="D1845" s="797"/>
      <c r="E1845" s="2769" t="s">
        <v>6440</v>
      </c>
      <c r="F1845" s="797" t="s">
        <v>856</v>
      </c>
      <c r="G1845" s="2770">
        <f>G1843*0.31</f>
        <v>0</v>
      </c>
      <c r="H1845" s="115">
        <v>512000</v>
      </c>
      <c r="I1845" s="2771"/>
      <c r="J1845" s="115">
        <v>0</v>
      </c>
      <c r="K1845" s="115">
        <v>0</v>
      </c>
      <c r="L1845" s="2764">
        <f t="shared" ref="L1845:O1856" si="347">H1845*$G1845</f>
        <v>0</v>
      </c>
      <c r="M1845" s="2765">
        <f t="shared" si="347"/>
        <v>0</v>
      </c>
      <c r="N1845" s="2764">
        <f t="shared" si="347"/>
        <v>0</v>
      </c>
      <c r="O1845" s="2764">
        <f t="shared" si="347"/>
        <v>0</v>
      </c>
      <c r="P1845" s="2772"/>
    </row>
    <row r="1846" spans="1:19" s="2767" customFormat="1" ht="13.8" customHeight="1">
      <c r="A1846" s="2758" t="str">
        <f t="shared" si="346"/>
        <v/>
      </c>
      <c r="B1846" s="2738" t="s">
        <v>867</v>
      </c>
      <c r="C1846" s="113"/>
      <c r="D1846" s="797"/>
      <c r="E1846" s="2769" t="s">
        <v>6441</v>
      </c>
      <c r="F1846" s="797" t="s">
        <v>856</v>
      </c>
      <c r="G1846" s="2770"/>
      <c r="H1846" s="115">
        <v>335000</v>
      </c>
      <c r="I1846" s="2771"/>
      <c r="J1846" s="115">
        <v>0</v>
      </c>
      <c r="K1846" s="115">
        <v>0</v>
      </c>
      <c r="L1846" s="2764">
        <f t="shared" si="347"/>
        <v>0</v>
      </c>
      <c r="M1846" s="2765">
        <f t="shared" si="347"/>
        <v>0</v>
      </c>
      <c r="N1846" s="2764">
        <f t="shared" si="347"/>
        <v>0</v>
      </c>
      <c r="O1846" s="2764">
        <f t="shared" si="347"/>
        <v>0</v>
      </c>
      <c r="P1846" s="2772"/>
    </row>
    <row r="1847" spans="1:19" s="2767" customFormat="1" ht="13.8" customHeight="1">
      <c r="A1847" s="2758" t="str">
        <f>IF(G1847=0,"",1)</f>
        <v/>
      </c>
      <c r="B1847" s="2738" t="s">
        <v>520</v>
      </c>
      <c r="C1847" s="113"/>
      <c r="D1847" s="797"/>
      <c r="E1847" s="2769" t="s">
        <v>6442</v>
      </c>
      <c r="F1847" s="797" t="s">
        <v>856</v>
      </c>
      <c r="G1847" s="2770">
        <f>G1843*0.1</f>
        <v>0</v>
      </c>
      <c r="H1847" s="115">
        <v>295000</v>
      </c>
      <c r="I1847" s="2771"/>
      <c r="J1847" s="115">
        <v>0</v>
      </c>
      <c r="K1847" s="115">
        <v>0</v>
      </c>
      <c r="L1847" s="2764">
        <f>H1847*$G1847</f>
        <v>0</v>
      </c>
      <c r="M1847" s="2765">
        <f>I1847*$G1847</f>
        <v>0</v>
      </c>
      <c r="N1847" s="2764">
        <f>J1847*$G1847</f>
        <v>0</v>
      </c>
      <c r="O1847" s="2764">
        <f>K1847*$G1847</f>
        <v>0</v>
      </c>
      <c r="P1847" s="2772"/>
    </row>
    <row r="1848" spans="1:19" s="2767" customFormat="1" ht="13.8" customHeight="1">
      <c r="A1848" s="2758" t="str">
        <f t="shared" si="346"/>
        <v/>
      </c>
      <c r="B1848" s="2738" t="s">
        <v>6317</v>
      </c>
      <c r="C1848" s="113"/>
      <c r="D1848" s="797"/>
      <c r="E1848" s="2769" t="s">
        <v>6443</v>
      </c>
      <c r="F1848" s="797" t="s">
        <v>856</v>
      </c>
      <c r="G1848" s="2770">
        <f>G1843*0.05</f>
        <v>0</v>
      </c>
      <c r="H1848" s="115">
        <v>920580</v>
      </c>
      <c r="I1848" s="2771"/>
      <c r="J1848" s="115">
        <v>0</v>
      </c>
      <c r="K1848" s="115">
        <v>0</v>
      </c>
      <c r="L1848" s="2764">
        <f t="shared" si="347"/>
        <v>0</v>
      </c>
      <c r="M1848" s="2765">
        <f t="shared" si="347"/>
        <v>0</v>
      </c>
      <c r="N1848" s="2764">
        <f t="shared" si="347"/>
        <v>0</v>
      </c>
      <c r="O1848" s="2764">
        <f t="shared" si="347"/>
        <v>0</v>
      </c>
      <c r="P1848" s="2772"/>
    </row>
    <row r="1849" spans="1:19" s="2767" customFormat="1" ht="13.8" customHeight="1">
      <c r="A1849" s="2758" t="str">
        <f t="shared" si="346"/>
        <v/>
      </c>
      <c r="B1849" s="2738" t="s">
        <v>1679</v>
      </c>
      <c r="C1849" s="113"/>
      <c r="D1849" s="797"/>
      <c r="E1849" s="2769" t="s">
        <v>3025</v>
      </c>
      <c r="F1849" s="797" t="s">
        <v>3024</v>
      </c>
      <c r="G1849" s="2770">
        <f>3.3*G1843</f>
        <v>0</v>
      </c>
      <c r="H1849" s="115">
        <v>7000</v>
      </c>
      <c r="I1849" s="2771"/>
      <c r="J1849" s="115">
        <v>0</v>
      </c>
      <c r="K1849" s="115">
        <v>0</v>
      </c>
      <c r="L1849" s="2764">
        <f t="shared" si="347"/>
        <v>0</v>
      </c>
      <c r="M1849" s="2765">
        <f t="shared" si="347"/>
        <v>0</v>
      </c>
      <c r="N1849" s="2764">
        <f t="shared" si="347"/>
        <v>0</v>
      </c>
      <c r="O1849" s="2764">
        <f t="shared" si="347"/>
        <v>0</v>
      </c>
      <c r="P1849" s="2772"/>
    </row>
    <row r="1850" spans="1:19" s="2767" customFormat="1" ht="13.8" customHeight="1">
      <c r="A1850" s="2758" t="str">
        <f t="shared" si="346"/>
        <v/>
      </c>
      <c r="B1850" s="2738" t="s">
        <v>1680</v>
      </c>
      <c r="C1850" s="113"/>
      <c r="D1850" s="797"/>
      <c r="E1850" s="2769" t="s">
        <v>3029</v>
      </c>
      <c r="F1850" s="797" t="s">
        <v>1964</v>
      </c>
      <c r="G1850" s="2770">
        <f>0.3*G1843</f>
        <v>0</v>
      </c>
      <c r="H1850" s="115">
        <v>10000</v>
      </c>
      <c r="I1850" s="2771"/>
      <c r="J1850" s="115">
        <v>1187.155</v>
      </c>
      <c r="K1850" s="115">
        <v>0</v>
      </c>
      <c r="L1850" s="2764">
        <f t="shared" si="347"/>
        <v>0</v>
      </c>
      <c r="M1850" s="2765">
        <f t="shared" si="347"/>
        <v>0</v>
      </c>
      <c r="N1850" s="2764">
        <f t="shared" si="347"/>
        <v>0</v>
      </c>
      <c r="O1850" s="2764">
        <f t="shared" si="347"/>
        <v>0</v>
      </c>
      <c r="P1850" s="2772"/>
    </row>
    <row r="1851" spans="1:19" s="2767" customFormat="1" ht="13.8" customHeight="1">
      <c r="A1851" s="2758" t="str">
        <f t="shared" si="346"/>
        <v/>
      </c>
      <c r="B1851" s="2502" t="s">
        <v>1042</v>
      </c>
      <c r="C1851" s="113"/>
      <c r="D1851" s="797">
        <v>0</v>
      </c>
      <c r="E1851" s="2769" t="s">
        <v>3549</v>
      </c>
      <c r="F1851" s="797" t="s">
        <v>1827</v>
      </c>
      <c r="G1851" s="2770">
        <f>1*G1843</f>
        <v>0</v>
      </c>
      <c r="H1851" s="115">
        <v>103700</v>
      </c>
      <c r="I1851" s="2771"/>
      <c r="J1851" s="115">
        <v>0</v>
      </c>
      <c r="K1851" s="115">
        <v>0</v>
      </c>
      <c r="L1851" s="2764">
        <f t="shared" si="347"/>
        <v>0</v>
      </c>
      <c r="M1851" s="2765">
        <f t="shared" si="347"/>
        <v>0</v>
      </c>
      <c r="N1851" s="2764">
        <f t="shared" si="347"/>
        <v>0</v>
      </c>
      <c r="O1851" s="2764">
        <f t="shared" si="347"/>
        <v>0</v>
      </c>
      <c r="P1851" s="2772"/>
    </row>
    <row r="1852" spans="1:19" s="2767" customFormat="1" ht="13.8" customHeight="1">
      <c r="A1852" s="2758" t="str">
        <f t="shared" si="346"/>
        <v/>
      </c>
      <c r="B1852" s="2738" t="s">
        <v>6331</v>
      </c>
      <c r="C1852" s="113"/>
      <c r="D1852" s="797" t="s">
        <v>5405</v>
      </c>
      <c r="E1852" s="2769" t="s">
        <v>3091</v>
      </c>
      <c r="F1852" s="797" t="s">
        <v>3024</v>
      </c>
      <c r="G1852" s="2770">
        <f>G1849</f>
        <v>0</v>
      </c>
      <c r="H1852" s="115">
        <v>0</v>
      </c>
      <c r="I1852" s="2771"/>
      <c r="J1852" s="115">
        <v>916.64</v>
      </c>
      <c r="K1852" s="115">
        <v>0</v>
      </c>
      <c r="L1852" s="2764">
        <f t="shared" si="347"/>
        <v>0</v>
      </c>
      <c r="M1852" s="2765">
        <f t="shared" si="347"/>
        <v>0</v>
      </c>
      <c r="N1852" s="2764">
        <f t="shared" si="347"/>
        <v>0</v>
      </c>
      <c r="O1852" s="2764">
        <f t="shared" si="347"/>
        <v>0</v>
      </c>
      <c r="P1852" s="2772"/>
    </row>
    <row r="1853" spans="1:19" s="2767" customFormat="1" ht="13.8" customHeight="1">
      <c r="A1853" s="2758" t="str">
        <f t="shared" si="346"/>
        <v/>
      </c>
      <c r="B1853" s="2738" t="s">
        <v>1682</v>
      </c>
      <c r="C1853" s="113"/>
      <c r="D1853" s="797" t="s">
        <v>5395</v>
      </c>
      <c r="E1853" s="2769" t="s">
        <v>5396</v>
      </c>
      <c r="F1853" s="797" t="s">
        <v>856</v>
      </c>
      <c r="G1853" s="2770">
        <f>G1845+G1846+G1847</f>
        <v>0</v>
      </c>
      <c r="H1853" s="115"/>
      <c r="I1853" s="2771"/>
      <c r="J1853" s="115">
        <v>315277.5</v>
      </c>
      <c r="K1853" s="115">
        <v>0</v>
      </c>
      <c r="L1853" s="2764">
        <f t="shared" si="347"/>
        <v>0</v>
      </c>
      <c r="M1853" s="2765">
        <f t="shared" si="347"/>
        <v>0</v>
      </c>
      <c r="N1853" s="2764">
        <f t="shared" si="347"/>
        <v>0</v>
      </c>
      <c r="O1853" s="2764">
        <f t="shared" si="347"/>
        <v>0</v>
      </c>
      <c r="P1853" s="2772"/>
    </row>
    <row r="1854" spans="1:19" s="2767" customFormat="1" ht="13.8" customHeight="1">
      <c r="A1854" s="2758" t="str">
        <f t="shared" si="346"/>
        <v/>
      </c>
      <c r="B1854" s="2738" t="s">
        <v>144</v>
      </c>
      <c r="C1854" s="113"/>
      <c r="D1854" s="797" t="s">
        <v>5389</v>
      </c>
      <c r="E1854" s="2769" t="s">
        <v>5390</v>
      </c>
      <c r="F1854" s="797" t="s">
        <v>856</v>
      </c>
      <c r="G1854" s="2770">
        <f>0.34*G1843</f>
        <v>0</v>
      </c>
      <c r="H1854" s="115"/>
      <c r="I1854" s="2771"/>
      <c r="J1854" s="115">
        <v>640731.36</v>
      </c>
      <c r="K1854" s="115">
        <v>0</v>
      </c>
      <c r="L1854" s="2764">
        <f t="shared" si="347"/>
        <v>0</v>
      </c>
      <c r="M1854" s="2765">
        <f t="shared" si="347"/>
        <v>0</v>
      </c>
      <c r="N1854" s="2764">
        <f t="shared" si="347"/>
        <v>0</v>
      </c>
      <c r="O1854" s="2764">
        <f t="shared" si="347"/>
        <v>0</v>
      </c>
      <c r="P1854" s="2772"/>
    </row>
    <row r="1855" spans="1:19" s="2767" customFormat="1" ht="13.8" customHeight="1">
      <c r="A1855" s="2758" t="str">
        <f t="shared" si="346"/>
        <v/>
      </c>
      <c r="B1855" s="2738" t="s">
        <v>1840</v>
      </c>
      <c r="C1855" s="113"/>
      <c r="D1855" s="797" t="s">
        <v>5533</v>
      </c>
      <c r="E1855" s="2769" t="s">
        <v>6444</v>
      </c>
      <c r="F1855" s="797" t="s">
        <v>856</v>
      </c>
      <c r="G1855" s="2770">
        <f>G1848</f>
        <v>0</v>
      </c>
      <c r="H1855" s="115"/>
      <c r="I1855" s="2773"/>
      <c r="J1855" s="115">
        <v>466397.5</v>
      </c>
      <c r="K1855" s="115">
        <v>0</v>
      </c>
      <c r="L1855" s="2764">
        <f t="shared" si="347"/>
        <v>0</v>
      </c>
      <c r="M1855" s="2764">
        <f t="shared" si="347"/>
        <v>0</v>
      </c>
      <c r="N1855" s="2764">
        <f t="shared" si="347"/>
        <v>0</v>
      </c>
      <c r="O1855" s="2764">
        <f t="shared" si="347"/>
        <v>0</v>
      </c>
      <c r="P1855" s="2772"/>
    </row>
    <row r="1856" spans="1:19" s="2731" customFormat="1" ht="13.8" customHeight="1">
      <c r="A1856" s="2732" t="str">
        <f t="shared" si="346"/>
        <v/>
      </c>
      <c r="B1856" s="2733"/>
      <c r="C1856" s="2716">
        <f>IF(G1856&gt;0,C1843+1,C1843)</f>
        <v>0</v>
      </c>
      <c r="D1856" s="2734"/>
      <c r="E1856" s="2718" t="s">
        <v>6332</v>
      </c>
      <c r="F1856" s="2719" t="s">
        <v>2538</v>
      </c>
      <c r="G1856" s="2743"/>
      <c r="H1856" s="2722"/>
      <c r="I1856" s="2722"/>
      <c r="J1856" s="2735"/>
      <c r="K1856" s="2735"/>
      <c r="L1856" s="2725">
        <f t="shared" si="347"/>
        <v>0</v>
      </c>
      <c r="M1856" s="2725">
        <f t="shared" si="347"/>
        <v>0</v>
      </c>
      <c r="N1856" s="2725">
        <f t="shared" si="347"/>
        <v>0</v>
      </c>
      <c r="O1856" s="2725">
        <f t="shared" si="347"/>
        <v>0</v>
      </c>
      <c r="P1856" s="2736"/>
    </row>
    <row r="1857" spans="1:19" s="2767" customFormat="1" ht="14.4" customHeight="1">
      <c r="A1857" s="2758" t="str">
        <f>A1856</f>
        <v/>
      </c>
      <c r="B1857" s="2759"/>
      <c r="C1857" s="2774"/>
      <c r="D1857" s="797"/>
      <c r="E1857" s="2761" t="s">
        <v>2285</v>
      </c>
      <c r="F1857" s="2775"/>
      <c r="G1857" s="2776"/>
      <c r="H1857" s="2774"/>
      <c r="I1857" s="2774"/>
      <c r="J1857" s="2778"/>
      <c r="K1857" s="2774"/>
      <c r="L1857" s="2777"/>
      <c r="M1857" s="2777"/>
      <c r="N1857" s="2777"/>
      <c r="O1857" s="2777"/>
      <c r="P1857" s="2778"/>
    </row>
    <row r="1858" spans="1:19" s="2767" customFormat="1" ht="13.8" customHeight="1">
      <c r="A1858" s="2758" t="str">
        <f t="shared" ref="A1858:A1869" si="348">IF(G1858=0,"",1)</f>
        <v/>
      </c>
      <c r="B1858" s="2768" t="s">
        <v>5349</v>
      </c>
      <c r="C1858" s="113"/>
      <c r="D1858" s="797"/>
      <c r="E1858" s="2769" t="s">
        <v>5350</v>
      </c>
      <c r="F1858" s="797" t="s">
        <v>856</v>
      </c>
      <c r="G1858" s="2770">
        <f>0.275*G1856</f>
        <v>0</v>
      </c>
      <c r="H1858" s="115">
        <v>100000</v>
      </c>
      <c r="I1858" s="2773"/>
      <c r="J1858" s="115">
        <v>0</v>
      </c>
      <c r="K1858" s="115">
        <v>0</v>
      </c>
      <c r="L1858" s="2764">
        <f t="shared" ref="L1858:O1869" si="349">H1858*$G1858</f>
        <v>0</v>
      </c>
      <c r="M1858" s="2764">
        <f t="shared" si="349"/>
        <v>0</v>
      </c>
      <c r="N1858" s="2764">
        <f t="shared" si="349"/>
        <v>0</v>
      </c>
      <c r="O1858" s="2764">
        <f t="shared" si="349"/>
        <v>0</v>
      </c>
      <c r="P1858" s="2772"/>
    </row>
    <row r="1859" spans="1:19" s="2767" customFormat="1" ht="13.8" customHeight="1">
      <c r="A1859" s="2758" t="str">
        <f t="shared" si="348"/>
        <v/>
      </c>
      <c r="B1859" s="2738" t="s">
        <v>520</v>
      </c>
      <c r="C1859" s="113"/>
      <c r="D1859" s="797"/>
      <c r="E1859" s="2769" t="s">
        <v>3020</v>
      </c>
      <c r="F1859" s="797" t="s">
        <v>856</v>
      </c>
      <c r="G1859" s="2770"/>
      <c r="H1859" s="115">
        <v>295000</v>
      </c>
      <c r="I1859" s="2773"/>
      <c r="J1859" s="115">
        <v>0</v>
      </c>
      <c r="K1859" s="115">
        <v>0</v>
      </c>
      <c r="L1859" s="2764">
        <f t="shared" si="349"/>
        <v>0</v>
      </c>
      <c r="M1859" s="2764">
        <f t="shared" si="349"/>
        <v>0</v>
      </c>
      <c r="N1859" s="2764">
        <f t="shared" si="349"/>
        <v>0</v>
      </c>
      <c r="O1859" s="2764">
        <f t="shared" si="349"/>
        <v>0</v>
      </c>
      <c r="P1859" s="2772"/>
    </row>
    <row r="1860" spans="1:19" s="2767" customFormat="1" ht="13.8" customHeight="1">
      <c r="A1860" s="2758" t="str">
        <f>IF(G1860=0,"",1)</f>
        <v/>
      </c>
      <c r="B1860" s="2738" t="s">
        <v>754</v>
      </c>
      <c r="C1860" s="113"/>
      <c r="D1860" s="797"/>
      <c r="E1860" s="2769" t="s">
        <v>3021</v>
      </c>
      <c r="F1860" s="797" t="s">
        <v>856</v>
      </c>
      <c r="G1860" s="2770"/>
      <c r="H1860" s="115">
        <v>265000</v>
      </c>
      <c r="I1860" s="2773"/>
      <c r="J1860" s="115">
        <v>0</v>
      </c>
      <c r="K1860" s="115">
        <v>0</v>
      </c>
      <c r="L1860" s="2764">
        <f>H1860*$G1860</f>
        <v>0</v>
      </c>
      <c r="M1860" s="2764">
        <f>I1860*$G1860</f>
        <v>0</v>
      </c>
      <c r="N1860" s="2764">
        <f>J1860*$G1860</f>
        <v>0</v>
      </c>
      <c r="O1860" s="2764">
        <f>K1860*$G1860</f>
        <v>0</v>
      </c>
      <c r="P1860" s="2772"/>
    </row>
    <row r="1861" spans="1:19" s="2767" customFormat="1" ht="13.8" customHeight="1">
      <c r="A1861" s="2758" t="str">
        <f t="shared" si="348"/>
        <v/>
      </c>
      <c r="B1861" s="2738" t="s">
        <v>1110</v>
      </c>
      <c r="C1861" s="113"/>
      <c r="D1861" s="797"/>
      <c r="E1861" s="2769" t="s">
        <v>2878</v>
      </c>
      <c r="F1861" s="797" t="s">
        <v>856</v>
      </c>
      <c r="G1861" s="2770"/>
      <c r="H1861" s="115">
        <v>732002</v>
      </c>
      <c r="I1861" s="2773"/>
      <c r="J1861" s="115">
        <v>0</v>
      </c>
      <c r="K1861" s="115">
        <v>0</v>
      </c>
      <c r="L1861" s="2764">
        <f t="shared" si="349"/>
        <v>0</v>
      </c>
      <c r="M1861" s="2764">
        <f t="shared" si="349"/>
        <v>0</v>
      </c>
      <c r="N1861" s="2764">
        <f t="shared" si="349"/>
        <v>0</v>
      </c>
      <c r="O1861" s="2764">
        <f t="shared" si="349"/>
        <v>0</v>
      </c>
      <c r="P1861" s="2772"/>
    </row>
    <row r="1862" spans="1:19" s="2767" customFormat="1" ht="13.8" customHeight="1">
      <c r="A1862" s="2758" t="str">
        <f t="shared" si="348"/>
        <v/>
      </c>
      <c r="B1862" s="2738" t="s">
        <v>1679</v>
      </c>
      <c r="C1862" s="113"/>
      <c r="D1862" s="797"/>
      <c r="E1862" s="2769" t="s">
        <v>3025</v>
      </c>
      <c r="F1862" s="797" t="s">
        <v>3024</v>
      </c>
      <c r="G1862" s="2770">
        <f>3.3*G1856</f>
        <v>0</v>
      </c>
      <c r="H1862" s="115">
        <v>7000</v>
      </c>
      <c r="I1862" s="2773"/>
      <c r="J1862" s="115">
        <v>0</v>
      </c>
      <c r="K1862" s="115">
        <v>0</v>
      </c>
      <c r="L1862" s="2764">
        <f t="shared" si="349"/>
        <v>0</v>
      </c>
      <c r="M1862" s="2764">
        <f t="shared" si="349"/>
        <v>0</v>
      </c>
      <c r="N1862" s="2764">
        <f t="shared" si="349"/>
        <v>0</v>
      </c>
      <c r="O1862" s="2764">
        <f t="shared" si="349"/>
        <v>0</v>
      </c>
      <c r="P1862" s="2772"/>
    </row>
    <row r="1863" spans="1:19" s="2767" customFormat="1" ht="13.8" customHeight="1">
      <c r="A1863" s="2758" t="str">
        <f t="shared" si="348"/>
        <v/>
      </c>
      <c r="B1863" s="2738" t="s">
        <v>1680</v>
      </c>
      <c r="C1863" s="113"/>
      <c r="D1863" s="797"/>
      <c r="E1863" s="2769" t="s">
        <v>3029</v>
      </c>
      <c r="F1863" s="797" t="s">
        <v>1964</v>
      </c>
      <c r="G1863" s="2770">
        <f>0.3*G1856</f>
        <v>0</v>
      </c>
      <c r="H1863" s="115">
        <v>10000</v>
      </c>
      <c r="I1863" s="2773"/>
      <c r="J1863" s="115">
        <v>1187.155</v>
      </c>
      <c r="K1863" s="115">
        <v>0</v>
      </c>
      <c r="L1863" s="2764">
        <f t="shared" si="349"/>
        <v>0</v>
      </c>
      <c r="M1863" s="2764">
        <f t="shared" si="349"/>
        <v>0</v>
      </c>
      <c r="N1863" s="2764">
        <f t="shared" si="349"/>
        <v>0</v>
      </c>
      <c r="O1863" s="2764">
        <f t="shared" si="349"/>
        <v>0</v>
      </c>
      <c r="P1863" s="2772"/>
    </row>
    <row r="1864" spans="1:19" s="2767" customFormat="1" ht="13.8" customHeight="1">
      <c r="A1864" s="2758" t="str">
        <f t="shared" si="348"/>
        <v/>
      </c>
      <c r="B1864" s="2738" t="s">
        <v>1042</v>
      </c>
      <c r="C1864" s="113"/>
      <c r="D1864" s="797">
        <v>0</v>
      </c>
      <c r="E1864" s="2769" t="s">
        <v>3549</v>
      </c>
      <c r="F1864" s="797" t="s">
        <v>1827</v>
      </c>
      <c r="G1864" s="2770">
        <f>1*G1856</f>
        <v>0</v>
      </c>
      <c r="H1864" s="115">
        <v>103700</v>
      </c>
      <c r="I1864" s="2773"/>
      <c r="J1864" s="115">
        <v>0</v>
      </c>
      <c r="K1864" s="115">
        <v>0</v>
      </c>
      <c r="L1864" s="2764">
        <f t="shared" si="349"/>
        <v>0</v>
      </c>
      <c r="M1864" s="2764">
        <f t="shared" si="349"/>
        <v>0</v>
      </c>
      <c r="N1864" s="2764">
        <f t="shared" si="349"/>
        <v>0</v>
      </c>
      <c r="O1864" s="2764">
        <f t="shared" si="349"/>
        <v>0</v>
      </c>
      <c r="P1864" s="2772"/>
    </row>
    <row r="1865" spans="1:19" s="2767" customFormat="1" ht="13.8" customHeight="1">
      <c r="A1865" s="2758" t="str">
        <f t="shared" si="348"/>
        <v/>
      </c>
      <c r="B1865" s="2738" t="s">
        <v>6331</v>
      </c>
      <c r="C1865" s="113"/>
      <c r="D1865" s="797" t="s">
        <v>5405</v>
      </c>
      <c r="E1865" s="2769" t="s">
        <v>3091</v>
      </c>
      <c r="F1865" s="797" t="s">
        <v>3024</v>
      </c>
      <c r="G1865" s="2770">
        <f>G1862</f>
        <v>0</v>
      </c>
      <c r="H1865" s="115">
        <v>0</v>
      </c>
      <c r="I1865" s="2771"/>
      <c r="J1865" s="115">
        <v>916.64</v>
      </c>
      <c r="K1865" s="115">
        <v>0</v>
      </c>
      <c r="L1865" s="2764">
        <f t="shared" si="349"/>
        <v>0</v>
      </c>
      <c r="M1865" s="2765">
        <f t="shared" si="349"/>
        <v>0</v>
      </c>
      <c r="N1865" s="2764">
        <f t="shared" si="349"/>
        <v>0</v>
      </c>
      <c r="O1865" s="2764">
        <f t="shared" si="349"/>
        <v>0</v>
      </c>
      <c r="P1865" s="2772"/>
    </row>
    <row r="1866" spans="1:19" s="2767" customFormat="1" ht="13.8" customHeight="1">
      <c r="A1866" s="2758" t="str">
        <f>IF(G1866=0,"",1)</f>
        <v/>
      </c>
      <c r="B1866" s="2738" t="s">
        <v>6333</v>
      </c>
      <c r="C1866" s="113"/>
      <c r="D1866" s="797" t="s">
        <v>5642</v>
      </c>
      <c r="E1866" s="2769" t="s">
        <v>5643</v>
      </c>
      <c r="F1866" s="797" t="s">
        <v>856</v>
      </c>
      <c r="G1866" s="2770"/>
      <c r="H1866" s="115"/>
      <c r="I1866" s="2773"/>
      <c r="J1866" s="115">
        <v>0</v>
      </c>
      <c r="K1866" s="115">
        <v>0</v>
      </c>
      <c r="L1866" s="2764">
        <f>H1866*$G1866</f>
        <v>0</v>
      </c>
      <c r="M1866" s="2764">
        <f>I1866*$G1866</f>
        <v>0</v>
      </c>
      <c r="N1866" s="2764">
        <f>J1866*$G1866</f>
        <v>0</v>
      </c>
      <c r="O1866" s="2764">
        <f>K1866*$G1866</f>
        <v>0</v>
      </c>
      <c r="P1866" s="2772"/>
    </row>
    <row r="1867" spans="1:19" s="2767" customFormat="1" ht="13.8" customHeight="1">
      <c r="A1867" s="2758" t="str">
        <f t="shared" si="348"/>
        <v/>
      </c>
      <c r="B1867" s="2738" t="s">
        <v>1682</v>
      </c>
      <c r="C1867" s="113"/>
      <c r="D1867" s="797" t="s">
        <v>5395</v>
      </c>
      <c r="E1867" s="2769" t="s">
        <v>6445</v>
      </c>
      <c r="F1867" s="797" t="s">
        <v>856</v>
      </c>
      <c r="G1867" s="2770">
        <f>G1858+G1859+G1860</f>
        <v>0</v>
      </c>
      <c r="H1867" s="115"/>
      <c r="I1867" s="2773"/>
      <c r="J1867" s="115">
        <v>315277.5</v>
      </c>
      <c r="K1867" s="115">
        <v>0</v>
      </c>
      <c r="L1867" s="2764">
        <f t="shared" si="349"/>
        <v>0</v>
      </c>
      <c r="M1867" s="2764">
        <f t="shared" si="349"/>
        <v>0</v>
      </c>
      <c r="N1867" s="2764">
        <f t="shared" si="349"/>
        <v>0</v>
      </c>
      <c r="O1867" s="2764">
        <f t="shared" si="349"/>
        <v>0</v>
      </c>
      <c r="P1867" s="2772"/>
    </row>
    <row r="1868" spans="1:19" s="2767" customFormat="1" ht="13.8" customHeight="1">
      <c r="A1868" s="2758" t="str">
        <f t="shared" si="348"/>
        <v/>
      </c>
      <c r="B1868" s="2738" t="s">
        <v>144</v>
      </c>
      <c r="C1868" s="113"/>
      <c r="D1868" s="797" t="s">
        <v>5389</v>
      </c>
      <c r="E1868" s="2769" t="s">
        <v>5390</v>
      </c>
      <c r="F1868" s="797" t="s">
        <v>856</v>
      </c>
      <c r="G1868" s="2770">
        <f>0.496*G1856</f>
        <v>0</v>
      </c>
      <c r="H1868" s="115"/>
      <c r="I1868" s="2773"/>
      <c r="J1868" s="115">
        <v>640731.36</v>
      </c>
      <c r="K1868" s="115">
        <v>0</v>
      </c>
      <c r="L1868" s="2764">
        <f t="shared" si="349"/>
        <v>0</v>
      </c>
      <c r="M1868" s="2764">
        <f t="shared" si="349"/>
        <v>0</v>
      </c>
      <c r="N1868" s="2764">
        <f t="shared" si="349"/>
        <v>0</v>
      </c>
      <c r="O1868" s="2764">
        <f t="shared" si="349"/>
        <v>0</v>
      </c>
      <c r="P1868" s="2772"/>
    </row>
    <row r="1869" spans="1:19" s="2767" customFormat="1" ht="13.8" customHeight="1">
      <c r="A1869" s="2758" t="str">
        <f t="shared" si="348"/>
        <v/>
      </c>
      <c r="B1869" s="2738" t="s">
        <v>1217</v>
      </c>
      <c r="C1869" s="113"/>
      <c r="D1869" s="797" t="s">
        <v>2037</v>
      </c>
      <c r="E1869" s="2769" t="s">
        <v>2880</v>
      </c>
      <c r="F1869" s="797" t="s">
        <v>1964</v>
      </c>
      <c r="G1869" s="2770"/>
      <c r="H1869" s="115"/>
      <c r="I1869" s="2773"/>
      <c r="J1869" s="115">
        <v>338</v>
      </c>
      <c r="K1869" s="115">
        <v>1269</v>
      </c>
      <c r="L1869" s="2764">
        <f t="shared" si="349"/>
        <v>0</v>
      </c>
      <c r="M1869" s="2764">
        <f t="shared" si="349"/>
        <v>0</v>
      </c>
      <c r="N1869" s="2764">
        <f t="shared" si="349"/>
        <v>0</v>
      </c>
      <c r="O1869" s="2764">
        <f t="shared" si="349"/>
        <v>0</v>
      </c>
      <c r="P1869" s="2772"/>
    </row>
    <row r="1870" spans="1:19" s="2358" customFormat="1" outlineLevel="1">
      <c r="A1870" s="2435" t="str">
        <f>IF(G1870&lt;&gt;0,1,"")</f>
        <v/>
      </c>
      <c r="B1870" s="2514"/>
      <c r="C1870" s="2511">
        <f>IF(G1870&gt;0,C1856+1,C1856)</f>
        <v>0</v>
      </c>
      <c r="D1870" s="2512"/>
      <c r="E1870" s="2513" t="s">
        <v>3726</v>
      </c>
      <c r="F1870" s="2511" t="s">
        <v>2391</v>
      </c>
      <c r="G1870" s="2704">
        <f>G1664*0</f>
        <v>0</v>
      </c>
      <c r="H1870" s="2517"/>
      <c r="I1870" s="2517"/>
      <c r="J1870" s="2517"/>
      <c r="K1870" s="2517"/>
      <c r="L1870" s="2517"/>
      <c r="M1870" s="2517"/>
      <c r="N1870" s="2517"/>
      <c r="O1870" s="2517"/>
      <c r="P1870" s="2518"/>
      <c r="Q1870" s="2519"/>
      <c r="R1870" s="2519"/>
      <c r="S1870" s="2519"/>
    </row>
    <row r="1871" spans="1:19" s="2358" customFormat="1" ht="14.4" outlineLevel="1">
      <c r="A1871" s="2435" t="str">
        <f>A1870</f>
        <v/>
      </c>
      <c r="B1871" s="2514"/>
      <c r="C1871" s="2511"/>
      <c r="D1871" s="2512"/>
      <c r="E1871" s="2527" t="s">
        <v>6207</v>
      </c>
      <c r="F1871" s="2511"/>
      <c r="G1871" s="2704"/>
      <c r="H1871" s="2517"/>
      <c r="I1871" s="2517"/>
      <c r="J1871" s="2517"/>
      <c r="K1871" s="2517"/>
      <c r="L1871" s="2517"/>
      <c r="M1871" s="2517"/>
      <c r="N1871" s="2517"/>
      <c r="O1871" s="2517"/>
      <c r="P1871" s="2518"/>
      <c r="Q1871" s="2519"/>
      <c r="R1871" s="2519"/>
      <c r="S1871" s="2519"/>
    </row>
    <row r="1872" spans="1:19" s="2358" customFormat="1" outlineLevel="1">
      <c r="A1872" s="2435" t="str">
        <f>IF(G1872&lt;&gt;0,1,"")</f>
        <v/>
      </c>
      <c r="B1872" s="2514" t="s">
        <v>1492</v>
      </c>
      <c r="C1872" s="2521"/>
      <c r="D1872" s="2405">
        <v>0</v>
      </c>
      <c r="E1872" s="2447" t="s">
        <v>3550</v>
      </c>
      <c r="F1872" s="2405" t="s">
        <v>1827</v>
      </c>
      <c r="G1872" s="2703">
        <f>G1870*2</f>
        <v>0</v>
      </c>
      <c r="H1872" s="2517">
        <v>63200</v>
      </c>
      <c r="I1872" s="2517"/>
      <c r="J1872" s="2517">
        <v>0</v>
      </c>
      <c r="K1872" s="2517">
        <v>0</v>
      </c>
      <c r="L1872" s="2517">
        <f>H1872*G1872</f>
        <v>0</v>
      </c>
      <c r="M1872" s="2517">
        <f>I1872*G1872</f>
        <v>0</v>
      </c>
      <c r="N1872" s="2517">
        <f>J1872*G1872</f>
        <v>0</v>
      </c>
      <c r="O1872" s="2517">
        <f>K1872*G1872</f>
        <v>0</v>
      </c>
      <c r="P1872" s="2518"/>
      <c r="Q1872" s="2519"/>
      <c r="R1872" s="2519"/>
      <c r="S1872" s="2519"/>
    </row>
    <row r="1873" spans="1:16381" s="2358" customFormat="1" outlineLevel="1">
      <c r="A1873" s="2435" t="str">
        <f>IF(G1873&lt;&gt;0,1,"")</f>
        <v/>
      </c>
      <c r="B1873" s="2514" t="s">
        <v>86</v>
      </c>
      <c r="C1873" s="2521"/>
      <c r="D1873" s="2405">
        <v>0</v>
      </c>
      <c r="E1873" s="2447" t="s">
        <v>5859</v>
      </c>
      <c r="F1873" s="2405" t="s">
        <v>2563</v>
      </c>
      <c r="G1873" s="2703">
        <f>G1870</f>
        <v>0</v>
      </c>
      <c r="H1873" s="2517">
        <v>45400</v>
      </c>
      <c r="I1873" s="2517"/>
      <c r="J1873" s="2517">
        <v>0</v>
      </c>
      <c r="K1873" s="2517">
        <v>0</v>
      </c>
      <c r="L1873" s="2517">
        <f>H1873*G1873</f>
        <v>0</v>
      </c>
      <c r="M1873" s="2517">
        <f>I1873*G1873</f>
        <v>0</v>
      </c>
      <c r="N1873" s="2517">
        <f>J1873*G1873</f>
        <v>0</v>
      </c>
      <c r="O1873" s="2517">
        <f>K1873*G1873</f>
        <v>0</v>
      </c>
      <c r="P1873" s="2518"/>
      <c r="Q1873" s="2519"/>
      <c r="R1873" s="2519"/>
      <c r="S1873" s="2519"/>
    </row>
    <row r="1874" spans="1:16381" s="2358" customFormat="1" outlineLevel="1">
      <c r="A1874" s="2435" t="str">
        <f>IF(G1874&lt;&gt;0,1,"")</f>
        <v/>
      </c>
      <c r="B1874" s="2514" t="s">
        <v>931</v>
      </c>
      <c r="C1874" s="2521"/>
      <c r="D1874" s="2405">
        <v>0</v>
      </c>
      <c r="E1874" s="2447" t="s">
        <v>3592</v>
      </c>
      <c r="F1874" s="2405" t="s">
        <v>2563</v>
      </c>
      <c r="G1874" s="2703">
        <f>G1870*2</f>
        <v>0</v>
      </c>
      <c r="H1874" s="2517">
        <v>25800</v>
      </c>
      <c r="I1874" s="2517"/>
      <c r="J1874" s="2517">
        <v>0</v>
      </c>
      <c r="K1874" s="2517">
        <v>0</v>
      </c>
      <c r="L1874" s="2517">
        <f>H1874*G1874</f>
        <v>0</v>
      </c>
      <c r="M1874" s="2517">
        <f>I1874*G1874</f>
        <v>0</v>
      </c>
      <c r="N1874" s="2517">
        <f>J1874*G1874</f>
        <v>0</v>
      </c>
      <c r="O1874" s="2517">
        <f>K1874*G1874</f>
        <v>0</v>
      </c>
      <c r="P1874" s="2518"/>
      <c r="Q1874" s="2519"/>
      <c r="R1874" s="2519"/>
      <c r="S1874" s="2519"/>
    </row>
    <row r="1875" spans="1:16381" s="2358" customFormat="1" outlineLevel="1">
      <c r="A1875" s="2435" t="str">
        <f>IF(G1875&lt;&gt;0,1,"")</f>
        <v/>
      </c>
      <c r="B1875" s="2514" t="s">
        <v>930</v>
      </c>
      <c r="C1875" s="2521"/>
      <c r="D1875" s="2405">
        <v>0</v>
      </c>
      <c r="E1875" s="2447" t="s">
        <v>3596</v>
      </c>
      <c r="F1875" s="2405" t="s">
        <v>2563</v>
      </c>
      <c r="G1875" s="2703">
        <f>G1874</f>
        <v>0</v>
      </c>
      <c r="H1875" s="2517">
        <v>21500</v>
      </c>
      <c r="I1875" s="2517"/>
      <c r="J1875" s="2517">
        <v>0</v>
      </c>
      <c r="K1875" s="2517">
        <v>0</v>
      </c>
      <c r="L1875" s="2517">
        <f>H1875*G1875</f>
        <v>0</v>
      </c>
      <c r="M1875" s="2517">
        <f>I1875*G1875</f>
        <v>0</v>
      </c>
      <c r="N1875" s="2517">
        <f>J1875*G1875</f>
        <v>0</v>
      </c>
      <c r="O1875" s="2517">
        <f>K1875*G1875</f>
        <v>0</v>
      </c>
      <c r="P1875" s="2518"/>
      <c r="Q1875" s="2519"/>
      <c r="R1875" s="2519"/>
      <c r="S1875" s="2519"/>
    </row>
    <row r="1876" spans="1:16381" s="2358" customFormat="1" outlineLevel="1">
      <c r="A1876" s="2727" t="str">
        <f>IF(G1876&lt;&gt;0,1,"")</f>
        <v/>
      </c>
      <c r="B1876" s="2728"/>
      <c r="C1876" s="2716">
        <f>IF(G1876&gt;0,C1870+1,C1870)</f>
        <v>0</v>
      </c>
      <c r="D1876" s="2717"/>
      <c r="E1876" s="2718" t="s">
        <v>3760</v>
      </c>
      <c r="F1876" s="2719" t="s">
        <v>2391</v>
      </c>
      <c r="G1876" s="2720">
        <f>G1776</f>
        <v>0</v>
      </c>
      <c r="H1876" s="2721"/>
      <c r="I1876" s="2723"/>
      <c r="J1876" s="2723"/>
      <c r="K1876" s="2724"/>
      <c r="L1876" s="2724"/>
      <c r="M1876" s="2724"/>
      <c r="N1876" s="2729"/>
      <c r="O1876" s="2725"/>
      <c r="P1876" s="2736"/>
      <c r="Q1876" s="2730"/>
      <c r="R1876" s="2730"/>
      <c r="S1876" s="2730"/>
      <c r="T1876" s="2730"/>
      <c r="U1876" s="2730"/>
      <c r="V1876" s="2730"/>
      <c r="W1876" s="2730"/>
      <c r="X1876" s="2730"/>
      <c r="Y1876" s="2730"/>
      <c r="Z1876" s="2730"/>
      <c r="AA1876" s="2730"/>
      <c r="AB1876" s="2730"/>
      <c r="AC1876" s="2730"/>
      <c r="AD1876" s="2730"/>
      <c r="AE1876" s="2730"/>
      <c r="AF1876" s="2730"/>
      <c r="AG1876" s="2730"/>
      <c r="AH1876" s="2730"/>
      <c r="AI1876" s="2730"/>
      <c r="AJ1876" s="2730"/>
      <c r="AK1876" s="2730"/>
      <c r="AL1876" s="2730"/>
      <c r="AM1876" s="2730"/>
      <c r="AN1876" s="2730"/>
      <c r="AO1876" s="2730"/>
      <c r="AP1876" s="2730"/>
      <c r="AQ1876" s="2730"/>
      <c r="AR1876" s="2730"/>
      <c r="AS1876" s="2730"/>
      <c r="AT1876" s="2730"/>
      <c r="AU1876" s="2730"/>
      <c r="AV1876" s="2730"/>
      <c r="AW1876" s="2730"/>
      <c r="AX1876" s="2730"/>
      <c r="AY1876" s="2730"/>
      <c r="AZ1876" s="2730"/>
      <c r="BA1876" s="2730"/>
      <c r="BB1876" s="2730"/>
      <c r="BC1876" s="2730"/>
      <c r="BD1876" s="2730"/>
      <c r="BE1876" s="2730"/>
      <c r="BF1876" s="2730"/>
      <c r="BG1876" s="2730"/>
      <c r="BH1876" s="2730"/>
      <c r="BI1876" s="2730"/>
      <c r="BJ1876" s="2730"/>
      <c r="BK1876" s="2730"/>
      <c r="BL1876" s="2730"/>
      <c r="BM1876" s="2730"/>
      <c r="BN1876" s="2730"/>
      <c r="BO1876" s="2730"/>
      <c r="BP1876" s="2730"/>
      <c r="BQ1876" s="2730"/>
      <c r="BR1876" s="2730"/>
      <c r="BS1876" s="2730"/>
      <c r="BT1876" s="2730"/>
      <c r="BU1876" s="2730"/>
      <c r="BV1876" s="2730"/>
      <c r="BW1876" s="2730"/>
      <c r="BX1876" s="2730"/>
      <c r="BY1876" s="2730"/>
      <c r="BZ1876" s="2730"/>
      <c r="CA1876" s="2730"/>
      <c r="CB1876" s="2730"/>
      <c r="CC1876" s="2730"/>
      <c r="CD1876" s="2730"/>
      <c r="CE1876" s="2730"/>
      <c r="CF1876" s="2730"/>
      <c r="CG1876" s="2730"/>
      <c r="CH1876" s="2730"/>
      <c r="CI1876" s="2730"/>
      <c r="CJ1876" s="2730"/>
      <c r="CK1876" s="2730"/>
      <c r="CL1876" s="2730"/>
      <c r="CM1876" s="2730"/>
      <c r="CN1876" s="2730"/>
      <c r="CO1876" s="2730"/>
      <c r="CP1876" s="2730"/>
      <c r="CQ1876" s="2730"/>
      <c r="CR1876" s="2730"/>
      <c r="CS1876" s="2730"/>
      <c r="CT1876" s="2730"/>
      <c r="CU1876" s="2730"/>
      <c r="CV1876" s="2730"/>
      <c r="CW1876" s="2730"/>
      <c r="CX1876" s="2730"/>
      <c r="CY1876" s="2730"/>
      <c r="CZ1876" s="2730"/>
      <c r="DA1876" s="2730"/>
      <c r="DB1876" s="2730"/>
      <c r="DC1876" s="2730"/>
      <c r="DD1876" s="2730"/>
      <c r="DE1876" s="2730"/>
      <c r="DF1876" s="2730"/>
      <c r="DG1876" s="2730"/>
      <c r="DH1876" s="2730"/>
      <c r="DI1876" s="2730"/>
      <c r="DJ1876" s="2730"/>
      <c r="DK1876" s="2730"/>
      <c r="DL1876" s="2730"/>
      <c r="DM1876" s="2730"/>
      <c r="DN1876" s="2730"/>
      <c r="DO1876" s="2730"/>
      <c r="DP1876" s="2730"/>
      <c r="DQ1876" s="2730"/>
      <c r="DR1876" s="2730"/>
      <c r="DS1876" s="2730"/>
      <c r="DT1876" s="2730"/>
      <c r="DU1876" s="2730"/>
      <c r="DV1876" s="2730"/>
      <c r="DW1876" s="2730"/>
      <c r="DX1876" s="2730"/>
      <c r="DY1876" s="2730"/>
      <c r="DZ1876" s="2730"/>
      <c r="EA1876" s="2730"/>
      <c r="EB1876" s="2730"/>
      <c r="EC1876" s="2730"/>
      <c r="ED1876" s="2730"/>
      <c r="EE1876" s="2730"/>
      <c r="EF1876" s="2730"/>
      <c r="EG1876" s="2730"/>
      <c r="EH1876" s="2730"/>
      <c r="EI1876" s="2730"/>
      <c r="EJ1876" s="2730"/>
      <c r="EK1876" s="2730"/>
      <c r="EL1876" s="2730"/>
      <c r="EM1876" s="2730"/>
      <c r="EN1876" s="2730"/>
      <c r="EO1876" s="2730"/>
      <c r="EP1876" s="2730"/>
      <c r="EQ1876" s="2730"/>
      <c r="ER1876" s="2730"/>
      <c r="ES1876" s="2730"/>
      <c r="ET1876" s="2730"/>
      <c r="EU1876" s="2730"/>
      <c r="EV1876" s="2730"/>
      <c r="EW1876" s="2730"/>
      <c r="EX1876" s="2730"/>
      <c r="EY1876" s="2730"/>
      <c r="EZ1876" s="2730"/>
      <c r="FA1876" s="2730"/>
      <c r="FB1876" s="2730"/>
      <c r="FC1876" s="2730"/>
      <c r="FD1876" s="2730"/>
      <c r="FE1876" s="2730"/>
      <c r="FF1876" s="2730"/>
      <c r="FG1876" s="2730"/>
      <c r="FH1876" s="2730"/>
      <c r="FI1876" s="2730"/>
      <c r="FJ1876" s="2730"/>
      <c r="FK1876" s="2730"/>
      <c r="FL1876" s="2730"/>
      <c r="FM1876" s="2730"/>
      <c r="FN1876" s="2730"/>
      <c r="FO1876" s="2730"/>
      <c r="FP1876" s="2730"/>
      <c r="FQ1876" s="2730"/>
      <c r="FR1876" s="2730"/>
      <c r="FS1876" s="2730"/>
      <c r="FT1876" s="2730"/>
      <c r="FU1876" s="2730"/>
      <c r="FV1876" s="2730"/>
      <c r="FW1876" s="2730"/>
      <c r="FX1876" s="2730"/>
      <c r="FY1876" s="2730"/>
      <c r="FZ1876" s="2730"/>
      <c r="GA1876" s="2730"/>
      <c r="GB1876" s="2730"/>
      <c r="GC1876" s="2730"/>
      <c r="GD1876" s="2730"/>
      <c r="GE1876" s="2730"/>
      <c r="GF1876" s="2730"/>
      <c r="GG1876" s="2730"/>
      <c r="GH1876" s="2730"/>
      <c r="GI1876" s="2730"/>
      <c r="GJ1876" s="2730"/>
      <c r="GK1876" s="2730"/>
      <c r="GL1876" s="2730"/>
      <c r="GM1876" s="2730"/>
      <c r="GN1876" s="2730"/>
      <c r="GO1876" s="2730"/>
      <c r="GP1876" s="2730"/>
      <c r="GQ1876" s="2730"/>
      <c r="GR1876" s="2730"/>
      <c r="GS1876" s="2730"/>
      <c r="GT1876" s="2730"/>
      <c r="GU1876" s="2730"/>
      <c r="GV1876" s="2730"/>
      <c r="GW1876" s="2730"/>
      <c r="GX1876" s="2730"/>
      <c r="GY1876" s="2730"/>
      <c r="GZ1876" s="2730"/>
      <c r="HA1876" s="2730"/>
      <c r="HB1876" s="2730"/>
      <c r="HC1876" s="2730"/>
      <c r="HD1876" s="2730"/>
      <c r="HE1876" s="2730"/>
      <c r="HF1876" s="2730"/>
      <c r="HG1876" s="2730"/>
      <c r="HH1876" s="2730"/>
      <c r="HI1876" s="2730"/>
      <c r="HJ1876" s="2730"/>
      <c r="HK1876" s="2730"/>
      <c r="HL1876" s="2730"/>
      <c r="HM1876" s="2730"/>
      <c r="HN1876" s="2730"/>
      <c r="HO1876" s="2730"/>
      <c r="HP1876" s="2730"/>
      <c r="HQ1876" s="2730"/>
      <c r="HR1876" s="2730"/>
      <c r="HS1876" s="2730"/>
      <c r="HT1876" s="2730"/>
      <c r="HU1876" s="2730"/>
      <c r="HV1876" s="2730"/>
      <c r="HW1876" s="2730"/>
      <c r="HX1876" s="2730"/>
      <c r="HY1876" s="2730"/>
      <c r="HZ1876" s="2730"/>
      <c r="IA1876" s="2730"/>
      <c r="IB1876" s="2730"/>
      <c r="IC1876" s="2730"/>
      <c r="ID1876" s="2730"/>
      <c r="IE1876" s="2730"/>
      <c r="IF1876" s="2730"/>
      <c r="IG1876" s="2730"/>
      <c r="IH1876" s="2730"/>
      <c r="II1876" s="2730"/>
      <c r="IJ1876" s="2730"/>
      <c r="IK1876" s="2730"/>
      <c r="IL1876" s="2730"/>
      <c r="IM1876" s="2730"/>
      <c r="IN1876" s="2730"/>
      <c r="IO1876" s="2730"/>
      <c r="IP1876" s="2730"/>
      <c r="IQ1876" s="2730"/>
      <c r="IR1876" s="2730"/>
      <c r="IS1876" s="2730"/>
      <c r="IT1876" s="2730"/>
      <c r="IU1876" s="2730"/>
      <c r="IV1876" s="2730"/>
      <c r="IW1876" s="2730"/>
      <c r="IX1876" s="2730"/>
      <c r="IY1876" s="2730"/>
      <c r="IZ1876" s="2730"/>
      <c r="JA1876" s="2730"/>
      <c r="JB1876" s="2730"/>
      <c r="JC1876" s="2730"/>
      <c r="JD1876" s="2730"/>
      <c r="JE1876" s="2730"/>
      <c r="JF1876" s="2730"/>
      <c r="JG1876" s="2730"/>
      <c r="JH1876" s="2730"/>
      <c r="JI1876" s="2730"/>
      <c r="JJ1876" s="2730"/>
      <c r="JK1876" s="2730"/>
      <c r="JL1876" s="2730"/>
      <c r="JM1876" s="2730"/>
      <c r="JN1876" s="2730"/>
      <c r="JO1876" s="2730"/>
      <c r="JP1876" s="2730"/>
      <c r="JQ1876" s="2730"/>
      <c r="JR1876" s="2730"/>
      <c r="JS1876" s="2730"/>
      <c r="JT1876" s="2730"/>
      <c r="JU1876" s="2730"/>
      <c r="JV1876" s="2730"/>
      <c r="JW1876" s="2730"/>
      <c r="JX1876" s="2730"/>
      <c r="JY1876" s="2730"/>
      <c r="JZ1876" s="2730"/>
      <c r="KA1876" s="2730"/>
      <c r="KB1876" s="2730"/>
      <c r="KC1876" s="2730"/>
      <c r="KD1876" s="2730"/>
      <c r="KE1876" s="2730"/>
      <c r="KF1876" s="2730"/>
      <c r="KG1876" s="2730"/>
      <c r="KH1876" s="2730"/>
      <c r="KI1876" s="2730"/>
      <c r="KJ1876" s="2730"/>
      <c r="KK1876" s="2730"/>
      <c r="KL1876" s="2730"/>
      <c r="KM1876" s="2730"/>
      <c r="KN1876" s="2730"/>
      <c r="KO1876" s="2730"/>
      <c r="KP1876" s="2730"/>
      <c r="KQ1876" s="2730"/>
      <c r="KR1876" s="2730"/>
      <c r="KS1876" s="2730"/>
      <c r="KT1876" s="2730"/>
      <c r="KU1876" s="2730"/>
      <c r="KV1876" s="2730"/>
      <c r="KW1876" s="2730"/>
      <c r="KX1876" s="2730"/>
      <c r="KY1876" s="2730"/>
      <c r="KZ1876" s="2730"/>
      <c r="LA1876" s="2730"/>
      <c r="LB1876" s="2730"/>
      <c r="LC1876" s="2730"/>
      <c r="LD1876" s="2730"/>
      <c r="LE1876" s="2730"/>
      <c r="LF1876" s="2730"/>
      <c r="LG1876" s="2730"/>
      <c r="LH1876" s="2730"/>
      <c r="LI1876" s="2730"/>
      <c r="LJ1876" s="2730"/>
      <c r="LK1876" s="2730"/>
      <c r="LL1876" s="2730"/>
      <c r="LM1876" s="2730"/>
      <c r="LN1876" s="2730"/>
      <c r="LO1876" s="2730"/>
      <c r="LP1876" s="2730"/>
      <c r="LQ1876" s="2730"/>
      <c r="LR1876" s="2730"/>
      <c r="LS1876" s="2730"/>
      <c r="LT1876" s="2730"/>
      <c r="LU1876" s="2730"/>
      <c r="LV1876" s="2730"/>
      <c r="LW1876" s="2730"/>
      <c r="LX1876" s="2730"/>
      <c r="LY1876" s="2730"/>
      <c r="LZ1876" s="2730"/>
      <c r="MA1876" s="2730"/>
      <c r="MB1876" s="2730"/>
      <c r="MC1876" s="2730"/>
      <c r="MD1876" s="2730"/>
      <c r="ME1876" s="2730"/>
      <c r="MF1876" s="2730"/>
      <c r="MG1876" s="2730"/>
      <c r="MH1876" s="2730"/>
      <c r="MI1876" s="2730"/>
      <c r="MJ1876" s="2730"/>
      <c r="MK1876" s="2730"/>
      <c r="ML1876" s="2730"/>
      <c r="MM1876" s="2730"/>
      <c r="MN1876" s="2730"/>
      <c r="MO1876" s="2730"/>
      <c r="MP1876" s="2730"/>
      <c r="MQ1876" s="2730"/>
      <c r="MR1876" s="2730"/>
      <c r="MS1876" s="2730"/>
      <c r="MT1876" s="2730"/>
      <c r="MU1876" s="2730"/>
      <c r="MV1876" s="2730"/>
      <c r="MW1876" s="2730"/>
      <c r="MX1876" s="2730"/>
      <c r="MY1876" s="2730"/>
      <c r="MZ1876" s="2730"/>
      <c r="NA1876" s="2730"/>
      <c r="NB1876" s="2730"/>
      <c r="NC1876" s="2730"/>
      <c r="ND1876" s="2730"/>
      <c r="NE1876" s="2730"/>
      <c r="NF1876" s="2730"/>
      <c r="NG1876" s="2730"/>
      <c r="NH1876" s="2730"/>
      <c r="NI1876" s="2730"/>
      <c r="NJ1876" s="2730"/>
      <c r="NK1876" s="2730"/>
      <c r="NL1876" s="2730"/>
      <c r="NM1876" s="2730"/>
      <c r="NN1876" s="2730"/>
      <c r="NO1876" s="2730"/>
      <c r="NP1876" s="2730"/>
      <c r="NQ1876" s="2730"/>
      <c r="NR1876" s="2730"/>
      <c r="NS1876" s="2730"/>
      <c r="NT1876" s="2730"/>
      <c r="NU1876" s="2730"/>
      <c r="NV1876" s="2730"/>
      <c r="NW1876" s="2730"/>
      <c r="NX1876" s="2730"/>
      <c r="NY1876" s="2730"/>
      <c r="NZ1876" s="2730"/>
      <c r="OA1876" s="2730"/>
      <c r="OB1876" s="2730"/>
      <c r="OC1876" s="2730"/>
      <c r="OD1876" s="2730"/>
      <c r="OE1876" s="2730"/>
      <c r="OF1876" s="2730"/>
      <c r="OG1876" s="2730"/>
      <c r="OH1876" s="2730"/>
      <c r="OI1876" s="2730"/>
      <c r="OJ1876" s="2730"/>
      <c r="OK1876" s="2730"/>
      <c r="OL1876" s="2730"/>
      <c r="OM1876" s="2730"/>
      <c r="ON1876" s="2730"/>
      <c r="OO1876" s="2730"/>
      <c r="OP1876" s="2730"/>
      <c r="OQ1876" s="2730"/>
      <c r="OR1876" s="2730"/>
      <c r="OS1876" s="2730"/>
      <c r="OT1876" s="2730"/>
      <c r="OU1876" s="2730"/>
      <c r="OV1876" s="2730"/>
      <c r="OW1876" s="2730"/>
      <c r="OX1876" s="2730"/>
      <c r="OY1876" s="2730"/>
      <c r="OZ1876" s="2730"/>
      <c r="PA1876" s="2730"/>
      <c r="PB1876" s="2730"/>
      <c r="PC1876" s="2730"/>
      <c r="PD1876" s="2730"/>
      <c r="PE1876" s="2730"/>
      <c r="PF1876" s="2730"/>
      <c r="PG1876" s="2730"/>
      <c r="PH1876" s="2730"/>
      <c r="PI1876" s="2730"/>
      <c r="PJ1876" s="2730"/>
      <c r="PK1876" s="2730"/>
      <c r="PL1876" s="2730"/>
      <c r="PM1876" s="2730"/>
      <c r="PN1876" s="2730"/>
      <c r="PO1876" s="2730"/>
      <c r="PP1876" s="2730"/>
      <c r="PQ1876" s="2730"/>
      <c r="PR1876" s="2730"/>
      <c r="PS1876" s="2730"/>
      <c r="PT1876" s="2730"/>
      <c r="PU1876" s="2730"/>
      <c r="PV1876" s="2730"/>
      <c r="PW1876" s="2730"/>
      <c r="PX1876" s="2730"/>
      <c r="PY1876" s="2730"/>
      <c r="PZ1876" s="2730"/>
      <c r="QA1876" s="2730"/>
      <c r="QB1876" s="2730"/>
      <c r="QC1876" s="2730"/>
      <c r="QD1876" s="2730"/>
      <c r="QE1876" s="2730"/>
      <c r="QF1876" s="2730"/>
      <c r="QG1876" s="2730"/>
      <c r="QH1876" s="2730"/>
      <c r="QI1876" s="2730"/>
      <c r="QJ1876" s="2730"/>
      <c r="QK1876" s="2730"/>
      <c r="QL1876" s="2730"/>
      <c r="QM1876" s="2730"/>
      <c r="QN1876" s="2730"/>
      <c r="QO1876" s="2730"/>
      <c r="QP1876" s="2730"/>
      <c r="QQ1876" s="2730"/>
      <c r="QR1876" s="2730"/>
      <c r="QS1876" s="2730"/>
      <c r="QT1876" s="2730"/>
      <c r="QU1876" s="2730"/>
      <c r="QV1876" s="2730"/>
      <c r="QW1876" s="2730"/>
      <c r="QX1876" s="2730"/>
      <c r="QY1876" s="2730"/>
      <c r="QZ1876" s="2730"/>
      <c r="RA1876" s="2730"/>
      <c r="RB1876" s="2730"/>
      <c r="RC1876" s="2730"/>
      <c r="RD1876" s="2730"/>
      <c r="RE1876" s="2730"/>
      <c r="RF1876" s="2730"/>
      <c r="RG1876" s="2730"/>
      <c r="RH1876" s="2730"/>
      <c r="RI1876" s="2730"/>
      <c r="RJ1876" s="2730"/>
      <c r="RK1876" s="2730"/>
      <c r="RL1876" s="2730"/>
      <c r="RM1876" s="2730"/>
      <c r="RN1876" s="2730"/>
      <c r="RO1876" s="2730"/>
      <c r="RP1876" s="2730"/>
      <c r="RQ1876" s="2730"/>
      <c r="RR1876" s="2730"/>
      <c r="RS1876" s="2730"/>
      <c r="RT1876" s="2730"/>
      <c r="RU1876" s="2730"/>
      <c r="RV1876" s="2730"/>
      <c r="RW1876" s="2730"/>
      <c r="RX1876" s="2730"/>
      <c r="RY1876" s="2730"/>
      <c r="RZ1876" s="2730"/>
      <c r="SA1876" s="2730"/>
      <c r="SB1876" s="2730"/>
      <c r="SC1876" s="2730"/>
      <c r="SD1876" s="2730"/>
      <c r="SE1876" s="2730"/>
      <c r="SF1876" s="2730"/>
      <c r="SG1876" s="2730"/>
      <c r="SH1876" s="2730"/>
      <c r="SI1876" s="2730"/>
      <c r="SJ1876" s="2730"/>
      <c r="SK1876" s="2730"/>
      <c r="SL1876" s="2730"/>
      <c r="SM1876" s="2730"/>
      <c r="SN1876" s="2730"/>
      <c r="SO1876" s="2730"/>
      <c r="SP1876" s="2730"/>
      <c r="SQ1876" s="2730"/>
      <c r="SR1876" s="2730"/>
      <c r="SS1876" s="2730"/>
      <c r="ST1876" s="2730"/>
      <c r="SU1876" s="2730"/>
      <c r="SV1876" s="2730"/>
      <c r="SW1876" s="2730"/>
      <c r="SX1876" s="2730"/>
      <c r="SY1876" s="2730"/>
      <c r="SZ1876" s="2730"/>
      <c r="TA1876" s="2730"/>
      <c r="TB1876" s="2730"/>
      <c r="TC1876" s="2730"/>
      <c r="TD1876" s="2730"/>
      <c r="TE1876" s="2730"/>
      <c r="TF1876" s="2730"/>
      <c r="TG1876" s="2730"/>
      <c r="TH1876" s="2730"/>
      <c r="TI1876" s="2730"/>
      <c r="TJ1876" s="2730"/>
      <c r="TK1876" s="2730"/>
      <c r="TL1876" s="2730"/>
      <c r="TM1876" s="2730"/>
      <c r="TN1876" s="2730"/>
      <c r="TO1876" s="2730"/>
      <c r="TP1876" s="2730"/>
      <c r="TQ1876" s="2730"/>
      <c r="TR1876" s="2730"/>
      <c r="TS1876" s="2730"/>
      <c r="TT1876" s="2730"/>
      <c r="TU1876" s="2730"/>
      <c r="TV1876" s="2730"/>
      <c r="TW1876" s="2730"/>
      <c r="TX1876" s="2730"/>
      <c r="TY1876" s="2730"/>
      <c r="TZ1876" s="2730"/>
      <c r="UA1876" s="2730"/>
      <c r="UB1876" s="2730"/>
      <c r="UC1876" s="2730"/>
      <c r="UD1876" s="2730"/>
      <c r="UE1876" s="2730"/>
      <c r="UF1876" s="2730"/>
      <c r="UG1876" s="2730"/>
      <c r="UH1876" s="2730"/>
      <c r="UI1876" s="2730"/>
      <c r="UJ1876" s="2730"/>
      <c r="UK1876" s="2730"/>
      <c r="UL1876" s="2730"/>
      <c r="UM1876" s="2730"/>
      <c r="UN1876" s="2730"/>
      <c r="UO1876" s="2730"/>
      <c r="UP1876" s="2730"/>
      <c r="UQ1876" s="2730"/>
      <c r="UR1876" s="2730"/>
      <c r="US1876" s="2730"/>
      <c r="UT1876" s="2730"/>
      <c r="UU1876" s="2730"/>
      <c r="UV1876" s="2730"/>
      <c r="UW1876" s="2730"/>
      <c r="UX1876" s="2730"/>
      <c r="UY1876" s="2730"/>
      <c r="UZ1876" s="2730"/>
      <c r="VA1876" s="2730"/>
      <c r="VB1876" s="2730"/>
      <c r="VC1876" s="2730"/>
      <c r="VD1876" s="2730"/>
      <c r="VE1876" s="2730"/>
      <c r="VF1876" s="2730"/>
      <c r="VG1876" s="2730"/>
      <c r="VH1876" s="2730"/>
      <c r="VI1876" s="2730"/>
      <c r="VJ1876" s="2730"/>
      <c r="VK1876" s="2730"/>
      <c r="VL1876" s="2730"/>
      <c r="VM1876" s="2730"/>
      <c r="VN1876" s="2730"/>
      <c r="VO1876" s="2730"/>
      <c r="VP1876" s="2730"/>
      <c r="VQ1876" s="2730"/>
      <c r="VR1876" s="2730"/>
      <c r="VS1876" s="2730"/>
      <c r="VT1876" s="2730"/>
      <c r="VU1876" s="2730"/>
      <c r="VV1876" s="2730"/>
      <c r="VW1876" s="2730"/>
      <c r="VX1876" s="2730"/>
      <c r="VY1876" s="2730"/>
      <c r="VZ1876" s="2730"/>
      <c r="WA1876" s="2730"/>
      <c r="WB1876" s="2730"/>
      <c r="WC1876" s="2730"/>
      <c r="WD1876" s="2730"/>
      <c r="WE1876" s="2730"/>
      <c r="WF1876" s="2730"/>
      <c r="WG1876" s="2730"/>
      <c r="WH1876" s="2730"/>
      <c r="WI1876" s="2730"/>
      <c r="WJ1876" s="2730"/>
      <c r="WK1876" s="2730"/>
      <c r="WL1876" s="2730"/>
      <c r="WM1876" s="2730"/>
      <c r="WN1876" s="2730"/>
      <c r="WO1876" s="2730"/>
      <c r="WP1876" s="2730"/>
      <c r="WQ1876" s="2730"/>
      <c r="WR1876" s="2730"/>
      <c r="WS1876" s="2730"/>
      <c r="WT1876" s="2730"/>
      <c r="WU1876" s="2730"/>
      <c r="WV1876" s="2730"/>
      <c r="WW1876" s="2730"/>
      <c r="WX1876" s="2730"/>
      <c r="WY1876" s="2730"/>
      <c r="WZ1876" s="2730"/>
      <c r="XA1876" s="2730"/>
      <c r="XB1876" s="2730"/>
      <c r="XC1876" s="2730"/>
      <c r="XD1876" s="2730"/>
      <c r="XE1876" s="2730"/>
      <c r="XF1876" s="2730"/>
      <c r="XG1876" s="2730"/>
      <c r="XH1876" s="2730"/>
      <c r="XI1876" s="2730"/>
      <c r="XJ1876" s="2730"/>
      <c r="XK1876" s="2730"/>
      <c r="XL1876" s="2730"/>
      <c r="XM1876" s="2730"/>
      <c r="XN1876" s="2730"/>
      <c r="XO1876" s="2730"/>
      <c r="XP1876" s="2730"/>
      <c r="XQ1876" s="2730"/>
      <c r="XR1876" s="2730"/>
      <c r="XS1876" s="2730"/>
      <c r="XT1876" s="2730"/>
      <c r="XU1876" s="2730"/>
      <c r="XV1876" s="2730"/>
      <c r="XW1876" s="2730"/>
      <c r="XX1876" s="2730"/>
      <c r="XY1876" s="2730"/>
      <c r="XZ1876" s="2730"/>
      <c r="YA1876" s="2730"/>
      <c r="YB1876" s="2730"/>
      <c r="YC1876" s="2730"/>
      <c r="YD1876" s="2730"/>
      <c r="YE1876" s="2730"/>
      <c r="YF1876" s="2730"/>
      <c r="YG1876" s="2730"/>
      <c r="YH1876" s="2730"/>
      <c r="YI1876" s="2730"/>
      <c r="YJ1876" s="2730"/>
      <c r="YK1876" s="2730"/>
      <c r="YL1876" s="2730"/>
      <c r="YM1876" s="2730"/>
      <c r="YN1876" s="2730"/>
      <c r="YO1876" s="2730"/>
      <c r="YP1876" s="2730"/>
      <c r="YQ1876" s="2730"/>
      <c r="YR1876" s="2730"/>
      <c r="YS1876" s="2730"/>
      <c r="YT1876" s="2730"/>
      <c r="YU1876" s="2730"/>
      <c r="YV1876" s="2730"/>
      <c r="YW1876" s="2730"/>
      <c r="YX1876" s="2730"/>
      <c r="YY1876" s="2730"/>
      <c r="YZ1876" s="2730"/>
      <c r="ZA1876" s="2730"/>
      <c r="ZB1876" s="2730"/>
      <c r="ZC1876" s="2730"/>
      <c r="ZD1876" s="2730"/>
      <c r="ZE1876" s="2730"/>
      <c r="ZF1876" s="2730"/>
      <c r="ZG1876" s="2730"/>
      <c r="ZH1876" s="2730"/>
      <c r="ZI1876" s="2730"/>
      <c r="ZJ1876" s="2730"/>
      <c r="ZK1876" s="2730"/>
      <c r="ZL1876" s="2730"/>
      <c r="ZM1876" s="2730"/>
      <c r="ZN1876" s="2730"/>
      <c r="ZO1876" s="2730"/>
      <c r="ZP1876" s="2730"/>
      <c r="ZQ1876" s="2730"/>
      <c r="ZR1876" s="2730"/>
      <c r="ZS1876" s="2730"/>
      <c r="ZT1876" s="2730"/>
      <c r="ZU1876" s="2730"/>
      <c r="ZV1876" s="2730"/>
      <c r="ZW1876" s="2730"/>
      <c r="ZX1876" s="2730"/>
      <c r="ZY1876" s="2730"/>
      <c r="ZZ1876" s="2730"/>
      <c r="AAA1876" s="2730"/>
      <c r="AAB1876" s="2730"/>
      <c r="AAC1876" s="2730"/>
      <c r="AAD1876" s="2730"/>
      <c r="AAE1876" s="2730"/>
      <c r="AAF1876" s="2730"/>
      <c r="AAG1876" s="2730"/>
      <c r="AAH1876" s="2730"/>
      <c r="AAI1876" s="2730"/>
      <c r="AAJ1876" s="2730"/>
      <c r="AAK1876" s="2730"/>
      <c r="AAL1876" s="2730"/>
      <c r="AAM1876" s="2730"/>
      <c r="AAN1876" s="2730"/>
      <c r="AAO1876" s="2730"/>
      <c r="AAP1876" s="2730"/>
      <c r="AAQ1876" s="2730"/>
      <c r="AAR1876" s="2730"/>
      <c r="AAS1876" s="2730"/>
      <c r="AAT1876" s="2730"/>
      <c r="AAU1876" s="2730"/>
      <c r="AAV1876" s="2730"/>
      <c r="AAW1876" s="2730"/>
      <c r="AAX1876" s="2730"/>
      <c r="AAY1876" s="2730"/>
      <c r="AAZ1876" s="2730"/>
      <c r="ABA1876" s="2730"/>
      <c r="ABB1876" s="2730"/>
      <c r="ABC1876" s="2730"/>
      <c r="ABD1876" s="2730"/>
      <c r="ABE1876" s="2730"/>
      <c r="ABF1876" s="2730"/>
      <c r="ABG1876" s="2730"/>
      <c r="ABH1876" s="2730"/>
      <c r="ABI1876" s="2730"/>
      <c r="ABJ1876" s="2730"/>
      <c r="ABK1876" s="2730"/>
      <c r="ABL1876" s="2730"/>
      <c r="ABM1876" s="2730"/>
      <c r="ABN1876" s="2730"/>
      <c r="ABO1876" s="2730"/>
      <c r="ABP1876" s="2730"/>
      <c r="ABQ1876" s="2730"/>
      <c r="ABR1876" s="2730"/>
      <c r="ABS1876" s="2730"/>
      <c r="ABT1876" s="2730"/>
      <c r="ABU1876" s="2730"/>
      <c r="ABV1876" s="2730"/>
      <c r="ABW1876" s="2730"/>
      <c r="ABX1876" s="2730"/>
      <c r="ABY1876" s="2730"/>
      <c r="ABZ1876" s="2730"/>
      <c r="ACA1876" s="2730"/>
      <c r="ACB1876" s="2730"/>
      <c r="ACC1876" s="2730"/>
      <c r="ACD1876" s="2730"/>
      <c r="ACE1876" s="2730"/>
      <c r="ACF1876" s="2730"/>
      <c r="ACG1876" s="2730"/>
      <c r="ACH1876" s="2730"/>
      <c r="ACI1876" s="2730"/>
      <c r="ACJ1876" s="2730"/>
      <c r="ACK1876" s="2730"/>
      <c r="ACL1876" s="2730"/>
      <c r="ACM1876" s="2730"/>
      <c r="ACN1876" s="2730"/>
      <c r="ACO1876" s="2730"/>
      <c r="ACP1876" s="2730"/>
      <c r="ACQ1876" s="2730"/>
      <c r="ACR1876" s="2730"/>
      <c r="ACS1876" s="2730"/>
      <c r="ACT1876" s="2730"/>
      <c r="ACU1876" s="2730"/>
      <c r="ACV1876" s="2730"/>
      <c r="ACW1876" s="2730"/>
      <c r="ACX1876" s="2730"/>
      <c r="ACY1876" s="2730"/>
      <c r="ACZ1876" s="2730"/>
      <c r="ADA1876" s="2730"/>
      <c r="ADB1876" s="2730"/>
      <c r="ADC1876" s="2730"/>
      <c r="ADD1876" s="2730"/>
      <c r="ADE1876" s="2730"/>
      <c r="ADF1876" s="2730"/>
      <c r="ADG1876" s="2730"/>
      <c r="ADH1876" s="2730"/>
      <c r="ADI1876" s="2730"/>
      <c r="ADJ1876" s="2730"/>
      <c r="ADK1876" s="2730"/>
      <c r="ADL1876" s="2730"/>
      <c r="ADM1876" s="2730"/>
      <c r="ADN1876" s="2730"/>
      <c r="ADO1876" s="2730"/>
      <c r="ADP1876" s="2730"/>
      <c r="ADQ1876" s="2730"/>
      <c r="ADR1876" s="2730"/>
      <c r="ADS1876" s="2730"/>
      <c r="ADT1876" s="2730"/>
      <c r="ADU1876" s="2730"/>
      <c r="ADV1876" s="2730"/>
      <c r="ADW1876" s="2730"/>
      <c r="ADX1876" s="2730"/>
      <c r="ADY1876" s="2730"/>
      <c r="ADZ1876" s="2730"/>
      <c r="AEA1876" s="2730"/>
      <c r="AEB1876" s="2730"/>
      <c r="AEC1876" s="2730"/>
      <c r="AED1876" s="2730"/>
      <c r="AEE1876" s="2730"/>
      <c r="AEF1876" s="2730"/>
      <c r="AEG1876" s="2730"/>
      <c r="AEH1876" s="2730"/>
      <c r="AEI1876" s="2730"/>
      <c r="AEJ1876" s="2730"/>
      <c r="AEK1876" s="2730"/>
      <c r="AEL1876" s="2730"/>
      <c r="AEM1876" s="2730"/>
      <c r="AEN1876" s="2730"/>
      <c r="AEO1876" s="2730"/>
      <c r="AEP1876" s="2730"/>
      <c r="AEQ1876" s="2730"/>
      <c r="AER1876" s="2730"/>
      <c r="AES1876" s="2730"/>
      <c r="AET1876" s="2730"/>
      <c r="AEU1876" s="2730"/>
      <c r="AEV1876" s="2730"/>
      <c r="AEW1876" s="2730"/>
      <c r="AEX1876" s="2730"/>
      <c r="AEY1876" s="2730"/>
      <c r="AEZ1876" s="2730"/>
      <c r="AFA1876" s="2730"/>
      <c r="AFB1876" s="2730"/>
      <c r="AFC1876" s="2730"/>
      <c r="AFD1876" s="2730"/>
      <c r="AFE1876" s="2730"/>
      <c r="AFF1876" s="2730"/>
      <c r="AFG1876" s="2730"/>
      <c r="AFH1876" s="2730"/>
      <c r="AFI1876" s="2730"/>
      <c r="AFJ1876" s="2730"/>
      <c r="AFK1876" s="2730"/>
      <c r="AFL1876" s="2730"/>
      <c r="AFM1876" s="2730"/>
      <c r="AFN1876" s="2730"/>
      <c r="AFO1876" s="2730"/>
      <c r="AFP1876" s="2730"/>
      <c r="AFQ1876" s="2730"/>
      <c r="AFR1876" s="2730"/>
      <c r="AFS1876" s="2730"/>
      <c r="AFT1876" s="2730"/>
      <c r="AFU1876" s="2730"/>
      <c r="AFV1876" s="2730"/>
      <c r="AFW1876" s="2730"/>
      <c r="AFX1876" s="2730"/>
      <c r="AFY1876" s="2730"/>
      <c r="AFZ1876" s="2730"/>
      <c r="AGA1876" s="2730"/>
      <c r="AGB1876" s="2730"/>
      <c r="AGC1876" s="2730"/>
      <c r="AGD1876" s="2730"/>
      <c r="AGE1876" s="2730"/>
      <c r="AGF1876" s="2730"/>
      <c r="AGG1876" s="2730"/>
      <c r="AGH1876" s="2730"/>
      <c r="AGI1876" s="2730"/>
      <c r="AGJ1876" s="2730"/>
      <c r="AGK1876" s="2730"/>
      <c r="AGL1876" s="2730"/>
      <c r="AGM1876" s="2730"/>
      <c r="AGN1876" s="2730"/>
      <c r="AGO1876" s="2730"/>
      <c r="AGP1876" s="2730"/>
      <c r="AGQ1876" s="2730"/>
      <c r="AGR1876" s="2730"/>
      <c r="AGS1876" s="2730"/>
      <c r="AGT1876" s="2730"/>
      <c r="AGU1876" s="2730"/>
      <c r="AGV1876" s="2730"/>
      <c r="AGW1876" s="2730"/>
      <c r="AGX1876" s="2730"/>
      <c r="AGY1876" s="2730"/>
      <c r="AGZ1876" s="2730"/>
      <c r="AHA1876" s="2730"/>
      <c r="AHB1876" s="2730"/>
      <c r="AHC1876" s="2730"/>
      <c r="AHD1876" s="2730"/>
      <c r="AHE1876" s="2730"/>
      <c r="AHF1876" s="2730"/>
      <c r="AHG1876" s="2730"/>
      <c r="AHH1876" s="2730"/>
      <c r="AHI1876" s="2730"/>
      <c r="AHJ1876" s="2730"/>
      <c r="AHK1876" s="2730"/>
      <c r="AHL1876" s="2730"/>
      <c r="AHM1876" s="2730"/>
      <c r="AHN1876" s="2730"/>
      <c r="AHO1876" s="2730"/>
      <c r="AHP1876" s="2730"/>
      <c r="AHQ1876" s="2730"/>
      <c r="AHR1876" s="2730"/>
      <c r="AHS1876" s="2730"/>
      <c r="AHT1876" s="2730"/>
      <c r="AHU1876" s="2730"/>
      <c r="AHV1876" s="2730"/>
      <c r="AHW1876" s="2730"/>
      <c r="AHX1876" s="2730"/>
      <c r="AHY1876" s="2730"/>
      <c r="AHZ1876" s="2730"/>
      <c r="AIA1876" s="2730"/>
      <c r="AIB1876" s="2730"/>
      <c r="AIC1876" s="2730"/>
      <c r="AID1876" s="2730"/>
      <c r="AIE1876" s="2730"/>
      <c r="AIF1876" s="2730"/>
      <c r="AIG1876" s="2730"/>
      <c r="AIH1876" s="2730"/>
      <c r="AII1876" s="2730"/>
      <c r="AIJ1876" s="2730"/>
      <c r="AIK1876" s="2730"/>
      <c r="AIL1876" s="2730"/>
      <c r="AIM1876" s="2730"/>
      <c r="AIN1876" s="2730"/>
      <c r="AIO1876" s="2730"/>
      <c r="AIP1876" s="2730"/>
      <c r="AIQ1876" s="2730"/>
      <c r="AIR1876" s="2730"/>
      <c r="AIS1876" s="2730"/>
      <c r="AIT1876" s="2730"/>
      <c r="AIU1876" s="2730"/>
      <c r="AIV1876" s="2730"/>
      <c r="AIW1876" s="2730"/>
      <c r="AIX1876" s="2730"/>
      <c r="AIY1876" s="2730"/>
      <c r="AIZ1876" s="2730"/>
      <c r="AJA1876" s="2730"/>
      <c r="AJB1876" s="2730"/>
      <c r="AJC1876" s="2730"/>
      <c r="AJD1876" s="2730"/>
      <c r="AJE1876" s="2730"/>
      <c r="AJF1876" s="2730"/>
      <c r="AJG1876" s="2730"/>
      <c r="AJH1876" s="2730"/>
      <c r="AJI1876" s="2730"/>
      <c r="AJJ1876" s="2730"/>
      <c r="AJK1876" s="2730"/>
      <c r="AJL1876" s="2730"/>
      <c r="AJM1876" s="2730"/>
      <c r="AJN1876" s="2730"/>
      <c r="AJO1876" s="2730"/>
      <c r="AJP1876" s="2730"/>
      <c r="AJQ1876" s="2730"/>
      <c r="AJR1876" s="2730"/>
      <c r="AJS1876" s="2730"/>
      <c r="AJT1876" s="2730"/>
      <c r="AJU1876" s="2730"/>
      <c r="AJV1876" s="2730"/>
      <c r="AJW1876" s="2730"/>
      <c r="AJX1876" s="2730"/>
      <c r="AJY1876" s="2730"/>
      <c r="AJZ1876" s="2730"/>
      <c r="AKA1876" s="2730"/>
      <c r="AKB1876" s="2730"/>
      <c r="AKC1876" s="2730"/>
      <c r="AKD1876" s="2730"/>
      <c r="AKE1876" s="2730"/>
      <c r="AKF1876" s="2730"/>
      <c r="AKG1876" s="2730"/>
      <c r="AKH1876" s="2730"/>
      <c r="AKI1876" s="2730"/>
      <c r="AKJ1876" s="2730"/>
      <c r="AKK1876" s="2730"/>
      <c r="AKL1876" s="2730"/>
      <c r="AKM1876" s="2730"/>
      <c r="AKN1876" s="2730"/>
      <c r="AKO1876" s="2730"/>
      <c r="AKP1876" s="2730"/>
      <c r="AKQ1876" s="2730"/>
      <c r="AKR1876" s="2730"/>
      <c r="AKS1876" s="2730"/>
      <c r="AKT1876" s="2730"/>
      <c r="AKU1876" s="2730"/>
      <c r="AKV1876" s="2730"/>
      <c r="AKW1876" s="2730"/>
      <c r="AKX1876" s="2730"/>
      <c r="AKY1876" s="2730"/>
      <c r="AKZ1876" s="2730"/>
      <c r="ALA1876" s="2730"/>
      <c r="ALB1876" s="2730"/>
      <c r="ALC1876" s="2730"/>
      <c r="ALD1876" s="2730"/>
      <c r="ALE1876" s="2730"/>
      <c r="ALF1876" s="2730"/>
      <c r="ALG1876" s="2730"/>
      <c r="ALH1876" s="2730"/>
      <c r="ALI1876" s="2730"/>
      <c r="ALJ1876" s="2730"/>
      <c r="ALK1876" s="2730"/>
      <c r="ALL1876" s="2730"/>
      <c r="ALM1876" s="2730"/>
      <c r="ALN1876" s="2730"/>
      <c r="ALO1876" s="2730"/>
      <c r="ALP1876" s="2730"/>
      <c r="ALQ1876" s="2730"/>
      <c r="ALR1876" s="2730"/>
      <c r="ALS1876" s="2730"/>
      <c r="ALT1876" s="2730"/>
      <c r="ALU1876" s="2730"/>
      <c r="ALV1876" s="2730"/>
      <c r="ALW1876" s="2730"/>
      <c r="ALX1876" s="2730"/>
      <c r="ALY1876" s="2730"/>
      <c r="ALZ1876" s="2730"/>
      <c r="AMA1876" s="2730"/>
      <c r="AMB1876" s="2730"/>
      <c r="AMC1876" s="2730"/>
      <c r="AMD1876" s="2730"/>
      <c r="AME1876" s="2730"/>
      <c r="AMF1876" s="2730"/>
      <c r="AMG1876" s="2730"/>
      <c r="AMH1876" s="2730"/>
      <c r="AMI1876" s="2730"/>
      <c r="AMJ1876" s="2730"/>
      <c r="AMK1876" s="2730"/>
      <c r="AML1876" s="2730"/>
      <c r="AMM1876" s="2730"/>
      <c r="AMN1876" s="2730"/>
      <c r="AMO1876" s="2730"/>
      <c r="AMP1876" s="2730"/>
      <c r="AMQ1876" s="2730"/>
      <c r="AMR1876" s="2730"/>
      <c r="AMS1876" s="2730"/>
      <c r="AMT1876" s="2730"/>
      <c r="AMU1876" s="2730"/>
      <c r="AMV1876" s="2730"/>
      <c r="AMW1876" s="2730"/>
      <c r="AMX1876" s="2730"/>
      <c r="AMY1876" s="2730"/>
      <c r="AMZ1876" s="2730"/>
      <c r="ANA1876" s="2730"/>
      <c r="ANB1876" s="2730"/>
      <c r="ANC1876" s="2730"/>
      <c r="AND1876" s="2730"/>
      <c r="ANE1876" s="2730"/>
      <c r="ANF1876" s="2730"/>
      <c r="ANG1876" s="2730"/>
      <c r="ANH1876" s="2730"/>
      <c r="ANI1876" s="2730"/>
      <c r="ANJ1876" s="2730"/>
      <c r="ANK1876" s="2730"/>
      <c r="ANL1876" s="2730"/>
      <c r="ANM1876" s="2730"/>
      <c r="ANN1876" s="2730"/>
      <c r="ANO1876" s="2730"/>
      <c r="ANP1876" s="2730"/>
      <c r="ANQ1876" s="2730"/>
      <c r="ANR1876" s="2730"/>
      <c r="ANS1876" s="2730"/>
      <c r="ANT1876" s="2730"/>
      <c r="ANU1876" s="2730"/>
      <c r="ANV1876" s="2730"/>
      <c r="ANW1876" s="2730"/>
      <c r="ANX1876" s="2730"/>
      <c r="ANY1876" s="2730"/>
      <c r="ANZ1876" s="2730"/>
      <c r="AOA1876" s="2730"/>
      <c r="AOB1876" s="2730"/>
      <c r="AOC1876" s="2730"/>
      <c r="AOD1876" s="2730"/>
      <c r="AOE1876" s="2730"/>
      <c r="AOF1876" s="2730"/>
      <c r="AOG1876" s="2730"/>
      <c r="AOH1876" s="2730"/>
      <c r="AOI1876" s="2730"/>
      <c r="AOJ1876" s="2730"/>
      <c r="AOK1876" s="2730"/>
      <c r="AOL1876" s="2730"/>
      <c r="AOM1876" s="2730"/>
      <c r="AON1876" s="2730"/>
      <c r="AOO1876" s="2730"/>
      <c r="AOP1876" s="2730"/>
      <c r="AOQ1876" s="2730"/>
      <c r="AOR1876" s="2730"/>
      <c r="AOS1876" s="2730"/>
      <c r="AOT1876" s="2730"/>
      <c r="AOU1876" s="2730"/>
      <c r="AOV1876" s="2730"/>
      <c r="AOW1876" s="2730"/>
      <c r="AOX1876" s="2730"/>
      <c r="AOY1876" s="2730"/>
      <c r="AOZ1876" s="2730"/>
      <c r="APA1876" s="2730"/>
      <c r="APB1876" s="2730"/>
      <c r="APC1876" s="2730"/>
      <c r="APD1876" s="2730"/>
      <c r="APE1876" s="2730"/>
      <c r="APF1876" s="2730"/>
      <c r="APG1876" s="2730"/>
      <c r="APH1876" s="2730"/>
      <c r="API1876" s="2730"/>
      <c r="APJ1876" s="2730"/>
      <c r="APK1876" s="2730"/>
      <c r="APL1876" s="2730"/>
      <c r="APM1876" s="2730"/>
      <c r="APN1876" s="2730"/>
      <c r="APO1876" s="2730"/>
      <c r="APP1876" s="2730"/>
      <c r="APQ1876" s="2730"/>
      <c r="APR1876" s="2730"/>
      <c r="APS1876" s="2730"/>
      <c r="APT1876" s="2730"/>
      <c r="APU1876" s="2730"/>
      <c r="APV1876" s="2730"/>
      <c r="APW1876" s="2730"/>
      <c r="APX1876" s="2730"/>
      <c r="APY1876" s="2730"/>
      <c r="APZ1876" s="2730"/>
      <c r="AQA1876" s="2730"/>
      <c r="AQB1876" s="2730"/>
      <c r="AQC1876" s="2730"/>
      <c r="AQD1876" s="2730"/>
      <c r="AQE1876" s="2730"/>
      <c r="AQF1876" s="2730"/>
      <c r="AQG1876" s="2730"/>
      <c r="AQH1876" s="2730"/>
      <c r="AQI1876" s="2730"/>
      <c r="AQJ1876" s="2730"/>
      <c r="AQK1876" s="2730"/>
      <c r="AQL1876" s="2730"/>
      <c r="AQM1876" s="2730"/>
      <c r="AQN1876" s="2730"/>
      <c r="AQO1876" s="2730"/>
      <c r="AQP1876" s="2730"/>
      <c r="AQQ1876" s="2730"/>
      <c r="AQR1876" s="2730"/>
      <c r="AQS1876" s="2730"/>
      <c r="AQT1876" s="2730"/>
      <c r="AQU1876" s="2730"/>
      <c r="AQV1876" s="2730"/>
      <c r="AQW1876" s="2730"/>
      <c r="AQX1876" s="2730"/>
      <c r="AQY1876" s="2730"/>
      <c r="AQZ1876" s="2730"/>
      <c r="ARA1876" s="2730"/>
      <c r="ARB1876" s="2730"/>
      <c r="ARC1876" s="2730"/>
      <c r="ARD1876" s="2730"/>
      <c r="ARE1876" s="2730"/>
      <c r="ARF1876" s="2730"/>
      <c r="ARG1876" s="2730"/>
      <c r="ARH1876" s="2730"/>
      <c r="ARI1876" s="2730"/>
      <c r="ARJ1876" s="2730"/>
      <c r="ARK1876" s="2730"/>
      <c r="ARL1876" s="2730"/>
      <c r="ARM1876" s="2730"/>
      <c r="ARN1876" s="2730"/>
      <c r="ARO1876" s="2730"/>
      <c r="ARP1876" s="2730"/>
      <c r="ARQ1876" s="2730"/>
      <c r="ARR1876" s="2730"/>
      <c r="ARS1876" s="2730"/>
      <c r="ART1876" s="2730"/>
      <c r="ARU1876" s="2730"/>
      <c r="ARV1876" s="2730"/>
      <c r="ARW1876" s="2730"/>
      <c r="ARX1876" s="2730"/>
      <c r="ARY1876" s="2730"/>
      <c r="ARZ1876" s="2730"/>
      <c r="ASA1876" s="2730"/>
      <c r="ASB1876" s="2730"/>
      <c r="ASC1876" s="2730"/>
      <c r="ASD1876" s="2730"/>
      <c r="ASE1876" s="2730"/>
      <c r="ASF1876" s="2730"/>
      <c r="ASG1876" s="2730"/>
      <c r="ASH1876" s="2730"/>
      <c r="ASI1876" s="2730"/>
      <c r="ASJ1876" s="2730"/>
      <c r="ASK1876" s="2730"/>
      <c r="ASL1876" s="2730"/>
      <c r="ASM1876" s="2730"/>
      <c r="ASN1876" s="2730"/>
      <c r="ASO1876" s="2730"/>
      <c r="ASP1876" s="2730"/>
      <c r="ASQ1876" s="2730"/>
      <c r="ASR1876" s="2730"/>
      <c r="ASS1876" s="2730"/>
      <c r="AST1876" s="2730"/>
      <c r="ASU1876" s="2730"/>
      <c r="ASV1876" s="2730"/>
      <c r="ASW1876" s="2730"/>
      <c r="ASX1876" s="2730"/>
      <c r="ASY1876" s="2730"/>
      <c r="ASZ1876" s="2730"/>
      <c r="ATA1876" s="2730"/>
      <c r="ATB1876" s="2730"/>
      <c r="ATC1876" s="2730"/>
      <c r="ATD1876" s="2730"/>
      <c r="ATE1876" s="2730"/>
      <c r="ATF1876" s="2730"/>
      <c r="ATG1876" s="2730"/>
      <c r="ATH1876" s="2730"/>
      <c r="ATI1876" s="2730"/>
      <c r="ATJ1876" s="2730"/>
      <c r="ATK1876" s="2730"/>
      <c r="ATL1876" s="2730"/>
      <c r="ATM1876" s="2730"/>
      <c r="ATN1876" s="2730"/>
      <c r="ATO1876" s="2730"/>
      <c r="ATP1876" s="2730"/>
      <c r="ATQ1876" s="2730"/>
      <c r="ATR1876" s="2730"/>
      <c r="ATS1876" s="2730"/>
      <c r="ATT1876" s="2730"/>
      <c r="ATU1876" s="2730"/>
      <c r="ATV1876" s="2730"/>
      <c r="ATW1876" s="2730"/>
      <c r="ATX1876" s="2730"/>
      <c r="ATY1876" s="2730"/>
      <c r="ATZ1876" s="2730"/>
      <c r="AUA1876" s="2730"/>
      <c r="AUB1876" s="2730"/>
      <c r="AUC1876" s="2730"/>
      <c r="AUD1876" s="2730"/>
      <c r="AUE1876" s="2730"/>
      <c r="AUF1876" s="2730"/>
      <c r="AUG1876" s="2730"/>
      <c r="AUH1876" s="2730"/>
      <c r="AUI1876" s="2730"/>
      <c r="AUJ1876" s="2730"/>
      <c r="AUK1876" s="2730"/>
      <c r="AUL1876" s="2730"/>
      <c r="AUM1876" s="2730"/>
      <c r="AUN1876" s="2730"/>
      <c r="AUO1876" s="2730"/>
      <c r="AUP1876" s="2730"/>
      <c r="AUQ1876" s="2730"/>
      <c r="AUR1876" s="2730"/>
      <c r="AUS1876" s="2730"/>
      <c r="AUT1876" s="2730"/>
      <c r="AUU1876" s="2730"/>
      <c r="AUV1876" s="2730"/>
      <c r="AUW1876" s="2730"/>
      <c r="AUX1876" s="2730"/>
      <c r="AUY1876" s="2730"/>
      <c r="AUZ1876" s="2730"/>
      <c r="AVA1876" s="2730"/>
      <c r="AVB1876" s="2730"/>
      <c r="AVC1876" s="2730"/>
      <c r="AVD1876" s="2730"/>
      <c r="AVE1876" s="2730"/>
      <c r="AVF1876" s="2730"/>
      <c r="AVG1876" s="2730"/>
      <c r="AVH1876" s="2730"/>
      <c r="AVI1876" s="2730"/>
      <c r="AVJ1876" s="2730"/>
      <c r="AVK1876" s="2730"/>
      <c r="AVL1876" s="2730"/>
      <c r="AVM1876" s="2730"/>
      <c r="AVN1876" s="2730"/>
      <c r="AVO1876" s="2730"/>
      <c r="AVP1876" s="2730"/>
      <c r="AVQ1876" s="2730"/>
      <c r="AVR1876" s="2730"/>
      <c r="AVS1876" s="2730"/>
      <c r="AVT1876" s="2730"/>
      <c r="AVU1876" s="2730"/>
      <c r="AVV1876" s="2730"/>
      <c r="AVW1876" s="2730"/>
      <c r="AVX1876" s="2730"/>
      <c r="AVY1876" s="2730"/>
      <c r="AVZ1876" s="2730"/>
      <c r="AWA1876" s="2730"/>
      <c r="AWB1876" s="2730"/>
      <c r="AWC1876" s="2730"/>
      <c r="AWD1876" s="2730"/>
      <c r="AWE1876" s="2730"/>
      <c r="AWF1876" s="2730"/>
      <c r="AWG1876" s="2730"/>
      <c r="AWH1876" s="2730"/>
      <c r="AWI1876" s="2730"/>
      <c r="AWJ1876" s="2730"/>
      <c r="AWK1876" s="2730"/>
      <c r="AWL1876" s="2730"/>
      <c r="AWM1876" s="2730"/>
      <c r="AWN1876" s="2730"/>
      <c r="AWO1876" s="2730"/>
      <c r="AWP1876" s="2730"/>
      <c r="AWQ1876" s="2730"/>
      <c r="AWR1876" s="2730"/>
      <c r="AWS1876" s="2730"/>
      <c r="AWT1876" s="2730"/>
      <c r="AWU1876" s="2730"/>
      <c r="AWV1876" s="2730"/>
      <c r="AWW1876" s="2730"/>
      <c r="AWX1876" s="2730"/>
      <c r="AWY1876" s="2730"/>
      <c r="AWZ1876" s="2730"/>
      <c r="AXA1876" s="2730"/>
      <c r="AXB1876" s="2730"/>
      <c r="AXC1876" s="2730"/>
      <c r="AXD1876" s="2730"/>
      <c r="AXE1876" s="2730"/>
      <c r="AXF1876" s="2730"/>
      <c r="AXG1876" s="2730"/>
      <c r="AXH1876" s="2730"/>
      <c r="AXI1876" s="2730"/>
      <c r="AXJ1876" s="2730"/>
      <c r="AXK1876" s="2730"/>
      <c r="AXL1876" s="2730"/>
      <c r="AXM1876" s="2730"/>
      <c r="AXN1876" s="2730"/>
      <c r="AXO1876" s="2730"/>
      <c r="AXP1876" s="2730"/>
      <c r="AXQ1876" s="2730"/>
      <c r="AXR1876" s="2730"/>
      <c r="AXS1876" s="2730"/>
      <c r="AXT1876" s="2730"/>
      <c r="AXU1876" s="2730"/>
      <c r="AXV1876" s="2730"/>
      <c r="AXW1876" s="2730"/>
      <c r="AXX1876" s="2730"/>
      <c r="AXY1876" s="2730"/>
      <c r="AXZ1876" s="2730"/>
      <c r="AYA1876" s="2730"/>
      <c r="AYB1876" s="2730"/>
      <c r="AYC1876" s="2730"/>
      <c r="AYD1876" s="2730"/>
      <c r="AYE1876" s="2730"/>
      <c r="AYF1876" s="2730"/>
      <c r="AYG1876" s="2730"/>
      <c r="AYH1876" s="2730"/>
      <c r="AYI1876" s="2730"/>
      <c r="AYJ1876" s="2730"/>
      <c r="AYK1876" s="2730"/>
      <c r="AYL1876" s="2730"/>
      <c r="AYM1876" s="2730"/>
      <c r="AYN1876" s="2730"/>
      <c r="AYO1876" s="2730"/>
      <c r="AYP1876" s="2730"/>
      <c r="AYQ1876" s="2730"/>
      <c r="AYR1876" s="2730"/>
      <c r="AYS1876" s="2730"/>
      <c r="AYT1876" s="2730"/>
      <c r="AYU1876" s="2730"/>
      <c r="AYV1876" s="2730"/>
      <c r="AYW1876" s="2730"/>
      <c r="AYX1876" s="2730"/>
      <c r="AYY1876" s="2730"/>
      <c r="AYZ1876" s="2730"/>
      <c r="AZA1876" s="2730"/>
      <c r="AZB1876" s="2730"/>
      <c r="AZC1876" s="2730"/>
      <c r="AZD1876" s="2730"/>
      <c r="AZE1876" s="2730"/>
      <c r="AZF1876" s="2730"/>
      <c r="AZG1876" s="2730"/>
      <c r="AZH1876" s="2730"/>
      <c r="AZI1876" s="2730"/>
      <c r="AZJ1876" s="2730"/>
      <c r="AZK1876" s="2730"/>
      <c r="AZL1876" s="2730"/>
      <c r="AZM1876" s="2730"/>
      <c r="AZN1876" s="2730"/>
      <c r="AZO1876" s="2730"/>
      <c r="AZP1876" s="2730"/>
      <c r="AZQ1876" s="2730"/>
      <c r="AZR1876" s="2730"/>
      <c r="AZS1876" s="2730"/>
      <c r="AZT1876" s="2730"/>
      <c r="AZU1876" s="2730"/>
      <c r="AZV1876" s="2730"/>
      <c r="AZW1876" s="2730"/>
      <c r="AZX1876" s="2730"/>
      <c r="AZY1876" s="2730"/>
      <c r="AZZ1876" s="2730"/>
      <c r="BAA1876" s="2730"/>
      <c r="BAB1876" s="2730"/>
      <c r="BAC1876" s="2730"/>
      <c r="BAD1876" s="2730"/>
      <c r="BAE1876" s="2730"/>
      <c r="BAF1876" s="2730"/>
      <c r="BAG1876" s="2730"/>
      <c r="BAH1876" s="2730"/>
      <c r="BAI1876" s="2730"/>
      <c r="BAJ1876" s="2730"/>
      <c r="BAK1876" s="2730"/>
      <c r="BAL1876" s="2730"/>
      <c r="BAM1876" s="2730"/>
      <c r="BAN1876" s="2730"/>
      <c r="BAO1876" s="2730"/>
      <c r="BAP1876" s="2730"/>
      <c r="BAQ1876" s="2730"/>
      <c r="BAR1876" s="2730"/>
      <c r="BAS1876" s="2730"/>
      <c r="BAT1876" s="2730"/>
      <c r="BAU1876" s="2730"/>
      <c r="BAV1876" s="2730"/>
      <c r="BAW1876" s="2730"/>
      <c r="BAX1876" s="2730"/>
      <c r="BAY1876" s="2730"/>
      <c r="BAZ1876" s="2730"/>
      <c r="BBA1876" s="2730"/>
      <c r="BBB1876" s="2730"/>
      <c r="BBC1876" s="2730"/>
      <c r="BBD1876" s="2730"/>
      <c r="BBE1876" s="2730"/>
      <c r="BBF1876" s="2730"/>
      <c r="BBG1876" s="2730"/>
      <c r="BBH1876" s="2730"/>
      <c r="BBI1876" s="2730"/>
      <c r="BBJ1876" s="2730"/>
      <c r="BBK1876" s="2730"/>
      <c r="BBL1876" s="2730"/>
      <c r="BBM1876" s="2730"/>
      <c r="BBN1876" s="2730"/>
      <c r="BBO1876" s="2730"/>
      <c r="BBP1876" s="2730"/>
      <c r="BBQ1876" s="2730"/>
      <c r="BBR1876" s="2730"/>
      <c r="BBS1876" s="2730"/>
      <c r="BBT1876" s="2730"/>
      <c r="BBU1876" s="2730"/>
      <c r="BBV1876" s="2730"/>
      <c r="BBW1876" s="2730"/>
      <c r="BBX1876" s="2730"/>
      <c r="BBY1876" s="2730"/>
      <c r="BBZ1876" s="2730"/>
      <c r="BCA1876" s="2730"/>
      <c r="BCB1876" s="2730"/>
      <c r="BCC1876" s="2730"/>
      <c r="BCD1876" s="2730"/>
      <c r="BCE1876" s="2730"/>
      <c r="BCF1876" s="2730"/>
      <c r="BCG1876" s="2730"/>
      <c r="BCH1876" s="2730"/>
      <c r="BCI1876" s="2730"/>
      <c r="BCJ1876" s="2730"/>
      <c r="BCK1876" s="2730"/>
      <c r="BCL1876" s="2730"/>
      <c r="BCM1876" s="2730"/>
      <c r="BCN1876" s="2730"/>
      <c r="BCO1876" s="2730"/>
      <c r="BCP1876" s="2730"/>
      <c r="BCQ1876" s="2730"/>
      <c r="BCR1876" s="2730"/>
      <c r="BCS1876" s="2730"/>
      <c r="BCT1876" s="2730"/>
      <c r="BCU1876" s="2730"/>
      <c r="BCV1876" s="2730"/>
      <c r="BCW1876" s="2730"/>
      <c r="BCX1876" s="2730"/>
      <c r="BCY1876" s="2730"/>
      <c r="BCZ1876" s="2730"/>
      <c r="BDA1876" s="2730"/>
      <c r="BDB1876" s="2730"/>
      <c r="BDC1876" s="2730"/>
      <c r="BDD1876" s="2730"/>
      <c r="BDE1876" s="2730"/>
      <c r="BDF1876" s="2730"/>
      <c r="BDG1876" s="2730"/>
      <c r="BDH1876" s="2730"/>
      <c r="BDI1876" s="2730"/>
      <c r="BDJ1876" s="2730"/>
      <c r="BDK1876" s="2730"/>
      <c r="BDL1876" s="2730"/>
      <c r="BDM1876" s="2730"/>
      <c r="BDN1876" s="2730"/>
      <c r="BDO1876" s="2730"/>
      <c r="BDP1876" s="2730"/>
      <c r="BDQ1876" s="2730"/>
      <c r="BDR1876" s="2730"/>
      <c r="BDS1876" s="2730"/>
      <c r="BDT1876" s="2730"/>
      <c r="BDU1876" s="2730"/>
      <c r="BDV1876" s="2730"/>
      <c r="BDW1876" s="2730"/>
      <c r="BDX1876" s="2730"/>
      <c r="BDY1876" s="2730"/>
      <c r="BDZ1876" s="2730"/>
      <c r="BEA1876" s="2730"/>
      <c r="BEB1876" s="2730"/>
      <c r="BEC1876" s="2730"/>
      <c r="BED1876" s="2730"/>
      <c r="BEE1876" s="2730"/>
      <c r="BEF1876" s="2730"/>
      <c r="BEG1876" s="2730"/>
      <c r="BEH1876" s="2730"/>
      <c r="BEI1876" s="2730"/>
      <c r="BEJ1876" s="2730"/>
      <c r="BEK1876" s="2730"/>
      <c r="BEL1876" s="2730"/>
      <c r="BEM1876" s="2730"/>
      <c r="BEN1876" s="2730"/>
      <c r="BEO1876" s="2730"/>
      <c r="BEP1876" s="2730"/>
      <c r="BEQ1876" s="2730"/>
      <c r="BER1876" s="2730"/>
      <c r="BES1876" s="2730"/>
      <c r="BET1876" s="2730"/>
      <c r="BEU1876" s="2730"/>
      <c r="BEV1876" s="2730"/>
      <c r="BEW1876" s="2730"/>
      <c r="BEX1876" s="2730"/>
      <c r="BEY1876" s="2730"/>
      <c r="BEZ1876" s="2730"/>
      <c r="BFA1876" s="2730"/>
      <c r="BFB1876" s="2730"/>
      <c r="BFC1876" s="2730"/>
      <c r="BFD1876" s="2730"/>
      <c r="BFE1876" s="2730"/>
      <c r="BFF1876" s="2730"/>
      <c r="BFG1876" s="2730"/>
      <c r="BFH1876" s="2730"/>
      <c r="BFI1876" s="2730"/>
      <c r="BFJ1876" s="2730"/>
      <c r="BFK1876" s="2730"/>
      <c r="BFL1876" s="2730"/>
      <c r="BFM1876" s="2730"/>
      <c r="BFN1876" s="2730"/>
      <c r="BFO1876" s="2730"/>
      <c r="BFP1876" s="2730"/>
      <c r="BFQ1876" s="2730"/>
      <c r="BFR1876" s="2730"/>
      <c r="BFS1876" s="2730"/>
      <c r="BFT1876" s="2730"/>
      <c r="BFU1876" s="2730"/>
      <c r="BFV1876" s="2730"/>
      <c r="BFW1876" s="2730"/>
      <c r="BFX1876" s="2730"/>
      <c r="BFY1876" s="2730"/>
      <c r="BFZ1876" s="2730"/>
      <c r="BGA1876" s="2730"/>
      <c r="BGB1876" s="2730"/>
      <c r="BGC1876" s="2730"/>
      <c r="BGD1876" s="2730"/>
      <c r="BGE1876" s="2730"/>
      <c r="BGF1876" s="2730"/>
      <c r="BGG1876" s="2730"/>
      <c r="BGH1876" s="2730"/>
      <c r="BGI1876" s="2730"/>
      <c r="BGJ1876" s="2730"/>
      <c r="BGK1876" s="2730"/>
      <c r="BGL1876" s="2730"/>
      <c r="BGM1876" s="2730"/>
      <c r="BGN1876" s="2730"/>
      <c r="BGO1876" s="2730"/>
      <c r="BGP1876" s="2730"/>
      <c r="BGQ1876" s="2730"/>
      <c r="BGR1876" s="2730"/>
      <c r="BGS1876" s="2730"/>
      <c r="BGT1876" s="2730"/>
      <c r="BGU1876" s="2730"/>
      <c r="BGV1876" s="2730"/>
      <c r="BGW1876" s="2730"/>
      <c r="BGX1876" s="2730"/>
      <c r="BGY1876" s="2730"/>
      <c r="BGZ1876" s="2730"/>
      <c r="BHA1876" s="2730"/>
      <c r="BHB1876" s="2730"/>
      <c r="BHC1876" s="2730"/>
      <c r="BHD1876" s="2730"/>
      <c r="BHE1876" s="2730"/>
      <c r="BHF1876" s="2730"/>
      <c r="BHG1876" s="2730"/>
      <c r="BHH1876" s="2730"/>
      <c r="BHI1876" s="2730"/>
      <c r="BHJ1876" s="2730"/>
      <c r="BHK1876" s="2730"/>
      <c r="BHL1876" s="2730"/>
      <c r="BHM1876" s="2730"/>
      <c r="BHN1876" s="2730"/>
      <c r="BHO1876" s="2730"/>
      <c r="BHP1876" s="2730"/>
      <c r="BHQ1876" s="2730"/>
      <c r="BHR1876" s="2730"/>
      <c r="BHS1876" s="2730"/>
      <c r="BHT1876" s="2730"/>
      <c r="BHU1876" s="2730"/>
      <c r="BHV1876" s="2730"/>
      <c r="BHW1876" s="2730"/>
      <c r="BHX1876" s="2730"/>
      <c r="BHY1876" s="2730"/>
      <c r="BHZ1876" s="2730"/>
      <c r="BIA1876" s="2730"/>
      <c r="BIB1876" s="2730"/>
      <c r="BIC1876" s="2730"/>
      <c r="BID1876" s="2730"/>
      <c r="BIE1876" s="2730"/>
      <c r="BIF1876" s="2730"/>
      <c r="BIG1876" s="2730"/>
      <c r="BIH1876" s="2730"/>
      <c r="BII1876" s="2730"/>
      <c r="BIJ1876" s="2730"/>
      <c r="BIK1876" s="2730"/>
      <c r="BIL1876" s="2730"/>
      <c r="BIM1876" s="2730"/>
      <c r="BIN1876" s="2730"/>
      <c r="BIO1876" s="2730"/>
      <c r="BIP1876" s="2730"/>
      <c r="BIQ1876" s="2730"/>
      <c r="BIR1876" s="2730"/>
      <c r="BIS1876" s="2730"/>
      <c r="BIT1876" s="2730"/>
      <c r="BIU1876" s="2730"/>
      <c r="BIV1876" s="2730"/>
      <c r="BIW1876" s="2730"/>
      <c r="BIX1876" s="2730"/>
      <c r="BIY1876" s="2730"/>
      <c r="BIZ1876" s="2730"/>
      <c r="BJA1876" s="2730"/>
      <c r="BJB1876" s="2730"/>
      <c r="BJC1876" s="2730"/>
      <c r="BJD1876" s="2730"/>
      <c r="BJE1876" s="2730"/>
      <c r="BJF1876" s="2730"/>
      <c r="BJG1876" s="2730"/>
      <c r="BJH1876" s="2730"/>
      <c r="BJI1876" s="2730"/>
      <c r="BJJ1876" s="2730"/>
      <c r="BJK1876" s="2730"/>
      <c r="BJL1876" s="2730"/>
      <c r="BJM1876" s="2730"/>
      <c r="BJN1876" s="2730"/>
      <c r="BJO1876" s="2730"/>
      <c r="BJP1876" s="2730"/>
      <c r="BJQ1876" s="2730"/>
      <c r="BJR1876" s="2730"/>
      <c r="BJS1876" s="2730"/>
      <c r="BJT1876" s="2730"/>
      <c r="BJU1876" s="2730"/>
      <c r="BJV1876" s="2730"/>
      <c r="BJW1876" s="2730"/>
      <c r="BJX1876" s="2730"/>
      <c r="BJY1876" s="2730"/>
      <c r="BJZ1876" s="2730"/>
      <c r="BKA1876" s="2730"/>
      <c r="BKB1876" s="2730"/>
      <c r="BKC1876" s="2730"/>
      <c r="BKD1876" s="2730"/>
      <c r="BKE1876" s="2730"/>
      <c r="BKF1876" s="2730"/>
      <c r="BKG1876" s="2730"/>
      <c r="BKH1876" s="2730"/>
      <c r="BKI1876" s="2730"/>
      <c r="BKJ1876" s="2730"/>
      <c r="BKK1876" s="2730"/>
      <c r="BKL1876" s="2730"/>
      <c r="BKM1876" s="2730"/>
      <c r="BKN1876" s="2730"/>
      <c r="BKO1876" s="2730"/>
      <c r="BKP1876" s="2730"/>
      <c r="BKQ1876" s="2730"/>
      <c r="BKR1876" s="2730"/>
      <c r="BKS1876" s="2730"/>
      <c r="BKT1876" s="2730"/>
      <c r="BKU1876" s="2730"/>
      <c r="BKV1876" s="2730"/>
      <c r="BKW1876" s="2730"/>
      <c r="BKX1876" s="2730"/>
      <c r="BKY1876" s="2730"/>
      <c r="BKZ1876" s="2730"/>
      <c r="BLA1876" s="2730"/>
      <c r="BLB1876" s="2730"/>
      <c r="BLC1876" s="2730"/>
      <c r="BLD1876" s="2730"/>
      <c r="BLE1876" s="2730"/>
      <c r="BLF1876" s="2730"/>
      <c r="BLG1876" s="2730"/>
      <c r="BLH1876" s="2730"/>
      <c r="BLI1876" s="2730"/>
      <c r="BLJ1876" s="2730"/>
      <c r="BLK1876" s="2730"/>
      <c r="BLL1876" s="2730"/>
      <c r="BLM1876" s="2730"/>
      <c r="BLN1876" s="2730"/>
      <c r="BLO1876" s="2730"/>
      <c r="BLP1876" s="2730"/>
      <c r="BLQ1876" s="2730"/>
      <c r="BLR1876" s="2730"/>
      <c r="BLS1876" s="2730"/>
      <c r="BLT1876" s="2730"/>
      <c r="BLU1876" s="2730"/>
      <c r="BLV1876" s="2730"/>
      <c r="BLW1876" s="2730"/>
      <c r="BLX1876" s="2730"/>
      <c r="BLY1876" s="2730"/>
      <c r="BLZ1876" s="2730"/>
      <c r="BMA1876" s="2730"/>
      <c r="BMB1876" s="2730"/>
      <c r="BMC1876" s="2730"/>
      <c r="BMD1876" s="2730"/>
      <c r="BME1876" s="2730"/>
      <c r="BMF1876" s="2730"/>
      <c r="BMG1876" s="2730"/>
      <c r="BMH1876" s="2730"/>
      <c r="BMI1876" s="2730"/>
      <c r="BMJ1876" s="2730"/>
      <c r="BMK1876" s="2730"/>
      <c r="BML1876" s="2730"/>
      <c r="BMM1876" s="2730"/>
      <c r="BMN1876" s="2730"/>
      <c r="BMO1876" s="2730"/>
      <c r="BMP1876" s="2730"/>
      <c r="BMQ1876" s="2730"/>
      <c r="BMR1876" s="2730"/>
      <c r="BMS1876" s="2730"/>
      <c r="BMT1876" s="2730"/>
      <c r="BMU1876" s="2730"/>
      <c r="BMV1876" s="2730"/>
      <c r="BMW1876" s="2730"/>
      <c r="BMX1876" s="2730"/>
      <c r="BMY1876" s="2730"/>
      <c r="BMZ1876" s="2730"/>
      <c r="BNA1876" s="2730"/>
      <c r="BNB1876" s="2730"/>
      <c r="BNC1876" s="2730"/>
      <c r="BND1876" s="2730"/>
      <c r="BNE1876" s="2730"/>
      <c r="BNF1876" s="2730"/>
      <c r="BNG1876" s="2730"/>
      <c r="BNH1876" s="2730"/>
      <c r="BNI1876" s="2730"/>
      <c r="BNJ1876" s="2730"/>
      <c r="BNK1876" s="2730"/>
      <c r="BNL1876" s="2730"/>
      <c r="BNM1876" s="2730"/>
      <c r="BNN1876" s="2730"/>
      <c r="BNO1876" s="2730"/>
      <c r="BNP1876" s="2730"/>
      <c r="BNQ1876" s="2730"/>
      <c r="BNR1876" s="2730"/>
      <c r="BNS1876" s="2730"/>
      <c r="BNT1876" s="2730"/>
      <c r="BNU1876" s="2730"/>
      <c r="BNV1876" s="2730"/>
      <c r="BNW1876" s="2730"/>
      <c r="BNX1876" s="2730"/>
      <c r="BNY1876" s="2730"/>
      <c r="BNZ1876" s="2730"/>
      <c r="BOA1876" s="2730"/>
      <c r="BOB1876" s="2730"/>
      <c r="BOC1876" s="2730"/>
      <c r="BOD1876" s="2730"/>
      <c r="BOE1876" s="2730"/>
      <c r="BOF1876" s="2730"/>
      <c r="BOG1876" s="2730"/>
      <c r="BOH1876" s="2730"/>
      <c r="BOI1876" s="2730"/>
      <c r="BOJ1876" s="2730"/>
      <c r="BOK1876" s="2730"/>
      <c r="BOL1876" s="2730"/>
      <c r="BOM1876" s="2730"/>
      <c r="BON1876" s="2730"/>
      <c r="BOO1876" s="2730"/>
      <c r="BOP1876" s="2730"/>
      <c r="BOQ1876" s="2730"/>
      <c r="BOR1876" s="2730"/>
      <c r="BOS1876" s="2730"/>
      <c r="BOT1876" s="2730"/>
      <c r="BOU1876" s="2730"/>
      <c r="BOV1876" s="2730"/>
      <c r="BOW1876" s="2730"/>
      <c r="BOX1876" s="2730"/>
      <c r="BOY1876" s="2730"/>
      <c r="BOZ1876" s="2730"/>
      <c r="BPA1876" s="2730"/>
      <c r="BPB1876" s="2730"/>
      <c r="BPC1876" s="2730"/>
      <c r="BPD1876" s="2730"/>
      <c r="BPE1876" s="2730"/>
      <c r="BPF1876" s="2730"/>
      <c r="BPG1876" s="2730"/>
      <c r="BPH1876" s="2730"/>
      <c r="BPI1876" s="2730"/>
      <c r="BPJ1876" s="2730"/>
      <c r="BPK1876" s="2730"/>
      <c r="BPL1876" s="2730"/>
      <c r="BPM1876" s="2730"/>
      <c r="BPN1876" s="2730"/>
      <c r="BPO1876" s="2730"/>
      <c r="BPP1876" s="2730"/>
      <c r="BPQ1876" s="2730"/>
      <c r="BPR1876" s="2730"/>
      <c r="BPS1876" s="2730"/>
      <c r="BPT1876" s="2730"/>
      <c r="BPU1876" s="2730"/>
      <c r="BPV1876" s="2730"/>
      <c r="BPW1876" s="2730"/>
      <c r="BPX1876" s="2730"/>
      <c r="BPY1876" s="2730"/>
      <c r="BPZ1876" s="2730"/>
      <c r="BQA1876" s="2730"/>
      <c r="BQB1876" s="2730"/>
      <c r="BQC1876" s="2730"/>
      <c r="BQD1876" s="2730"/>
      <c r="BQE1876" s="2730"/>
      <c r="BQF1876" s="2730"/>
      <c r="BQG1876" s="2730"/>
      <c r="BQH1876" s="2730"/>
      <c r="BQI1876" s="2730"/>
      <c r="BQJ1876" s="2730"/>
      <c r="BQK1876" s="2730"/>
      <c r="BQL1876" s="2730"/>
      <c r="BQM1876" s="2730"/>
      <c r="BQN1876" s="2730"/>
      <c r="BQO1876" s="2730"/>
      <c r="BQP1876" s="2730"/>
      <c r="BQQ1876" s="2730"/>
      <c r="BQR1876" s="2730"/>
      <c r="BQS1876" s="2730"/>
      <c r="BQT1876" s="2730"/>
      <c r="BQU1876" s="2730"/>
      <c r="BQV1876" s="2730"/>
      <c r="BQW1876" s="2730"/>
      <c r="BQX1876" s="2730"/>
      <c r="BQY1876" s="2730"/>
      <c r="BQZ1876" s="2730"/>
      <c r="BRA1876" s="2730"/>
      <c r="BRB1876" s="2730"/>
      <c r="BRC1876" s="2730"/>
      <c r="BRD1876" s="2730"/>
      <c r="BRE1876" s="2730"/>
      <c r="BRF1876" s="2730"/>
      <c r="BRG1876" s="2730"/>
      <c r="BRH1876" s="2730"/>
      <c r="BRI1876" s="2730"/>
      <c r="BRJ1876" s="2730"/>
      <c r="BRK1876" s="2730"/>
      <c r="BRL1876" s="2730"/>
      <c r="BRM1876" s="2730"/>
      <c r="BRN1876" s="2730"/>
      <c r="BRO1876" s="2730"/>
      <c r="BRP1876" s="2730"/>
      <c r="BRQ1876" s="2730"/>
      <c r="BRR1876" s="2730"/>
      <c r="BRS1876" s="2730"/>
      <c r="BRT1876" s="2730"/>
      <c r="BRU1876" s="2730"/>
      <c r="BRV1876" s="2730"/>
      <c r="BRW1876" s="2730"/>
      <c r="BRX1876" s="2730"/>
      <c r="BRY1876" s="2730"/>
      <c r="BRZ1876" s="2730"/>
      <c r="BSA1876" s="2730"/>
      <c r="BSB1876" s="2730"/>
      <c r="BSC1876" s="2730"/>
      <c r="BSD1876" s="2730"/>
      <c r="BSE1876" s="2730"/>
      <c r="BSF1876" s="2730"/>
      <c r="BSG1876" s="2730"/>
      <c r="BSH1876" s="2730"/>
      <c r="BSI1876" s="2730"/>
      <c r="BSJ1876" s="2730"/>
      <c r="BSK1876" s="2730"/>
      <c r="BSL1876" s="2730"/>
      <c r="BSM1876" s="2730"/>
      <c r="BSN1876" s="2730"/>
      <c r="BSO1876" s="2730"/>
      <c r="BSP1876" s="2730"/>
      <c r="BSQ1876" s="2730"/>
      <c r="BSR1876" s="2730"/>
      <c r="BSS1876" s="2730"/>
      <c r="BST1876" s="2730"/>
      <c r="BSU1876" s="2730"/>
      <c r="BSV1876" s="2730"/>
      <c r="BSW1876" s="2730"/>
      <c r="BSX1876" s="2730"/>
      <c r="BSY1876" s="2730"/>
      <c r="BSZ1876" s="2730"/>
      <c r="BTA1876" s="2730"/>
      <c r="BTB1876" s="2730"/>
      <c r="BTC1876" s="2730"/>
      <c r="BTD1876" s="2730"/>
      <c r="BTE1876" s="2730"/>
      <c r="BTF1876" s="2730"/>
      <c r="BTG1876" s="2730"/>
      <c r="BTH1876" s="2730"/>
      <c r="BTI1876" s="2730"/>
      <c r="BTJ1876" s="2730"/>
      <c r="BTK1876" s="2730"/>
      <c r="BTL1876" s="2730"/>
      <c r="BTM1876" s="2730"/>
      <c r="BTN1876" s="2730"/>
      <c r="BTO1876" s="2730"/>
      <c r="BTP1876" s="2730"/>
      <c r="BTQ1876" s="2730"/>
      <c r="BTR1876" s="2730"/>
      <c r="BTS1876" s="2730"/>
      <c r="BTT1876" s="2730"/>
      <c r="BTU1876" s="2730"/>
      <c r="BTV1876" s="2730"/>
      <c r="BTW1876" s="2730"/>
      <c r="BTX1876" s="2730"/>
      <c r="BTY1876" s="2730"/>
      <c r="BTZ1876" s="2730"/>
      <c r="BUA1876" s="2730"/>
      <c r="BUB1876" s="2730"/>
      <c r="BUC1876" s="2730"/>
      <c r="BUD1876" s="2730"/>
      <c r="BUE1876" s="2730"/>
      <c r="BUF1876" s="2730"/>
      <c r="BUG1876" s="2730"/>
      <c r="BUH1876" s="2730"/>
      <c r="BUI1876" s="2730"/>
      <c r="BUJ1876" s="2730"/>
      <c r="BUK1876" s="2730"/>
      <c r="BUL1876" s="2730"/>
      <c r="BUM1876" s="2730"/>
      <c r="BUN1876" s="2730"/>
      <c r="BUO1876" s="2730"/>
      <c r="BUP1876" s="2730"/>
      <c r="BUQ1876" s="2730"/>
      <c r="BUR1876" s="2730"/>
      <c r="BUS1876" s="2730"/>
      <c r="BUT1876" s="2730"/>
      <c r="BUU1876" s="2730"/>
      <c r="BUV1876" s="2730"/>
      <c r="BUW1876" s="2730"/>
      <c r="BUX1876" s="2730"/>
      <c r="BUY1876" s="2730"/>
      <c r="BUZ1876" s="2730"/>
      <c r="BVA1876" s="2730"/>
      <c r="BVB1876" s="2730"/>
      <c r="BVC1876" s="2730"/>
      <c r="BVD1876" s="2730"/>
      <c r="BVE1876" s="2730"/>
      <c r="BVF1876" s="2730"/>
      <c r="BVG1876" s="2730"/>
      <c r="BVH1876" s="2730"/>
      <c r="BVI1876" s="2730"/>
      <c r="BVJ1876" s="2730"/>
      <c r="BVK1876" s="2730"/>
      <c r="BVL1876" s="2730"/>
      <c r="BVM1876" s="2730"/>
      <c r="BVN1876" s="2730"/>
      <c r="BVO1876" s="2730"/>
      <c r="BVP1876" s="2730"/>
      <c r="BVQ1876" s="2730"/>
      <c r="BVR1876" s="2730"/>
      <c r="BVS1876" s="2730"/>
      <c r="BVT1876" s="2730"/>
      <c r="BVU1876" s="2730"/>
      <c r="BVV1876" s="2730"/>
      <c r="BVW1876" s="2730"/>
      <c r="BVX1876" s="2730"/>
      <c r="BVY1876" s="2730"/>
      <c r="BVZ1876" s="2730"/>
      <c r="BWA1876" s="2730"/>
      <c r="BWB1876" s="2730"/>
      <c r="BWC1876" s="2730"/>
      <c r="BWD1876" s="2730"/>
      <c r="BWE1876" s="2730"/>
      <c r="BWF1876" s="2730"/>
      <c r="BWG1876" s="2730"/>
      <c r="BWH1876" s="2730"/>
      <c r="BWI1876" s="2730"/>
      <c r="BWJ1876" s="2730"/>
      <c r="BWK1876" s="2730"/>
      <c r="BWL1876" s="2730"/>
      <c r="BWM1876" s="2730"/>
      <c r="BWN1876" s="2730"/>
      <c r="BWO1876" s="2730"/>
      <c r="BWP1876" s="2730"/>
      <c r="BWQ1876" s="2730"/>
      <c r="BWR1876" s="2730"/>
      <c r="BWS1876" s="2730"/>
      <c r="BWT1876" s="2730"/>
      <c r="BWU1876" s="2730"/>
      <c r="BWV1876" s="2730"/>
      <c r="BWW1876" s="2730"/>
      <c r="BWX1876" s="2730"/>
      <c r="BWY1876" s="2730"/>
      <c r="BWZ1876" s="2730"/>
      <c r="BXA1876" s="2730"/>
      <c r="BXB1876" s="2730"/>
      <c r="BXC1876" s="2730"/>
      <c r="BXD1876" s="2730"/>
      <c r="BXE1876" s="2730"/>
      <c r="BXF1876" s="2730"/>
      <c r="BXG1876" s="2730"/>
      <c r="BXH1876" s="2730"/>
      <c r="BXI1876" s="2730"/>
      <c r="BXJ1876" s="2730"/>
      <c r="BXK1876" s="2730"/>
      <c r="BXL1876" s="2730"/>
      <c r="BXM1876" s="2730"/>
      <c r="BXN1876" s="2730"/>
      <c r="BXO1876" s="2730"/>
      <c r="BXP1876" s="2730"/>
      <c r="BXQ1876" s="2730"/>
      <c r="BXR1876" s="2730"/>
      <c r="BXS1876" s="2730"/>
      <c r="BXT1876" s="2730"/>
      <c r="BXU1876" s="2730"/>
      <c r="BXV1876" s="2730"/>
      <c r="BXW1876" s="2730"/>
      <c r="BXX1876" s="2730"/>
      <c r="BXY1876" s="2730"/>
      <c r="BXZ1876" s="2730"/>
      <c r="BYA1876" s="2730"/>
      <c r="BYB1876" s="2730"/>
      <c r="BYC1876" s="2730"/>
      <c r="BYD1876" s="2730"/>
      <c r="BYE1876" s="2730"/>
      <c r="BYF1876" s="2730"/>
      <c r="BYG1876" s="2730"/>
      <c r="BYH1876" s="2730"/>
      <c r="BYI1876" s="2730"/>
      <c r="BYJ1876" s="2730"/>
      <c r="BYK1876" s="2730"/>
      <c r="BYL1876" s="2730"/>
      <c r="BYM1876" s="2730"/>
      <c r="BYN1876" s="2730"/>
      <c r="BYO1876" s="2730"/>
      <c r="BYP1876" s="2730"/>
      <c r="BYQ1876" s="2730"/>
      <c r="BYR1876" s="2730"/>
      <c r="BYS1876" s="2730"/>
      <c r="BYT1876" s="2730"/>
      <c r="BYU1876" s="2730"/>
      <c r="BYV1876" s="2730"/>
      <c r="BYW1876" s="2730"/>
      <c r="BYX1876" s="2730"/>
      <c r="BYY1876" s="2730"/>
      <c r="BYZ1876" s="2730"/>
      <c r="BZA1876" s="2730"/>
      <c r="BZB1876" s="2730"/>
      <c r="BZC1876" s="2730"/>
      <c r="BZD1876" s="2730"/>
      <c r="BZE1876" s="2730"/>
      <c r="BZF1876" s="2730"/>
      <c r="BZG1876" s="2730"/>
      <c r="BZH1876" s="2730"/>
      <c r="BZI1876" s="2730"/>
      <c r="BZJ1876" s="2730"/>
      <c r="BZK1876" s="2730"/>
      <c r="BZL1876" s="2730"/>
      <c r="BZM1876" s="2730"/>
      <c r="BZN1876" s="2730"/>
      <c r="BZO1876" s="2730"/>
      <c r="BZP1876" s="2730"/>
      <c r="BZQ1876" s="2730"/>
      <c r="BZR1876" s="2730"/>
      <c r="BZS1876" s="2730"/>
      <c r="BZT1876" s="2730"/>
      <c r="BZU1876" s="2730"/>
      <c r="BZV1876" s="2730"/>
      <c r="BZW1876" s="2730"/>
      <c r="BZX1876" s="2730"/>
      <c r="BZY1876" s="2730"/>
      <c r="BZZ1876" s="2730"/>
      <c r="CAA1876" s="2730"/>
      <c r="CAB1876" s="2730"/>
      <c r="CAC1876" s="2730"/>
      <c r="CAD1876" s="2730"/>
      <c r="CAE1876" s="2730"/>
      <c r="CAF1876" s="2730"/>
      <c r="CAG1876" s="2730"/>
      <c r="CAH1876" s="2730"/>
      <c r="CAI1876" s="2730"/>
      <c r="CAJ1876" s="2730"/>
      <c r="CAK1876" s="2730"/>
      <c r="CAL1876" s="2730"/>
      <c r="CAM1876" s="2730"/>
      <c r="CAN1876" s="2730"/>
      <c r="CAO1876" s="2730"/>
      <c r="CAP1876" s="2730"/>
      <c r="CAQ1876" s="2730"/>
      <c r="CAR1876" s="2730"/>
      <c r="CAS1876" s="2730"/>
      <c r="CAT1876" s="2730"/>
      <c r="CAU1876" s="2730"/>
      <c r="CAV1876" s="2730"/>
      <c r="CAW1876" s="2730"/>
      <c r="CAX1876" s="2730"/>
      <c r="CAY1876" s="2730"/>
      <c r="CAZ1876" s="2730"/>
      <c r="CBA1876" s="2730"/>
      <c r="CBB1876" s="2730"/>
      <c r="CBC1876" s="2730"/>
      <c r="CBD1876" s="2730"/>
      <c r="CBE1876" s="2730"/>
      <c r="CBF1876" s="2730"/>
      <c r="CBG1876" s="2730"/>
      <c r="CBH1876" s="2730"/>
      <c r="CBI1876" s="2730"/>
      <c r="CBJ1876" s="2730"/>
      <c r="CBK1876" s="2730"/>
      <c r="CBL1876" s="2730"/>
      <c r="CBM1876" s="2730"/>
      <c r="CBN1876" s="2730"/>
      <c r="CBO1876" s="2730"/>
      <c r="CBP1876" s="2730"/>
      <c r="CBQ1876" s="2730"/>
      <c r="CBR1876" s="2730"/>
      <c r="CBS1876" s="2730"/>
      <c r="CBT1876" s="2730"/>
      <c r="CBU1876" s="2730"/>
      <c r="CBV1876" s="2730"/>
      <c r="CBW1876" s="2730"/>
      <c r="CBX1876" s="2730"/>
      <c r="CBY1876" s="2730"/>
      <c r="CBZ1876" s="2730"/>
      <c r="CCA1876" s="2730"/>
      <c r="CCB1876" s="2730"/>
      <c r="CCC1876" s="2730"/>
      <c r="CCD1876" s="2730"/>
      <c r="CCE1876" s="2730"/>
      <c r="CCF1876" s="2730"/>
      <c r="CCG1876" s="2730"/>
      <c r="CCH1876" s="2730"/>
      <c r="CCI1876" s="2730"/>
      <c r="CCJ1876" s="2730"/>
      <c r="CCK1876" s="2730"/>
      <c r="CCL1876" s="2730"/>
      <c r="CCM1876" s="2730"/>
      <c r="CCN1876" s="2730"/>
      <c r="CCO1876" s="2730"/>
      <c r="CCP1876" s="2730"/>
      <c r="CCQ1876" s="2730"/>
      <c r="CCR1876" s="2730"/>
      <c r="CCS1876" s="2730"/>
      <c r="CCT1876" s="2730"/>
      <c r="CCU1876" s="2730"/>
      <c r="CCV1876" s="2730"/>
      <c r="CCW1876" s="2730"/>
      <c r="CCX1876" s="2730"/>
      <c r="CCY1876" s="2730"/>
      <c r="CCZ1876" s="2730"/>
      <c r="CDA1876" s="2730"/>
      <c r="CDB1876" s="2730"/>
      <c r="CDC1876" s="2730"/>
      <c r="CDD1876" s="2730"/>
      <c r="CDE1876" s="2730"/>
      <c r="CDF1876" s="2730"/>
      <c r="CDG1876" s="2730"/>
      <c r="CDH1876" s="2730"/>
      <c r="CDI1876" s="2730"/>
      <c r="CDJ1876" s="2730"/>
      <c r="CDK1876" s="2730"/>
      <c r="CDL1876" s="2730"/>
      <c r="CDM1876" s="2730"/>
      <c r="CDN1876" s="2730"/>
      <c r="CDO1876" s="2730"/>
      <c r="CDP1876" s="2730"/>
      <c r="CDQ1876" s="2730"/>
      <c r="CDR1876" s="2730"/>
      <c r="CDS1876" s="2730"/>
      <c r="CDT1876" s="2730"/>
      <c r="CDU1876" s="2730"/>
      <c r="CDV1876" s="2730"/>
      <c r="CDW1876" s="2730"/>
      <c r="CDX1876" s="2730"/>
      <c r="CDY1876" s="2730"/>
      <c r="CDZ1876" s="2730"/>
      <c r="CEA1876" s="2730"/>
      <c r="CEB1876" s="2730"/>
      <c r="CEC1876" s="2730"/>
      <c r="CED1876" s="2730"/>
      <c r="CEE1876" s="2730"/>
      <c r="CEF1876" s="2730"/>
      <c r="CEG1876" s="2730"/>
      <c r="CEH1876" s="2730"/>
      <c r="CEI1876" s="2730"/>
      <c r="CEJ1876" s="2730"/>
      <c r="CEK1876" s="2730"/>
      <c r="CEL1876" s="2730"/>
      <c r="CEM1876" s="2730"/>
      <c r="CEN1876" s="2730"/>
      <c r="CEO1876" s="2730"/>
      <c r="CEP1876" s="2730"/>
      <c r="CEQ1876" s="2730"/>
      <c r="CER1876" s="2730"/>
      <c r="CES1876" s="2730"/>
      <c r="CET1876" s="2730"/>
      <c r="CEU1876" s="2730"/>
      <c r="CEV1876" s="2730"/>
      <c r="CEW1876" s="2730"/>
      <c r="CEX1876" s="2730"/>
      <c r="CEY1876" s="2730"/>
      <c r="CEZ1876" s="2730"/>
      <c r="CFA1876" s="2730"/>
      <c r="CFB1876" s="2730"/>
      <c r="CFC1876" s="2730"/>
      <c r="CFD1876" s="2730"/>
      <c r="CFE1876" s="2730"/>
      <c r="CFF1876" s="2730"/>
      <c r="CFG1876" s="2730"/>
      <c r="CFH1876" s="2730"/>
      <c r="CFI1876" s="2730"/>
      <c r="CFJ1876" s="2730"/>
      <c r="CFK1876" s="2730"/>
      <c r="CFL1876" s="2730"/>
      <c r="CFM1876" s="2730"/>
      <c r="CFN1876" s="2730"/>
      <c r="CFO1876" s="2730"/>
      <c r="CFP1876" s="2730"/>
      <c r="CFQ1876" s="2730"/>
      <c r="CFR1876" s="2730"/>
      <c r="CFS1876" s="2730"/>
      <c r="CFT1876" s="2730"/>
      <c r="CFU1876" s="2730"/>
      <c r="CFV1876" s="2730"/>
      <c r="CFW1876" s="2730"/>
      <c r="CFX1876" s="2730"/>
      <c r="CFY1876" s="2730"/>
      <c r="CFZ1876" s="2730"/>
      <c r="CGA1876" s="2730"/>
      <c r="CGB1876" s="2730"/>
      <c r="CGC1876" s="2730"/>
      <c r="CGD1876" s="2730"/>
      <c r="CGE1876" s="2730"/>
      <c r="CGF1876" s="2730"/>
      <c r="CGG1876" s="2730"/>
      <c r="CGH1876" s="2730"/>
      <c r="CGI1876" s="2730"/>
      <c r="CGJ1876" s="2730"/>
      <c r="CGK1876" s="2730"/>
      <c r="CGL1876" s="2730"/>
      <c r="CGM1876" s="2730"/>
      <c r="CGN1876" s="2730"/>
      <c r="CGO1876" s="2730"/>
      <c r="CGP1876" s="2730"/>
      <c r="CGQ1876" s="2730"/>
      <c r="CGR1876" s="2730"/>
      <c r="CGS1876" s="2730"/>
      <c r="CGT1876" s="2730"/>
      <c r="CGU1876" s="2730"/>
      <c r="CGV1876" s="2730"/>
      <c r="CGW1876" s="2730"/>
      <c r="CGX1876" s="2730"/>
      <c r="CGY1876" s="2730"/>
      <c r="CGZ1876" s="2730"/>
      <c r="CHA1876" s="2730"/>
      <c r="CHB1876" s="2730"/>
      <c r="CHC1876" s="2730"/>
      <c r="CHD1876" s="2730"/>
      <c r="CHE1876" s="2730"/>
      <c r="CHF1876" s="2730"/>
      <c r="CHG1876" s="2730"/>
      <c r="CHH1876" s="2730"/>
      <c r="CHI1876" s="2730"/>
      <c r="CHJ1876" s="2730"/>
      <c r="CHK1876" s="2730"/>
      <c r="CHL1876" s="2730"/>
      <c r="CHM1876" s="2730"/>
      <c r="CHN1876" s="2730"/>
      <c r="CHO1876" s="2730"/>
      <c r="CHP1876" s="2730"/>
      <c r="CHQ1876" s="2730"/>
      <c r="CHR1876" s="2730"/>
      <c r="CHS1876" s="2730"/>
      <c r="CHT1876" s="2730"/>
      <c r="CHU1876" s="2730"/>
      <c r="CHV1876" s="2730"/>
      <c r="CHW1876" s="2730"/>
      <c r="CHX1876" s="2730"/>
      <c r="CHY1876" s="2730"/>
      <c r="CHZ1876" s="2730"/>
      <c r="CIA1876" s="2730"/>
      <c r="CIB1876" s="2730"/>
      <c r="CIC1876" s="2730"/>
      <c r="CID1876" s="2730"/>
      <c r="CIE1876" s="2730"/>
      <c r="CIF1876" s="2730"/>
      <c r="CIG1876" s="2730"/>
      <c r="CIH1876" s="2730"/>
      <c r="CII1876" s="2730"/>
      <c r="CIJ1876" s="2730"/>
      <c r="CIK1876" s="2730"/>
      <c r="CIL1876" s="2730"/>
      <c r="CIM1876" s="2730"/>
      <c r="CIN1876" s="2730"/>
      <c r="CIO1876" s="2730"/>
      <c r="CIP1876" s="2730"/>
      <c r="CIQ1876" s="2730"/>
      <c r="CIR1876" s="2730"/>
      <c r="CIS1876" s="2730"/>
      <c r="CIT1876" s="2730"/>
      <c r="CIU1876" s="2730"/>
      <c r="CIV1876" s="2730"/>
      <c r="CIW1876" s="2730"/>
      <c r="CIX1876" s="2730"/>
      <c r="CIY1876" s="2730"/>
      <c r="CIZ1876" s="2730"/>
      <c r="CJA1876" s="2730"/>
      <c r="CJB1876" s="2730"/>
      <c r="CJC1876" s="2730"/>
      <c r="CJD1876" s="2730"/>
      <c r="CJE1876" s="2730"/>
      <c r="CJF1876" s="2730"/>
      <c r="CJG1876" s="2730"/>
      <c r="CJH1876" s="2730"/>
      <c r="CJI1876" s="2730"/>
      <c r="CJJ1876" s="2730"/>
      <c r="CJK1876" s="2730"/>
      <c r="CJL1876" s="2730"/>
      <c r="CJM1876" s="2730"/>
      <c r="CJN1876" s="2730"/>
      <c r="CJO1876" s="2730"/>
      <c r="CJP1876" s="2730"/>
      <c r="CJQ1876" s="2730"/>
      <c r="CJR1876" s="2730"/>
      <c r="CJS1876" s="2730"/>
      <c r="CJT1876" s="2730"/>
      <c r="CJU1876" s="2730"/>
      <c r="CJV1876" s="2730"/>
      <c r="CJW1876" s="2730"/>
      <c r="CJX1876" s="2730"/>
      <c r="CJY1876" s="2730"/>
      <c r="CJZ1876" s="2730"/>
      <c r="CKA1876" s="2730"/>
      <c r="CKB1876" s="2730"/>
      <c r="CKC1876" s="2730"/>
      <c r="CKD1876" s="2730"/>
      <c r="CKE1876" s="2730"/>
      <c r="CKF1876" s="2730"/>
      <c r="CKG1876" s="2730"/>
      <c r="CKH1876" s="2730"/>
      <c r="CKI1876" s="2730"/>
      <c r="CKJ1876" s="2730"/>
      <c r="CKK1876" s="2730"/>
      <c r="CKL1876" s="2730"/>
      <c r="CKM1876" s="2730"/>
      <c r="CKN1876" s="2730"/>
      <c r="CKO1876" s="2730"/>
      <c r="CKP1876" s="2730"/>
      <c r="CKQ1876" s="2730"/>
      <c r="CKR1876" s="2730"/>
      <c r="CKS1876" s="2730"/>
      <c r="CKT1876" s="2730"/>
      <c r="CKU1876" s="2730"/>
      <c r="CKV1876" s="2730"/>
      <c r="CKW1876" s="2730"/>
      <c r="CKX1876" s="2730"/>
      <c r="CKY1876" s="2730"/>
      <c r="CKZ1876" s="2730"/>
      <c r="CLA1876" s="2730"/>
      <c r="CLB1876" s="2730"/>
      <c r="CLC1876" s="2730"/>
      <c r="CLD1876" s="2730"/>
      <c r="CLE1876" s="2730"/>
      <c r="CLF1876" s="2730"/>
      <c r="CLG1876" s="2730"/>
      <c r="CLH1876" s="2730"/>
      <c r="CLI1876" s="2730"/>
      <c r="CLJ1876" s="2730"/>
      <c r="CLK1876" s="2730"/>
      <c r="CLL1876" s="2730"/>
      <c r="CLM1876" s="2730"/>
      <c r="CLN1876" s="2730"/>
      <c r="CLO1876" s="2730"/>
      <c r="CLP1876" s="2730"/>
      <c r="CLQ1876" s="2730"/>
      <c r="CLR1876" s="2730"/>
      <c r="CLS1876" s="2730"/>
      <c r="CLT1876" s="2730"/>
      <c r="CLU1876" s="2730"/>
      <c r="CLV1876" s="2730"/>
      <c r="CLW1876" s="2730"/>
      <c r="CLX1876" s="2730"/>
      <c r="CLY1876" s="2730"/>
      <c r="CLZ1876" s="2730"/>
      <c r="CMA1876" s="2730"/>
      <c r="CMB1876" s="2730"/>
      <c r="CMC1876" s="2730"/>
      <c r="CMD1876" s="2730"/>
      <c r="CME1876" s="2730"/>
      <c r="CMF1876" s="2730"/>
      <c r="CMG1876" s="2730"/>
      <c r="CMH1876" s="2730"/>
      <c r="CMI1876" s="2730"/>
      <c r="CMJ1876" s="2730"/>
      <c r="CMK1876" s="2730"/>
      <c r="CML1876" s="2730"/>
      <c r="CMM1876" s="2730"/>
      <c r="CMN1876" s="2730"/>
      <c r="CMO1876" s="2730"/>
      <c r="CMP1876" s="2730"/>
      <c r="CMQ1876" s="2730"/>
      <c r="CMR1876" s="2730"/>
      <c r="CMS1876" s="2730"/>
      <c r="CMT1876" s="2730"/>
      <c r="CMU1876" s="2730"/>
      <c r="CMV1876" s="2730"/>
      <c r="CMW1876" s="2730"/>
      <c r="CMX1876" s="2730"/>
      <c r="CMY1876" s="2730"/>
      <c r="CMZ1876" s="2730"/>
      <c r="CNA1876" s="2730"/>
      <c r="CNB1876" s="2730"/>
      <c r="CNC1876" s="2730"/>
      <c r="CND1876" s="2730"/>
      <c r="CNE1876" s="2730"/>
      <c r="CNF1876" s="2730"/>
      <c r="CNG1876" s="2730"/>
      <c r="CNH1876" s="2730"/>
      <c r="CNI1876" s="2730"/>
      <c r="CNJ1876" s="2730"/>
      <c r="CNK1876" s="2730"/>
      <c r="CNL1876" s="2730"/>
      <c r="CNM1876" s="2730"/>
      <c r="CNN1876" s="2730"/>
      <c r="CNO1876" s="2730"/>
      <c r="CNP1876" s="2730"/>
      <c r="CNQ1876" s="2730"/>
      <c r="CNR1876" s="2730"/>
      <c r="CNS1876" s="2730"/>
      <c r="CNT1876" s="2730"/>
      <c r="CNU1876" s="2730"/>
      <c r="CNV1876" s="2730"/>
      <c r="CNW1876" s="2730"/>
      <c r="CNX1876" s="2730"/>
      <c r="CNY1876" s="2730"/>
      <c r="CNZ1876" s="2730"/>
      <c r="COA1876" s="2730"/>
      <c r="COB1876" s="2730"/>
      <c r="COC1876" s="2730"/>
      <c r="COD1876" s="2730"/>
      <c r="COE1876" s="2730"/>
      <c r="COF1876" s="2730"/>
      <c r="COG1876" s="2730"/>
      <c r="COH1876" s="2730"/>
      <c r="COI1876" s="2730"/>
      <c r="COJ1876" s="2730"/>
      <c r="COK1876" s="2730"/>
      <c r="COL1876" s="2730"/>
      <c r="COM1876" s="2730"/>
      <c r="CON1876" s="2730"/>
      <c r="COO1876" s="2730"/>
      <c r="COP1876" s="2730"/>
      <c r="COQ1876" s="2730"/>
      <c r="COR1876" s="2730"/>
      <c r="COS1876" s="2730"/>
      <c r="COT1876" s="2730"/>
      <c r="COU1876" s="2730"/>
      <c r="COV1876" s="2730"/>
      <c r="COW1876" s="2730"/>
      <c r="COX1876" s="2730"/>
      <c r="COY1876" s="2730"/>
      <c r="COZ1876" s="2730"/>
      <c r="CPA1876" s="2730"/>
      <c r="CPB1876" s="2730"/>
      <c r="CPC1876" s="2730"/>
      <c r="CPD1876" s="2730"/>
      <c r="CPE1876" s="2730"/>
      <c r="CPF1876" s="2730"/>
      <c r="CPG1876" s="2730"/>
      <c r="CPH1876" s="2730"/>
      <c r="CPI1876" s="2730"/>
      <c r="CPJ1876" s="2730"/>
      <c r="CPK1876" s="2730"/>
      <c r="CPL1876" s="2730"/>
      <c r="CPM1876" s="2730"/>
      <c r="CPN1876" s="2730"/>
      <c r="CPO1876" s="2730"/>
      <c r="CPP1876" s="2730"/>
      <c r="CPQ1876" s="2730"/>
      <c r="CPR1876" s="2730"/>
      <c r="CPS1876" s="2730"/>
      <c r="CPT1876" s="2730"/>
      <c r="CPU1876" s="2730"/>
      <c r="CPV1876" s="2730"/>
      <c r="CPW1876" s="2730"/>
      <c r="CPX1876" s="2730"/>
      <c r="CPY1876" s="2730"/>
      <c r="CPZ1876" s="2730"/>
      <c r="CQA1876" s="2730"/>
      <c r="CQB1876" s="2730"/>
      <c r="CQC1876" s="2730"/>
      <c r="CQD1876" s="2730"/>
      <c r="CQE1876" s="2730"/>
      <c r="CQF1876" s="2730"/>
      <c r="CQG1876" s="2730"/>
      <c r="CQH1876" s="2730"/>
      <c r="CQI1876" s="2730"/>
      <c r="CQJ1876" s="2730"/>
      <c r="CQK1876" s="2730"/>
      <c r="CQL1876" s="2730"/>
      <c r="CQM1876" s="2730"/>
      <c r="CQN1876" s="2730"/>
      <c r="CQO1876" s="2730"/>
      <c r="CQP1876" s="2730"/>
      <c r="CQQ1876" s="2730"/>
      <c r="CQR1876" s="2730"/>
      <c r="CQS1876" s="2730"/>
      <c r="CQT1876" s="2730"/>
      <c r="CQU1876" s="2730"/>
      <c r="CQV1876" s="2730"/>
      <c r="CQW1876" s="2730"/>
      <c r="CQX1876" s="2730"/>
      <c r="CQY1876" s="2730"/>
      <c r="CQZ1876" s="2730"/>
      <c r="CRA1876" s="2730"/>
      <c r="CRB1876" s="2730"/>
      <c r="CRC1876" s="2730"/>
      <c r="CRD1876" s="2730"/>
      <c r="CRE1876" s="2730"/>
      <c r="CRF1876" s="2730"/>
      <c r="CRG1876" s="2730"/>
      <c r="CRH1876" s="2730"/>
      <c r="CRI1876" s="2730"/>
      <c r="CRJ1876" s="2730"/>
      <c r="CRK1876" s="2730"/>
      <c r="CRL1876" s="2730"/>
      <c r="CRM1876" s="2730"/>
      <c r="CRN1876" s="2730"/>
      <c r="CRO1876" s="2730"/>
      <c r="CRP1876" s="2730"/>
      <c r="CRQ1876" s="2730"/>
      <c r="CRR1876" s="2730"/>
      <c r="CRS1876" s="2730"/>
      <c r="CRT1876" s="2730"/>
      <c r="CRU1876" s="2730"/>
      <c r="CRV1876" s="2730"/>
      <c r="CRW1876" s="2730"/>
      <c r="CRX1876" s="2730"/>
      <c r="CRY1876" s="2730"/>
      <c r="CRZ1876" s="2730"/>
      <c r="CSA1876" s="2730"/>
      <c r="CSB1876" s="2730"/>
      <c r="CSC1876" s="2730"/>
      <c r="CSD1876" s="2730"/>
      <c r="CSE1876" s="2730"/>
      <c r="CSF1876" s="2730"/>
      <c r="CSG1876" s="2730"/>
      <c r="CSH1876" s="2730"/>
      <c r="CSI1876" s="2730"/>
      <c r="CSJ1876" s="2730"/>
      <c r="CSK1876" s="2730"/>
      <c r="CSL1876" s="2730"/>
      <c r="CSM1876" s="2730"/>
      <c r="CSN1876" s="2730"/>
      <c r="CSO1876" s="2730"/>
      <c r="CSP1876" s="2730"/>
      <c r="CSQ1876" s="2730"/>
      <c r="CSR1876" s="2730"/>
      <c r="CSS1876" s="2730"/>
      <c r="CST1876" s="2730"/>
      <c r="CSU1876" s="2730"/>
      <c r="CSV1876" s="2730"/>
      <c r="CSW1876" s="2730"/>
      <c r="CSX1876" s="2730"/>
      <c r="CSY1876" s="2730"/>
      <c r="CSZ1876" s="2730"/>
      <c r="CTA1876" s="2730"/>
      <c r="CTB1876" s="2730"/>
      <c r="CTC1876" s="2730"/>
      <c r="CTD1876" s="2730"/>
      <c r="CTE1876" s="2730"/>
      <c r="CTF1876" s="2730"/>
      <c r="CTG1876" s="2730"/>
      <c r="CTH1876" s="2730"/>
      <c r="CTI1876" s="2730"/>
      <c r="CTJ1876" s="2730"/>
      <c r="CTK1876" s="2730"/>
      <c r="CTL1876" s="2730"/>
      <c r="CTM1876" s="2730"/>
      <c r="CTN1876" s="2730"/>
      <c r="CTO1876" s="2730"/>
      <c r="CTP1876" s="2730"/>
      <c r="CTQ1876" s="2730"/>
      <c r="CTR1876" s="2730"/>
      <c r="CTS1876" s="2730"/>
      <c r="CTT1876" s="2730"/>
      <c r="CTU1876" s="2730"/>
      <c r="CTV1876" s="2730"/>
      <c r="CTW1876" s="2730"/>
      <c r="CTX1876" s="2730"/>
      <c r="CTY1876" s="2730"/>
      <c r="CTZ1876" s="2730"/>
      <c r="CUA1876" s="2730"/>
      <c r="CUB1876" s="2730"/>
      <c r="CUC1876" s="2730"/>
      <c r="CUD1876" s="2730"/>
      <c r="CUE1876" s="2730"/>
      <c r="CUF1876" s="2730"/>
      <c r="CUG1876" s="2730"/>
      <c r="CUH1876" s="2730"/>
      <c r="CUI1876" s="2730"/>
      <c r="CUJ1876" s="2730"/>
      <c r="CUK1876" s="2730"/>
      <c r="CUL1876" s="2730"/>
      <c r="CUM1876" s="2730"/>
      <c r="CUN1876" s="2730"/>
      <c r="CUO1876" s="2730"/>
      <c r="CUP1876" s="2730"/>
      <c r="CUQ1876" s="2730"/>
      <c r="CUR1876" s="2730"/>
      <c r="CUS1876" s="2730"/>
      <c r="CUT1876" s="2730"/>
      <c r="CUU1876" s="2730"/>
      <c r="CUV1876" s="2730"/>
      <c r="CUW1876" s="2730"/>
      <c r="CUX1876" s="2730"/>
      <c r="CUY1876" s="2730"/>
      <c r="CUZ1876" s="2730"/>
      <c r="CVA1876" s="2730"/>
      <c r="CVB1876" s="2730"/>
      <c r="CVC1876" s="2730"/>
      <c r="CVD1876" s="2730"/>
      <c r="CVE1876" s="2730"/>
      <c r="CVF1876" s="2730"/>
      <c r="CVG1876" s="2730"/>
      <c r="CVH1876" s="2730"/>
      <c r="CVI1876" s="2730"/>
      <c r="CVJ1876" s="2730"/>
      <c r="CVK1876" s="2730"/>
      <c r="CVL1876" s="2730"/>
      <c r="CVM1876" s="2730"/>
      <c r="CVN1876" s="2730"/>
      <c r="CVO1876" s="2730"/>
      <c r="CVP1876" s="2730"/>
      <c r="CVQ1876" s="2730"/>
      <c r="CVR1876" s="2730"/>
      <c r="CVS1876" s="2730"/>
      <c r="CVT1876" s="2730"/>
      <c r="CVU1876" s="2730"/>
      <c r="CVV1876" s="2730"/>
      <c r="CVW1876" s="2730"/>
      <c r="CVX1876" s="2730"/>
      <c r="CVY1876" s="2730"/>
      <c r="CVZ1876" s="2730"/>
      <c r="CWA1876" s="2730"/>
      <c r="CWB1876" s="2730"/>
      <c r="CWC1876" s="2730"/>
      <c r="CWD1876" s="2730"/>
      <c r="CWE1876" s="2730"/>
      <c r="CWF1876" s="2730"/>
      <c r="CWG1876" s="2730"/>
      <c r="CWH1876" s="2730"/>
      <c r="CWI1876" s="2730"/>
      <c r="CWJ1876" s="2730"/>
      <c r="CWK1876" s="2730"/>
      <c r="CWL1876" s="2730"/>
      <c r="CWM1876" s="2730"/>
      <c r="CWN1876" s="2730"/>
      <c r="CWO1876" s="2730"/>
      <c r="CWP1876" s="2730"/>
      <c r="CWQ1876" s="2730"/>
      <c r="CWR1876" s="2730"/>
      <c r="CWS1876" s="2730"/>
      <c r="CWT1876" s="2730"/>
      <c r="CWU1876" s="2730"/>
      <c r="CWV1876" s="2730"/>
      <c r="CWW1876" s="2730"/>
      <c r="CWX1876" s="2730"/>
      <c r="CWY1876" s="2730"/>
      <c r="CWZ1876" s="2730"/>
      <c r="CXA1876" s="2730"/>
      <c r="CXB1876" s="2730"/>
      <c r="CXC1876" s="2730"/>
      <c r="CXD1876" s="2730"/>
      <c r="CXE1876" s="2730"/>
      <c r="CXF1876" s="2730"/>
      <c r="CXG1876" s="2730"/>
      <c r="CXH1876" s="2730"/>
      <c r="CXI1876" s="2730"/>
      <c r="CXJ1876" s="2730"/>
      <c r="CXK1876" s="2730"/>
      <c r="CXL1876" s="2730"/>
      <c r="CXM1876" s="2730"/>
      <c r="CXN1876" s="2730"/>
      <c r="CXO1876" s="2730"/>
      <c r="CXP1876" s="2730"/>
      <c r="CXQ1876" s="2730"/>
      <c r="CXR1876" s="2730"/>
      <c r="CXS1876" s="2730"/>
      <c r="CXT1876" s="2730"/>
      <c r="CXU1876" s="2730"/>
      <c r="CXV1876" s="2730"/>
      <c r="CXW1876" s="2730"/>
      <c r="CXX1876" s="2730"/>
      <c r="CXY1876" s="2730"/>
      <c r="CXZ1876" s="2730"/>
      <c r="CYA1876" s="2730"/>
      <c r="CYB1876" s="2730"/>
      <c r="CYC1876" s="2730"/>
      <c r="CYD1876" s="2730"/>
      <c r="CYE1876" s="2730"/>
      <c r="CYF1876" s="2730"/>
      <c r="CYG1876" s="2730"/>
      <c r="CYH1876" s="2730"/>
      <c r="CYI1876" s="2730"/>
      <c r="CYJ1876" s="2730"/>
      <c r="CYK1876" s="2730"/>
      <c r="CYL1876" s="2730"/>
      <c r="CYM1876" s="2730"/>
      <c r="CYN1876" s="2730"/>
      <c r="CYO1876" s="2730"/>
      <c r="CYP1876" s="2730"/>
      <c r="CYQ1876" s="2730"/>
      <c r="CYR1876" s="2730"/>
      <c r="CYS1876" s="2730"/>
      <c r="CYT1876" s="2730"/>
      <c r="CYU1876" s="2730"/>
      <c r="CYV1876" s="2730"/>
      <c r="CYW1876" s="2730"/>
      <c r="CYX1876" s="2730"/>
      <c r="CYY1876" s="2730"/>
      <c r="CYZ1876" s="2730"/>
      <c r="CZA1876" s="2730"/>
      <c r="CZB1876" s="2730"/>
      <c r="CZC1876" s="2730"/>
      <c r="CZD1876" s="2730"/>
      <c r="CZE1876" s="2730"/>
      <c r="CZF1876" s="2730"/>
      <c r="CZG1876" s="2730"/>
      <c r="CZH1876" s="2730"/>
      <c r="CZI1876" s="2730"/>
      <c r="CZJ1876" s="2730"/>
      <c r="CZK1876" s="2730"/>
      <c r="CZL1876" s="2730"/>
      <c r="CZM1876" s="2730"/>
      <c r="CZN1876" s="2730"/>
      <c r="CZO1876" s="2730"/>
      <c r="CZP1876" s="2730"/>
      <c r="CZQ1876" s="2730"/>
      <c r="CZR1876" s="2730"/>
      <c r="CZS1876" s="2730"/>
      <c r="CZT1876" s="2730"/>
      <c r="CZU1876" s="2730"/>
      <c r="CZV1876" s="2730"/>
      <c r="CZW1876" s="2730"/>
      <c r="CZX1876" s="2730"/>
      <c r="CZY1876" s="2730"/>
      <c r="CZZ1876" s="2730"/>
      <c r="DAA1876" s="2730"/>
      <c r="DAB1876" s="2730"/>
      <c r="DAC1876" s="2730"/>
      <c r="DAD1876" s="2730"/>
      <c r="DAE1876" s="2730"/>
      <c r="DAF1876" s="2730"/>
      <c r="DAG1876" s="2730"/>
      <c r="DAH1876" s="2730"/>
      <c r="DAI1876" s="2730"/>
      <c r="DAJ1876" s="2730"/>
      <c r="DAK1876" s="2730"/>
      <c r="DAL1876" s="2730"/>
      <c r="DAM1876" s="2730"/>
      <c r="DAN1876" s="2730"/>
      <c r="DAO1876" s="2730"/>
      <c r="DAP1876" s="2730"/>
      <c r="DAQ1876" s="2730"/>
      <c r="DAR1876" s="2730"/>
      <c r="DAS1876" s="2730"/>
      <c r="DAT1876" s="2730"/>
      <c r="DAU1876" s="2730"/>
      <c r="DAV1876" s="2730"/>
      <c r="DAW1876" s="2730"/>
      <c r="DAX1876" s="2730"/>
      <c r="DAY1876" s="2730"/>
      <c r="DAZ1876" s="2730"/>
      <c r="DBA1876" s="2730"/>
      <c r="DBB1876" s="2730"/>
      <c r="DBC1876" s="2730"/>
      <c r="DBD1876" s="2730"/>
      <c r="DBE1876" s="2730"/>
      <c r="DBF1876" s="2730"/>
      <c r="DBG1876" s="2730"/>
      <c r="DBH1876" s="2730"/>
      <c r="DBI1876" s="2730"/>
      <c r="DBJ1876" s="2730"/>
      <c r="DBK1876" s="2730"/>
      <c r="DBL1876" s="2730"/>
      <c r="DBM1876" s="2730"/>
      <c r="DBN1876" s="2730"/>
      <c r="DBO1876" s="2730"/>
      <c r="DBP1876" s="2730"/>
      <c r="DBQ1876" s="2730"/>
      <c r="DBR1876" s="2730"/>
      <c r="DBS1876" s="2730"/>
      <c r="DBT1876" s="2730"/>
      <c r="DBU1876" s="2730"/>
      <c r="DBV1876" s="2730"/>
      <c r="DBW1876" s="2730"/>
      <c r="DBX1876" s="2730"/>
      <c r="DBY1876" s="2730"/>
      <c r="DBZ1876" s="2730"/>
      <c r="DCA1876" s="2730"/>
      <c r="DCB1876" s="2730"/>
      <c r="DCC1876" s="2730"/>
      <c r="DCD1876" s="2730"/>
      <c r="DCE1876" s="2730"/>
      <c r="DCF1876" s="2730"/>
      <c r="DCG1876" s="2730"/>
      <c r="DCH1876" s="2730"/>
      <c r="DCI1876" s="2730"/>
      <c r="DCJ1876" s="2730"/>
      <c r="DCK1876" s="2730"/>
      <c r="DCL1876" s="2730"/>
      <c r="DCM1876" s="2730"/>
      <c r="DCN1876" s="2730"/>
      <c r="DCO1876" s="2730"/>
      <c r="DCP1876" s="2730"/>
      <c r="DCQ1876" s="2730"/>
      <c r="DCR1876" s="2730"/>
      <c r="DCS1876" s="2730"/>
      <c r="DCT1876" s="2730"/>
      <c r="DCU1876" s="2730"/>
      <c r="DCV1876" s="2730"/>
      <c r="DCW1876" s="2730"/>
      <c r="DCX1876" s="2730"/>
      <c r="DCY1876" s="2730"/>
      <c r="DCZ1876" s="2730"/>
      <c r="DDA1876" s="2730"/>
      <c r="DDB1876" s="2730"/>
      <c r="DDC1876" s="2730"/>
      <c r="DDD1876" s="2730"/>
      <c r="DDE1876" s="2730"/>
      <c r="DDF1876" s="2730"/>
      <c r="DDG1876" s="2730"/>
      <c r="DDH1876" s="2730"/>
      <c r="DDI1876" s="2730"/>
      <c r="DDJ1876" s="2730"/>
      <c r="DDK1876" s="2730"/>
      <c r="DDL1876" s="2730"/>
      <c r="DDM1876" s="2730"/>
      <c r="DDN1876" s="2730"/>
      <c r="DDO1876" s="2730"/>
      <c r="DDP1876" s="2730"/>
      <c r="DDQ1876" s="2730"/>
      <c r="DDR1876" s="2730"/>
      <c r="DDS1876" s="2730"/>
      <c r="DDT1876" s="2730"/>
      <c r="DDU1876" s="2730"/>
      <c r="DDV1876" s="2730"/>
      <c r="DDW1876" s="2730"/>
      <c r="DDX1876" s="2730"/>
      <c r="DDY1876" s="2730"/>
      <c r="DDZ1876" s="2730"/>
      <c r="DEA1876" s="2730"/>
      <c r="DEB1876" s="2730"/>
      <c r="DEC1876" s="2730"/>
      <c r="DED1876" s="2730"/>
      <c r="DEE1876" s="2730"/>
      <c r="DEF1876" s="2730"/>
      <c r="DEG1876" s="2730"/>
      <c r="DEH1876" s="2730"/>
      <c r="DEI1876" s="2730"/>
      <c r="DEJ1876" s="2730"/>
      <c r="DEK1876" s="2730"/>
      <c r="DEL1876" s="2730"/>
      <c r="DEM1876" s="2730"/>
      <c r="DEN1876" s="2730"/>
      <c r="DEO1876" s="2730"/>
      <c r="DEP1876" s="2730"/>
      <c r="DEQ1876" s="2730"/>
      <c r="DER1876" s="2730"/>
      <c r="DES1876" s="2730"/>
      <c r="DET1876" s="2730"/>
      <c r="DEU1876" s="2730"/>
      <c r="DEV1876" s="2730"/>
      <c r="DEW1876" s="2730"/>
      <c r="DEX1876" s="2730"/>
      <c r="DEY1876" s="2730"/>
      <c r="DEZ1876" s="2730"/>
      <c r="DFA1876" s="2730"/>
      <c r="DFB1876" s="2730"/>
      <c r="DFC1876" s="2730"/>
      <c r="DFD1876" s="2730"/>
      <c r="DFE1876" s="2730"/>
      <c r="DFF1876" s="2730"/>
      <c r="DFG1876" s="2730"/>
      <c r="DFH1876" s="2730"/>
      <c r="DFI1876" s="2730"/>
      <c r="DFJ1876" s="2730"/>
      <c r="DFK1876" s="2730"/>
      <c r="DFL1876" s="2730"/>
      <c r="DFM1876" s="2730"/>
      <c r="DFN1876" s="2730"/>
      <c r="DFO1876" s="2730"/>
      <c r="DFP1876" s="2730"/>
      <c r="DFQ1876" s="2730"/>
      <c r="DFR1876" s="2730"/>
      <c r="DFS1876" s="2730"/>
      <c r="DFT1876" s="2730"/>
      <c r="DFU1876" s="2730"/>
      <c r="DFV1876" s="2730"/>
      <c r="DFW1876" s="2730"/>
      <c r="DFX1876" s="2730"/>
      <c r="DFY1876" s="2730"/>
      <c r="DFZ1876" s="2730"/>
      <c r="DGA1876" s="2730"/>
      <c r="DGB1876" s="2730"/>
      <c r="DGC1876" s="2730"/>
      <c r="DGD1876" s="2730"/>
      <c r="DGE1876" s="2730"/>
      <c r="DGF1876" s="2730"/>
      <c r="DGG1876" s="2730"/>
      <c r="DGH1876" s="2730"/>
      <c r="DGI1876" s="2730"/>
      <c r="DGJ1876" s="2730"/>
      <c r="DGK1876" s="2730"/>
      <c r="DGL1876" s="2730"/>
      <c r="DGM1876" s="2730"/>
      <c r="DGN1876" s="2730"/>
      <c r="DGO1876" s="2730"/>
      <c r="DGP1876" s="2730"/>
      <c r="DGQ1876" s="2730"/>
      <c r="DGR1876" s="2730"/>
      <c r="DGS1876" s="2730"/>
      <c r="DGT1876" s="2730"/>
      <c r="DGU1876" s="2730"/>
      <c r="DGV1876" s="2730"/>
      <c r="DGW1876" s="2730"/>
      <c r="DGX1876" s="2730"/>
      <c r="DGY1876" s="2730"/>
      <c r="DGZ1876" s="2730"/>
      <c r="DHA1876" s="2730"/>
      <c r="DHB1876" s="2730"/>
      <c r="DHC1876" s="2730"/>
      <c r="DHD1876" s="2730"/>
      <c r="DHE1876" s="2730"/>
      <c r="DHF1876" s="2730"/>
      <c r="DHG1876" s="2730"/>
      <c r="DHH1876" s="2730"/>
      <c r="DHI1876" s="2730"/>
      <c r="DHJ1876" s="2730"/>
      <c r="DHK1876" s="2730"/>
      <c r="DHL1876" s="2730"/>
      <c r="DHM1876" s="2730"/>
      <c r="DHN1876" s="2730"/>
      <c r="DHO1876" s="2730"/>
      <c r="DHP1876" s="2730"/>
      <c r="DHQ1876" s="2730"/>
      <c r="DHR1876" s="2730"/>
      <c r="DHS1876" s="2730"/>
      <c r="DHT1876" s="2730"/>
      <c r="DHU1876" s="2730"/>
      <c r="DHV1876" s="2730"/>
      <c r="DHW1876" s="2730"/>
      <c r="DHX1876" s="2730"/>
      <c r="DHY1876" s="2730"/>
      <c r="DHZ1876" s="2730"/>
      <c r="DIA1876" s="2730"/>
      <c r="DIB1876" s="2730"/>
      <c r="DIC1876" s="2730"/>
      <c r="DID1876" s="2730"/>
      <c r="DIE1876" s="2730"/>
      <c r="DIF1876" s="2730"/>
      <c r="DIG1876" s="2730"/>
      <c r="DIH1876" s="2730"/>
      <c r="DII1876" s="2730"/>
      <c r="DIJ1876" s="2730"/>
      <c r="DIK1876" s="2730"/>
      <c r="DIL1876" s="2730"/>
      <c r="DIM1876" s="2730"/>
      <c r="DIN1876" s="2730"/>
      <c r="DIO1876" s="2730"/>
      <c r="DIP1876" s="2730"/>
      <c r="DIQ1876" s="2730"/>
      <c r="DIR1876" s="2730"/>
      <c r="DIS1876" s="2730"/>
      <c r="DIT1876" s="2730"/>
      <c r="DIU1876" s="2730"/>
      <c r="DIV1876" s="2730"/>
      <c r="DIW1876" s="2730"/>
      <c r="DIX1876" s="2730"/>
      <c r="DIY1876" s="2730"/>
      <c r="DIZ1876" s="2730"/>
      <c r="DJA1876" s="2730"/>
      <c r="DJB1876" s="2730"/>
      <c r="DJC1876" s="2730"/>
      <c r="DJD1876" s="2730"/>
      <c r="DJE1876" s="2730"/>
      <c r="DJF1876" s="2730"/>
      <c r="DJG1876" s="2730"/>
      <c r="DJH1876" s="2730"/>
      <c r="DJI1876" s="2730"/>
      <c r="DJJ1876" s="2730"/>
      <c r="DJK1876" s="2730"/>
      <c r="DJL1876" s="2730"/>
      <c r="DJM1876" s="2730"/>
      <c r="DJN1876" s="2730"/>
      <c r="DJO1876" s="2730"/>
      <c r="DJP1876" s="2730"/>
      <c r="DJQ1876" s="2730"/>
      <c r="DJR1876" s="2730"/>
      <c r="DJS1876" s="2730"/>
      <c r="DJT1876" s="2730"/>
      <c r="DJU1876" s="2730"/>
      <c r="DJV1876" s="2730"/>
      <c r="DJW1876" s="2730"/>
      <c r="DJX1876" s="2730"/>
      <c r="DJY1876" s="2730"/>
      <c r="DJZ1876" s="2730"/>
      <c r="DKA1876" s="2730"/>
      <c r="DKB1876" s="2730"/>
      <c r="DKC1876" s="2730"/>
      <c r="DKD1876" s="2730"/>
      <c r="DKE1876" s="2730"/>
      <c r="DKF1876" s="2730"/>
      <c r="DKG1876" s="2730"/>
      <c r="DKH1876" s="2730"/>
      <c r="DKI1876" s="2730"/>
      <c r="DKJ1876" s="2730"/>
      <c r="DKK1876" s="2730"/>
      <c r="DKL1876" s="2730"/>
      <c r="DKM1876" s="2730"/>
      <c r="DKN1876" s="2730"/>
      <c r="DKO1876" s="2730"/>
      <c r="DKP1876" s="2730"/>
      <c r="DKQ1876" s="2730"/>
      <c r="DKR1876" s="2730"/>
      <c r="DKS1876" s="2730"/>
      <c r="DKT1876" s="2730"/>
      <c r="DKU1876" s="2730"/>
      <c r="DKV1876" s="2730"/>
      <c r="DKW1876" s="2730"/>
      <c r="DKX1876" s="2730"/>
      <c r="DKY1876" s="2730"/>
      <c r="DKZ1876" s="2730"/>
      <c r="DLA1876" s="2730"/>
      <c r="DLB1876" s="2730"/>
      <c r="DLC1876" s="2730"/>
      <c r="DLD1876" s="2730"/>
      <c r="DLE1876" s="2730"/>
      <c r="DLF1876" s="2730"/>
      <c r="DLG1876" s="2730"/>
      <c r="DLH1876" s="2730"/>
      <c r="DLI1876" s="2730"/>
      <c r="DLJ1876" s="2730"/>
      <c r="DLK1876" s="2730"/>
      <c r="DLL1876" s="2730"/>
      <c r="DLM1876" s="2730"/>
      <c r="DLN1876" s="2730"/>
      <c r="DLO1876" s="2730"/>
      <c r="DLP1876" s="2730"/>
      <c r="DLQ1876" s="2730"/>
      <c r="DLR1876" s="2730"/>
      <c r="DLS1876" s="2730"/>
      <c r="DLT1876" s="2730"/>
      <c r="DLU1876" s="2730"/>
      <c r="DLV1876" s="2730"/>
      <c r="DLW1876" s="2730"/>
      <c r="DLX1876" s="2730"/>
      <c r="DLY1876" s="2730"/>
      <c r="DLZ1876" s="2730"/>
      <c r="DMA1876" s="2730"/>
      <c r="DMB1876" s="2730"/>
      <c r="DMC1876" s="2730"/>
      <c r="DMD1876" s="2730"/>
      <c r="DME1876" s="2730"/>
      <c r="DMF1876" s="2730"/>
      <c r="DMG1876" s="2730"/>
      <c r="DMH1876" s="2730"/>
      <c r="DMI1876" s="2730"/>
      <c r="DMJ1876" s="2730"/>
      <c r="DMK1876" s="2730"/>
      <c r="DML1876" s="2730"/>
      <c r="DMM1876" s="2730"/>
      <c r="DMN1876" s="2730"/>
      <c r="DMO1876" s="2730"/>
      <c r="DMP1876" s="2730"/>
      <c r="DMQ1876" s="2730"/>
      <c r="DMR1876" s="2730"/>
      <c r="DMS1876" s="2730"/>
      <c r="DMT1876" s="2730"/>
      <c r="DMU1876" s="2730"/>
      <c r="DMV1876" s="2730"/>
      <c r="DMW1876" s="2730"/>
      <c r="DMX1876" s="2730"/>
      <c r="DMY1876" s="2730"/>
      <c r="DMZ1876" s="2730"/>
      <c r="DNA1876" s="2730"/>
      <c r="DNB1876" s="2730"/>
      <c r="DNC1876" s="2730"/>
      <c r="DND1876" s="2730"/>
      <c r="DNE1876" s="2730"/>
      <c r="DNF1876" s="2730"/>
      <c r="DNG1876" s="2730"/>
      <c r="DNH1876" s="2730"/>
      <c r="DNI1876" s="2730"/>
      <c r="DNJ1876" s="2730"/>
      <c r="DNK1876" s="2730"/>
      <c r="DNL1876" s="2730"/>
      <c r="DNM1876" s="2730"/>
      <c r="DNN1876" s="2730"/>
      <c r="DNO1876" s="2730"/>
      <c r="DNP1876" s="2730"/>
      <c r="DNQ1876" s="2730"/>
      <c r="DNR1876" s="2730"/>
      <c r="DNS1876" s="2730"/>
      <c r="DNT1876" s="2730"/>
      <c r="DNU1876" s="2730"/>
      <c r="DNV1876" s="2730"/>
      <c r="DNW1876" s="2730"/>
      <c r="DNX1876" s="2730"/>
      <c r="DNY1876" s="2730"/>
      <c r="DNZ1876" s="2730"/>
      <c r="DOA1876" s="2730"/>
      <c r="DOB1876" s="2730"/>
      <c r="DOC1876" s="2730"/>
      <c r="DOD1876" s="2730"/>
      <c r="DOE1876" s="2730"/>
      <c r="DOF1876" s="2730"/>
      <c r="DOG1876" s="2730"/>
      <c r="DOH1876" s="2730"/>
      <c r="DOI1876" s="2730"/>
      <c r="DOJ1876" s="2730"/>
      <c r="DOK1876" s="2730"/>
      <c r="DOL1876" s="2730"/>
      <c r="DOM1876" s="2730"/>
      <c r="DON1876" s="2730"/>
      <c r="DOO1876" s="2730"/>
      <c r="DOP1876" s="2730"/>
      <c r="DOQ1876" s="2730"/>
      <c r="DOR1876" s="2730"/>
      <c r="DOS1876" s="2730"/>
      <c r="DOT1876" s="2730"/>
      <c r="DOU1876" s="2730"/>
      <c r="DOV1876" s="2730"/>
      <c r="DOW1876" s="2730"/>
      <c r="DOX1876" s="2730"/>
      <c r="DOY1876" s="2730"/>
      <c r="DOZ1876" s="2730"/>
      <c r="DPA1876" s="2730"/>
      <c r="DPB1876" s="2730"/>
      <c r="DPC1876" s="2730"/>
      <c r="DPD1876" s="2730"/>
      <c r="DPE1876" s="2730"/>
      <c r="DPF1876" s="2730"/>
      <c r="DPG1876" s="2730"/>
      <c r="DPH1876" s="2730"/>
      <c r="DPI1876" s="2730"/>
      <c r="DPJ1876" s="2730"/>
      <c r="DPK1876" s="2730"/>
      <c r="DPL1876" s="2730"/>
      <c r="DPM1876" s="2730"/>
      <c r="DPN1876" s="2730"/>
      <c r="DPO1876" s="2730"/>
      <c r="DPP1876" s="2730"/>
      <c r="DPQ1876" s="2730"/>
      <c r="DPR1876" s="2730"/>
      <c r="DPS1876" s="2730"/>
      <c r="DPT1876" s="2730"/>
      <c r="DPU1876" s="2730"/>
      <c r="DPV1876" s="2730"/>
      <c r="DPW1876" s="2730"/>
      <c r="DPX1876" s="2730"/>
      <c r="DPY1876" s="2730"/>
      <c r="DPZ1876" s="2730"/>
      <c r="DQA1876" s="2730"/>
      <c r="DQB1876" s="2730"/>
      <c r="DQC1876" s="2730"/>
      <c r="DQD1876" s="2730"/>
      <c r="DQE1876" s="2730"/>
      <c r="DQF1876" s="2730"/>
      <c r="DQG1876" s="2730"/>
      <c r="DQH1876" s="2730"/>
      <c r="DQI1876" s="2730"/>
      <c r="DQJ1876" s="2730"/>
      <c r="DQK1876" s="2730"/>
      <c r="DQL1876" s="2730"/>
      <c r="DQM1876" s="2730"/>
      <c r="DQN1876" s="2730"/>
      <c r="DQO1876" s="2730"/>
      <c r="DQP1876" s="2730"/>
      <c r="DQQ1876" s="2730"/>
      <c r="DQR1876" s="2730"/>
      <c r="DQS1876" s="2730"/>
      <c r="DQT1876" s="2730"/>
      <c r="DQU1876" s="2730"/>
      <c r="DQV1876" s="2730"/>
      <c r="DQW1876" s="2730"/>
      <c r="DQX1876" s="2730"/>
      <c r="DQY1876" s="2730"/>
      <c r="DQZ1876" s="2730"/>
      <c r="DRA1876" s="2730"/>
      <c r="DRB1876" s="2730"/>
      <c r="DRC1876" s="2730"/>
      <c r="DRD1876" s="2730"/>
      <c r="DRE1876" s="2730"/>
      <c r="DRF1876" s="2730"/>
      <c r="DRG1876" s="2730"/>
      <c r="DRH1876" s="2730"/>
      <c r="DRI1876" s="2730"/>
      <c r="DRJ1876" s="2730"/>
      <c r="DRK1876" s="2730"/>
      <c r="DRL1876" s="2730"/>
      <c r="DRM1876" s="2730"/>
      <c r="DRN1876" s="2730"/>
      <c r="DRO1876" s="2730"/>
      <c r="DRP1876" s="2730"/>
      <c r="DRQ1876" s="2730"/>
      <c r="DRR1876" s="2730"/>
      <c r="DRS1876" s="2730"/>
      <c r="DRT1876" s="2730"/>
      <c r="DRU1876" s="2730"/>
      <c r="DRV1876" s="2730"/>
      <c r="DRW1876" s="2730"/>
      <c r="DRX1876" s="2730"/>
      <c r="DRY1876" s="2730"/>
      <c r="DRZ1876" s="2730"/>
      <c r="DSA1876" s="2730"/>
      <c r="DSB1876" s="2730"/>
      <c r="DSC1876" s="2730"/>
      <c r="DSD1876" s="2730"/>
      <c r="DSE1876" s="2730"/>
      <c r="DSF1876" s="2730"/>
      <c r="DSG1876" s="2730"/>
      <c r="DSH1876" s="2730"/>
      <c r="DSI1876" s="2730"/>
      <c r="DSJ1876" s="2730"/>
      <c r="DSK1876" s="2730"/>
      <c r="DSL1876" s="2730"/>
      <c r="DSM1876" s="2730"/>
      <c r="DSN1876" s="2730"/>
      <c r="DSO1876" s="2730"/>
      <c r="DSP1876" s="2730"/>
      <c r="DSQ1876" s="2730"/>
      <c r="DSR1876" s="2730"/>
      <c r="DSS1876" s="2730"/>
      <c r="DST1876" s="2730"/>
      <c r="DSU1876" s="2730"/>
      <c r="DSV1876" s="2730"/>
      <c r="DSW1876" s="2730"/>
      <c r="DSX1876" s="2730"/>
      <c r="DSY1876" s="2730"/>
      <c r="DSZ1876" s="2730"/>
      <c r="DTA1876" s="2730"/>
      <c r="DTB1876" s="2730"/>
      <c r="DTC1876" s="2730"/>
      <c r="DTD1876" s="2730"/>
      <c r="DTE1876" s="2730"/>
      <c r="DTF1876" s="2730"/>
      <c r="DTG1876" s="2730"/>
      <c r="DTH1876" s="2730"/>
      <c r="DTI1876" s="2730"/>
      <c r="DTJ1876" s="2730"/>
      <c r="DTK1876" s="2730"/>
      <c r="DTL1876" s="2730"/>
      <c r="DTM1876" s="2730"/>
      <c r="DTN1876" s="2730"/>
      <c r="DTO1876" s="2730"/>
      <c r="DTP1876" s="2730"/>
      <c r="DTQ1876" s="2730"/>
      <c r="DTR1876" s="2730"/>
      <c r="DTS1876" s="2730"/>
      <c r="DTT1876" s="2730"/>
      <c r="DTU1876" s="2730"/>
      <c r="DTV1876" s="2730"/>
      <c r="DTW1876" s="2730"/>
      <c r="DTX1876" s="2730"/>
      <c r="DTY1876" s="2730"/>
      <c r="DTZ1876" s="2730"/>
      <c r="DUA1876" s="2730"/>
      <c r="DUB1876" s="2730"/>
      <c r="DUC1876" s="2730"/>
      <c r="DUD1876" s="2730"/>
      <c r="DUE1876" s="2730"/>
      <c r="DUF1876" s="2730"/>
      <c r="DUG1876" s="2730"/>
      <c r="DUH1876" s="2730"/>
      <c r="DUI1876" s="2730"/>
      <c r="DUJ1876" s="2730"/>
      <c r="DUK1876" s="2730"/>
      <c r="DUL1876" s="2730"/>
      <c r="DUM1876" s="2730"/>
      <c r="DUN1876" s="2730"/>
      <c r="DUO1876" s="2730"/>
      <c r="DUP1876" s="2730"/>
      <c r="DUQ1876" s="2730"/>
      <c r="DUR1876" s="2730"/>
      <c r="DUS1876" s="2730"/>
      <c r="DUT1876" s="2730"/>
      <c r="DUU1876" s="2730"/>
      <c r="DUV1876" s="2730"/>
      <c r="DUW1876" s="2730"/>
      <c r="DUX1876" s="2730"/>
      <c r="DUY1876" s="2730"/>
      <c r="DUZ1876" s="2730"/>
      <c r="DVA1876" s="2730"/>
      <c r="DVB1876" s="2730"/>
      <c r="DVC1876" s="2730"/>
      <c r="DVD1876" s="2730"/>
      <c r="DVE1876" s="2730"/>
      <c r="DVF1876" s="2730"/>
      <c r="DVG1876" s="2730"/>
      <c r="DVH1876" s="2730"/>
      <c r="DVI1876" s="2730"/>
      <c r="DVJ1876" s="2730"/>
      <c r="DVK1876" s="2730"/>
      <c r="DVL1876" s="2730"/>
      <c r="DVM1876" s="2730"/>
      <c r="DVN1876" s="2730"/>
      <c r="DVO1876" s="2730"/>
      <c r="DVP1876" s="2730"/>
      <c r="DVQ1876" s="2730"/>
      <c r="DVR1876" s="2730"/>
      <c r="DVS1876" s="2730"/>
      <c r="DVT1876" s="2730"/>
      <c r="DVU1876" s="2730"/>
      <c r="DVV1876" s="2730"/>
      <c r="DVW1876" s="2730"/>
      <c r="DVX1876" s="2730"/>
      <c r="DVY1876" s="2730"/>
      <c r="DVZ1876" s="2730"/>
      <c r="DWA1876" s="2730"/>
      <c r="DWB1876" s="2730"/>
      <c r="DWC1876" s="2730"/>
      <c r="DWD1876" s="2730"/>
      <c r="DWE1876" s="2730"/>
      <c r="DWF1876" s="2730"/>
      <c r="DWG1876" s="2730"/>
      <c r="DWH1876" s="2730"/>
      <c r="DWI1876" s="2730"/>
      <c r="DWJ1876" s="2730"/>
      <c r="DWK1876" s="2730"/>
      <c r="DWL1876" s="2730"/>
      <c r="DWM1876" s="2730"/>
      <c r="DWN1876" s="2730"/>
      <c r="DWO1876" s="2730"/>
      <c r="DWP1876" s="2730"/>
      <c r="DWQ1876" s="2730"/>
      <c r="DWR1876" s="2730"/>
      <c r="DWS1876" s="2730"/>
      <c r="DWT1876" s="2730"/>
      <c r="DWU1876" s="2730"/>
      <c r="DWV1876" s="2730"/>
      <c r="DWW1876" s="2730"/>
      <c r="DWX1876" s="2730"/>
      <c r="DWY1876" s="2730"/>
      <c r="DWZ1876" s="2730"/>
      <c r="DXA1876" s="2730"/>
      <c r="DXB1876" s="2730"/>
      <c r="DXC1876" s="2730"/>
      <c r="DXD1876" s="2730"/>
      <c r="DXE1876" s="2730"/>
      <c r="DXF1876" s="2730"/>
      <c r="DXG1876" s="2730"/>
      <c r="DXH1876" s="2730"/>
      <c r="DXI1876" s="2730"/>
      <c r="DXJ1876" s="2730"/>
      <c r="DXK1876" s="2730"/>
      <c r="DXL1876" s="2730"/>
      <c r="DXM1876" s="2730"/>
      <c r="DXN1876" s="2730"/>
      <c r="DXO1876" s="2730"/>
      <c r="DXP1876" s="2730"/>
      <c r="DXQ1876" s="2730"/>
      <c r="DXR1876" s="2730"/>
      <c r="DXS1876" s="2730"/>
      <c r="DXT1876" s="2730"/>
      <c r="DXU1876" s="2730"/>
      <c r="DXV1876" s="2730"/>
      <c r="DXW1876" s="2730"/>
      <c r="DXX1876" s="2730"/>
      <c r="DXY1876" s="2730"/>
      <c r="DXZ1876" s="2730"/>
      <c r="DYA1876" s="2730"/>
      <c r="DYB1876" s="2730"/>
      <c r="DYC1876" s="2730"/>
      <c r="DYD1876" s="2730"/>
      <c r="DYE1876" s="2730"/>
      <c r="DYF1876" s="2730"/>
      <c r="DYG1876" s="2730"/>
      <c r="DYH1876" s="2730"/>
      <c r="DYI1876" s="2730"/>
      <c r="DYJ1876" s="2730"/>
      <c r="DYK1876" s="2730"/>
      <c r="DYL1876" s="2730"/>
      <c r="DYM1876" s="2730"/>
      <c r="DYN1876" s="2730"/>
      <c r="DYO1876" s="2730"/>
      <c r="DYP1876" s="2730"/>
      <c r="DYQ1876" s="2730"/>
      <c r="DYR1876" s="2730"/>
      <c r="DYS1876" s="2730"/>
      <c r="DYT1876" s="2730"/>
      <c r="DYU1876" s="2730"/>
      <c r="DYV1876" s="2730"/>
      <c r="DYW1876" s="2730"/>
      <c r="DYX1876" s="2730"/>
      <c r="DYY1876" s="2730"/>
      <c r="DYZ1876" s="2730"/>
      <c r="DZA1876" s="2730"/>
      <c r="DZB1876" s="2730"/>
      <c r="DZC1876" s="2730"/>
      <c r="DZD1876" s="2730"/>
      <c r="DZE1876" s="2730"/>
      <c r="DZF1876" s="2730"/>
      <c r="DZG1876" s="2730"/>
      <c r="DZH1876" s="2730"/>
      <c r="DZI1876" s="2730"/>
      <c r="DZJ1876" s="2730"/>
      <c r="DZK1876" s="2730"/>
      <c r="DZL1876" s="2730"/>
      <c r="DZM1876" s="2730"/>
      <c r="DZN1876" s="2730"/>
      <c r="DZO1876" s="2730"/>
      <c r="DZP1876" s="2730"/>
      <c r="DZQ1876" s="2730"/>
      <c r="DZR1876" s="2730"/>
      <c r="DZS1876" s="2730"/>
      <c r="DZT1876" s="2730"/>
      <c r="DZU1876" s="2730"/>
      <c r="DZV1876" s="2730"/>
      <c r="DZW1876" s="2730"/>
      <c r="DZX1876" s="2730"/>
      <c r="DZY1876" s="2730"/>
      <c r="DZZ1876" s="2730"/>
      <c r="EAA1876" s="2730"/>
      <c r="EAB1876" s="2730"/>
      <c r="EAC1876" s="2730"/>
      <c r="EAD1876" s="2730"/>
      <c r="EAE1876" s="2730"/>
      <c r="EAF1876" s="2730"/>
      <c r="EAG1876" s="2730"/>
      <c r="EAH1876" s="2730"/>
      <c r="EAI1876" s="2730"/>
      <c r="EAJ1876" s="2730"/>
      <c r="EAK1876" s="2730"/>
      <c r="EAL1876" s="2730"/>
      <c r="EAM1876" s="2730"/>
      <c r="EAN1876" s="2730"/>
      <c r="EAO1876" s="2730"/>
      <c r="EAP1876" s="2730"/>
      <c r="EAQ1876" s="2730"/>
      <c r="EAR1876" s="2730"/>
      <c r="EAS1876" s="2730"/>
      <c r="EAT1876" s="2730"/>
      <c r="EAU1876" s="2730"/>
      <c r="EAV1876" s="2730"/>
      <c r="EAW1876" s="2730"/>
      <c r="EAX1876" s="2730"/>
      <c r="EAY1876" s="2730"/>
      <c r="EAZ1876" s="2730"/>
      <c r="EBA1876" s="2730"/>
      <c r="EBB1876" s="2730"/>
      <c r="EBC1876" s="2730"/>
      <c r="EBD1876" s="2730"/>
      <c r="EBE1876" s="2730"/>
      <c r="EBF1876" s="2730"/>
      <c r="EBG1876" s="2730"/>
      <c r="EBH1876" s="2730"/>
      <c r="EBI1876" s="2730"/>
      <c r="EBJ1876" s="2730"/>
      <c r="EBK1876" s="2730"/>
      <c r="EBL1876" s="2730"/>
      <c r="EBM1876" s="2730"/>
      <c r="EBN1876" s="2730"/>
      <c r="EBO1876" s="2730"/>
      <c r="EBP1876" s="2730"/>
      <c r="EBQ1876" s="2730"/>
      <c r="EBR1876" s="2730"/>
      <c r="EBS1876" s="2730"/>
      <c r="EBT1876" s="2730"/>
      <c r="EBU1876" s="2730"/>
      <c r="EBV1876" s="2730"/>
      <c r="EBW1876" s="2730"/>
      <c r="EBX1876" s="2730"/>
      <c r="EBY1876" s="2730"/>
      <c r="EBZ1876" s="2730"/>
      <c r="ECA1876" s="2730"/>
      <c r="ECB1876" s="2730"/>
      <c r="ECC1876" s="2730"/>
      <c r="ECD1876" s="2730"/>
      <c r="ECE1876" s="2730"/>
      <c r="ECF1876" s="2730"/>
      <c r="ECG1876" s="2730"/>
      <c r="ECH1876" s="2730"/>
      <c r="ECI1876" s="2730"/>
      <c r="ECJ1876" s="2730"/>
      <c r="ECK1876" s="2730"/>
      <c r="ECL1876" s="2730"/>
      <c r="ECM1876" s="2730"/>
      <c r="ECN1876" s="2730"/>
      <c r="ECO1876" s="2730"/>
      <c r="ECP1876" s="2730"/>
      <c r="ECQ1876" s="2730"/>
      <c r="ECR1876" s="2730"/>
      <c r="ECS1876" s="2730"/>
      <c r="ECT1876" s="2730"/>
      <c r="ECU1876" s="2730"/>
      <c r="ECV1876" s="2730"/>
      <c r="ECW1876" s="2730"/>
      <c r="ECX1876" s="2730"/>
      <c r="ECY1876" s="2730"/>
      <c r="ECZ1876" s="2730"/>
      <c r="EDA1876" s="2730"/>
      <c r="EDB1876" s="2730"/>
      <c r="EDC1876" s="2730"/>
      <c r="EDD1876" s="2730"/>
      <c r="EDE1876" s="2730"/>
      <c r="EDF1876" s="2730"/>
      <c r="EDG1876" s="2730"/>
      <c r="EDH1876" s="2730"/>
      <c r="EDI1876" s="2730"/>
      <c r="EDJ1876" s="2730"/>
      <c r="EDK1876" s="2730"/>
      <c r="EDL1876" s="2730"/>
      <c r="EDM1876" s="2730"/>
      <c r="EDN1876" s="2730"/>
      <c r="EDO1876" s="2730"/>
      <c r="EDP1876" s="2730"/>
      <c r="EDQ1876" s="2730"/>
      <c r="EDR1876" s="2730"/>
      <c r="EDS1876" s="2730"/>
      <c r="EDT1876" s="2730"/>
      <c r="EDU1876" s="2730"/>
      <c r="EDV1876" s="2730"/>
      <c r="EDW1876" s="2730"/>
      <c r="EDX1876" s="2730"/>
      <c r="EDY1876" s="2730"/>
      <c r="EDZ1876" s="2730"/>
      <c r="EEA1876" s="2730"/>
      <c r="EEB1876" s="2730"/>
      <c r="EEC1876" s="2730"/>
      <c r="EED1876" s="2730"/>
      <c r="EEE1876" s="2730"/>
      <c r="EEF1876" s="2730"/>
      <c r="EEG1876" s="2730"/>
      <c r="EEH1876" s="2730"/>
      <c r="EEI1876" s="2730"/>
      <c r="EEJ1876" s="2730"/>
      <c r="EEK1876" s="2730"/>
      <c r="EEL1876" s="2730"/>
      <c r="EEM1876" s="2730"/>
      <c r="EEN1876" s="2730"/>
      <c r="EEO1876" s="2730"/>
      <c r="EEP1876" s="2730"/>
      <c r="EEQ1876" s="2730"/>
      <c r="EER1876" s="2730"/>
      <c r="EES1876" s="2730"/>
      <c r="EET1876" s="2730"/>
      <c r="EEU1876" s="2730"/>
      <c r="EEV1876" s="2730"/>
      <c r="EEW1876" s="2730"/>
      <c r="EEX1876" s="2730"/>
      <c r="EEY1876" s="2730"/>
      <c r="EEZ1876" s="2730"/>
      <c r="EFA1876" s="2730"/>
      <c r="EFB1876" s="2730"/>
      <c r="EFC1876" s="2730"/>
      <c r="EFD1876" s="2730"/>
      <c r="EFE1876" s="2730"/>
      <c r="EFF1876" s="2730"/>
      <c r="EFG1876" s="2730"/>
      <c r="EFH1876" s="2730"/>
      <c r="EFI1876" s="2730"/>
      <c r="EFJ1876" s="2730"/>
      <c r="EFK1876" s="2730"/>
      <c r="EFL1876" s="2730"/>
      <c r="EFM1876" s="2730"/>
      <c r="EFN1876" s="2730"/>
      <c r="EFO1876" s="2730"/>
      <c r="EFP1876" s="2730"/>
      <c r="EFQ1876" s="2730"/>
      <c r="EFR1876" s="2730"/>
      <c r="EFS1876" s="2730"/>
      <c r="EFT1876" s="2730"/>
      <c r="EFU1876" s="2730"/>
      <c r="EFV1876" s="2730"/>
      <c r="EFW1876" s="2730"/>
      <c r="EFX1876" s="2730"/>
      <c r="EFY1876" s="2730"/>
      <c r="EFZ1876" s="2730"/>
      <c r="EGA1876" s="2730"/>
      <c r="EGB1876" s="2730"/>
      <c r="EGC1876" s="2730"/>
      <c r="EGD1876" s="2730"/>
      <c r="EGE1876" s="2730"/>
      <c r="EGF1876" s="2730"/>
      <c r="EGG1876" s="2730"/>
      <c r="EGH1876" s="2730"/>
      <c r="EGI1876" s="2730"/>
      <c r="EGJ1876" s="2730"/>
      <c r="EGK1876" s="2730"/>
      <c r="EGL1876" s="2730"/>
      <c r="EGM1876" s="2730"/>
      <c r="EGN1876" s="2730"/>
      <c r="EGO1876" s="2730"/>
      <c r="EGP1876" s="2730"/>
      <c r="EGQ1876" s="2730"/>
      <c r="EGR1876" s="2730"/>
      <c r="EGS1876" s="2730"/>
      <c r="EGT1876" s="2730"/>
      <c r="EGU1876" s="2730"/>
      <c r="EGV1876" s="2730"/>
      <c r="EGW1876" s="2730"/>
      <c r="EGX1876" s="2730"/>
      <c r="EGY1876" s="2730"/>
      <c r="EGZ1876" s="2730"/>
      <c r="EHA1876" s="2730"/>
      <c r="EHB1876" s="2730"/>
      <c r="EHC1876" s="2730"/>
      <c r="EHD1876" s="2730"/>
      <c r="EHE1876" s="2730"/>
      <c r="EHF1876" s="2730"/>
      <c r="EHG1876" s="2730"/>
      <c r="EHH1876" s="2730"/>
      <c r="EHI1876" s="2730"/>
      <c r="EHJ1876" s="2730"/>
      <c r="EHK1876" s="2730"/>
      <c r="EHL1876" s="2730"/>
      <c r="EHM1876" s="2730"/>
      <c r="EHN1876" s="2730"/>
      <c r="EHO1876" s="2730"/>
      <c r="EHP1876" s="2730"/>
      <c r="EHQ1876" s="2730"/>
      <c r="EHR1876" s="2730"/>
      <c r="EHS1876" s="2730"/>
      <c r="EHT1876" s="2730"/>
      <c r="EHU1876" s="2730"/>
      <c r="EHV1876" s="2730"/>
      <c r="EHW1876" s="2730"/>
      <c r="EHX1876" s="2730"/>
      <c r="EHY1876" s="2730"/>
      <c r="EHZ1876" s="2730"/>
      <c r="EIA1876" s="2730"/>
      <c r="EIB1876" s="2730"/>
      <c r="EIC1876" s="2730"/>
      <c r="EID1876" s="2730"/>
      <c r="EIE1876" s="2730"/>
      <c r="EIF1876" s="2730"/>
      <c r="EIG1876" s="2730"/>
      <c r="EIH1876" s="2730"/>
      <c r="EII1876" s="2730"/>
      <c r="EIJ1876" s="2730"/>
      <c r="EIK1876" s="2730"/>
      <c r="EIL1876" s="2730"/>
      <c r="EIM1876" s="2730"/>
      <c r="EIN1876" s="2730"/>
      <c r="EIO1876" s="2730"/>
      <c r="EIP1876" s="2730"/>
      <c r="EIQ1876" s="2730"/>
      <c r="EIR1876" s="2730"/>
      <c r="EIS1876" s="2730"/>
      <c r="EIT1876" s="2730"/>
      <c r="EIU1876" s="2730"/>
      <c r="EIV1876" s="2730"/>
      <c r="EIW1876" s="2730"/>
      <c r="EIX1876" s="2730"/>
      <c r="EIY1876" s="2730"/>
      <c r="EIZ1876" s="2730"/>
      <c r="EJA1876" s="2730"/>
      <c r="EJB1876" s="2730"/>
      <c r="EJC1876" s="2730"/>
      <c r="EJD1876" s="2730"/>
      <c r="EJE1876" s="2730"/>
      <c r="EJF1876" s="2730"/>
      <c r="EJG1876" s="2730"/>
      <c r="EJH1876" s="2730"/>
      <c r="EJI1876" s="2730"/>
      <c r="EJJ1876" s="2730"/>
      <c r="EJK1876" s="2730"/>
      <c r="EJL1876" s="2730"/>
      <c r="EJM1876" s="2730"/>
      <c r="EJN1876" s="2730"/>
      <c r="EJO1876" s="2730"/>
      <c r="EJP1876" s="2730"/>
      <c r="EJQ1876" s="2730"/>
      <c r="EJR1876" s="2730"/>
      <c r="EJS1876" s="2730"/>
      <c r="EJT1876" s="2730"/>
      <c r="EJU1876" s="2730"/>
      <c r="EJV1876" s="2730"/>
      <c r="EJW1876" s="2730"/>
      <c r="EJX1876" s="2730"/>
      <c r="EJY1876" s="2730"/>
      <c r="EJZ1876" s="2730"/>
      <c r="EKA1876" s="2730"/>
      <c r="EKB1876" s="2730"/>
      <c r="EKC1876" s="2730"/>
      <c r="EKD1876" s="2730"/>
      <c r="EKE1876" s="2730"/>
      <c r="EKF1876" s="2730"/>
      <c r="EKG1876" s="2730"/>
      <c r="EKH1876" s="2730"/>
      <c r="EKI1876" s="2730"/>
      <c r="EKJ1876" s="2730"/>
      <c r="EKK1876" s="2730"/>
      <c r="EKL1876" s="2730"/>
      <c r="EKM1876" s="2730"/>
      <c r="EKN1876" s="2730"/>
      <c r="EKO1876" s="2730"/>
      <c r="EKP1876" s="2730"/>
      <c r="EKQ1876" s="2730"/>
      <c r="EKR1876" s="2730"/>
      <c r="EKS1876" s="2730"/>
      <c r="EKT1876" s="2730"/>
      <c r="EKU1876" s="2730"/>
      <c r="EKV1876" s="2730"/>
      <c r="EKW1876" s="2730"/>
      <c r="EKX1876" s="2730"/>
      <c r="EKY1876" s="2730"/>
      <c r="EKZ1876" s="2730"/>
      <c r="ELA1876" s="2730"/>
      <c r="ELB1876" s="2730"/>
      <c r="ELC1876" s="2730"/>
      <c r="ELD1876" s="2730"/>
      <c r="ELE1876" s="2730"/>
      <c r="ELF1876" s="2730"/>
      <c r="ELG1876" s="2730"/>
      <c r="ELH1876" s="2730"/>
      <c r="ELI1876" s="2730"/>
      <c r="ELJ1876" s="2730"/>
      <c r="ELK1876" s="2730"/>
      <c r="ELL1876" s="2730"/>
      <c r="ELM1876" s="2730"/>
      <c r="ELN1876" s="2730"/>
      <c r="ELO1876" s="2730"/>
      <c r="ELP1876" s="2730"/>
      <c r="ELQ1876" s="2730"/>
      <c r="ELR1876" s="2730"/>
      <c r="ELS1876" s="2730"/>
      <c r="ELT1876" s="2730"/>
      <c r="ELU1876" s="2730"/>
      <c r="ELV1876" s="2730"/>
      <c r="ELW1876" s="2730"/>
      <c r="ELX1876" s="2730"/>
      <c r="ELY1876" s="2730"/>
      <c r="ELZ1876" s="2730"/>
      <c r="EMA1876" s="2730"/>
      <c r="EMB1876" s="2730"/>
      <c r="EMC1876" s="2730"/>
      <c r="EMD1876" s="2730"/>
      <c r="EME1876" s="2730"/>
      <c r="EMF1876" s="2730"/>
      <c r="EMG1876" s="2730"/>
      <c r="EMH1876" s="2730"/>
      <c r="EMI1876" s="2730"/>
      <c r="EMJ1876" s="2730"/>
      <c r="EMK1876" s="2730"/>
      <c r="EML1876" s="2730"/>
      <c r="EMM1876" s="2730"/>
      <c r="EMN1876" s="2730"/>
      <c r="EMO1876" s="2730"/>
      <c r="EMP1876" s="2730"/>
      <c r="EMQ1876" s="2730"/>
      <c r="EMR1876" s="2730"/>
      <c r="EMS1876" s="2730"/>
      <c r="EMT1876" s="2730"/>
      <c r="EMU1876" s="2730"/>
      <c r="EMV1876" s="2730"/>
      <c r="EMW1876" s="2730"/>
      <c r="EMX1876" s="2730"/>
      <c r="EMY1876" s="2730"/>
      <c r="EMZ1876" s="2730"/>
      <c r="ENA1876" s="2730"/>
      <c r="ENB1876" s="2730"/>
      <c r="ENC1876" s="2730"/>
      <c r="END1876" s="2730"/>
      <c r="ENE1876" s="2730"/>
      <c r="ENF1876" s="2730"/>
      <c r="ENG1876" s="2730"/>
      <c r="ENH1876" s="2730"/>
      <c r="ENI1876" s="2730"/>
      <c r="ENJ1876" s="2730"/>
      <c r="ENK1876" s="2730"/>
      <c r="ENL1876" s="2730"/>
      <c r="ENM1876" s="2730"/>
      <c r="ENN1876" s="2730"/>
      <c r="ENO1876" s="2730"/>
      <c r="ENP1876" s="2730"/>
      <c r="ENQ1876" s="2730"/>
      <c r="ENR1876" s="2730"/>
      <c r="ENS1876" s="2730"/>
      <c r="ENT1876" s="2730"/>
      <c r="ENU1876" s="2730"/>
      <c r="ENV1876" s="2730"/>
      <c r="ENW1876" s="2730"/>
      <c r="ENX1876" s="2730"/>
      <c r="ENY1876" s="2730"/>
      <c r="ENZ1876" s="2730"/>
      <c r="EOA1876" s="2730"/>
      <c r="EOB1876" s="2730"/>
      <c r="EOC1876" s="2730"/>
      <c r="EOD1876" s="2730"/>
      <c r="EOE1876" s="2730"/>
      <c r="EOF1876" s="2730"/>
      <c r="EOG1876" s="2730"/>
      <c r="EOH1876" s="2730"/>
      <c r="EOI1876" s="2730"/>
      <c r="EOJ1876" s="2730"/>
      <c r="EOK1876" s="2730"/>
      <c r="EOL1876" s="2730"/>
      <c r="EOM1876" s="2730"/>
      <c r="EON1876" s="2730"/>
      <c r="EOO1876" s="2730"/>
      <c r="EOP1876" s="2730"/>
      <c r="EOQ1876" s="2730"/>
      <c r="EOR1876" s="2730"/>
      <c r="EOS1876" s="2730"/>
      <c r="EOT1876" s="2730"/>
      <c r="EOU1876" s="2730"/>
      <c r="EOV1876" s="2730"/>
      <c r="EOW1876" s="2730"/>
      <c r="EOX1876" s="2730"/>
      <c r="EOY1876" s="2730"/>
      <c r="EOZ1876" s="2730"/>
      <c r="EPA1876" s="2730"/>
      <c r="EPB1876" s="2730"/>
      <c r="EPC1876" s="2730"/>
      <c r="EPD1876" s="2730"/>
      <c r="EPE1876" s="2730"/>
      <c r="EPF1876" s="2730"/>
      <c r="EPG1876" s="2730"/>
      <c r="EPH1876" s="2730"/>
      <c r="EPI1876" s="2730"/>
      <c r="EPJ1876" s="2730"/>
      <c r="EPK1876" s="2730"/>
      <c r="EPL1876" s="2730"/>
      <c r="EPM1876" s="2730"/>
      <c r="EPN1876" s="2730"/>
      <c r="EPO1876" s="2730"/>
      <c r="EPP1876" s="2730"/>
      <c r="EPQ1876" s="2730"/>
      <c r="EPR1876" s="2730"/>
      <c r="EPS1876" s="2730"/>
      <c r="EPT1876" s="2730"/>
      <c r="EPU1876" s="2730"/>
      <c r="EPV1876" s="2730"/>
      <c r="EPW1876" s="2730"/>
      <c r="EPX1876" s="2730"/>
      <c r="EPY1876" s="2730"/>
      <c r="EPZ1876" s="2730"/>
      <c r="EQA1876" s="2730"/>
      <c r="EQB1876" s="2730"/>
      <c r="EQC1876" s="2730"/>
      <c r="EQD1876" s="2730"/>
      <c r="EQE1876" s="2730"/>
      <c r="EQF1876" s="2730"/>
      <c r="EQG1876" s="2730"/>
      <c r="EQH1876" s="2730"/>
      <c r="EQI1876" s="2730"/>
      <c r="EQJ1876" s="2730"/>
      <c r="EQK1876" s="2730"/>
      <c r="EQL1876" s="2730"/>
      <c r="EQM1876" s="2730"/>
      <c r="EQN1876" s="2730"/>
      <c r="EQO1876" s="2730"/>
      <c r="EQP1876" s="2730"/>
      <c r="EQQ1876" s="2730"/>
      <c r="EQR1876" s="2730"/>
      <c r="EQS1876" s="2730"/>
      <c r="EQT1876" s="2730"/>
      <c r="EQU1876" s="2730"/>
      <c r="EQV1876" s="2730"/>
      <c r="EQW1876" s="2730"/>
      <c r="EQX1876" s="2730"/>
      <c r="EQY1876" s="2730"/>
      <c r="EQZ1876" s="2730"/>
      <c r="ERA1876" s="2730"/>
      <c r="ERB1876" s="2730"/>
      <c r="ERC1876" s="2730"/>
      <c r="ERD1876" s="2730"/>
      <c r="ERE1876" s="2730"/>
      <c r="ERF1876" s="2730"/>
      <c r="ERG1876" s="2730"/>
      <c r="ERH1876" s="2730"/>
      <c r="ERI1876" s="2730"/>
      <c r="ERJ1876" s="2730"/>
      <c r="ERK1876" s="2730"/>
      <c r="ERL1876" s="2730"/>
      <c r="ERM1876" s="2730"/>
      <c r="ERN1876" s="2730"/>
      <c r="ERO1876" s="2730"/>
      <c r="ERP1876" s="2730"/>
      <c r="ERQ1876" s="2730"/>
      <c r="ERR1876" s="2730"/>
      <c r="ERS1876" s="2730"/>
      <c r="ERT1876" s="2730"/>
      <c r="ERU1876" s="2730"/>
      <c r="ERV1876" s="2730"/>
      <c r="ERW1876" s="2730"/>
      <c r="ERX1876" s="2730"/>
      <c r="ERY1876" s="2730"/>
      <c r="ERZ1876" s="2730"/>
      <c r="ESA1876" s="2730"/>
      <c r="ESB1876" s="2730"/>
      <c r="ESC1876" s="2730"/>
      <c r="ESD1876" s="2730"/>
      <c r="ESE1876" s="2730"/>
      <c r="ESF1876" s="2730"/>
      <c r="ESG1876" s="2730"/>
      <c r="ESH1876" s="2730"/>
      <c r="ESI1876" s="2730"/>
      <c r="ESJ1876" s="2730"/>
      <c r="ESK1876" s="2730"/>
      <c r="ESL1876" s="2730"/>
      <c r="ESM1876" s="2730"/>
      <c r="ESN1876" s="2730"/>
      <c r="ESO1876" s="2730"/>
      <c r="ESP1876" s="2730"/>
      <c r="ESQ1876" s="2730"/>
      <c r="ESR1876" s="2730"/>
      <c r="ESS1876" s="2730"/>
      <c r="EST1876" s="2730"/>
      <c r="ESU1876" s="2730"/>
      <c r="ESV1876" s="2730"/>
      <c r="ESW1876" s="2730"/>
      <c r="ESX1876" s="2730"/>
      <c r="ESY1876" s="2730"/>
      <c r="ESZ1876" s="2730"/>
      <c r="ETA1876" s="2730"/>
      <c r="ETB1876" s="2730"/>
      <c r="ETC1876" s="2730"/>
      <c r="ETD1876" s="2730"/>
      <c r="ETE1876" s="2730"/>
      <c r="ETF1876" s="2730"/>
      <c r="ETG1876" s="2730"/>
      <c r="ETH1876" s="2730"/>
      <c r="ETI1876" s="2730"/>
      <c r="ETJ1876" s="2730"/>
      <c r="ETK1876" s="2730"/>
      <c r="ETL1876" s="2730"/>
      <c r="ETM1876" s="2730"/>
      <c r="ETN1876" s="2730"/>
      <c r="ETO1876" s="2730"/>
      <c r="ETP1876" s="2730"/>
      <c r="ETQ1876" s="2730"/>
      <c r="ETR1876" s="2730"/>
      <c r="ETS1876" s="2730"/>
      <c r="ETT1876" s="2730"/>
      <c r="ETU1876" s="2730"/>
      <c r="ETV1876" s="2730"/>
      <c r="ETW1876" s="2730"/>
      <c r="ETX1876" s="2730"/>
      <c r="ETY1876" s="2730"/>
      <c r="ETZ1876" s="2730"/>
      <c r="EUA1876" s="2730"/>
      <c r="EUB1876" s="2730"/>
      <c r="EUC1876" s="2730"/>
      <c r="EUD1876" s="2730"/>
      <c r="EUE1876" s="2730"/>
      <c r="EUF1876" s="2730"/>
      <c r="EUG1876" s="2730"/>
      <c r="EUH1876" s="2730"/>
      <c r="EUI1876" s="2730"/>
      <c r="EUJ1876" s="2730"/>
      <c r="EUK1876" s="2730"/>
      <c r="EUL1876" s="2730"/>
      <c r="EUM1876" s="2730"/>
      <c r="EUN1876" s="2730"/>
      <c r="EUO1876" s="2730"/>
      <c r="EUP1876" s="2730"/>
      <c r="EUQ1876" s="2730"/>
      <c r="EUR1876" s="2730"/>
      <c r="EUS1876" s="2730"/>
      <c r="EUT1876" s="2730"/>
      <c r="EUU1876" s="2730"/>
      <c r="EUV1876" s="2730"/>
      <c r="EUW1876" s="2730"/>
      <c r="EUX1876" s="2730"/>
      <c r="EUY1876" s="2730"/>
      <c r="EUZ1876" s="2730"/>
      <c r="EVA1876" s="2730"/>
      <c r="EVB1876" s="2730"/>
      <c r="EVC1876" s="2730"/>
      <c r="EVD1876" s="2730"/>
      <c r="EVE1876" s="2730"/>
      <c r="EVF1876" s="2730"/>
      <c r="EVG1876" s="2730"/>
      <c r="EVH1876" s="2730"/>
      <c r="EVI1876" s="2730"/>
      <c r="EVJ1876" s="2730"/>
      <c r="EVK1876" s="2730"/>
      <c r="EVL1876" s="2730"/>
      <c r="EVM1876" s="2730"/>
      <c r="EVN1876" s="2730"/>
      <c r="EVO1876" s="2730"/>
      <c r="EVP1876" s="2730"/>
      <c r="EVQ1876" s="2730"/>
      <c r="EVR1876" s="2730"/>
      <c r="EVS1876" s="2730"/>
      <c r="EVT1876" s="2730"/>
      <c r="EVU1876" s="2730"/>
      <c r="EVV1876" s="2730"/>
      <c r="EVW1876" s="2730"/>
      <c r="EVX1876" s="2730"/>
      <c r="EVY1876" s="2730"/>
      <c r="EVZ1876" s="2730"/>
      <c r="EWA1876" s="2730"/>
      <c r="EWB1876" s="2730"/>
      <c r="EWC1876" s="2730"/>
      <c r="EWD1876" s="2730"/>
      <c r="EWE1876" s="2730"/>
      <c r="EWF1876" s="2730"/>
      <c r="EWG1876" s="2730"/>
      <c r="EWH1876" s="2730"/>
      <c r="EWI1876" s="2730"/>
      <c r="EWJ1876" s="2730"/>
      <c r="EWK1876" s="2730"/>
      <c r="EWL1876" s="2730"/>
      <c r="EWM1876" s="2730"/>
      <c r="EWN1876" s="2730"/>
      <c r="EWO1876" s="2730"/>
      <c r="EWP1876" s="2730"/>
      <c r="EWQ1876" s="2730"/>
      <c r="EWR1876" s="2730"/>
      <c r="EWS1876" s="2730"/>
      <c r="EWT1876" s="2730"/>
      <c r="EWU1876" s="2730"/>
      <c r="EWV1876" s="2730"/>
      <c r="EWW1876" s="2730"/>
      <c r="EWX1876" s="2730"/>
      <c r="EWY1876" s="2730"/>
      <c r="EWZ1876" s="2730"/>
      <c r="EXA1876" s="2730"/>
      <c r="EXB1876" s="2730"/>
      <c r="EXC1876" s="2730"/>
      <c r="EXD1876" s="2730"/>
      <c r="EXE1876" s="2730"/>
      <c r="EXF1876" s="2730"/>
      <c r="EXG1876" s="2730"/>
      <c r="EXH1876" s="2730"/>
      <c r="EXI1876" s="2730"/>
      <c r="EXJ1876" s="2730"/>
      <c r="EXK1876" s="2730"/>
      <c r="EXL1876" s="2730"/>
      <c r="EXM1876" s="2730"/>
      <c r="EXN1876" s="2730"/>
      <c r="EXO1876" s="2730"/>
      <c r="EXP1876" s="2730"/>
      <c r="EXQ1876" s="2730"/>
      <c r="EXR1876" s="2730"/>
      <c r="EXS1876" s="2730"/>
      <c r="EXT1876" s="2730"/>
      <c r="EXU1876" s="2730"/>
      <c r="EXV1876" s="2730"/>
      <c r="EXW1876" s="2730"/>
      <c r="EXX1876" s="2730"/>
      <c r="EXY1876" s="2730"/>
      <c r="EXZ1876" s="2730"/>
      <c r="EYA1876" s="2730"/>
      <c r="EYB1876" s="2730"/>
      <c r="EYC1876" s="2730"/>
      <c r="EYD1876" s="2730"/>
      <c r="EYE1876" s="2730"/>
      <c r="EYF1876" s="2730"/>
      <c r="EYG1876" s="2730"/>
      <c r="EYH1876" s="2730"/>
      <c r="EYI1876" s="2730"/>
      <c r="EYJ1876" s="2730"/>
      <c r="EYK1876" s="2730"/>
      <c r="EYL1876" s="2730"/>
      <c r="EYM1876" s="2730"/>
      <c r="EYN1876" s="2730"/>
      <c r="EYO1876" s="2730"/>
      <c r="EYP1876" s="2730"/>
      <c r="EYQ1876" s="2730"/>
      <c r="EYR1876" s="2730"/>
      <c r="EYS1876" s="2730"/>
      <c r="EYT1876" s="2730"/>
      <c r="EYU1876" s="2730"/>
      <c r="EYV1876" s="2730"/>
      <c r="EYW1876" s="2730"/>
      <c r="EYX1876" s="2730"/>
      <c r="EYY1876" s="2730"/>
      <c r="EYZ1876" s="2730"/>
      <c r="EZA1876" s="2730"/>
      <c r="EZB1876" s="2730"/>
      <c r="EZC1876" s="2730"/>
      <c r="EZD1876" s="2730"/>
      <c r="EZE1876" s="2730"/>
      <c r="EZF1876" s="2730"/>
      <c r="EZG1876" s="2730"/>
      <c r="EZH1876" s="2730"/>
      <c r="EZI1876" s="2730"/>
      <c r="EZJ1876" s="2730"/>
      <c r="EZK1876" s="2730"/>
      <c r="EZL1876" s="2730"/>
      <c r="EZM1876" s="2730"/>
      <c r="EZN1876" s="2730"/>
      <c r="EZO1876" s="2730"/>
      <c r="EZP1876" s="2730"/>
      <c r="EZQ1876" s="2730"/>
      <c r="EZR1876" s="2730"/>
      <c r="EZS1876" s="2730"/>
      <c r="EZT1876" s="2730"/>
      <c r="EZU1876" s="2730"/>
      <c r="EZV1876" s="2730"/>
      <c r="EZW1876" s="2730"/>
      <c r="EZX1876" s="2730"/>
      <c r="EZY1876" s="2730"/>
      <c r="EZZ1876" s="2730"/>
      <c r="FAA1876" s="2730"/>
      <c r="FAB1876" s="2730"/>
      <c r="FAC1876" s="2730"/>
      <c r="FAD1876" s="2730"/>
      <c r="FAE1876" s="2730"/>
      <c r="FAF1876" s="2730"/>
      <c r="FAG1876" s="2730"/>
      <c r="FAH1876" s="2730"/>
      <c r="FAI1876" s="2730"/>
      <c r="FAJ1876" s="2730"/>
      <c r="FAK1876" s="2730"/>
      <c r="FAL1876" s="2730"/>
      <c r="FAM1876" s="2730"/>
      <c r="FAN1876" s="2730"/>
      <c r="FAO1876" s="2730"/>
      <c r="FAP1876" s="2730"/>
      <c r="FAQ1876" s="2730"/>
      <c r="FAR1876" s="2730"/>
      <c r="FAS1876" s="2730"/>
      <c r="FAT1876" s="2730"/>
      <c r="FAU1876" s="2730"/>
      <c r="FAV1876" s="2730"/>
      <c r="FAW1876" s="2730"/>
      <c r="FAX1876" s="2730"/>
      <c r="FAY1876" s="2730"/>
      <c r="FAZ1876" s="2730"/>
      <c r="FBA1876" s="2730"/>
      <c r="FBB1876" s="2730"/>
      <c r="FBC1876" s="2730"/>
      <c r="FBD1876" s="2730"/>
      <c r="FBE1876" s="2730"/>
      <c r="FBF1876" s="2730"/>
      <c r="FBG1876" s="2730"/>
      <c r="FBH1876" s="2730"/>
      <c r="FBI1876" s="2730"/>
      <c r="FBJ1876" s="2730"/>
      <c r="FBK1876" s="2730"/>
      <c r="FBL1876" s="2730"/>
      <c r="FBM1876" s="2730"/>
      <c r="FBN1876" s="2730"/>
      <c r="FBO1876" s="2730"/>
      <c r="FBP1876" s="2730"/>
      <c r="FBQ1876" s="2730"/>
      <c r="FBR1876" s="2730"/>
      <c r="FBS1876" s="2730"/>
      <c r="FBT1876" s="2730"/>
      <c r="FBU1876" s="2730"/>
      <c r="FBV1876" s="2730"/>
      <c r="FBW1876" s="2730"/>
      <c r="FBX1876" s="2730"/>
      <c r="FBY1876" s="2730"/>
      <c r="FBZ1876" s="2730"/>
      <c r="FCA1876" s="2730"/>
      <c r="FCB1876" s="2730"/>
      <c r="FCC1876" s="2730"/>
      <c r="FCD1876" s="2730"/>
      <c r="FCE1876" s="2730"/>
      <c r="FCF1876" s="2730"/>
      <c r="FCG1876" s="2730"/>
      <c r="FCH1876" s="2730"/>
      <c r="FCI1876" s="2730"/>
      <c r="FCJ1876" s="2730"/>
      <c r="FCK1876" s="2730"/>
      <c r="FCL1876" s="2730"/>
      <c r="FCM1876" s="2730"/>
      <c r="FCN1876" s="2730"/>
      <c r="FCO1876" s="2730"/>
      <c r="FCP1876" s="2730"/>
      <c r="FCQ1876" s="2730"/>
      <c r="FCR1876" s="2730"/>
      <c r="FCS1876" s="2730"/>
      <c r="FCT1876" s="2730"/>
      <c r="FCU1876" s="2730"/>
      <c r="FCV1876" s="2730"/>
      <c r="FCW1876" s="2730"/>
      <c r="FCX1876" s="2730"/>
      <c r="FCY1876" s="2730"/>
      <c r="FCZ1876" s="2730"/>
      <c r="FDA1876" s="2730"/>
      <c r="FDB1876" s="2730"/>
      <c r="FDC1876" s="2730"/>
      <c r="FDD1876" s="2730"/>
      <c r="FDE1876" s="2730"/>
      <c r="FDF1876" s="2730"/>
      <c r="FDG1876" s="2730"/>
      <c r="FDH1876" s="2730"/>
      <c r="FDI1876" s="2730"/>
      <c r="FDJ1876" s="2730"/>
      <c r="FDK1876" s="2730"/>
      <c r="FDL1876" s="2730"/>
      <c r="FDM1876" s="2730"/>
      <c r="FDN1876" s="2730"/>
      <c r="FDO1876" s="2730"/>
      <c r="FDP1876" s="2730"/>
      <c r="FDQ1876" s="2730"/>
      <c r="FDR1876" s="2730"/>
      <c r="FDS1876" s="2730"/>
      <c r="FDT1876" s="2730"/>
      <c r="FDU1876" s="2730"/>
      <c r="FDV1876" s="2730"/>
      <c r="FDW1876" s="2730"/>
      <c r="FDX1876" s="2730"/>
      <c r="FDY1876" s="2730"/>
      <c r="FDZ1876" s="2730"/>
      <c r="FEA1876" s="2730"/>
      <c r="FEB1876" s="2730"/>
      <c r="FEC1876" s="2730"/>
      <c r="FED1876" s="2730"/>
      <c r="FEE1876" s="2730"/>
      <c r="FEF1876" s="2730"/>
      <c r="FEG1876" s="2730"/>
      <c r="FEH1876" s="2730"/>
      <c r="FEI1876" s="2730"/>
      <c r="FEJ1876" s="2730"/>
      <c r="FEK1876" s="2730"/>
      <c r="FEL1876" s="2730"/>
      <c r="FEM1876" s="2730"/>
      <c r="FEN1876" s="2730"/>
      <c r="FEO1876" s="2730"/>
      <c r="FEP1876" s="2730"/>
      <c r="FEQ1876" s="2730"/>
      <c r="FER1876" s="2730"/>
      <c r="FES1876" s="2730"/>
      <c r="FET1876" s="2730"/>
      <c r="FEU1876" s="2730"/>
      <c r="FEV1876" s="2730"/>
      <c r="FEW1876" s="2730"/>
      <c r="FEX1876" s="2730"/>
      <c r="FEY1876" s="2730"/>
      <c r="FEZ1876" s="2730"/>
      <c r="FFA1876" s="2730"/>
      <c r="FFB1876" s="2730"/>
      <c r="FFC1876" s="2730"/>
      <c r="FFD1876" s="2730"/>
      <c r="FFE1876" s="2730"/>
      <c r="FFF1876" s="2730"/>
      <c r="FFG1876" s="2730"/>
      <c r="FFH1876" s="2730"/>
      <c r="FFI1876" s="2730"/>
      <c r="FFJ1876" s="2730"/>
      <c r="FFK1876" s="2730"/>
      <c r="FFL1876" s="2730"/>
      <c r="FFM1876" s="2730"/>
      <c r="FFN1876" s="2730"/>
      <c r="FFO1876" s="2730"/>
      <c r="FFP1876" s="2730"/>
      <c r="FFQ1876" s="2730"/>
      <c r="FFR1876" s="2730"/>
      <c r="FFS1876" s="2730"/>
      <c r="FFT1876" s="2730"/>
      <c r="FFU1876" s="2730"/>
      <c r="FFV1876" s="2730"/>
      <c r="FFW1876" s="2730"/>
      <c r="FFX1876" s="2730"/>
      <c r="FFY1876" s="2730"/>
      <c r="FFZ1876" s="2730"/>
      <c r="FGA1876" s="2730"/>
      <c r="FGB1876" s="2730"/>
      <c r="FGC1876" s="2730"/>
      <c r="FGD1876" s="2730"/>
      <c r="FGE1876" s="2730"/>
      <c r="FGF1876" s="2730"/>
      <c r="FGG1876" s="2730"/>
      <c r="FGH1876" s="2730"/>
      <c r="FGI1876" s="2730"/>
      <c r="FGJ1876" s="2730"/>
      <c r="FGK1876" s="2730"/>
      <c r="FGL1876" s="2730"/>
      <c r="FGM1876" s="2730"/>
      <c r="FGN1876" s="2730"/>
      <c r="FGO1876" s="2730"/>
      <c r="FGP1876" s="2730"/>
      <c r="FGQ1876" s="2730"/>
      <c r="FGR1876" s="2730"/>
      <c r="FGS1876" s="2730"/>
      <c r="FGT1876" s="2730"/>
      <c r="FGU1876" s="2730"/>
      <c r="FGV1876" s="2730"/>
      <c r="FGW1876" s="2730"/>
      <c r="FGX1876" s="2730"/>
      <c r="FGY1876" s="2730"/>
      <c r="FGZ1876" s="2730"/>
      <c r="FHA1876" s="2730"/>
      <c r="FHB1876" s="2730"/>
      <c r="FHC1876" s="2730"/>
      <c r="FHD1876" s="2730"/>
      <c r="FHE1876" s="2730"/>
      <c r="FHF1876" s="2730"/>
      <c r="FHG1876" s="2730"/>
      <c r="FHH1876" s="2730"/>
      <c r="FHI1876" s="2730"/>
      <c r="FHJ1876" s="2730"/>
      <c r="FHK1876" s="2730"/>
      <c r="FHL1876" s="2730"/>
      <c r="FHM1876" s="2730"/>
      <c r="FHN1876" s="2730"/>
      <c r="FHO1876" s="2730"/>
      <c r="FHP1876" s="2730"/>
      <c r="FHQ1876" s="2730"/>
      <c r="FHR1876" s="2730"/>
      <c r="FHS1876" s="2730"/>
      <c r="FHT1876" s="2730"/>
      <c r="FHU1876" s="2730"/>
      <c r="FHV1876" s="2730"/>
      <c r="FHW1876" s="2730"/>
      <c r="FHX1876" s="2730"/>
      <c r="FHY1876" s="2730"/>
      <c r="FHZ1876" s="2730"/>
      <c r="FIA1876" s="2730"/>
      <c r="FIB1876" s="2730"/>
      <c r="FIC1876" s="2730"/>
      <c r="FID1876" s="2730"/>
      <c r="FIE1876" s="2730"/>
      <c r="FIF1876" s="2730"/>
      <c r="FIG1876" s="2730"/>
      <c r="FIH1876" s="2730"/>
      <c r="FII1876" s="2730"/>
      <c r="FIJ1876" s="2730"/>
      <c r="FIK1876" s="2730"/>
      <c r="FIL1876" s="2730"/>
      <c r="FIM1876" s="2730"/>
      <c r="FIN1876" s="2730"/>
      <c r="FIO1876" s="2730"/>
      <c r="FIP1876" s="2730"/>
      <c r="FIQ1876" s="2730"/>
      <c r="FIR1876" s="2730"/>
      <c r="FIS1876" s="2730"/>
      <c r="FIT1876" s="2730"/>
      <c r="FIU1876" s="2730"/>
      <c r="FIV1876" s="2730"/>
      <c r="FIW1876" s="2730"/>
      <c r="FIX1876" s="2730"/>
      <c r="FIY1876" s="2730"/>
      <c r="FIZ1876" s="2730"/>
      <c r="FJA1876" s="2730"/>
      <c r="FJB1876" s="2730"/>
      <c r="FJC1876" s="2730"/>
      <c r="FJD1876" s="2730"/>
      <c r="FJE1876" s="2730"/>
      <c r="FJF1876" s="2730"/>
      <c r="FJG1876" s="2730"/>
      <c r="FJH1876" s="2730"/>
      <c r="FJI1876" s="2730"/>
      <c r="FJJ1876" s="2730"/>
      <c r="FJK1876" s="2730"/>
      <c r="FJL1876" s="2730"/>
      <c r="FJM1876" s="2730"/>
      <c r="FJN1876" s="2730"/>
      <c r="FJO1876" s="2730"/>
      <c r="FJP1876" s="2730"/>
      <c r="FJQ1876" s="2730"/>
      <c r="FJR1876" s="2730"/>
      <c r="FJS1876" s="2730"/>
      <c r="FJT1876" s="2730"/>
      <c r="FJU1876" s="2730"/>
      <c r="FJV1876" s="2730"/>
      <c r="FJW1876" s="2730"/>
      <c r="FJX1876" s="2730"/>
      <c r="FJY1876" s="2730"/>
      <c r="FJZ1876" s="2730"/>
      <c r="FKA1876" s="2730"/>
      <c r="FKB1876" s="2730"/>
      <c r="FKC1876" s="2730"/>
      <c r="FKD1876" s="2730"/>
      <c r="FKE1876" s="2730"/>
      <c r="FKF1876" s="2730"/>
      <c r="FKG1876" s="2730"/>
      <c r="FKH1876" s="2730"/>
      <c r="FKI1876" s="2730"/>
      <c r="FKJ1876" s="2730"/>
      <c r="FKK1876" s="2730"/>
      <c r="FKL1876" s="2730"/>
      <c r="FKM1876" s="2730"/>
      <c r="FKN1876" s="2730"/>
      <c r="FKO1876" s="2730"/>
      <c r="FKP1876" s="2730"/>
      <c r="FKQ1876" s="2730"/>
      <c r="FKR1876" s="2730"/>
      <c r="FKS1876" s="2730"/>
      <c r="FKT1876" s="2730"/>
      <c r="FKU1876" s="2730"/>
      <c r="FKV1876" s="2730"/>
      <c r="FKW1876" s="2730"/>
      <c r="FKX1876" s="2730"/>
      <c r="FKY1876" s="2730"/>
      <c r="FKZ1876" s="2730"/>
      <c r="FLA1876" s="2730"/>
      <c r="FLB1876" s="2730"/>
      <c r="FLC1876" s="2730"/>
      <c r="FLD1876" s="2730"/>
      <c r="FLE1876" s="2730"/>
      <c r="FLF1876" s="2730"/>
      <c r="FLG1876" s="2730"/>
      <c r="FLH1876" s="2730"/>
      <c r="FLI1876" s="2730"/>
      <c r="FLJ1876" s="2730"/>
      <c r="FLK1876" s="2730"/>
      <c r="FLL1876" s="2730"/>
      <c r="FLM1876" s="2730"/>
      <c r="FLN1876" s="2730"/>
      <c r="FLO1876" s="2730"/>
      <c r="FLP1876" s="2730"/>
      <c r="FLQ1876" s="2730"/>
      <c r="FLR1876" s="2730"/>
      <c r="FLS1876" s="2730"/>
      <c r="FLT1876" s="2730"/>
      <c r="FLU1876" s="2730"/>
      <c r="FLV1876" s="2730"/>
      <c r="FLW1876" s="2730"/>
      <c r="FLX1876" s="2730"/>
      <c r="FLY1876" s="2730"/>
      <c r="FLZ1876" s="2730"/>
      <c r="FMA1876" s="2730"/>
      <c r="FMB1876" s="2730"/>
      <c r="FMC1876" s="2730"/>
      <c r="FMD1876" s="2730"/>
      <c r="FME1876" s="2730"/>
      <c r="FMF1876" s="2730"/>
      <c r="FMG1876" s="2730"/>
      <c r="FMH1876" s="2730"/>
      <c r="FMI1876" s="2730"/>
      <c r="FMJ1876" s="2730"/>
      <c r="FMK1876" s="2730"/>
      <c r="FML1876" s="2730"/>
      <c r="FMM1876" s="2730"/>
      <c r="FMN1876" s="2730"/>
      <c r="FMO1876" s="2730"/>
      <c r="FMP1876" s="2730"/>
      <c r="FMQ1876" s="2730"/>
      <c r="FMR1876" s="2730"/>
      <c r="FMS1876" s="2730"/>
      <c r="FMT1876" s="2730"/>
      <c r="FMU1876" s="2730"/>
      <c r="FMV1876" s="2730"/>
      <c r="FMW1876" s="2730"/>
      <c r="FMX1876" s="2730"/>
      <c r="FMY1876" s="2730"/>
      <c r="FMZ1876" s="2730"/>
      <c r="FNA1876" s="2730"/>
      <c r="FNB1876" s="2730"/>
      <c r="FNC1876" s="2730"/>
      <c r="FND1876" s="2730"/>
      <c r="FNE1876" s="2730"/>
      <c r="FNF1876" s="2730"/>
      <c r="FNG1876" s="2730"/>
      <c r="FNH1876" s="2730"/>
      <c r="FNI1876" s="2730"/>
      <c r="FNJ1876" s="2730"/>
      <c r="FNK1876" s="2730"/>
      <c r="FNL1876" s="2730"/>
      <c r="FNM1876" s="2730"/>
      <c r="FNN1876" s="2730"/>
      <c r="FNO1876" s="2730"/>
      <c r="FNP1876" s="2730"/>
      <c r="FNQ1876" s="2730"/>
      <c r="FNR1876" s="2730"/>
      <c r="FNS1876" s="2730"/>
      <c r="FNT1876" s="2730"/>
      <c r="FNU1876" s="2730"/>
      <c r="FNV1876" s="2730"/>
      <c r="FNW1876" s="2730"/>
      <c r="FNX1876" s="2730"/>
      <c r="FNY1876" s="2730"/>
      <c r="FNZ1876" s="2730"/>
      <c r="FOA1876" s="2730"/>
      <c r="FOB1876" s="2730"/>
      <c r="FOC1876" s="2730"/>
      <c r="FOD1876" s="2730"/>
      <c r="FOE1876" s="2730"/>
      <c r="FOF1876" s="2730"/>
      <c r="FOG1876" s="2730"/>
      <c r="FOH1876" s="2730"/>
      <c r="FOI1876" s="2730"/>
      <c r="FOJ1876" s="2730"/>
      <c r="FOK1876" s="2730"/>
      <c r="FOL1876" s="2730"/>
      <c r="FOM1876" s="2730"/>
      <c r="FON1876" s="2730"/>
      <c r="FOO1876" s="2730"/>
      <c r="FOP1876" s="2730"/>
      <c r="FOQ1876" s="2730"/>
      <c r="FOR1876" s="2730"/>
      <c r="FOS1876" s="2730"/>
      <c r="FOT1876" s="2730"/>
      <c r="FOU1876" s="2730"/>
      <c r="FOV1876" s="2730"/>
      <c r="FOW1876" s="2730"/>
      <c r="FOX1876" s="2730"/>
      <c r="FOY1876" s="2730"/>
      <c r="FOZ1876" s="2730"/>
      <c r="FPA1876" s="2730"/>
      <c r="FPB1876" s="2730"/>
      <c r="FPC1876" s="2730"/>
      <c r="FPD1876" s="2730"/>
      <c r="FPE1876" s="2730"/>
      <c r="FPF1876" s="2730"/>
      <c r="FPG1876" s="2730"/>
      <c r="FPH1876" s="2730"/>
      <c r="FPI1876" s="2730"/>
      <c r="FPJ1876" s="2730"/>
      <c r="FPK1876" s="2730"/>
      <c r="FPL1876" s="2730"/>
      <c r="FPM1876" s="2730"/>
      <c r="FPN1876" s="2730"/>
      <c r="FPO1876" s="2730"/>
      <c r="FPP1876" s="2730"/>
      <c r="FPQ1876" s="2730"/>
      <c r="FPR1876" s="2730"/>
      <c r="FPS1876" s="2730"/>
      <c r="FPT1876" s="2730"/>
      <c r="FPU1876" s="2730"/>
      <c r="FPV1876" s="2730"/>
      <c r="FPW1876" s="2730"/>
      <c r="FPX1876" s="2730"/>
      <c r="FPY1876" s="2730"/>
      <c r="FPZ1876" s="2730"/>
      <c r="FQA1876" s="2730"/>
      <c r="FQB1876" s="2730"/>
      <c r="FQC1876" s="2730"/>
      <c r="FQD1876" s="2730"/>
      <c r="FQE1876" s="2730"/>
      <c r="FQF1876" s="2730"/>
      <c r="FQG1876" s="2730"/>
      <c r="FQH1876" s="2730"/>
      <c r="FQI1876" s="2730"/>
      <c r="FQJ1876" s="2730"/>
      <c r="FQK1876" s="2730"/>
      <c r="FQL1876" s="2730"/>
      <c r="FQM1876" s="2730"/>
      <c r="FQN1876" s="2730"/>
      <c r="FQO1876" s="2730"/>
      <c r="FQP1876" s="2730"/>
      <c r="FQQ1876" s="2730"/>
      <c r="FQR1876" s="2730"/>
      <c r="FQS1876" s="2730"/>
      <c r="FQT1876" s="2730"/>
      <c r="FQU1876" s="2730"/>
      <c r="FQV1876" s="2730"/>
      <c r="FQW1876" s="2730"/>
      <c r="FQX1876" s="2730"/>
      <c r="FQY1876" s="2730"/>
      <c r="FQZ1876" s="2730"/>
      <c r="FRA1876" s="2730"/>
      <c r="FRB1876" s="2730"/>
      <c r="FRC1876" s="2730"/>
      <c r="FRD1876" s="2730"/>
      <c r="FRE1876" s="2730"/>
      <c r="FRF1876" s="2730"/>
      <c r="FRG1876" s="2730"/>
      <c r="FRH1876" s="2730"/>
      <c r="FRI1876" s="2730"/>
      <c r="FRJ1876" s="2730"/>
      <c r="FRK1876" s="2730"/>
      <c r="FRL1876" s="2730"/>
      <c r="FRM1876" s="2730"/>
      <c r="FRN1876" s="2730"/>
      <c r="FRO1876" s="2730"/>
      <c r="FRP1876" s="2730"/>
      <c r="FRQ1876" s="2730"/>
      <c r="FRR1876" s="2730"/>
      <c r="FRS1876" s="2730"/>
      <c r="FRT1876" s="2730"/>
      <c r="FRU1876" s="2730"/>
      <c r="FRV1876" s="2730"/>
      <c r="FRW1876" s="2730"/>
      <c r="FRX1876" s="2730"/>
      <c r="FRY1876" s="2730"/>
      <c r="FRZ1876" s="2730"/>
      <c r="FSA1876" s="2730"/>
      <c r="FSB1876" s="2730"/>
      <c r="FSC1876" s="2730"/>
      <c r="FSD1876" s="2730"/>
      <c r="FSE1876" s="2730"/>
      <c r="FSF1876" s="2730"/>
      <c r="FSG1876" s="2730"/>
      <c r="FSH1876" s="2730"/>
      <c r="FSI1876" s="2730"/>
      <c r="FSJ1876" s="2730"/>
      <c r="FSK1876" s="2730"/>
      <c r="FSL1876" s="2730"/>
      <c r="FSM1876" s="2730"/>
      <c r="FSN1876" s="2730"/>
      <c r="FSO1876" s="2730"/>
      <c r="FSP1876" s="2730"/>
      <c r="FSQ1876" s="2730"/>
      <c r="FSR1876" s="2730"/>
      <c r="FSS1876" s="2730"/>
      <c r="FST1876" s="2730"/>
      <c r="FSU1876" s="2730"/>
      <c r="FSV1876" s="2730"/>
      <c r="FSW1876" s="2730"/>
      <c r="FSX1876" s="2730"/>
      <c r="FSY1876" s="2730"/>
      <c r="FSZ1876" s="2730"/>
      <c r="FTA1876" s="2730"/>
      <c r="FTB1876" s="2730"/>
      <c r="FTC1876" s="2730"/>
      <c r="FTD1876" s="2730"/>
      <c r="FTE1876" s="2730"/>
      <c r="FTF1876" s="2730"/>
      <c r="FTG1876" s="2730"/>
      <c r="FTH1876" s="2730"/>
      <c r="FTI1876" s="2730"/>
      <c r="FTJ1876" s="2730"/>
      <c r="FTK1876" s="2730"/>
      <c r="FTL1876" s="2730"/>
      <c r="FTM1876" s="2730"/>
      <c r="FTN1876" s="2730"/>
      <c r="FTO1876" s="2730"/>
      <c r="FTP1876" s="2730"/>
      <c r="FTQ1876" s="2730"/>
      <c r="FTR1876" s="2730"/>
      <c r="FTS1876" s="2730"/>
      <c r="FTT1876" s="2730"/>
      <c r="FTU1876" s="2730"/>
      <c r="FTV1876" s="2730"/>
      <c r="FTW1876" s="2730"/>
      <c r="FTX1876" s="2730"/>
      <c r="FTY1876" s="2730"/>
      <c r="FTZ1876" s="2730"/>
      <c r="FUA1876" s="2730"/>
      <c r="FUB1876" s="2730"/>
      <c r="FUC1876" s="2730"/>
      <c r="FUD1876" s="2730"/>
      <c r="FUE1876" s="2730"/>
      <c r="FUF1876" s="2730"/>
      <c r="FUG1876" s="2730"/>
      <c r="FUH1876" s="2730"/>
      <c r="FUI1876" s="2730"/>
      <c r="FUJ1876" s="2730"/>
      <c r="FUK1876" s="2730"/>
      <c r="FUL1876" s="2730"/>
      <c r="FUM1876" s="2730"/>
      <c r="FUN1876" s="2730"/>
      <c r="FUO1876" s="2730"/>
      <c r="FUP1876" s="2730"/>
      <c r="FUQ1876" s="2730"/>
      <c r="FUR1876" s="2730"/>
      <c r="FUS1876" s="2730"/>
      <c r="FUT1876" s="2730"/>
      <c r="FUU1876" s="2730"/>
      <c r="FUV1876" s="2730"/>
      <c r="FUW1876" s="2730"/>
      <c r="FUX1876" s="2730"/>
      <c r="FUY1876" s="2730"/>
      <c r="FUZ1876" s="2730"/>
      <c r="FVA1876" s="2730"/>
      <c r="FVB1876" s="2730"/>
      <c r="FVC1876" s="2730"/>
      <c r="FVD1876" s="2730"/>
      <c r="FVE1876" s="2730"/>
      <c r="FVF1876" s="2730"/>
      <c r="FVG1876" s="2730"/>
      <c r="FVH1876" s="2730"/>
      <c r="FVI1876" s="2730"/>
      <c r="FVJ1876" s="2730"/>
      <c r="FVK1876" s="2730"/>
      <c r="FVL1876" s="2730"/>
      <c r="FVM1876" s="2730"/>
      <c r="FVN1876" s="2730"/>
      <c r="FVO1876" s="2730"/>
      <c r="FVP1876" s="2730"/>
      <c r="FVQ1876" s="2730"/>
      <c r="FVR1876" s="2730"/>
      <c r="FVS1876" s="2730"/>
      <c r="FVT1876" s="2730"/>
      <c r="FVU1876" s="2730"/>
      <c r="FVV1876" s="2730"/>
      <c r="FVW1876" s="2730"/>
      <c r="FVX1876" s="2730"/>
      <c r="FVY1876" s="2730"/>
      <c r="FVZ1876" s="2730"/>
      <c r="FWA1876" s="2730"/>
      <c r="FWB1876" s="2730"/>
      <c r="FWC1876" s="2730"/>
      <c r="FWD1876" s="2730"/>
      <c r="FWE1876" s="2730"/>
      <c r="FWF1876" s="2730"/>
      <c r="FWG1876" s="2730"/>
      <c r="FWH1876" s="2730"/>
      <c r="FWI1876" s="2730"/>
      <c r="FWJ1876" s="2730"/>
      <c r="FWK1876" s="2730"/>
      <c r="FWL1876" s="2730"/>
      <c r="FWM1876" s="2730"/>
      <c r="FWN1876" s="2730"/>
      <c r="FWO1876" s="2730"/>
      <c r="FWP1876" s="2730"/>
      <c r="FWQ1876" s="2730"/>
      <c r="FWR1876" s="2730"/>
      <c r="FWS1876" s="2730"/>
      <c r="FWT1876" s="2730"/>
      <c r="FWU1876" s="2730"/>
      <c r="FWV1876" s="2730"/>
      <c r="FWW1876" s="2730"/>
      <c r="FWX1876" s="2730"/>
      <c r="FWY1876" s="2730"/>
      <c r="FWZ1876" s="2730"/>
      <c r="FXA1876" s="2730"/>
      <c r="FXB1876" s="2730"/>
      <c r="FXC1876" s="2730"/>
      <c r="FXD1876" s="2730"/>
      <c r="FXE1876" s="2730"/>
      <c r="FXF1876" s="2730"/>
      <c r="FXG1876" s="2730"/>
      <c r="FXH1876" s="2730"/>
      <c r="FXI1876" s="2730"/>
      <c r="FXJ1876" s="2730"/>
      <c r="FXK1876" s="2730"/>
      <c r="FXL1876" s="2730"/>
      <c r="FXM1876" s="2730"/>
      <c r="FXN1876" s="2730"/>
      <c r="FXO1876" s="2730"/>
      <c r="FXP1876" s="2730"/>
      <c r="FXQ1876" s="2730"/>
      <c r="FXR1876" s="2730"/>
      <c r="FXS1876" s="2730"/>
      <c r="FXT1876" s="2730"/>
      <c r="FXU1876" s="2730"/>
      <c r="FXV1876" s="2730"/>
      <c r="FXW1876" s="2730"/>
      <c r="FXX1876" s="2730"/>
      <c r="FXY1876" s="2730"/>
      <c r="FXZ1876" s="2730"/>
      <c r="FYA1876" s="2730"/>
      <c r="FYB1876" s="2730"/>
      <c r="FYC1876" s="2730"/>
      <c r="FYD1876" s="2730"/>
      <c r="FYE1876" s="2730"/>
      <c r="FYF1876" s="2730"/>
      <c r="FYG1876" s="2730"/>
      <c r="FYH1876" s="2730"/>
      <c r="FYI1876" s="2730"/>
      <c r="FYJ1876" s="2730"/>
      <c r="FYK1876" s="2730"/>
      <c r="FYL1876" s="2730"/>
      <c r="FYM1876" s="2730"/>
      <c r="FYN1876" s="2730"/>
      <c r="FYO1876" s="2730"/>
      <c r="FYP1876" s="2730"/>
      <c r="FYQ1876" s="2730"/>
      <c r="FYR1876" s="2730"/>
      <c r="FYS1876" s="2730"/>
      <c r="FYT1876" s="2730"/>
      <c r="FYU1876" s="2730"/>
      <c r="FYV1876" s="2730"/>
      <c r="FYW1876" s="2730"/>
      <c r="FYX1876" s="2730"/>
      <c r="FYY1876" s="2730"/>
      <c r="FYZ1876" s="2730"/>
      <c r="FZA1876" s="2730"/>
      <c r="FZB1876" s="2730"/>
      <c r="FZC1876" s="2730"/>
      <c r="FZD1876" s="2730"/>
      <c r="FZE1876" s="2730"/>
      <c r="FZF1876" s="2730"/>
      <c r="FZG1876" s="2730"/>
      <c r="FZH1876" s="2730"/>
      <c r="FZI1876" s="2730"/>
      <c r="FZJ1876" s="2730"/>
      <c r="FZK1876" s="2730"/>
      <c r="FZL1876" s="2730"/>
      <c r="FZM1876" s="2730"/>
      <c r="FZN1876" s="2730"/>
      <c r="FZO1876" s="2730"/>
      <c r="FZP1876" s="2730"/>
      <c r="FZQ1876" s="2730"/>
      <c r="FZR1876" s="2730"/>
      <c r="FZS1876" s="2730"/>
      <c r="FZT1876" s="2730"/>
      <c r="FZU1876" s="2730"/>
      <c r="FZV1876" s="2730"/>
      <c r="FZW1876" s="2730"/>
      <c r="FZX1876" s="2730"/>
      <c r="FZY1876" s="2730"/>
      <c r="FZZ1876" s="2730"/>
      <c r="GAA1876" s="2730"/>
      <c r="GAB1876" s="2730"/>
      <c r="GAC1876" s="2730"/>
      <c r="GAD1876" s="2730"/>
      <c r="GAE1876" s="2730"/>
      <c r="GAF1876" s="2730"/>
      <c r="GAG1876" s="2730"/>
      <c r="GAH1876" s="2730"/>
      <c r="GAI1876" s="2730"/>
      <c r="GAJ1876" s="2730"/>
      <c r="GAK1876" s="2730"/>
      <c r="GAL1876" s="2730"/>
      <c r="GAM1876" s="2730"/>
      <c r="GAN1876" s="2730"/>
      <c r="GAO1876" s="2730"/>
      <c r="GAP1876" s="2730"/>
      <c r="GAQ1876" s="2730"/>
      <c r="GAR1876" s="2730"/>
      <c r="GAS1876" s="2730"/>
      <c r="GAT1876" s="2730"/>
      <c r="GAU1876" s="2730"/>
      <c r="GAV1876" s="2730"/>
      <c r="GAW1876" s="2730"/>
      <c r="GAX1876" s="2730"/>
      <c r="GAY1876" s="2730"/>
      <c r="GAZ1876" s="2730"/>
      <c r="GBA1876" s="2730"/>
      <c r="GBB1876" s="2730"/>
      <c r="GBC1876" s="2730"/>
      <c r="GBD1876" s="2730"/>
      <c r="GBE1876" s="2730"/>
      <c r="GBF1876" s="2730"/>
      <c r="GBG1876" s="2730"/>
      <c r="GBH1876" s="2730"/>
      <c r="GBI1876" s="2730"/>
      <c r="GBJ1876" s="2730"/>
      <c r="GBK1876" s="2730"/>
      <c r="GBL1876" s="2730"/>
      <c r="GBM1876" s="2730"/>
      <c r="GBN1876" s="2730"/>
      <c r="GBO1876" s="2730"/>
      <c r="GBP1876" s="2730"/>
      <c r="GBQ1876" s="2730"/>
      <c r="GBR1876" s="2730"/>
      <c r="GBS1876" s="2730"/>
      <c r="GBT1876" s="2730"/>
      <c r="GBU1876" s="2730"/>
      <c r="GBV1876" s="2730"/>
      <c r="GBW1876" s="2730"/>
      <c r="GBX1876" s="2730"/>
      <c r="GBY1876" s="2730"/>
      <c r="GBZ1876" s="2730"/>
      <c r="GCA1876" s="2730"/>
      <c r="GCB1876" s="2730"/>
      <c r="GCC1876" s="2730"/>
      <c r="GCD1876" s="2730"/>
      <c r="GCE1876" s="2730"/>
      <c r="GCF1876" s="2730"/>
      <c r="GCG1876" s="2730"/>
      <c r="GCH1876" s="2730"/>
      <c r="GCI1876" s="2730"/>
      <c r="GCJ1876" s="2730"/>
      <c r="GCK1876" s="2730"/>
      <c r="GCL1876" s="2730"/>
      <c r="GCM1876" s="2730"/>
      <c r="GCN1876" s="2730"/>
      <c r="GCO1876" s="2730"/>
      <c r="GCP1876" s="2730"/>
      <c r="GCQ1876" s="2730"/>
      <c r="GCR1876" s="2730"/>
      <c r="GCS1876" s="2730"/>
      <c r="GCT1876" s="2730"/>
      <c r="GCU1876" s="2730"/>
      <c r="GCV1876" s="2730"/>
      <c r="GCW1876" s="2730"/>
      <c r="GCX1876" s="2730"/>
      <c r="GCY1876" s="2730"/>
      <c r="GCZ1876" s="2730"/>
      <c r="GDA1876" s="2730"/>
      <c r="GDB1876" s="2730"/>
      <c r="GDC1876" s="2730"/>
      <c r="GDD1876" s="2730"/>
      <c r="GDE1876" s="2730"/>
      <c r="GDF1876" s="2730"/>
      <c r="GDG1876" s="2730"/>
      <c r="GDH1876" s="2730"/>
      <c r="GDI1876" s="2730"/>
      <c r="GDJ1876" s="2730"/>
      <c r="GDK1876" s="2730"/>
      <c r="GDL1876" s="2730"/>
      <c r="GDM1876" s="2730"/>
      <c r="GDN1876" s="2730"/>
      <c r="GDO1876" s="2730"/>
      <c r="GDP1876" s="2730"/>
      <c r="GDQ1876" s="2730"/>
      <c r="GDR1876" s="2730"/>
      <c r="GDS1876" s="2730"/>
      <c r="GDT1876" s="2730"/>
      <c r="GDU1876" s="2730"/>
      <c r="GDV1876" s="2730"/>
      <c r="GDW1876" s="2730"/>
      <c r="GDX1876" s="2730"/>
      <c r="GDY1876" s="2730"/>
      <c r="GDZ1876" s="2730"/>
      <c r="GEA1876" s="2730"/>
      <c r="GEB1876" s="2730"/>
      <c r="GEC1876" s="2730"/>
      <c r="GED1876" s="2730"/>
      <c r="GEE1876" s="2730"/>
      <c r="GEF1876" s="2730"/>
      <c r="GEG1876" s="2730"/>
      <c r="GEH1876" s="2730"/>
      <c r="GEI1876" s="2730"/>
      <c r="GEJ1876" s="2730"/>
      <c r="GEK1876" s="2730"/>
      <c r="GEL1876" s="2730"/>
      <c r="GEM1876" s="2730"/>
      <c r="GEN1876" s="2730"/>
      <c r="GEO1876" s="2730"/>
      <c r="GEP1876" s="2730"/>
      <c r="GEQ1876" s="2730"/>
      <c r="GER1876" s="2730"/>
      <c r="GES1876" s="2730"/>
      <c r="GET1876" s="2730"/>
      <c r="GEU1876" s="2730"/>
      <c r="GEV1876" s="2730"/>
      <c r="GEW1876" s="2730"/>
      <c r="GEX1876" s="2730"/>
      <c r="GEY1876" s="2730"/>
      <c r="GEZ1876" s="2730"/>
      <c r="GFA1876" s="2730"/>
      <c r="GFB1876" s="2730"/>
      <c r="GFC1876" s="2730"/>
      <c r="GFD1876" s="2730"/>
      <c r="GFE1876" s="2730"/>
      <c r="GFF1876" s="2730"/>
      <c r="GFG1876" s="2730"/>
      <c r="GFH1876" s="2730"/>
      <c r="GFI1876" s="2730"/>
      <c r="GFJ1876" s="2730"/>
      <c r="GFK1876" s="2730"/>
      <c r="GFL1876" s="2730"/>
      <c r="GFM1876" s="2730"/>
      <c r="GFN1876" s="2730"/>
      <c r="GFO1876" s="2730"/>
      <c r="GFP1876" s="2730"/>
      <c r="GFQ1876" s="2730"/>
      <c r="GFR1876" s="2730"/>
      <c r="GFS1876" s="2730"/>
      <c r="GFT1876" s="2730"/>
      <c r="GFU1876" s="2730"/>
      <c r="GFV1876" s="2730"/>
      <c r="GFW1876" s="2730"/>
      <c r="GFX1876" s="2730"/>
      <c r="GFY1876" s="2730"/>
      <c r="GFZ1876" s="2730"/>
      <c r="GGA1876" s="2730"/>
      <c r="GGB1876" s="2730"/>
      <c r="GGC1876" s="2730"/>
      <c r="GGD1876" s="2730"/>
      <c r="GGE1876" s="2730"/>
      <c r="GGF1876" s="2730"/>
      <c r="GGG1876" s="2730"/>
      <c r="GGH1876" s="2730"/>
      <c r="GGI1876" s="2730"/>
      <c r="GGJ1876" s="2730"/>
      <c r="GGK1876" s="2730"/>
      <c r="GGL1876" s="2730"/>
      <c r="GGM1876" s="2730"/>
      <c r="GGN1876" s="2730"/>
      <c r="GGO1876" s="2730"/>
      <c r="GGP1876" s="2730"/>
      <c r="GGQ1876" s="2730"/>
      <c r="GGR1876" s="2730"/>
      <c r="GGS1876" s="2730"/>
      <c r="GGT1876" s="2730"/>
      <c r="GGU1876" s="2730"/>
      <c r="GGV1876" s="2730"/>
      <c r="GGW1876" s="2730"/>
      <c r="GGX1876" s="2730"/>
      <c r="GGY1876" s="2730"/>
      <c r="GGZ1876" s="2730"/>
      <c r="GHA1876" s="2730"/>
      <c r="GHB1876" s="2730"/>
      <c r="GHC1876" s="2730"/>
      <c r="GHD1876" s="2730"/>
      <c r="GHE1876" s="2730"/>
      <c r="GHF1876" s="2730"/>
      <c r="GHG1876" s="2730"/>
      <c r="GHH1876" s="2730"/>
      <c r="GHI1876" s="2730"/>
      <c r="GHJ1876" s="2730"/>
      <c r="GHK1876" s="2730"/>
      <c r="GHL1876" s="2730"/>
      <c r="GHM1876" s="2730"/>
      <c r="GHN1876" s="2730"/>
      <c r="GHO1876" s="2730"/>
      <c r="GHP1876" s="2730"/>
      <c r="GHQ1876" s="2730"/>
      <c r="GHR1876" s="2730"/>
      <c r="GHS1876" s="2730"/>
      <c r="GHT1876" s="2730"/>
      <c r="GHU1876" s="2730"/>
      <c r="GHV1876" s="2730"/>
      <c r="GHW1876" s="2730"/>
      <c r="GHX1876" s="2730"/>
      <c r="GHY1876" s="2730"/>
      <c r="GHZ1876" s="2730"/>
      <c r="GIA1876" s="2730"/>
      <c r="GIB1876" s="2730"/>
      <c r="GIC1876" s="2730"/>
      <c r="GID1876" s="2730"/>
      <c r="GIE1876" s="2730"/>
      <c r="GIF1876" s="2730"/>
      <c r="GIG1876" s="2730"/>
      <c r="GIH1876" s="2730"/>
      <c r="GII1876" s="2730"/>
      <c r="GIJ1876" s="2730"/>
      <c r="GIK1876" s="2730"/>
      <c r="GIL1876" s="2730"/>
      <c r="GIM1876" s="2730"/>
      <c r="GIN1876" s="2730"/>
      <c r="GIO1876" s="2730"/>
      <c r="GIP1876" s="2730"/>
      <c r="GIQ1876" s="2730"/>
      <c r="GIR1876" s="2730"/>
      <c r="GIS1876" s="2730"/>
      <c r="GIT1876" s="2730"/>
      <c r="GIU1876" s="2730"/>
      <c r="GIV1876" s="2730"/>
      <c r="GIW1876" s="2730"/>
      <c r="GIX1876" s="2730"/>
      <c r="GIY1876" s="2730"/>
      <c r="GIZ1876" s="2730"/>
      <c r="GJA1876" s="2730"/>
      <c r="GJB1876" s="2730"/>
      <c r="GJC1876" s="2730"/>
      <c r="GJD1876" s="2730"/>
      <c r="GJE1876" s="2730"/>
      <c r="GJF1876" s="2730"/>
      <c r="GJG1876" s="2730"/>
      <c r="GJH1876" s="2730"/>
      <c r="GJI1876" s="2730"/>
      <c r="GJJ1876" s="2730"/>
      <c r="GJK1876" s="2730"/>
      <c r="GJL1876" s="2730"/>
      <c r="GJM1876" s="2730"/>
      <c r="GJN1876" s="2730"/>
      <c r="GJO1876" s="2730"/>
      <c r="GJP1876" s="2730"/>
      <c r="GJQ1876" s="2730"/>
      <c r="GJR1876" s="2730"/>
      <c r="GJS1876" s="2730"/>
      <c r="GJT1876" s="2730"/>
      <c r="GJU1876" s="2730"/>
      <c r="GJV1876" s="2730"/>
      <c r="GJW1876" s="2730"/>
      <c r="GJX1876" s="2730"/>
      <c r="GJY1876" s="2730"/>
      <c r="GJZ1876" s="2730"/>
      <c r="GKA1876" s="2730"/>
      <c r="GKB1876" s="2730"/>
      <c r="GKC1876" s="2730"/>
      <c r="GKD1876" s="2730"/>
      <c r="GKE1876" s="2730"/>
      <c r="GKF1876" s="2730"/>
      <c r="GKG1876" s="2730"/>
      <c r="GKH1876" s="2730"/>
      <c r="GKI1876" s="2730"/>
      <c r="GKJ1876" s="2730"/>
      <c r="GKK1876" s="2730"/>
      <c r="GKL1876" s="2730"/>
      <c r="GKM1876" s="2730"/>
      <c r="GKN1876" s="2730"/>
      <c r="GKO1876" s="2730"/>
      <c r="GKP1876" s="2730"/>
      <c r="GKQ1876" s="2730"/>
      <c r="GKR1876" s="2730"/>
      <c r="GKS1876" s="2730"/>
      <c r="GKT1876" s="2730"/>
      <c r="GKU1876" s="2730"/>
      <c r="GKV1876" s="2730"/>
      <c r="GKW1876" s="2730"/>
      <c r="GKX1876" s="2730"/>
      <c r="GKY1876" s="2730"/>
      <c r="GKZ1876" s="2730"/>
      <c r="GLA1876" s="2730"/>
      <c r="GLB1876" s="2730"/>
      <c r="GLC1876" s="2730"/>
      <c r="GLD1876" s="2730"/>
      <c r="GLE1876" s="2730"/>
      <c r="GLF1876" s="2730"/>
      <c r="GLG1876" s="2730"/>
      <c r="GLH1876" s="2730"/>
      <c r="GLI1876" s="2730"/>
      <c r="GLJ1876" s="2730"/>
      <c r="GLK1876" s="2730"/>
      <c r="GLL1876" s="2730"/>
      <c r="GLM1876" s="2730"/>
      <c r="GLN1876" s="2730"/>
      <c r="GLO1876" s="2730"/>
      <c r="GLP1876" s="2730"/>
      <c r="GLQ1876" s="2730"/>
      <c r="GLR1876" s="2730"/>
      <c r="GLS1876" s="2730"/>
      <c r="GLT1876" s="2730"/>
      <c r="GLU1876" s="2730"/>
      <c r="GLV1876" s="2730"/>
      <c r="GLW1876" s="2730"/>
      <c r="GLX1876" s="2730"/>
      <c r="GLY1876" s="2730"/>
      <c r="GLZ1876" s="2730"/>
      <c r="GMA1876" s="2730"/>
      <c r="GMB1876" s="2730"/>
      <c r="GMC1876" s="2730"/>
      <c r="GMD1876" s="2730"/>
      <c r="GME1876" s="2730"/>
      <c r="GMF1876" s="2730"/>
      <c r="GMG1876" s="2730"/>
      <c r="GMH1876" s="2730"/>
      <c r="GMI1876" s="2730"/>
      <c r="GMJ1876" s="2730"/>
      <c r="GMK1876" s="2730"/>
      <c r="GML1876" s="2730"/>
      <c r="GMM1876" s="2730"/>
      <c r="GMN1876" s="2730"/>
      <c r="GMO1876" s="2730"/>
      <c r="GMP1876" s="2730"/>
      <c r="GMQ1876" s="2730"/>
      <c r="GMR1876" s="2730"/>
      <c r="GMS1876" s="2730"/>
      <c r="GMT1876" s="2730"/>
      <c r="GMU1876" s="2730"/>
      <c r="GMV1876" s="2730"/>
      <c r="GMW1876" s="2730"/>
      <c r="GMX1876" s="2730"/>
      <c r="GMY1876" s="2730"/>
      <c r="GMZ1876" s="2730"/>
      <c r="GNA1876" s="2730"/>
      <c r="GNB1876" s="2730"/>
      <c r="GNC1876" s="2730"/>
      <c r="GND1876" s="2730"/>
      <c r="GNE1876" s="2730"/>
      <c r="GNF1876" s="2730"/>
      <c r="GNG1876" s="2730"/>
      <c r="GNH1876" s="2730"/>
      <c r="GNI1876" s="2730"/>
      <c r="GNJ1876" s="2730"/>
      <c r="GNK1876" s="2730"/>
      <c r="GNL1876" s="2730"/>
      <c r="GNM1876" s="2730"/>
      <c r="GNN1876" s="2730"/>
      <c r="GNO1876" s="2730"/>
      <c r="GNP1876" s="2730"/>
      <c r="GNQ1876" s="2730"/>
      <c r="GNR1876" s="2730"/>
      <c r="GNS1876" s="2730"/>
      <c r="GNT1876" s="2730"/>
      <c r="GNU1876" s="2730"/>
      <c r="GNV1876" s="2730"/>
      <c r="GNW1876" s="2730"/>
      <c r="GNX1876" s="2730"/>
      <c r="GNY1876" s="2730"/>
      <c r="GNZ1876" s="2730"/>
      <c r="GOA1876" s="2730"/>
      <c r="GOB1876" s="2730"/>
      <c r="GOC1876" s="2730"/>
      <c r="GOD1876" s="2730"/>
      <c r="GOE1876" s="2730"/>
      <c r="GOF1876" s="2730"/>
      <c r="GOG1876" s="2730"/>
      <c r="GOH1876" s="2730"/>
      <c r="GOI1876" s="2730"/>
      <c r="GOJ1876" s="2730"/>
      <c r="GOK1876" s="2730"/>
      <c r="GOL1876" s="2730"/>
      <c r="GOM1876" s="2730"/>
      <c r="GON1876" s="2730"/>
      <c r="GOO1876" s="2730"/>
      <c r="GOP1876" s="2730"/>
      <c r="GOQ1876" s="2730"/>
      <c r="GOR1876" s="2730"/>
      <c r="GOS1876" s="2730"/>
      <c r="GOT1876" s="2730"/>
      <c r="GOU1876" s="2730"/>
      <c r="GOV1876" s="2730"/>
      <c r="GOW1876" s="2730"/>
      <c r="GOX1876" s="2730"/>
      <c r="GOY1876" s="2730"/>
      <c r="GOZ1876" s="2730"/>
      <c r="GPA1876" s="2730"/>
      <c r="GPB1876" s="2730"/>
      <c r="GPC1876" s="2730"/>
      <c r="GPD1876" s="2730"/>
      <c r="GPE1876" s="2730"/>
      <c r="GPF1876" s="2730"/>
      <c r="GPG1876" s="2730"/>
      <c r="GPH1876" s="2730"/>
      <c r="GPI1876" s="2730"/>
      <c r="GPJ1876" s="2730"/>
      <c r="GPK1876" s="2730"/>
      <c r="GPL1876" s="2730"/>
      <c r="GPM1876" s="2730"/>
      <c r="GPN1876" s="2730"/>
      <c r="GPO1876" s="2730"/>
      <c r="GPP1876" s="2730"/>
      <c r="GPQ1876" s="2730"/>
      <c r="GPR1876" s="2730"/>
      <c r="GPS1876" s="2730"/>
      <c r="GPT1876" s="2730"/>
      <c r="GPU1876" s="2730"/>
      <c r="GPV1876" s="2730"/>
      <c r="GPW1876" s="2730"/>
      <c r="GPX1876" s="2730"/>
      <c r="GPY1876" s="2730"/>
      <c r="GPZ1876" s="2730"/>
      <c r="GQA1876" s="2730"/>
      <c r="GQB1876" s="2730"/>
      <c r="GQC1876" s="2730"/>
      <c r="GQD1876" s="2730"/>
      <c r="GQE1876" s="2730"/>
      <c r="GQF1876" s="2730"/>
      <c r="GQG1876" s="2730"/>
      <c r="GQH1876" s="2730"/>
      <c r="GQI1876" s="2730"/>
      <c r="GQJ1876" s="2730"/>
      <c r="GQK1876" s="2730"/>
      <c r="GQL1876" s="2730"/>
      <c r="GQM1876" s="2730"/>
      <c r="GQN1876" s="2730"/>
      <c r="GQO1876" s="2730"/>
      <c r="GQP1876" s="2730"/>
      <c r="GQQ1876" s="2730"/>
      <c r="GQR1876" s="2730"/>
      <c r="GQS1876" s="2730"/>
      <c r="GQT1876" s="2730"/>
      <c r="GQU1876" s="2730"/>
      <c r="GQV1876" s="2730"/>
      <c r="GQW1876" s="2730"/>
      <c r="GQX1876" s="2730"/>
      <c r="GQY1876" s="2730"/>
      <c r="GQZ1876" s="2730"/>
      <c r="GRA1876" s="2730"/>
      <c r="GRB1876" s="2730"/>
      <c r="GRC1876" s="2730"/>
      <c r="GRD1876" s="2730"/>
      <c r="GRE1876" s="2730"/>
      <c r="GRF1876" s="2730"/>
      <c r="GRG1876" s="2730"/>
      <c r="GRH1876" s="2730"/>
      <c r="GRI1876" s="2730"/>
      <c r="GRJ1876" s="2730"/>
      <c r="GRK1876" s="2730"/>
      <c r="GRL1876" s="2730"/>
      <c r="GRM1876" s="2730"/>
      <c r="GRN1876" s="2730"/>
      <c r="GRO1876" s="2730"/>
      <c r="GRP1876" s="2730"/>
      <c r="GRQ1876" s="2730"/>
      <c r="GRR1876" s="2730"/>
      <c r="GRS1876" s="2730"/>
      <c r="GRT1876" s="2730"/>
      <c r="GRU1876" s="2730"/>
      <c r="GRV1876" s="2730"/>
      <c r="GRW1876" s="2730"/>
      <c r="GRX1876" s="2730"/>
      <c r="GRY1876" s="2730"/>
      <c r="GRZ1876" s="2730"/>
      <c r="GSA1876" s="2730"/>
      <c r="GSB1876" s="2730"/>
      <c r="GSC1876" s="2730"/>
      <c r="GSD1876" s="2730"/>
      <c r="GSE1876" s="2730"/>
      <c r="GSF1876" s="2730"/>
      <c r="GSG1876" s="2730"/>
      <c r="GSH1876" s="2730"/>
      <c r="GSI1876" s="2730"/>
      <c r="GSJ1876" s="2730"/>
      <c r="GSK1876" s="2730"/>
      <c r="GSL1876" s="2730"/>
      <c r="GSM1876" s="2730"/>
      <c r="GSN1876" s="2730"/>
      <c r="GSO1876" s="2730"/>
      <c r="GSP1876" s="2730"/>
      <c r="GSQ1876" s="2730"/>
      <c r="GSR1876" s="2730"/>
      <c r="GSS1876" s="2730"/>
      <c r="GST1876" s="2730"/>
      <c r="GSU1876" s="2730"/>
      <c r="GSV1876" s="2730"/>
      <c r="GSW1876" s="2730"/>
      <c r="GSX1876" s="2730"/>
      <c r="GSY1876" s="2730"/>
      <c r="GSZ1876" s="2730"/>
      <c r="GTA1876" s="2730"/>
      <c r="GTB1876" s="2730"/>
      <c r="GTC1876" s="2730"/>
      <c r="GTD1876" s="2730"/>
      <c r="GTE1876" s="2730"/>
      <c r="GTF1876" s="2730"/>
      <c r="GTG1876" s="2730"/>
      <c r="GTH1876" s="2730"/>
      <c r="GTI1876" s="2730"/>
      <c r="GTJ1876" s="2730"/>
      <c r="GTK1876" s="2730"/>
      <c r="GTL1876" s="2730"/>
      <c r="GTM1876" s="2730"/>
      <c r="GTN1876" s="2730"/>
      <c r="GTO1876" s="2730"/>
      <c r="GTP1876" s="2730"/>
      <c r="GTQ1876" s="2730"/>
      <c r="GTR1876" s="2730"/>
      <c r="GTS1876" s="2730"/>
      <c r="GTT1876" s="2730"/>
      <c r="GTU1876" s="2730"/>
      <c r="GTV1876" s="2730"/>
      <c r="GTW1876" s="2730"/>
      <c r="GTX1876" s="2730"/>
      <c r="GTY1876" s="2730"/>
      <c r="GTZ1876" s="2730"/>
      <c r="GUA1876" s="2730"/>
      <c r="GUB1876" s="2730"/>
      <c r="GUC1876" s="2730"/>
      <c r="GUD1876" s="2730"/>
      <c r="GUE1876" s="2730"/>
      <c r="GUF1876" s="2730"/>
      <c r="GUG1876" s="2730"/>
      <c r="GUH1876" s="2730"/>
      <c r="GUI1876" s="2730"/>
      <c r="GUJ1876" s="2730"/>
      <c r="GUK1876" s="2730"/>
      <c r="GUL1876" s="2730"/>
      <c r="GUM1876" s="2730"/>
      <c r="GUN1876" s="2730"/>
      <c r="GUO1876" s="2730"/>
      <c r="GUP1876" s="2730"/>
      <c r="GUQ1876" s="2730"/>
      <c r="GUR1876" s="2730"/>
      <c r="GUS1876" s="2730"/>
      <c r="GUT1876" s="2730"/>
      <c r="GUU1876" s="2730"/>
      <c r="GUV1876" s="2730"/>
      <c r="GUW1876" s="2730"/>
      <c r="GUX1876" s="2730"/>
      <c r="GUY1876" s="2730"/>
      <c r="GUZ1876" s="2730"/>
      <c r="GVA1876" s="2730"/>
      <c r="GVB1876" s="2730"/>
      <c r="GVC1876" s="2730"/>
      <c r="GVD1876" s="2730"/>
      <c r="GVE1876" s="2730"/>
      <c r="GVF1876" s="2730"/>
      <c r="GVG1876" s="2730"/>
      <c r="GVH1876" s="2730"/>
      <c r="GVI1876" s="2730"/>
      <c r="GVJ1876" s="2730"/>
      <c r="GVK1876" s="2730"/>
      <c r="GVL1876" s="2730"/>
      <c r="GVM1876" s="2730"/>
      <c r="GVN1876" s="2730"/>
      <c r="GVO1876" s="2730"/>
      <c r="GVP1876" s="2730"/>
      <c r="GVQ1876" s="2730"/>
      <c r="GVR1876" s="2730"/>
      <c r="GVS1876" s="2730"/>
      <c r="GVT1876" s="2730"/>
      <c r="GVU1876" s="2730"/>
      <c r="GVV1876" s="2730"/>
      <c r="GVW1876" s="2730"/>
      <c r="GVX1876" s="2730"/>
      <c r="GVY1876" s="2730"/>
      <c r="GVZ1876" s="2730"/>
      <c r="GWA1876" s="2730"/>
      <c r="GWB1876" s="2730"/>
      <c r="GWC1876" s="2730"/>
      <c r="GWD1876" s="2730"/>
      <c r="GWE1876" s="2730"/>
      <c r="GWF1876" s="2730"/>
      <c r="GWG1876" s="2730"/>
      <c r="GWH1876" s="2730"/>
      <c r="GWI1876" s="2730"/>
      <c r="GWJ1876" s="2730"/>
      <c r="GWK1876" s="2730"/>
      <c r="GWL1876" s="2730"/>
      <c r="GWM1876" s="2730"/>
      <c r="GWN1876" s="2730"/>
      <c r="GWO1876" s="2730"/>
      <c r="GWP1876" s="2730"/>
      <c r="GWQ1876" s="2730"/>
      <c r="GWR1876" s="2730"/>
      <c r="GWS1876" s="2730"/>
      <c r="GWT1876" s="2730"/>
      <c r="GWU1876" s="2730"/>
      <c r="GWV1876" s="2730"/>
      <c r="GWW1876" s="2730"/>
      <c r="GWX1876" s="2730"/>
      <c r="GWY1876" s="2730"/>
      <c r="GWZ1876" s="2730"/>
      <c r="GXA1876" s="2730"/>
      <c r="GXB1876" s="2730"/>
      <c r="GXC1876" s="2730"/>
      <c r="GXD1876" s="2730"/>
      <c r="GXE1876" s="2730"/>
      <c r="GXF1876" s="2730"/>
      <c r="GXG1876" s="2730"/>
      <c r="GXH1876" s="2730"/>
      <c r="GXI1876" s="2730"/>
      <c r="GXJ1876" s="2730"/>
      <c r="GXK1876" s="2730"/>
      <c r="GXL1876" s="2730"/>
      <c r="GXM1876" s="2730"/>
      <c r="GXN1876" s="2730"/>
      <c r="GXO1876" s="2730"/>
      <c r="GXP1876" s="2730"/>
      <c r="GXQ1876" s="2730"/>
      <c r="GXR1876" s="2730"/>
      <c r="GXS1876" s="2730"/>
      <c r="GXT1876" s="2730"/>
      <c r="GXU1876" s="2730"/>
      <c r="GXV1876" s="2730"/>
      <c r="GXW1876" s="2730"/>
      <c r="GXX1876" s="2730"/>
      <c r="GXY1876" s="2730"/>
      <c r="GXZ1876" s="2730"/>
      <c r="GYA1876" s="2730"/>
      <c r="GYB1876" s="2730"/>
      <c r="GYC1876" s="2730"/>
      <c r="GYD1876" s="2730"/>
      <c r="GYE1876" s="2730"/>
      <c r="GYF1876" s="2730"/>
      <c r="GYG1876" s="2730"/>
      <c r="GYH1876" s="2730"/>
      <c r="GYI1876" s="2730"/>
      <c r="GYJ1876" s="2730"/>
      <c r="GYK1876" s="2730"/>
      <c r="GYL1876" s="2730"/>
      <c r="GYM1876" s="2730"/>
      <c r="GYN1876" s="2730"/>
      <c r="GYO1876" s="2730"/>
      <c r="GYP1876" s="2730"/>
      <c r="GYQ1876" s="2730"/>
      <c r="GYR1876" s="2730"/>
      <c r="GYS1876" s="2730"/>
      <c r="GYT1876" s="2730"/>
      <c r="GYU1876" s="2730"/>
      <c r="GYV1876" s="2730"/>
      <c r="GYW1876" s="2730"/>
      <c r="GYX1876" s="2730"/>
      <c r="GYY1876" s="2730"/>
      <c r="GYZ1876" s="2730"/>
      <c r="GZA1876" s="2730"/>
      <c r="GZB1876" s="2730"/>
      <c r="GZC1876" s="2730"/>
      <c r="GZD1876" s="2730"/>
      <c r="GZE1876" s="2730"/>
      <c r="GZF1876" s="2730"/>
      <c r="GZG1876" s="2730"/>
      <c r="GZH1876" s="2730"/>
      <c r="GZI1876" s="2730"/>
      <c r="GZJ1876" s="2730"/>
      <c r="GZK1876" s="2730"/>
      <c r="GZL1876" s="2730"/>
      <c r="GZM1876" s="2730"/>
      <c r="GZN1876" s="2730"/>
      <c r="GZO1876" s="2730"/>
      <c r="GZP1876" s="2730"/>
      <c r="GZQ1876" s="2730"/>
      <c r="GZR1876" s="2730"/>
      <c r="GZS1876" s="2730"/>
      <c r="GZT1876" s="2730"/>
      <c r="GZU1876" s="2730"/>
      <c r="GZV1876" s="2730"/>
      <c r="GZW1876" s="2730"/>
      <c r="GZX1876" s="2730"/>
      <c r="GZY1876" s="2730"/>
      <c r="GZZ1876" s="2730"/>
      <c r="HAA1876" s="2730"/>
      <c r="HAB1876" s="2730"/>
      <c r="HAC1876" s="2730"/>
      <c r="HAD1876" s="2730"/>
      <c r="HAE1876" s="2730"/>
      <c r="HAF1876" s="2730"/>
      <c r="HAG1876" s="2730"/>
      <c r="HAH1876" s="2730"/>
      <c r="HAI1876" s="2730"/>
      <c r="HAJ1876" s="2730"/>
      <c r="HAK1876" s="2730"/>
      <c r="HAL1876" s="2730"/>
      <c r="HAM1876" s="2730"/>
      <c r="HAN1876" s="2730"/>
      <c r="HAO1876" s="2730"/>
      <c r="HAP1876" s="2730"/>
      <c r="HAQ1876" s="2730"/>
      <c r="HAR1876" s="2730"/>
      <c r="HAS1876" s="2730"/>
      <c r="HAT1876" s="2730"/>
      <c r="HAU1876" s="2730"/>
      <c r="HAV1876" s="2730"/>
      <c r="HAW1876" s="2730"/>
      <c r="HAX1876" s="2730"/>
      <c r="HAY1876" s="2730"/>
      <c r="HAZ1876" s="2730"/>
      <c r="HBA1876" s="2730"/>
      <c r="HBB1876" s="2730"/>
      <c r="HBC1876" s="2730"/>
      <c r="HBD1876" s="2730"/>
      <c r="HBE1876" s="2730"/>
      <c r="HBF1876" s="2730"/>
      <c r="HBG1876" s="2730"/>
      <c r="HBH1876" s="2730"/>
      <c r="HBI1876" s="2730"/>
      <c r="HBJ1876" s="2730"/>
      <c r="HBK1876" s="2730"/>
      <c r="HBL1876" s="2730"/>
      <c r="HBM1876" s="2730"/>
      <c r="HBN1876" s="2730"/>
      <c r="HBO1876" s="2730"/>
      <c r="HBP1876" s="2730"/>
      <c r="HBQ1876" s="2730"/>
      <c r="HBR1876" s="2730"/>
      <c r="HBS1876" s="2730"/>
      <c r="HBT1876" s="2730"/>
      <c r="HBU1876" s="2730"/>
      <c r="HBV1876" s="2730"/>
      <c r="HBW1876" s="2730"/>
      <c r="HBX1876" s="2730"/>
      <c r="HBY1876" s="2730"/>
      <c r="HBZ1876" s="2730"/>
      <c r="HCA1876" s="2730"/>
      <c r="HCB1876" s="2730"/>
      <c r="HCC1876" s="2730"/>
      <c r="HCD1876" s="2730"/>
      <c r="HCE1876" s="2730"/>
      <c r="HCF1876" s="2730"/>
      <c r="HCG1876" s="2730"/>
      <c r="HCH1876" s="2730"/>
      <c r="HCI1876" s="2730"/>
      <c r="HCJ1876" s="2730"/>
      <c r="HCK1876" s="2730"/>
      <c r="HCL1876" s="2730"/>
      <c r="HCM1876" s="2730"/>
      <c r="HCN1876" s="2730"/>
      <c r="HCO1876" s="2730"/>
      <c r="HCP1876" s="2730"/>
      <c r="HCQ1876" s="2730"/>
      <c r="HCR1876" s="2730"/>
      <c r="HCS1876" s="2730"/>
      <c r="HCT1876" s="2730"/>
      <c r="HCU1876" s="2730"/>
      <c r="HCV1876" s="2730"/>
      <c r="HCW1876" s="2730"/>
      <c r="HCX1876" s="2730"/>
      <c r="HCY1876" s="2730"/>
      <c r="HCZ1876" s="2730"/>
      <c r="HDA1876" s="2730"/>
      <c r="HDB1876" s="2730"/>
      <c r="HDC1876" s="2730"/>
      <c r="HDD1876" s="2730"/>
      <c r="HDE1876" s="2730"/>
      <c r="HDF1876" s="2730"/>
      <c r="HDG1876" s="2730"/>
      <c r="HDH1876" s="2730"/>
      <c r="HDI1876" s="2730"/>
      <c r="HDJ1876" s="2730"/>
      <c r="HDK1876" s="2730"/>
      <c r="HDL1876" s="2730"/>
      <c r="HDM1876" s="2730"/>
      <c r="HDN1876" s="2730"/>
      <c r="HDO1876" s="2730"/>
      <c r="HDP1876" s="2730"/>
      <c r="HDQ1876" s="2730"/>
      <c r="HDR1876" s="2730"/>
      <c r="HDS1876" s="2730"/>
      <c r="HDT1876" s="2730"/>
      <c r="HDU1876" s="2730"/>
      <c r="HDV1876" s="2730"/>
      <c r="HDW1876" s="2730"/>
      <c r="HDX1876" s="2730"/>
      <c r="HDY1876" s="2730"/>
      <c r="HDZ1876" s="2730"/>
      <c r="HEA1876" s="2730"/>
      <c r="HEB1876" s="2730"/>
      <c r="HEC1876" s="2730"/>
      <c r="HED1876" s="2730"/>
      <c r="HEE1876" s="2730"/>
      <c r="HEF1876" s="2730"/>
      <c r="HEG1876" s="2730"/>
      <c r="HEH1876" s="2730"/>
      <c r="HEI1876" s="2730"/>
      <c r="HEJ1876" s="2730"/>
      <c r="HEK1876" s="2730"/>
      <c r="HEL1876" s="2730"/>
      <c r="HEM1876" s="2730"/>
      <c r="HEN1876" s="2730"/>
      <c r="HEO1876" s="2730"/>
      <c r="HEP1876" s="2730"/>
      <c r="HEQ1876" s="2730"/>
      <c r="HER1876" s="2730"/>
      <c r="HES1876" s="2730"/>
      <c r="HET1876" s="2730"/>
      <c r="HEU1876" s="2730"/>
      <c r="HEV1876" s="2730"/>
      <c r="HEW1876" s="2730"/>
      <c r="HEX1876" s="2730"/>
      <c r="HEY1876" s="2730"/>
      <c r="HEZ1876" s="2730"/>
      <c r="HFA1876" s="2730"/>
      <c r="HFB1876" s="2730"/>
      <c r="HFC1876" s="2730"/>
      <c r="HFD1876" s="2730"/>
      <c r="HFE1876" s="2730"/>
      <c r="HFF1876" s="2730"/>
      <c r="HFG1876" s="2730"/>
      <c r="HFH1876" s="2730"/>
      <c r="HFI1876" s="2730"/>
      <c r="HFJ1876" s="2730"/>
      <c r="HFK1876" s="2730"/>
      <c r="HFL1876" s="2730"/>
      <c r="HFM1876" s="2730"/>
      <c r="HFN1876" s="2730"/>
      <c r="HFO1876" s="2730"/>
      <c r="HFP1876" s="2730"/>
      <c r="HFQ1876" s="2730"/>
      <c r="HFR1876" s="2730"/>
      <c r="HFS1876" s="2730"/>
      <c r="HFT1876" s="2730"/>
      <c r="HFU1876" s="2730"/>
      <c r="HFV1876" s="2730"/>
      <c r="HFW1876" s="2730"/>
      <c r="HFX1876" s="2730"/>
      <c r="HFY1876" s="2730"/>
      <c r="HFZ1876" s="2730"/>
      <c r="HGA1876" s="2730"/>
      <c r="HGB1876" s="2730"/>
      <c r="HGC1876" s="2730"/>
      <c r="HGD1876" s="2730"/>
      <c r="HGE1876" s="2730"/>
      <c r="HGF1876" s="2730"/>
      <c r="HGG1876" s="2730"/>
      <c r="HGH1876" s="2730"/>
      <c r="HGI1876" s="2730"/>
      <c r="HGJ1876" s="2730"/>
      <c r="HGK1876" s="2730"/>
      <c r="HGL1876" s="2730"/>
      <c r="HGM1876" s="2730"/>
      <c r="HGN1876" s="2730"/>
      <c r="HGO1876" s="2730"/>
      <c r="HGP1876" s="2730"/>
      <c r="HGQ1876" s="2730"/>
      <c r="HGR1876" s="2730"/>
      <c r="HGS1876" s="2730"/>
      <c r="HGT1876" s="2730"/>
      <c r="HGU1876" s="2730"/>
      <c r="HGV1876" s="2730"/>
      <c r="HGW1876" s="2730"/>
      <c r="HGX1876" s="2730"/>
      <c r="HGY1876" s="2730"/>
      <c r="HGZ1876" s="2730"/>
      <c r="HHA1876" s="2730"/>
      <c r="HHB1876" s="2730"/>
      <c r="HHC1876" s="2730"/>
      <c r="HHD1876" s="2730"/>
      <c r="HHE1876" s="2730"/>
      <c r="HHF1876" s="2730"/>
      <c r="HHG1876" s="2730"/>
      <c r="HHH1876" s="2730"/>
      <c r="HHI1876" s="2730"/>
      <c r="HHJ1876" s="2730"/>
      <c r="HHK1876" s="2730"/>
      <c r="HHL1876" s="2730"/>
      <c r="HHM1876" s="2730"/>
      <c r="HHN1876" s="2730"/>
      <c r="HHO1876" s="2730"/>
      <c r="HHP1876" s="2730"/>
      <c r="HHQ1876" s="2730"/>
      <c r="HHR1876" s="2730"/>
      <c r="HHS1876" s="2730"/>
      <c r="HHT1876" s="2730"/>
      <c r="HHU1876" s="2730"/>
      <c r="HHV1876" s="2730"/>
      <c r="HHW1876" s="2730"/>
      <c r="HHX1876" s="2730"/>
      <c r="HHY1876" s="2730"/>
      <c r="HHZ1876" s="2730"/>
      <c r="HIA1876" s="2730"/>
      <c r="HIB1876" s="2730"/>
      <c r="HIC1876" s="2730"/>
      <c r="HID1876" s="2730"/>
      <c r="HIE1876" s="2730"/>
      <c r="HIF1876" s="2730"/>
      <c r="HIG1876" s="2730"/>
      <c r="HIH1876" s="2730"/>
      <c r="HII1876" s="2730"/>
      <c r="HIJ1876" s="2730"/>
      <c r="HIK1876" s="2730"/>
      <c r="HIL1876" s="2730"/>
      <c r="HIM1876" s="2730"/>
      <c r="HIN1876" s="2730"/>
      <c r="HIO1876" s="2730"/>
      <c r="HIP1876" s="2730"/>
      <c r="HIQ1876" s="2730"/>
      <c r="HIR1876" s="2730"/>
      <c r="HIS1876" s="2730"/>
      <c r="HIT1876" s="2730"/>
      <c r="HIU1876" s="2730"/>
      <c r="HIV1876" s="2730"/>
      <c r="HIW1876" s="2730"/>
      <c r="HIX1876" s="2730"/>
      <c r="HIY1876" s="2730"/>
      <c r="HIZ1876" s="2730"/>
      <c r="HJA1876" s="2730"/>
      <c r="HJB1876" s="2730"/>
      <c r="HJC1876" s="2730"/>
      <c r="HJD1876" s="2730"/>
      <c r="HJE1876" s="2730"/>
      <c r="HJF1876" s="2730"/>
      <c r="HJG1876" s="2730"/>
      <c r="HJH1876" s="2730"/>
      <c r="HJI1876" s="2730"/>
      <c r="HJJ1876" s="2730"/>
      <c r="HJK1876" s="2730"/>
      <c r="HJL1876" s="2730"/>
      <c r="HJM1876" s="2730"/>
      <c r="HJN1876" s="2730"/>
      <c r="HJO1876" s="2730"/>
      <c r="HJP1876" s="2730"/>
      <c r="HJQ1876" s="2730"/>
      <c r="HJR1876" s="2730"/>
      <c r="HJS1876" s="2730"/>
      <c r="HJT1876" s="2730"/>
      <c r="HJU1876" s="2730"/>
      <c r="HJV1876" s="2730"/>
      <c r="HJW1876" s="2730"/>
      <c r="HJX1876" s="2730"/>
      <c r="HJY1876" s="2730"/>
      <c r="HJZ1876" s="2730"/>
      <c r="HKA1876" s="2730"/>
      <c r="HKB1876" s="2730"/>
      <c r="HKC1876" s="2730"/>
      <c r="HKD1876" s="2730"/>
      <c r="HKE1876" s="2730"/>
      <c r="HKF1876" s="2730"/>
      <c r="HKG1876" s="2730"/>
      <c r="HKH1876" s="2730"/>
      <c r="HKI1876" s="2730"/>
      <c r="HKJ1876" s="2730"/>
      <c r="HKK1876" s="2730"/>
      <c r="HKL1876" s="2730"/>
      <c r="HKM1876" s="2730"/>
      <c r="HKN1876" s="2730"/>
      <c r="HKO1876" s="2730"/>
      <c r="HKP1876" s="2730"/>
      <c r="HKQ1876" s="2730"/>
      <c r="HKR1876" s="2730"/>
      <c r="HKS1876" s="2730"/>
      <c r="HKT1876" s="2730"/>
      <c r="HKU1876" s="2730"/>
      <c r="HKV1876" s="2730"/>
      <c r="HKW1876" s="2730"/>
      <c r="HKX1876" s="2730"/>
      <c r="HKY1876" s="2730"/>
      <c r="HKZ1876" s="2730"/>
      <c r="HLA1876" s="2730"/>
      <c r="HLB1876" s="2730"/>
      <c r="HLC1876" s="2730"/>
      <c r="HLD1876" s="2730"/>
      <c r="HLE1876" s="2730"/>
      <c r="HLF1876" s="2730"/>
      <c r="HLG1876" s="2730"/>
      <c r="HLH1876" s="2730"/>
      <c r="HLI1876" s="2730"/>
      <c r="HLJ1876" s="2730"/>
      <c r="HLK1876" s="2730"/>
      <c r="HLL1876" s="2730"/>
      <c r="HLM1876" s="2730"/>
      <c r="HLN1876" s="2730"/>
      <c r="HLO1876" s="2730"/>
      <c r="HLP1876" s="2730"/>
      <c r="HLQ1876" s="2730"/>
      <c r="HLR1876" s="2730"/>
      <c r="HLS1876" s="2730"/>
      <c r="HLT1876" s="2730"/>
      <c r="HLU1876" s="2730"/>
      <c r="HLV1876" s="2730"/>
      <c r="HLW1876" s="2730"/>
      <c r="HLX1876" s="2730"/>
      <c r="HLY1876" s="2730"/>
      <c r="HLZ1876" s="2730"/>
      <c r="HMA1876" s="2730"/>
      <c r="HMB1876" s="2730"/>
      <c r="HMC1876" s="2730"/>
      <c r="HMD1876" s="2730"/>
      <c r="HME1876" s="2730"/>
      <c r="HMF1876" s="2730"/>
      <c r="HMG1876" s="2730"/>
      <c r="HMH1876" s="2730"/>
      <c r="HMI1876" s="2730"/>
      <c r="HMJ1876" s="2730"/>
      <c r="HMK1876" s="2730"/>
      <c r="HML1876" s="2730"/>
      <c r="HMM1876" s="2730"/>
      <c r="HMN1876" s="2730"/>
      <c r="HMO1876" s="2730"/>
      <c r="HMP1876" s="2730"/>
      <c r="HMQ1876" s="2730"/>
      <c r="HMR1876" s="2730"/>
      <c r="HMS1876" s="2730"/>
      <c r="HMT1876" s="2730"/>
      <c r="HMU1876" s="2730"/>
      <c r="HMV1876" s="2730"/>
      <c r="HMW1876" s="2730"/>
      <c r="HMX1876" s="2730"/>
      <c r="HMY1876" s="2730"/>
      <c r="HMZ1876" s="2730"/>
      <c r="HNA1876" s="2730"/>
      <c r="HNB1876" s="2730"/>
      <c r="HNC1876" s="2730"/>
      <c r="HND1876" s="2730"/>
      <c r="HNE1876" s="2730"/>
      <c r="HNF1876" s="2730"/>
      <c r="HNG1876" s="2730"/>
      <c r="HNH1876" s="2730"/>
      <c r="HNI1876" s="2730"/>
      <c r="HNJ1876" s="2730"/>
      <c r="HNK1876" s="2730"/>
      <c r="HNL1876" s="2730"/>
      <c r="HNM1876" s="2730"/>
      <c r="HNN1876" s="2730"/>
      <c r="HNO1876" s="2730"/>
      <c r="HNP1876" s="2730"/>
      <c r="HNQ1876" s="2730"/>
      <c r="HNR1876" s="2730"/>
      <c r="HNS1876" s="2730"/>
      <c r="HNT1876" s="2730"/>
      <c r="HNU1876" s="2730"/>
      <c r="HNV1876" s="2730"/>
      <c r="HNW1876" s="2730"/>
      <c r="HNX1876" s="2730"/>
      <c r="HNY1876" s="2730"/>
      <c r="HNZ1876" s="2730"/>
      <c r="HOA1876" s="2730"/>
      <c r="HOB1876" s="2730"/>
      <c r="HOC1876" s="2730"/>
      <c r="HOD1876" s="2730"/>
      <c r="HOE1876" s="2730"/>
      <c r="HOF1876" s="2730"/>
      <c r="HOG1876" s="2730"/>
      <c r="HOH1876" s="2730"/>
      <c r="HOI1876" s="2730"/>
      <c r="HOJ1876" s="2730"/>
      <c r="HOK1876" s="2730"/>
      <c r="HOL1876" s="2730"/>
      <c r="HOM1876" s="2730"/>
      <c r="HON1876" s="2730"/>
      <c r="HOO1876" s="2730"/>
      <c r="HOP1876" s="2730"/>
      <c r="HOQ1876" s="2730"/>
      <c r="HOR1876" s="2730"/>
      <c r="HOS1876" s="2730"/>
      <c r="HOT1876" s="2730"/>
      <c r="HOU1876" s="2730"/>
      <c r="HOV1876" s="2730"/>
      <c r="HOW1876" s="2730"/>
      <c r="HOX1876" s="2730"/>
      <c r="HOY1876" s="2730"/>
      <c r="HOZ1876" s="2730"/>
      <c r="HPA1876" s="2730"/>
      <c r="HPB1876" s="2730"/>
      <c r="HPC1876" s="2730"/>
      <c r="HPD1876" s="2730"/>
      <c r="HPE1876" s="2730"/>
      <c r="HPF1876" s="2730"/>
      <c r="HPG1876" s="2730"/>
      <c r="HPH1876" s="2730"/>
      <c r="HPI1876" s="2730"/>
      <c r="HPJ1876" s="2730"/>
      <c r="HPK1876" s="2730"/>
      <c r="HPL1876" s="2730"/>
      <c r="HPM1876" s="2730"/>
      <c r="HPN1876" s="2730"/>
      <c r="HPO1876" s="2730"/>
      <c r="HPP1876" s="2730"/>
      <c r="HPQ1876" s="2730"/>
      <c r="HPR1876" s="2730"/>
      <c r="HPS1876" s="2730"/>
      <c r="HPT1876" s="2730"/>
      <c r="HPU1876" s="2730"/>
      <c r="HPV1876" s="2730"/>
      <c r="HPW1876" s="2730"/>
      <c r="HPX1876" s="2730"/>
      <c r="HPY1876" s="2730"/>
      <c r="HPZ1876" s="2730"/>
      <c r="HQA1876" s="2730"/>
      <c r="HQB1876" s="2730"/>
      <c r="HQC1876" s="2730"/>
      <c r="HQD1876" s="2730"/>
      <c r="HQE1876" s="2730"/>
      <c r="HQF1876" s="2730"/>
      <c r="HQG1876" s="2730"/>
      <c r="HQH1876" s="2730"/>
      <c r="HQI1876" s="2730"/>
      <c r="HQJ1876" s="2730"/>
      <c r="HQK1876" s="2730"/>
      <c r="HQL1876" s="2730"/>
      <c r="HQM1876" s="2730"/>
      <c r="HQN1876" s="2730"/>
      <c r="HQO1876" s="2730"/>
      <c r="HQP1876" s="2730"/>
      <c r="HQQ1876" s="2730"/>
      <c r="HQR1876" s="2730"/>
      <c r="HQS1876" s="2730"/>
      <c r="HQT1876" s="2730"/>
      <c r="HQU1876" s="2730"/>
      <c r="HQV1876" s="2730"/>
      <c r="HQW1876" s="2730"/>
      <c r="HQX1876" s="2730"/>
      <c r="HQY1876" s="2730"/>
      <c r="HQZ1876" s="2730"/>
      <c r="HRA1876" s="2730"/>
      <c r="HRB1876" s="2730"/>
      <c r="HRC1876" s="2730"/>
      <c r="HRD1876" s="2730"/>
      <c r="HRE1876" s="2730"/>
      <c r="HRF1876" s="2730"/>
      <c r="HRG1876" s="2730"/>
      <c r="HRH1876" s="2730"/>
      <c r="HRI1876" s="2730"/>
      <c r="HRJ1876" s="2730"/>
      <c r="HRK1876" s="2730"/>
      <c r="HRL1876" s="2730"/>
      <c r="HRM1876" s="2730"/>
      <c r="HRN1876" s="2730"/>
      <c r="HRO1876" s="2730"/>
      <c r="HRP1876" s="2730"/>
      <c r="HRQ1876" s="2730"/>
      <c r="HRR1876" s="2730"/>
      <c r="HRS1876" s="2730"/>
      <c r="HRT1876" s="2730"/>
      <c r="HRU1876" s="2730"/>
      <c r="HRV1876" s="2730"/>
      <c r="HRW1876" s="2730"/>
      <c r="HRX1876" s="2730"/>
      <c r="HRY1876" s="2730"/>
      <c r="HRZ1876" s="2730"/>
      <c r="HSA1876" s="2730"/>
      <c r="HSB1876" s="2730"/>
      <c r="HSC1876" s="2730"/>
      <c r="HSD1876" s="2730"/>
      <c r="HSE1876" s="2730"/>
      <c r="HSF1876" s="2730"/>
      <c r="HSG1876" s="2730"/>
      <c r="HSH1876" s="2730"/>
      <c r="HSI1876" s="2730"/>
      <c r="HSJ1876" s="2730"/>
      <c r="HSK1876" s="2730"/>
      <c r="HSL1876" s="2730"/>
      <c r="HSM1876" s="2730"/>
      <c r="HSN1876" s="2730"/>
      <c r="HSO1876" s="2730"/>
      <c r="HSP1876" s="2730"/>
      <c r="HSQ1876" s="2730"/>
      <c r="HSR1876" s="2730"/>
      <c r="HSS1876" s="2730"/>
      <c r="HST1876" s="2730"/>
      <c r="HSU1876" s="2730"/>
      <c r="HSV1876" s="2730"/>
      <c r="HSW1876" s="2730"/>
      <c r="HSX1876" s="2730"/>
      <c r="HSY1876" s="2730"/>
      <c r="HSZ1876" s="2730"/>
      <c r="HTA1876" s="2730"/>
      <c r="HTB1876" s="2730"/>
      <c r="HTC1876" s="2730"/>
      <c r="HTD1876" s="2730"/>
      <c r="HTE1876" s="2730"/>
      <c r="HTF1876" s="2730"/>
      <c r="HTG1876" s="2730"/>
      <c r="HTH1876" s="2730"/>
      <c r="HTI1876" s="2730"/>
      <c r="HTJ1876" s="2730"/>
      <c r="HTK1876" s="2730"/>
      <c r="HTL1876" s="2730"/>
      <c r="HTM1876" s="2730"/>
      <c r="HTN1876" s="2730"/>
      <c r="HTO1876" s="2730"/>
      <c r="HTP1876" s="2730"/>
      <c r="HTQ1876" s="2730"/>
      <c r="HTR1876" s="2730"/>
      <c r="HTS1876" s="2730"/>
      <c r="HTT1876" s="2730"/>
      <c r="HTU1876" s="2730"/>
      <c r="HTV1876" s="2730"/>
      <c r="HTW1876" s="2730"/>
      <c r="HTX1876" s="2730"/>
      <c r="HTY1876" s="2730"/>
      <c r="HTZ1876" s="2730"/>
      <c r="HUA1876" s="2730"/>
      <c r="HUB1876" s="2730"/>
      <c r="HUC1876" s="2730"/>
      <c r="HUD1876" s="2730"/>
      <c r="HUE1876" s="2730"/>
      <c r="HUF1876" s="2730"/>
      <c r="HUG1876" s="2730"/>
      <c r="HUH1876" s="2730"/>
      <c r="HUI1876" s="2730"/>
      <c r="HUJ1876" s="2730"/>
      <c r="HUK1876" s="2730"/>
      <c r="HUL1876" s="2730"/>
      <c r="HUM1876" s="2730"/>
      <c r="HUN1876" s="2730"/>
      <c r="HUO1876" s="2730"/>
      <c r="HUP1876" s="2730"/>
      <c r="HUQ1876" s="2730"/>
      <c r="HUR1876" s="2730"/>
      <c r="HUS1876" s="2730"/>
      <c r="HUT1876" s="2730"/>
      <c r="HUU1876" s="2730"/>
      <c r="HUV1876" s="2730"/>
      <c r="HUW1876" s="2730"/>
      <c r="HUX1876" s="2730"/>
      <c r="HUY1876" s="2730"/>
      <c r="HUZ1876" s="2730"/>
      <c r="HVA1876" s="2730"/>
      <c r="HVB1876" s="2730"/>
      <c r="HVC1876" s="2730"/>
      <c r="HVD1876" s="2730"/>
      <c r="HVE1876" s="2730"/>
      <c r="HVF1876" s="2730"/>
      <c r="HVG1876" s="2730"/>
      <c r="HVH1876" s="2730"/>
      <c r="HVI1876" s="2730"/>
      <c r="HVJ1876" s="2730"/>
      <c r="HVK1876" s="2730"/>
      <c r="HVL1876" s="2730"/>
      <c r="HVM1876" s="2730"/>
      <c r="HVN1876" s="2730"/>
      <c r="HVO1876" s="2730"/>
      <c r="HVP1876" s="2730"/>
      <c r="HVQ1876" s="2730"/>
      <c r="HVR1876" s="2730"/>
      <c r="HVS1876" s="2730"/>
      <c r="HVT1876" s="2730"/>
      <c r="HVU1876" s="2730"/>
      <c r="HVV1876" s="2730"/>
      <c r="HVW1876" s="2730"/>
      <c r="HVX1876" s="2730"/>
      <c r="HVY1876" s="2730"/>
      <c r="HVZ1876" s="2730"/>
      <c r="HWA1876" s="2730"/>
      <c r="HWB1876" s="2730"/>
      <c r="HWC1876" s="2730"/>
      <c r="HWD1876" s="2730"/>
      <c r="HWE1876" s="2730"/>
      <c r="HWF1876" s="2730"/>
      <c r="HWG1876" s="2730"/>
      <c r="HWH1876" s="2730"/>
      <c r="HWI1876" s="2730"/>
      <c r="HWJ1876" s="2730"/>
      <c r="HWK1876" s="2730"/>
      <c r="HWL1876" s="2730"/>
      <c r="HWM1876" s="2730"/>
      <c r="HWN1876" s="2730"/>
      <c r="HWO1876" s="2730"/>
      <c r="HWP1876" s="2730"/>
      <c r="HWQ1876" s="2730"/>
      <c r="HWR1876" s="2730"/>
      <c r="HWS1876" s="2730"/>
      <c r="HWT1876" s="2730"/>
      <c r="HWU1876" s="2730"/>
      <c r="HWV1876" s="2730"/>
      <c r="HWW1876" s="2730"/>
      <c r="HWX1876" s="2730"/>
      <c r="HWY1876" s="2730"/>
      <c r="HWZ1876" s="2730"/>
      <c r="HXA1876" s="2730"/>
      <c r="HXB1876" s="2730"/>
      <c r="HXC1876" s="2730"/>
      <c r="HXD1876" s="2730"/>
      <c r="HXE1876" s="2730"/>
      <c r="HXF1876" s="2730"/>
      <c r="HXG1876" s="2730"/>
      <c r="HXH1876" s="2730"/>
      <c r="HXI1876" s="2730"/>
      <c r="HXJ1876" s="2730"/>
      <c r="HXK1876" s="2730"/>
      <c r="HXL1876" s="2730"/>
      <c r="HXM1876" s="2730"/>
      <c r="HXN1876" s="2730"/>
      <c r="HXO1876" s="2730"/>
      <c r="HXP1876" s="2730"/>
      <c r="HXQ1876" s="2730"/>
      <c r="HXR1876" s="2730"/>
      <c r="HXS1876" s="2730"/>
      <c r="HXT1876" s="2730"/>
      <c r="HXU1876" s="2730"/>
      <c r="HXV1876" s="2730"/>
      <c r="HXW1876" s="2730"/>
      <c r="HXX1876" s="2730"/>
      <c r="HXY1876" s="2730"/>
      <c r="HXZ1876" s="2730"/>
      <c r="HYA1876" s="2730"/>
      <c r="HYB1876" s="2730"/>
      <c r="HYC1876" s="2730"/>
      <c r="HYD1876" s="2730"/>
      <c r="HYE1876" s="2730"/>
      <c r="HYF1876" s="2730"/>
      <c r="HYG1876" s="2730"/>
      <c r="HYH1876" s="2730"/>
      <c r="HYI1876" s="2730"/>
      <c r="HYJ1876" s="2730"/>
      <c r="HYK1876" s="2730"/>
      <c r="HYL1876" s="2730"/>
      <c r="HYM1876" s="2730"/>
      <c r="HYN1876" s="2730"/>
      <c r="HYO1876" s="2730"/>
      <c r="HYP1876" s="2730"/>
      <c r="HYQ1876" s="2730"/>
      <c r="HYR1876" s="2730"/>
      <c r="HYS1876" s="2730"/>
      <c r="HYT1876" s="2730"/>
      <c r="HYU1876" s="2730"/>
      <c r="HYV1876" s="2730"/>
      <c r="HYW1876" s="2730"/>
      <c r="HYX1876" s="2730"/>
      <c r="HYY1876" s="2730"/>
      <c r="HYZ1876" s="2730"/>
      <c r="HZA1876" s="2730"/>
      <c r="HZB1876" s="2730"/>
      <c r="HZC1876" s="2730"/>
      <c r="HZD1876" s="2730"/>
      <c r="HZE1876" s="2730"/>
      <c r="HZF1876" s="2730"/>
      <c r="HZG1876" s="2730"/>
      <c r="HZH1876" s="2730"/>
      <c r="HZI1876" s="2730"/>
      <c r="HZJ1876" s="2730"/>
      <c r="HZK1876" s="2730"/>
      <c r="HZL1876" s="2730"/>
      <c r="HZM1876" s="2730"/>
      <c r="HZN1876" s="2730"/>
      <c r="HZO1876" s="2730"/>
      <c r="HZP1876" s="2730"/>
      <c r="HZQ1876" s="2730"/>
      <c r="HZR1876" s="2730"/>
      <c r="HZS1876" s="2730"/>
      <c r="HZT1876" s="2730"/>
      <c r="HZU1876" s="2730"/>
      <c r="HZV1876" s="2730"/>
      <c r="HZW1876" s="2730"/>
      <c r="HZX1876" s="2730"/>
      <c r="HZY1876" s="2730"/>
      <c r="HZZ1876" s="2730"/>
      <c r="IAA1876" s="2730"/>
      <c r="IAB1876" s="2730"/>
      <c r="IAC1876" s="2730"/>
      <c r="IAD1876" s="2730"/>
      <c r="IAE1876" s="2730"/>
      <c r="IAF1876" s="2730"/>
      <c r="IAG1876" s="2730"/>
      <c r="IAH1876" s="2730"/>
      <c r="IAI1876" s="2730"/>
      <c r="IAJ1876" s="2730"/>
      <c r="IAK1876" s="2730"/>
      <c r="IAL1876" s="2730"/>
      <c r="IAM1876" s="2730"/>
      <c r="IAN1876" s="2730"/>
      <c r="IAO1876" s="2730"/>
      <c r="IAP1876" s="2730"/>
      <c r="IAQ1876" s="2730"/>
      <c r="IAR1876" s="2730"/>
      <c r="IAS1876" s="2730"/>
      <c r="IAT1876" s="2730"/>
      <c r="IAU1876" s="2730"/>
      <c r="IAV1876" s="2730"/>
      <c r="IAW1876" s="2730"/>
      <c r="IAX1876" s="2730"/>
      <c r="IAY1876" s="2730"/>
      <c r="IAZ1876" s="2730"/>
      <c r="IBA1876" s="2730"/>
      <c r="IBB1876" s="2730"/>
      <c r="IBC1876" s="2730"/>
      <c r="IBD1876" s="2730"/>
      <c r="IBE1876" s="2730"/>
      <c r="IBF1876" s="2730"/>
      <c r="IBG1876" s="2730"/>
      <c r="IBH1876" s="2730"/>
      <c r="IBI1876" s="2730"/>
      <c r="IBJ1876" s="2730"/>
      <c r="IBK1876" s="2730"/>
      <c r="IBL1876" s="2730"/>
      <c r="IBM1876" s="2730"/>
      <c r="IBN1876" s="2730"/>
      <c r="IBO1876" s="2730"/>
      <c r="IBP1876" s="2730"/>
      <c r="IBQ1876" s="2730"/>
      <c r="IBR1876" s="2730"/>
      <c r="IBS1876" s="2730"/>
      <c r="IBT1876" s="2730"/>
      <c r="IBU1876" s="2730"/>
      <c r="IBV1876" s="2730"/>
      <c r="IBW1876" s="2730"/>
      <c r="IBX1876" s="2730"/>
      <c r="IBY1876" s="2730"/>
      <c r="IBZ1876" s="2730"/>
      <c r="ICA1876" s="2730"/>
      <c r="ICB1876" s="2730"/>
      <c r="ICC1876" s="2730"/>
      <c r="ICD1876" s="2730"/>
      <c r="ICE1876" s="2730"/>
      <c r="ICF1876" s="2730"/>
      <c r="ICG1876" s="2730"/>
      <c r="ICH1876" s="2730"/>
      <c r="ICI1876" s="2730"/>
      <c r="ICJ1876" s="2730"/>
      <c r="ICK1876" s="2730"/>
      <c r="ICL1876" s="2730"/>
      <c r="ICM1876" s="2730"/>
      <c r="ICN1876" s="2730"/>
      <c r="ICO1876" s="2730"/>
      <c r="ICP1876" s="2730"/>
      <c r="ICQ1876" s="2730"/>
      <c r="ICR1876" s="2730"/>
      <c r="ICS1876" s="2730"/>
      <c r="ICT1876" s="2730"/>
      <c r="ICU1876" s="2730"/>
      <c r="ICV1876" s="2730"/>
      <c r="ICW1876" s="2730"/>
      <c r="ICX1876" s="2730"/>
      <c r="ICY1876" s="2730"/>
      <c r="ICZ1876" s="2730"/>
      <c r="IDA1876" s="2730"/>
      <c r="IDB1876" s="2730"/>
      <c r="IDC1876" s="2730"/>
      <c r="IDD1876" s="2730"/>
      <c r="IDE1876" s="2730"/>
      <c r="IDF1876" s="2730"/>
      <c r="IDG1876" s="2730"/>
      <c r="IDH1876" s="2730"/>
      <c r="IDI1876" s="2730"/>
      <c r="IDJ1876" s="2730"/>
      <c r="IDK1876" s="2730"/>
      <c r="IDL1876" s="2730"/>
      <c r="IDM1876" s="2730"/>
      <c r="IDN1876" s="2730"/>
      <c r="IDO1876" s="2730"/>
      <c r="IDP1876" s="2730"/>
      <c r="IDQ1876" s="2730"/>
      <c r="IDR1876" s="2730"/>
      <c r="IDS1876" s="2730"/>
      <c r="IDT1876" s="2730"/>
      <c r="IDU1876" s="2730"/>
      <c r="IDV1876" s="2730"/>
      <c r="IDW1876" s="2730"/>
      <c r="IDX1876" s="2730"/>
      <c r="IDY1876" s="2730"/>
      <c r="IDZ1876" s="2730"/>
      <c r="IEA1876" s="2730"/>
      <c r="IEB1876" s="2730"/>
      <c r="IEC1876" s="2730"/>
      <c r="IED1876" s="2730"/>
      <c r="IEE1876" s="2730"/>
      <c r="IEF1876" s="2730"/>
      <c r="IEG1876" s="2730"/>
      <c r="IEH1876" s="2730"/>
      <c r="IEI1876" s="2730"/>
      <c r="IEJ1876" s="2730"/>
      <c r="IEK1876" s="2730"/>
      <c r="IEL1876" s="2730"/>
      <c r="IEM1876" s="2730"/>
      <c r="IEN1876" s="2730"/>
      <c r="IEO1876" s="2730"/>
      <c r="IEP1876" s="2730"/>
      <c r="IEQ1876" s="2730"/>
      <c r="IER1876" s="2730"/>
      <c r="IES1876" s="2730"/>
      <c r="IET1876" s="2730"/>
      <c r="IEU1876" s="2730"/>
      <c r="IEV1876" s="2730"/>
      <c r="IEW1876" s="2730"/>
      <c r="IEX1876" s="2730"/>
      <c r="IEY1876" s="2730"/>
      <c r="IEZ1876" s="2730"/>
      <c r="IFA1876" s="2730"/>
      <c r="IFB1876" s="2730"/>
      <c r="IFC1876" s="2730"/>
      <c r="IFD1876" s="2730"/>
      <c r="IFE1876" s="2730"/>
      <c r="IFF1876" s="2730"/>
      <c r="IFG1876" s="2730"/>
      <c r="IFH1876" s="2730"/>
      <c r="IFI1876" s="2730"/>
      <c r="IFJ1876" s="2730"/>
      <c r="IFK1876" s="2730"/>
      <c r="IFL1876" s="2730"/>
      <c r="IFM1876" s="2730"/>
      <c r="IFN1876" s="2730"/>
      <c r="IFO1876" s="2730"/>
      <c r="IFP1876" s="2730"/>
      <c r="IFQ1876" s="2730"/>
      <c r="IFR1876" s="2730"/>
      <c r="IFS1876" s="2730"/>
      <c r="IFT1876" s="2730"/>
      <c r="IFU1876" s="2730"/>
      <c r="IFV1876" s="2730"/>
      <c r="IFW1876" s="2730"/>
      <c r="IFX1876" s="2730"/>
      <c r="IFY1876" s="2730"/>
      <c r="IFZ1876" s="2730"/>
      <c r="IGA1876" s="2730"/>
      <c r="IGB1876" s="2730"/>
      <c r="IGC1876" s="2730"/>
      <c r="IGD1876" s="2730"/>
      <c r="IGE1876" s="2730"/>
      <c r="IGF1876" s="2730"/>
      <c r="IGG1876" s="2730"/>
      <c r="IGH1876" s="2730"/>
      <c r="IGI1876" s="2730"/>
      <c r="IGJ1876" s="2730"/>
      <c r="IGK1876" s="2730"/>
      <c r="IGL1876" s="2730"/>
      <c r="IGM1876" s="2730"/>
      <c r="IGN1876" s="2730"/>
      <c r="IGO1876" s="2730"/>
      <c r="IGP1876" s="2730"/>
      <c r="IGQ1876" s="2730"/>
      <c r="IGR1876" s="2730"/>
      <c r="IGS1876" s="2730"/>
      <c r="IGT1876" s="2730"/>
      <c r="IGU1876" s="2730"/>
      <c r="IGV1876" s="2730"/>
      <c r="IGW1876" s="2730"/>
      <c r="IGX1876" s="2730"/>
      <c r="IGY1876" s="2730"/>
      <c r="IGZ1876" s="2730"/>
      <c r="IHA1876" s="2730"/>
      <c r="IHB1876" s="2730"/>
      <c r="IHC1876" s="2730"/>
      <c r="IHD1876" s="2730"/>
      <c r="IHE1876" s="2730"/>
      <c r="IHF1876" s="2730"/>
      <c r="IHG1876" s="2730"/>
      <c r="IHH1876" s="2730"/>
      <c r="IHI1876" s="2730"/>
      <c r="IHJ1876" s="2730"/>
      <c r="IHK1876" s="2730"/>
      <c r="IHL1876" s="2730"/>
      <c r="IHM1876" s="2730"/>
      <c r="IHN1876" s="2730"/>
      <c r="IHO1876" s="2730"/>
      <c r="IHP1876" s="2730"/>
      <c r="IHQ1876" s="2730"/>
      <c r="IHR1876" s="2730"/>
      <c r="IHS1876" s="2730"/>
      <c r="IHT1876" s="2730"/>
      <c r="IHU1876" s="2730"/>
      <c r="IHV1876" s="2730"/>
      <c r="IHW1876" s="2730"/>
      <c r="IHX1876" s="2730"/>
      <c r="IHY1876" s="2730"/>
      <c r="IHZ1876" s="2730"/>
      <c r="IIA1876" s="2730"/>
      <c r="IIB1876" s="2730"/>
      <c r="IIC1876" s="2730"/>
      <c r="IID1876" s="2730"/>
      <c r="IIE1876" s="2730"/>
      <c r="IIF1876" s="2730"/>
      <c r="IIG1876" s="2730"/>
      <c r="IIH1876" s="2730"/>
      <c r="III1876" s="2730"/>
      <c r="IIJ1876" s="2730"/>
      <c r="IIK1876" s="2730"/>
      <c r="IIL1876" s="2730"/>
      <c r="IIM1876" s="2730"/>
      <c r="IIN1876" s="2730"/>
      <c r="IIO1876" s="2730"/>
      <c r="IIP1876" s="2730"/>
      <c r="IIQ1876" s="2730"/>
      <c r="IIR1876" s="2730"/>
      <c r="IIS1876" s="2730"/>
      <c r="IIT1876" s="2730"/>
      <c r="IIU1876" s="2730"/>
      <c r="IIV1876" s="2730"/>
      <c r="IIW1876" s="2730"/>
      <c r="IIX1876" s="2730"/>
      <c r="IIY1876" s="2730"/>
      <c r="IIZ1876" s="2730"/>
      <c r="IJA1876" s="2730"/>
      <c r="IJB1876" s="2730"/>
      <c r="IJC1876" s="2730"/>
      <c r="IJD1876" s="2730"/>
      <c r="IJE1876" s="2730"/>
      <c r="IJF1876" s="2730"/>
      <c r="IJG1876" s="2730"/>
      <c r="IJH1876" s="2730"/>
      <c r="IJI1876" s="2730"/>
      <c r="IJJ1876" s="2730"/>
      <c r="IJK1876" s="2730"/>
      <c r="IJL1876" s="2730"/>
      <c r="IJM1876" s="2730"/>
      <c r="IJN1876" s="2730"/>
      <c r="IJO1876" s="2730"/>
      <c r="IJP1876" s="2730"/>
      <c r="IJQ1876" s="2730"/>
      <c r="IJR1876" s="2730"/>
      <c r="IJS1876" s="2730"/>
      <c r="IJT1876" s="2730"/>
      <c r="IJU1876" s="2730"/>
      <c r="IJV1876" s="2730"/>
      <c r="IJW1876" s="2730"/>
      <c r="IJX1876" s="2730"/>
      <c r="IJY1876" s="2730"/>
      <c r="IJZ1876" s="2730"/>
      <c r="IKA1876" s="2730"/>
      <c r="IKB1876" s="2730"/>
      <c r="IKC1876" s="2730"/>
      <c r="IKD1876" s="2730"/>
      <c r="IKE1876" s="2730"/>
      <c r="IKF1876" s="2730"/>
      <c r="IKG1876" s="2730"/>
      <c r="IKH1876" s="2730"/>
      <c r="IKI1876" s="2730"/>
      <c r="IKJ1876" s="2730"/>
      <c r="IKK1876" s="2730"/>
      <c r="IKL1876" s="2730"/>
      <c r="IKM1876" s="2730"/>
      <c r="IKN1876" s="2730"/>
      <c r="IKO1876" s="2730"/>
      <c r="IKP1876" s="2730"/>
      <c r="IKQ1876" s="2730"/>
      <c r="IKR1876" s="2730"/>
      <c r="IKS1876" s="2730"/>
      <c r="IKT1876" s="2730"/>
      <c r="IKU1876" s="2730"/>
      <c r="IKV1876" s="2730"/>
      <c r="IKW1876" s="2730"/>
      <c r="IKX1876" s="2730"/>
      <c r="IKY1876" s="2730"/>
      <c r="IKZ1876" s="2730"/>
      <c r="ILA1876" s="2730"/>
      <c r="ILB1876" s="2730"/>
      <c r="ILC1876" s="2730"/>
      <c r="ILD1876" s="2730"/>
      <c r="ILE1876" s="2730"/>
      <c r="ILF1876" s="2730"/>
      <c r="ILG1876" s="2730"/>
      <c r="ILH1876" s="2730"/>
      <c r="ILI1876" s="2730"/>
      <c r="ILJ1876" s="2730"/>
      <c r="ILK1876" s="2730"/>
      <c r="ILL1876" s="2730"/>
      <c r="ILM1876" s="2730"/>
      <c r="ILN1876" s="2730"/>
      <c r="ILO1876" s="2730"/>
      <c r="ILP1876" s="2730"/>
      <c r="ILQ1876" s="2730"/>
      <c r="ILR1876" s="2730"/>
      <c r="ILS1876" s="2730"/>
      <c r="ILT1876" s="2730"/>
      <c r="ILU1876" s="2730"/>
      <c r="ILV1876" s="2730"/>
      <c r="ILW1876" s="2730"/>
      <c r="ILX1876" s="2730"/>
      <c r="ILY1876" s="2730"/>
      <c r="ILZ1876" s="2730"/>
      <c r="IMA1876" s="2730"/>
      <c r="IMB1876" s="2730"/>
      <c r="IMC1876" s="2730"/>
      <c r="IMD1876" s="2730"/>
      <c r="IME1876" s="2730"/>
      <c r="IMF1876" s="2730"/>
      <c r="IMG1876" s="2730"/>
      <c r="IMH1876" s="2730"/>
      <c r="IMI1876" s="2730"/>
      <c r="IMJ1876" s="2730"/>
      <c r="IMK1876" s="2730"/>
      <c r="IML1876" s="2730"/>
      <c r="IMM1876" s="2730"/>
      <c r="IMN1876" s="2730"/>
      <c r="IMO1876" s="2730"/>
      <c r="IMP1876" s="2730"/>
      <c r="IMQ1876" s="2730"/>
      <c r="IMR1876" s="2730"/>
      <c r="IMS1876" s="2730"/>
      <c r="IMT1876" s="2730"/>
      <c r="IMU1876" s="2730"/>
      <c r="IMV1876" s="2730"/>
      <c r="IMW1876" s="2730"/>
      <c r="IMX1876" s="2730"/>
      <c r="IMY1876" s="2730"/>
      <c r="IMZ1876" s="2730"/>
      <c r="INA1876" s="2730"/>
      <c r="INB1876" s="2730"/>
      <c r="INC1876" s="2730"/>
      <c r="IND1876" s="2730"/>
      <c r="INE1876" s="2730"/>
      <c r="INF1876" s="2730"/>
      <c r="ING1876" s="2730"/>
      <c r="INH1876" s="2730"/>
      <c r="INI1876" s="2730"/>
      <c r="INJ1876" s="2730"/>
      <c r="INK1876" s="2730"/>
      <c r="INL1876" s="2730"/>
      <c r="INM1876" s="2730"/>
      <c r="INN1876" s="2730"/>
      <c r="INO1876" s="2730"/>
      <c r="INP1876" s="2730"/>
      <c r="INQ1876" s="2730"/>
      <c r="INR1876" s="2730"/>
      <c r="INS1876" s="2730"/>
      <c r="INT1876" s="2730"/>
      <c r="INU1876" s="2730"/>
      <c r="INV1876" s="2730"/>
      <c r="INW1876" s="2730"/>
      <c r="INX1876" s="2730"/>
      <c r="INY1876" s="2730"/>
      <c r="INZ1876" s="2730"/>
      <c r="IOA1876" s="2730"/>
      <c r="IOB1876" s="2730"/>
      <c r="IOC1876" s="2730"/>
      <c r="IOD1876" s="2730"/>
      <c r="IOE1876" s="2730"/>
      <c r="IOF1876" s="2730"/>
      <c r="IOG1876" s="2730"/>
      <c r="IOH1876" s="2730"/>
      <c r="IOI1876" s="2730"/>
      <c r="IOJ1876" s="2730"/>
      <c r="IOK1876" s="2730"/>
      <c r="IOL1876" s="2730"/>
      <c r="IOM1876" s="2730"/>
      <c r="ION1876" s="2730"/>
      <c r="IOO1876" s="2730"/>
      <c r="IOP1876" s="2730"/>
      <c r="IOQ1876" s="2730"/>
      <c r="IOR1876" s="2730"/>
      <c r="IOS1876" s="2730"/>
      <c r="IOT1876" s="2730"/>
      <c r="IOU1876" s="2730"/>
      <c r="IOV1876" s="2730"/>
      <c r="IOW1876" s="2730"/>
      <c r="IOX1876" s="2730"/>
      <c r="IOY1876" s="2730"/>
      <c r="IOZ1876" s="2730"/>
      <c r="IPA1876" s="2730"/>
      <c r="IPB1876" s="2730"/>
      <c r="IPC1876" s="2730"/>
      <c r="IPD1876" s="2730"/>
      <c r="IPE1876" s="2730"/>
      <c r="IPF1876" s="2730"/>
      <c r="IPG1876" s="2730"/>
      <c r="IPH1876" s="2730"/>
      <c r="IPI1876" s="2730"/>
      <c r="IPJ1876" s="2730"/>
      <c r="IPK1876" s="2730"/>
      <c r="IPL1876" s="2730"/>
      <c r="IPM1876" s="2730"/>
      <c r="IPN1876" s="2730"/>
      <c r="IPO1876" s="2730"/>
      <c r="IPP1876" s="2730"/>
      <c r="IPQ1876" s="2730"/>
      <c r="IPR1876" s="2730"/>
      <c r="IPS1876" s="2730"/>
      <c r="IPT1876" s="2730"/>
      <c r="IPU1876" s="2730"/>
      <c r="IPV1876" s="2730"/>
      <c r="IPW1876" s="2730"/>
      <c r="IPX1876" s="2730"/>
      <c r="IPY1876" s="2730"/>
      <c r="IPZ1876" s="2730"/>
      <c r="IQA1876" s="2730"/>
      <c r="IQB1876" s="2730"/>
      <c r="IQC1876" s="2730"/>
      <c r="IQD1876" s="2730"/>
      <c r="IQE1876" s="2730"/>
      <c r="IQF1876" s="2730"/>
      <c r="IQG1876" s="2730"/>
      <c r="IQH1876" s="2730"/>
      <c r="IQI1876" s="2730"/>
      <c r="IQJ1876" s="2730"/>
      <c r="IQK1876" s="2730"/>
      <c r="IQL1876" s="2730"/>
      <c r="IQM1876" s="2730"/>
      <c r="IQN1876" s="2730"/>
      <c r="IQO1876" s="2730"/>
      <c r="IQP1876" s="2730"/>
      <c r="IQQ1876" s="2730"/>
      <c r="IQR1876" s="2730"/>
      <c r="IQS1876" s="2730"/>
      <c r="IQT1876" s="2730"/>
      <c r="IQU1876" s="2730"/>
      <c r="IQV1876" s="2730"/>
      <c r="IQW1876" s="2730"/>
      <c r="IQX1876" s="2730"/>
      <c r="IQY1876" s="2730"/>
      <c r="IQZ1876" s="2730"/>
      <c r="IRA1876" s="2730"/>
      <c r="IRB1876" s="2730"/>
      <c r="IRC1876" s="2730"/>
      <c r="IRD1876" s="2730"/>
      <c r="IRE1876" s="2730"/>
      <c r="IRF1876" s="2730"/>
      <c r="IRG1876" s="2730"/>
      <c r="IRH1876" s="2730"/>
      <c r="IRI1876" s="2730"/>
      <c r="IRJ1876" s="2730"/>
      <c r="IRK1876" s="2730"/>
      <c r="IRL1876" s="2730"/>
      <c r="IRM1876" s="2730"/>
      <c r="IRN1876" s="2730"/>
      <c r="IRO1876" s="2730"/>
      <c r="IRP1876" s="2730"/>
      <c r="IRQ1876" s="2730"/>
      <c r="IRR1876" s="2730"/>
      <c r="IRS1876" s="2730"/>
      <c r="IRT1876" s="2730"/>
      <c r="IRU1876" s="2730"/>
      <c r="IRV1876" s="2730"/>
      <c r="IRW1876" s="2730"/>
      <c r="IRX1876" s="2730"/>
      <c r="IRY1876" s="2730"/>
      <c r="IRZ1876" s="2730"/>
      <c r="ISA1876" s="2730"/>
      <c r="ISB1876" s="2730"/>
      <c r="ISC1876" s="2730"/>
      <c r="ISD1876" s="2730"/>
      <c r="ISE1876" s="2730"/>
      <c r="ISF1876" s="2730"/>
      <c r="ISG1876" s="2730"/>
      <c r="ISH1876" s="2730"/>
      <c r="ISI1876" s="2730"/>
      <c r="ISJ1876" s="2730"/>
      <c r="ISK1876" s="2730"/>
      <c r="ISL1876" s="2730"/>
      <c r="ISM1876" s="2730"/>
      <c r="ISN1876" s="2730"/>
      <c r="ISO1876" s="2730"/>
      <c r="ISP1876" s="2730"/>
      <c r="ISQ1876" s="2730"/>
      <c r="ISR1876" s="2730"/>
      <c r="ISS1876" s="2730"/>
      <c r="IST1876" s="2730"/>
      <c r="ISU1876" s="2730"/>
      <c r="ISV1876" s="2730"/>
      <c r="ISW1876" s="2730"/>
      <c r="ISX1876" s="2730"/>
      <c r="ISY1876" s="2730"/>
      <c r="ISZ1876" s="2730"/>
      <c r="ITA1876" s="2730"/>
      <c r="ITB1876" s="2730"/>
      <c r="ITC1876" s="2730"/>
      <c r="ITD1876" s="2730"/>
      <c r="ITE1876" s="2730"/>
      <c r="ITF1876" s="2730"/>
      <c r="ITG1876" s="2730"/>
      <c r="ITH1876" s="2730"/>
      <c r="ITI1876" s="2730"/>
      <c r="ITJ1876" s="2730"/>
      <c r="ITK1876" s="2730"/>
      <c r="ITL1876" s="2730"/>
      <c r="ITM1876" s="2730"/>
      <c r="ITN1876" s="2730"/>
      <c r="ITO1876" s="2730"/>
      <c r="ITP1876" s="2730"/>
      <c r="ITQ1876" s="2730"/>
      <c r="ITR1876" s="2730"/>
      <c r="ITS1876" s="2730"/>
      <c r="ITT1876" s="2730"/>
      <c r="ITU1876" s="2730"/>
      <c r="ITV1876" s="2730"/>
      <c r="ITW1876" s="2730"/>
      <c r="ITX1876" s="2730"/>
      <c r="ITY1876" s="2730"/>
      <c r="ITZ1876" s="2730"/>
      <c r="IUA1876" s="2730"/>
      <c r="IUB1876" s="2730"/>
      <c r="IUC1876" s="2730"/>
      <c r="IUD1876" s="2730"/>
      <c r="IUE1876" s="2730"/>
      <c r="IUF1876" s="2730"/>
      <c r="IUG1876" s="2730"/>
      <c r="IUH1876" s="2730"/>
      <c r="IUI1876" s="2730"/>
      <c r="IUJ1876" s="2730"/>
      <c r="IUK1876" s="2730"/>
      <c r="IUL1876" s="2730"/>
      <c r="IUM1876" s="2730"/>
      <c r="IUN1876" s="2730"/>
      <c r="IUO1876" s="2730"/>
      <c r="IUP1876" s="2730"/>
      <c r="IUQ1876" s="2730"/>
      <c r="IUR1876" s="2730"/>
      <c r="IUS1876" s="2730"/>
      <c r="IUT1876" s="2730"/>
      <c r="IUU1876" s="2730"/>
      <c r="IUV1876" s="2730"/>
      <c r="IUW1876" s="2730"/>
      <c r="IUX1876" s="2730"/>
      <c r="IUY1876" s="2730"/>
      <c r="IUZ1876" s="2730"/>
      <c r="IVA1876" s="2730"/>
      <c r="IVB1876" s="2730"/>
      <c r="IVC1876" s="2730"/>
      <c r="IVD1876" s="2730"/>
      <c r="IVE1876" s="2730"/>
      <c r="IVF1876" s="2730"/>
      <c r="IVG1876" s="2730"/>
      <c r="IVH1876" s="2730"/>
      <c r="IVI1876" s="2730"/>
      <c r="IVJ1876" s="2730"/>
      <c r="IVK1876" s="2730"/>
      <c r="IVL1876" s="2730"/>
      <c r="IVM1876" s="2730"/>
      <c r="IVN1876" s="2730"/>
      <c r="IVO1876" s="2730"/>
      <c r="IVP1876" s="2730"/>
      <c r="IVQ1876" s="2730"/>
      <c r="IVR1876" s="2730"/>
      <c r="IVS1876" s="2730"/>
      <c r="IVT1876" s="2730"/>
      <c r="IVU1876" s="2730"/>
      <c r="IVV1876" s="2730"/>
      <c r="IVW1876" s="2730"/>
      <c r="IVX1876" s="2730"/>
      <c r="IVY1876" s="2730"/>
      <c r="IVZ1876" s="2730"/>
      <c r="IWA1876" s="2730"/>
      <c r="IWB1876" s="2730"/>
      <c r="IWC1876" s="2730"/>
      <c r="IWD1876" s="2730"/>
      <c r="IWE1876" s="2730"/>
      <c r="IWF1876" s="2730"/>
      <c r="IWG1876" s="2730"/>
      <c r="IWH1876" s="2730"/>
      <c r="IWI1876" s="2730"/>
      <c r="IWJ1876" s="2730"/>
      <c r="IWK1876" s="2730"/>
      <c r="IWL1876" s="2730"/>
      <c r="IWM1876" s="2730"/>
      <c r="IWN1876" s="2730"/>
      <c r="IWO1876" s="2730"/>
      <c r="IWP1876" s="2730"/>
      <c r="IWQ1876" s="2730"/>
      <c r="IWR1876" s="2730"/>
      <c r="IWS1876" s="2730"/>
      <c r="IWT1876" s="2730"/>
      <c r="IWU1876" s="2730"/>
      <c r="IWV1876" s="2730"/>
      <c r="IWW1876" s="2730"/>
      <c r="IWX1876" s="2730"/>
      <c r="IWY1876" s="2730"/>
      <c r="IWZ1876" s="2730"/>
      <c r="IXA1876" s="2730"/>
      <c r="IXB1876" s="2730"/>
      <c r="IXC1876" s="2730"/>
      <c r="IXD1876" s="2730"/>
      <c r="IXE1876" s="2730"/>
      <c r="IXF1876" s="2730"/>
      <c r="IXG1876" s="2730"/>
      <c r="IXH1876" s="2730"/>
      <c r="IXI1876" s="2730"/>
      <c r="IXJ1876" s="2730"/>
      <c r="IXK1876" s="2730"/>
      <c r="IXL1876" s="2730"/>
      <c r="IXM1876" s="2730"/>
      <c r="IXN1876" s="2730"/>
      <c r="IXO1876" s="2730"/>
      <c r="IXP1876" s="2730"/>
      <c r="IXQ1876" s="2730"/>
      <c r="IXR1876" s="2730"/>
      <c r="IXS1876" s="2730"/>
      <c r="IXT1876" s="2730"/>
      <c r="IXU1876" s="2730"/>
      <c r="IXV1876" s="2730"/>
      <c r="IXW1876" s="2730"/>
      <c r="IXX1876" s="2730"/>
      <c r="IXY1876" s="2730"/>
      <c r="IXZ1876" s="2730"/>
      <c r="IYA1876" s="2730"/>
      <c r="IYB1876" s="2730"/>
      <c r="IYC1876" s="2730"/>
      <c r="IYD1876" s="2730"/>
      <c r="IYE1876" s="2730"/>
      <c r="IYF1876" s="2730"/>
      <c r="IYG1876" s="2730"/>
      <c r="IYH1876" s="2730"/>
      <c r="IYI1876" s="2730"/>
      <c r="IYJ1876" s="2730"/>
      <c r="IYK1876" s="2730"/>
      <c r="IYL1876" s="2730"/>
      <c r="IYM1876" s="2730"/>
      <c r="IYN1876" s="2730"/>
      <c r="IYO1876" s="2730"/>
      <c r="IYP1876" s="2730"/>
      <c r="IYQ1876" s="2730"/>
      <c r="IYR1876" s="2730"/>
      <c r="IYS1876" s="2730"/>
      <c r="IYT1876" s="2730"/>
      <c r="IYU1876" s="2730"/>
      <c r="IYV1876" s="2730"/>
      <c r="IYW1876" s="2730"/>
      <c r="IYX1876" s="2730"/>
      <c r="IYY1876" s="2730"/>
      <c r="IYZ1876" s="2730"/>
      <c r="IZA1876" s="2730"/>
      <c r="IZB1876" s="2730"/>
      <c r="IZC1876" s="2730"/>
      <c r="IZD1876" s="2730"/>
      <c r="IZE1876" s="2730"/>
      <c r="IZF1876" s="2730"/>
      <c r="IZG1876" s="2730"/>
      <c r="IZH1876" s="2730"/>
      <c r="IZI1876" s="2730"/>
      <c r="IZJ1876" s="2730"/>
      <c r="IZK1876" s="2730"/>
      <c r="IZL1876" s="2730"/>
      <c r="IZM1876" s="2730"/>
      <c r="IZN1876" s="2730"/>
      <c r="IZO1876" s="2730"/>
      <c r="IZP1876" s="2730"/>
      <c r="IZQ1876" s="2730"/>
      <c r="IZR1876" s="2730"/>
      <c r="IZS1876" s="2730"/>
      <c r="IZT1876" s="2730"/>
      <c r="IZU1876" s="2730"/>
      <c r="IZV1876" s="2730"/>
      <c r="IZW1876" s="2730"/>
      <c r="IZX1876" s="2730"/>
      <c r="IZY1876" s="2730"/>
      <c r="IZZ1876" s="2730"/>
      <c r="JAA1876" s="2730"/>
      <c r="JAB1876" s="2730"/>
      <c r="JAC1876" s="2730"/>
      <c r="JAD1876" s="2730"/>
      <c r="JAE1876" s="2730"/>
      <c r="JAF1876" s="2730"/>
      <c r="JAG1876" s="2730"/>
      <c r="JAH1876" s="2730"/>
      <c r="JAI1876" s="2730"/>
      <c r="JAJ1876" s="2730"/>
      <c r="JAK1876" s="2730"/>
      <c r="JAL1876" s="2730"/>
      <c r="JAM1876" s="2730"/>
      <c r="JAN1876" s="2730"/>
      <c r="JAO1876" s="2730"/>
      <c r="JAP1876" s="2730"/>
      <c r="JAQ1876" s="2730"/>
      <c r="JAR1876" s="2730"/>
      <c r="JAS1876" s="2730"/>
      <c r="JAT1876" s="2730"/>
      <c r="JAU1876" s="2730"/>
      <c r="JAV1876" s="2730"/>
      <c r="JAW1876" s="2730"/>
      <c r="JAX1876" s="2730"/>
      <c r="JAY1876" s="2730"/>
      <c r="JAZ1876" s="2730"/>
      <c r="JBA1876" s="2730"/>
      <c r="JBB1876" s="2730"/>
      <c r="JBC1876" s="2730"/>
      <c r="JBD1876" s="2730"/>
      <c r="JBE1876" s="2730"/>
      <c r="JBF1876" s="2730"/>
      <c r="JBG1876" s="2730"/>
      <c r="JBH1876" s="2730"/>
      <c r="JBI1876" s="2730"/>
      <c r="JBJ1876" s="2730"/>
      <c r="JBK1876" s="2730"/>
      <c r="JBL1876" s="2730"/>
      <c r="JBM1876" s="2730"/>
      <c r="JBN1876" s="2730"/>
      <c r="JBO1876" s="2730"/>
      <c r="JBP1876" s="2730"/>
      <c r="JBQ1876" s="2730"/>
      <c r="JBR1876" s="2730"/>
      <c r="JBS1876" s="2730"/>
      <c r="JBT1876" s="2730"/>
      <c r="JBU1876" s="2730"/>
      <c r="JBV1876" s="2730"/>
      <c r="JBW1876" s="2730"/>
      <c r="JBX1876" s="2730"/>
      <c r="JBY1876" s="2730"/>
      <c r="JBZ1876" s="2730"/>
      <c r="JCA1876" s="2730"/>
      <c r="JCB1876" s="2730"/>
      <c r="JCC1876" s="2730"/>
      <c r="JCD1876" s="2730"/>
      <c r="JCE1876" s="2730"/>
      <c r="JCF1876" s="2730"/>
      <c r="JCG1876" s="2730"/>
      <c r="JCH1876" s="2730"/>
      <c r="JCI1876" s="2730"/>
      <c r="JCJ1876" s="2730"/>
      <c r="JCK1876" s="2730"/>
      <c r="JCL1876" s="2730"/>
      <c r="JCM1876" s="2730"/>
      <c r="JCN1876" s="2730"/>
      <c r="JCO1876" s="2730"/>
      <c r="JCP1876" s="2730"/>
      <c r="JCQ1876" s="2730"/>
      <c r="JCR1876" s="2730"/>
      <c r="JCS1876" s="2730"/>
      <c r="JCT1876" s="2730"/>
      <c r="JCU1876" s="2730"/>
      <c r="JCV1876" s="2730"/>
      <c r="JCW1876" s="2730"/>
      <c r="JCX1876" s="2730"/>
      <c r="JCY1876" s="2730"/>
      <c r="JCZ1876" s="2730"/>
      <c r="JDA1876" s="2730"/>
      <c r="JDB1876" s="2730"/>
      <c r="JDC1876" s="2730"/>
      <c r="JDD1876" s="2730"/>
      <c r="JDE1876" s="2730"/>
      <c r="JDF1876" s="2730"/>
      <c r="JDG1876" s="2730"/>
      <c r="JDH1876" s="2730"/>
      <c r="JDI1876" s="2730"/>
      <c r="JDJ1876" s="2730"/>
      <c r="JDK1876" s="2730"/>
      <c r="JDL1876" s="2730"/>
      <c r="JDM1876" s="2730"/>
      <c r="JDN1876" s="2730"/>
      <c r="JDO1876" s="2730"/>
      <c r="JDP1876" s="2730"/>
      <c r="JDQ1876" s="2730"/>
      <c r="JDR1876" s="2730"/>
      <c r="JDS1876" s="2730"/>
      <c r="JDT1876" s="2730"/>
      <c r="JDU1876" s="2730"/>
      <c r="JDV1876" s="2730"/>
      <c r="JDW1876" s="2730"/>
      <c r="JDX1876" s="2730"/>
      <c r="JDY1876" s="2730"/>
      <c r="JDZ1876" s="2730"/>
      <c r="JEA1876" s="2730"/>
      <c r="JEB1876" s="2730"/>
      <c r="JEC1876" s="2730"/>
      <c r="JED1876" s="2730"/>
      <c r="JEE1876" s="2730"/>
      <c r="JEF1876" s="2730"/>
      <c r="JEG1876" s="2730"/>
      <c r="JEH1876" s="2730"/>
      <c r="JEI1876" s="2730"/>
      <c r="JEJ1876" s="2730"/>
      <c r="JEK1876" s="2730"/>
      <c r="JEL1876" s="2730"/>
      <c r="JEM1876" s="2730"/>
      <c r="JEN1876" s="2730"/>
      <c r="JEO1876" s="2730"/>
      <c r="JEP1876" s="2730"/>
      <c r="JEQ1876" s="2730"/>
      <c r="JER1876" s="2730"/>
      <c r="JES1876" s="2730"/>
      <c r="JET1876" s="2730"/>
      <c r="JEU1876" s="2730"/>
      <c r="JEV1876" s="2730"/>
      <c r="JEW1876" s="2730"/>
      <c r="JEX1876" s="2730"/>
      <c r="JEY1876" s="2730"/>
      <c r="JEZ1876" s="2730"/>
      <c r="JFA1876" s="2730"/>
      <c r="JFB1876" s="2730"/>
      <c r="JFC1876" s="2730"/>
      <c r="JFD1876" s="2730"/>
      <c r="JFE1876" s="2730"/>
      <c r="JFF1876" s="2730"/>
      <c r="JFG1876" s="2730"/>
      <c r="JFH1876" s="2730"/>
      <c r="JFI1876" s="2730"/>
      <c r="JFJ1876" s="2730"/>
      <c r="JFK1876" s="2730"/>
      <c r="JFL1876" s="2730"/>
      <c r="JFM1876" s="2730"/>
      <c r="JFN1876" s="2730"/>
      <c r="JFO1876" s="2730"/>
      <c r="JFP1876" s="2730"/>
      <c r="JFQ1876" s="2730"/>
      <c r="JFR1876" s="2730"/>
      <c r="JFS1876" s="2730"/>
      <c r="JFT1876" s="2730"/>
      <c r="JFU1876" s="2730"/>
      <c r="JFV1876" s="2730"/>
      <c r="JFW1876" s="2730"/>
      <c r="JFX1876" s="2730"/>
      <c r="JFY1876" s="2730"/>
      <c r="JFZ1876" s="2730"/>
      <c r="JGA1876" s="2730"/>
      <c r="JGB1876" s="2730"/>
      <c r="JGC1876" s="2730"/>
      <c r="JGD1876" s="2730"/>
      <c r="JGE1876" s="2730"/>
      <c r="JGF1876" s="2730"/>
      <c r="JGG1876" s="2730"/>
      <c r="JGH1876" s="2730"/>
      <c r="JGI1876" s="2730"/>
      <c r="JGJ1876" s="2730"/>
      <c r="JGK1876" s="2730"/>
      <c r="JGL1876" s="2730"/>
      <c r="JGM1876" s="2730"/>
      <c r="JGN1876" s="2730"/>
      <c r="JGO1876" s="2730"/>
      <c r="JGP1876" s="2730"/>
      <c r="JGQ1876" s="2730"/>
      <c r="JGR1876" s="2730"/>
      <c r="JGS1876" s="2730"/>
      <c r="JGT1876" s="2730"/>
      <c r="JGU1876" s="2730"/>
      <c r="JGV1876" s="2730"/>
      <c r="JGW1876" s="2730"/>
      <c r="JGX1876" s="2730"/>
      <c r="JGY1876" s="2730"/>
      <c r="JGZ1876" s="2730"/>
      <c r="JHA1876" s="2730"/>
      <c r="JHB1876" s="2730"/>
      <c r="JHC1876" s="2730"/>
      <c r="JHD1876" s="2730"/>
      <c r="JHE1876" s="2730"/>
      <c r="JHF1876" s="2730"/>
      <c r="JHG1876" s="2730"/>
      <c r="JHH1876" s="2730"/>
      <c r="JHI1876" s="2730"/>
      <c r="JHJ1876" s="2730"/>
      <c r="JHK1876" s="2730"/>
      <c r="JHL1876" s="2730"/>
      <c r="JHM1876" s="2730"/>
      <c r="JHN1876" s="2730"/>
      <c r="JHO1876" s="2730"/>
      <c r="JHP1876" s="2730"/>
      <c r="JHQ1876" s="2730"/>
      <c r="JHR1876" s="2730"/>
      <c r="JHS1876" s="2730"/>
      <c r="JHT1876" s="2730"/>
      <c r="JHU1876" s="2730"/>
      <c r="JHV1876" s="2730"/>
      <c r="JHW1876" s="2730"/>
      <c r="JHX1876" s="2730"/>
      <c r="JHY1876" s="2730"/>
      <c r="JHZ1876" s="2730"/>
      <c r="JIA1876" s="2730"/>
      <c r="JIB1876" s="2730"/>
      <c r="JIC1876" s="2730"/>
      <c r="JID1876" s="2730"/>
      <c r="JIE1876" s="2730"/>
      <c r="JIF1876" s="2730"/>
      <c r="JIG1876" s="2730"/>
      <c r="JIH1876" s="2730"/>
      <c r="JII1876" s="2730"/>
      <c r="JIJ1876" s="2730"/>
      <c r="JIK1876" s="2730"/>
      <c r="JIL1876" s="2730"/>
      <c r="JIM1876" s="2730"/>
      <c r="JIN1876" s="2730"/>
      <c r="JIO1876" s="2730"/>
      <c r="JIP1876" s="2730"/>
      <c r="JIQ1876" s="2730"/>
      <c r="JIR1876" s="2730"/>
      <c r="JIS1876" s="2730"/>
      <c r="JIT1876" s="2730"/>
      <c r="JIU1876" s="2730"/>
      <c r="JIV1876" s="2730"/>
      <c r="JIW1876" s="2730"/>
      <c r="JIX1876" s="2730"/>
      <c r="JIY1876" s="2730"/>
      <c r="JIZ1876" s="2730"/>
      <c r="JJA1876" s="2730"/>
      <c r="JJB1876" s="2730"/>
      <c r="JJC1876" s="2730"/>
      <c r="JJD1876" s="2730"/>
      <c r="JJE1876" s="2730"/>
      <c r="JJF1876" s="2730"/>
      <c r="JJG1876" s="2730"/>
      <c r="JJH1876" s="2730"/>
      <c r="JJI1876" s="2730"/>
      <c r="JJJ1876" s="2730"/>
      <c r="JJK1876" s="2730"/>
      <c r="JJL1876" s="2730"/>
      <c r="JJM1876" s="2730"/>
      <c r="JJN1876" s="2730"/>
      <c r="JJO1876" s="2730"/>
      <c r="JJP1876" s="2730"/>
      <c r="JJQ1876" s="2730"/>
      <c r="JJR1876" s="2730"/>
      <c r="JJS1876" s="2730"/>
      <c r="JJT1876" s="2730"/>
      <c r="JJU1876" s="2730"/>
      <c r="JJV1876" s="2730"/>
      <c r="JJW1876" s="2730"/>
      <c r="JJX1876" s="2730"/>
      <c r="JJY1876" s="2730"/>
      <c r="JJZ1876" s="2730"/>
      <c r="JKA1876" s="2730"/>
      <c r="JKB1876" s="2730"/>
      <c r="JKC1876" s="2730"/>
      <c r="JKD1876" s="2730"/>
      <c r="JKE1876" s="2730"/>
      <c r="JKF1876" s="2730"/>
      <c r="JKG1876" s="2730"/>
      <c r="JKH1876" s="2730"/>
      <c r="JKI1876" s="2730"/>
      <c r="JKJ1876" s="2730"/>
      <c r="JKK1876" s="2730"/>
      <c r="JKL1876" s="2730"/>
      <c r="JKM1876" s="2730"/>
      <c r="JKN1876" s="2730"/>
      <c r="JKO1876" s="2730"/>
      <c r="JKP1876" s="2730"/>
      <c r="JKQ1876" s="2730"/>
      <c r="JKR1876" s="2730"/>
      <c r="JKS1876" s="2730"/>
      <c r="JKT1876" s="2730"/>
      <c r="JKU1876" s="2730"/>
      <c r="JKV1876" s="2730"/>
      <c r="JKW1876" s="2730"/>
      <c r="JKX1876" s="2730"/>
      <c r="JKY1876" s="2730"/>
      <c r="JKZ1876" s="2730"/>
      <c r="JLA1876" s="2730"/>
      <c r="JLB1876" s="2730"/>
      <c r="JLC1876" s="2730"/>
      <c r="JLD1876" s="2730"/>
      <c r="JLE1876" s="2730"/>
      <c r="JLF1876" s="2730"/>
      <c r="JLG1876" s="2730"/>
      <c r="JLH1876" s="2730"/>
      <c r="JLI1876" s="2730"/>
      <c r="JLJ1876" s="2730"/>
      <c r="JLK1876" s="2730"/>
      <c r="JLL1876" s="2730"/>
      <c r="JLM1876" s="2730"/>
      <c r="JLN1876" s="2730"/>
      <c r="JLO1876" s="2730"/>
      <c r="JLP1876" s="2730"/>
      <c r="JLQ1876" s="2730"/>
      <c r="JLR1876" s="2730"/>
      <c r="JLS1876" s="2730"/>
      <c r="JLT1876" s="2730"/>
      <c r="JLU1876" s="2730"/>
      <c r="JLV1876" s="2730"/>
      <c r="JLW1876" s="2730"/>
      <c r="JLX1876" s="2730"/>
      <c r="JLY1876" s="2730"/>
      <c r="JLZ1876" s="2730"/>
      <c r="JMA1876" s="2730"/>
      <c r="JMB1876" s="2730"/>
      <c r="JMC1876" s="2730"/>
      <c r="JMD1876" s="2730"/>
      <c r="JME1876" s="2730"/>
      <c r="JMF1876" s="2730"/>
      <c r="JMG1876" s="2730"/>
      <c r="JMH1876" s="2730"/>
      <c r="JMI1876" s="2730"/>
      <c r="JMJ1876" s="2730"/>
      <c r="JMK1876" s="2730"/>
      <c r="JML1876" s="2730"/>
      <c r="JMM1876" s="2730"/>
      <c r="JMN1876" s="2730"/>
      <c r="JMO1876" s="2730"/>
      <c r="JMP1876" s="2730"/>
      <c r="JMQ1876" s="2730"/>
      <c r="JMR1876" s="2730"/>
      <c r="JMS1876" s="2730"/>
      <c r="JMT1876" s="2730"/>
      <c r="JMU1876" s="2730"/>
      <c r="JMV1876" s="2730"/>
      <c r="JMW1876" s="2730"/>
      <c r="JMX1876" s="2730"/>
      <c r="JMY1876" s="2730"/>
      <c r="JMZ1876" s="2730"/>
      <c r="JNA1876" s="2730"/>
      <c r="JNB1876" s="2730"/>
      <c r="JNC1876" s="2730"/>
      <c r="JND1876" s="2730"/>
      <c r="JNE1876" s="2730"/>
      <c r="JNF1876" s="2730"/>
      <c r="JNG1876" s="2730"/>
      <c r="JNH1876" s="2730"/>
      <c r="JNI1876" s="2730"/>
      <c r="JNJ1876" s="2730"/>
      <c r="JNK1876" s="2730"/>
      <c r="JNL1876" s="2730"/>
      <c r="JNM1876" s="2730"/>
      <c r="JNN1876" s="2730"/>
      <c r="JNO1876" s="2730"/>
      <c r="JNP1876" s="2730"/>
      <c r="JNQ1876" s="2730"/>
      <c r="JNR1876" s="2730"/>
      <c r="JNS1876" s="2730"/>
      <c r="JNT1876" s="2730"/>
      <c r="JNU1876" s="2730"/>
      <c r="JNV1876" s="2730"/>
      <c r="JNW1876" s="2730"/>
      <c r="JNX1876" s="2730"/>
      <c r="JNY1876" s="2730"/>
      <c r="JNZ1876" s="2730"/>
      <c r="JOA1876" s="2730"/>
      <c r="JOB1876" s="2730"/>
      <c r="JOC1876" s="2730"/>
      <c r="JOD1876" s="2730"/>
      <c r="JOE1876" s="2730"/>
      <c r="JOF1876" s="2730"/>
      <c r="JOG1876" s="2730"/>
      <c r="JOH1876" s="2730"/>
      <c r="JOI1876" s="2730"/>
      <c r="JOJ1876" s="2730"/>
      <c r="JOK1876" s="2730"/>
      <c r="JOL1876" s="2730"/>
      <c r="JOM1876" s="2730"/>
      <c r="JON1876" s="2730"/>
      <c r="JOO1876" s="2730"/>
      <c r="JOP1876" s="2730"/>
      <c r="JOQ1876" s="2730"/>
      <c r="JOR1876" s="2730"/>
      <c r="JOS1876" s="2730"/>
      <c r="JOT1876" s="2730"/>
      <c r="JOU1876" s="2730"/>
      <c r="JOV1876" s="2730"/>
      <c r="JOW1876" s="2730"/>
      <c r="JOX1876" s="2730"/>
      <c r="JOY1876" s="2730"/>
      <c r="JOZ1876" s="2730"/>
      <c r="JPA1876" s="2730"/>
      <c r="JPB1876" s="2730"/>
      <c r="JPC1876" s="2730"/>
      <c r="JPD1876" s="2730"/>
      <c r="JPE1876" s="2730"/>
      <c r="JPF1876" s="2730"/>
      <c r="JPG1876" s="2730"/>
      <c r="JPH1876" s="2730"/>
      <c r="JPI1876" s="2730"/>
      <c r="JPJ1876" s="2730"/>
      <c r="JPK1876" s="2730"/>
      <c r="JPL1876" s="2730"/>
      <c r="JPM1876" s="2730"/>
      <c r="JPN1876" s="2730"/>
      <c r="JPO1876" s="2730"/>
      <c r="JPP1876" s="2730"/>
      <c r="JPQ1876" s="2730"/>
      <c r="JPR1876" s="2730"/>
      <c r="JPS1876" s="2730"/>
      <c r="JPT1876" s="2730"/>
      <c r="JPU1876" s="2730"/>
      <c r="JPV1876" s="2730"/>
      <c r="JPW1876" s="2730"/>
      <c r="JPX1876" s="2730"/>
      <c r="JPY1876" s="2730"/>
      <c r="JPZ1876" s="2730"/>
      <c r="JQA1876" s="2730"/>
      <c r="JQB1876" s="2730"/>
      <c r="JQC1876" s="2730"/>
      <c r="JQD1876" s="2730"/>
      <c r="JQE1876" s="2730"/>
      <c r="JQF1876" s="2730"/>
      <c r="JQG1876" s="2730"/>
      <c r="JQH1876" s="2730"/>
      <c r="JQI1876" s="2730"/>
      <c r="JQJ1876" s="2730"/>
      <c r="JQK1876" s="2730"/>
      <c r="JQL1876" s="2730"/>
      <c r="JQM1876" s="2730"/>
      <c r="JQN1876" s="2730"/>
      <c r="JQO1876" s="2730"/>
      <c r="JQP1876" s="2730"/>
      <c r="JQQ1876" s="2730"/>
      <c r="JQR1876" s="2730"/>
      <c r="JQS1876" s="2730"/>
      <c r="JQT1876" s="2730"/>
      <c r="JQU1876" s="2730"/>
      <c r="JQV1876" s="2730"/>
      <c r="JQW1876" s="2730"/>
      <c r="JQX1876" s="2730"/>
      <c r="JQY1876" s="2730"/>
      <c r="JQZ1876" s="2730"/>
      <c r="JRA1876" s="2730"/>
      <c r="JRB1876" s="2730"/>
      <c r="JRC1876" s="2730"/>
      <c r="JRD1876" s="2730"/>
      <c r="JRE1876" s="2730"/>
      <c r="JRF1876" s="2730"/>
      <c r="JRG1876" s="2730"/>
      <c r="JRH1876" s="2730"/>
      <c r="JRI1876" s="2730"/>
      <c r="JRJ1876" s="2730"/>
      <c r="JRK1876" s="2730"/>
      <c r="JRL1876" s="2730"/>
      <c r="JRM1876" s="2730"/>
      <c r="JRN1876" s="2730"/>
      <c r="JRO1876" s="2730"/>
      <c r="JRP1876" s="2730"/>
      <c r="JRQ1876" s="2730"/>
      <c r="JRR1876" s="2730"/>
      <c r="JRS1876" s="2730"/>
      <c r="JRT1876" s="2730"/>
      <c r="JRU1876" s="2730"/>
      <c r="JRV1876" s="2730"/>
      <c r="JRW1876" s="2730"/>
      <c r="JRX1876" s="2730"/>
      <c r="JRY1876" s="2730"/>
      <c r="JRZ1876" s="2730"/>
      <c r="JSA1876" s="2730"/>
      <c r="JSB1876" s="2730"/>
      <c r="JSC1876" s="2730"/>
      <c r="JSD1876" s="2730"/>
      <c r="JSE1876" s="2730"/>
      <c r="JSF1876" s="2730"/>
      <c r="JSG1876" s="2730"/>
      <c r="JSH1876" s="2730"/>
      <c r="JSI1876" s="2730"/>
      <c r="JSJ1876" s="2730"/>
      <c r="JSK1876" s="2730"/>
      <c r="JSL1876" s="2730"/>
      <c r="JSM1876" s="2730"/>
      <c r="JSN1876" s="2730"/>
      <c r="JSO1876" s="2730"/>
      <c r="JSP1876" s="2730"/>
      <c r="JSQ1876" s="2730"/>
      <c r="JSR1876" s="2730"/>
      <c r="JSS1876" s="2730"/>
      <c r="JST1876" s="2730"/>
      <c r="JSU1876" s="2730"/>
      <c r="JSV1876" s="2730"/>
      <c r="JSW1876" s="2730"/>
      <c r="JSX1876" s="2730"/>
      <c r="JSY1876" s="2730"/>
      <c r="JSZ1876" s="2730"/>
      <c r="JTA1876" s="2730"/>
      <c r="JTB1876" s="2730"/>
      <c r="JTC1876" s="2730"/>
      <c r="JTD1876" s="2730"/>
      <c r="JTE1876" s="2730"/>
      <c r="JTF1876" s="2730"/>
      <c r="JTG1876" s="2730"/>
      <c r="JTH1876" s="2730"/>
      <c r="JTI1876" s="2730"/>
      <c r="JTJ1876" s="2730"/>
      <c r="JTK1876" s="2730"/>
      <c r="JTL1876" s="2730"/>
      <c r="JTM1876" s="2730"/>
      <c r="JTN1876" s="2730"/>
      <c r="JTO1876" s="2730"/>
      <c r="JTP1876" s="2730"/>
      <c r="JTQ1876" s="2730"/>
      <c r="JTR1876" s="2730"/>
      <c r="JTS1876" s="2730"/>
      <c r="JTT1876" s="2730"/>
      <c r="JTU1876" s="2730"/>
      <c r="JTV1876" s="2730"/>
      <c r="JTW1876" s="2730"/>
      <c r="JTX1876" s="2730"/>
      <c r="JTY1876" s="2730"/>
      <c r="JTZ1876" s="2730"/>
      <c r="JUA1876" s="2730"/>
      <c r="JUB1876" s="2730"/>
      <c r="JUC1876" s="2730"/>
      <c r="JUD1876" s="2730"/>
      <c r="JUE1876" s="2730"/>
      <c r="JUF1876" s="2730"/>
      <c r="JUG1876" s="2730"/>
      <c r="JUH1876" s="2730"/>
      <c r="JUI1876" s="2730"/>
      <c r="JUJ1876" s="2730"/>
      <c r="JUK1876" s="2730"/>
      <c r="JUL1876" s="2730"/>
      <c r="JUM1876" s="2730"/>
      <c r="JUN1876" s="2730"/>
      <c r="JUO1876" s="2730"/>
      <c r="JUP1876" s="2730"/>
      <c r="JUQ1876" s="2730"/>
      <c r="JUR1876" s="2730"/>
      <c r="JUS1876" s="2730"/>
      <c r="JUT1876" s="2730"/>
      <c r="JUU1876" s="2730"/>
      <c r="JUV1876" s="2730"/>
      <c r="JUW1876" s="2730"/>
      <c r="JUX1876" s="2730"/>
      <c r="JUY1876" s="2730"/>
      <c r="JUZ1876" s="2730"/>
      <c r="JVA1876" s="2730"/>
      <c r="JVB1876" s="2730"/>
      <c r="JVC1876" s="2730"/>
      <c r="JVD1876" s="2730"/>
      <c r="JVE1876" s="2730"/>
      <c r="JVF1876" s="2730"/>
      <c r="JVG1876" s="2730"/>
      <c r="JVH1876" s="2730"/>
      <c r="JVI1876" s="2730"/>
      <c r="JVJ1876" s="2730"/>
      <c r="JVK1876" s="2730"/>
      <c r="JVL1876" s="2730"/>
      <c r="JVM1876" s="2730"/>
      <c r="JVN1876" s="2730"/>
      <c r="JVO1876" s="2730"/>
      <c r="JVP1876" s="2730"/>
      <c r="JVQ1876" s="2730"/>
      <c r="JVR1876" s="2730"/>
      <c r="JVS1876" s="2730"/>
      <c r="JVT1876" s="2730"/>
      <c r="JVU1876" s="2730"/>
      <c r="JVV1876" s="2730"/>
      <c r="JVW1876" s="2730"/>
      <c r="JVX1876" s="2730"/>
      <c r="JVY1876" s="2730"/>
      <c r="JVZ1876" s="2730"/>
      <c r="JWA1876" s="2730"/>
      <c r="JWB1876" s="2730"/>
      <c r="JWC1876" s="2730"/>
      <c r="JWD1876" s="2730"/>
      <c r="JWE1876" s="2730"/>
      <c r="JWF1876" s="2730"/>
      <c r="JWG1876" s="2730"/>
      <c r="JWH1876" s="2730"/>
      <c r="JWI1876" s="2730"/>
      <c r="JWJ1876" s="2730"/>
      <c r="JWK1876" s="2730"/>
      <c r="JWL1876" s="2730"/>
      <c r="JWM1876" s="2730"/>
      <c r="JWN1876" s="2730"/>
      <c r="JWO1876" s="2730"/>
      <c r="JWP1876" s="2730"/>
      <c r="JWQ1876" s="2730"/>
      <c r="JWR1876" s="2730"/>
      <c r="JWS1876" s="2730"/>
      <c r="JWT1876" s="2730"/>
      <c r="JWU1876" s="2730"/>
      <c r="JWV1876" s="2730"/>
      <c r="JWW1876" s="2730"/>
      <c r="JWX1876" s="2730"/>
      <c r="JWY1876" s="2730"/>
      <c r="JWZ1876" s="2730"/>
      <c r="JXA1876" s="2730"/>
      <c r="JXB1876" s="2730"/>
      <c r="JXC1876" s="2730"/>
      <c r="JXD1876" s="2730"/>
      <c r="JXE1876" s="2730"/>
      <c r="JXF1876" s="2730"/>
      <c r="JXG1876" s="2730"/>
      <c r="JXH1876" s="2730"/>
      <c r="JXI1876" s="2730"/>
      <c r="JXJ1876" s="2730"/>
      <c r="JXK1876" s="2730"/>
      <c r="JXL1876" s="2730"/>
      <c r="JXM1876" s="2730"/>
      <c r="JXN1876" s="2730"/>
      <c r="JXO1876" s="2730"/>
      <c r="JXP1876" s="2730"/>
      <c r="JXQ1876" s="2730"/>
      <c r="JXR1876" s="2730"/>
      <c r="JXS1876" s="2730"/>
      <c r="JXT1876" s="2730"/>
      <c r="JXU1876" s="2730"/>
      <c r="JXV1876" s="2730"/>
      <c r="JXW1876" s="2730"/>
      <c r="JXX1876" s="2730"/>
      <c r="JXY1876" s="2730"/>
      <c r="JXZ1876" s="2730"/>
      <c r="JYA1876" s="2730"/>
      <c r="JYB1876" s="2730"/>
      <c r="JYC1876" s="2730"/>
      <c r="JYD1876" s="2730"/>
      <c r="JYE1876" s="2730"/>
      <c r="JYF1876" s="2730"/>
      <c r="JYG1876" s="2730"/>
      <c r="JYH1876" s="2730"/>
      <c r="JYI1876" s="2730"/>
      <c r="JYJ1876" s="2730"/>
      <c r="JYK1876" s="2730"/>
      <c r="JYL1876" s="2730"/>
      <c r="JYM1876" s="2730"/>
      <c r="JYN1876" s="2730"/>
      <c r="JYO1876" s="2730"/>
      <c r="JYP1876" s="2730"/>
      <c r="JYQ1876" s="2730"/>
      <c r="JYR1876" s="2730"/>
      <c r="JYS1876" s="2730"/>
      <c r="JYT1876" s="2730"/>
      <c r="JYU1876" s="2730"/>
      <c r="JYV1876" s="2730"/>
      <c r="JYW1876" s="2730"/>
      <c r="JYX1876" s="2730"/>
      <c r="JYY1876" s="2730"/>
      <c r="JYZ1876" s="2730"/>
      <c r="JZA1876" s="2730"/>
      <c r="JZB1876" s="2730"/>
      <c r="JZC1876" s="2730"/>
      <c r="JZD1876" s="2730"/>
      <c r="JZE1876" s="2730"/>
      <c r="JZF1876" s="2730"/>
      <c r="JZG1876" s="2730"/>
      <c r="JZH1876" s="2730"/>
      <c r="JZI1876" s="2730"/>
      <c r="JZJ1876" s="2730"/>
      <c r="JZK1876" s="2730"/>
      <c r="JZL1876" s="2730"/>
      <c r="JZM1876" s="2730"/>
      <c r="JZN1876" s="2730"/>
      <c r="JZO1876" s="2730"/>
      <c r="JZP1876" s="2730"/>
      <c r="JZQ1876" s="2730"/>
      <c r="JZR1876" s="2730"/>
      <c r="JZS1876" s="2730"/>
      <c r="JZT1876" s="2730"/>
      <c r="JZU1876" s="2730"/>
      <c r="JZV1876" s="2730"/>
      <c r="JZW1876" s="2730"/>
      <c r="JZX1876" s="2730"/>
      <c r="JZY1876" s="2730"/>
      <c r="JZZ1876" s="2730"/>
      <c r="KAA1876" s="2730"/>
      <c r="KAB1876" s="2730"/>
      <c r="KAC1876" s="2730"/>
      <c r="KAD1876" s="2730"/>
      <c r="KAE1876" s="2730"/>
      <c r="KAF1876" s="2730"/>
      <c r="KAG1876" s="2730"/>
      <c r="KAH1876" s="2730"/>
      <c r="KAI1876" s="2730"/>
      <c r="KAJ1876" s="2730"/>
      <c r="KAK1876" s="2730"/>
      <c r="KAL1876" s="2730"/>
      <c r="KAM1876" s="2730"/>
      <c r="KAN1876" s="2730"/>
      <c r="KAO1876" s="2730"/>
      <c r="KAP1876" s="2730"/>
      <c r="KAQ1876" s="2730"/>
      <c r="KAR1876" s="2730"/>
      <c r="KAS1876" s="2730"/>
      <c r="KAT1876" s="2730"/>
      <c r="KAU1876" s="2730"/>
      <c r="KAV1876" s="2730"/>
      <c r="KAW1876" s="2730"/>
      <c r="KAX1876" s="2730"/>
      <c r="KAY1876" s="2730"/>
      <c r="KAZ1876" s="2730"/>
      <c r="KBA1876" s="2730"/>
      <c r="KBB1876" s="2730"/>
      <c r="KBC1876" s="2730"/>
      <c r="KBD1876" s="2730"/>
      <c r="KBE1876" s="2730"/>
      <c r="KBF1876" s="2730"/>
      <c r="KBG1876" s="2730"/>
      <c r="KBH1876" s="2730"/>
      <c r="KBI1876" s="2730"/>
      <c r="KBJ1876" s="2730"/>
      <c r="KBK1876" s="2730"/>
      <c r="KBL1876" s="2730"/>
      <c r="KBM1876" s="2730"/>
      <c r="KBN1876" s="2730"/>
      <c r="KBO1876" s="2730"/>
      <c r="KBP1876" s="2730"/>
      <c r="KBQ1876" s="2730"/>
      <c r="KBR1876" s="2730"/>
      <c r="KBS1876" s="2730"/>
      <c r="KBT1876" s="2730"/>
      <c r="KBU1876" s="2730"/>
      <c r="KBV1876" s="2730"/>
      <c r="KBW1876" s="2730"/>
      <c r="KBX1876" s="2730"/>
      <c r="KBY1876" s="2730"/>
      <c r="KBZ1876" s="2730"/>
      <c r="KCA1876" s="2730"/>
      <c r="KCB1876" s="2730"/>
      <c r="KCC1876" s="2730"/>
      <c r="KCD1876" s="2730"/>
      <c r="KCE1876" s="2730"/>
      <c r="KCF1876" s="2730"/>
      <c r="KCG1876" s="2730"/>
      <c r="KCH1876" s="2730"/>
      <c r="KCI1876" s="2730"/>
      <c r="KCJ1876" s="2730"/>
      <c r="KCK1876" s="2730"/>
      <c r="KCL1876" s="2730"/>
      <c r="KCM1876" s="2730"/>
      <c r="KCN1876" s="2730"/>
      <c r="KCO1876" s="2730"/>
      <c r="KCP1876" s="2730"/>
      <c r="KCQ1876" s="2730"/>
      <c r="KCR1876" s="2730"/>
      <c r="KCS1876" s="2730"/>
      <c r="KCT1876" s="2730"/>
      <c r="KCU1876" s="2730"/>
      <c r="KCV1876" s="2730"/>
      <c r="KCW1876" s="2730"/>
      <c r="KCX1876" s="2730"/>
      <c r="KCY1876" s="2730"/>
      <c r="KCZ1876" s="2730"/>
      <c r="KDA1876" s="2730"/>
      <c r="KDB1876" s="2730"/>
      <c r="KDC1876" s="2730"/>
      <c r="KDD1876" s="2730"/>
      <c r="KDE1876" s="2730"/>
      <c r="KDF1876" s="2730"/>
      <c r="KDG1876" s="2730"/>
      <c r="KDH1876" s="2730"/>
      <c r="KDI1876" s="2730"/>
      <c r="KDJ1876" s="2730"/>
      <c r="KDK1876" s="2730"/>
      <c r="KDL1876" s="2730"/>
      <c r="KDM1876" s="2730"/>
      <c r="KDN1876" s="2730"/>
      <c r="KDO1876" s="2730"/>
      <c r="KDP1876" s="2730"/>
      <c r="KDQ1876" s="2730"/>
      <c r="KDR1876" s="2730"/>
      <c r="KDS1876" s="2730"/>
      <c r="KDT1876" s="2730"/>
      <c r="KDU1876" s="2730"/>
      <c r="KDV1876" s="2730"/>
      <c r="KDW1876" s="2730"/>
      <c r="KDX1876" s="2730"/>
      <c r="KDY1876" s="2730"/>
      <c r="KDZ1876" s="2730"/>
      <c r="KEA1876" s="2730"/>
      <c r="KEB1876" s="2730"/>
      <c r="KEC1876" s="2730"/>
      <c r="KED1876" s="2730"/>
      <c r="KEE1876" s="2730"/>
      <c r="KEF1876" s="2730"/>
      <c r="KEG1876" s="2730"/>
      <c r="KEH1876" s="2730"/>
      <c r="KEI1876" s="2730"/>
      <c r="KEJ1876" s="2730"/>
      <c r="KEK1876" s="2730"/>
      <c r="KEL1876" s="2730"/>
      <c r="KEM1876" s="2730"/>
      <c r="KEN1876" s="2730"/>
      <c r="KEO1876" s="2730"/>
      <c r="KEP1876" s="2730"/>
      <c r="KEQ1876" s="2730"/>
      <c r="KER1876" s="2730"/>
      <c r="KES1876" s="2730"/>
      <c r="KET1876" s="2730"/>
      <c r="KEU1876" s="2730"/>
      <c r="KEV1876" s="2730"/>
      <c r="KEW1876" s="2730"/>
      <c r="KEX1876" s="2730"/>
      <c r="KEY1876" s="2730"/>
      <c r="KEZ1876" s="2730"/>
      <c r="KFA1876" s="2730"/>
      <c r="KFB1876" s="2730"/>
      <c r="KFC1876" s="2730"/>
      <c r="KFD1876" s="2730"/>
      <c r="KFE1876" s="2730"/>
      <c r="KFF1876" s="2730"/>
      <c r="KFG1876" s="2730"/>
      <c r="KFH1876" s="2730"/>
      <c r="KFI1876" s="2730"/>
      <c r="KFJ1876" s="2730"/>
      <c r="KFK1876" s="2730"/>
      <c r="KFL1876" s="2730"/>
      <c r="KFM1876" s="2730"/>
      <c r="KFN1876" s="2730"/>
      <c r="KFO1876" s="2730"/>
      <c r="KFP1876" s="2730"/>
      <c r="KFQ1876" s="2730"/>
      <c r="KFR1876" s="2730"/>
      <c r="KFS1876" s="2730"/>
      <c r="KFT1876" s="2730"/>
      <c r="KFU1876" s="2730"/>
      <c r="KFV1876" s="2730"/>
      <c r="KFW1876" s="2730"/>
      <c r="KFX1876" s="2730"/>
      <c r="KFY1876" s="2730"/>
      <c r="KFZ1876" s="2730"/>
      <c r="KGA1876" s="2730"/>
      <c r="KGB1876" s="2730"/>
      <c r="KGC1876" s="2730"/>
      <c r="KGD1876" s="2730"/>
      <c r="KGE1876" s="2730"/>
      <c r="KGF1876" s="2730"/>
      <c r="KGG1876" s="2730"/>
      <c r="KGH1876" s="2730"/>
      <c r="KGI1876" s="2730"/>
      <c r="KGJ1876" s="2730"/>
      <c r="KGK1876" s="2730"/>
      <c r="KGL1876" s="2730"/>
      <c r="KGM1876" s="2730"/>
      <c r="KGN1876" s="2730"/>
      <c r="KGO1876" s="2730"/>
      <c r="KGP1876" s="2730"/>
      <c r="KGQ1876" s="2730"/>
      <c r="KGR1876" s="2730"/>
      <c r="KGS1876" s="2730"/>
      <c r="KGT1876" s="2730"/>
      <c r="KGU1876" s="2730"/>
      <c r="KGV1876" s="2730"/>
      <c r="KGW1876" s="2730"/>
      <c r="KGX1876" s="2730"/>
      <c r="KGY1876" s="2730"/>
      <c r="KGZ1876" s="2730"/>
      <c r="KHA1876" s="2730"/>
      <c r="KHB1876" s="2730"/>
      <c r="KHC1876" s="2730"/>
      <c r="KHD1876" s="2730"/>
      <c r="KHE1876" s="2730"/>
      <c r="KHF1876" s="2730"/>
      <c r="KHG1876" s="2730"/>
      <c r="KHH1876" s="2730"/>
      <c r="KHI1876" s="2730"/>
      <c r="KHJ1876" s="2730"/>
      <c r="KHK1876" s="2730"/>
      <c r="KHL1876" s="2730"/>
      <c r="KHM1876" s="2730"/>
      <c r="KHN1876" s="2730"/>
      <c r="KHO1876" s="2730"/>
      <c r="KHP1876" s="2730"/>
      <c r="KHQ1876" s="2730"/>
      <c r="KHR1876" s="2730"/>
      <c r="KHS1876" s="2730"/>
      <c r="KHT1876" s="2730"/>
      <c r="KHU1876" s="2730"/>
      <c r="KHV1876" s="2730"/>
      <c r="KHW1876" s="2730"/>
      <c r="KHX1876" s="2730"/>
      <c r="KHY1876" s="2730"/>
      <c r="KHZ1876" s="2730"/>
      <c r="KIA1876" s="2730"/>
      <c r="KIB1876" s="2730"/>
      <c r="KIC1876" s="2730"/>
      <c r="KID1876" s="2730"/>
      <c r="KIE1876" s="2730"/>
      <c r="KIF1876" s="2730"/>
      <c r="KIG1876" s="2730"/>
      <c r="KIH1876" s="2730"/>
      <c r="KII1876" s="2730"/>
      <c r="KIJ1876" s="2730"/>
      <c r="KIK1876" s="2730"/>
      <c r="KIL1876" s="2730"/>
      <c r="KIM1876" s="2730"/>
      <c r="KIN1876" s="2730"/>
      <c r="KIO1876" s="2730"/>
      <c r="KIP1876" s="2730"/>
      <c r="KIQ1876" s="2730"/>
      <c r="KIR1876" s="2730"/>
      <c r="KIS1876" s="2730"/>
      <c r="KIT1876" s="2730"/>
      <c r="KIU1876" s="2730"/>
      <c r="KIV1876" s="2730"/>
      <c r="KIW1876" s="2730"/>
      <c r="KIX1876" s="2730"/>
      <c r="KIY1876" s="2730"/>
      <c r="KIZ1876" s="2730"/>
      <c r="KJA1876" s="2730"/>
      <c r="KJB1876" s="2730"/>
      <c r="KJC1876" s="2730"/>
      <c r="KJD1876" s="2730"/>
      <c r="KJE1876" s="2730"/>
      <c r="KJF1876" s="2730"/>
      <c r="KJG1876" s="2730"/>
      <c r="KJH1876" s="2730"/>
      <c r="KJI1876" s="2730"/>
      <c r="KJJ1876" s="2730"/>
      <c r="KJK1876" s="2730"/>
      <c r="KJL1876" s="2730"/>
      <c r="KJM1876" s="2730"/>
      <c r="KJN1876" s="2730"/>
      <c r="KJO1876" s="2730"/>
      <c r="KJP1876" s="2730"/>
      <c r="KJQ1876" s="2730"/>
      <c r="KJR1876" s="2730"/>
      <c r="KJS1876" s="2730"/>
      <c r="KJT1876" s="2730"/>
      <c r="KJU1876" s="2730"/>
      <c r="KJV1876" s="2730"/>
      <c r="KJW1876" s="2730"/>
      <c r="KJX1876" s="2730"/>
      <c r="KJY1876" s="2730"/>
      <c r="KJZ1876" s="2730"/>
      <c r="KKA1876" s="2730"/>
      <c r="KKB1876" s="2730"/>
      <c r="KKC1876" s="2730"/>
      <c r="KKD1876" s="2730"/>
      <c r="KKE1876" s="2730"/>
      <c r="KKF1876" s="2730"/>
      <c r="KKG1876" s="2730"/>
      <c r="KKH1876" s="2730"/>
      <c r="KKI1876" s="2730"/>
      <c r="KKJ1876" s="2730"/>
      <c r="KKK1876" s="2730"/>
      <c r="KKL1876" s="2730"/>
      <c r="KKM1876" s="2730"/>
      <c r="KKN1876" s="2730"/>
      <c r="KKO1876" s="2730"/>
      <c r="KKP1876" s="2730"/>
      <c r="KKQ1876" s="2730"/>
      <c r="KKR1876" s="2730"/>
      <c r="KKS1876" s="2730"/>
      <c r="KKT1876" s="2730"/>
      <c r="KKU1876" s="2730"/>
      <c r="KKV1876" s="2730"/>
      <c r="KKW1876" s="2730"/>
      <c r="KKX1876" s="2730"/>
      <c r="KKY1876" s="2730"/>
      <c r="KKZ1876" s="2730"/>
      <c r="KLA1876" s="2730"/>
      <c r="KLB1876" s="2730"/>
      <c r="KLC1876" s="2730"/>
      <c r="KLD1876" s="2730"/>
      <c r="KLE1876" s="2730"/>
      <c r="KLF1876" s="2730"/>
      <c r="KLG1876" s="2730"/>
      <c r="KLH1876" s="2730"/>
      <c r="KLI1876" s="2730"/>
      <c r="KLJ1876" s="2730"/>
      <c r="KLK1876" s="2730"/>
      <c r="KLL1876" s="2730"/>
      <c r="KLM1876" s="2730"/>
      <c r="KLN1876" s="2730"/>
      <c r="KLO1876" s="2730"/>
      <c r="KLP1876" s="2730"/>
      <c r="KLQ1876" s="2730"/>
      <c r="KLR1876" s="2730"/>
      <c r="KLS1876" s="2730"/>
      <c r="KLT1876" s="2730"/>
      <c r="KLU1876" s="2730"/>
      <c r="KLV1876" s="2730"/>
      <c r="KLW1876" s="2730"/>
      <c r="KLX1876" s="2730"/>
      <c r="KLY1876" s="2730"/>
      <c r="KLZ1876" s="2730"/>
      <c r="KMA1876" s="2730"/>
      <c r="KMB1876" s="2730"/>
      <c r="KMC1876" s="2730"/>
      <c r="KMD1876" s="2730"/>
      <c r="KME1876" s="2730"/>
      <c r="KMF1876" s="2730"/>
      <c r="KMG1876" s="2730"/>
      <c r="KMH1876" s="2730"/>
      <c r="KMI1876" s="2730"/>
      <c r="KMJ1876" s="2730"/>
      <c r="KMK1876" s="2730"/>
      <c r="KML1876" s="2730"/>
      <c r="KMM1876" s="2730"/>
      <c r="KMN1876" s="2730"/>
      <c r="KMO1876" s="2730"/>
      <c r="KMP1876" s="2730"/>
      <c r="KMQ1876" s="2730"/>
      <c r="KMR1876" s="2730"/>
      <c r="KMS1876" s="2730"/>
      <c r="KMT1876" s="2730"/>
      <c r="KMU1876" s="2730"/>
      <c r="KMV1876" s="2730"/>
      <c r="KMW1876" s="2730"/>
      <c r="KMX1876" s="2730"/>
      <c r="KMY1876" s="2730"/>
      <c r="KMZ1876" s="2730"/>
      <c r="KNA1876" s="2730"/>
      <c r="KNB1876" s="2730"/>
      <c r="KNC1876" s="2730"/>
      <c r="KND1876" s="2730"/>
      <c r="KNE1876" s="2730"/>
      <c r="KNF1876" s="2730"/>
      <c r="KNG1876" s="2730"/>
      <c r="KNH1876" s="2730"/>
      <c r="KNI1876" s="2730"/>
      <c r="KNJ1876" s="2730"/>
      <c r="KNK1876" s="2730"/>
      <c r="KNL1876" s="2730"/>
      <c r="KNM1876" s="2730"/>
      <c r="KNN1876" s="2730"/>
      <c r="KNO1876" s="2730"/>
      <c r="KNP1876" s="2730"/>
      <c r="KNQ1876" s="2730"/>
      <c r="KNR1876" s="2730"/>
      <c r="KNS1876" s="2730"/>
      <c r="KNT1876" s="2730"/>
      <c r="KNU1876" s="2730"/>
      <c r="KNV1876" s="2730"/>
      <c r="KNW1876" s="2730"/>
      <c r="KNX1876" s="2730"/>
      <c r="KNY1876" s="2730"/>
      <c r="KNZ1876" s="2730"/>
      <c r="KOA1876" s="2730"/>
      <c r="KOB1876" s="2730"/>
      <c r="KOC1876" s="2730"/>
      <c r="KOD1876" s="2730"/>
      <c r="KOE1876" s="2730"/>
      <c r="KOF1876" s="2730"/>
      <c r="KOG1876" s="2730"/>
      <c r="KOH1876" s="2730"/>
      <c r="KOI1876" s="2730"/>
      <c r="KOJ1876" s="2730"/>
      <c r="KOK1876" s="2730"/>
      <c r="KOL1876" s="2730"/>
      <c r="KOM1876" s="2730"/>
      <c r="KON1876" s="2730"/>
      <c r="KOO1876" s="2730"/>
      <c r="KOP1876" s="2730"/>
      <c r="KOQ1876" s="2730"/>
      <c r="KOR1876" s="2730"/>
      <c r="KOS1876" s="2730"/>
      <c r="KOT1876" s="2730"/>
      <c r="KOU1876" s="2730"/>
      <c r="KOV1876" s="2730"/>
      <c r="KOW1876" s="2730"/>
      <c r="KOX1876" s="2730"/>
      <c r="KOY1876" s="2730"/>
      <c r="KOZ1876" s="2730"/>
      <c r="KPA1876" s="2730"/>
      <c r="KPB1876" s="2730"/>
      <c r="KPC1876" s="2730"/>
      <c r="KPD1876" s="2730"/>
      <c r="KPE1876" s="2730"/>
      <c r="KPF1876" s="2730"/>
      <c r="KPG1876" s="2730"/>
      <c r="KPH1876" s="2730"/>
      <c r="KPI1876" s="2730"/>
      <c r="KPJ1876" s="2730"/>
      <c r="KPK1876" s="2730"/>
      <c r="KPL1876" s="2730"/>
      <c r="KPM1876" s="2730"/>
      <c r="KPN1876" s="2730"/>
      <c r="KPO1876" s="2730"/>
      <c r="KPP1876" s="2730"/>
      <c r="KPQ1876" s="2730"/>
      <c r="KPR1876" s="2730"/>
      <c r="KPS1876" s="2730"/>
      <c r="KPT1876" s="2730"/>
      <c r="KPU1876" s="2730"/>
      <c r="KPV1876" s="2730"/>
      <c r="KPW1876" s="2730"/>
      <c r="KPX1876" s="2730"/>
      <c r="KPY1876" s="2730"/>
      <c r="KPZ1876" s="2730"/>
      <c r="KQA1876" s="2730"/>
      <c r="KQB1876" s="2730"/>
      <c r="KQC1876" s="2730"/>
      <c r="KQD1876" s="2730"/>
      <c r="KQE1876" s="2730"/>
      <c r="KQF1876" s="2730"/>
      <c r="KQG1876" s="2730"/>
      <c r="KQH1876" s="2730"/>
      <c r="KQI1876" s="2730"/>
      <c r="KQJ1876" s="2730"/>
      <c r="KQK1876" s="2730"/>
      <c r="KQL1876" s="2730"/>
      <c r="KQM1876" s="2730"/>
      <c r="KQN1876" s="2730"/>
      <c r="KQO1876" s="2730"/>
      <c r="KQP1876" s="2730"/>
      <c r="KQQ1876" s="2730"/>
      <c r="KQR1876" s="2730"/>
      <c r="KQS1876" s="2730"/>
      <c r="KQT1876" s="2730"/>
      <c r="KQU1876" s="2730"/>
      <c r="KQV1876" s="2730"/>
      <c r="KQW1876" s="2730"/>
      <c r="KQX1876" s="2730"/>
      <c r="KQY1876" s="2730"/>
      <c r="KQZ1876" s="2730"/>
      <c r="KRA1876" s="2730"/>
      <c r="KRB1876" s="2730"/>
      <c r="KRC1876" s="2730"/>
      <c r="KRD1876" s="2730"/>
      <c r="KRE1876" s="2730"/>
      <c r="KRF1876" s="2730"/>
      <c r="KRG1876" s="2730"/>
      <c r="KRH1876" s="2730"/>
      <c r="KRI1876" s="2730"/>
      <c r="KRJ1876" s="2730"/>
      <c r="KRK1876" s="2730"/>
      <c r="KRL1876" s="2730"/>
      <c r="KRM1876" s="2730"/>
      <c r="KRN1876" s="2730"/>
      <c r="KRO1876" s="2730"/>
      <c r="KRP1876" s="2730"/>
      <c r="KRQ1876" s="2730"/>
      <c r="KRR1876" s="2730"/>
      <c r="KRS1876" s="2730"/>
      <c r="KRT1876" s="2730"/>
      <c r="KRU1876" s="2730"/>
      <c r="KRV1876" s="2730"/>
      <c r="KRW1876" s="2730"/>
      <c r="KRX1876" s="2730"/>
      <c r="KRY1876" s="2730"/>
      <c r="KRZ1876" s="2730"/>
      <c r="KSA1876" s="2730"/>
      <c r="KSB1876" s="2730"/>
      <c r="KSC1876" s="2730"/>
      <c r="KSD1876" s="2730"/>
      <c r="KSE1876" s="2730"/>
      <c r="KSF1876" s="2730"/>
      <c r="KSG1876" s="2730"/>
      <c r="KSH1876" s="2730"/>
      <c r="KSI1876" s="2730"/>
      <c r="KSJ1876" s="2730"/>
      <c r="KSK1876" s="2730"/>
      <c r="KSL1876" s="2730"/>
      <c r="KSM1876" s="2730"/>
      <c r="KSN1876" s="2730"/>
      <c r="KSO1876" s="2730"/>
      <c r="KSP1876" s="2730"/>
      <c r="KSQ1876" s="2730"/>
      <c r="KSR1876" s="2730"/>
      <c r="KSS1876" s="2730"/>
      <c r="KST1876" s="2730"/>
      <c r="KSU1876" s="2730"/>
      <c r="KSV1876" s="2730"/>
      <c r="KSW1876" s="2730"/>
      <c r="KSX1876" s="2730"/>
      <c r="KSY1876" s="2730"/>
      <c r="KSZ1876" s="2730"/>
      <c r="KTA1876" s="2730"/>
      <c r="KTB1876" s="2730"/>
      <c r="KTC1876" s="2730"/>
      <c r="KTD1876" s="2730"/>
      <c r="KTE1876" s="2730"/>
      <c r="KTF1876" s="2730"/>
      <c r="KTG1876" s="2730"/>
      <c r="KTH1876" s="2730"/>
      <c r="KTI1876" s="2730"/>
      <c r="KTJ1876" s="2730"/>
      <c r="KTK1876" s="2730"/>
      <c r="KTL1876" s="2730"/>
      <c r="KTM1876" s="2730"/>
      <c r="KTN1876" s="2730"/>
      <c r="KTO1876" s="2730"/>
      <c r="KTP1876" s="2730"/>
      <c r="KTQ1876" s="2730"/>
      <c r="KTR1876" s="2730"/>
      <c r="KTS1876" s="2730"/>
      <c r="KTT1876" s="2730"/>
      <c r="KTU1876" s="2730"/>
      <c r="KTV1876" s="2730"/>
      <c r="KTW1876" s="2730"/>
      <c r="KTX1876" s="2730"/>
      <c r="KTY1876" s="2730"/>
      <c r="KTZ1876" s="2730"/>
      <c r="KUA1876" s="2730"/>
      <c r="KUB1876" s="2730"/>
      <c r="KUC1876" s="2730"/>
      <c r="KUD1876" s="2730"/>
      <c r="KUE1876" s="2730"/>
      <c r="KUF1876" s="2730"/>
      <c r="KUG1876" s="2730"/>
      <c r="KUH1876" s="2730"/>
      <c r="KUI1876" s="2730"/>
      <c r="KUJ1876" s="2730"/>
      <c r="KUK1876" s="2730"/>
      <c r="KUL1876" s="2730"/>
      <c r="KUM1876" s="2730"/>
      <c r="KUN1876" s="2730"/>
      <c r="KUO1876" s="2730"/>
      <c r="KUP1876" s="2730"/>
      <c r="KUQ1876" s="2730"/>
      <c r="KUR1876" s="2730"/>
      <c r="KUS1876" s="2730"/>
      <c r="KUT1876" s="2730"/>
      <c r="KUU1876" s="2730"/>
      <c r="KUV1876" s="2730"/>
      <c r="KUW1876" s="2730"/>
      <c r="KUX1876" s="2730"/>
      <c r="KUY1876" s="2730"/>
      <c r="KUZ1876" s="2730"/>
      <c r="KVA1876" s="2730"/>
      <c r="KVB1876" s="2730"/>
      <c r="KVC1876" s="2730"/>
      <c r="KVD1876" s="2730"/>
      <c r="KVE1876" s="2730"/>
      <c r="KVF1876" s="2730"/>
      <c r="KVG1876" s="2730"/>
      <c r="KVH1876" s="2730"/>
      <c r="KVI1876" s="2730"/>
      <c r="KVJ1876" s="2730"/>
      <c r="KVK1876" s="2730"/>
      <c r="KVL1876" s="2730"/>
      <c r="KVM1876" s="2730"/>
      <c r="KVN1876" s="2730"/>
      <c r="KVO1876" s="2730"/>
      <c r="KVP1876" s="2730"/>
      <c r="KVQ1876" s="2730"/>
      <c r="KVR1876" s="2730"/>
      <c r="KVS1876" s="2730"/>
      <c r="KVT1876" s="2730"/>
      <c r="KVU1876" s="2730"/>
      <c r="KVV1876" s="2730"/>
      <c r="KVW1876" s="2730"/>
      <c r="KVX1876" s="2730"/>
      <c r="KVY1876" s="2730"/>
      <c r="KVZ1876" s="2730"/>
      <c r="KWA1876" s="2730"/>
      <c r="KWB1876" s="2730"/>
      <c r="KWC1876" s="2730"/>
      <c r="KWD1876" s="2730"/>
      <c r="KWE1876" s="2730"/>
      <c r="KWF1876" s="2730"/>
      <c r="KWG1876" s="2730"/>
      <c r="KWH1876" s="2730"/>
      <c r="KWI1876" s="2730"/>
      <c r="KWJ1876" s="2730"/>
      <c r="KWK1876" s="2730"/>
      <c r="KWL1876" s="2730"/>
      <c r="KWM1876" s="2730"/>
      <c r="KWN1876" s="2730"/>
      <c r="KWO1876" s="2730"/>
      <c r="KWP1876" s="2730"/>
      <c r="KWQ1876" s="2730"/>
      <c r="KWR1876" s="2730"/>
      <c r="KWS1876" s="2730"/>
      <c r="KWT1876" s="2730"/>
      <c r="KWU1876" s="2730"/>
      <c r="KWV1876" s="2730"/>
      <c r="KWW1876" s="2730"/>
      <c r="KWX1876" s="2730"/>
      <c r="KWY1876" s="2730"/>
      <c r="KWZ1876" s="2730"/>
      <c r="KXA1876" s="2730"/>
      <c r="KXB1876" s="2730"/>
      <c r="KXC1876" s="2730"/>
      <c r="KXD1876" s="2730"/>
      <c r="KXE1876" s="2730"/>
      <c r="KXF1876" s="2730"/>
      <c r="KXG1876" s="2730"/>
      <c r="KXH1876" s="2730"/>
      <c r="KXI1876" s="2730"/>
      <c r="KXJ1876" s="2730"/>
      <c r="KXK1876" s="2730"/>
      <c r="KXL1876" s="2730"/>
      <c r="KXM1876" s="2730"/>
      <c r="KXN1876" s="2730"/>
      <c r="KXO1876" s="2730"/>
      <c r="KXP1876" s="2730"/>
      <c r="KXQ1876" s="2730"/>
      <c r="KXR1876" s="2730"/>
      <c r="KXS1876" s="2730"/>
      <c r="KXT1876" s="2730"/>
      <c r="KXU1876" s="2730"/>
      <c r="KXV1876" s="2730"/>
      <c r="KXW1876" s="2730"/>
      <c r="KXX1876" s="2730"/>
      <c r="KXY1876" s="2730"/>
      <c r="KXZ1876" s="2730"/>
      <c r="KYA1876" s="2730"/>
      <c r="KYB1876" s="2730"/>
      <c r="KYC1876" s="2730"/>
      <c r="KYD1876" s="2730"/>
      <c r="KYE1876" s="2730"/>
      <c r="KYF1876" s="2730"/>
      <c r="KYG1876" s="2730"/>
      <c r="KYH1876" s="2730"/>
      <c r="KYI1876" s="2730"/>
      <c r="KYJ1876" s="2730"/>
      <c r="KYK1876" s="2730"/>
      <c r="KYL1876" s="2730"/>
      <c r="KYM1876" s="2730"/>
      <c r="KYN1876" s="2730"/>
      <c r="KYO1876" s="2730"/>
      <c r="KYP1876" s="2730"/>
      <c r="KYQ1876" s="2730"/>
      <c r="KYR1876" s="2730"/>
      <c r="KYS1876" s="2730"/>
      <c r="KYT1876" s="2730"/>
      <c r="KYU1876" s="2730"/>
      <c r="KYV1876" s="2730"/>
      <c r="KYW1876" s="2730"/>
      <c r="KYX1876" s="2730"/>
      <c r="KYY1876" s="2730"/>
      <c r="KYZ1876" s="2730"/>
      <c r="KZA1876" s="2730"/>
      <c r="KZB1876" s="2730"/>
      <c r="KZC1876" s="2730"/>
      <c r="KZD1876" s="2730"/>
      <c r="KZE1876" s="2730"/>
      <c r="KZF1876" s="2730"/>
      <c r="KZG1876" s="2730"/>
      <c r="KZH1876" s="2730"/>
      <c r="KZI1876" s="2730"/>
      <c r="KZJ1876" s="2730"/>
      <c r="KZK1876" s="2730"/>
      <c r="KZL1876" s="2730"/>
      <c r="KZM1876" s="2730"/>
      <c r="KZN1876" s="2730"/>
      <c r="KZO1876" s="2730"/>
      <c r="KZP1876" s="2730"/>
      <c r="KZQ1876" s="2730"/>
      <c r="KZR1876" s="2730"/>
      <c r="KZS1876" s="2730"/>
      <c r="KZT1876" s="2730"/>
      <c r="KZU1876" s="2730"/>
      <c r="KZV1876" s="2730"/>
      <c r="KZW1876" s="2730"/>
      <c r="KZX1876" s="2730"/>
      <c r="KZY1876" s="2730"/>
      <c r="KZZ1876" s="2730"/>
      <c r="LAA1876" s="2730"/>
      <c r="LAB1876" s="2730"/>
      <c r="LAC1876" s="2730"/>
      <c r="LAD1876" s="2730"/>
      <c r="LAE1876" s="2730"/>
      <c r="LAF1876" s="2730"/>
      <c r="LAG1876" s="2730"/>
      <c r="LAH1876" s="2730"/>
      <c r="LAI1876" s="2730"/>
      <c r="LAJ1876" s="2730"/>
      <c r="LAK1876" s="2730"/>
      <c r="LAL1876" s="2730"/>
      <c r="LAM1876" s="2730"/>
      <c r="LAN1876" s="2730"/>
      <c r="LAO1876" s="2730"/>
      <c r="LAP1876" s="2730"/>
      <c r="LAQ1876" s="2730"/>
      <c r="LAR1876" s="2730"/>
      <c r="LAS1876" s="2730"/>
      <c r="LAT1876" s="2730"/>
      <c r="LAU1876" s="2730"/>
      <c r="LAV1876" s="2730"/>
      <c r="LAW1876" s="2730"/>
      <c r="LAX1876" s="2730"/>
      <c r="LAY1876" s="2730"/>
      <c r="LAZ1876" s="2730"/>
      <c r="LBA1876" s="2730"/>
      <c r="LBB1876" s="2730"/>
      <c r="LBC1876" s="2730"/>
      <c r="LBD1876" s="2730"/>
      <c r="LBE1876" s="2730"/>
      <c r="LBF1876" s="2730"/>
      <c r="LBG1876" s="2730"/>
      <c r="LBH1876" s="2730"/>
      <c r="LBI1876" s="2730"/>
      <c r="LBJ1876" s="2730"/>
      <c r="LBK1876" s="2730"/>
      <c r="LBL1876" s="2730"/>
      <c r="LBM1876" s="2730"/>
      <c r="LBN1876" s="2730"/>
      <c r="LBO1876" s="2730"/>
      <c r="LBP1876" s="2730"/>
      <c r="LBQ1876" s="2730"/>
      <c r="LBR1876" s="2730"/>
      <c r="LBS1876" s="2730"/>
      <c r="LBT1876" s="2730"/>
      <c r="LBU1876" s="2730"/>
      <c r="LBV1876" s="2730"/>
      <c r="LBW1876" s="2730"/>
      <c r="LBX1876" s="2730"/>
      <c r="LBY1876" s="2730"/>
      <c r="LBZ1876" s="2730"/>
      <c r="LCA1876" s="2730"/>
      <c r="LCB1876" s="2730"/>
      <c r="LCC1876" s="2730"/>
      <c r="LCD1876" s="2730"/>
      <c r="LCE1876" s="2730"/>
      <c r="LCF1876" s="2730"/>
      <c r="LCG1876" s="2730"/>
      <c r="LCH1876" s="2730"/>
      <c r="LCI1876" s="2730"/>
      <c r="LCJ1876" s="2730"/>
      <c r="LCK1876" s="2730"/>
      <c r="LCL1876" s="2730"/>
      <c r="LCM1876" s="2730"/>
      <c r="LCN1876" s="2730"/>
      <c r="LCO1876" s="2730"/>
      <c r="LCP1876" s="2730"/>
      <c r="LCQ1876" s="2730"/>
      <c r="LCR1876" s="2730"/>
      <c r="LCS1876" s="2730"/>
      <c r="LCT1876" s="2730"/>
      <c r="LCU1876" s="2730"/>
      <c r="LCV1876" s="2730"/>
      <c r="LCW1876" s="2730"/>
      <c r="LCX1876" s="2730"/>
      <c r="LCY1876" s="2730"/>
      <c r="LCZ1876" s="2730"/>
      <c r="LDA1876" s="2730"/>
      <c r="LDB1876" s="2730"/>
      <c r="LDC1876" s="2730"/>
      <c r="LDD1876" s="2730"/>
      <c r="LDE1876" s="2730"/>
      <c r="LDF1876" s="2730"/>
      <c r="LDG1876" s="2730"/>
      <c r="LDH1876" s="2730"/>
      <c r="LDI1876" s="2730"/>
      <c r="LDJ1876" s="2730"/>
      <c r="LDK1876" s="2730"/>
      <c r="LDL1876" s="2730"/>
      <c r="LDM1876" s="2730"/>
      <c r="LDN1876" s="2730"/>
      <c r="LDO1876" s="2730"/>
      <c r="LDP1876" s="2730"/>
      <c r="LDQ1876" s="2730"/>
      <c r="LDR1876" s="2730"/>
      <c r="LDS1876" s="2730"/>
      <c r="LDT1876" s="2730"/>
      <c r="LDU1876" s="2730"/>
      <c r="LDV1876" s="2730"/>
      <c r="LDW1876" s="2730"/>
      <c r="LDX1876" s="2730"/>
      <c r="LDY1876" s="2730"/>
      <c r="LDZ1876" s="2730"/>
      <c r="LEA1876" s="2730"/>
      <c r="LEB1876" s="2730"/>
      <c r="LEC1876" s="2730"/>
      <c r="LED1876" s="2730"/>
      <c r="LEE1876" s="2730"/>
      <c r="LEF1876" s="2730"/>
      <c r="LEG1876" s="2730"/>
      <c r="LEH1876" s="2730"/>
      <c r="LEI1876" s="2730"/>
      <c r="LEJ1876" s="2730"/>
      <c r="LEK1876" s="2730"/>
      <c r="LEL1876" s="2730"/>
      <c r="LEM1876" s="2730"/>
      <c r="LEN1876" s="2730"/>
      <c r="LEO1876" s="2730"/>
      <c r="LEP1876" s="2730"/>
      <c r="LEQ1876" s="2730"/>
      <c r="LER1876" s="2730"/>
      <c r="LES1876" s="2730"/>
      <c r="LET1876" s="2730"/>
      <c r="LEU1876" s="2730"/>
      <c r="LEV1876" s="2730"/>
      <c r="LEW1876" s="2730"/>
      <c r="LEX1876" s="2730"/>
      <c r="LEY1876" s="2730"/>
      <c r="LEZ1876" s="2730"/>
      <c r="LFA1876" s="2730"/>
      <c r="LFB1876" s="2730"/>
      <c r="LFC1876" s="2730"/>
      <c r="LFD1876" s="2730"/>
      <c r="LFE1876" s="2730"/>
      <c r="LFF1876" s="2730"/>
      <c r="LFG1876" s="2730"/>
      <c r="LFH1876" s="2730"/>
      <c r="LFI1876" s="2730"/>
      <c r="LFJ1876" s="2730"/>
      <c r="LFK1876" s="2730"/>
      <c r="LFL1876" s="2730"/>
      <c r="LFM1876" s="2730"/>
      <c r="LFN1876" s="2730"/>
      <c r="LFO1876" s="2730"/>
      <c r="LFP1876" s="2730"/>
      <c r="LFQ1876" s="2730"/>
      <c r="LFR1876" s="2730"/>
      <c r="LFS1876" s="2730"/>
      <c r="LFT1876" s="2730"/>
      <c r="LFU1876" s="2730"/>
      <c r="LFV1876" s="2730"/>
      <c r="LFW1876" s="2730"/>
      <c r="LFX1876" s="2730"/>
      <c r="LFY1876" s="2730"/>
      <c r="LFZ1876" s="2730"/>
      <c r="LGA1876" s="2730"/>
      <c r="LGB1876" s="2730"/>
      <c r="LGC1876" s="2730"/>
      <c r="LGD1876" s="2730"/>
      <c r="LGE1876" s="2730"/>
      <c r="LGF1876" s="2730"/>
      <c r="LGG1876" s="2730"/>
      <c r="LGH1876" s="2730"/>
      <c r="LGI1876" s="2730"/>
      <c r="LGJ1876" s="2730"/>
      <c r="LGK1876" s="2730"/>
      <c r="LGL1876" s="2730"/>
      <c r="LGM1876" s="2730"/>
      <c r="LGN1876" s="2730"/>
      <c r="LGO1876" s="2730"/>
      <c r="LGP1876" s="2730"/>
      <c r="LGQ1876" s="2730"/>
      <c r="LGR1876" s="2730"/>
      <c r="LGS1876" s="2730"/>
      <c r="LGT1876" s="2730"/>
      <c r="LGU1876" s="2730"/>
      <c r="LGV1876" s="2730"/>
      <c r="LGW1876" s="2730"/>
      <c r="LGX1876" s="2730"/>
      <c r="LGY1876" s="2730"/>
      <c r="LGZ1876" s="2730"/>
      <c r="LHA1876" s="2730"/>
      <c r="LHB1876" s="2730"/>
      <c r="LHC1876" s="2730"/>
      <c r="LHD1876" s="2730"/>
      <c r="LHE1876" s="2730"/>
      <c r="LHF1876" s="2730"/>
      <c r="LHG1876" s="2730"/>
      <c r="LHH1876" s="2730"/>
      <c r="LHI1876" s="2730"/>
      <c r="LHJ1876" s="2730"/>
      <c r="LHK1876" s="2730"/>
      <c r="LHL1876" s="2730"/>
      <c r="LHM1876" s="2730"/>
      <c r="LHN1876" s="2730"/>
      <c r="LHO1876" s="2730"/>
      <c r="LHP1876" s="2730"/>
      <c r="LHQ1876" s="2730"/>
      <c r="LHR1876" s="2730"/>
      <c r="LHS1876" s="2730"/>
      <c r="LHT1876" s="2730"/>
      <c r="LHU1876" s="2730"/>
      <c r="LHV1876" s="2730"/>
      <c r="LHW1876" s="2730"/>
      <c r="LHX1876" s="2730"/>
      <c r="LHY1876" s="2730"/>
      <c r="LHZ1876" s="2730"/>
      <c r="LIA1876" s="2730"/>
      <c r="LIB1876" s="2730"/>
      <c r="LIC1876" s="2730"/>
      <c r="LID1876" s="2730"/>
      <c r="LIE1876" s="2730"/>
      <c r="LIF1876" s="2730"/>
      <c r="LIG1876" s="2730"/>
      <c r="LIH1876" s="2730"/>
      <c r="LII1876" s="2730"/>
      <c r="LIJ1876" s="2730"/>
      <c r="LIK1876" s="2730"/>
      <c r="LIL1876" s="2730"/>
      <c r="LIM1876" s="2730"/>
      <c r="LIN1876" s="2730"/>
      <c r="LIO1876" s="2730"/>
      <c r="LIP1876" s="2730"/>
      <c r="LIQ1876" s="2730"/>
      <c r="LIR1876" s="2730"/>
      <c r="LIS1876" s="2730"/>
      <c r="LIT1876" s="2730"/>
      <c r="LIU1876" s="2730"/>
      <c r="LIV1876" s="2730"/>
      <c r="LIW1876" s="2730"/>
      <c r="LIX1876" s="2730"/>
      <c r="LIY1876" s="2730"/>
      <c r="LIZ1876" s="2730"/>
      <c r="LJA1876" s="2730"/>
      <c r="LJB1876" s="2730"/>
      <c r="LJC1876" s="2730"/>
      <c r="LJD1876" s="2730"/>
      <c r="LJE1876" s="2730"/>
      <c r="LJF1876" s="2730"/>
      <c r="LJG1876" s="2730"/>
      <c r="LJH1876" s="2730"/>
      <c r="LJI1876" s="2730"/>
      <c r="LJJ1876" s="2730"/>
      <c r="LJK1876" s="2730"/>
      <c r="LJL1876" s="2730"/>
      <c r="LJM1876" s="2730"/>
      <c r="LJN1876" s="2730"/>
      <c r="LJO1876" s="2730"/>
      <c r="LJP1876" s="2730"/>
      <c r="LJQ1876" s="2730"/>
      <c r="LJR1876" s="2730"/>
      <c r="LJS1876" s="2730"/>
      <c r="LJT1876" s="2730"/>
      <c r="LJU1876" s="2730"/>
      <c r="LJV1876" s="2730"/>
      <c r="LJW1876" s="2730"/>
      <c r="LJX1876" s="2730"/>
      <c r="LJY1876" s="2730"/>
      <c r="LJZ1876" s="2730"/>
      <c r="LKA1876" s="2730"/>
      <c r="LKB1876" s="2730"/>
      <c r="LKC1876" s="2730"/>
      <c r="LKD1876" s="2730"/>
      <c r="LKE1876" s="2730"/>
      <c r="LKF1876" s="2730"/>
      <c r="LKG1876" s="2730"/>
      <c r="LKH1876" s="2730"/>
      <c r="LKI1876" s="2730"/>
      <c r="LKJ1876" s="2730"/>
      <c r="LKK1876" s="2730"/>
      <c r="LKL1876" s="2730"/>
      <c r="LKM1876" s="2730"/>
      <c r="LKN1876" s="2730"/>
      <c r="LKO1876" s="2730"/>
      <c r="LKP1876" s="2730"/>
      <c r="LKQ1876" s="2730"/>
      <c r="LKR1876" s="2730"/>
      <c r="LKS1876" s="2730"/>
      <c r="LKT1876" s="2730"/>
      <c r="LKU1876" s="2730"/>
      <c r="LKV1876" s="2730"/>
      <c r="LKW1876" s="2730"/>
      <c r="LKX1876" s="2730"/>
      <c r="LKY1876" s="2730"/>
      <c r="LKZ1876" s="2730"/>
      <c r="LLA1876" s="2730"/>
      <c r="LLB1876" s="2730"/>
      <c r="LLC1876" s="2730"/>
      <c r="LLD1876" s="2730"/>
      <c r="LLE1876" s="2730"/>
      <c r="LLF1876" s="2730"/>
      <c r="LLG1876" s="2730"/>
      <c r="LLH1876" s="2730"/>
      <c r="LLI1876" s="2730"/>
      <c r="LLJ1876" s="2730"/>
      <c r="LLK1876" s="2730"/>
      <c r="LLL1876" s="2730"/>
      <c r="LLM1876" s="2730"/>
      <c r="LLN1876" s="2730"/>
      <c r="LLO1876" s="2730"/>
      <c r="LLP1876" s="2730"/>
      <c r="LLQ1876" s="2730"/>
      <c r="LLR1876" s="2730"/>
      <c r="LLS1876" s="2730"/>
      <c r="LLT1876" s="2730"/>
      <c r="LLU1876" s="2730"/>
      <c r="LLV1876" s="2730"/>
      <c r="LLW1876" s="2730"/>
      <c r="LLX1876" s="2730"/>
      <c r="LLY1876" s="2730"/>
      <c r="LLZ1876" s="2730"/>
      <c r="LMA1876" s="2730"/>
      <c r="LMB1876" s="2730"/>
      <c r="LMC1876" s="2730"/>
      <c r="LMD1876" s="2730"/>
      <c r="LME1876" s="2730"/>
      <c r="LMF1876" s="2730"/>
      <c r="LMG1876" s="2730"/>
      <c r="LMH1876" s="2730"/>
      <c r="LMI1876" s="2730"/>
      <c r="LMJ1876" s="2730"/>
      <c r="LMK1876" s="2730"/>
      <c r="LML1876" s="2730"/>
      <c r="LMM1876" s="2730"/>
      <c r="LMN1876" s="2730"/>
      <c r="LMO1876" s="2730"/>
      <c r="LMP1876" s="2730"/>
      <c r="LMQ1876" s="2730"/>
      <c r="LMR1876" s="2730"/>
      <c r="LMS1876" s="2730"/>
      <c r="LMT1876" s="2730"/>
      <c r="LMU1876" s="2730"/>
      <c r="LMV1876" s="2730"/>
      <c r="LMW1876" s="2730"/>
      <c r="LMX1876" s="2730"/>
      <c r="LMY1876" s="2730"/>
      <c r="LMZ1876" s="2730"/>
      <c r="LNA1876" s="2730"/>
      <c r="LNB1876" s="2730"/>
      <c r="LNC1876" s="2730"/>
      <c r="LND1876" s="2730"/>
      <c r="LNE1876" s="2730"/>
      <c r="LNF1876" s="2730"/>
      <c r="LNG1876" s="2730"/>
      <c r="LNH1876" s="2730"/>
      <c r="LNI1876" s="2730"/>
      <c r="LNJ1876" s="2730"/>
      <c r="LNK1876" s="2730"/>
      <c r="LNL1876" s="2730"/>
      <c r="LNM1876" s="2730"/>
      <c r="LNN1876" s="2730"/>
      <c r="LNO1876" s="2730"/>
      <c r="LNP1876" s="2730"/>
      <c r="LNQ1876" s="2730"/>
      <c r="LNR1876" s="2730"/>
      <c r="LNS1876" s="2730"/>
      <c r="LNT1876" s="2730"/>
      <c r="LNU1876" s="2730"/>
      <c r="LNV1876" s="2730"/>
      <c r="LNW1876" s="2730"/>
      <c r="LNX1876" s="2730"/>
      <c r="LNY1876" s="2730"/>
      <c r="LNZ1876" s="2730"/>
      <c r="LOA1876" s="2730"/>
      <c r="LOB1876" s="2730"/>
      <c r="LOC1876" s="2730"/>
      <c r="LOD1876" s="2730"/>
      <c r="LOE1876" s="2730"/>
      <c r="LOF1876" s="2730"/>
      <c r="LOG1876" s="2730"/>
      <c r="LOH1876" s="2730"/>
      <c r="LOI1876" s="2730"/>
      <c r="LOJ1876" s="2730"/>
      <c r="LOK1876" s="2730"/>
      <c r="LOL1876" s="2730"/>
      <c r="LOM1876" s="2730"/>
      <c r="LON1876" s="2730"/>
      <c r="LOO1876" s="2730"/>
      <c r="LOP1876" s="2730"/>
      <c r="LOQ1876" s="2730"/>
      <c r="LOR1876" s="2730"/>
      <c r="LOS1876" s="2730"/>
      <c r="LOT1876" s="2730"/>
      <c r="LOU1876" s="2730"/>
      <c r="LOV1876" s="2730"/>
      <c r="LOW1876" s="2730"/>
      <c r="LOX1876" s="2730"/>
      <c r="LOY1876" s="2730"/>
      <c r="LOZ1876" s="2730"/>
      <c r="LPA1876" s="2730"/>
      <c r="LPB1876" s="2730"/>
      <c r="LPC1876" s="2730"/>
      <c r="LPD1876" s="2730"/>
      <c r="LPE1876" s="2730"/>
      <c r="LPF1876" s="2730"/>
      <c r="LPG1876" s="2730"/>
      <c r="LPH1876" s="2730"/>
      <c r="LPI1876" s="2730"/>
      <c r="LPJ1876" s="2730"/>
      <c r="LPK1876" s="2730"/>
      <c r="LPL1876" s="2730"/>
      <c r="LPM1876" s="2730"/>
      <c r="LPN1876" s="2730"/>
      <c r="LPO1876" s="2730"/>
      <c r="LPP1876" s="2730"/>
      <c r="LPQ1876" s="2730"/>
      <c r="LPR1876" s="2730"/>
      <c r="LPS1876" s="2730"/>
      <c r="LPT1876" s="2730"/>
      <c r="LPU1876" s="2730"/>
      <c r="LPV1876" s="2730"/>
      <c r="LPW1876" s="2730"/>
      <c r="LPX1876" s="2730"/>
      <c r="LPY1876" s="2730"/>
      <c r="LPZ1876" s="2730"/>
      <c r="LQA1876" s="2730"/>
      <c r="LQB1876" s="2730"/>
      <c r="LQC1876" s="2730"/>
      <c r="LQD1876" s="2730"/>
      <c r="LQE1876" s="2730"/>
      <c r="LQF1876" s="2730"/>
      <c r="LQG1876" s="2730"/>
      <c r="LQH1876" s="2730"/>
      <c r="LQI1876" s="2730"/>
      <c r="LQJ1876" s="2730"/>
      <c r="LQK1876" s="2730"/>
      <c r="LQL1876" s="2730"/>
      <c r="LQM1876" s="2730"/>
      <c r="LQN1876" s="2730"/>
      <c r="LQO1876" s="2730"/>
      <c r="LQP1876" s="2730"/>
      <c r="LQQ1876" s="2730"/>
      <c r="LQR1876" s="2730"/>
      <c r="LQS1876" s="2730"/>
      <c r="LQT1876" s="2730"/>
      <c r="LQU1876" s="2730"/>
      <c r="LQV1876" s="2730"/>
      <c r="LQW1876" s="2730"/>
      <c r="LQX1876" s="2730"/>
      <c r="LQY1876" s="2730"/>
      <c r="LQZ1876" s="2730"/>
      <c r="LRA1876" s="2730"/>
      <c r="LRB1876" s="2730"/>
      <c r="LRC1876" s="2730"/>
      <c r="LRD1876" s="2730"/>
      <c r="LRE1876" s="2730"/>
      <c r="LRF1876" s="2730"/>
      <c r="LRG1876" s="2730"/>
      <c r="LRH1876" s="2730"/>
      <c r="LRI1876" s="2730"/>
      <c r="LRJ1876" s="2730"/>
      <c r="LRK1876" s="2730"/>
      <c r="LRL1876" s="2730"/>
      <c r="LRM1876" s="2730"/>
      <c r="LRN1876" s="2730"/>
      <c r="LRO1876" s="2730"/>
      <c r="LRP1876" s="2730"/>
      <c r="LRQ1876" s="2730"/>
      <c r="LRR1876" s="2730"/>
      <c r="LRS1876" s="2730"/>
      <c r="LRT1876" s="2730"/>
      <c r="LRU1876" s="2730"/>
      <c r="LRV1876" s="2730"/>
      <c r="LRW1876" s="2730"/>
      <c r="LRX1876" s="2730"/>
      <c r="LRY1876" s="2730"/>
      <c r="LRZ1876" s="2730"/>
      <c r="LSA1876" s="2730"/>
      <c r="LSB1876" s="2730"/>
      <c r="LSC1876" s="2730"/>
      <c r="LSD1876" s="2730"/>
      <c r="LSE1876" s="2730"/>
      <c r="LSF1876" s="2730"/>
      <c r="LSG1876" s="2730"/>
      <c r="LSH1876" s="2730"/>
      <c r="LSI1876" s="2730"/>
      <c r="LSJ1876" s="2730"/>
      <c r="LSK1876" s="2730"/>
      <c r="LSL1876" s="2730"/>
      <c r="LSM1876" s="2730"/>
      <c r="LSN1876" s="2730"/>
      <c r="LSO1876" s="2730"/>
      <c r="LSP1876" s="2730"/>
      <c r="LSQ1876" s="2730"/>
      <c r="LSR1876" s="2730"/>
      <c r="LSS1876" s="2730"/>
      <c r="LST1876" s="2730"/>
      <c r="LSU1876" s="2730"/>
      <c r="LSV1876" s="2730"/>
      <c r="LSW1876" s="2730"/>
      <c r="LSX1876" s="2730"/>
      <c r="LSY1876" s="2730"/>
      <c r="LSZ1876" s="2730"/>
      <c r="LTA1876" s="2730"/>
      <c r="LTB1876" s="2730"/>
      <c r="LTC1876" s="2730"/>
      <c r="LTD1876" s="2730"/>
      <c r="LTE1876" s="2730"/>
      <c r="LTF1876" s="2730"/>
      <c r="LTG1876" s="2730"/>
      <c r="LTH1876" s="2730"/>
      <c r="LTI1876" s="2730"/>
      <c r="LTJ1876" s="2730"/>
      <c r="LTK1876" s="2730"/>
      <c r="LTL1876" s="2730"/>
      <c r="LTM1876" s="2730"/>
      <c r="LTN1876" s="2730"/>
      <c r="LTO1876" s="2730"/>
      <c r="LTP1876" s="2730"/>
      <c r="LTQ1876" s="2730"/>
      <c r="LTR1876" s="2730"/>
      <c r="LTS1876" s="2730"/>
      <c r="LTT1876" s="2730"/>
      <c r="LTU1876" s="2730"/>
      <c r="LTV1876" s="2730"/>
      <c r="LTW1876" s="2730"/>
      <c r="LTX1876" s="2730"/>
      <c r="LTY1876" s="2730"/>
      <c r="LTZ1876" s="2730"/>
      <c r="LUA1876" s="2730"/>
      <c r="LUB1876" s="2730"/>
      <c r="LUC1876" s="2730"/>
      <c r="LUD1876" s="2730"/>
      <c r="LUE1876" s="2730"/>
      <c r="LUF1876" s="2730"/>
      <c r="LUG1876" s="2730"/>
      <c r="LUH1876" s="2730"/>
      <c r="LUI1876" s="2730"/>
      <c r="LUJ1876" s="2730"/>
      <c r="LUK1876" s="2730"/>
      <c r="LUL1876" s="2730"/>
      <c r="LUM1876" s="2730"/>
      <c r="LUN1876" s="2730"/>
      <c r="LUO1876" s="2730"/>
      <c r="LUP1876" s="2730"/>
      <c r="LUQ1876" s="2730"/>
      <c r="LUR1876" s="2730"/>
      <c r="LUS1876" s="2730"/>
      <c r="LUT1876" s="2730"/>
      <c r="LUU1876" s="2730"/>
      <c r="LUV1876" s="2730"/>
      <c r="LUW1876" s="2730"/>
      <c r="LUX1876" s="2730"/>
      <c r="LUY1876" s="2730"/>
      <c r="LUZ1876" s="2730"/>
      <c r="LVA1876" s="2730"/>
      <c r="LVB1876" s="2730"/>
      <c r="LVC1876" s="2730"/>
      <c r="LVD1876" s="2730"/>
      <c r="LVE1876" s="2730"/>
      <c r="LVF1876" s="2730"/>
      <c r="LVG1876" s="2730"/>
      <c r="LVH1876" s="2730"/>
      <c r="LVI1876" s="2730"/>
      <c r="LVJ1876" s="2730"/>
      <c r="LVK1876" s="2730"/>
      <c r="LVL1876" s="2730"/>
      <c r="LVM1876" s="2730"/>
      <c r="LVN1876" s="2730"/>
      <c r="LVO1876" s="2730"/>
      <c r="LVP1876" s="2730"/>
      <c r="LVQ1876" s="2730"/>
      <c r="LVR1876" s="2730"/>
      <c r="LVS1876" s="2730"/>
      <c r="LVT1876" s="2730"/>
      <c r="LVU1876" s="2730"/>
      <c r="LVV1876" s="2730"/>
      <c r="LVW1876" s="2730"/>
      <c r="LVX1876" s="2730"/>
      <c r="LVY1876" s="2730"/>
      <c r="LVZ1876" s="2730"/>
      <c r="LWA1876" s="2730"/>
      <c r="LWB1876" s="2730"/>
      <c r="LWC1876" s="2730"/>
      <c r="LWD1876" s="2730"/>
      <c r="LWE1876" s="2730"/>
      <c r="LWF1876" s="2730"/>
      <c r="LWG1876" s="2730"/>
      <c r="LWH1876" s="2730"/>
      <c r="LWI1876" s="2730"/>
      <c r="LWJ1876" s="2730"/>
      <c r="LWK1876" s="2730"/>
      <c r="LWL1876" s="2730"/>
      <c r="LWM1876" s="2730"/>
      <c r="LWN1876" s="2730"/>
      <c r="LWO1876" s="2730"/>
      <c r="LWP1876" s="2730"/>
      <c r="LWQ1876" s="2730"/>
      <c r="LWR1876" s="2730"/>
      <c r="LWS1876" s="2730"/>
      <c r="LWT1876" s="2730"/>
      <c r="LWU1876" s="2730"/>
      <c r="LWV1876" s="2730"/>
      <c r="LWW1876" s="2730"/>
      <c r="LWX1876" s="2730"/>
      <c r="LWY1876" s="2730"/>
      <c r="LWZ1876" s="2730"/>
      <c r="LXA1876" s="2730"/>
      <c r="LXB1876" s="2730"/>
      <c r="LXC1876" s="2730"/>
      <c r="LXD1876" s="2730"/>
      <c r="LXE1876" s="2730"/>
      <c r="LXF1876" s="2730"/>
      <c r="LXG1876" s="2730"/>
      <c r="LXH1876" s="2730"/>
      <c r="LXI1876" s="2730"/>
      <c r="LXJ1876" s="2730"/>
      <c r="LXK1876" s="2730"/>
      <c r="LXL1876" s="2730"/>
      <c r="LXM1876" s="2730"/>
      <c r="LXN1876" s="2730"/>
      <c r="LXO1876" s="2730"/>
      <c r="LXP1876" s="2730"/>
      <c r="LXQ1876" s="2730"/>
      <c r="LXR1876" s="2730"/>
      <c r="LXS1876" s="2730"/>
      <c r="LXT1876" s="2730"/>
      <c r="LXU1876" s="2730"/>
      <c r="LXV1876" s="2730"/>
      <c r="LXW1876" s="2730"/>
      <c r="LXX1876" s="2730"/>
      <c r="LXY1876" s="2730"/>
      <c r="LXZ1876" s="2730"/>
      <c r="LYA1876" s="2730"/>
      <c r="LYB1876" s="2730"/>
      <c r="LYC1876" s="2730"/>
      <c r="LYD1876" s="2730"/>
      <c r="LYE1876" s="2730"/>
      <c r="LYF1876" s="2730"/>
      <c r="LYG1876" s="2730"/>
      <c r="LYH1876" s="2730"/>
      <c r="LYI1876" s="2730"/>
      <c r="LYJ1876" s="2730"/>
      <c r="LYK1876" s="2730"/>
      <c r="LYL1876" s="2730"/>
      <c r="LYM1876" s="2730"/>
      <c r="LYN1876" s="2730"/>
      <c r="LYO1876" s="2730"/>
      <c r="LYP1876" s="2730"/>
      <c r="LYQ1876" s="2730"/>
      <c r="LYR1876" s="2730"/>
      <c r="LYS1876" s="2730"/>
      <c r="LYT1876" s="2730"/>
      <c r="LYU1876" s="2730"/>
      <c r="LYV1876" s="2730"/>
      <c r="LYW1876" s="2730"/>
      <c r="LYX1876" s="2730"/>
      <c r="LYY1876" s="2730"/>
      <c r="LYZ1876" s="2730"/>
      <c r="LZA1876" s="2730"/>
      <c r="LZB1876" s="2730"/>
      <c r="LZC1876" s="2730"/>
      <c r="LZD1876" s="2730"/>
      <c r="LZE1876" s="2730"/>
      <c r="LZF1876" s="2730"/>
      <c r="LZG1876" s="2730"/>
      <c r="LZH1876" s="2730"/>
      <c r="LZI1876" s="2730"/>
      <c r="LZJ1876" s="2730"/>
      <c r="LZK1876" s="2730"/>
      <c r="LZL1876" s="2730"/>
      <c r="LZM1876" s="2730"/>
      <c r="LZN1876" s="2730"/>
      <c r="LZO1876" s="2730"/>
      <c r="LZP1876" s="2730"/>
      <c r="LZQ1876" s="2730"/>
      <c r="LZR1876" s="2730"/>
      <c r="LZS1876" s="2730"/>
      <c r="LZT1876" s="2730"/>
      <c r="LZU1876" s="2730"/>
      <c r="LZV1876" s="2730"/>
      <c r="LZW1876" s="2730"/>
      <c r="LZX1876" s="2730"/>
      <c r="LZY1876" s="2730"/>
      <c r="LZZ1876" s="2730"/>
      <c r="MAA1876" s="2730"/>
      <c r="MAB1876" s="2730"/>
      <c r="MAC1876" s="2730"/>
      <c r="MAD1876" s="2730"/>
      <c r="MAE1876" s="2730"/>
      <c r="MAF1876" s="2730"/>
      <c r="MAG1876" s="2730"/>
      <c r="MAH1876" s="2730"/>
      <c r="MAI1876" s="2730"/>
      <c r="MAJ1876" s="2730"/>
      <c r="MAK1876" s="2730"/>
      <c r="MAL1876" s="2730"/>
      <c r="MAM1876" s="2730"/>
      <c r="MAN1876" s="2730"/>
      <c r="MAO1876" s="2730"/>
      <c r="MAP1876" s="2730"/>
      <c r="MAQ1876" s="2730"/>
      <c r="MAR1876" s="2730"/>
      <c r="MAS1876" s="2730"/>
      <c r="MAT1876" s="2730"/>
      <c r="MAU1876" s="2730"/>
      <c r="MAV1876" s="2730"/>
      <c r="MAW1876" s="2730"/>
      <c r="MAX1876" s="2730"/>
      <c r="MAY1876" s="2730"/>
      <c r="MAZ1876" s="2730"/>
      <c r="MBA1876" s="2730"/>
      <c r="MBB1876" s="2730"/>
      <c r="MBC1876" s="2730"/>
      <c r="MBD1876" s="2730"/>
      <c r="MBE1876" s="2730"/>
      <c r="MBF1876" s="2730"/>
      <c r="MBG1876" s="2730"/>
      <c r="MBH1876" s="2730"/>
      <c r="MBI1876" s="2730"/>
      <c r="MBJ1876" s="2730"/>
      <c r="MBK1876" s="2730"/>
      <c r="MBL1876" s="2730"/>
      <c r="MBM1876" s="2730"/>
      <c r="MBN1876" s="2730"/>
      <c r="MBO1876" s="2730"/>
      <c r="MBP1876" s="2730"/>
      <c r="MBQ1876" s="2730"/>
      <c r="MBR1876" s="2730"/>
      <c r="MBS1876" s="2730"/>
      <c r="MBT1876" s="2730"/>
      <c r="MBU1876" s="2730"/>
      <c r="MBV1876" s="2730"/>
      <c r="MBW1876" s="2730"/>
      <c r="MBX1876" s="2730"/>
      <c r="MBY1876" s="2730"/>
      <c r="MBZ1876" s="2730"/>
      <c r="MCA1876" s="2730"/>
      <c r="MCB1876" s="2730"/>
      <c r="MCC1876" s="2730"/>
      <c r="MCD1876" s="2730"/>
      <c r="MCE1876" s="2730"/>
      <c r="MCF1876" s="2730"/>
      <c r="MCG1876" s="2730"/>
      <c r="MCH1876" s="2730"/>
      <c r="MCI1876" s="2730"/>
      <c r="MCJ1876" s="2730"/>
      <c r="MCK1876" s="2730"/>
      <c r="MCL1876" s="2730"/>
      <c r="MCM1876" s="2730"/>
      <c r="MCN1876" s="2730"/>
      <c r="MCO1876" s="2730"/>
      <c r="MCP1876" s="2730"/>
      <c r="MCQ1876" s="2730"/>
      <c r="MCR1876" s="2730"/>
      <c r="MCS1876" s="2730"/>
      <c r="MCT1876" s="2730"/>
      <c r="MCU1876" s="2730"/>
      <c r="MCV1876" s="2730"/>
      <c r="MCW1876" s="2730"/>
      <c r="MCX1876" s="2730"/>
      <c r="MCY1876" s="2730"/>
      <c r="MCZ1876" s="2730"/>
      <c r="MDA1876" s="2730"/>
      <c r="MDB1876" s="2730"/>
      <c r="MDC1876" s="2730"/>
      <c r="MDD1876" s="2730"/>
      <c r="MDE1876" s="2730"/>
      <c r="MDF1876" s="2730"/>
      <c r="MDG1876" s="2730"/>
      <c r="MDH1876" s="2730"/>
      <c r="MDI1876" s="2730"/>
      <c r="MDJ1876" s="2730"/>
      <c r="MDK1876" s="2730"/>
      <c r="MDL1876" s="2730"/>
      <c r="MDM1876" s="2730"/>
      <c r="MDN1876" s="2730"/>
      <c r="MDO1876" s="2730"/>
      <c r="MDP1876" s="2730"/>
      <c r="MDQ1876" s="2730"/>
      <c r="MDR1876" s="2730"/>
      <c r="MDS1876" s="2730"/>
      <c r="MDT1876" s="2730"/>
      <c r="MDU1876" s="2730"/>
      <c r="MDV1876" s="2730"/>
      <c r="MDW1876" s="2730"/>
      <c r="MDX1876" s="2730"/>
      <c r="MDY1876" s="2730"/>
      <c r="MDZ1876" s="2730"/>
      <c r="MEA1876" s="2730"/>
      <c r="MEB1876" s="2730"/>
      <c r="MEC1876" s="2730"/>
      <c r="MED1876" s="2730"/>
      <c r="MEE1876" s="2730"/>
      <c r="MEF1876" s="2730"/>
      <c r="MEG1876" s="2730"/>
      <c r="MEH1876" s="2730"/>
      <c r="MEI1876" s="2730"/>
      <c r="MEJ1876" s="2730"/>
      <c r="MEK1876" s="2730"/>
      <c r="MEL1876" s="2730"/>
      <c r="MEM1876" s="2730"/>
      <c r="MEN1876" s="2730"/>
      <c r="MEO1876" s="2730"/>
      <c r="MEP1876" s="2730"/>
      <c r="MEQ1876" s="2730"/>
      <c r="MER1876" s="2730"/>
      <c r="MES1876" s="2730"/>
      <c r="MET1876" s="2730"/>
      <c r="MEU1876" s="2730"/>
      <c r="MEV1876" s="2730"/>
      <c r="MEW1876" s="2730"/>
      <c r="MEX1876" s="2730"/>
      <c r="MEY1876" s="2730"/>
      <c r="MEZ1876" s="2730"/>
      <c r="MFA1876" s="2730"/>
      <c r="MFB1876" s="2730"/>
      <c r="MFC1876" s="2730"/>
      <c r="MFD1876" s="2730"/>
      <c r="MFE1876" s="2730"/>
      <c r="MFF1876" s="2730"/>
      <c r="MFG1876" s="2730"/>
      <c r="MFH1876" s="2730"/>
      <c r="MFI1876" s="2730"/>
      <c r="MFJ1876" s="2730"/>
      <c r="MFK1876" s="2730"/>
      <c r="MFL1876" s="2730"/>
      <c r="MFM1876" s="2730"/>
      <c r="MFN1876" s="2730"/>
      <c r="MFO1876" s="2730"/>
      <c r="MFP1876" s="2730"/>
      <c r="MFQ1876" s="2730"/>
      <c r="MFR1876" s="2730"/>
      <c r="MFS1876" s="2730"/>
      <c r="MFT1876" s="2730"/>
      <c r="MFU1876" s="2730"/>
      <c r="MFV1876" s="2730"/>
      <c r="MFW1876" s="2730"/>
      <c r="MFX1876" s="2730"/>
      <c r="MFY1876" s="2730"/>
      <c r="MFZ1876" s="2730"/>
      <c r="MGA1876" s="2730"/>
      <c r="MGB1876" s="2730"/>
      <c r="MGC1876" s="2730"/>
      <c r="MGD1876" s="2730"/>
      <c r="MGE1876" s="2730"/>
      <c r="MGF1876" s="2730"/>
      <c r="MGG1876" s="2730"/>
      <c r="MGH1876" s="2730"/>
      <c r="MGI1876" s="2730"/>
      <c r="MGJ1876" s="2730"/>
      <c r="MGK1876" s="2730"/>
      <c r="MGL1876" s="2730"/>
      <c r="MGM1876" s="2730"/>
      <c r="MGN1876" s="2730"/>
      <c r="MGO1876" s="2730"/>
      <c r="MGP1876" s="2730"/>
      <c r="MGQ1876" s="2730"/>
      <c r="MGR1876" s="2730"/>
      <c r="MGS1876" s="2730"/>
      <c r="MGT1876" s="2730"/>
      <c r="MGU1876" s="2730"/>
      <c r="MGV1876" s="2730"/>
      <c r="MGW1876" s="2730"/>
      <c r="MGX1876" s="2730"/>
      <c r="MGY1876" s="2730"/>
      <c r="MGZ1876" s="2730"/>
      <c r="MHA1876" s="2730"/>
      <c r="MHB1876" s="2730"/>
      <c r="MHC1876" s="2730"/>
      <c r="MHD1876" s="2730"/>
      <c r="MHE1876" s="2730"/>
      <c r="MHF1876" s="2730"/>
      <c r="MHG1876" s="2730"/>
      <c r="MHH1876" s="2730"/>
      <c r="MHI1876" s="2730"/>
      <c r="MHJ1876" s="2730"/>
      <c r="MHK1876" s="2730"/>
      <c r="MHL1876" s="2730"/>
      <c r="MHM1876" s="2730"/>
      <c r="MHN1876" s="2730"/>
      <c r="MHO1876" s="2730"/>
      <c r="MHP1876" s="2730"/>
      <c r="MHQ1876" s="2730"/>
      <c r="MHR1876" s="2730"/>
      <c r="MHS1876" s="2730"/>
      <c r="MHT1876" s="2730"/>
      <c r="MHU1876" s="2730"/>
      <c r="MHV1876" s="2730"/>
      <c r="MHW1876" s="2730"/>
      <c r="MHX1876" s="2730"/>
      <c r="MHY1876" s="2730"/>
      <c r="MHZ1876" s="2730"/>
      <c r="MIA1876" s="2730"/>
      <c r="MIB1876" s="2730"/>
      <c r="MIC1876" s="2730"/>
      <c r="MID1876" s="2730"/>
      <c r="MIE1876" s="2730"/>
      <c r="MIF1876" s="2730"/>
      <c r="MIG1876" s="2730"/>
      <c r="MIH1876" s="2730"/>
      <c r="MII1876" s="2730"/>
      <c r="MIJ1876" s="2730"/>
      <c r="MIK1876" s="2730"/>
      <c r="MIL1876" s="2730"/>
      <c r="MIM1876" s="2730"/>
      <c r="MIN1876" s="2730"/>
      <c r="MIO1876" s="2730"/>
      <c r="MIP1876" s="2730"/>
      <c r="MIQ1876" s="2730"/>
      <c r="MIR1876" s="2730"/>
      <c r="MIS1876" s="2730"/>
      <c r="MIT1876" s="2730"/>
      <c r="MIU1876" s="2730"/>
      <c r="MIV1876" s="2730"/>
      <c r="MIW1876" s="2730"/>
      <c r="MIX1876" s="2730"/>
      <c r="MIY1876" s="2730"/>
      <c r="MIZ1876" s="2730"/>
      <c r="MJA1876" s="2730"/>
      <c r="MJB1876" s="2730"/>
      <c r="MJC1876" s="2730"/>
      <c r="MJD1876" s="2730"/>
      <c r="MJE1876" s="2730"/>
      <c r="MJF1876" s="2730"/>
      <c r="MJG1876" s="2730"/>
      <c r="MJH1876" s="2730"/>
      <c r="MJI1876" s="2730"/>
      <c r="MJJ1876" s="2730"/>
      <c r="MJK1876" s="2730"/>
      <c r="MJL1876" s="2730"/>
      <c r="MJM1876" s="2730"/>
      <c r="MJN1876" s="2730"/>
      <c r="MJO1876" s="2730"/>
      <c r="MJP1876" s="2730"/>
      <c r="MJQ1876" s="2730"/>
      <c r="MJR1876" s="2730"/>
      <c r="MJS1876" s="2730"/>
      <c r="MJT1876" s="2730"/>
      <c r="MJU1876" s="2730"/>
      <c r="MJV1876" s="2730"/>
      <c r="MJW1876" s="2730"/>
      <c r="MJX1876" s="2730"/>
      <c r="MJY1876" s="2730"/>
      <c r="MJZ1876" s="2730"/>
      <c r="MKA1876" s="2730"/>
      <c r="MKB1876" s="2730"/>
      <c r="MKC1876" s="2730"/>
      <c r="MKD1876" s="2730"/>
      <c r="MKE1876" s="2730"/>
      <c r="MKF1876" s="2730"/>
      <c r="MKG1876" s="2730"/>
      <c r="MKH1876" s="2730"/>
      <c r="MKI1876" s="2730"/>
      <c r="MKJ1876" s="2730"/>
      <c r="MKK1876" s="2730"/>
      <c r="MKL1876" s="2730"/>
      <c r="MKM1876" s="2730"/>
      <c r="MKN1876" s="2730"/>
      <c r="MKO1876" s="2730"/>
      <c r="MKP1876" s="2730"/>
      <c r="MKQ1876" s="2730"/>
      <c r="MKR1876" s="2730"/>
      <c r="MKS1876" s="2730"/>
      <c r="MKT1876" s="2730"/>
      <c r="MKU1876" s="2730"/>
      <c r="MKV1876" s="2730"/>
      <c r="MKW1876" s="2730"/>
      <c r="MKX1876" s="2730"/>
      <c r="MKY1876" s="2730"/>
      <c r="MKZ1876" s="2730"/>
      <c r="MLA1876" s="2730"/>
      <c r="MLB1876" s="2730"/>
      <c r="MLC1876" s="2730"/>
      <c r="MLD1876" s="2730"/>
      <c r="MLE1876" s="2730"/>
      <c r="MLF1876" s="2730"/>
      <c r="MLG1876" s="2730"/>
      <c r="MLH1876" s="2730"/>
      <c r="MLI1876" s="2730"/>
      <c r="MLJ1876" s="2730"/>
      <c r="MLK1876" s="2730"/>
      <c r="MLL1876" s="2730"/>
      <c r="MLM1876" s="2730"/>
      <c r="MLN1876" s="2730"/>
      <c r="MLO1876" s="2730"/>
      <c r="MLP1876" s="2730"/>
      <c r="MLQ1876" s="2730"/>
      <c r="MLR1876" s="2730"/>
      <c r="MLS1876" s="2730"/>
      <c r="MLT1876" s="2730"/>
      <c r="MLU1876" s="2730"/>
      <c r="MLV1876" s="2730"/>
      <c r="MLW1876" s="2730"/>
      <c r="MLX1876" s="2730"/>
      <c r="MLY1876" s="2730"/>
      <c r="MLZ1876" s="2730"/>
      <c r="MMA1876" s="2730"/>
      <c r="MMB1876" s="2730"/>
      <c r="MMC1876" s="2730"/>
      <c r="MMD1876" s="2730"/>
      <c r="MME1876" s="2730"/>
      <c r="MMF1876" s="2730"/>
      <c r="MMG1876" s="2730"/>
      <c r="MMH1876" s="2730"/>
      <c r="MMI1876" s="2730"/>
      <c r="MMJ1876" s="2730"/>
      <c r="MMK1876" s="2730"/>
      <c r="MML1876" s="2730"/>
      <c r="MMM1876" s="2730"/>
      <c r="MMN1876" s="2730"/>
      <c r="MMO1876" s="2730"/>
      <c r="MMP1876" s="2730"/>
      <c r="MMQ1876" s="2730"/>
      <c r="MMR1876" s="2730"/>
      <c r="MMS1876" s="2730"/>
      <c r="MMT1876" s="2730"/>
      <c r="MMU1876" s="2730"/>
      <c r="MMV1876" s="2730"/>
      <c r="MMW1876" s="2730"/>
      <c r="MMX1876" s="2730"/>
      <c r="MMY1876" s="2730"/>
      <c r="MMZ1876" s="2730"/>
      <c r="MNA1876" s="2730"/>
      <c r="MNB1876" s="2730"/>
      <c r="MNC1876" s="2730"/>
      <c r="MND1876" s="2730"/>
      <c r="MNE1876" s="2730"/>
      <c r="MNF1876" s="2730"/>
      <c r="MNG1876" s="2730"/>
      <c r="MNH1876" s="2730"/>
      <c r="MNI1876" s="2730"/>
      <c r="MNJ1876" s="2730"/>
      <c r="MNK1876" s="2730"/>
      <c r="MNL1876" s="2730"/>
      <c r="MNM1876" s="2730"/>
      <c r="MNN1876" s="2730"/>
      <c r="MNO1876" s="2730"/>
      <c r="MNP1876" s="2730"/>
      <c r="MNQ1876" s="2730"/>
      <c r="MNR1876" s="2730"/>
      <c r="MNS1876" s="2730"/>
      <c r="MNT1876" s="2730"/>
      <c r="MNU1876" s="2730"/>
      <c r="MNV1876" s="2730"/>
      <c r="MNW1876" s="2730"/>
      <c r="MNX1876" s="2730"/>
      <c r="MNY1876" s="2730"/>
      <c r="MNZ1876" s="2730"/>
      <c r="MOA1876" s="2730"/>
      <c r="MOB1876" s="2730"/>
      <c r="MOC1876" s="2730"/>
      <c r="MOD1876" s="2730"/>
      <c r="MOE1876" s="2730"/>
      <c r="MOF1876" s="2730"/>
      <c r="MOG1876" s="2730"/>
      <c r="MOH1876" s="2730"/>
      <c r="MOI1876" s="2730"/>
      <c r="MOJ1876" s="2730"/>
      <c r="MOK1876" s="2730"/>
      <c r="MOL1876" s="2730"/>
      <c r="MOM1876" s="2730"/>
      <c r="MON1876" s="2730"/>
      <c r="MOO1876" s="2730"/>
      <c r="MOP1876" s="2730"/>
      <c r="MOQ1876" s="2730"/>
      <c r="MOR1876" s="2730"/>
      <c r="MOS1876" s="2730"/>
      <c r="MOT1876" s="2730"/>
      <c r="MOU1876" s="2730"/>
      <c r="MOV1876" s="2730"/>
      <c r="MOW1876" s="2730"/>
      <c r="MOX1876" s="2730"/>
      <c r="MOY1876" s="2730"/>
      <c r="MOZ1876" s="2730"/>
      <c r="MPA1876" s="2730"/>
      <c r="MPB1876" s="2730"/>
      <c r="MPC1876" s="2730"/>
      <c r="MPD1876" s="2730"/>
      <c r="MPE1876" s="2730"/>
      <c r="MPF1876" s="2730"/>
      <c r="MPG1876" s="2730"/>
      <c r="MPH1876" s="2730"/>
      <c r="MPI1876" s="2730"/>
      <c r="MPJ1876" s="2730"/>
      <c r="MPK1876" s="2730"/>
      <c r="MPL1876" s="2730"/>
      <c r="MPM1876" s="2730"/>
      <c r="MPN1876" s="2730"/>
      <c r="MPO1876" s="2730"/>
      <c r="MPP1876" s="2730"/>
      <c r="MPQ1876" s="2730"/>
      <c r="MPR1876" s="2730"/>
      <c r="MPS1876" s="2730"/>
      <c r="MPT1876" s="2730"/>
      <c r="MPU1876" s="2730"/>
      <c r="MPV1876" s="2730"/>
      <c r="MPW1876" s="2730"/>
      <c r="MPX1876" s="2730"/>
      <c r="MPY1876" s="2730"/>
      <c r="MPZ1876" s="2730"/>
      <c r="MQA1876" s="2730"/>
      <c r="MQB1876" s="2730"/>
      <c r="MQC1876" s="2730"/>
      <c r="MQD1876" s="2730"/>
      <c r="MQE1876" s="2730"/>
      <c r="MQF1876" s="2730"/>
      <c r="MQG1876" s="2730"/>
      <c r="MQH1876" s="2730"/>
      <c r="MQI1876" s="2730"/>
      <c r="MQJ1876" s="2730"/>
      <c r="MQK1876" s="2730"/>
      <c r="MQL1876" s="2730"/>
      <c r="MQM1876" s="2730"/>
      <c r="MQN1876" s="2730"/>
      <c r="MQO1876" s="2730"/>
      <c r="MQP1876" s="2730"/>
      <c r="MQQ1876" s="2730"/>
      <c r="MQR1876" s="2730"/>
      <c r="MQS1876" s="2730"/>
      <c r="MQT1876" s="2730"/>
      <c r="MQU1876" s="2730"/>
      <c r="MQV1876" s="2730"/>
      <c r="MQW1876" s="2730"/>
      <c r="MQX1876" s="2730"/>
      <c r="MQY1876" s="2730"/>
      <c r="MQZ1876" s="2730"/>
      <c r="MRA1876" s="2730"/>
      <c r="MRB1876" s="2730"/>
      <c r="MRC1876" s="2730"/>
      <c r="MRD1876" s="2730"/>
      <c r="MRE1876" s="2730"/>
      <c r="MRF1876" s="2730"/>
      <c r="MRG1876" s="2730"/>
      <c r="MRH1876" s="2730"/>
      <c r="MRI1876" s="2730"/>
      <c r="MRJ1876" s="2730"/>
      <c r="MRK1876" s="2730"/>
      <c r="MRL1876" s="2730"/>
      <c r="MRM1876" s="2730"/>
      <c r="MRN1876" s="2730"/>
      <c r="MRO1876" s="2730"/>
      <c r="MRP1876" s="2730"/>
      <c r="MRQ1876" s="2730"/>
      <c r="MRR1876" s="2730"/>
      <c r="MRS1876" s="2730"/>
      <c r="MRT1876" s="2730"/>
      <c r="MRU1876" s="2730"/>
      <c r="MRV1876" s="2730"/>
      <c r="MRW1876" s="2730"/>
      <c r="MRX1876" s="2730"/>
      <c r="MRY1876" s="2730"/>
      <c r="MRZ1876" s="2730"/>
      <c r="MSA1876" s="2730"/>
      <c r="MSB1876" s="2730"/>
      <c r="MSC1876" s="2730"/>
      <c r="MSD1876" s="2730"/>
      <c r="MSE1876" s="2730"/>
      <c r="MSF1876" s="2730"/>
      <c r="MSG1876" s="2730"/>
      <c r="MSH1876" s="2730"/>
      <c r="MSI1876" s="2730"/>
      <c r="MSJ1876" s="2730"/>
      <c r="MSK1876" s="2730"/>
      <c r="MSL1876" s="2730"/>
      <c r="MSM1876" s="2730"/>
      <c r="MSN1876" s="2730"/>
      <c r="MSO1876" s="2730"/>
      <c r="MSP1876" s="2730"/>
      <c r="MSQ1876" s="2730"/>
      <c r="MSR1876" s="2730"/>
      <c r="MSS1876" s="2730"/>
      <c r="MST1876" s="2730"/>
      <c r="MSU1876" s="2730"/>
      <c r="MSV1876" s="2730"/>
      <c r="MSW1876" s="2730"/>
      <c r="MSX1876" s="2730"/>
      <c r="MSY1876" s="2730"/>
      <c r="MSZ1876" s="2730"/>
      <c r="MTA1876" s="2730"/>
      <c r="MTB1876" s="2730"/>
      <c r="MTC1876" s="2730"/>
      <c r="MTD1876" s="2730"/>
      <c r="MTE1876" s="2730"/>
      <c r="MTF1876" s="2730"/>
      <c r="MTG1876" s="2730"/>
      <c r="MTH1876" s="2730"/>
      <c r="MTI1876" s="2730"/>
      <c r="MTJ1876" s="2730"/>
      <c r="MTK1876" s="2730"/>
      <c r="MTL1876" s="2730"/>
      <c r="MTM1876" s="2730"/>
      <c r="MTN1876" s="2730"/>
      <c r="MTO1876" s="2730"/>
      <c r="MTP1876" s="2730"/>
      <c r="MTQ1876" s="2730"/>
      <c r="MTR1876" s="2730"/>
      <c r="MTS1876" s="2730"/>
      <c r="MTT1876" s="2730"/>
      <c r="MTU1876" s="2730"/>
      <c r="MTV1876" s="2730"/>
      <c r="MTW1876" s="2730"/>
      <c r="MTX1876" s="2730"/>
      <c r="MTY1876" s="2730"/>
      <c r="MTZ1876" s="2730"/>
      <c r="MUA1876" s="2730"/>
      <c r="MUB1876" s="2730"/>
      <c r="MUC1876" s="2730"/>
      <c r="MUD1876" s="2730"/>
      <c r="MUE1876" s="2730"/>
      <c r="MUF1876" s="2730"/>
      <c r="MUG1876" s="2730"/>
      <c r="MUH1876" s="2730"/>
      <c r="MUI1876" s="2730"/>
      <c r="MUJ1876" s="2730"/>
      <c r="MUK1876" s="2730"/>
      <c r="MUL1876" s="2730"/>
      <c r="MUM1876" s="2730"/>
      <c r="MUN1876" s="2730"/>
      <c r="MUO1876" s="2730"/>
      <c r="MUP1876" s="2730"/>
      <c r="MUQ1876" s="2730"/>
      <c r="MUR1876" s="2730"/>
      <c r="MUS1876" s="2730"/>
      <c r="MUT1876" s="2730"/>
      <c r="MUU1876" s="2730"/>
      <c r="MUV1876" s="2730"/>
      <c r="MUW1876" s="2730"/>
      <c r="MUX1876" s="2730"/>
      <c r="MUY1876" s="2730"/>
      <c r="MUZ1876" s="2730"/>
      <c r="MVA1876" s="2730"/>
      <c r="MVB1876" s="2730"/>
      <c r="MVC1876" s="2730"/>
      <c r="MVD1876" s="2730"/>
      <c r="MVE1876" s="2730"/>
      <c r="MVF1876" s="2730"/>
      <c r="MVG1876" s="2730"/>
      <c r="MVH1876" s="2730"/>
      <c r="MVI1876" s="2730"/>
      <c r="MVJ1876" s="2730"/>
      <c r="MVK1876" s="2730"/>
      <c r="MVL1876" s="2730"/>
      <c r="MVM1876" s="2730"/>
      <c r="MVN1876" s="2730"/>
      <c r="MVO1876" s="2730"/>
      <c r="MVP1876" s="2730"/>
      <c r="MVQ1876" s="2730"/>
      <c r="MVR1876" s="2730"/>
      <c r="MVS1876" s="2730"/>
      <c r="MVT1876" s="2730"/>
      <c r="MVU1876" s="2730"/>
      <c r="MVV1876" s="2730"/>
      <c r="MVW1876" s="2730"/>
      <c r="MVX1876" s="2730"/>
      <c r="MVY1876" s="2730"/>
      <c r="MVZ1876" s="2730"/>
      <c r="MWA1876" s="2730"/>
      <c r="MWB1876" s="2730"/>
      <c r="MWC1876" s="2730"/>
      <c r="MWD1876" s="2730"/>
      <c r="MWE1876" s="2730"/>
      <c r="MWF1876" s="2730"/>
      <c r="MWG1876" s="2730"/>
      <c r="MWH1876" s="2730"/>
      <c r="MWI1876" s="2730"/>
      <c r="MWJ1876" s="2730"/>
      <c r="MWK1876" s="2730"/>
      <c r="MWL1876" s="2730"/>
      <c r="MWM1876" s="2730"/>
      <c r="MWN1876" s="2730"/>
      <c r="MWO1876" s="2730"/>
      <c r="MWP1876" s="2730"/>
      <c r="MWQ1876" s="2730"/>
      <c r="MWR1876" s="2730"/>
      <c r="MWS1876" s="2730"/>
      <c r="MWT1876" s="2730"/>
      <c r="MWU1876" s="2730"/>
      <c r="MWV1876" s="2730"/>
      <c r="MWW1876" s="2730"/>
      <c r="MWX1876" s="2730"/>
      <c r="MWY1876" s="2730"/>
      <c r="MWZ1876" s="2730"/>
      <c r="MXA1876" s="2730"/>
      <c r="MXB1876" s="2730"/>
      <c r="MXC1876" s="2730"/>
      <c r="MXD1876" s="2730"/>
      <c r="MXE1876" s="2730"/>
      <c r="MXF1876" s="2730"/>
      <c r="MXG1876" s="2730"/>
      <c r="MXH1876" s="2730"/>
      <c r="MXI1876" s="2730"/>
      <c r="MXJ1876" s="2730"/>
      <c r="MXK1876" s="2730"/>
      <c r="MXL1876" s="2730"/>
      <c r="MXM1876" s="2730"/>
      <c r="MXN1876" s="2730"/>
      <c r="MXO1876" s="2730"/>
      <c r="MXP1876" s="2730"/>
      <c r="MXQ1876" s="2730"/>
      <c r="MXR1876" s="2730"/>
      <c r="MXS1876" s="2730"/>
      <c r="MXT1876" s="2730"/>
      <c r="MXU1876" s="2730"/>
      <c r="MXV1876" s="2730"/>
      <c r="MXW1876" s="2730"/>
      <c r="MXX1876" s="2730"/>
      <c r="MXY1876" s="2730"/>
      <c r="MXZ1876" s="2730"/>
      <c r="MYA1876" s="2730"/>
      <c r="MYB1876" s="2730"/>
      <c r="MYC1876" s="2730"/>
      <c r="MYD1876" s="2730"/>
      <c r="MYE1876" s="2730"/>
      <c r="MYF1876" s="2730"/>
      <c r="MYG1876" s="2730"/>
      <c r="MYH1876" s="2730"/>
      <c r="MYI1876" s="2730"/>
      <c r="MYJ1876" s="2730"/>
      <c r="MYK1876" s="2730"/>
      <c r="MYL1876" s="2730"/>
      <c r="MYM1876" s="2730"/>
      <c r="MYN1876" s="2730"/>
      <c r="MYO1876" s="2730"/>
      <c r="MYP1876" s="2730"/>
      <c r="MYQ1876" s="2730"/>
      <c r="MYR1876" s="2730"/>
      <c r="MYS1876" s="2730"/>
      <c r="MYT1876" s="2730"/>
      <c r="MYU1876" s="2730"/>
      <c r="MYV1876" s="2730"/>
      <c r="MYW1876" s="2730"/>
      <c r="MYX1876" s="2730"/>
      <c r="MYY1876" s="2730"/>
      <c r="MYZ1876" s="2730"/>
      <c r="MZA1876" s="2730"/>
      <c r="MZB1876" s="2730"/>
      <c r="MZC1876" s="2730"/>
      <c r="MZD1876" s="2730"/>
      <c r="MZE1876" s="2730"/>
      <c r="MZF1876" s="2730"/>
      <c r="MZG1876" s="2730"/>
      <c r="MZH1876" s="2730"/>
      <c r="MZI1876" s="2730"/>
      <c r="MZJ1876" s="2730"/>
      <c r="MZK1876" s="2730"/>
      <c r="MZL1876" s="2730"/>
      <c r="MZM1876" s="2730"/>
      <c r="MZN1876" s="2730"/>
      <c r="MZO1876" s="2730"/>
      <c r="MZP1876" s="2730"/>
      <c r="MZQ1876" s="2730"/>
      <c r="MZR1876" s="2730"/>
      <c r="MZS1876" s="2730"/>
      <c r="MZT1876" s="2730"/>
      <c r="MZU1876" s="2730"/>
      <c r="MZV1876" s="2730"/>
      <c r="MZW1876" s="2730"/>
      <c r="MZX1876" s="2730"/>
      <c r="MZY1876" s="2730"/>
      <c r="MZZ1876" s="2730"/>
      <c r="NAA1876" s="2730"/>
      <c r="NAB1876" s="2730"/>
      <c r="NAC1876" s="2730"/>
      <c r="NAD1876" s="2730"/>
      <c r="NAE1876" s="2730"/>
      <c r="NAF1876" s="2730"/>
      <c r="NAG1876" s="2730"/>
      <c r="NAH1876" s="2730"/>
      <c r="NAI1876" s="2730"/>
      <c r="NAJ1876" s="2730"/>
      <c r="NAK1876" s="2730"/>
      <c r="NAL1876" s="2730"/>
      <c r="NAM1876" s="2730"/>
      <c r="NAN1876" s="2730"/>
      <c r="NAO1876" s="2730"/>
      <c r="NAP1876" s="2730"/>
      <c r="NAQ1876" s="2730"/>
      <c r="NAR1876" s="2730"/>
      <c r="NAS1876" s="2730"/>
      <c r="NAT1876" s="2730"/>
      <c r="NAU1876" s="2730"/>
      <c r="NAV1876" s="2730"/>
      <c r="NAW1876" s="2730"/>
      <c r="NAX1876" s="2730"/>
      <c r="NAY1876" s="2730"/>
      <c r="NAZ1876" s="2730"/>
      <c r="NBA1876" s="2730"/>
      <c r="NBB1876" s="2730"/>
      <c r="NBC1876" s="2730"/>
      <c r="NBD1876" s="2730"/>
      <c r="NBE1876" s="2730"/>
      <c r="NBF1876" s="2730"/>
      <c r="NBG1876" s="2730"/>
      <c r="NBH1876" s="2730"/>
      <c r="NBI1876" s="2730"/>
      <c r="NBJ1876" s="2730"/>
      <c r="NBK1876" s="2730"/>
      <c r="NBL1876" s="2730"/>
      <c r="NBM1876" s="2730"/>
      <c r="NBN1876" s="2730"/>
      <c r="NBO1876" s="2730"/>
      <c r="NBP1876" s="2730"/>
      <c r="NBQ1876" s="2730"/>
      <c r="NBR1876" s="2730"/>
      <c r="NBS1876" s="2730"/>
      <c r="NBT1876" s="2730"/>
      <c r="NBU1876" s="2730"/>
      <c r="NBV1876" s="2730"/>
      <c r="NBW1876" s="2730"/>
      <c r="NBX1876" s="2730"/>
      <c r="NBY1876" s="2730"/>
      <c r="NBZ1876" s="2730"/>
      <c r="NCA1876" s="2730"/>
      <c r="NCB1876" s="2730"/>
      <c r="NCC1876" s="2730"/>
      <c r="NCD1876" s="2730"/>
      <c r="NCE1876" s="2730"/>
      <c r="NCF1876" s="2730"/>
      <c r="NCG1876" s="2730"/>
      <c r="NCH1876" s="2730"/>
      <c r="NCI1876" s="2730"/>
      <c r="NCJ1876" s="2730"/>
      <c r="NCK1876" s="2730"/>
      <c r="NCL1876" s="2730"/>
      <c r="NCM1876" s="2730"/>
      <c r="NCN1876" s="2730"/>
      <c r="NCO1876" s="2730"/>
      <c r="NCP1876" s="2730"/>
      <c r="NCQ1876" s="2730"/>
      <c r="NCR1876" s="2730"/>
      <c r="NCS1876" s="2730"/>
      <c r="NCT1876" s="2730"/>
      <c r="NCU1876" s="2730"/>
      <c r="NCV1876" s="2730"/>
      <c r="NCW1876" s="2730"/>
      <c r="NCX1876" s="2730"/>
      <c r="NCY1876" s="2730"/>
      <c r="NCZ1876" s="2730"/>
      <c r="NDA1876" s="2730"/>
      <c r="NDB1876" s="2730"/>
      <c r="NDC1876" s="2730"/>
      <c r="NDD1876" s="2730"/>
      <c r="NDE1876" s="2730"/>
      <c r="NDF1876" s="2730"/>
      <c r="NDG1876" s="2730"/>
      <c r="NDH1876" s="2730"/>
      <c r="NDI1876" s="2730"/>
      <c r="NDJ1876" s="2730"/>
      <c r="NDK1876" s="2730"/>
      <c r="NDL1876" s="2730"/>
      <c r="NDM1876" s="2730"/>
      <c r="NDN1876" s="2730"/>
      <c r="NDO1876" s="2730"/>
      <c r="NDP1876" s="2730"/>
      <c r="NDQ1876" s="2730"/>
      <c r="NDR1876" s="2730"/>
      <c r="NDS1876" s="2730"/>
      <c r="NDT1876" s="2730"/>
      <c r="NDU1876" s="2730"/>
      <c r="NDV1876" s="2730"/>
      <c r="NDW1876" s="2730"/>
      <c r="NDX1876" s="2730"/>
      <c r="NDY1876" s="2730"/>
      <c r="NDZ1876" s="2730"/>
      <c r="NEA1876" s="2730"/>
      <c r="NEB1876" s="2730"/>
      <c r="NEC1876" s="2730"/>
      <c r="NED1876" s="2730"/>
      <c r="NEE1876" s="2730"/>
      <c r="NEF1876" s="2730"/>
      <c r="NEG1876" s="2730"/>
      <c r="NEH1876" s="2730"/>
      <c r="NEI1876" s="2730"/>
      <c r="NEJ1876" s="2730"/>
      <c r="NEK1876" s="2730"/>
      <c r="NEL1876" s="2730"/>
      <c r="NEM1876" s="2730"/>
      <c r="NEN1876" s="2730"/>
      <c r="NEO1876" s="2730"/>
      <c r="NEP1876" s="2730"/>
      <c r="NEQ1876" s="2730"/>
      <c r="NER1876" s="2730"/>
      <c r="NES1876" s="2730"/>
      <c r="NET1876" s="2730"/>
      <c r="NEU1876" s="2730"/>
      <c r="NEV1876" s="2730"/>
      <c r="NEW1876" s="2730"/>
      <c r="NEX1876" s="2730"/>
      <c r="NEY1876" s="2730"/>
      <c r="NEZ1876" s="2730"/>
      <c r="NFA1876" s="2730"/>
      <c r="NFB1876" s="2730"/>
      <c r="NFC1876" s="2730"/>
      <c r="NFD1876" s="2730"/>
      <c r="NFE1876" s="2730"/>
      <c r="NFF1876" s="2730"/>
      <c r="NFG1876" s="2730"/>
      <c r="NFH1876" s="2730"/>
      <c r="NFI1876" s="2730"/>
      <c r="NFJ1876" s="2730"/>
      <c r="NFK1876" s="2730"/>
      <c r="NFL1876" s="2730"/>
      <c r="NFM1876" s="2730"/>
      <c r="NFN1876" s="2730"/>
      <c r="NFO1876" s="2730"/>
      <c r="NFP1876" s="2730"/>
      <c r="NFQ1876" s="2730"/>
      <c r="NFR1876" s="2730"/>
      <c r="NFS1876" s="2730"/>
      <c r="NFT1876" s="2730"/>
      <c r="NFU1876" s="2730"/>
      <c r="NFV1876" s="2730"/>
      <c r="NFW1876" s="2730"/>
      <c r="NFX1876" s="2730"/>
      <c r="NFY1876" s="2730"/>
      <c r="NFZ1876" s="2730"/>
      <c r="NGA1876" s="2730"/>
      <c r="NGB1876" s="2730"/>
      <c r="NGC1876" s="2730"/>
      <c r="NGD1876" s="2730"/>
      <c r="NGE1876" s="2730"/>
      <c r="NGF1876" s="2730"/>
      <c r="NGG1876" s="2730"/>
      <c r="NGH1876" s="2730"/>
      <c r="NGI1876" s="2730"/>
      <c r="NGJ1876" s="2730"/>
      <c r="NGK1876" s="2730"/>
      <c r="NGL1876" s="2730"/>
      <c r="NGM1876" s="2730"/>
      <c r="NGN1876" s="2730"/>
      <c r="NGO1876" s="2730"/>
      <c r="NGP1876" s="2730"/>
      <c r="NGQ1876" s="2730"/>
      <c r="NGR1876" s="2730"/>
      <c r="NGS1876" s="2730"/>
      <c r="NGT1876" s="2730"/>
      <c r="NGU1876" s="2730"/>
      <c r="NGV1876" s="2730"/>
      <c r="NGW1876" s="2730"/>
      <c r="NGX1876" s="2730"/>
      <c r="NGY1876" s="2730"/>
      <c r="NGZ1876" s="2730"/>
      <c r="NHA1876" s="2730"/>
      <c r="NHB1876" s="2730"/>
      <c r="NHC1876" s="2730"/>
      <c r="NHD1876" s="2730"/>
      <c r="NHE1876" s="2730"/>
      <c r="NHF1876" s="2730"/>
      <c r="NHG1876" s="2730"/>
      <c r="NHH1876" s="2730"/>
      <c r="NHI1876" s="2730"/>
      <c r="NHJ1876" s="2730"/>
      <c r="NHK1876" s="2730"/>
      <c r="NHL1876" s="2730"/>
      <c r="NHM1876" s="2730"/>
      <c r="NHN1876" s="2730"/>
      <c r="NHO1876" s="2730"/>
      <c r="NHP1876" s="2730"/>
      <c r="NHQ1876" s="2730"/>
      <c r="NHR1876" s="2730"/>
      <c r="NHS1876" s="2730"/>
      <c r="NHT1876" s="2730"/>
      <c r="NHU1876" s="2730"/>
      <c r="NHV1876" s="2730"/>
      <c r="NHW1876" s="2730"/>
      <c r="NHX1876" s="2730"/>
      <c r="NHY1876" s="2730"/>
      <c r="NHZ1876" s="2730"/>
      <c r="NIA1876" s="2730"/>
      <c r="NIB1876" s="2730"/>
      <c r="NIC1876" s="2730"/>
      <c r="NID1876" s="2730"/>
      <c r="NIE1876" s="2730"/>
      <c r="NIF1876" s="2730"/>
      <c r="NIG1876" s="2730"/>
      <c r="NIH1876" s="2730"/>
      <c r="NII1876" s="2730"/>
      <c r="NIJ1876" s="2730"/>
      <c r="NIK1876" s="2730"/>
      <c r="NIL1876" s="2730"/>
      <c r="NIM1876" s="2730"/>
      <c r="NIN1876" s="2730"/>
      <c r="NIO1876" s="2730"/>
      <c r="NIP1876" s="2730"/>
      <c r="NIQ1876" s="2730"/>
      <c r="NIR1876" s="2730"/>
      <c r="NIS1876" s="2730"/>
      <c r="NIT1876" s="2730"/>
      <c r="NIU1876" s="2730"/>
      <c r="NIV1876" s="2730"/>
      <c r="NIW1876" s="2730"/>
      <c r="NIX1876" s="2730"/>
      <c r="NIY1876" s="2730"/>
      <c r="NIZ1876" s="2730"/>
      <c r="NJA1876" s="2730"/>
      <c r="NJB1876" s="2730"/>
      <c r="NJC1876" s="2730"/>
      <c r="NJD1876" s="2730"/>
      <c r="NJE1876" s="2730"/>
      <c r="NJF1876" s="2730"/>
      <c r="NJG1876" s="2730"/>
      <c r="NJH1876" s="2730"/>
      <c r="NJI1876" s="2730"/>
      <c r="NJJ1876" s="2730"/>
      <c r="NJK1876" s="2730"/>
      <c r="NJL1876" s="2730"/>
      <c r="NJM1876" s="2730"/>
      <c r="NJN1876" s="2730"/>
      <c r="NJO1876" s="2730"/>
      <c r="NJP1876" s="2730"/>
      <c r="NJQ1876" s="2730"/>
      <c r="NJR1876" s="2730"/>
      <c r="NJS1876" s="2730"/>
      <c r="NJT1876" s="2730"/>
      <c r="NJU1876" s="2730"/>
      <c r="NJV1876" s="2730"/>
      <c r="NJW1876" s="2730"/>
      <c r="NJX1876" s="2730"/>
      <c r="NJY1876" s="2730"/>
      <c r="NJZ1876" s="2730"/>
      <c r="NKA1876" s="2730"/>
      <c r="NKB1876" s="2730"/>
      <c r="NKC1876" s="2730"/>
      <c r="NKD1876" s="2730"/>
      <c r="NKE1876" s="2730"/>
      <c r="NKF1876" s="2730"/>
      <c r="NKG1876" s="2730"/>
      <c r="NKH1876" s="2730"/>
      <c r="NKI1876" s="2730"/>
      <c r="NKJ1876" s="2730"/>
      <c r="NKK1876" s="2730"/>
      <c r="NKL1876" s="2730"/>
      <c r="NKM1876" s="2730"/>
      <c r="NKN1876" s="2730"/>
      <c r="NKO1876" s="2730"/>
      <c r="NKP1876" s="2730"/>
      <c r="NKQ1876" s="2730"/>
      <c r="NKR1876" s="2730"/>
      <c r="NKS1876" s="2730"/>
      <c r="NKT1876" s="2730"/>
      <c r="NKU1876" s="2730"/>
      <c r="NKV1876" s="2730"/>
      <c r="NKW1876" s="2730"/>
      <c r="NKX1876" s="2730"/>
      <c r="NKY1876" s="2730"/>
      <c r="NKZ1876" s="2730"/>
      <c r="NLA1876" s="2730"/>
      <c r="NLB1876" s="2730"/>
      <c r="NLC1876" s="2730"/>
      <c r="NLD1876" s="2730"/>
      <c r="NLE1876" s="2730"/>
      <c r="NLF1876" s="2730"/>
      <c r="NLG1876" s="2730"/>
      <c r="NLH1876" s="2730"/>
      <c r="NLI1876" s="2730"/>
      <c r="NLJ1876" s="2730"/>
      <c r="NLK1876" s="2730"/>
      <c r="NLL1876" s="2730"/>
      <c r="NLM1876" s="2730"/>
      <c r="NLN1876" s="2730"/>
      <c r="NLO1876" s="2730"/>
      <c r="NLP1876" s="2730"/>
      <c r="NLQ1876" s="2730"/>
      <c r="NLR1876" s="2730"/>
      <c r="NLS1876" s="2730"/>
      <c r="NLT1876" s="2730"/>
      <c r="NLU1876" s="2730"/>
      <c r="NLV1876" s="2730"/>
      <c r="NLW1876" s="2730"/>
      <c r="NLX1876" s="2730"/>
      <c r="NLY1876" s="2730"/>
      <c r="NLZ1876" s="2730"/>
      <c r="NMA1876" s="2730"/>
      <c r="NMB1876" s="2730"/>
      <c r="NMC1876" s="2730"/>
      <c r="NMD1876" s="2730"/>
      <c r="NME1876" s="2730"/>
      <c r="NMF1876" s="2730"/>
      <c r="NMG1876" s="2730"/>
      <c r="NMH1876" s="2730"/>
      <c r="NMI1876" s="2730"/>
      <c r="NMJ1876" s="2730"/>
      <c r="NMK1876" s="2730"/>
      <c r="NML1876" s="2730"/>
      <c r="NMM1876" s="2730"/>
      <c r="NMN1876" s="2730"/>
      <c r="NMO1876" s="2730"/>
      <c r="NMP1876" s="2730"/>
      <c r="NMQ1876" s="2730"/>
      <c r="NMR1876" s="2730"/>
      <c r="NMS1876" s="2730"/>
      <c r="NMT1876" s="2730"/>
      <c r="NMU1876" s="2730"/>
      <c r="NMV1876" s="2730"/>
      <c r="NMW1876" s="2730"/>
      <c r="NMX1876" s="2730"/>
      <c r="NMY1876" s="2730"/>
      <c r="NMZ1876" s="2730"/>
      <c r="NNA1876" s="2730"/>
      <c r="NNB1876" s="2730"/>
      <c r="NNC1876" s="2730"/>
      <c r="NND1876" s="2730"/>
      <c r="NNE1876" s="2730"/>
      <c r="NNF1876" s="2730"/>
      <c r="NNG1876" s="2730"/>
      <c r="NNH1876" s="2730"/>
      <c r="NNI1876" s="2730"/>
      <c r="NNJ1876" s="2730"/>
      <c r="NNK1876" s="2730"/>
      <c r="NNL1876" s="2730"/>
      <c r="NNM1876" s="2730"/>
      <c r="NNN1876" s="2730"/>
      <c r="NNO1876" s="2730"/>
      <c r="NNP1876" s="2730"/>
      <c r="NNQ1876" s="2730"/>
      <c r="NNR1876" s="2730"/>
      <c r="NNS1876" s="2730"/>
      <c r="NNT1876" s="2730"/>
      <c r="NNU1876" s="2730"/>
      <c r="NNV1876" s="2730"/>
      <c r="NNW1876" s="2730"/>
      <c r="NNX1876" s="2730"/>
      <c r="NNY1876" s="2730"/>
      <c r="NNZ1876" s="2730"/>
      <c r="NOA1876" s="2730"/>
      <c r="NOB1876" s="2730"/>
      <c r="NOC1876" s="2730"/>
      <c r="NOD1876" s="2730"/>
      <c r="NOE1876" s="2730"/>
      <c r="NOF1876" s="2730"/>
      <c r="NOG1876" s="2730"/>
      <c r="NOH1876" s="2730"/>
      <c r="NOI1876" s="2730"/>
      <c r="NOJ1876" s="2730"/>
      <c r="NOK1876" s="2730"/>
      <c r="NOL1876" s="2730"/>
      <c r="NOM1876" s="2730"/>
      <c r="NON1876" s="2730"/>
      <c r="NOO1876" s="2730"/>
      <c r="NOP1876" s="2730"/>
      <c r="NOQ1876" s="2730"/>
      <c r="NOR1876" s="2730"/>
      <c r="NOS1876" s="2730"/>
      <c r="NOT1876" s="2730"/>
      <c r="NOU1876" s="2730"/>
      <c r="NOV1876" s="2730"/>
      <c r="NOW1876" s="2730"/>
      <c r="NOX1876" s="2730"/>
      <c r="NOY1876" s="2730"/>
      <c r="NOZ1876" s="2730"/>
      <c r="NPA1876" s="2730"/>
      <c r="NPB1876" s="2730"/>
      <c r="NPC1876" s="2730"/>
      <c r="NPD1876" s="2730"/>
      <c r="NPE1876" s="2730"/>
      <c r="NPF1876" s="2730"/>
      <c r="NPG1876" s="2730"/>
      <c r="NPH1876" s="2730"/>
      <c r="NPI1876" s="2730"/>
      <c r="NPJ1876" s="2730"/>
      <c r="NPK1876" s="2730"/>
      <c r="NPL1876" s="2730"/>
      <c r="NPM1876" s="2730"/>
      <c r="NPN1876" s="2730"/>
      <c r="NPO1876" s="2730"/>
      <c r="NPP1876" s="2730"/>
      <c r="NPQ1876" s="2730"/>
      <c r="NPR1876" s="2730"/>
      <c r="NPS1876" s="2730"/>
      <c r="NPT1876" s="2730"/>
      <c r="NPU1876" s="2730"/>
      <c r="NPV1876" s="2730"/>
      <c r="NPW1876" s="2730"/>
      <c r="NPX1876" s="2730"/>
      <c r="NPY1876" s="2730"/>
      <c r="NPZ1876" s="2730"/>
      <c r="NQA1876" s="2730"/>
      <c r="NQB1876" s="2730"/>
      <c r="NQC1876" s="2730"/>
      <c r="NQD1876" s="2730"/>
      <c r="NQE1876" s="2730"/>
      <c r="NQF1876" s="2730"/>
      <c r="NQG1876" s="2730"/>
      <c r="NQH1876" s="2730"/>
      <c r="NQI1876" s="2730"/>
      <c r="NQJ1876" s="2730"/>
      <c r="NQK1876" s="2730"/>
      <c r="NQL1876" s="2730"/>
      <c r="NQM1876" s="2730"/>
      <c r="NQN1876" s="2730"/>
      <c r="NQO1876" s="2730"/>
      <c r="NQP1876" s="2730"/>
      <c r="NQQ1876" s="2730"/>
      <c r="NQR1876" s="2730"/>
      <c r="NQS1876" s="2730"/>
      <c r="NQT1876" s="2730"/>
      <c r="NQU1876" s="2730"/>
      <c r="NQV1876" s="2730"/>
      <c r="NQW1876" s="2730"/>
      <c r="NQX1876" s="2730"/>
      <c r="NQY1876" s="2730"/>
      <c r="NQZ1876" s="2730"/>
      <c r="NRA1876" s="2730"/>
      <c r="NRB1876" s="2730"/>
      <c r="NRC1876" s="2730"/>
      <c r="NRD1876" s="2730"/>
      <c r="NRE1876" s="2730"/>
      <c r="NRF1876" s="2730"/>
      <c r="NRG1876" s="2730"/>
      <c r="NRH1876" s="2730"/>
      <c r="NRI1876" s="2730"/>
      <c r="NRJ1876" s="2730"/>
      <c r="NRK1876" s="2730"/>
      <c r="NRL1876" s="2730"/>
      <c r="NRM1876" s="2730"/>
      <c r="NRN1876" s="2730"/>
      <c r="NRO1876" s="2730"/>
      <c r="NRP1876" s="2730"/>
      <c r="NRQ1876" s="2730"/>
      <c r="NRR1876" s="2730"/>
      <c r="NRS1876" s="2730"/>
      <c r="NRT1876" s="2730"/>
      <c r="NRU1876" s="2730"/>
      <c r="NRV1876" s="2730"/>
      <c r="NRW1876" s="2730"/>
      <c r="NRX1876" s="2730"/>
      <c r="NRY1876" s="2730"/>
      <c r="NRZ1876" s="2730"/>
      <c r="NSA1876" s="2730"/>
      <c r="NSB1876" s="2730"/>
      <c r="NSC1876" s="2730"/>
      <c r="NSD1876" s="2730"/>
      <c r="NSE1876" s="2730"/>
      <c r="NSF1876" s="2730"/>
      <c r="NSG1876" s="2730"/>
      <c r="NSH1876" s="2730"/>
      <c r="NSI1876" s="2730"/>
      <c r="NSJ1876" s="2730"/>
      <c r="NSK1876" s="2730"/>
      <c r="NSL1876" s="2730"/>
      <c r="NSM1876" s="2730"/>
      <c r="NSN1876" s="2730"/>
      <c r="NSO1876" s="2730"/>
      <c r="NSP1876" s="2730"/>
      <c r="NSQ1876" s="2730"/>
      <c r="NSR1876" s="2730"/>
      <c r="NSS1876" s="2730"/>
      <c r="NST1876" s="2730"/>
      <c r="NSU1876" s="2730"/>
      <c r="NSV1876" s="2730"/>
      <c r="NSW1876" s="2730"/>
      <c r="NSX1876" s="2730"/>
      <c r="NSY1876" s="2730"/>
      <c r="NSZ1876" s="2730"/>
      <c r="NTA1876" s="2730"/>
      <c r="NTB1876" s="2730"/>
      <c r="NTC1876" s="2730"/>
      <c r="NTD1876" s="2730"/>
      <c r="NTE1876" s="2730"/>
      <c r="NTF1876" s="2730"/>
      <c r="NTG1876" s="2730"/>
      <c r="NTH1876" s="2730"/>
      <c r="NTI1876" s="2730"/>
      <c r="NTJ1876" s="2730"/>
      <c r="NTK1876" s="2730"/>
      <c r="NTL1876" s="2730"/>
      <c r="NTM1876" s="2730"/>
      <c r="NTN1876" s="2730"/>
      <c r="NTO1876" s="2730"/>
      <c r="NTP1876" s="2730"/>
      <c r="NTQ1876" s="2730"/>
      <c r="NTR1876" s="2730"/>
      <c r="NTS1876" s="2730"/>
      <c r="NTT1876" s="2730"/>
      <c r="NTU1876" s="2730"/>
      <c r="NTV1876" s="2730"/>
      <c r="NTW1876" s="2730"/>
      <c r="NTX1876" s="2730"/>
      <c r="NTY1876" s="2730"/>
      <c r="NTZ1876" s="2730"/>
      <c r="NUA1876" s="2730"/>
      <c r="NUB1876" s="2730"/>
      <c r="NUC1876" s="2730"/>
      <c r="NUD1876" s="2730"/>
      <c r="NUE1876" s="2730"/>
      <c r="NUF1876" s="2730"/>
      <c r="NUG1876" s="2730"/>
      <c r="NUH1876" s="2730"/>
      <c r="NUI1876" s="2730"/>
      <c r="NUJ1876" s="2730"/>
      <c r="NUK1876" s="2730"/>
      <c r="NUL1876" s="2730"/>
      <c r="NUM1876" s="2730"/>
      <c r="NUN1876" s="2730"/>
      <c r="NUO1876" s="2730"/>
      <c r="NUP1876" s="2730"/>
      <c r="NUQ1876" s="2730"/>
      <c r="NUR1876" s="2730"/>
      <c r="NUS1876" s="2730"/>
      <c r="NUT1876" s="2730"/>
      <c r="NUU1876" s="2730"/>
      <c r="NUV1876" s="2730"/>
      <c r="NUW1876" s="2730"/>
      <c r="NUX1876" s="2730"/>
      <c r="NUY1876" s="2730"/>
      <c r="NUZ1876" s="2730"/>
      <c r="NVA1876" s="2730"/>
      <c r="NVB1876" s="2730"/>
      <c r="NVC1876" s="2730"/>
      <c r="NVD1876" s="2730"/>
      <c r="NVE1876" s="2730"/>
      <c r="NVF1876" s="2730"/>
      <c r="NVG1876" s="2730"/>
      <c r="NVH1876" s="2730"/>
      <c r="NVI1876" s="2730"/>
      <c r="NVJ1876" s="2730"/>
      <c r="NVK1876" s="2730"/>
      <c r="NVL1876" s="2730"/>
      <c r="NVM1876" s="2730"/>
      <c r="NVN1876" s="2730"/>
      <c r="NVO1876" s="2730"/>
      <c r="NVP1876" s="2730"/>
      <c r="NVQ1876" s="2730"/>
      <c r="NVR1876" s="2730"/>
      <c r="NVS1876" s="2730"/>
      <c r="NVT1876" s="2730"/>
      <c r="NVU1876" s="2730"/>
      <c r="NVV1876" s="2730"/>
      <c r="NVW1876" s="2730"/>
      <c r="NVX1876" s="2730"/>
      <c r="NVY1876" s="2730"/>
      <c r="NVZ1876" s="2730"/>
      <c r="NWA1876" s="2730"/>
      <c r="NWB1876" s="2730"/>
      <c r="NWC1876" s="2730"/>
      <c r="NWD1876" s="2730"/>
      <c r="NWE1876" s="2730"/>
      <c r="NWF1876" s="2730"/>
      <c r="NWG1876" s="2730"/>
      <c r="NWH1876" s="2730"/>
      <c r="NWI1876" s="2730"/>
      <c r="NWJ1876" s="2730"/>
      <c r="NWK1876" s="2730"/>
      <c r="NWL1876" s="2730"/>
      <c r="NWM1876" s="2730"/>
      <c r="NWN1876" s="2730"/>
      <c r="NWO1876" s="2730"/>
      <c r="NWP1876" s="2730"/>
      <c r="NWQ1876" s="2730"/>
      <c r="NWR1876" s="2730"/>
      <c r="NWS1876" s="2730"/>
      <c r="NWT1876" s="2730"/>
      <c r="NWU1876" s="2730"/>
      <c r="NWV1876" s="2730"/>
      <c r="NWW1876" s="2730"/>
      <c r="NWX1876" s="2730"/>
      <c r="NWY1876" s="2730"/>
      <c r="NWZ1876" s="2730"/>
      <c r="NXA1876" s="2730"/>
      <c r="NXB1876" s="2730"/>
      <c r="NXC1876" s="2730"/>
      <c r="NXD1876" s="2730"/>
      <c r="NXE1876" s="2730"/>
      <c r="NXF1876" s="2730"/>
      <c r="NXG1876" s="2730"/>
      <c r="NXH1876" s="2730"/>
      <c r="NXI1876" s="2730"/>
      <c r="NXJ1876" s="2730"/>
      <c r="NXK1876" s="2730"/>
      <c r="NXL1876" s="2730"/>
      <c r="NXM1876" s="2730"/>
      <c r="NXN1876" s="2730"/>
      <c r="NXO1876" s="2730"/>
      <c r="NXP1876" s="2730"/>
      <c r="NXQ1876" s="2730"/>
      <c r="NXR1876" s="2730"/>
      <c r="NXS1876" s="2730"/>
      <c r="NXT1876" s="2730"/>
      <c r="NXU1876" s="2730"/>
      <c r="NXV1876" s="2730"/>
      <c r="NXW1876" s="2730"/>
      <c r="NXX1876" s="2730"/>
      <c r="NXY1876" s="2730"/>
      <c r="NXZ1876" s="2730"/>
      <c r="NYA1876" s="2730"/>
      <c r="NYB1876" s="2730"/>
      <c r="NYC1876" s="2730"/>
      <c r="NYD1876" s="2730"/>
      <c r="NYE1876" s="2730"/>
      <c r="NYF1876" s="2730"/>
      <c r="NYG1876" s="2730"/>
      <c r="NYH1876" s="2730"/>
      <c r="NYI1876" s="2730"/>
      <c r="NYJ1876" s="2730"/>
      <c r="NYK1876" s="2730"/>
      <c r="NYL1876" s="2730"/>
      <c r="NYM1876" s="2730"/>
      <c r="NYN1876" s="2730"/>
      <c r="NYO1876" s="2730"/>
      <c r="NYP1876" s="2730"/>
      <c r="NYQ1876" s="2730"/>
      <c r="NYR1876" s="2730"/>
      <c r="NYS1876" s="2730"/>
      <c r="NYT1876" s="2730"/>
      <c r="NYU1876" s="2730"/>
      <c r="NYV1876" s="2730"/>
      <c r="NYW1876" s="2730"/>
      <c r="NYX1876" s="2730"/>
      <c r="NYY1876" s="2730"/>
      <c r="NYZ1876" s="2730"/>
      <c r="NZA1876" s="2730"/>
      <c r="NZB1876" s="2730"/>
      <c r="NZC1876" s="2730"/>
      <c r="NZD1876" s="2730"/>
      <c r="NZE1876" s="2730"/>
      <c r="NZF1876" s="2730"/>
      <c r="NZG1876" s="2730"/>
      <c r="NZH1876" s="2730"/>
      <c r="NZI1876" s="2730"/>
      <c r="NZJ1876" s="2730"/>
      <c r="NZK1876" s="2730"/>
      <c r="NZL1876" s="2730"/>
      <c r="NZM1876" s="2730"/>
      <c r="NZN1876" s="2730"/>
      <c r="NZO1876" s="2730"/>
      <c r="NZP1876" s="2730"/>
      <c r="NZQ1876" s="2730"/>
      <c r="NZR1876" s="2730"/>
      <c r="NZS1876" s="2730"/>
      <c r="NZT1876" s="2730"/>
      <c r="NZU1876" s="2730"/>
      <c r="NZV1876" s="2730"/>
      <c r="NZW1876" s="2730"/>
      <c r="NZX1876" s="2730"/>
      <c r="NZY1876" s="2730"/>
      <c r="NZZ1876" s="2730"/>
      <c r="OAA1876" s="2730"/>
      <c r="OAB1876" s="2730"/>
      <c r="OAC1876" s="2730"/>
      <c r="OAD1876" s="2730"/>
      <c r="OAE1876" s="2730"/>
      <c r="OAF1876" s="2730"/>
      <c r="OAG1876" s="2730"/>
      <c r="OAH1876" s="2730"/>
      <c r="OAI1876" s="2730"/>
      <c r="OAJ1876" s="2730"/>
      <c r="OAK1876" s="2730"/>
      <c r="OAL1876" s="2730"/>
      <c r="OAM1876" s="2730"/>
      <c r="OAN1876" s="2730"/>
      <c r="OAO1876" s="2730"/>
      <c r="OAP1876" s="2730"/>
      <c r="OAQ1876" s="2730"/>
      <c r="OAR1876" s="2730"/>
      <c r="OAS1876" s="2730"/>
      <c r="OAT1876" s="2730"/>
      <c r="OAU1876" s="2730"/>
      <c r="OAV1876" s="2730"/>
      <c r="OAW1876" s="2730"/>
      <c r="OAX1876" s="2730"/>
      <c r="OAY1876" s="2730"/>
      <c r="OAZ1876" s="2730"/>
      <c r="OBA1876" s="2730"/>
      <c r="OBB1876" s="2730"/>
      <c r="OBC1876" s="2730"/>
      <c r="OBD1876" s="2730"/>
      <c r="OBE1876" s="2730"/>
      <c r="OBF1876" s="2730"/>
      <c r="OBG1876" s="2730"/>
      <c r="OBH1876" s="2730"/>
      <c r="OBI1876" s="2730"/>
      <c r="OBJ1876" s="2730"/>
      <c r="OBK1876" s="2730"/>
      <c r="OBL1876" s="2730"/>
      <c r="OBM1876" s="2730"/>
      <c r="OBN1876" s="2730"/>
      <c r="OBO1876" s="2730"/>
      <c r="OBP1876" s="2730"/>
      <c r="OBQ1876" s="2730"/>
      <c r="OBR1876" s="2730"/>
      <c r="OBS1876" s="2730"/>
      <c r="OBT1876" s="2730"/>
      <c r="OBU1876" s="2730"/>
      <c r="OBV1876" s="2730"/>
      <c r="OBW1876" s="2730"/>
      <c r="OBX1876" s="2730"/>
      <c r="OBY1876" s="2730"/>
      <c r="OBZ1876" s="2730"/>
      <c r="OCA1876" s="2730"/>
      <c r="OCB1876" s="2730"/>
      <c r="OCC1876" s="2730"/>
      <c r="OCD1876" s="2730"/>
      <c r="OCE1876" s="2730"/>
      <c r="OCF1876" s="2730"/>
      <c r="OCG1876" s="2730"/>
      <c r="OCH1876" s="2730"/>
      <c r="OCI1876" s="2730"/>
      <c r="OCJ1876" s="2730"/>
      <c r="OCK1876" s="2730"/>
      <c r="OCL1876" s="2730"/>
      <c r="OCM1876" s="2730"/>
      <c r="OCN1876" s="2730"/>
      <c r="OCO1876" s="2730"/>
      <c r="OCP1876" s="2730"/>
      <c r="OCQ1876" s="2730"/>
      <c r="OCR1876" s="2730"/>
      <c r="OCS1876" s="2730"/>
      <c r="OCT1876" s="2730"/>
      <c r="OCU1876" s="2730"/>
      <c r="OCV1876" s="2730"/>
      <c r="OCW1876" s="2730"/>
      <c r="OCX1876" s="2730"/>
      <c r="OCY1876" s="2730"/>
      <c r="OCZ1876" s="2730"/>
      <c r="ODA1876" s="2730"/>
      <c r="ODB1876" s="2730"/>
      <c r="ODC1876" s="2730"/>
      <c r="ODD1876" s="2730"/>
      <c r="ODE1876" s="2730"/>
      <c r="ODF1876" s="2730"/>
      <c r="ODG1876" s="2730"/>
      <c r="ODH1876" s="2730"/>
      <c r="ODI1876" s="2730"/>
      <c r="ODJ1876" s="2730"/>
      <c r="ODK1876" s="2730"/>
      <c r="ODL1876" s="2730"/>
      <c r="ODM1876" s="2730"/>
      <c r="ODN1876" s="2730"/>
      <c r="ODO1876" s="2730"/>
      <c r="ODP1876" s="2730"/>
      <c r="ODQ1876" s="2730"/>
      <c r="ODR1876" s="2730"/>
      <c r="ODS1876" s="2730"/>
      <c r="ODT1876" s="2730"/>
      <c r="ODU1876" s="2730"/>
      <c r="ODV1876" s="2730"/>
      <c r="ODW1876" s="2730"/>
      <c r="ODX1876" s="2730"/>
      <c r="ODY1876" s="2730"/>
      <c r="ODZ1876" s="2730"/>
      <c r="OEA1876" s="2730"/>
      <c r="OEB1876" s="2730"/>
      <c r="OEC1876" s="2730"/>
      <c r="OED1876" s="2730"/>
      <c r="OEE1876" s="2730"/>
      <c r="OEF1876" s="2730"/>
      <c r="OEG1876" s="2730"/>
      <c r="OEH1876" s="2730"/>
      <c r="OEI1876" s="2730"/>
      <c r="OEJ1876" s="2730"/>
      <c r="OEK1876" s="2730"/>
      <c r="OEL1876" s="2730"/>
      <c r="OEM1876" s="2730"/>
      <c r="OEN1876" s="2730"/>
      <c r="OEO1876" s="2730"/>
      <c r="OEP1876" s="2730"/>
      <c r="OEQ1876" s="2730"/>
      <c r="OER1876" s="2730"/>
      <c r="OES1876" s="2730"/>
      <c r="OET1876" s="2730"/>
      <c r="OEU1876" s="2730"/>
      <c r="OEV1876" s="2730"/>
      <c r="OEW1876" s="2730"/>
      <c r="OEX1876" s="2730"/>
      <c r="OEY1876" s="2730"/>
      <c r="OEZ1876" s="2730"/>
      <c r="OFA1876" s="2730"/>
      <c r="OFB1876" s="2730"/>
      <c r="OFC1876" s="2730"/>
      <c r="OFD1876" s="2730"/>
      <c r="OFE1876" s="2730"/>
      <c r="OFF1876" s="2730"/>
      <c r="OFG1876" s="2730"/>
      <c r="OFH1876" s="2730"/>
      <c r="OFI1876" s="2730"/>
      <c r="OFJ1876" s="2730"/>
      <c r="OFK1876" s="2730"/>
      <c r="OFL1876" s="2730"/>
      <c r="OFM1876" s="2730"/>
      <c r="OFN1876" s="2730"/>
      <c r="OFO1876" s="2730"/>
      <c r="OFP1876" s="2730"/>
      <c r="OFQ1876" s="2730"/>
      <c r="OFR1876" s="2730"/>
      <c r="OFS1876" s="2730"/>
      <c r="OFT1876" s="2730"/>
      <c r="OFU1876" s="2730"/>
      <c r="OFV1876" s="2730"/>
      <c r="OFW1876" s="2730"/>
      <c r="OFX1876" s="2730"/>
      <c r="OFY1876" s="2730"/>
      <c r="OFZ1876" s="2730"/>
      <c r="OGA1876" s="2730"/>
      <c r="OGB1876" s="2730"/>
      <c r="OGC1876" s="2730"/>
      <c r="OGD1876" s="2730"/>
      <c r="OGE1876" s="2730"/>
      <c r="OGF1876" s="2730"/>
      <c r="OGG1876" s="2730"/>
      <c r="OGH1876" s="2730"/>
      <c r="OGI1876" s="2730"/>
      <c r="OGJ1876" s="2730"/>
      <c r="OGK1876" s="2730"/>
      <c r="OGL1876" s="2730"/>
      <c r="OGM1876" s="2730"/>
      <c r="OGN1876" s="2730"/>
      <c r="OGO1876" s="2730"/>
      <c r="OGP1876" s="2730"/>
      <c r="OGQ1876" s="2730"/>
      <c r="OGR1876" s="2730"/>
      <c r="OGS1876" s="2730"/>
      <c r="OGT1876" s="2730"/>
      <c r="OGU1876" s="2730"/>
      <c r="OGV1876" s="2730"/>
      <c r="OGW1876" s="2730"/>
      <c r="OGX1876" s="2730"/>
      <c r="OGY1876" s="2730"/>
      <c r="OGZ1876" s="2730"/>
      <c r="OHA1876" s="2730"/>
      <c r="OHB1876" s="2730"/>
      <c r="OHC1876" s="2730"/>
      <c r="OHD1876" s="2730"/>
      <c r="OHE1876" s="2730"/>
      <c r="OHF1876" s="2730"/>
      <c r="OHG1876" s="2730"/>
      <c r="OHH1876" s="2730"/>
      <c r="OHI1876" s="2730"/>
      <c r="OHJ1876" s="2730"/>
      <c r="OHK1876" s="2730"/>
      <c r="OHL1876" s="2730"/>
      <c r="OHM1876" s="2730"/>
      <c r="OHN1876" s="2730"/>
      <c r="OHO1876" s="2730"/>
      <c r="OHP1876" s="2730"/>
      <c r="OHQ1876" s="2730"/>
      <c r="OHR1876" s="2730"/>
      <c r="OHS1876" s="2730"/>
      <c r="OHT1876" s="2730"/>
      <c r="OHU1876" s="2730"/>
      <c r="OHV1876" s="2730"/>
      <c r="OHW1876" s="2730"/>
      <c r="OHX1876" s="2730"/>
      <c r="OHY1876" s="2730"/>
      <c r="OHZ1876" s="2730"/>
      <c r="OIA1876" s="2730"/>
      <c r="OIB1876" s="2730"/>
      <c r="OIC1876" s="2730"/>
      <c r="OID1876" s="2730"/>
      <c r="OIE1876" s="2730"/>
      <c r="OIF1876" s="2730"/>
      <c r="OIG1876" s="2730"/>
      <c r="OIH1876" s="2730"/>
      <c r="OII1876" s="2730"/>
      <c r="OIJ1876" s="2730"/>
      <c r="OIK1876" s="2730"/>
      <c r="OIL1876" s="2730"/>
      <c r="OIM1876" s="2730"/>
      <c r="OIN1876" s="2730"/>
      <c r="OIO1876" s="2730"/>
      <c r="OIP1876" s="2730"/>
      <c r="OIQ1876" s="2730"/>
      <c r="OIR1876" s="2730"/>
      <c r="OIS1876" s="2730"/>
      <c r="OIT1876" s="2730"/>
      <c r="OIU1876" s="2730"/>
      <c r="OIV1876" s="2730"/>
      <c r="OIW1876" s="2730"/>
      <c r="OIX1876" s="2730"/>
      <c r="OIY1876" s="2730"/>
      <c r="OIZ1876" s="2730"/>
      <c r="OJA1876" s="2730"/>
      <c r="OJB1876" s="2730"/>
      <c r="OJC1876" s="2730"/>
      <c r="OJD1876" s="2730"/>
      <c r="OJE1876" s="2730"/>
      <c r="OJF1876" s="2730"/>
      <c r="OJG1876" s="2730"/>
      <c r="OJH1876" s="2730"/>
      <c r="OJI1876" s="2730"/>
      <c r="OJJ1876" s="2730"/>
      <c r="OJK1876" s="2730"/>
      <c r="OJL1876" s="2730"/>
      <c r="OJM1876" s="2730"/>
      <c r="OJN1876" s="2730"/>
      <c r="OJO1876" s="2730"/>
      <c r="OJP1876" s="2730"/>
      <c r="OJQ1876" s="2730"/>
      <c r="OJR1876" s="2730"/>
      <c r="OJS1876" s="2730"/>
      <c r="OJT1876" s="2730"/>
      <c r="OJU1876" s="2730"/>
      <c r="OJV1876" s="2730"/>
      <c r="OJW1876" s="2730"/>
      <c r="OJX1876" s="2730"/>
      <c r="OJY1876" s="2730"/>
      <c r="OJZ1876" s="2730"/>
      <c r="OKA1876" s="2730"/>
      <c r="OKB1876" s="2730"/>
      <c r="OKC1876" s="2730"/>
      <c r="OKD1876" s="2730"/>
      <c r="OKE1876" s="2730"/>
      <c r="OKF1876" s="2730"/>
      <c r="OKG1876" s="2730"/>
      <c r="OKH1876" s="2730"/>
      <c r="OKI1876" s="2730"/>
      <c r="OKJ1876" s="2730"/>
      <c r="OKK1876" s="2730"/>
      <c r="OKL1876" s="2730"/>
      <c r="OKM1876" s="2730"/>
      <c r="OKN1876" s="2730"/>
      <c r="OKO1876" s="2730"/>
      <c r="OKP1876" s="2730"/>
      <c r="OKQ1876" s="2730"/>
      <c r="OKR1876" s="2730"/>
      <c r="OKS1876" s="2730"/>
      <c r="OKT1876" s="2730"/>
      <c r="OKU1876" s="2730"/>
      <c r="OKV1876" s="2730"/>
      <c r="OKW1876" s="2730"/>
      <c r="OKX1876" s="2730"/>
      <c r="OKY1876" s="2730"/>
      <c r="OKZ1876" s="2730"/>
      <c r="OLA1876" s="2730"/>
      <c r="OLB1876" s="2730"/>
      <c r="OLC1876" s="2730"/>
      <c r="OLD1876" s="2730"/>
      <c r="OLE1876" s="2730"/>
      <c r="OLF1876" s="2730"/>
      <c r="OLG1876" s="2730"/>
      <c r="OLH1876" s="2730"/>
      <c r="OLI1876" s="2730"/>
      <c r="OLJ1876" s="2730"/>
      <c r="OLK1876" s="2730"/>
      <c r="OLL1876" s="2730"/>
      <c r="OLM1876" s="2730"/>
      <c r="OLN1876" s="2730"/>
      <c r="OLO1876" s="2730"/>
      <c r="OLP1876" s="2730"/>
      <c r="OLQ1876" s="2730"/>
      <c r="OLR1876" s="2730"/>
      <c r="OLS1876" s="2730"/>
      <c r="OLT1876" s="2730"/>
      <c r="OLU1876" s="2730"/>
      <c r="OLV1876" s="2730"/>
      <c r="OLW1876" s="2730"/>
      <c r="OLX1876" s="2730"/>
      <c r="OLY1876" s="2730"/>
      <c r="OLZ1876" s="2730"/>
      <c r="OMA1876" s="2730"/>
      <c r="OMB1876" s="2730"/>
      <c r="OMC1876" s="2730"/>
      <c r="OMD1876" s="2730"/>
      <c r="OME1876" s="2730"/>
      <c r="OMF1876" s="2730"/>
      <c r="OMG1876" s="2730"/>
      <c r="OMH1876" s="2730"/>
      <c r="OMI1876" s="2730"/>
      <c r="OMJ1876" s="2730"/>
      <c r="OMK1876" s="2730"/>
      <c r="OML1876" s="2730"/>
      <c r="OMM1876" s="2730"/>
      <c r="OMN1876" s="2730"/>
      <c r="OMO1876" s="2730"/>
      <c r="OMP1876" s="2730"/>
      <c r="OMQ1876" s="2730"/>
      <c r="OMR1876" s="2730"/>
      <c r="OMS1876" s="2730"/>
      <c r="OMT1876" s="2730"/>
      <c r="OMU1876" s="2730"/>
      <c r="OMV1876" s="2730"/>
      <c r="OMW1876" s="2730"/>
      <c r="OMX1876" s="2730"/>
      <c r="OMY1876" s="2730"/>
      <c r="OMZ1876" s="2730"/>
      <c r="ONA1876" s="2730"/>
      <c r="ONB1876" s="2730"/>
      <c r="ONC1876" s="2730"/>
      <c r="OND1876" s="2730"/>
      <c r="ONE1876" s="2730"/>
      <c r="ONF1876" s="2730"/>
      <c r="ONG1876" s="2730"/>
      <c r="ONH1876" s="2730"/>
      <c r="ONI1876" s="2730"/>
      <c r="ONJ1876" s="2730"/>
      <c r="ONK1876" s="2730"/>
      <c r="ONL1876" s="2730"/>
      <c r="ONM1876" s="2730"/>
      <c r="ONN1876" s="2730"/>
      <c r="ONO1876" s="2730"/>
      <c r="ONP1876" s="2730"/>
      <c r="ONQ1876" s="2730"/>
      <c r="ONR1876" s="2730"/>
      <c r="ONS1876" s="2730"/>
      <c r="ONT1876" s="2730"/>
      <c r="ONU1876" s="2730"/>
      <c r="ONV1876" s="2730"/>
      <c r="ONW1876" s="2730"/>
      <c r="ONX1876" s="2730"/>
      <c r="ONY1876" s="2730"/>
      <c r="ONZ1876" s="2730"/>
      <c r="OOA1876" s="2730"/>
      <c r="OOB1876" s="2730"/>
      <c r="OOC1876" s="2730"/>
      <c r="OOD1876" s="2730"/>
      <c r="OOE1876" s="2730"/>
      <c r="OOF1876" s="2730"/>
      <c r="OOG1876" s="2730"/>
      <c r="OOH1876" s="2730"/>
      <c r="OOI1876" s="2730"/>
      <c r="OOJ1876" s="2730"/>
      <c r="OOK1876" s="2730"/>
      <c r="OOL1876" s="2730"/>
      <c r="OOM1876" s="2730"/>
      <c r="OON1876" s="2730"/>
      <c r="OOO1876" s="2730"/>
      <c r="OOP1876" s="2730"/>
      <c r="OOQ1876" s="2730"/>
      <c r="OOR1876" s="2730"/>
      <c r="OOS1876" s="2730"/>
      <c r="OOT1876" s="2730"/>
      <c r="OOU1876" s="2730"/>
      <c r="OOV1876" s="2730"/>
      <c r="OOW1876" s="2730"/>
      <c r="OOX1876" s="2730"/>
      <c r="OOY1876" s="2730"/>
      <c r="OOZ1876" s="2730"/>
      <c r="OPA1876" s="2730"/>
      <c r="OPB1876" s="2730"/>
      <c r="OPC1876" s="2730"/>
      <c r="OPD1876" s="2730"/>
      <c r="OPE1876" s="2730"/>
      <c r="OPF1876" s="2730"/>
      <c r="OPG1876" s="2730"/>
      <c r="OPH1876" s="2730"/>
      <c r="OPI1876" s="2730"/>
      <c r="OPJ1876" s="2730"/>
      <c r="OPK1876" s="2730"/>
      <c r="OPL1876" s="2730"/>
      <c r="OPM1876" s="2730"/>
      <c r="OPN1876" s="2730"/>
      <c r="OPO1876" s="2730"/>
      <c r="OPP1876" s="2730"/>
      <c r="OPQ1876" s="2730"/>
      <c r="OPR1876" s="2730"/>
      <c r="OPS1876" s="2730"/>
      <c r="OPT1876" s="2730"/>
      <c r="OPU1876" s="2730"/>
      <c r="OPV1876" s="2730"/>
      <c r="OPW1876" s="2730"/>
      <c r="OPX1876" s="2730"/>
      <c r="OPY1876" s="2730"/>
      <c r="OPZ1876" s="2730"/>
      <c r="OQA1876" s="2730"/>
      <c r="OQB1876" s="2730"/>
      <c r="OQC1876" s="2730"/>
      <c r="OQD1876" s="2730"/>
      <c r="OQE1876" s="2730"/>
      <c r="OQF1876" s="2730"/>
      <c r="OQG1876" s="2730"/>
      <c r="OQH1876" s="2730"/>
      <c r="OQI1876" s="2730"/>
      <c r="OQJ1876" s="2730"/>
      <c r="OQK1876" s="2730"/>
      <c r="OQL1876" s="2730"/>
      <c r="OQM1876" s="2730"/>
      <c r="OQN1876" s="2730"/>
      <c r="OQO1876" s="2730"/>
      <c r="OQP1876" s="2730"/>
      <c r="OQQ1876" s="2730"/>
      <c r="OQR1876" s="2730"/>
      <c r="OQS1876" s="2730"/>
      <c r="OQT1876" s="2730"/>
      <c r="OQU1876" s="2730"/>
      <c r="OQV1876" s="2730"/>
      <c r="OQW1876" s="2730"/>
      <c r="OQX1876" s="2730"/>
      <c r="OQY1876" s="2730"/>
      <c r="OQZ1876" s="2730"/>
      <c r="ORA1876" s="2730"/>
      <c r="ORB1876" s="2730"/>
      <c r="ORC1876" s="2730"/>
      <c r="ORD1876" s="2730"/>
      <c r="ORE1876" s="2730"/>
      <c r="ORF1876" s="2730"/>
      <c r="ORG1876" s="2730"/>
      <c r="ORH1876" s="2730"/>
      <c r="ORI1876" s="2730"/>
      <c r="ORJ1876" s="2730"/>
      <c r="ORK1876" s="2730"/>
      <c r="ORL1876" s="2730"/>
      <c r="ORM1876" s="2730"/>
      <c r="ORN1876" s="2730"/>
      <c r="ORO1876" s="2730"/>
      <c r="ORP1876" s="2730"/>
      <c r="ORQ1876" s="2730"/>
      <c r="ORR1876" s="2730"/>
      <c r="ORS1876" s="2730"/>
      <c r="ORT1876" s="2730"/>
      <c r="ORU1876" s="2730"/>
      <c r="ORV1876" s="2730"/>
      <c r="ORW1876" s="2730"/>
      <c r="ORX1876" s="2730"/>
      <c r="ORY1876" s="2730"/>
      <c r="ORZ1876" s="2730"/>
      <c r="OSA1876" s="2730"/>
      <c r="OSB1876" s="2730"/>
      <c r="OSC1876" s="2730"/>
      <c r="OSD1876" s="2730"/>
      <c r="OSE1876" s="2730"/>
      <c r="OSF1876" s="2730"/>
      <c r="OSG1876" s="2730"/>
      <c r="OSH1876" s="2730"/>
      <c r="OSI1876" s="2730"/>
      <c r="OSJ1876" s="2730"/>
      <c r="OSK1876" s="2730"/>
      <c r="OSL1876" s="2730"/>
      <c r="OSM1876" s="2730"/>
      <c r="OSN1876" s="2730"/>
      <c r="OSO1876" s="2730"/>
      <c r="OSP1876" s="2730"/>
      <c r="OSQ1876" s="2730"/>
      <c r="OSR1876" s="2730"/>
      <c r="OSS1876" s="2730"/>
      <c r="OST1876" s="2730"/>
      <c r="OSU1876" s="2730"/>
      <c r="OSV1876" s="2730"/>
      <c r="OSW1876" s="2730"/>
      <c r="OSX1876" s="2730"/>
      <c r="OSY1876" s="2730"/>
      <c r="OSZ1876" s="2730"/>
      <c r="OTA1876" s="2730"/>
      <c r="OTB1876" s="2730"/>
      <c r="OTC1876" s="2730"/>
      <c r="OTD1876" s="2730"/>
      <c r="OTE1876" s="2730"/>
      <c r="OTF1876" s="2730"/>
      <c r="OTG1876" s="2730"/>
      <c r="OTH1876" s="2730"/>
      <c r="OTI1876" s="2730"/>
      <c r="OTJ1876" s="2730"/>
      <c r="OTK1876" s="2730"/>
      <c r="OTL1876" s="2730"/>
      <c r="OTM1876" s="2730"/>
      <c r="OTN1876" s="2730"/>
      <c r="OTO1876" s="2730"/>
      <c r="OTP1876" s="2730"/>
      <c r="OTQ1876" s="2730"/>
      <c r="OTR1876" s="2730"/>
      <c r="OTS1876" s="2730"/>
      <c r="OTT1876" s="2730"/>
      <c r="OTU1876" s="2730"/>
      <c r="OTV1876" s="2730"/>
      <c r="OTW1876" s="2730"/>
      <c r="OTX1876" s="2730"/>
      <c r="OTY1876" s="2730"/>
      <c r="OTZ1876" s="2730"/>
      <c r="OUA1876" s="2730"/>
      <c r="OUB1876" s="2730"/>
      <c r="OUC1876" s="2730"/>
      <c r="OUD1876" s="2730"/>
      <c r="OUE1876" s="2730"/>
      <c r="OUF1876" s="2730"/>
      <c r="OUG1876" s="2730"/>
      <c r="OUH1876" s="2730"/>
      <c r="OUI1876" s="2730"/>
      <c r="OUJ1876" s="2730"/>
      <c r="OUK1876" s="2730"/>
      <c r="OUL1876" s="2730"/>
      <c r="OUM1876" s="2730"/>
      <c r="OUN1876" s="2730"/>
      <c r="OUO1876" s="2730"/>
      <c r="OUP1876" s="2730"/>
      <c r="OUQ1876" s="2730"/>
      <c r="OUR1876" s="2730"/>
      <c r="OUS1876" s="2730"/>
      <c r="OUT1876" s="2730"/>
      <c r="OUU1876" s="2730"/>
      <c r="OUV1876" s="2730"/>
      <c r="OUW1876" s="2730"/>
      <c r="OUX1876" s="2730"/>
      <c r="OUY1876" s="2730"/>
      <c r="OUZ1876" s="2730"/>
      <c r="OVA1876" s="2730"/>
      <c r="OVB1876" s="2730"/>
      <c r="OVC1876" s="2730"/>
      <c r="OVD1876" s="2730"/>
      <c r="OVE1876" s="2730"/>
      <c r="OVF1876" s="2730"/>
      <c r="OVG1876" s="2730"/>
      <c r="OVH1876" s="2730"/>
      <c r="OVI1876" s="2730"/>
      <c r="OVJ1876" s="2730"/>
      <c r="OVK1876" s="2730"/>
      <c r="OVL1876" s="2730"/>
      <c r="OVM1876" s="2730"/>
      <c r="OVN1876" s="2730"/>
      <c r="OVO1876" s="2730"/>
      <c r="OVP1876" s="2730"/>
      <c r="OVQ1876" s="2730"/>
      <c r="OVR1876" s="2730"/>
      <c r="OVS1876" s="2730"/>
      <c r="OVT1876" s="2730"/>
      <c r="OVU1876" s="2730"/>
      <c r="OVV1876" s="2730"/>
      <c r="OVW1876" s="2730"/>
      <c r="OVX1876" s="2730"/>
      <c r="OVY1876" s="2730"/>
      <c r="OVZ1876" s="2730"/>
      <c r="OWA1876" s="2730"/>
      <c r="OWB1876" s="2730"/>
      <c r="OWC1876" s="2730"/>
      <c r="OWD1876" s="2730"/>
      <c r="OWE1876" s="2730"/>
      <c r="OWF1876" s="2730"/>
      <c r="OWG1876" s="2730"/>
      <c r="OWH1876" s="2730"/>
      <c r="OWI1876" s="2730"/>
      <c r="OWJ1876" s="2730"/>
      <c r="OWK1876" s="2730"/>
      <c r="OWL1876" s="2730"/>
      <c r="OWM1876" s="2730"/>
      <c r="OWN1876" s="2730"/>
      <c r="OWO1876" s="2730"/>
      <c r="OWP1876" s="2730"/>
      <c r="OWQ1876" s="2730"/>
      <c r="OWR1876" s="2730"/>
      <c r="OWS1876" s="2730"/>
      <c r="OWT1876" s="2730"/>
      <c r="OWU1876" s="2730"/>
      <c r="OWV1876" s="2730"/>
      <c r="OWW1876" s="2730"/>
      <c r="OWX1876" s="2730"/>
      <c r="OWY1876" s="2730"/>
      <c r="OWZ1876" s="2730"/>
      <c r="OXA1876" s="2730"/>
      <c r="OXB1876" s="2730"/>
      <c r="OXC1876" s="2730"/>
      <c r="OXD1876" s="2730"/>
      <c r="OXE1876" s="2730"/>
      <c r="OXF1876" s="2730"/>
      <c r="OXG1876" s="2730"/>
      <c r="OXH1876" s="2730"/>
      <c r="OXI1876" s="2730"/>
      <c r="OXJ1876" s="2730"/>
      <c r="OXK1876" s="2730"/>
      <c r="OXL1876" s="2730"/>
      <c r="OXM1876" s="2730"/>
      <c r="OXN1876" s="2730"/>
      <c r="OXO1876" s="2730"/>
      <c r="OXP1876" s="2730"/>
      <c r="OXQ1876" s="2730"/>
      <c r="OXR1876" s="2730"/>
      <c r="OXS1876" s="2730"/>
      <c r="OXT1876" s="2730"/>
      <c r="OXU1876" s="2730"/>
      <c r="OXV1876" s="2730"/>
      <c r="OXW1876" s="2730"/>
      <c r="OXX1876" s="2730"/>
      <c r="OXY1876" s="2730"/>
      <c r="OXZ1876" s="2730"/>
      <c r="OYA1876" s="2730"/>
      <c r="OYB1876" s="2730"/>
      <c r="OYC1876" s="2730"/>
      <c r="OYD1876" s="2730"/>
      <c r="OYE1876" s="2730"/>
      <c r="OYF1876" s="2730"/>
      <c r="OYG1876" s="2730"/>
      <c r="OYH1876" s="2730"/>
      <c r="OYI1876" s="2730"/>
      <c r="OYJ1876" s="2730"/>
      <c r="OYK1876" s="2730"/>
      <c r="OYL1876" s="2730"/>
      <c r="OYM1876" s="2730"/>
      <c r="OYN1876" s="2730"/>
      <c r="OYO1876" s="2730"/>
      <c r="OYP1876" s="2730"/>
      <c r="OYQ1876" s="2730"/>
      <c r="OYR1876" s="2730"/>
      <c r="OYS1876" s="2730"/>
      <c r="OYT1876" s="2730"/>
      <c r="OYU1876" s="2730"/>
      <c r="OYV1876" s="2730"/>
      <c r="OYW1876" s="2730"/>
      <c r="OYX1876" s="2730"/>
      <c r="OYY1876" s="2730"/>
      <c r="OYZ1876" s="2730"/>
      <c r="OZA1876" s="2730"/>
      <c r="OZB1876" s="2730"/>
      <c r="OZC1876" s="2730"/>
      <c r="OZD1876" s="2730"/>
      <c r="OZE1876" s="2730"/>
      <c r="OZF1876" s="2730"/>
      <c r="OZG1876" s="2730"/>
      <c r="OZH1876" s="2730"/>
      <c r="OZI1876" s="2730"/>
      <c r="OZJ1876" s="2730"/>
      <c r="OZK1876" s="2730"/>
      <c r="OZL1876" s="2730"/>
      <c r="OZM1876" s="2730"/>
      <c r="OZN1876" s="2730"/>
      <c r="OZO1876" s="2730"/>
      <c r="OZP1876" s="2730"/>
      <c r="OZQ1876" s="2730"/>
      <c r="OZR1876" s="2730"/>
      <c r="OZS1876" s="2730"/>
      <c r="OZT1876" s="2730"/>
      <c r="OZU1876" s="2730"/>
      <c r="OZV1876" s="2730"/>
      <c r="OZW1876" s="2730"/>
      <c r="OZX1876" s="2730"/>
      <c r="OZY1876" s="2730"/>
      <c r="OZZ1876" s="2730"/>
      <c r="PAA1876" s="2730"/>
      <c r="PAB1876" s="2730"/>
      <c r="PAC1876" s="2730"/>
      <c r="PAD1876" s="2730"/>
      <c r="PAE1876" s="2730"/>
      <c r="PAF1876" s="2730"/>
      <c r="PAG1876" s="2730"/>
      <c r="PAH1876" s="2730"/>
      <c r="PAI1876" s="2730"/>
      <c r="PAJ1876" s="2730"/>
      <c r="PAK1876" s="2730"/>
      <c r="PAL1876" s="2730"/>
      <c r="PAM1876" s="2730"/>
      <c r="PAN1876" s="2730"/>
      <c r="PAO1876" s="2730"/>
      <c r="PAP1876" s="2730"/>
      <c r="PAQ1876" s="2730"/>
      <c r="PAR1876" s="2730"/>
      <c r="PAS1876" s="2730"/>
      <c r="PAT1876" s="2730"/>
      <c r="PAU1876" s="2730"/>
      <c r="PAV1876" s="2730"/>
      <c r="PAW1876" s="2730"/>
      <c r="PAX1876" s="2730"/>
      <c r="PAY1876" s="2730"/>
      <c r="PAZ1876" s="2730"/>
      <c r="PBA1876" s="2730"/>
      <c r="PBB1876" s="2730"/>
      <c r="PBC1876" s="2730"/>
      <c r="PBD1876" s="2730"/>
      <c r="PBE1876" s="2730"/>
      <c r="PBF1876" s="2730"/>
      <c r="PBG1876" s="2730"/>
      <c r="PBH1876" s="2730"/>
      <c r="PBI1876" s="2730"/>
      <c r="PBJ1876" s="2730"/>
      <c r="PBK1876" s="2730"/>
      <c r="PBL1876" s="2730"/>
      <c r="PBM1876" s="2730"/>
      <c r="PBN1876" s="2730"/>
      <c r="PBO1876" s="2730"/>
      <c r="PBP1876" s="2730"/>
      <c r="PBQ1876" s="2730"/>
      <c r="PBR1876" s="2730"/>
      <c r="PBS1876" s="2730"/>
      <c r="PBT1876" s="2730"/>
      <c r="PBU1876" s="2730"/>
      <c r="PBV1876" s="2730"/>
      <c r="PBW1876" s="2730"/>
      <c r="PBX1876" s="2730"/>
      <c r="PBY1876" s="2730"/>
      <c r="PBZ1876" s="2730"/>
      <c r="PCA1876" s="2730"/>
      <c r="PCB1876" s="2730"/>
      <c r="PCC1876" s="2730"/>
      <c r="PCD1876" s="2730"/>
      <c r="PCE1876" s="2730"/>
      <c r="PCF1876" s="2730"/>
      <c r="PCG1876" s="2730"/>
      <c r="PCH1876" s="2730"/>
      <c r="PCI1876" s="2730"/>
      <c r="PCJ1876" s="2730"/>
      <c r="PCK1876" s="2730"/>
      <c r="PCL1876" s="2730"/>
      <c r="PCM1876" s="2730"/>
      <c r="PCN1876" s="2730"/>
      <c r="PCO1876" s="2730"/>
      <c r="PCP1876" s="2730"/>
      <c r="PCQ1876" s="2730"/>
      <c r="PCR1876" s="2730"/>
      <c r="PCS1876" s="2730"/>
      <c r="PCT1876" s="2730"/>
      <c r="PCU1876" s="2730"/>
      <c r="PCV1876" s="2730"/>
      <c r="PCW1876" s="2730"/>
      <c r="PCX1876" s="2730"/>
      <c r="PCY1876" s="2730"/>
      <c r="PCZ1876" s="2730"/>
      <c r="PDA1876" s="2730"/>
      <c r="PDB1876" s="2730"/>
      <c r="PDC1876" s="2730"/>
      <c r="PDD1876" s="2730"/>
      <c r="PDE1876" s="2730"/>
      <c r="PDF1876" s="2730"/>
      <c r="PDG1876" s="2730"/>
      <c r="PDH1876" s="2730"/>
      <c r="PDI1876" s="2730"/>
      <c r="PDJ1876" s="2730"/>
      <c r="PDK1876" s="2730"/>
      <c r="PDL1876" s="2730"/>
      <c r="PDM1876" s="2730"/>
      <c r="PDN1876" s="2730"/>
      <c r="PDO1876" s="2730"/>
      <c r="PDP1876" s="2730"/>
      <c r="PDQ1876" s="2730"/>
      <c r="PDR1876" s="2730"/>
      <c r="PDS1876" s="2730"/>
      <c r="PDT1876" s="2730"/>
      <c r="PDU1876" s="2730"/>
      <c r="PDV1876" s="2730"/>
      <c r="PDW1876" s="2730"/>
      <c r="PDX1876" s="2730"/>
      <c r="PDY1876" s="2730"/>
      <c r="PDZ1876" s="2730"/>
      <c r="PEA1876" s="2730"/>
      <c r="PEB1876" s="2730"/>
      <c r="PEC1876" s="2730"/>
      <c r="PED1876" s="2730"/>
      <c r="PEE1876" s="2730"/>
      <c r="PEF1876" s="2730"/>
      <c r="PEG1876" s="2730"/>
      <c r="PEH1876" s="2730"/>
      <c r="PEI1876" s="2730"/>
      <c r="PEJ1876" s="2730"/>
      <c r="PEK1876" s="2730"/>
      <c r="PEL1876" s="2730"/>
      <c r="PEM1876" s="2730"/>
      <c r="PEN1876" s="2730"/>
      <c r="PEO1876" s="2730"/>
      <c r="PEP1876" s="2730"/>
      <c r="PEQ1876" s="2730"/>
      <c r="PER1876" s="2730"/>
      <c r="PES1876" s="2730"/>
      <c r="PET1876" s="2730"/>
      <c r="PEU1876" s="2730"/>
      <c r="PEV1876" s="2730"/>
      <c r="PEW1876" s="2730"/>
      <c r="PEX1876" s="2730"/>
      <c r="PEY1876" s="2730"/>
      <c r="PEZ1876" s="2730"/>
      <c r="PFA1876" s="2730"/>
      <c r="PFB1876" s="2730"/>
      <c r="PFC1876" s="2730"/>
      <c r="PFD1876" s="2730"/>
      <c r="PFE1876" s="2730"/>
      <c r="PFF1876" s="2730"/>
      <c r="PFG1876" s="2730"/>
      <c r="PFH1876" s="2730"/>
      <c r="PFI1876" s="2730"/>
      <c r="PFJ1876" s="2730"/>
      <c r="PFK1876" s="2730"/>
      <c r="PFL1876" s="2730"/>
      <c r="PFM1876" s="2730"/>
      <c r="PFN1876" s="2730"/>
      <c r="PFO1876" s="2730"/>
      <c r="PFP1876" s="2730"/>
      <c r="PFQ1876" s="2730"/>
      <c r="PFR1876" s="2730"/>
      <c r="PFS1876" s="2730"/>
      <c r="PFT1876" s="2730"/>
      <c r="PFU1876" s="2730"/>
      <c r="PFV1876" s="2730"/>
      <c r="PFW1876" s="2730"/>
      <c r="PFX1876" s="2730"/>
      <c r="PFY1876" s="2730"/>
      <c r="PFZ1876" s="2730"/>
      <c r="PGA1876" s="2730"/>
      <c r="PGB1876" s="2730"/>
      <c r="PGC1876" s="2730"/>
      <c r="PGD1876" s="2730"/>
      <c r="PGE1876" s="2730"/>
      <c r="PGF1876" s="2730"/>
      <c r="PGG1876" s="2730"/>
      <c r="PGH1876" s="2730"/>
      <c r="PGI1876" s="2730"/>
      <c r="PGJ1876" s="2730"/>
      <c r="PGK1876" s="2730"/>
      <c r="PGL1876" s="2730"/>
      <c r="PGM1876" s="2730"/>
      <c r="PGN1876" s="2730"/>
      <c r="PGO1876" s="2730"/>
      <c r="PGP1876" s="2730"/>
      <c r="PGQ1876" s="2730"/>
      <c r="PGR1876" s="2730"/>
      <c r="PGS1876" s="2730"/>
      <c r="PGT1876" s="2730"/>
      <c r="PGU1876" s="2730"/>
      <c r="PGV1876" s="2730"/>
      <c r="PGW1876" s="2730"/>
      <c r="PGX1876" s="2730"/>
      <c r="PGY1876" s="2730"/>
      <c r="PGZ1876" s="2730"/>
      <c r="PHA1876" s="2730"/>
      <c r="PHB1876" s="2730"/>
      <c r="PHC1876" s="2730"/>
      <c r="PHD1876" s="2730"/>
      <c r="PHE1876" s="2730"/>
      <c r="PHF1876" s="2730"/>
      <c r="PHG1876" s="2730"/>
      <c r="PHH1876" s="2730"/>
      <c r="PHI1876" s="2730"/>
      <c r="PHJ1876" s="2730"/>
      <c r="PHK1876" s="2730"/>
      <c r="PHL1876" s="2730"/>
      <c r="PHM1876" s="2730"/>
      <c r="PHN1876" s="2730"/>
      <c r="PHO1876" s="2730"/>
      <c r="PHP1876" s="2730"/>
      <c r="PHQ1876" s="2730"/>
      <c r="PHR1876" s="2730"/>
      <c r="PHS1876" s="2730"/>
      <c r="PHT1876" s="2730"/>
      <c r="PHU1876" s="2730"/>
      <c r="PHV1876" s="2730"/>
      <c r="PHW1876" s="2730"/>
      <c r="PHX1876" s="2730"/>
      <c r="PHY1876" s="2730"/>
      <c r="PHZ1876" s="2730"/>
      <c r="PIA1876" s="2730"/>
      <c r="PIB1876" s="2730"/>
      <c r="PIC1876" s="2730"/>
      <c r="PID1876" s="2730"/>
      <c r="PIE1876" s="2730"/>
      <c r="PIF1876" s="2730"/>
      <c r="PIG1876" s="2730"/>
      <c r="PIH1876" s="2730"/>
      <c r="PII1876" s="2730"/>
      <c r="PIJ1876" s="2730"/>
      <c r="PIK1876" s="2730"/>
      <c r="PIL1876" s="2730"/>
      <c r="PIM1876" s="2730"/>
      <c r="PIN1876" s="2730"/>
      <c r="PIO1876" s="2730"/>
      <c r="PIP1876" s="2730"/>
      <c r="PIQ1876" s="2730"/>
      <c r="PIR1876" s="2730"/>
      <c r="PIS1876" s="2730"/>
      <c r="PIT1876" s="2730"/>
      <c r="PIU1876" s="2730"/>
      <c r="PIV1876" s="2730"/>
      <c r="PIW1876" s="2730"/>
      <c r="PIX1876" s="2730"/>
      <c r="PIY1876" s="2730"/>
      <c r="PIZ1876" s="2730"/>
      <c r="PJA1876" s="2730"/>
      <c r="PJB1876" s="2730"/>
      <c r="PJC1876" s="2730"/>
      <c r="PJD1876" s="2730"/>
      <c r="PJE1876" s="2730"/>
      <c r="PJF1876" s="2730"/>
      <c r="PJG1876" s="2730"/>
      <c r="PJH1876" s="2730"/>
      <c r="PJI1876" s="2730"/>
      <c r="PJJ1876" s="2730"/>
      <c r="PJK1876" s="2730"/>
      <c r="PJL1876" s="2730"/>
      <c r="PJM1876" s="2730"/>
      <c r="PJN1876" s="2730"/>
      <c r="PJO1876" s="2730"/>
      <c r="PJP1876" s="2730"/>
      <c r="PJQ1876" s="2730"/>
      <c r="PJR1876" s="2730"/>
      <c r="PJS1876" s="2730"/>
      <c r="PJT1876" s="2730"/>
      <c r="PJU1876" s="2730"/>
      <c r="PJV1876" s="2730"/>
      <c r="PJW1876" s="2730"/>
      <c r="PJX1876" s="2730"/>
      <c r="PJY1876" s="2730"/>
      <c r="PJZ1876" s="2730"/>
      <c r="PKA1876" s="2730"/>
      <c r="PKB1876" s="2730"/>
      <c r="PKC1876" s="2730"/>
      <c r="PKD1876" s="2730"/>
      <c r="PKE1876" s="2730"/>
      <c r="PKF1876" s="2730"/>
      <c r="PKG1876" s="2730"/>
      <c r="PKH1876" s="2730"/>
      <c r="PKI1876" s="2730"/>
      <c r="PKJ1876" s="2730"/>
      <c r="PKK1876" s="2730"/>
      <c r="PKL1876" s="2730"/>
      <c r="PKM1876" s="2730"/>
      <c r="PKN1876" s="2730"/>
      <c r="PKO1876" s="2730"/>
      <c r="PKP1876" s="2730"/>
      <c r="PKQ1876" s="2730"/>
      <c r="PKR1876" s="2730"/>
      <c r="PKS1876" s="2730"/>
      <c r="PKT1876" s="2730"/>
      <c r="PKU1876" s="2730"/>
      <c r="PKV1876" s="2730"/>
      <c r="PKW1876" s="2730"/>
      <c r="PKX1876" s="2730"/>
      <c r="PKY1876" s="2730"/>
      <c r="PKZ1876" s="2730"/>
      <c r="PLA1876" s="2730"/>
      <c r="PLB1876" s="2730"/>
      <c r="PLC1876" s="2730"/>
      <c r="PLD1876" s="2730"/>
      <c r="PLE1876" s="2730"/>
      <c r="PLF1876" s="2730"/>
      <c r="PLG1876" s="2730"/>
      <c r="PLH1876" s="2730"/>
      <c r="PLI1876" s="2730"/>
      <c r="PLJ1876" s="2730"/>
      <c r="PLK1876" s="2730"/>
      <c r="PLL1876" s="2730"/>
      <c r="PLM1876" s="2730"/>
      <c r="PLN1876" s="2730"/>
      <c r="PLO1876" s="2730"/>
      <c r="PLP1876" s="2730"/>
      <c r="PLQ1876" s="2730"/>
      <c r="PLR1876" s="2730"/>
      <c r="PLS1876" s="2730"/>
      <c r="PLT1876" s="2730"/>
      <c r="PLU1876" s="2730"/>
      <c r="PLV1876" s="2730"/>
      <c r="PLW1876" s="2730"/>
      <c r="PLX1876" s="2730"/>
      <c r="PLY1876" s="2730"/>
      <c r="PLZ1876" s="2730"/>
      <c r="PMA1876" s="2730"/>
      <c r="PMB1876" s="2730"/>
      <c r="PMC1876" s="2730"/>
      <c r="PMD1876" s="2730"/>
      <c r="PME1876" s="2730"/>
      <c r="PMF1876" s="2730"/>
      <c r="PMG1876" s="2730"/>
      <c r="PMH1876" s="2730"/>
      <c r="PMI1876" s="2730"/>
      <c r="PMJ1876" s="2730"/>
      <c r="PMK1876" s="2730"/>
      <c r="PML1876" s="2730"/>
      <c r="PMM1876" s="2730"/>
      <c r="PMN1876" s="2730"/>
      <c r="PMO1876" s="2730"/>
      <c r="PMP1876" s="2730"/>
      <c r="PMQ1876" s="2730"/>
      <c r="PMR1876" s="2730"/>
      <c r="PMS1876" s="2730"/>
      <c r="PMT1876" s="2730"/>
      <c r="PMU1876" s="2730"/>
      <c r="PMV1876" s="2730"/>
      <c r="PMW1876" s="2730"/>
      <c r="PMX1876" s="2730"/>
      <c r="PMY1876" s="2730"/>
      <c r="PMZ1876" s="2730"/>
      <c r="PNA1876" s="2730"/>
      <c r="PNB1876" s="2730"/>
      <c r="PNC1876" s="2730"/>
      <c r="PND1876" s="2730"/>
      <c r="PNE1876" s="2730"/>
      <c r="PNF1876" s="2730"/>
      <c r="PNG1876" s="2730"/>
      <c r="PNH1876" s="2730"/>
      <c r="PNI1876" s="2730"/>
      <c r="PNJ1876" s="2730"/>
      <c r="PNK1876" s="2730"/>
      <c r="PNL1876" s="2730"/>
      <c r="PNM1876" s="2730"/>
      <c r="PNN1876" s="2730"/>
      <c r="PNO1876" s="2730"/>
      <c r="PNP1876" s="2730"/>
      <c r="PNQ1876" s="2730"/>
      <c r="PNR1876" s="2730"/>
      <c r="PNS1876" s="2730"/>
      <c r="PNT1876" s="2730"/>
      <c r="PNU1876" s="2730"/>
      <c r="PNV1876" s="2730"/>
      <c r="PNW1876" s="2730"/>
      <c r="PNX1876" s="2730"/>
      <c r="PNY1876" s="2730"/>
      <c r="PNZ1876" s="2730"/>
      <c r="POA1876" s="2730"/>
      <c r="POB1876" s="2730"/>
      <c r="POC1876" s="2730"/>
      <c r="POD1876" s="2730"/>
      <c r="POE1876" s="2730"/>
      <c r="POF1876" s="2730"/>
      <c r="POG1876" s="2730"/>
      <c r="POH1876" s="2730"/>
      <c r="POI1876" s="2730"/>
      <c r="POJ1876" s="2730"/>
      <c r="POK1876" s="2730"/>
      <c r="POL1876" s="2730"/>
      <c r="POM1876" s="2730"/>
      <c r="PON1876" s="2730"/>
      <c r="POO1876" s="2730"/>
      <c r="POP1876" s="2730"/>
      <c r="POQ1876" s="2730"/>
      <c r="POR1876" s="2730"/>
      <c r="POS1876" s="2730"/>
      <c r="POT1876" s="2730"/>
      <c r="POU1876" s="2730"/>
      <c r="POV1876" s="2730"/>
      <c r="POW1876" s="2730"/>
      <c r="POX1876" s="2730"/>
      <c r="POY1876" s="2730"/>
      <c r="POZ1876" s="2730"/>
      <c r="PPA1876" s="2730"/>
      <c r="PPB1876" s="2730"/>
      <c r="PPC1876" s="2730"/>
      <c r="PPD1876" s="2730"/>
      <c r="PPE1876" s="2730"/>
      <c r="PPF1876" s="2730"/>
      <c r="PPG1876" s="2730"/>
      <c r="PPH1876" s="2730"/>
      <c r="PPI1876" s="2730"/>
      <c r="PPJ1876" s="2730"/>
      <c r="PPK1876" s="2730"/>
      <c r="PPL1876" s="2730"/>
      <c r="PPM1876" s="2730"/>
      <c r="PPN1876" s="2730"/>
      <c r="PPO1876" s="2730"/>
      <c r="PPP1876" s="2730"/>
      <c r="PPQ1876" s="2730"/>
      <c r="PPR1876" s="2730"/>
      <c r="PPS1876" s="2730"/>
      <c r="PPT1876" s="2730"/>
      <c r="PPU1876" s="2730"/>
      <c r="PPV1876" s="2730"/>
      <c r="PPW1876" s="2730"/>
      <c r="PPX1876" s="2730"/>
      <c r="PPY1876" s="2730"/>
      <c r="PPZ1876" s="2730"/>
      <c r="PQA1876" s="2730"/>
      <c r="PQB1876" s="2730"/>
      <c r="PQC1876" s="2730"/>
      <c r="PQD1876" s="2730"/>
      <c r="PQE1876" s="2730"/>
      <c r="PQF1876" s="2730"/>
      <c r="PQG1876" s="2730"/>
      <c r="PQH1876" s="2730"/>
      <c r="PQI1876" s="2730"/>
      <c r="PQJ1876" s="2730"/>
      <c r="PQK1876" s="2730"/>
      <c r="PQL1876" s="2730"/>
      <c r="PQM1876" s="2730"/>
      <c r="PQN1876" s="2730"/>
      <c r="PQO1876" s="2730"/>
      <c r="PQP1876" s="2730"/>
      <c r="PQQ1876" s="2730"/>
      <c r="PQR1876" s="2730"/>
      <c r="PQS1876" s="2730"/>
      <c r="PQT1876" s="2730"/>
      <c r="PQU1876" s="2730"/>
      <c r="PQV1876" s="2730"/>
      <c r="PQW1876" s="2730"/>
      <c r="PQX1876" s="2730"/>
      <c r="PQY1876" s="2730"/>
      <c r="PQZ1876" s="2730"/>
      <c r="PRA1876" s="2730"/>
      <c r="PRB1876" s="2730"/>
      <c r="PRC1876" s="2730"/>
      <c r="PRD1876" s="2730"/>
      <c r="PRE1876" s="2730"/>
      <c r="PRF1876" s="2730"/>
      <c r="PRG1876" s="2730"/>
      <c r="PRH1876" s="2730"/>
      <c r="PRI1876" s="2730"/>
      <c r="PRJ1876" s="2730"/>
      <c r="PRK1876" s="2730"/>
      <c r="PRL1876" s="2730"/>
      <c r="PRM1876" s="2730"/>
      <c r="PRN1876" s="2730"/>
      <c r="PRO1876" s="2730"/>
      <c r="PRP1876" s="2730"/>
      <c r="PRQ1876" s="2730"/>
      <c r="PRR1876" s="2730"/>
      <c r="PRS1876" s="2730"/>
      <c r="PRT1876" s="2730"/>
      <c r="PRU1876" s="2730"/>
      <c r="PRV1876" s="2730"/>
      <c r="PRW1876" s="2730"/>
      <c r="PRX1876" s="2730"/>
      <c r="PRY1876" s="2730"/>
      <c r="PRZ1876" s="2730"/>
      <c r="PSA1876" s="2730"/>
      <c r="PSB1876" s="2730"/>
      <c r="PSC1876" s="2730"/>
      <c r="PSD1876" s="2730"/>
      <c r="PSE1876" s="2730"/>
      <c r="PSF1876" s="2730"/>
      <c r="PSG1876" s="2730"/>
      <c r="PSH1876" s="2730"/>
      <c r="PSI1876" s="2730"/>
      <c r="PSJ1876" s="2730"/>
      <c r="PSK1876" s="2730"/>
      <c r="PSL1876" s="2730"/>
      <c r="PSM1876" s="2730"/>
      <c r="PSN1876" s="2730"/>
      <c r="PSO1876" s="2730"/>
      <c r="PSP1876" s="2730"/>
      <c r="PSQ1876" s="2730"/>
      <c r="PSR1876" s="2730"/>
      <c r="PSS1876" s="2730"/>
      <c r="PST1876" s="2730"/>
      <c r="PSU1876" s="2730"/>
      <c r="PSV1876" s="2730"/>
      <c r="PSW1876" s="2730"/>
      <c r="PSX1876" s="2730"/>
      <c r="PSY1876" s="2730"/>
      <c r="PSZ1876" s="2730"/>
      <c r="PTA1876" s="2730"/>
      <c r="PTB1876" s="2730"/>
      <c r="PTC1876" s="2730"/>
      <c r="PTD1876" s="2730"/>
      <c r="PTE1876" s="2730"/>
      <c r="PTF1876" s="2730"/>
      <c r="PTG1876" s="2730"/>
      <c r="PTH1876" s="2730"/>
      <c r="PTI1876" s="2730"/>
      <c r="PTJ1876" s="2730"/>
      <c r="PTK1876" s="2730"/>
      <c r="PTL1876" s="2730"/>
      <c r="PTM1876" s="2730"/>
      <c r="PTN1876" s="2730"/>
      <c r="PTO1876" s="2730"/>
      <c r="PTP1876" s="2730"/>
      <c r="PTQ1876" s="2730"/>
      <c r="PTR1876" s="2730"/>
      <c r="PTS1876" s="2730"/>
      <c r="PTT1876" s="2730"/>
      <c r="PTU1876" s="2730"/>
      <c r="PTV1876" s="2730"/>
      <c r="PTW1876" s="2730"/>
      <c r="PTX1876" s="2730"/>
      <c r="PTY1876" s="2730"/>
      <c r="PTZ1876" s="2730"/>
      <c r="PUA1876" s="2730"/>
      <c r="PUB1876" s="2730"/>
      <c r="PUC1876" s="2730"/>
      <c r="PUD1876" s="2730"/>
      <c r="PUE1876" s="2730"/>
      <c r="PUF1876" s="2730"/>
      <c r="PUG1876" s="2730"/>
      <c r="PUH1876" s="2730"/>
      <c r="PUI1876" s="2730"/>
      <c r="PUJ1876" s="2730"/>
      <c r="PUK1876" s="2730"/>
      <c r="PUL1876" s="2730"/>
      <c r="PUM1876" s="2730"/>
      <c r="PUN1876" s="2730"/>
      <c r="PUO1876" s="2730"/>
      <c r="PUP1876" s="2730"/>
      <c r="PUQ1876" s="2730"/>
      <c r="PUR1876" s="2730"/>
      <c r="PUS1876" s="2730"/>
      <c r="PUT1876" s="2730"/>
      <c r="PUU1876" s="2730"/>
      <c r="PUV1876" s="2730"/>
      <c r="PUW1876" s="2730"/>
      <c r="PUX1876" s="2730"/>
      <c r="PUY1876" s="2730"/>
      <c r="PUZ1876" s="2730"/>
      <c r="PVA1876" s="2730"/>
      <c r="PVB1876" s="2730"/>
      <c r="PVC1876" s="2730"/>
      <c r="PVD1876" s="2730"/>
      <c r="PVE1876" s="2730"/>
      <c r="PVF1876" s="2730"/>
      <c r="PVG1876" s="2730"/>
      <c r="PVH1876" s="2730"/>
      <c r="PVI1876" s="2730"/>
      <c r="PVJ1876" s="2730"/>
      <c r="PVK1876" s="2730"/>
      <c r="PVL1876" s="2730"/>
      <c r="PVM1876" s="2730"/>
      <c r="PVN1876" s="2730"/>
      <c r="PVO1876" s="2730"/>
      <c r="PVP1876" s="2730"/>
      <c r="PVQ1876" s="2730"/>
      <c r="PVR1876" s="2730"/>
      <c r="PVS1876" s="2730"/>
      <c r="PVT1876" s="2730"/>
      <c r="PVU1876" s="2730"/>
      <c r="PVV1876" s="2730"/>
      <c r="PVW1876" s="2730"/>
      <c r="PVX1876" s="2730"/>
      <c r="PVY1876" s="2730"/>
      <c r="PVZ1876" s="2730"/>
      <c r="PWA1876" s="2730"/>
      <c r="PWB1876" s="2730"/>
      <c r="PWC1876" s="2730"/>
      <c r="PWD1876" s="2730"/>
      <c r="PWE1876" s="2730"/>
      <c r="PWF1876" s="2730"/>
      <c r="PWG1876" s="2730"/>
      <c r="PWH1876" s="2730"/>
      <c r="PWI1876" s="2730"/>
      <c r="PWJ1876" s="2730"/>
      <c r="PWK1876" s="2730"/>
      <c r="PWL1876" s="2730"/>
      <c r="PWM1876" s="2730"/>
      <c r="PWN1876" s="2730"/>
      <c r="PWO1876" s="2730"/>
      <c r="PWP1876" s="2730"/>
      <c r="PWQ1876" s="2730"/>
      <c r="PWR1876" s="2730"/>
      <c r="PWS1876" s="2730"/>
      <c r="PWT1876" s="2730"/>
      <c r="PWU1876" s="2730"/>
      <c r="PWV1876" s="2730"/>
      <c r="PWW1876" s="2730"/>
      <c r="PWX1876" s="2730"/>
      <c r="PWY1876" s="2730"/>
      <c r="PWZ1876" s="2730"/>
      <c r="PXA1876" s="2730"/>
      <c r="PXB1876" s="2730"/>
      <c r="PXC1876" s="2730"/>
      <c r="PXD1876" s="2730"/>
      <c r="PXE1876" s="2730"/>
      <c r="PXF1876" s="2730"/>
      <c r="PXG1876" s="2730"/>
      <c r="PXH1876" s="2730"/>
      <c r="PXI1876" s="2730"/>
      <c r="PXJ1876" s="2730"/>
      <c r="PXK1876" s="2730"/>
      <c r="PXL1876" s="2730"/>
      <c r="PXM1876" s="2730"/>
      <c r="PXN1876" s="2730"/>
      <c r="PXO1876" s="2730"/>
      <c r="PXP1876" s="2730"/>
      <c r="PXQ1876" s="2730"/>
      <c r="PXR1876" s="2730"/>
      <c r="PXS1876" s="2730"/>
      <c r="PXT1876" s="2730"/>
      <c r="PXU1876" s="2730"/>
      <c r="PXV1876" s="2730"/>
      <c r="PXW1876" s="2730"/>
      <c r="PXX1876" s="2730"/>
      <c r="PXY1876" s="2730"/>
      <c r="PXZ1876" s="2730"/>
      <c r="PYA1876" s="2730"/>
      <c r="PYB1876" s="2730"/>
      <c r="PYC1876" s="2730"/>
      <c r="PYD1876" s="2730"/>
      <c r="PYE1876" s="2730"/>
      <c r="PYF1876" s="2730"/>
      <c r="PYG1876" s="2730"/>
      <c r="PYH1876" s="2730"/>
      <c r="PYI1876" s="2730"/>
      <c r="PYJ1876" s="2730"/>
      <c r="PYK1876" s="2730"/>
      <c r="PYL1876" s="2730"/>
      <c r="PYM1876" s="2730"/>
      <c r="PYN1876" s="2730"/>
      <c r="PYO1876" s="2730"/>
      <c r="PYP1876" s="2730"/>
      <c r="PYQ1876" s="2730"/>
      <c r="PYR1876" s="2730"/>
      <c r="PYS1876" s="2730"/>
      <c r="PYT1876" s="2730"/>
      <c r="PYU1876" s="2730"/>
      <c r="PYV1876" s="2730"/>
      <c r="PYW1876" s="2730"/>
      <c r="PYX1876" s="2730"/>
      <c r="PYY1876" s="2730"/>
      <c r="PYZ1876" s="2730"/>
      <c r="PZA1876" s="2730"/>
      <c r="PZB1876" s="2730"/>
      <c r="PZC1876" s="2730"/>
      <c r="PZD1876" s="2730"/>
      <c r="PZE1876" s="2730"/>
      <c r="PZF1876" s="2730"/>
      <c r="PZG1876" s="2730"/>
      <c r="PZH1876" s="2730"/>
      <c r="PZI1876" s="2730"/>
      <c r="PZJ1876" s="2730"/>
      <c r="PZK1876" s="2730"/>
      <c r="PZL1876" s="2730"/>
      <c r="PZM1876" s="2730"/>
      <c r="PZN1876" s="2730"/>
      <c r="PZO1876" s="2730"/>
      <c r="PZP1876" s="2730"/>
      <c r="PZQ1876" s="2730"/>
      <c r="PZR1876" s="2730"/>
      <c r="PZS1876" s="2730"/>
      <c r="PZT1876" s="2730"/>
      <c r="PZU1876" s="2730"/>
      <c r="PZV1876" s="2730"/>
      <c r="PZW1876" s="2730"/>
      <c r="PZX1876" s="2730"/>
      <c r="PZY1876" s="2730"/>
      <c r="PZZ1876" s="2730"/>
      <c r="QAA1876" s="2730"/>
      <c r="QAB1876" s="2730"/>
      <c r="QAC1876" s="2730"/>
      <c r="QAD1876" s="2730"/>
      <c r="QAE1876" s="2730"/>
      <c r="QAF1876" s="2730"/>
      <c r="QAG1876" s="2730"/>
      <c r="QAH1876" s="2730"/>
      <c r="QAI1876" s="2730"/>
      <c r="QAJ1876" s="2730"/>
      <c r="QAK1876" s="2730"/>
      <c r="QAL1876" s="2730"/>
      <c r="QAM1876" s="2730"/>
      <c r="QAN1876" s="2730"/>
      <c r="QAO1876" s="2730"/>
      <c r="QAP1876" s="2730"/>
      <c r="QAQ1876" s="2730"/>
      <c r="QAR1876" s="2730"/>
      <c r="QAS1876" s="2730"/>
      <c r="QAT1876" s="2730"/>
      <c r="QAU1876" s="2730"/>
      <c r="QAV1876" s="2730"/>
      <c r="QAW1876" s="2730"/>
      <c r="QAX1876" s="2730"/>
      <c r="QAY1876" s="2730"/>
      <c r="QAZ1876" s="2730"/>
      <c r="QBA1876" s="2730"/>
      <c r="QBB1876" s="2730"/>
      <c r="QBC1876" s="2730"/>
      <c r="QBD1876" s="2730"/>
      <c r="QBE1876" s="2730"/>
      <c r="QBF1876" s="2730"/>
      <c r="QBG1876" s="2730"/>
      <c r="QBH1876" s="2730"/>
      <c r="QBI1876" s="2730"/>
      <c r="QBJ1876" s="2730"/>
      <c r="QBK1876" s="2730"/>
      <c r="QBL1876" s="2730"/>
      <c r="QBM1876" s="2730"/>
      <c r="QBN1876" s="2730"/>
      <c r="QBO1876" s="2730"/>
      <c r="QBP1876" s="2730"/>
      <c r="QBQ1876" s="2730"/>
      <c r="QBR1876" s="2730"/>
      <c r="QBS1876" s="2730"/>
      <c r="QBT1876" s="2730"/>
      <c r="QBU1876" s="2730"/>
      <c r="QBV1876" s="2730"/>
      <c r="QBW1876" s="2730"/>
      <c r="QBX1876" s="2730"/>
      <c r="QBY1876" s="2730"/>
      <c r="QBZ1876" s="2730"/>
      <c r="QCA1876" s="2730"/>
      <c r="QCB1876" s="2730"/>
      <c r="QCC1876" s="2730"/>
      <c r="QCD1876" s="2730"/>
      <c r="QCE1876" s="2730"/>
      <c r="QCF1876" s="2730"/>
      <c r="QCG1876" s="2730"/>
      <c r="QCH1876" s="2730"/>
      <c r="QCI1876" s="2730"/>
      <c r="QCJ1876" s="2730"/>
      <c r="QCK1876" s="2730"/>
      <c r="QCL1876" s="2730"/>
      <c r="QCM1876" s="2730"/>
      <c r="QCN1876" s="2730"/>
      <c r="QCO1876" s="2730"/>
      <c r="QCP1876" s="2730"/>
      <c r="QCQ1876" s="2730"/>
      <c r="QCR1876" s="2730"/>
      <c r="QCS1876" s="2730"/>
      <c r="QCT1876" s="2730"/>
      <c r="QCU1876" s="2730"/>
      <c r="QCV1876" s="2730"/>
      <c r="QCW1876" s="2730"/>
      <c r="QCX1876" s="2730"/>
      <c r="QCY1876" s="2730"/>
      <c r="QCZ1876" s="2730"/>
      <c r="QDA1876" s="2730"/>
      <c r="QDB1876" s="2730"/>
      <c r="QDC1876" s="2730"/>
      <c r="QDD1876" s="2730"/>
      <c r="QDE1876" s="2730"/>
      <c r="QDF1876" s="2730"/>
      <c r="QDG1876" s="2730"/>
      <c r="QDH1876" s="2730"/>
      <c r="QDI1876" s="2730"/>
      <c r="QDJ1876" s="2730"/>
      <c r="QDK1876" s="2730"/>
      <c r="QDL1876" s="2730"/>
      <c r="QDM1876" s="2730"/>
      <c r="QDN1876" s="2730"/>
      <c r="QDO1876" s="2730"/>
      <c r="QDP1876" s="2730"/>
      <c r="QDQ1876" s="2730"/>
      <c r="QDR1876" s="2730"/>
      <c r="QDS1876" s="2730"/>
      <c r="QDT1876" s="2730"/>
      <c r="QDU1876" s="2730"/>
      <c r="QDV1876" s="2730"/>
      <c r="QDW1876" s="2730"/>
      <c r="QDX1876" s="2730"/>
      <c r="QDY1876" s="2730"/>
      <c r="QDZ1876" s="2730"/>
      <c r="QEA1876" s="2730"/>
      <c r="QEB1876" s="2730"/>
      <c r="QEC1876" s="2730"/>
      <c r="QED1876" s="2730"/>
      <c r="QEE1876" s="2730"/>
      <c r="QEF1876" s="2730"/>
      <c r="QEG1876" s="2730"/>
      <c r="QEH1876" s="2730"/>
      <c r="QEI1876" s="2730"/>
      <c r="QEJ1876" s="2730"/>
      <c r="QEK1876" s="2730"/>
      <c r="QEL1876" s="2730"/>
      <c r="QEM1876" s="2730"/>
      <c r="QEN1876" s="2730"/>
      <c r="QEO1876" s="2730"/>
      <c r="QEP1876" s="2730"/>
      <c r="QEQ1876" s="2730"/>
      <c r="QER1876" s="2730"/>
      <c r="QES1876" s="2730"/>
      <c r="QET1876" s="2730"/>
      <c r="QEU1876" s="2730"/>
      <c r="QEV1876" s="2730"/>
      <c r="QEW1876" s="2730"/>
      <c r="QEX1876" s="2730"/>
      <c r="QEY1876" s="2730"/>
      <c r="QEZ1876" s="2730"/>
      <c r="QFA1876" s="2730"/>
      <c r="QFB1876" s="2730"/>
      <c r="QFC1876" s="2730"/>
      <c r="QFD1876" s="2730"/>
      <c r="QFE1876" s="2730"/>
      <c r="QFF1876" s="2730"/>
      <c r="QFG1876" s="2730"/>
      <c r="QFH1876" s="2730"/>
      <c r="QFI1876" s="2730"/>
      <c r="QFJ1876" s="2730"/>
      <c r="QFK1876" s="2730"/>
      <c r="QFL1876" s="2730"/>
      <c r="QFM1876" s="2730"/>
      <c r="QFN1876" s="2730"/>
      <c r="QFO1876" s="2730"/>
      <c r="QFP1876" s="2730"/>
      <c r="QFQ1876" s="2730"/>
      <c r="QFR1876" s="2730"/>
      <c r="QFS1876" s="2730"/>
      <c r="QFT1876" s="2730"/>
      <c r="QFU1876" s="2730"/>
      <c r="QFV1876" s="2730"/>
      <c r="QFW1876" s="2730"/>
      <c r="QFX1876" s="2730"/>
      <c r="QFY1876" s="2730"/>
      <c r="QFZ1876" s="2730"/>
      <c r="QGA1876" s="2730"/>
      <c r="QGB1876" s="2730"/>
      <c r="QGC1876" s="2730"/>
      <c r="QGD1876" s="2730"/>
      <c r="QGE1876" s="2730"/>
      <c r="QGF1876" s="2730"/>
      <c r="QGG1876" s="2730"/>
      <c r="QGH1876" s="2730"/>
      <c r="QGI1876" s="2730"/>
      <c r="QGJ1876" s="2730"/>
      <c r="QGK1876" s="2730"/>
      <c r="QGL1876" s="2730"/>
      <c r="QGM1876" s="2730"/>
      <c r="QGN1876" s="2730"/>
      <c r="QGO1876" s="2730"/>
      <c r="QGP1876" s="2730"/>
      <c r="QGQ1876" s="2730"/>
      <c r="QGR1876" s="2730"/>
      <c r="QGS1876" s="2730"/>
      <c r="QGT1876" s="2730"/>
      <c r="QGU1876" s="2730"/>
      <c r="QGV1876" s="2730"/>
      <c r="QGW1876" s="2730"/>
      <c r="QGX1876" s="2730"/>
      <c r="QGY1876" s="2730"/>
      <c r="QGZ1876" s="2730"/>
      <c r="QHA1876" s="2730"/>
      <c r="QHB1876" s="2730"/>
      <c r="QHC1876" s="2730"/>
      <c r="QHD1876" s="2730"/>
      <c r="QHE1876" s="2730"/>
      <c r="QHF1876" s="2730"/>
      <c r="QHG1876" s="2730"/>
      <c r="QHH1876" s="2730"/>
      <c r="QHI1876" s="2730"/>
      <c r="QHJ1876" s="2730"/>
      <c r="QHK1876" s="2730"/>
      <c r="QHL1876" s="2730"/>
      <c r="QHM1876" s="2730"/>
      <c r="QHN1876" s="2730"/>
      <c r="QHO1876" s="2730"/>
      <c r="QHP1876" s="2730"/>
      <c r="QHQ1876" s="2730"/>
      <c r="QHR1876" s="2730"/>
      <c r="QHS1876" s="2730"/>
      <c r="QHT1876" s="2730"/>
      <c r="QHU1876" s="2730"/>
      <c r="QHV1876" s="2730"/>
      <c r="QHW1876" s="2730"/>
      <c r="QHX1876" s="2730"/>
      <c r="QHY1876" s="2730"/>
      <c r="QHZ1876" s="2730"/>
      <c r="QIA1876" s="2730"/>
      <c r="QIB1876" s="2730"/>
      <c r="QIC1876" s="2730"/>
      <c r="QID1876" s="2730"/>
      <c r="QIE1876" s="2730"/>
      <c r="QIF1876" s="2730"/>
      <c r="QIG1876" s="2730"/>
      <c r="QIH1876" s="2730"/>
      <c r="QII1876" s="2730"/>
      <c r="QIJ1876" s="2730"/>
      <c r="QIK1876" s="2730"/>
      <c r="QIL1876" s="2730"/>
      <c r="QIM1876" s="2730"/>
      <c r="QIN1876" s="2730"/>
      <c r="QIO1876" s="2730"/>
      <c r="QIP1876" s="2730"/>
      <c r="QIQ1876" s="2730"/>
      <c r="QIR1876" s="2730"/>
      <c r="QIS1876" s="2730"/>
      <c r="QIT1876" s="2730"/>
      <c r="QIU1876" s="2730"/>
      <c r="QIV1876" s="2730"/>
      <c r="QIW1876" s="2730"/>
      <c r="QIX1876" s="2730"/>
      <c r="QIY1876" s="2730"/>
      <c r="QIZ1876" s="2730"/>
      <c r="QJA1876" s="2730"/>
      <c r="QJB1876" s="2730"/>
      <c r="QJC1876" s="2730"/>
      <c r="QJD1876" s="2730"/>
      <c r="QJE1876" s="2730"/>
      <c r="QJF1876" s="2730"/>
      <c r="QJG1876" s="2730"/>
      <c r="QJH1876" s="2730"/>
      <c r="QJI1876" s="2730"/>
      <c r="QJJ1876" s="2730"/>
      <c r="QJK1876" s="2730"/>
      <c r="QJL1876" s="2730"/>
      <c r="QJM1876" s="2730"/>
      <c r="QJN1876" s="2730"/>
      <c r="QJO1876" s="2730"/>
      <c r="QJP1876" s="2730"/>
      <c r="QJQ1876" s="2730"/>
      <c r="QJR1876" s="2730"/>
      <c r="QJS1876" s="2730"/>
      <c r="QJT1876" s="2730"/>
      <c r="QJU1876" s="2730"/>
      <c r="QJV1876" s="2730"/>
      <c r="QJW1876" s="2730"/>
      <c r="QJX1876" s="2730"/>
      <c r="QJY1876" s="2730"/>
      <c r="QJZ1876" s="2730"/>
      <c r="QKA1876" s="2730"/>
      <c r="QKB1876" s="2730"/>
      <c r="QKC1876" s="2730"/>
      <c r="QKD1876" s="2730"/>
      <c r="QKE1876" s="2730"/>
      <c r="QKF1876" s="2730"/>
      <c r="QKG1876" s="2730"/>
      <c r="QKH1876" s="2730"/>
      <c r="QKI1876" s="2730"/>
      <c r="QKJ1876" s="2730"/>
      <c r="QKK1876" s="2730"/>
      <c r="QKL1876" s="2730"/>
      <c r="QKM1876" s="2730"/>
      <c r="QKN1876" s="2730"/>
      <c r="QKO1876" s="2730"/>
      <c r="QKP1876" s="2730"/>
      <c r="QKQ1876" s="2730"/>
      <c r="QKR1876" s="2730"/>
      <c r="QKS1876" s="2730"/>
      <c r="QKT1876" s="2730"/>
      <c r="QKU1876" s="2730"/>
      <c r="QKV1876" s="2730"/>
      <c r="QKW1876" s="2730"/>
      <c r="QKX1876" s="2730"/>
      <c r="QKY1876" s="2730"/>
      <c r="QKZ1876" s="2730"/>
      <c r="QLA1876" s="2730"/>
      <c r="QLB1876" s="2730"/>
      <c r="QLC1876" s="2730"/>
      <c r="QLD1876" s="2730"/>
      <c r="QLE1876" s="2730"/>
      <c r="QLF1876" s="2730"/>
      <c r="QLG1876" s="2730"/>
      <c r="QLH1876" s="2730"/>
      <c r="QLI1876" s="2730"/>
      <c r="QLJ1876" s="2730"/>
      <c r="QLK1876" s="2730"/>
      <c r="QLL1876" s="2730"/>
      <c r="QLM1876" s="2730"/>
      <c r="QLN1876" s="2730"/>
      <c r="QLO1876" s="2730"/>
      <c r="QLP1876" s="2730"/>
      <c r="QLQ1876" s="2730"/>
      <c r="QLR1876" s="2730"/>
      <c r="QLS1876" s="2730"/>
      <c r="QLT1876" s="2730"/>
      <c r="QLU1876" s="2730"/>
      <c r="QLV1876" s="2730"/>
      <c r="QLW1876" s="2730"/>
      <c r="QLX1876" s="2730"/>
      <c r="QLY1876" s="2730"/>
      <c r="QLZ1876" s="2730"/>
      <c r="QMA1876" s="2730"/>
      <c r="QMB1876" s="2730"/>
      <c r="QMC1876" s="2730"/>
      <c r="QMD1876" s="2730"/>
      <c r="QME1876" s="2730"/>
      <c r="QMF1876" s="2730"/>
      <c r="QMG1876" s="2730"/>
      <c r="QMH1876" s="2730"/>
      <c r="QMI1876" s="2730"/>
      <c r="QMJ1876" s="2730"/>
      <c r="QMK1876" s="2730"/>
      <c r="QML1876" s="2730"/>
      <c r="QMM1876" s="2730"/>
      <c r="QMN1876" s="2730"/>
      <c r="QMO1876" s="2730"/>
      <c r="QMP1876" s="2730"/>
      <c r="QMQ1876" s="2730"/>
      <c r="QMR1876" s="2730"/>
      <c r="QMS1876" s="2730"/>
      <c r="QMT1876" s="2730"/>
      <c r="QMU1876" s="2730"/>
      <c r="QMV1876" s="2730"/>
      <c r="QMW1876" s="2730"/>
      <c r="QMX1876" s="2730"/>
      <c r="QMY1876" s="2730"/>
      <c r="QMZ1876" s="2730"/>
      <c r="QNA1876" s="2730"/>
      <c r="QNB1876" s="2730"/>
      <c r="QNC1876" s="2730"/>
      <c r="QND1876" s="2730"/>
      <c r="QNE1876" s="2730"/>
      <c r="QNF1876" s="2730"/>
      <c r="QNG1876" s="2730"/>
      <c r="QNH1876" s="2730"/>
      <c r="QNI1876" s="2730"/>
      <c r="QNJ1876" s="2730"/>
      <c r="QNK1876" s="2730"/>
      <c r="QNL1876" s="2730"/>
      <c r="QNM1876" s="2730"/>
      <c r="QNN1876" s="2730"/>
      <c r="QNO1876" s="2730"/>
      <c r="QNP1876" s="2730"/>
      <c r="QNQ1876" s="2730"/>
      <c r="QNR1876" s="2730"/>
      <c r="QNS1876" s="2730"/>
      <c r="QNT1876" s="2730"/>
      <c r="QNU1876" s="2730"/>
      <c r="QNV1876" s="2730"/>
      <c r="QNW1876" s="2730"/>
      <c r="QNX1876" s="2730"/>
      <c r="QNY1876" s="2730"/>
      <c r="QNZ1876" s="2730"/>
      <c r="QOA1876" s="2730"/>
      <c r="QOB1876" s="2730"/>
      <c r="QOC1876" s="2730"/>
      <c r="QOD1876" s="2730"/>
      <c r="QOE1876" s="2730"/>
      <c r="QOF1876" s="2730"/>
      <c r="QOG1876" s="2730"/>
      <c r="QOH1876" s="2730"/>
      <c r="QOI1876" s="2730"/>
      <c r="QOJ1876" s="2730"/>
      <c r="QOK1876" s="2730"/>
      <c r="QOL1876" s="2730"/>
      <c r="QOM1876" s="2730"/>
      <c r="QON1876" s="2730"/>
      <c r="QOO1876" s="2730"/>
      <c r="QOP1876" s="2730"/>
      <c r="QOQ1876" s="2730"/>
      <c r="QOR1876" s="2730"/>
      <c r="QOS1876" s="2730"/>
      <c r="QOT1876" s="2730"/>
      <c r="QOU1876" s="2730"/>
      <c r="QOV1876" s="2730"/>
      <c r="QOW1876" s="2730"/>
      <c r="QOX1876" s="2730"/>
      <c r="QOY1876" s="2730"/>
      <c r="QOZ1876" s="2730"/>
      <c r="QPA1876" s="2730"/>
      <c r="QPB1876" s="2730"/>
      <c r="QPC1876" s="2730"/>
      <c r="QPD1876" s="2730"/>
      <c r="QPE1876" s="2730"/>
      <c r="QPF1876" s="2730"/>
      <c r="QPG1876" s="2730"/>
      <c r="QPH1876" s="2730"/>
      <c r="QPI1876" s="2730"/>
      <c r="QPJ1876" s="2730"/>
      <c r="QPK1876" s="2730"/>
      <c r="QPL1876" s="2730"/>
      <c r="QPM1876" s="2730"/>
      <c r="QPN1876" s="2730"/>
      <c r="QPO1876" s="2730"/>
      <c r="QPP1876" s="2730"/>
      <c r="QPQ1876" s="2730"/>
      <c r="QPR1876" s="2730"/>
      <c r="QPS1876" s="2730"/>
      <c r="QPT1876" s="2730"/>
      <c r="QPU1876" s="2730"/>
      <c r="QPV1876" s="2730"/>
      <c r="QPW1876" s="2730"/>
      <c r="QPX1876" s="2730"/>
      <c r="QPY1876" s="2730"/>
      <c r="QPZ1876" s="2730"/>
      <c r="QQA1876" s="2730"/>
      <c r="QQB1876" s="2730"/>
      <c r="QQC1876" s="2730"/>
      <c r="QQD1876" s="2730"/>
      <c r="QQE1876" s="2730"/>
      <c r="QQF1876" s="2730"/>
      <c r="QQG1876" s="2730"/>
      <c r="QQH1876" s="2730"/>
      <c r="QQI1876" s="2730"/>
      <c r="QQJ1876" s="2730"/>
      <c r="QQK1876" s="2730"/>
      <c r="QQL1876" s="2730"/>
      <c r="QQM1876" s="2730"/>
      <c r="QQN1876" s="2730"/>
      <c r="QQO1876" s="2730"/>
      <c r="QQP1876" s="2730"/>
      <c r="QQQ1876" s="2730"/>
      <c r="QQR1876" s="2730"/>
      <c r="QQS1876" s="2730"/>
      <c r="QQT1876" s="2730"/>
      <c r="QQU1876" s="2730"/>
      <c r="QQV1876" s="2730"/>
      <c r="QQW1876" s="2730"/>
      <c r="QQX1876" s="2730"/>
      <c r="QQY1876" s="2730"/>
      <c r="QQZ1876" s="2730"/>
      <c r="QRA1876" s="2730"/>
      <c r="QRB1876" s="2730"/>
      <c r="QRC1876" s="2730"/>
      <c r="QRD1876" s="2730"/>
      <c r="QRE1876" s="2730"/>
      <c r="QRF1876" s="2730"/>
      <c r="QRG1876" s="2730"/>
      <c r="QRH1876" s="2730"/>
      <c r="QRI1876" s="2730"/>
      <c r="QRJ1876" s="2730"/>
      <c r="QRK1876" s="2730"/>
      <c r="QRL1876" s="2730"/>
      <c r="QRM1876" s="2730"/>
      <c r="QRN1876" s="2730"/>
      <c r="QRO1876" s="2730"/>
      <c r="QRP1876" s="2730"/>
      <c r="QRQ1876" s="2730"/>
      <c r="QRR1876" s="2730"/>
      <c r="QRS1876" s="2730"/>
      <c r="QRT1876" s="2730"/>
      <c r="QRU1876" s="2730"/>
      <c r="QRV1876" s="2730"/>
      <c r="QRW1876" s="2730"/>
      <c r="QRX1876" s="2730"/>
      <c r="QRY1876" s="2730"/>
      <c r="QRZ1876" s="2730"/>
      <c r="QSA1876" s="2730"/>
      <c r="QSB1876" s="2730"/>
      <c r="QSC1876" s="2730"/>
      <c r="QSD1876" s="2730"/>
      <c r="QSE1876" s="2730"/>
      <c r="QSF1876" s="2730"/>
      <c r="QSG1876" s="2730"/>
      <c r="QSH1876" s="2730"/>
      <c r="QSI1876" s="2730"/>
      <c r="QSJ1876" s="2730"/>
      <c r="QSK1876" s="2730"/>
      <c r="QSL1876" s="2730"/>
      <c r="QSM1876" s="2730"/>
      <c r="QSN1876" s="2730"/>
      <c r="QSO1876" s="2730"/>
      <c r="QSP1876" s="2730"/>
      <c r="QSQ1876" s="2730"/>
      <c r="QSR1876" s="2730"/>
      <c r="QSS1876" s="2730"/>
      <c r="QST1876" s="2730"/>
      <c r="QSU1876" s="2730"/>
      <c r="QSV1876" s="2730"/>
      <c r="QSW1876" s="2730"/>
      <c r="QSX1876" s="2730"/>
      <c r="QSY1876" s="2730"/>
      <c r="QSZ1876" s="2730"/>
      <c r="QTA1876" s="2730"/>
      <c r="QTB1876" s="2730"/>
      <c r="QTC1876" s="2730"/>
      <c r="QTD1876" s="2730"/>
      <c r="QTE1876" s="2730"/>
      <c r="QTF1876" s="2730"/>
      <c r="QTG1876" s="2730"/>
      <c r="QTH1876" s="2730"/>
      <c r="QTI1876" s="2730"/>
      <c r="QTJ1876" s="2730"/>
      <c r="QTK1876" s="2730"/>
      <c r="QTL1876" s="2730"/>
      <c r="QTM1876" s="2730"/>
      <c r="QTN1876" s="2730"/>
      <c r="QTO1876" s="2730"/>
      <c r="QTP1876" s="2730"/>
      <c r="QTQ1876" s="2730"/>
      <c r="QTR1876" s="2730"/>
      <c r="QTS1876" s="2730"/>
      <c r="QTT1876" s="2730"/>
      <c r="QTU1876" s="2730"/>
      <c r="QTV1876" s="2730"/>
      <c r="QTW1876" s="2730"/>
      <c r="QTX1876" s="2730"/>
      <c r="QTY1876" s="2730"/>
      <c r="QTZ1876" s="2730"/>
      <c r="QUA1876" s="2730"/>
      <c r="QUB1876" s="2730"/>
      <c r="QUC1876" s="2730"/>
      <c r="QUD1876" s="2730"/>
      <c r="QUE1876" s="2730"/>
      <c r="QUF1876" s="2730"/>
      <c r="QUG1876" s="2730"/>
      <c r="QUH1876" s="2730"/>
      <c r="QUI1876" s="2730"/>
      <c r="QUJ1876" s="2730"/>
      <c r="QUK1876" s="2730"/>
      <c r="QUL1876" s="2730"/>
      <c r="QUM1876" s="2730"/>
      <c r="QUN1876" s="2730"/>
      <c r="QUO1876" s="2730"/>
      <c r="QUP1876" s="2730"/>
      <c r="QUQ1876" s="2730"/>
      <c r="QUR1876" s="2730"/>
      <c r="QUS1876" s="2730"/>
      <c r="QUT1876" s="2730"/>
      <c r="QUU1876" s="2730"/>
      <c r="QUV1876" s="2730"/>
      <c r="QUW1876" s="2730"/>
      <c r="QUX1876" s="2730"/>
      <c r="QUY1876" s="2730"/>
      <c r="QUZ1876" s="2730"/>
      <c r="QVA1876" s="2730"/>
      <c r="QVB1876" s="2730"/>
      <c r="QVC1876" s="2730"/>
      <c r="QVD1876" s="2730"/>
      <c r="QVE1876" s="2730"/>
      <c r="QVF1876" s="2730"/>
      <c r="QVG1876" s="2730"/>
      <c r="QVH1876" s="2730"/>
      <c r="QVI1876" s="2730"/>
      <c r="QVJ1876" s="2730"/>
      <c r="QVK1876" s="2730"/>
      <c r="QVL1876" s="2730"/>
      <c r="QVM1876" s="2730"/>
      <c r="QVN1876" s="2730"/>
      <c r="QVO1876" s="2730"/>
      <c r="QVP1876" s="2730"/>
      <c r="QVQ1876" s="2730"/>
      <c r="QVR1876" s="2730"/>
      <c r="QVS1876" s="2730"/>
      <c r="QVT1876" s="2730"/>
      <c r="QVU1876" s="2730"/>
      <c r="QVV1876" s="2730"/>
      <c r="QVW1876" s="2730"/>
      <c r="QVX1876" s="2730"/>
      <c r="QVY1876" s="2730"/>
      <c r="QVZ1876" s="2730"/>
      <c r="QWA1876" s="2730"/>
      <c r="QWB1876" s="2730"/>
      <c r="QWC1876" s="2730"/>
      <c r="QWD1876" s="2730"/>
      <c r="QWE1876" s="2730"/>
      <c r="QWF1876" s="2730"/>
      <c r="QWG1876" s="2730"/>
      <c r="QWH1876" s="2730"/>
      <c r="QWI1876" s="2730"/>
      <c r="QWJ1876" s="2730"/>
      <c r="QWK1876" s="2730"/>
      <c r="QWL1876" s="2730"/>
      <c r="QWM1876" s="2730"/>
      <c r="QWN1876" s="2730"/>
      <c r="QWO1876" s="2730"/>
      <c r="QWP1876" s="2730"/>
      <c r="QWQ1876" s="2730"/>
      <c r="QWR1876" s="2730"/>
      <c r="QWS1876" s="2730"/>
      <c r="QWT1876" s="2730"/>
      <c r="QWU1876" s="2730"/>
      <c r="QWV1876" s="2730"/>
      <c r="QWW1876" s="2730"/>
      <c r="QWX1876" s="2730"/>
      <c r="QWY1876" s="2730"/>
      <c r="QWZ1876" s="2730"/>
      <c r="QXA1876" s="2730"/>
      <c r="QXB1876" s="2730"/>
      <c r="QXC1876" s="2730"/>
      <c r="QXD1876" s="2730"/>
      <c r="QXE1876" s="2730"/>
      <c r="QXF1876" s="2730"/>
      <c r="QXG1876" s="2730"/>
      <c r="QXH1876" s="2730"/>
      <c r="QXI1876" s="2730"/>
      <c r="QXJ1876" s="2730"/>
      <c r="QXK1876" s="2730"/>
      <c r="QXL1876" s="2730"/>
      <c r="QXM1876" s="2730"/>
      <c r="QXN1876" s="2730"/>
      <c r="QXO1876" s="2730"/>
      <c r="QXP1876" s="2730"/>
      <c r="QXQ1876" s="2730"/>
      <c r="QXR1876" s="2730"/>
      <c r="QXS1876" s="2730"/>
      <c r="QXT1876" s="2730"/>
      <c r="QXU1876" s="2730"/>
      <c r="QXV1876" s="2730"/>
      <c r="QXW1876" s="2730"/>
      <c r="QXX1876" s="2730"/>
      <c r="QXY1876" s="2730"/>
      <c r="QXZ1876" s="2730"/>
      <c r="QYA1876" s="2730"/>
      <c r="QYB1876" s="2730"/>
      <c r="QYC1876" s="2730"/>
      <c r="QYD1876" s="2730"/>
      <c r="QYE1876" s="2730"/>
      <c r="QYF1876" s="2730"/>
      <c r="QYG1876" s="2730"/>
      <c r="QYH1876" s="2730"/>
      <c r="QYI1876" s="2730"/>
      <c r="QYJ1876" s="2730"/>
      <c r="QYK1876" s="2730"/>
      <c r="QYL1876" s="2730"/>
      <c r="QYM1876" s="2730"/>
      <c r="QYN1876" s="2730"/>
      <c r="QYO1876" s="2730"/>
      <c r="QYP1876" s="2730"/>
      <c r="QYQ1876" s="2730"/>
      <c r="QYR1876" s="2730"/>
      <c r="QYS1876" s="2730"/>
      <c r="QYT1876" s="2730"/>
      <c r="QYU1876" s="2730"/>
      <c r="QYV1876" s="2730"/>
      <c r="QYW1876" s="2730"/>
      <c r="QYX1876" s="2730"/>
      <c r="QYY1876" s="2730"/>
      <c r="QYZ1876" s="2730"/>
      <c r="QZA1876" s="2730"/>
      <c r="QZB1876" s="2730"/>
      <c r="QZC1876" s="2730"/>
      <c r="QZD1876" s="2730"/>
      <c r="QZE1876" s="2730"/>
      <c r="QZF1876" s="2730"/>
      <c r="QZG1876" s="2730"/>
      <c r="QZH1876" s="2730"/>
      <c r="QZI1876" s="2730"/>
      <c r="QZJ1876" s="2730"/>
      <c r="QZK1876" s="2730"/>
      <c r="QZL1876" s="2730"/>
      <c r="QZM1876" s="2730"/>
      <c r="QZN1876" s="2730"/>
      <c r="QZO1876" s="2730"/>
      <c r="QZP1876" s="2730"/>
      <c r="QZQ1876" s="2730"/>
      <c r="QZR1876" s="2730"/>
      <c r="QZS1876" s="2730"/>
      <c r="QZT1876" s="2730"/>
      <c r="QZU1876" s="2730"/>
      <c r="QZV1876" s="2730"/>
      <c r="QZW1876" s="2730"/>
      <c r="QZX1876" s="2730"/>
      <c r="QZY1876" s="2730"/>
      <c r="QZZ1876" s="2730"/>
      <c r="RAA1876" s="2730"/>
      <c r="RAB1876" s="2730"/>
      <c r="RAC1876" s="2730"/>
      <c r="RAD1876" s="2730"/>
      <c r="RAE1876" s="2730"/>
      <c r="RAF1876" s="2730"/>
      <c r="RAG1876" s="2730"/>
      <c r="RAH1876" s="2730"/>
      <c r="RAI1876" s="2730"/>
      <c r="RAJ1876" s="2730"/>
      <c r="RAK1876" s="2730"/>
      <c r="RAL1876" s="2730"/>
      <c r="RAM1876" s="2730"/>
      <c r="RAN1876" s="2730"/>
      <c r="RAO1876" s="2730"/>
      <c r="RAP1876" s="2730"/>
      <c r="RAQ1876" s="2730"/>
      <c r="RAR1876" s="2730"/>
      <c r="RAS1876" s="2730"/>
      <c r="RAT1876" s="2730"/>
      <c r="RAU1876" s="2730"/>
      <c r="RAV1876" s="2730"/>
      <c r="RAW1876" s="2730"/>
      <c r="RAX1876" s="2730"/>
      <c r="RAY1876" s="2730"/>
      <c r="RAZ1876" s="2730"/>
      <c r="RBA1876" s="2730"/>
      <c r="RBB1876" s="2730"/>
      <c r="RBC1876" s="2730"/>
      <c r="RBD1876" s="2730"/>
      <c r="RBE1876" s="2730"/>
      <c r="RBF1876" s="2730"/>
      <c r="RBG1876" s="2730"/>
      <c r="RBH1876" s="2730"/>
      <c r="RBI1876" s="2730"/>
      <c r="RBJ1876" s="2730"/>
      <c r="RBK1876" s="2730"/>
      <c r="RBL1876" s="2730"/>
      <c r="RBM1876" s="2730"/>
      <c r="RBN1876" s="2730"/>
      <c r="RBO1876" s="2730"/>
      <c r="RBP1876" s="2730"/>
      <c r="RBQ1876" s="2730"/>
      <c r="RBR1876" s="2730"/>
      <c r="RBS1876" s="2730"/>
      <c r="RBT1876" s="2730"/>
      <c r="RBU1876" s="2730"/>
      <c r="RBV1876" s="2730"/>
      <c r="RBW1876" s="2730"/>
      <c r="RBX1876" s="2730"/>
      <c r="RBY1876" s="2730"/>
      <c r="RBZ1876" s="2730"/>
      <c r="RCA1876" s="2730"/>
      <c r="RCB1876" s="2730"/>
      <c r="RCC1876" s="2730"/>
      <c r="RCD1876" s="2730"/>
      <c r="RCE1876" s="2730"/>
      <c r="RCF1876" s="2730"/>
      <c r="RCG1876" s="2730"/>
      <c r="RCH1876" s="2730"/>
      <c r="RCI1876" s="2730"/>
      <c r="RCJ1876" s="2730"/>
      <c r="RCK1876" s="2730"/>
      <c r="RCL1876" s="2730"/>
      <c r="RCM1876" s="2730"/>
      <c r="RCN1876" s="2730"/>
      <c r="RCO1876" s="2730"/>
      <c r="RCP1876" s="2730"/>
      <c r="RCQ1876" s="2730"/>
      <c r="RCR1876" s="2730"/>
      <c r="RCS1876" s="2730"/>
      <c r="RCT1876" s="2730"/>
      <c r="RCU1876" s="2730"/>
      <c r="RCV1876" s="2730"/>
      <c r="RCW1876" s="2730"/>
      <c r="RCX1876" s="2730"/>
      <c r="RCY1876" s="2730"/>
      <c r="RCZ1876" s="2730"/>
      <c r="RDA1876" s="2730"/>
      <c r="RDB1876" s="2730"/>
      <c r="RDC1876" s="2730"/>
      <c r="RDD1876" s="2730"/>
      <c r="RDE1876" s="2730"/>
      <c r="RDF1876" s="2730"/>
      <c r="RDG1876" s="2730"/>
      <c r="RDH1876" s="2730"/>
      <c r="RDI1876" s="2730"/>
      <c r="RDJ1876" s="2730"/>
      <c r="RDK1876" s="2730"/>
      <c r="RDL1876" s="2730"/>
      <c r="RDM1876" s="2730"/>
      <c r="RDN1876" s="2730"/>
      <c r="RDO1876" s="2730"/>
      <c r="RDP1876" s="2730"/>
      <c r="RDQ1876" s="2730"/>
      <c r="RDR1876" s="2730"/>
      <c r="RDS1876" s="2730"/>
      <c r="RDT1876" s="2730"/>
      <c r="RDU1876" s="2730"/>
      <c r="RDV1876" s="2730"/>
      <c r="RDW1876" s="2730"/>
      <c r="RDX1876" s="2730"/>
      <c r="RDY1876" s="2730"/>
      <c r="RDZ1876" s="2730"/>
      <c r="REA1876" s="2730"/>
      <c r="REB1876" s="2730"/>
      <c r="REC1876" s="2730"/>
      <c r="RED1876" s="2730"/>
      <c r="REE1876" s="2730"/>
      <c r="REF1876" s="2730"/>
      <c r="REG1876" s="2730"/>
      <c r="REH1876" s="2730"/>
      <c r="REI1876" s="2730"/>
      <c r="REJ1876" s="2730"/>
      <c r="REK1876" s="2730"/>
      <c r="REL1876" s="2730"/>
      <c r="REM1876" s="2730"/>
      <c r="REN1876" s="2730"/>
      <c r="REO1876" s="2730"/>
      <c r="REP1876" s="2730"/>
      <c r="REQ1876" s="2730"/>
      <c r="RER1876" s="2730"/>
      <c r="RES1876" s="2730"/>
      <c r="RET1876" s="2730"/>
      <c r="REU1876" s="2730"/>
      <c r="REV1876" s="2730"/>
      <c r="REW1876" s="2730"/>
      <c r="REX1876" s="2730"/>
      <c r="REY1876" s="2730"/>
      <c r="REZ1876" s="2730"/>
      <c r="RFA1876" s="2730"/>
      <c r="RFB1876" s="2730"/>
      <c r="RFC1876" s="2730"/>
      <c r="RFD1876" s="2730"/>
      <c r="RFE1876" s="2730"/>
      <c r="RFF1876" s="2730"/>
      <c r="RFG1876" s="2730"/>
      <c r="RFH1876" s="2730"/>
      <c r="RFI1876" s="2730"/>
      <c r="RFJ1876" s="2730"/>
      <c r="RFK1876" s="2730"/>
      <c r="RFL1876" s="2730"/>
      <c r="RFM1876" s="2730"/>
      <c r="RFN1876" s="2730"/>
      <c r="RFO1876" s="2730"/>
      <c r="RFP1876" s="2730"/>
      <c r="RFQ1876" s="2730"/>
      <c r="RFR1876" s="2730"/>
      <c r="RFS1876" s="2730"/>
      <c r="RFT1876" s="2730"/>
      <c r="RFU1876" s="2730"/>
      <c r="RFV1876" s="2730"/>
      <c r="RFW1876" s="2730"/>
      <c r="RFX1876" s="2730"/>
      <c r="RFY1876" s="2730"/>
      <c r="RFZ1876" s="2730"/>
      <c r="RGA1876" s="2730"/>
      <c r="RGB1876" s="2730"/>
      <c r="RGC1876" s="2730"/>
      <c r="RGD1876" s="2730"/>
      <c r="RGE1876" s="2730"/>
      <c r="RGF1876" s="2730"/>
      <c r="RGG1876" s="2730"/>
      <c r="RGH1876" s="2730"/>
      <c r="RGI1876" s="2730"/>
      <c r="RGJ1876" s="2730"/>
      <c r="RGK1876" s="2730"/>
      <c r="RGL1876" s="2730"/>
      <c r="RGM1876" s="2730"/>
      <c r="RGN1876" s="2730"/>
      <c r="RGO1876" s="2730"/>
      <c r="RGP1876" s="2730"/>
      <c r="RGQ1876" s="2730"/>
      <c r="RGR1876" s="2730"/>
      <c r="RGS1876" s="2730"/>
      <c r="RGT1876" s="2730"/>
      <c r="RGU1876" s="2730"/>
      <c r="RGV1876" s="2730"/>
      <c r="RGW1876" s="2730"/>
      <c r="RGX1876" s="2730"/>
      <c r="RGY1876" s="2730"/>
      <c r="RGZ1876" s="2730"/>
      <c r="RHA1876" s="2730"/>
      <c r="RHB1876" s="2730"/>
      <c r="RHC1876" s="2730"/>
      <c r="RHD1876" s="2730"/>
      <c r="RHE1876" s="2730"/>
      <c r="RHF1876" s="2730"/>
      <c r="RHG1876" s="2730"/>
      <c r="RHH1876" s="2730"/>
      <c r="RHI1876" s="2730"/>
      <c r="RHJ1876" s="2730"/>
      <c r="RHK1876" s="2730"/>
      <c r="RHL1876" s="2730"/>
      <c r="RHM1876" s="2730"/>
      <c r="RHN1876" s="2730"/>
      <c r="RHO1876" s="2730"/>
      <c r="RHP1876" s="2730"/>
      <c r="RHQ1876" s="2730"/>
      <c r="RHR1876" s="2730"/>
      <c r="RHS1876" s="2730"/>
      <c r="RHT1876" s="2730"/>
      <c r="RHU1876" s="2730"/>
      <c r="RHV1876" s="2730"/>
      <c r="RHW1876" s="2730"/>
      <c r="RHX1876" s="2730"/>
      <c r="RHY1876" s="2730"/>
      <c r="RHZ1876" s="2730"/>
      <c r="RIA1876" s="2730"/>
      <c r="RIB1876" s="2730"/>
      <c r="RIC1876" s="2730"/>
      <c r="RID1876" s="2730"/>
      <c r="RIE1876" s="2730"/>
      <c r="RIF1876" s="2730"/>
      <c r="RIG1876" s="2730"/>
      <c r="RIH1876" s="2730"/>
      <c r="RII1876" s="2730"/>
      <c r="RIJ1876" s="2730"/>
      <c r="RIK1876" s="2730"/>
      <c r="RIL1876" s="2730"/>
      <c r="RIM1876" s="2730"/>
      <c r="RIN1876" s="2730"/>
      <c r="RIO1876" s="2730"/>
      <c r="RIP1876" s="2730"/>
      <c r="RIQ1876" s="2730"/>
      <c r="RIR1876" s="2730"/>
      <c r="RIS1876" s="2730"/>
      <c r="RIT1876" s="2730"/>
      <c r="RIU1876" s="2730"/>
      <c r="RIV1876" s="2730"/>
      <c r="RIW1876" s="2730"/>
      <c r="RIX1876" s="2730"/>
      <c r="RIY1876" s="2730"/>
      <c r="RIZ1876" s="2730"/>
      <c r="RJA1876" s="2730"/>
      <c r="RJB1876" s="2730"/>
      <c r="RJC1876" s="2730"/>
      <c r="RJD1876" s="2730"/>
      <c r="RJE1876" s="2730"/>
      <c r="RJF1876" s="2730"/>
      <c r="RJG1876" s="2730"/>
      <c r="RJH1876" s="2730"/>
      <c r="RJI1876" s="2730"/>
      <c r="RJJ1876" s="2730"/>
      <c r="RJK1876" s="2730"/>
      <c r="RJL1876" s="2730"/>
      <c r="RJM1876" s="2730"/>
      <c r="RJN1876" s="2730"/>
      <c r="RJO1876" s="2730"/>
      <c r="RJP1876" s="2730"/>
      <c r="RJQ1876" s="2730"/>
      <c r="RJR1876" s="2730"/>
      <c r="RJS1876" s="2730"/>
      <c r="RJT1876" s="2730"/>
      <c r="RJU1876" s="2730"/>
      <c r="RJV1876" s="2730"/>
      <c r="RJW1876" s="2730"/>
      <c r="RJX1876" s="2730"/>
      <c r="RJY1876" s="2730"/>
      <c r="RJZ1876" s="2730"/>
      <c r="RKA1876" s="2730"/>
      <c r="RKB1876" s="2730"/>
      <c r="RKC1876" s="2730"/>
      <c r="RKD1876" s="2730"/>
      <c r="RKE1876" s="2730"/>
      <c r="RKF1876" s="2730"/>
      <c r="RKG1876" s="2730"/>
      <c r="RKH1876" s="2730"/>
      <c r="RKI1876" s="2730"/>
      <c r="RKJ1876" s="2730"/>
      <c r="RKK1876" s="2730"/>
      <c r="RKL1876" s="2730"/>
      <c r="RKM1876" s="2730"/>
      <c r="RKN1876" s="2730"/>
      <c r="RKO1876" s="2730"/>
      <c r="RKP1876" s="2730"/>
      <c r="RKQ1876" s="2730"/>
      <c r="RKR1876" s="2730"/>
      <c r="RKS1876" s="2730"/>
      <c r="RKT1876" s="2730"/>
      <c r="RKU1876" s="2730"/>
      <c r="RKV1876" s="2730"/>
      <c r="RKW1876" s="2730"/>
      <c r="RKX1876" s="2730"/>
      <c r="RKY1876" s="2730"/>
      <c r="RKZ1876" s="2730"/>
      <c r="RLA1876" s="2730"/>
      <c r="RLB1876" s="2730"/>
      <c r="RLC1876" s="2730"/>
      <c r="RLD1876" s="2730"/>
      <c r="RLE1876" s="2730"/>
      <c r="RLF1876" s="2730"/>
      <c r="RLG1876" s="2730"/>
      <c r="RLH1876" s="2730"/>
      <c r="RLI1876" s="2730"/>
      <c r="RLJ1876" s="2730"/>
      <c r="RLK1876" s="2730"/>
      <c r="RLL1876" s="2730"/>
      <c r="RLM1876" s="2730"/>
      <c r="RLN1876" s="2730"/>
      <c r="RLO1876" s="2730"/>
      <c r="RLP1876" s="2730"/>
      <c r="RLQ1876" s="2730"/>
      <c r="RLR1876" s="2730"/>
      <c r="RLS1876" s="2730"/>
      <c r="RLT1876" s="2730"/>
      <c r="RLU1876" s="2730"/>
      <c r="RLV1876" s="2730"/>
      <c r="RLW1876" s="2730"/>
      <c r="RLX1876" s="2730"/>
      <c r="RLY1876" s="2730"/>
      <c r="RLZ1876" s="2730"/>
      <c r="RMA1876" s="2730"/>
      <c r="RMB1876" s="2730"/>
      <c r="RMC1876" s="2730"/>
      <c r="RMD1876" s="2730"/>
      <c r="RME1876" s="2730"/>
      <c r="RMF1876" s="2730"/>
      <c r="RMG1876" s="2730"/>
      <c r="RMH1876" s="2730"/>
      <c r="RMI1876" s="2730"/>
      <c r="RMJ1876" s="2730"/>
      <c r="RMK1876" s="2730"/>
      <c r="RML1876" s="2730"/>
      <c r="RMM1876" s="2730"/>
      <c r="RMN1876" s="2730"/>
      <c r="RMO1876" s="2730"/>
      <c r="RMP1876" s="2730"/>
      <c r="RMQ1876" s="2730"/>
      <c r="RMR1876" s="2730"/>
      <c r="RMS1876" s="2730"/>
      <c r="RMT1876" s="2730"/>
      <c r="RMU1876" s="2730"/>
      <c r="RMV1876" s="2730"/>
      <c r="RMW1876" s="2730"/>
      <c r="RMX1876" s="2730"/>
      <c r="RMY1876" s="2730"/>
      <c r="RMZ1876" s="2730"/>
      <c r="RNA1876" s="2730"/>
      <c r="RNB1876" s="2730"/>
      <c r="RNC1876" s="2730"/>
      <c r="RND1876" s="2730"/>
      <c r="RNE1876" s="2730"/>
      <c r="RNF1876" s="2730"/>
      <c r="RNG1876" s="2730"/>
      <c r="RNH1876" s="2730"/>
      <c r="RNI1876" s="2730"/>
      <c r="RNJ1876" s="2730"/>
      <c r="RNK1876" s="2730"/>
      <c r="RNL1876" s="2730"/>
      <c r="RNM1876" s="2730"/>
      <c r="RNN1876" s="2730"/>
      <c r="RNO1876" s="2730"/>
      <c r="RNP1876" s="2730"/>
      <c r="RNQ1876" s="2730"/>
      <c r="RNR1876" s="2730"/>
      <c r="RNS1876" s="2730"/>
      <c r="RNT1876" s="2730"/>
      <c r="RNU1876" s="2730"/>
      <c r="RNV1876" s="2730"/>
      <c r="RNW1876" s="2730"/>
      <c r="RNX1876" s="2730"/>
      <c r="RNY1876" s="2730"/>
      <c r="RNZ1876" s="2730"/>
      <c r="ROA1876" s="2730"/>
      <c r="ROB1876" s="2730"/>
      <c r="ROC1876" s="2730"/>
      <c r="ROD1876" s="2730"/>
      <c r="ROE1876" s="2730"/>
      <c r="ROF1876" s="2730"/>
      <c r="ROG1876" s="2730"/>
      <c r="ROH1876" s="2730"/>
      <c r="ROI1876" s="2730"/>
      <c r="ROJ1876" s="2730"/>
      <c r="ROK1876" s="2730"/>
      <c r="ROL1876" s="2730"/>
      <c r="ROM1876" s="2730"/>
      <c r="RON1876" s="2730"/>
      <c r="ROO1876" s="2730"/>
      <c r="ROP1876" s="2730"/>
      <c r="ROQ1876" s="2730"/>
      <c r="ROR1876" s="2730"/>
      <c r="ROS1876" s="2730"/>
      <c r="ROT1876" s="2730"/>
      <c r="ROU1876" s="2730"/>
      <c r="ROV1876" s="2730"/>
      <c r="ROW1876" s="2730"/>
      <c r="ROX1876" s="2730"/>
      <c r="ROY1876" s="2730"/>
      <c r="ROZ1876" s="2730"/>
      <c r="RPA1876" s="2730"/>
      <c r="RPB1876" s="2730"/>
      <c r="RPC1876" s="2730"/>
      <c r="RPD1876" s="2730"/>
      <c r="RPE1876" s="2730"/>
      <c r="RPF1876" s="2730"/>
      <c r="RPG1876" s="2730"/>
      <c r="RPH1876" s="2730"/>
      <c r="RPI1876" s="2730"/>
      <c r="RPJ1876" s="2730"/>
      <c r="RPK1876" s="2730"/>
      <c r="RPL1876" s="2730"/>
      <c r="RPM1876" s="2730"/>
      <c r="RPN1876" s="2730"/>
      <c r="RPO1876" s="2730"/>
      <c r="RPP1876" s="2730"/>
      <c r="RPQ1876" s="2730"/>
      <c r="RPR1876" s="2730"/>
      <c r="RPS1876" s="2730"/>
      <c r="RPT1876" s="2730"/>
      <c r="RPU1876" s="2730"/>
      <c r="RPV1876" s="2730"/>
      <c r="RPW1876" s="2730"/>
      <c r="RPX1876" s="2730"/>
      <c r="RPY1876" s="2730"/>
      <c r="RPZ1876" s="2730"/>
      <c r="RQA1876" s="2730"/>
      <c r="RQB1876" s="2730"/>
      <c r="RQC1876" s="2730"/>
      <c r="RQD1876" s="2730"/>
      <c r="RQE1876" s="2730"/>
      <c r="RQF1876" s="2730"/>
      <c r="RQG1876" s="2730"/>
      <c r="RQH1876" s="2730"/>
      <c r="RQI1876" s="2730"/>
      <c r="RQJ1876" s="2730"/>
      <c r="RQK1876" s="2730"/>
      <c r="RQL1876" s="2730"/>
      <c r="RQM1876" s="2730"/>
      <c r="RQN1876" s="2730"/>
      <c r="RQO1876" s="2730"/>
      <c r="RQP1876" s="2730"/>
      <c r="RQQ1876" s="2730"/>
      <c r="RQR1876" s="2730"/>
      <c r="RQS1876" s="2730"/>
      <c r="RQT1876" s="2730"/>
      <c r="RQU1876" s="2730"/>
      <c r="RQV1876" s="2730"/>
      <c r="RQW1876" s="2730"/>
      <c r="RQX1876" s="2730"/>
      <c r="RQY1876" s="2730"/>
      <c r="RQZ1876" s="2730"/>
      <c r="RRA1876" s="2730"/>
      <c r="RRB1876" s="2730"/>
      <c r="RRC1876" s="2730"/>
      <c r="RRD1876" s="2730"/>
      <c r="RRE1876" s="2730"/>
      <c r="RRF1876" s="2730"/>
      <c r="RRG1876" s="2730"/>
      <c r="RRH1876" s="2730"/>
      <c r="RRI1876" s="2730"/>
      <c r="RRJ1876" s="2730"/>
      <c r="RRK1876" s="2730"/>
      <c r="RRL1876" s="2730"/>
      <c r="RRM1876" s="2730"/>
      <c r="RRN1876" s="2730"/>
      <c r="RRO1876" s="2730"/>
      <c r="RRP1876" s="2730"/>
      <c r="RRQ1876" s="2730"/>
      <c r="RRR1876" s="2730"/>
      <c r="RRS1876" s="2730"/>
      <c r="RRT1876" s="2730"/>
      <c r="RRU1876" s="2730"/>
      <c r="RRV1876" s="2730"/>
      <c r="RRW1876" s="2730"/>
      <c r="RRX1876" s="2730"/>
      <c r="RRY1876" s="2730"/>
      <c r="RRZ1876" s="2730"/>
      <c r="RSA1876" s="2730"/>
      <c r="RSB1876" s="2730"/>
      <c r="RSC1876" s="2730"/>
      <c r="RSD1876" s="2730"/>
      <c r="RSE1876" s="2730"/>
      <c r="RSF1876" s="2730"/>
      <c r="RSG1876" s="2730"/>
      <c r="RSH1876" s="2730"/>
      <c r="RSI1876" s="2730"/>
      <c r="RSJ1876" s="2730"/>
      <c r="RSK1876" s="2730"/>
      <c r="RSL1876" s="2730"/>
      <c r="RSM1876" s="2730"/>
      <c r="RSN1876" s="2730"/>
      <c r="RSO1876" s="2730"/>
      <c r="RSP1876" s="2730"/>
      <c r="RSQ1876" s="2730"/>
      <c r="RSR1876" s="2730"/>
      <c r="RSS1876" s="2730"/>
      <c r="RST1876" s="2730"/>
      <c r="RSU1876" s="2730"/>
      <c r="RSV1876" s="2730"/>
      <c r="RSW1876" s="2730"/>
      <c r="RSX1876" s="2730"/>
      <c r="RSY1876" s="2730"/>
      <c r="RSZ1876" s="2730"/>
      <c r="RTA1876" s="2730"/>
      <c r="RTB1876" s="2730"/>
      <c r="RTC1876" s="2730"/>
      <c r="RTD1876" s="2730"/>
      <c r="RTE1876" s="2730"/>
      <c r="RTF1876" s="2730"/>
      <c r="RTG1876" s="2730"/>
      <c r="RTH1876" s="2730"/>
      <c r="RTI1876" s="2730"/>
      <c r="RTJ1876" s="2730"/>
      <c r="RTK1876" s="2730"/>
      <c r="RTL1876" s="2730"/>
      <c r="RTM1876" s="2730"/>
      <c r="RTN1876" s="2730"/>
      <c r="RTO1876" s="2730"/>
      <c r="RTP1876" s="2730"/>
      <c r="RTQ1876" s="2730"/>
      <c r="RTR1876" s="2730"/>
      <c r="RTS1876" s="2730"/>
      <c r="RTT1876" s="2730"/>
      <c r="RTU1876" s="2730"/>
      <c r="RTV1876" s="2730"/>
      <c r="RTW1876" s="2730"/>
      <c r="RTX1876" s="2730"/>
      <c r="RTY1876" s="2730"/>
      <c r="RTZ1876" s="2730"/>
      <c r="RUA1876" s="2730"/>
      <c r="RUB1876" s="2730"/>
      <c r="RUC1876" s="2730"/>
      <c r="RUD1876" s="2730"/>
      <c r="RUE1876" s="2730"/>
      <c r="RUF1876" s="2730"/>
      <c r="RUG1876" s="2730"/>
      <c r="RUH1876" s="2730"/>
      <c r="RUI1876" s="2730"/>
      <c r="RUJ1876" s="2730"/>
      <c r="RUK1876" s="2730"/>
      <c r="RUL1876" s="2730"/>
      <c r="RUM1876" s="2730"/>
      <c r="RUN1876" s="2730"/>
      <c r="RUO1876" s="2730"/>
      <c r="RUP1876" s="2730"/>
      <c r="RUQ1876" s="2730"/>
      <c r="RUR1876" s="2730"/>
      <c r="RUS1876" s="2730"/>
      <c r="RUT1876" s="2730"/>
      <c r="RUU1876" s="2730"/>
      <c r="RUV1876" s="2730"/>
      <c r="RUW1876" s="2730"/>
      <c r="RUX1876" s="2730"/>
      <c r="RUY1876" s="2730"/>
      <c r="RUZ1876" s="2730"/>
      <c r="RVA1876" s="2730"/>
      <c r="RVB1876" s="2730"/>
      <c r="RVC1876" s="2730"/>
      <c r="RVD1876" s="2730"/>
      <c r="RVE1876" s="2730"/>
      <c r="RVF1876" s="2730"/>
      <c r="RVG1876" s="2730"/>
      <c r="RVH1876" s="2730"/>
      <c r="RVI1876" s="2730"/>
      <c r="RVJ1876" s="2730"/>
      <c r="RVK1876" s="2730"/>
      <c r="RVL1876" s="2730"/>
      <c r="RVM1876" s="2730"/>
      <c r="RVN1876" s="2730"/>
      <c r="RVO1876" s="2730"/>
      <c r="RVP1876" s="2730"/>
      <c r="RVQ1876" s="2730"/>
      <c r="RVR1876" s="2730"/>
      <c r="RVS1876" s="2730"/>
      <c r="RVT1876" s="2730"/>
      <c r="RVU1876" s="2730"/>
      <c r="RVV1876" s="2730"/>
      <c r="RVW1876" s="2730"/>
      <c r="RVX1876" s="2730"/>
      <c r="RVY1876" s="2730"/>
      <c r="RVZ1876" s="2730"/>
      <c r="RWA1876" s="2730"/>
      <c r="RWB1876" s="2730"/>
      <c r="RWC1876" s="2730"/>
      <c r="RWD1876" s="2730"/>
      <c r="RWE1876" s="2730"/>
      <c r="RWF1876" s="2730"/>
      <c r="RWG1876" s="2730"/>
      <c r="RWH1876" s="2730"/>
      <c r="RWI1876" s="2730"/>
      <c r="RWJ1876" s="2730"/>
      <c r="RWK1876" s="2730"/>
      <c r="RWL1876" s="2730"/>
      <c r="RWM1876" s="2730"/>
      <c r="RWN1876" s="2730"/>
      <c r="RWO1876" s="2730"/>
      <c r="RWP1876" s="2730"/>
      <c r="RWQ1876" s="2730"/>
      <c r="RWR1876" s="2730"/>
      <c r="RWS1876" s="2730"/>
      <c r="RWT1876" s="2730"/>
      <c r="RWU1876" s="2730"/>
      <c r="RWV1876" s="2730"/>
      <c r="RWW1876" s="2730"/>
      <c r="RWX1876" s="2730"/>
      <c r="RWY1876" s="2730"/>
      <c r="RWZ1876" s="2730"/>
      <c r="RXA1876" s="2730"/>
      <c r="RXB1876" s="2730"/>
      <c r="RXC1876" s="2730"/>
      <c r="RXD1876" s="2730"/>
      <c r="RXE1876" s="2730"/>
      <c r="RXF1876" s="2730"/>
      <c r="RXG1876" s="2730"/>
      <c r="RXH1876" s="2730"/>
      <c r="RXI1876" s="2730"/>
      <c r="RXJ1876" s="2730"/>
      <c r="RXK1876" s="2730"/>
      <c r="RXL1876" s="2730"/>
      <c r="RXM1876" s="2730"/>
      <c r="RXN1876" s="2730"/>
      <c r="RXO1876" s="2730"/>
      <c r="RXP1876" s="2730"/>
      <c r="RXQ1876" s="2730"/>
      <c r="RXR1876" s="2730"/>
      <c r="RXS1876" s="2730"/>
      <c r="RXT1876" s="2730"/>
      <c r="RXU1876" s="2730"/>
      <c r="RXV1876" s="2730"/>
      <c r="RXW1876" s="2730"/>
      <c r="RXX1876" s="2730"/>
      <c r="RXY1876" s="2730"/>
      <c r="RXZ1876" s="2730"/>
      <c r="RYA1876" s="2730"/>
      <c r="RYB1876" s="2730"/>
      <c r="RYC1876" s="2730"/>
      <c r="RYD1876" s="2730"/>
      <c r="RYE1876" s="2730"/>
      <c r="RYF1876" s="2730"/>
      <c r="RYG1876" s="2730"/>
      <c r="RYH1876" s="2730"/>
      <c r="RYI1876" s="2730"/>
      <c r="RYJ1876" s="2730"/>
      <c r="RYK1876" s="2730"/>
      <c r="RYL1876" s="2730"/>
      <c r="RYM1876" s="2730"/>
      <c r="RYN1876" s="2730"/>
      <c r="RYO1876" s="2730"/>
      <c r="RYP1876" s="2730"/>
      <c r="RYQ1876" s="2730"/>
      <c r="RYR1876" s="2730"/>
      <c r="RYS1876" s="2730"/>
      <c r="RYT1876" s="2730"/>
      <c r="RYU1876" s="2730"/>
      <c r="RYV1876" s="2730"/>
      <c r="RYW1876" s="2730"/>
      <c r="RYX1876" s="2730"/>
      <c r="RYY1876" s="2730"/>
      <c r="RYZ1876" s="2730"/>
      <c r="RZA1876" s="2730"/>
      <c r="RZB1876" s="2730"/>
      <c r="RZC1876" s="2730"/>
      <c r="RZD1876" s="2730"/>
      <c r="RZE1876" s="2730"/>
      <c r="RZF1876" s="2730"/>
      <c r="RZG1876" s="2730"/>
      <c r="RZH1876" s="2730"/>
      <c r="RZI1876" s="2730"/>
      <c r="RZJ1876" s="2730"/>
      <c r="RZK1876" s="2730"/>
      <c r="RZL1876" s="2730"/>
      <c r="RZM1876" s="2730"/>
      <c r="RZN1876" s="2730"/>
      <c r="RZO1876" s="2730"/>
      <c r="RZP1876" s="2730"/>
      <c r="RZQ1876" s="2730"/>
      <c r="RZR1876" s="2730"/>
      <c r="RZS1876" s="2730"/>
      <c r="RZT1876" s="2730"/>
      <c r="RZU1876" s="2730"/>
      <c r="RZV1876" s="2730"/>
      <c r="RZW1876" s="2730"/>
      <c r="RZX1876" s="2730"/>
      <c r="RZY1876" s="2730"/>
      <c r="RZZ1876" s="2730"/>
      <c r="SAA1876" s="2730"/>
      <c r="SAB1876" s="2730"/>
      <c r="SAC1876" s="2730"/>
      <c r="SAD1876" s="2730"/>
      <c r="SAE1876" s="2730"/>
      <c r="SAF1876" s="2730"/>
      <c r="SAG1876" s="2730"/>
      <c r="SAH1876" s="2730"/>
      <c r="SAI1876" s="2730"/>
      <c r="SAJ1876" s="2730"/>
      <c r="SAK1876" s="2730"/>
      <c r="SAL1876" s="2730"/>
      <c r="SAM1876" s="2730"/>
      <c r="SAN1876" s="2730"/>
      <c r="SAO1876" s="2730"/>
      <c r="SAP1876" s="2730"/>
      <c r="SAQ1876" s="2730"/>
      <c r="SAR1876" s="2730"/>
      <c r="SAS1876" s="2730"/>
      <c r="SAT1876" s="2730"/>
      <c r="SAU1876" s="2730"/>
      <c r="SAV1876" s="2730"/>
      <c r="SAW1876" s="2730"/>
      <c r="SAX1876" s="2730"/>
      <c r="SAY1876" s="2730"/>
      <c r="SAZ1876" s="2730"/>
      <c r="SBA1876" s="2730"/>
      <c r="SBB1876" s="2730"/>
      <c r="SBC1876" s="2730"/>
      <c r="SBD1876" s="2730"/>
      <c r="SBE1876" s="2730"/>
      <c r="SBF1876" s="2730"/>
      <c r="SBG1876" s="2730"/>
      <c r="SBH1876" s="2730"/>
      <c r="SBI1876" s="2730"/>
      <c r="SBJ1876" s="2730"/>
      <c r="SBK1876" s="2730"/>
      <c r="SBL1876" s="2730"/>
      <c r="SBM1876" s="2730"/>
      <c r="SBN1876" s="2730"/>
      <c r="SBO1876" s="2730"/>
      <c r="SBP1876" s="2730"/>
      <c r="SBQ1876" s="2730"/>
      <c r="SBR1876" s="2730"/>
      <c r="SBS1876" s="2730"/>
      <c r="SBT1876" s="2730"/>
      <c r="SBU1876" s="2730"/>
      <c r="SBV1876" s="2730"/>
      <c r="SBW1876" s="2730"/>
      <c r="SBX1876" s="2730"/>
      <c r="SBY1876" s="2730"/>
      <c r="SBZ1876" s="2730"/>
      <c r="SCA1876" s="2730"/>
      <c r="SCB1876" s="2730"/>
      <c r="SCC1876" s="2730"/>
      <c r="SCD1876" s="2730"/>
      <c r="SCE1876" s="2730"/>
      <c r="SCF1876" s="2730"/>
      <c r="SCG1876" s="2730"/>
      <c r="SCH1876" s="2730"/>
      <c r="SCI1876" s="2730"/>
      <c r="SCJ1876" s="2730"/>
      <c r="SCK1876" s="2730"/>
      <c r="SCL1876" s="2730"/>
      <c r="SCM1876" s="2730"/>
      <c r="SCN1876" s="2730"/>
      <c r="SCO1876" s="2730"/>
      <c r="SCP1876" s="2730"/>
      <c r="SCQ1876" s="2730"/>
      <c r="SCR1876" s="2730"/>
      <c r="SCS1876" s="2730"/>
      <c r="SCT1876" s="2730"/>
      <c r="SCU1876" s="2730"/>
      <c r="SCV1876" s="2730"/>
      <c r="SCW1876" s="2730"/>
      <c r="SCX1876" s="2730"/>
      <c r="SCY1876" s="2730"/>
      <c r="SCZ1876" s="2730"/>
      <c r="SDA1876" s="2730"/>
      <c r="SDB1876" s="2730"/>
      <c r="SDC1876" s="2730"/>
      <c r="SDD1876" s="2730"/>
      <c r="SDE1876" s="2730"/>
      <c r="SDF1876" s="2730"/>
      <c r="SDG1876" s="2730"/>
      <c r="SDH1876" s="2730"/>
      <c r="SDI1876" s="2730"/>
      <c r="SDJ1876" s="2730"/>
      <c r="SDK1876" s="2730"/>
      <c r="SDL1876" s="2730"/>
      <c r="SDM1876" s="2730"/>
      <c r="SDN1876" s="2730"/>
      <c r="SDO1876" s="2730"/>
      <c r="SDP1876" s="2730"/>
      <c r="SDQ1876" s="2730"/>
      <c r="SDR1876" s="2730"/>
      <c r="SDS1876" s="2730"/>
      <c r="SDT1876" s="2730"/>
      <c r="SDU1876" s="2730"/>
      <c r="SDV1876" s="2730"/>
      <c r="SDW1876" s="2730"/>
      <c r="SDX1876" s="2730"/>
      <c r="SDY1876" s="2730"/>
      <c r="SDZ1876" s="2730"/>
      <c r="SEA1876" s="2730"/>
      <c r="SEB1876" s="2730"/>
      <c r="SEC1876" s="2730"/>
      <c r="SED1876" s="2730"/>
      <c r="SEE1876" s="2730"/>
      <c r="SEF1876" s="2730"/>
      <c r="SEG1876" s="2730"/>
      <c r="SEH1876" s="2730"/>
      <c r="SEI1876" s="2730"/>
      <c r="SEJ1876" s="2730"/>
      <c r="SEK1876" s="2730"/>
      <c r="SEL1876" s="2730"/>
      <c r="SEM1876" s="2730"/>
      <c r="SEN1876" s="2730"/>
      <c r="SEO1876" s="2730"/>
      <c r="SEP1876" s="2730"/>
      <c r="SEQ1876" s="2730"/>
      <c r="SER1876" s="2730"/>
      <c r="SES1876" s="2730"/>
      <c r="SET1876" s="2730"/>
      <c r="SEU1876" s="2730"/>
      <c r="SEV1876" s="2730"/>
      <c r="SEW1876" s="2730"/>
      <c r="SEX1876" s="2730"/>
      <c r="SEY1876" s="2730"/>
      <c r="SEZ1876" s="2730"/>
      <c r="SFA1876" s="2730"/>
      <c r="SFB1876" s="2730"/>
      <c r="SFC1876" s="2730"/>
      <c r="SFD1876" s="2730"/>
      <c r="SFE1876" s="2730"/>
      <c r="SFF1876" s="2730"/>
      <c r="SFG1876" s="2730"/>
      <c r="SFH1876" s="2730"/>
      <c r="SFI1876" s="2730"/>
      <c r="SFJ1876" s="2730"/>
      <c r="SFK1876" s="2730"/>
      <c r="SFL1876" s="2730"/>
      <c r="SFM1876" s="2730"/>
      <c r="SFN1876" s="2730"/>
      <c r="SFO1876" s="2730"/>
      <c r="SFP1876" s="2730"/>
      <c r="SFQ1876" s="2730"/>
      <c r="SFR1876" s="2730"/>
      <c r="SFS1876" s="2730"/>
      <c r="SFT1876" s="2730"/>
      <c r="SFU1876" s="2730"/>
      <c r="SFV1876" s="2730"/>
      <c r="SFW1876" s="2730"/>
      <c r="SFX1876" s="2730"/>
      <c r="SFY1876" s="2730"/>
      <c r="SFZ1876" s="2730"/>
      <c r="SGA1876" s="2730"/>
      <c r="SGB1876" s="2730"/>
      <c r="SGC1876" s="2730"/>
      <c r="SGD1876" s="2730"/>
      <c r="SGE1876" s="2730"/>
      <c r="SGF1876" s="2730"/>
      <c r="SGG1876" s="2730"/>
      <c r="SGH1876" s="2730"/>
      <c r="SGI1876" s="2730"/>
      <c r="SGJ1876" s="2730"/>
      <c r="SGK1876" s="2730"/>
      <c r="SGL1876" s="2730"/>
      <c r="SGM1876" s="2730"/>
      <c r="SGN1876" s="2730"/>
      <c r="SGO1876" s="2730"/>
      <c r="SGP1876" s="2730"/>
      <c r="SGQ1876" s="2730"/>
      <c r="SGR1876" s="2730"/>
      <c r="SGS1876" s="2730"/>
      <c r="SGT1876" s="2730"/>
      <c r="SGU1876" s="2730"/>
      <c r="SGV1876" s="2730"/>
      <c r="SGW1876" s="2730"/>
      <c r="SGX1876" s="2730"/>
      <c r="SGY1876" s="2730"/>
      <c r="SGZ1876" s="2730"/>
      <c r="SHA1876" s="2730"/>
      <c r="SHB1876" s="2730"/>
      <c r="SHC1876" s="2730"/>
      <c r="SHD1876" s="2730"/>
      <c r="SHE1876" s="2730"/>
      <c r="SHF1876" s="2730"/>
      <c r="SHG1876" s="2730"/>
      <c r="SHH1876" s="2730"/>
      <c r="SHI1876" s="2730"/>
      <c r="SHJ1876" s="2730"/>
      <c r="SHK1876" s="2730"/>
      <c r="SHL1876" s="2730"/>
      <c r="SHM1876" s="2730"/>
      <c r="SHN1876" s="2730"/>
      <c r="SHO1876" s="2730"/>
      <c r="SHP1876" s="2730"/>
      <c r="SHQ1876" s="2730"/>
      <c r="SHR1876" s="2730"/>
      <c r="SHS1876" s="2730"/>
      <c r="SHT1876" s="2730"/>
      <c r="SHU1876" s="2730"/>
      <c r="SHV1876" s="2730"/>
      <c r="SHW1876" s="2730"/>
      <c r="SHX1876" s="2730"/>
      <c r="SHY1876" s="2730"/>
      <c r="SHZ1876" s="2730"/>
      <c r="SIA1876" s="2730"/>
      <c r="SIB1876" s="2730"/>
      <c r="SIC1876" s="2730"/>
      <c r="SID1876" s="2730"/>
      <c r="SIE1876" s="2730"/>
      <c r="SIF1876" s="2730"/>
      <c r="SIG1876" s="2730"/>
      <c r="SIH1876" s="2730"/>
      <c r="SII1876" s="2730"/>
      <c r="SIJ1876" s="2730"/>
      <c r="SIK1876" s="2730"/>
      <c r="SIL1876" s="2730"/>
      <c r="SIM1876" s="2730"/>
      <c r="SIN1876" s="2730"/>
      <c r="SIO1876" s="2730"/>
      <c r="SIP1876" s="2730"/>
      <c r="SIQ1876" s="2730"/>
      <c r="SIR1876" s="2730"/>
      <c r="SIS1876" s="2730"/>
      <c r="SIT1876" s="2730"/>
      <c r="SIU1876" s="2730"/>
      <c r="SIV1876" s="2730"/>
      <c r="SIW1876" s="2730"/>
      <c r="SIX1876" s="2730"/>
      <c r="SIY1876" s="2730"/>
      <c r="SIZ1876" s="2730"/>
      <c r="SJA1876" s="2730"/>
      <c r="SJB1876" s="2730"/>
      <c r="SJC1876" s="2730"/>
      <c r="SJD1876" s="2730"/>
      <c r="SJE1876" s="2730"/>
      <c r="SJF1876" s="2730"/>
      <c r="SJG1876" s="2730"/>
      <c r="SJH1876" s="2730"/>
      <c r="SJI1876" s="2730"/>
      <c r="SJJ1876" s="2730"/>
      <c r="SJK1876" s="2730"/>
      <c r="SJL1876" s="2730"/>
      <c r="SJM1876" s="2730"/>
      <c r="SJN1876" s="2730"/>
      <c r="SJO1876" s="2730"/>
      <c r="SJP1876" s="2730"/>
      <c r="SJQ1876" s="2730"/>
      <c r="SJR1876" s="2730"/>
      <c r="SJS1876" s="2730"/>
      <c r="SJT1876" s="2730"/>
      <c r="SJU1876" s="2730"/>
      <c r="SJV1876" s="2730"/>
      <c r="SJW1876" s="2730"/>
      <c r="SJX1876" s="2730"/>
      <c r="SJY1876" s="2730"/>
      <c r="SJZ1876" s="2730"/>
      <c r="SKA1876" s="2730"/>
      <c r="SKB1876" s="2730"/>
      <c r="SKC1876" s="2730"/>
      <c r="SKD1876" s="2730"/>
      <c r="SKE1876" s="2730"/>
      <c r="SKF1876" s="2730"/>
      <c r="SKG1876" s="2730"/>
      <c r="SKH1876" s="2730"/>
      <c r="SKI1876" s="2730"/>
      <c r="SKJ1876" s="2730"/>
      <c r="SKK1876" s="2730"/>
      <c r="SKL1876" s="2730"/>
      <c r="SKM1876" s="2730"/>
      <c r="SKN1876" s="2730"/>
      <c r="SKO1876" s="2730"/>
      <c r="SKP1876" s="2730"/>
      <c r="SKQ1876" s="2730"/>
      <c r="SKR1876" s="2730"/>
      <c r="SKS1876" s="2730"/>
      <c r="SKT1876" s="2730"/>
      <c r="SKU1876" s="2730"/>
      <c r="SKV1876" s="2730"/>
      <c r="SKW1876" s="2730"/>
      <c r="SKX1876" s="2730"/>
      <c r="SKY1876" s="2730"/>
      <c r="SKZ1876" s="2730"/>
      <c r="SLA1876" s="2730"/>
      <c r="SLB1876" s="2730"/>
      <c r="SLC1876" s="2730"/>
      <c r="SLD1876" s="2730"/>
      <c r="SLE1876" s="2730"/>
      <c r="SLF1876" s="2730"/>
      <c r="SLG1876" s="2730"/>
      <c r="SLH1876" s="2730"/>
      <c r="SLI1876" s="2730"/>
      <c r="SLJ1876" s="2730"/>
      <c r="SLK1876" s="2730"/>
      <c r="SLL1876" s="2730"/>
      <c r="SLM1876" s="2730"/>
      <c r="SLN1876" s="2730"/>
      <c r="SLO1876" s="2730"/>
      <c r="SLP1876" s="2730"/>
      <c r="SLQ1876" s="2730"/>
      <c r="SLR1876" s="2730"/>
      <c r="SLS1876" s="2730"/>
      <c r="SLT1876" s="2730"/>
      <c r="SLU1876" s="2730"/>
      <c r="SLV1876" s="2730"/>
      <c r="SLW1876" s="2730"/>
      <c r="SLX1876" s="2730"/>
      <c r="SLY1876" s="2730"/>
      <c r="SLZ1876" s="2730"/>
      <c r="SMA1876" s="2730"/>
      <c r="SMB1876" s="2730"/>
      <c r="SMC1876" s="2730"/>
      <c r="SMD1876" s="2730"/>
      <c r="SME1876" s="2730"/>
      <c r="SMF1876" s="2730"/>
      <c r="SMG1876" s="2730"/>
      <c r="SMH1876" s="2730"/>
      <c r="SMI1876" s="2730"/>
      <c r="SMJ1876" s="2730"/>
      <c r="SMK1876" s="2730"/>
      <c r="SML1876" s="2730"/>
      <c r="SMM1876" s="2730"/>
      <c r="SMN1876" s="2730"/>
      <c r="SMO1876" s="2730"/>
      <c r="SMP1876" s="2730"/>
      <c r="SMQ1876" s="2730"/>
      <c r="SMR1876" s="2730"/>
      <c r="SMS1876" s="2730"/>
      <c r="SMT1876" s="2730"/>
      <c r="SMU1876" s="2730"/>
      <c r="SMV1876" s="2730"/>
      <c r="SMW1876" s="2730"/>
      <c r="SMX1876" s="2730"/>
      <c r="SMY1876" s="2730"/>
      <c r="SMZ1876" s="2730"/>
      <c r="SNA1876" s="2730"/>
      <c r="SNB1876" s="2730"/>
      <c r="SNC1876" s="2730"/>
      <c r="SND1876" s="2730"/>
      <c r="SNE1876" s="2730"/>
      <c r="SNF1876" s="2730"/>
      <c r="SNG1876" s="2730"/>
      <c r="SNH1876" s="2730"/>
      <c r="SNI1876" s="2730"/>
      <c r="SNJ1876" s="2730"/>
      <c r="SNK1876" s="2730"/>
      <c r="SNL1876" s="2730"/>
      <c r="SNM1876" s="2730"/>
      <c r="SNN1876" s="2730"/>
      <c r="SNO1876" s="2730"/>
      <c r="SNP1876" s="2730"/>
      <c r="SNQ1876" s="2730"/>
      <c r="SNR1876" s="2730"/>
      <c r="SNS1876" s="2730"/>
      <c r="SNT1876" s="2730"/>
      <c r="SNU1876" s="2730"/>
      <c r="SNV1876" s="2730"/>
      <c r="SNW1876" s="2730"/>
      <c r="SNX1876" s="2730"/>
      <c r="SNY1876" s="2730"/>
      <c r="SNZ1876" s="2730"/>
      <c r="SOA1876" s="2730"/>
      <c r="SOB1876" s="2730"/>
      <c r="SOC1876" s="2730"/>
      <c r="SOD1876" s="2730"/>
      <c r="SOE1876" s="2730"/>
      <c r="SOF1876" s="2730"/>
      <c r="SOG1876" s="2730"/>
      <c r="SOH1876" s="2730"/>
      <c r="SOI1876" s="2730"/>
      <c r="SOJ1876" s="2730"/>
      <c r="SOK1876" s="2730"/>
      <c r="SOL1876" s="2730"/>
      <c r="SOM1876" s="2730"/>
      <c r="SON1876" s="2730"/>
      <c r="SOO1876" s="2730"/>
      <c r="SOP1876" s="2730"/>
      <c r="SOQ1876" s="2730"/>
      <c r="SOR1876" s="2730"/>
      <c r="SOS1876" s="2730"/>
      <c r="SOT1876" s="2730"/>
      <c r="SOU1876" s="2730"/>
      <c r="SOV1876" s="2730"/>
      <c r="SOW1876" s="2730"/>
      <c r="SOX1876" s="2730"/>
      <c r="SOY1876" s="2730"/>
      <c r="SOZ1876" s="2730"/>
      <c r="SPA1876" s="2730"/>
      <c r="SPB1876" s="2730"/>
      <c r="SPC1876" s="2730"/>
      <c r="SPD1876" s="2730"/>
      <c r="SPE1876" s="2730"/>
      <c r="SPF1876" s="2730"/>
      <c r="SPG1876" s="2730"/>
      <c r="SPH1876" s="2730"/>
      <c r="SPI1876" s="2730"/>
      <c r="SPJ1876" s="2730"/>
      <c r="SPK1876" s="2730"/>
      <c r="SPL1876" s="2730"/>
      <c r="SPM1876" s="2730"/>
      <c r="SPN1876" s="2730"/>
      <c r="SPO1876" s="2730"/>
      <c r="SPP1876" s="2730"/>
      <c r="SPQ1876" s="2730"/>
      <c r="SPR1876" s="2730"/>
      <c r="SPS1876" s="2730"/>
      <c r="SPT1876" s="2730"/>
      <c r="SPU1876" s="2730"/>
      <c r="SPV1876" s="2730"/>
      <c r="SPW1876" s="2730"/>
      <c r="SPX1876" s="2730"/>
      <c r="SPY1876" s="2730"/>
      <c r="SPZ1876" s="2730"/>
      <c r="SQA1876" s="2730"/>
      <c r="SQB1876" s="2730"/>
      <c r="SQC1876" s="2730"/>
      <c r="SQD1876" s="2730"/>
      <c r="SQE1876" s="2730"/>
      <c r="SQF1876" s="2730"/>
      <c r="SQG1876" s="2730"/>
      <c r="SQH1876" s="2730"/>
      <c r="SQI1876" s="2730"/>
      <c r="SQJ1876" s="2730"/>
      <c r="SQK1876" s="2730"/>
      <c r="SQL1876" s="2730"/>
      <c r="SQM1876" s="2730"/>
      <c r="SQN1876" s="2730"/>
      <c r="SQO1876" s="2730"/>
      <c r="SQP1876" s="2730"/>
      <c r="SQQ1876" s="2730"/>
      <c r="SQR1876" s="2730"/>
      <c r="SQS1876" s="2730"/>
      <c r="SQT1876" s="2730"/>
      <c r="SQU1876" s="2730"/>
      <c r="SQV1876" s="2730"/>
      <c r="SQW1876" s="2730"/>
      <c r="SQX1876" s="2730"/>
      <c r="SQY1876" s="2730"/>
      <c r="SQZ1876" s="2730"/>
      <c r="SRA1876" s="2730"/>
      <c r="SRB1876" s="2730"/>
      <c r="SRC1876" s="2730"/>
      <c r="SRD1876" s="2730"/>
      <c r="SRE1876" s="2730"/>
      <c r="SRF1876" s="2730"/>
      <c r="SRG1876" s="2730"/>
      <c r="SRH1876" s="2730"/>
      <c r="SRI1876" s="2730"/>
      <c r="SRJ1876" s="2730"/>
      <c r="SRK1876" s="2730"/>
      <c r="SRL1876" s="2730"/>
      <c r="SRM1876" s="2730"/>
      <c r="SRN1876" s="2730"/>
      <c r="SRO1876" s="2730"/>
      <c r="SRP1876" s="2730"/>
      <c r="SRQ1876" s="2730"/>
      <c r="SRR1876" s="2730"/>
      <c r="SRS1876" s="2730"/>
      <c r="SRT1876" s="2730"/>
      <c r="SRU1876" s="2730"/>
      <c r="SRV1876" s="2730"/>
      <c r="SRW1876" s="2730"/>
      <c r="SRX1876" s="2730"/>
      <c r="SRY1876" s="2730"/>
      <c r="SRZ1876" s="2730"/>
      <c r="SSA1876" s="2730"/>
      <c r="SSB1876" s="2730"/>
      <c r="SSC1876" s="2730"/>
      <c r="SSD1876" s="2730"/>
      <c r="SSE1876" s="2730"/>
      <c r="SSF1876" s="2730"/>
      <c r="SSG1876" s="2730"/>
      <c r="SSH1876" s="2730"/>
      <c r="SSI1876" s="2730"/>
      <c r="SSJ1876" s="2730"/>
      <c r="SSK1876" s="2730"/>
      <c r="SSL1876" s="2730"/>
      <c r="SSM1876" s="2730"/>
      <c r="SSN1876" s="2730"/>
      <c r="SSO1876" s="2730"/>
      <c r="SSP1876" s="2730"/>
      <c r="SSQ1876" s="2730"/>
      <c r="SSR1876" s="2730"/>
      <c r="SSS1876" s="2730"/>
      <c r="SST1876" s="2730"/>
      <c r="SSU1876" s="2730"/>
      <c r="SSV1876" s="2730"/>
      <c r="SSW1876" s="2730"/>
      <c r="SSX1876" s="2730"/>
      <c r="SSY1876" s="2730"/>
      <c r="SSZ1876" s="2730"/>
      <c r="STA1876" s="2730"/>
      <c r="STB1876" s="2730"/>
      <c r="STC1876" s="2730"/>
      <c r="STD1876" s="2730"/>
      <c r="STE1876" s="2730"/>
      <c r="STF1876" s="2730"/>
      <c r="STG1876" s="2730"/>
      <c r="STH1876" s="2730"/>
      <c r="STI1876" s="2730"/>
      <c r="STJ1876" s="2730"/>
      <c r="STK1876" s="2730"/>
      <c r="STL1876" s="2730"/>
      <c r="STM1876" s="2730"/>
      <c r="STN1876" s="2730"/>
      <c r="STO1876" s="2730"/>
      <c r="STP1876" s="2730"/>
      <c r="STQ1876" s="2730"/>
      <c r="STR1876" s="2730"/>
      <c r="STS1876" s="2730"/>
      <c r="STT1876" s="2730"/>
      <c r="STU1876" s="2730"/>
      <c r="STV1876" s="2730"/>
      <c r="STW1876" s="2730"/>
      <c r="STX1876" s="2730"/>
      <c r="STY1876" s="2730"/>
      <c r="STZ1876" s="2730"/>
      <c r="SUA1876" s="2730"/>
      <c r="SUB1876" s="2730"/>
      <c r="SUC1876" s="2730"/>
      <c r="SUD1876" s="2730"/>
      <c r="SUE1876" s="2730"/>
      <c r="SUF1876" s="2730"/>
      <c r="SUG1876" s="2730"/>
      <c r="SUH1876" s="2730"/>
      <c r="SUI1876" s="2730"/>
      <c r="SUJ1876" s="2730"/>
      <c r="SUK1876" s="2730"/>
      <c r="SUL1876" s="2730"/>
      <c r="SUM1876" s="2730"/>
      <c r="SUN1876" s="2730"/>
      <c r="SUO1876" s="2730"/>
      <c r="SUP1876" s="2730"/>
      <c r="SUQ1876" s="2730"/>
      <c r="SUR1876" s="2730"/>
      <c r="SUS1876" s="2730"/>
      <c r="SUT1876" s="2730"/>
      <c r="SUU1876" s="2730"/>
      <c r="SUV1876" s="2730"/>
      <c r="SUW1876" s="2730"/>
      <c r="SUX1876" s="2730"/>
      <c r="SUY1876" s="2730"/>
      <c r="SUZ1876" s="2730"/>
      <c r="SVA1876" s="2730"/>
      <c r="SVB1876" s="2730"/>
      <c r="SVC1876" s="2730"/>
      <c r="SVD1876" s="2730"/>
      <c r="SVE1876" s="2730"/>
      <c r="SVF1876" s="2730"/>
      <c r="SVG1876" s="2730"/>
      <c r="SVH1876" s="2730"/>
      <c r="SVI1876" s="2730"/>
      <c r="SVJ1876" s="2730"/>
      <c r="SVK1876" s="2730"/>
      <c r="SVL1876" s="2730"/>
      <c r="SVM1876" s="2730"/>
      <c r="SVN1876" s="2730"/>
      <c r="SVO1876" s="2730"/>
      <c r="SVP1876" s="2730"/>
      <c r="SVQ1876" s="2730"/>
      <c r="SVR1876" s="2730"/>
      <c r="SVS1876" s="2730"/>
      <c r="SVT1876" s="2730"/>
      <c r="SVU1876" s="2730"/>
      <c r="SVV1876" s="2730"/>
      <c r="SVW1876" s="2730"/>
      <c r="SVX1876" s="2730"/>
      <c r="SVY1876" s="2730"/>
      <c r="SVZ1876" s="2730"/>
      <c r="SWA1876" s="2730"/>
      <c r="SWB1876" s="2730"/>
      <c r="SWC1876" s="2730"/>
      <c r="SWD1876" s="2730"/>
      <c r="SWE1876" s="2730"/>
      <c r="SWF1876" s="2730"/>
      <c r="SWG1876" s="2730"/>
      <c r="SWH1876" s="2730"/>
      <c r="SWI1876" s="2730"/>
      <c r="SWJ1876" s="2730"/>
      <c r="SWK1876" s="2730"/>
      <c r="SWL1876" s="2730"/>
      <c r="SWM1876" s="2730"/>
      <c r="SWN1876" s="2730"/>
      <c r="SWO1876" s="2730"/>
      <c r="SWP1876" s="2730"/>
      <c r="SWQ1876" s="2730"/>
      <c r="SWR1876" s="2730"/>
      <c r="SWS1876" s="2730"/>
      <c r="SWT1876" s="2730"/>
      <c r="SWU1876" s="2730"/>
      <c r="SWV1876" s="2730"/>
      <c r="SWW1876" s="2730"/>
      <c r="SWX1876" s="2730"/>
      <c r="SWY1876" s="2730"/>
      <c r="SWZ1876" s="2730"/>
      <c r="SXA1876" s="2730"/>
      <c r="SXB1876" s="2730"/>
      <c r="SXC1876" s="2730"/>
      <c r="SXD1876" s="2730"/>
      <c r="SXE1876" s="2730"/>
      <c r="SXF1876" s="2730"/>
      <c r="SXG1876" s="2730"/>
      <c r="SXH1876" s="2730"/>
      <c r="SXI1876" s="2730"/>
      <c r="SXJ1876" s="2730"/>
      <c r="SXK1876" s="2730"/>
      <c r="SXL1876" s="2730"/>
      <c r="SXM1876" s="2730"/>
      <c r="SXN1876" s="2730"/>
      <c r="SXO1876" s="2730"/>
      <c r="SXP1876" s="2730"/>
      <c r="SXQ1876" s="2730"/>
      <c r="SXR1876" s="2730"/>
      <c r="SXS1876" s="2730"/>
      <c r="SXT1876" s="2730"/>
      <c r="SXU1876" s="2730"/>
      <c r="SXV1876" s="2730"/>
      <c r="SXW1876" s="2730"/>
      <c r="SXX1876" s="2730"/>
      <c r="SXY1876" s="2730"/>
      <c r="SXZ1876" s="2730"/>
      <c r="SYA1876" s="2730"/>
      <c r="SYB1876" s="2730"/>
      <c r="SYC1876" s="2730"/>
      <c r="SYD1876" s="2730"/>
      <c r="SYE1876" s="2730"/>
      <c r="SYF1876" s="2730"/>
      <c r="SYG1876" s="2730"/>
      <c r="SYH1876" s="2730"/>
      <c r="SYI1876" s="2730"/>
      <c r="SYJ1876" s="2730"/>
      <c r="SYK1876" s="2730"/>
      <c r="SYL1876" s="2730"/>
      <c r="SYM1876" s="2730"/>
      <c r="SYN1876" s="2730"/>
      <c r="SYO1876" s="2730"/>
      <c r="SYP1876" s="2730"/>
      <c r="SYQ1876" s="2730"/>
      <c r="SYR1876" s="2730"/>
      <c r="SYS1876" s="2730"/>
      <c r="SYT1876" s="2730"/>
      <c r="SYU1876" s="2730"/>
      <c r="SYV1876" s="2730"/>
      <c r="SYW1876" s="2730"/>
      <c r="SYX1876" s="2730"/>
      <c r="SYY1876" s="2730"/>
      <c r="SYZ1876" s="2730"/>
      <c r="SZA1876" s="2730"/>
      <c r="SZB1876" s="2730"/>
      <c r="SZC1876" s="2730"/>
      <c r="SZD1876" s="2730"/>
      <c r="SZE1876" s="2730"/>
      <c r="SZF1876" s="2730"/>
      <c r="SZG1876" s="2730"/>
      <c r="SZH1876" s="2730"/>
      <c r="SZI1876" s="2730"/>
      <c r="SZJ1876" s="2730"/>
      <c r="SZK1876" s="2730"/>
      <c r="SZL1876" s="2730"/>
      <c r="SZM1876" s="2730"/>
      <c r="SZN1876" s="2730"/>
      <c r="SZO1876" s="2730"/>
      <c r="SZP1876" s="2730"/>
      <c r="SZQ1876" s="2730"/>
      <c r="SZR1876" s="2730"/>
      <c r="SZS1876" s="2730"/>
      <c r="SZT1876" s="2730"/>
      <c r="SZU1876" s="2730"/>
      <c r="SZV1876" s="2730"/>
      <c r="SZW1876" s="2730"/>
      <c r="SZX1876" s="2730"/>
      <c r="SZY1876" s="2730"/>
      <c r="SZZ1876" s="2730"/>
      <c r="TAA1876" s="2730"/>
      <c r="TAB1876" s="2730"/>
      <c r="TAC1876" s="2730"/>
      <c r="TAD1876" s="2730"/>
      <c r="TAE1876" s="2730"/>
      <c r="TAF1876" s="2730"/>
      <c r="TAG1876" s="2730"/>
      <c r="TAH1876" s="2730"/>
      <c r="TAI1876" s="2730"/>
      <c r="TAJ1876" s="2730"/>
      <c r="TAK1876" s="2730"/>
      <c r="TAL1876" s="2730"/>
      <c r="TAM1876" s="2730"/>
      <c r="TAN1876" s="2730"/>
      <c r="TAO1876" s="2730"/>
      <c r="TAP1876" s="2730"/>
      <c r="TAQ1876" s="2730"/>
      <c r="TAR1876" s="2730"/>
      <c r="TAS1876" s="2730"/>
      <c r="TAT1876" s="2730"/>
      <c r="TAU1876" s="2730"/>
      <c r="TAV1876" s="2730"/>
      <c r="TAW1876" s="2730"/>
      <c r="TAX1876" s="2730"/>
      <c r="TAY1876" s="2730"/>
      <c r="TAZ1876" s="2730"/>
      <c r="TBA1876" s="2730"/>
      <c r="TBB1876" s="2730"/>
      <c r="TBC1876" s="2730"/>
      <c r="TBD1876" s="2730"/>
      <c r="TBE1876" s="2730"/>
      <c r="TBF1876" s="2730"/>
      <c r="TBG1876" s="2730"/>
      <c r="TBH1876" s="2730"/>
      <c r="TBI1876" s="2730"/>
      <c r="TBJ1876" s="2730"/>
      <c r="TBK1876" s="2730"/>
      <c r="TBL1876" s="2730"/>
      <c r="TBM1876" s="2730"/>
      <c r="TBN1876" s="2730"/>
      <c r="TBO1876" s="2730"/>
      <c r="TBP1876" s="2730"/>
      <c r="TBQ1876" s="2730"/>
      <c r="TBR1876" s="2730"/>
      <c r="TBS1876" s="2730"/>
      <c r="TBT1876" s="2730"/>
      <c r="TBU1876" s="2730"/>
      <c r="TBV1876" s="2730"/>
      <c r="TBW1876" s="2730"/>
      <c r="TBX1876" s="2730"/>
      <c r="TBY1876" s="2730"/>
      <c r="TBZ1876" s="2730"/>
      <c r="TCA1876" s="2730"/>
      <c r="TCB1876" s="2730"/>
      <c r="TCC1876" s="2730"/>
      <c r="TCD1876" s="2730"/>
      <c r="TCE1876" s="2730"/>
      <c r="TCF1876" s="2730"/>
      <c r="TCG1876" s="2730"/>
      <c r="TCH1876" s="2730"/>
      <c r="TCI1876" s="2730"/>
      <c r="TCJ1876" s="2730"/>
      <c r="TCK1876" s="2730"/>
      <c r="TCL1876" s="2730"/>
      <c r="TCM1876" s="2730"/>
      <c r="TCN1876" s="2730"/>
      <c r="TCO1876" s="2730"/>
      <c r="TCP1876" s="2730"/>
      <c r="TCQ1876" s="2730"/>
      <c r="TCR1876" s="2730"/>
      <c r="TCS1876" s="2730"/>
      <c r="TCT1876" s="2730"/>
      <c r="TCU1876" s="2730"/>
      <c r="TCV1876" s="2730"/>
      <c r="TCW1876" s="2730"/>
      <c r="TCX1876" s="2730"/>
      <c r="TCY1876" s="2730"/>
      <c r="TCZ1876" s="2730"/>
      <c r="TDA1876" s="2730"/>
      <c r="TDB1876" s="2730"/>
      <c r="TDC1876" s="2730"/>
      <c r="TDD1876" s="2730"/>
      <c r="TDE1876" s="2730"/>
      <c r="TDF1876" s="2730"/>
      <c r="TDG1876" s="2730"/>
      <c r="TDH1876" s="2730"/>
      <c r="TDI1876" s="2730"/>
      <c r="TDJ1876" s="2730"/>
      <c r="TDK1876" s="2730"/>
      <c r="TDL1876" s="2730"/>
      <c r="TDM1876" s="2730"/>
      <c r="TDN1876" s="2730"/>
      <c r="TDO1876" s="2730"/>
      <c r="TDP1876" s="2730"/>
      <c r="TDQ1876" s="2730"/>
      <c r="TDR1876" s="2730"/>
      <c r="TDS1876" s="2730"/>
      <c r="TDT1876" s="2730"/>
      <c r="TDU1876" s="2730"/>
      <c r="TDV1876" s="2730"/>
      <c r="TDW1876" s="2730"/>
      <c r="TDX1876" s="2730"/>
      <c r="TDY1876" s="2730"/>
      <c r="TDZ1876" s="2730"/>
      <c r="TEA1876" s="2730"/>
      <c r="TEB1876" s="2730"/>
      <c r="TEC1876" s="2730"/>
      <c r="TED1876" s="2730"/>
      <c r="TEE1876" s="2730"/>
      <c r="TEF1876" s="2730"/>
      <c r="TEG1876" s="2730"/>
      <c r="TEH1876" s="2730"/>
      <c r="TEI1876" s="2730"/>
      <c r="TEJ1876" s="2730"/>
      <c r="TEK1876" s="2730"/>
      <c r="TEL1876" s="2730"/>
      <c r="TEM1876" s="2730"/>
      <c r="TEN1876" s="2730"/>
      <c r="TEO1876" s="2730"/>
      <c r="TEP1876" s="2730"/>
      <c r="TEQ1876" s="2730"/>
      <c r="TER1876" s="2730"/>
      <c r="TES1876" s="2730"/>
      <c r="TET1876" s="2730"/>
      <c r="TEU1876" s="2730"/>
      <c r="TEV1876" s="2730"/>
      <c r="TEW1876" s="2730"/>
      <c r="TEX1876" s="2730"/>
      <c r="TEY1876" s="2730"/>
      <c r="TEZ1876" s="2730"/>
      <c r="TFA1876" s="2730"/>
      <c r="TFB1876" s="2730"/>
      <c r="TFC1876" s="2730"/>
      <c r="TFD1876" s="2730"/>
      <c r="TFE1876" s="2730"/>
      <c r="TFF1876" s="2730"/>
      <c r="TFG1876" s="2730"/>
      <c r="TFH1876" s="2730"/>
      <c r="TFI1876" s="2730"/>
      <c r="TFJ1876" s="2730"/>
      <c r="TFK1876" s="2730"/>
      <c r="TFL1876" s="2730"/>
      <c r="TFM1876" s="2730"/>
      <c r="TFN1876" s="2730"/>
      <c r="TFO1876" s="2730"/>
      <c r="TFP1876" s="2730"/>
      <c r="TFQ1876" s="2730"/>
      <c r="TFR1876" s="2730"/>
      <c r="TFS1876" s="2730"/>
      <c r="TFT1876" s="2730"/>
      <c r="TFU1876" s="2730"/>
      <c r="TFV1876" s="2730"/>
      <c r="TFW1876" s="2730"/>
      <c r="TFX1876" s="2730"/>
      <c r="TFY1876" s="2730"/>
      <c r="TFZ1876" s="2730"/>
      <c r="TGA1876" s="2730"/>
      <c r="TGB1876" s="2730"/>
      <c r="TGC1876" s="2730"/>
      <c r="TGD1876" s="2730"/>
      <c r="TGE1876" s="2730"/>
      <c r="TGF1876" s="2730"/>
      <c r="TGG1876" s="2730"/>
      <c r="TGH1876" s="2730"/>
      <c r="TGI1876" s="2730"/>
      <c r="TGJ1876" s="2730"/>
      <c r="TGK1876" s="2730"/>
      <c r="TGL1876" s="2730"/>
      <c r="TGM1876" s="2730"/>
      <c r="TGN1876" s="2730"/>
      <c r="TGO1876" s="2730"/>
      <c r="TGP1876" s="2730"/>
      <c r="TGQ1876" s="2730"/>
      <c r="TGR1876" s="2730"/>
      <c r="TGS1876" s="2730"/>
      <c r="TGT1876" s="2730"/>
      <c r="TGU1876" s="2730"/>
      <c r="TGV1876" s="2730"/>
      <c r="TGW1876" s="2730"/>
      <c r="TGX1876" s="2730"/>
      <c r="TGY1876" s="2730"/>
      <c r="TGZ1876" s="2730"/>
      <c r="THA1876" s="2730"/>
      <c r="THB1876" s="2730"/>
      <c r="THC1876" s="2730"/>
      <c r="THD1876" s="2730"/>
      <c r="THE1876" s="2730"/>
      <c r="THF1876" s="2730"/>
      <c r="THG1876" s="2730"/>
      <c r="THH1876" s="2730"/>
      <c r="THI1876" s="2730"/>
      <c r="THJ1876" s="2730"/>
      <c r="THK1876" s="2730"/>
      <c r="THL1876" s="2730"/>
      <c r="THM1876" s="2730"/>
      <c r="THN1876" s="2730"/>
      <c r="THO1876" s="2730"/>
      <c r="THP1876" s="2730"/>
      <c r="THQ1876" s="2730"/>
      <c r="THR1876" s="2730"/>
      <c r="THS1876" s="2730"/>
      <c r="THT1876" s="2730"/>
      <c r="THU1876" s="2730"/>
      <c r="THV1876" s="2730"/>
      <c r="THW1876" s="2730"/>
      <c r="THX1876" s="2730"/>
      <c r="THY1876" s="2730"/>
      <c r="THZ1876" s="2730"/>
      <c r="TIA1876" s="2730"/>
      <c r="TIB1876" s="2730"/>
      <c r="TIC1876" s="2730"/>
      <c r="TID1876" s="2730"/>
      <c r="TIE1876" s="2730"/>
      <c r="TIF1876" s="2730"/>
      <c r="TIG1876" s="2730"/>
      <c r="TIH1876" s="2730"/>
      <c r="TII1876" s="2730"/>
      <c r="TIJ1876" s="2730"/>
      <c r="TIK1876" s="2730"/>
      <c r="TIL1876" s="2730"/>
      <c r="TIM1876" s="2730"/>
      <c r="TIN1876" s="2730"/>
      <c r="TIO1876" s="2730"/>
      <c r="TIP1876" s="2730"/>
      <c r="TIQ1876" s="2730"/>
      <c r="TIR1876" s="2730"/>
      <c r="TIS1876" s="2730"/>
      <c r="TIT1876" s="2730"/>
      <c r="TIU1876" s="2730"/>
      <c r="TIV1876" s="2730"/>
      <c r="TIW1876" s="2730"/>
      <c r="TIX1876" s="2730"/>
      <c r="TIY1876" s="2730"/>
      <c r="TIZ1876" s="2730"/>
      <c r="TJA1876" s="2730"/>
      <c r="TJB1876" s="2730"/>
      <c r="TJC1876" s="2730"/>
      <c r="TJD1876" s="2730"/>
      <c r="TJE1876" s="2730"/>
      <c r="TJF1876" s="2730"/>
      <c r="TJG1876" s="2730"/>
      <c r="TJH1876" s="2730"/>
      <c r="TJI1876" s="2730"/>
      <c r="TJJ1876" s="2730"/>
      <c r="TJK1876" s="2730"/>
      <c r="TJL1876" s="2730"/>
      <c r="TJM1876" s="2730"/>
      <c r="TJN1876" s="2730"/>
      <c r="TJO1876" s="2730"/>
      <c r="TJP1876" s="2730"/>
      <c r="TJQ1876" s="2730"/>
      <c r="TJR1876" s="2730"/>
      <c r="TJS1876" s="2730"/>
      <c r="TJT1876" s="2730"/>
      <c r="TJU1876" s="2730"/>
      <c r="TJV1876" s="2730"/>
      <c r="TJW1876" s="2730"/>
      <c r="TJX1876" s="2730"/>
      <c r="TJY1876" s="2730"/>
      <c r="TJZ1876" s="2730"/>
      <c r="TKA1876" s="2730"/>
      <c r="TKB1876" s="2730"/>
      <c r="TKC1876" s="2730"/>
      <c r="TKD1876" s="2730"/>
      <c r="TKE1876" s="2730"/>
      <c r="TKF1876" s="2730"/>
      <c r="TKG1876" s="2730"/>
      <c r="TKH1876" s="2730"/>
      <c r="TKI1876" s="2730"/>
      <c r="TKJ1876" s="2730"/>
      <c r="TKK1876" s="2730"/>
      <c r="TKL1876" s="2730"/>
      <c r="TKM1876" s="2730"/>
      <c r="TKN1876" s="2730"/>
      <c r="TKO1876" s="2730"/>
      <c r="TKP1876" s="2730"/>
      <c r="TKQ1876" s="2730"/>
      <c r="TKR1876" s="2730"/>
      <c r="TKS1876" s="2730"/>
      <c r="TKT1876" s="2730"/>
      <c r="TKU1876" s="2730"/>
      <c r="TKV1876" s="2730"/>
      <c r="TKW1876" s="2730"/>
      <c r="TKX1876" s="2730"/>
      <c r="TKY1876" s="2730"/>
      <c r="TKZ1876" s="2730"/>
      <c r="TLA1876" s="2730"/>
      <c r="TLB1876" s="2730"/>
      <c r="TLC1876" s="2730"/>
      <c r="TLD1876" s="2730"/>
      <c r="TLE1876" s="2730"/>
      <c r="TLF1876" s="2730"/>
      <c r="TLG1876" s="2730"/>
      <c r="TLH1876" s="2730"/>
      <c r="TLI1876" s="2730"/>
      <c r="TLJ1876" s="2730"/>
      <c r="TLK1876" s="2730"/>
      <c r="TLL1876" s="2730"/>
      <c r="TLM1876" s="2730"/>
      <c r="TLN1876" s="2730"/>
      <c r="TLO1876" s="2730"/>
      <c r="TLP1876" s="2730"/>
      <c r="TLQ1876" s="2730"/>
      <c r="TLR1876" s="2730"/>
      <c r="TLS1876" s="2730"/>
      <c r="TLT1876" s="2730"/>
      <c r="TLU1876" s="2730"/>
      <c r="TLV1876" s="2730"/>
      <c r="TLW1876" s="2730"/>
      <c r="TLX1876" s="2730"/>
      <c r="TLY1876" s="2730"/>
      <c r="TLZ1876" s="2730"/>
      <c r="TMA1876" s="2730"/>
      <c r="TMB1876" s="2730"/>
      <c r="TMC1876" s="2730"/>
      <c r="TMD1876" s="2730"/>
      <c r="TME1876" s="2730"/>
      <c r="TMF1876" s="2730"/>
      <c r="TMG1876" s="2730"/>
      <c r="TMH1876" s="2730"/>
      <c r="TMI1876" s="2730"/>
      <c r="TMJ1876" s="2730"/>
      <c r="TMK1876" s="2730"/>
      <c r="TML1876" s="2730"/>
      <c r="TMM1876" s="2730"/>
      <c r="TMN1876" s="2730"/>
      <c r="TMO1876" s="2730"/>
      <c r="TMP1876" s="2730"/>
      <c r="TMQ1876" s="2730"/>
      <c r="TMR1876" s="2730"/>
      <c r="TMS1876" s="2730"/>
      <c r="TMT1876" s="2730"/>
      <c r="TMU1876" s="2730"/>
      <c r="TMV1876" s="2730"/>
      <c r="TMW1876" s="2730"/>
      <c r="TMX1876" s="2730"/>
      <c r="TMY1876" s="2730"/>
      <c r="TMZ1876" s="2730"/>
      <c r="TNA1876" s="2730"/>
      <c r="TNB1876" s="2730"/>
      <c r="TNC1876" s="2730"/>
      <c r="TND1876" s="2730"/>
      <c r="TNE1876" s="2730"/>
      <c r="TNF1876" s="2730"/>
      <c r="TNG1876" s="2730"/>
      <c r="TNH1876" s="2730"/>
      <c r="TNI1876" s="2730"/>
      <c r="TNJ1876" s="2730"/>
      <c r="TNK1876" s="2730"/>
      <c r="TNL1876" s="2730"/>
      <c r="TNM1876" s="2730"/>
      <c r="TNN1876" s="2730"/>
      <c r="TNO1876" s="2730"/>
      <c r="TNP1876" s="2730"/>
      <c r="TNQ1876" s="2730"/>
      <c r="TNR1876" s="2730"/>
      <c r="TNS1876" s="2730"/>
      <c r="TNT1876" s="2730"/>
      <c r="TNU1876" s="2730"/>
      <c r="TNV1876" s="2730"/>
      <c r="TNW1876" s="2730"/>
      <c r="TNX1876" s="2730"/>
      <c r="TNY1876" s="2730"/>
      <c r="TNZ1876" s="2730"/>
      <c r="TOA1876" s="2730"/>
      <c r="TOB1876" s="2730"/>
      <c r="TOC1876" s="2730"/>
      <c r="TOD1876" s="2730"/>
      <c r="TOE1876" s="2730"/>
      <c r="TOF1876" s="2730"/>
      <c r="TOG1876" s="2730"/>
      <c r="TOH1876" s="2730"/>
      <c r="TOI1876" s="2730"/>
      <c r="TOJ1876" s="2730"/>
      <c r="TOK1876" s="2730"/>
      <c r="TOL1876" s="2730"/>
      <c r="TOM1876" s="2730"/>
      <c r="TON1876" s="2730"/>
      <c r="TOO1876" s="2730"/>
      <c r="TOP1876" s="2730"/>
      <c r="TOQ1876" s="2730"/>
      <c r="TOR1876" s="2730"/>
      <c r="TOS1876" s="2730"/>
      <c r="TOT1876" s="2730"/>
      <c r="TOU1876" s="2730"/>
      <c r="TOV1876" s="2730"/>
      <c r="TOW1876" s="2730"/>
      <c r="TOX1876" s="2730"/>
      <c r="TOY1876" s="2730"/>
      <c r="TOZ1876" s="2730"/>
      <c r="TPA1876" s="2730"/>
      <c r="TPB1876" s="2730"/>
      <c r="TPC1876" s="2730"/>
      <c r="TPD1876" s="2730"/>
      <c r="TPE1876" s="2730"/>
      <c r="TPF1876" s="2730"/>
      <c r="TPG1876" s="2730"/>
      <c r="TPH1876" s="2730"/>
      <c r="TPI1876" s="2730"/>
      <c r="TPJ1876" s="2730"/>
      <c r="TPK1876" s="2730"/>
      <c r="TPL1876" s="2730"/>
      <c r="TPM1876" s="2730"/>
      <c r="TPN1876" s="2730"/>
      <c r="TPO1876" s="2730"/>
      <c r="TPP1876" s="2730"/>
      <c r="TPQ1876" s="2730"/>
      <c r="TPR1876" s="2730"/>
      <c r="TPS1876" s="2730"/>
      <c r="TPT1876" s="2730"/>
      <c r="TPU1876" s="2730"/>
      <c r="TPV1876" s="2730"/>
      <c r="TPW1876" s="2730"/>
      <c r="TPX1876" s="2730"/>
      <c r="TPY1876" s="2730"/>
      <c r="TPZ1876" s="2730"/>
      <c r="TQA1876" s="2730"/>
      <c r="TQB1876" s="2730"/>
      <c r="TQC1876" s="2730"/>
      <c r="TQD1876" s="2730"/>
      <c r="TQE1876" s="2730"/>
      <c r="TQF1876" s="2730"/>
      <c r="TQG1876" s="2730"/>
      <c r="TQH1876" s="2730"/>
      <c r="TQI1876" s="2730"/>
      <c r="TQJ1876" s="2730"/>
      <c r="TQK1876" s="2730"/>
      <c r="TQL1876" s="2730"/>
      <c r="TQM1876" s="2730"/>
      <c r="TQN1876" s="2730"/>
      <c r="TQO1876" s="2730"/>
      <c r="TQP1876" s="2730"/>
      <c r="TQQ1876" s="2730"/>
      <c r="TQR1876" s="2730"/>
      <c r="TQS1876" s="2730"/>
      <c r="TQT1876" s="2730"/>
      <c r="TQU1876" s="2730"/>
      <c r="TQV1876" s="2730"/>
      <c r="TQW1876" s="2730"/>
      <c r="TQX1876" s="2730"/>
      <c r="TQY1876" s="2730"/>
      <c r="TQZ1876" s="2730"/>
      <c r="TRA1876" s="2730"/>
      <c r="TRB1876" s="2730"/>
      <c r="TRC1876" s="2730"/>
      <c r="TRD1876" s="2730"/>
      <c r="TRE1876" s="2730"/>
      <c r="TRF1876" s="2730"/>
      <c r="TRG1876" s="2730"/>
      <c r="TRH1876" s="2730"/>
      <c r="TRI1876" s="2730"/>
      <c r="TRJ1876" s="2730"/>
      <c r="TRK1876" s="2730"/>
      <c r="TRL1876" s="2730"/>
      <c r="TRM1876" s="2730"/>
      <c r="TRN1876" s="2730"/>
      <c r="TRO1876" s="2730"/>
      <c r="TRP1876" s="2730"/>
      <c r="TRQ1876" s="2730"/>
      <c r="TRR1876" s="2730"/>
      <c r="TRS1876" s="2730"/>
      <c r="TRT1876" s="2730"/>
      <c r="TRU1876" s="2730"/>
      <c r="TRV1876" s="2730"/>
      <c r="TRW1876" s="2730"/>
      <c r="TRX1876" s="2730"/>
      <c r="TRY1876" s="2730"/>
      <c r="TRZ1876" s="2730"/>
      <c r="TSA1876" s="2730"/>
      <c r="TSB1876" s="2730"/>
      <c r="TSC1876" s="2730"/>
      <c r="TSD1876" s="2730"/>
      <c r="TSE1876" s="2730"/>
      <c r="TSF1876" s="2730"/>
      <c r="TSG1876" s="2730"/>
      <c r="TSH1876" s="2730"/>
      <c r="TSI1876" s="2730"/>
      <c r="TSJ1876" s="2730"/>
      <c r="TSK1876" s="2730"/>
      <c r="TSL1876" s="2730"/>
      <c r="TSM1876" s="2730"/>
      <c r="TSN1876" s="2730"/>
      <c r="TSO1876" s="2730"/>
      <c r="TSP1876" s="2730"/>
      <c r="TSQ1876" s="2730"/>
      <c r="TSR1876" s="2730"/>
      <c r="TSS1876" s="2730"/>
      <c r="TST1876" s="2730"/>
      <c r="TSU1876" s="2730"/>
      <c r="TSV1876" s="2730"/>
      <c r="TSW1876" s="2730"/>
      <c r="TSX1876" s="2730"/>
      <c r="TSY1876" s="2730"/>
      <c r="TSZ1876" s="2730"/>
      <c r="TTA1876" s="2730"/>
      <c r="TTB1876" s="2730"/>
      <c r="TTC1876" s="2730"/>
      <c r="TTD1876" s="2730"/>
      <c r="TTE1876" s="2730"/>
      <c r="TTF1876" s="2730"/>
      <c r="TTG1876" s="2730"/>
      <c r="TTH1876" s="2730"/>
      <c r="TTI1876" s="2730"/>
      <c r="TTJ1876" s="2730"/>
      <c r="TTK1876" s="2730"/>
      <c r="TTL1876" s="2730"/>
      <c r="TTM1876" s="2730"/>
      <c r="TTN1876" s="2730"/>
      <c r="TTO1876" s="2730"/>
      <c r="TTP1876" s="2730"/>
      <c r="TTQ1876" s="2730"/>
      <c r="TTR1876" s="2730"/>
      <c r="TTS1876" s="2730"/>
      <c r="TTT1876" s="2730"/>
      <c r="TTU1876" s="2730"/>
      <c r="TTV1876" s="2730"/>
      <c r="TTW1876" s="2730"/>
      <c r="TTX1876" s="2730"/>
      <c r="TTY1876" s="2730"/>
      <c r="TTZ1876" s="2730"/>
      <c r="TUA1876" s="2730"/>
      <c r="TUB1876" s="2730"/>
      <c r="TUC1876" s="2730"/>
      <c r="TUD1876" s="2730"/>
      <c r="TUE1876" s="2730"/>
      <c r="TUF1876" s="2730"/>
      <c r="TUG1876" s="2730"/>
      <c r="TUH1876" s="2730"/>
      <c r="TUI1876" s="2730"/>
      <c r="TUJ1876" s="2730"/>
      <c r="TUK1876" s="2730"/>
      <c r="TUL1876" s="2730"/>
      <c r="TUM1876" s="2730"/>
      <c r="TUN1876" s="2730"/>
      <c r="TUO1876" s="2730"/>
      <c r="TUP1876" s="2730"/>
      <c r="TUQ1876" s="2730"/>
      <c r="TUR1876" s="2730"/>
      <c r="TUS1876" s="2730"/>
      <c r="TUT1876" s="2730"/>
      <c r="TUU1876" s="2730"/>
      <c r="TUV1876" s="2730"/>
      <c r="TUW1876" s="2730"/>
      <c r="TUX1876" s="2730"/>
      <c r="TUY1876" s="2730"/>
      <c r="TUZ1876" s="2730"/>
      <c r="TVA1876" s="2730"/>
      <c r="TVB1876" s="2730"/>
      <c r="TVC1876" s="2730"/>
      <c r="TVD1876" s="2730"/>
      <c r="TVE1876" s="2730"/>
      <c r="TVF1876" s="2730"/>
      <c r="TVG1876" s="2730"/>
      <c r="TVH1876" s="2730"/>
      <c r="TVI1876" s="2730"/>
      <c r="TVJ1876" s="2730"/>
      <c r="TVK1876" s="2730"/>
      <c r="TVL1876" s="2730"/>
      <c r="TVM1876" s="2730"/>
      <c r="TVN1876" s="2730"/>
      <c r="TVO1876" s="2730"/>
      <c r="TVP1876" s="2730"/>
      <c r="TVQ1876" s="2730"/>
      <c r="TVR1876" s="2730"/>
      <c r="TVS1876" s="2730"/>
      <c r="TVT1876" s="2730"/>
      <c r="TVU1876" s="2730"/>
      <c r="TVV1876" s="2730"/>
      <c r="TVW1876" s="2730"/>
      <c r="TVX1876" s="2730"/>
      <c r="TVY1876" s="2730"/>
      <c r="TVZ1876" s="2730"/>
      <c r="TWA1876" s="2730"/>
      <c r="TWB1876" s="2730"/>
      <c r="TWC1876" s="2730"/>
      <c r="TWD1876" s="2730"/>
      <c r="TWE1876" s="2730"/>
      <c r="TWF1876" s="2730"/>
      <c r="TWG1876" s="2730"/>
      <c r="TWH1876" s="2730"/>
      <c r="TWI1876" s="2730"/>
      <c r="TWJ1876" s="2730"/>
      <c r="TWK1876" s="2730"/>
      <c r="TWL1876" s="2730"/>
      <c r="TWM1876" s="2730"/>
      <c r="TWN1876" s="2730"/>
      <c r="TWO1876" s="2730"/>
      <c r="TWP1876" s="2730"/>
      <c r="TWQ1876" s="2730"/>
      <c r="TWR1876" s="2730"/>
      <c r="TWS1876" s="2730"/>
      <c r="TWT1876" s="2730"/>
      <c r="TWU1876" s="2730"/>
      <c r="TWV1876" s="2730"/>
      <c r="TWW1876" s="2730"/>
      <c r="TWX1876" s="2730"/>
      <c r="TWY1876" s="2730"/>
      <c r="TWZ1876" s="2730"/>
      <c r="TXA1876" s="2730"/>
      <c r="TXB1876" s="2730"/>
      <c r="TXC1876" s="2730"/>
      <c r="TXD1876" s="2730"/>
      <c r="TXE1876" s="2730"/>
      <c r="TXF1876" s="2730"/>
      <c r="TXG1876" s="2730"/>
      <c r="TXH1876" s="2730"/>
      <c r="TXI1876" s="2730"/>
      <c r="TXJ1876" s="2730"/>
      <c r="TXK1876" s="2730"/>
      <c r="TXL1876" s="2730"/>
      <c r="TXM1876" s="2730"/>
      <c r="TXN1876" s="2730"/>
      <c r="TXO1876" s="2730"/>
      <c r="TXP1876" s="2730"/>
      <c r="TXQ1876" s="2730"/>
      <c r="TXR1876" s="2730"/>
      <c r="TXS1876" s="2730"/>
      <c r="TXT1876" s="2730"/>
      <c r="TXU1876" s="2730"/>
      <c r="TXV1876" s="2730"/>
      <c r="TXW1876" s="2730"/>
      <c r="TXX1876" s="2730"/>
      <c r="TXY1876" s="2730"/>
      <c r="TXZ1876" s="2730"/>
      <c r="TYA1876" s="2730"/>
      <c r="TYB1876" s="2730"/>
      <c r="TYC1876" s="2730"/>
      <c r="TYD1876" s="2730"/>
      <c r="TYE1876" s="2730"/>
      <c r="TYF1876" s="2730"/>
      <c r="TYG1876" s="2730"/>
      <c r="TYH1876" s="2730"/>
      <c r="TYI1876" s="2730"/>
      <c r="TYJ1876" s="2730"/>
      <c r="TYK1876" s="2730"/>
      <c r="TYL1876" s="2730"/>
      <c r="TYM1876" s="2730"/>
      <c r="TYN1876" s="2730"/>
      <c r="TYO1876" s="2730"/>
      <c r="TYP1876" s="2730"/>
      <c r="TYQ1876" s="2730"/>
      <c r="TYR1876" s="2730"/>
      <c r="TYS1876" s="2730"/>
      <c r="TYT1876" s="2730"/>
      <c r="TYU1876" s="2730"/>
      <c r="TYV1876" s="2730"/>
      <c r="TYW1876" s="2730"/>
      <c r="TYX1876" s="2730"/>
      <c r="TYY1876" s="2730"/>
      <c r="TYZ1876" s="2730"/>
      <c r="TZA1876" s="2730"/>
      <c r="TZB1876" s="2730"/>
      <c r="TZC1876" s="2730"/>
      <c r="TZD1876" s="2730"/>
      <c r="TZE1876" s="2730"/>
      <c r="TZF1876" s="2730"/>
      <c r="TZG1876" s="2730"/>
      <c r="TZH1876" s="2730"/>
      <c r="TZI1876" s="2730"/>
      <c r="TZJ1876" s="2730"/>
      <c r="TZK1876" s="2730"/>
      <c r="TZL1876" s="2730"/>
      <c r="TZM1876" s="2730"/>
      <c r="TZN1876" s="2730"/>
      <c r="TZO1876" s="2730"/>
      <c r="TZP1876" s="2730"/>
      <c r="TZQ1876" s="2730"/>
      <c r="TZR1876" s="2730"/>
      <c r="TZS1876" s="2730"/>
      <c r="TZT1876" s="2730"/>
      <c r="TZU1876" s="2730"/>
      <c r="TZV1876" s="2730"/>
      <c r="TZW1876" s="2730"/>
      <c r="TZX1876" s="2730"/>
      <c r="TZY1876" s="2730"/>
      <c r="TZZ1876" s="2730"/>
      <c r="UAA1876" s="2730"/>
      <c r="UAB1876" s="2730"/>
      <c r="UAC1876" s="2730"/>
      <c r="UAD1876" s="2730"/>
      <c r="UAE1876" s="2730"/>
      <c r="UAF1876" s="2730"/>
      <c r="UAG1876" s="2730"/>
      <c r="UAH1876" s="2730"/>
      <c r="UAI1876" s="2730"/>
      <c r="UAJ1876" s="2730"/>
      <c r="UAK1876" s="2730"/>
      <c r="UAL1876" s="2730"/>
      <c r="UAM1876" s="2730"/>
      <c r="UAN1876" s="2730"/>
      <c r="UAO1876" s="2730"/>
      <c r="UAP1876" s="2730"/>
      <c r="UAQ1876" s="2730"/>
      <c r="UAR1876" s="2730"/>
      <c r="UAS1876" s="2730"/>
      <c r="UAT1876" s="2730"/>
      <c r="UAU1876" s="2730"/>
      <c r="UAV1876" s="2730"/>
      <c r="UAW1876" s="2730"/>
      <c r="UAX1876" s="2730"/>
      <c r="UAY1876" s="2730"/>
      <c r="UAZ1876" s="2730"/>
      <c r="UBA1876" s="2730"/>
      <c r="UBB1876" s="2730"/>
      <c r="UBC1876" s="2730"/>
      <c r="UBD1876" s="2730"/>
      <c r="UBE1876" s="2730"/>
      <c r="UBF1876" s="2730"/>
      <c r="UBG1876" s="2730"/>
      <c r="UBH1876" s="2730"/>
      <c r="UBI1876" s="2730"/>
      <c r="UBJ1876" s="2730"/>
      <c r="UBK1876" s="2730"/>
      <c r="UBL1876" s="2730"/>
      <c r="UBM1876" s="2730"/>
      <c r="UBN1876" s="2730"/>
      <c r="UBO1876" s="2730"/>
      <c r="UBP1876" s="2730"/>
      <c r="UBQ1876" s="2730"/>
      <c r="UBR1876" s="2730"/>
      <c r="UBS1876" s="2730"/>
      <c r="UBT1876" s="2730"/>
      <c r="UBU1876" s="2730"/>
      <c r="UBV1876" s="2730"/>
      <c r="UBW1876" s="2730"/>
      <c r="UBX1876" s="2730"/>
      <c r="UBY1876" s="2730"/>
      <c r="UBZ1876" s="2730"/>
      <c r="UCA1876" s="2730"/>
      <c r="UCB1876" s="2730"/>
      <c r="UCC1876" s="2730"/>
      <c r="UCD1876" s="2730"/>
      <c r="UCE1876" s="2730"/>
      <c r="UCF1876" s="2730"/>
      <c r="UCG1876" s="2730"/>
      <c r="UCH1876" s="2730"/>
      <c r="UCI1876" s="2730"/>
      <c r="UCJ1876" s="2730"/>
      <c r="UCK1876" s="2730"/>
      <c r="UCL1876" s="2730"/>
      <c r="UCM1876" s="2730"/>
      <c r="UCN1876" s="2730"/>
      <c r="UCO1876" s="2730"/>
      <c r="UCP1876" s="2730"/>
      <c r="UCQ1876" s="2730"/>
      <c r="UCR1876" s="2730"/>
      <c r="UCS1876" s="2730"/>
      <c r="UCT1876" s="2730"/>
      <c r="UCU1876" s="2730"/>
      <c r="UCV1876" s="2730"/>
      <c r="UCW1876" s="2730"/>
      <c r="UCX1876" s="2730"/>
      <c r="UCY1876" s="2730"/>
      <c r="UCZ1876" s="2730"/>
      <c r="UDA1876" s="2730"/>
      <c r="UDB1876" s="2730"/>
      <c r="UDC1876" s="2730"/>
      <c r="UDD1876" s="2730"/>
      <c r="UDE1876" s="2730"/>
      <c r="UDF1876" s="2730"/>
      <c r="UDG1876" s="2730"/>
      <c r="UDH1876" s="2730"/>
      <c r="UDI1876" s="2730"/>
      <c r="UDJ1876" s="2730"/>
      <c r="UDK1876" s="2730"/>
      <c r="UDL1876" s="2730"/>
      <c r="UDM1876" s="2730"/>
      <c r="UDN1876" s="2730"/>
      <c r="UDO1876" s="2730"/>
      <c r="UDP1876" s="2730"/>
      <c r="UDQ1876" s="2730"/>
      <c r="UDR1876" s="2730"/>
      <c r="UDS1876" s="2730"/>
      <c r="UDT1876" s="2730"/>
      <c r="UDU1876" s="2730"/>
      <c r="UDV1876" s="2730"/>
      <c r="UDW1876" s="2730"/>
      <c r="UDX1876" s="2730"/>
      <c r="UDY1876" s="2730"/>
      <c r="UDZ1876" s="2730"/>
      <c r="UEA1876" s="2730"/>
      <c r="UEB1876" s="2730"/>
      <c r="UEC1876" s="2730"/>
      <c r="UED1876" s="2730"/>
      <c r="UEE1876" s="2730"/>
      <c r="UEF1876" s="2730"/>
      <c r="UEG1876" s="2730"/>
      <c r="UEH1876" s="2730"/>
      <c r="UEI1876" s="2730"/>
      <c r="UEJ1876" s="2730"/>
      <c r="UEK1876" s="2730"/>
      <c r="UEL1876" s="2730"/>
      <c r="UEM1876" s="2730"/>
      <c r="UEN1876" s="2730"/>
      <c r="UEO1876" s="2730"/>
      <c r="UEP1876" s="2730"/>
      <c r="UEQ1876" s="2730"/>
      <c r="UER1876" s="2730"/>
      <c r="UES1876" s="2730"/>
      <c r="UET1876" s="2730"/>
      <c r="UEU1876" s="2730"/>
      <c r="UEV1876" s="2730"/>
      <c r="UEW1876" s="2730"/>
      <c r="UEX1876" s="2730"/>
      <c r="UEY1876" s="2730"/>
      <c r="UEZ1876" s="2730"/>
      <c r="UFA1876" s="2730"/>
      <c r="UFB1876" s="2730"/>
      <c r="UFC1876" s="2730"/>
      <c r="UFD1876" s="2730"/>
      <c r="UFE1876" s="2730"/>
      <c r="UFF1876" s="2730"/>
      <c r="UFG1876" s="2730"/>
      <c r="UFH1876" s="2730"/>
      <c r="UFI1876" s="2730"/>
      <c r="UFJ1876" s="2730"/>
      <c r="UFK1876" s="2730"/>
      <c r="UFL1876" s="2730"/>
      <c r="UFM1876" s="2730"/>
      <c r="UFN1876" s="2730"/>
      <c r="UFO1876" s="2730"/>
      <c r="UFP1876" s="2730"/>
      <c r="UFQ1876" s="2730"/>
      <c r="UFR1876" s="2730"/>
      <c r="UFS1876" s="2730"/>
      <c r="UFT1876" s="2730"/>
      <c r="UFU1876" s="2730"/>
      <c r="UFV1876" s="2730"/>
      <c r="UFW1876" s="2730"/>
      <c r="UFX1876" s="2730"/>
      <c r="UFY1876" s="2730"/>
      <c r="UFZ1876" s="2730"/>
      <c r="UGA1876" s="2730"/>
      <c r="UGB1876" s="2730"/>
      <c r="UGC1876" s="2730"/>
      <c r="UGD1876" s="2730"/>
      <c r="UGE1876" s="2730"/>
      <c r="UGF1876" s="2730"/>
      <c r="UGG1876" s="2730"/>
      <c r="UGH1876" s="2730"/>
      <c r="UGI1876" s="2730"/>
      <c r="UGJ1876" s="2730"/>
      <c r="UGK1876" s="2730"/>
      <c r="UGL1876" s="2730"/>
      <c r="UGM1876" s="2730"/>
      <c r="UGN1876" s="2730"/>
      <c r="UGO1876" s="2730"/>
      <c r="UGP1876" s="2730"/>
      <c r="UGQ1876" s="2730"/>
      <c r="UGR1876" s="2730"/>
      <c r="UGS1876" s="2730"/>
      <c r="UGT1876" s="2730"/>
      <c r="UGU1876" s="2730"/>
      <c r="UGV1876" s="2730"/>
      <c r="UGW1876" s="2730"/>
      <c r="UGX1876" s="2730"/>
      <c r="UGY1876" s="2730"/>
      <c r="UGZ1876" s="2730"/>
      <c r="UHA1876" s="2730"/>
      <c r="UHB1876" s="2730"/>
      <c r="UHC1876" s="2730"/>
      <c r="UHD1876" s="2730"/>
      <c r="UHE1876" s="2730"/>
      <c r="UHF1876" s="2730"/>
      <c r="UHG1876" s="2730"/>
      <c r="UHH1876" s="2730"/>
      <c r="UHI1876" s="2730"/>
      <c r="UHJ1876" s="2730"/>
      <c r="UHK1876" s="2730"/>
      <c r="UHL1876" s="2730"/>
      <c r="UHM1876" s="2730"/>
      <c r="UHN1876" s="2730"/>
      <c r="UHO1876" s="2730"/>
      <c r="UHP1876" s="2730"/>
      <c r="UHQ1876" s="2730"/>
      <c r="UHR1876" s="2730"/>
      <c r="UHS1876" s="2730"/>
      <c r="UHT1876" s="2730"/>
      <c r="UHU1876" s="2730"/>
      <c r="UHV1876" s="2730"/>
      <c r="UHW1876" s="2730"/>
      <c r="UHX1876" s="2730"/>
      <c r="UHY1876" s="2730"/>
      <c r="UHZ1876" s="2730"/>
      <c r="UIA1876" s="2730"/>
      <c r="UIB1876" s="2730"/>
      <c r="UIC1876" s="2730"/>
      <c r="UID1876" s="2730"/>
      <c r="UIE1876" s="2730"/>
      <c r="UIF1876" s="2730"/>
      <c r="UIG1876" s="2730"/>
      <c r="UIH1876" s="2730"/>
      <c r="UII1876" s="2730"/>
      <c r="UIJ1876" s="2730"/>
      <c r="UIK1876" s="2730"/>
      <c r="UIL1876" s="2730"/>
      <c r="UIM1876" s="2730"/>
      <c r="UIN1876" s="2730"/>
      <c r="UIO1876" s="2730"/>
      <c r="UIP1876" s="2730"/>
      <c r="UIQ1876" s="2730"/>
      <c r="UIR1876" s="2730"/>
      <c r="UIS1876" s="2730"/>
      <c r="UIT1876" s="2730"/>
      <c r="UIU1876" s="2730"/>
      <c r="UIV1876" s="2730"/>
      <c r="UIW1876" s="2730"/>
      <c r="UIX1876" s="2730"/>
      <c r="UIY1876" s="2730"/>
      <c r="UIZ1876" s="2730"/>
      <c r="UJA1876" s="2730"/>
      <c r="UJB1876" s="2730"/>
      <c r="UJC1876" s="2730"/>
      <c r="UJD1876" s="2730"/>
      <c r="UJE1876" s="2730"/>
      <c r="UJF1876" s="2730"/>
      <c r="UJG1876" s="2730"/>
      <c r="UJH1876" s="2730"/>
      <c r="UJI1876" s="2730"/>
      <c r="UJJ1876" s="2730"/>
      <c r="UJK1876" s="2730"/>
      <c r="UJL1876" s="2730"/>
      <c r="UJM1876" s="2730"/>
      <c r="UJN1876" s="2730"/>
      <c r="UJO1876" s="2730"/>
      <c r="UJP1876" s="2730"/>
      <c r="UJQ1876" s="2730"/>
      <c r="UJR1876" s="2730"/>
      <c r="UJS1876" s="2730"/>
      <c r="UJT1876" s="2730"/>
      <c r="UJU1876" s="2730"/>
      <c r="UJV1876" s="2730"/>
      <c r="UJW1876" s="2730"/>
      <c r="UJX1876" s="2730"/>
      <c r="UJY1876" s="2730"/>
      <c r="UJZ1876" s="2730"/>
      <c r="UKA1876" s="2730"/>
      <c r="UKB1876" s="2730"/>
      <c r="UKC1876" s="2730"/>
      <c r="UKD1876" s="2730"/>
      <c r="UKE1876" s="2730"/>
      <c r="UKF1876" s="2730"/>
      <c r="UKG1876" s="2730"/>
      <c r="UKH1876" s="2730"/>
      <c r="UKI1876" s="2730"/>
      <c r="UKJ1876" s="2730"/>
      <c r="UKK1876" s="2730"/>
      <c r="UKL1876" s="2730"/>
      <c r="UKM1876" s="2730"/>
      <c r="UKN1876" s="2730"/>
      <c r="UKO1876" s="2730"/>
      <c r="UKP1876" s="2730"/>
      <c r="UKQ1876" s="2730"/>
      <c r="UKR1876" s="2730"/>
      <c r="UKS1876" s="2730"/>
      <c r="UKT1876" s="2730"/>
      <c r="UKU1876" s="2730"/>
      <c r="UKV1876" s="2730"/>
      <c r="UKW1876" s="2730"/>
      <c r="UKX1876" s="2730"/>
      <c r="UKY1876" s="2730"/>
      <c r="UKZ1876" s="2730"/>
      <c r="ULA1876" s="2730"/>
      <c r="ULB1876" s="2730"/>
      <c r="ULC1876" s="2730"/>
      <c r="ULD1876" s="2730"/>
      <c r="ULE1876" s="2730"/>
      <c r="ULF1876" s="2730"/>
      <c r="ULG1876" s="2730"/>
      <c r="ULH1876" s="2730"/>
      <c r="ULI1876" s="2730"/>
      <c r="ULJ1876" s="2730"/>
      <c r="ULK1876" s="2730"/>
      <c r="ULL1876" s="2730"/>
      <c r="ULM1876" s="2730"/>
      <c r="ULN1876" s="2730"/>
      <c r="ULO1876" s="2730"/>
      <c r="ULP1876" s="2730"/>
      <c r="ULQ1876" s="2730"/>
      <c r="ULR1876" s="2730"/>
      <c r="ULS1876" s="2730"/>
      <c r="ULT1876" s="2730"/>
      <c r="ULU1876" s="2730"/>
      <c r="ULV1876" s="2730"/>
      <c r="ULW1876" s="2730"/>
      <c r="ULX1876" s="2730"/>
      <c r="ULY1876" s="2730"/>
      <c r="ULZ1876" s="2730"/>
      <c r="UMA1876" s="2730"/>
      <c r="UMB1876" s="2730"/>
      <c r="UMC1876" s="2730"/>
      <c r="UMD1876" s="2730"/>
      <c r="UME1876" s="2730"/>
      <c r="UMF1876" s="2730"/>
      <c r="UMG1876" s="2730"/>
      <c r="UMH1876" s="2730"/>
      <c r="UMI1876" s="2730"/>
      <c r="UMJ1876" s="2730"/>
      <c r="UMK1876" s="2730"/>
      <c r="UML1876" s="2730"/>
      <c r="UMM1876" s="2730"/>
      <c r="UMN1876" s="2730"/>
      <c r="UMO1876" s="2730"/>
      <c r="UMP1876" s="2730"/>
      <c r="UMQ1876" s="2730"/>
      <c r="UMR1876" s="2730"/>
      <c r="UMS1876" s="2730"/>
      <c r="UMT1876" s="2730"/>
      <c r="UMU1876" s="2730"/>
      <c r="UMV1876" s="2730"/>
      <c r="UMW1876" s="2730"/>
      <c r="UMX1876" s="2730"/>
      <c r="UMY1876" s="2730"/>
      <c r="UMZ1876" s="2730"/>
      <c r="UNA1876" s="2730"/>
      <c r="UNB1876" s="2730"/>
      <c r="UNC1876" s="2730"/>
      <c r="UND1876" s="2730"/>
      <c r="UNE1876" s="2730"/>
      <c r="UNF1876" s="2730"/>
      <c r="UNG1876" s="2730"/>
      <c r="UNH1876" s="2730"/>
      <c r="UNI1876" s="2730"/>
      <c r="UNJ1876" s="2730"/>
      <c r="UNK1876" s="2730"/>
      <c r="UNL1876" s="2730"/>
      <c r="UNM1876" s="2730"/>
      <c r="UNN1876" s="2730"/>
      <c r="UNO1876" s="2730"/>
      <c r="UNP1876" s="2730"/>
      <c r="UNQ1876" s="2730"/>
      <c r="UNR1876" s="2730"/>
      <c r="UNS1876" s="2730"/>
      <c r="UNT1876" s="2730"/>
      <c r="UNU1876" s="2730"/>
      <c r="UNV1876" s="2730"/>
      <c r="UNW1876" s="2730"/>
      <c r="UNX1876" s="2730"/>
      <c r="UNY1876" s="2730"/>
      <c r="UNZ1876" s="2730"/>
      <c r="UOA1876" s="2730"/>
      <c r="UOB1876" s="2730"/>
      <c r="UOC1876" s="2730"/>
      <c r="UOD1876" s="2730"/>
      <c r="UOE1876" s="2730"/>
      <c r="UOF1876" s="2730"/>
      <c r="UOG1876" s="2730"/>
      <c r="UOH1876" s="2730"/>
      <c r="UOI1876" s="2730"/>
      <c r="UOJ1876" s="2730"/>
      <c r="UOK1876" s="2730"/>
      <c r="UOL1876" s="2730"/>
      <c r="UOM1876" s="2730"/>
      <c r="UON1876" s="2730"/>
      <c r="UOO1876" s="2730"/>
      <c r="UOP1876" s="2730"/>
      <c r="UOQ1876" s="2730"/>
      <c r="UOR1876" s="2730"/>
      <c r="UOS1876" s="2730"/>
      <c r="UOT1876" s="2730"/>
      <c r="UOU1876" s="2730"/>
      <c r="UOV1876" s="2730"/>
      <c r="UOW1876" s="2730"/>
      <c r="UOX1876" s="2730"/>
      <c r="UOY1876" s="2730"/>
      <c r="UOZ1876" s="2730"/>
      <c r="UPA1876" s="2730"/>
      <c r="UPB1876" s="2730"/>
      <c r="UPC1876" s="2730"/>
      <c r="UPD1876" s="2730"/>
      <c r="UPE1876" s="2730"/>
      <c r="UPF1876" s="2730"/>
      <c r="UPG1876" s="2730"/>
      <c r="UPH1876" s="2730"/>
      <c r="UPI1876" s="2730"/>
      <c r="UPJ1876" s="2730"/>
      <c r="UPK1876" s="2730"/>
      <c r="UPL1876" s="2730"/>
      <c r="UPM1876" s="2730"/>
      <c r="UPN1876" s="2730"/>
      <c r="UPO1876" s="2730"/>
      <c r="UPP1876" s="2730"/>
      <c r="UPQ1876" s="2730"/>
      <c r="UPR1876" s="2730"/>
      <c r="UPS1876" s="2730"/>
      <c r="UPT1876" s="2730"/>
      <c r="UPU1876" s="2730"/>
      <c r="UPV1876" s="2730"/>
      <c r="UPW1876" s="2730"/>
      <c r="UPX1876" s="2730"/>
      <c r="UPY1876" s="2730"/>
      <c r="UPZ1876" s="2730"/>
      <c r="UQA1876" s="2730"/>
      <c r="UQB1876" s="2730"/>
      <c r="UQC1876" s="2730"/>
      <c r="UQD1876" s="2730"/>
      <c r="UQE1876" s="2730"/>
      <c r="UQF1876" s="2730"/>
      <c r="UQG1876" s="2730"/>
      <c r="UQH1876" s="2730"/>
      <c r="UQI1876" s="2730"/>
      <c r="UQJ1876" s="2730"/>
      <c r="UQK1876" s="2730"/>
      <c r="UQL1876" s="2730"/>
      <c r="UQM1876" s="2730"/>
      <c r="UQN1876" s="2730"/>
      <c r="UQO1876" s="2730"/>
      <c r="UQP1876" s="2730"/>
      <c r="UQQ1876" s="2730"/>
      <c r="UQR1876" s="2730"/>
      <c r="UQS1876" s="2730"/>
      <c r="UQT1876" s="2730"/>
      <c r="UQU1876" s="2730"/>
      <c r="UQV1876" s="2730"/>
      <c r="UQW1876" s="2730"/>
      <c r="UQX1876" s="2730"/>
      <c r="UQY1876" s="2730"/>
      <c r="UQZ1876" s="2730"/>
      <c r="URA1876" s="2730"/>
      <c r="URB1876" s="2730"/>
      <c r="URC1876" s="2730"/>
      <c r="URD1876" s="2730"/>
      <c r="URE1876" s="2730"/>
      <c r="URF1876" s="2730"/>
      <c r="URG1876" s="2730"/>
      <c r="URH1876" s="2730"/>
      <c r="URI1876" s="2730"/>
      <c r="URJ1876" s="2730"/>
      <c r="URK1876" s="2730"/>
      <c r="URL1876" s="2730"/>
      <c r="URM1876" s="2730"/>
      <c r="URN1876" s="2730"/>
      <c r="URO1876" s="2730"/>
      <c r="URP1876" s="2730"/>
      <c r="URQ1876" s="2730"/>
      <c r="URR1876" s="2730"/>
      <c r="URS1876" s="2730"/>
      <c r="URT1876" s="2730"/>
      <c r="URU1876" s="2730"/>
      <c r="URV1876" s="2730"/>
      <c r="URW1876" s="2730"/>
      <c r="URX1876" s="2730"/>
      <c r="URY1876" s="2730"/>
      <c r="URZ1876" s="2730"/>
      <c r="USA1876" s="2730"/>
      <c r="USB1876" s="2730"/>
      <c r="USC1876" s="2730"/>
      <c r="USD1876" s="2730"/>
      <c r="USE1876" s="2730"/>
      <c r="USF1876" s="2730"/>
      <c r="USG1876" s="2730"/>
      <c r="USH1876" s="2730"/>
      <c r="USI1876" s="2730"/>
      <c r="USJ1876" s="2730"/>
      <c r="USK1876" s="2730"/>
      <c r="USL1876" s="2730"/>
      <c r="USM1876" s="2730"/>
      <c r="USN1876" s="2730"/>
      <c r="USO1876" s="2730"/>
      <c r="USP1876" s="2730"/>
      <c r="USQ1876" s="2730"/>
      <c r="USR1876" s="2730"/>
      <c r="USS1876" s="2730"/>
      <c r="UST1876" s="2730"/>
      <c r="USU1876" s="2730"/>
      <c r="USV1876" s="2730"/>
      <c r="USW1876" s="2730"/>
      <c r="USX1876" s="2730"/>
      <c r="USY1876" s="2730"/>
      <c r="USZ1876" s="2730"/>
      <c r="UTA1876" s="2730"/>
      <c r="UTB1876" s="2730"/>
      <c r="UTC1876" s="2730"/>
      <c r="UTD1876" s="2730"/>
      <c r="UTE1876" s="2730"/>
      <c r="UTF1876" s="2730"/>
      <c r="UTG1876" s="2730"/>
      <c r="UTH1876" s="2730"/>
      <c r="UTI1876" s="2730"/>
      <c r="UTJ1876" s="2730"/>
      <c r="UTK1876" s="2730"/>
      <c r="UTL1876" s="2730"/>
      <c r="UTM1876" s="2730"/>
      <c r="UTN1876" s="2730"/>
      <c r="UTO1876" s="2730"/>
      <c r="UTP1876" s="2730"/>
      <c r="UTQ1876" s="2730"/>
      <c r="UTR1876" s="2730"/>
      <c r="UTS1876" s="2730"/>
      <c r="UTT1876" s="2730"/>
      <c r="UTU1876" s="2730"/>
      <c r="UTV1876" s="2730"/>
      <c r="UTW1876" s="2730"/>
      <c r="UTX1876" s="2730"/>
      <c r="UTY1876" s="2730"/>
      <c r="UTZ1876" s="2730"/>
      <c r="UUA1876" s="2730"/>
      <c r="UUB1876" s="2730"/>
      <c r="UUC1876" s="2730"/>
      <c r="UUD1876" s="2730"/>
      <c r="UUE1876" s="2730"/>
      <c r="UUF1876" s="2730"/>
      <c r="UUG1876" s="2730"/>
      <c r="UUH1876" s="2730"/>
      <c r="UUI1876" s="2730"/>
      <c r="UUJ1876" s="2730"/>
      <c r="UUK1876" s="2730"/>
      <c r="UUL1876" s="2730"/>
      <c r="UUM1876" s="2730"/>
      <c r="UUN1876" s="2730"/>
      <c r="UUO1876" s="2730"/>
      <c r="UUP1876" s="2730"/>
      <c r="UUQ1876" s="2730"/>
      <c r="UUR1876" s="2730"/>
      <c r="UUS1876" s="2730"/>
      <c r="UUT1876" s="2730"/>
      <c r="UUU1876" s="2730"/>
      <c r="UUV1876" s="2730"/>
      <c r="UUW1876" s="2730"/>
      <c r="UUX1876" s="2730"/>
      <c r="UUY1876" s="2730"/>
      <c r="UUZ1876" s="2730"/>
      <c r="UVA1876" s="2730"/>
      <c r="UVB1876" s="2730"/>
      <c r="UVC1876" s="2730"/>
      <c r="UVD1876" s="2730"/>
      <c r="UVE1876" s="2730"/>
      <c r="UVF1876" s="2730"/>
      <c r="UVG1876" s="2730"/>
      <c r="UVH1876" s="2730"/>
      <c r="UVI1876" s="2730"/>
      <c r="UVJ1876" s="2730"/>
      <c r="UVK1876" s="2730"/>
      <c r="UVL1876" s="2730"/>
      <c r="UVM1876" s="2730"/>
      <c r="UVN1876" s="2730"/>
      <c r="UVO1876" s="2730"/>
      <c r="UVP1876" s="2730"/>
      <c r="UVQ1876" s="2730"/>
      <c r="UVR1876" s="2730"/>
      <c r="UVS1876" s="2730"/>
      <c r="UVT1876" s="2730"/>
      <c r="UVU1876" s="2730"/>
      <c r="UVV1876" s="2730"/>
      <c r="UVW1876" s="2730"/>
      <c r="UVX1876" s="2730"/>
      <c r="UVY1876" s="2730"/>
      <c r="UVZ1876" s="2730"/>
      <c r="UWA1876" s="2730"/>
      <c r="UWB1876" s="2730"/>
      <c r="UWC1876" s="2730"/>
      <c r="UWD1876" s="2730"/>
      <c r="UWE1876" s="2730"/>
      <c r="UWF1876" s="2730"/>
      <c r="UWG1876" s="2730"/>
      <c r="UWH1876" s="2730"/>
      <c r="UWI1876" s="2730"/>
      <c r="UWJ1876" s="2730"/>
      <c r="UWK1876" s="2730"/>
      <c r="UWL1876" s="2730"/>
      <c r="UWM1876" s="2730"/>
      <c r="UWN1876" s="2730"/>
      <c r="UWO1876" s="2730"/>
      <c r="UWP1876" s="2730"/>
      <c r="UWQ1876" s="2730"/>
      <c r="UWR1876" s="2730"/>
      <c r="UWS1876" s="2730"/>
      <c r="UWT1876" s="2730"/>
      <c r="UWU1876" s="2730"/>
      <c r="UWV1876" s="2730"/>
      <c r="UWW1876" s="2730"/>
      <c r="UWX1876" s="2730"/>
      <c r="UWY1876" s="2730"/>
      <c r="UWZ1876" s="2730"/>
      <c r="UXA1876" s="2730"/>
      <c r="UXB1876" s="2730"/>
      <c r="UXC1876" s="2730"/>
      <c r="UXD1876" s="2730"/>
      <c r="UXE1876" s="2730"/>
      <c r="UXF1876" s="2730"/>
      <c r="UXG1876" s="2730"/>
      <c r="UXH1876" s="2730"/>
      <c r="UXI1876" s="2730"/>
      <c r="UXJ1876" s="2730"/>
      <c r="UXK1876" s="2730"/>
      <c r="UXL1876" s="2730"/>
      <c r="UXM1876" s="2730"/>
      <c r="UXN1876" s="2730"/>
      <c r="UXO1876" s="2730"/>
      <c r="UXP1876" s="2730"/>
      <c r="UXQ1876" s="2730"/>
      <c r="UXR1876" s="2730"/>
      <c r="UXS1876" s="2730"/>
      <c r="UXT1876" s="2730"/>
      <c r="UXU1876" s="2730"/>
      <c r="UXV1876" s="2730"/>
      <c r="UXW1876" s="2730"/>
      <c r="UXX1876" s="2730"/>
      <c r="UXY1876" s="2730"/>
      <c r="UXZ1876" s="2730"/>
      <c r="UYA1876" s="2730"/>
      <c r="UYB1876" s="2730"/>
      <c r="UYC1876" s="2730"/>
      <c r="UYD1876" s="2730"/>
      <c r="UYE1876" s="2730"/>
      <c r="UYF1876" s="2730"/>
      <c r="UYG1876" s="2730"/>
      <c r="UYH1876" s="2730"/>
      <c r="UYI1876" s="2730"/>
      <c r="UYJ1876" s="2730"/>
      <c r="UYK1876" s="2730"/>
      <c r="UYL1876" s="2730"/>
      <c r="UYM1876" s="2730"/>
      <c r="UYN1876" s="2730"/>
      <c r="UYO1876" s="2730"/>
      <c r="UYP1876" s="2730"/>
      <c r="UYQ1876" s="2730"/>
      <c r="UYR1876" s="2730"/>
      <c r="UYS1876" s="2730"/>
      <c r="UYT1876" s="2730"/>
      <c r="UYU1876" s="2730"/>
      <c r="UYV1876" s="2730"/>
      <c r="UYW1876" s="2730"/>
      <c r="UYX1876" s="2730"/>
      <c r="UYY1876" s="2730"/>
      <c r="UYZ1876" s="2730"/>
      <c r="UZA1876" s="2730"/>
      <c r="UZB1876" s="2730"/>
      <c r="UZC1876" s="2730"/>
      <c r="UZD1876" s="2730"/>
      <c r="UZE1876" s="2730"/>
      <c r="UZF1876" s="2730"/>
      <c r="UZG1876" s="2730"/>
      <c r="UZH1876" s="2730"/>
      <c r="UZI1876" s="2730"/>
      <c r="UZJ1876" s="2730"/>
      <c r="UZK1876" s="2730"/>
      <c r="UZL1876" s="2730"/>
      <c r="UZM1876" s="2730"/>
      <c r="UZN1876" s="2730"/>
      <c r="UZO1876" s="2730"/>
      <c r="UZP1876" s="2730"/>
      <c r="UZQ1876" s="2730"/>
      <c r="UZR1876" s="2730"/>
      <c r="UZS1876" s="2730"/>
      <c r="UZT1876" s="2730"/>
      <c r="UZU1876" s="2730"/>
      <c r="UZV1876" s="2730"/>
      <c r="UZW1876" s="2730"/>
      <c r="UZX1876" s="2730"/>
      <c r="UZY1876" s="2730"/>
      <c r="UZZ1876" s="2730"/>
      <c r="VAA1876" s="2730"/>
      <c r="VAB1876" s="2730"/>
      <c r="VAC1876" s="2730"/>
      <c r="VAD1876" s="2730"/>
      <c r="VAE1876" s="2730"/>
      <c r="VAF1876" s="2730"/>
      <c r="VAG1876" s="2730"/>
      <c r="VAH1876" s="2730"/>
      <c r="VAI1876" s="2730"/>
      <c r="VAJ1876" s="2730"/>
      <c r="VAK1876" s="2730"/>
      <c r="VAL1876" s="2730"/>
      <c r="VAM1876" s="2730"/>
      <c r="VAN1876" s="2730"/>
      <c r="VAO1876" s="2730"/>
      <c r="VAP1876" s="2730"/>
      <c r="VAQ1876" s="2730"/>
      <c r="VAR1876" s="2730"/>
      <c r="VAS1876" s="2730"/>
      <c r="VAT1876" s="2730"/>
      <c r="VAU1876" s="2730"/>
      <c r="VAV1876" s="2730"/>
      <c r="VAW1876" s="2730"/>
      <c r="VAX1876" s="2730"/>
      <c r="VAY1876" s="2730"/>
      <c r="VAZ1876" s="2730"/>
      <c r="VBA1876" s="2730"/>
      <c r="VBB1876" s="2730"/>
      <c r="VBC1876" s="2730"/>
      <c r="VBD1876" s="2730"/>
      <c r="VBE1876" s="2730"/>
      <c r="VBF1876" s="2730"/>
      <c r="VBG1876" s="2730"/>
      <c r="VBH1876" s="2730"/>
      <c r="VBI1876" s="2730"/>
      <c r="VBJ1876" s="2730"/>
      <c r="VBK1876" s="2730"/>
      <c r="VBL1876" s="2730"/>
      <c r="VBM1876" s="2730"/>
      <c r="VBN1876" s="2730"/>
      <c r="VBO1876" s="2730"/>
      <c r="VBP1876" s="2730"/>
      <c r="VBQ1876" s="2730"/>
      <c r="VBR1876" s="2730"/>
      <c r="VBS1876" s="2730"/>
      <c r="VBT1876" s="2730"/>
      <c r="VBU1876" s="2730"/>
      <c r="VBV1876" s="2730"/>
      <c r="VBW1876" s="2730"/>
      <c r="VBX1876" s="2730"/>
      <c r="VBY1876" s="2730"/>
      <c r="VBZ1876" s="2730"/>
      <c r="VCA1876" s="2730"/>
      <c r="VCB1876" s="2730"/>
      <c r="VCC1876" s="2730"/>
      <c r="VCD1876" s="2730"/>
      <c r="VCE1876" s="2730"/>
      <c r="VCF1876" s="2730"/>
      <c r="VCG1876" s="2730"/>
      <c r="VCH1876" s="2730"/>
      <c r="VCI1876" s="2730"/>
      <c r="VCJ1876" s="2730"/>
      <c r="VCK1876" s="2730"/>
      <c r="VCL1876" s="2730"/>
      <c r="VCM1876" s="2730"/>
      <c r="VCN1876" s="2730"/>
      <c r="VCO1876" s="2730"/>
      <c r="VCP1876" s="2730"/>
      <c r="VCQ1876" s="2730"/>
      <c r="VCR1876" s="2730"/>
      <c r="VCS1876" s="2730"/>
      <c r="VCT1876" s="2730"/>
      <c r="VCU1876" s="2730"/>
      <c r="VCV1876" s="2730"/>
      <c r="VCW1876" s="2730"/>
      <c r="VCX1876" s="2730"/>
      <c r="VCY1876" s="2730"/>
      <c r="VCZ1876" s="2730"/>
      <c r="VDA1876" s="2730"/>
      <c r="VDB1876" s="2730"/>
      <c r="VDC1876" s="2730"/>
      <c r="VDD1876" s="2730"/>
      <c r="VDE1876" s="2730"/>
      <c r="VDF1876" s="2730"/>
      <c r="VDG1876" s="2730"/>
      <c r="VDH1876" s="2730"/>
      <c r="VDI1876" s="2730"/>
      <c r="VDJ1876" s="2730"/>
      <c r="VDK1876" s="2730"/>
      <c r="VDL1876" s="2730"/>
      <c r="VDM1876" s="2730"/>
      <c r="VDN1876" s="2730"/>
      <c r="VDO1876" s="2730"/>
      <c r="VDP1876" s="2730"/>
      <c r="VDQ1876" s="2730"/>
      <c r="VDR1876" s="2730"/>
      <c r="VDS1876" s="2730"/>
      <c r="VDT1876" s="2730"/>
      <c r="VDU1876" s="2730"/>
      <c r="VDV1876" s="2730"/>
      <c r="VDW1876" s="2730"/>
      <c r="VDX1876" s="2730"/>
      <c r="VDY1876" s="2730"/>
      <c r="VDZ1876" s="2730"/>
      <c r="VEA1876" s="2730"/>
      <c r="VEB1876" s="2730"/>
      <c r="VEC1876" s="2730"/>
      <c r="VED1876" s="2730"/>
      <c r="VEE1876" s="2730"/>
      <c r="VEF1876" s="2730"/>
      <c r="VEG1876" s="2730"/>
      <c r="VEH1876" s="2730"/>
      <c r="VEI1876" s="2730"/>
      <c r="VEJ1876" s="2730"/>
      <c r="VEK1876" s="2730"/>
      <c r="VEL1876" s="2730"/>
      <c r="VEM1876" s="2730"/>
      <c r="VEN1876" s="2730"/>
      <c r="VEO1876" s="2730"/>
      <c r="VEP1876" s="2730"/>
      <c r="VEQ1876" s="2730"/>
      <c r="VER1876" s="2730"/>
      <c r="VES1876" s="2730"/>
      <c r="VET1876" s="2730"/>
      <c r="VEU1876" s="2730"/>
      <c r="VEV1876" s="2730"/>
      <c r="VEW1876" s="2730"/>
      <c r="VEX1876" s="2730"/>
      <c r="VEY1876" s="2730"/>
      <c r="VEZ1876" s="2730"/>
      <c r="VFA1876" s="2730"/>
      <c r="VFB1876" s="2730"/>
      <c r="VFC1876" s="2730"/>
      <c r="VFD1876" s="2730"/>
      <c r="VFE1876" s="2730"/>
      <c r="VFF1876" s="2730"/>
      <c r="VFG1876" s="2730"/>
      <c r="VFH1876" s="2730"/>
      <c r="VFI1876" s="2730"/>
      <c r="VFJ1876" s="2730"/>
      <c r="VFK1876" s="2730"/>
      <c r="VFL1876" s="2730"/>
      <c r="VFM1876" s="2730"/>
      <c r="VFN1876" s="2730"/>
      <c r="VFO1876" s="2730"/>
      <c r="VFP1876" s="2730"/>
      <c r="VFQ1876" s="2730"/>
      <c r="VFR1876" s="2730"/>
      <c r="VFS1876" s="2730"/>
      <c r="VFT1876" s="2730"/>
      <c r="VFU1876" s="2730"/>
      <c r="VFV1876" s="2730"/>
      <c r="VFW1876" s="2730"/>
      <c r="VFX1876" s="2730"/>
      <c r="VFY1876" s="2730"/>
      <c r="VFZ1876" s="2730"/>
      <c r="VGA1876" s="2730"/>
      <c r="VGB1876" s="2730"/>
      <c r="VGC1876" s="2730"/>
      <c r="VGD1876" s="2730"/>
      <c r="VGE1876" s="2730"/>
      <c r="VGF1876" s="2730"/>
      <c r="VGG1876" s="2730"/>
      <c r="VGH1876" s="2730"/>
      <c r="VGI1876" s="2730"/>
      <c r="VGJ1876" s="2730"/>
      <c r="VGK1876" s="2730"/>
      <c r="VGL1876" s="2730"/>
      <c r="VGM1876" s="2730"/>
      <c r="VGN1876" s="2730"/>
      <c r="VGO1876" s="2730"/>
      <c r="VGP1876" s="2730"/>
      <c r="VGQ1876" s="2730"/>
      <c r="VGR1876" s="2730"/>
      <c r="VGS1876" s="2730"/>
      <c r="VGT1876" s="2730"/>
      <c r="VGU1876" s="2730"/>
      <c r="VGV1876" s="2730"/>
      <c r="VGW1876" s="2730"/>
      <c r="VGX1876" s="2730"/>
      <c r="VGY1876" s="2730"/>
      <c r="VGZ1876" s="2730"/>
      <c r="VHA1876" s="2730"/>
      <c r="VHB1876" s="2730"/>
      <c r="VHC1876" s="2730"/>
      <c r="VHD1876" s="2730"/>
      <c r="VHE1876" s="2730"/>
      <c r="VHF1876" s="2730"/>
      <c r="VHG1876" s="2730"/>
      <c r="VHH1876" s="2730"/>
      <c r="VHI1876" s="2730"/>
      <c r="VHJ1876" s="2730"/>
      <c r="VHK1876" s="2730"/>
      <c r="VHL1876" s="2730"/>
      <c r="VHM1876" s="2730"/>
      <c r="VHN1876" s="2730"/>
      <c r="VHO1876" s="2730"/>
      <c r="VHP1876" s="2730"/>
      <c r="VHQ1876" s="2730"/>
      <c r="VHR1876" s="2730"/>
      <c r="VHS1876" s="2730"/>
      <c r="VHT1876" s="2730"/>
      <c r="VHU1876" s="2730"/>
      <c r="VHV1876" s="2730"/>
      <c r="VHW1876" s="2730"/>
      <c r="VHX1876" s="2730"/>
      <c r="VHY1876" s="2730"/>
      <c r="VHZ1876" s="2730"/>
      <c r="VIA1876" s="2730"/>
      <c r="VIB1876" s="2730"/>
      <c r="VIC1876" s="2730"/>
      <c r="VID1876" s="2730"/>
      <c r="VIE1876" s="2730"/>
      <c r="VIF1876" s="2730"/>
      <c r="VIG1876" s="2730"/>
      <c r="VIH1876" s="2730"/>
      <c r="VII1876" s="2730"/>
      <c r="VIJ1876" s="2730"/>
      <c r="VIK1876" s="2730"/>
      <c r="VIL1876" s="2730"/>
      <c r="VIM1876" s="2730"/>
      <c r="VIN1876" s="2730"/>
      <c r="VIO1876" s="2730"/>
      <c r="VIP1876" s="2730"/>
      <c r="VIQ1876" s="2730"/>
      <c r="VIR1876" s="2730"/>
      <c r="VIS1876" s="2730"/>
      <c r="VIT1876" s="2730"/>
      <c r="VIU1876" s="2730"/>
      <c r="VIV1876" s="2730"/>
      <c r="VIW1876" s="2730"/>
      <c r="VIX1876" s="2730"/>
      <c r="VIY1876" s="2730"/>
      <c r="VIZ1876" s="2730"/>
      <c r="VJA1876" s="2730"/>
      <c r="VJB1876" s="2730"/>
      <c r="VJC1876" s="2730"/>
      <c r="VJD1876" s="2730"/>
      <c r="VJE1876" s="2730"/>
      <c r="VJF1876" s="2730"/>
      <c r="VJG1876" s="2730"/>
      <c r="VJH1876" s="2730"/>
      <c r="VJI1876" s="2730"/>
      <c r="VJJ1876" s="2730"/>
      <c r="VJK1876" s="2730"/>
      <c r="VJL1876" s="2730"/>
      <c r="VJM1876" s="2730"/>
      <c r="VJN1876" s="2730"/>
      <c r="VJO1876" s="2730"/>
      <c r="VJP1876" s="2730"/>
      <c r="VJQ1876" s="2730"/>
      <c r="VJR1876" s="2730"/>
      <c r="VJS1876" s="2730"/>
      <c r="VJT1876" s="2730"/>
      <c r="VJU1876" s="2730"/>
      <c r="VJV1876" s="2730"/>
      <c r="VJW1876" s="2730"/>
      <c r="VJX1876" s="2730"/>
      <c r="VJY1876" s="2730"/>
      <c r="VJZ1876" s="2730"/>
      <c r="VKA1876" s="2730"/>
      <c r="VKB1876" s="2730"/>
      <c r="VKC1876" s="2730"/>
      <c r="VKD1876" s="2730"/>
      <c r="VKE1876" s="2730"/>
      <c r="VKF1876" s="2730"/>
      <c r="VKG1876" s="2730"/>
      <c r="VKH1876" s="2730"/>
      <c r="VKI1876" s="2730"/>
      <c r="VKJ1876" s="2730"/>
      <c r="VKK1876" s="2730"/>
      <c r="VKL1876" s="2730"/>
      <c r="VKM1876" s="2730"/>
      <c r="VKN1876" s="2730"/>
      <c r="VKO1876" s="2730"/>
      <c r="VKP1876" s="2730"/>
      <c r="VKQ1876" s="2730"/>
      <c r="VKR1876" s="2730"/>
      <c r="VKS1876" s="2730"/>
      <c r="VKT1876" s="2730"/>
      <c r="VKU1876" s="2730"/>
      <c r="VKV1876" s="2730"/>
      <c r="VKW1876" s="2730"/>
      <c r="VKX1876" s="2730"/>
      <c r="VKY1876" s="2730"/>
      <c r="VKZ1876" s="2730"/>
      <c r="VLA1876" s="2730"/>
      <c r="VLB1876" s="2730"/>
      <c r="VLC1876" s="2730"/>
      <c r="VLD1876" s="2730"/>
      <c r="VLE1876" s="2730"/>
      <c r="VLF1876" s="2730"/>
      <c r="VLG1876" s="2730"/>
      <c r="VLH1876" s="2730"/>
      <c r="VLI1876" s="2730"/>
      <c r="VLJ1876" s="2730"/>
      <c r="VLK1876" s="2730"/>
      <c r="VLL1876" s="2730"/>
      <c r="VLM1876" s="2730"/>
      <c r="VLN1876" s="2730"/>
      <c r="VLO1876" s="2730"/>
      <c r="VLP1876" s="2730"/>
      <c r="VLQ1876" s="2730"/>
      <c r="VLR1876" s="2730"/>
      <c r="VLS1876" s="2730"/>
      <c r="VLT1876" s="2730"/>
      <c r="VLU1876" s="2730"/>
      <c r="VLV1876" s="2730"/>
      <c r="VLW1876" s="2730"/>
      <c r="VLX1876" s="2730"/>
      <c r="VLY1876" s="2730"/>
      <c r="VLZ1876" s="2730"/>
      <c r="VMA1876" s="2730"/>
      <c r="VMB1876" s="2730"/>
      <c r="VMC1876" s="2730"/>
      <c r="VMD1876" s="2730"/>
      <c r="VME1876" s="2730"/>
      <c r="VMF1876" s="2730"/>
      <c r="VMG1876" s="2730"/>
      <c r="VMH1876" s="2730"/>
      <c r="VMI1876" s="2730"/>
      <c r="VMJ1876" s="2730"/>
      <c r="VMK1876" s="2730"/>
      <c r="VML1876" s="2730"/>
      <c r="VMM1876" s="2730"/>
      <c r="VMN1876" s="2730"/>
      <c r="VMO1876" s="2730"/>
      <c r="VMP1876" s="2730"/>
      <c r="VMQ1876" s="2730"/>
      <c r="VMR1876" s="2730"/>
      <c r="VMS1876" s="2730"/>
      <c r="VMT1876" s="2730"/>
      <c r="VMU1876" s="2730"/>
      <c r="VMV1876" s="2730"/>
      <c r="VMW1876" s="2730"/>
      <c r="VMX1876" s="2730"/>
      <c r="VMY1876" s="2730"/>
      <c r="VMZ1876" s="2730"/>
      <c r="VNA1876" s="2730"/>
      <c r="VNB1876" s="2730"/>
      <c r="VNC1876" s="2730"/>
      <c r="VND1876" s="2730"/>
      <c r="VNE1876" s="2730"/>
      <c r="VNF1876" s="2730"/>
      <c r="VNG1876" s="2730"/>
      <c r="VNH1876" s="2730"/>
      <c r="VNI1876" s="2730"/>
      <c r="VNJ1876" s="2730"/>
      <c r="VNK1876" s="2730"/>
      <c r="VNL1876" s="2730"/>
      <c r="VNM1876" s="2730"/>
      <c r="VNN1876" s="2730"/>
      <c r="VNO1876" s="2730"/>
      <c r="VNP1876" s="2730"/>
      <c r="VNQ1876" s="2730"/>
      <c r="VNR1876" s="2730"/>
      <c r="VNS1876" s="2730"/>
      <c r="VNT1876" s="2730"/>
      <c r="VNU1876" s="2730"/>
      <c r="VNV1876" s="2730"/>
      <c r="VNW1876" s="2730"/>
      <c r="VNX1876" s="2730"/>
      <c r="VNY1876" s="2730"/>
      <c r="VNZ1876" s="2730"/>
      <c r="VOA1876" s="2730"/>
      <c r="VOB1876" s="2730"/>
      <c r="VOC1876" s="2730"/>
      <c r="VOD1876" s="2730"/>
      <c r="VOE1876" s="2730"/>
      <c r="VOF1876" s="2730"/>
      <c r="VOG1876" s="2730"/>
      <c r="VOH1876" s="2730"/>
      <c r="VOI1876" s="2730"/>
      <c r="VOJ1876" s="2730"/>
      <c r="VOK1876" s="2730"/>
      <c r="VOL1876" s="2730"/>
      <c r="VOM1876" s="2730"/>
      <c r="VON1876" s="2730"/>
      <c r="VOO1876" s="2730"/>
      <c r="VOP1876" s="2730"/>
      <c r="VOQ1876" s="2730"/>
      <c r="VOR1876" s="2730"/>
      <c r="VOS1876" s="2730"/>
      <c r="VOT1876" s="2730"/>
      <c r="VOU1876" s="2730"/>
      <c r="VOV1876" s="2730"/>
      <c r="VOW1876" s="2730"/>
      <c r="VOX1876" s="2730"/>
      <c r="VOY1876" s="2730"/>
      <c r="VOZ1876" s="2730"/>
      <c r="VPA1876" s="2730"/>
      <c r="VPB1876" s="2730"/>
      <c r="VPC1876" s="2730"/>
      <c r="VPD1876" s="2730"/>
      <c r="VPE1876" s="2730"/>
      <c r="VPF1876" s="2730"/>
      <c r="VPG1876" s="2730"/>
      <c r="VPH1876" s="2730"/>
      <c r="VPI1876" s="2730"/>
      <c r="VPJ1876" s="2730"/>
      <c r="VPK1876" s="2730"/>
      <c r="VPL1876" s="2730"/>
      <c r="VPM1876" s="2730"/>
      <c r="VPN1876" s="2730"/>
      <c r="VPO1876" s="2730"/>
      <c r="VPP1876" s="2730"/>
      <c r="VPQ1876" s="2730"/>
      <c r="VPR1876" s="2730"/>
      <c r="VPS1876" s="2730"/>
      <c r="VPT1876" s="2730"/>
      <c r="VPU1876" s="2730"/>
      <c r="VPV1876" s="2730"/>
      <c r="VPW1876" s="2730"/>
      <c r="VPX1876" s="2730"/>
      <c r="VPY1876" s="2730"/>
      <c r="VPZ1876" s="2730"/>
      <c r="VQA1876" s="2730"/>
      <c r="VQB1876" s="2730"/>
      <c r="VQC1876" s="2730"/>
      <c r="VQD1876" s="2730"/>
      <c r="VQE1876" s="2730"/>
      <c r="VQF1876" s="2730"/>
      <c r="VQG1876" s="2730"/>
      <c r="VQH1876" s="2730"/>
      <c r="VQI1876" s="2730"/>
      <c r="VQJ1876" s="2730"/>
      <c r="VQK1876" s="2730"/>
      <c r="VQL1876" s="2730"/>
      <c r="VQM1876" s="2730"/>
      <c r="VQN1876" s="2730"/>
      <c r="VQO1876" s="2730"/>
      <c r="VQP1876" s="2730"/>
      <c r="VQQ1876" s="2730"/>
      <c r="VQR1876" s="2730"/>
      <c r="VQS1876" s="2730"/>
      <c r="VQT1876" s="2730"/>
      <c r="VQU1876" s="2730"/>
      <c r="VQV1876" s="2730"/>
      <c r="VQW1876" s="2730"/>
      <c r="VQX1876" s="2730"/>
      <c r="VQY1876" s="2730"/>
      <c r="VQZ1876" s="2730"/>
      <c r="VRA1876" s="2730"/>
      <c r="VRB1876" s="2730"/>
      <c r="VRC1876" s="2730"/>
      <c r="VRD1876" s="2730"/>
      <c r="VRE1876" s="2730"/>
      <c r="VRF1876" s="2730"/>
      <c r="VRG1876" s="2730"/>
      <c r="VRH1876" s="2730"/>
      <c r="VRI1876" s="2730"/>
      <c r="VRJ1876" s="2730"/>
      <c r="VRK1876" s="2730"/>
      <c r="VRL1876" s="2730"/>
      <c r="VRM1876" s="2730"/>
      <c r="VRN1876" s="2730"/>
      <c r="VRO1876" s="2730"/>
      <c r="VRP1876" s="2730"/>
      <c r="VRQ1876" s="2730"/>
      <c r="VRR1876" s="2730"/>
      <c r="VRS1876" s="2730"/>
      <c r="VRT1876" s="2730"/>
      <c r="VRU1876" s="2730"/>
      <c r="VRV1876" s="2730"/>
      <c r="VRW1876" s="2730"/>
      <c r="VRX1876" s="2730"/>
      <c r="VRY1876" s="2730"/>
      <c r="VRZ1876" s="2730"/>
      <c r="VSA1876" s="2730"/>
      <c r="VSB1876" s="2730"/>
      <c r="VSC1876" s="2730"/>
      <c r="VSD1876" s="2730"/>
      <c r="VSE1876" s="2730"/>
      <c r="VSF1876" s="2730"/>
      <c r="VSG1876" s="2730"/>
      <c r="VSH1876" s="2730"/>
      <c r="VSI1876" s="2730"/>
      <c r="VSJ1876" s="2730"/>
      <c r="VSK1876" s="2730"/>
      <c r="VSL1876" s="2730"/>
      <c r="VSM1876" s="2730"/>
      <c r="VSN1876" s="2730"/>
      <c r="VSO1876" s="2730"/>
      <c r="VSP1876" s="2730"/>
      <c r="VSQ1876" s="2730"/>
      <c r="VSR1876" s="2730"/>
      <c r="VSS1876" s="2730"/>
      <c r="VST1876" s="2730"/>
      <c r="VSU1876" s="2730"/>
      <c r="VSV1876" s="2730"/>
      <c r="VSW1876" s="2730"/>
      <c r="VSX1876" s="2730"/>
      <c r="VSY1876" s="2730"/>
      <c r="VSZ1876" s="2730"/>
      <c r="VTA1876" s="2730"/>
      <c r="VTB1876" s="2730"/>
      <c r="VTC1876" s="2730"/>
      <c r="VTD1876" s="2730"/>
      <c r="VTE1876" s="2730"/>
      <c r="VTF1876" s="2730"/>
      <c r="VTG1876" s="2730"/>
      <c r="VTH1876" s="2730"/>
      <c r="VTI1876" s="2730"/>
      <c r="VTJ1876" s="2730"/>
      <c r="VTK1876" s="2730"/>
      <c r="VTL1876" s="2730"/>
      <c r="VTM1876" s="2730"/>
      <c r="VTN1876" s="2730"/>
      <c r="VTO1876" s="2730"/>
      <c r="VTP1876" s="2730"/>
      <c r="VTQ1876" s="2730"/>
      <c r="VTR1876" s="2730"/>
      <c r="VTS1876" s="2730"/>
      <c r="VTT1876" s="2730"/>
      <c r="VTU1876" s="2730"/>
      <c r="VTV1876" s="2730"/>
      <c r="VTW1876" s="2730"/>
      <c r="VTX1876" s="2730"/>
      <c r="VTY1876" s="2730"/>
      <c r="VTZ1876" s="2730"/>
      <c r="VUA1876" s="2730"/>
      <c r="VUB1876" s="2730"/>
      <c r="VUC1876" s="2730"/>
      <c r="VUD1876" s="2730"/>
      <c r="VUE1876" s="2730"/>
      <c r="VUF1876" s="2730"/>
      <c r="VUG1876" s="2730"/>
      <c r="VUH1876" s="2730"/>
      <c r="VUI1876" s="2730"/>
      <c r="VUJ1876" s="2730"/>
      <c r="VUK1876" s="2730"/>
      <c r="VUL1876" s="2730"/>
      <c r="VUM1876" s="2730"/>
      <c r="VUN1876" s="2730"/>
      <c r="VUO1876" s="2730"/>
      <c r="VUP1876" s="2730"/>
      <c r="VUQ1876" s="2730"/>
      <c r="VUR1876" s="2730"/>
      <c r="VUS1876" s="2730"/>
      <c r="VUT1876" s="2730"/>
      <c r="VUU1876" s="2730"/>
      <c r="VUV1876" s="2730"/>
      <c r="VUW1876" s="2730"/>
      <c r="VUX1876" s="2730"/>
      <c r="VUY1876" s="2730"/>
      <c r="VUZ1876" s="2730"/>
      <c r="VVA1876" s="2730"/>
      <c r="VVB1876" s="2730"/>
      <c r="VVC1876" s="2730"/>
      <c r="VVD1876" s="2730"/>
      <c r="VVE1876" s="2730"/>
      <c r="VVF1876" s="2730"/>
      <c r="VVG1876" s="2730"/>
      <c r="VVH1876" s="2730"/>
      <c r="VVI1876" s="2730"/>
      <c r="VVJ1876" s="2730"/>
      <c r="VVK1876" s="2730"/>
      <c r="VVL1876" s="2730"/>
      <c r="VVM1876" s="2730"/>
      <c r="VVN1876" s="2730"/>
      <c r="VVO1876" s="2730"/>
      <c r="VVP1876" s="2730"/>
      <c r="VVQ1876" s="2730"/>
      <c r="VVR1876" s="2730"/>
      <c r="VVS1876" s="2730"/>
      <c r="VVT1876" s="2730"/>
      <c r="VVU1876" s="2730"/>
      <c r="VVV1876" s="2730"/>
      <c r="VVW1876" s="2730"/>
      <c r="VVX1876" s="2730"/>
      <c r="VVY1876" s="2730"/>
      <c r="VVZ1876" s="2730"/>
      <c r="VWA1876" s="2730"/>
      <c r="VWB1876" s="2730"/>
      <c r="VWC1876" s="2730"/>
      <c r="VWD1876" s="2730"/>
      <c r="VWE1876" s="2730"/>
      <c r="VWF1876" s="2730"/>
      <c r="VWG1876" s="2730"/>
      <c r="VWH1876" s="2730"/>
      <c r="VWI1876" s="2730"/>
      <c r="VWJ1876" s="2730"/>
      <c r="VWK1876" s="2730"/>
      <c r="VWL1876" s="2730"/>
      <c r="VWM1876" s="2730"/>
      <c r="VWN1876" s="2730"/>
      <c r="VWO1876" s="2730"/>
      <c r="VWP1876" s="2730"/>
      <c r="VWQ1876" s="2730"/>
      <c r="VWR1876" s="2730"/>
      <c r="VWS1876" s="2730"/>
      <c r="VWT1876" s="2730"/>
      <c r="VWU1876" s="2730"/>
      <c r="VWV1876" s="2730"/>
      <c r="VWW1876" s="2730"/>
      <c r="VWX1876" s="2730"/>
      <c r="VWY1876" s="2730"/>
      <c r="VWZ1876" s="2730"/>
      <c r="VXA1876" s="2730"/>
      <c r="VXB1876" s="2730"/>
      <c r="VXC1876" s="2730"/>
      <c r="VXD1876" s="2730"/>
      <c r="VXE1876" s="2730"/>
      <c r="VXF1876" s="2730"/>
      <c r="VXG1876" s="2730"/>
      <c r="VXH1876" s="2730"/>
      <c r="VXI1876" s="2730"/>
      <c r="VXJ1876" s="2730"/>
      <c r="VXK1876" s="2730"/>
      <c r="VXL1876" s="2730"/>
      <c r="VXM1876" s="2730"/>
      <c r="VXN1876" s="2730"/>
      <c r="VXO1876" s="2730"/>
      <c r="VXP1876" s="2730"/>
      <c r="VXQ1876" s="2730"/>
      <c r="VXR1876" s="2730"/>
      <c r="VXS1876" s="2730"/>
      <c r="VXT1876" s="2730"/>
      <c r="VXU1876" s="2730"/>
      <c r="VXV1876" s="2730"/>
      <c r="VXW1876" s="2730"/>
      <c r="VXX1876" s="2730"/>
      <c r="VXY1876" s="2730"/>
      <c r="VXZ1876" s="2730"/>
      <c r="VYA1876" s="2730"/>
      <c r="VYB1876" s="2730"/>
      <c r="VYC1876" s="2730"/>
      <c r="VYD1876" s="2730"/>
      <c r="VYE1876" s="2730"/>
      <c r="VYF1876" s="2730"/>
      <c r="VYG1876" s="2730"/>
      <c r="VYH1876" s="2730"/>
      <c r="VYI1876" s="2730"/>
      <c r="VYJ1876" s="2730"/>
      <c r="VYK1876" s="2730"/>
      <c r="VYL1876" s="2730"/>
      <c r="VYM1876" s="2730"/>
      <c r="VYN1876" s="2730"/>
      <c r="VYO1876" s="2730"/>
      <c r="VYP1876" s="2730"/>
      <c r="VYQ1876" s="2730"/>
      <c r="VYR1876" s="2730"/>
      <c r="VYS1876" s="2730"/>
      <c r="VYT1876" s="2730"/>
      <c r="VYU1876" s="2730"/>
      <c r="VYV1876" s="2730"/>
      <c r="VYW1876" s="2730"/>
      <c r="VYX1876" s="2730"/>
      <c r="VYY1876" s="2730"/>
      <c r="VYZ1876" s="2730"/>
      <c r="VZA1876" s="2730"/>
      <c r="VZB1876" s="2730"/>
      <c r="VZC1876" s="2730"/>
      <c r="VZD1876" s="2730"/>
      <c r="VZE1876" s="2730"/>
      <c r="VZF1876" s="2730"/>
      <c r="VZG1876" s="2730"/>
      <c r="VZH1876" s="2730"/>
      <c r="VZI1876" s="2730"/>
      <c r="VZJ1876" s="2730"/>
      <c r="VZK1876" s="2730"/>
      <c r="VZL1876" s="2730"/>
      <c r="VZM1876" s="2730"/>
      <c r="VZN1876" s="2730"/>
      <c r="VZO1876" s="2730"/>
      <c r="VZP1876" s="2730"/>
      <c r="VZQ1876" s="2730"/>
      <c r="VZR1876" s="2730"/>
      <c r="VZS1876" s="2730"/>
      <c r="VZT1876" s="2730"/>
      <c r="VZU1876" s="2730"/>
      <c r="VZV1876" s="2730"/>
      <c r="VZW1876" s="2730"/>
      <c r="VZX1876" s="2730"/>
      <c r="VZY1876" s="2730"/>
      <c r="VZZ1876" s="2730"/>
      <c r="WAA1876" s="2730"/>
      <c r="WAB1876" s="2730"/>
      <c r="WAC1876" s="2730"/>
      <c r="WAD1876" s="2730"/>
      <c r="WAE1876" s="2730"/>
      <c r="WAF1876" s="2730"/>
      <c r="WAG1876" s="2730"/>
      <c r="WAH1876" s="2730"/>
      <c r="WAI1876" s="2730"/>
      <c r="WAJ1876" s="2730"/>
      <c r="WAK1876" s="2730"/>
      <c r="WAL1876" s="2730"/>
      <c r="WAM1876" s="2730"/>
      <c r="WAN1876" s="2730"/>
      <c r="WAO1876" s="2730"/>
      <c r="WAP1876" s="2730"/>
      <c r="WAQ1876" s="2730"/>
      <c r="WAR1876" s="2730"/>
      <c r="WAS1876" s="2730"/>
      <c r="WAT1876" s="2730"/>
      <c r="WAU1876" s="2730"/>
      <c r="WAV1876" s="2730"/>
      <c r="WAW1876" s="2730"/>
      <c r="WAX1876" s="2730"/>
      <c r="WAY1876" s="2730"/>
      <c r="WAZ1876" s="2730"/>
      <c r="WBA1876" s="2730"/>
      <c r="WBB1876" s="2730"/>
      <c r="WBC1876" s="2730"/>
      <c r="WBD1876" s="2730"/>
      <c r="WBE1876" s="2730"/>
      <c r="WBF1876" s="2730"/>
      <c r="WBG1876" s="2730"/>
      <c r="WBH1876" s="2730"/>
      <c r="WBI1876" s="2730"/>
      <c r="WBJ1876" s="2730"/>
      <c r="WBK1876" s="2730"/>
      <c r="WBL1876" s="2730"/>
      <c r="WBM1876" s="2730"/>
      <c r="WBN1876" s="2730"/>
      <c r="WBO1876" s="2730"/>
      <c r="WBP1876" s="2730"/>
      <c r="WBQ1876" s="2730"/>
      <c r="WBR1876" s="2730"/>
      <c r="WBS1876" s="2730"/>
      <c r="WBT1876" s="2730"/>
      <c r="WBU1876" s="2730"/>
      <c r="WBV1876" s="2730"/>
      <c r="WBW1876" s="2730"/>
      <c r="WBX1876" s="2730"/>
      <c r="WBY1876" s="2730"/>
      <c r="WBZ1876" s="2730"/>
      <c r="WCA1876" s="2730"/>
      <c r="WCB1876" s="2730"/>
      <c r="WCC1876" s="2730"/>
      <c r="WCD1876" s="2730"/>
      <c r="WCE1876" s="2730"/>
      <c r="WCF1876" s="2730"/>
      <c r="WCG1876" s="2730"/>
      <c r="WCH1876" s="2730"/>
      <c r="WCI1876" s="2730"/>
      <c r="WCJ1876" s="2730"/>
      <c r="WCK1876" s="2730"/>
      <c r="WCL1876" s="2730"/>
      <c r="WCM1876" s="2730"/>
      <c r="WCN1876" s="2730"/>
      <c r="WCO1876" s="2730"/>
      <c r="WCP1876" s="2730"/>
      <c r="WCQ1876" s="2730"/>
      <c r="WCR1876" s="2730"/>
      <c r="WCS1876" s="2730"/>
      <c r="WCT1876" s="2730"/>
      <c r="WCU1876" s="2730"/>
      <c r="WCV1876" s="2730"/>
      <c r="WCW1876" s="2730"/>
      <c r="WCX1876" s="2730"/>
      <c r="WCY1876" s="2730"/>
      <c r="WCZ1876" s="2730"/>
      <c r="WDA1876" s="2730"/>
      <c r="WDB1876" s="2730"/>
      <c r="WDC1876" s="2730"/>
      <c r="WDD1876" s="2730"/>
      <c r="WDE1876" s="2730"/>
      <c r="WDF1876" s="2730"/>
      <c r="WDG1876" s="2730"/>
      <c r="WDH1876" s="2730"/>
      <c r="WDI1876" s="2730"/>
      <c r="WDJ1876" s="2730"/>
      <c r="WDK1876" s="2730"/>
      <c r="WDL1876" s="2730"/>
      <c r="WDM1876" s="2730"/>
      <c r="WDN1876" s="2730"/>
      <c r="WDO1876" s="2730"/>
      <c r="WDP1876" s="2730"/>
      <c r="WDQ1876" s="2730"/>
      <c r="WDR1876" s="2730"/>
      <c r="WDS1876" s="2730"/>
      <c r="WDT1876" s="2730"/>
      <c r="WDU1876" s="2730"/>
      <c r="WDV1876" s="2730"/>
      <c r="WDW1876" s="2730"/>
      <c r="WDX1876" s="2730"/>
      <c r="WDY1876" s="2730"/>
      <c r="WDZ1876" s="2730"/>
      <c r="WEA1876" s="2730"/>
      <c r="WEB1876" s="2730"/>
      <c r="WEC1876" s="2730"/>
      <c r="WED1876" s="2730"/>
      <c r="WEE1876" s="2730"/>
      <c r="WEF1876" s="2730"/>
      <c r="WEG1876" s="2730"/>
      <c r="WEH1876" s="2730"/>
      <c r="WEI1876" s="2730"/>
      <c r="WEJ1876" s="2730"/>
      <c r="WEK1876" s="2730"/>
      <c r="WEL1876" s="2730"/>
      <c r="WEM1876" s="2730"/>
      <c r="WEN1876" s="2730"/>
      <c r="WEO1876" s="2730"/>
      <c r="WEP1876" s="2730"/>
      <c r="WEQ1876" s="2730"/>
      <c r="WER1876" s="2730"/>
      <c r="WES1876" s="2730"/>
      <c r="WET1876" s="2730"/>
      <c r="WEU1876" s="2730"/>
      <c r="WEV1876" s="2730"/>
      <c r="WEW1876" s="2730"/>
      <c r="WEX1876" s="2730"/>
      <c r="WEY1876" s="2730"/>
      <c r="WEZ1876" s="2730"/>
      <c r="WFA1876" s="2730"/>
      <c r="WFB1876" s="2730"/>
      <c r="WFC1876" s="2730"/>
      <c r="WFD1876" s="2730"/>
      <c r="WFE1876" s="2730"/>
      <c r="WFF1876" s="2730"/>
      <c r="WFG1876" s="2730"/>
      <c r="WFH1876" s="2730"/>
      <c r="WFI1876" s="2730"/>
      <c r="WFJ1876" s="2730"/>
      <c r="WFK1876" s="2730"/>
      <c r="WFL1876" s="2730"/>
      <c r="WFM1876" s="2730"/>
      <c r="WFN1876" s="2730"/>
      <c r="WFO1876" s="2730"/>
      <c r="WFP1876" s="2730"/>
      <c r="WFQ1876" s="2730"/>
      <c r="WFR1876" s="2730"/>
      <c r="WFS1876" s="2730"/>
      <c r="WFT1876" s="2730"/>
      <c r="WFU1876" s="2730"/>
      <c r="WFV1876" s="2730"/>
      <c r="WFW1876" s="2730"/>
      <c r="WFX1876" s="2730"/>
      <c r="WFY1876" s="2730"/>
      <c r="WFZ1876" s="2730"/>
      <c r="WGA1876" s="2730"/>
      <c r="WGB1876" s="2730"/>
      <c r="WGC1876" s="2730"/>
      <c r="WGD1876" s="2730"/>
      <c r="WGE1876" s="2730"/>
      <c r="WGF1876" s="2730"/>
      <c r="WGG1876" s="2730"/>
      <c r="WGH1876" s="2730"/>
      <c r="WGI1876" s="2730"/>
      <c r="WGJ1876" s="2730"/>
      <c r="WGK1876" s="2730"/>
      <c r="WGL1876" s="2730"/>
      <c r="WGM1876" s="2730"/>
      <c r="WGN1876" s="2730"/>
      <c r="WGO1876" s="2730"/>
      <c r="WGP1876" s="2730"/>
      <c r="WGQ1876" s="2730"/>
      <c r="WGR1876" s="2730"/>
      <c r="WGS1876" s="2730"/>
      <c r="WGT1876" s="2730"/>
      <c r="WGU1876" s="2730"/>
      <c r="WGV1876" s="2730"/>
      <c r="WGW1876" s="2730"/>
      <c r="WGX1876" s="2730"/>
      <c r="WGY1876" s="2730"/>
      <c r="WGZ1876" s="2730"/>
      <c r="WHA1876" s="2730"/>
      <c r="WHB1876" s="2730"/>
      <c r="WHC1876" s="2730"/>
      <c r="WHD1876" s="2730"/>
      <c r="WHE1876" s="2730"/>
      <c r="WHF1876" s="2730"/>
      <c r="WHG1876" s="2730"/>
      <c r="WHH1876" s="2730"/>
      <c r="WHI1876" s="2730"/>
      <c r="WHJ1876" s="2730"/>
      <c r="WHK1876" s="2730"/>
      <c r="WHL1876" s="2730"/>
      <c r="WHM1876" s="2730"/>
      <c r="WHN1876" s="2730"/>
      <c r="WHO1876" s="2730"/>
      <c r="WHP1876" s="2730"/>
      <c r="WHQ1876" s="2730"/>
      <c r="WHR1876" s="2730"/>
      <c r="WHS1876" s="2730"/>
      <c r="WHT1876" s="2730"/>
      <c r="WHU1876" s="2730"/>
      <c r="WHV1876" s="2730"/>
      <c r="WHW1876" s="2730"/>
      <c r="WHX1876" s="2730"/>
      <c r="WHY1876" s="2730"/>
      <c r="WHZ1876" s="2730"/>
      <c r="WIA1876" s="2730"/>
      <c r="WIB1876" s="2730"/>
      <c r="WIC1876" s="2730"/>
      <c r="WID1876" s="2730"/>
      <c r="WIE1876" s="2730"/>
      <c r="WIF1876" s="2730"/>
      <c r="WIG1876" s="2730"/>
      <c r="WIH1876" s="2730"/>
      <c r="WII1876" s="2730"/>
      <c r="WIJ1876" s="2730"/>
      <c r="WIK1876" s="2730"/>
      <c r="WIL1876" s="2730"/>
      <c r="WIM1876" s="2730"/>
      <c r="WIN1876" s="2730"/>
      <c r="WIO1876" s="2730"/>
      <c r="WIP1876" s="2730"/>
      <c r="WIQ1876" s="2730"/>
      <c r="WIR1876" s="2730"/>
      <c r="WIS1876" s="2730"/>
      <c r="WIT1876" s="2730"/>
      <c r="WIU1876" s="2730"/>
      <c r="WIV1876" s="2730"/>
      <c r="WIW1876" s="2730"/>
      <c r="WIX1876" s="2730"/>
      <c r="WIY1876" s="2730"/>
      <c r="WIZ1876" s="2730"/>
      <c r="WJA1876" s="2730"/>
      <c r="WJB1876" s="2730"/>
      <c r="WJC1876" s="2730"/>
      <c r="WJD1876" s="2730"/>
      <c r="WJE1876" s="2730"/>
      <c r="WJF1876" s="2730"/>
      <c r="WJG1876" s="2730"/>
      <c r="WJH1876" s="2730"/>
      <c r="WJI1876" s="2730"/>
      <c r="WJJ1876" s="2730"/>
      <c r="WJK1876" s="2730"/>
      <c r="WJL1876" s="2730"/>
      <c r="WJM1876" s="2730"/>
      <c r="WJN1876" s="2730"/>
      <c r="WJO1876" s="2730"/>
      <c r="WJP1876" s="2730"/>
      <c r="WJQ1876" s="2730"/>
      <c r="WJR1876" s="2730"/>
      <c r="WJS1876" s="2730"/>
      <c r="WJT1876" s="2730"/>
      <c r="WJU1876" s="2730"/>
      <c r="WJV1876" s="2730"/>
      <c r="WJW1876" s="2730"/>
      <c r="WJX1876" s="2730"/>
      <c r="WJY1876" s="2730"/>
      <c r="WJZ1876" s="2730"/>
      <c r="WKA1876" s="2730"/>
      <c r="WKB1876" s="2730"/>
      <c r="WKC1876" s="2730"/>
      <c r="WKD1876" s="2730"/>
      <c r="WKE1876" s="2730"/>
      <c r="WKF1876" s="2730"/>
      <c r="WKG1876" s="2730"/>
      <c r="WKH1876" s="2730"/>
      <c r="WKI1876" s="2730"/>
      <c r="WKJ1876" s="2730"/>
      <c r="WKK1876" s="2730"/>
      <c r="WKL1876" s="2730"/>
      <c r="WKM1876" s="2730"/>
      <c r="WKN1876" s="2730"/>
      <c r="WKO1876" s="2730"/>
      <c r="WKP1876" s="2730"/>
      <c r="WKQ1876" s="2730"/>
      <c r="WKR1876" s="2730"/>
      <c r="WKS1876" s="2730"/>
      <c r="WKT1876" s="2730"/>
      <c r="WKU1876" s="2730"/>
      <c r="WKV1876" s="2730"/>
      <c r="WKW1876" s="2730"/>
      <c r="WKX1876" s="2730"/>
      <c r="WKY1876" s="2730"/>
      <c r="WKZ1876" s="2730"/>
      <c r="WLA1876" s="2730"/>
      <c r="WLB1876" s="2730"/>
      <c r="WLC1876" s="2730"/>
      <c r="WLD1876" s="2730"/>
      <c r="WLE1876" s="2730"/>
      <c r="WLF1876" s="2730"/>
      <c r="WLG1876" s="2730"/>
      <c r="WLH1876" s="2730"/>
      <c r="WLI1876" s="2730"/>
      <c r="WLJ1876" s="2730"/>
      <c r="WLK1876" s="2730"/>
      <c r="WLL1876" s="2730"/>
      <c r="WLM1876" s="2730"/>
      <c r="WLN1876" s="2730"/>
      <c r="WLO1876" s="2730"/>
      <c r="WLP1876" s="2730"/>
      <c r="WLQ1876" s="2730"/>
      <c r="WLR1876" s="2730"/>
      <c r="WLS1876" s="2730"/>
      <c r="WLT1876" s="2730"/>
      <c r="WLU1876" s="2730"/>
      <c r="WLV1876" s="2730"/>
      <c r="WLW1876" s="2730"/>
      <c r="WLX1876" s="2730"/>
      <c r="WLY1876" s="2730"/>
      <c r="WLZ1876" s="2730"/>
      <c r="WMA1876" s="2730"/>
      <c r="WMB1876" s="2730"/>
      <c r="WMC1876" s="2730"/>
      <c r="WMD1876" s="2730"/>
      <c r="WME1876" s="2730"/>
      <c r="WMF1876" s="2730"/>
      <c r="WMG1876" s="2730"/>
      <c r="WMH1876" s="2730"/>
      <c r="WMI1876" s="2730"/>
      <c r="WMJ1876" s="2730"/>
      <c r="WMK1876" s="2730"/>
      <c r="WML1876" s="2730"/>
      <c r="WMM1876" s="2730"/>
      <c r="WMN1876" s="2730"/>
      <c r="WMO1876" s="2730"/>
      <c r="WMP1876" s="2730"/>
      <c r="WMQ1876" s="2730"/>
      <c r="WMR1876" s="2730"/>
      <c r="WMS1876" s="2730"/>
      <c r="WMT1876" s="2730"/>
      <c r="WMU1876" s="2730"/>
      <c r="WMV1876" s="2730"/>
      <c r="WMW1876" s="2730"/>
      <c r="WMX1876" s="2730"/>
      <c r="WMY1876" s="2730"/>
      <c r="WMZ1876" s="2730"/>
      <c r="WNA1876" s="2730"/>
      <c r="WNB1876" s="2730"/>
      <c r="WNC1876" s="2730"/>
      <c r="WND1876" s="2730"/>
      <c r="WNE1876" s="2730"/>
      <c r="WNF1876" s="2730"/>
      <c r="WNG1876" s="2730"/>
      <c r="WNH1876" s="2730"/>
      <c r="WNI1876" s="2730"/>
      <c r="WNJ1876" s="2730"/>
      <c r="WNK1876" s="2730"/>
      <c r="WNL1876" s="2730"/>
      <c r="WNM1876" s="2730"/>
      <c r="WNN1876" s="2730"/>
      <c r="WNO1876" s="2730"/>
      <c r="WNP1876" s="2730"/>
      <c r="WNQ1876" s="2730"/>
      <c r="WNR1876" s="2730"/>
      <c r="WNS1876" s="2730"/>
      <c r="WNT1876" s="2730"/>
      <c r="WNU1876" s="2730"/>
      <c r="WNV1876" s="2730"/>
      <c r="WNW1876" s="2730"/>
      <c r="WNX1876" s="2730"/>
      <c r="WNY1876" s="2730"/>
      <c r="WNZ1876" s="2730"/>
      <c r="WOA1876" s="2730"/>
      <c r="WOB1876" s="2730"/>
      <c r="WOC1876" s="2730"/>
      <c r="WOD1876" s="2730"/>
      <c r="WOE1876" s="2730"/>
      <c r="WOF1876" s="2730"/>
      <c r="WOG1876" s="2730"/>
      <c r="WOH1876" s="2730"/>
      <c r="WOI1876" s="2730"/>
      <c r="WOJ1876" s="2730"/>
      <c r="WOK1876" s="2730"/>
      <c r="WOL1876" s="2730"/>
      <c r="WOM1876" s="2730"/>
      <c r="WON1876" s="2730"/>
      <c r="WOO1876" s="2730"/>
      <c r="WOP1876" s="2730"/>
      <c r="WOQ1876" s="2730"/>
      <c r="WOR1876" s="2730"/>
      <c r="WOS1876" s="2730"/>
      <c r="WOT1876" s="2730"/>
      <c r="WOU1876" s="2730"/>
      <c r="WOV1876" s="2730"/>
      <c r="WOW1876" s="2730"/>
      <c r="WOX1876" s="2730"/>
      <c r="WOY1876" s="2730"/>
      <c r="WOZ1876" s="2730"/>
      <c r="WPA1876" s="2730"/>
      <c r="WPB1876" s="2730"/>
      <c r="WPC1876" s="2730"/>
      <c r="WPD1876" s="2730"/>
      <c r="WPE1876" s="2730"/>
      <c r="WPF1876" s="2730"/>
      <c r="WPG1876" s="2730"/>
      <c r="WPH1876" s="2730"/>
      <c r="WPI1876" s="2730"/>
      <c r="WPJ1876" s="2730"/>
      <c r="WPK1876" s="2730"/>
      <c r="WPL1876" s="2730"/>
      <c r="WPM1876" s="2730"/>
      <c r="WPN1876" s="2730"/>
      <c r="WPO1876" s="2730"/>
      <c r="WPP1876" s="2730"/>
      <c r="WPQ1876" s="2730"/>
      <c r="WPR1876" s="2730"/>
      <c r="WPS1876" s="2730"/>
      <c r="WPT1876" s="2730"/>
      <c r="WPU1876" s="2730"/>
      <c r="WPV1876" s="2730"/>
      <c r="WPW1876" s="2730"/>
      <c r="WPX1876" s="2730"/>
      <c r="WPY1876" s="2730"/>
      <c r="WPZ1876" s="2730"/>
      <c r="WQA1876" s="2730"/>
      <c r="WQB1876" s="2730"/>
      <c r="WQC1876" s="2730"/>
      <c r="WQD1876" s="2730"/>
      <c r="WQE1876" s="2730"/>
      <c r="WQF1876" s="2730"/>
      <c r="WQG1876" s="2730"/>
      <c r="WQH1876" s="2730"/>
      <c r="WQI1876" s="2730"/>
      <c r="WQJ1876" s="2730"/>
      <c r="WQK1876" s="2730"/>
      <c r="WQL1876" s="2730"/>
      <c r="WQM1876" s="2730"/>
      <c r="WQN1876" s="2730"/>
      <c r="WQO1876" s="2730"/>
      <c r="WQP1876" s="2730"/>
      <c r="WQQ1876" s="2730"/>
      <c r="WQR1876" s="2730"/>
      <c r="WQS1876" s="2730"/>
      <c r="WQT1876" s="2730"/>
      <c r="WQU1876" s="2730"/>
      <c r="WQV1876" s="2730"/>
      <c r="WQW1876" s="2730"/>
      <c r="WQX1876" s="2730"/>
      <c r="WQY1876" s="2730"/>
      <c r="WQZ1876" s="2730"/>
      <c r="WRA1876" s="2730"/>
      <c r="WRB1876" s="2730"/>
      <c r="WRC1876" s="2730"/>
      <c r="WRD1876" s="2730"/>
      <c r="WRE1876" s="2730"/>
      <c r="WRF1876" s="2730"/>
      <c r="WRG1876" s="2730"/>
      <c r="WRH1876" s="2730"/>
      <c r="WRI1876" s="2730"/>
      <c r="WRJ1876" s="2730"/>
      <c r="WRK1876" s="2730"/>
      <c r="WRL1876" s="2730"/>
      <c r="WRM1876" s="2730"/>
      <c r="WRN1876" s="2730"/>
      <c r="WRO1876" s="2730"/>
      <c r="WRP1876" s="2730"/>
      <c r="WRQ1876" s="2730"/>
      <c r="WRR1876" s="2730"/>
      <c r="WRS1876" s="2730"/>
      <c r="WRT1876" s="2730"/>
      <c r="WRU1876" s="2730"/>
      <c r="WRV1876" s="2730"/>
      <c r="WRW1876" s="2730"/>
      <c r="WRX1876" s="2730"/>
      <c r="WRY1876" s="2730"/>
      <c r="WRZ1876" s="2730"/>
      <c r="WSA1876" s="2730"/>
      <c r="WSB1876" s="2730"/>
      <c r="WSC1876" s="2730"/>
      <c r="WSD1876" s="2730"/>
      <c r="WSE1876" s="2730"/>
      <c r="WSF1876" s="2730"/>
      <c r="WSG1876" s="2730"/>
      <c r="WSH1876" s="2730"/>
      <c r="WSI1876" s="2730"/>
      <c r="WSJ1876" s="2730"/>
      <c r="WSK1876" s="2730"/>
      <c r="WSL1876" s="2730"/>
      <c r="WSM1876" s="2730"/>
      <c r="WSN1876" s="2730"/>
      <c r="WSO1876" s="2730"/>
      <c r="WSP1876" s="2730"/>
      <c r="WSQ1876" s="2730"/>
      <c r="WSR1876" s="2730"/>
      <c r="WSS1876" s="2730"/>
      <c r="WST1876" s="2730"/>
      <c r="WSU1876" s="2730"/>
      <c r="WSV1876" s="2730"/>
      <c r="WSW1876" s="2730"/>
      <c r="WSX1876" s="2730"/>
      <c r="WSY1876" s="2730"/>
      <c r="WSZ1876" s="2730"/>
      <c r="WTA1876" s="2730"/>
      <c r="WTB1876" s="2730"/>
      <c r="WTC1876" s="2730"/>
      <c r="WTD1876" s="2730"/>
      <c r="WTE1876" s="2730"/>
      <c r="WTF1876" s="2730"/>
      <c r="WTG1876" s="2730"/>
      <c r="WTH1876" s="2730"/>
      <c r="WTI1876" s="2730"/>
      <c r="WTJ1876" s="2730"/>
      <c r="WTK1876" s="2730"/>
      <c r="WTL1876" s="2730"/>
      <c r="WTM1876" s="2730"/>
      <c r="WTN1876" s="2730"/>
      <c r="WTO1876" s="2730"/>
      <c r="WTP1876" s="2730"/>
      <c r="WTQ1876" s="2730"/>
      <c r="WTR1876" s="2730"/>
      <c r="WTS1876" s="2730"/>
      <c r="WTT1876" s="2730"/>
      <c r="WTU1876" s="2730"/>
      <c r="WTV1876" s="2730"/>
      <c r="WTW1876" s="2730"/>
      <c r="WTX1876" s="2730"/>
      <c r="WTY1876" s="2730"/>
      <c r="WTZ1876" s="2730"/>
      <c r="WUA1876" s="2730"/>
      <c r="WUB1876" s="2730"/>
      <c r="WUC1876" s="2730"/>
      <c r="WUD1876" s="2730"/>
      <c r="WUE1876" s="2730"/>
      <c r="WUF1876" s="2730"/>
      <c r="WUG1876" s="2730"/>
      <c r="WUH1876" s="2730"/>
      <c r="WUI1876" s="2730"/>
      <c r="WUJ1876" s="2730"/>
      <c r="WUK1876" s="2730"/>
      <c r="WUL1876" s="2730"/>
      <c r="WUM1876" s="2730"/>
      <c r="WUN1876" s="2730"/>
      <c r="WUO1876" s="2730"/>
      <c r="WUP1876" s="2730"/>
      <c r="WUQ1876" s="2730"/>
      <c r="WUR1876" s="2730"/>
      <c r="WUS1876" s="2730"/>
      <c r="WUT1876" s="2730"/>
      <c r="WUU1876" s="2730"/>
      <c r="WUV1876" s="2730"/>
      <c r="WUW1876" s="2730"/>
      <c r="WUX1876" s="2730"/>
      <c r="WUY1876" s="2730"/>
      <c r="WUZ1876" s="2730"/>
      <c r="WVA1876" s="2730"/>
      <c r="WVB1876" s="2730"/>
      <c r="WVC1876" s="2730"/>
      <c r="WVD1876" s="2730"/>
      <c r="WVE1876" s="2730"/>
      <c r="WVF1876" s="2730"/>
      <c r="WVG1876" s="2730"/>
      <c r="WVH1876" s="2730"/>
      <c r="WVI1876" s="2730"/>
      <c r="WVJ1876" s="2730"/>
      <c r="WVK1876" s="2730"/>
      <c r="WVL1876" s="2730"/>
      <c r="WVM1876" s="2730"/>
      <c r="WVN1876" s="2730"/>
      <c r="WVO1876" s="2730"/>
      <c r="WVP1876" s="2730"/>
      <c r="WVQ1876" s="2730"/>
      <c r="WVR1876" s="2730"/>
      <c r="WVS1876" s="2730"/>
      <c r="WVT1876" s="2730"/>
      <c r="WVU1876" s="2730"/>
      <c r="WVV1876" s="2730"/>
      <c r="WVW1876" s="2730"/>
      <c r="WVX1876" s="2730"/>
      <c r="WVY1876" s="2730"/>
      <c r="WVZ1876" s="2730"/>
      <c r="WWA1876" s="2730"/>
      <c r="WWB1876" s="2730"/>
      <c r="WWC1876" s="2730"/>
      <c r="WWD1876" s="2730"/>
      <c r="WWE1876" s="2730"/>
      <c r="WWF1876" s="2730"/>
      <c r="WWG1876" s="2730"/>
      <c r="WWH1876" s="2730"/>
      <c r="WWI1876" s="2730"/>
      <c r="WWJ1876" s="2730"/>
      <c r="WWK1876" s="2730"/>
      <c r="WWL1876" s="2730"/>
      <c r="WWM1876" s="2730"/>
      <c r="WWN1876" s="2730"/>
      <c r="WWO1876" s="2730"/>
      <c r="WWP1876" s="2730"/>
      <c r="WWQ1876" s="2730"/>
      <c r="WWR1876" s="2730"/>
      <c r="WWS1876" s="2730"/>
      <c r="WWT1876" s="2730"/>
      <c r="WWU1876" s="2730"/>
      <c r="WWV1876" s="2730"/>
      <c r="WWW1876" s="2730"/>
      <c r="WWX1876" s="2730"/>
      <c r="WWY1876" s="2730"/>
      <c r="WWZ1876" s="2730"/>
      <c r="WXA1876" s="2730"/>
      <c r="WXB1876" s="2730"/>
      <c r="WXC1876" s="2730"/>
      <c r="WXD1876" s="2730"/>
      <c r="WXE1876" s="2730"/>
      <c r="WXF1876" s="2730"/>
      <c r="WXG1876" s="2730"/>
      <c r="WXH1876" s="2730"/>
      <c r="WXI1876" s="2730"/>
      <c r="WXJ1876" s="2730"/>
      <c r="WXK1876" s="2730"/>
      <c r="WXL1876" s="2730"/>
      <c r="WXM1876" s="2730"/>
      <c r="WXN1876" s="2730"/>
      <c r="WXO1876" s="2730"/>
      <c r="WXP1876" s="2730"/>
      <c r="WXQ1876" s="2730"/>
      <c r="WXR1876" s="2730"/>
      <c r="WXS1876" s="2730"/>
      <c r="WXT1876" s="2730"/>
      <c r="WXU1876" s="2730"/>
      <c r="WXV1876" s="2730"/>
      <c r="WXW1876" s="2730"/>
      <c r="WXX1876" s="2730"/>
      <c r="WXY1876" s="2730"/>
      <c r="WXZ1876" s="2730"/>
      <c r="WYA1876" s="2730"/>
      <c r="WYB1876" s="2730"/>
      <c r="WYC1876" s="2730"/>
      <c r="WYD1876" s="2730"/>
      <c r="WYE1876" s="2730"/>
      <c r="WYF1876" s="2730"/>
      <c r="WYG1876" s="2730"/>
      <c r="WYH1876" s="2730"/>
      <c r="WYI1876" s="2730"/>
      <c r="WYJ1876" s="2730"/>
      <c r="WYK1876" s="2730"/>
      <c r="WYL1876" s="2730"/>
      <c r="WYM1876" s="2730"/>
      <c r="WYN1876" s="2730"/>
      <c r="WYO1876" s="2730"/>
      <c r="WYP1876" s="2730"/>
      <c r="WYQ1876" s="2730"/>
      <c r="WYR1876" s="2730"/>
      <c r="WYS1876" s="2730"/>
      <c r="WYT1876" s="2730"/>
      <c r="WYU1876" s="2730"/>
      <c r="WYV1876" s="2730"/>
      <c r="WYW1876" s="2730"/>
      <c r="WYX1876" s="2730"/>
      <c r="WYY1876" s="2730"/>
      <c r="WYZ1876" s="2730"/>
      <c r="WZA1876" s="2730"/>
      <c r="WZB1876" s="2730"/>
      <c r="WZC1876" s="2730"/>
      <c r="WZD1876" s="2730"/>
      <c r="WZE1876" s="2730"/>
      <c r="WZF1876" s="2730"/>
      <c r="WZG1876" s="2730"/>
      <c r="WZH1876" s="2730"/>
      <c r="WZI1876" s="2730"/>
      <c r="WZJ1876" s="2730"/>
      <c r="WZK1876" s="2730"/>
      <c r="WZL1876" s="2730"/>
      <c r="WZM1876" s="2730"/>
      <c r="WZN1876" s="2730"/>
      <c r="WZO1876" s="2730"/>
      <c r="WZP1876" s="2730"/>
      <c r="WZQ1876" s="2730"/>
      <c r="WZR1876" s="2730"/>
      <c r="WZS1876" s="2730"/>
      <c r="WZT1876" s="2730"/>
      <c r="WZU1876" s="2730"/>
      <c r="WZV1876" s="2730"/>
      <c r="WZW1876" s="2730"/>
      <c r="WZX1876" s="2730"/>
      <c r="WZY1876" s="2730"/>
      <c r="WZZ1876" s="2730"/>
      <c r="XAA1876" s="2730"/>
      <c r="XAB1876" s="2730"/>
      <c r="XAC1876" s="2730"/>
      <c r="XAD1876" s="2730"/>
      <c r="XAE1876" s="2730"/>
      <c r="XAF1876" s="2730"/>
      <c r="XAG1876" s="2730"/>
      <c r="XAH1876" s="2730"/>
      <c r="XAI1876" s="2730"/>
      <c r="XAJ1876" s="2730"/>
      <c r="XAK1876" s="2730"/>
      <c r="XAL1876" s="2730"/>
      <c r="XAM1876" s="2730"/>
      <c r="XAN1876" s="2730"/>
      <c r="XAO1876" s="2730"/>
      <c r="XAP1876" s="2730"/>
      <c r="XAQ1876" s="2730"/>
      <c r="XAR1876" s="2730"/>
      <c r="XAS1876" s="2730"/>
      <c r="XAT1876" s="2730"/>
      <c r="XAU1876" s="2730"/>
      <c r="XAV1876" s="2730"/>
      <c r="XAW1876" s="2730"/>
      <c r="XAX1876" s="2730"/>
      <c r="XAY1876" s="2730"/>
      <c r="XAZ1876" s="2730"/>
      <c r="XBA1876" s="2730"/>
      <c r="XBB1876" s="2730"/>
      <c r="XBC1876" s="2730"/>
      <c r="XBD1876" s="2730"/>
      <c r="XBE1876" s="2730"/>
      <c r="XBF1876" s="2730"/>
      <c r="XBG1876" s="2730"/>
      <c r="XBH1876" s="2730"/>
      <c r="XBI1876" s="2730"/>
      <c r="XBJ1876" s="2730"/>
      <c r="XBK1876" s="2730"/>
      <c r="XBL1876" s="2730"/>
      <c r="XBM1876" s="2730"/>
      <c r="XBN1876" s="2730"/>
      <c r="XBO1876" s="2730"/>
      <c r="XBP1876" s="2730"/>
      <c r="XBQ1876" s="2730"/>
      <c r="XBR1876" s="2730"/>
      <c r="XBS1876" s="2730"/>
      <c r="XBT1876" s="2730"/>
      <c r="XBU1876" s="2730"/>
      <c r="XBV1876" s="2730"/>
      <c r="XBW1876" s="2730"/>
      <c r="XBX1876" s="2730"/>
      <c r="XBY1876" s="2730"/>
      <c r="XBZ1876" s="2730"/>
      <c r="XCA1876" s="2730"/>
      <c r="XCB1876" s="2730"/>
      <c r="XCC1876" s="2730"/>
      <c r="XCD1876" s="2730"/>
      <c r="XCE1876" s="2730"/>
      <c r="XCF1876" s="2730"/>
      <c r="XCG1876" s="2730"/>
      <c r="XCH1876" s="2730"/>
      <c r="XCI1876" s="2730"/>
      <c r="XCJ1876" s="2730"/>
      <c r="XCK1876" s="2730"/>
      <c r="XCL1876" s="2730"/>
      <c r="XCM1876" s="2730"/>
      <c r="XCN1876" s="2730"/>
      <c r="XCO1876" s="2730"/>
      <c r="XCP1876" s="2730"/>
      <c r="XCQ1876" s="2730"/>
      <c r="XCR1876" s="2730"/>
      <c r="XCS1876" s="2730"/>
      <c r="XCT1876" s="2730"/>
      <c r="XCU1876" s="2730"/>
      <c r="XCV1876" s="2730"/>
      <c r="XCW1876" s="2730"/>
      <c r="XCX1876" s="2730"/>
      <c r="XCY1876" s="2730"/>
      <c r="XCZ1876" s="2730"/>
      <c r="XDA1876" s="2730"/>
      <c r="XDB1876" s="2730"/>
      <c r="XDC1876" s="2730"/>
      <c r="XDD1876" s="2730"/>
      <c r="XDE1876" s="2730"/>
      <c r="XDF1876" s="2730"/>
      <c r="XDG1876" s="2730"/>
      <c r="XDH1876" s="2730"/>
      <c r="XDI1876" s="2730"/>
      <c r="XDJ1876" s="2730"/>
      <c r="XDK1876" s="2730"/>
      <c r="XDL1876" s="2730"/>
      <c r="XDM1876" s="2730"/>
      <c r="XDN1876" s="2730"/>
      <c r="XDO1876" s="2730"/>
      <c r="XDP1876" s="2730"/>
      <c r="XDQ1876" s="2730"/>
      <c r="XDR1876" s="2730"/>
      <c r="XDS1876" s="2730"/>
      <c r="XDT1876" s="2730"/>
      <c r="XDU1876" s="2730"/>
      <c r="XDV1876" s="2730"/>
      <c r="XDW1876" s="2730"/>
      <c r="XDX1876" s="2730"/>
      <c r="XDY1876" s="2730"/>
      <c r="XDZ1876" s="2730"/>
      <c r="XEA1876" s="2730"/>
      <c r="XEB1876" s="2730"/>
      <c r="XEC1876" s="2730"/>
      <c r="XED1876" s="2730"/>
      <c r="XEE1876" s="2730"/>
      <c r="XEF1876" s="2730"/>
      <c r="XEG1876" s="2730"/>
      <c r="XEH1876" s="2730"/>
      <c r="XEI1876" s="2730"/>
      <c r="XEJ1876" s="2730"/>
      <c r="XEK1876" s="2730"/>
      <c r="XEL1876" s="2730"/>
      <c r="XEM1876" s="2730"/>
      <c r="XEN1876" s="2730"/>
      <c r="XEO1876" s="2730"/>
      <c r="XEP1876" s="2730"/>
      <c r="XEQ1876" s="2730"/>
      <c r="XER1876" s="2730"/>
      <c r="XES1876" s="2730"/>
      <c r="XET1876" s="2730"/>
      <c r="XEU1876" s="2730"/>
      <c r="XEV1876" s="2730"/>
      <c r="XEW1876" s="2730"/>
      <c r="XEX1876" s="2730"/>
      <c r="XEY1876" s="2730"/>
      <c r="XEZ1876" s="2730"/>
      <c r="XFA1876" s="2730"/>
    </row>
    <row r="1877" spans="1:16381" s="2358" customFormat="1" ht="14.4" outlineLevel="1">
      <c r="A1877" s="2435" t="str">
        <f>A1876</f>
        <v/>
      </c>
      <c r="B1877" s="2505"/>
      <c r="C1877" s="2511"/>
      <c r="D1877" s="2512"/>
      <c r="E1877" s="2527" t="s">
        <v>6207</v>
      </c>
      <c r="F1877" s="2511"/>
      <c r="G1877" s="2703"/>
      <c r="H1877" s="2517"/>
      <c r="I1877" s="2517"/>
      <c r="J1877" s="2517"/>
      <c r="K1877" s="2517"/>
      <c r="L1877" s="2517"/>
      <c r="M1877" s="2517"/>
      <c r="N1877" s="2517"/>
      <c r="O1877" s="2517"/>
      <c r="P1877" s="2694"/>
      <c r="Q1877" s="2779">
        <f>4500/570</f>
        <v>7.8947368421052628</v>
      </c>
      <c r="R1877" s="2519"/>
      <c r="S1877" s="2519"/>
    </row>
    <row r="1878" spans="1:16381" s="2358" customFormat="1" outlineLevel="1">
      <c r="A1878" s="2435" t="str">
        <f t="shared" ref="A1878:A1894" si="350">IF(G1878&lt;&gt;0,1,"")</f>
        <v/>
      </c>
      <c r="B1878" s="2514" t="s">
        <v>1915</v>
      </c>
      <c r="C1878" s="2521"/>
      <c r="D1878" s="2405">
        <v>0</v>
      </c>
      <c r="E1878" s="2447" t="s">
        <v>6446</v>
      </c>
      <c r="F1878" s="2405" t="s">
        <v>2538</v>
      </c>
      <c r="G1878" s="2703">
        <f>G1876*(3*7*7+4*7)</f>
        <v>0</v>
      </c>
      <c r="H1878" s="2517">
        <v>928400</v>
      </c>
      <c r="I1878" s="2517"/>
      <c r="J1878" s="2517">
        <v>0</v>
      </c>
      <c r="K1878" s="2517">
        <v>0</v>
      </c>
      <c r="L1878" s="2517">
        <f t="shared" ref="L1878:L1892" si="351">H1878*G1878</f>
        <v>0</v>
      </c>
      <c r="M1878" s="2517">
        <f t="shared" ref="M1878:M1892" si="352">I1878*G1878</f>
        <v>0</v>
      </c>
      <c r="N1878" s="2517">
        <f t="shared" ref="N1878:N1892" si="353">J1878*G1878</f>
        <v>0</v>
      </c>
      <c r="O1878" s="2517">
        <f t="shared" ref="O1878:O1892" si="354">K1878*G1878</f>
        <v>0</v>
      </c>
      <c r="P1878" s="2642"/>
      <c r="Q1878" s="2519"/>
      <c r="R1878" s="2519"/>
      <c r="S1878" s="2519"/>
    </row>
    <row r="1879" spans="1:16381" s="2358" customFormat="1" outlineLevel="1">
      <c r="A1879" s="2435" t="str">
        <f t="shared" si="350"/>
        <v/>
      </c>
      <c r="B1879" s="2514" t="s">
        <v>1574</v>
      </c>
      <c r="C1879" s="2521"/>
      <c r="D1879" s="2405">
        <v>0</v>
      </c>
      <c r="E1879" s="2447" t="s">
        <v>2807</v>
      </c>
      <c r="F1879" s="2405" t="s">
        <v>2538</v>
      </c>
      <c r="G1879" s="2703"/>
      <c r="H1879" s="2517">
        <v>567100</v>
      </c>
      <c r="I1879" s="2517"/>
      <c r="J1879" s="2517">
        <v>0</v>
      </c>
      <c r="K1879" s="2517">
        <v>0</v>
      </c>
      <c r="L1879" s="2517">
        <f t="shared" si="351"/>
        <v>0</v>
      </c>
      <c r="M1879" s="2517">
        <f t="shared" si="352"/>
        <v>0</v>
      </c>
      <c r="N1879" s="2517">
        <f t="shared" si="353"/>
        <v>0</v>
      </c>
      <c r="O1879" s="2517">
        <f t="shared" si="354"/>
        <v>0</v>
      </c>
      <c r="P1879" s="2694"/>
      <c r="Q1879" s="2519"/>
      <c r="R1879" s="2519"/>
      <c r="S1879" s="2519"/>
    </row>
    <row r="1880" spans="1:16381" s="2358" customFormat="1" outlineLevel="1">
      <c r="A1880" s="2435" t="str">
        <f>IF(G1880&lt;&gt;0,1,"")</f>
        <v/>
      </c>
      <c r="B1880" s="2514" t="s">
        <v>5818</v>
      </c>
      <c r="C1880" s="2521"/>
      <c r="D1880" s="2405" t="s">
        <v>5794</v>
      </c>
      <c r="E1880" s="2447" t="s">
        <v>5813</v>
      </c>
      <c r="F1880" s="2405" t="s">
        <v>2563</v>
      </c>
      <c r="G1880" s="2703">
        <f>G1876*2*(7*3+4)</f>
        <v>0</v>
      </c>
      <c r="H1880" s="2517">
        <v>380000</v>
      </c>
      <c r="I1880" s="2517"/>
      <c r="J1880" s="2517">
        <v>59410.148000000001</v>
      </c>
      <c r="K1880" s="2517">
        <v>7775.6650930000005</v>
      </c>
      <c r="L1880" s="2517">
        <f>H1880*G1880</f>
        <v>0</v>
      </c>
      <c r="M1880" s="2517">
        <f>I1880*G1880</f>
        <v>0</v>
      </c>
      <c r="N1880" s="2517">
        <f>J1880*G1880</f>
        <v>0</v>
      </c>
      <c r="O1880" s="2517">
        <f>K1880*G1880</f>
        <v>0</v>
      </c>
      <c r="P1880" s="2694"/>
      <c r="Q1880" s="2519"/>
      <c r="R1880" s="2519"/>
      <c r="S1880" s="2519"/>
    </row>
    <row r="1881" spans="1:16381" s="2358" customFormat="1" outlineLevel="1">
      <c r="A1881" s="2435" t="str">
        <f t="shared" si="350"/>
        <v/>
      </c>
      <c r="B1881" s="2514" t="s">
        <v>447</v>
      </c>
      <c r="C1881" s="2521"/>
      <c r="D1881" s="2405" t="s">
        <v>5793</v>
      </c>
      <c r="E1881" s="2447" t="s">
        <v>3503</v>
      </c>
      <c r="F1881" s="2405" t="s">
        <v>2563</v>
      </c>
      <c r="G1881" s="2703"/>
      <c r="H1881" s="2517">
        <v>51000</v>
      </c>
      <c r="I1881" s="2517"/>
      <c r="J1881" s="2517">
        <v>50013.645000000004</v>
      </c>
      <c r="K1881" s="2517">
        <v>5554.0464950000005</v>
      </c>
      <c r="L1881" s="2517">
        <f t="shared" si="351"/>
        <v>0</v>
      </c>
      <c r="M1881" s="2517">
        <f t="shared" si="352"/>
        <v>0</v>
      </c>
      <c r="N1881" s="2517">
        <f t="shared" si="353"/>
        <v>0</v>
      </c>
      <c r="O1881" s="2517">
        <f t="shared" si="354"/>
        <v>0</v>
      </c>
      <c r="P1881" s="2694"/>
      <c r="Q1881" s="2519"/>
      <c r="R1881" s="2519"/>
      <c r="S1881" s="2519"/>
    </row>
    <row r="1882" spans="1:16381" s="2358" customFormat="1" outlineLevel="1">
      <c r="A1882" s="2435" t="str">
        <f>IF(G1882&lt;&gt;0,1,"")</f>
        <v/>
      </c>
      <c r="B1882" s="2514" t="s">
        <v>975</v>
      </c>
      <c r="C1882" s="2521"/>
      <c r="D1882" s="2405">
        <v>0</v>
      </c>
      <c r="E1882" s="2447" t="s">
        <v>3520</v>
      </c>
      <c r="F1882" s="2405" t="s">
        <v>2563</v>
      </c>
      <c r="G1882" s="2703">
        <f>G1880</f>
        <v>0</v>
      </c>
      <c r="H1882" s="2517">
        <v>8000</v>
      </c>
      <c r="I1882" s="2517"/>
      <c r="J1882" s="2517">
        <v>0</v>
      </c>
      <c r="K1882" s="2517">
        <v>0</v>
      </c>
      <c r="L1882" s="2517">
        <f>H1882*G1882</f>
        <v>0</v>
      </c>
      <c r="M1882" s="2517">
        <f>I1882*G1882</f>
        <v>0</v>
      </c>
      <c r="N1882" s="2517">
        <f>J1882*G1882</f>
        <v>0</v>
      </c>
      <c r="O1882" s="2517">
        <f>K1882*G1882</f>
        <v>0</v>
      </c>
      <c r="P1882" s="2694"/>
      <c r="Q1882" s="2519"/>
      <c r="R1882" s="2519"/>
      <c r="S1882" s="2519"/>
    </row>
    <row r="1883" spans="1:16381" s="2358" customFormat="1" outlineLevel="1">
      <c r="A1883" s="2435" t="str">
        <f t="shared" si="350"/>
        <v/>
      </c>
      <c r="B1883" s="2514" t="s">
        <v>90</v>
      </c>
      <c r="C1883" s="2521"/>
      <c r="D1883" s="2405">
        <v>0</v>
      </c>
      <c r="E1883" s="2447" t="s">
        <v>3518</v>
      </c>
      <c r="F1883" s="2405" t="s">
        <v>2563</v>
      </c>
      <c r="G1883" s="2703"/>
      <c r="H1883" s="2517">
        <v>6000</v>
      </c>
      <c r="I1883" s="2517"/>
      <c r="J1883" s="2517">
        <v>0</v>
      </c>
      <c r="K1883" s="2517">
        <v>0</v>
      </c>
      <c r="L1883" s="2517">
        <f t="shared" si="351"/>
        <v>0</v>
      </c>
      <c r="M1883" s="2517">
        <f t="shared" si="352"/>
        <v>0</v>
      </c>
      <c r="N1883" s="2517">
        <f t="shared" si="353"/>
        <v>0</v>
      </c>
      <c r="O1883" s="2517">
        <f t="shared" si="354"/>
        <v>0</v>
      </c>
      <c r="P1883" s="2694"/>
      <c r="Q1883" s="2519"/>
      <c r="R1883" s="2519"/>
      <c r="S1883" s="2519"/>
    </row>
    <row r="1884" spans="1:16381" s="2358" customFormat="1" outlineLevel="1">
      <c r="A1884" s="2435" t="str">
        <f t="shared" si="350"/>
        <v/>
      </c>
      <c r="B1884" s="2502" t="s">
        <v>248</v>
      </c>
      <c r="C1884" s="2521"/>
      <c r="D1884" s="2405">
        <v>0</v>
      </c>
      <c r="E1884" s="2447" t="s">
        <v>3474</v>
      </c>
      <c r="F1884" s="2405" t="s">
        <v>2445</v>
      </c>
      <c r="G1884" s="2703">
        <f>+G1876*1</f>
        <v>0</v>
      </c>
      <c r="H1884" s="2517">
        <v>3297534</v>
      </c>
      <c r="I1884" s="2517"/>
      <c r="J1884" s="2517">
        <v>0</v>
      </c>
      <c r="K1884" s="2517">
        <v>0</v>
      </c>
      <c r="L1884" s="2517">
        <f t="shared" si="351"/>
        <v>0</v>
      </c>
      <c r="M1884" s="2517">
        <f t="shared" si="352"/>
        <v>0</v>
      </c>
      <c r="N1884" s="2517">
        <f t="shared" si="353"/>
        <v>0</v>
      </c>
      <c r="O1884" s="2517">
        <f t="shared" si="354"/>
        <v>0</v>
      </c>
      <c r="P1884" s="2694"/>
      <c r="Q1884" s="2519"/>
      <c r="R1884" s="2519"/>
      <c r="S1884" s="2519"/>
    </row>
    <row r="1885" spans="1:16381" s="2358" customFormat="1" outlineLevel="1">
      <c r="A1885" s="2435" t="str">
        <f>IF(G1885&lt;&gt;0,1,"")</f>
        <v/>
      </c>
      <c r="B1885" s="2514" t="s">
        <v>86</v>
      </c>
      <c r="C1885" s="2521"/>
      <c r="D1885" s="2405">
        <v>0</v>
      </c>
      <c r="E1885" s="2447" t="s">
        <v>5859</v>
      </c>
      <c r="F1885" s="2405" t="s">
        <v>2563</v>
      </c>
      <c r="G1885" s="2703"/>
      <c r="H1885" s="2517">
        <v>45400</v>
      </c>
      <c r="I1885" s="2517"/>
      <c r="J1885" s="2517">
        <v>0</v>
      </c>
      <c r="K1885" s="2517">
        <v>0</v>
      </c>
      <c r="L1885" s="2517">
        <f>H1885*G1885</f>
        <v>0</v>
      </c>
      <c r="M1885" s="2517">
        <f>I1885*G1885</f>
        <v>0</v>
      </c>
      <c r="N1885" s="2517">
        <f>J1885*G1885</f>
        <v>0</v>
      </c>
      <c r="O1885" s="2517">
        <f>K1885*G1885</f>
        <v>0</v>
      </c>
      <c r="P1885" s="2694"/>
      <c r="Q1885" s="2519"/>
      <c r="R1885" s="2519"/>
      <c r="S1885" s="2519"/>
    </row>
    <row r="1886" spans="1:16381" s="2358" customFormat="1" outlineLevel="1">
      <c r="A1886" s="2435" t="str">
        <f>IF(G1886&lt;&gt;0,1,"")</f>
        <v/>
      </c>
      <c r="B1886" s="2514" t="s">
        <v>86</v>
      </c>
      <c r="C1886" s="2521"/>
      <c r="D1886" s="2405">
        <v>0</v>
      </c>
      <c r="E1886" s="2447" t="s">
        <v>5859</v>
      </c>
      <c r="F1886" s="2405" t="s">
        <v>2563</v>
      </c>
      <c r="G1886" s="2703"/>
      <c r="H1886" s="2517">
        <v>45400</v>
      </c>
      <c r="I1886" s="2517"/>
      <c r="J1886" s="2517">
        <v>0</v>
      </c>
      <c r="K1886" s="2517">
        <v>0</v>
      </c>
      <c r="L1886" s="2517">
        <f>H1886*G1886</f>
        <v>0</v>
      </c>
      <c r="M1886" s="2517">
        <f>I1886*G1886</f>
        <v>0</v>
      </c>
      <c r="N1886" s="2517">
        <f>J1886*G1886</f>
        <v>0</v>
      </c>
      <c r="O1886" s="2517">
        <f>K1886*G1886</f>
        <v>0</v>
      </c>
      <c r="P1886" s="2694"/>
      <c r="Q1886" s="2519"/>
      <c r="R1886" s="2519"/>
      <c r="S1886" s="2519"/>
    </row>
    <row r="1887" spans="1:16381" s="2358" customFormat="1" outlineLevel="1">
      <c r="A1887" s="2435" t="str">
        <f t="shared" si="350"/>
        <v/>
      </c>
      <c r="B1887" s="2505" t="s">
        <v>1994</v>
      </c>
      <c r="C1887" s="2521"/>
      <c r="D1887" s="2405">
        <v>0</v>
      </c>
      <c r="E1887" s="2447" t="s">
        <v>5318</v>
      </c>
      <c r="F1887" s="2405" t="s">
        <v>2391</v>
      </c>
      <c r="G1887" s="2703"/>
      <c r="H1887" s="2517">
        <v>49000</v>
      </c>
      <c r="I1887" s="2517"/>
      <c r="J1887" s="2517">
        <v>0</v>
      </c>
      <c r="K1887" s="2517">
        <v>0</v>
      </c>
      <c r="L1887" s="2517">
        <f t="shared" si="351"/>
        <v>0</v>
      </c>
      <c r="M1887" s="2517">
        <f t="shared" si="352"/>
        <v>0</v>
      </c>
      <c r="N1887" s="2517">
        <f t="shared" si="353"/>
        <v>0</v>
      </c>
      <c r="O1887" s="2517">
        <f t="shared" si="354"/>
        <v>0</v>
      </c>
      <c r="P1887" s="2694"/>
      <c r="Q1887" s="2675"/>
      <c r="R1887" s="2519"/>
      <c r="S1887" s="2519"/>
    </row>
    <row r="1888" spans="1:16381" s="2358" customFormat="1" outlineLevel="1">
      <c r="A1888" s="2435" t="str">
        <f t="shared" si="350"/>
        <v/>
      </c>
      <c r="B1888" s="2514" t="s">
        <v>2159</v>
      </c>
      <c r="C1888" s="2521"/>
      <c r="D1888" s="2405">
        <v>0</v>
      </c>
      <c r="E1888" s="2447" t="s">
        <v>3592</v>
      </c>
      <c r="F1888" s="2405" t="s">
        <v>2563</v>
      </c>
      <c r="G1888" s="2703"/>
      <c r="H1888" s="2517">
        <v>25800</v>
      </c>
      <c r="I1888" s="2517"/>
      <c r="J1888" s="2517">
        <v>0</v>
      </c>
      <c r="K1888" s="2517">
        <v>0</v>
      </c>
      <c r="L1888" s="2517">
        <f t="shared" si="351"/>
        <v>0</v>
      </c>
      <c r="M1888" s="2517">
        <f t="shared" si="352"/>
        <v>0</v>
      </c>
      <c r="N1888" s="2517">
        <f t="shared" si="353"/>
        <v>0</v>
      </c>
      <c r="O1888" s="2517">
        <f t="shared" si="354"/>
        <v>0</v>
      </c>
      <c r="P1888" s="2694"/>
      <c r="Q1888" s="2519"/>
      <c r="R1888" s="2519"/>
      <c r="S1888" s="2519"/>
    </row>
    <row r="1889" spans="1:19" s="2358" customFormat="1" outlineLevel="1">
      <c r="A1889" s="2435" t="str">
        <f>IF(G1889&lt;&gt;0,1,"")</f>
        <v/>
      </c>
      <c r="B1889" s="2514" t="s">
        <v>5855</v>
      </c>
      <c r="C1889" s="2521"/>
      <c r="D1889" s="2405">
        <v>0</v>
      </c>
      <c r="E1889" s="2447" t="s">
        <v>5856</v>
      </c>
      <c r="F1889" s="2405" t="s">
        <v>1827</v>
      </c>
      <c r="G1889" s="2703"/>
      <c r="H1889" s="2517">
        <v>50000</v>
      </c>
      <c r="I1889" s="2517"/>
      <c r="J1889" s="2517">
        <v>0</v>
      </c>
      <c r="K1889" s="2517">
        <v>0</v>
      </c>
      <c r="L1889" s="2517">
        <f>H1889*G1889</f>
        <v>0</v>
      </c>
      <c r="M1889" s="2517">
        <f>I1889*G1889</f>
        <v>0</v>
      </c>
      <c r="N1889" s="2517">
        <f>J1889*G1889</f>
        <v>0</v>
      </c>
      <c r="O1889" s="2517">
        <f>K1889*G1889</f>
        <v>0</v>
      </c>
      <c r="P1889" s="2694"/>
      <c r="Q1889" s="2519"/>
      <c r="R1889" s="2519"/>
      <c r="S1889" s="2519"/>
    </row>
    <row r="1890" spans="1:19" s="2358" customFormat="1" outlineLevel="1">
      <c r="A1890" s="2435" t="str">
        <f t="shared" si="350"/>
        <v/>
      </c>
      <c r="B1890" s="2514" t="s">
        <v>2080</v>
      </c>
      <c r="C1890" s="2521"/>
      <c r="D1890" s="2405">
        <v>0</v>
      </c>
      <c r="E1890" s="2447" t="s">
        <v>3588</v>
      </c>
      <c r="F1890" s="2405" t="s">
        <v>3589</v>
      </c>
      <c r="G1890" s="2703"/>
      <c r="H1890" s="2517">
        <v>11500</v>
      </c>
      <c r="I1890" s="2517"/>
      <c r="J1890" s="2517">
        <v>0</v>
      </c>
      <c r="K1890" s="2517">
        <v>0</v>
      </c>
      <c r="L1890" s="2517">
        <f t="shared" si="351"/>
        <v>0</v>
      </c>
      <c r="M1890" s="2517">
        <f t="shared" si="352"/>
        <v>0</v>
      </c>
      <c r="N1890" s="2517">
        <f t="shared" si="353"/>
        <v>0</v>
      </c>
      <c r="O1890" s="2517">
        <f t="shared" si="354"/>
        <v>0</v>
      </c>
      <c r="P1890" s="2694"/>
      <c r="Q1890" s="2519"/>
      <c r="R1890" s="2519"/>
      <c r="S1890" s="2519"/>
    </row>
    <row r="1891" spans="1:19" s="2358" customFormat="1" outlineLevel="1">
      <c r="A1891" s="2435" t="str">
        <f t="shared" si="350"/>
        <v/>
      </c>
      <c r="B1891" s="2505" t="s">
        <v>6</v>
      </c>
      <c r="C1891" s="2521"/>
      <c r="D1891" s="2405"/>
      <c r="E1891" s="2447" t="s">
        <v>3585</v>
      </c>
      <c r="F1891" s="2405" t="s">
        <v>5868</v>
      </c>
      <c r="G1891" s="2703"/>
      <c r="H1891" s="2517">
        <v>45000</v>
      </c>
      <c r="I1891" s="2517"/>
      <c r="J1891" s="2517"/>
      <c r="K1891" s="2517"/>
      <c r="L1891" s="2517">
        <f t="shared" si="351"/>
        <v>0</v>
      </c>
      <c r="M1891" s="2517">
        <f t="shared" si="352"/>
        <v>0</v>
      </c>
      <c r="N1891" s="2517">
        <f t="shared" si="353"/>
        <v>0</v>
      </c>
      <c r="O1891" s="2517">
        <f t="shared" si="354"/>
        <v>0</v>
      </c>
      <c r="P1891" s="2702"/>
      <c r="Q1891" s="2519"/>
      <c r="R1891" s="2519"/>
      <c r="S1891" s="2519"/>
    </row>
    <row r="1892" spans="1:19" s="2358" customFormat="1" outlineLevel="1">
      <c r="A1892" s="2435" t="str">
        <f t="shared" si="350"/>
        <v/>
      </c>
      <c r="B1892" s="2505" t="s">
        <v>1413</v>
      </c>
      <c r="C1892" s="2521"/>
      <c r="D1892" s="2405" t="s">
        <v>5403</v>
      </c>
      <c r="E1892" s="2447" t="s">
        <v>5404</v>
      </c>
      <c r="F1892" s="2405" t="s">
        <v>2445</v>
      </c>
      <c r="G1892" s="2703">
        <f>G1884</f>
        <v>0</v>
      </c>
      <c r="H1892" s="2517">
        <v>0</v>
      </c>
      <c r="I1892" s="2517"/>
      <c r="J1892" s="2517">
        <v>28219.62</v>
      </c>
      <c r="K1892" s="2517">
        <v>0</v>
      </c>
      <c r="L1892" s="2517">
        <f t="shared" si="351"/>
        <v>0</v>
      </c>
      <c r="M1892" s="2517">
        <f t="shared" si="352"/>
        <v>0</v>
      </c>
      <c r="N1892" s="2517">
        <f t="shared" si="353"/>
        <v>0</v>
      </c>
      <c r="O1892" s="2517">
        <f t="shared" si="354"/>
        <v>0</v>
      </c>
      <c r="P1892" s="2694"/>
      <c r="Q1892" s="2519"/>
      <c r="R1892" s="2519"/>
      <c r="S1892" s="2519"/>
    </row>
    <row r="1893" spans="1:19" s="2358" customFormat="1" outlineLevel="1">
      <c r="A1893" s="2435" t="str">
        <f>IF(G1893&lt;&gt;0,1,"")</f>
        <v/>
      </c>
      <c r="B1893" s="2505" t="s">
        <v>2010</v>
      </c>
      <c r="C1893" s="2521"/>
      <c r="D1893" s="2405" t="s">
        <v>5634</v>
      </c>
      <c r="E1893" s="2447" t="s">
        <v>3311</v>
      </c>
      <c r="F1893" s="2405" t="s">
        <v>1827</v>
      </c>
      <c r="G1893" s="2703"/>
      <c r="H1893" s="2517">
        <v>0</v>
      </c>
      <c r="I1893" s="2517"/>
      <c r="J1893" s="2517">
        <v>33396</v>
      </c>
      <c r="K1893" s="2517">
        <v>0</v>
      </c>
      <c r="L1893" s="2517">
        <f>H1893*G1893</f>
        <v>0</v>
      </c>
      <c r="M1893" s="2517">
        <f>I1893*G1893</f>
        <v>0</v>
      </c>
      <c r="N1893" s="2517">
        <f>J1893*G1893</f>
        <v>0</v>
      </c>
      <c r="O1893" s="2517">
        <f>K1893*G1893</f>
        <v>0</v>
      </c>
      <c r="P1893" s="2694"/>
      <c r="Q1893" s="2519"/>
      <c r="R1893" s="2519"/>
      <c r="S1893" s="2519"/>
    </row>
    <row r="1894" spans="1:19" s="2358" customFormat="1" outlineLevel="1">
      <c r="A1894" s="2435" t="str">
        <f t="shared" si="350"/>
        <v/>
      </c>
      <c r="B1894" s="2505" t="s">
        <v>5637</v>
      </c>
      <c r="C1894" s="2521"/>
      <c r="D1894" s="2405" t="s">
        <v>5638</v>
      </c>
      <c r="E1894" s="2447" t="s">
        <v>5639</v>
      </c>
      <c r="F1894" s="2405" t="s">
        <v>1827</v>
      </c>
      <c r="G1894" s="2703">
        <f>G1878</f>
        <v>0</v>
      </c>
      <c r="H1894" s="2517">
        <v>0</v>
      </c>
      <c r="I1894" s="2517"/>
      <c r="J1894" s="2517">
        <v>66000</v>
      </c>
      <c r="K1894" s="2517">
        <v>0</v>
      </c>
      <c r="L1894" s="2517">
        <f>H1894*G1894</f>
        <v>0</v>
      </c>
      <c r="M1894" s="2517">
        <f>I1894*G1894</f>
        <v>0</v>
      </c>
      <c r="N1894" s="2517">
        <f>J1894*G1894</f>
        <v>0</v>
      </c>
      <c r="O1894" s="2517">
        <f>K1894*G1894</f>
        <v>0</v>
      </c>
      <c r="P1894" s="2694"/>
      <c r="Q1894" s="2519"/>
      <c r="R1894" s="2519"/>
      <c r="S1894" s="2519"/>
    </row>
    <row r="1895" spans="1:19" s="2358" customFormat="1" outlineLevel="1">
      <c r="A1895" s="2435">
        <f>A1630</f>
        <v>0</v>
      </c>
      <c r="B1895" s="2610"/>
      <c r="C1895" s="2676"/>
      <c r="D1895" s="2677"/>
      <c r="E1895" s="2891"/>
      <c r="F1895" s="2890"/>
      <c r="G1895" s="2890"/>
      <c r="H1895" s="2890"/>
      <c r="I1895" s="2890"/>
      <c r="J1895" s="2900" t="s">
        <v>6205</v>
      </c>
      <c r="K1895" s="2900"/>
      <c r="L1895" s="2678">
        <f>SUM(L1646:L1894)</f>
        <v>0</v>
      </c>
      <c r="M1895" s="2678">
        <f>SUM(M1646:M1894)</f>
        <v>0</v>
      </c>
      <c r="N1895" s="2678">
        <f>SUM(N1646:N1894)</f>
        <v>0</v>
      </c>
      <c r="O1895" s="2678">
        <f>SUM(O1646:O1894)</f>
        <v>0</v>
      </c>
      <c r="P1895" s="2699"/>
      <c r="Q1895" s="2519"/>
      <c r="R1895" s="2519"/>
      <c r="S1895" s="2519"/>
    </row>
    <row r="1896" spans="1:19" s="2358" customFormat="1" outlineLevel="1">
      <c r="A1896" s="2435">
        <f>A1897</f>
        <v>0</v>
      </c>
      <c r="B1896" s="2610"/>
      <c r="C1896" s="2780"/>
      <c r="D1896" s="2780"/>
      <c r="E1896" s="2897"/>
      <c r="F1896" s="2898"/>
      <c r="G1896" s="2898"/>
      <c r="H1896" s="2898"/>
      <c r="I1896" s="2898"/>
      <c r="J1896" s="2781"/>
      <c r="K1896" s="2781"/>
      <c r="L1896" s="2782"/>
      <c r="M1896" s="2782"/>
      <c r="N1896" s="2782"/>
      <c r="O1896" s="2782"/>
      <c r="P1896" s="2783"/>
      <c r="Q1896" s="2519"/>
      <c r="R1896" s="2519"/>
      <c r="S1896" s="2519"/>
    </row>
    <row r="1897" spans="1:19" s="2358" customFormat="1" outlineLevel="1">
      <c r="A1897" s="2435">
        <f>A1911</f>
        <v>0</v>
      </c>
      <c r="B1897" s="2640"/>
      <c r="C1897" s="2877" t="s">
        <v>6379</v>
      </c>
      <c r="D1897" s="2892"/>
      <c r="E1897" s="2892"/>
      <c r="F1897" s="2892"/>
      <c r="G1897" s="2892"/>
      <c r="H1897" s="2893"/>
      <c r="I1897" s="2893"/>
      <c r="J1897" s="2893"/>
      <c r="K1897" s="2893"/>
      <c r="L1897" s="2893"/>
      <c r="M1897" s="2893"/>
      <c r="N1897" s="2893"/>
      <c r="O1897" s="2893"/>
      <c r="P1897" s="2894"/>
      <c r="Q1897" s="2519"/>
      <c r="R1897" s="2519"/>
      <c r="S1897" s="2519"/>
    </row>
    <row r="1898" spans="1:19" s="2358" customFormat="1" outlineLevel="1">
      <c r="A1898" s="2435">
        <f>A1897</f>
        <v>0</v>
      </c>
      <c r="B1898" s="2514" t="s">
        <v>6186</v>
      </c>
      <c r="C1898" s="2901" t="s">
        <v>1712</v>
      </c>
      <c r="D1898" s="2902" t="s">
        <v>2605</v>
      </c>
      <c r="E1898" s="2904" t="s">
        <v>2606</v>
      </c>
      <c r="F1898" s="2901" t="s">
        <v>2601</v>
      </c>
      <c r="G1898" s="2362" t="s">
        <v>6187</v>
      </c>
      <c r="H1898" s="2365" t="s">
        <v>6188</v>
      </c>
      <c r="I1898" s="2872"/>
      <c r="J1898" s="2872"/>
      <c r="K1898" s="2873"/>
      <c r="L1898" s="2365" t="s">
        <v>6189</v>
      </c>
      <c r="M1898" s="2872"/>
      <c r="N1898" s="2872"/>
      <c r="O1898" s="2873"/>
      <c r="P1898" s="2786" t="s">
        <v>2607</v>
      </c>
      <c r="Q1898" s="2519"/>
      <c r="R1898" s="2519"/>
      <c r="S1898" s="2519"/>
    </row>
    <row r="1899" spans="1:19" s="2358" customFormat="1" outlineLevel="1">
      <c r="A1899" s="2435">
        <f>A1898</f>
        <v>0</v>
      </c>
      <c r="B1899" s="2514"/>
      <c r="C1899" s="2901"/>
      <c r="D1899" s="2903"/>
      <c r="E1899" s="2905"/>
      <c r="F1899" s="2901"/>
      <c r="G1899" s="2364" t="s">
        <v>2292</v>
      </c>
      <c r="H1899" s="2365" t="s">
        <v>6190</v>
      </c>
      <c r="I1899" s="2365" t="s">
        <v>6191</v>
      </c>
      <c r="J1899" s="2365" t="s">
        <v>6192</v>
      </c>
      <c r="K1899" s="2365" t="s">
        <v>6193</v>
      </c>
      <c r="L1899" s="2365" t="s">
        <v>6190</v>
      </c>
      <c r="M1899" s="2365" t="s">
        <v>6191</v>
      </c>
      <c r="N1899" s="2365" t="s">
        <v>6192</v>
      </c>
      <c r="O1899" s="2365" t="s">
        <v>6193</v>
      </c>
      <c r="P1899" s="2786"/>
      <c r="Q1899" s="2519"/>
      <c r="R1899" s="2519"/>
      <c r="S1899" s="2519"/>
    </row>
    <row r="1900" spans="1:19" s="2358" customFormat="1" outlineLevel="1">
      <c r="A1900" s="2435">
        <f>A1911</f>
        <v>0</v>
      </c>
      <c r="B1900" s="2514"/>
      <c r="C1900" s="2366"/>
      <c r="D1900" s="2367"/>
      <c r="E1900" s="2368" t="s">
        <v>3690</v>
      </c>
      <c r="F1900" s="2369"/>
      <c r="G1900" s="2369"/>
      <c r="H1900" s="2369"/>
      <c r="I1900" s="2369"/>
      <c r="J1900" s="2369"/>
      <c r="K1900" s="2369"/>
      <c r="L1900" s="2369"/>
      <c r="M1900" s="2369"/>
      <c r="N1900" s="2369"/>
      <c r="O1900" s="2367"/>
      <c r="P1900" s="2607"/>
      <c r="Q1900" s="2519"/>
      <c r="R1900" s="2519"/>
      <c r="S1900" s="2519"/>
    </row>
    <row r="1901" spans="1:19" s="2358" customFormat="1" outlineLevel="1">
      <c r="A1901" s="2435" t="str">
        <f>IF(G1901&lt;&gt;0,1,"")</f>
        <v/>
      </c>
      <c r="B1901" s="2505" t="str">
        <f>IF($F$8=15,"tr400","tr4001")</f>
        <v>tr4001</v>
      </c>
      <c r="C1901" s="2521">
        <f>IF(G1901&gt;0,1,0)</f>
        <v>0</v>
      </c>
      <c r="D1901" s="2405" t="s">
        <v>5654</v>
      </c>
      <c r="E1901" s="2447" t="s">
        <v>3349</v>
      </c>
      <c r="F1901" s="2405" t="s">
        <v>3318</v>
      </c>
      <c r="G1901" s="2709">
        <v>0</v>
      </c>
      <c r="H1901" s="2612">
        <v>388431450</v>
      </c>
      <c r="I1901" s="2612"/>
      <c r="J1901" s="2612">
        <v>1660532</v>
      </c>
      <c r="K1901" s="2612">
        <v>361106</v>
      </c>
      <c r="L1901" s="2613">
        <f t="shared" ref="L1901:L1910" si="355">H1901*G1901</f>
        <v>0</v>
      </c>
      <c r="M1901" s="2613">
        <f t="shared" ref="M1901:M1910" si="356">I1901*G1901</f>
        <v>0</v>
      </c>
      <c r="N1901" s="2613">
        <f t="shared" ref="N1901:N1910" si="357">J1901*G1901</f>
        <v>0</v>
      </c>
      <c r="O1901" s="2614">
        <f t="shared" ref="O1901:O1910" si="358">K1901*G1901</f>
        <v>0</v>
      </c>
      <c r="P1901" s="2693"/>
      <c r="Q1901" s="2519"/>
      <c r="R1901" s="2519"/>
      <c r="S1901" s="2519"/>
    </row>
    <row r="1902" spans="1:19" s="2358" customFormat="1" outlineLevel="1">
      <c r="A1902" s="2435" t="str">
        <f>IF(G1902&lt;&gt;0,1,"")</f>
        <v/>
      </c>
      <c r="B1902" s="2371" t="str">
        <f>"FCO100-"&amp;$F$8</f>
        <v>FCO100-22</v>
      </c>
      <c r="C1902" s="2521">
        <f>IF(G1902&gt;0,C1901+1,C1901)</f>
        <v>0</v>
      </c>
      <c r="D1902" s="2405" t="s">
        <v>5660</v>
      </c>
      <c r="E1902" s="2447" t="s">
        <v>95</v>
      </c>
      <c r="F1902" s="2405" t="s">
        <v>2563</v>
      </c>
      <c r="G1902" s="2703">
        <f>G1901*3</f>
        <v>0</v>
      </c>
      <c r="H1902" s="2517">
        <v>2244280</v>
      </c>
      <c r="I1902" s="2517">
        <v>0</v>
      </c>
      <c r="J1902" s="2517">
        <v>222639.99999999997</v>
      </c>
      <c r="K1902" s="2517">
        <v>0</v>
      </c>
      <c r="L1902" s="2517">
        <f t="shared" si="355"/>
        <v>0</v>
      </c>
      <c r="M1902" s="2517">
        <f t="shared" si="356"/>
        <v>0</v>
      </c>
      <c r="N1902" s="2517">
        <f t="shared" si="357"/>
        <v>0</v>
      </c>
      <c r="O1902" s="2517">
        <f t="shared" si="358"/>
        <v>0</v>
      </c>
      <c r="P1902" s="2694"/>
      <c r="Q1902" s="2519"/>
      <c r="R1902" s="2519"/>
      <c r="S1902" s="2519"/>
    </row>
    <row r="1903" spans="1:19" s="2358" customFormat="1" outlineLevel="1">
      <c r="A1903" s="2435" t="str">
        <f t="shared" ref="A1903:A1909" si="359">IF(G1903&lt;&gt;0,1,"")</f>
        <v/>
      </c>
      <c r="B1903" s="2505" t="str">
        <f>IF($F$8=15,"chi25k","chi15k")</f>
        <v>chi15k</v>
      </c>
      <c r="C1903" s="2521">
        <f>IF(G1903&gt;0,C1902+1,C1902)</f>
        <v>0</v>
      </c>
      <c r="D1903" s="2405">
        <v>0</v>
      </c>
      <c r="E1903" s="2447" t="s">
        <v>3445</v>
      </c>
      <c r="F1903" s="2405" t="s">
        <v>2608</v>
      </c>
      <c r="G1903" s="2703">
        <f>G1901*3</f>
        <v>0</v>
      </c>
      <c r="H1903" s="2517">
        <v>103000</v>
      </c>
      <c r="I1903" s="2517">
        <v>0</v>
      </c>
      <c r="J1903" s="2517">
        <v>0</v>
      </c>
      <c r="K1903" s="2517">
        <v>0</v>
      </c>
      <c r="L1903" s="2517">
        <f t="shared" si="355"/>
        <v>0</v>
      </c>
      <c r="M1903" s="2517">
        <f t="shared" si="356"/>
        <v>0</v>
      </c>
      <c r="N1903" s="2517">
        <f t="shared" si="357"/>
        <v>0</v>
      </c>
      <c r="O1903" s="2517">
        <f t="shared" si="358"/>
        <v>0</v>
      </c>
      <c r="P1903" s="2694"/>
      <c r="Q1903" s="2519"/>
      <c r="R1903" s="2519"/>
      <c r="S1903" s="2519"/>
    </row>
    <row r="1904" spans="1:19" s="2358" customFormat="1" outlineLevel="1">
      <c r="A1904" s="2435" t="str">
        <f t="shared" si="359"/>
        <v/>
      </c>
      <c r="B1904" s="2514" t="str">
        <f>"LA"&amp;$F$6</f>
        <v>LA18</v>
      </c>
      <c r="C1904" s="2521">
        <f t="shared" ref="C1904:C1910" si="360">IF(G1904&gt;0,C1903+1,C1903)</f>
        <v>0</v>
      </c>
      <c r="D1904" s="2405" t="s">
        <v>5664</v>
      </c>
      <c r="E1904" s="2447" t="s">
        <v>1193</v>
      </c>
      <c r="F1904" s="2405" t="s">
        <v>2563</v>
      </c>
      <c r="G1904" s="2703">
        <f>G1901*3</f>
        <v>0</v>
      </c>
      <c r="H1904" s="2517">
        <v>1106000</v>
      </c>
      <c r="I1904" s="2517">
        <v>0</v>
      </c>
      <c r="J1904" s="2517">
        <v>83490</v>
      </c>
      <c r="K1904" s="2517">
        <v>0</v>
      </c>
      <c r="L1904" s="2517">
        <f t="shared" si="355"/>
        <v>0</v>
      </c>
      <c r="M1904" s="2517">
        <f t="shared" si="356"/>
        <v>0</v>
      </c>
      <c r="N1904" s="2517">
        <f t="shared" si="357"/>
        <v>0</v>
      </c>
      <c r="O1904" s="2517">
        <f t="shared" si="358"/>
        <v>0</v>
      </c>
      <c r="P1904" s="2694"/>
      <c r="Q1904" s="2519"/>
      <c r="R1904" s="2519"/>
      <c r="S1904" s="2519"/>
    </row>
    <row r="1905" spans="1:19" s="2358" customFormat="1" outlineLevel="1">
      <c r="A1905" s="2435" t="str">
        <f t="shared" si="359"/>
        <v/>
      </c>
      <c r="B1905" s="2610" t="s">
        <v>1465</v>
      </c>
      <c r="C1905" s="2521">
        <f t="shared" si="360"/>
        <v>0</v>
      </c>
      <c r="D1905" s="2405" t="s">
        <v>5750</v>
      </c>
      <c r="E1905" s="2447" t="s">
        <v>5751</v>
      </c>
      <c r="F1905" s="2405" t="s">
        <v>2563</v>
      </c>
      <c r="G1905" s="2523">
        <f>G1901*0</f>
        <v>0</v>
      </c>
      <c r="H1905" s="2517">
        <v>25594000</v>
      </c>
      <c r="I1905" s="2517">
        <v>0</v>
      </c>
      <c r="J1905" s="2517">
        <v>1391500</v>
      </c>
      <c r="K1905" s="2517">
        <v>0</v>
      </c>
      <c r="L1905" s="2517">
        <f t="shared" si="355"/>
        <v>0</v>
      </c>
      <c r="M1905" s="2517">
        <f t="shared" si="356"/>
        <v>0</v>
      </c>
      <c r="N1905" s="2517">
        <f t="shared" si="357"/>
        <v>0</v>
      </c>
      <c r="O1905" s="2517">
        <f t="shared" si="358"/>
        <v>0</v>
      </c>
      <c r="P1905" s="2642"/>
      <c r="Q1905" s="2519"/>
      <c r="R1905" s="2519"/>
      <c r="S1905" s="2519"/>
    </row>
    <row r="1906" spans="1:19" s="2358" customFormat="1" outlineLevel="1">
      <c r="A1906" s="2435" t="str">
        <f t="shared" si="359"/>
        <v/>
      </c>
      <c r="B1906" s="2610" t="s">
        <v>953</v>
      </c>
      <c r="C1906" s="2521">
        <f t="shared" si="360"/>
        <v>0</v>
      </c>
      <c r="D1906" s="2405" t="s">
        <v>5747</v>
      </c>
      <c r="E1906" s="2447" t="s">
        <v>5748</v>
      </c>
      <c r="F1906" s="2405" t="s">
        <v>2563</v>
      </c>
      <c r="G1906" s="2703">
        <f>G1901*2</f>
        <v>0</v>
      </c>
      <c r="H1906" s="2517">
        <v>7180000</v>
      </c>
      <c r="I1906" s="2517">
        <v>0</v>
      </c>
      <c r="J1906" s="2517">
        <v>974050</v>
      </c>
      <c r="K1906" s="2517">
        <v>0</v>
      </c>
      <c r="L1906" s="2517">
        <f t="shared" si="355"/>
        <v>0</v>
      </c>
      <c r="M1906" s="2517">
        <f t="shared" si="356"/>
        <v>0</v>
      </c>
      <c r="N1906" s="2517">
        <f t="shared" si="357"/>
        <v>0</v>
      </c>
      <c r="O1906" s="2517">
        <f t="shared" si="358"/>
        <v>0</v>
      </c>
      <c r="P1906" s="2694"/>
      <c r="Q1906" s="2519"/>
      <c r="R1906" s="2519"/>
      <c r="S1906" s="2519"/>
    </row>
    <row r="1907" spans="1:19" s="2358" customFormat="1" outlineLevel="1">
      <c r="A1907" s="2435" t="str">
        <f t="shared" si="359"/>
        <v/>
      </c>
      <c r="B1907" s="2610" t="s">
        <v>1464</v>
      </c>
      <c r="C1907" s="2521">
        <f t="shared" si="360"/>
        <v>0</v>
      </c>
      <c r="D1907" s="2405" t="s">
        <v>5683</v>
      </c>
      <c r="E1907" s="2447" t="s">
        <v>3396</v>
      </c>
      <c r="F1907" s="2405" t="s">
        <v>3388</v>
      </c>
      <c r="G1907" s="2523">
        <f>G1901*0</f>
        <v>0</v>
      </c>
      <c r="H1907" s="2517">
        <v>20800000</v>
      </c>
      <c r="I1907" s="2517">
        <v>310.8</v>
      </c>
      <c r="J1907" s="2517">
        <v>20659.099999999999</v>
      </c>
      <c r="K1907" s="2517">
        <v>5769.4</v>
      </c>
      <c r="L1907" s="2517">
        <f t="shared" si="355"/>
        <v>0</v>
      </c>
      <c r="M1907" s="2517">
        <f t="shared" si="356"/>
        <v>0</v>
      </c>
      <c r="N1907" s="2517">
        <f t="shared" si="357"/>
        <v>0</v>
      </c>
      <c r="O1907" s="2517">
        <f t="shared" si="358"/>
        <v>0</v>
      </c>
      <c r="P1907" s="2642"/>
      <c r="Q1907" s="2519"/>
      <c r="R1907" s="2519"/>
      <c r="S1907" s="2519"/>
    </row>
    <row r="1908" spans="1:19" s="2358" customFormat="1" outlineLevel="1">
      <c r="A1908" s="2435" t="str">
        <f t="shared" si="359"/>
        <v/>
      </c>
      <c r="B1908" s="2505" t="s">
        <v>64</v>
      </c>
      <c r="C1908" s="2521">
        <f t="shared" si="360"/>
        <v>0</v>
      </c>
      <c r="D1908" s="2405">
        <v>0</v>
      </c>
      <c r="E1908" s="2447" t="s">
        <v>3382</v>
      </c>
      <c r="F1908" s="2405" t="s">
        <v>2563</v>
      </c>
      <c r="G1908" s="2784">
        <f>G1901*3*0</f>
        <v>0</v>
      </c>
      <c r="H1908" s="2517">
        <v>0</v>
      </c>
      <c r="I1908" s="2517">
        <v>0</v>
      </c>
      <c r="J1908" s="2517">
        <v>0</v>
      </c>
      <c r="K1908" s="2517">
        <v>0</v>
      </c>
      <c r="L1908" s="2517">
        <f t="shared" si="355"/>
        <v>0</v>
      </c>
      <c r="M1908" s="2517">
        <f t="shared" si="356"/>
        <v>0</v>
      </c>
      <c r="N1908" s="2517">
        <f t="shared" si="357"/>
        <v>0</v>
      </c>
      <c r="O1908" s="2517">
        <f t="shared" si="358"/>
        <v>0</v>
      </c>
      <c r="P1908" s="2644" t="s">
        <v>2609</v>
      </c>
      <c r="Q1908" s="2519"/>
      <c r="R1908" s="2519"/>
      <c r="S1908" s="2519"/>
    </row>
    <row r="1909" spans="1:19" s="2358" customFormat="1" outlineLevel="1">
      <c r="A1909" s="2435" t="str">
        <f t="shared" si="359"/>
        <v/>
      </c>
      <c r="B1909" s="2505" t="s">
        <v>64</v>
      </c>
      <c r="C1909" s="2521">
        <f t="shared" si="360"/>
        <v>0</v>
      </c>
      <c r="D1909" s="2405">
        <v>0</v>
      </c>
      <c r="E1909" s="2447" t="s">
        <v>3382</v>
      </c>
      <c r="F1909" s="2405" t="s">
        <v>2563</v>
      </c>
      <c r="G1909" s="2712">
        <f>G1901*3</f>
        <v>0</v>
      </c>
      <c r="H1909" s="2517">
        <v>0</v>
      </c>
      <c r="I1909" s="2517">
        <v>0</v>
      </c>
      <c r="J1909" s="2517">
        <v>0</v>
      </c>
      <c r="K1909" s="2517">
        <v>0</v>
      </c>
      <c r="L1909" s="2517">
        <f t="shared" si="355"/>
        <v>0</v>
      </c>
      <c r="M1909" s="2517">
        <f t="shared" si="356"/>
        <v>0</v>
      </c>
      <c r="N1909" s="2517">
        <f t="shared" si="357"/>
        <v>0</v>
      </c>
      <c r="O1909" s="2517">
        <f t="shared" si="358"/>
        <v>0</v>
      </c>
      <c r="P1909" s="2696" t="s">
        <v>2609</v>
      </c>
      <c r="Q1909" s="2519"/>
      <c r="R1909" s="2519"/>
      <c r="S1909" s="2519"/>
    </row>
    <row r="1910" spans="1:19" s="2358" customFormat="1" outlineLevel="1">
      <c r="A1910" s="2435" t="str">
        <f>IF(G1910&lt;&gt;0,1,"")</f>
        <v/>
      </c>
      <c r="B1910" s="2505" t="s">
        <v>1463</v>
      </c>
      <c r="C1910" s="2521">
        <f t="shared" si="360"/>
        <v>0</v>
      </c>
      <c r="D1910" s="2405">
        <v>0</v>
      </c>
      <c r="E1910" s="2447" t="s">
        <v>3459</v>
      </c>
      <c r="F1910" s="2405" t="s">
        <v>2563</v>
      </c>
      <c r="G1910" s="2712">
        <f>G1901</f>
        <v>0</v>
      </c>
      <c r="H1910" s="2517">
        <v>0</v>
      </c>
      <c r="I1910" s="2517">
        <v>0</v>
      </c>
      <c r="J1910" s="2517">
        <v>0</v>
      </c>
      <c r="K1910" s="2517">
        <v>0</v>
      </c>
      <c r="L1910" s="2517">
        <f t="shared" si="355"/>
        <v>0</v>
      </c>
      <c r="M1910" s="2613">
        <f t="shared" si="356"/>
        <v>0</v>
      </c>
      <c r="N1910" s="2613">
        <f t="shared" si="357"/>
        <v>0</v>
      </c>
      <c r="O1910" s="2614">
        <f t="shared" si="358"/>
        <v>0</v>
      </c>
      <c r="P1910" s="2697" t="s">
        <v>2609</v>
      </c>
      <c r="Q1910" s="2519"/>
      <c r="R1910" s="2519"/>
      <c r="S1910" s="2519"/>
    </row>
    <row r="1911" spans="1:19" s="2358" customFormat="1" outlineLevel="1">
      <c r="A1911" s="2435">
        <f>IF(SUM(L1911:O1911)&gt;0,1,)</f>
        <v>0</v>
      </c>
      <c r="B1911" s="2514"/>
      <c r="C1911" s="2646"/>
      <c r="D1911" s="2647"/>
      <c r="E1911" s="2648"/>
      <c r="F1911" s="2646"/>
      <c r="G1911" s="2698"/>
      <c r="H1911" s="2646"/>
      <c r="I1911" s="2646"/>
      <c r="J1911" s="2370" t="s">
        <v>6195</v>
      </c>
      <c r="K1911" s="2646"/>
      <c r="L1911" s="2648">
        <f>SUM(L1901:L1910)</f>
        <v>0</v>
      </c>
      <c r="M1911" s="2648">
        <f>SUM(M1901:M1910)</f>
        <v>0</v>
      </c>
      <c r="N1911" s="2648">
        <f>SUM(N1901:N1910)</f>
        <v>0</v>
      </c>
      <c r="O1911" s="2648">
        <f>SUM(O1901:O1910)</f>
        <v>0</v>
      </c>
      <c r="P1911" s="2699"/>
      <c r="Q1911" s="2519"/>
      <c r="R1911" s="2519"/>
      <c r="S1911" s="2519"/>
    </row>
    <row r="1912" spans="1:19" s="2358" customFormat="1" outlineLevel="1">
      <c r="A1912" s="2435"/>
      <c r="B1912" s="2514"/>
      <c r="C1912" s="2650"/>
      <c r="D1912" s="2651"/>
      <c r="E1912" s="2652" t="s">
        <v>3691</v>
      </c>
      <c r="F1912" s="2652"/>
      <c r="G1912" s="2700"/>
      <c r="H1912" s="2652"/>
      <c r="I1912" s="2652"/>
      <c r="J1912" s="2652"/>
      <c r="K1912" s="2652"/>
      <c r="L1912" s="2652"/>
      <c r="M1912" s="2652"/>
      <c r="N1912" s="2652"/>
      <c r="O1912" s="2651"/>
      <c r="P1912" s="2699"/>
      <c r="Q1912" s="2519"/>
      <c r="R1912" s="2519"/>
      <c r="S1912" s="2519"/>
    </row>
    <row r="1913" spans="1:19" s="2358" customFormat="1" outlineLevel="1">
      <c r="A1913" s="2435" t="str">
        <f t="shared" ref="A1913:A1931" si="361">IF(G1913&lt;&gt;0,1,"")</f>
        <v/>
      </c>
      <c r="B1913" s="2654"/>
      <c r="C1913" s="2655">
        <f>IF(G1913&gt;0,1,0)</f>
        <v>0</v>
      </c>
      <c r="D1913" s="2405"/>
      <c r="E1913" s="2656" t="s">
        <v>6196</v>
      </c>
      <c r="F1913" s="2657" t="s">
        <v>2283</v>
      </c>
      <c r="G1913" s="2714"/>
      <c r="H1913" s="2657"/>
      <c r="I1913" s="2657"/>
      <c r="J1913" s="2657"/>
      <c r="K1913" s="2657"/>
      <c r="L1913" s="2658"/>
      <c r="M1913" s="2658"/>
      <c r="N1913" s="2658"/>
      <c r="O1913" s="2659"/>
      <c r="P1913" s="2642"/>
      <c r="Q1913" s="2519"/>
      <c r="R1913" s="2519"/>
      <c r="S1913" s="2519"/>
    </row>
    <row r="1914" spans="1:19" s="2358" customFormat="1" outlineLevel="1">
      <c r="A1914" s="2435" t="str">
        <f t="shared" si="361"/>
        <v/>
      </c>
      <c r="B1914" s="2610" t="s">
        <v>115</v>
      </c>
      <c r="C1914" s="2660"/>
      <c r="D1914" s="2405"/>
      <c r="E1914" s="2661" t="s">
        <v>3009</v>
      </c>
      <c r="F1914" s="2405" t="s">
        <v>2839</v>
      </c>
      <c r="G1914" s="2715">
        <f>G1913</f>
        <v>0</v>
      </c>
      <c r="H1914" s="2612">
        <v>4400000</v>
      </c>
      <c r="I1914" s="2511"/>
      <c r="J1914" s="2612"/>
      <c r="K1914" s="2511"/>
      <c r="L1914" s="2613">
        <f>H1914*G1914</f>
        <v>0</v>
      </c>
      <c r="M1914" s="2613">
        <f>I1914*G1914</f>
        <v>0</v>
      </c>
      <c r="N1914" s="2613">
        <f>J1914*G1914</f>
        <v>0</v>
      </c>
      <c r="O1914" s="2613">
        <f>K1914*G1914</f>
        <v>0</v>
      </c>
      <c r="P1914" s="2642"/>
      <c r="Q1914" s="2519"/>
      <c r="R1914" s="2519"/>
      <c r="S1914" s="2519"/>
    </row>
    <row r="1915" spans="1:19" s="2358" customFormat="1" outlineLevel="1">
      <c r="A1915" s="2435" t="str">
        <f t="shared" si="361"/>
        <v/>
      </c>
      <c r="B1915" s="2610" t="s">
        <v>1818</v>
      </c>
      <c r="C1915" s="2660"/>
      <c r="D1915" s="2405"/>
      <c r="E1915" s="2661" t="s">
        <v>2838</v>
      </c>
      <c r="F1915" s="2405" t="s">
        <v>2839</v>
      </c>
      <c r="G1915" s="2715">
        <f>G1914</f>
        <v>0</v>
      </c>
      <c r="H1915" s="2612">
        <v>17400</v>
      </c>
      <c r="I1915" s="2612"/>
      <c r="J1915" s="2511"/>
      <c r="K1915" s="2511"/>
      <c r="L1915" s="2613">
        <f>H1915*G1915</f>
        <v>0</v>
      </c>
      <c r="M1915" s="2613">
        <f>I1915*G1915</f>
        <v>0</v>
      </c>
      <c r="N1915" s="2613">
        <f>J1915*G1915</f>
        <v>0</v>
      </c>
      <c r="O1915" s="2613">
        <f>K1915*G1915</f>
        <v>0</v>
      </c>
      <c r="P1915" s="2642"/>
      <c r="Q1915" s="2519"/>
      <c r="R1915" s="2519"/>
      <c r="S1915" s="2519"/>
    </row>
    <row r="1916" spans="1:19" s="2358" customFormat="1" outlineLevel="1">
      <c r="A1916" s="2435" t="str">
        <f t="shared" si="361"/>
        <v/>
      </c>
      <c r="B1916" s="2610" t="s">
        <v>643</v>
      </c>
      <c r="C1916" s="2660"/>
      <c r="D1916" s="2405" t="s">
        <v>2133</v>
      </c>
      <c r="E1916" s="2661" t="s">
        <v>3185</v>
      </c>
      <c r="F1916" s="2405" t="s">
        <v>2839</v>
      </c>
      <c r="G1916" s="2715">
        <f>G1914</f>
        <v>0</v>
      </c>
      <c r="H1916" s="2661"/>
      <c r="I1916" s="2612"/>
      <c r="J1916" s="2612">
        <v>112286</v>
      </c>
      <c r="K1916" s="2612">
        <v>105970</v>
      </c>
      <c r="L1916" s="2613">
        <f>H1916*G1916</f>
        <v>0</v>
      </c>
      <c r="M1916" s="2613">
        <f>I1916*G1916</f>
        <v>0</v>
      </c>
      <c r="N1916" s="2613">
        <f>J1916*G1916</f>
        <v>0</v>
      </c>
      <c r="O1916" s="2613">
        <f>K1916*G1916</f>
        <v>0</v>
      </c>
      <c r="P1916" s="2642"/>
      <c r="Q1916" s="2519"/>
      <c r="R1916" s="2519"/>
      <c r="S1916" s="2519"/>
    </row>
    <row r="1917" spans="1:19" s="2358" customFormat="1" outlineLevel="1">
      <c r="A1917" s="2435" t="str">
        <f t="shared" si="361"/>
        <v/>
      </c>
      <c r="B1917" s="2654"/>
      <c r="C1917" s="2655">
        <f>IF(G1917&gt;0,1,0)</f>
        <v>0</v>
      </c>
      <c r="D1917" s="2405"/>
      <c r="E1917" s="2656" t="s">
        <v>6291</v>
      </c>
      <c r="F1917" s="2657" t="s">
        <v>2283</v>
      </c>
      <c r="G1917" s="2714">
        <f>G1901*1*0</f>
        <v>0</v>
      </c>
      <c r="H1917" s="2657"/>
      <c r="I1917" s="2657"/>
      <c r="J1917" s="2657"/>
      <c r="K1917" s="2657"/>
      <c r="L1917" s="2658"/>
      <c r="M1917" s="2658"/>
      <c r="N1917" s="2658"/>
      <c r="O1917" s="2659"/>
      <c r="P1917" s="2518"/>
      <c r="Q1917" s="2519"/>
      <c r="R1917" s="2519"/>
      <c r="S1917" s="2519"/>
    </row>
    <row r="1918" spans="1:19" s="2358" customFormat="1" outlineLevel="1">
      <c r="A1918" s="2435" t="str">
        <f t="shared" si="361"/>
        <v/>
      </c>
      <c r="B1918" s="2610" t="s">
        <v>114</v>
      </c>
      <c r="C1918" s="2660"/>
      <c r="D1918" s="2405"/>
      <c r="E1918" s="2661" t="s">
        <v>3008</v>
      </c>
      <c r="F1918" s="2405" t="s">
        <v>2839</v>
      </c>
      <c r="G1918" s="2715">
        <f>G1917</f>
        <v>0</v>
      </c>
      <c r="H1918" s="2612">
        <v>4200000</v>
      </c>
      <c r="I1918" s="2511"/>
      <c r="J1918" s="2612"/>
      <c r="K1918" s="2511"/>
      <c r="L1918" s="2613">
        <f>H1918*G1918</f>
        <v>0</v>
      </c>
      <c r="M1918" s="2613">
        <f>I1918*G1918</f>
        <v>0</v>
      </c>
      <c r="N1918" s="2613">
        <f>J1918*G1918</f>
        <v>0</v>
      </c>
      <c r="O1918" s="2613">
        <f>K1918*G1918</f>
        <v>0</v>
      </c>
      <c r="P1918" s="2518"/>
      <c r="Q1918" s="2519"/>
      <c r="R1918" s="2519"/>
      <c r="S1918" s="2519"/>
    </row>
    <row r="1919" spans="1:19" s="2358" customFormat="1" outlineLevel="1">
      <c r="A1919" s="2435" t="str">
        <f t="shared" si="361"/>
        <v/>
      </c>
      <c r="B1919" s="2610" t="s">
        <v>1818</v>
      </c>
      <c r="C1919" s="2660"/>
      <c r="D1919" s="2405"/>
      <c r="E1919" s="2661" t="s">
        <v>2838</v>
      </c>
      <c r="F1919" s="2405" t="s">
        <v>2839</v>
      </c>
      <c r="G1919" s="2715">
        <f>G1918</f>
        <v>0</v>
      </c>
      <c r="H1919" s="2612">
        <v>17400</v>
      </c>
      <c r="I1919" s="2612"/>
      <c r="J1919" s="2511"/>
      <c r="K1919" s="2511"/>
      <c r="L1919" s="2613">
        <f>H1919*G1919</f>
        <v>0</v>
      </c>
      <c r="M1919" s="2613">
        <f>I1919*G1919</f>
        <v>0</v>
      </c>
      <c r="N1919" s="2613">
        <f>J1919*G1919</f>
        <v>0</v>
      </c>
      <c r="O1919" s="2613">
        <f>K1919*G1919</f>
        <v>0</v>
      </c>
      <c r="P1919" s="2518"/>
      <c r="Q1919" s="2519"/>
      <c r="R1919" s="2519"/>
      <c r="S1919" s="2519"/>
    </row>
    <row r="1920" spans="1:19" s="2358" customFormat="1" outlineLevel="1">
      <c r="A1920" s="2435" t="str">
        <f t="shared" si="361"/>
        <v/>
      </c>
      <c r="B1920" s="2610" t="s">
        <v>644</v>
      </c>
      <c r="C1920" s="2660"/>
      <c r="D1920" s="2405" t="s">
        <v>2133</v>
      </c>
      <c r="E1920" s="2661" t="s">
        <v>3186</v>
      </c>
      <c r="F1920" s="2405" t="s">
        <v>2839</v>
      </c>
      <c r="G1920" s="2715">
        <f>G1918</f>
        <v>0</v>
      </c>
      <c r="H1920" s="2661"/>
      <c r="I1920" s="2612"/>
      <c r="J1920" s="2612">
        <v>112286</v>
      </c>
      <c r="K1920" s="2612">
        <v>105970</v>
      </c>
      <c r="L1920" s="2613">
        <f>H1920*G1920</f>
        <v>0</v>
      </c>
      <c r="M1920" s="2613">
        <f>I1920*G1920</f>
        <v>0</v>
      </c>
      <c r="N1920" s="2613">
        <f>J1920*G1920</f>
        <v>0</v>
      </c>
      <c r="O1920" s="2613">
        <f>K1920*G1920</f>
        <v>0</v>
      </c>
      <c r="P1920" s="2518"/>
      <c r="Q1920" s="2519"/>
      <c r="R1920" s="2519"/>
      <c r="S1920" s="2519"/>
    </row>
    <row r="1921" spans="1:19" s="2358" customFormat="1" outlineLevel="1">
      <c r="A1921" s="2435" t="str">
        <f t="shared" si="361"/>
        <v/>
      </c>
      <c r="B1921" s="2610"/>
      <c r="C1921" s="2511">
        <f>IF(G1921&gt;0,C1913+1,C1913)</f>
        <v>0</v>
      </c>
      <c r="D1921" s="2405"/>
      <c r="E1921" s="2656" t="s">
        <v>2358</v>
      </c>
      <c r="F1921" s="2657" t="s">
        <v>2333</v>
      </c>
      <c r="G1921" s="2714">
        <f>G1913</f>
        <v>0</v>
      </c>
      <c r="H1921" s="2511"/>
      <c r="I1921" s="2511"/>
      <c r="J1921" s="2511"/>
      <c r="K1921" s="2511"/>
      <c r="L1921" s="2511"/>
      <c r="M1921" s="2511"/>
      <c r="N1921" s="2511"/>
      <c r="O1921" s="2663"/>
      <c r="P1921" s="2642"/>
      <c r="Q1921" s="2519"/>
      <c r="R1921" s="2519"/>
      <c r="S1921" s="2519"/>
    </row>
    <row r="1922" spans="1:19" s="2358" customFormat="1" outlineLevel="1">
      <c r="A1922" s="2435" t="str">
        <f t="shared" si="361"/>
        <v/>
      </c>
      <c r="B1922" s="2610" t="s">
        <v>636</v>
      </c>
      <c r="C1922" s="2660"/>
      <c r="D1922" s="2405" t="s">
        <v>5099</v>
      </c>
      <c r="E1922" s="2661" t="s">
        <v>2615</v>
      </c>
      <c r="F1922" s="2405" t="s">
        <v>2563</v>
      </c>
      <c r="G1922" s="2715">
        <f>G1921</f>
        <v>0</v>
      </c>
      <c r="H1922" s="2612">
        <v>354545</v>
      </c>
      <c r="I1922" s="2612"/>
      <c r="J1922" s="2612">
        <v>37220.25</v>
      </c>
      <c r="K1922" s="2511"/>
      <c r="L1922" s="2613">
        <f>H1922*G1922</f>
        <v>0</v>
      </c>
      <c r="M1922" s="2613">
        <f>I1922*G1922</f>
        <v>0</v>
      </c>
      <c r="N1922" s="2613">
        <f>J1922*G1922</f>
        <v>0</v>
      </c>
      <c r="O1922" s="2613">
        <f>K1922*G1922</f>
        <v>0</v>
      </c>
      <c r="P1922" s="2642"/>
      <c r="Q1922" s="2519"/>
      <c r="R1922" s="2519"/>
      <c r="S1922" s="2519"/>
    </row>
    <row r="1923" spans="1:19" s="2358" customFormat="1" outlineLevel="1">
      <c r="A1923" s="2435" t="str">
        <f t="shared" si="361"/>
        <v/>
      </c>
      <c r="B1923" s="2610" t="s">
        <v>566</v>
      </c>
      <c r="C1923" s="2660"/>
      <c r="D1923" s="2405"/>
      <c r="E1923" s="2661" t="s">
        <v>5124</v>
      </c>
      <c r="F1923" s="2405" t="s">
        <v>2445</v>
      </c>
      <c r="G1923" s="2523">
        <f>G1922</f>
        <v>0</v>
      </c>
      <c r="H1923" s="2612">
        <v>92200</v>
      </c>
      <c r="I1923" s="2661"/>
      <c r="J1923" s="2661"/>
      <c r="K1923" s="2511"/>
      <c r="L1923" s="2613">
        <f>H1923*G1923</f>
        <v>0</v>
      </c>
      <c r="M1923" s="2613">
        <f>I1923*G1923</f>
        <v>0</v>
      </c>
      <c r="N1923" s="2613">
        <f>J1923*G1923</f>
        <v>0</v>
      </c>
      <c r="O1923" s="2613">
        <f>K1923*G1923</f>
        <v>0</v>
      </c>
      <c r="P1923" s="2642"/>
      <c r="Q1923" s="2519"/>
      <c r="R1923" s="2519"/>
      <c r="S1923" s="2519"/>
    </row>
    <row r="1924" spans="1:19" s="2358" customFormat="1" outlineLevel="1">
      <c r="A1924" s="2435" t="str">
        <f t="shared" si="361"/>
        <v/>
      </c>
      <c r="B1924" s="2610" t="s">
        <v>639</v>
      </c>
      <c r="C1924" s="2660"/>
      <c r="D1924" s="2405" t="s">
        <v>1751</v>
      </c>
      <c r="E1924" s="2661" t="s">
        <v>5386</v>
      </c>
      <c r="F1924" s="2405" t="s">
        <v>856</v>
      </c>
      <c r="G1924" s="2523">
        <f>1.45*G1922</f>
        <v>0</v>
      </c>
      <c r="H1924" s="2612">
        <v>0</v>
      </c>
      <c r="I1924" s="2612"/>
      <c r="J1924" s="2612">
        <v>296500.89999999997</v>
      </c>
      <c r="K1924" s="2511"/>
      <c r="L1924" s="2613">
        <f>H1924*G1924</f>
        <v>0</v>
      </c>
      <c r="M1924" s="2613">
        <f>I1924*G1924</f>
        <v>0</v>
      </c>
      <c r="N1924" s="2613">
        <f>J1924*G1924</f>
        <v>0</v>
      </c>
      <c r="O1924" s="2613">
        <f>K1924*G1924</f>
        <v>0</v>
      </c>
      <c r="P1924" s="2642"/>
      <c r="Q1924" s="2519"/>
      <c r="R1924" s="2519"/>
      <c r="S1924" s="2519"/>
    </row>
    <row r="1925" spans="1:19" s="2358" customFormat="1" outlineLevel="1">
      <c r="A1925" s="2435" t="str">
        <f t="shared" si="361"/>
        <v/>
      </c>
      <c r="B1925" s="2610" t="s">
        <v>21</v>
      </c>
      <c r="C1925" s="2660"/>
      <c r="D1925" s="2405" t="s">
        <v>5387</v>
      </c>
      <c r="E1925" s="2661" t="s">
        <v>5388</v>
      </c>
      <c r="F1925" s="2405" t="s">
        <v>856</v>
      </c>
      <c r="G1925" s="2523">
        <f>1.37*G1921</f>
        <v>0</v>
      </c>
      <c r="H1925" s="2612">
        <v>0</v>
      </c>
      <c r="I1925" s="2612"/>
      <c r="J1925" s="2612">
        <v>117703.6</v>
      </c>
      <c r="K1925" s="2511"/>
      <c r="L1925" s="2613">
        <f>H1925*G1925</f>
        <v>0</v>
      </c>
      <c r="M1925" s="2613">
        <f>I1925*G1925</f>
        <v>0</v>
      </c>
      <c r="N1925" s="2613">
        <f>J1925*G1925</f>
        <v>0</v>
      </c>
      <c r="O1925" s="2613">
        <f>K1925*G1925</f>
        <v>0</v>
      </c>
      <c r="P1925" s="2642"/>
      <c r="Q1925" s="2519"/>
      <c r="R1925" s="2519"/>
      <c r="S1925" s="2519"/>
    </row>
    <row r="1926" spans="1:19" s="2358" customFormat="1" outlineLevel="1">
      <c r="A1926" s="2435" t="str">
        <f t="shared" si="361"/>
        <v/>
      </c>
      <c r="B1926" s="2610"/>
      <c r="C1926" s="2511">
        <f>IF(G1926&gt;0,C1918+1,C1918)</f>
        <v>0</v>
      </c>
      <c r="D1926" s="2405"/>
      <c r="E1926" s="2656" t="s">
        <v>3731</v>
      </c>
      <c r="F1926" s="2657" t="s">
        <v>2333</v>
      </c>
      <c r="G1926" s="2714">
        <f>G1917</f>
        <v>0</v>
      </c>
      <c r="H1926" s="2511"/>
      <c r="I1926" s="2511"/>
      <c r="J1926" s="2511"/>
      <c r="K1926" s="2511"/>
      <c r="L1926" s="2511"/>
      <c r="M1926" s="2511"/>
      <c r="N1926" s="2511"/>
      <c r="O1926" s="2663"/>
      <c r="P1926" s="2518"/>
      <c r="Q1926" s="2519"/>
      <c r="R1926" s="2519"/>
      <c r="S1926" s="2519"/>
    </row>
    <row r="1927" spans="1:19" s="2358" customFormat="1" outlineLevel="1">
      <c r="A1927" s="2435" t="str">
        <f t="shared" si="361"/>
        <v/>
      </c>
      <c r="B1927" s="2610" t="s">
        <v>636</v>
      </c>
      <c r="C1927" s="2660"/>
      <c r="D1927" s="2405" t="s">
        <v>5099</v>
      </c>
      <c r="E1927" s="2661" t="s">
        <v>2615</v>
      </c>
      <c r="F1927" s="2405" t="s">
        <v>2563</v>
      </c>
      <c r="G1927" s="2715">
        <f>G1926</f>
        <v>0</v>
      </c>
      <c r="H1927" s="2612">
        <v>354545</v>
      </c>
      <c r="I1927" s="2612"/>
      <c r="J1927" s="2612">
        <v>37220.25</v>
      </c>
      <c r="K1927" s="2511"/>
      <c r="L1927" s="2613">
        <f>H1927*G1927</f>
        <v>0</v>
      </c>
      <c r="M1927" s="2613">
        <f>I1927*G1927</f>
        <v>0</v>
      </c>
      <c r="N1927" s="2613">
        <f>J1927*G1927</f>
        <v>0</v>
      </c>
      <c r="O1927" s="2613">
        <f>K1927*G1927</f>
        <v>0</v>
      </c>
      <c r="P1927" s="2518"/>
      <c r="Q1927" s="2519"/>
      <c r="R1927" s="2519"/>
      <c r="S1927" s="2519"/>
    </row>
    <row r="1928" spans="1:19" s="2358" customFormat="1" outlineLevel="1">
      <c r="A1928" s="2435" t="str">
        <f t="shared" si="361"/>
        <v/>
      </c>
      <c r="B1928" s="2610" t="s">
        <v>566</v>
      </c>
      <c r="C1928" s="2660"/>
      <c r="D1928" s="2405"/>
      <c r="E1928" s="2661" t="s">
        <v>5124</v>
      </c>
      <c r="F1928" s="2405" t="s">
        <v>2445</v>
      </c>
      <c r="G1928" s="2715">
        <f>G1927</f>
        <v>0</v>
      </c>
      <c r="H1928" s="2612">
        <v>92200</v>
      </c>
      <c r="I1928" s="2661"/>
      <c r="J1928" s="2661"/>
      <c r="K1928" s="2511"/>
      <c r="L1928" s="2613">
        <f>H1928*G1928</f>
        <v>0</v>
      </c>
      <c r="M1928" s="2613">
        <f>I1928*G1928</f>
        <v>0</v>
      </c>
      <c r="N1928" s="2613">
        <f>J1928*G1928</f>
        <v>0</v>
      </c>
      <c r="O1928" s="2613">
        <f>K1928*G1928</f>
        <v>0</v>
      </c>
      <c r="P1928" s="2518"/>
      <c r="Q1928" s="2519"/>
      <c r="R1928" s="2519"/>
      <c r="S1928" s="2519"/>
    </row>
    <row r="1929" spans="1:19" s="2358" customFormat="1" outlineLevel="1">
      <c r="A1929" s="2435" t="str">
        <f t="shared" si="361"/>
        <v/>
      </c>
      <c r="B1929" s="2610" t="s">
        <v>639</v>
      </c>
      <c r="C1929" s="2660"/>
      <c r="D1929" s="2405" t="s">
        <v>1751</v>
      </c>
      <c r="E1929" s="2661" t="s">
        <v>5386</v>
      </c>
      <c r="F1929" s="2405" t="s">
        <v>856</v>
      </c>
      <c r="G1929" s="2523">
        <f>1.48*G1927</f>
        <v>0</v>
      </c>
      <c r="H1929" s="2612">
        <v>0</v>
      </c>
      <c r="I1929" s="2612"/>
      <c r="J1929" s="2612">
        <v>296500.89999999997</v>
      </c>
      <c r="K1929" s="2511"/>
      <c r="L1929" s="2613">
        <f>H1929*G1929</f>
        <v>0</v>
      </c>
      <c r="M1929" s="2613">
        <f>I1929*G1929</f>
        <v>0</v>
      </c>
      <c r="N1929" s="2613">
        <f>J1929*G1929</f>
        <v>0</v>
      </c>
      <c r="O1929" s="2613">
        <f>K1929*G1929</f>
        <v>0</v>
      </c>
      <c r="P1929" s="2518"/>
      <c r="Q1929" s="2519"/>
      <c r="R1929" s="2519"/>
      <c r="S1929" s="2519"/>
    </row>
    <row r="1930" spans="1:19" s="2358" customFormat="1" outlineLevel="1">
      <c r="A1930" s="2435" t="str">
        <f t="shared" si="361"/>
        <v/>
      </c>
      <c r="B1930" s="2610" t="s">
        <v>21</v>
      </c>
      <c r="C1930" s="2660"/>
      <c r="D1930" s="2405" t="s">
        <v>5387</v>
      </c>
      <c r="E1930" s="2661" t="s">
        <v>5388</v>
      </c>
      <c r="F1930" s="2405" t="s">
        <v>856</v>
      </c>
      <c r="G1930" s="2523">
        <f>1.39*G1926</f>
        <v>0</v>
      </c>
      <c r="H1930" s="2612">
        <v>0</v>
      </c>
      <c r="I1930" s="2612"/>
      <c r="J1930" s="2612">
        <v>117703.6</v>
      </c>
      <c r="K1930" s="2511"/>
      <c r="L1930" s="2613">
        <f>H1930*G1930</f>
        <v>0</v>
      </c>
      <c r="M1930" s="2613">
        <f>I1930*G1930</f>
        <v>0</v>
      </c>
      <c r="N1930" s="2613">
        <f>J1930*G1930</f>
        <v>0</v>
      </c>
      <c r="O1930" s="2613">
        <f>K1930*G1930</f>
        <v>0</v>
      </c>
      <c r="P1930" s="2518"/>
      <c r="Q1930" s="2519"/>
      <c r="R1930" s="2519"/>
      <c r="S1930" s="2519"/>
    </row>
    <row r="1931" spans="1:19" s="2358" customFormat="1" outlineLevel="1">
      <c r="A1931" s="2435" t="str">
        <f t="shared" si="361"/>
        <v/>
      </c>
      <c r="B1931" s="2514"/>
      <c r="C1931" s="2511">
        <f>IF(G1931&gt;0,C1921+1,C1921)</f>
        <v>0</v>
      </c>
      <c r="D1931" s="2664"/>
      <c r="E1931" s="2656" t="s">
        <v>3732</v>
      </c>
      <c r="F1931" s="2655" t="s">
        <v>2391</v>
      </c>
      <c r="G1931" s="2701">
        <f>G1901*1</f>
        <v>0</v>
      </c>
      <c r="H1931" s="2666"/>
      <c r="I1931" s="2666"/>
      <c r="J1931" s="2666"/>
      <c r="K1931" s="2666"/>
      <c r="L1931" s="2666"/>
      <c r="M1931" s="2666"/>
      <c r="N1931" s="2666"/>
      <c r="O1931" s="2666"/>
      <c r="P1931" s="2702"/>
      <c r="Q1931" s="2519"/>
      <c r="R1931" s="2519"/>
      <c r="S1931" s="2519"/>
    </row>
    <row r="1932" spans="1:19" s="2358" customFormat="1" ht="14.4" outlineLevel="1">
      <c r="A1932" s="2435" t="str">
        <f>A1931</f>
        <v/>
      </c>
      <c r="B1932" s="2514"/>
      <c r="C1932" s="2511"/>
      <c r="D1932" s="2667"/>
      <c r="E1932" s="2520" t="s">
        <v>6207</v>
      </c>
      <c r="F1932" s="2521"/>
      <c r="G1932" s="2703"/>
      <c r="H1932" s="2668"/>
      <c r="I1932" s="2668"/>
      <c r="J1932" s="2668"/>
      <c r="K1932" s="2668"/>
      <c r="L1932" s="2668"/>
      <c r="M1932" s="2668"/>
      <c r="N1932" s="2668"/>
      <c r="O1932" s="2668"/>
      <c r="P1932" s="2702"/>
      <c r="Q1932" s="2519"/>
      <c r="R1932" s="2519"/>
      <c r="S1932" s="2519"/>
    </row>
    <row r="1933" spans="1:19" s="2358" customFormat="1" outlineLevel="1">
      <c r="A1933" s="2435" t="str">
        <f>IF(G1933&lt;&gt;0,1,"")</f>
        <v/>
      </c>
      <c r="B1933" s="2505" t="s">
        <v>5903</v>
      </c>
      <c r="C1933" s="2511"/>
      <c r="D1933" s="2405">
        <v>0</v>
      </c>
      <c r="E1933" s="2447" t="s">
        <v>5904</v>
      </c>
      <c r="F1933" s="2405" t="s">
        <v>2254</v>
      </c>
      <c r="G1933" s="2703">
        <f>+G1931*2.033*2*18.4</f>
        <v>0</v>
      </c>
      <c r="H1933" s="2612">
        <v>31625</v>
      </c>
      <c r="I1933" s="2669"/>
      <c r="J1933" s="2612"/>
      <c r="K1933" s="2612">
        <v>0</v>
      </c>
      <c r="L1933" s="2613">
        <f>H1933*G1933</f>
        <v>0</v>
      </c>
      <c r="M1933" s="2613">
        <f>I1933*G1933</f>
        <v>0</v>
      </c>
      <c r="N1933" s="2612"/>
      <c r="O1933" s="2613">
        <f>K1933*G1933</f>
        <v>0</v>
      </c>
      <c r="P1933" s="2702"/>
      <c r="Q1933" s="2519">
        <f>L1933/2</f>
        <v>0</v>
      </c>
      <c r="R1933" s="2519"/>
      <c r="S1933" s="2519"/>
    </row>
    <row r="1934" spans="1:19" s="2358" customFormat="1" outlineLevel="1">
      <c r="A1934" s="2435" t="str">
        <f t="shared" ref="A1934:A1947" si="362">IF(G1934&lt;&gt;0,1,"")</f>
        <v/>
      </c>
      <c r="B1934" s="2505" t="s">
        <v>5905</v>
      </c>
      <c r="C1934" s="2511"/>
      <c r="D1934" s="2405">
        <v>0</v>
      </c>
      <c r="E1934" s="2447" t="s">
        <v>5906</v>
      </c>
      <c r="F1934" s="2405" t="s">
        <v>2254</v>
      </c>
      <c r="G1934" s="2703">
        <f>+G1931*0.4*2*8.59</f>
        <v>0</v>
      </c>
      <c r="H1934" s="2612">
        <v>31625</v>
      </c>
      <c r="I1934" s="2669"/>
      <c r="J1934" s="2612"/>
      <c r="K1934" s="2612">
        <v>0</v>
      </c>
      <c r="L1934" s="2613">
        <f t="shared" ref="L1934:L1947" si="363">H1934*G1934</f>
        <v>0</v>
      </c>
      <c r="M1934" s="2613">
        <f t="shared" ref="M1934:M1947" si="364">I1934*G1934</f>
        <v>0</v>
      </c>
      <c r="N1934" s="2612"/>
      <c r="O1934" s="2613">
        <f t="shared" ref="O1934:O1947" si="365">K1934*G1934</f>
        <v>0</v>
      </c>
      <c r="P1934" s="2702"/>
      <c r="Q1934" s="2519">
        <f t="shared" ref="Q1934:Q1947" si="366">L1934/2</f>
        <v>0</v>
      </c>
      <c r="R1934" s="2519"/>
      <c r="S1934" s="2519"/>
    </row>
    <row r="1935" spans="1:19" s="2358" customFormat="1" outlineLevel="1">
      <c r="A1935" s="2435" t="str">
        <f t="shared" si="362"/>
        <v/>
      </c>
      <c r="B1935" s="2505" t="s">
        <v>5909</v>
      </c>
      <c r="C1935" s="2511"/>
      <c r="D1935" s="2405">
        <v>0</v>
      </c>
      <c r="E1935" s="2447" t="s">
        <v>5910</v>
      </c>
      <c r="F1935" s="2405" t="s">
        <v>2254</v>
      </c>
      <c r="G1935" s="2703">
        <f>+G1931*1.428*1*18.4</f>
        <v>0</v>
      </c>
      <c r="H1935" s="2612">
        <v>31625</v>
      </c>
      <c r="I1935" s="2669"/>
      <c r="J1935" s="2612"/>
      <c r="K1935" s="2612">
        <v>0</v>
      </c>
      <c r="L1935" s="2613">
        <f t="shared" si="363"/>
        <v>0</v>
      </c>
      <c r="M1935" s="2613">
        <f t="shared" si="364"/>
        <v>0</v>
      </c>
      <c r="N1935" s="2612"/>
      <c r="O1935" s="2613">
        <f t="shared" si="365"/>
        <v>0</v>
      </c>
      <c r="P1935" s="2702"/>
      <c r="Q1935" s="2519">
        <f t="shared" si="366"/>
        <v>0</v>
      </c>
      <c r="R1935" s="2519"/>
      <c r="S1935" s="2519"/>
    </row>
    <row r="1936" spans="1:19" s="2358" customFormat="1" outlineLevel="1">
      <c r="A1936" s="2435" t="str">
        <f t="shared" si="362"/>
        <v/>
      </c>
      <c r="B1936" s="2505" t="s">
        <v>5911</v>
      </c>
      <c r="C1936" s="2511"/>
      <c r="D1936" s="2405">
        <v>0</v>
      </c>
      <c r="E1936" s="2447" t="s">
        <v>5912</v>
      </c>
      <c r="F1936" s="2405" t="s">
        <v>2254</v>
      </c>
      <c r="G1936" s="2703">
        <f>+G1931*0.75*1*8.59</f>
        <v>0</v>
      </c>
      <c r="H1936" s="2612">
        <v>31625</v>
      </c>
      <c r="I1936" s="2669"/>
      <c r="J1936" s="2612"/>
      <c r="K1936" s="2612">
        <v>0</v>
      </c>
      <c r="L1936" s="2613">
        <f t="shared" si="363"/>
        <v>0</v>
      </c>
      <c r="M1936" s="2613">
        <f t="shared" si="364"/>
        <v>0</v>
      </c>
      <c r="N1936" s="2612"/>
      <c r="O1936" s="2613">
        <f t="shared" si="365"/>
        <v>0</v>
      </c>
      <c r="P1936" s="2702"/>
      <c r="Q1936" s="2519">
        <f t="shared" si="366"/>
        <v>0</v>
      </c>
      <c r="R1936" s="2519"/>
      <c r="S1936" s="2519"/>
    </row>
    <row r="1937" spans="1:19" s="2358" customFormat="1" outlineLevel="1">
      <c r="A1937" s="2435" t="str">
        <f t="shared" si="362"/>
        <v/>
      </c>
      <c r="B1937" s="2505" t="s">
        <v>5913</v>
      </c>
      <c r="C1937" s="2511"/>
      <c r="D1937" s="2405">
        <v>0</v>
      </c>
      <c r="E1937" s="2447" t="s">
        <v>5914</v>
      </c>
      <c r="F1937" s="2405" t="s">
        <v>2254</v>
      </c>
      <c r="G1937" s="2703">
        <f>+G1931*0.75*1*8.59</f>
        <v>0</v>
      </c>
      <c r="H1937" s="2612">
        <v>31625</v>
      </c>
      <c r="I1937" s="2669"/>
      <c r="J1937" s="2612"/>
      <c r="K1937" s="2612">
        <v>0</v>
      </c>
      <c r="L1937" s="2613">
        <f t="shared" si="363"/>
        <v>0</v>
      </c>
      <c r="M1937" s="2613">
        <f t="shared" si="364"/>
        <v>0</v>
      </c>
      <c r="N1937" s="2612"/>
      <c r="O1937" s="2613">
        <f t="shared" si="365"/>
        <v>0</v>
      </c>
      <c r="P1937" s="2702"/>
      <c r="Q1937" s="2519">
        <f t="shared" si="366"/>
        <v>0</v>
      </c>
      <c r="R1937" s="2519"/>
      <c r="S1937" s="2519"/>
    </row>
    <row r="1938" spans="1:19" s="2358" customFormat="1" outlineLevel="1">
      <c r="A1938" s="2435" t="str">
        <f t="shared" si="362"/>
        <v/>
      </c>
      <c r="B1938" s="2505" t="s">
        <v>5917</v>
      </c>
      <c r="C1938" s="2511"/>
      <c r="D1938" s="2405">
        <v>0</v>
      </c>
      <c r="E1938" s="2447" t="s">
        <v>5918</v>
      </c>
      <c r="F1938" s="2405" t="s">
        <v>2254</v>
      </c>
      <c r="G1938" s="2703">
        <f>+G1931*1.5*2*18.4</f>
        <v>0</v>
      </c>
      <c r="H1938" s="2612">
        <v>31625</v>
      </c>
      <c r="I1938" s="2669"/>
      <c r="J1938" s="2612"/>
      <c r="K1938" s="2612">
        <v>0</v>
      </c>
      <c r="L1938" s="2613">
        <f t="shared" si="363"/>
        <v>0</v>
      </c>
      <c r="M1938" s="2613">
        <f t="shared" si="364"/>
        <v>0</v>
      </c>
      <c r="N1938" s="2612"/>
      <c r="O1938" s="2613">
        <f t="shared" si="365"/>
        <v>0</v>
      </c>
      <c r="P1938" s="2702"/>
      <c r="Q1938" s="2519">
        <f t="shared" si="366"/>
        <v>0</v>
      </c>
      <c r="R1938" s="2519"/>
      <c r="S1938" s="2519"/>
    </row>
    <row r="1939" spans="1:19" s="2358" customFormat="1" outlineLevel="1">
      <c r="A1939" s="2435" t="str">
        <f t="shared" si="362"/>
        <v/>
      </c>
      <c r="B1939" s="2505" t="s">
        <v>5919</v>
      </c>
      <c r="C1939" s="2511"/>
      <c r="D1939" s="2405">
        <v>0</v>
      </c>
      <c r="E1939" s="2447" t="s">
        <v>5920</v>
      </c>
      <c r="F1939" s="2405" t="s">
        <v>2254</v>
      </c>
      <c r="G1939" s="2703">
        <f>+G1931*0.7*2*8.59</f>
        <v>0</v>
      </c>
      <c r="H1939" s="2612">
        <v>31625</v>
      </c>
      <c r="I1939" s="2669"/>
      <c r="J1939" s="2612"/>
      <c r="K1939" s="2612">
        <v>0</v>
      </c>
      <c r="L1939" s="2613">
        <f t="shared" si="363"/>
        <v>0</v>
      </c>
      <c r="M1939" s="2613">
        <f t="shared" si="364"/>
        <v>0</v>
      </c>
      <c r="N1939" s="2612"/>
      <c r="O1939" s="2613">
        <f t="shared" si="365"/>
        <v>0</v>
      </c>
      <c r="P1939" s="2702"/>
      <c r="Q1939" s="2519">
        <f t="shared" si="366"/>
        <v>0</v>
      </c>
      <c r="R1939" s="2519"/>
      <c r="S1939" s="2519"/>
    </row>
    <row r="1940" spans="1:19" s="2358" customFormat="1" outlineLevel="1">
      <c r="A1940" s="2435" t="str">
        <f t="shared" si="362"/>
        <v/>
      </c>
      <c r="B1940" s="2505" t="s">
        <v>5923</v>
      </c>
      <c r="C1940" s="2511"/>
      <c r="D1940" s="2405">
        <v>0</v>
      </c>
      <c r="E1940" s="2447" t="s">
        <v>5924</v>
      </c>
      <c r="F1940" s="2405" t="s">
        <v>2254</v>
      </c>
      <c r="G1940" s="2703">
        <f>+G1931*0.8*1*18.4</f>
        <v>0</v>
      </c>
      <c r="H1940" s="2612">
        <v>31625</v>
      </c>
      <c r="I1940" s="2669"/>
      <c r="J1940" s="2612"/>
      <c r="K1940" s="2612">
        <v>0</v>
      </c>
      <c r="L1940" s="2613">
        <f t="shared" si="363"/>
        <v>0</v>
      </c>
      <c r="M1940" s="2613">
        <f t="shared" si="364"/>
        <v>0</v>
      </c>
      <c r="N1940" s="2612"/>
      <c r="O1940" s="2613">
        <f t="shared" si="365"/>
        <v>0</v>
      </c>
      <c r="P1940" s="2702"/>
      <c r="Q1940" s="2519">
        <f t="shared" si="366"/>
        <v>0</v>
      </c>
      <c r="R1940" s="2519"/>
      <c r="S1940" s="2519"/>
    </row>
    <row r="1941" spans="1:19" s="2358" customFormat="1" outlineLevel="1">
      <c r="A1941" s="2435" t="str">
        <f t="shared" si="362"/>
        <v/>
      </c>
      <c r="B1941" s="2505" t="s">
        <v>5925</v>
      </c>
      <c r="C1941" s="2511"/>
      <c r="D1941" s="2405">
        <v>0</v>
      </c>
      <c r="E1941" s="2447" t="s">
        <v>5926</v>
      </c>
      <c r="F1941" s="2405" t="s">
        <v>2254</v>
      </c>
      <c r="G1941" s="2703">
        <f>+G1931*0.7*1*8.59</f>
        <v>0</v>
      </c>
      <c r="H1941" s="2612">
        <v>31625</v>
      </c>
      <c r="I1941" s="2669"/>
      <c r="J1941" s="2612"/>
      <c r="K1941" s="2612">
        <v>0</v>
      </c>
      <c r="L1941" s="2613">
        <f t="shared" si="363"/>
        <v>0</v>
      </c>
      <c r="M1941" s="2613">
        <f t="shared" si="364"/>
        <v>0</v>
      </c>
      <c r="N1941" s="2612"/>
      <c r="O1941" s="2613">
        <f t="shared" si="365"/>
        <v>0</v>
      </c>
      <c r="P1941" s="2702"/>
      <c r="Q1941" s="2519">
        <f t="shared" si="366"/>
        <v>0</v>
      </c>
      <c r="R1941" s="2519"/>
      <c r="S1941" s="2519"/>
    </row>
    <row r="1942" spans="1:19" s="2358" customFormat="1" outlineLevel="1">
      <c r="A1942" s="2435" t="str">
        <f t="shared" si="362"/>
        <v/>
      </c>
      <c r="B1942" s="2505" t="s">
        <v>5929</v>
      </c>
      <c r="C1942" s="2511"/>
      <c r="D1942" s="2405">
        <v>0</v>
      </c>
      <c r="E1942" s="2447" t="s">
        <v>5930</v>
      </c>
      <c r="F1942" s="2405" t="s">
        <v>2254</v>
      </c>
      <c r="G1942" s="2703">
        <f>G1931*0.8*1*18.4</f>
        <v>0</v>
      </c>
      <c r="H1942" s="2612">
        <v>31625</v>
      </c>
      <c r="I1942" s="2669"/>
      <c r="J1942" s="2612"/>
      <c r="K1942" s="2612">
        <v>0</v>
      </c>
      <c r="L1942" s="2613">
        <f t="shared" si="363"/>
        <v>0</v>
      </c>
      <c r="M1942" s="2613">
        <f t="shared" si="364"/>
        <v>0</v>
      </c>
      <c r="N1942" s="2612"/>
      <c r="O1942" s="2613">
        <f t="shared" si="365"/>
        <v>0</v>
      </c>
      <c r="P1942" s="2702"/>
      <c r="Q1942" s="2519">
        <f t="shared" si="366"/>
        <v>0</v>
      </c>
      <c r="R1942" s="2519"/>
      <c r="S1942" s="2519"/>
    </row>
    <row r="1943" spans="1:19" s="2358" customFormat="1" outlineLevel="1">
      <c r="A1943" s="2435" t="str">
        <f t="shared" si="362"/>
        <v/>
      </c>
      <c r="B1943" s="2505" t="s">
        <v>4877</v>
      </c>
      <c r="C1943" s="2511"/>
      <c r="D1943" s="2405">
        <v>0</v>
      </c>
      <c r="E1943" s="2447" t="s">
        <v>5117</v>
      </c>
      <c r="F1943" s="2405" t="s">
        <v>2445</v>
      </c>
      <c r="G1943" s="2703">
        <f>+G1931*9</f>
        <v>0</v>
      </c>
      <c r="H1943" s="2612">
        <v>109000</v>
      </c>
      <c r="I1943" s="2669"/>
      <c r="J1943" s="2612"/>
      <c r="K1943" s="2612">
        <v>0</v>
      </c>
      <c r="L1943" s="2613">
        <f t="shared" si="363"/>
        <v>0</v>
      </c>
      <c r="M1943" s="2613">
        <f t="shared" si="364"/>
        <v>0</v>
      </c>
      <c r="N1943" s="2612"/>
      <c r="O1943" s="2613">
        <f t="shared" si="365"/>
        <v>0</v>
      </c>
      <c r="P1943" s="2702"/>
      <c r="Q1943" s="2519">
        <f t="shared" si="366"/>
        <v>0</v>
      </c>
      <c r="R1943" s="2519"/>
      <c r="S1943" s="2519"/>
    </row>
    <row r="1944" spans="1:19" s="2358" customFormat="1" outlineLevel="1">
      <c r="A1944" s="2435" t="str">
        <f t="shared" si="362"/>
        <v/>
      </c>
      <c r="B1944" s="2505" t="s">
        <v>5112</v>
      </c>
      <c r="C1944" s="2511"/>
      <c r="D1944" s="2405">
        <v>0</v>
      </c>
      <c r="E1944" s="2447" t="s">
        <v>5113</v>
      </c>
      <c r="F1944" s="2405" t="s">
        <v>2445</v>
      </c>
      <c r="G1944" s="2703">
        <f>+G1931*2</f>
        <v>0</v>
      </c>
      <c r="H1944" s="2612">
        <v>42400</v>
      </c>
      <c r="I1944" s="2669"/>
      <c r="J1944" s="2612"/>
      <c r="K1944" s="2612">
        <v>0</v>
      </c>
      <c r="L1944" s="2613">
        <f t="shared" si="363"/>
        <v>0</v>
      </c>
      <c r="M1944" s="2613">
        <f t="shared" si="364"/>
        <v>0</v>
      </c>
      <c r="N1944" s="2612"/>
      <c r="O1944" s="2613">
        <f t="shared" si="365"/>
        <v>0</v>
      </c>
      <c r="P1944" s="2702"/>
      <c r="Q1944" s="2519">
        <f t="shared" si="366"/>
        <v>0</v>
      </c>
      <c r="R1944" s="2519"/>
      <c r="S1944" s="2519"/>
    </row>
    <row r="1945" spans="1:19" s="2358" customFormat="1" outlineLevel="1">
      <c r="A1945" s="2435" t="str">
        <f t="shared" si="362"/>
        <v/>
      </c>
      <c r="B1945" s="2505" t="s">
        <v>1785</v>
      </c>
      <c r="C1945" s="2511"/>
      <c r="D1945" s="2405">
        <v>0</v>
      </c>
      <c r="E1945" s="2447" t="s">
        <v>2670</v>
      </c>
      <c r="F1945" s="2405" t="s">
        <v>2445</v>
      </c>
      <c r="G1945" s="2703">
        <f>+G1931*4</f>
        <v>0</v>
      </c>
      <c r="H1945" s="2612">
        <v>34800</v>
      </c>
      <c r="I1945" s="2669"/>
      <c r="J1945" s="2612"/>
      <c r="K1945" s="2612">
        <v>0</v>
      </c>
      <c r="L1945" s="2613">
        <f t="shared" si="363"/>
        <v>0</v>
      </c>
      <c r="M1945" s="2613">
        <f t="shared" si="364"/>
        <v>0</v>
      </c>
      <c r="N1945" s="2612"/>
      <c r="O1945" s="2613">
        <f t="shared" si="365"/>
        <v>0</v>
      </c>
      <c r="P1945" s="2702"/>
      <c r="Q1945" s="2519">
        <f t="shared" si="366"/>
        <v>0</v>
      </c>
      <c r="R1945" s="2519"/>
      <c r="S1945" s="2519"/>
    </row>
    <row r="1946" spans="1:19" s="2358" customFormat="1" outlineLevel="1">
      <c r="A1946" s="2435" t="str">
        <f t="shared" si="362"/>
        <v/>
      </c>
      <c r="B1946" s="2505" t="s">
        <v>1612</v>
      </c>
      <c r="C1946" s="2511"/>
      <c r="D1946" s="2405">
        <v>0</v>
      </c>
      <c r="E1946" s="2447" t="s">
        <v>2653</v>
      </c>
      <c r="F1946" s="2405" t="s">
        <v>2445</v>
      </c>
      <c r="G1946" s="2703">
        <f>+G1931*6</f>
        <v>0</v>
      </c>
      <c r="H1946" s="2612">
        <v>13400</v>
      </c>
      <c r="I1946" s="2669"/>
      <c r="J1946" s="2612"/>
      <c r="K1946" s="2612">
        <v>0</v>
      </c>
      <c r="L1946" s="2613">
        <f t="shared" si="363"/>
        <v>0</v>
      </c>
      <c r="M1946" s="2613">
        <f t="shared" si="364"/>
        <v>0</v>
      </c>
      <c r="N1946" s="2612"/>
      <c r="O1946" s="2613">
        <f t="shared" si="365"/>
        <v>0</v>
      </c>
      <c r="P1946" s="2702"/>
      <c r="Q1946" s="2519">
        <f t="shared" si="366"/>
        <v>0</v>
      </c>
      <c r="R1946" s="2519"/>
      <c r="S1946" s="2519"/>
    </row>
    <row r="1947" spans="1:19" s="2358" customFormat="1" outlineLevel="1">
      <c r="A1947" s="2435" t="str">
        <f t="shared" si="362"/>
        <v/>
      </c>
      <c r="B1947" s="2505" t="s">
        <v>1790</v>
      </c>
      <c r="C1947" s="2511"/>
      <c r="D1947" s="2405">
        <v>0</v>
      </c>
      <c r="E1947" s="2447" t="s">
        <v>2647</v>
      </c>
      <c r="F1947" s="2405" t="s">
        <v>2445</v>
      </c>
      <c r="G1947" s="2703">
        <f>+G1931*12</f>
        <v>0</v>
      </c>
      <c r="H1947" s="2612">
        <v>12400</v>
      </c>
      <c r="I1947" s="2669"/>
      <c r="J1947" s="2612"/>
      <c r="K1947" s="2612">
        <v>0</v>
      </c>
      <c r="L1947" s="2613">
        <f t="shared" si="363"/>
        <v>0</v>
      </c>
      <c r="M1947" s="2613">
        <f t="shared" si="364"/>
        <v>0</v>
      </c>
      <c r="N1947" s="2612"/>
      <c r="O1947" s="2613">
        <f t="shared" si="365"/>
        <v>0</v>
      </c>
      <c r="P1947" s="2702"/>
      <c r="Q1947" s="2519">
        <f t="shared" si="366"/>
        <v>0</v>
      </c>
      <c r="R1947" s="2519"/>
      <c r="S1947" s="2519"/>
    </row>
    <row r="1948" spans="1:19" s="2358" customFormat="1" outlineLevel="1">
      <c r="A1948" s="2435" t="str">
        <f>IF(G1948&lt;&gt;0,1,"")</f>
        <v/>
      </c>
      <c r="B1948" s="2505" t="s">
        <v>1083</v>
      </c>
      <c r="C1948" s="2511"/>
      <c r="D1948" s="2405">
        <v>0</v>
      </c>
      <c r="E1948" s="2447" t="s">
        <v>2660</v>
      </c>
      <c r="F1948" s="2405" t="s">
        <v>2445</v>
      </c>
      <c r="G1948" s="2703"/>
      <c r="H1948" s="2612">
        <v>29900</v>
      </c>
      <c r="I1948" s="2669"/>
      <c r="J1948" s="2612"/>
      <c r="K1948" s="2612">
        <v>0</v>
      </c>
      <c r="L1948" s="2613">
        <f>H1948*G1948</f>
        <v>0</v>
      </c>
      <c r="M1948" s="2613">
        <f>I1948*G1948</f>
        <v>0</v>
      </c>
      <c r="N1948" s="2612"/>
      <c r="O1948" s="2613">
        <f>K1948*G1948</f>
        <v>0</v>
      </c>
      <c r="P1948" s="2702"/>
      <c r="Q1948" s="2519">
        <f>L1948/4</f>
        <v>0</v>
      </c>
      <c r="R1948" s="2519"/>
      <c r="S1948" s="2519"/>
    </row>
    <row r="1949" spans="1:19" s="2358" customFormat="1" outlineLevel="1">
      <c r="A1949" s="2435" t="str">
        <f>IF(G1949&lt;&gt;0,1,"")</f>
        <v/>
      </c>
      <c r="B1949" s="2505" t="s">
        <v>1079</v>
      </c>
      <c r="C1949" s="2511"/>
      <c r="D1949" s="2405">
        <v>0</v>
      </c>
      <c r="E1949" s="2447" t="s">
        <v>2659</v>
      </c>
      <c r="F1949" s="2405" t="s">
        <v>2445</v>
      </c>
      <c r="G1949" s="2703"/>
      <c r="H1949" s="2612">
        <v>27900</v>
      </c>
      <c r="I1949" s="2669"/>
      <c r="J1949" s="2612"/>
      <c r="K1949" s="2612">
        <v>0</v>
      </c>
      <c r="L1949" s="2613">
        <f>H1949*G1949</f>
        <v>0</v>
      </c>
      <c r="M1949" s="2613">
        <f>I1949*G1949</f>
        <v>0</v>
      </c>
      <c r="N1949" s="2612"/>
      <c r="O1949" s="2613">
        <f>K1949*G1949</f>
        <v>0</v>
      </c>
      <c r="P1949" s="2702"/>
      <c r="Q1949" s="2519"/>
      <c r="R1949" s="2519"/>
      <c r="S1949" s="2519"/>
    </row>
    <row r="1950" spans="1:19" s="2358" customFormat="1" outlineLevel="1">
      <c r="A1950" s="2435" t="str">
        <f>IF(G1950&lt;&gt;0,1,"")</f>
        <v/>
      </c>
      <c r="B1950" s="2374" t="s">
        <v>5487</v>
      </c>
      <c r="C1950" s="2511"/>
      <c r="D1950" s="2405" t="s">
        <v>5488</v>
      </c>
      <c r="E1950" s="2447" t="s">
        <v>5489</v>
      </c>
      <c r="F1950" s="2405" t="s">
        <v>2254</v>
      </c>
      <c r="G1950" s="2703">
        <f>SUM(G1933:G1942)</f>
        <v>0</v>
      </c>
      <c r="H1950" s="2612">
        <v>0</v>
      </c>
      <c r="I1950" s="2669"/>
      <c r="J1950" s="2612">
        <v>2025</v>
      </c>
      <c r="K1950" s="2612">
        <v>0</v>
      </c>
      <c r="L1950" s="2613">
        <f>H1950*G1950</f>
        <v>0</v>
      </c>
      <c r="M1950" s="2613">
        <f>I1950*G1950</f>
        <v>0</v>
      </c>
      <c r="N1950" s="2517">
        <f>J1950*G1950</f>
        <v>0</v>
      </c>
      <c r="O1950" s="2613">
        <f>K1950*G1950</f>
        <v>0</v>
      </c>
      <c r="P1950" s="2702"/>
      <c r="Q1950" s="2519"/>
      <c r="R1950" s="2519"/>
      <c r="S1950" s="2519"/>
    </row>
    <row r="1951" spans="1:19" s="2358" customFormat="1" outlineLevel="1">
      <c r="A1951" s="2435" t="str">
        <f>IF(G1951&lt;&gt;0,1,"")</f>
        <v/>
      </c>
      <c r="B1951" s="2514"/>
      <c r="C1951" s="2511">
        <f>IF(G1951&gt;0,C1931+1,C1927)</f>
        <v>0</v>
      </c>
      <c r="D1951" s="2512"/>
      <c r="E1951" s="2670" t="s">
        <v>6311</v>
      </c>
      <c r="F1951" s="2511" t="s">
        <v>2391</v>
      </c>
      <c r="G1951" s="2704">
        <f>+G1901*1</f>
        <v>0</v>
      </c>
      <c r="H1951" s="2669"/>
      <c r="I1951" s="2669"/>
      <c r="J1951" s="2669"/>
      <c r="K1951" s="2669"/>
      <c r="L1951" s="2613">
        <f t="shared" ref="L1951:L1977" si="367">H1951*G1951</f>
        <v>0</v>
      </c>
      <c r="M1951" s="2613">
        <f t="shared" ref="M1951:M1956" si="368">I1951*G1951</f>
        <v>0</v>
      </c>
      <c r="N1951" s="2613">
        <f t="shared" ref="N1951:N1977" si="369">J1951*G1951</f>
        <v>0</v>
      </c>
      <c r="O1951" s="2613">
        <f t="shared" ref="O1951:O1956" si="370">K1951*G1951</f>
        <v>0</v>
      </c>
      <c r="P1951" s="2702"/>
      <c r="Q1951" s="2519"/>
      <c r="R1951" s="2519"/>
      <c r="S1951" s="2519"/>
    </row>
    <row r="1952" spans="1:19" s="2358" customFormat="1" ht="14.4" outlineLevel="1">
      <c r="A1952" s="2435" t="str">
        <f>A1951</f>
        <v/>
      </c>
      <c r="B1952" s="2514"/>
      <c r="C1952" s="2511"/>
      <c r="D1952" s="2512"/>
      <c r="E1952" s="2520" t="s">
        <v>6207</v>
      </c>
      <c r="F1952" s="2521"/>
      <c r="G1952" s="2703"/>
      <c r="H1952" s="2669"/>
      <c r="I1952" s="2669"/>
      <c r="J1952" s="2669"/>
      <c r="K1952" s="2669"/>
      <c r="L1952" s="2613">
        <f t="shared" si="367"/>
        <v>0</v>
      </c>
      <c r="M1952" s="2613">
        <f t="shared" si="368"/>
        <v>0</v>
      </c>
      <c r="N1952" s="2613">
        <f t="shared" si="369"/>
        <v>0</v>
      </c>
      <c r="O1952" s="2613">
        <f t="shared" si="370"/>
        <v>0</v>
      </c>
      <c r="P1952" s="2702"/>
      <c r="Q1952" s="2519"/>
      <c r="R1952" s="2519"/>
      <c r="S1952" s="2519"/>
    </row>
    <row r="1953" spans="1:19" s="2358" customFormat="1" outlineLevel="1">
      <c r="A1953" s="2435" t="str">
        <f t="shared" ref="A1953:A1959" si="371">IF(G1953&lt;&gt;0,1,"")</f>
        <v/>
      </c>
      <c r="B1953" s="2386" t="s">
        <v>5212</v>
      </c>
      <c r="C1953" s="2511"/>
      <c r="D1953" s="2405">
        <v>0</v>
      </c>
      <c r="E1953" s="2447" t="s">
        <v>5213</v>
      </c>
      <c r="F1953" s="2405" t="s">
        <v>2598</v>
      </c>
      <c r="G1953" s="2703">
        <f>+G1951*1</f>
        <v>0</v>
      </c>
      <c r="H1953" s="2612">
        <v>960000</v>
      </c>
      <c r="I1953" s="2612"/>
      <c r="J1953" s="2612">
        <v>0</v>
      </c>
      <c r="K1953" s="2612">
        <v>0</v>
      </c>
      <c r="L1953" s="2613">
        <f t="shared" si="367"/>
        <v>0</v>
      </c>
      <c r="M1953" s="2613">
        <f t="shared" si="368"/>
        <v>0</v>
      </c>
      <c r="N1953" s="2613">
        <f t="shared" si="369"/>
        <v>0</v>
      </c>
      <c r="O1953" s="2613">
        <f t="shared" si="370"/>
        <v>0</v>
      </c>
      <c r="P1953" s="2702"/>
      <c r="Q1953" s="2519"/>
      <c r="R1953" s="2519"/>
      <c r="S1953" s="2519"/>
    </row>
    <row r="1954" spans="1:19" s="2358" customFormat="1" outlineLevel="1">
      <c r="A1954" s="2435" t="str">
        <f t="shared" si="371"/>
        <v/>
      </c>
      <c r="B1954" s="2386" t="s">
        <v>5219</v>
      </c>
      <c r="C1954" s="2511"/>
      <c r="D1954" s="2405">
        <v>0</v>
      </c>
      <c r="E1954" s="2447" t="s">
        <v>5220</v>
      </c>
      <c r="F1954" s="2405" t="s">
        <v>5221</v>
      </c>
      <c r="G1954" s="2703">
        <f>+G1951*2</f>
        <v>0</v>
      </c>
      <c r="H1954" s="2612">
        <v>140000</v>
      </c>
      <c r="I1954" s="2612"/>
      <c r="J1954" s="2612">
        <v>0</v>
      </c>
      <c r="K1954" s="2612">
        <v>0</v>
      </c>
      <c r="L1954" s="2613">
        <f>H1954*G1954</f>
        <v>0</v>
      </c>
      <c r="M1954" s="2613">
        <f t="shared" si="368"/>
        <v>0</v>
      </c>
      <c r="N1954" s="2613">
        <f>J1954*G1954</f>
        <v>0</v>
      </c>
      <c r="O1954" s="2613">
        <f t="shared" si="370"/>
        <v>0</v>
      </c>
      <c r="P1954" s="2702"/>
      <c r="Q1954" s="2519"/>
      <c r="R1954" s="2519"/>
      <c r="S1954" s="2519"/>
    </row>
    <row r="1955" spans="1:19" s="2358" customFormat="1" outlineLevel="1">
      <c r="A1955" s="2435" t="str">
        <f t="shared" si="371"/>
        <v/>
      </c>
      <c r="B1955" s="2383" t="s">
        <v>488</v>
      </c>
      <c r="C1955" s="2511"/>
      <c r="D1955" s="2405">
        <v>0</v>
      </c>
      <c r="E1955" s="2447" t="s">
        <v>5130</v>
      </c>
      <c r="F1955" s="2405" t="s">
        <v>2445</v>
      </c>
      <c r="G1955" s="2703">
        <f>+G1951*3</f>
        <v>0</v>
      </c>
      <c r="H1955" s="2612">
        <v>65000</v>
      </c>
      <c r="I1955" s="2612">
        <v>0</v>
      </c>
      <c r="J1955" s="2612">
        <v>0</v>
      </c>
      <c r="K1955" s="2612">
        <v>0</v>
      </c>
      <c r="L1955" s="2613">
        <f t="shared" si="367"/>
        <v>0</v>
      </c>
      <c r="M1955" s="2613">
        <f t="shared" si="368"/>
        <v>0</v>
      </c>
      <c r="N1955" s="2613">
        <f t="shared" si="369"/>
        <v>0</v>
      </c>
      <c r="O1955" s="2613">
        <f t="shared" si="370"/>
        <v>0</v>
      </c>
      <c r="P1955" s="2702"/>
      <c r="Q1955" s="2519"/>
      <c r="R1955" s="2519"/>
      <c r="S1955" s="2519"/>
    </row>
    <row r="1956" spans="1:19" s="2358" customFormat="1" outlineLevel="1">
      <c r="A1956" s="2435" t="str">
        <f t="shared" si="371"/>
        <v/>
      </c>
      <c r="B1956" s="2514" t="s">
        <v>6334</v>
      </c>
      <c r="C1956" s="2511"/>
      <c r="D1956" s="2405">
        <v>0</v>
      </c>
      <c r="E1956" s="2447" t="s">
        <v>2660</v>
      </c>
      <c r="F1956" s="2405" t="s">
        <v>2445</v>
      </c>
      <c r="G1956" s="2703">
        <f>+G1951*2</f>
        <v>0</v>
      </c>
      <c r="H1956" s="2612">
        <v>29900</v>
      </c>
      <c r="I1956" s="2669"/>
      <c r="J1956" s="2612">
        <v>0</v>
      </c>
      <c r="K1956" s="2612">
        <v>0</v>
      </c>
      <c r="L1956" s="2613">
        <f t="shared" si="367"/>
        <v>0</v>
      </c>
      <c r="M1956" s="2613">
        <f t="shared" si="368"/>
        <v>0</v>
      </c>
      <c r="N1956" s="2613">
        <f t="shared" si="369"/>
        <v>0</v>
      </c>
      <c r="O1956" s="2613">
        <f t="shared" si="370"/>
        <v>0</v>
      </c>
      <c r="P1956" s="2702"/>
      <c r="Q1956" s="2519"/>
      <c r="R1956" s="2519"/>
      <c r="S1956" s="2519"/>
    </row>
    <row r="1957" spans="1:19" s="2358" customFormat="1" outlineLevel="1">
      <c r="A1957" s="2435" t="str">
        <f t="shared" si="371"/>
        <v/>
      </c>
      <c r="B1957" s="2514" t="s">
        <v>6335</v>
      </c>
      <c r="C1957" s="2511"/>
      <c r="D1957" s="2405">
        <v>0</v>
      </c>
      <c r="E1957" s="2447" t="s">
        <v>2648</v>
      </c>
      <c r="F1957" s="2405" t="s">
        <v>2445</v>
      </c>
      <c r="G1957" s="2703">
        <f>+G1951*2</f>
        <v>0</v>
      </c>
      <c r="H1957" s="2612">
        <v>17400</v>
      </c>
      <c r="I1957" s="2669"/>
      <c r="J1957" s="2612">
        <v>0</v>
      </c>
      <c r="K1957" s="2612">
        <v>0</v>
      </c>
      <c r="L1957" s="2613">
        <f>H1957*G1957</f>
        <v>0</v>
      </c>
      <c r="M1957" s="2613">
        <f>I1957*G1957</f>
        <v>0</v>
      </c>
      <c r="N1957" s="2613">
        <f t="shared" si="369"/>
        <v>0</v>
      </c>
      <c r="O1957" s="2613">
        <f>K1957*G1957</f>
        <v>0</v>
      </c>
      <c r="P1957" s="2702"/>
      <c r="Q1957" s="2519"/>
      <c r="R1957" s="2519"/>
      <c r="S1957" s="2519"/>
    </row>
    <row r="1958" spans="1:19" s="2358" customFormat="1" outlineLevel="1">
      <c r="A1958" s="2435" t="str">
        <f t="shared" si="371"/>
        <v/>
      </c>
      <c r="B1958" s="2374" t="s">
        <v>6315</v>
      </c>
      <c r="C1958" s="2511"/>
      <c r="D1958" s="2405" t="s">
        <v>5209</v>
      </c>
      <c r="E1958" s="2447" t="s">
        <v>5439</v>
      </c>
      <c r="F1958" s="2405" t="s">
        <v>2445</v>
      </c>
      <c r="G1958" s="2703">
        <f>+G1951</f>
        <v>0</v>
      </c>
      <c r="H1958" s="2517">
        <v>0</v>
      </c>
      <c r="I1958" s="2612"/>
      <c r="J1958" s="2612">
        <v>131511.15</v>
      </c>
      <c r="K1958" s="2612"/>
      <c r="L1958" s="2613">
        <f t="shared" si="367"/>
        <v>0</v>
      </c>
      <c r="M1958" s="2613"/>
      <c r="N1958" s="2517">
        <f t="shared" si="369"/>
        <v>0</v>
      </c>
      <c r="O1958" s="2613"/>
      <c r="P1958" s="2702"/>
      <c r="Q1958" s="2519"/>
      <c r="R1958" s="2519"/>
      <c r="S1958" s="2519"/>
    </row>
    <row r="1959" spans="1:19" s="2358" customFormat="1" outlineLevel="1">
      <c r="A1959" s="2435" t="str">
        <f t="shared" si="371"/>
        <v/>
      </c>
      <c r="B1959" s="2514"/>
      <c r="C1959" s="2511">
        <f>IF(G1959&gt;0,C1931+2,C1931)</f>
        <v>0</v>
      </c>
      <c r="D1959" s="2512"/>
      <c r="E1959" s="2670" t="s">
        <v>6336</v>
      </c>
      <c r="F1959" s="2511" t="s">
        <v>2391</v>
      </c>
      <c r="G1959" s="2704">
        <f>G1901*1</f>
        <v>0</v>
      </c>
      <c r="H1959" s="2669"/>
      <c r="I1959" s="2669"/>
      <c r="J1959" s="2669"/>
      <c r="K1959" s="2669"/>
      <c r="L1959" s="2613">
        <f t="shared" si="367"/>
        <v>0</v>
      </c>
      <c r="M1959" s="2613">
        <f t="shared" ref="M1959:M1964" si="372">I1959*G1959</f>
        <v>0</v>
      </c>
      <c r="N1959" s="2613">
        <f t="shared" si="369"/>
        <v>0</v>
      </c>
      <c r="O1959" s="2613">
        <f t="shared" ref="O1959:O1964" si="373">K1959*G1959</f>
        <v>0</v>
      </c>
      <c r="P1959" s="2702"/>
      <c r="Q1959" s="2519"/>
      <c r="R1959" s="2519"/>
      <c r="S1959" s="2519"/>
    </row>
    <row r="1960" spans="1:19" s="2358" customFormat="1" ht="14.4" outlineLevel="1">
      <c r="A1960" s="2435" t="str">
        <f>A1959</f>
        <v/>
      </c>
      <c r="B1960" s="2514"/>
      <c r="C1960" s="2511"/>
      <c r="D1960" s="2512"/>
      <c r="E1960" s="2520" t="s">
        <v>6207</v>
      </c>
      <c r="F1960" s="2521"/>
      <c r="G1960" s="2703"/>
      <c r="H1960" s="2669"/>
      <c r="I1960" s="2669"/>
      <c r="J1960" s="2669"/>
      <c r="K1960" s="2669"/>
      <c r="L1960" s="2613">
        <f t="shared" si="367"/>
        <v>0</v>
      </c>
      <c r="M1960" s="2613">
        <f t="shared" si="372"/>
        <v>0</v>
      </c>
      <c r="N1960" s="2613">
        <f t="shared" si="369"/>
        <v>0</v>
      </c>
      <c r="O1960" s="2613">
        <f t="shared" si="373"/>
        <v>0</v>
      </c>
      <c r="P1960" s="2702"/>
      <c r="Q1960" s="2519"/>
      <c r="R1960" s="2519"/>
      <c r="S1960" s="2519"/>
    </row>
    <row r="1961" spans="1:19" s="2358" customFormat="1" outlineLevel="1">
      <c r="A1961" s="2435" t="str">
        <f t="shared" ref="A1961:A1966" si="374">IF(G1961&lt;&gt;0,1,"")</f>
        <v/>
      </c>
      <c r="B1961" s="2505" t="s">
        <v>2026</v>
      </c>
      <c r="C1961" s="2511"/>
      <c r="D1961" s="2405">
        <v>0</v>
      </c>
      <c r="E1961" s="2447" t="s">
        <v>2443</v>
      </c>
      <c r="F1961" s="2405" t="s">
        <v>2254</v>
      </c>
      <c r="G1961" s="2703">
        <f>G1959*9.02*(2.2+4*0.07)</f>
        <v>0</v>
      </c>
      <c r="H1961" s="2517">
        <v>31625</v>
      </c>
      <c r="I1961" s="2612"/>
      <c r="J1961" s="2612">
        <v>0</v>
      </c>
      <c r="K1961" s="2612">
        <v>0</v>
      </c>
      <c r="L1961" s="2613">
        <f t="shared" si="367"/>
        <v>0</v>
      </c>
      <c r="M1961" s="2613">
        <f t="shared" si="372"/>
        <v>0</v>
      </c>
      <c r="N1961" s="2613">
        <f t="shared" si="369"/>
        <v>0</v>
      </c>
      <c r="O1961" s="2613">
        <f t="shared" si="373"/>
        <v>0</v>
      </c>
      <c r="P1961" s="2702"/>
      <c r="Q1961" s="2519"/>
      <c r="R1961" s="2519"/>
      <c r="S1961" s="2519"/>
    </row>
    <row r="1962" spans="1:19" s="2358" customFormat="1" outlineLevel="1">
      <c r="A1962" s="2435" t="str">
        <f t="shared" si="374"/>
        <v/>
      </c>
      <c r="B1962" s="2505" t="s">
        <v>1035</v>
      </c>
      <c r="C1962" s="2511"/>
      <c r="D1962" s="2405">
        <v>0</v>
      </c>
      <c r="E1962" s="2447" t="s">
        <v>2972</v>
      </c>
      <c r="F1962" s="2405" t="s">
        <v>2254</v>
      </c>
      <c r="G1962" s="2703">
        <f>G1959*3.77*0.92*2</f>
        <v>0</v>
      </c>
      <c r="H1962" s="2517">
        <v>31625</v>
      </c>
      <c r="I1962" s="2612"/>
      <c r="J1962" s="2612">
        <v>0</v>
      </c>
      <c r="K1962" s="2612">
        <v>0</v>
      </c>
      <c r="L1962" s="2613">
        <f>H1962*G1962</f>
        <v>0</v>
      </c>
      <c r="M1962" s="2613">
        <f t="shared" si="372"/>
        <v>0</v>
      </c>
      <c r="N1962" s="2613">
        <f t="shared" si="369"/>
        <v>0</v>
      </c>
      <c r="O1962" s="2613">
        <f t="shared" si="373"/>
        <v>0</v>
      </c>
      <c r="P1962" s="2702"/>
      <c r="Q1962" s="2519"/>
      <c r="R1962" s="2519"/>
      <c r="S1962" s="2519"/>
    </row>
    <row r="1963" spans="1:19" s="2358" customFormat="1" outlineLevel="1">
      <c r="A1963" s="2435" t="str">
        <f t="shared" si="374"/>
        <v/>
      </c>
      <c r="B1963" s="2505" t="s">
        <v>1613</v>
      </c>
      <c r="C1963" s="2511"/>
      <c r="D1963" s="2405">
        <v>0</v>
      </c>
      <c r="E1963" s="2447" t="s">
        <v>2657</v>
      </c>
      <c r="F1963" s="2405" t="s">
        <v>2445</v>
      </c>
      <c r="G1963" s="2703">
        <f>+G1959*2</f>
        <v>0</v>
      </c>
      <c r="H1963" s="2517">
        <v>25400</v>
      </c>
      <c r="I1963" s="2612"/>
      <c r="J1963" s="2612">
        <v>0</v>
      </c>
      <c r="K1963" s="2612">
        <v>0</v>
      </c>
      <c r="L1963" s="2613">
        <f>H1963*G1963</f>
        <v>0</v>
      </c>
      <c r="M1963" s="2613">
        <f t="shared" si="372"/>
        <v>0</v>
      </c>
      <c r="N1963" s="2613">
        <f t="shared" si="369"/>
        <v>0</v>
      </c>
      <c r="O1963" s="2613">
        <f t="shared" si="373"/>
        <v>0</v>
      </c>
      <c r="P1963" s="2702"/>
      <c r="Q1963" s="2519"/>
      <c r="R1963" s="2519"/>
      <c r="S1963" s="2519"/>
    </row>
    <row r="1964" spans="1:19" s="2358" customFormat="1" outlineLevel="1">
      <c r="A1964" s="2435" t="str">
        <f t="shared" si="374"/>
        <v/>
      </c>
      <c r="B1964" s="2505" t="s">
        <v>1790</v>
      </c>
      <c r="C1964" s="2511"/>
      <c r="D1964" s="2405">
        <v>0</v>
      </c>
      <c r="E1964" s="2447" t="s">
        <v>2647</v>
      </c>
      <c r="F1964" s="2405" t="s">
        <v>2445</v>
      </c>
      <c r="G1964" s="2703">
        <f>G1959*2</f>
        <v>0</v>
      </c>
      <c r="H1964" s="2517">
        <v>12400</v>
      </c>
      <c r="I1964" s="2612"/>
      <c r="J1964" s="2612">
        <v>0</v>
      </c>
      <c r="K1964" s="2612">
        <v>0</v>
      </c>
      <c r="L1964" s="2613">
        <f>H1964*G1964</f>
        <v>0</v>
      </c>
      <c r="M1964" s="2613">
        <f t="shared" si="372"/>
        <v>0</v>
      </c>
      <c r="N1964" s="2613">
        <f t="shared" si="369"/>
        <v>0</v>
      </c>
      <c r="O1964" s="2613">
        <f t="shared" si="373"/>
        <v>0</v>
      </c>
      <c r="P1964" s="2702"/>
      <c r="Q1964" s="2519"/>
      <c r="R1964" s="2519"/>
      <c r="S1964" s="2519"/>
    </row>
    <row r="1965" spans="1:19" s="2358" customFormat="1" outlineLevel="1">
      <c r="A1965" s="2435" t="str">
        <f t="shared" si="374"/>
        <v/>
      </c>
      <c r="B1965" s="2374" t="s">
        <v>5487</v>
      </c>
      <c r="C1965" s="2511"/>
      <c r="D1965" s="2405" t="s">
        <v>5488</v>
      </c>
      <c r="E1965" s="2447" t="s">
        <v>5489</v>
      </c>
      <c r="F1965" s="2405" t="s">
        <v>2254</v>
      </c>
      <c r="G1965" s="2703">
        <f>SUM(G1961:G1962)</f>
        <v>0</v>
      </c>
      <c r="H1965" s="2517">
        <v>0</v>
      </c>
      <c r="I1965" s="2612"/>
      <c r="J1965" s="2612">
        <v>2025</v>
      </c>
      <c r="K1965" s="2612"/>
      <c r="L1965" s="2613">
        <f t="shared" si="367"/>
        <v>0</v>
      </c>
      <c r="M1965" s="2613"/>
      <c r="N1965" s="2517">
        <f t="shared" si="369"/>
        <v>0</v>
      </c>
      <c r="O1965" s="2613"/>
      <c r="P1965" s="2702"/>
      <c r="Q1965" s="2519"/>
      <c r="R1965" s="2519"/>
      <c r="S1965" s="2519"/>
    </row>
    <row r="1966" spans="1:19" s="2358" customFormat="1" outlineLevel="1">
      <c r="A1966" s="2435" t="str">
        <f t="shared" si="374"/>
        <v/>
      </c>
      <c r="B1966" s="2514"/>
      <c r="C1966" s="2511">
        <f>IF(G1966&gt;0,C1959+1,C1959)</f>
        <v>0</v>
      </c>
      <c r="D1966" s="2512"/>
      <c r="E1966" s="2670" t="s">
        <v>3738</v>
      </c>
      <c r="F1966" s="2511" t="s">
        <v>2391</v>
      </c>
      <c r="G1966" s="2704">
        <f>G1901</f>
        <v>0</v>
      </c>
      <c r="H1966" s="2517"/>
      <c r="I1966" s="2517"/>
      <c r="J1966" s="2517"/>
      <c r="K1966" s="2517"/>
      <c r="L1966" s="2517">
        <f t="shared" si="367"/>
        <v>0</v>
      </c>
      <c r="M1966" s="2517">
        <f>I1966*G1966</f>
        <v>0</v>
      </c>
      <c r="N1966" s="2517">
        <f t="shared" si="369"/>
        <v>0</v>
      </c>
      <c r="O1966" s="2517">
        <f>K1966*G1966</f>
        <v>0</v>
      </c>
      <c r="P1966" s="2694"/>
      <c r="Q1966" s="2519"/>
      <c r="R1966" s="2519"/>
      <c r="S1966" s="2519"/>
    </row>
    <row r="1967" spans="1:19" s="2358" customFormat="1" ht="14.4" outlineLevel="1">
      <c r="A1967" s="2435" t="str">
        <f>+A1966</f>
        <v/>
      </c>
      <c r="B1967" s="2671"/>
      <c r="C1967" s="2511"/>
      <c r="D1967" s="2512"/>
      <c r="E1967" s="2520" t="s">
        <v>6207</v>
      </c>
      <c r="F1967" s="2521"/>
      <c r="G1967" s="2703"/>
      <c r="H1967" s="2517"/>
      <c r="I1967" s="2517"/>
      <c r="J1967" s="2517"/>
      <c r="K1967" s="2517"/>
      <c r="L1967" s="2517">
        <f t="shared" si="367"/>
        <v>0</v>
      </c>
      <c r="M1967" s="2517">
        <f>I1967*G1967</f>
        <v>0</v>
      </c>
      <c r="N1967" s="2517">
        <f t="shared" si="369"/>
        <v>0</v>
      </c>
      <c r="O1967" s="2517">
        <f>K1967*G1967</f>
        <v>0</v>
      </c>
      <c r="P1967" s="2694"/>
      <c r="Q1967" s="2519"/>
      <c r="R1967" s="2519"/>
      <c r="S1967" s="2519"/>
    </row>
    <row r="1968" spans="1:19" s="2358" customFormat="1" outlineLevel="1">
      <c r="A1968" s="2435" t="str">
        <f t="shared" ref="A1968:A1977" si="375">IF(G1968&lt;&gt;0,1,"")</f>
        <v/>
      </c>
      <c r="B1968" s="2514" t="s">
        <v>1033</v>
      </c>
      <c r="C1968" s="2511"/>
      <c r="D1968" s="2405">
        <v>0</v>
      </c>
      <c r="E1968" s="2447" t="s">
        <v>2708</v>
      </c>
      <c r="F1968" s="2405" t="s">
        <v>2254</v>
      </c>
      <c r="G1968" s="2703">
        <f>($H$3+20)*0.224*G1966</f>
        <v>0</v>
      </c>
      <c r="H1968" s="2517">
        <v>255500</v>
      </c>
      <c r="I1968" s="2517"/>
      <c r="J1968" s="2517">
        <v>0</v>
      </c>
      <c r="K1968" s="2517">
        <v>0</v>
      </c>
      <c r="L1968" s="2517">
        <f t="shared" si="367"/>
        <v>0</v>
      </c>
      <c r="M1968" s="2517">
        <f>I1968*G1968</f>
        <v>0</v>
      </c>
      <c r="N1968" s="2517">
        <f t="shared" si="369"/>
        <v>0</v>
      </c>
      <c r="O1968" s="2517">
        <f>K1968*G1968</f>
        <v>0</v>
      </c>
      <c r="P1968" s="2694"/>
      <c r="Q1968" s="2519"/>
      <c r="R1968" s="2519"/>
      <c r="S1968" s="2519"/>
    </row>
    <row r="1969" spans="1:19" s="2358" customFormat="1" outlineLevel="1">
      <c r="A1969" s="2435" t="str">
        <f t="shared" si="375"/>
        <v/>
      </c>
      <c r="B1969" s="2505" t="s">
        <v>1511</v>
      </c>
      <c r="C1969" s="2511"/>
      <c r="D1969" s="2405">
        <v>0</v>
      </c>
      <c r="E1969" s="2447" t="s">
        <v>5224</v>
      </c>
      <c r="F1969" s="2405" t="s">
        <v>2445</v>
      </c>
      <c r="G1969" s="2703">
        <f>$H$2*G1966</f>
        <v>0</v>
      </c>
      <c r="H1969" s="2517">
        <v>160000</v>
      </c>
      <c r="I1969" s="2517"/>
      <c r="J1969" s="2517">
        <v>0</v>
      </c>
      <c r="K1969" s="2517">
        <v>0</v>
      </c>
      <c r="L1969" s="2517">
        <f t="shared" si="367"/>
        <v>0</v>
      </c>
      <c r="M1969" s="2517">
        <f>I1969*G1969</f>
        <v>0</v>
      </c>
      <c r="N1969" s="2517">
        <f t="shared" si="369"/>
        <v>0</v>
      </c>
      <c r="O1969" s="2517">
        <f>K1969*G1969</f>
        <v>0</v>
      </c>
      <c r="P1969" s="2694"/>
      <c r="Q1969" s="2519"/>
      <c r="R1969" s="2519"/>
      <c r="S1969" s="2519"/>
    </row>
    <row r="1970" spans="1:19" s="2358" customFormat="1" outlineLevel="1">
      <c r="A1970" s="2435" t="str">
        <f t="shared" si="375"/>
        <v/>
      </c>
      <c r="B1970" s="2505" t="s">
        <v>1493</v>
      </c>
      <c r="C1970" s="2511"/>
      <c r="D1970" s="2405">
        <v>0</v>
      </c>
      <c r="E1970" s="2447" t="s">
        <v>3554</v>
      </c>
      <c r="F1970" s="2405" t="s">
        <v>1827</v>
      </c>
      <c r="G1970" s="2703">
        <f>G1966*8*0</f>
        <v>0</v>
      </c>
      <c r="H1970" s="2517">
        <v>6200</v>
      </c>
      <c r="I1970" s="2517"/>
      <c r="J1970" s="2517">
        <v>0</v>
      </c>
      <c r="K1970" s="2517">
        <v>0</v>
      </c>
      <c r="L1970" s="2517">
        <f t="shared" si="367"/>
        <v>0</v>
      </c>
      <c r="M1970" s="2517">
        <f>I1970*G1970</f>
        <v>0</v>
      </c>
      <c r="N1970" s="2517">
        <f t="shared" si="369"/>
        <v>0</v>
      </c>
      <c r="O1970" s="2517">
        <f>K1970*G1970</f>
        <v>0</v>
      </c>
      <c r="P1970" s="2702"/>
      <c r="Q1970" s="2519"/>
      <c r="R1970" s="2519"/>
      <c r="S1970" s="2519"/>
    </row>
    <row r="1971" spans="1:19" s="2358" customFormat="1" outlineLevel="1">
      <c r="A1971" s="2435" t="str">
        <f t="shared" si="375"/>
        <v/>
      </c>
      <c r="B1971" s="2514" t="s">
        <v>1582</v>
      </c>
      <c r="C1971" s="2511"/>
      <c r="D1971" s="2405">
        <v>0</v>
      </c>
      <c r="E1971" s="2447" t="s">
        <v>2889</v>
      </c>
      <c r="F1971" s="2405" t="s">
        <v>2563</v>
      </c>
      <c r="G1971" s="2703">
        <f>2*G1966</f>
        <v>0</v>
      </c>
      <c r="H1971" s="2517">
        <v>8000</v>
      </c>
      <c r="I1971" s="2517"/>
      <c r="J1971" s="2517">
        <v>0</v>
      </c>
      <c r="K1971" s="2517"/>
      <c r="L1971" s="2517">
        <f t="shared" si="367"/>
        <v>0</v>
      </c>
      <c r="M1971" s="2517"/>
      <c r="N1971" s="2517">
        <f t="shared" si="369"/>
        <v>0</v>
      </c>
      <c r="O1971" s="2517"/>
      <c r="P1971" s="2694"/>
      <c r="Q1971" s="2519"/>
      <c r="R1971" s="2519"/>
      <c r="S1971" s="2519"/>
    </row>
    <row r="1972" spans="1:19" s="2358" customFormat="1" outlineLevel="1">
      <c r="A1972" s="2435" t="str">
        <f t="shared" si="375"/>
        <v/>
      </c>
      <c r="B1972" s="2514" t="s">
        <v>6282</v>
      </c>
      <c r="C1972" s="2511"/>
      <c r="D1972" s="2405" t="s">
        <v>5787</v>
      </c>
      <c r="E1972" s="2447" t="s">
        <v>3497</v>
      </c>
      <c r="F1972" s="2405" t="s">
        <v>2563</v>
      </c>
      <c r="G1972" s="2703">
        <f>G1966*14</f>
        <v>0</v>
      </c>
      <c r="H1972" s="2517">
        <v>9100</v>
      </c>
      <c r="I1972" s="2517"/>
      <c r="J1972" s="2517">
        <v>10608.955000000002</v>
      </c>
      <c r="K1972" s="2517"/>
      <c r="L1972" s="2517">
        <f t="shared" si="367"/>
        <v>0</v>
      </c>
      <c r="M1972" s="2517"/>
      <c r="N1972" s="2517">
        <f t="shared" si="369"/>
        <v>0</v>
      </c>
      <c r="O1972" s="2517"/>
      <c r="P1972" s="2694"/>
      <c r="Q1972" s="2519"/>
      <c r="R1972" s="2519"/>
      <c r="S1972" s="2519"/>
    </row>
    <row r="1973" spans="1:19" s="2358" customFormat="1" outlineLevel="1">
      <c r="A1973" s="2435" t="str">
        <f t="shared" si="375"/>
        <v/>
      </c>
      <c r="B1973" s="2514" t="s">
        <v>816</v>
      </c>
      <c r="C1973" s="2672"/>
      <c r="D1973" s="2405">
        <v>0</v>
      </c>
      <c r="E1973" s="2447" t="s">
        <v>3599</v>
      </c>
      <c r="F1973" s="2405" t="s">
        <v>2563</v>
      </c>
      <c r="G1973" s="2703">
        <f>IF(G1970&lt;=12,15,21)*G1966</f>
        <v>0</v>
      </c>
      <c r="H1973" s="2517">
        <v>17600</v>
      </c>
      <c r="I1973" s="2517"/>
      <c r="J1973" s="2517">
        <v>0</v>
      </c>
      <c r="K1973" s="2517"/>
      <c r="L1973" s="2517">
        <f t="shared" si="367"/>
        <v>0</v>
      </c>
      <c r="M1973" s="2517">
        <f>I1973*G1973</f>
        <v>0</v>
      </c>
      <c r="N1973" s="2517">
        <f t="shared" si="369"/>
        <v>0</v>
      </c>
      <c r="O1973" s="2517">
        <f>K1973*G1973</f>
        <v>0</v>
      </c>
      <c r="P1973" s="2694"/>
      <c r="Q1973" s="2519"/>
      <c r="R1973" s="2519"/>
      <c r="S1973" s="2519"/>
    </row>
    <row r="1974" spans="1:19" s="2358" customFormat="1" outlineLevel="1">
      <c r="A1974" s="2435" t="str">
        <f t="shared" si="375"/>
        <v/>
      </c>
      <c r="B1974" s="2505" t="s">
        <v>525</v>
      </c>
      <c r="C1974" s="2672"/>
      <c r="D1974" s="2405">
        <v>0</v>
      </c>
      <c r="E1974" s="2447" t="s">
        <v>5313</v>
      </c>
      <c r="F1974" s="2405" t="s">
        <v>2445</v>
      </c>
      <c r="G1974" s="2703">
        <f>+G1966*4*0</f>
        <v>0</v>
      </c>
      <c r="H1974" s="2517">
        <v>43000</v>
      </c>
      <c r="I1974" s="2517"/>
      <c r="J1974" s="2517">
        <v>0</v>
      </c>
      <c r="K1974" s="2517"/>
      <c r="L1974" s="2517">
        <f t="shared" si="367"/>
        <v>0</v>
      </c>
      <c r="M1974" s="2517">
        <f>I1974*G1974</f>
        <v>0</v>
      </c>
      <c r="N1974" s="2517">
        <f t="shared" si="369"/>
        <v>0</v>
      </c>
      <c r="O1974" s="2517">
        <f>K1974*G1974</f>
        <v>0</v>
      </c>
      <c r="P1974" s="2694"/>
      <c r="Q1974" s="2519"/>
      <c r="R1974" s="2519"/>
      <c r="S1974" s="2519"/>
    </row>
    <row r="1975" spans="1:19" s="2358" customFormat="1" outlineLevel="1">
      <c r="A1975" s="2435" t="str">
        <f t="shared" si="375"/>
        <v/>
      </c>
      <c r="B1975" s="2505" t="s">
        <v>1588</v>
      </c>
      <c r="C1975" s="2672"/>
      <c r="D1975" s="2405">
        <v>0</v>
      </c>
      <c r="E1975" s="2447" t="s">
        <v>5775</v>
      </c>
      <c r="F1975" s="2405" t="s">
        <v>3463</v>
      </c>
      <c r="G1975" s="2703">
        <f>G1966*2</f>
        <v>0</v>
      </c>
      <c r="H1975" s="2517">
        <v>0</v>
      </c>
      <c r="I1975" s="2517"/>
      <c r="J1975" s="2517">
        <v>1500000</v>
      </c>
      <c r="K1975" s="2517"/>
      <c r="L1975" s="2517">
        <f t="shared" si="367"/>
        <v>0</v>
      </c>
      <c r="M1975" s="2517">
        <f>I1975*G1975</f>
        <v>0</v>
      </c>
      <c r="N1975" s="2517">
        <f t="shared" si="369"/>
        <v>0</v>
      </c>
      <c r="O1975" s="2517">
        <f>K1975*G1975</f>
        <v>0</v>
      </c>
      <c r="P1975" s="2694"/>
      <c r="Q1975" s="2519"/>
      <c r="R1975" s="2519"/>
      <c r="S1975" s="2519"/>
    </row>
    <row r="1976" spans="1:19" s="2358" customFormat="1" outlineLevel="1">
      <c r="A1976" s="2435" t="str">
        <f t="shared" si="375"/>
        <v/>
      </c>
      <c r="B1976" s="2505" t="s">
        <v>5225</v>
      </c>
      <c r="C1976" s="2672"/>
      <c r="D1976" s="2405">
        <v>0</v>
      </c>
      <c r="E1976" s="2447" t="s">
        <v>5226</v>
      </c>
      <c r="F1976" s="2405" t="s">
        <v>2254</v>
      </c>
      <c r="G1976" s="2703">
        <f>5*16*G1975</f>
        <v>0</v>
      </c>
      <c r="H1976" s="2517">
        <v>31625</v>
      </c>
      <c r="I1976" s="2517"/>
      <c r="J1976" s="2517">
        <v>0</v>
      </c>
      <c r="K1976" s="2517"/>
      <c r="L1976" s="2517">
        <f t="shared" si="367"/>
        <v>0</v>
      </c>
      <c r="M1976" s="2517">
        <f>I1976*G1976</f>
        <v>0</v>
      </c>
      <c r="N1976" s="2517">
        <f t="shared" si="369"/>
        <v>0</v>
      </c>
      <c r="O1976" s="2517">
        <f>K1976*G1976</f>
        <v>0</v>
      </c>
      <c r="P1976" s="2694"/>
      <c r="Q1976" s="2519"/>
      <c r="R1976" s="2519"/>
      <c r="S1976" s="2519"/>
    </row>
    <row r="1977" spans="1:19" s="2358" customFormat="1" outlineLevel="1">
      <c r="A1977" s="2435" t="str">
        <f t="shared" si="375"/>
        <v/>
      </c>
      <c r="B1977" s="2505" t="s">
        <v>5229</v>
      </c>
      <c r="C1977" s="2672"/>
      <c r="D1977" s="2405" t="s">
        <v>5230</v>
      </c>
      <c r="E1977" s="2447" t="s">
        <v>5231</v>
      </c>
      <c r="F1977" s="2405" t="s">
        <v>5232</v>
      </c>
      <c r="G1977" s="2703">
        <f>G1966*4*G1975</f>
        <v>0</v>
      </c>
      <c r="H1977" s="2517">
        <v>0</v>
      </c>
      <c r="I1977" s="2517"/>
      <c r="J1977" s="2517">
        <v>55638</v>
      </c>
      <c r="K1977" s="2517"/>
      <c r="L1977" s="2517">
        <f t="shared" si="367"/>
        <v>0</v>
      </c>
      <c r="M1977" s="2517">
        <f>I1977*G1977</f>
        <v>0</v>
      </c>
      <c r="N1977" s="2517">
        <f t="shared" si="369"/>
        <v>0</v>
      </c>
      <c r="O1977" s="2517">
        <f>K1977*G1977</f>
        <v>0</v>
      </c>
      <c r="P1977" s="2694"/>
      <c r="Q1977" s="2519"/>
      <c r="R1977" s="2519"/>
      <c r="S1977" s="2519"/>
    </row>
    <row r="1978" spans="1:19" s="2358" customFormat="1" outlineLevel="1">
      <c r="A1978" s="2435"/>
      <c r="B1978" s="2505"/>
      <c r="C1978" s="2672"/>
      <c r="D1978" s="2405"/>
      <c r="E1978" s="2447"/>
      <c r="F1978" s="2405"/>
      <c r="G1978" s="2703"/>
      <c r="H1978" s="2517"/>
      <c r="I1978" s="2517"/>
      <c r="J1978" s="2517"/>
      <c r="K1978" s="2517"/>
      <c r="L1978" s="2517"/>
      <c r="M1978" s="2517"/>
      <c r="N1978" s="2517"/>
      <c r="O1978" s="2517"/>
      <c r="P1978" s="2642"/>
      <c r="Q1978" s="2519"/>
      <c r="R1978" s="2519"/>
      <c r="S1978" s="2519"/>
    </row>
    <row r="1979" spans="1:19" s="2358" customFormat="1" outlineLevel="1">
      <c r="A1979" s="2435" t="str">
        <f>IF(G1979&lt;&gt;0,1,"")</f>
        <v/>
      </c>
      <c r="B1979" s="2505" t="s">
        <v>5236</v>
      </c>
      <c r="C1979" s="2672"/>
      <c r="D1979" s="2405">
        <v>0</v>
      </c>
      <c r="E1979" s="2447" t="s">
        <v>5237</v>
      </c>
      <c r="F1979" s="2405" t="s">
        <v>5235</v>
      </c>
      <c r="G1979" s="2703">
        <f>G1966*6</f>
        <v>0</v>
      </c>
      <c r="H1979" s="2517">
        <v>38105</v>
      </c>
      <c r="I1979" s="2517"/>
      <c r="J1979" s="2517">
        <v>0</v>
      </c>
      <c r="K1979" s="2517"/>
      <c r="L1979" s="2517">
        <f>H1979*G1979</f>
        <v>0</v>
      </c>
      <c r="M1979" s="2517">
        <f>I1979*G1979</f>
        <v>0</v>
      </c>
      <c r="N1979" s="2517">
        <f>J1979*G1979</f>
        <v>0</v>
      </c>
      <c r="O1979" s="2517">
        <f>K1979*G1979</f>
        <v>0</v>
      </c>
      <c r="P1979" s="2694"/>
      <c r="Q1979" s="2519"/>
      <c r="R1979" s="2519"/>
      <c r="S1979" s="2519"/>
    </row>
    <row r="1980" spans="1:19" s="2358" customFormat="1" outlineLevel="1">
      <c r="A1980" s="2435"/>
      <c r="B1980" s="2505"/>
      <c r="C1980" s="2672"/>
      <c r="D1980" s="2405"/>
      <c r="E1980" s="2447"/>
      <c r="F1980" s="2405"/>
      <c r="G1980" s="2703"/>
      <c r="H1980" s="2517"/>
      <c r="I1980" s="2517"/>
      <c r="J1980" s="2517"/>
      <c r="K1980" s="2517"/>
      <c r="L1980" s="2517"/>
      <c r="M1980" s="2517"/>
      <c r="N1980" s="2517"/>
      <c r="O1980" s="2517"/>
      <c r="P1980" s="2642"/>
      <c r="Q1980" s="2519"/>
      <c r="R1980" s="2519"/>
      <c r="S1980" s="2519"/>
    </row>
    <row r="1981" spans="1:19" s="2358" customFormat="1" outlineLevel="1">
      <c r="A1981" s="2435" t="str">
        <f t="shared" ref="A1981:A1986" si="376">IF(G1981&lt;&gt;0,1,"")</f>
        <v/>
      </c>
      <c r="B1981" s="2505" t="s">
        <v>5240</v>
      </c>
      <c r="C1981" s="2672"/>
      <c r="D1981" s="2405">
        <v>0</v>
      </c>
      <c r="E1981" s="2447" t="s">
        <v>5241</v>
      </c>
      <c r="F1981" s="2405" t="s">
        <v>5235</v>
      </c>
      <c r="G1981" s="2703">
        <f>G1966*2</f>
        <v>0</v>
      </c>
      <c r="H1981" s="2517">
        <v>53008</v>
      </c>
      <c r="I1981" s="2517"/>
      <c r="J1981" s="2517">
        <v>0</v>
      </c>
      <c r="K1981" s="2517"/>
      <c r="L1981" s="2517">
        <f t="shared" ref="L1981:L1993" si="377">H1981*G1981</f>
        <v>0</v>
      </c>
      <c r="M1981" s="2517">
        <f t="shared" ref="M1981:M1993" si="378">I1981*G1981</f>
        <v>0</v>
      </c>
      <c r="N1981" s="2517">
        <f>J1981*G1981</f>
        <v>0</v>
      </c>
      <c r="O1981" s="2517">
        <f t="shared" ref="O1981:O1993" si="379">K1981*G1981</f>
        <v>0</v>
      </c>
      <c r="P1981" s="2694"/>
      <c r="Q1981" s="2519"/>
      <c r="R1981" s="2519"/>
      <c r="S1981" s="2519"/>
    </row>
    <row r="1982" spans="1:19" s="2358" customFormat="1" outlineLevel="1">
      <c r="A1982" s="2435" t="str">
        <f t="shared" si="376"/>
        <v/>
      </c>
      <c r="B1982" s="2505" t="s">
        <v>6308</v>
      </c>
      <c r="C1982" s="2672"/>
      <c r="D1982" s="2405">
        <v>0</v>
      </c>
      <c r="E1982" s="2447" t="s">
        <v>5103</v>
      </c>
      <c r="F1982" s="2405" t="s">
        <v>2445</v>
      </c>
      <c r="G1982" s="2703">
        <f>G1966*20</f>
        <v>0</v>
      </c>
      <c r="H1982" s="2517">
        <v>8400</v>
      </c>
      <c r="I1982" s="2517"/>
      <c r="J1982" s="2517">
        <v>0</v>
      </c>
      <c r="K1982" s="2517"/>
      <c r="L1982" s="2517">
        <f t="shared" si="377"/>
        <v>0</v>
      </c>
      <c r="M1982" s="2517">
        <f t="shared" si="378"/>
        <v>0</v>
      </c>
      <c r="N1982" s="2517">
        <f>J1982*G1982</f>
        <v>0</v>
      </c>
      <c r="O1982" s="2517">
        <f t="shared" si="379"/>
        <v>0</v>
      </c>
      <c r="P1982" s="2694"/>
      <c r="Q1982" s="2519"/>
      <c r="R1982" s="2519"/>
      <c r="S1982" s="2519"/>
    </row>
    <row r="1983" spans="1:19" s="2358" customFormat="1" outlineLevel="1">
      <c r="A1983" s="2435" t="str">
        <f t="shared" si="376"/>
        <v/>
      </c>
      <c r="B1983" s="2505" t="s">
        <v>5242</v>
      </c>
      <c r="C1983" s="2672"/>
      <c r="D1983" s="2405">
        <v>0</v>
      </c>
      <c r="E1983" s="2447" t="s">
        <v>5243</v>
      </c>
      <c r="F1983" s="2405" t="s">
        <v>2538</v>
      </c>
      <c r="G1983" s="2703">
        <f>G1979+G1981</f>
        <v>0</v>
      </c>
      <c r="H1983" s="2517">
        <v>11000</v>
      </c>
      <c r="I1983" s="2517"/>
      <c r="J1983" s="2517">
        <v>0</v>
      </c>
      <c r="K1983" s="2517"/>
      <c r="L1983" s="2517">
        <f t="shared" si="377"/>
        <v>0</v>
      </c>
      <c r="M1983" s="2517">
        <f t="shared" si="378"/>
        <v>0</v>
      </c>
      <c r="N1983" s="2517">
        <f>J1983*G1983</f>
        <v>0</v>
      </c>
      <c r="O1983" s="2517">
        <f t="shared" si="379"/>
        <v>0</v>
      </c>
      <c r="P1983" s="2694"/>
      <c r="Q1983" s="2519"/>
      <c r="R1983" s="2519"/>
      <c r="S1983" s="2519"/>
    </row>
    <row r="1984" spans="1:19" s="2358" customFormat="1" outlineLevel="1">
      <c r="A1984" s="2435" t="str">
        <f t="shared" si="376"/>
        <v/>
      </c>
      <c r="B1984" s="2505" t="s">
        <v>5244</v>
      </c>
      <c r="C1984" s="2672"/>
      <c r="D1984" s="2405">
        <v>0</v>
      </c>
      <c r="E1984" s="2447" t="s">
        <v>5245</v>
      </c>
      <c r="F1984" s="2405" t="s">
        <v>2563</v>
      </c>
      <c r="G1984" s="2703">
        <f>G1983</f>
        <v>0</v>
      </c>
      <c r="H1984" s="2517">
        <v>4000</v>
      </c>
      <c r="I1984" s="2517"/>
      <c r="J1984" s="2517">
        <v>0</v>
      </c>
      <c r="K1984" s="2517"/>
      <c r="L1984" s="2517">
        <f t="shared" si="377"/>
        <v>0</v>
      </c>
      <c r="M1984" s="2517">
        <f t="shared" si="378"/>
        <v>0</v>
      </c>
      <c r="N1984" s="2517">
        <f>J1984*G1984</f>
        <v>0</v>
      </c>
      <c r="O1984" s="2517">
        <f t="shared" si="379"/>
        <v>0</v>
      </c>
      <c r="P1984" s="2694"/>
      <c r="Q1984" s="2519"/>
      <c r="R1984" s="2519"/>
      <c r="S1984" s="2519"/>
    </row>
    <row r="1985" spans="1:255" s="2358" customFormat="1" outlineLevel="1">
      <c r="A1985" s="2435" t="str">
        <f t="shared" si="376"/>
        <v/>
      </c>
      <c r="B1985" s="2505" t="s">
        <v>794</v>
      </c>
      <c r="C1985" s="2672"/>
      <c r="D1985" s="2405" t="s">
        <v>5398</v>
      </c>
      <c r="E1985" s="2447" t="s">
        <v>3086</v>
      </c>
      <c r="F1985" s="2405" t="s">
        <v>856</v>
      </c>
      <c r="G1985" s="2703">
        <f>G1966*(52+20)*0.3*0.5</f>
        <v>0</v>
      </c>
      <c r="H1985" s="2517">
        <v>0</v>
      </c>
      <c r="I1985" s="2517"/>
      <c r="J1985" s="2517">
        <v>283749.75</v>
      </c>
      <c r="K1985" s="2517"/>
      <c r="L1985" s="2517">
        <f t="shared" si="377"/>
        <v>0</v>
      </c>
      <c r="M1985" s="2517">
        <f t="shared" si="378"/>
        <v>0</v>
      </c>
      <c r="N1985" s="2517">
        <f>J1985*G1985</f>
        <v>0</v>
      </c>
      <c r="O1985" s="2517">
        <f t="shared" si="379"/>
        <v>0</v>
      </c>
      <c r="P1985" s="2694"/>
      <c r="Q1985" s="2519"/>
      <c r="R1985" s="2519"/>
      <c r="S1985" s="2519"/>
    </row>
    <row r="1986" spans="1:255" s="2358" customFormat="1" outlineLevel="1">
      <c r="A1986" s="2435" t="str">
        <f t="shared" si="376"/>
        <v/>
      </c>
      <c r="B1986" s="2505" t="s">
        <v>798</v>
      </c>
      <c r="C1986" s="2672"/>
      <c r="D1986" s="2405" t="s">
        <v>5387</v>
      </c>
      <c r="E1986" s="2447" t="s">
        <v>5399</v>
      </c>
      <c r="F1986" s="2405" t="s">
        <v>856</v>
      </c>
      <c r="G1986" s="2703">
        <f>G1985</f>
        <v>0</v>
      </c>
      <c r="H1986" s="2517">
        <v>0</v>
      </c>
      <c r="I1986" s="2517"/>
      <c r="J1986" s="2517">
        <v>117703.6</v>
      </c>
      <c r="K1986" s="2517"/>
      <c r="L1986" s="2517">
        <f t="shared" si="377"/>
        <v>0</v>
      </c>
      <c r="M1986" s="2517">
        <f t="shared" si="378"/>
        <v>0</v>
      </c>
      <c r="N1986" s="2517">
        <f t="shared" ref="N1986:N1993" si="380">J1986*G1986</f>
        <v>0</v>
      </c>
      <c r="O1986" s="2517">
        <f t="shared" si="379"/>
        <v>0</v>
      </c>
      <c r="P1986" s="2694"/>
      <c r="Q1986" s="2519"/>
      <c r="R1986" s="2519"/>
      <c r="S1986" s="2519"/>
    </row>
    <row r="1987" spans="1:255" s="2358" customFormat="1" outlineLevel="1">
      <c r="A1987" s="2435" t="str">
        <f>IF(G1987&lt;&gt;0,1,"")</f>
        <v/>
      </c>
      <c r="B1987" s="2505" t="s">
        <v>902</v>
      </c>
      <c r="C1987" s="2511"/>
      <c r="D1987" s="2405" t="s">
        <v>5413</v>
      </c>
      <c r="E1987" s="2447" t="s">
        <v>5414</v>
      </c>
      <c r="F1987" s="2405" t="s">
        <v>2391</v>
      </c>
      <c r="G1987" s="2707">
        <f>G1969</f>
        <v>0</v>
      </c>
      <c r="H1987" s="2517">
        <v>0</v>
      </c>
      <c r="I1987" s="2517"/>
      <c r="J1987" s="2517">
        <v>90355.896000000008</v>
      </c>
      <c r="K1987" s="2517">
        <v>1573.075</v>
      </c>
      <c r="L1987" s="2517">
        <f t="shared" si="377"/>
        <v>0</v>
      </c>
      <c r="M1987" s="2517">
        <f t="shared" si="378"/>
        <v>0</v>
      </c>
      <c r="N1987" s="2517">
        <f t="shared" si="380"/>
        <v>0</v>
      </c>
      <c r="O1987" s="2517">
        <f t="shared" si="379"/>
        <v>0</v>
      </c>
      <c r="P1987" s="2702"/>
      <c r="Q1987" s="2519"/>
      <c r="R1987" s="2519"/>
      <c r="S1987" s="2519"/>
    </row>
    <row r="1988" spans="1:255" s="2358" customFormat="1" outlineLevel="1">
      <c r="A1988" s="2435" t="str">
        <f>IF(G1988&lt;&gt;0,1,"")</f>
        <v/>
      </c>
      <c r="B1988" s="2505" t="s">
        <v>1440</v>
      </c>
      <c r="C1988" s="2511"/>
      <c r="D1988" s="2405" t="s">
        <v>5408</v>
      </c>
      <c r="E1988" s="2447" t="s">
        <v>5409</v>
      </c>
      <c r="F1988" s="2405" t="s">
        <v>2538</v>
      </c>
      <c r="G1988" s="2707">
        <f>G1968/0.224</f>
        <v>0</v>
      </c>
      <c r="H1988" s="2517">
        <v>0</v>
      </c>
      <c r="I1988" s="2517"/>
      <c r="J1988" s="2517">
        <v>8070.7000000000007</v>
      </c>
      <c r="K1988" s="2517">
        <v>2044.9974999999999</v>
      </c>
      <c r="L1988" s="2517">
        <f t="shared" si="377"/>
        <v>0</v>
      </c>
      <c r="M1988" s="2517">
        <f t="shared" si="378"/>
        <v>0</v>
      </c>
      <c r="N1988" s="2517">
        <f t="shared" si="380"/>
        <v>0</v>
      </c>
      <c r="O1988" s="2517">
        <f t="shared" si="379"/>
        <v>0</v>
      </c>
      <c r="P1988" s="2694"/>
      <c r="Q1988" s="2519"/>
      <c r="R1988" s="2519"/>
      <c r="S1988" s="2519"/>
    </row>
    <row r="1989" spans="1:255" s="2358" customFormat="1" outlineLevel="1">
      <c r="A1989" s="2435" t="str">
        <f>IF(G1989&lt;&gt;0,1,"")</f>
        <v/>
      </c>
      <c r="B1989" s="2505"/>
      <c r="C1989" s="2511">
        <f>IF(G1989&gt;0,C1966+1,C1966)</f>
        <v>0</v>
      </c>
      <c r="D1989" s="2512"/>
      <c r="E1989" s="2629" t="s">
        <v>6283</v>
      </c>
      <c r="F1989" s="2511" t="s">
        <v>2391</v>
      </c>
      <c r="G1989" s="2704">
        <f>G1901*2</f>
        <v>0</v>
      </c>
      <c r="H1989" s="2517"/>
      <c r="I1989" s="2517"/>
      <c r="J1989" s="2517"/>
      <c r="K1989" s="2517"/>
      <c r="L1989" s="2517">
        <f t="shared" si="377"/>
        <v>0</v>
      </c>
      <c r="M1989" s="2517">
        <f t="shared" si="378"/>
        <v>0</v>
      </c>
      <c r="N1989" s="2517">
        <f t="shared" si="380"/>
        <v>0</v>
      </c>
      <c r="O1989" s="2517">
        <f t="shared" si="379"/>
        <v>0</v>
      </c>
      <c r="P1989" s="2694"/>
      <c r="Q1989" s="2519"/>
      <c r="R1989" s="2519"/>
      <c r="S1989" s="2519"/>
    </row>
    <row r="1990" spans="1:255" s="2358" customFormat="1" ht="14.4" outlineLevel="1">
      <c r="A1990" s="2435" t="str">
        <f>A1989</f>
        <v/>
      </c>
      <c r="B1990" s="2505"/>
      <c r="C1990" s="2511"/>
      <c r="D1990" s="2512"/>
      <c r="E1990" s="2520" t="s">
        <v>6207</v>
      </c>
      <c r="F1990" s="2521"/>
      <c r="G1990" s="2703"/>
      <c r="H1990" s="2517"/>
      <c r="I1990" s="2517"/>
      <c r="J1990" s="2517"/>
      <c r="K1990" s="2517"/>
      <c r="L1990" s="2517">
        <f t="shared" si="377"/>
        <v>0</v>
      </c>
      <c r="M1990" s="2517">
        <f t="shared" si="378"/>
        <v>0</v>
      </c>
      <c r="N1990" s="2517">
        <f t="shared" si="380"/>
        <v>0</v>
      </c>
      <c r="O1990" s="2517">
        <f t="shared" si="379"/>
        <v>0</v>
      </c>
      <c r="P1990" s="2694"/>
      <c r="Q1990" s="2519"/>
      <c r="R1990" s="2519"/>
      <c r="S1990" s="2519"/>
    </row>
    <row r="1991" spans="1:255" s="2358" customFormat="1" outlineLevel="1">
      <c r="A1991" s="2435" t="str">
        <f>IF(G1991&lt;&gt;0,1,"")</f>
        <v/>
      </c>
      <c r="B1991" s="2505" t="s">
        <v>5705</v>
      </c>
      <c r="C1991" s="2521"/>
      <c r="D1991" s="2405" t="s">
        <v>5695</v>
      </c>
      <c r="E1991" s="2447" t="s">
        <v>5706</v>
      </c>
      <c r="F1991" s="2405" t="s">
        <v>2563</v>
      </c>
      <c r="G1991" s="2703">
        <f>G1989</f>
        <v>0</v>
      </c>
      <c r="H1991" s="2517">
        <v>2112489</v>
      </c>
      <c r="I1991" s="2517"/>
      <c r="J1991" s="2517">
        <v>690091</v>
      </c>
      <c r="K1991" s="2517">
        <v>97369</v>
      </c>
      <c r="L1991" s="2517">
        <f t="shared" si="377"/>
        <v>0</v>
      </c>
      <c r="M1991" s="2517">
        <f t="shared" si="378"/>
        <v>0</v>
      </c>
      <c r="N1991" s="2517">
        <f t="shared" si="380"/>
        <v>0</v>
      </c>
      <c r="O1991" s="2517">
        <f t="shared" si="379"/>
        <v>0</v>
      </c>
      <c r="P1991" s="2694"/>
      <c r="Q1991" s="2519"/>
      <c r="R1991" s="2519"/>
      <c r="S1991" s="2519"/>
    </row>
    <row r="1992" spans="1:255" s="2358" customFormat="1" outlineLevel="1">
      <c r="A1992" s="2435" t="str">
        <f>IF(G1992&lt;&gt;0,1,"")</f>
        <v/>
      </c>
      <c r="B1992" s="2505" t="s">
        <v>880</v>
      </c>
      <c r="C1992" s="2511"/>
      <c r="D1992" s="2405">
        <v>0</v>
      </c>
      <c r="E1992" s="2447" t="s">
        <v>5861</v>
      </c>
      <c r="F1992" s="2405" t="s">
        <v>2563</v>
      </c>
      <c r="G1992" s="2703">
        <f>G1989</f>
        <v>0</v>
      </c>
      <c r="H1992" s="2517">
        <v>284000</v>
      </c>
      <c r="I1992" s="2517"/>
      <c r="J1992" s="2517">
        <v>5404</v>
      </c>
      <c r="K1992" s="2517">
        <v>0</v>
      </c>
      <c r="L1992" s="2517">
        <f t="shared" si="377"/>
        <v>0</v>
      </c>
      <c r="M1992" s="2517">
        <f t="shared" si="378"/>
        <v>0</v>
      </c>
      <c r="N1992" s="2517">
        <f t="shared" si="380"/>
        <v>0</v>
      </c>
      <c r="O1992" s="2517">
        <f t="shared" si="379"/>
        <v>0</v>
      </c>
      <c r="P1992" s="2694"/>
      <c r="Q1992" s="2519"/>
      <c r="R1992" s="2519"/>
      <c r="S1992" s="2519"/>
    </row>
    <row r="1993" spans="1:255" s="2358" customFormat="1" outlineLevel="1">
      <c r="A1993" s="2435" t="str">
        <f>IF(G1993&lt;&gt;0,1,"")</f>
        <v/>
      </c>
      <c r="B1993" s="2505" t="s">
        <v>289</v>
      </c>
      <c r="C1993" s="2521"/>
      <c r="D1993" s="2405">
        <v>0</v>
      </c>
      <c r="E1993" s="2447" t="s">
        <v>5774</v>
      </c>
      <c r="F1993" s="2405" t="s">
        <v>2563</v>
      </c>
      <c r="G1993" s="2703">
        <f>G1989*1/2</f>
        <v>0</v>
      </c>
      <c r="H1993" s="2517">
        <v>300000</v>
      </c>
      <c r="I1993" s="2517"/>
      <c r="J1993" s="2517">
        <v>0</v>
      </c>
      <c r="K1993" s="2517">
        <v>0</v>
      </c>
      <c r="L1993" s="2517">
        <f t="shared" si="377"/>
        <v>0</v>
      </c>
      <c r="M1993" s="2517">
        <f t="shared" si="378"/>
        <v>0</v>
      </c>
      <c r="N1993" s="2517">
        <f t="shared" si="380"/>
        <v>0</v>
      </c>
      <c r="O1993" s="2517">
        <f t="shared" si="379"/>
        <v>0</v>
      </c>
      <c r="P1993" s="2642"/>
      <c r="Q1993" s="2519"/>
      <c r="R1993" s="2519"/>
      <c r="S1993" s="2519"/>
    </row>
    <row r="1994" spans="1:255" s="2358" customFormat="1" outlineLevel="1">
      <c r="A1994" s="2435" t="str">
        <f>IF(G1994&lt;&gt;0,1,"")</f>
        <v/>
      </c>
      <c r="B1994" s="2505" t="s">
        <v>588</v>
      </c>
      <c r="C1994" s="2521"/>
      <c r="D1994" s="2405">
        <v>0</v>
      </c>
      <c r="E1994" s="2447" t="s">
        <v>2999</v>
      </c>
      <c r="F1994" s="2405" t="s">
        <v>2445</v>
      </c>
      <c r="G1994" s="2703">
        <f>G1989*2</f>
        <v>0</v>
      </c>
      <c r="H1994" s="2517">
        <v>168000</v>
      </c>
      <c r="I1994" s="2517"/>
      <c r="J1994" s="2517">
        <v>0</v>
      </c>
      <c r="K1994" s="2517">
        <v>0</v>
      </c>
      <c r="L1994" s="2517">
        <f>H1994*G1994</f>
        <v>0</v>
      </c>
      <c r="M1994" s="2517">
        <f>I1994*G1994</f>
        <v>0</v>
      </c>
      <c r="N1994" s="2517">
        <f>J1994*G1994</f>
        <v>0</v>
      </c>
      <c r="O1994" s="2517">
        <f>K1994*G1994</f>
        <v>0</v>
      </c>
      <c r="P1994" s="2694"/>
      <c r="Q1994" s="2519"/>
      <c r="R1994" s="2519"/>
      <c r="S1994" s="2519"/>
    </row>
    <row r="1995" spans="1:255" s="2541" customFormat="1" outlineLevel="1">
      <c r="A1995" s="2435" t="str">
        <f>IF(G1995&lt;&gt;0,1,"")</f>
        <v/>
      </c>
      <c r="B1995" s="2505"/>
      <c r="C1995" s="2511">
        <f>IF(G1995&gt;0,C1989+1,C1989)</f>
        <v>0</v>
      </c>
      <c r="D1995" s="2512"/>
      <c r="E1995" s="2629" t="s">
        <v>6320</v>
      </c>
      <c r="F1995" s="2511" t="s">
        <v>2391</v>
      </c>
      <c r="G1995" s="2704">
        <f>G1901</f>
        <v>0</v>
      </c>
      <c r="H1995" s="2517"/>
      <c r="I1995" s="2517"/>
      <c r="J1995" s="2517"/>
      <c r="K1995" s="2517"/>
      <c r="L1995" s="2517"/>
      <c r="M1995" s="2517"/>
      <c r="N1995" s="2517"/>
      <c r="O1995" s="2517"/>
      <c r="P1995" s="2694"/>
      <c r="Q1995" s="2519"/>
      <c r="R1995" s="2519"/>
      <c r="S1995" s="2358"/>
      <c r="T1995" s="2358"/>
      <c r="U1995" s="2358"/>
      <c r="V1995" s="2358"/>
      <c r="W1995" s="2358"/>
      <c r="X1995" s="2358"/>
      <c r="Y1995" s="2358"/>
      <c r="Z1995" s="2358"/>
      <c r="AA1995" s="2358"/>
      <c r="AB1995" s="2358"/>
      <c r="AC1995" s="2358"/>
      <c r="AD1995" s="2358"/>
      <c r="AE1995" s="2358"/>
      <c r="AF1995" s="2358"/>
      <c r="AG1995" s="2358"/>
      <c r="AH1995" s="2358"/>
      <c r="AI1995" s="2358"/>
      <c r="AJ1995" s="2358"/>
      <c r="AK1995" s="2358"/>
      <c r="AL1995" s="2358"/>
      <c r="AM1995" s="2358"/>
      <c r="AN1995" s="2358"/>
      <c r="AO1995" s="2358"/>
      <c r="AP1995" s="2358"/>
      <c r="AQ1995" s="2358"/>
      <c r="AR1995" s="2358"/>
      <c r="AS1995" s="2358"/>
      <c r="AT1995" s="2358"/>
      <c r="AU1995" s="2358"/>
      <c r="AV1995" s="2358"/>
      <c r="AW1995" s="2358"/>
      <c r="AX1995" s="2358"/>
      <c r="AY1995" s="2358"/>
      <c r="AZ1995" s="2358"/>
      <c r="BA1995" s="2358"/>
      <c r="BB1995" s="2358"/>
      <c r="BC1995" s="2358"/>
      <c r="BD1995" s="2358"/>
      <c r="BE1995" s="2358"/>
      <c r="BF1995" s="2358"/>
      <c r="BG1995" s="2358"/>
      <c r="BH1995" s="2358"/>
      <c r="BI1995" s="2358"/>
      <c r="BJ1995" s="2358"/>
      <c r="BK1995" s="2358"/>
      <c r="BL1995" s="2358"/>
      <c r="BM1995" s="2358"/>
      <c r="BN1995" s="2358"/>
      <c r="BO1995" s="2358"/>
      <c r="BP1995" s="2358"/>
      <c r="BQ1995" s="2358"/>
      <c r="BR1995" s="2358"/>
      <c r="BS1995" s="2358"/>
      <c r="BT1995" s="2358"/>
      <c r="BU1995" s="2358"/>
      <c r="BV1995" s="2358"/>
      <c r="BW1995" s="2358"/>
      <c r="BX1995" s="2358"/>
      <c r="BY1995" s="2358"/>
      <c r="BZ1995" s="2358"/>
      <c r="CA1995" s="2358"/>
      <c r="CB1995" s="2358"/>
      <c r="CC1995" s="2358"/>
      <c r="CD1995" s="2358"/>
      <c r="CE1995" s="2358"/>
      <c r="CF1995" s="2358"/>
      <c r="CG1995" s="2358"/>
      <c r="CH1995" s="2358"/>
      <c r="CI1995" s="2358"/>
      <c r="CJ1995" s="2358"/>
      <c r="CK1995" s="2358"/>
      <c r="CL1995" s="2358"/>
      <c r="CM1995" s="2358"/>
      <c r="CN1995" s="2358"/>
      <c r="CO1995" s="2358"/>
      <c r="CP1995" s="2358"/>
      <c r="CQ1995" s="2358"/>
      <c r="CR1995" s="2358"/>
      <c r="CS1995" s="2358"/>
      <c r="CT1995" s="2358"/>
      <c r="CU1995" s="2358"/>
      <c r="CV1995" s="2358"/>
      <c r="CW1995" s="2358"/>
      <c r="CX1995" s="2358"/>
      <c r="CY1995" s="2358"/>
      <c r="CZ1995" s="2358"/>
      <c r="DA1995" s="2358"/>
      <c r="DB1995" s="2358"/>
      <c r="DC1995" s="2358"/>
      <c r="DD1995" s="2358"/>
      <c r="DE1995" s="2358"/>
      <c r="DF1995" s="2358"/>
      <c r="DG1995" s="2358"/>
      <c r="DH1995" s="2358"/>
      <c r="DI1995" s="2358"/>
      <c r="DJ1995" s="2358"/>
      <c r="DK1995" s="2358"/>
      <c r="DL1995" s="2358"/>
      <c r="DM1995" s="2358"/>
      <c r="DN1995" s="2358"/>
      <c r="DO1995" s="2358"/>
      <c r="DP1995" s="2358"/>
      <c r="DQ1995" s="2358"/>
      <c r="DR1995" s="2358"/>
      <c r="DS1995" s="2358"/>
      <c r="DT1995" s="2358"/>
      <c r="DU1995" s="2358"/>
      <c r="DV1995" s="2358"/>
      <c r="DW1995" s="2358"/>
      <c r="DX1995" s="2358"/>
      <c r="DY1995" s="2358"/>
      <c r="DZ1995" s="2358"/>
      <c r="EA1995" s="2358"/>
      <c r="EB1995" s="2358"/>
      <c r="EC1995" s="2358"/>
      <c r="ED1995" s="2358"/>
      <c r="EE1995" s="2358"/>
      <c r="EF1995" s="2358"/>
      <c r="EG1995" s="2358"/>
      <c r="EH1995" s="2358"/>
      <c r="EI1995" s="2358"/>
      <c r="EJ1995" s="2358"/>
      <c r="EK1995" s="2358"/>
      <c r="EL1995" s="2358"/>
      <c r="EM1995" s="2358"/>
      <c r="EN1995" s="2358"/>
      <c r="EO1995" s="2358"/>
      <c r="EP1995" s="2358"/>
      <c r="EQ1995" s="2358"/>
      <c r="ER1995" s="2358"/>
      <c r="ES1995" s="2358"/>
      <c r="ET1995" s="2358"/>
      <c r="EU1995" s="2358"/>
      <c r="EV1995" s="2358"/>
      <c r="EW1995" s="2358"/>
      <c r="EX1995" s="2358"/>
      <c r="EY1995" s="2358"/>
      <c r="EZ1995" s="2358"/>
      <c r="FA1995" s="2358"/>
      <c r="FB1995" s="2358"/>
      <c r="FC1995" s="2358"/>
      <c r="FD1995" s="2358"/>
      <c r="FE1995" s="2358"/>
      <c r="FF1995" s="2358"/>
      <c r="FG1995" s="2358"/>
      <c r="FH1995" s="2358"/>
      <c r="FI1995" s="2358"/>
      <c r="FJ1995" s="2358"/>
      <c r="FK1995" s="2358"/>
      <c r="FL1995" s="2358"/>
      <c r="FM1995" s="2358"/>
      <c r="FN1995" s="2358"/>
      <c r="FO1995" s="2358"/>
      <c r="FP1995" s="2358"/>
      <c r="FQ1995" s="2358"/>
      <c r="FR1995" s="2358"/>
      <c r="FS1995" s="2358"/>
      <c r="FT1995" s="2358"/>
      <c r="FU1995" s="2358"/>
      <c r="FV1995" s="2358"/>
      <c r="FW1995" s="2358"/>
      <c r="FX1995" s="2358"/>
      <c r="FY1995" s="2358"/>
      <c r="FZ1995" s="2358"/>
      <c r="GA1995" s="2358"/>
      <c r="GB1995" s="2358"/>
      <c r="GC1995" s="2358"/>
      <c r="GD1995" s="2358"/>
      <c r="GE1995" s="2358"/>
      <c r="GF1995" s="2358"/>
      <c r="GG1995" s="2358"/>
      <c r="GH1995" s="2358"/>
      <c r="GI1995" s="2358"/>
      <c r="GJ1995" s="2358"/>
      <c r="GK1995" s="2358"/>
      <c r="GL1995" s="2358"/>
      <c r="GM1995" s="2358"/>
      <c r="GN1995" s="2358"/>
      <c r="GO1995" s="2358"/>
      <c r="GP1995" s="2358"/>
      <c r="GQ1995" s="2358"/>
      <c r="GR1995" s="2358"/>
      <c r="GS1995" s="2358"/>
      <c r="GT1995" s="2358"/>
      <c r="GU1995" s="2358"/>
      <c r="GV1995" s="2358"/>
      <c r="GW1995" s="2358"/>
      <c r="GX1995" s="2358"/>
      <c r="GY1995" s="2358"/>
      <c r="GZ1995" s="2358"/>
      <c r="HA1995" s="2358"/>
      <c r="HB1995" s="2358"/>
      <c r="HC1995" s="2358"/>
      <c r="HD1995" s="2358"/>
      <c r="HE1995" s="2358"/>
      <c r="HF1995" s="2358"/>
      <c r="HG1995" s="2358"/>
      <c r="HH1995" s="2358"/>
      <c r="HI1995" s="2358"/>
      <c r="HJ1995" s="2358"/>
      <c r="HK1995" s="2358"/>
      <c r="HL1995" s="2358"/>
      <c r="HM1995" s="2358"/>
      <c r="HN1995" s="2358"/>
      <c r="HO1995" s="2358"/>
      <c r="HP1995" s="2358"/>
      <c r="HQ1995" s="2358"/>
      <c r="HR1995" s="2358"/>
      <c r="HS1995" s="2358"/>
      <c r="HT1995" s="2358"/>
      <c r="HU1995" s="2358"/>
      <c r="HV1995" s="2358"/>
      <c r="HW1995" s="2358"/>
      <c r="HX1995" s="2358"/>
      <c r="HY1995" s="2358"/>
      <c r="HZ1995" s="2358"/>
      <c r="IA1995" s="2358"/>
      <c r="IB1995" s="2358"/>
      <c r="IC1995" s="2358"/>
      <c r="ID1995" s="2358"/>
      <c r="IE1995" s="2358"/>
      <c r="IF1995" s="2358"/>
      <c r="IG1995" s="2358"/>
      <c r="IH1995" s="2358"/>
      <c r="II1995" s="2358"/>
      <c r="IJ1995" s="2358"/>
      <c r="IK1995" s="2358"/>
      <c r="IL1995" s="2358"/>
      <c r="IM1995" s="2358"/>
      <c r="IN1995" s="2358"/>
      <c r="IO1995" s="2358"/>
      <c r="IP1995" s="2358"/>
      <c r="IQ1995" s="2358"/>
      <c r="IR1995" s="2358"/>
      <c r="IS1995" s="2358"/>
      <c r="IT1995" s="2358"/>
      <c r="IU1995" s="2358"/>
    </row>
    <row r="1996" spans="1:255" s="2752" customFormat="1" ht="14.4" outlineLevel="1">
      <c r="A1996" s="2744" t="str">
        <f>A1995</f>
        <v/>
      </c>
      <c r="B1996" s="2505"/>
      <c r="C1996" s="2745"/>
      <c r="D1996" s="2746"/>
      <c r="E1996" s="2747" t="s">
        <v>6207</v>
      </c>
      <c r="F1996" s="2746"/>
      <c r="G1996" s="2748"/>
      <c r="H1996" s="2749"/>
      <c r="I1996" s="2749"/>
      <c r="J1996" s="2749"/>
      <c r="K1996" s="2749"/>
      <c r="L1996" s="2749"/>
      <c r="M1996" s="2749"/>
      <c r="N1996" s="2749"/>
      <c r="O1996" s="2749"/>
      <c r="P1996" s="2750"/>
      <c r="Q1996" s="2751"/>
      <c r="R1996" s="2519"/>
      <c r="S1996" s="2751"/>
    </row>
    <row r="1997" spans="1:255" s="2358" customFormat="1" outlineLevel="1">
      <c r="A1997" s="2435" t="str">
        <f>IF(G1997&lt;&gt;0,1,"")</f>
        <v/>
      </c>
      <c r="B1997" s="2505" t="s">
        <v>6321</v>
      </c>
      <c r="C1997" s="2521"/>
      <c r="D1997" s="2405" t="s">
        <v>5717</v>
      </c>
      <c r="E1997" s="2447" t="s">
        <v>5721</v>
      </c>
      <c r="F1997" s="2405" t="s">
        <v>2563</v>
      </c>
      <c r="G1997" s="2703">
        <f>G1995</f>
        <v>0</v>
      </c>
      <c r="H1997" s="2517">
        <v>783952</v>
      </c>
      <c r="I1997" s="2517"/>
      <c r="J1997" s="2517">
        <v>599038</v>
      </c>
      <c r="K1997" s="2517">
        <v>97369</v>
      </c>
      <c r="L1997" s="2517">
        <f>H1997*G1997</f>
        <v>0</v>
      </c>
      <c r="M1997" s="2517">
        <f>I1997*G1997</f>
        <v>0</v>
      </c>
      <c r="N1997" s="2517">
        <f>J1997*G1997</f>
        <v>0</v>
      </c>
      <c r="O1997" s="2517">
        <f>K1997*G1997</f>
        <v>0</v>
      </c>
      <c r="P1997" s="2694"/>
      <c r="Q1997" s="2519"/>
      <c r="R1997" s="2519"/>
      <c r="S1997" s="2519"/>
    </row>
    <row r="1998" spans="1:255" s="2358" customFormat="1" outlineLevel="1">
      <c r="A1998" s="2435" t="str">
        <f t="shared" ref="A1998:A2012" si="381">IF(G1998&lt;&gt;0,1,"")</f>
        <v/>
      </c>
      <c r="B1998" s="2505" t="s">
        <v>880</v>
      </c>
      <c r="C1998" s="2521"/>
      <c r="D1998" s="2405">
        <v>0</v>
      </c>
      <c r="E1998" s="2447" t="s">
        <v>5861</v>
      </c>
      <c r="F1998" s="2405" t="s">
        <v>2563</v>
      </c>
      <c r="G1998" s="2703">
        <f>G1997</f>
        <v>0</v>
      </c>
      <c r="H1998" s="2517">
        <v>284000</v>
      </c>
      <c r="I1998" s="2517"/>
      <c r="J1998" s="2517">
        <v>5404</v>
      </c>
      <c r="K1998" s="2517">
        <v>0</v>
      </c>
      <c r="L1998" s="2517">
        <f t="shared" ref="L1998:L2012" si="382">H1998*G1998</f>
        <v>0</v>
      </c>
      <c r="M1998" s="2517">
        <f t="shared" ref="M1998:M2012" si="383">I1998*G1998</f>
        <v>0</v>
      </c>
      <c r="N1998" s="2517">
        <f t="shared" ref="N1998:N2012" si="384">J1998*G1998</f>
        <v>0</v>
      </c>
      <c r="O1998" s="2517">
        <f t="shared" ref="O1998:O2012" si="385">K1998*G1998</f>
        <v>0</v>
      </c>
      <c r="P1998" s="2694"/>
      <c r="Q1998" s="2519"/>
      <c r="R1998" s="2519"/>
      <c r="S1998" s="2519"/>
    </row>
    <row r="1999" spans="1:255" s="2358" customFormat="1" outlineLevel="1">
      <c r="A1999" s="2435" t="str">
        <f t="shared" si="381"/>
        <v/>
      </c>
      <c r="B1999" s="2505" t="s">
        <v>289</v>
      </c>
      <c r="C1999" s="2521"/>
      <c r="D1999" s="2405">
        <v>0</v>
      </c>
      <c r="E1999" s="2447" t="s">
        <v>5774</v>
      </c>
      <c r="F1999" s="2405" t="s">
        <v>2563</v>
      </c>
      <c r="G1999" s="2703">
        <f>G1995</f>
        <v>0</v>
      </c>
      <c r="H1999" s="2517">
        <v>300000</v>
      </c>
      <c r="I1999" s="2517"/>
      <c r="J1999" s="2517">
        <v>0</v>
      </c>
      <c r="K1999" s="2517">
        <v>0</v>
      </c>
      <c r="L1999" s="2517">
        <f t="shared" si="382"/>
        <v>0</v>
      </c>
      <c r="M1999" s="2517">
        <f t="shared" si="383"/>
        <v>0</v>
      </c>
      <c r="N1999" s="2517">
        <f t="shared" si="384"/>
        <v>0</v>
      </c>
      <c r="O1999" s="2517">
        <f t="shared" si="385"/>
        <v>0</v>
      </c>
      <c r="P1999" s="2694"/>
      <c r="Q1999" s="2519"/>
      <c r="R1999" s="2519"/>
      <c r="S1999" s="2519"/>
    </row>
    <row r="2000" spans="1:255" s="2358" customFormat="1" outlineLevel="1">
      <c r="A2000" s="2435" t="str">
        <f t="shared" si="381"/>
        <v/>
      </c>
      <c r="B2000" s="2505" t="s">
        <v>588</v>
      </c>
      <c r="C2000" s="2521"/>
      <c r="D2000" s="2405">
        <v>0</v>
      </c>
      <c r="E2000" s="2447" t="s">
        <v>2999</v>
      </c>
      <c r="F2000" s="2405" t="s">
        <v>2445</v>
      </c>
      <c r="G2000" s="2703">
        <f>G1997*2</f>
        <v>0</v>
      </c>
      <c r="H2000" s="2517">
        <v>168000</v>
      </c>
      <c r="I2000" s="2517"/>
      <c r="J2000" s="2517">
        <v>0</v>
      </c>
      <c r="K2000" s="2517">
        <v>0</v>
      </c>
      <c r="L2000" s="2517">
        <f t="shared" si="382"/>
        <v>0</v>
      </c>
      <c r="M2000" s="2517">
        <f t="shared" si="383"/>
        <v>0</v>
      </c>
      <c r="N2000" s="2517">
        <f t="shared" si="384"/>
        <v>0</v>
      </c>
      <c r="O2000" s="2517">
        <f t="shared" si="385"/>
        <v>0</v>
      </c>
      <c r="P2000" s="2694"/>
      <c r="Q2000" s="2519"/>
      <c r="R2000" s="2519"/>
      <c r="S2000" s="2519"/>
    </row>
    <row r="2001" spans="1:19" s="2358" customFormat="1" outlineLevel="1">
      <c r="A2001" s="2435" t="str">
        <f t="shared" si="381"/>
        <v/>
      </c>
      <c r="B2001" s="2514" t="s">
        <v>1826</v>
      </c>
      <c r="C2001" s="2521"/>
      <c r="D2001" s="2405" t="s">
        <v>1530</v>
      </c>
      <c r="E2001" s="2447" t="s">
        <v>2792</v>
      </c>
      <c r="F2001" s="2405" t="s">
        <v>2538</v>
      </c>
      <c r="G2001" s="2703">
        <f>G1995*6</f>
        <v>0</v>
      </c>
      <c r="H2001" s="2517">
        <v>28200</v>
      </c>
      <c r="I2001" s="2517"/>
      <c r="J2001" s="2517">
        <v>0</v>
      </c>
      <c r="K2001" s="2517">
        <v>0</v>
      </c>
      <c r="L2001" s="2517">
        <f t="shared" si="382"/>
        <v>0</v>
      </c>
      <c r="M2001" s="2517">
        <f t="shared" si="383"/>
        <v>0</v>
      </c>
      <c r="N2001" s="2517">
        <f t="shared" si="384"/>
        <v>0</v>
      </c>
      <c r="O2001" s="2517">
        <f t="shared" si="385"/>
        <v>0</v>
      </c>
      <c r="P2001" s="2694"/>
      <c r="Q2001" s="2519"/>
      <c r="R2001" s="2519"/>
      <c r="S2001" s="2519"/>
    </row>
    <row r="2002" spans="1:19" s="2358" customFormat="1" outlineLevel="1">
      <c r="A2002" s="2435" t="str">
        <f t="shared" si="381"/>
        <v/>
      </c>
      <c r="B2002" s="2514" t="s">
        <v>1869</v>
      </c>
      <c r="C2002" s="2521"/>
      <c r="D2002" s="2405">
        <v>0</v>
      </c>
      <c r="E2002" s="2447" t="s">
        <v>3489</v>
      </c>
      <c r="F2002" s="2405" t="s">
        <v>2563</v>
      </c>
      <c r="G2002" s="2703">
        <f>G1995*4*2</f>
        <v>0</v>
      </c>
      <c r="H2002" s="2517">
        <v>1700</v>
      </c>
      <c r="I2002" s="2517"/>
      <c r="J2002" s="2517">
        <v>0</v>
      </c>
      <c r="K2002" s="2517">
        <v>0</v>
      </c>
      <c r="L2002" s="2517">
        <f t="shared" si="382"/>
        <v>0</v>
      </c>
      <c r="M2002" s="2517">
        <f t="shared" si="383"/>
        <v>0</v>
      </c>
      <c r="N2002" s="2517">
        <f t="shared" si="384"/>
        <v>0</v>
      </c>
      <c r="O2002" s="2517">
        <f t="shared" si="385"/>
        <v>0</v>
      </c>
      <c r="P2002" s="2694"/>
      <c r="Q2002" s="2519"/>
      <c r="R2002" s="2519"/>
      <c r="S2002" s="2519"/>
    </row>
    <row r="2003" spans="1:19" s="2358" customFormat="1" outlineLevel="1">
      <c r="A2003" s="2435" t="str">
        <f t="shared" si="381"/>
        <v/>
      </c>
      <c r="B2003" s="2514" t="s">
        <v>2147</v>
      </c>
      <c r="C2003" s="2521"/>
      <c r="D2003" s="2405">
        <v>0</v>
      </c>
      <c r="E2003" s="2447" t="s">
        <v>3553</v>
      </c>
      <c r="F2003" s="2405" t="s">
        <v>1827</v>
      </c>
      <c r="G2003" s="2703">
        <f>G1998*4</f>
        <v>0</v>
      </c>
      <c r="H2003" s="2517">
        <v>16100</v>
      </c>
      <c r="I2003" s="2517"/>
      <c r="J2003" s="2517">
        <v>0</v>
      </c>
      <c r="K2003" s="2517">
        <v>0</v>
      </c>
      <c r="L2003" s="2517">
        <f t="shared" si="382"/>
        <v>0</v>
      </c>
      <c r="M2003" s="2517">
        <f t="shared" si="383"/>
        <v>0</v>
      </c>
      <c r="N2003" s="2517">
        <f t="shared" si="384"/>
        <v>0</v>
      </c>
      <c r="O2003" s="2517">
        <f t="shared" si="385"/>
        <v>0</v>
      </c>
      <c r="P2003" s="2694"/>
      <c r="Q2003" s="2519"/>
      <c r="R2003" s="2519"/>
      <c r="S2003" s="2519"/>
    </row>
    <row r="2004" spans="1:19" s="2358" customFormat="1" outlineLevel="1">
      <c r="A2004" s="2435" t="str">
        <f t="shared" si="381"/>
        <v/>
      </c>
      <c r="B2004" s="2514" t="s">
        <v>6322</v>
      </c>
      <c r="C2004" s="2521"/>
      <c r="D2004" s="2405">
        <v>0</v>
      </c>
      <c r="E2004" s="2447" t="s">
        <v>3560</v>
      </c>
      <c r="F2004" s="2405" t="s">
        <v>2563</v>
      </c>
      <c r="G2004" s="2703">
        <f>G1995</f>
        <v>0</v>
      </c>
      <c r="H2004" s="2517">
        <v>11400</v>
      </c>
      <c r="I2004" s="2517"/>
      <c r="J2004" s="2517">
        <v>0</v>
      </c>
      <c r="K2004" s="2517">
        <v>0</v>
      </c>
      <c r="L2004" s="2517">
        <f t="shared" si="382"/>
        <v>0</v>
      </c>
      <c r="M2004" s="2517">
        <f t="shared" si="383"/>
        <v>0</v>
      </c>
      <c r="N2004" s="2517">
        <f t="shared" si="384"/>
        <v>0</v>
      </c>
      <c r="O2004" s="2517">
        <f t="shared" si="385"/>
        <v>0</v>
      </c>
      <c r="P2004" s="2694"/>
      <c r="Q2004" s="2519"/>
      <c r="R2004" s="2519"/>
      <c r="S2004" s="2519"/>
    </row>
    <row r="2005" spans="1:19" s="2358" customFormat="1" outlineLevel="1">
      <c r="A2005" s="2435" t="str">
        <f t="shared" si="381"/>
        <v/>
      </c>
      <c r="B2005" s="2514" t="s">
        <v>203</v>
      </c>
      <c r="C2005" s="2521"/>
      <c r="D2005" s="2405">
        <v>0</v>
      </c>
      <c r="E2005" s="2447" t="s">
        <v>2996</v>
      </c>
      <c r="F2005" s="2405" t="s">
        <v>2445</v>
      </c>
      <c r="G2005" s="2703">
        <f>G1995*2</f>
        <v>0</v>
      </c>
      <c r="H2005" s="2517">
        <v>34000</v>
      </c>
      <c r="I2005" s="2517"/>
      <c r="J2005" s="2517">
        <v>0</v>
      </c>
      <c r="K2005" s="2517">
        <v>0</v>
      </c>
      <c r="L2005" s="2517">
        <f t="shared" si="382"/>
        <v>0</v>
      </c>
      <c r="M2005" s="2517">
        <f t="shared" si="383"/>
        <v>0</v>
      </c>
      <c r="N2005" s="2517">
        <f t="shared" si="384"/>
        <v>0</v>
      </c>
      <c r="O2005" s="2517">
        <f t="shared" si="385"/>
        <v>0</v>
      </c>
      <c r="P2005" s="2694"/>
      <c r="Q2005" s="2519"/>
      <c r="R2005" s="2519"/>
      <c r="S2005" s="2519"/>
    </row>
    <row r="2006" spans="1:19" s="2358" customFormat="1" outlineLevel="1">
      <c r="A2006" s="2435" t="str">
        <f t="shared" si="381"/>
        <v/>
      </c>
      <c r="B2006" s="2514" t="s">
        <v>6323</v>
      </c>
      <c r="C2006" s="2521"/>
      <c r="D2006" s="2405">
        <v>0</v>
      </c>
      <c r="E2006" s="2447" t="s">
        <v>3591</v>
      </c>
      <c r="F2006" s="2405" t="s">
        <v>2563</v>
      </c>
      <c r="G2006" s="2703">
        <f>G1995*2</f>
        <v>0</v>
      </c>
      <c r="H2006" s="2517">
        <v>5000</v>
      </c>
      <c r="I2006" s="2517"/>
      <c r="J2006" s="2517">
        <v>0</v>
      </c>
      <c r="K2006" s="2517">
        <v>0</v>
      </c>
      <c r="L2006" s="2517">
        <f t="shared" si="382"/>
        <v>0</v>
      </c>
      <c r="M2006" s="2517">
        <f t="shared" si="383"/>
        <v>0</v>
      </c>
      <c r="N2006" s="2517">
        <f t="shared" si="384"/>
        <v>0</v>
      </c>
      <c r="O2006" s="2517">
        <f t="shared" si="385"/>
        <v>0</v>
      </c>
      <c r="P2006" s="2694"/>
      <c r="Q2006" s="2519"/>
      <c r="R2006" s="2519"/>
      <c r="S2006" s="2519"/>
    </row>
    <row r="2007" spans="1:19" s="2358" customFormat="1" outlineLevel="1">
      <c r="A2007" s="2435" t="str">
        <f t="shared" si="381"/>
        <v/>
      </c>
      <c r="B2007" s="2514" t="s">
        <v>6324</v>
      </c>
      <c r="C2007" s="2521"/>
      <c r="D2007" s="2405">
        <v>0</v>
      </c>
      <c r="E2007" s="2447" t="s">
        <v>3595</v>
      </c>
      <c r="F2007" s="2405" t="s">
        <v>2563</v>
      </c>
      <c r="G2007" s="2703">
        <f>G2006</f>
        <v>0</v>
      </c>
      <c r="H2007" s="2517">
        <v>5200</v>
      </c>
      <c r="I2007" s="2517"/>
      <c r="J2007" s="2517">
        <v>0</v>
      </c>
      <c r="K2007" s="2517">
        <v>0</v>
      </c>
      <c r="L2007" s="2517">
        <f t="shared" si="382"/>
        <v>0</v>
      </c>
      <c r="M2007" s="2517">
        <f t="shared" si="383"/>
        <v>0</v>
      </c>
      <c r="N2007" s="2517">
        <f t="shared" si="384"/>
        <v>0</v>
      </c>
      <c r="O2007" s="2517">
        <f t="shared" si="385"/>
        <v>0</v>
      </c>
      <c r="P2007" s="2694"/>
      <c r="Q2007" s="2519"/>
      <c r="R2007" s="2519"/>
      <c r="S2007" s="2519"/>
    </row>
    <row r="2008" spans="1:19" s="2358" customFormat="1" outlineLevel="1">
      <c r="A2008" s="2435" t="str">
        <f t="shared" si="381"/>
        <v/>
      </c>
      <c r="B2008" s="2514" t="s">
        <v>2280</v>
      </c>
      <c r="C2008" s="2521"/>
      <c r="D2008" s="2405">
        <v>0</v>
      </c>
      <c r="E2008" s="2447" t="s">
        <v>3557</v>
      </c>
      <c r="F2008" s="2405" t="s">
        <v>1827</v>
      </c>
      <c r="G2008" s="2703">
        <f>G1995*1.5</f>
        <v>0</v>
      </c>
      <c r="H2008" s="2517">
        <v>3100</v>
      </c>
      <c r="I2008" s="2517"/>
      <c r="J2008" s="2517">
        <v>0</v>
      </c>
      <c r="K2008" s="2517">
        <v>0</v>
      </c>
      <c r="L2008" s="2517">
        <f t="shared" si="382"/>
        <v>0</v>
      </c>
      <c r="M2008" s="2517">
        <f t="shared" si="383"/>
        <v>0</v>
      </c>
      <c r="N2008" s="2517">
        <f t="shared" si="384"/>
        <v>0</v>
      </c>
      <c r="O2008" s="2517">
        <f t="shared" si="385"/>
        <v>0</v>
      </c>
      <c r="P2008" s="2694"/>
      <c r="Q2008" s="2519"/>
      <c r="R2008" s="2519"/>
      <c r="S2008" s="2519"/>
    </row>
    <row r="2009" spans="1:19" s="2358" customFormat="1" outlineLevel="1">
      <c r="A2009" s="2435" t="str">
        <f t="shared" si="381"/>
        <v/>
      </c>
      <c r="B2009" s="2514" t="s">
        <v>2080</v>
      </c>
      <c r="C2009" s="2521"/>
      <c r="D2009" s="2405">
        <v>0</v>
      </c>
      <c r="E2009" s="2447" t="s">
        <v>3588</v>
      </c>
      <c r="F2009" s="2405" t="s">
        <v>3589</v>
      </c>
      <c r="G2009" s="2703">
        <f>G1995*1</f>
        <v>0</v>
      </c>
      <c r="H2009" s="2517">
        <v>11500</v>
      </c>
      <c r="I2009" s="2517"/>
      <c r="J2009" s="2517">
        <v>0</v>
      </c>
      <c r="K2009" s="2517">
        <v>0</v>
      </c>
      <c r="L2009" s="2517">
        <f t="shared" si="382"/>
        <v>0</v>
      </c>
      <c r="M2009" s="2517">
        <f t="shared" si="383"/>
        <v>0</v>
      </c>
      <c r="N2009" s="2517">
        <f t="shared" si="384"/>
        <v>0</v>
      </c>
      <c r="O2009" s="2517">
        <f t="shared" si="385"/>
        <v>0</v>
      </c>
      <c r="P2009" s="2694"/>
      <c r="Q2009" s="2519"/>
      <c r="R2009" s="2519"/>
      <c r="S2009" s="2519"/>
    </row>
    <row r="2010" spans="1:19" s="2358" customFormat="1" outlineLevel="1">
      <c r="A2010" s="2435" t="str">
        <f t="shared" si="381"/>
        <v/>
      </c>
      <c r="B2010" s="2514" t="s">
        <v>6</v>
      </c>
      <c r="C2010" s="2521"/>
      <c r="D2010" s="2405">
        <v>0</v>
      </c>
      <c r="E2010" s="2447" t="s">
        <v>3585</v>
      </c>
      <c r="F2010" s="2405" t="s">
        <v>5868</v>
      </c>
      <c r="G2010" s="2703">
        <f>G1995*1</f>
        <v>0</v>
      </c>
      <c r="H2010" s="2517">
        <v>45000</v>
      </c>
      <c r="I2010" s="2517"/>
      <c r="J2010" s="2517">
        <v>0</v>
      </c>
      <c r="K2010" s="2517">
        <v>0</v>
      </c>
      <c r="L2010" s="2517">
        <f t="shared" si="382"/>
        <v>0</v>
      </c>
      <c r="M2010" s="2517">
        <f t="shared" si="383"/>
        <v>0</v>
      </c>
      <c r="N2010" s="2517">
        <f t="shared" si="384"/>
        <v>0</v>
      </c>
      <c r="O2010" s="2517">
        <f t="shared" si="385"/>
        <v>0</v>
      </c>
      <c r="P2010" s="2694"/>
      <c r="Q2010" s="2519"/>
      <c r="R2010" s="2519"/>
      <c r="S2010" s="2519"/>
    </row>
    <row r="2011" spans="1:19" s="2358" customFormat="1" outlineLevel="1">
      <c r="A2011" s="2435" t="str">
        <f t="shared" si="381"/>
        <v/>
      </c>
      <c r="B2011" s="2514" t="s">
        <v>672</v>
      </c>
      <c r="C2011" s="2521"/>
      <c r="D2011" s="2405">
        <v>0</v>
      </c>
      <c r="E2011" s="2447" t="s">
        <v>5863</v>
      </c>
      <c r="F2011" s="2405" t="s">
        <v>3584</v>
      </c>
      <c r="G2011" s="2703">
        <f>G1995*2</f>
        <v>0</v>
      </c>
      <c r="H2011" s="2517">
        <v>6500</v>
      </c>
      <c r="I2011" s="2517"/>
      <c r="J2011" s="2517">
        <v>0</v>
      </c>
      <c r="K2011" s="2517">
        <v>0</v>
      </c>
      <c r="L2011" s="2517">
        <f t="shared" si="382"/>
        <v>0</v>
      </c>
      <c r="M2011" s="2517">
        <f t="shared" si="383"/>
        <v>0</v>
      </c>
      <c r="N2011" s="2517">
        <f t="shared" si="384"/>
        <v>0</v>
      </c>
      <c r="O2011" s="2517">
        <f t="shared" si="385"/>
        <v>0</v>
      </c>
      <c r="P2011" s="2694"/>
      <c r="Q2011" s="2519"/>
      <c r="R2011" s="2519"/>
      <c r="S2011" s="2519"/>
    </row>
    <row r="2012" spans="1:19" s="2358" customFormat="1" outlineLevel="1">
      <c r="A2012" s="2435" t="str">
        <f t="shared" si="381"/>
        <v/>
      </c>
      <c r="B2012" s="2514" t="s">
        <v>1528</v>
      </c>
      <c r="C2012" s="2521"/>
      <c r="D2012" s="2405" t="s">
        <v>5633</v>
      </c>
      <c r="E2012" s="2447" t="s">
        <v>3310</v>
      </c>
      <c r="F2012" s="2405" t="s">
        <v>1827</v>
      </c>
      <c r="G2012" s="2703">
        <f>G2003*2</f>
        <v>0</v>
      </c>
      <c r="H2012" s="2517">
        <v>0</v>
      </c>
      <c r="I2012" s="2517"/>
      <c r="J2012" s="2517">
        <v>13915</v>
      </c>
      <c r="K2012" s="2517">
        <v>0</v>
      </c>
      <c r="L2012" s="2517">
        <f t="shared" si="382"/>
        <v>0</v>
      </c>
      <c r="M2012" s="2517">
        <f t="shared" si="383"/>
        <v>0</v>
      </c>
      <c r="N2012" s="2517">
        <f t="shared" si="384"/>
        <v>0</v>
      </c>
      <c r="O2012" s="2517">
        <f t="shared" si="385"/>
        <v>0</v>
      </c>
      <c r="P2012" s="2694"/>
      <c r="Q2012" s="2519"/>
      <c r="R2012" s="2519"/>
      <c r="S2012" s="2519"/>
    </row>
    <row r="2013" spans="1:19" s="2358" customFormat="1" outlineLevel="1">
      <c r="A2013" s="2435" t="str">
        <f>IF(G2013&lt;&gt;0,1,"")</f>
        <v/>
      </c>
      <c r="B2013" s="2514"/>
      <c r="C2013" s="2511">
        <f>IF(G2013&gt;0,C1995+1,C1995)</f>
        <v>0</v>
      </c>
      <c r="D2013" s="2512"/>
      <c r="E2013" s="2513" t="s">
        <v>6337</v>
      </c>
      <c r="F2013" s="2511" t="s">
        <v>2391</v>
      </c>
      <c r="G2013" s="2704">
        <f>G1901</f>
        <v>0</v>
      </c>
      <c r="H2013" s="2517"/>
      <c r="I2013" s="2517"/>
      <c r="J2013" s="2517"/>
      <c r="K2013" s="2517"/>
      <c r="L2013" s="2517"/>
      <c r="M2013" s="2517"/>
      <c r="N2013" s="2517"/>
      <c r="O2013" s="2517"/>
      <c r="P2013" s="2694"/>
      <c r="Q2013" s="2519"/>
      <c r="R2013" s="2519"/>
      <c r="S2013" s="2519"/>
    </row>
    <row r="2014" spans="1:19" s="2358" customFormat="1" ht="14.4" outlineLevel="1">
      <c r="A2014" s="2435" t="str">
        <f>A2013</f>
        <v/>
      </c>
      <c r="B2014" s="2514"/>
      <c r="C2014" s="2511"/>
      <c r="D2014" s="2512"/>
      <c r="E2014" s="2527" t="s">
        <v>6207</v>
      </c>
      <c r="F2014" s="2511"/>
      <c r="G2014" s="2704"/>
      <c r="H2014" s="2517"/>
      <c r="I2014" s="2517"/>
      <c r="J2014" s="2517"/>
      <c r="K2014" s="2517"/>
      <c r="L2014" s="2517"/>
      <c r="M2014" s="2517"/>
      <c r="N2014" s="2517"/>
      <c r="O2014" s="2517"/>
      <c r="P2014" s="2694"/>
      <c r="Q2014" s="2519"/>
      <c r="R2014" s="2519"/>
      <c r="S2014" s="2519"/>
    </row>
    <row r="2015" spans="1:19" s="2358" customFormat="1" outlineLevel="1">
      <c r="A2015" s="2435" t="str">
        <f t="shared" ref="A2015:A2026" si="386">IF(G2015&lt;&gt;0,1,"")</f>
        <v/>
      </c>
      <c r="B2015" s="2505" t="s">
        <v>697</v>
      </c>
      <c r="C2015" s="2521"/>
      <c r="D2015" s="2405">
        <v>0</v>
      </c>
      <c r="E2015" s="2447" t="s">
        <v>5139</v>
      </c>
      <c r="F2015" s="2405" t="s">
        <v>2538</v>
      </c>
      <c r="G2015" s="2703">
        <f>G2013*(7)*3</f>
        <v>0</v>
      </c>
      <c r="H2015" s="2517">
        <v>50996</v>
      </c>
      <c r="I2015" s="2517"/>
      <c r="J2015" s="2517">
        <v>0</v>
      </c>
      <c r="K2015" s="2517">
        <v>0</v>
      </c>
      <c r="L2015" s="2517">
        <f t="shared" ref="L2015:L2025" si="387">H2015*G2015</f>
        <v>0</v>
      </c>
      <c r="M2015" s="2517">
        <f>I2015*G2015</f>
        <v>0</v>
      </c>
      <c r="N2015" s="2517">
        <f t="shared" ref="N2015:N2025" si="388">J2015*G2015</f>
        <v>0</v>
      </c>
      <c r="O2015" s="2517">
        <f t="shared" ref="O2015:O2025" si="389">K2015*G2015</f>
        <v>0</v>
      </c>
      <c r="P2015" s="2694"/>
      <c r="Q2015" s="2519"/>
      <c r="R2015" s="2519"/>
      <c r="S2015" s="2519"/>
    </row>
    <row r="2016" spans="1:19" s="2358" customFormat="1" outlineLevel="1">
      <c r="A2016" s="2435" t="str">
        <f t="shared" si="386"/>
        <v/>
      </c>
      <c r="B2016" s="2610" t="s">
        <v>1482</v>
      </c>
      <c r="C2016" s="2521"/>
      <c r="D2016" s="2405">
        <v>0</v>
      </c>
      <c r="E2016" s="2447" t="s">
        <v>3810</v>
      </c>
      <c r="F2016" s="2405" t="s">
        <v>2563</v>
      </c>
      <c r="G2016" s="2703">
        <f>G2013*3</f>
        <v>0</v>
      </c>
      <c r="H2016" s="2517">
        <v>46000</v>
      </c>
      <c r="I2016" s="2517"/>
      <c r="J2016" s="2517">
        <v>0</v>
      </c>
      <c r="K2016" s="2517">
        <v>0</v>
      </c>
      <c r="L2016" s="2517">
        <f t="shared" si="387"/>
        <v>0</v>
      </c>
      <c r="M2016" s="2517">
        <f t="shared" ref="M2016:M2025" si="390">I2016*G2016</f>
        <v>0</v>
      </c>
      <c r="N2016" s="2517">
        <f t="shared" si="388"/>
        <v>0</v>
      </c>
      <c r="O2016" s="2517">
        <f t="shared" si="389"/>
        <v>0</v>
      </c>
      <c r="P2016" s="2694"/>
      <c r="Q2016" s="2519"/>
      <c r="R2016" s="2519"/>
      <c r="S2016" s="2519"/>
    </row>
    <row r="2017" spans="1:19" s="2358" customFormat="1" outlineLevel="1">
      <c r="A2017" s="2435" t="str">
        <f t="shared" si="386"/>
        <v/>
      </c>
      <c r="B2017" s="2610" t="s">
        <v>1480</v>
      </c>
      <c r="C2017" s="2521"/>
      <c r="D2017" s="2405">
        <v>0</v>
      </c>
      <c r="E2017" s="2447" t="s">
        <v>6420</v>
      </c>
      <c r="F2017" s="2405" t="s">
        <v>2563</v>
      </c>
      <c r="G2017" s="2703">
        <f>G2016</f>
        <v>0</v>
      </c>
      <c r="H2017" s="2517">
        <v>77000</v>
      </c>
      <c r="I2017" s="2517"/>
      <c r="J2017" s="2517">
        <v>0</v>
      </c>
      <c r="K2017" s="2517">
        <v>0</v>
      </c>
      <c r="L2017" s="2517">
        <f t="shared" si="387"/>
        <v>0</v>
      </c>
      <c r="M2017" s="2517">
        <f t="shared" si="390"/>
        <v>0</v>
      </c>
      <c r="N2017" s="2517">
        <f t="shared" si="388"/>
        <v>0</v>
      </c>
      <c r="O2017" s="2517">
        <f t="shared" si="389"/>
        <v>0</v>
      </c>
      <c r="P2017" s="2694"/>
      <c r="Q2017" s="2519"/>
      <c r="R2017" s="2519"/>
      <c r="S2017" s="2519"/>
    </row>
    <row r="2018" spans="1:19" s="2358" customFormat="1" outlineLevel="1">
      <c r="A2018" s="2435" t="str">
        <f t="shared" si="386"/>
        <v/>
      </c>
      <c r="B2018" s="2610" t="s">
        <v>5761</v>
      </c>
      <c r="C2018" s="2521"/>
      <c r="D2018" s="2405">
        <v>0</v>
      </c>
      <c r="E2018" s="2447" t="s">
        <v>5762</v>
      </c>
      <c r="F2018" s="2405" t="s">
        <v>2563</v>
      </c>
      <c r="G2018" s="2703">
        <f>+G2013*3</f>
        <v>0</v>
      </c>
      <c r="H2018" s="2517">
        <v>218200</v>
      </c>
      <c r="I2018" s="2517"/>
      <c r="J2018" s="2517">
        <v>0</v>
      </c>
      <c r="K2018" s="2517">
        <v>0</v>
      </c>
      <c r="L2018" s="2517">
        <f t="shared" si="387"/>
        <v>0</v>
      </c>
      <c r="M2018" s="2517">
        <f t="shared" si="390"/>
        <v>0</v>
      </c>
      <c r="N2018" s="2517">
        <f t="shared" si="388"/>
        <v>0</v>
      </c>
      <c r="O2018" s="2517">
        <f t="shared" si="389"/>
        <v>0</v>
      </c>
      <c r="P2018" s="2702"/>
      <c r="Q2018" s="2519"/>
      <c r="R2018" s="2519"/>
      <c r="S2018" s="2519"/>
    </row>
    <row r="2019" spans="1:19" s="2358" customFormat="1" outlineLevel="1">
      <c r="A2019" s="2435" t="str">
        <f t="shared" si="386"/>
        <v/>
      </c>
      <c r="B2019" s="2610" t="s">
        <v>5767</v>
      </c>
      <c r="C2019" s="2521"/>
      <c r="D2019" s="2405">
        <v>0</v>
      </c>
      <c r="E2019" s="2447" t="s">
        <v>5768</v>
      </c>
      <c r="F2019" s="2405" t="s">
        <v>2563</v>
      </c>
      <c r="G2019" s="2703">
        <f>+G2013*3</f>
        <v>0</v>
      </c>
      <c r="H2019" s="2517">
        <v>39100</v>
      </c>
      <c r="I2019" s="2517"/>
      <c r="J2019" s="2517">
        <v>0</v>
      </c>
      <c r="K2019" s="2517">
        <v>0</v>
      </c>
      <c r="L2019" s="2517">
        <f t="shared" si="387"/>
        <v>0</v>
      </c>
      <c r="M2019" s="2517">
        <f t="shared" si="390"/>
        <v>0</v>
      </c>
      <c r="N2019" s="2517">
        <f t="shared" si="388"/>
        <v>0</v>
      </c>
      <c r="O2019" s="2517">
        <f t="shared" si="389"/>
        <v>0</v>
      </c>
      <c r="P2019" s="2702"/>
      <c r="Q2019" s="2519"/>
      <c r="R2019" s="2519"/>
      <c r="S2019" s="2519"/>
    </row>
    <row r="2020" spans="1:19" s="2358" customFormat="1" outlineLevel="1">
      <c r="A2020" s="2435" t="str">
        <f t="shared" si="386"/>
        <v/>
      </c>
      <c r="B2020" s="2610" t="s">
        <v>5769</v>
      </c>
      <c r="C2020" s="2521"/>
      <c r="D2020" s="2405">
        <v>0</v>
      </c>
      <c r="E2020" s="2447" t="s">
        <v>5770</v>
      </c>
      <c r="F2020" s="2405" t="s">
        <v>2563</v>
      </c>
      <c r="G2020" s="2703">
        <f>+G2013*3</f>
        <v>0</v>
      </c>
      <c r="H2020" s="2517">
        <v>56700</v>
      </c>
      <c r="I2020" s="2517"/>
      <c r="J2020" s="2517">
        <v>0</v>
      </c>
      <c r="K2020" s="2517">
        <v>0</v>
      </c>
      <c r="L2020" s="2517">
        <f t="shared" si="387"/>
        <v>0</v>
      </c>
      <c r="M2020" s="2517">
        <f t="shared" si="390"/>
        <v>0</v>
      </c>
      <c r="N2020" s="2517">
        <f t="shared" si="388"/>
        <v>0</v>
      </c>
      <c r="O2020" s="2517">
        <f t="shared" si="389"/>
        <v>0</v>
      </c>
      <c r="P2020" s="2702"/>
      <c r="Q2020" s="2519"/>
      <c r="R2020" s="2519"/>
      <c r="S2020" s="2519"/>
    </row>
    <row r="2021" spans="1:19" s="2358" customFormat="1" outlineLevel="1">
      <c r="A2021" s="2435" t="str">
        <f t="shared" si="386"/>
        <v/>
      </c>
      <c r="B2021" s="2610" t="s">
        <v>6338</v>
      </c>
      <c r="C2021" s="2521"/>
      <c r="D2021" s="2405"/>
      <c r="E2021" s="2447" t="s">
        <v>5760</v>
      </c>
      <c r="F2021" s="2405" t="s">
        <v>3463</v>
      </c>
      <c r="G2021" s="2703">
        <f>G2013*3*3</f>
        <v>0</v>
      </c>
      <c r="H2021" s="2517">
        <v>25000</v>
      </c>
      <c r="I2021" s="2517"/>
      <c r="J2021" s="2517">
        <v>0</v>
      </c>
      <c r="K2021" s="2517">
        <v>0</v>
      </c>
      <c r="L2021" s="2517">
        <f t="shared" si="387"/>
        <v>0</v>
      </c>
      <c r="M2021" s="2517">
        <f t="shared" si="390"/>
        <v>0</v>
      </c>
      <c r="N2021" s="2517">
        <f t="shared" si="388"/>
        <v>0</v>
      </c>
      <c r="O2021" s="2517">
        <f t="shared" si="389"/>
        <v>0</v>
      </c>
      <c r="P2021" s="2702"/>
      <c r="Q2021" s="2519"/>
      <c r="R2021" s="2519"/>
      <c r="S2021" s="2519"/>
    </row>
    <row r="2022" spans="1:19" s="2358" customFormat="1" outlineLevel="1">
      <c r="A2022" s="2435" t="str">
        <f t="shared" si="386"/>
        <v/>
      </c>
      <c r="B2022" s="2505" t="s">
        <v>696</v>
      </c>
      <c r="C2022" s="2642"/>
      <c r="D2022" s="2405">
        <v>0</v>
      </c>
      <c r="E2022" s="2447" t="s">
        <v>2952</v>
      </c>
      <c r="F2022" s="2405" t="s">
        <v>2563</v>
      </c>
      <c r="G2022" s="2703">
        <f>G2013*3</f>
        <v>0</v>
      </c>
      <c r="H2022" s="2517">
        <v>205000</v>
      </c>
      <c r="I2022" s="2517"/>
      <c r="J2022" s="2517">
        <v>0</v>
      </c>
      <c r="K2022" s="2517">
        <v>0</v>
      </c>
      <c r="L2022" s="2517">
        <f t="shared" si="387"/>
        <v>0</v>
      </c>
      <c r="M2022" s="2517">
        <f t="shared" si="390"/>
        <v>0</v>
      </c>
      <c r="N2022" s="2517">
        <f t="shared" si="388"/>
        <v>0</v>
      </c>
      <c r="O2022" s="2517">
        <f t="shared" si="389"/>
        <v>0</v>
      </c>
      <c r="P2022" s="2694"/>
      <c r="Q2022" s="2519"/>
      <c r="R2022" s="2519"/>
      <c r="S2022" s="2519"/>
    </row>
    <row r="2023" spans="1:19" s="2358" customFormat="1" outlineLevel="1">
      <c r="A2023" s="2435" t="str">
        <f t="shared" si="386"/>
        <v/>
      </c>
      <c r="B2023" s="2505" t="s">
        <v>1268</v>
      </c>
      <c r="C2023" s="2521"/>
      <c r="D2023" s="2405">
        <v>0</v>
      </c>
      <c r="E2023" s="2447" t="s">
        <v>2831</v>
      </c>
      <c r="F2023" s="2405" t="s">
        <v>2563</v>
      </c>
      <c r="G2023" s="2703">
        <f>G2022</f>
        <v>0</v>
      </c>
      <c r="H2023" s="2517">
        <v>65000</v>
      </c>
      <c r="I2023" s="2517"/>
      <c r="J2023" s="2517">
        <v>0</v>
      </c>
      <c r="K2023" s="2517">
        <v>0</v>
      </c>
      <c r="L2023" s="2517">
        <f t="shared" si="387"/>
        <v>0</v>
      </c>
      <c r="M2023" s="2517">
        <f t="shared" si="390"/>
        <v>0</v>
      </c>
      <c r="N2023" s="2517">
        <f t="shared" si="388"/>
        <v>0</v>
      </c>
      <c r="O2023" s="2517">
        <f t="shared" si="389"/>
        <v>0</v>
      </c>
      <c r="P2023" s="2694"/>
      <c r="Q2023" s="2519"/>
      <c r="R2023" s="2519"/>
      <c r="S2023" s="2519"/>
    </row>
    <row r="2024" spans="1:19" s="2358" customFormat="1" outlineLevel="1">
      <c r="A2024" s="2435" t="str">
        <f t="shared" si="386"/>
        <v/>
      </c>
      <c r="B2024" s="2505" t="s">
        <v>1568</v>
      </c>
      <c r="C2024" s="2521"/>
      <c r="D2024" s="2405" t="s">
        <v>5622</v>
      </c>
      <c r="E2024" s="2447" t="s">
        <v>3289</v>
      </c>
      <c r="F2024" s="2405" t="s">
        <v>2445</v>
      </c>
      <c r="G2024" s="2703">
        <f>G2023</f>
        <v>0</v>
      </c>
      <c r="H2024" s="2517"/>
      <c r="I2024" s="2517"/>
      <c r="J2024" s="2517">
        <v>58277.49</v>
      </c>
      <c r="K2024" s="2517"/>
      <c r="L2024" s="2517">
        <f t="shared" si="387"/>
        <v>0</v>
      </c>
      <c r="M2024" s="2517">
        <f t="shared" si="390"/>
        <v>0</v>
      </c>
      <c r="N2024" s="2517">
        <f t="shared" si="388"/>
        <v>0</v>
      </c>
      <c r="O2024" s="2517">
        <f t="shared" si="389"/>
        <v>0</v>
      </c>
      <c r="P2024" s="2694"/>
      <c r="Q2024" s="2519"/>
      <c r="R2024" s="2519"/>
      <c r="S2024" s="2519"/>
    </row>
    <row r="2025" spans="1:19" s="2358" customFormat="1" outlineLevel="1">
      <c r="A2025" s="2435" t="str">
        <f t="shared" si="386"/>
        <v/>
      </c>
      <c r="B2025" s="2505" t="s">
        <v>1528</v>
      </c>
      <c r="C2025" s="2521"/>
      <c r="D2025" s="2405" t="s">
        <v>5633</v>
      </c>
      <c r="E2025" s="2447" t="s">
        <v>3310</v>
      </c>
      <c r="F2025" s="2405" t="s">
        <v>1827</v>
      </c>
      <c r="G2025" s="2703">
        <f>G2015</f>
        <v>0</v>
      </c>
      <c r="H2025" s="2517"/>
      <c r="I2025" s="2517"/>
      <c r="J2025" s="2517">
        <v>13915</v>
      </c>
      <c r="K2025" s="2517"/>
      <c r="L2025" s="2517">
        <f t="shared" si="387"/>
        <v>0</v>
      </c>
      <c r="M2025" s="2517">
        <f t="shared" si="390"/>
        <v>0</v>
      </c>
      <c r="N2025" s="2517">
        <f t="shared" si="388"/>
        <v>0</v>
      </c>
      <c r="O2025" s="2517">
        <f t="shared" si="389"/>
        <v>0</v>
      </c>
      <c r="P2025" s="2694"/>
      <c r="Q2025" s="2519"/>
      <c r="R2025" s="2519"/>
      <c r="S2025" s="2519"/>
    </row>
    <row r="2026" spans="1:19" s="2358" customFormat="1" outlineLevel="1">
      <c r="A2026" s="2435" t="str">
        <f t="shared" si="386"/>
        <v/>
      </c>
      <c r="B2026" s="2514"/>
      <c r="C2026" s="2511">
        <f>IF(G2026&gt;0,C2013+1,C2013)</f>
        <v>0</v>
      </c>
      <c r="D2026" s="2512"/>
      <c r="E2026" s="2513" t="s">
        <v>3726</v>
      </c>
      <c r="F2026" s="2511" t="s">
        <v>2391</v>
      </c>
      <c r="G2026" s="2704">
        <f>G1931*0</f>
        <v>0</v>
      </c>
      <c r="H2026" s="2517"/>
      <c r="I2026" s="2517"/>
      <c r="J2026" s="2517"/>
      <c r="K2026" s="2517"/>
      <c r="L2026" s="2517"/>
      <c r="M2026" s="2517"/>
      <c r="N2026" s="2517"/>
      <c r="O2026" s="2517"/>
      <c r="P2026" s="2518"/>
      <c r="Q2026" s="2519"/>
      <c r="R2026" s="2519"/>
      <c r="S2026" s="2519"/>
    </row>
    <row r="2027" spans="1:19" s="2358" customFormat="1" ht="14.4" outlineLevel="1">
      <c r="A2027" s="2435" t="str">
        <f>A2026</f>
        <v/>
      </c>
      <c r="B2027" s="2514"/>
      <c r="C2027" s="2511"/>
      <c r="D2027" s="2512"/>
      <c r="E2027" s="2527" t="s">
        <v>6207</v>
      </c>
      <c r="F2027" s="2511"/>
      <c r="G2027" s="2704"/>
      <c r="H2027" s="2517"/>
      <c r="I2027" s="2517"/>
      <c r="J2027" s="2517"/>
      <c r="K2027" s="2517"/>
      <c r="L2027" s="2517"/>
      <c r="M2027" s="2517"/>
      <c r="N2027" s="2517"/>
      <c r="O2027" s="2517"/>
      <c r="P2027" s="2518"/>
      <c r="Q2027" s="2519"/>
      <c r="R2027" s="2519"/>
      <c r="S2027" s="2519"/>
    </row>
    <row r="2028" spans="1:19" s="2358" customFormat="1" outlineLevel="1">
      <c r="A2028" s="2435" t="str">
        <f>IF(G2028&lt;&gt;0,1,"")</f>
        <v/>
      </c>
      <c r="B2028" s="2514" t="s">
        <v>1492</v>
      </c>
      <c r="C2028" s="2521"/>
      <c r="D2028" s="2405">
        <v>0</v>
      </c>
      <c r="E2028" s="2447" t="s">
        <v>3550</v>
      </c>
      <c r="F2028" s="2405" t="s">
        <v>1827</v>
      </c>
      <c r="G2028" s="2703">
        <f>G2026*2</f>
        <v>0</v>
      </c>
      <c r="H2028" s="2517">
        <v>63200</v>
      </c>
      <c r="I2028" s="2517"/>
      <c r="J2028" s="2517">
        <v>0</v>
      </c>
      <c r="K2028" s="2517">
        <v>0</v>
      </c>
      <c r="L2028" s="2517">
        <f>H2028*G2028</f>
        <v>0</v>
      </c>
      <c r="M2028" s="2517">
        <f>I2028*G2028</f>
        <v>0</v>
      </c>
      <c r="N2028" s="2517">
        <f>J2028*G2028</f>
        <v>0</v>
      </c>
      <c r="O2028" s="2517">
        <f>K2028*G2028</f>
        <v>0</v>
      </c>
      <c r="P2028" s="2518"/>
      <c r="Q2028" s="2519"/>
      <c r="R2028" s="2519"/>
      <c r="S2028" s="2519"/>
    </row>
    <row r="2029" spans="1:19" s="2358" customFormat="1" outlineLevel="1">
      <c r="A2029" s="2435" t="str">
        <f>IF(G2029&lt;&gt;0,1,"")</f>
        <v/>
      </c>
      <c r="B2029" s="2514" t="s">
        <v>86</v>
      </c>
      <c r="C2029" s="2521"/>
      <c r="D2029" s="2405">
        <v>0</v>
      </c>
      <c r="E2029" s="2447" t="s">
        <v>5859</v>
      </c>
      <c r="F2029" s="2405" t="s">
        <v>2563</v>
      </c>
      <c r="G2029" s="2703">
        <f>G2026</f>
        <v>0</v>
      </c>
      <c r="H2029" s="2517">
        <v>45400</v>
      </c>
      <c r="I2029" s="2517"/>
      <c r="J2029" s="2517">
        <v>0</v>
      </c>
      <c r="K2029" s="2517">
        <v>0</v>
      </c>
      <c r="L2029" s="2517">
        <f>H2029*G2029</f>
        <v>0</v>
      </c>
      <c r="M2029" s="2517">
        <f>I2029*G2029</f>
        <v>0</v>
      </c>
      <c r="N2029" s="2517">
        <f>J2029*G2029</f>
        <v>0</v>
      </c>
      <c r="O2029" s="2517">
        <f>K2029*G2029</f>
        <v>0</v>
      </c>
      <c r="P2029" s="2518"/>
      <c r="Q2029" s="2519"/>
      <c r="R2029" s="2519"/>
      <c r="S2029" s="2519"/>
    </row>
    <row r="2030" spans="1:19" s="2358" customFormat="1" outlineLevel="1">
      <c r="A2030" s="2435" t="str">
        <f>IF(G2030&lt;&gt;0,1,"")</f>
        <v/>
      </c>
      <c r="B2030" s="2514" t="s">
        <v>931</v>
      </c>
      <c r="C2030" s="2521"/>
      <c r="D2030" s="2405">
        <v>0</v>
      </c>
      <c r="E2030" s="2447" t="s">
        <v>3592</v>
      </c>
      <c r="F2030" s="2405" t="s">
        <v>2563</v>
      </c>
      <c r="G2030" s="2703">
        <f>G2026*2</f>
        <v>0</v>
      </c>
      <c r="H2030" s="2517">
        <v>25800</v>
      </c>
      <c r="I2030" s="2517"/>
      <c r="J2030" s="2517">
        <v>0</v>
      </c>
      <c r="K2030" s="2517">
        <v>0</v>
      </c>
      <c r="L2030" s="2517">
        <f>H2030*G2030</f>
        <v>0</v>
      </c>
      <c r="M2030" s="2517">
        <f>I2030*G2030</f>
        <v>0</v>
      </c>
      <c r="N2030" s="2517">
        <f>J2030*G2030</f>
        <v>0</v>
      </c>
      <c r="O2030" s="2517">
        <f>K2030*G2030</f>
        <v>0</v>
      </c>
      <c r="P2030" s="2518"/>
      <c r="Q2030" s="2519"/>
      <c r="R2030" s="2519"/>
      <c r="S2030" s="2519"/>
    </row>
    <row r="2031" spans="1:19" s="2358" customFormat="1" outlineLevel="1">
      <c r="A2031" s="2435" t="str">
        <f>IF(G2031&lt;&gt;0,1,"")</f>
        <v/>
      </c>
      <c r="B2031" s="2514" t="s">
        <v>930</v>
      </c>
      <c r="C2031" s="2521"/>
      <c r="D2031" s="2405">
        <v>0</v>
      </c>
      <c r="E2031" s="2447" t="s">
        <v>3596</v>
      </c>
      <c r="F2031" s="2405" t="s">
        <v>2563</v>
      </c>
      <c r="G2031" s="2703">
        <f>G2030</f>
        <v>0</v>
      </c>
      <c r="H2031" s="2517">
        <v>21500</v>
      </c>
      <c r="I2031" s="2517"/>
      <c r="J2031" s="2517">
        <v>0</v>
      </c>
      <c r="K2031" s="2517">
        <v>0</v>
      </c>
      <c r="L2031" s="2517">
        <f>H2031*G2031</f>
        <v>0</v>
      </c>
      <c r="M2031" s="2517">
        <f>I2031*G2031</f>
        <v>0</v>
      </c>
      <c r="N2031" s="2517">
        <f>J2031*G2031</f>
        <v>0</v>
      </c>
      <c r="O2031" s="2517">
        <f>K2031*G2031</f>
        <v>0</v>
      </c>
      <c r="P2031" s="2518"/>
      <c r="Q2031" s="2519"/>
      <c r="R2031" s="2519"/>
      <c r="S2031" s="2519"/>
    </row>
    <row r="2032" spans="1:19" s="2358" customFormat="1" outlineLevel="1">
      <c r="A2032" s="2435" t="str">
        <f>IF(G2032&lt;&gt;0,1,"")</f>
        <v/>
      </c>
      <c r="B2032" s="2505"/>
      <c r="C2032" s="2511">
        <f>IF(G2032&gt;0,C2026+1,C2026)</f>
        <v>0</v>
      </c>
      <c r="D2032" s="2512"/>
      <c r="E2032" s="2513" t="s">
        <v>6339</v>
      </c>
      <c r="F2032" s="2511" t="s">
        <v>2391</v>
      </c>
      <c r="G2032" s="2703">
        <f>G1989</f>
        <v>0</v>
      </c>
      <c r="H2032" s="2517"/>
      <c r="I2032" s="2517"/>
      <c r="J2032" s="2517"/>
      <c r="K2032" s="2517"/>
      <c r="L2032" s="2517"/>
      <c r="M2032" s="2517"/>
      <c r="N2032" s="2517"/>
      <c r="O2032" s="2517"/>
      <c r="P2032" s="2694"/>
      <c r="Q2032" s="2519"/>
      <c r="R2032" s="2519"/>
      <c r="S2032" s="2519"/>
    </row>
    <row r="2033" spans="1:19" s="2358" customFormat="1" ht="14.4" outlineLevel="1">
      <c r="A2033" s="2435" t="str">
        <f>A2032</f>
        <v/>
      </c>
      <c r="B2033" s="2505"/>
      <c r="C2033" s="2511"/>
      <c r="D2033" s="2512"/>
      <c r="E2033" s="2527" t="s">
        <v>6207</v>
      </c>
      <c r="F2033" s="2511"/>
      <c r="G2033" s="2703"/>
      <c r="H2033" s="2517"/>
      <c r="I2033" s="2517"/>
      <c r="J2033" s="2517"/>
      <c r="K2033" s="2517"/>
      <c r="L2033" s="2517"/>
      <c r="M2033" s="2517"/>
      <c r="N2033" s="2517"/>
      <c r="O2033" s="2517"/>
      <c r="P2033" s="2694"/>
      <c r="Q2033" s="2519"/>
      <c r="R2033" s="2519"/>
      <c r="S2033" s="2519"/>
    </row>
    <row r="2034" spans="1:19" s="2358" customFormat="1" outlineLevel="1">
      <c r="A2034" s="2435" t="str">
        <f>IF(G2034&lt;&gt;0,1,"")</f>
        <v/>
      </c>
      <c r="B2034" s="2514" t="s">
        <v>32</v>
      </c>
      <c r="C2034" s="2521"/>
      <c r="D2034" s="2405">
        <v>0</v>
      </c>
      <c r="E2034" s="2447" t="s">
        <v>2803</v>
      </c>
      <c r="F2034" s="2405" t="s">
        <v>2538</v>
      </c>
      <c r="G2034" s="2703">
        <f>G2032*7</f>
        <v>0</v>
      </c>
      <c r="H2034" s="2517">
        <v>236300</v>
      </c>
      <c r="I2034" s="2517"/>
      <c r="J2034" s="2517">
        <v>0</v>
      </c>
      <c r="K2034" s="2517">
        <v>0</v>
      </c>
      <c r="L2034" s="2517">
        <f>H2034*G2034</f>
        <v>0</v>
      </c>
      <c r="M2034" s="2517">
        <f>I2034*G2034</f>
        <v>0</v>
      </c>
      <c r="N2034" s="2517">
        <f>J2034*G2034</f>
        <v>0</v>
      </c>
      <c r="O2034" s="2517">
        <f>K2034*G2034</f>
        <v>0</v>
      </c>
      <c r="P2034" s="2694"/>
      <c r="Q2034" s="2519"/>
      <c r="R2034" s="2519"/>
      <c r="S2034" s="2519"/>
    </row>
    <row r="2035" spans="1:19" s="2358" customFormat="1" outlineLevel="1">
      <c r="A2035" s="2435" t="str">
        <f>IF(G2035&lt;&gt;0,1,"")</f>
        <v/>
      </c>
      <c r="B2035" s="2514" t="s">
        <v>1574</v>
      </c>
      <c r="C2035" s="2521"/>
      <c r="D2035" s="2405">
        <v>0</v>
      </c>
      <c r="E2035" s="2447" t="s">
        <v>2807</v>
      </c>
      <c r="F2035" s="2405" t="s">
        <v>2538</v>
      </c>
      <c r="G2035" s="2703">
        <f>(7*3)*G2032</f>
        <v>0</v>
      </c>
      <c r="H2035" s="2517">
        <v>567100</v>
      </c>
      <c r="I2035" s="2517"/>
      <c r="J2035" s="2517">
        <v>0</v>
      </c>
      <c r="K2035" s="2517">
        <v>0</v>
      </c>
      <c r="L2035" s="2517">
        <f>H2035*G2035</f>
        <v>0</v>
      </c>
      <c r="M2035" s="2517">
        <f>I2035*G2035</f>
        <v>0</v>
      </c>
      <c r="N2035" s="2517">
        <f>J2035*G2035</f>
        <v>0</v>
      </c>
      <c r="O2035" s="2517">
        <f>K2035*G2035</f>
        <v>0</v>
      </c>
      <c r="P2035" s="2694"/>
      <c r="Q2035" s="2519"/>
      <c r="R2035" s="2519"/>
      <c r="S2035" s="2519"/>
    </row>
    <row r="2036" spans="1:19" s="2358" customFormat="1" outlineLevel="1">
      <c r="A2036" s="2435" t="str">
        <f>IF(G2036&lt;&gt;0,1,"")</f>
        <v/>
      </c>
      <c r="B2036" s="2514" t="s">
        <v>1308</v>
      </c>
      <c r="C2036" s="2521"/>
      <c r="D2036" s="2405" t="s">
        <v>5790</v>
      </c>
      <c r="E2036" s="2447" t="s">
        <v>3500</v>
      </c>
      <c r="F2036" s="2405" t="s">
        <v>2563</v>
      </c>
      <c r="G2036" s="2703">
        <f>G2032</f>
        <v>0</v>
      </c>
      <c r="H2036" s="2517">
        <v>27000</v>
      </c>
      <c r="I2036" s="2517"/>
      <c r="J2036" s="2517">
        <v>27280.17</v>
      </c>
      <c r="K2036" s="2517">
        <v>3887.8325465000003</v>
      </c>
      <c r="L2036" s="2517">
        <f>H2036*G2036</f>
        <v>0</v>
      </c>
      <c r="M2036" s="2517">
        <f>I2036*G2036</f>
        <v>0</v>
      </c>
      <c r="N2036" s="2517">
        <f>J2036*G2036</f>
        <v>0</v>
      </c>
      <c r="O2036" s="2517">
        <f>K2036*G2036</f>
        <v>0</v>
      </c>
      <c r="P2036" s="2694"/>
      <c r="Q2036" s="2519"/>
      <c r="R2036" s="2519"/>
      <c r="S2036" s="2519"/>
    </row>
    <row r="2037" spans="1:19" s="2358" customFormat="1" outlineLevel="1">
      <c r="A2037" s="2435" t="str">
        <f>IF(G2037&lt;&gt;0,1,"")</f>
        <v/>
      </c>
      <c r="B2037" s="2514" t="s">
        <v>2162</v>
      </c>
      <c r="C2037" s="2521"/>
      <c r="D2037" s="2405" t="s">
        <v>5793</v>
      </c>
      <c r="E2037" s="2447" t="s">
        <v>3504</v>
      </c>
      <c r="F2037" s="2405" t="s">
        <v>2563</v>
      </c>
      <c r="G2037" s="2703">
        <f>G2032*3</f>
        <v>0</v>
      </c>
      <c r="H2037" s="2517">
        <v>70000</v>
      </c>
      <c r="I2037" s="2517"/>
      <c r="J2037" s="2517">
        <v>50013.645000000004</v>
      </c>
      <c r="K2037" s="2517">
        <v>5554.0464950000005</v>
      </c>
      <c r="L2037" s="2517">
        <f>H2037*G2037</f>
        <v>0</v>
      </c>
      <c r="M2037" s="2517">
        <f>I2037*G2037</f>
        <v>0</v>
      </c>
      <c r="N2037" s="2517">
        <f>J2037*G2037</f>
        <v>0</v>
      </c>
      <c r="O2037" s="2517">
        <f>K2037*G2037</f>
        <v>0</v>
      </c>
      <c r="P2037" s="2694"/>
      <c r="Q2037" s="2519"/>
      <c r="R2037" s="2519"/>
      <c r="S2037" s="2519"/>
    </row>
    <row r="2038" spans="1:19" s="2358" customFormat="1" outlineLevel="1">
      <c r="A2038" s="2435" t="str">
        <f t="shared" ref="A2038:A2050" si="391">IF(G2038&lt;&gt;0,1,"")</f>
        <v/>
      </c>
      <c r="B2038" s="2514" t="s">
        <v>93</v>
      </c>
      <c r="C2038" s="2521"/>
      <c r="D2038" s="2405">
        <v>0</v>
      </c>
      <c r="E2038" s="2447" t="s">
        <v>3514</v>
      </c>
      <c r="F2038" s="2405" t="s">
        <v>2563</v>
      </c>
      <c r="G2038" s="2703">
        <f>G2036</f>
        <v>0</v>
      </c>
      <c r="H2038" s="2517">
        <v>4000</v>
      </c>
      <c r="I2038" s="2517"/>
      <c r="J2038" s="2517">
        <v>0</v>
      </c>
      <c r="K2038" s="2517">
        <v>0</v>
      </c>
      <c r="L2038" s="2517">
        <f t="shared" ref="L2038:L2050" si="392">H2038*G2038</f>
        <v>0</v>
      </c>
      <c r="M2038" s="2517">
        <f t="shared" ref="M2038:M2050" si="393">I2038*G2038</f>
        <v>0</v>
      </c>
      <c r="N2038" s="2517">
        <f t="shared" ref="N2038:N2050" si="394">J2038*G2038</f>
        <v>0</v>
      </c>
      <c r="O2038" s="2517">
        <f t="shared" ref="O2038:O2050" si="395">K2038*G2038</f>
        <v>0</v>
      </c>
      <c r="P2038" s="2694"/>
      <c r="Q2038" s="2519"/>
      <c r="R2038" s="2519"/>
      <c r="S2038" s="2519"/>
    </row>
    <row r="2039" spans="1:19" s="2358" customFormat="1" outlineLevel="1">
      <c r="A2039" s="2435" t="str">
        <f t="shared" si="391"/>
        <v/>
      </c>
      <c r="B2039" s="2514" t="s">
        <v>90</v>
      </c>
      <c r="C2039" s="2521"/>
      <c r="D2039" s="2405">
        <v>0</v>
      </c>
      <c r="E2039" s="2447" t="s">
        <v>3518</v>
      </c>
      <c r="F2039" s="2405" t="s">
        <v>2563</v>
      </c>
      <c r="G2039" s="2703">
        <f>G2037</f>
        <v>0</v>
      </c>
      <c r="H2039" s="2517">
        <v>6000</v>
      </c>
      <c r="I2039" s="2517"/>
      <c r="J2039" s="2517">
        <v>0</v>
      </c>
      <c r="K2039" s="2517">
        <v>0</v>
      </c>
      <c r="L2039" s="2517">
        <f t="shared" si="392"/>
        <v>0</v>
      </c>
      <c r="M2039" s="2517">
        <f t="shared" si="393"/>
        <v>0</v>
      </c>
      <c r="N2039" s="2517">
        <f t="shared" si="394"/>
        <v>0</v>
      </c>
      <c r="O2039" s="2517">
        <f t="shared" si="395"/>
        <v>0</v>
      </c>
      <c r="P2039" s="2694"/>
      <c r="Q2039" s="2519"/>
      <c r="R2039" s="2519"/>
      <c r="S2039" s="2519"/>
    </row>
    <row r="2040" spans="1:19" s="2358" customFormat="1" outlineLevel="1">
      <c r="A2040" s="2435" t="str">
        <f t="shared" si="391"/>
        <v/>
      </c>
      <c r="B2040" s="2514" t="s">
        <v>282</v>
      </c>
      <c r="C2040" s="2521"/>
      <c r="D2040" s="2405">
        <v>0</v>
      </c>
      <c r="E2040" s="2447" t="s">
        <v>3550</v>
      </c>
      <c r="F2040" s="2405" t="s">
        <v>1827</v>
      </c>
      <c r="G2040" s="2703">
        <f>+G2032*5</f>
        <v>0</v>
      </c>
      <c r="H2040" s="2517">
        <v>63200</v>
      </c>
      <c r="I2040" s="2517"/>
      <c r="J2040" s="2517">
        <v>0</v>
      </c>
      <c r="K2040" s="2517">
        <v>0</v>
      </c>
      <c r="L2040" s="2517">
        <f t="shared" si="392"/>
        <v>0</v>
      </c>
      <c r="M2040" s="2517">
        <f t="shared" si="393"/>
        <v>0</v>
      </c>
      <c r="N2040" s="2517">
        <f t="shared" si="394"/>
        <v>0</v>
      </c>
      <c r="O2040" s="2517">
        <f t="shared" si="395"/>
        <v>0</v>
      </c>
      <c r="P2040" s="2694"/>
      <c r="Q2040" s="2519"/>
      <c r="R2040" s="2519"/>
      <c r="S2040" s="2519"/>
    </row>
    <row r="2041" spans="1:19" s="2358" customFormat="1" outlineLevel="1">
      <c r="A2041" s="2435" t="str">
        <f t="shared" si="391"/>
        <v/>
      </c>
      <c r="B2041" s="2514" t="s">
        <v>86</v>
      </c>
      <c r="C2041" s="2521"/>
      <c r="D2041" s="2405">
        <v>0</v>
      </c>
      <c r="E2041" s="2447" t="s">
        <v>5859</v>
      </c>
      <c r="F2041" s="2405" t="s">
        <v>2563</v>
      </c>
      <c r="G2041" s="2703">
        <f>G2032</f>
        <v>0</v>
      </c>
      <c r="H2041" s="2517">
        <v>45400</v>
      </c>
      <c r="I2041" s="2517"/>
      <c r="J2041" s="2517">
        <v>0</v>
      </c>
      <c r="K2041" s="2517">
        <v>0</v>
      </c>
      <c r="L2041" s="2517">
        <f t="shared" si="392"/>
        <v>0</v>
      </c>
      <c r="M2041" s="2517">
        <f t="shared" si="393"/>
        <v>0</v>
      </c>
      <c r="N2041" s="2517">
        <f t="shared" si="394"/>
        <v>0</v>
      </c>
      <c r="O2041" s="2517">
        <f t="shared" si="395"/>
        <v>0</v>
      </c>
      <c r="P2041" s="2694"/>
      <c r="Q2041" s="2519"/>
      <c r="R2041" s="2519"/>
      <c r="S2041" s="2519"/>
    </row>
    <row r="2042" spans="1:19" s="2358" customFormat="1" outlineLevel="1">
      <c r="A2042" s="2435" t="str">
        <f t="shared" si="391"/>
        <v/>
      </c>
      <c r="B2042" s="2514" t="s">
        <v>1994</v>
      </c>
      <c r="C2042" s="2521"/>
      <c r="D2042" s="2405">
        <v>0</v>
      </c>
      <c r="E2042" s="2447" t="s">
        <v>5318</v>
      </c>
      <c r="F2042" s="2405" t="s">
        <v>2445</v>
      </c>
      <c r="G2042" s="2703">
        <f>G2032*2</f>
        <v>0</v>
      </c>
      <c r="H2042" s="2517">
        <v>49000</v>
      </c>
      <c r="I2042" s="2517"/>
      <c r="J2042" s="2517">
        <v>0</v>
      </c>
      <c r="K2042" s="2517">
        <v>0</v>
      </c>
      <c r="L2042" s="2517">
        <f t="shared" si="392"/>
        <v>0</v>
      </c>
      <c r="M2042" s="2517">
        <f t="shared" si="393"/>
        <v>0</v>
      </c>
      <c r="N2042" s="2517">
        <f t="shared" si="394"/>
        <v>0</v>
      </c>
      <c r="O2042" s="2517">
        <f t="shared" si="395"/>
        <v>0</v>
      </c>
      <c r="P2042" s="2694"/>
      <c r="Q2042" s="2519"/>
      <c r="R2042" s="2519"/>
      <c r="S2042" s="2519"/>
    </row>
    <row r="2043" spans="1:19" s="2358" customFormat="1" outlineLevel="1">
      <c r="A2043" s="2435" t="str">
        <f t="shared" si="391"/>
        <v/>
      </c>
      <c r="B2043" s="2514" t="s">
        <v>2159</v>
      </c>
      <c r="C2043" s="2521"/>
      <c r="D2043" s="2405">
        <v>0</v>
      </c>
      <c r="E2043" s="2447" t="s">
        <v>3592</v>
      </c>
      <c r="F2043" s="2405" t="s">
        <v>2563</v>
      </c>
      <c r="G2043" s="2703">
        <f>G2032*2</f>
        <v>0</v>
      </c>
      <c r="H2043" s="2517">
        <v>25800</v>
      </c>
      <c r="I2043" s="2517"/>
      <c r="J2043" s="2517">
        <v>0</v>
      </c>
      <c r="K2043" s="2517">
        <v>0</v>
      </c>
      <c r="L2043" s="2517">
        <f t="shared" si="392"/>
        <v>0</v>
      </c>
      <c r="M2043" s="2517">
        <f t="shared" si="393"/>
        <v>0</v>
      </c>
      <c r="N2043" s="2517">
        <f t="shared" si="394"/>
        <v>0</v>
      </c>
      <c r="O2043" s="2517">
        <f t="shared" si="395"/>
        <v>0</v>
      </c>
      <c r="P2043" s="2694"/>
      <c r="Q2043" s="2519"/>
      <c r="R2043" s="2519"/>
      <c r="S2043" s="2519"/>
    </row>
    <row r="2044" spans="1:19" s="2358" customFormat="1" outlineLevel="1">
      <c r="A2044" s="2435" t="str">
        <f t="shared" si="391"/>
        <v/>
      </c>
      <c r="B2044" s="2514" t="s">
        <v>2160</v>
      </c>
      <c r="C2044" s="2521"/>
      <c r="D2044" s="2405">
        <v>0</v>
      </c>
      <c r="E2044" s="2447" t="s">
        <v>3596</v>
      </c>
      <c r="F2044" s="2405" t="s">
        <v>2563</v>
      </c>
      <c r="G2044" s="2703">
        <f>G2043</f>
        <v>0</v>
      </c>
      <c r="H2044" s="2517">
        <v>21500</v>
      </c>
      <c r="I2044" s="2517"/>
      <c r="J2044" s="2517">
        <v>0</v>
      </c>
      <c r="K2044" s="2517">
        <v>0</v>
      </c>
      <c r="L2044" s="2517">
        <f t="shared" si="392"/>
        <v>0</v>
      </c>
      <c r="M2044" s="2517">
        <f t="shared" si="393"/>
        <v>0</v>
      </c>
      <c r="N2044" s="2517">
        <f t="shared" si="394"/>
        <v>0</v>
      </c>
      <c r="O2044" s="2517">
        <f t="shared" si="395"/>
        <v>0</v>
      </c>
      <c r="P2044" s="2694"/>
      <c r="Q2044" s="2519"/>
      <c r="R2044" s="2519"/>
      <c r="S2044" s="2519"/>
    </row>
    <row r="2045" spans="1:19" s="2358" customFormat="1" outlineLevel="1">
      <c r="A2045" s="2435" t="str">
        <f t="shared" si="391"/>
        <v/>
      </c>
      <c r="B2045" s="2514" t="s">
        <v>5855</v>
      </c>
      <c r="C2045" s="2521"/>
      <c r="D2045" s="2405">
        <v>0</v>
      </c>
      <c r="E2045" s="2447" t="s">
        <v>5856</v>
      </c>
      <c r="F2045" s="2405" t="s">
        <v>1827</v>
      </c>
      <c r="G2045" s="2703">
        <f>G2032*1.5</f>
        <v>0</v>
      </c>
      <c r="H2045" s="2517">
        <v>50000</v>
      </c>
      <c r="I2045" s="2517"/>
      <c r="J2045" s="2517">
        <v>0</v>
      </c>
      <c r="K2045" s="2517">
        <v>0</v>
      </c>
      <c r="L2045" s="2517">
        <f t="shared" si="392"/>
        <v>0</v>
      </c>
      <c r="M2045" s="2517">
        <f t="shared" si="393"/>
        <v>0</v>
      </c>
      <c r="N2045" s="2517">
        <f t="shared" si="394"/>
        <v>0</v>
      </c>
      <c r="O2045" s="2517">
        <f t="shared" si="395"/>
        <v>0</v>
      </c>
      <c r="P2045" s="2694"/>
      <c r="Q2045" s="2519"/>
      <c r="R2045" s="2519"/>
      <c r="S2045" s="2519"/>
    </row>
    <row r="2046" spans="1:19" s="2358" customFormat="1" outlineLevel="1">
      <c r="A2046" s="2435" t="str">
        <f t="shared" si="391"/>
        <v/>
      </c>
      <c r="B2046" s="2514" t="s">
        <v>2080</v>
      </c>
      <c r="C2046" s="2521"/>
      <c r="D2046" s="2405">
        <v>0</v>
      </c>
      <c r="E2046" s="2447" t="s">
        <v>3588</v>
      </c>
      <c r="F2046" s="2405" t="s">
        <v>3589</v>
      </c>
      <c r="G2046" s="2703">
        <f>G2032</f>
        <v>0</v>
      </c>
      <c r="H2046" s="2517">
        <v>11500</v>
      </c>
      <c r="I2046" s="2517"/>
      <c r="J2046" s="2517">
        <v>0</v>
      </c>
      <c r="K2046" s="2517">
        <v>0</v>
      </c>
      <c r="L2046" s="2517">
        <f t="shared" si="392"/>
        <v>0</v>
      </c>
      <c r="M2046" s="2517">
        <f t="shared" si="393"/>
        <v>0</v>
      </c>
      <c r="N2046" s="2517">
        <f t="shared" si="394"/>
        <v>0</v>
      </c>
      <c r="O2046" s="2517">
        <f t="shared" si="395"/>
        <v>0</v>
      </c>
      <c r="P2046" s="2694"/>
      <c r="Q2046" s="2519"/>
      <c r="R2046" s="2519"/>
      <c r="S2046" s="2519"/>
    </row>
    <row r="2047" spans="1:19" s="2358" customFormat="1" outlineLevel="1">
      <c r="A2047" s="2435" t="str">
        <f t="shared" si="391"/>
        <v/>
      </c>
      <c r="B2047" s="2514" t="s">
        <v>6</v>
      </c>
      <c r="C2047" s="2521"/>
      <c r="D2047" s="2405">
        <v>0</v>
      </c>
      <c r="E2047" s="2447" t="s">
        <v>3585</v>
      </c>
      <c r="F2047" s="2405" t="s">
        <v>5868</v>
      </c>
      <c r="G2047" s="2703">
        <f>G2046</f>
        <v>0</v>
      </c>
      <c r="H2047" s="2517">
        <v>45000</v>
      </c>
      <c r="I2047" s="2517"/>
      <c r="J2047" s="2517">
        <v>0</v>
      </c>
      <c r="K2047" s="2517">
        <v>0</v>
      </c>
      <c r="L2047" s="2517">
        <f t="shared" si="392"/>
        <v>0</v>
      </c>
      <c r="M2047" s="2517">
        <f t="shared" si="393"/>
        <v>0</v>
      </c>
      <c r="N2047" s="2517">
        <f t="shared" si="394"/>
        <v>0</v>
      </c>
      <c r="O2047" s="2517">
        <f t="shared" si="395"/>
        <v>0</v>
      </c>
      <c r="P2047" s="2694"/>
      <c r="Q2047" s="2519"/>
      <c r="R2047" s="2519"/>
      <c r="S2047" s="2519"/>
    </row>
    <row r="2048" spans="1:19" s="2358" customFormat="1" outlineLevel="1">
      <c r="A2048" s="2435" t="str">
        <f t="shared" si="391"/>
        <v/>
      </c>
      <c r="B2048" s="2514" t="s">
        <v>672</v>
      </c>
      <c r="C2048" s="2521"/>
      <c r="D2048" s="2405">
        <v>0</v>
      </c>
      <c r="E2048" s="2447" t="s">
        <v>5863</v>
      </c>
      <c r="F2048" s="2405" t="s">
        <v>3584</v>
      </c>
      <c r="G2048" s="2703">
        <f>G2047*2</f>
        <v>0</v>
      </c>
      <c r="H2048" s="2517">
        <v>6500</v>
      </c>
      <c r="I2048" s="2517"/>
      <c r="J2048" s="2517">
        <v>0</v>
      </c>
      <c r="K2048" s="2517">
        <v>0</v>
      </c>
      <c r="L2048" s="2517">
        <f t="shared" si="392"/>
        <v>0</v>
      </c>
      <c r="M2048" s="2517">
        <f t="shared" si="393"/>
        <v>0</v>
      </c>
      <c r="N2048" s="2517">
        <f t="shared" si="394"/>
        <v>0</v>
      </c>
      <c r="O2048" s="2517">
        <f t="shared" si="395"/>
        <v>0</v>
      </c>
      <c r="P2048" s="2694"/>
      <c r="Q2048" s="2519"/>
      <c r="R2048" s="2519"/>
      <c r="S2048" s="2519"/>
    </row>
    <row r="2049" spans="1:19" s="2358" customFormat="1" outlineLevel="1">
      <c r="A2049" s="2435" t="str">
        <f>IF(G2049&lt;&gt;0,1,"")</f>
        <v/>
      </c>
      <c r="B2049" s="2514" t="s">
        <v>2010</v>
      </c>
      <c r="C2049" s="2521"/>
      <c r="D2049" s="2405" t="s">
        <v>5634</v>
      </c>
      <c r="E2049" s="2447" t="s">
        <v>3311</v>
      </c>
      <c r="F2049" s="2405" t="s">
        <v>1827</v>
      </c>
      <c r="G2049" s="2703">
        <f>G2034</f>
        <v>0</v>
      </c>
      <c r="H2049" s="2517">
        <v>0</v>
      </c>
      <c r="I2049" s="2517"/>
      <c r="J2049" s="2517">
        <v>33396</v>
      </c>
      <c r="K2049" s="2517">
        <v>0</v>
      </c>
      <c r="L2049" s="2517">
        <f>H2049*G2049</f>
        <v>0</v>
      </c>
      <c r="M2049" s="2517">
        <f>I2049*G2049</f>
        <v>0</v>
      </c>
      <c r="N2049" s="2517">
        <f>J2049*G2049</f>
        <v>0</v>
      </c>
      <c r="O2049" s="2517">
        <f>K2049*G2049</f>
        <v>0</v>
      </c>
      <c r="P2049" s="2694"/>
      <c r="Q2049" s="2519"/>
      <c r="R2049" s="2519"/>
      <c r="S2049" s="2519"/>
    </row>
    <row r="2050" spans="1:19" s="2358" customFormat="1" outlineLevel="1">
      <c r="A2050" s="2435" t="str">
        <f t="shared" si="391"/>
        <v/>
      </c>
      <c r="B2050" s="2514" t="s">
        <v>247</v>
      </c>
      <c r="C2050" s="2521"/>
      <c r="D2050" s="2405" t="s">
        <v>5635</v>
      </c>
      <c r="E2050" s="2447" t="s">
        <v>5636</v>
      </c>
      <c r="F2050" s="2405" t="s">
        <v>1827</v>
      </c>
      <c r="G2050" s="2703">
        <f>G2035</f>
        <v>0</v>
      </c>
      <c r="H2050" s="2517">
        <v>0</v>
      </c>
      <c r="I2050" s="2517"/>
      <c r="J2050" s="2517">
        <v>47311</v>
      </c>
      <c r="K2050" s="2517">
        <v>0</v>
      </c>
      <c r="L2050" s="2517">
        <f t="shared" si="392"/>
        <v>0</v>
      </c>
      <c r="M2050" s="2517">
        <f t="shared" si="393"/>
        <v>0</v>
      </c>
      <c r="N2050" s="2517">
        <f t="shared" si="394"/>
        <v>0</v>
      </c>
      <c r="O2050" s="2517">
        <f t="shared" si="395"/>
        <v>0</v>
      </c>
      <c r="P2050" s="2694"/>
      <c r="Q2050" s="2519"/>
      <c r="R2050" s="2519"/>
      <c r="S2050" s="2519"/>
    </row>
    <row r="2051" spans="1:19" s="2358" customFormat="1" outlineLevel="1">
      <c r="A2051" s="2435">
        <f>A1899</f>
        <v>0</v>
      </c>
      <c r="B2051" s="2610"/>
      <c r="C2051" s="2785" t="s">
        <v>6205</v>
      </c>
      <c r="D2051" s="2785"/>
      <c r="E2051" s="2785"/>
      <c r="F2051" s="2785"/>
      <c r="G2051" s="2785"/>
      <c r="H2051" s="2785"/>
      <c r="I2051" s="2785"/>
      <c r="J2051" s="2785"/>
      <c r="K2051" s="2785"/>
      <c r="L2051" s="2678">
        <f>SUM(L1913:L2050)</f>
        <v>0</v>
      </c>
      <c r="M2051" s="2678">
        <f>SUM(M1913:M2050)</f>
        <v>0</v>
      </c>
      <c r="N2051" s="2678">
        <f>SUM(N1913:N2050)</f>
        <v>0</v>
      </c>
      <c r="O2051" s="2678">
        <f>SUM(O1913:O2050)</f>
        <v>0</v>
      </c>
      <c r="P2051" s="2786"/>
      <c r="Q2051" s="2519"/>
      <c r="R2051" s="2519"/>
      <c r="S2051" s="2519"/>
    </row>
    <row r="2052" spans="1:19" s="2358" customFormat="1" outlineLevel="1">
      <c r="A2052" s="2435">
        <f>A2053</f>
        <v>0</v>
      </c>
      <c r="B2052" s="2610"/>
      <c r="C2052" s="2686"/>
      <c r="D2052" s="2686"/>
      <c r="E2052" s="2787"/>
      <c r="F2052" s="2686"/>
      <c r="G2052" s="2898"/>
      <c r="H2052" s="2898"/>
      <c r="I2052" s="2898"/>
      <c r="J2052" s="2781"/>
      <c r="K2052" s="2781"/>
      <c r="L2052" s="2782"/>
      <c r="M2052" s="2782"/>
      <c r="N2052" s="2782"/>
      <c r="O2052" s="2782"/>
      <c r="P2052" s="2788"/>
      <c r="Q2052" s="2519"/>
      <c r="R2052" s="2519"/>
      <c r="S2052" s="2519"/>
    </row>
    <row r="2053" spans="1:19" s="2358" customFormat="1" outlineLevel="1">
      <c r="A2053" s="2435">
        <f>A2069</f>
        <v>0</v>
      </c>
      <c r="B2053" s="2640"/>
      <c r="C2053" s="2877" t="str">
        <f>"BẢNG TỔNG HỢP VẬT LIỆU, NHÂN CÔNG, MÁY THI CÔNG: "&amp;G2057&amp;" TRẠM NGỒI 3P_400KVA -TỔ 6-3 KP9 TÂN BIÊN"</f>
        <v>BẢNG TỔNG HỢP VẬT LIỆU, NHÂN CÔNG, MÁY THI CÔNG:  TRẠM NGỒI 3P_400KVA -TỔ 6-3 KP9 TÂN BIÊN</v>
      </c>
      <c r="D2053" s="2892"/>
      <c r="E2053" s="2892"/>
      <c r="F2053" s="2892"/>
      <c r="G2053" s="2892"/>
      <c r="H2053" s="2893"/>
      <c r="I2053" s="2893"/>
      <c r="J2053" s="2893"/>
      <c r="K2053" s="2893"/>
      <c r="L2053" s="2893"/>
      <c r="M2053" s="2893"/>
      <c r="N2053" s="2893"/>
      <c r="O2053" s="2893"/>
      <c r="P2053" s="2894"/>
      <c r="Q2053" s="2519"/>
      <c r="R2053" s="2519"/>
      <c r="S2053" s="2519"/>
    </row>
    <row r="2054" spans="1:19" s="2358" customFormat="1" outlineLevel="1">
      <c r="A2054" s="2435">
        <f>A2053</f>
        <v>0</v>
      </c>
      <c r="B2054" s="2514" t="s">
        <v>6186</v>
      </c>
      <c r="C2054" s="2901" t="s">
        <v>1712</v>
      </c>
      <c r="D2054" s="2902" t="s">
        <v>2605</v>
      </c>
      <c r="E2054" s="2904" t="s">
        <v>2606</v>
      </c>
      <c r="F2054" s="2901" t="s">
        <v>2601</v>
      </c>
      <c r="G2054" s="2362" t="s">
        <v>6187</v>
      </c>
      <c r="H2054" s="2365" t="s">
        <v>6188</v>
      </c>
      <c r="I2054" s="2872"/>
      <c r="J2054" s="2872"/>
      <c r="K2054" s="2873"/>
      <c r="L2054" s="2365" t="s">
        <v>6189</v>
      </c>
      <c r="M2054" s="2872"/>
      <c r="N2054" s="2872"/>
      <c r="O2054" s="2873"/>
      <c r="P2054" s="2786" t="s">
        <v>2607</v>
      </c>
      <c r="Q2054" s="2519"/>
      <c r="R2054" s="2519"/>
      <c r="S2054" s="2519"/>
    </row>
    <row r="2055" spans="1:19" s="2358" customFormat="1" outlineLevel="1">
      <c r="A2055" s="2435">
        <f>A2054</f>
        <v>0</v>
      </c>
      <c r="B2055" s="2514"/>
      <c r="C2055" s="2901"/>
      <c r="D2055" s="2903"/>
      <c r="E2055" s="2905"/>
      <c r="F2055" s="2901"/>
      <c r="G2055" s="2364" t="s">
        <v>2292</v>
      </c>
      <c r="H2055" s="2365" t="s">
        <v>6190</v>
      </c>
      <c r="I2055" s="2365" t="s">
        <v>6191</v>
      </c>
      <c r="J2055" s="2365" t="s">
        <v>6192</v>
      </c>
      <c r="K2055" s="2365" t="s">
        <v>6193</v>
      </c>
      <c r="L2055" s="2365" t="s">
        <v>6190</v>
      </c>
      <c r="M2055" s="2365" t="s">
        <v>6191</v>
      </c>
      <c r="N2055" s="2365" t="s">
        <v>6192</v>
      </c>
      <c r="O2055" s="2365" t="s">
        <v>6193</v>
      </c>
      <c r="P2055" s="2786"/>
      <c r="Q2055" s="2519"/>
      <c r="R2055" s="2519"/>
      <c r="S2055" s="2519"/>
    </row>
    <row r="2056" spans="1:19" s="2358" customFormat="1" outlineLevel="1">
      <c r="A2056" s="2435">
        <f>A2069</f>
        <v>0</v>
      </c>
      <c r="B2056" s="2514"/>
      <c r="C2056" s="2366"/>
      <c r="D2056" s="2367"/>
      <c r="E2056" s="2368" t="s">
        <v>3690</v>
      </c>
      <c r="F2056" s="2369"/>
      <c r="G2056" s="2369"/>
      <c r="H2056" s="2369"/>
      <c r="I2056" s="2369"/>
      <c r="J2056" s="2369"/>
      <c r="K2056" s="2369"/>
      <c r="L2056" s="2369"/>
      <c r="M2056" s="2369"/>
      <c r="N2056" s="2369"/>
      <c r="O2056" s="2367"/>
      <c r="P2056" s="2607"/>
      <c r="Q2056" s="2519"/>
      <c r="R2056" s="2519"/>
      <c r="S2056" s="2519"/>
    </row>
    <row r="2057" spans="1:19" s="2358" customFormat="1" outlineLevel="1">
      <c r="A2057" s="2435" t="str">
        <f>IF(G2057&lt;&gt;0,1,"")</f>
        <v/>
      </c>
      <c r="B2057" s="2505" t="str">
        <f>IF($F$8=15,"tr400","tr4001")</f>
        <v>tr4001</v>
      </c>
      <c r="C2057" s="2521">
        <f>IF(G2057&gt;0,1,0)</f>
        <v>0</v>
      </c>
      <c r="D2057" s="2405" t="s">
        <v>5654</v>
      </c>
      <c r="E2057" s="2447" t="s">
        <v>3349</v>
      </c>
      <c r="F2057" s="2405" t="s">
        <v>3318</v>
      </c>
      <c r="G2057" s="2709"/>
      <c r="H2057" s="2612">
        <v>388431450</v>
      </c>
      <c r="I2057" s="2612"/>
      <c r="J2057" s="2612">
        <v>1660532</v>
      </c>
      <c r="K2057" s="2612">
        <v>361106</v>
      </c>
      <c r="L2057" s="2613">
        <f t="shared" ref="L2057:L2063" si="396">H2057*G2057</f>
        <v>0</v>
      </c>
      <c r="M2057" s="2613">
        <f t="shared" ref="M2057:M2063" si="397">I2057*G2057</f>
        <v>0</v>
      </c>
      <c r="N2057" s="2613">
        <f t="shared" ref="N2057:N2063" si="398">J2057*G2057</f>
        <v>0</v>
      </c>
      <c r="O2057" s="2614">
        <f t="shared" ref="O2057:O2063" si="399">K2057*G2057</f>
        <v>0</v>
      </c>
      <c r="P2057" s="2693"/>
      <c r="Q2057" s="2519"/>
      <c r="R2057" s="2519"/>
      <c r="S2057" s="2519"/>
    </row>
    <row r="2058" spans="1:19" s="2358" customFormat="1" outlineLevel="1">
      <c r="A2058" s="2435" t="str">
        <f>IF(G2058&lt;&gt;0,1,"")</f>
        <v/>
      </c>
      <c r="B2058" s="2371" t="str">
        <f>"FCO100-"&amp;$F$8</f>
        <v>FCO100-22</v>
      </c>
      <c r="C2058" s="2521">
        <f>IF(G2058&gt;0,C2057+1,C2057)</f>
        <v>0</v>
      </c>
      <c r="D2058" s="2405" t="s">
        <v>5660</v>
      </c>
      <c r="E2058" s="2447" t="s">
        <v>95</v>
      </c>
      <c r="F2058" s="2405" t="s">
        <v>2563</v>
      </c>
      <c r="G2058" s="2703">
        <f>G2057*1</f>
        <v>0</v>
      </c>
      <c r="H2058" s="2517">
        <v>2244280</v>
      </c>
      <c r="I2058" s="2517">
        <v>0</v>
      </c>
      <c r="J2058" s="2517">
        <v>222639.99999999997</v>
      </c>
      <c r="K2058" s="2517">
        <v>0</v>
      </c>
      <c r="L2058" s="2517">
        <f t="shared" si="396"/>
        <v>0</v>
      </c>
      <c r="M2058" s="2517">
        <f t="shared" si="397"/>
        <v>0</v>
      </c>
      <c r="N2058" s="2517">
        <f t="shared" si="398"/>
        <v>0</v>
      </c>
      <c r="O2058" s="2517">
        <f t="shared" si="399"/>
        <v>0</v>
      </c>
      <c r="P2058" s="2694"/>
      <c r="Q2058" s="2519"/>
      <c r="R2058" s="2519"/>
      <c r="S2058" s="2519"/>
    </row>
    <row r="2059" spans="1:19" s="2606" customFormat="1" outlineLevel="1">
      <c r="A2059" s="2783" t="str">
        <f>IF(G2059&lt;&gt;0,1,"")</f>
        <v/>
      </c>
      <c r="B2059" s="2789" t="str">
        <f>"FCO100-"&amp;$F$8</f>
        <v>FCO100-22</v>
      </c>
      <c r="C2059" s="2790">
        <f>IF(G2059&gt;0,C2058+1,C2058)</f>
        <v>0</v>
      </c>
      <c r="D2059" s="2791" t="s">
        <v>5660</v>
      </c>
      <c r="E2059" s="2792" t="s">
        <v>95</v>
      </c>
      <c r="F2059" s="2791" t="s">
        <v>2563</v>
      </c>
      <c r="G2059" s="2793">
        <f>G2057*2</f>
        <v>0</v>
      </c>
      <c r="H2059" s="2794"/>
      <c r="I2059" s="2794">
        <v>0</v>
      </c>
      <c r="J2059" s="2794">
        <v>222639.99999999997</v>
      </c>
      <c r="K2059" s="2794">
        <v>0</v>
      </c>
      <c r="L2059" s="2794">
        <f>H2059*G2059</f>
        <v>0</v>
      </c>
      <c r="M2059" s="2794">
        <f>I2059*G2059</f>
        <v>0</v>
      </c>
      <c r="N2059" s="2794">
        <f>J2059*G2059</f>
        <v>0</v>
      </c>
      <c r="O2059" s="2794">
        <f>K2059*G2059</f>
        <v>0</v>
      </c>
      <c r="P2059" s="2694" t="s">
        <v>6309</v>
      </c>
      <c r="Q2059" s="2691"/>
      <c r="R2059" s="2691"/>
      <c r="S2059" s="2691"/>
    </row>
    <row r="2060" spans="1:19" s="2358" customFormat="1" outlineLevel="1">
      <c r="A2060" s="2435" t="str">
        <f t="shared" ref="A2060:A2068" si="400">IF(G2060&lt;&gt;0,1,"")</f>
        <v/>
      </c>
      <c r="B2060" s="2505" t="str">
        <f>IF($F$8=15,"chi25k","chi15k")</f>
        <v>chi15k</v>
      </c>
      <c r="C2060" s="2521">
        <f>IF(G2060&gt;0,C2058+1,C2058)</f>
        <v>0</v>
      </c>
      <c r="D2060" s="2405">
        <v>0</v>
      </c>
      <c r="E2060" s="2447" t="s">
        <v>3445</v>
      </c>
      <c r="F2060" s="2405" t="s">
        <v>2608</v>
      </c>
      <c r="G2060" s="2703">
        <f>G2057*3</f>
        <v>0</v>
      </c>
      <c r="H2060" s="2517">
        <v>103000</v>
      </c>
      <c r="I2060" s="2517">
        <v>0</v>
      </c>
      <c r="J2060" s="2517">
        <v>0</v>
      </c>
      <c r="K2060" s="2517">
        <v>0</v>
      </c>
      <c r="L2060" s="2517">
        <f t="shared" si="396"/>
        <v>0</v>
      </c>
      <c r="M2060" s="2517">
        <f t="shared" si="397"/>
        <v>0</v>
      </c>
      <c r="N2060" s="2517">
        <f t="shared" si="398"/>
        <v>0</v>
      </c>
      <c r="O2060" s="2517">
        <f t="shared" si="399"/>
        <v>0</v>
      </c>
      <c r="P2060" s="2694"/>
      <c r="Q2060" s="2519"/>
      <c r="R2060" s="2519"/>
      <c r="S2060" s="2519"/>
    </row>
    <row r="2061" spans="1:19" s="2358" customFormat="1" outlineLevel="1">
      <c r="A2061" s="2435" t="str">
        <f t="shared" si="400"/>
        <v/>
      </c>
      <c r="B2061" s="2514" t="str">
        <f>"LA"&amp;$F$6</f>
        <v>LA18</v>
      </c>
      <c r="C2061" s="2521">
        <f t="shared" ref="C2061:C2068" si="401">IF(G2061&gt;0,C2060+1,C2060)</f>
        <v>0</v>
      </c>
      <c r="D2061" s="2405" t="s">
        <v>5664</v>
      </c>
      <c r="E2061" s="2447" t="s">
        <v>1193</v>
      </c>
      <c r="F2061" s="2405" t="s">
        <v>2563</v>
      </c>
      <c r="G2061" s="2703">
        <f>G2057*1</f>
        <v>0</v>
      </c>
      <c r="H2061" s="2517">
        <v>1106000</v>
      </c>
      <c r="I2061" s="2517">
        <v>0</v>
      </c>
      <c r="J2061" s="2517">
        <v>83490</v>
      </c>
      <c r="K2061" s="2517">
        <v>0</v>
      </c>
      <c r="L2061" s="2517">
        <f t="shared" si="396"/>
        <v>0</v>
      </c>
      <c r="M2061" s="2517">
        <f t="shared" si="397"/>
        <v>0</v>
      </c>
      <c r="N2061" s="2517">
        <f t="shared" si="398"/>
        <v>0</v>
      </c>
      <c r="O2061" s="2517">
        <f t="shared" si="399"/>
        <v>0</v>
      </c>
      <c r="P2061" s="2694"/>
      <c r="Q2061" s="2519"/>
      <c r="R2061" s="2519"/>
      <c r="S2061" s="2519"/>
    </row>
    <row r="2062" spans="1:19" s="2606" customFormat="1" outlineLevel="1">
      <c r="A2062" s="2783" t="str">
        <f>IF(G2062&lt;&gt;0,1,"")</f>
        <v/>
      </c>
      <c r="B2062" s="2795" t="str">
        <f>"LA"&amp;$F$6</f>
        <v>LA18</v>
      </c>
      <c r="C2062" s="2790">
        <f>IF(G2062&gt;0,C2061+1,C2061)</f>
        <v>0</v>
      </c>
      <c r="D2062" s="2791" t="s">
        <v>5664</v>
      </c>
      <c r="E2062" s="2792" t="s">
        <v>1193</v>
      </c>
      <c r="F2062" s="2791" t="s">
        <v>2563</v>
      </c>
      <c r="G2062" s="2793">
        <f>G2058*2</f>
        <v>0</v>
      </c>
      <c r="H2062" s="2794"/>
      <c r="I2062" s="2794">
        <v>0</v>
      </c>
      <c r="J2062" s="2794">
        <v>83490</v>
      </c>
      <c r="K2062" s="2794">
        <v>0</v>
      </c>
      <c r="L2062" s="2794">
        <f>H2062*G2062</f>
        <v>0</v>
      </c>
      <c r="M2062" s="2794">
        <f>I2062*G2062</f>
        <v>0</v>
      </c>
      <c r="N2062" s="2794">
        <f>J2062*G2062</f>
        <v>0</v>
      </c>
      <c r="O2062" s="2794">
        <f>K2062*G2062</f>
        <v>0</v>
      </c>
      <c r="P2062" s="2694" t="s">
        <v>6309</v>
      </c>
      <c r="Q2062" s="2691"/>
      <c r="R2062" s="2691"/>
      <c r="S2062" s="2691"/>
    </row>
    <row r="2063" spans="1:19" s="2358" customFormat="1" outlineLevel="1">
      <c r="A2063" s="2435" t="str">
        <f t="shared" si="400"/>
        <v/>
      </c>
      <c r="B2063" s="2610" t="s">
        <v>1465</v>
      </c>
      <c r="C2063" s="2521">
        <f>IF(G2063&gt;0,C2061+1,C2061)</f>
        <v>0</v>
      </c>
      <c r="D2063" s="2405" t="s">
        <v>5750</v>
      </c>
      <c r="E2063" s="2447" t="s">
        <v>5751</v>
      </c>
      <c r="F2063" s="2405" t="s">
        <v>2563</v>
      </c>
      <c r="G2063" s="2523">
        <f>G2057*0</f>
        <v>0</v>
      </c>
      <c r="H2063" s="2517">
        <v>25594000</v>
      </c>
      <c r="I2063" s="2517">
        <v>0</v>
      </c>
      <c r="J2063" s="2517">
        <v>1391500</v>
      </c>
      <c r="K2063" s="2517">
        <v>0</v>
      </c>
      <c r="L2063" s="2517">
        <f t="shared" si="396"/>
        <v>0</v>
      </c>
      <c r="M2063" s="2517">
        <f t="shared" si="397"/>
        <v>0</v>
      </c>
      <c r="N2063" s="2517">
        <f t="shared" si="398"/>
        <v>0</v>
      </c>
      <c r="O2063" s="2517">
        <f t="shared" si="399"/>
        <v>0</v>
      </c>
      <c r="P2063" s="2642"/>
      <c r="Q2063" s="2519"/>
      <c r="R2063" s="2519"/>
      <c r="S2063" s="2519"/>
    </row>
    <row r="2064" spans="1:19" s="2358" customFormat="1" outlineLevel="1">
      <c r="A2064" s="2435" t="str">
        <f t="shared" si="400"/>
        <v/>
      </c>
      <c r="B2064" s="2610" t="s">
        <v>953</v>
      </c>
      <c r="C2064" s="2521">
        <f t="shared" si="401"/>
        <v>0</v>
      </c>
      <c r="D2064" s="2405" t="s">
        <v>5747</v>
      </c>
      <c r="E2064" s="2447" t="s">
        <v>5748</v>
      </c>
      <c r="F2064" s="2405" t="s">
        <v>2563</v>
      </c>
      <c r="G2064" s="2703">
        <f>G2057*2</f>
        <v>0</v>
      </c>
      <c r="H2064" s="2517">
        <v>7180000</v>
      </c>
      <c r="I2064" s="2517">
        <v>0</v>
      </c>
      <c r="J2064" s="2517">
        <v>974050</v>
      </c>
      <c r="K2064" s="2517">
        <v>0</v>
      </c>
      <c r="L2064" s="2517">
        <f>H2064*G2064</f>
        <v>0</v>
      </c>
      <c r="M2064" s="2517">
        <f>I2064*G2064</f>
        <v>0</v>
      </c>
      <c r="N2064" s="2517">
        <f>J2064*G2064</f>
        <v>0</v>
      </c>
      <c r="O2064" s="2517">
        <f>K2064*G2064</f>
        <v>0</v>
      </c>
      <c r="P2064" s="2694"/>
      <c r="Q2064" s="2519"/>
      <c r="R2064" s="2519"/>
      <c r="S2064" s="2519"/>
    </row>
    <row r="2065" spans="1:19" s="2358" customFormat="1" outlineLevel="1">
      <c r="A2065" s="2435" t="str">
        <f t="shared" si="400"/>
        <v/>
      </c>
      <c r="B2065" s="2610" t="s">
        <v>1464</v>
      </c>
      <c r="C2065" s="2521">
        <f t="shared" si="401"/>
        <v>0</v>
      </c>
      <c r="D2065" s="2405" t="s">
        <v>5683</v>
      </c>
      <c r="E2065" s="2447" t="s">
        <v>3396</v>
      </c>
      <c r="F2065" s="2405" t="s">
        <v>3388</v>
      </c>
      <c r="G2065" s="2523">
        <f>G2057*0</f>
        <v>0</v>
      </c>
      <c r="H2065" s="2517">
        <v>20800000</v>
      </c>
      <c r="I2065" s="2517">
        <v>310.8</v>
      </c>
      <c r="J2065" s="2517">
        <v>20659.099999999999</v>
      </c>
      <c r="K2065" s="2517">
        <v>5769.4</v>
      </c>
      <c r="L2065" s="2517">
        <f>H2065*G2065</f>
        <v>0</v>
      </c>
      <c r="M2065" s="2517">
        <f>I2065*G2065</f>
        <v>0</v>
      </c>
      <c r="N2065" s="2517">
        <f>J2065*G2065</f>
        <v>0</v>
      </c>
      <c r="O2065" s="2517">
        <f>K2065*G2065</f>
        <v>0</v>
      </c>
      <c r="P2065" s="2642"/>
      <c r="Q2065" s="2519"/>
      <c r="R2065" s="2519"/>
      <c r="S2065" s="2519"/>
    </row>
    <row r="2066" spans="1:19" s="2358" customFormat="1" outlineLevel="1">
      <c r="A2066" s="2435" t="str">
        <f t="shared" si="400"/>
        <v/>
      </c>
      <c r="B2066" s="2505" t="s">
        <v>64</v>
      </c>
      <c r="C2066" s="2521">
        <f t="shared" si="401"/>
        <v>0</v>
      </c>
      <c r="D2066" s="2405">
        <v>0</v>
      </c>
      <c r="E2066" s="2447" t="s">
        <v>3382</v>
      </c>
      <c r="F2066" s="2405" t="s">
        <v>2563</v>
      </c>
      <c r="G2066" s="2784">
        <f>G2057*3*0</f>
        <v>0</v>
      </c>
      <c r="H2066" s="2517">
        <v>0</v>
      </c>
      <c r="I2066" s="2517">
        <v>0</v>
      </c>
      <c r="J2066" s="2517">
        <v>0</v>
      </c>
      <c r="K2066" s="2517">
        <v>0</v>
      </c>
      <c r="L2066" s="2517">
        <f>H2066*G2066</f>
        <v>0</v>
      </c>
      <c r="M2066" s="2517">
        <f>I2066*G2066</f>
        <v>0</v>
      </c>
      <c r="N2066" s="2517">
        <f>J2066*G2066</f>
        <v>0</v>
      </c>
      <c r="O2066" s="2517">
        <f>K2066*G2066</f>
        <v>0</v>
      </c>
      <c r="P2066" s="2644" t="s">
        <v>2609</v>
      </c>
      <c r="Q2066" s="2519"/>
      <c r="R2066" s="2519"/>
      <c r="S2066" s="2519"/>
    </row>
    <row r="2067" spans="1:19" s="2358" customFormat="1" outlineLevel="1">
      <c r="A2067" s="2435" t="str">
        <f t="shared" si="400"/>
        <v/>
      </c>
      <c r="B2067" s="2505" t="s">
        <v>64</v>
      </c>
      <c r="C2067" s="2521">
        <f t="shared" si="401"/>
        <v>0</v>
      </c>
      <c r="D2067" s="2405">
        <v>0</v>
      </c>
      <c r="E2067" s="2447" t="s">
        <v>3382</v>
      </c>
      <c r="F2067" s="2405" t="s">
        <v>2563</v>
      </c>
      <c r="G2067" s="2712">
        <f>G2057*3</f>
        <v>0</v>
      </c>
      <c r="H2067" s="2517">
        <v>0</v>
      </c>
      <c r="I2067" s="2517">
        <v>0</v>
      </c>
      <c r="J2067" s="2517">
        <v>0</v>
      </c>
      <c r="K2067" s="2517">
        <v>0</v>
      </c>
      <c r="L2067" s="2517">
        <f>H2067*G2067</f>
        <v>0</v>
      </c>
      <c r="M2067" s="2517">
        <f>I2067*G2067</f>
        <v>0</v>
      </c>
      <c r="N2067" s="2517">
        <f>J2067*G2067</f>
        <v>0</v>
      </c>
      <c r="O2067" s="2517">
        <f>K2067*G2067</f>
        <v>0</v>
      </c>
      <c r="P2067" s="2696" t="s">
        <v>2609</v>
      </c>
      <c r="Q2067" s="2519"/>
      <c r="R2067" s="2519"/>
      <c r="S2067" s="2519"/>
    </row>
    <row r="2068" spans="1:19" s="2358" customFormat="1" outlineLevel="1">
      <c r="A2068" s="2435" t="str">
        <f t="shared" si="400"/>
        <v/>
      </c>
      <c r="B2068" s="2505" t="s">
        <v>1463</v>
      </c>
      <c r="C2068" s="2521">
        <f t="shared" si="401"/>
        <v>0</v>
      </c>
      <c r="D2068" s="2405">
        <v>0</v>
      </c>
      <c r="E2068" s="2447" t="s">
        <v>3459</v>
      </c>
      <c r="F2068" s="2405" t="s">
        <v>2563</v>
      </c>
      <c r="G2068" s="2712">
        <f>G2057</f>
        <v>0</v>
      </c>
      <c r="H2068" s="2517">
        <v>0</v>
      </c>
      <c r="I2068" s="2517">
        <v>0</v>
      </c>
      <c r="J2068" s="2517">
        <v>0</v>
      </c>
      <c r="K2068" s="2517">
        <v>0</v>
      </c>
      <c r="L2068" s="2517">
        <f>H2068*G2068</f>
        <v>0</v>
      </c>
      <c r="M2068" s="2613">
        <f>I2068*G2068</f>
        <v>0</v>
      </c>
      <c r="N2068" s="2613">
        <f>J2068*G2068</f>
        <v>0</v>
      </c>
      <c r="O2068" s="2614">
        <f>K2068*G2068</f>
        <v>0</v>
      </c>
      <c r="P2068" s="2697" t="s">
        <v>2609</v>
      </c>
      <c r="Q2068" s="2519"/>
      <c r="R2068" s="2519"/>
      <c r="S2068" s="2519"/>
    </row>
    <row r="2069" spans="1:19" s="2358" customFormat="1" outlineLevel="1">
      <c r="A2069" s="2435">
        <f>IF(SUM(L2069:O2069)&gt;0,1,)</f>
        <v>0</v>
      </c>
      <c r="B2069" s="2514"/>
      <c r="C2069" s="2646"/>
      <c r="D2069" s="2647"/>
      <c r="E2069" s="2648"/>
      <c r="F2069" s="2646"/>
      <c r="G2069" s="2698"/>
      <c r="H2069" s="2646"/>
      <c r="I2069" s="2646"/>
      <c r="J2069" s="2370" t="s">
        <v>6195</v>
      </c>
      <c r="K2069" s="2646"/>
      <c r="L2069" s="2648">
        <f>SUM(L2057:L2068)</f>
        <v>0</v>
      </c>
      <c r="M2069" s="2648">
        <f>SUM(M2057:M2068)</f>
        <v>0</v>
      </c>
      <c r="N2069" s="2648">
        <f>SUM(N2057:N2068)</f>
        <v>0</v>
      </c>
      <c r="O2069" s="2648">
        <f>SUM(O2057:O2068)</f>
        <v>0</v>
      </c>
      <c r="P2069" s="2699"/>
      <c r="Q2069" s="2519"/>
      <c r="R2069" s="2519"/>
      <c r="S2069" s="2519"/>
    </row>
    <row r="2070" spans="1:19" s="2358" customFormat="1" outlineLevel="1">
      <c r="A2070" s="2435">
        <f>A2051</f>
        <v>0</v>
      </c>
      <c r="B2070" s="2514"/>
      <c r="C2070" s="2650"/>
      <c r="D2070" s="2651"/>
      <c r="E2070" s="2652" t="s">
        <v>3691</v>
      </c>
      <c r="F2070" s="2652"/>
      <c r="G2070" s="2700"/>
      <c r="H2070" s="2652"/>
      <c r="I2070" s="2652"/>
      <c r="J2070" s="2652"/>
      <c r="K2070" s="2652"/>
      <c r="L2070" s="2652"/>
      <c r="M2070" s="2652"/>
      <c r="N2070" s="2652"/>
      <c r="O2070" s="2651"/>
      <c r="P2070" s="2699"/>
      <c r="Q2070" s="2519"/>
      <c r="R2070" s="2519"/>
      <c r="S2070" s="2519"/>
    </row>
    <row r="2071" spans="1:19" s="2358" customFormat="1" outlineLevel="1">
      <c r="A2071" s="2435" t="str">
        <f t="shared" ref="A2071:A2089" si="402">IF(G2071&lt;&gt;0,1,"")</f>
        <v/>
      </c>
      <c r="B2071" s="2654"/>
      <c r="C2071" s="2655">
        <f>IF(G2071&gt;0,1,0)</f>
        <v>0</v>
      </c>
      <c r="D2071" s="2405"/>
      <c r="E2071" s="2656" t="s">
        <v>6196</v>
      </c>
      <c r="F2071" s="2657" t="s">
        <v>2283</v>
      </c>
      <c r="G2071" s="2714"/>
      <c r="H2071" s="2657"/>
      <c r="I2071" s="2657"/>
      <c r="J2071" s="2657"/>
      <c r="K2071" s="2657"/>
      <c r="L2071" s="2658"/>
      <c r="M2071" s="2658"/>
      <c r="N2071" s="2658"/>
      <c r="O2071" s="2659"/>
      <c r="P2071" s="2642"/>
      <c r="Q2071" s="2519"/>
      <c r="R2071" s="2519"/>
      <c r="S2071" s="2519"/>
    </row>
    <row r="2072" spans="1:19" s="2358" customFormat="1" outlineLevel="1">
      <c r="A2072" s="2435" t="str">
        <f t="shared" si="402"/>
        <v/>
      </c>
      <c r="B2072" s="2610" t="s">
        <v>115</v>
      </c>
      <c r="C2072" s="2660"/>
      <c r="D2072" s="2405"/>
      <c r="E2072" s="2661" t="s">
        <v>3009</v>
      </c>
      <c r="F2072" s="2405" t="s">
        <v>2839</v>
      </c>
      <c r="G2072" s="2715">
        <f>G2071</f>
        <v>0</v>
      </c>
      <c r="H2072" s="2612">
        <v>4400000</v>
      </c>
      <c r="I2072" s="2511"/>
      <c r="J2072" s="2612"/>
      <c r="K2072" s="2511"/>
      <c r="L2072" s="2613">
        <f>H2072*G2072</f>
        <v>0</v>
      </c>
      <c r="M2072" s="2613">
        <f>I2072*G2072</f>
        <v>0</v>
      </c>
      <c r="N2072" s="2613">
        <f>J2072*G2072</f>
        <v>0</v>
      </c>
      <c r="O2072" s="2613">
        <f>K2072*G2072</f>
        <v>0</v>
      </c>
      <c r="P2072" s="2642"/>
      <c r="Q2072" s="2519"/>
      <c r="R2072" s="2519"/>
      <c r="S2072" s="2519"/>
    </row>
    <row r="2073" spans="1:19" s="2358" customFormat="1" outlineLevel="1">
      <c r="A2073" s="2435" t="str">
        <f t="shared" si="402"/>
        <v/>
      </c>
      <c r="B2073" s="2610" t="s">
        <v>1818</v>
      </c>
      <c r="C2073" s="2660"/>
      <c r="D2073" s="2405"/>
      <c r="E2073" s="2661" t="s">
        <v>2838</v>
      </c>
      <c r="F2073" s="2405" t="s">
        <v>2839</v>
      </c>
      <c r="G2073" s="2715">
        <f>G2072</f>
        <v>0</v>
      </c>
      <c r="H2073" s="2612">
        <v>17400</v>
      </c>
      <c r="I2073" s="2612"/>
      <c r="J2073" s="2511"/>
      <c r="K2073" s="2511"/>
      <c r="L2073" s="2613">
        <f>H2073*G2073</f>
        <v>0</v>
      </c>
      <c r="M2073" s="2613">
        <f>I2073*G2073</f>
        <v>0</v>
      </c>
      <c r="N2073" s="2613">
        <f>J2073*G2073</f>
        <v>0</v>
      </c>
      <c r="O2073" s="2613">
        <f>K2073*G2073</f>
        <v>0</v>
      </c>
      <c r="P2073" s="2642"/>
      <c r="Q2073" s="2519"/>
      <c r="R2073" s="2519"/>
      <c r="S2073" s="2519"/>
    </row>
    <row r="2074" spans="1:19" s="2358" customFormat="1" outlineLevel="1">
      <c r="A2074" s="2435" t="str">
        <f t="shared" si="402"/>
        <v/>
      </c>
      <c r="B2074" s="2610" t="s">
        <v>643</v>
      </c>
      <c r="C2074" s="2660"/>
      <c r="D2074" s="2405" t="s">
        <v>2133</v>
      </c>
      <c r="E2074" s="2661" t="s">
        <v>3185</v>
      </c>
      <c r="F2074" s="2405" t="s">
        <v>2839</v>
      </c>
      <c r="G2074" s="2715">
        <f>G2072</f>
        <v>0</v>
      </c>
      <c r="H2074" s="2661"/>
      <c r="I2074" s="2612"/>
      <c r="J2074" s="2612">
        <v>112286</v>
      </c>
      <c r="K2074" s="2612">
        <v>105970</v>
      </c>
      <c r="L2074" s="2613">
        <f>H2074*G2074</f>
        <v>0</v>
      </c>
      <c r="M2074" s="2613">
        <f>I2074*G2074</f>
        <v>0</v>
      </c>
      <c r="N2074" s="2613">
        <f>J2074*G2074</f>
        <v>0</v>
      </c>
      <c r="O2074" s="2613">
        <f>K2074*G2074</f>
        <v>0</v>
      </c>
      <c r="P2074" s="2642"/>
      <c r="Q2074" s="2519"/>
      <c r="R2074" s="2519"/>
      <c r="S2074" s="2519"/>
    </row>
    <row r="2075" spans="1:19" s="2358" customFormat="1" outlineLevel="1">
      <c r="A2075" s="2435" t="str">
        <f t="shared" si="402"/>
        <v/>
      </c>
      <c r="B2075" s="2654"/>
      <c r="C2075" s="2655">
        <f>IF(G2075&gt;0,1,0)</f>
        <v>0</v>
      </c>
      <c r="D2075" s="2405"/>
      <c r="E2075" s="2656" t="s">
        <v>6291</v>
      </c>
      <c r="F2075" s="2657" t="s">
        <v>2283</v>
      </c>
      <c r="G2075" s="2714">
        <f>G2057*1*0</f>
        <v>0</v>
      </c>
      <c r="H2075" s="2657"/>
      <c r="I2075" s="2657"/>
      <c r="J2075" s="2657"/>
      <c r="K2075" s="2657"/>
      <c r="L2075" s="2658"/>
      <c r="M2075" s="2658"/>
      <c r="N2075" s="2658"/>
      <c r="O2075" s="2659"/>
      <c r="P2075" s="2518"/>
      <c r="Q2075" s="2519"/>
      <c r="R2075" s="2519"/>
      <c r="S2075" s="2519"/>
    </row>
    <row r="2076" spans="1:19" s="2358" customFormat="1" outlineLevel="1">
      <c r="A2076" s="2435" t="str">
        <f t="shared" si="402"/>
        <v/>
      </c>
      <c r="B2076" s="2610" t="s">
        <v>114</v>
      </c>
      <c r="C2076" s="2660"/>
      <c r="D2076" s="2405"/>
      <c r="E2076" s="2661" t="s">
        <v>3008</v>
      </c>
      <c r="F2076" s="2405" t="s">
        <v>2839</v>
      </c>
      <c r="G2076" s="2715">
        <f>G2075</f>
        <v>0</v>
      </c>
      <c r="H2076" s="2612">
        <v>4200000</v>
      </c>
      <c r="I2076" s="2511"/>
      <c r="J2076" s="2612"/>
      <c r="K2076" s="2511"/>
      <c r="L2076" s="2613">
        <f>H2076*G2076</f>
        <v>0</v>
      </c>
      <c r="M2076" s="2613">
        <f>I2076*G2076</f>
        <v>0</v>
      </c>
      <c r="N2076" s="2613">
        <f>J2076*G2076</f>
        <v>0</v>
      </c>
      <c r="O2076" s="2613">
        <f>K2076*G2076</f>
        <v>0</v>
      </c>
      <c r="P2076" s="2518"/>
      <c r="Q2076" s="2519"/>
      <c r="R2076" s="2519"/>
      <c r="S2076" s="2519"/>
    </row>
    <row r="2077" spans="1:19" s="2358" customFormat="1" outlineLevel="1">
      <c r="A2077" s="2435" t="str">
        <f t="shared" si="402"/>
        <v/>
      </c>
      <c r="B2077" s="2610" t="s">
        <v>1818</v>
      </c>
      <c r="C2077" s="2660"/>
      <c r="D2077" s="2405"/>
      <c r="E2077" s="2661" t="s">
        <v>2838</v>
      </c>
      <c r="F2077" s="2405" t="s">
        <v>2839</v>
      </c>
      <c r="G2077" s="2715">
        <f>G2076</f>
        <v>0</v>
      </c>
      <c r="H2077" s="2612">
        <v>17400</v>
      </c>
      <c r="I2077" s="2612"/>
      <c r="J2077" s="2511"/>
      <c r="K2077" s="2511"/>
      <c r="L2077" s="2613">
        <f>H2077*G2077</f>
        <v>0</v>
      </c>
      <c r="M2077" s="2613">
        <f>I2077*G2077</f>
        <v>0</v>
      </c>
      <c r="N2077" s="2613">
        <f>J2077*G2077</f>
        <v>0</v>
      </c>
      <c r="O2077" s="2613">
        <f>K2077*G2077</f>
        <v>0</v>
      </c>
      <c r="P2077" s="2518"/>
      <c r="Q2077" s="2519"/>
      <c r="R2077" s="2519"/>
      <c r="S2077" s="2519"/>
    </row>
    <row r="2078" spans="1:19" s="2358" customFormat="1" outlineLevel="1">
      <c r="A2078" s="2435" t="str">
        <f t="shared" si="402"/>
        <v/>
      </c>
      <c r="B2078" s="2610" t="s">
        <v>644</v>
      </c>
      <c r="C2078" s="2660"/>
      <c r="D2078" s="2405" t="s">
        <v>2133</v>
      </c>
      <c r="E2078" s="2661" t="s">
        <v>3186</v>
      </c>
      <c r="F2078" s="2405" t="s">
        <v>2839</v>
      </c>
      <c r="G2078" s="2715">
        <f>G2076</f>
        <v>0</v>
      </c>
      <c r="H2078" s="2661"/>
      <c r="I2078" s="2612"/>
      <c r="J2078" s="2612">
        <v>112286</v>
      </c>
      <c r="K2078" s="2612">
        <v>105970</v>
      </c>
      <c r="L2078" s="2613">
        <f>H2078*G2078</f>
        <v>0</v>
      </c>
      <c r="M2078" s="2613">
        <f>I2078*G2078</f>
        <v>0</v>
      </c>
      <c r="N2078" s="2613">
        <f>J2078*G2078</f>
        <v>0</v>
      </c>
      <c r="O2078" s="2613">
        <f>K2078*G2078</f>
        <v>0</v>
      </c>
      <c r="P2078" s="2518"/>
      <c r="Q2078" s="2519"/>
      <c r="R2078" s="2519"/>
      <c r="S2078" s="2519"/>
    </row>
    <row r="2079" spans="1:19" s="2358" customFormat="1" outlineLevel="1">
      <c r="A2079" s="2435" t="str">
        <f t="shared" si="402"/>
        <v/>
      </c>
      <c r="B2079" s="2610"/>
      <c r="C2079" s="2511">
        <f>IF(G2079&gt;0,C2071+1,C2071)</f>
        <v>0</v>
      </c>
      <c r="D2079" s="2405"/>
      <c r="E2079" s="2656" t="s">
        <v>2358</v>
      </c>
      <c r="F2079" s="2657" t="s">
        <v>2333</v>
      </c>
      <c r="G2079" s="2714">
        <f>G2071</f>
        <v>0</v>
      </c>
      <c r="H2079" s="2511"/>
      <c r="I2079" s="2511"/>
      <c r="J2079" s="2511"/>
      <c r="K2079" s="2511"/>
      <c r="L2079" s="2511"/>
      <c r="M2079" s="2511"/>
      <c r="N2079" s="2511"/>
      <c r="O2079" s="2663"/>
      <c r="P2079" s="2642"/>
      <c r="Q2079" s="2519"/>
      <c r="R2079" s="2519"/>
      <c r="S2079" s="2519"/>
    </row>
    <row r="2080" spans="1:19" s="2358" customFormat="1" outlineLevel="1">
      <c r="A2080" s="2435" t="str">
        <f t="shared" si="402"/>
        <v/>
      </c>
      <c r="B2080" s="2610" t="s">
        <v>636</v>
      </c>
      <c r="C2080" s="2660"/>
      <c r="D2080" s="2405" t="s">
        <v>5099</v>
      </c>
      <c r="E2080" s="2661" t="s">
        <v>2615</v>
      </c>
      <c r="F2080" s="2405" t="s">
        <v>2563</v>
      </c>
      <c r="G2080" s="2715">
        <f>G2079</f>
        <v>0</v>
      </c>
      <c r="H2080" s="2612">
        <v>354545</v>
      </c>
      <c r="I2080" s="2612"/>
      <c r="J2080" s="2612">
        <v>37220.25</v>
      </c>
      <c r="K2080" s="2511"/>
      <c r="L2080" s="2613">
        <f>H2080*G2080</f>
        <v>0</v>
      </c>
      <c r="M2080" s="2613">
        <f>I2080*G2080</f>
        <v>0</v>
      </c>
      <c r="N2080" s="2613">
        <f>J2080*G2080</f>
        <v>0</v>
      </c>
      <c r="O2080" s="2613">
        <f>K2080*G2080</f>
        <v>0</v>
      </c>
      <c r="P2080" s="2642"/>
      <c r="Q2080" s="2519"/>
      <c r="R2080" s="2519"/>
      <c r="S2080" s="2519"/>
    </row>
    <row r="2081" spans="1:19" s="2358" customFormat="1" outlineLevel="1">
      <c r="A2081" s="2435" t="str">
        <f t="shared" si="402"/>
        <v/>
      </c>
      <c r="B2081" s="2610" t="s">
        <v>566</v>
      </c>
      <c r="C2081" s="2660"/>
      <c r="D2081" s="2405"/>
      <c r="E2081" s="2661" t="s">
        <v>5124</v>
      </c>
      <c r="F2081" s="2405" t="s">
        <v>2445</v>
      </c>
      <c r="G2081" s="2523">
        <f>G2080</f>
        <v>0</v>
      </c>
      <c r="H2081" s="2612">
        <v>92200</v>
      </c>
      <c r="I2081" s="2661"/>
      <c r="J2081" s="2661"/>
      <c r="K2081" s="2511"/>
      <c r="L2081" s="2613">
        <f>H2081*G2081</f>
        <v>0</v>
      </c>
      <c r="M2081" s="2613">
        <f>I2081*G2081</f>
        <v>0</v>
      </c>
      <c r="N2081" s="2613">
        <f>J2081*G2081</f>
        <v>0</v>
      </c>
      <c r="O2081" s="2613">
        <f>K2081*G2081</f>
        <v>0</v>
      </c>
      <c r="P2081" s="2642"/>
      <c r="Q2081" s="2519"/>
      <c r="R2081" s="2519"/>
      <c r="S2081" s="2519"/>
    </row>
    <row r="2082" spans="1:19" s="2358" customFormat="1" outlineLevel="1">
      <c r="A2082" s="2435" t="str">
        <f t="shared" si="402"/>
        <v/>
      </c>
      <c r="B2082" s="2610" t="s">
        <v>639</v>
      </c>
      <c r="C2082" s="2660"/>
      <c r="D2082" s="2405" t="s">
        <v>1751</v>
      </c>
      <c r="E2082" s="2661" t="s">
        <v>5386</v>
      </c>
      <c r="F2082" s="2405" t="s">
        <v>856</v>
      </c>
      <c r="G2082" s="2523">
        <f>1.45*G2080</f>
        <v>0</v>
      </c>
      <c r="H2082" s="2612">
        <v>0</v>
      </c>
      <c r="I2082" s="2612"/>
      <c r="J2082" s="2612">
        <v>296500.89999999997</v>
      </c>
      <c r="K2082" s="2511"/>
      <c r="L2082" s="2613">
        <f>H2082*G2082</f>
        <v>0</v>
      </c>
      <c r="M2082" s="2613">
        <f>I2082*G2082</f>
        <v>0</v>
      </c>
      <c r="N2082" s="2613">
        <f>J2082*G2082</f>
        <v>0</v>
      </c>
      <c r="O2082" s="2613">
        <f>K2082*G2082</f>
        <v>0</v>
      </c>
      <c r="P2082" s="2642"/>
      <c r="Q2082" s="2519"/>
      <c r="R2082" s="2519"/>
      <c r="S2082" s="2519"/>
    </row>
    <row r="2083" spans="1:19" s="2358" customFormat="1" outlineLevel="1">
      <c r="A2083" s="2435" t="str">
        <f t="shared" si="402"/>
        <v/>
      </c>
      <c r="B2083" s="2610" t="s">
        <v>21</v>
      </c>
      <c r="C2083" s="2660"/>
      <c r="D2083" s="2405" t="s">
        <v>5387</v>
      </c>
      <c r="E2083" s="2661" t="s">
        <v>5388</v>
      </c>
      <c r="F2083" s="2405" t="s">
        <v>856</v>
      </c>
      <c r="G2083" s="2523">
        <f>1.37*G2079</f>
        <v>0</v>
      </c>
      <c r="H2083" s="2612">
        <v>0</v>
      </c>
      <c r="I2083" s="2612"/>
      <c r="J2083" s="2612">
        <v>117703.6</v>
      </c>
      <c r="K2083" s="2511"/>
      <c r="L2083" s="2613">
        <f>H2083*G2083</f>
        <v>0</v>
      </c>
      <c r="M2083" s="2613">
        <f>I2083*G2083</f>
        <v>0</v>
      </c>
      <c r="N2083" s="2613">
        <f>J2083*G2083</f>
        <v>0</v>
      </c>
      <c r="O2083" s="2613">
        <f>K2083*G2083</f>
        <v>0</v>
      </c>
      <c r="P2083" s="2642"/>
      <c r="Q2083" s="2519"/>
      <c r="R2083" s="2519"/>
      <c r="S2083" s="2519"/>
    </row>
    <row r="2084" spans="1:19" s="2358" customFormat="1" outlineLevel="1">
      <c r="A2084" s="2435" t="str">
        <f t="shared" si="402"/>
        <v/>
      </c>
      <c r="B2084" s="2610"/>
      <c r="C2084" s="2511">
        <f>IF(G2084&gt;0,C2076+1,C2076)</f>
        <v>0</v>
      </c>
      <c r="D2084" s="2405"/>
      <c r="E2084" s="2656" t="s">
        <v>3731</v>
      </c>
      <c r="F2084" s="2657" t="s">
        <v>2333</v>
      </c>
      <c r="G2084" s="2714">
        <f>G2075</f>
        <v>0</v>
      </c>
      <c r="H2084" s="2511"/>
      <c r="I2084" s="2511"/>
      <c r="J2084" s="2511"/>
      <c r="K2084" s="2511"/>
      <c r="L2084" s="2511"/>
      <c r="M2084" s="2511"/>
      <c r="N2084" s="2511"/>
      <c r="O2084" s="2663"/>
      <c r="P2084" s="2518"/>
      <c r="Q2084" s="2519"/>
      <c r="R2084" s="2519"/>
      <c r="S2084" s="2519"/>
    </row>
    <row r="2085" spans="1:19" s="2358" customFormat="1" outlineLevel="1">
      <c r="A2085" s="2435" t="str">
        <f t="shared" si="402"/>
        <v/>
      </c>
      <c r="B2085" s="2610" t="s">
        <v>636</v>
      </c>
      <c r="C2085" s="2660"/>
      <c r="D2085" s="2405" t="s">
        <v>5099</v>
      </c>
      <c r="E2085" s="2661" t="s">
        <v>2615</v>
      </c>
      <c r="F2085" s="2405" t="s">
        <v>2563</v>
      </c>
      <c r="G2085" s="2715">
        <f>G2084</f>
        <v>0</v>
      </c>
      <c r="H2085" s="2612">
        <v>354545</v>
      </c>
      <c r="I2085" s="2612"/>
      <c r="J2085" s="2612">
        <v>37220.25</v>
      </c>
      <c r="K2085" s="2511"/>
      <c r="L2085" s="2613">
        <f>H2085*G2085</f>
        <v>0</v>
      </c>
      <c r="M2085" s="2613">
        <f>I2085*G2085</f>
        <v>0</v>
      </c>
      <c r="N2085" s="2613">
        <f>J2085*G2085</f>
        <v>0</v>
      </c>
      <c r="O2085" s="2613">
        <f>K2085*G2085</f>
        <v>0</v>
      </c>
      <c r="P2085" s="2518"/>
      <c r="Q2085" s="2519"/>
      <c r="R2085" s="2519"/>
      <c r="S2085" s="2519"/>
    </row>
    <row r="2086" spans="1:19" s="2358" customFormat="1" outlineLevel="1">
      <c r="A2086" s="2435" t="str">
        <f t="shared" si="402"/>
        <v/>
      </c>
      <c r="B2086" s="2610" t="s">
        <v>566</v>
      </c>
      <c r="C2086" s="2660"/>
      <c r="D2086" s="2405"/>
      <c r="E2086" s="2661" t="s">
        <v>5124</v>
      </c>
      <c r="F2086" s="2405" t="s">
        <v>2445</v>
      </c>
      <c r="G2086" s="2715">
        <f>G2085</f>
        <v>0</v>
      </c>
      <c r="H2086" s="2612">
        <v>92200</v>
      </c>
      <c r="I2086" s="2661"/>
      <c r="J2086" s="2661"/>
      <c r="K2086" s="2511"/>
      <c r="L2086" s="2613">
        <f>H2086*G2086</f>
        <v>0</v>
      </c>
      <c r="M2086" s="2613">
        <f>I2086*G2086</f>
        <v>0</v>
      </c>
      <c r="N2086" s="2613">
        <f>J2086*G2086</f>
        <v>0</v>
      </c>
      <c r="O2086" s="2613">
        <f>K2086*G2086</f>
        <v>0</v>
      </c>
      <c r="P2086" s="2518"/>
      <c r="Q2086" s="2519"/>
      <c r="R2086" s="2519"/>
      <c r="S2086" s="2519"/>
    </row>
    <row r="2087" spans="1:19" s="2358" customFormat="1" outlineLevel="1">
      <c r="A2087" s="2435" t="str">
        <f t="shared" si="402"/>
        <v/>
      </c>
      <c r="B2087" s="2610" t="s">
        <v>639</v>
      </c>
      <c r="C2087" s="2660"/>
      <c r="D2087" s="2405" t="s">
        <v>1751</v>
      </c>
      <c r="E2087" s="2661" t="s">
        <v>5386</v>
      </c>
      <c r="F2087" s="2405" t="s">
        <v>856</v>
      </c>
      <c r="G2087" s="2523">
        <f>1.48*G2085</f>
        <v>0</v>
      </c>
      <c r="H2087" s="2612">
        <v>0</v>
      </c>
      <c r="I2087" s="2612"/>
      <c r="J2087" s="2612">
        <v>296500.89999999997</v>
      </c>
      <c r="K2087" s="2511"/>
      <c r="L2087" s="2613">
        <f>H2087*G2087</f>
        <v>0</v>
      </c>
      <c r="M2087" s="2613">
        <f>I2087*G2087</f>
        <v>0</v>
      </c>
      <c r="N2087" s="2613">
        <f>J2087*G2087</f>
        <v>0</v>
      </c>
      <c r="O2087" s="2613">
        <f>K2087*G2087</f>
        <v>0</v>
      </c>
      <c r="P2087" s="2518"/>
      <c r="Q2087" s="2519"/>
      <c r="R2087" s="2519"/>
      <c r="S2087" s="2519"/>
    </row>
    <row r="2088" spans="1:19" s="2358" customFormat="1" outlineLevel="1">
      <c r="A2088" s="2435" t="str">
        <f t="shared" si="402"/>
        <v/>
      </c>
      <c r="B2088" s="2610" t="s">
        <v>21</v>
      </c>
      <c r="C2088" s="2660"/>
      <c r="D2088" s="2405" t="s">
        <v>5387</v>
      </c>
      <c r="E2088" s="2661" t="s">
        <v>5388</v>
      </c>
      <c r="F2088" s="2405" t="s">
        <v>856</v>
      </c>
      <c r="G2088" s="2523">
        <f>1.39*G2084</f>
        <v>0</v>
      </c>
      <c r="H2088" s="2612">
        <v>0</v>
      </c>
      <c r="I2088" s="2612"/>
      <c r="J2088" s="2612">
        <v>117703.6</v>
      </c>
      <c r="K2088" s="2511"/>
      <c r="L2088" s="2613">
        <f>H2088*G2088</f>
        <v>0</v>
      </c>
      <c r="M2088" s="2613">
        <f>I2088*G2088</f>
        <v>0</v>
      </c>
      <c r="N2088" s="2613">
        <f>J2088*G2088</f>
        <v>0</v>
      </c>
      <c r="O2088" s="2613">
        <f>K2088*G2088</f>
        <v>0</v>
      </c>
      <c r="P2088" s="2518"/>
      <c r="Q2088" s="2519"/>
      <c r="R2088" s="2519"/>
      <c r="S2088" s="2519"/>
    </row>
    <row r="2089" spans="1:19" s="2358" customFormat="1" outlineLevel="1">
      <c r="A2089" s="2435" t="str">
        <f t="shared" si="402"/>
        <v/>
      </c>
      <c r="B2089" s="2514"/>
      <c r="C2089" s="2511">
        <f>IF(G2089&gt;0,C2079+1,C2079)</f>
        <v>0</v>
      </c>
      <c r="D2089" s="2664"/>
      <c r="E2089" s="2656" t="s">
        <v>3732</v>
      </c>
      <c r="F2089" s="2655" t="s">
        <v>2391</v>
      </c>
      <c r="G2089" s="2701">
        <f>G2057*1</f>
        <v>0</v>
      </c>
      <c r="H2089" s="2666"/>
      <c r="I2089" s="2666"/>
      <c r="J2089" s="2666"/>
      <c r="K2089" s="2666"/>
      <c r="L2089" s="2666"/>
      <c r="M2089" s="2666"/>
      <c r="N2089" s="2666"/>
      <c r="O2089" s="2666"/>
      <c r="P2089" s="2702"/>
      <c r="Q2089" s="2519"/>
      <c r="R2089" s="2519"/>
      <c r="S2089" s="2519"/>
    </row>
    <row r="2090" spans="1:19" s="2358" customFormat="1" ht="14.4" outlineLevel="1">
      <c r="A2090" s="2435" t="str">
        <f>A2089</f>
        <v/>
      </c>
      <c r="B2090" s="2514"/>
      <c r="C2090" s="2511"/>
      <c r="D2090" s="2667"/>
      <c r="E2090" s="2520" t="s">
        <v>6207</v>
      </c>
      <c r="F2090" s="2521"/>
      <c r="G2090" s="2703"/>
      <c r="H2090" s="2668"/>
      <c r="I2090" s="2668"/>
      <c r="J2090" s="2668"/>
      <c r="K2090" s="2668"/>
      <c r="L2090" s="2668"/>
      <c r="M2090" s="2668"/>
      <c r="N2090" s="2668"/>
      <c r="O2090" s="2668"/>
      <c r="P2090" s="2702"/>
      <c r="Q2090" s="2519"/>
      <c r="R2090" s="2519"/>
      <c r="S2090" s="2519"/>
    </row>
    <row r="2091" spans="1:19" s="2358" customFormat="1" outlineLevel="1">
      <c r="A2091" s="2435" t="str">
        <f t="shared" ref="A2091:A2107" si="403">IF(G2091&lt;&gt;0,1,"")</f>
        <v/>
      </c>
      <c r="B2091" s="2505" t="s">
        <v>5903</v>
      </c>
      <c r="C2091" s="2511"/>
      <c r="D2091" s="2405">
        <v>0</v>
      </c>
      <c r="E2091" s="2447" t="s">
        <v>5904</v>
      </c>
      <c r="F2091" s="2405" t="s">
        <v>2254</v>
      </c>
      <c r="G2091" s="2703">
        <f>+G2089*2.033*2*18.4</f>
        <v>0</v>
      </c>
      <c r="H2091" s="2612">
        <v>31625</v>
      </c>
      <c r="I2091" s="2669"/>
      <c r="J2091" s="2612"/>
      <c r="K2091" s="2612">
        <v>0</v>
      </c>
      <c r="L2091" s="2613">
        <f t="shared" ref="L2091:L2106" si="404">H2091*G2091</f>
        <v>0</v>
      </c>
      <c r="M2091" s="2613">
        <f t="shared" ref="M2091:M2115" si="405">I2091*G2091</f>
        <v>0</v>
      </c>
      <c r="N2091" s="2612"/>
      <c r="O2091" s="2613">
        <f t="shared" ref="O2091:O2115" si="406">K2091*G2091</f>
        <v>0</v>
      </c>
      <c r="P2091" s="2702"/>
      <c r="Q2091" s="2519">
        <f>L2091/2</f>
        <v>0</v>
      </c>
      <c r="R2091" s="2519"/>
      <c r="S2091" s="2519"/>
    </row>
    <row r="2092" spans="1:19" s="2358" customFormat="1" outlineLevel="1">
      <c r="A2092" s="2435" t="str">
        <f t="shared" si="403"/>
        <v/>
      </c>
      <c r="B2092" s="2505" t="s">
        <v>5905</v>
      </c>
      <c r="C2092" s="2511"/>
      <c r="D2092" s="2405">
        <v>0</v>
      </c>
      <c r="E2092" s="2447" t="s">
        <v>5906</v>
      </c>
      <c r="F2092" s="2405" t="s">
        <v>2254</v>
      </c>
      <c r="G2092" s="2703">
        <f>+G2089*0.4*2*8.59</f>
        <v>0</v>
      </c>
      <c r="H2092" s="2612">
        <v>31625</v>
      </c>
      <c r="I2092" s="2669"/>
      <c r="J2092" s="2612"/>
      <c r="K2092" s="2612">
        <v>0</v>
      </c>
      <c r="L2092" s="2613">
        <f t="shared" si="404"/>
        <v>0</v>
      </c>
      <c r="M2092" s="2613">
        <f t="shared" si="405"/>
        <v>0</v>
      </c>
      <c r="N2092" s="2612"/>
      <c r="O2092" s="2613">
        <f t="shared" si="406"/>
        <v>0</v>
      </c>
      <c r="P2092" s="2702"/>
      <c r="Q2092" s="2519">
        <f t="shared" ref="Q2092:Q2105" si="407">L2092/2</f>
        <v>0</v>
      </c>
      <c r="R2092" s="2519"/>
      <c r="S2092" s="2519"/>
    </row>
    <row r="2093" spans="1:19" s="2358" customFormat="1" outlineLevel="1">
      <c r="A2093" s="2435" t="str">
        <f t="shared" si="403"/>
        <v/>
      </c>
      <c r="B2093" s="2505" t="s">
        <v>5909</v>
      </c>
      <c r="C2093" s="2511"/>
      <c r="D2093" s="2405">
        <v>0</v>
      </c>
      <c r="E2093" s="2447" t="s">
        <v>5910</v>
      </c>
      <c r="F2093" s="2405" t="s">
        <v>2254</v>
      </c>
      <c r="G2093" s="2703">
        <f>+G2089*1.428*1*18.4</f>
        <v>0</v>
      </c>
      <c r="H2093" s="2612">
        <v>31625</v>
      </c>
      <c r="I2093" s="2669"/>
      <c r="J2093" s="2612"/>
      <c r="K2093" s="2612">
        <v>0</v>
      </c>
      <c r="L2093" s="2613">
        <f t="shared" si="404"/>
        <v>0</v>
      </c>
      <c r="M2093" s="2613">
        <f t="shared" si="405"/>
        <v>0</v>
      </c>
      <c r="N2093" s="2612"/>
      <c r="O2093" s="2613">
        <f t="shared" si="406"/>
        <v>0</v>
      </c>
      <c r="P2093" s="2702"/>
      <c r="Q2093" s="2519">
        <f t="shared" si="407"/>
        <v>0</v>
      </c>
      <c r="R2093" s="2519"/>
      <c r="S2093" s="2519"/>
    </row>
    <row r="2094" spans="1:19" s="2358" customFormat="1" outlineLevel="1">
      <c r="A2094" s="2435" t="str">
        <f t="shared" si="403"/>
        <v/>
      </c>
      <c r="B2094" s="2505" t="s">
        <v>5911</v>
      </c>
      <c r="C2094" s="2511"/>
      <c r="D2094" s="2405">
        <v>0</v>
      </c>
      <c r="E2094" s="2447" t="s">
        <v>5912</v>
      </c>
      <c r="F2094" s="2405" t="s">
        <v>2254</v>
      </c>
      <c r="G2094" s="2703">
        <f>+G2089*0.75*1*8.59</f>
        <v>0</v>
      </c>
      <c r="H2094" s="2612">
        <v>31625</v>
      </c>
      <c r="I2094" s="2669"/>
      <c r="J2094" s="2612"/>
      <c r="K2094" s="2612">
        <v>0</v>
      </c>
      <c r="L2094" s="2613">
        <f t="shared" si="404"/>
        <v>0</v>
      </c>
      <c r="M2094" s="2613">
        <f t="shared" si="405"/>
        <v>0</v>
      </c>
      <c r="N2094" s="2612"/>
      <c r="O2094" s="2613">
        <f t="shared" si="406"/>
        <v>0</v>
      </c>
      <c r="P2094" s="2702"/>
      <c r="Q2094" s="2519">
        <f t="shared" si="407"/>
        <v>0</v>
      </c>
      <c r="R2094" s="2519"/>
      <c r="S2094" s="2519"/>
    </row>
    <row r="2095" spans="1:19" s="2358" customFormat="1" outlineLevel="1">
      <c r="A2095" s="2435" t="str">
        <f t="shared" si="403"/>
        <v/>
      </c>
      <c r="B2095" s="2505" t="s">
        <v>5913</v>
      </c>
      <c r="C2095" s="2511"/>
      <c r="D2095" s="2405">
        <v>0</v>
      </c>
      <c r="E2095" s="2447" t="s">
        <v>5914</v>
      </c>
      <c r="F2095" s="2405" t="s">
        <v>2254</v>
      </c>
      <c r="G2095" s="2703">
        <f>+G2089*0.75*1*8.59</f>
        <v>0</v>
      </c>
      <c r="H2095" s="2612">
        <v>31625</v>
      </c>
      <c r="I2095" s="2669"/>
      <c r="J2095" s="2612"/>
      <c r="K2095" s="2612">
        <v>0</v>
      </c>
      <c r="L2095" s="2613">
        <f t="shared" si="404"/>
        <v>0</v>
      </c>
      <c r="M2095" s="2613">
        <f t="shared" si="405"/>
        <v>0</v>
      </c>
      <c r="N2095" s="2612"/>
      <c r="O2095" s="2613">
        <f t="shared" si="406"/>
        <v>0</v>
      </c>
      <c r="P2095" s="2702"/>
      <c r="Q2095" s="2519">
        <f t="shared" si="407"/>
        <v>0</v>
      </c>
      <c r="R2095" s="2519"/>
      <c r="S2095" s="2519"/>
    </row>
    <row r="2096" spans="1:19" s="2358" customFormat="1" outlineLevel="1">
      <c r="A2096" s="2435" t="str">
        <f t="shared" si="403"/>
        <v/>
      </c>
      <c r="B2096" s="2505" t="s">
        <v>5917</v>
      </c>
      <c r="C2096" s="2511"/>
      <c r="D2096" s="2405">
        <v>0</v>
      </c>
      <c r="E2096" s="2447" t="s">
        <v>5918</v>
      </c>
      <c r="F2096" s="2405" t="s">
        <v>2254</v>
      </c>
      <c r="G2096" s="2703">
        <f>+G2089*1.5*2*18.4</f>
        <v>0</v>
      </c>
      <c r="H2096" s="2612">
        <v>31625</v>
      </c>
      <c r="I2096" s="2669"/>
      <c r="J2096" s="2612"/>
      <c r="K2096" s="2612">
        <v>0</v>
      </c>
      <c r="L2096" s="2613">
        <f t="shared" si="404"/>
        <v>0</v>
      </c>
      <c r="M2096" s="2613">
        <f t="shared" si="405"/>
        <v>0</v>
      </c>
      <c r="N2096" s="2612"/>
      <c r="O2096" s="2613">
        <f t="shared" si="406"/>
        <v>0</v>
      </c>
      <c r="P2096" s="2702"/>
      <c r="Q2096" s="2519">
        <f t="shared" si="407"/>
        <v>0</v>
      </c>
      <c r="R2096" s="2519"/>
      <c r="S2096" s="2519"/>
    </row>
    <row r="2097" spans="1:19" s="2358" customFormat="1" outlineLevel="1">
      <c r="A2097" s="2435" t="str">
        <f t="shared" si="403"/>
        <v/>
      </c>
      <c r="B2097" s="2505" t="s">
        <v>5919</v>
      </c>
      <c r="C2097" s="2511"/>
      <c r="D2097" s="2405">
        <v>0</v>
      </c>
      <c r="E2097" s="2447" t="s">
        <v>5920</v>
      </c>
      <c r="F2097" s="2405" t="s">
        <v>2254</v>
      </c>
      <c r="G2097" s="2703">
        <f>+G2089*0.7*2*8.59</f>
        <v>0</v>
      </c>
      <c r="H2097" s="2612">
        <v>31625</v>
      </c>
      <c r="I2097" s="2669"/>
      <c r="J2097" s="2612"/>
      <c r="K2097" s="2612">
        <v>0</v>
      </c>
      <c r="L2097" s="2613">
        <f t="shared" si="404"/>
        <v>0</v>
      </c>
      <c r="M2097" s="2613">
        <f t="shared" si="405"/>
        <v>0</v>
      </c>
      <c r="N2097" s="2612"/>
      <c r="O2097" s="2613">
        <f t="shared" si="406"/>
        <v>0</v>
      </c>
      <c r="P2097" s="2702"/>
      <c r="Q2097" s="2519">
        <f t="shared" si="407"/>
        <v>0</v>
      </c>
      <c r="R2097" s="2519"/>
      <c r="S2097" s="2519"/>
    </row>
    <row r="2098" spans="1:19" s="2358" customFormat="1" outlineLevel="1">
      <c r="A2098" s="2435" t="str">
        <f t="shared" si="403"/>
        <v/>
      </c>
      <c r="B2098" s="2505" t="s">
        <v>5923</v>
      </c>
      <c r="C2098" s="2511"/>
      <c r="D2098" s="2405">
        <v>0</v>
      </c>
      <c r="E2098" s="2447" t="s">
        <v>5924</v>
      </c>
      <c r="F2098" s="2405" t="s">
        <v>2254</v>
      </c>
      <c r="G2098" s="2703">
        <f>+G2089*0.8*1*18.4</f>
        <v>0</v>
      </c>
      <c r="H2098" s="2612">
        <v>31625</v>
      </c>
      <c r="I2098" s="2669"/>
      <c r="J2098" s="2612"/>
      <c r="K2098" s="2612">
        <v>0</v>
      </c>
      <c r="L2098" s="2613">
        <f t="shared" si="404"/>
        <v>0</v>
      </c>
      <c r="M2098" s="2613">
        <f t="shared" si="405"/>
        <v>0</v>
      </c>
      <c r="N2098" s="2612"/>
      <c r="O2098" s="2613">
        <f t="shared" si="406"/>
        <v>0</v>
      </c>
      <c r="P2098" s="2702"/>
      <c r="Q2098" s="2519">
        <f t="shared" si="407"/>
        <v>0</v>
      </c>
      <c r="R2098" s="2519"/>
      <c r="S2098" s="2519"/>
    </row>
    <row r="2099" spans="1:19" s="2358" customFormat="1" outlineLevel="1">
      <c r="A2099" s="2435" t="str">
        <f t="shared" si="403"/>
        <v/>
      </c>
      <c r="B2099" s="2505" t="s">
        <v>5925</v>
      </c>
      <c r="C2099" s="2511"/>
      <c r="D2099" s="2405">
        <v>0</v>
      </c>
      <c r="E2099" s="2447" t="s">
        <v>5926</v>
      </c>
      <c r="F2099" s="2405" t="s">
        <v>2254</v>
      </c>
      <c r="G2099" s="2703">
        <f>+G2089*0.7*1*8.59</f>
        <v>0</v>
      </c>
      <c r="H2099" s="2612">
        <v>31625</v>
      </c>
      <c r="I2099" s="2669"/>
      <c r="J2099" s="2612"/>
      <c r="K2099" s="2612">
        <v>0</v>
      </c>
      <c r="L2099" s="2613">
        <f t="shared" si="404"/>
        <v>0</v>
      </c>
      <c r="M2099" s="2613">
        <f t="shared" si="405"/>
        <v>0</v>
      </c>
      <c r="N2099" s="2612"/>
      <c r="O2099" s="2613">
        <f t="shared" si="406"/>
        <v>0</v>
      </c>
      <c r="P2099" s="2702"/>
      <c r="Q2099" s="2519">
        <f t="shared" si="407"/>
        <v>0</v>
      </c>
      <c r="R2099" s="2519"/>
      <c r="S2099" s="2519"/>
    </row>
    <row r="2100" spans="1:19" s="2358" customFormat="1" outlineLevel="1">
      <c r="A2100" s="2435" t="str">
        <f t="shared" si="403"/>
        <v/>
      </c>
      <c r="B2100" s="2505" t="s">
        <v>5929</v>
      </c>
      <c r="C2100" s="2511"/>
      <c r="D2100" s="2405">
        <v>0</v>
      </c>
      <c r="E2100" s="2447" t="s">
        <v>5930</v>
      </c>
      <c r="F2100" s="2405" t="s">
        <v>2254</v>
      </c>
      <c r="G2100" s="2703">
        <f>G2089*0.8*1*18.4</f>
        <v>0</v>
      </c>
      <c r="H2100" s="2612">
        <v>31625</v>
      </c>
      <c r="I2100" s="2669"/>
      <c r="J2100" s="2612"/>
      <c r="K2100" s="2612">
        <v>0</v>
      </c>
      <c r="L2100" s="2613">
        <f t="shared" si="404"/>
        <v>0</v>
      </c>
      <c r="M2100" s="2613">
        <f t="shared" si="405"/>
        <v>0</v>
      </c>
      <c r="N2100" s="2612"/>
      <c r="O2100" s="2613">
        <f t="shared" si="406"/>
        <v>0</v>
      </c>
      <c r="P2100" s="2702"/>
      <c r="Q2100" s="2519">
        <f t="shared" si="407"/>
        <v>0</v>
      </c>
      <c r="R2100" s="2519"/>
      <c r="S2100" s="2519"/>
    </row>
    <row r="2101" spans="1:19" s="2358" customFormat="1" outlineLevel="1">
      <c r="A2101" s="2435" t="str">
        <f t="shared" si="403"/>
        <v/>
      </c>
      <c r="B2101" s="2505" t="s">
        <v>4877</v>
      </c>
      <c r="C2101" s="2511"/>
      <c r="D2101" s="2405">
        <v>0</v>
      </c>
      <c r="E2101" s="2447" t="s">
        <v>5117</v>
      </c>
      <c r="F2101" s="2405" t="s">
        <v>2445</v>
      </c>
      <c r="G2101" s="2703">
        <f>+G2089*9</f>
        <v>0</v>
      </c>
      <c r="H2101" s="2612">
        <v>109000</v>
      </c>
      <c r="I2101" s="2669"/>
      <c r="J2101" s="2612"/>
      <c r="K2101" s="2612">
        <v>0</v>
      </c>
      <c r="L2101" s="2613">
        <f t="shared" si="404"/>
        <v>0</v>
      </c>
      <c r="M2101" s="2613">
        <f t="shared" si="405"/>
        <v>0</v>
      </c>
      <c r="N2101" s="2612"/>
      <c r="O2101" s="2613">
        <f t="shared" si="406"/>
        <v>0</v>
      </c>
      <c r="P2101" s="2702"/>
      <c r="Q2101" s="2519">
        <f t="shared" si="407"/>
        <v>0</v>
      </c>
      <c r="R2101" s="2519"/>
      <c r="S2101" s="2519"/>
    </row>
    <row r="2102" spans="1:19" s="2358" customFormat="1" outlineLevel="1">
      <c r="A2102" s="2435" t="str">
        <f t="shared" si="403"/>
        <v/>
      </c>
      <c r="B2102" s="2505" t="s">
        <v>5112</v>
      </c>
      <c r="C2102" s="2511"/>
      <c r="D2102" s="2405">
        <v>0</v>
      </c>
      <c r="E2102" s="2447" t="s">
        <v>5113</v>
      </c>
      <c r="F2102" s="2405" t="s">
        <v>2445</v>
      </c>
      <c r="G2102" s="2703">
        <f>+G2089*2</f>
        <v>0</v>
      </c>
      <c r="H2102" s="2612">
        <v>42400</v>
      </c>
      <c r="I2102" s="2669"/>
      <c r="J2102" s="2612"/>
      <c r="K2102" s="2612">
        <v>0</v>
      </c>
      <c r="L2102" s="2613">
        <f t="shared" si="404"/>
        <v>0</v>
      </c>
      <c r="M2102" s="2613">
        <f t="shared" si="405"/>
        <v>0</v>
      </c>
      <c r="N2102" s="2612"/>
      <c r="O2102" s="2613">
        <f t="shared" si="406"/>
        <v>0</v>
      </c>
      <c r="P2102" s="2702"/>
      <c r="Q2102" s="2519">
        <f t="shared" si="407"/>
        <v>0</v>
      </c>
      <c r="R2102" s="2519"/>
      <c r="S2102" s="2519"/>
    </row>
    <row r="2103" spans="1:19" s="2358" customFormat="1" outlineLevel="1">
      <c r="A2103" s="2435" t="str">
        <f t="shared" si="403"/>
        <v/>
      </c>
      <c r="B2103" s="2505" t="s">
        <v>1785</v>
      </c>
      <c r="C2103" s="2511"/>
      <c r="D2103" s="2405">
        <v>0</v>
      </c>
      <c r="E2103" s="2447" t="s">
        <v>2670</v>
      </c>
      <c r="F2103" s="2405" t="s">
        <v>2445</v>
      </c>
      <c r="G2103" s="2703">
        <f>+G2089*4</f>
        <v>0</v>
      </c>
      <c r="H2103" s="2612">
        <v>34800</v>
      </c>
      <c r="I2103" s="2669"/>
      <c r="J2103" s="2612"/>
      <c r="K2103" s="2612">
        <v>0</v>
      </c>
      <c r="L2103" s="2613">
        <f t="shared" si="404"/>
        <v>0</v>
      </c>
      <c r="M2103" s="2613">
        <f t="shared" si="405"/>
        <v>0</v>
      </c>
      <c r="N2103" s="2612"/>
      <c r="O2103" s="2613">
        <f t="shared" si="406"/>
        <v>0</v>
      </c>
      <c r="P2103" s="2702"/>
      <c r="Q2103" s="2519">
        <f t="shared" si="407"/>
        <v>0</v>
      </c>
      <c r="R2103" s="2519"/>
      <c r="S2103" s="2519"/>
    </row>
    <row r="2104" spans="1:19" s="2358" customFormat="1" outlineLevel="1">
      <c r="A2104" s="2435" t="str">
        <f t="shared" si="403"/>
        <v/>
      </c>
      <c r="B2104" s="2505" t="s">
        <v>1612</v>
      </c>
      <c r="C2104" s="2511"/>
      <c r="D2104" s="2405">
        <v>0</v>
      </c>
      <c r="E2104" s="2447" t="s">
        <v>2653</v>
      </c>
      <c r="F2104" s="2405" t="s">
        <v>2445</v>
      </c>
      <c r="G2104" s="2703">
        <f>+G2089*6</f>
        <v>0</v>
      </c>
      <c r="H2104" s="2612">
        <v>13400</v>
      </c>
      <c r="I2104" s="2669"/>
      <c r="J2104" s="2612"/>
      <c r="K2104" s="2612">
        <v>0</v>
      </c>
      <c r="L2104" s="2613">
        <f t="shared" si="404"/>
        <v>0</v>
      </c>
      <c r="M2104" s="2613">
        <f t="shared" si="405"/>
        <v>0</v>
      </c>
      <c r="N2104" s="2612"/>
      <c r="O2104" s="2613">
        <f t="shared" si="406"/>
        <v>0</v>
      </c>
      <c r="P2104" s="2702"/>
      <c r="Q2104" s="2519">
        <f t="shared" si="407"/>
        <v>0</v>
      </c>
      <c r="R2104" s="2519"/>
      <c r="S2104" s="2519"/>
    </row>
    <row r="2105" spans="1:19" s="2358" customFormat="1" outlineLevel="1">
      <c r="A2105" s="2435" t="str">
        <f t="shared" si="403"/>
        <v/>
      </c>
      <c r="B2105" s="2505" t="s">
        <v>1790</v>
      </c>
      <c r="C2105" s="2511"/>
      <c r="D2105" s="2405">
        <v>0</v>
      </c>
      <c r="E2105" s="2447" t="s">
        <v>2647</v>
      </c>
      <c r="F2105" s="2405" t="s">
        <v>2445</v>
      </c>
      <c r="G2105" s="2703">
        <f>+G2089*12</f>
        <v>0</v>
      </c>
      <c r="H2105" s="2612">
        <v>12400</v>
      </c>
      <c r="I2105" s="2669"/>
      <c r="J2105" s="2612"/>
      <c r="K2105" s="2612">
        <v>0</v>
      </c>
      <c r="L2105" s="2613">
        <f t="shared" si="404"/>
        <v>0</v>
      </c>
      <c r="M2105" s="2613">
        <f t="shared" si="405"/>
        <v>0</v>
      </c>
      <c r="N2105" s="2612"/>
      <c r="O2105" s="2613">
        <f t="shared" si="406"/>
        <v>0</v>
      </c>
      <c r="P2105" s="2702"/>
      <c r="Q2105" s="2519">
        <f t="shared" si="407"/>
        <v>0</v>
      </c>
      <c r="R2105" s="2519"/>
      <c r="S2105" s="2519"/>
    </row>
    <row r="2106" spans="1:19" s="2358" customFormat="1" outlineLevel="1">
      <c r="A2106" s="2435" t="str">
        <f t="shared" si="403"/>
        <v/>
      </c>
      <c r="B2106" s="2505" t="s">
        <v>1083</v>
      </c>
      <c r="C2106" s="2511"/>
      <c r="D2106" s="2405">
        <v>0</v>
      </c>
      <c r="E2106" s="2447" t="s">
        <v>2660</v>
      </c>
      <c r="F2106" s="2405" t="s">
        <v>2445</v>
      </c>
      <c r="G2106" s="2703"/>
      <c r="H2106" s="2612">
        <v>29900</v>
      </c>
      <c r="I2106" s="2669"/>
      <c r="J2106" s="2612"/>
      <c r="K2106" s="2612">
        <v>0</v>
      </c>
      <c r="L2106" s="2613">
        <f t="shared" si="404"/>
        <v>0</v>
      </c>
      <c r="M2106" s="2613">
        <f t="shared" si="405"/>
        <v>0</v>
      </c>
      <c r="N2106" s="2612"/>
      <c r="O2106" s="2613">
        <f t="shared" si="406"/>
        <v>0</v>
      </c>
      <c r="P2106" s="2702"/>
      <c r="Q2106" s="2519">
        <f>L2106/4</f>
        <v>0</v>
      </c>
      <c r="R2106" s="2519"/>
      <c r="S2106" s="2519"/>
    </row>
    <row r="2107" spans="1:19" s="2358" customFormat="1" outlineLevel="1">
      <c r="A2107" s="2435" t="str">
        <f t="shared" si="403"/>
        <v/>
      </c>
      <c r="B2107" s="2505" t="s">
        <v>1079</v>
      </c>
      <c r="C2107" s="2511"/>
      <c r="D2107" s="2405">
        <v>0</v>
      </c>
      <c r="E2107" s="2447" t="s">
        <v>2659</v>
      </c>
      <c r="F2107" s="2405" t="s">
        <v>2445</v>
      </c>
      <c r="G2107" s="2703"/>
      <c r="H2107" s="2612">
        <v>27900</v>
      </c>
      <c r="I2107" s="2669"/>
      <c r="J2107" s="2612"/>
      <c r="K2107" s="2612">
        <v>0</v>
      </c>
      <c r="L2107" s="2613">
        <f>H2107*G2107</f>
        <v>0</v>
      </c>
      <c r="M2107" s="2613">
        <f t="shared" si="405"/>
        <v>0</v>
      </c>
      <c r="N2107" s="2612"/>
      <c r="O2107" s="2613">
        <f t="shared" si="406"/>
        <v>0</v>
      </c>
      <c r="P2107" s="2702"/>
      <c r="Q2107" s="2519"/>
      <c r="R2107" s="2519"/>
      <c r="S2107" s="2519"/>
    </row>
    <row r="2108" spans="1:19" s="2358" customFormat="1" outlineLevel="1">
      <c r="A2108" s="2435" t="str">
        <f>IF(G2108&lt;&gt;0,1,"")</f>
        <v/>
      </c>
      <c r="B2108" s="2374" t="s">
        <v>5487</v>
      </c>
      <c r="C2108" s="2511"/>
      <c r="D2108" s="2405" t="s">
        <v>5488</v>
      </c>
      <c r="E2108" s="2447" t="s">
        <v>5489</v>
      </c>
      <c r="F2108" s="2405" t="s">
        <v>2254</v>
      </c>
      <c r="G2108" s="2703">
        <f>SUM(G2091:G2100)</f>
        <v>0</v>
      </c>
      <c r="H2108" s="2612">
        <v>0</v>
      </c>
      <c r="I2108" s="2669"/>
      <c r="J2108" s="2612">
        <v>2025</v>
      </c>
      <c r="K2108" s="2612">
        <v>0</v>
      </c>
      <c r="L2108" s="2613">
        <f>H2108*G2108</f>
        <v>0</v>
      </c>
      <c r="M2108" s="2613">
        <f t="shared" si="405"/>
        <v>0</v>
      </c>
      <c r="N2108" s="2517">
        <f>J2108*G2108</f>
        <v>0</v>
      </c>
      <c r="O2108" s="2613">
        <f t="shared" si="406"/>
        <v>0</v>
      </c>
      <c r="P2108" s="2702"/>
      <c r="Q2108" s="2519"/>
      <c r="R2108" s="2519"/>
      <c r="S2108" s="2519"/>
    </row>
    <row r="2109" spans="1:19" s="2358" customFormat="1" outlineLevel="1">
      <c r="A2109" s="2435" t="str">
        <f>IF(G2109&lt;&gt;0,1,"")</f>
        <v/>
      </c>
      <c r="B2109" s="2514"/>
      <c r="C2109" s="2511">
        <f>IF(G2109&gt;0,C2089+1,C2085)</f>
        <v>0</v>
      </c>
      <c r="D2109" s="2512"/>
      <c r="E2109" s="2670" t="s">
        <v>6311</v>
      </c>
      <c r="F2109" s="2511" t="s">
        <v>2391</v>
      </c>
      <c r="G2109" s="2704">
        <f>+G2057*1</f>
        <v>0</v>
      </c>
      <c r="H2109" s="2669"/>
      <c r="I2109" s="2669"/>
      <c r="J2109" s="2669"/>
      <c r="K2109" s="2669"/>
      <c r="L2109" s="2613">
        <f t="shared" ref="L2109:L2135" si="408">H2109*G2109</f>
        <v>0</v>
      </c>
      <c r="M2109" s="2613">
        <f t="shared" si="405"/>
        <v>0</v>
      </c>
      <c r="N2109" s="2613">
        <f t="shared" ref="N2109:N2135" si="409">J2109*G2109</f>
        <v>0</v>
      </c>
      <c r="O2109" s="2613">
        <f t="shared" si="406"/>
        <v>0</v>
      </c>
      <c r="P2109" s="2702"/>
      <c r="Q2109" s="2519"/>
      <c r="R2109" s="2519"/>
      <c r="S2109" s="2519"/>
    </row>
    <row r="2110" spans="1:19" s="2358" customFormat="1" ht="14.4" outlineLevel="1">
      <c r="A2110" s="2435" t="str">
        <f>A2109</f>
        <v/>
      </c>
      <c r="B2110" s="2514"/>
      <c r="C2110" s="2511"/>
      <c r="D2110" s="2512"/>
      <c r="E2110" s="2520" t="s">
        <v>6207</v>
      </c>
      <c r="F2110" s="2521"/>
      <c r="G2110" s="2703"/>
      <c r="H2110" s="2669"/>
      <c r="I2110" s="2669"/>
      <c r="J2110" s="2669"/>
      <c r="K2110" s="2669"/>
      <c r="L2110" s="2613">
        <f t="shared" si="408"/>
        <v>0</v>
      </c>
      <c r="M2110" s="2613">
        <f t="shared" si="405"/>
        <v>0</v>
      </c>
      <c r="N2110" s="2613">
        <f t="shared" si="409"/>
        <v>0</v>
      </c>
      <c r="O2110" s="2613">
        <f t="shared" si="406"/>
        <v>0</v>
      </c>
      <c r="P2110" s="2702"/>
      <c r="Q2110" s="2519"/>
      <c r="R2110" s="2519"/>
      <c r="S2110" s="2519"/>
    </row>
    <row r="2111" spans="1:19" s="2358" customFormat="1" outlineLevel="1">
      <c r="A2111" s="2435" t="str">
        <f t="shared" ref="A2111:A2117" si="410">IF(G2111&lt;&gt;0,1,"")</f>
        <v/>
      </c>
      <c r="B2111" s="2386" t="s">
        <v>5212</v>
      </c>
      <c r="C2111" s="2511"/>
      <c r="D2111" s="2405">
        <v>0</v>
      </c>
      <c r="E2111" s="2447" t="s">
        <v>5213</v>
      </c>
      <c r="F2111" s="2405" t="s">
        <v>2598</v>
      </c>
      <c r="G2111" s="2703">
        <f>+G2109*1</f>
        <v>0</v>
      </c>
      <c r="H2111" s="2612">
        <v>960000</v>
      </c>
      <c r="I2111" s="2612"/>
      <c r="J2111" s="2612">
        <v>0</v>
      </c>
      <c r="K2111" s="2612">
        <v>0</v>
      </c>
      <c r="L2111" s="2613">
        <f t="shared" si="408"/>
        <v>0</v>
      </c>
      <c r="M2111" s="2613">
        <f t="shared" si="405"/>
        <v>0</v>
      </c>
      <c r="N2111" s="2613">
        <f t="shared" si="409"/>
        <v>0</v>
      </c>
      <c r="O2111" s="2613">
        <f t="shared" si="406"/>
        <v>0</v>
      </c>
      <c r="P2111" s="2702"/>
      <c r="Q2111" s="2519"/>
      <c r="R2111" s="2519"/>
      <c r="S2111" s="2519"/>
    </row>
    <row r="2112" spans="1:19" s="2358" customFormat="1" outlineLevel="1">
      <c r="A2112" s="2435" t="str">
        <f t="shared" si="410"/>
        <v/>
      </c>
      <c r="B2112" s="2386" t="s">
        <v>5219</v>
      </c>
      <c r="C2112" s="2511"/>
      <c r="D2112" s="2405">
        <v>0</v>
      </c>
      <c r="E2112" s="2447" t="s">
        <v>5220</v>
      </c>
      <c r="F2112" s="2405" t="s">
        <v>5221</v>
      </c>
      <c r="G2112" s="2703">
        <f>+G2109*2</f>
        <v>0</v>
      </c>
      <c r="H2112" s="2612">
        <v>140000</v>
      </c>
      <c r="I2112" s="2612"/>
      <c r="J2112" s="2612">
        <v>0</v>
      </c>
      <c r="K2112" s="2612">
        <v>0</v>
      </c>
      <c r="L2112" s="2613">
        <f t="shared" si="408"/>
        <v>0</v>
      </c>
      <c r="M2112" s="2613">
        <f t="shared" si="405"/>
        <v>0</v>
      </c>
      <c r="N2112" s="2613">
        <f t="shared" si="409"/>
        <v>0</v>
      </c>
      <c r="O2112" s="2613">
        <f t="shared" si="406"/>
        <v>0</v>
      </c>
      <c r="P2112" s="2702"/>
      <c r="Q2112" s="2519"/>
      <c r="R2112" s="2519"/>
      <c r="S2112" s="2519"/>
    </row>
    <row r="2113" spans="1:19" s="2358" customFormat="1" outlineLevel="1">
      <c r="A2113" s="2435" t="str">
        <f t="shared" si="410"/>
        <v/>
      </c>
      <c r="B2113" s="2383" t="s">
        <v>488</v>
      </c>
      <c r="C2113" s="2511"/>
      <c r="D2113" s="2405">
        <v>0</v>
      </c>
      <c r="E2113" s="2447" t="s">
        <v>5130</v>
      </c>
      <c r="F2113" s="2405" t="s">
        <v>2445</v>
      </c>
      <c r="G2113" s="2703">
        <f>+G2109*3</f>
        <v>0</v>
      </c>
      <c r="H2113" s="2612">
        <v>65000</v>
      </c>
      <c r="I2113" s="2612">
        <v>0</v>
      </c>
      <c r="J2113" s="2612">
        <v>0</v>
      </c>
      <c r="K2113" s="2612">
        <v>0</v>
      </c>
      <c r="L2113" s="2613">
        <f t="shared" si="408"/>
        <v>0</v>
      </c>
      <c r="M2113" s="2613">
        <f t="shared" si="405"/>
        <v>0</v>
      </c>
      <c r="N2113" s="2613">
        <f t="shared" si="409"/>
        <v>0</v>
      </c>
      <c r="O2113" s="2613">
        <f t="shared" si="406"/>
        <v>0</v>
      </c>
      <c r="P2113" s="2702"/>
      <c r="Q2113" s="2519"/>
      <c r="R2113" s="2519"/>
      <c r="S2113" s="2519"/>
    </row>
    <row r="2114" spans="1:19" s="2358" customFormat="1" outlineLevel="1">
      <c r="A2114" s="2435" t="str">
        <f t="shared" si="410"/>
        <v/>
      </c>
      <c r="B2114" s="2514" t="s">
        <v>6334</v>
      </c>
      <c r="C2114" s="2511"/>
      <c r="D2114" s="2405">
        <v>0</v>
      </c>
      <c r="E2114" s="2447" t="s">
        <v>2660</v>
      </c>
      <c r="F2114" s="2405" t="s">
        <v>2445</v>
      </c>
      <c r="G2114" s="2703">
        <f>+G2109*2</f>
        <v>0</v>
      </c>
      <c r="H2114" s="2612">
        <v>29900</v>
      </c>
      <c r="I2114" s="2669"/>
      <c r="J2114" s="2612">
        <v>0</v>
      </c>
      <c r="K2114" s="2612">
        <v>0</v>
      </c>
      <c r="L2114" s="2613">
        <f t="shared" si="408"/>
        <v>0</v>
      </c>
      <c r="M2114" s="2613">
        <f t="shared" si="405"/>
        <v>0</v>
      </c>
      <c r="N2114" s="2613">
        <f t="shared" si="409"/>
        <v>0</v>
      </c>
      <c r="O2114" s="2613">
        <f t="shared" si="406"/>
        <v>0</v>
      </c>
      <c r="P2114" s="2702"/>
      <c r="Q2114" s="2519"/>
      <c r="R2114" s="2519"/>
      <c r="S2114" s="2519"/>
    </row>
    <row r="2115" spans="1:19" s="2358" customFormat="1" outlineLevel="1">
      <c r="A2115" s="2435" t="str">
        <f t="shared" si="410"/>
        <v/>
      </c>
      <c r="B2115" s="2514" t="s">
        <v>6335</v>
      </c>
      <c r="C2115" s="2511"/>
      <c r="D2115" s="2405">
        <v>0</v>
      </c>
      <c r="E2115" s="2447" t="s">
        <v>2648</v>
      </c>
      <c r="F2115" s="2405" t="s">
        <v>2445</v>
      </c>
      <c r="G2115" s="2703">
        <f>+G2109*2</f>
        <v>0</v>
      </c>
      <c r="H2115" s="2612">
        <v>17400</v>
      </c>
      <c r="I2115" s="2669"/>
      <c r="J2115" s="2612">
        <v>0</v>
      </c>
      <c r="K2115" s="2612">
        <v>0</v>
      </c>
      <c r="L2115" s="2613">
        <f t="shared" si="408"/>
        <v>0</v>
      </c>
      <c r="M2115" s="2613">
        <f t="shared" si="405"/>
        <v>0</v>
      </c>
      <c r="N2115" s="2613">
        <f t="shared" si="409"/>
        <v>0</v>
      </c>
      <c r="O2115" s="2613">
        <f t="shared" si="406"/>
        <v>0</v>
      </c>
      <c r="P2115" s="2702"/>
      <c r="Q2115" s="2519"/>
      <c r="R2115" s="2519"/>
      <c r="S2115" s="2519"/>
    </row>
    <row r="2116" spans="1:19" s="2358" customFormat="1" outlineLevel="1">
      <c r="A2116" s="2435" t="str">
        <f t="shared" si="410"/>
        <v/>
      </c>
      <c r="B2116" s="2374" t="s">
        <v>6315</v>
      </c>
      <c r="C2116" s="2511"/>
      <c r="D2116" s="2405" t="s">
        <v>5209</v>
      </c>
      <c r="E2116" s="2447" t="s">
        <v>5439</v>
      </c>
      <c r="F2116" s="2405" t="s">
        <v>2445</v>
      </c>
      <c r="G2116" s="2703">
        <f>+G2109</f>
        <v>0</v>
      </c>
      <c r="H2116" s="2517">
        <v>0</v>
      </c>
      <c r="I2116" s="2612"/>
      <c r="J2116" s="2612">
        <v>131511.15</v>
      </c>
      <c r="K2116" s="2612"/>
      <c r="L2116" s="2613">
        <f t="shared" si="408"/>
        <v>0</v>
      </c>
      <c r="M2116" s="2613"/>
      <c r="N2116" s="2517">
        <f t="shared" si="409"/>
        <v>0</v>
      </c>
      <c r="O2116" s="2613"/>
      <c r="P2116" s="2702"/>
      <c r="Q2116" s="2519"/>
      <c r="R2116" s="2519"/>
      <c r="S2116" s="2519"/>
    </row>
    <row r="2117" spans="1:19" s="2358" customFormat="1" outlineLevel="1">
      <c r="A2117" s="2435" t="str">
        <f t="shared" si="410"/>
        <v/>
      </c>
      <c r="B2117" s="2514"/>
      <c r="C2117" s="2511">
        <f>IF(G2117&gt;0,C2089+2,C2089)</f>
        <v>0</v>
      </c>
      <c r="D2117" s="2512"/>
      <c r="E2117" s="2670" t="s">
        <v>6336</v>
      </c>
      <c r="F2117" s="2511" t="s">
        <v>2391</v>
      </c>
      <c r="G2117" s="2704">
        <f>G2057*1</f>
        <v>0</v>
      </c>
      <c r="H2117" s="2669"/>
      <c r="I2117" s="2669"/>
      <c r="J2117" s="2669"/>
      <c r="K2117" s="2669"/>
      <c r="L2117" s="2613">
        <f t="shared" si="408"/>
        <v>0</v>
      </c>
      <c r="M2117" s="2613">
        <f t="shared" ref="M2117:M2122" si="411">I2117*G2117</f>
        <v>0</v>
      </c>
      <c r="N2117" s="2613">
        <f t="shared" si="409"/>
        <v>0</v>
      </c>
      <c r="O2117" s="2613">
        <f t="shared" ref="O2117:O2122" si="412">K2117*G2117</f>
        <v>0</v>
      </c>
      <c r="P2117" s="2702"/>
      <c r="Q2117" s="2519"/>
      <c r="R2117" s="2519"/>
      <c r="S2117" s="2519"/>
    </row>
    <row r="2118" spans="1:19" s="2358" customFormat="1" ht="14.4" outlineLevel="1">
      <c r="A2118" s="2435" t="str">
        <f>A2117</f>
        <v/>
      </c>
      <c r="B2118" s="2514"/>
      <c r="C2118" s="2511"/>
      <c r="D2118" s="2512"/>
      <c r="E2118" s="2520" t="s">
        <v>6207</v>
      </c>
      <c r="F2118" s="2521"/>
      <c r="G2118" s="2703"/>
      <c r="H2118" s="2669"/>
      <c r="I2118" s="2669"/>
      <c r="J2118" s="2669"/>
      <c r="K2118" s="2669"/>
      <c r="L2118" s="2613">
        <f t="shared" si="408"/>
        <v>0</v>
      </c>
      <c r="M2118" s="2613">
        <f t="shared" si="411"/>
        <v>0</v>
      </c>
      <c r="N2118" s="2613">
        <f t="shared" si="409"/>
        <v>0</v>
      </c>
      <c r="O2118" s="2613">
        <f t="shared" si="412"/>
        <v>0</v>
      </c>
      <c r="P2118" s="2702"/>
      <c r="Q2118" s="2519"/>
      <c r="R2118" s="2519"/>
      <c r="S2118" s="2519"/>
    </row>
    <row r="2119" spans="1:19" s="2358" customFormat="1" outlineLevel="1">
      <c r="A2119" s="2435" t="str">
        <f t="shared" ref="A2119:A2124" si="413">IF(G2119&lt;&gt;0,1,"")</f>
        <v/>
      </c>
      <c r="B2119" s="2505" t="s">
        <v>2026</v>
      </c>
      <c r="C2119" s="2511"/>
      <c r="D2119" s="2405">
        <v>0</v>
      </c>
      <c r="E2119" s="2447" t="s">
        <v>2443</v>
      </c>
      <c r="F2119" s="2405" t="s">
        <v>2254</v>
      </c>
      <c r="G2119" s="2703">
        <f>G2117*9.02*(2.2+4*0.07)</f>
        <v>0</v>
      </c>
      <c r="H2119" s="2517">
        <v>31625</v>
      </c>
      <c r="I2119" s="2612"/>
      <c r="J2119" s="2612">
        <v>0</v>
      </c>
      <c r="K2119" s="2612">
        <v>0</v>
      </c>
      <c r="L2119" s="2613">
        <f t="shared" si="408"/>
        <v>0</v>
      </c>
      <c r="M2119" s="2613">
        <f t="shared" si="411"/>
        <v>0</v>
      </c>
      <c r="N2119" s="2613">
        <f t="shared" si="409"/>
        <v>0</v>
      </c>
      <c r="O2119" s="2613">
        <f t="shared" si="412"/>
        <v>0</v>
      </c>
      <c r="P2119" s="2702"/>
      <c r="Q2119" s="2519"/>
      <c r="R2119" s="2519"/>
      <c r="S2119" s="2519"/>
    </row>
    <row r="2120" spans="1:19" s="2358" customFormat="1" outlineLevel="1">
      <c r="A2120" s="2435" t="str">
        <f t="shared" si="413"/>
        <v/>
      </c>
      <c r="B2120" s="2505" t="s">
        <v>1035</v>
      </c>
      <c r="C2120" s="2511"/>
      <c r="D2120" s="2405">
        <v>0</v>
      </c>
      <c r="E2120" s="2447" t="s">
        <v>2972</v>
      </c>
      <c r="F2120" s="2405" t="s">
        <v>2254</v>
      </c>
      <c r="G2120" s="2703">
        <f>G2117*3.77*0.92*2</f>
        <v>0</v>
      </c>
      <c r="H2120" s="2517">
        <v>31625</v>
      </c>
      <c r="I2120" s="2612"/>
      <c r="J2120" s="2612">
        <v>0</v>
      </c>
      <c r="K2120" s="2612">
        <v>0</v>
      </c>
      <c r="L2120" s="2613">
        <f t="shared" si="408"/>
        <v>0</v>
      </c>
      <c r="M2120" s="2613">
        <f t="shared" si="411"/>
        <v>0</v>
      </c>
      <c r="N2120" s="2613">
        <f t="shared" si="409"/>
        <v>0</v>
      </c>
      <c r="O2120" s="2613">
        <f t="shared" si="412"/>
        <v>0</v>
      </c>
      <c r="P2120" s="2702"/>
      <c r="Q2120" s="2519"/>
      <c r="R2120" s="2519"/>
      <c r="S2120" s="2519"/>
    </row>
    <row r="2121" spans="1:19" s="2358" customFormat="1" outlineLevel="1">
      <c r="A2121" s="2435" t="str">
        <f t="shared" si="413"/>
        <v/>
      </c>
      <c r="B2121" s="2505" t="s">
        <v>1613</v>
      </c>
      <c r="C2121" s="2511"/>
      <c r="D2121" s="2405">
        <v>0</v>
      </c>
      <c r="E2121" s="2447" t="s">
        <v>2657</v>
      </c>
      <c r="F2121" s="2405" t="s">
        <v>2445</v>
      </c>
      <c r="G2121" s="2703">
        <f>+G2117*2</f>
        <v>0</v>
      </c>
      <c r="H2121" s="2517">
        <v>25400</v>
      </c>
      <c r="I2121" s="2612"/>
      <c r="J2121" s="2612">
        <v>0</v>
      </c>
      <c r="K2121" s="2612">
        <v>0</v>
      </c>
      <c r="L2121" s="2613">
        <f t="shared" si="408"/>
        <v>0</v>
      </c>
      <c r="M2121" s="2613">
        <f t="shared" si="411"/>
        <v>0</v>
      </c>
      <c r="N2121" s="2613">
        <f t="shared" si="409"/>
        <v>0</v>
      </c>
      <c r="O2121" s="2613">
        <f t="shared" si="412"/>
        <v>0</v>
      </c>
      <c r="P2121" s="2702"/>
      <c r="Q2121" s="2519"/>
      <c r="R2121" s="2519"/>
      <c r="S2121" s="2519"/>
    </row>
    <row r="2122" spans="1:19" s="2358" customFormat="1" outlineLevel="1">
      <c r="A2122" s="2435" t="str">
        <f t="shared" si="413"/>
        <v/>
      </c>
      <c r="B2122" s="2505" t="s">
        <v>1790</v>
      </c>
      <c r="C2122" s="2511"/>
      <c r="D2122" s="2405">
        <v>0</v>
      </c>
      <c r="E2122" s="2447" t="s">
        <v>2647</v>
      </c>
      <c r="F2122" s="2405" t="s">
        <v>2445</v>
      </c>
      <c r="G2122" s="2703">
        <f>G2117*2</f>
        <v>0</v>
      </c>
      <c r="H2122" s="2517">
        <v>12400</v>
      </c>
      <c r="I2122" s="2612"/>
      <c r="J2122" s="2612">
        <v>0</v>
      </c>
      <c r="K2122" s="2612">
        <v>0</v>
      </c>
      <c r="L2122" s="2613">
        <f t="shared" si="408"/>
        <v>0</v>
      </c>
      <c r="M2122" s="2613">
        <f t="shared" si="411"/>
        <v>0</v>
      </c>
      <c r="N2122" s="2613">
        <f t="shared" si="409"/>
        <v>0</v>
      </c>
      <c r="O2122" s="2613">
        <f t="shared" si="412"/>
        <v>0</v>
      </c>
      <c r="P2122" s="2702"/>
      <c r="Q2122" s="2519"/>
      <c r="R2122" s="2519"/>
      <c r="S2122" s="2519"/>
    </row>
    <row r="2123" spans="1:19" s="2358" customFormat="1" outlineLevel="1">
      <c r="A2123" s="2435" t="str">
        <f t="shared" si="413"/>
        <v/>
      </c>
      <c r="B2123" s="2374" t="s">
        <v>5487</v>
      </c>
      <c r="C2123" s="2511"/>
      <c r="D2123" s="2405" t="s">
        <v>5488</v>
      </c>
      <c r="E2123" s="2447" t="s">
        <v>5489</v>
      </c>
      <c r="F2123" s="2405" t="s">
        <v>2254</v>
      </c>
      <c r="G2123" s="2703">
        <f>SUM(G2119:G2120)</f>
        <v>0</v>
      </c>
      <c r="H2123" s="2517">
        <v>0</v>
      </c>
      <c r="I2123" s="2612"/>
      <c r="J2123" s="2612">
        <v>2025</v>
      </c>
      <c r="K2123" s="2612"/>
      <c r="L2123" s="2613">
        <f t="shared" si="408"/>
        <v>0</v>
      </c>
      <c r="M2123" s="2613"/>
      <c r="N2123" s="2517">
        <f t="shared" si="409"/>
        <v>0</v>
      </c>
      <c r="O2123" s="2613"/>
      <c r="P2123" s="2702"/>
      <c r="Q2123" s="2519"/>
      <c r="R2123" s="2519"/>
      <c r="S2123" s="2519"/>
    </row>
    <row r="2124" spans="1:19" s="2358" customFormat="1" outlineLevel="1">
      <c r="A2124" s="2435" t="str">
        <f t="shared" si="413"/>
        <v/>
      </c>
      <c r="B2124" s="2514"/>
      <c r="C2124" s="2511">
        <f>IF(G2124&gt;0,C2117+1,C2117)</f>
        <v>0</v>
      </c>
      <c r="D2124" s="2512"/>
      <c r="E2124" s="2670" t="s">
        <v>3738</v>
      </c>
      <c r="F2124" s="2511" t="s">
        <v>2391</v>
      </c>
      <c r="G2124" s="2704">
        <f>G2057</f>
        <v>0</v>
      </c>
      <c r="H2124" s="2517"/>
      <c r="I2124" s="2517"/>
      <c r="J2124" s="2517"/>
      <c r="K2124" s="2517"/>
      <c r="L2124" s="2517">
        <f t="shared" si="408"/>
        <v>0</v>
      </c>
      <c r="M2124" s="2517">
        <f>I2124*G2124</f>
        <v>0</v>
      </c>
      <c r="N2124" s="2517">
        <f t="shared" si="409"/>
        <v>0</v>
      </c>
      <c r="O2124" s="2517">
        <f>K2124*G2124</f>
        <v>0</v>
      </c>
      <c r="P2124" s="2694"/>
      <c r="Q2124" s="2519"/>
      <c r="R2124" s="2519"/>
      <c r="S2124" s="2519"/>
    </row>
    <row r="2125" spans="1:19" s="2358" customFormat="1" ht="14.4" outlineLevel="1">
      <c r="A2125" s="2435" t="str">
        <f>+A2124</f>
        <v/>
      </c>
      <c r="B2125" s="2671"/>
      <c r="C2125" s="2511"/>
      <c r="D2125" s="2512"/>
      <c r="E2125" s="2520" t="s">
        <v>6207</v>
      </c>
      <c r="F2125" s="2521"/>
      <c r="G2125" s="2703"/>
      <c r="H2125" s="2517"/>
      <c r="I2125" s="2517"/>
      <c r="J2125" s="2517"/>
      <c r="K2125" s="2517"/>
      <c r="L2125" s="2517">
        <f t="shared" si="408"/>
        <v>0</v>
      </c>
      <c r="M2125" s="2517">
        <f>I2125*G2125</f>
        <v>0</v>
      </c>
      <c r="N2125" s="2517">
        <f t="shared" si="409"/>
        <v>0</v>
      </c>
      <c r="O2125" s="2517">
        <f>K2125*G2125</f>
        <v>0</v>
      </c>
      <c r="P2125" s="2694"/>
      <c r="Q2125" s="2519"/>
      <c r="R2125" s="2519"/>
      <c r="S2125" s="2519"/>
    </row>
    <row r="2126" spans="1:19" s="2358" customFormat="1" outlineLevel="1">
      <c r="A2126" s="2435" t="str">
        <f t="shared" ref="A2126:A2135" si="414">IF(G2126&lt;&gt;0,1,"")</f>
        <v/>
      </c>
      <c r="B2126" s="2514" t="s">
        <v>1033</v>
      </c>
      <c r="C2126" s="2511"/>
      <c r="D2126" s="2405">
        <v>0</v>
      </c>
      <c r="E2126" s="2447" t="s">
        <v>2708</v>
      </c>
      <c r="F2126" s="2405" t="s">
        <v>2254</v>
      </c>
      <c r="G2126" s="2703">
        <f>($H$3+20)*0.224*G2124</f>
        <v>0</v>
      </c>
      <c r="H2126" s="2517">
        <v>255500</v>
      </c>
      <c r="I2126" s="2517"/>
      <c r="J2126" s="2517">
        <v>0</v>
      </c>
      <c r="K2126" s="2517">
        <v>0</v>
      </c>
      <c r="L2126" s="2517">
        <f t="shared" si="408"/>
        <v>0</v>
      </c>
      <c r="M2126" s="2517">
        <f>I2126*G2126</f>
        <v>0</v>
      </c>
      <c r="N2126" s="2517">
        <f t="shared" si="409"/>
        <v>0</v>
      </c>
      <c r="O2126" s="2517">
        <f>K2126*G2126</f>
        <v>0</v>
      </c>
      <c r="P2126" s="2694"/>
      <c r="Q2126" s="2519"/>
      <c r="R2126" s="2519"/>
      <c r="S2126" s="2519"/>
    </row>
    <row r="2127" spans="1:19" s="2358" customFormat="1" outlineLevel="1">
      <c r="A2127" s="2435" t="str">
        <f t="shared" si="414"/>
        <v/>
      </c>
      <c r="B2127" s="2505" t="s">
        <v>1511</v>
      </c>
      <c r="C2127" s="2511"/>
      <c r="D2127" s="2405">
        <v>0</v>
      </c>
      <c r="E2127" s="2447" t="s">
        <v>5224</v>
      </c>
      <c r="F2127" s="2405" t="s">
        <v>2445</v>
      </c>
      <c r="G2127" s="2703">
        <f>$H$2*G2124</f>
        <v>0</v>
      </c>
      <c r="H2127" s="2517">
        <v>160000</v>
      </c>
      <c r="I2127" s="2517"/>
      <c r="J2127" s="2517">
        <v>0</v>
      </c>
      <c r="K2127" s="2517">
        <v>0</v>
      </c>
      <c r="L2127" s="2517">
        <f t="shared" si="408"/>
        <v>0</v>
      </c>
      <c r="M2127" s="2517">
        <f>I2127*G2127</f>
        <v>0</v>
      </c>
      <c r="N2127" s="2517">
        <f t="shared" si="409"/>
        <v>0</v>
      </c>
      <c r="O2127" s="2517">
        <f>K2127*G2127</f>
        <v>0</v>
      </c>
      <c r="P2127" s="2694"/>
      <c r="Q2127" s="2519"/>
      <c r="R2127" s="2519"/>
      <c r="S2127" s="2519"/>
    </row>
    <row r="2128" spans="1:19" s="2358" customFormat="1" outlineLevel="1">
      <c r="A2128" s="2435" t="str">
        <f t="shared" si="414"/>
        <v/>
      </c>
      <c r="B2128" s="2505" t="s">
        <v>1493</v>
      </c>
      <c r="C2128" s="2511"/>
      <c r="D2128" s="2405">
        <v>0</v>
      </c>
      <c r="E2128" s="2447" t="s">
        <v>3554</v>
      </c>
      <c r="F2128" s="2405" t="s">
        <v>1827</v>
      </c>
      <c r="G2128" s="2703">
        <f>G2124*8*0</f>
        <v>0</v>
      </c>
      <c r="H2128" s="2517">
        <v>6200</v>
      </c>
      <c r="I2128" s="2517"/>
      <c r="J2128" s="2517">
        <v>0</v>
      </c>
      <c r="K2128" s="2517">
        <v>0</v>
      </c>
      <c r="L2128" s="2517">
        <f t="shared" si="408"/>
        <v>0</v>
      </c>
      <c r="M2128" s="2517">
        <f>I2128*G2128</f>
        <v>0</v>
      </c>
      <c r="N2128" s="2517">
        <f t="shared" si="409"/>
        <v>0</v>
      </c>
      <c r="O2128" s="2517">
        <f>K2128*G2128</f>
        <v>0</v>
      </c>
      <c r="P2128" s="2702"/>
      <c r="Q2128" s="2519"/>
      <c r="R2128" s="2519"/>
      <c r="S2128" s="2519"/>
    </row>
    <row r="2129" spans="1:19" s="2358" customFormat="1" outlineLevel="1">
      <c r="A2129" s="2435" t="str">
        <f t="shared" si="414"/>
        <v/>
      </c>
      <c r="B2129" s="2514" t="s">
        <v>1582</v>
      </c>
      <c r="C2129" s="2511"/>
      <c r="D2129" s="2405">
        <v>0</v>
      </c>
      <c r="E2129" s="2447" t="s">
        <v>2889</v>
      </c>
      <c r="F2129" s="2405" t="s">
        <v>2563</v>
      </c>
      <c r="G2129" s="2703">
        <f>2*G2124</f>
        <v>0</v>
      </c>
      <c r="H2129" s="2517">
        <v>8000</v>
      </c>
      <c r="I2129" s="2517"/>
      <c r="J2129" s="2517">
        <v>0</v>
      </c>
      <c r="K2129" s="2517"/>
      <c r="L2129" s="2517">
        <f t="shared" si="408"/>
        <v>0</v>
      </c>
      <c r="M2129" s="2517"/>
      <c r="N2129" s="2517">
        <f t="shared" si="409"/>
        <v>0</v>
      </c>
      <c r="O2129" s="2517"/>
      <c r="P2129" s="2694"/>
      <c r="Q2129" s="2519"/>
      <c r="R2129" s="2519"/>
      <c r="S2129" s="2519"/>
    </row>
    <row r="2130" spans="1:19" s="2358" customFormat="1" outlineLevel="1">
      <c r="A2130" s="2435" t="str">
        <f t="shared" si="414"/>
        <v/>
      </c>
      <c r="B2130" s="2514" t="s">
        <v>6282</v>
      </c>
      <c r="C2130" s="2511"/>
      <c r="D2130" s="2405" t="s">
        <v>5787</v>
      </c>
      <c r="E2130" s="2447" t="s">
        <v>3497</v>
      </c>
      <c r="F2130" s="2405" t="s">
        <v>2563</v>
      </c>
      <c r="G2130" s="2703">
        <f>G2124*14</f>
        <v>0</v>
      </c>
      <c r="H2130" s="2517">
        <v>9100</v>
      </c>
      <c r="I2130" s="2517"/>
      <c r="J2130" s="2517">
        <v>10608.955000000002</v>
      </c>
      <c r="K2130" s="2517"/>
      <c r="L2130" s="2517">
        <f t="shared" si="408"/>
        <v>0</v>
      </c>
      <c r="M2130" s="2517"/>
      <c r="N2130" s="2517">
        <f t="shared" si="409"/>
        <v>0</v>
      </c>
      <c r="O2130" s="2517"/>
      <c r="P2130" s="2694"/>
      <c r="Q2130" s="2519"/>
      <c r="R2130" s="2519"/>
      <c r="S2130" s="2519"/>
    </row>
    <row r="2131" spans="1:19" s="2358" customFormat="1" outlineLevel="1">
      <c r="A2131" s="2435" t="str">
        <f t="shared" si="414"/>
        <v/>
      </c>
      <c r="B2131" s="2514" t="s">
        <v>816</v>
      </c>
      <c r="C2131" s="2672"/>
      <c r="D2131" s="2405">
        <v>0</v>
      </c>
      <c r="E2131" s="2447" t="s">
        <v>3599</v>
      </c>
      <c r="F2131" s="2405" t="s">
        <v>2563</v>
      </c>
      <c r="G2131" s="2703">
        <f>IF(G2128&lt;=12,15,21)*G2124</f>
        <v>0</v>
      </c>
      <c r="H2131" s="2517">
        <v>17600</v>
      </c>
      <c r="I2131" s="2517"/>
      <c r="J2131" s="2517">
        <v>0</v>
      </c>
      <c r="K2131" s="2517"/>
      <c r="L2131" s="2517">
        <f t="shared" si="408"/>
        <v>0</v>
      </c>
      <c r="M2131" s="2517">
        <f>I2131*G2131</f>
        <v>0</v>
      </c>
      <c r="N2131" s="2517">
        <f t="shared" si="409"/>
        <v>0</v>
      </c>
      <c r="O2131" s="2517">
        <f>K2131*G2131</f>
        <v>0</v>
      </c>
      <c r="P2131" s="2694"/>
      <c r="Q2131" s="2519"/>
      <c r="R2131" s="2519"/>
      <c r="S2131" s="2519"/>
    </row>
    <row r="2132" spans="1:19" s="2358" customFormat="1" outlineLevel="1">
      <c r="A2132" s="2435" t="str">
        <f t="shared" si="414"/>
        <v/>
      </c>
      <c r="B2132" s="2505" t="s">
        <v>525</v>
      </c>
      <c r="C2132" s="2672"/>
      <c r="D2132" s="2405">
        <v>0</v>
      </c>
      <c r="E2132" s="2447" t="s">
        <v>5313</v>
      </c>
      <c r="F2132" s="2405" t="s">
        <v>2445</v>
      </c>
      <c r="G2132" s="2703">
        <f>+G2124*4*0</f>
        <v>0</v>
      </c>
      <c r="H2132" s="2517">
        <v>43000</v>
      </c>
      <c r="I2132" s="2517"/>
      <c r="J2132" s="2517">
        <v>0</v>
      </c>
      <c r="K2132" s="2517"/>
      <c r="L2132" s="2517">
        <f t="shared" si="408"/>
        <v>0</v>
      </c>
      <c r="M2132" s="2517">
        <f>I2132*G2132</f>
        <v>0</v>
      </c>
      <c r="N2132" s="2517">
        <f t="shared" si="409"/>
        <v>0</v>
      </c>
      <c r="O2132" s="2517">
        <f>K2132*G2132</f>
        <v>0</v>
      </c>
      <c r="P2132" s="2694"/>
      <c r="Q2132" s="2519"/>
      <c r="R2132" s="2519"/>
      <c r="S2132" s="2519"/>
    </row>
    <row r="2133" spans="1:19" s="2358" customFormat="1" outlineLevel="1">
      <c r="A2133" s="2435" t="str">
        <f t="shared" si="414"/>
        <v/>
      </c>
      <c r="B2133" s="2505" t="s">
        <v>1588</v>
      </c>
      <c r="C2133" s="2672"/>
      <c r="D2133" s="2405">
        <v>0</v>
      </c>
      <c r="E2133" s="2447" t="s">
        <v>5775</v>
      </c>
      <c r="F2133" s="2405" t="s">
        <v>3463</v>
      </c>
      <c r="G2133" s="2703">
        <f>G2124*2</f>
        <v>0</v>
      </c>
      <c r="H2133" s="2517">
        <v>0</v>
      </c>
      <c r="I2133" s="2517"/>
      <c r="J2133" s="2517">
        <v>1500000</v>
      </c>
      <c r="K2133" s="2517"/>
      <c r="L2133" s="2517">
        <f t="shared" si="408"/>
        <v>0</v>
      </c>
      <c r="M2133" s="2517">
        <f>I2133*G2133</f>
        <v>0</v>
      </c>
      <c r="N2133" s="2517">
        <f t="shared" si="409"/>
        <v>0</v>
      </c>
      <c r="O2133" s="2517">
        <f>K2133*G2133</f>
        <v>0</v>
      </c>
      <c r="P2133" s="2694"/>
      <c r="Q2133" s="2519"/>
      <c r="R2133" s="2519"/>
      <c r="S2133" s="2519"/>
    </row>
    <row r="2134" spans="1:19" s="2358" customFormat="1" outlineLevel="1">
      <c r="A2134" s="2435" t="str">
        <f t="shared" si="414"/>
        <v/>
      </c>
      <c r="B2134" s="2505" t="s">
        <v>5225</v>
      </c>
      <c r="C2134" s="2672"/>
      <c r="D2134" s="2405">
        <v>0</v>
      </c>
      <c r="E2134" s="2447" t="s">
        <v>5226</v>
      </c>
      <c r="F2134" s="2405" t="s">
        <v>2254</v>
      </c>
      <c r="G2134" s="2703">
        <f>5*16*G2133</f>
        <v>0</v>
      </c>
      <c r="H2134" s="2517">
        <v>31625</v>
      </c>
      <c r="I2134" s="2517"/>
      <c r="J2134" s="2517">
        <v>0</v>
      </c>
      <c r="K2134" s="2517"/>
      <c r="L2134" s="2517">
        <f t="shared" si="408"/>
        <v>0</v>
      </c>
      <c r="M2134" s="2517">
        <f>I2134*G2134</f>
        <v>0</v>
      </c>
      <c r="N2134" s="2517">
        <f t="shared" si="409"/>
        <v>0</v>
      </c>
      <c r="O2134" s="2517">
        <f>K2134*G2134</f>
        <v>0</v>
      </c>
      <c r="P2134" s="2694"/>
      <c r="Q2134" s="2519"/>
      <c r="R2134" s="2519"/>
      <c r="S2134" s="2519"/>
    </row>
    <row r="2135" spans="1:19" s="2358" customFormat="1" outlineLevel="1">
      <c r="A2135" s="2435" t="str">
        <f t="shared" si="414"/>
        <v/>
      </c>
      <c r="B2135" s="2505" t="s">
        <v>5229</v>
      </c>
      <c r="C2135" s="2672"/>
      <c r="D2135" s="2405" t="s">
        <v>5230</v>
      </c>
      <c r="E2135" s="2447" t="s">
        <v>5231</v>
      </c>
      <c r="F2135" s="2405" t="s">
        <v>5232</v>
      </c>
      <c r="G2135" s="2703">
        <f>G2124*4*G2133</f>
        <v>0</v>
      </c>
      <c r="H2135" s="2517">
        <v>0</v>
      </c>
      <c r="I2135" s="2517"/>
      <c r="J2135" s="2517">
        <v>55638</v>
      </c>
      <c r="K2135" s="2517"/>
      <c r="L2135" s="2517">
        <f t="shared" si="408"/>
        <v>0</v>
      </c>
      <c r="M2135" s="2517">
        <f>I2135*G2135</f>
        <v>0</v>
      </c>
      <c r="N2135" s="2517">
        <f t="shared" si="409"/>
        <v>0</v>
      </c>
      <c r="O2135" s="2517">
        <f>K2135*G2135</f>
        <v>0</v>
      </c>
      <c r="P2135" s="2694"/>
      <c r="Q2135" s="2519"/>
      <c r="R2135" s="2519"/>
      <c r="S2135" s="2519"/>
    </row>
    <row r="2136" spans="1:19" s="2358" customFormat="1" outlineLevel="1">
      <c r="A2136" s="2435"/>
      <c r="B2136" s="2505"/>
      <c r="C2136" s="2672"/>
      <c r="D2136" s="2405"/>
      <c r="E2136" s="2447"/>
      <c r="F2136" s="2405"/>
      <c r="G2136" s="2703"/>
      <c r="H2136" s="2517"/>
      <c r="I2136" s="2517"/>
      <c r="J2136" s="2517"/>
      <c r="K2136" s="2517"/>
      <c r="L2136" s="2517"/>
      <c r="M2136" s="2517"/>
      <c r="N2136" s="2517"/>
      <c r="O2136" s="2517"/>
      <c r="P2136" s="2642"/>
      <c r="Q2136" s="2519"/>
      <c r="R2136" s="2519"/>
      <c r="S2136" s="2519"/>
    </row>
    <row r="2137" spans="1:19" s="2358" customFormat="1" outlineLevel="1">
      <c r="A2137" s="2435" t="str">
        <f>IF(G2137&lt;&gt;0,1,"")</f>
        <v/>
      </c>
      <c r="B2137" s="2505" t="s">
        <v>5236</v>
      </c>
      <c r="C2137" s="2672"/>
      <c r="D2137" s="2405">
        <v>0</v>
      </c>
      <c r="E2137" s="2447" t="s">
        <v>5237</v>
      </c>
      <c r="F2137" s="2405" t="s">
        <v>5235</v>
      </c>
      <c r="G2137" s="2703">
        <f>G2124*6</f>
        <v>0</v>
      </c>
      <c r="H2137" s="2517">
        <v>38105</v>
      </c>
      <c r="I2137" s="2517"/>
      <c r="J2137" s="2517">
        <v>0</v>
      </c>
      <c r="K2137" s="2517"/>
      <c r="L2137" s="2517">
        <f>H2137*G2137</f>
        <v>0</v>
      </c>
      <c r="M2137" s="2517">
        <f>I2137*G2137</f>
        <v>0</v>
      </c>
      <c r="N2137" s="2517">
        <f>J2137*G2137</f>
        <v>0</v>
      </c>
      <c r="O2137" s="2517">
        <f>K2137*G2137</f>
        <v>0</v>
      </c>
      <c r="P2137" s="2694"/>
      <c r="Q2137" s="2519"/>
      <c r="R2137" s="2519"/>
      <c r="S2137" s="2519"/>
    </row>
    <row r="2138" spans="1:19" s="2358" customFormat="1" outlineLevel="1">
      <c r="A2138" s="2435"/>
      <c r="B2138" s="2505"/>
      <c r="C2138" s="2672"/>
      <c r="D2138" s="2405"/>
      <c r="E2138" s="2447"/>
      <c r="F2138" s="2405"/>
      <c r="G2138" s="2703"/>
      <c r="H2138" s="2517"/>
      <c r="I2138" s="2517"/>
      <c r="J2138" s="2517"/>
      <c r="K2138" s="2517"/>
      <c r="L2138" s="2517"/>
      <c r="M2138" s="2517"/>
      <c r="N2138" s="2517"/>
      <c r="O2138" s="2517"/>
      <c r="P2138" s="2642"/>
      <c r="Q2138" s="2519"/>
      <c r="R2138" s="2519"/>
      <c r="S2138" s="2519"/>
    </row>
    <row r="2139" spans="1:19" s="2358" customFormat="1" outlineLevel="1">
      <c r="A2139" s="2435" t="str">
        <f t="shared" ref="A2139:A2144" si="415">IF(G2139&lt;&gt;0,1,"")</f>
        <v/>
      </c>
      <c r="B2139" s="2505" t="s">
        <v>5240</v>
      </c>
      <c r="C2139" s="2672"/>
      <c r="D2139" s="2405">
        <v>0</v>
      </c>
      <c r="E2139" s="2447" t="s">
        <v>5241</v>
      </c>
      <c r="F2139" s="2405" t="s">
        <v>5235</v>
      </c>
      <c r="G2139" s="2703">
        <f>G2124*2</f>
        <v>0</v>
      </c>
      <c r="H2139" s="2517">
        <v>53008</v>
      </c>
      <c r="I2139" s="2517"/>
      <c r="J2139" s="2517">
        <v>0</v>
      </c>
      <c r="K2139" s="2517"/>
      <c r="L2139" s="2517">
        <f t="shared" ref="L2139:L2152" si="416">H2139*G2139</f>
        <v>0</v>
      </c>
      <c r="M2139" s="2517">
        <f t="shared" ref="M2139:M2152" si="417">I2139*G2139</f>
        <v>0</v>
      </c>
      <c r="N2139" s="2517">
        <f t="shared" ref="N2139:N2152" si="418">J2139*G2139</f>
        <v>0</v>
      </c>
      <c r="O2139" s="2517">
        <f t="shared" ref="O2139:O2152" si="419">K2139*G2139</f>
        <v>0</v>
      </c>
      <c r="P2139" s="2694"/>
      <c r="Q2139" s="2519"/>
      <c r="R2139" s="2519"/>
      <c r="S2139" s="2519"/>
    </row>
    <row r="2140" spans="1:19" s="2358" customFormat="1" outlineLevel="1">
      <c r="A2140" s="2435" t="str">
        <f t="shared" si="415"/>
        <v/>
      </c>
      <c r="B2140" s="2505" t="s">
        <v>6308</v>
      </c>
      <c r="C2140" s="2672"/>
      <c r="D2140" s="2405">
        <v>0</v>
      </c>
      <c r="E2140" s="2447" t="s">
        <v>5103</v>
      </c>
      <c r="F2140" s="2405" t="s">
        <v>2445</v>
      </c>
      <c r="G2140" s="2703">
        <f>G2124*20</f>
        <v>0</v>
      </c>
      <c r="H2140" s="2517">
        <v>8400</v>
      </c>
      <c r="I2140" s="2517"/>
      <c r="J2140" s="2517">
        <v>0</v>
      </c>
      <c r="K2140" s="2517"/>
      <c r="L2140" s="2517">
        <f t="shared" si="416"/>
        <v>0</v>
      </c>
      <c r="M2140" s="2517">
        <f t="shared" si="417"/>
        <v>0</v>
      </c>
      <c r="N2140" s="2517">
        <f t="shared" si="418"/>
        <v>0</v>
      </c>
      <c r="O2140" s="2517">
        <f t="shared" si="419"/>
        <v>0</v>
      </c>
      <c r="P2140" s="2694"/>
      <c r="Q2140" s="2519"/>
      <c r="R2140" s="2519"/>
      <c r="S2140" s="2519"/>
    </row>
    <row r="2141" spans="1:19" s="2358" customFormat="1" outlineLevel="1">
      <c r="A2141" s="2435" t="str">
        <f t="shared" si="415"/>
        <v/>
      </c>
      <c r="B2141" s="2505" t="s">
        <v>5242</v>
      </c>
      <c r="C2141" s="2672"/>
      <c r="D2141" s="2405">
        <v>0</v>
      </c>
      <c r="E2141" s="2447" t="s">
        <v>5243</v>
      </c>
      <c r="F2141" s="2405" t="s">
        <v>2538</v>
      </c>
      <c r="G2141" s="2703">
        <f>G2137+G2139</f>
        <v>0</v>
      </c>
      <c r="H2141" s="2517">
        <v>11000</v>
      </c>
      <c r="I2141" s="2517"/>
      <c r="J2141" s="2517">
        <v>0</v>
      </c>
      <c r="K2141" s="2517"/>
      <c r="L2141" s="2517">
        <f t="shared" si="416"/>
        <v>0</v>
      </c>
      <c r="M2141" s="2517">
        <f t="shared" si="417"/>
        <v>0</v>
      </c>
      <c r="N2141" s="2517">
        <f t="shared" si="418"/>
        <v>0</v>
      </c>
      <c r="O2141" s="2517">
        <f t="shared" si="419"/>
        <v>0</v>
      </c>
      <c r="P2141" s="2694"/>
      <c r="Q2141" s="2519"/>
      <c r="R2141" s="2519"/>
      <c r="S2141" s="2519"/>
    </row>
    <row r="2142" spans="1:19" s="2358" customFormat="1" outlineLevel="1">
      <c r="A2142" s="2435" t="str">
        <f t="shared" si="415"/>
        <v/>
      </c>
      <c r="B2142" s="2505" t="s">
        <v>5244</v>
      </c>
      <c r="C2142" s="2672"/>
      <c r="D2142" s="2405">
        <v>0</v>
      </c>
      <c r="E2142" s="2447" t="s">
        <v>5245</v>
      </c>
      <c r="F2142" s="2405" t="s">
        <v>2563</v>
      </c>
      <c r="G2142" s="2703">
        <f>G2141</f>
        <v>0</v>
      </c>
      <c r="H2142" s="2517">
        <v>4000</v>
      </c>
      <c r="I2142" s="2517"/>
      <c r="J2142" s="2517">
        <v>0</v>
      </c>
      <c r="K2142" s="2517"/>
      <c r="L2142" s="2517">
        <f t="shared" si="416"/>
        <v>0</v>
      </c>
      <c r="M2142" s="2517">
        <f t="shared" si="417"/>
        <v>0</v>
      </c>
      <c r="N2142" s="2517">
        <f t="shared" si="418"/>
        <v>0</v>
      </c>
      <c r="O2142" s="2517">
        <f t="shared" si="419"/>
        <v>0</v>
      </c>
      <c r="P2142" s="2694"/>
      <c r="Q2142" s="2519"/>
      <c r="R2142" s="2519"/>
      <c r="S2142" s="2519"/>
    </row>
    <row r="2143" spans="1:19" s="2358" customFormat="1" outlineLevel="1">
      <c r="A2143" s="2435" t="str">
        <f t="shared" si="415"/>
        <v/>
      </c>
      <c r="B2143" s="2505" t="s">
        <v>794</v>
      </c>
      <c r="C2143" s="2672"/>
      <c r="D2143" s="2405" t="s">
        <v>5398</v>
      </c>
      <c r="E2143" s="2447" t="s">
        <v>3086</v>
      </c>
      <c r="F2143" s="2405" t="s">
        <v>856</v>
      </c>
      <c r="G2143" s="2703">
        <f>G2124*(52+20)*0.3*0.5</f>
        <v>0</v>
      </c>
      <c r="H2143" s="2517">
        <v>0</v>
      </c>
      <c r="I2143" s="2517"/>
      <c r="J2143" s="2517">
        <v>283749.75</v>
      </c>
      <c r="K2143" s="2517"/>
      <c r="L2143" s="2517">
        <f t="shared" si="416"/>
        <v>0</v>
      </c>
      <c r="M2143" s="2517">
        <f t="shared" si="417"/>
        <v>0</v>
      </c>
      <c r="N2143" s="2517">
        <f t="shared" si="418"/>
        <v>0</v>
      </c>
      <c r="O2143" s="2517">
        <f t="shared" si="419"/>
        <v>0</v>
      </c>
      <c r="P2143" s="2694"/>
      <c r="Q2143" s="2519"/>
      <c r="R2143" s="2519"/>
      <c r="S2143" s="2519"/>
    </row>
    <row r="2144" spans="1:19" s="2358" customFormat="1" outlineLevel="1">
      <c r="A2144" s="2435" t="str">
        <f t="shared" si="415"/>
        <v/>
      </c>
      <c r="B2144" s="2505" t="s">
        <v>798</v>
      </c>
      <c r="C2144" s="2672"/>
      <c r="D2144" s="2405" t="s">
        <v>5387</v>
      </c>
      <c r="E2144" s="2447" t="s">
        <v>5399</v>
      </c>
      <c r="F2144" s="2405" t="s">
        <v>856</v>
      </c>
      <c r="G2144" s="2703">
        <f>G2143</f>
        <v>0</v>
      </c>
      <c r="H2144" s="2517">
        <v>0</v>
      </c>
      <c r="I2144" s="2517"/>
      <c r="J2144" s="2517">
        <v>117703.6</v>
      </c>
      <c r="K2144" s="2517"/>
      <c r="L2144" s="2517">
        <f t="shared" si="416"/>
        <v>0</v>
      </c>
      <c r="M2144" s="2517">
        <f t="shared" si="417"/>
        <v>0</v>
      </c>
      <c r="N2144" s="2517">
        <f t="shared" si="418"/>
        <v>0</v>
      </c>
      <c r="O2144" s="2517">
        <f t="shared" si="419"/>
        <v>0</v>
      </c>
      <c r="P2144" s="2694"/>
      <c r="Q2144" s="2519"/>
      <c r="R2144" s="2519"/>
      <c r="S2144" s="2519"/>
    </row>
    <row r="2145" spans="1:255" s="2358" customFormat="1" outlineLevel="1">
      <c r="A2145" s="2435" t="str">
        <f>IF(G2145&lt;&gt;0,1,"")</f>
        <v/>
      </c>
      <c r="B2145" s="2505" t="s">
        <v>902</v>
      </c>
      <c r="C2145" s="2511"/>
      <c r="D2145" s="2405" t="s">
        <v>5413</v>
      </c>
      <c r="E2145" s="2447" t="s">
        <v>5414</v>
      </c>
      <c r="F2145" s="2405" t="s">
        <v>2391</v>
      </c>
      <c r="G2145" s="2707">
        <f>G2127</f>
        <v>0</v>
      </c>
      <c r="H2145" s="2517">
        <v>0</v>
      </c>
      <c r="I2145" s="2517"/>
      <c r="J2145" s="2517">
        <v>90355.896000000008</v>
      </c>
      <c r="K2145" s="2517">
        <v>1573.075</v>
      </c>
      <c r="L2145" s="2517">
        <f t="shared" si="416"/>
        <v>0</v>
      </c>
      <c r="M2145" s="2517">
        <f t="shared" si="417"/>
        <v>0</v>
      </c>
      <c r="N2145" s="2517">
        <f t="shared" si="418"/>
        <v>0</v>
      </c>
      <c r="O2145" s="2517">
        <f t="shared" si="419"/>
        <v>0</v>
      </c>
      <c r="P2145" s="2702"/>
      <c r="Q2145" s="2519"/>
      <c r="R2145" s="2519"/>
      <c r="S2145" s="2519"/>
    </row>
    <row r="2146" spans="1:255" s="2358" customFormat="1" outlineLevel="1">
      <c r="A2146" s="2435" t="str">
        <f>IF(G2146&lt;&gt;0,1,"")</f>
        <v/>
      </c>
      <c r="B2146" s="2505" t="s">
        <v>1440</v>
      </c>
      <c r="C2146" s="2511"/>
      <c r="D2146" s="2405" t="s">
        <v>5408</v>
      </c>
      <c r="E2146" s="2447" t="s">
        <v>5409</v>
      </c>
      <c r="F2146" s="2405" t="s">
        <v>2538</v>
      </c>
      <c r="G2146" s="2707">
        <f>G2126/0.224</f>
        <v>0</v>
      </c>
      <c r="H2146" s="2517">
        <v>0</v>
      </c>
      <c r="I2146" s="2517"/>
      <c r="J2146" s="2517">
        <v>8070.7000000000007</v>
      </c>
      <c r="K2146" s="2517">
        <v>2044.9974999999999</v>
      </c>
      <c r="L2146" s="2517">
        <f t="shared" si="416"/>
        <v>0</v>
      </c>
      <c r="M2146" s="2517">
        <f t="shared" si="417"/>
        <v>0</v>
      </c>
      <c r="N2146" s="2517">
        <f t="shared" si="418"/>
        <v>0</v>
      </c>
      <c r="O2146" s="2517">
        <f t="shared" si="419"/>
        <v>0</v>
      </c>
      <c r="P2146" s="2694"/>
      <c r="Q2146" s="2519"/>
      <c r="R2146" s="2519"/>
      <c r="S2146" s="2519"/>
    </row>
    <row r="2147" spans="1:255" s="2358" customFormat="1" outlineLevel="1">
      <c r="A2147" s="2435" t="str">
        <f>IF(G2147&lt;&gt;0,1,"")</f>
        <v/>
      </c>
      <c r="B2147" s="2505"/>
      <c r="C2147" s="2511">
        <f>IF(G2147&gt;0,C2124+1,C2124)</f>
        <v>0</v>
      </c>
      <c r="D2147" s="2512"/>
      <c r="E2147" s="2629" t="s">
        <v>6283</v>
      </c>
      <c r="F2147" s="2511" t="s">
        <v>2391</v>
      </c>
      <c r="G2147" s="2704">
        <f>G2057*2</f>
        <v>0</v>
      </c>
      <c r="H2147" s="2517"/>
      <c r="I2147" s="2517"/>
      <c r="J2147" s="2517"/>
      <c r="K2147" s="2517"/>
      <c r="L2147" s="2517">
        <f t="shared" si="416"/>
        <v>0</v>
      </c>
      <c r="M2147" s="2517">
        <f t="shared" si="417"/>
        <v>0</v>
      </c>
      <c r="N2147" s="2517">
        <f t="shared" si="418"/>
        <v>0</v>
      </c>
      <c r="O2147" s="2517">
        <f t="shared" si="419"/>
        <v>0</v>
      </c>
      <c r="P2147" s="2694"/>
      <c r="Q2147" s="2519"/>
      <c r="R2147" s="2519"/>
      <c r="S2147" s="2519"/>
    </row>
    <row r="2148" spans="1:255" s="2358" customFormat="1" ht="14.4" outlineLevel="1">
      <c r="A2148" s="2435" t="str">
        <f>A2147</f>
        <v/>
      </c>
      <c r="B2148" s="2505"/>
      <c r="C2148" s="2511"/>
      <c r="D2148" s="2512"/>
      <c r="E2148" s="2520" t="s">
        <v>6207</v>
      </c>
      <c r="F2148" s="2521"/>
      <c r="G2148" s="2703"/>
      <c r="H2148" s="2517"/>
      <c r="I2148" s="2517"/>
      <c r="J2148" s="2517"/>
      <c r="K2148" s="2517"/>
      <c r="L2148" s="2517">
        <f t="shared" si="416"/>
        <v>0</v>
      </c>
      <c r="M2148" s="2517">
        <f t="shared" si="417"/>
        <v>0</v>
      </c>
      <c r="N2148" s="2517">
        <f t="shared" si="418"/>
        <v>0</v>
      </c>
      <c r="O2148" s="2517">
        <f t="shared" si="419"/>
        <v>0</v>
      </c>
      <c r="P2148" s="2694"/>
      <c r="Q2148" s="2519"/>
      <c r="R2148" s="2519"/>
      <c r="S2148" s="2519"/>
    </row>
    <row r="2149" spans="1:255" s="2358" customFormat="1" outlineLevel="1">
      <c r="A2149" s="2435" t="str">
        <f>IF(G2149&lt;&gt;0,1,"")</f>
        <v/>
      </c>
      <c r="B2149" s="2505" t="s">
        <v>5705</v>
      </c>
      <c r="C2149" s="2521"/>
      <c r="D2149" s="2405" t="s">
        <v>5695</v>
      </c>
      <c r="E2149" s="2447" t="s">
        <v>5706</v>
      </c>
      <c r="F2149" s="2405" t="s">
        <v>2563</v>
      </c>
      <c r="G2149" s="2703">
        <f>G2147</f>
        <v>0</v>
      </c>
      <c r="H2149" s="2517">
        <v>2112489</v>
      </c>
      <c r="I2149" s="2517"/>
      <c r="J2149" s="2517">
        <v>690091</v>
      </c>
      <c r="K2149" s="2517">
        <v>97369</v>
      </c>
      <c r="L2149" s="2517">
        <f t="shared" si="416"/>
        <v>0</v>
      </c>
      <c r="M2149" s="2517">
        <f t="shared" si="417"/>
        <v>0</v>
      </c>
      <c r="N2149" s="2517">
        <f t="shared" si="418"/>
        <v>0</v>
      </c>
      <c r="O2149" s="2517">
        <f t="shared" si="419"/>
        <v>0</v>
      </c>
      <c r="P2149" s="2694"/>
      <c r="Q2149" s="2519"/>
      <c r="R2149" s="2519"/>
      <c r="S2149" s="2519"/>
    </row>
    <row r="2150" spans="1:255" s="2358" customFormat="1" outlineLevel="1">
      <c r="A2150" s="2435" t="str">
        <f>IF(G2150&lt;&gt;0,1,"")</f>
        <v/>
      </c>
      <c r="B2150" s="2505" t="s">
        <v>880</v>
      </c>
      <c r="C2150" s="2511"/>
      <c r="D2150" s="2405">
        <v>0</v>
      </c>
      <c r="E2150" s="2447" t="s">
        <v>5861</v>
      </c>
      <c r="F2150" s="2405" t="s">
        <v>2563</v>
      </c>
      <c r="G2150" s="2703">
        <f>G2147</f>
        <v>0</v>
      </c>
      <c r="H2150" s="2517">
        <v>284000</v>
      </c>
      <c r="I2150" s="2517"/>
      <c r="J2150" s="2517">
        <v>5404</v>
      </c>
      <c r="K2150" s="2517">
        <v>0</v>
      </c>
      <c r="L2150" s="2517">
        <f t="shared" si="416"/>
        <v>0</v>
      </c>
      <c r="M2150" s="2517">
        <f t="shared" si="417"/>
        <v>0</v>
      </c>
      <c r="N2150" s="2517">
        <f t="shared" si="418"/>
        <v>0</v>
      </c>
      <c r="O2150" s="2517">
        <f t="shared" si="419"/>
        <v>0</v>
      </c>
      <c r="P2150" s="2694"/>
      <c r="Q2150" s="2519"/>
      <c r="R2150" s="2519"/>
      <c r="S2150" s="2519"/>
    </row>
    <row r="2151" spans="1:255" s="2358" customFormat="1" outlineLevel="1">
      <c r="A2151" s="2435" t="str">
        <f>IF(G2151&lt;&gt;0,1,"")</f>
        <v/>
      </c>
      <c r="B2151" s="2505" t="s">
        <v>289</v>
      </c>
      <c r="C2151" s="2521"/>
      <c r="D2151" s="2405">
        <v>0</v>
      </c>
      <c r="E2151" s="2447" t="s">
        <v>5774</v>
      </c>
      <c r="F2151" s="2405" t="s">
        <v>2563</v>
      </c>
      <c r="G2151" s="2703">
        <f>G2147*1/2</f>
        <v>0</v>
      </c>
      <c r="H2151" s="2517">
        <v>300000</v>
      </c>
      <c r="I2151" s="2517"/>
      <c r="J2151" s="2517">
        <v>0</v>
      </c>
      <c r="K2151" s="2517">
        <v>0</v>
      </c>
      <c r="L2151" s="2517">
        <f t="shared" si="416"/>
        <v>0</v>
      </c>
      <c r="M2151" s="2517">
        <f t="shared" si="417"/>
        <v>0</v>
      </c>
      <c r="N2151" s="2517">
        <f t="shared" si="418"/>
        <v>0</v>
      </c>
      <c r="O2151" s="2517">
        <f t="shared" si="419"/>
        <v>0</v>
      </c>
      <c r="P2151" s="2642"/>
      <c r="Q2151" s="2519"/>
      <c r="R2151" s="2519"/>
      <c r="S2151" s="2519"/>
    </row>
    <row r="2152" spans="1:255" s="2358" customFormat="1" outlineLevel="1">
      <c r="A2152" s="2435" t="str">
        <f>IF(G2152&lt;&gt;0,1,"")</f>
        <v/>
      </c>
      <c r="B2152" s="2505" t="s">
        <v>588</v>
      </c>
      <c r="C2152" s="2521"/>
      <c r="D2152" s="2405">
        <v>0</v>
      </c>
      <c r="E2152" s="2447" t="s">
        <v>2999</v>
      </c>
      <c r="F2152" s="2405" t="s">
        <v>2445</v>
      </c>
      <c r="G2152" s="2703">
        <f>G2147*2</f>
        <v>0</v>
      </c>
      <c r="H2152" s="2517">
        <v>168000</v>
      </c>
      <c r="I2152" s="2517"/>
      <c r="J2152" s="2517">
        <v>0</v>
      </c>
      <c r="K2152" s="2517">
        <v>0</v>
      </c>
      <c r="L2152" s="2517">
        <f t="shared" si="416"/>
        <v>0</v>
      </c>
      <c r="M2152" s="2517">
        <f t="shared" si="417"/>
        <v>0</v>
      </c>
      <c r="N2152" s="2517">
        <f t="shared" si="418"/>
        <v>0</v>
      </c>
      <c r="O2152" s="2517">
        <f t="shared" si="419"/>
        <v>0</v>
      </c>
      <c r="P2152" s="2694"/>
      <c r="Q2152" s="2519"/>
      <c r="R2152" s="2519"/>
      <c r="S2152" s="2519"/>
    </row>
    <row r="2153" spans="1:255" s="2541" customFormat="1" outlineLevel="1">
      <c r="A2153" s="2435" t="str">
        <f>IF(G2153&lt;&gt;0,1,"")</f>
        <v/>
      </c>
      <c r="B2153" s="2505"/>
      <c r="C2153" s="2511">
        <f>IF(G2153&gt;0,C2147+1,C2147)</f>
        <v>0</v>
      </c>
      <c r="D2153" s="2512"/>
      <c r="E2153" s="2629" t="s">
        <v>6320</v>
      </c>
      <c r="F2153" s="2511" t="s">
        <v>2391</v>
      </c>
      <c r="G2153" s="2704">
        <f>G2057</f>
        <v>0</v>
      </c>
      <c r="H2153" s="2517"/>
      <c r="I2153" s="2517"/>
      <c r="J2153" s="2517"/>
      <c r="K2153" s="2517"/>
      <c r="L2153" s="2517"/>
      <c r="M2153" s="2517"/>
      <c r="N2153" s="2517"/>
      <c r="O2153" s="2517"/>
      <c r="P2153" s="2694"/>
      <c r="Q2153" s="2519"/>
      <c r="R2153" s="2519"/>
      <c r="S2153" s="2358"/>
      <c r="T2153" s="2358"/>
      <c r="U2153" s="2358"/>
      <c r="V2153" s="2358"/>
      <c r="W2153" s="2358"/>
      <c r="X2153" s="2358"/>
      <c r="Y2153" s="2358"/>
      <c r="Z2153" s="2358"/>
      <c r="AA2153" s="2358"/>
      <c r="AB2153" s="2358"/>
      <c r="AC2153" s="2358"/>
      <c r="AD2153" s="2358"/>
      <c r="AE2153" s="2358"/>
      <c r="AF2153" s="2358"/>
      <c r="AG2153" s="2358"/>
      <c r="AH2153" s="2358"/>
      <c r="AI2153" s="2358"/>
      <c r="AJ2153" s="2358"/>
      <c r="AK2153" s="2358"/>
      <c r="AL2153" s="2358"/>
      <c r="AM2153" s="2358"/>
      <c r="AN2153" s="2358"/>
      <c r="AO2153" s="2358"/>
      <c r="AP2153" s="2358"/>
      <c r="AQ2153" s="2358"/>
      <c r="AR2153" s="2358"/>
      <c r="AS2153" s="2358"/>
      <c r="AT2153" s="2358"/>
      <c r="AU2153" s="2358"/>
      <c r="AV2153" s="2358"/>
      <c r="AW2153" s="2358"/>
      <c r="AX2153" s="2358"/>
      <c r="AY2153" s="2358"/>
      <c r="AZ2153" s="2358"/>
      <c r="BA2153" s="2358"/>
      <c r="BB2153" s="2358"/>
      <c r="BC2153" s="2358"/>
      <c r="BD2153" s="2358"/>
      <c r="BE2153" s="2358"/>
      <c r="BF2153" s="2358"/>
      <c r="BG2153" s="2358"/>
      <c r="BH2153" s="2358"/>
      <c r="BI2153" s="2358"/>
      <c r="BJ2153" s="2358"/>
      <c r="BK2153" s="2358"/>
      <c r="BL2153" s="2358"/>
      <c r="BM2153" s="2358"/>
      <c r="BN2153" s="2358"/>
      <c r="BO2153" s="2358"/>
      <c r="BP2153" s="2358"/>
      <c r="BQ2153" s="2358"/>
      <c r="BR2153" s="2358"/>
      <c r="BS2153" s="2358"/>
      <c r="BT2153" s="2358"/>
      <c r="BU2153" s="2358"/>
      <c r="BV2153" s="2358"/>
      <c r="BW2153" s="2358"/>
      <c r="BX2153" s="2358"/>
      <c r="BY2153" s="2358"/>
      <c r="BZ2153" s="2358"/>
      <c r="CA2153" s="2358"/>
      <c r="CB2153" s="2358"/>
      <c r="CC2153" s="2358"/>
      <c r="CD2153" s="2358"/>
      <c r="CE2153" s="2358"/>
      <c r="CF2153" s="2358"/>
      <c r="CG2153" s="2358"/>
      <c r="CH2153" s="2358"/>
      <c r="CI2153" s="2358"/>
      <c r="CJ2153" s="2358"/>
      <c r="CK2153" s="2358"/>
      <c r="CL2153" s="2358"/>
      <c r="CM2153" s="2358"/>
      <c r="CN2153" s="2358"/>
      <c r="CO2153" s="2358"/>
      <c r="CP2153" s="2358"/>
      <c r="CQ2153" s="2358"/>
      <c r="CR2153" s="2358"/>
      <c r="CS2153" s="2358"/>
      <c r="CT2153" s="2358"/>
      <c r="CU2153" s="2358"/>
      <c r="CV2153" s="2358"/>
      <c r="CW2153" s="2358"/>
      <c r="CX2153" s="2358"/>
      <c r="CY2153" s="2358"/>
      <c r="CZ2153" s="2358"/>
      <c r="DA2153" s="2358"/>
      <c r="DB2153" s="2358"/>
      <c r="DC2153" s="2358"/>
      <c r="DD2153" s="2358"/>
      <c r="DE2153" s="2358"/>
      <c r="DF2153" s="2358"/>
      <c r="DG2153" s="2358"/>
      <c r="DH2153" s="2358"/>
      <c r="DI2153" s="2358"/>
      <c r="DJ2153" s="2358"/>
      <c r="DK2153" s="2358"/>
      <c r="DL2153" s="2358"/>
      <c r="DM2153" s="2358"/>
      <c r="DN2153" s="2358"/>
      <c r="DO2153" s="2358"/>
      <c r="DP2153" s="2358"/>
      <c r="DQ2153" s="2358"/>
      <c r="DR2153" s="2358"/>
      <c r="DS2153" s="2358"/>
      <c r="DT2153" s="2358"/>
      <c r="DU2153" s="2358"/>
      <c r="DV2153" s="2358"/>
      <c r="DW2153" s="2358"/>
      <c r="DX2153" s="2358"/>
      <c r="DY2153" s="2358"/>
      <c r="DZ2153" s="2358"/>
      <c r="EA2153" s="2358"/>
      <c r="EB2153" s="2358"/>
      <c r="EC2153" s="2358"/>
      <c r="ED2153" s="2358"/>
      <c r="EE2153" s="2358"/>
      <c r="EF2153" s="2358"/>
      <c r="EG2153" s="2358"/>
      <c r="EH2153" s="2358"/>
      <c r="EI2153" s="2358"/>
      <c r="EJ2153" s="2358"/>
      <c r="EK2153" s="2358"/>
      <c r="EL2153" s="2358"/>
      <c r="EM2153" s="2358"/>
      <c r="EN2153" s="2358"/>
      <c r="EO2153" s="2358"/>
      <c r="EP2153" s="2358"/>
      <c r="EQ2153" s="2358"/>
      <c r="ER2153" s="2358"/>
      <c r="ES2153" s="2358"/>
      <c r="ET2153" s="2358"/>
      <c r="EU2153" s="2358"/>
      <c r="EV2153" s="2358"/>
      <c r="EW2153" s="2358"/>
      <c r="EX2153" s="2358"/>
      <c r="EY2153" s="2358"/>
      <c r="EZ2153" s="2358"/>
      <c r="FA2153" s="2358"/>
      <c r="FB2153" s="2358"/>
      <c r="FC2153" s="2358"/>
      <c r="FD2153" s="2358"/>
      <c r="FE2153" s="2358"/>
      <c r="FF2153" s="2358"/>
      <c r="FG2153" s="2358"/>
      <c r="FH2153" s="2358"/>
      <c r="FI2153" s="2358"/>
      <c r="FJ2153" s="2358"/>
      <c r="FK2153" s="2358"/>
      <c r="FL2153" s="2358"/>
      <c r="FM2153" s="2358"/>
      <c r="FN2153" s="2358"/>
      <c r="FO2153" s="2358"/>
      <c r="FP2153" s="2358"/>
      <c r="FQ2153" s="2358"/>
      <c r="FR2153" s="2358"/>
      <c r="FS2153" s="2358"/>
      <c r="FT2153" s="2358"/>
      <c r="FU2153" s="2358"/>
      <c r="FV2153" s="2358"/>
      <c r="FW2153" s="2358"/>
      <c r="FX2153" s="2358"/>
      <c r="FY2153" s="2358"/>
      <c r="FZ2153" s="2358"/>
      <c r="GA2153" s="2358"/>
      <c r="GB2153" s="2358"/>
      <c r="GC2153" s="2358"/>
      <c r="GD2153" s="2358"/>
      <c r="GE2153" s="2358"/>
      <c r="GF2153" s="2358"/>
      <c r="GG2153" s="2358"/>
      <c r="GH2153" s="2358"/>
      <c r="GI2153" s="2358"/>
      <c r="GJ2153" s="2358"/>
      <c r="GK2153" s="2358"/>
      <c r="GL2153" s="2358"/>
      <c r="GM2153" s="2358"/>
      <c r="GN2153" s="2358"/>
      <c r="GO2153" s="2358"/>
      <c r="GP2153" s="2358"/>
      <c r="GQ2153" s="2358"/>
      <c r="GR2153" s="2358"/>
      <c r="GS2153" s="2358"/>
      <c r="GT2153" s="2358"/>
      <c r="GU2153" s="2358"/>
      <c r="GV2153" s="2358"/>
      <c r="GW2153" s="2358"/>
      <c r="GX2153" s="2358"/>
      <c r="GY2153" s="2358"/>
      <c r="GZ2153" s="2358"/>
      <c r="HA2153" s="2358"/>
      <c r="HB2153" s="2358"/>
      <c r="HC2153" s="2358"/>
      <c r="HD2153" s="2358"/>
      <c r="HE2153" s="2358"/>
      <c r="HF2153" s="2358"/>
      <c r="HG2153" s="2358"/>
      <c r="HH2153" s="2358"/>
      <c r="HI2153" s="2358"/>
      <c r="HJ2153" s="2358"/>
      <c r="HK2153" s="2358"/>
      <c r="HL2153" s="2358"/>
      <c r="HM2153" s="2358"/>
      <c r="HN2153" s="2358"/>
      <c r="HO2153" s="2358"/>
      <c r="HP2153" s="2358"/>
      <c r="HQ2153" s="2358"/>
      <c r="HR2153" s="2358"/>
      <c r="HS2153" s="2358"/>
      <c r="HT2153" s="2358"/>
      <c r="HU2153" s="2358"/>
      <c r="HV2153" s="2358"/>
      <c r="HW2153" s="2358"/>
      <c r="HX2153" s="2358"/>
      <c r="HY2153" s="2358"/>
      <c r="HZ2153" s="2358"/>
      <c r="IA2153" s="2358"/>
      <c r="IB2153" s="2358"/>
      <c r="IC2153" s="2358"/>
      <c r="ID2153" s="2358"/>
      <c r="IE2153" s="2358"/>
      <c r="IF2153" s="2358"/>
      <c r="IG2153" s="2358"/>
      <c r="IH2153" s="2358"/>
      <c r="II2153" s="2358"/>
      <c r="IJ2153" s="2358"/>
      <c r="IK2153" s="2358"/>
      <c r="IL2153" s="2358"/>
      <c r="IM2153" s="2358"/>
      <c r="IN2153" s="2358"/>
      <c r="IO2153" s="2358"/>
      <c r="IP2153" s="2358"/>
      <c r="IQ2153" s="2358"/>
      <c r="IR2153" s="2358"/>
      <c r="IS2153" s="2358"/>
      <c r="IT2153" s="2358"/>
      <c r="IU2153" s="2358"/>
    </row>
    <row r="2154" spans="1:255" s="2752" customFormat="1" ht="14.4" outlineLevel="1">
      <c r="A2154" s="2744" t="str">
        <f>A2153</f>
        <v/>
      </c>
      <c r="B2154" s="2505"/>
      <c r="C2154" s="2745"/>
      <c r="D2154" s="2746"/>
      <c r="E2154" s="2747" t="s">
        <v>6207</v>
      </c>
      <c r="F2154" s="2746"/>
      <c r="G2154" s="2748"/>
      <c r="H2154" s="2749"/>
      <c r="I2154" s="2749"/>
      <c r="J2154" s="2749"/>
      <c r="K2154" s="2749"/>
      <c r="L2154" s="2749"/>
      <c r="M2154" s="2749"/>
      <c r="N2154" s="2749"/>
      <c r="O2154" s="2749"/>
      <c r="P2154" s="2750"/>
      <c r="Q2154" s="2751"/>
      <c r="R2154" s="2519"/>
      <c r="S2154" s="2751"/>
    </row>
    <row r="2155" spans="1:255" s="2358" customFormat="1" outlineLevel="1">
      <c r="A2155" s="2435" t="str">
        <f t="shared" ref="A2155:A2170" si="420">IF(G2155&lt;&gt;0,1,"")</f>
        <v/>
      </c>
      <c r="B2155" s="2505" t="s">
        <v>6321</v>
      </c>
      <c r="C2155" s="2521"/>
      <c r="D2155" s="2405" t="s">
        <v>5717</v>
      </c>
      <c r="E2155" s="2447" t="s">
        <v>5721</v>
      </c>
      <c r="F2155" s="2405" t="s">
        <v>2563</v>
      </c>
      <c r="G2155" s="2703">
        <f>G2153</f>
        <v>0</v>
      </c>
      <c r="H2155" s="2517">
        <v>783952</v>
      </c>
      <c r="I2155" s="2517"/>
      <c r="J2155" s="2517">
        <v>599038</v>
      </c>
      <c r="K2155" s="2517">
        <v>97369</v>
      </c>
      <c r="L2155" s="2517">
        <f t="shared" ref="L2155:L2170" si="421">H2155*G2155</f>
        <v>0</v>
      </c>
      <c r="M2155" s="2517">
        <f t="shared" ref="M2155:M2170" si="422">I2155*G2155</f>
        <v>0</v>
      </c>
      <c r="N2155" s="2517">
        <f t="shared" ref="N2155:N2170" si="423">J2155*G2155</f>
        <v>0</v>
      </c>
      <c r="O2155" s="2517">
        <f t="shared" ref="O2155:O2170" si="424">K2155*G2155</f>
        <v>0</v>
      </c>
      <c r="P2155" s="2694"/>
      <c r="Q2155" s="2519"/>
      <c r="R2155" s="2519"/>
      <c r="S2155" s="2519"/>
    </row>
    <row r="2156" spans="1:255" s="2358" customFormat="1" outlineLevel="1">
      <c r="A2156" s="2435" t="str">
        <f t="shared" si="420"/>
        <v/>
      </c>
      <c r="B2156" s="2505" t="s">
        <v>880</v>
      </c>
      <c r="C2156" s="2521"/>
      <c r="D2156" s="2405">
        <v>0</v>
      </c>
      <c r="E2156" s="2447" t="s">
        <v>5861</v>
      </c>
      <c r="F2156" s="2405" t="s">
        <v>2563</v>
      </c>
      <c r="G2156" s="2703">
        <f>G2155</f>
        <v>0</v>
      </c>
      <c r="H2156" s="2517">
        <v>284000</v>
      </c>
      <c r="I2156" s="2517"/>
      <c r="J2156" s="2517">
        <v>5404</v>
      </c>
      <c r="K2156" s="2517">
        <v>0</v>
      </c>
      <c r="L2156" s="2517">
        <f t="shared" si="421"/>
        <v>0</v>
      </c>
      <c r="M2156" s="2517">
        <f t="shared" si="422"/>
        <v>0</v>
      </c>
      <c r="N2156" s="2517">
        <f t="shared" si="423"/>
        <v>0</v>
      </c>
      <c r="O2156" s="2517">
        <f t="shared" si="424"/>
        <v>0</v>
      </c>
      <c r="P2156" s="2694"/>
      <c r="Q2156" s="2519"/>
      <c r="R2156" s="2519"/>
      <c r="S2156" s="2519"/>
    </row>
    <row r="2157" spans="1:255" s="2358" customFormat="1" outlineLevel="1">
      <c r="A2157" s="2435" t="str">
        <f t="shared" si="420"/>
        <v/>
      </c>
      <c r="B2157" s="2505" t="s">
        <v>289</v>
      </c>
      <c r="C2157" s="2521"/>
      <c r="D2157" s="2405">
        <v>0</v>
      </c>
      <c r="E2157" s="2447" t="s">
        <v>5774</v>
      </c>
      <c r="F2157" s="2405" t="s">
        <v>2563</v>
      </c>
      <c r="G2157" s="2703">
        <f>G2153</f>
        <v>0</v>
      </c>
      <c r="H2157" s="2517">
        <v>300000</v>
      </c>
      <c r="I2157" s="2517"/>
      <c r="J2157" s="2517">
        <v>0</v>
      </c>
      <c r="K2157" s="2517">
        <v>0</v>
      </c>
      <c r="L2157" s="2517">
        <f t="shared" si="421"/>
        <v>0</v>
      </c>
      <c r="M2157" s="2517">
        <f t="shared" si="422"/>
        <v>0</v>
      </c>
      <c r="N2157" s="2517">
        <f t="shared" si="423"/>
        <v>0</v>
      </c>
      <c r="O2157" s="2517">
        <f t="shared" si="424"/>
        <v>0</v>
      </c>
      <c r="P2157" s="2694"/>
      <c r="Q2157" s="2519"/>
      <c r="R2157" s="2519"/>
      <c r="S2157" s="2519"/>
    </row>
    <row r="2158" spans="1:255" s="2358" customFormat="1" outlineLevel="1">
      <c r="A2158" s="2435" t="str">
        <f t="shared" si="420"/>
        <v/>
      </c>
      <c r="B2158" s="2505" t="s">
        <v>588</v>
      </c>
      <c r="C2158" s="2521"/>
      <c r="D2158" s="2405">
        <v>0</v>
      </c>
      <c r="E2158" s="2447" t="s">
        <v>2999</v>
      </c>
      <c r="F2158" s="2405" t="s">
        <v>2445</v>
      </c>
      <c r="G2158" s="2703">
        <f>G2155*2</f>
        <v>0</v>
      </c>
      <c r="H2158" s="2517">
        <v>168000</v>
      </c>
      <c r="I2158" s="2517"/>
      <c r="J2158" s="2517">
        <v>0</v>
      </c>
      <c r="K2158" s="2517">
        <v>0</v>
      </c>
      <c r="L2158" s="2517">
        <f t="shared" si="421"/>
        <v>0</v>
      </c>
      <c r="M2158" s="2517">
        <f t="shared" si="422"/>
        <v>0</v>
      </c>
      <c r="N2158" s="2517">
        <f t="shared" si="423"/>
        <v>0</v>
      </c>
      <c r="O2158" s="2517">
        <f t="shared" si="424"/>
        <v>0</v>
      </c>
      <c r="P2158" s="2694"/>
      <c r="Q2158" s="2519"/>
      <c r="R2158" s="2519"/>
      <c r="S2158" s="2519"/>
    </row>
    <row r="2159" spans="1:255" s="2358" customFormat="1" outlineLevel="1">
      <c r="A2159" s="2435" t="str">
        <f t="shared" si="420"/>
        <v/>
      </c>
      <c r="B2159" s="2514" t="s">
        <v>1826</v>
      </c>
      <c r="C2159" s="2521"/>
      <c r="D2159" s="2405" t="s">
        <v>1530</v>
      </c>
      <c r="E2159" s="2447" t="s">
        <v>2792</v>
      </c>
      <c r="F2159" s="2405" t="s">
        <v>2538</v>
      </c>
      <c r="G2159" s="2703">
        <f>G2153*6</f>
        <v>0</v>
      </c>
      <c r="H2159" s="2517">
        <v>28200</v>
      </c>
      <c r="I2159" s="2517"/>
      <c r="J2159" s="2517">
        <v>0</v>
      </c>
      <c r="K2159" s="2517">
        <v>0</v>
      </c>
      <c r="L2159" s="2517">
        <f t="shared" si="421"/>
        <v>0</v>
      </c>
      <c r="M2159" s="2517">
        <f t="shared" si="422"/>
        <v>0</v>
      </c>
      <c r="N2159" s="2517">
        <f t="shared" si="423"/>
        <v>0</v>
      </c>
      <c r="O2159" s="2517">
        <f t="shared" si="424"/>
        <v>0</v>
      </c>
      <c r="P2159" s="2694"/>
      <c r="Q2159" s="2519"/>
      <c r="R2159" s="2519"/>
      <c r="S2159" s="2519"/>
    </row>
    <row r="2160" spans="1:255" s="2358" customFormat="1" outlineLevel="1">
      <c r="A2160" s="2435" t="str">
        <f t="shared" si="420"/>
        <v/>
      </c>
      <c r="B2160" s="2514" t="s">
        <v>1869</v>
      </c>
      <c r="C2160" s="2521"/>
      <c r="D2160" s="2405">
        <v>0</v>
      </c>
      <c r="E2160" s="2447" t="s">
        <v>3489</v>
      </c>
      <c r="F2160" s="2405" t="s">
        <v>2563</v>
      </c>
      <c r="G2160" s="2703">
        <f>G2153*4*2</f>
        <v>0</v>
      </c>
      <c r="H2160" s="2517">
        <v>1700</v>
      </c>
      <c r="I2160" s="2517"/>
      <c r="J2160" s="2517">
        <v>0</v>
      </c>
      <c r="K2160" s="2517">
        <v>0</v>
      </c>
      <c r="L2160" s="2517">
        <f t="shared" si="421"/>
        <v>0</v>
      </c>
      <c r="M2160" s="2517">
        <f t="shared" si="422"/>
        <v>0</v>
      </c>
      <c r="N2160" s="2517">
        <f t="shared" si="423"/>
        <v>0</v>
      </c>
      <c r="O2160" s="2517">
        <f t="shared" si="424"/>
        <v>0</v>
      </c>
      <c r="P2160" s="2694"/>
      <c r="Q2160" s="2519"/>
      <c r="R2160" s="2519"/>
      <c r="S2160" s="2519"/>
    </row>
    <row r="2161" spans="1:19" s="2358" customFormat="1" outlineLevel="1">
      <c r="A2161" s="2435" t="str">
        <f t="shared" si="420"/>
        <v/>
      </c>
      <c r="B2161" s="2514" t="s">
        <v>2147</v>
      </c>
      <c r="C2161" s="2521"/>
      <c r="D2161" s="2405">
        <v>0</v>
      </c>
      <c r="E2161" s="2447" t="s">
        <v>3553</v>
      </c>
      <c r="F2161" s="2405" t="s">
        <v>1827</v>
      </c>
      <c r="G2161" s="2703">
        <f>G2156*4</f>
        <v>0</v>
      </c>
      <c r="H2161" s="2517">
        <v>16100</v>
      </c>
      <c r="I2161" s="2517"/>
      <c r="J2161" s="2517">
        <v>0</v>
      </c>
      <c r="K2161" s="2517">
        <v>0</v>
      </c>
      <c r="L2161" s="2517">
        <f t="shared" si="421"/>
        <v>0</v>
      </c>
      <c r="M2161" s="2517">
        <f t="shared" si="422"/>
        <v>0</v>
      </c>
      <c r="N2161" s="2517">
        <f t="shared" si="423"/>
        <v>0</v>
      </c>
      <c r="O2161" s="2517">
        <f t="shared" si="424"/>
        <v>0</v>
      </c>
      <c r="P2161" s="2694"/>
      <c r="Q2161" s="2519"/>
      <c r="R2161" s="2519"/>
      <c r="S2161" s="2519"/>
    </row>
    <row r="2162" spans="1:19" s="2358" customFormat="1" outlineLevel="1">
      <c r="A2162" s="2435" t="str">
        <f t="shared" si="420"/>
        <v/>
      </c>
      <c r="B2162" s="2514" t="s">
        <v>6322</v>
      </c>
      <c r="C2162" s="2521"/>
      <c r="D2162" s="2405">
        <v>0</v>
      </c>
      <c r="E2162" s="2447" t="s">
        <v>3560</v>
      </c>
      <c r="F2162" s="2405" t="s">
        <v>2563</v>
      </c>
      <c r="G2162" s="2703">
        <f>G2153</f>
        <v>0</v>
      </c>
      <c r="H2162" s="2517">
        <v>11400</v>
      </c>
      <c r="I2162" s="2517"/>
      <c r="J2162" s="2517">
        <v>0</v>
      </c>
      <c r="K2162" s="2517">
        <v>0</v>
      </c>
      <c r="L2162" s="2517">
        <f t="shared" si="421"/>
        <v>0</v>
      </c>
      <c r="M2162" s="2517">
        <f t="shared" si="422"/>
        <v>0</v>
      </c>
      <c r="N2162" s="2517">
        <f t="shared" si="423"/>
        <v>0</v>
      </c>
      <c r="O2162" s="2517">
        <f t="shared" si="424"/>
        <v>0</v>
      </c>
      <c r="P2162" s="2694"/>
      <c r="Q2162" s="2519"/>
      <c r="R2162" s="2519"/>
      <c r="S2162" s="2519"/>
    </row>
    <row r="2163" spans="1:19" s="2358" customFormat="1" outlineLevel="1">
      <c r="A2163" s="2435" t="str">
        <f t="shared" si="420"/>
        <v/>
      </c>
      <c r="B2163" s="2514" t="s">
        <v>203</v>
      </c>
      <c r="C2163" s="2521"/>
      <c r="D2163" s="2405">
        <v>0</v>
      </c>
      <c r="E2163" s="2447" t="s">
        <v>2996</v>
      </c>
      <c r="F2163" s="2405" t="s">
        <v>2445</v>
      </c>
      <c r="G2163" s="2703">
        <f>G2153*2</f>
        <v>0</v>
      </c>
      <c r="H2163" s="2517">
        <v>34000</v>
      </c>
      <c r="I2163" s="2517"/>
      <c r="J2163" s="2517">
        <v>0</v>
      </c>
      <c r="K2163" s="2517">
        <v>0</v>
      </c>
      <c r="L2163" s="2517">
        <f t="shared" si="421"/>
        <v>0</v>
      </c>
      <c r="M2163" s="2517">
        <f t="shared" si="422"/>
        <v>0</v>
      </c>
      <c r="N2163" s="2517">
        <f t="shared" si="423"/>
        <v>0</v>
      </c>
      <c r="O2163" s="2517">
        <f t="shared" si="424"/>
        <v>0</v>
      </c>
      <c r="P2163" s="2694"/>
      <c r="Q2163" s="2519"/>
      <c r="R2163" s="2519"/>
      <c r="S2163" s="2519"/>
    </row>
    <row r="2164" spans="1:19" s="2358" customFormat="1" outlineLevel="1">
      <c r="A2164" s="2435" t="str">
        <f t="shared" si="420"/>
        <v/>
      </c>
      <c r="B2164" s="2514" t="s">
        <v>6323</v>
      </c>
      <c r="C2164" s="2521"/>
      <c r="D2164" s="2405">
        <v>0</v>
      </c>
      <c r="E2164" s="2447" t="s">
        <v>3591</v>
      </c>
      <c r="F2164" s="2405" t="s">
        <v>2563</v>
      </c>
      <c r="G2164" s="2703">
        <f>G2153*2</f>
        <v>0</v>
      </c>
      <c r="H2164" s="2517">
        <v>5000</v>
      </c>
      <c r="I2164" s="2517"/>
      <c r="J2164" s="2517">
        <v>0</v>
      </c>
      <c r="K2164" s="2517">
        <v>0</v>
      </c>
      <c r="L2164" s="2517">
        <f t="shared" si="421"/>
        <v>0</v>
      </c>
      <c r="M2164" s="2517">
        <f t="shared" si="422"/>
        <v>0</v>
      </c>
      <c r="N2164" s="2517">
        <f t="shared" si="423"/>
        <v>0</v>
      </c>
      <c r="O2164" s="2517">
        <f t="shared" si="424"/>
        <v>0</v>
      </c>
      <c r="P2164" s="2694"/>
      <c r="Q2164" s="2519"/>
      <c r="R2164" s="2519"/>
      <c r="S2164" s="2519"/>
    </row>
    <row r="2165" spans="1:19" s="2358" customFormat="1" outlineLevel="1">
      <c r="A2165" s="2435" t="str">
        <f t="shared" si="420"/>
        <v/>
      </c>
      <c r="B2165" s="2514" t="s">
        <v>6324</v>
      </c>
      <c r="C2165" s="2521"/>
      <c r="D2165" s="2405">
        <v>0</v>
      </c>
      <c r="E2165" s="2447" t="s">
        <v>3595</v>
      </c>
      <c r="F2165" s="2405" t="s">
        <v>2563</v>
      </c>
      <c r="G2165" s="2703">
        <f>G2164</f>
        <v>0</v>
      </c>
      <c r="H2165" s="2517">
        <v>5200</v>
      </c>
      <c r="I2165" s="2517"/>
      <c r="J2165" s="2517">
        <v>0</v>
      </c>
      <c r="K2165" s="2517">
        <v>0</v>
      </c>
      <c r="L2165" s="2517">
        <f t="shared" si="421"/>
        <v>0</v>
      </c>
      <c r="M2165" s="2517">
        <f t="shared" si="422"/>
        <v>0</v>
      </c>
      <c r="N2165" s="2517">
        <f t="shared" si="423"/>
        <v>0</v>
      </c>
      <c r="O2165" s="2517">
        <f t="shared" si="424"/>
        <v>0</v>
      </c>
      <c r="P2165" s="2694"/>
      <c r="Q2165" s="2519"/>
      <c r="R2165" s="2519"/>
      <c r="S2165" s="2519"/>
    </row>
    <row r="2166" spans="1:19" s="2358" customFormat="1" outlineLevel="1">
      <c r="A2166" s="2435" t="str">
        <f t="shared" si="420"/>
        <v/>
      </c>
      <c r="B2166" s="2514" t="s">
        <v>2280</v>
      </c>
      <c r="C2166" s="2521"/>
      <c r="D2166" s="2405">
        <v>0</v>
      </c>
      <c r="E2166" s="2447" t="s">
        <v>3557</v>
      </c>
      <c r="F2166" s="2405" t="s">
        <v>1827</v>
      </c>
      <c r="G2166" s="2703">
        <f>G2153*1.5</f>
        <v>0</v>
      </c>
      <c r="H2166" s="2517">
        <v>3100</v>
      </c>
      <c r="I2166" s="2517"/>
      <c r="J2166" s="2517">
        <v>0</v>
      </c>
      <c r="K2166" s="2517">
        <v>0</v>
      </c>
      <c r="L2166" s="2517">
        <f t="shared" si="421"/>
        <v>0</v>
      </c>
      <c r="M2166" s="2517">
        <f t="shared" si="422"/>
        <v>0</v>
      </c>
      <c r="N2166" s="2517">
        <f t="shared" si="423"/>
        <v>0</v>
      </c>
      <c r="O2166" s="2517">
        <f t="shared" si="424"/>
        <v>0</v>
      </c>
      <c r="P2166" s="2694"/>
      <c r="Q2166" s="2519"/>
      <c r="R2166" s="2519"/>
      <c r="S2166" s="2519"/>
    </row>
    <row r="2167" spans="1:19" s="2358" customFormat="1" outlineLevel="1">
      <c r="A2167" s="2435" t="str">
        <f t="shared" si="420"/>
        <v/>
      </c>
      <c r="B2167" s="2514" t="s">
        <v>2080</v>
      </c>
      <c r="C2167" s="2521"/>
      <c r="D2167" s="2405">
        <v>0</v>
      </c>
      <c r="E2167" s="2447" t="s">
        <v>3588</v>
      </c>
      <c r="F2167" s="2405" t="s">
        <v>3589</v>
      </c>
      <c r="G2167" s="2703">
        <f>G2153*1</f>
        <v>0</v>
      </c>
      <c r="H2167" s="2517">
        <v>11500</v>
      </c>
      <c r="I2167" s="2517"/>
      <c r="J2167" s="2517">
        <v>0</v>
      </c>
      <c r="K2167" s="2517">
        <v>0</v>
      </c>
      <c r="L2167" s="2517">
        <f t="shared" si="421"/>
        <v>0</v>
      </c>
      <c r="M2167" s="2517">
        <f t="shared" si="422"/>
        <v>0</v>
      </c>
      <c r="N2167" s="2517">
        <f t="shared" si="423"/>
        <v>0</v>
      </c>
      <c r="O2167" s="2517">
        <f t="shared" si="424"/>
        <v>0</v>
      </c>
      <c r="P2167" s="2694"/>
      <c r="Q2167" s="2519"/>
      <c r="R2167" s="2519"/>
      <c r="S2167" s="2519"/>
    </row>
    <row r="2168" spans="1:19" s="2358" customFormat="1" outlineLevel="1">
      <c r="A2168" s="2435" t="str">
        <f t="shared" si="420"/>
        <v/>
      </c>
      <c r="B2168" s="2514" t="s">
        <v>6</v>
      </c>
      <c r="C2168" s="2521"/>
      <c r="D2168" s="2405">
        <v>0</v>
      </c>
      <c r="E2168" s="2447" t="s">
        <v>3585</v>
      </c>
      <c r="F2168" s="2405" t="s">
        <v>5868</v>
      </c>
      <c r="G2168" s="2703">
        <f>G2153*1</f>
        <v>0</v>
      </c>
      <c r="H2168" s="2517">
        <v>45000</v>
      </c>
      <c r="I2168" s="2517"/>
      <c r="J2168" s="2517">
        <v>0</v>
      </c>
      <c r="K2168" s="2517">
        <v>0</v>
      </c>
      <c r="L2168" s="2517">
        <f t="shared" si="421"/>
        <v>0</v>
      </c>
      <c r="M2168" s="2517">
        <f t="shared" si="422"/>
        <v>0</v>
      </c>
      <c r="N2168" s="2517">
        <f t="shared" si="423"/>
        <v>0</v>
      </c>
      <c r="O2168" s="2517">
        <f t="shared" si="424"/>
        <v>0</v>
      </c>
      <c r="P2168" s="2694"/>
      <c r="Q2168" s="2519"/>
      <c r="R2168" s="2519"/>
      <c r="S2168" s="2519"/>
    </row>
    <row r="2169" spans="1:19" s="2358" customFormat="1" outlineLevel="1">
      <c r="A2169" s="2435" t="str">
        <f t="shared" si="420"/>
        <v/>
      </c>
      <c r="B2169" s="2514" t="s">
        <v>672</v>
      </c>
      <c r="C2169" s="2521"/>
      <c r="D2169" s="2405">
        <v>0</v>
      </c>
      <c r="E2169" s="2447" t="s">
        <v>5863</v>
      </c>
      <c r="F2169" s="2405" t="s">
        <v>3584</v>
      </c>
      <c r="G2169" s="2703">
        <f>G2153*2</f>
        <v>0</v>
      </c>
      <c r="H2169" s="2517">
        <v>6500</v>
      </c>
      <c r="I2169" s="2517"/>
      <c r="J2169" s="2517">
        <v>0</v>
      </c>
      <c r="K2169" s="2517">
        <v>0</v>
      </c>
      <c r="L2169" s="2517">
        <f t="shared" si="421"/>
        <v>0</v>
      </c>
      <c r="M2169" s="2517">
        <f t="shared" si="422"/>
        <v>0</v>
      </c>
      <c r="N2169" s="2517">
        <f t="shared" si="423"/>
        <v>0</v>
      </c>
      <c r="O2169" s="2517">
        <f t="shared" si="424"/>
        <v>0</v>
      </c>
      <c r="P2169" s="2694"/>
      <c r="Q2169" s="2519"/>
      <c r="R2169" s="2519"/>
      <c r="S2169" s="2519"/>
    </row>
    <row r="2170" spans="1:19" s="2358" customFormat="1" outlineLevel="1">
      <c r="A2170" s="2435" t="str">
        <f t="shared" si="420"/>
        <v/>
      </c>
      <c r="B2170" s="2514" t="s">
        <v>1528</v>
      </c>
      <c r="C2170" s="2521"/>
      <c r="D2170" s="2405" t="s">
        <v>5633</v>
      </c>
      <c r="E2170" s="2447" t="s">
        <v>3310</v>
      </c>
      <c r="F2170" s="2405" t="s">
        <v>1827</v>
      </c>
      <c r="G2170" s="2703">
        <f>G2161*2</f>
        <v>0</v>
      </c>
      <c r="H2170" s="2517">
        <v>0</v>
      </c>
      <c r="I2170" s="2517"/>
      <c r="J2170" s="2517">
        <v>13915</v>
      </c>
      <c r="K2170" s="2517">
        <v>0</v>
      </c>
      <c r="L2170" s="2517">
        <f t="shared" si="421"/>
        <v>0</v>
      </c>
      <c r="M2170" s="2517">
        <f t="shared" si="422"/>
        <v>0</v>
      </c>
      <c r="N2170" s="2517">
        <f t="shared" si="423"/>
        <v>0</v>
      </c>
      <c r="O2170" s="2517">
        <f t="shared" si="424"/>
        <v>0</v>
      </c>
      <c r="P2170" s="2694"/>
      <c r="Q2170" s="2519"/>
      <c r="R2170" s="2519"/>
      <c r="S2170" s="2519"/>
    </row>
    <row r="2171" spans="1:19" s="2358" customFormat="1" outlineLevel="1">
      <c r="A2171" s="2435" t="str">
        <f>IF(G2171&lt;&gt;0,1,"")</f>
        <v/>
      </c>
      <c r="B2171" s="2514"/>
      <c r="C2171" s="2511">
        <f>IF(G2171&gt;0,C2153+1,C2153)</f>
        <v>0</v>
      </c>
      <c r="D2171" s="2512"/>
      <c r="E2171" s="2513" t="s">
        <v>6337</v>
      </c>
      <c r="F2171" s="2511" t="s">
        <v>2391</v>
      </c>
      <c r="G2171" s="2704">
        <f>G2057</f>
        <v>0</v>
      </c>
      <c r="H2171" s="2517"/>
      <c r="I2171" s="2517"/>
      <c r="J2171" s="2517"/>
      <c r="K2171" s="2517"/>
      <c r="L2171" s="2517"/>
      <c r="M2171" s="2517"/>
      <c r="N2171" s="2517"/>
      <c r="O2171" s="2517"/>
      <c r="P2171" s="2694"/>
      <c r="Q2171" s="2519"/>
      <c r="R2171" s="2519"/>
      <c r="S2171" s="2519"/>
    </row>
    <row r="2172" spans="1:19" s="2358" customFormat="1" ht="14.4" outlineLevel="1">
      <c r="A2172" s="2435" t="str">
        <f>A2171</f>
        <v/>
      </c>
      <c r="B2172" s="2514"/>
      <c r="C2172" s="2511"/>
      <c r="D2172" s="2512"/>
      <c r="E2172" s="2527" t="s">
        <v>6207</v>
      </c>
      <c r="F2172" s="2511"/>
      <c r="G2172" s="2704"/>
      <c r="H2172" s="2517"/>
      <c r="I2172" s="2517"/>
      <c r="J2172" s="2517"/>
      <c r="K2172" s="2517"/>
      <c r="L2172" s="2517"/>
      <c r="M2172" s="2517"/>
      <c r="N2172" s="2517"/>
      <c r="O2172" s="2517"/>
      <c r="P2172" s="2694"/>
      <c r="Q2172" s="2519"/>
      <c r="R2172" s="2519"/>
      <c r="S2172" s="2519"/>
    </row>
    <row r="2173" spans="1:19" s="2358" customFormat="1" outlineLevel="1">
      <c r="A2173" s="2435" t="str">
        <f t="shared" ref="A2173:A2184" si="425">IF(G2173&lt;&gt;0,1,"")</f>
        <v/>
      </c>
      <c r="B2173" s="2505" t="s">
        <v>697</v>
      </c>
      <c r="C2173" s="2521"/>
      <c r="D2173" s="2405">
        <v>0</v>
      </c>
      <c r="E2173" s="2447" t="s">
        <v>5139</v>
      </c>
      <c r="F2173" s="2405" t="s">
        <v>2538</v>
      </c>
      <c r="G2173" s="2703">
        <f>G2171*(7)*3</f>
        <v>0</v>
      </c>
      <c r="H2173" s="2517">
        <v>50996</v>
      </c>
      <c r="I2173" s="2517"/>
      <c r="J2173" s="2517">
        <v>0</v>
      </c>
      <c r="K2173" s="2517">
        <v>0</v>
      </c>
      <c r="L2173" s="2517">
        <f t="shared" ref="L2173:L2183" si="426">H2173*G2173</f>
        <v>0</v>
      </c>
      <c r="M2173" s="2517">
        <f>I2173*G2173</f>
        <v>0</v>
      </c>
      <c r="N2173" s="2517">
        <f t="shared" ref="N2173:N2183" si="427">J2173*G2173</f>
        <v>0</v>
      </c>
      <c r="O2173" s="2517">
        <f t="shared" ref="O2173:O2183" si="428">K2173*G2173</f>
        <v>0</v>
      </c>
      <c r="P2173" s="2694"/>
      <c r="Q2173" s="2519"/>
      <c r="R2173" s="2519"/>
      <c r="S2173" s="2519"/>
    </row>
    <row r="2174" spans="1:19" s="2358" customFormat="1" outlineLevel="1">
      <c r="A2174" s="2435" t="str">
        <f t="shared" si="425"/>
        <v/>
      </c>
      <c r="B2174" s="2610" t="s">
        <v>1482</v>
      </c>
      <c r="C2174" s="2521"/>
      <c r="D2174" s="2405">
        <v>0</v>
      </c>
      <c r="E2174" s="2447" t="s">
        <v>3810</v>
      </c>
      <c r="F2174" s="2405" t="s">
        <v>2563</v>
      </c>
      <c r="G2174" s="2703">
        <f>G2171*3</f>
        <v>0</v>
      </c>
      <c r="H2174" s="2517">
        <v>46000</v>
      </c>
      <c r="I2174" s="2517"/>
      <c r="J2174" s="2517">
        <v>0</v>
      </c>
      <c r="K2174" s="2517">
        <v>0</v>
      </c>
      <c r="L2174" s="2517">
        <f t="shared" si="426"/>
        <v>0</v>
      </c>
      <c r="M2174" s="2517">
        <f t="shared" ref="M2174:M2183" si="429">I2174*G2174</f>
        <v>0</v>
      </c>
      <c r="N2174" s="2517">
        <f t="shared" si="427"/>
        <v>0</v>
      </c>
      <c r="O2174" s="2517">
        <f t="shared" si="428"/>
        <v>0</v>
      </c>
      <c r="P2174" s="2694"/>
      <c r="Q2174" s="2519"/>
      <c r="R2174" s="2519"/>
      <c r="S2174" s="2519"/>
    </row>
    <row r="2175" spans="1:19" s="2358" customFormat="1" outlineLevel="1">
      <c r="A2175" s="2435" t="str">
        <f t="shared" si="425"/>
        <v/>
      </c>
      <c r="B2175" s="2610" t="s">
        <v>1480</v>
      </c>
      <c r="C2175" s="2521"/>
      <c r="D2175" s="2405">
        <v>0</v>
      </c>
      <c r="E2175" s="2447" t="s">
        <v>6420</v>
      </c>
      <c r="F2175" s="2405" t="s">
        <v>2563</v>
      </c>
      <c r="G2175" s="2703">
        <f>G2174</f>
        <v>0</v>
      </c>
      <c r="H2175" s="2517">
        <v>77000</v>
      </c>
      <c r="I2175" s="2517"/>
      <c r="J2175" s="2517">
        <v>0</v>
      </c>
      <c r="K2175" s="2517">
        <v>0</v>
      </c>
      <c r="L2175" s="2517">
        <f t="shared" si="426"/>
        <v>0</v>
      </c>
      <c r="M2175" s="2517">
        <f t="shared" si="429"/>
        <v>0</v>
      </c>
      <c r="N2175" s="2517">
        <f t="shared" si="427"/>
        <v>0</v>
      </c>
      <c r="O2175" s="2517">
        <f t="shared" si="428"/>
        <v>0</v>
      </c>
      <c r="P2175" s="2694"/>
      <c r="Q2175" s="2519"/>
      <c r="R2175" s="2519"/>
      <c r="S2175" s="2519"/>
    </row>
    <row r="2176" spans="1:19" s="2358" customFormat="1" outlineLevel="1">
      <c r="A2176" s="2435" t="str">
        <f t="shared" si="425"/>
        <v/>
      </c>
      <c r="B2176" s="2610" t="s">
        <v>5761</v>
      </c>
      <c r="C2176" s="2521"/>
      <c r="D2176" s="2405">
        <v>0</v>
      </c>
      <c r="E2176" s="2447" t="s">
        <v>5762</v>
      </c>
      <c r="F2176" s="2405" t="s">
        <v>2563</v>
      </c>
      <c r="G2176" s="2703">
        <f>+G2171*3</f>
        <v>0</v>
      </c>
      <c r="H2176" s="2517">
        <v>218200</v>
      </c>
      <c r="I2176" s="2517"/>
      <c r="J2176" s="2517">
        <v>0</v>
      </c>
      <c r="K2176" s="2517">
        <v>0</v>
      </c>
      <c r="L2176" s="2517">
        <f t="shared" si="426"/>
        <v>0</v>
      </c>
      <c r="M2176" s="2517">
        <f t="shared" si="429"/>
        <v>0</v>
      </c>
      <c r="N2176" s="2517">
        <f t="shared" si="427"/>
        <v>0</v>
      </c>
      <c r="O2176" s="2517">
        <f t="shared" si="428"/>
        <v>0</v>
      </c>
      <c r="P2176" s="2702"/>
      <c r="Q2176" s="2519"/>
      <c r="R2176" s="2519"/>
      <c r="S2176" s="2519"/>
    </row>
    <row r="2177" spans="1:19" s="2358" customFormat="1" outlineLevel="1">
      <c r="A2177" s="2435" t="str">
        <f t="shared" si="425"/>
        <v/>
      </c>
      <c r="B2177" s="2610" t="s">
        <v>5767</v>
      </c>
      <c r="C2177" s="2521"/>
      <c r="D2177" s="2405">
        <v>0</v>
      </c>
      <c r="E2177" s="2447" t="s">
        <v>5768</v>
      </c>
      <c r="F2177" s="2405" t="s">
        <v>2563</v>
      </c>
      <c r="G2177" s="2703">
        <f>+G2171*3</f>
        <v>0</v>
      </c>
      <c r="H2177" s="2517">
        <v>39100</v>
      </c>
      <c r="I2177" s="2517"/>
      <c r="J2177" s="2517">
        <v>0</v>
      </c>
      <c r="K2177" s="2517">
        <v>0</v>
      </c>
      <c r="L2177" s="2517">
        <f t="shared" si="426"/>
        <v>0</v>
      </c>
      <c r="M2177" s="2517">
        <f t="shared" si="429"/>
        <v>0</v>
      </c>
      <c r="N2177" s="2517">
        <f t="shared" si="427"/>
        <v>0</v>
      </c>
      <c r="O2177" s="2517">
        <f t="shared" si="428"/>
        <v>0</v>
      </c>
      <c r="P2177" s="2702"/>
      <c r="Q2177" s="2519"/>
      <c r="R2177" s="2519"/>
      <c r="S2177" s="2519"/>
    </row>
    <row r="2178" spans="1:19" s="2358" customFormat="1" outlineLevel="1">
      <c r="A2178" s="2435" t="str">
        <f t="shared" si="425"/>
        <v/>
      </c>
      <c r="B2178" s="2610" t="s">
        <v>5769</v>
      </c>
      <c r="C2178" s="2521"/>
      <c r="D2178" s="2405">
        <v>0</v>
      </c>
      <c r="E2178" s="2447" t="s">
        <v>5770</v>
      </c>
      <c r="F2178" s="2405" t="s">
        <v>2563</v>
      </c>
      <c r="G2178" s="2703">
        <f>+G2171*3</f>
        <v>0</v>
      </c>
      <c r="H2178" s="2517">
        <v>56700</v>
      </c>
      <c r="I2178" s="2517"/>
      <c r="J2178" s="2517">
        <v>0</v>
      </c>
      <c r="K2178" s="2517">
        <v>0</v>
      </c>
      <c r="L2178" s="2517">
        <f t="shared" si="426"/>
        <v>0</v>
      </c>
      <c r="M2178" s="2517">
        <f t="shared" si="429"/>
        <v>0</v>
      </c>
      <c r="N2178" s="2517">
        <f t="shared" si="427"/>
        <v>0</v>
      </c>
      <c r="O2178" s="2517">
        <f t="shared" si="428"/>
        <v>0</v>
      </c>
      <c r="P2178" s="2702"/>
      <c r="Q2178" s="2519"/>
      <c r="R2178" s="2519"/>
      <c r="S2178" s="2519"/>
    </row>
    <row r="2179" spans="1:19" s="2358" customFormat="1" outlineLevel="1">
      <c r="A2179" s="2435" t="str">
        <f t="shared" si="425"/>
        <v/>
      </c>
      <c r="B2179" s="2610" t="s">
        <v>6338</v>
      </c>
      <c r="C2179" s="2521"/>
      <c r="D2179" s="2405"/>
      <c r="E2179" s="2447" t="s">
        <v>5760</v>
      </c>
      <c r="F2179" s="2405" t="s">
        <v>3463</v>
      </c>
      <c r="G2179" s="2703">
        <f>G2171*3*3</f>
        <v>0</v>
      </c>
      <c r="H2179" s="2517">
        <v>25000</v>
      </c>
      <c r="I2179" s="2517"/>
      <c r="J2179" s="2517">
        <v>0</v>
      </c>
      <c r="K2179" s="2517">
        <v>0</v>
      </c>
      <c r="L2179" s="2517">
        <f t="shared" si="426"/>
        <v>0</v>
      </c>
      <c r="M2179" s="2517">
        <f t="shared" si="429"/>
        <v>0</v>
      </c>
      <c r="N2179" s="2517">
        <f t="shared" si="427"/>
        <v>0</v>
      </c>
      <c r="O2179" s="2517">
        <f t="shared" si="428"/>
        <v>0</v>
      </c>
      <c r="P2179" s="2702"/>
      <c r="Q2179" s="2519"/>
      <c r="R2179" s="2519"/>
      <c r="S2179" s="2519"/>
    </row>
    <row r="2180" spans="1:19" s="2358" customFormat="1" outlineLevel="1">
      <c r="A2180" s="2435" t="str">
        <f t="shared" si="425"/>
        <v/>
      </c>
      <c r="B2180" s="2505" t="s">
        <v>696</v>
      </c>
      <c r="C2180" s="2642"/>
      <c r="D2180" s="2405">
        <v>0</v>
      </c>
      <c r="E2180" s="2447" t="s">
        <v>2952</v>
      </c>
      <c r="F2180" s="2405" t="s">
        <v>2563</v>
      </c>
      <c r="G2180" s="2703">
        <f>G2171*3</f>
        <v>0</v>
      </c>
      <c r="H2180" s="2517">
        <v>205000</v>
      </c>
      <c r="I2180" s="2517"/>
      <c r="J2180" s="2517">
        <v>0</v>
      </c>
      <c r="K2180" s="2517">
        <v>0</v>
      </c>
      <c r="L2180" s="2517">
        <f t="shared" si="426"/>
        <v>0</v>
      </c>
      <c r="M2180" s="2517">
        <f t="shared" si="429"/>
        <v>0</v>
      </c>
      <c r="N2180" s="2517">
        <f t="shared" si="427"/>
        <v>0</v>
      </c>
      <c r="O2180" s="2517">
        <f t="shared" si="428"/>
        <v>0</v>
      </c>
      <c r="P2180" s="2694"/>
      <c r="Q2180" s="2519"/>
      <c r="R2180" s="2519"/>
      <c r="S2180" s="2519"/>
    </row>
    <row r="2181" spans="1:19" s="2358" customFormat="1" outlineLevel="1">
      <c r="A2181" s="2435" t="str">
        <f t="shared" si="425"/>
        <v/>
      </c>
      <c r="B2181" s="2505" t="s">
        <v>1268</v>
      </c>
      <c r="C2181" s="2521"/>
      <c r="D2181" s="2405">
        <v>0</v>
      </c>
      <c r="E2181" s="2447" t="s">
        <v>2831</v>
      </c>
      <c r="F2181" s="2405" t="s">
        <v>2563</v>
      </c>
      <c r="G2181" s="2703">
        <f>G2180</f>
        <v>0</v>
      </c>
      <c r="H2181" s="2517">
        <v>65000</v>
      </c>
      <c r="I2181" s="2517"/>
      <c r="J2181" s="2517">
        <v>0</v>
      </c>
      <c r="K2181" s="2517">
        <v>0</v>
      </c>
      <c r="L2181" s="2517">
        <f t="shared" si="426"/>
        <v>0</v>
      </c>
      <c r="M2181" s="2517">
        <f t="shared" si="429"/>
        <v>0</v>
      </c>
      <c r="N2181" s="2517">
        <f t="shared" si="427"/>
        <v>0</v>
      </c>
      <c r="O2181" s="2517">
        <f t="shared" si="428"/>
        <v>0</v>
      </c>
      <c r="P2181" s="2694"/>
      <c r="Q2181" s="2519"/>
      <c r="R2181" s="2519"/>
      <c r="S2181" s="2519"/>
    </row>
    <row r="2182" spans="1:19" s="2358" customFormat="1" outlineLevel="1">
      <c r="A2182" s="2435" t="str">
        <f t="shared" si="425"/>
        <v/>
      </c>
      <c r="B2182" s="2505" t="s">
        <v>1568</v>
      </c>
      <c r="C2182" s="2521"/>
      <c r="D2182" s="2405" t="s">
        <v>5622</v>
      </c>
      <c r="E2182" s="2447" t="s">
        <v>3289</v>
      </c>
      <c r="F2182" s="2405" t="s">
        <v>2445</v>
      </c>
      <c r="G2182" s="2703">
        <f>G2181</f>
        <v>0</v>
      </c>
      <c r="H2182" s="2517"/>
      <c r="I2182" s="2517"/>
      <c r="J2182" s="2517">
        <v>58277.49</v>
      </c>
      <c r="K2182" s="2517"/>
      <c r="L2182" s="2517">
        <f t="shared" si="426"/>
        <v>0</v>
      </c>
      <c r="M2182" s="2517">
        <f t="shared" si="429"/>
        <v>0</v>
      </c>
      <c r="N2182" s="2517">
        <f t="shared" si="427"/>
        <v>0</v>
      </c>
      <c r="O2182" s="2517">
        <f t="shared" si="428"/>
        <v>0</v>
      </c>
      <c r="P2182" s="2694"/>
      <c r="Q2182" s="2519"/>
      <c r="R2182" s="2519"/>
      <c r="S2182" s="2519"/>
    </row>
    <row r="2183" spans="1:19" s="2358" customFormat="1" outlineLevel="1">
      <c r="A2183" s="2435" t="str">
        <f t="shared" si="425"/>
        <v/>
      </c>
      <c r="B2183" s="2505" t="s">
        <v>1528</v>
      </c>
      <c r="C2183" s="2521"/>
      <c r="D2183" s="2405" t="s">
        <v>5633</v>
      </c>
      <c r="E2183" s="2447" t="s">
        <v>3310</v>
      </c>
      <c r="F2183" s="2405" t="s">
        <v>1827</v>
      </c>
      <c r="G2183" s="2703">
        <f>G2173</f>
        <v>0</v>
      </c>
      <c r="H2183" s="2517"/>
      <c r="I2183" s="2517"/>
      <c r="J2183" s="2517">
        <v>13915</v>
      </c>
      <c r="K2183" s="2517"/>
      <c r="L2183" s="2517">
        <f t="shared" si="426"/>
        <v>0</v>
      </c>
      <c r="M2183" s="2517">
        <f t="shared" si="429"/>
        <v>0</v>
      </c>
      <c r="N2183" s="2517">
        <f t="shared" si="427"/>
        <v>0</v>
      </c>
      <c r="O2183" s="2517">
        <f t="shared" si="428"/>
        <v>0</v>
      </c>
      <c r="P2183" s="2694"/>
      <c r="Q2183" s="2519"/>
      <c r="R2183" s="2519"/>
      <c r="S2183" s="2519"/>
    </row>
    <row r="2184" spans="1:19" s="2358" customFormat="1" outlineLevel="1">
      <c r="A2184" s="2435" t="str">
        <f t="shared" si="425"/>
        <v/>
      </c>
      <c r="B2184" s="2514"/>
      <c r="C2184" s="2511">
        <f>IF(G2184&gt;0,C2171+1,C2171)</f>
        <v>0</v>
      </c>
      <c r="D2184" s="2512"/>
      <c r="E2184" s="2513" t="s">
        <v>3726</v>
      </c>
      <c r="F2184" s="2511" t="s">
        <v>2391</v>
      </c>
      <c r="G2184" s="2704">
        <f>G2089*0</f>
        <v>0</v>
      </c>
      <c r="H2184" s="2517"/>
      <c r="I2184" s="2517"/>
      <c r="J2184" s="2517"/>
      <c r="K2184" s="2517"/>
      <c r="L2184" s="2517"/>
      <c r="M2184" s="2517"/>
      <c r="N2184" s="2517"/>
      <c r="O2184" s="2517"/>
      <c r="P2184" s="2518"/>
      <c r="Q2184" s="2519"/>
      <c r="R2184" s="2519"/>
      <c r="S2184" s="2519"/>
    </row>
    <row r="2185" spans="1:19" s="2358" customFormat="1" ht="14.4" outlineLevel="1">
      <c r="A2185" s="2435" t="str">
        <f>A2184</f>
        <v/>
      </c>
      <c r="B2185" s="2514"/>
      <c r="C2185" s="2511"/>
      <c r="D2185" s="2512"/>
      <c r="E2185" s="2527" t="s">
        <v>6207</v>
      </c>
      <c r="F2185" s="2511"/>
      <c r="G2185" s="2704"/>
      <c r="H2185" s="2517"/>
      <c r="I2185" s="2517"/>
      <c r="J2185" s="2517"/>
      <c r="K2185" s="2517"/>
      <c r="L2185" s="2517"/>
      <c r="M2185" s="2517"/>
      <c r="N2185" s="2517"/>
      <c r="O2185" s="2517"/>
      <c r="P2185" s="2518"/>
      <c r="Q2185" s="2519"/>
      <c r="R2185" s="2519"/>
      <c r="S2185" s="2519"/>
    </row>
    <row r="2186" spans="1:19" s="2358" customFormat="1" outlineLevel="1">
      <c r="A2186" s="2435" t="str">
        <f>IF(G2186&lt;&gt;0,1,"")</f>
        <v/>
      </c>
      <c r="B2186" s="2514" t="s">
        <v>1492</v>
      </c>
      <c r="C2186" s="2521"/>
      <c r="D2186" s="2405">
        <v>0</v>
      </c>
      <c r="E2186" s="2447" t="s">
        <v>3550</v>
      </c>
      <c r="F2186" s="2405" t="s">
        <v>1827</v>
      </c>
      <c r="G2186" s="2703">
        <f>G2184*2</f>
        <v>0</v>
      </c>
      <c r="H2186" s="2517">
        <v>63200</v>
      </c>
      <c r="I2186" s="2517"/>
      <c r="J2186" s="2517">
        <v>0</v>
      </c>
      <c r="K2186" s="2517">
        <v>0</v>
      </c>
      <c r="L2186" s="2517">
        <f>H2186*G2186</f>
        <v>0</v>
      </c>
      <c r="M2186" s="2517">
        <f>I2186*G2186</f>
        <v>0</v>
      </c>
      <c r="N2186" s="2517">
        <f>J2186*G2186</f>
        <v>0</v>
      </c>
      <c r="O2186" s="2517">
        <f>K2186*G2186</f>
        <v>0</v>
      </c>
      <c r="P2186" s="2518"/>
      <c r="Q2186" s="2519"/>
      <c r="R2186" s="2519"/>
      <c r="S2186" s="2519"/>
    </row>
    <row r="2187" spans="1:19" s="2358" customFormat="1" outlineLevel="1">
      <c r="A2187" s="2435" t="str">
        <f>IF(G2187&lt;&gt;0,1,"")</f>
        <v/>
      </c>
      <c r="B2187" s="2514" t="s">
        <v>86</v>
      </c>
      <c r="C2187" s="2521"/>
      <c r="D2187" s="2405">
        <v>0</v>
      </c>
      <c r="E2187" s="2447" t="s">
        <v>5859</v>
      </c>
      <c r="F2187" s="2405" t="s">
        <v>2563</v>
      </c>
      <c r="G2187" s="2703">
        <f>G2184</f>
        <v>0</v>
      </c>
      <c r="H2187" s="2517">
        <v>45400</v>
      </c>
      <c r="I2187" s="2517"/>
      <c r="J2187" s="2517">
        <v>0</v>
      </c>
      <c r="K2187" s="2517">
        <v>0</v>
      </c>
      <c r="L2187" s="2517">
        <f>H2187*G2187</f>
        <v>0</v>
      </c>
      <c r="M2187" s="2517">
        <f>I2187*G2187</f>
        <v>0</v>
      </c>
      <c r="N2187" s="2517">
        <f>J2187*G2187</f>
        <v>0</v>
      </c>
      <c r="O2187" s="2517">
        <f>K2187*G2187</f>
        <v>0</v>
      </c>
      <c r="P2187" s="2518"/>
      <c r="Q2187" s="2519"/>
      <c r="R2187" s="2519"/>
      <c r="S2187" s="2519"/>
    </row>
    <row r="2188" spans="1:19" s="2358" customFormat="1" outlineLevel="1">
      <c r="A2188" s="2435" t="str">
        <f>IF(G2188&lt;&gt;0,1,"")</f>
        <v/>
      </c>
      <c r="B2188" s="2514" t="s">
        <v>931</v>
      </c>
      <c r="C2188" s="2521"/>
      <c r="D2188" s="2405">
        <v>0</v>
      </c>
      <c r="E2188" s="2447" t="s">
        <v>3592</v>
      </c>
      <c r="F2188" s="2405" t="s">
        <v>2563</v>
      </c>
      <c r="G2188" s="2703">
        <f>G2184*2</f>
        <v>0</v>
      </c>
      <c r="H2188" s="2517">
        <v>25800</v>
      </c>
      <c r="I2188" s="2517"/>
      <c r="J2188" s="2517">
        <v>0</v>
      </c>
      <c r="K2188" s="2517">
        <v>0</v>
      </c>
      <c r="L2188" s="2517">
        <f>H2188*G2188</f>
        <v>0</v>
      </c>
      <c r="M2188" s="2517">
        <f>I2188*G2188</f>
        <v>0</v>
      </c>
      <c r="N2188" s="2517">
        <f>J2188*G2188</f>
        <v>0</v>
      </c>
      <c r="O2188" s="2517">
        <f>K2188*G2188</f>
        <v>0</v>
      </c>
      <c r="P2188" s="2518"/>
      <c r="Q2188" s="2519"/>
      <c r="R2188" s="2519"/>
      <c r="S2188" s="2519"/>
    </row>
    <row r="2189" spans="1:19" s="2358" customFormat="1" outlineLevel="1">
      <c r="A2189" s="2435" t="str">
        <f>IF(G2189&lt;&gt;0,1,"")</f>
        <v/>
      </c>
      <c r="B2189" s="2514" t="s">
        <v>930</v>
      </c>
      <c r="C2189" s="2521"/>
      <c r="D2189" s="2405">
        <v>0</v>
      </c>
      <c r="E2189" s="2447" t="s">
        <v>3596</v>
      </c>
      <c r="F2189" s="2405" t="s">
        <v>2563</v>
      </c>
      <c r="G2189" s="2703">
        <f>G2188</f>
        <v>0</v>
      </c>
      <c r="H2189" s="2517">
        <v>21500</v>
      </c>
      <c r="I2189" s="2517"/>
      <c r="J2189" s="2517">
        <v>0</v>
      </c>
      <c r="K2189" s="2517">
        <v>0</v>
      </c>
      <c r="L2189" s="2517">
        <f>H2189*G2189</f>
        <v>0</v>
      </c>
      <c r="M2189" s="2517">
        <f>I2189*G2189</f>
        <v>0</v>
      </c>
      <c r="N2189" s="2517">
        <f>J2189*G2189</f>
        <v>0</v>
      </c>
      <c r="O2189" s="2517">
        <f>K2189*G2189</f>
        <v>0</v>
      </c>
      <c r="P2189" s="2518"/>
      <c r="Q2189" s="2519"/>
      <c r="R2189" s="2519"/>
      <c r="S2189" s="2519"/>
    </row>
    <row r="2190" spans="1:19" s="2358" customFormat="1" outlineLevel="1">
      <c r="A2190" s="2435" t="str">
        <f>IF(G2190&lt;&gt;0,1,"")</f>
        <v/>
      </c>
      <c r="B2190" s="2505"/>
      <c r="C2190" s="2511">
        <f>IF(G2190&gt;0,C2184+1,C2184)</f>
        <v>0</v>
      </c>
      <c r="D2190" s="2512"/>
      <c r="E2190" s="2513" t="s">
        <v>6339</v>
      </c>
      <c r="F2190" s="2511" t="s">
        <v>2391</v>
      </c>
      <c r="G2190" s="2703">
        <f>G2147</f>
        <v>0</v>
      </c>
      <c r="H2190" s="2517"/>
      <c r="I2190" s="2517"/>
      <c r="J2190" s="2517"/>
      <c r="K2190" s="2517"/>
      <c r="L2190" s="2517"/>
      <c r="M2190" s="2517"/>
      <c r="N2190" s="2517"/>
      <c r="O2190" s="2517"/>
      <c r="P2190" s="2694"/>
      <c r="Q2190" s="2519"/>
      <c r="R2190" s="2519"/>
      <c r="S2190" s="2519"/>
    </row>
    <row r="2191" spans="1:19" s="2358" customFormat="1" ht="14.4" outlineLevel="1">
      <c r="A2191" s="2435" t="str">
        <f>A2190</f>
        <v/>
      </c>
      <c r="B2191" s="2505"/>
      <c r="C2191" s="2511"/>
      <c r="D2191" s="2512"/>
      <c r="E2191" s="2527" t="s">
        <v>6207</v>
      </c>
      <c r="F2191" s="2511"/>
      <c r="G2191" s="2703"/>
      <c r="H2191" s="2517"/>
      <c r="I2191" s="2517"/>
      <c r="J2191" s="2517"/>
      <c r="K2191" s="2517"/>
      <c r="L2191" s="2517"/>
      <c r="M2191" s="2517"/>
      <c r="N2191" s="2517"/>
      <c r="O2191" s="2517"/>
      <c r="P2191" s="2694"/>
      <c r="Q2191" s="2519"/>
      <c r="R2191" s="2519"/>
      <c r="S2191" s="2519"/>
    </row>
    <row r="2192" spans="1:19" s="2358" customFormat="1" outlineLevel="1">
      <c r="A2192" s="2435" t="str">
        <f>IF(G2192&lt;&gt;0,1,"")</f>
        <v/>
      </c>
      <c r="B2192" s="2514" t="s">
        <v>32</v>
      </c>
      <c r="C2192" s="2521"/>
      <c r="D2192" s="2405">
        <v>0</v>
      </c>
      <c r="E2192" s="2447" t="s">
        <v>2803</v>
      </c>
      <c r="F2192" s="2405" t="s">
        <v>2538</v>
      </c>
      <c r="G2192" s="2703">
        <f>G2190*7</f>
        <v>0</v>
      </c>
      <c r="H2192" s="2517">
        <v>236300</v>
      </c>
      <c r="I2192" s="2517"/>
      <c r="J2192" s="2517">
        <v>0</v>
      </c>
      <c r="K2192" s="2517">
        <v>0</v>
      </c>
      <c r="L2192" s="2517">
        <f>H2192*G2192</f>
        <v>0</v>
      </c>
      <c r="M2192" s="2517">
        <f>I2192*G2192</f>
        <v>0</v>
      </c>
      <c r="N2192" s="2517">
        <f>J2192*G2192</f>
        <v>0</v>
      </c>
      <c r="O2192" s="2517">
        <f>K2192*G2192</f>
        <v>0</v>
      </c>
      <c r="P2192" s="2694"/>
      <c r="Q2192" s="2519"/>
      <c r="R2192" s="2519"/>
      <c r="S2192" s="2519"/>
    </row>
    <row r="2193" spans="1:19" s="2358" customFormat="1" outlineLevel="1">
      <c r="A2193" s="2435" t="str">
        <f>IF(G2193&lt;&gt;0,1,"")</f>
        <v/>
      </c>
      <c r="B2193" s="2514" t="s">
        <v>1574</v>
      </c>
      <c r="C2193" s="2521"/>
      <c r="D2193" s="2405">
        <v>0</v>
      </c>
      <c r="E2193" s="2447" t="s">
        <v>2807</v>
      </c>
      <c r="F2193" s="2405" t="s">
        <v>2538</v>
      </c>
      <c r="G2193" s="2703">
        <f>(7*3)*G2190</f>
        <v>0</v>
      </c>
      <c r="H2193" s="2517">
        <v>567100</v>
      </c>
      <c r="I2193" s="2517"/>
      <c r="J2193" s="2517">
        <v>0</v>
      </c>
      <c r="K2193" s="2517">
        <v>0</v>
      </c>
      <c r="L2193" s="2517">
        <f>H2193*G2193</f>
        <v>0</v>
      </c>
      <c r="M2193" s="2517">
        <f>I2193*G2193</f>
        <v>0</v>
      </c>
      <c r="N2193" s="2517">
        <f>J2193*G2193</f>
        <v>0</v>
      </c>
      <c r="O2193" s="2517">
        <f>K2193*G2193</f>
        <v>0</v>
      </c>
      <c r="P2193" s="2694"/>
      <c r="Q2193" s="2519"/>
      <c r="R2193" s="2519"/>
      <c r="S2193" s="2519"/>
    </row>
    <row r="2194" spans="1:19" s="2358" customFormat="1" outlineLevel="1">
      <c r="A2194" s="2435" t="str">
        <f>IF(G2194&lt;&gt;0,1,"")</f>
        <v/>
      </c>
      <c r="B2194" s="2514" t="s">
        <v>1308</v>
      </c>
      <c r="C2194" s="2521"/>
      <c r="D2194" s="2405" t="s">
        <v>5790</v>
      </c>
      <c r="E2194" s="2447" t="s">
        <v>3500</v>
      </c>
      <c r="F2194" s="2405" t="s">
        <v>2563</v>
      </c>
      <c r="G2194" s="2703">
        <f>G2190</f>
        <v>0</v>
      </c>
      <c r="H2194" s="2517">
        <v>27000</v>
      </c>
      <c r="I2194" s="2517"/>
      <c r="J2194" s="2517">
        <v>27280.17</v>
      </c>
      <c r="K2194" s="2517">
        <v>3887.8325465000003</v>
      </c>
      <c r="L2194" s="2517">
        <f>H2194*G2194</f>
        <v>0</v>
      </c>
      <c r="M2194" s="2517">
        <f>I2194*G2194</f>
        <v>0</v>
      </c>
      <c r="N2194" s="2517">
        <f>J2194*G2194</f>
        <v>0</v>
      </c>
      <c r="O2194" s="2517">
        <f>K2194*G2194</f>
        <v>0</v>
      </c>
      <c r="P2194" s="2694"/>
      <c r="Q2194" s="2519"/>
      <c r="R2194" s="2519"/>
      <c r="S2194" s="2519"/>
    </row>
    <row r="2195" spans="1:19" s="2358" customFormat="1" outlineLevel="1">
      <c r="A2195" s="2435" t="str">
        <f>IF(G2195&lt;&gt;0,1,"")</f>
        <v/>
      </c>
      <c r="B2195" s="2514" t="s">
        <v>2162</v>
      </c>
      <c r="C2195" s="2521"/>
      <c r="D2195" s="2405" t="s">
        <v>5793</v>
      </c>
      <c r="E2195" s="2447" t="s">
        <v>3504</v>
      </c>
      <c r="F2195" s="2405" t="s">
        <v>2563</v>
      </c>
      <c r="G2195" s="2703">
        <f>G2190*3</f>
        <v>0</v>
      </c>
      <c r="H2195" s="2517">
        <v>70000</v>
      </c>
      <c r="I2195" s="2517"/>
      <c r="J2195" s="2517">
        <v>50013.645000000004</v>
      </c>
      <c r="K2195" s="2517">
        <v>5554.0464950000005</v>
      </c>
      <c r="L2195" s="2517">
        <f>H2195*G2195</f>
        <v>0</v>
      </c>
      <c r="M2195" s="2517">
        <f>I2195*G2195</f>
        <v>0</v>
      </c>
      <c r="N2195" s="2517">
        <f>J2195*G2195</f>
        <v>0</v>
      </c>
      <c r="O2195" s="2517">
        <f>K2195*G2195</f>
        <v>0</v>
      </c>
      <c r="P2195" s="2694"/>
      <c r="Q2195" s="2519"/>
      <c r="R2195" s="2519"/>
      <c r="S2195" s="2519"/>
    </row>
    <row r="2196" spans="1:19" s="2358" customFormat="1" outlineLevel="1">
      <c r="A2196" s="2435" t="str">
        <f t="shared" ref="A2196:A2208" si="430">IF(G2196&lt;&gt;0,1,"")</f>
        <v/>
      </c>
      <c r="B2196" s="2514" t="s">
        <v>93</v>
      </c>
      <c r="C2196" s="2521"/>
      <c r="D2196" s="2405">
        <v>0</v>
      </c>
      <c r="E2196" s="2447" t="s">
        <v>3514</v>
      </c>
      <c r="F2196" s="2405" t="s">
        <v>2563</v>
      </c>
      <c r="G2196" s="2703">
        <f>G2194</f>
        <v>0</v>
      </c>
      <c r="H2196" s="2517">
        <v>4000</v>
      </c>
      <c r="I2196" s="2517"/>
      <c r="J2196" s="2517">
        <v>0</v>
      </c>
      <c r="K2196" s="2517">
        <v>0</v>
      </c>
      <c r="L2196" s="2517">
        <f t="shared" ref="L2196:L2208" si="431">H2196*G2196</f>
        <v>0</v>
      </c>
      <c r="M2196" s="2517">
        <f t="shared" ref="M2196:M2208" si="432">I2196*G2196</f>
        <v>0</v>
      </c>
      <c r="N2196" s="2517">
        <f t="shared" ref="N2196:N2208" si="433">J2196*G2196</f>
        <v>0</v>
      </c>
      <c r="O2196" s="2517">
        <f t="shared" ref="O2196:O2208" si="434">K2196*G2196</f>
        <v>0</v>
      </c>
      <c r="P2196" s="2694"/>
      <c r="Q2196" s="2519"/>
      <c r="R2196" s="2519"/>
      <c r="S2196" s="2519"/>
    </row>
    <row r="2197" spans="1:19" s="2358" customFormat="1" outlineLevel="1">
      <c r="A2197" s="2435" t="str">
        <f t="shared" si="430"/>
        <v/>
      </c>
      <c r="B2197" s="2514" t="s">
        <v>90</v>
      </c>
      <c r="C2197" s="2521"/>
      <c r="D2197" s="2405">
        <v>0</v>
      </c>
      <c r="E2197" s="2447" t="s">
        <v>3518</v>
      </c>
      <c r="F2197" s="2405" t="s">
        <v>2563</v>
      </c>
      <c r="G2197" s="2703">
        <f>G2195</f>
        <v>0</v>
      </c>
      <c r="H2197" s="2517">
        <v>6000</v>
      </c>
      <c r="I2197" s="2517"/>
      <c r="J2197" s="2517">
        <v>0</v>
      </c>
      <c r="K2197" s="2517">
        <v>0</v>
      </c>
      <c r="L2197" s="2517">
        <f t="shared" si="431"/>
        <v>0</v>
      </c>
      <c r="M2197" s="2517">
        <f t="shared" si="432"/>
        <v>0</v>
      </c>
      <c r="N2197" s="2517">
        <f t="shared" si="433"/>
        <v>0</v>
      </c>
      <c r="O2197" s="2517">
        <f t="shared" si="434"/>
        <v>0</v>
      </c>
      <c r="P2197" s="2694"/>
      <c r="Q2197" s="2519"/>
      <c r="R2197" s="2519"/>
      <c r="S2197" s="2519"/>
    </row>
    <row r="2198" spans="1:19" s="2358" customFormat="1" outlineLevel="1">
      <c r="A2198" s="2435" t="str">
        <f t="shared" si="430"/>
        <v/>
      </c>
      <c r="B2198" s="2514" t="s">
        <v>282</v>
      </c>
      <c r="C2198" s="2521"/>
      <c r="D2198" s="2405">
        <v>0</v>
      </c>
      <c r="E2198" s="2447" t="s">
        <v>3550</v>
      </c>
      <c r="F2198" s="2405" t="s">
        <v>1827</v>
      </c>
      <c r="G2198" s="2703">
        <f>+G2190*5</f>
        <v>0</v>
      </c>
      <c r="H2198" s="2517">
        <v>63200</v>
      </c>
      <c r="I2198" s="2517"/>
      <c r="J2198" s="2517">
        <v>0</v>
      </c>
      <c r="K2198" s="2517">
        <v>0</v>
      </c>
      <c r="L2198" s="2517">
        <f t="shared" si="431"/>
        <v>0</v>
      </c>
      <c r="M2198" s="2517">
        <f t="shared" si="432"/>
        <v>0</v>
      </c>
      <c r="N2198" s="2517">
        <f t="shared" si="433"/>
        <v>0</v>
      </c>
      <c r="O2198" s="2517">
        <f t="shared" si="434"/>
        <v>0</v>
      </c>
      <c r="P2198" s="2694"/>
      <c r="Q2198" s="2519"/>
      <c r="R2198" s="2519"/>
      <c r="S2198" s="2519"/>
    </row>
    <row r="2199" spans="1:19" s="2358" customFormat="1" outlineLevel="1">
      <c r="A2199" s="2435" t="str">
        <f t="shared" si="430"/>
        <v/>
      </c>
      <c r="B2199" s="2514" t="s">
        <v>86</v>
      </c>
      <c r="C2199" s="2521"/>
      <c r="D2199" s="2405">
        <v>0</v>
      </c>
      <c r="E2199" s="2447" t="s">
        <v>5859</v>
      </c>
      <c r="F2199" s="2405" t="s">
        <v>2563</v>
      </c>
      <c r="G2199" s="2703">
        <f>G2190</f>
        <v>0</v>
      </c>
      <c r="H2199" s="2517">
        <v>45400</v>
      </c>
      <c r="I2199" s="2517"/>
      <c r="J2199" s="2517">
        <v>0</v>
      </c>
      <c r="K2199" s="2517">
        <v>0</v>
      </c>
      <c r="L2199" s="2517">
        <f t="shared" si="431"/>
        <v>0</v>
      </c>
      <c r="M2199" s="2517">
        <f t="shared" si="432"/>
        <v>0</v>
      </c>
      <c r="N2199" s="2517">
        <f t="shared" si="433"/>
        <v>0</v>
      </c>
      <c r="O2199" s="2517">
        <f t="shared" si="434"/>
        <v>0</v>
      </c>
      <c r="P2199" s="2694"/>
      <c r="Q2199" s="2519"/>
      <c r="R2199" s="2519"/>
      <c r="S2199" s="2519"/>
    </row>
    <row r="2200" spans="1:19" s="2358" customFormat="1" outlineLevel="1">
      <c r="A2200" s="2435" t="str">
        <f t="shared" si="430"/>
        <v/>
      </c>
      <c r="B2200" s="2514" t="s">
        <v>1994</v>
      </c>
      <c r="C2200" s="2521"/>
      <c r="D2200" s="2405">
        <v>0</v>
      </c>
      <c r="E2200" s="2447" t="s">
        <v>5318</v>
      </c>
      <c r="F2200" s="2405" t="s">
        <v>2445</v>
      </c>
      <c r="G2200" s="2703">
        <f>G2190*2</f>
        <v>0</v>
      </c>
      <c r="H2200" s="2517">
        <v>49000</v>
      </c>
      <c r="I2200" s="2517"/>
      <c r="J2200" s="2517">
        <v>0</v>
      </c>
      <c r="K2200" s="2517">
        <v>0</v>
      </c>
      <c r="L2200" s="2517">
        <f t="shared" si="431"/>
        <v>0</v>
      </c>
      <c r="M2200" s="2517">
        <f t="shared" si="432"/>
        <v>0</v>
      </c>
      <c r="N2200" s="2517">
        <f t="shared" si="433"/>
        <v>0</v>
      </c>
      <c r="O2200" s="2517">
        <f t="shared" si="434"/>
        <v>0</v>
      </c>
      <c r="P2200" s="2694"/>
      <c r="Q2200" s="2519"/>
      <c r="R2200" s="2519"/>
      <c r="S2200" s="2519"/>
    </row>
    <row r="2201" spans="1:19" s="2358" customFormat="1" outlineLevel="1">
      <c r="A2201" s="2435" t="str">
        <f t="shared" si="430"/>
        <v/>
      </c>
      <c r="B2201" s="2514" t="s">
        <v>2159</v>
      </c>
      <c r="C2201" s="2521"/>
      <c r="D2201" s="2405">
        <v>0</v>
      </c>
      <c r="E2201" s="2447" t="s">
        <v>3592</v>
      </c>
      <c r="F2201" s="2405" t="s">
        <v>2563</v>
      </c>
      <c r="G2201" s="2703">
        <f>G2190*2</f>
        <v>0</v>
      </c>
      <c r="H2201" s="2517">
        <v>25800</v>
      </c>
      <c r="I2201" s="2517"/>
      <c r="J2201" s="2517">
        <v>0</v>
      </c>
      <c r="K2201" s="2517">
        <v>0</v>
      </c>
      <c r="L2201" s="2517">
        <f t="shared" si="431"/>
        <v>0</v>
      </c>
      <c r="M2201" s="2517">
        <f t="shared" si="432"/>
        <v>0</v>
      </c>
      <c r="N2201" s="2517">
        <f t="shared" si="433"/>
        <v>0</v>
      </c>
      <c r="O2201" s="2517">
        <f t="shared" si="434"/>
        <v>0</v>
      </c>
      <c r="P2201" s="2694"/>
      <c r="Q2201" s="2519"/>
      <c r="R2201" s="2519"/>
      <c r="S2201" s="2519"/>
    </row>
    <row r="2202" spans="1:19" s="2358" customFormat="1" outlineLevel="1">
      <c r="A2202" s="2435" t="str">
        <f t="shared" si="430"/>
        <v/>
      </c>
      <c r="B2202" s="2514" t="s">
        <v>2160</v>
      </c>
      <c r="C2202" s="2521"/>
      <c r="D2202" s="2405">
        <v>0</v>
      </c>
      <c r="E2202" s="2447" t="s">
        <v>3596</v>
      </c>
      <c r="F2202" s="2405" t="s">
        <v>2563</v>
      </c>
      <c r="G2202" s="2703">
        <f>G2201</f>
        <v>0</v>
      </c>
      <c r="H2202" s="2517">
        <v>21500</v>
      </c>
      <c r="I2202" s="2517"/>
      <c r="J2202" s="2517">
        <v>0</v>
      </c>
      <c r="K2202" s="2517">
        <v>0</v>
      </c>
      <c r="L2202" s="2517">
        <f t="shared" si="431"/>
        <v>0</v>
      </c>
      <c r="M2202" s="2517">
        <f t="shared" si="432"/>
        <v>0</v>
      </c>
      <c r="N2202" s="2517">
        <f t="shared" si="433"/>
        <v>0</v>
      </c>
      <c r="O2202" s="2517">
        <f t="shared" si="434"/>
        <v>0</v>
      </c>
      <c r="P2202" s="2694"/>
      <c r="Q2202" s="2519"/>
      <c r="R2202" s="2519"/>
      <c r="S2202" s="2519"/>
    </row>
    <row r="2203" spans="1:19" s="2358" customFormat="1" outlineLevel="1">
      <c r="A2203" s="2435" t="str">
        <f t="shared" si="430"/>
        <v/>
      </c>
      <c r="B2203" s="2514" t="s">
        <v>5855</v>
      </c>
      <c r="C2203" s="2521"/>
      <c r="D2203" s="2405">
        <v>0</v>
      </c>
      <c r="E2203" s="2447" t="s">
        <v>5856</v>
      </c>
      <c r="F2203" s="2405" t="s">
        <v>1827</v>
      </c>
      <c r="G2203" s="2703">
        <f>G2190*1.5</f>
        <v>0</v>
      </c>
      <c r="H2203" s="2517">
        <v>50000</v>
      </c>
      <c r="I2203" s="2517"/>
      <c r="J2203" s="2517">
        <v>0</v>
      </c>
      <c r="K2203" s="2517">
        <v>0</v>
      </c>
      <c r="L2203" s="2517">
        <f t="shared" si="431"/>
        <v>0</v>
      </c>
      <c r="M2203" s="2517">
        <f t="shared" si="432"/>
        <v>0</v>
      </c>
      <c r="N2203" s="2517">
        <f t="shared" si="433"/>
        <v>0</v>
      </c>
      <c r="O2203" s="2517">
        <f t="shared" si="434"/>
        <v>0</v>
      </c>
      <c r="P2203" s="2694"/>
      <c r="Q2203" s="2519"/>
      <c r="R2203" s="2519"/>
      <c r="S2203" s="2519"/>
    </row>
    <row r="2204" spans="1:19" s="2358" customFormat="1" outlineLevel="1">
      <c r="A2204" s="2435" t="str">
        <f t="shared" si="430"/>
        <v/>
      </c>
      <c r="B2204" s="2514" t="s">
        <v>2080</v>
      </c>
      <c r="C2204" s="2521"/>
      <c r="D2204" s="2405">
        <v>0</v>
      </c>
      <c r="E2204" s="2447" t="s">
        <v>3588</v>
      </c>
      <c r="F2204" s="2405" t="s">
        <v>3589</v>
      </c>
      <c r="G2204" s="2703">
        <f>G2190</f>
        <v>0</v>
      </c>
      <c r="H2204" s="2517">
        <v>11500</v>
      </c>
      <c r="I2204" s="2517"/>
      <c r="J2204" s="2517">
        <v>0</v>
      </c>
      <c r="K2204" s="2517">
        <v>0</v>
      </c>
      <c r="L2204" s="2517">
        <f t="shared" si="431"/>
        <v>0</v>
      </c>
      <c r="M2204" s="2517">
        <f t="shared" si="432"/>
        <v>0</v>
      </c>
      <c r="N2204" s="2517">
        <f t="shared" si="433"/>
        <v>0</v>
      </c>
      <c r="O2204" s="2517">
        <f t="shared" si="434"/>
        <v>0</v>
      </c>
      <c r="P2204" s="2694"/>
      <c r="Q2204" s="2519"/>
      <c r="R2204" s="2519"/>
      <c r="S2204" s="2519"/>
    </row>
    <row r="2205" spans="1:19" s="2358" customFormat="1" outlineLevel="1">
      <c r="A2205" s="2435" t="str">
        <f t="shared" si="430"/>
        <v/>
      </c>
      <c r="B2205" s="2514" t="s">
        <v>6</v>
      </c>
      <c r="C2205" s="2521"/>
      <c r="D2205" s="2405">
        <v>0</v>
      </c>
      <c r="E2205" s="2447" t="s">
        <v>3585</v>
      </c>
      <c r="F2205" s="2405" t="s">
        <v>5868</v>
      </c>
      <c r="G2205" s="2703">
        <f>G2204</f>
        <v>0</v>
      </c>
      <c r="H2205" s="2517">
        <v>45000</v>
      </c>
      <c r="I2205" s="2517"/>
      <c r="J2205" s="2517">
        <v>0</v>
      </c>
      <c r="K2205" s="2517">
        <v>0</v>
      </c>
      <c r="L2205" s="2517">
        <f t="shared" si="431"/>
        <v>0</v>
      </c>
      <c r="M2205" s="2517">
        <f t="shared" si="432"/>
        <v>0</v>
      </c>
      <c r="N2205" s="2517">
        <f t="shared" si="433"/>
        <v>0</v>
      </c>
      <c r="O2205" s="2517">
        <f t="shared" si="434"/>
        <v>0</v>
      </c>
      <c r="P2205" s="2694"/>
      <c r="Q2205" s="2519"/>
      <c r="R2205" s="2519"/>
      <c r="S2205" s="2519"/>
    </row>
    <row r="2206" spans="1:19" s="2358" customFormat="1" outlineLevel="1">
      <c r="A2206" s="2435" t="str">
        <f t="shared" si="430"/>
        <v/>
      </c>
      <c r="B2206" s="2514" t="s">
        <v>672</v>
      </c>
      <c r="C2206" s="2521"/>
      <c r="D2206" s="2405">
        <v>0</v>
      </c>
      <c r="E2206" s="2447" t="s">
        <v>5863</v>
      </c>
      <c r="F2206" s="2405" t="s">
        <v>3584</v>
      </c>
      <c r="G2206" s="2703">
        <f>G2205*2</f>
        <v>0</v>
      </c>
      <c r="H2206" s="2517">
        <v>6500</v>
      </c>
      <c r="I2206" s="2517"/>
      <c r="J2206" s="2517">
        <v>0</v>
      </c>
      <c r="K2206" s="2517">
        <v>0</v>
      </c>
      <c r="L2206" s="2517">
        <f t="shared" si="431"/>
        <v>0</v>
      </c>
      <c r="M2206" s="2517">
        <f t="shared" si="432"/>
        <v>0</v>
      </c>
      <c r="N2206" s="2517">
        <f t="shared" si="433"/>
        <v>0</v>
      </c>
      <c r="O2206" s="2517">
        <f t="shared" si="434"/>
        <v>0</v>
      </c>
      <c r="P2206" s="2694"/>
      <c r="Q2206" s="2519"/>
      <c r="R2206" s="2519"/>
      <c r="S2206" s="2519"/>
    </row>
    <row r="2207" spans="1:19" s="2358" customFormat="1" outlineLevel="1">
      <c r="A2207" s="2435" t="str">
        <f t="shared" si="430"/>
        <v/>
      </c>
      <c r="B2207" s="2514" t="s">
        <v>2010</v>
      </c>
      <c r="C2207" s="2521"/>
      <c r="D2207" s="2405" t="s">
        <v>5634</v>
      </c>
      <c r="E2207" s="2447" t="s">
        <v>3311</v>
      </c>
      <c r="F2207" s="2405" t="s">
        <v>1827</v>
      </c>
      <c r="G2207" s="2703">
        <f>G2192</f>
        <v>0</v>
      </c>
      <c r="H2207" s="2517">
        <v>0</v>
      </c>
      <c r="I2207" s="2517"/>
      <c r="J2207" s="2517">
        <v>33396</v>
      </c>
      <c r="K2207" s="2517">
        <v>0</v>
      </c>
      <c r="L2207" s="2517">
        <f t="shared" si="431"/>
        <v>0</v>
      </c>
      <c r="M2207" s="2517">
        <f t="shared" si="432"/>
        <v>0</v>
      </c>
      <c r="N2207" s="2517">
        <f t="shared" si="433"/>
        <v>0</v>
      </c>
      <c r="O2207" s="2517">
        <f t="shared" si="434"/>
        <v>0</v>
      </c>
      <c r="P2207" s="2694"/>
      <c r="Q2207" s="2519"/>
      <c r="R2207" s="2519"/>
      <c r="S2207" s="2519"/>
    </row>
    <row r="2208" spans="1:19" s="2358" customFormat="1" outlineLevel="1">
      <c r="A2208" s="2435" t="str">
        <f t="shared" si="430"/>
        <v/>
      </c>
      <c r="B2208" s="2514" t="s">
        <v>247</v>
      </c>
      <c r="C2208" s="2521"/>
      <c r="D2208" s="2405" t="s">
        <v>5635</v>
      </c>
      <c r="E2208" s="2447" t="s">
        <v>5636</v>
      </c>
      <c r="F2208" s="2405" t="s">
        <v>1827</v>
      </c>
      <c r="G2208" s="2703">
        <f>G2193</f>
        <v>0</v>
      </c>
      <c r="H2208" s="2517">
        <v>0</v>
      </c>
      <c r="I2208" s="2517"/>
      <c r="J2208" s="2517">
        <v>47311</v>
      </c>
      <c r="K2208" s="2517">
        <v>0</v>
      </c>
      <c r="L2208" s="2517">
        <f t="shared" si="431"/>
        <v>0</v>
      </c>
      <c r="M2208" s="2517">
        <f t="shared" si="432"/>
        <v>0</v>
      </c>
      <c r="N2208" s="2517">
        <f t="shared" si="433"/>
        <v>0</v>
      </c>
      <c r="O2208" s="2517">
        <f t="shared" si="434"/>
        <v>0</v>
      </c>
      <c r="P2208" s="2694"/>
      <c r="Q2208" s="2519"/>
      <c r="R2208" s="2519"/>
      <c r="S2208" s="2519"/>
    </row>
    <row r="2209" spans="1:19" s="2358" customFormat="1" outlineLevel="1">
      <c r="A2209" s="2435">
        <f>A2055</f>
        <v>0</v>
      </c>
      <c r="B2209" s="2610"/>
      <c r="C2209" s="2785" t="s">
        <v>6205</v>
      </c>
      <c r="D2209" s="2785"/>
      <c r="E2209" s="2785"/>
      <c r="F2209" s="2785"/>
      <c r="G2209" s="2785"/>
      <c r="H2209" s="2785"/>
      <c r="I2209" s="2785"/>
      <c r="J2209" s="2785"/>
      <c r="K2209" s="2785"/>
      <c r="L2209" s="2678">
        <f>SUM(L2071:L2208)</f>
        <v>0</v>
      </c>
      <c r="M2209" s="2678">
        <f>SUM(M2071:M2208)</f>
        <v>0</v>
      </c>
      <c r="N2209" s="2678">
        <f>SUM(N2071:N2208)</f>
        <v>0</v>
      </c>
      <c r="O2209" s="2678">
        <f>SUM(O2071:O2208)</f>
        <v>0</v>
      </c>
      <c r="P2209" s="2786"/>
      <c r="Q2209" s="2519"/>
      <c r="R2209" s="2519"/>
      <c r="S2209" s="2519"/>
    </row>
    <row r="2210" spans="1:19" s="2358" customFormat="1" outlineLevel="1">
      <c r="A2210" s="2435"/>
      <c r="B2210" s="2610"/>
      <c r="C2210" s="2686"/>
      <c r="D2210" s="2686"/>
      <c r="E2210" s="2787"/>
      <c r="F2210" s="2686"/>
      <c r="G2210" s="2898"/>
      <c r="H2210" s="2898"/>
      <c r="I2210" s="2898"/>
      <c r="J2210" s="2781"/>
      <c r="K2210" s="2781"/>
      <c r="L2210" s="2782"/>
      <c r="M2210" s="2782"/>
      <c r="N2210" s="2782"/>
      <c r="O2210" s="2782"/>
      <c r="P2210" s="2788"/>
      <c r="Q2210" s="2519"/>
      <c r="R2210" s="2519"/>
      <c r="S2210" s="2519"/>
    </row>
    <row r="2211" spans="1:19" s="2358" customFormat="1" outlineLevel="1">
      <c r="A2211" s="2435"/>
      <c r="B2211" s="2610"/>
      <c r="C2211" s="2686"/>
      <c r="D2211" s="2686"/>
      <c r="E2211" s="2787"/>
      <c r="F2211" s="2686"/>
      <c r="G2211" s="2898"/>
      <c r="H2211" s="2898"/>
      <c r="I2211" s="2898"/>
      <c r="J2211" s="2781"/>
      <c r="K2211" s="2781"/>
      <c r="L2211" s="2782"/>
      <c r="M2211" s="2782"/>
      <c r="N2211" s="2782"/>
      <c r="O2211" s="2782"/>
      <c r="P2211" s="2788"/>
      <c r="Q2211" s="2519"/>
      <c r="R2211" s="2519"/>
      <c r="S2211" s="2519"/>
    </row>
    <row r="2212" spans="1:19" s="2358" customFormat="1" outlineLevel="1">
      <c r="A2212" s="2435"/>
      <c r="B2212" s="2610"/>
      <c r="C2212" s="2686"/>
      <c r="D2212" s="2686"/>
      <c r="E2212" s="2787"/>
      <c r="F2212" s="2686"/>
      <c r="G2212" s="2898"/>
      <c r="H2212" s="2898"/>
      <c r="I2212" s="2898"/>
      <c r="J2212" s="2781"/>
      <c r="K2212" s="2781"/>
      <c r="L2212" s="2782"/>
      <c r="M2212" s="2782"/>
      <c r="N2212" s="2782"/>
      <c r="O2212" s="2782"/>
      <c r="P2212" s="2788"/>
      <c r="Q2212" s="2519"/>
      <c r="R2212" s="2519"/>
      <c r="S2212" s="2519"/>
    </row>
    <row r="2213" spans="1:19" s="2358" customFormat="1" outlineLevel="1">
      <c r="A2213" s="2435"/>
      <c r="B2213" s="2610"/>
      <c r="C2213" s="2686"/>
      <c r="D2213" s="2686"/>
      <c r="E2213" s="2787"/>
      <c r="F2213" s="2686"/>
      <c r="G2213" s="2898"/>
      <c r="H2213" s="2898"/>
      <c r="I2213" s="2898"/>
      <c r="J2213" s="2781"/>
      <c r="K2213" s="2781"/>
      <c r="L2213" s="2782"/>
      <c r="M2213" s="2782"/>
      <c r="N2213" s="2782"/>
      <c r="O2213" s="2782"/>
      <c r="P2213" s="2788"/>
      <c r="Q2213" s="2519"/>
      <c r="R2213" s="2519"/>
      <c r="S2213" s="2519"/>
    </row>
    <row r="2214" spans="1:19" s="2358" customFormat="1" outlineLevel="1">
      <c r="A2214" s="2435"/>
      <c r="B2214" s="2610"/>
      <c r="C2214" s="2686"/>
      <c r="D2214" s="2686"/>
      <c r="E2214" s="2787"/>
      <c r="F2214" s="2686"/>
      <c r="G2214" s="2898"/>
      <c r="H2214" s="2898"/>
      <c r="I2214" s="2898"/>
      <c r="J2214" s="2781"/>
      <c r="K2214" s="2781"/>
      <c r="L2214" s="2782"/>
      <c r="M2214" s="2782"/>
      <c r="N2214" s="2782"/>
      <c r="O2214" s="2782"/>
      <c r="P2214" s="2788"/>
      <c r="Q2214" s="2519"/>
      <c r="R2214" s="2519"/>
      <c r="S2214" s="2519"/>
    </row>
    <row r="2215" spans="1:19" s="2358" customFormat="1" outlineLevel="1">
      <c r="A2215" s="2435"/>
      <c r="B2215" s="2610"/>
      <c r="C2215" s="2686"/>
      <c r="D2215" s="2686"/>
      <c r="E2215" s="2787"/>
      <c r="F2215" s="2686"/>
      <c r="G2215" s="2898"/>
      <c r="H2215" s="2898"/>
      <c r="I2215" s="2898"/>
      <c r="J2215" s="2781"/>
      <c r="K2215" s="2781"/>
      <c r="L2215" s="2782"/>
      <c r="M2215" s="2782"/>
      <c r="N2215" s="2782"/>
      <c r="O2215" s="2782"/>
      <c r="P2215" s="2788"/>
      <c r="Q2215" s="2519"/>
      <c r="R2215" s="2519"/>
      <c r="S2215" s="2519"/>
    </row>
    <row r="2216" spans="1:19" s="2358" customFormat="1" outlineLevel="1">
      <c r="A2216" s="2435"/>
      <c r="B2216" s="2610"/>
      <c r="C2216" s="2686"/>
      <c r="D2216" s="2686"/>
      <c r="E2216" s="2787"/>
      <c r="F2216" s="2686"/>
      <c r="G2216" s="2898"/>
      <c r="H2216" s="2898"/>
      <c r="I2216" s="2898"/>
      <c r="J2216" s="2781"/>
      <c r="K2216" s="2781"/>
      <c r="L2216" s="2782"/>
      <c r="M2216" s="2782"/>
      <c r="N2216" s="2782"/>
      <c r="O2216" s="2782"/>
      <c r="P2216" s="2788"/>
      <c r="Q2216" s="2519"/>
      <c r="R2216" s="2519"/>
      <c r="S2216" s="2519"/>
    </row>
    <row r="2217" spans="1:19" s="2358" customFormat="1" outlineLevel="1">
      <c r="A2217" s="2435"/>
      <c r="B2217" s="2610"/>
      <c r="C2217" s="2686"/>
      <c r="D2217" s="2686"/>
      <c r="E2217" s="2787"/>
      <c r="F2217" s="2686"/>
      <c r="G2217" s="2898"/>
      <c r="H2217" s="2898"/>
      <c r="I2217" s="2898"/>
      <c r="J2217" s="2781"/>
      <c r="K2217" s="2781"/>
      <c r="L2217" s="2782"/>
      <c r="M2217" s="2782"/>
      <c r="N2217" s="2782"/>
      <c r="O2217" s="2782"/>
      <c r="P2217" s="2788"/>
      <c r="Q2217" s="2519"/>
      <c r="R2217" s="2519"/>
      <c r="S2217" s="2519"/>
    </row>
    <row r="2218" spans="1:19" s="2358" customFormat="1" outlineLevel="1">
      <c r="A2218" s="2435"/>
      <c r="B2218" s="2610"/>
      <c r="C2218" s="2686"/>
      <c r="D2218" s="2686"/>
      <c r="E2218" s="2787"/>
      <c r="F2218" s="2686"/>
      <c r="G2218" s="2898"/>
      <c r="H2218" s="2898"/>
      <c r="I2218" s="2898"/>
      <c r="J2218" s="2781"/>
      <c r="K2218" s="2781"/>
      <c r="L2218" s="2782"/>
      <c r="M2218" s="2782"/>
      <c r="N2218" s="2782"/>
      <c r="O2218" s="2782"/>
      <c r="P2218" s="2788"/>
      <c r="Q2218" s="2519"/>
      <c r="R2218" s="2519"/>
      <c r="S2218" s="2519"/>
    </row>
    <row r="2219" spans="1:19" s="2358" customFormat="1" outlineLevel="1">
      <c r="A2219" s="2435"/>
      <c r="B2219" s="2610"/>
      <c r="C2219" s="2686"/>
      <c r="D2219" s="2686"/>
      <c r="E2219" s="2787"/>
      <c r="F2219" s="2686"/>
      <c r="G2219" s="2898"/>
      <c r="H2219" s="2898"/>
      <c r="I2219" s="2898"/>
      <c r="J2219" s="2781"/>
      <c r="K2219" s="2781"/>
      <c r="L2219" s="2782"/>
      <c r="M2219" s="2782"/>
      <c r="N2219" s="2782"/>
      <c r="O2219" s="2782"/>
      <c r="P2219" s="2788"/>
      <c r="Q2219" s="2519"/>
      <c r="R2219" s="2519"/>
      <c r="S2219" s="2519"/>
    </row>
    <row r="2220" spans="1:19" s="2358" customFormat="1" outlineLevel="1">
      <c r="A2220" s="2435"/>
      <c r="B2220" s="2610"/>
      <c r="C2220" s="2686"/>
      <c r="D2220" s="2686"/>
      <c r="E2220" s="2787"/>
      <c r="F2220" s="2686"/>
      <c r="G2220" s="2898"/>
      <c r="H2220" s="2898"/>
      <c r="I2220" s="2898"/>
      <c r="J2220" s="2781"/>
      <c r="K2220" s="2781"/>
      <c r="L2220" s="2782"/>
      <c r="M2220" s="2782"/>
      <c r="N2220" s="2782"/>
      <c r="O2220" s="2782"/>
      <c r="P2220" s="2788"/>
      <c r="Q2220" s="2519"/>
      <c r="R2220" s="2519"/>
      <c r="S2220" s="2519"/>
    </row>
    <row r="2221" spans="1:19" s="2358" customFormat="1" outlineLevel="1">
      <c r="A2221" s="2435"/>
      <c r="B2221" s="2610"/>
      <c r="C2221" s="2686"/>
      <c r="D2221" s="2686"/>
      <c r="E2221" s="2787"/>
      <c r="F2221" s="2686"/>
      <c r="G2221" s="2898"/>
      <c r="H2221" s="2898"/>
      <c r="I2221" s="2898"/>
      <c r="J2221" s="2781"/>
      <c r="K2221" s="2781"/>
      <c r="L2221" s="2782"/>
      <c r="M2221" s="2782"/>
      <c r="N2221" s="2782"/>
      <c r="O2221" s="2782"/>
      <c r="P2221" s="2788"/>
      <c r="Q2221" s="2519"/>
      <c r="R2221" s="2519"/>
      <c r="S2221" s="2519"/>
    </row>
    <row r="2222" spans="1:19" s="2358" customFormat="1" outlineLevel="1">
      <c r="A2222" s="2435"/>
      <c r="B2222" s="2610"/>
      <c r="C2222" s="2686"/>
      <c r="D2222" s="2686"/>
      <c r="E2222" s="2787"/>
      <c r="F2222" s="2686"/>
      <c r="G2222" s="2898"/>
      <c r="H2222" s="2898"/>
      <c r="I2222" s="2898"/>
      <c r="J2222" s="2781"/>
      <c r="K2222" s="2781"/>
      <c r="L2222" s="2782"/>
      <c r="M2222" s="2782"/>
      <c r="N2222" s="2782"/>
      <c r="O2222" s="2782"/>
      <c r="P2222" s="2788"/>
      <c r="Q2222" s="2519"/>
      <c r="R2222" s="2519"/>
      <c r="S2222" s="2519"/>
    </row>
    <row r="2223" spans="1:19" s="2358" customFormat="1" outlineLevel="1">
      <c r="A2223" s="2435"/>
      <c r="B2223" s="2610"/>
      <c r="C2223" s="2686"/>
      <c r="D2223" s="2686"/>
      <c r="E2223" s="2787"/>
      <c r="F2223" s="2686"/>
      <c r="G2223" s="2898"/>
      <c r="H2223" s="2898"/>
      <c r="I2223" s="2898"/>
      <c r="J2223" s="2781"/>
      <c r="K2223" s="2781"/>
      <c r="L2223" s="2782"/>
      <c r="M2223" s="2782"/>
      <c r="N2223" s="2782"/>
      <c r="O2223" s="2782"/>
      <c r="P2223" s="2788"/>
      <c r="Q2223" s="2519"/>
      <c r="R2223" s="2519"/>
      <c r="S2223" s="2519"/>
    </row>
    <row r="2224" spans="1:19" s="2358" customFormat="1" outlineLevel="1">
      <c r="A2224" s="2435"/>
      <c r="B2224" s="2610"/>
      <c r="C2224" s="2686"/>
      <c r="D2224" s="2686"/>
      <c r="E2224" s="2787"/>
      <c r="F2224" s="2686"/>
      <c r="G2224" s="2898"/>
      <c r="H2224" s="2898"/>
      <c r="I2224" s="2898"/>
      <c r="J2224" s="2781"/>
      <c r="K2224" s="2781"/>
      <c r="L2224" s="2782"/>
      <c r="M2224" s="2782"/>
      <c r="N2224" s="2782"/>
      <c r="O2224" s="2782"/>
      <c r="P2224" s="2788"/>
      <c r="Q2224" s="2519"/>
      <c r="R2224" s="2519"/>
      <c r="S2224" s="2519"/>
    </row>
    <row r="2225" spans="1:19" s="2358" customFormat="1" outlineLevel="1">
      <c r="A2225" s="2435"/>
      <c r="B2225" s="2610"/>
      <c r="C2225" s="2686"/>
      <c r="D2225" s="2686"/>
      <c r="E2225" s="2787"/>
      <c r="F2225" s="2686"/>
      <c r="G2225" s="2898"/>
      <c r="H2225" s="2898"/>
      <c r="I2225" s="2898"/>
      <c r="J2225" s="2781"/>
      <c r="K2225" s="2781"/>
      <c r="L2225" s="2782"/>
      <c r="M2225" s="2782"/>
      <c r="N2225" s="2782"/>
      <c r="O2225" s="2782"/>
      <c r="P2225" s="2788"/>
      <c r="Q2225" s="2519"/>
      <c r="R2225" s="2519"/>
      <c r="S2225" s="2519"/>
    </row>
    <row r="2226" spans="1:19" s="2358" customFormat="1" outlineLevel="1">
      <c r="A2226" s="2435"/>
      <c r="B2226" s="2610"/>
      <c r="C2226" s="2686"/>
      <c r="D2226" s="2686"/>
      <c r="E2226" s="2787"/>
      <c r="F2226" s="2686"/>
      <c r="G2226" s="2898"/>
      <c r="H2226" s="2898"/>
      <c r="I2226" s="2898"/>
      <c r="J2226" s="2781"/>
      <c r="K2226" s="2781"/>
      <c r="L2226" s="2782"/>
      <c r="M2226" s="2782"/>
      <c r="N2226" s="2782"/>
      <c r="O2226" s="2782"/>
      <c r="P2226" s="2788"/>
      <c r="Q2226" s="2519"/>
      <c r="R2226" s="2519"/>
      <c r="S2226" s="2519"/>
    </row>
    <row r="2227" spans="1:19" s="2358" customFormat="1" outlineLevel="1">
      <c r="A2227" s="2435"/>
      <c r="B2227" s="2610"/>
      <c r="C2227" s="2686"/>
      <c r="D2227" s="2686"/>
      <c r="E2227" s="2787"/>
      <c r="F2227" s="2686"/>
      <c r="G2227" s="2898"/>
      <c r="H2227" s="2898"/>
      <c r="I2227" s="2898"/>
      <c r="J2227" s="2781"/>
      <c r="K2227" s="2781"/>
      <c r="L2227" s="2782"/>
      <c r="M2227" s="2782"/>
      <c r="N2227" s="2782"/>
      <c r="O2227" s="2782"/>
      <c r="P2227" s="2788"/>
      <c r="Q2227" s="2519"/>
      <c r="R2227" s="2519"/>
      <c r="S2227" s="2519"/>
    </row>
    <row r="2228" spans="1:19" s="2358" customFormat="1" outlineLevel="1">
      <c r="A2228" s="2435"/>
      <c r="B2228" s="2610"/>
      <c r="C2228" s="2686"/>
      <c r="D2228" s="2686"/>
      <c r="E2228" s="2787"/>
      <c r="F2228" s="2686"/>
      <c r="G2228" s="2898"/>
      <c r="H2228" s="2898"/>
      <c r="I2228" s="2898"/>
      <c r="J2228" s="2781"/>
      <c r="K2228" s="2781"/>
      <c r="L2228" s="2782"/>
      <c r="M2228" s="2782"/>
      <c r="N2228" s="2782"/>
      <c r="O2228" s="2782"/>
      <c r="P2228" s="2788"/>
      <c r="Q2228" s="2519"/>
      <c r="R2228" s="2519"/>
      <c r="S2228" s="2519"/>
    </row>
    <row r="2229" spans="1:19" s="2358" customFormat="1" outlineLevel="1">
      <c r="A2229" s="2435"/>
      <c r="B2229" s="2610"/>
      <c r="C2229" s="2686"/>
      <c r="D2229" s="2686"/>
      <c r="E2229" s="2787"/>
      <c r="F2229" s="2686"/>
      <c r="G2229" s="2898"/>
      <c r="H2229" s="2898"/>
      <c r="I2229" s="2898"/>
      <c r="J2229" s="2781"/>
      <c r="K2229" s="2781"/>
      <c r="L2229" s="2782"/>
      <c r="M2229" s="2782"/>
      <c r="N2229" s="2782"/>
      <c r="O2229" s="2782"/>
      <c r="P2229" s="2788"/>
      <c r="Q2229" s="2519"/>
      <c r="R2229" s="2519"/>
      <c r="S2229" s="2519"/>
    </row>
    <row r="2230" spans="1:19" s="2358" customFormat="1" outlineLevel="1">
      <c r="A2230" s="2435"/>
      <c r="B2230" s="2610"/>
      <c r="C2230" s="2686"/>
      <c r="D2230" s="2686"/>
      <c r="E2230" s="2787"/>
      <c r="F2230" s="2686"/>
      <c r="G2230" s="2898"/>
      <c r="H2230" s="2898"/>
      <c r="I2230" s="2898"/>
      <c r="J2230" s="2781"/>
      <c r="K2230" s="2781"/>
      <c r="L2230" s="2782"/>
      <c r="M2230" s="2782"/>
      <c r="N2230" s="2782"/>
      <c r="O2230" s="2782"/>
      <c r="P2230" s="2788"/>
      <c r="Q2230" s="2519"/>
      <c r="R2230" s="2519"/>
      <c r="S2230" s="2519"/>
    </row>
    <row r="2231" spans="1:19" s="2358" customFormat="1" outlineLevel="1">
      <c r="A2231" s="2435"/>
      <c r="B2231" s="2610"/>
      <c r="C2231" s="2686"/>
      <c r="D2231" s="2686"/>
      <c r="E2231" s="2787"/>
      <c r="F2231" s="2686"/>
      <c r="G2231" s="2898"/>
      <c r="H2231" s="2898"/>
      <c r="I2231" s="2898"/>
      <c r="J2231" s="2781"/>
      <c r="K2231" s="2781"/>
      <c r="L2231" s="2782"/>
      <c r="M2231" s="2782"/>
      <c r="N2231" s="2782"/>
      <c r="O2231" s="2782"/>
      <c r="P2231" s="2788"/>
      <c r="Q2231" s="2519"/>
      <c r="R2231" s="2519"/>
      <c r="S2231" s="2519"/>
    </row>
    <row r="2232" spans="1:19" s="2358" customFormat="1" outlineLevel="1">
      <c r="A2232" s="2435"/>
      <c r="B2232" s="2610"/>
      <c r="C2232" s="2686"/>
      <c r="D2232" s="2686"/>
      <c r="E2232" s="2787"/>
      <c r="F2232" s="2686"/>
      <c r="G2232" s="2898"/>
      <c r="H2232" s="2898"/>
      <c r="I2232" s="2898"/>
      <c r="J2232" s="2781"/>
      <c r="K2232" s="2781"/>
      <c r="L2232" s="2782"/>
      <c r="M2232" s="2782"/>
      <c r="N2232" s="2782"/>
      <c r="O2232" s="2782"/>
      <c r="P2232" s="2788"/>
      <c r="Q2232" s="2519"/>
      <c r="R2232" s="2519"/>
      <c r="S2232" s="2519"/>
    </row>
    <row r="2233" spans="1:19" s="2358" customFormat="1" outlineLevel="1">
      <c r="A2233" s="2435"/>
      <c r="B2233" s="2610"/>
      <c r="C2233" s="2686"/>
      <c r="D2233" s="2686"/>
      <c r="E2233" s="2787"/>
      <c r="F2233" s="2686"/>
      <c r="G2233" s="2898"/>
      <c r="H2233" s="2898"/>
      <c r="I2233" s="2898"/>
      <c r="J2233" s="2781"/>
      <c r="K2233" s="2781"/>
      <c r="L2233" s="2782"/>
      <c r="M2233" s="2782"/>
      <c r="N2233" s="2782"/>
      <c r="O2233" s="2782"/>
      <c r="P2233" s="2788"/>
      <c r="Q2233" s="2519"/>
      <c r="R2233" s="2519"/>
      <c r="S2233" s="2519"/>
    </row>
    <row r="2234" spans="1:19" s="2358" customFormat="1" outlineLevel="1">
      <c r="A2234" s="2435"/>
      <c r="B2234" s="2610"/>
      <c r="C2234" s="2686"/>
      <c r="D2234" s="2686"/>
      <c r="E2234" s="2787"/>
      <c r="F2234" s="2686"/>
      <c r="G2234" s="2898"/>
      <c r="H2234" s="2898"/>
      <c r="I2234" s="2898"/>
      <c r="J2234" s="2781"/>
      <c r="K2234" s="2781"/>
      <c r="L2234" s="2782"/>
      <c r="M2234" s="2782"/>
      <c r="N2234" s="2782"/>
      <c r="O2234" s="2782"/>
      <c r="P2234" s="2788"/>
      <c r="Q2234" s="2519"/>
      <c r="R2234" s="2519"/>
      <c r="S2234" s="2519"/>
    </row>
    <row r="2235" spans="1:19" s="2358" customFormat="1" outlineLevel="1">
      <c r="A2235" s="2435"/>
      <c r="B2235" s="2610"/>
      <c r="C2235" s="2686"/>
      <c r="D2235" s="2686"/>
      <c r="E2235" s="2787"/>
      <c r="F2235" s="2686"/>
      <c r="G2235" s="2898"/>
      <c r="H2235" s="2898"/>
      <c r="I2235" s="2898"/>
      <c r="J2235" s="2781"/>
      <c r="K2235" s="2781"/>
      <c r="L2235" s="2782"/>
      <c r="M2235" s="2782"/>
      <c r="N2235" s="2782"/>
      <c r="O2235" s="2782"/>
      <c r="P2235" s="2788"/>
      <c r="Q2235" s="2519"/>
      <c r="R2235" s="2519"/>
      <c r="S2235" s="2519"/>
    </row>
    <row r="2236" spans="1:19" s="2358" customFormat="1" outlineLevel="1">
      <c r="A2236" s="2435"/>
      <c r="B2236" s="2610"/>
      <c r="C2236" s="2686"/>
      <c r="D2236" s="2686"/>
      <c r="E2236" s="2787"/>
      <c r="F2236" s="2686"/>
      <c r="G2236" s="2898"/>
      <c r="H2236" s="2898"/>
      <c r="I2236" s="2898"/>
      <c r="J2236" s="2781"/>
      <c r="K2236" s="2781"/>
      <c r="L2236" s="2782"/>
      <c r="M2236" s="2782"/>
      <c r="N2236" s="2782"/>
      <c r="O2236" s="2782"/>
      <c r="P2236" s="2788"/>
      <c r="Q2236" s="2519"/>
      <c r="R2236" s="2519"/>
      <c r="S2236" s="2519"/>
    </row>
    <row r="2237" spans="1:19" s="2358" customFormat="1" outlineLevel="1">
      <c r="A2237" s="2435"/>
      <c r="B2237" s="2610"/>
      <c r="C2237" s="2686"/>
      <c r="D2237" s="2686"/>
      <c r="E2237" s="2787"/>
      <c r="F2237" s="2686"/>
      <c r="G2237" s="2898"/>
      <c r="H2237" s="2898"/>
      <c r="I2237" s="2898"/>
      <c r="J2237" s="2781"/>
      <c r="K2237" s="2781"/>
      <c r="L2237" s="2782"/>
      <c r="M2237" s="2782"/>
      <c r="N2237" s="2782"/>
      <c r="O2237" s="2782"/>
      <c r="P2237" s="2788"/>
      <c r="Q2237" s="2519"/>
      <c r="R2237" s="2519"/>
      <c r="S2237" s="2519"/>
    </row>
    <row r="2238" spans="1:19" s="2358" customFormat="1" ht="3" customHeight="1" outlineLevel="1">
      <c r="A2238" s="2435"/>
      <c r="B2238" s="2610"/>
      <c r="C2238" s="2686"/>
      <c r="D2238" s="2686"/>
      <c r="E2238" s="2787"/>
      <c r="F2238" s="2686"/>
      <c r="G2238" s="2898"/>
      <c r="H2238" s="2898"/>
      <c r="I2238" s="2898"/>
      <c r="J2238" s="2781"/>
      <c r="K2238" s="2781"/>
      <c r="L2238" s="2782"/>
      <c r="M2238" s="2782"/>
      <c r="N2238" s="2782"/>
      <c r="O2238" s="2782"/>
      <c r="P2238" s="2788"/>
      <c r="Q2238" s="2519"/>
      <c r="R2238" s="2519"/>
      <c r="S2238" s="2519"/>
    </row>
    <row r="2239" spans="1:19" s="2358" customFormat="1" ht="24" customHeight="1" outlineLevel="1">
      <c r="A2239" s="2435">
        <f>A2257</f>
        <v>0</v>
      </c>
      <c r="B2239" s="2640"/>
      <c r="C2239" s="2906" t="str">
        <f>"BẢNG TỔNG HỢP VẬT LIỆU, NHÂN CÔNG, MÁY THI CÔNG: "&amp;K14&amp;" TRẠM 3P_560KVA"</f>
        <v>BẢNG TỔNG HỢP VẬT LIỆU, NHÂN CÔNG, MÁY THI CÔNG: 0 TRẠM 3P_560KVA</v>
      </c>
      <c r="D2239" s="2899"/>
      <c r="E2239" s="2906"/>
      <c r="F2239" s="2906"/>
      <c r="G2239" s="2906"/>
      <c r="H2239" s="2906"/>
      <c r="I2239" s="2906"/>
      <c r="J2239" s="2906"/>
      <c r="K2239" s="2906"/>
      <c r="L2239" s="2906"/>
      <c r="M2239" s="2906"/>
      <c r="N2239" s="2906"/>
      <c r="O2239" s="2906"/>
      <c r="P2239" s="2906"/>
      <c r="Q2239" s="2519"/>
      <c r="R2239" s="2519"/>
      <c r="S2239" s="2519"/>
    </row>
    <row r="2240" spans="1:19" s="2358" customFormat="1" outlineLevel="1">
      <c r="A2240" s="2435">
        <f>A2257</f>
        <v>0</v>
      </c>
      <c r="B2240" s="2514" t="s">
        <v>6186</v>
      </c>
      <c r="C2240" s="2901" t="s">
        <v>1712</v>
      </c>
      <c r="D2240" s="2902" t="s">
        <v>2605</v>
      </c>
      <c r="E2240" s="2904" t="s">
        <v>2606</v>
      </c>
      <c r="F2240" s="2901" t="s">
        <v>2601</v>
      </c>
      <c r="G2240" s="2362" t="s">
        <v>6187</v>
      </c>
      <c r="H2240" s="2365" t="s">
        <v>6188</v>
      </c>
      <c r="I2240" s="2872"/>
      <c r="J2240" s="2872"/>
      <c r="K2240" s="2873"/>
      <c r="L2240" s="2365" t="s">
        <v>6189</v>
      </c>
      <c r="M2240" s="2872"/>
      <c r="N2240" s="2872"/>
      <c r="O2240" s="2873"/>
      <c r="P2240" s="2907" t="s">
        <v>2607</v>
      </c>
      <c r="Q2240" s="2519"/>
      <c r="R2240" s="2519"/>
      <c r="S2240" s="2519"/>
    </row>
    <row r="2241" spans="1:19" s="2358" customFormat="1" outlineLevel="1">
      <c r="A2241" s="2435">
        <f>A2257</f>
        <v>0</v>
      </c>
      <c r="B2241" s="2514"/>
      <c r="C2241" s="2901"/>
      <c r="D2241" s="2903"/>
      <c r="E2241" s="2905"/>
      <c r="F2241" s="2901"/>
      <c r="G2241" s="2364" t="s">
        <v>2292</v>
      </c>
      <c r="H2241" s="2365" t="s">
        <v>6190</v>
      </c>
      <c r="I2241" s="2365" t="s">
        <v>6191</v>
      </c>
      <c r="J2241" s="2365" t="s">
        <v>6192</v>
      </c>
      <c r="K2241" s="2365" t="s">
        <v>6193</v>
      </c>
      <c r="L2241" s="2365" t="s">
        <v>6190</v>
      </c>
      <c r="M2241" s="2365" t="s">
        <v>6191</v>
      </c>
      <c r="N2241" s="2365" t="s">
        <v>6192</v>
      </c>
      <c r="O2241" s="2365" t="s">
        <v>6193</v>
      </c>
      <c r="P2241" s="2908"/>
      <c r="Q2241" s="2519"/>
      <c r="R2241" s="2519"/>
      <c r="S2241" s="2519"/>
    </row>
    <row r="2242" spans="1:19" s="2358" customFormat="1" outlineLevel="1">
      <c r="A2242" s="2435">
        <f>A2257</f>
        <v>0</v>
      </c>
      <c r="B2242" s="2514"/>
      <c r="C2242" s="2366"/>
      <c r="D2242" s="2367"/>
      <c r="E2242" s="2368" t="s">
        <v>3690</v>
      </c>
      <c r="F2242" s="2369"/>
      <c r="G2242" s="2369"/>
      <c r="H2242" s="2369"/>
      <c r="I2242" s="2369"/>
      <c r="J2242" s="2369"/>
      <c r="K2242" s="2369"/>
      <c r="L2242" s="2369"/>
      <c r="M2242" s="2369"/>
      <c r="N2242" s="2369"/>
      <c r="O2242" s="2367"/>
      <c r="P2242" s="2607"/>
      <c r="Q2242" s="2519"/>
      <c r="R2242" s="2519"/>
      <c r="S2242" s="2519"/>
    </row>
    <row r="2243" spans="1:19" s="2358" customFormat="1" outlineLevel="1">
      <c r="A2243" s="2435" t="str">
        <f t="shared" ref="A2243:A2256" si="435">IF(G2243&lt;&gt;0,1,"")</f>
        <v/>
      </c>
      <c r="B2243" s="2505" t="str">
        <f>IF($F$8=15,"tr560","tr5601")</f>
        <v>tr5601</v>
      </c>
      <c r="C2243" s="2521">
        <f>IF(G2243&gt;0,1,0)</f>
        <v>0</v>
      </c>
      <c r="D2243" s="2405" t="s">
        <v>5654</v>
      </c>
      <c r="E2243" s="2447" t="s">
        <v>3350</v>
      </c>
      <c r="F2243" s="2405" t="s">
        <v>3318</v>
      </c>
      <c r="G2243" s="2796">
        <f>$K$14</f>
        <v>0</v>
      </c>
      <c r="H2243" s="2612">
        <v>372166000</v>
      </c>
      <c r="I2243" s="2612"/>
      <c r="J2243" s="2612">
        <v>1660532</v>
      </c>
      <c r="K2243" s="2612">
        <v>361106</v>
      </c>
      <c r="L2243" s="2613">
        <f t="shared" ref="L2243:L2256" si="436">H2243*G2243</f>
        <v>0</v>
      </c>
      <c r="M2243" s="2613">
        <f t="shared" ref="M2243:M2256" si="437">I2243*G2243</f>
        <v>0</v>
      </c>
      <c r="N2243" s="2613">
        <f t="shared" ref="N2243:N2256" si="438">J2243*G2243</f>
        <v>0</v>
      </c>
      <c r="O2243" s="2614">
        <f t="shared" ref="O2243:O2256" si="439">K2243*G2243</f>
        <v>0</v>
      </c>
      <c r="P2243" s="2693"/>
      <c r="Q2243" s="2519"/>
      <c r="R2243" s="2519"/>
      <c r="S2243" s="2519"/>
    </row>
    <row r="2244" spans="1:19" s="2358" customFormat="1" outlineLevel="1">
      <c r="A2244" s="2435" t="str">
        <f t="shared" si="435"/>
        <v/>
      </c>
      <c r="B2244" s="2371" t="str">
        <f>"FCO100-"&amp;$F$8</f>
        <v>FCO100-22</v>
      </c>
      <c r="C2244" s="2521">
        <f t="shared" ref="C2244:C2252" si="440">IF(G2244&gt;0,C2243+1,C2243)</f>
        <v>0</v>
      </c>
      <c r="D2244" s="2405" t="s">
        <v>5660</v>
      </c>
      <c r="E2244" s="2447" t="s">
        <v>95</v>
      </c>
      <c r="F2244" s="2405" t="s">
        <v>2563</v>
      </c>
      <c r="G2244" s="2611">
        <f>G2243*3</f>
        <v>0</v>
      </c>
      <c r="H2244" s="2517">
        <v>2244280</v>
      </c>
      <c r="I2244" s="2517">
        <v>0</v>
      </c>
      <c r="J2244" s="2517">
        <v>222639.99999999997</v>
      </c>
      <c r="K2244" s="2517">
        <v>0</v>
      </c>
      <c r="L2244" s="2517">
        <f t="shared" si="436"/>
        <v>0</v>
      </c>
      <c r="M2244" s="2517">
        <f t="shared" si="437"/>
        <v>0</v>
      </c>
      <c r="N2244" s="2517">
        <f t="shared" si="438"/>
        <v>0</v>
      </c>
      <c r="O2244" s="2517">
        <f t="shared" si="439"/>
        <v>0</v>
      </c>
      <c r="P2244" s="2694"/>
      <c r="Q2244" s="2519"/>
      <c r="R2244" s="2519"/>
      <c r="S2244" s="2519"/>
    </row>
    <row r="2245" spans="1:19" s="2358" customFormat="1" outlineLevel="1">
      <c r="A2245" s="2435" t="str">
        <f t="shared" si="435"/>
        <v/>
      </c>
      <c r="B2245" s="2505" t="str">
        <f>IF($F$8=15,"chi30k","chi25k")</f>
        <v>chi25k</v>
      </c>
      <c r="C2245" s="2521">
        <f t="shared" si="440"/>
        <v>0</v>
      </c>
      <c r="D2245" s="2405">
        <v>0</v>
      </c>
      <c r="E2245" s="2447" t="s">
        <v>3447</v>
      </c>
      <c r="F2245" s="2405" t="s">
        <v>2608</v>
      </c>
      <c r="G2245" s="2611">
        <f>G2244</f>
        <v>0</v>
      </c>
      <c r="H2245" s="2517">
        <v>116000</v>
      </c>
      <c r="I2245" s="2517">
        <v>0</v>
      </c>
      <c r="J2245" s="2517">
        <v>0</v>
      </c>
      <c r="K2245" s="2517">
        <v>0</v>
      </c>
      <c r="L2245" s="2517">
        <f t="shared" si="436"/>
        <v>0</v>
      </c>
      <c r="M2245" s="2517">
        <f t="shared" si="437"/>
        <v>0</v>
      </c>
      <c r="N2245" s="2517">
        <f t="shared" si="438"/>
        <v>0</v>
      </c>
      <c r="O2245" s="2517">
        <f t="shared" si="439"/>
        <v>0</v>
      </c>
      <c r="P2245" s="2694"/>
      <c r="Q2245" s="2519"/>
      <c r="R2245" s="2519"/>
      <c r="S2245" s="2519"/>
    </row>
    <row r="2246" spans="1:19" s="2358" customFormat="1" outlineLevel="1">
      <c r="A2246" s="2435" t="str">
        <f t="shared" si="435"/>
        <v/>
      </c>
      <c r="B2246" s="2514" t="str">
        <f>"LA"&amp;$F$6</f>
        <v>LA18</v>
      </c>
      <c r="C2246" s="2521">
        <f t="shared" si="440"/>
        <v>0</v>
      </c>
      <c r="D2246" s="2405" t="s">
        <v>5664</v>
      </c>
      <c r="E2246" s="2447" t="s">
        <v>1193</v>
      </c>
      <c r="F2246" s="2405" t="s">
        <v>2563</v>
      </c>
      <c r="G2246" s="2611">
        <f>G2244</f>
        <v>0</v>
      </c>
      <c r="H2246" s="2517">
        <v>1106000</v>
      </c>
      <c r="I2246" s="2517">
        <v>0</v>
      </c>
      <c r="J2246" s="2517">
        <v>83490</v>
      </c>
      <c r="K2246" s="2517">
        <v>0</v>
      </c>
      <c r="L2246" s="2517">
        <f t="shared" si="436"/>
        <v>0</v>
      </c>
      <c r="M2246" s="2517">
        <f t="shared" si="437"/>
        <v>0</v>
      </c>
      <c r="N2246" s="2517">
        <f t="shared" si="438"/>
        <v>0</v>
      </c>
      <c r="O2246" s="2517">
        <f t="shared" si="439"/>
        <v>0</v>
      </c>
      <c r="P2246" s="2694"/>
      <c r="Q2246" s="2519"/>
      <c r="R2246" s="2519"/>
      <c r="S2246" s="2519"/>
    </row>
    <row r="2247" spans="1:19" s="2358" customFormat="1" outlineLevel="1">
      <c r="A2247" s="2435" t="str">
        <f t="shared" si="435"/>
        <v/>
      </c>
      <c r="B2247" s="2610" t="s">
        <v>882</v>
      </c>
      <c r="C2247" s="2521">
        <f t="shared" si="440"/>
        <v>0</v>
      </c>
      <c r="D2247" s="2405">
        <v>0</v>
      </c>
      <c r="E2247" s="2447" t="s">
        <v>3428</v>
      </c>
      <c r="F2247" s="2405" t="s">
        <v>2563</v>
      </c>
      <c r="G2247" s="2522">
        <f>G2243*0</f>
        <v>0</v>
      </c>
      <c r="H2247" s="2517">
        <v>64843000</v>
      </c>
      <c r="I2247" s="2517">
        <v>0</v>
      </c>
      <c r="J2247" s="2517">
        <v>0</v>
      </c>
      <c r="K2247" s="2517">
        <v>0</v>
      </c>
      <c r="L2247" s="2517">
        <f t="shared" si="436"/>
        <v>0</v>
      </c>
      <c r="M2247" s="2517">
        <f t="shared" si="437"/>
        <v>0</v>
      </c>
      <c r="N2247" s="2517">
        <f t="shared" si="438"/>
        <v>0</v>
      </c>
      <c r="O2247" s="2517">
        <f t="shared" si="439"/>
        <v>0</v>
      </c>
      <c r="P2247" s="2642"/>
      <c r="Q2247" s="2519"/>
      <c r="R2247" s="2519"/>
      <c r="S2247" s="2519"/>
    </row>
    <row r="2248" spans="1:19" s="2358" customFormat="1" outlineLevel="1">
      <c r="A2248" s="2435" t="str">
        <f>IF(G2248&lt;&gt;0,1,"")</f>
        <v/>
      </c>
      <c r="B2248" s="2610" t="s">
        <v>1465</v>
      </c>
      <c r="C2248" s="2521">
        <f>IF(G2248&gt;0,C2247+1,C2247)</f>
        <v>0</v>
      </c>
      <c r="D2248" s="2405" t="s">
        <v>5750</v>
      </c>
      <c r="E2248" s="2447" t="s">
        <v>5751</v>
      </c>
      <c r="F2248" s="2405" t="s">
        <v>2563</v>
      </c>
      <c r="G2248" s="2611">
        <f>G2243*2</f>
        <v>0</v>
      </c>
      <c r="H2248" s="2517">
        <v>25594000</v>
      </c>
      <c r="I2248" s="2517">
        <v>0</v>
      </c>
      <c r="J2248" s="2517">
        <v>1391500</v>
      </c>
      <c r="K2248" s="2517">
        <v>0</v>
      </c>
      <c r="L2248" s="2517">
        <f>H2248*G2248</f>
        <v>0</v>
      </c>
      <c r="M2248" s="2517">
        <f>I2248*G2248</f>
        <v>0</v>
      </c>
      <c r="N2248" s="2517">
        <f>J2248*G2248</f>
        <v>0</v>
      </c>
      <c r="O2248" s="2517">
        <f>K2248*G2248</f>
        <v>0</v>
      </c>
      <c r="P2248" s="2694"/>
      <c r="Q2248" s="2519"/>
      <c r="R2248" s="2519"/>
      <c r="S2248" s="2519"/>
    </row>
    <row r="2249" spans="1:19" s="2358" customFormat="1" outlineLevel="1">
      <c r="A2249" s="2435" t="str">
        <f>IF(G2249&lt;&gt;0,1,"")</f>
        <v/>
      </c>
      <c r="B2249" s="2610" t="s">
        <v>1220</v>
      </c>
      <c r="C2249" s="2521">
        <f>IF(G2249&gt;0,C2247+1,C2247)</f>
        <v>0</v>
      </c>
      <c r="D2249" s="2405">
        <v>0</v>
      </c>
      <c r="E2249" s="2447" t="s">
        <v>3427</v>
      </c>
      <c r="F2249" s="2405" t="s">
        <v>2563</v>
      </c>
      <c r="G2249" s="2522"/>
      <c r="H2249" s="2517">
        <v>28075000</v>
      </c>
      <c r="I2249" s="2517">
        <v>0</v>
      </c>
      <c r="J2249" s="2517">
        <v>0</v>
      </c>
      <c r="K2249" s="2517">
        <v>0</v>
      </c>
      <c r="L2249" s="2517">
        <f>H2249*G2249</f>
        <v>0</v>
      </c>
      <c r="M2249" s="2517">
        <f>I2249*G2249</f>
        <v>0</v>
      </c>
      <c r="N2249" s="2517">
        <f>J2249*G2249</f>
        <v>0</v>
      </c>
      <c r="O2249" s="2517">
        <f>K2249*G2249</f>
        <v>0</v>
      </c>
      <c r="P2249" s="2642"/>
      <c r="Q2249" s="2519"/>
      <c r="R2249" s="2519"/>
      <c r="S2249" s="2519"/>
    </row>
    <row r="2250" spans="1:19" s="2358" customFormat="1" outlineLevel="1">
      <c r="A2250" s="2435" t="str">
        <f>IF(G2250&lt;&gt;0,1,"")</f>
        <v/>
      </c>
      <c r="B2250" s="2610" t="s">
        <v>201</v>
      </c>
      <c r="C2250" s="2521">
        <f t="shared" si="440"/>
        <v>0</v>
      </c>
      <c r="D2250" s="2405">
        <v>0</v>
      </c>
      <c r="E2250" s="2447" t="s">
        <v>3422</v>
      </c>
      <c r="F2250" s="2405" t="s">
        <v>2563</v>
      </c>
      <c r="G2250" s="2522"/>
      <c r="H2250" s="2517">
        <v>1750000</v>
      </c>
      <c r="I2250" s="2517">
        <v>0</v>
      </c>
      <c r="J2250" s="2517">
        <v>0</v>
      </c>
      <c r="K2250" s="2517">
        <v>0</v>
      </c>
      <c r="L2250" s="2517">
        <f>H2250*G2250</f>
        <v>0</v>
      </c>
      <c r="M2250" s="2517">
        <f>I2250*G2250</f>
        <v>0</v>
      </c>
      <c r="N2250" s="2517">
        <f>J2250*G2250</f>
        <v>0</v>
      </c>
      <c r="O2250" s="2517">
        <f>K2250*G2250</f>
        <v>0</v>
      </c>
      <c r="P2250" s="2642"/>
      <c r="Q2250" s="2519"/>
      <c r="R2250" s="2519"/>
      <c r="S2250" s="2519"/>
    </row>
    <row r="2251" spans="1:19" s="2358" customFormat="1" outlineLevel="1">
      <c r="A2251" s="2435" t="str">
        <f>IF(G2251&lt;&gt;0,1,"")</f>
        <v/>
      </c>
      <c r="B2251" s="2610" t="s">
        <v>936</v>
      </c>
      <c r="C2251" s="2521">
        <f t="shared" si="440"/>
        <v>0</v>
      </c>
      <c r="D2251" s="2405">
        <v>0</v>
      </c>
      <c r="E2251" s="2447" t="s">
        <v>5741</v>
      </c>
      <c r="F2251" s="2405" t="s">
        <v>2563</v>
      </c>
      <c r="G2251" s="2522"/>
      <c r="H2251" s="2517">
        <v>2616000</v>
      </c>
      <c r="I2251" s="2517">
        <v>0</v>
      </c>
      <c r="J2251" s="2517">
        <v>0</v>
      </c>
      <c r="K2251" s="2517">
        <v>0</v>
      </c>
      <c r="L2251" s="2517">
        <f>H2251*G2251</f>
        <v>0</v>
      </c>
      <c r="M2251" s="2517">
        <f>I2251*G2251</f>
        <v>0</v>
      </c>
      <c r="N2251" s="2517">
        <f>J2251*G2251</f>
        <v>0</v>
      </c>
      <c r="O2251" s="2517">
        <f>K2251*G2251</f>
        <v>0</v>
      </c>
      <c r="P2251" s="2642"/>
      <c r="Q2251" s="2519"/>
      <c r="R2251" s="2519"/>
      <c r="S2251" s="2519"/>
    </row>
    <row r="2252" spans="1:19" s="2358" customFormat="1" outlineLevel="1">
      <c r="A2252" s="2435" t="str">
        <f>IF(G2252&lt;&gt;0,1,"")</f>
        <v/>
      </c>
      <c r="B2252" s="2610" t="s">
        <v>1221</v>
      </c>
      <c r="C2252" s="2521">
        <f t="shared" si="440"/>
        <v>0</v>
      </c>
      <c r="D2252" s="2405">
        <v>0</v>
      </c>
      <c r="E2252" s="2447" t="s">
        <v>5738</v>
      </c>
      <c r="F2252" s="2405" t="s">
        <v>2563</v>
      </c>
      <c r="G2252" s="2522"/>
      <c r="H2252" s="2517">
        <v>2616000</v>
      </c>
      <c r="I2252" s="2517">
        <v>0</v>
      </c>
      <c r="J2252" s="2517">
        <v>0</v>
      </c>
      <c r="K2252" s="2517">
        <v>0</v>
      </c>
      <c r="L2252" s="2517">
        <f>H2252*G2252</f>
        <v>0</v>
      </c>
      <c r="M2252" s="2517">
        <f>I2252*G2252</f>
        <v>0</v>
      </c>
      <c r="N2252" s="2517">
        <f>J2252*G2252</f>
        <v>0</v>
      </c>
      <c r="O2252" s="2517">
        <f>K2252*G2252</f>
        <v>0</v>
      </c>
      <c r="P2252" s="2642"/>
      <c r="Q2252" s="2519"/>
      <c r="R2252" s="2519"/>
      <c r="S2252" s="2519"/>
    </row>
    <row r="2253" spans="1:19" s="2358" customFormat="1" outlineLevel="1">
      <c r="A2253" s="2435" t="str">
        <f t="shared" si="435"/>
        <v/>
      </c>
      <c r="B2253" s="2610" t="s">
        <v>883</v>
      </c>
      <c r="C2253" s="2521">
        <f>IF(G2253&gt;0,C2247+1,C2247)</f>
        <v>0</v>
      </c>
      <c r="D2253" s="2405" t="s">
        <v>1025</v>
      </c>
      <c r="E2253" s="2447" t="s">
        <v>3395</v>
      </c>
      <c r="F2253" s="2405" t="s">
        <v>3388</v>
      </c>
      <c r="G2253" s="2522">
        <f>G2243*0</f>
        <v>0</v>
      </c>
      <c r="H2253" s="2517">
        <v>25700880</v>
      </c>
      <c r="I2253" s="2517">
        <v>0</v>
      </c>
      <c r="J2253" s="2517">
        <v>98101</v>
      </c>
      <c r="K2253" s="2517">
        <v>59254</v>
      </c>
      <c r="L2253" s="2517">
        <f t="shared" si="436"/>
        <v>0</v>
      </c>
      <c r="M2253" s="2517">
        <f t="shared" si="437"/>
        <v>0</v>
      </c>
      <c r="N2253" s="2517">
        <f t="shared" si="438"/>
        <v>0</v>
      </c>
      <c r="O2253" s="2517">
        <f t="shared" si="439"/>
        <v>0</v>
      </c>
      <c r="P2253" s="2642"/>
      <c r="Q2253" s="2519"/>
      <c r="R2253" s="2519"/>
      <c r="S2253" s="2519"/>
    </row>
    <row r="2254" spans="1:19" s="2358" customFormat="1" outlineLevel="1">
      <c r="A2254" s="2435" t="str">
        <f t="shared" si="435"/>
        <v/>
      </c>
      <c r="B2254" s="2505" t="s">
        <v>2047</v>
      </c>
      <c r="C2254" s="2521">
        <f>IF(G2254&gt;0,C2253+1,C2253)</f>
        <v>0</v>
      </c>
      <c r="D2254" s="2405">
        <v>0</v>
      </c>
      <c r="E2254" s="2447" t="s">
        <v>3383</v>
      </c>
      <c r="F2254" s="2405" t="s">
        <v>2563</v>
      </c>
      <c r="G2254" s="2643">
        <f>G2243*3*0</f>
        <v>0</v>
      </c>
      <c r="H2254" s="2517">
        <v>0</v>
      </c>
      <c r="I2254" s="2517">
        <v>0</v>
      </c>
      <c r="J2254" s="2517">
        <v>0</v>
      </c>
      <c r="K2254" s="2517">
        <v>0</v>
      </c>
      <c r="L2254" s="2517">
        <f t="shared" si="436"/>
        <v>0</v>
      </c>
      <c r="M2254" s="2517">
        <f t="shared" si="437"/>
        <v>0</v>
      </c>
      <c r="N2254" s="2517">
        <f t="shared" si="438"/>
        <v>0</v>
      </c>
      <c r="O2254" s="2517">
        <f t="shared" si="439"/>
        <v>0</v>
      </c>
      <c r="P2254" s="2644" t="s">
        <v>2609</v>
      </c>
      <c r="Q2254" s="2519"/>
      <c r="R2254" s="2519"/>
      <c r="S2254" s="2519"/>
    </row>
    <row r="2255" spans="1:19" s="2358" customFormat="1" outlineLevel="1">
      <c r="A2255" s="2435" t="str">
        <f>IF(G2255&lt;&gt;0,1,"")</f>
        <v/>
      </c>
      <c r="B2255" s="2505" t="s">
        <v>2047</v>
      </c>
      <c r="C2255" s="2521">
        <f>IF(G2255&gt;0,C2254+1,C2254)</f>
        <v>0</v>
      </c>
      <c r="D2255" s="2405">
        <v>0</v>
      </c>
      <c r="E2255" s="2447" t="s">
        <v>3383</v>
      </c>
      <c r="F2255" s="2405" t="s">
        <v>2563</v>
      </c>
      <c r="G2255" s="2797">
        <f>G2243*3</f>
        <v>0</v>
      </c>
      <c r="H2255" s="2517">
        <v>0</v>
      </c>
      <c r="I2255" s="2517">
        <v>0</v>
      </c>
      <c r="J2255" s="2517">
        <v>0</v>
      </c>
      <c r="K2255" s="2517">
        <v>0</v>
      </c>
      <c r="L2255" s="2517">
        <f>H2255*G2255</f>
        <v>0</v>
      </c>
      <c r="M2255" s="2517">
        <f>I2255*G2255</f>
        <v>0</v>
      </c>
      <c r="N2255" s="2517">
        <f>J2255*G2255</f>
        <v>0</v>
      </c>
      <c r="O2255" s="2517">
        <f>K2255*G2255</f>
        <v>0</v>
      </c>
      <c r="P2255" s="2696" t="s">
        <v>2609</v>
      </c>
      <c r="Q2255" s="2519"/>
      <c r="R2255" s="2519"/>
      <c r="S2255" s="2519"/>
    </row>
    <row r="2256" spans="1:19" s="2358" customFormat="1" outlineLevel="1">
      <c r="A2256" s="2435" t="str">
        <f t="shared" si="435"/>
        <v/>
      </c>
      <c r="B2256" s="2505" t="s">
        <v>1463</v>
      </c>
      <c r="C2256" s="2521">
        <f>IF(G2256&gt;0,C2254+1,C2254)</f>
        <v>0</v>
      </c>
      <c r="D2256" s="2405">
        <v>0</v>
      </c>
      <c r="E2256" s="2447" t="s">
        <v>3459</v>
      </c>
      <c r="F2256" s="2405" t="s">
        <v>2563</v>
      </c>
      <c r="G2256" s="2797">
        <f>G2243</f>
        <v>0</v>
      </c>
      <c r="H2256" s="2517">
        <v>0</v>
      </c>
      <c r="I2256" s="2517">
        <v>0</v>
      </c>
      <c r="J2256" s="2517">
        <v>0</v>
      </c>
      <c r="K2256" s="2517">
        <v>0</v>
      </c>
      <c r="L2256" s="2517">
        <f t="shared" si="436"/>
        <v>0</v>
      </c>
      <c r="M2256" s="2613">
        <f t="shared" si="437"/>
        <v>0</v>
      </c>
      <c r="N2256" s="2613">
        <f t="shared" si="438"/>
        <v>0</v>
      </c>
      <c r="O2256" s="2614">
        <f t="shared" si="439"/>
        <v>0</v>
      </c>
      <c r="P2256" s="2697" t="s">
        <v>2609</v>
      </c>
      <c r="Q2256" s="2519"/>
      <c r="R2256" s="2519"/>
      <c r="S2256" s="2519"/>
    </row>
    <row r="2257" spans="1:20" s="2358" customFormat="1" outlineLevel="1">
      <c r="A2257" s="2435">
        <f>IF(SUM(L2257:O2257)&lt;&gt;0,1,)</f>
        <v>0</v>
      </c>
      <c r="B2257" s="2514"/>
      <c r="C2257" s="2646"/>
      <c r="D2257" s="2647"/>
      <c r="E2257" s="2648"/>
      <c r="F2257" s="2646"/>
      <c r="G2257" s="2698"/>
      <c r="H2257" s="2646"/>
      <c r="I2257" s="2646"/>
      <c r="J2257" s="2370" t="s">
        <v>6195</v>
      </c>
      <c r="K2257" s="2646"/>
      <c r="L2257" s="2648">
        <f>SUM(L2243:L2256)</f>
        <v>0</v>
      </c>
      <c r="M2257" s="2648">
        <f>SUM(M2243:M2256)</f>
        <v>0</v>
      </c>
      <c r="N2257" s="2648">
        <f>SUM(N2243:N2256)</f>
        <v>0</v>
      </c>
      <c r="O2257" s="2648">
        <f>SUM(O2243:O2256)</f>
        <v>0</v>
      </c>
      <c r="P2257" s="2699"/>
      <c r="Q2257" s="2519">
        <f>L2257+L1644+L1369</f>
        <v>0</v>
      </c>
      <c r="R2257" s="2519">
        <f>M2257+M1644+M1369</f>
        <v>0</v>
      </c>
      <c r="S2257" s="2519">
        <f>N2257+N1644+N1369</f>
        <v>0</v>
      </c>
      <c r="T2257" s="2519">
        <f>O2257+O1644+O1369</f>
        <v>0</v>
      </c>
    </row>
    <row r="2258" spans="1:20" s="2358" customFormat="1" outlineLevel="1">
      <c r="A2258" s="2435"/>
      <c r="B2258" s="2514"/>
      <c r="C2258" s="2650"/>
      <c r="D2258" s="2651"/>
      <c r="E2258" s="2652" t="s">
        <v>3691</v>
      </c>
      <c r="F2258" s="2652"/>
      <c r="G2258" s="2700"/>
      <c r="H2258" s="2652"/>
      <c r="I2258" s="2652"/>
      <c r="J2258" s="2652"/>
      <c r="K2258" s="2652"/>
      <c r="L2258" s="2652"/>
      <c r="M2258" s="2652"/>
      <c r="N2258" s="2652"/>
      <c r="O2258" s="2651"/>
      <c r="P2258" s="2699"/>
      <c r="Q2258" s="2519"/>
      <c r="R2258" s="2519"/>
      <c r="S2258" s="2519"/>
    </row>
    <row r="2259" spans="1:20" s="2358" customFormat="1" outlineLevel="1">
      <c r="A2259" s="2435" t="str">
        <f t="shared" ref="A2259:A2277" si="441">IF(G2259&lt;&gt;0,1,"")</f>
        <v/>
      </c>
      <c r="B2259" s="2654"/>
      <c r="C2259" s="2655">
        <f>IF(G2259&gt;0,1,0)</f>
        <v>0</v>
      </c>
      <c r="D2259" s="2405"/>
      <c r="E2259" s="2656" t="s">
        <v>6196</v>
      </c>
      <c r="F2259" s="2657" t="s">
        <v>2283</v>
      </c>
      <c r="G2259" s="2658">
        <f>G2243*2*0</f>
        <v>0</v>
      </c>
      <c r="H2259" s="2657"/>
      <c r="I2259" s="2657"/>
      <c r="J2259" s="2657"/>
      <c r="K2259" s="2657"/>
      <c r="L2259" s="2658"/>
      <c r="M2259" s="2658"/>
      <c r="N2259" s="2658"/>
      <c r="O2259" s="2659"/>
      <c r="P2259" s="2642"/>
      <c r="Q2259" s="2519"/>
      <c r="R2259" s="2519"/>
      <c r="S2259" s="2519"/>
    </row>
    <row r="2260" spans="1:20" s="2358" customFormat="1" outlineLevel="1">
      <c r="A2260" s="2435" t="str">
        <f t="shared" si="441"/>
        <v/>
      </c>
      <c r="B2260" s="2610" t="s">
        <v>115</v>
      </c>
      <c r="C2260" s="2660"/>
      <c r="D2260" s="2405"/>
      <c r="E2260" s="2661" t="s">
        <v>3009</v>
      </c>
      <c r="F2260" s="2405" t="s">
        <v>2839</v>
      </c>
      <c r="G2260" s="2405">
        <f>G2259</f>
        <v>0</v>
      </c>
      <c r="H2260" s="2612">
        <v>4400000</v>
      </c>
      <c r="I2260" s="2511"/>
      <c r="J2260" s="2612"/>
      <c r="K2260" s="2511"/>
      <c r="L2260" s="2613">
        <f>H2260*G2260</f>
        <v>0</v>
      </c>
      <c r="M2260" s="2613">
        <f>I2260*G2260</f>
        <v>0</v>
      </c>
      <c r="N2260" s="2613">
        <f>J2260*G2260</f>
        <v>0</v>
      </c>
      <c r="O2260" s="2613">
        <f>K2260*G2260</f>
        <v>0</v>
      </c>
      <c r="P2260" s="2642"/>
      <c r="Q2260" s="2519"/>
      <c r="R2260" s="2519"/>
      <c r="S2260" s="2519"/>
    </row>
    <row r="2261" spans="1:20" s="2358" customFormat="1" outlineLevel="1">
      <c r="A2261" s="2435" t="str">
        <f t="shared" si="441"/>
        <v/>
      </c>
      <c r="B2261" s="2610" t="s">
        <v>1818</v>
      </c>
      <c r="C2261" s="2660"/>
      <c r="D2261" s="2405"/>
      <c r="E2261" s="2661" t="s">
        <v>2838</v>
      </c>
      <c r="F2261" s="2405" t="s">
        <v>2839</v>
      </c>
      <c r="G2261" s="2405">
        <f>G2260</f>
        <v>0</v>
      </c>
      <c r="H2261" s="2612">
        <v>17400</v>
      </c>
      <c r="I2261" s="2612"/>
      <c r="J2261" s="2511"/>
      <c r="K2261" s="2511"/>
      <c r="L2261" s="2613">
        <f>H2261*G2261</f>
        <v>0</v>
      </c>
      <c r="M2261" s="2613">
        <f>I2261*G2261</f>
        <v>0</v>
      </c>
      <c r="N2261" s="2613">
        <f>J2261*G2261</f>
        <v>0</v>
      </c>
      <c r="O2261" s="2613">
        <f>K2261*G2261</f>
        <v>0</v>
      </c>
      <c r="P2261" s="2642"/>
      <c r="Q2261" s="2519"/>
      <c r="R2261" s="2519"/>
      <c r="S2261" s="2519"/>
    </row>
    <row r="2262" spans="1:20" s="2358" customFormat="1" outlineLevel="1">
      <c r="A2262" s="2435" t="str">
        <f t="shared" si="441"/>
        <v/>
      </c>
      <c r="B2262" s="2610" t="s">
        <v>643</v>
      </c>
      <c r="C2262" s="2660"/>
      <c r="D2262" s="2405" t="s">
        <v>2133</v>
      </c>
      <c r="E2262" s="2661" t="s">
        <v>3185</v>
      </c>
      <c r="F2262" s="2405" t="s">
        <v>2839</v>
      </c>
      <c r="G2262" s="2405">
        <f>G2260</f>
        <v>0</v>
      </c>
      <c r="H2262" s="2661"/>
      <c r="I2262" s="2612"/>
      <c r="J2262" s="2612">
        <v>112286</v>
      </c>
      <c r="K2262" s="2612">
        <v>105970</v>
      </c>
      <c r="L2262" s="2613">
        <f>H2262*G2262</f>
        <v>0</v>
      </c>
      <c r="M2262" s="2613">
        <f>I2262*G2262</f>
        <v>0</v>
      </c>
      <c r="N2262" s="2613">
        <f>J2262*G2262</f>
        <v>0</v>
      </c>
      <c r="O2262" s="2613">
        <f>K2262*G2262</f>
        <v>0</v>
      </c>
      <c r="P2262" s="2642"/>
      <c r="Q2262" s="2519"/>
      <c r="R2262" s="2519"/>
      <c r="S2262" s="2519"/>
    </row>
    <row r="2263" spans="1:20" s="2358" customFormat="1" outlineLevel="1">
      <c r="A2263" s="2435" t="str">
        <f t="shared" si="441"/>
        <v/>
      </c>
      <c r="B2263" s="2654"/>
      <c r="C2263" s="2655">
        <f>IF(G2263&gt;0,1,0)</f>
        <v>0</v>
      </c>
      <c r="D2263" s="2405"/>
      <c r="E2263" s="2656" t="s">
        <v>6291</v>
      </c>
      <c r="F2263" s="2657" t="s">
        <v>2283</v>
      </c>
      <c r="G2263" s="2658">
        <f>G2243*2*0</f>
        <v>0</v>
      </c>
      <c r="H2263" s="2657"/>
      <c r="I2263" s="2657"/>
      <c r="J2263" s="2657"/>
      <c r="K2263" s="2657"/>
      <c r="L2263" s="2658"/>
      <c r="M2263" s="2658"/>
      <c r="N2263" s="2658"/>
      <c r="O2263" s="2659"/>
      <c r="P2263" s="2518"/>
      <c r="Q2263" s="2519"/>
      <c r="R2263" s="2519"/>
      <c r="S2263" s="2519"/>
    </row>
    <row r="2264" spans="1:20" s="2358" customFormat="1" outlineLevel="1">
      <c r="A2264" s="2435" t="str">
        <f t="shared" si="441"/>
        <v/>
      </c>
      <c r="B2264" s="2610" t="s">
        <v>114</v>
      </c>
      <c r="C2264" s="2660"/>
      <c r="D2264" s="2405"/>
      <c r="E2264" s="2661" t="s">
        <v>3008</v>
      </c>
      <c r="F2264" s="2405" t="s">
        <v>2839</v>
      </c>
      <c r="G2264" s="2405">
        <f>G2263</f>
        <v>0</v>
      </c>
      <c r="H2264" s="2612">
        <v>4200000</v>
      </c>
      <c r="I2264" s="2511"/>
      <c r="J2264" s="2612"/>
      <c r="K2264" s="2511"/>
      <c r="L2264" s="2613">
        <f>H2264*G2264</f>
        <v>0</v>
      </c>
      <c r="M2264" s="2613">
        <f>I2264*G2264</f>
        <v>0</v>
      </c>
      <c r="N2264" s="2613">
        <f>J2264*G2264</f>
        <v>0</v>
      </c>
      <c r="O2264" s="2613">
        <f>K2264*G2264</f>
        <v>0</v>
      </c>
      <c r="P2264" s="2518"/>
      <c r="Q2264" s="2519"/>
      <c r="R2264" s="2519"/>
      <c r="S2264" s="2519"/>
    </row>
    <row r="2265" spans="1:20" s="2358" customFormat="1" outlineLevel="1">
      <c r="A2265" s="2435" t="str">
        <f t="shared" si="441"/>
        <v/>
      </c>
      <c r="B2265" s="2610" t="s">
        <v>1818</v>
      </c>
      <c r="C2265" s="2660"/>
      <c r="D2265" s="2405"/>
      <c r="E2265" s="2661" t="s">
        <v>2838</v>
      </c>
      <c r="F2265" s="2405" t="s">
        <v>2839</v>
      </c>
      <c r="G2265" s="2405">
        <f>G2264</f>
        <v>0</v>
      </c>
      <c r="H2265" s="2612">
        <v>17400</v>
      </c>
      <c r="I2265" s="2612"/>
      <c r="J2265" s="2511"/>
      <c r="K2265" s="2511"/>
      <c r="L2265" s="2613">
        <f>H2265*G2265</f>
        <v>0</v>
      </c>
      <c r="M2265" s="2613">
        <f>I2265*G2265</f>
        <v>0</v>
      </c>
      <c r="N2265" s="2613">
        <f>J2265*G2265</f>
        <v>0</v>
      </c>
      <c r="O2265" s="2613">
        <f>K2265*G2265</f>
        <v>0</v>
      </c>
      <c r="P2265" s="2518"/>
      <c r="Q2265" s="2519"/>
      <c r="R2265" s="2519"/>
      <c r="S2265" s="2519"/>
    </row>
    <row r="2266" spans="1:20" s="2358" customFormat="1" outlineLevel="1">
      <c r="A2266" s="2435" t="str">
        <f t="shared" si="441"/>
        <v/>
      </c>
      <c r="B2266" s="2610" t="s">
        <v>644</v>
      </c>
      <c r="C2266" s="2660"/>
      <c r="D2266" s="2405" t="s">
        <v>2133</v>
      </c>
      <c r="E2266" s="2661" t="s">
        <v>3186</v>
      </c>
      <c r="F2266" s="2405" t="s">
        <v>2839</v>
      </c>
      <c r="G2266" s="2405">
        <f>G2264</f>
        <v>0</v>
      </c>
      <c r="H2266" s="2661"/>
      <c r="I2266" s="2612"/>
      <c r="J2266" s="2612">
        <v>112286</v>
      </c>
      <c r="K2266" s="2612">
        <v>105970</v>
      </c>
      <c r="L2266" s="2613">
        <f>H2266*G2266</f>
        <v>0</v>
      </c>
      <c r="M2266" s="2613">
        <f>I2266*G2266</f>
        <v>0</v>
      </c>
      <c r="N2266" s="2613">
        <f>J2266*G2266</f>
        <v>0</v>
      </c>
      <c r="O2266" s="2613">
        <f>K2266*G2266</f>
        <v>0</v>
      </c>
      <c r="P2266" s="2518"/>
      <c r="Q2266" s="2519"/>
      <c r="R2266" s="2519"/>
      <c r="S2266" s="2519"/>
    </row>
    <row r="2267" spans="1:20" s="2358" customFormat="1" outlineLevel="1">
      <c r="A2267" s="2435" t="str">
        <f t="shared" si="441"/>
        <v/>
      </c>
      <c r="B2267" s="2610"/>
      <c r="C2267" s="2511">
        <f>IF(G2267&gt;0,C2259+1,C2259)</f>
        <v>0</v>
      </c>
      <c r="D2267" s="2405"/>
      <c r="E2267" s="2656" t="s">
        <v>2360</v>
      </c>
      <c r="F2267" s="2657" t="s">
        <v>2333</v>
      </c>
      <c r="G2267" s="2662">
        <f>G2259</f>
        <v>0</v>
      </c>
      <c r="H2267" s="2511"/>
      <c r="I2267" s="2511"/>
      <c r="J2267" s="2511"/>
      <c r="K2267" s="2511"/>
      <c r="L2267" s="2511"/>
      <c r="M2267" s="2511"/>
      <c r="N2267" s="2511"/>
      <c r="O2267" s="2663"/>
      <c r="P2267" s="2642"/>
      <c r="Q2267" s="2519"/>
      <c r="R2267" s="2519"/>
      <c r="S2267" s="2519"/>
    </row>
    <row r="2268" spans="1:20" s="2358" customFormat="1" outlineLevel="1">
      <c r="A2268" s="2435" t="str">
        <f t="shared" si="441"/>
        <v/>
      </c>
      <c r="B2268" s="2610" t="s">
        <v>636</v>
      </c>
      <c r="C2268" s="2660"/>
      <c r="D2268" s="2405" t="s">
        <v>5099</v>
      </c>
      <c r="E2268" s="2661" t="s">
        <v>2615</v>
      </c>
      <c r="F2268" s="2405" t="s">
        <v>2563</v>
      </c>
      <c r="G2268" s="2798">
        <f>G2267*2</f>
        <v>0</v>
      </c>
      <c r="H2268" s="2612">
        <v>354545</v>
      </c>
      <c r="I2268" s="2612"/>
      <c r="J2268" s="2612">
        <v>37220.25</v>
      </c>
      <c r="K2268" s="2511"/>
      <c r="L2268" s="2613">
        <f>H2268*G2268</f>
        <v>0</v>
      </c>
      <c r="M2268" s="2613">
        <f>I2268*G2268</f>
        <v>0</v>
      </c>
      <c r="N2268" s="2613">
        <f>J2268*G2268</f>
        <v>0</v>
      </c>
      <c r="O2268" s="2613">
        <f>K2268*G2268</f>
        <v>0</v>
      </c>
      <c r="P2268" s="2642"/>
      <c r="Q2268" s="2519"/>
      <c r="R2268" s="2519"/>
      <c r="S2268" s="2519"/>
    </row>
    <row r="2269" spans="1:20" s="2358" customFormat="1" outlineLevel="1">
      <c r="A2269" s="2435" t="str">
        <f t="shared" si="441"/>
        <v/>
      </c>
      <c r="B2269" s="2610" t="s">
        <v>566</v>
      </c>
      <c r="C2269" s="2660"/>
      <c r="D2269" s="2405"/>
      <c r="E2269" s="2661" t="s">
        <v>5124</v>
      </c>
      <c r="F2269" s="2405" t="s">
        <v>2445</v>
      </c>
      <c r="G2269" s="2798">
        <f>G2268</f>
        <v>0</v>
      </c>
      <c r="H2269" s="2612">
        <v>92200</v>
      </c>
      <c r="I2269" s="2661"/>
      <c r="J2269" s="2661"/>
      <c r="K2269" s="2511"/>
      <c r="L2269" s="2613">
        <f>H2269*G2269</f>
        <v>0</v>
      </c>
      <c r="M2269" s="2613">
        <f>I2269*G2269</f>
        <v>0</v>
      </c>
      <c r="N2269" s="2613">
        <f>J2269*G2269</f>
        <v>0</v>
      </c>
      <c r="O2269" s="2613">
        <f>K2269*G2269</f>
        <v>0</v>
      </c>
      <c r="P2269" s="2642"/>
      <c r="Q2269" s="2519"/>
      <c r="R2269" s="2519"/>
      <c r="S2269" s="2519"/>
    </row>
    <row r="2270" spans="1:20" s="2358" customFormat="1" outlineLevel="1">
      <c r="A2270" s="2435" t="str">
        <f t="shared" si="441"/>
        <v/>
      </c>
      <c r="B2270" s="2610" t="s">
        <v>639</v>
      </c>
      <c r="C2270" s="2660"/>
      <c r="D2270" s="2405" t="s">
        <v>1751</v>
      </c>
      <c r="E2270" s="2661" t="s">
        <v>5386</v>
      </c>
      <c r="F2270" s="2405" t="s">
        <v>856</v>
      </c>
      <c r="G2270" s="2523">
        <f>1.45*G2267</f>
        <v>0</v>
      </c>
      <c r="H2270" s="2612">
        <v>0</v>
      </c>
      <c r="I2270" s="2612"/>
      <c r="J2270" s="2612">
        <v>296500.89999999997</v>
      </c>
      <c r="K2270" s="2511"/>
      <c r="L2270" s="2613">
        <f>H2270*G2270</f>
        <v>0</v>
      </c>
      <c r="M2270" s="2613">
        <f>I2270*G2270</f>
        <v>0</v>
      </c>
      <c r="N2270" s="2613">
        <f>J2270*G2270</f>
        <v>0</v>
      </c>
      <c r="O2270" s="2613">
        <f>K2270*G2270</f>
        <v>0</v>
      </c>
      <c r="P2270" s="2642"/>
      <c r="Q2270" s="2519"/>
      <c r="R2270" s="2519"/>
      <c r="S2270" s="2519"/>
    </row>
    <row r="2271" spans="1:20" s="2358" customFormat="1" outlineLevel="1">
      <c r="A2271" s="2435" t="str">
        <f t="shared" si="441"/>
        <v/>
      </c>
      <c r="B2271" s="2610" t="s">
        <v>21</v>
      </c>
      <c r="C2271" s="2660"/>
      <c r="D2271" s="2405" t="s">
        <v>5387</v>
      </c>
      <c r="E2271" s="2661" t="s">
        <v>5388</v>
      </c>
      <c r="F2271" s="2405" t="s">
        <v>856</v>
      </c>
      <c r="G2271" s="2523">
        <f>1.37*G2267</f>
        <v>0</v>
      </c>
      <c r="H2271" s="2612">
        <v>0</v>
      </c>
      <c r="I2271" s="2612"/>
      <c r="J2271" s="2612">
        <v>117703.6</v>
      </c>
      <c r="K2271" s="2511"/>
      <c r="L2271" s="2613">
        <f>H2271*G2271</f>
        <v>0</v>
      </c>
      <c r="M2271" s="2613">
        <f>I2271*G2271</f>
        <v>0</v>
      </c>
      <c r="N2271" s="2613">
        <f>J2271*G2271</f>
        <v>0</v>
      </c>
      <c r="O2271" s="2613">
        <f>K2271*G2271</f>
        <v>0</v>
      </c>
      <c r="P2271" s="2642"/>
      <c r="Q2271" s="2519"/>
      <c r="R2271" s="2519"/>
      <c r="S2271" s="2519"/>
    </row>
    <row r="2272" spans="1:20" s="2358" customFormat="1" outlineLevel="1">
      <c r="A2272" s="2435" t="str">
        <f t="shared" si="441"/>
        <v/>
      </c>
      <c r="B2272" s="2610"/>
      <c r="C2272" s="2511">
        <f>IF(G2272&gt;0,C2264+1,C2264)</f>
        <v>0</v>
      </c>
      <c r="D2272" s="2405"/>
      <c r="E2272" s="2656" t="s">
        <v>3731</v>
      </c>
      <c r="F2272" s="2657" t="s">
        <v>2333</v>
      </c>
      <c r="G2272" s="2662">
        <f>G2263</f>
        <v>0</v>
      </c>
      <c r="H2272" s="2511"/>
      <c r="I2272" s="2511"/>
      <c r="J2272" s="2511"/>
      <c r="K2272" s="2511"/>
      <c r="L2272" s="2511"/>
      <c r="M2272" s="2511"/>
      <c r="N2272" s="2511"/>
      <c r="O2272" s="2663"/>
      <c r="P2272" s="2518"/>
      <c r="Q2272" s="2519"/>
      <c r="R2272" s="2519"/>
      <c r="S2272" s="2519"/>
    </row>
    <row r="2273" spans="1:19" s="2358" customFormat="1" outlineLevel="1">
      <c r="A2273" s="2435" t="str">
        <f t="shared" si="441"/>
        <v/>
      </c>
      <c r="B2273" s="2610" t="s">
        <v>636</v>
      </c>
      <c r="C2273" s="2660"/>
      <c r="D2273" s="2405" t="s">
        <v>5099</v>
      </c>
      <c r="E2273" s="2661" t="s">
        <v>2615</v>
      </c>
      <c r="F2273" s="2405" t="s">
        <v>2563</v>
      </c>
      <c r="G2273" s="2405">
        <f>G2272</f>
        <v>0</v>
      </c>
      <c r="H2273" s="2612">
        <v>354545</v>
      </c>
      <c r="I2273" s="2612"/>
      <c r="J2273" s="2612">
        <v>37220.25</v>
      </c>
      <c r="K2273" s="2511"/>
      <c r="L2273" s="2613">
        <f>H2273*G2273</f>
        <v>0</v>
      </c>
      <c r="M2273" s="2613">
        <f>I2273*G2273</f>
        <v>0</v>
      </c>
      <c r="N2273" s="2613">
        <f>J2273*G2273</f>
        <v>0</v>
      </c>
      <c r="O2273" s="2613">
        <f>K2273*G2273</f>
        <v>0</v>
      </c>
      <c r="P2273" s="2518"/>
      <c r="Q2273" s="2519"/>
      <c r="R2273" s="2519"/>
      <c r="S2273" s="2519"/>
    </row>
    <row r="2274" spans="1:19" s="2358" customFormat="1" outlineLevel="1">
      <c r="A2274" s="2435" t="str">
        <f t="shared" si="441"/>
        <v/>
      </c>
      <c r="B2274" s="2610" t="s">
        <v>566</v>
      </c>
      <c r="C2274" s="2660"/>
      <c r="D2274" s="2405"/>
      <c r="E2274" s="2661" t="s">
        <v>5124</v>
      </c>
      <c r="F2274" s="2405" t="s">
        <v>2445</v>
      </c>
      <c r="G2274" s="2405">
        <f>G2273</f>
        <v>0</v>
      </c>
      <c r="H2274" s="2612">
        <v>92200</v>
      </c>
      <c r="I2274" s="2661"/>
      <c r="J2274" s="2661"/>
      <c r="K2274" s="2511"/>
      <c r="L2274" s="2613">
        <f>H2274*G2274</f>
        <v>0</v>
      </c>
      <c r="M2274" s="2613">
        <f>I2274*G2274</f>
        <v>0</v>
      </c>
      <c r="N2274" s="2613">
        <f>J2274*G2274</f>
        <v>0</v>
      </c>
      <c r="O2274" s="2613">
        <f>K2274*G2274</f>
        <v>0</v>
      </c>
      <c r="P2274" s="2518"/>
      <c r="Q2274" s="2519"/>
      <c r="R2274" s="2519"/>
      <c r="S2274" s="2519"/>
    </row>
    <row r="2275" spans="1:19" s="2358" customFormat="1" outlineLevel="1">
      <c r="A2275" s="2435" t="str">
        <f t="shared" si="441"/>
        <v/>
      </c>
      <c r="B2275" s="2610" t="s">
        <v>639</v>
      </c>
      <c r="C2275" s="2660"/>
      <c r="D2275" s="2405" t="s">
        <v>1751</v>
      </c>
      <c r="E2275" s="2661" t="s">
        <v>5386</v>
      </c>
      <c r="F2275" s="2405" t="s">
        <v>856</v>
      </c>
      <c r="G2275" s="2523">
        <f>1.48*G2273</f>
        <v>0</v>
      </c>
      <c r="H2275" s="2612">
        <v>0</v>
      </c>
      <c r="I2275" s="2612"/>
      <c r="J2275" s="2612">
        <v>296500.89999999997</v>
      </c>
      <c r="K2275" s="2511"/>
      <c r="L2275" s="2613">
        <f>H2275*G2275</f>
        <v>0</v>
      </c>
      <c r="M2275" s="2613">
        <f>I2275*G2275</f>
        <v>0</v>
      </c>
      <c r="N2275" s="2613">
        <f>J2275*G2275</f>
        <v>0</v>
      </c>
      <c r="O2275" s="2613">
        <f>K2275*G2275</f>
        <v>0</v>
      </c>
      <c r="P2275" s="2518"/>
      <c r="Q2275" s="2519"/>
      <c r="R2275" s="2519"/>
      <c r="S2275" s="2519"/>
    </row>
    <row r="2276" spans="1:19" s="2358" customFormat="1" outlineLevel="1">
      <c r="A2276" s="2435" t="str">
        <f t="shared" si="441"/>
        <v/>
      </c>
      <c r="B2276" s="2610" t="s">
        <v>21</v>
      </c>
      <c r="C2276" s="2660"/>
      <c r="D2276" s="2405" t="s">
        <v>5387</v>
      </c>
      <c r="E2276" s="2661" t="s">
        <v>5388</v>
      </c>
      <c r="F2276" s="2405" t="s">
        <v>856</v>
      </c>
      <c r="G2276" s="2523">
        <f>1.39*G2272</f>
        <v>0</v>
      </c>
      <c r="H2276" s="2612">
        <v>0</v>
      </c>
      <c r="I2276" s="2612"/>
      <c r="J2276" s="2612">
        <v>117703.6</v>
      </c>
      <c r="K2276" s="2511"/>
      <c r="L2276" s="2613">
        <f>H2276*G2276</f>
        <v>0</v>
      </c>
      <c r="M2276" s="2613">
        <f>I2276*G2276</f>
        <v>0</v>
      </c>
      <c r="N2276" s="2613">
        <f>J2276*G2276</f>
        <v>0</v>
      </c>
      <c r="O2276" s="2613">
        <f>K2276*G2276</f>
        <v>0</v>
      </c>
      <c r="P2276" s="2518"/>
      <c r="Q2276" s="2519"/>
      <c r="R2276" s="2519"/>
      <c r="S2276" s="2519"/>
    </row>
    <row r="2277" spans="1:19" s="2358" customFormat="1" outlineLevel="1">
      <c r="A2277" s="2435" t="str">
        <f t="shared" si="441"/>
        <v/>
      </c>
      <c r="B2277" s="2514"/>
      <c r="C2277" s="2511">
        <f>IF(G2277&gt;0,C2267+1,C2267)</f>
        <v>0</v>
      </c>
      <c r="D2277" s="2664"/>
      <c r="E2277" s="2656" t="s">
        <v>3732</v>
      </c>
      <c r="F2277" s="2655" t="s">
        <v>2391</v>
      </c>
      <c r="G2277" s="2799">
        <f>G2243*1</f>
        <v>0</v>
      </c>
      <c r="H2277" s="2666"/>
      <c r="I2277" s="2666"/>
      <c r="J2277" s="2666"/>
      <c r="K2277" s="2666"/>
      <c r="L2277" s="2666"/>
      <c r="M2277" s="2666"/>
      <c r="N2277" s="2666"/>
      <c r="O2277" s="2666"/>
      <c r="P2277" s="2702"/>
      <c r="Q2277" s="2519"/>
      <c r="R2277" s="2519"/>
      <c r="S2277" s="2519"/>
    </row>
    <row r="2278" spans="1:19" s="2358" customFormat="1" ht="14.4" outlineLevel="1">
      <c r="A2278" s="2435" t="str">
        <f>A2277</f>
        <v/>
      </c>
      <c r="B2278" s="2514"/>
      <c r="C2278" s="2511"/>
      <c r="D2278" s="2667"/>
      <c r="E2278" s="2520" t="s">
        <v>6207</v>
      </c>
      <c r="F2278" s="2521"/>
      <c r="G2278" s="2631"/>
      <c r="H2278" s="2668"/>
      <c r="I2278" s="2668"/>
      <c r="J2278" s="2668"/>
      <c r="K2278" s="2668"/>
      <c r="L2278" s="2668"/>
      <c r="M2278" s="2668"/>
      <c r="N2278" s="2668"/>
      <c r="O2278" s="2668"/>
      <c r="P2278" s="2702"/>
      <c r="Q2278" s="2519"/>
      <c r="R2278" s="2519"/>
      <c r="S2278" s="2519"/>
    </row>
    <row r="2279" spans="1:19" s="2358" customFormat="1" outlineLevel="1">
      <c r="A2279" s="2435" t="str">
        <f t="shared" ref="A2279:A2284" si="442">IF(G2279&lt;&gt;0,1,"")</f>
        <v/>
      </c>
      <c r="B2279" s="2505" t="s">
        <v>1411</v>
      </c>
      <c r="C2279" s="2511"/>
      <c r="D2279" s="2405">
        <v>0</v>
      </c>
      <c r="E2279" s="2447" t="s">
        <v>6427</v>
      </c>
      <c r="F2279" s="2405" t="s">
        <v>2254</v>
      </c>
      <c r="G2279" s="2631">
        <f>19.8*2.8*2*G2277</f>
        <v>0</v>
      </c>
      <c r="H2279" s="2612">
        <v>31625</v>
      </c>
      <c r="I2279" s="2669"/>
      <c r="J2279" s="2612"/>
      <c r="K2279" s="2612">
        <v>0</v>
      </c>
      <c r="L2279" s="2613">
        <f t="shared" ref="L2279:L2303" si="443">H2279*G2279</f>
        <v>0</v>
      </c>
      <c r="M2279" s="2613">
        <f t="shared" ref="M2279:M2286" si="444">I2279*G2279</f>
        <v>0</v>
      </c>
      <c r="N2279" s="2612"/>
      <c r="O2279" s="2613">
        <f t="shared" ref="O2279:O2286" si="445">K2279*G2279</f>
        <v>0</v>
      </c>
      <c r="P2279" s="2702"/>
      <c r="Q2279" s="2519"/>
      <c r="R2279" s="2519"/>
      <c r="S2279" s="2519"/>
    </row>
    <row r="2280" spans="1:19" s="2358" customFormat="1" outlineLevel="1">
      <c r="A2280" s="2435" t="str">
        <f t="shared" si="442"/>
        <v/>
      </c>
      <c r="B2280" s="2505" t="s">
        <v>1137</v>
      </c>
      <c r="C2280" s="2511"/>
      <c r="D2280" s="2405">
        <v>0</v>
      </c>
      <c r="E2280" s="2447" t="s">
        <v>6413</v>
      </c>
      <c r="F2280" s="2405" t="s">
        <v>2254</v>
      </c>
      <c r="G2280" s="2631">
        <f>8.59*0.4*4*G2277</f>
        <v>0</v>
      </c>
      <c r="H2280" s="2612">
        <v>31625</v>
      </c>
      <c r="I2280" s="2669"/>
      <c r="J2280" s="2612"/>
      <c r="K2280" s="2612">
        <v>0</v>
      </c>
      <c r="L2280" s="2613">
        <f t="shared" si="443"/>
        <v>0</v>
      </c>
      <c r="M2280" s="2613">
        <f t="shared" si="444"/>
        <v>0</v>
      </c>
      <c r="N2280" s="2612"/>
      <c r="O2280" s="2613">
        <f t="shared" si="445"/>
        <v>0</v>
      </c>
      <c r="P2280" s="2702"/>
      <c r="Q2280" s="2519"/>
      <c r="R2280" s="2519"/>
      <c r="S2280" s="2519"/>
    </row>
    <row r="2281" spans="1:19" s="2358" customFormat="1" outlineLevel="1">
      <c r="A2281" s="2435" t="str">
        <f t="shared" si="442"/>
        <v/>
      </c>
      <c r="B2281" s="2505" t="s">
        <v>1138</v>
      </c>
      <c r="C2281" s="2511"/>
      <c r="D2281" s="2405">
        <v>0</v>
      </c>
      <c r="E2281" s="2447" t="s">
        <v>6414</v>
      </c>
      <c r="F2281" s="2405" t="s">
        <v>2254</v>
      </c>
      <c r="G2281" s="2631">
        <f>8.59*0.8*2*G2277</f>
        <v>0</v>
      </c>
      <c r="H2281" s="2612">
        <v>31625</v>
      </c>
      <c r="I2281" s="2669"/>
      <c r="J2281" s="2612"/>
      <c r="K2281" s="2612">
        <v>0</v>
      </c>
      <c r="L2281" s="2613">
        <f t="shared" si="443"/>
        <v>0</v>
      </c>
      <c r="M2281" s="2613">
        <f t="shared" si="444"/>
        <v>0</v>
      </c>
      <c r="N2281" s="2612"/>
      <c r="O2281" s="2613">
        <f t="shared" si="445"/>
        <v>0</v>
      </c>
      <c r="P2281" s="2702"/>
      <c r="Q2281" s="2519"/>
      <c r="R2281" s="2519"/>
      <c r="S2281" s="2519"/>
    </row>
    <row r="2282" spans="1:19" s="2358" customFormat="1" outlineLevel="1">
      <c r="A2282" s="2435" t="str">
        <f t="shared" si="442"/>
        <v/>
      </c>
      <c r="B2282" s="2514" t="s">
        <v>1785</v>
      </c>
      <c r="C2282" s="2511"/>
      <c r="D2282" s="2405">
        <v>0</v>
      </c>
      <c r="E2282" s="2447" t="s">
        <v>2670</v>
      </c>
      <c r="F2282" s="2405" t="s">
        <v>2445</v>
      </c>
      <c r="G2282" s="2611">
        <f>G2277*10</f>
        <v>0</v>
      </c>
      <c r="H2282" s="2612">
        <v>34800</v>
      </c>
      <c r="I2282" s="2669"/>
      <c r="J2282" s="2612">
        <v>0</v>
      </c>
      <c r="K2282" s="2612">
        <v>0</v>
      </c>
      <c r="L2282" s="2613">
        <f t="shared" si="443"/>
        <v>0</v>
      </c>
      <c r="M2282" s="2613">
        <f t="shared" si="444"/>
        <v>0</v>
      </c>
      <c r="N2282" s="2613">
        <f>J2282*G2282</f>
        <v>0</v>
      </c>
      <c r="O2282" s="2613">
        <f t="shared" si="445"/>
        <v>0</v>
      </c>
      <c r="P2282" s="2702"/>
      <c r="Q2282" s="2519"/>
      <c r="R2282" s="2519"/>
      <c r="S2282" s="2519"/>
    </row>
    <row r="2283" spans="1:19" s="2358" customFormat="1" outlineLevel="1">
      <c r="A2283" s="2435" t="str">
        <f t="shared" si="442"/>
        <v/>
      </c>
      <c r="B2283" s="2514" t="s">
        <v>1083</v>
      </c>
      <c r="C2283" s="2511"/>
      <c r="D2283" s="2405">
        <v>0</v>
      </c>
      <c r="E2283" s="2447" t="s">
        <v>2660</v>
      </c>
      <c r="F2283" s="2405" t="s">
        <v>2445</v>
      </c>
      <c r="G2283" s="2611">
        <f>G2277*2</f>
        <v>0</v>
      </c>
      <c r="H2283" s="2612">
        <v>29900</v>
      </c>
      <c r="I2283" s="2669"/>
      <c r="J2283" s="2612">
        <v>0</v>
      </c>
      <c r="K2283" s="2612">
        <v>0</v>
      </c>
      <c r="L2283" s="2613">
        <f t="shared" si="443"/>
        <v>0</v>
      </c>
      <c r="M2283" s="2613">
        <f t="shared" si="444"/>
        <v>0</v>
      </c>
      <c r="N2283" s="2613">
        <f>J2283*G2283</f>
        <v>0</v>
      </c>
      <c r="O2283" s="2613">
        <f t="shared" si="445"/>
        <v>0</v>
      </c>
      <c r="P2283" s="2702"/>
      <c r="Q2283" s="2519"/>
      <c r="R2283" s="2519"/>
      <c r="S2283" s="2519"/>
    </row>
    <row r="2284" spans="1:19" s="2358" customFormat="1" outlineLevel="1">
      <c r="A2284" s="2435" t="str">
        <f t="shared" si="442"/>
        <v/>
      </c>
      <c r="B2284" s="2514" t="s">
        <v>1079</v>
      </c>
      <c r="C2284" s="2511"/>
      <c r="D2284" s="2405">
        <v>0</v>
      </c>
      <c r="E2284" s="2447" t="s">
        <v>2659</v>
      </c>
      <c r="F2284" s="2405" t="s">
        <v>2445</v>
      </c>
      <c r="G2284" s="2611">
        <f>G2277*12</f>
        <v>0</v>
      </c>
      <c r="H2284" s="2612">
        <v>27900</v>
      </c>
      <c r="I2284" s="2669"/>
      <c r="J2284" s="2612">
        <v>0</v>
      </c>
      <c r="K2284" s="2612">
        <v>0</v>
      </c>
      <c r="L2284" s="2613">
        <f t="shared" si="443"/>
        <v>0</v>
      </c>
      <c r="M2284" s="2613">
        <f t="shared" si="444"/>
        <v>0</v>
      </c>
      <c r="N2284" s="2613">
        <f>J2284*G2284</f>
        <v>0</v>
      </c>
      <c r="O2284" s="2613">
        <f t="shared" si="445"/>
        <v>0</v>
      </c>
      <c r="P2284" s="2702"/>
      <c r="Q2284" s="2519"/>
      <c r="R2284" s="2519"/>
      <c r="S2284" s="2519"/>
    </row>
    <row r="2285" spans="1:19" s="2358" customFormat="1" outlineLevel="1">
      <c r="A2285" s="2435" t="str">
        <f>IF(G2285&lt;&gt;0,1,"")</f>
        <v/>
      </c>
      <c r="B2285" s="2374" t="s">
        <v>5487</v>
      </c>
      <c r="C2285" s="2511"/>
      <c r="D2285" s="2405" t="s">
        <v>5488</v>
      </c>
      <c r="E2285" s="2447" t="s">
        <v>5489</v>
      </c>
      <c r="F2285" s="2405" t="s">
        <v>2254</v>
      </c>
      <c r="G2285" s="2631">
        <f>SUM(G2279:G2281)</f>
        <v>0</v>
      </c>
      <c r="H2285" s="2612">
        <v>0</v>
      </c>
      <c r="I2285" s="2669"/>
      <c r="J2285" s="2612">
        <v>2025</v>
      </c>
      <c r="K2285" s="2612">
        <v>0</v>
      </c>
      <c r="L2285" s="2613">
        <f>H2285*G2285</f>
        <v>0</v>
      </c>
      <c r="M2285" s="2613">
        <f t="shared" si="444"/>
        <v>0</v>
      </c>
      <c r="N2285" s="2612">
        <v>0</v>
      </c>
      <c r="O2285" s="2613">
        <f t="shared" si="445"/>
        <v>0</v>
      </c>
      <c r="P2285" s="2702"/>
      <c r="Q2285" s="2519"/>
      <c r="R2285" s="2519"/>
      <c r="S2285" s="2519"/>
    </row>
    <row r="2286" spans="1:19" s="2358" customFormat="1" outlineLevel="1">
      <c r="A2286" s="2435" t="str">
        <f>IF(G2286&lt;&gt;0,1,"")</f>
        <v/>
      </c>
      <c r="B2286" s="2505" t="s">
        <v>6292</v>
      </c>
      <c r="C2286" s="2511"/>
      <c r="D2286" s="2405" t="s">
        <v>5440</v>
      </c>
      <c r="E2286" s="2447" t="s">
        <v>5441</v>
      </c>
      <c r="F2286" s="2405" t="s">
        <v>2445</v>
      </c>
      <c r="G2286" s="2522"/>
      <c r="H2286" s="2612">
        <v>0</v>
      </c>
      <c r="I2286" s="2669"/>
      <c r="J2286" s="2612" t="s">
        <v>6418</v>
      </c>
      <c r="K2286" s="2612">
        <v>0</v>
      </c>
      <c r="L2286" s="2613">
        <f>H2286*G2286</f>
        <v>0</v>
      </c>
      <c r="M2286" s="2613">
        <f t="shared" si="444"/>
        <v>0</v>
      </c>
      <c r="N2286" s="2612">
        <v>0</v>
      </c>
      <c r="O2286" s="2613">
        <f t="shared" si="445"/>
        <v>0</v>
      </c>
      <c r="P2286" s="2518"/>
      <c r="Q2286" s="2519"/>
      <c r="R2286" s="2519"/>
      <c r="S2286" s="2519"/>
    </row>
    <row r="2287" spans="1:19" s="2358" customFormat="1" outlineLevel="1">
      <c r="A2287" s="2435" t="str">
        <f>IF(G2287&lt;&gt;0,1,"")</f>
        <v/>
      </c>
      <c r="B2287" s="2514"/>
      <c r="C2287" s="2511">
        <f>IF(G2287&gt;0,C2277+1,C2273)</f>
        <v>0</v>
      </c>
      <c r="D2287" s="2512"/>
      <c r="E2287" s="2670" t="s">
        <v>6293</v>
      </c>
      <c r="F2287" s="2511" t="s">
        <v>2391</v>
      </c>
      <c r="G2287" s="2630">
        <f>+G2243*1</f>
        <v>0</v>
      </c>
      <c r="H2287" s="2669"/>
      <c r="I2287" s="2669"/>
      <c r="J2287" s="2669"/>
      <c r="K2287" s="2669"/>
      <c r="L2287" s="2613">
        <f t="shared" si="443"/>
        <v>0</v>
      </c>
      <c r="M2287" s="2613">
        <f>I2287*G2287</f>
        <v>0</v>
      </c>
      <c r="N2287" s="2613">
        <f>J2287*G2287</f>
        <v>0</v>
      </c>
      <c r="O2287" s="2613">
        <f>K2287*G2287</f>
        <v>0</v>
      </c>
      <c r="P2287" s="2702"/>
      <c r="Q2287" s="2519"/>
      <c r="R2287" s="2519"/>
      <c r="S2287" s="2519"/>
    </row>
    <row r="2288" spans="1:19" s="2358" customFormat="1" ht="14.4" outlineLevel="1">
      <c r="A2288" s="2435" t="str">
        <f>A2287</f>
        <v/>
      </c>
      <c r="B2288" s="2514"/>
      <c r="C2288" s="2511"/>
      <c r="D2288" s="2512"/>
      <c r="E2288" s="2520" t="s">
        <v>6207</v>
      </c>
      <c r="F2288" s="2521"/>
      <c r="G2288" s="2631"/>
      <c r="H2288" s="2669"/>
      <c r="I2288" s="2669"/>
      <c r="J2288" s="2669"/>
      <c r="K2288" s="2669"/>
      <c r="L2288" s="2613">
        <f t="shared" si="443"/>
        <v>0</v>
      </c>
      <c r="M2288" s="2613">
        <f>I2288*G2288</f>
        <v>0</v>
      </c>
      <c r="N2288" s="2613">
        <f>J2288*G2288</f>
        <v>0</v>
      </c>
      <c r="O2288" s="2613">
        <f>K2288*G2288</f>
        <v>0</v>
      </c>
      <c r="P2288" s="2702"/>
      <c r="Q2288" s="2519"/>
      <c r="R2288" s="2519"/>
      <c r="S2288" s="2519"/>
    </row>
    <row r="2289" spans="1:19" s="2358" customFormat="1" outlineLevel="1">
      <c r="A2289" s="2435" t="str">
        <f>IF(G2289&lt;&gt;0,1,"")</f>
        <v/>
      </c>
      <c r="B2289" s="2386" t="s">
        <v>5216</v>
      </c>
      <c r="C2289" s="2511"/>
      <c r="D2289" s="2405">
        <v>0</v>
      </c>
      <c r="E2289" s="2447" t="s">
        <v>5217</v>
      </c>
      <c r="F2289" s="2405" t="s">
        <v>2598</v>
      </c>
      <c r="G2289" s="2611">
        <f>+G2287*1</f>
        <v>0</v>
      </c>
      <c r="H2289" s="2612">
        <v>878000</v>
      </c>
      <c r="I2289" s="2612"/>
      <c r="J2289" s="2612">
        <v>0</v>
      </c>
      <c r="K2289" s="2612">
        <v>0</v>
      </c>
      <c r="L2289" s="2613">
        <f t="shared" si="443"/>
        <v>0</v>
      </c>
      <c r="M2289" s="2613">
        <f>I2289*G2289</f>
        <v>0</v>
      </c>
      <c r="N2289" s="2613">
        <f>J2289*G2289</f>
        <v>0</v>
      </c>
      <c r="O2289" s="2613">
        <f>K2289*G2289</f>
        <v>0</v>
      </c>
      <c r="P2289" s="2702"/>
      <c r="Q2289" s="2519"/>
      <c r="R2289" s="2519"/>
      <c r="S2289" s="2519"/>
    </row>
    <row r="2290" spans="1:19" s="2358" customFormat="1" outlineLevel="1">
      <c r="A2290" s="2435" t="str">
        <f>IF(G2290&lt;&gt;0,1,"")</f>
        <v/>
      </c>
      <c r="B2290" s="2383" t="s">
        <v>488</v>
      </c>
      <c r="C2290" s="2511"/>
      <c r="D2290" s="2405">
        <v>0</v>
      </c>
      <c r="E2290" s="2447" t="s">
        <v>5130</v>
      </c>
      <c r="F2290" s="2405" t="s">
        <v>2445</v>
      </c>
      <c r="G2290" s="2611">
        <f>+G2287*3</f>
        <v>0</v>
      </c>
      <c r="H2290" s="2612">
        <v>65000</v>
      </c>
      <c r="I2290" s="2612">
        <v>0</v>
      </c>
      <c r="J2290" s="2612">
        <v>0</v>
      </c>
      <c r="K2290" s="2612">
        <v>0</v>
      </c>
      <c r="L2290" s="2613">
        <f t="shared" si="443"/>
        <v>0</v>
      </c>
      <c r="M2290" s="2613">
        <f>I2290*G2290</f>
        <v>0</v>
      </c>
      <c r="N2290" s="2613">
        <f>J2290*G2290</f>
        <v>0</v>
      </c>
      <c r="O2290" s="2613">
        <f>K2290*G2290</f>
        <v>0</v>
      </c>
      <c r="P2290" s="2702"/>
      <c r="Q2290" s="2519"/>
      <c r="R2290" s="2519"/>
      <c r="S2290" s="2519"/>
    </row>
    <row r="2291" spans="1:19" s="2358" customFormat="1" outlineLevel="1">
      <c r="A2291" s="2435" t="str">
        <f>IF(G2291&lt;&gt;0,1,"")</f>
        <v/>
      </c>
      <c r="B2291" s="2514" t="s">
        <v>1079</v>
      </c>
      <c r="C2291" s="2511"/>
      <c r="D2291" s="2405">
        <v>0</v>
      </c>
      <c r="E2291" s="2447" t="s">
        <v>2659</v>
      </c>
      <c r="F2291" s="2405" t="s">
        <v>2445</v>
      </c>
      <c r="G2291" s="2611">
        <f>+G2287*2</f>
        <v>0</v>
      </c>
      <c r="H2291" s="2612">
        <v>27900</v>
      </c>
      <c r="I2291" s="2669"/>
      <c r="J2291" s="2612">
        <v>0</v>
      </c>
      <c r="K2291" s="2612">
        <v>0</v>
      </c>
      <c r="L2291" s="2613">
        <f t="shared" si="443"/>
        <v>0</v>
      </c>
      <c r="M2291" s="2613">
        <f>I2291*G2291</f>
        <v>0</v>
      </c>
      <c r="N2291" s="2613">
        <f>J2291*G2291</f>
        <v>0</v>
      </c>
      <c r="O2291" s="2613">
        <f>K2291*G2291</f>
        <v>0</v>
      </c>
      <c r="P2291" s="2702"/>
      <c r="Q2291" s="2519"/>
      <c r="R2291" s="2519"/>
      <c r="S2291" s="2519"/>
    </row>
    <row r="2292" spans="1:19" s="2358" customFormat="1" outlineLevel="1">
      <c r="A2292" s="2435" t="str">
        <f>IF(G2292&lt;&gt;0,1,"")</f>
        <v/>
      </c>
      <c r="B2292" s="2505" t="s">
        <v>6340</v>
      </c>
      <c r="C2292" s="2511"/>
      <c r="D2292" s="2405" t="s">
        <v>5209</v>
      </c>
      <c r="E2292" s="2447" t="s">
        <v>5439</v>
      </c>
      <c r="F2292" s="2405" t="s">
        <v>2445</v>
      </c>
      <c r="G2292" s="2611">
        <f>+G2287</f>
        <v>0</v>
      </c>
      <c r="H2292" s="2517">
        <v>0</v>
      </c>
      <c r="I2292" s="2612"/>
      <c r="J2292" s="2612" t="s">
        <v>6428</v>
      </c>
      <c r="K2292" s="2612"/>
      <c r="L2292" s="2613">
        <f t="shared" si="443"/>
        <v>0</v>
      </c>
      <c r="M2292" s="2613"/>
      <c r="N2292" s="2612">
        <v>0</v>
      </c>
      <c r="O2292" s="2613"/>
      <c r="P2292" s="2702"/>
      <c r="Q2292" s="2519"/>
      <c r="R2292" s="2519"/>
      <c r="S2292" s="2519"/>
    </row>
    <row r="2293" spans="1:19" s="2358" customFormat="1" outlineLevel="1">
      <c r="A2293" s="2435" t="str">
        <f>IF(G2293&lt;&gt;0,1,"")</f>
        <v/>
      </c>
      <c r="B2293" s="2514"/>
      <c r="C2293" s="2511">
        <f>IF(G2293&gt;0,C2277+2,C2277)</f>
        <v>0</v>
      </c>
      <c r="D2293" s="2512"/>
      <c r="E2293" s="2670" t="s">
        <v>4478</v>
      </c>
      <c r="F2293" s="2511" t="s">
        <v>2391</v>
      </c>
      <c r="G2293" s="2630">
        <f>G2243*1</f>
        <v>0</v>
      </c>
      <c r="H2293" s="2669"/>
      <c r="I2293" s="2669"/>
      <c r="J2293" s="2669"/>
      <c r="K2293" s="2669"/>
      <c r="L2293" s="2613">
        <f t="shared" si="443"/>
        <v>0</v>
      </c>
      <c r="M2293" s="2613">
        <f>I2293*G2293</f>
        <v>0</v>
      </c>
      <c r="N2293" s="2613">
        <f>J2293*G2293</f>
        <v>0</v>
      </c>
      <c r="O2293" s="2613">
        <f>K2293*G2293</f>
        <v>0</v>
      </c>
      <c r="P2293" s="2702"/>
      <c r="Q2293" s="2519"/>
      <c r="R2293" s="2519"/>
      <c r="S2293" s="2519"/>
    </row>
    <row r="2294" spans="1:19" s="2358" customFormat="1" ht="14.4" outlineLevel="1">
      <c r="A2294" s="2435" t="str">
        <f>A2293</f>
        <v/>
      </c>
      <c r="B2294" s="2514"/>
      <c r="C2294" s="2511"/>
      <c r="D2294" s="2512"/>
      <c r="E2294" s="2520" t="s">
        <v>6207</v>
      </c>
      <c r="F2294" s="2521"/>
      <c r="G2294" s="2631"/>
      <c r="H2294" s="2669"/>
      <c r="I2294" s="2669"/>
      <c r="J2294" s="2669"/>
      <c r="K2294" s="2669"/>
      <c r="L2294" s="2613">
        <f t="shared" si="443"/>
        <v>0</v>
      </c>
      <c r="M2294" s="2613">
        <f>I2294*G2294</f>
        <v>0</v>
      </c>
      <c r="N2294" s="2613">
        <f>J2294*G2294</f>
        <v>0</v>
      </c>
      <c r="O2294" s="2613">
        <f>K2294*G2294</f>
        <v>0</v>
      </c>
      <c r="P2294" s="2702"/>
      <c r="Q2294" s="2519"/>
      <c r="R2294" s="2519"/>
      <c r="S2294" s="2519"/>
    </row>
    <row r="2295" spans="1:19" s="2358" customFormat="1" outlineLevel="1">
      <c r="A2295" s="2435" t="str">
        <f>IF(G2295&lt;&gt;0,1,"")</f>
        <v/>
      </c>
      <c r="B2295" s="2505" t="s">
        <v>2026</v>
      </c>
      <c r="C2295" s="2511"/>
      <c r="D2295" s="2405">
        <v>0</v>
      </c>
      <c r="E2295" s="2447" t="s">
        <v>2443</v>
      </c>
      <c r="F2295" s="2405" t="s">
        <v>2254</v>
      </c>
      <c r="G2295" s="2631">
        <f>G2293*9.02*(2.6+3*0.07)</f>
        <v>0</v>
      </c>
      <c r="H2295" s="2517">
        <v>31625</v>
      </c>
      <c r="I2295" s="2612"/>
      <c r="J2295" s="2612">
        <v>0</v>
      </c>
      <c r="K2295" s="2612">
        <v>0</v>
      </c>
      <c r="L2295" s="2613">
        <f t="shared" si="443"/>
        <v>0</v>
      </c>
      <c r="M2295" s="2613">
        <f>I2295*G2295</f>
        <v>0</v>
      </c>
      <c r="N2295" s="2613">
        <f>J2295*G2295</f>
        <v>0</v>
      </c>
      <c r="O2295" s="2613">
        <f>K2295*G2295</f>
        <v>0</v>
      </c>
      <c r="P2295" s="2702"/>
      <c r="Q2295" s="2519"/>
      <c r="R2295" s="2519"/>
      <c r="S2295" s="2519"/>
    </row>
    <row r="2296" spans="1:19" s="2358" customFormat="1" outlineLevel="1">
      <c r="A2296" s="2435" t="str">
        <f>IF(G2296&lt;&gt;0,1,"")</f>
        <v/>
      </c>
      <c r="B2296" s="2514" t="s">
        <v>1613</v>
      </c>
      <c r="C2296" s="2511"/>
      <c r="D2296" s="2405">
        <v>0</v>
      </c>
      <c r="E2296" s="2447" t="s">
        <v>2657</v>
      </c>
      <c r="F2296" s="2405" t="s">
        <v>2445</v>
      </c>
      <c r="G2296" s="2611">
        <f>G2293*2</f>
        <v>0</v>
      </c>
      <c r="H2296" s="2517">
        <v>25400</v>
      </c>
      <c r="I2296" s="2612">
        <v>0</v>
      </c>
      <c r="J2296" s="2612">
        <v>0</v>
      </c>
      <c r="K2296" s="2612">
        <v>0</v>
      </c>
      <c r="L2296" s="2613">
        <f t="shared" si="443"/>
        <v>0</v>
      </c>
      <c r="M2296" s="2613">
        <f>I2296*G2296</f>
        <v>0</v>
      </c>
      <c r="N2296" s="2613">
        <f>J2296*G2296</f>
        <v>0</v>
      </c>
      <c r="O2296" s="2613">
        <f>K2296*G2296</f>
        <v>0</v>
      </c>
      <c r="P2296" s="2702"/>
      <c r="Q2296" s="2519"/>
      <c r="R2296" s="2519"/>
      <c r="S2296" s="2519"/>
    </row>
    <row r="2297" spans="1:19" s="2358" customFormat="1" outlineLevel="1">
      <c r="A2297" s="2435" t="str">
        <f>IF(G2297&lt;&gt;0,1,"")</f>
        <v/>
      </c>
      <c r="B2297" s="2374" t="s">
        <v>5487</v>
      </c>
      <c r="C2297" s="2511"/>
      <c r="D2297" s="2405" t="s">
        <v>5488</v>
      </c>
      <c r="E2297" s="2447" t="s">
        <v>5489</v>
      </c>
      <c r="F2297" s="2405" t="s">
        <v>2254</v>
      </c>
      <c r="G2297" s="2631">
        <f>G2295</f>
        <v>0</v>
      </c>
      <c r="H2297" s="2517"/>
      <c r="I2297" s="2612"/>
      <c r="J2297" s="2612">
        <v>2025</v>
      </c>
      <c r="K2297" s="2612"/>
      <c r="L2297" s="2613">
        <f t="shared" si="443"/>
        <v>0</v>
      </c>
      <c r="M2297" s="2613"/>
      <c r="N2297" s="2612">
        <v>0</v>
      </c>
      <c r="O2297" s="2613"/>
      <c r="P2297" s="2702"/>
      <c r="Q2297" s="2519"/>
      <c r="R2297" s="2519"/>
      <c r="S2297" s="2519"/>
    </row>
    <row r="2298" spans="1:19" s="2358" customFormat="1" outlineLevel="1">
      <c r="A2298" s="2435" t="str">
        <f>IF(G2298&lt;&gt;0,1,"")</f>
        <v/>
      </c>
      <c r="B2298" s="2514"/>
      <c r="C2298" s="2511">
        <f>IF(G2298&gt;0,C2293+1,C2293)</f>
        <v>0</v>
      </c>
      <c r="D2298" s="2512"/>
      <c r="E2298" s="2670" t="s">
        <v>6295</v>
      </c>
      <c r="F2298" s="2511" t="s">
        <v>2391</v>
      </c>
      <c r="G2298" s="2516">
        <f>G2243*2*0</f>
        <v>0</v>
      </c>
      <c r="H2298" s="2669"/>
      <c r="I2298" s="2669"/>
      <c r="J2298" s="2669"/>
      <c r="K2298" s="2669"/>
      <c r="L2298" s="2613">
        <f t="shared" si="443"/>
        <v>0</v>
      </c>
      <c r="M2298" s="2613">
        <f>I2298*G2298</f>
        <v>0</v>
      </c>
      <c r="N2298" s="2613">
        <f>J2298*G2298</f>
        <v>0</v>
      </c>
      <c r="O2298" s="2613">
        <f>K2298*G2298</f>
        <v>0</v>
      </c>
      <c r="P2298" s="2518"/>
      <c r="Q2298" s="2519"/>
      <c r="R2298" s="2519"/>
      <c r="S2298" s="2519"/>
    </row>
    <row r="2299" spans="1:19" s="2358" customFormat="1" ht="14.4" outlineLevel="1">
      <c r="A2299" s="2435" t="str">
        <f>A2298</f>
        <v/>
      </c>
      <c r="B2299" s="2514"/>
      <c r="C2299" s="2511"/>
      <c r="D2299" s="2512"/>
      <c r="E2299" s="2520" t="s">
        <v>6207</v>
      </c>
      <c r="F2299" s="2521"/>
      <c r="G2299" s="2522"/>
      <c r="H2299" s="2669"/>
      <c r="I2299" s="2669"/>
      <c r="J2299" s="2669"/>
      <c r="K2299" s="2669"/>
      <c r="L2299" s="2613">
        <f t="shared" si="443"/>
        <v>0</v>
      </c>
      <c r="M2299" s="2613">
        <f>I2299*G2299</f>
        <v>0</v>
      </c>
      <c r="N2299" s="2613">
        <f>J2299*G2299</f>
        <v>0</v>
      </c>
      <c r="O2299" s="2613">
        <f>K2299*G2299</f>
        <v>0</v>
      </c>
      <c r="P2299" s="2518"/>
      <c r="Q2299" s="2519"/>
      <c r="R2299" s="2519"/>
      <c r="S2299" s="2519"/>
    </row>
    <row r="2300" spans="1:19" s="2358" customFormat="1" outlineLevel="1">
      <c r="A2300" s="2435" t="str">
        <f>IF(G2300&lt;&gt;0,1,"")</f>
        <v/>
      </c>
      <c r="B2300" s="2514" t="s">
        <v>2026</v>
      </c>
      <c r="C2300" s="2511"/>
      <c r="D2300" s="2405">
        <v>0</v>
      </c>
      <c r="E2300" s="2447" t="s">
        <v>2443</v>
      </c>
      <c r="F2300" s="2405" t="s">
        <v>2254</v>
      </c>
      <c r="G2300" s="2523">
        <f>G2298*9.02*2.6</f>
        <v>0</v>
      </c>
      <c r="H2300" s="2517">
        <v>31625</v>
      </c>
      <c r="I2300" s="2612"/>
      <c r="J2300" s="2612">
        <v>0</v>
      </c>
      <c r="K2300" s="2612"/>
      <c r="L2300" s="2613">
        <f t="shared" si="443"/>
        <v>0</v>
      </c>
      <c r="M2300" s="2613"/>
      <c r="N2300" s="2613"/>
      <c r="O2300" s="2613"/>
      <c r="P2300" s="2518"/>
      <c r="Q2300" s="2519"/>
      <c r="R2300" s="2519"/>
      <c r="S2300" s="2519"/>
    </row>
    <row r="2301" spans="1:19" s="2358" customFormat="1" outlineLevel="1">
      <c r="A2301" s="2435" t="str">
        <f>IF(G2301&lt;&gt;0,1,"")</f>
        <v/>
      </c>
      <c r="B2301" s="2514" t="s">
        <v>1083</v>
      </c>
      <c r="C2301" s="2511"/>
      <c r="D2301" s="2405">
        <v>0</v>
      </c>
      <c r="E2301" s="2447" t="s">
        <v>2660</v>
      </c>
      <c r="F2301" s="2405" t="s">
        <v>2445</v>
      </c>
      <c r="G2301" s="2522">
        <f>G2298*2</f>
        <v>0</v>
      </c>
      <c r="H2301" s="2517">
        <v>29900</v>
      </c>
      <c r="I2301" s="2612">
        <v>0</v>
      </c>
      <c r="J2301" s="2612">
        <v>0</v>
      </c>
      <c r="K2301" s="2612"/>
      <c r="L2301" s="2613">
        <f t="shared" si="443"/>
        <v>0</v>
      </c>
      <c r="M2301" s="2613"/>
      <c r="N2301" s="2613"/>
      <c r="O2301" s="2613"/>
      <c r="P2301" s="2518"/>
      <c r="Q2301" s="2519"/>
      <c r="R2301" s="2519"/>
      <c r="S2301" s="2519"/>
    </row>
    <row r="2302" spans="1:19" s="2358" customFormat="1" outlineLevel="1">
      <c r="A2302" s="2435" t="str">
        <f>IF(G2302&lt;&gt;0,1,"")</f>
        <v/>
      </c>
      <c r="B2302" s="2514" t="s">
        <v>138</v>
      </c>
      <c r="C2302" s="2511"/>
      <c r="D2302" s="2405">
        <v>0</v>
      </c>
      <c r="E2302" s="2447" t="s">
        <v>2635</v>
      </c>
      <c r="F2302" s="2405" t="s">
        <v>2445</v>
      </c>
      <c r="G2302" s="2522">
        <f>G2298*2</f>
        <v>0</v>
      </c>
      <c r="H2302" s="2517">
        <v>8500</v>
      </c>
      <c r="I2302" s="2612">
        <v>0</v>
      </c>
      <c r="J2302" s="2612">
        <v>0</v>
      </c>
      <c r="K2302" s="2612"/>
      <c r="L2302" s="2613">
        <f t="shared" si="443"/>
        <v>0</v>
      </c>
      <c r="M2302" s="2613"/>
      <c r="N2302" s="2613"/>
      <c r="O2302" s="2613"/>
      <c r="P2302" s="2518"/>
      <c r="Q2302" s="2519"/>
      <c r="R2302" s="2519"/>
      <c r="S2302" s="2519"/>
    </row>
    <row r="2303" spans="1:19" s="2358" customFormat="1" outlineLevel="1">
      <c r="A2303" s="2435" t="str">
        <f>IF(G2303&lt;&gt;0,1,"")</f>
        <v/>
      </c>
      <c r="B2303" s="2374" t="s">
        <v>5487</v>
      </c>
      <c r="C2303" s="2511"/>
      <c r="D2303" s="2405" t="s">
        <v>5488</v>
      </c>
      <c r="E2303" s="2447" t="s">
        <v>5489</v>
      </c>
      <c r="F2303" s="2405" t="s">
        <v>2254</v>
      </c>
      <c r="G2303" s="2522">
        <f>G2300</f>
        <v>0</v>
      </c>
      <c r="H2303" s="2517"/>
      <c r="I2303" s="2612"/>
      <c r="J2303" s="2612">
        <v>2025</v>
      </c>
      <c r="K2303" s="2612"/>
      <c r="L2303" s="2613">
        <f t="shared" si="443"/>
        <v>0</v>
      </c>
      <c r="M2303" s="2613"/>
      <c r="N2303" s="2612">
        <v>0</v>
      </c>
      <c r="O2303" s="2613"/>
      <c r="P2303" s="2518"/>
      <c r="Q2303" s="2519"/>
      <c r="R2303" s="2519"/>
      <c r="S2303" s="2519"/>
    </row>
    <row r="2304" spans="1:19" s="2358" customFormat="1" outlineLevel="1">
      <c r="A2304" s="2435" t="str">
        <f>IF(G2304&lt;&gt;0,1,"")</f>
        <v/>
      </c>
      <c r="B2304" s="2514"/>
      <c r="C2304" s="2511">
        <f>IF(G2304&gt;0,C2298+1,C2298)</f>
        <v>0</v>
      </c>
      <c r="D2304" s="2512"/>
      <c r="E2304" s="2670" t="s">
        <v>3738</v>
      </c>
      <c r="F2304" s="2511" t="s">
        <v>2391</v>
      </c>
      <c r="G2304" s="2630">
        <f>G2243</f>
        <v>0</v>
      </c>
      <c r="H2304" s="2517"/>
      <c r="I2304" s="2517"/>
      <c r="J2304" s="2517"/>
      <c r="K2304" s="2517"/>
      <c r="L2304" s="2517">
        <f>H2304*G2304</f>
        <v>0</v>
      </c>
      <c r="M2304" s="2517">
        <f>I2304*G2304</f>
        <v>0</v>
      </c>
      <c r="N2304" s="2517">
        <f>J2304*G2304</f>
        <v>0</v>
      </c>
      <c r="O2304" s="2517">
        <f>K2304*G2304</f>
        <v>0</v>
      </c>
      <c r="P2304" s="2694"/>
      <c r="Q2304" s="2519"/>
      <c r="R2304" s="2519"/>
      <c r="S2304" s="2519"/>
    </row>
    <row r="2305" spans="1:19" s="2358" customFormat="1" ht="14.4" outlineLevel="1">
      <c r="A2305" s="2435" t="str">
        <f>+A2304</f>
        <v/>
      </c>
      <c r="B2305" s="2671"/>
      <c r="C2305" s="2511"/>
      <c r="D2305" s="2512"/>
      <c r="E2305" s="2520" t="s">
        <v>6207</v>
      </c>
      <c r="F2305" s="2521"/>
      <c r="G2305" s="2631"/>
      <c r="H2305" s="2517"/>
      <c r="I2305" s="2517"/>
      <c r="J2305" s="2517"/>
      <c r="K2305" s="2517"/>
      <c r="L2305" s="2517">
        <f>H2305*G2305</f>
        <v>0</v>
      </c>
      <c r="M2305" s="2517">
        <f>I2305*G2305</f>
        <v>0</v>
      </c>
      <c r="N2305" s="2517">
        <f>J2305*G2305</f>
        <v>0</v>
      </c>
      <c r="O2305" s="2517">
        <f>K2305*G2305</f>
        <v>0</v>
      </c>
      <c r="P2305" s="2694"/>
      <c r="Q2305" s="2519"/>
      <c r="R2305" s="2519"/>
      <c r="S2305" s="2519"/>
    </row>
    <row r="2306" spans="1:19" s="2358" customFormat="1" outlineLevel="1">
      <c r="A2306" s="2435" t="str">
        <f t="shared" ref="A2306:A2322" si="446">IF(G2306&lt;&gt;0,1,"")</f>
        <v/>
      </c>
      <c r="B2306" s="2514" t="s">
        <v>1033</v>
      </c>
      <c r="C2306" s="2511"/>
      <c r="D2306" s="2405">
        <v>0</v>
      </c>
      <c r="E2306" s="2447" t="s">
        <v>2708</v>
      </c>
      <c r="F2306" s="2405" t="s">
        <v>2254</v>
      </c>
      <c r="G2306" s="2631">
        <f>($H$3+20)*0.224*G2304</f>
        <v>0</v>
      </c>
      <c r="H2306" s="2517">
        <v>255500</v>
      </c>
      <c r="I2306" s="2517"/>
      <c r="J2306" s="2517">
        <v>0</v>
      </c>
      <c r="K2306" s="2517">
        <v>0</v>
      </c>
      <c r="L2306" s="2517">
        <f t="shared" ref="L2306:L2314" si="447">H2306*G2306</f>
        <v>0</v>
      </c>
      <c r="M2306" s="2517">
        <f t="shared" ref="M2306:M2314" si="448">I2306*G2306</f>
        <v>0</v>
      </c>
      <c r="N2306" s="2517">
        <f t="shared" ref="N2306:N2314" si="449">J2306*G2306</f>
        <v>0</v>
      </c>
      <c r="O2306" s="2517">
        <f t="shared" ref="O2306:O2314" si="450">K2306*G2306</f>
        <v>0</v>
      </c>
      <c r="P2306" s="2694"/>
      <c r="Q2306" s="2519"/>
      <c r="R2306" s="2519"/>
      <c r="S2306" s="2519"/>
    </row>
    <row r="2307" spans="1:19" s="2358" customFormat="1" outlineLevel="1">
      <c r="A2307" s="2435" t="str">
        <f t="shared" si="446"/>
        <v/>
      </c>
      <c r="B2307" s="2514" t="s">
        <v>1511</v>
      </c>
      <c r="C2307" s="2511"/>
      <c r="D2307" s="2405">
        <v>0</v>
      </c>
      <c r="E2307" s="2447" t="s">
        <v>5224</v>
      </c>
      <c r="F2307" s="2405" t="s">
        <v>2445</v>
      </c>
      <c r="G2307" s="2611">
        <f>$H$2*G2304</f>
        <v>0</v>
      </c>
      <c r="H2307" s="2517">
        <v>160000</v>
      </c>
      <c r="I2307" s="2517"/>
      <c r="J2307" s="2517">
        <v>0</v>
      </c>
      <c r="K2307" s="2517">
        <v>0</v>
      </c>
      <c r="L2307" s="2517">
        <f t="shared" si="447"/>
        <v>0</v>
      </c>
      <c r="M2307" s="2517">
        <f t="shared" si="448"/>
        <v>0</v>
      </c>
      <c r="N2307" s="2517">
        <f t="shared" si="449"/>
        <v>0</v>
      </c>
      <c r="O2307" s="2517">
        <f t="shared" si="450"/>
        <v>0</v>
      </c>
      <c r="P2307" s="2694"/>
      <c r="Q2307" s="2519"/>
      <c r="R2307" s="2519"/>
      <c r="S2307" s="2519"/>
    </row>
    <row r="2308" spans="1:19" s="2358" customFormat="1" outlineLevel="1">
      <c r="A2308" s="2435" t="str">
        <f t="shared" si="446"/>
        <v/>
      </c>
      <c r="B2308" s="2514" t="s">
        <v>1493</v>
      </c>
      <c r="C2308" s="2511"/>
      <c r="D2308" s="2405">
        <v>0</v>
      </c>
      <c r="E2308" s="2447" t="s">
        <v>3554</v>
      </c>
      <c r="F2308" s="2405" t="s">
        <v>1827</v>
      </c>
      <c r="G2308" s="2631">
        <f>G2304*8*0</f>
        <v>0</v>
      </c>
      <c r="H2308" s="2517">
        <v>6200</v>
      </c>
      <c r="I2308" s="2517"/>
      <c r="J2308" s="2517">
        <v>0</v>
      </c>
      <c r="K2308" s="2517">
        <v>0</v>
      </c>
      <c r="L2308" s="2517">
        <f t="shared" si="447"/>
        <v>0</v>
      </c>
      <c r="M2308" s="2517">
        <f t="shared" si="448"/>
        <v>0</v>
      </c>
      <c r="N2308" s="2517">
        <f t="shared" si="449"/>
        <v>0</v>
      </c>
      <c r="O2308" s="2517">
        <f t="shared" si="450"/>
        <v>0</v>
      </c>
      <c r="P2308" s="2694"/>
      <c r="Q2308" s="2519"/>
      <c r="R2308" s="2519"/>
      <c r="S2308" s="2519"/>
    </row>
    <row r="2309" spans="1:19" s="2358" customFormat="1" outlineLevel="1">
      <c r="A2309" s="2435" t="str">
        <f t="shared" si="446"/>
        <v/>
      </c>
      <c r="B2309" s="2514" t="s">
        <v>1582</v>
      </c>
      <c r="C2309" s="2511"/>
      <c r="D2309" s="2405">
        <v>0</v>
      </c>
      <c r="E2309" s="2447" t="s">
        <v>2889</v>
      </c>
      <c r="F2309" s="2405" t="s">
        <v>2563</v>
      </c>
      <c r="G2309" s="2611">
        <f>2*G2304</f>
        <v>0</v>
      </c>
      <c r="H2309" s="2517">
        <v>8000</v>
      </c>
      <c r="I2309" s="2517"/>
      <c r="J2309" s="2517">
        <v>0</v>
      </c>
      <c r="K2309" s="2517">
        <v>0</v>
      </c>
      <c r="L2309" s="2517">
        <f t="shared" si="447"/>
        <v>0</v>
      </c>
      <c r="M2309" s="2517">
        <f t="shared" si="448"/>
        <v>0</v>
      </c>
      <c r="N2309" s="2517">
        <f t="shared" si="449"/>
        <v>0</v>
      </c>
      <c r="O2309" s="2517">
        <f t="shared" si="450"/>
        <v>0</v>
      </c>
      <c r="P2309" s="2694"/>
      <c r="Q2309" s="2519"/>
      <c r="R2309" s="2519"/>
      <c r="S2309" s="2519"/>
    </row>
    <row r="2310" spans="1:19" s="2358" customFormat="1" outlineLevel="1">
      <c r="A2310" s="2435" t="str">
        <f>IF(G2310&lt;&gt;0,1,"")</f>
        <v/>
      </c>
      <c r="B2310" s="2514" t="s">
        <v>6282</v>
      </c>
      <c r="C2310" s="2511"/>
      <c r="D2310" s="2405" t="s">
        <v>5787</v>
      </c>
      <c r="E2310" s="2447" t="s">
        <v>3497</v>
      </c>
      <c r="F2310" s="2405" t="s">
        <v>2563</v>
      </c>
      <c r="G2310" s="2611">
        <f>G2304*14</f>
        <v>0</v>
      </c>
      <c r="H2310" s="2517">
        <v>9100</v>
      </c>
      <c r="I2310" s="2517"/>
      <c r="J2310" s="2517">
        <v>10608.955000000002</v>
      </c>
      <c r="K2310" s="2517">
        <v>2777.0232475000003</v>
      </c>
      <c r="L2310" s="2517">
        <f>H2310*G2310</f>
        <v>0</v>
      </c>
      <c r="M2310" s="2517">
        <f>I2310*G2310</f>
        <v>0</v>
      </c>
      <c r="N2310" s="2517">
        <f>J2310*G2310</f>
        <v>0</v>
      </c>
      <c r="O2310" s="2517">
        <f>K2310*G2310</f>
        <v>0</v>
      </c>
      <c r="P2310" s="2694"/>
      <c r="Q2310" s="2519"/>
      <c r="R2310" s="2519"/>
      <c r="S2310" s="2519"/>
    </row>
    <row r="2311" spans="1:19" s="2358" customFormat="1" outlineLevel="1">
      <c r="A2311" s="2435" t="str">
        <f t="shared" si="446"/>
        <v/>
      </c>
      <c r="B2311" s="2514" t="s">
        <v>816</v>
      </c>
      <c r="C2311" s="2511"/>
      <c r="D2311" s="2405">
        <v>0</v>
      </c>
      <c r="E2311" s="2447" t="s">
        <v>3599</v>
      </c>
      <c r="F2311" s="2405" t="s">
        <v>2563</v>
      </c>
      <c r="G2311" s="2611">
        <f>IF(G2308&lt;=12,15,21)*G2304</f>
        <v>0</v>
      </c>
      <c r="H2311" s="2517">
        <v>17600</v>
      </c>
      <c r="I2311" s="2517"/>
      <c r="J2311" s="2517">
        <v>0</v>
      </c>
      <c r="K2311" s="2517">
        <v>0</v>
      </c>
      <c r="L2311" s="2517">
        <f t="shared" si="447"/>
        <v>0</v>
      </c>
      <c r="M2311" s="2517">
        <f t="shared" si="448"/>
        <v>0</v>
      </c>
      <c r="N2311" s="2517">
        <f t="shared" si="449"/>
        <v>0</v>
      </c>
      <c r="O2311" s="2517">
        <f t="shared" si="450"/>
        <v>0</v>
      </c>
      <c r="P2311" s="2694"/>
      <c r="Q2311" s="2519"/>
      <c r="R2311" s="2519"/>
      <c r="S2311" s="2519"/>
    </row>
    <row r="2312" spans="1:19" s="2358" customFormat="1" outlineLevel="1">
      <c r="A2312" s="2435" t="str">
        <f t="shared" si="446"/>
        <v/>
      </c>
      <c r="B2312" s="2514" t="s">
        <v>525</v>
      </c>
      <c r="C2312" s="2511"/>
      <c r="D2312" s="2405">
        <v>0</v>
      </c>
      <c r="E2312" s="2447" t="s">
        <v>5313</v>
      </c>
      <c r="F2312" s="2405" t="s">
        <v>2445</v>
      </c>
      <c r="G2312" s="2631">
        <f>+G2304*4*0</f>
        <v>0</v>
      </c>
      <c r="H2312" s="2517">
        <v>43000</v>
      </c>
      <c r="I2312" s="2517"/>
      <c r="J2312" s="2517">
        <v>0</v>
      </c>
      <c r="K2312" s="2517">
        <v>0</v>
      </c>
      <c r="L2312" s="2517">
        <f t="shared" si="447"/>
        <v>0</v>
      </c>
      <c r="M2312" s="2517">
        <f t="shared" si="448"/>
        <v>0</v>
      </c>
      <c r="N2312" s="2517">
        <f t="shared" si="449"/>
        <v>0</v>
      </c>
      <c r="O2312" s="2517">
        <f t="shared" si="450"/>
        <v>0</v>
      </c>
      <c r="P2312" s="2694"/>
      <c r="Q2312" s="2519"/>
      <c r="R2312" s="2519"/>
      <c r="S2312" s="2519"/>
    </row>
    <row r="2313" spans="1:19" s="2358" customFormat="1" outlineLevel="1">
      <c r="A2313" s="2435" t="str">
        <f t="shared" si="446"/>
        <v/>
      </c>
      <c r="B2313" s="2514" t="s">
        <v>1588</v>
      </c>
      <c r="C2313" s="2511"/>
      <c r="D2313" s="2405">
        <v>0</v>
      </c>
      <c r="E2313" s="2447" t="s">
        <v>5775</v>
      </c>
      <c r="F2313" s="2405" t="s">
        <v>3463</v>
      </c>
      <c r="G2313" s="2611">
        <f>G2304*2</f>
        <v>0</v>
      </c>
      <c r="H2313" s="2517">
        <v>0</v>
      </c>
      <c r="I2313" s="2517"/>
      <c r="J2313" s="2517">
        <v>1500000</v>
      </c>
      <c r="K2313" s="2517">
        <v>0</v>
      </c>
      <c r="L2313" s="2517">
        <f t="shared" si="447"/>
        <v>0</v>
      </c>
      <c r="M2313" s="2517">
        <f t="shared" si="448"/>
        <v>0</v>
      </c>
      <c r="N2313" s="2517">
        <f t="shared" si="449"/>
        <v>0</v>
      </c>
      <c r="O2313" s="2517">
        <f t="shared" si="450"/>
        <v>0</v>
      </c>
      <c r="P2313" s="2694"/>
      <c r="Q2313" s="2519"/>
      <c r="R2313" s="2519"/>
      <c r="S2313" s="2519"/>
    </row>
    <row r="2314" spans="1:19" s="2358" customFormat="1" outlineLevel="1">
      <c r="A2314" s="2435" t="str">
        <f t="shared" si="446"/>
        <v/>
      </c>
      <c r="B2314" s="2514" t="s">
        <v>5225</v>
      </c>
      <c r="C2314" s="2511"/>
      <c r="D2314" s="2405">
        <v>0</v>
      </c>
      <c r="E2314" s="2447" t="s">
        <v>5226</v>
      </c>
      <c r="F2314" s="2405" t="s">
        <v>2254</v>
      </c>
      <c r="G2314" s="2611">
        <f>5*16*G2313</f>
        <v>0</v>
      </c>
      <c r="H2314" s="2517">
        <v>31625</v>
      </c>
      <c r="I2314" s="2517"/>
      <c r="J2314" s="2517">
        <v>0</v>
      </c>
      <c r="K2314" s="2517">
        <v>0</v>
      </c>
      <c r="L2314" s="2517">
        <f t="shared" si="447"/>
        <v>0</v>
      </c>
      <c r="M2314" s="2517">
        <f t="shared" si="448"/>
        <v>0</v>
      </c>
      <c r="N2314" s="2517">
        <f t="shared" si="449"/>
        <v>0</v>
      </c>
      <c r="O2314" s="2517">
        <f t="shared" si="450"/>
        <v>0</v>
      </c>
      <c r="P2314" s="2694"/>
      <c r="Q2314" s="2519"/>
      <c r="R2314" s="2519"/>
      <c r="S2314" s="2519"/>
    </row>
    <row r="2315" spans="1:19" s="2358" customFormat="1" outlineLevel="1">
      <c r="A2315" s="2435" t="str">
        <f t="shared" si="446"/>
        <v/>
      </c>
      <c r="B2315" s="2514" t="s">
        <v>5229</v>
      </c>
      <c r="C2315" s="2511"/>
      <c r="D2315" s="2405" t="s">
        <v>5230</v>
      </c>
      <c r="E2315" s="2447" t="s">
        <v>5231</v>
      </c>
      <c r="F2315" s="2405" t="s">
        <v>5232</v>
      </c>
      <c r="G2315" s="2611">
        <f>G2304*4*G2313</f>
        <v>0</v>
      </c>
      <c r="H2315" s="2517">
        <v>0</v>
      </c>
      <c r="I2315" s="2517"/>
      <c r="J2315" s="2517">
        <v>55638</v>
      </c>
      <c r="K2315" s="2517">
        <v>134918</v>
      </c>
      <c r="L2315" s="2517">
        <f>H2315*G2315</f>
        <v>0</v>
      </c>
      <c r="M2315" s="2517">
        <f>I2315*G2315</f>
        <v>0</v>
      </c>
      <c r="N2315" s="2517">
        <f>J2315*G2315</f>
        <v>0</v>
      </c>
      <c r="O2315" s="2517">
        <f>K2315*G2315</f>
        <v>0</v>
      </c>
      <c r="P2315" s="2694"/>
      <c r="Q2315" s="2519"/>
      <c r="R2315" s="2519"/>
      <c r="S2315" s="2519"/>
    </row>
    <row r="2316" spans="1:19" s="2358" customFormat="1" outlineLevel="1">
      <c r="A2316" s="2435"/>
      <c r="B2316" s="2505"/>
      <c r="C2316" s="2511"/>
      <c r="D2316" s="2405"/>
      <c r="E2316" s="2447"/>
      <c r="F2316" s="2405"/>
      <c r="G2316" s="2631"/>
      <c r="H2316" s="2517"/>
      <c r="I2316" s="2517"/>
      <c r="J2316" s="2517"/>
      <c r="K2316" s="2517"/>
      <c r="L2316" s="2517"/>
      <c r="M2316" s="2517"/>
      <c r="N2316" s="2517"/>
      <c r="O2316" s="2517"/>
      <c r="P2316" s="2642"/>
      <c r="Q2316" s="2519"/>
      <c r="R2316" s="2519"/>
      <c r="S2316" s="2519"/>
    </row>
    <row r="2317" spans="1:19" s="2358" customFormat="1" outlineLevel="1">
      <c r="A2317" s="2435" t="str">
        <f t="shared" si="446"/>
        <v/>
      </c>
      <c r="B2317" s="2505" t="s">
        <v>5236</v>
      </c>
      <c r="C2317" s="2511"/>
      <c r="D2317" s="2405">
        <v>0</v>
      </c>
      <c r="E2317" s="2447" t="s">
        <v>5237</v>
      </c>
      <c r="F2317" s="2405" t="s">
        <v>5235</v>
      </c>
      <c r="G2317" s="2611">
        <f>G2304*6</f>
        <v>0</v>
      </c>
      <c r="H2317" s="2517">
        <v>38105</v>
      </c>
      <c r="I2317" s="2517"/>
      <c r="J2317" s="2517">
        <v>0</v>
      </c>
      <c r="K2317" s="2517">
        <v>0</v>
      </c>
      <c r="L2317" s="2517">
        <f>H2317*G2317</f>
        <v>0</v>
      </c>
      <c r="M2317" s="2517">
        <f>I2317*G2317</f>
        <v>0</v>
      </c>
      <c r="N2317" s="2517">
        <f>J2317*G2317</f>
        <v>0</v>
      </c>
      <c r="O2317" s="2517">
        <f>K2317*G2317</f>
        <v>0</v>
      </c>
      <c r="P2317" s="2702"/>
      <c r="Q2317" s="2519"/>
      <c r="R2317" s="2519"/>
      <c r="S2317" s="2519"/>
    </row>
    <row r="2318" spans="1:19" s="2358" customFormat="1" outlineLevel="1">
      <c r="A2318" s="2435"/>
      <c r="B2318" s="2514"/>
      <c r="C2318" s="2511"/>
      <c r="D2318" s="2405"/>
      <c r="E2318" s="2447"/>
      <c r="F2318" s="2405"/>
      <c r="G2318" s="2631"/>
      <c r="H2318" s="2517"/>
      <c r="I2318" s="2517"/>
      <c r="J2318" s="2517"/>
      <c r="K2318" s="2517"/>
      <c r="L2318" s="2517"/>
      <c r="M2318" s="2517"/>
      <c r="N2318" s="2517"/>
      <c r="O2318" s="2517"/>
      <c r="P2318" s="2642"/>
      <c r="Q2318" s="2519"/>
      <c r="R2318" s="2519"/>
      <c r="S2318" s="2519"/>
    </row>
    <row r="2319" spans="1:19" s="2358" customFormat="1" outlineLevel="1">
      <c r="A2319" s="2435" t="str">
        <f t="shared" si="446"/>
        <v/>
      </c>
      <c r="B2319" s="2514" t="s">
        <v>5240</v>
      </c>
      <c r="C2319" s="2672"/>
      <c r="D2319" s="2405">
        <v>0</v>
      </c>
      <c r="E2319" s="2447" t="s">
        <v>5241</v>
      </c>
      <c r="F2319" s="2405" t="s">
        <v>5235</v>
      </c>
      <c r="G2319" s="2611">
        <f>G2304*2</f>
        <v>0</v>
      </c>
      <c r="H2319" s="2517">
        <v>53008</v>
      </c>
      <c r="I2319" s="2517"/>
      <c r="J2319" s="2517">
        <v>0</v>
      </c>
      <c r="K2319" s="2517"/>
      <c r="L2319" s="2517">
        <f>H2319*G2319</f>
        <v>0</v>
      </c>
      <c r="M2319" s="2517">
        <f>I2319*G2319</f>
        <v>0</v>
      </c>
      <c r="N2319" s="2517">
        <f>J2319*G2319</f>
        <v>0</v>
      </c>
      <c r="O2319" s="2517">
        <f>K2319*G2319</f>
        <v>0</v>
      </c>
      <c r="P2319" s="2694"/>
      <c r="Q2319" s="2519"/>
      <c r="R2319" s="2519"/>
      <c r="S2319" s="2519"/>
    </row>
    <row r="2320" spans="1:19" s="2358" customFormat="1" outlineLevel="1">
      <c r="A2320" s="2435" t="str">
        <f>IF(G2320&lt;&gt;0,1,"")</f>
        <v/>
      </c>
      <c r="B2320" s="2514" t="s">
        <v>6308</v>
      </c>
      <c r="C2320" s="2672"/>
      <c r="D2320" s="2405">
        <v>0</v>
      </c>
      <c r="E2320" s="2447" t="s">
        <v>5103</v>
      </c>
      <c r="F2320" s="2405" t="s">
        <v>2445</v>
      </c>
      <c r="G2320" s="2611">
        <f>G2304*20</f>
        <v>0</v>
      </c>
      <c r="H2320" s="2517">
        <v>8400</v>
      </c>
      <c r="I2320" s="2517"/>
      <c r="J2320" s="2517">
        <v>0</v>
      </c>
      <c r="K2320" s="2517"/>
      <c r="L2320" s="2517">
        <f>H2320*G2320</f>
        <v>0</v>
      </c>
      <c r="M2320" s="2517">
        <f>I2320*G2320</f>
        <v>0</v>
      </c>
      <c r="N2320" s="2517">
        <f>J2320*G2320</f>
        <v>0</v>
      </c>
      <c r="O2320" s="2517">
        <f>K2320*G2320</f>
        <v>0</v>
      </c>
      <c r="P2320" s="2694"/>
      <c r="Q2320" s="2519"/>
      <c r="R2320" s="2519"/>
      <c r="S2320" s="2519"/>
    </row>
    <row r="2321" spans="1:20" s="2358" customFormat="1" outlineLevel="1">
      <c r="A2321" s="2435" t="str">
        <f t="shared" si="446"/>
        <v/>
      </c>
      <c r="B2321" s="2505" t="s">
        <v>5242</v>
      </c>
      <c r="C2321" s="2511"/>
      <c r="D2321" s="2405">
        <v>0</v>
      </c>
      <c r="E2321" s="2447" t="s">
        <v>5243</v>
      </c>
      <c r="F2321" s="2405" t="s">
        <v>2538</v>
      </c>
      <c r="G2321" s="2611">
        <f>G2317+G2319</f>
        <v>0</v>
      </c>
      <c r="H2321" s="2517">
        <v>11000</v>
      </c>
      <c r="I2321" s="2517"/>
      <c r="J2321" s="2517">
        <v>0</v>
      </c>
      <c r="K2321" s="2517">
        <v>0</v>
      </c>
      <c r="L2321" s="2517">
        <f>H2321*G2321</f>
        <v>0</v>
      </c>
      <c r="M2321" s="2517">
        <f>I2321*G2321</f>
        <v>0</v>
      </c>
      <c r="N2321" s="2517">
        <f>J2321*G2321</f>
        <v>0</v>
      </c>
      <c r="O2321" s="2517">
        <f>K2321*G2321</f>
        <v>0</v>
      </c>
      <c r="P2321" s="2702"/>
      <c r="Q2321" s="2519"/>
      <c r="R2321" s="2519"/>
      <c r="S2321" s="2519"/>
    </row>
    <row r="2322" spans="1:20" s="2358" customFormat="1" outlineLevel="1">
      <c r="A2322" s="2435" t="str">
        <f t="shared" si="446"/>
        <v/>
      </c>
      <c r="B2322" s="2505" t="s">
        <v>5244</v>
      </c>
      <c r="C2322" s="2511"/>
      <c r="D2322" s="2405">
        <v>0</v>
      </c>
      <c r="E2322" s="2447" t="s">
        <v>5245</v>
      </c>
      <c r="F2322" s="2405" t="s">
        <v>2563</v>
      </c>
      <c r="G2322" s="2611">
        <f>G2321</f>
        <v>0</v>
      </c>
      <c r="H2322" s="2517">
        <v>4000</v>
      </c>
      <c r="I2322" s="2517"/>
      <c r="J2322" s="2517">
        <v>0</v>
      </c>
      <c r="K2322" s="2517">
        <v>0</v>
      </c>
      <c r="L2322" s="2517">
        <f>H2322*G2322</f>
        <v>0</v>
      </c>
      <c r="M2322" s="2517">
        <f>I2322*G2322</f>
        <v>0</v>
      </c>
      <c r="N2322" s="2517">
        <f>J2322*G2322</f>
        <v>0</v>
      </c>
      <c r="O2322" s="2517">
        <f>K2322*G2322</f>
        <v>0</v>
      </c>
      <c r="P2322" s="2694"/>
      <c r="Q2322" s="2519"/>
      <c r="R2322" s="2519"/>
      <c r="S2322" s="2519"/>
    </row>
    <row r="2323" spans="1:20" s="2358" customFormat="1" outlineLevel="1">
      <c r="A2323" s="2435">
        <f>IF(G2323=0,0,1)</f>
        <v>0</v>
      </c>
      <c r="B2323" s="2505" t="s">
        <v>794</v>
      </c>
      <c r="C2323" s="2521"/>
      <c r="D2323" s="2405" t="s">
        <v>5398</v>
      </c>
      <c r="E2323" s="2447" t="s">
        <v>3086</v>
      </c>
      <c r="F2323" s="2405" t="s">
        <v>856</v>
      </c>
      <c r="G2323" s="2800">
        <f>(52+20)*G2304*0.3*0.5</f>
        <v>0</v>
      </c>
      <c r="H2323" s="2517">
        <v>0</v>
      </c>
      <c r="I2323" s="2517"/>
      <c r="J2323" s="2517">
        <v>283749.75</v>
      </c>
      <c r="K2323" s="2517">
        <v>0</v>
      </c>
      <c r="L2323" s="2517">
        <f t="shared" ref="L2323:O2324" si="451">H2323*$G2323</f>
        <v>0</v>
      </c>
      <c r="M2323" s="2517">
        <f t="shared" si="451"/>
        <v>0</v>
      </c>
      <c r="N2323" s="2517">
        <f t="shared" si="451"/>
        <v>0</v>
      </c>
      <c r="O2323" s="2517">
        <f t="shared" si="451"/>
        <v>0</v>
      </c>
      <c r="P2323" s="2694"/>
      <c r="Q2323" s="2519"/>
      <c r="R2323" s="2519"/>
      <c r="S2323" s="2519"/>
    </row>
    <row r="2324" spans="1:20" s="2358" customFormat="1" outlineLevel="1">
      <c r="A2324" s="2435">
        <f>IF(G2324=0,0,1)</f>
        <v>0</v>
      </c>
      <c r="B2324" s="2505" t="s">
        <v>798</v>
      </c>
      <c r="C2324" s="2521"/>
      <c r="D2324" s="2405" t="s">
        <v>5387</v>
      </c>
      <c r="E2324" s="2447" t="s">
        <v>5399</v>
      </c>
      <c r="F2324" s="2405" t="s">
        <v>856</v>
      </c>
      <c r="G2324" s="2800">
        <f>G2323</f>
        <v>0</v>
      </c>
      <c r="H2324" s="2517">
        <v>0</v>
      </c>
      <c r="I2324" s="2517"/>
      <c r="J2324" s="2517">
        <v>117703.6</v>
      </c>
      <c r="K2324" s="2517">
        <v>0</v>
      </c>
      <c r="L2324" s="2517">
        <f t="shared" si="451"/>
        <v>0</v>
      </c>
      <c r="M2324" s="2517">
        <f t="shared" si="451"/>
        <v>0</v>
      </c>
      <c r="N2324" s="2517">
        <f t="shared" si="451"/>
        <v>0</v>
      </c>
      <c r="O2324" s="2517">
        <f t="shared" si="451"/>
        <v>0</v>
      </c>
      <c r="P2324" s="2694"/>
      <c r="Q2324" s="2519"/>
      <c r="R2324" s="2519"/>
      <c r="S2324" s="2519"/>
    </row>
    <row r="2325" spans="1:20" s="2358" customFormat="1" outlineLevel="1">
      <c r="A2325" s="2435">
        <f>IF(G2325=0,0,1)</f>
        <v>0</v>
      </c>
      <c r="B2325" s="2505" t="s">
        <v>902</v>
      </c>
      <c r="C2325" s="2521"/>
      <c r="D2325" s="2405" t="s">
        <v>5413</v>
      </c>
      <c r="E2325" s="2447" t="s">
        <v>5414</v>
      </c>
      <c r="F2325" s="2405" t="s">
        <v>2391</v>
      </c>
      <c r="G2325" s="2801">
        <f>G2307</f>
        <v>0</v>
      </c>
      <c r="H2325" s="2517">
        <v>0</v>
      </c>
      <c r="I2325" s="2517"/>
      <c r="J2325" s="2517" t="s">
        <v>6386</v>
      </c>
      <c r="K2325" s="2517">
        <v>0</v>
      </c>
      <c r="L2325" s="2517">
        <f>H2325*$G2325</f>
        <v>0</v>
      </c>
      <c r="M2325" s="2517">
        <f>I2325*$G2325</f>
        <v>0</v>
      </c>
      <c r="N2325" s="2517">
        <v>0</v>
      </c>
      <c r="O2325" s="2517">
        <f>K2325*$G2325</f>
        <v>0</v>
      </c>
      <c r="P2325" s="2694"/>
      <c r="Q2325" s="2519"/>
      <c r="R2325" s="2519"/>
      <c r="S2325" s="2519"/>
    </row>
    <row r="2326" spans="1:20" s="2358" customFormat="1" outlineLevel="1">
      <c r="A2326" s="2435" t="str">
        <f>IF(G2326&lt;&gt;0,1,"")</f>
        <v/>
      </c>
      <c r="B2326" s="2505" t="s">
        <v>1440</v>
      </c>
      <c r="C2326" s="2511"/>
      <c r="D2326" s="2405" t="s">
        <v>5408</v>
      </c>
      <c r="E2326" s="2447" t="s">
        <v>5409</v>
      </c>
      <c r="F2326" s="2405" t="s">
        <v>2538</v>
      </c>
      <c r="G2326" s="2611">
        <f>G2306/0.224</f>
        <v>0</v>
      </c>
      <c r="H2326" s="2517">
        <v>0</v>
      </c>
      <c r="I2326" s="2517"/>
      <c r="J2326" s="2517">
        <v>8070.7000000000007</v>
      </c>
      <c r="K2326" s="2517">
        <v>2044.9974999999999</v>
      </c>
      <c r="L2326" s="2517">
        <f>H2326*G2326</f>
        <v>0</v>
      </c>
      <c r="M2326" s="2517">
        <f>I2326*G2326</f>
        <v>0</v>
      </c>
      <c r="N2326" s="2517">
        <f>J2326*G2326</f>
        <v>0</v>
      </c>
      <c r="O2326" s="2517">
        <f>K2326*G2326</f>
        <v>0</v>
      </c>
      <c r="P2326" s="2694"/>
      <c r="Q2326" s="2519"/>
      <c r="R2326" s="2519"/>
      <c r="S2326" s="2519"/>
    </row>
    <row r="2327" spans="1:20" s="2358" customFormat="1" outlineLevel="1">
      <c r="A2327" s="2435" t="str">
        <f>IF(G2327&lt;&gt;0,1,"")</f>
        <v/>
      </c>
      <c r="B2327" s="2514"/>
      <c r="C2327" s="2511">
        <f>IF(G2327&gt;0,C2304+1,C2304)</f>
        <v>0</v>
      </c>
      <c r="D2327" s="2512"/>
      <c r="E2327" s="2515" t="s">
        <v>6341</v>
      </c>
      <c r="F2327" s="2511" t="s">
        <v>2391</v>
      </c>
      <c r="G2327" s="2516">
        <f>G2253</f>
        <v>0</v>
      </c>
      <c r="H2327" s="2517"/>
      <c r="I2327" s="2517"/>
      <c r="J2327" s="2517"/>
      <c r="K2327" s="2517"/>
      <c r="L2327" s="2517">
        <f t="shared" ref="L2327:L2332" si="452">H2327*G2327</f>
        <v>0</v>
      </c>
      <c r="M2327" s="2517">
        <f t="shared" ref="M2327:M2332" si="453">I2327*G2327</f>
        <v>0</v>
      </c>
      <c r="N2327" s="2517">
        <f t="shared" ref="N2327:N2332" si="454">J2327*G2327</f>
        <v>0</v>
      </c>
      <c r="O2327" s="2517">
        <f t="shared" ref="O2327:O2332" si="455">K2327*G2327</f>
        <v>0</v>
      </c>
      <c r="P2327" s="2518"/>
      <c r="Q2327" s="2519"/>
      <c r="R2327" s="2519"/>
      <c r="S2327" s="2519"/>
    </row>
    <row r="2328" spans="1:20" s="2358" customFormat="1" ht="14.4" outlineLevel="1">
      <c r="A2328" s="2435" t="str">
        <f>A2327</f>
        <v/>
      </c>
      <c r="B2328" s="2514"/>
      <c r="C2328" s="2511"/>
      <c r="D2328" s="2512"/>
      <c r="E2328" s="2520" t="s">
        <v>6207</v>
      </c>
      <c r="F2328" s="2521"/>
      <c r="G2328" s="2522"/>
      <c r="H2328" s="2517"/>
      <c r="I2328" s="2517"/>
      <c r="J2328" s="2517"/>
      <c r="K2328" s="2517"/>
      <c r="L2328" s="2517">
        <f t="shared" si="452"/>
        <v>0</v>
      </c>
      <c r="M2328" s="2517">
        <f t="shared" si="453"/>
        <v>0</v>
      </c>
      <c r="N2328" s="2517">
        <f t="shared" si="454"/>
        <v>0</v>
      </c>
      <c r="O2328" s="2517">
        <f t="shared" si="455"/>
        <v>0</v>
      </c>
      <c r="P2328" s="2518"/>
      <c r="Q2328" s="2519"/>
      <c r="R2328" s="2519"/>
      <c r="S2328" s="2519"/>
    </row>
    <row r="2329" spans="1:20" s="2358" customFormat="1" outlineLevel="1">
      <c r="A2329" s="2435" t="str">
        <f>IF(G2329&lt;&gt;0,1,"")</f>
        <v/>
      </c>
      <c r="B2329" s="2514" t="s">
        <v>653</v>
      </c>
      <c r="C2329" s="2521"/>
      <c r="D2329" s="2405">
        <v>0</v>
      </c>
      <c r="E2329" s="2447" t="s">
        <v>5351</v>
      </c>
      <c r="F2329" s="2405" t="s">
        <v>2254</v>
      </c>
      <c r="G2329" s="2523">
        <f>+G2332*296</f>
        <v>0</v>
      </c>
      <c r="H2329" s="2517">
        <v>1740</v>
      </c>
      <c r="I2329" s="2517"/>
      <c r="J2329" s="2517">
        <v>0</v>
      </c>
      <c r="K2329" s="2517">
        <v>0</v>
      </c>
      <c r="L2329" s="2517">
        <f t="shared" si="452"/>
        <v>0</v>
      </c>
      <c r="M2329" s="2517">
        <f t="shared" si="453"/>
        <v>0</v>
      </c>
      <c r="N2329" s="2517">
        <f t="shared" si="454"/>
        <v>0</v>
      </c>
      <c r="O2329" s="2517">
        <f t="shared" si="455"/>
        <v>0</v>
      </c>
      <c r="P2329" s="2518"/>
      <c r="Q2329" s="2519"/>
      <c r="R2329" s="2519"/>
      <c r="S2329" s="2519"/>
    </row>
    <row r="2330" spans="1:20" s="2358" customFormat="1" outlineLevel="1">
      <c r="A2330" s="2435" t="str">
        <f>IF(G2330&lt;&gt;0,1,"")</f>
        <v/>
      </c>
      <c r="B2330" s="2514" t="s">
        <v>752</v>
      </c>
      <c r="C2330" s="2511"/>
      <c r="D2330" s="2405">
        <v>0</v>
      </c>
      <c r="E2330" s="2447" t="s">
        <v>3022</v>
      </c>
      <c r="F2330" s="2405" t="s">
        <v>856</v>
      </c>
      <c r="G2330" s="2523">
        <f>G2332*0.475</f>
        <v>0</v>
      </c>
      <c r="H2330" s="2517">
        <v>512000</v>
      </c>
      <c r="I2330" s="2517"/>
      <c r="J2330" s="2517">
        <v>0</v>
      </c>
      <c r="K2330" s="2517">
        <v>0</v>
      </c>
      <c r="L2330" s="2517">
        <f t="shared" si="452"/>
        <v>0</v>
      </c>
      <c r="M2330" s="2517">
        <f t="shared" si="453"/>
        <v>0</v>
      </c>
      <c r="N2330" s="2517">
        <f t="shared" si="454"/>
        <v>0</v>
      </c>
      <c r="O2330" s="2517">
        <f t="shared" si="455"/>
        <v>0</v>
      </c>
      <c r="P2330" s="2518"/>
      <c r="Q2330" s="2519"/>
      <c r="R2330" s="2519"/>
      <c r="S2330" s="2519"/>
    </row>
    <row r="2331" spans="1:20" s="2358" customFormat="1" outlineLevel="1">
      <c r="A2331" s="2435" t="str">
        <f>IF(G2331&lt;&gt;0,1,"")</f>
        <v/>
      </c>
      <c r="B2331" s="2514" t="s">
        <v>216</v>
      </c>
      <c r="C2331" s="2511"/>
      <c r="D2331" s="2405">
        <v>0</v>
      </c>
      <c r="E2331" s="2447" t="s">
        <v>3018</v>
      </c>
      <c r="F2331" s="2405" t="s">
        <v>856</v>
      </c>
      <c r="G2331" s="2523">
        <f>G2332*0.881</f>
        <v>0</v>
      </c>
      <c r="H2331" s="2517">
        <v>335000</v>
      </c>
      <c r="I2331" s="2517"/>
      <c r="J2331" s="2517">
        <v>0</v>
      </c>
      <c r="K2331" s="2517">
        <v>0</v>
      </c>
      <c r="L2331" s="2517">
        <f t="shared" si="452"/>
        <v>0</v>
      </c>
      <c r="M2331" s="2517">
        <f t="shared" si="453"/>
        <v>0</v>
      </c>
      <c r="N2331" s="2517">
        <f t="shared" si="454"/>
        <v>0</v>
      </c>
      <c r="O2331" s="2517">
        <f t="shared" si="455"/>
        <v>0</v>
      </c>
      <c r="P2331" s="2518"/>
      <c r="Q2331" s="2519"/>
      <c r="R2331" s="2519"/>
      <c r="S2331" s="2519"/>
    </row>
    <row r="2332" spans="1:20" s="2358" customFormat="1" outlineLevel="1">
      <c r="A2332" s="2435" t="str">
        <f>IF(G2332&lt;&gt;0,1,"")</f>
        <v/>
      </c>
      <c r="B2332" s="2514" t="s">
        <v>654</v>
      </c>
      <c r="C2332" s="2521"/>
      <c r="D2332" s="2405" t="s">
        <v>5533</v>
      </c>
      <c r="E2332" s="2447" t="s">
        <v>5536</v>
      </c>
      <c r="F2332" s="2405" t="s">
        <v>856</v>
      </c>
      <c r="G2332" s="2523">
        <f>G2327*(0.4*3*1-2*3.14*0.15^2*0.4)</f>
        <v>0</v>
      </c>
      <c r="H2332" s="2517"/>
      <c r="I2332" s="2517"/>
      <c r="J2332" s="2517">
        <v>466397.5</v>
      </c>
      <c r="K2332" s="2517">
        <v>0</v>
      </c>
      <c r="L2332" s="2517">
        <f t="shared" si="452"/>
        <v>0</v>
      </c>
      <c r="M2332" s="2517">
        <f t="shared" si="453"/>
        <v>0</v>
      </c>
      <c r="N2332" s="2517">
        <f t="shared" si="454"/>
        <v>0</v>
      </c>
      <c r="O2332" s="2517">
        <f t="shared" si="455"/>
        <v>0</v>
      </c>
      <c r="P2332" s="2518"/>
      <c r="Q2332" s="2525">
        <f>1.025*361</f>
        <v>370.02499999999998</v>
      </c>
      <c r="R2332" s="2525">
        <f>1.025*0.45</f>
        <v>0.46124999999999999</v>
      </c>
      <c r="S2332" s="2525">
        <f>1.025*0.866</f>
        <v>0.88764999999999994</v>
      </c>
      <c r="T2332" s="2526"/>
    </row>
    <row r="2333" spans="1:20" s="2358" customFormat="1" outlineLevel="1">
      <c r="A2333" s="2435" t="str">
        <f>IF(G2333&lt;&gt;0,1,"")</f>
        <v/>
      </c>
      <c r="B2333" s="2514"/>
      <c r="C2333" s="2511">
        <f>IF(G2333&gt;0,C2327+1,C2327)</f>
        <v>0</v>
      </c>
      <c r="D2333" s="2512"/>
      <c r="E2333" s="2629" t="s">
        <v>6283</v>
      </c>
      <c r="F2333" s="2511" t="s">
        <v>2391</v>
      </c>
      <c r="G2333" s="2630">
        <f>G2243*2</f>
        <v>0</v>
      </c>
      <c r="H2333" s="2517"/>
      <c r="I2333" s="2517"/>
      <c r="J2333" s="2517"/>
      <c r="K2333" s="2517"/>
      <c r="L2333" s="2517">
        <f>H2333*G2333</f>
        <v>0</v>
      </c>
      <c r="M2333" s="2517">
        <f>I2333*G2333</f>
        <v>0</v>
      </c>
      <c r="N2333" s="2517">
        <f>J2333*G2333</f>
        <v>0</v>
      </c>
      <c r="O2333" s="2517">
        <f>K2333*G2333</f>
        <v>0</v>
      </c>
      <c r="P2333" s="2694"/>
      <c r="Q2333" s="2519"/>
      <c r="R2333" s="2519"/>
      <c r="S2333" s="2519"/>
    </row>
    <row r="2334" spans="1:20" s="2358" customFormat="1" ht="14.4" outlineLevel="1">
      <c r="A2334" s="2435" t="str">
        <f>A2333</f>
        <v/>
      </c>
      <c r="B2334" s="2514"/>
      <c r="C2334" s="2511"/>
      <c r="D2334" s="2512"/>
      <c r="E2334" s="2520" t="s">
        <v>6207</v>
      </c>
      <c r="F2334" s="2521"/>
      <c r="G2334" s="2611"/>
      <c r="H2334" s="2517"/>
      <c r="I2334" s="2517"/>
      <c r="J2334" s="2517"/>
      <c r="K2334" s="2517"/>
      <c r="L2334" s="2517">
        <f>H2334*G2334</f>
        <v>0</v>
      </c>
      <c r="M2334" s="2517">
        <f>I2334*G2334</f>
        <v>0</v>
      </c>
      <c r="N2334" s="2517">
        <f>J2334*G2334</f>
        <v>0</v>
      </c>
      <c r="O2334" s="2517">
        <f>K2334*G2334</f>
        <v>0</v>
      </c>
      <c r="P2334" s="2694"/>
      <c r="Q2334" s="2519"/>
      <c r="R2334" s="2519"/>
      <c r="S2334" s="2519"/>
    </row>
    <row r="2335" spans="1:20" s="2358" customFormat="1" outlineLevel="1">
      <c r="A2335" s="2435" t="str">
        <f>IF(G2335&lt;&gt;0,1,"")</f>
        <v/>
      </c>
      <c r="B2335" s="2374" t="s">
        <v>5705</v>
      </c>
      <c r="C2335" s="2521"/>
      <c r="D2335" s="2405" t="s">
        <v>5695</v>
      </c>
      <c r="E2335" s="2447" t="s">
        <v>5706</v>
      </c>
      <c r="F2335" s="2405" t="s">
        <v>2563</v>
      </c>
      <c r="G2335" s="2611">
        <f>G2333</f>
        <v>0</v>
      </c>
      <c r="H2335" s="2517">
        <v>2112489</v>
      </c>
      <c r="I2335" s="2517"/>
      <c r="J2335" s="2517">
        <v>690091</v>
      </c>
      <c r="K2335" s="2517">
        <v>97369</v>
      </c>
      <c r="L2335" s="2517">
        <f>H2335*G2335</f>
        <v>0</v>
      </c>
      <c r="M2335" s="2517">
        <f>I2335*G2335</f>
        <v>0</v>
      </c>
      <c r="N2335" s="2517">
        <f>J2335*G2335</f>
        <v>0</v>
      </c>
      <c r="O2335" s="2517">
        <f>K2335*G2335</f>
        <v>0</v>
      </c>
      <c r="P2335" s="2694"/>
      <c r="Q2335" s="2519"/>
      <c r="R2335" s="2519"/>
      <c r="S2335" s="2519"/>
    </row>
    <row r="2336" spans="1:20" s="2358" customFormat="1" outlineLevel="1">
      <c r="A2336" s="2435" t="str">
        <f>IF(G2336&lt;&gt;0,1,"")</f>
        <v/>
      </c>
      <c r="B2336" s="2514" t="s">
        <v>880</v>
      </c>
      <c r="C2336" s="2511"/>
      <c r="D2336" s="2405">
        <v>0</v>
      </c>
      <c r="E2336" s="2447" t="s">
        <v>5861</v>
      </c>
      <c r="F2336" s="2405" t="s">
        <v>2563</v>
      </c>
      <c r="G2336" s="2611">
        <f>G2333*1*0</f>
        <v>0</v>
      </c>
      <c r="H2336" s="2517">
        <v>284000</v>
      </c>
      <c r="I2336" s="2517"/>
      <c r="J2336" s="2517">
        <v>5404</v>
      </c>
      <c r="K2336" s="2517">
        <v>0</v>
      </c>
      <c r="L2336" s="2517">
        <f>H2336*G2336</f>
        <v>0</v>
      </c>
      <c r="M2336" s="2517">
        <f>I2336*G2336</f>
        <v>0</v>
      </c>
      <c r="N2336" s="2517">
        <f>J2336*G2336</f>
        <v>0</v>
      </c>
      <c r="O2336" s="2517">
        <f>K2336*G2336</f>
        <v>0</v>
      </c>
      <c r="P2336" s="2694"/>
      <c r="Q2336" s="2519"/>
      <c r="R2336" s="2519"/>
      <c r="S2336" s="2519"/>
    </row>
    <row r="2337" spans="1:19" s="2358" customFormat="1" outlineLevel="1">
      <c r="A2337" s="2435" t="str">
        <f>IF(G2337&lt;&gt;0,1,"")</f>
        <v/>
      </c>
      <c r="B2337" s="2514" t="s">
        <v>289</v>
      </c>
      <c r="C2337" s="2521"/>
      <c r="D2337" s="2405">
        <v>0</v>
      </c>
      <c r="E2337" s="2447" t="s">
        <v>5774</v>
      </c>
      <c r="F2337" s="2405" t="s">
        <v>2563</v>
      </c>
      <c r="G2337" s="2631"/>
      <c r="H2337" s="2517">
        <v>300000</v>
      </c>
      <c r="I2337" s="2517"/>
      <c r="J2337" s="2517">
        <v>0</v>
      </c>
      <c r="K2337" s="2517">
        <v>0</v>
      </c>
      <c r="L2337" s="2517">
        <f>H2337*G2337</f>
        <v>0</v>
      </c>
      <c r="M2337" s="2517">
        <f>I2337*G2337</f>
        <v>0</v>
      </c>
      <c r="N2337" s="2517">
        <f>J2337*G2337</f>
        <v>0</v>
      </c>
      <c r="O2337" s="2517">
        <f>K2337*G2337</f>
        <v>0</v>
      </c>
      <c r="P2337" s="2642"/>
      <c r="Q2337" s="2519"/>
      <c r="R2337" s="2519"/>
      <c r="S2337" s="2519"/>
    </row>
    <row r="2338" spans="1:19" s="2358" customFormat="1" outlineLevel="1">
      <c r="A2338" s="2435" t="str">
        <f t="shared" ref="A2338:A2344" si="456">IF(G2338&lt;&gt;0,1,"")</f>
        <v/>
      </c>
      <c r="B2338" s="2374" t="s">
        <v>588</v>
      </c>
      <c r="C2338" s="2521"/>
      <c r="D2338" s="2405">
        <v>0</v>
      </c>
      <c r="E2338" s="2447" t="s">
        <v>2999</v>
      </c>
      <c r="F2338" s="2405" t="s">
        <v>2445</v>
      </c>
      <c r="G2338" s="2611">
        <f>G2335*2*0</f>
        <v>0</v>
      </c>
      <c r="H2338" s="2517">
        <v>168000</v>
      </c>
      <c r="I2338" s="2517"/>
      <c r="J2338" s="2517">
        <v>0</v>
      </c>
      <c r="K2338" s="2517">
        <v>0</v>
      </c>
      <c r="L2338" s="2517">
        <f t="shared" ref="L2338:L2344" si="457">H2338*G2338</f>
        <v>0</v>
      </c>
      <c r="M2338" s="2517">
        <f t="shared" ref="M2338:M2344" si="458">I2338*G2338</f>
        <v>0</v>
      </c>
      <c r="N2338" s="2517">
        <f t="shared" ref="N2338:N2344" si="459">J2338*G2338</f>
        <v>0</v>
      </c>
      <c r="O2338" s="2517">
        <f t="shared" ref="O2338:O2344" si="460">K2338*G2338</f>
        <v>0</v>
      </c>
      <c r="P2338" s="2694"/>
      <c r="Q2338" s="2519"/>
      <c r="R2338" s="2519"/>
      <c r="S2338" s="2519"/>
    </row>
    <row r="2339" spans="1:19" s="2358" customFormat="1" outlineLevel="1">
      <c r="A2339" s="2435" t="str">
        <f t="shared" si="456"/>
        <v/>
      </c>
      <c r="B2339" s="2514"/>
      <c r="C2339" s="2511"/>
      <c r="D2339" s="2512"/>
      <c r="E2339" s="2629" t="s">
        <v>6284</v>
      </c>
      <c r="F2339" s="2511" t="s">
        <v>2391</v>
      </c>
      <c r="G2339" s="2630">
        <f>G2243</f>
        <v>0</v>
      </c>
      <c r="H2339" s="2517"/>
      <c r="I2339" s="2517"/>
      <c r="J2339" s="2517"/>
      <c r="K2339" s="2517"/>
      <c r="L2339" s="2517"/>
      <c r="M2339" s="2517"/>
      <c r="N2339" s="2517"/>
      <c r="O2339" s="2517"/>
      <c r="P2339" s="2694"/>
      <c r="Q2339" s="2519"/>
      <c r="R2339" s="2519"/>
      <c r="S2339" s="2519"/>
    </row>
    <row r="2340" spans="1:19" s="2358" customFormat="1" ht="14.4" outlineLevel="1">
      <c r="A2340" s="2435" t="str">
        <f>A2339</f>
        <v/>
      </c>
      <c r="B2340" s="2802"/>
      <c r="C2340" s="2745"/>
      <c r="D2340" s="2746"/>
      <c r="E2340" s="2747" t="s">
        <v>6207</v>
      </c>
      <c r="F2340" s="2746"/>
      <c r="G2340" s="2803"/>
      <c r="H2340" s="2517"/>
      <c r="I2340" s="2517"/>
      <c r="J2340" s="2517"/>
      <c r="K2340" s="2517"/>
      <c r="L2340" s="2517"/>
      <c r="M2340" s="2517"/>
      <c r="N2340" s="2517"/>
      <c r="O2340" s="2517"/>
      <c r="P2340" s="2694"/>
      <c r="Q2340" s="2519"/>
      <c r="R2340" s="2519"/>
      <c r="S2340" s="2519"/>
    </row>
    <row r="2341" spans="1:19" s="2358" customFormat="1" outlineLevel="1">
      <c r="A2341" s="2435" t="str">
        <f t="shared" si="456"/>
        <v/>
      </c>
      <c r="B2341" s="2514" t="s">
        <v>6321</v>
      </c>
      <c r="C2341" s="2521"/>
      <c r="D2341" s="2405" t="s">
        <v>5717</v>
      </c>
      <c r="E2341" s="2447" t="s">
        <v>5721</v>
      </c>
      <c r="F2341" s="2405" t="s">
        <v>2563</v>
      </c>
      <c r="G2341" s="2611">
        <f>G2339</f>
        <v>0</v>
      </c>
      <c r="H2341" s="2517">
        <v>783952</v>
      </c>
      <c r="I2341" s="2517"/>
      <c r="J2341" s="2517">
        <v>599038</v>
      </c>
      <c r="K2341" s="2517">
        <v>97369</v>
      </c>
      <c r="L2341" s="2517">
        <f t="shared" si="457"/>
        <v>0</v>
      </c>
      <c r="M2341" s="2517">
        <f t="shared" si="458"/>
        <v>0</v>
      </c>
      <c r="N2341" s="2517">
        <f t="shared" si="459"/>
        <v>0</v>
      </c>
      <c r="O2341" s="2517">
        <f t="shared" si="460"/>
        <v>0</v>
      </c>
      <c r="P2341" s="2694"/>
      <c r="Q2341" s="2519"/>
      <c r="R2341" s="2519"/>
      <c r="S2341" s="2519"/>
    </row>
    <row r="2342" spans="1:19" s="2358" customFormat="1" outlineLevel="1">
      <c r="A2342" s="2435" t="str">
        <f t="shared" si="456"/>
        <v/>
      </c>
      <c r="B2342" s="2514" t="s">
        <v>880</v>
      </c>
      <c r="C2342" s="2521"/>
      <c r="D2342" s="2405">
        <v>0</v>
      </c>
      <c r="E2342" s="2447" t="s">
        <v>5861</v>
      </c>
      <c r="F2342" s="2405" t="s">
        <v>2563</v>
      </c>
      <c r="G2342" s="2611">
        <f>G2341</f>
        <v>0</v>
      </c>
      <c r="H2342" s="2517">
        <v>284000</v>
      </c>
      <c r="I2342" s="2517"/>
      <c r="J2342" s="2517">
        <v>5404</v>
      </c>
      <c r="K2342" s="2517">
        <v>0</v>
      </c>
      <c r="L2342" s="2517">
        <f t="shared" si="457"/>
        <v>0</v>
      </c>
      <c r="M2342" s="2517">
        <f t="shared" si="458"/>
        <v>0</v>
      </c>
      <c r="N2342" s="2517">
        <f t="shared" si="459"/>
        <v>0</v>
      </c>
      <c r="O2342" s="2517">
        <f t="shared" si="460"/>
        <v>0</v>
      </c>
      <c r="P2342" s="2694"/>
      <c r="Q2342" s="2519"/>
      <c r="R2342" s="2519"/>
      <c r="S2342" s="2519"/>
    </row>
    <row r="2343" spans="1:19" s="2358" customFormat="1" outlineLevel="1">
      <c r="A2343" s="2435" t="str">
        <f t="shared" si="456"/>
        <v/>
      </c>
      <c r="B2343" s="2514" t="s">
        <v>289</v>
      </c>
      <c r="C2343" s="2521"/>
      <c r="D2343" s="2405">
        <v>0</v>
      </c>
      <c r="E2343" s="2447" t="s">
        <v>5774</v>
      </c>
      <c r="F2343" s="2405" t="s">
        <v>2563</v>
      </c>
      <c r="G2343" s="2611">
        <f>G2339</f>
        <v>0</v>
      </c>
      <c r="H2343" s="2517">
        <v>300000</v>
      </c>
      <c r="I2343" s="2517"/>
      <c r="J2343" s="2517">
        <v>0</v>
      </c>
      <c r="K2343" s="2517">
        <v>0</v>
      </c>
      <c r="L2343" s="2517">
        <f t="shared" si="457"/>
        <v>0</v>
      </c>
      <c r="M2343" s="2517">
        <f t="shared" si="458"/>
        <v>0</v>
      </c>
      <c r="N2343" s="2517">
        <f t="shared" si="459"/>
        <v>0</v>
      </c>
      <c r="O2343" s="2517">
        <f t="shared" si="460"/>
        <v>0</v>
      </c>
      <c r="P2343" s="2694"/>
      <c r="Q2343" s="2519"/>
      <c r="R2343" s="2519"/>
      <c r="S2343" s="2519"/>
    </row>
    <row r="2344" spans="1:19" s="2358" customFormat="1" outlineLevel="1">
      <c r="A2344" s="2435" t="str">
        <f t="shared" si="456"/>
        <v/>
      </c>
      <c r="B2344" s="2374" t="s">
        <v>588</v>
      </c>
      <c r="C2344" s="2521"/>
      <c r="D2344" s="2405">
        <v>0</v>
      </c>
      <c r="E2344" s="2447" t="s">
        <v>2999</v>
      </c>
      <c r="F2344" s="2405" t="s">
        <v>2445</v>
      </c>
      <c r="G2344" s="2611">
        <f>G2341*0</f>
        <v>0</v>
      </c>
      <c r="H2344" s="2517">
        <v>168000</v>
      </c>
      <c r="I2344" s="2517"/>
      <c r="J2344" s="2517">
        <v>0</v>
      </c>
      <c r="K2344" s="2517">
        <v>0</v>
      </c>
      <c r="L2344" s="2517">
        <f t="shared" si="457"/>
        <v>0</v>
      </c>
      <c r="M2344" s="2517">
        <f t="shared" si="458"/>
        <v>0</v>
      </c>
      <c r="N2344" s="2517">
        <f t="shared" si="459"/>
        <v>0</v>
      </c>
      <c r="O2344" s="2517">
        <f t="shared" si="460"/>
        <v>0</v>
      </c>
      <c r="P2344" s="2694"/>
      <c r="Q2344" s="2519"/>
      <c r="R2344" s="2519"/>
      <c r="S2344" s="2519"/>
    </row>
    <row r="2345" spans="1:19" s="2358" customFormat="1" outlineLevel="1">
      <c r="A2345" s="2435" t="str">
        <f>IF(G2345&lt;&gt;0,1,"")</f>
        <v/>
      </c>
      <c r="B2345" s="2514"/>
      <c r="C2345" s="2511">
        <f>IF(G2345&gt;0,C2333+1,C2333)</f>
        <v>0</v>
      </c>
      <c r="D2345" s="2512"/>
      <c r="E2345" s="2513" t="s">
        <v>6337</v>
      </c>
      <c r="F2345" s="2511" t="s">
        <v>2391</v>
      </c>
      <c r="G2345" s="2630">
        <f>G2243</f>
        <v>0</v>
      </c>
      <c r="H2345" s="2517"/>
      <c r="I2345" s="2517"/>
      <c r="J2345" s="2517"/>
      <c r="K2345" s="2517"/>
      <c r="L2345" s="2517"/>
      <c r="M2345" s="2517"/>
      <c r="N2345" s="2517"/>
      <c r="O2345" s="2517"/>
      <c r="P2345" s="2694"/>
      <c r="Q2345" s="2519"/>
      <c r="R2345" s="2519"/>
      <c r="S2345" s="2519"/>
    </row>
    <row r="2346" spans="1:19" s="2358" customFormat="1" ht="14.4" outlineLevel="1">
      <c r="A2346" s="2435" t="str">
        <f>A2345</f>
        <v/>
      </c>
      <c r="B2346" s="2514"/>
      <c r="C2346" s="2511"/>
      <c r="D2346" s="2512"/>
      <c r="E2346" s="2527" t="s">
        <v>6207</v>
      </c>
      <c r="F2346" s="2511"/>
      <c r="G2346" s="2630"/>
      <c r="H2346" s="2517"/>
      <c r="I2346" s="2517"/>
      <c r="J2346" s="2517"/>
      <c r="K2346" s="2517"/>
      <c r="L2346" s="2517"/>
      <c r="M2346" s="2517"/>
      <c r="N2346" s="2517"/>
      <c r="O2346" s="2517"/>
      <c r="P2346" s="2694"/>
      <c r="Q2346" s="2519"/>
      <c r="R2346" s="2519"/>
      <c r="S2346" s="2519"/>
    </row>
    <row r="2347" spans="1:19" s="2358" customFormat="1" outlineLevel="1">
      <c r="A2347" s="2435" t="str">
        <f>IF(G2347&lt;&gt;0,1,"")</f>
        <v/>
      </c>
      <c r="B2347" s="2505" t="s">
        <v>697</v>
      </c>
      <c r="C2347" s="2521"/>
      <c r="D2347" s="2405">
        <v>0</v>
      </c>
      <c r="E2347" s="2447" t="s">
        <v>5139</v>
      </c>
      <c r="F2347" s="2405" t="s">
        <v>2538</v>
      </c>
      <c r="G2347" s="2611">
        <f>G2345*(7)*3</f>
        <v>0</v>
      </c>
      <c r="H2347" s="2517">
        <v>50996</v>
      </c>
      <c r="I2347" s="2517"/>
      <c r="J2347" s="2517">
        <v>0</v>
      </c>
      <c r="K2347" s="2517">
        <v>0</v>
      </c>
      <c r="L2347" s="2517">
        <f t="shared" ref="L2347:L2357" si="461">H2347*G2347</f>
        <v>0</v>
      </c>
      <c r="M2347" s="2517">
        <f>I2347*G2347</f>
        <v>0</v>
      </c>
      <c r="N2347" s="2517">
        <f t="shared" ref="N2347:N2357" si="462">J2347*G2347</f>
        <v>0</v>
      </c>
      <c r="O2347" s="2517">
        <f t="shared" ref="O2347:O2357" si="463">K2347*G2347</f>
        <v>0</v>
      </c>
      <c r="P2347" s="2694"/>
      <c r="Q2347" s="2519"/>
      <c r="R2347" s="2519"/>
      <c r="S2347" s="2519"/>
    </row>
    <row r="2348" spans="1:19" s="2358" customFormat="1" outlineLevel="1">
      <c r="A2348" s="2435" t="str">
        <f>IF(G2348&lt;&gt;0,1,"")</f>
        <v/>
      </c>
      <c r="B2348" s="2610" t="s">
        <v>5761</v>
      </c>
      <c r="C2348" s="2521"/>
      <c r="D2348" s="2405">
        <v>0</v>
      </c>
      <c r="E2348" s="2447" t="s">
        <v>5762</v>
      </c>
      <c r="F2348" s="2405" t="s">
        <v>2563</v>
      </c>
      <c r="G2348" s="2611">
        <f>+G2345*3</f>
        <v>0</v>
      </c>
      <c r="H2348" s="2517">
        <v>218200</v>
      </c>
      <c r="I2348" s="2517"/>
      <c r="J2348" s="2517">
        <v>0</v>
      </c>
      <c r="K2348" s="2517">
        <v>0</v>
      </c>
      <c r="L2348" s="2517">
        <f>H2348*G2348</f>
        <v>0</v>
      </c>
      <c r="M2348" s="2517">
        <f>I2348*G2348</f>
        <v>0</v>
      </c>
      <c r="N2348" s="2517">
        <f>J2348*G2348</f>
        <v>0</v>
      </c>
      <c r="O2348" s="2517">
        <f>K2348*G2348</f>
        <v>0</v>
      </c>
      <c r="P2348" s="2702"/>
      <c r="Q2348" s="2519"/>
      <c r="R2348" s="2519"/>
      <c r="S2348" s="2519"/>
    </row>
    <row r="2349" spans="1:19" s="2358" customFormat="1" outlineLevel="1">
      <c r="A2349" s="2435" t="str">
        <f>IF(G2349&lt;&gt;0,1,"")</f>
        <v/>
      </c>
      <c r="B2349" s="2610" t="s">
        <v>5767</v>
      </c>
      <c r="C2349" s="2521"/>
      <c r="D2349" s="2405">
        <v>0</v>
      </c>
      <c r="E2349" s="2447" t="s">
        <v>5768</v>
      </c>
      <c r="F2349" s="2405" t="s">
        <v>2563</v>
      </c>
      <c r="G2349" s="2611">
        <f>+G2345*3</f>
        <v>0</v>
      </c>
      <c r="H2349" s="2517">
        <v>39100</v>
      </c>
      <c r="I2349" s="2517"/>
      <c r="J2349" s="2517">
        <v>0</v>
      </c>
      <c r="K2349" s="2517">
        <v>0</v>
      </c>
      <c r="L2349" s="2517">
        <f>H2349*G2349</f>
        <v>0</v>
      </c>
      <c r="M2349" s="2517">
        <f>I2349*G2349</f>
        <v>0</v>
      </c>
      <c r="N2349" s="2517">
        <f>J2349*G2349</f>
        <v>0</v>
      </c>
      <c r="O2349" s="2517">
        <f>K2349*G2349</f>
        <v>0</v>
      </c>
      <c r="P2349" s="2702"/>
      <c r="Q2349" s="2519"/>
      <c r="R2349" s="2519"/>
      <c r="S2349" s="2519"/>
    </row>
    <row r="2350" spans="1:19" s="2358" customFormat="1" outlineLevel="1">
      <c r="A2350" s="2435" t="str">
        <f>IF(G2350&lt;&gt;0,1,"")</f>
        <v/>
      </c>
      <c r="B2350" s="2610" t="s">
        <v>5769</v>
      </c>
      <c r="C2350" s="2521"/>
      <c r="D2350" s="2405">
        <v>0</v>
      </c>
      <c r="E2350" s="2447" t="s">
        <v>5770</v>
      </c>
      <c r="F2350" s="2405" t="s">
        <v>2563</v>
      </c>
      <c r="G2350" s="2611">
        <f>+G2345*3</f>
        <v>0</v>
      </c>
      <c r="H2350" s="2517">
        <v>56700</v>
      </c>
      <c r="I2350" s="2517"/>
      <c r="J2350" s="2517">
        <v>0</v>
      </c>
      <c r="K2350" s="2517">
        <v>0</v>
      </c>
      <c r="L2350" s="2517">
        <f>H2350*G2350</f>
        <v>0</v>
      </c>
      <c r="M2350" s="2517">
        <f>I2350*G2350</f>
        <v>0</v>
      </c>
      <c r="N2350" s="2517">
        <f>J2350*G2350</f>
        <v>0</v>
      </c>
      <c r="O2350" s="2517">
        <f>K2350*G2350</f>
        <v>0</v>
      </c>
      <c r="P2350" s="2702"/>
      <c r="Q2350" s="2519"/>
      <c r="R2350" s="2519"/>
      <c r="S2350" s="2519"/>
    </row>
    <row r="2351" spans="1:19" s="2358" customFormat="1" outlineLevel="1">
      <c r="A2351" s="2435" t="str">
        <f>IF(G2351&lt;&gt;0,1,"")</f>
        <v/>
      </c>
      <c r="B2351" s="2610" t="s">
        <v>6338</v>
      </c>
      <c r="C2351" s="2521"/>
      <c r="D2351" s="2405"/>
      <c r="E2351" s="2447" t="s">
        <v>5760</v>
      </c>
      <c r="F2351" s="2405" t="s">
        <v>3463</v>
      </c>
      <c r="G2351" s="2611"/>
      <c r="H2351" s="2517">
        <v>25000</v>
      </c>
      <c r="I2351" s="2517"/>
      <c r="J2351" s="2517">
        <v>0</v>
      </c>
      <c r="K2351" s="2517">
        <v>0</v>
      </c>
      <c r="L2351" s="2517">
        <f>H2351*G2351</f>
        <v>0</v>
      </c>
      <c r="M2351" s="2517">
        <f>I2351*G2351</f>
        <v>0</v>
      </c>
      <c r="N2351" s="2517">
        <f>J2351*G2351</f>
        <v>0</v>
      </c>
      <c r="O2351" s="2517">
        <f>K2351*G2351</f>
        <v>0</v>
      </c>
      <c r="P2351" s="2702"/>
      <c r="Q2351" s="2519"/>
      <c r="R2351" s="2519"/>
      <c r="S2351" s="2519"/>
    </row>
    <row r="2352" spans="1:19" s="2358" customFormat="1" outlineLevel="1">
      <c r="A2352" s="2435" t="str">
        <f t="shared" ref="A2352:A2358" si="464">IF(G2352&lt;&gt;0,1,"")</f>
        <v/>
      </c>
      <c r="B2352" s="2610" t="s">
        <v>1482</v>
      </c>
      <c r="C2352" s="2521"/>
      <c r="D2352" s="2405">
        <v>0</v>
      </c>
      <c r="E2352" s="2447" t="s">
        <v>3810</v>
      </c>
      <c r="F2352" s="2405" t="s">
        <v>2563</v>
      </c>
      <c r="G2352" s="2611">
        <f>G2345*3</f>
        <v>0</v>
      </c>
      <c r="H2352" s="2517">
        <v>46000</v>
      </c>
      <c r="I2352" s="2517"/>
      <c r="J2352" s="2517">
        <v>0</v>
      </c>
      <c r="K2352" s="2517">
        <v>0</v>
      </c>
      <c r="L2352" s="2517">
        <f t="shared" si="461"/>
        <v>0</v>
      </c>
      <c r="M2352" s="2517">
        <f t="shared" ref="M2352:M2357" si="465">I2352*G2352</f>
        <v>0</v>
      </c>
      <c r="N2352" s="2517">
        <f t="shared" si="462"/>
        <v>0</v>
      </c>
      <c r="O2352" s="2517">
        <f t="shared" si="463"/>
        <v>0</v>
      </c>
      <c r="P2352" s="2694"/>
      <c r="Q2352" s="2519"/>
      <c r="R2352" s="2519"/>
      <c r="S2352" s="2519"/>
    </row>
    <row r="2353" spans="1:19" s="2358" customFormat="1" outlineLevel="1">
      <c r="A2353" s="2435" t="str">
        <f t="shared" si="464"/>
        <v/>
      </c>
      <c r="B2353" s="2610" t="s">
        <v>1480</v>
      </c>
      <c r="C2353" s="2521"/>
      <c r="D2353" s="2405">
        <v>0</v>
      </c>
      <c r="E2353" s="2447" t="s">
        <v>6420</v>
      </c>
      <c r="F2353" s="2405" t="s">
        <v>2563</v>
      </c>
      <c r="G2353" s="2611">
        <f>G2352</f>
        <v>0</v>
      </c>
      <c r="H2353" s="2517">
        <v>77000</v>
      </c>
      <c r="I2353" s="2517"/>
      <c r="J2353" s="2517">
        <v>0</v>
      </c>
      <c r="K2353" s="2517">
        <v>0</v>
      </c>
      <c r="L2353" s="2517">
        <f t="shared" si="461"/>
        <v>0</v>
      </c>
      <c r="M2353" s="2517">
        <f t="shared" si="465"/>
        <v>0</v>
      </c>
      <c r="N2353" s="2517">
        <f t="shared" si="462"/>
        <v>0</v>
      </c>
      <c r="O2353" s="2517">
        <f t="shared" si="463"/>
        <v>0</v>
      </c>
      <c r="P2353" s="2694"/>
      <c r="Q2353" s="2519"/>
      <c r="R2353" s="2519"/>
      <c r="S2353" s="2519"/>
    </row>
    <row r="2354" spans="1:19" s="2358" customFormat="1" outlineLevel="1">
      <c r="A2354" s="2435" t="str">
        <f t="shared" si="464"/>
        <v/>
      </c>
      <c r="B2354" s="2505" t="s">
        <v>696</v>
      </c>
      <c r="C2354" s="2642"/>
      <c r="D2354" s="2405">
        <v>0</v>
      </c>
      <c r="E2354" s="2447" t="s">
        <v>2952</v>
      </c>
      <c r="F2354" s="2405" t="s">
        <v>2563</v>
      </c>
      <c r="G2354" s="2611">
        <f>G2345*3</f>
        <v>0</v>
      </c>
      <c r="H2354" s="2517">
        <v>205000</v>
      </c>
      <c r="I2354" s="2517"/>
      <c r="J2354" s="2517">
        <v>0</v>
      </c>
      <c r="K2354" s="2517">
        <v>0</v>
      </c>
      <c r="L2354" s="2517">
        <f t="shared" si="461"/>
        <v>0</v>
      </c>
      <c r="M2354" s="2517">
        <f t="shared" si="465"/>
        <v>0</v>
      </c>
      <c r="N2354" s="2517">
        <f t="shared" si="462"/>
        <v>0</v>
      </c>
      <c r="O2354" s="2517">
        <f t="shared" si="463"/>
        <v>0</v>
      </c>
      <c r="P2354" s="2694"/>
      <c r="Q2354" s="2519"/>
      <c r="R2354" s="2519"/>
      <c r="S2354" s="2519"/>
    </row>
    <row r="2355" spans="1:19" s="2358" customFormat="1" outlineLevel="1">
      <c r="A2355" s="2435" t="str">
        <f t="shared" si="464"/>
        <v/>
      </c>
      <c r="B2355" s="2505" t="s">
        <v>1268</v>
      </c>
      <c r="C2355" s="2521"/>
      <c r="D2355" s="2405">
        <v>0</v>
      </c>
      <c r="E2355" s="2447" t="s">
        <v>2831</v>
      </c>
      <c r="F2355" s="2405" t="s">
        <v>2563</v>
      </c>
      <c r="G2355" s="2611">
        <f>G2354</f>
        <v>0</v>
      </c>
      <c r="H2355" s="2517">
        <v>65000</v>
      </c>
      <c r="I2355" s="2517"/>
      <c r="J2355" s="2517">
        <v>0</v>
      </c>
      <c r="K2355" s="2517">
        <v>0</v>
      </c>
      <c r="L2355" s="2517">
        <f t="shared" si="461"/>
        <v>0</v>
      </c>
      <c r="M2355" s="2517">
        <f t="shared" si="465"/>
        <v>0</v>
      </c>
      <c r="N2355" s="2517">
        <f t="shared" si="462"/>
        <v>0</v>
      </c>
      <c r="O2355" s="2517">
        <f t="shared" si="463"/>
        <v>0</v>
      </c>
      <c r="P2355" s="2694"/>
      <c r="Q2355" s="2519"/>
      <c r="R2355" s="2519"/>
      <c r="S2355" s="2519"/>
    </row>
    <row r="2356" spans="1:19" s="2358" customFormat="1" outlineLevel="1">
      <c r="A2356" s="2435" t="str">
        <f t="shared" si="464"/>
        <v/>
      </c>
      <c r="B2356" s="2505" t="s">
        <v>1568</v>
      </c>
      <c r="C2356" s="2521"/>
      <c r="D2356" s="2405" t="s">
        <v>5622</v>
      </c>
      <c r="E2356" s="2447" t="s">
        <v>3289</v>
      </c>
      <c r="F2356" s="2405" t="s">
        <v>2445</v>
      </c>
      <c r="G2356" s="2611">
        <f>G2355</f>
        <v>0</v>
      </c>
      <c r="H2356" s="2517"/>
      <c r="I2356" s="2517"/>
      <c r="J2356" s="2517">
        <v>58277.49</v>
      </c>
      <c r="K2356" s="2517"/>
      <c r="L2356" s="2517">
        <f t="shared" si="461"/>
        <v>0</v>
      </c>
      <c r="M2356" s="2517">
        <f t="shared" si="465"/>
        <v>0</v>
      </c>
      <c r="N2356" s="2517">
        <f t="shared" si="462"/>
        <v>0</v>
      </c>
      <c r="O2356" s="2517">
        <f t="shared" si="463"/>
        <v>0</v>
      </c>
      <c r="P2356" s="2694"/>
      <c r="Q2356" s="2519"/>
      <c r="R2356" s="2519"/>
      <c r="S2356" s="2519"/>
    </row>
    <row r="2357" spans="1:19" s="2358" customFormat="1" outlineLevel="1">
      <c r="A2357" s="2435" t="str">
        <f t="shared" si="464"/>
        <v/>
      </c>
      <c r="B2357" s="2505" t="s">
        <v>1528</v>
      </c>
      <c r="C2357" s="2521"/>
      <c r="D2357" s="2405" t="s">
        <v>5633</v>
      </c>
      <c r="E2357" s="2447" t="s">
        <v>3310</v>
      </c>
      <c r="F2357" s="2405" t="s">
        <v>1827</v>
      </c>
      <c r="G2357" s="2611">
        <f>G2347</f>
        <v>0</v>
      </c>
      <c r="H2357" s="2517"/>
      <c r="I2357" s="2517"/>
      <c r="J2357" s="2517">
        <v>13915</v>
      </c>
      <c r="K2357" s="2517"/>
      <c r="L2357" s="2517">
        <f t="shared" si="461"/>
        <v>0</v>
      </c>
      <c r="M2357" s="2517">
        <f t="shared" si="465"/>
        <v>0</v>
      </c>
      <c r="N2357" s="2517">
        <f t="shared" si="462"/>
        <v>0</v>
      </c>
      <c r="O2357" s="2517">
        <f t="shared" si="463"/>
        <v>0</v>
      </c>
      <c r="P2357" s="2694"/>
      <c r="Q2357" s="2519"/>
      <c r="R2357" s="2519"/>
      <c r="S2357" s="2519"/>
    </row>
    <row r="2358" spans="1:19" s="2358" customFormat="1" outlineLevel="1">
      <c r="A2358" s="2435" t="str">
        <f t="shared" si="464"/>
        <v/>
      </c>
      <c r="B2358" s="2514"/>
      <c r="C2358" s="2511">
        <f>IF(G2358&gt;0,C2345+1,C2345)</f>
        <v>0</v>
      </c>
      <c r="D2358" s="2512"/>
      <c r="E2358" s="2513" t="s">
        <v>3726</v>
      </c>
      <c r="F2358" s="2511" t="s">
        <v>2391</v>
      </c>
      <c r="G2358" s="2516">
        <f>G2277*0</f>
        <v>0</v>
      </c>
      <c r="H2358" s="2517"/>
      <c r="I2358" s="2517"/>
      <c r="J2358" s="2517"/>
      <c r="K2358" s="2517"/>
      <c r="L2358" s="2517"/>
      <c r="M2358" s="2517"/>
      <c r="N2358" s="2517"/>
      <c r="O2358" s="2517"/>
      <c r="P2358" s="2518"/>
      <c r="Q2358" s="2519"/>
      <c r="R2358" s="2519"/>
      <c r="S2358" s="2519"/>
    </row>
    <row r="2359" spans="1:19" s="2358" customFormat="1" ht="14.4" outlineLevel="1">
      <c r="A2359" s="2435" t="str">
        <f>A2358</f>
        <v/>
      </c>
      <c r="B2359" s="2514"/>
      <c r="C2359" s="2511"/>
      <c r="D2359" s="2512"/>
      <c r="E2359" s="2527" t="s">
        <v>6207</v>
      </c>
      <c r="F2359" s="2511"/>
      <c r="G2359" s="2516"/>
      <c r="H2359" s="2517"/>
      <c r="I2359" s="2517"/>
      <c r="J2359" s="2517"/>
      <c r="K2359" s="2517"/>
      <c r="L2359" s="2517"/>
      <c r="M2359" s="2517"/>
      <c r="N2359" s="2517"/>
      <c r="O2359" s="2517"/>
      <c r="P2359" s="2518"/>
      <c r="Q2359" s="2519"/>
      <c r="R2359" s="2519"/>
      <c r="S2359" s="2519"/>
    </row>
    <row r="2360" spans="1:19" s="2358" customFormat="1" outlineLevel="1">
      <c r="A2360" s="2435" t="str">
        <f>IF(G2360&lt;&gt;0,1,"")</f>
        <v/>
      </c>
      <c r="B2360" s="2514" t="s">
        <v>1492</v>
      </c>
      <c r="C2360" s="2521"/>
      <c r="D2360" s="2405">
        <v>0</v>
      </c>
      <c r="E2360" s="2447" t="s">
        <v>3550</v>
      </c>
      <c r="F2360" s="2405" t="s">
        <v>1827</v>
      </c>
      <c r="G2360" s="2522">
        <f>G2358*2</f>
        <v>0</v>
      </c>
      <c r="H2360" s="2517">
        <v>63200</v>
      </c>
      <c r="I2360" s="2517"/>
      <c r="J2360" s="2517">
        <v>0</v>
      </c>
      <c r="K2360" s="2517">
        <v>0</v>
      </c>
      <c r="L2360" s="2517">
        <f>H2360*G2360</f>
        <v>0</v>
      </c>
      <c r="M2360" s="2517">
        <f>I2360*G2360</f>
        <v>0</v>
      </c>
      <c r="N2360" s="2517">
        <f>J2360*G2360</f>
        <v>0</v>
      </c>
      <c r="O2360" s="2517">
        <f>K2360*G2360</f>
        <v>0</v>
      </c>
      <c r="P2360" s="2518"/>
      <c r="Q2360" s="2519"/>
      <c r="R2360" s="2519"/>
      <c r="S2360" s="2519"/>
    </row>
    <row r="2361" spans="1:19" s="2358" customFormat="1" outlineLevel="1">
      <c r="A2361" s="2435" t="str">
        <f>IF(G2361&lt;&gt;0,1,"")</f>
        <v/>
      </c>
      <c r="B2361" s="2514" t="s">
        <v>86</v>
      </c>
      <c r="C2361" s="2521"/>
      <c r="D2361" s="2405">
        <v>0</v>
      </c>
      <c r="E2361" s="2447" t="s">
        <v>5859</v>
      </c>
      <c r="F2361" s="2405" t="s">
        <v>2563</v>
      </c>
      <c r="G2361" s="2522">
        <f>G2358*2</f>
        <v>0</v>
      </c>
      <c r="H2361" s="2517">
        <v>45400</v>
      </c>
      <c r="I2361" s="2517"/>
      <c r="J2361" s="2517">
        <v>0</v>
      </c>
      <c r="K2361" s="2517">
        <v>0</v>
      </c>
      <c r="L2361" s="2517">
        <f>H2361*G2361</f>
        <v>0</v>
      </c>
      <c r="M2361" s="2517">
        <f>I2361*G2361</f>
        <v>0</v>
      </c>
      <c r="N2361" s="2517">
        <f>J2361*G2361</f>
        <v>0</v>
      </c>
      <c r="O2361" s="2517">
        <f>K2361*G2361</f>
        <v>0</v>
      </c>
      <c r="P2361" s="2518"/>
      <c r="Q2361" s="2519"/>
      <c r="R2361" s="2519"/>
      <c r="S2361" s="2519"/>
    </row>
    <row r="2362" spans="1:19" s="2358" customFormat="1" outlineLevel="1">
      <c r="A2362" s="2435" t="str">
        <f>IF(G2362&lt;&gt;0,1,"")</f>
        <v/>
      </c>
      <c r="B2362" s="2514" t="s">
        <v>931</v>
      </c>
      <c r="C2362" s="2521"/>
      <c r="D2362" s="2405">
        <v>0</v>
      </c>
      <c r="E2362" s="2447" t="s">
        <v>3592</v>
      </c>
      <c r="F2362" s="2405" t="s">
        <v>2563</v>
      </c>
      <c r="G2362" s="2522">
        <f>G2358*1*0</f>
        <v>0</v>
      </c>
      <c r="H2362" s="2517">
        <v>25800</v>
      </c>
      <c r="I2362" s="2517"/>
      <c r="J2362" s="2517">
        <v>0</v>
      </c>
      <c r="K2362" s="2517">
        <v>0</v>
      </c>
      <c r="L2362" s="2517">
        <f>H2362*G2362</f>
        <v>0</v>
      </c>
      <c r="M2362" s="2517">
        <f>I2362*G2362</f>
        <v>0</v>
      </c>
      <c r="N2362" s="2517">
        <f>J2362*G2362</f>
        <v>0</v>
      </c>
      <c r="O2362" s="2517">
        <f>K2362*G2362</f>
        <v>0</v>
      </c>
      <c r="P2362" s="2518"/>
      <c r="Q2362" s="2519"/>
      <c r="R2362" s="2519"/>
      <c r="S2362" s="2519"/>
    </row>
    <row r="2363" spans="1:19" s="2358" customFormat="1" outlineLevel="1">
      <c r="A2363" s="2435" t="str">
        <f>IF(G2363&lt;&gt;0,1,"")</f>
        <v/>
      </c>
      <c r="B2363" s="2514" t="s">
        <v>930</v>
      </c>
      <c r="C2363" s="2521"/>
      <c r="D2363" s="2405">
        <v>0</v>
      </c>
      <c r="E2363" s="2447" t="s">
        <v>3596</v>
      </c>
      <c r="F2363" s="2405" t="s">
        <v>2563</v>
      </c>
      <c r="G2363" s="2522">
        <f>G2362</f>
        <v>0</v>
      </c>
      <c r="H2363" s="2517">
        <v>21500</v>
      </c>
      <c r="I2363" s="2517"/>
      <c r="J2363" s="2517">
        <v>0</v>
      </c>
      <c r="K2363" s="2517">
        <v>0</v>
      </c>
      <c r="L2363" s="2517">
        <f>H2363*G2363</f>
        <v>0</v>
      </c>
      <c r="M2363" s="2517">
        <f>I2363*G2363</f>
        <v>0</v>
      </c>
      <c r="N2363" s="2517">
        <f>J2363*G2363</f>
        <v>0</v>
      </c>
      <c r="O2363" s="2517">
        <f>K2363*G2363</f>
        <v>0</v>
      </c>
      <c r="P2363" s="2518"/>
      <c r="Q2363" s="2519"/>
      <c r="R2363" s="2519"/>
      <c r="S2363" s="2519"/>
    </row>
    <row r="2364" spans="1:19" s="2358" customFormat="1" outlineLevel="1">
      <c r="A2364" s="2435" t="str">
        <f>IF(G2364&lt;&gt;0,1,"")</f>
        <v/>
      </c>
      <c r="B2364" s="2505"/>
      <c r="C2364" s="2511">
        <f>IF(G2364&gt;0,C2358+1,C2358)</f>
        <v>0</v>
      </c>
      <c r="D2364" s="2512"/>
      <c r="E2364" s="2513" t="s">
        <v>6339</v>
      </c>
      <c r="F2364" s="2511" t="s">
        <v>2391</v>
      </c>
      <c r="G2364" s="2611">
        <f>G2333</f>
        <v>0</v>
      </c>
      <c r="H2364" s="2517"/>
      <c r="I2364" s="2517"/>
      <c r="J2364" s="2517"/>
      <c r="K2364" s="2517"/>
      <c r="L2364" s="2517"/>
      <c r="M2364" s="2517"/>
      <c r="N2364" s="2517"/>
      <c r="O2364" s="2517"/>
      <c r="P2364" s="2694"/>
      <c r="Q2364" s="2519"/>
      <c r="R2364" s="2519"/>
      <c r="S2364" s="2519"/>
    </row>
    <row r="2365" spans="1:19" s="2358" customFormat="1" ht="14.4" outlineLevel="1">
      <c r="A2365" s="2435" t="str">
        <f>A2364</f>
        <v/>
      </c>
      <c r="B2365" s="2505"/>
      <c r="C2365" s="2511"/>
      <c r="D2365" s="2512"/>
      <c r="E2365" s="2527" t="s">
        <v>6207</v>
      </c>
      <c r="F2365" s="2511"/>
      <c r="G2365" s="2631"/>
      <c r="H2365" s="2517"/>
      <c r="I2365" s="2517"/>
      <c r="J2365" s="2517"/>
      <c r="K2365" s="2517"/>
      <c r="L2365" s="2517"/>
      <c r="M2365" s="2517"/>
      <c r="N2365" s="2517"/>
      <c r="O2365" s="2517"/>
      <c r="P2365" s="2694"/>
      <c r="Q2365" s="2519"/>
      <c r="R2365" s="2519"/>
      <c r="S2365" s="2519"/>
    </row>
    <row r="2366" spans="1:19" s="2358" customFormat="1" outlineLevel="1">
      <c r="A2366" s="2435" t="str">
        <f>IF(G2366&lt;&gt;0,1,"")</f>
        <v/>
      </c>
      <c r="B2366" s="2514" t="s">
        <v>6232</v>
      </c>
      <c r="C2366" s="2521"/>
      <c r="D2366" s="2405">
        <v>0</v>
      </c>
      <c r="E2366" s="2447" t="s">
        <v>2804</v>
      </c>
      <c r="F2366" s="2405" t="s">
        <v>2538</v>
      </c>
      <c r="G2366" s="2611">
        <f>G2364*7</f>
        <v>0</v>
      </c>
      <c r="H2366" s="2517">
        <v>194893</v>
      </c>
      <c r="I2366" s="2517"/>
      <c r="J2366" s="2517">
        <v>0</v>
      </c>
      <c r="K2366" s="2517">
        <v>0</v>
      </c>
      <c r="L2366" s="2517">
        <f t="shared" ref="L2366:L2371" si="466">H2366*G2366</f>
        <v>0</v>
      </c>
      <c r="M2366" s="2517">
        <f>I2366*G2366</f>
        <v>0</v>
      </c>
      <c r="N2366" s="2517">
        <f>J2366*G2366</f>
        <v>0</v>
      </c>
      <c r="O2366" s="2517">
        <f>K2366*G2366</f>
        <v>0</v>
      </c>
      <c r="P2366" s="2694"/>
      <c r="Q2366" s="2519"/>
      <c r="R2366" s="2519"/>
      <c r="S2366" s="2519"/>
    </row>
    <row r="2367" spans="1:19" s="2358" customFormat="1" outlineLevel="1">
      <c r="A2367" s="2435" t="str">
        <f t="shared" ref="A2367:A2384" si="467">IF(G2367&lt;&gt;0,1,"")</f>
        <v/>
      </c>
      <c r="B2367" s="2514" t="s">
        <v>1222</v>
      </c>
      <c r="C2367" s="2521"/>
      <c r="D2367" s="2405">
        <v>0</v>
      </c>
      <c r="E2367" s="2447" t="s">
        <v>2809</v>
      </c>
      <c r="F2367" s="2405" t="s">
        <v>2538</v>
      </c>
      <c r="G2367" s="2611">
        <f>+G2364*(7*3)</f>
        <v>0</v>
      </c>
      <c r="H2367" s="2517">
        <v>684900</v>
      </c>
      <c r="I2367" s="2517"/>
      <c r="J2367" s="2517">
        <v>0</v>
      </c>
      <c r="K2367" s="2517">
        <v>0</v>
      </c>
      <c r="L2367" s="2517">
        <f t="shared" si="466"/>
        <v>0</v>
      </c>
      <c r="M2367" s="2517">
        <f t="shared" ref="M2367:M2383" si="468">I2367*G2367</f>
        <v>0</v>
      </c>
      <c r="N2367" s="2517">
        <f t="shared" ref="N2367:N2383" si="469">J2367*G2367</f>
        <v>0</v>
      </c>
      <c r="O2367" s="2517">
        <f t="shared" ref="O2367:O2383" si="470">K2367*G2367</f>
        <v>0</v>
      </c>
      <c r="P2367" s="2694"/>
      <c r="Q2367" s="2519"/>
      <c r="R2367" s="2519"/>
      <c r="S2367" s="2519"/>
    </row>
    <row r="2368" spans="1:19" s="2358" customFormat="1" outlineLevel="1">
      <c r="A2368" s="2435" t="str">
        <f>IF(G2368&lt;&gt;0,1,"")</f>
        <v/>
      </c>
      <c r="B2368" s="2514" t="s">
        <v>0</v>
      </c>
      <c r="C2368" s="2521"/>
      <c r="D2368" s="2405" t="s">
        <v>5791</v>
      </c>
      <c r="E2368" s="2447" t="s">
        <v>3501</v>
      </c>
      <c r="F2368" s="2405" t="s">
        <v>2563</v>
      </c>
      <c r="G2368" s="2611">
        <f>G2364*2</f>
        <v>0</v>
      </c>
      <c r="H2368" s="2517">
        <v>36000</v>
      </c>
      <c r="I2368" s="2517"/>
      <c r="J2368" s="2517">
        <v>33342.43</v>
      </c>
      <c r="K2368" s="2517">
        <v>4443.237196</v>
      </c>
      <c r="L2368" s="2517">
        <f t="shared" si="466"/>
        <v>0</v>
      </c>
      <c r="M2368" s="2517">
        <f>I2368*G2368</f>
        <v>0</v>
      </c>
      <c r="N2368" s="2517">
        <f>J2368*G2368</f>
        <v>0</v>
      </c>
      <c r="O2368" s="2517">
        <f>K2368*G2368</f>
        <v>0</v>
      </c>
      <c r="P2368" s="2694"/>
      <c r="Q2368" s="2519"/>
      <c r="R2368" s="2519"/>
      <c r="S2368" s="2519"/>
    </row>
    <row r="2369" spans="1:19" s="2358" customFormat="1" outlineLevel="1">
      <c r="A2369" s="2435" t="str">
        <f>IF(G2369&lt;&gt;0,1,"")</f>
        <v/>
      </c>
      <c r="B2369" s="2514" t="s">
        <v>6342</v>
      </c>
      <c r="C2369" s="2521"/>
      <c r="D2369" s="2405" t="s">
        <v>5794</v>
      </c>
      <c r="E2369" s="2447" t="s">
        <v>3506</v>
      </c>
      <c r="F2369" s="2405" t="s">
        <v>2563</v>
      </c>
      <c r="G2369" s="2611">
        <f>G2364*8</f>
        <v>0</v>
      </c>
      <c r="H2369" s="2517">
        <v>108000</v>
      </c>
      <c r="I2369" s="2517"/>
      <c r="J2369" s="2517">
        <v>59410.148000000001</v>
      </c>
      <c r="K2369" s="2517">
        <v>7775.6650930000005</v>
      </c>
      <c r="L2369" s="2517">
        <f t="shared" si="466"/>
        <v>0</v>
      </c>
      <c r="M2369" s="2517">
        <f>I2369*G2369</f>
        <v>0</v>
      </c>
      <c r="N2369" s="2517">
        <f>J2369*G2369</f>
        <v>0</v>
      </c>
      <c r="O2369" s="2517">
        <f>K2369*G2369</f>
        <v>0</v>
      </c>
      <c r="P2369" s="2694"/>
      <c r="Q2369" s="2519"/>
      <c r="R2369" s="2519"/>
      <c r="S2369" s="2519"/>
    </row>
    <row r="2370" spans="1:19" s="2358" customFormat="1" outlineLevel="1">
      <c r="A2370" s="2435" t="str">
        <f>IF(G2370&lt;&gt;0,1,"")</f>
        <v/>
      </c>
      <c r="B2370" s="2514" t="s">
        <v>91</v>
      </c>
      <c r="C2370" s="2521"/>
      <c r="D2370" s="2405">
        <v>0</v>
      </c>
      <c r="E2370" s="2447" t="s">
        <v>3515</v>
      </c>
      <c r="F2370" s="2405" t="s">
        <v>2563</v>
      </c>
      <c r="G2370" s="2611">
        <f>G2368</f>
        <v>0</v>
      </c>
      <c r="H2370" s="2517">
        <v>5000</v>
      </c>
      <c r="I2370" s="2517"/>
      <c r="J2370" s="2517">
        <v>0</v>
      </c>
      <c r="K2370" s="2517">
        <v>0</v>
      </c>
      <c r="L2370" s="2517">
        <f t="shared" si="466"/>
        <v>0</v>
      </c>
      <c r="M2370" s="2517">
        <f>I2370*G2370</f>
        <v>0</v>
      </c>
      <c r="N2370" s="2517">
        <f>J2370*G2370</f>
        <v>0</v>
      </c>
      <c r="O2370" s="2517">
        <f>K2370*G2370</f>
        <v>0</v>
      </c>
      <c r="P2370" s="2694"/>
      <c r="Q2370" s="2519"/>
      <c r="R2370" s="2519"/>
      <c r="S2370" s="2519"/>
    </row>
    <row r="2371" spans="1:19" s="2358" customFormat="1" outlineLevel="1">
      <c r="A2371" s="2435" t="str">
        <f>IF(G2371&lt;&gt;0,1,"")</f>
        <v/>
      </c>
      <c r="B2371" s="2514" t="s">
        <v>975</v>
      </c>
      <c r="C2371" s="2521"/>
      <c r="D2371" s="2405">
        <v>0</v>
      </c>
      <c r="E2371" s="2447" t="s">
        <v>3520</v>
      </c>
      <c r="F2371" s="2405" t="s">
        <v>2563</v>
      </c>
      <c r="G2371" s="2611">
        <f>G2369</f>
        <v>0</v>
      </c>
      <c r="H2371" s="2517">
        <v>8000</v>
      </c>
      <c r="I2371" s="2517"/>
      <c r="J2371" s="2517">
        <v>0</v>
      </c>
      <c r="K2371" s="2517">
        <v>0</v>
      </c>
      <c r="L2371" s="2517">
        <f t="shared" si="466"/>
        <v>0</v>
      </c>
      <c r="M2371" s="2517">
        <f>I2371*G2371</f>
        <v>0</v>
      </c>
      <c r="N2371" s="2517">
        <f>J2371*G2371</f>
        <v>0</v>
      </c>
      <c r="O2371" s="2517">
        <f>K2371*G2371</f>
        <v>0</v>
      </c>
      <c r="P2371" s="2694"/>
      <c r="Q2371" s="2519"/>
      <c r="R2371" s="2519"/>
      <c r="S2371" s="2519"/>
    </row>
    <row r="2372" spans="1:19" s="2358" customFormat="1" outlineLevel="1">
      <c r="A2372" s="2435">
        <f>IF(G2372=0,0,1)</f>
        <v>0</v>
      </c>
      <c r="B2372" s="2514" t="s">
        <v>1826</v>
      </c>
      <c r="C2372" s="2642"/>
      <c r="D2372" s="2405" t="s">
        <v>1530</v>
      </c>
      <c r="E2372" s="2447" t="s">
        <v>2792</v>
      </c>
      <c r="F2372" s="2754" t="s">
        <v>2538</v>
      </c>
      <c r="G2372" s="2611">
        <f>G2364*10/2</f>
        <v>0</v>
      </c>
      <c r="H2372" s="2669">
        <v>28200</v>
      </c>
      <c r="I2372" s="2517"/>
      <c r="J2372" s="2669">
        <v>0</v>
      </c>
      <c r="K2372" s="2669">
        <v>0</v>
      </c>
      <c r="L2372" s="2669">
        <f t="shared" ref="L2372:O2373" si="471">H2372*$G2372</f>
        <v>0</v>
      </c>
      <c r="M2372" s="2517">
        <f t="shared" si="471"/>
        <v>0</v>
      </c>
      <c r="N2372" s="2669">
        <f t="shared" si="471"/>
        <v>0</v>
      </c>
      <c r="O2372" s="2669">
        <f t="shared" si="471"/>
        <v>0</v>
      </c>
      <c r="P2372" s="2694"/>
      <c r="Q2372" s="2519"/>
      <c r="R2372" s="2519"/>
      <c r="S2372" s="2519"/>
    </row>
    <row r="2373" spans="1:19" s="2358" customFormat="1" outlineLevel="1">
      <c r="A2373" s="2435">
        <f>IF(G2373=0,0,1)</f>
        <v>0</v>
      </c>
      <c r="B2373" s="2514" t="s">
        <v>6343</v>
      </c>
      <c r="C2373" s="2642"/>
      <c r="D2373" s="2405">
        <v>0</v>
      </c>
      <c r="E2373" s="2447" t="s">
        <v>3489</v>
      </c>
      <c r="F2373" s="2754" t="s">
        <v>2563</v>
      </c>
      <c r="G2373" s="2611">
        <f>G2364*8/2</f>
        <v>0</v>
      </c>
      <c r="H2373" s="2669">
        <v>1700</v>
      </c>
      <c r="I2373" s="2517"/>
      <c r="J2373" s="2669">
        <v>0</v>
      </c>
      <c r="K2373" s="2669">
        <v>0</v>
      </c>
      <c r="L2373" s="2669">
        <f t="shared" si="471"/>
        <v>0</v>
      </c>
      <c r="M2373" s="2517">
        <f t="shared" si="471"/>
        <v>0</v>
      </c>
      <c r="N2373" s="2669">
        <f t="shared" si="471"/>
        <v>0</v>
      </c>
      <c r="O2373" s="2669">
        <f t="shared" si="471"/>
        <v>0</v>
      </c>
      <c r="P2373" s="2694"/>
      <c r="Q2373" s="2519"/>
      <c r="R2373" s="2519"/>
      <c r="S2373" s="2519"/>
    </row>
    <row r="2374" spans="1:19" s="2358" customFormat="1" outlineLevel="1">
      <c r="A2374" s="2435" t="str">
        <f t="shared" si="467"/>
        <v/>
      </c>
      <c r="B2374" s="2514" t="s">
        <v>1042</v>
      </c>
      <c r="C2374" s="2521"/>
      <c r="D2374" s="2405">
        <v>0</v>
      </c>
      <c r="E2374" s="2447" t="s">
        <v>3549</v>
      </c>
      <c r="F2374" s="2405" t="s">
        <v>1827</v>
      </c>
      <c r="G2374" s="2611">
        <f>+G2364*4</f>
        <v>0</v>
      </c>
      <c r="H2374" s="2517">
        <v>103700</v>
      </c>
      <c r="I2374" s="2517"/>
      <c r="J2374" s="2517">
        <v>0</v>
      </c>
      <c r="K2374" s="2517">
        <v>0</v>
      </c>
      <c r="L2374" s="2517">
        <f t="shared" ref="L2374:L2383" si="472">H2374*G2374</f>
        <v>0</v>
      </c>
      <c r="M2374" s="2517">
        <f t="shared" si="468"/>
        <v>0</v>
      </c>
      <c r="N2374" s="2517">
        <f t="shared" si="469"/>
        <v>0</v>
      </c>
      <c r="O2374" s="2517">
        <f t="shared" si="470"/>
        <v>0</v>
      </c>
      <c r="P2374" s="2694"/>
      <c r="Q2374" s="2519"/>
      <c r="R2374" s="2519"/>
      <c r="S2374" s="2519"/>
    </row>
    <row r="2375" spans="1:19" s="2358" customFormat="1" outlineLevel="1">
      <c r="A2375" s="2435" t="str">
        <f t="shared" si="467"/>
        <v/>
      </c>
      <c r="B2375" s="2514" t="s">
        <v>4627</v>
      </c>
      <c r="C2375" s="2521"/>
      <c r="D2375" s="2405">
        <v>0</v>
      </c>
      <c r="E2375" s="2447" t="s">
        <v>5860</v>
      </c>
      <c r="F2375" s="2405" t="s">
        <v>2563</v>
      </c>
      <c r="G2375" s="2611"/>
      <c r="H2375" s="2517">
        <v>104800</v>
      </c>
      <c r="I2375" s="2517"/>
      <c r="J2375" s="2517">
        <v>0</v>
      </c>
      <c r="K2375" s="2517">
        <v>0</v>
      </c>
      <c r="L2375" s="2517">
        <f t="shared" si="472"/>
        <v>0</v>
      </c>
      <c r="M2375" s="2517">
        <f t="shared" si="468"/>
        <v>0</v>
      </c>
      <c r="N2375" s="2517">
        <f t="shared" si="469"/>
        <v>0</v>
      </c>
      <c r="O2375" s="2517">
        <f t="shared" si="470"/>
        <v>0</v>
      </c>
      <c r="P2375" s="2694"/>
      <c r="Q2375" s="2519"/>
      <c r="R2375" s="2519"/>
      <c r="S2375" s="2519"/>
    </row>
    <row r="2376" spans="1:19" s="2358" customFormat="1" outlineLevel="1">
      <c r="A2376" s="2435" t="str">
        <f t="shared" si="467"/>
        <v/>
      </c>
      <c r="B2376" s="2514" t="s">
        <v>1349</v>
      </c>
      <c r="C2376" s="2521"/>
      <c r="D2376" s="2405">
        <v>0</v>
      </c>
      <c r="E2376" s="2447" t="s">
        <v>3567</v>
      </c>
      <c r="F2376" s="2405" t="s">
        <v>2563</v>
      </c>
      <c r="G2376" s="2611"/>
      <c r="H2376" s="2517">
        <v>104800</v>
      </c>
      <c r="I2376" s="2517"/>
      <c r="J2376" s="2517">
        <v>0</v>
      </c>
      <c r="K2376" s="2517">
        <v>0</v>
      </c>
      <c r="L2376" s="2517">
        <f t="shared" si="472"/>
        <v>0</v>
      </c>
      <c r="M2376" s="2517">
        <f t="shared" si="468"/>
        <v>0</v>
      </c>
      <c r="N2376" s="2517">
        <f t="shared" si="469"/>
        <v>0</v>
      </c>
      <c r="O2376" s="2517">
        <f t="shared" si="470"/>
        <v>0</v>
      </c>
      <c r="P2376" s="2694"/>
      <c r="Q2376" s="2519"/>
      <c r="R2376" s="2519"/>
      <c r="S2376" s="2519"/>
    </row>
    <row r="2377" spans="1:19" s="2358" customFormat="1" outlineLevel="1">
      <c r="A2377" s="2435" t="str">
        <f t="shared" si="467"/>
        <v/>
      </c>
      <c r="B2377" s="2505" t="s">
        <v>6344</v>
      </c>
      <c r="C2377" s="2521"/>
      <c r="D2377" s="2405">
        <v>0</v>
      </c>
      <c r="E2377" s="2447" t="s">
        <v>5319</v>
      </c>
      <c r="F2377" s="2405" t="s">
        <v>2445</v>
      </c>
      <c r="G2377" s="2611">
        <f>G2364*2</f>
        <v>0</v>
      </c>
      <c r="H2377" s="2517">
        <v>50000</v>
      </c>
      <c r="I2377" s="2517"/>
      <c r="J2377" s="2517">
        <v>0</v>
      </c>
      <c r="K2377" s="2517">
        <v>0</v>
      </c>
      <c r="L2377" s="2517">
        <f t="shared" si="472"/>
        <v>0</v>
      </c>
      <c r="M2377" s="2517">
        <f t="shared" si="468"/>
        <v>0</v>
      </c>
      <c r="N2377" s="2517">
        <f t="shared" si="469"/>
        <v>0</v>
      </c>
      <c r="O2377" s="2517">
        <f t="shared" si="470"/>
        <v>0</v>
      </c>
      <c r="P2377" s="2694"/>
      <c r="Q2377" s="2675"/>
      <c r="R2377" s="2519"/>
      <c r="S2377" s="2519"/>
    </row>
    <row r="2378" spans="1:19" s="2358" customFormat="1" outlineLevel="1">
      <c r="A2378" s="2435" t="str">
        <f t="shared" si="467"/>
        <v/>
      </c>
      <c r="B2378" s="2514" t="s">
        <v>2173</v>
      </c>
      <c r="C2378" s="2521"/>
      <c r="D2378" s="2405">
        <v>0</v>
      </c>
      <c r="E2378" s="2447" t="s">
        <v>3593</v>
      </c>
      <c r="F2378" s="2405" t="s">
        <v>2563</v>
      </c>
      <c r="G2378" s="2611">
        <f>G2364</f>
        <v>0</v>
      </c>
      <c r="H2378" s="2517">
        <v>41900</v>
      </c>
      <c r="I2378" s="2517"/>
      <c r="J2378" s="2517">
        <v>0</v>
      </c>
      <c r="K2378" s="2517">
        <v>0</v>
      </c>
      <c r="L2378" s="2517">
        <f t="shared" si="472"/>
        <v>0</v>
      </c>
      <c r="M2378" s="2517">
        <f t="shared" si="468"/>
        <v>0</v>
      </c>
      <c r="N2378" s="2517">
        <f t="shared" si="469"/>
        <v>0</v>
      </c>
      <c r="O2378" s="2517">
        <f t="shared" si="470"/>
        <v>0</v>
      </c>
      <c r="P2378" s="2694"/>
      <c r="Q2378" s="2519"/>
      <c r="R2378" s="2519"/>
      <c r="S2378" s="2519"/>
    </row>
    <row r="2379" spans="1:19" s="2358" customFormat="1" outlineLevel="1">
      <c r="A2379" s="2435" t="str">
        <f t="shared" si="467"/>
        <v/>
      </c>
      <c r="B2379" s="2514" t="s">
        <v>2174</v>
      </c>
      <c r="C2379" s="2521"/>
      <c r="D2379" s="2405">
        <v>0</v>
      </c>
      <c r="E2379" s="2447" t="s">
        <v>3597</v>
      </c>
      <c r="F2379" s="2405" t="s">
        <v>2563</v>
      </c>
      <c r="G2379" s="2611">
        <f>G2378</f>
        <v>0</v>
      </c>
      <c r="H2379" s="2517">
        <v>41900</v>
      </c>
      <c r="I2379" s="2517"/>
      <c r="J2379" s="2517">
        <v>0</v>
      </c>
      <c r="K2379" s="2517">
        <v>0</v>
      </c>
      <c r="L2379" s="2517">
        <f t="shared" si="472"/>
        <v>0</v>
      </c>
      <c r="M2379" s="2517">
        <f t="shared" si="468"/>
        <v>0</v>
      </c>
      <c r="N2379" s="2517">
        <f t="shared" si="469"/>
        <v>0</v>
      </c>
      <c r="O2379" s="2517">
        <f t="shared" si="470"/>
        <v>0</v>
      </c>
      <c r="P2379" s="2694"/>
      <c r="Q2379" s="2519"/>
      <c r="R2379" s="2519"/>
      <c r="S2379" s="2519"/>
    </row>
    <row r="2380" spans="1:19" s="2358" customFormat="1" outlineLevel="1">
      <c r="A2380" s="2435" t="str">
        <f>IF(G2380&lt;&gt;0,1,"")</f>
        <v/>
      </c>
      <c r="B2380" s="2374" t="s">
        <v>1744</v>
      </c>
      <c r="C2380" s="2521"/>
      <c r="D2380" s="2405">
        <v>0</v>
      </c>
      <c r="E2380" s="2447" t="s">
        <v>5857</v>
      </c>
      <c r="F2380" s="2405" t="s">
        <v>1827</v>
      </c>
      <c r="G2380" s="2631">
        <f>G2364*1.2</f>
        <v>0</v>
      </c>
      <c r="H2380" s="2517">
        <v>58700</v>
      </c>
      <c r="I2380" s="2517"/>
      <c r="J2380" s="2517">
        <v>0</v>
      </c>
      <c r="K2380" s="2517">
        <v>0</v>
      </c>
      <c r="L2380" s="2517">
        <f>H2380*G2380</f>
        <v>0</v>
      </c>
      <c r="M2380" s="2517">
        <f>I2380*G2380</f>
        <v>0</v>
      </c>
      <c r="N2380" s="2517">
        <f>J2380*G2380</f>
        <v>0</v>
      </c>
      <c r="O2380" s="2517">
        <f>K2380*G2380</f>
        <v>0</v>
      </c>
      <c r="P2380" s="2694"/>
      <c r="Q2380" s="2519"/>
      <c r="R2380" s="2519"/>
      <c r="S2380" s="2519"/>
    </row>
    <row r="2381" spans="1:19" s="2358" customFormat="1" outlineLevel="1">
      <c r="A2381" s="2435" t="str">
        <f t="shared" si="467"/>
        <v/>
      </c>
      <c r="B2381" s="2514" t="s">
        <v>2080</v>
      </c>
      <c r="C2381" s="2521"/>
      <c r="D2381" s="2405">
        <v>0</v>
      </c>
      <c r="E2381" s="2447" t="s">
        <v>3588</v>
      </c>
      <c r="F2381" s="2405" t="s">
        <v>3589</v>
      </c>
      <c r="G2381" s="2611">
        <f>G2364</f>
        <v>0</v>
      </c>
      <c r="H2381" s="2517">
        <v>11500</v>
      </c>
      <c r="I2381" s="2517"/>
      <c r="J2381" s="2517">
        <v>0</v>
      </c>
      <c r="K2381" s="2517">
        <v>0</v>
      </c>
      <c r="L2381" s="2517">
        <f t="shared" si="472"/>
        <v>0</v>
      </c>
      <c r="M2381" s="2517">
        <f t="shared" si="468"/>
        <v>0</v>
      </c>
      <c r="N2381" s="2517">
        <f t="shared" si="469"/>
        <v>0</v>
      </c>
      <c r="O2381" s="2517">
        <f t="shared" si="470"/>
        <v>0</v>
      </c>
      <c r="P2381" s="2694"/>
      <c r="Q2381" s="2519"/>
      <c r="R2381" s="2519"/>
      <c r="S2381" s="2519"/>
    </row>
    <row r="2382" spans="1:19" s="2358" customFormat="1" outlineLevel="1">
      <c r="A2382" s="2435" t="str">
        <f t="shared" si="467"/>
        <v/>
      </c>
      <c r="B2382" s="2505" t="s">
        <v>6</v>
      </c>
      <c r="C2382" s="2521"/>
      <c r="D2382" s="2405"/>
      <c r="E2382" s="2447" t="s">
        <v>3585</v>
      </c>
      <c r="F2382" s="2405" t="s">
        <v>5868</v>
      </c>
      <c r="G2382" s="2611">
        <f>G2364</f>
        <v>0</v>
      </c>
      <c r="H2382" s="2517">
        <v>45000</v>
      </c>
      <c r="I2382" s="2517"/>
      <c r="J2382" s="2517"/>
      <c r="K2382" s="2517"/>
      <c r="L2382" s="2517">
        <f t="shared" si="472"/>
        <v>0</v>
      </c>
      <c r="M2382" s="2517">
        <f t="shared" si="468"/>
        <v>0</v>
      </c>
      <c r="N2382" s="2517">
        <f t="shared" si="469"/>
        <v>0</v>
      </c>
      <c r="O2382" s="2517">
        <f t="shared" si="470"/>
        <v>0</v>
      </c>
      <c r="P2382" s="2702"/>
      <c r="Q2382" s="2519"/>
      <c r="R2382" s="2519"/>
      <c r="S2382" s="2519"/>
    </row>
    <row r="2383" spans="1:19" s="2358" customFormat="1" outlineLevel="1">
      <c r="A2383" s="2435" t="str">
        <f t="shared" si="467"/>
        <v/>
      </c>
      <c r="B2383" s="2505" t="s">
        <v>672</v>
      </c>
      <c r="C2383" s="2521"/>
      <c r="D2383" s="2405">
        <v>0</v>
      </c>
      <c r="E2383" s="2447" t="s">
        <v>5863</v>
      </c>
      <c r="F2383" s="2405" t="s">
        <v>3584</v>
      </c>
      <c r="G2383" s="2611">
        <f>G2364*2</f>
        <v>0</v>
      </c>
      <c r="H2383" s="2517">
        <v>6500</v>
      </c>
      <c r="I2383" s="2517"/>
      <c r="J2383" s="2517">
        <v>0</v>
      </c>
      <c r="K2383" s="2517">
        <v>0</v>
      </c>
      <c r="L2383" s="2517">
        <f t="shared" si="472"/>
        <v>0</v>
      </c>
      <c r="M2383" s="2517">
        <f t="shared" si="468"/>
        <v>0</v>
      </c>
      <c r="N2383" s="2517">
        <f t="shared" si="469"/>
        <v>0</v>
      </c>
      <c r="O2383" s="2517">
        <f t="shared" si="470"/>
        <v>0</v>
      </c>
      <c r="P2383" s="2694"/>
      <c r="Q2383" s="2519"/>
      <c r="R2383" s="2519"/>
      <c r="S2383" s="2519"/>
    </row>
    <row r="2384" spans="1:19" s="2358" customFormat="1" outlineLevel="1">
      <c r="A2384" s="2435" t="str">
        <f t="shared" si="467"/>
        <v/>
      </c>
      <c r="B2384" s="2505" t="s">
        <v>247</v>
      </c>
      <c r="C2384" s="2521"/>
      <c r="D2384" s="2405" t="s">
        <v>5635</v>
      </c>
      <c r="E2384" s="2447" t="s">
        <v>5636</v>
      </c>
      <c r="F2384" s="2405" t="s">
        <v>1827</v>
      </c>
      <c r="G2384" s="2611">
        <f>G2367</f>
        <v>0</v>
      </c>
      <c r="H2384" s="2517">
        <v>0</v>
      </c>
      <c r="I2384" s="2517"/>
      <c r="J2384" s="2517">
        <v>47311</v>
      </c>
      <c r="K2384" s="2517">
        <v>0</v>
      </c>
      <c r="L2384" s="2517">
        <f>H2384*G2384</f>
        <v>0</v>
      </c>
      <c r="M2384" s="2517">
        <f>I2384*G2384</f>
        <v>0</v>
      </c>
      <c r="N2384" s="2517">
        <f>J2384*G2384</f>
        <v>0</v>
      </c>
      <c r="O2384" s="2517">
        <f>K2384*G2384</f>
        <v>0</v>
      </c>
      <c r="P2384" s="2694"/>
      <c r="Q2384" s="2519"/>
      <c r="R2384" s="2519"/>
      <c r="S2384" s="2519"/>
    </row>
    <row r="2385" spans="1:19" s="2358" customFormat="1" outlineLevel="1">
      <c r="A2385" s="2435"/>
      <c r="B2385" s="2610"/>
      <c r="C2385" s="2676"/>
      <c r="D2385" s="2677"/>
      <c r="E2385" s="2652"/>
      <c r="F2385" s="2890"/>
      <c r="G2385" s="2891"/>
      <c r="H2385" s="2890"/>
      <c r="I2385" s="2890"/>
      <c r="J2385" s="2900" t="s">
        <v>6205</v>
      </c>
      <c r="K2385" s="2900"/>
      <c r="L2385" s="2678">
        <f>SUM(L2260:L2384)</f>
        <v>0</v>
      </c>
      <c r="M2385" s="2678">
        <f>SUM(M2260:M2384)</f>
        <v>0</v>
      </c>
      <c r="N2385" s="2678">
        <f>SUM(N2260:N2384)</f>
        <v>0</v>
      </c>
      <c r="O2385" s="2678">
        <f>SUM(O2260:O2384)</f>
        <v>0</v>
      </c>
      <c r="P2385" s="2699"/>
      <c r="Q2385" s="2519"/>
      <c r="R2385" s="2519"/>
      <c r="S2385" s="2519"/>
    </row>
    <row r="2386" spans="1:19" s="2358" customFormat="1" ht="9.75" customHeight="1">
      <c r="A2386" s="2639">
        <f>IF(G2391&gt;0,1,)</f>
        <v>0</v>
      </c>
      <c r="B2386" s="2505"/>
      <c r="C2386" s="2519"/>
      <c r="D2386" s="2519"/>
      <c r="E2386" s="2689"/>
      <c r="F2386" s="2519"/>
      <c r="G2386" s="2690"/>
      <c r="H2386" s="2519"/>
      <c r="I2386" s="2519"/>
      <c r="J2386" s="2519"/>
      <c r="K2386" s="2519"/>
      <c r="L2386" s="2519"/>
      <c r="M2386" s="2519"/>
      <c r="N2386" s="2519"/>
      <c r="O2386" s="2519"/>
      <c r="P2386" s="2519"/>
      <c r="Q2386" s="2519"/>
      <c r="R2386" s="2519"/>
      <c r="S2386" s="2519"/>
    </row>
    <row r="2387" spans="1:19" s="2806" customFormat="1" ht="21" customHeight="1" outlineLevel="1">
      <c r="A2387" s="2804">
        <f>A2386</f>
        <v>0</v>
      </c>
      <c r="B2387" s="2805"/>
      <c r="C2387" s="2906" t="str">
        <f>"BẢNG TỔNG HỢP VẬT LIỆU, NHÂN CÔNG, MÁY THI CÔNG: "&amp;K15&amp;" TRẠM 3P_630KVA"</f>
        <v>BẢNG TỔNG HỢP VẬT LIỆU, NHÂN CÔNG, MÁY THI CÔNG: 0 TRẠM 3P_630KVA</v>
      </c>
      <c r="D2387" s="2899"/>
      <c r="E2387" s="2906"/>
      <c r="F2387" s="2906"/>
      <c r="G2387" s="2906"/>
      <c r="H2387" s="2906"/>
      <c r="I2387" s="2906"/>
      <c r="J2387" s="2906"/>
      <c r="K2387" s="2906"/>
      <c r="L2387" s="2906"/>
      <c r="M2387" s="2906"/>
      <c r="N2387" s="2906"/>
      <c r="O2387" s="2906"/>
      <c r="P2387" s="2906"/>
      <c r="R2387" s="2519"/>
    </row>
    <row r="2388" spans="1:19" s="2358" customFormat="1" outlineLevel="1">
      <c r="A2388" s="2435">
        <f>A2386</f>
        <v>0</v>
      </c>
      <c r="B2388" s="2514" t="s">
        <v>6186</v>
      </c>
      <c r="C2388" s="2901" t="s">
        <v>1712</v>
      </c>
      <c r="D2388" s="2902" t="s">
        <v>2605</v>
      </c>
      <c r="E2388" s="2904" t="s">
        <v>2606</v>
      </c>
      <c r="F2388" s="2901" t="s">
        <v>2601</v>
      </c>
      <c r="G2388" s="2362" t="s">
        <v>6187</v>
      </c>
      <c r="H2388" s="2365" t="s">
        <v>6188</v>
      </c>
      <c r="I2388" s="2872"/>
      <c r="J2388" s="2872"/>
      <c r="K2388" s="2873"/>
      <c r="L2388" s="2365" t="s">
        <v>6189</v>
      </c>
      <c r="M2388" s="2872"/>
      <c r="N2388" s="2872"/>
      <c r="O2388" s="2873"/>
      <c r="P2388" s="2901" t="s">
        <v>2607</v>
      </c>
      <c r="Q2388" s="2519"/>
      <c r="R2388" s="2519"/>
      <c r="S2388" s="2519"/>
    </row>
    <row r="2389" spans="1:19" s="2358" customFormat="1" outlineLevel="1">
      <c r="A2389" s="2435">
        <f>A2388</f>
        <v>0</v>
      </c>
      <c r="B2389" s="2514"/>
      <c r="C2389" s="2901"/>
      <c r="D2389" s="2903"/>
      <c r="E2389" s="2905"/>
      <c r="F2389" s="2901"/>
      <c r="G2389" s="2364" t="s">
        <v>2292</v>
      </c>
      <c r="H2389" s="2365" t="s">
        <v>6190</v>
      </c>
      <c r="I2389" s="2365" t="s">
        <v>6191</v>
      </c>
      <c r="J2389" s="2365" t="s">
        <v>6192</v>
      </c>
      <c r="K2389" s="2365" t="s">
        <v>6193</v>
      </c>
      <c r="L2389" s="2365" t="s">
        <v>6190</v>
      </c>
      <c r="M2389" s="2365" t="s">
        <v>6191</v>
      </c>
      <c r="N2389" s="2365" t="s">
        <v>6192</v>
      </c>
      <c r="O2389" s="2365" t="s">
        <v>6193</v>
      </c>
      <c r="P2389" s="2901"/>
      <c r="Q2389" s="2519"/>
      <c r="R2389" s="2519"/>
      <c r="S2389" s="2519"/>
    </row>
    <row r="2390" spans="1:19" s="2358" customFormat="1" outlineLevel="1">
      <c r="A2390" s="2435">
        <f>A2389</f>
        <v>0</v>
      </c>
      <c r="B2390" s="2514"/>
      <c r="C2390" s="2366"/>
      <c r="D2390" s="2367"/>
      <c r="E2390" s="2368" t="s">
        <v>3690</v>
      </c>
      <c r="F2390" s="2369"/>
      <c r="G2390" s="2369"/>
      <c r="H2390" s="2369"/>
      <c r="I2390" s="2369"/>
      <c r="J2390" s="2369"/>
      <c r="K2390" s="2369"/>
      <c r="L2390" s="2369"/>
      <c r="M2390" s="2369"/>
      <c r="N2390" s="2369"/>
      <c r="O2390" s="2367"/>
      <c r="P2390" s="2370"/>
      <c r="Q2390" s="2519"/>
      <c r="R2390" s="2519"/>
      <c r="S2390" s="2519"/>
    </row>
    <row r="2391" spans="1:19" s="2358" customFormat="1" outlineLevel="1">
      <c r="A2391" s="2435" t="str">
        <f t="shared" ref="A2391:A2402" si="473">IF(G2391&lt;&gt;0,1,"")</f>
        <v/>
      </c>
      <c r="B2391" s="2505" t="str">
        <f>IF($F$8=15,"tr630","tr6301")</f>
        <v>tr6301</v>
      </c>
      <c r="C2391" s="2521">
        <f>IF(G2391&gt;0,1,0)</f>
        <v>0</v>
      </c>
      <c r="D2391" s="2405" t="s">
        <v>5655</v>
      </c>
      <c r="E2391" s="2447" t="s">
        <v>6447</v>
      </c>
      <c r="F2391" s="2405" t="s">
        <v>3318</v>
      </c>
      <c r="G2391" s="2523">
        <f>$K$15</f>
        <v>0</v>
      </c>
      <c r="H2391" s="2612">
        <v>384573000</v>
      </c>
      <c r="I2391" s="2612"/>
      <c r="J2391" s="2612">
        <v>1797113</v>
      </c>
      <c r="K2391" s="2612">
        <v>393934</v>
      </c>
      <c r="L2391" s="2613">
        <f t="shared" ref="L2391:L2402" si="474">H2391*G2391</f>
        <v>0</v>
      </c>
      <c r="M2391" s="2613">
        <f t="shared" ref="M2391:M2402" si="475">I2391*G2391</f>
        <v>0</v>
      </c>
      <c r="N2391" s="2613">
        <f t="shared" ref="N2391:N2402" si="476">J2391*G2391</f>
        <v>0</v>
      </c>
      <c r="O2391" s="2614">
        <f t="shared" ref="O2391:O2402" si="477">K2391*G2391</f>
        <v>0</v>
      </c>
      <c r="P2391" s="2641"/>
      <c r="Q2391" s="2519"/>
      <c r="R2391" s="2519"/>
      <c r="S2391" s="2519"/>
    </row>
    <row r="2392" spans="1:19" s="2358" customFormat="1" outlineLevel="1">
      <c r="A2392" s="2435" t="str">
        <f t="shared" si="473"/>
        <v/>
      </c>
      <c r="B2392" s="2371" t="str">
        <f>"FCO100-"&amp;$F$8</f>
        <v>FCO100-22</v>
      </c>
      <c r="C2392" s="2521">
        <f t="shared" ref="C2392:C2397" si="478">IF(G2392&gt;0,C2391+1,C2391)</f>
        <v>0</v>
      </c>
      <c r="D2392" s="2405" t="s">
        <v>5660</v>
      </c>
      <c r="E2392" s="2447" t="s">
        <v>95</v>
      </c>
      <c r="F2392" s="2405" t="s">
        <v>2563</v>
      </c>
      <c r="G2392" s="2523">
        <f>G2391*3</f>
        <v>0</v>
      </c>
      <c r="H2392" s="2517">
        <v>2244280</v>
      </c>
      <c r="I2392" s="2517">
        <v>0</v>
      </c>
      <c r="J2392" s="2517">
        <v>222639.99999999997</v>
      </c>
      <c r="K2392" s="2517">
        <v>0</v>
      </c>
      <c r="L2392" s="2517">
        <f t="shared" si="474"/>
        <v>0</v>
      </c>
      <c r="M2392" s="2517">
        <f t="shared" si="475"/>
        <v>0</v>
      </c>
      <c r="N2392" s="2517">
        <f t="shared" si="476"/>
        <v>0</v>
      </c>
      <c r="O2392" s="2517">
        <f t="shared" si="477"/>
        <v>0</v>
      </c>
      <c r="P2392" s="2642"/>
      <c r="Q2392" s="2519"/>
      <c r="R2392" s="2519"/>
      <c r="S2392" s="2519"/>
    </row>
    <row r="2393" spans="1:19" s="2358" customFormat="1" outlineLevel="1">
      <c r="A2393" s="2435" t="str">
        <f t="shared" si="473"/>
        <v/>
      </c>
      <c r="B2393" s="2505" t="s">
        <v>4530</v>
      </c>
      <c r="C2393" s="2521">
        <f t="shared" si="478"/>
        <v>0</v>
      </c>
      <c r="D2393" s="2405">
        <v>0</v>
      </c>
      <c r="E2393" s="2447" t="s">
        <v>3447</v>
      </c>
      <c r="F2393" s="2405" t="s">
        <v>2608</v>
      </c>
      <c r="G2393" s="2523">
        <f>G2392</f>
        <v>0</v>
      </c>
      <c r="H2393" s="2517">
        <v>116000</v>
      </c>
      <c r="I2393" s="2517">
        <v>0</v>
      </c>
      <c r="J2393" s="2517">
        <v>0</v>
      </c>
      <c r="K2393" s="2517">
        <v>0</v>
      </c>
      <c r="L2393" s="2517">
        <f t="shared" si="474"/>
        <v>0</v>
      </c>
      <c r="M2393" s="2517">
        <f t="shared" si="475"/>
        <v>0</v>
      </c>
      <c r="N2393" s="2517">
        <f t="shared" si="476"/>
        <v>0</v>
      </c>
      <c r="O2393" s="2517">
        <f t="shared" si="477"/>
        <v>0</v>
      </c>
      <c r="P2393" s="2642"/>
      <c r="Q2393" s="2519"/>
      <c r="R2393" s="2519"/>
      <c r="S2393" s="2519"/>
    </row>
    <row r="2394" spans="1:19" s="2358" customFormat="1" outlineLevel="1">
      <c r="A2394" s="2435" t="str">
        <f t="shared" si="473"/>
        <v/>
      </c>
      <c r="B2394" s="2514" t="str">
        <f>"LA"&amp;$F$6</f>
        <v>LA18</v>
      </c>
      <c r="C2394" s="2521">
        <f t="shared" si="478"/>
        <v>0</v>
      </c>
      <c r="D2394" s="2405" t="s">
        <v>5664</v>
      </c>
      <c r="E2394" s="2447" t="s">
        <v>1193</v>
      </c>
      <c r="F2394" s="2405" t="s">
        <v>2563</v>
      </c>
      <c r="G2394" s="2523">
        <f>G2392</f>
        <v>0</v>
      </c>
      <c r="H2394" s="2517">
        <v>1106000</v>
      </c>
      <c r="I2394" s="2517">
        <v>0</v>
      </c>
      <c r="J2394" s="2517">
        <v>83490</v>
      </c>
      <c r="K2394" s="2517">
        <v>0</v>
      </c>
      <c r="L2394" s="2517">
        <f t="shared" si="474"/>
        <v>0</v>
      </c>
      <c r="M2394" s="2517">
        <f t="shared" si="475"/>
        <v>0</v>
      </c>
      <c r="N2394" s="2517">
        <f t="shared" si="476"/>
        <v>0</v>
      </c>
      <c r="O2394" s="2517">
        <f t="shared" si="477"/>
        <v>0</v>
      </c>
      <c r="P2394" s="2642"/>
      <c r="Q2394" s="2519"/>
      <c r="R2394" s="2519"/>
      <c r="S2394" s="2519"/>
    </row>
    <row r="2395" spans="1:19" s="2358" customFormat="1" outlineLevel="1">
      <c r="A2395" s="2435" t="str">
        <f t="shared" si="473"/>
        <v/>
      </c>
      <c r="B2395" s="2610" t="s">
        <v>882</v>
      </c>
      <c r="C2395" s="2521">
        <f t="shared" si="478"/>
        <v>0</v>
      </c>
      <c r="D2395" s="2405">
        <v>0</v>
      </c>
      <c r="E2395" s="2447" t="s">
        <v>3428</v>
      </c>
      <c r="F2395" s="2405" t="s">
        <v>2563</v>
      </c>
      <c r="G2395" s="2523">
        <f>G2391</f>
        <v>0</v>
      </c>
      <c r="H2395" s="2517">
        <v>64843000</v>
      </c>
      <c r="I2395" s="2517">
        <v>0</v>
      </c>
      <c r="J2395" s="2517">
        <v>0</v>
      </c>
      <c r="K2395" s="2517">
        <v>0</v>
      </c>
      <c r="L2395" s="2517">
        <f t="shared" si="474"/>
        <v>0</v>
      </c>
      <c r="M2395" s="2517">
        <f t="shared" si="475"/>
        <v>0</v>
      </c>
      <c r="N2395" s="2517">
        <f t="shared" si="476"/>
        <v>0</v>
      </c>
      <c r="O2395" s="2517">
        <f t="shared" si="477"/>
        <v>0</v>
      </c>
      <c r="P2395" s="2642"/>
      <c r="Q2395" s="2519"/>
      <c r="R2395" s="2519"/>
      <c r="S2395" s="2519"/>
    </row>
    <row r="2396" spans="1:19" s="2358" customFormat="1" outlineLevel="1">
      <c r="A2396" s="2435" t="str">
        <f>IF(G2396&lt;&gt;0,1,"")</f>
        <v/>
      </c>
      <c r="B2396" s="2610" t="s">
        <v>6290</v>
      </c>
      <c r="C2396" s="2521">
        <f t="shared" si="478"/>
        <v>0</v>
      </c>
      <c r="D2396" s="2405">
        <v>0</v>
      </c>
      <c r="E2396" s="2447" t="s">
        <v>5746</v>
      </c>
      <c r="F2396" s="2405" t="s">
        <v>2563</v>
      </c>
      <c r="G2396" s="2523"/>
      <c r="H2396" s="2517">
        <v>6780000</v>
      </c>
      <c r="I2396" s="2517">
        <v>0</v>
      </c>
      <c r="J2396" s="2517">
        <v>0</v>
      </c>
      <c r="K2396" s="2517">
        <v>0</v>
      </c>
      <c r="L2396" s="2517">
        <f>H2396*G2396</f>
        <v>0</v>
      </c>
      <c r="M2396" s="2517">
        <f>I2396*G2396</f>
        <v>0</v>
      </c>
      <c r="N2396" s="2517">
        <f>J2396*G2396</f>
        <v>0</v>
      </c>
      <c r="O2396" s="2517">
        <f>K2396*G2396</f>
        <v>0</v>
      </c>
      <c r="P2396" s="2642"/>
      <c r="Q2396" s="2519"/>
      <c r="R2396" s="2519"/>
      <c r="S2396" s="2519"/>
    </row>
    <row r="2397" spans="1:19" s="2358" customFormat="1" outlineLevel="1">
      <c r="A2397" s="2435" t="str">
        <f>IF(G2397&lt;&gt;0,1,"")</f>
        <v/>
      </c>
      <c r="B2397" s="2610" t="s">
        <v>710</v>
      </c>
      <c r="C2397" s="2521">
        <f t="shared" si="478"/>
        <v>0</v>
      </c>
      <c r="D2397" s="2405">
        <v>0</v>
      </c>
      <c r="E2397" s="2447" t="s">
        <v>5744</v>
      </c>
      <c r="F2397" s="2405" t="s">
        <v>2563</v>
      </c>
      <c r="G2397" s="2523"/>
      <c r="H2397" s="2517">
        <v>4990000</v>
      </c>
      <c r="I2397" s="2517">
        <v>0</v>
      </c>
      <c r="J2397" s="2517">
        <v>0</v>
      </c>
      <c r="K2397" s="2517">
        <v>0</v>
      </c>
      <c r="L2397" s="2517">
        <f>H2397*G2397</f>
        <v>0</v>
      </c>
      <c r="M2397" s="2517">
        <f>I2397*G2397</f>
        <v>0</v>
      </c>
      <c r="N2397" s="2517">
        <f>J2397*G2397</f>
        <v>0</v>
      </c>
      <c r="O2397" s="2517">
        <f>K2397*G2397</f>
        <v>0</v>
      </c>
      <c r="P2397" s="2642"/>
      <c r="Q2397" s="2519"/>
      <c r="R2397" s="2519"/>
      <c r="S2397" s="2519"/>
    </row>
    <row r="2398" spans="1:19" s="2358" customFormat="1" outlineLevel="1">
      <c r="A2398" s="2435" t="str">
        <f>IF(G2398&lt;&gt;0,1,"")</f>
        <v/>
      </c>
      <c r="B2398" s="2610" t="s">
        <v>201</v>
      </c>
      <c r="C2398" s="2521">
        <f>IF(G2398&gt;0,C2396+1,C2396)</f>
        <v>0</v>
      </c>
      <c r="D2398" s="2405">
        <v>0</v>
      </c>
      <c r="E2398" s="2447" t="s">
        <v>3422</v>
      </c>
      <c r="F2398" s="2405" t="s">
        <v>2563</v>
      </c>
      <c r="G2398" s="2523"/>
      <c r="H2398" s="2517">
        <v>1750000</v>
      </c>
      <c r="I2398" s="2517">
        <v>0</v>
      </c>
      <c r="J2398" s="2517">
        <v>0</v>
      </c>
      <c r="K2398" s="2517">
        <v>0</v>
      </c>
      <c r="L2398" s="2517">
        <f>H2398*G2398</f>
        <v>0</v>
      </c>
      <c r="M2398" s="2517">
        <f>I2398*G2398</f>
        <v>0</v>
      </c>
      <c r="N2398" s="2517">
        <f>J2398*G2398</f>
        <v>0</v>
      </c>
      <c r="O2398" s="2517">
        <f>K2398*G2398</f>
        <v>0</v>
      </c>
      <c r="P2398" s="2642"/>
      <c r="Q2398" s="2519"/>
      <c r="R2398" s="2519"/>
      <c r="S2398" s="2519"/>
    </row>
    <row r="2399" spans="1:19" s="2358" customFormat="1" outlineLevel="1">
      <c r="A2399" s="2435" t="str">
        <f t="shared" si="473"/>
        <v/>
      </c>
      <c r="B2399" s="2610" t="s">
        <v>1466</v>
      </c>
      <c r="C2399" s="2521">
        <f>IF(G2399&gt;0,C2395+1,C2395)</f>
        <v>0</v>
      </c>
      <c r="D2399" s="2405" t="s">
        <v>1025</v>
      </c>
      <c r="E2399" s="2447" t="s">
        <v>5682</v>
      </c>
      <c r="F2399" s="2405" t="s">
        <v>3388</v>
      </c>
      <c r="G2399" s="2523">
        <f>G2391</f>
        <v>0</v>
      </c>
      <c r="H2399" s="2517">
        <v>36000000</v>
      </c>
      <c r="I2399" s="2517">
        <v>0</v>
      </c>
      <c r="J2399" s="2517">
        <v>98101</v>
      </c>
      <c r="K2399" s="2517">
        <v>59254</v>
      </c>
      <c r="L2399" s="2517">
        <f t="shared" si="474"/>
        <v>0</v>
      </c>
      <c r="M2399" s="2517">
        <f t="shared" si="475"/>
        <v>0</v>
      </c>
      <c r="N2399" s="2517">
        <f t="shared" si="476"/>
        <v>0</v>
      </c>
      <c r="O2399" s="2517">
        <f t="shared" si="477"/>
        <v>0</v>
      </c>
      <c r="P2399" s="2642"/>
      <c r="Q2399" s="2519"/>
      <c r="R2399" s="2519"/>
      <c r="S2399" s="2519"/>
    </row>
    <row r="2400" spans="1:19" s="2358" customFormat="1" outlineLevel="1">
      <c r="A2400" s="2435" t="str">
        <f>IF(G2400&lt;&gt;0,1,"")</f>
        <v/>
      </c>
      <c r="B2400" s="2502" t="s">
        <v>1733</v>
      </c>
      <c r="C2400" s="2521">
        <f>IF(G2400&gt;0,C2398+1,C2398)</f>
        <v>0</v>
      </c>
      <c r="D2400" s="2405">
        <v>0</v>
      </c>
      <c r="E2400" s="2447" t="s">
        <v>3364</v>
      </c>
      <c r="F2400" s="2405" t="s">
        <v>2563</v>
      </c>
      <c r="G2400" s="2523">
        <f>G2391*3</f>
        <v>0</v>
      </c>
      <c r="H2400" s="2517">
        <v>0</v>
      </c>
      <c r="I2400" s="2517">
        <v>0</v>
      </c>
      <c r="J2400" s="2517">
        <v>0</v>
      </c>
      <c r="K2400" s="2517">
        <v>0</v>
      </c>
      <c r="L2400" s="2517">
        <f>H2400*G2400</f>
        <v>0</v>
      </c>
      <c r="M2400" s="2517">
        <f>I2400*G2400</f>
        <v>0</v>
      </c>
      <c r="N2400" s="2517">
        <f>J2400*G2400</f>
        <v>0</v>
      </c>
      <c r="O2400" s="2517">
        <f>K2400*G2400</f>
        <v>0</v>
      </c>
      <c r="P2400" s="2644" t="s">
        <v>2609</v>
      </c>
      <c r="Q2400" s="2519"/>
      <c r="R2400" s="2519"/>
      <c r="S2400" s="2519"/>
    </row>
    <row r="2401" spans="1:19" s="2358" customFormat="1" outlineLevel="1">
      <c r="A2401" s="2435" t="str">
        <f t="shared" si="473"/>
        <v/>
      </c>
      <c r="B2401" s="2502" t="s">
        <v>2193</v>
      </c>
      <c r="C2401" s="2521">
        <f>IF(G2401&gt;0,C2399+1,C2399)</f>
        <v>0</v>
      </c>
      <c r="D2401" s="2405">
        <v>0</v>
      </c>
      <c r="E2401" s="2447" t="s">
        <v>5673</v>
      </c>
      <c r="F2401" s="2405" t="s">
        <v>2563</v>
      </c>
      <c r="G2401" s="2523">
        <f>G2391*3</f>
        <v>0</v>
      </c>
      <c r="H2401" s="2517">
        <v>0</v>
      </c>
      <c r="I2401" s="2517">
        <v>0</v>
      </c>
      <c r="J2401" s="2517"/>
      <c r="K2401" s="2517"/>
      <c r="L2401" s="2517">
        <f t="shared" si="474"/>
        <v>0</v>
      </c>
      <c r="M2401" s="2517">
        <f t="shared" si="475"/>
        <v>0</v>
      </c>
      <c r="N2401" s="2517">
        <f t="shared" si="476"/>
        <v>0</v>
      </c>
      <c r="O2401" s="2517">
        <f t="shared" si="477"/>
        <v>0</v>
      </c>
      <c r="P2401" s="2644" t="s">
        <v>2609</v>
      </c>
      <c r="Q2401" s="2519"/>
      <c r="R2401" s="2519"/>
      <c r="S2401" s="2519"/>
    </row>
    <row r="2402" spans="1:19" s="2358" customFormat="1" outlineLevel="1">
      <c r="A2402" s="2435" t="str">
        <f t="shared" si="473"/>
        <v/>
      </c>
      <c r="B2402" s="2505" t="s">
        <v>288</v>
      </c>
      <c r="C2402" s="2521">
        <f>IF(G2402&gt;0,C2401+1,C2401)</f>
        <v>0</v>
      </c>
      <c r="D2402" s="2405">
        <v>0</v>
      </c>
      <c r="E2402" s="2447" t="s">
        <v>3459</v>
      </c>
      <c r="F2402" s="2405" t="s">
        <v>2563</v>
      </c>
      <c r="G2402" s="2523">
        <f>G2391</f>
        <v>0</v>
      </c>
      <c r="H2402" s="2517">
        <v>0</v>
      </c>
      <c r="I2402" s="2517">
        <v>0</v>
      </c>
      <c r="J2402" s="2517">
        <v>0</v>
      </c>
      <c r="K2402" s="2517">
        <v>0</v>
      </c>
      <c r="L2402" s="2517">
        <f t="shared" si="474"/>
        <v>0</v>
      </c>
      <c r="M2402" s="2613">
        <f t="shared" si="475"/>
        <v>0</v>
      </c>
      <c r="N2402" s="2613">
        <f t="shared" si="476"/>
        <v>0</v>
      </c>
      <c r="O2402" s="2614">
        <f t="shared" si="477"/>
        <v>0</v>
      </c>
      <c r="P2402" s="2645" t="s">
        <v>2609</v>
      </c>
      <c r="Q2402" s="2519"/>
      <c r="R2402" s="2519"/>
      <c r="S2402" s="2519"/>
    </row>
    <row r="2403" spans="1:19" s="2358" customFormat="1" outlineLevel="1">
      <c r="A2403" s="2435">
        <f>A2386</f>
        <v>0</v>
      </c>
      <c r="B2403" s="2514"/>
      <c r="C2403" s="2646"/>
      <c r="D2403" s="2647"/>
      <c r="E2403" s="2648"/>
      <c r="F2403" s="2646"/>
      <c r="G2403" s="2889"/>
      <c r="H2403" s="2646"/>
      <c r="I2403" s="2646"/>
      <c r="J2403" s="2370" t="s">
        <v>6195</v>
      </c>
      <c r="K2403" s="2646"/>
      <c r="L2403" s="2648">
        <f>SUM(L2391:L2402)</f>
        <v>0</v>
      </c>
      <c r="M2403" s="2648">
        <f>SUM(M2391:M2402)</f>
        <v>0</v>
      </c>
      <c r="N2403" s="2648">
        <f>SUM(N2391:N2402)</f>
        <v>0</v>
      </c>
      <c r="O2403" s="2648">
        <f>SUM(O2391:O2402)</f>
        <v>0</v>
      </c>
      <c r="P2403" s="2649"/>
      <c r="Q2403" s="2519"/>
      <c r="R2403" s="2519"/>
      <c r="S2403" s="2519"/>
    </row>
    <row r="2404" spans="1:19" s="2358" customFormat="1" outlineLevel="1">
      <c r="A2404" s="2435">
        <f>A2386</f>
        <v>0</v>
      </c>
      <c r="B2404" s="2514"/>
      <c r="C2404" s="2650"/>
      <c r="D2404" s="2651"/>
      <c r="E2404" s="2652" t="s">
        <v>3691</v>
      </c>
      <c r="F2404" s="2652"/>
      <c r="G2404" s="2653"/>
      <c r="H2404" s="2652"/>
      <c r="I2404" s="2652"/>
      <c r="J2404" s="2652"/>
      <c r="K2404" s="2652"/>
      <c r="L2404" s="2652"/>
      <c r="M2404" s="2652"/>
      <c r="N2404" s="2652"/>
      <c r="O2404" s="2651"/>
      <c r="P2404" s="2649"/>
      <c r="Q2404" s="2519"/>
      <c r="R2404" s="2519"/>
      <c r="S2404" s="2519"/>
    </row>
    <row r="2405" spans="1:19" s="2358" customFormat="1" outlineLevel="1">
      <c r="A2405" s="2435" t="str">
        <f t="shared" ref="A2405:A2423" si="479">IF(G2405&lt;&gt;0,1,"")</f>
        <v/>
      </c>
      <c r="B2405" s="2654"/>
      <c r="C2405" s="2655">
        <f>IF(G2405&gt;0,1,0)</f>
        <v>0</v>
      </c>
      <c r="D2405" s="2405"/>
      <c r="E2405" s="2656" t="s">
        <v>6196</v>
      </c>
      <c r="F2405" s="2657" t="s">
        <v>2283</v>
      </c>
      <c r="G2405" s="2658">
        <f>G2391*2*0</f>
        <v>0</v>
      </c>
      <c r="H2405" s="2657"/>
      <c r="I2405" s="2657"/>
      <c r="J2405" s="2657"/>
      <c r="K2405" s="2657"/>
      <c r="L2405" s="2658"/>
      <c r="M2405" s="2658"/>
      <c r="N2405" s="2658"/>
      <c r="O2405" s="2659"/>
      <c r="P2405" s="2642"/>
      <c r="Q2405" s="2519"/>
      <c r="R2405" s="2519"/>
      <c r="S2405" s="2519"/>
    </row>
    <row r="2406" spans="1:19" s="2358" customFormat="1" outlineLevel="1">
      <c r="A2406" s="2435" t="str">
        <f t="shared" si="479"/>
        <v/>
      </c>
      <c r="B2406" s="2610" t="s">
        <v>115</v>
      </c>
      <c r="C2406" s="2660"/>
      <c r="D2406" s="2405"/>
      <c r="E2406" s="2661" t="s">
        <v>3009</v>
      </c>
      <c r="F2406" s="2405" t="s">
        <v>2839</v>
      </c>
      <c r="G2406" s="2405">
        <f>G2405</f>
        <v>0</v>
      </c>
      <c r="H2406" s="2612">
        <v>4400000</v>
      </c>
      <c r="I2406" s="2511"/>
      <c r="J2406" s="2612"/>
      <c r="K2406" s="2511"/>
      <c r="L2406" s="2613">
        <f>H2406*G2406</f>
        <v>0</v>
      </c>
      <c r="M2406" s="2613">
        <f>I2406*G2406</f>
        <v>0</v>
      </c>
      <c r="N2406" s="2613">
        <f>J2406*G2406</f>
        <v>0</v>
      </c>
      <c r="O2406" s="2613">
        <f>K2406*G2406</f>
        <v>0</v>
      </c>
      <c r="P2406" s="2642"/>
      <c r="Q2406" s="2519"/>
      <c r="R2406" s="2519"/>
      <c r="S2406" s="2519"/>
    </row>
    <row r="2407" spans="1:19" s="2358" customFormat="1" outlineLevel="1">
      <c r="A2407" s="2435" t="str">
        <f t="shared" si="479"/>
        <v/>
      </c>
      <c r="B2407" s="2610" t="s">
        <v>1818</v>
      </c>
      <c r="C2407" s="2660"/>
      <c r="D2407" s="2405"/>
      <c r="E2407" s="2661" t="s">
        <v>2838</v>
      </c>
      <c r="F2407" s="2405" t="s">
        <v>2839</v>
      </c>
      <c r="G2407" s="2405">
        <f>G2406</f>
        <v>0</v>
      </c>
      <c r="H2407" s="2612">
        <v>17400</v>
      </c>
      <c r="I2407" s="2612"/>
      <c r="J2407" s="2511"/>
      <c r="K2407" s="2511"/>
      <c r="L2407" s="2613">
        <f>H2407*G2407</f>
        <v>0</v>
      </c>
      <c r="M2407" s="2613">
        <f>I2407*G2407</f>
        <v>0</v>
      </c>
      <c r="N2407" s="2613">
        <f>J2407*G2407</f>
        <v>0</v>
      </c>
      <c r="O2407" s="2613">
        <f>K2407*G2407</f>
        <v>0</v>
      </c>
      <c r="P2407" s="2642"/>
      <c r="Q2407" s="2519"/>
      <c r="R2407" s="2519"/>
      <c r="S2407" s="2519"/>
    </row>
    <row r="2408" spans="1:19" s="2358" customFormat="1" outlineLevel="1">
      <c r="A2408" s="2435" t="str">
        <f t="shared" si="479"/>
        <v/>
      </c>
      <c r="B2408" s="2610" t="s">
        <v>643</v>
      </c>
      <c r="C2408" s="2660"/>
      <c r="D2408" s="2405" t="s">
        <v>2133</v>
      </c>
      <c r="E2408" s="2661" t="s">
        <v>3185</v>
      </c>
      <c r="F2408" s="2405" t="s">
        <v>2839</v>
      </c>
      <c r="G2408" s="2405">
        <f>G2406</f>
        <v>0</v>
      </c>
      <c r="H2408" s="2661"/>
      <c r="I2408" s="2612"/>
      <c r="J2408" s="2612">
        <v>112286</v>
      </c>
      <c r="K2408" s="2612">
        <v>105970</v>
      </c>
      <c r="L2408" s="2613">
        <f>H2408*G2408</f>
        <v>0</v>
      </c>
      <c r="M2408" s="2613">
        <f>I2408*G2408</f>
        <v>0</v>
      </c>
      <c r="N2408" s="2613">
        <f>J2408*G2408</f>
        <v>0</v>
      </c>
      <c r="O2408" s="2613">
        <f>K2408*G2408</f>
        <v>0</v>
      </c>
      <c r="P2408" s="2642"/>
      <c r="Q2408" s="2519"/>
      <c r="R2408" s="2519"/>
      <c r="S2408" s="2519"/>
    </row>
    <row r="2409" spans="1:19" s="2358" customFormat="1" outlineLevel="1">
      <c r="A2409" s="2435" t="str">
        <f t="shared" si="479"/>
        <v/>
      </c>
      <c r="B2409" s="2654"/>
      <c r="C2409" s="2655">
        <f>IF(G2409&gt;0,1,0)</f>
        <v>0</v>
      </c>
      <c r="D2409" s="2405"/>
      <c r="E2409" s="2656" t="s">
        <v>6291</v>
      </c>
      <c r="F2409" s="2657" t="s">
        <v>2283</v>
      </c>
      <c r="G2409" s="2658"/>
      <c r="H2409" s="2657"/>
      <c r="I2409" s="2657"/>
      <c r="J2409" s="2657"/>
      <c r="K2409" s="2657"/>
      <c r="L2409" s="2658"/>
      <c r="M2409" s="2658"/>
      <c r="N2409" s="2658"/>
      <c r="O2409" s="2659"/>
      <c r="P2409" s="2518"/>
      <c r="Q2409" s="2519"/>
      <c r="R2409" s="2519"/>
      <c r="S2409" s="2519"/>
    </row>
    <row r="2410" spans="1:19" s="2358" customFormat="1" outlineLevel="1">
      <c r="A2410" s="2435" t="str">
        <f t="shared" si="479"/>
        <v/>
      </c>
      <c r="B2410" s="2610" t="s">
        <v>114</v>
      </c>
      <c r="C2410" s="2660"/>
      <c r="D2410" s="2405"/>
      <c r="E2410" s="2661" t="s">
        <v>3008</v>
      </c>
      <c r="F2410" s="2405" t="s">
        <v>2839</v>
      </c>
      <c r="G2410" s="2405">
        <f>G2409</f>
        <v>0</v>
      </c>
      <c r="H2410" s="2612">
        <v>4200000</v>
      </c>
      <c r="I2410" s="2511"/>
      <c r="J2410" s="2612"/>
      <c r="K2410" s="2511"/>
      <c r="L2410" s="2613">
        <f>H2410*G2410</f>
        <v>0</v>
      </c>
      <c r="M2410" s="2613">
        <f>I2410*G2410</f>
        <v>0</v>
      </c>
      <c r="N2410" s="2613">
        <f>J2410*G2410</f>
        <v>0</v>
      </c>
      <c r="O2410" s="2613">
        <f>K2410*G2410</f>
        <v>0</v>
      </c>
      <c r="P2410" s="2518"/>
      <c r="Q2410" s="2519"/>
      <c r="R2410" s="2519"/>
      <c r="S2410" s="2519"/>
    </row>
    <row r="2411" spans="1:19" s="2358" customFormat="1" outlineLevel="1">
      <c r="A2411" s="2435" t="str">
        <f t="shared" si="479"/>
        <v/>
      </c>
      <c r="B2411" s="2610" t="s">
        <v>1818</v>
      </c>
      <c r="C2411" s="2660"/>
      <c r="D2411" s="2405"/>
      <c r="E2411" s="2661" t="s">
        <v>2838</v>
      </c>
      <c r="F2411" s="2405" t="s">
        <v>2839</v>
      </c>
      <c r="G2411" s="2405">
        <f>G2410</f>
        <v>0</v>
      </c>
      <c r="H2411" s="2612">
        <v>17400</v>
      </c>
      <c r="I2411" s="2612"/>
      <c r="J2411" s="2511"/>
      <c r="K2411" s="2511"/>
      <c r="L2411" s="2613">
        <f>H2411*G2411</f>
        <v>0</v>
      </c>
      <c r="M2411" s="2613">
        <f>I2411*G2411</f>
        <v>0</v>
      </c>
      <c r="N2411" s="2613">
        <f>J2411*G2411</f>
        <v>0</v>
      </c>
      <c r="O2411" s="2613">
        <f>K2411*G2411</f>
        <v>0</v>
      </c>
      <c r="P2411" s="2518"/>
      <c r="Q2411" s="2519"/>
      <c r="R2411" s="2519"/>
      <c r="S2411" s="2519"/>
    </row>
    <row r="2412" spans="1:19" s="2358" customFormat="1" outlineLevel="1">
      <c r="A2412" s="2435" t="str">
        <f t="shared" si="479"/>
        <v/>
      </c>
      <c r="B2412" s="2610" t="s">
        <v>644</v>
      </c>
      <c r="C2412" s="2660"/>
      <c r="D2412" s="2405" t="s">
        <v>2133</v>
      </c>
      <c r="E2412" s="2661" t="s">
        <v>3186</v>
      </c>
      <c r="F2412" s="2405" t="s">
        <v>2839</v>
      </c>
      <c r="G2412" s="2405">
        <f>G2410</f>
        <v>0</v>
      </c>
      <c r="H2412" s="2661"/>
      <c r="I2412" s="2612"/>
      <c r="J2412" s="2612">
        <v>112286</v>
      </c>
      <c r="K2412" s="2612">
        <v>105970</v>
      </c>
      <c r="L2412" s="2613">
        <f>H2412*G2412</f>
        <v>0</v>
      </c>
      <c r="M2412" s="2613">
        <f>I2412*G2412</f>
        <v>0</v>
      </c>
      <c r="N2412" s="2613">
        <f>J2412*G2412</f>
        <v>0</v>
      </c>
      <c r="O2412" s="2613">
        <f>K2412*G2412</f>
        <v>0</v>
      </c>
      <c r="P2412" s="2518"/>
      <c r="Q2412" s="2519"/>
      <c r="R2412" s="2519"/>
      <c r="S2412" s="2519"/>
    </row>
    <row r="2413" spans="1:19" s="2358" customFormat="1" outlineLevel="1">
      <c r="A2413" s="2435" t="str">
        <f t="shared" si="479"/>
        <v/>
      </c>
      <c r="B2413" s="2610"/>
      <c r="C2413" s="2511">
        <f>IF(G2413&gt;0,C2405+1,C2405)</f>
        <v>0</v>
      </c>
      <c r="D2413" s="2405"/>
      <c r="E2413" s="2656" t="s">
        <v>2358</v>
      </c>
      <c r="F2413" s="2657" t="s">
        <v>2333</v>
      </c>
      <c r="G2413" s="2662"/>
      <c r="H2413" s="2511"/>
      <c r="I2413" s="2511"/>
      <c r="J2413" s="2511"/>
      <c r="K2413" s="2511"/>
      <c r="L2413" s="2511"/>
      <c r="M2413" s="2511"/>
      <c r="N2413" s="2511"/>
      <c r="O2413" s="2663"/>
      <c r="P2413" s="2642"/>
      <c r="Q2413" s="2519"/>
      <c r="R2413" s="2519"/>
      <c r="S2413" s="2519"/>
    </row>
    <row r="2414" spans="1:19" s="2358" customFormat="1" outlineLevel="1">
      <c r="A2414" s="2435" t="str">
        <f t="shared" si="479"/>
        <v/>
      </c>
      <c r="B2414" s="2610" t="s">
        <v>636</v>
      </c>
      <c r="C2414" s="2660"/>
      <c r="D2414" s="2405" t="s">
        <v>5099</v>
      </c>
      <c r="E2414" s="2661" t="s">
        <v>2615</v>
      </c>
      <c r="F2414" s="2405" t="s">
        <v>2563</v>
      </c>
      <c r="G2414" s="2405">
        <f>G2413</f>
        <v>0</v>
      </c>
      <c r="H2414" s="2612">
        <v>354545</v>
      </c>
      <c r="I2414" s="2612"/>
      <c r="J2414" s="2612">
        <v>37220.25</v>
      </c>
      <c r="K2414" s="2511"/>
      <c r="L2414" s="2613">
        <f>H2414*G2414</f>
        <v>0</v>
      </c>
      <c r="M2414" s="2613">
        <f>I2414*G2414</f>
        <v>0</v>
      </c>
      <c r="N2414" s="2613">
        <f>J2414*G2414</f>
        <v>0</v>
      </c>
      <c r="O2414" s="2613">
        <f>K2414*G2414</f>
        <v>0</v>
      </c>
      <c r="P2414" s="2642"/>
      <c r="Q2414" s="2519"/>
      <c r="R2414" s="2519"/>
      <c r="S2414" s="2519"/>
    </row>
    <row r="2415" spans="1:19" s="2358" customFormat="1" outlineLevel="1">
      <c r="A2415" s="2435" t="str">
        <f t="shared" si="479"/>
        <v/>
      </c>
      <c r="B2415" s="2610" t="s">
        <v>566</v>
      </c>
      <c r="C2415" s="2660"/>
      <c r="D2415" s="2405"/>
      <c r="E2415" s="2661" t="s">
        <v>5124</v>
      </c>
      <c r="F2415" s="2405" t="s">
        <v>2445</v>
      </c>
      <c r="G2415" s="2405">
        <f>G2414</f>
        <v>0</v>
      </c>
      <c r="H2415" s="2612">
        <v>92200</v>
      </c>
      <c r="I2415" s="2661"/>
      <c r="J2415" s="2661"/>
      <c r="K2415" s="2511"/>
      <c r="L2415" s="2613">
        <f>H2415*G2415</f>
        <v>0</v>
      </c>
      <c r="M2415" s="2613">
        <f>I2415*G2415</f>
        <v>0</v>
      </c>
      <c r="N2415" s="2613">
        <f>J2415*G2415</f>
        <v>0</v>
      </c>
      <c r="O2415" s="2613">
        <f>K2415*G2415</f>
        <v>0</v>
      </c>
      <c r="P2415" s="2642"/>
      <c r="Q2415" s="2519"/>
      <c r="R2415" s="2519"/>
      <c r="S2415" s="2519"/>
    </row>
    <row r="2416" spans="1:19" s="2358" customFormat="1" outlineLevel="1">
      <c r="A2416" s="2435" t="str">
        <f t="shared" si="479"/>
        <v/>
      </c>
      <c r="B2416" s="2610" t="s">
        <v>639</v>
      </c>
      <c r="C2416" s="2660"/>
      <c r="D2416" s="2405" t="s">
        <v>1751</v>
      </c>
      <c r="E2416" s="2661" t="s">
        <v>5386</v>
      </c>
      <c r="F2416" s="2405" t="s">
        <v>856</v>
      </c>
      <c r="G2416" s="2523">
        <f>1.45*G2414</f>
        <v>0</v>
      </c>
      <c r="H2416" s="2612">
        <v>0</v>
      </c>
      <c r="I2416" s="2612"/>
      <c r="J2416" s="2612">
        <v>296500.89999999997</v>
      </c>
      <c r="K2416" s="2511"/>
      <c r="L2416" s="2613">
        <f>H2416*G2416</f>
        <v>0</v>
      </c>
      <c r="M2416" s="2613">
        <f>I2416*G2416</f>
        <v>0</v>
      </c>
      <c r="N2416" s="2613">
        <f>J2416*G2416</f>
        <v>0</v>
      </c>
      <c r="O2416" s="2613">
        <f>K2416*G2416</f>
        <v>0</v>
      </c>
      <c r="P2416" s="2642"/>
      <c r="Q2416" s="2519"/>
      <c r="R2416" s="2519"/>
      <c r="S2416" s="2519"/>
    </row>
    <row r="2417" spans="1:19" s="2358" customFormat="1" outlineLevel="1">
      <c r="A2417" s="2435" t="str">
        <f t="shared" si="479"/>
        <v/>
      </c>
      <c r="B2417" s="2610" t="s">
        <v>21</v>
      </c>
      <c r="C2417" s="2660"/>
      <c r="D2417" s="2405" t="s">
        <v>5387</v>
      </c>
      <c r="E2417" s="2661" t="s">
        <v>5388</v>
      </c>
      <c r="F2417" s="2405" t="s">
        <v>856</v>
      </c>
      <c r="G2417" s="2523">
        <f>1.37*G2413</f>
        <v>0</v>
      </c>
      <c r="H2417" s="2612">
        <v>0</v>
      </c>
      <c r="I2417" s="2612"/>
      <c r="J2417" s="2612">
        <v>117703.6</v>
      </c>
      <c r="K2417" s="2511"/>
      <c r="L2417" s="2613">
        <f>H2417*G2417</f>
        <v>0</v>
      </c>
      <c r="M2417" s="2613">
        <f>I2417*G2417</f>
        <v>0</v>
      </c>
      <c r="N2417" s="2613">
        <f>J2417*G2417</f>
        <v>0</v>
      </c>
      <c r="O2417" s="2613">
        <f>K2417*G2417</f>
        <v>0</v>
      </c>
      <c r="P2417" s="2642"/>
      <c r="Q2417" s="2519"/>
      <c r="R2417" s="2519"/>
      <c r="S2417" s="2519"/>
    </row>
    <row r="2418" spans="1:19" s="2358" customFormat="1" outlineLevel="1">
      <c r="A2418" s="2435" t="str">
        <f t="shared" si="479"/>
        <v/>
      </c>
      <c r="B2418" s="2610"/>
      <c r="C2418" s="2511">
        <f>IF(G2418&gt;0,C2410+1,C2410)</f>
        <v>0</v>
      </c>
      <c r="D2418" s="2405"/>
      <c r="E2418" s="2656" t="s">
        <v>3731</v>
      </c>
      <c r="F2418" s="2657" t="s">
        <v>2333</v>
      </c>
      <c r="G2418" s="2662"/>
      <c r="H2418" s="2511"/>
      <c r="I2418" s="2511"/>
      <c r="J2418" s="2511"/>
      <c r="K2418" s="2511"/>
      <c r="L2418" s="2511"/>
      <c r="M2418" s="2511"/>
      <c r="N2418" s="2511"/>
      <c r="O2418" s="2663"/>
      <c r="P2418" s="2518"/>
      <c r="Q2418" s="2519"/>
      <c r="R2418" s="2519"/>
      <c r="S2418" s="2519"/>
    </row>
    <row r="2419" spans="1:19" s="2358" customFormat="1" outlineLevel="1">
      <c r="A2419" s="2435" t="str">
        <f t="shared" si="479"/>
        <v/>
      </c>
      <c r="B2419" s="2610" t="s">
        <v>636</v>
      </c>
      <c r="C2419" s="2660"/>
      <c r="D2419" s="2405" t="s">
        <v>5099</v>
      </c>
      <c r="E2419" s="2661" t="s">
        <v>2615</v>
      </c>
      <c r="F2419" s="2405" t="s">
        <v>2563</v>
      </c>
      <c r="G2419" s="2405">
        <f>G2418</f>
        <v>0</v>
      </c>
      <c r="H2419" s="2612">
        <v>354545</v>
      </c>
      <c r="I2419" s="2612"/>
      <c r="J2419" s="2612">
        <v>37220.25</v>
      </c>
      <c r="K2419" s="2511"/>
      <c r="L2419" s="2613">
        <f>H2419*G2419</f>
        <v>0</v>
      </c>
      <c r="M2419" s="2613">
        <f>I2419*G2419</f>
        <v>0</v>
      </c>
      <c r="N2419" s="2613">
        <f>J2419*G2419</f>
        <v>0</v>
      </c>
      <c r="O2419" s="2613">
        <f>K2419*G2419</f>
        <v>0</v>
      </c>
      <c r="P2419" s="2518"/>
      <c r="Q2419" s="2519"/>
      <c r="R2419" s="2519"/>
      <c r="S2419" s="2519"/>
    </row>
    <row r="2420" spans="1:19" s="2358" customFormat="1" outlineLevel="1">
      <c r="A2420" s="2435" t="str">
        <f t="shared" si="479"/>
        <v/>
      </c>
      <c r="B2420" s="2610" t="s">
        <v>566</v>
      </c>
      <c r="C2420" s="2660"/>
      <c r="D2420" s="2405"/>
      <c r="E2420" s="2661" t="s">
        <v>5124</v>
      </c>
      <c r="F2420" s="2405" t="s">
        <v>2445</v>
      </c>
      <c r="G2420" s="2405">
        <f>G2419</f>
        <v>0</v>
      </c>
      <c r="H2420" s="2612">
        <v>92200</v>
      </c>
      <c r="I2420" s="2661"/>
      <c r="J2420" s="2661"/>
      <c r="K2420" s="2511"/>
      <c r="L2420" s="2613">
        <f>H2420*G2420</f>
        <v>0</v>
      </c>
      <c r="M2420" s="2613">
        <f>I2420*G2420</f>
        <v>0</v>
      </c>
      <c r="N2420" s="2613">
        <f>J2420*G2420</f>
        <v>0</v>
      </c>
      <c r="O2420" s="2613">
        <f>K2420*G2420</f>
        <v>0</v>
      </c>
      <c r="P2420" s="2518"/>
      <c r="Q2420" s="2519"/>
      <c r="R2420" s="2519"/>
      <c r="S2420" s="2519"/>
    </row>
    <row r="2421" spans="1:19" s="2358" customFormat="1" outlineLevel="1">
      <c r="A2421" s="2435" t="str">
        <f t="shared" si="479"/>
        <v/>
      </c>
      <c r="B2421" s="2610" t="s">
        <v>639</v>
      </c>
      <c r="C2421" s="2660"/>
      <c r="D2421" s="2405" t="s">
        <v>1751</v>
      </c>
      <c r="E2421" s="2661" t="s">
        <v>5386</v>
      </c>
      <c r="F2421" s="2405" t="s">
        <v>856</v>
      </c>
      <c r="G2421" s="2523">
        <f>1.48*G2419</f>
        <v>0</v>
      </c>
      <c r="H2421" s="2612">
        <v>0</v>
      </c>
      <c r="I2421" s="2612"/>
      <c r="J2421" s="2612">
        <v>296500.89999999997</v>
      </c>
      <c r="K2421" s="2511"/>
      <c r="L2421" s="2613">
        <f>H2421*G2421</f>
        <v>0</v>
      </c>
      <c r="M2421" s="2613">
        <f>I2421*G2421</f>
        <v>0</v>
      </c>
      <c r="N2421" s="2613">
        <f>J2421*G2421</f>
        <v>0</v>
      </c>
      <c r="O2421" s="2613">
        <f>K2421*G2421</f>
        <v>0</v>
      </c>
      <c r="P2421" s="2518"/>
      <c r="Q2421" s="2519"/>
      <c r="R2421" s="2519"/>
      <c r="S2421" s="2519"/>
    </row>
    <row r="2422" spans="1:19" s="2358" customFormat="1" outlineLevel="1">
      <c r="A2422" s="2435" t="str">
        <f t="shared" si="479"/>
        <v/>
      </c>
      <c r="B2422" s="2610" t="s">
        <v>21</v>
      </c>
      <c r="C2422" s="2660"/>
      <c r="D2422" s="2405" t="s">
        <v>5387</v>
      </c>
      <c r="E2422" s="2661" t="s">
        <v>5388</v>
      </c>
      <c r="F2422" s="2405" t="s">
        <v>856</v>
      </c>
      <c r="G2422" s="2523">
        <f>1.39*G2418</f>
        <v>0</v>
      </c>
      <c r="H2422" s="2612">
        <v>0</v>
      </c>
      <c r="I2422" s="2612"/>
      <c r="J2422" s="2612">
        <v>117703.6</v>
      </c>
      <c r="K2422" s="2511"/>
      <c r="L2422" s="2613">
        <f>H2422*G2422</f>
        <v>0</v>
      </c>
      <c r="M2422" s="2613">
        <f>I2422*G2422</f>
        <v>0</v>
      </c>
      <c r="N2422" s="2613">
        <f>J2422*G2422</f>
        <v>0</v>
      </c>
      <c r="O2422" s="2613">
        <f>K2422*G2422</f>
        <v>0</v>
      </c>
      <c r="P2422" s="2518"/>
      <c r="Q2422" s="2519"/>
      <c r="R2422" s="2519"/>
      <c r="S2422" s="2519"/>
    </row>
    <row r="2423" spans="1:19" s="2358" customFormat="1" outlineLevel="1">
      <c r="A2423" s="2435" t="str">
        <f t="shared" si="479"/>
        <v/>
      </c>
      <c r="B2423" s="2514"/>
      <c r="C2423" s="2511">
        <f>IF(G2423&gt;0,C2413+1,C2413)</f>
        <v>0</v>
      </c>
      <c r="D2423" s="2664"/>
      <c r="E2423" s="2656" t="s">
        <v>3732</v>
      </c>
      <c r="F2423" s="2655" t="s">
        <v>2391</v>
      </c>
      <c r="G2423" s="2665">
        <f>G2391*1</f>
        <v>0</v>
      </c>
      <c r="H2423" s="2666"/>
      <c r="I2423" s="2666"/>
      <c r="J2423" s="2666"/>
      <c r="K2423" s="2666"/>
      <c r="L2423" s="2666"/>
      <c r="M2423" s="2666"/>
      <c r="N2423" s="2666"/>
      <c r="O2423" s="2666"/>
      <c r="P2423" s="2518"/>
      <c r="Q2423" s="2519"/>
      <c r="R2423" s="2519"/>
      <c r="S2423" s="2519"/>
    </row>
    <row r="2424" spans="1:19" s="2358" customFormat="1" ht="14.4" outlineLevel="1">
      <c r="A2424" s="2435" t="str">
        <f>A2423</f>
        <v/>
      </c>
      <c r="B2424" s="2514"/>
      <c r="C2424" s="2511"/>
      <c r="D2424" s="2667"/>
      <c r="E2424" s="2520" t="s">
        <v>6207</v>
      </c>
      <c r="F2424" s="2521"/>
      <c r="G2424" s="2522"/>
      <c r="H2424" s="2668"/>
      <c r="I2424" s="2668"/>
      <c r="J2424" s="2668"/>
      <c r="K2424" s="2668"/>
      <c r="L2424" s="2668"/>
      <c r="M2424" s="2668"/>
      <c r="N2424" s="2668"/>
      <c r="O2424" s="2668"/>
      <c r="P2424" s="2518"/>
      <c r="Q2424" s="2519"/>
      <c r="R2424" s="2519"/>
      <c r="S2424" s="2519"/>
    </row>
    <row r="2425" spans="1:19" s="2358" customFormat="1" outlineLevel="1">
      <c r="A2425" s="2435" t="str">
        <f t="shared" ref="A2425:A2433" si="480">IF(G2425&lt;&gt;0,1,"")</f>
        <v/>
      </c>
      <c r="B2425" s="2505" t="s">
        <v>1411</v>
      </c>
      <c r="C2425" s="2511"/>
      <c r="D2425" s="2405">
        <v>0</v>
      </c>
      <c r="E2425" s="2447" t="s">
        <v>6427</v>
      </c>
      <c r="F2425" s="2405" t="s">
        <v>2254</v>
      </c>
      <c r="G2425" s="2523">
        <f>18.4*2.8*2*G2423</f>
        <v>0</v>
      </c>
      <c r="H2425" s="2612">
        <v>31625</v>
      </c>
      <c r="I2425" s="2669"/>
      <c r="J2425" s="2612"/>
      <c r="K2425" s="2612">
        <v>0</v>
      </c>
      <c r="L2425" s="2613">
        <f t="shared" ref="L2425:L2482" si="481">H2425*G2425</f>
        <v>0</v>
      </c>
      <c r="M2425" s="2613">
        <f t="shared" ref="M2425:M2435" si="482">I2425*G2425</f>
        <v>0</v>
      </c>
      <c r="N2425" s="2517">
        <f t="shared" ref="N2425:N2439" si="483">J2425*G2425</f>
        <v>0</v>
      </c>
      <c r="O2425" s="2613">
        <f t="shared" ref="O2425:O2435" si="484">K2425*G2425</f>
        <v>0</v>
      </c>
      <c r="P2425" s="2518"/>
      <c r="Q2425" s="2519"/>
      <c r="R2425" s="2519"/>
      <c r="S2425" s="2519"/>
    </row>
    <row r="2426" spans="1:19" s="2358" customFormat="1" outlineLevel="1">
      <c r="A2426" s="2435" t="str">
        <f t="shared" si="480"/>
        <v/>
      </c>
      <c r="B2426" s="2505" t="s">
        <v>1137</v>
      </c>
      <c r="C2426" s="2511"/>
      <c r="D2426" s="2405">
        <v>0</v>
      </c>
      <c r="E2426" s="2447" t="s">
        <v>6413</v>
      </c>
      <c r="F2426" s="2405" t="s">
        <v>2254</v>
      </c>
      <c r="G2426" s="2523">
        <f>8.59*0.4*4*G2423</f>
        <v>0</v>
      </c>
      <c r="H2426" s="2612">
        <v>31625</v>
      </c>
      <c r="I2426" s="2669"/>
      <c r="J2426" s="2612"/>
      <c r="K2426" s="2612">
        <v>0</v>
      </c>
      <c r="L2426" s="2613">
        <f t="shared" si="481"/>
        <v>0</v>
      </c>
      <c r="M2426" s="2613">
        <f t="shared" si="482"/>
        <v>0</v>
      </c>
      <c r="N2426" s="2517">
        <f t="shared" si="483"/>
        <v>0</v>
      </c>
      <c r="O2426" s="2613">
        <f t="shared" si="484"/>
        <v>0</v>
      </c>
      <c r="P2426" s="2518"/>
      <c r="Q2426" s="2519"/>
      <c r="R2426" s="2519"/>
      <c r="S2426" s="2519"/>
    </row>
    <row r="2427" spans="1:19" s="2358" customFormat="1" outlineLevel="1">
      <c r="A2427" s="2435" t="str">
        <f t="shared" si="480"/>
        <v/>
      </c>
      <c r="B2427" s="2505" t="s">
        <v>1138</v>
      </c>
      <c r="C2427" s="2511"/>
      <c r="D2427" s="2405">
        <v>0</v>
      </c>
      <c r="E2427" s="2447" t="s">
        <v>6414</v>
      </c>
      <c r="F2427" s="2405" t="s">
        <v>2254</v>
      </c>
      <c r="G2427" s="2523">
        <f>8.59*0.8*2*G2423</f>
        <v>0</v>
      </c>
      <c r="H2427" s="2612">
        <v>31625</v>
      </c>
      <c r="I2427" s="2669"/>
      <c r="J2427" s="2612"/>
      <c r="K2427" s="2612">
        <v>0</v>
      </c>
      <c r="L2427" s="2613">
        <f t="shared" si="481"/>
        <v>0</v>
      </c>
      <c r="M2427" s="2613">
        <f t="shared" si="482"/>
        <v>0</v>
      </c>
      <c r="N2427" s="2517">
        <f t="shared" si="483"/>
        <v>0</v>
      </c>
      <c r="O2427" s="2613">
        <f t="shared" si="484"/>
        <v>0</v>
      </c>
      <c r="P2427" s="2518"/>
      <c r="Q2427" s="2519"/>
      <c r="R2427" s="2519"/>
      <c r="S2427" s="2519"/>
    </row>
    <row r="2428" spans="1:19" s="2358" customFormat="1" outlineLevel="1">
      <c r="A2428" s="2435" t="str">
        <f t="shared" si="480"/>
        <v/>
      </c>
      <c r="B2428" s="2514" t="s">
        <v>1785</v>
      </c>
      <c r="C2428" s="2511"/>
      <c r="D2428" s="2405">
        <v>0</v>
      </c>
      <c r="E2428" s="2447" t="s">
        <v>2670</v>
      </c>
      <c r="F2428" s="2405" t="s">
        <v>2445</v>
      </c>
      <c r="G2428" s="2523">
        <f>G2423*10</f>
        <v>0</v>
      </c>
      <c r="H2428" s="2612">
        <v>34800</v>
      </c>
      <c r="I2428" s="2669"/>
      <c r="J2428" s="2612">
        <v>0</v>
      </c>
      <c r="K2428" s="2612">
        <v>0</v>
      </c>
      <c r="L2428" s="2613">
        <f t="shared" si="481"/>
        <v>0</v>
      </c>
      <c r="M2428" s="2613">
        <f t="shared" si="482"/>
        <v>0</v>
      </c>
      <c r="N2428" s="2517">
        <f t="shared" si="483"/>
        <v>0</v>
      </c>
      <c r="O2428" s="2613">
        <f t="shared" si="484"/>
        <v>0</v>
      </c>
      <c r="P2428" s="2518"/>
      <c r="Q2428" s="2519"/>
      <c r="R2428" s="2519"/>
      <c r="S2428" s="2519"/>
    </row>
    <row r="2429" spans="1:19" s="2358" customFormat="1" outlineLevel="1">
      <c r="A2429" s="2435" t="str">
        <f t="shared" si="480"/>
        <v/>
      </c>
      <c r="B2429" s="2514" t="s">
        <v>1083</v>
      </c>
      <c r="C2429" s="2511"/>
      <c r="D2429" s="2405">
        <v>0</v>
      </c>
      <c r="E2429" s="2447" t="s">
        <v>2660</v>
      </c>
      <c r="F2429" s="2405" t="s">
        <v>2445</v>
      </c>
      <c r="G2429" s="2523">
        <f>G2423*2</f>
        <v>0</v>
      </c>
      <c r="H2429" s="2612">
        <v>29900</v>
      </c>
      <c r="I2429" s="2669"/>
      <c r="J2429" s="2612">
        <v>0</v>
      </c>
      <c r="K2429" s="2612">
        <v>0</v>
      </c>
      <c r="L2429" s="2613">
        <f t="shared" si="481"/>
        <v>0</v>
      </c>
      <c r="M2429" s="2613">
        <f t="shared" si="482"/>
        <v>0</v>
      </c>
      <c r="N2429" s="2517">
        <f t="shared" si="483"/>
        <v>0</v>
      </c>
      <c r="O2429" s="2613">
        <f t="shared" si="484"/>
        <v>0</v>
      </c>
      <c r="P2429" s="2518"/>
      <c r="Q2429" s="2519"/>
      <c r="R2429" s="2519"/>
      <c r="S2429" s="2519"/>
    </row>
    <row r="2430" spans="1:19" s="2358" customFormat="1" outlineLevel="1">
      <c r="A2430" s="2435" t="str">
        <f t="shared" si="480"/>
        <v/>
      </c>
      <c r="B2430" s="2514" t="s">
        <v>1079</v>
      </c>
      <c r="C2430" s="2511"/>
      <c r="D2430" s="2405">
        <v>0</v>
      </c>
      <c r="E2430" s="2447" t="s">
        <v>2659</v>
      </c>
      <c r="F2430" s="2405" t="s">
        <v>2445</v>
      </c>
      <c r="G2430" s="2523">
        <f>G2423*12</f>
        <v>0</v>
      </c>
      <c r="H2430" s="2612">
        <v>27900</v>
      </c>
      <c r="I2430" s="2669"/>
      <c r="J2430" s="2612">
        <v>0</v>
      </c>
      <c r="K2430" s="2612">
        <v>0</v>
      </c>
      <c r="L2430" s="2613">
        <f t="shared" si="481"/>
        <v>0</v>
      </c>
      <c r="M2430" s="2613">
        <f t="shared" si="482"/>
        <v>0</v>
      </c>
      <c r="N2430" s="2517">
        <f t="shared" si="483"/>
        <v>0</v>
      </c>
      <c r="O2430" s="2613">
        <f t="shared" si="484"/>
        <v>0</v>
      </c>
      <c r="P2430" s="2518"/>
      <c r="Q2430" s="2519"/>
      <c r="R2430" s="2519"/>
      <c r="S2430" s="2519"/>
    </row>
    <row r="2431" spans="1:19" s="2358" customFormat="1" outlineLevel="1">
      <c r="A2431" s="2435" t="str">
        <f>IF(G2431&lt;&gt;0,1,"")</f>
        <v/>
      </c>
      <c r="B2431" s="2505" t="s">
        <v>2248</v>
      </c>
      <c r="C2431" s="2511"/>
      <c r="D2431" s="2405" t="s">
        <v>5506</v>
      </c>
      <c r="E2431" s="2447" t="s">
        <v>6415</v>
      </c>
      <c r="F2431" s="2405" t="s">
        <v>2445</v>
      </c>
      <c r="G2431" s="2523">
        <f>+G2423*1</f>
        <v>0</v>
      </c>
      <c r="H2431" s="2612">
        <v>0</v>
      </c>
      <c r="I2431" s="2669"/>
      <c r="J2431" s="2612">
        <v>474961</v>
      </c>
      <c r="K2431" s="2612">
        <v>0</v>
      </c>
      <c r="L2431" s="2613">
        <f>H2431*G2431</f>
        <v>0</v>
      </c>
      <c r="M2431" s="2613">
        <f t="shared" si="482"/>
        <v>0</v>
      </c>
      <c r="N2431" s="2517">
        <f t="shared" si="483"/>
        <v>0</v>
      </c>
      <c r="O2431" s="2613">
        <f t="shared" si="484"/>
        <v>0</v>
      </c>
      <c r="P2431" s="2518"/>
      <c r="Q2431" s="2519"/>
      <c r="R2431" s="2519"/>
      <c r="S2431" s="2519"/>
    </row>
    <row r="2432" spans="1:19" s="2358" customFormat="1" outlineLevel="1">
      <c r="A2432" s="2435" t="str">
        <f>IF(G2432&lt;&gt;0,1,"")</f>
        <v/>
      </c>
      <c r="B2432" s="2505" t="s">
        <v>6292</v>
      </c>
      <c r="C2432" s="2511"/>
      <c r="D2432" s="2405" t="s">
        <v>5440</v>
      </c>
      <c r="E2432" s="2447" t="s">
        <v>6417</v>
      </c>
      <c r="F2432" s="2405" t="s">
        <v>2445</v>
      </c>
      <c r="G2432" s="2522"/>
      <c r="H2432" s="2612">
        <v>0</v>
      </c>
      <c r="I2432" s="2669"/>
      <c r="J2432" s="2612">
        <v>219185.25</v>
      </c>
      <c r="K2432" s="2612">
        <v>0</v>
      </c>
      <c r="L2432" s="2613">
        <f>H2432*G2432</f>
        <v>0</v>
      </c>
      <c r="M2432" s="2613">
        <f t="shared" si="482"/>
        <v>0</v>
      </c>
      <c r="N2432" s="2517">
        <f t="shared" si="483"/>
        <v>0</v>
      </c>
      <c r="O2432" s="2613">
        <f t="shared" si="484"/>
        <v>0</v>
      </c>
      <c r="P2432" s="2518"/>
      <c r="Q2432" s="2519"/>
      <c r="R2432" s="2519"/>
      <c r="S2432" s="2519"/>
    </row>
    <row r="2433" spans="1:19" s="2358" customFormat="1" outlineLevel="1">
      <c r="A2433" s="2435" t="str">
        <f t="shared" si="480"/>
        <v/>
      </c>
      <c r="B2433" s="2514"/>
      <c r="C2433" s="2511">
        <f>IF(G2433&gt;0,C2423+1,C2423)</f>
        <v>0</v>
      </c>
      <c r="D2433" s="2512"/>
      <c r="E2433" s="2670" t="s">
        <v>6345</v>
      </c>
      <c r="F2433" s="2511" t="s">
        <v>2391</v>
      </c>
      <c r="G2433" s="2516">
        <f>+G2391*2</f>
        <v>0</v>
      </c>
      <c r="H2433" s="2669"/>
      <c r="I2433" s="2669"/>
      <c r="J2433" s="2669"/>
      <c r="K2433" s="2669"/>
      <c r="L2433" s="2613">
        <f t="shared" si="481"/>
        <v>0</v>
      </c>
      <c r="M2433" s="2613">
        <f t="shared" si="482"/>
        <v>0</v>
      </c>
      <c r="N2433" s="2613">
        <f t="shared" si="483"/>
        <v>0</v>
      </c>
      <c r="O2433" s="2613">
        <f t="shared" si="484"/>
        <v>0</v>
      </c>
      <c r="P2433" s="2518"/>
      <c r="Q2433" s="2519"/>
      <c r="R2433" s="2519"/>
      <c r="S2433" s="2519"/>
    </row>
    <row r="2434" spans="1:19" s="2358" customFormat="1" ht="14.4" outlineLevel="1">
      <c r="A2434" s="2435" t="str">
        <f>A2433</f>
        <v/>
      </c>
      <c r="B2434" s="2514"/>
      <c r="C2434" s="2511"/>
      <c r="D2434" s="2405"/>
      <c r="E2434" s="2520" t="s">
        <v>6207</v>
      </c>
      <c r="F2434" s="2521"/>
      <c r="G2434" s="2522"/>
      <c r="H2434" s="2669"/>
      <c r="I2434" s="2669"/>
      <c r="J2434" s="2669"/>
      <c r="K2434" s="2669"/>
      <c r="L2434" s="2613">
        <f t="shared" si="481"/>
        <v>0</v>
      </c>
      <c r="M2434" s="2613">
        <f t="shared" si="482"/>
        <v>0</v>
      </c>
      <c r="N2434" s="2613">
        <f t="shared" si="483"/>
        <v>0</v>
      </c>
      <c r="O2434" s="2613">
        <f t="shared" si="484"/>
        <v>0</v>
      </c>
      <c r="P2434" s="2518"/>
      <c r="Q2434" s="2519"/>
      <c r="R2434" s="2519"/>
      <c r="S2434" s="2519"/>
    </row>
    <row r="2435" spans="1:19" s="2358" customFormat="1" outlineLevel="1">
      <c r="A2435" s="2435" t="str">
        <f t="shared" ref="A2435:A2446" si="485">IF(G2435&lt;&gt;0,1,"")</f>
        <v/>
      </c>
      <c r="B2435" s="2505" t="s">
        <v>2026</v>
      </c>
      <c r="C2435" s="2511"/>
      <c r="D2435" s="2405">
        <v>0</v>
      </c>
      <c r="E2435" s="2447" t="s">
        <v>2443</v>
      </c>
      <c r="F2435" s="2405" t="s">
        <v>2254</v>
      </c>
      <c r="G2435" s="2523">
        <f>G2433*9.02*(2.6+3*0.07)*2</f>
        <v>0</v>
      </c>
      <c r="H2435" s="2612">
        <v>31625</v>
      </c>
      <c r="I2435" s="2612"/>
      <c r="J2435" s="2612">
        <v>0</v>
      </c>
      <c r="K2435" s="2612">
        <v>0</v>
      </c>
      <c r="L2435" s="2613">
        <f t="shared" si="481"/>
        <v>0</v>
      </c>
      <c r="M2435" s="2613">
        <f t="shared" si="482"/>
        <v>0</v>
      </c>
      <c r="N2435" s="2517">
        <f t="shared" si="483"/>
        <v>0</v>
      </c>
      <c r="O2435" s="2613">
        <f t="shared" si="484"/>
        <v>0</v>
      </c>
      <c r="P2435" s="2518"/>
      <c r="Q2435" s="2519"/>
      <c r="R2435" s="2519"/>
      <c r="S2435" s="2519"/>
    </row>
    <row r="2436" spans="1:19" s="2358" customFormat="1" outlineLevel="1">
      <c r="A2436" s="2435" t="str">
        <f t="shared" si="485"/>
        <v/>
      </c>
      <c r="B2436" s="2514" t="s">
        <v>1788</v>
      </c>
      <c r="C2436" s="2511"/>
      <c r="D2436" s="2405">
        <v>0</v>
      </c>
      <c r="E2436" s="2447" t="s">
        <v>2668</v>
      </c>
      <c r="F2436" s="2405" t="s">
        <v>2445</v>
      </c>
      <c r="G2436" s="2523">
        <f>G2433*2</f>
        <v>0</v>
      </c>
      <c r="H2436" s="2612">
        <v>31800</v>
      </c>
      <c r="I2436" s="2612">
        <v>0</v>
      </c>
      <c r="J2436" s="2612">
        <v>0</v>
      </c>
      <c r="K2436" s="2612">
        <v>0</v>
      </c>
      <c r="L2436" s="2613">
        <f t="shared" si="481"/>
        <v>0</v>
      </c>
      <c r="M2436" s="2613">
        <f>I2436*G2436</f>
        <v>0</v>
      </c>
      <c r="N2436" s="2517">
        <f t="shared" si="483"/>
        <v>0</v>
      </c>
      <c r="O2436" s="2613">
        <f>K2436*G2436</f>
        <v>0</v>
      </c>
      <c r="P2436" s="2518"/>
      <c r="Q2436" s="2519"/>
      <c r="R2436" s="2519"/>
      <c r="S2436" s="2519"/>
    </row>
    <row r="2437" spans="1:19" s="2358" customFormat="1" outlineLevel="1">
      <c r="A2437" s="2435" t="str">
        <f t="shared" si="485"/>
        <v/>
      </c>
      <c r="B2437" s="2514" t="s">
        <v>1613</v>
      </c>
      <c r="C2437" s="2511"/>
      <c r="D2437" s="2405">
        <v>0</v>
      </c>
      <c r="E2437" s="2447" t="s">
        <v>2657</v>
      </c>
      <c r="F2437" s="2405" t="s">
        <v>2445</v>
      </c>
      <c r="G2437" s="2523">
        <f>G2433*2</f>
        <v>0</v>
      </c>
      <c r="H2437" s="2612">
        <v>25400</v>
      </c>
      <c r="I2437" s="2612">
        <v>0</v>
      </c>
      <c r="J2437" s="2612">
        <v>0</v>
      </c>
      <c r="K2437" s="2612">
        <v>0</v>
      </c>
      <c r="L2437" s="2613">
        <f t="shared" si="481"/>
        <v>0</v>
      </c>
      <c r="M2437" s="2613">
        <f>I2437*G2437</f>
        <v>0</v>
      </c>
      <c r="N2437" s="2517">
        <f t="shared" si="483"/>
        <v>0</v>
      </c>
      <c r="O2437" s="2613">
        <f>K2437*G2437</f>
        <v>0</v>
      </c>
      <c r="P2437" s="2518"/>
      <c r="Q2437" s="2519"/>
      <c r="R2437" s="2519"/>
      <c r="S2437" s="2519"/>
    </row>
    <row r="2438" spans="1:19" s="2358" customFormat="1" outlineLevel="1">
      <c r="A2438" s="2435" t="str">
        <f t="shared" si="485"/>
        <v/>
      </c>
      <c r="B2438" s="2514" t="s">
        <v>1612</v>
      </c>
      <c r="C2438" s="2511"/>
      <c r="D2438" s="2405">
        <v>0</v>
      </c>
      <c r="E2438" s="2447" t="s">
        <v>2653</v>
      </c>
      <c r="F2438" s="2405" t="s">
        <v>2445</v>
      </c>
      <c r="G2438" s="2523">
        <f>G2437</f>
        <v>0</v>
      </c>
      <c r="H2438" s="2612">
        <v>13400</v>
      </c>
      <c r="I2438" s="2612">
        <v>0</v>
      </c>
      <c r="J2438" s="2612">
        <v>0</v>
      </c>
      <c r="K2438" s="2612">
        <v>0</v>
      </c>
      <c r="L2438" s="2613">
        <f t="shared" si="481"/>
        <v>0</v>
      </c>
      <c r="M2438" s="2613">
        <f>I2438*G2438</f>
        <v>0</v>
      </c>
      <c r="N2438" s="2517">
        <f t="shared" si="483"/>
        <v>0</v>
      </c>
      <c r="O2438" s="2613">
        <f>K2438*G2438</f>
        <v>0</v>
      </c>
      <c r="P2438" s="2518"/>
      <c r="Q2438" s="2519"/>
      <c r="R2438" s="2519"/>
      <c r="S2438" s="2519"/>
    </row>
    <row r="2439" spans="1:19" s="2358" customFormat="1" outlineLevel="1">
      <c r="A2439" s="2435" t="str">
        <f t="shared" si="485"/>
        <v/>
      </c>
      <c r="B2439" s="2514" t="s">
        <v>2248</v>
      </c>
      <c r="C2439" s="2511"/>
      <c r="D2439" s="2405" t="s">
        <v>5506</v>
      </c>
      <c r="E2439" s="2447" t="s">
        <v>2446</v>
      </c>
      <c r="F2439" s="2405" t="s">
        <v>2445</v>
      </c>
      <c r="G2439" s="2523">
        <f>G2433</f>
        <v>0</v>
      </c>
      <c r="H2439" s="2612">
        <v>0</v>
      </c>
      <c r="I2439" s="2612"/>
      <c r="J2439" s="2612">
        <v>474961</v>
      </c>
      <c r="K2439" s="2612"/>
      <c r="L2439" s="2613">
        <f t="shared" si="481"/>
        <v>0</v>
      </c>
      <c r="M2439" s="2613"/>
      <c r="N2439" s="2517">
        <f t="shared" si="483"/>
        <v>0</v>
      </c>
      <c r="O2439" s="2613"/>
      <c r="P2439" s="2518"/>
      <c r="Q2439" s="2519"/>
      <c r="R2439" s="2519"/>
      <c r="S2439" s="2519"/>
    </row>
    <row r="2440" spans="1:19" s="2358" customFormat="1" outlineLevel="1">
      <c r="A2440" s="2435" t="str">
        <f>IF(G2440&lt;&gt;0,1,"")</f>
        <v/>
      </c>
      <c r="B2440" s="2514"/>
      <c r="C2440" s="2511">
        <f>IF(G2440&gt;0,C2433+1,C2433)</f>
        <v>0</v>
      </c>
      <c r="D2440" s="2512"/>
      <c r="E2440" s="2670" t="s">
        <v>6293</v>
      </c>
      <c r="F2440" s="2511" t="s">
        <v>2391</v>
      </c>
      <c r="G2440" s="2516">
        <f>+G2391*1</f>
        <v>0</v>
      </c>
      <c r="H2440" s="2669"/>
      <c r="I2440" s="2669"/>
      <c r="J2440" s="2669"/>
      <c r="K2440" s="2669"/>
      <c r="L2440" s="2613">
        <f t="shared" si="481"/>
        <v>0</v>
      </c>
      <c r="M2440" s="2613">
        <f>I2440*G2440</f>
        <v>0</v>
      </c>
      <c r="N2440" s="2613">
        <f>J2440*G2440</f>
        <v>0</v>
      </c>
      <c r="O2440" s="2613">
        <f>K2440*G2440</f>
        <v>0</v>
      </c>
      <c r="P2440" s="2518"/>
      <c r="Q2440" s="2519"/>
      <c r="R2440" s="2519"/>
      <c r="S2440" s="2519"/>
    </row>
    <row r="2441" spans="1:19" s="2358" customFormat="1" ht="14.4" outlineLevel="1">
      <c r="A2441" s="2435" t="str">
        <f>A2440</f>
        <v/>
      </c>
      <c r="B2441" s="2514"/>
      <c r="C2441" s="2511"/>
      <c r="D2441" s="2512"/>
      <c r="E2441" s="2520" t="s">
        <v>6207</v>
      </c>
      <c r="F2441" s="2521"/>
      <c r="G2441" s="2522"/>
      <c r="H2441" s="2669"/>
      <c r="I2441" s="2669"/>
      <c r="J2441" s="2669"/>
      <c r="K2441" s="2669"/>
      <c r="L2441" s="2613">
        <f t="shared" si="481"/>
        <v>0</v>
      </c>
      <c r="M2441" s="2613">
        <f>I2441*G2441</f>
        <v>0</v>
      </c>
      <c r="N2441" s="2613">
        <f>J2441*G2441</f>
        <v>0</v>
      </c>
      <c r="O2441" s="2613">
        <f>K2441*G2441</f>
        <v>0</v>
      </c>
      <c r="P2441" s="2518"/>
      <c r="Q2441" s="2519"/>
      <c r="R2441" s="2519"/>
      <c r="S2441" s="2519"/>
    </row>
    <row r="2442" spans="1:19" s="2358" customFormat="1" outlineLevel="1">
      <c r="A2442" s="2435" t="str">
        <f>IF(G2442&lt;&gt;0,1,"")</f>
        <v/>
      </c>
      <c r="B2442" s="2386" t="s">
        <v>5216</v>
      </c>
      <c r="C2442" s="2511"/>
      <c r="D2442" s="2405">
        <v>0</v>
      </c>
      <c r="E2442" s="2447" t="s">
        <v>5217</v>
      </c>
      <c r="F2442" s="2405" t="s">
        <v>2598</v>
      </c>
      <c r="G2442" s="2523">
        <f>+G2440*1</f>
        <v>0</v>
      </c>
      <c r="H2442" s="2612">
        <v>878000</v>
      </c>
      <c r="I2442" s="2612"/>
      <c r="J2442" s="2612">
        <v>0</v>
      </c>
      <c r="K2442" s="2612">
        <v>0</v>
      </c>
      <c r="L2442" s="2613">
        <f t="shared" si="481"/>
        <v>0</v>
      </c>
      <c r="M2442" s="2613">
        <f>I2442*G2442</f>
        <v>0</v>
      </c>
      <c r="N2442" s="2517">
        <f t="shared" ref="N2442:N2505" si="486">J2442*G2442</f>
        <v>0</v>
      </c>
      <c r="O2442" s="2613">
        <f>K2442*G2442</f>
        <v>0</v>
      </c>
      <c r="P2442" s="2642"/>
      <c r="Q2442" s="2519"/>
      <c r="R2442" s="2519"/>
      <c r="S2442" s="2519"/>
    </row>
    <row r="2443" spans="1:19" s="2358" customFormat="1" outlineLevel="1">
      <c r="A2443" s="2435" t="str">
        <f>IF(G2443&lt;&gt;0,1,"")</f>
        <v/>
      </c>
      <c r="B2443" s="2383" t="s">
        <v>488</v>
      </c>
      <c r="C2443" s="2511"/>
      <c r="D2443" s="2405">
        <v>0</v>
      </c>
      <c r="E2443" s="2447" t="s">
        <v>5130</v>
      </c>
      <c r="F2443" s="2405" t="s">
        <v>2445</v>
      </c>
      <c r="G2443" s="2523">
        <f>+G2440*3</f>
        <v>0</v>
      </c>
      <c r="H2443" s="2612">
        <v>65000</v>
      </c>
      <c r="I2443" s="2612">
        <v>0</v>
      </c>
      <c r="J2443" s="2612">
        <v>0</v>
      </c>
      <c r="K2443" s="2612">
        <v>0</v>
      </c>
      <c r="L2443" s="2613">
        <f t="shared" si="481"/>
        <v>0</v>
      </c>
      <c r="M2443" s="2613">
        <f>I2443*G2443</f>
        <v>0</v>
      </c>
      <c r="N2443" s="2517">
        <f t="shared" si="486"/>
        <v>0</v>
      </c>
      <c r="O2443" s="2613">
        <f>K2443*G2443</f>
        <v>0</v>
      </c>
      <c r="P2443" s="2518"/>
      <c r="Q2443" s="2519"/>
      <c r="R2443" s="2519"/>
      <c r="S2443" s="2519"/>
    </row>
    <row r="2444" spans="1:19" s="2358" customFormat="1" outlineLevel="1">
      <c r="A2444" s="2435" t="str">
        <f>IF(G2444&lt;&gt;0,1,"")</f>
        <v/>
      </c>
      <c r="B2444" s="2514" t="s">
        <v>1079</v>
      </c>
      <c r="C2444" s="2511"/>
      <c r="D2444" s="2405">
        <v>0</v>
      </c>
      <c r="E2444" s="2447" t="s">
        <v>2659</v>
      </c>
      <c r="F2444" s="2405" t="s">
        <v>2445</v>
      </c>
      <c r="G2444" s="2523">
        <f>+G2440*2</f>
        <v>0</v>
      </c>
      <c r="H2444" s="2612">
        <v>27900</v>
      </c>
      <c r="I2444" s="2669"/>
      <c r="J2444" s="2612">
        <v>0</v>
      </c>
      <c r="K2444" s="2612">
        <v>0</v>
      </c>
      <c r="L2444" s="2613">
        <f t="shared" si="481"/>
        <v>0</v>
      </c>
      <c r="M2444" s="2613">
        <f>I2444*G2444</f>
        <v>0</v>
      </c>
      <c r="N2444" s="2517">
        <f t="shared" si="486"/>
        <v>0</v>
      </c>
      <c r="O2444" s="2613">
        <f>K2444*G2444</f>
        <v>0</v>
      </c>
      <c r="P2444" s="2518"/>
      <c r="Q2444" s="2519"/>
      <c r="R2444" s="2519"/>
      <c r="S2444" s="2519"/>
    </row>
    <row r="2445" spans="1:19" s="2358" customFormat="1" outlineLevel="1">
      <c r="A2445" s="2435" t="str">
        <f>IF(G2445&lt;&gt;0,1,"")</f>
        <v/>
      </c>
      <c r="B2445" s="2505" t="s">
        <v>2248</v>
      </c>
      <c r="C2445" s="2511"/>
      <c r="D2445" s="2405" t="s">
        <v>5506</v>
      </c>
      <c r="E2445" s="2447" t="s">
        <v>2446</v>
      </c>
      <c r="F2445" s="2405" t="s">
        <v>2445</v>
      </c>
      <c r="G2445" s="2523">
        <f>+G2440</f>
        <v>0</v>
      </c>
      <c r="H2445" s="2517">
        <v>0</v>
      </c>
      <c r="I2445" s="2612"/>
      <c r="J2445" s="2612">
        <v>474961</v>
      </c>
      <c r="K2445" s="2612"/>
      <c r="L2445" s="2613">
        <f t="shared" si="481"/>
        <v>0</v>
      </c>
      <c r="M2445" s="2613"/>
      <c r="N2445" s="2517">
        <f t="shared" si="486"/>
        <v>0</v>
      </c>
      <c r="O2445" s="2613"/>
      <c r="P2445" s="2518"/>
      <c r="Q2445" s="2519"/>
      <c r="R2445" s="2519"/>
      <c r="S2445" s="2519"/>
    </row>
    <row r="2446" spans="1:19" s="2358" customFormat="1" outlineLevel="1">
      <c r="A2446" s="2435" t="str">
        <f t="shared" si="485"/>
        <v/>
      </c>
      <c r="B2446" s="2514"/>
      <c r="C2446" s="2511">
        <f>IF(G2446&gt;0,C2440+1,C2440)</f>
        <v>0</v>
      </c>
      <c r="D2446" s="2512"/>
      <c r="E2446" s="2670" t="s">
        <v>6294</v>
      </c>
      <c r="F2446" s="2511" t="s">
        <v>2391</v>
      </c>
      <c r="G2446" s="2516"/>
      <c r="H2446" s="2669"/>
      <c r="I2446" s="2669"/>
      <c r="J2446" s="2612"/>
      <c r="K2446" s="2669"/>
      <c r="L2446" s="2613">
        <f t="shared" si="481"/>
        <v>0</v>
      </c>
      <c r="M2446" s="2613">
        <f>I2446*G2446</f>
        <v>0</v>
      </c>
      <c r="N2446" s="2517">
        <f t="shared" si="486"/>
        <v>0</v>
      </c>
      <c r="O2446" s="2613">
        <f>K2446*G2446</f>
        <v>0</v>
      </c>
      <c r="P2446" s="2518"/>
      <c r="Q2446" s="2519"/>
      <c r="R2446" s="2519"/>
      <c r="S2446" s="2519"/>
    </row>
    <row r="2447" spans="1:19" s="2358" customFormat="1" ht="14.4" outlineLevel="1">
      <c r="A2447" s="2435" t="str">
        <f>A2446</f>
        <v/>
      </c>
      <c r="B2447" s="2514"/>
      <c r="C2447" s="2511"/>
      <c r="D2447" s="2512"/>
      <c r="E2447" s="2520" t="s">
        <v>6207</v>
      </c>
      <c r="F2447" s="2521"/>
      <c r="G2447" s="2522"/>
      <c r="H2447" s="2669"/>
      <c r="I2447" s="2669"/>
      <c r="J2447" s="2612"/>
      <c r="K2447" s="2669"/>
      <c r="L2447" s="2613">
        <f t="shared" si="481"/>
        <v>0</v>
      </c>
      <c r="M2447" s="2613">
        <f>I2447*G2447</f>
        <v>0</v>
      </c>
      <c r="N2447" s="2517">
        <f t="shared" si="486"/>
        <v>0</v>
      </c>
      <c r="O2447" s="2613">
        <f>K2447*G2447</f>
        <v>0</v>
      </c>
      <c r="P2447" s="2518"/>
      <c r="Q2447" s="2519"/>
      <c r="R2447" s="2519"/>
      <c r="S2447" s="2519"/>
    </row>
    <row r="2448" spans="1:19" s="2358" customFormat="1" outlineLevel="1">
      <c r="A2448" s="2435" t="str">
        <f>IF(G2448&lt;&gt;0,1,"")</f>
        <v/>
      </c>
      <c r="B2448" s="2505" t="s">
        <v>2026</v>
      </c>
      <c r="C2448" s="2511"/>
      <c r="D2448" s="2405">
        <v>0</v>
      </c>
      <c r="E2448" s="2447" t="s">
        <v>2443</v>
      </c>
      <c r="F2448" s="2405" t="s">
        <v>2254</v>
      </c>
      <c r="G2448" s="2523">
        <f>G2446*9.02*(2.6+3*0.07)</f>
        <v>0</v>
      </c>
      <c r="H2448" s="2517">
        <v>32074</v>
      </c>
      <c r="I2448" s="2612"/>
      <c r="J2448" s="2612">
        <v>0</v>
      </c>
      <c r="K2448" s="2612">
        <v>0</v>
      </c>
      <c r="L2448" s="2613">
        <f t="shared" si="481"/>
        <v>0</v>
      </c>
      <c r="M2448" s="2613">
        <f>I2448*G2448</f>
        <v>0</v>
      </c>
      <c r="N2448" s="2517">
        <f t="shared" si="486"/>
        <v>0</v>
      </c>
      <c r="O2448" s="2613">
        <f>K2448*G2448</f>
        <v>0</v>
      </c>
      <c r="P2448" s="2518"/>
      <c r="Q2448" s="2519"/>
      <c r="R2448" s="2519"/>
      <c r="S2448" s="2519"/>
    </row>
    <row r="2449" spans="1:19" s="2358" customFormat="1" outlineLevel="1">
      <c r="A2449" s="2435" t="str">
        <f>IF(G2449&lt;&gt;0,1,"")</f>
        <v/>
      </c>
      <c r="B2449" s="2514" t="s">
        <v>1613</v>
      </c>
      <c r="C2449" s="2511"/>
      <c r="D2449" s="2405">
        <v>0</v>
      </c>
      <c r="E2449" s="2447" t="s">
        <v>2657</v>
      </c>
      <c r="F2449" s="2405" t="s">
        <v>2445</v>
      </c>
      <c r="G2449" s="2522">
        <f>G2446*2</f>
        <v>0</v>
      </c>
      <c r="H2449" s="2517">
        <v>25400</v>
      </c>
      <c r="I2449" s="2612">
        <v>0</v>
      </c>
      <c r="J2449" s="2612">
        <v>0</v>
      </c>
      <c r="K2449" s="2612">
        <v>0</v>
      </c>
      <c r="L2449" s="2613">
        <f t="shared" si="481"/>
        <v>0</v>
      </c>
      <c r="M2449" s="2613">
        <f>I2449*G2449</f>
        <v>0</v>
      </c>
      <c r="N2449" s="2517">
        <f t="shared" si="486"/>
        <v>0</v>
      </c>
      <c r="O2449" s="2613">
        <f>K2449*G2449</f>
        <v>0</v>
      </c>
      <c r="P2449" s="2518"/>
      <c r="Q2449" s="2519"/>
      <c r="R2449" s="2519"/>
      <c r="S2449" s="2519"/>
    </row>
    <row r="2450" spans="1:19" s="2358" customFormat="1" outlineLevel="1">
      <c r="A2450" s="2435" t="str">
        <f>IF(G2450&lt;&gt;0,1,"")</f>
        <v/>
      </c>
      <c r="B2450" s="2514" t="s">
        <v>2248</v>
      </c>
      <c r="C2450" s="2511"/>
      <c r="D2450" s="2405" t="s">
        <v>5506</v>
      </c>
      <c r="E2450" s="2447" t="s">
        <v>2446</v>
      </c>
      <c r="F2450" s="2405" t="s">
        <v>2445</v>
      </c>
      <c r="G2450" s="2522">
        <f>+G2446</f>
        <v>0</v>
      </c>
      <c r="H2450" s="2517">
        <v>0</v>
      </c>
      <c r="I2450" s="2612"/>
      <c r="J2450" s="2612">
        <v>474961</v>
      </c>
      <c r="K2450" s="2612"/>
      <c r="L2450" s="2613">
        <f t="shared" si="481"/>
        <v>0</v>
      </c>
      <c r="M2450" s="2613"/>
      <c r="N2450" s="2517">
        <f t="shared" si="486"/>
        <v>0</v>
      </c>
      <c r="O2450" s="2613"/>
      <c r="P2450" s="2518"/>
      <c r="Q2450" s="2519"/>
      <c r="R2450" s="2519"/>
      <c r="S2450" s="2519"/>
    </row>
    <row r="2451" spans="1:19" s="2358" customFormat="1" outlineLevel="1">
      <c r="A2451" s="2435" t="str">
        <f>IF(G2451&lt;&gt;0,1,"")</f>
        <v/>
      </c>
      <c r="B2451" s="2514"/>
      <c r="C2451" s="2511">
        <f>IF(G2451&gt;0,C2446+1,C2446)</f>
        <v>0</v>
      </c>
      <c r="D2451" s="2512"/>
      <c r="E2451" s="2670" t="s">
        <v>6295</v>
      </c>
      <c r="F2451" s="2511" t="s">
        <v>2391</v>
      </c>
      <c r="G2451" s="2516">
        <f>G2391*2*G2423</f>
        <v>0</v>
      </c>
      <c r="H2451" s="2669"/>
      <c r="I2451" s="2669"/>
      <c r="J2451" s="2612"/>
      <c r="K2451" s="2669"/>
      <c r="L2451" s="2613">
        <f t="shared" si="481"/>
        <v>0</v>
      </c>
      <c r="M2451" s="2613">
        <f>I2451*G2451</f>
        <v>0</v>
      </c>
      <c r="N2451" s="2517">
        <f t="shared" si="486"/>
        <v>0</v>
      </c>
      <c r="O2451" s="2613">
        <f>K2451*G2451</f>
        <v>0</v>
      </c>
      <c r="P2451" s="2518"/>
      <c r="Q2451" s="2519"/>
      <c r="R2451" s="2519"/>
      <c r="S2451" s="2519"/>
    </row>
    <row r="2452" spans="1:19" s="2358" customFormat="1" ht="14.4" outlineLevel="1">
      <c r="A2452" s="2435" t="str">
        <f>A2451</f>
        <v/>
      </c>
      <c r="B2452" s="2514"/>
      <c r="C2452" s="2511"/>
      <c r="D2452" s="2512"/>
      <c r="E2452" s="2520" t="s">
        <v>6207</v>
      </c>
      <c r="F2452" s="2521"/>
      <c r="G2452" s="2522"/>
      <c r="H2452" s="2669"/>
      <c r="I2452" s="2669"/>
      <c r="J2452" s="2612"/>
      <c r="K2452" s="2669"/>
      <c r="L2452" s="2613">
        <f t="shared" si="481"/>
        <v>0</v>
      </c>
      <c r="M2452" s="2613">
        <f>I2452*G2452</f>
        <v>0</v>
      </c>
      <c r="N2452" s="2517">
        <f t="shared" si="486"/>
        <v>0</v>
      </c>
      <c r="O2452" s="2613">
        <f>K2452*G2452</f>
        <v>0</v>
      </c>
      <c r="P2452" s="2518"/>
      <c r="Q2452" s="2519"/>
      <c r="R2452" s="2519"/>
      <c r="S2452" s="2519"/>
    </row>
    <row r="2453" spans="1:19" s="2358" customFormat="1" outlineLevel="1">
      <c r="A2453" s="2435" t="str">
        <f>IF(G2453&lt;&gt;0,1,"")</f>
        <v/>
      </c>
      <c r="B2453" s="2514" t="s">
        <v>2026</v>
      </c>
      <c r="C2453" s="2511"/>
      <c r="D2453" s="2405">
        <v>0</v>
      </c>
      <c r="E2453" s="2447" t="s">
        <v>2443</v>
      </c>
      <c r="F2453" s="2405" t="s">
        <v>2254</v>
      </c>
      <c r="G2453" s="2523">
        <f>G2451*9.02*2.6</f>
        <v>0</v>
      </c>
      <c r="H2453" s="2517">
        <v>31625</v>
      </c>
      <c r="I2453" s="2612"/>
      <c r="J2453" s="2612">
        <v>0</v>
      </c>
      <c r="K2453" s="2612"/>
      <c r="L2453" s="2613">
        <f t="shared" si="481"/>
        <v>0</v>
      </c>
      <c r="M2453" s="2613"/>
      <c r="N2453" s="2517">
        <f t="shared" si="486"/>
        <v>0</v>
      </c>
      <c r="O2453" s="2613"/>
      <c r="P2453" s="2642"/>
      <c r="Q2453" s="2519"/>
      <c r="R2453" s="2519"/>
      <c r="S2453" s="2519"/>
    </row>
    <row r="2454" spans="1:19" s="2358" customFormat="1" outlineLevel="1">
      <c r="A2454" s="2435" t="str">
        <f>IF(G2454&lt;&gt;0,1,"")</f>
        <v/>
      </c>
      <c r="B2454" s="2514" t="s">
        <v>1083</v>
      </c>
      <c r="C2454" s="2511"/>
      <c r="D2454" s="2405">
        <v>0</v>
      </c>
      <c r="E2454" s="2447" t="s">
        <v>2660</v>
      </c>
      <c r="F2454" s="2405" t="s">
        <v>2445</v>
      </c>
      <c r="G2454" s="2523">
        <f>G2451*2</f>
        <v>0</v>
      </c>
      <c r="H2454" s="2517">
        <v>29900</v>
      </c>
      <c r="I2454" s="2612">
        <v>0</v>
      </c>
      <c r="J2454" s="2612">
        <v>0</v>
      </c>
      <c r="K2454" s="2612"/>
      <c r="L2454" s="2613">
        <f t="shared" si="481"/>
        <v>0</v>
      </c>
      <c r="M2454" s="2613"/>
      <c r="N2454" s="2517">
        <f t="shared" si="486"/>
        <v>0</v>
      </c>
      <c r="O2454" s="2613"/>
      <c r="P2454" s="2518"/>
      <c r="Q2454" s="2519"/>
      <c r="R2454" s="2519"/>
      <c r="S2454" s="2519"/>
    </row>
    <row r="2455" spans="1:19" s="2358" customFormat="1" outlineLevel="1">
      <c r="A2455" s="2435" t="str">
        <f>IF(G2455&lt;&gt;0,1,"")</f>
        <v/>
      </c>
      <c r="B2455" s="2514" t="s">
        <v>2248</v>
      </c>
      <c r="C2455" s="2511"/>
      <c r="D2455" s="2405" t="s">
        <v>5506</v>
      </c>
      <c r="E2455" s="2447" t="s">
        <v>2446</v>
      </c>
      <c r="F2455" s="2405" t="s">
        <v>2445</v>
      </c>
      <c r="G2455" s="2523">
        <f>G2451/2</f>
        <v>0</v>
      </c>
      <c r="H2455" s="2517">
        <v>0</v>
      </c>
      <c r="I2455" s="2612"/>
      <c r="J2455" s="2612">
        <v>474961</v>
      </c>
      <c r="K2455" s="2612"/>
      <c r="L2455" s="2613">
        <f t="shared" si="481"/>
        <v>0</v>
      </c>
      <c r="M2455" s="2613"/>
      <c r="N2455" s="2517">
        <f t="shared" si="486"/>
        <v>0</v>
      </c>
      <c r="O2455" s="2613"/>
      <c r="P2455" s="2518"/>
      <c r="Q2455" s="2519"/>
      <c r="R2455" s="2519"/>
      <c r="S2455" s="2519"/>
    </row>
    <row r="2456" spans="1:19" s="2358" customFormat="1" outlineLevel="1">
      <c r="A2456" s="2435" t="str">
        <f>IF(G2456&lt;&gt;0,1,"")</f>
        <v/>
      </c>
      <c r="B2456" s="2514" t="s">
        <v>217</v>
      </c>
      <c r="C2456" s="2511"/>
      <c r="D2456" s="2405" t="s">
        <v>5406</v>
      </c>
      <c r="E2456" s="2447" t="s">
        <v>2447</v>
      </c>
      <c r="F2456" s="2405" t="s">
        <v>2448</v>
      </c>
      <c r="G2456" s="2523">
        <f>0.05*0</f>
        <v>0</v>
      </c>
      <c r="H2456" s="2517">
        <v>0</v>
      </c>
      <c r="I2456" s="2612"/>
      <c r="J2456" s="2612">
        <v>32543</v>
      </c>
      <c r="K2456" s="2612"/>
      <c r="L2456" s="2613">
        <f t="shared" si="481"/>
        <v>0</v>
      </c>
      <c r="M2456" s="2613"/>
      <c r="N2456" s="2517">
        <f t="shared" si="486"/>
        <v>0</v>
      </c>
      <c r="O2456" s="2613"/>
      <c r="P2456" s="2518"/>
      <c r="Q2456" s="2519"/>
      <c r="R2456" s="2519"/>
      <c r="S2456" s="2519"/>
    </row>
    <row r="2457" spans="1:19" s="2358" customFormat="1" outlineLevel="1" collapsed="1">
      <c r="A2457" s="2435" t="str">
        <f>IF(G2457&lt;&gt;0,1,"")</f>
        <v/>
      </c>
      <c r="B2457" s="2514"/>
      <c r="C2457" s="2511">
        <f>IF(G2457&gt;0,C2451+1,C2451)</f>
        <v>0</v>
      </c>
      <c r="D2457" s="2512"/>
      <c r="E2457" s="2670" t="s">
        <v>3736</v>
      </c>
      <c r="F2457" s="2511" t="s">
        <v>2391</v>
      </c>
      <c r="G2457" s="2516"/>
      <c r="H2457" s="2517"/>
      <c r="I2457" s="2517"/>
      <c r="J2457" s="2517"/>
      <c r="K2457" s="2517"/>
      <c r="L2457" s="2517">
        <f t="shared" si="481"/>
        <v>0</v>
      </c>
      <c r="M2457" s="2517">
        <f>I2457*G2457</f>
        <v>0</v>
      </c>
      <c r="N2457" s="2517">
        <f t="shared" si="486"/>
        <v>0</v>
      </c>
      <c r="O2457" s="2517">
        <f>K2457*G2457</f>
        <v>0</v>
      </c>
      <c r="P2457" s="2642"/>
      <c r="Q2457" s="2519"/>
      <c r="R2457" s="2519"/>
      <c r="S2457" s="2519"/>
    </row>
    <row r="2458" spans="1:19" s="2358" customFormat="1" ht="14.4" outlineLevel="1">
      <c r="A2458" s="2435" t="str">
        <f>A2457</f>
        <v/>
      </c>
      <c r="B2458" s="2514"/>
      <c r="C2458" s="2511"/>
      <c r="D2458" s="2512"/>
      <c r="E2458" s="2520" t="s">
        <v>6207</v>
      </c>
      <c r="F2458" s="2521"/>
      <c r="G2458" s="2522"/>
      <c r="H2458" s="2517"/>
      <c r="I2458" s="2517"/>
      <c r="J2458" s="2517"/>
      <c r="K2458" s="2517"/>
      <c r="L2458" s="2517">
        <f t="shared" si="481"/>
        <v>0</v>
      </c>
      <c r="M2458" s="2517">
        <f>I2458*G2458</f>
        <v>0</v>
      </c>
      <c r="N2458" s="2517">
        <f t="shared" si="486"/>
        <v>0</v>
      </c>
      <c r="O2458" s="2517">
        <f>K2458*G2458</f>
        <v>0</v>
      </c>
      <c r="P2458" s="2642"/>
      <c r="Q2458" s="2519"/>
      <c r="R2458" s="2519"/>
      <c r="S2458" s="2519"/>
    </row>
    <row r="2459" spans="1:19" s="2358" customFormat="1" outlineLevel="1">
      <c r="A2459" s="2435" t="str">
        <f t="shared" ref="A2459:A2465" si="487">IF(G2459&lt;&gt;0,1,"")</f>
        <v/>
      </c>
      <c r="B2459" s="2514" t="s">
        <v>2026</v>
      </c>
      <c r="C2459" s="2511"/>
      <c r="D2459" s="2405">
        <v>0</v>
      </c>
      <c r="E2459" s="2447" t="s">
        <v>2443</v>
      </c>
      <c r="F2459" s="2405" t="s">
        <v>2254</v>
      </c>
      <c r="G2459" s="2523">
        <f>G2457*9.02*(2.4+4*0.07)*2</f>
        <v>0</v>
      </c>
      <c r="H2459" s="2517">
        <v>31625</v>
      </c>
      <c r="I2459" s="2517"/>
      <c r="J2459" s="2517">
        <v>0</v>
      </c>
      <c r="K2459" s="2517"/>
      <c r="L2459" s="2517">
        <f t="shared" si="481"/>
        <v>0</v>
      </c>
      <c r="M2459" s="2517"/>
      <c r="N2459" s="2517">
        <f t="shared" si="486"/>
        <v>0</v>
      </c>
      <c r="O2459" s="2517"/>
      <c r="P2459" s="2642"/>
      <c r="Q2459" s="2519"/>
      <c r="R2459" s="2519"/>
      <c r="S2459" s="2519"/>
    </row>
    <row r="2460" spans="1:19" s="2358" customFormat="1" outlineLevel="1">
      <c r="A2460" s="2435" t="str">
        <f t="shared" si="487"/>
        <v/>
      </c>
      <c r="B2460" s="2514" t="s">
        <v>1035</v>
      </c>
      <c r="C2460" s="2511"/>
      <c r="D2460" s="2405">
        <v>0</v>
      </c>
      <c r="E2460" s="2447" t="s">
        <v>6448</v>
      </c>
      <c r="F2460" s="2405" t="s">
        <v>2254</v>
      </c>
      <c r="G2460" s="2523">
        <f>G2457*3.77*0.81*4</f>
        <v>0</v>
      </c>
      <c r="H2460" s="2517">
        <v>31625</v>
      </c>
      <c r="I2460" s="2517"/>
      <c r="J2460" s="2517">
        <v>0</v>
      </c>
      <c r="K2460" s="2517"/>
      <c r="L2460" s="2517">
        <f t="shared" si="481"/>
        <v>0</v>
      </c>
      <c r="M2460" s="2517"/>
      <c r="N2460" s="2517">
        <f t="shared" si="486"/>
        <v>0</v>
      </c>
      <c r="O2460" s="2517"/>
      <c r="P2460" s="2642"/>
      <c r="Q2460" s="2519"/>
      <c r="R2460" s="2519"/>
      <c r="S2460" s="2519"/>
    </row>
    <row r="2461" spans="1:19" s="2358" customFormat="1" outlineLevel="1">
      <c r="A2461" s="2435" t="str">
        <f t="shared" si="487"/>
        <v/>
      </c>
      <c r="B2461" s="2514" t="s">
        <v>1613</v>
      </c>
      <c r="C2461" s="2511"/>
      <c r="D2461" s="2405">
        <v>0</v>
      </c>
      <c r="E2461" s="2447" t="s">
        <v>2657</v>
      </c>
      <c r="F2461" s="2405" t="s">
        <v>2391</v>
      </c>
      <c r="G2461" s="2522">
        <f>G2457*2</f>
        <v>0</v>
      </c>
      <c r="H2461" s="2517">
        <v>25400</v>
      </c>
      <c r="I2461" s="2517">
        <v>0</v>
      </c>
      <c r="J2461" s="2517">
        <v>0</v>
      </c>
      <c r="K2461" s="2517"/>
      <c r="L2461" s="2517">
        <f t="shared" si="481"/>
        <v>0</v>
      </c>
      <c r="M2461" s="2517"/>
      <c r="N2461" s="2517">
        <f t="shared" si="486"/>
        <v>0</v>
      </c>
      <c r="O2461" s="2517"/>
      <c r="P2461" s="2642"/>
      <c r="Q2461" s="2519"/>
      <c r="R2461" s="2519"/>
      <c r="S2461" s="2519"/>
    </row>
    <row r="2462" spans="1:19" s="2358" customFormat="1" outlineLevel="1">
      <c r="A2462" s="2435" t="str">
        <f t="shared" si="487"/>
        <v/>
      </c>
      <c r="B2462" s="2514" t="s">
        <v>1790</v>
      </c>
      <c r="C2462" s="2511"/>
      <c r="D2462" s="2405">
        <v>0</v>
      </c>
      <c r="E2462" s="2447" t="s">
        <v>2647</v>
      </c>
      <c r="F2462" s="2405" t="s">
        <v>2391</v>
      </c>
      <c r="G2462" s="2522">
        <f>G2457*4</f>
        <v>0</v>
      </c>
      <c r="H2462" s="2517">
        <v>12400</v>
      </c>
      <c r="I2462" s="2517">
        <v>0</v>
      </c>
      <c r="J2462" s="2517">
        <v>0</v>
      </c>
      <c r="K2462" s="2517"/>
      <c r="L2462" s="2517">
        <f t="shared" si="481"/>
        <v>0</v>
      </c>
      <c r="M2462" s="2517"/>
      <c r="N2462" s="2517">
        <f t="shared" si="486"/>
        <v>0</v>
      </c>
      <c r="O2462" s="2517"/>
      <c r="P2462" s="2642"/>
      <c r="Q2462" s="2519"/>
      <c r="R2462" s="2519"/>
      <c r="S2462" s="2519"/>
    </row>
    <row r="2463" spans="1:19" s="2358" customFormat="1" outlineLevel="1">
      <c r="A2463" s="2435" t="str">
        <f t="shared" si="487"/>
        <v/>
      </c>
      <c r="B2463" s="2514" t="s">
        <v>1788</v>
      </c>
      <c r="C2463" s="2511"/>
      <c r="D2463" s="2405">
        <v>0</v>
      </c>
      <c r="E2463" s="2447" t="s">
        <v>2668</v>
      </c>
      <c r="F2463" s="2405" t="s">
        <v>2391</v>
      </c>
      <c r="G2463" s="2522">
        <f>G2457*4</f>
        <v>0</v>
      </c>
      <c r="H2463" s="2517">
        <v>31800</v>
      </c>
      <c r="I2463" s="2517">
        <v>0</v>
      </c>
      <c r="J2463" s="2517">
        <v>0</v>
      </c>
      <c r="K2463" s="2517">
        <v>0</v>
      </c>
      <c r="L2463" s="2517">
        <f t="shared" si="481"/>
        <v>0</v>
      </c>
      <c r="M2463" s="2517">
        <f>I2463*G2463</f>
        <v>0</v>
      </c>
      <c r="N2463" s="2517">
        <f t="shared" si="486"/>
        <v>0</v>
      </c>
      <c r="O2463" s="2517">
        <f>K2463*G2463</f>
        <v>0</v>
      </c>
      <c r="P2463" s="2642"/>
      <c r="Q2463" s="2519"/>
      <c r="R2463" s="2519"/>
      <c r="S2463" s="2519"/>
    </row>
    <row r="2464" spans="1:19" s="2358" customFormat="1" outlineLevel="1">
      <c r="A2464" s="2435" t="str">
        <f t="shared" si="487"/>
        <v/>
      </c>
      <c r="B2464" s="2514" t="s">
        <v>517</v>
      </c>
      <c r="C2464" s="2511"/>
      <c r="D2464" s="2405" t="s">
        <v>5492</v>
      </c>
      <c r="E2464" s="2447" t="s">
        <v>3191</v>
      </c>
      <c r="F2464" s="2405" t="s">
        <v>2391</v>
      </c>
      <c r="G2464" s="2522">
        <f>G2457</f>
        <v>0</v>
      </c>
      <c r="H2464" s="2517">
        <v>0</v>
      </c>
      <c r="I2464" s="2517"/>
      <c r="J2464" s="2612">
        <v>296544.75</v>
      </c>
      <c r="K2464" s="2517"/>
      <c r="L2464" s="2517">
        <f t="shared" si="481"/>
        <v>0</v>
      </c>
      <c r="M2464" s="2517"/>
      <c r="N2464" s="2517">
        <f t="shared" si="486"/>
        <v>0</v>
      </c>
      <c r="O2464" s="2517"/>
      <c r="P2464" s="2642"/>
      <c r="Q2464" s="2519"/>
      <c r="R2464" s="2519"/>
      <c r="S2464" s="2519"/>
    </row>
    <row r="2465" spans="1:19" s="2358" customFormat="1" outlineLevel="1">
      <c r="A2465" s="2435" t="str">
        <f t="shared" si="487"/>
        <v/>
      </c>
      <c r="B2465" s="2514"/>
      <c r="C2465" s="2511">
        <f>IF(G2465&gt;0,C2457+1,C2457)</f>
        <v>0</v>
      </c>
      <c r="D2465" s="2512"/>
      <c r="E2465" s="2670" t="s">
        <v>6313</v>
      </c>
      <c r="F2465" s="2511" t="s">
        <v>2391</v>
      </c>
      <c r="G2465" s="2516"/>
      <c r="H2465" s="2517"/>
      <c r="I2465" s="2517"/>
      <c r="J2465" s="2517"/>
      <c r="K2465" s="2517"/>
      <c r="L2465" s="2517">
        <f t="shared" si="481"/>
        <v>0</v>
      </c>
      <c r="M2465" s="2517">
        <f>I2465*G2465</f>
        <v>0</v>
      </c>
      <c r="N2465" s="2517">
        <f t="shared" si="486"/>
        <v>0</v>
      </c>
      <c r="O2465" s="2517">
        <f>K2465*G2465</f>
        <v>0</v>
      </c>
      <c r="P2465" s="2642"/>
      <c r="Q2465" s="2519"/>
      <c r="R2465" s="2519"/>
      <c r="S2465" s="2519"/>
    </row>
    <row r="2466" spans="1:19" s="2358" customFormat="1" ht="14.4" outlineLevel="1">
      <c r="A2466" s="2435" t="str">
        <f>A2465</f>
        <v/>
      </c>
      <c r="B2466" s="2514"/>
      <c r="C2466" s="2511"/>
      <c r="D2466" s="2512"/>
      <c r="E2466" s="2520" t="s">
        <v>6207</v>
      </c>
      <c r="F2466" s="2521"/>
      <c r="G2466" s="2522"/>
      <c r="H2466" s="2517"/>
      <c r="I2466" s="2517"/>
      <c r="J2466" s="2517"/>
      <c r="K2466" s="2517"/>
      <c r="L2466" s="2517">
        <f t="shared" si="481"/>
        <v>0</v>
      </c>
      <c r="M2466" s="2517">
        <f>I2466*G2466</f>
        <v>0</v>
      </c>
      <c r="N2466" s="2517">
        <f t="shared" si="486"/>
        <v>0</v>
      </c>
      <c r="O2466" s="2517">
        <f>K2466*G2466</f>
        <v>0</v>
      </c>
      <c r="P2466" s="2642"/>
      <c r="Q2466" s="2519"/>
      <c r="R2466" s="2519"/>
      <c r="S2466" s="2519"/>
    </row>
    <row r="2467" spans="1:19" s="2358" customFormat="1" outlineLevel="1">
      <c r="A2467" s="2435" t="str">
        <f t="shared" ref="A2467:A2474" si="488">IF(G2467&lt;&gt;0,1,"")</f>
        <v/>
      </c>
      <c r="B2467" s="2514" t="s">
        <v>2026</v>
      </c>
      <c r="C2467" s="2511"/>
      <c r="D2467" s="2405">
        <v>0</v>
      </c>
      <c r="E2467" s="2447" t="s">
        <v>2443</v>
      </c>
      <c r="F2467" s="2405" t="s">
        <v>2254</v>
      </c>
      <c r="G2467" s="2523">
        <f>G2465*9.02*(2.4+4*0.07)</f>
        <v>0</v>
      </c>
      <c r="H2467" s="2517">
        <v>31625</v>
      </c>
      <c r="I2467" s="2517"/>
      <c r="J2467" s="2517">
        <v>0</v>
      </c>
      <c r="K2467" s="2517"/>
      <c r="L2467" s="2517">
        <f t="shared" si="481"/>
        <v>0</v>
      </c>
      <c r="M2467" s="2517"/>
      <c r="N2467" s="2517">
        <f t="shared" si="486"/>
        <v>0</v>
      </c>
      <c r="O2467" s="2517"/>
      <c r="P2467" s="2642"/>
      <c r="Q2467" s="2519"/>
      <c r="R2467" s="2519"/>
      <c r="S2467" s="2519"/>
    </row>
    <row r="2468" spans="1:19" s="2358" customFormat="1" outlineLevel="1">
      <c r="A2468" s="2435" t="str">
        <f t="shared" si="488"/>
        <v/>
      </c>
      <c r="B2468" s="2514" t="s">
        <v>1035</v>
      </c>
      <c r="C2468" s="2511"/>
      <c r="D2468" s="2405">
        <v>0</v>
      </c>
      <c r="E2468" s="2447" t="s">
        <v>6448</v>
      </c>
      <c r="F2468" s="2405" t="s">
        <v>2254</v>
      </c>
      <c r="G2468" s="2523">
        <f>G2465*3.77*0.81*2</f>
        <v>0</v>
      </c>
      <c r="H2468" s="2517">
        <v>31625</v>
      </c>
      <c r="I2468" s="2517"/>
      <c r="J2468" s="2517">
        <v>0</v>
      </c>
      <c r="K2468" s="2517"/>
      <c r="L2468" s="2517">
        <f t="shared" si="481"/>
        <v>0</v>
      </c>
      <c r="M2468" s="2517"/>
      <c r="N2468" s="2517">
        <f t="shared" si="486"/>
        <v>0</v>
      </c>
      <c r="O2468" s="2517"/>
      <c r="P2468" s="2642"/>
      <c r="Q2468" s="2519"/>
      <c r="R2468" s="2519"/>
      <c r="S2468" s="2519"/>
    </row>
    <row r="2469" spans="1:19" s="2358" customFormat="1" outlineLevel="1">
      <c r="A2469" s="2435" t="str">
        <f t="shared" si="488"/>
        <v/>
      </c>
      <c r="B2469" s="2514" t="s">
        <v>1079</v>
      </c>
      <c r="C2469" s="2511"/>
      <c r="D2469" s="2405">
        <v>0</v>
      </c>
      <c r="E2469" s="2447" t="s">
        <v>2659</v>
      </c>
      <c r="F2469" s="2405" t="s">
        <v>2391</v>
      </c>
      <c r="G2469" s="2522">
        <f>G2465*2</f>
        <v>0</v>
      </c>
      <c r="H2469" s="2517">
        <v>27900</v>
      </c>
      <c r="I2469" s="2517">
        <v>0</v>
      </c>
      <c r="J2469" s="2517">
        <v>0</v>
      </c>
      <c r="K2469" s="2517"/>
      <c r="L2469" s="2517">
        <f t="shared" si="481"/>
        <v>0</v>
      </c>
      <c r="M2469" s="2517"/>
      <c r="N2469" s="2517">
        <f t="shared" si="486"/>
        <v>0</v>
      </c>
      <c r="O2469" s="2517"/>
      <c r="P2469" s="2642"/>
      <c r="Q2469" s="2519"/>
      <c r="R2469" s="2519"/>
      <c r="S2469" s="2519"/>
    </row>
    <row r="2470" spans="1:19" s="2358" customFormat="1" outlineLevel="1">
      <c r="A2470" s="2435" t="str">
        <f t="shared" si="488"/>
        <v/>
      </c>
      <c r="B2470" s="2514" t="s">
        <v>1790</v>
      </c>
      <c r="C2470" s="2511"/>
      <c r="D2470" s="2405">
        <v>0</v>
      </c>
      <c r="E2470" s="2447" t="s">
        <v>2647</v>
      </c>
      <c r="F2470" s="2405" t="s">
        <v>2391</v>
      </c>
      <c r="G2470" s="2522">
        <f>G2465*2</f>
        <v>0</v>
      </c>
      <c r="H2470" s="2517">
        <v>12400</v>
      </c>
      <c r="I2470" s="2517">
        <v>0</v>
      </c>
      <c r="J2470" s="2517">
        <v>0</v>
      </c>
      <c r="K2470" s="2517"/>
      <c r="L2470" s="2517">
        <f t="shared" si="481"/>
        <v>0</v>
      </c>
      <c r="M2470" s="2517"/>
      <c r="N2470" s="2517">
        <f t="shared" si="486"/>
        <v>0</v>
      </c>
      <c r="O2470" s="2517"/>
      <c r="P2470" s="2642"/>
      <c r="Q2470" s="2519"/>
      <c r="R2470" s="2519"/>
      <c r="S2470" s="2519"/>
    </row>
    <row r="2471" spans="1:19" s="2358" customFormat="1" outlineLevel="1">
      <c r="A2471" s="2435" t="str">
        <f t="shared" si="488"/>
        <v/>
      </c>
      <c r="B2471" s="2514" t="s">
        <v>1739</v>
      </c>
      <c r="C2471" s="2511"/>
      <c r="D2471" s="2405">
        <v>0</v>
      </c>
      <c r="E2471" s="2447" t="s">
        <v>2699</v>
      </c>
      <c r="F2471" s="2405" t="s">
        <v>2391</v>
      </c>
      <c r="G2471" s="2522">
        <f>IF(G2465&gt;0,3,)</f>
        <v>0</v>
      </c>
      <c r="H2471" s="2517">
        <v>34000</v>
      </c>
      <c r="I2471" s="2517">
        <v>0</v>
      </c>
      <c r="J2471" s="2517">
        <v>0</v>
      </c>
      <c r="K2471" s="2517"/>
      <c r="L2471" s="2517">
        <f t="shared" si="481"/>
        <v>0</v>
      </c>
      <c r="M2471" s="2517"/>
      <c r="N2471" s="2517">
        <f t="shared" si="486"/>
        <v>0</v>
      </c>
      <c r="O2471" s="2517"/>
      <c r="P2471" s="2642"/>
      <c r="Q2471" s="2519"/>
      <c r="R2471" s="2519"/>
      <c r="S2471" s="2519"/>
    </row>
    <row r="2472" spans="1:19" s="2358" customFormat="1" outlineLevel="1">
      <c r="A2472" s="2435" t="str">
        <f t="shared" si="488"/>
        <v/>
      </c>
      <c r="B2472" s="2514" t="s">
        <v>988</v>
      </c>
      <c r="C2472" s="2511"/>
      <c r="D2472" s="2405">
        <v>0</v>
      </c>
      <c r="E2472" s="2447" t="s">
        <v>5331</v>
      </c>
      <c r="F2472" s="2405" t="s">
        <v>2391</v>
      </c>
      <c r="G2472" s="2522">
        <f>G2465</f>
        <v>0</v>
      </c>
      <c r="H2472" s="2517">
        <v>178900</v>
      </c>
      <c r="I2472" s="2517">
        <v>0</v>
      </c>
      <c r="J2472" s="2517">
        <v>0</v>
      </c>
      <c r="K2472" s="2517"/>
      <c r="L2472" s="2517">
        <f t="shared" si="481"/>
        <v>0</v>
      </c>
      <c r="M2472" s="2517"/>
      <c r="N2472" s="2517">
        <f t="shared" si="486"/>
        <v>0</v>
      </c>
      <c r="O2472" s="2517"/>
      <c r="P2472" s="2642"/>
      <c r="Q2472" s="2519"/>
      <c r="R2472" s="2519"/>
      <c r="S2472" s="2519"/>
    </row>
    <row r="2473" spans="1:19" s="2358" customFormat="1" outlineLevel="1">
      <c r="A2473" s="2435" t="str">
        <f t="shared" si="488"/>
        <v/>
      </c>
      <c r="B2473" s="2514" t="s">
        <v>1443</v>
      </c>
      <c r="C2473" s="2511"/>
      <c r="D2473" s="2405" t="s">
        <v>5483</v>
      </c>
      <c r="E2473" s="2447" t="s">
        <v>5484</v>
      </c>
      <c r="F2473" s="2405" t="s">
        <v>2391</v>
      </c>
      <c r="G2473" s="2522">
        <f>G2465</f>
        <v>0</v>
      </c>
      <c r="H2473" s="2517">
        <v>0</v>
      </c>
      <c r="I2473" s="2517"/>
      <c r="J2473" s="2612">
        <v>296544.75</v>
      </c>
      <c r="K2473" s="2517"/>
      <c r="L2473" s="2517">
        <f t="shared" si="481"/>
        <v>0</v>
      </c>
      <c r="M2473" s="2517"/>
      <c r="N2473" s="2517">
        <f t="shared" si="486"/>
        <v>0</v>
      </c>
      <c r="O2473" s="2517"/>
      <c r="P2473" s="2642"/>
      <c r="Q2473" s="2519"/>
      <c r="R2473" s="2519"/>
      <c r="S2473" s="2519"/>
    </row>
    <row r="2474" spans="1:19" s="2358" customFormat="1" outlineLevel="1">
      <c r="A2474" s="2435" t="str">
        <f t="shared" si="488"/>
        <v/>
      </c>
      <c r="B2474" s="2514"/>
      <c r="C2474" s="2511">
        <f>IF(G2474&gt;0,C2465+1,C2465)</f>
        <v>0</v>
      </c>
      <c r="D2474" s="2512"/>
      <c r="E2474" s="2670" t="s">
        <v>3738</v>
      </c>
      <c r="F2474" s="2511" t="s">
        <v>2391</v>
      </c>
      <c r="G2474" s="2516">
        <f>G2391</f>
        <v>0</v>
      </c>
      <c r="H2474" s="2517"/>
      <c r="I2474" s="2517"/>
      <c r="J2474" s="2517"/>
      <c r="K2474" s="2517"/>
      <c r="L2474" s="2517">
        <f t="shared" si="481"/>
        <v>0</v>
      </c>
      <c r="M2474" s="2517">
        <f>I2474*G2474</f>
        <v>0</v>
      </c>
      <c r="N2474" s="2517">
        <f t="shared" si="486"/>
        <v>0</v>
      </c>
      <c r="O2474" s="2517">
        <f>K2474*G2474</f>
        <v>0</v>
      </c>
      <c r="P2474" s="2642"/>
      <c r="Q2474" s="2519"/>
      <c r="R2474" s="2519"/>
      <c r="S2474" s="2519"/>
    </row>
    <row r="2475" spans="1:19" s="2358" customFormat="1" ht="14.4" outlineLevel="1">
      <c r="A2475" s="2435" t="str">
        <f>+A2474</f>
        <v/>
      </c>
      <c r="B2475" s="2671"/>
      <c r="C2475" s="2511"/>
      <c r="D2475" s="2512"/>
      <c r="E2475" s="2520" t="s">
        <v>6207</v>
      </c>
      <c r="F2475" s="2521"/>
      <c r="G2475" s="2522"/>
      <c r="H2475" s="2517"/>
      <c r="I2475" s="2517"/>
      <c r="J2475" s="2517"/>
      <c r="K2475" s="2517"/>
      <c r="L2475" s="2517">
        <f t="shared" si="481"/>
        <v>0</v>
      </c>
      <c r="M2475" s="2517">
        <f>I2475*G2475</f>
        <v>0</v>
      </c>
      <c r="N2475" s="2517">
        <f t="shared" si="486"/>
        <v>0</v>
      </c>
      <c r="O2475" s="2517">
        <f>K2475*G2475</f>
        <v>0</v>
      </c>
      <c r="P2475" s="2642"/>
      <c r="Q2475" s="2519"/>
      <c r="R2475" s="2519"/>
      <c r="S2475" s="2519"/>
    </row>
    <row r="2476" spans="1:19" s="2358" customFormat="1" outlineLevel="1">
      <c r="A2476" s="2435" t="str">
        <f t="shared" ref="A2476:A2482" si="489">IF(G2476&lt;&gt;0,1,"")</f>
        <v/>
      </c>
      <c r="B2476" s="2514" t="s">
        <v>1033</v>
      </c>
      <c r="C2476" s="2511"/>
      <c r="D2476" s="2405">
        <v>0</v>
      </c>
      <c r="E2476" s="2447" t="s">
        <v>2708</v>
      </c>
      <c r="F2476" s="2405" t="s">
        <v>2254</v>
      </c>
      <c r="G2476" s="2523">
        <f>$H$3*0.224*G2474</f>
        <v>0</v>
      </c>
      <c r="H2476" s="2517">
        <v>255500</v>
      </c>
      <c r="I2476" s="2517"/>
      <c r="J2476" s="2517">
        <v>0</v>
      </c>
      <c r="K2476" s="2517">
        <v>0</v>
      </c>
      <c r="L2476" s="2517">
        <f t="shared" si="481"/>
        <v>0</v>
      </c>
      <c r="M2476" s="2517">
        <f>I2476*G2476</f>
        <v>0</v>
      </c>
      <c r="N2476" s="2517">
        <f t="shared" si="486"/>
        <v>0</v>
      </c>
      <c r="O2476" s="2517">
        <f>K2476*G2476</f>
        <v>0</v>
      </c>
      <c r="P2476" s="2642"/>
      <c r="Q2476" s="2519"/>
      <c r="R2476" s="2519"/>
      <c r="S2476" s="2519"/>
    </row>
    <row r="2477" spans="1:19" s="2358" customFormat="1" outlineLevel="1">
      <c r="A2477" s="2435" t="str">
        <f t="shared" si="489"/>
        <v/>
      </c>
      <c r="B2477" s="2505" t="s">
        <v>1511</v>
      </c>
      <c r="C2477" s="2511"/>
      <c r="D2477" s="2405">
        <v>0</v>
      </c>
      <c r="E2477" s="2447" t="s">
        <v>5224</v>
      </c>
      <c r="F2477" s="2405" t="s">
        <v>2445</v>
      </c>
      <c r="G2477" s="2523">
        <f>G2474*12</f>
        <v>0</v>
      </c>
      <c r="H2477" s="2517">
        <v>160000</v>
      </c>
      <c r="I2477" s="2517"/>
      <c r="J2477" s="2517">
        <v>0</v>
      </c>
      <c r="K2477" s="2517">
        <v>0</v>
      </c>
      <c r="L2477" s="2517">
        <f t="shared" si="481"/>
        <v>0</v>
      </c>
      <c r="M2477" s="2517">
        <f>I2477*G2477</f>
        <v>0</v>
      </c>
      <c r="N2477" s="2517">
        <f t="shared" si="486"/>
        <v>0</v>
      </c>
      <c r="O2477" s="2517">
        <f>K2477*G2477</f>
        <v>0</v>
      </c>
      <c r="P2477" s="2642"/>
      <c r="Q2477" s="2519"/>
      <c r="R2477" s="2519"/>
      <c r="S2477" s="2519"/>
    </row>
    <row r="2478" spans="1:19" s="2358" customFormat="1" outlineLevel="1">
      <c r="A2478" s="2435" t="str">
        <f t="shared" si="489"/>
        <v/>
      </c>
      <c r="B2478" s="2505" t="s">
        <v>1493</v>
      </c>
      <c r="C2478" s="2511"/>
      <c r="D2478" s="2405">
        <v>0</v>
      </c>
      <c r="E2478" s="2447" t="s">
        <v>3554</v>
      </c>
      <c r="F2478" s="2405" t="s">
        <v>1827</v>
      </c>
      <c r="G2478" s="2523">
        <f>G2474*4</f>
        <v>0</v>
      </c>
      <c r="H2478" s="2517">
        <v>6200</v>
      </c>
      <c r="I2478" s="2517"/>
      <c r="J2478" s="2517">
        <v>0</v>
      </c>
      <c r="K2478" s="2517">
        <v>0</v>
      </c>
      <c r="L2478" s="2517">
        <f t="shared" si="481"/>
        <v>0</v>
      </c>
      <c r="M2478" s="2517">
        <f>I2478*G2478</f>
        <v>0</v>
      </c>
      <c r="N2478" s="2517">
        <f t="shared" si="486"/>
        <v>0</v>
      </c>
      <c r="O2478" s="2517">
        <f>K2478*G2478</f>
        <v>0</v>
      </c>
      <c r="P2478" s="2518"/>
      <c r="Q2478" s="2519"/>
      <c r="R2478" s="2519"/>
      <c r="S2478" s="2519"/>
    </row>
    <row r="2479" spans="1:19" s="2358" customFormat="1" outlineLevel="1">
      <c r="A2479" s="2435" t="str">
        <f t="shared" si="489"/>
        <v/>
      </c>
      <c r="B2479" s="2514" t="s">
        <v>1582</v>
      </c>
      <c r="C2479" s="2511"/>
      <c r="D2479" s="2405">
        <v>0</v>
      </c>
      <c r="E2479" s="2447" t="s">
        <v>2889</v>
      </c>
      <c r="F2479" s="2405" t="s">
        <v>2563</v>
      </c>
      <c r="G2479" s="2523">
        <f>2*G2474</f>
        <v>0</v>
      </c>
      <c r="H2479" s="2517">
        <v>8000</v>
      </c>
      <c r="I2479" s="2517"/>
      <c r="J2479" s="2517">
        <v>0</v>
      </c>
      <c r="K2479" s="2517"/>
      <c r="L2479" s="2517">
        <f t="shared" si="481"/>
        <v>0</v>
      </c>
      <c r="M2479" s="2517"/>
      <c r="N2479" s="2517">
        <f t="shared" si="486"/>
        <v>0</v>
      </c>
      <c r="O2479" s="2517"/>
      <c r="P2479" s="2642"/>
      <c r="Q2479" s="2519"/>
      <c r="R2479" s="2519"/>
      <c r="S2479" s="2519"/>
    </row>
    <row r="2480" spans="1:19" s="2358" customFormat="1" outlineLevel="1">
      <c r="A2480" s="2435" t="str">
        <f t="shared" si="489"/>
        <v/>
      </c>
      <c r="B2480" s="2514" t="s">
        <v>816</v>
      </c>
      <c r="C2480" s="2672"/>
      <c r="D2480" s="2405">
        <v>0</v>
      </c>
      <c r="E2480" s="2447" t="s">
        <v>3599</v>
      </c>
      <c r="F2480" s="2405" t="s">
        <v>2563</v>
      </c>
      <c r="G2480" s="2523">
        <f>IF(G2477&lt;=12,15,21)*G2474</f>
        <v>0</v>
      </c>
      <c r="H2480" s="2517">
        <v>17600</v>
      </c>
      <c r="I2480" s="2517"/>
      <c r="J2480" s="2517">
        <v>0</v>
      </c>
      <c r="K2480" s="2517"/>
      <c r="L2480" s="2517">
        <f t="shared" si="481"/>
        <v>0</v>
      </c>
      <c r="M2480" s="2517">
        <f>I2480*G2480</f>
        <v>0</v>
      </c>
      <c r="N2480" s="2517">
        <f t="shared" si="486"/>
        <v>0</v>
      </c>
      <c r="O2480" s="2517">
        <f>K2480*G2480</f>
        <v>0</v>
      </c>
      <c r="P2480" s="2642"/>
      <c r="Q2480" s="2519"/>
      <c r="R2480" s="2519"/>
      <c r="S2480" s="2519"/>
    </row>
    <row r="2481" spans="1:20" s="2358" customFormat="1" outlineLevel="1">
      <c r="A2481" s="2435" t="str">
        <f t="shared" si="489"/>
        <v/>
      </c>
      <c r="B2481" s="2505" t="s">
        <v>525</v>
      </c>
      <c r="C2481" s="2511"/>
      <c r="D2481" s="2405">
        <v>0</v>
      </c>
      <c r="E2481" s="2447" t="s">
        <v>5313</v>
      </c>
      <c r="F2481" s="2405" t="s">
        <v>2445</v>
      </c>
      <c r="G2481" s="2523">
        <f>+G2474*2</f>
        <v>0</v>
      </c>
      <c r="H2481" s="2517">
        <v>43000</v>
      </c>
      <c r="I2481" s="2517"/>
      <c r="J2481" s="2517">
        <v>0</v>
      </c>
      <c r="K2481" s="2517">
        <v>0</v>
      </c>
      <c r="L2481" s="2517">
        <f t="shared" si="481"/>
        <v>0</v>
      </c>
      <c r="M2481" s="2517">
        <f>I2481*G2481</f>
        <v>0</v>
      </c>
      <c r="N2481" s="2517">
        <f t="shared" si="486"/>
        <v>0</v>
      </c>
      <c r="O2481" s="2517">
        <f>K2481*G2481</f>
        <v>0</v>
      </c>
      <c r="P2481" s="2518"/>
      <c r="Q2481" s="2519"/>
      <c r="R2481" s="2519"/>
      <c r="S2481" s="2519"/>
    </row>
    <row r="2482" spans="1:20" s="2358" customFormat="1" outlineLevel="1">
      <c r="A2482" s="2435" t="str">
        <f t="shared" si="489"/>
        <v/>
      </c>
      <c r="B2482" s="2505" t="s">
        <v>1588</v>
      </c>
      <c r="C2482" s="2511"/>
      <c r="D2482" s="2405">
        <v>0</v>
      </c>
      <c r="E2482" s="2447" t="s">
        <v>5775</v>
      </c>
      <c r="F2482" s="2405" t="s">
        <v>3463</v>
      </c>
      <c r="G2482" s="2523">
        <f>$L$3*G2474</f>
        <v>0</v>
      </c>
      <c r="H2482" s="2517">
        <v>0</v>
      </c>
      <c r="I2482" s="2517"/>
      <c r="J2482" s="2517">
        <v>1500000</v>
      </c>
      <c r="K2482" s="2517">
        <v>0</v>
      </c>
      <c r="L2482" s="2517">
        <f t="shared" si="481"/>
        <v>0</v>
      </c>
      <c r="M2482" s="2517">
        <f>I2482*G2482</f>
        <v>0</v>
      </c>
      <c r="N2482" s="2517">
        <f t="shared" si="486"/>
        <v>0</v>
      </c>
      <c r="O2482" s="2517">
        <f>K2482*G2482</f>
        <v>0</v>
      </c>
      <c r="P2482" s="2642"/>
      <c r="Q2482" s="2519"/>
      <c r="R2482" s="2519"/>
      <c r="S2482" s="2519"/>
    </row>
    <row r="2483" spans="1:20" s="2358" customFormat="1" outlineLevel="1">
      <c r="A2483" s="2435">
        <f>IF(G2483=0,0,1)</f>
        <v>0</v>
      </c>
      <c r="B2483" s="2505" t="s">
        <v>794</v>
      </c>
      <c r="C2483" s="2521"/>
      <c r="D2483" s="2405" t="s">
        <v>5398</v>
      </c>
      <c r="E2483" s="2447" t="s">
        <v>3086</v>
      </c>
      <c r="F2483" s="2405" t="s">
        <v>856</v>
      </c>
      <c r="G2483" s="2523">
        <f>+G2474*H4</f>
        <v>0</v>
      </c>
      <c r="H2483" s="2517">
        <v>0</v>
      </c>
      <c r="I2483" s="2517"/>
      <c r="J2483" s="2517">
        <v>283749.75</v>
      </c>
      <c r="K2483" s="2517">
        <v>0</v>
      </c>
      <c r="L2483" s="2517">
        <f t="shared" ref="L2483:O2484" si="490">H2483*$G2483</f>
        <v>0</v>
      </c>
      <c r="M2483" s="2517">
        <f t="shared" si="490"/>
        <v>0</v>
      </c>
      <c r="N2483" s="2517">
        <f t="shared" si="486"/>
        <v>0</v>
      </c>
      <c r="O2483" s="2517">
        <f t="shared" si="490"/>
        <v>0</v>
      </c>
      <c r="P2483" s="2642"/>
      <c r="Q2483" s="2519"/>
      <c r="R2483" s="2519"/>
      <c r="S2483" s="2519"/>
    </row>
    <row r="2484" spans="1:20" s="2358" customFormat="1" outlineLevel="1">
      <c r="A2484" s="2435">
        <f>IF(G2484=0,0,1)</f>
        <v>0</v>
      </c>
      <c r="B2484" s="2505" t="s">
        <v>798</v>
      </c>
      <c r="C2484" s="2521"/>
      <c r="D2484" s="2405" t="s">
        <v>5387</v>
      </c>
      <c r="E2484" s="2447" t="s">
        <v>5399</v>
      </c>
      <c r="F2484" s="2405" t="s">
        <v>856</v>
      </c>
      <c r="G2484" s="2523">
        <f>G2483</f>
        <v>0</v>
      </c>
      <c r="H2484" s="2517">
        <v>0</v>
      </c>
      <c r="I2484" s="2517"/>
      <c r="J2484" s="2517">
        <v>117703.6</v>
      </c>
      <c r="K2484" s="2517">
        <v>0</v>
      </c>
      <c r="L2484" s="2517">
        <f t="shared" si="490"/>
        <v>0</v>
      </c>
      <c r="M2484" s="2517">
        <f t="shared" si="490"/>
        <v>0</v>
      </c>
      <c r="N2484" s="2517">
        <f t="shared" si="486"/>
        <v>0</v>
      </c>
      <c r="O2484" s="2517">
        <f t="shared" si="490"/>
        <v>0</v>
      </c>
      <c r="P2484" s="2642"/>
      <c r="Q2484" s="2519"/>
      <c r="R2484" s="2519"/>
      <c r="S2484" s="2519"/>
    </row>
    <row r="2485" spans="1:20" s="2358" customFormat="1" outlineLevel="1">
      <c r="A2485" s="2435">
        <f>IF(G2485=0,0,1)</f>
        <v>0</v>
      </c>
      <c r="B2485" s="2505" t="s">
        <v>902</v>
      </c>
      <c r="C2485" s="2521"/>
      <c r="D2485" s="2405" t="s">
        <v>5413</v>
      </c>
      <c r="E2485" s="2447" t="s">
        <v>5414</v>
      </c>
      <c r="F2485" s="2405" t="s">
        <v>2284</v>
      </c>
      <c r="G2485" s="2523">
        <f>G2477</f>
        <v>0</v>
      </c>
      <c r="H2485" s="2517">
        <v>0</v>
      </c>
      <c r="I2485" s="2517"/>
      <c r="J2485" s="2517">
        <v>90355.896000000008</v>
      </c>
      <c r="K2485" s="2517">
        <v>0</v>
      </c>
      <c r="L2485" s="2517">
        <f>H2485*$G2485</f>
        <v>0</v>
      </c>
      <c r="M2485" s="2517">
        <f>I2485*$G2485</f>
        <v>0</v>
      </c>
      <c r="N2485" s="2517">
        <f t="shared" si="486"/>
        <v>0</v>
      </c>
      <c r="O2485" s="2517">
        <f>K2485*$G2485</f>
        <v>0</v>
      </c>
      <c r="P2485" s="2642"/>
      <c r="Q2485" s="2519"/>
      <c r="R2485" s="2519"/>
      <c r="S2485" s="2519"/>
    </row>
    <row r="2486" spans="1:20" s="2358" customFormat="1" outlineLevel="1">
      <c r="A2486" s="2435" t="str">
        <f>IF(G2486&lt;&gt;0,1,"")</f>
        <v/>
      </c>
      <c r="B2486" s="2505" t="s">
        <v>1440</v>
      </c>
      <c r="C2486" s="2511"/>
      <c r="D2486" s="2405" t="s">
        <v>5408</v>
      </c>
      <c r="E2486" s="2447" t="s">
        <v>5409</v>
      </c>
      <c r="F2486" s="2405" t="s">
        <v>2538</v>
      </c>
      <c r="G2486" s="2523">
        <f>G2474*$H$3</f>
        <v>0</v>
      </c>
      <c r="H2486" s="2517">
        <v>0</v>
      </c>
      <c r="I2486" s="2517"/>
      <c r="J2486" s="2517">
        <v>8070.7000000000007</v>
      </c>
      <c r="K2486" s="2517">
        <v>2044.9974999999999</v>
      </c>
      <c r="L2486" s="2517">
        <f>H2486*G2486</f>
        <v>0</v>
      </c>
      <c r="M2486" s="2517">
        <f>I2486*G2486</f>
        <v>0</v>
      </c>
      <c r="N2486" s="2517">
        <f t="shared" si="486"/>
        <v>0</v>
      </c>
      <c r="O2486" s="2517">
        <f>K2486*G2486</f>
        <v>0</v>
      </c>
      <c r="P2486" s="2642"/>
      <c r="Q2486" s="2519"/>
      <c r="R2486" s="2519"/>
      <c r="S2486" s="2519"/>
    </row>
    <row r="2487" spans="1:20" s="2358" customFormat="1" outlineLevel="1">
      <c r="A2487" s="2435" t="str">
        <f>IF(G2487&lt;&gt;0,1,"")</f>
        <v/>
      </c>
      <c r="B2487" s="2514"/>
      <c r="C2487" s="2511">
        <f>IF(G2487&gt;0,C2474+1,C2474)</f>
        <v>0</v>
      </c>
      <c r="D2487" s="2512"/>
      <c r="E2487" s="2515" t="s">
        <v>6296</v>
      </c>
      <c r="F2487" s="2511" t="s">
        <v>2391</v>
      </c>
      <c r="G2487" s="2516"/>
      <c r="H2487" s="2517"/>
      <c r="I2487" s="2517"/>
      <c r="J2487" s="2517"/>
      <c r="K2487" s="2517"/>
      <c r="L2487" s="2517">
        <f t="shared" ref="L2487:L2492" si="491">H2487*G2487</f>
        <v>0</v>
      </c>
      <c r="M2487" s="2517">
        <f t="shared" ref="M2487:M2492" si="492">I2487*G2487</f>
        <v>0</v>
      </c>
      <c r="N2487" s="2517">
        <f t="shared" si="486"/>
        <v>0</v>
      </c>
      <c r="O2487" s="2517">
        <f t="shared" ref="O2487:O2492" si="493">K2487*G2487</f>
        <v>0</v>
      </c>
      <c r="P2487" s="2518"/>
      <c r="Q2487" s="2519"/>
      <c r="R2487" s="2519"/>
      <c r="S2487" s="2519"/>
    </row>
    <row r="2488" spans="1:20" s="2358" customFormat="1" ht="14.4" outlineLevel="1">
      <c r="A2488" s="2435" t="str">
        <f>A2487</f>
        <v/>
      </c>
      <c r="B2488" s="2514"/>
      <c r="C2488" s="2511"/>
      <c r="D2488" s="2512"/>
      <c r="E2488" s="2520" t="s">
        <v>6207</v>
      </c>
      <c r="F2488" s="2521"/>
      <c r="G2488" s="2522"/>
      <c r="H2488" s="2517"/>
      <c r="I2488" s="2517"/>
      <c r="J2488" s="2517"/>
      <c r="K2488" s="2517"/>
      <c r="L2488" s="2517">
        <f t="shared" si="491"/>
        <v>0</v>
      </c>
      <c r="M2488" s="2517">
        <f t="shared" si="492"/>
        <v>0</v>
      </c>
      <c r="N2488" s="2517">
        <f t="shared" si="486"/>
        <v>0</v>
      </c>
      <c r="O2488" s="2517">
        <f t="shared" si="493"/>
        <v>0</v>
      </c>
      <c r="P2488" s="2518"/>
      <c r="Q2488" s="2519"/>
      <c r="R2488" s="2519"/>
      <c r="S2488" s="2519"/>
    </row>
    <row r="2489" spans="1:20" s="2358" customFormat="1" outlineLevel="1">
      <c r="A2489" s="2435" t="str">
        <f>IF(G2489&lt;&gt;0,1,"")</f>
        <v/>
      </c>
      <c r="B2489" s="2514" t="s">
        <v>653</v>
      </c>
      <c r="C2489" s="2521"/>
      <c r="D2489" s="2405">
        <v>0</v>
      </c>
      <c r="E2489" s="2447" t="s">
        <v>5351</v>
      </c>
      <c r="F2489" s="2405" t="s">
        <v>2254</v>
      </c>
      <c r="G2489" s="2523">
        <f>+G2492*296</f>
        <v>0</v>
      </c>
      <c r="H2489" s="2517">
        <v>1740</v>
      </c>
      <c r="I2489" s="2517"/>
      <c r="J2489" s="2517">
        <v>0</v>
      </c>
      <c r="K2489" s="2517">
        <v>0</v>
      </c>
      <c r="L2489" s="2517">
        <f t="shared" si="491"/>
        <v>0</v>
      </c>
      <c r="M2489" s="2517">
        <f t="shared" si="492"/>
        <v>0</v>
      </c>
      <c r="N2489" s="2517">
        <f t="shared" si="486"/>
        <v>0</v>
      </c>
      <c r="O2489" s="2517">
        <f t="shared" si="493"/>
        <v>0</v>
      </c>
      <c r="P2489" s="2518"/>
      <c r="Q2489" s="2519"/>
      <c r="R2489" s="2519"/>
      <c r="S2489" s="2519"/>
    </row>
    <row r="2490" spans="1:20" s="2358" customFormat="1" outlineLevel="1">
      <c r="A2490" s="2435" t="str">
        <f>IF(G2490&lt;&gt;0,1,"")</f>
        <v/>
      </c>
      <c r="B2490" s="2514" t="s">
        <v>752</v>
      </c>
      <c r="C2490" s="2511"/>
      <c r="D2490" s="2405">
        <v>0</v>
      </c>
      <c r="E2490" s="2447" t="s">
        <v>3022</v>
      </c>
      <c r="F2490" s="2405" t="s">
        <v>856</v>
      </c>
      <c r="G2490" s="2523">
        <f>G2492*0.475</f>
        <v>0</v>
      </c>
      <c r="H2490" s="2517">
        <v>512000</v>
      </c>
      <c r="I2490" s="2517"/>
      <c r="J2490" s="2517">
        <v>0</v>
      </c>
      <c r="K2490" s="2517">
        <v>0</v>
      </c>
      <c r="L2490" s="2517">
        <f t="shared" si="491"/>
        <v>0</v>
      </c>
      <c r="M2490" s="2517">
        <f t="shared" si="492"/>
        <v>0</v>
      </c>
      <c r="N2490" s="2517">
        <f t="shared" si="486"/>
        <v>0</v>
      </c>
      <c r="O2490" s="2517">
        <f t="shared" si="493"/>
        <v>0</v>
      </c>
      <c r="P2490" s="2518"/>
      <c r="Q2490" s="2519"/>
      <c r="R2490" s="2519"/>
      <c r="S2490" s="2519"/>
    </row>
    <row r="2491" spans="1:20" s="2358" customFormat="1" outlineLevel="1">
      <c r="A2491" s="2435" t="str">
        <f>IF(G2491&lt;&gt;0,1,"")</f>
        <v/>
      </c>
      <c r="B2491" s="2514" t="s">
        <v>216</v>
      </c>
      <c r="C2491" s="2511"/>
      <c r="D2491" s="2405">
        <v>0</v>
      </c>
      <c r="E2491" s="2447" t="s">
        <v>3018</v>
      </c>
      <c r="F2491" s="2405" t="s">
        <v>856</v>
      </c>
      <c r="G2491" s="2523">
        <f>G2492*0.881</f>
        <v>0</v>
      </c>
      <c r="H2491" s="2517">
        <v>335000</v>
      </c>
      <c r="I2491" s="2517"/>
      <c r="J2491" s="2517">
        <v>0</v>
      </c>
      <c r="K2491" s="2517">
        <v>0</v>
      </c>
      <c r="L2491" s="2517">
        <f t="shared" si="491"/>
        <v>0</v>
      </c>
      <c r="M2491" s="2517">
        <f t="shared" si="492"/>
        <v>0</v>
      </c>
      <c r="N2491" s="2517">
        <f t="shared" si="486"/>
        <v>0</v>
      </c>
      <c r="O2491" s="2517">
        <f t="shared" si="493"/>
        <v>0</v>
      </c>
      <c r="P2491" s="2518"/>
      <c r="Q2491" s="2519"/>
      <c r="R2491" s="2519"/>
      <c r="S2491" s="2519"/>
    </row>
    <row r="2492" spans="1:20" s="2358" customFormat="1" outlineLevel="1">
      <c r="A2492" s="2435" t="str">
        <f>IF(G2492&lt;&gt;0,1,"")</f>
        <v/>
      </c>
      <c r="B2492" s="2514" t="s">
        <v>654</v>
      </c>
      <c r="C2492" s="2521"/>
      <c r="D2492" s="2405" t="s">
        <v>5533</v>
      </c>
      <c r="E2492" s="2447" t="s">
        <v>5536</v>
      </c>
      <c r="F2492" s="2405" t="s">
        <v>856</v>
      </c>
      <c r="G2492" s="2523">
        <f>G2487*(0.4*3*1-2*3.14*0.15^2*0.4)</f>
        <v>0</v>
      </c>
      <c r="H2492" s="2517"/>
      <c r="I2492" s="2517"/>
      <c r="J2492" s="2517">
        <v>466397.5</v>
      </c>
      <c r="K2492" s="2517">
        <v>0</v>
      </c>
      <c r="L2492" s="2517">
        <f t="shared" si="491"/>
        <v>0</v>
      </c>
      <c r="M2492" s="2517">
        <f t="shared" si="492"/>
        <v>0</v>
      </c>
      <c r="N2492" s="2517">
        <f t="shared" si="486"/>
        <v>0</v>
      </c>
      <c r="O2492" s="2517">
        <f t="shared" si="493"/>
        <v>0</v>
      </c>
      <c r="P2492" s="2518"/>
      <c r="Q2492" s="2525">
        <f>1.025*361</f>
        <v>370.02499999999998</v>
      </c>
      <c r="R2492" s="2525">
        <f>1.025*0.45</f>
        <v>0.46124999999999999</v>
      </c>
      <c r="S2492" s="2525">
        <f>1.025*0.866</f>
        <v>0.88764999999999994</v>
      </c>
      <c r="T2492" s="2526"/>
    </row>
    <row r="2493" spans="1:20" s="2358" customFormat="1" outlineLevel="1">
      <c r="A2493" s="2435" t="str">
        <f>IF(G2493&lt;&gt;0,1,"")</f>
        <v/>
      </c>
      <c r="B2493" s="2514"/>
      <c r="C2493" s="2511">
        <f>IF(G2493&gt;0,C2487+1,C2487)</f>
        <v>0</v>
      </c>
      <c r="D2493" s="2512"/>
      <c r="E2493" s="2629" t="s">
        <v>6283</v>
      </c>
      <c r="F2493" s="2511" t="s">
        <v>2391</v>
      </c>
      <c r="G2493" s="2516">
        <f>G2391</f>
        <v>0</v>
      </c>
      <c r="H2493" s="2517"/>
      <c r="I2493" s="2517"/>
      <c r="J2493" s="2517"/>
      <c r="K2493" s="2517"/>
      <c r="L2493" s="2517">
        <f>H2493*G2493</f>
        <v>0</v>
      </c>
      <c r="M2493" s="2517">
        <f>I2493*G2493</f>
        <v>0</v>
      </c>
      <c r="N2493" s="2517">
        <f t="shared" si="486"/>
        <v>0</v>
      </c>
      <c r="O2493" s="2517">
        <f>K2493*G2493</f>
        <v>0</v>
      </c>
      <c r="P2493" s="2642"/>
      <c r="Q2493" s="2519"/>
      <c r="R2493" s="2519"/>
      <c r="S2493" s="2519"/>
    </row>
    <row r="2494" spans="1:20" s="2358" customFormat="1" ht="14.4" outlineLevel="1">
      <c r="A2494" s="2435" t="str">
        <f>A2493</f>
        <v/>
      </c>
      <c r="B2494" s="2514"/>
      <c r="C2494" s="2511"/>
      <c r="D2494" s="2512"/>
      <c r="E2494" s="2520" t="s">
        <v>6207</v>
      </c>
      <c r="F2494" s="2521"/>
      <c r="G2494" s="2522"/>
      <c r="H2494" s="2517"/>
      <c r="I2494" s="2517"/>
      <c r="J2494" s="2517"/>
      <c r="K2494" s="2517"/>
      <c r="L2494" s="2517">
        <f>H2494*G2494</f>
        <v>0</v>
      </c>
      <c r="M2494" s="2517">
        <f>I2494*G2494</f>
        <v>0</v>
      </c>
      <c r="N2494" s="2517">
        <f t="shared" si="486"/>
        <v>0</v>
      </c>
      <c r="O2494" s="2517">
        <f>K2494*G2494</f>
        <v>0</v>
      </c>
      <c r="P2494" s="2642"/>
      <c r="Q2494" s="2519"/>
      <c r="R2494" s="2519"/>
      <c r="S2494" s="2519"/>
    </row>
    <row r="2495" spans="1:20" s="2358" customFormat="1" outlineLevel="1">
      <c r="A2495" s="2435" t="str">
        <f>IF(G2495&lt;&gt;0,1,"")</f>
        <v/>
      </c>
      <c r="B2495" s="2514" t="s">
        <v>5705</v>
      </c>
      <c r="C2495" s="2521"/>
      <c r="D2495" s="2405" t="s">
        <v>5695</v>
      </c>
      <c r="E2495" s="2447" t="s">
        <v>5706</v>
      </c>
      <c r="F2495" s="2405" t="s">
        <v>2563</v>
      </c>
      <c r="G2495" s="2523">
        <f>G2493</f>
        <v>0</v>
      </c>
      <c r="H2495" s="2517">
        <v>2112489</v>
      </c>
      <c r="I2495" s="2517"/>
      <c r="J2495" s="2517">
        <v>690091</v>
      </c>
      <c r="K2495" s="2517">
        <v>97369</v>
      </c>
      <c r="L2495" s="2517">
        <f>H2495*G2495</f>
        <v>0</v>
      </c>
      <c r="M2495" s="2517">
        <f>I2495*G2495</f>
        <v>0</v>
      </c>
      <c r="N2495" s="2517">
        <f t="shared" si="486"/>
        <v>0</v>
      </c>
      <c r="O2495" s="2517">
        <f>K2495*G2495</f>
        <v>0</v>
      </c>
      <c r="P2495" s="2642"/>
      <c r="Q2495" s="2519"/>
      <c r="R2495" s="2519"/>
      <c r="S2495" s="2519"/>
    </row>
    <row r="2496" spans="1:20" s="2358" customFormat="1" outlineLevel="1">
      <c r="A2496" s="2435" t="str">
        <f>IF(G2496&lt;&gt;0,1,"")</f>
        <v/>
      </c>
      <c r="B2496" s="2514" t="s">
        <v>880</v>
      </c>
      <c r="C2496" s="2511"/>
      <c r="D2496" s="2405">
        <v>0</v>
      </c>
      <c r="E2496" s="2447" t="s">
        <v>5861</v>
      </c>
      <c r="F2496" s="2405" t="s">
        <v>2563</v>
      </c>
      <c r="G2496" s="2523">
        <f>G2493*1</f>
        <v>0</v>
      </c>
      <c r="H2496" s="2517">
        <v>284000</v>
      </c>
      <c r="I2496" s="2517"/>
      <c r="J2496" s="2517">
        <v>5404</v>
      </c>
      <c r="K2496" s="2517">
        <v>0</v>
      </c>
      <c r="L2496" s="2517">
        <f t="shared" ref="L2496:L2516" si="494">H2496*G2496</f>
        <v>0</v>
      </c>
      <c r="M2496" s="2517">
        <f t="shared" ref="M2496:M2516" si="495">I2496*G2496</f>
        <v>0</v>
      </c>
      <c r="N2496" s="2517">
        <f t="shared" si="486"/>
        <v>0</v>
      </c>
      <c r="O2496" s="2517">
        <f t="shared" ref="O2496:O2516" si="496">K2496*G2496</f>
        <v>0</v>
      </c>
      <c r="P2496" s="2642"/>
      <c r="Q2496" s="2519"/>
      <c r="R2496" s="2519"/>
      <c r="S2496" s="2519"/>
    </row>
    <row r="2497" spans="1:19" s="2358" customFormat="1" outlineLevel="1">
      <c r="A2497" s="2435" t="str">
        <f>IF(G2497&lt;&gt;0,1,"")</f>
        <v/>
      </c>
      <c r="B2497" s="2514" t="s">
        <v>289</v>
      </c>
      <c r="C2497" s="2521"/>
      <c r="D2497" s="2405">
        <v>0</v>
      </c>
      <c r="E2497" s="2447" t="s">
        <v>5774</v>
      </c>
      <c r="F2497" s="2405" t="s">
        <v>2563</v>
      </c>
      <c r="G2497" s="2523">
        <f>G2493</f>
        <v>0</v>
      </c>
      <c r="H2497" s="2517">
        <v>300000</v>
      </c>
      <c r="I2497" s="2517"/>
      <c r="J2497" s="2517">
        <v>0</v>
      </c>
      <c r="K2497" s="2517">
        <v>0</v>
      </c>
      <c r="L2497" s="2517">
        <f t="shared" si="494"/>
        <v>0</v>
      </c>
      <c r="M2497" s="2517">
        <f t="shared" si="495"/>
        <v>0</v>
      </c>
      <c r="N2497" s="2517">
        <f t="shared" si="486"/>
        <v>0</v>
      </c>
      <c r="O2497" s="2517">
        <f t="shared" si="496"/>
        <v>0</v>
      </c>
      <c r="P2497" s="2642"/>
      <c r="Q2497" s="2519"/>
      <c r="R2497" s="2519"/>
      <c r="S2497" s="2519"/>
    </row>
    <row r="2498" spans="1:19" s="2358" customFormat="1" outlineLevel="1">
      <c r="A2498" s="2435" t="str">
        <f>IF(G2498&lt;&gt;0,1,"")</f>
        <v/>
      </c>
      <c r="B2498" s="2514"/>
      <c r="C2498" s="2511">
        <f>IF(G2498&gt;0,C2493+1,C2493)</f>
        <v>0</v>
      </c>
      <c r="D2498" s="2512"/>
      <c r="E2498" s="2515" t="s">
        <v>3742</v>
      </c>
      <c r="F2498" s="2511" t="s">
        <v>2538</v>
      </c>
      <c r="G2498" s="2523"/>
      <c r="H2498" s="2517"/>
      <c r="I2498" s="2517"/>
      <c r="J2498" s="2517"/>
      <c r="K2498" s="2517"/>
      <c r="L2498" s="2517">
        <f t="shared" si="494"/>
        <v>0</v>
      </c>
      <c r="M2498" s="2517">
        <f t="shared" si="495"/>
        <v>0</v>
      </c>
      <c r="N2498" s="2517">
        <f t="shared" si="486"/>
        <v>0</v>
      </c>
      <c r="O2498" s="2517">
        <f t="shared" si="496"/>
        <v>0</v>
      </c>
      <c r="P2498" s="2518"/>
      <c r="Q2498" s="2519"/>
      <c r="R2498" s="2519"/>
      <c r="S2498" s="2519"/>
    </row>
    <row r="2499" spans="1:19" s="2358" customFormat="1" ht="14.4" outlineLevel="1">
      <c r="A2499" s="2435" t="str">
        <f>A2498</f>
        <v/>
      </c>
      <c r="B2499" s="2514"/>
      <c r="C2499" s="2511"/>
      <c r="D2499" s="2512"/>
      <c r="E2499" s="2520" t="s">
        <v>6207</v>
      </c>
      <c r="F2499" s="2521"/>
      <c r="G2499" s="2523"/>
      <c r="H2499" s="2517"/>
      <c r="I2499" s="2517"/>
      <c r="J2499" s="2517"/>
      <c r="K2499" s="2517"/>
      <c r="L2499" s="2517">
        <f t="shared" si="494"/>
        <v>0</v>
      </c>
      <c r="M2499" s="2517">
        <f t="shared" si="495"/>
        <v>0</v>
      </c>
      <c r="N2499" s="2517">
        <f t="shared" si="486"/>
        <v>0</v>
      </c>
      <c r="O2499" s="2517">
        <f t="shared" si="496"/>
        <v>0</v>
      </c>
      <c r="P2499" s="2518"/>
      <c r="Q2499" s="2519"/>
      <c r="R2499" s="2519"/>
      <c r="S2499" s="2519"/>
    </row>
    <row r="2500" spans="1:19" s="2358" customFormat="1" outlineLevel="1">
      <c r="A2500" s="2435" t="str">
        <f t="shared" ref="A2500:A2508" si="497">IF(G2500&lt;&gt;0,1,"")</f>
        <v/>
      </c>
      <c r="B2500" s="2807" t="s">
        <v>752</v>
      </c>
      <c r="C2500" s="2521"/>
      <c r="D2500" s="2405">
        <v>0</v>
      </c>
      <c r="E2500" s="2612" t="s">
        <v>6449</v>
      </c>
      <c r="F2500" s="2405" t="s">
        <v>856</v>
      </c>
      <c r="G2500" s="2523">
        <f>G2498*0.315</f>
        <v>0</v>
      </c>
      <c r="H2500" s="2517">
        <v>512000</v>
      </c>
      <c r="I2500" s="2517"/>
      <c r="J2500" s="2517">
        <v>0</v>
      </c>
      <c r="K2500" s="2517">
        <v>0</v>
      </c>
      <c r="L2500" s="2517">
        <f t="shared" si="494"/>
        <v>0</v>
      </c>
      <c r="M2500" s="2517">
        <f t="shared" si="495"/>
        <v>0</v>
      </c>
      <c r="N2500" s="2517">
        <f t="shared" si="486"/>
        <v>0</v>
      </c>
      <c r="O2500" s="2517">
        <f t="shared" si="496"/>
        <v>0</v>
      </c>
      <c r="P2500" s="2518"/>
      <c r="Q2500" s="2519"/>
      <c r="R2500" s="2519"/>
      <c r="S2500" s="2519"/>
    </row>
    <row r="2501" spans="1:19" s="2358" customFormat="1" outlineLevel="1">
      <c r="A2501" s="2435" t="str">
        <f t="shared" si="497"/>
        <v/>
      </c>
      <c r="B2501" s="2807" t="s">
        <v>520</v>
      </c>
      <c r="C2501" s="2521"/>
      <c r="D2501" s="2405">
        <v>0</v>
      </c>
      <c r="E2501" s="2612" t="s">
        <v>6450</v>
      </c>
      <c r="F2501" s="2405" t="s">
        <v>856</v>
      </c>
      <c r="G2501" s="2523">
        <f>0.092*G2498</f>
        <v>0</v>
      </c>
      <c r="H2501" s="2517">
        <v>295000</v>
      </c>
      <c r="I2501" s="2517"/>
      <c r="J2501" s="2517">
        <v>0</v>
      </c>
      <c r="K2501" s="2517">
        <v>0</v>
      </c>
      <c r="L2501" s="2517">
        <f t="shared" si="494"/>
        <v>0</v>
      </c>
      <c r="M2501" s="2517">
        <f t="shared" si="495"/>
        <v>0</v>
      </c>
      <c r="N2501" s="2517">
        <f t="shared" si="486"/>
        <v>0</v>
      </c>
      <c r="O2501" s="2517">
        <f t="shared" si="496"/>
        <v>0</v>
      </c>
      <c r="P2501" s="2518"/>
      <c r="Q2501" s="2519"/>
      <c r="R2501" s="2519"/>
      <c r="S2501" s="2519"/>
    </row>
    <row r="2502" spans="1:19" s="2358" customFormat="1" outlineLevel="1">
      <c r="A2502" s="2435" t="str">
        <f t="shared" si="497"/>
        <v/>
      </c>
      <c r="B2502" s="2807" t="s">
        <v>1679</v>
      </c>
      <c r="C2502" s="2521"/>
      <c r="D2502" s="2405">
        <v>0</v>
      </c>
      <c r="E2502" s="2612" t="s">
        <v>6451</v>
      </c>
      <c r="F2502" s="2405" t="s">
        <v>3024</v>
      </c>
      <c r="G2502" s="2523">
        <f>3.3*G2498</f>
        <v>0</v>
      </c>
      <c r="H2502" s="2517">
        <v>7000</v>
      </c>
      <c r="I2502" s="2517"/>
      <c r="J2502" s="2517">
        <v>0</v>
      </c>
      <c r="K2502" s="2517">
        <v>0</v>
      </c>
      <c r="L2502" s="2517">
        <f t="shared" si="494"/>
        <v>0</v>
      </c>
      <c r="M2502" s="2517">
        <f t="shared" si="495"/>
        <v>0</v>
      </c>
      <c r="N2502" s="2517">
        <f t="shared" si="486"/>
        <v>0</v>
      </c>
      <c r="O2502" s="2517">
        <f t="shared" si="496"/>
        <v>0</v>
      </c>
      <c r="P2502" s="2518"/>
      <c r="Q2502" s="2519"/>
      <c r="R2502" s="2519"/>
      <c r="S2502" s="2519"/>
    </row>
    <row r="2503" spans="1:19" s="2358" customFormat="1" outlineLevel="1">
      <c r="A2503" s="2435" t="str">
        <f t="shared" si="497"/>
        <v/>
      </c>
      <c r="B2503" s="2807" t="s">
        <v>1680</v>
      </c>
      <c r="C2503" s="2521"/>
      <c r="D2503" s="2405" t="s">
        <v>5352</v>
      </c>
      <c r="E2503" s="2612" t="s">
        <v>6452</v>
      </c>
      <c r="F2503" s="2405" t="s">
        <v>1964</v>
      </c>
      <c r="G2503" s="2523">
        <f>0.4*G2498</f>
        <v>0</v>
      </c>
      <c r="H2503" s="2517">
        <v>10000</v>
      </c>
      <c r="I2503" s="2517"/>
      <c r="J2503" s="2517">
        <v>1187.155</v>
      </c>
      <c r="K2503" s="2517">
        <v>0</v>
      </c>
      <c r="L2503" s="2517">
        <f t="shared" si="494"/>
        <v>0</v>
      </c>
      <c r="M2503" s="2517">
        <f t="shared" si="495"/>
        <v>0</v>
      </c>
      <c r="N2503" s="2517">
        <f t="shared" si="486"/>
        <v>0</v>
      </c>
      <c r="O2503" s="2517">
        <f t="shared" si="496"/>
        <v>0</v>
      </c>
      <c r="P2503" s="2518"/>
      <c r="Q2503" s="2519"/>
      <c r="R2503" s="2519"/>
      <c r="S2503" s="2519"/>
    </row>
    <row r="2504" spans="1:19" s="2358" customFormat="1" outlineLevel="1">
      <c r="A2504" s="2435" t="str">
        <f t="shared" si="497"/>
        <v/>
      </c>
      <c r="B2504" s="2807" t="s">
        <v>1521</v>
      </c>
      <c r="C2504" s="2511"/>
      <c r="D2504" s="2405">
        <v>0</v>
      </c>
      <c r="E2504" s="2612" t="s">
        <v>3548</v>
      </c>
      <c r="F2504" s="2405" t="s">
        <v>1827</v>
      </c>
      <c r="G2504" s="2523">
        <f>1*G2498</f>
        <v>0</v>
      </c>
      <c r="H2504" s="2517">
        <v>165250</v>
      </c>
      <c r="I2504" s="2517"/>
      <c r="J2504" s="2517">
        <v>0</v>
      </c>
      <c r="K2504" s="2517">
        <v>0</v>
      </c>
      <c r="L2504" s="2517">
        <f t="shared" si="494"/>
        <v>0</v>
      </c>
      <c r="M2504" s="2517">
        <f t="shared" si="495"/>
        <v>0</v>
      </c>
      <c r="N2504" s="2517">
        <f t="shared" si="486"/>
        <v>0</v>
      </c>
      <c r="O2504" s="2517">
        <f t="shared" si="496"/>
        <v>0</v>
      </c>
      <c r="P2504" s="2518"/>
      <c r="Q2504" s="2519"/>
      <c r="R2504" s="2519"/>
      <c r="S2504" s="2519"/>
    </row>
    <row r="2505" spans="1:19" s="2358" customFormat="1" outlineLevel="1">
      <c r="A2505" s="2435" t="str">
        <f t="shared" si="497"/>
        <v/>
      </c>
      <c r="B2505" s="2807" t="s">
        <v>1682</v>
      </c>
      <c r="C2505" s="2521"/>
      <c r="D2505" s="2405" t="s">
        <v>5395</v>
      </c>
      <c r="E2505" s="2612" t="s">
        <v>6453</v>
      </c>
      <c r="F2505" s="2405" t="s">
        <v>856</v>
      </c>
      <c r="G2505" s="2523">
        <f>G2500+G2501</f>
        <v>0</v>
      </c>
      <c r="H2505" s="2517">
        <v>0</v>
      </c>
      <c r="I2505" s="2517"/>
      <c r="J2505" s="2517">
        <v>315277.5</v>
      </c>
      <c r="K2505" s="2517">
        <v>0</v>
      </c>
      <c r="L2505" s="2517">
        <f t="shared" si="494"/>
        <v>0</v>
      </c>
      <c r="M2505" s="2517">
        <f t="shared" si="495"/>
        <v>0</v>
      </c>
      <c r="N2505" s="2517">
        <f t="shared" si="486"/>
        <v>0</v>
      </c>
      <c r="O2505" s="2517">
        <f t="shared" si="496"/>
        <v>0</v>
      </c>
      <c r="P2505" s="2518"/>
      <c r="Q2505" s="2519"/>
      <c r="R2505" s="2519"/>
      <c r="S2505" s="2519"/>
    </row>
    <row r="2506" spans="1:19" s="2358" customFormat="1" outlineLevel="1">
      <c r="A2506" s="2435" t="str">
        <f t="shared" si="497"/>
        <v/>
      </c>
      <c r="B2506" s="2807" t="s">
        <v>144</v>
      </c>
      <c r="C2506" s="2521"/>
      <c r="D2506" s="2405" t="s">
        <v>5389</v>
      </c>
      <c r="E2506" s="2612" t="s">
        <v>6454</v>
      </c>
      <c r="F2506" s="2405" t="s">
        <v>856</v>
      </c>
      <c r="G2506" s="2523">
        <f>G2498*0.48</f>
        <v>0</v>
      </c>
      <c r="H2506" s="2517">
        <v>0</v>
      </c>
      <c r="I2506" s="2517"/>
      <c r="J2506" s="2517">
        <v>640731.36</v>
      </c>
      <c r="K2506" s="2517">
        <v>0</v>
      </c>
      <c r="L2506" s="2517">
        <f t="shared" si="494"/>
        <v>0</v>
      </c>
      <c r="M2506" s="2517">
        <f t="shared" si="495"/>
        <v>0</v>
      </c>
      <c r="N2506" s="2517">
        <f t="shared" ref="N2506:N2569" si="498">J2506*G2506</f>
        <v>0</v>
      </c>
      <c r="O2506" s="2517">
        <f t="shared" si="496"/>
        <v>0</v>
      </c>
      <c r="P2506" s="2518"/>
      <c r="Q2506" s="2519"/>
      <c r="R2506" s="2519"/>
      <c r="S2506" s="2519"/>
    </row>
    <row r="2507" spans="1:19" s="2358" customFormat="1" outlineLevel="1">
      <c r="A2507" s="2435" t="str">
        <f t="shared" si="497"/>
        <v/>
      </c>
      <c r="B2507" s="2807" t="s">
        <v>529</v>
      </c>
      <c r="C2507" s="2521"/>
      <c r="D2507" s="2405" t="s">
        <v>5394</v>
      </c>
      <c r="E2507" s="2612" t="s">
        <v>6455</v>
      </c>
      <c r="F2507" s="2405" t="s">
        <v>856</v>
      </c>
      <c r="G2507" s="2523">
        <f>G2498*0.073</f>
        <v>0</v>
      </c>
      <c r="H2507" s="2517">
        <v>0</v>
      </c>
      <c r="I2507" s="2517"/>
      <c r="J2507" s="2517">
        <v>21935.133999999998</v>
      </c>
      <c r="K2507" s="2517">
        <v>0</v>
      </c>
      <c r="L2507" s="2517">
        <f t="shared" si="494"/>
        <v>0</v>
      </c>
      <c r="M2507" s="2517">
        <f t="shared" si="495"/>
        <v>0</v>
      </c>
      <c r="N2507" s="2517">
        <f t="shared" si="498"/>
        <v>0</v>
      </c>
      <c r="O2507" s="2517">
        <f t="shared" si="496"/>
        <v>0</v>
      </c>
      <c r="P2507" s="2518"/>
      <c r="Q2507" s="2519"/>
      <c r="R2507" s="2675">
        <v>0.47499999999999998</v>
      </c>
      <c r="S2507" s="2519"/>
    </row>
    <row r="2508" spans="1:19" s="2358" customFormat="1" outlineLevel="1">
      <c r="A2508" s="2435" t="str">
        <f t="shared" si="497"/>
        <v/>
      </c>
      <c r="B2508" s="2514"/>
      <c r="C2508" s="2511">
        <f>IF(G2508&gt;0,C2498+1,C2498)</f>
        <v>0</v>
      </c>
      <c r="D2508" s="2512"/>
      <c r="E2508" s="2515" t="s">
        <v>3743</v>
      </c>
      <c r="F2508" s="2511" t="s">
        <v>2391</v>
      </c>
      <c r="G2508" s="2516"/>
      <c r="H2508" s="2517"/>
      <c r="I2508" s="2517"/>
      <c r="J2508" s="2517"/>
      <c r="K2508" s="2517"/>
      <c r="L2508" s="2517">
        <f t="shared" si="494"/>
        <v>0</v>
      </c>
      <c r="M2508" s="2517">
        <f t="shared" si="495"/>
        <v>0</v>
      </c>
      <c r="N2508" s="2517">
        <f t="shared" si="498"/>
        <v>0</v>
      </c>
      <c r="O2508" s="2517">
        <f t="shared" si="496"/>
        <v>0</v>
      </c>
      <c r="P2508" s="2518"/>
      <c r="Q2508" s="2519"/>
      <c r="R2508" s="2675">
        <v>0.88100000000000001</v>
      </c>
      <c r="S2508" s="2519"/>
    </row>
    <row r="2509" spans="1:19" s="2358" customFormat="1" ht="14.4" outlineLevel="1">
      <c r="A2509" s="2435" t="str">
        <f>A2508</f>
        <v/>
      </c>
      <c r="B2509" s="2514"/>
      <c r="C2509" s="2511"/>
      <c r="D2509" s="2512"/>
      <c r="E2509" s="2520" t="s">
        <v>6207</v>
      </c>
      <c r="F2509" s="2521"/>
      <c r="G2509" s="2674"/>
      <c r="H2509" s="2517"/>
      <c r="I2509" s="2517"/>
      <c r="J2509" s="2517"/>
      <c r="K2509" s="2517"/>
      <c r="L2509" s="2517">
        <f t="shared" si="494"/>
        <v>0</v>
      </c>
      <c r="M2509" s="2517">
        <f t="shared" si="495"/>
        <v>0</v>
      </c>
      <c r="N2509" s="2517">
        <f t="shared" si="498"/>
        <v>0</v>
      </c>
      <c r="O2509" s="2517">
        <f t="shared" si="496"/>
        <v>0</v>
      </c>
      <c r="P2509" s="2518"/>
      <c r="Q2509" s="2519"/>
      <c r="R2509" s="2519"/>
      <c r="S2509" s="2519"/>
    </row>
    <row r="2510" spans="1:19" s="2358" customFormat="1" outlineLevel="1">
      <c r="A2510" s="2435" t="str">
        <f t="shared" ref="A2510:A2517" si="499">IF(G2510&lt;&gt;0,1,"")</f>
        <v/>
      </c>
      <c r="B2510" s="2514" t="s">
        <v>623</v>
      </c>
      <c r="C2510" s="2521"/>
      <c r="D2510" s="2405" t="s">
        <v>5367</v>
      </c>
      <c r="E2510" s="2447" t="s">
        <v>5368</v>
      </c>
      <c r="F2510" s="2405" t="s">
        <v>2538</v>
      </c>
      <c r="G2510" s="2522">
        <f>G2508*5</f>
        <v>0</v>
      </c>
      <c r="H2510" s="2517">
        <v>278000</v>
      </c>
      <c r="I2510" s="2517"/>
      <c r="J2510" s="2517">
        <v>127101.65849999999</v>
      </c>
      <c r="K2510" s="2517">
        <v>0</v>
      </c>
      <c r="L2510" s="2517">
        <f t="shared" si="494"/>
        <v>0</v>
      </c>
      <c r="M2510" s="2517">
        <f t="shared" si="495"/>
        <v>0</v>
      </c>
      <c r="N2510" s="2517">
        <f t="shared" si="498"/>
        <v>0</v>
      </c>
      <c r="O2510" s="2517">
        <f t="shared" si="496"/>
        <v>0</v>
      </c>
      <c r="P2510" s="2518"/>
      <c r="Q2510" s="2519"/>
      <c r="R2510" s="2519"/>
      <c r="S2510" s="2519"/>
    </row>
    <row r="2511" spans="1:19" s="2358" customFormat="1" outlineLevel="1">
      <c r="A2511" s="2435" t="str">
        <f t="shared" si="499"/>
        <v/>
      </c>
      <c r="B2511" s="2807" t="s">
        <v>473</v>
      </c>
      <c r="C2511" s="2511"/>
      <c r="D2511" s="2405">
        <v>0</v>
      </c>
      <c r="E2511" s="2447" t="s">
        <v>3570</v>
      </c>
      <c r="F2511" s="2405" t="s">
        <v>2563</v>
      </c>
      <c r="G2511" s="2522">
        <f>G2508</f>
        <v>0</v>
      </c>
      <c r="H2511" s="2517">
        <v>138000</v>
      </c>
      <c r="I2511" s="2517"/>
      <c r="J2511" s="2517">
        <v>0</v>
      </c>
      <c r="K2511" s="2517">
        <v>0</v>
      </c>
      <c r="L2511" s="2517">
        <f t="shared" si="494"/>
        <v>0</v>
      </c>
      <c r="M2511" s="2517">
        <f t="shared" si="495"/>
        <v>0</v>
      </c>
      <c r="N2511" s="2517">
        <f t="shared" si="498"/>
        <v>0</v>
      </c>
      <c r="O2511" s="2517">
        <f t="shared" si="496"/>
        <v>0</v>
      </c>
      <c r="P2511" s="2518"/>
      <c r="Q2511" s="2519"/>
      <c r="R2511" s="2519"/>
      <c r="S2511" s="2519"/>
    </row>
    <row r="2512" spans="1:19" s="2358" customFormat="1" outlineLevel="1">
      <c r="A2512" s="2435" t="str">
        <f t="shared" si="499"/>
        <v/>
      </c>
      <c r="B2512" s="2514" t="s">
        <v>120</v>
      </c>
      <c r="C2512" s="2521"/>
      <c r="D2512" s="2405">
        <v>0</v>
      </c>
      <c r="E2512" s="2447" t="s">
        <v>2998</v>
      </c>
      <c r="F2512" s="2405" t="s">
        <v>2445</v>
      </c>
      <c r="G2512" s="2522">
        <f>G2508*2</f>
        <v>0</v>
      </c>
      <c r="H2512" s="2517">
        <v>40000</v>
      </c>
      <c r="I2512" s="2517"/>
      <c r="J2512" s="2517">
        <v>0</v>
      </c>
      <c r="K2512" s="2517">
        <v>0</v>
      </c>
      <c r="L2512" s="2517">
        <f t="shared" si="494"/>
        <v>0</v>
      </c>
      <c r="M2512" s="2517">
        <f t="shared" si="495"/>
        <v>0</v>
      </c>
      <c r="N2512" s="2517">
        <f t="shared" si="498"/>
        <v>0</v>
      </c>
      <c r="O2512" s="2517">
        <f t="shared" si="496"/>
        <v>0</v>
      </c>
      <c r="P2512" s="2518"/>
      <c r="Q2512" s="2519"/>
      <c r="R2512" s="2519"/>
      <c r="S2512" s="2519"/>
    </row>
    <row r="2513" spans="1:19" s="2358" customFormat="1" outlineLevel="1">
      <c r="A2513" s="2435" t="str">
        <f t="shared" si="499"/>
        <v/>
      </c>
      <c r="B2513" s="2505" t="s">
        <v>1412</v>
      </c>
      <c r="C2513" s="2521"/>
      <c r="D2513" s="2405">
        <v>0</v>
      </c>
      <c r="E2513" s="2447" t="s">
        <v>3467</v>
      </c>
      <c r="F2513" s="2405" t="s">
        <v>2445</v>
      </c>
      <c r="G2513" s="2522">
        <f>G2508</f>
        <v>0</v>
      </c>
      <c r="H2513" s="2517">
        <v>150000</v>
      </c>
      <c r="I2513" s="2517"/>
      <c r="J2513" s="2517">
        <v>0</v>
      </c>
      <c r="K2513" s="2517">
        <v>0</v>
      </c>
      <c r="L2513" s="2517">
        <f t="shared" si="494"/>
        <v>0</v>
      </c>
      <c r="M2513" s="2517">
        <f t="shared" si="495"/>
        <v>0</v>
      </c>
      <c r="N2513" s="2517">
        <f t="shared" si="498"/>
        <v>0</v>
      </c>
      <c r="O2513" s="2517">
        <f t="shared" si="496"/>
        <v>0</v>
      </c>
      <c r="P2513" s="2518"/>
      <c r="Q2513" s="2519"/>
      <c r="R2513" s="2519"/>
      <c r="S2513" s="2519"/>
    </row>
    <row r="2514" spans="1:19" s="2358" customFormat="1" outlineLevel="1">
      <c r="A2514" s="2435" t="str">
        <f t="shared" si="499"/>
        <v/>
      </c>
      <c r="B2514" s="2505" t="s">
        <v>2144</v>
      </c>
      <c r="C2514" s="2521"/>
      <c r="D2514" s="2405">
        <v>0</v>
      </c>
      <c r="E2514" s="2447" t="s">
        <v>3473</v>
      </c>
      <c r="F2514" s="2405" t="s">
        <v>2445</v>
      </c>
      <c r="G2514" s="2522">
        <f>G2508</f>
        <v>0</v>
      </c>
      <c r="H2514" s="2517">
        <v>2739748</v>
      </c>
      <c r="I2514" s="2517"/>
      <c r="J2514" s="2517">
        <v>51183</v>
      </c>
      <c r="K2514" s="2517">
        <v>89000</v>
      </c>
      <c r="L2514" s="2517">
        <f t="shared" si="494"/>
        <v>0</v>
      </c>
      <c r="M2514" s="2517">
        <f t="shared" si="495"/>
        <v>0</v>
      </c>
      <c r="N2514" s="2517">
        <f t="shared" si="498"/>
        <v>0</v>
      </c>
      <c r="O2514" s="2517">
        <f t="shared" si="496"/>
        <v>0</v>
      </c>
      <c r="P2514" s="2518"/>
      <c r="Q2514" s="2519"/>
      <c r="R2514" s="2519"/>
      <c r="S2514" s="2519"/>
    </row>
    <row r="2515" spans="1:19" s="2358" customFormat="1" outlineLevel="1">
      <c r="A2515" s="2435" t="str">
        <f t="shared" si="499"/>
        <v/>
      </c>
      <c r="B2515" s="2514" t="s">
        <v>1413</v>
      </c>
      <c r="C2515" s="2511"/>
      <c r="D2515" s="2405" t="s">
        <v>5403</v>
      </c>
      <c r="E2515" s="2447" t="s">
        <v>5404</v>
      </c>
      <c r="F2515" s="2405" t="s">
        <v>2445</v>
      </c>
      <c r="G2515" s="2522">
        <f>G2513+G2514</f>
        <v>0</v>
      </c>
      <c r="H2515" s="2517">
        <v>0</v>
      </c>
      <c r="I2515" s="2517"/>
      <c r="J2515" s="2517">
        <v>28219.62</v>
      </c>
      <c r="K2515" s="2517">
        <v>0</v>
      </c>
      <c r="L2515" s="2517">
        <f t="shared" si="494"/>
        <v>0</v>
      </c>
      <c r="M2515" s="2517">
        <f t="shared" si="495"/>
        <v>0</v>
      </c>
      <c r="N2515" s="2517">
        <f t="shared" si="498"/>
        <v>0</v>
      </c>
      <c r="O2515" s="2517">
        <f t="shared" si="496"/>
        <v>0</v>
      </c>
      <c r="P2515" s="2518"/>
      <c r="Q2515" s="2519"/>
      <c r="R2515" s="2519"/>
      <c r="S2515" s="2519"/>
    </row>
    <row r="2516" spans="1:19" s="2358" customFormat="1" outlineLevel="1">
      <c r="A2516" s="2435" t="str">
        <f t="shared" si="499"/>
        <v/>
      </c>
      <c r="B2516" s="2514" t="s">
        <v>289</v>
      </c>
      <c r="C2516" s="2521"/>
      <c r="D2516" s="2405">
        <v>0</v>
      </c>
      <c r="E2516" s="2447" t="s">
        <v>5774</v>
      </c>
      <c r="F2516" s="2405" t="s">
        <v>2563</v>
      </c>
      <c r="G2516" s="2522">
        <f>G2508</f>
        <v>0</v>
      </c>
      <c r="H2516" s="2517">
        <v>300000</v>
      </c>
      <c r="I2516" s="2517"/>
      <c r="J2516" s="2517">
        <v>0</v>
      </c>
      <c r="K2516" s="2517">
        <v>0</v>
      </c>
      <c r="L2516" s="2517">
        <f t="shared" si="494"/>
        <v>0</v>
      </c>
      <c r="M2516" s="2517">
        <f t="shared" si="495"/>
        <v>0</v>
      </c>
      <c r="N2516" s="2517">
        <f t="shared" si="498"/>
        <v>0</v>
      </c>
      <c r="O2516" s="2517">
        <f t="shared" si="496"/>
        <v>0</v>
      </c>
      <c r="P2516" s="2518"/>
      <c r="Q2516" s="2519"/>
      <c r="R2516" s="2519"/>
      <c r="S2516" s="2519"/>
    </row>
    <row r="2517" spans="1:19" s="2358" customFormat="1" outlineLevel="1">
      <c r="A2517" s="2435" t="str">
        <f t="shared" si="499"/>
        <v/>
      </c>
      <c r="B2517" s="2514"/>
      <c r="C2517" s="2511">
        <f>IF(G2517&gt;0,C2508+1,C2508)</f>
        <v>0</v>
      </c>
      <c r="D2517" s="2512"/>
      <c r="E2517" s="2513" t="s">
        <v>3758</v>
      </c>
      <c r="F2517" s="2511" t="s">
        <v>2391</v>
      </c>
      <c r="G2517" s="2516"/>
      <c r="H2517" s="2517"/>
      <c r="I2517" s="2517"/>
      <c r="J2517" s="2517"/>
      <c r="K2517" s="2517"/>
      <c r="L2517" s="2517"/>
      <c r="M2517" s="2517"/>
      <c r="N2517" s="2517">
        <f t="shared" si="498"/>
        <v>0</v>
      </c>
      <c r="O2517" s="2517"/>
      <c r="P2517" s="2518"/>
      <c r="Q2517" s="2519"/>
      <c r="R2517" s="2519"/>
      <c r="S2517" s="2519"/>
    </row>
    <row r="2518" spans="1:19" s="2358" customFormat="1" ht="14.4" outlineLevel="1">
      <c r="A2518" s="2435" t="str">
        <f>A2517</f>
        <v/>
      </c>
      <c r="B2518" s="2514"/>
      <c r="C2518" s="2511"/>
      <c r="D2518" s="2512"/>
      <c r="E2518" s="2527" t="s">
        <v>6207</v>
      </c>
      <c r="F2518" s="2511"/>
      <c r="G2518" s="2516"/>
      <c r="H2518" s="2517"/>
      <c r="I2518" s="2517"/>
      <c r="J2518" s="2517"/>
      <c r="K2518" s="2517"/>
      <c r="L2518" s="2517"/>
      <c r="M2518" s="2517"/>
      <c r="N2518" s="2517">
        <f t="shared" si="498"/>
        <v>0</v>
      </c>
      <c r="O2518" s="2517"/>
      <c r="P2518" s="2518"/>
      <c r="Q2518" s="2519"/>
      <c r="R2518" s="2519"/>
      <c r="S2518" s="2519"/>
    </row>
    <row r="2519" spans="1:19" s="2358" customFormat="1" outlineLevel="1">
      <c r="A2519" s="2435" t="str">
        <f>IF(G2519&lt;&gt;0,1,"")</f>
        <v/>
      </c>
      <c r="B2519" s="2505" t="s">
        <v>470</v>
      </c>
      <c r="C2519" s="2521"/>
      <c r="D2519" s="2405">
        <v>0</v>
      </c>
      <c r="E2519" s="2447" t="s">
        <v>6456</v>
      </c>
      <c r="F2519" s="2405" t="s">
        <v>2538</v>
      </c>
      <c r="G2519" s="2522">
        <f>G2498+G2517*8</f>
        <v>0</v>
      </c>
      <c r="H2519" s="2517">
        <v>763500</v>
      </c>
      <c r="I2519" s="2517"/>
      <c r="J2519" s="2517">
        <v>0</v>
      </c>
      <c r="K2519" s="2517">
        <v>0</v>
      </c>
      <c r="L2519" s="2517">
        <f>H2519*G2519</f>
        <v>0</v>
      </c>
      <c r="M2519" s="2517">
        <f>I2519*G2519</f>
        <v>0</v>
      </c>
      <c r="N2519" s="2517">
        <f t="shared" si="498"/>
        <v>0</v>
      </c>
      <c r="O2519" s="2517">
        <f>K2519*G2519</f>
        <v>0</v>
      </c>
      <c r="P2519" s="2518"/>
      <c r="Q2519" s="2519"/>
      <c r="R2519" s="2519"/>
      <c r="S2519" s="2519"/>
    </row>
    <row r="2520" spans="1:19" s="2358" customFormat="1" outlineLevel="1">
      <c r="A2520" s="2435" t="str">
        <f>IF(G2520&lt;&gt;0,1,"")</f>
        <v/>
      </c>
      <c r="B2520" s="2505" t="s">
        <v>271</v>
      </c>
      <c r="C2520" s="2521"/>
      <c r="D2520" s="2405">
        <v>0</v>
      </c>
      <c r="E2520" s="2447" t="s">
        <v>6457</v>
      </c>
      <c r="F2520" s="2405" t="s">
        <v>2538</v>
      </c>
      <c r="G2520" s="2522">
        <f>G2519</f>
        <v>0</v>
      </c>
      <c r="H2520" s="2517">
        <v>204900</v>
      </c>
      <c r="I2520" s="2517"/>
      <c r="J2520" s="2517">
        <v>0</v>
      </c>
      <c r="K2520" s="2517">
        <v>0</v>
      </c>
      <c r="L2520" s="2517">
        <f>H2520*G2520</f>
        <v>0</v>
      </c>
      <c r="M2520" s="2517">
        <f>I2520*G2520</f>
        <v>0</v>
      </c>
      <c r="N2520" s="2517">
        <f t="shared" si="498"/>
        <v>0</v>
      </c>
      <c r="O2520" s="2517">
        <f>K2520*G2520</f>
        <v>0</v>
      </c>
      <c r="P2520" s="2518"/>
      <c r="Q2520" s="2519"/>
      <c r="R2520" s="2519"/>
      <c r="S2520" s="2519"/>
    </row>
    <row r="2521" spans="1:19" s="2358" customFormat="1" outlineLevel="1">
      <c r="A2521" s="2435" t="str">
        <f t="shared" ref="A2521:A2527" si="500">IF(G2521&lt;&gt;0,1,"")</f>
        <v/>
      </c>
      <c r="B2521" s="2505" t="s">
        <v>271</v>
      </c>
      <c r="C2521" s="2521"/>
      <c r="D2521" s="2405">
        <v>0</v>
      </c>
      <c r="E2521" s="2447" t="s">
        <v>6458</v>
      </c>
      <c r="F2521" s="2405" t="s">
        <v>2538</v>
      </c>
      <c r="G2521" s="2674">
        <f>G2517*0.5*3</f>
        <v>0</v>
      </c>
      <c r="H2521" s="2517">
        <v>204900</v>
      </c>
      <c r="I2521" s="2517"/>
      <c r="J2521" s="2517">
        <v>0</v>
      </c>
      <c r="K2521" s="2517">
        <v>0</v>
      </c>
      <c r="L2521" s="2517">
        <f>H2521*G2521</f>
        <v>0</v>
      </c>
      <c r="M2521" s="2517">
        <f>I2521*G2521</f>
        <v>0</v>
      </c>
      <c r="N2521" s="2517">
        <f t="shared" si="498"/>
        <v>0</v>
      </c>
      <c r="O2521" s="2517">
        <f>K2521*G2521</f>
        <v>0</v>
      </c>
      <c r="P2521" s="2518"/>
      <c r="Q2521" s="2519"/>
      <c r="R2521" s="2519"/>
      <c r="S2521" s="2519"/>
    </row>
    <row r="2522" spans="1:19" s="2358" customFormat="1" outlineLevel="1">
      <c r="A2522" s="2435" t="str">
        <f t="shared" si="500"/>
        <v/>
      </c>
      <c r="B2522" s="2505" t="s">
        <v>1355</v>
      </c>
      <c r="C2522" s="2521"/>
      <c r="D2522" s="2405">
        <v>0</v>
      </c>
      <c r="E2522" s="2447" t="s">
        <v>3032</v>
      </c>
      <c r="F2522" s="2405" t="s">
        <v>2563</v>
      </c>
      <c r="G2522" s="2522">
        <f>G2517</f>
        <v>0</v>
      </c>
      <c r="H2522" s="2517">
        <v>4022000</v>
      </c>
      <c r="I2522" s="2517"/>
      <c r="J2522" s="2517">
        <v>0</v>
      </c>
      <c r="K2522" s="2517">
        <v>0</v>
      </c>
      <c r="L2522" s="2517">
        <f t="shared" ref="L2522:L2527" si="501">H2522*G2522</f>
        <v>0</v>
      </c>
      <c r="M2522" s="2517">
        <f t="shared" ref="M2522:M2527" si="502">I2522*G2522</f>
        <v>0</v>
      </c>
      <c r="N2522" s="2517">
        <f t="shared" si="498"/>
        <v>0</v>
      </c>
      <c r="O2522" s="2517">
        <f t="shared" ref="O2522:O2527" si="503">K2522*G2522</f>
        <v>0</v>
      </c>
      <c r="P2522" s="2518"/>
      <c r="Q2522" s="2519"/>
      <c r="R2522" s="2519"/>
      <c r="S2522" s="2519"/>
    </row>
    <row r="2523" spans="1:19" s="2358" customFormat="1" outlineLevel="1">
      <c r="A2523" s="2435" t="str">
        <f t="shared" si="500"/>
        <v/>
      </c>
      <c r="B2523" s="2505" t="s">
        <v>470</v>
      </c>
      <c r="C2523" s="2521"/>
      <c r="D2523" s="2405">
        <v>0</v>
      </c>
      <c r="E2523" s="2447" t="s">
        <v>6459</v>
      </c>
      <c r="F2523" s="2405" t="s">
        <v>2538</v>
      </c>
      <c r="G2523" s="2674">
        <f>(1.2+2.4)*G2517</f>
        <v>0</v>
      </c>
      <c r="H2523" s="2517">
        <v>763500</v>
      </c>
      <c r="I2523" s="2517"/>
      <c r="J2523" s="2517">
        <v>0</v>
      </c>
      <c r="K2523" s="2517">
        <v>0</v>
      </c>
      <c r="L2523" s="2517">
        <f t="shared" si="501"/>
        <v>0</v>
      </c>
      <c r="M2523" s="2517">
        <f t="shared" si="502"/>
        <v>0</v>
      </c>
      <c r="N2523" s="2517">
        <f t="shared" si="498"/>
        <v>0</v>
      </c>
      <c r="O2523" s="2517">
        <f t="shared" si="503"/>
        <v>0</v>
      </c>
      <c r="P2523" s="2518"/>
      <c r="Q2523" s="2519"/>
      <c r="R2523" s="2519"/>
      <c r="S2523" s="2519"/>
    </row>
    <row r="2524" spans="1:19" s="2358" customFormat="1" outlineLevel="1">
      <c r="A2524" s="2435" t="str">
        <f t="shared" si="500"/>
        <v/>
      </c>
      <c r="B2524" s="2505" t="s">
        <v>271</v>
      </c>
      <c r="C2524" s="2521"/>
      <c r="D2524" s="2405">
        <v>0</v>
      </c>
      <c r="E2524" s="2447" t="s">
        <v>6460</v>
      </c>
      <c r="F2524" s="2405" t="s">
        <v>2538</v>
      </c>
      <c r="G2524" s="2674">
        <f>G2517*1.2</f>
        <v>0</v>
      </c>
      <c r="H2524" s="2517">
        <v>204900</v>
      </c>
      <c r="I2524" s="2517"/>
      <c r="J2524" s="2517">
        <v>0</v>
      </c>
      <c r="K2524" s="2517">
        <v>0</v>
      </c>
      <c r="L2524" s="2517">
        <f t="shared" si="501"/>
        <v>0</v>
      </c>
      <c r="M2524" s="2517">
        <f t="shared" si="502"/>
        <v>0</v>
      </c>
      <c r="N2524" s="2517">
        <f t="shared" si="498"/>
        <v>0</v>
      </c>
      <c r="O2524" s="2517">
        <f t="shared" si="503"/>
        <v>0</v>
      </c>
      <c r="P2524" s="2518"/>
      <c r="Q2524" s="2519"/>
      <c r="R2524" s="2519"/>
      <c r="S2524" s="2519"/>
    </row>
    <row r="2525" spans="1:19" s="2358" customFormat="1" outlineLevel="1">
      <c r="A2525" s="2435" t="str">
        <f t="shared" si="500"/>
        <v/>
      </c>
      <c r="B2525" s="2505" t="s">
        <v>1356</v>
      </c>
      <c r="C2525" s="2521"/>
      <c r="D2525" s="2405">
        <v>0</v>
      </c>
      <c r="E2525" s="2447" t="s">
        <v>3039</v>
      </c>
      <c r="F2525" s="2405" t="s">
        <v>2563</v>
      </c>
      <c r="G2525" s="2522">
        <f>G2517</f>
        <v>0</v>
      </c>
      <c r="H2525" s="2517">
        <v>5242230</v>
      </c>
      <c r="I2525" s="2517"/>
      <c r="J2525" s="2517">
        <v>0</v>
      </c>
      <c r="K2525" s="2517">
        <v>0</v>
      </c>
      <c r="L2525" s="2517">
        <f t="shared" si="501"/>
        <v>0</v>
      </c>
      <c r="M2525" s="2517">
        <f t="shared" si="502"/>
        <v>0</v>
      </c>
      <c r="N2525" s="2517">
        <f t="shared" si="498"/>
        <v>0</v>
      </c>
      <c r="O2525" s="2517">
        <f t="shared" si="503"/>
        <v>0</v>
      </c>
      <c r="P2525" s="2518"/>
      <c r="Q2525" s="2519"/>
      <c r="R2525" s="2519"/>
      <c r="S2525" s="2519"/>
    </row>
    <row r="2526" spans="1:19" s="2358" customFormat="1" outlineLevel="1">
      <c r="A2526" s="2435" t="str">
        <f t="shared" si="500"/>
        <v/>
      </c>
      <c r="B2526" s="2505" t="s">
        <v>1678</v>
      </c>
      <c r="C2526" s="2521"/>
      <c r="D2526" s="2405" t="s">
        <v>5521</v>
      </c>
      <c r="E2526" s="2447" t="s">
        <v>3196</v>
      </c>
      <c r="F2526" s="2405" t="s">
        <v>2563</v>
      </c>
      <c r="G2526" s="2522">
        <f>G2522+G2525</f>
        <v>0</v>
      </c>
      <c r="H2526" s="2517">
        <v>11340</v>
      </c>
      <c r="I2526" s="2517"/>
      <c r="J2526" s="2517">
        <v>621381.64999999991</v>
      </c>
      <c r="K2526" s="2517">
        <v>0</v>
      </c>
      <c r="L2526" s="2517">
        <f t="shared" si="501"/>
        <v>0</v>
      </c>
      <c r="M2526" s="2517">
        <f t="shared" si="502"/>
        <v>0</v>
      </c>
      <c r="N2526" s="2517">
        <f t="shared" si="498"/>
        <v>0</v>
      </c>
      <c r="O2526" s="2517">
        <f t="shared" si="503"/>
        <v>0</v>
      </c>
      <c r="P2526" s="2518"/>
      <c r="Q2526" s="2519"/>
      <c r="R2526" s="2519"/>
      <c r="S2526" s="2519"/>
    </row>
    <row r="2527" spans="1:19" s="2358" customFormat="1" outlineLevel="1">
      <c r="A2527" s="2435" t="str">
        <f t="shared" si="500"/>
        <v/>
      </c>
      <c r="B2527" s="2505" t="s">
        <v>1204</v>
      </c>
      <c r="C2527" s="2521"/>
      <c r="D2527" s="2405" t="s">
        <v>337</v>
      </c>
      <c r="E2527" s="2447" t="s">
        <v>3286</v>
      </c>
      <c r="F2527" s="2405" t="s">
        <v>2538</v>
      </c>
      <c r="G2527" s="2522">
        <f>G2519+G2523</f>
        <v>0</v>
      </c>
      <c r="H2527" s="2517">
        <v>546.34</v>
      </c>
      <c r="I2527" s="2517"/>
      <c r="J2527" s="2517">
        <v>2166</v>
      </c>
      <c r="K2527" s="2517">
        <v>0</v>
      </c>
      <c r="L2527" s="2517">
        <f t="shared" si="501"/>
        <v>0</v>
      </c>
      <c r="M2527" s="2517">
        <f t="shared" si="502"/>
        <v>0</v>
      </c>
      <c r="N2527" s="2517">
        <f t="shared" si="498"/>
        <v>0</v>
      </c>
      <c r="O2527" s="2517">
        <f t="shared" si="503"/>
        <v>0</v>
      </c>
      <c r="P2527" s="2518"/>
      <c r="Q2527" s="2519"/>
      <c r="R2527" s="2519"/>
      <c r="S2527" s="2519"/>
    </row>
    <row r="2528" spans="1:19" s="2358" customFormat="1" outlineLevel="1">
      <c r="A2528" s="2435" t="str">
        <f>IF(G2528&lt;&gt;0,1,"")</f>
        <v/>
      </c>
      <c r="B2528" s="2505" t="s">
        <v>1201</v>
      </c>
      <c r="C2528" s="2521"/>
      <c r="D2528" s="2405" t="s">
        <v>334</v>
      </c>
      <c r="E2528" s="2447" t="s">
        <v>3283</v>
      </c>
      <c r="F2528" s="2405" t="s">
        <v>2538</v>
      </c>
      <c r="G2528" s="2522">
        <f>G2520+G2524</f>
        <v>0</v>
      </c>
      <c r="H2528" s="2517">
        <v>460.75</v>
      </c>
      <c r="I2528" s="2517"/>
      <c r="J2528" s="2517">
        <v>1020</v>
      </c>
      <c r="K2528" s="2517">
        <v>0</v>
      </c>
      <c r="L2528" s="2517">
        <f>H2528*G2528</f>
        <v>0</v>
      </c>
      <c r="M2528" s="2517">
        <f>I2528*G2528</f>
        <v>0</v>
      </c>
      <c r="N2528" s="2517">
        <f t="shared" si="498"/>
        <v>0</v>
      </c>
      <c r="O2528" s="2517">
        <f>K2528*G2528</f>
        <v>0</v>
      </c>
      <c r="P2528" s="2518"/>
      <c r="Q2528" s="2519"/>
      <c r="R2528" s="2519"/>
      <c r="S2528" s="2519"/>
    </row>
    <row r="2529" spans="1:19" s="2358" customFormat="1" outlineLevel="1">
      <c r="A2529" s="2435" t="str">
        <f>IF(G2529&lt;&gt;0,1,"")</f>
        <v/>
      </c>
      <c r="B2529" s="2505" t="s">
        <v>1528</v>
      </c>
      <c r="C2529" s="2521"/>
      <c r="D2529" s="2405" t="s">
        <v>5633</v>
      </c>
      <c r="E2529" s="2447" t="s">
        <v>3310</v>
      </c>
      <c r="F2529" s="2405" t="s">
        <v>1827</v>
      </c>
      <c r="G2529" s="2674">
        <f>G2521</f>
        <v>0</v>
      </c>
      <c r="H2529" s="2517">
        <v>0</v>
      </c>
      <c r="I2529" s="2517"/>
      <c r="J2529" s="2517">
        <v>13915</v>
      </c>
      <c r="K2529" s="2517">
        <v>0</v>
      </c>
      <c r="L2529" s="2517">
        <f>H2529*G2529</f>
        <v>0</v>
      </c>
      <c r="M2529" s="2517">
        <f>I2529*G2529</f>
        <v>0</v>
      </c>
      <c r="N2529" s="2517">
        <f t="shared" si="498"/>
        <v>0</v>
      </c>
      <c r="O2529" s="2517">
        <f>K2529*G2529</f>
        <v>0</v>
      </c>
      <c r="P2529" s="2518"/>
      <c r="Q2529" s="2519"/>
      <c r="R2529" s="2519"/>
      <c r="S2529" s="2519"/>
    </row>
    <row r="2530" spans="1:19" s="2358" customFormat="1" outlineLevel="1">
      <c r="A2530" s="2435" t="str">
        <f>IF(G2530&lt;&gt;0,1,"")</f>
        <v/>
      </c>
      <c r="B2530" s="2505" t="s">
        <v>1352</v>
      </c>
      <c r="C2530" s="2521"/>
      <c r="D2530" s="2405">
        <v>0</v>
      </c>
      <c r="E2530" s="2447" t="s">
        <v>3536</v>
      </c>
      <c r="F2530" s="2405" t="s">
        <v>3537</v>
      </c>
      <c r="G2530" s="2522">
        <f>G2517*2</f>
        <v>0</v>
      </c>
      <c r="H2530" s="2517">
        <v>15000</v>
      </c>
      <c r="I2530" s="2517"/>
      <c r="J2530" s="2517">
        <v>0</v>
      </c>
      <c r="K2530" s="2517">
        <v>0</v>
      </c>
      <c r="L2530" s="2517">
        <f>H2530*G2530</f>
        <v>0</v>
      </c>
      <c r="M2530" s="2517">
        <f>I2530*G2530</f>
        <v>0</v>
      </c>
      <c r="N2530" s="2517">
        <f t="shared" si="498"/>
        <v>0</v>
      </c>
      <c r="O2530" s="2517">
        <f>K2530*G2530</f>
        <v>0</v>
      </c>
      <c r="P2530" s="2518"/>
      <c r="Q2530" s="2519"/>
      <c r="R2530" s="2519"/>
      <c r="S2530" s="2519"/>
    </row>
    <row r="2531" spans="1:19" s="2358" customFormat="1" outlineLevel="1">
      <c r="A2531" s="2435" t="str">
        <f>IF(G2531&lt;&gt;0,1,"")</f>
        <v/>
      </c>
      <c r="B2531" s="2514"/>
      <c r="C2531" s="2511">
        <f>IF(G2531&gt;0,C2517+1,C2517)</f>
        <v>0</v>
      </c>
      <c r="D2531" s="2512"/>
      <c r="E2531" s="2513" t="s">
        <v>6337</v>
      </c>
      <c r="F2531" s="2511" t="s">
        <v>2391</v>
      </c>
      <c r="G2531" s="2516">
        <f>G2391</f>
        <v>0</v>
      </c>
      <c r="H2531" s="2517"/>
      <c r="I2531" s="2517"/>
      <c r="J2531" s="2517"/>
      <c r="K2531" s="2517"/>
      <c r="L2531" s="2517"/>
      <c r="M2531" s="2517"/>
      <c r="N2531" s="2517">
        <f t="shared" si="498"/>
        <v>0</v>
      </c>
      <c r="O2531" s="2517"/>
      <c r="P2531" s="2642"/>
      <c r="Q2531" s="2519"/>
      <c r="R2531" s="2519"/>
      <c r="S2531" s="2519"/>
    </row>
    <row r="2532" spans="1:19" s="2358" customFormat="1" ht="14.4" outlineLevel="1">
      <c r="A2532" s="2435" t="str">
        <f>A2531</f>
        <v/>
      </c>
      <c r="B2532" s="2514"/>
      <c r="C2532" s="2511"/>
      <c r="D2532" s="2512"/>
      <c r="E2532" s="2527" t="s">
        <v>6207</v>
      </c>
      <c r="F2532" s="2511"/>
      <c r="G2532" s="2516"/>
      <c r="H2532" s="2517"/>
      <c r="I2532" s="2517"/>
      <c r="J2532" s="2517"/>
      <c r="K2532" s="2517"/>
      <c r="L2532" s="2517"/>
      <c r="M2532" s="2517"/>
      <c r="N2532" s="2517">
        <f t="shared" si="498"/>
        <v>0</v>
      </c>
      <c r="O2532" s="2517"/>
      <c r="P2532" s="2642"/>
      <c r="Q2532" s="2519"/>
      <c r="R2532" s="2519"/>
      <c r="S2532" s="2519"/>
    </row>
    <row r="2533" spans="1:19" s="2358" customFormat="1" outlineLevel="1">
      <c r="A2533" s="2435" t="str">
        <f>IF(G2533&lt;&gt;0,1,"")</f>
        <v/>
      </c>
      <c r="B2533" s="2505" t="s">
        <v>6346</v>
      </c>
      <c r="C2533" s="2521"/>
      <c r="D2533" s="2405">
        <v>0</v>
      </c>
      <c r="E2533" s="2447" t="s">
        <v>5134</v>
      </c>
      <c r="F2533" s="2405" t="s">
        <v>2538</v>
      </c>
      <c r="G2533" s="2523">
        <f>G2531*(13*3)</f>
        <v>0</v>
      </c>
      <c r="H2533" s="2517">
        <v>99600</v>
      </c>
      <c r="I2533" s="2517"/>
      <c r="J2533" s="2517">
        <v>0</v>
      </c>
      <c r="K2533" s="2517">
        <v>0</v>
      </c>
      <c r="L2533" s="2517">
        <f t="shared" ref="L2533:L2542" si="504">H2533*G2533</f>
        <v>0</v>
      </c>
      <c r="M2533" s="2517">
        <f>I2533*G2533</f>
        <v>0</v>
      </c>
      <c r="N2533" s="2517">
        <f t="shared" si="498"/>
        <v>0</v>
      </c>
      <c r="O2533" s="2517">
        <f t="shared" ref="O2533:O2542" si="505">K2533*G2533</f>
        <v>0</v>
      </c>
      <c r="P2533" s="2642"/>
      <c r="Q2533" s="2519"/>
      <c r="R2533" s="2519"/>
      <c r="S2533" s="2519"/>
    </row>
    <row r="2534" spans="1:19" s="2358" customFormat="1" outlineLevel="1">
      <c r="A2534" s="2435" t="str">
        <f>IF(G2534&lt;&gt;0,1,"")</f>
        <v/>
      </c>
      <c r="B2534" s="2610" t="s">
        <v>5761</v>
      </c>
      <c r="C2534" s="2521"/>
      <c r="D2534" s="2405">
        <v>0</v>
      </c>
      <c r="E2534" s="2447" t="s">
        <v>5762</v>
      </c>
      <c r="F2534" s="2405" t="s">
        <v>2563</v>
      </c>
      <c r="G2534" s="2523">
        <f>+G2531*3</f>
        <v>0</v>
      </c>
      <c r="H2534" s="2517">
        <v>218200</v>
      </c>
      <c r="I2534" s="2517"/>
      <c r="J2534" s="2517">
        <v>0</v>
      </c>
      <c r="K2534" s="2517">
        <v>0</v>
      </c>
      <c r="L2534" s="2517">
        <f>H2534*G2534</f>
        <v>0</v>
      </c>
      <c r="M2534" s="2517">
        <f>I2534*G2534</f>
        <v>0</v>
      </c>
      <c r="N2534" s="2517">
        <f t="shared" si="498"/>
        <v>0</v>
      </c>
      <c r="O2534" s="2517">
        <f>K2534*G2534</f>
        <v>0</v>
      </c>
      <c r="P2534" s="2518"/>
      <c r="Q2534" s="2519"/>
      <c r="R2534" s="2519"/>
      <c r="S2534" s="2519"/>
    </row>
    <row r="2535" spans="1:19" s="2358" customFormat="1" outlineLevel="1">
      <c r="A2535" s="2435" t="str">
        <f>IF(G2535&lt;&gt;0,1,"")</f>
        <v/>
      </c>
      <c r="B2535" s="2610" t="s">
        <v>5767</v>
      </c>
      <c r="C2535" s="2521"/>
      <c r="D2535" s="2405">
        <v>0</v>
      </c>
      <c r="E2535" s="2447" t="s">
        <v>5768</v>
      </c>
      <c r="F2535" s="2405" t="s">
        <v>2563</v>
      </c>
      <c r="G2535" s="2523">
        <f>+G2531*3</f>
        <v>0</v>
      </c>
      <c r="H2535" s="2517">
        <v>39100</v>
      </c>
      <c r="I2535" s="2517"/>
      <c r="J2535" s="2517">
        <v>0</v>
      </c>
      <c r="K2535" s="2517">
        <v>0</v>
      </c>
      <c r="L2535" s="2517">
        <f>H2535*G2535</f>
        <v>0</v>
      </c>
      <c r="M2535" s="2517">
        <f>I2535*G2535</f>
        <v>0</v>
      </c>
      <c r="N2535" s="2517">
        <f t="shared" si="498"/>
        <v>0</v>
      </c>
      <c r="O2535" s="2517">
        <f>K2535*G2535</f>
        <v>0</v>
      </c>
      <c r="P2535" s="2518"/>
      <c r="Q2535" s="2519"/>
      <c r="R2535" s="2519"/>
      <c r="S2535" s="2519"/>
    </row>
    <row r="2536" spans="1:19" s="2358" customFormat="1" outlineLevel="1">
      <c r="A2536" s="2435" t="str">
        <f>IF(G2536&lt;&gt;0,1,"")</f>
        <v/>
      </c>
      <c r="B2536" s="2610" t="s">
        <v>5769</v>
      </c>
      <c r="C2536" s="2521"/>
      <c r="D2536" s="2405">
        <v>0</v>
      </c>
      <c r="E2536" s="2447" t="s">
        <v>5770</v>
      </c>
      <c r="F2536" s="2405" t="s">
        <v>2563</v>
      </c>
      <c r="G2536" s="2523">
        <f>+G2531*3</f>
        <v>0</v>
      </c>
      <c r="H2536" s="2517">
        <v>56700</v>
      </c>
      <c r="I2536" s="2517"/>
      <c r="J2536" s="2517">
        <v>0</v>
      </c>
      <c r="K2536" s="2517">
        <v>0</v>
      </c>
      <c r="L2536" s="2517">
        <f>H2536*G2536</f>
        <v>0</v>
      </c>
      <c r="M2536" s="2517">
        <f>I2536*G2536</f>
        <v>0</v>
      </c>
      <c r="N2536" s="2517">
        <f t="shared" si="498"/>
        <v>0</v>
      </c>
      <c r="O2536" s="2517">
        <f>K2536*G2536</f>
        <v>0</v>
      </c>
      <c r="P2536" s="2518"/>
      <c r="Q2536" s="2519"/>
      <c r="R2536" s="2519"/>
      <c r="S2536" s="2519"/>
    </row>
    <row r="2537" spans="1:19" s="2358" customFormat="1" outlineLevel="1">
      <c r="A2537" s="2435" t="str">
        <f t="shared" ref="A2537:A2543" si="506">IF(G2537&lt;&gt;0,1,"")</f>
        <v/>
      </c>
      <c r="B2537" s="2610" t="s">
        <v>1482</v>
      </c>
      <c r="C2537" s="2521"/>
      <c r="D2537" s="2405">
        <v>0</v>
      </c>
      <c r="E2537" s="2447" t="s">
        <v>3810</v>
      </c>
      <c r="F2537" s="2405" t="s">
        <v>2563</v>
      </c>
      <c r="G2537" s="2523"/>
      <c r="H2537" s="2517">
        <v>46000</v>
      </c>
      <c r="I2537" s="2517"/>
      <c r="J2537" s="2517">
        <v>0</v>
      </c>
      <c r="K2537" s="2517">
        <v>0</v>
      </c>
      <c r="L2537" s="2517">
        <f t="shared" si="504"/>
        <v>0</v>
      </c>
      <c r="M2537" s="2517">
        <f t="shared" ref="M2537:M2542" si="507">I2537*G2537</f>
        <v>0</v>
      </c>
      <c r="N2537" s="2517">
        <f t="shared" si="498"/>
        <v>0</v>
      </c>
      <c r="O2537" s="2517">
        <f t="shared" si="505"/>
        <v>0</v>
      </c>
      <c r="P2537" s="2642"/>
      <c r="Q2537" s="2519"/>
      <c r="R2537" s="2519"/>
      <c r="S2537" s="2519"/>
    </row>
    <row r="2538" spans="1:19" s="2358" customFormat="1" outlineLevel="1">
      <c r="A2538" s="2435" t="str">
        <f t="shared" si="506"/>
        <v/>
      </c>
      <c r="B2538" s="2610" t="s">
        <v>1480</v>
      </c>
      <c r="C2538" s="2521"/>
      <c r="D2538" s="2405">
        <v>0</v>
      </c>
      <c r="E2538" s="2447" t="s">
        <v>6420</v>
      </c>
      <c r="F2538" s="2405" t="s">
        <v>2563</v>
      </c>
      <c r="G2538" s="2523"/>
      <c r="H2538" s="2517">
        <v>77000</v>
      </c>
      <c r="I2538" s="2517"/>
      <c r="J2538" s="2517">
        <v>0</v>
      </c>
      <c r="K2538" s="2517">
        <v>0</v>
      </c>
      <c r="L2538" s="2517">
        <f t="shared" si="504"/>
        <v>0</v>
      </c>
      <c r="M2538" s="2517">
        <f t="shared" si="507"/>
        <v>0</v>
      </c>
      <c r="N2538" s="2517">
        <f t="shared" si="498"/>
        <v>0</v>
      </c>
      <c r="O2538" s="2517">
        <f t="shared" si="505"/>
        <v>0</v>
      </c>
      <c r="P2538" s="2642"/>
      <c r="Q2538" s="2519"/>
      <c r="R2538" s="2519"/>
      <c r="S2538" s="2519"/>
    </row>
    <row r="2539" spans="1:19" s="2358" customFormat="1" outlineLevel="1">
      <c r="A2539" s="2435" t="str">
        <f t="shared" si="506"/>
        <v/>
      </c>
      <c r="B2539" s="2505" t="s">
        <v>696</v>
      </c>
      <c r="C2539" s="2642"/>
      <c r="D2539" s="2405">
        <v>0</v>
      </c>
      <c r="E2539" s="2447" t="s">
        <v>2952</v>
      </c>
      <c r="F2539" s="2405" t="s">
        <v>2563</v>
      </c>
      <c r="G2539" s="2523">
        <f>G2531*6</f>
        <v>0</v>
      </c>
      <c r="H2539" s="2517">
        <v>205000</v>
      </c>
      <c r="I2539" s="2517"/>
      <c r="J2539" s="2517">
        <v>0</v>
      </c>
      <c r="K2539" s="2517">
        <v>0</v>
      </c>
      <c r="L2539" s="2517">
        <f t="shared" si="504"/>
        <v>0</v>
      </c>
      <c r="M2539" s="2517">
        <f t="shared" si="507"/>
        <v>0</v>
      </c>
      <c r="N2539" s="2517">
        <f t="shared" si="498"/>
        <v>0</v>
      </c>
      <c r="O2539" s="2517">
        <f t="shared" si="505"/>
        <v>0</v>
      </c>
      <c r="P2539" s="2642"/>
      <c r="Q2539" s="2519"/>
      <c r="R2539" s="2519"/>
      <c r="S2539" s="2519"/>
    </row>
    <row r="2540" spans="1:19" s="2358" customFormat="1" outlineLevel="1">
      <c r="A2540" s="2435" t="str">
        <f t="shared" si="506"/>
        <v/>
      </c>
      <c r="B2540" s="2505" t="s">
        <v>1268</v>
      </c>
      <c r="C2540" s="2521"/>
      <c r="D2540" s="2405">
        <v>0</v>
      </c>
      <c r="E2540" s="2447" t="s">
        <v>2831</v>
      </c>
      <c r="F2540" s="2405" t="s">
        <v>2563</v>
      </c>
      <c r="G2540" s="2523">
        <f>G2539</f>
        <v>0</v>
      </c>
      <c r="H2540" s="2517">
        <v>65000</v>
      </c>
      <c r="I2540" s="2517"/>
      <c r="J2540" s="2517">
        <v>0</v>
      </c>
      <c r="K2540" s="2517">
        <v>0</v>
      </c>
      <c r="L2540" s="2517">
        <f t="shared" si="504"/>
        <v>0</v>
      </c>
      <c r="M2540" s="2517">
        <f t="shared" si="507"/>
        <v>0</v>
      </c>
      <c r="N2540" s="2517">
        <f t="shared" si="498"/>
        <v>0</v>
      </c>
      <c r="O2540" s="2517">
        <f t="shared" si="505"/>
        <v>0</v>
      </c>
      <c r="P2540" s="2642"/>
      <c r="Q2540" s="2519"/>
      <c r="R2540" s="2519"/>
      <c r="S2540" s="2519"/>
    </row>
    <row r="2541" spans="1:19" s="2358" customFormat="1" outlineLevel="1">
      <c r="A2541" s="2435" t="str">
        <f t="shared" si="506"/>
        <v/>
      </c>
      <c r="B2541" s="2505" t="s">
        <v>1568</v>
      </c>
      <c r="C2541" s="2521"/>
      <c r="D2541" s="2405" t="s">
        <v>5622</v>
      </c>
      <c r="E2541" s="2447" t="s">
        <v>3289</v>
      </c>
      <c r="F2541" s="2405" t="s">
        <v>2445</v>
      </c>
      <c r="G2541" s="2523">
        <f>G2540</f>
        <v>0</v>
      </c>
      <c r="H2541" s="2517"/>
      <c r="I2541" s="2517"/>
      <c r="J2541" s="2517">
        <v>58277.49</v>
      </c>
      <c r="K2541" s="2517"/>
      <c r="L2541" s="2517">
        <f t="shared" si="504"/>
        <v>0</v>
      </c>
      <c r="M2541" s="2517">
        <f t="shared" si="507"/>
        <v>0</v>
      </c>
      <c r="N2541" s="2517">
        <f t="shared" si="498"/>
        <v>0</v>
      </c>
      <c r="O2541" s="2517">
        <f t="shared" si="505"/>
        <v>0</v>
      </c>
      <c r="P2541" s="2642"/>
      <c r="Q2541" s="2519"/>
      <c r="R2541" s="2519"/>
      <c r="S2541" s="2519"/>
    </row>
    <row r="2542" spans="1:19" s="2358" customFormat="1" outlineLevel="1">
      <c r="A2542" s="2435" t="str">
        <f t="shared" si="506"/>
        <v/>
      </c>
      <c r="B2542" s="2505" t="s">
        <v>1528</v>
      </c>
      <c r="C2542" s="2521"/>
      <c r="D2542" s="2405" t="s">
        <v>5633</v>
      </c>
      <c r="E2542" s="2447" t="s">
        <v>3310</v>
      </c>
      <c r="F2542" s="2405" t="s">
        <v>1827</v>
      </c>
      <c r="G2542" s="2523">
        <f>G2533</f>
        <v>0</v>
      </c>
      <c r="H2542" s="2517"/>
      <c r="I2542" s="2517"/>
      <c r="J2542" s="2517">
        <v>13915</v>
      </c>
      <c r="K2542" s="2517"/>
      <c r="L2542" s="2517">
        <f t="shared" si="504"/>
        <v>0</v>
      </c>
      <c r="M2542" s="2517">
        <f t="shared" si="507"/>
        <v>0</v>
      </c>
      <c r="N2542" s="2517">
        <f t="shared" si="498"/>
        <v>0</v>
      </c>
      <c r="O2542" s="2517">
        <f t="shared" si="505"/>
        <v>0</v>
      </c>
      <c r="P2542" s="2642"/>
      <c r="Q2542" s="2519"/>
      <c r="R2542" s="2519"/>
      <c r="S2542" s="2519"/>
    </row>
    <row r="2543" spans="1:19" s="2358" customFormat="1" outlineLevel="1">
      <c r="A2543" s="2435" t="str">
        <f t="shared" si="506"/>
        <v/>
      </c>
      <c r="B2543" s="2514"/>
      <c r="C2543" s="2511">
        <f>IF(G2543&gt;0,C2531+1,C2531)</f>
        <v>0</v>
      </c>
      <c r="D2543" s="2512"/>
      <c r="E2543" s="2513" t="s">
        <v>3726</v>
      </c>
      <c r="F2543" s="2511" t="s">
        <v>2391</v>
      </c>
      <c r="G2543" s="2516"/>
      <c r="H2543" s="2517"/>
      <c r="I2543" s="2517"/>
      <c r="J2543" s="2517"/>
      <c r="K2543" s="2517"/>
      <c r="L2543" s="2517"/>
      <c r="M2543" s="2517"/>
      <c r="N2543" s="2517">
        <f t="shared" si="498"/>
        <v>0</v>
      </c>
      <c r="O2543" s="2517"/>
      <c r="P2543" s="2518"/>
      <c r="Q2543" s="2519"/>
      <c r="R2543" s="2519"/>
      <c r="S2543" s="2519"/>
    </row>
    <row r="2544" spans="1:19" s="2358" customFormat="1" ht="14.4" outlineLevel="1">
      <c r="A2544" s="2435" t="str">
        <f>A2543</f>
        <v/>
      </c>
      <c r="B2544" s="2514"/>
      <c r="C2544" s="2511"/>
      <c r="D2544" s="2512"/>
      <c r="E2544" s="2527" t="s">
        <v>6207</v>
      </c>
      <c r="F2544" s="2511"/>
      <c r="G2544" s="2516"/>
      <c r="H2544" s="2517"/>
      <c r="I2544" s="2517"/>
      <c r="J2544" s="2517"/>
      <c r="K2544" s="2517"/>
      <c r="L2544" s="2517"/>
      <c r="M2544" s="2517"/>
      <c r="N2544" s="2517">
        <f t="shared" si="498"/>
        <v>0</v>
      </c>
      <c r="O2544" s="2517"/>
      <c r="P2544" s="2518"/>
      <c r="Q2544" s="2519"/>
      <c r="R2544" s="2519"/>
      <c r="S2544" s="2519"/>
    </row>
    <row r="2545" spans="1:19" s="2358" customFormat="1" outlineLevel="1">
      <c r="A2545" s="2435" t="str">
        <f>IF(G2545&lt;&gt;0,1,"")</f>
        <v/>
      </c>
      <c r="B2545" s="2514" t="s">
        <v>1492</v>
      </c>
      <c r="C2545" s="2521"/>
      <c r="D2545" s="2405">
        <v>0</v>
      </c>
      <c r="E2545" s="2447" t="s">
        <v>3550</v>
      </c>
      <c r="F2545" s="2405" t="s">
        <v>1827</v>
      </c>
      <c r="G2545" s="2522">
        <f>G2543*2</f>
        <v>0</v>
      </c>
      <c r="H2545" s="2517">
        <v>63200</v>
      </c>
      <c r="I2545" s="2517"/>
      <c r="J2545" s="2517">
        <v>0</v>
      </c>
      <c r="K2545" s="2517">
        <v>0</v>
      </c>
      <c r="L2545" s="2517">
        <f>H2545*G2545</f>
        <v>0</v>
      </c>
      <c r="M2545" s="2517">
        <f>I2545*G2545</f>
        <v>0</v>
      </c>
      <c r="N2545" s="2517">
        <f t="shared" si="498"/>
        <v>0</v>
      </c>
      <c r="O2545" s="2517">
        <f>K2545*G2545</f>
        <v>0</v>
      </c>
      <c r="P2545" s="2518"/>
      <c r="Q2545" s="2519"/>
      <c r="R2545" s="2519"/>
      <c r="S2545" s="2519"/>
    </row>
    <row r="2546" spans="1:19" s="2358" customFormat="1" outlineLevel="1">
      <c r="A2546" s="2435" t="str">
        <f>IF(G2546&lt;&gt;0,1,"")</f>
        <v/>
      </c>
      <c r="B2546" s="2514" t="s">
        <v>86</v>
      </c>
      <c r="C2546" s="2521"/>
      <c r="D2546" s="2405">
        <v>0</v>
      </c>
      <c r="E2546" s="2447" t="s">
        <v>5859</v>
      </c>
      <c r="F2546" s="2405" t="s">
        <v>2563</v>
      </c>
      <c r="G2546" s="2522">
        <f>G2543</f>
        <v>0</v>
      </c>
      <c r="H2546" s="2517">
        <v>45400</v>
      </c>
      <c r="I2546" s="2517"/>
      <c r="J2546" s="2517">
        <v>0</v>
      </c>
      <c r="K2546" s="2517">
        <v>0</v>
      </c>
      <c r="L2546" s="2517">
        <f>H2546*G2546</f>
        <v>0</v>
      </c>
      <c r="M2546" s="2517">
        <f>I2546*G2546</f>
        <v>0</v>
      </c>
      <c r="N2546" s="2517">
        <f t="shared" si="498"/>
        <v>0</v>
      </c>
      <c r="O2546" s="2517">
        <f>K2546*G2546</f>
        <v>0</v>
      </c>
      <c r="P2546" s="2518"/>
      <c r="Q2546" s="2519"/>
      <c r="R2546" s="2519"/>
      <c r="S2546" s="2519"/>
    </row>
    <row r="2547" spans="1:19" s="2358" customFormat="1" outlineLevel="1">
      <c r="A2547" s="2435" t="str">
        <f>IF(G2547&lt;&gt;0,1,"")</f>
        <v/>
      </c>
      <c r="B2547" s="2514" t="s">
        <v>931</v>
      </c>
      <c r="C2547" s="2521"/>
      <c r="D2547" s="2405">
        <v>0</v>
      </c>
      <c r="E2547" s="2447" t="s">
        <v>3592</v>
      </c>
      <c r="F2547" s="2405" t="s">
        <v>2563</v>
      </c>
      <c r="G2547" s="2522">
        <f>G2543*2</f>
        <v>0</v>
      </c>
      <c r="H2547" s="2517">
        <v>25800</v>
      </c>
      <c r="I2547" s="2517"/>
      <c r="J2547" s="2517">
        <v>0</v>
      </c>
      <c r="K2547" s="2517">
        <v>0</v>
      </c>
      <c r="L2547" s="2517">
        <f>H2547*G2547</f>
        <v>0</v>
      </c>
      <c r="M2547" s="2517">
        <f>I2547*G2547</f>
        <v>0</v>
      </c>
      <c r="N2547" s="2517">
        <f t="shared" si="498"/>
        <v>0</v>
      </c>
      <c r="O2547" s="2517">
        <f>K2547*G2547</f>
        <v>0</v>
      </c>
      <c r="P2547" s="2518"/>
      <c r="Q2547" s="2519"/>
      <c r="R2547" s="2519"/>
      <c r="S2547" s="2519"/>
    </row>
    <row r="2548" spans="1:19" s="2358" customFormat="1" outlineLevel="1">
      <c r="A2548" s="2435" t="str">
        <f>IF(G2548&lt;&gt;0,1,"")</f>
        <v/>
      </c>
      <c r="B2548" s="2514" t="s">
        <v>930</v>
      </c>
      <c r="C2548" s="2521"/>
      <c r="D2548" s="2405">
        <v>0</v>
      </c>
      <c r="E2548" s="2447" t="s">
        <v>3596</v>
      </c>
      <c r="F2548" s="2405" t="s">
        <v>2563</v>
      </c>
      <c r="G2548" s="2522">
        <f>G2547</f>
        <v>0</v>
      </c>
      <c r="H2548" s="2517">
        <v>21500</v>
      </c>
      <c r="I2548" s="2517"/>
      <c r="J2548" s="2517">
        <v>0</v>
      </c>
      <c r="K2548" s="2517">
        <v>0</v>
      </c>
      <c r="L2548" s="2517">
        <f>H2548*G2548</f>
        <v>0</v>
      </c>
      <c r="M2548" s="2517">
        <f>I2548*G2548</f>
        <v>0</v>
      </c>
      <c r="N2548" s="2517">
        <f t="shared" si="498"/>
        <v>0</v>
      </c>
      <c r="O2548" s="2517">
        <f>K2548*G2548</f>
        <v>0</v>
      </c>
      <c r="P2548" s="2518"/>
      <c r="Q2548" s="2519"/>
      <c r="R2548" s="2519"/>
      <c r="S2548" s="2519"/>
    </row>
    <row r="2549" spans="1:19" s="2541" customFormat="1" outlineLevel="1">
      <c r="A2549" s="2532" t="str">
        <f>IF(G2549&lt;&gt;0,1,"")</f>
        <v/>
      </c>
      <c r="B2549" s="2683"/>
      <c r="C2549" s="2511">
        <f>IF(G2549&gt;0,C2543+1,C2543)</f>
        <v>0</v>
      </c>
      <c r="D2549" s="2512"/>
      <c r="E2549" s="2513" t="s">
        <v>3746</v>
      </c>
      <c r="F2549" s="2511" t="s">
        <v>2391</v>
      </c>
      <c r="G2549" s="2516">
        <f>G2493</f>
        <v>0</v>
      </c>
      <c r="H2549" s="2684"/>
      <c r="I2549" s="2517"/>
      <c r="J2549" s="2684"/>
      <c r="K2549" s="2684"/>
      <c r="L2549" s="2684"/>
      <c r="M2549" s="2517"/>
      <c r="N2549" s="2684">
        <f t="shared" si="498"/>
        <v>0</v>
      </c>
      <c r="O2549" s="2684"/>
      <c r="P2549" s="2685"/>
      <c r="Q2549" s="2686"/>
      <c r="R2549" s="2519"/>
      <c r="S2549" s="2686"/>
    </row>
    <row r="2550" spans="1:19" s="2358" customFormat="1" ht="14.4" outlineLevel="1">
      <c r="A2550" s="2435" t="str">
        <f>A2549</f>
        <v/>
      </c>
      <c r="B2550" s="2505"/>
      <c r="C2550" s="2511"/>
      <c r="D2550" s="2512"/>
      <c r="E2550" s="2527" t="s">
        <v>6207</v>
      </c>
      <c r="F2550" s="2511"/>
      <c r="G2550" s="2522"/>
      <c r="H2550" s="2517"/>
      <c r="I2550" s="2517"/>
      <c r="J2550" s="2517"/>
      <c r="K2550" s="2517"/>
      <c r="L2550" s="2517"/>
      <c r="M2550" s="2517"/>
      <c r="N2550" s="2517">
        <f t="shared" si="498"/>
        <v>0</v>
      </c>
      <c r="O2550" s="2517"/>
      <c r="P2550" s="2642"/>
      <c r="Q2550" s="2519"/>
      <c r="R2550" s="2519"/>
      <c r="S2550" s="2519"/>
    </row>
    <row r="2551" spans="1:19" s="2358" customFormat="1" outlineLevel="1">
      <c r="A2551" s="2435" t="str">
        <f t="shared" ref="A2551:A2563" si="508">IF(G2551&lt;&gt;0,1,"")</f>
        <v/>
      </c>
      <c r="B2551" s="2514" t="s">
        <v>4793</v>
      </c>
      <c r="C2551" s="2521"/>
      <c r="D2551" s="2405">
        <v>0</v>
      </c>
      <c r="E2551" s="2447" t="s">
        <v>2807</v>
      </c>
      <c r="F2551" s="2405" t="s">
        <v>2538</v>
      </c>
      <c r="G2551" s="2523">
        <f>+G2549*(7*3*2+7)</f>
        <v>0</v>
      </c>
      <c r="H2551" s="2517">
        <v>567100</v>
      </c>
      <c r="I2551" s="2517"/>
      <c r="J2551" s="2517">
        <v>0</v>
      </c>
      <c r="K2551" s="2517">
        <v>0</v>
      </c>
      <c r="L2551" s="2517">
        <f t="shared" ref="L2551:L2562" si="509">H2551*G2551</f>
        <v>0</v>
      </c>
      <c r="M2551" s="2517">
        <f t="shared" ref="M2551:M2562" si="510">I2551*G2551</f>
        <v>0</v>
      </c>
      <c r="N2551" s="2517">
        <f t="shared" si="498"/>
        <v>0</v>
      </c>
      <c r="O2551" s="2517">
        <f t="shared" ref="O2551:O2562" si="511">K2551*G2551</f>
        <v>0</v>
      </c>
      <c r="P2551" s="2642"/>
      <c r="Q2551" s="2519"/>
      <c r="R2551" s="2519"/>
      <c r="S2551" s="2519"/>
    </row>
    <row r="2552" spans="1:19" s="2358" customFormat="1" outlineLevel="1">
      <c r="A2552" s="2435" t="str">
        <f>IF(G2552&lt;&gt;0,1,"")</f>
        <v/>
      </c>
      <c r="B2552" s="2514" t="s">
        <v>1826</v>
      </c>
      <c r="C2552" s="2521"/>
      <c r="D2552" s="2405" t="s">
        <v>1530</v>
      </c>
      <c r="E2552" s="2447" t="s">
        <v>2792</v>
      </c>
      <c r="F2552" s="2405" t="s">
        <v>2538</v>
      </c>
      <c r="G2552" s="2523"/>
      <c r="H2552" s="2517">
        <v>28200</v>
      </c>
      <c r="I2552" s="2517"/>
      <c r="J2552" s="2517">
        <v>0</v>
      </c>
      <c r="K2552" s="2517">
        <v>0</v>
      </c>
      <c r="L2552" s="2517">
        <f>H2552*G2552</f>
        <v>0</v>
      </c>
      <c r="M2552" s="2517">
        <f>I2552*G2552</f>
        <v>0</v>
      </c>
      <c r="N2552" s="2517">
        <f t="shared" si="498"/>
        <v>0</v>
      </c>
      <c r="O2552" s="2517">
        <f>K2552*G2552</f>
        <v>0</v>
      </c>
      <c r="P2552" s="2518"/>
      <c r="Q2552" s="2519"/>
      <c r="R2552" s="2519"/>
      <c r="S2552" s="2519"/>
    </row>
    <row r="2553" spans="1:19" s="2358" customFormat="1" outlineLevel="1">
      <c r="A2553" s="2435" t="str">
        <f t="shared" si="508"/>
        <v/>
      </c>
      <c r="B2553" s="2514" t="s">
        <v>2162</v>
      </c>
      <c r="C2553" s="2521"/>
      <c r="D2553" s="2405" t="s">
        <v>5793</v>
      </c>
      <c r="E2553" s="2447" t="s">
        <v>3504</v>
      </c>
      <c r="F2553" s="2405" t="s">
        <v>2563</v>
      </c>
      <c r="G2553" s="2523">
        <f>+G2549*2*7</f>
        <v>0</v>
      </c>
      <c r="H2553" s="2517">
        <v>70000</v>
      </c>
      <c r="I2553" s="2517"/>
      <c r="J2553" s="2517">
        <v>50013.645000000004</v>
      </c>
      <c r="K2553" s="2517">
        <v>5554.0464950000005</v>
      </c>
      <c r="L2553" s="2517">
        <f t="shared" si="509"/>
        <v>0</v>
      </c>
      <c r="M2553" s="2517">
        <f t="shared" si="510"/>
        <v>0</v>
      </c>
      <c r="N2553" s="2517">
        <f t="shared" si="498"/>
        <v>0</v>
      </c>
      <c r="O2553" s="2517">
        <f t="shared" si="511"/>
        <v>0</v>
      </c>
      <c r="P2553" s="2642"/>
      <c r="Q2553" s="2519"/>
      <c r="R2553" s="2519"/>
      <c r="S2553" s="2519"/>
    </row>
    <row r="2554" spans="1:19" s="2358" customFormat="1" outlineLevel="1">
      <c r="A2554" s="2435" t="str">
        <f t="shared" si="508"/>
        <v/>
      </c>
      <c r="B2554" s="2514" t="s">
        <v>90</v>
      </c>
      <c r="C2554" s="2521"/>
      <c r="D2554" s="2405">
        <v>0</v>
      </c>
      <c r="E2554" s="2447" t="s">
        <v>3518</v>
      </c>
      <c r="F2554" s="2405" t="s">
        <v>2563</v>
      </c>
      <c r="G2554" s="2523">
        <f>G2553</f>
        <v>0</v>
      </c>
      <c r="H2554" s="2517">
        <v>6000</v>
      </c>
      <c r="I2554" s="2517"/>
      <c r="J2554" s="2517">
        <v>0</v>
      </c>
      <c r="K2554" s="2517">
        <v>0</v>
      </c>
      <c r="L2554" s="2517">
        <f t="shared" si="509"/>
        <v>0</v>
      </c>
      <c r="M2554" s="2517">
        <f t="shared" si="510"/>
        <v>0</v>
      </c>
      <c r="N2554" s="2517">
        <f t="shared" si="498"/>
        <v>0</v>
      </c>
      <c r="O2554" s="2517">
        <f t="shared" si="511"/>
        <v>0</v>
      </c>
      <c r="P2554" s="2642"/>
      <c r="Q2554" s="2519"/>
      <c r="R2554" s="2519"/>
      <c r="S2554" s="2519"/>
    </row>
    <row r="2555" spans="1:19" s="2358" customFormat="1" outlineLevel="1">
      <c r="A2555" s="2435" t="str">
        <f t="shared" si="508"/>
        <v/>
      </c>
      <c r="B2555" s="2514" t="s">
        <v>1042</v>
      </c>
      <c r="C2555" s="2521"/>
      <c r="D2555" s="2405">
        <v>0</v>
      </c>
      <c r="E2555" s="2447" t="s">
        <v>3549</v>
      </c>
      <c r="F2555" s="2405" t="s">
        <v>1827</v>
      </c>
      <c r="G2555" s="2523">
        <f>+G2549*2*4</f>
        <v>0</v>
      </c>
      <c r="H2555" s="2517">
        <v>103700</v>
      </c>
      <c r="I2555" s="2517"/>
      <c r="J2555" s="2517">
        <v>0</v>
      </c>
      <c r="K2555" s="2517">
        <v>0</v>
      </c>
      <c r="L2555" s="2517">
        <f t="shared" si="509"/>
        <v>0</v>
      </c>
      <c r="M2555" s="2517">
        <f t="shared" si="510"/>
        <v>0</v>
      </c>
      <c r="N2555" s="2517">
        <f t="shared" si="498"/>
        <v>0</v>
      </c>
      <c r="O2555" s="2517">
        <f t="shared" si="511"/>
        <v>0</v>
      </c>
      <c r="P2555" s="2642"/>
      <c r="Q2555" s="2519"/>
      <c r="R2555" s="2519"/>
      <c r="S2555" s="2519"/>
    </row>
    <row r="2556" spans="1:19" s="2358" customFormat="1" outlineLevel="1">
      <c r="A2556" s="2435" t="str">
        <f t="shared" si="508"/>
        <v/>
      </c>
      <c r="B2556" s="2505" t="s">
        <v>731</v>
      </c>
      <c r="C2556" s="2521"/>
      <c r="D2556" s="2405">
        <v>0</v>
      </c>
      <c r="E2556" s="2447" t="s">
        <v>5319</v>
      </c>
      <c r="F2556" s="2405" t="s">
        <v>2445</v>
      </c>
      <c r="G2556" s="2523">
        <f>+G2549*4</f>
        <v>0</v>
      </c>
      <c r="H2556" s="2517">
        <v>50000</v>
      </c>
      <c r="I2556" s="2517"/>
      <c r="J2556" s="2517">
        <v>0</v>
      </c>
      <c r="K2556" s="2517">
        <v>0</v>
      </c>
      <c r="L2556" s="2517">
        <f t="shared" si="509"/>
        <v>0</v>
      </c>
      <c r="M2556" s="2517">
        <f t="shared" si="510"/>
        <v>0</v>
      </c>
      <c r="N2556" s="2517">
        <f t="shared" si="498"/>
        <v>0</v>
      </c>
      <c r="O2556" s="2517">
        <f t="shared" si="511"/>
        <v>0</v>
      </c>
      <c r="P2556" s="2642"/>
      <c r="Q2556" s="2675"/>
      <c r="R2556" s="2519"/>
      <c r="S2556" s="2519"/>
    </row>
    <row r="2557" spans="1:19" s="2358" customFormat="1" outlineLevel="1">
      <c r="A2557" s="2435" t="str">
        <f t="shared" si="508"/>
        <v/>
      </c>
      <c r="B2557" s="2514" t="s">
        <v>2173</v>
      </c>
      <c r="C2557" s="2521"/>
      <c r="D2557" s="2405">
        <v>0</v>
      </c>
      <c r="E2557" s="2447" t="s">
        <v>3593</v>
      </c>
      <c r="F2557" s="2405" t="s">
        <v>2563</v>
      </c>
      <c r="G2557" s="2523">
        <f>+G2549*2</f>
        <v>0</v>
      </c>
      <c r="H2557" s="2517">
        <v>41900</v>
      </c>
      <c r="I2557" s="2517"/>
      <c r="J2557" s="2517">
        <v>0</v>
      </c>
      <c r="K2557" s="2517">
        <v>0</v>
      </c>
      <c r="L2557" s="2517">
        <f t="shared" si="509"/>
        <v>0</v>
      </c>
      <c r="M2557" s="2517">
        <f t="shared" si="510"/>
        <v>0</v>
      </c>
      <c r="N2557" s="2517">
        <f t="shared" si="498"/>
        <v>0</v>
      </c>
      <c r="O2557" s="2517">
        <f t="shared" si="511"/>
        <v>0</v>
      </c>
      <c r="P2557" s="2642"/>
      <c r="Q2557" s="2519"/>
      <c r="R2557" s="2519"/>
      <c r="S2557" s="2519"/>
    </row>
    <row r="2558" spans="1:19" s="2358" customFormat="1" outlineLevel="1">
      <c r="A2558" s="2435" t="str">
        <f t="shared" si="508"/>
        <v/>
      </c>
      <c r="B2558" s="2514" t="s">
        <v>2174</v>
      </c>
      <c r="C2558" s="2521"/>
      <c r="D2558" s="2405">
        <v>0</v>
      </c>
      <c r="E2558" s="2447" t="s">
        <v>3597</v>
      </c>
      <c r="F2558" s="2405" t="s">
        <v>2563</v>
      </c>
      <c r="G2558" s="2523">
        <f>G2557</f>
        <v>0</v>
      </c>
      <c r="H2558" s="2517">
        <v>41900</v>
      </c>
      <c r="I2558" s="2517"/>
      <c r="J2558" s="2517">
        <v>0</v>
      </c>
      <c r="K2558" s="2517">
        <v>0</v>
      </c>
      <c r="L2558" s="2517">
        <f t="shared" si="509"/>
        <v>0</v>
      </c>
      <c r="M2558" s="2517">
        <f t="shared" si="510"/>
        <v>0</v>
      </c>
      <c r="N2558" s="2517">
        <f t="shared" si="498"/>
        <v>0</v>
      </c>
      <c r="O2558" s="2517">
        <f t="shared" si="511"/>
        <v>0</v>
      </c>
      <c r="P2558" s="2642"/>
      <c r="Q2558" s="2519"/>
      <c r="R2558" s="2519"/>
      <c r="S2558" s="2519"/>
    </row>
    <row r="2559" spans="1:19" s="2358" customFormat="1" outlineLevel="1">
      <c r="A2559" s="2435" t="str">
        <f t="shared" si="508"/>
        <v/>
      </c>
      <c r="B2559" s="2514" t="s">
        <v>2080</v>
      </c>
      <c r="C2559" s="2521"/>
      <c r="D2559" s="2405">
        <v>0</v>
      </c>
      <c r="E2559" s="2447" t="s">
        <v>3588</v>
      </c>
      <c r="F2559" s="2405" t="s">
        <v>3589</v>
      </c>
      <c r="G2559" s="2523">
        <f>+G2558</f>
        <v>0</v>
      </c>
      <c r="H2559" s="2517">
        <v>11500</v>
      </c>
      <c r="I2559" s="2517"/>
      <c r="J2559" s="2517">
        <v>0</v>
      </c>
      <c r="K2559" s="2517">
        <v>0</v>
      </c>
      <c r="L2559" s="2517">
        <f t="shared" si="509"/>
        <v>0</v>
      </c>
      <c r="M2559" s="2517">
        <f t="shared" si="510"/>
        <v>0</v>
      </c>
      <c r="N2559" s="2517">
        <f t="shared" si="498"/>
        <v>0</v>
      </c>
      <c r="O2559" s="2517">
        <f t="shared" si="511"/>
        <v>0</v>
      </c>
      <c r="P2559" s="2642"/>
      <c r="Q2559" s="2519"/>
      <c r="R2559" s="2519"/>
      <c r="S2559" s="2519"/>
    </row>
    <row r="2560" spans="1:19" s="2358" customFormat="1" outlineLevel="1">
      <c r="A2560" s="2435" t="str">
        <f t="shared" si="508"/>
        <v/>
      </c>
      <c r="B2560" s="2505" t="s">
        <v>6</v>
      </c>
      <c r="C2560" s="2521"/>
      <c r="D2560" s="2405"/>
      <c r="E2560" s="2447" t="s">
        <v>3585</v>
      </c>
      <c r="F2560" s="2405" t="s">
        <v>5868</v>
      </c>
      <c r="G2560" s="2523">
        <f>+G2559</f>
        <v>0</v>
      </c>
      <c r="H2560" s="2517">
        <v>45000</v>
      </c>
      <c r="I2560" s="2517"/>
      <c r="J2560" s="2517"/>
      <c r="K2560" s="2517"/>
      <c r="L2560" s="2517">
        <f t="shared" si="509"/>
        <v>0</v>
      </c>
      <c r="M2560" s="2517">
        <f t="shared" si="510"/>
        <v>0</v>
      </c>
      <c r="N2560" s="2517">
        <f t="shared" si="498"/>
        <v>0</v>
      </c>
      <c r="O2560" s="2517">
        <f t="shared" si="511"/>
        <v>0</v>
      </c>
      <c r="P2560" s="2518"/>
      <c r="Q2560" s="2519"/>
      <c r="R2560" s="2519"/>
      <c r="S2560" s="2519"/>
    </row>
    <row r="2561" spans="1:19" s="2358" customFormat="1" outlineLevel="1">
      <c r="A2561" s="2435" t="str">
        <f t="shared" si="508"/>
        <v/>
      </c>
      <c r="B2561" s="2514" t="s">
        <v>1351</v>
      </c>
      <c r="C2561" s="2521"/>
      <c r="D2561" s="2405">
        <v>0</v>
      </c>
      <c r="E2561" s="2447" t="s">
        <v>3536</v>
      </c>
      <c r="F2561" s="2405" t="s">
        <v>3537</v>
      </c>
      <c r="G2561" s="2523">
        <f>+G2560</f>
        <v>0</v>
      </c>
      <c r="H2561" s="2517">
        <v>15000</v>
      </c>
      <c r="I2561" s="2517"/>
      <c r="J2561" s="2517">
        <v>0</v>
      </c>
      <c r="K2561" s="2517">
        <v>0</v>
      </c>
      <c r="L2561" s="2517">
        <f t="shared" si="509"/>
        <v>0</v>
      </c>
      <c r="M2561" s="2517">
        <f t="shared" si="510"/>
        <v>0</v>
      </c>
      <c r="N2561" s="2517">
        <f t="shared" si="498"/>
        <v>0</v>
      </c>
      <c r="O2561" s="2517">
        <f t="shared" si="511"/>
        <v>0</v>
      </c>
      <c r="P2561" s="2518"/>
      <c r="Q2561" s="2519"/>
      <c r="R2561" s="2519"/>
      <c r="S2561" s="2519"/>
    </row>
    <row r="2562" spans="1:19" s="2358" customFormat="1" outlineLevel="1">
      <c r="A2562" s="2435" t="str">
        <f t="shared" si="508"/>
        <v/>
      </c>
      <c r="B2562" s="2505" t="s">
        <v>672</v>
      </c>
      <c r="C2562" s="2521"/>
      <c r="D2562" s="2405">
        <v>0</v>
      </c>
      <c r="E2562" s="2447" t="s">
        <v>5863</v>
      </c>
      <c r="F2562" s="2405" t="s">
        <v>3584</v>
      </c>
      <c r="G2562" s="2523">
        <f>+G2549*5</f>
        <v>0</v>
      </c>
      <c r="H2562" s="2517">
        <v>6500</v>
      </c>
      <c r="I2562" s="2517"/>
      <c r="J2562" s="2517">
        <v>0</v>
      </c>
      <c r="K2562" s="2517">
        <v>0</v>
      </c>
      <c r="L2562" s="2517">
        <f t="shared" si="509"/>
        <v>0</v>
      </c>
      <c r="M2562" s="2517">
        <f t="shared" si="510"/>
        <v>0</v>
      </c>
      <c r="N2562" s="2517">
        <f t="shared" si="498"/>
        <v>0</v>
      </c>
      <c r="O2562" s="2517">
        <f t="shared" si="511"/>
        <v>0</v>
      </c>
      <c r="P2562" s="2642"/>
      <c r="Q2562" s="2519"/>
      <c r="R2562" s="2519"/>
      <c r="S2562" s="2519"/>
    </row>
    <row r="2563" spans="1:19" s="2358" customFormat="1" outlineLevel="1">
      <c r="A2563" s="2435" t="str">
        <f t="shared" si="508"/>
        <v/>
      </c>
      <c r="B2563" s="2505" t="s">
        <v>247</v>
      </c>
      <c r="C2563" s="2521"/>
      <c r="D2563" s="2405" t="s">
        <v>5635</v>
      </c>
      <c r="E2563" s="2447" t="s">
        <v>5636</v>
      </c>
      <c r="F2563" s="2405" t="s">
        <v>1827</v>
      </c>
      <c r="G2563" s="2523">
        <f>G2551</f>
        <v>0</v>
      </c>
      <c r="H2563" s="2517">
        <v>0</v>
      </c>
      <c r="I2563" s="2517"/>
      <c r="J2563" s="2517">
        <v>47311</v>
      </c>
      <c r="K2563" s="2517">
        <v>0</v>
      </c>
      <c r="L2563" s="2517">
        <f>H2563*G2563</f>
        <v>0</v>
      </c>
      <c r="M2563" s="2517">
        <f>I2563*G2563</f>
        <v>0</v>
      </c>
      <c r="N2563" s="2517">
        <f t="shared" si="498"/>
        <v>0</v>
      </c>
      <c r="O2563" s="2517">
        <f>K2563*G2563</f>
        <v>0</v>
      </c>
      <c r="P2563" s="2642"/>
      <c r="Q2563" s="2519"/>
      <c r="R2563" s="2519"/>
      <c r="S2563" s="2519"/>
    </row>
    <row r="2564" spans="1:19" s="2358" customFormat="1" outlineLevel="1">
      <c r="A2564" s="2435" t="str">
        <f>IF(G2564&lt;&gt;0,1,"")</f>
        <v/>
      </c>
      <c r="B2564" s="2505"/>
      <c r="C2564" s="2511">
        <f>IF(G2564&gt;0,C2549+1,C2549)</f>
        <v>0</v>
      </c>
      <c r="D2564" s="2512"/>
      <c r="E2564" s="2513" t="s">
        <v>6327</v>
      </c>
      <c r="F2564" s="2511" t="s">
        <v>2391</v>
      </c>
      <c r="G2564" s="2524">
        <f>G2549</f>
        <v>0</v>
      </c>
      <c r="H2564" s="2517"/>
      <c r="I2564" s="2517"/>
      <c r="J2564" s="2517"/>
      <c r="K2564" s="2517"/>
      <c r="L2564" s="2517"/>
      <c r="M2564" s="2517"/>
      <c r="N2564" s="2517">
        <f t="shared" si="498"/>
        <v>0</v>
      </c>
      <c r="O2564" s="2517"/>
      <c r="P2564" s="2518"/>
      <c r="Q2564" s="2519"/>
      <c r="R2564" s="2519"/>
      <c r="S2564" s="2519"/>
    </row>
    <row r="2565" spans="1:19" s="2541" customFormat="1" ht="14.4" outlineLevel="1">
      <c r="A2565" s="2435" t="str">
        <f>A2564</f>
        <v/>
      </c>
      <c r="B2565" s="2753"/>
      <c r="C2565" s="2511"/>
      <c r="D2565" s="2512"/>
      <c r="E2565" s="2527" t="s">
        <v>6207</v>
      </c>
      <c r="F2565" s="2511"/>
      <c r="G2565" s="2523"/>
      <c r="H2565" s="2517"/>
      <c r="I2565" s="2517"/>
      <c r="J2565" s="2517"/>
      <c r="K2565" s="2517"/>
      <c r="L2565" s="2517">
        <f>SUBTOTAL(9,L2566:L2586)*0</f>
        <v>0</v>
      </c>
      <c r="M2565" s="2517">
        <f>SUBTOTAL(9,M2566:M2586)</f>
        <v>0</v>
      </c>
      <c r="N2565" s="2517">
        <f t="shared" si="498"/>
        <v>0</v>
      </c>
      <c r="O2565" s="2517">
        <f>SUBTOTAL(9,O2566:O2586)*0</f>
        <v>0</v>
      </c>
      <c r="P2565" s="2518"/>
      <c r="Q2565" s="2686"/>
      <c r="R2565" s="2686"/>
      <c r="S2565" s="2686"/>
    </row>
    <row r="2566" spans="1:19" s="2358" customFormat="1" outlineLevel="1">
      <c r="A2566" s="2435">
        <f>IF(G2566=0,0,1)</f>
        <v>0</v>
      </c>
      <c r="B2566" s="2514" t="s">
        <v>2282</v>
      </c>
      <c r="C2566" s="2642"/>
      <c r="D2566" s="2405">
        <v>0</v>
      </c>
      <c r="E2566" s="2612" t="s">
        <v>2794</v>
      </c>
      <c r="F2566" s="2754" t="s">
        <v>2538</v>
      </c>
      <c r="G2566" s="2523">
        <f>G2564*26</f>
        <v>0</v>
      </c>
      <c r="H2566" s="2517">
        <v>63200</v>
      </c>
      <c r="I2566" s="2517"/>
      <c r="J2566" s="2517">
        <v>0</v>
      </c>
      <c r="K2566" s="2517">
        <v>0</v>
      </c>
      <c r="L2566" s="2517">
        <f t="shared" ref="L2566:M2586" si="512">H2566*$G2566</f>
        <v>0</v>
      </c>
      <c r="M2566" s="2517">
        <f t="shared" si="512"/>
        <v>0</v>
      </c>
      <c r="N2566" s="2517">
        <f t="shared" si="498"/>
        <v>0</v>
      </c>
      <c r="O2566" s="2517">
        <f t="shared" ref="O2566:O2586" si="513">K2566*$G2566</f>
        <v>0</v>
      </c>
      <c r="P2566" s="2518"/>
      <c r="Q2566" s="2519"/>
      <c r="R2566" s="2519"/>
      <c r="S2566" s="2519"/>
    </row>
    <row r="2567" spans="1:19" s="2358" customFormat="1" outlineLevel="1">
      <c r="A2567" s="2435">
        <f>IF(G2567=0,0,1)</f>
        <v>0</v>
      </c>
      <c r="B2567" s="2505" t="s">
        <v>6328</v>
      </c>
      <c r="C2567" s="2521"/>
      <c r="D2567" s="2405">
        <v>0</v>
      </c>
      <c r="E2567" s="2612" t="s">
        <v>5105</v>
      </c>
      <c r="F2567" s="2754" t="s">
        <v>2445</v>
      </c>
      <c r="G2567" s="2523">
        <f>G2564*24*0</f>
        <v>0</v>
      </c>
      <c r="H2567" s="2517">
        <v>7900</v>
      </c>
      <c r="I2567" s="2517"/>
      <c r="J2567" s="2517">
        <v>0</v>
      </c>
      <c r="K2567" s="2517">
        <v>0</v>
      </c>
      <c r="L2567" s="2517">
        <f t="shared" si="512"/>
        <v>0</v>
      </c>
      <c r="M2567" s="2517">
        <f t="shared" si="512"/>
        <v>0</v>
      </c>
      <c r="N2567" s="2517">
        <f t="shared" si="498"/>
        <v>0</v>
      </c>
      <c r="O2567" s="2517">
        <f t="shared" si="513"/>
        <v>0</v>
      </c>
      <c r="P2567" s="2518"/>
      <c r="Q2567" s="2519"/>
      <c r="R2567" s="2519"/>
      <c r="S2567" s="2519"/>
    </row>
    <row r="2568" spans="1:19" s="2358" customFormat="1" outlineLevel="1">
      <c r="A2568" s="2435">
        <f>IF(G2568=0,0,1)</f>
        <v>0</v>
      </c>
      <c r="B2568" s="2505" t="s">
        <v>6329</v>
      </c>
      <c r="C2568" s="2521"/>
      <c r="D2568" s="2405">
        <v>0</v>
      </c>
      <c r="E2568" s="2612" t="s">
        <v>2632</v>
      </c>
      <c r="F2568" s="2754" t="s">
        <v>2445</v>
      </c>
      <c r="G2568" s="2523">
        <f>G2564*12</f>
        <v>0</v>
      </c>
      <c r="H2568" s="2517">
        <v>1500</v>
      </c>
      <c r="I2568" s="2517"/>
      <c r="J2568" s="2517">
        <v>0</v>
      </c>
      <c r="K2568" s="2517">
        <v>0</v>
      </c>
      <c r="L2568" s="2517">
        <f t="shared" si="512"/>
        <v>0</v>
      </c>
      <c r="M2568" s="2517">
        <f t="shared" si="512"/>
        <v>0</v>
      </c>
      <c r="N2568" s="2517">
        <f t="shared" si="498"/>
        <v>0</v>
      </c>
      <c r="O2568" s="2517">
        <f t="shared" si="513"/>
        <v>0</v>
      </c>
      <c r="P2568" s="2518"/>
      <c r="Q2568" s="2519"/>
      <c r="R2568" s="2519"/>
      <c r="S2568" s="2519"/>
    </row>
    <row r="2569" spans="1:19" s="2358" customFormat="1" outlineLevel="1">
      <c r="A2569" s="2435">
        <f t="shared" ref="A2569:A2586" si="514">IF(G2569=0,0,1)</f>
        <v>0</v>
      </c>
      <c r="B2569" s="2514" t="s">
        <v>246</v>
      </c>
      <c r="C2569" s="2642"/>
      <c r="D2569" s="2405">
        <v>0</v>
      </c>
      <c r="E2569" s="2612" t="s">
        <v>5931</v>
      </c>
      <c r="F2569" s="2754" t="s">
        <v>2563</v>
      </c>
      <c r="G2569" s="2523">
        <f>G2564*24*0</f>
        <v>0</v>
      </c>
      <c r="H2569" s="2517">
        <v>40500</v>
      </c>
      <c r="I2569" s="2517"/>
      <c r="J2569" s="2517">
        <v>39758</v>
      </c>
      <c r="K2569" s="2517">
        <v>0</v>
      </c>
      <c r="L2569" s="2517">
        <f t="shared" si="512"/>
        <v>0</v>
      </c>
      <c r="M2569" s="2517">
        <f t="shared" si="512"/>
        <v>0</v>
      </c>
      <c r="N2569" s="2517">
        <f t="shared" si="498"/>
        <v>0</v>
      </c>
      <c r="O2569" s="2517">
        <f t="shared" si="513"/>
        <v>0</v>
      </c>
      <c r="P2569" s="2518"/>
      <c r="Q2569" s="2519"/>
      <c r="R2569" s="2519"/>
      <c r="S2569" s="2519"/>
    </row>
    <row r="2570" spans="1:19" s="2358" customFormat="1" outlineLevel="1">
      <c r="A2570" s="2435">
        <f t="shared" si="514"/>
        <v>0</v>
      </c>
      <c r="B2570" s="2514" t="s">
        <v>5796</v>
      </c>
      <c r="C2570" s="2521"/>
      <c r="D2570" s="2405" t="s">
        <v>5786</v>
      </c>
      <c r="E2570" s="2612" t="s">
        <v>5797</v>
      </c>
      <c r="F2570" s="2754" t="s">
        <v>2563</v>
      </c>
      <c r="G2570" s="2523">
        <f>G2564*16</f>
        <v>0</v>
      </c>
      <c r="H2570" s="2517">
        <v>1700</v>
      </c>
      <c r="I2570" s="2517"/>
      <c r="J2570" s="2517">
        <v>3637.3560000000002</v>
      </c>
      <c r="K2570" s="2517">
        <v>1666.2139485</v>
      </c>
      <c r="L2570" s="2517">
        <f t="shared" si="512"/>
        <v>0</v>
      </c>
      <c r="M2570" s="2517">
        <f t="shared" si="512"/>
        <v>0</v>
      </c>
      <c r="N2570" s="2517">
        <f t="shared" ref="N2570:N2586" si="515">J2570*G2570</f>
        <v>0</v>
      </c>
      <c r="O2570" s="2517">
        <f t="shared" si="513"/>
        <v>0</v>
      </c>
      <c r="P2570" s="2518"/>
      <c r="Q2570" s="2519"/>
      <c r="R2570" s="2519"/>
      <c r="S2570" s="2519"/>
    </row>
    <row r="2571" spans="1:19" s="2358" customFormat="1" outlineLevel="1">
      <c r="A2571" s="2435">
        <f t="shared" si="514"/>
        <v>0</v>
      </c>
      <c r="B2571" s="2514" t="s">
        <v>1513</v>
      </c>
      <c r="C2571" s="2521"/>
      <c r="D2571" s="2405">
        <v>0</v>
      </c>
      <c r="E2571" s="2612" t="s">
        <v>3533</v>
      </c>
      <c r="F2571" s="2754" t="s">
        <v>2538</v>
      </c>
      <c r="G2571" s="2523">
        <f>6*G2564*0</f>
        <v>0</v>
      </c>
      <c r="H2571" s="2517">
        <v>860</v>
      </c>
      <c r="I2571" s="2517"/>
      <c r="J2571" s="2517">
        <v>0</v>
      </c>
      <c r="K2571" s="2517">
        <v>0</v>
      </c>
      <c r="L2571" s="2517">
        <f t="shared" si="512"/>
        <v>0</v>
      </c>
      <c r="M2571" s="2517">
        <f t="shared" si="512"/>
        <v>0</v>
      </c>
      <c r="N2571" s="2517">
        <f t="shared" si="515"/>
        <v>0</v>
      </c>
      <c r="O2571" s="2517">
        <f t="shared" si="513"/>
        <v>0</v>
      </c>
      <c r="P2571" s="2518"/>
      <c r="Q2571" s="2519"/>
      <c r="R2571" s="2519"/>
      <c r="S2571" s="2519"/>
    </row>
    <row r="2572" spans="1:19" s="2358" customFormat="1" outlineLevel="1">
      <c r="A2572" s="2435">
        <f t="shared" si="514"/>
        <v>0</v>
      </c>
      <c r="B2572" s="2514" t="s">
        <v>816</v>
      </c>
      <c r="C2572" s="2521"/>
      <c r="D2572" s="2405">
        <v>0</v>
      </c>
      <c r="E2572" s="2612" t="s">
        <v>3599</v>
      </c>
      <c r="F2572" s="2754" t="s">
        <v>2563</v>
      </c>
      <c r="G2572" s="2523">
        <f>+G2564*3</f>
        <v>0</v>
      </c>
      <c r="H2572" s="2517">
        <v>17600</v>
      </c>
      <c r="I2572" s="2517"/>
      <c r="J2572" s="2517">
        <v>0</v>
      </c>
      <c r="K2572" s="2517">
        <v>0</v>
      </c>
      <c r="L2572" s="2517">
        <f t="shared" si="512"/>
        <v>0</v>
      </c>
      <c r="M2572" s="2517">
        <f t="shared" si="512"/>
        <v>0</v>
      </c>
      <c r="N2572" s="2517">
        <f t="shared" si="515"/>
        <v>0</v>
      </c>
      <c r="O2572" s="2517">
        <f t="shared" si="513"/>
        <v>0</v>
      </c>
      <c r="P2572" s="2518"/>
      <c r="Q2572" s="2519"/>
      <c r="R2572" s="2519"/>
      <c r="S2572" s="2519"/>
    </row>
    <row r="2573" spans="1:19" s="2358" customFormat="1" outlineLevel="1">
      <c r="A2573" s="2435">
        <f t="shared" si="514"/>
        <v>0</v>
      </c>
      <c r="B2573" s="2514" t="s">
        <v>2147</v>
      </c>
      <c r="C2573" s="2521"/>
      <c r="D2573" s="2405">
        <v>0</v>
      </c>
      <c r="E2573" s="2612" t="s">
        <v>3553</v>
      </c>
      <c r="F2573" s="2754" t="s">
        <v>1827</v>
      </c>
      <c r="G2573" s="2523">
        <f>G2582*12</f>
        <v>0</v>
      </c>
      <c r="H2573" s="2517">
        <v>16100</v>
      </c>
      <c r="I2573" s="2517"/>
      <c r="J2573" s="2517">
        <v>0</v>
      </c>
      <c r="K2573" s="2517">
        <v>0</v>
      </c>
      <c r="L2573" s="2517">
        <f t="shared" si="512"/>
        <v>0</v>
      </c>
      <c r="M2573" s="2517">
        <f t="shared" si="512"/>
        <v>0</v>
      </c>
      <c r="N2573" s="2517">
        <f t="shared" si="515"/>
        <v>0</v>
      </c>
      <c r="O2573" s="2517">
        <f t="shared" si="513"/>
        <v>0</v>
      </c>
      <c r="P2573" s="2518"/>
      <c r="Q2573" s="2519"/>
      <c r="R2573" s="2519"/>
      <c r="S2573" s="2519"/>
    </row>
    <row r="2574" spans="1:19" s="2358" customFormat="1" outlineLevel="1">
      <c r="A2574" s="2435">
        <f t="shared" si="514"/>
        <v>0</v>
      </c>
      <c r="B2574" s="2505" t="s">
        <v>204</v>
      </c>
      <c r="C2574" s="2521"/>
      <c r="D2574" s="2405">
        <v>0</v>
      </c>
      <c r="E2574" s="2612" t="s">
        <v>2996</v>
      </c>
      <c r="F2574" s="2754" t="s">
        <v>2445</v>
      </c>
      <c r="G2574" s="2523">
        <f>G2564*4</f>
        <v>0</v>
      </c>
      <c r="H2574" s="2517">
        <v>34000</v>
      </c>
      <c r="I2574" s="2517"/>
      <c r="J2574" s="2517">
        <v>0</v>
      </c>
      <c r="K2574" s="2517">
        <v>0</v>
      </c>
      <c r="L2574" s="2517">
        <f t="shared" si="512"/>
        <v>0</v>
      </c>
      <c r="M2574" s="2517">
        <f t="shared" si="512"/>
        <v>0</v>
      </c>
      <c r="N2574" s="2517">
        <f t="shared" si="515"/>
        <v>0</v>
      </c>
      <c r="O2574" s="2517">
        <f t="shared" si="513"/>
        <v>0</v>
      </c>
      <c r="P2574" s="2518"/>
      <c r="Q2574" s="2519"/>
      <c r="R2574" s="2519"/>
      <c r="S2574" s="2519"/>
    </row>
    <row r="2575" spans="1:19" s="2358" customFormat="1" outlineLevel="1">
      <c r="A2575" s="2435">
        <f t="shared" si="514"/>
        <v>0</v>
      </c>
      <c r="B2575" s="2514" t="s">
        <v>1619</v>
      </c>
      <c r="C2575" s="2521"/>
      <c r="D2575" s="2405">
        <v>0</v>
      </c>
      <c r="E2575" s="2612" t="s">
        <v>3560</v>
      </c>
      <c r="F2575" s="2754" t="s">
        <v>2563</v>
      </c>
      <c r="G2575" s="2523">
        <f>G2564*6</f>
        <v>0</v>
      </c>
      <c r="H2575" s="2517">
        <v>11400</v>
      </c>
      <c r="I2575" s="2517"/>
      <c r="J2575" s="2517">
        <v>0</v>
      </c>
      <c r="K2575" s="2517">
        <v>0</v>
      </c>
      <c r="L2575" s="2517">
        <f t="shared" si="512"/>
        <v>0</v>
      </c>
      <c r="M2575" s="2517">
        <f t="shared" si="512"/>
        <v>0</v>
      </c>
      <c r="N2575" s="2517">
        <f t="shared" si="515"/>
        <v>0</v>
      </c>
      <c r="O2575" s="2517">
        <f t="shared" si="513"/>
        <v>0</v>
      </c>
      <c r="P2575" s="2518"/>
      <c r="Q2575" s="2519"/>
      <c r="R2575" s="2519"/>
      <c r="S2575" s="2519"/>
    </row>
    <row r="2576" spans="1:19" s="2358" customFormat="1" outlineLevel="1">
      <c r="A2576" s="2435">
        <f t="shared" si="514"/>
        <v>0</v>
      </c>
      <c r="B2576" s="2514" t="s">
        <v>1050</v>
      </c>
      <c r="C2576" s="2521"/>
      <c r="D2576" s="2405">
        <v>0</v>
      </c>
      <c r="E2576" s="2612" t="s">
        <v>3561</v>
      </c>
      <c r="F2576" s="2754" t="s">
        <v>2563</v>
      </c>
      <c r="G2576" s="2523">
        <f>G2564*5</f>
        <v>0</v>
      </c>
      <c r="H2576" s="2517">
        <v>21000</v>
      </c>
      <c r="I2576" s="2517"/>
      <c r="J2576" s="2517">
        <v>0</v>
      </c>
      <c r="K2576" s="2517">
        <v>0</v>
      </c>
      <c r="L2576" s="2517">
        <f t="shared" si="512"/>
        <v>0</v>
      </c>
      <c r="M2576" s="2517">
        <f t="shared" si="512"/>
        <v>0</v>
      </c>
      <c r="N2576" s="2517">
        <f t="shared" si="515"/>
        <v>0</v>
      </c>
      <c r="O2576" s="2517">
        <f t="shared" si="513"/>
        <v>0</v>
      </c>
      <c r="P2576" s="2518"/>
      <c r="Q2576" s="2519"/>
      <c r="R2576" s="2519"/>
      <c r="S2576" s="2519"/>
    </row>
    <row r="2577" spans="1:19" s="2358" customFormat="1" outlineLevel="1">
      <c r="A2577" s="2435">
        <f t="shared" si="514"/>
        <v>0</v>
      </c>
      <c r="B2577" s="2514" t="s">
        <v>726</v>
      </c>
      <c r="C2577" s="2521"/>
      <c r="D2577" s="2405">
        <v>0</v>
      </c>
      <c r="E2577" s="2612" t="s">
        <v>3590</v>
      </c>
      <c r="F2577" s="2754" t="s">
        <v>388</v>
      </c>
      <c r="G2577" s="2523">
        <f>G2564</f>
        <v>0</v>
      </c>
      <c r="H2577" s="2517">
        <v>54100</v>
      </c>
      <c r="I2577" s="2517"/>
      <c r="J2577" s="2517">
        <v>0</v>
      </c>
      <c r="K2577" s="2517">
        <v>0</v>
      </c>
      <c r="L2577" s="2517">
        <f t="shared" si="512"/>
        <v>0</v>
      </c>
      <c r="M2577" s="2517">
        <f t="shared" si="512"/>
        <v>0</v>
      </c>
      <c r="N2577" s="2517">
        <f t="shared" si="515"/>
        <v>0</v>
      </c>
      <c r="O2577" s="2517">
        <f t="shared" si="513"/>
        <v>0</v>
      </c>
      <c r="P2577" s="2518"/>
      <c r="Q2577" s="2519"/>
      <c r="R2577" s="2519"/>
      <c r="S2577" s="2519"/>
    </row>
    <row r="2578" spans="1:19" s="2358" customFormat="1" outlineLevel="1">
      <c r="A2578" s="2435">
        <f t="shared" si="514"/>
        <v>0</v>
      </c>
      <c r="B2578" s="2505" t="s">
        <v>672</v>
      </c>
      <c r="C2578" s="2521"/>
      <c r="D2578" s="2405">
        <v>0</v>
      </c>
      <c r="E2578" s="2612" t="s">
        <v>5863</v>
      </c>
      <c r="F2578" s="2754" t="s">
        <v>3584</v>
      </c>
      <c r="G2578" s="2523">
        <f>G2564</f>
        <v>0</v>
      </c>
      <c r="H2578" s="2517">
        <v>6500</v>
      </c>
      <c r="I2578" s="2517"/>
      <c r="J2578" s="2517">
        <v>0</v>
      </c>
      <c r="K2578" s="2517">
        <v>0</v>
      </c>
      <c r="L2578" s="2517">
        <f t="shared" si="512"/>
        <v>0</v>
      </c>
      <c r="M2578" s="2517">
        <f t="shared" si="512"/>
        <v>0</v>
      </c>
      <c r="N2578" s="2517">
        <f t="shared" si="515"/>
        <v>0</v>
      </c>
      <c r="O2578" s="2517">
        <f t="shared" si="513"/>
        <v>0</v>
      </c>
      <c r="P2578" s="2518"/>
      <c r="Q2578" s="2519"/>
      <c r="R2578" s="2519"/>
      <c r="S2578" s="2519"/>
    </row>
    <row r="2579" spans="1:19" s="2358" customFormat="1" outlineLevel="1">
      <c r="A2579" s="2435">
        <f t="shared" si="514"/>
        <v>0</v>
      </c>
      <c r="B2579" s="2514" t="s">
        <v>2126</v>
      </c>
      <c r="C2579" s="2521"/>
      <c r="D2579" s="2405">
        <v>0</v>
      </c>
      <c r="E2579" s="2612" t="s">
        <v>3591</v>
      </c>
      <c r="F2579" s="2754" t="s">
        <v>2563</v>
      </c>
      <c r="G2579" s="2523">
        <f>G2564</f>
        <v>0</v>
      </c>
      <c r="H2579" s="2517">
        <v>5000</v>
      </c>
      <c r="I2579" s="2517"/>
      <c r="J2579" s="2517">
        <v>0</v>
      </c>
      <c r="K2579" s="2517">
        <v>0</v>
      </c>
      <c r="L2579" s="2517">
        <f t="shared" si="512"/>
        <v>0</v>
      </c>
      <c r="M2579" s="2517">
        <f t="shared" si="512"/>
        <v>0</v>
      </c>
      <c r="N2579" s="2517">
        <f t="shared" si="515"/>
        <v>0</v>
      </c>
      <c r="O2579" s="2517">
        <f t="shared" si="513"/>
        <v>0</v>
      </c>
      <c r="P2579" s="2518"/>
      <c r="Q2579" s="2519"/>
      <c r="R2579" s="2519"/>
      <c r="S2579" s="2519"/>
    </row>
    <row r="2580" spans="1:19" s="2358" customFormat="1" outlineLevel="1">
      <c r="A2580" s="2435">
        <f t="shared" si="514"/>
        <v>0</v>
      </c>
      <c r="B2580" s="2505" t="s">
        <v>959</v>
      </c>
      <c r="C2580" s="2521"/>
      <c r="D2580" s="2405">
        <v>0</v>
      </c>
      <c r="E2580" s="2612" t="s">
        <v>3595</v>
      </c>
      <c r="F2580" s="2754" t="s">
        <v>2563</v>
      </c>
      <c r="G2580" s="2523">
        <f>G2564</f>
        <v>0</v>
      </c>
      <c r="H2580" s="2517">
        <v>5200</v>
      </c>
      <c r="I2580" s="2517"/>
      <c r="J2580" s="2517">
        <v>0</v>
      </c>
      <c r="K2580" s="2517">
        <v>0</v>
      </c>
      <c r="L2580" s="2517">
        <f t="shared" si="512"/>
        <v>0</v>
      </c>
      <c r="M2580" s="2517">
        <f t="shared" si="512"/>
        <v>0</v>
      </c>
      <c r="N2580" s="2517">
        <f t="shared" si="515"/>
        <v>0</v>
      </c>
      <c r="O2580" s="2517">
        <f t="shared" si="513"/>
        <v>0</v>
      </c>
      <c r="P2580" s="2518"/>
      <c r="Q2580" s="2519"/>
      <c r="R2580" s="2519"/>
      <c r="S2580" s="2519"/>
    </row>
    <row r="2581" spans="1:19" s="2358" customFormat="1" outlineLevel="1">
      <c r="A2581" s="2435">
        <f t="shared" si="514"/>
        <v>0</v>
      </c>
      <c r="B2581" s="2505" t="s">
        <v>319</v>
      </c>
      <c r="C2581" s="2521"/>
      <c r="D2581" s="2405">
        <v>0</v>
      </c>
      <c r="E2581" s="2612" t="s">
        <v>5330</v>
      </c>
      <c r="F2581" s="2754" t="s">
        <v>2445</v>
      </c>
      <c r="G2581" s="2523">
        <f>G2564*2</f>
        <v>0</v>
      </c>
      <c r="H2581" s="2517">
        <v>168000</v>
      </c>
      <c r="I2581" s="2517"/>
      <c r="J2581" s="2517">
        <v>0</v>
      </c>
      <c r="K2581" s="2517">
        <v>0</v>
      </c>
      <c r="L2581" s="2517">
        <f t="shared" si="512"/>
        <v>0</v>
      </c>
      <c r="M2581" s="2517">
        <f t="shared" si="512"/>
        <v>0</v>
      </c>
      <c r="N2581" s="2517">
        <f t="shared" si="515"/>
        <v>0</v>
      </c>
      <c r="O2581" s="2517">
        <f t="shared" si="513"/>
        <v>0</v>
      </c>
      <c r="P2581" s="2518"/>
      <c r="Q2581" s="2519"/>
      <c r="R2581" s="2519"/>
      <c r="S2581" s="2519"/>
    </row>
    <row r="2582" spans="1:19" s="2358" customFormat="1" outlineLevel="1">
      <c r="A2582" s="2435">
        <f t="shared" si="514"/>
        <v>0</v>
      </c>
      <c r="B2582" s="2505" t="s">
        <v>1919</v>
      </c>
      <c r="C2582" s="2521"/>
      <c r="D2582" s="2405" t="s">
        <v>5717</v>
      </c>
      <c r="E2582" s="2612" t="s">
        <v>3412</v>
      </c>
      <c r="F2582" s="2754" t="s">
        <v>2563</v>
      </c>
      <c r="G2582" s="2523">
        <f>G2564</f>
        <v>0</v>
      </c>
      <c r="H2582" s="2517">
        <v>845331</v>
      </c>
      <c r="I2582" s="2517"/>
      <c r="J2582" s="2517">
        <v>599038</v>
      </c>
      <c r="K2582" s="2517">
        <v>97369</v>
      </c>
      <c r="L2582" s="2517">
        <f t="shared" si="512"/>
        <v>0</v>
      </c>
      <c r="M2582" s="2517">
        <f t="shared" si="512"/>
        <v>0</v>
      </c>
      <c r="N2582" s="2517">
        <f t="shared" si="515"/>
        <v>0</v>
      </c>
      <c r="O2582" s="2517">
        <f t="shared" si="513"/>
        <v>0</v>
      </c>
      <c r="P2582" s="2518"/>
      <c r="Q2582" s="2519"/>
      <c r="R2582" s="2519"/>
      <c r="S2582" s="2519"/>
    </row>
    <row r="2583" spans="1:19" s="2358" customFormat="1" outlineLevel="1">
      <c r="A2583" s="2435">
        <f t="shared" si="514"/>
        <v>0</v>
      </c>
      <c r="B2583" s="2505" t="s">
        <v>6</v>
      </c>
      <c r="C2583" s="2521"/>
      <c r="D2583" s="2405">
        <v>0</v>
      </c>
      <c r="E2583" s="2612" t="s">
        <v>3585</v>
      </c>
      <c r="F2583" s="2754" t="s">
        <v>5868</v>
      </c>
      <c r="G2583" s="2523">
        <f>G2564*2</f>
        <v>0</v>
      </c>
      <c r="H2583" s="2517">
        <v>45000</v>
      </c>
      <c r="I2583" s="2517"/>
      <c r="J2583" s="2517">
        <v>0</v>
      </c>
      <c r="K2583" s="2517">
        <v>0</v>
      </c>
      <c r="L2583" s="2517">
        <f t="shared" si="512"/>
        <v>0</v>
      </c>
      <c r="M2583" s="2517">
        <f t="shared" si="512"/>
        <v>0</v>
      </c>
      <c r="N2583" s="2517">
        <f t="shared" si="515"/>
        <v>0</v>
      </c>
      <c r="O2583" s="2517">
        <f t="shared" si="513"/>
        <v>0</v>
      </c>
      <c r="P2583" s="2518"/>
      <c r="Q2583" s="2519"/>
      <c r="R2583" s="2519"/>
      <c r="S2583" s="2519"/>
    </row>
    <row r="2584" spans="1:19" s="2358" customFormat="1" outlineLevel="1">
      <c r="A2584" s="2435">
        <f t="shared" si="514"/>
        <v>0</v>
      </c>
      <c r="B2584" s="2505" t="s">
        <v>2145</v>
      </c>
      <c r="C2584" s="2521"/>
      <c r="D2584" s="2405">
        <v>0</v>
      </c>
      <c r="E2584" s="2612" t="s">
        <v>2793</v>
      </c>
      <c r="F2584" s="2754" t="s">
        <v>2538</v>
      </c>
      <c r="G2584" s="2523">
        <f>G2564*4*0</f>
        <v>0</v>
      </c>
      <c r="H2584" s="2517">
        <v>5000</v>
      </c>
      <c r="I2584" s="2517"/>
      <c r="J2584" s="2517">
        <v>0</v>
      </c>
      <c r="K2584" s="2517">
        <v>0</v>
      </c>
      <c r="L2584" s="2517">
        <f t="shared" si="512"/>
        <v>0</v>
      </c>
      <c r="M2584" s="2517">
        <f t="shared" si="512"/>
        <v>0</v>
      </c>
      <c r="N2584" s="2517">
        <f t="shared" si="515"/>
        <v>0</v>
      </c>
      <c r="O2584" s="2517">
        <f t="shared" si="513"/>
        <v>0</v>
      </c>
      <c r="P2584" s="2518"/>
      <c r="Q2584" s="2519"/>
      <c r="R2584" s="2519"/>
      <c r="S2584" s="2519"/>
    </row>
    <row r="2585" spans="1:19" s="2358" customFormat="1" outlineLevel="1">
      <c r="A2585" s="2435">
        <f t="shared" si="514"/>
        <v>0</v>
      </c>
      <c r="B2585" s="2505" t="s">
        <v>1035</v>
      </c>
      <c r="C2585" s="2521"/>
      <c r="D2585" s="2405">
        <v>0</v>
      </c>
      <c r="E2585" s="2612" t="s">
        <v>2972</v>
      </c>
      <c r="F2585" s="2754" t="s">
        <v>2254</v>
      </c>
      <c r="G2585" s="2523">
        <f>3.77*G2564*2*0.3*0</f>
        <v>0</v>
      </c>
      <c r="H2585" s="2517">
        <v>31625</v>
      </c>
      <c r="I2585" s="2517"/>
      <c r="J2585" s="2517">
        <v>0</v>
      </c>
      <c r="K2585" s="2517">
        <v>0</v>
      </c>
      <c r="L2585" s="2517">
        <f t="shared" si="512"/>
        <v>0</v>
      </c>
      <c r="M2585" s="2517">
        <f t="shared" si="512"/>
        <v>0</v>
      </c>
      <c r="N2585" s="2517">
        <f t="shared" si="515"/>
        <v>0</v>
      </c>
      <c r="O2585" s="2517">
        <f t="shared" si="513"/>
        <v>0</v>
      </c>
      <c r="P2585" s="2518"/>
      <c r="Q2585" s="2519"/>
      <c r="R2585" s="2519"/>
      <c r="S2585" s="2519"/>
    </row>
    <row r="2586" spans="1:19" s="2358" customFormat="1" outlineLevel="1">
      <c r="A2586" s="2435">
        <f t="shared" si="514"/>
        <v>0</v>
      </c>
      <c r="B2586" s="2505" t="s">
        <v>6329</v>
      </c>
      <c r="C2586" s="2521"/>
      <c r="D2586" s="2405">
        <v>0</v>
      </c>
      <c r="E2586" s="2612" t="s">
        <v>2632</v>
      </c>
      <c r="F2586" s="2754" t="s">
        <v>2445</v>
      </c>
      <c r="G2586" s="2808">
        <f>4*G2564*0</f>
        <v>0</v>
      </c>
      <c r="H2586" s="2517">
        <v>1500</v>
      </c>
      <c r="I2586" s="2517"/>
      <c r="J2586" s="2517">
        <v>0</v>
      </c>
      <c r="K2586" s="2517">
        <v>0</v>
      </c>
      <c r="L2586" s="2517">
        <f t="shared" si="512"/>
        <v>0</v>
      </c>
      <c r="M2586" s="2517">
        <f t="shared" si="512"/>
        <v>0</v>
      </c>
      <c r="N2586" s="2517">
        <f t="shared" si="515"/>
        <v>0</v>
      </c>
      <c r="O2586" s="2517">
        <f t="shared" si="513"/>
        <v>0</v>
      </c>
      <c r="P2586" s="2518"/>
      <c r="Q2586" s="2519"/>
      <c r="R2586" s="2519"/>
      <c r="S2586" s="2519"/>
    </row>
    <row r="2587" spans="1:19" s="2358" customFormat="1" outlineLevel="1">
      <c r="A2587" s="2435">
        <f>A2386</f>
        <v>0</v>
      </c>
      <c r="B2587" s="2610"/>
      <c r="C2587" s="2676"/>
      <c r="D2587" s="2677"/>
      <c r="E2587" s="2652"/>
      <c r="F2587" s="2890"/>
      <c r="G2587" s="2809"/>
      <c r="H2587" s="2890"/>
      <c r="I2587" s="2890"/>
      <c r="J2587" s="2900" t="s">
        <v>6205</v>
      </c>
      <c r="K2587" s="2900"/>
      <c r="L2587" s="2678">
        <f>SUM(L2406:L2586)</f>
        <v>0</v>
      </c>
      <c r="M2587" s="2678">
        <f>SUM(M2406:M2586)</f>
        <v>0</v>
      </c>
      <c r="N2587" s="2678">
        <f>SUM(N2406:N2586)</f>
        <v>0</v>
      </c>
      <c r="O2587" s="2678">
        <f>SUM(O2406:O2586)</f>
        <v>0</v>
      </c>
      <c r="P2587" s="2649"/>
      <c r="Q2587" s="2519"/>
      <c r="R2587" s="2519"/>
      <c r="S2587" s="2519"/>
    </row>
    <row r="2588" spans="1:19" s="2358" customFormat="1" ht="24.75" customHeight="1" outlineLevel="1">
      <c r="A2588" s="2435"/>
      <c r="B2588" s="2610"/>
      <c r="C2588" s="2780"/>
      <c r="D2588" s="2780"/>
      <c r="E2588" s="2781"/>
      <c r="F2588" s="2898"/>
      <c r="G2588" s="2898"/>
      <c r="H2588" s="2898"/>
      <c r="I2588" s="2898"/>
      <c r="J2588" s="2781"/>
      <c r="K2588" s="2781"/>
      <c r="L2588" s="2782"/>
      <c r="M2588" s="2782"/>
      <c r="N2588" s="2782"/>
      <c r="O2588" s="2782"/>
      <c r="P2588" s="2639"/>
      <c r="Q2588" s="2519"/>
      <c r="R2588" s="2519"/>
      <c r="S2588" s="2519"/>
    </row>
    <row r="2589" spans="1:19" s="2358" customFormat="1">
      <c r="A2589" s="2639">
        <f>IF(G2594&gt;0,1,)</f>
        <v>1</v>
      </c>
      <c r="B2589" s="2505"/>
      <c r="C2589" s="2519"/>
      <c r="D2589" s="2519"/>
      <c r="E2589" s="2689"/>
      <c r="F2589" s="2519"/>
      <c r="G2589" s="2519"/>
      <c r="H2589" s="2519"/>
      <c r="I2589" s="2519"/>
      <c r="J2589" s="2519"/>
      <c r="K2589" s="2519"/>
      <c r="L2589" s="2519"/>
      <c r="M2589" s="2519"/>
      <c r="N2589" s="2519"/>
      <c r="O2589" s="2519"/>
      <c r="P2589" s="2519"/>
      <c r="Q2589" s="2519"/>
      <c r="R2589" s="2519"/>
      <c r="S2589" s="2519"/>
    </row>
    <row r="2590" spans="1:19" s="2358" customFormat="1" outlineLevel="1">
      <c r="A2590" s="2435">
        <f>A2589</f>
        <v>1</v>
      </c>
      <c r="B2590" s="2640"/>
      <c r="C2590" s="2877" t="str">
        <f>"BẢNG TỔNG HỢP VẬT LIỆU, NHÂN CÔNG, MÁY THI CÔNG: "&amp;K16&amp;" TRẠM 3P_1250KVA"</f>
        <v>BẢNG TỔNG HỢP VẬT LIỆU, NHÂN CÔNG, MÁY THI CÔNG: 1 TRẠM 3P_1250KVA</v>
      </c>
      <c r="D2590" s="2892"/>
      <c r="E2590" s="2892"/>
      <c r="F2590" s="2892"/>
      <c r="G2590" s="2892"/>
      <c r="H2590" s="2893"/>
      <c r="I2590" s="2781"/>
      <c r="J2590" s="2893"/>
      <c r="K2590" s="2893"/>
      <c r="L2590" s="2893"/>
      <c r="M2590" s="2781"/>
      <c r="N2590" s="2893"/>
      <c r="O2590" s="2893"/>
      <c r="P2590" s="2895"/>
      <c r="Q2590" s="2519"/>
      <c r="R2590" s="2519"/>
      <c r="S2590" s="2519"/>
    </row>
    <row r="2591" spans="1:19" s="2358" customFormat="1" outlineLevel="1">
      <c r="A2591" s="2435">
        <f>A2589</f>
        <v>1</v>
      </c>
      <c r="B2591" s="2514" t="s">
        <v>6186</v>
      </c>
      <c r="C2591" s="2901" t="s">
        <v>1712</v>
      </c>
      <c r="D2591" s="2902" t="s">
        <v>2605</v>
      </c>
      <c r="E2591" s="2904" t="s">
        <v>2606</v>
      </c>
      <c r="F2591" s="2901" t="s">
        <v>2601</v>
      </c>
      <c r="G2591" s="2362" t="s">
        <v>6187</v>
      </c>
      <c r="H2591" s="2365" t="s">
        <v>6188</v>
      </c>
      <c r="I2591" s="2872"/>
      <c r="J2591" s="2872"/>
      <c r="K2591" s="2873"/>
      <c r="L2591" s="2365" t="s">
        <v>6189</v>
      </c>
      <c r="M2591" s="2872"/>
      <c r="N2591" s="2872"/>
      <c r="O2591" s="2873"/>
      <c r="P2591" s="2901" t="s">
        <v>2607</v>
      </c>
      <c r="Q2591" s="2519"/>
      <c r="R2591" s="2519"/>
      <c r="S2591" s="2519"/>
    </row>
    <row r="2592" spans="1:19" s="2358" customFormat="1" outlineLevel="1">
      <c r="A2592" s="2435">
        <f>A2591</f>
        <v>1</v>
      </c>
      <c r="B2592" s="2514"/>
      <c r="C2592" s="2901"/>
      <c r="D2592" s="2903"/>
      <c r="E2592" s="2905"/>
      <c r="F2592" s="2901"/>
      <c r="G2592" s="2364" t="s">
        <v>2292</v>
      </c>
      <c r="H2592" s="2365" t="s">
        <v>6190</v>
      </c>
      <c r="I2592" s="2365" t="s">
        <v>6191</v>
      </c>
      <c r="J2592" s="2365" t="s">
        <v>6192</v>
      </c>
      <c r="K2592" s="2365" t="s">
        <v>6193</v>
      </c>
      <c r="L2592" s="2365" t="s">
        <v>6190</v>
      </c>
      <c r="M2592" s="2365" t="s">
        <v>6191</v>
      </c>
      <c r="N2592" s="2365" t="s">
        <v>6192</v>
      </c>
      <c r="O2592" s="2365" t="s">
        <v>6193</v>
      </c>
      <c r="P2592" s="2901"/>
      <c r="Q2592" s="2519"/>
      <c r="R2592" s="2519"/>
      <c r="S2592" s="2519"/>
    </row>
    <row r="2593" spans="1:19" s="2358" customFormat="1" outlineLevel="1">
      <c r="A2593" s="2435">
        <f>A2592</f>
        <v>1</v>
      </c>
      <c r="B2593" s="2514"/>
      <c r="C2593" s="2366"/>
      <c r="D2593" s="2367"/>
      <c r="E2593" s="2368" t="s">
        <v>3690</v>
      </c>
      <c r="F2593" s="2369"/>
      <c r="G2593" s="2369"/>
      <c r="H2593" s="2369"/>
      <c r="I2593" s="2369"/>
      <c r="J2593" s="2369"/>
      <c r="K2593" s="2369"/>
      <c r="L2593" s="2369"/>
      <c r="M2593" s="2369"/>
      <c r="N2593" s="2369"/>
      <c r="O2593" s="2367"/>
      <c r="P2593" s="2370"/>
      <c r="Q2593" s="2519"/>
      <c r="R2593" s="2519"/>
      <c r="S2593" s="2519"/>
    </row>
    <row r="2594" spans="1:19" s="2358" customFormat="1" outlineLevel="1">
      <c r="A2594" s="2435">
        <f t="shared" ref="A2594:A2606" si="516">IF(G2594&lt;&gt;0,1,"")</f>
        <v>1</v>
      </c>
      <c r="B2594" s="2505" t="s">
        <v>1416</v>
      </c>
      <c r="C2594" s="2521">
        <f>IF(G2594&gt;0,1,0)</f>
        <v>1</v>
      </c>
      <c r="D2594" s="2405" t="s">
        <v>5656</v>
      </c>
      <c r="E2594" s="2447" t="s">
        <v>3354</v>
      </c>
      <c r="F2594" s="2405" t="s">
        <v>3318</v>
      </c>
      <c r="G2594" s="2523">
        <f>$K$16</f>
        <v>1</v>
      </c>
      <c r="H2594" s="2612">
        <v>616819000</v>
      </c>
      <c r="I2594" s="2612"/>
      <c r="J2594" s="2612">
        <v>1928901</v>
      </c>
      <c r="K2594" s="2612">
        <v>426761</v>
      </c>
      <c r="L2594" s="2613">
        <f t="shared" ref="L2594:L2606" si="517">H2594*G2594</f>
        <v>616819000</v>
      </c>
      <c r="M2594" s="2613">
        <f t="shared" ref="M2594:M2606" si="518">I2594*G2594</f>
        <v>0</v>
      </c>
      <c r="N2594" s="2613">
        <f t="shared" ref="N2594:N2606" si="519">J2594*G2594</f>
        <v>1928901</v>
      </c>
      <c r="O2594" s="2614">
        <f t="shared" ref="O2594:O2606" si="520">K2594*G2594</f>
        <v>426761</v>
      </c>
      <c r="P2594" s="2641"/>
      <c r="Q2594" s="2519"/>
      <c r="R2594" s="2519"/>
      <c r="S2594" s="2519"/>
    </row>
    <row r="2595" spans="1:19" s="2358" customFormat="1" outlineLevel="1">
      <c r="A2595" s="2435">
        <f t="shared" si="516"/>
        <v>1</v>
      </c>
      <c r="B2595" s="2371" t="str">
        <f>"FCO100-"&amp;$F$8</f>
        <v>FCO100-22</v>
      </c>
      <c r="C2595" s="2521">
        <f>IF(G2595&gt;0,C2594+1,C2594)</f>
        <v>2</v>
      </c>
      <c r="D2595" s="2405" t="s">
        <v>5660</v>
      </c>
      <c r="E2595" s="2447" t="s">
        <v>95</v>
      </c>
      <c r="F2595" s="2405" t="s">
        <v>2563</v>
      </c>
      <c r="G2595" s="2523">
        <f>G2594*3</f>
        <v>3</v>
      </c>
      <c r="H2595" s="2517">
        <v>2244280</v>
      </c>
      <c r="I2595" s="2517">
        <v>0</v>
      </c>
      <c r="J2595" s="2517">
        <v>222639.99999999997</v>
      </c>
      <c r="K2595" s="2517">
        <v>0</v>
      </c>
      <c r="L2595" s="2517">
        <f t="shared" si="517"/>
        <v>6732840</v>
      </c>
      <c r="M2595" s="2517">
        <f t="shared" si="518"/>
        <v>0</v>
      </c>
      <c r="N2595" s="2517">
        <f t="shared" si="519"/>
        <v>667919.99999999988</v>
      </c>
      <c r="O2595" s="2517">
        <f t="shared" si="520"/>
        <v>0</v>
      </c>
      <c r="P2595" s="2642"/>
      <c r="Q2595" s="2519"/>
      <c r="R2595" s="2519"/>
      <c r="S2595" s="2519"/>
    </row>
    <row r="2596" spans="1:19" s="2358" customFormat="1" outlineLevel="1">
      <c r="A2596" s="2435">
        <f t="shared" si="516"/>
        <v>1</v>
      </c>
      <c r="B2596" s="2505" t="s">
        <v>6347</v>
      </c>
      <c r="C2596" s="2521">
        <f>IF(G2596&gt;0,C2595+1,C2595)</f>
        <v>3</v>
      </c>
      <c r="D2596" s="2405">
        <v>0</v>
      </c>
      <c r="E2596" s="2447" t="s">
        <v>3449</v>
      </c>
      <c r="F2596" s="2405" t="s">
        <v>2608</v>
      </c>
      <c r="G2596" s="2523">
        <f>G2595</f>
        <v>3</v>
      </c>
      <c r="H2596" s="2517">
        <v>132000</v>
      </c>
      <c r="I2596" s="2517">
        <v>0</v>
      </c>
      <c r="J2596" s="2517">
        <v>0</v>
      </c>
      <c r="K2596" s="2517">
        <v>0</v>
      </c>
      <c r="L2596" s="2517">
        <f t="shared" si="517"/>
        <v>396000</v>
      </c>
      <c r="M2596" s="2517">
        <f t="shared" si="518"/>
        <v>0</v>
      </c>
      <c r="N2596" s="2517">
        <f t="shared" si="519"/>
        <v>0</v>
      </c>
      <c r="O2596" s="2517">
        <f t="shared" si="520"/>
        <v>0</v>
      </c>
      <c r="P2596" s="2642"/>
      <c r="Q2596" s="2519"/>
      <c r="R2596" s="2519"/>
      <c r="S2596" s="2519"/>
    </row>
    <row r="2597" spans="1:19" s="2358" customFormat="1" outlineLevel="1">
      <c r="A2597" s="2435">
        <f t="shared" si="516"/>
        <v>1</v>
      </c>
      <c r="B2597" s="2514" t="str">
        <f>"LA"&amp;$F$6</f>
        <v>LA18</v>
      </c>
      <c r="C2597" s="2521">
        <f>IF(G2597&gt;0,C2596+1,C2596)</f>
        <v>4</v>
      </c>
      <c r="D2597" s="2405" t="s">
        <v>5664</v>
      </c>
      <c r="E2597" s="2447" t="s">
        <v>1193</v>
      </c>
      <c r="F2597" s="2405" t="s">
        <v>2563</v>
      </c>
      <c r="G2597" s="2523">
        <f>G2595</f>
        <v>3</v>
      </c>
      <c r="H2597" s="2517">
        <v>1106000</v>
      </c>
      <c r="I2597" s="2517">
        <v>0</v>
      </c>
      <c r="J2597" s="2517">
        <v>83490</v>
      </c>
      <c r="K2597" s="2517">
        <v>0</v>
      </c>
      <c r="L2597" s="2517">
        <f t="shared" si="517"/>
        <v>3318000</v>
      </c>
      <c r="M2597" s="2517">
        <f t="shared" si="518"/>
        <v>0</v>
      </c>
      <c r="N2597" s="2517">
        <f t="shared" si="519"/>
        <v>250470</v>
      </c>
      <c r="O2597" s="2517">
        <f t="shared" si="520"/>
        <v>0</v>
      </c>
      <c r="P2597" s="2642"/>
      <c r="Q2597" s="2519"/>
      <c r="R2597" s="2519"/>
      <c r="S2597" s="2519"/>
    </row>
    <row r="2598" spans="1:19" s="2358" customFormat="1" outlineLevel="1">
      <c r="A2598" s="2435">
        <f t="shared" si="516"/>
        <v>1</v>
      </c>
      <c r="B2598" s="2610" t="s">
        <v>6348</v>
      </c>
      <c r="C2598" s="2521">
        <f>IF(G2598&gt;0,C2597+1,C2597)</f>
        <v>5</v>
      </c>
      <c r="D2598" s="2405">
        <v>0</v>
      </c>
      <c r="E2598" s="2447" t="s">
        <v>5752</v>
      </c>
      <c r="F2598" s="2405" t="s">
        <v>2563</v>
      </c>
      <c r="G2598" s="2523">
        <f>G2594</f>
        <v>1</v>
      </c>
      <c r="H2598" s="2517">
        <v>64500000</v>
      </c>
      <c r="I2598" s="2517">
        <v>0</v>
      </c>
      <c r="J2598" s="2517">
        <v>0</v>
      </c>
      <c r="K2598" s="2517">
        <v>0</v>
      </c>
      <c r="L2598" s="2517">
        <f t="shared" si="517"/>
        <v>64500000</v>
      </c>
      <c r="M2598" s="2517">
        <f t="shared" si="518"/>
        <v>0</v>
      </c>
      <c r="N2598" s="2517">
        <f t="shared" si="519"/>
        <v>0</v>
      </c>
      <c r="O2598" s="2517">
        <f t="shared" si="520"/>
        <v>0</v>
      </c>
      <c r="P2598" s="2642"/>
      <c r="Q2598" s="2519"/>
      <c r="R2598" s="2519"/>
      <c r="S2598" s="2519"/>
    </row>
    <row r="2599" spans="1:19" s="2358" customFormat="1" outlineLevel="1">
      <c r="A2599" s="2435" t="str">
        <f>IF(G2599&lt;&gt;0,1,"")</f>
        <v/>
      </c>
      <c r="B2599" s="2610" t="s">
        <v>710</v>
      </c>
      <c r="C2599" s="2521">
        <f>IF(G2599&gt;0,C2597+1,C2597)</f>
        <v>4</v>
      </c>
      <c r="D2599" s="2405">
        <v>0</v>
      </c>
      <c r="E2599" s="2447" t="s">
        <v>5744</v>
      </c>
      <c r="F2599" s="2405" t="s">
        <v>2563</v>
      </c>
      <c r="G2599" s="2523"/>
      <c r="H2599" s="2517">
        <v>4990000</v>
      </c>
      <c r="I2599" s="2517">
        <v>0</v>
      </c>
      <c r="J2599" s="2517">
        <v>0</v>
      </c>
      <c r="K2599" s="2517">
        <v>0</v>
      </c>
      <c r="L2599" s="2517">
        <f>H2599*G2599</f>
        <v>0</v>
      </c>
      <c r="M2599" s="2517">
        <f>I2599*G2599</f>
        <v>0</v>
      </c>
      <c r="N2599" s="2517">
        <f>J2599*G2599</f>
        <v>0</v>
      </c>
      <c r="O2599" s="2517">
        <f>K2599*G2599</f>
        <v>0</v>
      </c>
      <c r="P2599" s="2642"/>
      <c r="Q2599" s="2519"/>
      <c r="R2599" s="2519"/>
      <c r="S2599" s="2519"/>
    </row>
    <row r="2600" spans="1:19" s="2358" customFormat="1" outlineLevel="1">
      <c r="A2600" s="2435" t="str">
        <f>IF(G2600&lt;&gt;0,1,"")</f>
        <v/>
      </c>
      <c r="B2600" s="2610" t="s">
        <v>710</v>
      </c>
      <c r="C2600" s="2521">
        <f t="shared" ref="C2600:C2606" si="521">IF(G2600&gt;0,C2598+1,C2598)</f>
        <v>5</v>
      </c>
      <c r="D2600" s="2405">
        <v>0</v>
      </c>
      <c r="E2600" s="2447" t="s">
        <v>5744</v>
      </c>
      <c r="F2600" s="2405" t="s">
        <v>2563</v>
      </c>
      <c r="G2600" s="2523">
        <f>+G2594*1*0</f>
        <v>0</v>
      </c>
      <c r="H2600" s="2517">
        <v>4990000</v>
      </c>
      <c r="I2600" s="2517">
        <v>0</v>
      </c>
      <c r="J2600" s="2517">
        <v>0</v>
      </c>
      <c r="K2600" s="2517">
        <v>0</v>
      </c>
      <c r="L2600" s="2517">
        <f>H2600*G2600</f>
        <v>0</v>
      </c>
      <c r="M2600" s="2517">
        <f>I2600*G2600</f>
        <v>0</v>
      </c>
      <c r="N2600" s="2517">
        <f>J2600*G2600</f>
        <v>0</v>
      </c>
      <c r="O2600" s="2517">
        <f>K2600*G2600</f>
        <v>0</v>
      </c>
      <c r="P2600" s="2642"/>
      <c r="Q2600" s="2519"/>
      <c r="R2600" s="2519"/>
      <c r="S2600" s="2519"/>
    </row>
    <row r="2601" spans="1:19" s="2358" customFormat="1" outlineLevel="1">
      <c r="A2601" s="2435" t="str">
        <f t="shared" si="516"/>
        <v/>
      </c>
      <c r="B2601" s="2610" t="s">
        <v>201</v>
      </c>
      <c r="C2601" s="2521">
        <f t="shared" si="521"/>
        <v>4</v>
      </c>
      <c r="D2601" s="2405">
        <v>0</v>
      </c>
      <c r="E2601" s="2447" t="s">
        <v>3422</v>
      </c>
      <c r="F2601" s="2405" t="s">
        <v>2563</v>
      </c>
      <c r="G2601" s="2523"/>
      <c r="H2601" s="2517">
        <v>1750000</v>
      </c>
      <c r="I2601" s="2517">
        <v>0</v>
      </c>
      <c r="J2601" s="2517">
        <v>0</v>
      </c>
      <c r="K2601" s="2517">
        <v>0</v>
      </c>
      <c r="L2601" s="2517">
        <f t="shared" si="517"/>
        <v>0</v>
      </c>
      <c r="M2601" s="2517">
        <f t="shared" si="518"/>
        <v>0</v>
      </c>
      <c r="N2601" s="2517">
        <f t="shared" si="519"/>
        <v>0</v>
      </c>
      <c r="O2601" s="2517">
        <f t="shared" si="520"/>
        <v>0</v>
      </c>
      <c r="P2601" s="2642"/>
      <c r="Q2601" s="2519"/>
      <c r="R2601" s="2519"/>
      <c r="S2601" s="2519"/>
    </row>
    <row r="2602" spans="1:19" s="2358" customFormat="1" outlineLevel="1">
      <c r="A2602" s="2435" t="str">
        <f t="shared" si="516"/>
        <v/>
      </c>
      <c r="B2602" s="2610" t="s">
        <v>936</v>
      </c>
      <c r="C2602" s="2521">
        <f t="shared" si="521"/>
        <v>5</v>
      </c>
      <c r="D2602" s="2405">
        <v>0</v>
      </c>
      <c r="E2602" s="2447" t="s">
        <v>5741</v>
      </c>
      <c r="F2602" s="2405" t="s">
        <v>2563</v>
      </c>
      <c r="G2602" s="2523"/>
      <c r="H2602" s="2517">
        <v>2616000</v>
      </c>
      <c r="I2602" s="2517">
        <v>0</v>
      </c>
      <c r="J2602" s="2517">
        <v>0</v>
      </c>
      <c r="K2602" s="2517">
        <v>0</v>
      </c>
      <c r="L2602" s="2517">
        <f t="shared" si="517"/>
        <v>0</v>
      </c>
      <c r="M2602" s="2517">
        <f t="shared" si="518"/>
        <v>0</v>
      </c>
      <c r="N2602" s="2517">
        <f t="shared" si="519"/>
        <v>0</v>
      </c>
      <c r="O2602" s="2517">
        <f t="shared" si="520"/>
        <v>0</v>
      </c>
      <c r="P2602" s="2642"/>
      <c r="Q2602" s="2519"/>
      <c r="R2602" s="2519"/>
      <c r="S2602" s="2519"/>
    </row>
    <row r="2603" spans="1:19" s="2358" customFormat="1" outlineLevel="1">
      <c r="A2603" s="2435">
        <v>1</v>
      </c>
      <c r="B2603" s="2610" t="s">
        <v>6349</v>
      </c>
      <c r="C2603" s="2521">
        <f t="shared" si="521"/>
        <v>5</v>
      </c>
      <c r="D2603" s="2405" t="s">
        <v>1025</v>
      </c>
      <c r="E2603" s="2447" t="s">
        <v>5680</v>
      </c>
      <c r="F2603" s="2405" t="s">
        <v>3388</v>
      </c>
      <c r="G2603" s="2523">
        <v>1</v>
      </c>
      <c r="H2603" s="2517">
        <v>61000000</v>
      </c>
      <c r="I2603" s="2517">
        <v>0</v>
      </c>
      <c r="J2603" s="2517">
        <v>98101</v>
      </c>
      <c r="K2603" s="2517">
        <v>59254</v>
      </c>
      <c r="L2603" s="2517">
        <f t="shared" si="517"/>
        <v>61000000</v>
      </c>
      <c r="M2603" s="2517">
        <f t="shared" si="518"/>
        <v>0</v>
      </c>
      <c r="N2603" s="2517">
        <f t="shared" si="519"/>
        <v>98101</v>
      </c>
      <c r="O2603" s="2517">
        <f t="shared" si="520"/>
        <v>59254</v>
      </c>
      <c r="P2603" s="2642"/>
      <c r="Q2603" s="2519"/>
      <c r="R2603" s="2519"/>
      <c r="S2603" s="2519"/>
    </row>
    <row r="2604" spans="1:19" s="2358" customFormat="1" outlineLevel="1">
      <c r="A2604" s="2435">
        <f t="shared" si="516"/>
        <v>1</v>
      </c>
      <c r="B2604" s="2502" t="s">
        <v>901</v>
      </c>
      <c r="C2604" s="2521">
        <f t="shared" si="521"/>
        <v>6</v>
      </c>
      <c r="D2604" s="2405">
        <v>0</v>
      </c>
      <c r="E2604" s="2447" t="s">
        <v>3366</v>
      </c>
      <c r="F2604" s="2405" t="s">
        <v>2563</v>
      </c>
      <c r="G2604" s="2523">
        <v>3</v>
      </c>
      <c r="H2604" s="2517">
        <v>0</v>
      </c>
      <c r="I2604" s="2517">
        <v>0</v>
      </c>
      <c r="J2604" s="2517">
        <v>0</v>
      </c>
      <c r="K2604" s="2517">
        <v>0</v>
      </c>
      <c r="L2604" s="2517">
        <f t="shared" si="517"/>
        <v>0</v>
      </c>
      <c r="M2604" s="2517">
        <f t="shared" si="518"/>
        <v>0</v>
      </c>
      <c r="N2604" s="2517">
        <f t="shared" si="519"/>
        <v>0</v>
      </c>
      <c r="O2604" s="2517">
        <f t="shared" si="520"/>
        <v>0</v>
      </c>
      <c r="P2604" s="2644" t="s">
        <v>2609</v>
      </c>
      <c r="Q2604" s="2519"/>
      <c r="R2604" s="2519"/>
      <c r="S2604" s="2519"/>
    </row>
    <row r="2605" spans="1:19" s="2358" customFormat="1" outlineLevel="1">
      <c r="A2605" s="2435">
        <f t="shared" si="516"/>
        <v>1</v>
      </c>
      <c r="B2605" s="2502" t="s">
        <v>2193</v>
      </c>
      <c r="C2605" s="2521">
        <f t="shared" si="521"/>
        <v>6</v>
      </c>
      <c r="D2605" s="2405">
        <v>0</v>
      </c>
      <c r="E2605" s="2447" t="s">
        <v>5673</v>
      </c>
      <c r="F2605" s="2405" t="s">
        <v>2563</v>
      </c>
      <c r="G2605" s="2523">
        <v>3</v>
      </c>
      <c r="H2605" s="2517">
        <v>0</v>
      </c>
      <c r="I2605" s="2517">
        <v>0</v>
      </c>
      <c r="J2605" s="2517"/>
      <c r="K2605" s="2517"/>
      <c r="L2605" s="2517">
        <f t="shared" si="517"/>
        <v>0</v>
      </c>
      <c r="M2605" s="2517">
        <f t="shared" si="518"/>
        <v>0</v>
      </c>
      <c r="N2605" s="2517">
        <f t="shared" si="519"/>
        <v>0</v>
      </c>
      <c r="O2605" s="2517">
        <f t="shared" si="520"/>
        <v>0</v>
      </c>
      <c r="P2605" s="2644" t="s">
        <v>2609</v>
      </c>
      <c r="Q2605" s="2519"/>
      <c r="R2605" s="2519"/>
      <c r="S2605" s="2519"/>
    </row>
    <row r="2606" spans="1:19" s="2358" customFormat="1" outlineLevel="1">
      <c r="A2606" s="2435">
        <f t="shared" si="516"/>
        <v>1</v>
      </c>
      <c r="B2606" s="2505" t="s">
        <v>1841</v>
      </c>
      <c r="C2606" s="2521">
        <f t="shared" si="521"/>
        <v>7</v>
      </c>
      <c r="D2606" s="2405">
        <v>0</v>
      </c>
      <c r="E2606" s="2447" t="s">
        <v>5771</v>
      </c>
      <c r="F2606" s="2405" t="s">
        <v>2563</v>
      </c>
      <c r="G2606" s="2523">
        <v>1</v>
      </c>
      <c r="H2606" s="2517">
        <v>0</v>
      </c>
      <c r="I2606" s="2517">
        <v>0</v>
      </c>
      <c r="J2606" s="2517">
        <v>0</v>
      </c>
      <c r="K2606" s="2517">
        <v>0</v>
      </c>
      <c r="L2606" s="2517">
        <f t="shared" si="517"/>
        <v>0</v>
      </c>
      <c r="M2606" s="2613">
        <f t="shared" si="518"/>
        <v>0</v>
      </c>
      <c r="N2606" s="2613">
        <f t="shared" si="519"/>
        <v>0</v>
      </c>
      <c r="O2606" s="2614">
        <f t="shared" si="520"/>
        <v>0</v>
      </c>
      <c r="P2606" s="2645" t="s">
        <v>2609</v>
      </c>
      <c r="Q2606" s="2519"/>
      <c r="R2606" s="2519"/>
      <c r="S2606" s="2519"/>
    </row>
    <row r="2607" spans="1:19" s="2358" customFormat="1" outlineLevel="1">
      <c r="A2607" s="2435"/>
      <c r="B2607" s="2514"/>
      <c r="C2607" s="2646"/>
      <c r="D2607" s="2647"/>
      <c r="E2607" s="2648"/>
      <c r="F2607" s="2646"/>
      <c r="G2607" s="2889"/>
      <c r="H2607" s="2646"/>
      <c r="I2607" s="2646"/>
      <c r="J2607" s="2370" t="s">
        <v>6195</v>
      </c>
      <c r="K2607" s="2646"/>
      <c r="L2607" s="2648">
        <f>SUM(L2594:L2606)</f>
        <v>752765840</v>
      </c>
      <c r="M2607" s="2648">
        <f>SUM(M2594:M2606)</f>
        <v>0</v>
      </c>
      <c r="N2607" s="2648">
        <f>SUM(N2594:N2606)</f>
        <v>2945392</v>
      </c>
      <c r="O2607" s="2648">
        <f>SUM(O2594:O2606)</f>
        <v>486015</v>
      </c>
      <c r="P2607" s="2649"/>
      <c r="Q2607" s="2519"/>
      <c r="R2607" s="2519"/>
      <c r="S2607" s="2519"/>
    </row>
    <row r="2608" spans="1:19" s="2358" customFormat="1" outlineLevel="1">
      <c r="A2608" s="2435"/>
      <c r="B2608" s="2514"/>
      <c r="C2608" s="2650"/>
      <c r="D2608" s="2651"/>
      <c r="E2608" s="2652" t="s">
        <v>3691</v>
      </c>
      <c r="F2608" s="2652"/>
      <c r="G2608" s="2653"/>
      <c r="H2608" s="2652"/>
      <c r="I2608" s="2652"/>
      <c r="J2608" s="2652"/>
      <c r="K2608" s="2652"/>
      <c r="L2608" s="2652"/>
      <c r="M2608" s="2652"/>
      <c r="N2608" s="2652"/>
      <c r="O2608" s="2651"/>
      <c r="P2608" s="2649"/>
      <c r="Q2608" s="2519"/>
      <c r="R2608" s="2519"/>
      <c r="S2608" s="2519"/>
    </row>
    <row r="2609" spans="1:19" s="2358" customFormat="1" outlineLevel="1">
      <c r="A2609" s="2435"/>
      <c r="B2609" s="2654"/>
      <c r="C2609" s="2655">
        <f>IF(G2609&gt;0,1,0)</f>
        <v>0</v>
      </c>
      <c r="D2609" s="2405"/>
      <c r="E2609" s="2656" t="s">
        <v>6196</v>
      </c>
      <c r="F2609" s="2657" t="s">
        <v>2283</v>
      </c>
      <c r="G2609" s="2658"/>
      <c r="H2609" s="2657"/>
      <c r="I2609" s="2657"/>
      <c r="J2609" s="2657"/>
      <c r="K2609" s="2657"/>
      <c r="L2609" s="2658"/>
      <c r="M2609" s="2658"/>
      <c r="N2609" s="2658"/>
      <c r="O2609" s="2659"/>
      <c r="P2609" s="2642"/>
      <c r="Q2609" s="2519"/>
      <c r="R2609" s="2519"/>
      <c r="S2609" s="2519"/>
    </row>
    <row r="2610" spans="1:19" s="2358" customFormat="1" outlineLevel="1">
      <c r="A2610" s="2435"/>
      <c r="B2610" s="2610" t="s">
        <v>5337</v>
      </c>
      <c r="C2610" s="2660"/>
      <c r="D2610" s="2405"/>
      <c r="E2610" s="2661" t="s">
        <v>5338</v>
      </c>
      <c r="F2610" s="2405" t="s">
        <v>2839</v>
      </c>
      <c r="G2610" s="2405">
        <f>G2609</f>
        <v>0</v>
      </c>
      <c r="H2610" s="2612">
        <v>5914000</v>
      </c>
      <c r="I2610" s="2511"/>
      <c r="J2610" s="2612"/>
      <c r="K2610" s="2511"/>
      <c r="L2610" s="2613">
        <f>H2610*G2610</f>
        <v>0</v>
      </c>
      <c r="M2610" s="2613">
        <f>I2610*G2610</f>
        <v>0</v>
      </c>
      <c r="N2610" s="2613">
        <f>J2610*G2610</f>
        <v>0</v>
      </c>
      <c r="O2610" s="2613">
        <f>K2610*G2610</f>
        <v>0</v>
      </c>
      <c r="P2610" s="2642"/>
      <c r="Q2610" s="2519"/>
      <c r="R2610" s="2519"/>
      <c r="S2610" s="2519"/>
    </row>
    <row r="2611" spans="1:19" s="2358" customFormat="1" outlineLevel="1">
      <c r="A2611" s="2435"/>
      <c r="B2611" s="2610" t="s">
        <v>1818</v>
      </c>
      <c r="C2611" s="2660"/>
      <c r="D2611" s="2405"/>
      <c r="E2611" s="2661" t="s">
        <v>2838</v>
      </c>
      <c r="F2611" s="2405" t="s">
        <v>2839</v>
      </c>
      <c r="G2611" s="2405">
        <f>G2610</f>
        <v>0</v>
      </c>
      <c r="H2611" s="2612">
        <v>17400</v>
      </c>
      <c r="I2611" s="2612"/>
      <c r="J2611" s="2511"/>
      <c r="K2611" s="2511"/>
      <c r="L2611" s="2613">
        <f>H2611*G2611</f>
        <v>0</v>
      </c>
      <c r="M2611" s="2613">
        <f>I2611*G2611</f>
        <v>0</v>
      </c>
      <c r="N2611" s="2613">
        <f>J2611*G2611</f>
        <v>0</v>
      </c>
      <c r="O2611" s="2613">
        <f>K2611*G2611</f>
        <v>0</v>
      </c>
      <c r="P2611" s="2642"/>
      <c r="Q2611" s="2519"/>
      <c r="R2611" s="2519"/>
      <c r="S2611" s="2519"/>
    </row>
    <row r="2612" spans="1:19" s="2358" customFormat="1" outlineLevel="1">
      <c r="A2612" s="2435"/>
      <c r="B2612" s="2610" t="s">
        <v>643</v>
      </c>
      <c r="C2612" s="2660"/>
      <c r="D2612" s="2405" t="s">
        <v>2133</v>
      </c>
      <c r="E2612" s="2661" t="s">
        <v>3185</v>
      </c>
      <c r="F2612" s="2405" t="s">
        <v>2839</v>
      </c>
      <c r="G2612" s="2405">
        <f>G2610</f>
        <v>0</v>
      </c>
      <c r="H2612" s="2661"/>
      <c r="I2612" s="2612"/>
      <c r="J2612" s="2612">
        <v>112286</v>
      </c>
      <c r="K2612" s="2612">
        <v>105970</v>
      </c>
      <c r="L2612" s="2613">
        <f>H2612*G2612</f>
        <v>0</v>
      </c>
      <c r="M2612" s="2613">
        <f>I2612*G2612</f>
        <v>0</v>
      </c>
      <c r="N2612" s="2613">
        <f>J2612*G2612</f>
        <v>0</v>
      </c>
      <c r="O2612" s="2613">
        <f>K2612*G2612</f>
        <v>0</v>
      </c>
      <c r="P2612" s="2642"/>
      <c r="Q2612" s="2519"/>
      <c r="R2612" s="2519"/>
      <c r="S2612" s="2519"/>
    </row>
    <row r="2613" spans="1:19" s="2358" customFormat="1" outlineLevel="1">
      <c r="A2613" s="2435" t="str">
        <f t="shared" ref="A2613:A2629" si="522">IF(G2613&lt;&gt;0,1,"")</f>
        <v/>
      </c>
      <c r="B2613" s="2654"/>
      <c r="C2613" s="2655">
        <f>IF(G2613&gt;0,1,0)</f>
        <v>0</v>
      </c>
      <c r="D2613" s="2405"/>
      <c r="E2613" s="2656" t="s">
        <v>6291</v>
      </c>
      <c r="F2613" s="2657" t="s">
        <v>2283</v>
      </c>
      <c r="G2613" s="2658"/>
      <c r="H2613" s="2657"/>
      <c r="I2613" s="2657"/>
      <c r="J2613" s="2657"/>
      <c r="K2613" s="2657"/>
      <c r="L2613" s="2658"/>
      <c r="M2613" s="2658"/>
      <c r="N2613" s="2658"/>
      <c r="O2613" s="2659"/>
      <c r="P2613" s="2518"/>
      <c r="Q2613" s="2519"/>
      <c r="R2613" s="2519"/>
      <c r="S2613" s="2519"/>
    </row>
    <row r="2614" spans="1:19" s="2358" customFormat="1" outlineLevel="1">
      <c r="A2614" s="2435" t="str">
        <f t="shared" si="522"/>
        <v/>
      </c>
      <c r="B2614" s="2610" t="s">
        <v>114</v>
      </c>
      <c r="C2614" s="2660"/>
      <c r="D2614" s="2405"/>
      <c r="E2614" s="2661" t="s">
        <v>3008</v>
      </c>
      <c r="F2614" s="2405" t="s">
        <v>2839</v>
      </c>
      <c r="G2614" s="2405">
        <f>G2613</f>
        <v>0</v>
      </c>
      <c r="H2614" s="2612">
        <v>4200000</v>
      </c>
      <c r="I2614" s="2511"/>
      <c r="J2614" s="2612"/>
      <c r="K2614" s="2511"/>
      <c r="L2614" s="2613">
        <f>H2614*G2614</f>
        <v>0</v>
      </c>
      <c r="M2614" s="2613">
        <f>I2614*G2614</f>
        <v>0</v>
      </c>
      <c r="N2614" s="2613">
        <f>J2614*G2614</f>
        <v>0</v>
      </c>
      <c r="O2614" s="2613">
        <f>K2614*G2614</f>
        <v>0</v>
      </c>
      <c r="P2614" s="2518"/>
      <c r="Q2614" s="2519"/>
      <c r="R2614" s="2519"/>
      <c r="S2614" s="2519"/>
    </row>
    <row r="2615" spans="1:19" s="2358" customFormat="1" outlineLevel="1">
      <c r="A2615" s="2435" t="str">
        <f t="shared" si="522"/>
        <v/>
      </c>
      <c r="B2615" s="2610" t="s">
        <v>1818</v>
      </c>
      <c r="C2615" s="2660"/>
      <c r="D2615" s="2405"/>
      <c r="E2615" s="2661" t="s">
        <v>2838</v>
      </c>
      <c r="F2615" s="2405" t="s">
        <v>2839</v>
      </c>
      <c r="G2615" s="2405">
        <f>G2614</f>
        <v>0</v>
      </c>
      <c r="H2615" s="2612">
        <v>17400</v>
      </c>
      <c r="I2615" s="2612"/>
      <c r="J2615" s="2511"/>
      <c r="K2615" s="2511"/>
      <c r="L2615" s="2613">
        <f>H2615*G2615</f>
        <v>0</v>
      </c>
      <c r="M2615" s="2613">
        <f>I2615*G2615</f>
        <v>0</v>
      </c>
      <c r="N2615" s="2613">
        <f>J2615*G2615</f>
        <v>0</v>
      </c>
      <c r="O2615" s="2613">
        <f>K2615*G2615</f>
        <v>0</v>
      </c>
      <c r="P2615" s="2518"/>
      <c r="Q2615" s="2519"/>
      <c r="R2615" s="2519"/>
      <c r="S2615" s="2519"/>
    </row>
    <row r="2616" spans="1:19" s="2358" customFormat="1" outlineLevel="1">
      <c r="A2616" s="2435" t="str">
        <f t="shared" si="522"/>
        <v/>
      </c>
      <c r="B2616" s="2610" t="s">
        <v>644</v>
      </c>
      <c r="C2616" s="2660"/>
      <c r="D2616" s="2405" t="s">
        <v>2133</v>
      </c>
      <c r="E2616" s="2661" t="s">
        <v>3186</v>
      </c>
      <c r="F2616" s="2405" t="s">
        <v>2839</v>
      </c>
      <c r="G2616" s="2405">
        <f>G2614</f>
        <v>0</v>
      </c>
      <c r="H2616" s="2661"/>
      <c r="I2616" s="2612"/>
      <c r="J2616" s="2612">
        <v>112286</v>
      </c>
      <c r="K2616" s="2612">
        <v>105970</v>
      </c>
      <c r="L2616" s="2613">
        <f>H2616*G2616</f>
        <v>0</v>
      </c>
      <c r="M2616" s="2613">
        <f>I2616*G2616</f>
        <v>0</v>
      </c>
      <c r="N2616" s="2613">
        <f>J2616*G2616</f>
        <v>0</v>
      </c>
      <c r="O2616" s="2613">
        <f>K2616*G2616</f>
        <v>0</v>
      </c>
      <c r="P2616" s="2518"/>
      <c r="Q2616" s="2519"/>
      <c r="R2616" s="2519"/>
      <c r="S2616" s="2519"/>
    </row>
    <row r="2617" spans="1:19" s="2358" customFormat="1" outlineLevel="1">
      <c r="A2617" s="2435"/>
      <c r="B2617" s="2610"/>
      <c r="C2617" s="2511">
        <f>IF(G2617&gt;0,C2609+1,C2609)</f>
        <v>0</v>
      </c>
      <c r="D2617" s="2405"/>
      <c r="E2617" s="2489" t="s">
        <v>2370</v>
      </c>
      <c r="F2617" s="2490" t="s">
        <v>2333</v>
      </c>
      <c r="G2617" s="2662"/>
      <c r="H2617" s="2511"/>
      <c r="I2617" s="2511"/>
      <c r="J2617" s="2511"/>
      <c r="K2617" s="2511"/>
      <c r="L2617" s="2511"/>
      <c r="M2617" s="2511"/>
      <c r="N2617" s="2511"/>
      <c r="O2617" s="2663"/>
      <c r="P2617" s="2642"/>
      <c r="Q2617" s="2519"/>
      <c r="R2617" s="2519"/>
      <c r="S2617" s="2519"/>
    </row>
    <row r="2618" spans="1:19" s="2358" customFormat="1" outlineLevel="1">
      <c r="A2618" s="2435"/>
      <c r="B2618" s="2726" t="s">
        <v>751</v>
      </c>
      <c r="C2618" s="2660"/>
      <c r="D2618" s="2405">
        <v>0</v>
      </c>
      <c r="E2618" s="2661" t="s">
        <v>5351</v>
      </c>
      <c r="F2618" s="2405" t="s">
        <v>2254</v>
      </c>
      <c r="G2618" s="2405">
        <f>G2617*504</f>
        <v>0</v>
      </c>
      <c r="H2618" s="2612">
        <v>1740</v>
      </c>
      <c r="I2618" s="2612"/>
      <c r="J2618" s="2612">
        <v>0</v>
      </c>
      <c r="K2618" s="2511"/>
      <c r="L2618" s="2613">
        <f>H2618*G2618</f>
        <v>0</v>
      </c>
      <c r="M2618" s="2613">
        <f>I2618*G2618</f>
        <v>0</v>
      </c>
      <c r="N2618" s="2613">
        <f>J2618*G2618</f>
        <v>0</v>
      </c>
      <c r="O2618" s="2613">
        <f>K2618*G2618</f>
        <v>0</v>
      </c>
      <c r="P2618" s="2642"/>
      <c r="Q2618" s="2519"/>
      <c r="R2618" s="2519"/>
      <c r="S2618" s="2519"/>
    </row>
    <row r="2619" spans="1:19" s="2358" customFormat="1" outlineLevel="1">
      <c r="A2619" s="2435"/>
      <c r="B2619" s="2726" t="s">
        <v>752</v>
      </c>
      <c r="C2619" s="2660"/>
      <c r="D2619" s="2405"/>
      <c r="E2619" s="2661" t="s">
        <v>3022</v>
      </c>
      <c r="F2619" s="2405" t="s">
        <v>856</v>
      </c>
      <c r="G2619" s="2405">
        <f>G2617*0.809</f>
        <v>0</v>
      </c>
      <c r="H2619" s="2612">
        <v>512000</v>
      </c>
      <c r="I2619" s="2661"/>
      <c r="J2619" s="2612">
        <v>0</v>
      </c>
      <c r="K2619" s="2511"/>
      <c r="L2619" s="2613">
        <f>H2619*G2619</f>
        <v>0</v>
      </c>
      <c r="M2619" s="2613">
        <f t="shared" ref="M2619:M2624" si="523">I2619*G2619</f>
        <v>0</v>
      </c>
      <c r="N2619" s="2613">
        <f t="shared" ref="N2619:N2624" si="524">J2619*G2619</f>
        <v>0</v>
      </c>
      <c r="O2619" s="2613">
        <f t="shared" ref="O2619:O2624" si="525">K2619*G2619</f>
        <v>0</v>
      </c>
      <c r="P2619" s="2642"/>
      <c r="Q2619" s="2519"/>
      <c r="R2619" s="2519"/>
      <c r="S2619" s="2519"/>
    </row>
    <row r="2620" spans="1:19" s="2358" customFormat="1" outlineLevel="1">
      <c r="A2620" s="2435"/>
      <c r="B2620" s="2726" t="s">
        <v>867</v>
      </c>
      <c r="C2620" s="2660"/>
      <c r="D2620" s="2405">
        <v>0</v>
      </c>
      <c r="E2620" s="2661" t="s">
        <v>3018</v>
      </c>
      <c r="F2620" s="2405" t="s">
        <v>856</v>
      </c>
      <c r="G2620" s="2810">
        <f>1.501*G2617</f>
        <v>0</v>
      </c>
      <c r="H2620" s="2612">
        <v>335000</v>
      </c>
      <c r="I2620" s="2612"/>
      <c r="J2620" s="2612">
        <v>0</v>
      </c>
      <c r="K2620" s="2511"/>
      <c r="L2620" s="2613">
        <f>H2620*G2620</f>
        <v>0</v>
      </c>
      <c r="M2620" s="2613">
        <f t="shared" si="523"/>
        <v>0</v>
      </c>
      <c r="N2620" s="2613">
        <f t="shared" si="524"/>
        <v>0</v>
      </c>
      <c r="O2620" s="2613">
        <f t="shared" si="525"/>
        <v>0</v>
      </c>
      <c r="P2620" s="2642"/>
      <c r="Q2620" s="2519"/>
      <c r="R2620" s="2519"/>
      <c r="S2620" s="2519"/>
    </row>
    <row r="2621" spans="1:19" s="2358" customFormat="1" outlineLevel="1">
      <c r="A2621" s="2435"/>
      <c r="B2621" s="2726" t="s">
        <v>6171</v>
      </c>
      <c r="C2621" s="2660"/>
      <c r="D2621" s="2405">
        <v>0</v>
      </c>
      <c r="E2621" s="2661" t="s">
        <v>2674</v>
      </c>
      <c r="F2621" s="2405" t="s">
        <v>2445</v>
      </c>
      <c r="G2621" s="2798">
        <f>G2617</f>
        <v>0</v>
      </c>
      <c r="H2621" s="2612">
        <v>52800</v>
      </c>
      <c r="I2621" s="2612"/>
      <c r="J2621" s="2612">
        <v>0</v>
      </c>
      <c r="K2621" s="2511"/>
      <c r="L2621" s="2613">
        <f>H2621*G2621</f>
        <v>0</v>
      </c>
      <c r="M2621" s="2613">
        <f t="shared" si="523"/>
        <v>0</v>
      </c>
      <c r="N2621" s="2613">
        <f t="shared" si="524"/>
        <v>0</v>
      </c>
      <c r="O2621" s="2613">
        <f t="shared" si="525"/>
        <v>0</v>
      </c>
      <c r="P2621" s="2642"/>
      <c r="Q2621" s="2519"/>
      <c r="R2621" s="2519"/>
      <c r="S2621" s="2519"/>
    </row>
    <row r="2622" spans="1:19" s="2358" customFormat="1" outlineLevel="1">
      <c r="A2622" s="2435"/>
      <c r="B2622" s="2726" t="s">
        <v>4875</v>
      </c>
      <c r="C2622" s="2660"/>
      <c r="D2622" s="2405"/>
      <c r="E2622" s="2661" t="s">
        <v>4673</v>
      </c>
      <c r="F2622" s="2405" t="s">
        <v>2445</v>
      </c>
      <c r="G2622" s="2798">
        <f>G2617</f>
        <v>0</v>
      </c>
      <c r="H2622" s="2612">
        <v>58800</v>
      </c>
      <c r="I2622" s="2612"/>
      <c r="J2622" s="2612">
        <v>0</v>
      </c>
      <c r="K2622" s="2511"/>
      <c r="L2622" s="2613"/>
      <c r="M2622" s="2613">
        <f t="shared" si="523"/>
        <v>0</v>
      </c>
      <c r="N2622" s="2613">
        <f t="shared" si="524"/>
        <v>0</v>
      </c>
      <c r="O2622" s="2613">
        <f t="shared" si="525"/>
        <v>0</v>
      </c>
      <c r="P2622" s="2642"/>
      <c r="Q2622" s="2519"/>
      <c r="R2622" s="2519"/>
      <c r="S2622" s="2519"/>
    </row>
    <row r="2623" spans="1:19" s="2358" customFormat="1" outlineLevel="1">
      <c r="A2623" s="2435"/>
      <c r="B2623" s="2811" t="s">
        <v>5383</v>
      </c>
      <c r="C2623" s="2660"/>
      <c r="D2623" s="2405"/>
      <c r="E2623" s="2661" t="s">
        <v>5385</v>
      </c>
      <c r="F2623" s="2405" t="s">
        <v>856</v>
      </c>
      <c r="G2623" s="2405">
        <f>G2617*1.93</f>
        <v>0</v>
      </c>
      <c r="H2623" s="2612">
        <v>0</v>
      </c>
      <c r="I2623" s="2612"/>
      <c r="J2623" s="2612">
        <v>491832.89999999997</v>
      </c>
      <c r="K2623" s="2511"/>
      <c r="L2623" s="2613"/>
      <c r="M2623" s="2613">
        <f t="shared" si="523"/>
        <v>0</v>
      </c>
      <c r="N2623" s="2613">
        <f t="shared" si="524"/>
        <v>0</v>
      </c>
      <c r="O2623" s="2613">
        <f t="shared" si="525"/>
        <v>0</v>
      </c>
      <c r="P2623" s="2642"/>
      <c r="Q2623" s="2519"/>
      <c r="R2623" s="2519"/>
      <c r="S2623" s="2519"/>
    </row>
    <row r="2624" spans="1:19" s="2358" customFormat="1" outlineLevel="1">
      <c r="A2624" s="2435"/>
      <c r="B2624" s="2726" t="s">
        <v>1839</v>
      </c>
      <c r="C2624" s="2660"/>
      <c r="D2624" s="2405"/>
      <c r="E2624" s="2661" t="s">
        <v>5535</v>
      </c>
      <c r="F2624" s="2405" t="s">
        <v>856</v>
      </c>
      <c r="G2624" s="2405">
        <f>G2617*1.704</f>
        <v>0</v>
      </c>
      <c r="H2624" s="2612">
        <v>461871</v>
      </c>
      <c r="I2624" s="2612"/>
      <c r="J2624" s="2612">
        <v>414064.45</v>
      </c>
      <c r="K2624" s="2511"/>
      <c r="L2624" s="2613"/>
      <c r="M2624" s="2613">
        <f t="shared" si="523"/>
        <v>0</v>
      </c>
      <c r="N2624" s="2613">
        <f t="shared" si="524"/>
        <v>0</v>
      </c>
      <c r="O2624" s="2613">
        <f t="shared" si="525"/>
        <v>0</v>
      </c>
      <c r="P2624" s="2642"/>
      <c r="Q2624" s="2519"/>
      <c r="R2624" s="2519"/>
      <c r="S2624" s="2519"/>
    </row>
    <row r="2625" spans="1:19" s="2358" customFormat="1" outlineLevel="1">
      <c r="A2625" s="2435" t="str">
        <f t="shared" si="522"/>
        <v/>
      </c>
      <c r="B2625" s="2610"/>
      <c r="C2625" s="2511">
        <f>IF(G2625&gt;0,C2614+1,C2614)</f>
        <v>0</v>
      </c>
      <c r="D2625" s="2405"/>
      <c r="E2625" s="2656" t="s">
        <v>3731</v>
      </c>
      <c r="F2625" s="2657" t="s">
        <v>2333</v>
      </c>
      <c r="G2625" s="2662"/>
      <c r="H2625" s="2511"/>
      <c r="I2625" s="2511"/>
      <c r="J2625" s="2511"/>
      <c r="K2625" s="2511"/>
      <c r="L2625" s="2511"/>
      <c r="M2625" s="2511"/>
      <c r="N2625" s="2511"/>
      <c r="O2625" s="2663"/>
      <c r="P2625" s="2518"/>
      <c r="Q2625" s="2519"/>
      <c r="R2625" s="2519"/>
      <c r="S2625" s="2519"/>
    </row>
    <row r="2626" spans="1:19" s="2358" customFormat="1" outlineLevel="1">
      <c r="A2626" s="2435" t="str">
        <f t="shared" si="522"/>
        <v/>
      </c>
      <c r="B2626" s="2610" t="s">
        <v>636</v>
      </c>
      <c r="C2626" s="2660"/>
      <c r="D2626" s="2405" t="s">
        <v>5099</v>
      </c>
      <c r="E2626" s="2661" t="s">
        <v>2615</v>
      </c>
      <c r="F2626" s="2405" t="s">
        <v>2563</v>
      </c>
      <c r="G2626" s="2405">
        <f>G2625</f>
        <v>0</v>
      </c>
      <c r="H2626" s="2612">
        <v>354545</v>
      </c>
      <c r="I2626" s="2612"/>
      <c r="J2626" s="2612">
        <v>37220.25</v>
      </c>
      <c r="K2626" s="2511"/>
      <c r="L2626" s="2613">
        <f>H2626*G2626</f>
        <v>0</v>
      </c>
      <c r="M2626" s="2613">
        <f t="shared" ref="M2626:M2636" si="526">I2626*G2626</f>
        <v>0</v>
      </c>
      <c r="N2626" s="2613">
        <f t="shared" ref="N2626:N2637" si="527">J2626*G2626</f>
        <v>0</v>
      </c>
      <c r="O2626" s="2613">
        <f t="shared" ref="O2626:O2636" si="528">K2626*G2626</f>
        <v>0</v>
      </c>
      <c r="P2626" s="2518"/>
      <c r="Q2626" s="2519"/>
      <c r="R2626" s="2519"/>
      <c r="S2626" s="2519"/>
    </row>
    <row r="2627" spans="1:19" s="2358" customFormat="1" outlineLevel="1">
      <c r="A2627" s="2435" t="str">
        <f t="shared" si="522"/>
        <v/>
      </c>
      <c r="B2627" s="2610" t="s">
        <v>566</v>
      </c>
      <c r="C2627" s="2660"/>
      <c r="D2627" s="2405"/>
      <c r="E2627" s="2661" t="s">
        <v>5124</v>
      </c>
      <c r="F2627" s="2405" t="s">
        <v>2445</v>
      </c>
      <c r="G2627" s="2405">
        <f>G2626</f>
        <v>0</v>
      </c>
      <c r="H2627" s="2612">
        <v>92200</v>
      </c>
      <c r="I2627" s="2661"/>
      <c r="J2627" s="2661"/>
      <c r="K2627" s="2511"/>
      <c r="L2627" s="2613">
        <f>H2627*G2627</f>
        <v>0</v>
      </c>
      <c r="M2627" s="2613">
        <f t="shared" si="526"/>
        <v>0</v>
      </c>
      <c r="N2627" s="2613">
        <f t="shared" si="527"/>
        <v>0</v>
      </c>
      <c r="O2627" s="2613">
        <f t="shared" si="528"/>
        <v>0</v>
      </c>
      <c r="P2627" s="2518"/>
      <c r="Q2627" s="2519"/>
      <c r="R2627" s="2519"/>
      <c r="S2627" s="2519"/>
    </row>
    <row r="2628" spans="1:19" s="2358" customFormat="1" outlineLevel="1">
      <c r="A2628" s="2435" t="str">
        <f t="shared" si="522"/>
        <v/>
      </c>
      <c r="B2628" s="2610" t="s">
        <v>639</v>
      </c>
      <c r="C2628" s="2660"/>
      <c r="D2628" s="2405" t="s">
        <v>1751</v>
      </c>
      <c r="E2628" s="2661" t="s">
        <v>5386</v>
      </c>
      <c r="F2628" s="2405" t="s">
        <v>856</v>
      </c>
      <c r="G2628" s="2405">
        <f>1.48*G2626</f>
        <v>0</v>
      </c>
      <c r="H2628" s="2612">
        <v>0</v>
      </c>
      <c r="I2628" s="2612"/>
      <c r="J2628" s="2612">
        <v>296500.89999999997</v>
      </c>
      <c r="K2628" s="2511"/>
      <c r="L2628" s="2613">
        <f>H2628*G2628</f>
        <v>0</v>
      </c>
      <c r="M2628" s="2613">
        <f t="shared" si="526"/>
        <v>0</v>
      </c>
      <c r="N2628" s="2613">
        <f t="shared" si="527"/>
        <v>0</v>
      </c>
      <c r="O2628" s="2613">
        <f t="shared" si="528"/>
        <v>0</v>
      </c>
      <c r="P2628" s="2518"/>
      <c r="Q2628" s="2519"/>
      <c r="R2628" s="2519"/>
      <c r="S2628" s="2519"/>
    </row>
    <row r="2629" spans="1:19" s="2358" customFormat="1" outlineLevel="1">
      <c r="A2629" s="2435" t="str">
        <f t="shared" si="522"/>
        <v/>
      </c>
      <c r="B2629" s="2610" t="s">
        <v>21</v>
      </c>
      <c r="C2629" s="2660"/>
      <c r="D2629" s="2405" t="s">
        <v>5387</v>
      </c>
      <c r="E2629" s="2661" t="s">
        <v>5388</v>
      </c>
      <c r="F2629" s="2405" t="s">
        <v>856</v>
      </c>
      <c r="G2629" s="2405">
        <f>1.39*G2625</f>
        <v>0</v>
      </c>
      <c r="H2629" s="2612">
        <v>0</v>
      </c>
      <c r="I2629" s="2612"/>
      <c r="J2629" s="2612">
        <v>117703.6</v>
      </c>
      <c r="K2629" s="2511"/>
      <c r="L2629" s="2613">
        <f>H2629*G2629</f>
        <v>0</v>
      </c>
      <c r="M2629" s="2613">
        <f t="shared" si="526"/>
        <v>0</v>
      </c>
      <c r="N2629" s="2613">
        <f t="shared" si="527"/>
        <v>0</v>
      </c>
      <c r="O2629" s="2613">
        <f t="shared" si="528"/>
        <v>0</v>
      </c>
      <c r="P2629" s="2518"/>
      <c r="Q2629" s="2519"/>
      <c r="R2629" s="2519"/>
      <c r="S2629" s="2519"/>
    </row>
    <row r="2630" spans="1:19" s="2358" customFormat="1" outlineLevel="1">
      <c r="A2630" s="2435">
        <f>IF(G2630&lt;&gt;0,1,"")</f>
        <v>1</v>
      </c>
      <c r="B2630" s="2514"/>
      <c r="C2630" s="2716">
        <f>IF(G2630&gt;0,C2625+1,C2625)</f>
        <v>1</v>
      </c>
      <c r="D2630" s="2734"/>
      <c r="E2630" s="2718" t="s">
        <v>6311</v>
      </c>
      <c r="F2630" s="2719" t="s">
        <v>2391</v>
      </c>
      <c r="G2630" s="2720">
        <f>+G2594*1</f>
        <v>1</v>
      </c>
      <c r="H2630" s="2722"/>
      <c r="I2630" s="2735"/>
      <c r="J2630" s="2735"/>
      <c r="K2630" s="2725"/>
      <c r="L2630" s="2725">
        <f t="shared" ref="L2630:L2663" si="529">H2630*G2630</f>
        <v>0</v>
      </c>
      <c r="M2630" s="2725">
        <f t="shared" si="526"/>
        <v>0</v>
      </c>
      <c r="N2630" s="2736">
        <f t="shared" si="527"/>
        <v>0</v>
      </c>
      <c r="O2630" s="2736">
        <f t="shared" si="528"/>
        <v>0</v>
      </c>
      <c r="P2630" s="2736"/>
      <c r="Q2630" s="2519"/>
      <c r="R2630" s="2519"/>
      <c r="S2630" s="2519"/>
    </row>
    <row r="2631" spans="1:19" s="2358" customFormat="1" ht="14.4" outlineLevel="1">
      <c r="A2631" s="2435">
        <f>A2630</f>
        <v>1</v>
      </c>
      <c r="B2631" s="2514"/>
      <c r="C2631" s="2511"/>
      <c r="D2631" s="2512"/>
      <c r="E2631" s="2520" t="s">
        <v>6207</v>
      </c>
      <c r="F2631" s="2521"/>
      <c r="G2631" s="2703"/>
      <c r="H2631" s="2669"/>
      <c r="I2631" s="2669"/>
      <c r="J2631" s="2669"/>
      <c r="K2631" s="2669"/>
      <c r="L2631" s="2613">
        <f t="shared" si="529"/>
        <v>0</v>
      </c>
      <c r="M2631" s="2613">
        <f t="shared" si="526"/>
        <v>0</v>
      </c>
      <c r="N2631" s="2613">
        <f t="shared" si="527"/>
        <v>0</v>
      </c>
      <c r="O2631" s="2613">
        <f t="shared" si="528"/>
        <v>0</v>
      </c>
      <c r="P2631" s="2518"/>
      <c r="Q2631" s="2519"/>
      <c r="R2631" s="2519"/>
      <c r="S2631" s="2519"/>
    </row>
    <row r="2632" spans="1:19" s="2358" customFormat="1" outlineLevel="1">
      <c r="A2632" s="2435">
        <f t="shared" ref="A2632:A2637" si="530">IF(G2632&lt;&gt;0,1,"")</f>
        <v>1</v>
      </c>
      <c r="B2632" s="2386" t="s">
        <v>5212</v>
      </c>
      <c r="C2632" s="2511"/>
      <c r="D2632" s="2405">
        <v>0</v>
      </c>
      <c r="E2632" s="2447" t="s">
        <v>5213</v>
      </c>
      <c r="F2632" s="2405" t="s">
        <v>2598</v>
      </c>
      <c r="G2632" s="2703">
        <f>+G2630*1</f>
        <v>1</v>
      </c>
      <c r="H2632" s="2612">
        <v>960000</v>
      </c>
      <c r="I2632" s="2612"/>
      <c r="J2632" s="2612">
        <v>0</v>
      </c>
      <c r="K2632" s="2612">
        <v>0</v>
      </c>
      <c r="L2632" s="2613">
        <f t="shared" si="529"/>
        <v>960000</v>
      </c>
      <c r="M2632" s="2613">
        <f t="shared" si="526"/>
        <v>0</v>
      </c>
      <c r="N2632" s="2613">
        <f t="shared" si="527"/>
        <v>0</v>
      </c>
      <c r="O2632" s="2613">
        <f t="shared" si="528"/>
        <v>0</v>
      </c>
      <c r="P2632" s="2518"/>
      <c r="Q2632" s="2519"/>
      <c r="R2632" s="2519"/>
      <c r="S2632" s="2519"/>
    </row>
    <row r="2633" spans="1:19" s="2358" customFormat="1" outlineLevel="1">
      <c r="A2633" s="2435">
        <f t="shared" si="530"/>
        <v>1</v>
      </c>
      <c r="B2633" s="2812" t="s">
        <v>5219</v>
      </c>
      <c r="C2633" s="2511"/>
      <c r="D2633" s="2405">
        <v>0</v>
      </c>
      <c r="E2633" s="2447" t="s">
        <v>5220</v>
      </c>
      <c r="F2633" s="2405" t="s">
        <v>5221</v>
      </c>
      <c r="G2633" s="2703">
        <f>G2632*2</f>
        <v>2</v>
      </c>
      <c r="H2633" s="2612">
        <v>140000</v>
      </c>
      <c r="I2633" s="2612"/>
      <c r="J2633" s="2612">
        <v>0</v>
      </c>
      <c r="K2633" s="2612">
        <v>0</v>
      </c>
      <c r="L2633" s="2613">
        <f>H2633*G2633</f>
        <v>280000</v>
      </c>
      <c r="M2633" s="2613">
        <f t="shared" si="526"/>
        <v>0</v>
      </c>
      <c r="N2633" s="2613">
        <f t="shared" si="527"/>
        <v>0</v>
      </c>
      <c r="O2633" s="2613">
        <f t="shared" si="528"/>
        <v>0</v>
      </c>
      <c r="P2633" s="2518"/>
      <c r="Q2633" s="2519"/>
      <c r="R2633" s="2519"/>
      <c r="S2633" s="2519"/>
    </row>
    <row r="2634" spans="1:19" s="2358" customFormat="1" outlineLevel="1">
      <c r="A2634" s="2435">
        <f t="shared" si="530"/>
        <v>1</v>
      </c>
      <c r="B2634" s="2383" t="s">
        <v>488</v>
      </c>
      <c r="C2634" s="2511"/>
      <c r="D2634" s="2405">
        <v>0</v>
      </c>
      <c r="E2634" s="2447" t="s">
        <v>5130</v>
      </c>
      <c r="F2634" s="2405" t="s">
        <v>2445</v>
      </c>
      <c r="G2634" s="2703">
        <f>+G2630*3</f>
        <v>3</v>
      </c>
      <c r="H2634" s="2612">
        <v>65000</v>
      </c>
      <c r="I2634" s="2612">
        <v>0</v>
      </c>
      <c r="J2634" s="2612">
        <v>0</v>
      </c>
      <c r="K2634" s="2612">
        <v>0</v>
      </c>
      <c r="L2634" s="2613">
        <f t="shared" si="529"/>
        <v>195000</v>
      </c>
      <c r="M2634" s="2613">
        <f t="shared" si="526"/>
        <v>0</v>
      </c>
      <c r="N2634" s="2613">
        <f t="shared" si="527"/>
        <v>0</v>
      </c>
      <c r="O2634" s="2613">
        <f t="shared" si="528"/>
        <v>0</v>
      </c>
      <c r="P2634" s="2518"/>
      <c r="Q2634" s="2519"/>
      <c r="R2634" s="2519"/>
      <c r="S2634" s="2519"/>
    </row>
    <row r="2635" spans="1:19" s="2358" customFormat="1" outlineLevel="1">
      <c r="A2635" s="2435">
        <f t="shared" si="530"/>
        <v>1</v>
      </c>
      <c r="B2635" s="2514" t="s">
        <v>1079</v>
      </c>
      <c r="C2635" s="2511"/>
      <c r="D2635" s="2405">
        <v>0</v>
      </c>
      <c r="E2635" s="2447" t="s">
        <v>2659</v>
      </c>
      <c r="F2635" s="2405" t="s">
        <v>2445</v>
      </c>
      <c r="G2635" s="2703">
        <f>+G2630*2</f>
        <v>2</v>
      </c>
      <c r="H2635" s="2612">
        <v>27900</v>
      </c>
      <c r="I2635" s="2669"/>
      <c r="J2635" s="2612">
        <v>0</v>
      </c>
      <c r="K2635" s="2612">
        <v>0</v>
      </c>
      <c r="L2635" s="2613">
        <f t="shared" si="529"/>
        <v>55800</v>
      </c>
      <c r="M2635" s="2613">
        <f t="shared" si="526"/>
        <v>0</v>
      </c>
      <c r="N2635" s="2613">
        <f t="shared" si="527"/>
        <v>0</v>
      </c>
      <c r="O2635" s="2613">
        <f t="shared" si="528"/>
        <v>0</v>
      </c>
      <c r="P2635" s="2518"/>
      <c r="Q2635" s="2519"/>
      <c r="R2635" s="2519"/>
      <c r="S2635" s="2519"/>
    </row>
    <row r="2636" spans="1:19" s="2358" customFormat="1" outlineLevel="1">
      <c r="A2636" s="2435">
        <f t="shared" si="530"/>
        <v>1</v>
      </c>
      <c r="B2636" s="2514" t="s">
        <v>244</v>
      </c>
      <c r="C2636" s="2511"/>
      <c r="D2636" s="2405">
        <v>0</v>
      </c>
      <c r="E2636" s="2447" t="s">
        <v>2649</v>
      </c>
      <c r="F2636" s="2405" t="s">
        <v>2445</v>
      </c>
      <c r="G2636" s="2703">
        <f>+G2630*2</f>
        <v>2</v>
      </c>
      <c r="H2636" s="2612">
        <v>18900</v>
      </c>
      <c r="I2636" s="2669"/>
      <c r="J2636" s="2612">
        <v>0</v>
      </c>
      <c r="K2636" s="2612">
        <v>0</v>
      </c>
      <c r="L2636" s="2613">
        <f>H2636*G2636</f>
        <v>37800</v>
      </c>
      <c r="M2636" s="2613">
        <f t="shared" si="526"/>
        <v>0</v>
      </c>
      <c r="N2636" s="2613">
        <f t="shared" si="527"/>
        <v>0</v>
      </c>
      <c r="O2636" s="2613">
        <f t="shared" si="528"/>
        <v>0</v>
      </c>
      <c r="P2636" s="2518"/>
      <c r="Q2636" s="2519"/>
      <c r="R2636" s="2519"/>
      <c r="S2636" s="2519"/>
    </row>
    <row r="2637" spans="1:19" s="2358" customFormat="1" outlineLevel="1">
      <c r="A2637" s="2435">
        <f t="shared" si="530"/>
        <v>1</v>
      </c>
      <c r="B2637" s="2505" t="s">
        <v>2248</v>
      </c>
      <c r="C2637" s="2511"/>
      <c r="D2637" s="2405" t="s">
        <v>5506</v>
      </c>
      <c r="E2637" s="2447" t="s">
        <v>2446</v>
      </c>
      <c r="F2637" s="2405" t="s">
        <v>2445</v>
      </c>
      <c r="G2637" s="2703">
        <f>+G2630</f>
        <v>1</v>
      </c>
      <c r="H2637" s="2517">
        <v>0</v>
      </c>
      <c r="I2637" s="2612"/>
      <c r="J2637" s="2612">
        <v>474961</v>
      </c>
      <c r="K2637" s="2612">
        <v>0</v>
      </c>
      <c r="L2637" s="2613">
        <f t="shared" si="529"/>
        <v>0</v>
      </c>
      <c r="M2637" s="2613"/>
      <c r="N2637" s="2517">
        <f t="shared" si="527"/>
        <v>474961</v>
      </c>
      <c r="O2637" s="2613"/>
      <c r="P2637" s="2518"/>
      <c r="Q2637" s="2519"/>
      <c r="R2637" s="2519"/>
      <c r="S2637" s="2519"/>
    </row>
    <row r="2638" spans="1:19" s="2358" customFormat="1" outlineLevel="1" collapsed="1">
      <c r="A2638" s="2435">
        <f>IF(G2638&lt;&gt;0,1,"")</f>
        <v>1</v>
      </c>
      <c r="B2638" s="2514"/>
      <c r="C2638" s="2716">
        <f>IF(G2638&gt;0,C2630+1,C2630)</f>
        <v>2</v>
      </c>
      <c r="D2638" s="2734"/>
      <c r="E2638" s="2718" t="s">
        <v>6350</v>
      </c>
      <c r="F2638" s="2719" t="s">
        <v>2391</v>
      </c>
      <c r="G2638" s="2720">
        <v>2</v>
      </c>
      <c r="H2638" s="2722"/>
      <c r="I2638" s="2735"/>
      <c r="J2638" s="2735"/>
      <c r="K2638" s="2725"/>
      <c r="L2638" s="2725">
        <f t="shared" si="529"/>
        <v>0</v>
      </c>
      <c r="M2638" s="2725">
        <f>I2638*G2638</f>
        <v>0</v>
      </c>
      <c r="N2638" s="2736">
        <f>J2638*G2638</f>
        <v>0</v>
      </c>
      <c r="O2638" s="2736">
        <f>K2638*G2638</f>
        <v>0</v>
      </c>
      <c r="P2638" s="2736"/>
      <c r="Q2638" s="2519"/>
      <c r="R2638" s="2519"/>
      <c r="S2638" s="2519"/>
    </row>
    <row r="2639" spans="1:19" s="2358" customFormat="1" ht="14.4" outlineLevel="1">
      <c r="A2639" s="2435">
        <f>A2638</f>
        <v>1</v>
      </c>
      <c r="B2639" s="2514"/>
      <c r="C2639" s="2511"/>
      <c r="D2639" s="2512"/>
      <c r="E2639" s="2520" t="s">
        <v>6207</v>
      </c>
      <c r="F2639" s="2521"/>
      <c r="G2639" s="2703"/>
      <c r="H2639" s="2517"/>
      <c r="I2639" s="2517"/>
      <c r="J2639" s="2517"/>
      <c r="K2639" s="2517"/>
      <c r="L2639" s="2517">
        <f t="shared" si="529"/>
        <v>0</v>
      </c>
      <c r="M2639" s="2517">
        <f>I2639*G2639</f>
        <v>0</v>
      </c>
      <c r="N2639" s="2517">
        <f>J2639*G2639</f>
        <v>0</v>
      </c>
      <c r="O2639" s="2517">
        <f>K2639*G2639</f>
        <v>0</v>
      </c>
      <c r="P2639" s="2642"/>
      <c r="Q2639" s="2519"/>
      <c r="R2639" s="2519"/>
      <c r="S2639" s="2519"/>
    </row>
    <row r="2640" spans="1:19" s="2358" customFormat="1" outlineLevel="1">
      <c r="A2640" s="2435">
        <f t="shared" ref="A2640:A2646" si="531">IF(G2640&lt;&gt;0,1,"")</f>
        <v>1</v>
      </c>
      <c r="B2640" s="2514" t="s">
        <v>2026</v>
      </c>
      <c r="C2640" s="2511"/>
      <c r="D2640" s="2405">
        <v>0</v>
      </c>
      <c r="E2640" s="2447" t="s">
        <v>2443</v>
      </c>
      <c r="F2640" s="2405" t="s">
        <v>2254</v>
      </c>
      <c r="G2640" s="2703">
        <f>G2638*9.02*(2.4+4*0.07)*2</f>
        <v>96.694399999999987</v>
      </c>
      <c r="H2640" s="2517">
        <v>31625</v>
      </c>
      <c r="I2640" s="2517"/>
      <c r="J2640" s="2612">
        <v>0</v>
      </c>
      <c r="K2640" s="2612">
        <v>0</v>
      </c>
      <c r="L2640" s="2517">
        <f t="shared" si="529"/>
        <v>3057960.3999999994</v>
      </c>
      <c r="M2640" s="2517"/>
      <c r="N2640" s="2517"/>
      <c r="O2640" s="2517"/>
      <c r="P2640" s="2642"/>
      <c r="Q2640" s="2519"/>
      <c r="R2640" s="2519"/>
      <c r="S2640" s="2519"/>
    </row>
    <row r="2641" spans="1:19" s="2358" customFormat="1" outlineLevel="1">
      <c r="A2641" s="2435">
        <f t="shared" si="531"/>
        <v>1</v>
      </c>
      <c r="B2641" s="2514" t="s">
        <v>1035</v>
      </c>
      <c r="C2641" s="2511"/>
      <c r="D2641" s="2405">
        <v>0</v>
      </c>
      <c r="E2641" s="2447" t="s">
        <v>6461</v>
      </c>
      <c r="F2641" s="2405" t="s">
        <v>2254</v>
      </c>
      <c r="G2641" s="2703">
        <f>G2638*3.77*0.81*4</f>
        <v>24.429600000000001</v>
      </c>
      <c r="H2641" s="2517">
        <v>31625</v>
      </c>
      <c r="I2641" s="2517"/>
      <c r="J2641" s="2612">
        <v>0</v>
      </c>
      <c r="K2641" s="2612">
        <v>0</v>
      </c>
      <c r="L2641" s="2517">
        <f t="shared" si="529"/>
        <v>772586.1</v>
      </c>
      <c r="M2641" s="2517"/>
      <c r="N2641" s="2517"/>
      <c r="O2641" s="2517"/>
      <c r="P2641" s="2642"/>
      <c r="Q2641" s="2519"/>
      <c r="R2641" s="2519"/>
      <c r="S2641" s="2519"/>
    </row>
    <row r="2642" spans="1:19" s="2358" customFormat="1" outlineLevel="1">
      <c r="A2642" s="2435">
        <f t="shared" si="531"/>
        <v>1</v>
      </c>
      <c r="B2642" s="2514" t="s">
        <v>1613</v>
      </c>
      <c r="C2642" s="2511"/>
      <c r="D2642" s="2405">
        <v>0</v>
      </c>
      <c r="E2642" s="2447" t="s">
        <v>2657</v>
      </c>
      <c r="F2642" s="2405" t="s">
        <v>2391</v>
      </c>
      <c r="G2642" s="2703">
        <f>G2638*2</f>
        <v>4</v>
      </c>
      <c r="H2642" s="2517">
        <v>25400</v>
      </c>
      <c r="I2642" s="2517">
        <v>0</v>
      </c>
      <c r="J2642" s="2612">
        <v>0</v>
      </c>
      <c r="K2642" s="2612">
        <v>0</v>
      </c>
      <c r="L2642" s="2517">
        <f t="shared" si="529"/>
        <v>101600</v>
      </c>
      <c r="M2642" s="2517"/>
      <c r="N2642" s="2517"/>
      <c r="O2642" s="2517"/>
      <c r="P2642" s="2642"/>
      <c r="Q2642" s="2519"/>
      <c r="R2642" s="2519"/>
      <c r="S2642" s="2519"/>
    </row>
    <row r="2643" spans="1:19" s="2358" customFormat="1" outlineLevel="1">
      <c r="A2643" s="2435">
        <f t="shared" si="531"/>
        <v>1</v>
      </c>
      <c r="B2643" s="2514" t="s">
        <v>1790</v>
      </c>
      <c r="C2643" s="2511"/>
      <c r="D2643" s="2405">
        <v>0</v>
      </c>
      <c r="E2643" s="2447" t="s">
        <v>2647</v>
      </c>
      <c r="F2643" s="2405" t="s">
        <v>2391</v>
      </c>
      <c r="G2643" s="2703">
        <f>G2638*4</f>
        <v>8</v>
      </c>
      <c r="H2643" s="2517">
        <v>12400</v>
      </c>
      <c r="I2643" s="2517">
        <v>0</v>
      </c>
      <c r="J2643" s="2612">
        <v>0</v>
      </c>
      <c r="K2643" s="2612">
        <v>0</v>
      </c>
      <c r="L2643" s="2517">
        <f t="shared" si="529"/>
        <v>99200</v>
      </c>
      <c r="M2643" s="2517"/>
      <c r="N2643" s="2517"/>
      <c r="O2643" s="2517"/>
      <c r="P2643" s="2642"/>
      <c r="Q2643" s="2519"/>
      <c r="R2643" s="2519"/>
      <c r="S2643" s="2519"/>
    </row>
    <row r="2644" spans="1:19" s="2358" customFormat="1" outlineLevel="1">
      <c r="A2644" s="2435">
        <f t="shared" si="531"/>
        <v>1</v>
      </c>
      <c r="B2644" s="2514" t="s">
        <v>1788</v>
      </c>
      <c r="C2644" s="2511"/>
      <c r="D2644" s="2405">
        <v>0</v>
      </c>
      <c r="E2644" s="2447" t="s">
        <v>2668</v>
      </c>
      <c r="F2644" s="2405" t="s">
        <v>2391</v>
      </c>
      <c r="G2644" s="2703">
        <f>G2638*4</f>
        <v>8</v>
      </c>
      <c r="H2644" s="2517">
        <v>31800</v>
      </c>
      <c r="I2644" s="2517">
        <v>0</v>
      </c>
      <c r="J2644" s="2612">
        <v>0</v>
      </c>
      <c r="K2644" s="2612">
        <v>0</v>
      </c>
      <c r="L2644" s="2517">
        <f t="shared" si="529"/>
        <v>254400</v>
      </c>
      <c r="M2644" s="2517">
        <f>I2644*G2644</f>
        <v>0</v>
      </c>
      <c r="N2644" s="2517">
        <f>J2644*G2644</f>
        <v>0</v>
      </c>
      <c r="O2644" s="2517">
        <f>K2644*G2644</f>
        <v>0</v>
      </c>
      <c r="P2644" s="2642"/>
      <c r="Q2644" s="2519"/>
      <c r="R2644" s="2519"/>
      <c r="S2644" s="2519"/>
    </row>
    <row r="2645" spans="1:19" s="2358" customFormat="1" outlineLevel="1">
      <c r="A2645" s="2435">
        <f t="shared" si="531"/>
        <v>1</v>
      </c>
      <c r="B2645" s="2514" t="s">
        <v>517</v>
      </c>
      <c r="C2645" s="2511"/>
      <c r="D2645" s="2405" t="s">
        <v>5492</v>
      </c>
      <c r="E2645" s="2447" t="s">
        <v>3191</v>
      </c>
      <c r="F2645" s="2405" t="s">
        <v>2391</v>
      </c>
      <c r="G2645" s="2703">
        <f>G2638</f>
        <v>2</v>
      </c>
      <c r="H2645" s="2517">
        <v>0</v>
      </c>
      <c r="I2645" s="2517"/>
      <c r="J2645" s="2612">
        <v>296544.75</v>
      </c>
      <c r="K2645" s="2612">
        <v>0</v>
      </c>
      <c r="L2645" s="2517">
        <f t="shared" si="529"/>
        <v>0</v>
      </c>
      <c r="M2645" s="2517"/>
      <c r="N2645" s="2517">
        <f>J2645*G2645</f>
        <v>593089.5</v>
      </c>
      <c r="O2645" s="2517"/>
      <c r="P2645" s="2642"/>
      <c r="Q2645" s="2519"/>
      <c r="R2645" s="2519"/>
      <c r="S2645" s="2519"/>
    </row>
    <row r="2646" spans="1:19" s="2358" customFormat="1" outlineLevel="1">
      <c r="A2646" s="2435">
        <f t="shared" si="531"/>
        <v>1</v>
      </c>
      <c r="B2646" s="2514"/>
      <c r="C2646" s="2716">
        <f>IF(G2646&gt;0,C2638+1,C2638)</f>
        <v>3</v>
      </c>
      <c r="D2646" s="2734"/>
      <c r="E2646" s="2718" t="s">
        <v>6351</v>
      </c>
      <c r="F2646" s="2719" t="s">
        <v>2391</v>
      </c>
      <c r="G2646" s="2720">
        <f>G2594*1</f>
        <v>1</v>
      </c>
      <c r="H2646" s="2722"/>
      <c r="I2646" s="2735"/>
      <c r="J2646" s="2735"/>
      <c r="K2646" s="2725"/>
      <c r="L2646" s="2725">
        <f t="shared" si="529"/>
        <v>0</v>
      </c>
      <c r="M2646" s="2725">
        <f>I2646*G2646</f>
        <v>0</v>
      </c>
      <c r="N2646" s="2736">
        <f>J2646*G2646</f>
        <v>0</v>
      </c>
      <c r="O2646" s="2736">
        <f>K2646*G2646</f>
        <v>0</v>
      </c>
      <c r="P2646" s="2736"/>
      <c r="Q2646" s="2519"/>
      <c r="R2646" s="2519"/>
      <c r="S2646" s="2519"/>
    </row>
    <row r="2647" spans="1:19" s="2358" customFormat="1" ht="14.4" outlineLevel="1">
      <c r="A2647" s="2435">
        <f>A2646</f>
        <v>1</v>
      </c>
      <c r="B2647" s="2514"/>
      <c r="C2647" s="2511"/>
      <c r="D2647" s="2512"/>
      <c r="E2647" s="2520" t="s">
        <v>6207</v>
      </c>
      <c r="F2647" s="2521"/>
      <c r="G2647" s="2703"/>
      <c r="H2647" s="2517"/>
      <c r="I2647" s="2517"/>
      <c r="J2647" s="2517"/>
      <c r="K2647" s="2517"/>
      <c r="L2647" s="2517">
        <f t="shared" si="529"/>
        <v>0</v>
      </c>
      <c r="M2647" s="2517">
        <f>I2647*G2647</f>
        <v>0</v>
      </c>
      <c r="N2647" s="2517">
        <f>J2647*G2647</f>
        <v>0</v>
      </c>
      <c r="O2647" s="2517">
        <f>K2647*G2647</f>
        <v>0</v>
      </c>
      <c r="P2647" s="2642"/>
      <c r="Q2647" s="2519"/>
      <c r="R2647" s="2519"/>
      <c r="S2647" s="2519"/>
    </row>
    <row r="2648" spans="1:19" s="2358" customFormat="1" outlineLevel="1">
      <c r="A2648" s="2435">
        <f t="shared" ref="A2648:A2655" si="532">IF(G2648&lt;&gt;0,1,"")</f>
        <v>1</v>
      </c>
      <c r="B2648" s="2514" t="s">
        <v>2026</v>
      </c>
      <c r="C2648" s="2511"/>
      <c r="D2648" s="2405">
        <v>0</v>
      </c>
      <c r="E2648" s="2447" t="s">
        <v>2443</v>
      </c>
      <c r="F2648" s="2405" t="s">
        <v>2254</v>
      </c>
      <c r="G2648" s="2703">
        <f>G2646*(19.84+4*0.63)</f>
        <v>22.36</v>
      </c>
      <c r="H2648" s="2517">
        <v>31625</v>
      </c>
      <c r="I2648" s="2517"/>
      <c r="J2648" s="2612">
        <v>0</v>
      </c>
      <c r="K2648" s="2612">
        <v>0</v>
      </c>
      <c r="L2648" s="2517">
        <f t="shared" si="529"/>
        <v>707135</v>
      </c>
      <c r="M2648" s="2517"/>
      <c r="N2648" s="2517"/>
      <c r="O2648" s="2517"/>
      <c r="P2648" s="2642"/>
      <c r="Q2648" s="2519"/>
      <c r="R2648" s="2519"/>
      <c r="S2648" s="2519"/>
    </row>
    <row r="2649" spans="1:19" s="2358" customFormat="1" outlineLevel="1">
      <c r="A2649" s="2435">
        <f t="shared" si="532"/>
        <v>1</v>
      </c>
      <c r="B2649" s="2514" t="s">
        <v>1035</v>
      </c>
      <c r="C2649" s="2511"/>
      <c r="D2649" s="2405">
        <v>0</v>
      </c>
      <c r="E2649" s="2447" t="s">
        <v>6461</v>
      </c>
      <c r="F2649" s="2405" t="s">
        <v>2254</v>
      </c>
      <c r="G2649" s="2703">
        <f>G2646*3.05*2</f>
        <v>6.1</v>
      </c>
      <c r="H2649" s="2517">
        <v>31625</v>
      </c>
      <c r="I2649" s="2517"/>
      <c r="J2649" s="2612">
        <v>0</v>
      </c>
      <c r="K2649" s="2612">
        <v>0</v>
      </c>
      <c r="L2649" s="2517">
        <f t="shared" si="529"/>
        <v>192912.5</v>
      </c>
      <c r="M2649" s="2517"/>
      <c r="N2649" s="2517"/>
      <c r="O2649" s="2517"/>
      <c r="P2649" s="2642"/>
      <c r="Q2649" s="2519"/>
      <c r="R2649" s="2519"/>
      <c r="S2649" s="2519"/>
    </row>
    <row r="2650" spans="1:19" s="2358" customFormat="1" outlineLevel="1">
      <c r="A2650" s="2435">
        <f t="shared" si="532"/>
        <v>1</v>
      </c>
      <c r="B2650" s="2514" t="s">
        <v>1079</v>
      </c>
      <c r="C2650" s="2511"/>
      <c r="D2650" s="2405">
        <v>0</v>
      </c>
      <c r="E2650" s="2447" t="s">
        <v>2659</v>
      </c>
      <c r="F2650" s="2405" t="s">
        <v>2391</v>
      </c>
      <c r="G2650" s="2703">
        <f>G2646*2</f>
        <v>2</v>
      </c>
      <c r="H2650" s="2517">
        <v>27900</v>
      </c>
      <c r="I2650" s="2517">
        <v>0</v>
      </c>
      <c r="J2650" s="2612">
        <v>0</v>
      </c>
      <c r="K2650" s="2612">
        <v>0</v>
      </c>
      <c r="L2650" s="2517">
        <f t="shared" si="529"/>
        <v>55800</v>
      </c>
      <c r="M2650" s="2517"/>
      <c r="N2650" s="2517"/>
      <c r="O2650" s="2517"/>
      <c r="P2650" s="2642"/>
      <c r="Q2650" s="2519"/>
      <c r="R2650" s="2519"/>
      <c r="S2650" s="2519"/>
    </row>
    <row r="2651" spans="1:19" s="2358" customFormat="1" outlineLevel="1">
      <c r="A2651" s="2435">
        <f t="shared" si="532"/>
        <v>1</v>
      </c>
      <c r="B2651" s="2514" t="s">
        <v>1790</v>
      </c>
      <c r="C2651" s="2511"/>
      <c r="D2651" s="2405">
        <v>0</v>
      </c>
      <c r="E2651" s="2447" t="s">
        <v>2647</v>
      </c>
      <c r="F2651" s="2405" t="s">
        <v>2391</v>
      </c>
      <c r="G2651" s="2703">
        <f>G2646*2</f>
        <v>2</v>
      </c>
      <c r="H2651" s="2517">
        <v>12400</v>
      </c>
      <c r="I2651" s="2517">
        <v>0</v>
      </c>
      <c r="J2651" s="2612">
        <v>0</v>
      </c>
      <c r="K2651" s="2612">
        <v>0</v>
      </c>
      <c r="L2651" s="2517">
        <f t="shared" si="529"/>
        <v>24800</v>
      </c>
      <c r="M2651" s="2517"/>
      <c r="N2651" s="2517"/>
      <c r="O2651" s="2517"/>
      <c r="P2651" s="2642"/>
      <c r="Q2651" s="2519"/>
      <c r="R2651" s="2519"/>
      <c r="S2651" s="2519"/>
    </row>
    <row r="2652" spans="1:19" s="2358" customFormat="1" outlineLevel="1">
      <c r="A2652" s="2435" t="str">
        <f t="shared" si="532"/>
        <v/>
      </c>
      <c r="B2652" s="2514" t="s">
        <v>1739</v>
      </c>
      <c r="C2652" s="2511"/>
      <c r="D2652" s="2405">
        <v>0</v>
      </c>
      <c r="E2652" s="2447" t="s">
        <v>2699</v>
      </c>
      <c r="F2652" s="2405" t="s">
        <v>2391</v>
      </c>
      <c r="G2652" s="2703"/>
      <c r="H2652" s="2517">
        <v>34000</v>
      </c>
      <c r="I2652" s="2517">
        <v>0</v>
      </c>
      <c r="J2652" s="2612">
        <v>0</v>
      </c>
      <c r="K2652" s="2612">
        <v>0</v>
      </c>
      <c r="L2652" s="2517">
        <f t="shared" si="529"/>
        <v>0</v>
      </c>
      <c r="M2652" s="2517"/>
      <c r="N2652" s="2517"/>
      <c r="O2652" s="2517"/>
      <c r="P2652" s="2642"/>
      <c r="Q2652" s="2519"/>
      <c r="R2652" s="2519"/>
      <c r="S2652" s="2519"/>
    </row>
    <row r="2653" spans="1:19" s="2358" customFormat="1" outlineLevel="1">
      <c r="A2653" s="2435" t="str">
        <f t="shared" si="532"/>
        <v/>
      </c>
      <c r="B2653" s="2514" t="s">
        <v>988</v>
      </c>
      <c r="C2653" s="2511"/>
      <c r="D2653" s="2405">
        <v>0</v>
      </c>
      <c r="E2653" s="2447" t="s">
        <v>5331</v>
      </c>
      <c r="F2653" s="2405" t="s">
        <v>2391</v>
      </c>
      <c r="G2653" s="2703"/>
      <c r="H2653" s="2517">
        <v>178900</v>
      </c>
      <c r="I2653" s="2517">
        <v>0</v>
      </c>
      <c r="J2653" s="2612">
        <v>0</v>
      </c>
      <c r="K2653" s="2612">
        <v>0</v>
      </c>
      <c r="L2653" s="2517">
        <f t="shared" si="529"/>
        <v>0</v>
      </c>
      <c r="M2653" s="2517"/>
      <c r="N2653" s="2517"/>
      <c r="O2653" s="2517"/>
      <c r="P2653" s="2642"/>
      <c r="Q2653" s="2519"/>
      <c r="R2653" s="2519"/>
      <c r="S2653" s="2519"/>
    </row>
    <row r="2654" spans="1:19" s="2358" customFormat="1" outlineLevel="1">
      <c r="A2654" s="2435">
        <f t="shared" si="532"/>
        <v>1</v>
      </c>
      <c r="B2654" s="2514" t="s">
        <v>1443</v>
      </c>
      <c r="C2654" s="2511"/>
      <c r="D2654" s="2405" t="s">
        <v>5483</v>
      </c>
      <c r="E2654" s="2447" t="s">
        <v>5484</v>
      </c>
      <c r="F2654" s="2405" t="s">
        <v>2391</v>
      </c>
      <c r="G2654" s="2703">
        <f>G2646</f>
        <v>1</v>
      </c>
      <c r="H2654" s="2517">
        <v>0</v>
      </c>
      <c r="I2654" s="2517"/>
      <c r="J2654" s="2612">
        <v>296544.75</v>
      </c>
      <c r="K2654" s="2612">
        <v>0</v>
      </c>
      <c r="L2654" s="2517">
        <f t="shared" si="529"/>
        <v>0</v>
      </c>
      <c r="M2654" s="2517"/>
      <c r="N2654" s="2517">
        <f>J2654*G2654</f>
        <v>296544.75</v>
      </c>
      <c r="O2654" s="2517"/>
      <c r="P2654" s="2642"/>
      <c r="Q2654" s="2519"/>
      <c r="R2654" s="2519"/>
      <c r="S2654" s="2519"/>
    </row>
    <row r="2655" spans="1:19" s="2358" customFormat="1" outlineLevel="1">
      <c r="A2655" s="2435">
        <f t="shared" si="532"/>
        <v>1</v>
      </c>
      <c r="B2655" s="2514"/>
      <c r="C2655" s="2716">
        <f>IF(G2655&gt;0,C2646+1,C2646)</f>
        <v>4</v>
      </c>
      <c r="D2655" s="2734"/>
      <c r="E2655" s="2718" t="s">
        <v>3738</v>
      </c>
      <c r="F2655" s="2719" t="s">
        <v>2391</v>
      </c>
      <c r="G2655" s="2720">
        <f>G2594</f>
        <v>1</v>
      </c>
      <c r="H2655" s="2722"/>
      <c r="I2655" s="2735"/>
      <c r="J2655" s="2735"/>
      <c r="K2655" s="2725"/>
      <c r="L2655" s="2725">
        <f t="shared" si="529"/>
        <v>0</v>
      </c>
      <c r="M2655" s="2725">
        <f>I2655*G2655</f>
        <v>0</v>
      </c>
      <c r="N2655" s="2736">
        <f t="shared" ref="N2655:N2667" si="533">J2655*G2655</f>
        <v>0</v>
      </c>
      <c r="O2655" s="2736">
        <f>K2655*G2655</f>
        <v>0</v>
      </c>
      <c r="P2655" s="2736"/>
      <c r="Q2655" s="2519"/>
      <c r="R2655" s="2519"/>
      <c r="S2655" s="2519"/>
    </row>
    <row r="2656" spans="1:19" s="2358" customFormat="1" ht="14.4" outlineLevel="1">
      <c r="A2656" s="2435">
        <f>+A2655</f>
        <v>1</v>
      </c>
      <c r="B2656" s="2671"/>
      <c r="C2656" s="2511"/>
      <c r="D2656" s="2512"/>
      <c r="E2656" s="2520" t="s">
        <v>6207</v>
      </c>
      <c r="F2656" s="2521"/>
      <c r="G2656" s="2703"/>
      <c r="H2656" s="2517"/>
      <c r="I2656" s="2517"/>
      <c r="J2656" s="2517"/>
      <c r="K2656" s="2517"/>
      <c r="L2656" s="2517">
        <f t="shared" si="529"/>
        <v>0</v>
      </c>
      <c r="M2656" s="2517">
        <f>I2656*G2656</f>
        <v>0</v>
      </c>
      <c r="N2656" s="2517">
        <f t="shared" si="533"/>
        <v>0</v>
      </c>
      <c r="O2656" s="2517">
        <f>K2656*G2656</f>
        <v>0</v>
      </c>
      <c r="P2656" s="2642"/>
      <c r="Q2656" s="2519"/>
      <c r="R2656" s="2519"/>
      <c r="S2656" s="2519"/>
    </row>
    <row r="2657" spans="1:19" s="2358" customFormat="1" outlineLevel="1">
      <c r="A2657" s="2435">
        <f t="shared" ref="A2657:A2663" si="534">IF(G2657&lt;&gt;0,1,"")</f>
        <v>1</v>
      </c>
      <c r="B2657" s="2514" t="s">
        <v>1033</v>
      </c>
      <c r="C2657" s="2511"/>
      <c r="D2657" s="2405">
        <v>0</v>
      </c>
      <c r="E2657" s="2447" t="s">
        <v>2708</v>
      </c>
      <c r="F2657" s="2405" t="s">
        <v>2254</v>
      </c>
      <c r="G2657" s="2703">
        <f>$H$3*0.224*G2655</f>
        <v>11.872</v>
      </c>
      <c r="H2657" s="2517">
        <v>255500</v>
      </c>
      <c r="I2657" s="2517"/>
      <c r="J2657" s="2612">
        <v>0</v>
      </c>
      <c r="K2657" s="2612">
        <v>0</v>
      </c>
      <c r="L2657" s="2517">
        <f t="shared" si="529"/>
        <v>3033296</v>
      </c>
      <c r="M2657" s="2517">
        <f>I2657*G2657</f>
        <v>0</v>
      </c>
      <c r="N2657" s="2517">
        <f t="shared" si="533"/>
        <v>0</v>
      </c>
      <c r="O2657" s="2517">
        <f>K2657*G2657</f>
        <v>0</v>
      </c>
      <c r="P2657" s="2642"/>
      <c r="Q2657" s="2519"/>
      <c r="R2657" s="2519"/>
      <c r="S2657" s="2519"/>
    </row>
    <row r="2658" spans="1:19" s="2358" customFormat="1" outlineLevel="1">
      <c r="A2658" s="2435">
        <f t="shared" si="534"/>
        <v>1</v>
      </c>
      <c r="B2658" s="2505" t="s">
        <v>1511</v>
      </c>
      <c r="C2658" s="2511"/>
      <c r="D2658" s="2405">
        <v>0</v>
      </c>
      <c r="E2658" s="2447" t="s">
        <v>5224</v>
      </c>
      <c r="F2658" s="2405" t="s">
        <v>2445</v>
      </c>
      <c r="G2658" s="2703">
        <f>($H$2+G2663)*G2655</f>
        <v>9</v>
      </c>
      <c r="H2658" s="2517">
        <v>160000</v>
      </c>
      <c r="I2658" s="2517"/>
      <c r="J2658" s="2612">
        <v>0</v>
      </c>
      <c r="K2658" s="2612">
        <v>0</v>
      </c>
      <c r="L2658" s="2517">
        <f t="shared" si="529"/>
        <v>1440000</v>
      </c>
      <c r="M2658" s="2517">
        <f>I2658*G2658</f>
        <v>0</v>
      </c>
      <c r="N2658" s="2517">
        <f t="shared" si="533"/>
        <v>0</v>
      </c>
      <c r="O2658" s="2517">
        <f>K2658*G2658</f>
        <v>0</v>
      </c>
      <c r="P2658" s="2642"/>
      <c r="Q2658" s="2519"/>
      <c r="R2658" s="2519"/>
      <c r="S2658" s="2519"/>
    </row>
    <row r="2659" spans="1:19" s="2358" customFormat="1" outlineLevel="1">
      <c r="A2659" s="2435" t="str">
        <f t="shared" si="534"/>
        <v/>
      </c>
      <c r="B2659" s="2505" t="s">
        <v>1493</v>
      </c>
      <c r="C2659" s="2511"/>
      <c r="D2659" s="2405">
        <v>0</v>
      </c>
      <c r="E2659" s="2447" t="s">
        <v>3554</v>
      </c>
      <c r="F2659" s="2405" t="s">
        <v>1827</v>
      </c>
      <c r="G2659" s="2703">
        <f>G2655*4*0</f>
        <v>0</v>
      </c>
      <c r="H2659" s="2517">
        <v>6200</v>
      </c>
      <c r="I2659" s="2517"/>
      <c r="J2659" s="2612">
        <v>0</v>
      </c>
      <c r="K2659" s="2612">
        <v>0</v>
      </c>
      <c r="L2659" s="2517">
        <f t="shared" si="529"/>
        <v>0</v>
      </c>
      <c r="M2659" s="2517">
        <f>I2659*G2659</f>
        <v>0</v>
      </c>
      <c r="N2659" s="2517">
        <f t="shared" si="533"/>
        <v>0</v>
      </c>
      <c r="O2659" s="2517">
        <f>K2659*G2659</f>
        <v>0</v>
      </c>
      <c r="P2659" s="2518"/>
      <c r="Q2659" s="2519"/>
      <c r="R2659" s="2519"/>
      <c r="S2659" s="2519"/>
    </row>
    <row r="2660" spans="1:19" s="2358" customFormat="1" outlineLevel="1">
      <c r="A2660" s="2435">
        <f t="shared" si="534"/>
        <v>1</v>
      </c>
      <c r="B2660" s="2514" t="s">
        <v>1582</v>
      </c>
      <c r="C2660" s="2511"/>
      <c r="D2660" s="2405">
        <v>0</v>
      </c>
      <c r="E2660" s="2447" t="s">
        <v>2889</v>
      </c>
      <c r="F2660" s="2405" t="s">
        <v>2563</v>
      </c>
      <c r="G2660" s="2703">
        <f>2*G2655</f>
        <v>2</v>
      </c>
      <c r="H2660" s="2517">
        <v>8000</v>
      </c>
      <c r="I2660" s="2517"/>
      <c r="J2660" s="2612">
        <v>0</v>
      </c>
      <c r="K2660" s="2612">
        <v>0</v>
      </c>
      <c r="L2660" s="2517">
        <f t="shared" si="529"/>
        <v>16000</v>
      </c>
      <c r="M2660" s="2517"/>
      <c r="N2660" s="2517">
        <f t="shared" si="533"/>
        <v>0</v>
      </c>
      <c r="O2660" s="2517"/>
      <c r="P2660" s="2642"/>
      <c r="Q2660" s="2519"/>
      <c r="R2660" s="2519"/>
      <c r="S2660" s="2519"/>
    </row>
    <row r="2661" spans="1:19" s="2358" customFormat="1" outlineLevel="1">
      <c r="A2661" s="2435">
        <f>IF(G2661&lt;&gt;0,1,"")</f>
        <v>1</v>
      </c>
      <c r="B2661" s="2514" t="s">
        <v>816</v>
      </c>
      <c r="C2661" s="2511"/>
      <c r="D2661" s="2405">
        <v>0</v>
      </c>
      <c r="E2661" s="2447" t="s">
        <v>3599</v>
      </c>
      <c r="F2661" s="2405" t="s">
        <v>2563</v>
      </c>
      <c r="G2661" s="2703">
        <v>8</v>
      </c>
      <c r="H2661" s="2517">
        <v>17600</v>
      </c>
      <c r="I2661" s="2517"/>
      <c r="J2661" s="2612">
        <v>0</v>
      </c>
      <c r="K2661" s="2612">
        <v>0</v>
      </c>
      <c r="L2661" s="2517">
        <f>H2661*G2661</f>
        <v>140800</v>
      </c>
      <c r="M2661" s="2517"/>
      <c r="N2661" s="2517">
        <f>J2661*G2661</f>
        <v>0</v>
      </c>
      <c r="O2661" s="2517"/>
      <c r="P2661" s="2642"/>
      <c r="Q2661" s="2519"/>
      <c r="R2661" s="2519"/>
      <c r="S2661" s="2519"/>
    </row>
    <row r="2662" spans="1:19" s="2358" customFormat="1" outlineLevel="1">
      <c r="A2662" s="2435" t="str">
        <f t="shared" si="534"/>
        <v/>
      </c>
      <c r="B2662" s="2505" t="s">
        <v>525</v>
      </c>
      <c r="C2662" s="2511"/>
      <c r="D2662" s="2405">
        <v>0</v>
      </c>
      <c r="E2662" s="2447" t="s">
        <v>5313</v>
      </c>
      <c r="F2662" s="2405" t="s">
        <v>2445</v>
      </c>
      <c r="G2662" s="2703">
        <f>+G2655*2*0</f>
        <v>0</v>
      </c>
      <c r="H2662" s="2517">
        <v>43000</v>
      </c>
      <c r="I2662" s="2517"/>
      <c r="J2662" s="2612">
        <v>0</v>
      </c>
      <c r="K2662" s="2612">
        <v>0</v>
      </c>
      <c r="L2662" s="2517">
        <f t="shared" si="529"/>
        <v>0</v>
      </c>
      <c r="M2662" s="2517">
        <f>I2662*G2662</f>
        <v>0</v>
      </c>
      <c r="N2662" s="2517">
        <f t="shared" si="533"/>
        <v>0</v>
      </c>
      <c r="O2662" s="2517">
        <f>K2662*G2662</f>
        <v>0</v>
      </c>
      <c r="P2662" s="2518"/>
      <c r="Q2662" s="2519"/>
      <c r="R2662" s="2519"/>
      <c r="S2662" s="2519"/>
    </row>
    <row r="2663" spans="1:19" s="2358" customFormat="1" outlineLevel="1">
      <c r="A2663" s="2435" t="str">
        <f t="shared" si="534"/>
        <v/>
      </c>
      <c r="B2663" s="2505" t="s">
        <v>1588</v>
      </c>
      <c r="C2663" s="2511"/>
      <c r="D2663" s="2405">
        <v>0</v>
      </c>
      <c r="E2663" s="2447" t="s">
        <v>5775</v>
      </c>
      <c r="F2663" s="2405" t="s">
        <v>3463</v>
      </c>
      <c r="G2663" s="2703">
        <f>$L$3*G2655</f>
        <v>0</v>
      </c>
      <c r="H2663" s="2517">
        <v>0</v>
      </c>
      <c r="I2663" s="2517"/>
      <c r="J2663" s="2612">
        <v>1500000</v>
      </c>
      <c r="K2663" s="2612">
        <v>0</v>
      </c>
      <c r="L2663" s="2517">
        <f t="shared" si="529"/>
        <v>0</v>
      </c>
      <c r="M2663" s="2517">
        <f>I2663*G2663</f>
        <v>0</v>
      </c>
      <c r="N2663" s="2517">
        <f t="shared" si="533"/>
        <v>0</v>
      </c>
      <c r="O2663" s="2517">
        <f>K2663*G2663</f>
        <v>0</v>
      </c>
      <c r="P2663" s="2642"/>
      <c r="Q2663" s="2519"/>
      <c r="R2663" s="2519"/>
      <c r="S2663" s="2519"/>
    </row>
    <row r="2664" spans="1:19" s="2358" customFormat="1" outlineLevel="1">
      <c r="A2664" s="2435">
        <f>IF(G2664=0,0,1)</f>
        <v>1</v>
      </c>
      <c r="B2664" s="2505" t="s">
        <v>794</v>
      </c>
      <c r="C2664" s="2521"/>
      <c r="D2664" s="2405" t="s">
        <v>5398</v>
      </c>
      <c r="E2664" s="2447" t="s">
        <v>3086</v>
      </c>
      <c r="F2664" s="2405" t="s">
        <v>856</v>
      </c>
      <c r="G2664" s="2703">
        <f>G2655*45*0.3*0.5</f>
        <v>6.75</v>
      </c>
      <c r="H2664" s="2517">
        <v>0</v>
      </c>
      <c r="I2664" s="2517"/>
      <c r="J2664" s="2612">
        <v>283749.75</v>
      </c>
      <c r="K2664" s="2612">
        <v>0</v>
      </c>
      <c r="L2664" s="2517">
        <f t="shared" ref="L2664:O2665" si="535">H2664*$G2664</f>
        <v>0</v>
      </c>
      <c r="M2664" s="2517">
        <f t="shared" si="535"/>
        <v>0</v>
      </c>
      <c r="N2664" s="2517">
        <f t="shared" si="533"/>
        <v>1915310.8125</v>
      </c>
      <c r="O2664" s="2517">
        <f t="shared" si="535"/>
        <v>0</v>
      </c>
      <c r="P2664" s="2642"/>
      <c r="Q2664" s="2519"/>
      <c r="R2664" s="2519"/>
      <c r="S2664" s="2519"/>
    </row>
    <row r="2665" spans="1:19" s="2358" customFormat="1" outlineLevel="1">
      <c r="A2665" s="2435">
        <f>IF(G2665=0,0,1)</f>
        <v>1</v>
      </c>
      <c r="B2665" s="2505" t="s">
        <v>798</v>
      </c>
      <c r="C2665" s="2521"/>
      <c r="D2665" s="2405" t="s">
        <v>5387</v>
      </c>
      <c r="E2665" s="2447" t="s">
        <v>5399</v>
      </c>
      <c r="F2665" s="2405" t="s">
        <v>856</v>
      </c>
      <c r="G2665" s="2703">
        <f>G2664</f>
        <v>6.75</v>
      </c>
      <c r="H2665" s="2517">
        <v>0</v>
      </c>
      <c r="I2665" s="2517"/>
      <c r="J2665" s="2612">
        <v>117703.6</v>
      </c>
      <c r="K2665" s="2612">
        <v>0</v>
      </c>
      <c r="L2665" s="2517">
        <f t="shared" si="535"/>
        <v>0</v>
      </c>
      <c r="M2665" s="2517">
        <f t="shared" si="535"/>
        <v>0</v>
      </c>
      <c r="N2665" s="2517">
        <f t="shared" si="533"/>
        <v>794499.3</v>
      </c>
      <c r="O2665" s="2517">
        <f t="shared" si="535"/>
        <v>0</v>
      </c>
      <c r="P2665" s="2642"/>
      <c r="Q2665" s="2519"/>
      <c r="R2665" s="2519"/>
      <c r="S2665" s="2519"/>
    </row>
    <row r="2666" spans="1:19" s="2358" customFormat="1" outlineLevel="1">
      <c r="A2666" s="2435">
        <f>IF(G2666=0,0,1)</f>
        <v>1</v>
      </c>
      <c r="B2666" s="2505" t="s">
        <v>902</v>
      </c>
      <c r="C2666" s="2521"/>
      <c r="D2666" s="2405" t="s">
        <v>5413</v>
      </c>
      <c r="E2666" s="2447" t="s">
        <v>5414</v>
      </c>
      <c r="F2666" s="2405" t="s">
        <v>2284</v>
      </c>
      <c r="G2666" s="2703">
        <f>G2658</f>
        <v>9</v>
      </c>
      <c r="H2666" s="2517">
        <v>0</v>
      </c>
      <c r="I2666" s="2517"/>
      <c r="J2666" s="2612">
        <v>90355.896000000008</v>
      </c>
      <c r="K2666" s="2612">
        <v>1573.075</v>
      </c>
      <c r="L2666" s="2517">
        <f>H2666*$G2666</f>
        <v>0</v>
      </c>
      <c r="M2666" s="2517">
        <f>I2666*$G2666</f>
        <v>0</v>
      </c>
      <c r="N2666" s="2517">
        <f t="shared" si="533"/>
        <v>813203.06400000001</v>
      </c>
      <c r="O2666" s="2517">
        <f>K2666*$G2666</f>
        <v>14157.675000000001</v>
      </c>
      <c r="P2666" s="2642"/>
      <c r="Q2666" s="2519"/>
      <c r="R2666" s="2519"/>
      <c r="S2666" s="2519"/>
    </row>
    <row r="2667" spans="1:19" s="2358" customFormat="1" outlineLevel="1">
      <c r="A2667" s="2435">
        <f>IF(G2667&lt;&gt;0,1,"")</f>
        <v>1</v>
      </c>
      <c r="B2667" s="2505" t="s">
        <v>6352</v>
      </c>
      <c r="C2667" s="2511"/>
      <c r="D2667" s="2405" t="s">
        <v>5407</v>
      </c>
      <c r="E2667" s="2447" t="s">
        <v>3169</v>
      </c>
      <c r="F2667" s="2405" t="s">
        <v>2254</v>
      </c>
      <c r="G2667" s="2703">
        <f>G2657</f>
        <v>11.872</v>
      </c>
      <c r="H2667" s="2517">
        <v>0</v>
      </c>
      <c r="I2667" s="2517"/>
      <c r="J2667" s="2612">
        <v>2578.65</v>
      </c>
      <c r="K2667" s="2612">
        <v>0</v>
      </c>
      <c r="L2667" s="2517">
        <f>H2667*G2667</f>
        <v>0</v>
      </c>
      <c r="M2667" s="2517">
        <f>I2667*G2667</f>
        <v>0</v>
      </c>
      <c r="N2667" s="2517">
        <f t="shared" si="533"/>
        <v>30613.732800000002</v>
      </c>
      <c r="O2667" s="2517">
        <f>K2667*G2667</f>
        <v>0</v>
      </c>
      <c r="P2667" s="2642"/>
      <c r="Q2667" s="2519"/>
      <c r="R2667" s="2519"/>
      <c r="S2667" s="2519"/>
    </row>
    <row r="2668" spans="1:19" s="2358" customFormat="1" outlineLevel="1">
      <c r="A2668" s="2435">
        <f>IF(G2668&lt;&gt;0,1,"")</f>
        <v>1</v>
      </c>
      <c r="B2668" s="2514"/>
      <c r="C2668" s="2716">
        <f>IF(G2668&gt;0,C2655+1,C2655)</f>
        <v>5</v>
      </c>
      <c r="D2668" s="2734"/>
      <c r="E2668" s="2718" t="s">
        <v>6283</v>
      </c>
      <c r="F2668" s="2719" t="s">
        <v>2391</v>
      </c>
      <c r="G2668" s="2720">
        <f>G2594</f>
        <v>1</v>
      </c>
      <c r="H2668" s="2722"/>
      <c r="I2668" s="2735"/>
      <c r="J2668" s="2735"/>
      <c r="K2668" s="2725"/>
      <c r="L2668" s="2725">
        <f>H2668*G2668</f>
        <v>0</v>
      </c>
      <c r="M2668" s="2725">
        <f>I2668*G2668</f>
        <v>0</v>
      </c>
      <c r="N2668" s="2736">
        <f>J2668*G2668</f>
        <v>0</v>
      </c>
      <c r="O2668" s="2736">
        <f>K2668*G2668</f>
        <v>0</v>
      </c>
      <c r="P2668" s="2736"/>
      <c r="Q2668" s="2519"/>
      <c r="R2668" s="2519"/>
      <c r="S2668" s="2519"/>
    </row>
    <row r="2669" spans="1:19" s="2358" customFormat="1" ht="14.4" outlineLevel="1">
      <c r="A2669" s="2435">
        <f>A2668</f>
        <v>1</v>
      </c>
      <c r="B2669" s="2514"/>
      <c r="C2669" s="2511"/>
      <c r="D2669" s="2512"/>
      <c r="E2669" s="2520" t="s">
        <v>6207</v>
      </c>
      <c r="F2669" s="2521"/>
      <c r="G2669" s="2703"/>
      <c r="H2669" s="2517"/>
      <c r="I2669" s="2517"/>
      <c r="J2669" s="2517"/>
      <c r="K2669" s="2517"/>
      <c r="L2669" s="2517">
        <f>H2669*G2669</f>
        <v>0</v>
      </c>
      <c r="M2669" s="2517">
        <f>I2669*G2669</f>
        <v>0</v>
      </c>
      <c r="N2669" s="2517">
        <f>J2669*G2669</f>
        <v>0</v>
      </c>
      <c r="O2669" s="2517">
        <f>K2669*G2669</f>
        <v>0</v>
      </c>
      <c r="P2669" s="2642"/>
      <c r="Q2669" s="2519"/>
      <c r="R2669" s="2519"/>
      <c r="S2669" s="2519"/>
    </row>
    <row r="2670" spans="1:19" s="2358" customFormat="1" outlineLevel="1">
      <c r="A2670" s="2435">
        <f>IF(G2670&lt;&gt;0,1,"")</f>
        <v>1</v>
      </c>
      <c r="B2670" s="2505" t="s">
        <v>6353</v>
      </c>
      <c r="C2670" s="2521"/>
      <c r="D2670" s="2405" t="s">
        <v>5695</v>
      </c>
      <c r="E2670" s="2447" t="s">
        <v>5699</v>
      </c>
      <c r="F2670" s="2405" t="s">
        <v>2563</v>
      </c>
      <c r="G2670" s="2703">
        <f>G2668</f>
        <v>1</v>
      </c>
      <c r="H2670" s="2517">
        <v>60000000</v>
      </c>
      <c r="I2670" s="2517"/>
      <c r="J2670" s="2517">
        <v>690091</v>
      </c>
      <c r="K2670" s="2517">
        <v>97369</v>
      </c>
      <c r="L2670" s="2517">
        <f>H2670*G2670</f>
        <v>60000000</v>
      </c>
      <c r="M2670" s="2517">
        <f>I2670*G2670</f>
        <v>0</v>
      </c>
      <c r="N2670" s="2517">
        <f>J2670*G2670</f>
        <v>690091</v>
      </c>
      <c r="O2670" s="2517">
        <f>K2670*G2670</f>
        <v>97369</v>
      </c>
      <c r="P2670" s="2642"/>
      <c r="Q2670" s="2519"/>
      <c r="R2670" s="2519"/>
      <c r="S2670" s="2519"/>
    </row>
    <row r="2671" spans="1:19" s="2358" customFormat="1" outlineLevel="1">
      <c r="A2671" s="2435">
        <f>IF(G2671&lt;&gt;0,1,"")</f>
        <v>1</v>
      </c>
      <c r="B2671" s="2505" t="s">
        <v>880</v>
      </c>
      <c r="C2671" s="2511"/>
      <c r="D2671" s="2405">
        <v>0</v>
      </c>
      <c r="E2671" s="2447" t="s">
        <v>5861</v>
      </c>
      <c r="F2671" s="2405" t="s">
        <v>2563</v>
      </c>
      <c r="G2671" s="2703">
        <f>+G2668</f>
        <v>1</v>
      </c>
      <c r="H2671" s="2517">
        <v>284000</v>
      </c>
      <c r="I2671" s="2517"/>
      <c r="J2671" s="2517">
        <v>5404</v>
      </c>
      <c r="K2671" s="2517">
        <v>0</v>
      </c>
      <c r="L2671" s="2517">
        <f t="shared" ref="L2671:L2691" si="536">H2671*G2671</f>
        <v>284000</v>
      </c>
      <c r="M2671" s="2517">
        <f t="shared" ref="M2671:M2691" si="537">I2671*G2671</f>
        <v>0</v>
      </c>
      <c r="N2671" s="2517">
        <f t="shared" ref="N2671:N2691" si="538">J2671*G2671</f>
        <v>5404</v>
      </c>
      <c r="O2671" s="2517">
        <f t="shared" ref="O2671:O2691" si="539">K2671*G2671</f>
        <v>0</v>
      </c>
      <c r="P2671" s="2642"/>
      <c r="Q2671" s="2519"/>
      <c r="R2671" s="2519"/>
      <c r="S2671" s="2519"/>
    </row>
    <row r="2672" spans="1:19" s="2358" customFormat="1" outlineLevel="1">
      <c r="A2672" s="2435">
        <f>IF(G2672&lt;&gt;0,1,"")</f>
        <v>1</v>
      </c>
      <c r="B2672" s="2505" t="s">
        <v>289</v>
      </c>
      <c r="C2672" s="2521"/>
      <c r="D2672" s="2405">
        <v>0</v>
      </c>
      <c r="E2672" s="2447" t="s">
        <v>5774</v>
      </c>
      <c r="F2672" s="2405" t="s">
        <v>2563</v>
      </c>
      <c r="G2672" s="2703">
        <f>G2668</f>
        <v>1</v>
      </c>
      <c r="H2672" s="2517">
        <v>300000</v>
      </c>
      <c r="I2672" s="2517"/>
      <c r="J2672" s="2517">
        <v>0</v>
      </c>
      <c r="K2672" s="2517">
        <v>0</v>
      </c>
      <c r="L2672" s="2517">
        <f t="shared" si="536"/>
        <v>300000</v>
      </c>
      <c r="M2672" s="2517">
        <f t="shared" si="537"/>
        <v>0</v>
      </c>
      <c r="N2672" s="2517">
        <f t="shared" si="538"/>
        <v>0</v>
      </c>
      <c r="O2672" s="2517">
        <f t="shared" si="539"/>
        <v>0</v>
      </c>
      <c r="P2672" s="2642"/>
      <c r="Q2672" s="2519"/>
      <c r="R2672" s="2519"/>
      <c r="S2672" s="2519"/>
    </row>
    <row r="2673" spans="1:19" s="2358" customFormat="1" outlineLevel="1">
      <c r="A2673" s="2435" t="str">
        <f>IF(G2673&lt;&gt;0,1,"")</f>
        <v/>
      </c>
      <c r="B2673" s="2505"/>
      <c r="C2673" s="2716">
        <f>IF(G2673&gt;0,C2668+1,C2668)</f>
        <v>5</v>
      </c>
      <c r="D2673" s="2734"/>
      <c r="E2673" s="2718" t="s">
        <v>3742</v>
      </c>
      <c r="F2673" s="2719" t="s">
        <v>2538</v>
      </c>
      <c r="G2673" s="2720"/>
      <c r="H2673" s="2722"/>
      <c r="I2673" s="2735"/>
      <c r="J2673" s="2735"/>
      <c r="K2673" s="2725"/>
      <c r="L2673" s="2725">
        <f t="shared" si="536"/>
        <v>0</v>
      </c>
      <c r="M2673" s="2725">
        <f t="shared" si="537"/>
        <v>0</v>
      </c>
      <c r="N2673" s="2736">
        <f t="shared" si="538"/>
        <v>0</v>
      </c>
      <c r="O2673" s="2736">
        <f t="shared" si="539"/>
        <v>0</v>
      </c>
      <c r="P2673" s="2736"/>
      <c r="Q2673" s="2519"/>
      <c r="R2673" s="2519"/>
      <c r="S2673" s="2519"/>
    </row>
    <row r="2674" spans="1:19" s="2358" customFormat="1" ht="14.4" outlineLevel="1">
      <c r="A2674" s="2435" t="str">
        <f>A2673</f>
        <v/>
      </c>
      <c r="B2674" s="2505"/>
      <c r="C2674" s="2511"/>
      <c r="D2674" s="2512"/>
      <c r="E2674" s="2520" t="s">
        <v>6207</v>
      </c>
      <c r="F2674" s="2521"/>
      <c r="G2674" s="2674"/>
      <c r="H2674" s="2517"/>
      <c r="I2674" s="2517"/>
      <c r="J2674" s="2517"/>
      <c r="K2674" s="2517"/>
      <c r="L2674" s="2517">
        <f t="shared" si="536"/>
        <v>0</v>
      </c>
      <c r="M2674" s="2517">
        <f t="shared" si="537"/>
        <v>0</v>
      </c>
      <c r="N2674" s="2517">
        <f t="shared" si="538"/>
        <v>0</v>
      </c>
      <c r="O2674" s="2517">
        <f t="shared" si="539"/>
        <v>0</v>
      </c>
      <c r="P2674" s="2518"/>
      <c r="Q2674" s="2519"/>
      <c r="R2674" s="2519"/>
      <c r="S2674" s="2519"/>
    </row>
    <row r="2675" spans="1:19" s="2358" customFormat="1" outlineLevel="1">
      <c r="A2675" s="2435" t="str">
        <f t="shared" ref="A2675:A2683" si="540">IF(G2675&lt;&gt;0,1,"")</f>
        <v/>
      </c>
      <c r="B2675" s="2807" t="s">
        <v>752</v>
      </c>
      <c r="C2675" s="2521"/>
      <c r="D2675" s="2405">
        <v>0</v>
      </c>
      <c r="E2675" s="2612" t="s">
        <v>6449</v>
      </c>
      <c r="F2675" s="2405" t="s">
        <v>856</v>
      </c>
      <c r="G2675" s="2523">
        <f>G2673*0.315</f>
        <v>0</v>
      </c>
      <c r="H2675" s="2517">
        <v>512000</v>
      </c>
      <c r="I2675" s="2517"/>
      <c r="J2675" s="2517">
        <v>0</v>
      </c>
      <c r="K2675" s="2517">
        <v>0</v>
      </c>
      <c r="L2675" s="2517">
        <f t="shared" si="536"/>
        <v>0</v>
      </c>
      <c r="M2675" s="2517">
        <f t="shared" si="537"/>
        <v>0</v>
      </c>
      <c r="N2675" s="2517">
        <f t="shared" si="538"/>
        <v>0</v>
      </c>
      <c r="O2675" s="2517">
        <f t="shared" si="539"/>
        <v>0</v>
      </c>
      <c r="P2675" s="2518"/>
      <c r="Q2675" s="2519"/>
      <c r="R2675" s="2519"/>
      <c r="S2675" s="2519"/>
    </row>
    <row r="2676" spans="1:19" s="2358" customFormat="1" outlineLevel="1">
      <c r="A2676" s="2435" t="str">
        <f t="shared" si="540"/>
        <v/>
      </c>
      <c r="B2676" s="2807" t="s">
        <v>520</v>
      </c>
      <c r="C2676" s="2521"/>
      <c r="D2676" s="2405">
        <v>0</v>
      </c>
      <c r="E2676" s="2612" t="s">
        <v>6450</v>
      </c>
      <c r="F2676" s="2405" t="s">
        <v>856</v>
      </c>
      <c r="G2676" s="2523">
        <f>0.092*G2673</f>
        <v>0</v>
      </c>
      <c r="H2676" s="2517">
        <v>295000</v>
      </c>
      <c r="I2676" s="2517"/>
      <c r="J2676" s="2517">
        <v>0</v>
      </c>
      <c r="K2676" s="2517">
        <v>0</v>
      </c>
      <c r="L2676" s="2517">
        <f t="shared" si="536"/>
        <v>0</v>
      </c>
      <c r="M2676" s="2517">
        <f t="shared" si="537"/>
        <v>0</v>
      </c>
      <c r="N2676" s="2517">
        <f t="shared" si="538"/>
        <v>0</v>
      </c>
      <c r="O2676" s="2517">
        <f t="shared" si="539"/>
        <v>0</v>
      </c>
      <c r="P2676" s="2518"/>
      <c r="Q2676" s="2519"/>
      <c r="R2676" s="2519"/>
      <c r="S2676" s="2519"/>
    </row>
    <row r="2677" spans="1:19" s="2358" customFormat="1" outlineLevel="1">
      <c r="A2677" s="2435" t="str">
        <f t="shared" si="540"/>
        <v/>
      </c>
      <c r="B2677" s="2807" t="s">
        <v>1679</v>
      </c>
      <c r="C2677" s="2521"/>
      <c r="D2677" s="2405">
        <v>0</v>
      </c>
      <c r="E2677" s="2612" t="s">
        <v>6451</v>
      </c>
      <c r="F2677" s="2405" t="s">
        <v>3024</v>
      </c>
      <c r="G2677" s="2523">
        <f>3.3*G2673</f>
        <v>0</v>
      </c>
      <c r="H2677" s="2517">
        <v>7000</v>
      </c>
      <c r="I2677" s="2517"/>
      <c r="J2677" s="2517">
        <v>0</v>
      </c>
      <c r="K2677" s="2517">
        <v>0</v>
      </c>
      <c r="L2677" s="2517">
        <f t="shared" si="536"/>
        <v>0</v>
      </c>
      <c r="M2677" s="2517">
        <f t="shared" si="537"/>
        <v>0</v>
      </c>
      <c r="N2677" s="2517">
        <f t="shared" si="538"/>
        <v>0</v>
      </c>
      <c r="O2677" s="2517">
        <f t="shared" si="539"/>
        <v>0</v>
      </c>
      <c r="P2677" s="2518"/>
      <c r="Q2677" s="2519"/>
      <c r="R2677" s="2519"/>
      <c r="S2677" s="2519"/>
    </row>
    <row r="2678" spans="1:19" s="2358" customFormat="1" outlineLevel="1">
      <c r="A2678" s="2435" t="str">
        <f t="shared" si="540"/>
        <v/>
      </c>
      <c r="B2678" s="2807" t="s">
        <v>1680</v>
      </c>
      <c r="C2678" s="2521"/>
      <c r="D2678" s="2405" t="s">
        <v>5352</v>
      </c>
      <c r="E2678" s="2612" t="s">
        <v>6452</v>
      </c>
      <c r="F2678" s="2405" t="s">
        <v>1964</v>
      </c>
      <c r="G2678" s="2523">
        <f>0.4*G2673</f>
        <v>0</v>
      </c>
      <c r="H2678" s="2517">
        <v>10000</v>
      </c>
      <c r="I2678" s="2517"/>
      <c r="J2678" s="2517">
        <v>1187.155</v>
      </c>
      <c r="K2678" s="2517">
        <v>0</v>
      </c>
      <c r="L2678" s="2517">
        <f t="shared" si="536"/>
        <v>0</v>
      </c>
      <c r="M2678" s="2517">
        <f t="shared" si="537"/>
        <v>0</v>
      </c>
      <c r="N2678" s="2517">
        <f t="shared" si="538"/>
        <v>0</v>
      </c>
      <c r="O2678" s="2517">
        <f t="shared" si="539"/>
        <v>0</v>
      </c>
      <c r="P2678" s="2518"/>
      <c r="Q2678" s="2519"/>
      <c r="R2678" s="2519"/>
      <c r="S2678" s="2519"/>
    </row>
    <row r="2679" spans="1:19" s="2358" customFormat="1" outlineLevel="1">
      <c r="A2679" s="2435" t="str">
        <f t="shared" si="540"/>
        <v/>
      </c>
      <c r="B2679" s="2807" t="s">
        <v>1521</v>
      </c>
      <c r="C2679" s="2511"/>
      <c r="D2679" s="2405">
        <v>0</v>
      </c>
      <c r="E2679" s="2612" t="s">
        <v>3548</v>
      </c>
      <c r="F2679" s="2405" t="s">
        <v>1827</v>
      </c>
      <c r="G2679" s="2522">
        <f>1*G2673</f>
        <v>0</v>
      </c>
      <c r="H2679" s="2517">
        <v>165250</v>
      </c>
      <c r="I2679" s="2517"/>
      <c r="J2679" s="2517">
        <v>0</v>
      </c>
      <c r="K2679" s="2517">
        <v>0</v>
      </c>
      <c r="L2679" s="2517">
        <f t="shared" si="536"/>
        <v>0</v>
      </c>
      <c r="M2679" s="2517">
        <f t="shared" si="537"/>
        <v>0</v>
      </c>
      <c r="N2679" s="2517">
        <f t="shared" si="538"/>
        <v>0</v>
      </c>
      <c r="O2679" s="2517">
        <f t="shared" si="539"/>
        <v>0</v>
      </c>
      <c r="P2679" s="2518"/>
      <c r="Q2679" s="2519"/>
      <c r="R2679" s="2519"/>
      <c r="S2679" s="2519"/>
    </row>
    <row r="2680" spans="1:19" s="2358" customFormat="1" outlineLevel="1">
      <c r="A2680" s="2435" t="str">
        <f t="shared" si="540"/>
        <v/>
      </c>
      <c r="B2680" s="2807" t="s">
        <v>1682</v>
      </c>
      <c r="C2680" s="2521"/>
      <c r="D2680" s="2405" t="s">
        <v>5395</v>
      </c>
      <c r="E2680" s="2612" t="s">
        <v>6453</v>
      </c>
      <c r="F2680" s="2405" t="s">
        <v>856</v>
      </c>
      <c r="G2680" s="2523">
        <f>G2675+G2676</f>
        <v>0</v>
      </c>
      <c r="H2680" s="2517">
        <v>0</v>
      </c>
      <c r="I2680" s="2517"/>
      <c r="J2680" s="2517">
        <v>315277.5</v>
      </c>
      <c r="K2680" s="2517">
        <v>0</v>
      </c>
      <c r="L2680" s="2517">
        <f t="shared" si="536"/>
        <v>0</v>
      </c>
      <c r="M2680" s="2517">
        <f t="shared" si="537"/>
        <v>0</v>
      </c>
      <c r="N2680" s="2517">
        <f t="shared" si="538"/>
        <v>0</v>
      </c>
      <c r="O2680" s="2517">
        <f t="shared" si="539"/>
        <v>0</v>
      </c>
      <c r="P2680" s="2518"/>
      <c r="Q2680" s="2519"/>
      <c r="R2680" s="2519"/>
      <c r="S2680" s="2519"/>
    </row>
    <row r="2681" spans="1:19" s="2358" customFormat="1" outlineLevel="1">
      <c r="A2681" s="2435" t="str">
        <f t="shared" si="540"/>
        <v/>
      </c>
      <c r="B2681" s="2807" t="s">
        <v>144</v>
      </c>
      <c r="C2681" s="2521"/>
      <c r="D2681" s="2405" t="s">
        <v>5389</v>
      </c>
      <c r="E2681" s="2612" t="s">
        <v>6454</v>
      </c>
      <c r="F2681" s="2405" t="s">
        <v>856</v>
      </c>
      <c r="G2681" s="2523">
        <f>G2673*0.48</f>
        <v>0</v>
      </c>
      <c r="H2681" s="2517">
        <v>0</v>
      </c>
      <c r="I2681" s="2517"/>
      <c r="J2681" s="2517">
        <v>640731.36</v>
      </c>
      <c r="K2681" s="2517">
        <v>0</v>
      </c>
      <c r="L2681" s="2517">
        <f t="shared" si="536"/>
        <v>0</v>
      </c>
      <c r="M2681" s="2517">
        <f t="shared" si="537"/>
        <v>0</v>
      </c>
      <c r="N2681" s="2517">
        <f t="shared" si="538"/>
        <v>0</v>
      </c>
      <c r="O2681" s="2517">
        <f t="shared" si="539"/>
        <v>0</v>
      </c>
      <c r="P2681" s="2518"/>
      <c r="Q2681" s="2519"/>
      <c r="R2681" s="2519"/>
      <c r="S2681" s="2519"/>
    </row>
    <row r="2682" spans="1:19" s="2358" customFormat="1" outlineLevel="1">
      <c r="A2682" s="2435" t="str">
        <f t="shared" si="540"/>
        <v/>
      </c>
      <c r="B2682" s="2807" t="s">
        <v>529</v>
      </c>
      <c r="C2682" s="2521"/>
      <c r="D2682" s="2405" t="s">
        <v>5394</v>
      </c>
      <c r="E2682" s="2612" t="s">
        <v>6455</v>
      </c>
      <c r="F2682" s="2405" t="s">
        <v>856</v>
      </c>
      <c r="G2682" s="2523">
        <f>G2673*0.073</f>
        <v>0</v>
      </c>
      <c r="H2682" s="2517">
        <v>0</v>
      </c>
      <c r="I2682" s="2517"/>
      <c r="J2682" s="2517">
        <v>21935.133999999998</v>
      </c>
      <c r="K2682" s="2517">
        <v>0</v>
      </c>
      <c r="L2682" s="2517">
        <f t="shared" si="536"/>
        <v>0</v>
      </c>
      <c r="M2682" s="2517">
        <f t="shared" si="537"/>
        <v>0</v>
      </c>
      <c r="N2682" s="2517">
        <f t="shared" si="538"/>
        <v>0</v>
      </c>
      <c r="O2682" s="2517">
        <f t="shared" si="539"/>
        <v>0</v>
      </c>
      <c r="P2682" s="2518"/>
      <c r="Q2682" s="2519"/>
      <c r="R2682" s="2675">
        <v>0.47499999999999998</v>
      </c>
      <c r="S2682" s="2519"/>
    </row>
    <row r="2683" spans="1:19" s="2358" customFormat="1" outlineLevel="1">
      <c r="A2683" s="2435" t="str">
        <f t="shared" si="540"/>
        <v/>
      </c>
      <c r="B2683" s="2514"/>
      <c r="C2683" s="2716">
        <f>IF(G2683&gt;0,C2673+1,C2673)</f>
        <v>5</v>
      </c>
      <c r="D2683" s="2734"/>
      <c r="E2683" s="2718" t="s">
        <v>3743</v>
      </c>
      <c r="F2683" s="2719" t="s">
        <v>2391</v>
      </c>
      <c r="G2683" s="2720"/>
      <c r="H2683" s="2722"/>
      <c r="I2683" s="2735"/>
      <c r="J2683" s="2735"/>
      <c r="K2683" s="2725"/>
      <c r="L2683" s="2725">
        <f t="shared" si="536"/>
        <v>0</v>
      </c>
      <c r="M2683" s="2725">
        <f t="shared" si="537"/>
        <v>0</v>
      </c>
      <c r="N2683" s="2736">
        <f t="shared" si="538"/>
        <v>0</v>
      </c>
      <c r="O2683" s="2736">
        <f t="shared" si="539"/>
        <v>0</v>
      </c>
      <c r="P2683" s="2736"/>
      <c r="Q2683" s="2519"/>
      <c r="R2683" s="2675">
        <v>0.88100000000000001</v>
      </c>
      <c r="S2683" s="2519"/>
    </row>
    <row r="2684" spans="1:19" s="2358" customFormat="1" ht="14.4" outlineLevel="1">
      <c r="A2684" s="2435" t="str">
        <f>A2683</f>
        <v/>
      </c>
      <c r="B2684" s="2514"/>
      <c r="C2684" s="2511"/>
      <c r="D2684" s="2512"/>
      <c r="E2684" s="2520" t="s">
        <v>6207</v>
      </c>
      <c r="F2684" s="2521"/>
      <c r="G2684" s="2674"/>
      <c r="H2684" s="2517"/>
      <c r="I2684" s="2517"/>
      <c r="J2684" s="2517"/>
      <c r="K2684" s="2517"/>
      <c r="L2684" s="2517">
        <f t="shared" si="536"/>
        <v>0</v>
      </c>
      <c r="M2684" s="2517">
        <f t="shared" si="537"/>
        <v>0</v>
      </c>
      <c r="N2684" s="2517">
        <f t="shared" si="538"/>
        <v>0</v>
      </c>
      <c r="O2684" s="2517">
        <f t="shared" si="539"/>
        <v>0</v>
      </c>
      <c r="P2684" s="2518"/>
      <c r="Q2684" s="2519"/>
      <c r="R2684" s="2519"/>
      <c r="S2684" s="2519"/>
    </row>
    <row r="2685" spans="1:19" s="2358" customFormat="1" outlineLevel="1">
      <c r="A2685" s="2435" t="str">
        <f t="shared" ref="A2685:A2692" si="541">IF(G2685&lt;&gt;0,1,"")</f>
        <v/>
      </c>
      <c r="B2685" s="2514" t="s">
        <v>623</v>
      </c>
      <c r="C2685" s="2521"/>
      <c r="D2685" s="2405" t="s">
        <v>5367</v>
      </c>
      <c r="E2685" s="2447" t="s">
        <v>5368</v>
      </c>
      <c r="F2685" s="2405" t="s">
        <v>2538</v>
      </c>
      <c r="G2685" s="2522">
        <f>G2683*5</f>
        <v>0</v>
      </c>
      <c r="H2685" s="2517">
        <v>278000</v>
      </c>
      <c r="I2685" s="2517"/>
      <c r="J2685" s="2517">
        <v>127101.65849999999</v>
      </c>
      <c r="K2685" s="2517">
        <v>0</v>
      </c>
      <c r="L2685" s="2517">
        <f t="shared" si="536"/>
        <v>0</v>
      </c>
      <c r="M2685" s="2517">
        <f t="shared" si="537"/>
        <v>0</v>
      </c>
      <c r="N2685" s="2517">
        <f t="shared" si="538"/>
        <v>0</v>
      </c>
      <c r="O2685" s="2517">
        <f t="shared" si="539"/>
        <v>0</v>
      </c>
      <c r="P2685" s="2518"/>
      <c r="Q2685" s="2519"/>
      <c r="R2685" s="2519"/>
      <c r="S2685" s="2519"/>
    </row>
    <row r="2686" spans="1:19" s="2358" customFormat="1" outlineLevel="1">
      <c r="A2686" s="2435" t="str">
        <f t="shared" si="541"/>
        <v/>
      </c>
      <c r="B2686" s="2807" t="s">
        <v>473</v>
      </c>
      <c r="C2686" s="2511"/>
      <c r="D2686" s="2405">
        <v>0</v>
      </c>
      <c r="E2686" s="2447" t="s">
        <v>3570</v>
      </c>
      <c r="F2686" s="2405" t="s">
        <v>2563</v>
      </c>
      <c r="G2686" s="2522">
        <f>G2683</f>
        <v>0</v>
      </c>
      <c r="H2686" s="2517">
        <v>138000</v>
      </c>
      <c r="I2686" s="2517"/>
      <c r="J2686" s="2517">
        <v>0</v>
      </c>
      <c r="K2686" s="2517">
        <v>0</v>
      </c>
      <c r="L2686" s="2517">
        <f t="shared" si="536"/>
        <v>0</v>
      </c>
      <c r="M2686" s="2517">
        <f t="shared" si="537"/>
        <v>0</v>
      </c>
      <c r="N2686" s="2517">
        <f t="shared" si="538"/>
        <v>0</v>
      </c>
      <c r="O2686" s="2517">
        <f t="shared" si="539"/>
        <v>0</v>
      </c>
      <c r="P2686" s="2518"/>
      <c r="Q2686" s="2519"/>
      <c r="R2686" s="2519"/>
      <c r="S2686" s="2519"/>
    </row>
    <row r="2687" spans="1:19" s="2358" customFormat="1" outlineLevel="1">
      <c r="A2687" s="2435" t="str">
        <f t="shared" si="541"/>
        <v/>
      </c>
      <c r="B2687" s="2514" t="s">
        <v>120</v>
      </c>
      <c r="C2687" s="2521"/>
      <c r="D2687" s="2405">
        <v>0</v>
      </c>
      <c r="E2687" s="2447" t="s">
        <v>2998</v>
      </c>
      <c r="F2687" s="2405" t="s">
        <v>2445</v>
      </c>
      <c r="G2687" s="2522">
        <f>G2683*2</f>
        <v>0</v>
      </c>
      <c r="H2687" s="2517">
        <v>40000</v>
      </c>
      <c r="I2687" s="2517"/>
      <c r="J2687" s="2517">
        <v>0</v>
      </c>
      <c r="K2687" s="2517">
        <v>0</v>
      </c>
      <c r="L2687" s="2517">
        <f t="shared" si="536"/>
        <v>0</v>
      </c>
      <c r="M2687" s="2517">
        <f t="shared" si="537"/>
        <v>0</v>
      </c>
      <c r="N2687" s="2517">
        <f t="shared" si="538"/>
        <v>0</v>
      </c>
      <c r="O2687" s="2517">
        <f t="shared" si="539"/>
        <v>0</v>
      </c>
      <c r="P2687" s="2518"/>
      <c r="Q2687" s="2519"/>
      <c r="R2687" s="2519"/>
      <c r="S2687" s="2519"/>
    </row>
    <row r="2688" spans="1:19" s="2358" customFormat="1" outlineLevel="1">
      <c r="A2688" s="2435" t="str">
        <f t="shared" si="541"/>
        <v/>
      </c>
      <c r="B2688" s="2505" t="s">
        <v>1412</v>
      </c>
      <c r="C2688" s="2521"/>
      <c r="D2688" s="2405">
        <v>0</v>
      </c>
      <c r="E2688" s="2447" t="s">
        <v>3467</v>
      </c>
      <c r="F2688" s="2405" t="s">
        <v>2445</v>
      </c>
      <c r="G2688" s="2522">
        <f>G2683</f>
        <v>0</v>
      </c>
      <c r="H2688" s="2517">
        <v>150000</v>
      </c>
      <c r="I2688" s="2517"/>
      <c r="J2688" s="2517">
        <v>0</v>
      </c>
      <c r="K2688" s="2517">
        <v>0</v>
      </c>
      <c r="L2688" s="2517">
        <f t="shared" si="536"/>
        <v>0</v>
      </c>
      <c r="M2688" s="2517">
        <f t="shared" si="537"/>
        <v>0</v>
      </c>
      <c r="N2688" s="2517">
        <f t="shared" si="538"/>
        <v>0</v>
      </c>
      <c r="O2688" s="2517">
        <f t="shared" si="539"/>
        <v>0</v>
      </c>
      <c r="P2688" s="2518"/>
      <c r="Q2688" s="2519"/>
      <c r="R2688" s="2519"/>
      <c r="S2688" s="2519"/>
    </row>
    <row r="2689" spans="1:19" s="2358" customFormat="1" outlineLevel="1">
      <c r="A2689" s="2435" t="str">
        <f t="shared" si="541"/>
        <v/>
      </c>
      <c r="B2689" s="2505" t="s">
        <v>2144</v>
      </c>
      <c r="C2689" s="2521"/>
      <c r="D2689" s="2405">
        <v>0</v>
      </c>
      <c r="E2689" s="2447" t="s">
        <v>3473</v>
      </c>
      <c r="F2689" s="2405" t="s">
        <v>2445</v>
      </c>
      <c r="G2689" s="2522">
        <f>G2683</f>
        <v>0</v>
      </c>
      <c r="H2689" s="2517">
        <v>2739748</v>
      </c>
      <c r="I2689" s="2517"/>
      <c r="J2689" s="2517">
        <v>51183</v>
      </c>
      <c r="K2689" s="2517">
        <v>89000</v>
      </c>
      <c r="L2689" s="2517">
        <f t="shared" si="536"/>
        <v>0</v>
      </c>
      <c r="M2689" s="2517">
        <f t="shared" si="537"/>
        <v>0</v>
      </c>
      <c r="N2689" s="2517">
        <f t="shared" si="538"/>
        <v>0</v>
      </c>
      <c r="O2689" s="2517">
        <f t="shared" si="539"/>
        <v>0</v>
      </c>
      <c r="P2689" s="2518"/>
      <c r="Q2689" s="2519"/>
      <c r="R2689" s="2519"/>
      <c r="S2689" s="2519"/>
    </row>
    <row r="2690" spans="1:19" s="2358" customFormat="1" outlineLevel="1">
      <c r="A2690" s="2435" t="str">
        <f t="shared" si="541"/>
        <v/>
      </c>
      <c r="B2690" s="2514" t="s">
        <v>1413</v>
      </c>
      <c r="C2690" s="2511"/>
      <c r="D2690" s="2405" t="s">
        <v>5403</v>
      </c>
      <c r="E2690" s="2447" t="s">
        <v>5404</v>
      </c>
      <c r="F2690" s="2405" t="s">
        <v>2445</v>
      </c>
      <c r="G2690" s="2522">
        <f>G2688+G2689</f>
        <v>0</v>
      </c>
      <c r="H2690" s="2517">
        <v>0</v>
      </c>
      <c r="I2690" s="2517"/>
      <c r="J2690" s="2517">
        <v>28219.62</v>
      </c>
      <c r="K2690" s="2517">
        <v>0</v>
      </c>
      <c r="L2690" s="2517">
        <f t="shared" si="536"/>
        <v>0</v>
      </c>
      <c r="M2690" s="2517">
        <f t="shared" si="537"/>
        <v>0</v>
      </c>
      <c r="N2690" s="2517">
        <f t="shared" si="538"/>
        <v>0</v>
      </c>
      <c r="O2690" s="2517">
        <f t="shared" si="539"/>
        <v>0</v>
      </c>
      <c r="P2690" s="2518"/>
      <c r="Q2690" s="2519"/>
      <c r="R2690" s="2519"/>
      <c r="S2690" s="2519"/>
    </row>
    <row r="2691" spans="1:19" s="2358" customFormat="1" outlineLevel="1">
      <c r="A2691" s="2435" t="str">
        <f t="shared" si="541"/>
        <v/>
      </c>
      <c r="B2691" s="2514" t="s">
        <v>289</v>
      </c>
      <c r="C2691" s="2521"/>
      <c r="D2691" s="2405">
        <v>0</v>
      </c>
      <c r="E2691" s="2447" t="s">
        <v>5774</v>
      </c>
      <c r="F2691" s="2405" t="s">
        <v>2563</v>
      </c>
      <c r="G2691" s="2522">
        <f>G2683</f>
        <v>0</v>
      </c>
      <c r="H2691" s="2517">
        <v>300000</v>
      </c>
      <c r="I2691" s="2517"/>
      <c r="J2691" s="2517">
        <v>0</v>
      </c>
      <c r="K2691" s="2517">
        <v>0</v>
      </c>
      <c r="L2691" s="2517">
        <f t="shared" si="536"/>
        <v>0</v>
      </c>
      <c r="M2691" s="2517">
        <f t="shared" si="537"/>
        <v>0</v>
      </c>
      <c r="N2691" s="2517">
        <f t="shared" si="538"/>
        <v>0</v>
      </c>
      <c r="O2691" s="2517">
        <f t="shared" si="539"/>
        <v>0</v>
      </c>
      <c r="P2691" s="2518"/>
      <c r="Q2691" s="2519"/>
      <c r="R2691" s="2519"/>
      <c r="S2691" s="2519"/>
    </row>
    <row r="2692" spans="1:19" s="2358" customFormat="1" ht="27.6" outlineLevel="1">
      <c r="A2692" s="2435" t="str">
        <f t="shared" si="541"/>
        <v/>
      </c>
      <c r="B2692" s="2514"/>
      <c r="C2692" s="2716">
        <f>IF(G2692&gt;0,C2683+1,C2683)</f>
        <v>5</v>
      </c>
      <c r="D2692" s="2734"/>
      <c r="E2692" s="2718" t="s">
        <v>3758</v>
      </c>
      <c r="F2692" s="2719" t="s">
        <v>2391</v>
      </c>
      <c r="G2692" s="2720"/>
      <c r="H2692" s="2722"/>
      <c r="I2692" s="2735"/>
      <c r="J2692" s="2735"/>
      <c r="K2692" s="2725"/>
      <c r="L2692" s="2725"/>
      <c r="M2692" s="2725"/>
      <c r="N2692" s="2736"/>
      <c r="O2692" s="2736"/>
      <c r="P2692" s="2736"/>
      <c r="Q2692" s="2519"/>
      <c r="R2692" s="2519"/>
      <c r="S2692" s="2519"/>
    </row>
    <row r="2693" spans="1:19" s="2358" customFormat="1" ht="14.4" outlineLevel="1">
      <c r="A2693" s="2435" t="str">
        <f>A2692</f>
        <v/>
      </c>
      <c r="B2693" s="2514"/>
      <c r="C2693" s="2511"/>
      <c r="D2693" s="2512"/>
      <c r="E2693" s="2527" t="s">
        <v>6207</v>
      </c>
      <c r="F2693" s="2511"/>
      <c r="G2693" s="2516"/>
      <c r="H2693" s="2517"/>
      <c r="I2693" s="2517"/>
      <c r="J2693" s="2517"/>
      <c r="K2693" s="2517"/>
      <c r="L2693" s="2517"/>
      <c r="M2693" s="2517"/>
      <c r="N2693" s="2517"/>
      <c r="O2693" s="2517"/>
      <c r="P2693" s="2518"/>
      <c r="Q2693" s="2519"/>
      <c r="R2693" s="2519"/>
      <c r="S2693" s="2519"/>
    </row>
    <row r="2694" spans="1:19" s="2358" customFormat="1" outlineLevel="1">
      <c r="A2694" s="2435" t="str">
        <f>IF(G2694&lt;&gt;0,1,"")</f>
        <v/>
      </c>
      <c r="B2694" s="2505" t="s">
        <v>470</v>
      </c>
      <c r="C2694" s="2521"/>
      <c r="D2694" s="2405">
        <v>0</v>
      </c>
      <c r="E2694" s="2447" t="s">
        <v>6456</v>
      </c>
      <c r="F2694" s="2405" t="s">
        <v>2538</v>
      </c>
      <c r="G2694" s="2522">
        <f>G2673+G2692*8</f>
        <v>0</v>
      </c>
      <c r="H2694" s="2517">
        <v>763500</v>
      </c>
      <c r="I2694" s="2517"/>
      <c r="J2694" s="2517">
        <v>0</v>
      </c>
      <c r="K2694" s="2517">
        <v>0</v>
      </c>
      <c r="L2694" s="2517">
        <f>H2694*G2694</f>
        <v>0</v>
      </c>
      <c r="M2694" s="2517">
        <f>I2694*G2694</f>
        <v>0</v>
      </c>
      <c r="N2694" s="2517">
        <f>J2694*G2694</f>
        <v>0</v>
      </c>
      <c r="O2694" s="2517">
        <f>K2694*G2694</f>
        <v>0</v>
      </c>
      <c r="P2694" s="2518"/>
      <c r="Q2694" s="2519"/>
      <c r="R2694" s="2519"/>
      <c r="S2694" s="2519"/>
    </row>
    <row r="2695" spans="1:19" s="2358" customFormat="1" outlineLevel="1">
      <c r="A2695" s="2435" t="str">
        <f>IF(G2695&lt;&gt;0,1,"")</f>
        <v/>
      </c>
      <c r="B2695" s="2505" t="s">
        <v>271</v>
      </c>
      <c r="C2695" s="2521"/>
      <c r="D2695" s="2405">
        <v>0</v>
      </c>
      <c r="E2695" s="2447" t="s">
        <v>6457</v>
      </c>
      <c r="F2695" s="2405" t="s">
        <v>2538</v>
      </c>
      <c r="G2695" s="2522">
        <f>G2694</f>
        <v>0</v>
      </c>
      <c r="H2695" s="2517">
        <v>204900</v>
      </c>
      <c r="I2695" s="2517"/>
      <c r="J2695" s="2517">
        <v>0</v>
      </c>
      <c r="K2695" s="2517">
        <v>0</v>
      </c>
      <c r="L2695" s="2517">
        <f>H2695*G2695</f>
        <v>0</v>
      </c>
      <c r="M2695" s="2517">
        <f>I2695*G2695</f>
        <v>0</v>
      </c>
      <c r="N2695" s="2517">
        <f>J2695*G2695</f>
        <v>0</v>
      </c>
      <c r="O2695" s="2517">
        <f>K2695*G2695</f>
        <v>0</v>
      </c>
      <c r="P2695" s="2518"/>
      <c r="Q2695" s="2519"/>
      <c r="R2695" s="2519"/>
      <c r="S2695" s="2519"/>
    </row>
    <row r="2696" spans="1:19" s="2358" customFormat="1" outlineLevel="1">
      <c r="A2696" s="2435" t="str">
        <f t="shared" ref="A2696:A2702" si="542">IF(G2696&lt;&gt;0,1,"")</f>
        <v/>
      </c>
      <c r="B2696" s="2505" t="s">
        <v>271</v>
      </c>
      <c r="C2696" s="2521"/>
      <c r="D2696" s="2405">
        <v>0</v>
      </c>
      <c r="E2696" s="2447" t="s">
        <v>6458</v>
      </c>
      <c r="F2696" s="2405" t="s">
        <v>2538</v>
      </c>
      <c r="G2696" s="2674">
        <f>G2692*0.5*3</f>
        <v>0</v>
      </c>
      <c r="H2696" s="2517">
        <v>204900</v>
      </c>
      <c r="I2696" s="2517"/>
      <c r="J2696" s="2517">
        <v>0</v>
      </c>
      <c r="K2696" s="2517">
        <v>0</v>
      </c>
      <c r="L2696" s="2517">
        <f>H2696*G2696</f>
        <v>0</v>
      </c>
      <c r="M2696" s="2517">
        <f>I2696*G2696</f>
        <v>0</v>
      </c>
      <c r="N2696" s="2517">
        <f>J2696*G2696</f>
        <v>0</v>
      </c>
      <c r="O2696" s="2517">
        <f>K2696*G2696</f>
        <v>0</v>
      </c>
      <c r="P2696" s="2518"/>
      <c r="Q2696" s="2519"/>
      <c r="R2696" s="2519"/>
      <c r="S2696" s="2519"/>
    </row>
    <row r="2697" spans="1:19" s="2358" customFormat="1" outlineLevel="1">
      <c r="A2697" s="2435" t="str">
        <f t="shared" si="542"/>
        <v/>
      </c>
      <c r="B2697" s="2505" t="s">
        <v>1355</v>
      </c>
      <c r="C2697" s="2521"/>
      <c r="D2697" s="2405">
        <v>0</v>
      </c>
      <c r="E2697" s="2447" t="s">
        <v>3032</v>
      </c>
      <c r="F2697" s="2405" t="s">
        <v>2563</v>
      </c>
      <c r="G2697" s="2522">
        <f>G2692</f>
        <v>0</v>
      </c>
      <c r="H2697" s="2517">
        <v>4022000</v>
      </c>
      <c r="I2697" s="2517"/>
      <c r="J2697" s="2517">
        <v>0</v>
      </c>
      <c r="K2697" s="2517">
        <v>0</v>
      </c>
      <c r="L2697" s="2517">
        <f t="shared" ref="L2697:L2702" si="543">H2697*G2697</f>
        <v>0</v>
      </c>
      <c r="M2697" s="2517">
        <f t="shared" ref="M2697:M2702" si="544">I2697*G2697</f>
        <v>0</v>
      </c>
      <c r="N2697" s="2517">
        <f t="shared" ref="N2697:N2702" si="545">J2697*G2697</f>
        <v>0</v>
      </c>
      <c r="O2697" s="2517">
        <f t="shared" ref="O2697:O2702" si="546">K2697*G2697</f>
        <v>0</v>
      </c>
      <c r="P2697" s="2518"/>
      <c r="Q2697" s="2519"/>
      <c r="R2697" s="2519"/>
      <c r="S2697" s="2519"/>
    </row>
    <row r="2698" spans="1:19" s="2358" customFormat="1" outlineLevel="1">
      <c r="A2698" s="2435" t="str">
        <f t="shared" si="542"/>
        <v/>
      </c>
      <c r="B2698" s="2505" t="s">
        <v>470</v>
      </c>
      <c r="C2698" s="2521"/>
      <c r="D2698" s="2405">
        <v>0</v>
      </c>
      <c r="E2698" s="2447" t="s">
        <v>6459</v>
      </c>
      <c r="F2698" s="2405" t="s">
        <v>2538</v>
      </c>
      <c r="G2698" s="2674">
        <f>(1.2+2.4)*G2692</f>
        <v>0</v>
      </c>
      <c r="H2698" s="2517">
        <v>763500</v>
      </c>
      <c r="I2698" s="2517"/>
      <c r="J2698" s="2517">
        <v>0</v>
      </c>
      <c r="K2698" s="2517">
        <v>0</v>
      </c>
      <c r="L2698" s="2517">
        <f t="shared" si="543"/>
        <v>0</v>
      </c>
      <c r="M2698" s="2517">
        <f t="shared" si="544"/>
        <v>0</v>
      </c>
      <c r="N2698" s="2517">
        <f t="shared" si="545"/>
        <v>0</v>
      </c>
      <c r="O2698" s="2517">
        <f t="shared" si="546"/>
        <v>0</v>
      </c>
      <c r="P2698" s="2518"/>
      <c r="Q2698" s="2519"/>
      <c r="R2698" s="2519"/>
      <c r="S2698" s="2519"/>
    </row>
    <row r="2699" spans="1:19" s="2358" customFormat="1" outlineLevel="1">
      <c r="A2699" s="2435" t="str">
        <f t="shared" si="542"/>
        <v/>
      </c>
      <c r="B2699" s="2505" t="s">
        <v>271</v>
      </c>
      <c r="C2699" s="2521"/>
      <c r="D2699" s="2405">
        <v>0</v>
      </c>
      <c r="E2699" s="2447" t="s">
        <v>6460</v>
      </c>
      <c r="F2699" s="2405" t="s">
        <v>2538</v>
      </c>
      <c r="G2699" s="2674">
        <f>G2692*1.2</f>
        <v>0</v>
      </c>
      <c r="H2699" s="2517">
        <v>204900</v>
      </c>
      <c r="I2699" s="2517"/>
      <c r="J2699" s="2517">
        <v>0</v>
      </c>
      <c r="K2699" s="2517">
        <v>0</v>
      </c>
      <c r="L2699" s="2517">
        <f t="shared" si="543"/>
        <v>0</v>
      </c>
      <c r="M2699" s="2517">
        <f t="shared" si="544"/>
        <v>0</v>
      </c>
      <c r="N2699" s="2517">
        <f t="shared" si="545"/>
        <v>0</v>
      </c>
      <c r="O2699" s="2517">
        <f t="shared" si="546"/>
        <v>0</v>
      </c>
      <c r="P2699" s="2518"/>
      <c r="Q2699" s="2519"/>
      <c r="R2699" s="2519"/>
      <c r="S2699" s="2519"/>
    </row>
    <row r="2700" spans="1:19" s="2358" customFormat="1" outlineLevel="1">
      <c r="A2700" s="2435" t="str">
        <f t="shared" si="542"/>
        <v/>
      </c>
      <c r="B2700" s="2505" t="s">
        <v>1356</v>
      </c>
      <c r="C2700" s="2521"/>
      <c r="D2700" s="2405">
        <v>0</v>
      </c>
      <c r="E2700" s="2447" t="s">
        <v>3039</v>
      </c>
      <c r="F2700" s="2405" t="s">
        <v>2563</v>
      </c>
      <c r="G2700" s="2522">
        <f>G2692</f>
        <v>0</v>
      </c>
      <c r="H2700" s="2517">
        <v>5242230</v>
      </c>
      <c r="I2700" s="2517"/>
      <c r="J2700" s="2517">
        <v>0</v>
      </c>
      <c r="K2700" s="2517">
        <v>0</v>
      </c>
      <c r="L2700" s="2517">
        <f t="shared" si="543"/>
        <v>0</v>
      </c>
      <c r="M2700" s="2517">
        <f t="shared" si="544"/>
        <v>0</v>
      </c>
      <c r="N2700" s="2517">
        <f t="shared" si="545"/>
        <v>0</v>
      </c>
      <c r="O2700" s="2517">
        <f t="shared" si="546"/>
        <v>0</v>
      </c>
      <c r="P2700" s="2518"/>
      <c r="Q2700" s="2519"/>
      <c r="R2700" s="2519"/>
      <c r="S2700" s="2519"/>
    </row>
    <row r="2701" spans="1:19" s="2358" customFormat="1" outlineLevel="1">
      <c r="A2701" s="2435" t="str">
        <f t="shared" si="542"/>
        <v/>
      </c>
      <c r="B2701" s="2505" t="s">
        <v>1678</v>
      </c>
      <c r="C2701" s="2521"/>
      <c r="D2701" s="2405" t="s">
        <v>5521</v>
      </c>
      <c r="E2701" s="2447" t="s">
        <v>3196</v>
      </c>
      <c r="F2701" s="2405" t="s">
        <v>2563</v>
      </c>
      <c r="G2701" s="2522">
        <f>G2697+G2700</f>
        <v>0</v>
      </c>
      <c r="H2701" s="2517">
        <v>11340</v>
      </c>
      <c r="I2701" s="2517"/>
      <c r="J2701" s="2517">
        <v>621381.64999999991</v>
      </c>
      <c r="K2701" s="2517">
        <v>0</v>
      </c>
      <c r="L2701" s="2517">
        <f t="shared" si="543"/>
        <v>0</v>
      </c>
      <c r="M2701" s="2517">
        <f t="shared" si="544"/>
        <v>0</v>
      </c>
      <c r="N2701" s="2517">
        <f t="shared" si="545"/>
        <v>0</v>
      </c>
      <c r="O2701" s="2517">
        <f t="shared" si="546"/>
        <v>0</v>
      </c>
      <c r="P2701" s="2518"/>
      <c r="Q2701" s="2519"/>
      <c r="R2701" s="2519"/>
      <c r="S2701" s="2519"/>
    </row>
    <row r="2702" spans="1:19" s="2358" customFormat="1" outlineLevel="1">
      <c r="A2702" s="2435" t="str">
        <f t="shared" si="542"/>
        <v/>
      </c>
      <c r="B2702" s="2505" t="s">
        <v>1204</v>
      </c>
      <c r="C2702" s="2521"/>
      <c r="D2702" s="2405" t="s">
        <v>337</v>
      </c>
      <c r="E2702" s="2447" t="s">
        <v>3286</v>
      </c>
      <c r="F2702" s="2405" t="s">
        <v>2538</v>
      </c>
      <c r="G2702" s="2674">
        <f>G2694+G2698</f>
        <v>0</v>
      </c>
      <c r="H2702" s="2517">
        <v>546.34</v>
      </c>
      <c r="I2702" s="2517"/>
      <c r="J2702" s="2517">
        <v>2166</v>
      </c>
      <c r="K2702" s="2517">
        <v>0</v>
      </c>
      <c r="L2702" s="2517">
        <f t="shared" si="543"/>
        <v>0</v>
      </c>
      <c r="M2702" s="2517">
        <f t="shared" si="544"/>
        <v>0</v>
      </c>
      <c r="N2702" s="2517">
        <f t="shared" si="545"/>
        <v>0</v>
      </c>
      <c r="O2702" s="2517">
        <f t="shared" si="546"/>
        <v>0</v>
      </c>
      <c r="P2702" s="2518"/>
      <c r="Q2702" s="2519"/>
      <c r="R2702" s="2519"/>
      <c r="S2702" s="2519"/>
    </row>
    <row r="2703" spans="1:19" s="2358" customFormat="1" outlineLevel="1">
      <c r="A2703" s="2435" t="str">
        <f>IF(G2703&lt;&gt;0,1,"")</f>
        <v/>
      </c>
      <c r="B2703" s="2505" t="s">
        <v>1201</v>
      </c>
      <c r="C2703" s="2521"/>
      <c r="D2703" s="2405" t="s">
        <v>334</v>
      </c>
      <c r="E2703" s="2447" t="s">
        <v>3283</v>
      </c>
      <c r="F2703" s="2405" t="s">
        <v>2538</v>
      </c>
      <c r="G2703" s="2674">
        <f>G2695+G2699</f>
        <v>0</v>
      </c>
      <c r="H2703" s="2517">
        <v>460.75</v>
      </c>
      <c r="I2703" s="2517"/>
      <c r="J2703" s="2517">
        <v>1020</v>
      </c>
      <c r="K2703" s="2517">
        <v>0</v>
      </c>
      <c r="L2703" s="2517">
        <f>H2703*G2703</f>
        <v>0</v>
      </c>
      <c r="M2703" s="2517">
        <f>I2703*G2703</f>
        <v>0</v>
      </c>
      <c r="N2703" s="2517">
        <f>J2703*G2703</f>
        <v>0</v>
      </c>
      <c r="O2703" s="2517">
        <f>K2703*G2703</f>
        <v>0</v>
      </c>
      <c r="P2703" s="2518"/>
      <c r="Q2703" s="2519"/>
      <c r="R2703" s="2519"/>
      <c r="S2703" s="2519"/>
    </row>
    <row r="2704" spans="1:19" s="2358" customFormat="1" outlineLevel="1">
      <c r="A2704" s="2435" t="str">
        <f>IF(G2704&lt;&gt;0,1,"")</f>
        <v/>
      </c>
      <c r="B2704" s="2505" t="s">
        <v>1528</v>
      </c>
      <c r="C2704" s="2521"/>
      <c r="D2704" s="2405" t="s">
        <v>5633</v>
      </c>
      <c r="E2704" s="2447" t="s">
        <v>3310</v>
      </c>
      <c r="F2704" s="2405" t="s">
        <v>1827</v>
      </c>
      <c r="G2704" s="2674">
        <f>G2696</f>
        <v>0</v>
      </c>
      <c r="H2704" s="2517">
        <v>0</v>
      </c>
      <c r="I2704" s="2517"/>
      <c r="J2704" s="2517">
        <v>13915</v>
      </c>
      <c r="K2704" s="2517">
        <v>0</v>
      </c>
      <c r="L2704" s="2517">
        <f>H2704*G2704</f>
        <v>0</v>
      </c>
      <c r="M2704" s="2517">
        <f>I2704*G2704</f>
        <v>0</v>
      </c>
      <c r="N2704" s="2517">
        <f>J2704*G2704</f>
        <v>0</v>
      </c>
      <c r="O2704" s="2517">
        <f>K2704*G2704</f>
        <v>0</v>
      </c>
      <c r="P2704" s="2518"/>
      <c r="Q2704" s="2519"/>
      <c r="R2704" s="2519"/>
      <c r="S2704" s="2519"/>
    </row>
    <row r="2705" spans="1:19" s="2358" customFormat="1" outlineLevel="1">
      <c r="A2705" s="2435" t="str">
        <f>IF(G2705&lt;&gt;0,1,"")</f>
        <v/>
      </c>
      <c r="B2705" s="2505" t="s">
        <v>1352</v>
      </c>
      <c r="C2705" s="2521"/>
      <c r="D2705" s="2405">
        <v>0</v>
      </c>
      <c r="E2705" s="2447" t="s">
        <v>3536</v>
      </c>
      <c r="F2705" s="2405" t="s">
        <v>3537</v>
      </c>
      <c r="G2705" s="2522">
        <f>G2692*2</f>
        <v>0</v>
      </c>
      <c r="H2705" s="2517">
        <v>15000</v>
      </c>
      <c r="I2705" s="2517"/>
      <c r="J2705" s="2517">
        <v>0</v>
      </c>
      <c r="K2705" s="2517">
        <v>0</v>
      </c>
      <c r="L2705" s="2517">
        <f>H2705*G2705</f>
        <v>0</v>
      </c>
      <c r="M2705" s="2517">
        <f>I2705*G2705</f>
        <v>0</v>
      </c>
      <c r="N2705" s="2517">
        <f>J2705*G2705</f>
        <v>0</v>
      </c>
      <c r="O2705" s="2517">
        <f>K2705*G2705</f>
        <v>0</v>
      </c>
      <c r="P2705" s="2518"/>
      <c r="Q2705" s="2519"/>
      <c r="R2705" s="2519"/>
      <c r="S2705" s="2519"/>
    </row>
    <row r="2706" spans="1:19" s="2358" customFormat="1" outlineLevel="1">
      <c r="A2706" s="2435">
        <f>IF(G2706&lt;&gt;0,1,"")</f>
        <v>1</v>
      </c>
      <c r="B2706" s="2514"/>
      <c r="C2706" s="2716">
        <f>IF(G2706&gt;0,C2692+1,C2692)</f>
        <v>6</v>
      </c>
      <c r="D2706" s="2734"/>
      <c r="E2706" s="2718" t="s">
        <v>6337</v>
      </c>
      <c r="F2706" s="2719" t="s">
        <v>2391</v>
      </c>
      <c r="G2706" s="2720">
        <f>G2594</f>
        <v>1</v>
      </c>
      <c r="H2706" s="2722"/>
      <c r="I2706" s="2735"/>
      <c r="J2706" s="2735"/>
      <c r="K2706" s="2725"/>
      <c r="L2706" s="2725"/>
      <c r="M2706" s="2725"/>
      <c r="N2706" s="2736"/>
      <c r="O2706" s="2736"/>
      <c r="P2706" s="2736"/>
      <c r="Q2706" s="2519"/>
      <c r="R2706" s="2519"/>
      <c r="S2706" s="2519"/>
    </row>
    <row r="2707" spans="1:19" s="2358" customFormat="1" ht="14.4" outlineLevel="1">
      <c r="A2707" s="2435">
        <f>A2706</f>
        <v>1</v>
      </c>
      <c r="B2707" s="2514"/>
      <c r="C2707" s="2511"/>
      <c r="D2707" s="2512"/>
      <c r="E2707" s="2520" t="s">
        <v>6207</v>
      </c>
      <c r="F2707" s="2511"/>
      <c r="G2707" s="2516"/>
      <c r="H2707" s="2517"/>
      <c r="I2707" s="2517"/>
      <c r="J2707" s="2517"/>
      <c r="K2707" s="2517"/>
      <c r="L2707" s="2517"/>
      <c r="M2707" s="2517"/>
      <c r="N2707" s="2517"/>
      <c r="O2707" s="2517"/>
      <c r="P2707" s="2642"/>
      <c r="Q2707" s="2519"/>
      <c r="R2707" s="2519"/>
      <c r="S2707" s="2519"/>
    </row>
    <row r="2708" spans="1:19" s="2358" customFormat="1" outlineLevel="1">
      <c r="A2708" s="2435">
        <f t="shared" ref="A2708:A2762" si="547">IF(G2708&lt;&gt;0,1,"")</f>
        <v>1</v>
      </c>
      <c r="B2708" s="2505" t="s">
        <v>6346</v>
      </c>
      <c r="C2708" s="2521"/>
      <c r="D2708" s="2405">
        <v>0</v>
      </c>
      <c r="E2708" s="2447" t="s">
        <v>5134</v>
      </c>
      <c r="F2708" s="2405" t="s">
        <v>2538</v>
      </c>
      <c r="G2708" s="2703">
        <f>G2706*(12)*3</f>
        <v>36</v>
      </c>
      <c r="H2708" s="2517">
        <v>99600</v>
      </c>
      <c r="I2708" s="2517"/>
      <c r="J2708" s="2517">
        <v>0</v>
      </c>
      <c r="K2708" s="2517">
        <v>0</v>
      </c>
      <c r="L2708" s="2517">
        <f t="shared" ref="L2708:L2719" si="548">H2708*G2708</f>
        <v>3585600</v>
      </c>
      <c r="M2708" s="2517">
        <f>I2708*G2708</f>
        <v>0</v>
      </c>
      <c r="N2708" s="2517">
        <f t="shared" ref="N2708:N2719" si="549">J2708*G2708</f>
        <v>0</v>
      </c>
      <c r="O2708" s="2517">
        <f t="shared" ref="O2708:O2719" si="550">K2708*G2708</f>
        <v>0</v>
      </c>
      <c r="P2708" s="2642"/>
      <c r="Q2708" s="2519"/>
      <c r="R2708" s="2519"/>
      <c r="S2708" s="2519"/>
    </row>
    <row r="2709" spans="1:19" s="2358" customFormat="1" outlineLevel="1">
      <c r="A2709" s="2435">
        <f t="shared" si="547"/>
        <v>1</v>
      </c>
      <c r="B2709" s="2610" t="s">
        <v>5761</v>
      </c>
      <c r="C2709" s="2521"/>
      <c r="D2709" s="2405">
        <v>0</v>
      </c>
      <c r="E2709" s="2447" t="s">
        <v>5762</v>
      </c>
      <c r="F2709" s="2405" t="s">
        <v>2563</v>
      </c>
      <c r="G2709" s="2703">
        <f>G2706*3</f>
        <v>3</v>
      </c>
      <c r="H2709" s="2517">
        <v>218200</v>
      </c>
      <c r="I2709" s="2517"/>
      <c r="J2709" s="2517">
        <v>0</v>
      </c>
      <c r="K2709" s="2517">
        <v>0</v>
      </c>
      <c r="L2709" s="2517">
        <f t="shared" si="548"/>
        <v>654600</v>
      </c>
      <c r="M2709" s="2517">
        <f t="shared" ref="M2709:M2719" si="551">I2709*G2709</f>
        <v>0</v>
      </c>
      <c r="N2709" s="2517">
        <f t="shared" si="549"/>
        <v>0</v>
      </c>
      <c r="O2709" s="2517">
        <f t="shared" si="550"/>
        <v>0</v>
      </c>
      <c r="P2709" s="2518"/>
      <c r="Q2709" s="2519"/>
      <c r="R2709" s="2519"/>
      <c r="S2709" s="2519"/>
    </row>
    <row r="2710" spans="1:19" s="2358" customFormat="1" outlineLevel="1">
      <c r="A2710" s="2435">
        <f t="shared" si="547"/>
        <v>1</v>
      </c>
      <c r="B2710" s="2610" t="s">
        <v>5767</v>
      </c>
      <c r="C2710" s="2521"/>
      <c r="D2710" s="2405">
        <v>0</v>
      </c>
      <c r="E2710" s="2447" t="s">
        <v>5768</v>
      </c>
      <c r="F2710" s="2405" t="s">
        <v>2563</v>
      </c>
      <c r="G2710" s="2703">
        <f>G2706*3</f>
        <v>3</v>
      </c>
      <c r="H2710" s="2517">
        <v>39100</v>
      </c>
      <c r="I2710" s="2517"/>
      <c r="J2710" s="2517">
        <v>0</v>
      </c>
      <c r="K2710" s="2517">
        <v>0</v>
      </c>
      <c r="L2710" s="2517">
        <f>H2710*G2710</f>
        <v>117300</v>
      </c>
      <c r="M2710" s="2517">
        <f t="shared" si="551"/>
        <v>0</v>
      </c>
      <c r="N2710" s="2517">
        <f>J2710*G2710</f>
        <v>0</v>
      </c>
      <c r="O2710" s="2517">
        <f>K2710*G2710</f>
        <v>0</v>
      </c>
      <c r="P2710" s="2518"/>
      <c r="Q2710" s="2519"/>
      <c r="R2710" s="2519"/>
      <c r="S2710" s="2519"/>
    </row>
    <row r="2711" spans="1:19" s="2358" customFormat="1" outlineLevel="1">
      <c r="A2711" s="2435">
        <f t="shared" si="547"/>
        <v>1</v>
      </c>
      <c r="B2711" s="2610" t="s">
        <v>5769</v>
      </c>
      <c r="C2711" s="2521"/>
      <c r="D2711" s="2405">
        <v>0</v>
      </c>
      <c r="E2711" s="2447" t="s">
        <v>5770</v>
      </c>
      <c r="F2711" s="2405" t="s">
        <v>2563</v>
      </c>
      <c r="G2711" s="2703">
        <f>G2706*3</f>
        <v>3</v>
      </c>
      <c r="H2711" s="2517">
        <v>56700</v>
      </c>
      <c r="I2711" s="2517"/>
      <c r="J2711" s="2517">
        <v>0</v>
      </c>
      <c r="K2711" s="2517">
        <v>0</v>
      </c>
      <c r="L2711" s="2517">
        <f>H2711*G2711</f>
        <v>170100</v>
      </c>
      <c r="M2711" s="2517">
        <f t="shared" si="551"/>
        <v>0</v>
      </c>
      <c r="N2711" s="2517">
        <f>J2711*G2711</f>
        <v>0</v>
      </c>
      <c r="O2711" s="2517">
        <f>K2711*G2711</f>
        <v>0</v>
      </c>
      <c r="P2711" s="2518"/>
      <c r="Q2711" s="2519"/>
      <c r="R2711" s="2519"/>
      <c r="S2711" s="2519"/>
    </row>
    <row r="2712" spans="1:19" s="2358" customFormat="1" outlineLevel="1">
      <c r="A2712" s="2435">
        <f t="shared" si="547"/>
        <v>1</v>
      </c>
      <c r="B2712" s="2610" t="s">
        <v>5759</v>
      </c>
      <c r="C2712" s="2521"/>
      <c r="D2712" s="2405"/>
      <c r="E2712" s="2447" t="s">
        <v>5760</v>
      </c>
      <c r="F2712" s="2405" t="s">
        <v>3463</v>
      </c>
      <c r="G2712" s="2703">
        <f>G2604*2+G2605</f>
        <v>9</v>
      </c>
      <c r="H2712" s="2517">
        <v>25000</v>
      </c>
      <c r="I2712" s="2517"/>
      <c r="J2712" s="2517">
        <v>0</v>
      </c>
      <c r="K2712" s="2517">
        <v>0</v>
      </c>
      <c r="L2712" s="2517">
        <f>H2712*G2712</f>
        <v>225000</v>
      </c>
      <c r="M2712" s="2517">
        <f t="shared" si="551"/>
        <v>0</v>
      </c>
      <c r="N2712" s="2517">
        <f>J2712*G2712</f>
        <v>0</v>
      </c>
      <c r="O2712" s="2517">
        <f>K2712*G2712</f>
        <v>0</v>
      </c>
      <c r="P2712" s="2518"/>
      <c r="Q2712" s="2519"/>
      <c r="R2712" s="2519"/>
      <c r="S2712" s="2519"/>
    </row>
    <row r="2713" spans="1:19" s="2358" customFormat="1" outlineLevel="1">
      <c r="A2713" s="2435">
        <f t="shared" si="547"/>
        <v>1</v>
      </c>
      <c r="B2713" s="2610" t="s">
        <v>1482</v>
      </c>
      <c r="C2713" s="2521"/>
      <c r="D2713" s="2405">
        <v>0</v>
      </c>
      <c r="E2713" s="2447" t="s">
        <v>3810</v>
      </c>
      <c r="F2713" s="2405" t="s">
        <v>2563</v>
      </c>
      <c r="G2713" s="2703">
        <v>3</v>
      </c>
      <c r="H2713" s="2517">
        <v>46000</v>
      </c>
      <c r="I2713" s="2517"/>
      <c r="J2713" s="2517">
        <v>0</v>
      </c>
      <c r="K2713" s="2517">
        <v>0</v>
      </c>
      <c r="L2713" s="2517">
        <f t="shared" si="548"/>
        <v>138000</v>
      </c>
      <c r="M2713" s="2517">
        <f t="shared" si="551"/>
        <v>0</v>
      </c>
      <c r="N2713" s="2517">
        <f t="shared" si="549"/>
        <v>0</v>
      </c>
      <c r="O2713" s="2517">
        <f t="shared" si="550"/>
        <v>0</v>
      </c>
      <c r="P2713" s="2642"/>
      <c r="Q2713" s="2519"/>
      <c r="R2713" s="2519"/>
      <c r="S2713" s="2519"/>
    </row>
    <row r="2714" spans="1:19" s="2358" customFormat="1" outlineLevel="1">
      <c r="A2714" s="2435">
        <f t="shared" si="547"/>
        <v>1</v>
      </c>
      <c r="B2714" s="2610" t="s">
        <v>1480</v>
      </c>
      <c r="C2714" s="2521"/>
      <c r="D2714" s="2405">
        <v>0</v>
      </c>
      <c r="E2714" s="2447" t="s">
        <v>6420</v>
      </c>
      <c r="F2714" s="2405" t="s">
        <v>2563</v>
      </c>
      <c r="G2714" s="2703">
        <v>3</v>
      </c>
      <c r="H2714" s="2517">
        <v>77000</v>
      </c>
      <c r="I2714" s="2517"/>
      <c r="J2714" s="2517">
        <v>0</v>
      </c>
      <c r="K2714" s="2517">
        <v>0</v>
      </c>
      <c r="L2714" s="2517">
        <f t="shared" si="548"/>
        <v>231000</v>
      </c>
      <c r="M2714" s="2517">
        <f t="shared" si="551"/>
        <v>0</v>
      </c>
      <c r="N2714" s="2517">
        <f t="shared" si="549"/>
        <v>0</v>
      </c>
      <c r="O2714" s="2517">
        <f t="shared" si="550"/>
        <v>0</v>
      </c>
      <c r="P2714" s="2642"/>
      <c r="Q2714" s="2519"/>
      <c r="R2714" s="2519"/>
      <c r="S2714" s="2519"/>
    </row>
    <row r="2715" spans="1:19" s="2358" customFormat="1" outlineLevel="1">
      <c r="A2715" s="2435">
        <f t="shared" si="547"/>
        <v>1</v>
      </c>
      <c r="B2715" s="2505" t="s">
        <v>696</v>
      </c>
      <c r="C2715" s="2642"/>
      <c r="D2715" s="2405">
        <v>0</v>
      </c>
      <c r="E2715" s="2447" t="s">
        <v>2952</v>
      </c>
      <c r="F2715" s="2405" t="s">
        <v>2563</v>
      </c>
      <c r="G2715" s="2703">
        <v>9</v>
      </c>
      <c r="H2715" s="2517">
        <v>205000</v>
      </c>
      <c r="I2715" s="2517"/>
      <c r="J2715" s="2517">
        <v>0</v>
      </c>
      <c r="K2715" s="2517">
        <v>0</v>
      </c>
      <c r="L2715" s="2517">
        <f t="shared" si="548"/>
        <v>1845000</v>
      </c>
      <c r="M2715" s="2517">
        <f t="shared" si="551"/>
        <v>0</v>
      </c>
      <c r="N2715" s="2517">
        <f t="shared" si="549"/>
        <v>0</v>
      </c>
      <c r="O2715" s="2517">
        <f t="shared" si="550"/>
        <v>0</v>
      </c>
      <c r="P2715" s="2642"/>
      <c r="Q2715" s="2519"/>
      <c r="R2715" s="2519"/>
      <c r="S2715" s="2519"/>
    </row>
    <row r="2716" spans="1:19" s="2358" customFormat="1" outlineLevel="1">
      <c r="A2716" s="2435">
        <f t="shared" si="547"/>
        <v>1</v>
      </c>
      <c r="B2716" s="2505" t="s">
        <v>1268</v>
      </c>
      <c r="C2716" s="2521"/>
      <c r="D2716" s="2405">
        <v>0</v>
      </c>
      <c r="E2716" s="2447" t="s">
        <v>2831</v>
      </c>
      <c r="F2716" s="2405" t="s">
        <v>2563</v>
      </c>
      <c r="G2716" s="2703">
        <f>G2715</f>
        <v>9</v>
      </c>
      <c r="H2716" s="2517">
        <v>65000</v>
      </c>
      <c r="I2716" s="2517"/>
      <c r="J2716" s="2517">
        <v>0</v>
      </c>
      <c r="K2716" s="2517">
        <v>0</v>
      </c>
      <c r="L2716" s="2517">
        <f t="shared" si="548"/>
        <v>585000</v>
      </c>
      <c r="M2716" s="2517">
        <f t="shared" si="551"/>
        <v>0</v>
      </c>
      <c r="N2716" s="2517">
        <f t="shared" si="549"/>
        <v>0</v>
      </c>
      <c r="O2716" s="2517">
        <f t="shared" si="550"/>
        <v>0</v>
      </c>
      <c r="P2716" s="2642"/>
      <c r="Q2716" s="2519"/>
      <c r="R2716" s="2519"/>
      <c r="S2716" s="2519"/>
    </row>
    <row r="2717" spans="1:19" s="2358" customFormat="1" outlineLevel="1">
      <c r="A2717" s="2435">
        <f>IF(G2717&lt;&gt;0,1,"")</f>
        <v>1</v>
      </c>
      <c r="B2717" s="2546" t="s">
        <v>6354</v>
      </c>
      <c r="C2717" s="2521"/>
      <c r="D2717" s="2405">
        <v>0</v>
      </c>
      <c r="E2717" s="2447" t="s">
        <v>5205</v>
      </c>
      <c r="F2717" s="2405" t="s">
        <v>2563</v>
      </c>
      <c r="G2717" s="2703">
        <f>G2716</f>
        <v>9</v>
      </c>
      <c r="H2717" s="2517">
        <v>132000</v>
      </c>
      <c r="I2717" s="2517"/>
      <c r="J2717" s="2517">
        <v>0</v>
      </c>
      <c r="K2717" s="2517">
        <v>0</v>
      </c>
      <c r="L2717" s="2517">
        <f>H2717*G2717</f>
        <v>1188000</v>
      </c>
      <c r="M2717" s="2517">
        <f>I2717*G2717</f>
        <v>0</v>
      </c>
      <c r="N2717" s="2517">
        <f>J2717*G2717</f>
        <v>0</v>
      </c>
      <c r="O2717" s="2517">
        <f>K2717*G2717</f>
        <v>0</v>
      </c>
      <c r="P2717" s="2642"/>
      <c r="Q2717" s="2519"/>
      <c r="R2717" s="2519"/>
      <c r="S2717" s="2519"/>
    </row>
    <row r="2718" spans="1:19" s="2358" customFormat="1" outlineLevel="1">
      <c r="A2718" s="2435">
        <f t="shared" si="547"/>
        <v>1</v>
      </c>
      <c r="B2718" s="2505" t="s">
        <v>1568</v>
      </c>
      <c r="C2718" s="2521"/>
      <c r="D2718" s="2405" t="s">
        <v>5622</v>
      </c>
      <c r="E2718" s="2447" t="s">
        <v>3289</v>
      </c>
      <c r="F2718" s="2405" t="s">
        <v>2445</v>
      </c>
      <c r="G2718" s="2703">
        <f>G2716</f>
        <v>9</v>
      </c>
      <c r="H2718" s="2517"/>
      <c r="I2718" s="2517"/>
      <c r="J2718" s="2517">
        <v>58277.49</v>
      </c>
      <c r="K2718" s="2517"/>
      <c r="L2718" s="2517">
        <f t="shared" si="548"/>
        <v>0</v>
      </c>
      <c r="M2718" s="2517">
        <f t="shared" si="551"/>
        <v>0</v>
      </c>
      <c r="N2718" s="2517">
        <f t="shared" si="549"/>
        <v>524497.41</v>
      </c>
      <c r="O2718" s="2517">
        <f t="shared" si="550"/>
        <v>0</v>
      </c>
      <c r="P2718" s="2642"/>
      <c r="Q2718" s="2519"/>
      <c r="R2718" s="2519"/>
      <c r="S2718" s="2519"/>
    </row>
    <row r="2719" spans="1:19" s="2358" customFormat="1" outlineLevel="1">
      <c r="A2719" s="2435">
        <f t="shared" si="547"/>
        <v>1</v>
      </c>
      <c r="B2719" s="2505" t="s">
        <v>1528</v>
      </c>
      <c r="C2719" s="2521"/>
      <c r="D2719" s="2405" t="s">
        <v>5633</v>
      </c>
      <c r="E2719" s="2447" t="s">
        <v>3310</v>
      </c>
      <c r="F2719" s="2405" t="s">
        <v>1827</v>
      </c>
      <c r="G2719" s="2703">
        <f>G2708</f>
        <v>36</v>
      </c>
      <c r="H2719" s="2517"/>
      <c r="I2719" s="2517"/>
      <c r="J2719" s="2517">
        <v>13915</v>
      </c>
      <c r="K2719" s="2517"/>
      <c r="L2719" s="2517">
        <f t="shared" si="548"/>
        <v>0</v>
      </c>
      <c r="M2719" s="2517">
        <f t="shared" si="551"/>
        <v>0</v>
      </c>
      <c r="N2719" s="2517">
        <f t="shared" si="549"/>
        <v>500940</v>
      </c>
      <c r="O2719" s="2517">
        <f t="shared" si="550"/>
        <v>0</v>
      </c>
      <c r="P2719" s="2642"/>
      <c r="Q2719" s="2519"/>
      <c r="R2719" s="2519"/>
      <c r="S2719" s="2519"/>
    </row>
    <row r="2720" spans="1:19" s="2358" customFormat="1" outlineLevel="1">
      <c r="A2720" s="2435">
        <f t="shared" si="547"/>
        <v>1</v>
      </c>
      <c r="B2720" s="2505"/>
      <c r="C2720" s="2716">
        <f>IF(G2720&gt;0,C2706+1,C2706)</f>
        <v>7</v>
      </c>
      <c r="D2720" s="2734"/>
      <c r="E2720" s="2718" t="s">
        <v>3746</v>
      </c>
      <c r="F2720" s="2719" t="s">
        <v>2391</v>
      </c>
      <c r="G2720" s="2720">
        <f>G2668</f>
        <v>1</v>
      </c>
      <c r="H2720" s="2722"/>
      <c r="I2720" s="2735"/>
      <c r="J2720" s="2735"/>
      <c r="K2720" s="2725"/>
      <c r="L2720" s="2725"/>
      <c r="M2720" s="2725"/>
      <c r="N2720" s="2736"/>
      <c r="O2720" s="2736"/>
      <c r="P2720" s="2736"/>
      <c r="Q2720" s="2519"/>
      <c r="R2720" s="2519"/>
      <c r="S2720" s="2519"/>
    </row>
    <row r="2721" spans="1:19" s="2358" customFormat="1" ht="14.4" outlineLevel="1">
      <c r="A2721" s="2435">
        <f>A2720</f>
        <v>1</v>
      </c>
      <c r="B2721" s="2514"/>
      <c r="C2721" s="2511"/>
      <c r="D2721" s="2512"/>
      <c r="E2721" s="2520" t="s">
        <v>6207</v>
      </c>
      <c r="F2721" s="2511"/>
      <c r="G2721" s="2522"/>
      <c r="H2721" s="2517"/>
      <c r="I2721" s="2517"/>
      <c r="J2721" s="2517"/>
      <c r="K2721" s="2517"/>
      <c r="L2721" s="2517"/>
      <c r="M2721" s="2517"/>
      <c r="N2721" s="2517"/>
      <c r="O2721" s="2517"/>
      <c r="P2721" s="2642"/>
      <c r="Q2721" s="2519"/>
      <c r="R2721" s="2519"/>
      <c r="S2721" s="2519"/>
    </row>
    <row r="2722" spans="1:19" s="2358" customFormat="1" outlineLevel="1">
      <c r="A2722" s="2435">
        <f t="shared" si="547"/>
        <v>1</v>
      </c>
      <c r="B2722" s="2514" t="s">
        <v>4793</v>
      </c>
      <c r="C2722" s="2521"/>
      <c r="D2722" s="2405">
        <v>0</v>
      </c>
      <c r="E2722" s="2447" t="s">
        <v>6462</v>
      </c>
      <c r="F2722" s="2405" t="s">
        <v>2538</v>
      </c>
      <c r="G2722" s="2703">
        <f>+G2720*(5*4*3+6*2)</f>
        <v>72</v>
      </c>
      <c r="H2722" s="2517">
        <v>567100</v>
      </c>
      <c r="I2722" s="2517"/>
      <c r="J2722" s="2517">
        <v>0</v>
      </c>
      <c r="K2722" s="2517">
        <v>0</v>
      </c>
      <c r="L2722" s="2517">
        <f>H2722*G2722</f>
        <v>40831200</v>
      </c>
      <c r="M2722" s="2517">
        <f>I2722*G2722</f>
        <v>0</v>
      </c>
      <c r="N2722" s="2517">
        <f t="shared" ref="N2722:N2730" si="552">J2722*G2722</f>
        <v>0</v>
      </c>
      <c r="O2722" s="2517">
        <f>K2722*G2722</f>
        <v>0</v>
      </c>
      <c r="P2722" s="2642"/>
      <c r="Q2722" s="2519"/>
      <c r="R2722" s="2519"/>
      <c r="S2722" s="2519"/>
    </row>
    <row r="2723" spans="1:19" s="2358" customFormat="1" outlineLevel="1">
      <c r="A2723" s="2435">
        <f t="shared" si="547"/>
        <v>1</v>
      </c>
      <c r="B2723" s="2514" t="s">
        <v>2162</v>
      </c>
      <c r="C2723" s="2521"/>
      <c r="D2723" s="2405" t="s">
        <v>5793</v>
      </c>
      <c r="E2723" s="2447" t="s">
        <v>3504</v>
      </c>
      <c r="F2723" s="2405" t="s">
        <v>2563</v>
      </c>
      <c r="G2723" s="2703">
        <f>+G2720*2*(4*3+2)</f>
        <v>28</v>
      </c>
      <c r="H2723" s="2517">
        <v>70000</v>
      </c>
      <c r="I2723" s="2517"/>
      <c r="J2723" s="2517">
        <v>50013.645000000004</v>
      </c>
      <c r="K2723" s="2517">
        <v>5554.0464950000005</v>
      </c>
      <c r="L2723" s="2517">
        <f t="shared" ref="L2723:L2729" si="553">H2723*G2723</f>
        <v>1960000</v>
      </c>
      <c r="M2723" s="2517">
        <f t="shared" ref="M2723:M2729" si="554">I2723*G2723</f>
        <v>0</v>
      </c>
      <c r="N2723" s="2517">
        <f t="shared" si="552"/>
        <v>1400382.06</v>
      </c>
      <c r="O2723" s="2517">
        <f t="shared" ref="O2723:O2729" si="555">K2723*G2723</f>
        <v>155513.30186000001</v>
      </c>
      <c r="P2723" s="2642"/>
      <c r="Q2723" s="2519"/>
      <c r="R2723" s="2519"/>
      <c r="S2723" s="2519"/>
    </row>
    <row r="2724" spans="1:19" s="2358" customFormat="1" outlineLevel="1">
      <c r="A2724" s="2435">
        <f t="shared" si="547"/>
        <v>1</v>
      </c>
      <c r="B2724" s="2514" t="s">
        <v>90</v>
      </c>
      <c r="C2724" s="2521"/>
      <c r="D2724" s="2405">
        <v>0</v>
      </c>
      <c r="E2724" s="2447" t="s">
        <v>3518</v>
      </c>
      <c r="F2724" s="2405" t="s">
        <v>2563</v>
      </c>
      <c r="G2724" s="2703">
        <f>G2723</f>
        <v>28</v>
      </c>
      <c r="H2724" s="2517">
        <v>6000</v>
      </c>
      <c r="I2724" s="2517"/>
      <c r="J2724" s="2517">
        <v>0</v>
      </c>
      <c r="K2724" s="2517">
        <v>0</v>
      </c>
      <c r="L2724" s="2517">
        <f t="shared" si="553"/>
        <v>168000</v>
      </c>
      <c r="M2724" s="2517">
        <f t="shared" si="554"/>
        <v>0</v>
      </c>
      <c r="N2724" s="2517">
        <f t="shared" si="552"/>
        <v>0</v>
      </c>
      <c r="O2724" s="2517">
        <f t="shared" si="555"/>
        <v>0</v>
      </c>
      <c r="P2724" s="2642"/>
      <c r="Q2724" s="2519"/>
      <c r="R2724" s="2519"/>
      <c r="S2724" s="2519"/>
    </row>
    <row r="2725" spans="1:19" s="2358" customFormat="1" outlineLevel="1">
      <c r="A2725" s="2435">
        <f t="shared" si="547"/>
        <v>1</v>
      </c>
      <c r="B2725" s="2514" t="s">
        <v>1042</v>
      </c>
      <c r="C2725" s="2521"/>
      <c r="D2725" s="2405">
        <v>0</v>
      </c>
      <c r="E2725" s="2447" t="s">
        <v>3549</v>
      </c>
      <c r="F2725" s="2405" t="s">
        <v>1827</v>
      </c>
      <c r="G2725" s="2703">
        <f>+G2720*8</f>
        <v>8</v>
      </c>
      <c r="H2725" s="2517">
        <v>103700</v>
      </c>
      <c r="I2725" s="2517"/>
      <c r="J2725" s="2517">
        <v>0</v>
      </c>
      <c r="K2725" s="2517">
        <v>0</v>
      </c>
      <c r="L2725" s="2517">
        <f t="shared" si="553"/>
        <v>829600</v>
      </c>
      <c r="M2725" s="2517">
        <f t="shared" si="554"/>
        <v>0</v>
      </c>
      <c r="N2725" s="2517">
        <f t="shared" si="552"/>
        <v>0</v>
      </c>
      <c r="O2725" s="2517">
        <f t="shared" si="555"/>
        <v>0</v>
      </c>
      <c r="P2725" s="2642"/>
      <c r="Q2725" s="2519"/>
      <c r="R2725" s="2519"/>
      <c r="S2725" s="2519"/>
    </row>
    <row r="2726" spans="1:19" s="2358" customFormat="1" outlineLevel="1">
      <c r="A2726" s="2435" t="str">
        <f t="shared" si="547"/>
        <v/>
      </c>
      <c r="B2726" s="2505" t="s">
        <v>2144</v>
      </c>
      <c r="C2726" s="2521"/>
      <c r="D2726" s="2405">
        <v>0</v>
      </c>
      <c r="E2726" s="2447" t="s">
        <v>3473</v>
      </c>
      <c r="F2726" s="2405" t="s">
        <v>2445</v>
      </c>
      <c r="G2726" s="2703"/>
      <c r="H2726" s="2517">
        <v>2739748</v>
      </c>
      <c r="I2726" s="2517"/>
      <c r="J2726" s="2517">
        <v>51183</v>
      </c>
      <c r="K2726" s="2517">
        <v>89000</v>
      </c>
      <c r="L2726" s="2517">
        <f t="shared" si="553"/>
        <v>0</v>
      </c>
      <c r="M2726" s="2517">
        <f t="shared" si="554"/>
        <v>0</v>
      </c>
      <c r="N2726" s="2517">
        <f t="shared" si="552"/>
        <v>0</v>
      </c>
      <c r="O2726" s="2517">
        <f t="shared" si="555"/>
        <v>0</v>
      </c>
      <c r="P2726" s="2642"/>
      <c r="Q2726" s="2675"/>
      <c r="R2726" s="2519"/>
      <c r="S2726" s="2519"/>
    </row>
    <row r="2727" spans="1:19" s="2358" customFormat="1" outlineLevel="1">
      <c r="A2727" s="2435">
        <f t="shared" si="547"/>
        <v>1</v>
      </c>
      <c r="B2727" s="2505" t="s">
        <v>6</v>
      </c>
      <c r="C2727" s="2521"/>
      <c r="D2727" s="2405"/>
      <c r="E2727" s="2447" t="s">
        <v>3585</v>
      </c>
      <c r="F2727" s="2405" t="s">
        <v>5868</v>
      </c>
      <c r="G2727" s="2703">
        <f>+G2720*3</f>
        <v>3</v>
      </c>
      <c r="H2727" s="2517">
        <v>45000</v>
      </c>
      <c r="I2727" s="2517"/>
      <c r="J2727" s="2517"/>
      <c r="K2727" s="2517"/>
      <c r="L2727" s="2517">
        <f t="shared" si="553"/>
        <v>135000</v>
      </c>
      <c r="M2727" s="2517">
        <f t="shared" si="554"/>
        <v>0</v>
      </c>
      <c r="N2727" s="2517">
        <f t="shared" si="552"/>
        <v>0</v>
      </c>
      <c r="O2727" s="2517">
        <f t="shared" si="555"/>
        <v>0</v>
      </c>
      <c r="P2727" s="2518"/>
      <c r="Q2727" s="2519"/>
      <c r="R2727" s="2519"/>
      <c r="S2727" s="2519"/>
    </row>
    <row r="2728" spans="1:19" s="2358" customFormat="1" outlineLevel="1">
      <c r="A2728" s="2435">
        <f t="shared" si="547"/>
        <v>1</v>
      </c>
      <c r="B2728" s="2514" t="s">
        <v>1351</v>
      </c>
      <c r="C2728" s="2521"/>
      <c r="D2728" s="2405">
        <v>0</v>
      </c>
      <c r="E2728" s="2447" t="s">
        <v>3536</v>
      </c>
      <c r="F2728" s="2405" t="s">
        <v>3537</v>
      </c>
      <c r="G2728" s="2703">
        <f>+G2727</f>
        <v>3</v>
      </c>
      <c r="H2728" s="2517">
        <v>15000</v>
      </c>
      <c r="I2728" s="2517"/>
      <c r="J2728" s="2517">
        <v>0</v>
      </c>
      <c r="K2728" s="2517">
        <v>0</v>
      </c>
      <c r="L2728" s="2517">
        <f t="shared" si="553"/>
        <v>45000</v>
      </c>
      <c r="M2728" s="2517">
        <f t="shared" si="554"/>
        <v>0</v>
      </c>
      <c r="N2728" s="2517">
        <f t="shared" si="552"/>
        <v>0</v>
      </c>
      <c r="O2728" s="2517">
        <f t="shared" si="555"/>
        <v>0</v>
      </c>
      <c r="P2728" s="2518"/>
      <c r="Q2728" s="2519"/>
      <c r="R2728" s="2519"/>
      <c r="S2728" s="2519"/>
    </row>
    <row r="2729" spans="1:19" s="2358" customFormat="1" outlineLevel="1">
      <c r="A2729" s="2435">
        <f t="shared" si="547"/>
        <v>1</v>
      </c>
      <c r="B2729" s="2505" t="s">
        <v>672</v>
      </c>
      <c r="C2729" s="2521"/>
      <c r="D2729" s="2405">
        <v>0</v>
      </c>
      <c r="E2729" s="2447" t="s">
        <v>5863</v>
      </c>
      <c r="F2729" s="2405" t="s">
        <v>3584</v>
      </c>
      <c r="G2729" s="2703">
        <f>+G2720*1</f>
        <v>1</v>
      </c>
      <c r="H2729" s="2517">
        <v>6500</v>
      </c>
      <c r="I2729" s="2517"/>
      <c r="J2729" s="2517">
        <v>0</v>
      </c>
      <c r="K2729" s="2517">
        <v>0</v>
      </c>
      <c r="L2729" s="2517">
        <f t="shared" si="553"/>
        <v>6500</v>
      </c>
      <c r="M2729" s="2517">
        <f t="shared" si="554"/>
        <v>0</v>
      </c>
      <c r="N2729" s="2517">
        <f t="shared" si="552"/>
        <v>0</v>
      </c>
      <c r="O2729" s="2517">
        <f t="shared" si="555"/>
        <v>0</v>
      </c>
      <c r="P2729" s="2642"/>
      <c r="Q2729" s="2519"/>
      <c r="R2729" s="2519"/>
      <c r="S2729" s="2519"/>
    </row>
    <row r="2730" spans="1:19" s="2358" customFormat="1" outlineLevel="1">
      <c r="A2730" s="2435">
        <f t="shared" si="547"/>
        <v>1</v>
      </c>
      <c r="B2730" s="2505" t="s">
        <v>247</v>
      </c>
      <c r="C2730" s="2521"/>
      <c r="D2730" s="2405" t="s">
        <v>5635</v>
      </c>
      <c r="E2730" s="2447" t="s">
        <v>5636</v>
      </c>
      <c r="F2730" s="2405" t="s">
        <v>1827</v>
      </c>
      <c r="G2730" s="2703">
        <f>G2722</f>
        <v>72</v>
      </c>
      <c r="H2730" s="2517">
        <v>0</v>
      </c>
      <c r="I2730" s="2517"/>
      <c r="J2730" s="2517">
        <v>47311</v>
      </c>
      <c r="K2730" s="2517">
        <v>0</v>
      </c>
      <c r="L2730" s="2517">
        <f>H2730*G2730</f>
        <v>0</v>
      </c>
      <c r="M2730" s="2517">
        <f>I2730*G2730</f>
        <v>0</v>
      </c>
      <c r="N2730" s="2517">
        <f t="shared" si="552"/>
        <v>3406392</v>
      </c>
      <c r="O2730" s="2517">
        <f>K2730*G2730</f>
        <v>0</v>
      </c>
      <c r="P2730" s="2642"/>
      <c r="Q2730" s="2519"/>
      <c r="R2730" s="2519"/>
      <c r="S2730" s="2519"/>
    </row>
    <row r="2731" spans="1:19" s="2358" customFormat="1" outlineLevel="1">
      <c r="A2731" s="2435" t="str">
        <f t="shared" si="547"/>
        <v/>
      </c>
      <c r="B2731" s="2733"/>
      <c r="C2731" s="2716">
        <f>IF(G2731&gt;0,C2720+1,C2720)</f>
        <v>7</v>
      </c>
      <c r="D2731" s="2734"/>
      <c r="E2731" s="2718" t="s">
        <v>6296</v>
      </c>
      <c r="F2731" s="2719" t="s">
        <v>2391</v>
      </c>
      <c r="G2731" s="2720"/>
      <c r="H2731" s="2722"/>
      <c r="I2731" s="2735"/>
      <c r="J2731" s="2735"/>
      <c r="K2731" s="2725">
        <v>0</v>
      </c>
      <c r="L2731" s="2725">
        <v>0</v>
      </c>
      <c r="M2731" s="2725">
        <v>0</v>
      </c>
      <c r="N2731" s="2736"/>
      <c r="O2731" s="2736"/>
      <c r="P2731" s="2736"/>
      <c r="Q2731" s="2519"/>
      <c r="R2731" s="2519"/>
      <c r="S2731" s="2519"/>
    </row>
    <row r="2732" spans="1:19" s="2358" customFormat="1" ht="14.4" outlineLevel="1">
      <c r="A2732" s="2435" t="str">
        <f>A2731</f>
        <v/>
      </c>
      <c r="B2732" s="2514"/>
      <c r="C2732" s="2511"/>
      <c r="D2732" s="2512"/>
      <c r="E2732" s="2520" t="s">
        <v>6207</v>
      </c>
      <c r="F2732" s="2521"/>
      <c r="G2732" s="2523"/>
      <c r="H2732" s="2517"/>
      <c r="I2732" s="2517"/>
      <c r="J2732" s="2517"/>
      <c r="K2732" s="2517"/>
      <c r="L2732" s="2517"/>
      <c r="M2732" s="2517"/>
      <c r="N2732" s="2518"/>
      <c r="O2732" s="2517"/>
      <c r="P2732" s="2642"/>
      <c r="Q2732" s="2519"/>
      <c r="R2732" s="2519"/>
      <c r="S2732" s="2519"/>
    </row>
    <row r="2733" spans="1:19" s="2358" customFormat="1" outlineLevel="1">
      <c r="A2733" s="2435" t="str">
        <f t="shared" si="547"/>
        <v/>
      </c>
      <c r="B2733" s="2514" t="s">
        <v>653</v>
      </c>
      <c r="C2733" s="2521"/>
      <c r="D2733" s="2405">
        <v>0</v>
      </c>
      <c r="E2733" s="2447" t="s">
        <v>5351</v>
      </c>
      <c r="F2733" s="2405" t="s">
        <v>2254</v>
      </c>
      <c r="G2733" s="2703">
        <f>+G2736*296</f>
        <v>0</v>
      </c>
      <c r="H2733" s="2517">
        <v>1740</v>
      </c>
      <c r="I2733" s="2517">
        <v>0</v>
      </c>
      <c r="J2733" s="2517">
        <v>0</v>
      </c>
      <c r="K2733" s="2517">
        <v>588937.93920000014</v>
      </c>
      <c r="L2733" s="2517">
        <v>0</v>
      </c>
      <c r="M2733" s="2517">
        <v>0</v>
      </c>
      <c r="N2733" s="2518"/>
      <c r="O2733" s="2517"/>
      <c r="P2733" s="2642"/>
      <c r="Q2733" s="2519"/>
      <c r="R2733" s="2519"/>
      <c r="S2733" s="2519"/>
    </row>
    <row r="2734" spans="1:19" s="2358" customFormat="1" outlineLevel="1">
      <c r="A2734" s="2435" t="str">
        <f t="shared" si="547"/>
        <v/>
      </c>
      <c r="B2734" s="2514" t="s">
        <v>752</v>
      </c>
      <c r="C2734" s="2521"/>
      <c r="D2734" s="2405">
        <v>0</v>
      </c>
      <c r="E2734" s="2447" t="s">
        <v>3022</v>
      </c>
      <c r="F2734" s="2405" t="s">
        <v>856</v>
      </c>
      <c r="G2734" s="2703">
        <f>G2736*0.475</f>
        <v>0</v>
      </c>
      <c r="H2734" s="2517">
        <v>350000</v>
      </c>
      <c r="I2734" s="2517">
        <v>0</v>
      </c>
      <c r="J2734" s="2517">
        <v>0</v>
      </c>
      <c r="K2734" s="2517">
        <v>190103.55000000005</v>
      </c>
      <c r="L2734" s="2517">
        <v>0</v>
      </c>
      <c r="M2734" s="2517">
        <v>0</v>
      </c>
      <c r="N2734" s="2813"/>
      <c r="O2734" s="2517"/>
      <c r="P2734" s="2642"/>
      <c r="Q2734" s="2519"/>
      <c r="R2734" s="2519"/>
      <c r="S2734" s="2519"/>
    </row>
    <row r="2735" spans="1:19" s="2358" customFormat="1" outlineLevel="1">
      <c r="A2735" s="2435" t="str">
        <f t="shared" si="547"/>
        <v/>
      </c>
      <c r="B2735" s="2514" t="s">
        <v>216</v>
      </c>
      <c r="C2735" s="2521"/>
      <c r="D2735" s="2405">
        <v>0</v>
      </c>
      <c r="E2735" s="2447" t="s">
        <v>3018</v>
      </c>
      <c r="F2735" s="2405" t="s">
        <v>856</v>
      </c>
      <c r="G2735" s="2703">
        <f>G2736*0.881</f>
        <v>0</v>
      </c>
      <c r="H2735" s="2517">
        <v>300000</v>
      </c>
      <c r="I2735" s="2517">
        <v>0</v>
      </c>
      <c r="J2735" s="2517">
        <v>0</v>
      </c>
      <c r="K2735" s="2517">
        <v>302221.76400000008</v>
      </c>
      <c r="L2735" s="2517">
        <v>0</v>
      </c>
      <c r="M2735" s="2517">
        <v>0</v>
      </c>
      <c r="N2735" s="2518"/>
      <c r="O2735" s="2517"/>
      <c r="P2735" s="2642"/>
      <c r="Q2735" s="2519"/>
      <c r="R2735" s="2519"/>
      <c r="S2735" s="2519"/>
    </row>
    <row r="2736" spans="1:19" s="2358" customFormat="1" outlineLevel="1">
      <c r="A2736" s="2435" t="str">
        <f t="shared" si="547"/>
        <v/>
      </c>
      <c r="B2736" s="2514" t="s">
        <v>654</v>
      </c>
      <c r="C2736" s="2521"/>
      <c r="D2736" s="2405" t="s">
        <v>5533</v>
      </c>
      <c r="E2736" s="2447" t="s">
        <v>5536</v>
      </c>
      <c r="F2736" s="2405" t="s">
        <v>856</v>
      </c>
      <c r="G2736" s="2703">
        <f>G2731*(0.4*3*1-2*3.14*0.15^2*0.4)</f>
        <v>0</v>
      </c>
      <c r="H2736" s="2517"/>
      <c r="I2736" s="2517">
        <v>466397.5</v>
      </c>
      <c r="J2736" s="2517">
        <v>0</v>
      </c>
      <c r="K2736" s="2517">
        <v>0</v>
      </c>
      <c r="L2736" s="2517">
        <v>533316.21330000018</v>
      </c>
      <c r="M2736" s="2517">
        <v>0</v>
      </c>
      <c r="N2736" s="2518"/>
      <c r="O2736" s="2517"/>
      <c r="P2736" s="2642"/>
      <c r="Q2736" s="2519"/>
      <c r="R2736" s="2519"/>
      <c r="S2736" s="2519"/>
    </row>
    <row r="2737" spans="1:19" s="2358" customFormat="1" outlineLevel="1">
      <c r="A2737" s="2435">
        <f t="shared" si="547"/>
        <v>1</v>
      </c>
      <c r="B2737" s="2728"/>
      <c r="C2737" s="2716">
        <f>IF(G2737&gt;0,C2731+1,C2731)</f>
        <v>8</v>
      </c>
      <c r="D2737" s="2717"/>
      <c r="E2737" s="2718" t="s">
        <v>6355</v>
      </c>
      <c r="F2737" s="2719" t="s">
        <v>2391</v>
      </c>
      <c r="G2737" s="2720">
        <f>G2594</f>
        <v>1</v>
      </c>
      <c r="H2737" s="2721"/>
      <c r="I2737" s="2723"/>
      <c r="J2737" s="2723"/>
      <c r="K2737" s="2724">
        <v>0</v>
      </c>
      <c r="L2737" s="2724">
        <v>0</v>
      </c>
      <c r="M2737" s="2724">
        <v>0</v>
      </c>
      <c r="N2737" s="2729"/>
      <c r="O2737" s="2729"/>
      <c r="P2737" s="2729"/>
      <c r="Q2737" s="2519"/>
      <c r="R2737" s="2519"/>
      <c r="S2737" s="2519"/>
    </row>
    <row r="2738" spans="1:19" s="2358" customFormat="1" ht="14.4" outlineLevel="1">
      <c r="A2738" s="2435" t="str">
        <f t="shared" si="547"/>
        <v/>
      </c>
      <c r="B2738" s="2514"/>
      <c r="C2738" s="2511"/>
      <c r="D2738" s="2512"/>
      <c r="E2738" s="2520" t="s">
        <v>6207</v>
      </c>
      <c r="F2738" s="2521"/>
      <c r="G2738" s="2523"/>
      <c r="H2738" s="2517"/>
      <c r="I2738" s="2517"/>
      <c r="J2738" s="2517"/>
      <c r="K2738" s="2517">
        <v>0</v>
      </c>
      <c r="L2738" s="2517">
        <v>0</v>
      </c>
      <c r="M2738" s="2517">
        <v>0</v>
      </c>
      <c r="N2738" s="2518"/>
      <c r="O2738" s="2517"/>
      <c r="P2738" s="2642"/>
      <c r="Q2738" s="2519"/>
      <c r="R2738" s="2519"/>
      <c r="S2738" s="2519"/>
    </row>
    <row r="2739" spans="1:19" s="2358" customFormat="1" ht="14.4" outlineLevel="1">
      <c r="A2739" s="2435">
        <f>A2737</f>
        <v>1</v>
      </c>
      <c r="B2739" s="2514"/>
      <c r="C2739" s="2511"/>
      <c r="D2739" s="2512"/>
      <c r="E2739" s="2520" t="s">
        <v>6207</v>
      </c>
      <c r="F2739" s="2521"/>
      <c r="G2739" s="2523"/>
      <c r="H2739" s="2517"/>
      <c r="I2739" s="2517"/>
      <c r="J2739" s="2517"/>
      <c r="K2739" s="2517"/>
      <c r="L2739" s="2517"/>
      <c r="M2739" s="2517"/>
      <c r="N2739" s="2518"/>
      <c r="O2739" s="2517"/>
      <c r="P2739" s="2642"/>
      <c r="Q2739" s="2519"/>
      <c r="R2739" s="2519"/>
      <c r="S2739" s="2519"/>
    </row>
    <row r="2740" spans="1:19" s="2358" customFormat="1" outlineLevel="1">
      <c r="A2740" s="2435">
        <f t="shared" si="547"/>
        <v>1</v>
      </c>
      <c r="B2740" s="2737" t="s">
        <v>2012</v>
      </c>
      <c r="C2740" s="2521"/>
      <c r="D2740" s="2405">
        <v>0</v>
      </c>
      <c r="E2740" s="2447" t="s">
        <v>5308</v>
      </c>
      <c r="F2740" s="2405" t="s">
        <v>2254</v>
      </c>
      <c r="G2740" s="2703">
        <f>G2737*(0.4*3*1-2*3.14*0.15^2*0.4)</f>
        <v>1.1434800000000003</v>
      </c>
      <c r="H2740" s="2517">
        <v>13300</v>
      </c>
      <c r="I2740" s="2517">
        <v>0</v>
      </c>
      <c r="J2740" s="2517">
        <v>0</v>
      </c>
      <c r="K2740" s="2517">
        <v>0</v>
      </c>
      <c r="L2740" s="2517">
        <f t="shared" ref="L2740:L2745" si="556">H2740*G2740</f>
        <v>15208.284000000003</v>
      </c>
      <c r="M2740" s="2517">
        <v>0</v>
      </c>
      <c r="N2740" s="2517">
        <f t="shared" ref="N2740:N2745" si="557">J2740*G2740</f>
        <v>0</v>
      </c>
      <c r="O2740" s="2517">
        <f t="shared" ref="O2740:O2745" si="558">K2740*G2740</f>
        <v>0</v>
      </c>
      <c r="P2740" s="2642"/>
      <c r="Q2740" s="2519"/>
      <c r="R2740" s="2519"/>
      <c r="S2740" s="2519"/>
    </row>
    <row r="2741" spans="1:19" s="2358" customFormat="1" outlineLevel="1">
      <c r="A2741" s="2435">
        <f t="shared" si="547"/>
        <v>1</v>
      </c>
      <c r="B2741" s="2738" t="s">
        <v>6317</v>
      </c>
      <c r="C2741" s="2521"/>
      <c r="D2741" s="2405">
        <v>0</v>
      </c>
      <c r="E2741" s="2447" t="s">
        <v>5546</v>
      </c>
      <c r="F2741" s="2405" t="s">
        <v>856</v>
      </c>
      <c r="G2741" s="2703">
        <v>1.08</v>
      </c>
      <c r="H2741" s="2517">
        <v>920580</v>
      </c>
      <c r="I2741" s="2517">
        <v>0</v>
      </c>
      <c r="J2741" s="2517">
        <v>0</v>
      </c>
      <c r="K2741" s="2517">
        <v>0</v>
      </c>
      <c r="L2741" s="2517">
        <f t="shared" si="556"/>
        <v>994226.4</v>
      </c>
      <c r="M2741" s="2517">
        <v>0</v>
      </c>
      <c r="N2741" s="2517">
        <f t="shared" si="557"/>
        <v>0</v>
      </c>
      <c r="O2741" s="2517">
        <f t="shared" si="558"/>
        <v>0</v>
      </c>
      <c r="P2741" s="2642"/>
      <c r="Q2741" s="2519"/>
      <c r="R2741" s="2519"/>
      <c r="S2741" s="2519"/>
    </row>
    <row r="2742" spans="1:19" s="2358" customFormat="1" outlineLevel="1">
      <c r="A2742" s="2435">
        <f t="shared" si="547"/>
        <v>1</v>
      </c>
      <c r="B2742" s="2740" t="s">
        <v>5547</v>
      </c>
      <c r="C2742" s="2521"/>
      <c r="D2742" s="2405">
        <v>0</v>
      </c>
      <c r="E2742" s="2447" t="s">
        <v>5548</v>
      </c>
      <c r="F2742" s="2405" t="s">
        <v>856</v>
      </c>
      <c r="G2742" s="2703">
        <v>0.16799999999999998</v>
      </c>
      <c r="H2742" s="2517">
        <v>371262</v>
      </c>
      <c r="I2742" s="2517">
        <v>0</v>
      </c>
      <c r="J2742" s="2517">
        <v>0</v>
      </c>
      <c r="K2742" s="2517">
        <v>0</v>
      </c>
      <c r="L2742" s="2517">
        <f t="shared" si="556"/>
        <v>62372.015999999996</v>
      </c>
      <c r="M2742" s="2517">
        <v>0</v>
      </c>
      <c r="N2742" s="2517">
        <f t="shared" si="557"/>
        <v>0</v>
      </c>
      <c r="O2742" s="2517">
        <f t="shared" si="558"/>
        <v>0</v>
      </c>
      <c r="P2742" s="2642"/>
      <c r="Q2742" s="2519"/>
      <c r="R2742" s="2519"/>
      <c r="S2742" s="2519"/>
    </row>
    <row r="2743" spans="1:19" s="2358" customFormat="1" outlineLevel="1">
      <c r="A2743" s="2435">
        <f t="shared" si="547"/>
        <v>1</v>
      </c>
      <c r="B2743" s="2741" t="s">
        <v>585</v>
      </c>
      <c r="C2743" s="2521"/>
      <c r="D2743" s="2405" t="s">
        <v>5541</v>
      </c>
      <c r="E2743" s="2447" t="s">
        <v>3218</v>
      </c>
      <c r="F2743" s="2405" t="s">
        <v>2254</v>
      </c>
      <c r="G2743" s="2703">
        <v>18.880200000000002</v>
      </c>
      <c r="H2743" s="2517">
        <v>9970</v>
      </c>
      <c r="I2743" s="2517">
        <v>2309.9327999999996</v>
      </c>
      <c r="J2743" s="2517">
        <v>2309.9327999999996</v>
      </c>
      <c r="K2743" s="2517">
        <v>0</v>
      </c>
      <c r="L2743" s="2517">
        <f t="shared" si="556"/>
        <v>188235.59400000001</v>
      </c>
      <c r="M2743" s="2517">
        <v>0</v>
      </c>
      <c r="N2743" s="2517">
        <f t="shared" si="557"/>
        <v>43611.993250559994</v>
      </c>
      <c r="O2743" s="2517">
        <f t="shared" si="558"/>
        <v>0</v>
      </c>
      <c r="P2743" s="2642"/>
      <c r="Q2743" s="2519"/>
      <c r="R2743" s="2519"/>
      <c r="S2743" s="2519"/>
    </row>
    <row r="2744" spans="1:19" s="2358" customFormat="1" outlineLevel="1">
      <c r="A2744" s="2435">
        <f t="shared" si="547"/>
        <v>1</v>
      </c>
      <c r="B2744" s="2514" t="s">
        <v>654</v>
      </c>
      <c r="C2744" s="2521"/>
      <c r="D2744" s="2405" t="s">
        <v>5533</v>
      </c>
      <c r="E2744" s="2447" t="s">
        <v>5536</v>
      </c>
      <c r="F2744" s="2405" t="s">
        <v>856</v>
      </c>
      <c r="G2744" s="2703">
        <v>1.08</v>
      </c>
      <c r="H2744" s="2517">
        <v>920580</v>
      </c>
      <c r="I2744" s="2517">
        <v>466397.5</v>
      </c>
      <c r="J2744" s="2517">
        <v>466397.5</v>
      </c>
      <c r="K2744" s="2517">
        <v>0</v>
      </c>
      <c r="L2744" s="2517">
        <f t="shared" si="556"/>
        <v>994226.4</v>
      </c>
      <c r="M2744" s="2517">
        <v>0</v>
      </c>
      <c r="N2744" s="2517">
        <f t="shared" si="557"/>
        <v>503709.30000000005</v>
      </c>
      <c r="O2744" s="2517">
        <f t="shared" si="558"/>
        <v>0</v>
      </c>
      <c r="P2744" s="2642"/>
      <c r="Q2744" s="2519"/>
      <c r="R2744" s="2519"/>
      <c r="S2744" s="2519"/>
    </row>
    <row r="2745" spans="1:19" s="2358" customFormat="1" outlineLevel="1">
      <c r="A2745" s="2435">
        <f t="shared" si="547"/>
        <v>1</v>
      </c>
      <c r="B2745" s="2742" t="s">
        <v>1959</v>
      </c>
      <c r="C2745" s="2521"/>
      <c r="D2745" s="2405" t="s">
        <v>5533</v>
      </c>
      <c r="E2745" s="2447" t="s">
        <v>5534</v>
      </c>
      <c r="F2745" s="2405" t="s">
        <v>856</v>
      </c>
      <c r="G2745" s="2703">
        <v>0.16799999999999998</v>
      </c>
      <c r="H2745" s="2517">
        <v>371262</v>
      </c>
      <c r="I2745" s="2517">
        <v>414064.45</v>
      </c>
      <c r="J2745" s="2517">
        <v>414064.45</v>
      </c>
      <c r="K2745" s="2517">
        <v>0</v>
      </c>
      <c r="L2745" s="2517">
        <f t="shared" si="556"/>
        <v>62372.015999999996</v>
      </c>
      <c r="M2745" s="2517">
        <v>0</v>
      </c>
      <c r="N2745" s="2517">
        <f t="shared" si="557"/>
        <v>69562.82759999999</v>
      </c>
      <c r="O2745" s="2517">
        <f t="shared" si="558"/>
        <v>0</v>
      </c>
      <c r="P2745" s="2642"/>
      <c r="Q2745" s="2519"/>
      <c r="R2745" s="2519"/>
      <c r="S2745" s="2519"/>
    </row>
    <row r="2746" spans="1:19" s="2358" customFormat="1" outlineLevel="1">
      <c r="A2746" s="2435">
        <f t="shared" si="547"/>
        <v>1</v>
      </c>
      <c r="B2746" s="2728"/>
      <c r="C2746" s="2716">
        <f>IF(G2746&gt;0,C2737+1,C2737)</f>
        <v>9</v>
      </c>
      <c r="D2746" s="2717"/>
      <c r="E2746" s="2718" t="s">
        <v>6318</v>
      </c>
      <c r="F2746" s="2719" t="s">
        <v>2391</v>
      </c>
      <c r="G2746" s="2720">
        <f>G2737</f>
        <v>1</v>
      </c>
      <c r="H2746" s="2721"/>
      <c r="I2746" s="2723"/>
      <c r="J2746" s="2723"/>
      <c r="K2746" s="2724">
        <v>0</v>
      </c>
      <c r="L2746" s="2724">
        <v>0</v>
      </c>
      <c r="M2746" s="2724">
        <v>0</v>
      </c>
      <c r="N2746" s="2729"/>
      <c r="O2746" s="2729"/>
      <c r="P2746" s="2729"/>
      <c r="Q2746" s="2519"/>
      <c r="R2746" s="2519"/>
      <c r="S2746" s="2519"/>
    </row>
    <row r="2747" spans="1:19" s="2358" customFormat="1" ht="14.4" outlineLevel="1">
      <c r="A2747" s="2435" t="str">
        <f t="shared" si="547"/>
        <v/>
      </c>
      <c r="B2747" s="2514"/>
      <c r="C2747" s="2511"/>
      <c r="D2747" s="2512"/>
      <c r="E2747" s="2520" t="s">
        <v>6207</v>
      </c>
      <c r="F2747" s="2521"/>
      <c r="G2747" s="2523"/>
      <c r="H2747" s="2517"/>
      <c r="I2747" s="2517"/>
      <c r="J2747" s="2517"/>
      <c r="K2747" s="2517">
        <v>0</v>
      </c>
      <c r="L2747" s="2517">
        <v>0</v>
      </c>
      <c r="M2747" s="2517">
        <v>0</v>
      </c>
      <c r="N2747" s="2518"/>
      <c r="O2747" s="2517"/>
      <c r="P2747" s="2642"/>
      <c r="Q2747" s="2519"/>
      <c r="R2747" s="2519"/>
      <c r="S2747" s="2519"/>
    </row>
    <row r="2748" spans="1:19" s="2358" customFormat="1" ht="14.4" outlineLevel="1">
      <c r="A2748" s="2435">
        <f>A2746</f>
        <v>1</v>
      </c>
      <c r="B2748" s="2514"/>
      <c r="C2748" s="2511"/>
      <c r="D2748" s="2512"/>
      <c r="E2748" s="2520" t="s">
        <v>6207</v>
      </c>
      <c r="F2748" s="2521"/>
      <c r="G2748" s="2523"/>
      <c r="H2748" s="2517"/>
      <c r="I2748" s="2517"/>
      <c r="J2748" s="2517"/>
      <c r="K2748" s="2517"/>
      <c r="L2748" s="2517"/>
      <c r="M2748" s="2517"/>
      <c r="N2748" s="2518"/>
      <c r="O2748" s="2517"/>
      <c r="P2748" s="2642"/>
      <c r="Q2748" s="2519"/>
      <c r="R2748" s="2519"/>
      <c r="S2748" s="2519"/>
    </row>
    <row r="2749" spans="1:19" s="2358" customFormat="1" outlineLevel="1">
      <c r="A2749" s="2435">
        <f t="shared" si="547"/>
        <v>1</v>
      </c>
      <c r="B2749" s="2514" t="s">
        <v>5364</v>
      </c>
      <c r="C2749" s="2521"/>
      <c r="D2749" s="2405" t="s">
        <v>5365</v>
      </c>
      <c r="E2749" s="2447" t="s">
        <v>5366</v>
      </c>
      <c r="F2749" s="2405" t="s">
        <v>2538</v>
      </c>
      <c r="G2749" s="2703">
        <f>G2746*9*2</f>
        <v>18</v>
      </c>
      <c r="H2749" s="2517">
        <v>250000</v>
      </c>
      <c r="I2749" s="2517">
        <v>109566.8385</v>
      </c>
      <c r="J2749" s="2517">
        <v>109566.8385</v>
      </c>
      <c r="K2749" s="2517">
        <v>0</v>
      </c>
      <c r="L2749" s="2517">
        <f t="shared" ref="L2749:L2762" si="559">H2749*G2749</f>
        <v>4500000</v>
      </c>
      <c r="M2749" s="2517">
        <v>0</v>
      </c>
      <c r="N2749" s="2517">
        <f t="shared" ref="N2749:N2762" si="560">J2749*G2749</f>
        <v>1972203.0929999999</v>
      </c>
      <c r="O2749" s="2517">
        <f t="shared" ref="O2749:O2762" si="561">K2749*G2749</f>
        <v>0</v>
      </c>
      <c r="P2749" s="2642"/>
      <c r="Q2749" s="2519"/>
      <c r="R2749" s="2519"/>
      <c r="S2749" s="2519"/>
    </row>
    <row r="2750" spans="1:19" s="2358" customFormat="1" outlineLevel="1">
      <c r="A2750" s="2435">
        <f t="shared" si="547"/>
        <v>1</v>
      </c>
      <c r="B2750" s="2514" t="s">
        <v>5426</v>
      </c>
      <c r="C2750" s="2521"/>
      <c r="D2750" s="2405" t="s">
        <v>5427</v>
      </c>
      <c r="E2750" s="2447" t="s">
        <v>5428</v>
      </c>
      <c r="F2750" s="2405" t="s">
        <v>5429</v>
      </c>
      <c r="G2750" s="2703">
        <f>G2749/2</f>
        <v>9</v>
      </c>
      <c r="H2750" s="2517">
        <v>40000</v>
      </c>
      <c r="I2750" s="2517">
        <v>13525.75</v>
      </c>
      <c r="J2750" s="2517">
        <v>13525.75</v>
      </c>
      <c r="K2750" s="2517">
        <v>0</v>
      </c>
      <c r="L2750" s="2517">
        <f t="shared" si="559"/>
        <v>360000</v>
      </c>
      <c r="M2750" s="2517">
        <v>0</v>
      </c>
      <c r="N2750" s="2517">
        <f t="shared" si="560"/>
        <v>121731.75</v>
      </c>
      <c r="O2750" s="2517">
        <f t="shared" si="561"/>
        <v>0</v>
      </c>
      <c r="P2750" s="2642"/>
      <c r="Q2750" s="2519"/>
      <c r="R2750" s="2519"/>
      <c r="S2750" s="2519"/>
    </row>
    <row r="2751" spans="1:19" s="2358" customFormat="1" outlineLevel="1">
      <c r="A2751" s="2435">
        <f t="shared" si="547"/>
        <v>1</v>
      </c>
      <c r="B2751" s="2514" t="s">
        <v>5225</v>
      </c>
      <c r="C2751" s="2521"/>
      <c r="D2751" s="2405">
        <v>0</v>
      </c>
      <c r="E2751" s="2447" t="s">
        <v>5226</v>
      </c>
      <c r="F2751" s="2405" t="s">
        <v>2254</v>
      </c>
      <c r="G2751" s="2703">
        <f>G2746*16*2/4*16</f>
        <v>128</v>
      </c>
      <c r="H2751" s="2517">
        <v>31625</v>
      </c>
      <c r="I2751" s="2517">
        <v>0</v>
      </c>
      <c r="J2751" s="2517">
        <v>0</v>
      </c>
      <c r="K2751" s="2517">
        <v>0</v>
      </c>
      <c r="L2751" s="2517">
        <f t="shared" si="559"/>
        <v>4048000</v>
      </c>
      <c r="M2751" s="2517">
        <v>0</v>
      </c>
      <c r="N2751" s="2517">
        <f t="shared" si="560"/>
        <v>0</v>
      </c>
      <c r="O2751" s="2517">
        <f t="shared" si="561"/>
        <v>0</v>
      </c>
      <c r="P2751" s="2642"/>
      <c r="Q2751" s="2519"/>
      <c r="R2751" s="2519"/>
      <c r="S2751" s="2519"/>
    </row>
    <row r="2752" spans="1:19" s="2358" customFormat="1" outlineLevel="1">
      <c r="A2752" s="2435">
        <f t="shared" si="547"/>
        <v>1</v>
      </c>
      <c r="B2752" s="2514" t="s">
        <v>5227</v>
      </c>
      <c r="C2752" s="2521"/>
      <c r="D2752" s="2405">
        <v>0</v>
      </c>
      <c r="E2752" s="2447" t="s">
        <v>5228</v>
      </c>
      <c r="F2752" s="2405" t="s">
        <v>2254</v>
      </c>
      <c r="G2752" s="2703">
        <f>G2746*16/6*17.7</f>
        <v>47.199999999999996</v>
      </c>
      <c r="H2752" s="2517">
        <v>31625</v>
      </c>
      <c r="I2752" s="2517">
        <v>0</v>
      </c>
      <c r="J2752" s="2517">
        <v>0</v>
      </c>
      <c r="K2752" s="2517">
        <v>0</v>
      </c>
      <c r="L2752" s="2517">
        <f t="shared" si="559"/>
        <v>1492699.9999999998</v>
      </c>
      <c r="M2752" s="2517">
        <v>0</v>
      </c>
      <c r="N2752" s="2517">
        <f t="shared" si="560"/>
        <v>0</v>
      </c>
      <c r="O2752" s="2517">
        <f t="shared" si="561"/>
        <v>0</v>
      </c>
      <c r="P2752" s="2642"/>
      <c r="Q2752" s="2519"/>
      <c r="R2752" s="2519"/>
      <c r="S2752" s="2519"/>
    </row>
    <row r="2753" spans="1:19" s="2358" customFormat="1" outlineLevel="1">
      <c r="A2753" s="2435">
        <f t="shared" si="547"/>
        <v>1</v>
      </c>
      <c r="B2753" s="2514" t="s">
        <v>279</v>
      </c>
      <c r="C2753" s="2521"/>
      <c r="D2753" s="2405">
        <v>0</v>
      </c>
      <c r="E2753" s="2447" t="s">
        <v>2964</v>
      </c>
      <c r="F2753" s="2405" t="s">
        <v>2254</v>
      </c>
      <c r="G2753" s="2703">
        <f>G2746*3</f>
        <v>3</v>
      </c>
      <c r="H2753" s="2517">
        <v>31625</v>
      </c>
      <c r="I2753" s="2517">
        <v>0</v>
      </c>
      <c r="J2753" s="2517">
        <v>0</v>
      </c>
      <c r="K2753" s="2517">
        <v>0</v>
      </c>
      <c r="L2753" s="2517">
        <f t="shared" si="559"/>
        <v>94875</v>
      </c>
      <c r="M2753" s="2517">
        <v>0</v>
      </c>
      <c r="N2753" s="2517">
        <f t="shared" si="560"/>
        <v>0</v>
      </c>
      <c r="O2753" s="2517">
        <f t="shared" si="561"/>
        <v>0</v>
      </c>
      <c r="P2753" s="2642"/>
      <c r="Q2753" s="2519"/>
      <c r="R2753" s="2519"/>
      <c r="S2753" s="2519"/>
    </row>
    <row r="2754" spans="1:19" s="2358" customFormat="1" outlineLevel="1">
      <c r="A2754" s="2435">
        <f t="shared" si="547"/>
        <v>1</v>
      </c>
      <c r="B2754" s="2514" t="s">
        <v>6319</v>
      </c>
      <c r="C2754" s="2521"/>
      <c r="D2754" s="2405">
        <v>0</v>
      </c>
      <c r="E2754" s="2447" t="s">
        <v>5372</v>
      </c>
      <c r="F2754" s="2405" t="s">
        <v>2538</v>
      </c>
      <c r="G2754" s="2703">
        <f>G2746*(12+2.2)</f>
        <v>14.2</v>
      </c>
      <c r="H2754" s="2517">
        <v>70000</v>
      </c>
      <c r="I2754" s="2517">
        <v>0</v>
      </c>
      <c r="J2754" s="2517">
        <v>0</v>
      </c>
      <c r="K2754" s="2517">
        <v>0</v>
      </c>
      <c r="L2754" s="2517">
        <f t="shared" si="559"/>
        <v>994000</v>
      </c>
      <c r="M2754" s="2517">
        <v>0</v>
      </c>
      <c r="N2754" s="2517">
        <f t="shared" si="560"/>
        <v>0</v>
      </c>
      <c r="O2754" s="2517">
        <f t="shared" si="561"/>
        <v>0</v>
      </c>
      <c r="P2754" s="2642"/>
      <c r="Q2754" s="2519"/>
      <c r="R2754" s="2519"/>
      <c r="S2754" s="2519"/>
    </row>
    <row r="2755" spans="1:19" s="2358" customFormat="1" outlineLevel="1">
      <c r="A2755" s="2435">
        <f t="shared" si="547"/>
        <v>1</v>
      </c>
      <c r="B2755" s="2514" t="s">
        <v>745</v>
      </c>
      <c r="C2755" s="2521"/>
      <c r="D2755" s="2405">
        <v>0</v>
      </c>
      <c r="E2755" s="2447" t="s">
        <v>5307</v>
      </c>
      <c r="F2755" s="2405" t="s">
        <v>2254</v>
      </c>
      <c r="G2755" s="2703">
        <f>G2746*16</f>
        <v>16</v>
      </c>
      <c r="H2755" s="2517">
        <v>13200</v>
      </c>
      <c r="I2755" s="2517">
        <v>0</v>
      </c>
      <c r="J2755" s="2517">
        <v>0</v>
      </c>
      <c r="K2755" s="2517">
        <v>0</v>
      </c>
      <c r="L2755" s="2517">
        <f t="shared" si="559"/>
        <v>211200</v>
      </c>
      <c r="M2755" s="2517">
        <v>0</v>
      </c>
      <c r="N2755" s="2517">
        <f t="shared" si="560"/>
        <v>0</v>
      </c>
      <c r="O2755" s="2517">
        <f t="shared" si="561"/>
        <v>0</v>
      </c>
      <c r="P2755" s="2642"/>
      <c r="Q2755" s="2519"/>
      <c r="R2755" s="2519"/>
      <c r="S2755" s="2519"/>
    </row>
    <row r="2756" spans="1:19" s="2358" customFormat="1" outlineLevel="1">
      <c r="A2756" s="2435">
        <f t="shared" si="547"/>
        <v>1</v>
      </c>
      <c r="B2756" s="2514" t="s">
        <v>5110</v>
      </c>
      <c r="C2756" s="2521"/>
      <c r="D2756" s="2405">
        <v>0</v>
      </c>
      <c r="E2756" s="2447" t="s">
        <v>5111</v>
      </c>
      <c r="F2756" s="2405" t="s">
        <v>2445</v>
      </c>
      <c r="G2756" s="2703">
        <f>G2746*9*4</f>
        <v>36</v>
      </c>
      <c r="H2756" s="2517">
        <v>35600</v>
      </c>
      <c r="I2756" s="2517">
        <v>0</v>
      </c>
      <c r="J2756" s="2517">
        <v>0</v>
      </c>
      <c r="K2756" s="2517">
        <v>0</v>
      </c>
      <c r="L2756" s="2517">
        <f t="shared" si="559"/>
        <v>1281600</v>
      </c>
      <c r="M2756" s="2517">
        <v>0</v>
      </c>
      <c r="N2756" s="2517">
        <f t="shared" si="560"/>
        <v>0</v>
      </c>
      <c r="O2756" s="2517">
        <f t="shared" si="561"/>
        <v>0</v>
      </c>
      <c r="P2756" s="2642"/>
      <c r="Q2756" s="2519"/>
      <c r="R2756" s="2519"/>
      <c r="S2756" s="2519"/>
    </row>
    <row r="2757" spans="1:19" s="2358" customFormat="1" outlineLevel="1">
      <c r="A2757" s="2435">
        <f t="shared" si="547"/>
        <v>1</v>
      </c>
      <c r="B2757" s="2514" t="s">
        <v>6317</v>
      </c>
      <c r="C2757" s="2521"/>
      <c r="D2757" s="2405">
        <v>0</v>
      </c>
      <c r="E2757" s="2447" t="s">
        <v>5546</v>
      </c>
      <c r="F2757" s="2405" t="s">
        <v>856</v>
      </c>
      <c r="G2757" s="2703">
        <f>G2746*0.12</f>
        <v>0.12</v>
      </c>
      <c r="H2757" s="2517">
        <v>920580</v>
      </c>
      <c r="I2757" s="2517">
        <v>0</v>
      </c>
      <c r="J2757" s="2517">
        <v>0</v>
      </c>
      <c r="K2757" s="2517">
        <v>0</v>
      </c>
      <c r="L2757" s="2517">
        <f t="shared" si="559"/>
        <v>110469.59999999999</v>
      </c>
      <c r="M2757" s="2517">
        <v>0</v>
      </c>
      <c r="N2757" s="2517">
        <f t="shared" si="560"/>
        <v>0</v>
      </c>
      <c r="O2757" s="2517">
        <f t="shared" si="561"/>
        <v>0</v>
      </c>
      <c r="P2757" s="2642"/>
      <c r="Q2757" s="2519"/>
      <c r="R2757" s="2519"/>
      <c r="S2757" s="2519"/>
    </row>
    <row r="2758" spans="1:19" s="2358" customFormat="1" outlineLevel="1">
      <c r="A2758" s="2435">
        <f t="shared" si="547"/>
        <v>1</v>
      </c>
      <c r="B2758" s="2514" t="s">
        <v>934</v>
      </c>
      <c r="C2758" s="2521"/>
      <c r="D2758" s="2405">
        <v>0</v>
      </c>
      <c r="E2758" s="2447" t="s">
        <v>3023</v>
      </c>
      <c r="F2758" s="2405" t="s">
        <v>3024</v>
      </c>
      <c r="G2758" s="2703">
        <f>G2746*350</f>
        <v>350</v>
      </c>
      <c r="H2758" s="2517">
        <v>1900</v>
      </c>
      <c r="I2758" s="2517">
        <v>0</v>
      </c>
      <c r="J2758" s="2517">
        <v>0</v>
      </c>
      <c r="K2758" s="2517">
        <v>0</v>
      </c>
      <c r="L2758" s="2517">
        <f t="shared" si="559"/>
        <v>665000</v>
      </c>
      <c r="M2758" s="2517">
        <v>0</v>
      </c>
      <c r="N2758" s="2517">
        <f t="shared" si="560"/>
        <v>0</v>
      </c>
      <c r="O2758" s="2517">
        <f t="shared" si="561"/>
        <v>0</v>
      </c>
      <c r="P2758" s="2642"/>
      <c r="Q2758" s="2519"/>
      <c r="R2758" s="2519"/>
      <c r="S2758" s="2519"/>
    </row>
    <row r="2759" spans="1:19" s="2358" customFormat="1" outlineLevel="1">
      <c r="A2759" s="2435">
        <f t="shared" si="547"/>
        <v>1</v>
      </c>
      <c r="B2759" s="2514" t="s">
        <v>5549</v>
      </c>
      <c r="C2759" s="2521"/>
      <c r="D2759" s="2405" t="s">
        <v>5550</v>
      </c>
      <c r="E2759" s="2447" t="s">
        <v>5551</v>
      </c>
      <c r="F2759" s="2405" t="s">
        <v>856</v>
      </c>
      <c r="G2759" s="2703">
        <f>G2746*1.4</f>
        <v>1.4</v>
      </c>
      <c r="H2759" s="2517">
        <v>0</v>
      </c>
      <c r="I2759" s="2517">
        <v>316240.8</v>
      </c>
      <c r="J2759" s="2517">
        <v>316240.8</v>
      </c>
      <c r="K2759" s="2517">
        <v>0</v>
      </c>
      <c r="L2759" s="2517">
        <f t="shared" si="559"/>
        <v>0</v>
      </c>
      <c r="M2759" s="2517">
        <v>0</v>
      </c>
      <c r="N2759" s="2517">
        <f t="shared" si="560"/>
        <v>442737.11999999994</v>
      </c>
      <c r="O2759" s="2517">
        <f t="shared" si="561"/>
        <v>0</v>
      </c>
      <c r="P2759" s="2642"/>
      <c r="Q2759" s="2519"/>
      <c r="R2759" s="2519"/>
      <c r="S2759" s="2519"/>
    </row>
    <row r="2760" spans="1:19" s="2358" customFormat="1" outlineLevel="1">
      <c r="A2760" s="2435">
        <f t="shared" si="547"/>
        <v>1</v>
      </c>
      <c r="B2760" s="2514" t="s">
        <v>9</v>
      </c>
      <c r="C2760" s="2521"/>
      <c r="D2760" s="2405" t="s">
        <v>5540</v>
      </c>
      <c r="E2760" s="2447" t="s">
        <v>3217</v>
      </c>
      <c r="F2760" s="2405" t="s">
        <v>2254</v>
      </c>
      <c r="G2760" s="2703">
        <f>G2755</f>
        <v>16</v>
      </c>
      <c r="H2760" s="2517">
        <v>9814</v>
      </c>
      <c r="I2760" s="2517">
        <v>2965.3303999999998</v>
      </c>
      <c r="J2760" s="2517">
        <v>2965.3303999999998</v>
      </c>
      <c r="K2760" s="2517">
        <v>0</v>
      </c>
      <c r="L2760" s="2517">
        <f t="shared" si="559"/>
        <v>157024</v>
      </c>
      <c r="M2760" s="2517">
        <v>0</v>
      </c>
      <c r="N2760" s="2517">
        <f t="shared" si="560"/>
        <v>47445.286399999997</v>
      </c>
      <c r="O2760" s="2517">
        <f t="shared" si="561"/>
        <v>0</v>
      </c>
      <c r="P2760" s="2642"/>
      <c r="Q2760" s="2519"/>
      <c r="R2760" s="2519"/>
      <c r="S2760" s="2519"/>
    </row>
    <row r="2761" spans="1:19" s="2358" customFormat="1" outlineLevel="1">
      <c r="A2761" s="2435">
        <f t="shared" si="547"/>
        <v>1</v>
      </c>
      <c r="B2761" s="2514" t="s">
        <v>654</v>
      </c>
      <c r="C2761" s="2521"/>
      <c r="D2761" s="2405" t="s">
        <v>5533</v>
      </c>
      <c r="E2761" s="2447" t="s">
        <v>5536</v>
      </c>
      <c r="F2761" s="2405" t="s">
        <v>856</v>
      </c>
      <c r="G2761" s="2703">
        <f>G2757</f>
        <v>0.12</v>
      </c>
      <c r="H2761" s="2517">
        <v>920580</v>
      </c>
      <c r="I2761" s="2517">
        <v>466397.5</v>
      </c>
      <c r="J2761" s="2517">
        <v>466397.5</v>
      </c>
      <c r="K2761" s="2517">
        <v>0</v>
      </c>
      <c r="L2761" s="2517">
        <f t="shared" si="559"/>
        <v>110469.59999999999</v>
      </c>
      <c r="M2761" s="2517">
        <v>0</v>
      </c>
      <c r="N2761" s="2517">
        <f t="shared" si="560"/>
        <v>55967.7</v>
      </c>
      <c r="O2761" s="2517">
        <f t="shared" si="561"/>
        <v>0</v>
      </c>
      <c r="P2761" s="2642"/>
      <c r="Q2761" s="2519"/>
      <c r="R2761" s="2519"/>
      <c r="S2761" s="2519"/>
    </row>
    <row r="2762" spans="1:19" s="2358" customFormat="1" outlineLevel="1">
      <c r="A2762" s="2435">
        <f t="shared" si="547"/>
        <v>1</v>
      </c>
      <c r="B2762" s="2514" t="s">
        <v>5542</v>
      </c>
      <c r="C2762" s="2521"/>
      <c r="D2762" s="2405" t="s">
        <v>5543</v>
      </c>
      <c r="E2762" s="2447" t="s">
        <v>5544</v>
      </c>
      <c r="F2762" s="2405" t="s">
        <v>1964</v>
      </c>
      <c r="G2762" s="2703">
        <f>G2746*12*2</f>
        <v>24</v>
      </c>
      <c r="H2762" s="2517">
        <v>28205</v>
      </c>
      <c r="I2762" s="2517">
        <v>74440.5</v>
      </c>
      <c r="J2762" s="2517">
        <v>74440.5</v>
      </c>
      <c r="K2762" s="2517">
        <v>0</v>
      </c>
      <c r="L2762" s="2517">
        <f t="shared" si="559"/>
        <v>676920</v>
      </c>
      <c r="M2762" s="2517">
        <v>0</v>
      </c>
      <c r="N2762" s="2517">
        <f t="shared" si="560"/>
        <v>1786572</v>
      </c>
      <c r="O2762" s="2517">
        <f t="shared" si="561"/>
        <v>0</v>
      </c>
      <c r="P2762" s="2642"/>
      <c r="Q2762" s="2519"/>
      <c r="R2762" s="2519"/>
      <c r="S2762" s="2519"/>
    </row>
    <row r="2763" spans="1:19" s="2358" customFormat="1" outlineLevel="1">
      <c r="A2763" s="2435">
        <f>IF(G2763&lt;&gt;0,1,"")</f>
        <v>1</v>
      </c>
      <c r="B2763" s="2505"/>
      <c r="C2763" s="2716">
        <f>IF(G2763&gt;0,C2746+1,C2746)</f>
        <v>10</v>
      </c>
      <c r="D2763" s="2717"/>
      <c r="E2763" s="2718" t="s">
        <v>6327</v>
      </c>
      <c r="F2763" s="2719" t="s">
        <v>2391</v>
      </c>
      <c r="G2763" s="2720">
        <v>1</v>
      </c>
      <c r="H2763" s="2721"/>
      <c r="I2763" s="2723"/>
      <c r="J2763" s="2723"/>
      <c r="K2763" s="2724"/>
      <c r="L2763" s="2724"/>
      <c r="M2763" s="2724"/>
      <c r="N2763" s="2729"/>
      <c r="O2763" s="2729"/>
      <c r="P2763" s="2729"/>
      <c r="Q2763" s="2519"/>
      <c r="R2763" s="2519"/>
      <c r="S2763" s="2519"/>
    </row>
    <row r="2764" spans="1:19" s="2541" customFormat="1" ht="14.4" outlineLevel="1">
      <c r="A2764" s="2435">
        <f>A2763</f>
        <v>1</v>
      </c>
      <c r="B2764" s="2753"/>
      <c r="C2764" s="2511"/>
      <c r="D2764" s="2512"/>
      <c r="E2764" s="2527" t="s">
        <v>6207</v>
      </c>
      <c r="F2764" s="2511"/>
      <c r="G2764" s="2516"/>
      <c r="H2764" s="2517"/>
      <c r="I2764" s="2517"/>
      <c r="J2764" s="2517"/>
      <c r="K2764" s="2517"/>
      <c r="L2764" s="2517">
        <f>SUBTOTAL(9,L2765:L2785)*0</f>
        <v>0</v>
      </c>
      <c r="M2764" s="2517">
        <f>SUBTOTAL(9,M2765:M2785)</f>
        <v>0</v>
      </c>
      <c r="N2764" s="2517">
        <f>SUBTOTAL(9,N2765:N2785)*0</f>
        <v>0</v>
      </c>
      <c r="O2764" s="2517">
        <f>SUBTOTAL(9,O2765:O2785)*0</f>
        <v>0</v>
      </c>
      <c r="P2764" s="2518"/>
      <c r="Q2764" s="2686"/>
      <c r="R2764" s="2686"/>
      <c r="S2764" s="2686"/>
    </row>
    <row r="2765" spans="1:19" s="2358" customFormat="1" outlineLevel="1">
      <c r="A2765" s="2435">
        <f>IF(G2765=0,0,1)</f>
        <v>1</v>
      </c>
      <c r="B2765" s="2514" t="s">
        <v>2282</v>
      </c>
      <c r="C2765" s="2642"/>
      <c r="D2765" s="2405">
        <v>0</v>
      </c>
      <c r="E2765" s="2612" t="s">
        <v>2794</v>
      </c>
      <c r="F2765" s="2754" t="s">
        <v>2538</v>
      </c>
      <c r="G2765" s="2703">
        <f>G2763*3*11</f>
        <v>33</v>
      </c>
      <c r="H2765" s="2517">
        <v>63200</v>
      </c>
      <c r="I2765" s="2517"/>
      <c r="J2765" s="2517">
        <v>0</v>
      </c>
      <c r="K2765" s="2517">
        <v>0</v>
      </c>
      <c r="L2765" s="2517">
        <f>H2765*$G2765</f>
        <v>2085600</v>
      </c>
      <c r="M2765" s="2517">
        <f t="shared" ref="M2765:O2785" si="562">I2765*$G2765</f>
        <v>0</v>
      </c>
      <c r="N2765" s="2517">
        <f>J2765*$G2765</f>
        <v>0</v>
      </c>
      <c r="O2765" s="2517">
        <f>K2765*$G2765</f>
        <v>0</v>
      </c>
      <c r="P2765" s="2518"/>
      <c r="Q2765" s="2519"/>
      <c r="R2765" s="2519"/>
      <c r="S2765" s="2519"/>
    </row>
    <row r="2766" spans="1:19" s="2358" customFormat="1" outlineLevel="1">
      <c r="A2766" s="2435">
        <f>IF(G2766=0,0,1)</f>
        <v>0</v>
      </c>
      <c r="B2766" s="2505" t="s">
        <v>6328</v>
      </c>
      <c r="C2766" s="2521"/>
      <c r="D2766" s="2405">
        <v>0</v>
      </c>
      <c r="E2766" s="2612" t="s">
        <v>5105</v>
      </c>
      <c r="F2766" s="2754" t="s">
        <v>2445</v>
      </c>
      <c r="G2766" s="2703"/>
      <c r="H2766" s="2517">
        <v>7900</v>
      </c>
      <c r="I2766" s="2517"/>
      <c r="J2766" s="2517">
        <v>0</v>
      </c>
      <c r="K2766" s="2517">
        <v>0</v>
      </c>
      <c r="L2766" s="2517">
        <f t="shared" ref="L2766:L2785" si="563">H2766*$G2766</f>
        <v>0</v>
      </c>
      <c r="M2766" s="2517">
        <f t="shared" si="562"/>
        <v>0</v>
      </c>
      <c r="N2766" s="2517">
        <f t="shared" si="562"/>
        <v>0</v>
      </c>
      <c r="O2766" s="2517">
        <f t="shared" si="562"/>
        <v>0</v>
      </c>
      <c r="P2766" s="2518"/>
      <c r="Q2766" s="2519"/>
      <c r="R2766" s="2519"/>
      <c r="S2766" s="2519"/>
    </row>
    <row r="2767" spans="1:19" s="2358" customFormat="1" outlineLevel="1">
      <c r="A2767" s="2435">
        <f>IF(G2767=0,0,1)</f>
        <v>1</v>
      </c>
      <c r="B2767" s="2505" t="s">
        <v>6329</v>
      </c>
      <c r="C2767" s="2521"/>
      <c r="D2767" s="2405">
        <v>0</v>
      </c>
      <c r="E2767" s="2612" t="s">
        <v>2632</v>
      </c>
      <c r="F2767" s="2754" t="s">
        <v>2445</v>
      </c>
      <c r="G2767" s="2703">
        <v>24</v>
      </c>
      <c r="H2767" s="2517">
        <v>1500</v>
      </c>
      <c r="I2767" s="2517"/>
      <c r="J2767" s="2517">
        <v>0</v>
      </c>
      <c r="K2767" s="2517">
        <v>0</v>
      </c>
      <c r="L2767" s="2517">
        <f t="shared" si="563"/>
        <v>36000</v>
      </c>
      <c r="M2767" s="2517">
        <f t="shared" si="562"/>
        <v>0</v>
      </c>
      <c r="N2767" s="2517">
        <f t="shared" si="562"/>
        <v>0</v>
      </c>
      <c r="O2767" s="2517">
        <f t="shared" si="562"/>
        <v>0</v>
      </c>
      <c r="P2767" s="2518"/>
      <c r="Q2767" s="2519"/>
      <c r="R2767" s="2519"/>
      <c r="S2767" s="2519"/>
    </row>
    <row r="2768" spans="1:19" s="2358" customFormat="1" outlineLevel="1">
      <c r="A2768" s="2435">
        <f t="shared" ref="A2768:A2785" si="564">IF(G2768=0,0,1)</f>
        <v>1</v>
      </c>
      <c r="B2768" s="2514" t="s">
        <v>246</v>
      </c>
      <c r="C2768" s="2642"/>
      <c r="D2768" s="2405">
        <v>0</v>
      </c>
      <c r="E2768" s="2612" t="s">
        <v>5931</v>
      </c>
      <c r="F2768" s="2754" t="s">
        <v>2563</v>
      </c>
      <c r="G2768" s="2703">
        <v>24</v>
      </c>
      <c r="H2768" s="2517">
        <v>40500</v>
      </c>
      <c r="I2768" s="2517"/>
      <c r="J2768" s="2517">
        <v>39758</v>
      </c>
      <c r="K2768" s="2517">
        <v>0</v>
      </c>
      <c r="L2768" s="2517">
        <f t="shared" si="563"/>
        <v>972000</v>
      </c>
      <c r="M2768" s="2517">
        <f t="shared" si="562"/>
        <v>0</v>
      </c>
      <c r="N2768" s="2517">
        <f t="shared" si="562"/>
        <v>954192</v>
      </c>
      <c r="O2768" s="2517">
        <f t="shared" si="562"/>
        <v>0</v>
      </c>
      <c r="P2768" s="2518"/>
      <c r="Q2768" s="2519"/>
      <c r="R2768" s="2519"/>
      <c r="S2768" s="2519"/>
    </row>
    <row r="2769" spans="1:19" s="2358" customFormat="1" outlineLevel="1">
      <c r="A2769" s="2435">
        <f t="shared" si="564"/>
        <v>1</v>
      </c>
      <c r="B2769" s="2514" t="s">
        <v>5796</v>
      </c>
      <c r="C2769" s="2521"/>
      <c r="D2769" s="2405" t="s">
        <v>5786</v>
      </c>
      <c r="E2769" s="2612" t="s">
        <v>5797</v>
      </c>
      <c r="F2769" s="2754" t="s">
        <v>2563</v>
      </c>
      <c r="G2769" s="2703">
        <f>G2763*16</f>
        <v>16</v>
      </c>
      <c r="H2769" s="2517">
        <v>1700</v>
      </c>
      <c r="I2769" s="2517"/>
      <c r="J2769" s="2517">
        <v>3637.3560000000002</v>
      </c>
      <c r="K2769" s="2517">
        <v>1666.2139485</v>
      </c>
      <c r="L2769" s="2517">
        <f t="shared" si="563"/>
        <v>27200</v>
      </c>
      <c r="M2769" s="2517">
        <f t="shared" si="562"/>
        <v>0</v>
      </c>
      <c r="N2769" s="2517">
        <f t="shared" si="562"/>
        <v>58197.696000000004</v>
      </c>
      <c r="O2769" s="2517">
        <f t="shared" si="562"/>
        <v>26659.423176</v>
      </c>
      <c r="P2769" s="2518"/>
      <c r="Q2769" s="2519"/>
      <c r="R2769" s="2519"/>
      <c r="S2769" s="2519"/>
    </row>
    <row r="2770" spans="1:19" s="2358" customFormat="1" outlineLevel="1">
      <c r="A2770" s="2435">
        <f t="shared" si="564"/>
        <v>0</v>
      </c>
      <c r="B2770" s="2514" t="s">
        <v>1513</v>
      </c>
      <c r="C2770" s="2521"/>
      <c r="D2770" s="2405">
        <v>0</v>
      </c>
      <c r="E2770" s="2612" t="s">
        <v>3533</v>
      </c>
      <c r="F2770" s="2754" t="s">
        <v>2538</v>
      </c>
      <c r="G2770" s="2703"/>
      <c r="H2770" s="2517">
        <v>860</v>
      </c>
      <c r="I2770" s="2517"/>
      <c r="J2770" s="2517">
        <v>0</v>
      </c>
      <c r="K2770" s="2517">
        <v>0</v>
      </c>
      <c r="L2770" s="2517">
        <f t="shared" si="563"/>
        <v>0</v>
      </c>
      <c r="M2770" s="2517">
        <f t="shared" si="562"/>
        <v>0</v>
      </c>
      <c r="N2770" s="2517">
        <f t="shared" si="562"/>
        <v>0</v>
      </c>
      <c r="O2770" s="2517">
        <f t="shared" si="562"/>
        <v>0</v>
      </c>
      <c r="P2770" s="2518"/>
      <c r="Q2770" s="2519"/>
      <c r="R2770" s="2519"/>
      <c r="S2770" s="2519"/>
    </row>
    <row r="2771" spans="1:19" s="2358" customFormat="1" outlineLevel="1">
      <c r="A2771" s="2435">
        <f t="shared" si="564"/>
        <v>1</v>
      </c>
      <c r="B2771" s="2514" t="s">
        <v>816</v>
      </c>
      <c r="C2771" s="2521"/>
      <c r="D2771" s="2405">
        <v>0</v>
      </c>
      <c r="E2771" s="2612" t="s">
        <v>3599</v>
      </c>
      <c r="F2771" s="2754" t="s">
        <v>2563</v>
      </c>
      <c r="G2771" s="2703">
        <v>3</v>
      </c>
      <c r="H2771" s="2517">
        <v>17600</v>
      </c>
      <c r="I2771" s="2517"/>
      <c r="J2771" s="2517">
        <v>0</v>
      </c>
      <c r="K2771" s="2517">
        <v>0</v>
      </c>
      <c r="L2771" s="2517">
        <f t="shared" si="563"/>
        <v>52800</v>
      </c>
      <c r="M2771" s="2517">
        <f t="shared" si="562"/>
        <v>0</v>
      </c>
      <c r="N2771" s="2517">
        <f t="shared" si="562"/>
        <v>0</v>
      </c>
      <c r="O2771" s="2517">
        <f t="shared" si="562"/>
        <v>0</v>
      </c>
      <c r="P2771" s="2518"/>
      <c r="Q2771" s="2519"/>
      <c r="R2771" s="2519"/>
      <c r="S2771" s="2519"/>
    </row>
    <row r="2772" spans="1:19" s="2358" customFormat="1" outlineLevel="1">
      <c r="A2772" s="2435">
        <f t="shared" si="564"/>
        <v>1</v>
      </c>
      <c r="B2772" s="2514" t="s">
        <v>2147</v>
      </c>
      <c r="C2772" s="2521"/>
      <c r="D2772" s="2405">
        <v>0</v>
      </c>
      <c r="E2772" s="2612" t="s">
        <v>3553</v>
      </c>
      <c r="F2772" s="2754" t="s">
        <v>1827</v>
      </c>
      <c r="G2772" s="2703">
        <f>G2781*18</f>
        <v>18</v>
      </c>
      <c r="H2772" s="2517">
        <v>16100</v>
      </c>
      <c r="I2772" s="2517"/>
      <c r="J2772" s="2517">
        <v>0</v>
      </c>
      <c r="K2772" s="2517">
        <v>0</v>
      </c>
      <c r="L2772" s="2517">
        <f t="shared" si="563"/>
        <v>289800</v>
      </c>
      <c r="M2772" s="2517">
        <f t="shared" si="562"/>
        <v>0</v>
      </c>
      <c r="N2772" s="2517">
        <f t="shared" si="562"/>
        <v>0</v>
      </c>
      <c r="O2772" s="2517">
        <f t="shared" si="562"/>
        <v>0</v>
      </c>
      <c r="P2772" s="2518"/>
      <c r="Q2772" s="2519"/>
      <c r="R2772" s="2519"/>
      <c r="S2772" s="2519"/>
    </row>
    <row r="2773" spans="1:19" s="2358" customFormat="1" outlineLevel="1">
      <c r="A2773" s="2435">
        <f t="shared" si="564"/>
        <v>1</v>
      </c>
      <c r="B2773" s="2505" t="s">
        <v>204</v>
      </c>
      <c r="C2773" s="2521"/>
      <c r="D2773" s="2405">
        <v>0</v>
      </c>
      <c r="E2773" s="2612" t="s">
        <v>2996</v>
      </c>
      <c r="F2773" s="2754" t="s">
        <v>2445</v>
      </c>
      <c r="G2773" s="2703">
        <f>G2763*4</f>
        <v>4</v>
      </c>
      <c r="H2773" s="2517">
        <v>34000</v>
      </c>
      <c r="I2773" s="2517"/>
      <c r="J2773" s="2517">
        <v>0</v>
      </c>
      <c r="K2773" s="2517">
        <v>0</v>
      </c>
      <c r="L2773" s="2517">
        <f t="shared" si="563"/>
        <v>136000</v>
      </c>
      <c r="M2773" s="2517">
        <f t="shared" si="562"/>
        <v>0</v>
      </c>
      <c r="N2773" s="2517">
        <f t="shared" si="562"/>
        <v>0</v>
      </c>
      <c r="O2773" s="2517">
        <f t="shared" si="562"/>
        <v>0</v>
      </c>
      <c r="P2773" s="2518"/>
      <c r="Q2773" s="2519"/>
      <c r="R2773" s="2519"/>
      <c r="S2773" s="2519"/>
    </row>
    <row r="2774" spans="1:19" s="2358" customFormat="1" outlineLevel="1">
      <c r="A2774" s="2435">
        <f t="shared" si="564"/>
        <v>1</v>
      </c>
      <c r="B2774" s="2514" t="s">
        <v>1619</v>
      </c>
      <c r="C2774" s="2521"/>
      <c r="D2774" s="2405">
        <v>0</v>
      </c>
      <c r="E2774" s="2612" t="s">
        <v>3560</v>
      </c>
      <c r="F2774" s="2754" t="s">
        <v>2563</v>
      </c>
      <c r="G2774" s="2703">
        <f>G2763*6</f>
        <v>6</v>
      </c>
      <c r="H2774" s="2517">
        <v>11400</v>
      </c>
      <c r="I2774" s="2517"/>
      <c r="J2774" s="2517">
        <v>0</v>
      </c>
      <c r="K2774" s="2517">
        <v>0</v>
      </c>
      <c r="L2774" s="2517">
        <f t="shared" si="563"/>
        <v>68400</v>
      </c>
      <c r="M2774" s="2517">
        <f t="shared" si="562"/>
        <v>0</v>
      </c>
      <c r="N2774" s="2517">
        <f t="shared" si="562"/>
        <v>0</v>
      </c>
      <c r="O2774" s="2517">
        <f t="shared" si="562"/>
        <v>0</v>
      </c>
      <c r="P2774" s="2518"/>
      <c r="Q2774" s="2519"/>
      <c r="R2774" s="2519"/>
      <c r="S2774" s="2519"/>
    </row>
    <row r="2775" spans="1:19" s="2358" customFormat="1" outlineLevel="1">
      <c r="A2775" s="2435">
        <f t="shared" si="564"/>
        <v>1</v>
      </c>
      <c r="B2775" s="2514" t="s">
        <v>1050</v>
      </c>
      <c r="C2775" s="2521"/>
      <c r="D2775" s="2405">
        <v>0</v>
      </c>
      <c r="E2775" s="2612" t="s">
        <v>3561</v>
      </c>
      <c r="F2775" s="2754" t="s">
        <v>2563</v>
      </c>
      <c r="G2775" s="2703">
        <f>G2763*5</f>
        <v>5</v>
      </c>
      <c r="H2775" s="2517">
        <v>21000</v>
      </c>
      <c r="I2775" s="2517"/>
      <c r="J2775" s="2517">
        <v>0</v>
      </c>
      <c r="K2775" s="2517">
        <v>0</v>
      </c>
      <c r="L2775" s="2517">
        <f t="shared" si="563"/>
        <v>105000</v>
      </c>
      <c r="M2775" s="2517">
        <f t="shared" si="562"/>
        <v>0</v>
      </c>
      <c r="N2775" s="2517">
        <f t="shared" si="562"/>
        <v>0</v>
      </c>
      <c r="O2775" s="2517">
        <f t="shared" si="562"/>
        <v>0</v>
      </c>
      <c r="P2775" s="2518"/>
      <c r="Q2775" s="2519"/>
      <c r="R2775" s="2519"/>
      <c r="S2775" s="2519"/>
    </row>
    <row r="2776" spans="1:19" s="2358" customFormat="1" outlineLevel="1">
      <c r="A2776" s="2435">
        <f t="shared" si="564"/>
        <v>1</v>
      </c>
      <c r="B2776" s="2514" t="s">
        <v>726</v>
      </c>
      <c r="C2776" s="2521"/>
      <c r="D2776" s="2405">
        <v>0</v>
      </c>
      <c r="E2776" s="2612" t="s">
        <v>3590</v>
      </c>
      <c r="F2776" s="2754" t="s">
        <v>388</v>
      </c>
      <c r="G2776" s="2703">
        <f>G2763</f>
        <v>1</v>
      </c>
      <c r="H2776" s="2517">
        <v>54100</v>
      </c>
      <c r="I2776" s="2517"/>
      <c r="J2776" s="2517">
        <v>0</v>
      </c>
      <c r="K2776" s="2517">
        <v>0</v>
      </c>
      <c r="L2776" s="2517">
        <f t="shared" si="563"/>
        <v>54100</v>
      </c>
      <c r="M2776" s="2517">
        <f t="shared" si="562"/>
        <v>0</v>
      </c>
      <c r="N2776" s="2517">
        <f t="shared" si="562"/>
        <v>0</v>
      </c>
      <c r="O2776" s="2517">
        <f t="shared" si="562"/>
        <v>0</v>
      </c>
      <c r="P2776" s="2518"/>
      <c r="Q2776" s="2519"/>
      <c r="R2776" s="2519"/>
      <c r="S2776" s="2519"/>
    </row>
    <row r="2777" spans="1:19" s="2358" customFormat="1" outlineLevel="1">
      <c r="A2777" s="2435">
        <f t="shared" si="564"/>
        <v>1</v>
      </c>
      <c r="B2777" s="2505" t="s">
        <v>672</v>
      </c>
      <c r="C2777" s="2521"/>
      <c r="D2777" s="2405">
        <v>0</v>
      </c>
      <c r="E2777" s="2612" t="s">
        <v>5863</v>
      </c>
      <c r="F2777" s="2754" t="s">
        <v>3584</v>
      </c>
      <c r="G2777" s="2703">
        <f>G2763</f>
        <v>1</v>
      </c>
      <c r="H2777" s="2517">
        <v>6500</v>
      </c>
      <c r="I2777" s="2517"/>
      <c r="J2777" s="2517">
        <v>0</v>
      </c>
      <c r="K2777" s="2517">
        <v>0</v>
      </c>
      <c r="L2777" s="2517">
        <f t="shared" si="563"/>
        <v>6500</v>
      </c>
      <c r="M2777" s="2517">
        <f t="shared" si="562"/>
        <v>0</v>
      </c>
      <c r="N2777" s="2517">
        <f t="shared" si="562"/>
        <v>0</v>
      </c>
      <c r="O2777" s="2517">
        <f t="shared" si="562"/>
        <v>0</v>
      </c>
      <c r="P2777" s="2518"/>
      <c r="Q2777" s="2519"/>
      <c r="R2777" s="2519"/>
      <c r="S2777" s="2519"/>
    </row>
    <row r="2778" spans="1:19" s="2358" customFormat="1" outlineLevel="1">
      <c r="A2778" s="2435">
        <f t="shared" si="564"/>
        <v>1</v>
      </c>
      <c r="B2778" s="2514" t="s">
        <v>2126</v>
      </c>
      <c r="C2778" s="2521"/>
      <c r="D2778" s="2405">
        <v>0</v>
      </c>
      <c r="E2778" s="2612" t="s">
        <v>3591</v>
      </c>
      <c r="F2778" s="2754" t="s">
        <v>2563</v>
      </c>
      <c r="G2778" s="2703">
        <f>G2763</f>
        <v>1</v>
      </c>
      <c r="H2778" s="2517">
        <v>5000</v>
      </c>
      <c r="I2778" s="2517"/>
      <c r="J2778" s="2517">
        <v>0</v>
      </c>
      <c r="K2778" s="2517">
        <v>0</v>
      </c>
      <c r="L2778" s="2517">
        <f t="shared" si="563"/>
        <v>5000</v>
      </c>
      <c r="M2778" s="2517">
        <f t="shared" si="562"/>
        <v>0</v>
      </c>
      <c r="N2778" s="2517">
        <f t="shared" si="562"/>
        <v>0</v>
      </c>
      <c r="O2778" s="2517">
        <f t="shared" si="562"/>
        <v>0</v>
      </c>
      <c r="P2778" s="2518"/>
      <c r="Q2778" s="2519"/>
      <c r="R2778" s="2519"/>
      <c r="S2778" s="2519"/>
    </row>
    <row r="2779" spans="1:19" s="2358" customFormat="1" outlineLevel="1">
      <c r="A2779" s="2435">
        <f t="shared" si="564"/>
        <v>1</v>
      </c>
      <c r="B2779" s="2505" t="s">
        <v>959</v>
      </c>
      <c r="C2779" s="2521"/>
      <c r="D2779" s="2405">
        <v>0</v>
      </c>
      <c r="E2779" s="2612" t="s">
        <v>3595</v>
      </c>
      <c r="F2779" s="2754" t="s">
        <v>2563</v>
      </c>
      <c r="G2779" s="2703">
        <f>G2763</f>
        <v>1</v>
      </c>
      <c r="H2779" s="2517">
        <v>5200</v>
      </c>
      <c r="I2779" s="2517"/>
      <c r="J2779" s="2517">
        <v>0</v>
      </c>
      <c r="K2779" s="2517">
        <v>0</v>
      </c>
      <c r="L2779" s="2517">
        <f t="shared" si="563"/>
        <v>5200</v>
      </c>
      <c r="M2779" s="2517">
        <f t="shared" si="562"/>
        <v>0</v>
      </c>
      <c r="N2779" s="2517">
        <f t="shared" si="562"/>
        <v>0</v>
      </c>
      <c r="O2779" s="2517">
        <f t="shared" si="562"/>
        <v>0</v>
      </c>
      <c r="P2779" s="2518"/>
      <c r="Q2779" s="2519"/>
      <c r="R2779" s="2519"/>
      <c r="S2779" s="2519"/>
    </row>
    <row r="2780" spans="1:19" s="2358" customFormat="1" outlineLevel="1">
      <c r="A2780" s="2435">
        <f t="shared" si="564"/>
        <v>1</v>
      </c>
      <c r="B2780" s="2505" t="s">
        <v>319</v>
      </c>
      <c r="C2780" s="2521"/>
      <c r="D2780" s="2405">
        <v>0</v>
      </c>
      <c r="E2780" s="2612" t="s">
        <v>5330</v>
      </c>
      <c r="F2780" s="2754" t="s">
        <v>2445</v>
      </c>
      <c r="G2780" s="2703">
        <v>1</v>
      </c>
      <c r="H2780" s="2517">
        <v>168000</v>
      </c>
      <c r="I2780" s="2517"/>
      <c r="J2780" s="2517">
        <v>0</v>
      </c>
      <c r="K2780" s="2517">
        <v>0</v>
      </c>
      <c r="L2780" s="2517">
        <f t="shared" si="563"/>
        <v>168000</v>
      </c>
      <c r="M2780" s="2517">
        <f t="shared" si="562"/>
        <v>0</v>
      </c>
      <c r="N2780" s="2517">
        <f t="shared" si="562"/>
        <v>0</v>
      </c>
      <c r="O2780" s="2517">
        <f t="shared" si="562"/>
        <v>0</v>
      </c>
      <c r="P2780" s="2518"/>
      <c r="Q2780" s="2519"/>
      <c r="R2780" s="2519"/>
      <c r="S2780" s="2519"/>
    </row>
    <row r="2781" spans="1:19" s="2358" customFormat="1" outlineLevel="1">
      <c r="A2781" s="2435">
        <f t="shared" si="564"/>
        <v>1</v>
      </c>
      <c r="B2781" s="2505" t="s">
        <v>1919</v>
      </c>
      <c r="C2781" s="2521"/>
      <c r="D2781" s="2405" t="s">
        <v>5717</v>
      </c>
      <c r="E2781" s="2612" t="s">
        <v>3412</v>
      </c>
      <c r="F2781" s="2754" t="s">
        <v>2563</v>
      </c>
      <c r="G2781" s="2703">
        <f>G2763</f>
        <v>1</v>
      </c>
      <c r="H2781" s="2517">
        <v>845331</v>
      </c>
      <c r="I2781" s="2517"/>
      <c r="J2781" s="2517">
        <v>599038</v>
      </c>
      <c r="K2781" s="2517">
        <v>97369</v>
      </c>
      <c r="L2781" s="2517">
        <f t="shared" si="563"/>
        <v>845331</v>
      </c>
      <c r="M2781" s="2517">
        <f t="shared" si="562"/>
        <v>0</v>
      </c>
      <c r="N2781" s="2517">
        <f t="shared" si="562"/>
        <v>599038</v>
      </c>
      <c r="O2781" s="2517">
        <f t="shared" si="562"/>
        <v>97369</v>
      </c>
      <c r="P2781" s="2518"/>
      <c r="Q2781" s="2519"/>
      <c r="R2781" s="2519"/>
      <c r="S2781" s="2519"/>
    </row>
    <row r="2782" spans="1:19" s="2358" customFormat="1" outlineLevel="1">
      <c r="A2782" s="2435">
        <f t="shared" si="564"/>
        <v>1</v>
      </c>
      <c r="B2782" s="2505" t="s">
        <v>6</v>
      </c>
      <c r="C2782" s="2521"/>
      <c r="D2782" s="2405">
        <v>0</v>
      </c>
      <c r="E2782" s="2612" t="s">
        <v>3585</v>
      </c>
      <c r="F2782" s="2754" t="s">
        <v>5868</v>
      </c>
      <c r="G2782" s="2703">
        <f>G2763*2</f>
        <v>2</v>
      </c>
      <c r="H2782" s="2517">
        <v>45000</v>
      </c>
      <c r="I2782" s="2517"/>
      <c r="J2782" s="2517">
        <v>0</v>
      </c>
      <c r="K2782" s="2517">
        <v>0</v>
      </c>
      <c r="L2782" s="2517">
        <f t="shared" si="563"/>
        <v>90000</v>
      </c>
      <c r="M2782" s="2517">
        <f t="shared" si="562"/>
        <v>0</v>
      </c>
      <c r="N2782" s="2517">
        <f t="shared" si="562"/>
        <v>0</v>
      </c>
      <c r="O2782" s="2517">
        <f t="shared" si="562"/>
        <v>0</v>
      </c>
      <c r="P2782" s="2518"/>
      <c r="Q2782" s="2519"/>
      <c r="R2782" s="2519"/>
      <c r="S2782" s="2519"/>
    </row>
    <row r="2783" spans="1:19" s="2358" customFormat="1" outlineLevel="1">
      <c r="A2783" s="2435">
        <f t="shared" si="564"/>
        <v>1</v>
      </c>
      <c r="B2783" s="2505" t="s">
        <v>2145</v>
      </c>
      <c r="C2783" s="2521"/>
      <c r="D2783" s="2405">
        <v>0</v>
      </c>
      <c r="E2783" s="2612" t="s">
        <v>2793</v>
      </c>
      <c r="F2783" s="2754" t="s">
        <v>2538</v>
      </c>
      <c r="G2783" s="2703">
        <f>G2763*4</f>
        <v>4</v>
      </c>
      <c r="H2783" s="2517">
        <v>5000</v>
      </c>
      <c r="I2783" s="2517"/>
      <c r="J2783" s="2517">
        <v>0</v>
      </c>
      <c r="K2783" s="2517">
        <v>0</v>
      </c>
      <c r="L2783" s="2517">
        <f t="shared" si="563"/>
        <v>20000</v>
      </c>
      <c r="M2783" s="2517">
        <f t="shared" si="562"/>
        <v>0</v>
      </c>
      <c r="N2783" s="2517">
        <f t="shared" si="562"/>
        <v>0</v>
      </c>
      <c r="O2783" s="2517">
        <f t="shared" si="562"/>
        <v>0</v>
      </c>
      <c r="P2783" s="2518"/>
      <c r="Q2783" s="2519"/>
      <c r="R2783" s="2519"/>
      <c r="S2783" s="2519"/>
    </row>
    <row r="2784" spans="1:19" s="2358" customFormat="1" outlineLevel="1">
      <c r="A2784" s="2435">
        <f t="shared" si="564"/>
        <v>0</v>
      </c>
      <c r="B2784" s="2505" t="s">
        <v>1035</v>
      </c>
      <c r="C2784" s="2521"/>
      <c r="D2784" s="2405">
        <v>0</v>
      </c>
      <c r="E2784" s="2612" t="s">
        <v>6463</v>
      </c>
      <c r="F2784" s="2754" t="s">
        <v>2254</v>
      </c>
      <c r="G2784" s="2703"/>
      <c r="H2784" s="2517">
        <v>31625</v>
      </c>
      <c r="I2784" s="2517"/>
      <c r="J2784" s="2517">
        <v>0</v>
      </c>
      <c r="K2784" s="2517">
        <v>0</v>
      </c>
      <c r="L2784" s="2517">
        <f t="shared" si="563"/>
        <v>0</v>
      </c>
      <c r="M2784" s="2517">
        <f t="shared" si="562"/>
        <v>0</v>
      </c>
      <c r="N2784" s="2517">
        <f t="shared" si="562"/>
        <v>0</v>
      </c>
      <c r="O2784" s="2517">
        <f t="shared" si="562"/>
        <v>0</v>
      </c>
      <c r="P2784" s="2518"/>
      <c r="Q2784" s="2519"/>
      <c r="R2784" s="2519"/>
      <c r="S2784" s="2519"/>
    </row>
    <row r="2785" spans="1:19" s="2358" customFormat="1" outlineLevel="1">
      <c r="A2785" s="2435">
        <f t="shared" si="564"/>
        <v>0</v>
      </c>
      <c r="B2785" s="2505" t="s">
        <v>6329</v>
      </c>
      <c r="C2785" s="2521"/>
      <c r="D2785" s="2405">
        <v>0</v>
      </c>
      <c r="E2785" s="2612" t="s">
        <v>2632</v>
      </c>
      <c r="F2785" s="2754" t="s">
        <v>2445</v>
      </c>
      <c r="G2785" s="2703"/>
      <c r="H2785" s="2517">
        <v>1500</v>
      </c>
      <c r="I2785" s="2517"/>
      <c r="J2785" s="2517">
        <v>0</v>
      </c>
      <c r="K2785" s="2517">
        <v>0</v>
      </c>
      <c r="L2785" s="2517">
        <f t="shared" si="563"/>
        <v>0</v>
      </c>
      <c r="M2785" s="2517">
        <f t="shared" si="562"/>
        <v>0</v>
      </c>
      <c r="N2785" s="2517">
        <f t="shared" si="562"/>
        <v>0</v>
      </c>
      <c r="O2785" s="2517">
        <f t="shared" si="562"/>
        <v>0</v>
      </c>
      <c r="P2785" s="2518"/>
      <c r="Q2785" s="2519"/>
      <c r="R2785" s="2519"/>
      <c r="S2785" s="2519"/>
    </row>
    <row r="2786" spans="1:19" s="2358" customFormat="1" ht="20.25" customHeight="1" outlineLevel="1">
      <c r="A2786" s="2435">
        <f>A2589</f>
        <v>1</v>
      </c>
      <c r="B2786" s="2610"/>
      <c r="C2786" s="2676"/>
      <c r="D2786" s="2677"/>
      <c r="E2786" s="2652"/>
      <c r="F2786" s="2890"/>
      <c r="G2786" s="2891"/>
      <c r="H2786" s="2890"/>
      <c r="I2786" s="2890"/>
      <c r="J2786" s="2900" t="s">
        <v>6205</v>
      </c>
      <c r="K2786" s="2900"/>
      <c r="L2786" s="2678">
        <f>SUM(L2610:L2785)</f>
        <v>147243136.12330002</v>
      </c>
      <c r="M2786" s="2678">
        <f>SUM(M2610:M2785)</f>
        <v>0</v>
      </c>
      <c r="N2786" s="2678">
        <f>SUM(N2610:N2785)</f>
        <v>18100897.39555056</v>
      </c>
      <c r="O2786" s="2678">
        <f>SUM(O2610:O2785)</f>
        <v>391068.40003600001</v>
      </c>
      <c r="P2786" s="2649"/>
      <c r="Q2786" s="2519"/>
      <c r="R2786" s="2519"/>
      <c r="S2786" s="2519"/>
    </row>
    <row r="2787" spans="1:19" s="2358" customFormat="1" outlineLevel="1">
      <c r="A2787" s="2435"/>
      <c r="B2787" s="2610"/>
      <c r="C2787" s="2780"/>
      <c r="D2787" s="2780"/>
      <c r="E2787" s="2781"/>
      <c r="F2787" s="2898"/>
      <c r="G2787" s="2897"/>
      <c r="H2787" s="2898"/>
      <c r="I2787" s="2898"/>
      <c r="J2787" s="2781"/>
      <c r="K2787" s="2781"/>
      <c r="L2787" s="2782"/>
      <c r="M2787" s="2782"/>
      <c r="N2787" s="2782"/>
      <c r="O2787" s="2782"/>
      <c r="P2787" s="2639"/>
      <c r="Q2787" s="2519"/>
      <c r="R2787" s="2519"/>
      <c r="S2787" s="2519"/>
    </row>
    <row r="2788" spans="1:19" s="2358" customFormat="1" ht="13.8" customHeight="1">
      <c r="A2788" s="2639">
        <f>IF(G2793&gt;0,1,)</f>
        <v>0</v>
      </c>
      <c r="B2788" s="2505"/>
      <c r="C2788" s="2519"/>
      <c r="D2788" s="2519"/>
      <c r="E2788" s="2689"/>
      <c r="F2788" s="2519"/>
      <c r="G2788" s="2690"/>
      <c r="H2788" s="2519"/>
      <c r="I2788" s="2519"/>
      <c r="J2788" s="2519"/>
      <c r="K2788" s="2519"/>
      <c r="L2788" s="2519"/>
      <c r="M2788" s="2519"/>
      <c r="N2788" s="2519"/>
      <c r="O2788" s="2519"/>
      <c r="P2788" s="2519"/>
      <c r="Q2788" s="2519"/>
      <c r="R2788" s="2519"/>
      <c r="S2788" s="2519"/>
    </row>
    <row r="2789" spans="1:19" s="2358" customFormat="1" outlineLevel="1">
      <c r="A2789" s="2435">
        <f>A2788</f>
        <v>0</v>
      </c>
      <c r="B2789" s="2640"/>
      <c r="C2789" s="2877" t="str">
        <f>"BẢNG TỔNG HỢP VẬT LIỆU, NHÂN CÔNG, MÁY THI CÔNG: "&amp;K17&amp;" TRẠM 3P_1000KVA"</f>
        <v>BẢNG TỔNG HỢP VẬT LIỆU, NHÂN CÔNG, MÁY THI CÔNG: 0 TRẠM 3P_1000KVA</v>
      </c>
      <c r="D2789" s="2892"/>
      <c r="E2789" s="2892"/>
      <c r="F2789" s="2892"/>
      <c r="G2789" s="2892"/>
      <c r="H2789" s="2893"/>
      <c r="I2789" s="2781"/>
      <c r="J2789" s="2893"/>
      <c r="K2789" s="2893"/>
      <c r="L2789" s="2893"/>
      <c r="M2789" s="2781"/>
      <c r="N2789" s="2893"/>
      <c r="O2789" s="2893"/>
      <c r="P2789" s="2895"/>
      <c r="Q2789" s="2519"/>
      <c r="R2789" s="2519"/>
      <c r="S2789" s="2519"/>
    </row>
    <row r="2790" spans="1:19" s="2358" customFormat="1" outlineLevel="1">
      <c r="A2790" s="2435">
        <f>A2788</f>
        <v>0</v>
      </c>
      <c r="B2790" s="2514" t="s">
        <v>6186</v>
      </c>
      <c r="C2790" s="2901" t="s">
        <v>1712</v>
      </c>
      <c r="D2790" s="2902" t="s">
        <v>2605</v>
      </c>
      <c r="E2790" s="2904" t="s">
        <v>2606</v>
      </c>
      <c r="F2790" s="2901" t="s">
        <v>2601</v>
      </c>
      <c r="G2790" s="2362" t="s">
        <v>6187</v>
      </c>
      <c r="H2790" s="2365" t="s">
        <v>6188</v>
      </c>
      <c r="I2790" s="2872"/>
      <c r="J2790" s="2872"/>
      <c r="K2790" s="2873"/>
      <c r="L2790" s="2365" t="s">
        <v>6189</v>
      </c>
      <c r="M2790" s="2872"/>
      <c r="N2790" s="2872"/>
      <c r="O2790" s="2873"/>
      <c r="P2790" s="2901" t="s">
        <v>2607</v>
      </c>
      <c r="Q2790" s="2519"/>
      <c r="R2790" s="2519"/>
      <c r="S2790" s="2519"/>
    </row>
    <row r="2791" spans="1:19" s="2358" customFormat="1" outlineLevel="1">
      <c r="A2791" s="2435">
        <f>A2790</f>
        <v>0</v>
      </c>
      <c r="B2791" s="2514"/>
      <c r="C2791" s="2901"/>
      <c r="D2791" s="2903"/>
      <c r="E2791" s="2905"/>
      <c r="F2791" s="2901"/>
      <c r="G2791" s="2364" t="s">
        <v>2292</v>
      </c>
      <c r="H2791" s="2365" t="s">
        <v>6190</v>
      </c>
      <c r="I2791" s="2365" t="s">
        <v>6191</v>
      </c>
      <c r="J2791" s="2365" t="s">
        <v>6192</v>
      </c>
      <c r="K2791" s="2365" t="s">
        <v>6193</v>
      </c>
      <c r="L2791" s="2365" t="s">
        <v>6190</v>
      </c>
      <c r="M2791" s="2365" t="s">
        <v>6191</v>
      </c>
      <c r="N2791" s="2365" t="s">
        <v>6192</v>
      </c>
      <c r="O2791" s="2365" t="s">
        <v>6193</v>
      </c>
      <c r="P2791" s="2901"/>
      <c r="Q2791" s="2519"/>
      <c r="R2791" s="2519"/>
      <c r="S2791" s="2519"/>
    </row>
    <row r="2792" spans="1:19" s="2358" customFormat="1" outlineLevel="1">
      <c r="A2792" s="2435">
        <f>A2791</f>
        <v>0</v>
      </c>
      <c r="B2792" s="2514"/>
      <c r="C2792" s="2366"/>
      <c r="D2792" s="2367"/>
      <c r="E2792" s="2368" t="s">
        <v>3690</v>
      </c>
      <c r="F2792" s="2369"/>
      <c r="G2792" s="2369"/>
      <c r="H2792" s="2369"/>
      <c r="I2792" s="2369"/>
      <c r="J2792" s="2369"/>
      <c r="K2792" s="2369"/>
      <c r="L2792" s="2369"/>
      <c r="M2792" s="2369"/>
      <c r="N2792" s="2369"/>
      <c r="O2792" s="2367"/>
      <c r="P2792" s="2370"/>
      <c r="Q2792" s="2519"/>
      <c r="R2792" s="2519"/>
      <c r="S2792" s="2519"/>
    </row>
    <row r="2793" spans="1:19" s="2358" customFormat="1" outlineLevel="1">
      <c r="A2793" s="2435" t="str">
        <f t="shared" ref="A2793:A2800" si="565">IF(G2793&lt;&gt;0,1,"")</f>
        <v/>
      </c>
      <c r="B2793" s="2505" t="str">
        <f>IF($F$8=15,"tr1000","tr10001")</f>
        <v>tr10001</v>
      </c>
      <c r="C2793" s="2521">
        <f>IF(G2793&gt;0,1,0)</f>
        <v>0</v>
      </c>
      <c r="D2793" s="2405" t="s">
        <v>5656</v>
      </c>
      <c r="E2793" s="2447" t="s">
        <v>3353</v>
      </c>
      <c r="F2793" s="2405" t="s">
        <v>3318</v>
      </c>
      <c r="G2793" s="2521">
        <f>$K$17</f>
        <v>0</v>
      </c>
      <c r="H2793" s="2612">
        <v>322950000</v>
      </c>
      <c r="I2793" s="2612"/>
      <c r="J2793" s="2612">
        <v>1928901</v>
      </c>
      <c r="K2793" s="2612">
        <v>426761</v>
      </c>
      <c r="L2793" s="2613">
        <f t="shared" ref="L2793:L2800" si="566">H2793*G2793</f>
        <v>0</v>
      </c>
      <c r="M2793" s="2613">
        <f t="shared" ref="M2793:M2800" si="567">I2793*G2793</f>
        <v>0</v>
      </c>
      <c r="N2793" s="2613">
        <f t="shared" ref="N2793:N2800" si="568">J2793*G2793</f>
        <v>0</v>
      </c>
      <c r="O2793" s="2614">
        <f t="shared" ref="O2793:O2800" si="569">K2793*G2793</f>
        <v>0</v>
      </c>
      <c r="P2793" s="2641"/>
      <c r="Q2793" s="2519"/>
      <c r="R2793" s="2519"/>
      <c r="S2793" s="2519"/>
    </row>
    <row r="2794" spans="1:19" s="2358" customFormat="1" outlineLevel="1">
      <c r="A2794" s="2435" t="str">
        <f t="shared" si="565"/>
        <v/>
      </c>
      <c r="B2794" s="2371" t="s">
        <v>1655</v>
      </c>
      <c r="C2794" s="2521">
        <f>IF(G2794&gt;0,C2793+1,C2793)</f>
        <v>0</v>
      </c>
      <c r="D2794" s="2405" t="s">
        <v>5660</v>
      </c>
      <c r="E2794" s="2447" t="s">
        <v>95</v>
      </c>
      <c r="F2794" s="2405" t="s">
        <v>2563</v>
      </c>
      <c r="G2794" s="2522">
        <f>G2793*3</f>
        <v>0</v>
      </c>
      <c r="H2794" s="2517">
        <v>2244280</v>
      </c>
      <c r="I2794" s="2517">
        <v>0</v>
      </c>
      <c r="J2794" s="2517">
        <v>222639.99999999997</v>
      </c>
      <c r="K2794" s="2517">
        <v>0</v>
      </c>
      <c r="L2794" s="2517">
        <f t="shared" si="566"/>
        <v>0</v>
      </c>
      <c r="M2794" s="2517">
        <f t="shared" si="567"/>
        <v>0</v>
      </c>
      <c r="N2794" s="2517">
        <f t="shared" si="568"/>
        <v>0</v>
      </c>
      <c r="O2794" s="2517">
        <f t="shared" si="569"/>
        <v>0</v>
      </c>
      <c r="P2794" s="2642"/>
      <c r="Q2794" s="2519"/>
      <c r="R2794" s="2519"/>
      <c r="S2794" s="2519"/>
    </row>
    <row r="2795" spans="1:19" s="2358" customFormat="1" outlineLevel="1">
      <c r="A2795" s="2435" t="str">
        <f t="shared" si="565"/>
        <v/>
      </c>
      <c r="B2795" s="2505" t="str">
        <f>IF($F$8=15,"chi65k","chi40k")</f>
        <v>chi40k</v>
      </c>
      <c r="C2795" s="2521">
        <f t="shared" ref="C2795:C2800" si="570">IF(G2795&gt;0,C2794+1,C2794)</f>
        <v>0</v>
      </c>
      <c r="D2795" s="2405">
        <v>0</v>
      </c>
      <c r="E2795" s="2447" t="s">
        <v>3449</v>
      </c>
      <c r="F2795" s="2405" t="s">
        <v>2608</v>
      </c>
      <c r="G2795" s="2522">
        <f>G2794</f>
        <v>0</v>
      </c>
      <c r="H2795" s="2517">
        <v>132000</v>
      </c>
      <c r="I2795" s="2517">
        <v>0</v>
      </c>
      <c r="J2795" s="2517">
        <v>0</v>
      </c>
      <c r="K2795" s="2517">
        <v>0</v>
      </c>
      <c r="L2795" s="2517">
        <f t="shared" si="566"/>
        <v>0</v>
      </c>
      <c r="M2795" s="2517">
        <f t="shared" si="567"/>
        <v>0</v>
      </c>
      <c r="N2795" s="2517">
        <f t="shared" si="568"/>
        <v>0</v>
      </c>
      <c r="O2795" s="2517">
        <f t="shared" si="569"/>
        <v>0</v>
      </c>
      <c r="P2795" s="2642"/>
      <c r="Q2795" s="2519"/>
      <c r="R2795" s="2519"/>
      <c r="S2795" s="2519"/>
    </row>
    <row r="2796" spans="1:19" s="2358" customFormat="1" outlineLevel="1">
      <c r="A2796" s="2435" t="str">
        <f t="shared" si="565"/>
        <v/>
      </c>
      <c r="B2796" s="2514" t="str">
        <f>"LA"&amp;$F$6</f>
        <v>LA18</v>
      </c>
      <c r="C2796" s="2521">
        <f t="shared" si="570"/>
        <v>0</v>
      </c>
      <c r="D2796" s="2405" t="s">
        <v>5664</v>
      </c>
      <c r="E2796" s="2447" t="s">
        <v>1193</v>
      </c>
      <c r="F2796" s="2405" t="s">
        <v>2563</v>
      </c>
      <c r="G2796" s="2522">
        <f>G2794</f>
        <v>0</v>
      </c>
      <c r="H2796" s="2517">
        <v>1106000</v>
      </c>
      <c r="I2796" s="2517">
        <v>0</v>
      </c>
      <c r="J2796" s="2517">
        <v>83490</v>
      </c>
      <c r="K2796" s="2517">
        <v>0</v>
      </c>
      <c r="L2796" s="2517">
        <f t="shared" si="566"/>
        <v>0</v>
      </c>
      <c r="M2796" s="2517">
        <f t="shared" si="567"/>
        <v>0</v>
      </c>
      <c r="N2796" s="2517">
        <f t="shared" si="568"/>
        <v>0</v>
      </c>
      <c r="O2796" s="2517">
        <f t="shared" si="569"/>
        <v>0</v>
      </c>
      <c r="P2796" s="2642"/>
      <c r="Q2796" s="2519"/>
      <c r="R2796" s="2519"/>
      <c r="S2796" s="2519"/>
    </row>
    <row r="2797" spans="1:19" s="2358" customFormat="1" outlineLevel="1">
      <c r="A2797" s="2435" t="str">
        <f t="shared" si="565"/>
        <v/>
      </c>
      <c r="B2797" s="2610" t="s">
        <v>6356</v>
      </c>
      <c r="C2797" s="2521">
        <f t="shared" si="570"/>
        <v>0</v>
      </c>
      <c r="D2797" s="2405">
        <v>0</v>
      </c>
      <c r="E2797" s="2447" t="s">
        <v>3430</v>
      </c>
      <c r="F2797" s="2405" t="s">
        <v>2563</v>
      </c>
      <c r="G2797" s="2522">
        <f>G2793</f>
        <v>0</v>
      </c>
      <c r="H2797" s="2517">
        <v>73430000</v>
      </c>
      <c r="I2797" s="2517">
        <v>0</v>
      </c>
      <c r="J2797" s="2517">
        <v>0</v>
      </c>
      <c r="K2797" s="2517">
        <v>0</v>
      </c>
      <c r="L2797" s="2517">
        <f t="shared" si="566"/>
        <v>0</v>
      </c>
      <c r="M2797" s="2517">
        <f t="shared" si="567"/>
        <v>0</v>
      </c>
      <c r="N2797" s="2517">
        <f t="shared" si="568"/>
        <v>0</v>
      </c>
      <c r="O2797" s="2517">
        <f t="shared" si="569"/>
        <v>0</v>
      </c>
      <c r="P2797" s="2642"/>
      <c r="Q2797" s="2519"/>
      <c r="R2797" s="2519"/>
      <c r="S2797" s="2519"/>
    </row>
    <row r="2798" spans="1:19" s="2358" customFormat="1" outlineLevel="1">
      <c r="A2798" s="2435" t="str">
        <f t="shared" si="565"/>
        <v/>
      </c>
      <c r="B2798" s="2610" t="s">
        <v>1467</v>
      </c>
      <c r="C2798" s="2521">
        <f t="shared" si="570"/>
        <v>0</v>
      </c>
      <c r="D2798" s="2405" t="s">
        <v>1025</v>
      </c>
      <c r="E2798" s="2447" t="s">
        <v>3391</v>
      </c>
      <c r="F2798" s="2405" t="s">
        <v>3388</v>
      </c>
      <c r="G2798" s="2522">
        <f>G2793</f>
        <v>0</v>
      </c>
      <c r="H2798" s="2517">
        <v>47030352</v>
      </c>
      <c r="I2798" s="2517">
        <v>0</v>
      </c>
      <c r="J2798" s="2517">
        <v>98101</v>
      </c>
      <c r="K2798" s="2517">
        <v>59254</v>
      </c>
      <c r="L2798" s="2517">
        <f t="shared" si="566"/>
        <v>0</v>
      </c>
      <c r="M2798" s="2517">
        <f t="shared" si="567"/>
        <v>0</v>
      </c>
      <c r="N2798" s="2517">
        <f t="shared" si="568"/>
        <v>0</v>
      </c>
      <c r="O2798" s="2517">
        <f t="shared" si="569"/>
        <v>0</v>
      </c>
      <c r="P2798" s="2642"/>
      <c r="Q2798" s="2519"/>
      <c r="R2798" s="2519"/>
      <c r="S2798" s="2519"/>
    </row>
    <row r="2799" spans="1:19" s="2358" customFormat="1" outlineLevel="1">
      <c r="A2799" s="2435" t="str">
        <f t="shared" si="565"/>
        <v/>
      </c>
      <c r="B2799" s="2505" t="s">
        <v>5671</v>
      </c>
      <c r="C2799" s="2521">
        <f t="shared" si="570"/>
        <v>0</v>
      </c>
      <c r="D2799" s="2405">
        <v>0</v>
      </c>
      <c r="E2799" s="2447" t="s">
        <v>5672</v>
      </c>
      <c r="F2799" s="2405" t="s">
        <v>2563</v>
      </c>
      <c r="G2799" s="2643">
        <f>G2793*3</f>
        <v>0</v>
      </c>
      <c r="H2799" s="2517">
        <v>0</v>
      </c>
      <c r="I2799" s="2517">
        <v>0</v>
      </c>
      <c r="J2799" s="2517">
        <v>0</v>
      </c>
      <c r="K2799" s="2517">
        <v>0</v>
      </c>
      <c r="L2799" s="2517">
        <f t="shared" si="566"/>
        <v>0</v>
      </c>
      <c r="M2799" s="2517">
        <f t="shared" si="567"/>
        <v>0</v>
      </c>
      <c r="N2799" s="2517">
        <f t="shared" si="568"/>
        <v>0</v>
      </c>
      <c r="O2799" s="2517">
        <f t="shared" si="569"/>
        <v>0</v>
      </c>
      <c r="P2799" s="2644" t="s">
        <v>2609</v>
      </c>
      <c r="Q2799" s="2519"/>
      <c r="R2799" s="2519"/>
      <c r="S2799" s="2519"/>
    </row>
    <row r="2800" spans="1:19" s="2358" customFormat="1" outlineLevel="1">
      <c r="A2800" s="2435" t="str">
        <f t="shared" si="565"/>
        <v/>
      </c>
      <c r="B2800" s="2505" t="s">
        <v>288</v>
      </c>
      <c r="C2800" s="2521">
        <f t="shared" si="570"/>
        <v>0</v>
      </c>
      <c r="D2800" s="2405">
        <v>0</v>
      </c>
      <c r="E2800" s="2447" t="s">
        <v>3459</v>
      </c>
      <c r="F2800" s="2405" t="s">
        <v>2563</v>
      </c>
      <c r="G2800" s="2643">
        <f>G2793</f>
        <v>0</v>
      </c>
      <c r="H2800" s="2517">
        <v>0</v>
      </c>
      <c r="I2800" s="2517">
        <v>0</v>
      </c>
      <c r="J2800" s="2517">
        <v>0</v>
      </c>
      <c r="K2800" s="2517">
        <v>0</v>
      </c>
      <c r="L2800" s="2517">
        <f t="shared" si="566"/>
        <v>0</v>
      </c>
      <c r="M2800" s="2613">
        <f t="shared" si="567"/>
        <v>0</v>
      </c>
      <c r="N2800" s="2613">
        <f t="shared" si="568"/>
        <v>0</v>
      </c>
      <c r="O2800" s="2614">
        <f t="shared" si="569"/>
        <v>0</v>
      </c>
      <c r="P2800" s="2645" t="s">
        <v>2609</v>
      </c>
      <c r="Q2800" s="2519"/>
      <c r="R2800" s="2519"/>
      <c r="S2800" s="2519"/>
    </row>
    <row r="2801" spans="1:19" s="2358" customFormat="1" outlineLevel="1">
      <c r="A2801" s="2435">
        <f>A2788</f>
        <v>0</v>
      </c>
      <c r="B2801" s="2514"/>
      <c r="C2801" s="2646"/>
      <c r="D2801" s="2647"/>
      <c r="E2801" s="2648"/>
      <c r="F2801" s="2646"/>
      <c r="G2801" s="2889"/>
      <c r="H2801" s="2646"/>
      <c r="I2801" s="2646"/>
      <c r="J2801" s="2370" t="s">
        <v>6195</v>
      </c>
      <c r="K2801" s="2646"/>
      <c r="L2801" s="2648">
        <f>SUM(L2793:L2800)</f>
        <v>0</v>
      </c>
      <c r="M2801" s="2648">
        <f>SUM(M2793:M2800)</f>
        <v>0</v>
      </c>
      <c r="N2801" s="2648">
        <f>SUM(N2793:N2800)</f>
        <v>0</v>
      </c>
      <c r="O2801" s="2648">
        <f>SUM(O2793:O2800)</f>
        <v>0</v>
      </c>
      <c r="P2801" s="2649"/>
      <c r="Q2801" s="2519"/>
      <c r="R2801" s="2519"/>
      <c r="S2801" s="2519"/>
    </row>
    <row r="2802" spans="1:19" s="2358" customFormat="1" outlineLevel="1">
      <c r="A2802" s="2435">
        <f>A2788</f>
        <v>0</v>
      </c>
      <c r="B2802" s="2514"/>
      <c r="C2802" s="2650"/>
      <c r="D2802" s="2651"/>
      <c r="E2802" s="2652" t="s">
        <v>3691</v>
      </c>
      <c r="F2802" s="2652"/>
      <c r="G2802" s="2653"/>
      <c r="H2802" s="2652"/>
      <c r="I2802" s="2652"/>
      <c r="J2802" s="2652"/>
      <c r="K2802" s="2652"/>
      <c r="L2802" s="2652"/>
      <c r="M2802" s="2652"/>
      <c r="N2802" s="2652"/>
      <c r="O2802" s="2651"/>
      <c r="P2802" s="2649"/>
      <c r="Q2802" s="2519"/>
      <c r="R2802" s="2519"/>
      <c r="S2802" s="2519"/>
    </row>
    <row r="2803" spans="1:19" s="2358" customFormat="1" outlineLevel="1">
      <c r="A2803" s="2435" t="str">
        <f t="shared" ref="A2803:A2820" si="571">IF(G2803&lt;&gt;0,1,"")</f>
        <v/>
      </c>
      <c r="B2803" s="2654"/>
      <c r="C2803" s="2655">
        <f>IF(G2803&gt;0,1,0)</f>
        <v>0</v>
      </c>
      <c r="D2803" s="2405"/>
      <c r="E2803" s="2656" t="s">
        <v>6196</v>
      </c>
      <c r="F2803" s="2657" t="s">
        <v>2283</v>
      </c>
      <c r="G2803" s="2658">
        <f>G2793*2*0</f>
        <v>0</v>
      </c>
      <c r="H2803" s="2657"/>
      <c r="I2803" s="2657"/>
      <c r="J2803" s="2657"/>
      <c r="K2803" s="2657"/>
      <c r="L2803" s="2658"/>
      <c r="M2803" s="2658"/>
      <c r="N2803" s="2658"/>
      <c r="O2803" s="2659"/>
      <c r="P2803" s="2642"/>
      <c r="Q2803" s="2519"/>
      <c r="R2803" s="2519"/>
      <c r="S2803" s="2519"/>
    </row>
    <row r="2804" spans="1:19" s="2358" customFormat="1" outlineLevel="1">
      <c r="A2804" s="2435" t="str">
        <f t="shared" si="571"/>
        <v/>
      </c>
      <c r="B2804" s="2610" t="s">
        <v>115</v>
      </c>
      <c r="C2804" s="2660"/>
      <c r="D2804" s="2405"/>
      <c r="E2804" s="2661" t="s">
        <v>3009</v>
      </c>
      <c r="F2804" s="2405" t="s">
        <v>2839</v>
      </c>
      <c r="G2804" s="2405">
        <f>G2803</f>
        <v>0</v>
      </c>
      <c r="H2804" s="2612">
        <v>4400000</v>
      </c>
      <c r="I2804" s="2511"/>
      <c r="J2804" s="2612"/>
      <c r="K2804" s="2511"/>
      <c r="L2804" s="2613">
        <f>H2804*G2804</f>
        <v>0</v>
      </c>
      <c r="M2804" s="2613">
        <f>I2804*G2804</f>
        <v>0</v>
      </c>
      <c r="N2804" s="2613">
        <f>J2804*G2804</f>
        <v>0</v>
      </c>
      <c r="O2804" s="2613">
        <f>K2804*G2804</f>
        <v>0</v>
      </c>
      <c r="P2804" s="2642"/>
      <c r="Q2804" s="2519"/>
      <c r="R2804" s="2519"/>
      <c r="S2804" s="2519"/>
    </row>
    <row r="2805" spans="1:19" s="2358" customFormat="1" outlineLevel="1">
      <c r="A2805" s="2435" t="str">
        <f t="shared" si="571"/>
        <v/>
      </c>
      <c r="B2805" s="2610" t="s">
        <v>1818</v>
      </c>
      <c r="C2805" s="2660"/>
      <c r="D2805" s="2405"/>
      <c r="E2805" s="2661" t="s">
        <v>2838</v>
      </c>
      <c r="F2805" s="2405" t="s">
        <v>2839</v>
      </c>
      <c r="G2805" s="2405">
        <f>G2804</f>
        <v>0</v>
      </c>
      <c r="H2805" s="2612">
        <v>17400</v>
      </c>
      <c r="I2805" s="2612"/>
      <c r="J2805" s="2511"/>
      <c r="K2805" s="2511"/>
      <c r="L2805" s="2613">
        <f>H2805*G2805</f>
        <v>0</v>
      </c>
      <c r="M2805" s="2613">
        <f>I2805*G2805</f>
        <v>0</v>
      </c>
      <c r="N2805" s="2613">
        <f>J2805*G2805</f>
        <v>0</v>
      </c>
      <c r="O2805" s="2613">
        <f>K2805*G2805</f>
        <v>0</v>
      </c>
      <c r="P2805" s="2642"/>
      <c r="Q2805" s="2519"/>
      <c r="R2805" s="2519"/>
      <c r="S2805" s="2519"/>
    </row>
    <row r="2806" spans="1:19" s="2358" customFormat="1" outlineLevel="1">
      <c r="A2806" s="2435" t="str">
        <f t="shared" si="571"/>
        <v/>
      </c>
      <c r="B2806" s="2610" t="s">
        <v>643</v>
      </c>
      <c r="C2806" s="2660"/>
      <c r="D2806" s="2405" t="s">
        <v>2133</v>
      </c>
      <c r="E2806" s="2661" t="s">
        <v>3185</v>
      </c>
      <c r="F2806" s="2405" t="s">
        <v>2839</v>
      </c>
      <c r="G2806" s="2405">
        <f>G2804</f>
        <v>0</v>
      </c>
      <c r="H2806" s="2661"/>
      <c r="I2806" s="2612"/>
      <c r="J2806" s="2612">
        <v>112286</v>
      </c>
      <c r="K2806" s="2612">
        <v>105970</v>
      </c>
      <c r="L2806" s="2613">
        <f>H2806*G2806</f>
        <v>0</v>
      </c>
      <c r="M2806" s="2613">
        <f>I2806*G2806</f>
        <v>0</v>
      </c>
      <c r="N2806" s="2613">
        <f>J2806*G2806</f>
        <v>0</v>
      </c>
      <c r="O2806" s="2613">
        <f>K2806*G2806</f>
        <v>0</v>
      </c>
      <c r="P2806" s="2642"/>
      <c r="Q2806" s="2519"/>
      <c r="R2806" s="2519"/>
      <c r="S2806" s="2519"/>
    </row>
    <row r="2807" spans="1:19" s="2358" customFormat="1" outlineLevel="1">
      <c r="A2807" s="2435" t="str">
        <f t="shared" si="571"/>
        <v/>
      </c>
      <c r="B2807" s="2654"/>
      <c r="C2807" s="2655">
        <f>IF(G2807&gt;0,1,0)</f>
        <v>0</v>
      </c>
      <c r="D2807" s="2405"/>
      <c r="E2807" s="2656" t="s">
        <v>6291</v>
      </c>
      <c r="F2807" s="2657" t="s">
        <v>2283</v>
      </c>
      <c r="G2807" s="2658">
        <f>G2793*2*0</f>
        <v>0</v>
      </c>
      <c r="H2807" s="2657"/>
      <c r="I2807" s="2657"/>
      <c r="J2807" s="2657"/>
      <c r="K2807" s="2657"/>
      <c r="L2807" s="2658"/>
      <c r="M2807" s="2658"/>
      <c r="N2807" s="2658"/>
      <c r="O2807" s="2659"/>
      <c r="P2807" s="2518"/>
      <c r="Q2807" s="2519"/>
      <c r="R2807" s="2519"/>
      <c r="S2807" s="2519"/>
    </row>
    <row r="2808" spans="1:19" s="2358" customFormat="1" outlineLevel="1">
      <c r="A2808" s="2435" t="str">
        <f t="shared" si="571"/>
        <v/>
      </c>
      <c r="B2808" s="2610" t="s">
        <v>114</v>
      </c>
      <c r="C2808" s="2660"/>
      <c r="D2808" s="2405"/>
      <c r="E2808" s="2661" t="s">
        <v>3008</v>
      </c>
      <c r="F2808" s="2405" t="s">
        <v>2839</v>
      </c>
      <c r="G2808" s="2405">
        <f>G2807</f>
        <v>0</v>
      </c>
      <c r="H2808" s="2612">
        <v>4200000</v>
      </c>
      <c r="I2808" s="2511"/>
      <c r="J2808" s="2612"/>
      <c r="K2808" s="2511"/>
      <c r="L2808" s="2613">
        <f>H2808*G2808</f>
        <v>0</v>
      </c>
      <c r="M2808" s="2613">
        <f>I2808*G2808</f>
        <v>0</v>
      </c>
      <c r="N2808" s="2613">
        <f>J2808*G2808</f>
        <v>0</v>
      </c>
      <c r="O2808" s="2613">
        <f>K2808*G2808</f>
        <v>0</v>
      </c>
      <c r="P2808" s="2518"/>
      <c r="Q2808" s="2519"/>
      <c r="R2808" s="2519"/>
      <c r="S2808" s="2519"/>
    </row>
    <row r="2809" spans="1:19" s="2358" customFormat="1" outlineLevel="1">
      <c r="A2809" s="2435" t="str">
        <f t="shared" si="571"/>
        <v/>
      </c>
      <c r="B2809" s="2610" t="s">
        <v>1818</v>
      </c>
      <c r="C2809" s="2660"/>
      <c r="D2809" s="2405"/>
      <c r="E2809" s="2661" t="s">
        <v>2838</v>
      </c>
      <c r="F2809" s="2405" t="s">
        <v>2839</v>
      </c>
      <c r="G2809" s="2405">
        <f>G2808</f>
        <v>0</v>
      </c>
      <c r="H2809" s="2612">
        <v>17400</v>
      </c>
      <c r="I2809" s="2612"/>
      <c r="J2809" s="2511"/>
      <c r="K2809" s="2511"/>
      <c r="L2809" s="2613">
        <f>H2809*G2809</f>
        <v>0</v>
      </c>
      <c r="M2809" s="2613">
        <f>I2809*G2809</f>
        <v>0</v>
      </c>
      <c r="N2809" s="2613">
        <f>J2809*G2809</f>
        <v>0</v>
      </c>
      <c r="O2809" s="2613">
        <f>K2809*G2809</f>
        <v>0</v>
      </c>
      <c r="P2809" s="2518"/>
      <c r="Q2809" s="2519"/>
      <c r="R2809" s="2519"/>
      <c r="S2809" s="2519"/>
    </row>
    <row r="2810" spans="1:19" s="2358" customFormat="1" outlineLevel="1">
      <c r="A2810" s="2435" t="str">
        <f t="shared" si="571"/>
        <v/>
      </c>
      <c r="B2810" s="2610" t="s">
        <v>644</v>
      </c>
      <c r="C2810" s="2660"/>
      <c r="D2810" s="2405" t="s">
        <v>2133</v>
      </c>
      <c r="E2810" s="2661" t="s">
        <v>3186</v>
      </c>
      <c r="F2810" s="2405" t="s">
        <v>2839</v>
      </c>
      <c r="G2810" s="2405">
        <f>G2808</f>
        <v>0</v>
      </c>
      <c r="H2810" s="2661"/>
      <c r="I2810" s="2612"/>
      <c r="J2810" s="2612">
        <v>112286</v>
      </c>
      <c r="K2810" s="2612">
        <v>105970</v>
      </c>
      <c r="L2810" s="2613">
        <f>H2810*G2810</f>
        <v>0</v>
      </c>
      <c r="M2810" s="2613">
        <f>I2810*G2810</f>
        <v>0</v>
      </c>
      <c r="N2810" s="2613">
        <f>J2810*G2810</f>
        <v>0</v>
      </c>
      <c r="O2810" s="2613">
        <f>K2810*G2810</f>
        <v>0</v>
      </c>
      <c r="P2810" s="2518"/>
      <c r="Q2810" s="2519"/>
      <c r="R2810" s="2519"/>
      <c r="S2810" s="2519"/>
    </row>
    <row r="2811" spans="1:19" s="2358" customFormat="1" outlineLevel="1">
      <c r="A2811" s="2435" t="str">
        <f t="shared" si="571"/>
        <v/>
      </c>
      <c r="B2811" s="2610"/>
      <c r="C2811" s="2511">
        <f>IF(G2811&gt;0,C2803+1,C2803)</f>
        <v>0</v>
      </c>
      <c r="D2811" s="2405"/>
      <c r="E2811" s="2656" t="s">
        <v>2358</v>
      </c>
      <c r="F2811" s="2657" t="s">
        <v>2333</v>
      </c>
      <c r="G2811" s="2662">
        <f>G2803</f>
        <v>0</v>
      </c>
      <c r="H2811" s="2511"/>
      <c r="I2811" s="2511"/>
      <c r="J2811" s="2511"/>
      <c r="K2811" s="2511"/>
      <c r="L2811" s="2511"/>
      <c r="M2811" s="2511"/>
      <c r="N2811" s="2511"/>
      <c r="O2811" s="2663"/>
      <c r="P2811" s="2642"/>
      <c r="Q2811" s="2519"/>
      <c r="R2811" s="2519"/>
      <c r="S2811" s="2519"/>
    </row>
    <row r="2812" spans="1:19" s="2358" customFormat="1" outlineLevel="1">
      <c r="A2812" s="2435" t="str">
        <f t="shared" si="571"/>
        <v/>
      </c>
      <c r="B2812" s="2610" t="s">
        <v>636</v>
      </c>
      <c r="C2812" s="2660"/>
      <c r="D2812" s="2405" t="s">
        <v>5099</v>
      </c>
      <c r="E2812" s="2661" t="s">
        <v>2615</v>
      </c>
      <c r="F2812" s="2405" t="s">
        <v>2563</v>
      </c>
      <c r="G2812" s="2405">
        <f>G2811</f>
        <v>0</v>
      </c>
      <c r="H2812" s="2612">
        <v>354545</v>
      </c>
      <c r="I2812" s="2612"/>
      <c r="J2812" s="2612">
        <v>37220.25</v>
      </c>
      <c r="K2812" s="2511"/>
      <c r="L2812" s="2613">
        <f>H2812*G2812</f>
        <v>0</v>
      </c>
      <c r="M2812" s="2613">
        <f>I2812*G2812</f>
        <v>0</v>
      </c>
      <c r="N2812" s="2613">
        <f>J2812*G2812</f>
        <v>0</v>
      </c>
      <c r="O2812" s="2613">
        <f>K2812*G2812</f>
        <v>0</v>
      </c>
      <c r="P2812" s="2642"/>
      <c r="Q2812" s="2519"/>
      <c r="R2812" s="2519"/>
      <c r="S2812" s="2519"/>
    </row>
    <row r="2813" spans="1:19" s="2358" customFormat="1" outlineLevel="1">
      <c r="A2813" s="2435" t="str">
        <f t="shared" si="571"/>
        <v/>
      </c>
      <c r="B2813" s="2610" t="s">
        <v>566</v>
      </c>
      <c r="C2813" s="2660"/>
      <c r="D2813" s="2405"/>
      <c r="E2813" s="2661" t="s">
        <v>5124</v>
      </c>
      <c r="F2813" s="2405" t="s">
        <v>2445</v>
      </c>
      <c r="G2813" s="2405">
        <f>G2812</f>
        <v>0</v>
      </c>
      <c r="H2813" s="2612">
        <v>92200</v>
      </c>
      <c r="I2813" s="2661"/>
      <c r="J2813" s="2661"/>
      <c r="K2813" s="2511"/>
      <c r="L2813" s="2613">
        <f>H2813*G2813</f>
        <v>0</v>
      </c>
      <c r="M2813" s="2613">
        <f>I2813*G2813</f>
        <v>0</v>
      </c>
      <c r="N2813" s="2613">
        <f>J2813*G2813</f>
        <v>0</v>
      </c>
      <c r="O2813" s="2613">
        <f>K2813*G2813</f>
        <v>0</v>
      </c>
      <c r="P2813" s="2642"/>
      <c r="Q2813" s="2519"/>
      <c r="R2813" s="2519"/>
      <c r="S2813" s="2519"/>
    </row>
    <row r="2814" spans="1:19" s="2358" customFormat="1" outlineLevel="1">
      <c r="A2814" s="2435" t="str">
        <f t="shared" si="571"/>
        <v/>
      </c>
      <c r="B2814" s="2610" t="s">
        <v>639</v>
      </c>
      <c r="C2814" s="2660"/>
      <c r="D2814" s="2405" t="s">
        <v>1751</v>
      </c>
      <c r="E2814" s="2661" t="s">
        <v>5386</v>
      </c>
      <c r="F2814" s="2405" t="s">
        <v>856</v>
      </c>
      <c r="G2814" s="2814">
        <f>1.45*G2812</f>
        <v>0</v>
      </c>
      <c r="H2814" s="2612">
        <v>0</v>
      </c>
      <c r="I2814" s="2612"/>
      <c r="J2814" s="2612">
        <v>296500.89999999997</v>
      </c>
      <c r="K2814" s="2511"/>
      <c r="L2814" s="2613">
        <f>H2814*G2814</f>
        <v>0</v>
      </c>
      <c r="M2814" s="2613">
        <f>I2814*G2814</f>
        <v>0</v>
      </c>
      <c r="N2814" s="2613">
        <f>J2814*G2814</f>
        <v>0</v>
      </c>
      <c r="O2814" s="2613">
        <f>K2814*G2814</f>
        <v>0</v>
      </c>
      <c r="P2814" s="2642"/>
      <c r="Q2814" s="2519"/>
      <c r="R2814" s="2519"/>
      <c r="S2814" s="2519"/>
    </row>
    <row r="2815" spans="1:19" s="2358" customFormat="1" outlineLevel="1">
      <c r="A2815" s="2435" t="str">
        <f t="shared" si="571"/>
        <v/>
      </c>
      <c r="B2815" s="2610" t="s">
        <v>21</v>
      </c>
      <c r="C2815" s="2660"/>
      <c r="D2815" s="2405" t="s">
        <v>5387</v>
      </c>
      <c r="E2815" s="2661" t="s">
        <v>5388</v>
      </c>
      <c r="F2815" s="2405" t="s">
        <v>856</v>
      </c>
      <c r="G2815" s="2405">
        <f>1.37*G2811</f>
        <v>0</v>
      </c>
      <c r="H2815" s="2612">
        <v>0</v>
      </c>
      <c r="I2815" s="2612"/>
      <c r="J2815" s="2612">
        <v>117703.6</v>
      </c>
      <c r="K2815" s="2511"/>
      <c r="L2815" s="2613">
        <f>H2815*G2815</f>
        <v>0</v>
      </c>
      <c r="M2815" s="2613">
        <f>I2815*G2815</f>
        <v>0</v>
      </c>
      <c r="N2815" s="2613">
        <f>J2815*G2815</f>
        <v>0</v>
      </c>
      <c r="O2815" s="2613">
        <f>K2815*G2815</f>
        <v>0</v>
      </c>
      <c r="P2815" s="2642"/>
      <c r="Q2815" s="2519"/>
      <c r="R2815" s="2519"/>
      <c r="S2815" s="2519"/>
    </row>
    <row r="2816" spans="1:19" s="2358" customFormat="1" outlineLevel="1">
      <c r="A2816" s="2435" t="str">
        <f t="shared" si="571"/>
        <v/>
      </c>
      <c r="B2816" s="2610"/>
      <c r="C2816" s="2511">
        <f>IF(G2816&gt;0,C2808+1,C2808)</f>
        <v>0</v>
      </c>
      <c r="D2816" s="2405"/>
      <c r="E2816" s="2656" t="s">
        <v>3731</v>
      </c>
      <c r="F2816" s="2657" t="s">
        <v>2333</v>
      </c>
      <c r="G2816" s="2662">
        <f>G2807*0</f>
        <v>0</v>
      </c>
      <c r="H2816" s="2511"/>
      <c r="I2816" s="2511"/>
      <c r="J2816" s="2511"/>
      <c r="K2816" s="2511"/>
      <c r="L2816" s="2511"/>
      <c r="M2816" s="2511"/>
      <c r="N2816" s="2511"/>
      <c r="O2816" s="2663"/>
      <c r="P2816" s="2518"/>
      <c r="Q2816" s="2519"/>
      <c r="R2816" s="2519"/>
      <c r="S2816" s="2519"/>
    </row>
    <row r="2817" spans="1:19" s="2358" customFormat="1" outlineLevel="1">
      <c r="A2817" s="2435" t="str">
        <f t="shared" si="571"/>
        <v/>
      </c>
      <c r="B2817" s="2610" t="s">
        <v>636</v>
      </c>
      <c r="C2817" s="2660"/>
      <c r="D2817" s="2405" t="s">
        <v>5099</v>
      </c>
      <c r="E2817" s="2661" t="s">
        <v>2615</v>
      </c>
      <c r="F2817" s="2405" t="s">
        <v>2563</v>
      </c>
      <c r="G2817" s="2405">
        <f>G2816</f>
        <v>0</v>
      </c>
      <c r="H2817" s="2612">
        <v>354545</v>
      </c>
      <c r="I2817" s="2612"/>
      <c r="J2817" s="2612">
        <v>37220.25</v>
      </c>
      <c r="K2817" s="2511"/>
      <c r="L2817" s="2613">
        <f>H2817*G2817</f>
        <v>0</v>
      </c>
      <c r="M2817" s="2613">
        <f t="shared" ref="M2817:M2826" si="572">I2817*G2817</f>
        <v>0</v>
      </c>
      <c r="N2817" s="2613">
        <f t="shared" ref="N2817:N2826" si="573">J2817*G2817</f>
        <v>0</v>
      </c>
      <c r="O2817" s="2613">
        <f t="shared" ref="O2817:O2826" si="574">K2817*G2817</f>
        <v>0</v>
      </c>
      <c r="P2817" s="2518"/>
      <c r="Q2817" s="2519"/>
      <c r="R2817" s="2519"/>
      <c r="S2817" s="2519"/>
    </row>
    <row r="2818" spans="1:19" s="2358" customFormat="1" outlineLevel="1">
      <c r="A2818" s="2435" t="str">
        <f t="shared" si="571"/>
        <v/>
      </c>
      <c r="B2818" s="2610" t="s">
        <v>566</v>
      </c>
      <c r="C2818" s="2660"/>
      <c r="D2818" s="2405"/>
      <c r="E2818" s="2661" t="s">
        <v>5124</v>
      </c>
      <c r="F2818" s="2405" t="s">
        <v>2445</v>
      </c>
      <c r="G2818" s="2405">
        <f>G2817</f>
        <v>0</v>
      </c>
      <c r="H2818" s="2612">
        <v>92200</v>
      </c>
      <c r="I2818" s="2661"/>
      <c r="J2818" s="2661"/>
      <c r="K2818" s="2511"/>
      <c r="L2818" s="2613">
        <f>H2818*G2818</f>
        <v>0</v>
      </c>
      <c r="M2818" s="2613">
        <f t="shared" si="572"/>
        <v>0</v>
      </c>
      <c r="N2818" s="2613">
        <f t="shared" si="573"/>
        <v>0</v>
      </c>
      <c r="O2818" s="2613">
        <f t="shared" si="574"/>
        <v>0</v>
      </c>
      <c r="P2818" s="2518"/>
      <c r="Q2818" s="2519"/>
      <c r="R2818" s="2519"/>
      <c r="S2818" s="2519"/>
    </row>
    <row r="2819" spans="1:19" s="2358" customFormat="1" outlineLevel="1">
      <c r="A2819" s="2435" t="str">
        <f t="shared" si="571"/>
        <v/>
      </c>
      <c r="B2819" s="2610" t="s">
        <v>639</v>
      </c>
      <c r="C2819" s="2660"/>
      <c r="D2819" s="2405" t="s">
        <v>1751</v>
      </c>
      <c r="E2819" s="2661" t="s">
        <v>5386</v>
      </c>
      <c r="F2819" s="2405" t="s">
        <v>856</v>
      </c>
      <c r="G2819" s="2405">
        <f>1.48*G2817</f>
        <v>0</v>
      </c>
      <c r="H2819" s="2612">
        <v>0</v>
      </c>
      <c r="I2819" s="2612"/>
      <c r="J2819" s="2612">
        <v>296500.89999999997</v>
      </c>
      <c r="K2819" s="2511"/>
      <c r="L2819" s="2613">
        <f>H2819*G2819</f>
        <v>0</v>
      </c>
      <c r="M2819" s="2613">
        <f t="shared" si="572"/>
        <v>0</v>
      </c>
      <c r="N2819" s="2613">
        <f t="shared" si="573"/>
        <v>0</v>
      </c>
      <c r="O2819" s="2613">
        <f t="shared" si="574"/>
        <v>0</v>
      </c>
      <c r="P2819" s="2518"/>
      <c r="Q2819" s="2519"/>
      <c r="R2819" s="2519"/>
      <c r="S2819" s="2519"/>
    </row>
    <row r="2820" spans="1:19" s="2358" customFormat="1" outlineLevel="1">
      <c r="A2820" s="2435" t="str">
        <f t="shared" si="571"/>
        <v/>
      </c>
      <c r="B2820" s="2610" t="s">
        <v>21</v>
      </c>
      <c r="C2820" s="2660"/>
      <c r="D2820" s="2405" t="s">
        <v>5387</v>
      </c>
      <c r="E2820" s="2661" t="s">
        <v>5388</v>
      </c>
      <c r="F2820" s="2405" t="s">
        <v>856</v>
      </c>
      <c r="G2820" s="2405">
        <f>1.39*G2816</f>
        <v>0</v>
      </c>
      <c r="H2820" s="2612">
        <v>0</v>
      </c>
      <c r="I2820" s="2612"/>
      <c r="J2820" s="2612">
        <v>117703.6</v>
      </c>
      <c r="K2820" s="2511"/>
      <c r="L2820" s="2613">
        <f>H2820*G2820</f>
        <v>0</v>
      </c>
      <c r="M2820" s="2613">
        <f t="shared" si="572"/>
        <v>0</v>
      </c>
      <c r="N2820" s="2613">
        <f t="shared" si="573"/>
        <v>0</v>
      </c>
      <c r="O2820" s="2613">
        <f t="shared" si="574"/>
        <v>0</v>
      </c>
      <c r="P2820" s="2518"/>
      <c r="Q2820" s="2519"/>
      <c r="R2820" s="2519"/>
      <c r="S2820" s="2519"/>
    </row>
    <row r="2821" spans="1:19" s="2358" customFormat="1" outlineLevel="1">
      <c r="A2821" s="2435" t="str">
        <f>IF(G2821&lt;&gt;0,1,"")</f>
        <v/>
      </c>
      <c r="B2821" s="2514"/>
      <c r="C2821" s="2511">
        <f>IF(G2821&gt;0,C2816+1,C2816)</f>
        <v>0</v>
      </c>
      <c r="D2821" s="2512"/>
      <c r="E2821" s="2670" t="s">
        <v>6345</v>
      </c>
      <c r="F2821" s="2511" t="s">
        <v>2391</v>
      </c>
      <c r="G2821" s="2516"/>
      <c r="H2821" s="2669"/>
      <c r="I2821" s="2669"/>
      <c r="J2821" s="2669"/>
      <c r="K2821" s="2669"/>
      <c r="L2821" s="2613">
        <f t="shared" ref="L2821:L2860" si="575">H2821*G2821</f>
        <v>0</v>
      </c>
      <c r="M2821" s="2613">
        <f t="shared" si="572"/>
        <v>0</v>
      </c>
      <c r="N2821" s="2613">
        <f t="shared" si="573"/>
        <v>0</v>
      </c>
      <c r="O2821" s="2613">
        <f t="shared" si="574"/>
        <v>0</v>
      </c>
      <c r="P2821" s="2518"/>
      <c r="Q2821" s="2519"/>
      <c r="R2821" s="2519"/>
      <c r="S2821" s="2519"/>
    </row>
    <row r="2822" spans="1:19" s="2358" customFormat="1" ht="14.4" outlineLevel="1">
      <c r="A2822" s="2435" t="str">
        <f>A2821</f>
        <v/>
      </c>
      <c r="B2822" s="2514"/>
      <c r="C2822" s="2511"/>
      <c r="D2822" s="2405"/>
      <c r="E2822" s="2520" t="s">
        <v>6207</v>
      </c>
      <c r="F2822" s="2521"/>
      <c r="G2822" s="2522"/>
      <c r="H2822" s="2669"/>
      <c r="I2822" s="2669"/>
      <c r="J2822" s="2669"/>
      <c r="K2822" s="2669"/>
      <c r="L2822" s="2613">
        <f t="shared" si="575"/>
        <v>0</v>
      </c>
      <c r="M2822" s="2613">
        <f t="shared" si="572"/>
        <v>0</v>
      </c>
      <c r="N2822" s="2613">
        <f t="shared" si="573"/>
        <v>0</v>
      </c>
      <c r="O2822" s="2613">
        <f t="shared" si="574"/>
        <v>0</v>
      </c>
      <c r="P2822" s="2518"/>
      <c r="Q2822" s="2519"/>
      <c r="R2822" s="2519"/>
      <c r="S2822" s="2519"/>
    </row>
    <row r="2823" spans="1:19" s="2358" customFormat="1" outlineLevel="1">
      <c r="A2823" s="2435" t="str">
        <f t="shared" ref="A2823:A2828" si="576">IF(G2823&lt;&gt;0,1,"")</f>
        <v/>
      </c>
      <c r="B2823" s="2505" t="s">
        <v>2026</v>
      </c>
      <c r="C2823" s="2511"/>
      <c r="D2823" s="2405">
        <v>0</v>
      </c>
      <c r="E2823" s="2447" t="s">
        <v>2443</v>
      </c>
      <c r="F2823" s="2405" t="s">
        <v>2254</v>
      </c>
      <c r="G2823" s="2523">
        <f>G2821*9.02*(2.6+3*0.07)*2</f>
        <v>0</v>
      </c>
      <c r="H2823" s="2612">
        <v>31625</v>
      </c>
      <c r="I2823" s="2612"/>
      <c r="J2823" s="2612">
        <v>0</v>
      </c>
      <c r="K2823" s="2612">
        <v>0</v>
      </c>
      <c r="L2823" s="2613">
        <f t="shared" si="575"/>
        <v>0</v>
      </c>
      <c r="M2823" s="2613">
        <f t="shared" si="572"/>
        <v>0</v>
      </c>
      <c r="N2823" s="2613">
        <f t="shared" si="573"/>
        <v>0</v>
      </c>
      <c r="O2823" s="2613">
        <f t="shared" si="574"/>
        <v>0</v>
      </c>
      <c r="P2823" s="2518"/>
      <c r="Q2823" s="2519"/>
      <c r="R2823" s="2519"/>
      <c r="S2823" s="2519"/>
    </row>
    <row r="2824" spans="1:19" s="2358" customFormat="1" outlineLevel="1">
      <c r="A2824" s="2435" t="str">
        <f t="shared" si="576"/>
        <v/>
      </c>
      <c r="B2824" s="2514" t="s">
        <v>1788</v>
      </c>
      <c r="C2824" s="2511"/>
      <c r="D2824" s="2405">
        <v>0</v>
      </c>
      <c r="E2824" s="2447" t="s">
        <v>2668</v>
      </c>
      <c r="F2824" s="2405" t="s">
        <v>2445</v>
      </c>
      <c r="G2824" s="2522">
        <f>G2821*2</f>
        <v>0</v>
      </c>
      <c r="H2824" s="2612">
        <v>31800</v>
      </c>
      <c r="I2824" s="2612">
        <v>0</v>
      </c>
      <c r="J2824" s="2612">
        <v>0</v>
      </c>
      <c r="K2824" s="2612">
        <v>0</v>
      </c>
      <c r="L2824" s="2613">
        <f t="shared" si="575"/>
        <v>0</v>
      </c>
      <c r="M2824" s="2613">
        <f t="shared" si="572"/>
        <v>0</v>
      </c>
      <c r="N2824" s="2613">
        <f t="shared" si="573"/>
        <v>0</v>
      </c>
      <c r="O2824" s="2613">
        <f t="shared" si="574"/>
        <v>0</v>
      </c>
      <c r="P2824" s="2518"/>
      <c r="Q2824" s="2519"/>
      <c r="R2824" s="2519"/>
      <c r="S2824" s="2519"/>
    </row>
    <row r="2825" spans="1:19" s="2358" customFormat="1" outlineLevel="1">
      <c r="A2825" s="2435" t="str">
        <f t="shared" si="576"/>
        <v/>
      </c>
      <c r="B2825" s="2514" t="s">
        <v>1613</v>
      </c>
      <c r="C2825" s="2511"/>
      <c r="D2825" s="2405">
        <v>0</v>
      </c>
      <c r="E2825" s="2447" t="s">
        <v>2657</v>
      </c>
      <c r="F2825" s="2405" t="s">
        <v>2445</v>
      </c>
      <c r="G2825" s="2522">
        <f>G2821*2</f>
        <v>0</v>
      </c>
      <c r="H2825" s="2612">
        <v>25400</v>
      </c>
      <c r="I2825" s="2612">
        <v>0</v>
      </c>
      <c r="J2825" s="2612">
        <v>0</v>
      </c>
      <c r="K2825" s="2612">
        <v>0</v>
      </c>
      <c r="L2825" s="2613">
        <f t="shared" si="575"/>
        <v>0</v>
      </c>
      <c r="M2825" s="2613">
        <f t="shared" si="572"/>
        <v>0</v>
      </c>
      <c r="N2825" s="2613">
        <f t="shared" si="573"/>
        <v>0</v>
      </c>
      <c r="O2825" s="2613">
        <f t="shared" si="574"/>
        <v>0</v>
      </c>
      <c r="P2825" s="2518"/>
      <c r="Q2825" s="2519"/>
      <c r="R2825" s="2519"/>
      <c r="S2825" s="2519"/>
    </row>
    <row r="2826" spans="1:19" s="2358" customFormat="1" outlineLevel="1">
      <c r="A2826" s="2435" t="str">
        <f t="shared" si="576"/>
        <v/>
      </c>
      <c r="B2826" s="2514" t="s">
        <v>1612</v>
      </c>
      <c r="C2826" s="2511"/>
      <c r="D2826" s="2405">
        <v>0</v>
      </c>
      <c r="E2826" s="2447" t="s">
        <v>2653</v>
      </c>
      <c r="F2826" s="2405" t="s">
        <v>2445</v>
      </c>
      <c r="G2826" s="2522">
        <f>G2825</f>
        <v>0</v>
      </c>
      <c r="H2826" s="2612">
        <v>13400</v>
      </c>
      <c r="I2826" s="2612">
        <v>0</v>
      </c>
      <c r="J2826" s="2612">
        <v>0</v>
      </c>
      <c r="K2826" s="2612">
        <v>0</v>
      </c>
      <c r="L2826" s="2613">
        <f t="shared" si="575"/>
        <v>0</v>
      </c>
      <c r="M2826" s="2613">
        <f t="shared" si="572"/>
        <v>0</v>
      </c>
      <c r="N2826" s="2613">
        <f t="shared" si="573"/>
        <v>0</v>
      </c>
      <c r="O2826" s="2613">
        <f t="shared" si="574"/>
        <v>0</v>
      </c>
      <c r="P2826" s="2518"/>
      <c r="Q2826" s="2519"/>
      <c r="R2826" s="2519"/>
      <c r="S2826" s="2519"/>
    </row>
    <row r="2827" spans="1:19" s="2358" customFormat="1" outlineLevel="1">
      <c r="A2827" s="2435" t="str">
        <f t="shared" si="576"/>
        <v/>
      </c>
      <c r="B2827" s="2514" t="s">
        <v>2248</v>
      </c>
      <c r="C2827" s="2511"/>
      <c r="D2827" s="2405" t="s">
        <v>5506</v>
      </c>
      <c r="E2827" s="2447" t="s">
        <v>2446</v>
      </c>
      <c r="F2827" s="2405" t="s">
        <v>2445</v>
      </c>
      <c r="G2827" s="2522">
        <f>G2821</f>
        <v>0</v>
      </c>
      <c r="H2827" s="2612">
        <v>0</v>
      </c>
      <c r="I2827" s="2612"/>
      <c r="J2827" s="2612" t="s">
        <v>6419</v>
      </c>
      <c r="K2827" s="2612"/>
      <c r="L2827" s="2613">
        <f t="shared" si="575"/>
        <v>0</v>
      </c>
      <c r="M2827" s="2613"/>
      <c r="N2827" s="2612">
        <v>0</v>
      </c>
      <c r="O2827" s="2613"/>
      <c r="P2827" s="2518"/>
      <c r="Q2827" s="2519"/>
      <c r="R2827" s="2519"/>
      <c r="S2827" s="2519"/>
    </row>
    <row r="2828" spans="1:19" s="2358" customFormat="1" outlineLevel="1">
      <c r="A2828" s="2435" t="str">
        <f t="shared" si="576"/>
        <v/>
      </c>
      <c r="B2828" s="2514"/>
      <c r="C2828" s="2511">
        <f>IF(G2828&gt;0,C2821+1,C2821)</f>
        <v>0</v>
      </c>
      <c r="D2828" s="2512"/>
      <c r="E2828" s="2670" t="s">
        <v>6357</v>
      </c>
      <c r="F2828" s="2511" t="s">
        <v>2391</v>
      </c>
      <c r="G2828" s="2516">
        <f>+G2793*3</f>
        <v>0</v>
      </c>
      <c r="H2828" s="2669"/>
      <c r="I2828" s="2669"/>
      <c r="J2828" s="2669"/>
      <c r="K2828" s="2669"/>
      <c r="L2828" s="2613">
        <f t="shared" si="575"/>
        <v>0</v>
      </c>
      <c r="M2828" s="2613">
        <f t="shared" ref="M2828:M2833" si="577">I2828*G2828</f>
        <v>0</v>
      </c>
      <c r="N2828" s="2613">
        <f t="shared" ref="N2828:N2833" si="578">J2828*G2828</f>
        <v>0</v>
      </c>
      <c r="O2828" s="2613">
        <f t="shared" ref="O2828:O2833" si="579">K2828*G2828</f>
        <v>0</v>
      </c>
      <c r="P2828" s="2518"/>
      <c r="Q2828" s="2519"/>
      <c r="R2828" s="2519"/>
      <c r="S2828" s="2519"/>
    </row>
    <row r="2829" spans="1:19" s="2358" customFormat="1" ht="14.4" outlineLevel="1">
      <c r="A2829" s="2435" t="str">
        <f>A2828</f>
        <v/>
      </c>
      <c r="B2829" s="2514"/>
      <c r="C2829" s="2511"/>
      <c r="D2829" s="2512"/>
      <c r="E2829" s="2520" t="s">
        <v>6207</v>
      </c>
      <c r="F2829" s="2521"/>
      <c r="G2829" s="2522"/>
      <c r="H2829" s="2669"/>
      <c r="I2829" s="2669"/>
      <c r="J2829" s="2669"/>
      <c r="K2829" s="2669"/>
      <c r="L2829" s="2613">
        <f t="shared" si="575"/>
        <v>0</v>
      </c>
      <c r="M2829" s="2613">
        <f t="shared" si="577"/>
        <v>0</v>
      </c>
      <c r="N2829" s="2613">
        <f t="shared" si="578"/>
        <v>0</v>
      </c>
      <c r="O2829" s="2613">
        <f t="shared" si="579"/>
        <v>0</v>
      </c>
      <c r="P2829" s="2518"/>
      <c r="Q2829" s="2519"/>
      <c r="R2829" s="2519"/>
      <c r="S2829" s="2519"/>
    </row>
    <row r="2830" spans="1:19" s="2358" customFormat="1" outlineLevel="1">
      <c r="A2830" s="2435" t="str">
        <f t="shared" ref="A2830:A2835" si="580">IF(G2830&lt;&gt;0,1,"")</f>
        <v/>
      </c>
      <c r="B2830" s="2505" t="s">
        <v>2026</v>
      </c>
      <c r="C2830" s="2511"/>
      <c r="D2830" s="2405">
        <v>0</v>
      </c>
      <c r="E2830" s="2447" t="s">
        <v>2443</v>
      </c>
      <c r="F2830" s="2405" t="s">
        <v>2254</v>
      </c>
      <c r="G2830" s="2523">
        <f>G2828*9.02*(2.2+4*0.07)</f>
        <v>0</v>
      </c>
      <c r="H2830" s="2517">
        <v>31625</v>
      </c>
      <c r="I2830" s="2612"/>
      <c r="J2830" s="2612">
        <v>0</v>
      </c>
      <c r="K2830" s="2612">
        <v>0</v>
      </c>
      <c r="L2830" s="2613">
        <f t="shared" si="575"/>
        <v>0</v>
      </c>
      <c r="M2830" s="2613">
        <f t="shared" si="577"/>
        <v>0</v>
      </c>
      <c r="N2830" s="2613">
        <f t="shared" si="578"/>
        <v>0</v>
      </c>
      <c r="O2830" s="2613">
        <f t="shared" si="579"/>
        <v>0</v>
      </c>
      <c r="P2830" s="2518"/>
      <c r="Q2830" s="2519"/>
      <c r="R2830" s="2519"/>
      <c r="S2830" s="2519"/>
    </row>
    <row r="2831" spans="1:19" s="2358" customFormat="1" outlineLevel="1">
      <c r="A2831" s="2435" t="str">
        <f t="shared" si="580"/>
        <v/>
      </c>
      <c r="B2831" s="2505" t="s">
        <v>1035</v>
      </c>
      <c r="C2831" s="2511"/>
      <c r="D2831" s="2405">
        <v>0</v>
      </c>
      <c r="E2831" s="2447" t="s">
        <v>2972</v>
      </c>
      <c r="F2831" s="2405" t="s">
        <v>2254</v>
      </c>
      <c r="G2831" s="2523">
        <f>G2828*3.77*0.81*2</f>
        <v>0</v>
      </c>
      <c r="H2831" s="2517">
        <v>32074</v>
      </c>
      <c r="I2831" s="2612"/>
      <c r="J2831" s="2612">
        <v>0</v>
      </c>
      <c r="K2831" s="2612">
        <v>0</v>
      </c>
      <c r="L2831" s="2613">
        <f t="shared" si="575"/>
        <v>0</v>
      </c>
      <c r="M2831" s="2613">
        <f t="shared" si="577"/>
        <v>0</v>
      </c>
      <c r="N2831" s="2613">
        <f t="shared" si="578"/>
        <v>0</v>
      </c>
      <c r="O2831" s="2613">
        <f t="shared" si="579"/>
        <v>0</v>
      </c>
      <c r="P2831" s="2518"/>
      <c r="Q2831" s="2519"/>
      <c r="R2831" s="2519"/>
      <c r="S2831" s="2519"/>
    </row>
    <row r="2832" spans="1:19" s="2358" customFormat="1" outlineLevel="1">
      <c r="A2832" s="2435" t="str">
        <f t="shared" si="580"/>
        <v/>
      </c>
      <c r="B2832" s="2514" t="s">
        <v>1612</v>
      </c>
      <c r="C2832" s="2511"/>
      <c r="D2832" s="2405">
        <v>0</v>
      </c>
      <c r="E2832" s="2447" t="s">
        <v>2653</v>
      </c>
      <c r="F2832" s="2405" t="s">
        <v>2445</v>
      </c>
      <c r="G2832" s="2522">
        <f>G2828</f>
        <v>0</v>
      </c>
      <c r="H2832" s="2517">
        <v>13400</v>
      </c>
      <c r="I2832" s="2612">
        <v>0</v>
      </c>
      <c r="J2832" s="2612">
        <v>0</v>
      </c>
      <c r="K2832" s="2612">
        <v>0</v>
      </c>
      <c r="L2832" s="2613">
        <f t="shared" si="575"/>
        <v>0</v>
      </c>
      <c r="M2832" s="2613">
        <f t="shared" si="577"/>
        <v>0</v>
      </c>
      <c r="N2832" s="2613">
        <f t="shared" si="578"/>
        <v>0</v>
      </c>
      <c r="O2832" s="2613">
        <f t="shared" si="579"/>
        <v>0</v>
      </c>
      <c r="P2832" s="2518"/>
      <c r="Q2832" s="2519"/>
      <c r="R2832" s="2519"/>
      <c r="S2832" s="2519"/>
    </row>
    <row r="2833" spans="1:19" s="2358" customFormat="1" outlineLevel="1">
      <c r="A2833" s="2435" t="str">
        <f t="shared" si="580"/>
        <v/>
      </c>
      <c r="B2833" s="2514" t="s">
        <v>1613</v>
      </c>
      <c r="C2833" s="2511"/>
      <c r="D2833" s="2405">
        <v>0</v>
      </c>
      <c r="E2833" s="2447" t="s">
        <v>2657</v>
      </c>
      <c r="F2833" s="2405" t="s">
        <v>2445</v>
      </c>
      <c r="G2833" s="2522">
        <f>G2828</f>
        <v>0</v>
      </c>
      <c r="H2833" s="2517">
        <v>25400</v>
      </c>
      <c r="I2833" s="2612">
        <v>0</v>
      </c>
      <c r="J2833" s="2612">
        <v>0</v>
      </c>
      <c r="K2833" s="2612">
        <v>0</v>
      </c>
      <c r="L2833" s="2613">
        <f t="shared" si="575"/>
        <v>0</v>
      </c>
      <c r="M2833" s="2613">
        <f t="shared" si="577"/>
        <v>0</v>
      </c>
      <c r="N2833" s="2613">
        <f t="shared" si="578"/>
        <v>0</v>
      </c>
      <c r="O2833" s="2613">
        <f t="shared" si="579"/>
        <v>0</v>
      </c>
      <c r="P2833" s="2518"/>
      <c r="Q2833" s="2519"/>
      <c r="R2833" s="2519"/>
      <c r="S2833" s="2519"/>
    </row>
    <row r="2834" spans="1:19" s="2358" customFormat="1" outlineLevel="1">
      <c r="A2834" s="2435" t="str">
        <f t="shared" si="580"/>
        <v/>
      </c>
      <c r="B2834" s="2514" t="s">
        <v>6358</v>
      </c>
      <c r="C2834" s="2511"/>
      <c r="D2834" s="2405" t="s">
        <v>5440</v>
      </c>
      <c r="E2834" s="2447" t="s">
        <v>5441</v>
      </c>
      <c r="F2834" s="2405" t="s">
        <v>2445</v>
      </c>
      <c r="G2834" s="2522">
        <f>+G2828</f>
        <v>0</v>
      </c>
      <c r="H2834" s="2517">
        <v>0</v>
      </c>
      <c r="I2834" s="2612"/>
      <c r="J2834" s="2612" t="s">
        <v>6464</v>
      </c>
      <c r="K2834" s="2612"/>
      <c r="L2834" s="2613">
        <f t="shared" si="575"/>
        <v>0</v>
      </c>
      <c r="M2834" s="2613"/>
      <c r="N2834" s="2612">
        <v>0</v>
      </c>
      <c r="O2834" s="2613"/>
      <c r="P2834" s="2518"/>
      <c r="Q2834" s="2519"/>
      <c r="R2834" s="2519"/>
      <c r="S2834" s="2519"/>
    </row>
    <row r="2835" spans="1:19" s="2358" customFormat="1" outlineLevel="1" collapsed="1">
      <c r="A2835" s="2435" t="str">
        <f t="shared" si="580"/>
        <v/>
      </c>
      <c r="B2835" s="2514"/>
      <c r="C2835" s="2511">
        <f>IF(G2835&gt;0,C2828+1,C2828)</f>
        <v>0</v>
      </c>
      <c r="D2835" s="2512"/>
      <c r="E2835" s="2670" t="s">
        <v>3736</v>
      </c>
      <c r="F2835" s="2511" t="s">
        <v>2391</v>
      </c>
      <c r="G2835" s="2516">
        <f>G2793*0</f>
        <v>0</v>
      </c>
      <c r="H2835" s="2517"/>
      <c r="I2835" s="2517"/>
      <c r="J2835" s="2517"/>
      <c r="K2835" s="2517"/>
      <c r="L2835" s="2517">
        <f t="shared" si="575"/>
        <v>0</v>
      </c>
      <c r="M2835" s="2517">
        <f>I2835*G2835</f>
        <v>0</v>
      </c>
      <c r="N2835" s="2517">
        <f>J2835*G2835</f>
        <v>0</v>
      </c>
      <c r="O2835" s="2517">
        <f>K2835*G2835</f>
        <v>0</v>
      </c>
      <c r="P2835" s="2642"/>
      <c r="Q2835" s="2519"/>
      <c r="R2835" s="2519"/>
      <c r="S2835" s="2519"/>
    </row>
    <row r="2836" spans="1:19" s="2358" customFormat="1" ht="14.4" outlineLevel="1">
      <c r="A2836" s="2435" t="str">
        <f>A2835</f>
        <v/>
      </c>
      <c r="B2836" s="2514"/>
      <c r="C2836" s="2511"/>
      <c r="D2836" s="2512"/>
      <c r="E2836" s="2520" t="s">
        <v>6207</v>
      </c>
      <c r="F2836" s="2521"/>
      <c r="G2836" s="2522"/>
      <c r="H2836" s="2517"/>
      <c r="I2836" s="2517"/>
      <c r="J2836" s="2517"/>
      <c r="K2836" s="2517"/>
      <c r="L2836" s="2517">
        <f t="shared" si="575"/>
        <v>0</v>
      </c>
      <c r="M2836" s="2517">
        <f>I2836*G2836</f>
        <v>0</v>
      </c>
      <c r="N2836" s="2517">
        <f>J2836*G2836</f>
        <v>0</v>
      </c>
      <c r="O2836" s="2517">
        <f>K2836*G2836</f>
        <v>0</v>
      </c>
      <c r="P2836" s="2642"/>
      <c r="Q2836" s="2519"/>
      <c r="R2836" s="2519"/>
      <c r="S2836" s="2519"/>
    </row>
    <row r="2837" spans="1:19" s="2358" customFormat="1" outlineLevel="1">
      <c r="A2837" s="2435" t="str">
        <f t="shared" ref="A2837:A2843" si="581">IF(G2837&lt;&gt;0,1,"")</f>
        <v/>
      </c>
      <c r="B2837" s="2514" t="s">
        <v>2026</v>
      </c>
      <c r="C2837" s="2511"/>
      <c r="D2837" s="2405">
        <v>0</v>
      </c>
      <c r="E2837" s="2447" t="s">
        <v>2443</v>
      </c>
      <c r="F2837" s="2405" t="s">
        <v>2254</v>
      </c>
      <c r="G2837" s="2523">
        <f>G2835*9.02*(2.4+4*0.07)*2</f>
        <v>0</v>
      </c>
      <c r="H2837" s="2517">
        <v>31625</v>
      </c>
      <c r="I2837" s="2517"/>
      <c r="J2837" s="2517">
        <v>0</v>
      </c>
      <c r="K2837" s="2517"/>
      <c r="L2837" s="2517">
        <f t="shared" si="575"/>
        <v>0</v>
      </c>
      <c r="M2837" s="2517"/>
      <c r="N2837" s="2517"/>
      <c r="O2837" s="2517"/>
      <c r="P2837" s="2642"/>
      <c r="Q2837" s="2519"/>
      <c r="R2837" s="2519"/>
      <c r="S2837" s="2519"/>
    </row>
    <row r="2838" spans="1:19" s="2358" customFormat="1" outlineLevel="1">
      <c r="A2838" s="2435" t="str">
        <f t="shared" si="581"/>
        <v/>
      </c>
      <c r="B2838" s="2514" t="s">
        <v>1035</v>
      </c>
      <c r="C2838" s="2511"/>
      <c r="D2838" s="2405">
        <v>0</v>
      </c>
      <c r="E2838" s="2447" t="s">
        <v>6448</v>
      </c>
      <c r="F2838" s="2405" t="s">
        <v>2254</v>
      </c>
      <c r="G2838" s="2523">
        <f>G2835*3.77*0.81*4</f>
        <v>0</v>
      </c>
      <c r="H2838" s="2517">
        <v>31625</v>
      </c>
      <c r="I2838" s="2517"/>
      <c r="J2838" s="2517">
        <v>0</v>
      </c>
      <c r="K2838" s="2517"/>
      <c r="L2838" s="2517">
        <f t="shared" si="575"/>
        <v>0</v>
      </c>
      <c r="M2838" s="2517"/>
      <c r="N2838" s="2517"/>
      <c r="O2838" s="2517"/>
      <c r="P2838" s="2642"/>
      <c r="Q2838" s="2519"/>
      <c r="R2838" s="2519"/>
      <c r="S2838" s="2519"/>
    </row>
    <row r="2839" spans="1:19" s="2358" customFormat="1" outlineLevel="1">
      <c r="A2839" s="2435" t="str">
        <f t="shared" si="581"/>
        <v/>
      </c>
      <c r="B2839" s="2514" t="s">
        <v>1613</v>
      </c>
      <c r="C2839" s="2511"/>
      <c r="D2839" s="2405">
        <v>0</v>
      </c>
      <c r="E2839" s="2447" t="s">
        <v>2657</v>
      </c>
      <c r="F2839" s="2405" t="s">
        <v>2391</v>
      </c>
      <c r="G2839" s="2522">
        <f>G2835*2</f>
        <v>0</v>
      </c>
      <c r="H2839" s="2517">
        <v>25400</v>
      </c>
      <c r="I2839" s="2517">
        <v>0</v>
      </c>
      <c r="J2839" s="2517">
        <v>0</v>
      </c>
      <c r="K2839" s="2517"/>
      <c r="L2839" s="2517">
        <f t="shared" si="575"/>
        <v>0</v>
      </c>
      <c r="M2839" s="2517"/>
      <c r="N2839" s="2517"/>
      <c r="O2839" s="2517"/>
      <c r="P2839" s="2642"/>
      <c r="Q2839" s="2519"/>
      <c r="R2839" s="2519"/>
      <c r="S2839" s="2519"/>
    </row>
    <row r="2840" spans="1:19" s="2358" customFormat="1" outlineLevel="1">
      <c r="A2840" s="2435" t="str">
        <f t="shared" si="581"/>
        <v/>
      </c>
      <c r="B2840" s="2514" t="s">
        <v>1790</v>
      </c>
      <c r="C2840" s="2511"/>
      <c r="D2840" s="2405">
        <v>0</v>
      </c>
      <c r="E2840" s="2447" t="s">
        <v>2647</v>
      </c>
      <c r="F2840" s="2405" t="s">
        <v>2391</v>
      </c>
      <c r="G2840" s="2522">
        <f>G2835*4</f>
        <v>0</v>
      </c>
      <c r="H2840" s="2517">
        <v>12400</v>
      </c>
      <c r="I2840" s="2517">
        <v>0</v>
      </c>
      <c r="J2840" s="2517">
        <v>0</v>
      </c>
      <c r="K2840" s="2517"/>
      <c r="L2840" s="2517">
        <f t="shared" si="575"/>
        <v>0</v>
      </c>
      <c r="M2840" s="2517"/>
      <c r="N2840" s="2517"/>
      <c r="O2840" s="2517"/>
      <c r="P2840" s="2642"/>
      <c r="Q2840" s="2519"/>
      <c r="R2840" s="2519"/>
      <c r="S2840" s="2519"/>
    </row>
    <row r="2841" spans="1:19" s="2358" customFormat="1" outlineLevel="1">
      <c r="A2841" s="2435" t="str">
        <f t="shared" si="581"/>
        <v/>
      </c>
      <c r="B2841" s="2514" t="s">
        <v>1788</v>
      </c>
      <c r="C2841" s="2511"/>
      <c r="D2841" s="2405">
        <v>0</v>
      </c>
      <c r="E2841" s="2447" t="s">
        <v>2668</v>
      </c>
      <c r="F2841" s="2405" t="s">
        <v>2391</v>
      </c>
      <c r="G2841" s="2522">
        <f>G2835*4</f>
        <v>0</v>
      </c>
      <c r="H2841" s="2517">
        <v>31800</v>
      </c>
      <c r="I2841" s="2517">
        <v>0</v>
      </c>
      <c r="J2841" s="2517">
        <v>0</v>
      </c>
      <c r="K2841" s="2517">
        <v>0</v>
      </c>
      <c r="L2841" s="2517">
        <f t="shared" si="575"/>
        <v>0</v>
      </c>
      <c r="M2841" s="2517">
        <f>I2841*G2841</f>
        <v>0</v>
      </c>
      <c r="N2841" s="2517">
        <f>J2841*G2841</f>
        <v>0</v>
      </c>
      <c r="O2841" s="2517">
        <f>K2841*G2841</f>
        <v>0</v>
      </c>
      <c r="P2841" s="2642"/>
      <c r="Q2841" s="2519"/>
      <c r="R2841" s="2519"/>
      <c r="S2841" s="2519"/>
    </row>
    <row r="2842" spans="1:19" s="2358" customFormat="1" outlineLevel="1">
      <c r="A2842" s="2435" t="str">
        <f t="shared" si="581"/>
        <v/>
      </c>
      <c r="B2842" s="2514" t="s">
        <v>517</v>
      </c>
      <c r="C2842" s="2511"/>
      <c r="D2842" s="2405" t="s">
        <v>5492</v>
      </c>
      <c r="E2842" s="2447" t="s">
        <v>3191</v>
      </c>
      <c r="F2842" s="2405" t="s">
        <v>2391</v>
      </c>
      <c r="G2842" s="2522">
        <f>G2835</f>
        <v>0</v>
      </c>
      <c r="H2842" s="2517">
        <v>0</v>
      </c>
      <c r="I2842" s="2517"/>
      <c r="J2842" s="2517" t="s">
        <v>6465</v>
      </c>
      <c r="K2842" s="2517"/>
      <c r="L2842" s="2517">
        <f t="shared" si="575"/>
        <v>0</v>
      </c>
      <c r="M2842" s="2517"/>
      <c r="N2842" s="2517">
        <v>0</v>
      </c>
      <c r="O2842" s="2517"/>
      <c r="P2842" s="2642"/>
      <c r="Q2842" s="2519"/>
      <c r="R2842" s="2519"/>
      <c r="S2842" s="2519"/>
    </row>
    <row r="2843" spans="1:19" s="2358" customFormat="1" outlineLevel="1">
      <c r="A2843" s="2435" t="str">
        <f t="shared" si="581"/>
        <v/>
      </c>
      <c r="B2843" s="2514"/>
      <c r="C2843" s="2511">
        <f>IF(G2843&gt;0,C2835+1,C2835)</f>
        <v>0</v>
      </c>
      <c r="D2843" s="2512"/>
      <c r="E2843" s="2670" t="s">
        <v>6313</v>
      </c>
      <c r="F2843" s="2511" t="s">
        <v>2391</v>
      </c>
      <c r="G2843" s="2516">
        <f>G2793*1*0</f>
        <v>0</v>
      </c>
      <c r="H2843" s="2517"/>
      <c r="I2843" s="2517"/>
      <c r="J2843" s="2517"/>
      <c r="K2843" s="2517"/>
      <c r="L2843" s="2517">
        <f t="shared" si="575"/>
        <v>0</v>
      </c>
      <c r="M2843" s="2517">
        <f>I2843*G2843</f>
        <v>0</v>
      </c>
      <c r="N2843" s="2517">
        <f>J2843*G2843</f>
        <v>0</v>
      </c>
      <c r="O2843" s="2517">
        <f>K2843*G2843</f>
        <v>0</v>
      </c>
      <c r="P2843" s="2642"/>
      <c r="Q2843" s="2519"/>
      <c r="R2843" s="2519"/>
      <c r="S2843" s="2519"/>
    </row>
    <row r="2844" spans="1:19" s="2358" customFormat="1" ht="14.4" outlineLevel="1">
      <c r="A2844" s="2435" t="str">
        <f>A2843</f>
        <v/>
      </c>
      <c r="B2844" s="2514"/>
      <c r="C2844" s="2511"/>
      <c r="D2844" s="2512"/>
      <c r="E2844" s="2520" t="s">
        <v>6207</v>
      </c>
      <c r="F2844" s="2521"/>
      <c r="G2844" s="2522"/>
      <c r="H2844" s="2517"/>
      <c r="I2844" s="2517"/>
      <c r="J2844" s="2517"/>
      <c r="K2844" s="2517"/>
      <c r="L2844" s="2517">
        <f t="shared" si="575"/>
        <v>0</v>
      </c>
      <c r="M2844" s="2517">
        <f>I2844*G2844</f>
        <v>0</v>
      </c>
      <c r="N2844" s="2517">
        <f>J2844*G2844</f>
        <v>0</v>
      </c>
      <c r="O2844" s="2517">
        <f>K2844*G2844</f>
        <v>0</v>
      </c>
      <c r="P2844" s="2642"/>
      <c r="Q2844" s="2519"/>
      <c r="R2844" s="2519"/>
      <c r="S2844" s="2519"/>
    </row>
    <row r="2845" spans="1:19" s="2358" customFormat="1" outlineLevel="1">
      <c r="A2845" s="2435" t="str">
        <f t="shared" ref="A2845:A2852" si="582">IF(G2845&lt;&gt;0,1,"")</f>
        <v/>
      </c>
      <c r="B2845" s="2514" t="s">
        <v>2026</v>
      </c>
      <c r="C2845" s="2511"/>
      <c r="D2845" s="2405">
        <v>0</v>
      </c>
      <c r="E2845" s="2447" t="s">
        <v>2443</v>
      </c>
      <c r="F2845" s="2405" t="s">
        <v>2254</v>
      </c>
      <c r="G2845" s="2523">
        <f>G2843*9.02*(2.4+4*0.07)</f>
        <v>0</v>
      </c>
      <c r="H2845" s="2517">
        <v>31625</v>
      </c>
      <c r="I2845" s="2517"/>
      <c r="J2845" s="2517">
        <v>0</v>
      </c>
      <c r="K2845" s="2517"/>
      <c r="L2845" s="2517">
        <f t="shared" si="575"/>
        <v>0</v>
      </c>
      <c r="M2845" s="2517"/>
      <c r="N2845" s="2517"/>
      <c r="O2845" s="2517"/>
      <c r="P2845" s="2642"/>
      <c r="Q2845" s="2519"/>
      <c r="R2845" s="2519"/>
      <c r="S2845" s="2519"/>
    </row>
    <row r="2846" spans="1:19" s="2358" customFormat="1" outlineLevel="1">
      <c r="A2846" s="2435" t="str">
        <f t="shared" si="582"/>
        <v/>
      </c>
      <c r="B2846" s="2514" t="s">
        <v>1035</v>
      </c>
      <c r="C2846" s="2511"/>
      <c r="D2846" s="2405">
        <v>0</v>
      </c>
      <c r="E2846" s="2447" t="s">
        <v>6448</v>
      </c>
      <c r="F2846" s="2405" t="s">
        <v>2254</v>
      </c>
      <c r="G2846" s="2523">
        <f>G2843*3.77*0.81*2</f>
        <v>0</v>
      </c>
      <c r="H2846" s="2517">
        <v>31625</v>
      </c>
      <c r="I2846" s="2517"/>
      <c r="J2846" s="2517">
        <v>0</v>
      </c>
      <c r="K2846" s="2517"/>
      <c r="L2846" s="2517">
        <f t="shared" si="575"/>
        <v>0</v>
      </c>
      <c r="M2846" s="2517"/>
      <c r="N2846" s="2517"/>
      <c r="O2846" s="2517"/>
      <c r="P2846" s="2642"/>
      <c r="Q2846" s="2519"/>
      <c r="R2846" s="2519"/>
      <c r="S2846" s="2519"/>
    </row>
    <row r="2847" spans="1:19" s="2358" customFormat="1" outlineLevel="1">
      <c r="A2847" s="2435" t="str">
        <f t="shared" si="582"/>
        <v/>
      </c>
      <c r="B2847" s="2514" t="s">
        <v>1079</v>
      </c>
      <c r="C2847" s="2511"/>
      <c r="D2847" s="2405">
        <v>0</v>
      </c>
      <c r="E2847" s="2447" t="s">
        <v>2659</v>
      </c>
      <c r="F2847" s="2405" t="s">
        <v>2391</v>
      </c>
      <c r="G2847" s="2522">
        <f>G2843*2</f>
        <v>0</v>
      </c>
      <c r="H2847" s="2517">
        <v>27900</v>
      </c>
      <c r="I2847" s="2517">
        <v>0</v>
      </c>
      <c r="J2847" s="2517">
        <v>0</v>
      </c>
      <c r="K2847" s="2517"/>
      <c r="L2847" s="2517">
        <f t="shared" si="575"/>
        <v>0</v>
      </c>
      <c r="M2847" s="2517"/>
      <c r="N2847" s="2517"/>
      <c r="O2847" s="2517"/>
      <c r="P2847" s="2642"/>
      <c r="Q2847" s="2519"/>
      <c r="R2847" s="2519"/>
      <c r="S2847" s="2519"/>
    </row>
    <row r="2848" spans="1:19" s="2358" customFormat="1" outlineLevel="1">
      <c r="A2848" s="2435" t="str">
        <f t="shared" si="582"/>
        <v/>
      </c>
      <c r="B2848" s="2514" t="s">
        <v>1790</v>
      </c>
      <c r="C2848" s="2511"/>
      <c r="D2848" s="2405">
        <v>0</v>
      </c>
      <c r="E2848" s="2447" t="s">
        <v>2647</v>
      </c>
      <c r="F2848" s="2405" t="s">
        <v>2391</v>
      </c>
      <c r="G2848" s="2522">
        <f>G2843*2</f>
        <v>0</v>
      </c>
      <c r="H2848" s="2517">
        <v>12400</v>
      </c>
      <c r="I2848" s="2517">
        <v>0</v>
      </c>
      <c r="J2848" s="2517">
        <v>0</v>
      </c>
      <c r="K2848" s="2517"/>
      <c r="L2848" s="2517">
        <f t="shared" si="575"/>
        <v>0</v>
      </c>
      <c r="M2848" s="2517"/>
      <c r="N2848" s="2517"/>
      <c r="O2848" s="2517"/>
      <c r="P2848" s="2642"/>
      <c r="Q2848" s="2519"/>
      <c r="R2848" s="2519"/>
      <c r="S2848" s="2519"/>
    </row>
    <row r="2849" spans="1:19" s="2358" customFormat="1" outlineLevel="1">
      <c r="A2849" s="2435" t="str">
        <f t="shared" si="582"/>
        <v/>
      </c>
      <c r="B2849" s="2514" t="s">
        <v>1739</v>
      </c>
      <c r="C2849" s="2511"/>
      <c r="D2849" s="2405">
        <v>0</v>
      </c>
      <c r="E2849" s="2447" t="s">
        <v>2699</v>
      </c>
      <c r="F2849" s="2405" t="s">
        <v>2391</v>
      </c>
      <c r="G2849" s="2522">
        <f>IF(G2843&gt;0,3,)</f>
        <v>0</v>
      </c>
      <c r="H2849" s="2517">
        <v>34000</v>
      </c>
      <c r="I2849" s="2517">
        <v>0</v>
      </c>
      <c r="J2849" s="2517">
        <v>0</v>
      </c>
      <c r="K2849" s="2517"/>
      <c r="L2849" s="2517">
        <f t="shared" si="575"/>
        <v>0</v>
      </c>
      <c r="M2849" s="2517"/>
      <c r="N2849" s="2517"/>
      <c r="O2849" s="2517"/>
      <c r="P2849" s="2642"/>
      <c r="Q2849" s="2519"/>
      <c r="R2849" s="2519"/>
      <c r="S2849" s="2519"/>
    </row>
    <row r="2850" spans="1:19" s="2358" customFormat="1" outlineLevel="1">
      <c r="A2850" s="2435" t="str">
        <f t="shared" si="582"/>
        <v/>
      </c>
      <c r="B2850" s="2514" t="s">
        <v>988</v>
      </c>
      <c r="C2850" s="2511"/>
      <c r="D2850" s="2405">
        <v>0</v>
      </c>
      <c r="E2850" s="2447" t="s">
        <v>5331</v>
      </c>
      <c r="F2850" s="2405" t="s">
        <v>2391</v>
      </c>
      <c r="G2850" s="2522">
        <f>G2843*0</f>
        <v>0</v>
      </c>
      <c r="H2850" s="2517">
        <v>178900</v>
      </c>
      <c r="I2850" s="2517">
        <v>0</v>
      </c>
      <c r="J2850" s="2517">
        <v>0</v>
      </c>
      <c r="K2850" s="2517"/>
      <c r="L2850" s="2517">
        <f t="shared" si="575"/>
        <v>0</v>
      </c>
      <c r="M2850" s="2517"/>
      <c r="N2850" s="2517"/>
      <c r="O2850" s="2517"/>
      <c r="P2850" s="2642"/>
      <c r="Q2850" s="2519"/>
      <c r="R2850" s="2519"/>
      <c r="S2850" s="2519"/>
    </row>
    <row r="2851" spans="1:19" s="2358" customFormat="1" outlineLevel="1">
      <c r="A2851" s="2435" t="str">
        <f t="shared" si="582"/>
        <v/>
      </c>
      <c r="B2851" s="2514" t="s">
        <v>1443</v>
      </c>
      <c r="C2851" s="2511"/>
      <c r="D2851" s="2405" t="s">
        <v>5483</v>
      </c>
      <c r="E2851" s="2447" t="s">
        <v>5484</v>
      </c>
      <c r="F2851" s="2405" t="s">
        <v>2391</v>
      </c>
      <c r="G2851" s="2522">
        <f>G2843</f>
        <v>0</v>
      </c>
      <c r="H2851" s="2517">
        <v>0</v>
      </c>
      <c r="I2851" s="2517"/>
      <c r="J2851" s="2517" t="s">
        <v>6465</v>
      </c>
      <c r="K2851" s="2517"/>
      <c r="L2851" s="2517">
        <f t="shared" si="575"/>
        <v>0</v>
      </c>
      <c r="M2851" s="2517"/>
      <c r="N2851" s="2517">
        <v>0</v>
      </c>
      <c r="O2851" s="2517"/>
      <c r="P2851" s="2642"/>
      <c r="Q2851" s="2519"/>
      <c r="R2851" s="2519"/>
      <c r="S2851" s="2519"/>
    </row>
    <row r="2852" spans="1:19" s="2358" customFormat="1" outlineLevel="1">
      <c r="A2852" s="2435" t="str">
        <f t="shared" si="582"/>
        <v/>
      </c>
      <c r="B2852" s="2514"/>
      <c r="C2852" s="2511">
        <f>IF(G2852&gt;0,C2843+1,C2843)</f>
        <v>0</v>
      </c>
      <c r="D2852" s="2512"/>
      <c r="E2852" s="2670" t="s">
        <v>3738</v>
      </c>
      <c r="F2852" s="2511" t="s">
        <v>2391</v>
      </c>
      <c r="G2852" s="2516">
        <f>G2793</f>
        <v>0</v>
      </c>
      <c r="H2852" s="2517"/>
      <c r="I2852" s="2517"/>
      <c r="J2852" s="2517"/>
      <c r="K2852" s="2517"/>
      <c r="L2852" s="2517">
        <f t="shared" si="575"/>
        <v>0</v>
      </c>
      <c r="M2852" s="2517">
        <f>I2852*G2852</f>
        <v>0</v>
      </c>
      <c r="N2852" s="2517">
        <f t="shared" ref="N2852:N2860" si="583">J2852*G2852</f>
        <v>0</v>
      </c>
      <c r="O2852" s="2517">
        <f>K2852*G2852</f>
        <v>0</v>
      </c>
      <c r="P2852" s="2642"/>
      <c r="Q2852" s="2519"/>
      <c r="R2852" s="2519"/>
      <c r="S2852" s="2519"/>
    </row>
    <row r="2853" spans="1:19" s="2358" customFormat="1" ht="14.4" outlineLevel="1">
      <c r="A2853" s="2435" t="str">
        <f>+A2852</f>
        <v/>
      </c>
      <c r="B2853" s="2671"/>
      <c r="C2853" s="2511"/>
      <c r="D2853" s="2512"/>
      <c r="E2853" s="2520" t="s">
        <v>6207</v>
      </c>
      <c r="F2853" s="2521"/>
      <c r="G2853" s="2522"/>
      <c r="H2853" s="2517"/>
      <c r="I2853" s="2517"/>
      <c r="J2853" s="2517"/>
      <c r="K2853" s="2517"/>
      <c r="L2853" s="2517">
        <f t="shared" si="575"/>
        <v>0</v>
      </c>
      <c r="M2853" s="2517">
        <f>I2853*G2853</f>
        <v>0</v>
      </c>
      <c r="N2853" s="2517">
        <f t="shared" si="583"/>
        <v>0</v>
      </c>
      <c r="O2853" s="2517">
        <f>K2853*G2853</f>
        <v>0</v>
      </c>
      <c r="P2853" s="2642"/>
      <c r="Q2853" s="2519"/>
      <c r="R2853" s="2519"/>
      <c r="S2853" s="2519"/>
    </row>
    <row r="2854" spans="1:19" s="2358" customFormat="1" outlineLevel="1">
      <c r="A2854" s="2435" t="str">
        <f t="shared" ref="A2854:A2860" si="584">IF(G2854&lt;&gt;0,1,"")</f>
        <v/>
      </c>
      <c r="B2854" s="2514" t="s">
        <v>1033</v>
      </c>
      <c r="C2854" s="2511"/>
      <c r="D2854" s="2405">
        <v>0</v>
      </c>
      <c r="E2854" s="2447" t="s">
        <v>2708</v>
      </c>
      <c r="F2854" s="2405" t="s">
        <v>2254</v>
      </c>
      <c r="G2854" s="2523">
        <f>$H$3*0.224*G2852</f>
        <v>0</v>
      </c>
      <c r="H2854" s="2517">
        <v>255500</v>
      </c>
      <c r="I2854" s="2517"/>
      <c r="J2854" s="2517">
        <v>0</v>
      </c>
      <c r="K2854" s="2517">
        <v>0</v>
      </c>
      <c r="L2854" s="2517">
        <f t="shared" si="575"/>
        <v>0</v>
      </c>
      <c r="M2854" s="2517">
        <f>I2854*G2854</f>
        <v>0</v>
      </c>
      <c r="N2854" s="2517">
        <f t="shared" si="583"/>
        <v>0</v>
      </c>
      <c r="O2854" s="2517">
        <f>K2854*G2854</f>
        <v>0</v>
      </c>
      <c r="P2854" s="2642"/>
      <c r="Q2854" s="2519"/>
      <c r="R2854" s="2519"/>
      <c r="S2854" s="2519"/>
    </row>
    <row r="2855" spans="1:19" s="2358" customFormat="1" outlineLevel="1">
      <c r="A2855" s="2435" t="str">
        <f t="shared" si="584"/>
        <v/>
      </c>
      <c r="B2855" s="2505" t="s">
        <v>1511</v>
      </c>
      <c r="C2855" s="2511"/>
      <c r="D2855" s="2405">
        <v>0</v>
      </c>
      <c r="E2855" s="2447" t="s">
        <v>5224</v>
      </c>
      <c r="F2855" s="2405" t="s">
        <v>2445</v>
      </c>
      <c r="G2855" s="2522">
        <f>$H$2*G2852</f>
        <v>0</v>
      </c>
      <c r="H2855" s="2517">
        <v>160000</v>
      </c>
      <c r="I2855" s="2517"/>
      <c r="J2855" s="2517">
        <v>0</v>
      </c>
      <c r="K2855" s="2517">
        <v>0</v>
      </c>
      <c r="L2855" s="2517">
        <f t="shared" si="575"/>
        <v>0</v>
      </c>
      <c r="M2855" s="2517">
        <f>I2855*G2855</f>
        <v>0</v>
      </c>
      <c r="N2855" s="2517">
        <f t="shared" si="583"/>
        <v>0</v>
      </c>
      <c r="O2855" s="2517">
        <f>K2855*G2855</f>
        <v>0</v>
      </c>
      <c r="P2855" s="2642"/>
      <c r="Q2855" s="2519"/>
      <c r="R2855" s="2519"/>
      <c r="S2855" s="2519"/>
    </row>
    <row r="2856" spans="1:19" s="2358" customFormat="1" outlineLevel="1">
      <c r="A2856" s="2435" t="str">
        <f t="shared" si="584"/>
        <v/>
      </c>
      <c r="B2856" s="2505" t="s">
        <v>1493</v>
      </c>
      <c r="C2856" s="2511"/>
      <c r="D2856" s="2405">
        <v>0</v>
      </c>
      <c r="E2856" s="2447" t="s">
        <v>3554</v>
      </c>
      <c r="F2856" s="2405" t="s">
        <v>1827</v>
      </c>
      <c r="G2856" s="2522">
        <f>G2852*3*0</f>
        <v>0</v>
      </c>
      <c r="H2856" s="2517">
        <v>6200</v>
      </c>
      <c r="I2856" s="2517"/>
      <c r="J2856" s="2517">
        <v>0</v>
      </c>
      <c r="K2856" s="2517">
        <v>0</v>
      </c>
      <c r="L2856" s="2517">
        <f t="shared" si="575"/>
        <v>0</v>
      </c>
      <c r="M2856" s="2517">
        <f>I2856*G2856</f>
        <v>0</v>
      </c>
      <c r="N2856" s="2517">
        <f t="shared" si="583"/>
        <v>0</v>
      </c>
      <c r="O2856" s="2517">
        <f>K2856*G2856</f>
        <v>0</v>
      </c>
      <c r="P2856" s="2518"/>
      <c r="Q2856" s="2519"/>
      <c r="R2856" s="2519"/>
      <c r="S2856" s="2519"/>
    </row>
    <row r="2857" spans="1:19" s="2358" customFormat="1" outlineLevel="1">
      <c r="A2857" s="2435" t="str">
        <f t="shared" si="584"/>
        <v/>
      </c>
      <c r="B2857" s="2514" t="s">
        <v>1582</v>
      </c>
      <c r="C2857" s="2511"/>
      <c r="D2857" s="2405">
        <v>0</v>
      </c>
      <c r="E2857" s="2447" t="s">
        <v>2889</v>
      </c>
      <c r="F2857" s="2405" t="s">
        <v>2563</v>
      </c>
      <c r="G2857" s="2522">
        <f>2*G2852</f>
        <v>0</v>
      </c>
      <c r="H2857" s="2517">
        <v>8000</v>
      </c>
      <c r="I2857" s="2517"/>
      <c r="J2857" s="2517">
        <v>0</v>
      </c>
      <c r="K2857" s="2517"/>
      <c r="L2857" s="2517">
        <f t="shared" si="575"/>
        <v>0</v>
      </c>
      <c r="M2857" s="2517"/>
      <c r="N2857" s="2517">
        <f t="shared" si="583"/>
        <v>0</v>
      </c>
      <c r="O2857" s="2517"/>
      <c r="P2857" s="2642"/>
      <c r="Q2857" s="2519"/>
      <c r="R2857" s="2519"/>
      <c r="S2857" s="2519"/>
    </row>
    <row r="2858" spans="1:19" s="2358" customFormat="1" outlineLevel="1">
      <c r="A2858" s="2435" t="str">
        <f t="shared" si="584"/>
        <v/>
      </c>
      <c r="B2858" s="2514" t="s">
        <v>816</v>
      </c>
      <c r="C2858" s="2511"/>
      <c r="D2858" s="2405">
        <v>0</v>
      </c>
      <c r="E2858" s="2447" t="s">
        <v>3599</v>
      </c>
      <c r="F2858" s="2405" t="s">
        <v>2563</v>
      </c>
      <c r="G2858" s="2522">
        <f>IF(G2855&lt;=12,15,21)*G2852</f>
        <v>0</v>
      </c>
      <c r="H2858" s="2517">
        <v>17600</v>
      </c>
      <c r="I2858" s="2517"/>
      <c r="J2858" s="2517">
        <v>0</v>
      </c>
      <c r="K2858" s="2517"/>
      <c r="L2858" s="2517">
        <f t="shared" si="575"/>
        <v>0</v>
      </c>
      <c r="M2858" s="2517"/>
      <c r="N2858" s="2517">
        <f t="shared" si="583"/>
        <v>0</v>
      </c>
      <c r="O2858" s="2517"/>
      <c r="P2858" s="2642"/>
      <c r="Q2858" s="2519"/>
      <c r="R2858" s="2519"/>
      <c r="S2858" s="2519"/>
    </row>
    <row r="2859" spans="1:19" s="2358" customFormat="1" outlineLevel="1">
      <c r="A2859" s="2435" t="str">
        <f t="shared" si="584"/>
        <v/>
      </c>
      <c r="B2859" s="2505" t="s">
        <v>525</v>
      </c>
      <c r="C2859" s="2511"/>
      <c r="D2859" s="2405">
        <v>0</v>
      </c>
      <c r="E2859" s="2447" t="s">
        <v>5313</v>
      </c>
      <c r="F2859" s="2405" t="s">
        <v>2445</v>
      </c>
      <c r="G2859" s="2522">
        <f>+G2852*2*0</f>
        <v>0</v>
      </c>
      <c r="H2859" s="2517">
        <v>43000</v>
      </c>
      <c r="I2859" s="2517"/>
      <c r="J2859" s="2517">
        <v>0</v>
      </c>
      <c r="K2859" s="2517">
        <v>0</v>
      </c>
      <c r="L2859" s="2517">
        <f t="shared" si="575"/>
        <v>0</v>
      </c>
      <c r="M2859" s="2517">
        <f>I2859*G2859</f>
        <v>0</v>
      </c>
      <c r="N2859" s="2517">
        <f t="shared" si="583"/>
        <v>0</v>
      </c>
      <c r="O2859" s="2517">
        <f>K2859*G2859</f>
        <v>0</v>
      </c>
      <c r="P2859" s="2518"/>
      <c r="Q2859" s="2519"/>
      <c r="R2859" s="2519"/>
      <c r="S2859" s="2519"/>
    </row>
    <row r="2860" spans="1:19" s="2358" customFormat="1" outlineLevel="1">
      <c r="A2860" s="2435" t="str">
        <f t="shared" si="584"/>
        <v/>
      </c>
      <c r="B2860" s="2505" t="s">
        <v>1588</v>
      </c>
      <c r="C2860" s="2511"/>
      <c r="D2860" s="2405">
        <v>0</v>
      </c>
      <c r="E2860" s="2447" t="s">
        <v>5775</v>
      </c>
      <c r="F2860" s="2405" t="s">
        <v>3463</v>
      </c>
      <c r="G2860" s="2522">
        <f>$L$3*G2852</f>
        <v>0</v>
      </c>
      <c r="H2860" s="2517">
        <v>0</v>
      </c>
      <c r="I2860" s="2517"/>
      <c r="J2860" s="2517">
        <v>1500000</v>
      </c>
      <c r="K2860" s="2517">
        <v>0</v>
      </c>
      <c r="L2860" s="2517">
        <f t="shared" si="575"/>
        <v>0</v>
      </c>
      <c r="M2860" s="2517">
        <f>I2860*G2860</f>
        <v>0</v>
      </c>
      <c r="N2860" s="2517">
        <f t="shared" si="583"/>
        <v>0</v>
      </c>
      <c r="O2860" s="2517">
        <f>K2860*G2860</f>
        <v>0</v>
      </c>
      <c r="P2860" s="2642"/>
      <c r="Q2860" s="2519"/>
      <c r="R2860" s="2519"/>
      <c r="S2860" s="2519"/>
    </row>
    <row r="2861" spans="1:19" s="2358" customFormat="1" outlineLevel="1">
      <c r="A2861" s="2435">
        <f>IF(G2861=0,0,1)</f>
        <v>0</v>
      </c>
      <c r="B2861" s="2505" t="s">
        <v>794</v>
      </c>
      <c r="C2861" s="2521"/>
      <c r="D2861" s="2405" t="s">
        <v>5398</v>
      </c>
      <c r="E2861" s="2447" t="s">
        <v>3086</v>
      </c>
      <c r="F2861" s="2405" t="s">
        <v>856</v>
      </c>
      <c r="G2861" s="2673">
        <f>+G2852*H4</f>
        <v>0</v>
      </c>
      <c r="H2861" s="2517">
        <v>0</v>
      </c>
      <c r="I2861" s="2517"/>
      <c r="J2861" s="2517">
        <v>283749.75</v>
      </c>
      <c r="K2861" s="2517">
        <v>0</v>
      </c>
      <c r="L2861" s="2517">
        <f t="shared" ref="L2861:O2862" si="585">H2861*$G2861</f>
        <v>0</v>
      </c>
      <c r="M2861" s="2517">
        <f t="shared" si="585"/>
        <v>0</v>
      </c>
      <c r="N2861" s="2517">
        <f t="shared" si="585"/>
        <v>0</v>
      </c>
      <c r="O2861" s="2517">
        <f t="shared" si="585"/>
        <v>0</v>
      </c>
      <c r="P2861" s="2642"/>
      <c r="Q2861" s="2519"/>
      <c r="R2861" s="2519"/>
      <c r="S2861" s="2519"/>
    </row>
    <row r="2862" spans="1:19" s="2358" customFormat="1" outlineLevel="1">
      <c r="A2862" s="2435">
        <f>IF(G2862=0,0,1)</f>
        <v>0</v>
      </c>
      <c r="B2862" s="2505" t="s">
        <v>798</v>
      </c>
      <c r="C2862" s="2521"/>
      <c r="D2862" s="2405" t="s">
        <v>5387</v>
      </c>
      <c r="E2862" s="2447" t="s">
        <v>5399</v>
      </c>
      <c r="F2862" s="2405" t="s">
        <v>856</v>
      </c>
      <c r="G2862" s="2673">
        <f>G2861</f>
        <v>0</v>
      </c>
      <c r="H2862" s="2517">
        <v>0</v>
      </c>
      <c r="I2862" s="2517"/>
      <c r="J2862" s="2517">
        <v>117703.6</v>
      </c>
      <c r="K2862" s="2517">
        <v>0</v>
      </c>
      <c r="L2862" s="2517">
        <f t="shared" si="585"/>
        <v>0</v>
      </c>
      <c r="M2862" s="2517">
        <f t="shared" si="585"/>
        <v>0</v>
      </c>
      <c r="N2862" s="2517">
        <f t="shared" si="585"/>
        <v>0</v>
      </c>
      <c r="O2862" s="2517">
        <f t="shared" si="585"/>
        <v>0</v>
      </c>
      <c r="P2862" s="2642"/>
      <c r="Q2862" s="2519"/>
      <c r="R2862" s="2519"/>
      <c r="S2862" s="2519"/>
    </row>
    <row r="2863" spans="1:19" s="2358" customFormat="1" outlineLevel="1">
      <c r="A2863" s="2435">
        <f>IF(G2863=0,0,1)</f>
        <v>0</v>
      </c>
      <c r="B2863" s="2505" t="s">
        <v>902</v>
      </c>
      <c r="C2863" s="2521"/>
      <c r="D2863" s="2405" t="s">
        <v>5413</v>
      </c>
      <c r="E2863" s="2447" t="s">
        <v>5414</v>
      </c>
      <c r="F2863" s="2405" t="s">
        <v>2284</v>
      </c>
      <c r="G2863" s="2642">
        <f>G2855</f>
        <v>0</v>
      </c>
      <c r="H2863" s="2517">
        <v>0</v>
      </c>
      <c r="I2863" s="2517"/>
      <c r="J2863" s="2517" t="s">
        <v>6386</v>
      </c>
      <c r="K2863" s="2517">
        <v>0</v>
      </c>
      <c r="L2863" s="2517">
        <f>H2863*$G2863</f>
        <v>0</v>
      </c>
      <c r="M2863" s="2517">
        <f>I2863*$G2863</f>
        <v>0</v>
      </c>
      <c r="N2863" s="2517">
        <v>0</v>
      </c>
      <c r="O2863" s="2517">
        <f>K2863*$G2863</f>
        <v>0</v>
      </c>
      <c r="P2863" s="2642"/>
      <c r="Q2863" s="2519"/>
      <c r="R2863" s="2519"/>
      <c r="S2863" s="2519"/>
    </row>
    <row r="2864" spans="1:19" s="2358" customFormat="1" outlineLevel="1">
      <c r="A2864" s="2435" t="str">
        <f>IF(G2864&lt;&gt;0,1,"")</f>
        <v/>
      </c>
      <c r="B2864" s="2505" t="s">
        <v>1440</v>
      </c>
      <c r="C2864" s="2511"/>
      <c r="D2864" s="2405" t="s">
        <v>5408</v>
      </c>
      <c r="E2864" s="2447" t="s">
        <v>5409</v>
      </c>
      <c r="F2864" s="2405" t="s">
        <v>2538</v>
      </c>
      <c r="G2864" s="2522">
        <f>G2852*$H$3</f>
        <v>0</v>
      </c>
      <c r="H2864" s="2517">
        <v>0</v>
      </c>
      <c r="I2864" s="2517"/>
      <c r="J2864" s="2517">
        <v>8070.7000000000007</v>
      </c>
      <c r="K2864" s="2517">
        <v>2044.9974999999999</v>
      </c>
      <c r="L2864" s="2517">
        <f>H2864*G2864</f>
        <v>0</v>
      </c>
      <c r="M2864" s="2517">
        <f>I2864*G2864</f>
        <v>0</v>
      </c>
      <c r="N2864" s="2517">
        <f>J2864*G2864</f>
        <v>0</v>
      </c>
      <c r="O2864" s="2517">
        <f>K2864*G2864</f>
        <v>0</v>
      </c>
      <c r="P2864" s="2642"/>
      <c r="Q2864" s="2519"/>
      <c r="R2864" s="2519"/>
      <c r="S2864" s="2519"/>
    </row>
    <row r="2865" spans="1:19" s="2358" customFormat="1" outlineLevel="1">
      <c r="A2865" s="2435" t="str">
        <f>IF(G2865&lt;&gt;0,1,"")</f>
        <v/>
      </c>
      <c r="B2865" s="2514"/>
      <c r="C2865" s="2511">
        <f>IF(G2865&gt;0,C2852+1,C2852)</f>
        <v>0</v>
      </c>
      <c r="D2865" s="2512"/>
      <c r="E2865" s="2629" t="s">
        <v>6283</v>
      </c>
      <c r="F2865" s="2511" t="s">
        <v>2391</v>
      </c>
      <c r="G2865" s="2516">
        <f>G2793</f>
        <v>0</v>
      </c>
      <c r="H2865" s="2517"/>
      <c r="I2865" s="2517"/>
      <c r="J2865" s="2517"/>
      <c r="K2865" s="2517"/>
      <c r="L2865" s="2517">
        <f>H2865*G2865</f>
        <v>0</v>
      </c>
      <c r="M2865" s="2517">
        <f>I2865*G2865</f>
        <v>0</v>
      </c>
      <c r="N2865" s="2517">
        <f>J2865*G2865</f>
        <v>0</v>
      </c>
      <c r="O2865" s="2517">
        <f>K2865*G2865</f>
        <v>0</v>
      </c>
      <c r="P2865" s="2642"/>
      <c r="Q2865" s="2519"/>
      <c r="R2865" s="2519"/>
      <c r="S2865" s="2519"/>
    </row>
    <row r="2866" spans="1:19" s="2358" customFormat="1" ht="14.4" outlineLevel="1">
      <c r="A2866" s="2435" t="str">
        <f>A2865</f>
        <v/>
      </c>
      <c r="B2866" s="2514"/>
      <c r="C2866" s="2511"/>
      <c r="D2866" s="2512"/>
      <c r="E2866" s="2520" t="s">
        <v>6207</v>
      </c>
      <c r="F2866" s="2521"/>
      <c r="G2866" s="2522"/>
      <c r="H2866" s="2517"/>
      <c r="I2866" s="2517"/>
      <c r="J2866" s="2517"/>
      <c r="K2866" s="2517"/>
      <c r="L2866" s="2517">
        <f>H2866*G2866</f>
        <v>0</v>
      </c>
      <c r="M2866" s="2517">
        <f>I2866*G2866</f>
        <v>0</v>
      </c>
      <c r="N2866" s="2517">
        <f>J2866*G2866</f>
        <v>0</v>
      </c>
      <c r="O2866" s="2517">
        <f>K2866*G2866</f>
        <v>0</v>
      </c>
      <c r="P2866" s="2642"/>
      <c r="Q2866" s="2519"/>
      <c r="R2866" s="2519"/>
      <c r="S2866" s="2519"/>
    </row>
    <row r="2867" spans="1:19" s="2358" customFormat="1" outlineLevel="1">
      <c r="A2867" s="2435" t="str">
        <f>IF(G2867&lt;&gt;0,1,"")</f>
        <v/>
      </c>
      <c r="B2867" s="2514" t="s">
        <v>5713</v>
      </c>
      <c r="C2867" s="2521"/>
      <c r="D2867" s="2405" t="s">
        <v>5695</v>
      </c>
      <c r="E2867" s="2447" t="s">
        <v>5714</v>
      </c>
      <c r="F2867" s="2405" t="s">
        <v>2563</v>
      </c>
      <c r="G2867" s="2522">
        <f>G2865</f>
        <v>0</v>
      </c>
      <c r="H2867" s="2517">
        <v>25000000</v>
      </c>
      <c r="I2867" s="2517"/>
      <c r="J2867" s="2517">
        <v>690091</v>
      </c>
      <c r="K2867" s="2517">
        <v>97369</v>
      </c>
      <c r="L2867" s="2517">
        <f>H2867*G2867</f>
        <v>0</v>
      </c>
      <c r="M2867" s="2517">
        <f>I2867*G2867</f>
        <v>0</v>
      </c>
      <c r="N2867" s="2517">
        <f>J2867*G2867</f>
        <v>0</v>
      </c>
      <c r="O2867" s="2517">
        <f>K2867*G2867</f>
        <v>0</v>
      </c>
      <c r="P2867" s="2642"/>
      <c r="Q2867" s="2519"/>
      <c r="R2867" s="2519"/>
      <c r="S2867" s="2519"/>
    </row>
    <row r="2868" spans="1:19" s="2358" customFormat="1" outlineLevel="1">
      <c r="A2868" s="2435" t="str">
        <f>IF(G2868&lt;&gt;0,1,"")</f>
        <v/>
      </c>
      <c r="B2868" s="2514" t="s">
        <v>880</v>
      </c>
      <c r="C2868" s="2511"/>
      <c r="D2868" s="2405">
        <v>0</v>
      </c>
      <c r="E2868" s="2447" t="s">
        <v>5861</v>
      </c>
      <c r="F2868" s="2405" t="s">
        <v>2563</v>
      </c>
      <c r="G2868" s="2516">
        <f>+G2865</f>
        <v>0</v>
      </c>
      <c r="H2868" s="2517">
        <v>284000</v>
      </c>
      <c r="I2868" s="2517"/>
      <c r="J2868" s="2517">
        <v>5404</v>
      </c>
      <c r="K2868" s="2517">
        <v>0</v>
      </c>
      <c r="L2868" s="2517">
        <f t="shared" ref="L2868:L2888" si="586">H2868*G2868</f>
        <v>0</v>
      </c>
      <c r="M2868" s="2517">
        <f t="shared" ref="M2868:M2888" si="587">I2868*G2868</f>
        <v>0</v>
      </c>
      <c r="N2868" s="2517">
        <f t="shared" ref="N2868:N2888" si="588">J2868*G2868</f>
        <v>0</v>
      </c>
      <c r="O2868" s="2517">
        <f t="shared" ref="O2868:O2888" si="589">K2868*G2868</f>
        <v>0</v>
      </c>
      <c r="P2868" s="2642"/>
      <c r="Q2868" s="2519"/>
      <c r="R2868" s="2519"/>
      <c r="S2868" s="2519"/>
    </row>
    <row r="2869" spans="1:19" s="2358" customFormat="1" outlineLevel="1">
      <c r="A2869" s="2435" t="str">
        <f>IF(G2869&lt;&gt;0,1,"")</f>
        <v/>
      </c>
      <c r="B2869" s="2514" t="s">
        <v>289</v>
      </c>
      <c r="C2869" s="2521"/>
      <c r="D2869" s="2405">
        <v>0</v>
      </c>
      <c r="E2869" s="2447" t="s">
        <v>5774</v>
      </c>
      <c r="F2869" s="2405" t="s">
        <v>2563</v>
      </c>
      <c r="G2869" s="2522">
        <f>G2865</f>
        <v>0</v>
      </c>
      <c r="H2869" s="2517">
        <v>300000</v>
      </c>
      <c r="I2869" s="2517"/>
      <c r="J2869" s="2517">
        <v>0</v>
      </c>
      <c r="K2869" s="2517">
        <v>0</v>
      </c>
      <c r="L2869" s="2517">
        <f t="shared" si="586"/>
        <v>0</v>
      </c>
      <c r="M2869" s="2517">
        <f t="shared" si="587"/>
        <v>0</v>
      </c>
      <c r="N2869" s="2517">
        <f t="shared" si="588"/>
        <v>0</v>
      </c>
      <c r="O2869" s="2517">
        <f t="shared" si="589"/>
        <v>0</v>
      </c>
      <c r="P2869" s="2642"/>
      <c r="Q2869" s="2519"/>
      <c r="R2869" s="2519"/>
      <c r="S2869" s="2519"/>
    </row>
    <row r="2870" spans="1:19" s="2358" customFormat="1" outlineLevel="1">
      <c r="A2870" s="2435" t="str">
        <f>IF(G2870&lt;&gt;0,1,"")</f>
        <v/>
      </c>
      <c r="B2870" s="2514"/>
      <c r="C2870" s="2511">
        <f>IF(G2870&gt;0,C2865+1,C2865)</f>
        <v>0</v>
      </c>
      <c r="D2870" s="2512"/>
      <c r="E2870" s="2515" t="s">
        <v>3742</v>
      </c>
      <c r="F2870" s="2511" t="s">
        <v>2538</v>
      </c>
      <c r="G2870" s="2815">
        <f>G2793*0</f>
        <v>0</v>
      </c>
      <c r="H2870" s="2517"/>
      <c r="I2870" s="2517"/>
      <c r="J2870" s="2517"/>
      <c r="K2870" s="2517"/>
      <c r="L2870" s="2517">
        <f t="shared" si="586"/>
        <v>0</v>
      </c>
      <c r="M2870" s="2517">
        <f t="shared" si="587"/>
        <v>0</v>
      </c>
      <c r="N2870" s="2517">
        <f t="shared" si="588"/>
        <v>0</v>
      </c>
      <c r="O2870" s="2517">
        <f t="shared" si="589"/>
        <v>0</v>
      </c>
      <c r="P2870" s="2518"/>
      <c r="Q2870" s="2519"/>
      <c r="R2870" s="2519"/>
      <c r="S2870" s="2519"/>
    </row>
    <row r="2871" spans="1:19" s="2358" customFormat="1" ht="14.4" outlineLevel="1">
      <c r="A2871" s="2435" t="str">
        <f>A2870</f>
        <v/>
      </c>
      <c r="B2871" s="2514"/>
      <c r="C2871" s="2511"/>
      <c r="D2871" s="2512"/>
      <c r="E2871" s="2520" t="s">
        <v>6207</v>
      </c>
      <c r="F2871" s="2521"/>
      <c r="G2871" s="2674"/>
      <c r="H2871" s="2517"/>
      <c r="I2871" s="2517"/>
      <c r="J2871" s="2517"/>
      <c r="K2871" s="2517"/>
      <c r="L2871" s="2517">
        <f t="shared" si="586"/>
        <v>0</v>
      </c>
      <c r="M2871" s="2517">
        <f t="shared" si="587"/>
        <v>0</v>
      </c>
      <c r="N2871" s="2517">
        <f t="shared" si="588"/>
        <v>0</v>
      </c>
      <c r="O2871" s="2517">
        <f t="shared" si="589"/>
        <v>0</v>
      </c>
      <c r="P2871" s="2518"/>
      <c r="Q2871" s="2519"/>
      <c r="R2871" s="2519"/>
      <c r="S2871" s="2519"/>
    </row>
    <row r="2872" spans="1:19" s="2358" customFormat="1" outlineLevel="1">
      <c r="A2872" s="2435" t="str">
        <f t="shared" ref="A2872:A2880" si="590">IF(G2872&lt;&gt;0,1,"")</f>
        <v/>
      </c>
      <c r="B2872" s="2807" t="s">
        <v>752</v>
      </c>
      <c r="C2872" s="2521"/>
      <c r="D2872" s="2405">
        <v>0</v>
      </c>
      <c r="E2872" s="2612" t="s">
        <v>6449</v>
      </c>
      <c r="F2872" s="2405" t="s">
        <v>856</v>
      </c>
      <c r="G2872" s="2523">
        <f>G2870*0.315</f>
        <v>0</v>
      </c>
      <c r="H2872" s="2517">
        <v>512000</v>
      </c>
      <c r="I2872" s="2517"/>
      <c r="J2872" s="2517">
        <v>0</v>
      </c>
      <c r="K2872" s="2517">
        <v>0</v>
      </c>
      <c r="L2872" s="2517">
        <f t="shared" si="586"/>
        <v>0</v>
      </c>
      <c r="M2872" s="2517">
        <f t="shared" si="587"/>
        <v>0</v>
      </c>
      <c r="N2872" s="2517">
        <f t="shared" si="588"/>
        <v>0</v>
      </c>
      <c r="O2872" s="2517">
        <f t="shared" si="589"/>
        <v>0</v>
      </c>
      <c r="P2872" s="2518"/>
      <c r="Q2872" s="2519"/>
      <c r="R2872" s="2519"/>
      <c r="S2872" s="2519"/>
    </row>
    <row r="2873" spans="1:19" s="2358" customFormat="1" outlineLevel="1">
      <c r="A2873" s="2435" t="str">
        <f t="shared" si="590"/>
        <v/>
      </c>
      <c r="B2873" s="2807" t="s">
        <v>520</v>
      </c>
      <c r="C2873" s="2521"/>
      <c r="D2873" s="2405">
        <v>0</v>
      </c>
      <c r="E2873" s="2612" t="s">
        <v>6450</v>
      </c>
      <c r="F2873" s="2405" t="s">
        <v>856</v>
      </c>
      <c r="G2873" s="2523">
        <f>0.092*G2870</f>
        <v>0</v>
      </c>
      <c r="H2873" s="2517">
        <v>295000</v>
      </c>
      <c r="I2873" s="2517"/>
      <c r="J2873" s="2517">
        <v>0</v>
      </c>
      <c r="K2873" s="2517">
        <v>0</v>
      </c>
      <c r="L2873" s="2517">
        <f t="shared" si="586"/>
        <v>0</v>
      </c>
      <c r="M2873" s="2517">
        <f t="shared" si="587"/>
        <v>0</v>
      </c>
      <c r="N2873" s="2517">
        <f t="shared" si="588"/>
        <v>0</v>
      </c>
      <c r="O2873" s="2517">
        <f t="shared" si="589"/>
        <v>0</v>
      </c>
      <c r="P2873" s="2518"/>
      <c r="Q2873" s="2519"/>
      <c r="R2873" s="2519"/>
      <c r="S2873" s="2519"/>
    </row>
    <row r="2874" spans="1:19" s="2358" customFormat="1" outlineLevel="1">
      <c r="A2874" s="2435" t="str">
        <f t="shared" si="590"/>
        <v/>
      </c>
      <c r="B2874" s="2807" t="s">
        <v>1679</v>
      </c>
      <c r="C2874" s="2521"/>
      <c r="D2874" s="2405">
        <v>0</v>
      </c>
      <c r="E2874" s="2612" t="s">
        <v>6451</v>
      </c>
      <c r="F2874" s="2405" t="s">
        <v>3024</v>
      </c>
      <c r="G2874" s="2523">
        <f>3.3*G2870</f>
        <v>0</v>
      </c>
      <c r="H2874" s="2517">
        <v>7000</v>
      </c>
      <c r="I2874" s="2517"/>
      <c r="J2874" s="2517">
        <v>0</v>
      </c>
      <c r="K2874" s="2517">
        <v>0</v>
      </c>
      <c r="L2874" s="2517">
        <f t="shared" si="586"/>
        <v>0</v>
      </c>
      <c r="M2874" s="2517">
        <f t="shared" si="587"/>
        <v>0</v>
      </c>
      <c r="N2874" s="2517">
        <f t="shared" si="588"/>
        <v>0</v>
      </c>
      <c r="O2874" s="2517">
        <f t="shared" si="589"/>
        <v>0</v>
      </c>
      <c r="P2874" s="2518"/>
      <c r="Q2874" s="2519"/>
      <c r="R2874" s="2519"/>
      <c r="S2874" s="2519"/>
    </row>
    <row r="2875" spans="1:19" s="2358" customFormat="1" outlineLevel="1">
      <c r="A2875" s="2435" t="str">
        <f t="shared" si="590"/>
        <v/>
      </c>
      <c r="B2875" s="2807" t="s">
        <v>1680</v>
      </c>
      <c r="C2875" s="2521"/>
      <c r="D2875" s="2405" t="s">
        <v>5352</v>
      </c>
      <c r="E2875" s="2612" t="s">
        <v>6452</v>
      </c>
      <c r="F2875" s="2405" t="s">
        <v>1964</v>
      </c>
      <c r="G2875" s="2523">
        <f>0.4*G2870</f>
        <v>0</v>
      </c>
      <c r="H2875" s="2517">
        <v>10000</v>
      </c>
      <c r="I2875" s="2517"/>
      <c r="J2875" s="2517">
        <v>1187.155</v>
      </c>
      <c r="K2875" s="2517">
        <v>0</v>
      </c>
      <c r="L2875" s="2517">
        <f t="shared" si="586"/>
        <v>0</v>
      </c>
      <c r="M2875" s="2517">
        <f t="shared" si="587"/>
        <v>0</v>
      </c>
      <c r="N2875" s="2517">
        <f t="shared" si="588"/>
        <v>0</v>
      </c>
      <c r="O2875" s="2517">
        <f t="shared" si="589"/>
        <v>0</v>
      </c>
      <c r="P2875" s="2518"/>
      <c r="Q2875" s="2519"/>
      <c r="R2875" s="2519"/>
      <c r="S2875" s="2519"/>
    </row>
    <row r="2876" spans="1:19" s="2358" customFormat="1" outlineLevel="1">
      <c r="A2876" s="2435" t="str">
        <f t="shared" si="590"/>
        <v/>
      </c>
      <c r="B2876" s="2807" t="s">
        <v>1521</v>
      </c>
      <c r="C2876" s="2511"/>
      <c r="D2876" s="2405">
        <v>0</v>
      </c>
      <c r="E2876" s="2612" t="s">
        <v>3548</v>
      </c>
      <c r="F2876" s="2405" t="s">
        <v>1827</v>
      </c>
      <c r="G2876" s="2523">
        <f>1*G2870</f>
        <v>0</v>
      </c>
      <c r="H2876" s="2517">
        <v>165250</v>
      </c>
      <c r="I2876" s="2517"/>
      <c r="J2876" s="2517">
        <v>0</v>
      </c>
      <c r="K2876" s="2517">
        <v>0</v>
      </c>
      <c r="L2876" s="2517">
        <f t="shared" si="586"/>
        <v>0</v>
      </c>
      <c r="M2876" s="2517">
        <f t="shared" si="587"/>
        <v>0</v>
      </c>
      <c r="N2876" s="2517">
        <f t="shared" si="588"/>
        <v>0</v>
      </c>
      <c r="O2876" s="2517">
        <f t="shared" si="589"/>
        <v>0</v>
      </c>
      <c r="P2876" s="2518"/>
      <c r="Q2876" s="2519"/>
      <c r="R2876" s="2519"/>
      <c r="S2876" s="2519"/>
    </row>
    <row r="2877" spans="1:19" s="2358" customFormat="1" outlineLevel="1">
      <c r="A2877" s="2435" t="str">
        <f t="shared" si="590"/>
        <v/>
      </c>
      <c r="B2877" s="2807" t="s">
        <v>1682</v>
      </c>
      <c r="C2877" s="2521"/>
      <c r="D2877" s="2405" t="s">
        <v>5395</v>
      </c>
      <c r="E2877" s="2612" t="s">
        <v>6453</v>
      </c>
      <c r="F2877" s="2405" t="s">
        <v>856</v>
      </c>
      <c r="G2877" s="2523">
        <f>G2872+G2873</f>
        <v>0</v>
      </c>
      <c r="H2877" s="2517">
        <v>0</v>
      </c>
      <c r="I2877" s="2517"/>
      <c r="J2877" s="2517">
        <v>315277.5</v>
      </c>
      <c r="K2877" s="2517">
        <v>0</v>
      </c>
      <c r="L2877" s="2517">
        <f t="shared" si="586"/>
        <v>0</v>
      </c>
      <c r="M2877" s="2517">
        <f t="shared" si="587"/>
        <v>0</v>
      </c>
      <c r="N2877" s="2517">
        <f t="shared" si="588"/>
        <v>0</v>
      </c>
      <c r="O2877" s="2517">
        <f t="shared" si="589"/>
        <v>0</v>
      </c>
      <c r="P2877" s="2518"/>
      <c r="Q2877" s="2519"/>
      <c r="R2877" s="2519"/>
      <c r="S2877" s="2519"/>
    </row>
    <row r="2878" spans="1:19" s="2358" customFormat="1" outlineLevel="1">
      <c r="A2878" s="2435" t="str">
        <f t="shared" si="590"/>
        <v/>
      </c>
      <c r="B2878" s="2807" t="s">
        <v>144</v>
      </c>
      <c r="C2878" s="2521"/>
      <c r="D2878" s="2405" t="s">
        <v>5389</v>
      </c>
      <c r="E2878" s="2612" t="s">
        <v>6454</v>
      </c>
      <c r="F2878" s="2405" t="s">
        <v>856</v>
      </c>
      <c r="G2878" s="2523">
        <f>G2870*0.48</f>
        <v>0</v>
      </c>
      <c r="H2878" s="2517">
        <v>0</v>
      </c>
      <c r="I2878" s="2517"/>
      <c r="J2878" s="2517">
        <v>640731.36</v>
      </c>
      <c r="K2878" s="2517">
        <v>0</v>
      </c>
      <c r="L2878" s="2517">
        <f t="shared" si="586"/>
        <v>0</v>
      </c>
      <c r="M2878" s="2517">
        <f t="shared" si="587"/>
        <v>0</v>
      </c>
      <c r="N2878" s="2517">
        <f t="shared" si="588"/>
        <v>0</v>
      </c>
      <c r="O2878" s="2517">
        <f t="shared" si="589"/>
        <v>0</v>
      </c>
      <c r="P2878" s="2518"/>
      <c r="Q2878" s="2519"/>
      <c r="R2878" s="2519"/>
      <c r="S2878" s="2519"/>
    </row>
    <row r="2879" spans="1:19" s="2358" customFormat="1" outlineLevel="1">
      <c r="A2879" s="2435" t="str">
        <f t="shared" si="590"/>
        <v/>
      </c>
      <c r="B2879" s="2807" t="s">
        <v>529</v>
      </c>
      <c r="C2879" s="2521"/>
      <c r="D2879" s="2405" t="s">
        <v>5394</v>
      </c>
      <c r="E2879" s="2612" t="s">
        <v>6455</v>
      </c>
      <c r="F2879" s="2405" t="s">
        <v>856</v>
      </c>
      <c r="G2879" s="2523">
        <f>G2870*0.073</f>
        <v>0</v>
      </c>
      <c r="H2879" s="2517">
        <v>0</v>
      </c>
      <c r="I2879" s="2517"/>
      <c r="J2879" s="2517">
        <v>21935.133999999998</v>
      </c>
      <c r="K2879" s="2517">
        <v>0</v>
      </c>
      <c r="L2879" s="2517">
        <f t="shared" si="586"/>
        <v>0</v>
      </c>
      <c r="M2879" s="2517">
        <f t="shared" si="587"/>
        <v>0</v>
      </c>
      <c r="N2879" s="2517">
        <f t="shared" si="588"/>
        <v>0</v>
      </c>
      <c r="O2879" s="2517">
        <f t="shared" si="589"/>
        <v>0</v>
      </c>
      <c r="P2879" s="2518"/>
      <c r="Q2879" s="2519"/>
      <c r="R2879" s="2675">
        <v>0.47499999999999998</v>
      </c>
      <c r="S2879" s="2519"/>
    </row>
    <row r="2880" spans="1:19" s="2358" customFormat="1" outlineLevel="1">
      <c r="A2880" s="2435" t="str">
        <f t="shared" si="590"/>
        <v/>
      </c>
      <c r="B2880" s="2514"/>
      <c r="C2880" s="2511">
        <f>IF(G2880&gt;0,C2870+1,C2870)</f>
        <v>0</v>
      </c>
      <c r="D2880" s="2512"/>
      <c r="E2880" s="2515" t="s">
        <v>3743</v>
      </c>
      <c r="F2880" s="2511" t="s">
        <v>2391</v>
      </c>
      <c r="G2880" s="2516">
        <f>G2889</f>
        <v>0</v>
      </c>
      <c r="H2880" s="2517"/>
      <c r="I2880" s="2517"/>
      <c r="J2880" s="2517"/>
      <c r="K2880" s="2517"/>
      <c r="L2880" s="2517">
        <f t="shared" si="586"/>
        <v>0</v>
      </c>
      <c r="M2880" s="2517">
        <f t="shared" si="587"/>
        <v>0</v>
      </c>
      <c r="N2880" s="2517">
        <f t="shared" si="588"/>
        <v>0</v>
      </c>
      <c r="O2880" s="2517">
        <f t="shared" si="589"/>
        <v>0</v>
      </c>
      <c r="P2880" s="2518"/>
      <c r="Q2880" s="2519"/>
      <c r="R2880" s="2675">
        <v>0.88100000000000001</v>
      </c>
      <c r="S2880" s="2519"/>
    </row>
    <row r="2881" spans="1:19" s="2358" customFormat="1" ht="14.4" outlineLevel="1">
      <c r="A2881" s="2435" t="str">
        <f>A2880</f>
        <v/>
      </c>
      <c r="B2881" s="2514"/>
      <c r="C2881" s="2511"/>
      <c r="D2881" s="2512"/>
      <c r="E2881" s="2520" t="s">
        <v>6207</v>
      </c>
      <c r="F2881" s="2521"/>
      <c r="G2881" s="2674"/>
      <c r="H2881" s="2517"/>
      <c r="I2881" s="2517"/>
      <c r="J2881" s="2517"/>
      <c r="K2881" s="2517"/>
      <c r="L2881" s="2517">
        <f t="shared" si="586"/>
        <v>0</v>
      </c>
      <c r="M2881" s="2517">
        <f t="shared" si="587"/>
        <v>0</v>
      </c>
      <c r="N2881" s="2517">
        <f t="shared" si="588"/>
        <v>0</v>
      </c>
      <c r="O2881" s="2517">
        <f t="shared" si="589"/>
        <v>0</v>
      </c>
      <c r="P2881" s="2518"/>
      <c r="Q2881" s="2519"/>
      <c r="R2881" s="2519"/>
      <c r="S2881" s="2519"/>
    </row>
    <row r="2882" spans="1:19" s="2358" customFormat="1" outlineLevel="1">
      <c r="A2882" s="2435" t="str">
        <f t="shared" ref="A2882:A2889" si="591">IF(G2882&lt;&gt;0,1,"")</f>
        <v/>
      </c>
      <c r="B2882" s="2514" t="s">
        <v>623</v>
      </c>
      <c r="C2882" s="2521"/>
      <c r="D2882" s="2405" t="s">
        <v>5367</v>
      </c>
      <c r="E2882" s="2447" t="s">
        <v>5368</v>
      </c>
      <c r="F2882" s="2405" t="s">
        <v>2538</v>
      </c>
      <c r="G2882" s="2523">
        <f>G2880*5*0</f>
        <v>0</v>
      </c>
      <c r="H2882" s="2517">
        <v>278000</v>
      </c>
      <c r="I2882" s="2517"/>
      <c r="J2882" s="2517">
        <v>127101.65849999999</v>
      </c>
      <c r="K2882" s="2517">
        <v>0</v>
      </c>
      <c r="L2882" s="2517">
        <f t="shared" si="586"/>
        <v>0</v>
      </c>
      <c r="M2882" s="2517">
        <f t="shared" si="587"/>
        <v>0</v>
      </c>
      <c r="N2882" s="2517">
        <f t="shared" si="588"/>
        <v>0</v>
      </c>
      <c r="O2882" s="2517">
        <f t="shared" si="589"/>
        <v>0</v>
      </c>
      <c r="P2882" s="2518"/>
      <c r="Q2882" s="2519"/>
      <c r="R2882" s="2519"/>
      <c r="S2882" s="2519"/>
    </row>
    <row r="2883" spans="1:19" s="2358" customFormat="1" outlineLevel="1">
      <c r="A2883" s="2435" t="str">
        <f t="shared" si="591"/>
        <v/>
      </c>
      <c r="B2883" s="2807" t="s">
        <v>473</v>
      </c>
      <c r="C2883" s="2511"/>
      <c r="D2883" s="2405">
        <v>0</v>
      </c>
      <c r="E2883" s="2447" t="s">
        <v>3570</v>
      </c>
      <c r="F2883" s="2405" t="s">
        <v>2563</v>
      </c>
      <c r="G2883" s="2523">
        <f>G2880*0</f>
        <v>0</v>
      </c>
      <c r="H2883" s="2517">
        <v>138000</v>
      </c>
      <c r="I2883" s="2517"/>
      <c r="J2883" s="2517">
        <v>0</v>
      </c>
      <c r="K2883" s="2517">
        <v>0</v>
      </c>
      <c r="L2883" s="2517">
        <f t="shared" si="586"/>
        <v>0</v>
      </c>
      <c r="M2883" s="2517">
        <f t="shared" si="587"/>
        <v>0</v>
      </c>
      <c r="N2883" s="2517">
        <f t="shared" si="588"/>
        <v>0</v>
      </c>
      <c r="O2883" s="2517">
        <f t="shared" si="589"/>
        <v>0</v>
      </c>
      <c r="P2883" s="2518"/>
      <c r="Q2883" s="2519"/>
      <c r="R2883" s="2519"/>
      <c r="S2883" s="2519"/>
    </row>
    <row r="2884" spans="1:19" s="2358" customFormat="1" outlineLevel="1">
      <c r="A2884" s="2435" t="str">
        <f t="shared" si="591"/>
        <v/>
      </c>
      <c r="B2884" s="2514" t="s">
        <v>120</v>
      </c>
      <c r="C2884" s="2521"/>
      <c r="D2884" s="2405">
        <v>0</v>
      </c>
      <c r="E2884" s="2447" t="s">
        <v>2998</v>
      </c>
      <c r="F2884" s="2405" t="s">
        <v>2445</v>
      </c>
      <c r="G2884" s="2523">
        <f>G2880*2*0</f>
        <v>0</v>
      </c>
      <c r="H2884" s="2517">
        <v>40000</v>
      </c>
      <c r="I2884" s="2517"/>
      <c r="J2884" s="2517">
        <v>0</v>
      </c>
      <c r="K2884" s="2517">
        <v>0</v>
      </c>
      <c r="L2884" s="2517">
        <f t="shared" si="586"/>
        <v>0</v>
      </c>
      <c r="M2884" s="2517">
        <f t="shared" si="587"/>
        <v>0</v>
      </c>
      <c r="N2884" s="2517">
        <f t="shared" si="588"/>
        <v>0</v>
      </c>
      <c r="O2884" s="2517">
        <f t="shared" si="589"/>
        <v>0</v>
      </c>
      <c r="P2884" s="2518"/>
      <c r="Q2884" s="2519"/>
      <c r="R2884" s="2519"/>
      <c r="S2884" s="2519"/>
    </row>
    <row r="2885" spans="1:19" s="2358" customFormat="1" outlineLevel="1">
      <c r="A2885" s="2435" t="str">
        <f t="shared" si="591"/>
        <v/>
      </c>
      <c r="B2885" s="2505" t="s">
        <v>1412</v>
      </c>
      <c r="C2885" s="2521"/>
      <c r="D2885" s="2405">
        <v>0</v>
      </c>
      <c r="E2885" s="2447" t="s">
        <v>3467</v>
      </c>
      <c r="F2885" s="2405" t="s">
        <v>2445</v>
      </c>
      <c r="G2885" s="2523">
        <f>G2880*0</f>
        <v>0</v>
      </c>
      <c r="H2885" s="2517">
        <v>150000</v>
      </c>
      <c r="I2885" s="2517"/>
      <c r="J2885" s="2517">
        <v>0</v>
      </c>
      <c r="K2885" s="2517">
        <v>0</v>
      </c>
      <c r="L2885" s="2517">
        <f t="shared" si="586"/>
        <v>0</v>
      </c>
      <c r="M2885" s="2517">
        <f t="shared" si="587"/>
        <v>0</v>
      </c>
      <c r="N2885" s="2517">
        <f t="shared" si="588"/>
        <v>0</v>
      </c>
      <c r="O2885" s="2517">
        <f t="shared" si="589"/>
        <v>0</v>
      </c>
      <c r="P2885" s="2518"/>
      <c r="Q2885" s="2519"/>
      <c r="R2885" s="2519"/>
      <c r="S2885" s="2519"/>
    </row>
    <row r="2886" spans="1:19" s="2358" customFormat="1" outlineLevel="1">
      <c r="A2886" s="2435" t="str">
        <f t="shared" si="591"/>
        <v/>
      </c>
      <c r="B2886" s="2505" t="s">
        <v>2144</v>
      </c>
      <c r="C2886" s="2521"/>
      <c r="D2886" s="2405">
        <v>0</v>
      </c>
      <c r="E2886" s="2447" t="s">
        <v>3473</v>
      </c>
      <c r="F2886" s="2405" t="s">
        <v>2445</v>
      </c>
      <c r="G2886" s="2523">
        <f>G2880</f>
        <v>0</v>
      </c>
      <c r="H2886" s="2517">
        <v>2739748</v>
      </c>
      <c r="I2886" s="2517"/>
      <c r="J2886" s="2517">
        <v>51183</v>
      </c>
      <c r="K2886" s="2517">
        <v>89000</v>
      </c>
      <c r="L2886" s="2517">
        <f t="shared" si="586"/>
        <v>0</v>
      </c>
      <c r="M2886" s="2517">
        <f t="shared" si="587"/>
        <v>0</v>
      </c>
      <c r="N2886" s="2517">
        <f t="shared" si="588"/>
        <v>0</v>
      </c>
      <c r="O2886" s="2517">
        <f t="shared" si="589"/>
        <v>0</v>
      </c>
      <c r="P2886" s="2518"/>
      <c r="Q2886" s="2519"/>
      <c r="R2886" s="2519"/>
      <c r="S2886" s="2519"/>
    </row>
    <row r="2887" spans="1:19" s="2358" customFormat="1" outlineLevel="1">
      <c r="A2887" s="2435" t="str">
        <f t="shared" si="591"/>
        <v/>
      </c>
      <c r="B2887" s="2514" t="s">
        <v>1413</v>
      </c>
      <c r="C2887" s="2511"/>
      <c r="D2887" s="2405" t="s">
        <v>5403</v>
      </c>
      <c r="E2887" s="2447" t="s">
        <v>5404</v>
      </c>
      <c r="F2887" s="2405" t="s">
        <v>2445</v>
      </c>
      <c r="G2887" s="2523">
        <f>G2885+G2886</f>
        <v>0</v>
      </c>
      <c r="H2887" s="2517">
        <v>0</v>
      </c>
      <c r="I2887" s="2517"/>
      <c r="J2887" s="2517">
        <v>28219.62</v>
      </c>
      <c r="K2887" s="2517">
        <v>0</v>
      </c>
      <c r="L2887" s="2517">
        <f t="shared" si="586"/>
        <v>0</v>
      </c>
      <c r="M2887" s="2517">
        <f t="shared" si="587"/>
        <v>0</v>
      </c>
      <c r="N2887" s="2517">
        <f t="shared" si="588"/>
        <v>0</v>
      </c>
      <c r="O2887" s="2517">
        <f t="shared" si="589"/>
        <v>0</v>
      </c>
      <c r="P2887" s="2518"/>
      <c r="Q2887" s="2519"/>
      <c r="R2887" s="2519"/>
      <c r="S2887" s="2519"/>
    </row>
    <row r="2888" spans="1:19" s="2358" customFormat="1" outlineLevel="1">
      <c r="A2888" s="2435" t="str">
        <f t="shared" si="591"/>
        <v/>
      </c>
      <c r="B2888" s="2514" t="s">
        <v>289</v>
      </c>
      <c r="C2888" s="2521"/>
      <c r="D2888" s="2405">
        <v>0</v>
      </c>
      <c r="E2888" s="2447" t="s">
        <v>5774</v>
      </c>
      <c r="F2888" s="2405" t="s">
        <v>2563</v>
      </c>
      <c r="G2888" s="2523">
        <f>G2880*0</f>
        <v>0</v>
      </c>
      <c r="H2888" s="2517">
        <v>300000</v>
      </c>
      <c r="I2888" s="2517"/>
      <c r="J2888" s="2517">
        <v>0</v>
      </c>
      <c r="K2888" s="2517">
        <v>0</v>
      </c>
      <c r="L2888" s="2517">
        <f t="shared" si="586"/>
        <v>0</v>
      </c>
      <c r="M2888" s="2517">
        <f t="shared" si="587"/>
        <v>0</v>
      </c>
      <c r="N2888" s="2517">
        <f t="shared" si="588"/>
        <v>0</v>
      </c>
      <c r="O2888" s="2517">
        <f t="shared" si="589"/>
        <v>0</v>
      </c>
      <c r="P2888" s="2518"/>
      <c r="Q2888" s="2519"/>
      <c r="R2888" s="2519"/>
      <c r="S2888" s="2519"/>
    </row>
    <row r="2889" spans="1:19" s="2358" customFormat="1" outlineLevel="1">
      <c r="A2889" s="2435" t="str">
        <f t="shared" si="591"/>
        <v/>
      </c>
      <c r="B2889" s="2514"/>
      <c r="C2889" s="2511">
        <f>IF(G2889&gt;0,C2880+1,C2880)</f>
        <v>0</v>
      </c>
      <c r="D2889" s="2512"/>
      <c r="E2889" s="2513" t="s">
        <v>3758</v>
      </c>
      <c r="F2889" s="2511" t="s">
        <v>2391</v>
      </c>
      <c r="G2889" s="2516">
        <f>G2793*0</f>
        <v>0</v>
      </c>
      <c r="H2889" s="2517"/>
      <c r="I2889" s="2517"/>
      <c r="J2889" s="2517"/>
      <c r="K2889" s="2517"/>
      <c r="L2889" s="2517"/>
      <c r="M2889" s="2517"/>
      <c r="N2889" s="2517"/>
      <c r="O2889" s="2517"/>
      <c r="P2889" s="2518"/>
      <c r="Q2889" s="2519"/>
      <c r="R2889" s="2519"/>
      <c r="S2889" s="2519"/>
    </row>
    <row r="2890" spans="1:19" s="2358" customFormat="1" ht="14.4" outlineLevel="1">
      <c r="A2890" s="2435" t="str">
        <f>A2889</f>
        <v/>
      </c>
      <c r="B2890" s="2514"/>
      <c r="C2890" s="2511"/>
      <c r="D2890" s="2512"/>
      <c r="E2890" s="2527" t="s">
        <v>6207</v>
      </c>
      <c r="F2890" s="2511"/>
      <c r="G2890" s="2516"/>
      <c r="H2890" s="2517"/>
      <c r="I2890" s="2517"/>
      <c r="J2890" s="2517"/>
      <c r="K2890" s="2517"/>
      <c r="L2890" s="2517"/>
      <c r="M2890" s="2517"/>
      <c r="N2890" s="2517"/>
      <c r="O2890" s="2517"/>
      <c r="P2890" s="2518"/>
      <c r="Q2890" s="2519"/>
      <c r="R2890" s="2519"/>
      <c r="S2890" s="2519"/>
    </row>
    <row r="2891" spans="1:19" s="2358" customFormat="1" outlineLevel="1">
      <c r="A2891" s="2435" t="str">
        <f>IF(G2891&lt;&gt;0,1,"")</f>
        <v/>
      </c>
      <c r="B2891" s="2505" t="s">
        <v>470</v>
      </c>
      <c r="C2891" s="2521"/>
      <c r="D2891" s="2405">
        <v>0</v>
      </c>
      <c r="E2891" s="2447" t="s">
        <v>6456</v>
      </c>
      <c r="F2891" s="2405" t="s">
        <v>2538</v>
      </c>
      <c r="G2891" s="2523">
        <f>G2870+G2889*8</f>
        <v>0</v>
      </c>
      <c r="H2891" s="2517">
        <v>763500</v>
      </c>
      <c r="I2891" s="2517"/>
      <c r="J2891" s="2517">
        <v>0</v>
      </c>
      <c r="K2891" s="2517">
        <v>0</v>
      </c>
      <c r="L2891" s="2517">
        <f>H2891*G2891</f>
        <v>0</v>
      </c>
      <c r="M2891" s="2517">
        <f>I2891*G2891</f>
        <v>0</v>
      </c>
      <c r="N2891" s="2517">
        <f>J2891*G2891</f>
        <v>0</v>
      </c>
      <c r="O2891" s="2517">
        <f>K2891*G2891</f>
        <v>0</v>
      </c>
      <c r="P2891" s="2518"/>
      <c r="Q2891" s="2519"/>
      <c r="R2891" s="2519"/>
      <c r="S2891" s="2519"/>
    </row>
    <row r="2892" spans="1:19" s="2358" customFormat="1" outlineLevel="1">
      <c r="A2892" s="2435" t="str">
        <f>IF(G2892&lt;&gt;0,1,"")</f>
        <v/>
      </c>
      <c r="B2892" s="2505" t="s">
        <v>271</v>
      </c>
      <c r="C2892" s="2521"/>
      <c r="D2892" s="2405">
        <v>0</v>
      </c>
      <c r="E2892" s="2447" t="s">
        <v>6457</v>
      </c>
      <c r="F2892" s="2405" t="s">
        <v>2538</v>
      </c>
      <c r="G2892" s="2523">
        <f>G2891</f>
        <v>0</v>
      </c>
      <c r="H2892" s="2517">
        <v>204900</v>
      </c>
      <c r="I2892" s="2517"/>
      <c r="J2892" s="2517">
        <v>0</v>
      </c>
      <c r="K2892" s="2517">
        <v>0</v>
      </c>
      <c r="L2892" s="2517">
        <f>H2892*G2892</f>
        <v>0</v>
      </c>
      <c r="M2892" s="2517">
        <f>I2892*G2892</f>
        <v>0</v>
      </c>
      <c r="N2892" s="2517">
        <f>J2892*G2892</f>
        <v>0</v>
      </c>
      <c r="O2892" s="2517">
        <f>K2892*G2892</f>
        <v>0</v>
      </c>
      <c r="P2892" s="2518"/>
      <c r="Q2892" s="2519"/>
      <c r="R2892" s="2519"/>
      <c r="S2892" s="2519"/>
    </row>
    <row r="2893" spans="1:19" s="2358" customFormat="1" outlineLevel="1">
      <c r="A2893" s="2435" t="str">
        <f t="shared" ref="A2893:A2899" si="592">IF(G2893&lt;&gt;0,1,"")</f>
        <v/>
      </c>
      <c r="B2893" s="2505" t="s">
        <v>271</v>
      </c>
      <c r="C2893" s="2521"/>
      <c r="D2893" s="2405">
        <v>0</v>
      </c>
      <c r="E2893" s="2447" t="s">
        <v>6458</v>
      </c>
      <c r="F2893" s="2405" t="s">
        <v>2538</v>
      </c>
      <c r="G2893" s="2523">
        <f>G2889*0.5*3*0</f>
        <v>0</v>
      </c>
      <c r="H2893" s="2517">
        <v>204900</v>
      </c>
      <c r="I2893" s="2517"/>
      <c r="J2893" s="2517">
        <v>0</v>
      </c>
      <c r="K2893" s="2517">
        <v>0</v>
      </c>
      <c r="L2893" s="2517">
        <f>H2893*G2893</f>
        <v>0</v>
      </c>
      <c r="M2893" s="2517">
        <f>I2893*G2893</f>
        <v>0</v>
      </c>
      <c r="N2893" s="2517">
        <f>J2893*G2893</f>
        <v>0</v>
      </c>
      <c r="O2893" s="2517">
        <f>K2893*G2893</f>
        <v>0</v>
      </c>
      <c r="P2893" s="2518"/>
      <c r="Q2893" s="2519"/>
      <c r="R2893" s="2519"/>
      <c r="S2893" s="2519"/>
    </row>
    <row r="2894" spans="1:19" s="2358" customFormat="1" outlineLevel="1">
      <c r="A2894" s="2435" t="str">
        <f t="shared" si="592"/>
        <v/>
      </c>
      <c r="B2894" s="2505" t="s">
        <v>1355</v>
      </c>
      <c r="C2894" s="2521"/>
      <c r="D2894" s="2405">
        <v>0</v>
      </c>
      <c r="E2894" s="2447" t="s">
        <v>3032</v>
      </c>
      <c r="F2894" s="2405" t="s">
        <v>2563</v>
      </c>
      <c r="G2894" s="2523">
        <f>G2889</f>
        <v>0</v>
      </c>
      <c r="H2894" s="2517">
        <v>4022000</v>
      </c>
      <c r="I2894" s="2517"/>
      <c r="J2894" s="2517">
        <v>0</v>
      </c>
      <c r="K2894" s="2517">
        <v>0</v>
      </c>
      <c r="L2894" s="2517">
        <f t="shared" ref="L2894:L2899" si="593">H2894*G2894</f>
        <v>0</v>
      </c>
      <c r="M2894" s="2517">
        <f t="shared" ref="M2894:M2899" si="594">I2894*G2894</f>
        <v>0</v>
      </c>
      <c r="N2894" s="2517">
        <f t="shared" ref="N2894:N2899" si="595">J2894*G2894</f>
        <v>0</v>
      </c>
      <c r="O2894" s="2517">
        <f t="shared" ref="O2894:O2899" si="596">K2894*G2894</f>
        <v>0</v>
      </c>
      <c r="P2894" s="2518"/>
      <c r="Q2894" s="2519"/>
      <c r="R2894" s="2519"/>
      <c r="S2894" s="2519"/>
    </row>
    <row r="2895" spans="1:19" s="2358" customFormat="1" outlineLevel="1">
      <c r="A2895" s="2435" t="str">
        <f t="shared" si="592"/>
        <v/>
      </c>
      <c r="B2895" s="2505" t="s">
        <v>470</v>
      </c>
      <c r="C2895" s="2521"/>
      <c r="D2895" s="2405">
        <v>0</v>
      </c>
      <c r="E2895" s="2447" t="s">
        <v>6459</v>
      </c>
      <c r="F2895" s="2405" t="s">
        <v>2538</v>
      </c>
      <c r="G2895" s="2523">
        <f>(1.2+2.4)*G2889*0</f>
        <v>0</v>
      </c>
      <c r="H2895" s="2517">
        <v>763500</v>
      </c>
      <c r="I2895" s="2517"/>
      <c r="J2895" s="2517">
        <v>0</v>
      </c>
      <c r="K2895" s="2517">
        <v>0</v>
      </c>
      <c r="L2895" s="2517">
        <f t="shared" si="593"/>
        <v>0</v>
      </c>
      <c r="M2895" s="2517">
        <f t="shared" si="594"/>
        <v>0</v>
      </c>
      <c r="N2895" s="2517">
        <f t="shared" si="595"/>
        <v>0</v>
      </c>
      <c r="O2895" s="2517">
        <f t="shared" si="596"/>
        <v>0</v>
      </c>
      <c r="P2895" s="2518"/>
      <c r="Q2895" s="2519"/>
      <c r="R2895" s="2519"/>
      <c r="S2895" s="2519"/>
    </row>
    <row r="2896" spans="1:19" s="2358" customFormat="1" outlineLevel="1">
      <c r="A2896" s="2435" t="str">
        <f t="shared" si="592"/>
        <v/>
      </c>
      <c r="B2896" s="2505" t="s">
        <v>271</v>
      </c>
      <c r="C2896" s="2521"/>
      <c r="D2896" s="2405">
        <v>0</v>
      </c>
      <c r="E2896" s="2447" t="s">
        <v>6460</v>
      </c>
      <c r="F2896" s="2405" t="s">
        <v>2538</v>
      </c>
      <c r="G2896" s="2523">
        <f>G2889*1.2*0</f>
        <v>0</v>
      </c>
      <c r="H2896" s="2517">
        <v>204900</v>
      </c>
      <c r="I2896" s="2517"/>
      <c r="J2896" s="2517">
        <v>0</v>
      </c>
      <c r="K2896" s="2517">
        <v>0</v>
      </c>
      <c r="L2896" s="2517">
        <f t="shared" si="593"/>
        <v>0</v>
      </c>
      <c r="M2896" s="2517">
        <f t="shared" si="594"/>
        <v>0</v>
      </c>
      <c r="N2896" s="2517">
        <f t="shared" si="595"/>
        <v>0</v>
      </c>
      <c r="O2896" s="2517">
        <f t="shared" si="596"/>
        <v>0</v>
      </c>
      <c r="P2896" s="2518"/>
      <c r="Q2896" s="2519"/>
      <c r="R2896" s="2519"/>
      <c r="S2896" s="2519"/>
    </row>
    <row r="2897" spans="1:19" s="2358" customFormat="1" outlineLevel="1">
      <c r="A2897" s="2435" t="str">
        <f t="shared" si="592"/>
        <v/>
      </c>
      <c r="B2897" s="2505" t="s">
        <v>1356</v>
      </c>
      <c r="C2897" s="2521"/>
      <c r="D2897" s="2405">
        <v>0</v>
      </c>
      <c r="E2897" s="2447" t="s">
        <v>3039</v>
      </c>
      <c r="F2897" s="2405" t="s">
        <v>2563</v>
      </c>
      <c r="G2897" s="2523">
        <f>G2889</f>
        <v>0</v>
      </c>
      <c r="H2897" s="2517">
        <v>5242230</v>
      </c>
      <c r="I2897" s="2517"/>
      <c r="J2897" s="2517">
        <v>0</v>
      </c>
      <c r="K2897" s="2517">
        <v>0</v>
      </c>
      <c r="L2897" s="2517">
        <f t="shared" si="593"/>
        <v>0</v>
      </c>
      <c r="M2897" s="2517">
        <f t="shared" si="594"/>
        <v>0</v>
      </c>
      <c r="N2897" s="2517">
        <f t="shared" si="595"/>
        <v>0</v>
      </c>
      <c r="O2897" s="2517">
        <f t="shared" si="596"/>
        <v>0</v>
      </c>
      <c r="P2897" s="2518"/>
      <c r="Q2897" s="2519"/>
      <c r="R2897" s="2519"/>
      <c r="S2897" s="2519"/>
    </row>
    <row r="2898" spans="1:19" s="2358" customFormat="1" outlineLevel="1">
      <c r="A2898" s="2435" t="str">
        <f t="shared" si="592"/>
        <v/>
      </c>
      <c r="B2898" s="2505" t="s">
        <v>1678</v>
      </c>
      <c r="C2898" s="2521"/>
      <c r="D2898" s="2405" t="s">
        <v>5521</v>
      </c>
      <c r="E2898" s="2447" t="s">
        <v>3196</v>
      </c>
      <c r="F2898" s="2405" t="s">
        <v>2563</v>
      </c>
      <c r="G2898" s="2523">
        <f>G2894+G2897</f>
        <v>0</v>
      </c>
      <c r="H2898" s="2517">
        <v>11340</v>
      </c>
      <c r="I2898" s="2517"/>
      <c r="J2898" s="2517">
        <v>621381.64999999991</v>
      </c>
      <c r="K2898" s="2517">
        <v>0</v>
      </c>
      <c r="L2898" s="2517">
        <f t="shared" si="593"/>
        <v>0</v>
      </c>
      <c r="M2898" s="2517">
        <f t="shared" si="594"/>
        <v>0</v>
      </c>
      <c r="N2898" s="2517">
        <f t="shared" si="595"/>
        <v>0</v>
      </c>
      <c r="O2898" s="2517">
        <f t="shared" si="596"/>
        <v>0</v>
      </c>
      <c r="P2898" s="2518"/>
      <c r="Q2898" s="2519"/>
      <c r="R2898" s="2519"/>
      <c r="S2898" s="2519"/>
    </row>
    <row r="2899" spans="1:19" s="2358" customFormat="1" outlineLevel="1">
      <c r="A2899" s="2435" t="str">
        <f t="shared" si="592"/>
        <v/>
      </c>
      <c r="B2899" s="2505" t="s">
        <v>1204</v>
      </c>
      <c r="C2899" s="2521"/>
      <c r="D2899" s="2405" t="s">
        <v>337</v>
      </c>
      <c r="E2899" s="2447" t="s">
        <v>3286</v>
      </c>
      <c r="F2899" s="2405" t="s">
        <v>2538</v>
      </c>
      <c r="G2899" s="2523">
        <f>G2891+G2895</f>
        <v>0</v>
      </c>
      <c r="H2899" s="2517">
        <v>546.34</v>
      </c>
      <c r="I2899" s="2517"/>
      <c r="J2899" s="2517">
        <v>2166</v>
      </c>
      <c r="K2899" s="2517">
        <v>0</v>
      </c>
      <c r="L2899" s="2517">
        <f t="shared" si="593"/>
        <v>0</v>
      </c>
      <c r="M2899" s="2517">
        <f t="shared" si="594"/>
        <v>0</v>
      </c>
      <c r="N2899" s="2517">
        <f t="shared" si="595"/>
        <v>0</v>
      </c>
      <c r="O2899" s="2517">
        <f t="shared" si="596"/>
        <v>0</v>
      </c>
      <c r="P2899" s="2518"/>
      <c r="Q2899" s="2519"/>
      <c r="R2899" s="2519"/>
      <c r="S2899" s="2519"/>
    </row>
    <row r="2900" spans="1:19" s="2358" customFormat="1" outlineLevel="1">
      <c r="A2900" s="2435" t="str">
        <f>IF(G2900&lt;&gt;0,1,"")</f>
        <v/>
      </c>
      <c r="B2900" s="2505" t="s">
        <v>1201</v>
      </c>
      <c r="C2900" s="2521"/>
      <c r="D2900" s="2405" t="s">
        <v>334</v>
      </c>
      <c r="E2900" s="2447" t="s">
        <v>3283</v>
      </c>
      <c r="F2900" s="2405" t="s">
        <v>2538</v>
      </c>
      <c r="G2900" s="2523">
        <f>G2892+G2896</f>
        <v>0</v>
      </c>
      <c r="H2900" s="2517">
        <v>460.75</v>
      </c>
      <c r="I2900" s="2517"/>
      <c r="J2900" s="2517">
        <v>1020</v>
      </c>
      <c r="K2900" s="2517">
        <v>0</v>
      </c>
      <c r="L2900" s="2517">
        <f>H2900*G2900</f>
        <v>0</v>
      </c>
      <c r="M2900" s="2517">
        <f>I2900*G2900</f>
        <v>0</v>
      </c>
      <c r="N2900" s="2517">
        <f>J2900*G2900</f>
        <v>0</v>
      </c>
      <c r="O2900" s="2517">
        <f>K2900*G2900</f>
        <v>0</v>
      </c>
      <c r="P2900" s="2518"/>
      <c r="Q2900" s="2519"/>
      <c r="R2900" s="2519"/>
      <c r="S2900" s="2519"/>
    </row>
    <row r="2901" spans="1:19" s="2358" customFormat="1" outlineLevel="1">
      <c r="A2901" s="2435" t="str">
        <f>IF(G2901&lt;&gt;0,1,"")</f>
        <v/>
      </c>
      <c r="B2901" s="2505" t="s">
        <v>1528</v>
      </c>
      <c r="C2901" s="2521"/>
      <c r="D2901" s="2405" t="s">
        <v>5633</v>
      </c>
      <c r="E2901" s="2447" t="s">
        <v>3310</v>
      </c>
      <c r="F2901" s="2405" t="s">
        <v>1827</v>
      </c>
      <c r="G2901" s="2523">
        <f>G2893</f>
        <v>0</v>
      </c>
      <c r="H2901" s="2517">
        <v>0</v>
      </c>
      <c r="I2901" s="2517"/>
      <c r="J2901" s="2517">
        <v>13915</v>
      </c>
      <c r="K2901" s="2517">
        <v>0</v>
      </c>
      <c r="L2901" s="2517">
        <f>H2901*G2901</f>
        <v>0</v>
      </c>
      <c r="M2901" s="2517">
        <f>I2901*G2901</f>
        <v>0</v>
      </c>
      <c r="N2901" s="2517">
        <f>J2901*G2901</f>
        <v>0</v>
      </c>
      <c r="O2901" s="2517">
        <f>K2901*G2901</f>
        <v>0</v>
      </c>
      <c r="P2901" s="2518"/>
      <c r="Q2901" s="2519"/>
      <c r="R2901" s="2519"/>
      <c r="S2901" s="2519"/>
    </row>
    <row r="2902" spans="1:19" s="2358" customFormat="1" outlineLevel="1">
      <c r="A2902" s="2435" t="str">
        <f>IF(G2902&lt;&gt;0,1,"")</f>
        <v/>
      </c>
      <c r="B2902" s="2505" t="s">
        <v>1352</v>
      </c>
      <c r="C2902" s="2521"/>
      <c r="D2902" s="2405">
        <v>0</v>
      </c>
      <c r="E2902" s="2447" t="s">
        <v>3536</v>
      </c>
      <c r="F2902" s="2405" t="s">
        <v>3537</v>
      </c>
      <c r="G2902" s="2523">
        <f>G2889*2</f>
        <v>0</v>
      </c>
      <c r="H2902" s="2517">
        <v>15000</v>
      </c>
      <c r="I2902" s="2517"/>
      <c r="J2902" s="2517">
        <v>0</v>
      </c>
      <c r="K2902" s="2517">
        <v>0</v>
      </c>
      <c r="L2902" s="2517">
        <f>H2902*G2902</f>
        <v>0</v>
      </c>
      <c r="M2902" s="2517">
        <f>I2902*G2902</f>
        <v>0</v>
      </c>
      <c r="N2902" s="2517">
        <f>J2902*G2902</f>
        <v>0</v>
      </c>
      <c r="O2902" s="2517">
        <f>K2902*G2902</f>
        <v>0</v>
      </c>
      <c r="P2902" s="2518"/>
      <c r="Q2902" s="2519"/>
      <c r="R2902" s="2519"/>
      <c r="S2902" s="2519"/>
    </row>
    <row r="2903" spans="1:19" s="2358" customFormat="1" outlineLevel="1">
      <c r="A2903" s="2435" t="str">
        <f>IF(G2903&lt;&gt;0,1,"")</f>
        <v/>
      </c>
      <c r="B2903" s="2514"/>
      <c r="C2903" s="2511">
        <f>IF(G2903&gt;0,C2889+1,C2889)</f>
        <v>0</v>
      </c>
      <c r="D2903" s="2512"/>
      <c r="E2903" s="2513" t="s">
        <v>6337</v>
      </c>
      <c r="F2903" s="2511" t="s">
        <v>2391</v>
      </c>
      <c r="G2903" s="2516">
        <f>G2793</f>
        <v>0</v>
      </c>
      <c r="H2903" s="2517"/>
      <c r="I2903" s="2517"/>
      <c r="J2903" s="2517"/>
      <c r="K2903" s="2517"/>
      <c r="L2903" s="2517"/>
      <c r="M2903" s="2517"/>
      <c r="N2903" s="2517"/>
      <c r="O2903" s="2517"/>
      <c r="P2903" s="2642"/>
      <c r="Q2903" s="2519"/>
      <c r="R2903" s="2519"/>
      <c r="S2903" s="2519"/>
    </row>
    <row r="2904" spans="1:19" s="2358" customFormat="1" ht="14.4" outlineLevel="1">
      <c r="A2904" s="2435" t="str">
        <f>A2903</f>
        <v/>
      </c>
      <c r="B2904" s="2514"/>
      <c r="C2904" s="2511"/>
      <c r="D2904" s="2512"/>
      <c r="E2904" s="2527" t="s">
        <v>6207</v>
      </c>
      <c r="F2904" s="2511"/>
      <c r="G2904" s="2516"/>
      <c r="H2904" s="2517"/>
      <c r="I2904" s="2517"/>
      <c r="J2904" s="2517"/>
      <c r="K2904" s="2517"/>
      <c r="L2904" s="2517"/>
      <c r="M2904" s="2517"/>
      <c r="N2904" s="2517"/>
      <c r="O2904" s="2517"/>
      <c r="P2904" s="2642"/>
      <c r="Q2904" s="2519"/>
      <c r="R2904" s="2519"/>
      <c r="S2904" s="2519"/>
    </row>
    <row r="2905" spans="1:19" s="2358" customFormat="1" outlineLevel="1">
      <c r="A2905" s="2435" t="str">
        <f>IF(G2905&lt;&gt;0,1,"")</f>
        <v/>
      </c>
      <c r="B2905" s="2505" t="s">
        <v>697</v>
      </c>
      <c r="C2905" s="2521"/>
      <c r="D2905" s="2405">
        <v>0</v>
      </c>
      <c r="E2905" s="2447" t="s">
        <v>5139</v>
      </c>
      <c r="F2905" s="2405" t="s">
        <v>2538</v>
      </c>
      <c r="G2905" s="2522">
        <f>G2903*(9)*3</f>
        <v>0</v>
      </c>
      <c r="H2905" s="2517">
        <v>50996</v>
      </c>
      <c r="I2905" s="2517"/>
      <c r="J2905" s="2517">
        <v>0</v>
      </c>
      <c r="K2905" s="2517">
        <v>0</v>
      </c>
      <c r="L2905" s="2517">
        <f t="shared" ref="L2905:L2912" si="597">H2905*G2905</f>
        <v>0</v>
      </c>
      <c r="M2905" s="2517">
        <f>I2905*G2905</f>
        <v>0</v>
      </c>
      <c r="N2905" s="2517">
        <f t="shared" ref="N2905:N2912" si="598">J2905*G2905</f>
        <v>0</v>
      </c>
      <c r="O2905" s="2517">
        <f t="shared" ref="O2905:O2912" si="599">K2905*G2905</f>
        <v>0</v>
      </c>
      <c r="P2905" s="2642"/>
      <c r="Q2905" s="2519"/>
      <c r="R2905" s="2519"/>
      <c r="S2905" s="2519"/>
    </row>
    <row r="2906" spans="1:19" s="2358" customFormat="1" outlineLevel="1">
      <c r="A2906" s="2435" t="str">
        <f>IF(G2906&lt;&gt;0,1,"")</f>
        <v/>
      </c>
      <c r="B2906" s="2610" t="s">
        <v>1844</v>
      </c>
      <c r="C2906" s="2521"/>
      <c r="D2906" s="2405">
        <v>0</v>
      </c>
      <c r="E2906" s="2447" t="s">
        <v>5130</v>
      </c>
      <c r="F2906" s="2405" t="s">
        <v>2445</v>
      </c>
      <c r="G2906" s="2522">
        <f>G2903*3</f>
        <v>0</v>
      </c>
      <c r="H2906" s="2517">
        <v>65000</v>
      </c>
      <c r="I2906" s="2517"/>
      <c r="J2906" s="2517">
        <v>0</v>
      </c>
      <c r="K2906" s="2517">
        <v>0</v>
      </c>
      <c r="L2906" s="2517">
        <f t="shared" si="597"/>
        <v>0</v>
      </c>
      <c r="M2906" s="2517">
        <v>0</v>
      </c>
      <c r="N2906" s="2517">
        <f t="shared" si="598"/>
        <v>0</v>
      </c>
      <c r="O2906" s="2517">
        <f t="shared" si="599"/>
        <v>0</v>
      </c>
      <c r="P2906" s="2518"/>
      <c r="Q2906" s="2519"/>
      <c r="R2906" s="2519"/>
      <c r="S2906" s="2519"/>
    </row>
    <row r="2907" spans="1:19" s="2358" customFormat="1" outlineLevel="1">
      <c r="A2907" s="2435" t="str">
        <f t="shared" ref="A2907:A2912" si="600">IF(G2907&lt;&gt;0,1,"")</f>
        <v/>
      </c>
      <c r="B2907" s="2610" t="s">
        <v>1482</v>
      </c>
      <c r="C2907" s="2521"/>
      <c r="D2907" s="2405">
        <v>0</v>
      </c>
      <c r="E2907" s="2447" t="s">
        <v>3810</v>
      </c>
      <c r="F2907" s="2405" t="s">
        <v>2563</v>
      </c>
      <c r="G2907" s="2522">
        <f>G2903*3</f>
        <v>0</v>
      </c>
      <c r="H2907" s="2517">
        <v>46000</v>
      </c>
      <c r="I2907" s="2517"/>
      <c r="J2907" s="2517">
        <v>0</v>
      </c>
      <c r="K2907" s="2517">
        <v>0</v>
      </c>
      <c r="L2907" s="2517">
        <f t="shared" si="597"/>
        <v>0</v>
      </c>
      <c r="M2907" s="2517">
        <f t="shared" ref="M2907:M2912" si="601">I2907*G2907</f>
        <v>0</v>
      </c>
      <c r="N2907" s="2517">
        <f t="shared" si="598"/>
        <v>0</v>
      </c>
      <c r="O2907" s="2517">
        <f t="shared" si="599"/>
        <v>0</v>
      </c>
      <c r="P2907" s="2642"/>
      <c r="Q2907" s="2519"/>
      <c r="R2907" s="2519"/>
      <c r="S2907" s="2519"/>
    </row>
    <row r="2908" spans="1:19" s="2358" customFormat="1" outlineLevel="1">
      <c r="A2908" s="2435" t="str">
        <f t="shared" si="600"/>
        <v/>
      </c>
      <c r="B2908" s="2610" t="s">
        <v>1480</v>
      </c>
      <c r="C2908" s="2521"/>
      <c r="D2908" s="2405">
        <v>0</v>
      </c>
      <c r="E2908" s="2447" t="s">
        <v>6420</v>
      </c>
      <c r="F2908" s="2405" t="s">
        <v>2563</v>
      </c>
      <c r="G2908" s="2522">
        <f>G2907</f>
        <v>0</v>
      </c>
      <c r="H2908" s="2517">
        <v>77000</v>
      </c>
      <c r="I2908" s="2517"/>
      <c r="J2908" s="2517">
        <v>0</v>
      </c>
      <c r="K2908" s="2517">
        <v>0</v>
      </c>
      <c r="L2908" s="2517">
        <f t="shared" si="597"/>
        <v>0</v>
      </c>
      <c r="M2908" s="2517">
        <f t="shared" si="601"/>
        <v>0</v>
      </c>
      <c r="N2908" s="2517">
        <f t="shared" si="598"/>
        <v>0</v>
      </c>
      <c r="O2908" s="2517">
        <f t="shared" si="599"/>
        <v>0</v>
      </c>
      <c r="P2908" s="2642"/>
      <c r="Q2908" s="2519"/>
      <c r="R2908" s="2519"/>
      <c r="S2908" s="2519"/>
    </row>
    <row r="2909" spans="1:19" s="2358" customFormat="1" outlineLevel="1">
      <c r="A2909" s="2435" t="str">
        <f t="shared" si="600"/>
        <v/>
      </c>
      <c r="B2909" s="2505" t="s">
        <v>696</v>
      </c>
      <c r="C2909" s="2642"/>
      <c r="D2909" s="2405">
        <v>0</v>
      </c>
      <c r="E2909" s="2447" t="s">
        <v>2952</v>
      </c>
      <c r="F2909" s="2405" t="s">
        <v>2563</v>
      </c>
      <c r="G2909" s="2522">
        <f>G2903*6</f>
        <v>0</v>
      </c>
      <c r="H2909" s="2517">
        <v>205000</v>
      </c>
      <c r="I2909" s="2517"/>
      <c r="J2909" s="2517">
        <v>0</v>
      </c>
      <c r="K2909" s="2517">
        <v>0</v>
      </c>
      <c r="L2909" s="2517">
        <f t="shared" si="597"/>
        <v>0</v>
      </c>
      <c r="M2909" s="2517">
        <f t="shared" si="601"/>
        <v>0</v>
      </c>
      <c r="N2909" s="2517">
        <f t="shared" si="598"/>
        <v>0</v>
      </c>
      <c r="O2909" s="2517">
        <f t="shared" si="599"/>
        <v>0</v>
      </c>
      <c r="P2909" s="2642"/>
      <c r="Q2909" s="2519"/>
      <c r="R2909" s="2519"/>
      <c r="S2909" s="2519"/>
    </row>
    <row r="2910" spans="1:19" s="2358" customFormat="1" outlineLevel="1">
      <c r="A2910" s="2435" t="str">
        <f t="shared" si="600"/>
        <v/>
      </c>
      <c r="B2910" s="2505" t="s">
        <v>1268</v>
      </c>
      <c r="C2910" s="2521"/>
      <c r="D2910" s="2405">
        <v>0</v>
      </c>
      <c r="E2910" s="2447" t="s">
        <v>2831</v>
      </c>
      <c r="F2910" s="2405" t="s">
        <v>2563</v>
      </c>
      <c r="G2910" s="2522">
        <f>G2909</f>
        <v>0</v>
      </c>
      <c r="H2910" s="2517">
        <v>65000</v>
      </c>
      <c r="I2910" s="2517"/>
      <c r="J2910" s="2517">
        <v>0</v>
      </c>
      <c r="K2910" s="2517">
        <v>0</v>
      </c>
      <c r="L2910" s="2517">
        <f t="shared" si="597"/>
        <v>0</v>
      </c>
      <c r="M2910" s="2517">
        <f t="shared" si="601"/>
        <v>0</v>
      </c>
      <c r="N2910" s="2517">
        <f t="shared" si="598"/>
        <v>0</v>
      </c>
      <c r="O2910" s="2517">
        <f t="shared" si="599"/>
        <v>0</v>
      </c>
      <c r="P2910" s="2642"/>
      <c r="Q2910" s="2519"/>
      <c r="R2910" s="2519"/>
      <c r="S2910" s="2519"/>
    </row>
    <row r="2911" spans="1:19" s="2358" customFormat="1" outlineLevel="1">
      <c r="A2911" s="2435" t="str">
        <f t="shared" si="600"/>
        <v/>
      </c>
      <c r="B2911" s="2505" t="s">
        <v>1568</v>
      </c>
      <c r="C2911" s="2521"/>
      <c r="D2911" s="2405" t="s">
        <v>5622</v>
      </c>
      <c r="E2911" s="2447" t="s">
        <v>3289</v>
      </c>
      <c r="F2911" s="2405" t="s">
        <v>2445</v>
      </c>
      <c r="G2911" s="2522">
        <f>G2910</f>
        <v>0</v>
      </c>
      <c r="H2911" s="2517"/>
      <c r="I2911" s="2517"/>
      <c r="J2911" s="2517">
        <v>58277.49</v>
      </c>
      <c r="K2911" s="2517"/>
      <c r="L2911" s="2517">
        <f t="shared" si="597"/>
        <v>0</v>
      </c>
      <c r="M2911" s="2517">
        <f t="shared" si="601"/>
        <v>0</v>
      </c>
      <c r="N2911" s="2517">
        <f t="shared" si="598"/>
        <v>0</v>
      </c>
      <c r="O2911" s="2517">
        <f t="shared" si="599"/>
        <v>0</v>
      </c>
      <c r="P2911" s="2642"/>
      <c r="Q2911" s="2519"/>
      <c r="R2911" s="2519"/>
      <c r="S2911" s="2519"/>
    </row>
    <row r="2912" spans="1:19" s="2358" customFormat="1" outlineLevel="1">
      <c r="A2912" s="2435" t="str">
        <f t="shared" si="600"/>
        <v/>
      </c>
      <c r="B2912" s="2505" t="s">
        <v>1528</v>
      </c>
      <c r="C2912" s="2521"/>
      <c r="D2912" s="2405" t="s">
        <v>5633</v>
      </c>
      <c r="E2912" s="2447" t="s">
        <v>3310</v>
      </c>
      <c r="F2912" s="2405" t="s">
        <v>1827</v>
      </c>
      <c r="G2912" s="2522">
        <f>G2905</f>
        <v>0</v>
      </c>
      <c r="H2912" s="2517"/>
      <c r="I2912" s="2517"/>
      <c r="J2912" s="2517">
        <v>13915</v>
      </c>
      <c r="K2912" s="2517"/>
      <c r="L2912" s="2517">
        <f t="shared" si="597"/>
        <v>0</v>
      </c>
      <c r="M2912" s="2517">
        <f t="shared" si="601"/>
        <v>0</v>
      </c>
      <c r="N2912" s="2517">
        <f t="shared" si="598"/>
        <v>0</v>
      </c>
      <c r="O2912" s="2517">
        <f t="shared" si="599"/>
        <v>0</v>
      </c>
      <c r="P2912" s="2642"/>
      <c r="Q2912" s="2519"/>
      <c r="R2912" s="2519"/>
      <c r="S2912" s="2519"/>
    </row>
    <row r="2913" spans="1:19" s="2358" customFormat="1" outlineLevel="1">
      <c r="A2913" s="2435" t="str">
        <f>IF(G2913&lt;&gt;0,1,"")</f>
        <v/>
      </c>
      <c r="B2913" s="2505"/>
      <c r="C2913" s="2511">
        <f>IF(G2913&gt;0,C2903+1,C2903)</f>
        <v>0</v>
      </c>
      <c r="D2913" s="2512"/>
      <c r="E2913" s="2513" t="s">
        <v>3746</v>
      </c>
      <c r="F2913" s="2511" t="s">
        <v>2391</v>
      </c>
      <c r="G2913" s="2522">
        <f>G2865</f>
        <v>0</v>
      </c>
      <c r="H2913" s="2517"/>
      <c r="I2913" s="2517"/>
      <c r="J2913" s="2517"/>
      <c r="K2913" s="2517"/>
      <c r="L2913" s="2517"/>
      <c r="M2913" s="2517"/>
      <c r="N2913" s="2517"/>
      <c r="O2913" s="2517"/>
      <c r="P2913" s="2642"/>
      <c r="Q2913" s="2519"/>
      <c r="R2913" s="2519"/>
      <c r="S2913" s="2519"/>
    </row>
    <row r="2914" spans="1:19" s="2358" customFormat="1" ht="14.4" outlineLevel="1">
      <c r="A2914" s="2435" t="str">
        <f>A2913</f>
        <v/>
      </c>
      <c r="B2914" s="2505"/>
      <c r="C2914" s="2511"/>
      <c r="D2914" s="2512"/>
      <c r="E2914" s="2527" t="s">
        <v>6207</v>
      </c>
      <c r="F2914" s="2511"/>
      <c r="G2914" s="2522"/>
      <c r="H2914" s="2517"/>
      <c r="I2914" s="2517"/>
      <c r="J2914" s="2517"/>
      <c r="K2914" s="2517"/>
      <c r="L2914" s="2517"/>
      <c r="M2914" s="2517"/>
      <c r="N2914" s="2517"/>
      <c r="O2914" s="2517"/>
      <c r="P2914" s="2642"/>
      <c r="Q2914" s="2519"/>
      <c r="R2914" s="2519"/>
      <c r="S2914" s="2519"/>
    </row>
    <row r="2915" spans="1:19" s="2358" customFormat="1" outlineLevel="1">
      <c r="A2915" s="2435" t="str">
        <f>IF(G2915&lt;&gt;0,1,"")</f>
        <v/>
      </c>
      <c r="B2915" s="2514" t="s">
        <v>4793</v>
      </c>
      <c r="C2915" s="2521"/>
      <c r="D2915" s="2405">
        <v>0</v>
      </c>
      <c r="E2915" s="2447" t="s">
        <v>2807</v>
      </c>
      <c r="F2915" s="2405" t="s">
        <v>2538</v>
      </c>
      <c r="G2915" s="2522">
        <f>+G2913*(5*3*6+6*3)</f>
        <v>0</v>
      </c>
      <c r="H2915" s="2517">
        <v>567100</v>
      </c>
      <c r="I2915" s="2517"/>
      <c r="J2915" s="2517">
        <v>0</v>
      </c>
      <c r="K2915" s="2517">
        <v>0</v>
      </c>
      <c r="L2915" s="2517">
        <f>H2915*G2915</f>
        <v>0</v>
      </c>
      <c r="M2915" s="2517">
        <f>I2915*G2915</f>
        <v>0</v>
      </c>
      <c r="N2915" s="2517">
        <f t="shared" ref="N2915:N2923" si="602">J2915*G2915</f>
        <v>0</v>
      </c>
      <c r="O2915" s="2517">
        <f>K2915*G2915</f>
        <v>0</v>
      </c>
      <c r="P2915" s="2642"/>
      <c r="Q2915" s="2519"/>
      <c r="R2915" s="2519"/>
      <c r="S2915" s="2519"/>
    </row>
    <row r="2916" spans="1:19" s="2358" customFormat="1" outlineLevel="1">
      <c r="A2916" s="2435" t="str">
        <f>IF(G2916&lt;&gt;0,1,"")</f>
        <v/>
      </c>
      <c r="B2916" s="2514" t="s">
        <v>1826</v>
      </c>
      <c r="C2916" s="2521"/>
      <c r="D2916" s="2405" t="s">
        <v>1530</v>
      </c>
      <c r="E2916" s="2447" t="s">
        <v>2792</v>
      </c>
      <c r="F2916" s="2405" t="s">
        <v>2538</v>
      </c>
      <c r="G2916" s="2522">
        <f>+G2913*4</f>
        <v>0</v>
      </c>
      <c r="H2916" s="2517">
        <v>28200</v>
      </c>
      <c r="I2916" s="2517"/>
      <c r="J2916" s="2517">
        <v>0</v>
      </c>
      <c r="K2916" s="2517">
        <v>0</v>
      </c>
      <c r="L2916" s="2517">
        <f>H2916*G2916</f>
        <v>0</v>
      </c>
      <c r="M2916" s="2517">
        <f>I2916*G2916</f>
        <v>0</v>
      </c>
      <c r="N2916" s="2517">
        <f t="shared" si="602"/>
        <v>0</v>
      </c>
      <c r="O2916" s="2517">
        <f>K2916*G2916</f>
        <v>0</v>
      </c>
      <c r="P2916" s="2518"/>
      <c r="Q2916" s="2519"/>
      <c r="R2916" s="2519"/>
      <c r="S2916" s="2519"/>
    </row>
    <row r="2917" spans="1:19" s="2358" customFormat="1" outlineLevel="1">
      <c r="A2917" s="2435" t="str">
        <f t="shared" ref="A2917:A2924" si="603">IF(G2917&lt;&gt;0,1,"")</f>
        <v/>
      </c>
      <c r="B2917" s="2514" t="s">
        <v>2162</v>
      </c>
      <c r="C2917" s="2521"/>
      <c r="D2917" s="2405" t="s">
        <v>5793</v>
      </c>
      <c r="E2917" s="2447" t="s">
        <v>3504</v>
      </c>
      <c r="F2917" s="2405" t="s">
        <v>2563</v>
      </c>
      <c r="G2917" s="2522">
        <f>+G2913*28</f>
        <v>0</v>
      </c>
      <c r="H2917" s="2517">
        <v>70000</v>
      </c>
      <c r="I2917" s="2517"/>
      <c r="J2917" s="2517">
        <v>50013.645000000004</v>
      </c>
      <c r="K2917" s="2517">
        <v>5554.0464950000005</v>
      </c>
      <c r="L2917" s="2517">
        <f t="shared" ref="L2917:L2923" si="604">H2917*G2917</f>
        <v>0</v>
      </c>
      <c r="M2917" s="2517">
        <f t="shared" ref="M2917:M2923" si="605">I2917*G2917</f>
        <v>0</v>
      </c>
      <c r="N2917" s="2517">
        <f t="shared" si="602"/>
        <v>0</v>
      </c>
      <c r="O2917" s="2517">
        <f t="shared" ref="O2917:O2923" si="606">K2917*G2917</f>
        <v>0</v>
      </c>
      <c r="P2917" s="2642"/>
      <c r="Q2917" s="2519"/>
      <c r="R2917" s="2519"/>
      <c r="S2917" s="2519"/>
    </row>
    <row r="2918" spans="1:19" s="2358" customFormat="1" outlineLevel="1">
      <c r="A2918" s="2435" t="str">
        <f t="shared" si="603"/>
        <v/>
      </c>
      <c r="B2918" s="2514" t="s">
        <v>90</v>
      </c>
      <c r="C2918" s="2521"/>
      <c r="D2918" s="2405">
        <v>0</v>
      </c>
      <c r="E2918" s="2447" t="s">
        <v>3518</v>
      </c>
      <c r="F2918" s="2405" t="s">
        <v>2563</v>
      </c>
      <c r="G2918" s="2522">
        <f>G2917</f>
        <v>0</v>
      </c>
      <c r="H2918" s="2517">
        <v>6000</v>
      </c>
      <c r="I2918" s="2517"/>
      <c r="J2918" s="2517">
        <v>0</v>
      </c>
      <c r="K2918" s="2517">
        <v>0</v>
      </c>
      <c r="L2918" s="2517">
        <f t="shared" si="604"/>
        <v>0</v>
      </c>
      <c r="M2918" s="2517">
        <f t="shared" si="605"/>
        <v>0</v>
      </c>
      <c r="N2918" s="2517">
        <f t="shared" si="602"/>
        <v>0</v>
      </c>
      <c r="O2918" s="2517">
        <f t="shared" si="606"/>
        <v>0</v>
      </c>
      <c r="P2918" s="2642"/>
      <c r="Q2918" s="2519"/>
      <c r="R2918" s="2519"/>
      <c r="S2918" s="2519"/>
    </row>
    <row r="2919" spans="1:19" s="2358" customFormat="1" outlineLevel="1">
      <c r="A2919" s="2435" t="str">
        <f t="shared" si="603"/>
        <v/>
      </c>
      <c r="B2919" s="2514" t="s">
        <v>1042</v>
      </c>
      <c r="C2919" s="2521"/>
      <c r="D2919" s="2405">
        <v>0</v>
      </c>
      <c r="E2919" s="2447" t="s">
        <v>3549</v>
      </c>
      <c r="F2919" s="2405" t="s">
        <v>1827</v>
      </c>
      <c r="G2919" s="2522">
        <f>+G2913*2*3</f>
        <v>0</v>
      </c>
      <c r="H2919" s="2517">
        <v>103700</v>
      </c>
      <c r="I2919" s="2517"/>
      <c r="J2919" s="2517">
        <v>0</v>
      </c>
      <c r="K2919" s="2517">
        <v>0</v>
      </c>
      <c r="L2919" s="2517">
        <f t="shared" si="604"/>
        <v>0</v>
      </c>
      <c r="M2919" s="2517">
        <f t="shared" si="605"/>
        <v>0</v>
      </c>
      <c r="N2919" s="2517">
        <f t="shared" si="602"/>
        <v>0</v>
      </c>
      <c r="O2919" s="2517">
        <f t="shared" si="606"/>
        <v>0</v>
      </c>
      <c r="P2919" s="2642"/>
      <c r="Q2919" s="2519"/>
      <c r="R2919" s="2519"/>
      <c r="S2919" s="2519"/>
    </row>
    <row r="2920" spans="1:19" s="2358" customFormat="1" outlineLevel="1">
      <c r="A2920" s="2435" t="str">
        <f t="shared" si="603"/>
        <v/>
      </c>
      <c r="B2920" s="2514" t="s">
        <v>1454</v>
      </c>
      <c r="C2920" s="2521"/>
      <c r="D2920" s="2405">
        <v>0</v>
      </c>
      <c r="E2920" s="2447" t="s">
        <v>3474</v>
      </c>
      <c r="F2920" s="2405" t="s">
        <v>2445</v>
      </c>
      <c r="G2920" s="2522">
        <f>+G2913*1</f>
        <v>0</v>
      </c>
      <c r="H2920" s="2517">
        <v>1020708</v>
      </c>
      <c r="I2920" s="2517"/>
      <c r="J2920" s="2517">
        <v>28461</v>
      </c>
      <c r="K2920" s="2517">
        <v>49488</v>
      </c>
      <c r="L2920" s="2517">
        <f t="shared" si="604"/>
        <v>0</v>
      </c>
      <c r="M2920" s="2517">
        <f t="shared" si="605"/>
        <v>0</v>
      </c>
      <c r="N2920" s="2517">
        <f t="shared" si="602"/>
        <v>0</v>
      </c>
      <c r="O2920" s="2517">
        <f t="shared" si="606"/>
        <v>0</v>
      </c>
      <c r="P2920" s="2642"/>
      <c r="Q2920" s="2675"/>
      <c r="R2920" s="2519"/>
      <c r="S2920" s="2519"/>
    </row>
    <row r="2921" spans="1:19" s="2358" customFormat="1" outlineLevel="1">
      <c r="A2921" s="2435" t="str">
        <f t="shared" si="603"/>
        <v/>
      </c>
      <c r="B2921" s="2505" t="s">
        <v>6</v>
      </c>
      <c r="C2921" s="2521"/>
      <c r="D2921" s="2405"/>
      <c r="E2921" s="2447" t="s">
        <v>3585</v>
      </c>
      <c r="F2921" s="2405" t="s">
        <v>5868</v>
      </c>
      <c r="G2921" s="2522">
        <f>+G2913*3</f>
        <v>0</v>
      </c>
      <c r="H2921" s="2517">
        <v>45000</v>
      </c>
      <c r="I2921" s="2517"/>
      <c r="J2921" s="2517"/>
      <c r="K2921" s="2517"/>
      <c r="L2921" s="2517">
        <f t="shared" si="604"/>
        <v>0</v>
      </c>
      <c r="M2921" s="2517">
        <f t="shared" si="605"/>
        <v>0</v>
      </c>
      <c r="N2921" s="2517">
        <f t="shared" si="602"/>
        <v>0</v>
      </c>
      <c r="O2921" s="2517">
        <f t="shared" si="606"/>
        <v>0</v>
      </c>
      <c r="P2921" s="2518"/>
      <c r="Q2921" s="2519"/>
      <c r="R2921" s="2519"/>
      <c r="S2921" s="2519"/>
    </row>
    <row r="2922" spans="1:19" s="2358" customFormat="1" outlineLevel="1">
      <c r="A2922" s="2435" t="str">
        <f t="shared" si="603"/>
        <v/>
      </c>
      <c r="B2922" s="2514" t="s">
        <v>1351</v>
      </c>
      <c r="C2922" s="2521"/>
      <c r="D2922" s="2405">
        <v>0</v>
      </c>
      <c r="E2922" s="2447" t="s">
        <v>3536</v>
      </c>
      <c r="F2922" s="2405" t="s">
        <v>3537</v>
      </c>
      <c r="G2922" s="2522">
        <f>+G2921</f>
        <v>0</v>
      </c>
      <c r="H2922" s="2517">
        <v>15000</v>
      </c>
      <c r="I2922" s="2517"/>
      <c r="J2922" s="2517">
        <v>0</v>
      </c>
      <c r="K2922" s="2517">
        <v>0</v>
      </c>
      <c r="L2922" s="2517">
        <f t="shared" si="604"/>
        <v>0</v>
      </c>
      <c r="M2922" s="2517">
        <f t="shared" si="605"/>
        <v>0</v>
      </c>
      <c r="N2922" s="2517">
        <f t="shared" si="602"/>
        <v>0</v>
      </c>
      <c r="O2922" s="2517">
        <f t="shared" si="606"/>
        <v>0</v>
      </c>
      <c r="P2922" s="2518"/>
      <c r="Q2922" s="2519"/>
      <c r="R2922" s="2519"/>
      <c r="S2922" s="2519"/>
    </row>
    <row r="2923" spans="1:19" s="2358" customFormat="1" outlineLevel="1">
      <c r="A2923" s="2435" t="str">
        <f t="shared" si="603"/>
        <v/>
      </c>
      <c r="B2923" s="2505" t="s">
        <v>672</v>
      </c>
      <c r="C2923" s="2521"/>
      <c r="D2923" s="2405">
        <v>0</v>
      </c>
      <c r="E2923" s="2447" t="s">
        <v>5863</v>
      </c>
      <c r="F2923" s="2405" t="s">
        <v>3584</v>
      </c>
      <c r="G2923" s="2522">
        <f>+G2913*1</f>
        <v>0</v>
      </c>
      <c r="H2923" s="2517">
        <v>6500</v>
      </c>
      <c r="I2923" s="2517"/>
      <c r="J2923" s="2517">
        <v>0</v>
      </c>
      <c r="K2923" s="2517">
        <v>0</v>
      </c>
      <c r="L2923" s="2517">
        <f t="shared" si="604"/>
        <v>0</v>
      </c>
      <c r="M2923" s="2517">
        <f t="shared" si="605"/>
        <v>0</v>
      </c>
      <c r="N2923" s="2517">
        <f t="shared" si="602"/>
        <v>0</v>
      </c>
      <c r="O2923" s="2517">
        <f t="shared" si="606"/>
        <v>0</v>
      </c>
      <c r="P2923" s="2642"/>
      <c r="Q2923" s="2519"/>
      <c r="R2923" s="2519"/>
      <c r="S2923" s="2519"/>
    </row>
    <row r="2924" spans="1:19" s="2358" customFormat="1" outlineLevel="1">
      <c r="A2924" s="2435" t="str">
        <f t="shared" si="603"/>
        <v/>
      </c>
      <c r="B2924" s="2505" t="s">
        <v>247</v>
      </c>
      <c r="C2924" s="2521"/>
      <c r="D2924" s="2405" t="s">
        <v>5635</v>
      </c>
      <c r="E2924" s="2447" t="s">
        <v>5636</v>
      </c>
      <c r="F2924" s="2405" t="s">
        <v>1827</v>
      </c>
      <c r="G2924" s="2522">
        <f>G2915</f>
        <v>0</v>
      </c>
      <c r="H2924" s="2517">
        <v>0</v>
      </c>
      <c r="I2924" s="2517"/>
      <c r="J2924" s="2517">
        <v>47311</v>
      </c>
      <c r="K2924" s="2517">
        <v>0</v>
      </c>
      <c r="L2924" s="2517">
        <f>H2924*G2924</f>
        <v>0</v>
      </c>
      <c r="M2924" s="2517">
        <f>I2924*G2924</f>
        <v>0</v>
      </c>
      <c r="N2924" s="2517">
        <f>J2924*G2924</f>
        <v>0</v>
      </c>
      <c r="O2924" s="2517">
        <f>K2924*G2924</f>
        <v>0</v>
      </c>
      <c r="P2924" s="2642"/>
      <c r="Q2924" s="2519"/>
      <c r="R2924" s="2519"/>
      <c r="S2924" s="2519"/>
    </row>
    <row r="2925" spans="1:19" s="2358" customFormat="1" outlineLevel="1">
      <c r="A2925" s="2435">
        <f>A2788</f>
        <v>0</v>
      </c>
      <c r="B2925" s="2610"/>
      <c r="C2925" s="2676"/>
      <c r="D2925" s="2677"/>
      <c r="E2925" s="2652"/>
      <c r="F2925" s="2890"/>
      <c r="G2925" s="2891"/>
      <c r="H2925" s="2890"/>
      <c r="I2925" s="2890"/>
      <c r="J2925" s="2900" t="s">
        <v>6205</v>
      </c>
      <c r="K2925" s="2900"/>
      <c r="L2925" s="2678">
        <f>SUM(L2804:L2924)</f>
        <v>0</v>
      </c>
      <c r="M2925" s="2678">
        <f>SUM(M2804:M2924)</f>
        <v>0</v>
      </c>
      <c r="N2925" s="2678">
        <f>SUM(N2804:N2924)</f>
        <v>0</v>
      </c>
      <c r="O2925" s="2678">
        <f>SUM(O2804:O2924)</f>
        <v>0</v>
      </c>
      <c r="P2925" s="2649"/>
      <c r="Q2925" s="2519"/>
      <c r="R2925" s="2519"/>
      <c r="S2925" s="2519"/>
    </row>
    <row r="2926" spans="1:19" s="2358" customFormat="1" outlineLevel="1">
      <c r="A2926" s="2435"/>
      <c r="B2926" s="2610"/>
      <c r="C2926" s="2780"/>
      <c r="D2926" s="2780"/>
      <c r="E2926" s="2781"/>
      <c r="F2926" s="2898"/>
      <c r="G2926" s="2897"/>
      <c r="H2926" s="2898"/>
      <c r="I2926" s="2898"/>
      <c r="J2926" s="2781"/>
      <c r="K2926" s="2781"/>
      <c r="L2926" s="2782"/>
      <c r="M2926" s="2782"/>
      <c r="N2926" s="2782"/>
      <c r="O2926" s="2782"/>
      <c r="P2926" s="2639"/>
      <c r="Q2926" s="2519"/>
      <c r="R2926" s="2519"/>
      <c r="S2926" s="2519"/>
    </row>
    <row r="2927" spans="1:19" s="2358" customFormat="1" ht="13.8" customHeight="1">
      <c r="A2927" s="2639">
        <f>IF(G2932&gt;0,1,)</f>
        <v>0</v>
      </c>
      <c r="B2927" s="2505"/>
      <c r="C2927" s="2519"/>
      <c r="D2927" s="2519"/>
      <c r="E2927" s="2689"/>
      <c r="F2927" s="2519"/>
      <c r="G2927" s="2690"/>
      <c r="H2927" s="2519"/>
      <c r="I2927" s="2519"/>
      <c r="J2927" s="2519"/>
      <c r="K2927" s="2519"/>
      <c r="L2927" s="2519"/>
      <c r="M2927" s="2519"/>
      <c r="N2927" s="2519"/>
      <c r="O2927" s="2519"/>
      <c r="P2927" s="2519"/>
      <c r="Q2927" s="2519"/>
      <c r="R2927" s="2519"/>
      <c r="S2927" s="2519"/>
    </row>
    <row r="2928" spans="1:19" s="2358" customFormat="1" outlineLevel="1">
      <c r="A2928" s="2435">
        <f>A2927</f>
        <v>0</v>
      </c>
      <c r="B2928" s="2640"/>
      <c r="C2928" s="2877" t="str">
        <f>"BẢNG TỔNG HỢP VẬT LIỆU, NHÂN CÔNG, MÁY THI CÔNG: "&amp;K18&amp;" TRẠM 3P_1250KVA"</f>
        <v>BẢNG TỔNG HỢP VẬT LIỆU, NHÂN CÔNG, MÁY THI CÔNG:  TRẠM 3P_1250KVA</v>
      </c>
      <c r="D2928" s="2892"/>
      <c r="E2928" s="2892"/>
      <c r="F2928" s="2892"/>
      <c r="G2928" s="2892"/>
      <c r="H2928" s="2893"/>
      <c r="I2928" s="2781"/>
      <c r="J2928" s="2893"/>
      <c r="K2928" s="2893"/>
      <c r="L2928" s="2893"/>
      <c r="M2928" s="2781"/>
      <c r="N2928" s="2893"/>
      <c r="O2928" s="2893"/>
      <c r="P2928" s="2895"/>
      <c r="Q2928" s="2519"/>
      <c r="R2928" s="2519"/>
      <c r="S2928" s="2519"/>
    </row>
    <row r="2929" spans="1:19" s="2358" customFormat="1" outlineLevel="1">
      <c r="A2929" s="2435">
        <f>A2927</f>
        <v>0</v>
      </c>
      <c r="B2929" s="2514" t="s">
        <v>6186</v>
      </c>
      <c r="C2929" s="2901" t="s">
        <v>1712</v>
      </c>
      <c r="D2929" s="2902" t="s">
        <v>2605</v>
      </c>
      <c r="E2929" s="2904" t="s">
        <v>2606</v>
      </c>
      <c r="F2929" s="2901" t="s">
        <v>2601</v>
      </c>
      <c r="G2929" s="2362" t="s">
        <v>6187</v>
      </c>
      <c r="H2929" s="2365" t="s">
        <v>6188</v>
      </c>
      <c r="I2929" s="2872"/>
      <c r="J2929" s="2872"/>
      <c r="K2929" s="2873"/>
      <c r="L2929" s="2365" t="s">
        <v>6189</v>
      </c>
      <c r="M2929" s="2872"/>
      <c r="N2929" s="2872"/>
      <c r="O2929" s="2873"/>
      <c r="P2929" s="2901" t="s">
        <v>2607</v>
      </c>
      <c r="Q2929" s="2519"/>
      <c r="R2929" s="2519"/>
      <c r="S2929" s="2519"/>
    </row>
    <row r="2930" spans="1:19" s="2358" customFormat="1" outlineLevel="1">
      <c r="A2930" s="2435">
        <f>A2929</f>
        <v>0</v>
      </c>
      <c r="B2930" s="2514"/>
      <c r="C2930" s="2901"/>
      <c r="D2930" s="2903"/>
      <c r="E2930" s="2905"/>
      <c r="F2930" s="2901"/>
      <c r="G2930" s="2364" t="s">
        <v>2292</v>
      </c>
      <c r="H2930" s="2365" t="s">
        <v>6190</v>
      </c>
      <c r="I2930" s="2365" t="s">
        <v>6191</v>
      </c>
      <c r="J2930" s="2365" t="s">
        <v>6192</v>
      </c>
      <c r="K2930" s="2365" t="s">
        <v>6193</v>
      </c>
      <c r="L2930" s="2365" t="s">
        <v>6190</v>
      </c>
      <c r="M2930" s="2365" t="s">
        <v>6191</v>
      </c>
      <c r="N2930" s="2365" t="s">
        <v>6192</v>
      </c>
      <c r="O2930" s="2365" t="s">
        <v>6193</v>
      </c>
      <c r="P2930" s="2901"/>
      <c r="Q2930" s="2519"/>
      <c r="R2930" s="2519"/>
      <c r="S2930" s="2519"/>
    </row>
    <row r="2931" spans="1:19" s="2358" customFormat="1" outlineLevel="1">
      <c r="A2931" s="2435">
        <f>A2930</f>
        <v>0</v>
      </c>
      <c r="B2931" s="2514"/>
      <c r="C2931" s="2366"/>
      <c r="D2931" s="2367"/>
      <c r="E2931" s="2368" t="s">
        <v>3690</v>
      </c>
      <c r="F2931" s="2369"/>
      <c r="G2931" s="2369"/>
      <c r="H2931" s="2369"/>
      <c r="I2931" s="2369"/>
      <c r="J2931" s="2369"/>
      <c r="K2931" s="2369"/>
      <c r="L2931" s="2369"/>
      <c r="M2931" s="2369"/>
      <c r="N2931" s="2369"/>
      <c r="O2931" s="2367"/>
      <c r="P2931" s="2370"/>
      <c r="Q2931" s="2519"/>
      <c r="R2931" s="2519"/>
      <c r="S2931" s="2519"/>
    </row>
    <row r="2932" spans="1:19" s="2358" customFormat="1" outlineLevel="1">
      <c r="A2932" s="2435" t="str">
        <f t="shared" ref="A2932:A2942" si="607">IF(G2932&lt;&gt;0,1,"")</f>
        <v/>
      </c>
      <c r="B2932" s="2505" t="str">
        <f>IF($F$8=15,"tr1250","tr12501")</f>
        <v>tr12501</v>
      </c>
      <c r="C2932" s="2521">
        <f>IF(G2932&gt;0,1,0)</f>
        <v>0</v>
      </c>
      <c r="D2932" s="2405" t="s">
        <v>5656</v>
      </c>
      <c r="E2932" s="2447" t="s">
        <v>3354</v>
      </c>
      <c r="F2932" s="2405" t="s">
        <v>3318</v>
      </c>
      <c r="G2932" s="2816"/>
      <c r="H2932" s="2612">
        <v>616819000</v>
      </c>
      <c r="I2932" s="2612"/>
      <c r="J2932" s="2612">
        <v>1928901</v>
      </c>
      <c r="K2932" s="2612">
        <v>426761</v>
      </c>
      <c r="L2932" s="2613">
        <f t="shared" ref="L2932:L2942" si="608">H2932*G2932</f>
        <v>0</v>
      </c>
      <c r="M2932" s="2613">
        <f t="shared" ref="M2932:M2942" si="609">I2932*G2932</f>
        <v>0</v>
      </c>
      <c r="N2932" s="2613">
        <f t="shared" ref="N2932:N2942" si="610">J2932*G2932</f>
        <v>0</v>
      </c>
      <c r="O2932" s="2614">
        <f t="shared" ref="O2932:O2942" si="611">K2932*G2932</f>
        <v>0</v>
      </c>
      <c r="P2932" s="2817"/>
      <c r="Q2932" s="2519"/>
      <c r="R2932" s="2519"/>
      <c r="S2932" s="2519"/>
    </row>
    <row r="2933" spans="1:19" s="2358" customFormat="1" outlineLevel="1">
      <c r="A2933" s="2435" t="str">
        <f t="shared" si="607"/>
        <v/>
      </c>
      <c r="B2933" s="2610" t="s">
        <v>393</v>
      </c>
      <c r="C2933" s="2521">
        <f>IF(G2933&gt;0,C2932+1,C2932)</f>
        <v>0</v>
      </c>
      <c r="D2933" s="2405" t="s">
        <v>5662</v>
      </c>
      <c r="E2933" s="2447" t="s">
        <v>1596</v>
      </c>
      <c r="F2933" s="2405" t="s">
        <v>2445</v>
      </c>
      <c r="G2933" s="2522">
        <f>G2932*0</f>
        <v>0</v>
      </c>
      <c r="H2933" s="2612">
        <v>16664000</v>
      </c>
      <c r="I2933" s="2612">
        <v>0</v>
      </c>
      <c r="J2933" s="2612">
        <v>0</v>
      </c>
      <c r="K2933" s="2612">
        <v>262622</v>
      </c>
      <c r="L2933" s="2613">
        <f t="shared" si="608"/>
        <v>0</v>
      </c>
      <c r="M2933" s="2613">
        <f t="shared" si="609"/>
        <v>0</v>
      </c>
      <c r="N2933" s="2613">
        <f t="shared" si="610"/>
        <v>0</v>
      </c>
      <c r="O2933" s="2614">
        <f t="shared" si="611"/>
        <v>0</v>
      </c>
      <c r="P2933" s="2518"/>
      <c r="Q2933" s="2519"/>
      <c r="R2933" s="2519"/>
      <c r="S2933" s="2519"/>
    </row>
    <row r="2934" spans="1:19" s="2358" customFormat="1" outlineLevel="1">
      <c r="A2934" s="2435" t="str">
        <f t="shared" si="607"/>
        <v/>
      </c>
      <c r="B2934" s="2514" t="s">
        <v>1</v>
      </c>
      <c r="C2934" s="2521">
        <f t="shared" ref="C2934:C2939" si="612">IF(G2934&gt;0,C2933+1,C2933)</f>
        <v>0</v>
      </c>
      <c r="D2934" s="2405" t="s">
        <v>1391</v>
      </c>
      <c r="E2934" s="2447" t="s">
        <v>3402</v>
      </c>
      <c r="F2934" s="2405" t="s">
        <v>3388</v>
      </c>
      <c r="G2934" s="2522">
        <f>G2932*0</f>
        <v>0</v>
      </c>
      <c r="H2934" s="2612">
        <v>0</v>
      </c>
      <c r="I2934" s="2612">
        <v>0</v>
      </c>
      <c r="J2934" s="2612">
        <v>286129</v>
      </c>
      <c r="K2934" s="2612">
        <v>59254</v>
      </c>
      <c r="L2934" s="2613">
        <f t="shared" si="608"/>
        <v>0</v>
      </c>
      <c r="M2934" s="2613">
        <f t="shared" si="609"/>
        <v>0</v>
      </c>
      <c r="N2934" s="2613">
        <f t="shared" si="610"/>
        <v>0</v>
      </c>
      <c r="O2934" s="2614">
        <f t="shared" si="611"/>
        <v>0</v>
      </c>
      <c r="P2934" s="2642" t="s">
        <v>6359</v>
      </c>
      <c r="Q2934" s="2519"/>
      <c r="R2934" s="2519"/>
      <c r="S2934" s="2519"/>
    </row>
    <row r="2935" spans="1:19" s="2358" customFormat="1" outlineLevel="1">
      <c r="A2935" s="2435" t="str">
        <f t="shared" si="607"/>
        <v/>
      </c>
      <c r="B2935" s="2371" t="str">
        <f>"FCO100-"&amp;$F$8</f>
        <v>FCO100-22</v>
      </c>
      <c r="C2935" s="2521">
        <f t="shared" si="612"/>
        <v>0</v>
      </c>
      <c r="D2935" s="2405" t="s">
        <v>5660</v>
      </c>
      <c r="E2935" s="2447" t="s">
        <v>95</v>
      </c>
      <c r="F2935" s="2405" t="s">
        <v>2563</v>
      </c>
      <c r="G2935" s="2522">
        <f>+G2932*3</f>
        <v>0</v>
      </c>
      <c r="H2935" s="2517">
        <v>2244280</v>
      </c>
      <c r="I2935" s="2517">
        <v>0</v>
      </c>
      <c r="J2935" s="2517">
        <v>222639.99999999997</v>
      </c>
      <c r="K2935" s="2517">
        <v>0</v>
      </c>
      <c r="L2935" s="2517">
        <f t="shared" si="608"/>
        <v>0</v>
      </c>
      <c r="M2935" s="2517">
        <f t="shared" si="609"/>
        <v>0</v>
      </c>
      <c r="N2935" s="2517">
        <f t="shared" si="610"/>
        <v>0</v>
      </c>
      <c r="O2935" s="2517">
        <f t="shared" si="611"/>
        <v>0</v>
      </c>
      <c r="P2935" s="2518"/>
      <c r="Q2935" s="2519"/>
      <c r="R2935" s="2519"/>
      <c r="S2935" s="2519"/>
    </row>
    <row r="2936" spans="1:19" s="2358" customFormat="1" outlineLevel="1">
      <c r="A2936" s="2435" t="str">
        <f t="shared" si="607"/>
        <v/>
      </c>
      <c r="B2936" s="2505" t="str">
        <f>IF($F$8=15,"CHI65K","CHI50K")</f>
        <v>CHI50K</v>
      </c>
      <c r="C2936" s="2521">
        <f t="shared" si="612"/>
        <v>0</v>
      </c>
      <c r="D2936" s="2405">
        <v>0</v>
      </c>
      <c r="E2936" s="2447" t="s">
        <v>3450</v>
      </c>
      <c r="F2936" s="2405" t="s">
        <v>2608</v>
      </c>
      <c r="G2936" s="2522">
        <f>G2935</f>
        <v>0</v>
      </c>
      <c r="H2936" s="2517">
        <v>132000</v>
      </c>
      <c r="I2936" s="2517">
        <v>0</v>
      </c>
      <c r="J2936" s="2517">
        <v>0</v>
      </c>
      <c r="K2936" s="2517">
        <v>0</v>
      </c>
      <c r="L2936" s="2517">
        <f t="shared" si="608"/>
        <v>0</v>
      </c>
      <c r="M2936" s="2517">
        <f t="shared" si="609"/>
        <v>0</v>
      </c>
      <c r="N2936" s="2517">
        <f t="shared" si="610"/>
        <v>0</v>
      </c>
      <c r="O2936" s="2517">
        <f t="shared" si="611"/>
        <v>0</v>
      </c>
      <c r="P2936" s="2518"/>
      <c r="Q2936" s="2519"/>
      <c r="R2936" s="2519"/>
      <c r="S2936" s="2519"/>
    </row>
    <row r="2937" spans="1:19" s="2358" customFormat="1" outlineLevel="1">
      <c r="A2937" s="2435" t="str">
        <f t="shared" si="607"/>
        <v/>
      </c>
      <c r="B2937" s="2514" t="str">
        <f>"LA"&amp;$F$6</f>
        <v>LA18</v>
      </c>
      <c r="C2937" s="2521">
        <f t="shared" si="612"/>
        <v>0</v>
      </c>
      <c r="D2937" s="2405" t="s">
        <v>5664</v>
      </c>
      <c r="E2937" s="2447" t="s">
        <v>1193</v>
      </c>
      <c r="F2937" s="2405" t="s">
        <v>2563</v>
      </c>
      <c r="G2937" s="2522">
        <f>G2932*3</f>
        <v>0</v>
      </c>
      <c r="H2937" s="2517">
        <v>1106000</v>
      </c>
      <c r="I2937" s="2517">
        <v>0</v>
      </c>
      <c r="J2937" s="2517">
        <v>83490</v>
      </c>
      <c r="K2937" s="2517">
        <v>0</v>
      </c>
      <c r="L2937" s="2517">
        <f t="shared" si="608"/>
        <v>0</v>
      </c>
      <c r="M2937" s="2517">
        <f t="shared" si="609"/>
        <v>0</v>
      </c>
      <c r="N2937" s="2517">
        <f t="shared" si="610"/>
        <v>0</v>
      </c>
      <c r="O2937" s="2517">
        <f t="shared" si="611"/>
        <v>0</v>
      </c>
      <c r="P2937" s="2518"/>
      <c r="Q2937" s="2519"/>
      <c r="R2937" s="2519"/>
      <c r="S2937" s="2519"/>
    </row>
    <row r="2938" spans="1:19" s="2358" customFormat="1" outlineLevel="1">
      <c r="A2938" s="2435" t="str">
        <f t="shared" si="607"/>
        <v/>
      </c>
      <c r="B2938" s="2610" t="s">
        <v>440</v>
      </c>
      <c r="C2938" s="2521">
        <f t="shared" si="612"/>
        <v>0</v>
      </c>
      <c r="D2938" s="2405">
        <v>0</v>
      </c>
      <c r="E2938" s="2447" t="s">
        <v>5752</v>
      </c>
      <c r="F2938" s="2405" t="s">
        <v>2563</v>
      </c>
      <c r="G2938" s="2522">
        <f>G2932</f>
        <v>0</v>
      </c>
      <c r="H2938" s="2818">
        <v>64500000</v>
      </c>
      <c r="I2938" s="2517">
        <v>0</v>
      </c>
      <c r="J2938" s="2517">
        <v>0</v>
      </c>
      <c r="K2938" s="2517">
        <v>0</v>
      </c>
      <c r="L2938" s="2517">
        <f t="shared" si="608"/>
        <v>0</v>
      </c>
      <c r="M2938" s="2517">
        <f t="shared" si="609"/>
        <v>0</v>
      </c>
      <c r="N2938" s="2517">
        <f t="shared" si="610"/>
        <v>0</v>
      </c>
      <c r="O2938" s="2517">
        <f t="shared" si="611"/>
        <v>0</v>
      </c>
      <c r="P2938" s="2518"/>
      <c r="Q2938" s="2519"/>
      <c r="R2938" s="2519"/>
      <c r="S2938" s="2519"/>
    </row>
    <row r="2939" spans="1:19" s="2358" customFormat="1" outlineLevel="1">
      <c r="A2939" s="2435" t="str">
        <f t="shared" si="607"/>
        <v/>
      </c>
      <c r="B2939" s="2610" t="s">
        <v>6349</v>
      </c>
      <c r="C2939" s="2521">
        <f t="shared" si="612"/>
        <v>0</v>
      </c>
      <c r="D2939" s="2405" t="s">
        <v>1025</v>
      </c>
      <c r="E2939" s="2447" t="s">
        <v>5680</v>
      </c>
      <c r="F2939" s="2405" t="s">
        <v>3388</v>
      </c>
      <c r="G2939" s="2522">
        <f>G2938</f>
        <v>0</v>
      </c>
      <c r="H2939" s="2818">
        <v>61000000</v>
      </c>
      <c r="I2939" s="2517">
        <v>0</v>
      </c>
      <c r="J2939" s="2517">
        <v>98101</v>
      </c>
      <c r="K2939" s="2517">
        <v>59254</v>
      </c>
      <c r="L2939" s="2517">
        <f t="shared" si="608"/>
        <v>0</v>
      </c>
      <c r="M2939" s="2517">
        <f t="shared" si="609"/>
        <v>0</v>
      </c>
      <c r="N2939" s="2517">
        <f t="shared" si="610"/>
        <v>0</v>
      </c>
      <c r="O2939" s="2517">
        <f t="shared" si="611"/>
        <v>0</v>
      </c>
      <c r="P2939" s="2518"/>
      <c r="Q2939" s="2519"/>
      <c r="R2939" s="2519"/>
      <c r="S2939" s="2519"/>
    </row>
    <row r="2940" spans="1:19" s="2358" customFormat="1" outlineLevel="1">
      <c r="A2940" s="2435" t="str">
        <f t="shared" si="607"/>
        <v/>
      </c>
      <c r="B2940" s="2505" t="str">
        <f>IF($F$8=15,"TI40","TI30")</f>
        <v>TI30</v>
      </c>
      <c r="C2940" s="2521">
        <f>IF(G2940&gt;0,C2939+1,C2939)</f>
        <v>0</v>
      </c>
      <c r="D2940" s="2405">
        <v>0</v>
      </c>
      <c r="E2940" s="2447" t="s">
        <v>3366</v>
      </c>
      <c r="F2940" s="2405" t="s">
        <v>2563</v>
      </c>
      <c r="G2940" s="2643">
        <f>G2932*3</f>
        <v>0</v>
      </c>
      <c r="H2940" s="2517">
        <v>0</v>
      </c>
      <c r="I2940" s="2517">
        <v>0</v>
      </c>
      <c r="J2940" s="2517">
        <v>0</v>
      </c>
      <c r="K2940" s="2517">
        <v>0</v>
      </c>
      <c r="L2940" s="2517">
        <f t="shared" si="608"/>
        <v>0</v>
      </c>
      <c r="M2940" s="2517">
        <f t="shared" si="609"/>
        <v>0</v>
      </c>
      <c r="N2940" s="2517">
        <f t="shared" si="610"/>
        <v>0</v>
      </c>
      <c r="O2940" s="2517">
        <f t="shared" si="611"/>
        <v>0</v>
      </c>
      <c r="P2940" s="2644" t="s">
        <v>2609</v>
      </c>
      <c r="Q2940" s="2519"/>
      <c r="R2940" s="2519"/>
      <c r="S2940" s="2519"/>
    </row>
    <row r="2941" spans="1:19" s="2358" customFormat="1" outlineLevel="1">
      <c r="A2941" s="2435" t="str">
        <f t="shared" si="607"/>
        <v/>
      </c>
      <c r="B2941" s="2505" t="str">
        <f>IF($F$8=15,"TU15","TU22")</f>
        <v>TU22</v>
      </c>
      <c r="C2941" s="2521">
        <f>IF(G2941&gt;0,C2940+1,C2940)</f>
        <v>0</v>
      </c>
      <c r="D2941" s="2405">
        <v>0</v>
      </c>
      <c r="E2941" s="2447" t="s">
        <v>5673</v>
      </c>
      <c r="F2941" s="2405" t="s">
        <v>2563</v>
      </c>
      <c r="G2941" s="2819">
        <f>G2940</f>
        <v>0</v>
      </c>
      <c r="H2941" s="2517">
        <v>0</v>
      </c>
      <c r="I2941" s="2517"/>
      <c r="J2941" s="2517">
        <v>92703</v>
      </c>
      <c r="K2941" s="2517">
        <v>84261</v>
      </c>
      <c r="L2941" s="2517">
        <f t="shared" si="608"/>
        <v>0</v>
      </c>
      <c r="M2941" s="2517">
        <f t="shared" si="609"/>
        <v>0</v>
      </c>
      <c r="N2941" s="2517">
        <f t="shared" si="610"/>
        <v>0</v>
      </c>
      <c r="O2941" s="2517">
        <f t="shared" si="611"/>
        <v>0</v>
      </c>
      <c r="P2941" s="2644" t="s">
        <v>2609</v>
      </c>
      <c r="Q2941" s="2519"/>
      <c r="R2941" s="2519"/>
      <c r="S2941" s="2519"/>
    </row>
    <row r="2942" spans="1:19" s="2358" customFormat="1" outlineLevel="1">
      <c r="A2942" s="2435" t="str">
        <f t="shared" si="607"/>
        <v/>
      </c>
      <c r="B2942" s="2820" t="s">
        <v>1841</v>
      </c>
      <c r="C2942" s="2521">
        <f>IF(G2942&gt;0,C2941+1,C2941)</f>
        <v>0</v>
      </c>
      <c r="D2942" s="2405">
        <v>0</v>
      </c>
      <c r="E2942" s="2447" t="s">
        <v>5771</v>
      </c>
      <c r="F2942" s="2405" t="s">
        <v>2563</v>
      </c>
      <c r="G2942" s="2643">
        <f>G2932</f>
        <v>0</v>
      </c>
      <c r="H2942" s="2612">
        <v>0</v>
      </c>
      <c r="I2942" s="2612">
        <v>0</v>
      </c>
      <c r="J2942" s="2612">
        <v>0</v>
      </c>
      <c r="K2942" s="2612">
        <v>0</v>
      </c>
      <c r="L2942" s="2517">
        <f t="shared" si="608"/>
        <v>0</v>
      </c>
      <c r="M2942" s="2613">
        <f t="shared" si="609"/>
        <v>0</v>
      </c>
      <c r="N2942" s="2613">
        <f t="shared" si="610"/>
        <v>0</v>
      </c>
      <c r="O2942" s="2614">
        <f t="shared" si="611"/>
        <v>0</v>
      </c>
      <c r="P2942" s="2645" t="s">
        <v>2609</v>
      </c>
      <c r="Q2942" s="2519"/>
      <c r="R2942" s="2519"/>
      <c r="S2942" s="2519"/>
    </row>
    <row r="2943" spans="1:19" s="2358" customFormat="1" outlineLevel="1">
      <c r="A2943" s="2435">
        <f>A2927</f>
        <v>0</v>
      </c>
      <c r="B2943" s="2514"/>
      <c r="C2943" s="2646"/>
      <c r="D2943" s="2647"/>
      <c r="E2943" s="2648"/>
      <c r="F2943" s="2646"/>
      <c r="G2943" s="2889"/>
      <c r="H2943" s="2646"/>
      <c r="I2943" s="2646"/>
      <c r="J2943" s="2370" t="s">
        <v>6195</v>
      </c>
      <c r="K2943" s="2646"/>
      <c r="L2943" s="2648">
        <f>SUM(L2932:L2942)</f>
        <v>0</v>
      </c>
      <c r="M2943" s="2648">
        <f>SUM(M2932:M2942)</f>
        <v>0</v>
      </c>
      <c r="N2943" s="2648">
        <f>SUM(N2932:N2942)</f>
        <v>0</v>
      </c>
      <c r="O2943" s="2648">
        <f>SUM(O2932:O2942)</f>
        <v>0</v>
      </c>
      <c r="P2943" s="2821"/>
      <c r="Q2943" s="2519"/>
      <c r="R2943" s="2519"/>
      <c r="S2943" s="2519"/>
    </row>
    <row r="2944" spans="1:19" s="2358" customFormat="1" outlineLevel="1">
      <c r="A2944" s="2435">
        <f>A2927</f>
        <v>0</v>
      </c>
      <c r="B2944" s="2514"/>
      <c r="C2944" s="2650"/>
      <c r="D2944" s="2651"/>
      <c r="E2944" s="2652" t="s">
        <v>3691</v>
      </c>
      <c r="F2944" s="2652"/>
      <c r="G2944" s="2653"/>
      <c r="H2944" s="2652"/>
      <c r="I2944" s="2652"/>
      <c r="J2944" s="2652"/>
      <c r="K2944" s="2652"/>
      <c r="L2944" s="2652"/>
      <c r="M2944" s="2652"/>
      <c r="N2944" s="2652"/>
      <c r="O2944" s="2651"/>
      <c r="P2944" s="2821"/>
      <c r="Q2944" s="2519"/>
      <c r="R2944" s="2519"/>
      <c r="S2944" s="2519"/>
    </row>
    <row r="2945" spans="1:19" s="2358" customFormat="1" outlineLevel="1">
      <c r="A2945" s="2435" t="str">
        <f t="shared" ref="A2945:A2959" si="613">IF(G2945&lt;&gt;0,1,"")</f>
        <v/>
      </c>
      <c r="B2945" s="2654"/>
      <c r="C2945" s="2655">
        <f>IF(G2945&gt;0,1,0)</f>
        <v>0</v>
      </c>
      <c r="D2945" s="2405"/>
      <c r="E2945" s="2656" t="s">
        <v>6196</v>
      </c>
      <c r="F2945" s="2657" t="s">
        <v>2283</v>
      </c>
      <c r="G2945" s="2662">
        <f>G2932*1</f>
        <v>0</v>
      </c>
      <c r="H2945" s="2657"/>
      <c r="I2945" s="2657"/>
      <c r="J2945" s="2657"/>
      <c r="K2945" s="2657"/>
      <c r="L2945" s="2658"/>
      <c r="M2945" s="2658"/>
      <c r="N2945" s="2658"/>
      <c r="O2945" s="2659"/>
      <c r="P2945" s="2518"/>
      <c r="Q2945" s="2519"/>
      <c r="R2945" s="2519"/>
      <c r="S2945" s="2519"/>
    </row>
    <row r="2946" spans="1:19" s="2358" customFormat="1" outlineLevel="1">
      <c r="A2946" s="2435" t="str">
        <f t="shared" si="613"/>
        <v/>
      </c>
      <c r="B2946" s="2610" t="s">
        <v>6360</v>
      </c>
      <c r="C2946" s="2660"/>
      <c r="D2946" s="2405"/>
      <c r="E2946" s="2661" t="s">
        <v>5338</v>
      </c>
      <c r="F2946" s="2405" t="s">
        <v>2839</v>
      </c>
      <c r="G2946" s="2405">
        <f>G2945</f>
        <v>0</v>
      </c>
      <c r="H2946" s="2612">
        <v>5914000</v>
      </c>
      <c r="I2946" s="2511"/>
      <c r="J2946" s="2612"/>
      <c r="K2946" s="2511"/>
      <c r="L2946" s="2613">
        <f>H2946*G2946</f>
        <v>0</v>
      </c>
      <c r="M2946" s="2613">
        <f>I2946*G2946</f>
        <v>0</v>
      </c>
      <c r="N2946" s="2613">
        <f>J2946*G2946</f>
        <v>0</v>
      </c>
      <c r="O2946" s="2613">
        <f>K2946*G2946</f>
        <v>0</v>
      </c>
      <c r="P2946" s="2518"/>
      <c r="Q2946" s="2519"/>
      <c r="R2946" s="2519"/>
      <c r="S2946" s="2519"/>
    </row>
    <row r="2947" spans="1:19" s="2358" customFormat="1" outlineLevel="1">
      <c r="A2947" s="2435" t="str">
        <f t="shared" si="613"/>
        <v/>
      </c>
      <c r="B2947" s="2610" t="s">
        <v>1818</v>
      </c>
      <c r="C2947" s="2660"/>
      <c r="D2947" s="2405"/>
      <c r="E2947" s="2661" t="s">
        <v>2838</v>
      </c>
      <c r="F2947" s="2405" t="s">
        <v>2839</v>
      </c>
      <c r="G2947" s="2405">
        <f>G2946</f>
        <v>0</v>
      </c>
      <c r="H2947" s="2612">
        <v>17400</v>
      </c>
      <c r="I2947" s="2612"/>
      <c r="J2947" s="2511"/>
      <c r="K2947" s="2511"/>
      <c r="L2947" s="2613">
        <f>H2947*G2947</f>
        <v>0</v>
      </c>
      <c r="M2947" s="2613">
        <f>I2947*G2947</f>
        <v>0</v>
      </c>
      <c r="N2947" s="2613">
        <f>J2947*G2947</f>
        <v>0</v>
      </c>
      <c r="O2947" s="2613">
        <f>K2947*G2947</f>
        <v>0</v>
      </c>
      <c r="P2947" s="2518"/>
      <c r="Q2947" s="2519"/>
      <c r="R2947" s="2519"/>
      <c r="S2947" s="2519"/>
    </row>
    <row r="2948" spans="1:19" s="2358" customFormat="1" outlineLevel="1">
      <c r="A2948" s="2435" t="str">
        <f t="shared" si="613"/>
        <v/>
      </c>
      <c r="B2948" s="2610" t="s">
        <v>2175</v>
      </c>
      <c r="C2948" s="2660"/>
      <c r="D2948" s="2405" t="s">
        <v>5421</v>
      </c>
      <c r="E2948" s="2661" t="s">
        <v>5422</v>
      </c>
      <c r="F2948" s="2405" t="s">
        <v>2839</v>
      </c>
      <c r="G2948" s="2405">
        <f>G2946</f>
        <v>0</v>
      </c>
      <c r="H2948" s="2661"/>
      <c r="I2948" s="2612"/>
      <c r="J2948" s="2612">
        <v>589996</v>
      </c>
      <c r="K2948" s="2612">
        <v>202564.7</v>
      </c>
      <c r="L2948" s="2613">
        <f>H2948*G2948</f>
        <v>0</v>
      </c>
      <c r="M2948" s="2613">
        <f>I2948*G2948</f>
        <v>0</v>
      </c>
      <c r="N2948" s="2613">
        <f>J2948*G2948</f>
        <v>0</v>
      </c>
      <c r="O2948" s="2613">
        <f>K2948*G2948</f>
        <v>0</v>
      </c>
      <c r="P2948" s="2518"/>
      <c r="Q2948" s="2519"/>
      <c r="R2948" s="2519"/>
      <c r="S2948" s="2519"/>
    </row>
    <row r="2949" spans="1:19" s="2358" customFormat="1" outlineLevel="1">
      <c r="A2949" s="2435" t="str">
        <f t="shared" si="613"/>
        <v/>
      </c>
      <c r="B2949" s="2610" t="s">
        <v>2240</v>
      </c>
      <c r="C2949" s="2660"/>
      <c r="D2949" s="2405"/>
      <c r="E2949" s="2661" t="s">
        <v>5386</v>
      </c>
      <c r="F2949" s="2405" t="s">
        <v>856</v>
      </c>
      <c r="G2949" s="2405">
        <f>G2945*0.201*0</f>
        <v>0</v>
      </c>
      <c r="H2949" s="2612">
        <v>0</v>
      </c>
      <c r="I2949" s="2612"/>
      <c r="J2949" s="2612">
        <v>296500.89999999997</v>
      </c>
      <c r="K2949" s="2612">
        <v>0</v>
      </c>
      <c r="L2949" s="2613">
        <f>H2949*G2949</f>
        <v>0</v>
      </c>
      <c r="M2949" s="2613">
        <f>I2949*G2949</f>
        <v>0</v>
      </c>
      <c r="N2949" s="2613">
        <f>J2949*G2949</f>
        <v>0</v>
      </c>
      <c r="O2949" s="2613">
        <f>K2949*G2949</f>
        <v>0</v>
      </c>
      <c r="P2949" s="2518"/>
      <c r="Q2949" s="2519"/>
      <c r="R2949" s="2519"/>
      <c r="S2949" s="2519"/>
    </row>
    <row r="2950" spans="1:19" s="2358" customFormat="1" outlineLevel="1">
      <c r="A2950" s="2435" t="str">
        <f t="shared" si="613"/>
        <v/>
      </c>
      <c r="B2950" s="2610" t="s">
        <v>21</v>
      </c>
      <c r="C2950" s="2660"/>
      <c r="D2950" s="2405" t="s">
        <v>5387</v>
      </c>
      <c r="E2950" s="2661" t="s">
        <v>5388</v>
      </c>
      <c r="F2950" s="2405" t="s">
        <v>856</v>
      </c>
      <c r="G2950" s="2405">
        <f>G2945*0.182*0</f>
        <v>0</v>
      </c>
      <c r="H2950" s="2661"/>
      <c r="I2950" s="2612"/>
      <c r="J2950" s="2612">
        <v>117703.6</v>
      </c>
      <c r="K2950" s="2612">
        <v>0</v>
      </c>
      <c r="L2950" s="2613">
        <f>H2950*G2950</f>
        <v>0</v>
      </c>
      <c r="M2950" s="2613">
        <f>I2950*G2950</f>
        <v>0</v>
      </c>
      <c r="N2950" s="2613">
        <f>J2950*G2950</f>
        <v>0</v>
      </c>
      <c r="O2950" s="2613">
        <f>K2950*G2950</f>
        <v>0</v>
      </c>
      <c r="P2950" s="2518"/>
      <c r="Q2950" s="2519"/>
      <c r="R2950" s="2519"/>
      <c r="S2950" s="2519"/>
    </row>
    <row r="2951" spans="1:19" s="2358" customFormat="1" outlineLevel="1">
      <c r="A2951" s="2435" t="str">
        <f t="shared" si="613"/>
        <v/>
      </c>
      <c r="B2951" s="2610"/>
      <c r="C2951" s="2511">
        <f>IF(G2951&gt;0,C2945+1,C2945)</f>
        <v>0</v>
      </c>
      <c r="D2951" s="2405"/>
      <c r="E2951" s="2656" t="s">
        <v>6361</v>
      </c>
      <c r="F2951" s="2657" t="s">
        <v>2333</v>
      </c>
      <c r="G2951" s="2662">
        <f>G2945</f>
        <v>0</v>
      </c>
      <c r="H2951" s="2511"/>
      <c r="I2951" s="2511"/>
      <c r="J2951" s="2511"/>
      <c r="K2951" s="2511"/>
      <c r="L2951" s="2511"/>
      <c r="M2951" s="2511"/>
      <c r="N2951" s="2511"/>
      <c r="O2951" s="2663"/>
      <c r="P2951" s="2518"/>
      <c r="Q2951" s="2519"/>
      <c r="R2951" s="2519"/>
      <c r="S2951" s="2519"/>
    </row>
    <row r="2952" spans="1:19" s="2358" customFormat="1" outlineLevel="1">
      <c r="A2952" s="2435" t="str">
        <f t="shared" si="613"/>
        <v/>
      </c>
      <c r="B2952" s="2610" t="s">
        <v>751</v>
      </c>
      <c r="C2952" s="2660"/>
      <c r="D2952" s="2405">
        <v>0</v>
      </c>
      <c r="E2952" s="2661" t="s">
        <v>5351</v>
      </c>
      <c r="F2952" s="2405" t="s">
        <v>2254</v>
      </c>
      <c r="G2952" s="2405">
        <f>352*G2951</f>
        <v>0</v>
      </c>
      <c r="H2952" s="2612">
        <v>1740</v>
      </c>
      <c r="I2952" s="2612"/>
      <c r="J2952" s="2612">
        <v>0</v>
      </c>
      <c r="K2952" s="2511"/>
      <c r="L2952" s="2613">
        <f t="shared" ref="L2952:L2985" si="614">H2952*G2952</f>
        <v>0</v>
      </c>
      <c r="M2952" s="2613">
        <f>I2952*G2952</f>
        <v>0</v>
      </c>
      <c r="N2952" s="2613">
        <f>J2952*G2952</f>
        <v>0</v>
      </c>
      <c r="O2952" s="2613">
        <f>K2952*G2952</f>
        <v>0</v>
      </c>
      <c r="P2952" s="2518"/>
      <c r="Q2952" s="2519"/>
      <c r="R2952" s="2519"/>
      <c r="S2952" s="2519"/>
    </row>
    <row r="2953" spans="1:19" s="2358" customFormat="1" outlineLevel="1">
      <c r="A2953" s="2435" t="str">
        <f t="shared" si="613"/>
        <v/>
      </c>
      <c r="B2953" s="2610" t="s">
        <v>752</v>
      </c>
      <c r="C2953" s="2660"/>
      <c r="D2953" s="2405"/>
      <c r="E2953" s="2661" t="s">
        <v>3022</v>
      </c>
      <c r="F2953" s="2405" t="s">
        <v>856</v>
      </c>
      <c r="G2953" s="2405">
        <f>+G2951*0.565</f>
        <v>0</v>
      </c>
      <c r="H2953" s="2612">
        <v>512000</v>
      </c>
      <c r="I2953" s="2661"/>
      <c r="J2953" s="2661"/>
      <c r="K2953" s="2511"/>
      <c r="L2953" s="2613">
        <f t="shared" si="614"/>
        <v>0</v>
      </c>
      <c r="M2953" s="2613">
        <f>I2953*G2953</f>
        <v>0</v>
      </c>
      <c r="N2953" s="2613">
        <f>J2953*G2953</f>
        <v>0</v>
      </c>
      <c r="O2953" s="2613">
        <f>K2953*G2953</f>
        <v>0</v>
      </c>
      <c r="P2953" s="2518"/>
      <c r="Q2953" s="2519"/>
      <c r="R2953" s="2519"/>
      <c r="S2953" s="2519"/>
    </row>
    <row r="2954" spans="1:19" s="2358" customFormat="1" outlineLevel="1">
      <c r="A2954" s="2435" t="str">
        <f t="shared" si="613"/>
        <v/>
      </c>
      <c r="B2954" s="2610" t="s">
        <v>867</v>
      </c>
      <c r="C2954" s="2660"/>
      <c r="D2954" s="2405">
        <v>0</v>
      </c>
      <c r="E2954" s="2661" t="s">
        <v>3018</v>
      </c>
      <c r="F2954" s="2405" t="s">
        <v>856</v>
      </c>
      <c r="G2954" s="2405">
        <f>+G2951*1.049</f>
        <v>0</v>
      </c>
      <c r="H2954" s="2612">
        <v>335000</v>
      </c>
      <c r="I2954" s="2612"/>
      <c r="J2954" s="2612">
        <v>0</v>
      </c>
      <c r="K2954" s="2511"/>
      <c r="L2954" s="2613">
        <f t="shared" si="614"/>
        <v>0</v>
      </c>
      <c r="M2954" s="2613">
        <f>I2954*G2954</f>
        <v>0</v>
      </c>
      <c r="N2954" s="2613">
        <f>J2954*G2954</f>
        <v>0</v>
      </c>
      <c r="O2954" s="2613">
        <f>K2954*G2954</f>
        <v>0</v>
      </c>
      <c r="P2954" s="2518"/>
      <c r="Q2954" s="2519"/>
      <c r="R2954" s="2519"/>
      <c r="S2954" s="2519"/>
    </row>
    <row r="2955" spans="1:19" s="2358" customFormat="1" outlineLevel="1">
      <c r="A2955" s="2435" t="str">
        <f t="shared" si="613"/>
        <v/>
      </c>
      <c r="B2955" s="2610" t="s">
        <v>2012</v>
      </c>
      <c r="C2955" s="2660"/>
      <c r="D2955" s="2405"/>
      <c r="E2955" s="2661" t="s">
        <v>5308</v>
      </c>
      <c r="F2955" s="2405" t="s">
        <v>2254</v>
      </c>
      <c r="G2955" s="2405"/>
      <c r="H2955" s="2612">
        <v>13300</v>
      </c>
      <c r="I2955" s="2661"/>
      <c r="J2955" s="2661"/>
      <c r="K2955" s="2511"/>
      <c r="L2955" s="2613">
        <f t="shared" si="614"/>
        <v>0</v>
      </c>
      <c r="M2955" s="2613">
        <f>I2955*G2955</f>
        <v>0</v>
      </c>
      <c r="N2955" s="2613">
        <f>J2955*G2955</f>
        <v>0</v>
      </c>
      <c r="O2955" s="2613">
        <f>K2955*G2955</f>
        <v>0</v>
      </c>
      <c r="P2955" s="2518"/>
      <c r="Q2955" s="2519"/>
      <c r="R2955" s="2519"/>
      <c r="S2955" s="2519"/>
    </row>
    <row r="2956" spans="1:19" s="2358" customFormat="1" outlineLevel="1">
      <c r="A2956" s="2435" t="str">
        <f t="shared" si="613"/>
        <v/>
      </c>
      <c r="B2956" s="2610" t="s">
        <v>1428</v>
      </c>
      <c r="C2956" s="2660"/>
      <c r="D2956" s="2405">
        <v>0</v>
      </c>
      <c r="E2956" s="2661" t="s">
        <v>3587</v>
      </c>
      <c r="F2956" s="2405" t="s">
        <v>2254</v>
      </c>
      <c r="G2956" s="2405"/>
      <c r="H2956" s="2612">
        <v>10500</v>
      </c>
      <c r="I2956" s="2612"/>
      <c r="J2956" s="2612">
        <v>0</v>
      </c>
      <c r="K2956" s="2511"/>
      <c r="L2956" s="2613">
        <f t="shared" si="614"/>
        <v>0</v>
      </c>
      <c r="M2956" s="2613">
        <f>I2956*G2956</f>
        <v>0</v>
      </c>
      <c r="N2956" s="2613">
        <f>J2956*G2956</f>
        <v>0</v>
      </c>
      <c r="O2956" s="2613">
        <f>K2956*G2956</f>
        <v>0</v>
      </c>
      <c r="P2956" s="2518"/>
      <c r="Q2956" s="2519"/>
      <c r="R2956" s="2519"/>
      <c r="S2956" s="2519"/>
    </row>
    <row r="2957" spans="1:19" s="2358" customFormat="1" outlineLevel="1">
      <c r="A2957" s="2435" t="str">
        <f t="shared" si="613"/>
        <v/>
      </c>
      <c r="B2957" s="2610" t="s">
        <v>639</v>
      </c>
      <c r="C2957" s="2660"/>
      <c r="D2957" s="2405" t="s">
        <v>1751</v>
      </c>
      <c r="E2957" s="2661" t="s">
        <v>5386</v>
      </c>
      <c r="F2957" s="2405" t="s">
        <v>856</v>
      </c>
      <c r="G2957" s="2405">
        <f>+G2951*1.28</f>
        <v>0</v>
      </c>
      <c r="H2957" s="2612">
        <v>0</v>
      </c>
      <c r="I2957" s="2612"/>
      <c r="J2957" s="2612">
        <v>296500.89999999997</v>
      </c>
      <c r="K2957" s="2511"/>
      <c r="L2957" s="2613">
        <f t="shared" si="614"/>
        <v>0</v>
      </c>
      <c r="M2957" s="2613">
        <f t="shared" ref="M2957:M2964" si="615">I2957*G2957</f>
        <v>0</v>
      </c>
      <c r="N2957" s="2613">
        <f t="shared" ref="N2957:N2964" si="616">J2957*G2957</f>
        <v>0</v>
      </c>
      <c r="O2957" s="2613">
        <f t="shared" ref="O2957:O2964" si="617">K2957*G2957</f>
        <v>0</v>
      </c>
      <c r="P2957" s="2518"/>
      <c r="Q2957" s="2519"/>
      <c r="R2957" s="2519"/>
      <c r="S2957" s="2519"/>
    </row>
    <row r="2958" spans="1:19" s="2358" customFormat="1" outlineLevel="1">
      <c r="A2958" s="2435" t="str">
        <f t="shared" si="613"/>
        <v/>
      </c>
      <c r="B2958" s="2822" t="s">
        <v>1839</v>
      </c>
      <c r="C2958" s="2660"/>
      <c r="D2958" s="2405" t="s">
        <v>5533</v>
      </c>
      <c r="E2958" s="2661" t="s">
        <v>5535</v>
      </c>
      <c r="F2958" s="2405" t="s">
        <v>856</v>
      </c>
      <c r="G2958" s="2405">
        <f>+G2951*1.19</f>
        <v>0</v>
      </c>
      <c r="H2958" s="2612">
        <v>461871</v>
      </c>
      <c r="I2958" s="2612"/>
      <c r="J2958" s="2612">
        <v>414064.45</v>
      </c>
      <c r="K2958" s="2511"/>
      <c r="L2958" s="2613">
        <f t="shared" si="614"/>
        <v>0</v>
      </c>
      <c r="M2958" s="2613">
        <f t="shared" si="615"/>
        <v>0</v>
      </c>
      <c r="N2958" s="2613">
        <f t="shared" si="616"/>
        <v>0</v>
      </c>
      <c r="O2958" s="2613">
        <f t="shared" si="617"/>
        <v>0</v>
      </c>
      <c r="P2958" s="2518"/>
      <c r="Q2958" s="2519"/>
      <c r="R2958" s="2519"/>
      <c r="S2958" s="2519"/>
    </row>
    <row r="2959" spans="1:19" s="2358" customFormat="1" outlineLevel="1">
      <c r="A2959" s="2435" t="str">
        <f t="shared" si="613"/>
        <v/>
      </c>
      <c r="B2959" s="2514"/>
      <c r="C2959" s="2511">
        <f>IF(G2959&gt;0,C2951+1,C2951)</f>
        <v>0</v>
      </c>
      <c r="D2959" s="2512"/>
      <c r="E2959" s="2670" t="s">
        <v>6345</v>
      </c>
      <c r="F2959" s="2511" t="s">
        <v>2391</v>
      </c>
      <c r="G2959" s="2516"/>
      <c r="H2959" s="2669"/>
      <c r="I2959" s="2669"/>
      <c r="J2959" s="2669"/>
      <c r="K2959" s="2669"/>
      <c r="L2959" s="2613">
        <f t="shared" si="614"/>
        <v>0</v>
      </c>
      <c r="M2959" s="2613">
        <f t="shared" si="615"/>
        <v>0</v>
      </c>
      <c r="N2959" s="2613">
        <f t="shared" si="616"/>
        <v>0</v>
      </c>
      <c r="O2959" s="2613">
        <f t="shared" si="617"/>
        <v>0</v>
      </c>
      <c r="P2959" s="2518"/>
      <c r="Q2959" s="2519"/>
      <c r="R2959" s="2519"/>
      <c r="S2959" s="2519"/>
    </row>
    <row r="2960" spans="1:19" s="2358" customFormat="1" ht="14.4" outlineLevel="1">
      <c r="A2960" s="2435" t="str">
        <f>A2959</f>
        <v/>
      </c>
      <c r="B2960" s="2514"/>
      <c r="C2960" s="2511"/>
      <c r="D2960" s="2512"/>
      <c r="E2960" s="2520" t="s">
        <v>6207</v>
      </c>
      <c r="F2960" s="2521"/>
      <c r="G2960" s="2522"/>
      <c r="H2960" s="2669"/>
      <c r="I2960" s="2669"/>
      <c r="J2960" s="2669"/>
      <c r="K2960" s="2669"/>
      <c r="L2960" s="2613">
        <f t="shared" si="614"/>
        <v>0</v>
      </c>
      <c r="M2960" s="2613">
        <f t="shared" si="615"/>
        <v>0</v>
      </c>
      <c r="N2960" s="2613">
        <f t="shared" si="616"/>
        <v>0</v>
      </c>
      <c r="O2960" s="2613">
        <f t="shared" si="617"/>
        <v>0</v>
      </c>
      <c r="P2960" s="2518"/>
      <c r="Q2960" s="2519"/>
      <c r="R2960" s="2519"/>
      <c r="S2960" s="2519"/>
    </row>
    <row r="2961" spans="1:19" s="2358" customFormat="1" outlineLevel="1">
      <c r="A2961" s="2435" t="str">
        <f t="shared" ref="A2961:A2966" si="618">IF(G2961&lt;&gt;0,1,"")</f>
        <v/>
      </c>
      <c r="B2961" s="2505" t="s">
        <v>2026</v>
      </c>
      <c r="C2961" s="2511"/>
      <c r="D2961" s="2405">
        <v>0</v>
      </c>
      <c r="E2961" s="2447" t="s">
        <v>2443</v>
      </c>
      <c r="F2961" s="2405" t="s">
        <v>2254</v>
      </c>
      <c r="G2961" s="2523">
        <f>G2959*9.02*(2.6+3*0.07)*2</f>
        <v>0</v>
      </c>
      <c r="H2961" s="2612">
        <v>11500</v>
      </c>
      <c r="I2961" s="2612"/>
      <c r="J2961" s="2612">
        <v>0</v>
      </c>
      <c r="K2961" s="2612">
        <v>0</v>
      </c>
      <c r="L2961" s="2613">
        <f t="shared" si="614"/>
        <v>0</v>
      </c>
      <c r="M2961" s="2613">
        <f t="shared" si="615"/>
        <v>0</v>
      </c>
      <c r="N2961" s="2613">
        <f t="shared" si="616"/>
        <v>0</v>
      </c>
      <c r="O2961" s="2613">
        <f t="shared" si="617"/>
        <v>0</v>
      </c>
      <c r="P2961" s="2518"/>
      <c r="Q2961" s="2519"/>
      <c r="R2961" s="2519"/>
      <c r="S2961" s="2519"/>
    </row>
    <row r="2962" spans="1:19" s="2358" customFormat="1" outlineLevel="1">
      <c r="A2962" s="2435" t="str">
        <f t="shared" si="618"/>
        <v/>
      </c>
      <c r="B2962" s="2514" t="s">
        <v>1788</v>
      </c>
      <c r="C2962" s="2511"/>
      <c r="D2962" s="2405">
        <v>0</v>
      </c>
      <c r="E2962" s="2447" t="s">
        <v>2668</v>
      </c>
      <c r="F2962" s="2405" t="s">
        <v>2391</v>
      </c>
      <c r="G2962" s="2522">
        <f>G2959*2</f>
        <v>0</v>
      </c>
      <c r="H2962" s="2612">
        <v>12340</v>
      </c>
      <c r="I2962" s="2612">
        <v>0</v>
      </c>
      <c r="J2962" s="2612">
        <v>0</v>
      </c>
      <c r="K2962" s="2612">
        <v>0</v>
      </c>
      <c r="L2962" s="2613">
        <f t="shared" si="614"/>
        <v>0</v>
      </c>
      <c r="M2962" s="2613">
        <f t="shared" si="615"/>
        <v>0</v>
      </c>
      <c r="N2962" s="2613">
        <f t="shared" si="616"/>
        <v>0</v>
      </c>
      <c r="O2962" s="2613">
        <f t="shared" si="617"/>
        <v>0</v>
      </c>
      <c r="P2962" s="2518"/>
      <c r="Q2962" s="2519"/>
      <c r="R2962" s="2519"/>
      <c r="S2962" s="2519"/>
    </row>
    <row r="2963" spans="1:19" s="2358" customFormat="1" outlineLevel="1">
      <c r="A2963" s="2435" t="str">
        <f t="shared" si="618"/>
        <v/>
      </c>
      <c r="B2963" s="2514" t="s">
        <v>1613</v>
      </c>
      <c r="C2963" s="2511"/>
      <c r="D2963" s="2405">
        <v>0</v>
      </c>
      <c r="E2963" s="2447" t="s">
        <v>2657</v>
      </c>
      <c r="F2963" s="2405" t="s">
        <v>2391</v>
      </c>
      <c r="G2963" s="2522">
        <f>G2959*2</f>
        <v>0</v>
      </c>
      <c r="H2963" s="2612">
        <v>9120</v>
      </c>
      <c r="I2963" s="2612">
        <v>0</v>
      </c>
      <c r="J2963" s="2612">
        <v>0</v>
      </c>
      <c r="K2963" s="2612">
        <v>0</v>
      </c>
      <c r="L2963" s="2613">
        <f t="shared" si="614"/>
        <v>0</v>
      </c>
      <c r="M2963" s="2613">
        <f t="shared" si="615"/>
        <v>0</v>
      </c>
      <c r="N2963" s="2613">
        <f t="shared" si="616"/>
        <v>0</v>
      </c>
      <c r="O2963" s="2613">
        <f t="shared" si="617"/>
        <v>0</v>
      </c>
      <c r="P2963" s="2518"/>
      <c r="Q2963" s="2519"/>
      <c r="R2963" s="2519"/>
      <c r="S2963" s="2519"/>
    </row>
    <row r="2964" spans="1:19" s="2358" customFormat="1" outlineLevel="1">
      <c r="A2964" s="2435" t="str">
        <f t="shared" si="618"/>
        <v/>
      </c>
      <c r="B2964" s="2514" t="s">
        <v>1612</v>
      </c>
      <c r="C2964" s="2511"/>
      <c r="D2964" s="2405">
        <v>0</v>
      </c>
      <c r="E2964" s="2447" t="s">
        <v>2653</v>
      </c>
      <c r="F2964" s="2405" t="s">
        <v>2391</v>
      </c>
      <c r="G2964" s="2522">
        <f>G2963</f>
        <v>0</v>
      </c>
      <c r="H2964" s="2612">
        <v>9220</v>
      </c>
      <c r="I2964" s="2612">
        <v>0</v>
      </c>
      <c r="J2964" s="2612">
        <v>0</v>
      </c>
      <c r="K2964" s="2612">
        <v>0</v>
      </c>
      <c r="L2964" s="2613">
        <f t="shared" si="614"/>
        <v>0</v>
      </c>
      <c r="M2964" s="2613">
        <f t="shared" si="615"/>
        <v>0</v>
      </c>
      <c r="N2964" s="2613">
        <f t="shared" si="616"/>
        <v>0</v>
      </c>
      <c r="O2964" s="2613">
        <f t="shared" si="617"/>
        <v>0</v>
      </c>
      <c r="P2964" s="2518"/>
      <c r="Q2964" s="2519"/>
      <c r="R2964" s="2519"/>
      <c r="S2964" s="2519"/>
    </row>
    <row r="2965" spans="1:19" s="2358" customFormat="1" outlineLevel="1">
      <c r="A2965" s="2435" t="str">
        <f t="shared" si="618"/>
        <v/>
      </c>
      <c r="B2965" s="2514" t="s">
        <v>2248</v>
      </c>
      <c r="C2965" s="2511"/>
      <c r="D2965" s="2405" t="s">
        <v>730</v>
      </c>
      <c r="E2965" s="2447" t="s">
        <v>2446</v>
      </c>
      <c r="F2965" s="2405" t="s">
        <v>2391</v>
      </c>
      <c r="G2965" s="2522">
        <f>G2959</f>
        <v>0</v>
      </c>
      <c r="H2965" s="2612">
        <v>0</v>
      </c>
      <c r="I2965" s="2612"/>
      <c r="J2965" s="2612" t="s">
        <v>6419</v>
      </c>
      <c r="K2965" s="2612"/>
      <c r="L2965" s="2613">
        <f t="shared" si="614"/>
        <v>0</v>
      </c>
      <c r="M2965" s="2613"/>
      <c r="N2965" s="2612">
        <v>0</v>
      </c>
      <c r="O2965" s="2613"/>
      <c r="P2965" s="2518"/>
      <c r="Q2965" s="2519"/>
      <c r="R2965" s="2519"/>
      <c r="S2965" s="2519"/>
    </row>
    <row r="2966" spans="1:19" s="2358" customFormat="1" outlineLevel="1" collapsed="1">
      <c r="A2966" s="2435" t="str">
        <f t="shared" si="618"/>
        <v/>
      </c>
      <c r="B2966" s="2514"/>
      <c r="C2966" s="2511">
        <f>IF(G2966&gt;0,C2959+1,C2959)</f>
        <v>0</v>
      </c>
      <c r="D2966" s="2512"/>
      <c r="E2966" s="2670" t="s">
        <v>6362</v>
      </c>
      <c r="F2966" s="2511" t="s">
        <v>2391</v>
      </c>
      <c r="G2966" s="2516">
        <f>G2932*2</f>
        <v>0</v>
      </c>
      <c r="H2966" s="2517"/>
      <c r="I2966" s="2517"/>
      <c r="J2966" s="2517"/>
      <c r="K2966" s="2517"/>
      <c r="L2966" s="2517">
        <f t="shared" si="614"/>
        <v>0</v>
      </c>
      <c r="M2966" s="2517">
        <f>I2966*G2966</f>
        <v>0</v>
      </c>
      <c r="N2966" s="2517">
        <f>J2966*G2966</f>
        <v>0</v>
      </c>
      <c r="O2966" s="2517">
        <f>K2966*G2966</f>
        <v>0</v>
      </c>
      <c r="P2966" s="2518"/>
      <c r="Q2966" s="2519"/>
      <c r="R2966" s="2519"/>
      <c r="S2966" s="2519"/>
    </row>
    <row r="2967" spans="1:19" s="2358" customFormat="1" ht="14.4" outlineLevel="1">
      <c r="A2967" s="2435" t="str">
        <f>A2966</f>
        <v/>
      </c>
      <c r="B2967" s="2514"/>
      <c r="C2967" s="2511"/>
      <c r="D2967" s="2512"/>
      <c r="E2967" s="2520" t="s">
        <v>6207</v>
      </c>
      <c r="F2967" s="2521"/>
      <c r="G2967" s="2522"/>
      <c r="H2967" s="2517"/>
      <c r="I2967" s="2517"/>
      <c r="J2967" s="2517"/>
      <c r="K2967" s="2517"/>
      <c r="L2967" s="2517">
        <f t="shared" si="614"/>
        <v>0</v>
      </c>
      <c r="M2967" s="2517">
        <f>I2967*G2967</f>
        <v>0</v>
      </c>
      <c r="N2967" s="2517">
        <f>J2967*G2967</f>
        <v>0</v>
      </c>
      <c r="O2967" s="2517">
        <f>K2967*G2967</f>
        <v>0</v>
      </c>
      <c r="P2967" s="2518"/>
      <c r="Q2967" s="2519"/>
      <c r="R2967" s="2519"/>
      <c r="S2967" s="2519"/>
    </row>
    <row r="2968" spans="1:19" s="2358" customFormat="1" outlineLevel="1">
      <c r="A2968" s="2435" t="str">
        <f t="shared" ref="A2968:A2974" si="619">IF(G2968&lt;&gt;0,1,"")</f>
        <v/>
      </c>
      <c r="B2968" s="2514" t="s">
        <v>2026</v>
      </c>
      <c r="C2968" s="2511"/>
      <c r="D2968" s="2405">
        <v>0</v>
      </c>
      <c r="E2968" s="2447" t="s">
        <v>2443</v>
      </c>
      <c r="F2968" s="2405" t="s">
        <v>2254</v>
      </c>
      <c r="G2968" s="2523">
        <f>G2966*9.02*(2.2+4*0.07)*2</f>
        <v>0</v>
      </c>
      <c r="H2968" s="2517">
        <v>11500</v>
      </c>
      <c r="I2968" s="2517"/>
      <c r="J2968" s="2517">
        <v>0</v>
      </c>
      <c r="K2968" s="2517"/>
      <c r="L2968" s="2517">
        <f t="shared" si="614"/>
        <v>0</v>
      </c>
      <c r="M2968" s="2517"/>
      <c r="N2968" s="2517"/>
      <c r="O2968" s="2517"/>
      <c r="P2968" s="2518"/>
      <c r="Q2968" s="2519"/>
      <c r="R2968" s="2519"/>
      <c r="S2968" s="2519"/>
    </row>
    <row r="2969" spans="1:19" s="2358" customFormat="1" outlineLevel="1">
      <c r="A2969" s="2435" t="str">
        <f t="shared" si="619"/>
        <v/>
      </c>
      <c r="B2969" s="2514" t="s">
        <v>1035</v>
      </c>
      <c r="C2969" s="2511"/>
      <c r="D2969" s="2405" t="s">
        <v>554</v>
      </c>
      <c r="E2969" s="2447" t="s">
        <v>2972</v>
      </c>
      <c r="F2969" s="2405" t="s">
        <v>2254</v>
      </c>
      <c r="G2969" s="2523">
        <f>G2966*3.77*0.81*4</f>
        <v>0</v>
      </c>
      <c r="H2969" s="2517">
        <v>11500</v>
      </c>
      <c r="I2969" s="2517"/>
      <c r="J2969" s="2517">
        <v>0</v>
      </c>
      <c r="K2969" s="2517"/>
      <c r="L2969" s="2517">
        <f t="shared" si="614"/>
        <v>0</v>
      </c>
      <c r="M2969" s="2517"/>
      <c r="N2969" s="2517"/>
      <c r="O2969" s="2517"/>
      <c r="P2969" s="2518"/>
      <c r="Q2969" s="2519"/>
      <c r="R2969" s="2519"/>
      <c r="S2969" s="2519"/>
    </row>
    <row r="2970" spans="1:19" s="2358" customFormat="1" outlineLevel="1">
      <c r="A2970" s="2435" t="str">
        <f t="shared" si="619"/>
        <v/>
      </c>
      <c r="B2970" s="2514" t="s">
        <v>1613</v>
      </c>
      <c r="C2970" s="2511"/>
      <c r="D2970" s="2405">
        <v>0</v>
      </c>
      <c r="E2970" s="2447" t="s">
        <v>2657</v>
      </c>
      <c r="F2970" s="2405" t="s">
        <v>2391</v>
      </c>
      <c r="G2970" s="2522">
        <f>G2966*2</f>
        <v>0</v>
      </c>
      <c r="H2970" s="2517">
        <v>9120</v>
      </c>
      <c r="I2970" s="2517">
        <v>0</v>
      </c>
      <c r="J2970" s="2517">
        <v>0</v>
      </c>
      <c r="K2970" s="2517"/>
      <c r="L2970" s="2517">
        <f t="shared" si="614"/>
        <v>0</v>
      </c>
      <c r="M2970" s="2517"/>
      <c r="N2970" s="2517"/>
      <c r="O2970" s="2517"/>
      <c r="P2970" s="2518"/>
      <c r="Q2970" s="2519"/>
      <c r="R2970" s="2519"/>
      <c r="S2970" s="2519"/>
    </row>
    <row r="2971" spans="1:19" s="2358" customFormat="1" outlineLevel="1">
      <c r="A2971" s="2435" t="str">
        <f t="shared" si="619"/>
        <v/>
      </c>
      <c r="B2971" s="2514" t="s">
        <v>1790</v>
      </c>
      <c r="C2971" s="2511"/>
      <c r="D2971" s="2405">
        <v>0</v>
      </c>
      <c r="E2971" s="2447" t="s">
        <v>2647</v>
      </c>
      <c r="F2971" s="2405" t="s">
        <v>2391</v>
      </c>
      <c r="G2971" s="2522">
        <f>G2966*4</f>
        <v>0</v>
      </c>
      <c r="H2971" s="2517">
        <v>4620</v>
      </c>
      <c r="I2971" s="2517">
        <v>0</v>
      </c>
      <c r="J2971" s="2517">
        <v>0</v>
      </c>
      <c r="K2971" s="2517"/>
      <c r="L2971" s="2517">
        <f t="shared" si="614"/>
        <v>0</v>
      </c>
      <c r="M2971" s="2517"/>
      <c r="N2971" s="2517"/>
      <c r="O2971" s="2517"/>
      <c r="P2971" s="2518"/>
      <c r="Q2971" s="2519"/>
      <c r="R2971" s="2519"/>
      <c r="S2971" s="2519"/>
    </row>
    <row r="2972" spans="1:19" s="2358" customFormat="1" outlineLevel="1">
      <c r="A2972" s="2435" t="str">
        <f t="shared" si="619"/>
        <v/>
      </c>
      <c r="B2972" s="2514" t="s">
        <v>1788</v>
      </c>
      <c r="C2972" s="2511"/>
      <c r="D2972" s="2405">
        <v>0</v>
      </c>
      <c r="E2972" s="2447" t="s">
        <v>2668</v>
      </c>
      <c r="F2972" s="2405" t="s">
        <v>2391</v>
      </c>
      <c r="G2972" s="2522">
        <f>G2966*4</f>
        <v>0</v>
      </c>
      <c r="H2972" s="2517">
        <v>12340</v>
      </c>
      <c r="I2972" s="2517">
        <v>0</v>
      </c>
      <c r="J2972" s="2517">
        <v>0</v>
      </c>
      <c r="K2972" s="2517">
        <v>0</v>
      </c>
      <c r="L2972" s="2517">
        <f t="shared" si="614"/>
        <v>0</v>
      </c>
      <c r="M2972" s="2517">
        <f>I2972*G2972</f>
        <v>0</v>
      </c>
      <c r="N2972" s="2517">
        <f>J2972*G2972</f>
        <v>0</v>
      </c>
      <c r="O2972" s="2517">
        <f>K2972*G2972</f>
        <v>0</v>
      </c>
      <c r="P2972" s="2518"/>
      <c r="Q2972" s="2519"/>
      <c r="R2972" s="2519"/>
      <c r="S2972" s="2519"/>
    </row>
    <row r="2973" spans="1:19" s="2358" customFormat="1" outlineLevel="1">
      <c r="A2973" s="2435" t="str">
        <f t="shared" si="619"/>
        <v/>
      </c>
      <c r="B2973" s="2514" t="s">
        <v>516</v>
      </c>
      <c r="C2973" s="2511"/>
      <c r="D2973" s="2405" t="s">
        <v>1460</v>
      </c>
      <c r="E2973" s="2447" t="s">
        <v>5484</v>
      </c>
      <c r="F2973" s="2405" t="s">
        <v>2391</v>
      </c>
      <c r="G2973" s="2522">
        <f>G2966</f>
        <v>0</v>
      </c>
      <c r="H2973" s="2517">
        <v>0</v>
      </c>
      <c r="I2973" s="2517"/>
      <c r="J2973" s="2517" t="s">
        <v>6465</v>
      </c>
      <c r="K2973" s="2517"/>
      <c r="L2973" s="2517">
        <f t="shared" si="614"/>
        <v>0</v>
      </c>
      <c r="M2973" s="2517"/>
      <c r="N2973" s="2517">
        <v>0</v>
      </c>
      <c r="O2973" s="2517"/>
      <c r="P2973" s="2518"/>
      <c r="Q2973" s="2519"/>
      <c r="R2973" s="2519"/>
      <c r="S2973" s="2519"/>
    </row>
    <row r="2974" spans="1:19" s="2358" customFormat="1" outlineLevel="1">
      <c r="A2974" s="2435" t="str">
        <f t="shared" si="619"/>
        <v/>
      </c>
      <c r="B2974" s="2514"/>
      <c r="C2974" s="2511">
        <f>IF(G2974&gt;0,C2966+1,C2966)</f>
        <v>0</v>
      </c>
      <c r="D2974" s="2512"/>
      <c r="E2974" s="2670" t="s">
        <v>6363</v>
      </c>
      <c r="F2974" s="2511" t="s">
        <v>2391</v>
      </c>
      <c r="G2974" s="2516">
        <f>G2932*1</f>
        <v>0</v>
      </c>
      <c r="H2974" s="2517"/>
      <c r="I2974" s="2517"/>
      <c r="J2974" s="2517"/>
      <c r="K2974" s="2517"/>
      <c r="L2974" s="2517">
        <f t="shared" si="614"/>
        <v>0</v>
      </c>
      <c r="M2974" s="2517">
        <f>I2974*G2974</f>
        <v>0</v>
      </c>
      <c r="N2974" s="2517">
        <f>J2974*G2974</f>
        <v>0</v>
      </c>
      <c r="O2974" s="2517">
        <f>K2974*G2974</f>
        <v>0</v>
      </c>
      <c r="P2974" s="2518"/>
      <c r="Q2974" s="2519"/>
      <c r="R2974" s="2519"/>
      <c r="S2974" s="2519"/>
    </row>
    <row r="2975" spans="1:19" s="2358" customFormat="1" ht="14.4" outlineLevel="1">
      <c r="A2975" s="2435" t="str">
        <f>A2974</f>
        <v/>
      </c>
      <c r="B2975" s="2514"/>
      <c r="C2975" s="2511"/>
      <c r="D2975" s="2512"/>
      <c r="E2975" s="2520" t="s">
        <v>6207</v>
      </c>
      <c r="F2975" s="2521"/>
      <c r="G2975" s="2522"/>
      <c r="H2975" s="2517"/>
      <c r="I2975" s="2517"/>
      <c r="J2975" s="2517"/>
      <c r="K2975" s="2517"/>
      <c r="L2975" s="2517">
        <f t="shared" si="614"/>
        <v>0</v>
      </c>
      <c r="M2975" s="2517">
        <f>I2975*G2975</f>
        <v>0</v>
      </c>
      <c r="N2975" s="2517">
        <f>J2975*G2975</f>
        <v>0</v>
      </c>
      <c r="O2975" s="2517">
        <f>K2975*G2975</f>
        <v>0</v>
      </c>
      <c r="P2975" s="2518"/>
      <c r="Q2975" s="2519"/>
      <c r="R2975" s="2519"/>
      <c r="S2975" s="2519"/>
    </row>
    <row r="2976" spans="1:19" s="2358" customFormat="1" outlineLevel="1">
      <c r="A2976" s="2435" t="str">
        <f t="shared" ref="A2976:A2982" si="620">IF(G2976&lt;&gt;0,1,"")</f>
        <v/>
      </c>
      <c r="B2976" s="2514" t="s">
        <v>2026</v>
      </c>
      <c r="C2976" s="2511"/>
      <c r="D2976" s="2405">
        <v>0</v>
      </c>
      <c r="E2976" s="2447" t="s">
        <v>2443</v>
      </c>
      <c r="F2976" s="2405" t="s">
        <v>2254</v>
      </c>
      <c r="G2976" s="2523">
        <f>G2974*9.02*(2.2+4*0.07)</f>
        <v>0</v>
      </c>
      <c r="H2976" s="2517">
        <v>31625</v>
      </c>
      <c r="I2976" s="2517"/>
      <c r="J2976" s="2517">
        <v>0</v>
      </c>
      <c r="K2976" s="2517"/>
      <c r="L2976" s="2517">
        <f t="shared" si="614"/>
        <v>0</v>
      </c>
      <c r="M2976" s="2517"/>
      <c r="N2976" s="2517"/>
      <c r="O2976" s="2517"/>
      <c r="P2976" s="2518"/>
      <c r="Q2976" s="2519"/>
      <c r="R2976" s="2519"/>
      <c r="S2976" s="2519"/>
    </row>
    <row r="2977" spans="1:19" s="2358" customFormat="1" outlineLevel="1">
      <c r="A2977" s="2435" t="str">
        <f t="shared" si="620"/>
        <v/>
      </c>
      <c r="B2977" s="2514" t="s">
        <v>1035</v>
      </c>
      <c r="C2977" s="2511"/>
      <c r="D2977" s="2405">
        <v>0</v>
      </c>
      <c r="E2977" s="2447" t="s">
        <v>2972</v>
      </c>
      <c r="F2977" s="2405" t="s">
        <v>2254</v>
      </c>
      <c r="G2977" s="2523">
        <f>G2974*3.77*0.81*2</f>
        <v>0</v>
      </c>
      <c r="H2977" s="2517">
        <v>31625</v>
      </c>
      <c r="I2977" s="2517"/>
      <c r="J2977" s="2517">
        <v>0</v>
      </c>
      <c r="K2977" s="2517"/>
      <c r="L2977" s="2517">
        <f t="shared" si="614"/>
        <v>0</v>
      </c>
      <c r="M2977" s="2517"/>
      <c r="N2977" s="2517"/>
      <c r="O2977" s="2517"/>
      <c r="P2977" s="2518"/>
      <c r="Q2977" s="2519"/>
      <c r="R2977" s="2519"/>
      <c r="S2977" s="2519"/>
    </row>
    <row r="2978" spans="1:19" s="2358" customFormat="1" outlineLevel="1">
      <c r="A2978" s="2435" t="str">
        <f t="shared" si="620"/>
        <v/>
      </c>
      <c r="B2978" s="2514" t="s">
        <v>1079</v>
      </c>
      <c r="C2978" s="2511"/>
      <c r="D2978" s="2405">
        <v>0</v>
      </c>
      <c r="E2978" s="2447" t="s">
        <v>2659</v>
      </c>
      <c r="F2978" s="2405" t="s">
        <v>2391</v>
      </c>
      <c r="G2978" s="2522">
        <f>G2974*2</f>
        <v>0</v>
      </c>
      <c r="H2978" s="2517">
        <v>27900</v>
      </c>
      <c r="I2978" s="2517">
        <v>0</v>
      </c>
      <c r="J2978" s="2517">
        <v>0</v>
      </c>
      <c r="K2978" s="2517"/>
      <c r="L2978" s="2517">
        <f t="shared" si="614"/>
        <v>0</v>
      </c>
      <c r="M2978" s="2517"/>
      <c r="N2978" s="2517"/>
      <c r="O2978" s="2517"/>
      <c r="P2978" s="2518"/>
      <c r="Q2978" s="2519"/>
      <c r="R2978" s="2519"/>
      <c r="S2978" s="2519"/>
    </row>
    <row r="2979" spans="1:19" s="2358" customFormat="1" outlineLevel="1">
      <c r="A2979" s="2435" t="str">
        <f t="shared" si="620"/>
        <v/>
      </c>
      <c r="B2979" s="2514" t="s">
        <v>1790</v>
      </c>
      <c r="C2979" s="2511"/>
      <c r="D2979" s="2405">
        <v>0</v>
      </c>
      <c r="E2979" s="2447" t="s">
        <v>2647</v>
      </c>
      <c r="F2979" s="2405" t="s">
        <v>2391</v>
      </c>
      <c r="G2979" s="2522">
        <f>G2974*2</f>
        <v>0</v>
      </c>
      <c r="H2979" s="2517">
        <v>12400</v>
      </c>
      <c r="I2979" s="2517">
        <v>0</v>
      </c>
      <c r="J2979" s="2517">
        <v>0</v>
      </c>
      <c r="K2979" s="2517"/>
      <c r="L2979" s="2517">
        <f t="shared" si="614"/>
        <v>0</v>
      </c>
      <c r="M2979" s="2517"/>
      <c r="N2979" s="2517"/>
      <c r="O2979" s="2517"/>
      <c r="P2979" s="2518"/>
      <c r="Q2979" s="2519"/>
      <c r="R2979" s="2519"/>
      <c r="S2979" s="2519"/>
    </row>
    <row r="2980" spans="1:19" s="2358" customFormat="1" outlineLevel="1">
      <c r="A2980" s="2435" t="str">
        <f t="shared" si="620"/>
        <v/>
      </c>
      <c r="B2980" s="2514" t="s">
        <v>988</v>
      </c>
      <c r="C2980" s="2511"/>
      <c r="D2980" s="2405">
        <v>0</v>
      </c>
      <c r="E2980" s="2447" t="s">
        <v>5331</v>
      </c>
      <c r="F2980" s="2405" t="s">
        <v>2391</v>
      </c>
      <c r="G2980" s="2522">
        <f>G2974/3</f>
        <v>0</v>
      </c>
      <c r="H2980" s="2517">
        <v>178900</v>
      </c>
      <c r="I2980" s="2517">
        <v>0</v>
      </c>
      <c r="J2980" s="2517">
        <v>0</v>
      </c>
      <c r="K2980" s="2517"/>
      <c r="L2980" s="2517">
        <f t="shared" si="614"/>
        <v>0</v>
      </c>
      <c r="M2980" s="2517"/>
      <c r="N2980" s="2517"/>
      <c r="O2980" s="2517"/>
      <c r="P2980" s="2518"/>
      <c r="Q2980" s="2519"/>
      <c r="R2980" s="2519"/>
      <c r="S2980" s="2519"/>
    </row>
    <row r="2981" spans="1:19" s="2358" customFormat="1" outlineLevel="1">
      <c r="A2981" s="2435" t="str">
        <f t="shared" si="620"/>
        <v/>
      </c>
      <c r="B2981" s="2514" t="s">
        <v>1999</v>
      </c>
      <c r="C2981" s="2511"/>
      <c r="D2981" s="2405" t="s">
        <v>2271</v>
      </c>
      <c r="E2981" s="2447" t="s">
        <v>5441</v>
      </c>
      <c r="F2981" s="2405" t="s">
        <v>2391</v>
      </c>
      <c r="G2981" s="2522">
        <f>G2974</f>
        <v>0</v>
      </c>
      <c r="H2981" s="2517">
        <v>0</v>
      </c>
      <c r="I2981" s="2517"/>
      <c r="J2981" s="2517" t="s">
        <v>6418</v>
      </c>
      <c r="K2981" s="2517"/>
      <c r="L2981" s="2517">
        <f t="shared" si="614"/>
        <v>0</v>
      </c>
      <c r="M2981" s="2517"/>
      <c r="N2981" s="2517">
        <v>0</v>
      </c>
      <c r="O2981" s="2517"/>
      <c r="P2981" s="2518"/>
      <c r="Q2981" s="2519"/>
      <c r="R2981" s="2519"/>
      <c r="S2981" s="2519"/>
    </row>
    <row r="2982" spans="1:19" s="2358" customFormat="1" outlineLevel="1">
      <c r="A2982" s="2435" t="str">
        <f t="shared" si="620"/>
        <v/>
      </c>
      <c r="B2982" s="2514"/>
      <c r="C2982" s="2511">
        <f>IF(G2982&gt;0,C2974+1,C2974)</f>
        <v>0</v>
      </c>
      <c r="D2982" s="2512"/>
      <c r="E2982" s="2670" t="s">
        <v>4403</v>
      </c>
      <c r="F2982" s="2511" t="s">
        <v>2391</v>
      </c>
      <c r="G2982" s="2516">
        <f>G2932</f>
        <v>0</v>
      </c>
      <c r="H2982" s="2517"/>
      <c r="I2982" s="2517"/>
      <c r="J2982" s="2517"/>
      <c r="K2982" s="2517"/>
      <c r="L2982" s="2517">
        <f t="shared" si="614"/>
        <v>0</v>
      </c>
      <c r="M2982" s="2517">
        <f>I2982*G2982</f>
        <v>0</v>
      </c>
      <c r="N2982" s="2517">
        <f t="shared" ref="N2982:N2990" si="621">J2982*G2982</f>
        <v>0</v>
      </c>
      <c r="O2982" s="2517">
        <f>K2982*G2982</f>
        <v>0</v>
      </c>
      <c r="P2982" s="2518"/>
      <c r="Q2982" s="2519"/>
      <c r="R2982" s="2519"/>
      <c r="S2982" s="2519"/>
    </row>
    <row r="2983" spans="1:19" s="2358" customFormat="1" ht="14.4" outlineLevel="1">
      <c r="A2983" s="2435" t="str">
        <f>A2982</f>
        <v/>
      </c>
      <c r="B2983" s="2671"/>
      <c r="C2983" s="2511"/>
      <c r="D2983" s="2512"/>
      <c r="E2983" s="2520" t="s">
        <v>6364</v>
      </c>
      <c r="F2983" s="2521"/>
      <c r="G2983" s="2522"/>
      <c r="H2983" s="2517"/>
      <c r="I2983" s="2517"/>
      <c r="J2983" s="2517"/>
      <c r="K2983" s="2517"/>
      <c r="L2983" s="2517">
        <f t="shared" si="614"/>
        <v>0</v>
      </c>
      <c r="M2983" s="2517">
        <f>I2983*G2983</f>
        <v>0</v>
      </c>
      <c r="N2983" s="2517">
        <f t="shared" si="621"/>
        <v>0</v>
      </c>
      <c r="O2983" s="2517">
        <f>K2983*G2983</f>
        <v>0</v>
      </c>
      <c r="P2983" s="2518"/>
      <c r="Q2983" s="2519"/>
      <c r="R2983" s="2519"/>
      <c r="S2983" s="2519"/>
    </row>
    <row r="2984" spans="1:19" s="2358" customFormat="1" outlineLevel="1">
      <c r="A2984" s="2435" t="str">
        <f t="shared" ref="A2984:A2990" si="622">IF(G2984&lt;&gt;0,1,"")</f>
        <v/>
      </c>
      <c r="B2984" s="2514" t="s">
        <v>1033</v>
      </c>
      <c r="C2984" s="2511"/>
      <c r="D2984" s="2405">
        <v>0</v>
      </c>
      <c r="E2984" s="2447" t="s">
        <v>2708</v>
      </c>
      <c r="F2984" s="2405" t="s">
        <v>2254</v>
      </c>
      <c r="G2984" s="2523">
        <f>$H$3*0.224*G2982</f>
        <v>0</v>
      </c>
      <c r="H2984" s="2517">
        <v>255500</v>
      </c>
      <c r="I2984" s="2517"/>
      <c r="J2984" s="2517">
        <v>0</v>
      </c>
      <c r="K2984" s="2517">
        <v>0</v>
      </c>
      <c r="L2984" s="2517">
        <f t="shared" si="614"/>
        <v>0</v>
      </c>
      <c r="M2984" s="2517">
        <f>I2984*G2984</f>
        <v>0</v>
      </c>
      <c r="N2984" s="2517">
        <f t="shared" si="621"/>
        <v>0</v>
      </c>
      <c r="O2984" s="2517">
        <f>K2984*G2984</f>
        <v>0</v>
      </c>
      <c r="P2984" s="2518"/>
      <c r="Q2984" s="2519"/>
      <c r="R2984" s="2519"/>
      <c r="S2984" s="2519"/>
    </row>
    <row r="2985" spans="1:19" s="2358" customFormat="1" outlineLevel="1">
      <c r="A2985" s="2435" t="str">
        <f t="shared" si="622"/>
        <v/>
      </c>
      <c r="B2985" s="2505" t="s">
        <v>1511</v>
      </c>
      <c r="C2985" s="2511"/>
      <c r="D2985" s="2405">
        <v>0</v>
      </c>
      <c r="E2985" s="2447" t="s">
        <v>5224</v>
      </c>
      <c r="F2985" s="2405" t="s">
        <v>2445</v>
      </c>
      <c r="G2985" s="2522">
        <f>+$H$2*G2982</f>
        <v>0</v>
      </c>
      <c r="H2985" s="2517">
        <v>160000</v>
      </c>
      <c r="I2985" s="2517"/>
      <c r="J2985" s="2517">
        <v>0</v>
      </c>
      <c r="K2985" s="2517">
        <v>0</v>
      </c>
      <c r="L2985" s="2517">
        <f t="shared" si="614"/>
        <v>0</v>
      </c>
      <c r="M2985" s="2517">
        <f>I2985*G2985</f>
        <v>0</v>
      </c>
      <c r="N2985" s="2517">
        <f t="shared" si="621"/>
        <v>0</v>
      </c>
      <c r="O2985" s="2517">
        <f>K2985*G2985</f>
        <v>0</v>
      </c>
      <c r="P2985" s="2518"/>
      <c r="Q2985" s="2519"/>
      <c r="R2985" s="2519"/>
      <c r="S2985" s="2519"/>
    </row>
    <row r="2986" spans="1:19" s="2358" customFormat="1" outlineLevel="1">
      <c r="A2986" s="2435" t="str">
        <f t="shared" si="622"/>
        <v/>
      </c>
      <c r="B2986" s="2505" t="s">
        <v>1588</v>
      </c>
      <c r="C2986" s="2511"/>
      <c r="D2986" s="2405">
        <v>0</v>
      </c>
      <c r="E2986" s="2447" t="s">
        <v>5775</v>
      </c>
      <c r="F2986" s="2405" t="s">
        <v>3463</v>
      </c>
      <c r="G2986" s="2522">
        <f>G2982*$L$3</f>
        <v>0</v>
      </c>
      <c r="H2986" s="2517">
        <v>0</v>
      </c>
      <c r="I2986" s="2517"/>
      <c r="J2986" s="2517">
        <v>1500000</v>
      </c>
      <c r="K2986" s="2517">
        <v>0</v>
      </c>
      <c r="L2986" s="2517">
        <f>H2986*G2986</f>
        <v>0</v>
      </c>
      <c r="M2986" s="2517">
        <f>I2986*G2986</f>
        <v>0</v>
      </c>
      <c r="N2986" s="2517">
        <f t="shared" si="621"/>
        <v>0</v>
      </c>
      <c r="O2986" s="2517">
        <f>K2986*G2986</f>
        <v>0</v>
      </c>
      <c r="P2986" s="2518"/>
      <c r="Q2986" s="2519"/>
      <c r="R2986" s="2519"/>
      <c r="S2986" s="2519"/>
    </row>
    <row r="2987" spans="1:19" s="2358" customFormat="1" outlineLevel="1">
      <c r="A2987" s="2435" t="str">
        <f t="shared" si="622"/>
        <v/>
      </c>
      <c r="B2987" s="2514" t="s">
        <v>1582</v>
      </c>
      <c r="C2987" s="2511"/>
      <c r="D2987" s="2405">
        <v>0</v>
      </c>
      <c r="E2987" s="2447" t="s">
        <v>2889</v>
      </c>
      <c r="F2987" s="2405" t="s">
        <v>2563</v>
      </c>
      <c r="G2987" s="2522">
        <f>2*G2982*0</f>
        <v>0</v>
      </c>
      <c r="H2987" s="2517">
        <v>8000</v>
      </c>
      <c r="I2987" s="2517"/>
      <c r="J2987" s="2517">
        <v>0</v>
      </c>
      <c r="K2987" s="2517"/>
      <c r="L2987" s="2517">
        <f>H2987*G2987</f>
        <v>0</v>
      </c>
      <c r="M2987" s="2517"/>
      <c r="N2987" s="2517">
        <f t="shared" si="621"/>
        <v>0</v>
      </c>
      <c r="O2987" s="2517"/>
      <c r="P2987" s="2518"/>
      <c r="Q2987" s="2519"/>
      <c r="R2987" s="2519"/>
      <c r="S2987" s="2519"/>
    </row>
    <row r="2988" spans="1:19" s="2358" customFormat="1" outlineLevel="1">
      <c r="A2988" s="2435" t="str">
        <f t="shared" si="622"/>
        <v/>
      </c>
      <c r="B2988" s="2514" t="s">
        <v>816</v>
      </c>
      <c r="C2988" s="2511"/>
      <c r="D2988" s="2405">
        <v>0</v>
      </c>
      <c r="E2988" s="2447" t="s">
        <v>3599</v>
      </c>
      <c r="F2988" s="2405" t="s">
        <v>2563</v>
      </c>
      <c r="G2988" s="2522">
        <f>IF(G2985&lt;=12,15,21)*G2982</f>
        <v>0</v>
      </c>
      <c r="H2988" s="2517">
        <v>17600</v>
      </c>
      <c r="I2988" s="2517"/>
      <c r="J2988" s="2517">
        <v>0</v>
      </c>
      <c r="K2988" s="2517"/>
      <c r="L2988" s="2517">
        <f>H2988*G2988</f>
        <v>0</v>
      </c>
      <c r="M2988" s="2517">
        <f>I2988*G2988</f>
        <v>0</v>
      </c>
      <c r="N2988" s="2517">
        <f t="shared" si="621"/>
        <v>0</v>
      </c>
      <c r="O2988" s="2517">
        <f>K2988*G2988</f>
        <v>0</v>
      </c>
      <c r="P2988" s="2518"/>
      <c r="Q2988" s="2519"/>
      <c r="R2988" s="2519"/>
      <c r="S2988" s="2519"/>
    </row>
    <row r="2989" spans="1:19" s="2358" customFormat="1" outlineLevel="1">
      <c r="A2989" s="2435" t="str">
        <f t="shared" si="622"/>
        <v/>
      </c>
      <c r="B2989" s="2505" t="s">
        <v>525</v>
      </c>
      <c r="C2989" s="2511"/>
      <c r="D2989" s="2405">
        <v>0</v>
      </c>
      <c r="E2989" s="2447" t="s">
        <v>5313</v>
      </c>
      <c r="F2989" s="2405" t="s">
        <v>2445</v>
      </c>
      <c r="G2989" s="2522">
        <f>G2982*2</f>
        <v>0</v>
      </c>
      <c r="H2989" s="2517">
        <v>43000</v>
      </c>
      <c r="I2989" s="2517"/>
      <c r="J2989" s="2517">
        <v>0</v>
      </c>
      <c r="K2989" s="2517">
        <v>0</v>
      </c>
      <c r="L2989" s="2517">
        <f>H2989*G2989</f>
        <v>0</v>
      </c>
      <c r="M2989" s="2517">
        <f>I2989*G2989</f>
        <v>0</v>
      </c>
      <c r="N2989" s="2517">
        <f t="shared" si="621"/>
        <v>0</v>
      </c>
      <c r="O2989" s="2517">
        <f>K2989*G2989</f>
        <v>0</v>
      </c>
      <c r="P2989" s="2518"/>
      <c r="Q2989" s="2519"/>
      <c r="R2989" s="2519"/>
      <c r="S2989" s="2519"/>
    </row>
    <row r="2990" spans="1:19" s="2358" customFormat="1" outlineLevel="1">
      <c r="A2990" s="2435" t="str">
        <f t="shared" si="622"/>
        <v/>
      </c>
      <c r="B2990" s="2505" t="s">
        <v>1493</v>
      </c>
      <c r="C2990" s="2511"/>
      <c r="D2990" s="2405">
        <v>0</v>
      </c>
      <c r="E2990" s="2447" t="s">
        <v>3554</v>
      </c>
      <c r="F2990" s="2405" t="s">
        <v>1827</v>
      </c>
      <c r="G2990" s="2522">
        <f>G2982*3</f>
        <v>0</v>
      </c>
      <c r="H2990" s="2517">
        <v>6200</v>
      </c>
      <c r="I2990" s="2517"/>
      <c r="J2990" s="2517">
        <v>0</v>
      </c>
      <c r="K2990" s="2517">
        <v>0</v>
      </c>
      <c r="L2990" s="2517">
        <f>H2990*G2990</f>
        <v>0</v>
      </c>
      <c r="M2990" s="2517">
        <f>I2990*G2990</f>
        <v>0</v>
      </c>
      <c r="N2990" s="2517">
        <f t="shared" si="621"/>
        <v>0</v>
      </c>
      <c r="O2990" s="2517">
        <f>K2990*G2990</f>
        <v>0</v>
      </c>
      <c r="P2990" s="2518"/>
      <c r="Q2990" s="2519"/>
      <c r="R2990" s="2519"/>
      <c r="S2990" s="2519"/>
    </row>
    <row r="2991" spans="1:19" s="2358" customFormat="1" outlineLevel="1">
      <c r="A2991" s="2435">
        <f>IF(G2991=0,0,1)</f>
        <v>0</v>
      </c>
      <c r="B2991" s="2505" t="s">
        <v>794</v>
      </c>
      <c r="C2991" s="2521"/>
      <c r="D2991" s="2405" t="s">
        <v>5398</v>
      </c>
      <c r="E2991" s="2447" t="s">
        <v>3086</v>
      </c>
      <c r="F2991" s="2754" t="s">
        <v>856</v>
      </c>
      <c r="G2991" s="2673">
        <f>H4*G2982</f>
        <v>0</v>
      </c>
      <c r="H2991" s="2517">
        <v>0</v>
      </c>
      <c r="I2991" s="2517"/>
      <c r="J2991" s="2517">
        <v>283749.75</v>
      </c>
      <c r="K2991" s="2517">
        <v>0</v>
      </c>
      <c r="L2991" s="2517">
        <f t="shared" ref="L2991:O2992" si="623">H2991*$G2991</f>
        <v>0</v>
      </c>
      <c r="M2991" s="2517">
        <f t="shared" si="623"/>
        <v>0</v>
      </c>
      <c r="N2991" s="2517">
        <f t="shared" si="623"/>
        <v>0</v>
      </c>
      <c r="O2991" s="2517">
        <f t="shared" si="623"/>
        <v>0</v>
      </c>
      <c r="P2991" s="2518"/>
      <c r="Q2991" s="2519"/>
      <c r="R2991" s="2519"/>
      <c r="S2991" s="2519"/>
    </row>
    <row r="2992" spans="1:19" s="2358" customFormat="1" outlineLevel="1">
      <c r="A2992" s="2435">
        <f>IF(G2992=0,0,1)</f>
        <v>0</v>
      </c>
      <c r="B2992" s="2505" t="s">
        <v>798</v>
      </c>
      <c r="C2992" s="2521"/>
      <c r="D2992" s="2405" t="s">
        <v>5387</v>
      </c>
      <c r="E2992" s="2447" t="s">
        <v>5399</v>
      </c>
      <c r="F2992" s="2754" t="s">
        <v>856</v>
      </c>
      <c r="G2992" s="2673">
        <f>+G2991</f>
        <v>0</v>
      </c>
      <c r="H2992" s="2517">
        <v>0</v>
      </c>
      <c r="I2992" s="2517"/>
      <c r="J2992" s="2517">
        <v>117703.6</v>
      </c>
      <c r="K2992" s="2517">
        <v>0</v>
      </c>
      <c r="L2992" s="2517">
        <f t="shared" si="623"/>
        <v>0</v>
      </c>
      <c r="M2992" s="2517">
        <f t="shared" si="623"/>
        <v>0</v>
      </c>
      <c r="N2992" s="2517">
        <f t="shared" si="623"/>
        <v>0</v>
      </c>
      <c r="O2992" s="2517">
        <f t="shared" si="623"/>
        <v>0</v>
      </c>
      <c r="P2992" s="2518"/>
      <c r="Q2992" s="2519"/>
      <c r="R2992" s="2519"/>
      <c r="S2992" s="2519"/>
    </row>
    <row r="2993" spans="1:19" s="2358" customFormat="1" outlineLevel="1">
      <c r="A2993" s="2435">
        <f>IF(G2993=0,0,1)</f>
        <v>0</v>
      </c>
      <c r="B2993" s="2505" t="s">
        <v>902</v>
      </c>
      <c r="C2993" s="2521"/>
      <c r="D2993" s="2405" t="s">
        <v>5413</v>
      </c>
      <c r="E2993" s="2447" t="s">
        <v>5414</v>
      </c>
      <c r="F2993" s="2754" t="s">
        <v>856</v>
      </c>
      <c r="G2993" s="2673">
        <f>G2985</f>
        <v>0</v>
      </c>
      <c r="H2993" s="2517">
        <v>0</v>
      </c>
      <c r="I2993" s="2517"/>
      <c r="J2993" s="2517" t="s">
        <v>6386</v>
      </c>
      <c r="K2993" s="2517">
        <v>0</v>
      </c>
      <c r="L2993" s="2517">
        <f>H2993*$G2993</f>
        <v>0</v>
      </c>
      <c r="M2993" s="2517">
        <f>I2993*$G2993</f>
        <v>0</v>
      </c>
      <c r="N2993" s="2517">
        <v>0</v>
      </c>
      <c r="O2993" s="2517">
        <f>K2993*$G2993</f>
        <v>0</v>
      </c>
      <c r="P2993" s="2518"/>
      <c r="Q2993" s="2519"/>
      <c r="R2993" s="2519"/>
      <c r="S2993" s="2519"/>
    </row>
    <row r="2994" spans="1:19" s="2358" customFormat="1" outlineLevel="1">
      <c r="A2994" s="2435" t="str">
        <f>IF(G2994&lt;&gt;0,1,"")</f>
        <v/>
      </c>
      <c r="B2994" s="2505" t="s">
        <v>1440</v>
      </c>
      <c r="C2994" s="2511"/>
      <c r="D2994" s="2405" t="s">
        <v>5408</v>
      </c>
      <c r="E2994" s="2447" t="s">
        <v>5409</v>
      </c>
      <c r="F2994" s="2405" t="s">
        <v>2538</v>
      </c>
      <c r="G2994" s="2522">
        <f>G2984/0.224*G2982</f>
        <v>0</v>
      </c>
      <c r="H2994" s="2517">
        <v>0</v>
      </c>
      <c r="I2994" s="2517"/>
      <c r="J2994" s="2517">
        <v>8070.7000000000007</v>
      </c>
      <c r="K2994" s="2517">
        <v>2044.9974999999999</v>
      </c>
      <c r="L2994" s="2517">
        <f>H2994*G2994</f>
        <v>0</v>
      </c>
      <c r="M2994" s="2517">
        <f>I2994*G2994</f>
        <v>0</v>
      </c>
      <c r="N2994" s="2517">
        <f>J2994*G2994</f>
        <v>0</v>
      </c>
      <c r="O2994" s="2517">
        <f>K2994*G2994</f>
        <v>0</v>
      </c>
      <c r="P2994" s="2518"/>
      <c r="Q2994" s="2519"/>
      <c r="R2994" s="2519"/>
      <c r="S2994" s="2519"/>
    </row>
    <row r="2995" spans="1:19" s="2358" customFormat="1" outlineLevel="1">
      <c r="A2995" s="2435" t="str">
        <f>IF(G2995&lt;&gt;0,1,"")</f>
        <v/>
      </c>
      <c r="B2995" s="2514"/>
      <c r="C2995" s="2511">
        <f>IF(G2995&gt;0,C2982+1,C2982)</f>
        <v>0</v>
      </c>
      <c r="D2995" s="2512"/>
      <c r="E2995" s="2629" t="s">
        <v>6365</v>
      </c>
      <c r="F2995" s="2511" t="s">
        <v>2391</v>
      </c>
      <c r="G2995" s="2516">
        <f>G2932</f>
        <v>0</v>
      </c>
      <c r="H2995" s="2517"/>
      <c r="I2995" s="2517"/>
      <c r="J2995" s="2517"/>
      <c r="K2995" s="2517"/>
      <c r="L2995" s="2517">
        <f t="shared" ref="L2995:L3017" si="624">H2995*G2995</f>
        <v>0</v>
      </c>
      <c r="M2995" s="2517">
        <f t="shared" ref="M2995:M3017" si="625">I2995*G2995</f>
        <v>0</v>
      </c>
      <c r="N2995" s="2517">
        <f t="shared" ref="N2995:N3017" si="626">J2995*G2995</f>
        <v>0</v>
      </c>
      <c r="O2995" s="2517">
        <f t="shared" ref="O2995:O3017" si="627">K2995*G2995</f>
        <v>0</v>
      </c>
      <c r="P2995" s="2518"/>
      <c r="Q2995" s="2519"/>
      <c r="R2995" s="2519"/>
      <c r="S2995" s="2519"/>
    </row>
    <row r="2996" spans="1:19" s="2358" customFormat="1" ht="14.4" outlineLevel="1">
      <c r="A2996" s="2435" t="str">
        <f>A2995</f>
        <v/>
      </c>
      <c r="B2996" s="2514"/>
      <c r="C2996" s="2511"/>
      <c r="D2996" s="2512"/>
      <c r="E2996" s="2520" t="s">
        <v>6207</v>
      </c>
      <c r="F2996" s="2521"/>
      <c r="G2996" s="2522"/>
      <c r="H2996" s="2517"/>
      <c r="I2996" s="2517"/>
      <c r="J2996" s="2517"/>
      <c r="K2996" s="2517"/>
      <c r="L2996" s="2517">
        <f t="shared" si="624"/>
        <v>0</v>
      </c>
      <c r="M2996" s="2517">
        <f t="shared" si="625"/>
        <v>0</v>
      </c>
      <c r="N2996" s="2517">
        <f t="shared" si="626"/>
        <v>0</v>
      </c>
      <c r="O2996" s="2517">
        <f t="shared" si="627"/>
        <v>0</v>
      </c>
      <c r="P2996" s="2518"/>
      <c r="Q2996" s="2519"/>
      <c r="R2996" s="2519"/>
      <c r="S2996" s="2519"/>
    </row>
    <row r="2997" spans="1:19" s="2358" customFormat="1" outlineLevel="1">
      <c r="A2997" s="2435" t="str">
        <f>IF(G2997&lt;&gt;0,1,"")</f>
        <v/>
      </c>
      <c r="B2997" s="2514" t="s">
        <v>6366</v>
      </c>
      <c r="C2997" s="2521"/>
      <c r="D2997" s="2405" t="s">
        <v>5695</v>
      </c>
      <c r="E2997" s="2447" t="s">
        <v>5699</v>
      </c>
      <c r="F2997" s="2405" t="s">
        <v>2563</v>
      </c>
      <c r="G2997" s="2523">
        <f>G2995</f>
        <v>0</v>
      </c>
      <c r="H2997" s="2517">
        <v>60000000</v>
      </c>
      <c r="I2997" s="2517"/>
      <c r="J2997" s="2517">
        <v>690091</v>
      </c>
      <c r="K2997" s="2517">
        <v>97369</v>
      </c>
      <c r="L2997" s="2517">
        <f t="shared" si="624"/>
        <v>0</v>
      </c>
      <c r="M2997" s="2517">
        <f t="shared" si="625"/>
        <v>0</v>
      </c>
      <c r="N2997" s="2517">
        <f t="shared" si="626"/>
        <v>0</v>
      </c>
      <c r="O2997" s="2517">
        <f t="shared" si="627"/>
        <v>0</v>
      </c>
      <c r="P2997" s="2518"/>
      <c r="Q2997" s="2519"/>
      <c r="R2997" s="2519"/>
      <c r="S2997" s="2519"/>
    </row>
    <row r="2998" spans="1:19" s="2358" customFormat="1" outlineLevel="1">
      <c r="A2998" s="2435" t="str">
        <f>IF(G2998&lt;&gt;0,1,"")</f>
        <v/>
      </c>
      <c r="B2998" s="2514" t="s">
        <v>289</v>
      </c>
      <c r="C2998" s="2521"/>
      <c r="D2998" s="2405">
        <v>0</v>
      </c>
      <c r="E2998" s="2447" t="s">
        <v>5774</v>
      </c>
      <c r="F2998" s="2405" t="s">
        <v>2563</v>
      </c>
      <c r="G2998" s="2523">
        <f>G2995</f>
        <v>0</v>
      </c>
      <c r="H2998" s="2517">
        <v>300000</v>
      </c>
      <c r="I2998" s="2517"/>
      <c r="J2998" s="2517">
        <v>0</v>
      </c>
      <c r="K2998" s="2517">
        <v>0</v>
      </c>
      <c r="L2998" s="2517">
        <f t="shared" si="624"/>
        <v>0</v>
      </c>
      <c r="M2998" s="2517">
        <f t="shared" si="625"/>
        <v>0</v>
      </c>
      <c r="N2998" s="2517">
        <f t="shared" si="626"/>
        <v>0</v>
      </c>
      <c r="O2998" s="2517">
        <f t="shared" si="627"/>
        <v>0</v>
      </c>
      <c r="P2998" s="2518"/>
      <c r="Q2998" s="2519"/>
      <c r="R2998" s="2519"/>
      <c r="S2998" s="2519"/>
    </row>
    <row r="2999" spans="1:19" s="2358" customFormat="1" outlineLevel="1">
      <c r="A2999" s="2435" t="str">
        <f>IF(G2999&lt;&gt;0,1,"")</f>
        <v/>
      </c>
      <c r="B2999" s="2514"/>
      <c r="C2999" s="2511">
        <f>IF(G2999&gt;0,C2995+1,C2995)</f>
        <v>0</v>
      </c>
      <c r="D2999" s="2512"/>
      <c r="E2999" s="2515" t="s">
        <v>3776</v>
      </c>
      <c r="F2999" s="2511" t="s">
        <v>2538</v>
      </c>
      <c r="G2999" s="2815"/>
      <c r="H2999" s="2517"/>
      <c r="I2999" s="2517"/>
      <c r="J2999" s="2517"/>
      <c r="K2999" s="2517"/>
      <c r="L2999" s="2517">
        <f t="shared" si="624"/>
        <v>0</v>
      </c>
      <c r="M2999" s="2517">
        <f t="shared" si="625"/>
        <v>0</v>
      </c>
      <c r="N2999" s="2517">
        <f t="shared" si="626"/>
        <v>0</v>
      </c>
      <c r="O2999" s="2517">
        <f t="shared" si="627"/>
        <v>0</v>
      </c>
      <c r="P2999" s="2518"/>
      <c r="Q2999" s="2519"/>
      <c r="R2999" s="2519"/>
      <c r="S2999" s="2519"/>
    </row>
    <row r="3000" spans="1:19" s="2358" customFormat="1" ht="14.4" outlineLevel="1">
      <c r="A3000" s="2435" t="str">
        <f>A2999</f>
        <v/>
      </c>
      <c r="B3000" s="2514"/>
      <c r="C3000" s="2511"/>
      <c r="D3000" s="2512"/>
      <c r="E3000" s="2520" t="s">
        <v>6207</v>
      </c>
      <c r="F3000" s="2521"/>
      <c r="G3000" s="2674"/>
      <c r="H3000" s="2517"/>
      <c r="I3000" s="2517"/>
      <c r="J3000" s="2517"/>
      <c r="K3000" s="2517"/>
      <c r="L3000" s="2517">
        <f t="shared" si="624"/>
        <v>0</v>
      </c>
      <c r="M3000" s="2517">
        <f t="shared" si="625"/>
        <v>0</v>
      </c>
      <c r="N3000" s="2517">
        <f t="shared" si="626"/>
        <v>0</v>
      </c>
      <c r="O3000" s="2517">
        <f t="shared" si="627"/>
        <v>0</v>
      </c>
      <c r="P3000" s="2518"/>
      <c r="Q3000" s="2519"/>
      <c r="R3000" s="2519"/>
      <c r="S3000" s="2519"/>
    </row>
    <row r="3001" spans="1:19" s="2358" customFormat="1" outlineLevel="1">
      <c r="A3001" s="2435" t="str">
        <f t="shared" ref="A3001:A3009" si="628">IF(G3001&lt;&gt;0,1,"")</f>
        <v/>
      </c>
      <c r="B3001" s="2807" t="s">
        <v>752</v>
      </c>
      <c r="C3001" s="2521"/>
      <c r="D3001" s="2405">
        <v>0</v>
      </c>
      <c r="E3001" s="2612" t="s">
        <v>6466</v>
      </c>
      <c r="F3001" s="2405" t="s">
        <v>856</v>
      </c>
      <c r="G3001" s="2523">
        <f>G2999*0.38</f>
        <v>0</v>
      </c>
      <c r="H3001" s="2517">
        <v>512000</v>
      </c>
      <c r="I3001" s="2517"/>
      <c r="J3001" s="2517">
        <v>0</v>
      </c>
      <c r="K3001" s="2517">
        <v>0</v>
      </c>
      <c r="L3001" s="2517">
        <f t="shared" si="624"/>
        <v>0</v>
      </c>
      <c r="M3001" s="2517">
        <f t="shared" si="625"/>
        <v>0</v>
      </c>
      <c r="N3001" s="2517">
        <f t="shared" si="626"/>
        <v>0</v>
      </c>
      <c r="O3001" s="2517">
        <f t="shared" si="627"/>
        <v>0</v>
      </c>
      <c r="P3001" s="2518"/>
      <c r="Q3001" s="2519"/>
      <c r="R3001" s="2519"/>
      <c r="S3001" s="2519"/>
    </row>
    <row r="3002" spans="1:19" s="2358" customFormat="1" outlineLevel="1">
      <c r="A3002" s="2435" t="str">
        <f t="shared" si="628"/>
        <v/>
      </c>
      <c r="B3002" s="2807" t="s">
        <v>867</v>
      </c>
      <c r="C3002" s="2521"/>
      <c r="D3002" s="2405">
        <v>0</v>
      </c>
      <c r="E3002" s="2612" t="s">
        <v>6467</v>
      </c>
      <c r="F3002" s="2405" t="s">
        <v>856</v>
      </c>
      <c r="G3002" s="2523">
        <f>0.12*G2999*0</f>
        <v>0</v>
      </c>
      <c r="H3002" s="2517">
        <v>335000</v>
      </c>
      <c r="I3002" s="2517"/>
      <c r="J3002" s="2517">
        <v>0</v>
      </c>
      <c r="K3002" s="2517">
        <v>0</v>
      </c>
      <c r="L3002" s="2517">
        <f t="shared" si="624"/>
        <v>0</v>
      </c>
      <c r="M3002" s="2517">
        <f t="shared" si="625"/>
        <v>0</v>
      </c>
      <c r="N3002" s="2517">
        <f t="shared" si="626"/>
        <v>0</v>
      </c>
      <c r="O3002" s="2517">
        <f t="shared" si="627"/>
        <v>0</v>
      </c>
      <c r="P3002" s="2518"/>
      <c r="Q3002" s="2519"/>
      <c r="R3002" s="2519"/>
      <c r="S3002" s="2519"/>
    </row>
    <row r="3003" spans="1:19" s="2358" customFormat="1" outlineLevel="1">
      <c r="A3003" s="2435" t="str">
        <f t="shared" si="628"/>
        <v/>
      </c>
      <c r="B3003" s="2807" t="s">
        <v>1679</v>
      </c>
      <c r="C3003" s="2521"/>
      <c r="D3003" s="2405">
        <v>0</v>
      </c>
      <c r="E3003" s="2612" t="s">
        <v>6451</v>
      </c>
      <c r="F3003" s="2405" t="s">
        <v>3024</v>
      </c>
      <c r="G3003" s="2523">
        <f>3.3*G2999</f>
        <v>0</v>
      </c>
      <c r="H3003" s="2517">
        <v>7000</v>
      </c>
      <c r="I3003" s="2517"/>
      <c r="J3003" s="2517">
        <v>0</v>
      </c>
      <c r="K3003" s="2517">
        <v>0</v>
      </c>
      <c r="L3003" s="2517">
        <f t="shared" si="624"/>
        <v>0</v>
      </c>
      <c r="M3003" s="2517">
        <f t="shared" si="625"/>
        <v>0</v>
      </c>
      <c r="N3003" s="2517">
        <f t="shared" si="626"/>
        <v>0</v>
      </c>
      <c r="O3003" s="2517">
        <f t="shared" si="627"/>
        <v>0</v>
      </c>
      <c r="P3003" s="2518"/>
      <c r="Q3003" s="2519"/>
      <c r="R3003" s="2519"/>
      <c r="S3003" s="2519"/>
    </row>
    <row r="3004" spans="1:19" s="2358" customFormat="1" outlineLevel="1">
      <c r="A3004" s="2435" t="str">
        <f t="shared" si="628"/>
        <v/>
      </c>
      <c r="B3004" s="2807" t="s">
        <v>1680</v>
      </c>
      <c r="C3004" s="2521"/>
      <c r="D3004" s="2405" t="s">
        <v>5352</v>
      </c>
      <c r="E3004" s="2612" t="s">
        <v>6452</v>
      </c>
      <c r="F3004" s="2405" t="s">
        <v>1964</v>
      </c>
      <c r="G3004" s="2523">
        <f>0.4*G2999</f>
        <v>0</v>
      </c>
      <c r="H3004" s="2517">
        <v>10000</v>
      </c>
      <c r="I3004" s="2517"/>
      <c r="J3004" s="2517">
        <v>1187.155</v>
      </c>
      <c r="K3004" s="2517">
        <v>0</v>
      </c>
      <c r="L3004" s="2517">
        <f t="shared" si="624"/>
        <v>0</v>
      </c>
      <c r="M3004" s="2517">
        <f t="shared" si="625"/>
        <v>0</v>
      </c>
      <c r="N3004" s="2517">
        <f t="shared" si="626"/>
        <v>0</v>
      </c>
      <c r="O3004" s="2517">
        <f t="shared" si="627"/>
        <v>0</v>
      </c>
      <c r="P3004" s="2518"/>
      <c r="Q3004" s="2519"/>
      <c r="R3004" s="2519"/>
      <c r="S3004" s="2519"/>
    </row>
    <row r="3005" spans="1:19" s="2358" customFormat="1" outlineLevel="1">
      <c r="A3005" s="2435" t="str">
        <f t="shared" si="628"/>
        <v/>
      </c>
      <c r="B3005" s="2807" t="s">
        <v>1521</v>
      </c>
      <c r="C3005" s="2511"/>
      <c r="D3005" s="2405">
        <v>0</v>
      </c>
      <c r="E3005" s="2612" t="s">
        <v>3548</v>
      </c>
      <c r="F3005" s="2405" t="s">
        <v>1827</v>
      </c>
      <c r="G3005" s="2523">
        <f>1*G2999</f>
        <v>0</v>
      </c>
      <c r="H3005" s="2517">
        <v>165250</v>
      </c>
      <c r="I3005" s="2517"/>
      <c r="J3005" s="2517">
        <v>0</v>
      </c>
      <c r="K3005" s="2517">
        <v>0</v>
      </c>
      <c r="L3005" s="2517">
        <f t="shared" si="624"/>
        <v>0</v>
      </c>
      <c r="M3005" s="2517">
        <f t="shared" si="625"/>
        <v>0</v>
      </c>
      <c r="N3005" s="2517">
        <f t="shared" si="626"/>
        <v>0</v>
      </c>
      <c r="O3005" s="2517">
        <f t="shared" si="627"/>
        <v>0</v>
      </c>
      <c r="P3005" s="2518"/>
      <c r="Q3005" s="2519"/>
      <c r="R3005" s="2519"/>
      <c r="S3005" s="2519"/>
    </row>
    <row r="3006" spans="1:19" s="2358" customFormat="1" outlineLevel="1">
      <c r="A3006" s="2435" t="str">
        <f t="shared" si="628"/>
        <v/>
      </c>
      <c r="B3006" s="2807" t="s">
        <v>1682</v>
      </c>
      <c r="C3006" s="2521"/>
      <c r="D3006" s="2405" t="s">
        <v>5395</v>
      </c>
      <c r="E3006" s="2612" t="s">
        <v>6453</v>
      </c>
      <c r="F3006" s="2405" t="s">
        <v>856</v>
      </c>
      <c r="G3006" s="2523">
        <f>G3001+G3002</f>
        <v>0</v>
      </c>
      <c r="H3006" s="2517">
        <v>0</v>
      </c>
      <c r="I3006" s="2517"/>
      <c r="J3006" s="2517">
        <v>315277.5</v>
      </c>
      <c r="K3006" s="2517">
        <v>0</v>
      </c>
      <c r="L3006" s="2517">
        <f t="shared" si="624"/>
        <v>0</v>
      </c>
      <c r="M3006" s="2517">
        <f t="shared" si="625"/>
        <v>0</v>
      </c>
      <c r="N3006" s="2517">
        <f t="shared" si="626"/>
        <v>0</v>
      </c>
      <c r="O3006" s="2517">
        <f t="shared" si="627"/>
        <v>0</v>
      </c>
      <c r="P3006" s="2518"/>
      <c r="Q3006" s="2519"/>
      <c r="R3006" s="2519"/>
      <c r="S3006" s="2519"/>
    </row>
    <row r="3007" spans="1:19" s="2358" customFormat="1" outlineLevel="1">
      <c r="A3007" s="2435" t="str">
        <f t="shared" si="628"/>
        <v/>
      </c>
      <c r="B3007" s="2807" t="s">
        <v>144</v>
      </c>
      <c r="C3007" s="2521"/>
      <c r="D3007" s="2405" t="s">
        <v>5389</v>
      </c>
      <c r="E3007" s="2612" t="s">
        <v>6454</v>
      </c>
      <c r="F3007" s="2405" t="s">
        <v>856</v>
      </c>
      <c r="G3007" s="2523">
        <f>G2999*0.48</f>
        <v>0</v>
      </c>
      <c r="H3007" s="2517">
        <v>0</v>
      </c>
      <c r="I3007" s="2517"/>
      <c r="J3007" s="2517">
        <v>640731.36</v>
      </c>
      <c r="K3007" s="2517">
        <v>0</v>
      </c>
      <c r="L3007" s="2517">
        <f t="shared" si="624"/>
        <v>0</v>
      </c>
      <c r="M3007" s="2517">
        <f t="shared" si="625"/>
        <v>0</v>
      </c>
      <c r="N3007" s="2517">
        <f t="shared" si="626"/>
        <v>0</v>
      </c>
      <c r="O3007" s="2517">
        <f t="shared" si="627"/>
        <v>0</v>
      </c>
      <c r="P3007" s="2518"/>
      <c r="Q3007" s="2519"/>
      <c r="R3007" s="2519"/>
      <c r="S3007" s="2519"/>
    </row>
    <row r="3008" spans="1:19" s="2358" customFormat="1" outlineLevel="1">
      <c r="A3008" s="2435" t="str">
        <f t="shared" si="628"/>
        <v/>
      </c>
      <c r="B3008" s="2807" t="s">
        <v>529</v>
      </c>
      <c r="C3008" s="2521"/>
      <c r="D3008" s="2405" t="s">
        <v>5394</v>
      </c>
      <c r="E3008" s="2612" t="s">
        <v>6468</v>
      </c>
      <c r="F3008" s="2405" t="s">
        <v>856</v>
      </c>
      <c r="G3008" s="2523">
        <f>0.16*G2999</f>
        <v>0</v>
      </c>
      <c r="H3008" s="2517">
        <v>0</v>
      </c>
      <c r="I3008" s="2517"/>
      <c r="J3008" s="2517">
        <v>21935.133999999998</v>
      </c>
      <c r="K3008" s="2517">
        <v>0</v>
      </c>
      <c r="L3008" s="2517">
        <f t="shared" si="624"/>
        <v>0</v>
      </c>
      <c r="M3008" s="2517">
        <f t="shared" si="625"/>
        <v>0</v>
      </c>
      <c r="N3008" s="2517">
        <f t="shared" si="626"/>
        <v>0</v>
      </c>
      <c r="O3008" s="2517">
        <f t="shared" si="627"/>
        <v>0</v>
      </c>
      <c r="P3008" s="2518"/>
      <c r="Q3008" s="2519"/>
      <c r="R3008" s="2675">
        <v>0.47499999999999998</v>
      </c>
      <c r="S3008" s="2519"/>
    </row>
    <row r="3009" spans="1:19" s="2358" customFormat="1" outlineLevel="1">
      <c r="A3009" s="2435" t="str">
        <f t="shared" si="628"/>
        <v/>
      </c>
      <c r="B3009" s="2514"/>
      <c r="C3009" s="2511">
        <f>IF(G3009&gt;0,C2999+1,C2999)</f>
        <v>0</v>
      </c>
      <c r="D3009" s="2512"/>
      <c r="E3009" s="2515" t="s">
        <v>3777</v>
      </c>
      <c r="F3009" s="2511" t="s">
        <v>2391</v>
      </c>
      <c r="G3009" s="2516"/>
      <c r="H3009" s="2517"/>
      <c r="I3009" s="2517"/>
      <c r="J3009" s="2517"/>
      <c r="K3009" s="2517"/>
      <c r="L3009" s="2517">
        <f t="shared" si="624"/>
        <v>0</v>
      </c>
      <c r="M3009" s="2517">
        <f t="shared" si="625"/>
        <v>0</v>
      </c>
      <c r="N3009" s="2517">
        <f t="shared" si="626"/>
        <v>0</v>
      </c>
      <c r="O3009" s="2517">
        <f t="shared" si="627"/>
        <v>0</v>
      </c>
      <c r="P3009" s="2518"/>
      <c r="Q3009" s="2519"/>
      <c r="R3009" s="2675">
        <v>0.88100000000000001</v>
      </c>
      <c r="S3009" s="2519"/>
    </row>
    <row r="3010" spans="1:19" s="2358" customFormat="1" ht="14.4" outlineLevel="1">
      <c r="A3010" s="2435" t="str">
        <f>A3009</f>
        <v/>
      </c>
      <c r="B3010" s="2514"/>
      <c r="C3010" s="2511"/>
      <c r="D3010" s="2512"/>
      <c r="E3010" s="2520" t="s">
        <v>6207</v>
      </c>
      <c r="F3010" s="2521"/>
      <c r="G3010" s="2674"/>
      <c r="H3010" s="2517"/>
      <c r="I3010" s="2517"/>
      <c r="J3010" s="2517"/>
      <c r="K3010" s="2517"/>
      <c r="L3010" s="2517">
        <f t="shared" si="624"/>
        <v>0</v>
      </c>
      <c r="M3010" s="2517">
        <f t="shared" si="625"/>
        <v>0</v>
      </c>
      <c r="N3010" s="2517">
        <f t="shared" si="626"/>
        <v>0</v>
      </c>
      <c r="O3010" s="2517">
        <f t="shared" si="627"/>
        <v>0</v>
      </c>
      <c r="P3010" s="2518"/>
      <c r="Q3010" s="2519"/>
      <c r="R3010" s="2519"/>
      <c r="S3010" s="2519"/>
    </row>
    <row r="3011" spans="1:19" s="2358" customFormat="1" outlineLevel="1">
      <c r="A3011" s="2435" t="str">
        <f t="shared" ref="A3011:A3018" si="629">IF(G3011&lt;&gt;0,1,"")</f>
        <v/>
      </c>
      <c r="B3011" s="2514" t="s">
        <v>623</v>
      </c>
      <c r="C3011" s="2521"/>
      <c r="D3011" s="2405" t="s">
        <v>5367</v>
      </c>
      <c r="E3011" s="2447" t="s">
        <v>5368</v>
      </c>
      <c r="F3011" s="2405" t="s">
        <v>2538</v>
      </c>
      <c r="G3011" s="2523">
        <f>G3009*4</f>
        <v>0</v>
      </c>
      <c r="H3011" s="2517">
        <v>278000</v>
      </c>
      <c r="I3011" s="2517"/>
      <c r="J3011" s="2517">
        <v>127101.65849999999</v>
      </c>
      <c r="K3011" s="2517">
        <v>0</v>
      </c>
      <c r="L3011" s="2517">
        <f t="shared" si="624"/>
        <v>0</v>
      </c>
      <c r="M3011" s="2517">
        <f t="shared" si="625"/>
        <v>0</v>
      </c>
      <c r="N3011" s="2517">
        <f t="shared" si="626"/>
        <v>0</v>
      </c>
      <c r="O3011" s="2517">
        <f t="shared" si="627"/>
        <v>0</v>
      </c>
      <c r="P3011" s="2518"/>
      <c r="Q3011" s="2519"/>
      <c r="R3011" s="2519"/>
      <c r="S3011" s="2519"/>
    </row>
    <row r="3012" spans="1:19" s="2358" customFormat="1" outlineLevel="1">
      <c r="A3012" s="2435" t="str">
        <f t="shared" si="629"/>
        <v/>
      </c>
      <c r="B3012" s="2807" t="s">
        <v>473</v>
      </c>
      <c r="C3012" s="2511"/>
      <c r="D3012" s="2405">
        <v>0</v>
      </c>
      <c r="E3012" s="2447" t="s">
        <v>3570</v>
      </c>
      <c r="F3012" s="2405" t="s">
        <v>2563</v>
      </c>
      <c r="G3012" s="2523">
        <f>G3009*1</f>
        <v>0</v>
      </c>
      <c r="H3012" s="2517">
        <v>138000</v>
      </c>
      <c r="I3012" s="2517"/>
      <c r="J3012" s="2517">
        <v>0</v>
      </c>
      <c r="K3012" s="2517">
        <v>0</v>
      </c>
      <c r="L3012" s="2517">
        <f t="shared" si="624"/>
        <v>0</v>
      </c>
      <c r="M3012" s="2517">
        <f t="shared" si="625"/>
        <v>0</v>
      </c>
      <c r="N3012" s="2517">
        <f t="shared" si="626"/>
        <v>0</v>
      </c>
      <c r="O3012" s="2517">
        <f t="shared" si="627"/>
        <v>0</v>
      </c>
      <c r="P3012" s="2518"/>
      <c r="Q3012" s="2519"/>
      <c r="R3012" s="2519"/>
      <c r="S3012" s="2519"/>
    </row>
    <row r="3013" spans="1:19" s="2358" customFormat="1" outlineLevel="1">
      <c r="A3013" s="2435" t="str">
        <f t="shared" si="629"/>
        <v/>
      </c>
      <c r="B3013" s="2514" t="s">
        <v>120</v>
      </c>
      <c r="C3013" s="2521"/>
      <c r="D3013" s="2405">
        <v>0</v>
      </c>
      <c r="E3013" s="2447" t="s">
        <v>2998</v>
      </c>
      <c r="F3013" s="2405" t="s">
        <v>2445</v>
      </c>
      <c r="G3013" s="2523">
        <f>G3009*2</f>
        <v>0</v>
      </c>
      <c r="H3013" s="2517">
        <v>40000</v>
      </c>
      <c r="I3013" s="2517"/>
      <c r="J3013" s="2517">
        <v>0</v>
      </c>
      <c r="K3013" s="2517">
        <v>0</v>
      </c>
      <c r="L3013" s="2517">
        <f t="shared" si="624"/>
        <v>0</v>
      </c>
      <c r="M3013" s="2517">
        <f t="shared" si="625"/>
        <v>0</v>
      </c>
      <c r="N3013" s="2517">
        <f t="shared" si="626"/>
        <v>0</v>
      </c>
      <c r="O3013" s="2517">
        <f t="shared" si="627"/>
        <v>0</v>
      </c>
      <c r="P3013" s="2518"/>
      <c r="Q3013" s="2519"/>
      <c r="R3013" s="2519"/>
      <c r="S3013" s="2519"/>
    </row>
    <row r="3014" spans="1:19" s="2358" customFormat="1" outlineLevel="1">
      <c r="A3014" s="2435" t="str">
        <f t="shared" si="629"/>
        <v/>
      </c>
      <c r="B3014" s="2505" t="s">
        <v>1412</v>
      </c>
      <c r="C3014" s="2521"/>
      <c r="D3014" s="2405">
        <v>0</v>
      </c>
      <c r="E3014" s="2447" t="s">
        <v>3467</v>
      </c>
      <c r="F3014" s="2405" t="s">
        <v>2445</v>
      </c>
      <c r="G3014" s="2523">
        <f>G3009</f>
        <v>0</v>
      </c>
      <c r="H3014" s="2517">
        <v>150000</v>
      </c>
      <c r="I3014" s="2517"/>
      <c r="J3014" s="2517">
        <v>0</v>
      </c>
      <c r="K3014" s="2517">
        <v>0</v>
      </c>
      <c r="L3014" s="2517">
        <f t="shared" si="624"/>
        <v>0</v>
      </c>
      <c r="M3014" s="2517">
        <f t="shared" si="625"/>
        <v>0</v>
      </c>
      <c r="N3014" s="2517">
        <f t="shared" si="626"/>
        <v>0</v>
      </c>
      <c r="O3014" s="2517">
        <f t="shared" si="627"/>
        <v>0</v>
      </c>
      <c r="P3014" s="2518"/>
      <c r="Q3014" s="2519"/>
      <c r="R3014" s="2519"/>
      <c r="S3014" s="2519"/>
    </row>
    <row r="3015" spans="1:19" s="2358" customFormat="1" outlineLevel="1">
      <c r="A3015" s="2435" t="str">
        <f t="shared" si="629"/>
        <v/>
      </c>
      <c r="B3015" s="2505" t="s">
        <v>984</v>
      </c>
      <c r="C3015" s="2521"/>
      <c r="D3015" s="2405">
        <v>0</v>
      </c>
      <c r="E3015" s="2447" t="s">
        <v>3472</v>
      </c>
      <c r="F3015" s="2405" t="s">
        <v>2445</v>
      </c>
      <c r="G3015" s="2523">
        <f>G3009</f>
        <v>0</v>
      </c>
      <c r="H3015" s="2517">
        <v>224832</v>
      </c>
      <c r="I3015" s="2517"/>
      <c r="J3015" s="2517">
        <v>3635</v>
      </c>
      <c r="K3015" s="2517">
        <v>6321</v>
      </c>
      <c r="L3015" s="2517">
        <f t="shared" si="624"/>
        <v>0</v>
      </c>
      <c r="M3015" s="2517">
        <f t="shared" si="625"/>
        <v>0</v>
      </c>
      <c r="N3015" s="2517">
        <f t="shared" si="626"/>
        <v>0</v>
      </c>
      <c r="O3015" s="2517">
        <f t="shared" si="627"/>
        <v>0</v>
      </c>
      <c r="P3015" s="2518"/>
      <c r="Q3015" s="2519"/>
      <c r="R3015" s="2519"/>
      <c r="S3015" s="2519"/>
    </row>
    <row r="3016" spans="1:19" s="2358" customFormat="1" outlineLevel="1">
      <c r="A3016" s="2435" t="str">
        <f t="shared" si="629"/>
        <v/>
      </c>
      <c r="B3016" s="2514" t="s">
        <v>1413</v>
      </c>
      <c r="C3016" s="2511"/>
      <c r="D3016" s="2405" t="s">
        <v>5403</v>
      </c>
      <c r="E3016" s="2447" t="s">
        <v>5404</v>
      </c>
      <c r="F3016" s="2405" t="s">
        <v>2445</v>
      </c>
      <c r="G3016" s="2523">
        <f>G3014</f>
        <v>0</v>
      </c>
      <c r="H3016" s="2517">
        <v>0</v>
      </c>
      <c r="I3016" s="2517"/>
      <c r="J3016" s="2517">
        <v>28219.62</v>
      </c>
      <c r="K3016" s="2517">
        <v>0</v>
      </c>
      <c r="L3016" s="2517">
        <f t="shared" si="624"/>
        <v>0</v>
      </c>
      <c r="M3016" s="2517">
        <f t="shared" si="625"/>
        <v>0</v>
      </c>
      <c r="N3016" s="2517">
        <f t="shared" si="626"/>
        <v>0</v>
      </c>
      <c r="O3016" s="2517">
        <f t="shared" si="627"/>
        <v>0</v>
      </c>
      <c r="P3016" s="2518"/>
      <c r="Q3016" s="2519"/>
      <c r="R3016" s="2519"/>
      <c r="S3016" s="2519"/>
    </row>
    <row r="3017" spans="1:19" s="2358" customFormat="1" outlineLevel="1">
      <c r="A3017" s="2435" t="str">
        <f t="shared" si="629"/>
        <v/>
      </c>
      <c r="B3017" s="2514" t="s">
        <v>289</v>
      </c>
      <c r="C3017" s="2521"/>
      <c r="D3017" s="2405">
        <v>0</v>
      </c>
      <c r="E3017" s="2447" t="s">
        <v>5774</v>
      </c>
      <c r="F3017" s="2405" t="s">
        <v>2563</v>
      </c>
      <c r="G3017" s="2523">
        <f>G3009</f>
        <v>0</v>
      </c>
      <c r="H3017" s="2517">
        <v>300000</v>
      </c>
      <c r="I3017" s="2517"/>
      <c r="J3017" s="2517">
        <v>0</v>
      </c>
      <c r="K3017" s="2517">
        <v>0</v>
      </c>
      <c r="L3017" s="2517">
        <f t="shared" si="624"/>
        <v>0</v>
      </c>
      <c r="M3017" s="2517">
        <f t="shared" si="625"/>
        <v>0</v>
      </c>
      <c r="N3017" s="2517">
        <f t="shared" si="626"/>
        <v>0</v>
      </c>
      <c r="O3017" s="2517">
        <f t="shared" si="627"/>
        <v>0</v>
      </c>
      <c r="P3017" s="2518"/>
      <c r="Q3017" s="2519"/>
      <c r="R3017" s="2519"/>
      <c r="S3017" s="2519"/>
    </row>
    <row r="3018" spans="1:19" s="2358" customFormat="1" outlineLevel="1">
      <c r="A3018" s="2435" t="str">
        <f t="shared" si="629"/>
        <v/>
      </c>
      <c r="B3018" s="2514"/>
      <c r="C3018" s="2511">
        <f>IF(G3018&gt;0,C3009+1,C3009)</f>
        <v>0</v>
      </c>
      <c r="D3018" s="2512"/>
      <c r="E3018" s="2513" t="s">
        <v>3758</v>
      </c>
      <c r="F3018" s="2511" t="s">
        <v>2391</v>
      </c>
      <c r="G3018" s="2516"/>
      <c r="H3018" s="2517"/>
      <c r="I3018" s="2517"/>
      <c r="J3018" s="2517"/>
      <c r="K3018" s="2517"/>
      <c r="L3018" s="2517"/>
      <c r="M3018" s="2517"/>
      <c r="N3018" s="2517"/>
      <c r="O3018" s="2517"/>
      <c r="P3018" s="2518"/>
      <c r="Q3018" s="2519"/>
      <c r="R3018" s="2519"/>
      <c r="S3018" s="2519"/>
    </row>
    <row r="3019" spans="1:19" s="2358" customFormat="1" ht="14.4" outlineLevel="1">
      <c r="A3019" s="2435" t="str">
        <f>A3018</f>
        <v/>
      </c>
      <c r="B3019" s="2514"/>
      <c r="C3019" s="2511"/>
      <c r="D3019" s="2512"/>
      <c r="E3019" s="2527" t="s">
        <v>6207</v>
      </c>
      <c r="F3019" s="2511"/>
      <c r="G3019" s="2516"/>
      <c r="H3019" s="2517"/>
      <c r="I3019" s="2517"/>
      <c r="J3019" s="2517"/>
      <c r="K3019" s="2517"/>
      <c r="L3019" s="2517"/>
      <c r="M3019" s="2517"/>
      <c r="N3019" s="2517"/>
      <c r="O3019" s="2517"/>
      <c r="P3019" s="2518"/>
      <c r="Q3019" s="2519"/>
      <c r="R3019" s="2519"/>
      <c r="S3019" s="2519"/>
    </row>
    <row r="3020" spans="1:19" s="2358" customFormat="1" outlineLevel="1">
      <c r="A3020" s="2435" t="str">
        <f>IF(G3020&lt;&gt;0,1,"")</f>
        <v/>
      </c>
      <c r="B3020" s="2505" t="s">
        <v>470</v>
      </c>
      <c r="C3020" s="2521"/>
      <c r="D3020" s="2405">
        <v>0</v>
      </c>
      <c r="E3020" s="2447" t="s">
        <v>6469</v>
      </c>
      <c r="F3020" s="2405" t="s">
        <v>2538</v>
      </c>
      <c r="G3020" s="2523">
        <f>(3+10)*1.02*G3018</f>
        <v>0</v>
      </c>
      <c r="H3020" s="2517">
        <v>763500</v>
      </c>
      <c r="I3020" s="2517"/>
      <c r="J3020" s="2517">
        <v>0</v>
      </c>
      <c r="K3020" s="2517">
        <v>0</v>
      </c>
      <c r="L3020" s="2517">
        <f>H3020*G3020</f>
        <v>0</v>
      </c>
      <c r="M3020" s="2517">
        <f>I3020*G3020</f>
        <v>0</v>
      </c>
      <c r="N3020" s="2517">
        <f>J3020*G3020</f>
        <v>0</v>
      </c>
      <c r="O3020" s="2517">
        <f>K3020*G3020</f>
        <v>0</v>
      </c>
      <c r="P3020" s="2518"/>
      <c r="Q3020" s="2519"/>
      <c r="R3020" s="2519"/>
      <c r="S3020" s="2519"/>
    </row>
    <row r="3021" spans="1:19" s="2358" customFormat="1" outlineLevel="1">
      <c r="A3021" s="2435" t="str">
        <f t="shared" ref="A3021:A3030" si="630">IF(G3021&lt;&gt;0,1,"")</f>
        <v/>
      </c>
      <c r="B3021" s="2505" t="s">
        <v>271</v>
      </c>
      <c r="C3021" s="2521"/>
      <c r="D3021" s="2405">
        <v>0</v>
      </c>
      <c r="E3021" s="2447" t="s">
        <v>6470</v>
      </c>
      <c r="F3021" s="2405" t="s">
        <v>2538</v>
      </c>
      <c r="G3021" s="2523">
        <f>G3018*0.5*3</f>
        <v>0</v>
      </c>
      <c r="H3021" s="2517">
        <v>204900</v>
      </c>
      <c r="I3021" s="2517"/>
      <c r="J3021" s="2517">
        <v>0</v>
      </c>
      <c r="K3021" s="2517">
        <v>0</v>
      </c>
      <c r="L3021" s="2517">
        <f>H3021*G3021</f>
        <v>0</v>
      </c>
      <c r="M3021" s="2517">
        <f>I3021*G3021</f>
        <v>0</v>
      </c>
      <c r="N3021" s="2517">
        <f>J3021*G3021</f>
        <v>0</v>
      </c>
      <c r="O3021" s="2517">
        <f>K3021*G3021</f>
        <v>0</v>
      </c>
      <c r="P3021" s="2518"/>
      <c r="Q3021" s="2519"/>
      <c r="R3021" s="2519"/>
      <c r="S3021" s="2519"/>
    </row>
    <row r="3022" spans="1:19" s="2358" customFormat="1" outlineLevel="1">
      <c r="A3022" s="2435" t="str">
        <f t="shared" si="630"/>
        <v/>
      </c>
      <c r="B3022" s="2505" t="s">
        <v>1355</v>
      </c>
      <c r="C3022" s="2521"/>
      <c r="D3022" s="2405">
        <v>0</v>
      </c>
      <c r="E3022" s="2447" t="s">
        <v>3032</v>
      </c>
      <c r="F3022" s="2405" t="s">
        <v>2563</v>
      </c>
      <c r="G3022" s="2523">
        <f>G3018*2</f>
        <v>0</v>
      </c>
      <c r="H3022" s="2517">
        <v>4022000</v>
      </c>
      <c r="I3022" s="2517"/>
      <c r="J3022" s="2517">
        <v>0</v>
      </c>
      <c r="K3022" s="2517">
        <v>0</v>
      </c>
      <c r="L3022" s="2517">
        <f t="shared" ref="L3022:L3027" si="631">H3022*G3022</f>
        <v>0</v>
      </c>
      <c r="M3022" s="2517">
        <f t="shared" ref="M3022:M3027" si="632">I3022*G3022</f>
        <v>0</v>
      </c>
      <c r="N3022" s="2517">
        <f t="shared" ref="N3022:N3027" si="633">J3022*G3022</f>
        <v>0</v>
      </c>
      <c r="O3022" s="2517">
        <f t="shared" ref="O3022:O3027" si="634">K3022*G3022</f>
        <v>0</v>
      </c>
      <c r="P3022" s="2518"/>
      <c r="Q3022" s="2519"/>
      <c r="R3022" s="2519"/>
      <c r="S3022" s="2519"/>
    </row>
    <row r="3023" spans="1:19" s="2358" customFormat="1" outlineLevel="1">
      <c r="A3023" s="2435" t="str">
        <f t="shared" si="630"/>
        <v/>
      </c>
      <c r="B3023" s="2505" t="s">
        <v>470</v>
      </c>
      <c r="C3023" s="2521"/>
      <c r="D3023" s="2405">
        <v>0</v>
      </c>
      <c r="E3023" s="2447" t="s">
        <v>6459</v>
      </c>
      <c r="F3023" s="2405" t="s">
        <v>2538</v>
      </c>
      <c r="G3023" s="2523">
        <f>(1.2+2.4)*G3018</f>
        <v>0</v>
      </c>
      <c r="H3023" s="2517">
        <v>763500</v>
      </c>
      <c r="I3023" s="2517"/>
      <c r="J3023" s="2517">
        <v>0</v>
      </c>
      <c r="K3023" s="2517">
        <v>0</v>
      </c>
      <c r="L3023" s="2517">
        <f t="shared" si="631"/>
        <v>0</v>
      </c>
      <c r="M3023" s="2517">
        <f t="shared" si="632"/>
        <v>0</v>
      </c>
      <c r="N3023" s="2517">
        <f t="shared" si="633"/>
        <v>0</v>
      </c>
      <c r="O3023" s="2517">
        <f t="shared" si="634"/>
        <v>0</v>
      </c>
      <c r="P3023" s="2518"/>
      <c r="Q3023" s="2519"/>
      <c r="R3023" s="2519"/>
      <c r="S3023" s="2519"/>
    </row>
    <row r="3024" spans="1:19" s="2358" customFormat="1" outlineLevel="1">
      <c r="A3024" s="2435" t="str">
        <f t="shared" si="630"/>
        <v/>
      </c>
      <c r="B3024" s="2505" t="s">
        <v>271</v>
      </c>
      <c r="C3024" s="2521"/>
      <c r="D3024" s="2405">
        <v>0</v>
      </c>
      <c r="E3024" s="2447" t="s">
        <v>6460</v>
      </c>
      <c r="F3024" s="2405" t="s">
        <v>2538</v>
      </c>
      <c r="G3024" s="2523">
        <f>G3023*0</f>
        <v>0</v>
      </c>
      <c r="H3024" s="2517">
        <v>204900</v>
      </c>
      <c r="I3024" s="2517"/>
      <c r="J3024" s="2517">
        <v>0</v>
      </c>
      <c r="K3024" s="2517">
        <v>0</v>
      </c>
      <c r="L3024" s="2517">
        <f t="shared" si="631"/>
        <v>0</v>
      </c>
      <c r="M3024" s="2517">
        <f t="shared" si="632"/>
        <v>0</v>
      </c>
      <c r="N3024" s="2517">
        <f t="shared" si="633"/>
        <v>0</v>
      </c>
      <c r="O3024" s="2517">
        <f t="shared" si="634"/>
        <v>0</v>
      </c>
      <c r="P3024" s="2518"/>
      <c r="Q3024" s="2519"/>
      <c r="R3024" s="2519"/>
      <c r="S3024" s="2519"/>
    </row>
    <row r="3025" spans="1:19" s="2358" customFormat="1" outlineLevel="1">
      <c r="A3025" s="2435" t="str">
        <f t="shared" si="630"/>
        <v/>
      </c>
      <c r="B3025" s="2505" t="s">
        <v>1356</v>
      </c>
      <c r="C3025" s="2521"/>
      <c r="D3025" s="2405">
        <v>0</v>
      </c>
      <c r="E3025" s="2447" t="s">
        <v>3039</v>
      </c>
      <c r="F3025" s="2405" t="s">
        <v>2563</v>
      </c>
      <c r="G3025" s="2523">
        <f>G3018*3</f>
        <v>0</v>
      </c>
      <c r="H3025" s="2517">
        <v>5242230</v>
      </c>
      <c r="I3025" s="2517"/>
      <c r="J3025" s="2517">
        <v>0</v>
      </c>
      <c r="K3025" s="2517">
        <v>0</v>
      </c>
      <c r="L3025" s="2517">
        <f t="shared" si="631"/>
        <v>0</v>
      </c>
      <c r="M3025" s="2517">
        <f t="shared" si="632"/>
        <v>0</v>
      </c>
      <c r="N3025" s="2517">
        <f t="shared" si="633"/>
        <v>0</v>
      </c>
      <c r="O3025" s="2517">
        <f t="shared" si="634"/>
        <v>0</v>
      </c>
      <c r="P3025" s="2518"/>
      <c r="Q3025" s="2519"/>
      <c r="R3025" s="2519"/>
      <c r="S3025" s="2519"/>
    </row>
    <row r="3026" spans="1:19" s="2358" customFormat="1" outlineLevel="1">
      <c r="A3026" s="2435" t="str">
        <f t="shared" si="630"/>
        <v/>
      </c>
      <c r="B3026" s="2505" t="s">
        <v>1678</v>
      </c>
      <c r="C3026" s="2521"/>
      <c r="D3026" s="2405" t="s">
        <v>5521</v>
      </c>
      <c r="E3026" s="2447" t="s">
        <v>3196</v>
      </c>
      <c r="F3026" s="2405" t="s">
        <v>2563</v>
      </c>
      <c r="G3026" s="2523">
        <f>G3022+G3025</f>
        <v>0</v>
      </c>
      <c r="H3026" s="2517">
        <v>11340</v>
      </c>
      <c r="I3026" s="2517"/>
      <c r="J3026" s="2517">
        <v>621381.64999999991</v>
      </c>
      <c r="K3026" s="2517">
        <v>0</v>
      </c>
      <c r="L3026" s="2517">
        <f t="shared" si="631"/>
        <v>0</v>
      </c>
      <c r="M3026" s="2517">
        <f t="shared" si="632"/>
        <v>0</v>
      </c>
      <c r="N3026" s="2517">
        <f t="shared" si="633"/>
        <v>0</v>
      </c>
      <c r="O3026" s="2517">
        <f t="shared" si="634"/>
        <v>0</v>
      </c>
      <c r="P3026" s="2518"/>
      <c r="Q3026" s="2519"/>
      <c r="R3026" s="2519"/>
      <c r="S3026" s="2519"/>
    </row>
    <row r="3027" spans="1:19" s="2358" customFormat="1" outlineLevel="1">
      <c r="A3027" s="2435" t="str">
        <f t="shared" si="630"/>
        <v/>
      </c>
      <c r="B3027" s="2505" t="s">
        <v>1182</v>
      </c>
      <c r="C3027" s="2521"/>
      <c r="D3027" s="2405" t="s">
        <v>5614</v>
      </c>
      <c r="E3027" s="2447" t="s">
        <v>3277</v>
      </c>
      <c r="F3027" s="2405" t="s">
        <v>2538</v>
      </c>
      <c r="G3027" s="2523">
        <f>G3020+G3023</f>
        <v>0</v>
      </c>
      <c r="H3027" s="2517">
        <v>546.91999999999996</v>
      </c>
      <c r="I3027" s="2517"/>
      <c r="J3027" s="2517">
        <v>21459.713</v>
      </c>
      <c r="K3027" s="2517">
        <v>0</v>
      </c>
      <c r="L3027" s="2517">
        <f t="shared" si="631"/>
        <v>0</v>
      </c>
      <c r="M3027" s="2517">
        <f t="shared" si="632"/>
        <v>0</v>
      </c>
      <c r="N3027" s="2517">
        <f t="shared" si="633"/>
        <v>0</v>
      </c>
      <c r="O3027" s="2517">
        <f t="shared" si="634"/>
        <v>0</v>
      </c>
      <c r="P3027" s="2518"/>
      <c r="Q3027" s="2519"/>
      <c r="R3027" s="2519"/>
      <c r="S3027" s="2519"/>
    </row>
    <row r="3028" spans="1:19" s="2358" customFormat="1" outlineLevel="1">
      <c r="A3028" s="2435" t="str">
        <f t="shared" si="630"/>
        <v/>
      </c>
      <c r="B3028" s="2505" t="s">
        <v>1528</v>
      </c>
      <c r="C3028" s="2521"/>
      <c r="D3028" s="2405" t="s">
        <v>5633</v>
      </c>
      <c r="E3028" s="2447" t="s">
        <v>3310</v>
      </c>
      <c r="F3028" s="2405" t="s">
        <v>1827</v>
      </c>
      <c r="G3028" s="2523">
        <f>G3021</f>
        <v>0</v>
      </c>
      <c r="H3028" s="2517">
        <v>0</v>
      </c>
      <c r="I3028" s="2517"/>
      <c r="J3028" s="2517">
        <v>13915</v>
      </c>
      <c r="K3028" s="2517">
        <v>0</v>
      </c>
      <c r="L3028" s="2517">
        <f>H3028*G3028</f>
        <v>0</v>
      </c>
      <c r="M3028" s="2517">
        <f>I3028*G3028</f>
        <v>0</v>
      </c>
      <c r="N3028" s="2517">
        <f>J3028*G3028</f>
        <v>0</v>
      </c>
      <c r="O3028" s="2517">
        <f>K3028*G3028</f>
        <v>0</v>
      </c>
      <c r="P3028" s="2518"/>
      <c r="Q3028" s="2519"/>
      <c r="R3028" s="2519"/>
      <c r="S3028" s="2519"/>
    </row>
    <row r="3029" spans="1:19" s="2358" customFormat="1" outlineLevel="1">
      <c r="A3029" s="2435" t="str">
        <f t="shared" si="630"/>
        <v/>
      </c>
      <c r="B3029" s="2505" t="s">
        <v>1352</v>
      </c>
      <c r="C3029" s="2521"/>
      <c r="D3029" s="2405">
        <v>0</v>
      </c>
      <c r="E3029" s="2447" t="s">
        <v>3536</v>
      </c>
      <c r="F3029" s="2405" t="s">
        <v>3537</v>
      </c>
      <c r="G3029" s="2523">
        <f>G3018*2</f>
        <v>0</v>
      </c>
      <c r="H3029" s="2517">
        <v>15000</v>
      </c>
      <c r="I3029" s="2517"/>
      <c r="J3029" s="2517">
        <v>0</v>
      </c>
      <c r="K3029" s="2517">
        <v>0</v>
      </c>
      <c r="L3029" s="2517">
        <f>H3029*G3029</f>
        <v>0</v>
      </c>
      <c r="M3029" s="2517">
        <f>I3029*G3029</f>
        <v>0</v>
      </c>
      <c r="N3029" s="2517">
        <f>J3029*G3029</f>
        <v>0</v>
      </c>
      <c r="O3029" s="2517">
        <f>K3029*G3029</f>
        <v>0</v>
      </c>
      <c r="P3029" s="2518"/>
      <c r="Q3029" s="2519"/>
      <c r="R3029" s="2519"/>
      <c r="S3029" s="2519"/>
    </row>
    <row r="3030" spans="1:19" s="2358" customFormat="1" outlineLevel="1">
      <c r="A3030" s="2435" t="str">
        <f t="shared" si="630"/>
        <v/>
      </c>
      <c r="B3030" s="2514"/>
      <c r="C3030" s="2511">
        <f>IF(G3030&gt;0,C3018+1,C3018)</f>
        <v>0</v>
      </c>
      <c r="D3030" s="2512"/>
      <c r="E3030" s="2513" t="s">
        <v>3745</v>
      </c>
      <c r="F3030" s="2511" t="s">
        <v>2391</v>
      </c>
      <c r="G3030" s="2516">
        <f>G2932</f>
        <v>0</v>
      </c>
      <c r="H3030" s="2517"/>
      <c r="I3030" s="2517"/>
      <c r="J3030" s="2517"/>
      <c r="K3030" s="2517"/>
      <c r="L3030" s="2517"/>
      <c r="M3030" s="2517"/>
      <c r="N3030" s="2517"/>
      <c r="O3030" s="2517"/>
      <c r="P3030" s="2518"/>
      <c r="Q3030" s="2519"/>
      <c r="R3030" s="2519"/>
      <c r="S3030" s="2519"/>
    </row>
    <row r="3031" spans="1:19" s="2358" customFormat="1" ht="14.4" outlineLevel="1">
      <c r="A3031" s="2435" t="str">
        <f>A3030</f>
        <v/>
      </c>
      <c r="B3031" s="2514"/>
      <c r="C3031" s="2511"/>
      <c r="D3031" s="2512"/>
      <c r="E3031" s="2527" t="s">
        <v>6207</v>
      </c>
      <c r="F3031" s="2511"/>
      <c r="G3031" s="2516"/>
      <c r="H3031" s="2517"/>
      <c r="I3031" s="2517"/>
      <c r="J3031" s="2517"/>
      <c r="K3031" s="2517"/>
      <c r="L3031" s="2517"/>
      <c r="M3031" s="2517"/>
      <c r="N3031" s="2517"/>
      <c r="O3031" s="2517"/>
      <c r="P3031" s="2518"/>
      <c r="Q3031" s="2519"/>
      <c r="R3031" s="2519"/>
      <c r="S3031" s="2519"/>
    </row>
    <row r="3032" spans="1:19" s="2358" customFormat="1" outlineLevel="1">
      <c r="A3032" s="2435" t="str">
        <f t="shared" ref="A3032:A3037" si="635">IF(G3032&lt;&gt;0,1,"")</f>
        <v/>
      </c>
      <c r="B3032" s="2505" t="s">
        <v>697</v>
      </c>
      <c r="C3032" s="2521"/>
      <c r="D3032" s="2405">
        <v>0</v>
      </c>
      <c r="E3032" s="2447" t="s">
        <v>5139</v>
      </c>
      <c r="F3032" s="2405" t="s">
        <v>2538</v>
      </c>
      <c r="G3032" s="2522">
        <f>G3030*9*3</f>
        <v>0</v>
      </c>
      <c r="H3032" s="2517">
        <v>50996</v>
      </c>
      <c r="I3032" s="2517"/>
      <c r="J3032" s="2517">
        <v>0</v>
      </c>
      <c r="K3032" s="2517">
        <v>0</v>
      </c>
      <c r="L3032" s="2517">
        <f t="shared" ref="L3032:L3037" si="636">H3032*G3032</f>
        <v>0</v>
      </c>
      <c r="M3032" s="2517">
        <f>I3032*G3032</f>
        <v>0</v>
      </c>
      <c r="N3032" s="2517">
        <f t="shared" ref="N3032:N3037" si="637">J3032*G3032</f>
        <v>0</v>
      </c>
      <c r="O3032" s="2517">
        <f t="shared" ref="O3032:O3037" si="638">K3032*G3032</f>
        <v>0</v>
      </c>
      <c r="P3032" s="2518"/>
      <c r="Q3032" s="2519"/>
      <c r="R3032" s="2519"/>
      <c r="S3032" s="2519"/>
    </row>
    <row r="3033" spans="1:19" s="2358" customFormat="1" outlineLevel="1">
      <c r="A3033" s="2435" t="str">
        <f t="shared" si="635"/>
        <v/>
      </c>
      <c r="B3033" s="2610" t="s">
        <v>1115</v>
      </c>
      <c r="C3033" s="2521"/>
      <c r="D3033" s="2405">
        <v>0</v>
      </c>
      <c r="E3033" s="2447" t="s">
        <v>2887</v>
      </c>
      <c r="F3033" s="2405" t="s">
        <v>2563</v>
      </c>
      <c r="G3033" s="2522">
        <f>G3030*3*2</f>
        <v>0</v>
      </c>
      <c r="H3033" s="2517">
        <v>6000</v>
      </c>
      <c r="I3033" s="2517"/>
      <c r="J3033" s="2517">
        <v>0</v>
      </c>
      <c r="K3033" s="2517">
        <v>0</v>
      </c>
      <c r="L3033" s="2517">
        <f t="shared" si="636"/>
        <v>0</v>
      </c>
      <c r="M3033" s="2517">
        <v>0</v>
      </c>
      <c r="N3033" s="2517">
        <f t="shared" si="637"/>
        <v>0</v>
      </c>
      <c r="O3033" s="2517">
        <f t="shared" si="638"/>
        <v>0</v>
      </c>
      <c r="P3033" s="2518"/>
      <c r="Q3033" s="2519"/>
      <c r="R3033" s="2519"/>
      <c r="S3033" s="2519"/>
    </row>
    <row r="3034" spans="1:19" s="2358" customFormat="1" outlineLevel="1">
      <c r="A3034" s="2435" t="str">
        <f t="shared" si="635"/>
        <v/>
      </c>
      <c r="B3034" s="2610" t="s">
        <v>1482</v>
      </c>
      <c r="C3034" s="2521"/>
      <c r="D3034" s="2405">
        <v>0</v>
      </c>
      <c r="E3034" s="2447" t="s">
        <v>3810</v>
      </c>
      <c r="F3034" s="2405" t="s">
        <v>2563</v>
      </c>
      <c r="G3034" s="2522">
        <f>G3030*3</f>
        <v>0</v>
      </c>
      <c r="H3034" s="2517">
        <v>46000</v>
      </c>
      <c r="I3034" s="2517"/>
      <c r="J3034" s="2517">
        <v>0</v>
      </c>
      <c r="K3034" s="2517">
        <v>0</v>
      </c>
      <c r="L3034" s="2517">
        <f t="shared" si="636"/>
        <v>0</v>
      </c>
      <c r="M3034" s="2517">
        <f>I3034*G3034</f>
        <v>0</v>
      </c>
      <c r="N3034" s="2517">
        <f t="shared" si="637"/>
        <v>0</v>
      </c>
      <c r="O3034" s="2517">
        <f t="shared" si="638"/>
        <v>0</v>
      </c>
      <c r="P3034" s="2518"/>
      <c r="Q3034" s="2519"/>
      <c r="R3034" s="2519"/>
      <c r="S3034" s="2519"/>
    </row>
    <row r="3035" spans="1:19" s="2358" customFormat="1" outlineLevel="1">
      <c r="A3035" s="2435" t="str">
        <f t="shared" si="635"/>
        <v/>
      </c>
      <c r="B3035" s="2610" t="s">
        <v>1480</v>
      </c>
      <c r="C3035" s="2521"/>
      <c r="D3035" s="2405">
        <v>0</v>
      </c>
      <c r="E3035" s="2447" t="s">
        <v>6420</v>
      </c>
      <c r="F3035" s="2405" t="s">
        <v>2563</v>
      </c>
      <c r="G3035" s="2522">
        <f>G3034</f>
        <v>0</v>
      </c>
      <c r="H3035" s="2517">
        <v>77000</v>
      </c>
      <c r="I3035" s="2517"/>
      <c r="J3035" s="2517">
        <v>0</v>
      </c>
      <c r="K3035" s="2517">
        <v>0</v>
      </c>
      <c r="L3035" s="2517">
        <f t="shared" si="636"/>
        <v>0</v>
      </c>
      <c r="M3035" s="2517">
        <f>I3035*G3035</f>
        <v>0</v>
      </c>
      <c r="N3035" s="2517">
        <f t="shared" si="637"/>
        <v>0</v>
      </c>
      <c r="O3035" s="2517">
        <f t="shared" si="638"/>
        <v>0</v>
      </c>
      <c r="P3035" s="2518"/>
      <c r="Q3035" s="2519"/>
      <c r="R3035" s="2519"/>
      <c r="S3035" s="2519"/>
    </row>
    <row r="3036" spans="1:19" s="2358" customFormat="1" outlineLevel="1">
      <c r="A3036" s="2435" t="str">
        <f t="shared" si="635"/>
        <v/>
      </c>
      <c r="B3036" s="2505" t="s">
        <v>696</v>
      </c>
      <c r="C3036" s="2642"/>
      <c r="D3036" s="2405">
        <v>0</v>
      </c>
      <c r="E3036" s="2447" t="s">
        <v>2952</v>
      </c>
      <c r="F3036" s="2405" t="s">
        <v>2563</v>
      </c>
      <c r="G3036" s="2522">
        <f>+G3030*3*3</f>
        <v>0</v>
      </c>
      <c r="H3036" s="2517">
        <v>205000</v>
      </c>
      <c r="I3036" s="2517"/>
      <c r="J3036" s="2517">
        <v>0</v>
      </c>
      <c r="K3036" s="2517">
        <v>0</v>
      </c>
      <c r="L3036" s="2517">
        <f t="shared" si="636"/>
        <v>0</v>
      </c>
      <c r="M3036" s="2517">
        <f>I3036*G3036</f>
        <v>0</v>
      </c>
      <c r="N3036" s="2517">
        <f t="shared" si="637"/>
        <v>0</v>
      </c>
      <c r="O3036" s="2517">
        <f t="shared" si="638"/>
        <v>0</v>
      </c>
      <c r="P3036" s="2518"/>
      <c r="Q3036" s="2519"/>
      <c r="R3036" s="2519"/>
      <c r="S3036" s="2519"/>
    </row>
    <row r="3037" spans="1:19" s="2358" customFormat="1" outlineLevel="1">
      <c r="A3037" s="2435" t="str">
        <f t="shared" si="635"/>
        <v/>
      </c>
      <c r="B3037" s="2505" t="s">
        <v>1268</v>
      </c>
      <c r="C3037" s="2521"/>
      <c r="D3037" s="2405">
        <v>0</v>
      </c>
      <c r="E3037" s="2447" t="s">
        <v>2831</v>
      </c>
      <c r="F3037" s="2405" t="s">
        <v>2563</v>
      </c>
      <c r="G3037" s="2522">
        <f>+G3036</f>
        <v>0</v>
      </c>
      <c r="H3037" s="2517">
        <v>65000</v>
      </c>
      <c r="I3037" s="2517"/>
      <c r="J3037" s="2517">
        <v>0</v>
      </c>
      <c r="K3037" s="2517">
        <v>0</v>
      </c>
      <c r="L3037" s="2517">
        <f t="shared" si="636"/>
        <v>0</v>
      </c>
      <c r="M3037" s="2517">
        <f>I3037*G3037</f>
        <v>0</v>
      </c>
      <c r="N3037" s="2517">
        <f t="shared" si="637"/>
        <v>0</v>
      </c>
      <c r="O3037" s="2517">
        <f t="shared" si="638"/>
        <v>0</v>
      </c>
      <c r="P3037" s="2518"/>
      <c r="Q3037" s="2519"/>
      <c r="R3037" s="2519"/>
      <c r="S3037" s="2519"/>
    </row>
    <row r="3038" spans="1:19" s="2358" customFormat="1" outlineLevel="1">
      <c r="A3038" s="2435" t="str">
        <f>IF(G3038&lt;&gt;0,1,"")</f>
        <v/>
      </c>
      <c r="B3038" s="2505" t="s">
        <v>347</v>
      </c>
      <c r="C3038" s="2521"/>
      <c r="D3038" s="2405" t="s">
        <v>5622</v>
      </c>
      <c r="E3038" s="2447" t="s">
        <v>3289</v>
      </c>
      <c r="F3038" s="2405" t="s">
        <v>2445</v>
      </c>
      <c r="G3038" s="2522">
        <f>G3036</f>
        <v>0</v>
      </c>
      <c r="H3038" s="2517">
        <v>510</v>
      </c>
      <c r="I3038" s="2517"/>
      <c r="J3038" s="2517">
        <v>58277.49</v>
      </c>
      <c r="K3038" s="2517">
        <v>0</v>
      </c>
      <c r="L3038" s="2517">
        <f>H3038*G3038</f>
        <v>0</v>
      </c>
      <c r="M3038" s="2517">
        <f>I3038*G3038</f>
        <v>0</v>
      </c>
      <c r="N3038" s="2517">
        <f>J3038*G3038</f>
        <v>0</v>
      </c>
      <c r="O3038" s="2517">
        <f>K3038*G3038</f>
        <v>0</v>
      </c>
      <c r="P3038" s="2518"/>
      <c r="Q3038" s="2519"/>
      <c r="R3038" s="2519"/>
      <c r="S3038" s="2519"/>
    </row>
    <row r="3039" spans="1:19" s="2358" customFormat="1" outlineLevel="1">
      <c r="A3039" s="2435" t="str">
        <f>IF(G3039&lt;&gt;0,1,"")</f>
        <v/>
      </c>
      <c r="B3039" s="2505"/>
      <c r="C3039" s="2511">
        <f>IF(G3039&gt;0,C3030+1,C3030)</f>
        <v>0</v>
      </c>
      <c r="D3039" s="2512"/>
      <c r="E3039" s="2513" t="s">
        <v>6367</v>
      </c>
      <c r="F3039" s="2511" t="s">
        <v>2391</v>
      </c>
      <c r="G3039" s="2522">
        <f>G3018+G3030</f>
        <v>0</v>
      </c>
      <c r="H3039" s="2517"/>
      <c r="I3039" s="2517"/>
      <c r="J3039" s="2517"/>
      <c r="K3039" s="2517"/>
      <c r="L3039" s="2517"/>
      <c r="M3039" s="2517"/>
      <c r="N3039" s="2517"/>
      <c r="O3039" s="2517"/>
      <c r="P3039" s="2518"/>
      <c r="Q3039" s="2519"/>
      <c r="R3039" s="2519"/>
      <c r="S3039" s="2519"/>
    </row>
    <row r="3040" spans="1:19" s="2358" customFormat="1" ht="14.4" outlineLevel="1">
      <c r="A3040" s="2435" t="str">
        <f>A3039</f>
        <v/>
      </c>
      <c r="B3040" s="2505"/>
      <c r="C3040" s="2511"/>
      <c r="D3040" s="2512"/>
      <c r="E3040" s="2527" t="s">
        <v>6207</v>
      </c>
      <c r="F3040" s="2511"/>
      <c r="G3040" s="2522"/>
      <c r="H3040" s="2517"/>
      <c r="I3040" s="2517"/>
      <c r="J3040" s="2517"/>
      <c r="K3040" s="2517"/>
      <c r="L3040" s="2517"/>
      <c r="M3040" s="2517"/>
      <c r="N3040" s="2517"/>
      <c r="O3040" s="2517"/>
      <c r="P3040" s="2518"/>
      <c r="Q3040" s="2519"/>
      <c r="R3040" s="2519"/>
      <c r="S3040" s="2519"/>
    </row>
    <row r="3041" spans="1:19" s="2358" customFormat="1" outlineLevel="1">
      <c r="A3041" s="2435" t="str">
        <f t="shared" ref="A3041:A3049" si="639">IF(G3041&lt;&gt;0,1,"")</f>
        <v/>
      </c>
      <c r="B3041" s="2514" t="s">
        <v>1241</v>
      </c>
      <c r="C3041" s="2521"/>
      <c r="D3041" s="2823"/>
      <c r="E3041" s="2447" t="s">
        <v>2756</v>
      </c>
      <c r="F3041" s="2405" t="s">
        <v>2538</v>
      </c>
      <c r="G3041" s="2522">
        <f>G3039*(8*3*4+2*8)</f>
        <v>0</v>
      </c>
      <c r="H3041" s="2517">
        <v>479000</v>
      </c>
      <c r="I3041" s="2517"/>
      <c r="J3041" s="2517">
        <v>0</v>
      </c>
      <c r="K3041" s="2517">
        <v>0</v>
      </c>
      <c r="L3041" s="2517">
        <f t="shared" ref="L3041:L3049" si="640">H3041*G3041</f>
        <v>0</v>
      </c>
      <c r="M3041" s="2517">
        <f t="shared" ref="M3041:M3049" si="641">I3041*G3041</f>
        <v>0</v>
      </c>
      <c r="N3041" s="2517">
        <f t="shared" ref="N3041:N3049" si="642">J3041*G3041</f>
        <v>0</v>
      </c>
      <c r="O3041" s="2517">
        <f t="shared" ref="O3041:O3049" si="643">K3041*G3041</f>
        <v>0</v>
      </c>
      <c r="P3041" s="2518"/>
      <c r="Q3041" s="2519"/>
      <c r="R3041" s="2519">
        <f>48*(30+6)</f>
        <v>1728</v>
      </c>
      <c r="S3041" s="2519"/>
    </row>
    <row r="3042" spans="1:19" s="2358" customFormat="1" outlineLevel="1">
      <c r="A3042" s="2435" t="str">
        <f t="shared" si="639"/>
        <v/>
      </c>
      <c r="B3042" s="2514" t="s">
        <v>448</v>
      </c>
      <c r="C3042" s="2521"/>
      <c r="D3042" s="2405" t="s">
        <v>5794</v>
      </c>
      <c r="E3042" s="2447" t="s">
        <v>6471</v>
      </c>
      <c r="F3042" s="2405" t="s">
        <v>2563</v>
      </c>
      <c r="G3042" s="2522">
        <f>+G3039*28</f>
        <v>0</v>
      </c>
      <c r="H3042" s="2517">
        <v>70000</v>
      </c>
      <c r="I3042" s="2517"/>
      <c r="J3042" s="2517">
        <v>59410.148000000001</v>
      </c>
      <c r="K3042" s="2517">
        <v>5554.0464950000005</v>
      </c>
      <c r="L3042" s="2517">
        <f t="shared" si="640"/>
        <v>0</v>
      </c>
      <c r="M3042" s="2517">
        <f t="shared" si="641"/>
        <v>0</v>
      </c>
      <c r="N3042" s="2517">
        <f t="shared" si="642"/>
        <v>0</v>
      </c>
      <c r="O3042" s="2517">
        <f t="shared" si="643"/>
        <v>0</v>
      </c>
      <c r="P3042" s="2518"/>
      <c r="Q3042" s="2519"/>
      <c r="R3042" s="2519"/>
      <c r="S3042" s="2519"/>
    </row>
    <row r="3043" spans="1:19" s="2358" customFormat="1" outlineLevel="1">
      <c r="A3043" s="2435" t="str">
        <f t="shared" si="639"/>
        <v/>
      </c>
      <c r="B3043" s="2514" t="s">
        <v>1072</v>
      </c>
      <c r="C3043" s="2521"/>
      <c r="D3043" s="2405">
        <v>0</v>
      </c>
      <c r="E3043" s="2447" t="s">
        <v>6472</v>
      </c>
      <c r="F3043" s="2405" t="s">
        <v>2563</v>
      </c>
      <c r="G3043" s="2522">
        <f>G3042</f>
        <v>0</v>
      </c>
      <c r="H3043" s="2517">
        <v>6000</v>
      </c>
      <c r="I3043" s="2517"/>
      <c r="J3043" s="2517">
        <v>0</v>
      </c>
      <c r="K3043" s="2517">
        <v>0</v>
      </c>
      <c r="L3043" s="2517">
        <f t="shared" si="640"/>
        <v>0</v>
      </c>
      <c r="M3043" s="2517">
        <f t="shared" si="641"/>
        <v>0</v>
      </c>
      <c r="N3043" s="2517">
        <f t="shared" si="642"/>
        <v>0</v>
      </c>
      <c r="O3043" s="2517">
        <f t="shared" si="643"/>
        <v>0</v>
      </c>
      <c r="P3043" s="2518"/>
      <c r="Q3043" s="2519"/>
      <c r="R3043" s="2519"/>
      <c r="S3043" s="2519"/>
    </row>
    <row r="3044" spans="1:19" s="2358" customFormat="1" outlineLevel="1">
      <c r="A3044" s="2435" t="str">
        <f t="shared" si="639"/>
        <v/>
      </c>
      <c r="B3044" s="2514" t="s">
        <v>1042</v>
      </c>
      <c r="C3044" s="2521"/>
      <c r="D3044" s="2405">
        <v>0</v>
      </c>
      <c r="E3044" s="2447" t="s">
        <v>3549</v>
      </c>
      <c r="F3044" s="2405" t="s">
        <v>1827</v>
      </c>
      <c r="G3044" s="2522">
        <f>6*G3039*$L$2</f>
        <v>0</v>
      </c>
      <c r="H3044" s="2517">
        <v>103700</v>
      </c>
      <c r="I3044" s="2517"/>
      <c r="J3044" s="2517">
        <v>0</v>
      </c>
      <c r="K3044" s="2517">
        <v>0</v>
      </c>
      <c r="L3044" s="2517">
        <f t="shared" si="640"/>
        <v>0</v>
      </c>
      <c r="M3044" s="2517">
        <f t="shared" si="641"/>
        <v>0</v>
      </c>
      <c r="N3044" s="2517">
        <f t="shared" si="642"/>
        <v>0</v>
      </c>
      <c r="O3044" s="2517">
        <f t="shared" si="643"/>
        <v>0</v>
      </c>
      <c r="P3044" s="2518"/>
      <c r="Q3044" s="2519"/>
      <c r="R3044" s="2519"/>
      <c r="S3044" s="2519"/>
    </row>
    <row r="3045" spans="1:19" s="2358" customFormat="1" outlineLevel="1">
      <c r="A3045" s="2435" t="str">
        <f t="shared" si="639"/>
        <v/>
      </c>
      <c r="B3045" s="2505" t="s">
        <v>731</v>
      </c>
      <c r="C3045" s="2521"/>
      <c r="D3045" s="2405">
        <v>0</v>
      </c>
      <c r="E3045" s="2447" t="s">
        <v>5319</v>
      </c>
      <c r="F3045" s="2405" t="s">
        <v>2445</v>
      </c>
      <c r="G3045" s="2522">
        <f>G3039*2*$L$2*0</f>
        <v>0</v>
      </c>
      <c r="H3045" s="2517">
        <v>50000</v>
      </c>
      <c r="I3045" s="2517"/>
      <c r="J3045" s="2517">
        <v>0</v>
      </c>
      <c r="K3045" s="2517">
        <v>0</v>
      </c>
      <c r="L3045" s="2517">
        <f t="shared" si="640"/>
        <v>0</v>
      </c>
      <c r="M3045" s="2517">
        <f t="shared" si="641"/>
        <v>0</v>
      </c>
      <c r="N3045" s="2517">
        <f t="shared" si="642"/>
        <v>0</v>
      </c>
      <c r="O3045" s="2517">
        <f t="shared" si="643"/>
        <v>0</v>
      </c>
      <c r="P3045" s="2518"/>
      <c r="Q3045" s="2675"/>
      <c r="R3045" s="2519"/>
      <c r="S3045" s="2519"/>
    </row>
    <row r="3046" spans="1:19" s="2358" customFormat="1" outlineLevel="1">
      <c r="A3046" s="2435" t="str">
        <f t="shared" si="639"/>
        <v/>
      </c>
      <c r="B3046" s="2514" t="s">
        <v>1043</v>
      </c>
      <c r="C3046" s="2521"/>
      <c r="D3046" s="2405">
        <v>0</v>
      </c>
      <c r="E3046" s="2447" t="s">
        <v>5860</v>
      </c>
      <c r="F3046" s="2405" t="s">
        <v>2563</v>
      </c>
      <c r="G3046" s="2522">
        <f>G3039*2*$L$2*0</f>
        <v>0</v>
      </c>
      <c r="H3046" s="2517">
        <v>104800</v>
      </c>
      <c r="I3046" s="2517"/>
      <c r="J3046" s="2517">
        <v>0</v>
      </c>
      <c r="K3046" s="2517">
        <v>0</v>
      </c>
      <c r="L3046" s="2517">
        <f t="shared" si="640"/>
        <v>0</v>
      </c>
      <c r="M3046" s="2517">
        <f t="shared" si="641"/>
        <v>0</v>
      </c>
      <c r="N3046" s="2517">
        <f t="shared" si="642"/>
        <v>0</v>
      </c>
      <c r="O3046" s="2517">
        <f t="shared" si="643"/>
        <v>0</v>
      </c>
      <c r="P3046" s="2518"/>
      <c r="Q3046" s="2519"/>
      <c r="R3046" s="2519"/>
      <c r="S3046" s="2519"/>
    </row>
    <row r="3047" spans="1:19" s="2358" customFormat="1" outlineLevel="1">
      <c r="A3047" s="2435" t="str">
        <f t="shared" si="639"/>
        <v/>
      </c>
      <c r="B3047" s="2514" t="s">
        <v>2173</v>
      </c>
      <c r="C3047" s="2521"/>
      <c r="D3047" s="2405">
        <v>0</v>
      </c>
      <c r="E3047" s="2447" t="s">
        <v>3593</v>
      </c>
      <c r="F3047" s="2405" t="s">
        <v>2563</v>
      </c>
      <c r="G3047" s="2522">
        <f>G3039*$L$2*0</f>
        <v>0</v>
      </c>
      <c r="H3047" s="2517">
        <v>41900</v>
      </c>
      <c r="I3047" s="2517"/>
      <c r="J3047" s="2517">
        <v>0</v>
      </c>
      <c r="K3047" s="2517">
        <v>0</v>
      </c>
      <c r="L3047" s="2517">
        <f t="shared" si="640"/>
        <v>0</v>
      </c>
      <c r="M3047" s="2517">
        <f t="shared" si="641"/>
        <v>0</v>
      </c>
      <c r="N3047" s="2517">
        <f t="shared" si="642"/>
        <v>0</v>
      </c>
      <c r="O3047" s="2517">
        <f t="shared" si="643"/>
        <v>0</v>
      </c>
      <c r="P3047" s="2518"/>
      <c r="Q3047" s="2519"/>
      <c r="R3047" s="2519"/>
      <c r="S3047" s="2519"/>
    </row>
    <row r="3048" spans="1:19" s="2358" customFormat="1" outlineLevel="1">
      <c r="A3048" s="2435" t="str">
        <f t="shared" si="639"/>
        <v/>
      </c>
      <c r="B3048" s="2514" t="s">
        <v>2174</v>
      </c>
      <c r="C3048" s="2521"/>
      <c r="D3048" s="2405">
        <v>0</v>
      </c>
      <c r="E3048" s="2447" t="s">
        <v>6473</v>
      </c>
      <c r="F3048" s="2405" t="s">
        <v>2563</v>
      </c>
      <c r="G3048" s="2522">
        <f>G3047</f>
        <v>0</v>
      </c>
      <c r="H3048" s="2517">
        <v>41900</v>
      </c>
      <c r="I3048" s="2517"/>
      <c r="J3048" s="2517">
        <v>0</v>
      </c>
      <c r="K3048" s="2517">
        <v>0</v>
      </c>
      <c r="L3048" s="2517">
        <f t="shared" si="640"/>
        <v>0</v>
      </c>
      <c r="M3048" s="2517">
        <f t="shared" si="641"/>
        <v>0</v>
      </c>
      <c r="N3048" s="2517">
        <f t="shared" si="642"/>
        <v>0</v>
      </c>
      <c r="O3048" s="2517">
        <f t="shared" si="643"/>
        <v>0</v>
      </c>
      <c r="P3048" s="2518"/>
      <c r="Q3048" s="2519"/>
      <c r="R3048" s="2519"/>
      <c r="S3048" s="2519"/>
    </row>
    <row r="3049" spans="1:19" s="2358" customFormat="1" outlineLevel="1">
      <c r="A3049" s="2435" t="str">
        <f t="shared" si="639"/>
        <v/>
      </c>
      <c r="B3049" s="2514" t="s">
        <v>726</v>
      </c>
      <c r="C3049" s="2521"/>
      <c r="D3049" s="2405">
        <v>0</v>
      </c>
      <c r="E3049" s="2447" t="s">
        <v>6474</v>
      </c>
      <c r="F3049" s="2405" t="s">
        <v>388</v>
      </c>
      <c r="G3049" s="2522">
        <f>G3039*2*$L$2*0</f>
        <v>0</v>
      </c>
      <c r="H3049" s="2517">
        <v>54100</v>
      </c>
      <c r="I3049" s="2517"/>
      <c r="J3049" s="2517">
        <v>0</v>
      </c>
      <c r="K3049" s="2517">
        <v>0</v>
      </c>
      <c r="L3049" s="2517">
        <f t="shared" si="640"/>
        <v>0</v>
      </c>
      <c r="M3049" s="2517">
        <f t="shared" si="641"/>
        <v>0</v>
      </c>
      <c r="N3049" s="2517">
        <f t="shared" si="642"/>
        <v>0</v>
      </c>
      <c r="O3049" s="2517">
        <f t="shared" si="643"/>
        <v>0</v>
      </c>
      <c r="P3049" s="2518"/>
      <c r="Q3049" s="2519"/>
      <c r="R3049" s="2519"/>
      <c r="S3049" s="2519"/>
    </row>
    <row r="3050" spans="1:19" s="2358" customFormat="1" outlineLevel="1">
      <c r="A3050" s="2435" t="str">
        <f>IF(G3050&lt;&gt;0,1,"")</f>
        <v/>
      </c>
      <c r="B3050" s="2505" t="s">
        <v>6</v>
      </c>
      <c r="C3050" s="2521"/>
      <c r="D3050" s="2405"/>
      <c r="E3050" s="2447" t="s">
        <v>6475</v>
      </c>
      <c r="F3050" s="2405" t="s">
        <v>5868</v>
      </c>
      <c r="G3050" s="2522"/>
      <c r="H3050" s="2517">
        <v>45000</v>
      </c>
      <c r="I3050" s="2517"/>
      <c r="J3050" s="2517"/>
      <c r="K3050" s="2517"/>
      <c r="L3050" s="2517">
        <f>H3050*G3050</f>
        <v>0</v>
      </c>
      <c r="M3050" s="2517">
        <f>I3050*G3050</f>
        <v>0</v>
      </c>
      <c r="N3050" s="2517">
        <f>J3050*G3050</f>
        <v>0</v>
      </c>
      <c r="O3050" s="2517">
        <f>K3050*G3050</f>
        <v>0</v>
      </c>
      <c r="P3050" s="2518"/>
      <c r="Q3050" s="2519"/>
      <c r="R3050" s="2519"/>
      <c r="S3050" s="2519"/>
    </row>
    <row r="3051" spans="1:19" s="2358" customFormat="1" outlineLevel="1">
      <c r="A3051" s="2435" t="str">
        <f>IF(G3051&lt;&gt;0,1,"")</f>
        <v/>
      </c>
      <c r="B3051" s="2514" t="s">
        <v>1351</v>
      </c>
      <c r="C3051" s="2521"/>
      <c r="D3051" s="2405">
        <v>0</v>
      </c>
      <c r="E3051" s="2447" t="s">
        <v>3536</v>
      </c>
      <c r="F3051" s="2405" t="s">
        <v>3537</v>
      </c>
      <c r="G3051" s="2522">
        <f>G3039</f>
        <v>0</v>
      </c>
      <c r="H3051" s="2517">
        <v>15000</v>
      </c>
      <c r="I3051" s="2517"/>
      <c r="J3051" s="2517">
        <v>0</v>
      </c>
      <c r="K3051" s="2517">
        <v>0</v>
      </c>
      <c r="L3051" s="2517">
        <f>H3051*G3051</f>
        <v>0</v>
      </c>
      <c r="M3051" s="2517">
        <f>I3051*G3051</f>
        <v>0</v>
      </c>
      <c r="N3051" s="2517">
        <f>J3051*G3051</f>
        <v>0</v>
      </c>
      <c r="O3051" s="2517">
        <f>K3051*G3051</f>
        <v>0</v>
      </c>
      <c r="P3051" s="2518"/>
      <c r="Q3051" s="2519"/>
      <c r="R3051" s="2519"/>
      <c r="S3051" s="2519"/>
    </row>
    <row r="3052" spans="1:19" s="2358" customFormat="1" outlineLevel="1">
      <c r="A3052" s="2435" t="str">
        <f>IF(G3052&lt;&gt;0,1,"")</f>
        <v/>
      </c>
      <c r="B3052" s="2505" t="s">
        <v>672</v>
      </c>
      <c r="C3052" s="2521"/>
      <c r="D3052" s="2405">
        <v>0</v>
      </c>
      <c r="E3052" s="2447" t="s">
        <v>5863</v>
      </c>
      <c r="F3052" s="2405" t="s">
        <v>3584</v>
      </c>
      <c r="G3052" s="2522">
        <f>G3039*5</f>
        <v>0</v>
      </c>
      <c r="H3052" s="2517">
        <v>6500</v>
      </c>
      <c r="I3052" s="2517"/>
      <c r="J3052" s="2517">
        <v>0</v>
      </c>
      <c r="K3052" s="2517">
        <v>0</v>
      </c>
      <c r="L3052" s="2517">
        <f>H3052*G3052</f>
        <v>0</v>
      </c>
      <c r="M3052" s="2517">
        <f>I3052*G3052</f>
        <v>0</v>
      </c>
      <c r="N3052" s="2517">
        <f>J3052*G3052</f>
        <v>0</v>
      </c>
      <c r="O3052" s="2517">
        <f>K3052*G3052</f>
        <v>0</v>
      </c>
      <c r="P3052" s="2518"/>
      <c r="Q3052" s="2519"/>
      <c r="R3052" s="2519"/>
      <c r="S3052" s="2519"/>
    </row>
    <row r="3053" spans="1:19" s="2358" customFormat="1" outlineLevel="1">
      <c r="A3053" s="2435" t="str">
        <f>IF(G3053&lt;&gt;0,1,"")</f>
        <v/>
      </c>
      <c r="B3053" s="2505" t="s">
        <v>247</v>
      </c>
      <c r="C3053" s="2824"/>
      <c r="D3053" s="2405" t="s">
        <v>5635</v>
      </c>
      <c r="E3053" s="2447" t="s">
        <v>6476</v>
      </c>
      <c r="F3053" s="2405" t="s">
        <v>1827</v>
      </c>
      <c r="G3053" s="2522">
        <f>G3041</f>
        <v>0</v>
      </c>
      <c r="H3053" s="2517">
        <v>0</v>
      </c>
      <c r="I3053" s="2517"/>
      <c r="J3053" s="2517">
        <v>47311</v>
      </c>
      <c r="K3053" s="2517">
        <v>0</v>
      </c>
      <c r="L3053" s="2517">
        <f>H3053*G3053</f>
        <v>0</v>
      </c>
      <c r="M3053" s="2517">
        <f>I3053*G3053</f>
        <v>0</v>
      </c>
      <c r="N3053" s="2517">
        <f>J3053*G3053</f>
        <v>0</v>
      </c>
      <c r="O3053" s="2517">
        <f>K3053*G3053</f>
        <v>0</v>
      </c>
      <c r="P3053" s="2518"/>
      <c r="Q3053" s="2519"/>
      <c r="R3053" s="2519"/>
      <c r="S3053" s="2519"/>
    </row>
    <row r="3054" spans="1:19" s="2358" customFormat="1" outlineLevel="1">
      <c r="A3054" s="2435" t="str">
        <f>IF(G3054&lt;&gt;0,1,"")</f>
        <v/>
      </c>
      <c r="B3054" s="2505"/>
      <c r="C3054" s="2511">
        <f>IF(G3054&gt;0,C3039+1,C3039)</f>
        <v>0</v>
      </c>
      <c r="D3054" s="2512"/>
      <c r="E3054" s="2513" t="s">
        <v>6327</v>
      </c>
      <c r="F3054" s="2511" t="s">
        <v>2391</v>
      </c>
      <c r="G3054" s="2522">
        <f>G2942</f>
        <v>0</v>
      </c>
      <c r="H3054" s="2517"/>
      <c r="I3054" s="2517"/>
      <c r="J3054" s="2517"/>
      <c r="K3054" s="2517"/>
      <c r="L3054" s="2517"/>
      <c r="M3054" s="2517"/>
      <c r="N3054" s="2517"/>
      <c r="O3054" s="2517"/>
      <c r="P3054" s="2518"/>
      <c r="Q3054" s="2519"/>
      <c r="R3054" s="2519"/>
      <c r="S3054" s="2519"/>
    </row>
    <row r="3055" spans="1:19" s="2541" customFormat="1" ht="14.4" outlineLevel="1">
      <c r="A3055" s="2435" t="str">
        <f>A3054</f>
        <v/>
      </c>
      <c r="B3055" s="2753"/>
      <c r="C3055" s="2511"/>
      <c r="D3055" s="2512"/>
      <c r="E3055" s="2527" t="s">
        <v>6207</v>
      </c>
      <c r="F3055" s="2511" t="s">
        <v>2391</v>
      </c>
      <c r="G3055" s="2516"/>
      <c r="H3055" s="2517"/>
      <c r="I3055" s="2517"/>
      <c r="J3055" s="2517"/>
      <c r="K3055" s="2517"/>
      <c r="L3055" s="2517">
        <f>SUBTOTAL(9,L3056:L3076)*0</f>
        <v>0</v>
      </c>
      <c r="M3055" s="2517">
        <f>SUBTOTAL(9,M3056:M3076)</f>
        <v>0</v>
      </c>
      <c r="N3055" s="2517">
        <f>SUBTOTAL(9,N3056:N3076)*0</f>
        <v>0</v>
      </c>
      <c r="O3055" s="2517">
        <f>SUBTOTAL(9,O3056:O3076)*0</f>
        <v>0</v>
      </c>
      <c r="P3055" s="2518"/>
      <c r="Q3055" s="2686"/>
      <c r="R3055" s="2686"/>
      <c r="S3055" s="2686"/>
    </row>
    <row r="3056" spans="1:19" s="2358" customFormat="1" outlineLevel="1">
      <c r="A3056" s="2435">
        <f>IF(G3056=0,0,1)</f>
        <v>0</v>
      </c>
      <c r="B3056" s="2514" t="s">
        <v>2282</v>
      </c>
      <c r="C3056" s="2642"/>
      <c r="D3056" s="2405">
        <v>0</v>
      </c>
      <c r="E3056" s="2612" t="s">
        <v>2794</v>
      </c>
      <c r="F3056" s="2754" t="s">
        <v>2538</v>
      </c>
      <c r="G3056" s="2522">
        <f>G3054*33</f>
        <v>0</v>
      </c>
      <c r="H3056" s="2517">
        <v>63200</v>
      </c>
      <c r="I3056" s="2517"/>
      <c r="J3056" s="2517">
        <v>0</v>
      </c>
      <c r="K3056" s="2517">
        <v>0</v>
      </c>
      <c r="L3056" s="2517">
        <f t="shared" ref="L3056:O3076" si="644">H3056*$G3056</f>
        <v>0</v>
      </c>
      <c r="M3056" s="2517">
        <f t="shared" si="644"/>
        <v>0</v>
      </c>
      <c r="N3056" s="2517">
        <f t="shared" si="644"/>
        <v>0</v>
      </c>
      <c r="O3056" s="2517">
        <f t="shared" si="644"/>
        <v>0</v>
      </c>
      <c r="P3056" s="2518"/>
      <c r="Q3056" s="2519"/>
      <c r="R3056" s="2519"/>
      <c r="S3056" s="2519"/>
    </row>
    <row r="3057" spans="1:19" s="2358" customFormat="1" outlineLevel="1">
      <c r="A3057" s="2435">
        <f>IF(G3057=0,0,1)</f>
        <v>0</v>
      </c>
      <c r="B3057" s="2505" t="s">
        <v>6328</v>
      </c>
      <c r="C3057" s="2521"/>
      <c r="D3057" s="2405">
        <v>0</v>
      </c>
      <c r="E3057" s="2612" t="s">
        <v>5105</v>
      </c>
      <c r="F3057" s="2754" t="s">
        <v>2445</v>
      </c>
      <c r="G3057" s="2522">
        <f>G3054*24</f>
        <v>0</v>
      </c>
      <c r="H3057" s="2517">
        <v>7900</v>
      </c>
      <c r="I3057" s="2517"/>
      <c r="J3057" s="2517">
        <v>0</v>
      </c>
      <c r="K3057" s="2517">
        <v>0</v>
      </c>
      <c r="L3057" s="2517">
        <f t="shared" si="644"/>
        <v>0</v>
      </c>
      <c r="M3057" s="2517">
        <f t="shared" si="644"/>
        <v>0</v>
      </c>
      <c r="N3057" s="2517">
        <f t="shared" si="644"/>
        <v>0</v>
      </c>
      <c r="O3057" s="2517">
        <f t="shared" si="644"/>
        <v>0</v>
      </c>
      <c r="P3057" s="2518"/>
      <c r="Q3057" s="2519"/>
      <c r="R3057" s="2519"/>
      <c r="S3057" s="2519"/>
    </row>
    <row r="3058" spans="1:19" s="2358" customFormat="1" outlineLevel="1">
      <c r="A3058" s="2435">
        <f>IF(G3058=0,0,1)</f>
        <v>0</v>
      </c>
      <c r="B3058" s="2505" t="s">
        <v>6329</v>
      </c>
      <c r="C3058" s="2521"/>
      <c r="D3058" s="2405">
        <v>0</v>
      </c>
      <c r="E3058" s="2612" t="s">
        <v>2632</v>
      </c>
      <c r="F3058" s="2754" t="s">
        <v>2445</v>
      </c>
      <c r="G3058" s="2522">
        <f>G3057</f>
        <v>0</v>
      </c>
      <c r="H3058" s="2517">
        <v>1500</v>
      </c>
      <c r="I3058" s="2517"/>
      <c r="J3058" s="2517">
        <v>0</v>
      </c>
      <c r="K3058" s="2517">
        <v>0</v>
      </c>
      <c r="L3058" s="2517">
        <f t="shared" si="644"/>
        <v>0</v>
      </c>
      <c r="M3058" s="2517">
        <f t="shared" si="644"/>
        <v>0</v>
      </c>
      <c r="N3058" s="2517">
        <f t="shared" si="644"/>
        <v>0</v>
      </c>
      <c r="O3058" s="2517">
        <f t="shared" si="644"/>
        <v>0</v>
      </c>
      <c r="P3058" s="2518"/>
      <c r="Q3058" s="2519"/>
      <c r="R3058" s="2519"/>
      <c r="S3058" s="2519"/>
    </row>
    <row r="3059" spans="1:19" s="2358" customFormat="1" outlineLevel="1">
      <c r="A3059" s="2435">
        <f t="shared" ref="A3059:A3076" si="645">IF(G3059=0,0,1)</f>
        <v>0</v>
      </c>
      <c r="B3059" s="2514" t="s">
        <v>246</v>
      </c>
      <c r="C3059" s="2642"/>
      <c r="D3059" s="2405">
        <v>0</v>
      </c>
      <c r="E3059" s="2612" t="s">
        <v>5931</v>
      </c>
      <c r="F3059" s="2754" t="s">
        <v>2563</v>
      </c>
      <c r="G3059" s="2522">
        <f>G3054*24</f>
        <v>0</v>
      </c>
      <c r="H3059" s="2517">
        <v>40500</v>
      </c>
      <c r="I3059" s="2517"/>
      <c r="J3059" s="2517">
        <v>39758</v>
      </c>
      <c r="K3059" s="2517">
        <v>0</v>
      </c>
      <c r="L3059" s="2517">
        <f t="shared" si="644"/>
        <v>0</v>
      </c>
      <c r="M3059" s="2517">
        <f t="shared" si="644"/>
        <v>0</v>
      </c>
      <c r="N3059" s="2517">
        <f t="shared" si="644"/>
        <v>0</v>
      </c>
      <c r="O3059" s="2517">
        <f t="shared" si="644"/>
        <v>0</v>
      </c>
      <c r="P3059" s="2518"/>
      <c r="Q3059" s="2519"/>
      <c r="R3059" s="2519"/>
      <c r="S3059" s="2519"/>
    </row>
    <row r="3060" spans="1:19" s="2358" customFormat="1" outlineLevel="1">
      <c r="A3060" s="2435">
        <f t="shared" si="645"/>
        <v>0</v>
      </c>
      <c r="B3060" s="2514" t="s">
        <v>1869</v>
      </c>
      <c r="C3060" s="2521"/>
      <c r="D3060" s="2405">
        <v>0</v>
      </c>
      <c r="E3060" s="2612" t="s">
        <v>3489</v>
      </c>
      <c r="F3060" s="2754" t="s">
        <v>2563</v>
      </c>
      <c r="G3060" s="2522">
        <f>G3054*16</f>
        <v>0</v>
      </c>
      <c r="H3060" s="2517">
        <v>1700</v>
      </c>
      <c r="I3060" s="2517"/>
      <c r="J3060" s="2517">
        <v>0</v>
      </c>
      <c r="K3060" s="2517">
        <v>0</v>
      </c>
      <c r="L3060" s="2517">
        <f t="shared" si="644"/>
        <v>0</v>
      </c>
      <c r="M3060" s="2517">
        <f t="shared" si="644"/>
        <v>0</v>
      </c>
      <c r="N3060" s="2517">
        <f t="shared" si="644"/>
        <v>0</v>
      </c>
      <c r="O3060" s="2517">
        <f t="shared" si="644"/>
        <v>0</v>
      </c>
      <c r="P3060" s="2518"/>
      <c r="Q3060" s="2519"/>
      <c r="R3060" s="2519"/>
      <c r="S3060" s="2519"/>
    </row>
    <row r="3061" spans="1:19" s="2358" customFormat="1" outlineLevel="1">
      <c r="A3061" s="2435">
        <f t="shared" si="645"/>
        <v>0</v>
      </c>
      <c r="B3061" s="2514" t="s">
        <v>1513</v>
      </c>
      <c r="C3061" s="2521"/>
      <c r="D3061" s="2405">
        <v>0</v>
      </c>
      <c r="E3061" s="2612" t="s">
        <v>3533</v>
      </c>
      <c r="F3061" s="2754" t="s">
        <v>2538</v>
      </c>
      <c r="G3061" s="2522">
        <f>6*G3054</f>
        <v>0</v>
      </c>
      <c r="H3061" s="2517">
        <v>860</v>
      </c>
      <c r="I3061" s="2517"/>
      <c r="J3061" s="2517">
        <v>0</v>
      </c>
      <c r="K3061" s="2517">
        <v>0</v>
      </c>
      <c r="L3061" s="2517">
        <f t="shared" si="644"/>
        <v>0</v>
      </c>
      <c r="M3061" s="2517">
        <f t="shared" si="644"/>
        <v>0</v>
      </c>
      <c r="N3061" s="2517">
        <f t="shared" si="644"/>
        <v>0</v>
      </c>
      <c r="O3061" s="2517">
        <f t="shared" si="644"/>
        <v>0</v>
      </c>
      <c r="P3061" s="2518"/>
      <c r="Q3061" s="2519"/>
      <c r="R3061" s="2519"/>
      <c r="S3061" s="2519"/>
    </row>
    <row r="3062" spans="1:19" s="2358" customFormat="1" outlineLevel="1">
      <c r="A3062" s="2435">
        <f t="shared" si="645"/>
        <v>0</v>
      </c>
      <c r="B3062" s="2514" t="s">
        <v>816</v>
      </c>
      <c r="C3062" s="2521"/>
      <c r="D3062" s="2405">
        <v>0</v>
      </c>
      <c r="E3062" s="2612" t="s">
        <v>3599</v>
      </c>
      <c r="F3062" s="2754" t="s">
        <v>2563</v>
      </c>
      <c r="G3062" s="2522">
        <f>+G3054*3</f>
        <v>0</v>
      </c>
      <c r="H3062" s="2517">
        <v>17600</v>
      </c>
      <c r="I3062" s="2517"/>
      <c r="J3062" s="2517">
        <v>0</v>
      </c>
      <c r="K3062" s="2517">
        <v>0</v>
      </c>
      <c r="L3062" s="2517">
        <f t="shared" si="644"/>
        <v>0</v>
      </c>
      <c r="M3062" s="2517">
        <f t="shared" si="644"/>
        <v>0</v>
      </c>
      <c r="N3062" s="2517">
        <f t="shared" si="644"/>
        <v>0</v>
      </c>
      <c r="O3062" s="2517">
        <f t="shared" si="644"/>
        <v>0</v>
      </c>
      <c r="P3062" s="2518"/>
      <c r="Q3062" s="2519"/>
      <c r="R3062" s="2519"/>
      <c r="S3062" s="2519"/>
    </row>
    <row r="3063" spans="1:19" s="2358" customFormat="1" outlineLevel="1">
      <c r="A3063" s="2435">
        <f t="shared" si="645"/>
        <v>0</v>
      </c>
      <c r="B3063" s="2514" t="s">
        <v>2147</v>
      </c>
      <c r="C3063" s="2521"/>
      <c r="D3063" s="2405">
        <v>0</v>
      </c>
      <c r="E3063" s="2612" t="s">
        <v>3553</v>
      </c>
      <c r="F3063" s="2754" t="s">
        <v>1827</v>
      </c>
      <c r="G3063" s="2522">
        <f>G3072*10</f>
        <v>0</v>
      </c>
      <c r="H3063" s="2517">
        <v>16100</v>
      </c>
      <c r="I3063" s="2517"/>
      <c r="J3063" s="2517">
        <v>0</v>
      </c>
      <c r="K3063" s="2517">
        <v>0</v>
      </c>
      <c r="L3063" s="2517">
        <f t="shared" si="644"/>
        <v>0</v>
      </c>
      <c r="M3063" s="2517">
        <f t="shared" si="644"/>
        <v>0</v>
      </c>
      <c r="N3063" s="2517">
        <f t="shared" si="644"/>
        <v>0</v>
      </c>
      <c r="O3063" s="2517">
        <f t="shared" si="644"/>
        <v>0</v>
      </c>
      <c r="P3063" s="2518"/>
      <c r="Q3063" s="2519"/>
      <c r="R3063" s="2519"/>
      <c r="S3063" s="2519"/>
    </row>
    <row r="3064" spans="1:19" s="2358" customFormat="1" outlineLevel="1">
      <c r="A3064" s="2435">
        <f t="shared" si="645"/>
        <v>0</v>
      </c>
      <c r="B3064" s="2505" t="s">
        <v>204</v>
      </c>
      <c r="C3064" s="2521"/>
      <c r="D3064" s="2405">
        <v>0</v>
      </c>
      <c r="E3064" s="2612" t="s">
        <v>2996</v>
      </c>
      <c r="F3064" s="2754" t="s">
        <v>2445</v>
      </c>
      <c r="G3064" s="2522">
        <f>G3054*4</f>
        <v>0</v>
      </c>
      <c r="H3064" s="2517">
        <v>34000</v>
      </c>
      <c r="I3064" s="2517"/>
      <c r="J3064" s="2517">
        <v>0</v>
      </c>
      <c r="K3064" s="2517">
        <v>0</v>
      </c>
      <c r="L3064" s="2517">
        <f t="shared" si="644"/>
        <v>0</v>
      </c>
      <c r="M3064" s="2517">
        <f t="shared" si="644"/>
        <v>0</v>
      </c>
      <c r="N3064" s="2517">
        <f t="shared" si="644"/>
        <v>0</v>
      </c>
      <c r="O3064" s="2517">
        <f t="shared" si="644"/>
        <v>0</v>
      </c>
      <c r="P3064" s="2518"/>
      <c r="Q3064" s="2519"/>
      <c r="R3064" s="2519"/>
      <c r="S3064" s="2519"/>
    </row>
    <row r="3065" spans="1:19" s="2358" customFormat="1" outlineLevel="1">
      <c r="A3065" s="2435">
        <f t="shared" si="645"/>
        <v>0</v>
      </c>
      <c r="B3065" s="2514" t="s">
        <v>1619</v>
      </c>
      <c r="C3065" s="2521"/>
      <c r="D3065" s="2405">
        <v>0</v>
      </c>
      <c r="E3065" s="2612" t="s">
        <v>3560</v>
      </c>
      <c r="F3065" s="2754" t="s">
        <v>2563</v>
      </c>
      <c r="G3065" s="2522">
        <f>G3054*6</f>
        <v>0</v>
      </c>
      <c r="H3065" s="2517">
        <v>11400</v>
      </c>
      <c r="I3065" s="2517"/>
      <c r="J3065" s="2517">
        <v>0</v>
      </c>
      <c r="K3065" s="2517">
        <v>0</v>
      </c>
      <c r="L3065" s="2517">
        <f t="shared" si="644"/>
        <v>0</v>
      </c>
      <c r="M3065" s="2517">
        <f t="shared" si="644"/>
        <v>0</v>
      </c>
      <c r="N3065" s="2517">
        <f t="shared" si="644"/>
        <v>0</v>
      </c>
      <c r="O3065" s="2517">
        <f t="shared" si="644"/>
        <v>0</v>
      </c>
      <c r="P3065" s="2518"/>
      <c r="Q3065" s="2519"/>
      <c r="R3065" s="2519"/>
      <c r="S3065" s="2519"/>
    </row>
    <row r="3066" spans="1:19" s="2358" customFormat="1" outlineLevel="1">
      <c r="A3066" s="2435">
        <f t="shared" si="645"/>
        <v>0</v>
      </c>
      <c r="B3066" s="2514" t="s">
        <v>1050</v>
      </c>
      <c r="C3066" s="2521"/>
      <c r="D3066" s="2405">
        <v>0</v>
      </c>
      <c r="E3066" s="2612" t="s">
        <v>3561</v>
      </c>
      <c r="F3066" s="2754" t="s">
        <v>2563</v>
      </c>
      <c r="G3066" s="2522">
        <f>G3054*5</f>
        <v>0</v>
      </c>
      <c r="H3066" s="2517">
        <v>21000</v>
      </c>
      <c r="I3066" s="2517"/>
      <c r="J3066" s="2517">
        <v>0</v>
      </c>
      <c r="K3066" s="2517">
        <v>0</v>
      </c>
      <c r="L3066" s="2517">
        <f t="shared" si="644"/>
        <v>0</v>
      </c>
      <c r="M3066" s="2517">
        <f t="shared" si="644"/>
        <v>0</v>
      </c>
      <c r="N3066" s="2517">
        <f t="shared" si="644"/>
        <v>0</v>
      </c>
      <c r="O3066" s="2517">
        <f t="shared" si="644"/>
        <v>0</v>
      </c>
      <c r="P3066" s="2518"/>
      <c r="Q3066" s="2519"/>
      <c r="R3066" s="2519"/>
      <c r="S3066" s="2519"/>
    </row>
    <row r="3067" spans="1:19" s="2358" customFormat="1" outlineLevel="1">
      <c r="A3067" s="2435">
        <f t="shared" si="645"/>
        <v>0</v>
      </c>
      <c r="B3067" s="2514" t="s">
        <v>726</v>
      </c>
      <c r="C3067" s="2521"/>
      <c r="D3067" s="2405">
        <v>0</v>
      </c>
      <c r="E3067" s="2612" t="s">
        <v>3590</v>
      </c>
      <c r="F3067" s="2754" t="s">
        <v>388</v>
      </c>
      <c r="G3067" s="2522">
        <f>G3054</f>
        <v>0</v>
      </c>
      <c r="H3067" s="2517">
        <v>54100</v>
      </c>
      <c r="I3067" s="2517"/>
      <c r="J3067" s="2517">
        <v>0</v>
      </c>
      <c r="K3067" s="2517">
        <v>0</v>
      </c>
      <c r="L3067" s="2517">
        <f t="shared" si="644"/>
        <v>0</v>
      </c>
      <c r="M3067" s="2517">
        <f t="shared" si="644"/>
        <v>0</v>
      </c>
      <c r="N3067" s="2517">
        <f t="shared" si="644"/>
        <v>0</v>
      </c>
      <c r="O3067" s="2517">
        <f t="shared" si="644"/>
        <v>0</v>
      </c>
      <c r="P3067" s="2518"/>
      <c r="Q3067" s="2519"/>
      <c r="R3067" s="2519"/>
      <c r="S3067" s="2519"/>
    </row>
    <row r="3068" spans="1:19" s="2358" customFormat="1" outlineLevel="1">
      <c r="A3068" s="2435">
        <f t="shared" si="645"/>
        <v>0</v>
      </c>
      <c r="B3068" s="2505" t="s">
        <v>672</v>
      </c>
      <c r="C3068" s="2521"/>
      <c r="D3068" s="2405">
        <v>0</v>
      </c>
      <c r="E3068" s="2612" t="s">
        <v>5863</v>
      </c>
      <c r="F3068" s="2754" t="s">
        <v>3584</v>
      </c>
      <c r="G3068" s="2522">
        <f>G3054</f>
        <v>0</v>
      </c>
      <c r="H3068" s="2517">
        <v>6500</v>
      </c>
      <c r="I3068" s="2517"/>
      <c r="J3068" s="2517">
        <v>0</v>
      </c>
      <c r="K3068" s="2517">
        <v>0</v>
      </c>
      <c r="L3068" s="2517">
        <f t="shared" si="644"/>
        <v>0</v>
      </c>
      <c r="M3068" s="2517">
        <f t="shared" si="644"/>
        <v>0</v>
      </c>
      <c r="N3068" s="2517">
        <f t="shared" si="644"/>
        <v>0</v>
      </c>
      <c r="O3068" s="2517">
        <f t="shared" si="644"/>
        <v>0</v>
      </c>
      <c r="P3068" s="2518"/>
      <c r="Q3068" s="2519"/>
      <c r="R3068" s="2519"/>
      <c r="S3068" s="2519"/>
    </row>
    <row r="3069" spans="1:19" s="2358" customFormat="1" outlineLevel="1">
      <c r="A3069" s="2435">
        <f t="shared" si="645"/>
        <v>0</v>
      </c>
      <c r="B3069" s="2514" t="s">
        <v>2126</v>
      </c>
      <c r="C3069" s="2521"/>
      <c r="D3069" s="2405">
        <v>0</v>
      </c>
      <c r="E3069" s="2612" t="s">
        <v>3591</v>
      </c>
      <c r="F3069" s="2754" t="s">
        <v>2563</v>
      </c>
      <c r="G3069" s="2522">
        <f>G3054</f>
        <v>0</v>
      </c>
      <c r="H3069" s="2517">
        <v>5000</v>
      </c>
      <c r="I3069" s="2517"/>
      <c r="J3069" s="2517">
        <v>0</v>
      </c>
      <c r="K3069" s="2517">
        <v>0</v>
      </c>
      <c r="L3069" s="2517">
        <f t="shared" si="644"/>
        <v>0</v>
      </c>
      <c r="M3069" s="2517">
        <f t="shared" si="644"/>
        <v>0</v>
      </c>
      <c r="N3069" s="2517">
        <f t="shared" si="644"/>
        <v>0</v>
      </c>
      <c r="O3069" s="2517">
        <f t="shared" si="644"/>
        <v>0</v>
      </c>
      <c r="P3069" s="2518"/>
      <c r="Q3069" s="2519"/>
      <c r="R3069" s="2519"/>
      <c r="S3069" s="2519"/>
    </row>
    <row r="3070" spans="1:19" s="2358" customFormat="1" outlineLevel="1">
      <c r="A3070" s="2435">
        <f t="shared" si="645"/>
        <v>0</v>
      </c>
      <c r="B3070" s="2505" t="s">
        <v>959</v>
      </c>
      <c r="C3070" s="2521"/>
      <c r="D3070" s="2405">
        <v>0</v>
      </c>
      <c r="E3070" s="2612" t="s">
        <v>3595</v>
      </c>
      <c r="F3070" s="2754" t="s">
        <v>2563</v>
      </c>
      <c r="G3070" s="2522">
        <f>G3054</f>
        <v>0</v>
      </c>
      <c r="H3070" s="2517">
        <v>5200</v>
      </c>
      <c r="I3070" s="2517"/>
      <c r="J3070" s="2517">
        <v>0</v>
      </c>
      <c r="K3070" s="2517">
        <v>0</v>
      </c>
      <c r="L3070" s="2517">
        <f t="shared" si="644"/>
        <v>0</v>
      </c>
      <c r="M3070" s="2517">
        <f t="shared" si="644"/>
        <v>0</v>
      </c>
      <c r="N3070" s="2517">
        <f t="shared" si="644"/>
        <v>0</v>
      </c>
      <c r="O3070" s="2517">
        <f t="shared" si="644"/>
        <v>0</v>
      </c>
      <c r="P3070" s="2518"/>
      <c r="Q3070" s="2519"/>
      <c r="R3070" s="2519"/>
      <c r="S3070" s="2519"/>
    </row>
    <row r="3071" spans="1:19" s="2358" customFormat="1" outlineLevel="1">
      <c r="A3071" s="2435">
        <f t="shared" si="645"/>
        <v>0</v>
      </c>
      <c r="B3071" s="2505" t="s">
        <v>319</v>
      </c>
      <c r="C3071" s="2521"/>
      <c r="D3071" s="2405">
        <v>0</v>
      </c>
      <c r="E3071" s="2612" t="s">
        <v>5330</v>
      </c>
      <c r="F3071" s="2754" t="s">
        <v>2445</v>
      </c>
      <c r="G3071" s="2522">
        <f>G3054*2</f>
        <v>0</v>
      </c>
      <c r="H3071" s="2517">
        <v>168000</v>
      </c>
      <c r="I3071" s="2517"/>
      <c r="J3071" s="2517">
        <v>0</v>
      </c>
      <c r="K3071" s="2517">
        <v>0</v>
      </c>
      <c r="L3071" s="2517">
        <f t="shared" si="644"/>
        <v>0</v>
      </c>
      <c r="M3071" s="2517">
        <f t="shared" si="644"/>
        <v>0</v>
      </c>
      <c r="N3071" s="2517">
        <f t="shared" si="644"/>
        <v>0</v>
      </c>
      <c r="O3071" s="2517">
        <f t="shared" si="644"/>
        <v>0</v>
      </c>
      <c r="P3071" s="2518"/>
      <c r="Q3071" s="2519"/>
      <c r="R3071" s="2519"/>
      <c r="S3071" s="2519"/>
    </row>
    <row r="3072" spans="1:19" s="2358" customFormat="1" outlineLevel="1">
      <c r="A3072" s="2435">
        <f t="shared" si="645"/>
        <v>0</v>
      </c>
      <c r="B3072" s="2505" t="s">
        <v>1919</v>
      </c>
      <c r="C3072" s="2521"/>
      <c r="D3072" s="2405" t="s">
        <v>5717</v>
      </c>
      <c r="E3072" s="2612" t="s">
        <v>3412</v>
      </c>
      <c r="F3072" s="2754" t="s">
        <v>2563</v>
      </c>
      <c r="G3072" s="2522">
        <f>G3054</f>
        <v>0</v>
      </c>
      <c r="H3072" s="2517">
        <v>845331</v>
      </c>
      <c r="I3072" s="2517"/>
      <c r="J3072" s="2517">
        <v>599038</v>
      </c>
      <c r="K3072" s="2517">
        <v>97369</v>
      </c>
      <c r="L3072" s="2517">
        <f t="shared" si="644"/>
        <v>0</v>
      </c>
      <c r="M3072" s="2517">
        <f t="shared" si="644"/>
        <v>0</v>
      </c>
      <c r="N3072" s="2517">
        <f t="shared" si="644"/>
        <v>0</v>
      </c>
      <c r="O3072" s="2517">
        <f t="shared" si="644"/>
        <v>0</v>
      </c>
      <c r="P3072" s="2518"/>
      <c r="Q3072" s="2519"/>
      <c r="R3072" s="2519"/>
      <c r="S3072" s="2519"/>
    </row>
    <row r="3073" spans="1:19" s="2358" customFormat="1" outlineLevel="1">
      <c r="A3073" s="2435">
        <f t="shared" si="645"/>
        <v>0</v>
      </c>
      <c r="B3073" s="2505" t="s">
        <v>6</v>
      </c>
      <c r="C3073" s="2521"/>
      <c r="D3073" s="2405">
        <v>0</v>
      </c>
      <c r="E3073" s="2612" t="s">
        <v>3585</v>
      </c>
      <c r="F3073" s="2754" t="s">
        <v>5868</v>
      </c>
      <c r="G3073" s="2522">
        <f>G3054*2</f>
        <v>0</v>
      </c>
      <c r="H3073" s="2517">
        <v>45000</v>
      </c>
      <c r="I3073" s="2517"/>
      <c r="J3073" s="2517">
        <v>0</v>
      </c>
      <c r="K3073" s="2517">
        <v>0</v>
      </c>
      <c r="L3073" s="2517">
        <f t="shared" si="644"/>
        <v>0</v>
      </c>
      <c r="M3073" s="2517">
        <f t="shared" si="644"/>
        <v>0</v>
      </c>
      <c r="N3073" s="2517">
        <f t="shared" si="644"/>
        <v>0</v>
      </c>
      <c r="O3073" s="2517">
        <f t="shared" si="644"/>
        <v>0</v>
      </c>
      <c r="P3073" s="2518"/>
      <c r="Q3073" s="2519"/>
      <c r="R3073" s="2519"/>
      <c r="S3073" s="2519"/>
    </row>
    <row r="3074" spans="1:19" s="2358" customFormat="1" outlineLevel="1">
      <c r="A3074" s="2435">
        <f t="shared" si="645"/>
        <v>0</v>
      </c>
      <c r="B3074" s="2505" t="s">
        <v>2145</v>
      </c>
      <c r="C3074" s="2521"/>
      <c r="D3074" s="2405">
        <v>0</v>
      </c>
      <c r="E3074" s="2612" t="s">
        <v>2793</v>
      </c>
      <c r="F3074" s="2754" t="s">
        <v>2538</v>
      </c>
      <c r="G3074" s="2522">
        <f>G3054*4</f>
        <v>0</v>
      </c>
      <c r="H3074" s="2517">
        <v>5000</v>
      </c>
      <c r="I3074" s="2517"/>
      <c r="J3074" s="2517">
        <v>0</v>
      </c>
      <c r="K3074" s="2517">
        <v>0</v>
      </c>
      <c r="L3074" s="2517">
        <f t="shared" si="644"/>
        <v>0</v>
      </c>
      <c r="M3074" s="2517">
        <f t="shared" si="644"/>
        <v>0</v>
      </c>
      <c r="N3074" s="2517">
        <f t="shared" si="644"/>
        <v>0</v>
      </c>
      <c r="O3074" s="2517">
        <f t="shared" si="644"/>
        <v>0</v>
      </c>
      <c r="P3074" s="2518"/>
      <c r="Q3074" s="2519"/>
      <c r="R3074" s="2519"/>
      <c r="S3074" s="2519"/>
    </row>
    <row r="3075" spans="1:19" s="2358" customFormat="1" outlineLevel="1">
      <c r="A3075" s="2435">
        <f t="shared" si="645"/>
        <v>0</v>
      </c>
      <c r="B3075" s="2505" t="s">
        <v>1035</v>
      </c>
      <c r="C3075" s="2521"/>
      <c r="D3075" s="2405">
        <v>0</v>
      </c>
      <c r="E3075" s="2612" t="s">
        <v>2972</v>
      </c>
      <c r="F3075" s="2754" t="s">
        <v>2254</v>
      </c>
      <c r="G3075" s="2523">
        <f>3.77*G3054*2*0.3</f>
        <v>0</v>
      </c>
      <c r="H3075" s="2517">
        <v>31625</v>
      </c>
      <c r="I3075" s="2517"/>
      <c r="J3075" s="2517">
        <v>0</v>
      </c>
      <c r="K3075" s="2517">
        <v>0</v>
      </c>
      <c r="L3075" s="2517">
        <f t="shared" si="644"/>
        <v>0</v>
      </c>
      <c r="M3075" s="2517">
        <f t="shared" si="644"/>
        <v>0</v>
      </c>
      <c r="N3075" s="2517">
        <f t="shared" si="644"/>
        <v>0</v>
      </c>
      <c r="O3075" s="2517">
        <f t="shared" si="644"/>
        <v>0</v>
      </c>
      <c r="P3075" s="2518"/>
      <c r="Q3075" s="2519"/>
      <c r="R3075" s="2519"/>
      <c r="S3075" s="2519"/>
    </row>
    <row r="3076" spans="1:19" s="2358" customFormat="1" outlineLevel="1">
      <c r="A3076" s="2435">
        <f t="shared" si="645"/>
        <v>0</v>
      </c>
      <c r="B3076" s="2505" t="s">
        <v>6329</v>
      </c>
      <c r="C3076" s="2521"/>
      <c r="D3076" s="2405">
        <v>0</v>
      </c>
      <c r="E3076" s="2612" t="s">
        <v>2632</v>
      </c>
      <c r="F3076" s="2754" t="s">
        <v>2445</v>
      </c>
      <c r="G3076" s="2522">
        <f>4*G3054</f>
        <v>0</v>
      </c>
      <c r="H3076" s="2517">
        <v>1500</v>
      </c>
      <c r="I3076" s="2517"/>
      <c r="J3076" s="2517">
        <v>0</v>
      </c>
      <c r="K3076" s="2517">
        <v>0</v>
      </c>
      <c r="L3076" s="2517">
        <f t="shared" si="644"/>
        <v>0</v>
      </c>
      <c r="M3076" s="2517">
        <f t="shared" si="644"/>
        <v>0</v>
      </c>
      <c r="N3076" s="2517">
        <f t="shared" si="644"/>
        <v>0</v>
      </c>
      <c r="O3076" s="2517">
        <f t="shared" si="644"/>
        <v>0</v>
      </c>
      <c r="P3076" s="2518"/>
      <c r="Q3076" s="2519"/>
      <c r="R3076" s="2519"/>
      <c r="S3076" s="2519"/>
    </row>
    <row r="3077" spans="1:19" s="2358" customFormat="1" outlineLevel="1">
      <c r="A3077" s="2435">
        <f>A2927</f>
        <v>0</v>
      </c>
      <c r="B3077" s="2610"/>
      <c r="C3077" s="2825"/>
      <c r="D3077" s="2677"/>
      <c r="E3077" s="2652"/>
      <c r="F3077" s="2890"/>
      <c r="G3077" s="2891"/>
      <c r="H3077" s="2890"/>
      <c r="I3077" s="2890"/>
      <c r="J3077" s="2900" t="s">
        <v>6205</v>
      </c>
      <c r="K3077" s="2900"/>
      <c r="L3077" s="2678">
        <f>SUM(L2946:L3076)</f>
        <v>0</v>
      </c>
      <c r="M3077" s="2678">
        <f>SUM(M2946:M3076)</f>
        <v>0</v>
      </c>
      <c r="N3077" s="2678">
        <f>SUM(N2946:N3076)</f>
        <v>0</v>
      </c>
      <c r="O3077" s="2678">
        <f>SUM(O2946:O3076)</f>
        <v>0</v>
      </c>
      <c r="P3077" s="2821"/>
      <c r="Q3077" s="2519"/>
      <c r="R3077" s="2519"/>
      <c r="S3077" s="2519"/>
    </row>
    <row r="3078" spans="1:19" s="2358" customFormat="1" outlineLevel="1">
      <c r="A3078" s="2435"/>
      <c r="B3078" s="2610"/>
      <c r="C3078" s="2780"/>
      <c r="D3078" s="2780"/>
      <c r="E3078" s="2781"/>
      <c r="F3078" s="2898"/>
      <c r="G3078" s="2897"/>
      <c r="H3078" s="2898"/>
      <c r="I3078" s="2898"/>
      <c r="J3078" s="2781"/>
      <c r="K3078" s="2781"/>
      <c r="L3078" s="2782"/>
      <c r="M3078" s="2782"/>
      <c r="N3078" s="2782"/>
      <c r="O3078" s="2782"/>
      <c r="P3078" s="2639"/>
      <c r="Q3078" s="2519"/>
      <c r="R3078" s="2519"/>
      <c r="S3078" s="2519"/>
    </row>
    <row r="3079" spans="1:19" s="2358" customFormat="1" ht="13.8" customHeight="1">
      <c r="A3079" s="2639">
        <f>IF(G3084&gt;0,1,)</f>
        <v>0</v>
      </c>
      <c r="B3079" s="2505"/>
      <c r="C3079" s="2519"/>
      <c r="D3079" s="2519"/>
      <c r="E3079" s="2689"/>
      <c r="F3079" s="2519"/>
      <c r="G3079" s="2690"/>
      <c r="H3079" s="2519"/>
      <c r="I3079" s="2519"/>
      <c r="J3079" s="2519"/>
      <c r="K3079" s="2519"/>
      <c r="L3079" s="2519"/>
      <c r="M3079" s="2519"/>
      <c r="N3079" s="2519"/>
      <c r="O3079" s="2519"/>
      <c r="P3079" s="2519"/>
      <c r="Q3079" s="2519"/>
      <c r="R3079" s="2519"/>
      <c r="S3079" s="2519"/>
    </row>
    <row r="3080" spans="1:19" s="2358" customFormat="1" outlineLevel="1">
      <c r="A3080" s="2435">
        <f>A3079</f>
        <v>0</v>
      </c>
      <c r="B3080" s="2640"/>
      <c r="C3080" s="2877" t="str">
        <f>"BẢNG TỔNG HỢP VẬT LIỆU, NHÂN CÔNG, MÁY THI CÔNG: "&amp;K19&amp;" TRẠM 3P_1500KVA"</f>
        <v>BẢNG TỔNG HỢP VẬT LIỆU, NHÂN CÔNG, MÁY THI CÔNG: 0 TRẠM 3P_1500KVA</v>
      </c>
      <c r="D3080" s="2892"/>
      <c r="E3080" s="2892"/>
      <c r="F3080" s="2892"/>
      <c r="G3080" s="2892"/>
      <c r="H3080" s="2893"/>
      <c r="I3080" s="2781"/>
      <c r="J3080" s="2893"/>
      <c r="K3080" s="2893"/>
      <c r="L3080" s="2893"/>
      <c r="M3080" s="2781"/>
      <c r="N3080" s="2893"/>
      <c r="O3080" s="2893"/>
      <c r="P3080" s="2895"/>
      <c r="Q3080" s="2519"/>
      <c r="R3080" s="2519"/>
      <c r="S3080" s="2519"/>
    </row>
    <row r="3081" spans="1:19" s="2358" customFormat="1" outlineLevel="1">
      <c r="A3081" s="2435">
        <f>A3079</f>
        <v>0</v>
      </c>
      <c r="B3081" s="2514" t="s">
        <v>6186</v>
      </c>
      <c r="C3081" s="2901" t="s">
        <v>1712</v>
      </c>
      <c r="D3081" s="2902" t="s">
        <v>2605</v>
      </c>
      <c r="E3081" s="2904" t="s">
        <v>2606</v>
      </c>
      <c r="F3081" s="2901" t="s">
        <v>2601</v>
      </c>
      <c r="G3081" s="2362" t="s">
        <v>6187</v>
      </c>
      <c r="H3081" s="2365" t="s">
        <v>6188</v>
      </c>
      <c r="I3081" s="2872"/>
      <c r="J3081" s="2872"/>
      <c r="K3081" s="2873"/>
      <c r="L3081" s="2365" t="s">
        <v>6189</v>
      </c>
      <c r="M3081" s="2872"/>
      <c r="N3081" s="2872"/>
      <c r="O3081" s="2873"/>
      <c r="P3081" s="2901" t="s">
        <v>2607</v>
      </c>
      <c r="Q3081" s="2519"/>
      <c r="R3081" s="2519"/>
      <c r="S3081" s="2519"/>
    </row>
    <row r="3082" spans="1:19" s="2358" customFormat="1" outlineLevel="1">
      <c r="A3082" s="2435">
        <f>A3081</f>
        <v>0</v>
      </c>
      <c r="B3082" s="2514"/>
      <c r="C3082" s="2901"/>
      <c r="D3082" s="2903"/>
      <c r="E3082" s="2905"/>
      <c r="F3082" s="2901"/>
      <c r="G3082" s="2364" t="s">
        <v>2292</v>
      </c>
      <c r="H3082" s="2365" t="s">
        <v>6190</v>
      </c>
      <c r="I3082" s="2365" t="s">
        <v>6191</v>
      </c>
      <c r="J3082" s="2365" t="s">
        <v>6192</v>
      </c>
      <c r="K3082" s="2365" t="s">
        <v>6193</v>
      </c>
      <c r="L3082" s="2365" t="s">
        <v>6190</v>
      </c>
      <c r="M3082" s="2365" t="s">
        <v>6191</v>
      </c>
      <c r="N3082" s="2365" t="s">
        <v>6192</v>
      </c>
      <c r="O3082" s="2365" t="s">
        <v>6193</v>
      </c>
      <c r="P3082" s="2901"/>
      <c r="Q3082" s="2519"/>
      <c r="R3082" s="2519"/>
      <c r="S3082" s="2519"/>
    </row>
    <row r="3083" spans="1:19" s="2358" customFormat="1" outlineLevel="1">
      <c r="A3083" s="2435">
        <f>A3082</f>
        <v>0</v>
      </c>
      <c r="B3083" s="2514"/>
      <c r="C3083" s="2366"/>
      <c r="D3083" s="2367"/>
      <c r="E3083" s="2368" t="s">
        <v>3690</v>
      </c>
      <c r="F3083" s="2369"/>
      <c r="G3083" s="2369"/>
      <c r="H3083" s="2369"/>
      <c r="I3083" s="2369"/>
      <c r="J3083" s="2369"/>
      <c r="K3083" s="2369"/>
      <c r="L3083" s="2369"/>
      <c r="M3083" s="2369"/>
      <c r="N3083" s="2369"/>
      <c r="O3083" s="2367"/>
      <c r="P3083" s="2370"/>
      <c r="Q3083" s="2519"/>
      <c r="R3083" s="2519"/>
      <c r="S3083" s="2519"/>
    </row>
    <row r="3084" spans="1:19" s="2358" customFormat="1" outlineLevel="1">
      <c r="A3084" s="2435" t="str">
        <f t="shared" ref="A3084:A3094" si="646">IF(G3084&lt;&gt;0,1,"")</f>
        <v/>
      </c>
      <c r="B3084" s="2505" t="str">
        <f>IF($F$8=15,"tr1500","tr15001")</f>
        <v>tr15001</v>
      </c>
      <c r="C3084" s="2521">
        <f>IF(G3084&gt;0,1,0)</f>
        <v>0</v>
      </c>
      <c r="D3084" s="2405" t="s">
        <v>5656</v>
      </c>
      <c r="E3084" s="2447" t="s">
        <v>3355</v>
      </c>
      <c r="F3084" s="2405" t="s">
        <v>3318</v>
      </c>
      <c r="G3084" s="2816">
        <f>$K$19</f>
        <v>0</v>
      </c>
      <c r="H3084" s="2612">
        <v>420236000</v>
      </c>
      <c r="I3084" s="2612"/>
      <c r="J3084" s="2612">
        <v>1928901</v>
      </c>
      <c r="K3084" s="2612">
        <v>426761</v>
      </c>
      <c r="L3084" s="2613">
        <f t="shared" ref="L3084:L3094" si="647">H3084*G3084</f>
        <v>0</v>
      </c>
      <c r="M3084" s="2613">
        <f t="shared" ref="M3084:M3094" si="648">I3084*G3084</f>
        <v>0</v>
      </c>
      <c r="N3084" s="2613">
        <f t="shared" ref="N3084:N3094" si="649">J3084*G3084</f>
        <v>0</v>
      </c>
      <c r="O3084" s="2614">
        <f t="shared" ref="O3084:O3094" si="650">K3084*G3084</f>
        <v>0</v>
      </c>
      <c r="P3084" s="2817"/>
      <c r="Q3084" s="2519"/>
      <c r="R3084" s="2519"/>
      <c r="S3084" s="2519"/>
    </row>
    <row r="3085" spans="1:19" s="2358" customFormat="1" outlineLevel="1">
      <c r="A3085" s="2435" t="str">
        <f t="shared" si="646"/>
        <v/>
      </c>
      <c r="B3085" s="2610" t="s">
        <v>393</v>
      </c>
      <c r="C3085" s="2521">
        <f>IF(G3085&gt;0,C3084+1,C3084)</f>
        <v>0</v>
      </c>
      <c r="D3085" s="2405" t="s">
        <v>5662</v>
      </c>
      <c r="E3085" s="2447" t="s">
        <v>1596</v>
      </c>
      <c r="F3085" s="2405" t="s">
        <v>2445</v>
      </c>
      <c r="G3085" s="2522">
        <f>G3084*0</f>
        <v>0</v>
      </c>
      <c r="H3085" s="2612">
        <v>16664000</v>
      </c>
      <c r="I3085" s="2612">
        <v>0</v>
      </c>
      <c r="J3085" s="2612">
        <v>0</v>
      </c>
      <c r="K3085" s="2612">
        <v>262622</v>
      </c>
      <c r="L3085" s="2613">
        <f t="shared" si="647"/>
        <v>0</v>
      </c>
      <c r="M3085" s="2613">
        <f t="shared" si="648"/>
        <v>0</v>
      </c>
      <c r="N3085" s="2613">
        <f t="shared" si="649"/>
        <v>0</v>
      </c>
      <c r="O3085" s="2614">
        <f t="shared" si="650"/>
        <v>0</v>
      </c>
      <c r="P3085" s="2518"/>
      <c r="Q3085" s="2519"/>
      <c r="R3085" s="2519"/>
      <c r="S3085" s="2519"/>
    </row>
    <row r="3086" spans="1:19" s="2358" customFormat="1" outlineLevel="1">
      <c r="A3086" s="2435" t="str">
        <f t="shared" si="646"/>
        <v/>
      </c>
      <c r="B3086" s="2514" t="s">
        <v>1</v>
      </c>
      <c r="C3086" s="2521">
        <f t="shared" ref="C3086:C3091" si="651">IF(G3086&gt;0,C3085+1,C3085)</f>
        <v>0</v>
      </c>
      <c r="D3086" s="2405" t="s">
        <v>1391</v>
      </c>
      <c r="E3086" s="2447" t="s">
        <v>3402</v>
      </c>
      <c r="F3086" s="2405" t="s">
        <v>3388</v>
      </c>
      <c r="G3086" s="2522">
        <f>G3084*0</f>
        <v>0</v>
      </c>
      <c r="H3086" s="2612">
        <v>0</v>
      </c>
      <c r="I3086" s="2612">
        <v>0</v>
      </c>
      <c r="J3086" s="2612">
        <v>286129</v>
      </c>
      <c r="K3086" s="2612">
        <v>59254</v>
      </c>
      <c r="L3086" s="2613">
        <f t="shared" si="647"/>
        <v>0</v>
      </c>
      <c r="M3086" s="2613">
        <f t="shared" si="648"/>
        <v>0</v>
      </c>
      <c r="N3086" s="2613">
        <f t="shared" si="649"/>
        <v>0</v>
      </c>
      <c r="O3086" s="2614">
        <f t="shared" si="650"/>
        <v>0</v>
      </c>
      <c r="P3086" s="2642" t="s">
        <v>6359</v>
      </c>
      <c r="Q3086" s="2519"/>
      <c r="R3086" s="2519"/>
      <c r="S3086" s="2519"/>
    </row>
    <row r="3087" spans="1:19" s="2358" customFormat="1" outlineLevel="1">
      <c r="A3087" s="2435" t="str">
        <f t="shared" si="646"/>
        <v/>
      </c>
      <c r="B3087" s="2371" t="str">
        <f>"FCO100-"&amp;$F$8</f>
        <v>FCO100-22</v>
      </c>
      <c r="C3087" s="2521">
        <f t="shared" si="651"/>
        <v>0</v>
      </c>
      <c r="D3087" s="2405" t="s">
        <v>5660</v>
      </c>
      <c r="E3087" s="2447" t="s">
        <v>95</v>
      </c>
      <c r="F3087" s="2405" t="s">
        <v>2563</v>
      </c>
      <c r="G3087" s="2522">
        <f>+G3084*3</f>
        <v>0</v>
      </c>
      <c r="H3087" s="2517">
        <v>2244280</v>
      </c>
      <c r="I3087" s="2517">
        <v>0</v>
      </c>
      <c r="J3087" s="2517">
        <v>222639.99999999997</v>
      </c>
      <c r="K3087" s="2517">
        <v>0</v>
      </c>
      <c r="L3087" s="2517">
        <f t="shared" si="647"/>
        <v>0</v>
      </c>
      <c r="M3087" s="2517">
        <f t="shared" si="648"/>
        <v>0</v>
      </c>
      <c r="N3087" s="2517">
        <f t="shared" si="649"/>
        <v>0</v>
      </c>
      <c r="O3087" s="2517">
        <f t="shared" si="650"/>
        <v>0</v>
      </c>
      <c r="P3087" s="2518"/>
      <c r="Q3087" s="2519"/>
      <c r="R3087" s="2519"/>
      <c r="S3087" s="2519"/>
    </row>
    <row r="3088" spans="1:19" s="2358" customFormat="1" outlineLevel="1">
      <c r="A3088" s="2435" t="str">
        <f t="shared" si="646"/>
        <v/>
      </c>
      <c r="B3088" s="2505" t="str">
        <f>IF($F$8=15,"CHI100K","CHI65K")</f>
        <v>CHI65K</v>
      </c>
      <c r="C3088" s="2521">
        <f t="shared" si="651"/>
        <v>0</v>
      </c>
      <c r="D3088" s="2405">
        <v>0</v>
      </c>
      <c r="E3088" s="2447" t="s">
        <v>3451</v>
      </c>
      <c r="F3088" s="2405" t="s">
        <v>2608</v>
      </c>
      <c r="G3088" s="2522">
        <f>G3087</f>
        <v>0</v>
      </c>
      <c r="H3088" s="2517">
        <v>120000</v>
      </c>
      <c r="I3088" s="2517">
        <v>0</v>
      </c>
      <c r="J3088" s="2517">
        <v>0</v>
      </c>
      <c r="K3088" s="2517">
        <v>0</v>
      </c>
      <c r="L3088" s="2517">
        <f t="shared" si="647"/>
        <v>0</v>
      </c>
      <c r="M3088" s="2517">
        <f t="shared" si="648"/>
        <v>0</v>
      </c>
      <c r="N3088" s="2517">
        <f t="shared" si="649"/>
        <v>0</v>
      </c>
      <c r="O3088" s="2517">
        <f t="shared" si="650"/>
        <v>0</v>
      </c>
      <c r="P3088" s="2518"/>
      <c r="Q3088" s="2519"/>
      <c r="R3088" s="2519"/>
      <c r="S3088" s="2519"/>
    </row>
    <row r="3089" spans="1:19" s="2358" customFormat="1" outlineLevel="1">
      <c r="A3089" s="2435" t="str">
        <f t="shared" si="646"/>
        <v/>
      </c>
      <c r="B3089" s="2514" t="str">
        <f>"LA"&amp;$F$6</f>
        <v>LA18</v>
      </c>
      <c r="C3089" s="2521">
        <f t="shared" si="651"/>
        <v>0</v>
      </c>
      <c r="D3089" s="2405" t="s">
        <v>5664</v>
      </c>
      <c r="E3089" s="2447" t="s">
        <v>1193</v>
      </c>
      <c r="F3089" s="2405" t="s">
        <v>2563</v>
      </c>
      <c r="G3089" s="2522">
        <f>G3084*3</f>
        <v>0</v>
      </c>
      <c r="H3089" s="2517">
        <v>1106000</v>
      </c>
      <c r="I3089" s="2517">
        <v>0</v>
      </c>
      <c r="J3089" s="2517">
        <v>83490</v>
      </c>
      <c r="K3089" s="2517">
        <v>0</v>
      </c>
      <c r="L3089" s="2517">
        <f t="shared" si="647"/>
        <v>0</v>
      </c>
      <c r="M3089" s="2517">
        <f t="shared" si="648"/>
        <v>0</v>
      </c>
      <c r="N3089" s="2517">
        <f t="shared" si="649"/>
        <v>0</v>
      </c>
      <c r="O3089" s="2517">
        <f t="shared" si="650"/>
        <v>0</v>
      </c>
      <c r="P3089" s="2518"/>
      <c r="Q3089" s="2519"/>
      <c r="R3089" s="2519"/>
      <c r="S3089" s="2519"/>
    </row>
    <row r="3090" spans="1:19" s="2358" customFormat="1" outlineLevel="1">
      <c r="A3090" s="2435" t="str">
        <f t="shared" si="646"/>
        <v/>
      </c>
      <c r="B3090" s="2610" t="s">
        <v>1135</v>
      </c>
      <c r="C3090" s="2521">
        <f t="shared" si="651"/>
        <v>0</v>
      </c>
      <c r="D3090" s="2405">
        <v>0</v>
      </c>
      <c r="E3090" s="2447" t="s">
        <v>3433</v>
      </c>
      <c r="F3090" s="2405" t="s">
        <v>2563</v>
      </c>
      <c r="G3090" s="2522">
        <f>G3084</f>
        <v>0</v>
      </c>
      <c r="H3090" s="2818">
        <v>113827000</v>
      </c>
      <c r="I3090" s="2517">
        <v>0</v>
      </c>
      <c r="J3090" s="2517">
        <v>0</v>
      </c>
      <c r="K3090" s="2517">
        <v>0</v>
      </c>
      <c r="L3090" s="2517">
        <f t="shared" si="647"/>
        <v>0</v>
      </c>
      <c r="M3090" s="2517">
        <f t="shared" si="648"/>
        <v>0</v>
      </c>
      <c r="N3090" s="2517">
        <f t="shared" si="649"/>
        <v>0</v>
      </c>
      <c r="O3090" s="2517">
        <f t="shared" si="650"/>
        <v>0</v>
      </c>
      <c r="P3090" s="2518"/>
      <c r="Q3090" s="2519"/>
      <c r="R3090" s="2519"/>
      <c r="S3090" s="2519"/>
    </row>
    <row r="3091" spans="1:19" s="2358" customFormat="1" outlineLevel="1">
      <c r="A3091" s="2435" t="str">
        <f t="shared" si="646"/>
        <v/>
      </c>
      <c r="B3091" s="2610" t="s">
        <v>6368</v>
      </c>
      <c r="C3091" s="2521">
        <f t="shared" si="651"/>
        <v>0</v>
      </c>
      <c r="D3091" s="2405" t="s">
        <v>1025</v>
      </c>
      <c r="E3091" s="2447" t="s">
        <v>3390</v>
      </c>
      <c r="F3091" s="2405" t="s">
        <v>3388</v>
      </c>
      <c r="G3091" s="2522">
        <f>G3090</f>
        <v>0</v>
      </c>
      <c r="H3091" s="2818">
        <v>138000415</v>
      </c>
      <c r="I3091" s="2517">
        <v>0</v>
      </c>
      <c r="J3091" s="2517">
        <v>98101</v>
      </c>
      <c r="K3091" s="2517">
        <v>59254</v>
      </c>
      <c r="L3091" s="2517">
        <f t="shared" si="647"/>
        <v>0</v>
      </c>
      <c r="M3091" s="2517">
        <f t="shared" si="648"/>
        <v>0</v>
      </c>
      <c r="N3091" s="2517">
        <f t="shared" si="649"/>
        <v>0</v>
      </c>
      <c r="O3091" s="2517">
        <f t="shared" si="650"/>
        <v>0</v>
      </c>
      <c r="P3091" s="2518"/>
      <c r="Q3091" s="2519"/>
      <c r="R3091" s="2519"/>
      <c r="S3091" s="2519"/>
    </row>
    <row r="3092" spans="1:19" s="2358" customFormat="1" outlineLevel="1">
      <c r="A3092" s="2435" t="str">
        <f t="shared" si="646"/>
        <v/>
      </c>
      <c r="B3092" s="2505" t="str">
        <f>IF($F$8=15,"TI50","TI40")</f>
        <v>TI40</v>
      </c>
      <c r="C3092" s="2521">
        <f>IF(G3092&gt;0,C3091+1,C3091)</f>
        <v>0</v>
      </c>
      <c r="D3092" s="2405">
        <v>0</v>
      </c>
      <c r="E3092" s="2447" t="s">
        <v>3367</v>
      </c>
      <c r="F3092" s="2405" t="s">
        <v>2563</v>
      </c>
      <c r="G3092" s="2643">
        <f>G3084*3</f>
        <v>0</v>
      </c>
      <c r="H3092" s="2517">
        <v>0</v>
      </c>
      <c r="I3092" s="2517">
        <v>0</v>
      </c>
      <c r="J3092" s="2517">
        <v>0</v>
      </c>
      <c r="K3092" s="2517">
        <v>0</v>
      </c>
      <c r="L3092" s="2517">
        <f t="shared" si="647"/>
        <v>0</v>
      </c>
      <c r="M3092" s="2517">
        <f t="shared" si="648"/>
        <v>0</v>
      </c>
      <c r="N3092" s="2517">
        <f t="shared" si="649"/>
        <v>0</v>
      </c>
      <c r="O3092" s="2517">
        <f t="shared" si="650"/>
        <v>0</v>
      </c>
      <c r="P3092" s="2644" t="s">
        <v>2609</v>
      </c>
      <c r="Q3092" s="2519"/>
      <c r="R3092" s="2519"/>
      <c r="S3092" s="2519"/>
    </row>
    <row r="3093" spans="1:19" s="2358" customFormat="1" outlineLevel="1">
      <c r="A3093" s="2435" t="str">
        <f t="shared" si="646"/>
        <v/>
      </c>
      <c r="B3093" s="2505" t="str">
        <f>IF($F$8=15,"TU15","TU22")</f>
        <v>TU22</v>
      </c>
      <c r="C3093" s="2521">
        <f>IF(G3093&gt;0,C3092+1,C3092)</f>
        <v>0</v>
      </c>
      <c r="D3093" s="2405">
        <v>0</v>
      </c>
      <c r="E3093" s="2447" t="s">
        <v>5673</v>
      </c>
      <c r="F3093" s="2405" t="s">
        <v>2563</v>
      </c>
      <c r="G3093" s="2819">
        <f>G3092</f>
        <v>0</v>
      </c>
      <c r="H3093" s="2517">
        <v>0</v>
      </c>
      <c r="I3093" s="2517"/>
      <c r="J3093" s="2517">
        <v>92703</v>
      </c>
      <c r="K3093" s="2517">
        <v>84261</v>
      </c>
      <c r="L3093" s="2517">
        <f t="shared" si="647"/>
        <v>0</v>
      </c>
      <c r="M3093" s="2517">
        <f t="shared" si="648"/>
        <v>0</v>
      </c>
      <c r="N3093" s="2517">
        <f t="shared" si="649"/>
        <v>0</v>
      </c>
      <c r="O3093" s="2517">
        <f t="shared" si="650"/>
        <v>0</v>
      </c>
      <c r="P3093" s="2644" t="s">
        <v>2609</v>
      </c>
      <c r="Q3093" s="2519"/>
      <c r="R3093" s="2519"/>
      <c r="S3093" s="2519"/>
    </row>
    <row r="3094" spans="1:19" s="2358" customFormat="1" outlineLevel="1">
      <c r="A3094" s="2435" t="str">
        <f t="shared" si="646"/>
        <v/>
      </c>
      <c r="B3094" s="2820" t="s">
        <v>1841</v>
      </c>
      <c r="C3094" s="2521">
        <f>IF(G3094&gt;0,C3093+1,C3093)</f>
        <v>0</v>
      </c>
      <c r="D3094" s="2405">
        <v>0</v>
      </c>
      <c r="E3094" s="2447" t="s">
        <v>5771</v>
      </c>
      <c r="F3094" s="2405" t="s">
        <v>2563</v>
      </c>
      <c r="G3094" s="2643">
        <f>G3084</f>
        <v>0</v>
      </c>
      <c r="H3094" s="2612">
        <v>0</v>
      </c>
      <c r="I3094" s="2612">
        <v>0</v>
      </c>
      <c r="J3094" s="2612">
        <v>0</v>
      </c>
      <c r="K3094" s="2612">
        <v>0</v>
      </c>
      <c r="L3094" s="2517">
        <f t="shared" si="647"/>
        <v>0</v>
      </c>
      <c r="M3094" s="2613">
        <f t="shared" si="648"/>
        <v>0</v>
      </c>
      <c r="N3094" s="2613">
        <f t="shared" si="649"/>
        <v>0</v>
      </c>
      <c r="O3094" s="2614">
        <f t="shared" si="650"/>
        <v>0</v>
      </c>
      <c r="P3094" s="2645" t="s">
        <v>2609</v>
      </c>
      <c r="Q3094" s="2519"/>
      <c r="R3094" s="2519"/>
      <c r="S3094" s="2519"/>
    </row>
    <row r="3095" spans="1:19" s="2358" customFormat="1" outlineLevel="1">
      <c r="A3095" s="2435">
        <f>A3079</f>
        <v>0</v>
      </c>
      <c r="B3095" s="2514"/>
      <c r="C3095" s="2646"/>
      <c r="D3095" s="2647"/>
      <c r="E3095" s="2648"/>
      <c r="F3095" s="2646"/>
      <c r="G3095" s="2889"/>
      <c r="H3095" s="2646"/>
      <c r="I3095" s="2646"/>
      <c r="J3095" s="2370" t="s">
        <v>6195</v>
      </c>
      <c r="K3095" s="2646"/>
      <c r="L3095" s="2648">
        <f>SUM(L3084:L3094)</f>
        <v>0</v>
      </c>
      <c r="M3095" s="2648">
        <f>SUM(M3084:M3094)</f>
        <v>0</v>
      </c>
      <c r="N3095" s="2648">
        <f>SUM(N3084:N3094)</f>
        <v>0</v>
      </c>
      <c r="O3095" s="2648">
        <f>SUM(O3084:O3094)</f>
        <v>0</v>
      </c>
      <c r="P3095" s="2821"/>
      <c r="Q3095" s="2519"/>
      <c r="R3095" s="2519"/>
      <c r="S3095" s="2519"/>
    </row>
    <row r="3096" spans="1:19" s="2358" customFormat="1" outlineLevel="1">
      <c r="A3096" s="2435">
        <f>A3079</f>
        <v>0</v>
      </c>
      <c r="B3096" s="2514"/>
      <c r="C3096" s="2650"/>
      <c r="D3096" s="2651"/>
      <c r="E3096" s="2652" t="s">
        <v>3691</v>
      </c>
      <c r="F3096" s="2652"/>
      <c r="G3096" s="2653"/>
      <c r="H3096" s="2652"/>
      <c r="I3096" s="2652"/>
      <c r="J3096" s="2652"/>
      <c r="K3096" s="2652"/>
      <c r="L3096" s="2652"/>
      <c r="M3096" s="2652"/>
      <c r="N3096" s="2652"/>
      <c r="O3096" s="2651"/>
      <c r="P3096" s="2821"/>
      <c r="Q3096" s="2519"/>
      <c r="R3096" s="2519"/>
      <c r="S3096" s="2519"/>
    </row>
    <row r="3097" spans="1:19" s="2358" customFormat="1" outlineLevel="1">
      <c r="A3097" s="2435" t="str">
        <f t="shared" ref="A3097:A3110" si="652">IF(G3097&lt;&gt;0,1,"")</f>
        <v/>
      </c>
      <c r="B3097" s="2654"/>
      <c r="C3097" s="2655">
        <f>IF(G3097&gt;0,1,0)</f>
        <v>0</v>
      </c>
      <c r="D3097" s="2405"/>
      <c r="E3097" s="2656" t="s">
        <v>6291</v>
      </c>
      <c r="F3097" s="2657" t="s">
        <v>2283</v>
      </c>
      <c r="G3097" s="2662">
        <f>G3084*0</f>
        <v>0</v>
      </c>
      <c r="H3097" s="2657"/>
      <c r="I3097" s="2657"/>
      <c r="J3097" s="2657"/>
      <c r="K3097" s="2657"/>
      <c r="L3097" s="2658"/>
      <c r="M3097" s="2658"/>
      <c r="N3097" s="2658"/>
      <c r="O3097" s="2659"/>
      <c r="P3097" s="2518"/>
      <c r="Q3097" s="2519"/>
      <c r="R3097" s="2519"/>
      <c r="S3097" s="2519"/>
    </row>
    <row r="3098" spans="1:19" s="2358" customFormat="1" outlineLevel="1">
      <c r="A3098" s="2435" t="str">
        <f t="shared" si="652"/>
        <v/>
      </c>
      <c r="B3098" s="2610" t="s">
        <v>2239</v>
      </c>
      <c r="C3098" s="2660"/>
      <c r="D3098" s="2405"/>
      <c r="E3098" s="2661" t="s">
        <v>3008</v>
      </c>
      <c r="F3098" s="2405" t="s">
        <v>2839</v>
      </c>
      <c r="G3098" s="2405">
        <f>G3097</f>
        <v>0</v>
      </c>
      <c r="H3098" s="2612">
        <v>4200000</v>
      </c>
      <c r="I3098" s="2511"/>
      <c r="J3098" s="2612"/>
      <c r="K3098" s="2511"/>
      <c r="L3098" s="2613">
        <f>H3098*G3098</f>
        <v>0</v>
      </c>
      <c r="M3098" s="2613">
        <f>I3098*G3098</f>
        <v>0</v>
      </c>
      <c r="N3098" s="2613">
        <f>J3098*G3098</f>
        <v>0</v>
      </c>
      <c r="O3098" s="2613">
        <f>K3098*G3098</f>
        <v>0</v>
      </c>
      <c r="P3098" s="2518"/>
      <c r="Q3098" s="2519"/>
      <c r="R3098" s="2519"/>
      <c r="S3098" s="2519"/>
    </row>
    <row r="3099" spans="1:19" s="2358" customFormat="1" outlineLevel="1">
      <c r="A3099" s="2435" t="str">
        <f t="shared" si="652"/>
        <v/>
      </c>
      <c r="B3099" s="2610" t="s">
        <v>1818</v>
      </c>
      <c r="C3099" s="2660"/>
      <c r="D3099" s="2405"/>
      <c r="E3099" s="2661" t="s">
        <v>2838</v>
      </c>
      <c r="F3099" s="2405" t="s">
        <v>2839</v>
      </c>
      <c r="G3099" s="2405">
        <f>G3098</f>
        <v>0</v>
      </c>
      <c r="H3099" s="2612">
        <v>17400</v>
      </c>
      <c r="I3099" s="2612"/>
      <c r="J3099" s="2511"/>
      <c r="K3099" s="2511"/>
      <c r="L3099" s="2613">
        <f>H3099*G3099</f>
        <v>0</v>
      </c>
      <c r="M3099" s="2613">
        <f>I3099*G3099</f>
        <v>0</v>
      </c>
      <c r="N3099" s="2613">
        <f>J3099*G3099</f>
        <v>0</v>
      </c>
      <c r="O3099" s="2613">
        <f>K3099*G3099</f>
        <v>0</v>
      </c>
      <c r="P3099" s="2518"/>
      <c r="Q3099" s="2519"/>
      <c r="R3099" s="2519"/>
      <c r="S3099" s="2519"/>
    </row>
    <row r="3100" spans="1:19" s="2358" customFormat="1" outlineLevel="1">
      <c r="A3100" s="2435" t="str">
        <f t="shared" si="652"/>
        <v/>
      </c>
      <c r="B3100" s="2610" t="s">
        <v>1615</v>
      </c>
      <c r="C3100" s="2660"/>
      <c r="D3100" s="2405" t="s">
        <v>5419</v>
      </c>
      <c r="E3100" s="2661" t="s">
        <v>5420</v>
      </c>
      <c r="F3100" s="2405" t="s">
        <v>2839</v>
      </c>
      <c r="G3100" s="2405">
        <f>G3098</f>
        <v>0</v>
      </c>
      <c r="H3100" s="2661"/>
      <c r="I3100" s="2612"/>
      <c r="J3100" s="2612">
        <v>551034</v>
      </c>
      <c r="K3100" s="2612">
        <v>141795.29</v>
      </c>
      <c r="L3100" s="2613">
        <f>H3100*G3100</f>
        <v>0</v>
      </c>
      <c r="M3100" s="2613">
        <f>I3100*G3100</f>
        <v>0</v>
      </c>
      <c r="N3100" s="2613">
        <f>J3100*G3100</f>
        <v>0</v>
      </c>
      <c r="O3100" s="2613">
        <f>K3100*G3100</f>
        <v>0</v>
      </c>
      <c r="P3100" s="2518"/>
      <c r="Q3100" s="2519"/>
      <c r="R3100" s="2519"/>
      <c r="S3100" s="2519"/>
    </row>
    <row r="3101" spans="1:19" s="2358" customFormat="1" outlineLevel="1">
      <c r="A3101" s="2435" t="str">
        <f t="shared" si="652"/>
        <v/>
      </c>
      <c r="B3101" s="2610" t="s">
        <v>2240</v>
      </c>
      <c r="C3101" s="2660"/>
      <c r="D3101" s="2405"/>
      <c r="E3101" s="2661" t="s">
        <v>5386</v>
      </c>
      <c r="F3101" s="2405" t="s">
        <v>856</v>
      </c>
      <c r="G3101" s="2405">
        <f>G3097*0.201</f>
        <v>0</v>
      </c>
      <c r="H3101" s="2612">
        <v>0</v>
      </c>
      <c r="I3101" s="2612"/>
      <c r="J3101" s="2612">
        <v>296500.89999999997</v>
      </c>
      <c r="K3101" s="2612">
        <v>0</v>
      </c>
      <c r="L3101" s="2613">
        <f>H3101*G3101</f>
        <v>0</v>
      </c>
      <c r="M3101" s="2613">
        <f>I3101*G3101</f>
        <v>0</v>
      </c>
      <c r="N3101" s="2613">
        <f>J3101*G3101</f>
        <v>0</v>
      </c>
      <c r="O3101" s="2613">
        <f>K3101*G3101</f>
        <v>0</v>
      </c>
      <c r="P3101" s="2518"/>
      <c r="Q3101" s="2519"/>
      <c r="R3101" s="2519"/>
      <c r="S3101" s="2519"/>
    </row>
    <row r="3102" spans="1:19" s="2358" customFormat="1" outlineLevel="1">
      <c r="A3102" s="2435" t="str">
        <f t="shared" si="652"/>
        <v/>
      </c>
      <c r="B3102" s="2610" t="s">
        <v>21</v>
      </c>
      <c r="C3102" s="2660"/>
      <c r="D3102" s="2405" t="s">
        <v>5387</v>
      </c>
      <c r="E3102" s="2661" t="s">
        <v>5388</v>
      </c>
      <c r="F3102" s="2405" t="s">
        <v>856</v>
      </c>
      <c r="G3102" s="2405">
        <f>G3097*0.182</f>
        <v>0</v>
      </c>
      <c r="H3102" s="2661"/>
      <c r="I3102" s="2612"/>
      <c r="J3102" s="2612">
        <v>117703.6</v>
      </c>
      <c r="K3102" s="2612">
        <v>0</v>
      </c>
      <c r="L3102" s="2613">
        <f>H3102*G3102</f>
        <v>0</v>
      </c>
      <c r="M3102" s="2613">
        <f>I3102*G3102</f>
        <v>0</v>
      </c>
      <c r="N3102" s="2613">
        <f>J3102*G3102</f>
        <v>0</v>
      </c>
      <c r="O3102" s="2613">
        <f>K3102*G3102</f>
        <v>0</v>
      </c>
      <c r="P3102" s="2518"/>
      <c r="Q3102" s="2519"/>
      <c r="R3102" s="2519"/>
      <c r="S3102" s="2519"/>
    </row>
    <row r="3103" spans="1:19" s="2358" customFormat="1" outlineLevel="1">
      <c r="A3103" s="2435" t="str">
        <f t="shared" si="652"/>
        <v/>
      </c>
      <c r="B3103" s="2610"/>
      <c r="C3103" s="2511">
        <f>IF(G3103&gt;0,C3097+1,C3097)</f>
        <v>0</v>
      </c>
      <c r="D3103" s="2405"/>
      <c r="E3103" s="2656" t="s">
        <v>6369</v>
      </c>
      <c r="F3103" s="2657" t="s">
        <v>2333</v>
      </c>
      <c r="G3103" s="2662">
        <f>G3097</f>
        <v>0</v>
      </c>
      <c r="H3103" s="2511"/>
      <c r="I3103" s="2511"/>
      <c r="J3103" s="2511"/>
      <c r="K3103" s="2511"/>
      <c r="L3103" s="2511"/>
      <c r="M3103" s="2511"/>
      <c r="N3103" s="2511"/>
      <c r="O3103" s="2663"/>
      <c r="P3103" s="2518"/>
      <c r="Q3103" s="2519"/>
      <c r="R3103" s="2519"/>
      <c r="S3103" s="2519"/>
    </row>
    <row r="3104" spans="1:19" s="2358" customFormat="1" outlineLevel="1">
      <c r="A3104" s="2435" t="str">
        <f t="shared" si="652"/>
        <v/>
      </c>
      <c r="B3104" s="2610" t="s">
        <v>751</v>
      </c>
      <c r="C3104" s="2660"/>
      <c r="D3104" s="2405">
        <v>0</v>
      </c>
      <c r="E3104" s="2661" t="s">
        <v>5351</v>
      </c>
      <c r="F3104" s="2405" t="s">
        <v>2254</v>
      </c>
      <c r="G3104" s="2405">
        <f>204*G3103</f>
        <v>0</v>
      </c>
      <c r="H3104" s="2612">
        <v>1740</v>
      </c>
      <c r="I3104" s="2612"/>
      <c r="J3104" s="2612">
        <v>0</v>
      </c>
      <c r="K3104" s="2511"/>
      <c r="L3104" s="2613">
        <f t="shared" ref="L3104:L3142" si="653">H3104*G3104</f>
        <v>0</v>
      </c>
      <c r="M3104" s="2613">
        <f t="shared" ref="M3104:M3116" si="654">I3104*G3104</f>
        <v>0</v>
      </c>
      <c r="N3104" s="2613">
        <f t="shared" ref="N3104:N3116" si="655">J3104*G3104</f>
        <v>0</v>
      </c>
      <c r="O3104" s="2613">
        <f t="shared" ref="O3104:O3116" si="656">K3104*G3104</f>
        <v>0</v>
      </c>
      <c r="P3104" s="2518"/>
      <c r="Q3104" s="2519"/>
      <c r="R3104" s="2519"/>
      <c r="S3104" s="2519"/>
    </row>
    <row r="3105" spans="1:19" s="2358" customFormat="1" outlineLevel="1">
      <c r="A3105" s="2435" t="str">
        <f t="shared" si="652"/>
        <v/>
      </c>
      <c r="B3105" s="2610" t="s">
        <v>752</v>
      </c>
      <c r="C3105" s="2660"/>
      <c r="D3105" s="2405"/>
      <c r="E3105" s="2661" t="s">
        <v>3022</v>
      </c>
      <c r="F3105" s="2405" t="s">
        <v>856</v>
      </c>
      <c r="G3105" s="2405">
        <f>+G3103*0.5327</f>
        <v>0</v>
      </c>
      <c r="H3105" s="2612">
        <v>512000</v>
      </c>
      <c r="I3105" s="2661"/>
      <c r="J3105" s="2661"/>
      <c r="K3105" s="2511"/>
      <c r="L3105" s="2613">
        <f t="shared" si="653"/>
        <v>0</v>
      </c>
      <c r="M3105" s="2613">
        <f t="shared" si="654"/>
        <v>0</v>
      </c>
      <c r="N3105" s="2613">
        <f t="shared" si="655"/>
        <v>0</v>
      </c>
      <c r="O3105" s="2613">
        <f t="shared" si="656"/>
        <v>0</v>
      </c>
      <c r="P3105" s="2518"/>
      <c r="Q3105" s="2519"/>
      <c r="R3105" s="2519"/>
      <c r="S3105" s="2519"/>
    </row>
    <row r="3106" spans="1:19" s="2358" customFormat="1" outlineLevel="1">
      <c r="A3106" s="2435" t="str">
        <f>IF(G3106&lt;&gt;0,1,"")</f>
        <v/>
      </c>
      <c r="B3106" s="2610" t="s">
        <v>867</v>
      </c>
      <c r="C3106" s="2660"/>
      <c r="D3106" s="2405">
        <v>0</v>
      </c>
      <c r="E3106" s="2661" t="s">
        <v>3018</v>
      </c>
      <c r="F3106" s="2405" t="s">
        <v>856</v>
      </c>
      <c r="G3106" s="2405">
        <f>+G3103*0.607</f>
        <v>0</v>
      </c>
      <c r="H3106" s="2612">
        <v>335000</v>
      </c>
      <c r="I3106" s="2612"/>
      <c r="J3106" s="2612">
        <v>0</v>
      </c>
      <c r="K3106" s="2511"/>
      <c r="L3106" s="2613">
        <f t="shared" si="653"/>
        <v>0</v>
      </c>
      <c r="M3106" s="2613">
        <f>I3106*G3106</f>
        <v>0</v>
      </c>
      <c r="N3106" s="2613">
        <f>J3106*G3106</f>
        <v>0</v>
      </c>
      <c r="O3106" s="2613">
        <f>K3106*G3106</f>
        <v>0</v>
      </c>
      <c r="P3106" s="2518"/>
      <c r="Q3106" s="2519"/>
      <c r="R3106" s="2519"/>
      <c r="S3106" s="2519"/>
    </row>
    <row r="3107" spans="1:19" s="2358" customFormat="1" outlineLevel="1">
      <c r="A3107" s="2435" t="str">
        <f>IF(G3107&lt;&gt;0,1,"")</f>
        <v/>
      </c>
      <c r="B3107" s="2610" t="s">
        <v>2012</v>
      </c>
      <c r="C3107" s="2660"/>
      <c r="D3107" s="2405"/>
      <c r="E3107" s="2661" t="s">
        <v>5308</v>
      </c>
      <c r="F3107" s="2405" t="s">
        <v>2254</v>
      </c>
      <c r="G3107" s="2405">
        <f>+G3103*20.08</f>
        <v>0</v>
      </c>
      <c r="H3107" s="2612">
        <v>13300</v>
      </c>
      <c r="I3107" s="2661"/>
      <c r="J3107" s="2661"/>
      <c r="K3107" s="2511"/>
      <c r="L3107" s="2613">
        <f t="shared" si="653"/>
        <v>0</v>
      </c>
      <c r="M3107" s="2613">
        <f>I3107*G3107</f>
        <v>0</v>
      </c>
      <c r="N3107" s="2613">
        <f>J3107*G3107</f>
        <v>0</v>
      </c>
      <c r="O3107" s="2613">
        <f>K3107*G3107</f>
        <v>0</v>
      </c>
      <c r="P3107" s="2518"/>
      <c r="Q3107" s="2519"/>
      <c r="R3107" s="2519"/>
      <c r="S3107" s="2519"/>
    </row>
    <row r="3108" spans="1:19" s="2358" customFormat="1" outlineLevel="1">
      <c r="A3108" s="2435" t="str">
        <f>IF(G3108&lt;&gt;0,1,"")</f>
        <v/>
      </c>
      <c r="B3108" s="2610" t="s">
        <v>1428</v>
      </c>
      <c r="C3108" s="2660"/>
      <c r="D3108" s="2405">
        <v>0</v>
      </c>
      <c r="E3108" s="2661" t="s">
        <v>3587</v>
      </c>
      <c r="F3108" s="2405" t="s">
        <v>2254</v>
      </c>
      <c r="G3108" s="2405">
        <f>+G3103*0.43</f>
        <v>0</v>
      </c>
      <c r="H3108" s="2612">
        <v>10500</v>
      </c>
      <c r="I3108" s="2612"/>
      <c r="J3108" s="2612">
        <v>0</v>
      </c>
      <c r="K3108" s="2511"/>
      <c r="L3108" s="2613">
        <f t="shared" si="653"/>
        <v>0</v>
      </c>
      <c r="M3108" s="2613">
        <f>I3108*G3108</f>
        <v>0</v>
      </c>
      <c r="N3108" s="2613">
        <f>J3108*G3108</f>
        <v>0</v>
      </c>
      <c r="O3108" s="2613">
        <f>K3108*G3108</f>
        <v>0</v>
      </c>
      <c r="P3108" s="2518"/>
      <c r="Q3108" s="2519"/>
      <c r="R3108" s="2519"/>
      <c r="S3108" s="2519"/>
    </row>
    <row r="3109" spans="1:19" s="2358" customFormat="1" outlineLevel="1">
      <c r="A3109" s="2435" t="str">
        <f t="shared" si="652"/>
        <v/>
      </c>
      <c r="B3109" s="2610" t="s">
        <v>639</v>
      </c>
      <c r="C3109" s="2660"/>
      <c r="D3109" s="2405" t="s">
        <v>1751</v>
      </c>
      <c r="E3109" s="2661" t="s">
        <v>5386</v>
      </c>
      <c r="F3109" s="2405" t="s">
        <v>856</v>
      </c>
      <c r="G3109" s="2405">
        <f>+G3103*0.77</f>
        <v>0</v>
      </c>
      <c r="H3109" s="2612">
        <v>0</v>
      </c>
      <c r="I3109" s="2612"/>
      <c r="J3109" s="2612">
        <v>296500.89999999997</v>
      </c>
      <c r="K3109" s="2511"/>
      <c r="L3109" s="2613">
        <f t="shared" si="653"/>
        <v>0</v>
      </c>
      <c r="M3109" s="2613">
        <f t="shared" si="654"/>
        <v>0</v>
      </c>
      <c r="N3109" s="2613">
        <f t="shared" si="655"/>
        <v>0</v>
      </c>
      <c r="O3109" s="2613">
        <f t="shared" si="656"/>
        <v>0</v>
      </c>
      <c r="P3109" s="2518"/>
      <c r="Q3109" s="2519"/>
      <c r="R3109" s="2519"/>
      <c r="S3109" s="2519"/>
    </row>
    <row r="3110" spans="1:19" s="2358" customFormat="1" outlineLevel="1">
      <c r="A3110" s="2435" t="str">
        <f t="shared" si="652"/>
        <v/>
      </c>
      <c r="B3110" s="2822" t="s">
        <v>1839</v>
      </c>
      <c r="C3110" s="2660"/>
      <c r="D3110" s="2405" t="s">
        <v>5533</v>
      </c>
      <c r="E3110" s="2661" t="s">
        <v>5535</v>
      </c>
      <c r="F3110" s="2405" t="s">
        <v>856</v>
      </c>
      <c r="G3110" s="2405">
        <f>+G3103*0.689</f>
        <v>0</v>
      </c>
      <c r="H3110" s="2612">
        <v>461871</v>
      </c>
      <c r="I3110" s="2612"/>
      <c r="J3110" s="2612">
        <v>414064.45</v>
      </c>
      <c r="K3110" s="2511"/>
      <c r="L3110" s="2613">
        <f t="shared" si="653"/>
        <v>0</v>
      </c>
      <c r="M3110" s="2613">
        <f t="shared" si="654"/>
        <v>0</v>
      </c>
      <c r="N3110" s="2613">
        <f t="shared" si="655"/>
        <v>0</v>
      </c>
      <c r="O3110" s="2613">
        <f t="shared" si="656"/>
        <v>0</v>
      </c>
      <c r="P3110" s="2518"/>
      <c r="Q3110" s="2519"/>
      <c r="R3110" s="2519"/>
      <c r="S3110" s="2519"/>
    </row>
    <row r="3111" spans="1:19" s="2358" customFormat="1" outlineLevel="1">
      <c r="A3111" s="2435" t="str">
        <f>IF(G3111&lt;&gt;0,1,"")</f>
        <v/>
      </c>
      <c r="B3111" s="2514"/>
      <c r="C3111" s="2511">
        <f>IF(G3111&gt;0,C3103+1,C3103)</f>
        <v>0</v>
      </c>
      <c r="D3111" s="2512"/>
      <c r="E3111" s="2670" t="s">
        <v>6345</v>
      </c>
      <c r="F3111" s="2511" t="s">
        <v>2391</v>
      </c>
      <c r="G3111" s="2516"/>
      <c r="H3111" s="2669"/>
      <c r="I3111" s="2669"/>
      <c r="J3111" s="2669"/>
      <c r="K3111" s="2669"/>
      <c r="L3111" s="2613">
        <f t="shared" si="653"/>
        <v>0</v>
      </c>
      <c r="M3111" s="2613">
        <f t="shared" si="654"/>
        <v>0</v>
      </c>
      <c r="N3111" s="2613">
        <f t="shared" si="655"/>
        <v>0</v>
      </c>
      <c r="O3111" s="2613">
        <f t="shared" si="656"/>
        <v>0</v>
      </c>
      <c r="P3111" s="2518"/>
      <c r="Q3111" s="2519"/>
      <c r="R3111" s="2519"/>
      <c r="S3111" s="2519"/>
    </row>
    <row r="3112" spans="1:19" s="2358" customFormat="1" ht="14.4" outlineLevel="1">
      <c r="A3112" s="2435" t="str">
        <f>A3111</f>
        <v/>
      </c>
      <c r="B3112" s="2514"/>
      <c r="C3112" s="2511"/>
      <c r="D3112" s="2512"/>
      <c r="E3112" s="2520" t="s">
        <v>6207</v>
      </c>
      <c r="F3112" s="2521"/>
      <c r="G3112" s="2522"/>
      <c r="H3112" s="2669"/>
      <c r="I3112" s="2669"/>
      <c r="J3112" s="2669"/>
      <c r="K3112" s="2669"/>
      <c r="L3112" s="2613">
        <f t="shared" si="653"/>
        <v>0</v>
      </c>
      <c r="M3112" s="2613">
        <f t="shared" si="654"/>
        <v>0</v>
      </c>
      <c r="N3112" s="2613">
        <f t="shared" si="655"/>
        <v>0</v>
      </c>
      <c r="O3112" s="2613">
        <f t="shared" si="656"/>
        <v>0</v>
      </c>
      <c r="P3112" s="2518"/>
      <c r="Q3112" s="2519"/>
      <c r="R3112" s="2519"/>
      <c r="S3112" s="2519"/>
    </row>
    <row r="3113" spans="1:19" s="2358" customFormat="1" outlineLevel="1">
      <c r="A3113" s="2435" t="str">
        <f t="shared" ref="A3113:A3118" si="657">IF(G3113&lt;&gt;0,1,"")</f>
        <v/>
      </c>
      <c r="B3113" s="2505" t="s">
        <v>2026</v>
      </c>
      <c r="C3113" s="2511"/>
      <c r="D3113" s="2405">
        <v>0</v>
      </c>
      <c r="E3113" s="2447" t="s">
        <v>2443</v>
      </c>
      <c r="F3113" s="2405" t="s">
        <v>2254</v>
      </c>
      <c r="G3113" s="2523">
        <f>G3111*9.02*(2.6+3*0.07)*2</f>
        <v>0</v>
      </c>
      <c r="H3113" s="2612">
        <v>11500</v>
      </c>
      <c r="I3113" s="2612"/>
      <c r="J3113" s="2612">
        <v>0</v>
      </c>
      <c r="K3113" s="2612">
        <v>0</v>
      </c>
      <c r="L3113" s="2613">
        <f t="shared" si="653"/>
        <v>0</v>
      </c>
      <c r="M3113" s="2613">
        <f t="shared" si="654"/>
        <v>0</v>
      </c>
      <c r="N3113" s="2613">
        <f t="shared" si="655"/>
        <v>0</v>
      </c>
      <c r="O3113" s="2613">
        <f t="shared" si="656"/>
        <v>0</v>
      </c>
      <c r="P3113" s="2518"/>
      <c r="Q3113" s="2519"/>
      <c r="R3113" s="2519"/>
      <c r="S3113" s="2519"/>
    </row>
    <row r="3114" spans="1:19" s="2358" customFormat="1" outlineLevel="1">
      <c r="A3114" s="2435" t="str">
        <f t="shared" si="657"/>
        <v/>
      </c>
      <c r="B3114" s="2514" t="s">
        <v>1788</v>
      </c>
      <c r="C3114" s="2511"/>
      <c r="D3114" s="2405">
        <v>0</v>
      </c>
      <c r="E3114" s="2447" t="s">
        <v>2668</v>
      </c>
      <c r="F3114" s="2405" t="s">
        <v>2391</v>
      </c>
      <c r="G3114" s="2522">
        <f>G3111*2</f>
        <v>0</v>
      </c>
      <c r="H3114" s="2612">
        <v>12340</v>
      </c>
      <c r="I3114" s="2612">
        <v>0</v>
      </c>
      <c r="J3114" s="2612">
        <v>0</v>
      </c>
      <c r="K3114" s="2612">
        <v>0</v>
      </c>
      <c r="L3114" s="2613">
        <f t="shared" si="653"/>
        <v>0</v>
      </c>
      <c r="M3114" s="2613">
        <f t="shared" si="654"/>
        <v>0</v>
      </c>
      <c r="N3114" s="2613">
        <f t="shared" si="655"/>
        <v>0</v>
      </c>
      <c r="O3114" s="2613">
        <f t="shared" si="656"/>
        <v>0</v>
      </c>
      <c r="P3114" s="2518"/>
      <c r="Q3114" s="2519"/>
      <c r="R3114" s="2519"/>
      <c r="S3114" s="2519"/>
    </row>
    <row r="3115" spans="1:19" s="2358" customFormat="1" outlineLevel="1">
      <c r="A3115" s="2435" t="str">
        <f t="shared" si="657"/>
        <v/>
      </c>
      <c r="B3115" s="2514" t="s">
        <v>1613</v>
      </c>
      <c r="C3115" s="2511"/>
      <c r="D3115" s="2405">
        <v>0</v>
      </c>
      <c r="E3115" s="2447" t="s">
        <v>2657</v>
      </c>
      <c r="F3115" s="2405" t="s">
        <v>2391</v>
      </c>
      <c r="G3115" s="2522">
        <f>G3111*2</f>
        <v>0</v>
      </c>
      <c r="H3115" s="2612">
        <v>9120</v>
      </c>
      <c r="I3115" s="2612">
        <v>0</v>
      </c>
      <c r="J3115" s="2612">
        <v>0</v>
      </c>
      <c r="K3115" s="2612">
        <v>0</v>
      </c>
      <c r="L3115" s="2613">
        <f t="shared" si="653"/>
        <v>0</v>
      </c>
      <c r="M3115" s="2613">
        <f t="shared" si="654"/>
        <v>0</v>
      </c>
      <c r="N3115" s="2613">
        <f t="shared" si="655"/>
        <v>0</v>
      </c>
      <c r="O3115" s="2613">
        <f t="shared" si="656"/>
        <v>0</v>
      </c>
      <c r="P3115" s="2518"/>
      <c r="Q3115" s="2519"/>
      <c r="R3115" s="2519"/>
      <c r="S3115" s="2519"/>
    </row>
    <row r="3116" spans="1:19" s="2358" customFormat="1" outlineLevel="1">
      <c r="A3116" s="2435" t="str">
        <f t="shared" si="657"/>
        <v/>
      </c>
      <c r="B3116" s="2514" t="s">
        <v>1612</v>
      </c>
      <c r="C3116" s="2511"/>
      <c r="D3116" s="2405">
        <v>0</v>
      </c>
      <c r="E3116" s="2447" t="s">
        <v>2653</v>
      </c>
      <c r="F3116" s="2405" t="s">
        <v>2391</v>
      </c>
      <c r="G3116" s="2522">
        <f>G3115</f>
        <v>0</v>
      </c>
      <c r="H3116" s="2612">
        <v>9220</v>
      </c>
      <c r="I3116" s="2612">
        <v>0</v>
      </c>
      <c r="J3116" s="2612">
        <v>0</v>
      </c>
      <c r="K3116" s="2612">
        <v>0</v>
      </c>
      <c r="L3116" s="2613">
        <f t="shared" si="653"/>
        <v>0</v>
      </c>
      <c r="M3116" s="2613">
        <f t="shared" si="654"/>
        <v>0</v>
      </c>
      <c r="N3116" s="2613">
        <f t="shared" si="655"/>
        <v>0</v>
      </c>
      <c r="O3116" s="2613">
        <f t="shared" si="656"/>
        <v>0</v>
      </c>
      <c r="P3116" s="2518"/>
      <c r="Q3116" s="2519"/>
      <c r="R3116" s="2519"/>
      <c r="S3116" s="2519"/>
    </row>
    <row r="3117" spans="1:19" s="2358" customFormat="1" outlineLevel="1">
      <c r="A3117" s="2435" t="str">
        <f t="shared" si="657"/>
        <v/>
      </c>
      <c r="B3117" s="2514" t="s">
        <v>2248</v>
      </c>
      <c r="C3117" s="2511"/>
      <c r="D3117" s="2405" t="s">
        <v>730</v>
      </c>
      <c r="E3117" s="2447" t="s">
        <v>2446</v>
      </c>
      <c r="F3117" s="2405" t="s">
        <v>2391</v>
      </c>
      <c r="G3117" s="2522">
        <f>G3111</f>
        <v>0</v>
      </c>
      <c r="H3117" s="2612">
        <v>0</v>
      </c>
      <c r="I3117" s="2612"/>
      <c r="J3117" s="2612" t="s">
        <v>6419</v>
      </c>
      <c r="K3117" s="2612"/>
      <c r="L3117" s="2613">
        <f t="shared" si="653"/>
        <v>0</v>
      </c>
      <c r="M3117" s="2613"/>
      <c r="N3117" s="2612">
        <v>0</v>
      </c>
      <c r="O3117" s="2613"/>
      <c r="P3117" s="2518"/>
      <c r="Q3117" s="2519"/>
      <c r="R3117" s="2519"/>
      <c r="S3117" s="2519"/>
    </row>
    <row r="3118" spans="1:19" s="2358" customFormat="1" outlineLevel="1" collapsed="1">
      <c r="A3118" s="2435" t="str">
        <f t="shared" si="657"/>
        <v/>
      </c>
      <c r="B3118" s="2514"/>
      <c r="C3118" s="2511">
        <f>IF(G3118&gt;0,C3111+1,C3111)</f>
        <v>0</v>
      </c>
      <c r="D3118" s="2512"/>
      <c r="E3118" s="2670" t="s">
        <v>6370</v>
      </c>
      <c r="F3118" s="2511" t="s">
        <v>2391</v>
      </c>
      <c r="G3118" s="2516">
        <f>G3084*2</f>
        <v>0</v>
      </c>
      <c r="H3118" s="2517"/>
      <c r="I3118" s="2517"/>
      <c r="J3118" s="2517"/>
      <c r="K3118" s="2517"/>
      <c r="L3118" s="2517">
        <f t="shared" si="653"/>
        <v>0</v>
      </c>
      <c r="M3118" s="2517">
        <f>I3118*G3118</f>
        <v>0</v>
      </c>
      <c r="N3118" s="2517">
        <f>J3118*G3118</f>
        <v>0</v>
      </c>
      <c r="O3118" s="2517">
        <f>K3118*G3118</f>
        <v>0</v>
      </c>
      <c r="P3118" s="2518"/>
      <c r="Q3118" s="2519"/>
      <c r="R3118" s="2519"/>
      <c r="S3118" s="2519"/>
    </row>
    <row r="3119" spans="1:19" s="2358" customFormat="1" ht="14.4" outlineLevel="1">
      <c r="A3119" s="2435" t="str">
        <f>A3118</f>
        <v/>
      </c>
      <c r="B3119" s="2514"/>
      <c r="C3119" s="2511"/>
      <c r="D3119" s="2512"/>
      <c r="E3119" s="2520" t="s">
        <v>6207</v>
      </c>
      <c r="F3119" s="2521"/>
      <c r="G3119" s="2522"/>
      <c r="H3119" s="2517"/>
      <c r="I3119" s="2517"/>
      <c r="J3119" s="2517"/>
      <c r="K3119" s="2517"/>
      <c r="L3119" s="2517">
        <f t="shared" si="653"/>
        <v>0</v>
      </c>
      <c r="M3119" s="2517">
        <f>I3119*G3119</f>
        <v>0</v>
      </c>
      <c r="N3119" s="2517">
        <f>J3119*G3119</f>
        <v>0</v>
      </c>
      <c r="O3119" s="2517">
        <f>K3119*G3119</f>
        <v>0</v>
      </c>
      <c r="P3119" s="2518"/>
      <c r="Q3119" s="2519"/>
      <c r="R3119" s="2519"/>
      <c r="S3119" s="2519"/>
    </row>
    <row r="3120" spans="1:19" s="2358" customFormat="1" outlineLevel="1">
      <c r="A3120" s="2435" t="str">
        <f t="shared" ref="A3120:A3126" si="658">IF(G3120&lt;&gt;0,1,"")</f>
        <v/>
      </c>
      <c r="B3120" s="2514" t="s">
        <v>2026</v>
      </c>
      <c r="C3120" s="2511"/>
      <c r="D3120" s="2405">
        <v>0</v>
      </c>
      <c r="E3120" s="2447" t="s">
        <v>2443</v>
      </c>
      <c r="F3120" s="2405" t="s">
        <v>2254</v>
      </c>
      <c r="G3120" s="2523">
        <f>G3118*9.02*(2.2+4*0.07)*2</f>
        <v>0</v>
      </c>
      <c r="H3120" s="2517">
        <v>11500</v>
      </c>
      <c r="I3120" s="2517"/>
      <c r="J3120" s="2517">
        <v>0</v>
      </c>
      <c r="K3120" s="2517"/>
      <c r="L3120" s="2517">
        <f t="shared" si="653"/>
        <v>0</v>
      </c>
      <c r="M3120" s="2517"/>
      <c r="N3120" s="2517"/>
      <c r="O3120" s="2517"/>
      <c r="P3120" s="2518"/>
      <c r="Q3120" s="2519"/>
      <c r="R3120" s="2519"/>
      <c r="S3120" s="2519"/>
    </row>
    <row r="3121" spans="1:19" s="2358" customFormat="1" outlineLevel="1">
      <c r="A3121" s="2435" t="str">
        <f t="shared" si="658"/>
        <v/>
      </c>
      <c r="B3121" s="2514" t="s">
        <v>1035</v>
      </c>
      <c r="C3121" s="2511"/>
      <c r="D3121" s="2405" t="s">
        <v>554</v>
      </c>
      <c r="E3121" s="2447" t="s">
        <v>2972</v>
      </c>
      <c r="F3121" s="2405" t="s">
        <v>2254</v>
      </c>
      <c r="G3121" s="2523">
        <f>G3118*3.77*0.81*4</f>
        <v>0</v>
      </c>
      <c r="H3121" s="2517">
        <v>11500</v>
      </c>
      <c r="I3121" s="2517"/>
      <c r="J3121" s="2517">
        <v>0</v>
      </c>
      <c r="K3121" s="2517"/>
      <c r="L3121" s="2517">
        <f t="shared" si="653"/>
        <v>0</v>
      </c>
      <c r="M3121" s="2517"/>
      <c r="N3121" s="2517"/>
      <c r="O3121" s="2517"/>
      <c r="P3121" s="2518"/>
      <c r="Q3121" s="2519"/>
      <c r="R3121" s="2519"/>
      <c r="S3121" s="2519"/>
    </row>
    <row r="3122" spans="1:19" s="2358" customFormat="1" outlineLevel="1">
      <c r="A3122" s="2435" t="str">
        <f t="shared" si="658"/>
        <v/>
      </c>
      <c r="B3122" s="2514" t="s">
        <v>1613</v>
      </c>
      <c r="C3122" s="2511"/>
      <c r="D3122" s="2405">
        <v>0</v>
      </c>
      <c r="E3122" s="2447" t="s">
        <v>2657</v>
      </c>
      <c r="F3122" s="2405" t="s">
        <v>2391</v>
      </c>
      <c r="G3122" s="2522">
        <f>G3118*2</f>
        <v>0</v>
      </c>
      <c r="H3122" s="2517">
        <v>9120</v>
      </c>
      <c r="I3122" s="2517">
        <v>0</v>
      </c>
      <c r="J3122" s="2517">
        <v>0</v>
      </c>
      <c r="K3122" s="2517"/>
      <c r="L3122" s="2517">
        <f t="shared" si="653"/>
        <v>0</v>
      </c>
      <c r="M3122" s="2517"/>
      <c r="N3122" s="2517"/>
      <c r="O3122" s="2517"/>
      <c r="P3122" s="2518"/>
      <c r="Q3122" s="2519"/>
      <c r="R3122" s="2519"/>
      <c r="S3122" s="2519"/>
    </row>
    <row r="3123" spans="1:19" s="2358" customFormat="1" outlineLevel="1">
      <c r="A3123" s="2435" t="str">
        <f t="shared" si="658"/>
        <v/>
      </c>
      <c r="B3123" s="2514" t="s">
        <v>1790</v>
      </c>
      <c r="C3123" s="2511"/>
      <c r="D3123" s="2405">
        <v>0</v>
      </c>
      <c r="E3123" s="2447" t="s">
        <v>2647</v>
      </c>
      <c r="F3123" s="2405" t="s">
        <v>2391</v>
      </c>
      <c r="G3123" s="2522">
        <f>G3118*4</f>
        <v>0</v>
      </c>
      <c r="H3123" s="2517">
        <v>4620</v>
      </c>
      <c r="I3123" s="2517">
        <v>0</v>
      </c>
      <c r="J3123" s="2517">
        <v>0</v>
      </c>
      <c r="K3123" s="2517"/>
      <c r="L3123" s="2517">
        <f t="shared" si="653"/>
        <v>0</v>
      </c>
      <c r="M3123" s="2517"/>
      <c r="N3123" s="2517"/>
      <c r="O3123" s="2517"/>
      <c r="P3123" s="2518"/>
      <c r="Q3123" s="2519"/>
      <c r="R3123" s="2519"/>
      <c r="S3123" s="2519"/>
    </row>
    <row r="3124" spans="1:19" s="2358" customFormat="1" outlineLevel="1">
      <c r="A3124" s="2435" t="str">
        <f t="shared" si="658"/>
        <v/>
      </c>
      <c r="B3124" s="2514" t="s">
        <v>1788</v>
      </c>
      <c r="C3124" s="2511"/>
      <c r="D3124" s="2405">
        <v>0</v>
      </c>
      <c r="E3124" s="2447" t="s">
        <v>2668</v>
      </c>
      <c r="F3124" s="2405" t="s">
        <v>2391</v>
      </c>
      <c r="G3124" s="2522">
        <f>G3118*4</f>
        <v>0</v>
      </c>
      <c r="H3124" s="2517">
        <v>12340</v>
      </c>
      <c r="I3124" s="2517">
        <v>0</v>
      </c>
      <c r="J3124" s="2517">
        <v>0</v>
      </c>
      <c r="K3124" s="2517">
        <v>0</v>
      </c>
      <c r="L3124" s="2517">
        <f t="shared" si="653"/>
        <v>0</v>
      </c>
      <c r="M3124" s="2517">
        <f>I3124*G3124</f>
        <v>0</v>
      </c>
      <c r="N3124" s="2517">
        <f>J3124*G3124</f>
        <v>0</v>
      </c>
      <c r="O3124" s="2517">
        <f>K3124*G3124</f>
        <v>0</v>
      </c>
      <c r="P3124" s="2518"/>
      <c r="Q3124" s="2519"/>
      <c r="R3124" s="2519"/>
      <c r="S3124" s="2519"/>
    </row>
    <row r="3125" spans="1:19" s="2358" customFormat="1" outlineLevel="1">
      <c r="A3125" s="2435" t="str">
        <f t="shared" si="658"/>
        <v/>
      </c>
      <c r="B3125" s="2514" t="s">
        <v>516</v>
      </c>
      <c r="C3125" s="2511"/>
      <c r="D3125" s="2405" t="s">
        <v>1460</v>
      </c>
      <c r="E3125" s="2447" t="s">
        <v>5484</v>
      </c>
      <c r="F3125" s="2405" t="s">
        <v>2391</v>
      </c>
      <c r="G3125" s="2522">
        <f>G3118</f>
        <v>0</v>
      </c>
      <c r="H3125" s="2517">
        <v>0</v>
      </c>
      <c r="I3125" s="2517"/>
      <c r="J3125" s="2517" t="s">
        <v>6465</v>
      </c>
      <c r="K3125" s="2517"/>
      <c r="L3125" s="2517">
        <f t="shared" si="653"/>
        <v>0</v>
      </c>
      <c r="M3125" s="2517"/>
      <c r="N3125" s="2517">
        <v>0</v>
      </c>
      <c r="O3125" s="2517"/>
      <c r="P3125" s="2518"/>
      <c r="Q3125" s="2519"/>
      <c r="R3125" s="2519"/>
      <c r="S3125" s="2519"/>
    </row>
    <row r="3126" spans="1:19" s="2358" customFormat="1" outlineLevel="1">
      <c r="A3126" s="2435" t="str">
        <f t="shared" si="658"/>
        <v/>
      </c>
      <c r="B3126" s="2514"/>
      <c r="C3126" s="2511">
        <f>IF(G3126&gt;0,C3118+1,C3118)</f>
        <v>0</v>
      </c>
      <c r="D3126" s="2512"/>
      <c r="E3126" s="2670" t="s">
        <v>6363</v>
      </c>
      <c r="F3126" s="2511" t="s">
        <v>2391</v>
      </c>
      <c r="G3126" s="2516">
        <f>G3084*2</f>
        <v>0</v>
      </c>
      <c r="H3126" s="2517"/>
      <c r="I3126" s="2517"/>
      <c r="J3126" s="2517"/>
      <c r="K3126" s="2517"/>
      <c r="L3126" s="2517">
        <f t="shared" si="653"/>
        <v>0</v>
      </c>
      <c r="M3126" s="2517">
        <f>I3126*G3126</f>
        <v>0</v>
      </c>
      <c r="N3126" s="2517">
        <f>J3126*G3126</f>
        <v>0</v>
      </c>
      <c r="O3126" s="2517">
        <f>K3126*G3126</f>
        <v>0</v>
      </c>
      <c r="P3126" s="2518"/>
      <c r="Q3126" s="2519"/>
      <c r="R3126" s="2519"/>
      <c r="S3126" s="2519"/>
    </row>
    <row r="3127" spans="1:19" s="2358" customFormat="1" ht="14.4" outlineLevel="1">
      <c r="A3127" s="2435" t="str">
        <f>A3126</f>
        <v/>
      </c>
      <c r="B3127" s="2514"/>
      <c r="C3127" s="2511"/>
      <c r="D3127" s="2512"/>
      <c r="E3127" s="2520" t="s">
        <v>6207</v>
      </c>
      <c r="F3127" s="2521"/>
      <c r="G3127" s="2522"/>
      <c r="H3127" s="2517"/>
      <c r="I3127" s="2517"/>
      <c r="J3127" s="2517"/>
      <c r="K3127" s="2517"/>
      <c r="L3127" s="2517">
        <f t="shared" si="653"/>
        <v>0</v>
      </c>
      <c r="M3127" s="2517">
        <f>I3127*G3127</f>
        <v>0</v>
      </c>
      <c r="N3127" s="2517">
        <f>J3127*G3127</f>
        <v>0</v>
      </c>
      <c r="O3127" s="2517">
        <f>K3127*G3127</f>
        <v>0</v>
      </c>
      <c r="P3127" s="2518"/>
      <c r="Q3127" s="2519"/>
      <c r="R3127" s="2519"/>
      <c r="S3127" s="2519"/>
    </row>
    <row r="3128" spans="1:19" s="2358" customFormat="1" outlineLevel="1">
      <c r="A3128" s="2435" t="str">
        <f t="shared" ref="A3128:A3134" si="659">IF(G3128&lt;&gt;0,1,"")</f>
        <v/>
      </c>
      <c r="B3128" s="2514" t="s">
        <v>2026</v>
      </c>
      <c r="C3128" s="2511"/>
      <c r="D3128" s="2405">
        <v>0</v>
      </c>
      <c r="E3128" s="2447" t="s">
        <v>2443</v>
      </c>
      <c r="F3128" s="2405" t="s">
        <v>2254</v>
      </c>
      <c r="G3128" s="2523">
        <f>G3126*9.02*(2.2+4*0.07)</f>
        <v>0</v>
      </c>
      <c r="H3128" s="2517">
        <v>31625</v>
      </c>
      <c r="I3128" s="2517"/>
      <c r="J3128" s="2517">
        <v>0</v>
      </c>
      <c r="K3128" s="2517"/>
      <c r="L3128" s="2517">
        <f t="shared" si="653"/>
        <v>0</v>
      </c>
      <c r="M3128" s="2517"/>
      <c r="N3128" s="2517"/>
      <c r="O3128" s="2517"/>
      <c r="P3128" s="2518"/>
      <c r="Q3128" s="2519"/>
      <c r="R3128" s="2519"/>
      <c r="S3128" s="2519"/>
    </row>
    <row r="3129" spans="1:19" s="2358" customFormat="1" outlineLevel="1">
      <c r="A3129" s="2435" t="str">
        <f t="shared" si="659"/>
        <v/>
      </c>
      <c r="B3129" s="2514" t="s">
        <v>1035</v>
      </c>
      <c r="C3129" s="2511"/>
      <c r="D3129" s="2405">
        <v>0</v>
      </c>
      <c r="E3129" s="2447" t="s">
        <v>2972</v>
      </c>
      <c r="F3129" s="2405" t="s">
        <v>2254</v>
      </c>
      <c r="G3129" s="2523">
        <f>G3126*3.77*0.81*2</f>
        <v>0</v>
      </c>
      <c r="H3129" s="2517">
        <v>31625</v>
      </c>
      <c r="I3129" s="2517"/>
      <c r="J3129" s="2517">
        <v>0</v>
      </c>
      <c r="K3129" s="2517"/>
      <c r="L3129" s="2517">
        <f t="shared" si="653"/>
        <v>0</v>
      </c>
      <c r="M3129" s="2517"/>
      <c r="N3129" s="2517"/>
      <c r="O3129" s="2517"/>
      <c r="P3129" s="2518"/>
      <c r="Q3129" s="2519"/>
      <c r="R3129" s="2519"/>
      <c r="S3129" s="2519"/>
    </row>
    <row r="3130" spans="1:19" s="2358" customFormat="1" outlineLevel="1">
      <c r="A3130" s="2435" t="str">
        <f t="shared" si="659"/>
        <v/>
      </c>
      <c r="B3130" s="2514" t="s">
        <v>1079</v>
      </c>
      <c r="C3130" s="2511"/>
      <c r="D3130" s="2405">
        <v>0</v>
      </c>
      <c r="E3130" s="2447" t="s">
        <v>2659</v>
      </c>
      <c r="F3130" s="2405" t="s">
        <v>2391</v>
      </c>
      <c r="G3130" s="2522">
        <f>G3126*2</f>
        <v>0</v>
      </c>
      <c r="H3130" s="2517">
        <v>27900</v>
      </c>
      <c r="I3130" s="2517">
        <v>0</v>
      </c>
      <c r="J3130" s="2517">
        <v>0</v>
      </c>
      <c r="K3130" s="2517"/>
      <c r="L3130" s="2517">
        <f t="shared" si="653"/>
        <v>0</v>
      </c>
      <c r="M3130" s="2517"/>
      <c r="N3130" s="2517"/>
      <c r="O3130" s="2517"/>
      <c r="P3130" s="2518"/>
      <c r="Q3130" s="2519"/>
      <c r="R3130" s="2519"/>
      <c r="S3130" s="2519"/>
    </row>
    <row r="3131" spans="1:19" s="2358" customFormat="1" outlineLevel="1">
      <c r="A3131" s="2435" t="str">
        <f t="shared" si="659"/>
        <v/>
      </c>
      <c r="B3131" s="2514" t="s">
        <v>1790</v>
      </c>
      <c r="C3131" s="2511"/>
      <c r="D3131" s="2405">
        <v>0</v>
      </c>
      <c r="E3131" s="2447" t="s">
        <v>2647</v>
      </c>
      <c r="F3131" s="2405" t="s">
        <v>2391</v>
      </c>
      <c r="G3131" s="2522">
        <f>G3126*2</f>
        <v>0</v>
      </c>
      <c r="H3131" s="2517">
        <v>12400</v>
      </c>
      <c r="I3131" s="2517">
        <v>0</v>
      </c>
      <c r="J3131" s="2517">
        <v>0</v>
      </c>
      <c r="K3131" s="2517"/>
      <c r="L3131" s="2517">
        <f t="shared" si="653"/>
        <v>0</v>
      </c>
      <c r="M3131" s="2517"/>
      <c r="N3131" s="2517"/>
      <c r="O3131" s="2517"/>
      <c r="P3131" s="2518"/>
      <c r="Q3131" s="2519"/>
      <c r="R3131" s="2519"/>
      <c r="S3131" s="2519"/>
    </row>
    <row r="3132" spans="1:19" s="2358" customFormat="1" outlineLevel="1">
      <c r="A3132" s="2435" t="str">
        <f t="shared" si="659"/>
        <v/>
      </c>
      <c r="B3132" s="2514" t="s">
        <v>988</v>
      </c>
      <c r="C3132" s="2511"/>
      <c r="D3132" s="2405">
        <v>0</v>
      </c>
      <c r="E3132" s="2447" t="s">
        <v>5331</v>
      </c>
      <c r="F3132" s="2405" t="s">
        <v>2391</v>
      </c>
      <c r="G3132" s="2522">
        <f>G3126/3</f>
        <v>0</v>
      </c>
      <c r="H3132" s="2517">
        <v>178900</v>
      </c>
      <c r="I3132" s="2517">
        <v>0</v>
      </c>
      <c r="J3132" s="2517">
        <v>0</v>
      </c>
      <c r="K3132" s="2517"/>
      <c r="L3132" s="2517">
        <f t="shared" si="653"/>
        <v>0</v>
      </c>
      <c r="M3132" s="2517"/>
      <c r="N3132" s="2517"/>
      <c r="O3132" s="2517"/>
      <c r="P3132" s="2518"/>
      <c r="Q3132" s="2519"/>
      <c r="R3132" s="2519"/>
      <c r="S3132" s="2519"/>
    </row>
    <row r="3133" spans="1:19" s="2358" customFormat="1" outlineLevel="1">
      <c r="A3133" s="2435" t="str">
        <f t="shared" si="659"/>
        <v/>
      </c>
      <c r="B3133" s="2514" t="s">
        <v>1999</v>
      </c>
      <c r="C3133" s="2511"/>
      <c r="D3133" s="2405" t="s">
        <v>2271</v>
      </c>
      <c r="E3133" s="2447" t="s">
        <v>5441</v>
      </c>
      <c r="F3133" s="2405" t="s">
        <v>2391</v>
      </c>
      <c r="G3133" s="2522">
        <f>G3126</f>
        <v>0</v>
      </c>
      <c r="H3133" s="2517">
        <v>0</v>
      </c>
      <c r="I3133" s="2517"/>
      <c r="J3133" s="2517" t="s">
        <v>6418</v>
      </c>
      <c r="K3133" s="2517"/>
      <c r="L3133" s="2517">
        <f t="shared" si="653"/>
        <v>0</v>
      </c>
      <c r="M3133" s="2517"/>
      <c r="N3133" s="2517">
        <v>0</v>
      </c>
      <c r="O3133" s="2517"/>
      <c r="P3133" s="2518"/>
      <c r="Q3133" s="2519"/>
      <c r="R3133" s="2519"/>
      <c r="S3133" s="2519"/>
    </row>
    <row r="3134" spans="1:19" s="2358" customFormat="1" outlineLevel="1">
      <c r="A3134" s="2435" t="str">
        <f t="shared" si="659"/>
        <v/>
      </c>
      <c r="B3134" s="2514"/>
      <c r="C3134" s="2511">
        <f>IF(G3134&gt;0,C3126+1,C3126)</f>
        <v>0</v>
      </c>
      <c r="D3134" s="2512"/>
      <c r="E3134" s="2670" t="s">
        <v>4403</v>
      </c>
      <c r="F3134" s="2511" t="s">
        <v>2391</v>
      </c>
      <c r="G3134" s="2516">
        <f>G3084</f>
        <v>0</v>
      </c>
      <c r="H3134" s="2517"/>
      <c r="I3134" s="2517"/>
      <c r="J3134" s="2517"/>
      <c r="K3134" s="2517"/>
      <c r="L3134" s="2517">
        <f t="shared" si="653"/>
        <v>0</v>
      </c>
      <c r="M3134" s="2517">
        <f>I3134*G3134</f>
        <v>0</v>
      </c>
      <c r="N3134" s="2517">
        <f t="shared" ref="N3134:N3142" si="660">J3134*G3134</f>
        <v>0</v>
      </c>
      <c r="O3134" s="2517">
        <f>K3134*G3134</f>
        <v>0</v>
      </c>
      <c r="P3134" s="2518"/>
      <c r="Q3134" s="2519"/>
      <c r="R3134" s="2519"/>
      <c r="S3134" s="2519"/>
    </row>
    <row r="3135" spans="1:19" s="2358" customFormat="1" ht="14.4" outlineLevel="1">
      <c r="A3135" s="2435" t="str">
        <f>A3134</f>
        <v/>
      </c>
      <c r="B3135" s="2671"/>
      <c r="C3135" s="2511"/>
      <c r="D3135" s="2512"/>
      <c r="E3135" s="2520" t="s">
        <v>6364</v>
      </c>
      <c r="F3135" s="2521"/>
      <c r="G3135" s="2522"/>
      <c r="H3135" s="2517"/>
      <c r="I3135" s="2517"/>
      <c r="J3135" s="2517"/>
      <c r="K3135" s="2517"/>
      <c r="L3135" s="2517">
        <f t="shared" si="653"/>
        <v>0</v>
      </c>
      <c r="M3135" s="2517">
        <f>I3135*G3135</f>
        <v>0</v>
      </c>
      <c r="N3135" s="2517">
        <f t="shared" si="660"/>
        <v>0</v>
      </c>
      <c r="O3135" s="2517">
        <f>K3135*G3135</f>
        <v>0</v>
      </c>
      <c r="P3135" s="2518"/>
      <c r="Q3135" s="2519"/>
      <c r="R3135" s="2519"/>
      <c r="S3135" s="2519"/>
    </row>
    <row r="3136" spans="1:19" s="2358" customFormat="1" outlineLevel="1">
      <c r="A3136" s="2435" t="str">
        <f t="shared" ref="A3136:A3142" si="661">IF(G3136&lt;&gt;0,1,"")</f>
        <v/>
      </c>
      <c r="B3136" s="2514" t="s">
        <v>1033</v>
      </c>
      <c r="C3136" s="2511"/>
      <c r="D3136" s="2405">
        <v>0</v>
      </c>
      <c r="E3136" s="2447" t="s">
        <v>2708</v>
      </c>
      <c r="F3136" s="2405" t="s">
        <v>2254</v>
      </c>
      <c r="G3136" s="2523">
        <f>H3*0.224*G3134</f>
        <v>0</v>
      </c>
      <c r="H3136" s="2517">
        <v>255500</v>
      </c>
      <c r="I3136" s="2517"/>
      <c r="J3136" s="2517">
        <v>0</v>
      </c>
      <c r="K3136" s="2517">
        <v>0</v>
      </c>
      <c r="L3136" s="2517">
        <f t="shared" si="653"/>
        <v>0</v>
      </c>
      <c r="M3136" s="2517">
        <f>I3136*G3136</f>
        <v>0</v>
      </c>
      <c r="N3136" s="2517">
        <f t="shared" si="660"/>
        <v>0</v>
      </c>
      <c r="O3136" s="2517">
        <f>K3136*G3136</f>
        <v>0</v>
      </c>
      <c r="P3136" s="2518"/>
      <c r="Q3136" s="2519"/>
      <c r="R3136" s="2519"/>
      <c r="S3136" s="2519"/>
    </row>
    <row r="3137" spans="1:19" s="2358" customFormat="1" outlineLevel="1">
      <c r="A3137" s="2435" t="str">
        <f t="shared" si="661"/>
        <v/>
      </c>
      <c r="B3137" s="2505" t="s">
        <v>1511</v>
      </c>
      <c r="C3137" s="2511"/>
      <c r="D3137" s="2405">
        <v>0</v>
      </c>
      <c r="E3137" s="2447" t="s">
        <v>5224</v>
      </c>
      <c r="F3137" s="2405" t="s">
        <v>2445</v>
      </c>
      <c r="G3137" s="2522">
        <f>(H2+L3)*G3134</f>
        <v>0</v>
      </c>
      <c r="H3137" s="2517">
        <v>160000</v>
      </c>
      <c r="I3137" s="2517"/>
      <c r="J3137" s="2517">
        <v>0</v>
      </c>
      <c r="K3137" s="2517">
        <v>0</v>
      </c>
      <c r="L3137" s="2517">
        <f t="shared" si="653"/>
        <v>0</v>
      </c>
      <c r="M3137" s="2517">
        <f>I3137*G3137</f>
        <v>0</v>
      </c>
      <c r="N3137" s="2517">
        <f t="shared" si="660"/>
        <v>0</v>
      </c>
      <c r="O3137" s="2517">
        <f>K3137*G3137</f>
        <v>0</v>
      </c>
      <c r="P3137" s="2518"/>
      <c r="Q3137" s="2519"/>
      <c r="R3137" s="2519"/>
      <c r="S3137" s="2519"/>
    </row>
    <row r="3138" spans="1:19" s="2358" customFormat="1" outlineLevel="1">
      <c r="A3138" s="2435" t="str">
        <f>IF(G3138&lt;&gt;0,1,"")</f>
        <v/>
      </c>
      <c r="B3138" s="2505" t="s">
        <v>1588</v>
      </c>
      <c r="C3138" s="2511"/>
      <c r="D3138" s="2405">
        <v>0</v>
      </c>
      <c r="E3138" s="2447" t="s">
        <v>5775</v>
      </c>
      <c r="F3138" s="2405" t="s">
        <v>3463</v>
      </c>
      <c r="G3138" s="2522">
        <f>G3134*$L$3</f>
        <v>0</v>
      </c>
      <c r="H3138" s="2517">
        <v>0</v>
      </c>
      <c r="I3138" s="2517"/>
      <c r="J3138" s="2517">
        <v>1500000</v>
      </c>
      <c r="K3138" s="2517">
        <v>0</v>
      </c>
      <c r="L3138" s="2517">
        <f>H3138*G3138</f>
        <v>0</v>
      </c>
      <c r="M3138" s="2517">
        <f>I3138*G3138</f>
        <v>0</v>
      </c>
      <c r="N3138" s="2517">
        <f>J3138*G3138</f>
        <v>0</v>
      </c>
      <c r="O3138" s="2517">
        <f>K3138*G3138</f>
        <v>0</v>
      </c>
      <c r="P3138" s="2518"/>
      <c r="Q3138" s="2519"/>
      <c r="R3138" s="2519"/>
      <c r="S3138" s="2519"/>
    </row>
    <row r="3139" spans="1:19" s="2358" customFormat="1" outlineLevel="1">
      <c r="A3139" s="2435" t="str">
        <f>IF(G3139&lt;&gt;0,1,"")</f>
        <v/>
      </c>
      <c r="B3139" s="2514" t="s">
        <v>1582</v>
      </c>
      <c r="C3139" s="2511"/>
      <c r="D3139" s="2405">
        <v>0</v>
      </c>
      <c r="E3139" s="2447" t="s">
        <v>2889</v>
      </c>
      <c r="F3139" s="2405" t="s">
        <v>2563</v>
      </c>
      <c r="G3139" s="2522">
        <f>2*G3134*0</f>
        <v>0</v>
      </c>
      <c r="H3139" s="2517">
        <v>8000</v>
      </c>
      <c r="I3139" s="2517"/>
      <c r="J3139" s="2517">
        <v>0</v>
      </c>
      <c r="K3139" s="2517"/>
      <c r="L3139" s="2517">
        <f t="shared" si="653"/>
        <v>0</v>
      </c>
      <c r="M3139" s="2517"/>
      <c r="N3139" s="2517">
        <f t="shared" si="660"/>
        <v>0</v>
      </c>
      <c r="O3139" s="2517"/>
      <c r="P3139" s="2518"/>
      <c r="Q3139" s="2519"/>
      <c r="R3139" s="2519"/>
      <c r="S3139" s="2519"/>
    </row>
    <row r="3140" spans="1:19" s="2358" customFormat="1" outlineLevel="1">
      <c r="A3140" s="2435" t="str">
        <f t="shared" si="661"/>
        <v/>
      </c>
      <c r="B3140" s="2514" t="s">
        <v>816</v>
      </c>
      <c r="C3140" s="2511"/>
      <c r="D3140" s="2405">
        <v>0</v>
      </c>
      <c r="E3140" s="2447" t="s">
        <v>3599</v>
      </c>
      <c r="F3140" s="2405" t="s">
        <v>2563</v>
      </c>
      <c r="G3140" s="2522">
        <f>IF(G3137&lt;=12,15,21)*G3134</f>
        <v>0</v>
      </c>
      <c r="H3140" s="2517">
        <v>17600</v>
      </c>
      <c r="I3140" s="2517"/>
      <c r="J3140" s="2517">
        <v>0</v>
      </c>
      <c r="K3140" s="2517"/>
      <c r="L3140" s="2517">
        <f t="shared" si="653"/>
        <v>0</v>
      </c>
      <c r="M3140" s="2517">
        <f>I3140*G3140</f>
        <v>0</v>
      </c>
      <c r="N3140" s="2517">
        <f t="shared" si="660"/>
        <v>0</v>
      </c>
      <c r="O3140" s="2517">
        <f>K3140*G3140</f>
        <v>0</v>
      </c>
      <c r="P3140" s="2518"/>
      <c r="Q3140" s="2519"/>
      <c r="R3140" s="2519"/>
      <c r="S3140" s="2519"/>
    </row>
    <row r="3141" spans="1:19" s="2358" customFormat="1" outlineLevel="1">
      <c r="A3141" s="2435" t="str">
        <f t="shared" si="661"/>
        <v/>
      </c>
      <c r="B3141" s="2505" t="s">
        <v>525</v>
      </c>
      <c r="C3141" s="2511"/>
      <c r="D3141" s="2405">
        <v>0</v>
      </c>
      <c r="E3141" s="2447" t="s">
        <v>5313</v>
      </c>
      <c r="F3141" s="2405" t="s">
        <v>2445</v>
      </c>
      <c r="G3141" s="2522">
        <f>G3134*2</f>
        <v>0</v>
      </c>
      <c r="H3141" s="2517">
        <v>43000</v>
      </c>
      <c r="I3141" s="2517"/>
      <c r="J3141" s="2517">
        <v>0</v>
      </c>
      <c r="K3141" s="2517">
        <v>0</v>
      </c>
      <c r="L3141" s="2517">
        <f t="shared" si="653"/>
        <v>0</v>
      </c>
      <c r="M3141" s="2517">
        <f>I3141*G3141</f>
        <v>0</v>
      </c>
      <c r="N3141" s="2517">
        <f t="shared" si="660"/>
        <v>0</v>
      </c>
      <c r="O3141" s="2517">
        <f>K3141*G3141</f>
        <v>0</v>
      </c>
      <c r="P3141" s="2518"/>
      <c r="Q3141" s="2519"/>
      <c r="R3141" s="2519"/>
      <c r="S3141" s="2519"/>
    </row>
    <row r="3142" spans="1:19" s="2358" customFormat="1" outlineLevel="1">
      <c r="A3142" s="2435" t="str">
        <f t="shared" si="661"/>
        <v/>
      </c>
      <c r="B3142" s="2505" t="s">
        <v>1493</v>
      </c>
      <c r="C3142" s="2511"/>
      <c r="D3142" s="2405">
        <v>0</v>
      </c>
      <c r="E3142" s="2447" t="s">
        <v>3554</v>
      </c>
      <c r="F3142" s="2405" t="s">
        <v>1827</v>
      </c>
      <c r="G3142" s="2522">
        <f>G3134*3</f>
        <v>0</v>
      </c>
      <c r="H3142" s="2517">
        <v>6200</v>
      </c>
      <c r="I3142" s="2517"/>
      <c r="J3142" s="2517">
        <v>0</v>
      </c>
      <c r="K3142" s="2517">
        <v>0</v>
      </c>
      <c r="L3142" s="2517">
        <f t="shared" si="653"/>
        <v>0</v>
      </c>
      <c r="M3142" s="2517">
        <f>I3142*G3142</f>
        <v>0</v>
      </c>
      <c r="N3142" s="2517">
        <f t="shared" si="660"/>
        <v>0</v>
      </c>
      <c r="O3142" s="2517">
        <f>K3142*G3142</f>
        <v>0</v>
      </c>
      <c r="P3142" s="2518"/>
      <c r="Q3142" s="2519"/>
      <c r="R3142" s="2519"/>
      <c r="S3142" s="2519"/>
    </row>
    <row r="3143" spans="1:19" s="2358" customFormat="1" outlineLevel="1">
      <c r="A3143" s="2435">
        <f>IF(G3143=0,0,1)</f>
        <v>0</v>
      </c>
      <c r="B3143" s="2505" t="s">
        <v>794</v>
      </c>
      <c r="C3143" s="2521"/>
      <c r="D3143" s="2405" t="s">
        <v>5398</v>
      </c>
      <c r="E3143" s="2447" t="s">
        <v>3086</v>
      </c>
      <c r="F3143" s="2754" t="s">
        <v>856</v>
      </c>
      <c r="G3143" s="2673">
        <f>H4*G3134</f>
        <v>0</v>
      </c>
      <c r="H3143" s="2517">
        <v>0</v>
      </c>
      <c r="I3143" s="2517"/>
      <c r="J3143" s="2517">
        <v>283749.75</v>
      </c>
      <c r="K3143" s="2517">
        <v>0</v>
      </c>
      <c r="L3143" s="2517">
        <f t="shared" ref="L3143:O3144" si="662">H3143*$G3143</f>
        <v>0</v>
      </c>
      <c r="M3143" s="2517">
        <f t="shared" si="662"/>
        <v>0</v>
      </c>
      <c r="N3143" s="2517">
        <f t="shared" si="662"/>
        <v>0</v>
      </c>
      <c r="O3143" s="2517">
        <f t="shared" si="662"/>
        <v>0</v>
      </c>
      <c r="P3143" s="2518"/>
      <c r="Q3143" s="2519"/>
      <c r="R3143" s="2519"/>
      <c r="S3143" s="2519"/>
    </row>
    <row r="3144" spans="1:19" s="2358" customFormat="1" outlineLevel="1">
      <c r="A3144" s="2435">
        <f>IF(G3144=0,0,1)</f>
        <v>0</v>
      </c>
      <c r="B3144" s="2505" t="s">
        <v>798</v>
      </c>
      <c r="C3144" s="2521"/>
      <c r="D3144" s="2405" t="s">
        <v>5387</v>
      </c>
      <c r="E3144" s="2447" t="s">
        <v>5399</v>
      </c>
      <c r="F3144" s="2754" t="s">
        <v>856</v>
      </c>
      <c r="G3144" s="2673">
        <f>+G3143</f>
        <v>0</v>
      </c>
      <c r="H3144" s="2517">
        <v>0</v>
      </c>
      <c r="I3144" s="2517"/>
      <c r="J3144" s="2517">
        <v>117703.6</v>
      </c>
      <c r="K3144" s="2517">
        <v>0</v>
      </c>
      <c r="L3144" s="2517">
        <f t="shared" si="662"/>
        <v>0</v>
      </c>
      <c r="M3144" s="2517">
        <f t="shared" si="662"/>
        <v>0</v>
      </c>
      <c r="N3144" s="2517">
        <f t="shared" si="662"/>
        <v>0</v>
      </c>
      <c r="O3144" s="2517">
        <f t="shared" si="662"/>
        <v>0</v>
      </c>
      <c r="P3144" s="2518"/>
      <c r="Q3144" s="2519"/>
      <c r="R3144" s="2519"/>
      <c r="S3144" s="2519"/>
    </row>
    <row r="3145" spans="1:19" s="2358" customFormat="1" outlineLevel="1">
      <c r="A3145" s="2435">
        <f>IF(G3145=0,0,1)</f>
        <v>0</v>
      </c>
      <c r="B3145" s="2505" t="s">
        <v>902</v>
      </c>
      <c r="C3145" s="2521"/>
      <c r="D3145" s="2405" t="s">
        <v>5413</v>
      </c>
      <c r="E3145" s="2447" t="s">
        <v>5414</v>
      </c>
      <c r="F3145" s="2754" t="s">
        <v>856</v>
      </c>
      <c r="G3145" s="2673">
        <f>G3137</f>
        <v>0</v>
      </c>
      <c r="H3145" s="2517">
        <v>0</v>
      </c>
      <c r="I3145" s="2517"/>
      <c r="J3145" s="2517" t="s">
        <v>6386</v>
      </c>
      <c r="K3145" s="2517">
        <v>0</v>
      </c>
      <c r="L3145" s="2517">
        <f>H3145*$G3145</f>
        <v>0</v>
      </c>
      <c r="M3145" s="2517">
        <f>I3145*$G3145</f>
        <v>0</v>
      </c>
      <c r="N3145" s="2517">
        <v>0</v>
      </c>
      <c r="O3145" s="2517">
        <f>K3145*$G3145</f>
        <v>0</v>
      </c>
      <c r="P3145" s="2518"/>
      <c r="Q3145" s="2519"/>
      <c r="R3145" s="2519"/>
      <c r="S3145" s="2519"/>
    </row>
    <row r="3146" spans="1:19" s="2358" customFormat="1" outlineLevel="1">
      <c r="A3146" s="2435" t="str">
        <f>IF(G3146&lt;&gt;0,1,"")</f>
        <v/>
      </c>
      <c r="B3146" s="2505" t="s">
        <v>1440</v>
      </c>
      <c r="C3146" s="2511"/>
      <c r="D3146" s="2405" t="s">
        <v>5408</v>
      </c>
      <c r="E3146" s="2447" t="s">
        <v>5409</v>
      </c>
      <c r="F3146" s="2405" t="s">
        <v>2538</v>
      </c>
      <c r="G3146" s="2522">
        <f>G3136/0.224*G3134</f>
        <v>0</v>
      </c>
      <c r="H3146" s="2517">
        <v>0</v>
      </c>
      <c r="I3146" s="2517"/>
      <c r="J3146" s="2517">
        <v>8070.7000000000007</v>
      </c>
      <c r="K3146" s="2517">
        <v>2044.9974999999999</v>
      </c>
      <c r="L3146" s="2517">
        <f>H3146*G3146</f>
        <v>0</v>
      </c>
      <c r="M3146" s="2517">
        <f>I3146*G3146</f>
        <v>0</v>
      </c>
      <c r="N3146" s="2517">
        <f>J3146*G3146</f>
        <v>0</v>
      </c>
      <c r="O3146" s="2517">
        <f>K3146*G3146</f>
        <v>0</v>
      </c>
      <c r="P3146" s="2518"/>
      <c r="Q3146" s="2519"/>
      <c r="R3146" s="2519"/>
      <c r="S3146" s="2519"/>
    </row>
    <row r="3147" spans="1:19" s="2358" customFormat="1" outlineLevel="1">
      <c r="A3147" s="2435" t="str">
        <f>IF(G3147&lt;&gt;0,1,"")</f>
        <v/>
      </c>
      <c r="B3147" s="2514"/>
      <c r="C3147" s="2511">
        <f>IF(G3147&gt;0,C3134+1,C3134)</f>
        <v>0</v>
      </c>
      <c r="D3147" s="2512"/>
      <c r="E3147" s="2629" t="s">
        <v>6365</v>
      </c>
      <c r="F3147" s="2511" t="s">
        <v>2391</v>
      </c>
      <c r="G3147" s="2516">
        <f>G3084</f>
        <v>0</v>
      </c>
      <c r="H3147" s="2517"/>
      <c r="I3147" s="2517"/>
      <c r="J3147" s="2517"/>
      <c r="K3147" s="2517"/>
      <c r="L3147" s="2517">
        <f t="shared" ref="L3147:L3169" si="663">H3147*G3147</f>
        <v>0</v>
      </c>
      <c r="M3147" s="2517">
        <f t="shared" ref="M3147:M3169" si="664">I3147*G3147</f>
        <v>0</v>
      </c>
      <c r="N3147" s="2517">
        <f t="shared" ref="N3147:N3169" si="665">J3147*G3147</f>
        <v>0</v>
      </c>
      <c r="O3147" s="2517">
        <f t="shared" ref="O3147:O3169" si="666">K3147*G3147</f>
        <v>0</v>
      </c>
      <c r="P3147" s="2518"/>
      <c r="Q3147" s="2519"/>
      <c r="R3147" s="2519"/>
      <c r="S3147" s="2519"/>
    </row>
    <row r="3148" spans="1:19" s="2358" customFormat="1" ht="14.4" outlineLevel="1">
      <c r="A3148" s="2435" t="str">
        <f>A3147</f>
        <v/>
      </c>
      <c r="B3148" s="2514"/>
      <c r="C3148" s="2511"/>
      <c r="D3148" s="2512"/>
      <c r="E3148" s="2520" t="s">
        <v>6207</v>
      </c>
      <c r="F3148" s="2521"/>
      <c r="G3148" s="2522"/>
      <c r="H3148" s="2517"/>
      <c r="I3148" s="2517"/>
      <c r="J3148" s="2517"/>
      <c r="K3148" s="2517"/>
      <c r="L3148" s="2517">
        <f t="shared" si="663"/>
        <v>0</v>
      </c>
      <c r="M3148" s="2517">
        <f t="shared" si="664"/>
        <v>0</v>
      </c>
      <c r="N3148" s="2517">
        <f t="shared" si="665"/>
        <v>0</v>
      </c>
      <c r="O3148" s="2517">
        <f t="shared" si="666"/>
        <v>0</v>
      </c>
      <c r="P3148" s="2518"/>
      <c r="Q3148" s="2519"/>
      <c r="R3148" s="2519"/>
      <c r="S3148" s="2519"/>
    </row>
    <row r="3149" spans="1:19" s="2358" customFormat="1" outlineLevel="1">
      <c r="A3149" s="2435" t="str">
        <f>IF(G3149&lt;&gt;0,1,"")</f>
        <v/>
      </c>
      <c r="B3149" s="2514" t="s">
        <v>6371</v>
      </c>
      <c r="C3149" s="2521"/>
      <c r="D3149" s="2405" t="s">
        <v>5695</v>
      </c>
      <c r="E3149" s="2447" t="s">
        <v>5701</v>
      </c>
      <c r="F3149" s="2405" t="s">
        <v>2563</v>
      </c>
      <c r="G3149" s="2523">
        <f>G3147</f>
        <v>0</v>
      </c>
      <c r="H3149" s="2517">
        <v>70000000</v>
      </c>
      <c r="I3149" s="2517"/>
      <c r="J3149" s="2517">
        <v>690091</v>
      </c>
      <c r="K3149" s="2517">
        <v>97369</v>
      </c>
      <c r="L3149" s="2517">
        <f t="shared" si="663"/>
        <v>0</v>
      </c>
      <c r="M3149" s="2517">
        <f t="shared" si="664"/>
        <v>0</v>
      </c>
      <c r="N3149" s="2517">
        <f t="shared" si="665"/>
        <v>0</v>
      </c>
      <c r="O3149" s="2517">
        <f t="shared" si="666"/>
        <v>0</v>
      </c>
      <c r="P3149" s="2518"/>
      <c r="Q3149" s="2519"/>
      <c r="R3149" s="2519"/>
      <c r="S3149" s="2519"/>
    </row>
    <row r="3150" spans="1:19" s="2358" customFormat="1" outlineLevel="1">
      <c r="A3150" s="2435" t="str">
        <f>IF(G3150&lt;&gt;0,1,"")</f>
        <v/>
      </c>
      <c r="B3150" s="2514" t="s">
        <v>289</v>
      </c>
      <c r="C3150" s="2521"/>
      <c r="D3150" s="2405">
        <v>0</v>
      </c>
      <c r="E3150" s="2447" t="s">
        <v>5774</v>
      </c>
      <c r="F3150" s="2405" t="s">
        <v>2563</v>
      </c>
      <c r="G3150" s="2523">
        <f>G3147</f>
        <v>0</v>
      </c>
      <c r="H3150" s="2517">
        <v>300000</v>
      </c>
      <c r="I3150" s="2517"/>
      <c r="J3150" s="2517">
        <v>0</v>
      </c>
      <c r="K3150" s="2517">
        <v>0</v>
      </c>
      <c r="L3150" s="2517">
        <f t="shared" si="663"/>
        <v>0</v>
      </c>
      <c r="M3150" s="2517">
        <f t="shared" si="664"/>
        <v>0</v>
      </c>
      <c r="N3150" s="2517">
        <f t="shared" si="665"/>
        <v>0</v>
      </c>
      <c r="O3150" s="2517">
        <f t="shared" si="666"/>
        <v>0</v>
      </c>
      <c r="P3150" s="2518"/>
      <c r="Q3150" s="2519"/>
      <c r="R3150" s="2519"/>
      <c r="S3150" s="2519"/>
    </row>
    <row r="3151" spans="1:19" s="2358" customFormat="1" outlineLevel="1">
      <c r="A3151" s="2435" t="str">
        <f>IF(G3151&lt;&gt;0,1,"")</f>
        <v/>
      </c>
      <c r="B3151" s="2514"/>
      <c r="C3151" s="2511">
        <f>IF(G3151&gt;0,C3147+1,C3147)</f>
        <v>0</v>
      </c>
      <c r="D3151" s="2512"/>
      <c r="E3151" s="2515" t="s">
        <v>3776</v>
      </c>
      <c r="F3151" s="2511" t="s">
        <v>2538</v>
      </c>
      <c r="G3151" s="2815"/>
      <c r="H3151" s="2517"/>
      <c r="I3151" s="2517"/>
      <c r="J3151" s="2517"/>
      <c r="K3151" s="2517"/>
      <c r="L3151" s="2517">
        <f t="shared" si="663"/>
        <v>0</v>
      </c>
      <c r="M3151" s="2517">
        <f t="shared" si="664"/>
        <v>0</v>
      </c>
      <c r="N3151" s="2517">
        <f t="shared" si="665"/>
        <v>0</v>
      </c>
      <c r="O3151" s="2517">
        <f t="shared" si="666"/>
        <v>0</v>
      </c>
      <c r="P3151" s="2518"/>
      <c r="Q3151" s="2519"/>
      <c r="R3151" s="2519"/>
      <c r="S3151" s="2519"/>
    </row>
    <row r="3152" spans="1:19" s="2358" customFormat="1" ht="14.4" outlineLevel="1">
      <c r="A3152" s="2435" t="str">
        <f>A3151</f>
        <v/>
      </c>
      <c r="B3152" s="2514"/>
      <c r="C3152" s="2511"/>
      <c r="D3152" s="2512"/>
      <c r="E3152" s="2520" t="s">
        <v>6207</v>
      </c>
      <c r="F3152" s="2521"/>
      <c r="G3152" s="2674"/>
      <c r="H3152" s="2517"/>
      <c r="I3152" s="2517"/>
      <c r="J3152" s="2517"/>
      <c r="K3152" s="2517"/>
      <c r="L3152" s="2517">
        <f t="shared" si="663"/>
        <v>0</v>
      </c>
      <c r="M3152" s="2517">
        <f t="shared" si="664"/>
        <v>0</v>
      </c>
      <c r="N3152" s="2517">
        <f t="shared" si="665"/>
        <v>0</v>
      </c>
      <c r="O3152" s="2517">
        <f t="shared" si="666"/>
        <v>0</v>
      </c>
      <c r="P3152" s="2518"/>
      <c r="Q3152" s="2519"/>
      <c r="R3152" s="2519"/>
      <c r="S3152" s="2519"/>
    </row>
    <row r="3153" spans="1:19" s="2358" customFormat="1" outlineLevel="1">
      <c r="A3153" s="2435" t="str">
        <f t="shared" ref="A3153:A3161" si="667">IF(G3153&lt;&gt;0,1,"")</f>
        <v/>
      </c>
      <c r="B3153" s="2807" t="s">
        <v>752</v>
      </c>
      <c r="C3153" s="2521"/>
      <c r="D3153" s="2405">
        <v>0</v>
      </c>
      <c r="E3153" s="2612" t="s">
        <v>6466</v>
      </c>
      <c r="F3153" s="2405" t="s">
        <v>856</v>
      </c>
      <c r="G3153" s="2523">
        <f>G3151*0.38</f>
        <v>0</v>
      </c>
      <c r="H3153" s="2517">
        <v>512000</v>
      </c>
      <c r="I3153" s="2517"/>
      <c r="J3153" s="2517">
        <v>0</v>
      </c>
      <c r="K3153" s="2517">
        <v>0</v>
      </c>
      <c r="L3153" s="2517">
        <f t="shared" si="663"/>
        <v>0</v>
      </c>
      <c r="M3153" s="2517">
        <f t="shared" si="664"/>
        <v>0</v>
      </c>
      <c r="N3153" s="2517">
        <f t="shared" si="665"/>
        <v>0</v>
      </c>
      <c r="O3153" s="2517">
        <f t="shared" si="666"/>
        <v>0</v>
      </c>
      <c r="P3153" s="2518"/>
      <c r="Q3153" s="2519"/>
      <c r="R3153" s="2519"/>
      <c r="S3153" s="2519"/>
    </row>
    <row r="3154" spans="1:19" s="2358" customFormat="1" outlineLevel="1">
      <c r="A3154" s="2435" t="str">
        <f t="shared" si="667"/>
        <v/>
      </c>
      <c r="B3154" s="2807" t="s">
        <v>867</v>
      </c>
      <c r="C3154" s="2521"/>
      <c r="D3154" s="2405">
        <v>0</v>
      </c>
      <c r="E3154" s="2612" t="s">
        <v>6467</v>
      </c>
      <c r="F3154" s="2405" t="s">
        <v>856</v>
      </c>
      <c r="G3154" s="2523">
        <f>0.12*G3151*0</f>
        <v>0</v>
      </c>
      <c r="H3154" s="2517">
        <v>335000</v>
      </c>
      <c r="I3154" s="2517"/>
      <c r="J3154" s="2517">
        <v>0</v>
      </c>
      <c r="K3154" s="2517">
        <v>0</v>
      </c>
      <c r="L3154" s="2517">
        <f t="shared" si="663"/>
        <v>0</v>
      </c>
      <c r="M3154" s="2517">
        <f t="shared" si="664"/>
        <v>0</v>
      </c>
      <c r="N3154" s="2517">
        <f t="shared" si="665"/>
        <v>0</v>
      </c>
      <c r="O3154" s="2517">
        <f t="shared" si="666"/>
        <v>0</v>
      </c>
      <c r="P3154" s="2518"/>
      <c r="Q3154" s="2519"/>
      <c r="R3154" s="2519"/>
      <c r="S3154" s="2519"/>
    </row>
    <row r="3155" spans="1:19" s="2358" customFormat="1" outlineLevel="1">
      <c r="A3155" s="2435" t="str">
        <f t="shared" si="667"/>
        <v/>
      </c>
      <c r="B3155" s="2807" t="s">
        <v>1679</v>
      </c>
      <c r="C3155" s="2521"/>
      <c r="D3155" s="2405">
        <v>0</v>
      </c>
      <c r="E3155" s="2612" t="s">
        <v>6451</v>
      </c>
      <c r="F3155" s="2405" t="s">
        <v>3024</v>
      </c>
      <c r="G3155" s="2523">
        <f>3.3*G3151</f>
        <v>0</v>
      </c>
      <c r="H3155" s="2517">
        <v>7000</v>
      </c>
      <c r="I3155" s="2517"/>
      <c r="J3155" s="2517">
        <v>0</v>
      </c>
      <c r="K3155" s="2517">
        <v>0</v>
      </c>
      <c r="L3155" s="2517">
        <f t="shared" si="663"/>
        <v>0</v>
      </c>
      <c r="M3155" s="2517">
        <f t="shared" si="664"/>
        <v>0</v>
      </c>
      <c r="N3155" s="2517">
        <f t="shared" si="665"/>
        <v>0</v>
      </c>
      <c r="O3155" s="2517">
        <f t="shared" si="666"/>
        <v>0</v>
      </c>
      <c r="P3155" s="2518"/>
      <c r="Q3155" s="2519"/>
      <c r="R3155" s="2519"/>
      <c r="S3155" s="2519"/>
    </row>
    <row r="3156" spans="1:19" s="2358" customFormat="1" outlineLevel="1">
      <c r="A3156" s="2435" t="str">
        <f t="shared" si="667"/>
        <v/>
      </c>
      <c r="B3156" s="2807" t="s">
        <v>1680</v>
      </c>
      <c r="C3156" s="2521"/>
      <c r="D3156" s="2405" t="s">
        <v>5352</v>
      </c>
      <c r="E3156" s="2612" t="s">
        <v>6452</v>
      </c>
      <c r="F3156" s="2405" t="s">
        <v>1964</v>
      </c>
      <c r="G3156" s="2523">
        <f>0.4*G3151</f>
        <v>0</v>
      </c>
      <c r="H3156" s="2517">
        <v>10000</v>
      </c>
      <c r="I3156" s="2517"/>
      <c r="J3156" s="2517">
        <v>1187.155</v>
      </c>
      <c r="K3156" s="2517">
        <v>0</v>
      </c>
      <c r="L3156" s="2517">
        <f t="shared" si="663"/>
        <v>0</v>
      </c>
      <c r="M3156" s="2517">
        <f t="shared" si="664"/>
        <v>0</v>
      </c>
      <c r="N3156" s="2517">
        <f t="shared" si="665"/>
        <v>0</v>
      </c>
      <c r="O3156" s="2517">
        <f t="shared" si="666"/>
        <v>0</v>
      </c>
      <c r="P3156" s="2518"/>
      <c r="Q3156" s="2519"/>
      <c r="R3156" s="2519"/>
      <c r="S3156" s="2519"/>
    </row>
    <row r="3157" spans="1:19" s="2358" customFormat="1" outlineLevel="1">
      <c r="A3157" s="2435" t="str">
        <f t="shared" si="667"/>
        <v/>
      </c>
      <c r="B3157" s="2807" t="s">
        <v>1521</v>
      </c>
      <c r="C3157" s="2511"/>
      <c r="D3157" s="2405">
        <v>0</v>
      </c>
      <c r="E3157" s="2612" t="s">
        <v>3548</v>
      </c>
      <c r="F3157" s="2405" t="s">
        <v>1827</v>
      </c>
      <c r="G3157" s="2523">
        <f>1*G3151</f>
        <v>0</v>
      </c>
      <c r="H3157" s="2517">
        <v>165250</v>
      </c>
      <c r="I3157" s="2517"/>
      <c r="J3157" s="2517">
        <v>0</v>
      </c>
      <c r="K3157" s="2517">
        <v>0</v>
      </c>
      <c r="L3157" s="2517">
        <f t="shared" si="663"/>
        <v>0</v>
      </c>
      <c r="M3157" s="2517">
        <f t="shared" si="664"/>
        <v>0</v>
      </c>
      <c r="N3157" s="2517">
        <f t="shared" si="665"/>
        <v>0</v>
      </c>
      <c r="O3157" s="2517">
        <f t="shared" si="666"/>
        <v>0</v>
      </c>
      <c r="P3157" s="2518"/>
      <c r="Q3157" s="2519"/>
      <c r="R3157" s="2519"/>
      <c r="S3157" s="2519"/>
    </row>
    <row r="3158" spans="1:19" s="2358" customFormat="1" outlineLevel="1">
      <c r="A3158" s="2435" t="str">
        <f t="shared" si="667"/>
        <v/>
      </c>
      <c r="B3158" s="2807" t="s">
        <v>1682</v>
      </c>
      <c r="C3158" s="2521"/>
      <c r="D3158" s="2405" t="s">
        <v>5395</v>
      </c>
      <c r="E3158" s="2612" t="s">
        <v>5396</v>
      </c>
      <c r="F3158" s="2405" t="s">
        <v>856</v>
      </c>
      <c r="G3158" s="2523">
        <f>G3153+G3154</f>
        <v>0</v>
      </c>
      <c r="H3158" s="2517">
        <v>0</v>
      </c>
      <c r="I3158" s="2517"/>
      <c r="J3158" s="2517">
        <v>315277.5</v>
      </c>
      <c r="K3158" s="2517">
        <v>0</v>
      </c>
      <c r="L3158" s="2517">
        <f t="shared" si="663"/>
        <v>0</v>
      </c>
      <c r="M3158" s="2517">
        <f t="shared" si="664"/>
        <v>0</v>
      </c>
      <c r="N3158" s="2517">
        <f t="shared" si="665"/>
        <v>0</v>
      </c>
      <c r="O3158" s="2517">
        <f t="shared" si="666"/>
        <v>0</v>
      </c>
      <c r="P3158" s="2518"/>
      <c r="Q3158" s="2519"/>
      <c r="R3158" s="2519"/>
      <c r="S3158" s="2519"/>
    </row>
    <row r="3159" spans="1:19" s="2358" customFormat="1" outlineLevel="1">
      <c r="A3159" s="2435" t="str">
        <f t="shared" si="667"/>
        <v/>
      </c>
      <c r="B3159" s="2807" t="s">
        <v>144</v>
      </c>
      <c r="C3159" s="2521"/>
      <c r="D3159" s="2405" t="s">
        <v>5389</v>
      </c>
      <c r="E3159" s="2612" t="s">
        <v>6454</v>
      </c>
      <c r="F3159" s="2405" t="s">
        <v>856</v>
      </c>
      <c r="G3159" s="2523">
        <f>G3151*0.48</f>
        <v>0</v>
      </c>
      <c r="H3159" s="2517">
        <v>0</v>
      </c>
      <c r="I3159" s="2517"/>
      <c r="J3159" s="2517">
        <v>640731.36</v>
      </c>
      <c r="K3159" s="2517">
        <v>0</v>
      </c>
      <c r="L3159" s="2517">
        <f t="shared" si="663"/>
        <v>0</v>
      </c>
      <c r="M3159" s="2517">
        <f t="shared" si="664"/>
        <v>0</v>
      </c>
      <c r="N3159" s="2517">
        <f t="shared" si="665"/>
        <v>0</v>
      </c>
      <c r="O3159" s="2517">
        <f t="shared" si="666"/>
        <v>0</v>
      </c>
      <c r="P3159" s="2518"/>
      <c r="Q3159" s="2519"/>
      <c r="R3159" s="2519"/>
      <c r="S3159" s="2519"/>
    </row>
    <row r="3160" spans="1:19" s="2358" customFormat="1" outlineLevel="1">
      <c r="A3160" s="2435" t="str">
        <f t="shared" si="667"/>
        <v/>
      </c>
      <c r="B3160" s="2807" t="s">
        <v>529</v>
      </c>
      <c r="C3160" s="2521"/>
      <c r="D3160" s="2405" t="s">
        <v>5394</v>
      </c>
      <c r="E3160" s="2612" t="s">
        <v>6468</v>
      </c>
      <c r="F3160" s="2405" t="s">
        <v>856</v>
      </c>
      <c r="G3160" s="2523">
        <f>0.16*G3151</f>
        <v>0</v>
      </c>
      <c r="H3160" s="2517">
        <v>0</v>
      </c>
      <c r="I3160" s="2517"/>
      <c r="J3160" s="2517">
        <v>21935.133999999998</v>
      </c>
      <c r="K3160" s="2517">
        <v>0</v>
      </c>
      <c r="L3160" s="2517">
        <f t="shared" si="663"/>
        <v>0</v>
      </c>
      <c r="M3160" s="2517">
        <f t="shared" si="664"/>
        <v>0</v>
      </c>
      <c r="N3160" s="2517">
        <f t="shared" si="665"/>
        <v>0</v>
      </c>
      <c r="O3160" s="2517">
        <f t="shared" si="666"/>
        <v>0</v>
      </c>
      <c r="P3160" s="2518"/>
      <c r="Q3160" s="2519"/>
      <c r="R3160" s="2675">
        <v>0.47499999999999998</v>
      </c>
      <c r="S3160" s="2519"/>
    </row>
    <row r="3161" spans="1:19" s="2358" customFormat="1" outlineLevel="1">
      <c r="A3161" s="2435" t="str">
        <f t="shared" si="667"/>
        <v/>
      </c>
      <c r="B3161" s="2514"/>
      <c r="C3161" s="2511">
        <f>IF(G3161&gt;0,C3151+1,C3151)</f>
        <v>0</v>
      </c>
      <c r="D3161" s="2512"/>
      <c r="E3161" s="2515" t="s">
        <v>3777</v>
      </c>
      <c r="F3161" s="2511" t="s">
        <v>2391</v>
      </c>
      <c r="G3161" s="2516"/>
      <c r="H3161" s="2517"/>
      <c r="I3161" s="2517"/>
      <c r="J3161" s="2517"/>
      <c r="K3161" s="2517"/>
      <c r="L3161" s="2517">
        <f t="shared" si="663"/>
        <v>0</v>
      </c>
      <c r="M3161" s="2517">
        <f t="shared" si="664"/>
        <v>0</v>
      </c>
      <c r="N3161" s="2517">
        <f t="shared" si="665"/>
        <v>0</v>
      </c>
      <c r="O3161" s="2517">
        <f t="shared" si="666"/>
        <v>0</v>
      </c>
      <c r="P3161" s="2518"/>
      <c r="Q3161" s="2519"/>
      <c r="R3161" s="2675">
        <v>0.88100000000000001</v>
      </c>
      <c r="S3161" s="2519"/>
    </row>
    <row r="3162" spans="1:19" s="2358" customFormat="1" ht="14.4" outlineLevel="1">
      <c r="A3162" s="2435" t="str">
        <f>A3161</f>
        <v/>
      </c>
      <c r="B3162" s="2514"/>
      <c r="C3162" s="2511"/>
      <c r="D3162" s="2512"/>
      <c r="E3162" s="2520" t="s">
        <v>6207</v>
      </c>
      <c r="F3162" s="2521"/>
      <c r="G3162" s="2674"/>
      <c r="H3162" s="2517"/>
      <c r="I3162" s="2517"/>
      <c r="J3162" s="2517"/>
      <c r="K3162" s="2517"/>
      <c r="L3162" s="2517">
        <f t="shared" si="663"/>
        <v>0</v>
      </c>
      <c r="M3162" s="2517">
        <f t="shared" si="664"/>
        <v>0</v>
      </c>
      <c r="N3162" s="2517">
        <f t="shared" si="665"/>
        <v>0</v>
      </c>
      <c r="O3162" s="2517">
        <f t="shared" si="666"/>
        <v>0</v>
      </c>
      <c r="P3162" s="2518"/>
      <c r="Q3162" s="2519"/>
      <c r="R3162" s="2519"/>
      <c r="S3162" s="2519"/>
    </row>
    <row r="3163" spans="1:19" s="2358" customFormat="1" outlineLevel="1">
      <c r="A3163" s="2435" t="str">
        <f t="shared" ref="A3163:A3170" si="668">IF(G3163&lt;&gt;0,1,"")</f>
        <v/>
      </c>
      <c r="B3163" s="2514" t="s">
        <v>623</v>
      </c>
      <c r="C3163" s="2521"/>
      <c r="D3163" s="2405" t="s">
        <v>5367</v>
      </c>
      <c r="E3163" s="2447" t="s">
        <v>5368</v>
      </c>
      <c r="F3163" s="2405" t="s">
        <v>2538</v>
      </c>
      <c r="G3163" s="2523">
        <f>G3161*4</f>
        <v>0</v>
      </c>
      <c r="H3163" s="2517">
        <v>278000</v>
      </c>
      <c r="I3163" s="2517"/>
      <c r="J3163" s="2517">
        <v>127101.65849999999</v>
      </c>
      <c r="K3163" s="2517">
        <v>0</v>
      </c>
      <c r="L3163" s="2517">
        <f t="shared" si="663"/>
        <v>0</v>
      </c>
      <c r="M3163" s="2517">
        <f t="shared" si="664"/>
        <v>0</v>
      </c>
      <c r="N3163" s="2517">
        <f t="shared" si="665"/>
        <v>0</v>
      </c>
      <c r="O3163" s="2517">
        <f t="shared" si="666"/>
        <v>0</v>
      </c>
      <c r="P3163" s="2518"/>
      <c r="Q3163" s="2519"/>
      <c r="R3163" s="2519"/>
      <c r="S3163" s="2519"/>
    </row>
    <row r="3164" spans="1:19" s="2358" customFormat="1" outlineLevel="1">
      <c r="A3164" s="2435" t="str">
        <f t="shared" si="668"/>
        <v/>
      </c>
      <c r="B3164" s="2807" t="s">
        <v>473</v>
      </c>
      <c r="C3164" s="2511"/>
      <c r="D3164" s="2405">
        <v>0</v>
      </c>
      <c r="E3164" s="2447" t="s">
        <v>3570</v>
      </c>
      <c r="F3164" s="2405" t="s">
        <v>2563</v>
      </c>
      <c r="G3164" s="2523">
        <f>G3161*1</f>
        <v>0</v>
      </c>
      <c r="H3164" s="2517">
        <v>138000</v>
      </c>
      <c r="I3164" s="2517"/>
      <c r="J3164" s="2517">
        <v>0</v>
      </c>
      <c r="K3164" s="2517">
        <v>0</v>
      </c>
      <c r="L3164" s="2517">
        <f t="shared" si="663"/>
        <v>0</v>
      </c>
      <c r="M3164" s="2517">
        <f t="shared" si="664"/>
        <v>0</v>
      </c>
      <c r="N3164" s="2517">
        <f t="shared" si="665"/>
        <v>0</v>
      </c>
      <c r="O3164" s="2517">
        <f t="shared" si="666"/>
        <v>0</v>
      </c>
      <c r="P3164" s="2518"/>
      <c r="Q3164" s="2519"/>
      <c r="R3164" s="2519"/>
      <c r="S3164" s="2519"/>
    </row>
    <row r="3165" spans="1:19" s="2358" customFormat="1" outlineLevel="1">
      <c r="A3165" s="2435" t="str">
        <f t="shared" si="668"/>
        <v/>
      </c>
      <c r="B3165" s="2514" t="s">
        <v>120</v>
      </c>
      <c r="C3165" s="2521"/>
      <c r="D3165" s="2405">
        <v>0</v>
      </c>
      <c r="E3165" s="2447" t="s">
        <v>2998</v>
      </c>
      <c r="F3165" s="2405" t="s">
        <v>2445</v>
      </c>
      <c r="G3165" s="2523">
        <f>G3161*2</f>
        <v>0</v>
      </c>
      <c r="H3165" s="2517">
        <v>40000</v>
      </c>
      <c r="I3165" s="2517"/>
      <c r="J3165" s="2517">
        <v>0</v>
      </c>
      <c r="K3165" s="2517">
        <v>0</v>
      </c>
      <c r="L3165" s="2517">
        <f t="shared" si="663"/>
        <v>0</v>
      </c>
      <c r="M3165" s="2517">
        <f t="shared" si="664"/>
        <v>0</v>
      </c>
      <c r="N3165" s="2517">
        <f t="shared" si="665"/>
        <v>0</v>
      </c>
      <c r="O3165" s="2517">
        <f t="shared" si="666"/>
        <v>0</v>
      </c>
      <c r="P3165" s="2518"/>
      <c r="Q3165" s="2519"/>
      <c r="R3165" s="2519"/>
      <c r="S3165" s="2519"/>
    </row>
    <row r="3166" spans="1:19" s="2358" customFormat="1" outlineLevel="1">
      <c r="A3166" s="2435" t="str">
        <f t="shared" si="668"/>
        <v/>
      </c>
      <c r="B3166" s="2505" t="s">
        <v>1412</v>
      </c>
      <c r="C3166" s="2521"/>
      <c r="D3166" s="2405">
        <v>0</v>
      </c>
      <c r="E3166" s="2447" t="s">
        <v>3467</v>
      </c>
      <c r="F3166" s="2405" t="s">
        <v>2445</v>
      </c>
      <c r="G3166" s="2523">
        <f>G3161</f>
        <v>0</v>
      </c>
      <c r="H3166" s="2517">
        <v>150000</v>
      </c>
      <c r="I3166" s="2517"/>
      <c r="J3166" s="2517">
        <v>0</v>
      </c>
      <c r="K3166" s="2517">
        <v>0</v>
      </c>
      <c r="L3166" s="2517">
        <f t="shared" si="663"/>
        <v>0</v>
      </c>
      <c r="M3166" s="2517">
        <f t="shared" si="664"/>
        <v>0</v>
      </c>
      <c r="N3166" s="2517">
        <f t="shared" si="665"/>
        <v>0</v>
      </c>
      <c r="O3166" s="2517">
        <f t="shared" si="666"/>
        <v>0</v>
      </c>
      <c r="P3166" s="2518"/>
      <c r="Q3166" s="2519"/>
      <c r="R3166" s="2519"/>
      <c r="S3166" s="2519"/>
    </row>
    <row r="3167" spans="1:19" s="2358" customFormat="1" outlineLevel="1">
      <c r="A3167" s="2435" t="str">
        <f t="shared" si="668"/>
        <v/>
      </c>
      <c r="B3167" s="2505" t="s">
        <v>984</v>
      </c>
      <c r="C3167" s="2521"/>
      <c r="D3167" s="2405">
        <v>0</v>
      </c>
      <c r="E3167" s="2447" t="s">
        <v>3472</v>
      </c>
      <c r="F3167" s="2405" t="s">
        <v>2445</v>
      </c>
      <c r="G3167" s="2523">
        <f>G3161</f>
        <v>0</v>
      </c>
      <c r="H3167" s="2517">
        <v>224832</v>
      </c>
      <c r="I3167" s="2517"/>
      <c r="J3167" s="2517">
        <v>3635</v>
      </c>
      <c r="K3167" s="2517">
        <v>6321</v>
      </c>
      <c r="L3167" s="2517">
        <f t="shared" si="663"/>
        <v>0</v>
      </c>
      <c r="M3167" s="2517">
        <f t="shared" si="664"/>
        <v>0</v>
      </c>
      <c r="N3167" s="2517">
        <f t="shared" si="665"/>
        <v>0</v>
      </c>
      <c r="O3167" s="2517">
        <f t="shared" si="666"/>
        <v>0</v>
      </c>
      <c r="P3167" s="2518"/>
      <c r="Q3167" s="2519"/>
      <c r="R3167" s="2519"/>
      <c r="S3167" s="2519"/>
    </row>
    <row r="3168" spans="1:19" s="2358" customFormat="1" outlineLevel="1">
      <c r="A3168" s="2435" t="str">
        <f t="shared" si="668"/>
        <v/>
      </c>
      <c r="B3168" s="2514" t="s">
        <v>1413</v>
      </c>
      <c r="C3168" s="2511"/>
      <c r="D3168" s="2405" t="s">
        <v>5403</v>
      </c>
      <c r="E3168" s="2447" t="s">
        <v>5404</v>
      </c>
      <c r="F3168" s="2405" t="s">
        <v>2445</v>
      </c>
      <c r="G3168" s="2523">
        <f>G3166</f>
        <v>0</v>
      </c>
      <c r="H3168" s="2517">
        <v>0</v>
      </c>
      <c r="I3168" s="2517"/>
      <c r="J3168" s="2517">
        <v>28219.62</v>
      </c>
      <c r="K3168" s="2517">
        <v>0</v>
      </c>
      <c r="L3168" s="2517">
        <f t="shared" si="663"/>
        <v>0</v>
      </c>
      <c r="M3168" s="2517">
        <f t="shared" si="664"/>
        <v>0</v>
      </c>
      <c r="N3168" s="2517">
        <f t="shared" si="665"/>
        <v>0</v>
      </c>
      <c r="O3168" s="2517">
        <f t="shared" si="666"/>
        <v>0</v>
      </c>
      <c r="P3168" s="2518"/>
      <c r="Q3168" s="2519"/>
      <c r="R3168" s="2519"/>
      <c r="S3168" s="2519"/>
    </row>
    <row r="3169" spans="1:19" s="2358" customFormat="1" outlineLevel="1">
      <c r="A3169" s="2435" t="str">
        <f t="shared" si="668"/>
        <v/>
      </c>
      <c r="B3169" s="2514" t="s">
        <v>289</v>
      </c>
      <c r="C3169" s="2521"/>
      <c r="D3169" s="2405">
        <v>0</v>
      </c>
      <c r="E3169" s="2447" t="s">
        <v>5774</v>
      </c>
      <c r="F3169" s="2405" t="s">
        <v>2563</v>
      </c>
      <c r="G3169" s="2523">
        <f>G3161</f>
        <v>0</v>
      </c>
      <c r="H3169" s="2517">
        <v>300000</v>
      </c>
      <c r="I3169" s="2517"/>
      <c r="J3169" s="2517">
        <v>0</v>
      </c>
      <c r="K3169" s="2517">
        <v>0</v>
      </c>
      <c r="L3169" s="2517">
        <f t="shared" si="663"/>
        <v>0</v>
      </c>
      <c r="M3169" s="2517">
        <f t="shared" si="664"/>
        <v>0</v>
      </c>
      <c r="N3169" s="2517">
        <f t="shared" si="665"/>
        <v>0</v>
      </c>
      <c r="O3169" s="2517">
        <f t="shared" si="666"/>
        <v>0</v>
      </c>
      <c r="P3169" s="2518"/>
      <c r="Q3169" s="2519"/>
      <c r="R3169" s="2519"/>
      <c r="S3169" s="2519"/>
    </row>
    <row r="3170" spans="1:19" s="2358" customFormat="1" outlineLevel="1">
      <c r="A3170" s="2435" t="str">
        <f t="shared" si="668"/>
        <v/>
      </c>
      <c r="B3170" s="2514"/>
      <c r="C3170" s="2511">
        <f>IF(G3170&gt;0,C3161+1,C3161)</f>
        <v>0</v>
      </c>
      <c r="D3170" s="2512"/>
      <c r="E3170" s="2513" t="s">
        <v>3758</v>
      </c>
      <c r="F3170" s="2511" t="s">
        <v>2391</v>
      </c>
      <c r="G3170" s="2516"/>
      <c r="H3170" s="2517"/>
      <c r="I3170" s="2517"/>
      <c r="J3170" s="2517"/>
      <c r="K3170" s="2517"/>
      <c r="L3170" s="2517"/>
      <c r="M3170" s="2517"/>
      <c r="N3170" s="2517"/>
      <c r="O3170" s="2517"/>
      <c r="P3170" s="2518"/>
      <c r="Q3170" s="2519"/>
      <c r="R3170" s="2519"/>
      <c r="S3170" s="2519"/>
    </row>
    <row r="3171" spans="1:19" s="2358" customFormat="1" ht="14.4" outlineLevel="1">
      <c r="A3171" s="2435" t="str">
        <f>A3170</f>
        <v/>
      </c>
      <c r="B3171" s="2514"/>
      <c r="C3171" s="2511"/>
      <c r="D3171" s="2512"/>
      <c r="E3171" s="2527" t="s">
        <v>6207</v>
      </c>
      <c r="F3171" s="2511"/>
      <c r="G3171" s="2516"/>
      <c r="H3171" s="2517"/>
      <c r="I3171" s="2517"/>
      <c r="J3171" s="2517"/>
      <c r="K3171" s="2517"/>
      <c r="L3171" s="2517"/>
      <c r="M3171" s="2517"/>
      <c r="N3171" s="2517"/>
      <c r="O3171" s="2517"/>
      <c r="P3171" s="2518"/>
      <c r="Q3171" s="2519"/>
      <c r="R3171" s="2519"/>
      <c r="S3171" s="2519"/>
    </row>
    <row r="3172" spans="1:19" s="2358" customFormat="1" outlineLevel="1">
      <c r="A3172" s="2435" t="str">
        <f>IF(G3172&lt;&gt;0,1,"")</f>
        <v/>
      </c>
      <c r="B3172" s="2505" t="s">
        <v>470</v>
      </c>
      <c r="C3172" s="2521"/>
      <c r="D3172" s="2405">
        <v>0</v>
      </c>
      <c r="E3172" s="2447" t="s">
        <v>2747</v>
      </c>
      <c r="F3172" s="2405" t="s">
        <v>2538</v>
      </c>
      <c r="G3172" s="2523">
        <f>(3+10)*1.02*G3170</f>
        <v>0</v>
      </c>
      <c r="H3172" s="2517">
        <v>763500</v>
      </c>
      <c r="I3172" s="2517"/>
      <c r="J3172" s="2517">
        <v>0</v>
      </c>
      <c r="K3172" s="2517">
        <v>0</v>
      </c>
      <c r="L3172" s="2517">
        <f>H3172*G3172</f>
        <v>0</v>
      </c>
      <c r="M3172" s="2517">
        <f>I3172*G3172</f>
        <v>0</v>
      </c>
      <c r="N3172" s="2517">
        <f>J3172*G3172</f>
        <v>0</v>
      </c>
      <c r="O3172" s="2517">
        <f>K3172*G3172</f>
        <v>0</v>
      </c>
      <c r="P3172" s="2518"/>
      <c r="Q3172" s="2519"/>
      <c r="R3172" s="2519"/>
      <c r="S3172" s="2519"/>
    </row>
    <row r="3173" spans="1:19" s="2358" customFormat="1" outlineLevel="1">
      <c r="A3173" s="2435" t="str">
        <f t="shared" ref="A3173:A3182" si="669">IF(G3173&lt;&gt;0,1,"")</f>
        <v/>
      </c>
      <c r="B3173" s="2505" t="s">
        <v>271</v>
      </c>
      <c r="C3173" s="2521"/>
      <c r="D3173" s="2405">
        <v>0</v>
      </c>
      <c r="E3173" s="2447" t="s">
        <v>2716</v>
      </c>
      <c r="F3173" s="2405" t="s">
        <v>2538</v>
      </c>
      <c r="G3173" s="2523">
        <f>G3170*0.5*3</f>
        <v>0</v>
      </c>
      <c r="H3173" s="2517">
        <v>204900</v>
      </c>
      <c r="I3173" s="2517"/>
      <c r="J3173" s="2517">
        <v>0</v>
      </c>
      <c r="K3173" s="2517">
        <v>0</v>
      </c>
      <c r="L3173" s="2517">
        <f>H3173*G3173</f>
        <v>0</v>
      </c>
      <c r="M3173" s="2517">
        <f>I3173*G3173</f>
        <v>0</v>
      </c>
      <c r="N3173" s="2517">
        <f>J3173*G3173</f>
        <v>0</v>
      </c>
      <c r="O3173" s="2517">
        <f>K3173*G3173</f>
        <v>0</v>
      </c>
      <c r="P3173" s="2518"/>
      <c r="Q3173" s="2519"/>
      <c r="R3173" s="2519"/>
      <c r="S3173" s="2519"/>
    </row>
    <row r="3174" spans="1:19" s="2358" customFormat="1" outlineLevel="1">
      <c r="A3174" s="2435" t="str">
        <f t="shared" si="669"/>
        <v/>
      </c>
      <c r="B3174" s="2505" t="s">
        <v>1355</v>
      </c>
      <c r="C3174" s="2521"/>
      <c r="D3174" s="2405">
        <v>0</v>
      </c>
      <c r="E3174" s="2447" t="s">
        <v>3032</v>
      </c>
      <c r="F3174" s="2405" t="s">
        <v>2563</v>
      </c>
      <c r="G3174" s="2523">
        <f>G3170*2</f>
        <v>0</v>
      </c>
      <c r="H3174" s="2517">
        <v>4022000</v>
      </c>
      <c r="I3174" s="2517"/>
      <c r="J3174" s="2517">
        <v>0</v>
      </c>
      <c r="K3174" s="2517">
        <v>0</v>
      </c>
      <c r="L3174" s="2517">
        <f t="shared" ref="L3174:L3179" si="670">H3174*G3174</f>
        <v>0</v>
      </c>
      <c r="M3174" s="2517">
        <f t="shared" ref="M3174:M3179" si="671">I3174*G3174</f>
        <v>0</v>
      </c>
      <c r="N3174" s="2517">
        <f t="shared" ref="N3174:N3179" si="672">J3174*G3174</f>
        <v>0</v>
      </c>
      <c r="O3174" s="2517">
        <f t="shared" ref="O3174:O3179" si="673">K3174*G3174</f>
        <v>0</v>
      </c>
      <c r="P3174" s="2518"/>
      <c r="Q3174" s="2519"/>
      <c r="R3174" s="2519"/>
      <c r="S3174" s="2519"/>
    </row>
    <row r="3175" spans="1:19" s="2358" customFormat="1" outlineLevel="1">
      <c r="A3175" s="2435" t="str">
        <f t="shared" si="669"/>
        <v/>
      </c>
      <c r="B3175" s="2505" t="s">
        <v>470</v>
      </c>
      <c r="C3175" s="2521"/>
      <c r="D3175" s="2405">
        <v>0</v>
      </c>
      <c r="E3175" s="2447" t="s">
        <v>2747</v>
      </c>
      <c r="F3175" s="2405" t="s">
        <v>2538</v>
      </c>
      <c r="G3175" s="2523">
        <f>(1.2+2.4)*G3170</f>
        <v>0</v>
      </c>
      <c r="H3175" s="2517">
        <v>763500</v>
      </c>
      <c r="I3175" s="2517"/>
      <c r="J3175" s="2517">
        <v>0</v>
      </c>
      <c r="K3175" s="2517">
        <v>0</v>
      </c>
      <c r="L3175" s="2517">
        <f t="shared" si="670"/>
        <v>0</v>
      </c>
      <c r="M3175" s="2517">
        <f t="shared" si="671"/>
        <v>0</v>
      </c>
      <c r="N3175" s="2517">
        <f t="shared" si="672"/>
        <v>0</v>
      </c>
      <c r="O3175" s="2517">
        <f t="shared" si="673"/>
        <v>0</v>
      </c>
      <c r="P3175" s="2518"/>
      <c r="Q3175" s="2519"/>
      <c r="R3175" s="2519"/>
      <c r="S3175" s="2519"/>
    </row>
    <row r="3176" spans="1:19" s="2358" customFormat="1" outlineLevel="1">
      <c r="A3176" s="2435" t="str">
        <f t="shared" si="669"/>
        <v/>
      </c>
      <c r="B3176" s="2505" t="s">
        <v>271</v>
      </c>
      <c r="C3176" s="2521"/>
      <c r="D3176" s="2405">
        <v>0</v>
      </c>
      <c r="E3176" s="2447" t="s">
        <v>2716</v>
      </c>
      <c r="F3176" s="2405" t="s">
        <v>2538</v>
      </c>
      <c r="G3176" s="2523">
        <f>G3175*0</f>
        <v>0</v>
      </c>
      <c r="H3176" s="2517">
        <v>204900</v>
      </c>
      <c r="I3176" s="2517"/>
      <c r="J3176" s="2517">
        <v>0</v>
      </c>
      <c r="K3176" s="2517">
        <v>0</v>
      </c>
      <c r="L3176" s="2517">
        <f t="shared" si="670"/>
        <v>0</v>
      </c>
      <c r="M3176" s="2517">
        <f t="shared" si="671"/>
        <v>0</v>
      </c>
      <c r="N3176" s="2517">
        <f t="shared" si="672"/>
        <v>0</v>
      </c>
      <c r="O3176" s="2517">
        <f t="shared" si="673"/>
        <v>0</v>
      </c>
      <c r="P3176" s="2518"/>
      <c r="Q3176" s="2519"/>
      <c r="R3176" s="2519"/>
      <c r="S3176" s="2519"/>
    </row>
    <row r="3177" spans="1:19" s="2358" customFormat="1" outlineLevel="1">
      <c r="A3177" s="2435" t="str">
        <f t="shared" si="669"/>
        <v/>
      </c>
      <c r="B3177" s="2505" t="s">
        <v>1356</v>
      </c>
      <c r="C3177" s="2521"/>
      <c r="D3177" s="2405">
        <v>0</v>
      </c>
      <c r="E3177" s="2447" t="s">
        <v>3039</v>
      </c>
      <c r="F3177" s="2405" t="s">
        <v>2563</v>
      </c>
      <c r="G3177" s="2523">
        <f>G3170*3</f>
        <v>0</v>
      </c>
      <c r="H3177" s="2517">
        <v>5242230</v>
      </c>
      <c r="I3177" s="2517"/>
      <c r="J3177" s="2517">
        <v>0</v>
      </c>
      <c r="K3177" s="2517">
        <v>0</v>
      </c>
      <c r="L3177" s="2517">
        <f t="shared" si="670"/>
        <v>0</v>
      </c>
      <c r="M3177" s="2517">
        <f t="shared" si="671"/>
        <v>0</v>
      </c>
      <c r="N3177" s="2517">
        <f t="shared" si="672"/>
        <v>0</v>
      </c>
      <c r="O3177" s="2517">
        <f t="shared" si="673"/>
        <v>0</v>
      </c>
      <c r="P3177" s="2518"/>
      <c r="Q3177" s="2519"/>
      <c r="R3177" s="2519"/>
      <c r="S3177" s="2519"/>
    </row>
    <row r="3178" spans="1:19" s="2358" customFormat="1" outlineLevel="1">
      <c r="A3178" s="2435" t="str">
        <f t="shared" si="669"/>
        <v/>
      </c>
      <c r="B3178" s="2505" t="s">
        <v>1678</v>
      </c>
      <c r="C3178" s="2521"/>
      <c r="D3178" s="2405" t="s">
        <v>5521</v>
      </c>
      <c r="E3178" s="2447" t="s">
        <v>3196</v>
      </c>
      <c r="F3178" s="2405" t="s">
        <v>2563</v>
      </c>
      <c r="G3178" s="2523">
        <f>G3174+G3177</f>
        <v>0</v>
      </c>
      <c r="H3178" s="2517">
        <v>11340</v>
      </c>
      <c r="I3178" s="2517"/>
      <c r="J3178" s="2517">
        <v>621381.64999999991</v>
      </c>
      <c r="K3178" s="2517">
        <v>0</v>
      </c>
      <c r="L3178" s="2517">
        <f t="shared" si="670"/>
        <v>0</v>
      </c>
      <c r="M3178" s="2517">
        <f t="shared" si="671"/>
        <v>0</v>
      </c>
      <c r="N3178" s="2517">
        <f t="shared" si="672"/>
        <v>0</v>
      </c>
      <c r="O3178" s="2517">
        <f t="shared" si="673"/>
        <v>0</v>
      </c>
      <c r="P3178" s="2518"/>
      <c r="Q3178" s="2519"/>
      <c r="R3178" s="2519"/>
      <c r="S3178" s="2519"/>
    </row>
    <row r="3179" spans="1:19" s="2358" customFormat="1" outlineLevel="1">
      <c r="A3179" s="2435" t="str">
        <f t="shared" si="669"/>
        <v/>
      </c>
      <c r="B3179" s="2505" t="s">
        <v>1182</v>
      </c>
      <c r="C3179" s="2521"/>
      <c r="D3179" s="2405" t="s">
        <v>5614</v>
      </c>
      <c r="E3179" s="2447" t="s">
        <v>3277</v>
      </c>
      <c r="F3179" s="2405" t="s">
        <v>2538</v>
      </c>
      <c r="G3179" s="2523">
        <f>G3172+G3175</f>
        <v>0</v>
      </c>
      <c r="H3179" s="2517">
        <v>546.91999999999996</v>
      </c>
      <c r="I3179" s="2517"/>
      <c r="J3179" s="2517">
        <v>21459.713</v>
      </c>
      <c r="K3179" s="2517">
        <v>0</v>
      </c>
      <c r="L3179" s="2517">
        <f t="shared" si="670"/>
        <v>0</v>
      </c>
      <c r="M3179" s="2517">
        <f t="shared" si="671"/>
        <v>0</v>
      </c>
      <c r="N3179" s="2517">
        <f t="shared" si="672"/>
        <v>0</v>
      </c>
      <c r="O3179" s="2517">
        <f t="shared" si="673"/>
        <v>0</v>
      </c>
      <c r="P3179" s="2518"/>
      <c r="Q3179" s="2519"/>
      <c r="R3179" s="2519"/>
      <c r="S3179" s="2519"/>
    </row>
    <row r="3180" spans="1:19" s="2358" customFormat="1" outlineLevel="1">
      <c r="A3180" s="2435" t="str">
        <f t="shared" si="669"/>
        <v/>
      </c>
      <c r="B3180" s="2505" t="s">
        <v>1528</v>
      </c>
      <c r="C3180" s="2521"/>
      <c r="D3180" s="2405" t="s">
        <v>5633</v>
      </c>
      <c r="E3180" s="2447" t="s">
        <v>3310</v>
      </c>
      <c r="F3180" s="2405" t="s">
        <v>1827</v>
      </c>
      <c r="G3180" s="2523">
        <f>G3173</f>
        <v>0</v>
      </c>
      <c r="H3180" s="2517">
        <v>0</v>
      </c>
      <c r="I3180" s="2517"/>
      <c r="J3180" s="2517">
        <v>13915</v>
      </c>
      <c r="K3180" s="2517">
        <v>0</v>
      </c>
      <c r="L3180" s="2517">
        <f>H3180*G3180</f>
        <v>0</v>
      </c>
      <c r="M3180" s="2517">
        <f>I3180*G3180</f>
        <v>0</v>
      </c>
      <c r="N3180" s="2517">
        <f>J3180*G3180</f>
        <v>0</v>
      </c>
      <c r="O3180" s="2517">
        <f>K3180*G3180</f>
        <v>0</v>
      </c>
      <c r="P3180" s="2518"/>
      <c r="Q3180" s="2519"/>
      <c r="R3180" s="2519"/>
      <c r="S3180" s="2519"/>
    </row>
    <row r="3181" spans="1:19" s="2358" customFormat="1" outlineLevel="1">
      <c r="A3181" s="2435" t="str">
        <f t="shared" si="669"/>
        <v/>
      </c>
      <c r="B3181" s="2505" t="s">
        <v>1352</v>
      </c>
      <c r="C3181" s="2521"/>
      <c r="D3181" s="2405">
        <v>0</v>
      </c>
      <c r="E3181" s="2447" t="s">
        <v>3536</v>
      </c>
      <c r="F3181" s="2405" t="s">
        <v>3537</v>
      </c>
      <c r="G3181" s="2523">
        <f>G3170*2</f>
        <v>0</v>
      </c>
      <c r="H3181" s="2517">
        <v>15000</v>
      </c>
      <c r="I3181" s="2517"/>
      <c r="J3181" s="2517">
        <v>0</v>
      </c>
      <c r="K3181" s="2517">
        <v>0</v>
      </c>
      <c r="L3181" s="2517">
        <f>H3181*G3181</f>
        <v>0</v>
      </c>
      <c r="M3181" s="2517">
        <f>I3181*G3181</f>
        <v>0</v>
      </c>
      <c r="N3181" s="2517">
        <f>J3181*G3181</f>
        <v>0</v>
      </c>
      <c r="O3181" s="2517">
        <f>K3181*G3181</f>
        <v>0</v>
      </c>
      <c r="P3181" s="2518"/>
      <c r="Q3181" s="2519"/>
      <c r="R3181" s="2519"/>
      <c r="S3181" s="2519"/>
    </row>
    <row r="3182" spans="1:19" s="2358" customFormat="1" outlineLevel="1">
      <c r="A3182" s="2435" t="str">
        <f t="shared" si="669"/>
        <v/>
      </c>
      <c r="B3182" s="2514"/>
      <c r="C3182" s="2511">
        <f>IF(G3182&gt;0,C3170+1,C3170)</f>
        <v>0</v>
      </c>
      <c r="D3182" s="2512"/>
      <c r="E3182" s="2513" t="s">
        <v>3745</v>
      </c>
      <c r="F3182" s="2511" t="s">
        <v>2391</v>
      </c>
      <c r="G3182" s="2516">
        <f>G3084</f>
        <v>0</v>
      </c>
      <c r="H3182" s="2517"/>
      <c r="I3182" s="2517"/>
      <c r="J3182" s="2517"/>
      <c r="K3182" s="2517"/>
      <c r="L3182" s="2517"/>
      <c r="M3182" s="2517"/>
      <c r="N3182" s="2517"/>
      <c r="O3182" s="2517"/>
      <c r="P3182" s="2518"/>
      <c r="Q3182" s="2519"/>
      <c r="R3182" s="2519"/>
      <c r="S3182" s="2519"/>
    </row>
    <row r="3183" spans="1:19" s="2358" customFormat="1" ht="14.4" outlineLevel="1">
      <c r="A3183" s="2435" t="str">
        <f>A3182</f>
        <v/>
      </c>
      <c r="B3183" s="2514"/>
      <c r="C3183" s="2511"/>
      <c r="D3183" s="2512"/>
      <c r="E3183" s="2527" t="s">
        <v>6207</v>
      </c>
      <c r="F3183" s="2511"/>
      <c r="G3183" s="2516"/>
      <c r="H3183" s="2517"/>
      <c r="I3183" s="2517"/>
      <c r="J3183" s="2517"/>
      <c r="K3183" s="2517"/>
      <c r="L3183" s="2517"/>
      <c r="M3183" s="2517"/>
      <c r="N3183" s="2517"/>
      <c r="O3183" s="2517"/>
      <c r="P3183" s="2518"/>
      <c r="Q3183" s="2519"/>
      <c r="R3183" s="2519"/>
      <c r="S3183" s="2519"/>
    </row>
    <row r="3184" spans="1:19" s="2358" customFormat="1" outlineLevel="1">
      <c r="A3184" s="2435" t="str">
        <f t="shared" ref="A3184:A3189" si="674">IF(G3184&lt;&gt;0,1,"")</f>
        <v/>
      </c>
      <c r="B3184" s="2505" t="s">
        <v>697</v>
      </c>
      <c r="C3184" s="2521"/>
      <c r="D3184" s="2405">
        <v>0</v>
      </c>
      <c r="E3184" s="2447" t="s">
        <v>5139</v>
      </c>
      <c r="F3184" s="2405" t="s">
        <v>2538</v>
      </c>
      <c r="G3184" s="2522">
        <f>G3182*9*3</f>
        <v>0</v>
      </c>
      <c r="H3184" s="2517">
        <v>50996</v>
      </c>
      <c r="I3184" s="2517"/>
      <c r="J3184" s="2517">
        <v>0</v>
      </c>
      <c r="K3184" s="2517">
        <v>0</v>
      </c>
      <c r="L3184" s="2517">
        <f t="shared" ref="L3184:L3189" si="675">H3184*G3184</f>
        <v>0</v>
      </c>
      <c r="M3184" s="2517">
        <f>I3184*G3184</f>
        <v>0</v>
      </c>
      <c r="N3184" s="2517">
        <f t="shared" ref="N3184:N3189" si="676">J3184*G3184</f>
        <v>0</v>
      </c>
      <c r="O3184" s="2517">
        <f t="shared" ref="O3184:O3189" si="677">K3184*G3184</f>
        <v>0</v>
      </c>
      <c r="P3184" s="2518"/>
      <c r="Q3184" s="2519"/>
      <c r="R3184" s="2519"/>
      <c r="S3184" s="2519"/>
    </row>
    <row r="3185" spans="1:19" s="2358" customFormat="1" outlineLevel="1">
      <c r="A3185" s="2435" t="str">
        <f t="shared" si="674"/>
        <v/>
      </c>
      <c r="B3185" s="2610" t="s">
        <v>1115</v>
      </c>
      <c r="C3185" s="2521"/>
      <c r="D3185" s="2405">
        <v>0</v>
      </c>
      <c r="E3185" s="2447" t="s">
        <v>2887</v>
      </c>
      <c r="F3185" s="2405" t="s">
        <v>2563</v>
      </c>
      <c r="G3185" s="2522">
        <f>G3182*3*2</f>
        <v>0</v>
      </c>
      <c r="H3185" s="2517">
        <v>6000</v>
      </c>
      <c r="I3185" s="2517"/>
      <c r="J3185" s="2517">
        <v>0</v>
      </c>
      <c r="K3185" s="2517">
        <v>0</v>
      </c>
      <c r="L3185" s="2517">
        <f t="shared" si="675"/>
        <v>0</v>
      </c>
      <c r="M3185" s="2517">
        <v>0</v>
      </c>
      <c r="N3185" s="2517">
        <f t="shared" si="676"/>
        <v>0</v>
      </c>
      <c r="O3185" s="2517">
        <f t="shared" si="677"/>
        <v>0</v>
      </c>
      <c r="P3185" s="2518"/>
      <c r="Q3185" s="2519"/>
      <c r="R3185" s="2519"/>
      <c r="S3185" s="2519"/>
    </row>
    <row r="3186" spans="1:19" s="2358" customFormat="1" outlineLevel="1">
      <c r="A3186" s="2435" t="str">
        <f t="shared" si="674"/>
        <v/>
      </c>
      <c r="B3186" s="2610" t="s">
        <v>1482</v>
      </c>
      <c r="C3186" s="2521"/>
      <c r="D3186" s="2405">
        <v>0</v>
      </c>
      <c r="E3186" s="2447" t="s">
        <v>3810</v>
      </c>
      <c r="F3186" s="2405" t="s">
        <v>2563</v>
      </c>
      <c r="G3186" s="2522">
        <f>G3182*3</f>
        <v>0</v>
      </c>
      <c r="H3186" s="2517">
        <v>46000</v>
      </c>
      <c r="I3186" s="2517"/>
      <c r="J3186" s="2517">
        <v>0</v>
      </c>
      <c r="K3186" s="2517">
        <v>0</v>
      </c>
      <c r="L3186" s="2517">
        <f t="shared" si="675"/>
        <v>0</v>
      </c>
      <c r="M3186" s="2517">
        <f>I3186*G3186</f>
        <v>0</v>
      </c>
      <c r="N3186" s="2517">
        <f t="shared" si="676"/>
        <v>0</v>
      </c>
      <c r="O3186" s="2517">
        <f t="shared" si="677"/>
        <v>0</v>
      </c>
      <c r="P3186" s="2518"/>
      <c r="Q3186" s="2519"/>
      <c r="R3186" s="2519"/>
      <c r="S3186" s="2519"/>
    </row>
    <row r="3187" spans="1:19" s="2358" customFormat="1" outlineLevel="1">
      <c r="A3187" s="2435" t="str">
        <f t="shared" si="674"/>
        <v/>
      </c>
      <c r="B3187" s="2610" t="s">
        <v>1480</v>
      </c>
      <c r="C3187" s="2521"/>
      <c r="D3187" s="2405">
        <v>0</v>
      </c>
      <c r="E3187" s="2447" t="s">
        <v>6420</v>
      </c>
      <c r="F3187" s="2405" t="s">
        <v>2563</v>
      </c>
      <c r="G3187" s="2522">
        <f>G3186</f>
        <v>0</v>
      </c>
      <c r="H3187" s="2517">
        <v>77000</v>
      </c>
      <c r="I3187" s="2517"/>
      <c r="J3187" s="2517">
        <v>0</v>
      </c>
      <c r="K3187" s="2517">
        <v>0</v>
      </c>
      <c r="L3187" s="2517">
        <f t="shared" si="675"/>
        <v>0</v>
      </c>
      <c r="M3187" s="2517">
        <f>I3187*G3187</f>
        <v>0</v>
      </c>
      <c r="N3187" s="2517">
        <f t="shared" si="676"/>
        <v>0</v>
      </c>
      <c r="O3187" s="2517">
        <f t="shared" si="677"/>
        <v>0</v>
      </c>
      <c r="P3187" s="2518"/>
      <c r="Q3187" s="2519"/>
      <c r="R3187" s="2519"/>
      <c r="S3187" s="2519"/>
    </row>
    <row r="3188" spans="1:19" s="2358" customFormat="1" outlineLevel="1">
      <c r="A3188" s="2435" t="str">
        <f t="shared" si="674"/>
        <v/>
      </c>
      <c r="B3188" s="2505" t="s">
        <v>696</v>
      </c>
      <c r="C3188" s="2642"/>
      <c r="D3188" s="2405">
        <v>0</v>
      </c>
      <c r="E3188" s="2447" t="s">
        <v>2952</v>
      </c>
      <c r="F3188" s="2405" t="s">
        <v>2563</v>
      </c>
      <c r="G3188" s="2522">
        <f>+G3182*3*3</f>
        <v>0</v>
      </c>
      <c r="H3188" s="2517">
        <v>205000</v>
      </c>
      <c r="I3188" s="2517"/>
      <c r="J3188" s="2517">
        <v>0</v>
      </c>
      <c r="K3188" s="2517">
        <v>0</v>
      </c>
      <c r="L3188" s="2517">
        <f t="shared" si="675"/>
        <v>0</v>
      </c>
      <c r="M3188" s="2517">
        <f>I3188*G3188</f>
        <v>0</v>
      </c>
      <c r="N3188" s="2517">
        <f t="shared" si="676"/>
        <v>0</v>
      </c>
      <c r="O3188" s="2517">
        <f t="shared" si="677"/>
        <v>0</v>
      </c>
      <c r="P3188" s="2518"/>
      <c r="Q3188" s="2519"/>
      <c r="R3188" s="2519"/>
      <c r="S3188" s="2519"/>
    </row>
    <row r="3189" spans="1:19" s="2358" customFormat="1" outlineLevel="1">
      <c r="A3189" s="2435" t="str">
        <f t="shared" si="674"/>
        <v/>
      </c>
      <c r="B3189" s="2505" t="s">
        <v>1268</v>
      </c>
      <c r="C3189" s="2521"/>
      <c r="D3189" s="2405">
        <v>0</v>
      </c>
      <c r="E3189" s="2447" t="s">
        <v>2831</v>
      </c>
      <c r="F3189" s="2405" t="s">
        <v>2563</v>
      </c>
      <c r="G3189" s="2522">
        <f>+G3188</f>
        <v>0</v>
      </c>
      <c r="H3189" s="2517">
        <v>65000</v>
      </c>
      <c r="I3189" s="2517"/>
      <c r="J3189" s="2517">
        <v>0</v>
      </c>
      <c r="K3189" s="2517">
        <v>0</v>
      </c>
      <c r="L3189" s="2517">
        <f t="shared" si="675"/>
        <v>0</v>
      </c>
      <c r="M3189" s="2517">
        <f>I3189*G3189</f>
        <v>0</v>
      </c>
      <c r="N3189" s="2517">
        <f t="shared" si="676"/>
        <v>0</v>
      </c>
      <c r="O3189" s="2517">
        <f t="shared" si="677"/>
        <v>0</v>
      </c>
      <c r="P3189" s="2518"/>
      <c r="Q3189" s="2519"/>
      <c r="R3189" s="2519"/>
      <c r="S3189" s="2519"/>
    </row>
    <row r="3190" spans="1:19" s="2358" customFormat="1" outlineLevel="1">
      <c r="A3190" s="2435" t="str">
        <f>IF(G3190&lt;&gt;0,1,"")</f>
        <v/>
      </c>
      <c r="B3190" s="2505" t="s">
        <v>347</v>
      </c>
      <c r="C3190" s="2521"/>
      <c r="D3190" s="2405" t="s">
        <v>5622</v>
      </c>
      <c r="E3190" s="2447" t="s">
        <v>3289</v>
      </c>
      <c r="F3190" s="2405" t="s">
        <v>2445</v>
      </c>
      <c r="G3190" s="2522">
        <f>G3188</f>
        <v>0</v>
      </c>
      <c r="H3190" s="2517">
        <v>510</v>
      </c>
      <c r="I3190" s="2517"/>
      <c r="J3190" s="2517">
        <v>58277.49</v>
      </c>
      <c r="K3190" s="2517">
        <v>0</v>
      </c>
      <c r="L3190" s="2517">
        <f>H3190*G3190</f>
        <v>0</v>
      </c>
      <c r="M3190" s="2517">
        <f>I3190*G3190</f>
        <v>0</v>
      </c>
      <c r="N3190" s="2517">
        <f>J3190*G3190</f>
        <v>0</v>
      </c>
      <c r="O3190" s="2517">
        <f>K3190*G3190</f>
        <v>0</v>
      </c>
      <c r="P3190" s="2518"/>
      <c r="Q3190" s="2519"/>
      <c r="R3190" s="2519"/>
      <c r="S3190" s="2519"/>
    </row>
    <row r="3191" spans="1:19" s="2358" customFormat="1" outlineLevel="1">
      <c r="A3191" s="2435" t="str">
        <f>IF(G3191&lt;&gt;0,1,"")</f>
        <v/>
      </c>
      <c r="B3191" s="2505"/>
      <c r="C3191" s="2511">
        <f>IF(G3191&gt;0,C3182+1,C3182)</f>
        <v>0</v>
      </c>
      <c r="D3191" s="2512"/>
      <c r="E3191" s="2513" t="s">
        <v>6367</v>
      </c>
      <c r="F3191" s="2511" t="s">
        <v>2391</v>
      </c>
      <c r="G3191" s="2522">
        <f>G3170+G3182</f>
        <v>0</v>
      </c>
      <c r="H3191" s="2517"/>
      <c r="I3191" s="2517"/>
      <c r="J3191" s="2517"/>
      <c r="K3191" s="2517"/>
      <c r="L3191" s="2517"/>
      <c r="M3191" s="2517"/>
      <c r="N3191" s="2517"/>
      <c r="O3191" s="2517"/>
      <c r="P3191" s="2518"/>
      <c r="Q3191" s="2519"/>
      <c r="R3191" s="2519"/>
      <c r="S3191" s="2519"/>
    </row>
    <row r="3192" spans="1:19" s="2358" customFormat="1" ht="14.4" outlineLevel="1">
      <c r="A3192" s="2435" t="str">
        <f>A3191</f>
        <v/>
      </c>
      <c r="B3192" s="2505"/>
      <c r="C3192" s="2511"/>
      <c r="D3192" s="2512"/>
      <c r="E3192" s="2527" t="s">
        <v>6207</v>
      </c>
      <c r="F3192" s="2511"/>
      <c r="G3192" s="2522"/>
      <c r="H3192" s="2517"/>
      <c r="I3192" s="2517"/>
      <c r="J3192" s="2517"/>
      <c r="K3192" s="2517"/>
      <c r="L3192" s="2517"/>
      <c r="M3192" s="2517"/>
      <c r="N3192" s="2517"/>
      <c r="O3192" s="2517"/>
      <c r="P3192" s="2518"/>
      <c r="Q3192" s="2519"/>
      <c r="R3192" s="2519"/>
      <c r="S3192" s="2519"/>
    </row>
    <row r="3193" spans="1:19" s="2358" customFormat="1" outlineLevel="1">
      <c r="A3193" s="2435" t="str">
        <f t="shared" ref="A3193:A3201" si="678">IF(G3193&lt;&gt;0,1,"")</f>
        <v/>
      </c>
      <c r="B3193" s="2514" t="s">
        <v>1241</v>
      </c>
      <c r="C3193" s="2521"/>
      <c r="D3193" s="2823"/>
      <c r="E3193" s="2447" t="s">
        <v>2756</v>
      </c>
      <c r="F3193" s="2405" t="s">
        <v>2538</v>
      </c>
      <c r="G3193" s="2522">
        <f>G3191*(8*3*4+2*8)</f>
        <v>0</v>
      </c>
      <c r="H3193" s="2517">
        <v>479000</v>
      </c>
      <c r="I3193" s="2517"/>
      <c r="J3193" s="2517">
        <v>0</v>
      </c>
      <c r="K3193" s="2517">
        <v>0</v>
      </c>
      <c r="L3193" s="2517">
        <f t="shared" ref="L3193:L3201" si="679">H3193*G3193</f>
        <v>0</v>
      </c>
      <c r="M3193" s="2517">
        <f t="shared" ref="M3193:M3201" si="680">I3193*G3193</f>
        <v>0</v>
      </c>
      <c r="N3193" s="2517">
        <f t="shared" ref="N3193:N3201" si="681">J3193*G3193</f>
        <v>0</v>
      </c>
      <c r="O3193" s="2517">
        <f t="shared" ref="O3193:O3201" si="682">K3193*G3193</f>
        <v>0</v>
      </c>
      <c r="P3193" s="2518"/>
      <c r="Q3193" s="2519"/>
      <c r="R3193" s="2519">
        <f>48*(30+6)</f>
        <v>1728</v>
      </c>
      <c r="S3193" s="2519"/>
    </row>
    <row r="3194" spans="1:19" s="2358" customFormat="1" outlineLevel="1">
      <c r="A3194" s="2435" t="str">
        <f t="shared" si="678"/>
        <v/>
      </c>
      <c r="B3194" s="2514" t="s">
        <v>448</v>
      </c>
      <c r="C3194" s="2521"/>
      <c r="D3194" s="2405" t="s">
        <v>5794</v>
      </c>
      <c r="E3194" s="2447" t="s">
        <v>6471</v>
      </c>
      <c r="F3194" s="2405" t="s">
        <v>2563</v>
      </c>
      <c r="G3194" s="2522">
        <f>+G3191*28</f>
        <v>0</v>
      </c>
      <c r="H3194" s="2517">
        <v>70000</v>
      </c>
      <c r="I3194" s="2517"/>
      <c r="J3194" s="2517">
        <v>59410.148000000001</v>
      </c>
      <c r="K3194" s="2517">
        <v>5554.0464950000005</v>
      </c>
      <c r="L3194" s="2517">
        <f t="shared" si="679"/>
        <v>0</v>
      </c>
      <c r="M3194" s="2517">
        <f t="shared" si="680"/>
        <v>0</v>
      </c>
      <c r="N3194" s="2517">
        <f t="shared" si="681"/>
        <v>0</v>
      </c>
      <c r="O3194" s="2517">
        <f t="shared" si="682"/>
        <v>0</v>
      </c>
      <c r="P3194" s="2518"/>
      <c r="Q3194" s="2519"/>
      <c r="R3194" s="2519"/>
      <c r="S3194" s="2519"/>
    </row>
    <row r="3195" spans="1:19" s="2358" customFormat="1" outlineLevel="1">
      <c r="A3195" s="2435" t="str">
        <f t="shared" si="678"/>
        <v/>
      </c>
      <c r="B3195" s="2514" t="s">
        <v>1072</v>
      </c>
      <c r="C3195" s="2521"/>
      <c r="D3195" s="2405">
        <v>0</v>
      </c>
      <c r="E3195" s="2447" t="s">
        <v>6472</v>
      </c>
      <c r="F3195" s="2405" t="s">
        <v>2563</v>
      </c>
      <c r="G3195" s="2522">
        <f>G3194</f>
        <v>0</v>
      </c>
      <c r="H3195" s="2517">
        <v>6000</v>
      </c>
      <c r="I3195" s="2517"/>
      <c r="J3195" s="2517">
        <v>0</v>
      </c>
      <c r="K3195" s="2517">
        <v>0</v>
      </c>
      <c r="L3195" s="2517">
        <f t="shared" si="679"/>
        <v>0</v>
      </c>
      <c r="M3195" s="2517">
        <f t="shared" si="680"/>
        <v>0</v>
      </c>
      <c r="N3195" s="2517">
        <f t="shared" si="681"/>
        <v>0</v>
      </c>
      <c r="O3195" s="2517">
        <f t="shared" si="682"/>
        <v>0</v>
      </c>
      <c r="P3195" s="2518"/>
      <c r="Q3195" s="2519"/>
      <c r="R3195" s="2519"/>
      <c r="S3195" s="2519"/>
    </row>
    <row r="3196" spans="1:19" s="2358" customFormat="1" outlineLevel="1">
      <c r="A3196" s="2435" t="str">
        <f t="shared" si="678"/>
        <v/>
      </c>
      <c r="B3196" s="2514" t="s">
        <v>1042</v>
      </c>
      <c r="C3196" s="2521"/>
      <c r="D3196" s="2405">
        <v>0</v>
      </c>
      <c r="E3196" s="2447" t="s">
        <v>3549</v>
      </c>
      <c r="F3196" s="2405" t="s">
        <v>1827</v>
      </c>
      <c r="G3196" s="2522">
        <f>6*G3191*$L$2*0</f>
        <v>0</v>
      </c>
      <c r="H3196" s="2517">
        <v>103700</v>
      </c>
      <c r="I3196" s="2517"/>
      <c r="J3196" s="2517">
        <v>0</v>
      </c>
      <c r="K3196" s="2517">
        <v>0</v>
      </c>
      <c r="L3196" s="2517">
        <f t="shared" si="679"/>
        <v>0</v>
      </c>
      <c r="M3196" s="2517">
        <f t="shared" si="680"/>
        <v>0</v>
      </c>
      <c r="N3196" s="2517">
        <f t="shared" si="681"/>
        <v>0</v>
      </c>
      <c r="O3196" s="2517">
        <f t="shared" si="682"/>
        <v>0</v>
      </c>
      <c r="P3196" s="2518"/>
      <c r="Q3196" s="2519"/>
      <c r="R3196" s="2519"/>
      <c r="S3196" s="2519"/>
    </row>
    <row r="3197" spans="1:19" s="2358" customFormat="1" outlineLevel="1">
      <c r="A3197" s="2435" t="str">
        <f t="shared" si="678"/>
        <v/>
      </c>
      <c r="B3197" s="2505" t="s">
        <v>731</v>
      </c>
      <c r="C3197" s="2521"/>
      <c r="D3197" s="2405">
        <v>0</v>
      </c>
      <c r="E3197" s="2447" t="s">
        <v>5319</v>
      </c>
      <c r="F3197" s="2405" t="s">
        <v>2445</v>
      </c>
      <c r="G3197" s="2522">
        <f>G3191*2*$L$2*0</f>
        <v>0</v>
      </c>
      <c r="H3197" s="2517">
        <v>50000</v>
      </c>
      <c r="I3197" s="2517"/>
      <c r="J3197" s="2517">
        <v>0</v>
      </c>
      <c r="K3197" s="2517">
        <v>0</v>
      </c>
      <c r="L3197" s="2517">
        <f t="shared" si="679"/>
        <v>0</v>
      </c>
      <c r="M3197" s="2517">
        <f t="shared" si="680"/>
        <v>0</v>
      </c>
      <c r="N3197" s="2517">
        <f t="shared" si="681"/>
        <v>0</v>
      </c>
      <c r="O3197" s="2517">
        <f t="shared" si="682"/>
        <v>0</v>
      </c>
      <c r="P3197" s="2518"/>
      <c r="Q3197" s="2675"/>
      <c r="R3197" s="2519"/>
      <c r="S3197" s="2519"/>
    </row>
    <row r="3198" spans="1:19" s="2358" customFormat="1" outlineLevel="1">
      <c r="A3198" s="2435" t="str">
        <f t="shared" si="678"/>
        <v/>
      </c>
      <c r="B3198" s="2514" t="s">
        <v>1043</v>
      </c>
      <c r="C3198" s="2521"/>
      <c r="D3198" s="2405">
        <v>0</v>
      </c>
      <c r="E3198" s="2447" t="s">
        <v>5860</v>
      </c>
      <c r="F3198" s="2405" t="s">
        <v>2563</v>
      </c>
      <c r="G3198" s="2522">
        <f>G3191*2*$L$2*0</f>
        <v>0</v>
      </c>
      <c r="H3198" s="2517">
        <v>104800</v>
      </c>
      <c r="I3198" s="2517"/>
      <c r="J3198" s="2517">
        <v>0</v>
      </c>
      <c r="K3198" s="2517">
        <v>0</v>
      </c>
      <c r="L3198" s="2517">
        <f t="shared" si="679"/>
        <v>0</v>
      </c>
      <c r="M3198" s="2517">
        <f t="shared" si="680"/>
        <v>0</v>
      </c>
      <c r="N3198" s="2517">
        <f t="shared" si="681"/>
        <v>0</v>
      </c>
      <c r="O3198" s="2517">
        <f t="shared" si="682"/>
        <v>0</v>
      </c>
      <c r="P3198" s="2518"/>
      <c r="Q3198" s="2519"/>
      <c r="R3198" s="2519"/>
      <c r="S3198" s="2519"/>
    </row>
    <row r="3199" spans="1:19" s="2358" customFormat="1" outlineLevel="1">
      <c r="A3199" s="2435" t="str">
        <f t="shared" si="678"/>
        <v/>
      </c>
      <c r="B3199" s="2514" t="s">
        <v>2173</v>
      </c>
      <c r="C3199" s="2521"/>
      <c r="D3199" s="2405">
        <v>0</v>
      </c>
      <c r="E3199" s="2447" t="s">
        <v>3593</v>
      </c>
      <c r="F3199" s="2405" t="s">
        <v>2563</v>
      </c>
      <c r="G3199" s="2522">
        <f>G3191*$L$2*0</f>
        <v>0</v>
      </c>
      <c r="H3199" s="2517">
        <v>41900</v>
      </c>
      <c r="I3199" s="2517"/>
      <c r="J3199" s="2517">
        <v>0</v>
      </c>
      <c r="K3199" s="2517">
        <v>0</v>
      </c>
      <c r="L3199" s="2517">
        <f t="shared" si="679"/>
        <v>0</v>
      </c>
      <c r="M3199" s="2517">
        <f t="shared" si="680"/>
        <v>0</v>
      </c>
      <c r="N3199" s="2517">
        <f t="shared" si="681"/>
        <v>0</v>
      </c>
      <c r="O3199" s="2517">
        <f t="shared" si="682"/>
        <v>0</v>
      </c>
      <c r="P3199" s="2518"/>
      <c r="Q3199" s="2519"/>
      <c r="R3199" s="2519"/>
      <c r="S3199" s="2519"/>
    </row>
    <row r="3200" spans="1:19" s="2358" customFormat="1" outlineLevel="1">
      <c r="A3200" s="2435" t="str">
        <f t="shared" si="678"/>
        <v/>
      </c>
      <c r="B3200" s="2514" t="s">
        <v>2174</v>
      </c>
      <c r="C3200" s="2521"/>
      <c r="D3200" s="2405">
        <v>0</v>
      </c>
      <c r="E3200" s="2447" t="s">
        <v>6473</v>
      </c>
      <c r="F3200" s="2405" t="s">
        <v>2563</v>
      </c>
      <c r="G3200" s="2522">
        <f>G3199</f>
        <v>0</v>
      </c>
      <c r="H3200" s="2517">
        <v>41900</v>
      </c>
      <c r="I3200" s="2517"/>
      <c r="J3200" s="2517">
        <v>0</v>
      </c>
      <c r="K3200" s="2517">
        <v>0</v>
      </c>
      <c r="L3200" s="2517">
        <f t="shared" si="679"/>
        <v>0</v>
      </c>
      <c r="M3200" s="2517">
        <f t="shared" si="680"/>
        <v>0</v>
      </c>
      <c r="N3200" s="2517">
        <f t="shared" si="681"/>
        <v>0</v>
      </c>
      <c r="O3200" s="2517">
        <f t="shared" si="682"/>
        <v>0</v>
      </c>
      <c r="P3200" s="2518"/>
      <c r="Q3200" s="2519"/>
      <c r="R3200" s="2519"/>
      <c r="S3200" s="2519"/>
    </row>
    <row r="3201" spans="1:19" s="2358" customFormat="1" outlineLevel="1">
      <c r="A3201" s="2435" t="str">
        <f t="shared" si="678"/>
        <v/>
      </c>
      <c r="B3201" s="2514" t="s">
        <v>726</v>
      </c>
      <c r="C3201" s="2521"/>
      <c r="D3201" s="2405">
        <v>0</v>
      </c>
      <c r="E3201" s="2447" t="s">
        <v>6474</v>
      </c>
      <c r="F3201" s="2405" t="s">
        <v>388</v>
      </c>
      <c r="G3201" s="2522">
        <f>G3191*2*$L$2*0</f>
        <v>0</v>
      </c>
      <c r="H3201" s="2517">
        <v>54100</v>
      </c>
      <c r="I3201" s="2517"/>
      <c r="J3201" s="2517">
        <v>0</v>
      </c>
      <c r="K3201" s="2517">
        <v>0</v>
      </c>
      <c r="L3201" s="2517">
        <f t="shared" si="679"/>
        <v>0</v>
      </c>
      <c r="M3201" s="2517">
        <f t="shared" si="680"/>
        <v>0</v>
      </c>
      <c r="N3201" s="2517">
        <f t="shared" si="681"/>
        <v>0</v>
      </c>
      <c r="O3201" s="2517">
        <f t="shared" si="682"/>
        <v>0</v>
      </c>
      <c r="P3201" s="2518"/>
      <c r="Q3201" s="2519"/>
      <c r="R3201" s="2519"/>
      <c r="S3201" s="2519"/>
    </row>
    <row r="3202" spans="1:19" s="2358" customFormat="1" outlineLevel="1">
      <c r="A3202" s="2435" t="str">
        <f>IF(G3202&lt;&gt;0,1,"")</f>
        <v/>
      </c>
      <c r="B3202" s="2505" t="s">
        <v>6</v>
      </c>
      <c r="C3202" s="2521"/>
      <c r="D3202" s="2405"/>
      <c r="E3202" s="2447" t="s">
        <v>6475</v>
      </c>
      <c r="F3202" s="2405" t="s">
        <v>5868</v>
      </c>
      <c r="G3202" s="2522"/>
      <c r="H3202" s="2517">
        <v>45000</v>
      </c>
      <c r="I3202" s="2517"/>
      <c r="J3202" s="2517"/>
      <c r="K3202" s="2517"/>
      <c r="L3202" s="2517">
        <f>H3202*G3202</f>
        <v>0</v>
      </c>
      <c r="M3202" s="2517">
        <f>I3202*G3202</f>
        <v>0</v>
      </c>
      <c r="N3202" s="2517">
        <f>J3202*G3202</f>
        <v>0</v>
      </c>
      <c r="O3202" s="2517">
        <f>K3202*G3202</f>
        <v>0</v>
      </c>
      <c r="P3202" s="2518"/>
      <c r="Q3202" s="2519"/>
      <c r="R3202" s="2519"/>
      <c r="S3202" s="2519"/>
    </row>
    <row r="3203" spans="1:19" s="2358" customFormat="1" outlineLevel="1">
      <c r="A3203" s="2435" t="str">
        <f>IF(G3203&lt;&gt;0,1,"")</f>
        <v/>
      </c>
      <c r="B3203" s="2514" t="s">
        <v>1351</v>
      </c>
      <c r="C3203" s="2521"/>
      <c r="D3203" s="2405">
        <v>0</v>
      </c>
      <c r="E3203" s="2447" t="s">
        <v>3536</v>
      </c>
      <c r="F3203" s="2405" t="s">
        <v>3537</v>
      </c>
      <c r="G3203" s="2522">
        <f>G3191</f>
        <v>0</v>
      </c>
      <c r="H3203" s="2517">
        <v>15000</v>
      </c>
      <c r="I3203" s="2517"/>
      <c r="J3203" s="2517">
        <v>0</v>
      </c>
      <c r="K3203" s="2517">
        <v>0</v>
      </c>
      <c r="L3203" s="2517">
        <f>H3203*G3203</f>
        <v>0</v>
      </c>
      <c r="M3203" s="2517">
        <f>I3203*G3203</f>
        <v>0</v>
      </c>
      <c r="N3203" s="2517">
        <f>J3203*G3203</f>
        <v>0</v>
      </c>
      <c r="O3203" s="2517">
        <f>K3203*G3203</f>
        <v>0</v>
      </c>
      <c r="P3203" s="2518"/>
      <c r="Q3203" s="2519"/>
      <c r="R3203" s="2519"/>
      <c r="S3203" s="2519"/>
    </row>
    <row r="3204" spans="1:19" s="2358" customFormat="1" outlineLevel="1">
      <c r="A3204" s="2435" t="str">
        <f>IF(G3204&lt;&gt;0,1,"")</f>
        <v/>
      </c>
      <c r="B3204" s="2505" t="s">
        <v>672</v>
      </c>
      <c r="C3204" s="2521"/>
      <c r="D3204" s="2405">
        <v>0</v>
      </c>
      <c r="E3204" s="2447" t="s">
        <v>5863</v>
      </c>
      <c r="F3204" s="2405" t="s">
        <v>3584</v>
      </c>
      <c r="G3204" s="2522">
        <f>G3191*5</f>
        <v>0</v>
      </c>
      <c r="H3204" s="2517">
        <v>6500</v>
      </c>
      <c r="I3204" s="2517"/>
      <c r="J3204" s="2517">
        <v>0</v>
      </c>
      <c r="K3204" s="2517">
        <v>0</v>
      </c>
      <c r="L3204" s="2517">
        <f>H3204*G3204</f>
        <v>0</v>
      </c>
      <c r="M3204" s="2517">
        <f>I3204*G3204</f>
        <v>0</v>
      </c>
      <c r="N3204" s="2517">
        <f>J3204*G3204</f>
        <v>0</v>
      </c>
      <c r="O3204" s="2517">
        <f>K3204*G3204</f>
        <v>0</v>
      </c>
      <c r="P3204" s="2518"/>
      <c r="Q3204" s="2519"/>
      <c r="R3204" s="2519"/>
      <c r="S3204" s="2519"/>
    </row>
    <row r="3205" spans="1:19" s="2358" customFormat="1" outlineLevel="1">
      <c r="A3205" s="2435" t="str">
        <f>IF(G3205&lt;&gt;0,1,"")</f>
        <v/>
      </c>
      <c r="B3205" s="2505" t="s">
        <v>247</v>
      </c>
      <c r="C3205" s="2824"/>
      <c r="D3205" s="2405" t="s">
        <v>5635</v>
      </c>
      <c r="E3205" s="2447" t="s">
        <v>6476</v>
      </c>
      <c r="F3205" s="2405" t="s">
        <v>1827</v>
      </c>
      <c r="G3205" s="2522">
        <f>G3193</f>
        <v>0</v>
      </c>
      <c r="H3205" s="2517">
        <v>0</v>
      </c>
      <c r="I3205" s="2517"/>
      <c r="J3205" s="2517">
        <v>47311</v>
      </c>
      <c r="K3205" s="2517">
        <v>0</v>
      </c>
      <c r="L3205" s="2517">
        <f>H3205*G3205</f>
        <v>0</v>
      </c>
      <c r="M3205" s="2517">
        <f>I3205*G3205</f>
        <v>0</v>
      </c>
      <c r="N3205" s="2517">
        <f>J3205*G3205</f>
        <v>0</v>
      </c>
      <c r="O3205" s="2517">
        <f>K3205*G3205</f>
        <v>0</v>
      </c>
      <c r="P3205" s="2518"/>
      <c r="Q3205" s="2519"/>
      <c r="R3205" s="2519"/>
      <c r="S3205" s="2519"/>
    </row>
    <row r="3206" spans="1:19" s="2358" customFormat="1" outlineLevel="1">
      <c r="A3206" s="2435" t="str">
        <f>IF(G3206&lt;&gt;0,1,"")</f>
        <v/>
      </c>
      <c r="B3206" s="2505"/>
      <c r="C3206" s="2511">
        <f>IF(G3206&gt;0,C3191+1,C3191)</f>
        <v>0</v>
      </c>
      <c r="D3206" s="2512"/>
      <c r="E3206" s="2513" t="s">
        <v>6327</v>
      </c>
      <c r="F3206" s="2511" t="s">
        <v>2391</v>
      </c>
      <c r="G3206" s="2522">
        <f>G3094</f>
        <v>0</v>
      </c>
      <c r="H3206" s="2517"/>
      <c r="I3206" s="2517"/>
      <c r="J3206" s="2517"/>
      <c r="K3206" s="2517"/>
      <c r="L3206" s="2517"/>
      <c r="M3206" s="2517"/>
      <c r="N3206" s="2517"/>
      <c r="O3206" s="2517"/>
      <c r="P3206" s="2518"/>
      <c r="Q3206" s="2519"/>
      <c r="R3206" s="2519"/>
      <c r="S3206" s="2519"/>
    </row>
    <row r="3207" spans="1:19" s="2541" customFormat="1" ht="14.4" outlineLevel="1">
      <c r="A3207" s="2435" t="str">
        <f>A3206</f>
        <v/>
      </c>
      <c r="B3207" s="2753"/>
      <c r="C3207" s="2511"/>
      <c r="D3207" s="2512"/>
      <c r="E3207" s="2527" t="s">
        <v>6207</v>
      </c>
      <c r="F3207" s="2511" t="s">
        <v>2391</v>
      </c>
      <c r="G3207" s="2516"/>
      <c r="H3207" s="2517"/>
      <c r="I3207" s="2517"/>
      <c r="J3207" s="2517"/>
      <c r="K3207" s="2517"/>
      <c r="L3207" s="2517">
        <f>SUBTOTAL(9,L3208:L3228)*0</f>
        <v>0</v>
      </c>
      <c r="M3207" s="2517">
        <f>SUBTOTAL(9,M3208:M3228)</f>
        <v>0</v>
      </c>
      <c r="N3207" s="2517">
        <f>SUBTOTAL(9,N3208:N3228)*0</f>
        <v>0</v>
      </c>
      <c r="O3207" s="2517">
        <f>SUBTOTAL(9,O3208:O3228)*0</f>
        <v>0</v>
      </c>
      <c r="P3207" s="2518"/>
      <c r="Q3207" s="2686"/>
      <c r="R3207" s="2686"/>
      <c r="S3207" s="2686"/>
    </row>
    <row r="3208" spans="1:19" s="2358" customFormat="1" outlineLevel="1">
      <c r="A3208" s="2435">
        <f t="shared" ref="A3208:A3228" si="683">IF(G3208=0,0,1)</f>
        <v>0</v>
      </c>
      <c r="B3208" s="2514" t="s">
        <v>1826</v>
      </c>
      <c r="C3208" s="2642"/>
      <c r="D3208" s="2405" t="s">
        <v>1530</v>
      </c>
      <c r="E3208" s="2612" t="s">
        <v>2792</v>
      </c>
      <c r="F3208" s="2754" t="s">
        <v>2538</v>
      </c>
      <c r="G3208" s="2522">
        <f>G3206*26</f>
        <v>0</v>
      </c>
      <c r="H3208" s="2517">
        <v>28200</v>
      </c>
      <c r="I3208" s="2517"/>
      <c r="J3208" s="2517">
        <v>0</v>
      </c>
      <c r="K3208" s="2517">
        <v>0</v>
      </c>
      <c r="L3208" s="2517">
        <f t="shared" ref="L3208:O3228" si="684">H3208*$G3208</f>
        <v>0</v>
      </c>
      <c r="M3208" s="2517">
        <f t="shared" si="684"/>
        <v>0</v>
      </c>
      <c r="N3208" s="2517">
        <f t="shared" si="684"/>
        <v>0</v>
      </c>
      <c r="O3208" s="2517">
        <f t="shared" si="684"/>
        <v>0</v>
      </c>
      <c r="P3208" s="2518"/>
      <c r="Q3208" s="2519"/>
      <c r="R3208" s="2519"/>
      <c r="S3208" s="2519"/>
    </row>
    <row r="3209" spans="1:19" s="2358" customFormat="1" outlineLevel="1">
      <c r="A3209" s="2435">
        <f>IF(G3209=0,0,1)</f>
        <v>0</v>
      </c>
      <c r="B3209" s="2505" t="s">
        <v>6328</v>
      </c>
      <c r="C3209" s="2521"/>
      <c r="D3209" s="2405">
        <v>0</v>
      </c>
      <c r="E3209" s="2612" t="s">
        <v>5105</v>
      </c>
      <c r="F3209" s="2754" t="s">
        <v>2445</v>
      </c>
      <c r="G3209" s="2522">
        <f>G3206*24</f>
        <v>0</v>
      </c>
      <c r="H3209" s="2517">
        <v>7900</v>
      </c>
      <c r="I3209" s="2517"/>
      <c r="J3209" s="2517">
        <v>0</v>
      </c>
      <c r="K3209" s="2517">
        <v>0</v>
      </c>
      <c r="L3209" s="2517">
        <f t="shared" si="684"/>
        <v>0</v>
      </c>
      <c r="M3209" s="2517">
        <f t="shared" si="684"/>
        <v>0</v>
      </c>
      <c r="N3209" s="2517">
        <f t="shared" si="684"/>
        <v>0</v>
      </c>
      <c r="O3209" s="2517">
        <f t="shared" si="684"/>
        <v>0</v>
      </c>
      <c r="P3209" s="2518"/>
      <c r="Q3209" s="2519"/>
      <c r="R3209" s="2519"/>
      <c r="S3209" s="2519"/>
    </row>
    <row r="3210" spans="1:19" s="2358" customFormat="1" outlineLevel="1">
      <c r="A3210" s="2435">
        <f>IF(G3210=0,0,1)</f>
        <v>0</v>
      </c>
      <c r="B3210" s="2505" t="s">
        <v>6329</v>
      </c>
      <c r="C3210" s="2521"/>
      <c r="D3210" s="2405">
        <v>0</v>
      </c>
      <c r="E3210" s="2612" t="s">
        <v>2632</v>
      </c>
      <c r="F3210" s="2754" t="s">
        <v>2445</v>
      </c>
      <c r="G3210" s="2522">
        <f>G3209</f>
        <v>0</v>
      </c>
      <c r="H3210" s="2517">
        <v>1500</v>
      </c>
      <c r="I3210" s="2517"/>
      <c r="J3210" s="2517">
        <v>0</v>
      </c>
      <c r="K3210" s="2517">
        <v>0</v>
      </c>
      <c r="L3210" s="2517">
        <f t="shared" si="684"/>
        <v>0</v>
      </c>
      <c r="M3210" s="2517">
        <f t="shared" si="684"/>
        <v>0</v>
      </c>
      <c r="N3210" s="2517">
        <f t="shared" si="684"/>
        <v>0</v>
      </c>
      <c r="O3210" s="2517">
        <f t="shared" si="684"/>
        <v>0</v>
      </c>
      <c r="P3210" s="2518"/>
      <c r="Q3210" s="2519"/>
      <c r="R3210" s="2519"/>
      <c r="S3210" s="2519"/>
    </row>
    <row r="3211" spans="1:19" s="2358" customFormat="1" outlineLevel="1">
      <c r="A3211" s="2435">
        <f t="shared" si="683"/>
        <v>0</v>
      </c>
      <c r="B3211" s="2514" t="s">
        <v>246</v>
      </c>
      <c r="C3211" s="2642"/>
      <c r="D3211" s="2405">
        <v>0</v>
      </c>
      <c r="E3211" s="2612" t="s">
        <v>5931</v>
      </c>
      <c r="F3211" s="2754" t="s">
        <v>2563</v>
      </c>
      <c r="G3211" s="2522">
        <f>G3206*24</f>
        <v>0</v>
      </c>
      <c r="H3211" s="2517">
        <v>40500</v>
      </c>
      <c r="I3211" s="2517"/>
      <c r="J3211" s="2517">
        <v>39758</v>
      </c>
      <c r="K3211" s="2517">
        <v>0</v>
      </c>
      <c r="L3211" s="2517">
        <f t="shared" si="684"/>
        <v>0</v>
      </c>
      <c r="M3211" s="2517">
        <f t="shared" si="684"/>
        <v>0</v>
      </c>
      <c r="N3211" s="2517">
        <f t="shared" si="684"/>
        <v>0</v>
      </c>
      <c r="O3211" s="2517">
        <f t="shared" si="684"/>
        <v>0</v>
      </c>
      <c r="P3211" s="2518"/>
      <c r="Q3211" s="2519"/>
      <c r="R3211" s="2519"/>
      <c r="S3211" s="2519"/>
    </row>
    <row r="3212" spans="1:19" s="2358" customFormat="1" outlineLevel="1">
      <c r="A3212" s="2435">
        <f t="shared" si="683"/>
        <v>0</v>
      </c>
      <c r="B3212" s="2514" t="s">
        <v>1869</v>
      </c>
      <c r="C3212" s="2521"/>
      <c r="D3212" s="2405">
        <v>0</v>
      </c>
      <c r="E3212" s="2612" t="s">
        <v>3489</v>
      </c>
      <c r="F3212" s="2754" t="s">
        <v>2563</v>
      </c>
      <c r="G3212" s="2522">
        <f>G3206*16</f>
        <v>0</v>
      </c>
      <c r="H3212" s="2517">
        <v>1700</v>
      </c>
      <c r="I3212" s="2517"/>
      <c r="J3212" s="2517">
        <v>0</v>
      </c>
      <c r="K3212" s="2517">
        <v>0</v>
      </c>
      <c r="L3212" s="2517">
        <f t="shared" si="684"/>
        <v>0</v>
      </c>
      <c r="M3212" s="2517">
        <f t="shared" si="684"/>
        <v>0</v>
      </c>
      <c r="N3212" s="2517">
        <f t="shared" si="684"/>
        <v>0</v>
      </c>
      <c r="O3212" s="2517">
        <f t="shared" si="684"/>
        <v>0</v>
      </c>
      <c r="P3212" s="2518"/>
      <c r="Q3212" s="2519"/>
      <c r="R3212" s="2519"/>
      <c r="S3212" s="2519"/>
    </row>
    <row r="3213" spans="1:19" s="2358" customFormat="1" outlineLevel="1">
      <c r="A3213" s="2435">
        <f t="shared" si="683"/>
        <v>0</v>
      </c>
      <c r="B3213" s="2514" t="s">
        <v>1513</v>
      </c>
      <c r="C3213" s="2521"/>
      <c r="D3213" s="2405">
        <v>0</v>
      </c>
      <c r="E3213" s="2612" t="s">
        <v>3533</v>
      </c>
      <c r="F3213" s="2754" t="s">
        <v>2538</v>
      </c>
      <c r="G3213" s="2522">
        <f>6*G3206</f>
        <v>0</v>
      </c>
      <c r="H3213" s="2517">
        <v>860</v>
      </c>
      <c r="I3213" s="2517"/>
      <c r="J3213" s="2517">
        <v>0</v>
      </c>
      <c r="K3213" s="2517">
        <v>0</v>
      </c>
      <c r="L3213" s="2517">
        <f t="shared" si="684"/>
        <v>0</v>
      </c>
      <c r="M3213" s="2517">
        <f t="shared" si="684"/>
        <v>0</v>
      </c>
      <c r="N3213" s="2517">
        <f t="shared" si="684"/>
        <v>0</v>
      </c>
      <c r="O3213" s="2517">
        <f t="shared" si="684"/>
        <v>0</v>
      </c>
      <c r="P3213" s="2518"/>
      <c r="Q3213" s="2519"/>
      <c r="R3213" s="2519"/>
      <c r="S3213" s="2519"/>
    </row>
    <row r="3214" spans="1:19" s="2358" customFormat="1" outlineLevel="1">
      <c r="A3214" s="2435">
        <f t="shared" si="683"/>
        <v>0</v>
      </c>
      <c r="B3214" s="2514" t="s">
        <v>816</v>
      </c>
      <c r="C3214" s="2521"/>
      <c r="D3214" s="2405">
        <v>0</v>
      </c>
      <c r="E3214" s="2612" t="s">
        <v>3599</v>
      </c>
      <c r="F3214" s="2754" t="s">
        <v>2563</v>
      </c>
      <c r="G3214" s="2522">
        <f>+G3206*3</f>
        <v>0</v>
      </c>
      <c r="H3214" s="2517">
        <v>17600</v>
      </c>
      <c r="I3214" s="2517"/>
      <c r="J3214" s="2517">
        <v>0</v>
      </c>
      <c r="K3214" s="2517">
        <v>0</v>
      </c>
      <c r="L3214" s="2517">
        <f t="shared" si="684"/>
        <v>0</v>
      </c>
      <c r="M3214" s="2517">
        <f t="shared" si="684"/>
        <v>0</v>
      </c>
      <c r="N3214" s="2517">
        <f t="shared" si="684"/>
        <v>0</v>
      </c>
      <c r="O3214" s="2517">
        <f t="shared" si="684"/>
        <v>0</v>
      </c>
      <c r="P3214" s="2518"/>
      <c r="Q3214" s="2519"/>
      <c r="R3214" s="2519"/>
      <c r="S3214" s="2519"/>
    </row>
    <row r="3215" spans="1:19" s="2358" customFormat="1" outlineLevel="1">
      <c r="A3215" s="2435">
        <f t="shared" si="683"/>
        <v>0</v>
      </c>
      <c r="B3215" s="2514" t="s">
        <v>2147</v>
      </c>
      <c r="C3215" s="2521"/>
      <c r="D3215" s="2405">
        <v>0</v>
      </c>
      <c r="E3215" s="2612" t="s">
        <v>3553</v>
      </c>
      <c r="F3215" s="2754" t="s">
        <v>1827</v>
      </c>
      <c r="G3215" s="2522">
        <f>G3224*10</f>
        <v>0</v>
      </c>
      <c r="H3215" s="2517">
        <v>16100</v>
      </c>
      <c r="I3215" s="2517"/>
      <c r="J3215" s="2517">
        <v>0</v>
      </c>
      <c r="K3215" s="2517">
        <v>0</v>
      </c>
      <c r="L3215" s="2517">
        <f t="shared" si="684"/>
        <v>0</v>
      </c>
      <c r="M3215" s="2517">
        <f t="shared" si="684"/>
        <v>0</v>
      </c>
      <c r="N3215" s="2517">
        <f t="shared" si="684"/>
        <v>0</v>
      </c>
      <c r="O3215" s="2517">
        <f t="shared" si="684"/>
        <v>0</v>
      </c>
      <c r="P3215" s="2518"/>
      <c r="Q3215" s="2519"/>
      <c r="R3215" s="2519"/>
      <c r="S3215" s="2519"/>
    </row>
    <row r="3216" spans="1:19" s="2358" customFormat="1" outlineLevel="1">
      <c r="A3216" s="2435">
        <f t="shared" si="683"/>
        <v>0</v>
      </c>
      <c r="B3216" s="2505" t="s">
        <v>204</v>
      </c>
      <c r="C3216" s="2521"/>
      <c r="D3216" s="2405">
        <v>0</v>
      </c>
      <c r="E3216" s="2612" t="s">
        <v>2996</v>
      </c>
      <c r="F3216" s="2754" t="s">
        <v>2445</v>
      </c>
      <c r="G3216" s="2522">
        <f>G3206*4</f>
        <v>0</v>
      </c>
      <c r="H3216" s="2517">
        <v>34000</v>
      </c>
      <c r="I3216" s="2517"/>
      <c r="J3216" s="2517">
        <v>0</v>
      </c>
      <c r="K3216" s="2517">
        <v>0</v>
      </c>
      <c r="L3216" s="2517">
        <f t="shared" si="684"/>
        <v>0</v>
      </c>
      <c r="M3216" s="2517">
        <f t="shared" si="684"/>
        <v>0</v>
      </c>
      <c r="N3216" s="2517">
        <f t="shared" si="684"/>
        <v>0</v>
      </c>
      <c r="O3216" s="2517">
        <f t="shared" si="684"/>
        <v>0</v>
      </c>
      <c r="P3216" s="2518"/>
      <c r="Q3216" s="2519"/>
      <c r="R3216" s="2519"/>
      <c r="S3216" s="2519"/>
    </row>
    <row r="3217" spans="1:19" s="2358" customFormat="1" outlineLevel="1">
      <c r="A3217" s="2435">
        <f t="shared" si="683"/>
        <v>0</v>
      </c>
      <c r="B3217" s="2514" t="s">
        <v>1619</v>
      </c>
      <c r="C3217" s="2521"/>
      <c r="D3217" s="2405">
        <v>0</v>
      </c>
      <c r="E3217" s="2612" t="s">
        <v>3560</v>
      </c>
      <c r="F3217" s="2754" t="s">
        <v>2563</v>
      </c>
      <c r="G3217" s="2522">
        <f>G3206*6</f>
        <v>0</v>
      </c>
      <c r="H3217" s="2517">
        <v>11400</v>
      </c>
      <c r="I3217" s="2517"/>
      <c r="J3217" s="2517">
        <v>0</v>
      </c>
      <c r="K3217" s="2517">
        <v>0</v>
      </c>
      <c r="L3217" s="2517">
        <f t="shared" si="684"/>
        <v>0</v>
      </c>
      <c r="M3217" s="2517">
        <f t="shared" si="684"/>
        <v>0</v>
      </c>
      <c r="N3217" s="2517">
        <f t="shared" si="684"/>
        <v>0</v>
      </c>
      <c r="O3217" s="2517">
        <f t="shared" si="684"/>
        <v>0</v>
      </c>
      <c r="P3217" s="2518"/>
      <c r="Q3217" s="2519"/>
      <c r="R3217" s="2519"/>
      <c r="S3217" s="2519"/>
    </row>
    <row r="3218" spans="1:19" s="2358" customFormat="1" outlineLevel="1">
      <c r="A3218" s="2435">
        <f t="shared" si="683"/>
        <v>0</v>
      </c>
      <c r="B3218" s="2514" t="s">
        <v>1050</v>
      </c>
      <c r="C3218" s="2521"/>
      <c r="D3218" s="2405">
        <v>0</v>
      </c>
      <c r="E3218" s="2612" t="s">
        <v>3561</v>
      </c>
      <c r="F3218" s="2754" t="s">
        <v>2563</v>
      </c>
      <c r="G3218" s="2522">
        <f>G3206*5</f>
        <v>0</v>
      </c>
      <c r="H3218" s="2517">
        <v>21000</v>
      </c>
      <c r="I3218" s="2517"/>
      <c r="J3218" s="2517">
        <v>0</v>
      </c>
      <c r="K3218" s="2517">
        <v>0</v>
      </c>
      <c r="L3218" s="2517">
        <f t="shared" si="684"/>
        <v>0</v>
      </c>
      <c r="M3218" s="2517">
        <f t="shared" si="684"/>
        <v>0</v>
      </c>
      <c r="N3218" s="2517">
        <f t="shared" si="684"/>
        <v>0</v>
      </c>
      <c r="O3218" s="2517">
        <f t="shared" si="684"/>
        <v>0</v>
      </c>
      <c r="P3218" s="2518"/>
      <c r="Q3218" s="2519"/>
      <c r="R3218" s="2519"/>
      <c r="S3218" s="2519"/>
    </row>
    <row r="3219" spans="1:19" s="2358" customFormat="1" outlineLevel="1">
      <c r="A3219" s="2435">
        <f t="shared" si="683"/>
        <v>0</v>
      </c>
      <c r="B3219" s="2514" t="s">
        <v>726</v>
      </c>
      <c r="C3219" s="2521"/>
      <c r="D3219" s="2405">
        <v>0</v>
      </c>
      <c r="E3219" s="2612" t="s">
        <v>3590</v>
      </c>
      <c r="F3219" s="2754" t="s">
        <v>388</v>
      </c>
      <c r="G3219" s="2522">
        <f>G3206</f>
        <v>0</v>
      </c>
      <c r="H3219" s="2517">
        <v>54100</v>
      </c>
      <c r="I3219" s="2517"/>
      <c r="J3219" s="2517">
        <v>0</v>
      </c>
      <c r="K3219" s="2517">
        <v>0</v>
      </c>
      <c r="L3219" s="2517">
        <f t="shared" si="684"/>
        <v>0</v>
      </c>
      <c r="M3219" s="2517">
        <f t="shared" si="684"/>
        <v>0</v>
      </c>
      <c r="N3219" s="2517">
        <f t="shared" si="684"/>
        <v>0</v>
      </c>
      <c r="O3219" s="2517">
        <f t="shared" si="684"/>
        <v>0</v>
      </c>
      <c r="P3219" s="2518"/>
      <c r="Q3219" s="2519"/>
      <c r="R3219" s="2519"/>
      <c r="S3219" s="2519"/>
    </row>
    <row r="3220" spans="1:19" s="2358" customFormat="1" outlineLevel="1">
      <c r="A3220" s="2435">
        <f t="shared" si="683"/>
        <v>0</v>
      </c>
      <c r="B3220" s="2505" t="s">
        <v>672</v>
      </c>
      <c r="C3220" s="2521"/>
      <c r="D3220" s="2405">
        <v>0</v>
      </c>
      <c r="E3220" s="2612" t="s">
        <v>5863</v>
      </c>
      <c r="F3220" s="2754" t="s">
        <v>3584</v>
      </c>
      <c r="G3220" s="2522">
        <f>G3206</f>
        <v>0</v>
      </c>
      <c r="H3220" s="2517">
        <v>6500</v>
      </c>
      <c r="I3220" s="2517"/>
      <c r="J3220" s="2517">
        <v>0</v>
      </c>
      <c r="K3220" s="2517">
        <v>0</v>
      </c>
      <c r="L3220" s="2517">
        <f t="shared" si="684"/>
        <v>0</v>
      </c>
      <c r="M3220" s="2517">
        <f t="shared" si="684"/>
        <v>0</v>
      </c>
      <c r="N3220" s="2517">
        <f t="shared" si="684"/>
        <v>0</v>
      </c>
      <c r="O3220" s="2517">
        <f t="shared" si="684"/>
        <v>0</v>
      </c>
      <c r="P3220" s="2518"/>
      <c r="Q3220" s="2519"/>
      <c r="R3220" s="2519"/>
      <c r="S3220" s="2519"/>
    </row>
    <row r="3221" spans="1:19" s="2358" customFormat="1" outlineLevel="1">
      <c r="A3221" s="2435">
        <f t="shared" si="683"/>
        <v>0</v>
      </c>
      <c r="B3221" s="2514" t="s">
        <v>2126</v>
      </c>
      <c r="C3221" s="2521"/>
      <c r="D3221" s="2405">
        <v>0</v>
      </c>
      <c r="E3221" s="2612" t="s">
        <v>3591</v>
      </c>
      <c r="F3221" s="2754" t="s">
        <v>2563</v>
      </c>
      <c r="G3221" s="2522">
        <f>G3206</f>
        <v>0</v>
      </c>
      <c r="H3221" s="2517">
        <v>5000</v>
      </c>
      <c r="I3221" s="2517"/>
      <c r="J3221" s="2517">
        <v>0</v>
      </c>
      <c r="K3221" s="2517">
        <v>0</v>
      </c>
      <c r="L3221" s="2517">
        <f t="shared" si="684"/>
        <v>0</v>
      </c>
      <c r="M3221" s="2517">
        <f t="shared" si="684"/>
        <v>0</v>
      </c>
      <c r="N3221" s="2517">
        <f t="shared" si="684"/>
        <v>0</v>
      </c>
      <c r="O3221" s="2517">
        <f t="shared" si="684"/>
        <v>0</v>
      </c>
      <c r="P3221" s="2518"/>
      <c r="Q3221" s="2519"/>
      <c r="R3221" s="2519"/>
      <c r="S3221" s="2519"/>
    </row>
    <row r="3222" spans="1:19" s="2358" customFormat="1" outlineLevel="1">
      <c r="A3222" s="2435">
        <f t="shared" si="683"/>
        <v>0</v>
      </c>
      <c r="B3222" s="2505" t="s">
        <v>959</v>
      </c>
      <c r="C3222" s="2521"/>
      <c r="D3222" s="2405">
        <v>0</v>
      </c>
      <c r="E3222" s="2612" t="s">
        <v>3595</v>
      </c>
      <c r="F3222" s="2754" t="s">
        <v>2563</v>
      </c>
      <c r="G3222" s="2522">
        <f>G3206</f>
        <v>0</v>
      </c>
      <c r="H3222" s="2517">
        <v>5200</v>
      </c>
      <c r="I3222" s="2517"/>
      <c r="J3222" s="2517">
        <v>0</v>
      </c>
      <c r="K3222" s="2517">
        <v>0</v>
      </c>
      <c r="L3222" s="2517">
        <f t="shared" si="684"/>
        <v>0</v>
      </c>
      <c r="M3222" s="2517">
        <f t="shared" si="684"/>
        <v>0</v>
      </c>
      <c r="N3222" s="2517">
        <f t="shared" si="684"/>
        <v>0</v>
      </c>
      <c r="O3222" s="2517">
        <f t="shared" si="684"/>
        <v>0</v>
      </c>
      <c r="P3222" s="2518"/>
      <c r="Q3222" s="2519"/>
      <c r="R3222" s="2519"/>
      <c r="S3222" s="2519"/>
    </row>
    <row r="3223" spans="1:19" s="2358" customFormat="1" outlineLevel="1">
      <c r="A3223" s="2435">
        <f t="shared" si="683"/>
        <v>0</v>
      </c>
      <c r="B3223" s="2505" t="s">
        <v>319</v>
      </c>
      <c r="C3223" s="2521"/>
      <c r="D3223" s="2405">
        <v>0</v>
      </c>
      <c r="E3223" s="2612" t="s">
        <v>5330</v>
      </c>
      <c r="F3223" s="2754" t="s">
        <v>2445</v>
      </c>
      <c r="G3223" s="2522">
        <f>G3206*2</f>
        <v>0</v>
      </c>
      <c r="H3223" s="2517">
        <v>168000</v>
      </c>
      <c r="I3223" s="2517"/>
      <c r="J3223" s="2517">
        <v>0</v>
      </c>
      <c r="K3223" s="2517">
        <v>0</v>
      </c>
      <c r="L3223" s="2517">
        <f t="shared" si="684"/>
        <v>0</v>
      </c>
      <c r="M3223" s="2517">
        <f t="shared" si="684"/>
        <v>0</v>
      </c>
      <c r="N3223" s="2517">
        <f t="shared" si="684"/>
        <v>0</v>
      </c>
      <c r="O3223" s="2517">
        <f t="shared" si="684"/>
        <v>0</v>
      </c>
      <c r="P3223" s="2518"/>
      <c r="Q3223" s="2519"/>
      <c r="R3223" s="2519"/>
      <c r="S3223" s="2519"/>
    </row>
    <row r="3224" spans="1:19" s="2358" customFormat="1" outlineLevel="1">
      <c r="A3224" s="2435">
        <f t="shared" si="683"/>
        <v>0</v>
      </c>
      <c r="B3224" s="2505" t="s">
        <v>1919</v>
      </c>
      <c r="C3224" s="2521"/>
      <c r="D3224" s="2405" t="s">
        <v>5717</v>
      </c>
      <c r="E3224" s="2612" t="s">
        <v>3412</v>
      </c>
      <c r="F3224" s="2754" t="s">
        <v>2563</v>
      </c>
      <c r="G3224" s="2522">
        <f>G3206</f>
        <v>0</v>
      </c>
      <c r="H3224" s="2517">
        <v>845331</v>
      </c>
      <c r="I3224" s="2517"/>
      <c r="J3224" s="2517">
        <v>599038</v>
      </c>
      <c r="K3224" s="2517">
        <v>97369</v>
      </c>
      <c r="L3224" s="2517">
        <f t="shared" si="684"/>
        <v>0</v>
      </c>
      <c r="M3224" s="2517">
        <f t="shared" si="684"/>
        <v>0</v>
      </c>
      <c r="N3224" s="2517">
        <f t="shared" si="684"/>
        <v>0</v>
      </c>
      <c r="O3224" s="2517">
        <f t="shared" si="684"/>
        <v>0</v>
      </c>
      <c r="P3224" s="2518"/>
      <c r="Q3224" s="2519"/>
      <c r="R3224" s="2519"/>
      <c r="S3224" s="2519"/>
    </row>
    <row r="3225" spans="1:19" s="2358" customFormat="1" outlineLevel="1">
      <c r="A3225" s="2435">
        <f t="shared" si="683"/>
        <v>0</v>
      </c>
      <c r="B3225" s="2505" t="s">
        <v>6</v>
      </c>
      <c r="C3225" s="2521"/>
      <c r="D3225" s="2405">
        <v>0</v>
      </c>
      <c r="E3225" s="2612" t="s">
        <v>3585</v>
      </c>
      <c r="F3225" s="2754" t="s">
        <v>5868</v>
      </c>
      <c r="G3225" s="2522">
        <f>G3206*2</f>
        <v>0</v>
      </c>
      <c r="H3225" s="2517">
        <v>45000</v>
      </c>
      <c r="I3225" s="2517"/>
      <c r="J3225" s="2517">
        <v>0</v>
      </c>
      <c r="K3225" s="2517">
        <v>0</v>
      </c>
      <c r="L3225" s="2517">
        <f t="shared" si="684"/>
        <v>0</v>
      </c>
      <c r="M3225" s="2517">
        <f t="shared" si="684"/>
        <v>0</v>
      </c>
      <c r="N3225" s="2517">
        <f t="shared" si="684"/>
        <v>0</v>
      </c>
      <c r="O3225" s="2517">
        <f t="shared" si="684"/>
        <v>0</v>
      </c>
      <c r="P3225" s="2518"/>
      <c r="Q3225" s="2519"/>
      <c r="R3225" s="2519"/>
      <c r="S3225" s="2519"/>
    </row>
    <row r="3226" spans="1:19" s="2358" customFormat="1" outlineLevel="1">
      <c r="A3226" s="2435">
        <f t="shared" si="683"/>
        <v>0</v>
      </c>
      <c r="B3226" s="2505" t="s">
        <v>2145</v>
      </c>
      <c r="C3226" s="2521"/>
      <c r="D3226" s="2405">
        <v>0</v>
      </c>
      <c r="E3226" s="2612" t="s">
        <v>2793</v>
      </c>
      <c r="F3226" s="2754" t="s">
        <v>2538</v>
      </c>
      <c r="G3226" s="2522">
        <f>G3206*4</f>
        <v>0</v>
      </c>
      <c r="H3226" s="2517">
        <v>5000</v>
      </c>
      <c r="I3226" s="2517"/>
      <c r="J3226" s="2517">
        <v>0</v>
      </c>
      <c r="K3226" s="2517">
        <v>0</v>
      </c>
      <c r="L3226" s="2517">
        <f t="shared" si="684"/>
        <v>0</v>
      </c>
      <c r="M3226" s="2517">
        <f t="shared" si="684"/>
        <v>0</v>
      </c>
      <c r="N3226" s="2517">
        <f t="shared" si="684"/>
        <v>0</v>
      </c>
      <c r="O3226" s="2517">
        <f t="shared" si="684"/>
        <v>0</v>
      </c>
      <c r="P3226" s="2518"/>
      <c r="Q3226" s="2519"/>
      <c r="R3226" s="2519"/>
      <c r="S3226" s="2519"/>
    </row>
    <row r="3227" spans="1:19" s="2358" customFormat="1" outlineLevel="1">
      <c r="A3227" s="2435">
        <f t="shared" si="683"/>
        <v>0</v>
      </c>
      <c r="B3227" s="2505" t="s">
        <v>1035</v>
      </c>
      <c r="C3227" s="2521"/>
      <c r="D3227" s="2405">
        <v>0</v>
      </c>
      <c r="E3227" s="2612" t="s">
        <v>6463</v>
      </c>
      <c r="F3227" s="2754" t="s">
        <v>2254</v>
      </c>
      <c r="G3227" s="2523">
        <f>3.77*G3206*2*0.3</f>
        <v>0</v>
      </c>
      <c r="H3227" s="2517">
        <v>31625</v>
      </c>
      <c r="I3227" s="2517"/>
      <c r="J3227" s="2517">
        <v>0</v>
      </c>
      <c r="K3227" s="2517">
        <v>0</v>
      </c>
      <c r="L3227" s="2517">
        <f t="shared" si="684"/>
        <v>0</v>
      </c>
      <c r="M3227" s="2517">
        <f t="shared" si="684"/>
        <v>0</v>
      </c>
      <c r="N3227" s="2517">
        <f t="shared" si="684"/>
        <v>0</v>
      </c>
      <c r="O3227" s="2517">
        <f t="shared" si="684"/>
        <v>0</v>
      </c>
      <c r="P3227" s="2518"/>
      <c r="Q3227" s="2519"/>
      <c r="R3227" s="2519"/>
      <c r="S3227" s="2519"/>
    </row>
    <row r="3228" spans="1:19" s="2358" customFormat="1" outlineLevel="1">
      <c r="A3228" s="2435">
        <f t="shared" si="683"/>
        <v>0</v>
      </c>
      <c r="B3228" s="2505" t="s">
        <v>6329</v>
      </c>
      <c r="C3228" s="2521"/>
      <c r="D3228" s="2405">
        <v>0</v>
      </c>
      <c r="E3228" s="2612" t="s">
        <v>2632</v>
      </c>
      <c r="F3228" s="2754" t="s">
        <v>2445</v>
      </c>
      <c r="G3228" s="2522">
        <f>4*G3206</f>
        <v>0</v>
      </c>
      <c r="H3228" s="2517">
        <v>1500</v>
      </c>
      <c r="I3228" s="2517"/>
      <c r="J3228" s="2517">
        <v>0</v>
      </c>
      <c r="K3228" s="2517">
        <v>0</v>
      </c>
      <c r="L3228" s="2517">
        <f t="shared" si="684"/>
        <v>0</v>
      </c>
      <c r="M3228" s="2517">
        <f t="shared" si="684"/>
        <v>0</v>
      </c>
      <c r="N3228" s="2517">
        <f t="shared" si="684"/>
        <v>0</v>
      </c>
      <c r="O3228" s="2517">
        <f t="shared" si="684"/>
        <v>0</v>
      </c>
      <c r="P3228" s="2518"/>
      <c r="Q3228" s="2519"/>
      <c r="R3228" s="2519"/>
      <c r="S3228" s="2519"/>
    </row>
    <row r="3229" spans="1:19" s="2358" customFormat="1" outlineLevel="1">
      <c r="A3229" s="2435">
        <f>A3079</f>
        <v>0</v>
      </c>
      <c r="B3229" s="2610"/>
      <c r="C3229" s="2825"/>
      <c r="D3229" s="2677"/>
      <c r="E3229" s="2652"/>
      <c r="F3229" s="2890"/>
      <c r="G3229" s="2891"/>
      <c r="H3229" s="2890"/>
      <c r="I3229" s="2890"/>
      <c r="J3229" s="2900" t="s">
        <v>6205</v>
      </c>
      <c r="K3229" s="2900"/>
      <c r="L3229" s="2678">
        <f>SUM(L3098:L3228)</f>
        <v>0</v>
      </c>
      <c r="M3229" s="2678">
        <f>SUM(M3098:M3228)</f>
        <v>0</v>
      </c>
      <c r="N3229" s="2678">
        <f>SUM(N3098:N3228)</f>
        <v>0</v>
      </c>
      <c r="O3229" s="2678">
        <f>SUM(O3098:O3228)</f>
        <v>0</v>
      </c>
      <c r="P3229" s="2821"/>
      <c r="Q3229" s="2519"/>
      <c r="R3229" s="2519"/>
      <c r="S3229" s="2519"/>
    </row>
    <row r="3230" spans="1:19" s="2358" customFormat="1" outlineLevel="1">
      <c r="A3230" s="2435"/>
      <c r="B3230" s="2610"/>
      <c r="C3230" s="2780"/>
      <c r="D3230" s="2780"/>
      <c r="E3230" s="2781"/>
      <c r="F3230" s="2898"/>
      <c r="G3230" s="2897"/>
      <c r="H3230" s="2898"/>
      <c r="I3230" s="2898"/>
      <c r="J3230" s="2781"/>
      <c r="K3230" s="2781"/>
      <c r="L3230" s="2782"/>
      <c r="M3230" s="2782"/>
      <c r="N3230" s="2782"/>
      <c r="O3230" s="2782"/>
      <c r="P3230" s="2519"/>
      <c r="Q3230" s="2519"/>
      <c r="R3230" s="2519"/>
      <c r="S3230" s="2519"/>
    </row>
    <row r="3231" spans="1:19" s="2358" customFormat="1" ht="13.8" customHeight="1">
      <c r="A3231" s="2639">
        <f>IF(G3236&gt;0,1,)</f>
        <v>0</v>
      </c>
      <c r="B3231" s="2505"/>
      <c r="C3231" s="2519"/>
      <c r="D3231" s="2519"/>
      <c r="E3231" s="2689"/>
      <c r="F3231" s="2519"/>
      <c r="G3231" s="2690"/>
      <c r="H3231" s="2519"/>
      <c r="I3231" s="2519"/>
      <c r="J3231" s="2519"/>
      <c r="K3231" s="2519"/>
      <c r="L3231" s="2519"/>
      <c r="M3231" s="2519"/>
      <c r="N3231" s="2519"/>
      <c r="O3231" s="2519"/>
      <c r="P3231" s="2519"/>
      <c r="Q3231" s="2519"/>
      <c r="R3231" s="2519"/>
      <c r="S3231" s="2519"/>
    </row>
    <row r="3232" spans="1:19" s="2358" customFormat="1" outlineLevel="1">
      <c r="A3232" s="2435">
        <f>A3231</f>
        <v>0</v>
      </c>
      <c r="B3232" s="2640"/>
      <c r="C3232" s="2877" t="str">
        <f>"BẢNG TỔNG HỢP VẬT LIỆU, NHÂN CÔNG, MÁY THI CÔNG: "&amp;K20&amp;" TRẠM 3P_1600KVA"</f>
        <v>BẢNG TỔNG HỢP VẬT LIỆU, NHÂN CÔNG, MÁY THI CÔNG: 0 TRẠM 3P_1600KVA</v>
      </c>
      <c r="D3232" s="2892"/>
      <c r="E3232" s="2892"/>
      <c r="F3232" s="2892"/>
      <c r="G3232" s="2892"/>
      <c r="H3232" s="2893"/>
      <c r="I3232" s="2781"/>
      <c r="J3232" s="2893"/>
      <c r="K3232" s="2893"/>
      <c r="L3232" s="2893"/>
      <c r="M3232" s="2781"/>
      <c r="N3232" s="2893"/>
      <c r="O3232" s="2893"/>
      <c r="P3232" s="2895"/>
      <c r="Q3232" s="2519"/>
      <c r="R3232" s="2519"/>
      <c r="S3232" s="2519"/>
    </row>
    <row r="3233" spans="1:19" s="2358" customFormat="1" outlineLevel="1">
      <c r="A3233" s="2435">
        <f>A3231</f>
        <v>0</v>
      </c>
      <c r="B3233" s="2514" t="s">
        <v>6186</v>
      </c>
      <c r="C3233" s="2901" t="s">
        <v>1712</v>
      </c>
      <c r="D3233" s="2902" t="s">
        <v>2605</v>
      </c>
      <c r="E3233" s="2904" t="s">
        <v>2606</v>
      </c>
      <c r="F3233" s="2901" t="s">
        <v>2601</v>
      </c>
      <c r="G3233" s="2362" t="s">
        <v>6187</v>
      </c>
      <c r="H3233" s="2365" t="s">
        <v>6188</v>
      </c>
      <c r="I3233" s="2872"/>
      <c r="J3233" s="2872"/>
      <c r="K3233" s="2873"/>
      <c r="L3233" s="2365" t="s">
        <v>6189</v>
      </c>
      <c r="M3233" s="2872"/>
      <c r="N3233" s="2872"/>
      <c r="O3233" s="2873"/>
      <c r="P3233" s="2901" t="s">
        <v>2607</v>
      </c>
      <c r="Q3233" s="2519"/>
      <c r="R3233" s="2519"/>
      <c r="S3233" s="2519"/>
    </row>
    <row r="3234" spans="1:19" s="2358" customFormat="1" outlineLevel="1">
      <c r="A3234" s="2435">
        <f>A3233</f>
        <v>0</v>
      </c>
      <c r="B3234" s="2514"/>
      <c r="C3234" s="2901"/>
      <c r="D3234" s="2903"/>
      <c r="E3234" s="2905"/>
      <c r="F3234" s="2901"/>
      <c r="G3234" s="2364" t="s">
        <v>2292</v>
      </c>
      <c r="H3234" s="2365" t="s">
        <v>6190</v>
      </c>
      <c r="I3234" s="2365" t="s">
        <v>6191</v>
      </c>
      <c r="J3234" s="2365" t="s">
        <v>6192</v>
      </c>
      <c r="K3234" s="2365" t="s">
        <v>6193</v>
      </c>
      <c r="L3234" s="2365" t="s">
        <v>6190</v>
      </c>
      <c r="M3234" s="2365" t="s">
        <v>6191</v>
      </c>
      <c r="N3234" s="2365" t="s">
        <v>6192</v>
      </c>
      <c r="O3234" s="2365" t="s">
        <v>6193</v>
      </c>
      <c r="P3234" s="2901"/>
      <c r="Q3234" s="2519"/>
      <c r="R3234" s="2519"/>
      <c r="S3234" s="2519"/>
    </row>
    <row r="3235" spans="1:19" s="2358" customFormat="1" outlineLevel="1">
      <c r="A3235" s="2435">
        <f>A3234</f>
        <v>0</v>
      </c>
      <c r="B3235" s="2514"/>
      <c r="C3235" s="2366"/>
      <c r="D3235" s="2367"/>
      <c r="E3235" s="2368" t="s">
        <v>3690</v>
      </c>
      <c r="F3235" s="2369"/>
      <c r="G3235" s="2369"/>
      <c r="H3235" s="2369"/>
      <c r="I3235" s="2369"/>
      <c r="J3235" s="2369"/>
      <c r="K3235" s="2369"/>
      <c r="L3235" s="2369"/>
      <c r="M3235" s="2369"/>
      <c r="N3235" s="2369"/>
      <c r="O3235" s="2367"/>
      <c r="P3235" s="2370"/>
      <c r="Q3235" s="2519"/>
      <c r="R3235" s="2519"/>
      <c r="S3235" s="2519"/>
    </row>
    <row r="3236" spans="1:19" s="2358" customFormat="1" outlineLevel="1">
      <c r="A3236" s="2435" t="str">
        <f t="shared" ref="A3236:A3246" si="685">IF(G3236&lt;&gt;0,1,"")</f>
        <v/>
      </c>
      <c r="B3236" s="2505" t="str">
        <f>IF($F$8=15,"tr1600","tr16001")</f>
        <v>tr16001</v>
      </c>
      <c r="C3236" s="2521">
        <f>IF(G3236&gt;0,1,0)</f>
        <v>0</v>
      </c>
      <c r="D3236" s="2405" t="s">
        <v>5656</v>
      </c>
      <c r="E3236" s="2447" t="s">
        <v>3356</v>
      </c>
      <c r="F3236" s="2405" t="s">
        <v>3318</v>
      </c>
      <c r="G3236" s="2816">
        <f>$K$20</f>
        <v>0</v>
      </c>
      <c r="H3236" s="2612">
        <v>448311000</v>
      </c>
      <c r="I3236" s="2612"/>
      <c r="J3236" s="2612">
        <v>1928901</v>
      </c>
      <c r="K3236" s="2612">
        <v>426761</v>
      </c>
      <c r="L3236" s="2613">
        <f t="shared" ref="L3236:L3246" si="686">H3236*G3236</f>
        <v>0</v>
      </c>
      <c r="M3236" s="2613">
        <f t="shared" ref="M3236:M3246" si="687">I3236*G3236</f>
        <v>0</v>
      </c>
      <c r="N3236" s="2613">
        <f t="shared" ref="N3236:N3246" si="688">J3236*G3236</f>
        <v>0</v>
      </c>
      <c r="O3236" s="2614">
        <f t="shared" ref="O3236:O3246" si="689">K3236*G3236</f>
        <v>0</v>
      </c>
      <c r="P3236" s="2817"/>
      <c r="Q3236" s="2519"/>
      <c r="R3236" s="2519"/>
      <c r="S3236" s="2519"/>
    </row>
    <row r="3237" spans="1:19" s="2358" customFormat="1" outlineLevel="1">
      <c r="A3237" s="2435" t="str">
        <f t="shared" si="685"/>
        <v/>
      </c>
      <c r="B3237" s="2610" t="s">
        <v>393</v>
      </c>
      <c r="C3237" s="2521">
        <f>IF(G3237&gt;0,C3236+1,C3236)</f>
        <v>0</v>
      </c>
      <c r="D3237" s="2405" t="s">
        <v>5662</v>
      </c>
      <c r="E3237" s="2447" t="s">
        <v>1596</v>
      </c>
      <c r="F3237" s="2405" t="s">
        <v>2445</v>
      </c>
      <c r="G3237" s="2522">
        <f>G3236*0</f>
        <v>0</v>
      </c>
      <c r="H3237" s="2612">
        <v>16664000</v>
      </c>
      <c r="I3237" s="2612">
        <v>0</v>
      </c>
      <c r="J3237" s="2612">
        <v>0</v>
      </c>
      <c r="K3237" s="2612">
        <v>262622</v>
      </c>
      <c r="L3237" s="2613">
        <f t="shared" si="686"/>
        <v>0</v>
      </c>
      <c r="M3237" s="2613">
        <f t="shared" si="687"/>
        <v>0</v>
      </c>
      <c r="N3237" s="2613">
        <f t="shared" si="688"/>
        <v>0</v>
      </c>
      <c r="O3237" s="2614">
        <f t="shared" si="689"/>
        <v>0</v>
      </c>
      <c r="P3237" s="2518"/>
      <c r="Q3237" s="2519"/>
      <c r="R3237" s="2519"/>
      <c r="S3237" s="2519"/>
    </row>
    <row r="3238" spans="1:19" s="2358" customFormat="1" outlineLevel="1">
      <c r="A3238" s="2435" t="str">
        <f t="shared" si="685"/>
        <v/>
      </c>
      <c r="B3238" s="2514" t="s">
        <v>1</v>
      </c>
      <c r="C3238" s="2521">
        <f t="shared" ref="C3238:C3243" si="690">IF(G3238&gt;0,C3237+1,C3237)</f>
        <v>0</v>
      </c>
      <c r="D3238" s="2405" t="s">
        <v>1391</v>
      </c>
      <c r="E3238" s="2447" t="s">
        <v>3402</v>
      </c>
      <c r="F3238" s="2405" t="s">
        <v>3388</v>
      </c>
      <c r="G3238" s="2522">
        <f>G3236*0</f>
        <v>0</v>
      </c>
      <c r="H3238" s="2612">
        <v>0</v>
      </c>
      <c r="I3238" s="2612">
        <v>0</v>
      </c>
      <c r="J3238" s="2612">
        <v>286129</v>
      </c>
      <c r="K3238" s="2612">
        <v>59254</v>
      </c>
      <c r="L3238" s="2613">
        <f t="shared" si="686"/>
        <v>0</v>
      </c>
      <c r="M3238" s="2613">
        <f t="shared" si="687"/>
        <v>0</v>
      </c>
      <c r="N3238" s="2613">
        <f t="shared" si="688"/>
        <v>0</v>
      </c>
      <c r="O3238" s="2614">
        <f t="shared" si="689"/>
        <v>0</v>
      </c>
      <c r="P3238" s="2642" t="s">
        <v>6359</v>
      </c>
      <c r="Q3238" s="2519"/>
      <c r="R3238" s="2519"/>
      <c r="S3238" s="2519"/>
    </row>
    <row r="3239" spans="1:19" s="2358" customFormat="1" outlineLevel="1">
      <c r="A3239" s="2435" t="str">
        <f t="shared" si="685"/>
        <v/>
      </c>
      <c r="B3239" s="2371" t="str">
        <f>"FCO200-"&amp;$F$8</f>
        <v>FCO200-22</v>
      </c>
      <c r="C3239" s="2521">
        <f t="shared" si="690"/>
        <v>0</v>
      </c>
      <c r="D3239" s="2405" t="s">
        <v>5660</v>
      </c>
      <c r="E3239" s="2447" t="s">
        <v>2034</v>
      </c>
      <c r="F3239" s="2405" t="s">
        <v>2563</v>
      </c>
      <c r="G3239" s="2522">
        <f>+G3236*3</f>
        <v>0</v>
      </c>
      <c r="H3239" s="2517">
        <v>4076000</v>
      </c>
      <c r="I3239" s="2517">
        <v>0</v>
      </c>
      <c r="J3239" s="2517">
        <v>176000</v>
      </c>
      <c r="K3239" s="2517">
        <v>0</v>
      </c>
      <c r="L3239" s="2517">
        <f t="shared" si="686"/>
        <v>0</v>
      </c>
      <c r="M3239" s="2517">
        <f t="shared" si="687"/>
        <v>0</v>
      </c>
      <c r="N3239" s="2517">
        <f t="shared" si="688"/>
        <v>0</v>
      </c>
      <c r="O3239" s="2517">
        <f t="shared" si="689"/>
        <v>0</v>
      </c>
      <c r="P3239" s="2518"/>
      <c r="Q3239" s="2519"/>
      <c r="R3239" s="2519"/>
      <c r="S3239" s="2519"/>
    </row>
    <row r="3240" spans="1:19" s="2358" customFormat="1" outlineLevel="1">
      <c r="A3240" s="2435" t="str">
        <f t="shared" si="685"/>
        <v/>
      </c>
      <c r="B3240" s="2505" t="str">
        <f>IF($F$8=15,"CHI100K","CHI65K")</f>
        <v>CHI65K</v>
      </c>
      <c r="C3240" s="2521">
        <f t="shared" si="690"/>
        <v>0</v>
      </c>
      <c r="D3240" s="2405">
        <v>0</v>
      </c>
      <c r="E3240" s="2447" t="s">
        <v>3451</v>
      </c>
      <c r="F3240" s="2405" t="s">
        <v>2608</v>
      </c>
      <c r="G3240" s="2522">
        <f>G3239</f>
        <v>0</v>
      </c>
      <c r="H3240" s="2517">
        <v>120000</v>
      </c>
      <c r="I3240" s="2517">
        <v>0</v>
      </c>
      <c r="J3240" s="2517">
        <v>0</v>
      </c>
      <c r="K3240" s="2517">
        <v>0</v>
      </c>
      <c r="L3240" s="2517">
        <f t="shared" si="686"/>
        <v>0</v>
      </c>
      <c r="M3240" s="2517">
        <f t="shared" si="687"/>
        <v>0</v>
      </c>
      <c r="N3240" s="2517">
        <f t="shared" si="688"/>
        <v>0</v>
      </c>
      <c r="O3240" s="2517">
        <f t="shared" si="689"/>
        <v>0</v>
      </c>
      <c r="P3240" s="2518"/>
      <c r="Q3240" s="2519"/>
      <c r="R3240" s="2519"/>
      <c r="S3240" s="2519"/>
    </row>
    <row r="3241" spans="1:19" s="2358" customFormat="1" outlineLevel="1">
      <c r="A3241" s="2435" t="str">
        <f t="shared" si="685"/>
        <v/>
      </c>
      <c r="B3241" s="2514" t="str">
        <f>"LA"&amp;$F$6</f>
        <v>LA18</v>
      </c>
      <c r="C3241" s="2521">
        <f t="shared" si="690"/>
        <v>0</v>
      </c>
      <c r="D3241" s="2405" t="s">
        <v>5664</v>
      </c>
      <c r="E3241" s="2447" t="s">
        <v>1193</v>
      </c>
      <c r="F3241" s="2405" t="s">
        <v>2563</v>
      </c>
      <c r="G3241" s="2522">
        <f>G3236*3</f>
        <v>0</v>
      </c>
      <c r="H3241" s="2517">
        <v>1106000</v>
      </c>
      <c r="I3241" s="2517">
        <v>0</v>
      </c>
      <c r="J3241" s="2517">
        <v>83490</v>
      </c>
      <c r="K3241" s="2517">
        <v>0</v>
      </c>
      <c r="L3241" s="2517">
        <f t="shared" si="686"/>
        <v>0</v>
      </c>
      <c r="M3241" s="2517">
        <f t="shared" si="687"/>
        <v>0</v>
      </c>
      <c r="N3241" s="2517">
        <f t="shared" si="688"/>
        <v>0</v>
      </c>
      <c r="O3241" s="2517">
        <f t="shared" si="689"/>
        <v>0</v>
      </c>
      <c r="P3241" s="2518"/>
      <c r="Q3241" s="2519"/>
      <c r="R3241" s="2519"/>
      <c r="S3241" s="2519"/>
    </row>
    <row r="3242" spans="1:19" s="2358" customFormat="1" outlineLevel="1">
      <c r="A3242" s="2435" t="str">
        <f t="shared" si="685"/>
        <v/>
      </c>
      <c r="B3242" s="2610" t="s">
        <v>1135</v>
      </c>
      <c r="C3242" s="2521">
        <f t="shared" si="690"/>
        <v>0</v>
      </c>
      <c r="D3242" s="2405">
        <v>0</v>
      </c>
      <c r="E3242" s="2447" t="s">
        <v>3433</v>
      </c>
      <c r="F3242" s="2405" t="s">
        <v>2563</v>
      </c>
      <c r="G3242" s="2522">
        <f>G3236</f>
        <v>0</v>
      </c>
      <c r="H3242" s="2517">
        <v>113827000</v>
      </c>
      <c r="I3242" s="2517">
        <v>0</v>
      </c>
      <c r="J3242" s="2517">
        <v>0</v>
      </c>
      <c r="K3242" s="2517">
        <v>0</v>
      </c>
      <c r="L3242" s="2517">
        <f t="shared" si="686"/>
        <v>0</v>
      </c>
      <c r="M3242" s="2517">
        <f t="shared" si="687"/>
        <v>0</v>
      </c>
      <c r="N3242" s="2517">
        <f t="shared" si="688"/>
        <v>0</v>
      </c>
      <c r="O3242" s="2517">
        <f t="shared" si="689"/>
        <v>0</v>
      </c>
      <c r="P3242" s="2518"/>
      <c r="Q3242" s="2519"/>
      <c r="R3242" s="2519"/>
      <c r="S3242" s="2519"/>
    </row>
    <row r="3243" spans="1:19" s="2358" customFormat="1" outlineLevel="1">
      <c r="A3243" s="2435" t="str">
        <f t="shared" si="685"/>
        <v/>
      </c>
      <c r="B3243" s="2610" t="s">
        <v>6368</v>
      </c>
      <c r="C3243" s="2521">
        <f t="shared" si="690"/>
        <v>0</v>
      </c>
      <c r="D3243" s="2405" t="s">
        <v>1025</v>
      </c>
      <c r="E3243" s="2447" t="s">
        <v>3390</v>
      </c>
      <c r="F3243" s="2405" t="s">
        <v>3388</v>
      </c>
      <c r="G3243" s="2522">
        <f>G3242</f>
        <v>0</v>
      </c>
      <c r="H3243" s="2517">
        <v>138000415</v>
      </c>
      <c r="I3243" s="2517">
        <v>0</v>
      </c>
      <c r="J3243" s="2517">
        <v>98101</v>
      </c>
      <c r="K3243" s="2517">
        <v>59254</v>
      </c>
      <c r="L3243" s="2517">
        <f t="shared" si="686"/>
        <v>0</v>
      </c>
      <c r="M3243" s="2517">
        <f t="shared" si="687"/>
        <v>0</v>
      </c>
      <c r="N3243" s="2517">
        <f t="shared" si="688"/>
        <v>0</v>
      </c>
      <c r="O3243" s="2517">
        <f t="shared" si="689"/>
        <v>0</v>
      </c>
      <c r="P3243" s="2518"/>
      <c r="Q3243" s="2519"/>
      <c r="R3243" s="2519"/>
      <c r="S3243" s="2519"/>
    </row>
    <row r="3244" spans="1:19" s="2358" customFormat="1" outlineLevel="1">
      <c r="A3244" s="2435" t="str">
        <f t="shared" si="685"/>
        <v/>
      </c>
      <c r="B3244" s="2505" t="str">
        <f>IF($F$8=15,"TI50","TI40")</f>
        <v>TI40</v>
      </c>
      <c r="C3244" s="2521">
        <f>IF(G3244&gt;0,C3243+1,C3243)</f>
        <v>0</v>
      </c>
      <c r="D3244" s="2405">
        <v>0</v>
      </c>
      <c r="E3244" s="2447" t="s">
        <v>3367</v>
      </c>
      <c r="F3244" s="2405" t="s">
        <v>2563</v>
      </c>
      <c r="G3244" s="2643">
        <f>G3236*3</f>
        <v>0</v>
      </c>
      <c r="H3244" s="2517">
        <v>0</v>
      </c>
      <c r="I3244" s="2517">
        <v>0</v>
      </c>
      <c r="J3244" s="2517">
        <v>0</v>
      </c>
      <c r="K3244" s="2517">
        <v>0</v>
      </c>
      <c r="L3244" s="2517">
        <f t="shared" si="686"/>
        <v>0</v>
      </c>
      <c r="M3244" s="2517">
        <f t="shared" si="687"/>
        <v>0</v>
      </c>
      <c r="N3244" s="2517">
        <f t="shared" si="688"/>
        <v>0</v>
      </c>
      <c r="O3244" s="2517">
        <f t="shared" si="689"/>
        <v>0</v>
      </c>
      <c r="P3244" s="2644" t="s">
        <v>2609</v>
      </c>
      <c r="Q3244" s="2519"/>
      <c r="R3244" s="2519"/>
      <c r="S3244" s="2519"/>
    </row>
    <row r="3245" spans="1:19" s="2358" customFormat="1" outlineLevel="1">
      <c r="A3245" s="2435" t="str">
        <f t="shared" si="685"/>
        <v/>
      </c>
      <c r="B3245" s="2505" t="str">
        <f>IF($F$8=15,"TU15","TU22")</f>
        <v>TU22</v>
      </c>
      <c r="C3245" s="2521">
        <f>IF(G3245&gt;0,C3244+1,C3244)</f>
        <v>0</v>
      </c>
      <c r="D3245" s="2405">
        <v>0</v>
      </c>
      <c r="E3245" s="2447" t="s">
        <v>5673</v>
      </c>
      <c r="F3245" s="2405" t="s">
        <v>2563</v>
      </c>
      <c r="G3245" s="2819">
        <f>G3244</f>
        <v>0</v>
      </c>
      <c r="H3245" s="2517">
        <v>0</v>
      </c>
      <c r="I3245" s="2517"/>
      <c r="J3245" s="2517">
        <v>92703</v>
      </c>
      <c r="K3245" s="2517">
        <v>84261</v>
      </c>
      <c r="L3245" s="2517">
        <f t="shared" si="686"/>
        <v>0</v>
      </c>
      <c r="M3245" s="2517">
        <f t="shared" si="687"/>
        <v>0</v>
      </c>
      <c r="N3245" s="2517">
        <f t="shared" si="688"/>
        <v>0</v>
      </c>
      <c r="O3245" s="2517">
        <f t="shared" si="689"/>
        <v>0</v>
      </c>
      <c r="P3245" s="2644" t="s">
        <v>2609</v>
      </c>
      <c r="Q3245" s="2519"/>
      <c r="R3245" s="2519"/>
      <c r="S3245" s="2519"/>
    </row>
    <row r="3246" spans="1:19" s="2358" customFormat="1" outlineLevel="1">
      <c r="A3246" s="2435" t="str">
        <f t="shared" si="685"/>
        <v/>
      </c>
      <c r="B3246" s="2820" t="s">
        <v>1841</v>
      </c>
      <c r="C3246" s="2521">
        <f>IF(G3246&gt;0,C3245+1,C3245)</f>
        <v>0</v>
      </c>
      <c r="D3246" s="2405">
        <v>0</v>
      </c>
      <c r="E3246" s="2447" t="s">
        <v>5771</v>
      </c>
      <c r="F3246" s="2405" t="s">
        <v>2563</v>
      </c>
      <c r="G3246" s="2643">
        <f>G3236</f>
        <v>0</v>
      </c>
      <c r="H3246" s="2612">
        <v>0</v>
      </c>
      <c r="I3246" s="2612">
        <v>0</v>
      </c>
      <c r="J3246" s="2612">
        <v>0</v>
      </c>
      <c r="K3246" s="2612">
        <v>0</v>
      </c>
      <c r="L3246" s="2517">
        <f t="shared" si="686"/>
        <v>0</v>
      </c>
      <c r="M3246" s="2613">
        <f t="shared" si="687"/>
        <v>0</v>
      </c>
      <c r="N3246" s="2613">
        <f t="shared" si="688"/>
        <v>0</v>
      </c>
      <c r="O3246" s="2614">
        <f t="shared" si="689"/>
        <v>0</v>
      </c>
      <c r="P3246" s="2645" t="s">
        <v>2609</v>
      </c>
      <c r="Q3246" s="2519"/>
      <c r="R3246" s="2519"/>
      <c r="S3246" s="2519"/>
    </row>
    <row r="3247" spans="1:19" s="2358" customFormat="1" outlineLevel="1">
      <c r="A3247" s="2435">
        <f>A3231</f>
        <v>0</v>
      </c>
      <c r="B3247" s="2514"/>
      <c r="C3247" s="2646"/>
      <c r="D3247" s="2647"/>
      <c r="E3247" s="2648"/>
      <c r="F3247" s="2646"/>
      <c r="G3247" s="2889"/>
      <c r="H3247" s="2646"/>
      <c r="I3247" s="2646"/>
      <c r="J3247" s="2370" t="s">
        <v>6195</v>
      </c>
      <c r="K3247" s="2646"/>
      <c r="L3247" s="2648">
        <f>SUM(L3236:L3246)</f>
        <v>0</v>
      </c>
      <c r="M3247" s="2648">
        <f>SUM(M3236:M3246)</f>
        <v>0</v>
      </c>
      <c r="N3247" s="2648">
        <f>SUM(N3236:N3246)</f>
        <v>0</v>
      </c>
      <c r="O3247" s="2648">
        <f>SUM(O3236:O3246)</f>
        <v>0</v>
      </c>
      <c r="P3247" s="2821"/>
      <c r="Q3247" s="2519"/>
      <c r="R3247" s="2519"/>
      <c r="S3247" s="2519"/>
    </row>
    <row r="3248" spans="1:19" s="2358" customFormat="1" outlineLevel="1">
      <c r="A3248" s="2435">
        <f>A3231</f>
        <v>0</v>
      </c>
      <c r="B3248" s="2514"/>
      <c r="C3248" s="2650"/>
      <c r="D3248" s="2651"/>
      <c r="E3248" s="2652" t="s">
        <v>3691</v>
      </c>
      <c r="F3248" s="2652"/>
      <c r="G3248" s="2653"/>
      <c r="H3248" s="2652"/>
      <c r="I3248" s="2652"/>
      <c r="J3248" s="2652"/>
      <c r="K3248" s="2652"/>
      <c r="L3248" s="2652"/>
      <c r="M3248" s="2652"/>
      <c r="N3248" s="2652"/>
      <c r="O3248" s="2651"/>
      <c r="P3248" s="2821"/>
      <c r="Q3248" s="2519"/>
      <c r="R3248" s="2519"/>
      <c r="S3248" s="2519"/>
    </row>
    <row r="3249" spans="1:19" s="2358" customFormat="1" outlineLevel="1">
      <c r="A3249" s="2435" t="str">
        <f t="shared" ref="A3249:A3263" si="691">IF(G3249&lt;&gt;0,1,"")</f>
        <v/>
      </c>
      <c r="B3249" s="2654"/>
      <c r="C3249" s="2655">
        <f>IF(G3249&gt;0,1,0)</f>
        <v>0</v>
      </c>
      <c r="D3249" s="2405"/>
      <c r="E3249" s="2656" t="s">
        <v>6291</v>
      </c>
      <c r="F3249" s="2657" t="s">
        <v>2283</v>
      </c>
      <c r="G3249" s="2662">
        <f>G3236*0</f>
        <v>0</v>
      </c>
      <c r="H3249" s="2657"/>
      <c r="I3249" s="2657"/>
      <c r="J3249" s="2657"/>
      <c r="K3249" s="2657"/>
      <c r="L3249" s="2658"/>
      <c r="M3249" s="2658"/>
      <c r="N3249" s="2658"/>
      <c r="O3249" s="2659"/>
      <c r="P3249" s="2518"/>
      <c r="Q3249" s="2519"/>
      <c r="R3249" s="2519"/>
      <c r="S3249" s="2519"/>
    </row>
    <row r="3250" spans="1:19" s="2358" customFormat="1" outlineLevel="1">
      <c r="A3250" s="2435" t="str">
        <f t="shared" si="691"/>
        <v/>
      </c>
      <c r="B3250" s="2610" t="s">
        <v>2239</v>
      </c>
      <c r="C3250" s="2660"/>
      <c r="D3250" s="2405"/>
      <c r="E3250" s="2661" t="s">
        <v>3008</v>
      </c>
      <c r="F3250" s="2405" t="s">
        <v>2839</v>
      </c>
      <c r="G3250" s="2405">
        <f>G3249</f>
        <v>0</v>
      </c>
      <c r="H3250" s="2612">
        <v>4200000</v>
      </c>
      <c r="I3250" s="2511"/>
      <c r="J3250" s="2612"/>
      <c r="K3250" s="2511"/>
      <c r="L3250" s="2613">
        <f>H3250*G3250</f>
        <v>0</v>
      </c>
      <c r="M3250" s="2613">
        <f>I3250*G3250</f>
        <v>0</v>
      </c>
      <c r="N3250" s="2613">
        <f>J3250*G3250</f>
        <v>0</v>
      </c>
      <c r="O3250" s="2613">
        <f>K3250*G3250</f>
        <v>0</v>
      </c>
      <c r="P3250" s="2518"/>
      <c r="Q3250" s="2519"/>
      <c r="R3250" s="2519"/>
      <c r="S3250" s="2519"/>
    </row>
    <row r="3251" spans="1:19" s="2358" customFormat="1" outlineLevel="1">
      <c r="A3251" s="2435" t="str">
        <f t="shared" si="691"/>
        <v/>
      </c>
      <c r="B3251" s="2610" t="s">
        <v>1818</v>
      </c>
      <c r="C3251" s="2660"/>
      <c r="D3251" s="2405"/>
      <c r="E3251" s="2661" t="s">
        <v>2838</v>
      </c>
      <c r="F3251" s="2405" t="s">
        <v>2839</v>
      </c>
      <c r="G3251" s="2405">
        <f>G3250</f>
        <v>0</v>
      </c>
      <c r="H3251" s="2612">
        <v>17400</v>
      </c>
      <c r="I3251" s="2612"/>
      <c r="J3251" s="2511"/>
      <c r="K3251" s="2511"/>
      <c r="L3251" s="2613">
        <f>H3251*G3251</f>
        <v>0</v>
      </c>
      <c r="M3251" s="2613">
        <f>I3251*G3251</f>
        <v>0</v>
      </c>
      <c r="N3251" s="2613">
        <f>J3251*G3251</f>
        <v>0</v>
      </c>
      <c r="O3251" s="2613">
        <f>K3251*G3251</f>
        <v>0</v>
      </c>
      <c r="P3251" s="2518"/>
      <c r="Q3251" s="2519"/>
      <c r="R3251" s="2519"/>
      <c r="S3251" s="2519"/>
    </row>
    <row r="3252" spans="1:19" s="2358" customFormat="1" outlineLevel="1">
      <c r="A3252" s="2435" t="str">
        <f t="shared" si="691"/>
        <v/>
      </c>
      <c r="B3252" s="2610" t="s">
        <v>1615</v>
      </c>
      <c r="C3252" s="2660"/>
      <c r="D3252" s="2405" t="s">
        <v>5419</v>
      </c>
      <c r="E3252" s="2661" t="s">
        <v>5420</v>
      </c>
      <c r="F3252" s="2405" t="s">
        <v>2839</v>
      </c>
      <c r="G3252" s="2405">
        <f>G3250</f>
        <v>0</v>
      </c>
      <c r="H3252" s="2661"/>
      <c r="I3252" s="2612"/>
      <c r="J3252" s="2612">
        <v>551034</v>
      </c>
      <c r="K3252" s="2612">
        <v>141795.29</v>
      </c>
      <c r="L3252" s="2613">
        <f>H3252*G3252</f>
        <v>0</v>
      </c>
      <c r="M3252" s="2613">
        <f>I3252*G3252</f>
        <v>0</v>
      </c>
      <c r="N3252" s="2613">
        <f>J3252*G3252</f>
        <v>0</v>
      </c>
      <c r="O3252" s="2613">
        <f>K3252*G3252</f>
        <v>0</v>
      </c>
      <c r="P3252" s="2518"/>
      <c r="Q3252" s="2519"/>
      <c r="R3252" s="2519"/>
      <c r="S3252" s="2519"/>
    </row>
    <row r="3253" spans="1:19" s="2358" customFormat="1" outlineLevel="1">
      <c r="A3253" s="2435" t="str">
        <f t="shared" si="691"/>
        <v/>
      </c>
      <c r="B3253" s="2610" t="s">
        <v>2240</v>
      </c>
      <c r="C3253" s="2660"/>
      <c r="D3253" s="2405"/>
      <c r="E3253" s="2661" t="s">
        <v>5386</v>
      </c>
      <c r="F3253" s="2405" t="s">
        <v>856</v>
      </c>
      <c r="G3253" s="2405">
        <f>G3249*0.201</f>
        <v>0</v>
      </c>
      <c r="H3253" s="2612">
        <v>0</v>
      </c>
      <c r="I3253" s="2612"/>
      <c r="J3253" s="2612">
        <v>296500.89999999997</v>
      </c>
      <c r="K3253" s="2612">
        <v>0</v>
      </c>
      <c r="L3253" s="2613">
        <f>H3253*G3253</f>
        <v>0</v>
      </c>
      <c r="M3253" s="2613">
        <f>I3253*G3253</f>
        <v>0</v>
      </c>
      <c r="N3253" s="2613">
        <f>J3253*G3253</f>
        <v>0</v>
      </c>
      <c r="O3253" s="2613">
        <f>K3253*G3253</f>
        <v>0</v>
      </c>
      <c r="P3253" s="2518"/>
      <c r="Q3253" s="2519"/>
      <c r="R3253" s="2519"/>
      <c r="S3253" s="2519"/>
    </row>
    <row r="3254" spans="1:19" s="2358" customFormat="1" outlineLevel="1">
      <c r="A3254" s="2435" t="str">
        <f t="shared" si="691"/>
        <v/>
      </c>
      <c r="B3254" s="2610" t="s">
        <v>21</v>
      </c>
      <c r="C3254" s="2660"/>
      <c r="D3254" s="2405" t="s">
        <v>5387</v>
      </c>
      <c r="E3254" s="2661" t="s">
        <v>5388</v>
      </c>
      <c r="F3254" s="2405" t="s">
        <v>856</v>
      </c>
      <c r="G3254" s="2405">
        <f>G3249*0.182</f>
        <v>0</v>
      </c>
      <c r="H3254" s="2661"/>
      <c r="I3254" s="2612"/>
      <c r="J3254" s="2612">
        <v>117703.6</v>
      </c>
      <c r="K3254" s="2612">
        <v>0</v>
      </c>
      <c r="L3254" s="2613">
        <f>H3254*G3254</f>
        <v>0</v>
      </c>
      <c r="M3254" s="2613">
        <f>I3254*G3254</f>
        <v>0</v>
      </c>
      <c r="N3254" s="2613">
        <f>J3254*G3254</f>
        <v>0</v>
      </c>
      <c r="O3254" s="2613">
        <f>K3254*G3254</f>
        <v>0</v>
      </c>
      <c r="P3254" s="2518"/>
      <c r="Q3254" s="2519"/>
      <c r="R3254" s="2519"/>
      <c r="S3254" s="2519"/>
    </row>
    <row r="3255" spans="1:19" s="2358" customFormat="1" outlineLevel="1">
      <c r="A3255" s="2435" t="str">
        <f t="shared" si="691"/>
        <v/>
      </c>
      <c r="B3255" s="2610"/>
      <c r="C3255" s="2511">
        <f>IF(G3255&gt;0,C3249+1,C3249)</f>
        <v>0</v>
      </c>
      <c r="D3255" s="2405"/>
      <c r="E3255" s="2656" t="s">
        <v>6369</v>
      </c>
      <c r="F3255" s="2657" t="s">
        <v>2333</v>
      </c>
      <c r="G3255" s="2662">
        <f>G3249</f>
        <v>0</v>
      </c>
      <c r="H3255" s="2511"/>
      <c r="I3255" s="2511"/>
      <c r="J3255" s="2511"/>
      <c r="K3255" s="2511"/>
      <c r="L3255" s="2511"/>
      <c r="M3255" s="2511"/>
      <c r="N3255" s="2511"/>
      <c r="O3255" s="2663"/>
      <c r="P3255" s="2518"/>
      <c r="Q3255" s="2519"/>
      <c r="R3255" s="2519"/>
      <c r="S3255" s="2519"/>
    </row>
    <row r="3256" spans="1:19" s="2358" customFormat="1" outlineLevel="1">
      <c r="A3256" s="2435" t="str">
        <f t="shared" si="691"/>
        <v/>
      </c>
      <c r="B3256" s="2610" t="s">
        <v>751</v>
      </c>
      <c r="C3256" s="2660"/>
      <c r="D3256" s="2405">
        <v>0</v>
      </c>
      <c r="E3256" s="2661" t="s">
        <v>5351</v>
      </c>
      <c r="F3256" s="2405" t="s">
        <v>2254</v>
      </c>
      <c r="G3256" s="2405">
        <f>204*G3255</f>
        <v>0</v>
      </c>
      <c r="H3256" s="2612">
        <v>1740</v>
      </c>
      <c r="I3256" s="2612"/>
      <c r="J3256" s="2612">
        <v>0</v>
      </c>
      <c r="K3256" s="2511"/>
      <c r="L3256" s="2613">
        <f t="shared" ref="L3256:L3289" si="692">H3256*G3256</f>
        <v>0</v>
      </c>
      <c r="M3256" s="2613">
        <f>I3256*G3256</f>
        <v>0</v>
      </c>
      <c r="N3256" s="2613">
        <f>J3256*G3256</f>
        <v>0</v>
      </c>
      <c r="O3256" s="2613">
        <f>K3256*G3256</f>
        <v>0</v>
      </c>
      <c r="P3256" s="2518"/>
      <c r="Q3256" s="2519"/>
      <c r="R3256" s="2519"/>
      <c r="S3256" s="2519"/>
    </row>
    <row r="3257" spans="1:19" s="2358" customFormat="1" outlineLevel="1">
      <c r="A3257" s="2435" t="str">
        <f t="shared" si="691"/>
        <v/>
      </c>
      <c r="B3257" s="2610" t="s">
        <v>752</v>
      </c>
      <c r="C3257" s="2660"/>
      <c r="D3257" s="2405"/>
      <c r="E3257" s="2661" t="s">
        <v>3022</v>
      </c>
      <c r="F3257" s="2405" t="s">
        <v>856</v>
      </c>
      <c r="G3257" s="2405">
        <f>+G3255*0.5327</f>
        <v>0</v>
      </c>
      <c r="H3257" s="2612">
        <v>512000</v>
      </c>
      <c r="I3257" s="2661"/>
      <c r="J3257" s="2661"/>
      <c r="K3257" s="2511"/>
      <c r="L3257" s="2613">
        <f t="shared" si="692"/>
        <v>0</v>
      </c>
      <c r="M3257" s="2613">
        <f>I3257*G3257</f>
        <v>0</v>
      </c>
      <c r="N3257" s="2613">
        <f>J3257*G3257</f>
        <v>0</v>
      </c>
      <c r="O3257" s="2613">
        <f>K3257*G3257</f>
        <v>0</v>
      </c>
      <c r="P3257" s="2518"/>
      <c r="Q3257" s="2519"/>
      <c r="R3257" s="2519"/>
      <c r="S3257" s="2519"/>
    </row>
    <row r="3258" spans="1:19" s="2358" customFormat="1" outlineLevel="1">
      <c r="A3258" s="2435" t="str">
        <f t="shared" si="691"/>
        <v/>
      </c>
      <c r="B3258" s="2610" t="s">
        <v>867</v>
      </c>
      <c r="C3258" s="2660"/>
      <c r="D3258" s="2405">
        <v>0</v>
      </c>
      <c r="E3258" s="2661" t="s">
        <v>3018</v>
      </c>
      <c r="F3258" s="2405" t="s">
        <v>856</v>
      </c>
      <c r="G3258" s="2405">
        <f>+G3255*0.607</f>
        <v>0</v>
      </c>
      <c r="H3258" s="2612">
        <v>335000</v>
      </c>
      <c r="I3258" s="2612"/>
      <c r="J3258" s="2612">
        <v>0</v>
      </c>
      <c r="K3258" s="2511"/>
      <c r="L3258" s="2613">
        <f t="shared" si="692"/>
        <v>0</v>
      </c>
      <c r="M3258" s="2613">
        <f>I3258*G3258</f>
        <v>0</v>
      </c>
      <c r="N3258" s="2613">
        <f>J3258*G3258</f>
        <v>0</v>
      </c>
      <c r="O3258" s="2613">
        <f>K3258*G3258</f>
        <v>0</v>
      </c>
      <c r="P3258" s="2518"/>
      <c r="Q3258" s="2519"/>
      <c r="R3258" s="2519"/>
      <c r="S3258" s="2519"/>
    </row>
    <row r="3259" spans="1:19" s="2358" customFormat="1" outlineLevel="1">
      <c r="A3259" s="2435" t="str">
        <f t="shared" si="691"/>
        <v/>
      </c>
      <c r="B3259" s="2610" t="s">
        <v>2012</v>
      </c>
      <c r="C3259" s="2660"/>
      <c r="D3259" s="2405"/>
      <c r="E3259" s="2661" t="s">
        <v>5308</v>
      </c>
      <c r="F3259" s="2405" t="s">
        <v>2254</v>
      </c>
      <c r="G3259" s="2405">
        <f>+G3255*20.08</f>
        <v>0</v>
      </c>
      <c r="H3259" s="2612">
        <v>13300</v>
      </c>
      <c r="I3259" s="2661"/>
      <c r="J3259" s="2661"/>
      <c r="K3259" s="2511"/>
      <c r="L3259" s="2613">
        <f t="shared" si="692"/>
        <v>0</v>
      </c>
      <c r="M3259" s="2613">
        <f>I3259*G3259</f>
        <v>0</v>
      </c>
      <c r="N3259" s="2613">
        <f>J3259*G3259</f>
        <v>0</v>
      </c>
      <c r="O3259" s="2613">
        <f>K3259*G3259</f>
        <v>0</v>
      </c>
      <c r="P3259" s="2518"/>
      <c r="Q3259" s="2519"/>
      <c r="R3259" s="2519"/>
      <c r="S3259" s="2519"/>
    </row>
    <row r="3260" spans="1:19" s="2358" customFormat="1" outlineLevel="1">
      <c r="A3260" s="2435" t="str">
        <f t="shared" si="691"/>
        <v/>
      </c>
      <c r="B3260" s="2610" t="s">
        <v>1428</v>
      </c>
      <c r="C3260" s="2660"/>
      <c r="D3260" s="2405">
        <v>0</v>
      </c>
      <c r="E3260" s="2661" t="s">
        <v>3587</v>
      </c>
      <c r="F3260" s="2405" t="s">
        <v>2254</v>
      </c>
      <c r="G3260" s="2405">
        <f>+G3255*0.43</f>
        <v>0</v>
      </c>
      <c r="H3260" s="2612">
        <v>10500</v>
      </c>
      <c r="I3260" s="2612"/>
      <c r="J3260" s="2612">
        <v>0</v>
      </c>
      <c r="K3260" s="2511"/>
      <c r="L3260" s="2613">
        <f t="shared" si="692"/>
        <v>0</v>
      </c>
      <c r="M3260" s="2613">
        <f>I3260*G3260</f>
        <v>0</v>
      </c>
      <c r="N3260" s="2613">
        <f>J3260*G3260</f>
        <v>0</v>
      </c>
      <c r="O3260" s="2613">
        <f>K3260*G3260</f>
        <v>0</v>
      </c>
      <c r="P3260" s="2518"/>
      <c r="Q3260" s="2519"/>
      <c r="R3260" s="2519"/>
      <c r="S3260" s="2519"/>
    </row>
    <row r="3261" spans="1:19" s="2358" customFormat="1" outlineLevel="1">
      <c r="A3261" s="2435" t="str">
        <f t="shared" si="691"/>
        <v/>
      </c>
      <c r="B3261" s="2610" t="s">
        <v>639</v>
      </c>
      <c r="C3261" s="2660"/>
      <c r="D3261" s="2405" t="s">
        <v>1751</v>
      </c>
      <c r="E3261" s="2661" t="s">
        <v>5386</v>
      </c>
      <c r="F3261" s="2405" t="s">
        <v>856</v>
      </c>
      <c r="G3261" s="2405">
        <f>+G3255*0.77</f>
        <v>0</v>
      </c>
      <c r="H3261" s="2612">
        <v>0</v>
      </c>
      <c r="I3261" s="2612"/>
      <c r="J3261" s="2612">
        <v>296500.89999999997</v>
      </c>
      <c r="K3261" s="2511"/>
      <c r="L3261" s="2613">
        <f t="shared" si="692"/>
        <v>0</v>
      </c>
      <c r="M3261" s="2613">
        <f t="shared" ref="M3261:M3268" si="693">I3261*G3261</f>
        <v>0</v>
      </c>
      <c r="N3261" s="2613">
        <f t="shared" ref="N3261:N3268" si="694">J3261*G3261</f>
        <v>0</v>
      </c>
      <c r="O3261" s="2613">
        <f t="shared" ref="O3261:O3268" si="695">K3261*G3261</f>
        <v>0</v>
      </c>
      <c r="P3261" s="2518"/>
      <c r="Q3261" s="2519"/>
      <c r="R3261" s="2519"/>
      <c r="S3261" s="2519"/>
    </row>
    <row r="3262" spans="1:19" s="2358" customFormat="1" outlineLevel="1">
      <c r="A3262" s="2435" t="str">
        <f t="shared" si="691"/>
        <v/>
      </c>
      <c r="B3262" s="2822" t="s">
        <v>1839</v>
      </c>
      <c r="C3262" s="2660"/>
      <c r="D3262" s="2405" t="s">
        <v>5533</v>
      </c>
      <c r="E3262" s="2661" t="s">
        <v>5535</v>
      </c>
      <c r="F3262" s="2405" t="s">
        <v>856</v>
      </c>
      <c r="G3262" s="2405">
        <f>+G3255*0.689</f>
        <v>0</v>
      </c>
      <c r="H3262" s="2612">
        <v>461871</v>
      </c>
      <c r="I3262" s="2612"/>
      <c r="J3262" s="2612">
        <v>414064.45</v>
      </c>
      <c r="K3262" s="2511"/>
      <c r="L3262" s="2613">
        <f t="shared" si="692"/>
        <v>0</v>
      </c>
      <c r="M3262" s="2613">
        <f t="shared" si="693"/>
        <v>0</v>
      </c>
      <c r="N3262" s="2613">
        <f t="shared" si="694"/>
        <v>0</v>
      </c>
      <c r="O3262" s="2613">
        <f t="shared" si="695"/>
        <v>0</v>
      </c>
      <c r="P3262" s="2518"/>
      <c r="Q3262" s="2519"/>
      <c r="R3262" s="2519"/>
      <c r="S3262" s="2519"/>
    </row>
    <row r="3263" spans="1:19" s="2358" customFormat="1" outlineLevel="1">
      <c r="A3263" s="2435" t="str">
        <f t="shared" si="691"/>
        <v/>
      </c>
      <c r="B3263" s="2514"/>
      <c r="C3263" s="2511">
        <f>IF(G3263&gt;0,C3255+1,C3255)</f>
        <v>0</v>
      </c>
      <c r="D3263" s="2512"/>
      <c r="E3263" s="2670" t="s">
        <v>6345</v>
      </c>
      <c r="F3263" s="2511" t="s">
        <v>2391</v>
      </c>
      <c r="G3263" s="2516"/>
      <c r="H3263" s="2669"/>
      <c r="I3263" s="2669"/>
      <c r="J3263" s="2669"/>
      <c r="K3263" s="2669"/>
      <c r="L3263" s="2613">
        <f t="shared" si="692"/>
        <v>0</v>
      </c>
      <c r="M3263" s="2613">
        <f t="shared" si="693"/>
        <v>0</v>
      </c>
      <c r="N3263" s="2613">
        <f t="shared" si="694"/>
        <v>0</v>
      </c>
      <c r="O3263" s="2613">
        <f t="shared" si="695"/>
        <v>0</v>
      </c>
      <c r="P3263" s="2518"/>
      <c r="Q3263" s="2519"/>
      <c r="R3263" s="2519"/>
      <c r="S3263" s="2519"/>
    </row>
    <row r="3264" spans="1:19" s="2358" customFormat="1" ht="14.4" outlineLevel="1">
      <c r="A3264" s="2435" t="str">
        <f>A3263</f>
        <v/>
      </c>
      <c r="B3264" s="2514"/>
      <c r="C3264" s="2511"/>
      <c r="D3264" s="2512"/>
      <c r="E3264" s="2520" t="s">
        <v>6207</v>
      </c>
      <c r="F3264" s="2521"/>
      <c r="G3264" s="2522"/>
      <c r="H3264" s="2669"/>
      <c r="I3264" s="2669"/>
      <c r="J3264" s="2669"/>
      <c r="K3264" s="2669"/>
      <c r="L3264" s="2613">
        <f t="shared" si="692"/>
        <v>0</v>
      </c>
      <c r="M3264" s="2613">
        <f t="shared" si="693"/>
        <v>0</v>
      </c>
      <c r="N3264" s="2613">
        <f t="shared" si="694"/>
        <v>0</v>
      </c>
      <c r="O3264" s="2613">
        <f t="shared" si="695"/>
        <v>0</v>
      </c>
      <c r="P3264" s="2518"/>
      <c r="Q3264" s="2519"/>
      <c r="R3264" s="2519"/>
      <c r="S3264" s="2519"/>
    </row>
    <row r="3265" spans="1:19" s="2358" customFormat="1" outlineLevel="1">
      <c r="A3265" s="2435" t="str">
        <f t="shared" ref="A3265:A3270" si="696">IF(G3265&lt;&gt;0,1,"")</f>
        <v/>
      </c>
      <c r="B3265" s="2505" t="s">
        <v>2026</v>
      </c>
      <c r="C3265" s="2511"/>
      <c r="D3265" s="2405">
        <v>0</v>
      </c>
      <c r="E3265" s="2447" t="s">
        <v>2443</v>
      </c>
      <c r="F3265" s="2405" t="s">
        <v>2254</v>
      </c>
      <c r="G3265" s="2523">
        <f>G3263*9.02*(2.6+3*0.07)*2</f>
        <v>0</v>
      </c>
      <c r="H3265" s="2612">
        <v>11500</v>
      </c>
      <c r="I3265" s="2612"/>
      <c r="J3265" s="2612">
        <v>0</v>
      </c>
      <c r="K3265" s="2612">
        <v>0</v>
      </c>
      <c r="L3265" s="2613">
        <f t="shared" si="692"/>
        <v>0</v>
      </c>
      <c r="M3265" s="2613">
        <f t="shared" si="693"/>
        <v>0</v>
      </c>
      <c r="N3265" s="2613">
        <f t="shared" si="694"/>
        <v>0</v>
      </c>
      <c r="O3265" s="2613">
        <f t="shared" si="695"/>
        <v>0</v>
      </c>
      <c r="P3265" s="2518"/>
      <c r="Q3265" s="2519"/>
      <c r="R3265" s="2519"/>
      <c r="S3265" s="2519"/>
    </row>
    <row r="3266" spans="1:19" s="2358" customFormat="1" outlineLevel="1">
      <c r="A3266" s="2435" t="str">
        <f t="shared" si="696"/>
        <v/>
      </c>
      <c r="B3266" s="2514" t="s">
        <v>1788</v>
      </c>
      <c r="C3266" s="2511"/>
      <c r="D3266" s="2405">
        <v>0</v>
      </c>
      <c r="E3266" s="2447" t="s">
        <v>2668</v>
      </c>
      <c r="F3266" s="2405" t="s">
        <v>2391</v>
      </c>
      <c r="G3266" s="2522">
        <f>G3263*2</f>
        <v>0</v>
      </c>
      <c r="H3266" s="2612">
        <v>12340</v>
      </c>
      <c r="I3266" s="2612">
        <v>0</v>
      </c>
      <c r="J3266" s="2612">
        <v>0</v>
      </c>
      <c r="K3266" s="2612">
        <v>0</v>
      </c>
      <c r="L3266" s="2613">
        <f t="shared" si="692"/>
        <v>0</v>
      </c>
      <c r="M3266" s="2613">
        <f t="shared" si="693"/>
        <v>0</v>
      </c>
      <c r="N3266" s="2613">
        <f t="shared" si="694"/>
        <v>0</v>
      </c>
      <c r="O3266" s="2613">
        <f t="shared" si="695"/>
        <v>0</v>
      </c>
      <c r="P3266" s="2518"/>
      <c r="Q3266" s="2519"/>
      <c r="R3266" s="2519"/>
      <c r="S3266" s="2519"/>
    </row>
    <row r="3267" spans="1:19" s="2358" customFormat="1" outlineLevel="1">
      <c r="A3267" s="2435" t="str">
        <f t="shared" si="696"/>
        <v/>
      </c>
      <c r="B3267" s="2514" t="s">
        <v>1613</v>
      </c>
      <c r="C3267" s="2511"/>
      <c r="D3267" s="2405">
        <v>0</v>
      </c>
      <c r="E3267" s="2447" t="s">
        <v>2657</v>
      </c>
      <c r="F3267" s="2405" t="s">
        <v>2391</v>
      </c>
      <c r="G3267" s="2522">
        <f>G3263*2</f>
        <v>0</v>
      </c>
      <c r="H3267" s="2612">
        <v>9120</v>
      </c>
      <c r="I3267" s="2612">
        <v>0</v>
      </c>
      <c r="J3267" s="2612">
        <v>0</v>
      </c>
      <c r="K3267" s="2612">
        <v>0</v>
      </c>
      <c r="L3267" s="2613">
        <f t="shared" si="692"/>
        <v>0</v>
      </c>
      <c r="M3267" s="2613">
        <f t="shared" si="693"/>
        <v>0</v>
      </c>
      <c r="N3267" s="2613">
        <f t="shared" si="694"/>
        <v>0</v>
      </c>
      <c r="O3267" s="2613">
        <f t="shared" si="695"/>
        <v>0</v>
      </c>
      <c r="P3267" s="2518"/>
      <c r="Q3267" s="2519"/>
      <c r="R3267" s="2519"/>
      <c r="S3267" s="2519"/>
    </row>
    <row r="3268" spans="1:19" s="2358" customFormat="1" outlineLevel="1">
      <c r="A3268" s="2435" t="str">
        <f t="shared" si="696"/>
        <v/>
      </c>
      <c r="B3268" s="2514" t="s">
        <v>1612</v>
      </c>
      <c r="C3268" s="2511"/>
      <c r="D3268" s="2405">
        <v>0</v>
      </c>
      <c r="E3268" s="2447" t="s">
        <v>2653</v>
      </c>
      <c r="F3268" s="2405" t="s">
        <v>2391</v>
      </c>
      <c r="G3268" s="2522">
        <f>G3267</f>
        <v>0</v>
      </c>
      <c r="H3268" s="2612">
        <v>9220</v>
      </c>
      <c r="I3268" s="2612">
        <v>0</v>
      </c>
      <c r="J3268" s="2612">
        <v>0</v>
      </c>
      <c r="K3268" s="2612">
        <v>0</v>
      </c>
      <c r="L3268" s="2613">
        <f t="shared" si="692"/>
        <v>0</v>
      </c>
      <c r="M3268" s="2613">
        <f t="shared" si="693"/>
        <v>0</v>
      </c>
      <c r="N3268" s="2613">
        <f t="shared" si="694"/>
        <v>0</v>
      </c>
      <c r="O3268" s="2613">
        <f t="shared" si="695"/>
        <v>0</v>
      </c>
      <c r="P3268" s="2518"/>
      <c r="Q3268" s="2519"/>
      <c r="R3268" s="2519"/>
      <c r="S3268" s="2519"/>
    </row>
    <row r="3269" spans="1:19" s="2358" customFormat="1" outlineLevel="1">
      <c r="A3269" s="2435" t="str">
        <f t="shared" si="696"/>
        <v/>
      </c>
      <c r="B3269" s="2514" t="s">
        <v>2248</v>
      </c>
      <c r="C3269" s="2511"/>
      <c r="D3269" s="2405" t="s">
        <v>730</v>
      </c>
      <c r="E3269" s="2447" t="s">
        <v>2446</v>
      </c>
      <c r="F3269" s="2405" t="s">
        <v>2391</v>
      </c>
      <c r="G3269" s="2522">
        <f>G3263</f>
        <v>0</v>
      </c>
      <c r="H3269" s="2612">
        <v>0</v>
      </c>
      <c r="I3269" s="2612"/>
      <c r="J3269" s="2612" t="s">
        <v>6419</v>
      </c>
      <c r="K3269" s="2612"/>
      <c r="L3269" s="2613">
        <f t="shared" si="692"/>
        <v>0</v>
      </c>
      <c r="M3269" s="2613"/>
      <c r="N3269" s="2612">
        <v>0</v>
      </c>
      <c r="O3269" s="2613"/>
      <c r="P3269" s="2518"/>
      <c r="Q3269" s="2519"/>
      <c r="R3269" s="2519"/>
      <c r="S3269" s="2519"/>
    </row>
    <row r="3270" spans="1:19" s="2358" customFormat="1" outlineLevel="1" collapsed="1">
      <c r="A3270" s="2435" t="str">
        <f t="shared" si="696"/>
        <v/>
      </c>
      <c r="B3270" s="2514"/>
      <c r="C3270" s="2511">
        <f>IF(G3270&gt;0,C3263+1,C3263)</f>
        <v>0</v>
      </c>
      <c r="D3270" s="2512"/>
      <c r="E3270" s="2670" t="s">
        <v>6372</v>
      </c>
      <c r="F3270" s="2511" t="s">
        <v>2391</v>
      </c>
      <c r="G3270" s="2516">
        <f>G3236*2</f>
        <v>0</v>
      </c>
      <c r="H3270" s="2517"/>
      <c r="I3270" s="2517"/>
      <c r="J3270" s="2517"/>
      <c r="K3270" s="2517"/>
      <c r="L3270" s="2517">
        <f t="shared" si="692"/>
        <v>0</v>
      </c>
      <c r="M3270" s="2517">
        <f>I3270*G3270</f>
        <v>0</v>
      </c>
      <c r="N3270" s="2517">
        <f>J3270*G3270</f>
        <v>0</v>
      </c>
      <c r="O3270" s="2517">
        <f>K3270*G3270</f>
        <v>0</v>
      </c>
      <c r="P3270" s="2518"/>
      <c r="Q3270" s="2519"/>
      <c r="R3270" s="2519"/>
      <c r="S3270" s="2519"/>
    </row>
    <row r="3271" spans="1:19" s="2358" customFormat="1" ht="14.4" outlineLevel="1">
      <c r="A3271" s="2435" t="str">
        <f>A3270</f>
        <v/>
      </c>
      <c r="B3271" s="2514"/>
      <c r="C3271" s="2511"/>
      <c r="D3271" s="2512"/>
      <c r="E3271" s="2520" t="s">
        <v>6207</v>
      </c>
      <c r="F3271" s="2521"/>
      <c r="G3271" s="2522"/>
      <c r="H3271" s="2517"/>
      <c r="I3271" s="2517"/>
      <c r="J3271" s="2517"/>
      <c r="K3271" s="2517"/>
      <c r="L3271" s="2517">
        <f t="shared" si="692"/>
        <v>0</v>
      </c>
      <c r="M3271" s="2517">
        <f>I3271*G3271</f>
        <v>0</v>
      </c>
      <c r="N3271" s="2517">
        <f>J3271*G3271</f>
        <v>0</v>
      </c>
      <c r="O3271" s="2517">
        <f>K3271*G3271</f>
        <v>0</v>
      </c>
      <c r="P3271" s="2518"/>
      <c r="Q3271" s="2519"/>
      <c r="R3271" s="2519"/>
      <c r="S3271" s="2519"/>
    </row>
    <row r="3272" spans="1:19" s="2358" customFormat="1" outlineLevel="1">
      <c r="A3272" s="2435" t="str">
        <f t="shared" ref="A3272:A3278" si="697">IF(G3272&lt;&gt;0,1,"")</f>
        <v/>
      </c>
      <c r="B3272" s="2514" t="s">
        <v>2026</v>
      </c>
      <c r="C3272" s="2511"/>
      <c r="D3272" s="2405">
        <v>0</v>
      </c>
      <c r="E3272" s="2447" t="s">
        <v>2443</v>
      </c>
      <c r="F3272" s="2405" t="s">
        <v>2254</v>
      </c>
      <c r="G3272" s="2523">
        <f>G3270*9.02*(2.2+4*0.07)*2</f>
        <v>0</v>
      </c>
      <c r="H3272" s="2517">
        <v>31625</v>
      </c>
      <c r="I3272" s="2517"/>
      <c r="J3272" s="2517">
        <v>0</v>
      </c>
      <c r="K3272" s="2517"/>
      <c r="L3272" s="2517">
        <f t="shared" si="692"/>
        <v>0</v>
      </c>
      <c r="M3272" s="2517"/>
      <c r="N3272" s="2517"/>
      <c r="O3272" s="2517"/>
      <c r="P3272" s="2518"/>
      <c r="Q3272" s="2519"/>
      <c r="R3272" s="2519"/>
      <c r="S3272" s="2519"/>
    </row>
    <row r="3273" spans="1:19" s="2358" customFormat="1" outlineLevel="1">
      <c r="A3273" s="2435" t="str">
        <f t="shared" si="697"/>
        <v/>
      </c>
      <c r="B3273" s="2514" t="s">
        <v>1035</v>
      </c>
      <c r="C3273" s="2511"/>
      <c r="D3273" s="2405" t="s">
        <v>554</v>
      </c>
      <c r="E3273" s="2447" t="s">
        <v>2972</v>
      </c>
      <c r="F3273" s="2405" t="s">
        <v>2254</v>
      </c>
      <c r="G3273" s="2523">
        <f>G3270*3.77*0.81*4</f>
        <v>0</v>
      </c>
      <c r="H3273" s="2517">
        <v>31625</v>
      </c>
      <c r="I3273" s="2517"/>
      <c r="J3273" s="2517">
        <v>0</v>
      </c>
      <c r="K3273" s="2517"/>
      <c r="L3273" s="2517">
        <f t="shared" si="692"/>
        <v>0</v>
      </c>
      <c r="M3273" s="2517"/>
      <c r="N3273" s="2517"/>
      <c r="O3273" s="2517"/>
      <c r="P3273" s="2518"/>
      <c r="Q3273" s="2519"/>
      <c r="R3273" s="2519"/>
      <c r="S3273" s="2519"/>
    </row>
    <row r="3274" spans="1:19" s="2358" customFormat="1" outlineLevel="1">
      <c r="A3274" s="2435" t="str">
        <f t="shared" si="697"/>
        <v/>
      </c>
      <c r="B3274" s="2514" t="s">
        <v>1613</v>
      </c>
      <c r="C3274" s="2511"/>
      <c r="D3274" s="2405">
        <v>0</v>
      </c>
      <c r="E3274" s="2447" t="s">
        <v>2657</v>
      </c>
      <c r="F3274" s="2405" t="s">
        <v>2391</v>
      </c>
      <c r="G3274" s="2522">
        <f>G3270*2</f>
        <v>0</v>
      </c>
      <c r="H3274" s="2517">
        <v>25400</v>
      </c>
      <c r="I3274" s="2517">
        <v>0</v>
      </c>
      <c r="J3274" s="2517">
        <v>0</v>
      </c>
      <c r="K3274" s="2517"/>
      <c r="L3274" s="2517">
        <f t="shared" si="692"/>
        <v>0</v>
      </c>
      <c r="M3274" s="2517"/>
      <c r="N3274" s="2517"/>
      <c r="O3274" s="2517"/>
      <c r="P3274" s="2518"/>
      <c r="Q3274" s="2519"/>
      <c r="R3274" s="2519"/>
      <c r="S3274" s="2519"/>
    </row>
    <row r="3275" spans="1:19" s="2358" customFormat="1" outlineLevel="1">
      <c r="A3275" s="2435" t="str">
        <f t="shared" si="697"/>
        <v/>
      </c>
      <c r="B3275" s="2514" t="s">
        <v>1790</v>
      </c>
      <c r="C3275" s="2511"/>
      <c r="D3275" s="2405">
        <v>0</v>
      </c>
      <c r="E3275" s="2447" t="s">
        <v>2647</v>
      </c>
      <c r="F3275" s="2405" t="s">
        <v>2391</v>
      </c>
      <c r="G3275" s="2522">
        <f>G3270*4</f>
        <v>0</v>
      </c>
      <c r="H3275" s="2517">
        <v>12400</v>
      </c>
      <c r="I3275" s="2517">
        <v>0</v>
      </c>
      <c r="J3275" s="2517">
        <v>0</v>
      </c>
      <c r="K3275" s="2517"/>
      <c r="L3275" s="2517">
        <f t="shared" si="692"/>
        <v>0</v>
      </c>
      <c r="M3275" s="2517"/>
      <c r="N3275" s="2517"/>
      <c r="O3275" s="2517"/>
      <c r="P3275" s="2518"/>
      <c r="Q3275" s="2519"/>
      <c r="R3275" s="2519"/>
      <c r="S3275" s="2519"/>
    </row>
    <row r="3276" spans="1:19" s="2358" customFormat="1" outlineLevel="1">
      <c r="A3276" s="2435" t="str">
        <f t="shared" si="697"/>
        <v/>
      </c>
      <c r="B3276" s="2514" t="s">
        <v>1788</v>
      </c>
      <c r="C3276" s="2511"/>
      <c r="D3276" s="2405">
        <v>0</v>
      </c>
      <c r="E3276" s="2447" t="s">
        <v>2668</v>
      </c>
      <c r="F3276" s="2405" t="s">
        <v>2391</v>
      </c>
      <c r="G3276" s="2522">
        <f>G3270*4</f>
        <v>0</v>
      </c>
      <c r="H3276" s="2517">
        <v>31800</v>
      </c>
      <c r="I3276" s="2517">
        <v>0</v>
      </c>
      <c r="J3276" s="2517">
        <v>0</v>
      </c>
      <c r="K3276" s="2517">
        <v>0</v>
      </c>
      <c r="L3276" s="2517">
        <f t="shared" si="692"/>
        <v>0</v>
      </c>
      <c r="M3276" s="2517">
        <f>I3276*G3276</f>
        <v>0</v>
      </c>
      <c r="N3276" s="2517">
        <f>J3276*G3276</f>
        <v>0</v>
      </c>
      <c r="O3276" s="2517">
        <f>K3276*G3276</f>
        <v>0</v>
      </c>
      <c r="P3276" s="2518"/>
      <c r="Q3276" s="2519"/>
      <c r="R3276" s="2519"/>
      <c r="S3276" s="2519"/>
    </row>
    <row r="3277" spans="1:19" s="2358" customFormat="1" outlineLevel="1">
      <c r="A3277" s="2435" t="str">
        <f t="shared" si="697"/>
        <v/>
      </c>
      <c r="B3277" s="2514" t="s">
        <v>516</v>
      </c>
      <c r="C3277" s="2511"/>
      <c r="D3277" s="2405" t="s">
        <v>1460</v>
      </c>
      <c r="E3277" s="2447" t="s">
        <v>5484</v>
      </c>
      <c r="F3277" s="2405" t="s">
        <v>2391</v>
      </c>
      <c r="G3277" s="2522">
        <f>G3270</f>
        <v>0</v>
      </c>
      <c r="H3277" s="2517"/>
      <c r="I3277" s="2517"/>
      <c r="J3277" s="2517" t="s">
        <v>6465</v>
      </c>
      <c r="K3277" s="2517"/>
      <c r="L3277" s="2517">
        <f t="shared" si="692"/>
        <v>0</v>
      </c>
      <c r="M3277" s="2517"/>
      <c r="N3277" s="2517">
        <v>0</v>
      </c>
      <c r="O3277" s="2517"/>
      <c r="P3277" s="2518"/>
      <c r="Q3277" s="2519"/>
      <c r="R3277" s="2519"/>
      <c r="S3277" s="2519"/>
    </row>
    <row r="3278" spans="1:19" s="2358" customFormat="1" outlineLevel="1">
      <c r="A3278" s="2435" t="str">
        <f t="shared" si="697"/>
        <v/>
      </c>
      <c r="B3278" s="2514"/>
      <c r="C3278" s="2511">
        <f>IF(G3278&gt;0,C3270+1,C3270)</f>
        <v>0</v>
      </c>
      <c r="D3278" s="2512"/>
      <c r="E3278" s="2670" t="s">
        <v>6363</v>
      </c>
      <c r="F3278" s="2511" t="s">
        <v>2391</v>
      </c>
      <c r="G3278" s="2516">
        <f>G3236*2</f>
        <v>0</v>
      </c>
      <c r="H3278" s="2517"/>
      <c r="I3278" s="2517"/>
      <c r="J3278" s="2517"/>
      <c r="K3278" s="2517"/>
      <c r="L3278" s="2517">
        <f t="shared" si="692"/>
        <v>0</v>
      </c>
      <c r="M3278" s="2517">
        <f>I3278*G3278</f>
        <v>0</v>
      </c>
      <c r="N3278" s="2517">
        <f>J3278*G3278</f>
        <v>0</v>
      </c>
      <c r="O3278" s="2517">
        <f>K3278*G3278</f>
        <v>0</v>
      </c>
      <c r="P3278" s="2518"/>
      <c r="Q3278" s="2519"/>
      <c r="R3278" s="2519"/>
      <c r="S3278" s="2519"/>
    </row>
    <row r="3279" spans="1:19" s="2358" customFormat="1" ht="14.4" outlineLevel="1">
      <c r="A3279" s="2435" t="str">
        <f>A3278</f>
        <v/>
      </c>
      <c r="B3279" s="2514"/>
      <c r="C3279" s="2511"/>
      <c r="D3279" s="2512"/>
      <c r="E3279" s="2520" t="s">
        <v>6207</v>
      </c>
      <c r="F3279" s="2521"/>
      <c r="G3279" s="2522"/>
      <c r="H3279" s="2517"/>
      <c r="I3279" s="2517"/>
      <c r="J3279" s="2517"/>
      <c r="K3279" s="2517"/>
      <c r="L3279" s="2517">
        <f t="shared" si="692"/>
        <v>0</v>
      </c>
      <c r="M3279" s="2517">
        <f>I3279*G3279</f>
        <v>0</v>
      </c>
      <c r="N3279" s="2517">
        <f>J3279*G3279</f>
        <v>0</v>
      </c>
      <c r="O3279" s="2517">
        <f>K3279*G3279</f>
        <v>0</v>
      </c>
      <c r="P3279" s="2518"/>
      <c r="Q3279" s="2519"/>
      <c r="R3279" s="2519"/>
      <c r="S3279" s="2519"/>
    </row>
    <row r="3280" spans="1:19" s="2358" customFormat="1" outlineLevel="1">
      <c r="A3280" s="2435" t="str">
        <f t="shared" ref="A3280:A3286" si="698">IF(G3280&lt;&gt;0,1,"")</f>
        <v/>
      </c>
      <c r="B3280" s="2514" t="s">
        <v>2026</v>
      </c>
      <c r="C3280" s="2511"/>
      <c r="D3280" s="2405">
        <v>0</v>
      </c>
      <c r="E3280" s="2447" t="s">
        <v>2443</v>
      </c>
      <c r="F3280" s="2405" t="s">
        <v>2254</v>
      </c>
      <c r="G3280" s="2523">
        <f>G3278*9.02*(2.2+4*0.07)</f>
        <v>0</v>
      </c>
      <c r="H3280" s="2517">
        <v>31625</v>
      </c>
      <c r="I3280" s="2517"/>
      <c r="J3280" s="2517">
        <v>0</v>
      </c>
      <c r="K3280" s="2517"/>
      <c r="L3280" s="2517">
        <f t="shared" si="692"/>
        <v>0</v>
      </c>
      <c r="M3280" s="2517"/>
      <c r="N3280" s="2517"/>
      <c r="O3280" s="2517"/>
      <c r="P3280" s="2518"/>
      <c r="Q3280" s="2519"/>
      <c r="R3280" s="2519"/>
      <c r="S3280" s="2519"/>
    </row>
    <row r="3281" spans="1:19" s="2358" customFormat="1" outlineLevel="1">
      <c r="A3281" s="2435" t="str">
        <f t="shared" si="698"/>
        <v/>
      </c>
      <c r="B3281" s="2514" t="s">
        <v>1035</v>
      </c>
      <c r="C3281" s="2511"/>
      <c r="D3281" s="2405">
        <v>0</v>
      </c>
      <c r="E3281" s="2447" t="s">
        <v>2972</v>
      </c>
      <c r="F3281" s="2405" t="s">
        <v>2254</v>
      </c>
      <c r="G3281" s="2523">
        <f>G3278*3.77*0.81*2</f>
        <v>0</v>
      </c>
      <c r="H3281" s="2517">
        <v>31625</v>
      </c>
      <c r="I3281" s="2517"/>
      <c r="J3281" s="2517">
        <v>0</v>
      </c>
      <c r="K3281" s="2517"/>
      <c r="L3281" s="2517">
        <f t="shared" si="692"/>
        <v>0</v>
      </c>
      <c r="M3281" s="2517"/>
      <c r="N3281" s="2517"/>
      <c r="O3281" s="2517"/>
      <c r="P3281" s="2518"/>
      <c r="Q3281" s="2519"/>
      <c r="R3281" s="2519"/>
      <c r="S3281" s="2519"/>
    </row>
    <row r="3282" spans="1:19" s="2358" customFormat="1" outlineLevel="1">
      <c r="A3282" s="2435" t="str">
        <f t="shared" si="698"/>
        <v/>
      </c>
      <c r="B3282" s="2514" t="s">
        <v>1079</v>
      </c>
      <c r="C3282" s="2511"/>
      <c r="D3282" s="2405">
        <v>0</v>
      </c>
      <c r="E3282" s="2447" t="s">
        <v>2659</v>
      </c>
      <c r="F3282" s="2405" t="s">
        <v>2391</v>
      </c>
      <c r="G3282" s="2522">
        <f>G3278*2</f>
        <v>0</v>
      </c>
      <c r="H3282" s="2517">
        <v>27900</v>
      </c>
      <c r="I3282" s="2517">
        <v>0</v>
      </c>
      <c r="J3282" s="2517">
        <v>0</v>
      </c>
      <c r="K3282" s="2517"/>
      <c r="L3282" s="2517">
        <f t="shared" si="692"/>
        <v>0</v>
      </c>
      <c r="M3282" s="2517"/>
      <c r="N3282" s="2517"/>
      <c r="O3282" s="2517"/>
      <c r="P3282" s="2518"/>
      <c r="Q3282" s="2519"/>
      <c r="R3282" s="2519"/>
      <c r="S3282" s="2519"/>
    </row>
    <row r="3283" spans="1:19" s="2358" customFormat="1" outlineLevel="1">
      <c r="A3283" s="2435" t="str">
        <f t="shared" si="698"/>
        <v/>
      </c>
      <c r="B3283" s="2514" t="s">
        <v>1790</v>
      </c>
      <c r="C3283" s="2511"/>
      <c r="D3283" s="2405">
        <v>0</v>
      </c>
      <c r="E3283" s="2447" t="s">
        <v>2647</v>
      </c>
      <c r="F3283" s="2405" t="s">
        <v>2391</v>
      </c>
      <c r="G3283" s="2522">
        <f>G3278*2</f>
        <v>0</v>
      </c>
      <c r="H3283" s="2517">
        <v>12400</v>
      </c>
      <c r="I3283" s="2517">
        <v>0</v>
      </c>
      <c r="J3283" s="2517">
        <v>0</v>
      </c>
      <c r="K3283" s="2517"/>
      <c r="L3283" s="2517">
        <f t="shared" si="692"/>
        <v>0</v>
      </c>
      <c r="M3283" s="2517"/>
      <c r="N3283" s="2517"/>
      <c r="O3283" s="2517"/>
      <c r="P3283" s="2518"/>
      <c r="Q3283" s="2519"/>
      <c r="R3283" s="2519"/>
      <c r="S3283" s="2519"/>
    </row>
    <row r="3284" spans="1:19" s="2358" customFormat="1" outlineLevel="1">
      <c r="A3284" s="2435" t="str">
        <f t="shared" si="698"/>
        <v/>
      </c>
      <c r="B3284" s="2514" t="s">
        <v>988</v>
      </c>
      <c r="C3284" s="2511"/>
      <c r="D3284" s="2405">
        <v>0</v>
      </c>
      <c r="E3284" s="2447" t="s">
        <v>5331</v>
      </c>
      <c r="F3284" s="2405" t="s">
        <v>2391</v>
      </c>
      <c r="G3284" s="2522">
        <f>G3278/3</f>
        <v>0</v>
      </c>
      <c r="H3284" s="2517">
        <v>178900</v>
      </c>
      <c r="I3284" s="2517">
        <v>0</v>
      </c>
      <c r="J3284" s="2517">
        <v>0</v>
      </c>
      <c r="K3284" s="2517"/>
      <c r="L3284" s="2517">
        <f t="shared" si="692"/>
        <v>0</v>
      </c>
      <c r="M3284" s="2517"/>
      <c r="N3284" s="2517"/>
      <c r="O3284" s="2517"/>
      <c r="P3284" s="2518"/>
      <c r="Q3284" s="2519"/>
      <c r="R3284" s="2519"/>
      <c r="S3284" s="2519"/>
    </row>
    <row r="3285" spans="1:19" s="2358" customFormat="1" outlineLevel="1">
      <c r="A3285" s="2435" t="str">
        <f t="shared" si="698"/>
        <v/>
      </c>
      <c r="B3285" s="2514" t="s">
        <v>1999</v>
      </c>
      <c r="C3285" s="2511"/>
      <c r="D3285" s="2405" t="s">
        <v>2271</v>
      </c>
      <c r="E3285" s="2447" t="s">
        <v>5441</v>
      </c>
      <c r="F3285" s="2405" t="s">
        <v>2391</v>
      </c>
      <c r="G3285" s="2522">
        <f>G3278</f>
        <v>0</v>
      </c>
      <c r="H3285" s="2517"/>
      <c r="I3285" s="2517"/>
      <c r="J3285" s="2517" t="s">
        <v>6418</v>
      </c>
      <c r="K3285" s="2517"/>
      <c r="L3285" s="2517">
        <f t="shared" si="692"/>
        <v>0</v>
      </c>
      <c r="M3285" s="2517"/>
      <c r="N3285" s="2517">
        <v>0</v>
      </c>
      <c r="O3285" s="2517"/>
      <c r="P3285" s="2518"/>
      <c r="Q3285" s="2519"/>
      <c r="R3285" s="2519"/>
      <c r="S3285" s="2519"/>
    </row>
    <row r="3286" spans="1:19" s="2358" customFormat="1" outlineLevel="1">
      <c r="A3286" s="2435" t="str">
        <f t="shared" si="698"/>
        <v/>
      </c>
      <c r="B3286" s="2514"/>
      <c r="C3286" s="2511">
        <f>IF(G3286&gt;0,C3278+1,C3278)</f>
        <v>0</v>
      </c>
      <c r="D3286" s="2512"/>
      <c r="E3286" s="2670" t="s">
        <v>4403</v>
      </c>
      <c r="F3286" s="2511" t="s">
        <v>2391</v>
      </c>
      <c r="G3286" s="2516">
        <f>G3236</f>
        <v>0</v>
      </c>
      <c r="H3286" s="2517"/>
      <c r="I3286" s="2517"/>
      <c r="J3286" s="2517"/>
      <c r="K3286" s="2517"/>
      <c r="L3286" s="2517">
        <f t="shared" si="692"/>
        <v>0</v>
      </c>
      <c r="M3286" s="2517">
        <f>I3286*G3286</f>
        <v>0</v>
      </c>
      <c r="N3286" s="2517">
        <f t="shared" ref="N3286:N3294" si="699">J3286*G3286</f>
        <v>0</v>
      </c>
      <c r="O3286" s="2517">
        <f>K3286*G3286</f>
        <v>0</v>
      </c>
      <c r="P3286" s="2518"/>
      <c r="Q3286" s="2519"/>
      <c r="R3286" s="2519"/>
      <c r="S3286" s="2519"/>
    </row>
    <row r="3287" spans="1:19" s="2358" customFormat="1" ht="14.4" outlineLevel="1">
      <c r="A3287" s="2435" t="str">
        <f>A3286</f>
        <v/>
      </c>
      <c r="B3287" s="2671"/>
      <c r="C3287" s="2511"/>
      <c r="D3287" s="2512"/>
      <c r="E3287" s="2520" t="s">
        <v>6364</v>
      </c>
      <c r="F3287" s="2521"/>
      <c r="G3287" s="2522"/>
      <c r="H3287" s="2517"/>
      <c r="I3287" s="2517"/>
      <c r="J3287" s="2517"/>
      <c r="K3287" s="2517"/>
      <c r="L3287" s="2517">
        <f t="shared" si="692"/>
        <v>0</v>
      </c>
      <c r="M3287" s="2517">
        <f>I3287*G3287</f>
        <v>0</v>
      </c>
      <c r="N3287" s="2517">
        <f t="shared" si="699"/>
        <v>0</v>
      </c>
      <c r="O3287" s="2517">
        <f>K3287*G3287</f>
        <v>0</v>
      </c>
      <c r="P3287" s="2518"/>
      <c r="Q3287" s="2519"/>
      <c r="R3287" s="2519"/>
      <c r="S3287" s="2519"/>
    </row>
    <row r="3288" spans="1:19" s="2358" customFormat="1" outlineLevel="1">
      <c r="A3288" s="2435" t="str">
        <f t="shared" ref="A3288:A3294" si="700">IF(G3288&lt;&gt;0,1,"")</f>
        <v/>
      </c>
      <c r="B3288" s="2514" t="s">
        <v>1033</v>
      </c>
      <c r="C3288" s="2511"/>
      <c r="D3288" s="2405">
        <v>0</v>
      </c>
      <c r="E3288" s="2447" t="s">
        <v>2708</v>
      </c>
      <c r="F3288" s="2405" t="s">
        <v>2254</v>
      </c>
      <c r="G3288" s="2523">
        <f>H3*0.224*G3286</f>
        <v>0</v>
      </c>
      <c r="H3288" s="2517">
        <v>255500</v>
      </c>
      <c r="I3288" s="2517"/>
      <c r="J3288" s="2517">
        <v>0</v>
      </c>
      <c r="K3288" s="2517">
        <v>0</v>
      </c>
      <c r="L3288" s="2517">
        <f t="shared" si="692"/>
        <v>0</v>
      </c>
      <c r="M3288" s="2517">
        <f>I3288*G3288</f>
        <v>0</v>
      </c>
      <c r="N3288" s="2517">
        <f t="shared" si="699"/>
        <v>0</v>
      </c>
      <c r="O3288" s="2517">
        <f>K3288*G3288</f>
        <v>0</v>
      </c>
      <c r="P3288" s="2518"/>
      <c r="Q3288" s="2519"/>
      <c r="R3288" s="2519"/>
      <c r="S3288" s="2519"/>
    </row>
    <row r="3289" spans="1:19" s="2358" customFormat="1" outlineLevel="1">
      <c r="A3289" s="2435" t="str">
        <f t="shared" si="700"/>
        <v/>
      </c>
      <c r="B3289" s="2505" t="s">
        <v>1511</v>
      </c>
      <c r="C3289" s="2511"/>
      <c r="D3289" s="2405">
        <v>0</v>
      </c>
      <c r="E3289" s="2447" t="s">
        <v>5224</v>
      </c>
      <c r="F3289" s="2405" t="s">
        <v>2445</v>
      </c>
      <c r="G3289" s="2522">
        <f>H2*G3286</f>
        <v>0</v>
      </c>
      <c r="H3289" s="2517">
        <v>160000</v>
      </c>
      <c r="I3289" s="2517"/>
      <c r="J3289" s="2517">
        <v>0</v>
      </c>
      <c r="K3289" s="2517">
        <v>0</v>
      </c>
      <c r="L3289" s="2517">
        <f t="shared" si="692"/>
        <v>0</v>
      </c>
      <c r="M3289" s="2517">
        <f>I3289*G3289</f>
        <v>0</v>
      </c>
      <c r="N3289" s="2517">
        <f t="shared" si="699"/>
        <v>0</v>
      </c>
      <c r="O3289" s="2517">
        <f>K3289*G3289</f>
        <v>0</v>
      </c>
      <c r="P3289" s="2518"/>
      <c r="Q3289" s="2519"/>
      <c r="R3289" s="2519"/>
      <c r="S3289" s="2519"/>
    </row>
    <row r="3290" spans="1:19" s="2358" customFormat="1" outlineLevel="1">
      <c r="A3290" s="2435" t="str">
        <f t="shared" si="700"/>
        <v/>
      </c>
      <c r="B3290" s="2505" t="s">
        <v>1588</v>
      </c>
      <c r="C3290" s="2511"/>
      <c r="D3290" s="2405">
        <v>0</v>
      </c>
      <c r="E3290" s="2447" t="s">
        <v>5775</v>
      </c>
      <c r="F3290" s="2405" t="s">
        <v>3463</v>
      </c>
      <c r="G3290" s="2522">
        <f>G3286*$L$3</f>
        <v>0</v>
      </c>
      <c r="H3290" s="2517">
        <v>0</v>
      </c>
      <c r="I3290" s="2517"/>
      <c r="J3290" s="2517">
        <v>1500000</v>
      </c>
      <c r="K3290" s="2517">
        <v>0</v>
      </c>
      <c r="L3290" s="2517">
        <f>H3290*G3290</f>
        <v>0</v>
      </c>
      <c r="M3290" s="2517">
        <f>I3290*G3290</f>
        <v>0</v>
      </c>
      <c r="N3290" s="2517">
        <f t="shared" si="699"/>
        <v>0</v>
      </c>
      <c r="O3290" s="2517">
        <f>K3290*G3290</f>
        <v>0</v>
      </c>
      <c r="P3290" s="2518"/>
      <c r="Q3290" s="2519"/>
      <c r="R3290" s="2519"/>
      <c r="S3290" s="2519"/>
    </row>
    <row r="3291" spans="1:19" s="2358" customFormat="1" outlineLevel="1">
      <c r="A3291" s="2435" t="str">
        <f t="shared" si="700"/>
        <v/>
      </c>
      <c r="B3291" s="2514" t="s">
        <v>1582</v>
      </c>
      <c r="C3291" s="2511"/>
      <c r="D3291" s="2405">
        <v>0</v>
      </c>
      <c r="E3291" s="2447" t="s">
        <v>2889</v>
      </c>
      <c r="F3291" s="2405" t="s">
        <v>2563</v>
      </c>
      <c r="G3291" s="2522">
        <f>2*G3286</f>
        <v>0</v>
      </c>
      <c r="H3291" s="2517">
        <v>8000</v>
      </c>
      <c r="I3291" s="2517"/>
      <c r="J3291" s="2517">
        <v>0</v>
      </c>
      <c r="K3291" s="2517"/>
      <c r="L3291" s="2517">
        <f>H3291*G3291</f>
        <v>0</v>
      </c>
      <c r="M3291" s="2517"/>
      <c r="N3291" s="2517">
        <f t="shared" si="699"/>
        <v>0</v>
      </c>
      <c r="O3291" s="2517"/>
      <c r="P3291" s="2518"/>
      <c r="Q3291" s="2519"/>
      <c r="R3291" s="2519"/>
      <c r="S3291" s="2519"/>
    </row>
    <row r="3292" spans="1:19" s="2358" customFormat="1" outlineLevel="1">
      <c r="A3292" s="2435" t="str">
        <f t="shared" si="700"/>
        <v/>
      </c>
      <c r="B3292" s="2514" t="s">
        <v>816</v>
      </c>
      <c r="C3292" s="2511"/>
      <c r="D3292" s="2405">
        <v>0</v>
      </c>
      <c r="E3292" s="2447" t="s">
        <v>3599</v>
      </c>
      <c r="F3292" s="2405" t="s">
        <v>2563</v>
      </c>
      <c r="G3292" s="2522">
        <f>IF(G3289&lt;=12,15,21)*G3286</f>
        <v>0</v>
      </c>
      <c r="H3292" s="2517">
        <v>17600</v>
      </c>
      <c r="I3292" s="2517"/>
      <c r="J3292" s="2517">
        <v>0</v>
      </c>
      <c r="K3292" s="2517"/>
      <c r="L3292" s="2517">
        <f>H3292*G3292</f>
        <v>0</v>
      </c>
      <c r="M3292" s="2517">
        <f>I3292*G3292</f>
        <v>0</v>
      </c>
      <c r="N3292" s="2517">
        <f t="shared" si="699"/>
        <v>0</v>
      </c>
      <c r="O3292" s="2517">
        <f>K3292*G3292</f>
        <v>0</v>
      </c>
      <c r="P3292" s="2518"/>
      <c r="Q3292" s="2519"/>
      <c r="R3292" s="2519"/>
      <c r="S3292" s="2519"/>
    </row>
    <row r="3293" spans="1:19" s="2358" customFormat="1" outlineLevel="1">
      <c r="A3293" s="2435" t="str">
        <f t="shared" si="700"/>
        <v/>
      </c>
      <c r="B3293" s="2505" t="s">
        <v>525</v>
      </c>
      <c r="C3293" s="2511"/>
      <c r="D3293" s="2405">
        <v>0</v>
      </c>
      <c r="E3293" s="2447" t="s">
        <v>5313</v>
      </c>
      <c r="F3293" s="2405" t="s">
        <v>2445</v>
      </c>
      <c r="G3293" s="2522">
        <f>G3286*2</f>
        <v>0</v>
      </c>
      <c r="H3293" s="2517">
        <v>43000</v>
      </c>
      <c r="I3293" s="2517"/>
      <c r="J3293" s="2517">
        <v>0</v>
      </c>
      <c r="K3293" s="2517">
        <v>0</v>
      </c>
      <c r="L3293" s="2517">
        <f>H3293*G3293</f>
        <v>0</v>
      </c>
      <c r="M3293" s="2517">
        <f>I3293*G3293</f>
        <v>0</v>
      </c>
      <c r="N3293" s="2517">
        <f t="shared" si="699"/>
        <v>0</v>
      </c>
      <c r="O3293" s="2517">
        <f>K3293*G3293</f>
        <v>0</v>
      </c>
      <c r="P3293" s="2518"/>
      <c r="Q3293" s="2519"/>
      <c r="R3293" s="2519"/>
      <c r="S3293" s="2519"/>
    </row>
    <row r="3294" spans="1:19" s="2358" customFormat="1" outlineLevel="1">
      <c r="A3294" s="2435" t="str">
        <f t="shared" si="700"/>
        <v/>
      </c>
      <c r="B3294" s="2505" t="s">
        <v>1493</v>
      </c>
      <c r="C3294" s="2511"/>
      <c r="D3294" s="2405">
        <v>0</v>
      </c>
      <c r="E3294" s="2447" t="s">
        <v>3554</v>
      </c>
      <c r="F3294" s="2405" t="s">
        <v>1827</v>
      </c>
      <c r="G3294" s="2522">
        <f>G3286*3</f>
        <v>0</v>
      </c>
      <c r="H3294" s="2517">
        <v>6200</v>
      </c>
      <c r="I3294" s="2517"/>
      <c r="J3294" s="2517">
        <v>0</v>
      </c>
      <c r="K3294" s="2517">
        <v>0</v>
      </c>
      <c r="L3294" s="2517">
        <f>H3294*G3294</f>
        <v>0</v>
      </c>
      <c r="M3294" s="2517">
        <f>I3294*G3294</f>
        <v>0</v>
      </c>
      <c r="N3294" s="2517">
        <f t="shared" si="699"/>
        <v>0</v>
      </c>
      <c r="O3294" s="2517">
        <f>K3294*G3294</f>
        <v>0</v>
      </c>
      <c r="P3294" s="2518"/>
      <c r="Q3294" s="2519"/>
      <c r="R3294" s="2519"/>
      <c r="S3294" s="2519"/>
    </row>
    <row r="3295" spans="1:19" s="2358" customFormat="1" outlineLevel="1">
      <c r="A3295" s="2435">
        <f>IF(G3295=0,0,1)</f>
        <v>0</v>
      </c>
      <c r="B3295" s="2505" t="s">
        <v>794</v>
      </c>
      <c r="C3295" s="2521"/>
      <c r="D3295" s="2405" t="s">
        <v>5398</v>
      </c>
      <c r="E3295" s="2447" t="s">
        <v>3086</v>
      </c>
      <c r="F3295" s="2754" t="s">
        <v>856</v>
      </c>
      <c r="G3295" s="2673">
        <f>H4*G3286</f>
        <v>0</v>
      </c>
      <c r="H3295" s="2517">
        <v>0</v>
      </c>
      <c r="I3295" s="2517"/>
      <c r="J3295" s="2517">
        <v>283749.75</v>
      </c>
      <c r="K3295" s="2517">
        <v>0</v>
      </c>
      <c r="L3295" s="2517">
        <f t="shared" ref="L3295:O3296" si="701">H3295*$G3295</f>
        <v>0</v>
      </c>
      <c r="M3295" s="2517">
        <f t="shared" si="701"/>
        <v>0</v>
      </c>
      <c r="N3295" s="2517">
        <f t="shared" si="701"/>
        <v>0</v>
      </c>
      <c r="O3295" s="2517">
        <f t="shared" si="701"/>
        <v>0</v>
      </c>
      <c r="P3295" s="2518"/>
      <c r="Q3295" s="2519"/>
      <c r="R3295" s="2519"/>
      <c r="S3295" s="2519"/>
    </row>
    <row r="3296" spans="1:19" s="2358" customFormat="1" outlineLevel="1">
      <c r="A3296" s="2435">
        <f>IF(G3296=0,0,1)</f>
        <v>0</v>
      </c>
      <c r="B3296" s="2505" t="s">
        <v>798</v>
      </c>
      <c r="C3296" s="2521"/>
      <c r="D3296" s="2405" t="s">
        <v>5387</v>
      </c>
      <c r="E3296" s="2447" t="s">
        <v>5399</v>
      </c>
      <c r="F3296" s="2754" t="s">
        <v>856</v>
      </c>
      <c r="G3296" s="2673">
        <f>+G3295</f>
        <v>0</v>
      </c>
      <c r="H3296" s="2517">
        <v>0</v>
      </c>
      <c r="I3296" s="2517"/>
      <c r="J3296" s="2517">
        <v>117703.6</v>
      </c>
      <c r="K3296" s="2517">
        <v>0</v>
      </c>
      <c r="L3296" s="2517">
        <f t="shared" si="701"/>
        <v>0</v>
      </c>
      <c r="M3296" s="2517">
        <f t="shared" si="701"/>
        <v>0</v>
      </c>
      <c r="N3296" s="2517">
        <f t="shared" si="701"/>
        <v>0</v>
      </c>
      <c r="O3296" s="2517">
        <f t="shared" si="701"/>
        <v>0</v>
      </c>
      <c r="P3296" s="2518"/>
      <c r="Q3296" s="2519"/>
      <c r="R3296" s="2519"/>
      <c r="S3296" s="2519"/>
    </row>
    <row r="3297" spans="1:19" s="2358" customFormat="1" outlineLevel="1">
      <c r="A3297" s="2435">
        <f>IF(G3297=0,0,1)</f>
        <v>0</v>
      </c>
      <c r="B3297" s="2505" t="s">
        <v>902</v>
      </c>
      <c r="C3297" s="2521"/>
      <c r="D3297" s="2405" t="s">
        <v>5413</v>
      </c>
      <c r="E3297" s="2447" t="s">
        <v>5414</v>
      </c>
      <c r="F3297" s="2754" t="s">
        <v>856</v>
      </c>
      <c r="G3297" s="2642">
        <f>G3289+G3290</f>
        <v>0</v>
      </c>
      <c r="H3297" s="2517">
        <v>0</v>
      </c>
      <c r="I3297" s="2517"/>
      <c r="J3297" s="2517" t="s">
        <v>6386</v>
      </c>
      <c r="K3297" s="2517">
        <v>0</v>
      </c>
      <c r="L3297" s="2517">
        <f>H3297*$G3297</f>
        <v>0</v>
      </c>
      <c r="M3297" s="2517">
        <f>I3297*$G3297</f>
        <v>0</v>
      </c>
      <c r="N3297" s="2517">
        <v>0</v>
      </c>
      <c r="O3297" s="2517">
        <f>K3297*$G3297</f>
        <v>0</v>
      </c>
      <c r="P3297" s="2518"/>
      <c r="Q3297" s="2519"/>
      <c r="R3297" s="2519"/>
      <c r="S3297" s="2519"/>
    </row>
    <row r="3298" spans="1:19" s="2358" customFormat="1" outlineLevel="1">
      <c r="A3298" s="2435" t="str">
        <f>IF(G3298&lt;&gt;0,1,"")</f>
        <v/>
      </c>
      <c r="B3298" s="2505" t="s">
        <v>1440</v>
      </c>
      <c r="C3298" s="2511"/>
      <c r="D3298" s="2405" t="s">
        <v>5408</v>
      </c>
      <c r="E3298" s="2447" t="s">
        <v>5409</v>
      </c>
      <c r="F3298" s="2405" t="s">
        <v>2538</v>
      </c>
      <c r="G3298" s="2522">
        <f>G3288/0.224*G3286</f>
        <v>0</v>
      </c>
      <c r="H3298" s="2517">
        <v>0</v>
      </c>
      <c r="I3298" s="2517"/>
      <c r="J3298" s="2517">
        <v>8070.7000000000007</v>
      </c>
      <c r="K3298" s="2517">
        <v>2044.9974999999999</v>
      </c>
      <c r="L3298" s="2517">
        <f>H3298*G3298</f>
        <v>0</v>
      </c>
      <c r="M3298" s="2517">
        <f>I3298*G3298</f>
        <v>0</v>
      </c>
      <c r="N3298" s="2517">
        <f>J3298*G3298</f>
        <v>0</v>
      </c>
      <c r="O3298" s="2517">
        <f>K3298*G3298</f>
        <v>0</v>
      </c>
      <c r="P3298" s="2518"/>
      <c r="Q3298" s="2519"/>
      <c r="R3298" s="2519"/>
      <c r="S3298" s="2519"/>
    </row>
    <row r="3299" spans="1:19" s="2358" customFormat="1" outlineLevel="1">
      <c r="A3299" s="2435" t="str">
        <f>IF(G3299&lt;&gt;0,1,"")</f>
        <v/>
      </c>
      <c r="B3299" s="2514"/>
      <c r="C3299" s="2511">
        <f>IF(G3299&gt;0,C3286+1,C3286)</f>
        <v>0</v>
      </c>
      <c r="D3299" s="2512"/>
      <c r="E3299" s="2629" t="s">
        <v>6365</v>
      </c>
      <c r="F3299" s="2511" t="s">
        <v>2391</v>
      </c>
      <c r="G3299" s="2516">
        <f>G3236</f>
        <v>0</v>
      </c>
      <c r="H3299" s="2517"/>
      <c r="I3299" s="2517"/>
      <c r="J3299" s="2517"/>
      <c r="K3299" s="2517"/>
      <c r="L3299" s="2517">
        <f t="shared" ref="L3299:L3321" si="702">H3299*G3299</f>
        <v>0</v>
      </c>
      <c r="M3299" s="2517">
        <f t="shared" ref="M3299:M3321" si="703">I3299*G3299</f>
        <v>0</v>
      </c>
      <c r="N3299" s="2517">
        <f t="shared" ref="N3299:N3321" si="704">J3299*G3299</f>
        <v>0</v>
      </c>
      <c r="O3299" s="2517">
        <f t="shared" ref="O3299:O3321" si="705">K3299*G3299</f>
        <v>0</v>
      </c>
      <c r="P3299" s="2518"/>
      <c r="Q3299" s="2519"/>
      <c r="R3299" s="2519"/>
      <c r="S3299" s="2519"/>
    </row>
    <row r="3300" spans="1:19" s="2358" customFormat="1" ht="14.4" outlineLevel="1">
      <c r="A3300" s="2435" t="str">
        <f>A3299</f>
        <v/>
      </c>
      <c r="B3300" s="2514"/>
      <c r="C3300" s="2511"/>
      <c r="D3300" s="2512"/>
      <c r="E3300" s="2520" t="s">
        <v>6207</v>
      </c>
      <c r="F3300" s="2521"/>
      <c r="G3300" s="2522"/>
      <c r="H3300" s="2517"/>
      <c r="I3300" s="2517"/>
      <c r="J3300" s="2517"/>
      <c r="K3300" s="2517"/>
      <c r="L3300" s="2517">
        <f t="shared" si="702"/>
        <v>0</v>
      </c>
      <c r="M3300" s="2517">
        <f t="shared" si="703"/>
        <v>0</v>
      </c>
      <c r="N3300" s="2517">
        <f t="shared" si="704"/>
        <v>0</v>
      </c>
      <c r="O3300" s="2517">
        <f t="shared" si="705"/>
        <v>0</v>
      </c>
      <c r="P3300" s="2518"/>
      <c r="Q3300" s="2519"/>
      <c r="R3300" s="2519"/>
      <c r="S3300" s="2519"/>
    </row>
    <row r="3301" spans="1:19" s="2358" customFormat="1" outlineLevel="1">
      <c r="A3301" s="2435" t="str">
        <f>IF(G3301&lt;&gt;0,1,"")</f>
        <v/>
      </c>
      <c r="B3301" s="2514" t="s">
        <v>6371</v>
      </c>
      <c r="C3301" s="2521"/>
      <c r="D3301" s="2405" t="s">
        <v>5695</v>
      </c>
      <c r="E3301" s="2447" t="s">
        <v>5701</v>
      </c>
      <c r="F3301" s="2405" t="s">
        <v>2563</v>
      </c>
      <c r="G3301" s="2523">
        <f>G3299</f>
        <v>0</v>
      </c>
      <c r="H3301" s="2517">
        <v>70000000</v>
      </c>
      <c r="I3301" s="2517"/>
      <c r="J3301" s="2517">
        <v>690091</v>
      </c>
      <c r="K3301" s="2517">
        <v>97369</v>
      </c>
      <c r="L3301" s="2517">
        <f t="shared" si="702"/>
        <v>0</v>
      </c>
      <c r="M3301" s="2517">
        <f t="shared" si="703"/>
        <v>0</v>
      </c>
      <c r="N3301" s="2517">
        <f t="shared" si="704"/>
        <v>0</v>
      </c>
      <c r="O3301" s="2517">
        <f t="shared" si="705"/>
        <v>0</v>
      </c>
      <c r="P3301" s="2518"/>
      <c r="Q3301" s="2519"/>
      <c r="R3301" s="2519"/>
      <c r="S3301" s="2519"/>
    </row>
    <row r="3302" spans="1:19" s="2358" customFormat="1" outlineLevel="1">
      <c r="A3302" s="2435" t="str">
        <f>IF(G3302&lt;&gt;0,1,"")</f>
        <v/>
      </c>
      <c r="B3302" s="2514" t="s">
        <v>289</v>
      </c>
      <c r="C3302" s="2521"/>
      <c r="D3302" s="2405">
        <v>0</v>
      </c>
      <c r="E3302" s="2447" t="s">
        <v>5774</v>
      </c>
      <c r="F3302" s="2405" t="s">
        <v>2563</v>
      </c>
      <c r="G3302" s="2523">
        <f>G3299</f>
        <v>0</v>
      </c>
      <c r="H3302" s="2517">
        <v>300000</v>
      </c>
      <c r="I3302" s="2517"/>
      <c r="J3302" s="2517">
        <v>0</v>
      </c>
      <c r="K3302" s="2517">
        <v>0</v>
      </c>
      <c r="L3302" s="2517">
        <f t="shared" si="702"/>
        <v>0</v>
      </c>
      <c r="M3302" s="2517">
        <f t="shared" si="703"/>
        <v>0</v>
      </c>
      <c r="N3302" s="2517">
        <f t="shared" si="704"/>
        <v>0</v>
      </c>
      <c r="O3302" s="2517">
        <f t="shared" si="705"/>
        <v>0</v>
      </c>
      <c r="P3302" s="2518"/>
      <c r="Q3302" s="2519"/>
      <c r="R3302" s="2519"/>
      <c r="S3302" s="2519"/>
    </row>
    <row r="3303" spans="1:19" s="2358" customFormat="1" outlineLevel="1">
      <c r="A3303" s="2435" t="str">
        <f>IF(G3303&lt;&gt;0,1,"")</f>
        <v/>
      </c>
      <c r="B3303" s="2514"/>
      <c r="C3303" s="2511">
        <f>IF(G3303&gt;0,C3299+1,C3299)</f>
        <v>0</v>
      </c>
      <c r="D3303" s="2512"/>
      <c r="E3303" s="2515" t="s">
        <v>3776</v>
      </c>
      <c r="F3303" s="2511" t="s">
        <v>2538</v>
      </c>
      <c r="G3303" s="2815"/>
      <c r="H3303" s="2517"/>
      <c r="I3303" s="2517"/>
      <c r="J3303" s="2517"/>
      <c r="K3303" s="2517"/>
      <c r="L3303" s="2517">
        <f t="shared" si="702"/>
        <v>0</v>
      </c>
      <c r="M3303" s="2517">
        <f t="shared" si="703"/>
        <v>0</v>
      </c>
      <c r="N3303" s="2517">
        <f t="shared" si="704"/>
        <v>0</v>
      </c>
      <c r="O3303" s="2517">
        <f t="shared" si="705"/>
        <v>0</v>
      </c>
      <c r="P3303" s="2518"/>
      <c r="Q3303" s="2519"/>
      <c r="R3303" s="2519"/>
      <c r="S3303" s="2519"/>
    </row>
    <row r="3304" spans="1:19" s="2358" customFormat="1" ht="14.4" outlineLevel="1">
      <c r="A3304" s="2435" t="str">
        <f>A3303</f>
        <v/>
      </c>
      <c r="B3304" s="2514"/>
      <c r="C3304" s="2511"/>
      <c r="D3304" s="2512"/>
      <c r="E3304" s="2520" t="s">
        <v>6207</v>
      </c>
      <c r="F3304" s="2521"/>
      <c r="G3304" s="2674"/>
      <c r="H3304" s="2517"/>
      <c r="I3304" s="2517"/>
      <c r="J3304" s="2517"/>
      <c r="K3304" s="2517"/>
      <c r="L3304" s="2517">
        <f t="shared" si="702"/>
        <v>0</v>
      </c>
      <c r="M3304" s="2517">
        <f t="shared" si="703"/>
        <v>0</v>
      </c>
      <c r="N3304" s="2517">
        <f t="shared" si="704"/>
        <v>0</v>
      </c>
      <c r="O3304" s="2517">
        <f t="shared" si="705"/>
        <v>0</v>
      </c>
      <c r="P3304" s="2518"/>
      <c r="Q3304" s="2519"/>
      <c r="R3304" s="2519"/>
      <c r="S3304" s="2519"/>
    </row>
    <row r="3305" spans="1:19" s="2358" customFormat="1" outlineLevel="1">
      <c r="A3305" s="2435" t="str">
        <f t="shared" ref="A3305:A3313" si="706">IF(G3305&lt;&gt;0,1,"")</f>
        <v/>
      </c>
      <c r="B3305" s="2807" t="s">
        <v>752</v>
      </c>
      <c r="C3305" s="2521"/>
      <c r="D3305" s="2405">
        <v>0</v>
      </c>
      <c r="E3305" s="2612" t="s">
        <v>6466</v>
      </c>
      <c r="F3305" s="2405" t="s">
        <v>856</v>
      </c>
      <c r="G3305" s="2523">
        <f>G3303*0.38</f>
        <v>0</v>
      </c>
      <c r="H3305" s="2517">
        <v>512000</v>
      </c>
      <c r="I3305" s="2517"/>
      <c r="J3305" s="2517">
        <v>0</v>
      </c>
      <c r="K3305" s="2517">
        <v>0</v>
      </c>
      <c r="L3305" s="2517">
        <f t="shared" si="702"/>
        <v>0</v>
      </c>
      <c r="M3305" s="2517">
        <f t="shared" si="703"/>
        <v>0</v>
      </c>
      <c r="N3305" s="2517">
        <f t="shared" si="704"/>
        <v>0</v>
      </c>
      <c r="O3305" s="2517">
        <f t="shared" si="705"/>
        <v>0</v>
      </c>
      <c r="P3305" s="2518"/>
      <c r="Q3305" s="2519"/>
      <c r="R3305" s="2519"/>
      <c r="S3305" s="2519"/>
    </row>
    <row r="3306" spans="1:19" s="2358" customFormat="1" outlineLevel="1">
      <c r="A3306" s="2435" t="str">
        <f t="shared" si="706"/>
        <v/>
      </c>
      <c r="B3306" s="2807" t="s">
        <v>867</v>
      </c>
      <c r="C3306" s="2521"/>
      <c r="D3306" s="2405">
        <v>0</v>
      </c>
      <c r="E3306" s="2612" t="s">
        <v>6467</v>
      </c>
      <c r="F3306" s="2405" t="s">
        <v>856</v>
      </c>
      <c r="G3306" s="2523">
        <f>0.12*G3303*0</f>
        <v>0</v>
      </c>
      <c r="H3306" s="2517">
        <v>335000</v>
      </c>
      <c r="I3306" s="2517"/>
      <c r="J3306" s="2517">
        <v>0</v>
      </c>
      <c r="K3306" s="2517">
        <v>0</v>
      </c>
      <c r="L3306" s="2517">
        <f t="shared" si="702"/>
        <v>0</v>
      </c>
      <c r="M3306" s="2517">
        <f t="shared" si="703"/>
        <v>0</v>
      </c>
      <c r="N3306" s="2517">
        <f t="shared" si="704"/>
        <v>0</v>
      </c>
      <c r="O3306" s="2517">
        <f t="shared" si="705"/>
        <v>0</v>
      </c>
      <c r="P3306" s="2518"/>
      <c r="Q3306" s="2519"/>
      <c r="R3306" s="2519"/>
      <c r="S3306" s="2519"/>
    </row>
    <row r="3307" spans="1:19" s="2358" customFormat="1" outlineLevel="1">
      <c r="A3307" s="2435" t="str">
        <f t="shared" si="706"/>
        <v/>
      </c>
      <c r="B3307" s="2807" t="s">
        <v>1679</v>
      </c>
      <c r="C3307" s="2521"/>
      <c r="D3307" s="2405">
        <v>0</v>
      </c>
      <c r="E3307" s="2612" t="s">
        <v>6451</v>
      </c>
      <c r="F3307" s="2405" t="s">
        <v>3024</v>
      </c>
      <c r="G3307" s="2523">
        <f>3.3*G3303</f>
        <v>0</v>
      </c>
      <c r="H3307" s="2517">
        <v>7000</v>
      </c>
      <c r="I3307" s="2517"/>
      <c r="J3307" s="2517">
        <v>0</v>
      </c>
      <c r="K3307" s="2517">
        <v>0</v>
      </c>
      <c r="L3307" s="2517">
        <f t="shared" si="702"/>
        <v>0</v>
      </c>
      <c r="M3307" s="2517">
        <f t="shared" si="703"/>
        <v>0</v>
      </c>
      <c r="N3307" s="2517">
        <f t="shared" si="704"/>
        <v>0</v>
      </c>
      <c r="O3307" s="2517">
        <f t="shared" si="705"/>
        <v>0</v>
      </c>
      <c r="P3307" s="2518"/>
      <c r="Q3307" s="2519"/>
      <c r="R3307" s="2519"/>
      <c r="S3307" s="2519"/>
    </row>
    <row r="3308" spans="1:19" s="2358" customFormat="1" outlineLevel="1">
      <c r="A3308" s="2435" t="str">
        <f t="shared" si="706"/>
        <v/>
      </c>
      <c r="B3308" s="2807" t="s">
        <v>1680</v>
      </c>
      <c r="C3308" s="2521"/>
      <c r="D3308" s="2405" t="s">
        <v>5352</v>
      </c>
      <c r="E3308" s="2612" t="s">
        <v>6452</v>
      </c>
      <c r="F3308" s="2405" t="s">
        <v>1964</v>
      </c>
      <c r="G3308" s="2523">
        <f>0.4*G3303</f>
        <v>0</v>
      </c>
      <c r="H3308" s="2517">
        <v>10000</v>
      </c>
      <c r="I3308" s="2517"/>
      <c r="J3308" s="2517">
        <v>1187.155</v>
      </c>
      <c r="K3308" s="2517">
        <v>0</v>
      </c>
      <c r="L3308" s="2517">
        <f t="shared" si="702"/>
        <v>0</v>
      </c>
      <c r="M3308" s="2517">
        <f t="shared" si="703"/>
        <v>0</v>
      </c>
      <c r="N3308" s="2517">
        <f t="shared" si="704"/>
        <v>0</v>
      </c>
      <c r="O3308" s="2517">
        <f t="shared" si="705"/>
        <v>0</v>
      </c>
      <c r="P3308" s="2518"/>
      <c r="Q3308" s="2519"/>
      <c r="R3308" s="2519"/>
      <c r="S3308" s="2519"/>
    </row>
    <row r="3309" spans="1:19" s="2358" customFormat="1" outlineLevel="1">
      <c r="A3309" s="2435" t="str">
        <f t="shared" si="706"/>
        <v/>
      </c>
      <c r="B3309" s="2807" t="s">
        <v>1521</v>
      </c>
      <c r="C3309" s="2511"/>
      <c r="D3309" s="2405">
        <v>0</v>
      </c>
      <c r="E3309" s="2612" t="s">
        <v>3548</v>
      </c>
      <c r="F3309" s="2405" t="s">
        <v>1827</v>
      </c>
      <c r="G3309" s="2523">
        <f>1*G3303</f>
        <v>0</v>
      </c>
      <c r="H3309" s="2517">
        <v>165250</v>
      </c>
      <c r="I3309" s="2517"/>
      <c r="J3309" s="2517">
        <v>0</v>
      </c>
      <c r="K3309" s="2517">
        <v>0</v>
      </c>
      <c r="L3309" s="2517">
        <f t="shared" si="702"/>
        <v>0</v>
      </c>
      <c r="M3309" s="2517">
        <f t="shared" si="703"/>
        <v>0</v>
      </c>
      <c r="N3309" s="2517">
        <f t="shared" si="704"/>
        <v>0</v>
      </c>
      <c r="O3309" s="2517">
        <f t="shared" si="705"/>
        <v>0</v>
      </c>
      <c r="P3309" s="2518"/>
      <c r="Q3309" s="2519"/>
      <c r="R3309" s="2519"/>
      <c r="S3309" s="2519"/>
    </row>
    <row r="3310" spans="1:19" s="2358" customFormat="1" outlineLevel="1">
      <c r="A3310" s="2435" t="str">
        <f t="shared" si="706"/>
        <v/>
      </c>
      <c r="B3310" s="2807" t="s">
        <v>1682</v>
      </c>
      <c r="C3310" s="2521"/>
      <c r="D3310" s="2405" t="s">
        <v>5395</v>
      </c>
      <c r="E3310" s="2612" t="s">
        <v>6453</v>
      </c>
      <c r="F3310" s="2405" t="s">
        <v>856</v>
      </c>
      <c r="G3310" s="2523">
        <f>G3305+G3306</f>
        <v>0</v>
      </c>
      <c r="H3310" s="2517">
        <v>0</v>
      </c>
      <c r="I3310" s="2517"/>
      <c r="J3310" s="2517">
        <v>315277.5</v>
      </c>
      <c r="K3310" s="2517">
        <v>0</v>
      </c>
      <c r="L3310" s="2517">
        <f t="shared" si="702"/>
        <v>0</v>
      </c>
      <c r="M3310" s="2517">
        <f t="shared" si="703"/>
        <v>0</v>
      </c>
      <c r="N3310" s="2517">
        <f t="shared" si="704"/>
        <v>0</v>
      </c>
      <c r="O3310" s="2517">
        <f t="shared" si="705"/>
        <v>0</v>
      </c>
      <c r="P3310" s="2518"/>
      <c r="Q3310" s="2519"/>
      <c r="R3310" s="2519"/>
      <c r="S3310" s="2519"/>
    </row>
    <row r="3311" spans="1:19" s="2358" customFormat="1" outlineLevel="1">
      <c r="A3311" s="2435" t="str">
        <f t="shared" si="706"/>
        <v/>
      </c>
      <c r="B3311" s="2807" t="s">
        <v>144</v>
      </c>
      <c r="C3311" s="2521"/>
      <c r="D3311" s="2405" t="s">
        <v>5389</v>
      </c>
      <c r="E3311" s="2612" t="s">
        <v>6454</v>
      </c>
      <c r="F3311" s="2405" t="s">
        <v>856</v>
      </c>
      <c r="G3311" s="2523">
        <f>G3303*0.48</f>
        <v>0</v>
      </c>
      <c r="H3311" s="2517">
        <v>0</v>
      </c>
      <c r="I3311" s="2517"/>
      <c r="J3311" s="2517">
        <v>640731.36</v>
      </c>
      <c r="K3311" s="2517">
        <v>0</v>
      </c>
      <c r="L3311" s="2517">
        <f t="shared" si="702"/>
        <v>0</v>
      </c>
      <c r="M3311" s="2517">
        <f t="shared" si="703"/>
        <v>0</v>
      </c>
      <c r="N3311" s="2517">
        <f t="shared" si="704"/>
        <v>0</v>
      </c>
      <c r="O3311" s="2517">
        <f t="shared" si="705"/>
        <v>0</v>
      </c>
      <c r="P3311" s="2518"/>
      <c r="Q3311" s="2519"/>
      <c r="R3311" s="2519"/>
      <c r="S3311" s="2519"/>
    </row>
    <row r="3312" spans="1:19" s="2358" customFormat="1" outlineLevel="1">
      <c r="A3312" s="2435" t="str">
        <f t="shared" si="706"/>
        <v/>
      </c>
      <c r="B3312" s="2807" t="s">
        <v>529</v>
      </c>
      <c r="C3312" s="2521"/>
      <c r="D3312" s="2405" t="s">
        <v>5394</v>
      </c>
      <c r="E3312" s="2612" t="s">
        <v>6468</v>
      </c>
      <c r="F3312" s="2405" t="s">
        <v>856</v>
      </c>
      <c r="G3312" s="2523">
        <f>0.16*G3303</f>
        <v>0</v>
      </c>
      <c r="H3312" s="2517">
        <v>0</v>
      </c>
      <c r="I3312" s="2517"/>
      <c r="J3312" s="2517">
        <v>21935.133999999998</v>
      </c>
      <c r="K3312" s="2517">
        <v>0</v>
      </c>
      <c r="L3312" s="2517">
        <f t="shared" si="702"/>
        <v>0</v>
      </c>
      <c r="M3312" s="2517">
        <f t="shared" si="703"/>
        <v>0</v>
      </c>
      <c r="N3312" s="2517">
        <f t="shared" si="704"/>
        <v>0</v>
      </c>
      <c r="O3312" s="2517">
        <f t="shared" si="705"/>
        <v>0</v>
      </c>
      <c r="P3312" s="2518"/>
      <c r="Q3312" s="2519"/>
      <c r="R3312" s="2675">
        <v>0.47499999999999998</v>
      </c>
      <c r="S3312" s="2519"/>
    </row>
    <row r="3313" spans="1:19" s="2358" customFormat="1" outlineLevel="1">
      <c r="A3313" s="2435" t="str">
        <f t="shared" si="706"/>
        <v/>
      </c>
      <c r="B3313" s="2514"/>
      <c r="C3313" s="2511">
        <f>IF(G3313&gt;0,C3303+1,C3303)</f>
        <v>0</v>
      </c>
      <c r="D3313" s="2512"/>
      <c r="E3313" s="2515" t="s">
        <v>3777</v>
      </c>
      <c r="F3313" s="2511" t="s">
        <v>2391</v>
      </c>
      <c r="G3313" s="2516"/>
      <c r="H3313" s="2517"/>
      <c r="I3313" s="2517"/>
      <c r="J3313" s="2517"/>
      <c r="K3313" s="2517"/>
      <c r="L3313" s="2517">
        <f t="shared" si="702"/>
        <v>0</v>
      </c>
      <c r="M3313" s="2517">
        <f t="shared" si="703"/>
        <v>0</v>
      </c>
      <c r="N3313" s="2517">
        <f t="shared" si="704"/>
        <v>0</v>
      </c>
      <c r="O3313" s="2517">
        <f t="shared" si="705"/>
        <v>0</v>
      </c>
      <c r="P3313" s="2518"/>
      <c r="Q3313" s="2519"/>
      <c r="R3313" s="2675">
        <v>0.88100000000000001</v>
      </c>
      <c r="S3313" s="2519"/>
    </row>
    <row r="3314" spans="1:19" s="2358" customFormat="1" ht="14.4" outlineLevel="1">
      <c r="A3314" s="2435" t="str">
        <f>A3313</f>
        <v/>
      </c>
      <c r="B3314" s="2514"/>
      <c r="C3314" s="2511"/>
      <c r="D3314" s="2512"/>
      <c r="E3314" s="2520" t="s">
        <v>6207</v>
      </c>
      <c r="F3314" s="2521"/>
      <c r="G3314" s="2674"/>
      <c r="H3314" s="2517"/>
      <c r="I3314" s="2517"/>
      <c r="J3314" s="2517"/>
      <c r="K3314" s="2517"/>
      <c r="L3314" s="2517">
        <f t="shared" si="702"/>
        <v>0</v>
      </c>
      <c r="M3314" s="2517">
        <f t="shared" si="703"/>
        <v>0</v>
      </c>
      <c r="N3314" s="2517">
        <f t="shared" si="704"/>
        <v>0</v>
      </c>
      <c r="O3314" s="2517">
        <f t="shared" si="705"/>
        <v>0</v>
      </c>
      <c r="P3314" s="2518"/>
      <c r="Q3314" s="2519"/>
      <c r="R3314" s="2519"/>
      <c r="S3314" s="2519"/>
    </row>
    <row r="3315" spans="1:19" s="2358" customFormat="1" outlineLevel="1">
      <c r="A3315" s="2435" t="str">
        <f t="shared" ref="A3315:A3322" si="707">IF(G3315&lt;&gt;0,1,"")</f>
        <v/>
      </c>
      <c r="B3315" s="2514" t="s">
        <v>623</v>
      </c>
      <c r="C3315" s="2521"/>
      <c r="D3315" s="2405" t="s">
        <v>5367</v>
      </c>
      <c r="E3315" s="2447" t="s">
        <v>5368</v>
      </c>
      <c r="F3315" s="2405" t="s">
        <v>2538</v>
      </c>
      <c r="G3315" s="2523">
        <f>G3313*4</f>
        <v>0</v>
      </c>
      <c r="H3315" s="2517">
        <v>278000</v>
      </c>
      <c r="I3315" s="2517"/>
      <c r="J3315" s="2517">
        <v>127101.65849999999</v>
      </c>
      <c r="K3315" s="2517">
        <v>0</v>
      </c>
      <c r="L3315" s="2517">
        <f t="shared" si="702"/>
        <v>0</v>
      </c>
      <c r="M3315" s="2517">
        <f t="shared" si="703"/>
        <v>0</v>
      </c>
      <c r="N3315" s="2517">
        <f t="shared" si="704"/>
        <v>0</v>
      </c>
      <c r="O3315" s="2517">
        <f t="shared" si="705"/>
        <v>0</v>
      </c>
      <c r="P3315" s="2518"/>
      <c r="Q3315" s="2519"/>
      <c r="R3315" s="2519"/>
      <c r="S3315" s="2519"/>
    </row>
    <row r="3316" spans="1:19" s="2358" customFormat="1" outlineLevel="1">
      <c r="A3316" s="2435" t="str">
        <f t="shared" si="707"/>
        <v/>
      </c>
      <c r="B3316" s="2807" t="s">
        <v>473</v>
      </c>
      <c r="C3316" s="2511"/>
      <c r="D3316" s="2405">
        <v>0</v>
      </c>
      <c r="E3316" s="2447" t="s">
        <v>3570</v>
      </c>
      <c r="F3316" s="2405" t="s">
        <v>2563</v>
      </c>
      <c r="G3316" s="2523">
        <f>G3313*1</f>
        <v>0</v>
      </c>
      <c r="H3316" s="2517">
        <v>138000</v>
      </c>
      <c r="I3316" s="2517"/>
      <c r="J3316" s="2517">
        <v>0</v>
      </c>
      <c r="K3316" s="2517">
        <v>0</v>
      </c>
      <c r="L3316" s="2517">
        <f t="shared" si="702"/>
        <v>0</v>
      </c>
      <c r="M3316" s="2517">
        <f t="shared" si="703"/>
        <v>0</v>
      </c>
      <c r="N3316" s="2517">
        <f t="shared" si="704"/>
        <v>0</v>
      </c>
      <c r="O3316" s="2517">
        <f t="shared" si="705"/>
        <v>0</v>
      </c>
      <c r="P3316" s="2518"/>
      <c r="Q3316" s="2519"/>
      <c r="R3316" s="2519"/>
      <c r="S3316" s="2519"/>
    </row>
    <row r="3317" spans="1:19" s="2358" customFormat="1" outlineLevel="1">
      <c r="A3317" s="2435" t="str">
        <f t="shared" si="707"/>
        <v/>
      </c>
      <c r="B3317" s="2514" t="s">
        <v>120</v>
      </c>
      <c r="C3317" s="2521"/>
      <c r="D3317" s="2405">
        <v>0</v>
      </c>
      <c r="E3317" s="2447" t="s">
        <v>2998</v>
      </c>
      <c r="F3317" s="2405" t="s">
        <v>2445</v>
      </c>
      <c r="G3317" s="2523">
        <f>G3313*2</f>
        <v>0</v>
      </c>
      <c r="H3317" s="2517">
        <v>40000</v>
      </c>
      <c r="I3317" s="2517"/>
      <c r="J3317" s="2517">
        <v>0</v>
      </c>
      <c r="K3317" s="2517">
        <v>0</v>
      </c>
      <c r="L3317" s="2517">
        <f t="shared" si="702"/>
        <v>0</v>
      </c>
      <c r="M3317" s="2517">
        <f t="shared" si="703"/>
        <v>0</v>
      </c>
      <c r="N3317" s="2517">
        <f t="shared" si="704"/>
        <v>0</v>
      </c>
      <c r="O3317" s="2517">
        <f t="shared" si="705"/>
        <v>0</v>
      </c>
      <c r="P3317" s="2518"/>
      <c r="Q3317" s="2519"/>
      <c r="R3317" s="2519"/>
      <c r="S3317" s="2519"/>
    </row>
    <row r="3318" spans="1:19" s="2358" customFormat="1" outlineLevel="1">
      <c r="A3318" s="2435" t="str">
        <f t="shared" si="707"/>
        <v/>
      </c>
      <c r="B3318" s="2505" t="s">
        <v>1412</v>
      </c>
      <c r="C3318" s="2521"/>
      <c r="D3318" s="2405">
        <v>0</v>
      </c>
      <c r="E3318" s="2447" t="s">
        <v>3467</v>
      </c>
      <c r="F3318" s="2405" t="s">
        <v>2445</v>
      </c>
      <c r="G3318" s="2523">
        <f>G3313</f>
        <v>0</v>
      </c>
      <c r="H3318" s="2517">
        <v>150000</v>
      </c>
      <c r="I3318" s="2517"/>
      <c r="J3318" s="2517">
        <v>0</v>
      </c>
      <c r="K3318" s="2517">
        <v>0</v>
      </c>
      <c r="L3318" s="2517">
        <f t="shared" si="702"/>
        <v>0</v>
      </c>
      <c r="M3318" s="2517">
        <f t="shared" si="703"/>
        <v>0</v>
      </c>
      <c r="N3318" s="2517">
        <f t="shared" si="704"/>
        <v>0</v>
      </c>
      <c r="O3318" s="2517">
        <f t="shared" si="705"/>
        <v>0</v>
      </c>
      <c r="P3318" s="2518"/>
      <c r="Q3318" s="2519"/>
      <c r="R3318" s="2519"/>
      <c r="S3318" s="2519"/>
    </row>
    <row r="3319" spans="1:19" s="2358" customFormat="1" outlineLevel="1">
      <c r="A3319" s="2435" t="str">
        <f t="shared" si="707"/>
        <v/>
      </c>
      <c r="B3319" s="2505" t="s">
        <v>984</v>
      </c>
      <c r="C3319" s="2521"/>
      <c r="D3319" s="2405">
        <v>0</v>
      </c>
      <c r="E3319" s="2447" t="s">
        <v>3472</v>
      </c>
      <c r="F3319" s="2405" t="s">
        <v>2445</v>
      </c>
      <c r="G3319" s="2523">
        <f>G3313</f>
        <v>0</v>
      </c>
      <c r="H3319" s="2517">
        <v>224832</v>
      </c>
      <c r="I3319" s="2517"/>
      <c r="J3319" s="2517">
        <v>3635</v>
      </c>
      <c r="K3319" s="2517">
        <v>6321</v>
      </c>
      <c r="L3319" s="2517">
        <f t="shared" si="702"/>
        <v>0</v>
      </c>
      <c r="M3319" s="2517">
        <f t="shared" si="703"/>
        <v>0</v>
      </c>
      <c r="N3319" s="2517">
        <f t="shared" si="704"/>
        <v>0</v>
      </c>
      <c r="O3319" s="2517">
        <f t="shared" si="705"/>
        <v>0</v>
      </c>
      <c r="P3319" s="2518"/>
      <c r="Q3319" s="2519"/>
      <c r="R3319" s="2519"/>
      <c r="S3319" s="2519"/>
    </row>
    <row r="3320" spans="1:19" s="2358" customFormat="1" outlineLevel="1">
      <c r="A3320" s="2435" t="str">
        <f t="shared" si="707"/>
        <v/>
      </c>
      <c r="B3320" s="2514" t="s">
        <v>1413</v>
      </c>
      <c r="C3320" s="2511"/>
      <c r="D3320" s="2405" t="s">
        <v>5403</v>
      </c>
      <c r="E3320" s="2447" t="s">
        <v>5404</v>
      </c>
      <c r="F3320" s="2405" t="s">
        <v>2445</v>
      </c>
      <c r="G3320" s="2523">
        <f>G3318</f>
        <v>0</v>
      </c>
      <c r="H3320" s="2517">
        <v>0</v>
      </c>
      <c r="I3320" s="2517"/>
      <c r="J3320" s="2517">
        <v>28219.62</v>
      </c>
      <c r="K3320" s="2517">
        <v>0</v>
      </c>
      <c r="L3320" s="2517">
        <f t="shared" si="702"/>
        <v>0</v>
      </c>
      <c r="M3320" s="2517">
        <f t="shared" si="703"/>
        <v>0</v>
      </c>
      <c r="N3320" s="2517">
        <f t="shared" si="704"/>
        <v>0</v>
      </c>
      <c r="O3320" s="2517">
        <f t="shared" si="705"/>
        <v>0</v>
      </c>
      <c r="P3320" s="2518"/>
      <c r="Q3320" s="2519"/>
      <c r="R3320" s="2519"/>
      <c r="S3320" s="2519"/>
    </row>
    <row r="3321" spans="1:19" s="2358" customFormat="1" outlineLevel="1">
      <c r="A3321" s="2435" t="str">
        <f t="shared" si="707"/>
        <v/>
      </c>
      <c r="B3321" s="2514" t="s">
        <v>289</v>
      </c>
      <c r="C3321" s="2521"/>
      <c r="D3321" s="2405">
        <v>0</v>
      </c>
      <c r="E3321" s="2447" t="s">
        <v>5774</v>
      </c>
      <c r="F3321" s="2405" t="s">
        <v>2563</v>
      </c>
      <c r="G3321" s="2523">
        <f>G3313</f>
        <v>0</v>
      </c>
      <c r="H3321" s="2517">
        <v>300000</v>
      </c>
      <c r="I3321" s="2517"/>
      <c r="J3321" s="2517">
        <v>0</v>
      </c>
      <c r="K3321" s="2517">
        <v>0</v>
      </c>
      <c r="L3321" s="2517">
        <f t="shared" si="702"/>
        <v>0</v>
      </c>
      <c r="M3321" s="2517">
        <f t="shared" si="703"/>
        <v>0</v>
      </c>
      <c r="N3321" s="2517">
        <f t="shared" si="704"/>
        <v>0</v>
      </c>
      <c r="O3321" s="2517">
        <f t="shared" si="705"/>
        <v>0</v>
      </c>
      <c r="P3321" s="2518"/>
      <c r="Q3321" s="2519"/>
      <c r="R3321" s="2519"/>
      <c r="S3321" s="2519"/>
    </row>
    <row r="3322" spans="1:19" s="2358" customFormat="1" outlineLevel="1">
      <c r="A3322" s="2435" t="str">
        <f t="shared" si="707"/>
        <v/>
      </c>
      <c r="B3322" s="2514"/>
      <c r="C3322" s="2511">
        <f>IF(G3322&gt;0,C3313+1,C3313)</f>
        <v>0</v>
      </c>
      <c r="D3322" s="2512"/>
      <c r="E3322" s="2513" t="s">
        <v>3758</v>
      </c>
      <c r="F3322" s="2511" t="s">
        <v>2391</v>
      </c>
      <c r="G3322" s="2516"/>
      <c r="H3322" s="2517"/>
      <c r="I3322" s="2517"/>
      <c r="J3322" s="2517"/>
      <c r="K3322" s="2517"/>
      <c r="L3322" s="2517"/>
      <c r="M3322" s="2517"/>
      <c r="N3322" s="2517"/>
      <c r="O3322" s="2517"/>
      <c r="P3322" s="2518"/>
      <c r="Q3322" s="2519"/>
      <c r="R3322" s="2519"/>
      <c r="S3322" s="2519"/>
    </row>
    <row r="3323" spans="1:19" s="2358" customFormat="1" ht="14.4" outlineLevel="1">
      <c r="A3323" s="2435" t="str">
        <f>A3322</f>
        <v/>
      </c>
      <c r="B3323" s="2514"/>
      <c r="C3323" s="2511"/>
      <c r="D3323" s="2512"/>
      <c r="E3323" s="2527" t="s">
        <v>6207</v>
      </c>
      <c r="F3323" s="2511"/>
      <c r="G3323" s="2516"/>
      <c r="H3323" s="2517"/>
      <c r="I3323" s="2517"/>
      <c r="J3323" s="2517"/>
      <c r="K3323" s="2517"/>
      <c r="L3323" s="2517"/>
      <c r="M3323" s="2517"/>
      <c r="N3323" s="2517"/>
      <c r="O3323" s="2517"/>
      <c r="P3323" s="2518"/>
      <c r="Q3323" s="2519"/>
      <c r="R3323" s="2519"/>
      <c r="S3323" s="2519"/>
    </row>
    <row r="3324" spans="1:19" s="2358" customFormat="1" outlineLevel="1">
      <c r="A3324" s="2435" t="str">
        <f>IF(G3324&lt;&gt;0,1,"")</f>
        <v/>
      </c>
      <c r="B3324" s="2505" t="s">
        <v>470</v>
      </c>
      <c r="C3324" s="2521"/>
      <c r="D3324" s="2405">
        <v>0</v>
      </c>
      <c r="E3324" s="2447" t="s">
        <v>6469</v>
      </c>
      <c r="F3324" s="2405" t="s">
        <v>2538</v>
      </c>
      <c r="G3324" s="2523">
        <f>(3+10)*1.02*G3322</f>
        <v>0</v>
      </c>
      <c r="H3324" s="2517">
        <v>763500</v>
      </c>
      <c r="I3324" s="2517"/>
      <c r="J3324" s="2517">
        <v>0</v>
      </c>
      <c r="K3324" s="2517">
        <v>0</v>
      </c>
      <c r="L3324" s="2517">
        <f>H3324*G3324</f>
        <v>0</v>
      </c>
      <c r="M3324" s="2517">
        <f>I3324*G3324</f>
        <v>0</v>
      </c>
      <c r="N3324" s="2517">
        <f>J3324*G3324</f>
        <v>0</v>
      </c>
      <c r="O3324" s="2517">
        <f>K3324*G3324</f>
        <v>0</v>
      </c>
      <c r="P3324" s="2518"/>
      <c r="Q3324" s="2519"/>
      <c r="R3324" s="2519"/>
      <c r="S3324" s="2519"/>
    </row>
    <row r="3325" spans="1:19" s="2358" customFormat="1" outlineLevel="1">
      <c r="A3325" s="2435" t="str">
        <f t="shared" ref="A3325:A3334" si="708">IF(G3325&lt;&gt;0,1,"")</f>
        <v/>
      </c>
      <c r="B3325" s="2505" t="s">
        <v>271</v>
      </c>
      <c r="C3325" s="2521"/>
      <c r="D3325" s="2405">
        <v>0</v>
      </c>
      <c r="E3325" s="2447" t="s">
        <v>6470</v>
      </c>
      <c r="F3325" s="2405" t="s">
        <v>2538</v>
      </c>
      <c r="G3325" s="2523">
        <f>G3322*0.5*3</f>
        <v>0</v>
      </c>
      <c r="H3325" s="2517">
        <v>204900</v>
      </c>
      <c r="I3325" s="2517"/>
      <c r="J3325" s="2517">
        <v>0</v>
      </c>
      <c r="K3325" s="2517">
        <v>0</v>
      </c>
      <c r="L3325" s="2517">
        <f>H3325*G3325</f>
        <v>0</v>
      </c>
      <c r="M3325" s="2517">
        <f>I3325*G3325</f>
        <v>0</v>
      </c>
      <c r="N3325" s="2517">
        <f>J3325*G3325</f>
        <v>0</v>
      </c>
      <c r="O3325" s="2517">
        <f>K3325*G3325</f>
        <v>0</v>
      </c>
      <c r="P3325" s="2518"/>
      <c r="Q3325" s="2519"/>
      <c r="R3325" s="2519"/>
      <c r="S3325" s="2519"/>
    </row>
    <row r="3326" spans="1:19" s="2358" customFormat="1" outlineLevel="1">
      <c r="A3326" s="2435" t="str">
        <f t="shared" si="708"/>
        <v/>
      </c>
      <c r="B3326" s="2505" t="s">
        <v>1355</v>
      </c>
      <c r="C3326" s="2521"/>
      <c r="D3326" s="2405">
        <v>0</v>
      </c>
      <c r="E3326" s="2447" t="s">
        <v>3032</v>
      </c>
      <c r="F3326" s="2405" t="s">
        <v>2563</v>
      </c>
      <c r="G3326" s="2523">
        <f>G3322*2</f>
        <v>0</v>
      </c>
      <c r="H3326" s="2517">
        <v>4022000</v>
      </c>
      <c r="I3326" s="2517"/>
      <c r="J3326" s="2517">
        <v>0</v>
      </c>
      <c r="K3326" s="2517">
        <v>0</v>
      </c>
      <c r="L3326" s="2517">
        <f t="shared" ref="L3326:L3331" si="709">H3326*G3326</f>
        <v>0</v>
      </c>
      <c r="M3326" s="2517">
        <f t="shared" ref="M3326:M3331" si="710">I3326*G3326</f>
        <v>0</v>
      </c>
      <c r="N3326" s="2517">
        <f t="shared" ref="N3326:N3331" si="711">J3326*G3326</f>
        <v>0</v>
      </c>
      <c r="O3326" s="2517">
        <f t="shared" ref="O3326:O3331" si="712">K3326*G3326</f>
        <v>0</v>
      </c>
      <c r="P3326" s="2518"/>
      <c r="Q3326" s="2519"/>
      <c r="R3326" s="2519"/>
      <c r="S3326" s="2519"/>
    </row>
    <row r="3327" spans="1:19" s="2358" customFormat="1" outlineLevel="1">
      <c r="A3327" s="2435" t="str">
        <f t="shared" si="708"/>
        <v/>
      </c>
      <c r="B3327" s="2505" t="s">
        <v>470</v>
      </c>
      <c r="C3327" s="2521"/>
      <c r="D3327" s="2405">
        <v>0</v>
      </c>
      <c r="E3327" s="2447" t="s">
        <v>6459</v>
      </c>
      <c r="F3327" s="2405" t="s">
        <v>2538</v>
      </c>
      <c r="G3327" s="2523">
        <f>(1.2+2.4)*G3322</f>
        <v>0</v>
      </c>
      <c r="H3327" s="2517">
        <v>763500</v>
      </c>
      <c r="I3327" s="2517"/>
      <c r="J3327" s="2517">
        <v>0</v>
      </c>
      <c r="K3327" s="2517">
        <v>0</v>
      </c>
      <c r="L3327" s="2517">
        <f t="shared" si="709"/>
        <v>0</v>
      </c>
      <c r="M3327" s="2517">
        <f t="shared" si="710"/>
        <v>0</v>
      </c>
      <c r="N3327" s="2517">
        <f t="shared" si="711"/>
        <v>0</v>
      </c>
      <c r="O3327" s="2517">
        <f t="shared" si="712"/>
        <v>0</v>
      </c>
      <c r="P3327" s="2518"/>
      <c r="Q3327" s="2519"/>
      <c r="R3327" s="2519"/>
      <c r="S3327" s="2519"/>
    </row>
    <row r="3328" spans="1:19" s="2358" customFormat="1" outlineLevel="1">
      <c r="A3328" s="2435" t="str">
        <f t="shared" si="708"/>
        <v/>
      </c>
      <c r="B3328" s="2505" t="s">
        <v>271</v>
      </c>
      <c r="C3328" s="2521"/>
      <c r="D3328" s="2405">
        <v>0</v>
      </c>
      <c r="E3328" s="2447" t="s">
        <v>6460</v>
      </c>
      <c r="F3328" s="2405" t="s">
        <v>2538</v>
      </c>
      <c r="G3328" s="2523">
        <f>G3327*0</f>
        <v>0</v>
      </c>
      <c r="H3328" s="2517">
        <v>204900</v>
      </c>
      <c r="I3328" s="2517"/>
      <c r="J3328" s="2517">
        <v>0</v>
      </c>
      <c r="K3328" s="2517">
        <v>0</v>
      </c>
      <c r="L3328" s="2517">
        <f t="shared" si="709"/>
        <v>0</v>
      </c>
      <c r="M3328" s="2517">
        <f t="shared" si="710"/>
        <v>0</v>
      </c>
      <c r="N3328" s="2517">
        <f t="shared" si="711"/>
        <v>0</v>
      </c>
      <c r="O3328" s="2517">
        <f t="shared" si="712"/>
        <v>0</v>
      </c>
      <c r="P3328" s="2518"/>
      <c r="Q3328" s="2519"/>
      <c r="R3328" s="2519"/>
      <c r="S3328" s="2519"/>
    </row>
    <row r="3329" spans="1:19" s="2358" customFormat="1" outlineLevel="1">
      <c r="A3329" s="2435" t="str">
        <f t="shared" si="708"/>
        <v/>
      </c>
      <c r="B3329" s="2505" t="s">
        <v>1356</v>
      </c>
      <c r="C3329" s="2521"/>
      <c r="D3329" s="2405">
        <v>0</v>
      </c>
      <c r="E3329" s="2447" t="s">
        <v>3039</v>
      </c>
      <c r="F3329" s="2405" t="s">
        <v>2563</v>
      </c>
      <c r="G3329" s="2523">
        <f>G3322*3</f>
        <v>0</v>
      </c>
      <c r="H3329" s="2517">
        <v>5242230</v>
      </c>
      <c r="I3329" s="2517"/>
      <c r="J3329" s="2517">
        <v>0</v>
      </c>
      <c r="K3329" s="2517">
        <v>0</v>
      </c>
      <c r="L3329" s="2517">
        <f t="shared" si="709"/>
        <v>0</v>
      </c>
      <c r="M3329" s="2517">
        <f t="shared" si="710"/>
        <v>0</v>
      </c>
      <c r="N3329" s="2517">
        <f t="shared" si="711"/>
        <v>0</v>
      </c>
      <c r="O3329" s="2517">
        <f t="shared" si="712"/>
        <v>0</v>
      </c>
      <c r="P3329" s="2518"/>
      <c r="Q3329" s="2519"/>
      <c r="R3329" s="2519"/>
      <c r="S3329" s="2519"/>
    </row>
    <row r="3330" spans="1:19" s="2358" customFormat="1" outlineLevel="1">
      <c r="A3330" s="2435" t="str">
        <f t="shared" si="708"/>
        <v/>
      </c>
      <c r="B3330" s="2505" t="s">
        <v>1678</v>
      </c>
      <c r="C3330" s="2521"/>
      <c r="D3330" s="2405" t="s">
        <v>5521</v>
      </c>
      <c r="E3330" s="2447" t="s">
        <v>3196</v>
      </c>
      <c r="F3330" s="2405" t="s">
        <v>2563</v>
      </c>
      <c r="G3330" s="2523">
        <f>G3326+G3329</f>
        <v>0</v>
      </c>
      <c r="H3330" s="2517">
        <v>11340</v>
      </c>
      <c r="I3330" s="2517"/>
      <c r="J3330" s="2517">
        <v>621381.64999999991</v>
      </c>
      <c r="K3330" s="2517">
        <v>0</v>
      </c>
      <c r="L3330" s="2517">
        <f t="shared" si="709"/>
        <v>0</v>
      </c>
      <c r="M3330" s="2517">
        <f t="shared" si="710"/>
        <v>0</v>
      </c>
      <c r="N3330" s="2517">
        <f t="shared" si="711"/>
        <v>0</v>
      </c>
      <c r="O3330" s="2517">
        <f t="shared" si="712"/>
        <v>0</v>
      </c>
      <c r="P3330" s="2518"/>
      <c r="Q3330" s="2519"/>
      <c r="R3330" s="2519"/>
      <c r="S3330" s="2519"/>
    </row>
    <row r="3331" spans="1:19" s="2358" customFormat="1" outlineLevel="1">
      <c r="A3331" s="2435" t="str">
        <f t="shared" si="708"/>
        <v/>
      </c>
      <c r="B3331" s="2505" t="s">
        <v>1182</v>
      </c>
      <c r="C3331" s="2521"/>
      <c r="D3331" s="2405" t="s">
        <v>5614</v>
      </c>
      <c r="E3331" s="2447" t="s">
        <v>3277</v>
      </c>
      <c r="F3331" s="2405" t="s">
        <v>2538</v>
      </c>
      <c r="G3331" s="2523">
        <f>G3324+G3327</f>
        <v>0</v>
      </c>
      <c r="H3331" s="2517">
        <v>546.91999999999996</v>
      </c>
      <c r="I3331" s="2517"/>
      <c r="J3331" s="2517">
        <v>21459.713</v>
      </c>
      <c r="K3331" s="2517">
        <v>0</v>
      </c>
      <c r="L3331" s="2517">
        <f t="shared" si="709"/>
        <v>0</v>
      </c>
      <c r="M3331" s="2517">
        <f t="shared" si="710"/>
        <v>0</v>
      </c>
      <c r="N3331" s="2517">
        <f t="shared" si="711"/>
        <v>0</v>
      </c>
      <c r="O3331" s="2517">
        <f t="shared" si="712"/>
        <v>0</v>
      </c>
      <c r="P3331" s="2518"/>
      <c r="Q3331" s="2519"/>
      <c r="R3331" s="2519"/>
      <c r="S3331" s="2519"/>
    </row>
    <row r="3332" spans="1:19" s="2358" customFormat="1" outlineLevel="1">
      <c r="A3332" s="2435" t="str">
        <f t="shared" si="708"/>
        <v/>
      </c>
      <c r="B3332" s="2505" t="s">
        <v>1528</v>
      </c>
      <c r="C3332" s="2521"/>
      <c r="D3332" s="2405" t="s">
        <v>5633</v>
      </c>
      <c r="E3332" s="2447" t="s">
        <v>3310</v>
      </c>
      <c r="F3332" s="2405" t="s">
        <v>1827</v>
      </c>
      <c r="G3332" s="2523">
        <f>G3325</f>
        <v>0</v>
      </c>
      <c r="H3332" s="2517">
        <v>0</v>
      </c>
      <c r="I3332" s="2517"/>
      <c r="J3332" s="2517">
        <v>13915</v>
      </c>
      <c r="K3332" s="2517">
        <v>0</v>
      </c>
      <c r="L3332" s="2517">
        <f>H3332*G3332</f>
        <v>0</v>
      </c>
      <c r="M3332" s="2517">
        <f>I3332*G3332</f>
        <v>0</v>
      </c>
      <c r="N3332" s="2517">
        <f>J3332*G3332</f>
        <v>0</v>
      </c>
      <c r="O3332" s="2517">
        <f>K3332*G3332</f>
        <v>0</v>
      </c>
      <c r="P3332" s="2518"/>
      <c r="Q3332" s="2519"/>
      <c r="R3332" s="2519"/>
      <c r="S3332" s="2519"/>
    </row>
    <row r="3333" spans="1:19" s="2358" customFormat="1" outlineLevel="1">
      <c r="A3333" s="2435" t="str">
        <f t="shared" si="708"/>
        <v/>
      </c>
      <c r="B3333" s="2505" t="s">
        <v>1352</v>
      </c>
      <c r="C3333" s="2521"/>
      <c r="D3333" s="2405">
        <v>0</v>
      </c>
      <c r="E3333" s="2447" t="s">
        <v>3536</v>
      </c>
      <c r="F3333" s="2405" t="s">
        <v>3537</v>
      </c>
      <c r="G3333" s="2523">
        <f>G3322*2</f>
        <v>0</v>
      </c>
      <c r="H3333" s="2517">
        <v>15000</v>
      </c>
      <c r="I3333" s="2517"/>
      <c r="J3333" s="2517">
        <v>0</v>
      </c>
      <c r="K3333" s="2517">
        <v>0</v>
      </c>
      <c r="L3333" s="2517">
        <f>H3333*G3333</f>
        <v>0</v>
      </c>
      <c r="M3333" s="2517">
        <f>I3333*G3333</f>
        <v>0</v>
      </c>
      <c r="N3333" s="2517">
        <f>J3333*G3333</f>
        <v>0</v>
      </c>
      <c r="O3333" s="2517">
        <f>K3333*G3333</f>
        <v>0</v>
      </c>
      <c r="P3333" s="2518"/>
      <c r="Q3333" s="2519"/>
      <c r="R3333" s="2519"/>
      <c r="S3333" s="2519"/>
    </row>
    <row r="3334" spans="1:19" s="2358" customFormat="1" outlineLevel="1">
      <c r="A3334" s="2435" t="str">
        <f t="shared" si="708"/>
        <v/>
      </c>
      <c r="B3334" s="2514"/>
      <c r="C3334" s="2511">
        <f>IF(G3334&gt;0,C3322+1,C3322)</f>
        <v>0</v>
      </c>
      <c r="D3334" s="2512"/>
      <c r="E3334" s="2513" t="s">
        <v>3745</v>
      </c>
      <c r="F3334" s="2511" t="s">
        <v>2391</v>
      </c>
      <c r="G3334" s="2516">
        <f>G3236</f>
        <v>0</v>
      </c>
      <c r="H3334" s="2517"/>
      <c r="I3334" s="2517"/>
      <c r="J3334" s="2517"/>
      <c r="K3334" s="2517"/>
      <c r="L3334" s="2517"/>
      <c r="M3334" s="2517"/>
      <c r="N3334" s="2517"/>
      <c r="O3334" s="2517"/>
      <c r="P3334" s="2518"/>
      <c r="Q3334" s="2519"/>
      <c r="R3334" s="2519"/>
      <c r="S3334" s="2519"/>
    </row>
    <row r="3335" spans="1:19" s="2358" customFormat="1" ht="14.4" outlineLevel="1">
      <c r="A3335" s="2435" t="str">
        <f>A3334</f>
        <v/>
      </c>
      <c r="B3335" s="2514"/>
      <c r="C3335" s="2511"/>
      <c r="D3335" s="2512"/>
      <c r="E3335" s="2527" t="s">
        <v>6207</v>
      </c>
      <c r="F3335" s="2511"/>
      <c r="G3335" s="2516"/>
      <c r="H3335" s="2517"/>
      <c r="I3335" s="2517"/>
      <c r="J3335" s="2517"/>
      <c r="K3335" s="2517"/>
      <c r="L3335" s="2517"/>
      <c r="M3335" s="2517"/>
      <c r="N3335" s="2517"/>
      <c r="O3335" s="2517"/>
      <c r="P3335" s="2518"/>
      <c r="Q3335" s="2519"/>
      <c r="R3335" s="2519"/>
      <c r="S3335" s="2519"/>
    </row>
    <row r="3336" spans="1:19" s="2358" customFormat="1" outlineLevel="1">
      <c r="A3336" s="2435" t="str">
        <f t="shared" ref="A3336:A3342" si="713">IF(G3336&lt;&gt;0,1,"")</f>
        <v/>
      </c>
      <c r="B3336" s="2505" t="s">
        <v>697</v>
      </c>
      <c r="C3336" s="2521"/>
      <c r="D3336" s="2405">
        <v>0</v>
      </c>
      <c r="E3336" s="2447" t="s">
        <v>5139</v>
      </c>
      <c r="F3336" s="2405" t="s">
        <v>2538</v>
      </c>
      <c r="G3336" s="2522">
        <f>G3334*9*3</f>
        <v>0</v>
      </c>
      <c r="H3336" s="2517">
        <v>50996</v>
      </c>
      <c r="I3336" s="2517"/>
      <c r="J3336" s="2517">
        <v>0</v>
      </c>
      <c r="K3336" s="2517">
        <v>0</v>
      </c>
      <c r="L3336" s="2517">
        <f t="shared" ref="L3336:L3342" si="714">H3336*G3336</f>
        <v>0</v>
      </c>
      <c r="M3336" s="2517">
        <f>I3336*G3336</f>
        <v>0</v>
      </c>
      <c r="N3336" s="2517">
        <f t="shared" ref="N3336:N3342" si="715">J3336*G3336</f>
        <v>0</v>
      </c>
      <c r="O3336" s="2517">
        <f t="shared" ref="O3336:O3342" si="716">K3336*G3336</f>
        <v>0</v>
      </c>
      <c r="P3336" s="2518"/>
      <c r="Q3336" s="2519"/>
      <c r="R3336" s="2519"/>
      <c r="S3336" s="2519"/>
    </row>
    <row r="3337" spans="1:19" s="2358" customFormat="1" outlineLevel="1">
      <c r="A3337" s="2435" t="str">
        <f t="shared" si="713"/>
        <v/>
      </c>
      <c r="B3337" s="2610" t="s">
        <v>1115</v>
      </c>
      <c r="C3337" s="2521"/>
      <c r="D3337" s="2405">
        <v>0</v>
      </c>
      <c r="E3337" s="2447" t="s">
        <v>2887</v>
      </c>
      <c r="F3337" s="2405" t="s">
        <v>2563</v>
      </c>
      <c r="G3337" s="2522">
        <f>G3334*3*2</f>
        <v>0</v>
      </c>
      <c r="H3337" s="2517">
        <v>6000</v>
      </c>
      <c r="I3337" s="2517"/>
      <c r="J3337" s="2517">
        <v>0</v>
      </c>
      <c r="K3337" s="2517">
        <v>0</v>
      </c>
      <c r="L3337" s="2517">
        <f t="shared" si="714"/>
        <v>0</v>
      </c>
      <c r="M3337" s="2517">
        <v>0</v>
      </c>
      <c r="N3337" s="2517">
        <f t="shared" si="715"/>
        <v>0</v>
      </c>
      <c r="O3337" s="2517">
        <f t="shared" si="716"/>
        <v>0</v>
      </c>
      <c r="P3337" s="2518"/>
      <c r="Q3337" s="2519"/>
      <c r="R3337" s="2519"/>
      <c r="S3337" s="2519"/>
    </row>
    <row r="3338" spans="1:19" s="2358" customFormat="1" outlineLevel="1">
      <c r="A3338" s="2435" t="str">
        <f>IF(G3338&lt;&gt;0,1,"")</f>
        <v/>
      </c>
      <c r="B3338" s="2610" t="s">
        <v>30</v>
      </c>
      <c r="C3338" s="2521"/>
      <c r="D3338" s="2405">
        <v>0</v>
      </c>
      <c r="E3338" s="2447" t="s">
        <v>2699</v>
      </c>
      <c r="F3338" s="2405" t="s">
        <v>2391</v>
      </c>
      <c r="G3338" s="2522">
        <f>+G3334*6</f>
        <v>0</v>
      </c>
      <c r="H3338" s="2517">
        <v>34000</v>
      </c>
      <c r="I3338" s="2517"/>
      <c r="J3338" s="2517">
        <v>0</v>
      </c>
      <c r="K3338" s="2517">
        <v>0</v>
      </c>
      <c r="L3338" s="2517">
        <f>H3338*G3338</f>
        <v>0</v>
      </c>
      <c r="M3338" s="2517">
        <v>0</v>
      </c>
      <c r="N3338" s="2517">
        <f>J3338*G3338</f>
        <v>0</v>
      </c>
      <c r="O3338" s="2517">
        <f>K3338*G3338</f>
        <v>0</v>
      </c>
      <c r="P3338" s="2518"/>
      <c r="Q3338" s="2519"/>
      <c r="R3338" s="2519"/>
      <c r="S3338" s="2519"/>
    </row>
    <row r="3339" spans="1:19" s="2358" customFormat="1" outlineLevel="1">
      <c r="A3339" s="2435" t="str">
        <f t="shared" si="713"/>
        <v/>
      </c>
      <c r="B3339" s="2610" t="s">
        <v>1482</v>
      </c>
      <c r="C3339" s="2521"/>
      <c r="D3339" s="2405">
        <v>0</v>
      </c>
      <c r="E3339" s="2447" t="s">
        <v>3810</v>
      </c>
      <c r="F3339" s="2405" t="s">
        <v>2563</v>
      </c>
      <c r="G3339" s="2522">
        <f>G3334*3</f>
        <v>0</v>
      </c>
      <c r="H3339" s="2517">
        <v>46000</v>
      </c>
      <c r="I3339" s="2517"/>
      <c r="J3339" s="2517">
        <v>0</v>
      </c>
      <c r="K3339" s="2517">
        <v>0</v>
      </c>
      <c r="L3339" s="2517">
        <f t="shared" si="714"/>
        <v>0</v>
      </c>
      <c r="M3339" s="2517">
        <f>I3339*G3339</f>
        <v>0</v>
      </c>
      <c r="N3339" s="2517">
        <f t="shared" si="715"/>
        <v>0</v>
      </c>
      <c r="O3339" s="2517">
        <f t="shared" si="716"/>
        <v>0</v>
      </c>
      <c r="P3339" s="2518"/>
      <c r="Q3339" s="2519"/>
      <c r="R3339" s="2519"/>
      <c r="S3339" s="2519"/>
    </row>
    <row r="3340" spans="1:19" s="2358" customFormat="1" outlineLevel="1">
      <c r="A3340" s="2435" t="str">
        <f t="shared" si="713"/>
        <v/>
      </c>
      <c r="B3340" s="2610" t="s">
        <v>1480</v>
      </c>
      <c r="C3340" s="2521"/>
      <c r="D3340" s="2405">
        <v>0</v>
      </c>
      <c r="E3340" s="2447" t="s">
        <v>6420</v>
      </c>
      <c r="F3340" s="2405" t="s">
        <v>2563</v>
      </c>
      <c r="G3340" s="2522">
        <f>G3339</f>
        <v>0</v>
      </c>
      <c r="H3340" s="2517">
        <v>77000</v>
      </c>
      <c r="I3340" s="2517"/>
      <c r="J3340" s="2517">
        <v>0</v>
      </c>
      <c r="K3340" s="2517">
        <v>0</v>
      </c>
      <c r="L3340" s="2517">
        <f t="shared" si="714"/>
        <v>0</v>
      </c>
      <c r="M3340" s="2517">
        <f>I3340*G3340</f>
        <v>0</v>
      </c>
      <c r="N3340" s="2517">
        <f t="shared" si="715"/>
        <v>0</v>
      </c>
      <c r="O3340" s="2517">
        <f t="shared" si="716"/>
        <v>0</v>
      </c>
      <c r="P3340" s="2518"/>
      <c r="Q3340" s="2519"/>
      <c r="R3340" s="2519"/>
      <c r="S3340" s="2519"/>
    </row>
    <row r="3341" spans="1:19" s="2358" customFormat="1" outlineLevel="1">
      <c r="A3341" s="2435" t="str">
        <f t="shared" si="713"/>
        <v/>
      </c>
      <c r="B3341" s="2505" t="s">
        <v>696</v>
      </c>
      <c r="C3341" s="2642"/>
      <c r="D3341" s="2405">
        <v>0</v>
      </c>
      <c r="E3341" s="2447" t="s">
        <v>2952</v>
      </c>
      <c r="F3341" s="2405" t="s">
        <v>2563</v>
      </c>
      <c r="G3341" s="2522">
        <f>+G3334*3*3</f>
        <v>0</v>
      </c>
      <c r="H3341" s="2517">
        <v>205000</v>
      </c>
      <c r="I3341" s="2517"/>
      <c r="J3341" s="2517">
        <v>0</v>
      </c>
      <c r="K3341" s="2517">
        <v>0</v>
      </c>
      <c r="L3341" s="2517">
        <f t="shared" si="714"/>
        <v>0</v>
      </c>
      <c r="M3341" s="2517">
        <f>I3341*G3341</f>
        <v>0</v>
      </c>
      <c r="N3341" s="2517">
        <f t="shared" si="715"/>
        <v>0</v>
      </c>
      <c r="O3341" s="2517">
        <f t="shared" si="716"/>
        <v>0</v>
      </c>
      <c r="P3341" s="2518"/>
      <c r="Q3341" s="2519"/>
      <c r="R3341" s="2519"/>
      <c r="S3341" s="2519"/>
    </row>
    <row r="3342" spans="1:19" s="2358" customFormat="1" outlineLevel="1">
      <c r="A3342" s="2435" t="str">
        <f t="shared" si="713"/>
        <v/>
      </c>
      <c r="B3342" s="2505" t="s">
        <v>1268</v>
      </c>
      <c r="C3342" s="2521"/>
      <c r="D3342" s="2405">
        <v>0</v>
      </c>
      <c r="E3342" s="2447" t="s">
        <v>2831</v>
      </c>
      <c r="F3342" s="2405" t="s">
        <v>2563</v>
      </c>
      <c r="G3342" s="2522">
        <f>+G3341</f>
        <v>0</v>
      </c>
      <c r="H3342" s="2517">
        <v>65000</v>
      </c>
      <c r="I3342" s="2517"/>
      <c r="J3342" s="2517">
        <v>0</v>
      </c>
      <c r="K3342" s="2517">
        <v>0</v>
      </c>
      <c r="L3342" s="2517">
        <f t="shared" si="714"/>
        <v>0</v>
      </c>
      <c r="M3342" s="2517">
        <f>I3342*G3342</f>
        <v>0</v>
      </c>
      <c r="N3342" s="2517">
        <f t="shared" si="715"/>
        <v>0</v>
      </c>
      <c r="O3342" s="2517">
        <f t="shared" si="716"/>
        <v>0</v>
      </c>
      <c r="P3342" s="2518"/>
      <c r="Q3342" s="2519"/>
      <c r="R3342" s="2519"/>
      <c r="S3342" s="2519"/>
    </row>
    <row r="3343" spans="1:19" s="2358" customFormat="1" outlineLevel="1">
      <c r="A3343" s="2435" t="str">
        <f>IF(G3343&lt;&gt;0,1,"")</f>
        <v/>
      </c>
      <c r="B3343" s="2505" t="s">
        <v>347</v>
      </c>
      <c r="C3343" s="2521"/>
      <c r="D3343" s="2405" t="s">
        <v>5622</v>
      </c>
      <c r="E3343" s="2447" t="s">
        <v>3289</v>
      </c>
      <c r="F3343" s="2405" t="s">
        <v>2445</v>
      </c>
      <c r="G3343" s="2522">
        <f>G3341</f>
        <v>0</v>
      </c>
      <c r="H3343" s="2517">
        <v>510</v>
      </c>
      <c r="I3343" s="2517"/>
      <c r="J3343" s="2517">
        <v>58277.49</v>
      </c>
      <c r="K3343" s="2517">
        <v>0</v>
      </c>
      <c r="L3343" s="2517">
        <f>H3343*G3343</f>
        <v>0</v>
      </c>
      <c r="M3343" s="2517">
        <f>I3343*G3343</f>
        <v>0</v>
      </c>
      <c r="N3343" s="2517">
        <f>J3343*G3343</f>
        <v>0</v>
      </c>
      <c r="O3343" s="2517">
        <f>K3343*G3343</f>
        <v>0</v>
      </c>
      <c r="P3343" s="2518"/>
      <c r="Q3343" s="2519"/>
      <c r="R3343" s="2519"/>
      <c r="S3343" s="2519"/>
    </row>
    <row r="3344" spans="1:19" s="2358" customFormat="1" outlineLevel="1">
      <c r="A3344" s="2435" t="str">
        <f>IF(G3344&lt;&gt;0,1,"")</f>
        <v/>
      </c>
      <c r="B3344" s="2505"/>
      <c r="C3344" s="2511">
        <f>IF(G3344&gt;0,C3334+1,C3334)</f>
        <v>0</v>
      </c>
      <c r="D3344" s="2512"/>
      <c r="E3344" s="2513" t="s">
        <v>6367</v>
      </c>
      <c r="F3344" s="2511" t="s">
        <v>2391</v>
      </c>
      <c r="G3344" s="2522">
        <f>G3322+G3334</f>
        <v>0</v>
      </c>
      <c r="H3344" s="2517"/>
      <c r="I3344" s="2517"/>
      <c r="J3344" s="2517"/>
      <c r="K3344" s="2517"/>
      <c r="L3344" s="2517"/>
      <c r="M3344" s="2517"/>
      <c r="N3344" s="2517"/>
      <c r="O3344" s="2517"/>
      <c r="P3344" s="2518"/>
      <c r="Q3344" s="2519"/>
      <c r="R3344" s="2519"/>
      <c r="S3344" s="2519"/>
    </row>
    <row r="3345" spans="1:19" s="2358" customFormat="1" ht="14.4" outlineLevel="1">
      <c r="A3345" s="2435" t="str">
        <f>A3344</f>
        <v/>
      </c>
      <c r="B3345" s="2505"/>
      <c r="C3345" s="2511"/>
      <c r="D3345" s="2512"/>
      <c r="E3345" s="2527" t="s">
        <v>6207</v>
      </c>
      <c r="F3345" s="2511"/>
      <c r="G3345" s="2522"/>
      <c r="H3345" s="2517"/>
      <c r="I3345" s="2517"/>
      <c r="J3345" s="2517"/>
      <c r="K3345" s="2517"/>
      <c r="L3345" s="2517"/>
      <c r="M3345" s="2517"/>
      <c r="N3345" s="2517"/>
      <c r="O3345" s="2517"/>
      <c r="P3345" s="2518"/>
      <c r="Q3345" s="2519"/>
      <c r="R3345" s="2519"/>
      <c r="S3345" s="2519"/>
    </row>
    <row r="3346" spans="1:19" s="2358" customFormat="1" outlineLevel="1">
      <c r="A3346" s="2435" t="str">
        <f t="shared" ref="A3346:A3354" si="717">IF(G3346&lt;&gt;0,1,"")</f>
        <v/>
      </c>
      <c r="B3346" s="2514" t="s">
        <v>1241</v>
      </c>
      <c r="C3346" s="2521"/>
      <c r="D3346" s="2823"/>
      <c r="E3346" s="2447" t="s">
        <v>2756</v>
      </c>
      <c r="F3346" s="2405" t="s">
        <v>2538</v>
      </c>
      <c r="G3346" s="2522">
        <f>G3344*(8*3*4+2*8)</f>
        <v>0</v>
      </c>
      <c r="H3346" s="2517">
        <v>479000</v>
      </c>
      <c r="I3346" s="2517"/>
      <c r="J3346" s="2517">
        <v>0</v>
      </c>
      <c r="K3346" s="2517">
        <v>0</v>
      </c>
      <c r="L3346" s="2517">
        <f t="shared" ref="L3346:L3354" si="718">H3346*G3346</f>
        <v>0</v>
      </c>
      <c r="M3346" s="2517">
        <f t="shared" ref="M3346:M3354" si="719">I3346*G3346</f>
        <v>0</v>
      </c>
      <c r="N3346" s="2517">
        <f t="shared" ref="N3346:N3354" si="720">J3346*G3346</f>
        <v>0</v>
      </c>
      <c r="O3346" s="2517">
        <f t="shared" ref="O3346:O3354" si="721">K3346*G3346</f>
        <v>0</v>
      </c>
      <c r="P3346" s="2518"/>
      <c r="Q3346" s="2519"/>
      <c r="R3346" s="2519">
        <f>48*(30+6)</f>
        <v>1728</v>
      </c>
      <c r="S3346" s="2519"/>
    </row>
    <row r="3347" spans="1:19" s="2358" customFormat="1" outlineLevel="1">
      <c r="A3347" s="2435" t="str">
        <f t="shared" si="717"/>
        <v/>
      </c>
      <c r="B3347" s="2514" t="s">
        <v>448</v>
      </c>
      <c r="C3347" s="2521"/>
      <c r="D3347" s="2405" t="s">
        <v>5794</v>
      </c>
      <c r="E3347" s="2447" t="s">
        <v>3505</v>
      </c>
      <c r="F3347" s="2405" t="s">
        <v>2563</v>
      </c>
      <c r="G3347" s="2522">
        <f>+G3344*28</f>
        <v>0</v>
      </c>
      <c r="H3347" s="2517">
        <v>70000</v>
      </c>
      <c r="I3347" s="2517"/>
      <c r="J3347" s="2517">
        <v>59410.148000000001</v>
      </c>
      <c r="K3347" s="2517">
        <v>5554.0464950000005</v>
      </c>
      <c r="L3347" s="2517">
        <f t="shared" si="718"/>
        <v>0</v>
      </c>
      <c r="M3347" s="2517">
        <f t="shared" si="719"/>
        <v>0</v>
      </c>
      <c r="N3347" s="2517">
        <f t="shared" si="720"/>
        <v>0</v>
      </c>
      <c r="O3347" s="2517">
        <f t="shared" si="721"/>
        <v>0</v>
      </c>
      <c r="P3347" s="2518"/>
      <c r="Q3347" s="2519"/>
      <c r="R3347" s="2519"/>
      <c r="S3347" s="2519"/>
    </row>
    <row r="3348" spans="1:19" s="2358" customFormat="1" outlineLevel="1">
      <c r="A3348" s="2435" t="str">
        <f t="shared" si="717"/>
        <v/>
      </c>
      <c r="B3348" s="2514" t="s">
        <v>1072</v>
      </c>
      <c r="C3348" s="2521"/>
      <c r="D3348" s="2405">
        <v>0</v>
      </c>
      <c r="E3348" s="2447" t="s">
        <v>3519</v>
      </c>
      <c r="F3348" s="2405" t="s">
        <v>2563</v>
      </c>
      <c r="G3348" s="2522">
        <f>G3347</f>
        <v>0</v>
      </c>
      <c r="H3348" s="2517">
        <v>6000</v>
      </c>
      <c r="I3348" s="2517"/>
      <c r="J3348" s="2517">
        <v>0</v>
      </c>
      <c r="K3348" s="2517">
        <v>0</v>
      </c>
      <c r="L3348" s="2517">
        <f t="shared" si="718"/>
        <v>0</v>
      </c>
      <c r="M3348" s="2517">
        <f t="shared" si="719"/>
        <v>0</v>
      </c>
      <c r="N3348" s="2517">
        <f t="shared" si="720"/>
        <v>0</v>
      </c>
      <c r="O3348" s="2517">
        <f t="shared" si="721"/>
        <v>0</v>
      </c>
      <c r="P3348" s="2518"/>
      <c r="Q3348" s="2519"/>
      <c r="R3348" s="2519"/>
      <c r="S3348" s="2519"/>
    </row>
    <row r="3349" spans="1:19" s="2358" customFormat="1" outlineLevel="1">
      <c r="A3349" s="2435" t="str">
        <f t="shared" si="717"/>
        <v/>
      </c>
      <c r="B3349" s="2514" t="s">
        <v>1042</v>
      </c>
      <c r="C3349" s="2521"/>
      <c r="D3349" s="2405">
        <v>0</v>
      </c>
      <c r="E3349" s="2447" t="s">
        <v>3549</v>
      </c>
      <c r="F3349" s="2405" t="s">
        <v>1827</v>
      </c>
      <c r="G3349" s="2522">
        <f>6*G3344*$L$2*0</f>
        <v>0</v>
      </c>
      <c r="H3349" s="2517">
        <v>103700</v>
      </c>
      <c r="I3349" s="2517"/>
      <c r="J3349" s="2517">
        <v>0</v>
      </c>
      <c r="K3349" s="2517">
        <v>0</v>
      </c>
      <c r="L3349" s="2517">
        <f t="shared" si="718"/>
        <v>0</v>
      </c>
      <c r="M3349" s="2517">
        <f t="shared" si="719"/>
        <v>0</v>
      </c>
      <c r="N3349" s="2517">
        <f t="shared" si="720"/>
        <v>0</v>
      </c>
      <c r="O3349" s="2517">
        <f t="shared" si="721"/>
        <v>0</v>
      </c>
      <c r="P3349" s="2518"/>
      <c r="Q3349" s="2519"/>
      <c r="R3349" s="2519"/>
      <c r="S3349" s="2519"/>
    </row>
    <row r="3350" spans="1:19" s="2358" customFormat="1" outlineLevel="1">
      <c r="A3350" s="2435" t="str">
        <f t="shared" si="717"/>
        <v/>
      </c>
      <c r="B3350" s="2505" t="s">
        <v>731</v>
      </c>
      <c r="C3350" s="2521"/>
      <c r="D3350" s="2405">
        <v>0</v>
      </c>
      <c r="E3350" s="2447" t="s">
        <v>5319</v>
      </c>
      <c r="F3350" s="2405" t="s">
        <v>2445</v>
      </c>
      <c r="G3350" s="2522">
        <f>G3344*2*$L$2*0</f>
        <v>0</v>
      </c>
      <c r="H3350" s="2517">
        <v>50000</v>
      </c>
      <c r="I3350" s="2517"/>
      <c r="J3350" s="2517">
        <v>0</v>
      </c>
      <c r="K3350" s="2517">
        <v>0</v>
      </c>
      <c r="L3350" s="2517">
        <f t="shared" si="718"/>
        <v>0</v>
      </c>
      <c r="M3350" s="2517">
        <f t="shared" si="719"/>
        <v>0</v>
      </c>
      <c r="N3350" s="2517">
        <f t="shared" si="720"/>
        <v>0</v>
      </c>
      <c r="O3350" s="2517">
        <f t="shared" si="721"/>
        <v>0</v>
      </c>
      <c r="P3350" s="2518"/>
      <c r="Q3350" s="2675"/>
      <c r="R3350" s="2519"/>
      <c r="S3350" s="2519"/>
    </row>
    <row r="3351" spans="1:19" s="2358" customFormat="1" outlineLevel="1">
      <c r="A3351" s="2435" t="str">
        <f t="shared" si="717"/>
        <v/>
      </c>
      <c r="B3351" s="2514" t="s">
        <v>1043</v>
      </c>
      <c r="C3351" s="2521"/>
      <c r="D3351" s="2405">
        <v>0</v>
      </c>
      <c r="E3351" s="2447" t="s">
        <v>5860</v>
      </c>
      <c r="F3351" s="2405" t="s">
        <v>2563</v>
      </c>
      <c r="G3351" s="2522">
        <f>G3344*2*$L$2*0</f>
        <v>0</v>
      </c>
      <c r="H3351" s="2517">
        <v>104800</v>
      </c>
      <c r="I3351" s="2517"/>
      <c r="J3351" s="2517">
        <v>0</v>
      </c>
      <c r="K3351" s="2517">
        <v>0</v>
      </c>
      <c r="L3351" s="2517">
        <f t="shared" si="718"/>
        <v>0</v>
      </c>
      <c r="M3351" s="2517">
        <f t="shared" si="719"/>
        <v>0</v>
      </c>
      <c r="N3351" s="2517">
        <f t="shared" si="720"/>
        <v>0</v>
      </c>
      <c r="O3351" s="2517">
        <f t="shared" si="721"/>
        <v>0</v>
      </c>
      <c r="P3351" s="2518"/>
      <c r="Q3351" s="2519"/>
      <c r="R3351" s="2519"/>
      <c r="S3351" s="2519"/>
    </row>
    <row r="3352" spans="1:19" s="2358" customFormat="1" outlineLevel="1">
      <c r="A3352" s="2435" t="str">
        <f t="shared" si="717"/>
        <v/>
      </c>
      <c r="B3352" s="2514" t="s">
        <v>2173</v>
      </c>
      <c r="C3352" s="2521"/>
      <c r="D3352" s="2405">
        <v>0</v>
      </c>
      <c r="E3352" s="2447" t="s">
        <v>3593</v>
      </c>
      <c r="F3352" s="2405" t="s">
        <v>2563</v>
      </c>
      <c r="G3352" s="2522">
        <f>G3344*$L$2*0</f>
        <v>0</v>
      </c>
      <c r="H3352" s="2517">
        <v>41900</v>
      </c>
      <c r="I3352" s="2517"/>
      <c r="J3352" s="2517">
        <v>0</v>
      </c>
      <c r="K3352" s="2517">
        <v>0</v>
      </c>
      <c r="L3352" s="2517">
        <f t="shared" si="718"/>
        <v>0</v>
      </c>
      <c r="M3352" s="2517">
        <f t="shared" si="719"/>
        <v>0</v>
      </c>
      <c r="N3352" s="2517">
        <f t="shared" si="720"/>
        <v>0</v>
      </c>
      <c r="O3352" s="2517">
        <f t="shared" si="721"/>
        <v>0</v>
      </c>
      <c r="P3352" s="2518"/>
      <c r="Q3352" s="2519"/>
      <c r="R3352" s="2519"/>
      <c r="S3352" s="2519"/>
    </row>
    <row r="3353" spans="1:19" s="2358" customFormat="1" outlineLevel="1">
      <c r="A3353" s="2435" t="str">
        <f t="shared" si="717"/>
        <v/>
      </c>
      <c r="B3353" s="2514" t="s">
        <v>2174</v>
      </c>
      <c r="C3353" s="2521"/>
      <c r="D3353" s="2405">
        <v>0</v>
      </c>
      <c r="E3353" s="2447" t="s">
        <v>3597</v>
      </c>
      <c r="F3353" s="2405" t="s">
        <v>2563</v>
      </c>
      <c r="G3353" s="2522">
        <f>G3352</f>
        <v>0</v>
      </c>
      <c r="H3353" s="2517">
        <v>41900</v>
      </c>
      <c r="I3353" s="2517"/>
      <c r="J3353" s="2517">
        <v>0</v>
      </c>
      <c r="K3353" s="2517">
        <v>0</v>
      </c>
      <c r="L3353" s="2517">
        <f t="shared" si="718"/>
        <v>0</v>
      </c>
      <c r="M3353" s="2517">
        <f t="shared" si="719"/>
        <v>0</v>
      </c>
      <c r="N3353" s="2517">
        <f t="shared" si="720"/>
        <v>0</v>
      </c>
      <c r="O3353" s="2517">
        <f t="shared" si="721"/>
        <v>0</v>
      </c>
      <c r="P3353" s="2518"/>
      <c r="Q3353" s="2519"/>
      <c r="R3353" s="2519"/>
      <c r="S3353" s="2519"/>
    </row>
    <row r="3354" spans="1:19" s="2358" customFormat="1" outlineLevel="1">
      <c r="A3354" s="2435" t="str">
        <f t="shared" si="717"/>
        <v/>
      </c>
      <c r="B3354" s="2514" t="s">
        <v>726</v>
      </c>
      <c r="C3354" s="2521"/>
      <c r="D3354" s="2405">
        <v>0</v>
      </c>
      <c r="E3354" s="2447" t="s">
        <v>3590</v>
      </c>
      <c r="F3354" s="2405" t="s">
        <v>388</v>
      </c>
      <c r="G3354" s="2522">
        <f>G3344*2*$L$2*0</f>
        <v>0</v>
      </c>
      <c r="H3354" s="2517">
        <v>54100</v>
      </c>
      <c r="I3354" s="2517"/>
      <c r="J3354" s="2517">
        <v>0</v>
      </c>
      <c r="K3354" s="2517">
        <v>0</v>
      </c>
      <c r="L3354" s="2517">
        <f t="shared" si="718"/>
        <v>0</v>
      </c>
      <c r="M3354" s="2517">
        <f t="shared" si="719"/>
        <v>0</v>
      </c>
      <c r="N3354" s="2517">
        <f t="shared" si="720"/>
        <v>0</v>
      </c>
      <c r="O3354" s="2517">
        <f t="shared" si="721"/>
        <v>0</v>
      </c>
      <c r="P3354" s="2518"/>
      <c r="Q3354" s="2519"/>
      <c r="R3354" s="2519"/>
      <c r="S3354" s="2519"/>
    </row>
    <row r="3355" spans="1:19" s="2358" customFormat="1" outlineLevel="1">
      <c r="A3355" s="2435" t="str">
        <f>IF(G3355&lt;&gt;0,1,"")</f>
        <v/>
      </c>
      <c r="B3355" s="2505" t="s">
        <v>6</v>
      </c>
      <c r="C3355" s="2521"/>
      <c r="D3355" s="2405"/>
      <c r="E3355" s="2447" t="s">
        <v>3585</v>
      </c>
      <c r="F3355" s="2405" t="s">
        <v>5868</v>
      </c>
      <c r="G3355" s="2522"/>
      <c r="H3355" s="2517">
        <v>45000</v>
      </c>
      <c r="I3355" s="2517"/>
      <c r="J3355" s="2517"/>
      <c r="K3355" s="2517"/>
      <c r="L3355" s="2517">
        <f>H3355*G3355</f>
        <v>0</v>
      </c>
      <c r="M3355" s="2517">
        <f>I3355*G3355</f>
        <v>0</v>
      </c>
      <c r="N3355" s="2517">
        <f>J3355*G3355</f>
        <v>0</v>
      </c>
      <c r="O3355" s="2517">
        <f>K3355*G3355</f>
        <v>0</v>
      </c>
      <c r="P3355" s="2518"/>
      <c r="Q3355" s="2519"/>
      <c r="R3355" s="2519"/>
      <c r="S3355" s="2519"/>
    </row>
    <row r="3356" spans="1:19" s="2358" customFormat="1" outlineLevel="1">
      <c r="A3356" s="2435" t="str">
        <f>IF(G3356&lt;&gt;0,1,"")</f>
        <v/>
      </c>
      <c r="B3356" s="2514" t="s">
        <v>1351</v>
      </c>
      <c r="C3356" s="2521"/>
      <c r="D3356" s="2405">
        <v>0</v>
      </c>
      <c r="E3356" s="2447" t="s">
        <v>3536</v>
      </c>
      <c r="F3356" s="2405" t="s">
        <v>3537</v>
      </c>
      <c r="G3356" s="2522">
        <f>G3344</f>
        <v>0</v>
      </c>
      <c r="H3356" s="2517">
        <v>15000</v>
      </c>
      <c r="I3356" s="2517"/>
      <c r="J3356" s="2517">
        <v>0</v>
      </c>
      <c r="K3356" s="2517">
        <v>0</v>
      </c>
      <c r="L3356" s="2517">
        <f>H3356*G3356</f>
        <v>0</v>
      </c>
      <c r="M3356" s="2517">
        <f>I3356*G3356</f>
        <v>0</v>
      </c>
      <c r="N3356" s="2517">
        <f>J3356*G3356</f>
        <v>0</v>
      </c>
      <c r="O3356" s="2517">
        <f>K3356*G3356</f>
        <v>0</v>
      </c>
      <c r="P3356" s="2518"/>
      <c r="Q3356" s="2519"/>
      <c r="R3356" s="2519"/>
      <c r="S3356" s="2519"/>
    </row>
    <row r="3357" spans="1:19" s="2358" customFormat="1" outlineLevel="1">
      <c r="A3357" s="2435" t="str">
        <f>IF(G3357&lt;&gt;0,1,"")</f>
        <v/>
      </c>
      <c r="B3357" s="2505" t="s">
        <v>672</v>
      </c>
      <c r="C3357" s="2521"/>
      <c r="D3357" s="2405">
        <v>0</v>
      </c>
      <c r="E3357" s="2447" t="s">
        <v>5863</v>
      </c>
      <c r="F3357" s="2405" t="s">
        <v>3584</v>
      </c>
      <c r="G3357" s="2522">
        <f>G3344*5</f>
        <v>0</v>
      </c>
      <c r="H3357" s="2517">
        <v>6500</v>
      </c>
      <c r="I3357" s="2517"/>
      <c r="J3357" s="2517">
        <v>0</v>
      </c>
      <c r="K3357" s="2517">
        <v>0</v>
      </c>
      <c r="L3357" s="2517">
        <f>H3357*G3357</f>
        <v>0</v>
      </c>
      <c r="M3357" s="2517">
        <f>I3357*G3357</f>
        <v>0</v>
      </c>
      <c r="N3357" s="2517">
        <f>J3357*G3357</f>
        <v>0</v>
      </c>
      <c r="O3357" s="2517">
        <f>K3357*G3357</f>
        <v>0</v>
      </c>
      <c r="P3357" s="2518"/>
      <c r="Q3357" s="2519"/>
      <c r="R3357" s="2519"/>
      <c r="S3357" s="2519"/>
    </row>
    <row r="3358" spans="1:19" s="2358" customFormat="1" outlineLevel="1">
      <c r="A3358" s="2435" t="str">
        <f>IF(G3358&lt;&gt;0,1,"")</f>
        <v/>
      </c>
      <c r="B3358" s="2505" t="s">
        <v>247</v>
      </c>
      <c r="C3358" s="2824"/>
      <c r="D3358" s="2405" t="s">
        <v>5635</v>
      </c>
      <c r="E3358" s="2447" t="s">
        <v>5636</v>
      </c>
      <c r="F3358" s="2405" t="s">
        <v>1827</v>
      </c>
      <c r="G3358" s="2522">
        <f>G3346</f>
        <v>0</v>
      </c>
      <c r="H3358" s="2517">
        <v>0</v>
      </c>
      <c r="I3358" s="2517"/>
      <c r="J3358" s="2517">
        <v>47311</v>
      </c>
      <c r="K3358" s="2517">
        <v>0</v>
      </c>
      <c r="L3358" s="2517">
        <f>H3358*G3358</f>
        <v>0</v>
      </c>
      <c r="M3358" s="2517">
        <f>I3358*G3358</f>
        <v>0</v>
      </c>
      <c r="N3358" s="2517">
        <f>J3358*G3358</f>
        <v>0</v>
      </c>
      <c r="O3358" s="2517">
        <f>K3358*G3358</f>
        <v>0</v>
      </c>
      <c r="P3358" s="2518"/>
      <c r="Q3358" s="2519"/>
      <c r="R3358" s="2519"/>
      <c r="S3358" s="2519"/>
    </row>
    <row r="3359" spans="1:19" s="2358" customFormat="1" outlineLevel="1">
      <c r="A3359" s="2435" t="str">
        <f>IF(G3359&lt;&gt;0,1,"")</f>
        <v/>
      </c>
      <c r="B3359" s="2505"/>
      <c r="C3359" s="2511">
        <f>IF(G3359&gt;0,C3344+1,C3344)</f>
        <v>0</v>
      </c>
      <c r="D3359" s="2512"/>
      <c r="E3359" s="2513" t="s">
        <v>6327</v>
      </c>
      <c r="F3359" s="2511" t="s">
        <v>2391</v>
      </c>
      <c r="G3359" s="2522">
        <f>G3246</f>
        <v>0</v>
      </c>
      <c r="H3359" s="2517"/>
      <c r="I3359" s="2517"/>
      <c r="J3359" s="2517"/>
      <c r="K3359" s="2517"/>
      <c r="L3359" s="2517"/>
      <c r="M3359" s="2517"/>
      <c r="N3359" s="2517"/>
      <c r="O3359" s="2517"/>
      <c r="P3359" s="2518"/>
      <c r="Q3359" s="2519"/>
      <c r="R3359" s="2519"/>
      <c r="S3359" s="2519"/>
    </row>
    <row r="3360" spans="1:19" s="2541" customFormat="1" ht="14.4" outlineLevel="1">
      <c r="A3360" s="2435" t="str">
        <f>A3359</f>
        <v/>
      </c>
      <c r="B3360" s="2753"/>
      <c r="C3360" s="2511"/>
      <c r="D3360" s="2512"/>
      <c r="E3360" s="2527" t="s">
        <v>6207</v>
      </c>
      <c r="F3360" s="2511"/>
      <c r="G3360" s="2516"/>
      <c r="H3360" s="2517"/>
      <c r="I3360" s="2517"/>
      <c r="J3360" s="2517"/>
      <c r="K3360" s="2517"/>
      <c r="L3360" s="2517">
        <f>SUBTOTAL(9,L3361:L3381)*0</f>
        <v>0</v>
      </c>
      <c r="M3360" s="2517">
        <f>SUBTOTAL(9,M3361:M3381)</f>
        <v>0</v>
      </c>
      <c r="N3360" s="2517">
        <f>SUBTOTAL(9,N3361:N3381)*0</f>
        <v>0</v>
      </c>
      <c r="O3360" s="2517">
        <f>SUBTOTAL(9,O3361:O3381)*0</f>
        <v>0</v>
      </c>
      <c r="P3360" s="2518"/>
      <c r="Q3360" s="2686"/>
      <c r="R3360" s="2686"/>
      <c r="S3360" s="2686"/>
    </row>
    <row r="3361" spans="1:19" s="2358" customFormat="1" outlineLevel="1">
      <c r="A3361" s="2435">
        <f>IF(G3361=0,0,1)</f>
        <v>0</v>
      </c>
      <c r="B3361" s="2514" t="s">
        <v>1826</v>
      </c>
      <c r="C3361" s="2642"/>
      <c r="D3361" s="2405" t="s">
        <v>1530</v>
      </c>
      <c r="E3361" s="2612" t="s">
        <v>2792</v>
      </c>
      <c r="F3361" s="2754" t="s">
        <v>2538</v>
      </c>
      <c r="G3361" s="2522">
        <f>G3359*26</f>
        <v>0</v>
      </c>
      <c r="H3361" s="2517">
        <v>28200</v>
      </c>
      <c r="I3361" s="2517"/>
      <c r="J3361" s="2517">
        <v>0</v>
      </c>
      <c r="K3361" s="2517">
        <v>0</v>
      </c>
      <c r="L3361" s="2517">
        <f t="shared" ref="L3361:O3381" si="722">H3361*$G3361</f>
        <v>0</v>
      </c>
      <c r="M3361" s="2517">
        <f t="shared" si="722"/>
        <v>0</v>
      </c>
      <c r="N3361" s="2517">
        <f t="shared" si="722"/>
        <v>0</v>
      </c>
      <c r="O3361" s="2517">
        <f t="shared" si="722"/>
        <v>0</v>
      </c>
      <c r="P3361" s="2518"/>
      <c r="Q3361" s="2519"/>
      <c r="R3361" s="2519"/>
      <c r="S3361" s="2519"/>
    </row>
    <row r="3362" spans="1:19" s="2358" customFormat="1" outlineLevel="1">
      <c r="A3362" s="2435">
        <f>IF(G3362=0,0,1)</f>
        <v>0</v>
      </c>
      <c r="B3362" s="2505" t="s">
        <v>6328</v>
      </c>
      <c r="C3362" s="2521"/>
      <c r="D3362" s="2405">
        <v>0</v>
      </c>
      <c r="E3362" s="2612" t="s">
        <v>5105</v>
      </c>
      <c r="F3362" s="2754" t="s">
        <v>2445</v>
      </c>
      <c r="G3362" s="2522">
        <f>G3359*24</f>
        <v>0</v>
      </c>
      <c r="H3362" s="2517">
        <v>7900</v>
      </c>
      <c r="I3362" s="2517"/>
      <c r="J3362" s="2517">
        <v>0</v>
      </c>
      <c r="K3362" s="2517">
        <v>0</v>
      </c>
      <c r="L3362" s="2517">
        <f t="shared" si="722"/>
        <v>0</v>
      </c>
      <c r="M3362" s="2517">
        <f t="shared" si="722"/>
        <v>0</v>
      </c>
      <c r="N3362" s="2517">
        <f t="shared" si="722"/>
        <v>0</v>
      </c>
      <c r="O3362" s="2517">
        <f t="shared" si="722"/>
        <v>0</v>
      </c>
      <c r="P3362" s="2518"/>
      <c r="Q3362" s="2519"/>
      <c r="R3362" s="2519"/>
      <c r="S3362" s="2519"/>
    </row>
    <row r="3363" spans="1:19" s="2358" customFormat="1" outlineLevel="1">
      <c r="A3363" s="2435">
        <f>IF(G3363=0,0,1)</f>
        <v>0</v>
      </c>
      <c r="B3363" s="2505" t="s">
        <v>6329</v>
      </c>
      <c r="C3363" s="2521"/>
      <c r="D3363" s="2405">
        <v>0</v>
      </c>
      <c r="E3363" s="2612" t="s">
        <v>2632</v>
      </c>
      <c r="F3363" s="2754" t="s">
        <v>2445</v>
      </c>
      <c r="G3363" s="2522">
        <f>G3362</f>
        <v>0</v>
      </c>
      <c r="H3363" s="2517">
        <v>1500</v>
      </c>
      <c r="I3363" s="2517"/>
      <c r="J3363" s="2517">
        <v>0</v>
      </c>
      <c r="K3363" s="2517">
        <v>0</v>
      </c>
      <c r="L3363" s="2517">
        <f t="shared" si="722"/>
        <v>0</v>
      </c>
      <c r="M3363" s="2517">
        <f t="shared" si="722"/>
        <v>0</v>
      </c>
      <c r="N3363" s="2517">
        <f t="shared" si="722"/>
        <v>0</v>
      </c>
      <c r="O3363" s="2517">
        <f t="shared" si="722"/>
        <v>0</v>
      </c>
      <c r="P3363" s="2518"/>
      <c r="Q3363" s="2519"/>
      <c r="R3363" s="2519"/>
      <c r="S3363" s="2519"/>
    </row>
    <row r="3364" spans="1:19" s="2358" customFormat="1" outlineLevel="1">
      <c r="A3364" s="2435">
        <f t="shared" ref="A3364:A3381" si="723">IF(G3364=0,0,1)</f>
        <v>0</v>
      </c>
      <c r="B3364" s="2514" t="s">
        <v>246</v>
      </c>
      <c r="C3364" s="2642"/>
      <c r="D3364" s="2405">
        <v>0</v>
      </c>
      <c r="E3364" s="2612" t="s">
        <v>5931</v>
      </c>
      <c r="F3364" s="2754" t="s">
        <v>2563</v>
      </c>
      <c r="G3364" s="2522">
        <f>G3359*24</f>
        <v>0</v>
      </c>
      <c r="H3364" s="2517">
        <v>40500</v>
      </c>
      <c r="I3364" s="2517"/>
      <c r="J3364" s="2517">
        <v>39758</v>
      </c>
      <c r="K3364" s="2517">
        <v>0</v>
      </c>
      <c r="L3364" s="2517">
        <f t="shared" si="722"/>
        <v>0</v>
      </c>
      <c r="M3364" s="2517">
        <f t="shared" si="722"/>
        <v>0</v>
      </c>
      <c r="N3364" s="2517">
        <f t="shared" si="722"/>
        <v>0</v>
      </c>
      <c r="O3364" s="2517">
        <f t="shared" si="722"/>
        <v>0</v>
      </c>
      <c r="P3364" s="2518"/>
      <c r="Q3364" s="2519"/>
      <c r="R3364" s="2519"/>
      <c r="S3364" s="2519"/>
    </row>
    <row r="3365" spans="1:19" s="2358" customFormat="1" outlineLevel="1">
      <c r="A3365" s="2435">
        <f t="shared" si="723"/>
        <v>0</v>
      </c>
      <c r="B3365" s="2514" t="s">
        <v>1869</v>
      </c>
      <c r="C3365" s="2521"/>
      <c r="D3365" s="2405">
        <v>0</v>
      </c>
      <c r="E3365" s="2612" t="s">
        <v>3489</v>
      </c>
      <c r="F3365" s="2754" t="s">
        <v>2563</v>
      </c>
      <c r="G3365" s="2522">
        <f>G3359*16</f>
        <v>0</v>
      </c>
      <c r="H3365" s="2517">
        <v>1700</v>
      </c>
      <c r="I3365" s="2517"/>
      <c r="J3365" s="2517">
        <v>0</v>
      </c>
      <c r="K3365" s="2517">
        <v>0</v>
      </c>
      <c r="L3365" s="2517">
        <f t="shared" si="722"/>
        <v>0</v>
      </c>
      <c r="M3365" s="2517">
        <f t="shared" si="722"/>
        <v>0</v>
      </c>
      <c r="N3365" s="2517">
        <f t="shared" si="722"/>
        <v>0</v>
      </c>
      <c r="O3365" s="2517">
        <f t="shared" si="722"/>
        <v>0</v>
      </c>
      <c r="P3365" s="2518"/>
      <c r="Q3365" s="2519"/>
      <c r="R3365" s="2519"/>
      <c r="S3365" s="2519"/>
    </row>
    <row r="3366" spans="1:19" s="2358" customFormat="1" outlineLevel="1">
      <c r="A3366" s="2435">
        <f t="shared" si="723"/>
        <v>0</v>
      </c>
      <c r="B3366" s="2514" t="s">
        <v>1513</v>
      </c>
      <c r="C3366" s="2521"/>
      <c r="D3366" s="2405">
        <v>0</v>
      </c>
      <c r="E3366" s="2612" t="s">
        <v>3533</v>
      </c>
      <c r="F3366" s="2754" t="s">
        <v>2538</v>
      </c>
      <c r="G3366" s="2522">
        <f>6*G3359</f>
        <v>0</v>
      </c>
      <c r="H3366" s="2517">
        <v>860</v>
      </c>
      <c r="I3366" s="2517"/>
      <c r="J3366" s="2517">
        <v>0</v>
      </c>
      <c r="K3366" s="2517">
        <v>0</v>
      </c>
      <c r="L3366" s="2517">
        <f t="shared" si="722"/>
        <v>0</v>
      </c>
      <c r="M3366" s="2517">
        <f t="shared" si="722"/>
        <v>0</v>
      </c>
      <c r="N3366" s="2517">
        <f t="shared" si="722"/>
        <v>0</v>
      </c>
      <c r="O3366" s="2517">
        <f t="shared" si="722"/>
        <v>0</v>
      </c>
      <c r="P3366" s="2518"/>
      <c r="Q3366" s="2519"/>
      <c r="R3366" s="2519"/>
      <c r="S3366" s="2519"/>
    </row>
    <row r="3367" spans="1:19" s="2358" customFormat="1" outlineLevel="1">
      <c r="A3367" s="2435">
        <f t="shared" si="723"/>
        <v>0</v>
      </c>
      <c r="B3367" s="2514" t="s">
        <v>816</v>
      </c>
      <c r="C3367" s="2521"/>
      <c r="D3367" s="2405">
        <v>0</v>
      </c>
      <c r="E3367" s="2612" t="s">
        <v>3599</v>
      </c>
      <c r="F3367" s="2754" t="s">
        <v>2563</v>
      </c>
      <c r="G3367" s="2522">
        <f>+G3359*3</f>
        <v>0</v>
      </c>
      <c r="H3367" s="2517">
        <v>17600</v>
      </c>
      <c r="I3367" s="2517"/>
      <c r="J3367" s="2517">
        <v>0</v>
      </c>
      <c r="K3367" s="2517">
        <v>0</v>
      </c>
      <c r="L3367" s="2517">
        <f t="shared" si="722"/>
        <v>0</v>
      </c>
      <c r="M3367" s="2517">
        <f t="shared" si="722"/>
        <v>0</v>
      </c>
      <c r="N3367" s="2517">
        <f t="shared" si="722"/>
        <v>0</v>
      </c>
      <c r="O3367" s="2517">
        <f t="shared" si="722"/>
        <v>0</v>
      </c>
      <c r="P3367" s="2518"/>
      <c r="Q3367" s="2519"/>
      <c r="R3367" s="2519"/>
      <c r="S3367" s="2519"/>
    </row>
    <row r="3368" spans="1:19" s="2358" customFormat="1" outlineLevel="1">
      <c r="A3368" s="2435">
        <f t="shared" si="723"/>
        <v>0</v>
      </c>
      <c r="B3368" s="2514" t="s">
        <v>2147</v>
      </c>
      <c r="C3368" s="2521"/>
      <c r="D3368" s="2405">
        <v>0</v>
      </c>
      <c r="E3368" s="2612" t="s">
        <v>3553</v>
      </c>
      <c r="F3368" s="2754" t="s">
        <v>1827</v>
      </c>
      <c r="G3368" s="2522">
        <f>G3377*10</f>
        <v>0</v>
      </c>
      <c r="H3368" s="2517">
        <v>16100</v>
      </c>
      <c r="I3368" s="2517"/>
      <c r="J3368" s="2517">
        <v>0</v>
      </c>
      <c r="K3368" s="2517">
        <v>0</v>
      </c>
      <c r="L3368" s="2517">
        <f t="shared" si="722"/>
        <v>0</v>
      </c>
      <c r="M3368" s="2517">
        <f t="shared" si="722"/>
        <v>0</v>
      </c>
      <c r="N3368" s="2517">
        <f t="shared" si="722"/>
        <v>0</v>
      </c>
      <c r="O3368" s="2517">
        <f t="shared" si="722"/>
        <v>0</v>
      </c>
      <c r="P3368" s="2518"/>
      <c r="Q3368" s="2519"/>
      <c r="R3368" s="2519"/>
      <c r="S3368" s="2519"/>
    </row>
    <row r="3369" spans="1:19" s="2358" customFormat="1" outlineLevel="1">
      <c r="A3369" s="2435">
        <f t="shared" si="723"/>
        <v>0</v>
      </c>
      <c r="B3369" s="2505" t="s">
        <v>204</v>
      </c>
      <c r="C3369" s="2521"/>
      <c r="D3369" s="2405">
        <v>0</v>
      </c>
      <c r="E3369" s="2612" t="s">
        <v>2996</v>
      </c>
      <c r="F3369" s="2754" t="s">
        <v>2445</v>
      </c>
      <c r="G3369" s="2522">
        <f>G3359*4</f>
        <v>0</v>
      </c>
      <c r="H3369" s="2517">
        <v>34000</v>
      </c>
      <c r="I3369" s="2517"/>
      <c r="J3369" s="2517">
        <v>0</v>
      </c>
      <c r="K3369" s="2517">
        <v>0</v>
      </c>
      <c r="L3369" s="2517">
        <f t="shared" si="722"/>
        <v>0</v>
      </c>
      <c r="M3369" s="2517">
        <f t="shared" si="722"/>
        <v>0</v>
      </c>
      <c r="N3369" s="2517">
        <f t="shared" si="722"/>
        <v>0</v>
      </c>
      <c r="O3369" s="2517">
        <f t="shared" si="722"/>
        <v>0</v>
      </c>
      <c r="P3369" s="2518"/>
      <c r="Q3369" s="2519"/>
      <c r="R3369" s="2519"/>
      <c r="S3369" s="2519"/>
    </row>
    <row r="3370" spans="1:19" s="2358" customFormat="1" outlineLevel="1">
      <c r="A3370" s="2435">
        <f t="shared" si="723"/>
        <v>0</v>
      </c>
      <c r="B3370" s="2514" t="s">
        <v>1619</v>
      </c>
      <c r="C3370" s="2521"/>
      <c r="D3370" s="2405">
        <v>0</v>
      </c>
      <c r="E3370" s="2612" t="s">
        <v>3560</v>
      </c>
      <c r="F3370" s="2754" t="s">
        <v>2563</v>
      </c>
      <c r="G3370" s="2522">
        <f>G3359*6</f>
        <v>0</v>
      </c>
      <c r="H3370" s="2517">
        <v>11400</v>
      </c>
      <c r="I3370" s="2517"/>
      <c r="J3370" s="2517">
        <v>0</v>
      </c>
      <c r="K3370" s="2517">
        <v>0</v>
      </c>
      <c r="L3370" s="2517">
        <f t="shared" si="722"/>
        <v>0</v>
      </c>
      <c r="M3370" s="2517">
        <f t="shared" si="722"/>
        <v>0</v>
      </c>
      <c r="N3370" s="2517">
        <f t="shared" si="722"/>
        <v>0</v>
      </c>
      <c r="O3370" s="2517">
        <f t="shared" si="722"/>
        <v>0</v>
      </c>
      <c r="P3370" s="2518"/>
      <c r="Q3370" s="2519"/>
      <c r="R3370" s="2519"/>
      <c r="S3370" s="2519"/>
    </row>
    <row r="3371" spans="1:19" s="2358" customFormat="1" outlineLevel="1">
      <c r="A3371" s="2435">
        <f t="shared" si="723"/>
        <v>0</v>
      </c>
      <c r="B3371" s="2514" t="s">
        <v>1050</v>
      </c>
      <c r="C3371" s="2521"/>
      <c r="D3371" s="2405">
        <v>0</v>
      </c>
      <c r="E3371" s="2612" t="s">
        <v>3561</v>
      </c>
      <c r="F3371" s="2754" t="s">
        <v>2563</v>
      </c>
      <c r="G3371" s="2522">
        <f>G3359*5</f>
        <v>0</v>
      </c>
      <c r="H3371" s="2517">
        <v>21000</v>
      </c>
      <c r="I3371" s="2517"/>
      <c r="J3371" s="2517">
        <v>0</v>
      </c>
      <c r="K3371" s="2517">
        <v>0</v>
      </c>
      <c r="L3371" s="2517">
        <f t="shared" si="722"/>
        <v>0</v>
      </c>
      <c r="M3371" s="2517">
        <f t="shared" si="722"/>
        <v>0</v>
      </c>
      <c r="N3371" s="2517">
        <f t="shared" si="722"/>
        <v>0</v>
      </c>
      <c r="O3371" s="2517">
        <f t="shared" si="722"/>
        <v>0</v>
      </c>
      <c r="P3371" s="2518"/>
      <c r="Q3371" s="2519"/>
      <c r="R3371" s="2519"/>
      <c r="S3371" s="2519"/>
    </row>
    <row r="3372" spans="1:19" s="2358" customFormat="1" outlineLevel="1">
      <c r="A3372" s="2435">
        <f t="shared" si="723"/>
        <v>0</v>
      </c>
      <c r="B3372" s="2514" t="s">
        <v>726</v>
      </c>
      <c r="C3372" s="2521"/>
      <c r="D3372" s="2405">
        <v>0</v>
      </c>
      <c r="E3372" s="2612" t="s">
        <v>3590</v>
      </c>
      <c r="F3372" s="2754" t="s">
        <v>388</v>
      </c>
      <c r="G3372" s="2522">
        <f>G3359</f>
        <v>0</v>
      </c>
      <c r="H3372" s="2517">
        <v>54100</v>
      </c>
      <c r="I3372" s="2517"/>
      <c r="J3372" s="2517">
        <v>0</v>
      </c>
      <c r="K3372" s="2517">
        <v>0</v>
      </c>
      <c r="L3372" s="2517">
        <f t="shared" si="722"/>
        <v>0</v>
      </c>
      <c r="M3372" s="2517">
        <f t="shared" si="722"/>
        <v>0</v>
      </c>
      <c r="N3372" s="2517">
        <f t="shared" si="722"/>
        <v>0</v>
      </c>
      <c r="O3372" s="2517">
        <f t="shared" si="722"/>
        <v>0</v>
      </c>
      <c r="P3372" s="2518"/>
      <c r="Q3372" s="2519"/>
      <c r="R3372" s="2519"/>
      <c r="S3372" s="2519"/>
    </row>
    <row r="3373" spans="1:19" s="2358" customFormat="1" outlineLevel="1">
      <c r="A3373" s="2435">
        <f t="shared" si="723"/>
        <v>0</v>
      </c>
      <c r="B3373" s="2505" t="s">
        <v>672</v>
      </c>
      <c r="C3373" s="2521"/>
      <c r="D3373" s="2405">
        <v>0</v>
      </c>
      <c r="E3373" s="2612" t="s">
        <v>5863</v>
      </c>
      <c r="F3373" s="2754" t="s">
        <v>3584</v>
      </c>
      <c r="G3373" s="2522">
        <f>G3359</f>
        <v>0</v>
      </c>
      <c r="H3373" s="2517">
        <v>6500</v>
      </c>
      <c r="I3373" s="2517"/>
      <c r="J3373" s="2517">
        <v>0</v>
      </c>
      <c r="K3373" s="2517">
        <v>0</v>
      </c>
      <c r="L3373" s="2517">
        <f t="shared" si="722"/>
        <v>0</v>
      </c>
      <c r="M3373" s="2517">
        <f t="shared" si="722"/>
        <v>0</v>
      </c>
      <c r="N3373" s="2517">
        <f t="shared" si="722"/>
        <v>0</v>
      </c>
      <c r="O3373" s="2517">
        <f t="shared" si="722"/>
        <v>0</v>
      </c>
      <c r="P3373" s="2518"/>
      <c r="Q3373" s="2519"/>
      <c r="R3373" s="2519"/>
      <c r="S3373" s="2519"/>
    </row>
    <row r="3374" spans="1:19" s="2358" customFormat="1" outlineLevel="1">
      <c r="A3374" s="2435">
        <f t="shared" si="723"/>
        <v>0</v>
      </c>
      <c r="B3374" s="2514" t="s">
        <v>2126</v>
      </c>
      <c r="C3374" s="2521"/>
      <c r="D3374" s="2405">
        <v>0</v>
      </c>
      <c r="E3374" s="2612" t="s">
        <v>3591</v>
      </c>
      <c r="F3374" s="2754" t="s">
        <v>2563</v>
      </c>
      <c r="G3374" s="2522">
        <f>G3359</f>
        <v>0</v>
      </c>
      <c r="H3374" s="2517">
        <v>5000</v>
      </c>
      <c r="I3374" s="2517"/>
      <c r="J3374" s="2517">
        <v>0</v>
      </c>
      <c r="K3374" s="2517">
        <v>0</v>
      </c>
      <c r="L3374" s="2517">
        <f t="shared" si="722"/>
        <v>0</v>
      </c>
      <c r="M3374" s="2517">
        <f t="shared" si="722"/>
        <v>0</v>
      </c>
      <c r="N3374" s="2517">
        <f t="shared" si="722"/>
        <v>0</v>
      </c>
      <c r="O3374" s="2517">
        <f t="shared" si="722"/>
        <v>0</v>
      </c>
      <c r="P3374" s="2518"/>
      <c r="Q3374" s="2519"/>
      <c r="R3374" s="2519"/>
      <c r="S3374" s="2519"/>
    </row>
    <row r="3375" spans="1:19" s="2358" customFormat="1" outlineLevel="1">
      <c r="A3375" s="2435">
        <f t="shared" si="723"/>
        <v>0</v>
      </c>
      <c r="B3375" s="2505" t="s">
        <v>959</v>
      </c>
      <c r="C3375" s="2521"/>
      <c r="D3375" s="2405">
        <v>0</v>
      </c>
      <c r="E3375" s="2612" t="s">
        <v>3595</v>
      </c>
      <c r="F3375" s="2754" t="s">
        <v>2563</v>
      </c>
      <c r="G3375" s="2522">
        <f>G3359</f>
        <v>0</v>
      </c>
      <c r="H3375" s="2517">
        <v>5200</v>
      </c>
      <c r="I3375" s="2517"/>
      <c r="J3375" s="2517">
        <v>0</v>
      </c>
      <c r="K3375" s="2517">
        <v>0</v>
      </c>
      <c r="L3375" s="2517">
        <f t="shared" si="722"/>
        <v>0</v>
      </c>
      <c r="M3375" s="2517">
        <f t="shared" si="722"/>
        <v>0</v>
      </c>
      <c r="N3375" s="2517">
        <f t="shared" si="722"/>
        <v>0</v>
      </c>
      <c r="O3375" s="2517">
        <f t="shared" si="722"/>
        <v>0</v>
      </c>
      <c r="P3375" s="2518"/>
      <c r="Q3375" s="2519"/>
      <c r="R3375" s="2519"/>
      <c r="S3375" s="2519"/>
    </row>
    <row r="3376" spans="1:19" s="2358" customFormat="1" outlineLevel="1">
      <c r="A3376" s="2435">
        <f t="shared" si="723"/>
        <v>0</v>
      </c>
      <c r="B3376" s="2505" t="s">
        <v>319</v>
      </c>
      <c r="C3376" s="2521"/>
      <c r="D3376" s="2405">
        <v>0</v>
      </c>
      <c r="E3376" s="2612" t="s">
        <v>5330</v>
      </c>
      <c r="F3376" s="2754" t="s">
        <v>2445</v>
      </c>
      <c r="G3376" s="2522">
        <f>G3359*2</f>
        <v>0</v>
      </c>
      <c r="H3376" s="2517">
        <v>168000</v>
      </c>
      <c r="I3376" s="2517"/>
      <c r="J3376" s="2517">
        <v>0</v>
      </c>
      <c r="K3376" s="2517">
        <v>0</v>
      </c>
      <c r="L3376" s="2517">
        <f t="shared" si="722"/>
        <v>0</v>
      </c>
      <c r="M3376" s="2517">
        <f t="shared" si="722"/>
        <v>0</v>
      </c>
      <c r="N3376" s="2517">
        <f t="shared" si="722"/>
        <v>0</v>
      </c>
      <c r="O3376" s="2517">
        <f t="shared" si="722"/>
        <v>0</v>
      </c>
      <c r="P3376" s="2518"/>
      <c r="Q3376" s="2519"/>
      <c r="R3376" s="2519"/>
      <c r="S3376" s="2519"/>
    </row>
    <row r="3377" spans="1:19" s="2358" customFormat="1" outlineLevel="1">
      <c r="A3377" s="2435">
        <f t="shared" si="723"/>
        <v>0</v>
      </c>
      <c r="B3377" s="2505" t="s">
        <v>1919</v>
      </c>
      <c r="C3377" s="2521"/>
      <c r="D3377" s="2405" t="s">
        <v>5717</v>
      </c>
      <c r="E3377" s="2612" t="s">
        <v>3412</v>
      </c>
      <c r="F3377" s="2754" t="s">
        <v>2563</v>
      </c>
      <c r="G3377" s="2522">
        <f>G3359</f>
        <v>0</v>
      </c>
      <c r="H3377" s="2517">
        <v>845331</v>
      </c>
      <c r="I3377" s="2517"/>
      <c r="J3377" s="2517">
        <v>599038</v>
      </c>
      <c r="K3377" s="2517">
        <v>97369</v>
      </c>
      <c r="L3377" s="2517">
        <f t="shared" si="722"/>
        <v>0</v>
      </c>
      <c r="M3377" s="2517">
        <f t="shared" si="722"/>
        <v>0</v>
      </c>
      <c r="N3377" s="2517">
        <f t="shared" si="722"/>
        <v>0</v>
      </c>
      <c r="O3377" s="2517">
        <f t="shared" si="722"/>
        <v>0</v>
      </c>
      <c r="P3377" s="2518"/>
      <c r="Q3377" s="2519"/>
      <c r="R3377" s="2519"/>
      <c r="S3377" s="2519"/>
    </row>
    <row r="3378" spans="1:19" s="2358" customFormat="1" outlineLevel="1">
      <c r="A3378" s="2435">
        <f t="shared" si="723"/>
        <v>0</v>
      </c>
      <c r="B3378" s="2505" t="s">
        <v>6</v>
      </c>
      <c r="C3378" s="2521"/>
      <c r="D3378" s="2405">
        <v>0</v>
      </c>
      <c r="E3378" s="2612" t="s">
        <v>3585</v>
      </c>
      <c r="F3378" s="2754" t="s">
        <v>5868</v>
      </c>
      <c r="G3378" s="2522">
        <f>G3359*2</f>
        <v>0</v>
      </c>
      <c r="H3378" s="2517">
        <v>45000</v>
      </c>
      <c r="I3378" s="2517"/>
      <c r="J3378" s="2517">
        <v>0</v>
      </c>
      <c r="K3378" s="2517">
        <v>0</v>
      </c>
      <c r="L3378" s="2517">
        <f t="shared" si="722"/>
        <v>0</v>
      </c>
      <c r="M3378" s="2517">
        <f t="shared" si="722"/>
        <v>0</v>
      </c>
      <c r="N3378" s="2517">
        <f t="shared" si="722"/>
        <v>0</v>
      </c>
      <c r="O3378" s="2517">
        <f t="shared" si="722"/>
        <v>0</v>
      </c>
      <c r="P3378" s="2518"/>
      <c r="Q3378" s="2519"/>
      <c r="R3378" s="2519"/>
      <c r="S3378" s="2519"/>
    </row>
    <row r="3379" spans="1:19" s="2358" customFormat="1" outlineLevel="1">
      <c r="A3379" s="2435">
        <f t="shared" si="723"/>
        <v>0</v>
      </c>
      <c r="B3379" s="2505" t="s">
        <v>2145</v>
      </c>
      <c r="C3379" s="2521"/>
      <c r="D3379" s="2405">
        <v>0</v>
      </c>
      <c r="E3379" s="2612" t="s">
        <v>2793</v>
      </c>
      <c r="F3379" s="2754" t="s">
        <v>2538</v>
      </c>
      <c r="G3379" s="2522">
        <f>G3359*4</f>
        <v>0</v>
      </c>
      <c r="H3379" s="2517">
        <v>5000</v>
      </c>
      <c r="I3379" s="2517"/>
      <c r="J3379" s="2517">
        <v>0</v>
      </c>
      <c r="K3379" s="2517">
        <v>0</v>
      </c>
      <c r="L3379" s="2517">
        <f t="shared" si="722"/>
        <v>0</v>
      </c>
      <c r="M3379" s="2517">
        <f t="shared" si="722"/>
        <v>0</v>
      </c>
      <c r="N3379" s="2517">
        <f t="shared" si="722"/>
        <v>0</v>
      </c>
      <c r="O3379" s="2517">
        <f t="shared" si="722"/>
        <v>0</v>
      </c>
      <c r="P3379" s="2518"/>
      <c r="Q3379" s="2519"/>
      <c r="R3379" s="2519"/>
      <c r="S3379" s="2519"/>
    </row>
    <row r="3380" spans="1:19" s="2358" customFormat="1" outlineLevel="1">
      <c r="A3380" s="2435">
        <f t="shared" si="723"/>
        <v>0</v>
      </c>
      <c r="B3380" s="2505" t="s">
        <v>1035</v>
      </c>
      <c r="C3380" s="2521"/>
      <c r="D3380" s="2405">
        <v>0</v>
      </c>
      <c r="E3380" s="2612" t="s">
        <v>6463</v>
      </c>
      <c r="F3380" s="2754" t="s">
        <v>2254</v>
      </c>
      <c r="G3380" s="2523">
        <f>3.77*G3359*2*0.3</f>
        <v>0</v>
      </c>
      <c r="H3380" s="2517">
        <v>31625</v>
      </c>
      <c r="I3380" s="2517"/>
      <c r="J3380" s="2517">
        <v>0</v>
      </c>
      <c r="K3380" s="2517">
        <v>0</v>
      </c>
      <c r="L3380" s="2517">
        <f t="shared" si="722"/>
        <v>0</v>
      </c>
      <c r="M3380" s="2517">
        <f t="shared" si="722"/>
        <v>0</v>
      </c>
      <c r="N3380" s="2517">
        <f t="shared" si="722"/>
        <v>0</v>
      </c>
      <c r="O3380" s="2517">
        <f t="shared" si="722"/>
        <v>0</v>
      </c>
      <c r="P3380" s="2518"/>
      <c r="Q3380" s="2519"/>
      <c r="R3380" s="2519"/>
      <c r="S3380" s="2519"/>
    </row>
    <row r="3381" spans="1:19" s="2358" customFormat="1" outlineLevel="1">
      <c r="A3381" s="2435">
        <f t="shared" si="723"/>
        <v>0</v>
      </c>
      <c r="B3381" s="2505" t="s">
        <v>6329</v>
      </c>
      <c r="C3381" s="2521"/>
      <c r="D3381" s="2405">
        <v>0</v>
      </c>
      <c r="E3381" s="2612" t="s">
        <v>2632</v>
      </c>
      <c r="F3381" s="2754" t="s">
        <v>2445</v>
      </c>
      <c r="G3381" s="2522">
        <f>4*G3359</f>
        <v>0</v>
      </c>
      <c r="H3381" s="2517">
        <v>1500</v>
      </c>
      <c r="I3381" s="2517"/>
      <c r="J3381" s="2517">
        <v>0</v>
      </c>
      <c r="K3381" s="2517">
        <v>0</v>
      </c>
      <c r="L3381" s="2517">
        <f t="shared" si="722"/>
        <v>0</v>
      </c>
      <c r="M3381" s="2517">
        <f t="shared" si="722"/>
        <v>0</v>
      </c>
      <c r="N3381" s="2517">
        <f t="shared" si="722"/>
        <v>0</v>
      </c>
      <c r="O3381" s="2517">
        <f t="shared" si="722"/>
        <v>0</v>
      </c>
      <c r="P3381" s="2518"/>
      <c r="Q3381" s="2519"/>
      <c r="R3381" s="2519"/>
      <c r="S3381" s="2519"/>
    </row>
    <row r="3382" spans="1:19" s="2358" customFormat="1" outlineLevel="1">
      <c r="A3382" s="2435">
        <f>A3231</f>
        <v>0</v>
      </c>
      <c r="B3382" s="2610"/>
      <c r="C3382" s="2825"/>
      <c r="D3382" s="2677"/>
      <c r="E3382" s="2652"/>
      <c r="F3382" s="2890"/>
      <c r="G3382" s="2891"/>
      <c r="H3382" s="2890"/>
      <c r="I3382" s="2890"/>
      <c r="J3382" s="2900" t="s">
        <v>6205</v>
      </c>
      <c r="K3382" s="2900"/>
      <c r="L3382" s="2678">
        <f>SUM(L3250:L3381)</f>
        <v>0</v>
      </c>
      <c r="M3382" s="2678">
        <f>SUM(M3250:M3381)</f>
        <v>0</v>
      </c>
      <c r="N3382" s="2678">
        <f>SUM(N3250:N3381)</f>
        <v>0</v>
      </c>
      <c r="O3382" s="2678">
        <f>SUM(O3250:O3381)</f>
        <v>0</v>
      </c>
      <c r="P3382" s="2821"/>
      <c r="Q3382" s="2519"/>
      <c r="R3382" s="2519"/>
      <c r="S3382" s="2519"/>
    </row>
    <row r="3383" spans="1:19" s="2358" customFormat="1" outlineLevel="1">
      <c r="A3383" s="2435"/>
      <c r="B3383" s="2610"/>
      <c r="C3383" s="2780"/>
      <c r="D3383" s="2780"/>
      <c r="E3383" s="2781"/>
      <c r="F3383" s="2898"/>
      <c r="G3383" s="2897"/>
      <c r="H3383" s="2898"/>
      <c r="I3383" s="2898"/>
      <c r="J3383" s="2781"/>
      <c r="K3383" s="2781"/>
      <c r="L3383" s="2782"/>
      <c r="M3383" s="2782"/>
      <c r="N3383" s="2782"/>
      <c r="O3383" s="2782"/>
      <c r="P3383" s="2519"/>
      <c r="Q3383" s="2519"/>
      <c r="R3383" s="2519"/>
      <c r="S3383" s="2519"/>
    </row>
    <row r="3384" spans="1:19" s="2358" customFormat="1" ht="13.8" customHeight="1">
      <c r="A3384" s="2639">
        <f>IF(G3389&gt;0,1,)</f>
        <v>0</v>
      </c>
      <c r="B3384" s="2505"/>
      <c r="C3384" s="2519"/>
      <c r="D3384" s="2519"/>
      <c r="E3384" s="2689"/>
      <c r="F3384" s="2519"/>
      <c r="G3384" s="2690"/>
      <c r="H3384" s="2519"/>
      <c r="I3384" s="2519"/>
      <c r="J3384" s="2519"/>
      <c r="K3384" s="2519"/>
      <c r="L3384" s="2519"/>
      <c r="M3384" s="2519"/>
      <c r="N3384" s="2519"/>
      <c r="O3384" s="2519"/>
      <c r="P3384" s="2519"/>
      <c r="Q3384" s="2519"/>
      <c r="R3384" s="2519"/>
      <c r="S3384" s="2519"/>
    </row>
    <row r="3385" spans="1:19" s="2358" customFormat="1" outlineLevel="1">
      <c r="A3385" s="2435">
        <f>A3384</f>
        <v>0</v>
      </c>
      <c r="B3385" s="2640"/>
      <c r="C3385" s="2877" t="str">
        <f>"BẢNG TỔNG HỢP VẬT LIỆU, NHÂN CÔNG, MÁY THI CÔNG: "&amp;K21&amp;" TRẠM 3P_2,000KVA"</f>
        <v>BẢNG TỔNG HỢP VẬT LIỆU, NHÂN CÔNG, MÁY THI CÔNG: 0 TRẠM 3P_2,000KVA</v>
      </c>
      <c r="D3385" s="2892"/>
      <c r="E3385" s="2892"/>
      <c r="F3385" s="2892"/>
      <c r="G3385" s="2892"/>
      <c r="H3385" s="2893"/>
      <c r="I3385" s="2781"/>
      <c r="J3385" s="2893"/>
      <c r="K3385" s="2893"/>
      <c r="L3385" s="2893"/>
      <c r="M3385" s="2781"/>
      <c r="N3385" s="2893"/>
      <c r="O3385" s="2893"/>
      <c r="P3385" s="2895"/>
      <c r="Q3385" s="2519"/>
      <c r="R3385" s="2519"/>
      <c r="S3385" s="2519"/>
    </row>
    <row r="3386" spans="1:19" s="2358" customFormat="1" outlineLevel="1">
      <c r="A3386" s="2435">
        <f>A3384</f>
        <v>0</v>
      </c>
      <c r="B3386" s="2514" t="s">
        <v>6186</v>
      </c>
      <c r="C3386" s="2901" t="s">
        <v>1712</v>
      </c>
      <c r="D3386" s="2902" t="s">
        <v>2605</v>
      </c>
      <c r="E3386" s="2904" t="s">
        <v>2606</v>
      </c>
      <c r="F3386" s="2901" t="s">
        <v>2601</v>
      </c>
      <c r="G3386" s="2362" t="s">
        <v>6187</v>
      </c>
      <c r="H3386" s="2365" t="s">
        <v>6188</v>
      </c>
      <c r="I3386" s="2872"/>
      <c r="J3386" s="2872"/>
      <c r="K3386" s="2873"/>
      <c r="L3386" s="2365" t="s">
        <v>6189</v>
      </c>
      <c r="M3386" s="2872"/>
      <c r="N3386" s="2872"/>
      <c r="O3386" s="2873"/>
      <c r="P3386" s="2901" t="s">
        <v>2607</v>
      </c>
      <c r="Q3386" s="2519"/>
      <c r="R3386" s="2519"/>
      <c r="S3386" s="2519"/>
    </row>
    <row r="3387" spans="1:19" s="2358" customFormat="1" outlineLevel="1">
      <c r="A3387" s="2435">
        <f>A3386</f>
        <v>0</v>
      </c>
      <c r="B3387" s="2514"/>
      <c r="C3387" s="2901"/>
      <c r="D3387" s="2903"/>
      <c r="E3387" s="2905"/>
      <c r="F3387" s="2901"/>
      <c r="G3387" s="2364" t="s">
        <v>2292</v>
      </c>
      <c r="H3387" s="2365" t="s">
        <v>6190</v>
      </c>
      <c r="I3387" s="2365" t="s">
        <v>6191</v>
      </c>
      <c r="J3387" s="2365" t="s">
        <v>6192</v>
      </c>
      <c r="K3387" s="2365" t="s">
        <v>6193</v>
      </c>
      <c r="L3387" s="2365" t="s">
        <v>6190</v>
      </c>
      <c r="M3387" s="2365" t="s">
        <v>6191</v>
      </c>
      <c r="N3387" s="2365" t="s">
        <v>6192</v>
      </c>
      <c r="O3387" s="2365" t="s">
        <v>6193</v>
      </c>
      <c r="P3387" s="2901"/>
      <c r="Q3387" s="2519"/>
      <c r="R3387" s="2519"/>
      <c r="S3387" s="2519"/>
    </row>
    <row r="3388" spans="1:19" s="2358" customFormat="1" outlineLevel="1">
      <c r="A3388" s="2435">
        <f>A3387</f>
        <v>0</v>
      </c>
      <c r="B3388" s="2514"/>
      <c r="C3388" s="2366"/>
      <c r="D3388" s="2367"/>
      <c r="E3388" s="2368" t="s">
        <v>3690</v>
      </c>
      <c r="F3388" s="2369"/>
      <c r="G3388" s="2369"/>
      <c r="H3388" s="2369"/>
      <c r="I3388" s="2369"/>
      <c r="J3388" s="2369"/>
      <c r="K3388" s="2369"/>
      <c r="L3388" s="2369"/>
      <c r="M3388" s="2369"/>
      <c r="N3388" s="2369"/>
      <c r="O3388" s="2367"/>
      <c r="P3388" s="2370"/>
      <c r="Q3388" s="2519"/>
      <c r="R3388" s="2519"/>
      <c r="S3388" s="2519"/>
    </row>
    <row r="3389" spans="1:19" s="2358" customFormat="1" outlineLevel="1">
      <c r="A3389" s="2435" t="str">
        <f t="shared" ref="A3389:A3399" si="724">IF(G3389&lt;&gt;0,1,"")</f>
        <v/>
      </c>
      <c r="B3389" s="2505" t="str">
        <f>IF($F$8=15,"tr2000","tr20001")</f>
        <v>tr20001</v>
      </c>
      <c r="C3389" s="2521">
        <f>IF(G3389&gt;0,1,0)</f>
        <v>0</v>
      </c>
      <c r="D3389" s="2405" t="s">
        <v>5656</v>
      </c>
      <c r="E3389" s="2447" t="s">
        <v>3357</v>
      </c>
      <c r="F3389" s="2405" t="s">
        <v>3318</v>
      </c>
      <c r="G3389" s="2816">
        <f>$K$21</f>
        <v>0</v>
      </c>
      <c r="H3389" s="2612">
        <v>560615000</v>
      </c>
      <c r="I3389" s="2612"/>
      <c r="J3389" s="2612">
        <v>1928901</v>
      </c>
      <c r="K3389" s="2612">
        <v>426761</v>
      </c>
      <c r="L3389" s="2613">
        <f t="shared" ref="L3389:L3399" si="725">H3389*G3389</f>
        <v>0</v>
      </c>
      <c r="M3389" s="2613">
        <f t="shared" ref="M3389:M3399" si="726">I3389*G3389</f>
        <v>0</v>
      </c>
      <c r="N3389" s="2613">
        <f t="shared" ref="N3389:N3399" si="727">J3389*G3389</f>
        <v>0</v>
      </c>
      <c r="O3389" s="2614">
        <f t="shared" ref="O3389:O3399" si="728">K3389*G3389</f>
        <v>0</v>
      </c>
      <c r="P3389" s="2817"/>
      <c r="Q3389" s="2519"/>
      <c r="R3389" s="2519"/>
      <c r="S3389" s="2519"/>
    </row>
    <row r="3390" spans="1:19" s="2358" customFormat="1" outlineLevel="1">
      <c r="A3390" s="2435" t="str">
        <f t="shared" si="724"/>
        <v/>
      </c>
      <c r="B3390" s="2610" t="s">
        <v>393</v>
      </c>
      <c r="C3390" s="2521">
        <f t="shared" ref="C3390:C3396" si="729">IF(G3390&gt;0,C3389+1,C3389)</f>
        <v>0</v>
      </c>
      <c r="D3390" s="2405" t="s">
        <v>5662</v>
      </c>
      <c r="E3390" s="2447" t="s">
        <v>1596</v>
      </c>
      <c r="F3390" s="2405" t="s">
        <v>2445</v>
      </c>
      <c r="G3390" s="2522">
        <f>+G3389</f>
        <v>0</v>
      </c>
      <c r="H3390" s="2612">
        <v>16664000</v>
      </c>
      <c r="I3390" s="2612">
        <v>0</v>
      </c>
      <c r="J3390" s="2612">
        <v>0</v>
      </c>
      <c r="K3390" s="2612">
        <v>262622</v>
      </c>
      <c r="L3390" s="2613">
        <f t="shared" si="725"/>
        <v>0</v>
      </c>
      <c r="M3390" s="2613">
        <f t="shared" si="726"/>
        <v>0</v>
      </c>
      <c r="N3390" s="2613">
        <f t="shared" si="727"/>
        <v>0</v>
      </c>
      <c r="O3390" s="2614">
        <f t="shared" si="728"/>
        <v>0</v>
      </c>
      <c r="P3390" s="2518"/>
      <c r="Q3390" s="2519"/>
      <c r="R3390" s="2519"/>
      <c r="S3390" s="2519"/>
    </row>
    <row r="3391" spans="1:19" s="2358" customFormat="1" outlineLevel="1">
      <c r="A3391" s="2435" t="str">
        <f t="shared" si="724"/>
        <v/>
      </c>
      <c r="B3391" s="2514" t="s">
        <v>1</v>
      </c>
      <c r="C3391" s="2521">
        <f t="shared" si="729"/>
        <v>0</v>
      </c>
      <c r="D3391" s="2405" t="s">
        <v>1391</v>
      </c>
      <c r="E3391" s="2447" t="s">
        <v>3402</v>
      </c>
      <c r="F3391" s="2405" t="s">
        <v>3388</v>
      </c>
      <c r="G3391" s="2522">
        <f>G3389*0</f>
        <v>0</v>
      </c>
      <c r="H3391" s="2612">
        <v>5000000</v>
      </c>
      <c r="I3391" s="2612">
        <v>0</v>
      </c>
      <c r="J3391" s="2612">
        <v>286129</v>
      </c>
      <c r="K3391" s="2612">
        <v>59254</v>
      </c>
      <c r="L3391" s="2613">
        <f t="shared" si="725"/>
        <v>0</v>
      </c>
      <c r="M3391" s="2613">
        <f t="shared" si="726"/>
        <v>0</v>
      </c>
      <c r="N3391" s="2613">
        <f t="shared" si="727"/>
        <v>0</v>
      </c>
      <c r="O3391" s="2614">
        <f t="shared" si="728"/>
        <v>0</v>
      </c>
      <c r="P3391" s="2642" t="s">
        <v>6359</v>
      </c>
      <c r="Q3391" s="2519"/>
      <c r="R3391" s="2519"/>
      <c r="S3391" s="2519"/>
    </row>
    <row r="3392" spans="1:19" s="2358" customFormat="1" outlineLevel="1">
      <c r="A3392" s="2435" t="str">
        <f t="shared" si="724"/>
        <v/>
      </c>
      <c r="B3392" s="2371" t="str">
        <f>"FCO200-"&amp;$F$8</f>
        <v>FCO200-22</v>
      </c>
      <c r="C3392" s="2521">
        <f t="shared" si="729"/>
        <v>0</v>
      </c>
      <c r="D3392" s="2405" t="s">
        <v>5660</v>
      </c>
      <c r="E3392" s="2447" t="s">
        <v>2034</v>
      </c>
      <c r="F3392" s="2405" t="s">
        <v>2563</v>
      </c>
      <c r="G3392" s="2522">
        <f>+G3389*3</f>
        <v>0</v>
      </c>
      <c r="H3392" s="2517">
        <v>4076000</v>
      </c>
      <c r="I3392" s="2517">
        <v>0</v>
      </c>
      <c r="J3392" s="2517">
        <v>176000</v>
      </c>
      <c r="K3392" s="2517">
        <v>0</v>
      </c>
      <c r="L3392" s="2517">
        <f t="shared" si="725"/>
        <v>0</v>
      </c>
      <c r="M3392" s="2517">
        <f t="shared" si="726"/>
        <v>0</v>
      </c>
      <c r="N3392" s="2517">
        <f t="shared" si="727"/>
        <v>0</v>
      </c>
      <c r="O3392" s="2517">
        <f t="shared" si="728"/>
        <v>0</v>
      </c>
      <c r="P3392" s="2518"/>
      <c r="Q3392" s="2519"/>
      <c r="R3392" s="2519"/>
      <c r="S3392" s="2519"/>
    </row>
    <row r="3393" spans="1:19" s="2358" customFormat="1" outlineLevel="1">
      <c r="A3393" s="2435" t="str">
        <f t="shared" si="724"/>
        <v/>
      </c>
      <c r="B3393" s="2514" t="s">
        <v>555</v>
      </c>
      <c r="C3393" s="2521">
        <f t="shared" si="729"/>
        <v>0</v>
      </c>
      <c r="D3393" s="2405">
        <v>0</v>
      </c>
      <c r="E3393" s="2447" t="s">
        <v>3452</v>
      </c>
      <c r="F3393" s="2405" t="s">
        <v>2608</v>
      </c>
      <c r="G3393" s="2522">
        <f>G3392</f>
        <v>0</v>
      </c>
      <c r="H3393" s="2517">
        <v>113000</v>
      </c>
      <c r="I3393" s="2517">
        <v>0</v>
      </c>
      <c r="J3393" s="2517">
        <v>0</v>
      </c>
      <c r="K3393" s="2517">
        <v>0</v>
      </c>
      <c r="L3393" s="2517">
        <f t="shared" si="725"/>
        <v>0</v>
      </c>
      <c r="M3393" s="2517">
        <f t="shared" si="726"/>
        <v>0</v>
      </c>
      <c r="N3393" s="2517">
        <f t="shared" si="727"/>
        <v>0</v>
      </c>
      <c r="O3393" s="2517">
        <f t="shared" si="728"/>
        <v>0</v>
      </c>
      <c r="P3393" s="2518"/>
      <c r="Q3393" s="2519"/>
      <c r="R3393" s="2519"/>
      <c r="S3393" s="2519"/>
    </row>
    <row r="3394" spans="1:19" s="2358" customFormat="1" outlineLevel="1">
      <c r="A3394" s="2435" t="str">
        <f t="shared" si="724"/>
        <v/>
      </c>
      <c r="B3394" s="2514" t="str">
        <f>"LA"&amp;$F$6</f>
        <v>LA18</v>
      </c>
      <c r="C3394" s="2521">
        <f t="shared" si="729"/>
        <v>0</v>
      </c>
      <c r="D3394" s="2405" t="s">
        <v>5664</v>
      </c>
      <c r="E3394" s="2447" t="s">
        <v>1193</v>
      </c>
      <c r="F3394" s="2405" t="s">
        <v>2563</v>
      </c>
      <c r="G3394" s="2522">
        <f>G3389*3</f>
        <v>0</v>
      </c>
      <c r="H3394" s="2517">
        <v>1106000</v>
      </c>
      <c r="I3394" s="2517">
        <v>0</v>
      </c>
      <c r="J3394" s="2517">
        <v>83490</v>
      </c>
      <c r="K3394" s="2517">
        <v>0</v>
      </c>
      <c r="L3394" s="2517">
        <f t="shared" si="725"/>
        <v>0</v>
      </c>
      <c r="M3394" s="2517">
        <f t="shared" si="726"/>
        <v>0</v>
      </c>
      <c r="N3394" s="2517">
        <f t="shared" si="727"/>
        <v>0</v>
      </c>
      <c r="O3394" s="2517">
        <f t="shared" si="728"/>
        <v>0</v>
      </c>
      <c r="P3394" s="2518"/>
      <c r="Q3394" s="2519"/>
      <c r="R3394" s="2519"/>
      <c r="S3394" s="2519"/>
    </row>
    <row r="3395" spans="1:19" s="2358" customFormat="1" outlineLevel="1">
      <c r="A3395" s="2435" t="str">
        <f t="shared" si="724"/>
        <v/>
      </c>
      <c r="B3395" s="2610" t="s">
        <v>2191</v>
      </c>
      <c r="C3395" s="2521">
        <f t="shared" si="729"/>
        <v>0</v>
      </c>
      <c r="D3395" s="2405">
        <v>0</v>
      </c>
      <c r="E3395" s="2447" t="s">
        <v>3434</v>
      </c>
      <c r="F3395" s="2405" t="s">
        <v>2563</v>
      </c>
      <c r="G3395" s="2522">
        <f>G3389</f>
        <v>0</v>
      </c>
      <c r="H3395" s="2517">
        <v>145682000</v>
      </c>
      <c r="I3395" s="2517">
        <v>0</v>
      </c>
      <c r="J3395" s="2517">
        <v>0</v>
      </c>
      <c r="K3395" s="2517">
        <v>0</v>
      </c>
      <c r="L3395" s="2517">
        <f t="shared" si="725"/>
        <v>0</v>
      </c>
      <c r="M3395" s="2517">
        <f t="shared" si="726"/>
        <v>0</v>
      </c>
      <c r="N3395" s="2517">
        <f t="shared" si="727"/>
        <v>0</v>
      </c>
      <c r="O3395" s="2517">
        <f t="shared" si="728"/>
        <v>0</v>
      </c>
      <c r="P3395" s="2518"/>
      <c r="Q3395" s="2519"/>
      <c r="R3395" s="2519"/>
      <c r="S3395" s="2519"/>
    </row>
    <row r="3396" spans="1:19" s="2358" customFormat="1" outlineLevel="1">
      <c r="A3396" s="2435" t="str">
        <f t="shared" si="724"/>
        <v/>
      </c>
      <c r="B3396" s="2610" t="s">
        <v>6373</v>
      </c>
      <c r="C3396" s="2521">
        <f t="shared" si="729"/>
        <v>0</v>
      </c>
      <c r="D3396" s="2405" t="s">
        <v>1025</v>
      </c>
      <c r="E3396" s="2447" t="s">
        <v>5678</v>
      </c>
      <c r="F3396" s="2405" t="s">
        <v>3388</v>
      </c>
      <c r="G3396" s="2522">
        <f>G3395</f>
        <v>0</v>
      </c>
      <c r="H3396" s="2517">
        <v>2500000</v>
      </c>
      <c r="I3396" s="2517">
        <v>0</v>
      </c>
      <c r="J3396" s="2517">
        <v>98101</v>
      </c>
      <c r="K3396" s="2517">
        <v>59254</v>
      </c>
      <c r="L3396" s="2517">
        <f t="shared" si="725"/>
        <v>0</v>
      </c>
      <c r="M3396" s="2517">
        <f t="shared" si="726"/>
        <v>0</v>
      </c>
      <c r="N3396" s="2517">
        <f t="shared" si="727"/>
        <v>0</v>
      </c>
      <c r="O3396" s="2517">
        <f t="shared" si="728"/>
        <v>0</v>
      </c>
      <c r="P3396" s="2518"/>
      <c r="Q3396" s="2519"/>
      <c r="R3396" s="2519"/>
      <c r="S3396" s="2519"/>
    </row>
    <row r="3397" spans="1:19" s="2358" customFormat="1" outlineLevel="1">
      <c r="A3397" s="2435" t="str">
        <f t="shared" si="724"/>
        <v/>
      </c>
      <c r="B3397" s="2505" t="s">
        <v>202</v>
      </c>
      <c r="C3397" s="2521">
        <f>IF(G3397&gt;0,C3395+1,C3395)</f>
        <v>0</v>
      </c>
      <c r="D3397" s="2405">
        <v>0</v>
      </c>
      <c r="E3397" s="2447" t="s">
        <v>3368</v>
      </c>
      <c r="F3397" s="2405" t="s">
        <v>2563</v>
      </c>
      <c r="G3397" s="2643">
        <f>G3389*3</f>
        <v>0</v>
      </c>
      <c r="H3397" s="2517">
        <v>0</v>
      </c>
      <c r="I3397" s="2517">
        <v>0</v>
      </c>
      <c r="J3397" s="2517">
        <v>0</v>
      </c>
      <c r="K3397" s="2517">
        <v>0</v>
      </c>
      <c r="L3397" s="2517">
        <f t="shared" si="725"/>
        <v>0</v>
      </c>
      <c r="M3397" s="2517">
        <f t="shared" si="726"/>
        <v>0</v>
      </c>
      <c r="N3397" s="2517">
        <f t="shared" si="727"/>
        <v>0</v>
      </c>
      <c r="O3397" s="2517">
        <f t="shared" si="728"/>
        <v>0</v>
      </c>
      <c r="P3397" s="2644" t="s">
        <v>2609</v>
      </c>
      <c r="Q3397" s="2519"/>
      <c r="R3397" s="2519"/>
      <c r="S3397" s="2519"/>
    </row>
    <row r="3398" spans="1:19" s="2358" customFormat="1" outlineLevel="1">
      <c r="A3398" s="2435" t="str">
        <f t="shared" si="724"/>
        <v/>
      </c>
      <c r="B3398" s="2505" t="s">
        <v>2193</v>
      </c>
      <c r="C3398" s="2521">
        <f>IF(G3398&gt;0,C3396+1,C3396)</f>
        <v>0</v>
      </c>
      <c r="D3398" s="2405">
        <v>0</v>
      </c>
      <c r="E3398" s="2447" t="s">
        <v>5673</v>
      </c>
      <c r="F3398" s="2405" t="s">
        <v>2563</v>
      </c>
      <c r="G3398" s="2819">
        <f>+G3397</f>
        <v>0</v>
      </c>
      <c r="H3398" s="2517">
        <v>0</v>
      </c>
      <c r="I3398" s="2517"/>
      <c r="J3398" s="2517">
        <v>92703</v>
      </c>
      <c r="K3398" s="2517">
        <v>84261</v>
      </c>
      <c r="L3398" s="2517">
        <f t="shared" si="725"/>
        <v>0</v>
      </c>
      <c r="M3398" s="2517">
        <f t="shared" si="726"/>
        <v>0</v>
      </c>
      <c r="N3398" s="2517">
        <f t="shared" si="727"/>
        <v>0</v>
      </c>
      <c r="O3398" s="2517">
        <f t="shared" si="728"/>
        <v>0</v>
      </c>
      <c r="P3398" s="2644" t="s">
        <v>2609</v>
      </c>
      <c r="Q3398" s="2519"/>
      <c r="R3398" s="2519"/>
      <c r="S3398" s="2519"/>
    </row>
    <row r="3399" spans="1:19" s="2358" customFormat="1" outlineLevel="1">
      <c r="A3399" s="2435" t="str">
        <f t="shared" si="724"/>
        <v/>
      </c>
      <c r="B3399" s="2820" t="s">
        <v>1841</v>
      </c>
      <c r="C3399" s="2521">
        <f>IF(G3399&gt;0,C3397+1,C3397)</f>
        <v>0</v>
      </c>
      <c r="D3399" s="2405">
        <v>0</v>
      </c>
      <c r="E3399" s="2447" t="s">
        <v>5771</v>
      </c>
      <c r="F3399" s="2405" t="s">
        <v>2563</v>
      </c>
      <c r="G3399" s="2643">
        <f>G3389</f>
        <v>0</v>
      </c>
      <c r="H3399" s="2612">
        <v>0</v>
      </c>
      <c r="I3399" s="2612">
        <v>0</v>
      </c>
      <c r="J3399" s="2612">
        <v>0</v>
      </c>
      <c r="K3399" s="2612">
        <v>0</v>
      </c>
      <c r="L3399" s="2517">
        <f t="shared" si="725"/>
        <v>0</v>
      </c>
      <c r="M3399" s="2613">
        <f t="shared" si="726"/>
        <v>0</v>
      </c>
      <c r="N3399" s="2613">
        <f t="shared" si="727"/>
        <v>0</v>
      </c>
      <c r="O3399" s="2614">
        <f t="shared" si="728"/>
        <v>0</v>
      </c>
      <c r="P3399" s="2645" t="s">
        <v>2609</v>
      </c>
      <c r="Q3399" s="2519"/>
      <c r="R3399" s="2519"/>
      <c r="S3399" s="2519"/>
    </row>
    <row r="3400" spans="1:19" s="2358" customFormat="1" outlineLevel="1">
      <c r="A3400" s="2435">
        <f>A3384</f>
        <v>0</v>
      </c>
      <c r="B3400" s="2514"/>
      <c r="C3400" s="2646"/>
      <c r="D3400" s="2647"/>
      <c r="E3400" s="2648"/>
      <c r="F3400" s="2646"/>
      <c r="G3400" s="2889"/>
      <c r="H3400" s="2646"/>
      <c r="I3400" s="2646"/>
      <c r="J3400" s="2370" t="s">
        <v>6195</v>
      </c>
      <c r="K3400" s="2646"/>
      <c r="L3400" s="2648">
        <f>SUM(L3389:L3399)</f>
        <v>0</v>
      </c>
      <c r="M3400" s="2648">
        <f>SUM(M3389:M3399)</f>
        <v>0</v>
      </c>
      <c r="N3400" s="2648">
        <f>SUM(N3389:N3399)</f>
        <v>0</v>
      </c>
      <c r="O3400" s="2648">
        <f>SUM(O3389:O3399)</f>
        <v>0</v>
      </c>
      <c r="P3400" s="2821"/>
      <c r="Q3400" s="2519"/>
      <c r="R3400" s="2519"/>
      <c r="S3400" s="2519"/>
    </row>
    <row r="3401" spans="1:19" s="2358" customFormat="1" outlineLevel="1">
      <c r="A3401" s="2435">
        <f>A3384</f>
        <v>0</v>
      </c>
      <c r="B3401" s="2514"/>
      <c r="C3401" s="2650"/>
      <c r="D3401" s="2651"/>
      <c r="E3401" s="2652" t="s">
        <v>3691</v>
      </c>
      <c r="F3401" s="2652"/>
      <c r="G3401" s="2653"/>
      <c r="H3401" s="2652"/>
      <c r="I3401" s="2652"/>
      <c r="J3401" s="2652"/>
      <c r="K3401" s="2652"/>
      <c r="L3401" s="2652"/>
      <c r="M3401" s="2652"/>
      <c r="N3401" s="2652"/>
      <c r="O3401" s="2651"/>
      <c r="P3401" s="2821"/>
      <c r="Q3401" s="2519"/>
      <c r="R3401" s="2519"/>
      <c r="S3401" s="2519"/>
    </row>
    <row r="3402" spans="1:19" s="2358" customFormat="1" outlineLevel="1">
      <c r="A3402" s="2435" t="str">
        <f t="shared" ref="A3402:A3413" si="730">IF(G3402&lt;&gt;0,1,"")</f>
        <v/>
      </c>
      <c r="B3402" s="2654"/>
      <c r="C3402" s="2655">
        <f>IF(G3402&gt;0,1,0)</f>
        <v>0</v>
      </c>
      <c r="D3402" s="2405"/>
      <c r="E3402" s="2656" t="s">
        <v>6291</v>
      </c>
      <c r="F3402" s="2657" t="s">
        <v>2283</v>
      </c>
      <c r="G3402" s="2662">
        <f>G3389*0</f>
        <v>0</v>
      </c>
      <c r="H3402" s="2657"/>
      <c r="I3402" s="2657"/>
      <c r="J3402" s="2657"/>
      <c r="K3402" s="2657"/>
      <c r="L3402" s="2658"/>
      <c r="M3402" s="2658"/>
      <c r="N3402" s="2658"/>
      <c r="O3402" s="2659"/>
      <c r="P3402" s="2518"/>
      <c r="Q3402" s="2519"/>
      <c r="R3402" s="2519"/>
      <c r="S3402" s="2519"/>
    </row>
    <row r="3403" spans="1:19" s="2358" customFormat="1" outlineLevel="1">
      <c r="A3403" s="2435" t="str">
        <f t="shared" si="730"/>
        <v/>
      </c>
      <c r="B3403" s="2610" t="s">
        <v>2239</v>
      </c>
      <c r="C3403" s="2660"/>
      <c r="D3403" s="2405"/>
      <c r="E3403" s="2661" t="s">
        <v>3008</v>
      </c>
      <c r="F3403" s="2405" t="s">
        <v>2839</v>
      </c>
      <c r="G3403" s="2405">
        <f>G3402</f>
        <v>0</v>
      </c>
      <c r="H3403" s="2612">
        <v>4200000</v>
      </c>
      <c r="I3403" s="2511"/>
      <c r="J3403" s="2612"/>
      <c r="K3403" s="2511"/>
      <c r="L3403" s="2613">
        <f>H3403*G3403</f>
        <v>0</v>
      </c>
      <c r="M3403" s="2613">
        <f>I3403*G3403</f>
        <v>0</v>
      </c>
      <c r="N3403" s="2613">
        <f>J3403*G3403</f>
        <v>0</v>
      </c>
      <c r="O3403" s="2613">
        <f>K3403*G3403</f>
        <v>0</v>
      </c>
      <c r="P3403" s="2518"/>
      <c r="Q3403" s="2519"/>
      <c r="R3403" s="2519"/>
      <c r="S3403" s="2519"/>
    </row>
    <row r="3404" spans="1:19" s="2358" customFormat="1" outlineLevel="1">
      <c r="A3404" s="2435" t="str">
        <f t="shared" si="730"/>
        <v/>
      </c>
      <c r="B3404" s="2610" t="s">
        <v>1818</v>
      </c>
      <c r="C3404" s="2660"/>
      <c r="D3404" s="2405"/>
      <c r="E3404" s="2661" t="s">
        <v>2838</v>
      </c>
      <c r="F3404" s="2405" t="s">
        <v>2839</v>
      </c>
      <c r="G3404" s="2405">
        <f>G3403</f>
        <v>0</v>
      </c>
      <c r="H3404" s="2612">
        <v>17400</v>
      </c>
      <c r="I3404" s="2612"/>
      <c r="J3404" s="2511"/>
      <c r="K3404" s="2511"/>
      <c r="L3404" s="2613">
        <f>H3404*G3404</f>
        <v>0</v>
      </c>
      <c r="M3404" s="2613">
        <f>I3404*G3404</f>
        <v>0</v>
      </c>
      <c r="N3404" s="2613">
        <f>J3404*G3404</f>
        <v>0</v>
      </c>
      <c r="O3404" s="2613">
        <f>K3404*G3404</f>
        <v>0</v>
      </c>
      <c r="P3404" s="2518"/>
      <c r="Q3404" s="2519"/>
      <c r="R3404" s="2519"/>
      <c r="S3404" s="2519"/>
    </row>
    <row r="3405" spans="1:19" s="2358" customFormat="1" outlineLevel="1">
      <c r="A3405" s="2435" t="str">
        <f t="shared" si="730"/>
        <v/>
      </c>
      <c r="B3405" s="2610" t="s">
        <v>1615</v>
      </c>
      <c r="C3405" s="2660"/>
      <c r="D3405" s="2405" t="s">
        <v>5419</v>
      </c>
      <c r="E3405" s="2661" t="s">
        <v>5420</v>
      </c>
      <c r="F3405" s="2405" t="s">
        <v>2839</v>
      </c>
      <c r="G3405" s="2405">
        <f>G3403</f>
        <v>0</v>
      </c>
      <c r="H3405" s="2661"/>
      <c r="I3405" s="2612"/>
      <c r="J3405" s="2612">
        <v>551034</v>
      </c>
      <c r="K3405" s="2612">
        <v>141795.29</v>
      </c>
      <c r="L3405" s="2613">
        <f>H3405*G3405</f>
        <v>0</v>
      </c>
      <c r="M3405" s="2613">
        <f>I3405*G3405</f>
        <v>0</v>
      </c>
      <c r="N3405" s="2613">
        <f>J3405*G3405</f>
        <v>0</v>
      </c>
      <c r="O3405" s="2613">
        <f>K3405*G3405</f>
        <v>0</v>
      </c>
      <c r="P3405" s="2518"/>
      <c r="Q3405" s="2519"/>
      <c r="R3405" s="2519"/>
      <c r="S3405" s="2519"/>
    </row>
    <row r="3406" spans="1:19" s="2358" customFormat="1" outlineLevel="1">
      <c r="A3406" s="2435" t="str">
        <f t="shared" si="730"/>
        <v/>
      </c>
      <c r="B3406" s="2610" t="s">
        <v>2240</v>
      </c>
      <c r="C3406" s="2660"/>
      <c r="D3406" s="2405"/>
      <c r="E3406" s="2661" t="s">
        <v>5386</v>
      </c>
      <c r="F3406" s="2405" t="s">
        <v>856</v>
      </c>
      <c r="G3406" s="2405">
        <f>G3402*0.201</f>
        <v>0</v>
      </c>
      <c r="H3406" s="2612">
        <v>0</v>
      </c>
      <c r="I3406" s="2612"/>
      <c r="J3406" s="2612">
        <v>296500.89999999997</v>
      </c>
      <c r="K3406" s="2612">
        <v>0</v>
      </c>
      <c r="L3406" s="2613">
        <f>H3406*G3406</f>
        <v>0</v>
      </c>
      <c r="M3406" s="2613">
        <f>I3406*G3406</f>
        <v>0</v>
      </c>
      <c r="N3406" s="2613">
        <f>J3406*G3406</f>
        <v>0</v>
      </c>
      <c r="O3406" s="2613">
        <f>K3406*G3406</f>
        <v>0</v>
      </c>
      <c r="P3406" s="2518"/>
      <c r="Q3406" s="2519"/>
      <c r="R3406" s="2519"/>
      <c r="S3406" s="2519"/>
    </row>
    <row r="3407" spans="1:19" s="2358" customFormat="1" outlineLevel="1">
      <c r="A3407" s="2435" t="str">
        <f t="shared" si="730"/>
        <v/>
      </c>
      <c r="B3407" s="2610" t="s">
        <v>21</v>
      </c>
      <c r="C3407" s="2660"/>
      <c r="D3407" s="2405" t="s">
        <v>5387</v>
      </c>
      <c r="E3407" s="2661" t="s">
        <v>5388</v>
      </c>
      <c r="F3407" s="2405" t="s">
        <v>856</v>
      </c>
      <c r="G3407" s="2405">
        <f>G3402*0.182</f>
        <v>0</v>
      </c>
      <c r="H3407" s="2661"/>
      <c r="I3407" s="2612"/>
      <c r="J3407" s="2612">
        <v>117703.6</v>
      </c>
      <c r="K3407" s="2612">
        <v>0</v>
      </c>
      <c r="L3407" s="2613">
        <f>H3407*G3407</f>
        <v>0</v>
      </c>
      <c r="M3407" s="2613">
        <f>I3407*G3407</f>
        <v>0</v>
      </c>
      <c r="N3407" s="2613">
        <f>J3407*G3407</f>
        <v>0</v>
      </c>
      <c r="O3407" s="2613">
        <f>K3407*G3407</f>
        <v>0</v>
      </c>
      <c r="P3407" s="2518"/>
      <c r="Q3407" s="2519"/>
      <c r="R3407" s="2519"/>
      <c r="S3407" s="2519"/>
    </row>
    <row r="3408" spans="1:19" s="2358" customFormat="1" outlineLevel="1">
      <c r="A3408" s="2435" t="str">
        <f t="shared" si="730"/>
        <v/>
      </c>
      <c r="B3408" s="2610"/>
      <c r="C3408" s="2511">
        <f>IF(G3408&gt;0,C3402+1,C3402)</f>
        <v>0</v>
      </c>
      <c r="D3408" s="2405"/>
      <c r="E3408" s="2656" t="s">
        <v>2340</v>
      </c>
      <c r="F3408" s="2657" t="s">
        <v>2333</v>
      </c>
      <c r="G3408" s="2662">
        <f>G3402*0</f>
        <v>0</v>
      </c>
      <c r="H3408" s="2511"/>
      <c r="I3408" s="2511"/>
      <c r="J3408" s="2511"/>
      <c r="K3408" s="2511"/>
      <c r="L3408" s="2511"/>
      <c r="M3408" s="2511"/>
      <c r="N3408" s="2511"/>
      <c r="O3408" s="2663"/>
      <c r="P3408" s="2518"/>
      <c r="Q3408" s="2519"/>
      <c r="R3408" s="2519"/>
      <c r="S3408" s="2519"/>
    </row>
    <row r="3409" spans="1:19" s="2358" customFormat="1" outlineLevel="1">
      <c r="A3409" s="2435" t="str">
        <f t="shared" si="730"/>
        <v/>
      </c>
      <c r="B3409" s="2610" t="s">
        <v>636</v>
      </c>
      <c r="C3409" s="2660"/>
      <c r="D3409" s="2405" t="s">
        <v>5099</v>
      </c>
      <c r="E3409" s="2661" t="s">
        <v>2615</v>
      </c>
      <c r="F3409" s="2405" t="s">
        <v>2563</v>
      </c>
      <c r="G3409" s="2405">
        <f>G3408</f>
        <v>0</v>
      </c>
      <c r="H3409" s="2612">
        <v>354545</v>
      </c>
      <c r="I3409" s="2612"/>
      <c r="J3409" s="2612">
        <v>37220.25</v>
      </c>
      <c r="K3409" s="2511"/>
      <c r="L3409" s="2613">
        <f>H3409*G3409</f>
        <v>0</v>
      </c>
      <c r="M3409" s="2613">
        <f>I3409*G3409</f>
        <v>0</v>
      </c>
      <c r="N3409" s="2613">
        <f>J3409*G3409</f>
        <v>0</v>
      </c>
      <c r="O3409" s="2613">
        <f>K3409*G3409</f>
        <v>0</v>
      </c>
      <c r="P3409" s="2518"/>
      <c r="Q3409" s="2519"/>
      <c r="R3409" s="2519"/>
      <c r="S3409" s="2519"/>
    </row>
    <row r="3410" spans="1:19" s="2358" customFormat="1" outlineLevel="1">
      <c r="A3410" s="2435" t="str">
        <f t="shared" si="730"/>
        <v/>
      </c>
      <c r="B3410" s="2610" t="s">
        <v>566</v>
      </c>
      <c r="C3410" s="2660"/>
      <c r="D3410" s="2405"/>
      <c r="E3410" s="2661" t="s">
        <v>5124</v>
      </c>
      <c r="F3410" s="2405" t="s">
        <v>2445</v>
      </c>
      <c r="G3410" s="2405">
        <f>G3409</f>
        <v>0</v>
      </c>
      <c r="H3410" s="2612">
        <v>92200</v>
      </c>
      <c r="I3410" s="2661"/>
      <c r="J3410" s="2661"/>
      <c r="K3410" s="2511"/>
      <c r="L3410" s="2613">
        <f>H3410*G3410</f>
        <v>0</v>
      </c>
      <c r="M3410" s="2613">
        <f>I3410*G3410</f>
        <v>0</v>
      </c>
      <c r="N3410" s="2613">
        <f>J3410*G3410</f>
        <v>0</v>
      </c>
      <c r="O3410" s="2613">
        <f>K3410*G3410</f>
        <v>0</v>
      </c>
      <c r="P3410" s="2518"/>
      <c r="Q3410" s="2519"/>
      <c r="R3410" s="2519"/>
      <c r="S3410" s="2519"/>
    </row>
    <row r="3411" spans="1:19" s="2358" customFormat="1" outlineLevel="1">
      <c r="A3411" s="2435" t="str">
        <f t="shared" si="730"/>
        <v/>
      </c>
      <c r="B3411" s="2610" t="s">
        <v>639</v>
      </c>
      <c r="C3411" s="2660"/>
      <c r="D3411" s="2405" t="s">
        <v>1751</v>
      </c>
      <c r="E3411" s="2661" t="s">
        <v>5386</v>
      </c>
      <c r="F3411" s="2405" t="s">
        <v>856</v>
      </c>
      <c r="G3411" s="2405">
        <f>1.48*G3409</f>
        <v>0</v>
      </c>
      <c r="H3411" s="2612">
        <v>0</v>
      </c>
      <c r="I3411" s="2612"/>
      <c r="J3411" s="2612">
        <v>296500.89999999997</v>
      </c>
      <c r="K3411" s="2511"/>
      <c r="L3411" s="2613">
        <f>H3411*G3411</f>
        <v>0</v>
      </c>
      <c r="M3411" s="2613">
        <f>I3411*G3411</f>
        <v>0</v>
      </c>
      <c r="N3411" s="2613">
        <f>J3411*G3411</f>
        <v>0</v>
      </c>
      <c r="O3411" s="2613">
        <f>K3411*G3411</f>
        <v>0</v>
      </c>
      <c r="P3411" s="2518"/>
      <c r="Q3411" s="2519"/>
      <c r="R3411" s="2519"/>
      <c r="S3411" s="2519"/>
    </row>
    <row r="3412" spans="1:19" s="2358" customFormat="1" outlineLevel="1">
      <c r="A3412" s="2435" t="str">
        <f t="shared" si="730"/>
        <v/>
      </c>
      <c r="B3412" s="2610" t="s">
        <v>21</v>
      </c>
      <c r="C3412" s="2660"/>
      <c r="D3412" s="2405" t="s">
        <v>5387</v>
      </c>
      <c r="E3412" s="2661" t="s">
        <v>5388</v>
      </c>
      <c r="F3412" s="2405" t="s">
        <v>856</v>
      </c>
      <c r="G3412" s="2405">
        <f>1.39*G3408</f>
        <v>0</v>
      </c>
      <c r="H3412" s="2612">
        <v>0</v>
      </c>
      <c r="I3412" s="2612"/>
      <c r="J3412" s="2612">
        <v>117703.6</v>
      </c>
      <c r="K3412" s="2511"/>
      <c r="L3412" s="2613">
        <f>H3412*G3412</f>
        <v>0</v>
      </c>
      <c r="M3412" s="2613">
        <f>I3412*G3412</f>
        <v>0</v>
      </c>
      <c r="N3412" s="2613">
        <f>J3412*G3412</f>
        <v>0</v>
      </c>
      <c r="O3412" s="2613">
        <f>K3412*G3412</f>
        <v>0</v>
      </c>
      <c r="P3412" s="2518"/>
      <c r="Q3412" s="2519"/>
      <c r="R3412" s="2519"/>
      <c r="S3412" s="2519"/>
    </row>
    <row r="3413" spans="1:19" s="2358" customFormat="1" outlineLevel="1">
      <c r="A3413" s="2435" t="str">
        <f t="shared" si="730"/>
        <v/>
      </c>
      <c r="B3413" s="2514"/>
      <c r="C3413" s="2511">
        <f>IF(G3413&gt;0,C3408+1,C3408)</f>
        <v>0</v>
      </c>
      <c r="D3413" s="2664"/>
      <c r="E3413" s="2656" t="s">
        <v>3732</v>
      </c>
      <c r="F3413" s="2655" t="s">
        <v>2391</v>
      </c>
      <c r="G3413" s="2665">
        <f>G3389*0</f>
        <v>0</v>
      </c>
      <c r="H3413" s="2666"/>
      <c r="I3413" s="2666"/>
      <c r="J3413" s="2666"/>
      <c r="K3413" s="2666"/>
      <c r="L3413" s="2666"/>
      <c r="M3413" s="2666"/>
      <c r="N3413" s="2666"/>
      <c r="O3413" s="2666"/>
      <c r="P3413" s="2518"/>
      <c r="Q3413" s="2519"/>
      <c r="R3413" s="2519"/>
      <c r="S3413" s="2519"/>
    </row>
    <row r="3414" spans="1:19" s="2358" customFormat="1" ht="14.4" outlineLevel="1">
      <c r="A3414" s="2435" t="str">
        <f>A3413</f>
        <v/>
      </c>
      <c r="B3414" s="2514"/>
      <c r="C3414" s="2511"/>
      <c r="D3414" s="2667"/>
      <c r="E3414" s="2520" t="s">
        <v>6207</v>
      </c>
      <c r="F3414" s="2521"/>
      <c r="G3414" s="2522"/>
      <c r="H3414" s="2668"/>
      <c r="I3414" s="2668"/>
      <c r="J3414" s="2668"/>
      <c r="K3414" s="2668"/>
      <c r="L3414" s="2668"/>
      <c r="M3414" s="2668"/>
      <c r="N3414" s="2668"/>
      <c r="O3414" s="2668"/>
      <c r="P3414" s="2518"/>
      <c r="Q3414" s="2519"/>
      <c r="R3414" s="2519"/>
      <c r="S3414" s="2519"/>
    </row>
    <row r="3415" spans="1:19" s="2358" customFormat="1" outlineLevel="1">
      <c r="A3415" s="2435" t="str">
        <f t="shared" ref="A3415:A3421" si="731">IF(G3415&lt;&gt;0,1,"")</f>
        <v/>
      </c>
      <c r="B3415" s="2505" t="s">
        <v>1136</v>
      </c>
      <c r="C3415" s="2511"/>
      <c r="D3415" s="2405">
        <v>0</v>
      </c>
      <c r="E3415" s="2447" t="s">
        <v>4483</v>
      </c>
      <c r="F3415" s="2405" t="s">
        <v>2254</v>
      </c>
      <c r="G3415" s="2522">
        <f>2*G3413</f>
        <v>0</v>
      </c>
      <c r="H3415" s="2612">
        <v>31625</v>
      </c>
      <c r="I3415" s="2669"/>
      <c r="J3415" s="2612" t="s">
        <v>6477</v>
      </c>
      <c r="K3415" s="2612">
        <v>0</v>
      </c>
      <c r="L3415" s="2613">
        <f t="shared" ref="L3415:L3432" si="732">H3415*G3415</f>
        <v>0</v>
      </c>
      <c r="M3415" s="2613">
        <f t="shared" ref="M3415:M3423" si="733">I3415*G3415</f>
        <v>0</v>
      </c>
      <c r="N3415" s="2612">
        <v>0</v>
      </c>
      <c r="O3415" s="2613">
        <f t="shared" ref="O3415:O3423" si="734">K3415*G3415</f>
        <v>0</v>
      </c>
      <c r="P3415" s="2518"/>
      <c r="Q3415" s="2519"/>
      <c r="R3415" s="2519"/>
      <c r="S3415" s="2519"/>
    </row>
    <row r="3416" spans="1:19" s="2358" customFormat="1" outlineLevel="1">
      <c r="A3416" s="2435" t="str">
        <f t="shared" si="731"/>
        <v/>
      </c>
      <c r="B3416" s="2505" t="s">
        <v>1137</v>
      </c>
      <c r="C3416" s="2511"/>
      <c r="D3416" s="2405">
        <v>0</v>
      </c>
      <c r="E3416" s="2447" t="s">
        <v>5900</v>
      </c>
      <c r="F3416" s="2405" t="s">
        <v>2254</v>
      </c>
      <c r="G3416" s="2522">
        <f>G3413*4</f>
        <v>0</v>
      </c>
      <c r="H3416" s="2612">
        <v>31625</v>
      </c>
      <c r="I3416" s="2669"/>
      <c r="J3416" s="2612" t="s">
        <v>6478</v>
      </c>
      <c r="K3416" s="2612">
        <v>0</v>
      </c>
      <c r="L3416" s="2613">
        <f t="shared" si="732"/>
        <v>0</v>
      </c>
      <c r="M3416" s="2613">
        <f t="shared" si="733"/>
        <v>0</v>
      </c>
      <c r="N3416" s="2612">
        <v>0</v>
      </c>
      <c r="O3416" s="2613">
        <f t="shared" si="734"/>
        <v>0</v>
      </c>
      <c r="P3416" s="2518"/>
      <c r="Q3416" s="2519"/>
      <c r="R3416" s="2519"/>
      <c r="S3416" s="2519"/>
    </row>
    <row r="3417" spans="1:19" s="2358" customFormat="1" outlineLevel="1">
      <c r="A3417" s="2435" t="str">
        <f t="shared" si="731"/>
        <v/>
      </c>
      <c r="B3417" s="2505" t="s">
        <v>1138</v>
      </c>
      <c r="C3417" s="2511"/>
      <c r="D3417" s="2405">
        <v>0</v>
      </c>
      <c r="E3417" s="2447" t="s">
        <v>5899</v>
      </c>
      <c r="F3417" s="2405" t="s">
        <v>2254</v>
      </c>
      <c r="G3417" s="2522">
        <f>G3413*2</f>
        <v>0</v>
      </c>
      <c r="H3417" s="2612">
        <v>31625</v>
      </c>
      <c r="I3417" s="2669"/>
      <c r="J3417" s="2612" t="s">
        <v>6478</v>
      </c>
      <c r="K3417" s="2612">
        <v>0</v>
      </c>
      <c r="L3417" s="2613">
        <f t="shared" si="732"/>
        <v>0</v>
      </c>
      <c r="M3417" s="2613">
        <f t="shared" si="733"/>
        <v>0</v>
      </c>
      <c r="N3417" s="2612">
        <v>0</v>
      </c>
      <c r="O3417" s="2613">
        <f t="shared" si="734"/>
        <v>0</v>
      </c>
      <c r="P3417" s="2518"/>
      <c r="Q3417" s="2519"/>
      <c r="R3417" s="2519"/>
      <c r="S3417" s="2519"/>
    </row>
    <row r="3418" spans="1:19" s="2358" customFormat="1" outlineLevel="1">
      <c r="A3418" s="2435" t="str">
        <f t="shared" si="731"/>
        <v/>
      </c>
      <c r="B3418" s="2514" t="s">
        <v>1785</v>
      </c>
      <c r="C3418" s="2511"/>
      <c r="D3418" s="2405">
        <v>0</v>
      </c>
      <c r="E3418" s="2447" t="s">
        <v>2670</v>
      </c>
      <c r="F3418" s="2405" t="s">
        <v>2445</v>
      </c>
      <c r="G3418" s="2522">
        <f>G3413*12</f>
        <v>0</v>
      </c>
      <c r="H3418" s="2612">
        <v>34800</v>
      </c>
      <c r="I3418" s="2669"/>
      <c r="J3418" s="2612">
        <v>0</v>
      </c>
      <c r="K3418" s="2612">
        <v>0</v>
      </c>
      <c r="L3418" s="2613">
        <f t="shared" si="732"/>
        <v>0</v>
      </c>
      <c r="M3418" s="2613">
        <f t="shared" si="733"/>
        <v>0</v>
      </c>
      <c r="N3418" s="2613">
        <f t="shared" ref="N3418:N3423" si="735">J3418*G3418</f>
        <v>0</v>
      </c>
      <c r="O3418" s="2613">
        <f t="shared" si="734"/>
        <v>0</v>
      </c>
      <c r="P3418" s="2518"/>
      <c r="Q3418" s="2519"/>
      <c r="R3418" s="2519"/>
      <c r="S3418" s="2519"/>
    </row>
    <row r="3419" spans="1:19" s="2358" customFormat="1" outlineLevel="1">
      <c r="A3419" s="2435" t="str">
        <f t="shared" si="731"/>
        <v/>
      </c>
      <c r="B3419" s="2514" t="s">
        <v>1083</v>
      </c>
      <c r="C3419" s="2511"/>
      <c r="D3419" s="2405">
        <v>0</v>
      </c>
      <c r="E3419" s="2447" t="s">
        <v>2660</v>
      </c>
      <c r="F3419" s="2405" t="s">
        <v>2445</v>
      </c>
      <c r="G3419" s="2522">
        <f>G3413*2</f>
        <v>0</v>
      </c>
      <c r="H3419" s="2612">
        <v>29900</v>
      </c>
      <c r="I3419" s="2669"/>
      <c r="J3419" s="2612">
        <v>0</v>
      </c>
      <c r="K3419" s="2612">
        <v>0</v>
      </c>
      <c r="L3419" s="2613">
        <f t="shared" si="732"/>
        <v>0</v>
      </c>
      <c r="M3419" s="2613">
        <f t="shared" si="733"/>
        <v>0</v>
      </c>
      <c r="N3419" s="2613">
        <f t="shared" si="735"/>
        <v>0</v>
      </c>
      <c r="O3419" s="2613">
        <f t="shared" si="734"/>
        <v>0</v>
      </c>
      <c r="P3419" s="2518"/>
      <c r="Q3419" s="2519"/>
      <c r="R3419" s="2519"/>
      <c r="S3419" s="2519"/>
    </row>
    <row r="3420" spans="1:19" s="2358" customFormat="1" outlineLevel="1">
      <c r="A3420" s="2435" t="str">
        <f t="shared" si="731"/>
        <v/>
      </c>
      <c r="B3420" s="2514" t="s">
        <v>1079</v>
      </c>
      <c r="C3420" s="2511"/>
      <c r="D3420" s="2405">
        <v>0</v>
      </c>
      <c r="E3420" s="2447" t="s">
        <v>2659</v>
      </c>
      <c r="F3420" s="2405" t="s">
        <v>2445</v>
      </c>
      <c r="G3420" s="2522">
        <f>+G3413*4</f>
        <v>0</v>
      </c>
      <c r="H3420" s="2612">
        <v>27900</v>
      </c>
      <c r="I3420" s="2669"/>
      <c r="J3420" s="2612">
        <v>0</v>
      </c>
      <c r="K3420" s="2612">
        <v>0</v>
      </c>
      <c r="L3420" s="2613">
        <f t="shared" si="732"/>
        <v>0</v>
      </c>
      <c r="M3420" s="2613">
        <f t="shared" si="733"/>
        <v>0</v>
      </c>
      <c r="N3420" s="2613">
        <f t="shared" si="735"/>
        <v>0</v>
      </c>
      <c r="O3420" s="2613">
        <f t="shared" si="734"/>
        <v>0</v>
      </c>
      <c r="P3420" s="2518"/>
      <c r="Q3420" s="2519"/>
      <c r="R3420" s="2519"/>
      <c r="S3420" s="2519"/>
    </row>
    <row r="3421" spans="1:19" s="2358" customFormat="1" outlineLevel="1">
      <c r="A3421" s="2435" t="str">
        <f t="shared" si="731"/>
        <v/>
      </c>
      <c r="B3421" s="2514"/>
      <c r="C3421" s="2511">
        <f>IF(G3421&gt;0,C3413+1,C3413)</f>
        <v>0</v>
      </c>
      <c r="D3421" s="2512"/>
      <c r="E3421" s="2670" t="s">
        <v>6345</v>
      </c>
      <c r="F3421" s="2511" t="s">
        <v>2391</v>
      </c>
      <c r="G3421" s="2516">
        <f>G3413*2*0</f>
        <v>0</v>
      </c>
      <c r="H3421" s="2669"/>
      <c r="I3421" s="2669"/>
      <c r="J3421" s="2669"/>
      <c r="K3421" s="2669"/>
      <c r="L3421" s="2613">
        <f t="shared" si="732"/>
        <v>0</v>
      </c>
      <c r="M3421" s="2613">
        <f t="shared" si="733"/>
        <v>0</v>
      </c>
      <c r="N3421" s="2613">
        <f t="shared" si="735"/>
        <v>0</v>
      </c>
      <c r="O3421" s="2613">
        <f t="shared" si="734"/>
        <v>0</v>
      </c>
      <c r="P3421" s="2518"/>
      <c r="Q3421" s="2519"/>
      <c r="R3421" s="2519"/>
      <c r="S3421" s="2519"/>
    </row>
    <row r="3422" spans="1:19" s="2358" customFormat="1" ht="14.4" outlineLevel="1">
      <c r="A3422" s="2435" t="str">
        <f>A3421</f>
        <v/>
      </c>
      <c r="B3422" s="2514"/>
      <c r="C3422" s="2511"/>
      <c r="D3422" s="2512"/>
      <c r="E3422" s="2520" t="s">
        <v>6207</v>
      </c>
      <c r="F3422" s="2521"/>
      <c r="G3422" s="2522"/>
      <c r="H3422" s="2669"/>
      <c r="I3422" s="2669"/>
      <c r="J3422" s="2669"/>
      <c r="K3422" s="2669"/>
      <c r="L3422" s="2613">
        <f t="shared" si="732"/>
        <v>0</v>
      </c>
      <c r="M3422" s="2613">
        <f t="shared" si="733"/>
        <v>0</v>
      </c>
      <c r="N3422" s="2613">
        <f t="shared" si="735"/>
        <v>0</v>
      </c>
      <c r="O3422" s="2613">
        <f t="shared" si="734"/>
        <v>0</v>
      </c>
      <c r="P3422" s="2518"/>
      <c r="Q3422" s="2519"/>
      <c r="R3422" s="2519"/>
      <c r="S3422" s="2519"/>
    </row>
    <row r="3423" spans="1:19" s="2358" customFormat="1" outlineLevel="1">
      <c r="A3423" s="2435" t="str">
        <f t="shared" ref="A3423:A3428" si="736">IF(G3423&lt;&gt;0,1,"")</f>
        <v/>
      </c>
      <c r="B3423" s="2505" t="s">
        <v>2026</v>
      </c>
      <c r="C3423" s="2511"/>
      <c r="D3423" s="2405">
        <v>0</v>
      </c>
      <c r="E3423" s="2447" t="s">
        <v>2443</v>
      </c>
      <c r="F3423" s="2405" t="s">
        <v>2254</v>
      </c>
      <c r="G3423" s="2523">
        <f>G3421*9.02*(2.6+3*0.07)*2</f>
        <v>0</v>
      </c>
      <c r="H3423" s="2612">
        <v>31625</v>
      </c>
      <c r="I3423" s="2612"/>
      <c r="J3423" s="2612">
        <v>0</v>
      </c>
      <c r="K3423" s="2612">
        <v>0</v>
      </c>
      <c r="L3423" s="2613">
        <f t="shared" si="732"/>
        <v>0</v>
      </c>
      <c r="M3423" s="2613">
        <f t="shared" si="733"/>
        <v>0</v>
      </c>
      <c r="N3423" s="2613">
        <f t="shared" si="735"/>
        <v>0</v>
      </c>
      <c r="O3423" s="2613">
        <f t="shared" si="734"/>
        <v>0</v>
      </c>
      <c r="P3423" s="2518"/>
      <c r="Q3423" s="2519"/>
      <c r="R3423" s="2519"/>
      <c r="S3423" s="2519"/>
    </row>
    <row r="3424" spans="1:19" s="2358" customFormat="1" outlineLevel="1">
      <c r="A3424" s="2435" t="str">
        <f t="shared" si="736"/>
        <v/>
      </c>
      <c r="B3424" s="2514" t="s">
        <v>1788</v>
      </c>
      <c r="C3424" s="2511"/>
      <c r="D3424" s="2405">
        <v>0</v>
      </c>
      <c r="E3424" s="2447" t="s">
        <v>2668</v>
      </c>
      <c r="F3424" s="2405" t="s">
        <v>2391</v>
      </c>
      <c r="G3424" s="2522">
        <f>G3421*2</f>
        <v>0</v>
      </c>
      <c r="H3424" s="2612">
        <v>31800</v>
      </c>
      <c r="I3424" s="2612">
        <v>0</v>
      </c>
      <c r="J3424" s="2612">
        <v>0</v>
      </c>
      <c r="K3424" s="2612">
        <v>0</v>
      </c>
      <c r="L3424" s="2613">
        <f t="shared" si="732"/>
        <v>0</v>
      </c>
      <c r="M3424" s="2613">
        <f>I3424*G3424</f>
        <v>0</v>
      </c>
      <c r="N3424" s="2613">
        <f>J3424*G3424</f>
        <v>0</v>
      </c>
      <c r="O3424" s="2613">
        <f>K3424*G3424</f>
        <v>0</v>
      </c>
      <c r="P3424" s="2518"/>
      <c r="Q3424" s="2519"/>
      <c r="R3424" s="2519"/>
      <c r="S3424" s="2519"/>
    </row>
    <row r="3425" spans="1:19" s="2358" customFormat="1" outlineLevel="1">
      <c r="A3425" s="2435" t="str">
        <f t="shared" si="736"/>
        <v/>
      </c>
      <c r="B3425" s="2514" t="s">
        <v>1613</v>
      </c>
      <c r="C3425" s="2511"/>
      <c r="D3425" s="2405">
        <v>0</v>
      </c>
      <c r="E3425" s="2447" t="s">
        <v>2657</v>
      </c>
      <c r="F3425" s="2405" t="s">
        <v>2391</v>
      </c>
      <c r="G3425" s="2522">
        <f>G3421*2</f>
        <v>0</v>
      </c>
      <c r="H3425" s="2612">
        <v>25400</v>
      </c>
      <c r="I3425" s="2612">
        <v>0</v>
      </c>
      <c r="J3425" s="2612">
        <v>0</v>
      </c>
      <c r="K3425" s="2612">
        <v>0</v>
      </c>
      <c r="L3425" s="2613">
        <f t="shared" si="732"/>
        <v>0</v>
      </c>
      <c r="M3425" s="2613">
        <f>I3425*G3425</f>
        <v>0</v>
      </c>
      <c r="N3425" s="2613">
        <f>J3425*G3425</f>
        <v>0</v>
      </c>
      <c r="O3425" s="2613">
        <f>K3425*G3425</f>
        <v>0</v>
      </c>
      <c r="P3425" s="2518"/>
      <c r="Q3425" s="2519"/>
      <c r="R3425" s="2519"/>
      <c r="S3425" s="2519"/>
    </row>
    <row r="3426" spans="1:19" s="2358" customFormat="1" outlineLevel="1">
      <c r="A3426" s="2435" t="str">
        <f t="shared" si="736"/>
        <v/>
      </c>
      <c r="B3426" s="2514" t="s">
        <v>1612</v>
      </c>
      <c r="C3426" s="2511"/>
      <c r="D3426" s="2405">
        <v>0</v>
      </c>
      <c r="E3426" s="2447" t="s">
        <v>2653</v>
      </c>
      <c r="F3426" s="2405" t="s">
        <v>2391</v>
      </c>
      <c r="G3426" s="2522">
        <f>G3425</f>
        <v>0</v>
      </c>
      <c r="H3426" s="2612">
        <v>13400</v>
      </c>
      <c r="I3426" s="2612">
        <v>0</v>
      </c>
      <c r="J3426" s="2612">
        <v>0</v>
      </c>
      <c r="K3426" s="2612">
        <v>0</v>
      </c>
      <c r="L3426" s="2613">
        <f t="shared" si="732"/>
        <v>0</v>
      </c>
      <c r="M3426" s="2613">
        <f>I3426*G3426</f>
        <v>0</v>
      </c>
      <c r="N3426" s="2613">
        <f>J3426*G3426</f>
        <v>0</v>
      </c>
      <c r="O3426" s="2613">
        <f>K3426*G3426</f>
        <v>0</v>
      </c>
      <c r="P3426" s="2518"/>
      <c r="Q3426" s="2519"/>
      <c r="R3426" s="2519"/>
      <c r="S3426" s="2519"/>
    </row>
    <row r="3427" spans="1:19" s="2358" customFormat="1" outlineLevel="1">
      <c r="A3427" s="2435" t="str">
        <f t="shared" si="736"/>
        <v/>
      </c>
      <c r="B3427" s="2514" t="s">
        <v>2248</v>
      </c>
      <c r="C3427" s="2511"/>
      <c r="D3427" s="2405" t="s">
        <v>730</v>
      </c>
      <c r="E3427" s="2447" t="s">
        <v>2446</v>
      </c>
      <c r="F3427" s="2405" t="s">
        <v>2391</v>
      </c>
      <c r="G3427" s="2522">
        <f>G3421</f>
        <v>0</v>
      </c>
      <c r="H3427" s="2612">
        <v>0</v>
      </c>
      <c r="I3427" s="2612"/>
      <c r="J3427" s="2612" t="s">
        <v>6419</v>
      </c>
      <c r="K3427" s="2612"/>
      <c r="L3427" s="2613">
        <f t="shared" si="732"/>
        <v>0</v>
      </c>
      <c r="M3427" s="2613"/>
      <c r="N3427" s="2612">
        <v>0</v>
      </c>
      <c r="O3427" s="2613"/>
      <c r="P3427" s="2518"/>
      <c r="Q3427" s="2519"/>
      <c r="R3427" s="2519"/>
      <c r="S3427" s="2519"/>
    </row>
    <row r="3428" spans="1:19" s="2358" customFormat="1" outlineLevel="1">
      <c r="A3428" s="2435" t="str">
        <f t="shared" si="736"/>
        <v/>
      </c>
      <c r="B3428" s="2514"/>
      <c r="C3428" s="2511">
        <f>IF(G3428&gt;0,C3421+1,C3421)</f>
        <v>0</v>
      </c>
      <c r="D3428" s="2512"/>
      <c r="E3428" s="2670" t="s">
        <v>6374</v>
      </c>
      <c r="F3428" s="2511" t="s">
        <v>2391</v>
      </c>
      <c r="G3428" s="2516">
        <f>G3413*3</f>
        <v>0</v>
      </c>
      <c r="H3428" s="2669"/>
      <c r="I3428" s="2669"/>
      <c r="J3428" s="2669"/>
      <c r="K3428" s="2669"/>
      <c r="L3428" s="2613">
        <f t="shared" si="732"/>
        <v>0</v>
      </c>
      <c r="M3428" s="2613">
        <f>I3428*G3428</f>
        <v>0</v>
      </c>
      <c r="N3428" s="2613">
        <f>J3428*G3428</f>
        <v>0</v>
      </c>
      <c r="O3428" s="2613">
        <f>K3428*G3428</f>
        <v>0</v>
      </c>
      <c r="P3428" s="2518"/>
      <c r="Q3428" s="2519"/>
      <c r="R3428" s="2519"/>
      <c r="S3428" s="2519"/>
    </row>
    <row r="3429" spans="1:19" s="2358" customFormat="1" ht="14.4" outlineLevel="1">
      <c r="A3429" s="2435" t="str">
        <f>A3428</f>
        <v/>
      </c>
      <c r="B3429" s="2514"/>
      <c r="C3429" s="2511"/>
      <c r="D3429" s="2512"/>
      <c r="E3429" s="2520" t="s">
        <v>6207</v>
      </c>
      <c r="F3429" s="2521"/>
      <c r="G3429" s="2522"/>
      <c r="H3429" s="2669"/>
      <c r="I3429" s="2669"/>
      <c r="J3429" s="2669"/>
      <c r="K3429" s="2669"/>
      <c r="L3429" s="2613">
        <f t="shared" si="732"/>
        <v>0</v>
      </c>
      <c r="M3429" s="2613">
        <f>I3429*G3429</f>
        <v>0</v>
      </c>
      <c r="N3429" s="2613">
        <f>J3429*G3429</f>
        <v>0</v>
      </c>
      <c r="O3429" s="2613">
        <f>K3429*G3429</f>
        <v>0</v>
      </c>
      <c r="P3429" s="2518"/>
      <c r="Q3429" s="2519"/>
      <c r="R3429" s="2519"/>
      <c r="S3429" s="2519"/>
    </row>
    <row r="3430" spans="1:19" s="2358" customFormat="1" outlineLevel="1">
      <c r="A3430" s="2435" t="str">
        <f t="shared" ref="A3430:A3435" si="737">IF(G3430&lt;&gt;0,1,"")</f>
        <v/>
      </c>
      <c r="B3430" s="2505" t="s">
        <v>2026</v>
      </c>
      <c r="C3430" s="2511"/>
      <c r="D3430" s="2405">
        <v>0</v>
      </c>
      <c r="E3430" s="2447" t="s">
        <v>2443</v>
      </c>
      <c r="F3430" s="2405" t="s">
        <v>2254</v>
      </c>
      <c r="G3430" s="2523">
        <f>G3428*9.02*(2.6+3*0.07)</f>
        <v>0</v>
      </c>
      <c r="H3430" s="2612">
        <v>31625</v>
      </c>
      <c r="I3430" s="2612"/>
      <c r="J3430" s="2612">
        <v>0</v>
      </c>
      <c r="K3430" s="2612">
        <v>0</v>
      </c>
      <c r="L3430" s="2613">
        <f t="shared" si="732"/>
        <v>0</v>
      </c>
      <c r="M3430" s="2613">
        <f>I3430*G3430</f>
        <v>0</v>
      </c>
      <c r="N3430" s="2613">
        <f>J3430*G3430</f>
        <v>0</v>
      </c>
      <c r="O3430" s="2613">
        <f>K3430*G3430</f>
        <v>0</v>
      </c>
      <c r="P3430" s="2518"/>
      <c r="Q3430" s="2519"/>
      <c r="R3430" s="2519"/>
      <c r="S3430" s="2519"/>
    </row>
    <row r="3431" spans="1:19" s="2358" customFormat="1" outlineLevel="1">
      <c r="A3431" s="2435" t="str">
        <f t="shared" si="737"/>
        <v/>
      </c>
      <c r="B3431" s="2514" t="s">
        <v>1612</v>
      </c>
      <c r="C3431" s="2511"/>
      <c r="D3431" s="2405">
        <v>0</v>
      </c>
      <c r="E3431" s="2447" t="s">
        <v>2653</v>
      </c>
      <c r="F3431" s="2405" t="s">
        <v>2391</v>
      </c>
      <c r="G3431" s="2522">
        <f>IF(G3428&gt;2,(G3428-1)*2,0)</f>
        <v>0</v>
      </c>
      <c r="H3431" s="2612">
        <v>13400</v>
      </c>
      <c r="I3431" s="2612">
        <v>0</v>
      </c>
      <c r="J3431" s="2612">
        <v>0</v>
      </c>
      <c r="K3431" s="2612">
        <v>0</v>
      </c>
      <c r="L3431" s="2613">
        <f t="shared" si="732"/>
        <v>0</v>
      </c>
      <c r="M3431" s="2613">
        <f>I3431*G3431</f>
        <v>0</v>
      </c>
      <c r="N3431" s="2613">
        <f>J3431*G3431</f>
        <v>0</v>
      </c>
      <c r="O3431" s="2613">
        <f>K3431*G3431</f>
        <v>0</v>
      </c>
      <c r="P3431" s="2518"/>
      <c r="Q3431" s="2519"/>
      <c r="R3431" s="2519"/>
      <c r="S3431" s="2519"/>
    </row>
    <row r="3432" spans="1:19" s="2358" customFormat="1" outlineLevel="1">
      <c r="A3432" s="2435" t="str">
        <f t="shared" si="737"/>
        <v/>
      </c>
      <c r="B3432" s="2514" t="s">
        <v>1613</v>
      </c>
      <c r="C3432" s="2511"/>
      <c r="D3432" s="2405">
        <v>0</v>
      </c>
      <c r="E3432" s="2447" t="s">
        <v>2657</v>
      </c>
      <c r="F3432" s="2405" t="s">
        <v>2391</v>
      </c>
      <c r="G3432" s="2522">
        <f>IF(G3428=0,0,2)</f>
        <v>0</v>
      </c>
      <c r="H3432" s="2612">
        <v>25400</v>
      </c>
      <c r="I3432" s="2612">
        <v>0</v>
      </c>
      <c r="J3432" s="2612">
        <v>0</v>
      </c>
      <c r="K3432" s="2612">
        <v>0</v>
      </c>
      <c r="L3432" s="2613">
        <f t="shared" si="732"/>
        <v>0</v>
      </c>
      <c r="M3432" s="2613">
        <f>I3432*G3432</f>
        <v>0</v>
      </c>
      <c r="N3432" s="2613">
        <f>J3432*G3432</f>
        <v>0</v>
      </c>
      <c r="O3432" s="2613">
        <f>K3432*G3432</f>
        <v>0</v>
      </c>
      <c r="P3432" s="2518"/>
      <c r="Q3432" s="2519"/>
      <c r="R3432" s="2519"/>
      <c r="S3432" s="2519"/>
    </row>
    <row r="3433" spans="1:19" s="2358" customFormat="1" outlineLevel="1">
      <c r="A3433" s="2435" t="str">
        <f t="shared" si="737"/>
        <v/>
      </c>
      <c r="B3433" s="2505" t="s">
        <v>2277</v>
      </c>
      <c r="C3433" s="2511"/>
      <c r="D3433" s="2405">
        <v>0</v>
      </c>
      <c r="E3433" s="2447" t="s">
        <v>5130</v>
      </c>
      <c r="F3433" s="2405" t="s">
        <v>2391</v>
      </c>
      <c r="G3433" s="2522">
        <f>G3428*1</f>
        <v>0</v>
      </c>
      <c r="H3433" s="2612">
        <v>65000</v>
      </c>
      <c r="I3433" s="2612">
        <v>0</v>
      </c>
      <c r="J3433" s="2612"/>
      <c r="K3433" s="2612"/>
      <c r="L3433" s="2613"/>
      <c r="M3433" s="2613"/>
      <c r="N3433" s="2613"/>
      <c r="O3433" s="2613"/>
      <c r="P3433" s="2518"/>
      <c r="Q3433" s="2519"/>
      <c r="R3433" s="2519"/>
      <c r="S3433" s="2519"/>
    </row>
    <row r="3434" spans="1:19" s="2358" customFormat="1" outlineLevel="1">
      <c r="A3434" s="2435" t="str">
        <f t="shared" si="737"/>
        <v/>
      </c>
      <c r="B3434" s="2514" t="s">
        <v>2248</v>
      </c>
      <c r="C3434" s="2511"/>
      <c r="D3434" s="2405" t="s">
        <v>730</v>
      </c>
      <c r="E3434" s="2447" t="s">
        <v>2446</v>
      </c>
      <c r="F3434" s="2405" t="s">
        <v>2391</v>
      </c>
      <c r="G3434" s="2522">
        <f>G3428</f>
        <v>0</v>
      </c>
      <c r="H3434" s="2612">
        <v>0</v>
      </c>
      <c r="I3434" s="2612"/>
      <c r="J3434" s="2612" t="s">
        <v>6419</v>
      </c>
      <c r="K3434" s="2612"/>
      <c r="L3434" s="2613">
        <f t="shared" ref="L3434:L3461" si="738">H3434*G3434</f>
        <v>0</v>
      </c>
      <c r="M3434" s="2613"/>
      <c r="N3434" s="2612">
        <v>0</v>
      </c>
      <c r="O3434" s="2613"/>
      <c r="P3434" s="2518"/>
      <c r="Q3434" s="2519"/>
      <c r="R3434" s="2519"/>
      <c r="S3434" s="2519"/>
    </row>
    <row r="3435" spans="1:19" s="2358" customFormat="1" outlineLevel="1">
      <c r="A3435" s="2435" t="str">
        <f t="shared" si="737"/>
        <v/>
      </c>
      <c r="B3435" s="2514"/>
      <c r="C3435" s="2511">
        <f>IF(G3435&gt;0,C3428+1,C3428)</f>
        <v>0</v>
      </c>
      <c r="D3435" s="2512"/>
      <c r="E3435" s="2670" t="s">
        <v>6295</v>
      </c>
      <c r="F3435" s="2511" t="s">
        <v>2391</v>
      </c>
      <c r="G3435" s="2516">
        <f>G3413*2</f>
        <v>0</v>
      </c>
      <c r="H3435" s="2669"/>
      <c r="I3435" s="2669"/>
      <c r="J3435" s="2669"/>
      <c r="K3435" s="2669"/>
      <c r="L3435" s="2613">
        <f t="shared" si="738"/>
        <v>0</v>
      </c>
      <c r="M3435" s="2613">
        <f>I3435*G3435</f>
        <v>0</v>
      </c>
      <c r="N3435" s="2613">
        <f>J3435*G3435</f>
        <v>0</v>
      </c>
      <c r="O3435" s="2613">
        <f>K3435*G3435</f>
        <v>0</v>
      </c>
      <c r="P3435" s="2518"/>
      <c r="Q3435" s="2519"/>
      <c r="R3435" s="2519"/>
      <c r="S3435" s="2519"/>
    </row>
    <row r="3436" spans="1:19" s="2358" customFormat="1" ht="14.4" outlineLevel="1">
      <c r="A3436" s="2435" t="str">
        <f>A3435</f>
        <v/>
      </c>
      <c r="B3436" s="2514"/>
      <c r="C3436" s="2511"/>
      <c r="D3436" s="2512"/>
      <c r="E3436" s="2520" t="s">
        <v>6207</v>
      </c>
      <c r="F3436" s="2521"/>
      <c r="G3436" s="2522"/>
      <c r="H3436" s="2669"/>
      <c r="I3436" s="2669"/>
      <c r="J3436" s="2669"/>
      <c r="K3436" s="2669"/>
      <c r="L3436" s="2613">
        <f t="shared" si="738"/>
        <v>0</v>
      </c>
      <c r="M3436" s="2613">
        <f>I3436*G3436</f>
        <v>0</v>
      </c>
      <c r="N3436" s="2613">
        <f>J3436*G3436</f>
        <v>0</v>
      </c>
      <c r="O3436" s="2613">
        <f>K3436*G3436</f>
        <v>0</v>
      </c>
      <c r="P3436" s="2518"/>
      <c r="Q3436" s="2519"/>
      <c r="R3436" s="2519"/>
      <c r="S3436" s="2519"/>
    </row>
    <row r="3437" spans="1:19" s="2358" customFormat="1" outlineLevel="1">
      <c r="A3437" s="2435" t="str">
        <f t="shared" ref="A3437:A3442" si="739">IF(G3437&lt;&gt;0,1,"")</f>
        <v/>
      </c>
      <c r="B3437" s="2514" t="s">
        <v>2026</v>
      </c>
      <c r="C3437" s="2511"/>
      <c r="D3437" s="2405">
        <v>0</v>
      </c>
      <c r="E3437" s="2447" t="s">
        <v>2443</v>
      </c>
      <c r="F3437" s="2405" t="s">
        <v>2254</v>
      </c>
      <c r="G3437" s="2523">
        <f>G3435*9.02*2.6</f>
        <v>0</v>
      </c>
      <c r="H3437" s="2612">
        <v>31625</v>
      </c>
      <c r="I3437" s="2612"/>
      <c r="J3437" s="2612">
        <v>0</v>
      </c>
      <c r="K3437" s="2612"/>
      <c r="L3437" s="2613">
        <f t="shared" si="738"/>
        <v>0</v>
      </c>
      <c r="M3437" s="2613"/>
      <c r="N3437" s="2613"/>
      <c r="O3437" s="2613"/>
      <c r="P3437" s="2518"/>
      <c r="Q3437" s="2519"/>
      <c r="R3437" s="2519"/>
      <c r="S3437" s="2519"/>
    </row>
    <row r="3438" spans="1:19" s="2358" customFormat="1" outlineLevel="1">
      <c r="A3438" s="2435" t="str">
        <f t="shared" si="739"/>
        <v/>
      </c>
      <c r="B3438" s="2514" t="s">
        <v>1083</v>
      </c>
      <c r="C3438" s="2511"/>
      <c r="D3438" s="2405">
        <v>0</v>
      </c>
      <c r="E3438" s="2447" t="s">
        <v>2660</v>
      </c>
      <c r="F3438" s="2405" t="s">
        <v>2391</v>
      </c>
      <c r="G3438" s="2522">
        <f>G3435*2</f>
        <v>0</v>
      </c>
      <c r="H3438" s="2612">
        <v>29900</v>
      </c>
      <c r="I3438" s="2612">
        <v>0</v>
      </c>
      <c r="J3438" s="2612">
        <v>0</v>
      </c>
      <c r="K3438" s="2612"/>
      <c r="L3438" s="2613">
        <f t="shared" si="738"/>
        <v>0</v>
      </c>
      <c r="M3438" s="2613"/>
      <c r="N3438" s="2613"/>
      <c r="O3438" s="2613"/>
      <c r="P3438" s="2518"/>
      <c r="Q3438" s="2519"/>
      <c r="R3438" s="2519"/>
      <c r="S3438" s="2519"/>
    </row>
    <row r="3439" spans="1:19" s="2358" customFormat="1" outlineLevel="1">
      <c r="A3439" s="2435" t="str">
        <f t="shared" si="739"/>
        <v/>
      </c>
      <c r="B3439" s="2514" t="s">
        <v>2248</v>
      </c>
      <c r="C3439" s="2511"/>
      <c r="D3439" s="2405" t="s">
        <v>730</v>
      </c>
      <c r="E3439" s="2447" t="s">
        <v>2446</v>
      </c>
      <c r="F3439" s="2405" t="s">
        <v>2391</v>
      </c>
      <c r="G3439" s="2522">
        <f>G3435</f>
        <v>0</v>
      </c>
      <c r="H3439" s="2612">
        <v>0</v>
      </c>
      <c r="I3439" s="2612"/>
      <c r="J3439" s="2612" t="s">
        <v>6419</v>
      </c>
      <c r="K3439" s="2612"/>
      <c r="L3439" s="2613">
        <f t="shared" si="738"/>
        <v>0</v>
      </c>
      <c r="M3439" s="2613"/>
      <c r="N3439" s="2612">
        <v>0</v>
      </c>
      <c r="O3439" s="2613"/>
      <c r="P3439" s="2518"/>
      <c r="Q3439" s="2519"/>
      <c r="R3439" s="2519"/>
      <c r="S3439" s="2519"/>
    </row>
    <row r="3440" spans="1:19" s="2358" customFormat="1" outlineLevel="1">
      <c r="A3440" s="2435" t="str">
        <f t="shared" si="739"/>
        <v/>
      </c>
      <c r="B3440" s="2514" t="s">
        <v>1613</v>
      </c>
      <c r="C3440" s="2511"/>
      <c r="D3440" s="2405">
        <v>0</v>
      </c>
      <c r="E3440" s="2447" t="s">
        <v>2657</v>
      </c>
      <c r="F3440" s="2405" t="s">
        <v>2391</v>
      </c>
      <c r="G3440" s="2522">
        <f>G3435*2*0</f>
        <v>0</v>
      </c>
      <c r="H3440" s="2612">
        <v>25400</v>
      </c>
      <c r="I3440" s="2612">
        <v>0</v>
      </c>
      <c r="J3440" s="2612">
        <v>0</v>
      </c>
      <c r="K3440" s="2612">
        <v>0</v>
      </c>
      <c r="L3440" s="2613">
        <f t="shared" si="738"/>
        <v>0</v>
      </c>
      <c r="M3440" s="2613">
        <f>I3440*G3440</f>
        <v>0</v>
      </c>
      <c r="N3440" s="2613">
        <f>J3440*G3440</f>
        <v>0</v>
      </c>
      <c r="O3440" s="2613">
        <f>K3440*G3440</f>
        <v>0</v>
      </c>
      <c r="P3440" s="2518"/>
      <c r="Q3440" s="2519"/>
      <c r="R3440" s="2519"/>
      <c r="S3440" s="2519"/>
    </row>
    <row r="3441" spans="1:19" s="2358" customFormat="1" outlineLevel="1">
      <c r="A3441" s="2435" t="str">
        <f t="shared" si="739"/>
        <v/>
      </c>
      <c r="B3441" s="2514" t="s">
        <v>1612</v>
      </c>
      <c r="C3441" s="2511"/>
      <c r="D3441" s="2405">
        <v>0</v>
      </c>
      <c r="E3441" s="2447" t="s">
        <v>2653</v>
      </c>
      <c r="F3441" s="2405" t="s">
        <v>2391</v>
      </c>
      <c r="G3441" s="2522">
        <f>2*G3435*2*0</f>
        <v>0</v>
      </c>
      <c r="H3441" s="2612">
        <v>13400</v>
      </c>
      <c r="I3441" s="2612">
        <v>0</v>
      </c>
      <c r="J3441" s="2612">
        <v>0</v>
      </c>
      <c r="K3441" s="2612">
        <v>0</v>
      </c>
      <c r="L3441" s="2613">
        <f t="shared" si="738"/>
        <v>0</v>
      </c>
      <c r="M3441" s="2613">
        <f>I3441*G3441</f>
        <v>0</v>
      </c>
      <c r="N3441" s="2613">
        <f>J3441*G3441</f>
        <v>0</v>
      </c>
      <c r="O3441" s="2613">
        <f>K3441*G3441</f>
        <v>0</v>
      </c>
      <c r="P3441" s="2518"/>
      <c r="Q3441" s="2519"/>
      <c r="R3441" s="2519"/>
      <c r="S3441" s="2519"/>
    </row>
    <row r="3442" spans="1:19" s="2358" customFormat="1" outlineLevel="1" collapsed="1">
      <c r="A3442" s="2435" t="str">
        <f t="shared" si="739"/>
        <v/>
      </c>
      <c r="B3442" s="2514"/>
      <c r="C3442" s="2511">
        <f>IF(G3442&gt;0,C3435+1,C3435)</f>
        <v>0</v>
      </c>
      <c r="D3442" s="2512"/>
      <c r="E3442" s="2670" t="s">
        <v>6372</v>
      </c>
      <c r="F3442" s="2511" t="s">
        <v>2391</v>
      </c>
      <c r="G3442" s="2516">
        <f>G3389*2</f>
        <v>0</v>
      </c>
      <c r="H3442" s="2517"/>
      <c r="I3442" s="2517"/>
      <c r="J3442" s="2517"/>
      <c r="K3442" s="2517"/>
      <c r="L3442" s="2517">
        <f t="shared" si="738"/>
        <v>0</v>
      </c>
      <c r="M3442" s="2517">
        <f>I3442*G3442</f>
        <v>0</v>
      </c>
      <c r="N3442" s="2517">
        <f>J3442*G3442</f>
        <v>0</v>
      </c>
      <c r="O3442" s="2517">
        <f>K3442*G3442</f>
        <v>0</v>
      </c>
      <c r="P3442" s="2518"/>
      <c r="Q3442" s="2519"/>
      <c r="R3442" s="2519"/>
      <c r="S3442" s="2519"/>
    </row>
    <row r="3443" spans="1:19" s="2358" customFormat="1" ht="14.4" outlineLevel="1">
      <c r="A3443" s="2435" t="str">
        <f>A3442</f>
        <v/>
      </c>
      <c r="B3443" s="2514"/>
      <c r="C3443" s="2511"/>
      <c r="D3443" s="2512"/>
      <c r="E3443" s="2520" t="s">
        <v>6207</v>
      </c>
      <c r="F3443" s="2521"/>
      <c r="G3443" s="2522"/>
      <c r="H3443" s="2517"/>
      <c r="I3443" s="2517"/>
      <c r="J3443" s="2517"/>
      <c r="K3443" s="2517"/>
      <c r="L3443" s="2517">
        <f t="shared" si="738"/>
        <v>0</v>
      </c>
      <c r="M3443" s="2517">
        <f>I3443*G3443</f>
        <v>0</v>
      </c>
      <c r="N3443" s="2517">
        <f>J3443*G3443</f>
        <v>0</v>
      </c>
      <c r="O3443" s="2517">
        <f>K3443*G3443</f>
        <v>0</v>
      </c>
      <c r="P3443" s="2518"/>
      <c r="Q3443" s="2519"/>
      <c r="R3443" s="2519"/>
      <c r="S3443" s="2519"/>
    </row>
    <row r="3444" spans="1:19" s="2358" customFormat="1" outlineLevel="1">
      <c r="A3444" s="2435" t="str">
        <f t="shared" ref="A3444:A3450" si="740">IF(G3444&lt;&gt;0,1,"")</f>
        <v/>
      </c>
      <c r="B3444" s="2514" t="s">
        <v>2026</v>
      </c>
      <c r="C3444" s="2511"/>
      <c r="D3444" s="2405">
        <v>0</v>
      </c>
      <c r="E3444" s="2447" t="s">
        <v>2443</v>
      </c>
      <c r="F3444" s="2405" t="s">
        <v>2254</v>
      </c>
      <c r="G3444" s="2523">
        <f>G3442*9.02*(2.2+4*0.07)*2</f>
        <v>0</v>
      </c>
      <c r="H3444" s="2517">
        <v>31625</v>
      </c>
      <c r="I3444" s="2517"/>
      <c r="J3444" s="2517">
        <v>0</v>
      </c>
      <c r="K3444" s="2517"/>
      <c r="L3444" s="2517">
        <f t="shared" si="738"/>
        <v>0</v>
      </c>
      <c r="M3444" s="2517"/>
      <c r="N3444" s="2517"/>
      <c r="O3444" s="2517"/>
      <c r="P3444" s="2518"/>
      <c r="Q3444" s="2519"/>
      <c r="R3444" s="2519"/>
      <c r="S3444" s="2519"/>
    </row>
    <row r="3445" spans="1:19" s="2358" customFormat="1" outlineLevel="1">
      <c r="A3445" s="2435" t="str">
        <f t="shared" si="740"/>
        <v/>
      </c>
      <c r="B3445" s="2514" t="s">
        <v>1035</v>
      </c>
      <c r="C3445" s="2511"/>
      <c r="D3445" s="2405" t="s">
        <v>554</v>
      </c>
      <c r="E3445" s="2447" t="s">
        <v>6479</v>
      </c>
      <c r="F3445" s="2405" t="s">
        <v>2254</v>
      </c>
      <c r="G3445" s="2523">
        <f>G3442*3.77*0.92*4</f>
        <v>0</v>
      </c>
      <c r="H3445" s="2517">
        <v>31625</v>
      </c>
      <c r="I3445" s="2517"/>
      <c r="J3445" s="2517">
        <v>0</v>
      </c>
      <c r="K3445" s="2517"/>
      <c r="L3445" s="2517">
        <f t="shared" si="738"/>
        <v>0</v>
      </c>
      <c r="M3445" s="2517"/>
      <c r="N3445" s="2517"/>
      <c r="O3445" s="2517"/>
      <c r="P3445" s="2518"/>
      <c r="Q3445" s="2519"/>
      <c r="R3445" s="2519"/>
      <c r="S3445" s="2519"/>
    </row>
    <row r="3446" spans="1:19" s="2358" customFormat="1" outlineLevel="1">
      <c r="A3446" s="2435" t="str">
        <f t="shared" si="740"/>
        <v/>
      </c>
      <c r="B3446" s="2514" t="s">
        <v>1613</v>
      </c>
      <c r="C3446" s="2511"/>
      <c r="D3446" s="2405">
        <v>0</v>
      </c>
      <c r="E3446" s="2447" t="s">
        <v>2657</v>
      </c>
      <c r="F3446" s="2405" t="s">
        <v>2391</v>
      </c>
      <c r="G3446" s="2522">
        <f>G3442*2</f>
        <v>0</v>
      </c>
      <c r="H3446" s="2517">
        <v>25400</v>
      </c>
      <c r="I3446" s="2517">
        <v>0</v>
      </c>
      <c r="J3446" s="2517">
        <v>0</v>
      </c>
      <c r="K3446" s="2517"/>
      <c r="L3446" s="2517">
        <f t="shared" si="738"/>
        <v>0</v>
      </c>
      <c r="M3446" s="2517"/>
      <c r="N3446" s="2517"/>
      <c r="O3446" s="2517"/>
      <c r="P3446" s="2518"/>
      <c r="Q3446" s="2519"/>
      <c r="R3446" s="2519"/>
      <c r="S3446" s="2519"/>
    </row>
    <row r="3447" spans="1:19" s="2358" customFormat="1" outlineLevel="1">
      <c r="A3447" s="2435" t="str">
        <f t="shared" si="740"/>
        <v/>
      </c>
      <c r="B3447" s="2514" t="s">
        <v>1790</v>
      </c>
      <c r="C3447" s="2511"/>
      <c r="D3447" s="2405">
        <v>0</v>
      </c>
      <c r="E3447" s="2447" t="s">
        <v>2647</v>
      </c>
      <c r="F3447" s="2405" t="s">
        <v>2391</v>
      </c>
      <c r="G3447" s="2522">
        <f>G3442*4</f>
        <v>0</v>
      </c>
      <c r="H3447" s="2517">
        <v>12400</v>
      </c>
      <c r="I3447" s="2517">
        <v>0</v>
      </c>
      <c r="J3447" s="2517">
        <v>0</v>
      </c>
      <c r="K3447" s="2517"/>
      <c r="L3447" s="2517">
        <f t="shared" si="738"/>
        <v>0</v>
      </c>
      <c r="M3447" s="2517"/>
      <c r="N3447" s="2517"/>
      <c r="O3447" s="2517"/>
      <c r="P3447" s="2518"/>
      <c r="Q3447" s="2519"/>
      <c r="R3447" s="2519"/>
      <c r="S3447" s="2519"/>
    </row>
    <row r="3448" spans="1:19" s="2358" customFormat="1" outlineLevel="1">
      <c r="A3448" s="2435" t="str">
        <f t="shared" si="740"/>
        <v/>
      </c>
      <c r="B3448" s="2514" t="s">
        <v>1788</v>
      </c>
      <c r="C3448" s="2511"/>
      <c r="D3448" s="2405">
        <v>0</v>
      </c>
      <c r="E3448" s="2447" t="s">
        <v>2668</v>
      </c>
      <c r="F3448" s="2405" t="s">
        <v>2391</v>
      </c>
      <c r="G3448" s="2522">
        <f>G3442*4</f>
        <v>0</v>
      </c>
      <c r="H3448" s="2517">
        <v>31800</v>
      </c>
      <c r="I3448" s="2517">
        <v>0</v>
      </c>
      <c r="J3448" s="2517">
        <v>0</v>
      </c>
      <c r="K3448" s="2517">
        <v>0</v>
      </c>
      <c r="L3448" s="2517">
        <f t="shared" si="738"/>
        <v>0</v>
      </c>
      <c r="M3448" s="2517">
        <f>I3448*G3448</f>
        <v>0</v>
      </c>
      <c r="N3448" s="2517">
        <f>J3448*G3448</f>
        <v>0</v>
      </c>
      <c r="O3448" s="2517">
        <f>K3448*G3448</f>
        <v>0</v>
      </c>
      <c r="P3448" s="2518"/>
      <c r="Q3448" s="2519"/>
      <c r="R3448" s="2519"/>
      <c r="S3448" s="2519"/>
    </row>
    <row r="3449" spans="1:19" s="2358" customFormat="1" outlineLevel="1">
      <c r="A3449" s="2435" t="str">
        <f t="shared" si="740"/>
        <v/>
      </c>
      <c r="B3449" s="2514" t="s">
        <v>517</v>
      </c>
      <c r="C3449" s="2511"/>
      <c r="D3449" s="2405" t="s">
        <v>1460</v>
      </c>
      <c r="E3449" s="2447" t="s">
        <v>3191</v>
      </c>
      <c r="F3449" s="2405" t="s">
        <v>2391</v>
      </c>
      <c r="G3449" s="2522">
        <f>G3442</f>
        <v>0</v>
      </c>
      <c r="H3449" s="2517"/>
      <c r="I3449" s="2517"/>
      <c r="J3449" s="2517" t="s">
        <v>6465</v>
      </c>
      <c r="K3449" s="2517"/>
      <c r="L3449" s="2517">
        <f t="shared" si="738"/>
        <v>0</v>
      </c>
      <c r="M3449" s="2517"/>
      <c r="N3449" s="2517">
        <v>0</v>
      </c>
      <c r="O3449" s="2517"/>
      <c r="P3449" s="2518"/>
      <c r="Q3449" s="2519"/>
      <c r="R3449" s="2519"/>
      <c r="S3449" s="2519"/>
    </row>
    <row r="3450" spans="1:19" s="2358" customFormat="1" outlineLevel="1">
      <c r="A3450" s="2435" t="str">
        <f t="shared" si="740"/>
        <v/>
      </c>
      <c r="B3450" s="2514"/>
      <c r="C3450" s="2511">
        <f>IF(G3450&gt;0,C3442+1,C3442)</f>
        <v>0</v>
      </c>
      <c r="D3450" s="2512"/>
      <c r="E3450" s="2670" t="s">
        <v>6363</v>
      </c>
      <c r="F3450" s="2511" t="s">
        <v>2391</v>
      </c>
      <c r="G3450" s="2516">
        <f>G3389*2</f>
        <v>0</v>
      </c>
      <c r="H3450" s="2517"/>
      <c r="I3450" s="2517"/>
      <c r="J3450" s="2517"/>
      <c r="K3450" s="2517"/>
      <c r="L3450" s="2517">
        <f t="shared" si="738"/>
        <v>0</v>
      </c>
      <c r="M3450" s="2517">
        <f>I3450*G3450</f>
        <v>0</v>
      </c>
      <c r="N3450" s="2517">
        <f>J3450*G3450</f>
        <v>0</v>
      </c>
      <c r="O3450" s="2517">
        <f>K3450*G3450</f>
        <v>0</v>
      </c>
      <c r="P3450" s="2518"/>
      <c r="Q3450" s="2519"/>
      <c r="R3450" s="2519"/>
      <c r="S3450" s="2519"/>
    </row>
    <row r="3451" spans="1:19" s="2358" customFormat="1" ht="14.4" outlineLevel="1">
      <c r="A3451" s="2435" t="str">
        <f>A3450</f>
        <v/>
      </c>
      <c r="B3451" s="2514"/>
      <c r="C3451" s="2511"/>
      <c r="D3451" s="2512"/>
      <c r="E3451" s="2520" t="s">
        <v>6207</v>
      </c>
      <c r="F3451" s="2521"/>
      <c r="G3451" s="2522"/>
      <c r="H3451" s="2517"/>
      <c r="I3451" s="2517"/>
      <c r="J3451" s="2517"/>
      <c r="K3451" s="2517"/>
      <c r="L3451" s="2517">
        <f t="shared" si="738"/>
        <v>0</v>
      </c>
      <c r="M3451" s="2517">
        <f>I3451*G3451</f>
        <v>0</v>
      </c>
      <c r="N3451" s="2517">
        <f>J3451*G3451</f>
        <v>0</v>
      </c>
      <c r="O3451" s="2517">
        <f>K3451*G3451</f>
        <v>0</v>
      </c>
      <c r="P3451" s="2518"/>
      <c r="Q3451" s="2519"/>
      <c r="R3451" s="2519"/>
      <c r="S3451" s="2519"/>
    </row>
    <row r="3452" spans="1:19" s="2358" customFormat="1" outlineLevel="1">
      <c r="A3452" s="2435" t="str">
        <f t="shared" ref="A3452:A3458" si="741">IF(G3452&lt;&gt;0,1,"")</f>
        <v/>
      </c>
      <c r="B3452" s="2514" t="s">
        <v>2026</v>
      </c>
      <c r="C3452" s="2511"/>
      <c r="D3452" s="2405">
        <v>0</v>
      </c>
      <c r="E3452" s="2447" t="s">
        <v>2443</v>
      </c>
      <c r="F3452" s="2405" t="s">
        <v>2254</v>
      </c>
      <c r="G3452" s="2523">
        <f>G3450*9.02*(2.2+4*0.07)</f>
        <v>0</v>
      </c>
      <c r="H3452" s="2517">
        <v>31625</v>
      </c>
      <c r="I3452" s="2517"/>
      <c r="J3452" s="2517">
        <v>0</v>
      </c>
      <c r="K3452" s="2517"/>
      <c r="L3452" s="2517">
        <f t="shared" si="738"/>
        <v>0</v>
      </c>
      <c r="M3452" s="2517"/>
      <c r="N3452" s="2517"/>
      <c r="O3452" s="2517"/>
      <c r="P3452" s="2518"/>
      <c r="Q3452" s="2519"/>
      <c r="R3452" s="2519"/>
      <c r="S3452" s="2519"/>
    </row>
    <row r="3453" spans="1:19" s="2358" customFormat="1" outlineLevel="1">
      <c r="A3453" s="2435" t="str">
        <f t="shared" si="741"/>
        <v/>
      </c>
      <c r="B3453" s="2514" t="s">
        <v>1035</v>
      </c>
      <c r="C3453" s="2511"/>
      <c r="D3453" s="2405">
        <v>0</v>
      </c>
      <c r="E3453" s="2447" t="s">
        <v>6479</v>
      </c>
      <c r="F3453" s="2405" t="s">
        <v>2254</v>
      </c>
      <c r="G3453" s="2523">
        <f>G3450*3.77*0.92*2</f>
        <v>0</v>
      </c>
      <c r="H3453" s="2517">
        <v>31625</v>
      </c>
      <c r="I3453" s="2517"/>
      <c r="J3453" s="2517">
        <v>0</v>
      </c>
      <c r="K3453" s="2517"/>
      <c r="L3453" s="2517">
        <f t="shared" si="738"/>
        <v>0</v>
      </c>
      <c r="M3453" s="2517"/>
      <c r="N3453" s="2517"/>
      <c r="O3453" s="2517"/>
      <c r="P3453" s="2518"/>
      <c r="Q3453" s="2519"/>
      <c r="R3453" s="2519"/>
      <c r="S3453" s="2519"/>
    </row>
    <row r="3454" spans="1:19" s="2358" customFormat="1" outlineLevel="1">
      <c r="A3454" s="2435" t="str">
        <f t="shared" si="741"/>
        <v/>
      </c>
      <c r="B3454" s="2514" t="s">
        <v>1079</v>
      </c>
      <c r="C3454" s="2511"/>
      <c r="D3454" s="2405">
        <v>0</v>
      </c>
      <c r="E3454" s="2447" t="s">
        <v>2659</v>
      </c>
      <c r="F3454" s="2405" t="s">
        <v>2391</v>
      </c>
      <c r="G3454" s="2522">
        <f>G3450*2</f>
        <v>0</v>
      </c>
      <c r="H3454" s="2517">
        <v>27900</v>
      </c>
      <c r="I3454" s="2517">
        <v>0</v>
      </c>
      <c r="J3454" s="2517">
        <v>0</v>
      </c>
      <c r="K3454" s="2517"/>
      <c r="L3454" s="2517">
        <f t="shared" si="738"/>
        <v>0</v>
      </c>
      <c r="M3454" s="2517"/>
      <c r="N3454" s="2517"/>
      <c r="O3454" s="2517"/>
      <c r="P3454" s="2518"/>
      <c r="Q3454" s="2519"/>
      <c r="R3454" s="2519"/>
      <c r="S3454" s="2519"/>
    </row>
    <row r="3455" spans="1:19" s="2358" customFormat="1" outlineLevel="1">
      <c r="A3455" s="2435" t="str">
        <f t="shared" si="741"/>
        <v/>
      </c>
      <c r="B3455" s="2514" t="s">
        <v>1790</v>
      </c>
      <c r="C3455" s="2511"/>
      <c r="D3455" s="2405">
        <v>0</v>
      </c>
      <c r="E3455" s="2447" t="s">
        <v>2647</v>
      </c>
      <c r="F3455" s="2405" t="s">
        <v>2391</v>
      </c>
      <c r="G3455" s="2522">
        <f>G3450*2</f>
        <v>0</v>
      </c>
      <c r="H3455" s="2517">
        <v>12400</v>
      </c>
      <c r="I3455" s="2517">
        <v>0</v>
      </c>
      <c r="J3455" s="2517">
        <v>0</v>
      </c>
      <c r="K3455" s="2517"/>
      <c r="L3455" s="2517">
        <f t="shared" si="738"/>
        <v>0</v>
      </c>
      <c r="M3455" s="2517"/>
      <c r="N3455" s="2517"/>
      <c r="O3455" s="2517"/>
      <c r="P3455" s="2518"/>
      <c r="Q3455" s="2519"/>
      <c r="R3455" s="2519"/>
      <c r="S3455" s="2519"/>
    </row>
    <row r="3456" spans="1:19" s="2358" customFormat="1" outlineLevel="1">
      <c r="A3456" s="2435" t="str">
        <f t="shared" si="741"/>
        <v/>
      </c>
      <c r="B3456" s="2514" t="s">
        <v>988</v>
      </c>
      <c r="C3456" s="2511"/>
      <c r="D3456" s="2405">
        <v>0</v>
      </c>
      <c r="E3456" s="2447" t="s">
        <v>5331</v>
      </c>
      <c r="F3456" s="2405" t="s">
        <v>2391</v>
      </c>
      <c r="G3456" s="2522">
        <f>G3450/3</f>
        <v>0</v>
      </c>
      <c r="H3456" s="2517">
        <v>178900</v>
      </c>
      <c r="I3456" s="2517">
        <v>0</v>
      </c>
      <c r="J3456" s="2517">
        <v>0</v>
      </c>
      <c r="K3456" s="2517"/>
      <c r="L3456" s="2517">
        <f t="shared" si="738"/>
        <v>0</v>
      </c>
      <c r="M3456" s="2517"/>
      <c r="N3456" s="2517"/>
      <c r="O3456" s="2517"/>
      <c r="P3456" s="2518"/>
      <c r="Q3456" s="2519"/>
      <c r="R3456" s="2519"/>
      <c r="S3456" s="2519"/>
    </row>
    <row r="3457" spans="1:19" s="2358" customFormat="1" outlineLevel="1">
      <c r="A3457" s="2435" t="str">
        <f t="shared" si="741"/>
        <v/>
      </c>
      <c r="B3457" s="2514" t="s">
        <v>2002</v>
      </c>
      <c r="C3457" s="2511"/>
      <c r="D3457" s="2405" t="s">
        <v>2271</v>
      </c>
      <c r="E3457" s="2447" t="s">
        <v>5491</v>
      </c>
      <c r="F3457" s="2405" t="s">
        <v>2391</v>
      </c>
      <c r="G3457" s="2522">
        <f>G3450</f>
        <v>0</v>
      </c>
      <c r="H3457" s="2517"/>
      <c r="I3457" s="2517"/>
      <c r="J3457" s="2517" t="s">
        <v>6403</v>
      </c>
      <c r="K3457" s="2517"/>
      <c r="L3457" s="2517">
        <f t="shared" si="738"/>
        <v>0</v>
      </c>
      <c r="M3457" s="2517"/>
      <c r="N3457" s="2517">
        <v>0</v>
      </c>
      <c r="O3457" s="2517"/>
      <c r="P3457" s="2518"/>
      <c r="Q3457" s="2519"/>
      <c r="R3457" s="2519"/>
      <c r="S3457" s="2519"/>
    </row>
    <row r="3458" spans="1:19" s="2358" customFormat="1" outlineLevel="1">
      <c r="A3458" s="2435" t="str">
        <f t="shared" si="741"/>
        <v/>
      </c>
      <c r="B3458" s="2514"/>
      <c r="C3458" s="2511">
        <f>IF(G3458&gt;0,C3450+1,C3450)</f>
        <v>0</v>
      </c>
      <c r="D3458" s="2512"/>
      <c r="E3458" s="2670" t="s">
        <v>4403</v>
      </c>
      <c r="F3458" s="2511" t="s">
        <v>2391</v>
      </c>
      <c r="G3458" s="2516">
        <f>G3389</f>
        <v>0</v>
      </c>
      <c r="H3458" s="2517"/>
      <c r="I3458" s="2517"/>
      <c r="J3458" s="2517"/>
      <c r="K3458" s="2517"/>
      <c r="L3458" s="2517">
        <f t="shared" si="738"/>
        <v>0</v>
      </c>
      <c r="M3458" s="2517">
        <f>I3458*G3458</f>
        <v>0</v>
      </c>
      <c r="N3458" s="2517">
        <f t="shared" ref="N3458:N3466" si="742">J3458*G3458</f>
        <v>0</v>
      </c>
      <c r="O3458" s="2517">
        <f>K3458*G3458</f>
        <v>0</v>
      </c>
      <c r="P3458" s="2518"/>
      <c r="Q3458" s="2519"/>
      <c r="R3458" s="2519"/>
      <c r="S3458" s="2519"/>
    </row>
    <row r="3459" spans="1:19" s="2358" customFormat="1" ht="14.4" outlineLevel="1">
      <c r="A3459" s="2435"/>
      <c r="B3459" s="2671"/>
      <c r="C3459" s="2511"/>
      <c r="D3459" s="2512"/>
      <c r="E3459" s="2520" t="s">
        <v>6364</v>
      </c>
      <c r="F3459" s="2521"/>
      <c r="G3459" s="2522"/>
      <c r="H3459" s="2517"/>
      <c r="I3459" s="2517"/>
      <c r="J3459" s="2517"/>
      <c r="K3459" s="2517"/>
      <c r="L3459" s="2517">
        <f t="shared" si="738"/>
        <v>0</v>
      </c>
      <c r="M3459" s="2517">
        <f>I3459*G3459</f>
        <v>0</v>
      </c>
      <c r="N3459" s="2517">
        <f t="shared" si="742"/>
        <v>0</v>
      </c>
      <c r="O3459" s="2517">
        <f>K3459*G3459</f>
        <v>0</v>
      </c>
      <c r="P3459" s="2518"/>
      <c r="Q3459" s="2519"/>
      <c r="R3459" s="2519"/>
      <c r="S3459" s="2519"/>
    </row>
    <row r="3460" spans="1:19" s="2358" customFormat="1" outlineLevel="1">
      <c r="A3460" s="2435" t="str">
        <f t="shared" ref="A3460:A3466" si="743">IF(G3460&lt;&gt;0,1,"")</f>
        <v/>
      </c>
      <c r="B3460" s="2514" t="s">
        <v>1033</v>
      </c>
      <c r="C3460" s="2511"/>
      <c r="D3460" s="2405">
        <v>0</v>
      </c>
      <c r="E3460" s="2447" t="s">
        <v>2708</v>
      </c>
      <c r="F3460" s="2405" t="s">
        <v>2254</v>
      </c>
      <c r="G3460" s="2523">
        <f>H3*0.224*G3458</f>
        <v>0</v>
      </c>
      <c r="H3460" s="2517">
        <v>255500</v>
      </c>
      <c r="I3460" s="2517"/>
      <c r="J3460" s="2517">
        <v>0</v>
      </c>
      <c r="K3460" s="2517">
        <v>0</v>
      </c>
      <c r="L3460" s="2517">
        <f t="shared" si="738"/>
        <v>0</v>
      </c>
      <c r="M3460" s="2517">
        <f>I3460*G3460</f>
        <v>0</v>
      </c>
      <c r="N3460" s="2517">
        <f t="shared" si="742"/>
        <v>0</v>
      </c>
      <c r="O3460" s="2517">
        <f>K3460*G3460</f>
        <v>0</v>
      </c>
      <c r="P3460" s="2518"/>
      <c r="Q3460" s="2519"/>
      <c r="R3460" s="2519"/>
      <c r="S3460" s="2519"/>
    </row>
    <row r="3461" spans="1:19" s="2358" customFormat="1" outlineLevel="1">
      <c r="A3461" s="2435" t="str">
        <f t="shared" si="743"/>
        <v/>
      </c>
      <c r="B3461" s="2505" t="s">
        <v>1511</v>
      </c>
      <c r="C3461" s="2511"/>
      <c r="D3461" s="2405">
        <v>0</v>
      </c>
      <c r="E3461" s="2447" t="s">
        <v>5224</v>
      </c>
      <c r="F3461" s="2405" t="s">
        <v>2445</v>
      </c>
      <c r="G3461" s="2522">
        <f>H2*G3458</f>
        <v>0</v>
      </c>
      <c r="H3461" s="2517">
        <v>160000</v>
      </c>
      <c r="I3461" s="2517"/>
      <c r="J3461" s="2517">
        <v>0</v>
      </c>
      <c r="K3461" s="2517">
        <v>0</v>
      </c>
      <c r="L3461" s="2517">
        <f t="shared" si="738"/>
        <v>0</v>
      </c>
      <c r="M3461" s="2517">
        <f>I3461*G3461</f>
        <v>0</v>
      </c>
      <c r="N3461" s="2517">
        <f t="shared" si="742"/>
        <v>0</v>
      </c>
      <c r="O3461" s="2517">
        <f>K3461*G3461</f>
        <v>0</v>
      </c>
      <c r="P3461" s="2518"/>
      <c r="Q3461" s="2519"/>
      <c r="R3461" s="2519"/>
      <c r="S3461" s="2519"/>
    </row>
    <row r="3462" spans="1:19" s="2358" customFormat="1" outlineLevel="1">
      <c r="A3462" s="2435" t="str">
        <f t="shared" si="743"/>
        <v/>
      </c>
      <c r="B3462" s="2505" t="s">
        <v>1588</v>
      </c>
      <c r="C3462" s="2511"/>
      <c r="D3462" s="2405">
        <v>0</v>
      </c>
      <c r="E3462" s="2447" t="s">
        <v>5775</v>
      </c>
      <c r="F3462" s="2405" t="s">
        <v>3463</v>
      </c>
      <c r="G3462" s="2522">
        <f>G3458*$L$3</f>
        <v>0</v>
      </c>
      <c r="H3462" s="2517">
        <v>0</v>
      </c>
      <c r="I3462" s="2517"/>
      <c r="J3462" s="2517">
        <v>1500000</v>
      </c>
      <c r="K3462" s="2517">
        <v>0</v>
      </c>
      <c r="L3462" s="2517">
        <f>H3462*G3462</f>
        <v>0</v>
      </c>
      <c r="M3462" s="2517">
        <f>I3462*G3462</f>
        <v>0</v>
      </c>
      <c r="N3462" s="2517">
        <f t="shared" si="742"/>
        <v>0</v>
      </c>
      <c r="O3462" s="2517">
        <f>K3462*G3462</f>
        <v>0</v>
      </c>
      <c r="P3462" s="2518"/>
      <c r="Q3462" s="2519"/>
      <c r="R3462" s="2519"/>
      <c r="S3462" s="2519"/>
    </row>
    <row r="3463" spans="1:19" s="2358" customFormat="1" outlineLevel="1">
      <c r="A3463" s="2435" t="str">
        <f t="shared" si="743"/>
        <v/>
      </c>
      <c r="B3463" s="2514" t="s">
        <v>1582</v>
      </c>
      <c r="C3463" s="2511"/>
      <c r="D3463" s="2405">
        <v>0</v>
      </c>
      <c r="E3463" s="2447" t="s">
        <v>2889</v>
      </c>
      <c r="F3463" s="2405" t="s">
        <v>2563</v>
      </c>
      <c r="G3463" s="2522">
        <f>2*G3458</f>
        <v>0</v>
      </c>
      <c r="H3463" s="2517">
        <v>8000</v>
      </c>
      <c r="I3463" s="2517"/>
      <c r="J3463" s="2517">
        <v>0</v>
      </c>
      <c r="K3463" s="2517"/>
      <c r="L3463" s="2517">
        <f>H3463*G3463</f>
        <v>0</v>
      </c>
      <c r="M3463" s="2517"/>
      <c r="N3463" s="2517">
        <f t="shared" si="742"/>
        <v>0</v>
      </c>
      <c r="O3463" s="2517"/>
      <c r="P3463" s="2518"/>
      <c r="Q3463" s="2519"/>
      <c r="R3463" s="2519"/>
      <c r="S3463" s="2519"/>
    </row>
    <row r="3464" spans="1:19" s="2358" customFormat="1" outlineLevel="1">
      <c r="A3464" s="2435" t="str">
        <f t="shared" si="743"/>
        <v/>
      </c>
      <c r="B3464" s="2514" t="s">
        <v>816</v>
      </c>
      <c r="C3464" s="2511"/>
      <c r="D3464" s="2405">
        <v>0</v>
      </c>
      <c r="E3464" s="2447" t="s">
        <v>3599</v>
      </c>
      <c r="F3464" s="2405" t="s">
        <v>2563</v>
      </c>
      <c r="G3464" s="2522">
        <f>IF(G3461&lt;=12,15,21)*G3458</f>
        <v>0</v>
      </c>
      <c r="H3464" s="2517">
        <v>17600</v>
      </c>
      <c r="I3464" s="2517"/>
      <c r="J3464" s="2517">
        <v>0</v>
      </c>
      <c r="K3464" s="2517"/>
      <c r="L3464" s="2517">
        <f>H3464*G3464</f>
        <v>0</v>
      </c>
      <c r="M3464" s="2517">
        <f>I3464*G3464</f>
        <v>0</v>
      </c>
      <c r="N3464" s="2517">
        <f t="shared" si="742"/>
        <v>0</v>
      </c>
      <c r="O3464" s="2517">
        <f>K3464*G3464</f>
        <v>0</v>
      </c>
      <c r="P3464" s="2518"/>
      <c r="Q3464" s="2519"/>
      <c r="R3464" s="2519"/>
      <c r="S3464" s="2519"/>
    </row>
    <row r="3465" spans="1:19" s="2358" customFormat="1" outlineLevel="1">
      <c r="A3465" s="2435" t="str">
        <f t="shared" si="743"/>
        <v/>
      </c>
      <c r="B3465" s="2505" t="s">
        <v>525</v>
      </c>
      <c r="C3465" s="2511"/>
      <c r="D3465" s="2405">
        <v>0</v>
      </c>
      <c r="E3465" s="2447" t="s">
        <v>5313</v>
      </c>
      <c r="F3465" s="2405" t="s">
        <v>2445</v>
      </c>
      <c r="G3465" s="2522">
        <f>G3458*2</f>
        <v>0</v>
      </c>
      <c r="H3465" s="2517">
        <v>43000</v>
      </c>
      <c r="I3465" s="2517"/>
      <c r="J3465" s="2517">
        <v>0</v>
      </c>
      <c r="K3465" s="2517">
        <v>0</v>
      </c>
      <c r="L3465" s="2517">
        <f>H3465*G3465</f>
        <v>0</v>
      </c>
      <c r="M3465" s="2517">
        <f>I3465*G3465</f>
        <v>0</v>
      </c>
      <c r="N3465" s="2517">
        <f t="shared" si="742"/>
        <v>0</v>
      </c>
      <c r="O3465" s="2517">
        <f>K3465*G3465</f>
        <v>0</v>
      </c>
      <c r="P3465" s="2518"/>
      <c r="Q3465" s="2519"/>
      <c r="R3465" s="2519"/>
      <c r="S3465" s="2519"/>
    </row>
    <row r="3466" spans="1:19" s="2358" customFormat="1" outlineLevel="1">
      <c r="A3466" s="2435" t="str">
        <f t="shared" si="743"/>
        <v/>
      </c>
      <c r="B3466" s="2505" t="s">
        <v>1493</v>
      </c>
      <c r="C3466" s="2511"/>
      <c r="D3466" s="2405">
        <v>0</v>
      </c>
      <c r="E3466" s="2447" t="s">
        <v>3554</v>
      </c>
      <c r="F3466" s="2405" t="s">
        <v>1827</v>
      </c>
      <c r="G3466" s="2522">
        <f>G3458*3</f>
        <v>0</v>
      </c>
      <c r="H3466" s="2517">
        <v>6200</v>
      </c>
      <c r="I3466" s="2517"/>
      <c r="J3466" s="2517">
        <v>0</v>
      </c>
      <c r="K3466" s="2517">
        <v>0</v>
      </c>
      <c r="L3466" s="2517">
        <f>H3466*G3466</f>
        <v>0</v>
      </c>
      <c r="M3466" s="2517">
        <f>I3466*G3466</f>
        <v>0</v>
      </c>
      <c r="N3466" s="2517">
        <f t="shared" si="742"/>
        <v>0</v>
      </c>
      <c r="O3466" s="2517">
        <f>K3466*G3466</f>
        <v>0</v>
      </c>
      <c r="P3466" s="2518"/>
      <c r="Q3466" s="2519"/>
      <c r="R3466" s="2519"/>
      <c r="S3466" s="2519"/>
    </row>
    <row r="3467" spans="1:19" s="2358" customFormat="1" outlineLevel="1">
      <c r="A3467" s="2435">
        <f>IF(G3467=0,0,1)</f>
        <v>0</v>
      </c>
      <c r="B3467" s="2505" t="s">
        <v>794</v>
      </c>
      <c r="C3467" s="2521"/>
      <c r="D3467" s="2405" t="s">
        <v>5398</v>
      </c>
      <c r="E3467" s="2447" t="s">
        <v>3086</v>
      </c>
      <c r="F3467" s="2754" t="s">
        <v>856</v>
      </c>
      <c r="G3467" s="2673">
        <f>H4*G3458</f>
        <v>0</v>
      </c>
      <c r="H3467" s="2517">
        <v>0</v>
      </c>
      <c r="I3467" s="2517"/>
      <c r="J3467" s="2517">
        <v>283749.75</v>
      </c>
      <c r="K3467" s="2517">
        <v>0</v>
      </c>
      <c r="L3467" s="2517">
        <f t="shared" ref="L3467:O3468" si="744">H3467*$G3467</f>
        <v>0</v>
      </c>
      <c r="M3467" s="2517">
        <f t="shared" si="744"/>
        <v>0</v>
      </c>
      <c r="N3467" s="2517">
        <f t="shared" si="744"/>
        <v>0</v>
      </c>
      <c r="O3467" s="2517">
        <f t="shared" si="744"/>
        <v>0</v>
      </c>
      <c r="P3467" s="2518"/>
      <c r="Q3467" s="2519"/>
      <c r="R3467" s="2519"/>
      <c r="S3467" s="2519"/>
    </row>
    <row r="3468" spans="1:19" s="2358" customFormat="1" outlineLevel="1">
      <c r="A3468" s="2435">
        <f>IF(G3468=0,0,1)</f>
        <v>0</v>
      </c>
      <c r="B3468" s="2505" t="s">
        <v>798</v>
      </c>
      <c r="C3468" s="2521"/>
      <c r="D3468" s="2405" t="s">
        <v>5387</v>
      </c>
      <c r="E3468" s="2447" t="s">
        <v>5399</v>
      </c>
      <c r="F3468" s="2754" t="s">
        <v>856</v>
      </c>
      <c r="G3468" s="2673">
        <f>+G3467</f>
        <v>0</v>
      </c>
      <c r="H3468" s="2517">
        <v>0</v>
      </c>
      <c r="I3468" s="2517"/>
      <c r="J3468" s="2517">
        <v>117703.6</v>
      </c>
      <c r="K3468" s="2517">
        <v>0</v>
      </c>
      <c r="L3468" s="2517">
        <f t="shared" si="744"/>
        <v>0</v>
      </c>
      <c r="M3468" s="2517">
        <f t="shared" si="744"/>
        <v>0</v>
      </c>
      <c r="N3468" s="2517">
        <f t="shared" si="744"/>
        <v>0</v>
      </c>
      <c r="O3468" s="2517">
        <f t="shared" si="744"/>
        <v>0</v>
      </c>
      <c r="P3468" s="2518"/>
      <c r="Q3468" s="2519"/>
      <c r="R3468" s="2519"/>
      <c r="S3468" s="2519"/>
    </row>
    <row r="3469" spans="1:19" s="2358" customFormat="1" outlineLevel="1">
      <c r="A3469" s="2435">
        <f>IF(G3469=0,0,1)</f>
        <v>0</v>
      </c>
      <c r="B3469" s="2505" t="s">
        <v>902</v>
      </c>
      <c r="C3469" s="2521"/>
      <c r="D3469" s="2405" t="s">
        <v>5413</v>
      </c>
      <c r="E3469" s="2447" t="s">
        <v>5414</v>
      </c>
      <c r="F3469" s="2754" t="s">
        <v>856</v>
      </c>
      <c r="G3469" s="2642">
        <f>G3461+G3462</f>
        <v>0</v>
      </c>
      <c r="H3469" s="2517">
        <v>0</v>
      </c>
      <c r="I3469" s="2517"/>
      <c r="J3469" s="2517" t="s">
        <v>6386</v>
      </c>
      <c r="K3469" s="2517">
        <v>0</v>
      </c>
      <c r="L3469" s="2517">
        <f>H3469*$G3469</f>
        <v>0</v>
      </c>
      <c r="M3469" s="2517">
        <f>I3469*$G3469</f>
        <v>0</v>
      </c>
      <c r="N3469" s="2517">
        <v>0</v>
      </c>
      <c r="O3469" s="2517">
        <f>K3469*$G3469</f>
        <v>0</v>
      </c>
      <c r="P3469" s="2518"/>
      <c r="Q3469" s="2519"/>
      <c r="R3469" s="2519"/>
      <c r="S3469" s="2519"/>
    </row>
    <row r="3470" spans="1:19" s="2358" customFormat="1" outlineLevel="1">
      <c r="A3470" s="2435" t="str">
        <f>IF(G3470&lt;&gt;0,1,"")</f>
        <v/>
      </c>
      <c r="B3470" s="2505" t="s">
        <v>1440</v>
      </c>
      <c r="C3470" s="2511"/>
      <c r="D3470" s="2405" t="s">
        <v>5408</v>
      </c>
      <c r="E3470" s="2447" t="s">
        <v>5409</v>
      </c>
      <c r="F3470" s="2405" t="s">
        <v>2538</v>
      </c>
      <c r="G3470" s="2522">
        <f>+G3460/0.224</f>
        <v>0</v>
      </c>
      <c r="H3470" s="2517">
        <v>0</v>
      </c>
      <c r="I3470" s="2517"/>
      <c r="J3470" s="2517">
        <v>8070.7000000000007</v>
      </c>
      <c r="K3470" s="2517">
        <v>2044.9974999999999</v>
      </c>
      <c r="L3470" s="2517">
        <f>H3470*G3470</f>
        <v>0</v>
      </c>
      <c r="M3470" s="2517">
        <f>I3470*G3470</f>
        <v>0</v>
      </c>
      <c r="N3470" s="2517">
        <f>J3470*G3470</f>
        <v>0</v>
      </c>
      <c r="O3470" s="2517">
        <f>K3470*G3470</f>
        <v>0</v>
      </c>
      <c r="P3470" s="2518"/>
      <c r="Q3470" s="2519"/>
      <c r="R3470" s="2519"/>
      <c r="S3470" s="2519"/>
    </row>
    <row r="3471" spans="1:19" s="2358" customFormat="1" outlineLevel="1">
      <c r="A3471" s="2435" t="str">
        <f>IF(G3471&lt;&gt;0,1,"")</f>
        <v/>
      </c>
      <c r="B3471" s="2514"/>
      <c r="C3471" s="2511">
        <f>IF(G3471&gt;0,C3458+1,C3458)</f>
        <v>0</v>
      </c>
      <c r="D3471" s="2512"/>
      <c r="E3471" s="2629" t="s">
        <v>6375</v>
      </c>
      <c r="F3471" s="2511" t="s">
        <v>2391</v>
      </c>
      <c r="G3471" s="2516">
        <f>G3389</f>
        <v>0</v>
      </c>
      <c r="H3471" s="2517"/>
      <c r="I3471" s="2517"/>
      <c r="J3471" s="2517"/>
      <c r="K3471" s="2517"/>
      <c r="L3471" s="2517">
        <f t="shared" ref="L3471:L3493" si="745">H3471*G3471</f>
        <v>0</v>
      </c>
      <c r="M3471" s="2517">
        <f t="shared" ref="M3471:M3493" si="746">I3471*G3471</f>
        <v>0</v>
      </c>
      <c r="N3471" s="2517">
        <f t="shared" ref="N3471:N3493" si="747">J3471*G3471</f>
        <v>0</v>
      </c>
      <c r="O3471" s="2517">
        <f t="shared" ref="O3471:O3493" si="748">K3471*G3471</f>
        <v>0</v>
      </c>
      <c r="P3471" s="2518"/>
      <c r="Q3471" s="2519"/>
      <c r="R3471" s="2519"/>
      <c r="S3471" s="2519"/>
    </row>
    <row r="3472" spans="1:19" s="2358" customFormat="1" ht="14.4" outlineLevel="1">
      <c r="A3472" s="2435" t="str">
        <f>A3471</f>
        <v/>
      </c>
      <c r="B3472" s="2514"/>
      <c r="C3472" s="2511"/>
      <c r="D3472" s="2512"/>
      <c r="E3472" s="2520" t="s">
        <v>6207</v>
      </c>
      <c r="F3472" s="2521"/>
      <c r="G3472" s="2522"/>
      <c r="H3472" s="2517"/>
      <c r="I3472" s="2517"/>
      <c r="J3472" s="2517"/>
      <c r="K3472" s="2517"/>
      <c r="L3472" s="2517">
        <f t="shared" si="745"/>
        <v>0</v>
      </c>
      <c r="M3472" s="2517">
        <f t="shared" si="746"/>
        <v>0</v>
      </c>
      <c r="N3472" s="2517">
        <f t="shared" si="747"/>
        <v>0</v>
      </c>
      <c r="O3472" s="2517">
        <f t="shared" si="748"/>
        <v>0</v>
      </c>
      <c r="P3472" s="2518"/>
      <c r="Q3472" s="2519"/>
      <c r="R3472" s="2519"/>
      <c r="S3472" s="2519"/>
    </row>
    <row r="3473" spans="1:19" s="2358" customFormat="1" outlineLevel="1">
      <c r="A3473" s="2435" t="str">
        <f>IF(G3473&lt;&gt;0,1,"")</f>
        <v/>
      </c>
      <c r="B3473" s="2514" t="s">
        <v>6376</v>
      </c>
      <c r="C3473" s="2521"/>
      <c r="D3473" s="2405" t="s">
        <v>5695</v>
      </c>
      <c r="E3473" s="2447" t="s">
        <v>5702</v>
      </c>
      <c r="F3473" s="2405" t="s">
        <v>2563</v>
      </c>
      <c r="G3473" s="2523">
        <f>G3471</f>
        <v>0</v>
      </c>
      <c r="H3473" s="2517">
        <v>80000000</v>
      </c>
      <c r="I3473" s="2517"/>
      <c r="J3473" s="2517">
        <v>690091</v>
      </c>
      <c r="K3473" s="2517">
        <v>97369</v>
      </c>
      <c r="L3473" s="2517">
        <f t="shared" si="745"/>
        <v>0</v>
      </c>
      <c r="M3473" s="2517">
        <f t="shared" si="746"/>
        <v>0</v>
      </c>
      <c r="N3473" s="2517">
        <f t="shared" si="747"/>
        <v>0</v>
      </c>
      <c r="O3473" s="2517">
        <f t="shared" si="748"/>
        <v>0</v>
      </c>
      <c r="P3473" s="2518"/>
      <c r="Q3473" s="2519"/>
      <c r="R3473" s="2519"/>
      <c r="S3473" s="2519"/>
    </row>
    <row r="3474" spans="1:19" s="2358" customFormat="1" outlineLevel="1">
      <c r="A3474" s="2435" t="str">
        <f>IF(G3474&lt;&gt;0,1,"")</f>
        <v/>
      </c>
      <c r="B3474" s="2514" t="s">
        <v>289</v>
      </c>
      <c r="C3474" s="2521"/>
      <c r="D3474" s="2405">
        <v>0</v>
      </c>
      <c r="E3474" s="2447" t="s">
        <v>5774</v>
      </c>
      <c r="F3474" s="2405" t="s">
        <v>2563</v>
      </c>
      <c r="G3474" s="2523">
        <f>G3471</f>
        <v>0</v>
      </c>
      <c r="H3474" s="2517">
        <v>300000</v>
      </c>
      <c r="I3474" s="2517"/>
      <c r="J3474" s="2517">
        <v>0</v>
      </c>
      <c r="K3474" s="2517">
        <v>0</v>
      </c>
      <c r="L3474" s="2517">
        <f t="shared" si="745"/>
        <v>0</v>
      </c>
      <c r="M3474" s="2517">
        <f t="shared" si="746"/>
        <v>0</v>
      </c>
      <c r="N3474" s="2517">
        <f t="shared" si="747"/>
        <v>0</v>
      </c>
      <c r="O3474" s="2517">
        <f t="shared" si="748"/>
        <v>0</v>
      </c>
      <c r="P3474" s="2518"/>
      <c r="Q3474" s="2519"/>
      <c r="R3474" s="2519"/>
      <c r="S3474" s="2519"/>
    </row>
    <row r="3475" spans="1:19" s="2358" customFormat="1" outlineLevel="1">
      <c r="A3475" s="2435" t="str">
        <f>IF(G3475&lt;&gt;0,1,"")</f>
        <v/>
      </c>
      <c r="B3475" s="2514"/>
      <c r="C3475" s="2511">
        <f>IF(G3475&gt;0,C3471+1,C3471)</f>
        <v>0</v>
      </c>
      <c r="D3475" s="2512"/>
      <c r="E3475" s="2515" t="s">
        <v>3776</v>
      </c>
      <c r="F3475" s="2511" t="s">
        <v>2538</v>
      </c>
      <c r="G3475" s="2815"/>
      <c r="H3475" s="2517"/>
      <c r="I3475" s="2517"/>
      <c r="J3475" s="2517"/>
      <c r="K3475" s="2517"/>
      <c r="L3475" s="2517">
        <f t="shared" si="745"/>
        <v>0</v>
      </c>
      <c r="M3475" s="2517">
        <f t="shared" si="746"/>
        <v>0</v>
      </c>
      <c r="N3475" s="2517">
        <f t="shared" si="747"/>
        <v>0</v>
      </c>
      <c r="O3475" s="2517">
        <f t="shared" si="748"/>
        <v>0</v>
      </c>
      <c r="P3475" s="2518"/>
      <c r="Q3475" s="2519"/>
      <c r="R3475" s="2519"/>
      <c r="S3475" s="2519"/>
    </row>
    <row r="3476" spans="1:19" s="2358" customFormat="1" ht="14.4" outlineLevel="1">
      <c r="A3476" s="2435" t="str">
        <f>A3475</f>
        <v/>
      </c>
      <c r="B3476" s="2514"/>
      <c r="C3476" s="2511"/>
      <c r="D3476" s="2512"/>
      <c r="E3476" s="2520" t="s">
        <v>6207</v>
      </c>
      <c r="F3476" s="2521"/>
      <c r="G3476" s="2674"/>
      <c r="H3476" s="2517"/>
      <c r="I3476" s="2517"/>
      <c r="J3476" s="2517"/>
      <c r="K3476" s="2517"/>
      <c r="L3476" s="2517">
        <f t="shared" si="745"/>
        <v>0</v>
      </c>
      <c r="M3476" s="2517">
        <f t="shared" si="746"/>
        <v>0</v>
      </c>
      <c r="N3476" s="2517">
        <f t="shared" si="747"/>
        <v>0</v>
      </c>
      <c r="O3476" s="2517">
        <f t="shared" si="748"/>
        <v>0</v>
      </c>
      <c r="P3476" s="2518"/>
      <c r="Q3476" s="2519"/>
      <c r="R3476" s="2519"/>
      <c r="S3476" s="2519"/>
    </row>
    <row r="3477" spans="1:19" s="2358" customFormat="1" outlineLevel="1">
      <c r="A3477" s="2435" t="str">
        <f t="shared" ref="A3477:A3485" si="749">IF(G3477&lt;&gt;0,1,"")</f>
        <v/>
      </c>
      <c r="B3477" s="2807" t="s">
        <v>752</v>
      </c>
      <c r="C3477" s="2521"/>
      <c r="D3477" s="2405">
        <v>0</v>
      </c>
      <c r="E3477" s="2612" t="s">
        <v>6466</v>
      </c>
      <c r="F3477" s="2405" t="s">
        <v>856</v>
      </c>
      <c r="G3477" s="2523">
        <f>G3475*0.38</f>
        <v>0</v>
      </c>
      <c r="H3477" s="2517">
        <v>512000</v>
      </c>
      <c r="I3477" s="2517"/>
      <c r="J3477" s="2517">
        <v>0</v>
      </c>
      <c r="K3477" s="2517">
        <v>0</v>
      </c>
      <c r="L3477" s="2517">
        <f t="shared" si="745"/>
        <v>0</v>
      </c>
      <c r="M3477" s="2517">
        <f t="shared" si="746"/>
        <v>0</v>
      </c>
      <c r="N3477" s="2517">
        <f t="shared" si="747"/>
        <v>0</v>
      </c>
      <c r="O3477" s="2517">
        <f t="shared" si="748"/>
        <v>0</v>
      </c>
      <c r="P3477" s="2518"/>
      <c r="Q3477" s="2519"/>
      <c r="R3477" s="2519"/>
      <c r="S3477" s="2519"/>
    </row>
    <row r="3478" spans="1:19" s="2358" customFormat="1" outlineLevel="1">
      <c r="A3478" s="2435" t="str">
        <f t="shared" si="749"/>
        <v/>
      </c>
      <c r="B3478" s="2807" t="s">
        <v>867</v>
      </c>
      <c r="C3478" s="2521"/>
      <c r="D3478" s="2405">
        <v>0</v>
      </c>
      <c r="E3478" s="2612" t="s">
        <v>6467</v>
      </c>
      <c r="F3478" s="2405" t="s">
        <v>856</v>
      </c>
      <c r="G3478" s="2523">
        <f>0.12*G3475*0</f>
        <v>0</v>
      </c>
      <c r="H3478" s="2517">
        <v>335000</v>
      </c>
      <c r="I3478" s="2517"/>
      <c r="J3478" s="2517">
        <v>0</v>
      </c>
      <c r="K3478" s="2517">
        <v>0</v>
      </c>
      <c r="L3478" s="2517">
        <f t="shared" si="745"/>
        <v>0</v>
      </c>
      <c r="M3478" s="2517">
        <f t="shared" si="746"/>
        <v>0</v>
      </c>
      <c r="N3478" s="2517">
        <f t="shared" si="747"/>
        <v>0</v>
      </c>
      <c r="O3478" s="2517">
        <f t="shared" si="748"/>
        <v>0</v>
      </c>
      <c r="P3478" s="2518"/>
      <c r="Q3478" s="2519"/>
      <c r="R3478" s="2519"/>
      <c r="S3478" s="2519"/>
    </row>
    <row r="3479" spans="1:19" s="2358" customFormat="1" outlineLevel="1">
      <c r="A3479" s="2435" t="str">
        <f t="shared" si="749"/>
        <v/>
      </c>
      <c r="B3479" s="2807" t="s">
        <v>1679</v>
      </c>
      <c r="C3479" s="2521"/>
      <c r="D3479" s="2405">
        <v>0</v>
      </c>
      <c r="E3479" s="2612" t="s">
        <v>6451</v>
      </c>
      <c r="F3479" s="2405" t="s">
        <v>3024</v>
      </c>
      <c r="G3479" s="2523">
        <f>3.3*G3475</f>
        <v>0</v>
      </c>
      <c r="H3479" s="2517">
        <v>7000</v>
      </c>
      <c r="I3479" s="2517"/>
      <c r="J3479" s="2517">
        <v>0</v>
      </c>
      <c r="K3479" s="2517">
        <v>0</v>
      </c>
      <c r="L3479" s="2517">
        <f t="shared" si="745"/>
        <v>0</v>
      </c>
      <c r="M3479" s="2517">
        <f t="shared" si="746"/>
        <v>0</v>
      </c>
      <c r="N3479" s="2517">
        <f t="shared" si="747"/>
        <v>0</v>
      </c>
      <c r="O3479" s="2517">
        <f t="shared" si="748"/>
        <v>0</v>
      </c>
      <c r="P3479" s="2518"/>
      <c r="Q3479" s="2519"/>
      <c r="R3479" s="2519"/>
      <c r="S3479" s="2519"/>
    </row>
    <row r="3480" spans="1:19" s="2358" customFormat="1" outlineLevel="1">
      <c r="A3480" s="2435" t="str">
        <f t="shared" si="749"/>
        <v/>
      </c>
      <c r="B3480" s="2807" t="s">
        <v>1680</v>
      </c>
      <c r="C3480" s="2521"/>
      <c r="D3480" s="2405" t="s">
        <v>5352</v>
      </c>
      <c r="E3480" s="2612" t="s">
        <v>6452</v>
      </c>
      <c r="F3480" s="2405" t="s">
        <v>1964</v>
      </c>
      <c r="G3480" s="2523">
        <f>0.4*G3475</f>
        <v>0</v>
      </c>
      <c r="H3480" s="2517">
        <v>10000</v>
      </c>
      <c r="I3480" s="2517"/>
      <c r="J3480" s="2517">
        <v>1187.155</v>
      </c>
      <c r="K3480" s="2517">
        <v>0</v>
      </c>
      <c r="L3480" s="2517">
        <f t="shared" si="745"/>
        <v>0</v>
      </c>
      <c r="M3480" s="2517">
        <f t="shared" si="746"/>
        <v>0</v>
      </c>
      <c r="N3480" s="2517">
        <f t="shared" si="747"/>
        <v>0</v>
      </c>
      <c r="O3480" s="2517">
        <f t="shared" si="748"/>
        <v>0</v>
      </c>
      <c r="P3480" s="2518"/>
      <c r="Q3480" s="2519"/>
      <c r="R3480" s="2519"/>
      <c r="S3480" s="2519"/>
    </row>
    <row r="3481" spans="1:19" s="2358" customFormat="1" outlineLevel="1">
      <c r="A3481" s="2435" t="str">
        <f t="shared" si="749"/>
        <v/>
      </c>
      <c r="B3481" s="2807" t="s">
        <v>1521</v>
      </c>
      <c r="C3481" s="2511"/>
      <c r="D3481" s="2405">
        <v>0</v>
      </c>
      <c r="E3481" s="2612" t="s">
        <v>3548</v>
      </c>
      <c r="F3481" s="2405" t="s">
        <v>1827</v>
      </c>
      <c r="G3481" s="2523">
        <f>1*G3475</f>
        <v>0</v>
      </c>
      <c r="H3481" s="2517">
        <v>165250</v>
      </c>
      <c r="I3481" s="2517"/>
      <c r="J3481" s="2517">
        <v>0</v>
      </c>
      <c r="K3481" s="2517">
        <v>0</v>
      </c>
      <c r="L3481" s="2517">
        <f t="shared" si="745"/>
        <v>0</v>
      </c>
      <c r="M3481" s="2517">
        <f t="shared" si="746"/>
        <v>0</v>
      </c>
      <c r="N3481" s="2517">
        <f t="shared" si="747"/>
        <v>0</v>
      </c>
      <c r="O3481" s="2517">
        <f t="shared" si="748"/>
        <v>0</v>
      </c>
      <c r="P3481" s="2518"/>
      <c r="Q3481" s="2519"/>
      <c r="R3481" s="2519"/>
      <c r="S3481" s="2519"/>
    </row>
    <row r="3482" spans="1:19" s="2358" customFormat="1" outlineLevel="1">
      <c r="A3482" s="2435" t="str">
        <f t="shared" si="749"/>
        <v/>
      </c>
      <c r="B3482" s="2807" t="s">
        <v>1682</v>
      </c>
      <c r="C3482" s="2521"/>
      <c r="D3482" s="2405" t="s">
        <v>5395</v>
      </c>
      <c r="E3482" s="2612" t="s">
        <v>6453</v>
      </c>
      <c r="F3482" s="2405" t="s">
        <v>856</v>
      </c>
      <c r="G3482" s="2523">
        <f>G3477+G3478</f>
        <v>0</v>
      </c>
      <c r="H3482" s="2517">
        <v>0</v>
      </c>
      <c r="I3482" s="2517"/>
      <c r="J3482" s="2517">
        <v>315277.5</v>
      </c>
      <c r="K3482" s="2517">
        <v>0</v>
      </c>
      <c r="L3482" s="2517">
        <f t="shared" si="745"/>
        <v>0</v>
      </c>
      <c r="M3482" s="2517">
        <f t="shared" si="746"/>
        <v>0</v>
      </c>
      <c r="N3482" s="2517">
        <f t="shared" si="747"/>
        <v>0</v>
      </c>
      <c r="O3482" s="2517">
        <f t="shared" si="748"/>
        <v>0</v>
      </c>
      <c r="P3482" s="2518"/>
      <c r="Q3482" s="2519"/>
      <c r="R3482" s="2519"/>
      <c r="S3482" s="2519"/>
    </row>
    <row r="3483" spans="1:19" s="2358" customFormat="1" outlineLevel="1">
      <c r="A3483" s="2435" t="str">
        <f t="shared" si="749"/>
        <v/>
      </c>
      <c r="B3483" s="2807" t="s">
        <v>144</v>
      </c>
      <c r="C3483" s="2521"/>
      <c r="D3483" s="2405" t="s">
        <v>5389</v>
      </c>
      <c r="E3483" s="2612" t="s">
        <v>6454</v>
      </c>
      <c r="F3483" s="2405" t="s">
        <v>856</v>
      </c>
      <c r="G3483" s="2523">
        <f>G3475*0.48</f>
        <v>0</v>
      </c>
      <c r="H3483" s="2517">
        <v>0</v>
      </c>
      <c r="I3483" s="2517"/>
      <c r="J3483" s="2517">
        <v>640731.36</v>
      </c>
      <c r="K3483" s="2517">
        <v>0</v>
      </c>
      <c r="L3483" s="2517">
        <f t="shared" si="745"/>
        <v>0</v>
      </c>
      <c r="M3483" s="2517">
        <f t="shared" si="746"/>
        <v>0</v>
      </c>
      <c r="N3483" s="2517">
        <f t="shared" si="747"/>
        <v>0</v>
      </c>
      <c r="O3483" s="2517">
        <f t="shared" si="748"/>
        <v>0</v>
      </c>
      <c r="P3483" s="2518"/>
      <c r="Q3483" s="2519"/>
      <c r="R3483" s="2519"/>
      <c r="S3483" s="2519"/>
    </row>
    <row r="3484" spans="1:19" s="2358" customFormat="1" outlineLevel="1">
      <c r="A3484" s="2435" t="str">
        <f t="shared" si="749"/>
        <v/>
      </c>
      <c r="B3484" s="2807" t="s">
        <v>529</v>
      </c>
      <c r="C3484" s="2521"/>
      <c r="D3484" s="2405" t="s">
        <v>5394</v>
      </c>
      <c r="E3484" s="2612" t="s">
        <v>6468</v>
      </c>
      <c r="F3484" s="2405" t="s">
        <v>856</v>
      </c>
      <c r="G3484" s="2523">
        <f>0.16*G3475</f>
        <v>0</v>
      </c>
      <c r="H3484" s="2517">
        <v>0</v>
      </c>
      <c r="I3484" s="2517"/>
      <c r="J3484" s="2517">
        <v>21935.133999999998</v>
      </c>
      <c r="K3484" s="2517">
        <v>0</v>
      </c>
      <c r="L3484" s="2517">
        <f t="shared" si="745"/>
        <v>0</v>
      </c>
      <c r="M3484" s="2517">
        <f t="shared" si="746"/>
        <v>0</v>
      </c>
      <c r="N3484" s="2517">
        <f t="shared" si="747"/>
        <v>0</v>
      </c>
      <c r="O3484" s="2517">
        <f t="shared" si="748"/>
        <v>0</v>
      </c>
      <c r="P3484" s="2518"/>
      <c r="Q3484" s="2519"/>
      <c r="R3484" s="2675">
        <v>0.47499999999999998</v>
      </c>
      <c r="S3484" s="2519"/>
    </row>
    <row r="3485" spans="1:19" s="2358" customFormat="1" outlineLevel="1">
      <c r="A3485" s="2435" t="str">
        <f t="shared" si="749"/>
        <v/>
      </c>
      <c r="B3485" s="2514"/>
      <c r="C3485" s="2511">
        <f>IF(G3485&gt;0,C3475+1,C3475)</f>
        <v>0</v>
      </c>
      <c r="D3485" s="2512"/>
      <c r="E3485" s="2515" t="s">
        <v>3777</v>
      </c>
      <c r="F3485" s="2511" t="s">
        <v>2391</v>
      </c>
      <c r="G3485" s="2516">
        <f>G3494</f>
        <v>0</v>
      </c>
      <c r="H3485" s="2517"/>
      <c r="I3485" s="2517"/>
      <c r="J3485" s="2517"/>
      <c r="K3485" s="2517"/>
      <c r="L3485" s="2517">
        <f t="shared" si="745"/>
        <v>0</v>
      </c>
      <c r="M3485" s="2517">
        <f t="shared" si="746"/>
        <v>0</v>
      </c>
      <c r="N3485" s="2517">
        <f t="shared" si="747"/>
        <v>0</v>
      </c>
      <c r="O3485" s="2517">
        <f t="shared" si="748"/>
        <v>0</v>
      </c>
      <c r="P3485" s="2518"/>
      <c r="Q3485" s="2519"/>
      <c r="R3485" s="2675">
        <v>0.88100000000000001</v>
      </c>
      <c r="S3485" s="2519"/>
    </row>
    <row r="3486" spans="1:19" s="2358" customFormat="1" ht="14.4" outlineLevel="1">
      <c r="A3486" s="2435" t="str">
        <f>A3485</f>
        <v/>
      </c>
      <c r="B3486" s="2514"/>
      <c r="C3486" s="2511"/>
      <c r="D3486" s="2512"/>
      <c r="E3486" s="2520" t="s">
        <v>6207</v>
      </c>
      <c r="F3486" s="2521"/>
      <c r="G3486" s="2674"/>
      <c r="H3486" s="2517"/>
      <c r="I3486" s="2517"/>
      <c r="J3486" s="2517"/>
      <c r="K3486" s="2517"/>
      <c r="L3486" s="2517">
        <f t="shared" si="745"/>
        <v>0</v>
      </c>
      <c r="M3486" s="2517">
        <f t="shared" si="746"/>
        <v>0</v>
      </c>
      <c r="N3486" s="2517">
        <f t="shared" si="747"/>
        <v>0</v>
      </c>
      <c r="O3486" s="2517">
        <f t="shared" si="748"/>
        <v>0</v>
      </c>
      <c r="P3486" s="2518"/>
      <c r="Q3486" s="2519"/>
      <c r="R3486" s="2519"/>
      <c r="S3486" s="2519"/>
    </row>
    <row r="3487" spans="1:19" s="2358" customFormat="1" outlineLevel="1">
      <c r="A3487" s="2435" t="str">
        <f t="shared" ref="A3487:A3494" si="750">IF(G3487&lt;&gt;0,1,"")</f>
        <v/>
      </c>
      <c r="B3487" s="2514" t="s">
        <v>623</v>
      </c>
      <c r="C3487" s="2521"/>
      <c r="D3487" s="2405" t="s">
        <v>5367</v>
      </c>
      <c r="E3487" s="2447" t="s">
        <v>5368</v>
      </c>
      <c r="F3487" s="2405" t="s">
        <v>2538</v>
      </c>
      <c r="G3487" s="2523">
        <f>G3485*4</f>
        <v>0</v>
      </c>
      <c r="H3487" s="2517">
        <v>278000</v>
      </c>
      <c r="I3487" s="2517"/>
      <c r="J3487" s="2517">
        <v>127101.65849999999</v>
      </c>
      <c r="K3487" s="2517">
        <v>0</v>
      </c>
      <c r="L3487" s="2517">
        <f t="shared" si="745"/>
        <v>0</v>
      </c>
      <c r="M3487" s="2517">
        <f t="shared" si="746"/>
        <v>0</v>
      </c>
      <c r="N3487" s="2517">
        <f t="shared" si="747"/>
        <v>0</v>
      </c>
      <c r="O3487" s="2517">
        <f t="shared" si="748"/>
        <v>0</v>
      </c>
      <c r="P3487" s="2518"/>
      <c r="Q3487" s="2519"/>
      <c r="R3487" s="2519"/>
      <c r="S3487" s="2519"/>
    </row>
    <row r="3488" spans="1:19" s="2358" customFormat="1" outlineLevel="1">
      <c r="A3488" s="2435" t="str">
        <f t="shared" si="750"/>
        <v/>
      </c>
      <c r="B3488" s="2807" t="s">
        <v>473</v>
      </c>
      <c r="C3488" s="2511"/>
      <c r="D3488" s="2405">
        <v>0</v>
      </c>
      <c r="E3488" s="2447" t="s">
        <v>3570</v>
      </c>
      <c r="F3488" s="2405" t="s">
        <v>2563</v>
      </c>
      <c r="G3488" s="2523">
        <f>G3485*1</f>
        <v>0</v>
      </c>
      <c r="H3488" s="2517">
        <v>138000</v>
      </c>
      <c r="I3488" s="2517"/>
      <c r="J3488" s="2517">
        <v>0</v>
      </c>
      <c r="K3488" s="2517">
        <v>0</v>
      </c>
      <c r="L3488" s="2517">
        <f t="shared" si="745"/>
        <v>0</v>
      </c>
      <c r="M3488" s="2517">
        <f t="shared" si="746"/>
        <v>0</v>
      </c>
      <c r="N3488" s="2517">
        <f t="shared" si="747"/>
        <v>0</v>
      </c>
      <c r="O3488" s="2517">
        <f t="shared" si="748"/>
        <v>0</v>
      </c>
      <c r="P3488" s="2518"/>
      <c r="Q3488" s="2519"/>
      <c r="R3488" s="2519"/>
      <c r="S3488" s="2519"/>
    </row>
    <row r="3489" spans="1:19" s="2358" customFormat="1" outlineLevel="1">
      <c r="A3489" s="2435" t="str">
        <f t="shared" si="750"/>
        <v/>
      </c>
      <c r="B3489" s="2514" t="s">
        <v>120</v>
      </c>
      <c r="C3489" s="2521"/>
      <c r="D3489" s="2405">
        <v>0</v>
      </c>
      <c r="E3489" s="2447" t="s">
        <v>2998</v>
      </c>
      <c r="F3489" s="2405" t="s">
        <v>2445</v>
      </c>
      <c r="G3489" s="2523">
        <f>G3485*2</f>
        <v>0</v>
      </c>
      <c r="H3489" s="2517">
        <v>40000</v>
      </c>
      <c r="I3489" s="2517"/>
      <c r="J3489" s="2517">
        <v>0</v>
      </c>
      <c r="K3489" s="2517">
        <v>0</v>
      </c>
      <c r="L3489" s="2517">
        <f t="shared" si="745"/>
        <v>0</v>
      </c>
      <c r="M3489" s="2517">
        <f t="shared" si="746"/>
        <v>0</v>
      </c>
      <c r="N3489" s="2517">
        <f t="shared" si="747"/>
        <v>0</v>
      </c>
      <c r="O3489" s="2517">
        <f t="shared" si="748"/>
        <v>0</v>
      </c>
      <c r="P3489" s="2518"/>
      <c r="Q3489" s="2519"/>
      <c r="R3489" s="2519"/>
      <c r="S3489" s="2519"/>
    </row>
    <row r="3490" spans="1:19" s="2358" customFormat="1" outlineLevel="1">
      <c r="A3490" s="2435" t="str">
        <f t="shared" si="750"/>
        <v/>
      </c>
      <c r="B3490" s="2505" t="s">
        <v>1412</v>
      </c>
      <c r="C3490" s="2521"/>
      <c r="D3490" s="2405">
        <v>0</v>
      </c>
      <c r="E3490" s="2447" t="s">
        <v>3467</v>
      </c>
      <c r="F3490" s="2405" t="s">
        <v>2445</v>
      </c>
      <c r="G3490" s="2523">
        <f>G3485</f>
        <v>0</v>
      </c>
      <c r="H3490" s="2517">
        <v>150000</v>
      </c>
      <c r="I3490" s="2517"/>
      <c r="J3490" s="2517">
        <v>0</v>
      </c>
      <c r="K3490" s="2517">
        <v>0</v>
      </c>
      <c r="L3490" s="2517">
        <f t="shared" si="745"/>
        <v>0</v>
      </c>
      <c r="M3490" s="2517">
        <f t="shared" si="746"/>
        <v>0</v>
      </c>
      <c r="N3490" s="2517">
        <f t="shared" si="747"/>
        <v>0</v>
      </c>
      <c r="O3490" s="2517">
        <f t="shared" si="748"/>
        <v>0</v>
      </c>
      <c r="P3490" s="2518"/>
      <c r="Q3490" s="2519"/>
      <c r="R3490" s="2519"/>
      <c r="S3490" s="2519"/>
    </row>
    <row r="3491" spans="1:19" s="2358" customFormat="1" outlineLevel="1">
      <c r="A3491" s="2435" t="str">
        <f t="shared" si="750"/>
        <v/>
      </c>
      <c r="B3491" s="2505" t="s">
        <v>984</v>
      </c>
      <c r="C3491" s="2521"/>
      <c r="D3491" s="2405">
        <v>0</v>
      </c>
      <c r="E3491" s="2447" t="s">
        <v>3472</v>
      </c>
      <c r="F3491" s="2405" t="s">
        <v>2445</v>
      </c>
      <c r="G3491" s="2523">
        <f>G3485*0</f>
        <v>0</v>
      </c>
      <c r="H3491" s="2517">
        <v>224832</v>
      </c>
      <c r="I3491" s="2517"/>
      <c r="J3491" s="2517">
        <v>3635</v>
      </c>
      <c r="K3491" s="2517">
        <v>6321</v>
      </c>
      <c r="L3491" s="2517">
        <f t="shared" si="745"/>
        <v>0</v>
      </c>
      <c r="M3491" s="2517">
        <f t="shared" si="746"/>
        <v>0</v>
      </c>
      <c r="N3491" s="2517">
        <f t="shared" si="747"/>
        <v>0</v>
      </c>
      <c r="O3491" s="2517">
        <f t="shared" si="748"/>
        <v>0</v>
      </c>
      <c r="P3491" s="2518"/>
      <c r="Q3491" s="2519"/>
      <c r="R3491" s="2519"/>
      <c r="S3491" s="2519"/>
    </row>
    <row r="3492" spans="1:19" s="2358" customFormat="1" outlineLevel="1">
      <c r="A3492" s="2435" t="str">
        <f t="shared" si="750"/>
        <v/>
      </c>
      <c r="B3492" s="2514" t="s">
        <v>1413</v>
      </c>
      <c r="C3492" s="2511"/>
      <c r="D3492" s="2405" t="s">
        <v>5403</v>
      </c>
      <c r="E3492" s="2447" t="s">
        <v>5404</v>
      </c>
      <c r="F3492" s="2405" t="s">
        <v>2445</v>
      </c>
      <c r="G3492" s="2523">
        <f>G3490</f>
        <v>0</v>
      </c>
      <c r="H3492" s="2517">
        <v>0</v>
      </c>
      <c r="I3492" s="2517"/>
      <c r="J3492" s="2517">
        <v>28219.62</v>
      </c>
      <c r="K3492" s="2517">
        <v>0</v>
      </c>
      <c r="L3492" s="2517">
        <f t="shared" si="745"/>
        <v>0</v>
      </c>
      <c r="M3492" s="2517">
        <f t="shared" si="746"/>
        <v>0</v>
      </c>
      <c r="N3492" s="2517">
        <f t="shared" si="747"/>
        <v>0</v>
      </c>
      <c r="O3492" s="2517">
        <f t="shared" si="748"/>
        <v>0</v>
      </c>
      <c r="P3492" s="2518"/>
      <c r="Q3492" s="2519"/>
      <c r="R3492" s="2519"/>
      <c r="S3492" s="2519"/>
    </row>
    <row r="3493" spans="1:19" s="2358" customFormat="1" outlineLevel="1">
      <c r="A3493" s="2435" t="str">
        <f t="shared" si="750"/>
        <v/>
      </c>
      <c r="B3493" s="2514" t="s">
        <v>289</v>
      </c>
      <c r="C3493" s="2521"/>
      <c r="D3493" s="2405">
        <v>0</v>
      </c>
      <c r="E3493" s="2447" t="s">
        <v>5774</v>
      </c>
      <c r="F3493" s="2405" t="s">
        <v>2563</v>
      </c>
      <c r="G3493" s="2523">
        <f>G3485</f>
        <v>0</v>
      </c>
      <c r="H3493" s="2517">
        <v>300000</v>
      </c>
      <c r="I3493" s="2517"/>
      <c r="J3493" s="2517">
        <v>0</v>
      </c>
      <c r="K3493" s="2517">
        <v>0</v>
      </c>
      <c r="L3493" s="2517">
        <f t="shared" si="745"/>
        <v>0</v>
      </c>
      <c r="M3493" s="2517">
        <f t="shared" si="746"/>
        <v>0</v>
      </c>
      <c r="N3493" s="2517">
        <f t="shared" si="747"/>
        <v>0</v>
      </c>
      <c r="O3493" s="2517">
        <f t="shared" si="748"/>
        <v>0</v>
      </c>
      <c r="P3493" s="2518"/>
      <c r="Q3493" s="2519"/>
      <c r="R3493" s="2519"/>
      <c r="S3493" s="2519"/>
    </row>
    <row r="3494" spans="1:19" s="2358" customFormat="1" outlineLevel="1">
      <c r="A3494" s="2435" t="str">
        <f t="shared" si="750"/>
        <v/>
      </c>
      <c r="B3494" s="2514"/>
      <c r="C3494" s="2511">
        <f>IF(G3494&gt;0,C3485+1,C3485)</f>
        <v>0</v>
      </c>
      <c r="D3494" s="2512"/>
      <c r="E3494" s="2513" t="s">
        <v>3744</v>
      </c>
      <c r="F3494" s="2511" t="s">
        <v>2391</v>
      </c>
      <c r="G3494" s="2516">
        <f>G3389*0</f>
        <v>0</v>
      </c>
      <c r="H3494" s="2517"/>
      <c r="I3494" s="2517"/>
      <c r="J3494" s="2517"/>
      <c r="K3494" s="2517"/>
      <c r="L3494" s="2517"/>
      <c r="M3494" s="2517"/>
      <c r="N3494" s="2517"/>
      <c r="O3494" s="2517"/>
      <c r="P3494" s="2518"/>
      <c r="Q3494" s="2519"/>
      <c r="R3494" s="2519"/>
      <c r="S3494" s="2519"/>
    </row>
    <row r="3495" spans="1:19" s="2358" customFormat="1" ht="14.4" outlineLevel="1">
      <c r="A3495" s="2435" t="str">
        <f>A3494</f>
        <v/>
      </c>
      <c r="B3495" s="2514"/>
      <c r="C3495" s="2511"/>
      <c r="D3495" s="2512"/>
      <c r="E3495" s="2527" t="s">
        <v>6207</v>
      </c>
      <c r="F3495" s="2511"/>
      <c r="G3495" s="2516"/>
      <c r="H3495" s="2517"/>
      <c r="I3495" s="2517"/>
      <c r="J3495" s="2517"/>
      <c r="K3495" s="2517"/>
      <c r="L3495" s="2517"/>
      <c r="M3495" s="2517"/>
      <c r="N3495" s="2517"/>
      <c r="O3495" s="2517"/>
      <c r="P3495" s="2518"/>
      <c r="Q3495" s="2519"/>
      <c r="R3495" s="2519"/>
      <c r="S3495" s="2519"/>
    </row>
    <row r="3496" spans="1:19" s="2358" customFormat="1" outlineLevel="1">
      <c r="A3496" s="2435" t="str">
        <f>IF(G3496&lt;&gt;0,1,"")</f>
        <v/>
      </c>
      <c r="B3496" s="2505" t="s">
        <v>470</v>
      </c>
      <c r="C3496" s="2521"/>
      <c r="D3496" s="2405">
        <v>0</v>
      </c>
      <c r="E3496" s="2447" t="s">
        <v>6469</v>
      </c>
      <c r="F3496" s="2405" t="s">
        <v>2538</v>
      </c>
      <c r="G3496" s="2523">
        <f>(3+10)*1.02*G3494*0</f>
        <v>0</v>
      </c>
      <c r="H3496" s="2517">
        <v>763500</v>
      </c>
      <c r="I3496" s="2517"/>
      <c r="J3496" s="2517">
        <v>0</v>
      </c>
      <c r="K3496" s="2517">
        <v>0</v>
      </c>
      <c r="L3496" s="2517">
        <f>H3496*G3496</f>
        <v>0</v>
      </c>
      <c r="M3496" s="2517">
        <f>I3496*G3496</f>
        <v>0</v>
      </c>
      <c r="N3496" s="2517">
        <f>J3496*G3496</f>
        <v>0</v>
      </c>
      <c r="O3496" s="2517">
        <f>K3496*G3496</f>
        <v>0</v>
      </c>
      <c r="P3496" s="2518"/>
      <c r="Q3496" s="2519"/>
      <c r="R3496" s="2519"/>
      <c r="S3496" s="2519"/>
    </row>
    <row r="3497" spans="1:19" s="2358" customFormat="1" outlineLevel="1">
      <c r="A3497" s="2435" t="str">
        <f t="shared" ref="A3497:A3506" si="751">IF(G3497&lt;&gt;0,1,"")</f>
        <v/>
      </c>
      <c r="B3497" s="2505" t="s">
        <v>271</v>
      </c>
      <c r="C3497" s="2521"/>
      <c r="D3497" s="2405">
        <v>0</v>
      </c>
      <c r="E3497" s="2447" t="s">
        <v>6470</v>
      </c>
      <c r="F3497" s="2405" t="s">
        <v>2538</v>
      </c>
      <c r="G3497" s="2523">
        <f>G3494*0.5*3</f>
        <v>0</v>
      </c>
      <c r="H3497" s="2517">
        <v>204900</v>
      </c>
      <c r="I3497" s="2517"/>
      <c r="J3497" s="2517">
        <v>0</v>
      </c>
      <c r="K3497" s="2517">
        <v>0</v>
      </c>
      <c r="L3497" s="2517">
        <f>H3497*G3497</f>
        <v>0</v>
      </c>
      <c r="M3497" s="2517">
        <f>I3497*G3497</f>
        <v>0</v>
      </c>
      <c r="N3497" s="2517">
        <f>J3497*G3497</f>
        <v>0</v>
      </c>
      <c r="O3497" s="2517">
        <f>K3497*G3497</f>
        <v>0</v>
      </c>
      <c r="P3497" s="2518"/>
      <c r="Q3497" s="2519"/>
      <c r="R3497" s="2519"/>
      <c r="S3497" s="2519"/>
    </row>
    <row r="3498" spans="1:19" s="2358" customFormat="1" outlineLevel="1">
      <c r="A3498" s="2435" t="str">
        <f t="shared" si="751"/>
        <v/>
      </c>
      <c r="B3498" s="2505" t="s">
        <v>1355</v>
      </c>
      <c r="C3498" s="2521"/>
      <c r="D3498" s="2405">
        <v>0</v>
      </c>
      <c r="E3498" s="2447" t="s">
        <v>3032</v>
      </c>
      <c r="F3498" s="2405" t="s">
        <v>2563</v>
      </c>
      <c r="G3498" s="2523">
        <f>G3494*2*0</f>
        <v>0</v>
      </c>
      <c r="H3498" s="2517">
        <v>4022000</v>
      </c>
      <c r="I3498" s="2517"/>
      <c r="J3498" s="2517">
        <v>0</v>
      </c>
      <c r="K3498" s="2517">
        <v>0</v>
      </c>
      <c r="L3498" s="2517">
        <f t="shared" ref="L3498:L3503" si="752">H3498*G3498</f>
        <v>0</v>
      </c>
      <c r="M3498" s="2517">
        <f t="shared" ref="M3498:M3503" si="753">I3498*G3498</f>
        <v>0</v>
      </c>
      <c r="N3498" s="2517">
        <f t="shared" ref="N3498:N3503" si="754">J3498*G3498</f>
        <v>0</v>
      </c>
      <c r="O3498" s="2517">
        <f t="shared" ref="O3498:O3503" si="755">K3498*G3498</f>
        <v>0</v>
      </c>
      <c r="P3498" s="2518"/>
      <c r="Q3498" s="2519"/>
      <c r="R3498" s="2519"/>
      <c r="S3498" s="2519"/>
    </row>
    <row r="3499" spans="1:19" s="2358" customFormat="1" outlineLevel="1">
      <c r="A3499" s="2435" t="str">
        <f t="shared" si="751"/>
        <v/>
      </c>
      <c r="B3499" s="2505" t="s">
        <v>470</v>
      </c>
      <c r="C3499" s="2521"/>
      <c r="D3499" s="2405">
        <v>0</v>
      </c>
      <c r="E3499" s="2447" t="s">
        <v>6459</v>
      </c>
      <c r="F3499" s="2405" t="s">
        <v>2538</v>
      </c>
      <c r="G3499" s="2523">
        <f>(1.2+2.4)*G3494*0</f>
        <v>0</v>
      </c>
      <c r="H3499" s="2517">
        <v>763500</v>
      </c>
      <c r="I3499" s="2517"/>
      <c r="J3499" s="2517">
        <v>0</v>
      </c>
      <c r="K3499" s="2517">
        <v>0</v>
      </c>
      <c r="L3499" s="2517">
        <f t="shared" si="752"/>
        <v>0</v>
      </c>
      <c r="M3499" s="2517">
        <f t="shared" si="753"/>
        <v>0</v>
      </c>
      <c r="N3499" s="2517">
        <f t="shared" si="754"/>
        <v>0</v>
      </c>
      <c r="O3499" s="2517">
        <f t="shared" si="755"/>
        <v>0</v>
      </c>
      <c r="P3499" s="2518"/>
      <c r="Q3499" s="2519"/>
      <c r="R3499" s="2519"/>
      <c r="S3499" s="2519"/>
    </row>
    <row r="3500" spans="1:19" s="2358" customFormat="1" outlineLevel="1">
      <c r="A3500" s="2435" t="str">
        <f t="shared" si="751"/>
        <v/>
      </c>
      <c r="B3500" s="2505" t="s">
        <v>271</v>
      </c>
      <c r="C3500" s="2521"/>
      <c r="D3500" s="2405">
        <v>0</v>
      </c>
      <c r="E3500" s="2447" t="s">
        <v>6460</v>
      </c>
      <c r="F3500" s="2405" t="s">
        <v>2538</v>
      </c>
      <c r="G3500" s="2523">
        <f>G3499*0</f>
        <v>0</v>
      </c>
      <c r="H3500" s="2517">
        <v>204900</v>
      </c>
      <c r="I3500" s="2517"/>
      <c r="J3500" s="2517">
        <v>0</v>
      </c>
      <c r="K3500" s="2517">
        <v>0</v>
      </c>
      <c r="L3500" s="2517">
        <f t="shared" si="752"/>
        <v>0</v>
      </c>
      <c r="M3500" s="2517">
        <f t="shared" si="753"/>
        <v>0</v>
      </c>
      <c r="N3500" s="2517">
        <f t="shared" si="754"/>
        <v>0</v>
      </c>
      <c r="O3500" s="2517">
        <f t="shared" si="755"/>
        <v>0</v>
      </c>
      <c r="P3500" s="2518"/>
      <c r="Q3500" s="2519"/>
      <c r="R3500" s="2519"/>
      <c r="S3500" s="2519"/>
    </row>
    <row r="3501" spans="1:19" s="2358" customFormat="1" outlineLevel="1">
      <c r="A3501" s="2435" t="str">
        <f t="shared" si="751"/>
        <v/>
      </c>
      <c r="B3501" s="2505" t="s">
        <v>1356</v>
      </c>
      <c r="C3501" s="2521"/>
      <c r="D3501" s="2405">
        <v>0</v>
      </c>
      <c r="E3501" s="2447" t="s">
        <v>3039</v>
      </c>
      <c r="F3501" s="2405" t="s">
        <v>2563</v>
      </c>
      <c r="G3501" s="2523">
        <f>G3494*3*0</f>
        <v>0</v>
      </c>
      <c r="H3501" s="2517">
        <v>5242230</v>
      </c>
      <c r="I3501" s="2517"/>
      <c r="J3501" s="2517">
        <v>0</v>
      </c>
      <c r="K3501" s="2517">
        <v>0</v>
      </c>
      <c r="L3501" s="2517">
        <f t="shared" si="752"/>
        <v>0</v>
      </c>
      <c r="M3501" s="2517">
        <f t="shared" si="753"/>
        <v>0</v>
      </c>
      <c r="N3501" s="2517">
        <f t="shared" si="754"/>
        <v>0</v>
      </c>
      <c r="O3501" s="2517">
        <f t="shared" si="755"/>
        <v>0</v>
      </c>
      <c r="P3501" s="2518"/>
      <c r="Q3501" s="2519"/>
      <c r="R3501" s="2519"/>
      <c r="S3501" s="2519"/>
    </row>
    <row r="3502" spans="1:19" s="2358" customFormat="1" outlineLevel="1">
      <c r="A3502" s="2435" t="str">
        <f t="shared" si="751"/>
        <v/>
      </c>
      <c r="B3502" s="2505" t="s">
        <v>1678</v>
      </c>
      <c r="C3502" s="2521"/>
      <c r="D3502" s="2405" t="s">
        <v>5521</v>
      </c>
      <c r="E3502" s="2447" t="s">
        <v>3196</v>
      </c>
      <c r="F3502" s="2405" t="s">
        <v>2563</v>
      </c>
      <c r="G3502" s="2523">
        <f>G3498+G3501</f>
        <v>0</v>
      </c>
      <c r="H3502" s="2517">
        <v>11340</v>
      </c>
      <c r="I3502" s="2517"/>
      <c r="J3502" s="2517">
        <v>621381.64999999991</v>
      </c>
      <c r="K3502" s="2517">
        <v>0</v>
      </c>
      <c r="L3502" s="2517">
        <f t="shared" si="752"/>
        <v>0</v>
      </c>
      <c r="M3502" s="2517">
        <f t="shared" si="753"/>
        <v>0</v>
      </c>
      <c r="N3502" s="2517">
        <f t="shared" si="754"/>
        <v>0</v>
      </c>
      <c r="O3502" s="2517">
        <f t="shared" si="755"/>
        <v>0</v>
      </c>
      <c r="P3502" s="2518"/>
      <c r="Q3502" s="2519"/>
      <c r="R3502" s="2519"/>
      <c r="S3502" s="2519"/>
    </row>
    <row r="3503" spans="1:19" s="2358" customFormat="1" outlineLevel="1">
      <c r="A3503" s="2435" t="str">
        <f t="shared" si="751"/>
        <v/>
      </c>
      <c r="B3503" s="2505" t="s">
        <v>1182</v>
      </c>
      <c r="C3503" s="2521"/>
      <c r="D3503" s="2405" t="s">
        <v>5614</v>
      </c>
      <c r="E3503" s="2447" t="s">
        <v>3277</v>
      </c>
      <c r="F3503" s="2405" t="s">
        <v>2538</v>
      </c>
      <c r="G3503" s="2523">
        <f>G3496+G3499</f>
        <v>0</v>
      </c>
      <c r="H3503" s="2517">
        <v>546.91999999999996</v>
      </c>
      <c r="I3503" s="2517"/>
      <c r="J3503" s="2517">
        <v>21459.713</v>
      </c>
      <c r="K3503" s="2517">
        <v>0</v>
      </c>
      <c r="L3503" s="2517">
        <f t="shared" si="752"/>
        <v>0</v>
      </c>
      <c r="M3503" s="2517">
        <f t="shared" si="753"/>
        <v>0</v>
      </c>
      <c r="N3503" s="2517">
        <f t="shared" si="754"/>
        <v>0</v>
      </c>
      <c r="O3503" s="2517">
        <f t="shared" si="755"/>
        <v>0</v>
      </c>
      <c r="P3503" s="2518"/>
      <c r="Q3503" s="2519"/>
      <c r="R3503" s="2519"/>
      <c r="S3503" s="2519"/>
    </row>
    <row r="3504" spans="1:19" s="2358" customFormat="1" outlineLevel="1">
      <c r="A3504" s="2435" t="str">
        <f t="shared" si="751"/>
        <v/>
      </c>
      <c r="B3504" s="2505" t="s">
        <v>1528</v>
      </c>
      <c r="C3504" s="2521"/>
      <c r="D3504" s="2405" t="s">
        <v>5633</v>
      </c>
      <c r="E3504" s="2447" t="s">
        <v>3310</v>
      </c>
      <c r="F3504" s="2405" t="s">
        <v>1827</v>
      </c>
      <c r="G3504" s="2523">
        <f>G3497</f>
        <v>0</v>
      </c>
      <c r="H3504" s="2517">
        <v>0</v>
      </c>
      <c r="I3504" s="2517"/>
      <c r="J3504" s="2517">
        <v>13915</v>
      </c>
      <c r="K3504" s="2517">
        <v>0</v>
      </c>
      <c r="L3504" s="2517">
        <f>H3504*G3504</f>
        <v>0</v>
      </c>
      <c r="M3504" s="2517">
        <f>I3504*G3504</f>
        <v>0</v>
      </c>
      <c r="N3504" s="2517">
        <f>J3504*G3504</f>
        <v>0</v>
      </c>
      <c r="O3504" s="2517">
        <f>K3504*G3504</f>
        <v>0</v>
      </c>
      <c r="P3504" s="2518"/>
      <c r="Q3504" s="2519"/>
      <c r="R3504" s="2519"/>
      <c r="S3504" s="2519"/>
    </row>
    <row r="3505" spans="1:19" s="2358" customFormat="1" outlineLevel="1">
      <c r="A3505" s="2435" t="str">
        <f t="shared" si="751"/>
        <v/>
      </c>
      <c r="B3505" s="2505" t="s">
        <v>1352</v>
      </c>
      <c r="C3505" s="2521"/>
      <c r="D3505" s="2405">
        <v>0</v>
      </c>
      <c r="E3505" s="2447" t="s">
        <v>3536</v>
      </c>
      <c r="F3505" s="2405" t="s">
        <v>3537</v>
      </c>
      <c r="G3505" s="2523">
        <f>G3494*2*0</f>
        <v>0</v>
      </c>
      <c r="H3505" s="2517">
        <v>15000</v>
      </c>
      <c r="I3505" s="2517"/>
      <c r="J3505" s="2517">
        <v>0</v>
      </c>
      <c r="K3505" s="2517">
        <v>0</v>
      </c>
      <c r="L3505" s="2517">
        <f>H3505*G3505</f>
        <v>0</v>
      </c>
      <c r="M3505" s="2517">
        <f>I3505*G3505</f>
        <v>0</v>
      </c>
      <c r="N3505" s="2517">
        <f>J3505*G3505</f>
        <v>0</v>
      </c>
      <c r="O3505" s="2517">
        <f>K3505*G3505</f>
        <v>0</v>
      </c>
      <c r="P3505" s="2518"/>
      <c r="Q3505" s="2519"/>
      <c r="R3505" s="2519"/>
      <c r="S3505" s="2519"/>
    </row>
    <row r="3506" spans="1:19" s="2358" customFormat="1" outlineLevel="1">
      <c r="A3506" s="2435" t="str">
        <f t="shared" si="751"/>
        <v/>
      </c>
      <c r="B3506" s="2514"/>
      <c r="C3506" s="2511">
        <f>IF(G3506&gt;0,C3494+1,C3494)</f>
        <v>0</v>
      </c>
      <c r="D3506" s="2512"/>
      <c r="E3506" s="2513" t="s">
        <v>3745</v>
      </c>
      <c r="F3506" s="2511" t="s">
        <v>2391</v>
      </c>
      <c r="G3506" s="2516">
        <f>G3389</f>
        <v>0</v>
      </c>
      <c r="H3506" s="2517"/>
      <c r="I3506" s="2517"/>
      <c r="J3506" s="2517"/>
      <c r="K3506" s="2517"/>
      <c r="L3506" s="2517"/>
      <c r="M3506" s="2517"/>
      <c r="N3506" s="2517"/>
      <c r="O3506" s="2517"/>
      <c r="P3506" s="2518"/>
      <c r="Q3506" s="2519"/>
      <c r="R3506" s="2519"/>
      <c r="S3506" s="2519"/>
    </row>
    <row r="3507" spans="1:19" s="2358" customFormat="1" ht="14.4" outlineLevel="1">
      <c r="A3507" s="2435" t="str">
        <f>A3506</f>
        <v/>
      </c>
      <c r="B3507" s="2514"/>
      <c r="C3507" s="2511"/>
      <c r="D3507" s="2512"/>
      <c r="E3507" s="2527" t="s">
        <v>6207</v>
      </c>
      <c r="F3507" s="2511"/>
      <c r="G3507" s="2516"/>
      <c r="H3507" s="2517"/>
      <c r="I3507" s="2517"/>
      <c r="J3507" s="2517"/>
      <c r="K3507" s="2517"/>
      <c r="L3507" s="2517"/>
      <c r="M3507" s="2517"/>
      <c r="N3507" s="2517"/>
      <c r="O3507" s="2517"/>
      <c r="P3507" s="2518"/>
      <c r="Q3507" s="2519"/>
      <c r="R3507" s="2519"/>
      <c r="S3507" s="2519"/>
    </row>
    <row r="3508" spans="1:19" s="2358" customFormat="1" outlineLevel="1">
      <c r="A3508" s="2435" t="str">
        <f t="shared" ref="A3508:A3514" si="756">IF(G3508&lt;&gt;0,1,"")</f>
        <v/>
      </c>
      <c r="B3508" s="2505" t="s">
        <v>697</v>
      </c>
      <c r="C3508" s="2521"/>
      <c r="D3508" s="2405">
        <v>0</v>
      </c>
      <c r="E3508" s="2447" t="s">
        <v>5139</v>
      </c>
      <c r="F3508" s="2405" t="s">
        <v>2538</v>
      </c>
      <c r="G3508" s="2522">
        <f>G3506*9*3</f>
        <v>0</v>
      </c>
      <c r="H3508" s="2517">
        <v>50996</v>
      </c>
      <c r="I3508" s="2517"/>
      <c r="J3508" s="2517">
        <v>0</v>
      </c>
      <c r="K3508" s="2517">
        <v>0</v>
      </c>
      <c r="L3508" s="2517">
        <f t="shared" ref="L3508:L3514" si="757">H3508*G3508</f>
        <v>0</v>
      </c>
      <c r="M3508" s="2517">
        <f>I3508*G3508</f>
        <v>0</v>
      </c>
      <c r="N3508" s="2517">
        <f t="shared" ref="N3508:N3514" si="758">J3508*G3508</f>
        <v>0</v>
      </c>
      <c r="O3508" s="2517">
        <f t="shared" ref="O3508:O3514" si="759">K3508*G3508</f>
        <v>0</v>
      </c>
      <c r="P3508" s="2518"/>
      <c r="Q3508" s="2519"/>
      <c r="R3508" s="2519"/>
      <c r="S3508" s="2519"/>
    </row>
    <row r="3509" spans="1:19" s="2358" customFormat="1" outlineLevel="1">
      <c r="A3509" s="2435" t="str">
        <f t="shared" si="756"/>
        <v/>
      </c>
      <c r="B3509" s="2610" t="s">
        <v>1115</v>
      </c>
      <c r="C3509" s="2521"/>
      <c r="D3509" s="2405">
        <v>0</v>
      </c>
      <c r="E3509" s="2447" t="s">
        <v>2887</v>
      </c>
      <c r="F3509" s="2405" t="s">
        <v>2563</v>
      </c>
      <c r="G3509" s="2522">
        <f>G3506*3*2</f>
        <v>0</v>
      </c>
      <c r="H3509" s="2517">
        <v>6000</v>
      </c>
      <c r="I3509" s="2517"/>
      <c r="J3509" s="2517">
        <v>0</v>
      </c>
      <c r="K3509" s="2517">
        <v>0</v>
      </c>
      <c r="L3509" s="2517">
        <f t="shared" si="757"/>
        <v>0</v>
      </c>
      <c r="M3509" s="2517">
        <v>0</v>
      </c>
      <c r="N3509" s="2517">
        <f t="shared" si="758"/>
        <v>0</v>
      </c>
      <c r="O3509" s="2517">
        <f t="shared" si="759"/>
        <v>0</v>
      </c>
      <c r="P3509" s="2518"/>
      <c r="Q3509" s="2519"/>
      <c r="R3509" s="2519"/>
      <c r="S3509" s="2519"/>
    </row>
    <row r="3510" spans="1:19" s="2358" customFormat="1" outlineLevel="1">
      <c r="A3510" s="2435" t="str">
        <f t="shared" si="756"/>
        <v/>
      </c>
      <c r="B3510" s="2610" t="s">
        <v>30</v>
      </c>
      <c r="C3510" s="2521"/>
      <c r="D3510" s="2405">
        <v>0</v>
      </c>
      <c r="E3510" s="2447" t="s">
        <v>2699</v>
      </c>
      <c r="F3510" s="2405" t="s">
        <v>2391</v>
      </c>
      <c r="G3510" s="2522">
        <f>+G3506*6</f>
        <v>0</v>
      </c>
      <c r="H3510" s="2517">
        <v>34000</v>
      </c>
      <c r="I3510" s="2517"/>
      <c r="J3510" s="2517">
        <v>0</v>
      </c>
      <c r="K3510" s="2517">
        <v>0</v>
      </c>
      <c r="L3510" s="2517">
        <f t="shared" si="757"/>
        <v>0</v>
      </c>
      <c r="M3510" s="2517">
        <v>0</v>
      </c>
      <c r="N3510" s="2517">
        <f t="shared" si="758"/>
        <v>0</v>
      </c>
      <c r="O3510" s="2517">
        <f t="shared" si="759"/>
        <v>0</v>
      </c>
      <c r="P3510" s="2518"/>
      <c r="Q3510" s="2519"/>
      <c r="R3510" s="2519"/>
      <c r="S3510" s="2519"/>
    </row>
    <row r="3511" spans="1:19" s="2358" customFormat="1" outlineLevel="1">
      <c r="A3511" s="2435" t="str">
        <f t="shared" si="756"/>
        <v/>
      </c>
      <c r="B3511" s="2610" t="s">
        <v>1482</v>
      </c>
      <c r="C3511" s="2521"/>
      <c r="D3511" s="2405">
        <v>0</v>
      </c>
      <c r="E3511" s="2447" t="s">
        <v>3810</v>
      </c>
      <c r="F3511" s="2405" t="s">
        <v>2563</v>
      </c>
      <c r="G3511" s="2522">
        <f>G3506*3</f>
        <v>0</v>
      </c>
      <c r="H3511" s="2517">
        <v>46000</v>
      </c>
      <c r="I3511" s="2517"/>
      <c r="J3511" s="2517">
        <v>0</v>
      </c>
      <c r="K3511" s="2517">
        <v>0</v>
      </c>
      <c r="L3511" s="2517">
        <f t="shared" si="757"/>
        <v>0</v>
      </c>
      <c r="M3511" s="2517">
        <f>I3511*G3511</f>
        <v>0</v>
      </c>
      <c r="N3511" s="2517">
        <f t="shared" si="758"/>
        <v>0</v>
      </c>
      <c r="O3511" s="2517">
        <f t="shared" si="759"/>
        <v>0</v>
      </c>
      <c r="P3511" s="2518"/>
      <c r="Q3511" s="2519"/>
      <c r="R3511" s="2519"/>
      <c r="S3511" s="2519"/>
    </row>
    <row r="3512" spans="1:19" s="2358" customFormat="1" outlineLevel="1">
      <c r="A3512" s="2435" t="str">
        <f t="shared" si="756"/>
        <v/>
      </c>
      <c r="B3512" s="2610" t="s">
        <v>1480</v>
      </c>
      <c r="C3512" s="2521"/>
      <c r="D3512" s="2405">
        <v>0</v>
      </c>
      <c r="E3512" s="2447" t="s">
        <v>6420</v>
      </c>
      <c r="F3512" s="2405" t="s">
        <v>2563</v>
      </c>
      <c r="G3512" s="2522">
        <f>G3511</f>
        <v>0</v>
      </c>
      <c r="H3512" s="2517">
        <v>77000</v>
      </c>
      <c r="I3512" s="2517"/>
      <c r="J3512" s="2517">
        <v>0</v>
      </c>
      <c r="K3512" s="2517">
        <v>0</v>
      </c>
      <c r="L3512" s="2517">
        <f t="shared" si="757"/>
        <v>0</v>
      </c>
      <c r="M3512" s="2517">
        <f>I3512*G3512</f>
        <v>0</v>
      </c>
      <c r="N3512" s="2517">
        <f t="shared" si="758"/>
        <v>0</v>
      </c>
      <c r="O3512" s="2517">
        <f t="shared" si="759"/>
        <v>0</v>
      </c>
      <c r="P3512" s="2518"/>
      <c r="Q3512" s="2519"/>
      <c r="R3512" s="2519"/>
      <c r="S3512" s="2519"/>
    </row>
    <row r="3513" spans="1:19" s="2358" customFormat="1" outlineLevel="1">
      <c r="A3513" s="2435" t="str">
        <f t="shared" si="756"/>
        <v/>
      </c>
      <c r="B3513" s="2505" t="s">
        <v>696</v>
      </c>
      <c r="C3513" s="2642"/>
      <c r="D3513" s="2405">
        <v>0</v>
      </c>
      <c r="E3513" s="2447" t="s">
        <v>2952</v>
      </c>
      <c r="F3513" s="2405" t="s">
        <v>2563</v>
      </c>
      <c r="G3513" s="2522">
        <f>+G3506*3*3</f>
        <v>0</v>
      </c>
      <c r="H3513" s="2517">
        <v>205000</v>
      </c>
      <c r="I3513" s="2517"/>
      <c r="J3513" s="2517">
        <v>0</v>
      </c>
      <c r="K3513" s="2517">
        <v>0</v>
      </c>
      <c r="L3513" s="2517">
        <f t="shared" si="757"/>
        <v>0</v>
      </c>
      <c r="M3513" s="2517">
        <f>I3513*G3513</f>
        <v>0</v>
      </c>
      <c r="N3513" s="2517">
        <f t="shared" si="758"/>
        <v>0</v>
      </c>
      <c r="O3513" s="2517">
        <f t="shared" si="759"/>
        <v>0</v>
      </c>
      <c r="P3513" s="2518"/>
      <c r="Q3513" s="2519"/>
      <c r="R3513" s="2519"/>
      <c r="S3513" s="2519"/>
    </row>
    <row r="3514" spans="1:19" s="2358" customFormat="1" outlineLevel="1">
      <c r="A3514" s="2435" t="str">
        <f t="shared" si="756"/>
        <v/>
      </c>
      <c r="B3514" s="2505" t="s">
        <v>1268</v>
      </c>
      <c r="C3514" s="2521"/>
      <c r="D3514" s="2405">
        <v>0</v>
      </c>
      <c r="E3514" s="2447" t="s">
        <v>2831</v>
      </c>
      <c r="F3514" s="2405" t="s">
        <v>2563</v>
      </c>
      <c r="G3514" s="2522">
        <f>+G3513</f>
        <v>0</v>
      </c>
      <c r="H3514" s="2517">
        <v>65000</v>
      </c>
      <c r="I3514" s="2517"/>
      <c r="J3514" s="2517">
        <v>0</v>
      </c>
      <c r="K3514" s="2517">
        <v>0</v>
      </c>
      <c r="L3514" s="2517">
        <f t="shared" si="757"/>
        <v>0</v>
      </c>
      <c r="M3514" s="2517">
        <f>I3514*G3514</f>
        <v>0</v>
      </c>
      <c r="N3514" s="2517">
        <f t="shared" si="758"/>
        <v>0</v>
      </c>
      <c r="O3514" s="2517">
        <f t="shared" si="759"/>
        <v>0</v>
      </c>
      <c r="P3514" s="2518"/>
      <c r="Q3514" s="2519"/>
      <c r="R3514" s="2519"/>
      <c r="S3514" s="2519"/>
    </row>
    <row r="3515" spans="1:19" s="2358" customFormat="1" outlineLevel="1">
      <c r="A3515" s="2435" t="str">
        <f>IF(G3515&lt;&gt;0,1,"")</f>
        <v/>
      </c>
      <c r="B3515" s="2505" t="s">
        <v>347</v>
      </c>
      <c r="C3515" s="2521"/>
      <c r="D3515" s="2405" t="s">
        <v>5622</v>
      </c>
      <c r="E3515" s="2447" t="s">
        <v>3289</v>
      </c>
      <c r="F3515" s="2405" t="s">
        <v>2445</v>
      </c>
      <c r="G3515" s="2522">
        <f>G3513</f>
        <v>0</v>
      </c>
      <c r="H3515" s="2517">
        <v>510</v>
      </c>
      <c r="I3515" s="2517"/>
      <c r="J3515" s="2517">
        <v>58277.49</v>
      </c>
      <c r="K3515" s="2517">
        <v>0</v>
      </c>
      <c r="L3515" s="2517">
        <f>H3515*G3515</f>
        <v>0</v>
      </c>
      <c r="M3515" s="2517">
        <f>I3515*G3515</f>
        <v>0</v>
      </c>
      <c r="N3515" s="2517">
        <f>J3515*G3515</f>
        <v>0</v>
      </c>
      <c r="O3515" s="2517">
        <f>K3515*G3515</f>
        <v>0</v>
      </c>
      <c r="P3515" s="2518"/>
      <c r="Q3515" s="2519"/>
      <c r="R3515" s="2519"/>
      <c r="S3515" s="2519"/>
    </row>
    <row r="3516" spans="1:19" s="2358" customFormat="1" outlineLevel="1">
      <c r="A3516" s="2435" t="str">
        <f>IF(G3516&lt;&gt;0,1,"")</f>
        <v/>
      </c>
      <c r="B3516" s="2514"/>
      <c r="C3516" s="2511">
        <f>IF(G3516&gt;0,C3506+1,C3506)</f>
        <v>0</v>
      </c>
      <c r="D3516" s="2512"/>
      <c r="E3516" s="2515" t="s">
        <v>3778</v>
      </c>
      <c r="F3516" s="2511" t="s">
        <v>2391</v>
      </c>
      <c r="G3516" s="2516">
        <f>G3389*1</f>
        <v>0</v>
      </c>
      <c r="H3516" s="2517"/>
      <c r="I3516" s="2517"/>
      <c r="J3516" s="2517"/>
      <c r="K3516" s="2517"/>
      <c r="L3516" s="2517"/>
      <c r="M3516" s="2517"/>
      <c r="N3516" s="2517"/>
      <c r="O3516" s="2517"/>
      <c r="P3516" s="2518"/>
      <c r="Q3516" s="2519"/>
      <c r="R3516" s="2519"/>
      <c r="S3516" s="2519"/>
    </row>
    <row r="3517" spans="1:19" s="2358" customFormat="1" ht="14.4" outlineLevel="1">
      <c r="A3517" s="2435" t="str">
        <f>A3516</f>
        <v/>
      </c>
      <c r="B3517" s="2514"/>
      <c r="C3517" s="2511"/>
      <c r="D3517" s="2512"/>
      <c r="E3517" s="2527" t="s">
        <v>6207</v>
      </c>
      <c r="F3517" s="2511"/>
      <c r="G3517" s="2516"/>
      <c r="H3517" s="2517"/>
      <c r="I3517" s="2517"/>
      <c r="J3517" s="2517"/>
      <c r="K3517" s="2517"/>
      <c r="L3517" s="2517"/>
      <c r="M3517" s="2517"/>
      <c r="N3517" s="2517"/>
      <c r="O3517" s="2517"/>
      <c r="P3517" s="2518"/>
      <c r="Q3517" s="2519"/>
      <c r="R3517" s="2519"/>
      <c r="S3517" s="2519"/>
    </row>
    <row r="3518" spans="1:19" s="2358" customFormat="1" outlineLevel="1">
      <c r="A3518" s="2435" t="str">
        <f>IF(G3518&lt;&gt;0,1,"")</f>
        <v/>
      </c>
      <c r="B3518" s="2514" t="s">
        <v>1124</v>
      </c>
      <c r="C3518" s="2521"/>
      <c r="D3518" s="2405">
        <v>0</v>
      </c>
      <c r="E3518" s="2447" t="s">
        <v>3474</v>
      </c>
      <c r="F3518" s="2405" t="s">
        <v>2445</v>
      </c>
      <c r="G3518" s="2522">
        <f>G3516</f>
        <v>0</v>
      </c>
      <c r="H3518" s="2517">
        <v>350000</v>
      </c>
      <c r="I3518" s="2517"/>
      <c r="J3518" s="2517">
        <v>21761</v>
      </c>
      <c r="K3518" s="2517">
        <v>37840</v>
      </c>
      <c r="L3518" s="2517">
        <f>H3518*G3518</f>
        <v>0</v>
      </c>
      <c r="M3518" s="2517">
        <f>I3518*G3518</f>
        <v>0</v>
      </c>
      <c r="N3518" s="2517">
        <f>J3518*G3518</f>
        <v>0</v>
      </c>
      <c r="O3518" s="2517">
        <f>K3518*G3518</f>
        <v>0</v>
      </c>
      <c r="P3518" s="2518"/>
      <c r="Q3518" s="2519"/>
      <c r="R3518" s="2519"/>
      <c r="S3518" s="2519"/>
    </row>
    <row r="3519" spans="1:19" s="2358" customFormat="1" outlineLevel="1">
      <c r="A3519" s="2435" t="str">
        <f>IF(G3519&lt;&gt;0,1,"")</f>
        <v/>
      </c>
      <c r="B3519" s="2514" t="s">
        <v>1413</v>
      </c>
      <c r="C3519" s="2521"/>
      <c r="D3519" s="2405" t="s">
        <v>5403</v>
      </c>
      <c r="E3519" s="2447" t="s">
        <v>5404</v>
      </c>
      <c r="F3519" s="2405" t="s">
        <v>2445</v>
      </c>
      <c r="G3519" s="2522">
        <f>G3518</f>
        <v>0</v>
      </c>
      <c r="H3519" s="2517">
        <v>0</v>
      </c>
      <c r="I3519" s="2517"/>
      <c r="J3519" s="2517">
        <v>28219.62</v>
      </c>
      <c r="K3519" s="2517">
        <v>0</v>
      </c>
      <c r="L3519" s="2517">
        <f>H3519*G3519</f>
        <v>0</v>
      </c>
      <c r="M3519" s="2517">
        <f>I3519*G3519</f>
        <v>0</v>
      </c>
      <c r="N3519" s="2517">
        <f>J3519*G3519</f>
        <v>0</v>
      </c>
      <c r="O3519" s="2517">
        <f>K3519*G3519</f>
        <v>0</v>
      </c>
      <c r="P3519" s="2518"/>
      <c r="Q3519" s="2519"/>
      <c r="R3519" s="2519"/>
      <c r="S3519" s="2519"/>
    </row>
    <row r="3520" spans="1:19" s="2358" customFormat="1" outlineLevel="1">
      <c r="A3520" s="2435" t="str">
        <f>IF(G3520&lt;&gt;0,1,"")</f>
        <v/>
      </c>
      <c r="B3520" s="2505"/>
      <c r="C3520" s="2511">
        <f>IF(G3520&gt;0,C3516+1,C3516)</f>
        <v>0</v>
      </c>
      <c r="D3520" s="2512"/>
      <c r="E3520" s="2513" t="s">
        <v>3779</v>
      </c>
      <c r="F3520" s="2511" t="s">
        <v>2391</v>
      </c>
      <c r="G3520" s="2522">
        <f>G3494+G3506</f>
        <v>0</v>
      </c>
      <c r="H3520" s="2517"/>
      <c r="I3520" s="2517"/>
      <c r="J3520" s="2517"/>
      <c r="K3520" s="2517"/>
      <c r="L3520" s="2517"/>
      <c r="M3520" s="2517"/>
      <c r="N3520" s="2517"/>
      <c r="O3520" s="2517"/>
      <c r="P3520" s="2518"/>
      <c r="Q3520" s="2519"/>
      <c r="R3520" s="2519"/>
      <c r="S3520" s="2519"/>
    </row>
    <row r="3521" spans="1:19" s="2358" customFormat="1" ht="14.4" outlineLevel="1">
      <c r="A3521" s="2435" t="str">
        <f>A3520</f>
        <v/>
      </c>
      <c r="B3521" s="2505"/>
      <c r="C3521" s="2511"/>
      <c r="D3521" s="2512"/>
      <c r="E3521" s="2527" t="s">
        <v>6207</v>
      </c>
      <c r="F3521" s="2511"/>
      <c r="G3521" s="2522"/>
      <c r="H3521" s="2517"/>
      <c r="I3521" s="2517"/>
      <c r="J3521" s="2517"/>
      <c r="K3521" s="2517"/>
      <c r="L3521" s="2517"/>
      <c r="M3521" s="2517"/>
      <c r="N3521" s="2517"/>
      <c r="O3521" s="2517"/>
      <c r="P3521" s="2518"/>
      <c r="Q3521" s="2519"/>
      <c r="R3521" s="2519"/>
      <c r="S3521" s="2519"/>
    </row>
    <row r="3522" spans="1:19" s="2358" customFormat="1" outlineLevel="1">
      <c r="A3522" s="2435" t="str">
        <f t="shared" ref="A3522:A3530" si="760">IF(G3522&lt;&gt;0,1,"")</f>
        <v/>
      </c>
      <c r="B3522" s="2514" t="s">
        <v>1241</v>
      </c>
      <c r="C3522" s="2521"/>
      <c r="D3522" s="2823"/>
      <c r="E3522" s="2447" t="s">
        <v>2756</v>
      </c>
      <c r="F3522" s="2405" t="s">
        <v>2538</v>
      </c>
      <c r="G3522" s="2522">
        <f>G3520*(10*3*4+5*8)</f>
        <v>0</v>
      </c>
      <c r="H3522" s="2517">
        <v>479000</v>
      </c>
      <c r="I3522" s="2517"/>
      <c r="J3522" s="2517">
        <v>0</v>
      </c>
      <c r="K3522" s="2517">
        <v>0</v>
      </c>
      <c r="L3522" s="2517">
        <f t="shared" ref="L3522:L3530" si="761">H3522*G3522</f>
        <v>0</v>
      </c>
      <c r="M3522" s="2517">
        <f t="shared" ref="M3522:M3530" si="762">I3522*G3522</f>
        <v>0</v>
      </c>
      <c r="N3522" s="2517">
        <f t="shared" ref="N3522:N3530" si="763">J3522*G3522</f>
        <v>0</v>
      </c>
      <c r="O3522" s="2517">
        <f t="shared" ref="O3522:O3530" si="764">K3522*G3522</f>
        <v>0</v>
      </c>
      <c r="P3522" s="2518"/>
      <c r="Q3522" s="2519"/>
      <c r="R3522" s="2519">
        <f>48*(30+6)</f>
        <v>1728</v>
      </c>
      <c r="S3522" s="2519"/>
    </row>
    <row r="3523" spans="1:19" s="2358" customFormat="1" outlineLevel="1">
      <c r="A3523" s="2435" t="str">
        <f t="shared" si="760"/>
        <v/>
      </c>
      <c r="B3523" s="2514" t="s">
        <v>448</v>
      </c>
      <c r="C3523" s="2521"/>
      <c r="D3523" s="2405" t="s">
        <v>5794</v>
      </c>
      <c r="E3523" s="2447" t="s">
        <v>3505</v>
      </c>
      <c r="F3523" s="2405" t="s">
        <v>2563</v>
      </c>
      <c r="G3523" s="2522">
        <f>+G3520*70</f>
        <v>0</v>
      </c>
      <c r="H3523" s="2517">
        <v>70000</v>
      </c>
      <c r="I3523" s="2517"/>
      <c r="J3523" s="2517">
        <v>59410.148000000001</v>
      </c>
      <c r="K3523" s="2517">
        <v>5554.0464950000005</v>
      </c>
      <c r="L3523" s="2517">
        <f t="shared" si="761"/>
        <v>0</v>
      </c>
      <c r="M3523" s="2517">
        <f t="shared" si="762"/>
        <v>0</v>
      </c>
      <c r="N3523" s="2517">
        <f t="shared" si="763"/>
        <v>0</v>
      </c>
      <c r="O3523" s="2517">
        <f t="shared" si="764"/>
        <v>0</v>
      </c>
      <c r="P3523" s="2518"/>
      <c r="Q3523" s="2519"/>
      <c r="R3523" s="2519"/>
      <c r="S3523" s="2519"/>
    </row>
    <row r="3524" spans="1:19" s="2358" customFormat="1" outlineLevel="1">
      <c r="A3524" s="2435" t="str">
        <f t="shared" si="760"/>
        <v/>
      </c>
      <c r="B3524" s="2514" t="s">
        <v>1072</v>
      </c>
      <c r="C3524" s="2521"/>
      <c r="D3524" s="2405">
        <v>0</v>
      </c>
      <c r="E3524" s="2447" t="s">
        <v>3519</v>
      </c>
      <c r="F3524" s="2405" t="s">
        <v>2563</v>
      </c>
      <c r="G3524" s="2522">
        <f>G3523</f>
        <v>0</v>
      </c>
      <c r="H3524" s="2517">
        <v>6000</v>
      </c>
      <c r="I3524" s="2517"/>
      <c r="J3524" s="2517">
        <v>0</v>
      </c>
      <c r="K3524" s="2517">
        <v>0</v>
      </c>
      <c r="L3524" s="2517">
        <f t="shared" si="761"/>
        <v>0</v>
      </c>
      <c r="M3524" s="2517">
        <f t="shared" si="762"/>
        <v>0</v>
      </c>
      <c r="N3524" s="2517">
        <f t="shared" si="763"/>
        <v>0</v>
      </c>
      <c r="O3524" s="2517">
        <f t="shared" si="764"/>
        <v>0</v>
      </c>
      <c r="P3524" s="2518"/>
      <c r="Q3524" s="2519"/>
      <c r="R3524" s="2519"/>
      <c r="S3524" s="2519"/>
    </row>
    <row r="3525" spans="1:19" s="2358" customFormat="1" outlineLevel="1">
      <c r="A3525" s="2435" t="str">
        <f t="shared" si="760"/>
        <v/>
      </c>
      <c r="B3525" s="2514" t="s">
        <v>1042</v>
      </c>
      <c r="C3525" s="2521"/>
      <c r="D3525" s="2405">
        <v>0</v>
      </c>
      <c r="E3525" s="2447" t="s">
        <v>3549</v>
      </c>
      <c r="F3525" s="2405" t="s">
        <v>1827</v>
      </c>
      <c r="G3525" s="2522">
        <f>6*G3520*$L$2*0</f>
        <v>0</v>
      </c>
      <c r="H3525" s="2517">
        <v>103700</v>
      </c>
      <c r="I3525" s="2517"/>
      <c r="J3525" s="2517">
        <v>0</v>
      </c>
      <c r="K3525" s="2517">
        <v>0</v>
      </c>
      <c r="L3525" s="2517">
        <f t="shared" si="761"/>
        <v>0</v>
      </c>
      <c r="M3525" s="2517">
        <f t="shared" si="762"/>
        <v>0</v>
      </c>
      <c r="N3525" s="2517">
        <f t="shared" si="763"/>
        <v>0</v>
      </c>
      <c r="O3525" s="2517">
        <f t="shared" si="764"/>
        <v>0</v>
      </c>
      <c r="P3525" s="2518"/>
      <c r="Q3525" s="2519"/>
      <c r="R3525" s="2519"/>
      <c r="S3525" s="2519"/>
    </row>
    <row r="3526" spans="1:19" s="2358" customFormat="1" outlineLevel="1">
      <c r="A3526" s="2435" t="str">
        <f t="shared" si="760"/>
        <v/>
      </c>
      <c r="B3526" s="2505" t="s">
        <v>731</v>
      </c>
      <c r="C3526" s="2521"/>
      <c r="D3526" s="2405">
        <v>0</v>
      </c>
      <c r="E3526" s="2447" t="s">
        <v>5319</v>
      </c>
      <c r="F3526" s="2405" t="s">
        <v>2445</v>
      </c>
      <c r="G3526" s="2522">
        <f>G3520*2*$L$2*0</f>
        <v>0</v>
      </c>
      <c r="H3526" s="2517">
        <v>50000</v>
      </c>
      <c r="I3526" s="2517"/>
      <c r="J3526" s="2517">
        <v>0</v>
      </c>
      <c r="K3526" s="2517">
        <v>0</v>
      </c>
      <c r="L3526" s="2517">
        <f t="shared" si="761"/>
        <v>0</v>
      </c>
      <c r="M3526" s="2517">
        <f t="shared" si="762"/>
        <v>0</v>
      </c>
      <c r="N3526" s="2517">
        <f t="shared" si="763"/>
        <v>0</v>
      </c>
      <c r="O3526" s="2517">
        <f t="shared" si="764"/>
        <v>0</v>
      </c>
      <c r="P3526" s="2518"/>
      <c r="Q3526" s="2675"/>
      <c r="R3526" s="2519"/>
      <c r="S3526" s="2519"/>
    </row>
    <row r="3527" spans="1:19" s="2358" customFormat="1" outlineLevel="1">
      <c r="A3527" s="2435" t="str">
        <f t="shared" si="760"/>
        <v/>
      </c>
      <c r="B3527" s="2514" t="s">
        <v>1043</v>
      </c>
      <c r="C3527" s="2521"/>
      <c r="D3527" s="2405">
        <v>0</v>
      </c>
      <c r="E3527" s="2447" t="s">
        <v>5860</v>
      </c>
      <c r="F3527" s="2405" t="s">
        <v>2563</v>
      </c>
      <c r="G3527" s="2522">
        <f>G3520*2*$L$2*0</f>
        <v>0</v>
      </c>
      <c r="H3527" s="2517">
        <v>104800</v>
      </c>
      <c r="I3527" s="2517"/>
      <c r="J3527" s="2517">
        <v>0</v>
      </c>
      <c r="K3527" s="2517">
        <v>0</v>
      </c>
      <c r="L3527" s="2517">
        <f t="shared" si="761"/>
        <v>0</v>
      </c>
      <c r="M3527" s="2517">
        <f t="shared" si="762"/>
        <v>0</v>
      </c>
      <c r="N3527" s="2517">
        <f t="shared" si="763"/>
        <v>0</v>
      </c>
      <c r="O3527" s="2517">
        <f t="shared" si="764"/>
        <v>0</v>
      </c>
      <c r="P3527" s="2518"/>
      <c r="Q3527" s="2519"/>
      <c r="R3527" s="2519"/>
      <c r="S3527" s="2519"/>
    </row>
    <row r="3528" spans="1:19" s="2358" customFormat="1" outlineLevel="1">
      <c r="A3528" s="2435" t="str">
        <f t="shared" si="760"/>
        <v/>
      </c>
      <c r="B3528" s="2514" t="s">
        <v>2173</v>
      </c>
      <c r="C3528" s="2521"/>
      <c r="D3528" s="2405">
        <v>0</v>
      </c>
      <c r="E3528" s="2447" t="s">
        <v>3593</v>
      </c>
      <c r="F3528" s="2405" t="s">
        <v>2563</v>
      </c>
      <c r="G3528" s="2522">
        <f>G3520*$L$2*0</f>
        <v>0</v>
      </c>
      <c r="H3528" s="2517">
        <v>41900</v>
      </c>
      <c r="I3528" s="2517"/>
      <c r="J3528" s="2517">
        <v>0</v>
      </c>
      <c r="K3528" s="2517">
        <v>0</v>
      </c>
      <c r="L3528" s="2517">
        <f t="shared" si="761"/>
        <v>0</v>
      </c>
      <c r="M3528" s="2517">
        <f t="shared" si="762"/>
        <v>0</v>
      </c>
      <c r="N3528" s="2517">
        <f t="shared" si="763"/>
        <v>0</v>
      </c>
      <c r="O3528" s="2517">
        <f t="shared" si="764"/>
        <v>0</v>
      </c>
      <c r="P3528" s="2518"/>
      <c r="Q3528" s="2519"/>
      <c r="R3528" s="2519"/>
      <c r="S3528" s="2519"/>
    </row>
    <row r="3529" spans="1:19" s="2358" customFormat="1" outlineLevel="1">
      <c r="A3529" s="2435" t="str">
        <f t="shared" si="760"/>
        <v/>
      </c>
      <c r="B3529" s="2514" t="s">
        <v>2174</v>
      </c>
      <c r="C3529" s="2521"/>
      <c r="D3529" s="2405">
        <v>0</v>
      </c>
      <c r="E3529" s="2447" t="s">
        <v>3597</v>
      </c>
      <c r="F3529" s="2405" t="s">
        <v>2563</v>
      </c>
      <c r="G3529" s="2522">
        <f>G3528</f>
        <v>0</v>
      </c>
      <c r="H3529" s="2517">
        <v>41900</v>
      </c>
      <c r="I3529" s="2517"/>
      <c r="J3529" s="2517">
        <v>0</v>
      </c>
      <c r="K3529" s="2517">
        <v>0</v>
      </c>
      <c r="L3529" s="2517">
        <f t="shared" si="761"/>
        <v>0</v>
      </c>
      <c r="M3529" s="2517">
        <f t="shared" si="762"/>
        <v>0</v>
      </c>
      <c r="N3529" s="2517">
        <f t="shared" si="763"/>
        <v>0</v>
      </c>
      <c r="O3529" s="2517">
        <f t="shared" si="764"/>
        <v>0</v>
      </c>
      <c r="P3529" s="2518"/>
      <c r="Q3529" s="2519"/>
      <c r="R3529" s="2519"/>
      <c r="S3529" s="2519"/>
    </row>
    <row r="3530" spans="1:19" s="2358" customFormat="1" outlineLevel="1">
      <c r="A3530" s="2435" t="str">
        <f t="shared" si="760"/>
        <v/>
      </c>
      <c r="B3530" s="2514" t="s">
        <v>726</v>
      </c>
      <c r="C3530" s="2521"/>
      <c r="D3530" s="2405">
        <v>0</v>
      </c>
      <c r="E3530" s="2447" t="s">
        <v>3590</v>
      </c>
      <c r="F3530" s="2405" t="s">
        <v>388</v>
      </c>
      <c r="G3530" s="2522">
        <f>G3520*2*$L$2*0</f>
        <v>0</v>
      </c>
      <c r="H3530" s="2517">
        <v>54100</v>
      </c>
      <c r="I3530" s="2517"/>
      <c r="J3530" s="2517">
        <v>0</v>
      </c>
      <c r="K3530" s="2517">
        <v>0</v>
      </c>
      <c r="L3530" s="2517">
        <f t="shared" si="761"/>
        <v>0</v>
      </c>
      <c r="M3530" s="2517">
        <f t="shared" si="762"/>
        <v>0</v>
      </c>
      <c r="N3530" s="2517">
        <f t="shared" si="763"/>
        <v>0</v>
      </c>
      <c r="O3530" s="2517">
        <f t="shared" si="764"/>
        <v>0</v>
      </c>
      <c r="P3530" s="2518"/>
      <c r="Q3530" s="2519"/>
      <c r="R3530" s="2519"/>
      <c r="S3530" s="2519"/>
    </row>
    <row r="3531" spans="1:19" s="2358" customFormat="1" outlineLevel="1">
      <c r="A3531" s="2435" t="str">
        <f>IF(G3531&lt;&gt;0,1,"")</f>
        <v/>
      </c>
      <c r="B3531" s="2505" t="s">
        <v>6</v>
      </c>
      <c r="C3531" s="2521"/>
      <c r="D3531" s="2405"/>
      <c r="E3531" s="2447" t="s">
        <v>3585</v>
      </c>
      <c r="F3531" s="2405" t="s">
        <v>5868</v>
      </c>
      <c r="G3531" s="2522"/>
      <c r="H3531" s="2517">
        <v>45000</v>
      </c>
      <c r="I3531" s="2517"/>
      <c r="J3531" s="2517"/>
      <c r="K3531" s="2517"/>
      <c r="L3531" s="2517">
        <f>H3531*G3531</f>
        <v>0</v>
      </c>
      <c r="M3531" s="2517">
        <f>I3531*G3531</f>
        <v>0</v>
      </c>
      <c r="N3531" s="2517">
        <f>J3531*G3531</f>
        <v>0</v>
      </c>
      <c r="O3531" s="2517">
        <f>K3531*G3531</f>
        <v>0</v>
      </c>
      <c r="P3531" s="2518"/>
      <c r="Q3531" s="2519"/>
      <c r="R3531" s="2519"/>
      <c r="S3531" s="2519"/>
    </row>
    <row r="3532" spans="1:19" s="2358" customFormat="1" outlineLevel="1">
      <c r="A3532" s="2435" t="str">
        <f>IF(G3532&lt;&gt;0,1,"")</f>
        <v/>
      </c>
      <c r="B3532" s="2514" t="s">
        <v>1351</v>
      </c>
      <c r="C3532" s="2521"/>
      <c r="D3532" s="2405">
        <v>0</v>
      </c>
      <c r="E3532" s="2447" t="s">
        <v>3536</v>
      </c>
      <c r="F3532" s="2405" t="s">
        <v>3537</v>
      </c>
      <c r="G3532" s="2522">
        <f>G3520*2</f>
        <v>0</v>
      </c>
      <c r="H3532" s="2517">
        <v>15000</v>
      </c>
      <c r="I3532" s="2517"/>
      <c r="J3532" s="2517">
        <v>0</v>
      </c>
      <c r="K3532" s="2517">
        <v>0</v>
      </c>
      <c r="L3532" s="2517">
        <f>H3532*G3532</f>
        <v>0</v>
      </c>
      <c r="M3532" s="2517">
        <f>I3532*G3532</f>
        <v>0</v>
      </c>
      <c r="N3532" s="2517">
        <f>J3532*G3532</f>
        <v>0</v>
      </c>
      <c r="O3532" s="2517">
        <f>K3532*G3532</f>
        <v>0</v>
      </c>
      <c r="P3532" s="2518"/>
      <c r="Q3532" s="2519"/>
      <c r="R3532" s="2519"/>
      <c r="S3532" s="2519"/>
    </row>
    <row r="3533" spans="1:19" s="2358" customFormat="1" outlineLevel="1">
      <c r="A3533" s="2435" t="str">
        <f>IF(G3533&lt;&gt;0,1,"")</f>
        <v/>
      </c>
      <c r="B3533" s="2505" t="s">
        <v>672</v>
      </c>
      <c r="C3533" s="2521"/>
      <c r="D3533" s="2405">
        <v>0</v>
      </c>
      <c r="E3533" s="2447" t="s">
        <v>5863</v>
      </c>
      <c r="F3533" s="2405" t="s">
        <v>3584</v>
      </c>
      <c r="G3533" s="2522">
        <f>G3520*5</f>
        <v>0</v>
      </c>
      <c r="H3533" s="2517">
        <v>6500</v>
      </c>
      <c r="I3533" s="2517"/>
      <c r="J3533" s="2517">
        <v>0</v>
      </c>
      <c r="K3533" s="2517">
        <v>0</v>
      </c>
      <c r="L3533" s="2517">
        <f>H3533*G3533</f>
        <v>0</v>
      </c>
      <c r="M3533" s="2517">
        <f>I3533*G3533</f>
        <v>0</v>
      </c>
      <c r="N3533" s="2517">
        <f>J3533*G3533</f>
        <v>0</v>
      </c>
      <c r="O3533" s="2517">
        <f>K3533*G3533</f>
        <v>0</v>
      </c>
      <c r="P3533" s="2518"/>
      <c r="Q3533" s="2519"/>
      <c r="R3533" s="2519"/>
      <c r="S3533" s="2519"/>
    </row>
    <row r="3534" spans="1:19" s="2358" customFormat="1" outlineLevel="1">
      <c r="A3534" s="2435" t="str">
        <f>IF(G3534&lt;&gt;0,1,"")</f>
        <v/>
      </c>
      <c r="B3534" s="2505" t="s">
        <v>247</v>
      </c>
      <c r="C3534" s="2824"/>
      <c r="D3534" s="2405" t="s">
        <v>5635</v>
      </c>
      <c r="E3534" s="2447" t="s">
        <v>5636</v>
      </c>
      <c r="F3534" s="2405" t="s">
        <v>1827</v>
      </c>
      <c r="G3534" s="2522">
        <f>G3522</f>
        <v>0</v>
      </c>
      <c r="H3534" s="2517">
        <v>0</v>
      </c>
      <c r="I3534" s="2517"/>
      <c r="J3534" s="2517">
        <v>47311</v>
      </c>
      <c r="K3534" s="2517">
        <v>0</v>
      </c>
      <c r="L3534" s="2517">
        <f>H3534*G3534</f>
        <v>0</v>
      </c>
      <c r="M3534" s="2517">
        <f>I3534*G3534</f>
        <v>0</v>
      </c>
      <c r="N3534" s="2517">
        <f>J3534*G3534</f>
        <v>0</v>
      </c>
      <c r="O3534" s="2517">
        <f>K3534*G3534</f>
        <v>0</v>
      </c>
      <c r="P3534" s="2518"/>
      <c r="Q3534" s="2519"/>
      <c r="R3534" s="2519"/>
      <c r="S3534" s="2519"/>
    </row>
    <row r="3535" spans="1:19" s="2358" customFormat="1" outlineLevel="1">
      <c r="A3535" s="2435" t="str">
        <f>IF(G3535&lt;&gt;0,1,"")</f>
        <v/>
      </c>
      <c r="B3535" s="2505"/>
      <c r="C3535" s="2511">
        <f>IF(G3535&gt;0,C3520+1,C3520)</f>
        <v>0</v>
      </c>
      <c r="D3535" s="2512"/>
      <c r="E3535" s="2513" t="s">
        <v>6327</v>
      </c>
      <c r="F3535" s="2511" t="s">
        <v>2391</v>
      </c>
      <c r="G3535" s="2522">
        <f>G3389</f>
        <v>0</v>
      </c>
      <c r="H3535" s="2517"/>
      <c r="I3535" s="2517"/>
      <c r="J3535" s="2517"/>
      <c r="K3535" s="2517"/>
      <c r="L3535" s="2517"/>
      <c r="M3535" s="2517"/>
      <c r="N3535" s="2517"/>
      <c r="O3535" s="2517"/>
      <c r="P3535" s="2518"/>
      <c r="Q3535" s="2519"/>
      <c r="R3535" s="2519"/>
      <c r="S3535" s="2519"/>
    </row>
    <row r="3536" spans="1:19" s="2541" customFormat="1" ht="14.4" outlineLevel="1">
      <c r="A3536" s="2435" t="str">
        <f>A3535</f>
        <v/>
      </c>
      <c r="B3536" s="2753"/>
      <c r="C3536" s="2511"/>
      <c r="D3536" s="2512"/>
      <c r="E3536" s="2527" t="s">
        <v>6207</v>
      </c>
      <c r="F3536" s="2511"/>
      <c r="G3536" s="2516"/>
      <c r="H3536" s="2517"/>
      <c r="I3536" s="2517"/>
      <c r="J3536" s="2517"/>
      <c r="K3536" s="2517"/>
      <c r="L3536" s="2517"/>
      <c r="M3536" s="2517"/>
      <c r="N3536" s="2517"/>
      <c r="O3536" s="2517"/>
      <c r="P3536" s="2518"/>
      <c r="Q3536" s="2686"/>
      <c r="R3536" s="2686"/>
      <c r="S3536" s="2686"/>
    </row>
    <row r="3537" spans="1:19" s="2358" customFormat="1" outlineLevel="1">
      <c r="A3537" s="2435">
        <f>IF(G3537=0,0,1)</f>
        <v>0</v>
      </c>
      <c r="B3537" s="2514" t="s">
        <v>1826</v>
      </c>
      <c r="C3537" s="2642"/>
      <c r="D3537" s="2405" t="s">
        <v>1530</v>
      </c>
      <c r="E3537" s="2612" t="s">
        <v>2792</v>
      </c>
      <c r="F3537" s="2754" t="s">
        <v>2538</v>
      </c>
      <c r="G3537" s="2522">
        <f>G3535*26</f>
        <v>0</v>
      </c>
      <c r="H3537" s="2517">
        <v>28200</v>
      </c>
      <c r="I3537" s="2517"/>
      <c r="J3537" s="2517">
        <v>0</v>
      </c>
      <c r="K3537" s="2517">
        <v>0</v>
      </c>
      <c r="L3537" s="2517">
        <f t="shared" ref="L3537:O3557" si="765">H3537*$G3537</f>
        <v>0</v>
      </c>
      <c r="M3537" s="2517">
        <f t="shared" si="765"/>
        <v>0</v>
      </c>
      <c r="N3537" s="2517">
        <f t="shared" si="765"/>
        <v>0</v>
      </c>
      <c r="O3537" s="2517">
        <f t="shared" si="765"/>
        <v>0</v>
      </c>
      <c r="P3537" s="2518"/>
      <c r="Q3537" s="2519"/>
      <c r="R3537" s="2519"/>
      <c r="S3537" s="2519"/>
    </row>
    <row r="3538" spans="1:19" s="2358" customFormat="1" outlineLevel="1">
      <c r="A3538" s="2435">
        <f>IF(G3538=0,0,1)</f>
        <v>0</v>
      </c>
      <c r="B3538" s="2505" t="s">
        <v>6328</v>
      </c>
      <c r="C3538" s="2521"/>
      <c r="D3538" s="2405">
        <v>0</v>
      </c>
      <c r="E3538" s="2612" t="s">
        <v>5105</v>
      </c>
      <c r="F3538" s="2754" t="s">
        <v>2445</v>
      </c>
      <c r="G3538" s="2522">
        <f>G3535*24</f>
        <v>0</v>
      </c>
      <c r="H3538" s="2517">
        <v>7900</v>
      </c>
      <c r="I3538" s="2517"/>
      <c r="J3538" s="2517">
        <v>0</v>
      </c>
      <c r="K3538" s="2517">
        <v>0</v>
      </c>
      <c r="L3538" s="2517">
        <f t="shared" si="765"/>
        <v>0</v>
      </c>
      <c r="M3538" s="2517">
        <f t="shared" si="765"/>
        <v>0</v>
      </c>
      <c r="N3538" s="2517">
        <f t="shared" si="765"/>
        <v>0</v>
      </c>
      <c r="O3538" s="2517">
        <f t="shared" si="765"/>
        <v>0</v>
      </c>
      <c r="P3538" s="2518"/>
      <c r="Q3538" s="2519"/>
      <c r="R3538" s="2519"/>
      <c r="S3538" s="2519"/>
    </row>
    <row r="3539" spans="1:19" s="2358" customFormat="1" outlineLevel="1">
      <c r="A3539" s="2435">
        <f>IF(G3539=0,0,1)</f>
        <v>0</v>
      </c>
      <c r="B3539" s="2505" t="s">
        <v>6329</v>
      </c>
      <c r="C3539" s="2521"/>
      <c r="D3539" s="2405">
        <v>0</v>
      </c>
      <c r="E3539" s="2612" t="s">
        <v>2632</v>
      </c>
      <c r="F3539" s="2754" t="s">
        <v>2445</v>
      </c>
      <c r="G3539" s="2522">
        <f>G3538</f>
        <v>0</v>
      </c>
      <c r="H3539" s="2517">
        <v>1500</v>
      </c>
      <c r="I3539" s="2517"/>
      <c r="J3539" s="2517">
        <v>0</v>
      </c>
      <c r="K3539" s="2517">
        <v>0</v>
      </c>
      <c r="L3539" s="2517">
        <f t="shared" si="765"/>
        <v>0</v>
      </c>
      <c r="M3539" s="2517">
        <f t="shared" si="765"/>
        <v>0</v>
      </c>
      <c r="N3539" s="2517">
        <f t="shared" si="765"/>
        <v>0</v>
      </c>
      <c r="O3539" s="2517">
        <f t="shared" si="765"/>
        <v>0</v>
      </c>
      <c r="P3539" s="2518"/>
      <c r="Q3539" s="2519"/>
      <c r="R3539" s="2519"/>
      <c r="S3539" s="2519"/>
    </row>
    <row r="3540" spans="1:19" s="2358" customFormat="1" outlineLevel="1">
      <c r="A3540" s="2435">
        <f t="shared" ref="A3540:A3557" si="766">IF(G3540=0,0,1)</f>
        <v>0</v>
      </c>
      <c r="B3540" s="2514" t="s">
        <v>246</v>
      </c>
      <c r="C3540" s="2642"/>
      <c r="D3540" s="2405">
        <v>0</v>
      </c>
      <c r="E3540" s="2612" t="s">
        <v>5931</v>
      </c>
      <c r="F3540" s="2754" t="s">
        <v>2563</v>
      </c>
      <c r="G3540" s="2522">
        <f>G3535*24</f>
        <v>0</v>
      </c>
      <c r="H3540" s="2517">
        <v>40500</v>
      </c>
      <c r="I3540" s="2517"/>
      <c r="J3540" s="2517">
        <v>39758</v>
      </c>
      <c r="K3540" s="2517">
        <v>0</v>
      </c>
      <c r="L3540" s="2517">
        <f t="shared" si="765"/>
        <v>0</v>
      </c>
      <c r="M3540" s="2517">
        <f t="shared" si="765"/>
        <v>0</v>
      </c>
      <c r="N3540" s="2517">
        <f t="shared" si="765"/>
        <v>0</v>
      </c>
      <c r="O3540" s="2517">
        <f t="shared" si="765"/>
        <v>0</v>
      </c>
      <c r="P3540" s="2518"/>
      <c r="Q3540" s="2519"/>
      <c r="R3540" s="2519"/>
      <c r="S3540" s="2519"/>
    </row>
    <row r="3541" spans="1:19" s="2358" customFormat="1" outlineLevel="1">
      <c r="A3541" s="2435">
        <f t="shared" si="766"/>
        <v>0</v>
      </c>
      <c r="B3541" s="2514" t="s">
        <v>1869</v>
      </c>
      <c r="C3541" s="2521"/>
      <c r="D3541" s="2405">
        <v>0</v>
      </c>
      <c r="E3541" s="2612" t="s">
        <v>3489</v>
      </c>
      <c r="F3541" s="2754" t="s">
        <v>2563</v>
      </c>
      <c r="G3541" s="2522">
        <f>G3535*16</f>
        <v>0</v>
      </c>
      <c r="H3541" s="2517">
        <v>1700</v>
      </c>
      <c r="I3541" s="2517"/>
      <c r="J3541" s="2517">
        <v>0</v>
      </c>
      <c r="K3541" s="2517">
        <v>0</v>
      </c>
      <c r="L3541" s="2517">
        <f t="shared" si="765"/>
        <v>0</v>
      </c>
      <c r="M3541" s="2517">
        <f t="shared" si="765"/>
        <v>0</v>
      </c>
      <c r="N3541" s="2517">
        <f t="shared" si="765"/>
        <v>0</v>
      </c>
      <c r="O3541" s="2517">
        <f t="shared" si="765"/>
        <v>0</v>
      </c>
      <c r="P3541" s="2518"/>
      <c r="Q3541" s="2519"/>
      <c r="R3541" s="2519"/>
      <c r="S3541" s="2519"/>
    </row>
    <row r="3542" spans="1:19" s="2358" customFormat="1" outlineLevel="1">
      <c r="A3542" s="2435">
        <f t="shared" si="766"/>
        <v>0</v>
      </c>
      <c r="B3542" s="2514" t="s">
        <v>1513</v>
      </c>
      <c r="C3542" s="2521"/>
      <c r="D3542" s="2405">
        <v>0</v>
      </c>
      <c r="E3542" s="2612" t="s">
        <v>3533</v>
      </c>
      <c r="F3542" s="2754" t="s">
        <v>2538</v>
      </c>
      <c r="G3542" s="2522">
        <f>6*G3535</f>
        <v>0</v>
      </c>
      <c r="H3542" s="2517">
        <v>860</v>
      </c>
      <c r="I3542" s="2517"/>
      <c r="J3542" s="2517">
        <v>0</v>
      </c>
      <c r="K3542" s="2517">
        <v>0</v>
      </c>
      <c r="L3542" s="2517">
        <f t="shared" si="765"/>
        <v>0</v>
      </c>
      <c r="M3542" s="2517">
        <f t="shared" si="765"/>
        <v>0</v>
      </c>
      <c r="N3542" s="2517">
        <f t="shared" si="765"/>
        <v>0</v>
      </c>
      <c r="O3542" s="2517">
        <f t="shared" si="765"/>
        <v>0</v>
      </c>
      <c r="P3542" s="2518"/>
      <c r="Q3542" s="2519"/>
      <c r="R3542" s="2519"/>
      <c r="S3542" s="2519"/>
    </row>
    <row r="3543" spans="1:19" s="2358" customFormat="1" outlineLevel="1">
      <c r="A3543" s="2435">
        <f t="shared" si="766"/>
        <v>0</v>
      </c>
      <c r="B3543" s="2514" t="s">
        <v>816</v>
      </c>
      <c r="C3543" s="2521"/>
      <c r="D3543" s="2405">
        <v>0</v>
      </c>
      <c r="E3543" s="2612" t="s">
        <v>3599</v>
      </c>
      <c r="F3543" s="2754" t="s">
        <v>2563</v>
      </c>
      <c r="G3543" s="2522">
        <f>+G3535*3</f>
        <v>0</v>
      </c>
      <c r="H3543" s="2517">
        <v>17600</v>
      </c>
      <c r="I3543" s="2517"/>
      <c r="J3543" s="2517">
        <v>0</v>
      </c>
      <c r="K3543" s="2517">
        <v>0</v>
      </c>
      <c r="L3543" s="2517">
        <f t="shared" si="765"/>
        <v>0</v>
      </c>
      <c r="M3543" s="2517">
        <f t="shared" si="765"/>
        <v>0</v>
      </c>
      <c r="N3543" s="2517">
        <f t="shared" si="765"/>
        <v>0</v>
      </c>
      <c r="O3543" s="2517">
        <f t="shared" si="765"/>
        <v>0</v>
      </c>
      <c r="P3543" s="2518"/>
      <c r="Q3543" s="2519"/>
      <c r="R3543" s="2519"/>
      <c r="S3543" s="2519"/>
    </row>
    <row r="3544" spans="1:19" s="2358" customFormat="1" outlineLevel="1">
      <c r="A3544" s="2435">
        <f t="shared" si="766"/>
        <v>0</v>
      </c>
      <c r="B3544" s="2514" t="s">
        <v>2147</v>
      </c>
      <c r="C3544" s="2521"/>
      <c r="D3544" s="2405">
        <v>0</v>
      </c>
      <c r="E3544" s="2612" t="s">
        <v>3553</v>
      </c>
      <c r="F3544" s="2754" t="s">
        <v>1827</v>
      </c>
      <c r="G3544" s="2522">
        <f>G3553*10</f>
        <v>0</v>
      </c>
      <c r="H3544" s="2517">
        <v>16100</v>
      </c>
      <c r="I3544" s="2517"/>
      <c r="J3544" s="2517">
        <v>0</v>
      </c>
      <c r="K3544" s="2517">
        <v>0</v>
      </c>
      <c r="L3544" s="2517">
        <f t="shared" si="765"/>
        <v>0</v>
      </c>
      <c r="M3544" s="2517">
        <f t="shared" si="765"/>
        <v>0</v>
      </c>
      <c r="N3544" s="2517">
        <f t="shared" si="765"/>
        <v>0</v>
      </c>
      <c r="O3544" s="2517">
        <f t="shared" si="765"/>
        <v>0</v>
      </c>
      <c r="P3544" s="2518"/>
      <c r="Q3544" s="2519"/>
      <c r="R3544" s="2519"/>
      <c r="S3544" s="2519"/>
    </row>
    <row r="3545" spans="1:19" s="2358" customFormat="1" outlineLevel="1">
      <c r="A3545" s="2435">
        <f t="shared" si="766"/>
        <v>0</v>
      </c>
      <c r="B3545" s="2505" t="s">
        <v>204</v>
      </c>
      <c r="C3545" s="2521"/>
      <c r="D3545" s="2405">
        <v>0</v>
      </c>
      <c r="E3545" s="2612" t="s">
        <v>2996</v>
      </c>
      <c r="F3545" s="2754" t="s">
        <v>2445</v>
      </c>
      <c r="G3545" s="2522">
        <f>G3535*4</f>
        <v>0</v>
      </c>
      <c r="H3545" s="2517">
        <v>34000</v>
      </c>
      <c r="I3545" s="2517"/>
      <c r="J3545" s="2517">
        <v>0</v>
      </c>
      <c r="K3545" s="2517">
        <v>0</v>
      </c>
      <c r="L3545" s="2517">
        <f t="shared" si="765"/>
        <v>0</v>
      </c>
      <c r="M3545" s="2517">
        <f t="shared" si="765"/>
        <v>0</v>
      </c>
      <c r="N3545" s="2517">
        <f t="shared" si="765"/>
        <v>0</v>
      </c>
      <c r="O3545" s="2517">
        <f t="shared" si="765"/>
        <v>0</v>
      </c>
      <c r="P3545" s="2518"/>
      <c r="Q3545" s="2519"/>
      <c r="R3545" s="2519"/>
      <c r="S3545" s="2519"/>
    </row>
    <row r="3546" spans="1:19" s="2358" customFormat="1" outlineLevel="1">
      <c r="A3546" s="2435">
        <f t="shared" si="766"/>
        <v>0</v>
      </c>
      <c r="B3546" s="2514" t="s">
        <v>1619</v>
      </c>
      <c r="C3546" s="2521"/>
      <c r="D3546" s="2405">
        <v>0</v>
      </c>
      <c r="E3546" s="2612" t="s">
        <v>3560</v>
      </c>
      <c r="F3546" s="2754" t="s">
        <v>2563</v>
      </c>
      <c r="G3546" s="2522">
        <f>G3535*6</f>
        <v>0</v>
      </c>
      <c r="H3546" s="2517">
        <v>11400</v>
      </c>
      <c r="I3546" s="2517"/>
      <c r="J3546" s="2517">
        <v>0</v>
      </c>
      <c r="K3546" s="2517">
        <v>0</v>
      </c>
      <c r="L3546" s="2517">
        <f t="shared" si="765"/>
        <v>0</v>
      </c>
      <c r="M3546" s="2517">
        <f t="shared" si="765"/>
        <v>0</v>
      </c>
      <c r="N3546" s="2517">
        <f t="shared" si="765"/>
        <v>0</v>
      </c>
      <c r="O3546" s="2517">
        <f t="shared" si="765"/>
        <v>0</v>
      </c>
      <c r="P3546" s="2518"/>
      <c r="Q3546" s="2519"/>
      <c r="R3546" s="2519"/>
      <c r="S3546" s="2519"/>
    </row>
    <row r="3547" spans="1:19" s="2358" customFormat="1" outlineLevel="1">
      <c r="A3547" s="2435">
        <f t="shared" si="766"/>
        <v>0</v>
      </c>
      <c r="B3547" s="2514" t="s">
        <v>1050</v>
      </c>
      <c r="C3547" s="2521"/>
      <c r="D3547" s="2405">
        <v>0</v>
      </c>
      <c r="E3547" s="2612" t="s">
        <v>3561</v>
      </c>
      <c r="F3547" s="2754" t="s">
        <v>2563</v>
      </c>
      <c r="G3547" s="2522">
        <f>G3535*5</f>
        <v>0</v>
      </c>
      <c r="H3547" s="2517">
        <v>21000</v>
      </c>
      <c r="I3547" s="2517"/>
      <c r="J3547" s="2517">
        <v>0</v>
      </c>
      <c r="K3547" s="2517">
        <v>0</v>
      </c>
      <c r="L3547" s="2517">
        <f t="shared" si="765"/>
        <v>0</v>
      </c>
      <c r="M3547" s="2517">
        <f t="shared" si="765"/>
        <v>0</v>
      </c>
      <c r="N3547" s="2517">
        <f t="shared" si="765"/>
        <v>0</v>
      </c>
      <c r="O3547" s="2517">
        <f t="shared" si="765"/>
        <v>0</v>
      </c>
      <c r="P3547" s="2518"/>
      <c r="Q3547" s="2519"/>
      <c r="R3547" s="2519"/>
      <c r="S3547" s="2519"/>
    </row>
    <row r="3548" spans="1:19" s="2358" customFormat="1" outlineLevel="1">
      <c r="A3548" s="2435">
        <f t="shared" si="766"/>
        <v>0</v>
      </c>
      <c r="B3548" s="2514" t="s">
        <v>726</v>
      </c>
      <c r="C3548" s="2521"/>
      <c r="D3548" s="2405">
        <v>0</v>
      </c>
      <c r="E3548" s="2612" t="s">
        <v>3590</v>
      </c>
      <c r="F3548" s="2754" t="s">
        <v>388</v>
      </c>
      <c r="G3548" s="2522">
        <f>G3535</f>
        <v>0</v>
      </c>
      <c r="H3548" s="2517">
        <v>54100</v>
      </c>
      <c r="I3548" s="2517"/>
      <c r="J3548" s="2517">
        <v>0</v>
      </c>
      <c r="K3548" s="2517">
        <v>0</v>
      </c>
      <c r="L3548" s="2517">
        <f t="shared" si="765"/>
        <v>0</v>
      </c>
      <c r="M3548" s="2517">
        <f t="shared" si="765"/>
        <v>0</v>
      </c>
      <c r="N3548" s="2517">
        <f t="shared" si="765"/>
        <v>0</v>
      </c>
      <c r="O3548" s="2517">
        <f t="shared" si="765"/>
        <v>0</v>
      </c>
      <c r="P3548" s="2518"/>
      <c r="Q3548" s="2519"/>
      <c r="R3548" s="2519"/>
      <c r="S3548" s="2519"/>
    </row>
    <row r="3549" spans="1:19" s="2358" customFormat="1" outlineLevel="1">
      <c r="A3549" s="2435">
        <f t="shared" si="766"/>
        <v>0</v>
      </c>
      <c r="B3549" s="2505" t="s">
        <v>672</v>
      </c>
      <c r="C3549" s="2521"/>
      <c r="D3549" s="2405">
        <v>0</v>
      </c>
      <c r="E3549" s="2612" t="s">
        <v>5863</v>
      </c>
      <c r="F3549" s="2754" t="s">
        <v>3584</v>
      </c>
      <c r="G3549" s="2522">
        <f>G3535</f>
        <v>0</v>
      </c>
      <c r="H3549" s="2517">
        <v>6500</v>
      </c>
      <c r="I3549" s="2517"/>
      <c r="J3549" s="2517">
        <v>0</v>
      </c>
      <c r="K3549" s="2517">
        <v>0</v>
      </c>
      <c r="L3549" s="2517">
        <f t="shared" si="765"/>
        <v>0</v>
      </c>
      <c r="M3549" s="2517">
        <f t="shared" si="765"/>
        <v>0</v>
      </c>
      <c r="N3549" s="2517">
        <f t="shared" si="765"/>
        <v>0</v>
      </c>
      <c r="O3549" s="2517">
        <f t="shared" si="765"/>
        <v>0</v>
      </c>
      <c r="P3549" s="2518"/>
      <c r="Q3549" s="2519"/>
      <c r="R3549" s="2519"/>
      <c r="S3549" s="2519"/>
    </row>
    <row r="3550" spans="1:19" s="2358" customFormat="1" outlineLevel="1">
      <c r="A3550" s="2435">
        <f t="shared" si="766"/>
        <v>0</v>
      </c>
      <c r="B3550" s="2514" t="s">
        <v>2126</v>
      </c>
      <c r="C3550" s="2521"/>
      <c r="D3550" s="2405">
        <v>0</v>
      </c>
      <c r="E3550" s="2612" t="s">
        <v>3591</v>
      </c>
      <c r="F3550" s="2754" t="s">
        <v>2563</v>
      </c>
      <c r="G3550" s="2522">
        <f>G3535</f>
        <v>0</v>
      </c>
      <c r="H3550" s="2517">
        <v>5000</v>
      </c>
      <c r="I3550" s="2517"/>
      <c r="J3550" s="2517">
        <v>0</v>
      </c>
      <c r="K3550" s="2517">
        <v>0</v>
      </c>
      <c r="L3550" s="2517">
        <f t="shared" si="765"/>
        <v>0</v>
      </c>
      <c r="M3550" s="2517">
        <f t="shared" si="765"/>
        <v>0</v>
      </c>
      <c r="N3550" s="2517">
        <f t="shared" si="765"/>
        <v>0</v>
      </c>
      <c r="O3550" s="2517">
        <f t="shared" si="765"/>
        <v>0</v>
      </c>
      <c r="P3550" s="2518"/>
      <c r="Q3550" s="2519"/>
      <c r="R3550" s="2519"/>
      <c r="S3550" s="2519"/>
    </row>
    <row r="3551" spans="1:19" s="2358" customFormat="1" outlineLevel="1">
      <c r="A3551" s="2435">
        <f t="shared" si="766"/>
        <v>0</v>
      </c>
      <c r="B3551" s="2505" t="s">
        <v>959</v>
      </c>
      <c r="C3551" s="2521"/>
      <c r="D3551" s="2405">
        <v>0</v>
      </c>
      <c r="E3551" s="2612" t="s">
        <v>3595</v>
      </c>
      <c r="F3551" s="2754" t="s">
        <v>2563</v>
      </c>
      <c r="G3551" s="2522">
        <f>G3535</f>
        <v>0</v>
      </c>
      <c r="H3551" s="2517">
        <v>5200</v>
      </c>
      <c r="I3551" s="2517"/>
      <c r="J3551" s="2517">
        <v>0</v>
      </c>
      <c r="K3551" s="2517">
        <v>0</v>
      </c>
      <c r="L3551" s="2517">
        <f t="shared" si="765"/>
        <v>0</v>
      </c>
      <c r="M3551" s="2517">
        <f t="shared" si="765"/>
        <v>0</v>
      </c>
      <c r="N3551" s="2517">
        <f t="shared" si="765"/>
        <v>0</v>
      </c>
      <c r="O3551" s="2517">
        <f t="shared" si="765"/>
        <v>0</v>
      </c>
      <c r="P3551" s="2518"/>
      <c r="Q3551" s="2519"/>
      <c r="R3551" s="2519"/>
      <c r="S3551" s="2519"/>
    </row>
    <row r="3552" spans="1:19" s="2358" customFormat="1" outlineLevel="1">
      <c r="A3552" s="2435">
        <f t="shared" si="766"/>
        <v>0</v>
      </c>
      <c r="B3552" s="2505" t="s">
        <v>319</v>
      </c>
      <c r="C3552" s="2521"/>
      <c r="D3552" s="2405">
        <v>0</v>
      </c>
      <c r="E3552" s="2612" t="s">
        <v>5330</v>
      </c>
      <c r="F3552" s="2754" t="s">
        <v>2445</v>
      </c>
      <c r="G3552" s="2522">
        <f>G3535*2</f>
        <v>0</v>
      </c>
      <c r="H3552" s="2517">
        <v>168000</v>
      </c>
      <c r="I3552" s="2517"/>
      <c r="J3552" s="2517">
        <v>0</v>
      </c>
      <c r="K3552" s="2517">
        <v>0</v>
      </c>
      <c r="L3552" s="2517">
        <f t="shared" si="765"/>
        <v>0</v>
      </c>
      <c r="M3552" s="2517">
        <f t="shared" si="765"/>
        <v>0</v>
      </c>
      <c r="N3552" s="2517">
        <f t="shared" si="765"/>
        <v>0</v>
      </c>
      <c r="O3552" s="2517">
        <f t="shared" si="765"/>
        <v>0</v>
      </c>
      <c r="P3552" s="2518"/>
      <c r="Q3552" s="2519"/>
      <c r="R3552" s="2519"/>
      <c r="S3552" s="2519"/>
    </row>
    <row r="3553" spans="1:19" s="2358" customFormat="1" outlineLevel="1">
      <c r="A3553" s="2435">
        <f t="shared" si="766"/>
        <v>0</v>
      </c>
      <c r="B3553" s="2505" t="s">
        <v>1919</v>
      </c>
      <c r="C3553" s="2521"/>
      <c r="D3553" s="2405" t="s">
        <v>5717</v>
      </c>
      <c r="E3553" s="2612" t="s">
        <v>3412</v>
      </c>
      <c r="F3553" s="2754" t="s">
        <v>2563</v>
      </c>
      <c r="G3553" s="2522">
        <f>G3535</f>
        <v>0</v>
      </c>
      <c r="H3553" s="2517">
        <v>845331</v>
      </c>
      <c r="I3553" s="2517"/>
      <c r="J3553" s="2517">
        <v>599038</v>
      </c>
      <c r="K3553" s="2517">
        <v>97369</v>
      </c>
      <c r="L3553" s="2517">
        <f t="shared" si="765"/>
        <v>0</v>
      </c>
      <c r="M3553" s="2517">
        <f t="shared" si="765"/>
        <v>0</v>
      </c>
      <c r="N3553" s="2517">
        <f t="shared" si="765"/>
        <v>0</v>
      </c>
      <c r="O3553" s="2517">
        <f t="shared" si="765"/>
        <v>0</v>
      </c>
      <c r="P3553" s="2518"/>
      <c r="Q3553" s="2519"/>
      <c r="R3553" s="2519"/>
      <c r="S3553" s="2519"/>
    </row>
    <row r="3554" spans="1:19" s="2358" customFormat="1" outlineLevel="1">
      <c r="A3554" s="2435">
        <f t="shared" si="766"/>
        <v>0</v>
      </c>
      <c r="B3554" s="2505" t="s">
        <v>6</v>
      </c>
      <c r="C3554" s="2521"/>
      <c r="D3554" s="2405">
        <v>0</v>
      </c>
      <c r="E3554" s="2612" t="s">
        <v>3585</v>
      </c>
      <c r="F3554" s="2754" t="s">
        <v>5868</v>
      </c>
      <c r="G3554" s="2522">
        <f>G3535*2</f>
        <v>0</v>
      </c>
      <c r="H3554" s="2517">
        <v>45000</v>
      </c>
      <c r="I3554" s="2517"/>
      <c r="J3554" s="2517">
        <v>0</v>
      </c>
      <c r="K3554" s="2517">
        <v>0</v>
      </c>
      <c r="L3554" s="2517">
        <f t="shared" si="765"/>
        <v>0</v>
      </c>
      <c r="M3554" s="2517">
        <f t="shared" si="765"/>
        <v>0</v>
      </c>
      <c r="N3554" s="2517">
        <f t="shared" si="765"/>
        <v>0</v>
      </c>
      <c r="O3554" s="2517">
        <f t="shared" si="765"/>
        <v>0</v>
      </c>
      <c r="P3554" s="2518"/>
      <c r="Q3554" s="2519"/>
      <c r="R3554" s="2519"/>
      <c r="S3554" s="2519"/>
    </row>
    <row r="3555" spans="1:19" s="2358" customFormat="1" outlineLevel="1">
      <c r="A3555" s="2435">
        <f t="shared" si="766"/>
        <v>0</v>
      </c>
      <c r="B3555" s="2505" t="s">
        <v>2145</v>
      </c>
      <c r="C3555" s="2521"/>
      <c r="D3555" s="2405">
        <v>0</v>
      </c>
      <c r="E3555" s="2612" t="s">
        <v>2793</v>
      </c>
      <c r="F3555" s="2754" t="s">
        <v>2538</v>
      </c>
      <c r="G3555" s="2522">
        <f>G3535*4</f>
        <v>0</v>
      </c>
      <c r="H3555" s="2517">
        <v>5000</v>
      </c>
      <c r="I3555" s="2517"/>
      <c r="J3555" s="2517">
        <v>0</v>
      </c>
      <c r="K3555" s="2517">
        <v>0</v>
      </c>
      <c r="L3555" s="2517">
        <f t="shared" si="765"/>
        <v>0</v>
      </c>
      <c r="M3555" s="2517">
        <f t="shared" si="765"/>
        <v>0</v>
      </c>
      <c r="N3555" s="2517">
        <f t="shared" si="765"/>
        <v>0</v>
      </c>
      <c r="O3555" s="2517">
        <f t="shared" si="765"/>
        <v>0</v>
      </c>
      <c r="P3555" s="2518"/>
      <c r="Q3555" s="2519"/>
      <c r="R3555" s="2519"/>
      <c r="S3555" s="2519"/>
    </row>
    <row r="3556" spans="1:19" s="2358" customFormat="1" outlineLevel="1">
      <c r="A3556" s="2435">
        <f t="shared" si="766"/>
        <v>0</v>
      </c>
      <c r="B3556" s="2505" t="s">
        <v>1035</v>
      </c>
      <c r="C3556" s="2521"/>
      <c r="D3556" s="2405">
        <v>0</v>
      </c>
      <c r="E3556" s="2612" t="s">
        <v>2972</v>
      </c>
      <c r="F3556" s="2754" t="s">
        <v>2254</v>
      </c>
      <c r="G3556" s="2523">
        <f>3.77*G3535*2*0.3</f>
        <v>0</v>
      </c>
      <c r="H3556" s="2517">
        <v>31625</v>
      </c>
      <c r="I3556" s="2517"/>
      <c r="J3556" s="2517">
        <v>0</v>
      </c>
      <c r="K3556" s="2517">
        <v>0</v>
      </c>
      <c r="L3556" s="2517">
        <f t="shared" si="765"/>
        <v>0</v>
      </c>
      <c r="M3556" s="2517">
        <f t="shared" si="765"/>
        <v>0</v>
      </c>
      <c r="N3556" s="2517">
        <f t="shared" si="765"/>
        <v>0</v>
      </c>
      <c r="O3556" s="2517">
        <f t="shared" si="765"/>
        <v>0</v>
      </c>
      <c r="P3556" s="2518"/>
      <c r="Q3556" s="2519"/>
      <c r="R3556" s="2519"/>
      <c r="S3556" s="2519"/>
    </row>
    <row r="3557" spans="1:19" s="2358" customFormat="1" outlineLevel="1">
      <c r="A3557" s="2435">
        <f t="shared" si="766"/>
        <v>0</v>
      </c>
      <c r="B3557" s="2505" t="s">
        <v>6329</v>
      </c>
      <c r="C3557" s="2521"/>
      <c r="D3557" s="2405">
        <v>0</v>
      </c>
      <c r="E3557" s="2612" t="s">
        <v>2632</v>
      </c>
      <c r="F3557" s="2754" t="s">
        <v>2445</v>
      </c>
      <c r="G3557" s="2522">
        <f>4*G3535</f>
        <v>0</v>
      </c>
      <c r="H3557" s="2517">
        <v>1500</v>
      </c>
      <c r="I3557" s="2517"/>
      <c r="J3557" s="2517">
        <v>0</v>
      </c>
      <c r="K3557" s="2517">
        <v>0</v>
      </c>
      <c r="L3557" s="2517">
        <f t="shared" si="765"/>
        <v>0</v>
      </c>
      <c r="M3557" s="2517">
        <f t="shared" si="765"/>
        <v>0</v>
      </c>
      <c r="N3557" s="2517">
        <f t="shared" si="765"/>
        <v>0</v>
      </c>
      <c r="O3557" s="2517">
        <f t="shared" si="765"/>
        <v>0</v>
      </c>
      <c r="P3557" s="2518"/>
      <c r="Q3557" s="2519"/>
      <c r="R3557" s="2519"/>
      <c r="S3557" s="2519"/>
    </row>
    <row r="3558" spans="1:19" s="2358" customFormat="1" outlineLevel="1">
      <c r="A3558" s="2435">
        <f>A3384</f>
        <v>0</v>
      </c>
      <c r="B3558" s="2610"/>
      <c r="C3558" s="2825"/>
      <c r="D3558" s="2677"/>
      <c r="E3558" s="2652"/>
      <c r="F3558" s="2890"/>
      <c r="G3558" s="2891"/>
      <c r="H3558" s="2890"/>
      <c r="I3558" s="2890"/>
      <c r="J3558" s="2900" t="s">
        <v>6205</v>
      </c>
      <c r="K3558" s="2900"/>
      <c r="L3558" s="2678">
        <f>SUM(L3403:L3557)</f>
        <v>0</v>
      </c>
      <c r="M3558" s="2678">
        <f>SUM(M3403:M3557)</f>
        <v>0</v>
      </c>
      <c r="N3558" s="2678">
        <f>SUM(N3403:N3557)</f>
        <v>0</v>
      </c>
      <c r="O3558" s="2678">
        <f>SUM(O3403:O3557)</f>
        <v>0</v>
      </c>
      <c r="P3558" s="2821"/>
      <c r="Q3558" s="2519"/>
      <c r="R3558" s="2519"/>
      <c r="S3558" s="2519"/>
    </row>
  </sheetData>
  <autoFilter ref="A26:A3558" xr:uid="{00000000-0009-0000-0000-00000A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filterMode="1">
    <tabColor rgb="FFFFFF00"/>
  </sheetPr>
  <dimension ref="A1:W2930"/>
  <sheetViews>
    <sheetView showZeros="0" topLeftCell="A19" zoomScale="85" zoomScaleNormal="85" workbookViewId="0">
      <selection activeCell="I2552" sqref="I2552"/>
    </sheetView>
  </sheetViews>
  <sheetFormatPr defaultColWidth="8.90625" defaultRowHeight="13.8" outlineLevelRow="1"/>
  <cols>
    <col min="1" max="1" width="6.36328125" style="86" customWidth="1"/>
    <col min="2" max="2" width="11.08984375" style="1075" bestFit="1" customWidth="1"/>
    <col min="3" max="3" width="6.453125" style="1075" customWidth="1"/>
    <col min="4" max="4" width="5.36328125" style="86" customWidth="1"/>
    <col min="5" max="5" width="8.81640625" style="86" customWidth="1"/>
    <col min="6" max="6" width="44.90625" style="87" customWidth="1"/>
    <col min="7" max="7" width="7.36328125" style="86" customWidth="1"/>
    <col min="8" max="8" width="9.54296875" style="1899" customWidth="1"/>
    <col min="9" max="9" width="10.1796875" style="1898" customWidth="1"/>
    <col min="10" max="11" width="9" style="86" customWidth="1"/>
    <col min="12" max="12" width="11.08984375" style="89" customWidth="1"/>
    <col min="13" max="13" width="11.453125" style="967" customWidth="1"/>
    <col min="14" max="14" width="12.453125" style="86" customWidth="1"/>
    <col min="15" max="16" width="10.453125" style="86" customWidth="1"/>
    <col min="17" max="17" width="15.08984375" style="86" customWidth="1"/>
    <col min="18" max="19" width="10.453125" style="86" customWidth="1"/>
    <col min="20" max="20" width="11.90625" style="86" customWidth="1"/>
    <col min="21" max="21" width="14.36328125" style="86" customWidth="1"/>
    <col min="22" max="22" width="8.90625" style="86"/>
    <col min="23" max="23" width="13.08984375" style="86" customWidth="1"/>
    <col min="24" max="16384" width="8.90625" style="86"/>
  </cols>
  <sheetData>
    <row r="1" spans="4:16" hidden="1" outlineLevel="1">
      <c r="I1" s="1899"/>
      <c r="L1" s="86"/>
      <c r="M1" s="89"/>
    </row>
    <row r="2" spans="4:16" hidden="1" outlineLevel="1">
      <c r="F2" s="1287" t="s">
        <v>4441</v>
      </c>
      <c r="G2" s="1288" t="s">
        <v>4442</v>
      </c>
      <c r="H2" s="1900"/>
      <c r="I2" s="1834">
        <v>9</v>
      </c>
      <c r="J2" s="1289" t="s">
        <v>4435</v>
      </c>
      <c r="K2" s="1288" t="s">
        <v>4443</v>
      </c>
      <c r="L2" s="1288"/>
      <c r="M2" s="1289">
        <v>1</v>
      </c>
      <c r="N2" s="1289" t="s">
        <v>4444</v>
      </c>
      <c r="O2" s="1289">
        <v>1</v>
      </c>
      <c r="P2" s="1289" t="s">
        <v>4445</v>
      </c>
    </row>
    <row r="3" spans="4:16" hidden="1" outlineLevel="1">
      <c r="F3" s="1290">
        <v>36</v>
      </c>
      <c r="G3" s="1291" t="s">
        <v>4446</v>
      </c>
      <c r="H3" s="1900"/>
      <c r="I3" s="1835">
        <v>54</v>
      </c>
      <c r="J3" s="1289" t="s">
        <v>1827</v>
      </c>
      <c r="K3" s="1288" t="s">
        <v>4447</v>
      </c>
      <c r="L3" s="1288"/>
      <c r="M3" s="1289">
        <v>0</v>
      </c>
      <c r="N3" s="1289" t="s">
        <v>4448</v>
      </c>
      <c r="O3" s="1292"/>
    </row>
    <row r="4" spans="4:16" hidden="1" outlineLevel="1">
      <c r="F4" s="1290"/>
      <c r="G4" s="1291" t="s">
        <v>4449</v>
      </c>
      <c r="H4" s="1900"/>
      <c r="I4" s="1834">
        <v>3</v>
      </c>
      <c r="J4" s="1289" t="s">
        <v>856</v>
      </c>
      <c r="K4" s="1293" t="s">
        <v>4450</v>
      </c>
      <c r="L4" s="1288"/>
      <c r="M4" s="1289">
        <v>0</v>
      </c>
      <c r="N4" s="1294"/>
      <c r="O4" s="1292"/>
    </row>
    <row r="5" spans="4:16" hidden="1" outlineLevel="1">
      <c r="F5" s="1290"/>
      <c r="G5" s="1295" t="s">
        <v>4451</v>
      </c>
      <c r="H5" s="1834" t="s">
        <v>4452</v>
      </c>
      <c r="I5" s="1834" t="s">
        <v>4453</v>
      </c>
      <c r="J5" s="1295" t="s">
        <v>4454</v>
      </c>
      <c r="K5" s="1295" t="s">
        <v>4455</v>
      </c>
      <c r="L5" s="1289" t="s">
        <v>4453</v>
      </c>
      <c r="M5" s="1295" t="s">
        <v>4456</v>
      </c>
      <c r="N5" s="1296" t="s">
        <v>4457</v>
      </c>
      <c r="O5" s="1292"/>
    </row>
    <row r="6" spans="4:16" ht="15.6" hidden="1" outlineLevel="1">
      <c r="F6" s="1297"/>
      <c r="G6" s="1298">
        <v>18</v>
      </c>
      <c r="H6" s="1900" t="s">
        <v>2057</v>
      </c>
      <c r="I6" s="1836">
        <v>0</v>
      </c>
      <c r="J6" s="1299">
        <f>I6*15</f>
        <v>0</v>
      </c>
      <c r="K6" s="1300" t="s">
        <v>4458</v>
      </c>
      <c r="L6" s="1298">
        <v>0</v>
      </c>
      <c r="M6" s="1301">
        <f>L6*3*15</f>
        <v>0</v>
      </c>
      <c r="N6" s="3146">
        <f>I17+L17</f>
        <v>0</v>
      </c>
      <c r="O6" s="1292"/>
    </row>
    <row r="7" spans="4:16" ht="15.6" hidden="1" outlineLevel="1">
      <c r="D7" s="1302"/>
      <c r="F7" s="1303"/>
      <c r="G7" s="1299" t="s">
        <v>4459</v>
      </c>
      <c r="H7" s="1901" t="s">
        <v>2058</v>
      </c>
      <c r="I7" s="1836"/>
      <c r="J7" s="1299">
        <f>I7*25</f>
        <v>0</v>
      </c>
      <c r="K7" s="1300" t="s">
        <v>4460</v>
      </c>
      <c r="L7" s="1298">
        <v>0</v>
      </c>
      <c r="M7" s="1301">
        <f>L7*3*25</f>
        <v>0</v>
      </c>
      <c r="N7" s="3147"/>
      <c r="O7" s="1292"/>
      <c r="P7" s="1304"/>
    </row>
    <row r="8" spans="4:16" ht="15.6" hidden="1" outlineLevel="1">
      <c r="E8" s="88"/>
      <c r="F8" s="1290"/>
      <c r="G8" s="1298">
        <v>22</v>
      </c>
      <c r="H8" s="1901" t="s">
        <v>4461</v>
      </c>
      <c r="I8" s="1836">
        <v>0</v>
      </c>
      <c r="J8" s="1299">
        <f>I8*37.5</f>
        <v>0</v>
      </c>
      <c r="K8" s="1300" t="s">
        <v>4462</v>
      </c>
      <c r="L8" s="1298">
        <v>0</v>
      </c>
      <c r="M8" s="1301">
        <f>L8*3*37.5</f>
        <v>0</v>
      </c>
      <c r="N8" s="1296" t="s">
        <v>4463</v>
      </c>
      <c r="O8" s="1292"/>
    </row>
    <row r="9" spans="4:16" ht="15.6" hidden="1" outlineLevel="1">
      <c r="E9" s="1302"/>
      <c r="F9" s="1290"/>
      <c r="G9" s="1305"/>
      <c r="H9" s="1901" t="s">
        <v>2059</v>
      </c>
      <c r="I9" s="1836"/>
      <c r="J9" s="1299">
        <f>I9*50</f>
        <v>0</v>
      </c>
      <c r="K9" s="1300" t="s">
        <v>4464</v>
      </c>
      <c r="L9" s="1298">
        <v>1</v>
      </c>
      <c r="M9" s="1301">
        <f>L9*3*50</f>
        <v>150</v>
      </c>
      <c r="N9" s="3146">
        <f>J18+M18</f>
        <v>150</v>
      </c>
      <c r="O9" s="1292"/>
    </row>
    <row r="10" spans="4:16" ht="15.6" hidden="1" outlineLevel="1">
      <c r="E10" s="1302"/>
      <c r="F10" s="1290"/>
      <c r="G10" s="1306"/>
      <c r="H10" s="1902" t="s">
        <v>2060</v>
      </c>
      <c r="I10" s="1836"/>
      <c r="J10" s="1299">
        <f>I10*75</f>
        <v>0</v>
      </c>
      <c r="K10" s="1307" t="s">
        <v>4465</v>
      </c>
      <c r="L10" s="1298"/>
      <c r="M10" s="1301">
        <f>L10*160</f>
        <v>0</v>
      </c>
      <c r="N10" s="3148"/>
      <c r="O10" s="1292"/>
    </row>
    <row r="11" spans="4:16" ht="15.6" hidden="1" outlineLevel="1">
      <c r="E11" s="1302"/>
      <c r="F11" s="1290"/>
      <c r="G11" s="1306"/>
      <c r="H11" s="1902" t="s">
        <v>2061</v>
      </c>
      <c r="I11" s="1836"/>
      <c r="J11" s="1299">
        <f>I11*100</f>
        <v>0</v>
      </c>
      <c r="K11" s="1307" t="s">
        <v>4466</v>
      </c>
      <c r="L11" s="1298"/>
      <c r="M11" s="1301">
        <f>L11*250</f>
        <v>0</v>
      </c>
      <c r="N11" s="3148"/>
      <c r="O11" s="1292"/>
    </row>
    <row r="12" spans="4:16" ht="15.6" hidden="1" outlineLevel="1">
      <c r="E12" s="1302"/>
      <c r="F12" s="1290"/>
      <c r="G12" s="1306"/>
      <c r="H12" s="1903"/>
      <c r="I12" s="1836"/>
      <c r="J12" s="1308"/>
      <c r="K12" s="1307" t="s">
        <v>4467</v>
      </c>
      <c r="L12" s="1298"/>
      <c r="M12" s="1301">
        <f>L12*320</f>
        <v>0</v>
      </c>
      <c r="N12" s="3148"/>
      <c r="O12" s="1292"/>
    </row>
    <row r="13" spans="4:16" ht="15.6" hidden="1" outlineLevel="1">
      <c r="E13" s="1302"/>
      <c r="F13" s="1290"/>
      <c r="G13" s="1306"/>
      <c r="H13" s="1903"/>
      <c r="I13" s="1836"/>
      <c r="J13" s="1308"/>
      <c r="K13" s="1307" t="s">
        <v>4468</v>
      </c>
      <c r="L13" s="1298">
        <v>0</v>
      </c>
      <c r="M13" s="1301">
        <f>L13*400</f>
        <v>0</v>
      </c>
      <c r="N13" s="3148"/>
      <c r="O13" s="1292"/>
    </row>
    <row r="14" spans="4:16" ht="15.6" hidden="1" outlineLevel="1">
      <c r="E14" s="1302"/>
      <c r="F14" s="1290"/>
      <c r="G14" s="1306"/>
      <c r="H14" s="1903"/>
      <c r="I14" s="1836"/>
      <c r="J14" s="1308"/>
      <c r="K14" s="1307" t="s">
        <v>4469</v>
      </c>
      <c r="L14" s="1298">
        <v>0</v>
      </c>
      <c r="M14" s="1301">
        <f>L14*560</f>
        <v>0</v>
      </c>
      <c r="N14" s="3148"/>
      <c r="O14" s="1292"/>
    </row>
    <row r="15" spans="4:16" ht="15.6" hidden="1" outlineLevel="1">
      <c r="E15" s="1302"/>
      <c r="F15" s="1290"/>
      <c r="G15" s="1306"/>
      <c r="H15" s="1903"/>
      <c r="I15" s="1836"/>
      <c r="J15" s="1308"/>
      <c r="K15" s="1307" t="s">
        <v>4470</v>
      </c>
      <c r="L15" s="1298">
        <v>0</v>
      </c>
      <c r="M15" s="1301">
        <f>L15*630</f>
        <v>0</v>
      </c>
      <c r="N15" s="3148"/>
      <c r="O15" s="1292"/>
    </row>
    <row r="16" spans="4:16" ht="15.6" hidden="1" outlineLevel="1">
      <c r="E16" s="1302"/>
      <c r="F16" s="1290"/>
      <c r="G16" s="1309"/>
      <c r="H16" s="1902"/>
      <c r="I16" s="1836"/>
      <c r="J16" s="1308"/>
      <c r="K16" s="1310">
        <v>1000</v>
      </c>
      <c r="L16" s="1298">
        <v>0</v>
      </c>
      <c r="M16" s="1301">
        <f>L16*1000</f>
        <v>0</v>
      </c>
      <c r="N16" s="3149"/>
      <c r="O16" s="1292"/>
    </row>
    <row r="17" spans="1:23" ht="15.6" hidden="1" outlineLevel="1">
      <c r="E17" s="86">
        <f>chitiet!G5</f>
        <v>3</v>
      </c>
      <c r="F17" s="1290"/>
      <c r="G17" s="1311"/>
      <c r="H17" s="1902"/>
      <c r="I17" s="1836"/>
      <c r="J17" s="1312"/>
      <c r="K17" s="1313">
        <v>2000</v>
      </c>
      <c r="L17" s="1298">
        <v>0</v>
      </c>
      <c r="M17" s="1301">
        <f>L17*2000</f>
        <v>0</v>
      </c>
      <c r="N17" s="3147"/>
      <c r="O17" s="1292"/>
    </row>
    <row r="18" spans="1:23" hidden="1" outlineLevel="1">
      <c r="G18" s="1314"/>
      <c r="H18" s="1904"/>
      <c r="I18" s="1837"/>
      <c r="J18" s="1315">
        <f>SUM(J6:J11)</f>
        <v>0</v>
      </c>
      <c r="K18" s="1316"/>
      <c r="L18" s="1317"/>
      <c r="M18" s="1315">
        <f>SUM(M6:M17)</f>
        <v>150</v>
      </c>
      <c r="N18" s="1318"/>
      <c r="O18" s="1292"/>
    </row>
    <row r="19" spans="1:23" s="1083" customFormat="1" ht="42.75" customHeight="1" collapsed="1">
      <c r="A19" s="1083" t="s">
        <v>1016</v>
      </c>
      <c r="B19" s="1319"/>
      <c r="C19" s="1319"/>
      <c r="D19" s="1320" t="s">
        <v>4848</v>
      </c>
      <c r="E19" s="982"/>
      <c r="F19" s="982"/>
      <c r="G19" s="974"/>
      <c r="H19" s="1838"/>
      <c r="I19" s="1838"/>
      <c r="J19" s="974"/>
      <c r="K19" s="974"/>
      <c r="L19" s="982"/>
      <c r="M19" s="975"/>
    </row>
    <row r="20" spans="1:23" s="972" customFormat="1" ht="24" customHeight="1">
      <c r="A20" s="972">
        <v>1</v>
      </c>
      <c r="B20" s="1074"/>
      <c r="C20" s="1074"/>
      <c r="D20" s="1280" t="str">
        <f>"Công trình: "&amp;WORD!AB2</f>
        <v>Công trình: Đường dây trung thế và TBA 3P-1250kVA Trang trại tổng hợp Nguyễn Đăng Nam</v>
      </c>
      <c r="E20" s="973"/>
      <c r="F20" s="973"/>
      <c r="G20" s="973"/>
      <c r="H20" s="1839"/>
      <c r="I20" s="1839"/>
      <c r="J20" s="973"/>
      <c r="K20" s="973"/>
      <c r="L20" s="973"/>
      <c r="M20" s="975"/>
    </row>
    <row r="21" spans="1:23" s="972" customFormat="1" ht="21" customHeight="1">
      <c r="A21" s="976"/>
      <c r="B21" s="1074"/>
      <c r="C21" s="1074"/>
      <c r="D21" s="1281" t="str">
        <f>"Địa điểm: "&amp;WORD!AD2</f>
        <v>Địa điểm: Xã Suối Cao - Huyện Xuân Lộc - Tỉnh Đồng Nai</v>
      </c>
      <c r="E21" s="977"/>
      <c r="F21" s="977"/>
      <c r="G21" s="977"/>
      <c r="H21" s="1840"/>
      <c r="I21" s="1840"/>
      <c r="J21" s="977"/>
      <c r="K21" s="977"/>
      <c r="L21" s="977"/>
      <c r="M21" s="978"/>
      <c r="N21" s="979"/>
      <c r="O21" s="979"/>
      <c r="P21" s="979"/>
      <c r="Q21" s="979"/>
      <c r="R21" s="979"/>
      <c r="S21" s="979"/>
      <c r="T21" s="979"/>
      <c r="U21" s="979"/>
      <c r="V21" s="979"/>
    </row>
    <row r="22" spans="1:23" s="1083" customFormat="1" ht="27" customHeight="1">
      <c r="A22" s="1153"/>
      <c r="B22" s="1324" t="s">
        <v>2290</v>
      </c>
      <c r="C22" s="1324"/>
      <c r="D22" s="3150" t="s">
        <v>1712</v>
      </c>
      <c r="E22" s="3150" t="s">
        <v>2605</v>
      </c>
      <c r="F22" s="3150" t="s">
        <v>2606</v>
      </c>
      <c r="G22" s="3150" t="s">
        <v>2601</v>
      </c>
      <c r="H22" s="1841" t="s">
        <v>4312</v>
      </c>
      <c r="I22" s="1842"/>
      <c r="J22" s="1066"/>
      <c r="K22" s="1067"/>
      <c r="L22" s="3152" t="s">
        <v>2607</v>
      </c>
      <c r="M22" s="975"/>
    </row>
    <row r="23" spans="1:23" s="1083" customFormat="1" ht="27" customHeight="1">
      <c r="A23" s="1153"/>
      <c r="B23" s="1324"/>
      <c r="C23" s="1324"/>
      <c r="D23" s="3151"/>
      <c r="E23" s="3151"/>
      <c r="F23" s="3151"/>
      <c r="G23" s="3151"/>
      <c r="H23" s="1041" t="s">
        <v>4311</v>
      </c>
      <c r="I23" s="1041" t="s">
        <v>4308</v>
      </c>
      <c r="J23" s="1068" t="s">
        <v>4309</v>
      </c>
      <c r="K23" s="1068" t="s">
        <v>4310</v>
      </c>
      <c r="L23" s="3153"/>
      <c r="M23" s="975">
        <v>1250</v>
      </c>
      <c r="N23" s="1083" t="s">
        <v>512</v>
      </c>
    </row>
    <row r="24" spans="1:23" s="1083" customFormat="1" ht="25.2" customHeight="1">
      <c r="A24" s="1153" t="s">
        <v>512</v>
      </c>
      <c r="B24" s="1324"/>
      <c r="C24" s="1324"/>
      <c r="D24" s="1156"/>
      <c r="E24" s="1157"/>
      <c r="F24" s="1424" t="s">
        <v>3690</v>
      </c>
      <c r="G24" s="1159"/>
      <c r="H24" s="1843"/>
      <c r="I24" s="1843"/>
      <c r="J24" s="1159"/>
      <c r="K24" s="1159"/>
      <c r="L24" s="1160"/>
      <c r="M24" s="1068" t="s">
        <v>4378</v>
      </c>
      <c r="N24" s="1175"/>
      <c r="O24" s="1175"/>
      <c r="P24" s="1175"/>
      <c r="Q24" s="1175"/>
      <c r="R24" s="1175"/>
      <c r="S24" s="1175"/>
      <c r="T24" s="1175"/>
      <c r="U24" s="1175"/>
      <c r="V24" s="1175"/>
    </row>
    <row r="25" spans="1:23" s="1083" customFormat="1" ht="25.2" hidden="1" customHeight="1">
      <c r="A25" s="1153">
        <f>IF(I25&gt;0,1,0)</f>
        <v>0</v>
      </c>
      <c r="B25" s="1325" t="s">
        <v>822</v>
      </c>
      <c r="C25" s="1325"/>
      <c r="D25" s="1090">
        <f>IF(H25&gt;0,1,0)</f>
        <v>0</v>
      </c>
      <c r="E25" s="1079" t="str">
        <f>VLOOKUP($B25,DG!A:D,DG!$B$2,)</f>
        <v>01.1161</v>
      </c>
      <c r="F25" s="1080" t="str">
        <f>VLOOKUP($B25,DG!A:D,DG!$C$2,)</f>
        <v>Máy biến áp 12,7/0,22-0,44kV  15kVA</v>
      </c>
      <c r="G25" s="1079" t="str">
        <f>VLOOKUP($B25,DG!A:D,DG!$D$2,)</f>
        <v>máy</v>
      </c>
      <c r="H25" s="1844">
        <f>I6</f>
        <v>0</v>
      </c>
      <c r="I25" s="1259">
        <f>IF(M25=$M$23,H25+J25-K25,0)</f>
        <v>0</v>
      </c>
      <c r="J25" s="1108"/>
      <c r="K25" s="1108"/>
      <c r="L25" s="1176"/>
      <c r="M25" s="978">
        <v>15</v>
      </c>
      <c r="N25" s="1175"/>
      <c r="O25" s="1175"/>
      <c r="P25" s="1175"/>
      <c r="Q25" s="1175"/>
      <c r="R25" s="1175"/>
      <c r="S25" s="1175"/>
      <c r="T25" s="1175"/>
      <c r="U25" s="1175"/>
      <c r="V25" s="1175"/>
      <c r="W25" s="1175"/>
    </row>
    <row r="26" spans="1:23" s="1083" customFormat="1" ht="25.2" hidden="1" customHeight="1">
      <c r="A26" s="1153">
        <f t="shared" ref="A26:A89" si="0">IF(I26&gt;0,1,0)</f>
        <v>0</v>
      </c>
      <c r="B26" s="1325" t="s">
        <v>1655</v>
      </c>
      <c r="C26" s="1325"/>
      <c r="D26" s="1090">
        <f t="shared" ref="D26:D32" si="1">IF(H26&gt;0,D25+1,D25)</f>
        <v>0</v>
      </c>
      <c r="E26" s="1079" t="str">
        <f>VLOOKUP($B26,DG!A:D,DG!$B$2,)</f>
        <v>02.3155</v>
      </c>
      <c r="F26" s="1080" t="str">
        <f>VLOOKUP($B26,DG!A:D,DG!$C$2,)</f>
        <v>FCO 27kV - 100A</v>
      </c>
      <c r="G26" s="1079" t="str">
        <f>VLOOKUP($B26,DG!A:D,DG!$D$2,)</f>
        <v>cái</v>
      </c>
      <c r="H26" s="1167">
        <f>+H25</f>
        <v>0</v>
      </c>
      <c r="I26" s="1259">
        <f t="shared" ref="I26:I89" si="2">IF(M26=$M$23,H26+J26-K26,0)</f>
        <v>0</v>
      </c>
      <c r="J26" s="1108"/>
      <c r="K26" s="1131"/>
      <c r="L26" s="1110"/>
      <c r="M26" s="978">
        <v>15</v>
      </c>
      <c r="N26" s="1175"/>
      <c r="O26" s="1175"/>
      <c r="P26" s="1175"/>
      <c r="Q26" s="1175"/>
      <c r="R26" s="1175"/>
      <c r="S26" s="1175"/>
      <c r="T26" s="1175"/>
      <c r="U26" s="1175"/>
      <c r="V26" s="1175"/>
      <c r="W26" s="1175"/>
    </row>
    <row r="27" spans="1:23" s="1083" customFormat="1" ht="25.2" hidden="1" customHeight="1">
      <c r="A27" s="1153">
        <f t="shared" si="0"/>
        <v>0</v>
      </c>
      <c r="B27" s="1324" t="s">
        <v>888</v>
      </c>
      <c r="C27" s="1324"/>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8">
        <v>15</v>
      </c>
      <c r="N27" s="1099"/>
    </row>
    <row r="28" spans="1:23" s="1083" customFormat="1" ht="25.2" hidden="1" customHeight="1">
      <c r="A28" s="1153">
        <f t="shared" si="0"/>
        <v>0</v>
      </c>
      <c r="B28" s="1324" t="s">
        <v>1376</v>
      </c>
      <c r="C28" s="1324"/>
      <c r="D28" s="1090">
        <f t="shared" si="1"/>
        <v>0</v>
      </c>
      <c r="E28" s="1079" t="str">
        <f>VLOOKUP($B28,DG!A:D,DG!$B$2,)</f>
        <v>02.5114</v>
      </c>
      <c r="F28" s="1080" t="str">
        <f>VLOOKUP($B28,DG!A:D,DG!$C$2,)</f>
        <v>Chống sét van LA-18KV-10KA</v>
      </c>
      <c r="G28" s="1079" t="str">
        <f>VLOOKUP($B28,DG!A:D,DG!$D$2,)</f>
        <v>cái</v>
      </c>
      <c r="H28" s="1167">
        <f>H26</f>
        <v>0</v>
      </c>
      <c r="I28" s="1259">
        <f t="shared" si="2"/>
        <v>0</v>
      </c>
      <c r="J28" s="1108"/>
      <c r="K28" s="1131"/>
      <c r="L28" s="1110"/>
      <c r="M28" s="978">
        <v>15</v>
      </c>
      <c r="N28" s="1099"/>
    </row>
    <row r="29" spans="1:23" s="1083" customFormat="1" ht="25.2" hidden="1" customHeight="1">
      <c r="A29" s="1153">
        <f t="shared" si="0"/>
        <v>0</v>
      </c>
      <c r="B29" s="1326" t="s">
        <v>81</v>
      </c>
      <c r="C29" s="1326"/>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8">
        <v>15</v>
      </c>
      <c r="N29" s="1099"/>
    </row>
    <row r="30" spans="1:23" s="1083" customFormat="1" ht="25.2" hidden="1" customHeight="1">
      <c r="A30" s="1153">
        <f t="shared" si="0"/>
        <v>0</v>
      </c>
      <c r="B30" s="1154" t="s">
        <v>2199</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2609</v>
      </c>
      <c r="M30" s="978">
        <v>15</v>
      </c>
      <c r="N30" s="1177"/>
    </row>
    <row r="31" spans="1:23" s="1083" customFormat="1" ht="25.2" hidden="1" customHeight="1">
      <c r="A31" s="1153">
        <f t="shared" si="0"/>
        <v>0</v>
      </c>
      <c r="B31" s="1324" t="s">
        <v>199</v>
      </c>
      <c r="C31" s="1324"/>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2609</v>
      </c>
      <c r="M31" s="978">
        <v>15</v>
      </c>
      <c r="N31" s="1177"/>
    </row>
    <row r="32" spans="1:23" s="1083" customFormat="1" ht="25.2" hidden="1" customHeight="1">
      <c r="A32" s="1153">
        <f t="shared" si="0"/>
        <v>0</v>
      </c>
      <c r="B32" s="1324" t="s">
        <v>200</v>
      </c>
      <c r="C32" s="1324"/>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2609</v>
      </c>
      <c r="M32" s="978">
        <v>15</v>
      </c>
      <c r="N32" s="1177"/>
    </row>
    <row r="33" spans="1:14" s="1083" customFormat="1" ht="25.2" hidden="1" customHeight="1">
      <c r="A33" s="1153">
        <f t="shared" si="0"/>
        <v>0</v>
      </c>
      <c r="B33" s="1324"/>
      <c r="C33" s="1324"/>
      <c r="D33" s="1107"/>
      <c r="E33" s="1179"/>
      <c r="F33" s="1180"/>
      <c r="G33" s="1107"/>
      <c r="H33" s="1202"/>
      <c r="I33" s="1259">
        <f t="shared" si="2"/>
        <v>0</v>
      </c>
      <c r="J33" s="1160"/>
      <c r="K33" s="1107"/>
      <c r="L33" s="1107"/>
      <c r="M33" s="978">
        <v>15</v>
      </c>
      <c r="N33" s="1177"/>
    </row>
    <row r="34" spans="1:14" s="1083" customFormat="1" ht="25.2" hidden="1" customHeight="1">
      <c r="A34" s="1153">
        <f t="shared" si="0"/>
        <v>0</v>
      </c>
      <c r="B34" s="1324"/>
      <c r="C34" s="1324"/>
      <c r="D34" s="1181"/>
      <c r="E34" s="1182"/>
      <c r="F34" s="1158" t="s">
        <v>3691</v>
      </c>
      <c r="G34" s="1069"/>
      <c r="H34" s="1843"/>
      <c r="I34" s="1259">
        <f t="shared" si="2"/>
        <v>0</v>
      </c>
      <c r="J34" s="1069"/>
      <c r="K34" s="1069"/>
      <c r="L34" s="1107"/>
      <c r="M34" s="978">
        <v>15</v>
      </c>
      <c r="N34" s="1177"/>
    </row>
    <row r="35" spans="1:14" s="1083" customFormat="1" ht="25.2" hidden="1" customHeight="1">
      <c r="A35" s="1153">
        <f t="shared" si="0"/>
        <v>0</v>
      </c>
      <c r="B35" s="1324" t="s">
        <v>1613</v>
      </c>
      <c r="C35" s="1324"/>
      <c r="D35" s="1183">
        <f>IF(H36&gt;0,1,0)</f>
        <v>0</v>
      </c>
      <c r="E35" s="1184"/>
      <c r="F35" s="1080" t="str">
        <f>VLOOKUP($B35,DG!A:D,DG!$C$2,)</f>
        <v>Boulon 16x300+ 2 long đền vuông D18-50x50x3/Zn</v>
      </c>
      <c r="G35" s="1079" t="str">
        <f>VLOOKUP($B35,DG!A:D,DG!$D$2,)</f>
        <v>bộ</v>
      </c>
      <c r="H35" s="1845">
        <f>H25*2</f>
        <v>0</v>
      </c>
      <c r="I35" s="1259">
        <f t="shared" si="2"/>
        <v>0</v>
      </c>
      <c r="J35" s="1108"/>
      <c r="K35" s="1108"/>
      <c r="L35" s="1176"/>
      <c r="M35" s="978">
        <v>15</v>
      </c>
      <c r="N35" s="1177"/>
    </row>
    <row r="36" spans="1:14" s="1083" customFormat="1" ht="25.2" hidden="1" customHeight="1">
      <c r="A36" s="1153">
        <f t="shared" si="0"/>
        <v>0</v>
      </c>
      <c r="B36" s="1324"/>
      <c r="C36" s="1324"/>
      <c r="D36" s="1078">
        <f>IF(H36&gt;0,D35+1,D35)</f>
        <v>0</v>
      </c>
      <c r="E36" s="1185"/>
      <c r="F36" s="1186" t="s">
        <v>3692</v>
      </c>
      <c r="G36" s="1166" t="s">
        <v>2391</v>
      </c>
      <c r="H36" s="1845">
        <f>H25*0</f>
        <v>0</v>
      </c>
      <c r="I36" s="1259">
        <f t="shared" si="2"/>
        <v>0</v>
      </c>
      <c r="J36" s="1131"/>
      <c r="K36" s="1131"/>
      <c r="L36" s="1110"/>
      <c r="M36" s="978">
        <v>15</v>
      </c>
    </row>
    <row r="37" spans="1:14" s="1083" customFormat="1" ht="25.2" hidden="1" customHeight="1">
      <c r="A37" s="1153">
        <f t="shared" si="0"/>
        <v>0</v>
      </c>
      <c r="B37" s="1324"/>
      <c r="C37" s="1324"/>
      <c r="D37" s="1166"/>
      <c r="E37" s="1185"/>
      <c r="F37" s="1364" t="s">
        <v>2285</v>
      </c>
      <c r="G37" s="1110"/>
      <c r="H37" s="1167"/>
      <c r="I37" s="1259">
        <f t="shared" si="2"/>
        <v>0</v>
      </c>
      <c r="J37" s="1131"/>
      <c r="K37" s="1131"/>
      <c r="L37" s="1110"/>
      <c r="M37" s="978">
        <v>15</v>
      </c>
      <c r="N37" s="1187"/>
    </row>
    <row r="38" spans="1:14" s="1083" customFormat="1" ht="25.2"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8">
        <v>15</v>
      </c>
      <c r="N38" s="1187"/>
    </row>
    <row r="39" spans="1:14" s="1083" customFormat="1" ht="25.2" hidden="1" customHeight="1">
      <c r="A39" s="1153">
        <f t="shared" si="0"/>
        <v>0</v>
      </c>
      <c r="B39" s="1154" t="s">
        <v>1818</v>
      </c>
      <c r="C39" s="1154"/>
      <c r="D39" s="1110"/>
      <c r="E39" s="1188"/>
      <c r="F39" s="1080" t="str">
        <f>VLOOKUP($B39,DG!A:D,DG!$C$2,)</f>
        <v>Vật liệu dựng trụ</v>
      </c>
      <c r="G39" s="1079" t="str">
        <f>VLOOKUP($B39,DG!A:D,DG!$D$2,)</f>
        <v>trụ</v>
      </c>
      <c r="H39" s="1167">
        <f>H38</f>
        <v>0</v>
      </c>
      <c r="I39" s="1259">
        <f t="shared" si="2"/>
        <v>0</v>
      </c>
      <c r="J39" s="1108"/>
      <c r="K39" s="1108"/>
      <c r="L39" s="1110"/>
      <c r="M39" s="978">
        <v>15</v>
      </c>
      <c r="N39" s="1187"/>
    </row>
    <row r="40" spans="1:14" s="1083" customFormat="1" ht="25.2" hidden="1" customHeight="1">
      <c r="A40" s="1153">
        <f t="shared" si="0"/>
        <v>0</v>
      </c>
      <c r="B40" s="1154" t="s">
        <v>2132</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8">
        <v>15</v>
      </c>
      <c r="N40" s="1187"/>
    </row>
    <row r="41" spans="1:14" s="1083" customFormat="1" ht="25.2" hidden="1" customHeight="1">
      <c r="A41" s="1153">
        <f t="shared" si="0"/>
        <v>0</v>
      </c>
      <c r="B41" s="1324"/>
      <c r="C41" s="1324"/>
      <c r="D41" s="1078">
        <f>IF(H41&gt;0,D36+1,D36)</f>
        <v>0</v>
      </c>
      <c r="E41" s="1185"/>
      <c r="F41" s="1186" t="s">
        <v>2358</v>
      </c>
      <c r="G41" s="1166" t="s">
        <v>2391</v>
      </c>
      <c r="H41" s="1845">
        <f>H36</f>
        <v>0</v>
      </c>
      <c r="I41" s="1259">
        <f t="shared" si="2"/>
        <v>0</v>
      </c>
      <c r="J41" s="1131"/>
      <c r="K41" s="1131"/>
      <c r="L41" s="1110"/>
      <c r="M41" s="978">
        <v>15</v>
      </c>
    </row>
    <row r="42" spans="1:14" s="1083" customFormat="1" ht="25.2" hidden="1" customHeight="1">
      <c r="A42" s="1153">
        <f t="shared" si="0"/>
        <v>0</v>
      </c>
      <c r="B42" s="1324"/>
      <c r="C42" s="1324"/>
      <c r="D42" s="1166"/>
      <c r="E42" s="1185"/>
      <c r="F42" s="1364" t="s">
        <v>2285</v>
      </c>
      <c r="G42" s="1110"/>
      <c r="H42" s="1167"/>
      <c r="I42" s="1259">
        <f t="shared" si="2"/>
        <v>0</v>
      </c>
      <c r="J42" s="1131"/>
      <c r="K42" s="1131"/>
      <c r="L42" s="1110"/>
      <c r="M42" s="978">
        <v>15</v>
      </c>
      <c r="N42" s="1187"/>
    </row>
    <row r="43" spans="1:14" s="1083" customFormat="1" ht="25.2" hidden="1" customHeight="1">
      <c r="A43" s="1153">
        <f t="shared" si="0"/>
        <v>0</v>
      </c>
      <c r="B43" s="1331" t="s">
        <v>636</v>
      </c>
      <c r="C43" s="1331"/>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8">
        <v>15</v>
      </c>
      <c r="N43" s="1187"/>
    </row>
    <row r="44" spans="1:14" s="1083" customFormat="1" ht="25.2" hidden="1" customHeight="1">
      <c r="A44" s="1153">
        <f t="shared" si="0"/>
        <v>0</v>
      </c>
      <c r="B44" s="1331" t="s">
        <v>566</v>
      </c>
      <c r="C44" s="1331"/>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8">
        <v>15</v>
      </c>
      <c r="N44" s="1187"/>
    </row>
    <row r="45" spans="1:14" s="1083" customFormat="1" ht="25.2" hidden="1" customHeight="1">
      <c r="A45" s="1153">
        <f t="shared" si="0"/>
        <v>0</v>
      </c>
      <c r="B45" s="1331" t="s">
        <v>639</v>
      </c>
      <c r="C45" s="1331"/>
      <c r="D45" s="1110"/>
      <c r="E45" s="1079" t="str">
        <f>VLOOKUP($B45,DG!A:D,DG!$B$2,)</f>
        <v>03.1013</v>
      </c>
      <c r="F45" s="1080" t="str">
        <f>VLOOKUP($B45,DG!A:D,DG!$C$2,)</f>
        <v>Đào hố móng đất cấp 3 sâu &gt;1m</v>
      </c>
      <c r="G45" s="1079" t="str">
        <f>VLOOKUP($B45,DG!A:D,DG!$D$2,)</f>
        <v>m3</v>
      </c>
      <c r="H45" s="1167">
        <f>H41*1.45</f>
        <v>0</v>
      </c>
      <c r="I45" s="1259">
        <f t="shared" si="2"/>
        <v>0</v>
      </c>
      <c r="J45" s="1108"/>
      <c r="K45" s="1108"/>
      <c r="L45" s="1110"/>
      <c r="M45" s="978">
        <v>15</v>
      </c>
      <c r="N45" s="1187"/>
    </row>
    <row r="46" spans="1:14" s="1083" customFormat="1" ht="25.2" hidden="1" customHeight="1">
      <c r="A46" s="1153">
        <f t="shared" si="0"/>
        <v>0</v>
      </c>
      <c r="B46" s="1331" t="s">
        <v>21</v>
      </c>
      <c r="C46" s="1331"/>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8">
        <v>15</v>
      </c>
      <c r="N46" s="1187"/>
    </row>
    <row r="47" spans="1:14" s="1083" customFormat="1" ht="25.2" hidden="1" customHeight="1">
      <c r="A47" s="1153">
        <f t="shared" si="0"/>
        <v>0</v>
      </c>
      <c r="B47" s="1324"/>
      <c r="C47" s="1324"/>
      <c r="D47" s="1078">
        <f>IF(H47&gt;0,D41+1,D41)</f>
        <v>0</v>
      </c>
      <c r="E47" s="1185"/>
      <c r="F47" s="1186" t="s">
        <v>3693</v>
      </c>
      <c r="G47" s="1166" t="s">
        <v>2391</v>
      </c>
      <c r="H47" s="1845">
        <f>SUM(H35:H35)</f>
        <v>0</v>
      </c>
      <c r="I47" s="1259">
        <f t="shared" si="2"/>
        <v>0</v>
      </c>
      <c r="J47" s="1131"/>
      <c r="K47" s="1131"/>
      <c r="L47" s="1110"/>
      <c r="M47" s="978">
        <v>15</v>
      </c>
    </row>
    <row r="48" spans="1:14" s="1083" customFormat="1" ht="25.2" hidden="1" customHeight="1">
      <c r="A48" s="1153">
        <f t="shared" si="0"/>
        <v>0</v>
      </c>
      <c r="B48" s="1324"/>
      <c r="C48" s="1324"/>
      <c r="D48" s="1166"/>
      <c r="E48" s="1185"/>
      <c r="F48" s="1364" t="s">
        <v>2285</v>
      </c>
      <c r="G48" s="1110"/>
      <c r="H48" s="1167"/>
      <c r="I48" s="1259">
        <f t="shared" si="2"/>
        <v>0</v>
      </c>
      <c r="J48" s="1131"/>
      <c r="K48" s="1131"/>
      <c r="L48" s="1110"/>
      <c r="M48" s="978">
        <v>15</v>
      </c>
      <c r="N48" s="1187"/>
    </row>
    <row r="49" spans="1:14" s="1083" customFormat="1" ht="25.2" hidden="1" customHeight="1">
      <c r="A49" s="1153">
        <f t="shared" si="0"/>
        <v>0</v>
      </c>
      <c r="B49" s="1324" t="s">
        <v>989</v>
      </c>
      <c r="C49" s="1324"/>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8">
        <v>15</v>
      </c>
      <c r="N49" s="1187"/>
    </row>
    <row r="50" spans="1:14" s="1083" customFormat="1" ht="25.2" hidden="1" customHeight="1">
      <c r="A50" s="1153">
        <f t="shared" si="0"/>
        <v>0</v>
      </c>
      <c r="B50" s="1324" t="s">
        <v>1613</v>
      </c>
      <c r="C50" s="1324"/>
      <c r="D50" s="1110"/>
      <c r="E50" s="1188"/>
      <c r="F50" s="1080" t="str">
        <f>VLOOKUP($B50,DG!A:D,DG!$C$2,)</f>
        <v>Boulon 16x300+ 2 long đền vuông D18-50x50x3/Zn</v>
      </c>
      <c r="G50" s="1079" t="str">
        <f>VLOOKUP($B50,DG!A:D,DG!$D$2,)</f>
        <v>bộ</v>
      </c>
      <c r="H50" s="1167">
        <f>2*H47</f>
        <v>0</v>
      </c>
      <c r="I50" s="1259">
        <f t="shared" si="2"/>
        <v>0</v>
      </c>
      <c r="J50" s="1108"/>
      <c r="K50" s="1108"/>
      <c r="L50" s="1110"/>
      <c r="M50" s="978">
        <v>15</v>
      </c>
      <c r="N50" s="1187"/>
    </row>
    <row r="51" spans="1:14" s="1083" customFormat="1" ht="25.2" hidden="1" customHeight="1">
      <c r="A51" s="1153">
        <f t="shared" si="0"/>
        <v>0</v>
      </c>
      <c r="B51" s="1324" t="s">
        <v>701</v>
      </c>
      <c r="C51" s="1324"/>
      <c r="D51" s="1110"/>
      <c r="E51" s="1188"/>
      <c r="F51" s="1080" t="str">
        <f>VLOOKUP($B51,DG!A:D,DG!$C$2,)</f>
        <v>Boulon 12x50+ 2 long đền vuông D14-50x50x3/Zn</v>
      </c>
      <c r="G51" s="1079" t="str">
        <f>VLOOKUP($B51,DG!A:D,DG!$D$2,)</f>
        <v>bộ</v>
      </c>
      <c r="H51" s="1167">
        <f>2*H47</f>
        <v>0</v>
      </c>
      <c r="I51" s="1259">
        <f t="shared" si="2"/>
        <v>0</v>
      </c>
      <c r="J51" s="1108"/>
      <c r="K51" s="1108"/>
      <c r="L51" s="1110"/>
      <c r="M51" s="978">
        <v>15</v>
      </c>
      <c r="N51" s="1187"/>
    </row>
    <row r="52" spans="1:14" s="1083" customFormat="1" ht="25.2" hidden="1" customHeight="1">
      <c r="A52" s="1153">
        <f t="shared" si="0"/>
        <v>0</v>
      </c>
      <c r="B52" s="1324"/>
      <c r="C52" s="1324"/>
      <c r="D52" s="1078">
        <f>IF(H52&gt;0,D47+1,D47)</f>
        <v>0</v>
      </c>
      <c r="E52" s="1185"/>
      <c r="F52" s="1186" t="s">
        <v>3694</v>
      </c>
      <c r="G52" s="1166" t="s">
        <v>2391</v>
      </c>
      <c r="H52" s="1845">
        <f>H25</f>
        <v>0</v>
      </c>
      <c r="I52" s="1259">
        <f t="shared" si="2"/>
        <v>0</v>
      </c>
      <c r="J52" s="1131"/>
      <c r="K52" s="1131"/>
      <c r="L52" s="1110"/>
      <c r="M52" s="978">
        <v>15</v>
      </c>
    </row>
    <row r="53" spans="1:14" s="1083" customFormat="1" ht="25.2" hidden="1" customHeight="1">
      <c r="A53" s="1153">
        <f t="shared" si="0"/>
        <v>0</v>
      </c>
      <c r="B53" s="1324"/>
      <c r="C53" s="1324"/>
      <c r="D53" s="1110"/>
      <c r="E53" s="1188"/>
      <c r="F53" s="1364" t="s">
        <v>2285</v>
      </c>
      <c r="G53" s="1110"/>
      <c r="H53" s="1167"/>
      <c r="I53" s="1259">
        <f t="shared" si="2"/>
        <v>0</v>
      </c>
      <c r="J53" s="1131"/>
      <c r="K53" s="1131"/>
      <c r="L53" s="1110"/>
      <c r="M53" s="978">
        <v>15</v>
      </c>
    </row>
    <row r="54" spans="1:14" s="1083" customFormat="1" ht="25.2" hidden="1" customHeight="1">
      <c r="A54" s="1153">
        <f t="shared" si="0"/>
        <v>0</v>
      </c>
      <c r="B54" s="1324" t="s">
        <v>1033</v>
      </c>
      <c r="C54" s="1324"/>
      <c r="D54" s="1110"/>
      <c r="E54" s="1079">
        <f>VLOOKUP($B54,DG!A:D,DG!$B$2,)</f>
        <v>0</v>
      </c>
      <c r="F54" s="1080" t="str">
        <f>VLOOKUP($B54,DG!A:D,DG!$C$2,)&amp;": "&amp;$I$3&amp;"m"</f>
        <v>Cáp đồng trần M25mm2: 54m</v>
      </c>
      <c r="G54" s="1079" t="str">
        <f>VLOOKUP($B54,DG!A:D,DG!$D$2,)</f>
        <v>kg</v>
      </c>
      <c r="H54" s="1167">
        <f>$I$3*H52*0.224</f>
        <v>0</v>
      </c>
      <c r="I54" s="1259">
        <f t="shared" si="2"/>
        <v>0</v>
      </c>
      <c r="J54" s="1108"/>
      <c r="K54" s="1108"/>
      <c r="L54" s="1110"/>
      <c r="M54" s="978">
        <v>15</v>
      </c>
    </row>
    <row r="55" spans="1:14" s="1083" customFormat="1" ht="25.2" hidden="1" customHeight="1">
      <c r="A55" s="1153">
        <f t="shared" si="0"/>
        <v>0</v>
      </c>
      <c r="B55" s="1154" t="s">
        <v>1511</v>
      </c>
      <c r="C55" s="1154"/>
      <c r="D55" s="1110"/>
      <c r="E55" s="1079">
        <f>VLOOKUP($B55,DG!A:D,DG!$B$2,)</f>
        <v>0</v>
      </c>
      <c r="F55" s="1080" t="str">
        <f>VLOOKUP($B55,DG!A:D,DG!$C$2,)</f>
        <v>Cọc tiếp đất Þ 16- 2,4m + kẹp cọc mạ đồng</v>
      </c>
      <c r="G55" s="1079" t="str">
        <f>VLOOKUP($B55,DG!A:D,DG!$D$2,)</f>
        <v>bộ</v>
      </c>
      <c r="H55" s="1167">
        <f>$I$2*H52</f>
        <v>0</v>
      </c>
      <c r="I55" s="1259">
        <f t="shared" si="2"/>
        <v>0</v>
      </c>
      <c r="J55" s="1108"/>
      <c r="K55" s="1108"/>
      <c r="L55" s="1110"/>
      <c r="M55" s="978">
        <v>15</v>
      </c>
    </row>
    <row r="56" spans="1:14" s="1083" customFormat="1" ht="25.2" hidden="1" customHeight="1">
      <c r="A56" s="1153">
        <f t="shared" si="0"/>
        <v>0</v>
      </c>
      <c r="B56" s="1154" t="s">
        <v>1493</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8">
        <v>15</v>
      </c>
    </row>
    <row r="57" spans="1:14" s="1083" customFormat="1" ht="25.2" hidden="1" customHeight="1">
      <c r="A57" s="1153">
        <f t="shared" si="0"/>
        <v>0</v>
      </c>
      <c r="B57" s="1329" t="s">
        <v>905</v>
      </c>
      <c r="C57" s="1329"/>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8">
        <v>15</v>
      </c>
    </row>
    <row r="58" spans="1:14" s="1083" customFormat="1" ht="25.2" hidden="1" customHeight="1">
      <c r="A58" s="1153">
        <f t="shared" si="0"/>
        <v>0</v>
      </c>
      <c r="B58" s="1329" t="s">
        <v>1114</v>
      </c>
      <c r="C58" s="1329"/>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8">
        <v>15</v>
      </c>
    </row>
    <row r="59" spans="1:14" s="1083" customFormat="1" ht="25.2"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8">
        <v>15</v>
      </c>
    </row>
    <row r="60" spans="1:14" s="1083" customFormat="1" ht="25.2"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8">
        <v>15</v>
      </c>
    </row>
    <row r="61" spans="1:14" s="1083" customFormat="1" ht="25.2"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8">
        <v>15</v>
      </c>
    </row>
    <row r="62" spans="1:14" s="1083" customFormat="1" ht="25.2" hidden="1" customHeight="1">
      <c r="A62" s="1153">
        <f t="shared" si="0"/>
        <v>0</v>
      </c>
      <c r="B62" s="1154" t="s">
        <v>1131</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8">
        <v>15</v>
      </c>
    </row>
    <row r="63" spans="1:14" s="1083" customFormat="1" ht="25.2" hidden="1" customHeight="1">
      <c r="A63" s="1153">
        <f t="shared" si="0"/>
        <v>0</v>
      </c>
      <c r="B63" s="1154" t="s">
        <v>2023</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8">
        <v>15</v>
      </c>
    </row>
    <row r="64" spans="1:14" s="1083" customFormat="1" ht="25.2" hidden="1" customHeight="1">
      <c r="A64" s="1153">
        <f t="shared" si="0"/>
        <v>0</v>
      </c>
      <c r="B64" s="1154" t="s">
        <v>902</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8">
        <v>15</v>
      </c>
    </row>
    <row r="65" spans="1:13" s="1083" customFormat="1" ht="25.2" hidden="1" customHeight="1">
      <c r="A65" s="1153">
        <f t="shared" si="0"/>
        <v>0</v>
      </c>
      <c r="B65" s="1154" t="s">
        <v>2189</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8">
        <v>15</v>
      </c>
    </row>
    <row r="66" spans="1:13" s="1083" customFormat="1" ht="25.2" hidden="1" customHeight="1">
      <c r="A66" s="1153">
        <f t="shared" si="0"/>
        <v>0</v>
      </c>
      <c r="B66" s="1329" t="s">
        <v>1055</v>
      </c>
      <c r="C66" s="1329"/>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8">
        <v>15</v>
      </c>
    </row>
    <row r="67" spans="1:13" s="1083" customFormat="1" ht="25.2" hidden="1" customHeight="1">
      <c r="A67" s="1153">
        <f t="shared" si="0"/>
        <v>0</v>
      </c>
      <c r="B67" s="1154" t="s">
        <v>1056</v>
      </c>
      <c r="C67" s="1154"/>
      <c r="D67" s="1110"/>
      <c r="E67" s="1079" t="str">
        <f>VLOOKUP($B67,DG!A:D,DG!$B$2,)</f>
        <v>03.4123</v>
      </c>
      <c r="F67" s="1080" t="str">
        <f>VLOOKUP($B67,DG!A:D,DG!$C$2,)</f>
        <v>Đắp đất rãnh tiếp độ chặt k=0,85</v>
      </c>
      <c r="G67" s="1079" t="str">
        <f>VLOOKUP($B67,DG!A:D,DG!$D$2,)</f>
        <v>m3</v>
      </c>
      <c r="H67" s="1167">
        <f>H66</f>
        <v>0</v>
      </c>
      <c r="I67" s="1259">
        <f t="shared" si="2"/>
        <v>0</v>
      </c>
      <c r="J67" s="1108"/>
      <c r="K67" s="1108"/>
      <c r="L67" s="1110"/>
      <c r="M67" s="978">
        <v>15</v>
      </c>
    </row>
    <row r="68" spans="1:13" s="1083" customFormat="1" ht="25.2" hidden="1" customHeight="1">
      <c r="A68" s="1153">
        <f t="shared" si="0"/>
        <v>0</v>
      </c>
      <c r="B68" s="1329"/>
      <c r="C68" s="1329"/>
      <c r="D68" s="1166">
        <f>IF(H68&gt;0,D52+1,D52)</f>
        <v>0</v>
      </c>
      <c r="E68" s="1185"/>
      <c r="F68" s="1186" t="s">
        <v>3695</v>
      </c>
      <c r="G68" s="1166" t="s">
        <v>2391</v>
      </c>
      <c r="H68" s="1845">
        <f>H25</f>
        <v>0</v>
      </c>
      <c r="I68" s="1259">
        <f t="shared" si="2"/>
        <v>0</v>
      </c>
      <c r="J68" s="1131"/>
      <c r="K68" s="1131"/>
      <c r="L68" s="1110"/>
      <c r="M68" s="978">
        <v>15</v>
      </c>
    </row>
    <row r="69" spans="1:13" s="1083" customFormat="1" ht="25.2" hidden="1" customHeight="1">
      <c r="A69" s="1153">
        <f t="shared" si="0"/>
        <v>0</v>
      </c>
      <c r="B69" s="1329"/>
      <c r="C69" s="1329"/>
      <c r="D69" s="1166"/>
      <c r="E69" s="1185"/>
      <c r="F69" s="1364" t="s">
        <v>2285</v>
      </c>
      <c r="G69" s="1110"/>
      <c r="H69" s="1167"/>
      <c r="I69" s="1259">
        <f t="shared" si="2"/>
        <v>0</v>
      </c>
      <c r="J69" s="1131"/>
      <c r="K69" s="1131"/>
      <c r="L69" s="1110"/>
      <c r="M69" s="978">
        <v>15</v>
      </c>
    </row>
    <row r="70" spans="1:13" s="1083" customFormat="1" ht="25.2" hidden="1" customHeight="1">
      <c r="A70" s="1153">
        <f t="shared" si="0"/>
        <v>0</v>
      </c>
      <c r="B70" s="1331" t="s">
        <v>616</v>
      </c>
      <c r="C70" s="1331"/>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8">
        <v>15</v>
      </c>
    </row>
    <row r="71" spans="1:13" s="1083" customFormat="1" ht="25.2" hidden="1" customHeight="1">
      <c r="A71" s="1153">
        <f t="shared" si="0"/>
        <v>0</v>
      </c>
      <c r="B71" s="1329" t="s">
        <v>879</v>
      </c>
      <c r="C71" s="1329"/>
      <c r="D71" s="1110"/>
      <c r="E71" s="1188"/>
      <c r="F71" s="1080" t="str">
        <f>VLOOKUP($B71,DG!A:D,DG!$C$2,)</f>
        <v>Cổ dê bắt tủ</v>
      </c>
      <c r="G71" s="1079" t="str">
        <f>VLOOKUP($B71,DG!A:D,DG!$D$2,)</f>
        <v>bộ</v>
      </c>
      <c r="H71" s="1167">
        <f>2*H68</f>
        <v>0</v>
      </c>
      <c r="I71" s="1259">
        <f t="shared" si="2"/>
        <v>0</v>
      </c>
      <c r="J71" s="1108"/>
      <c r="K71" s="1108"/>
      <c r="L71" s="1110"/>
      <c r="M71" s="978">
        <v>15</v>
      </c>
    </row>
    <row r="72" spans="1:13" s="1083" customFormat="1" ht="25.2" hidden="1" customHeight="1">
      <c r="A72" s="1153">
        <f t="shared" si="0"/>
        <v>0</v>
      </c>
      <c r="B72" s="1329" t="s">
        <v>880</v>
      </c>
      <c r="C72" s="1329"/>
      <c r="D72" s="1110"/>
      <c r="E72" s="1188"/>
      <c r="F72" s="1080" t="str">
        <f>VLOOKUP($B72,DG!A:D,DG!$C$2,)</f>
        <v xml:space="preserve">Bakelit 550x450 dầy 10mm </v>
      </c>
      <c r="G72" s="1079" t="str">
        <f>VLOOKUP($B72,DG!A:D,DG!$D$2,)</f>
        <v>cái</v>
      </c>
      <c r="H72" s="1167">
        <f>H68</f>
        <v>0</v>
      </c>
      <c r="I72" s="1259">
        <f t="shared" si="2"/>
        <v>0</v>
      </c>
      <c r="J72" s="1108"/>
      <c r="K72" s="1108"/>
      <c r="L72" s="1110"/>
      <c r="M72" s="978">
        <v>15</v>
      </c>
    </row>
    <row r="73" spans="1:13" s="1083" customFormat="1" ht="25.2" hidden="1" customHeight="1">
      <c r="A73" s="1153">
        <f t="shared" si="0"/>
        <v>0</v>
      </c>
      <c r="B73" s="1329"/>
      <c r="C73" s="1329"/>
      <c r="D73" s="1166">
        <f>IF(H73&gt;0,D68+1,D68)</f>
        <v>0</v>
      </c>
      <c r="E73" s="1185"/>
      <c r="F73" s="1186" t="s">
        <v>3696</v>
      </c>
      <c r="G73" s="1166" t="s">
        <v>2391</v>
      </c>
      <c r="H73" s="1845">
        <f>H68</f>
        <v>0</v>
      </c>
      <c r="I73" s="1259">
        <f t="shared" si="2"/>
        <v>0</v>
      </c>
      <c r="J73" s="1131"/>
      <c r="K73" s="1131"/>
      <c r="L73" s="1110"/>
      <c r="M73" s="978">
        <v>15</v>
      </c>
    </row>
    <row r="74" spans="1:13" s="1083" customFormat="1" ht="25.2" hidden="1" customHeight="1">
      <c r="A74" s="1153">
        <f t="shared" si="0"/>
        <v>0</v>
      </c>
      <c r="B74" s="1329"/>
      <c r="C74" s="1329"/>
      <c r="D74" s="1166"/>
      <c r="E74" s="1185"/>
      <c r="F74" s="1364" t="s">
        <v>2285</v>
      </c>
      <c r="G74" s="1110"/>
      <c r="H74" s="1167"/>
      <c r="I74" s="1259">
        <f t="shared" si="2"/>
        <v>0</v>
      </c>
      <c r="J74" s="1131"/>
      <c r="K74" s="1131"/>
      <c r="L74" s="1110"/>
      <c r="M74" s="978">
        <v>15</v>
      </c>
    </row>
    <row r="75" spans="1:13" s="1083" customFormat="1" ht="25.2" hidden="1" customHeight="1">
      <c r="A75" s="1153">
        <f t="shared" si="0"/>
        <v>0</v>
      </c>
      <c r="B75" s="1327" t="s">
        <v>697</v>
      </c>
      <c r="C75" s="1327"/>
      <c r="D75" s="1110"/>
      <c r="E75" s="1079">
        <f>VLOOKUP($B75,DG!A:D,DG!$B$2,)</f>
        <v>0</v>
      </c>
      <c r="F75" s="1080" t="str">
        <f>VLOOKUP($B75,DG!A:D,DG!$C$2,)</f>
        <v>Cáp 24KV C/XLPE/PVC 25mm2</v>
      </c>
      <c r="G75" s="1079" t="str">
        <f>VLOOKUP($B75,DG!A:D,DG!$D$2,)</f>
        <v>mét</v>
      </c>
      <c r="H75" s="1167">
        <f>3*H73</f>
        <v>0</v>
      </c>
      <c r="I75" s="1259">
        <f t="shared" si="2"/>
        <v>0</v>
      </c>
      <c r="J75" s="1108"/>
      <c r="K75" s="1108"/>
      <c r="L75" s="1110"/>
      <c r="M75" s="978">
        <v>15</v>
      </c>
    </row>
    <row r="76" spans="1:13" s="1083" customFormat="1" ht="25.2" hidden="1" customHeight="1">
      <c r="A76" s="1153">
        <f t="shared" si="0"/>
        <v>0</v>
      </c>
      <c r="B76" s="1154" t="s">
        <v>1482</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8">
        <v>15</v>
      </c>
    </row>
    <row r="77" spans="1:13" s="1083" customFormat="1" ht="25.2" hidden="1" customHeight="1">
      <c r="A77" s="1153">
        <f t="shared" si="0"/>
        <v>0</v>
      </c>
      <c r="B77" s="1154" t="s">
        <v>1480</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8">
        <v>15</v>
      </c>
    </row>
    <row r="78" spans="1:13" s="1083" customFormat="1" ht="25.2" hidden="1" customHeight="1">
      <c r="A78" s="1153">
        <f t="shared" si="0"/>
        <v>0</v>
      </c>
      <c r="B78" s="1154" t="s">
        <v>1528</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8">
        <v>15</v>
      </c>
    </row>
    <row r="79" spans="1:13" s="1083" customFormat="1" ht="25.2" hidden="1" customHeight="1">
      <c r="A79" s="1153">
        <f t="shared" si="0"/>
        <v>0</v>
      </c>
      <c r="B79" s="1329"/>
      <c r="C79" s="1329"/>
      <c r="D79" s="1166">
        <f>IF(H79&gt;0,D73+1,D73)</f>
        <v>0</v>
      </c>
      <c r="E79" s="1185"/>
      <c r="F79" s="1186" t="s">
        <v>3697</v>
      </c>
      <c r="G79" s="1166" t="s">
        <v>2391</v>
      </c>
      <c r="H79" s="1845">
        <f>H25</f>
        <v>0</v>
      </c>
      <c r="I79" s="1259">
        <f t="shared" si="2"/>
        <v>0</v>
      </c>
      <c r="J79" s="1131"/>
      <c r="K79" s="1131"/>
      <c r="L79" s="1110"/>
      <c r="M79" s="978">
        <v>15</v>
      </c>
    </row>
    <row r="80" spans="1:13" s="1083" customFormat="1" ht="25.2" hidden="1" customHeight="1">
      <c r="A80" s="1153">
        <f t="shared" si="0"/>
        <v>0</v>
      </c>
      <c r="B80" s="1329"/>
      <c r="C80" s="1329"/>
      <c r="D80" s="1166"/>
      <c r="E80" s="1185"/>
      <c r="F80" s="1364" t="s">
        <v>2285</v>
      </c>
      <c r="G80" s="1166"/>
      <c r="H80" s="1845"/>
      <c r="I80" s="1259">
        <f t="shared" si="2"/>
        <v>0</v>
      </c>
      <c r="J80" s="1131"/>
      <c r="K80" s="1131"/>
      <c r="L80" s="1110"/>
      <c r="M80" s="978">
        <v>15</v>
      </c>
    </row>
    <row r="81" spans="1:13" s="1083" customFormat="1" ht="25.2" hidden="1" customHeight="1">
      <c r="A81" s="1153">
        <f t="shared" si="0"/>
        <v>0</v>
      </c>
      <c r="B81" s="1329" t="s">
        <v>4471</v>
      </c>
      <c r="C81" s="1329"/>
      <c r="D81" s="1166"/>
      <c r="E81" s="1079">
        <f>VLOOKUP($B81,DG!A:D,DG!$B$2,)</f>
        <v>0</v>
      </c>
      <c r="F81" s="1080" t="str">
        <f>VLOOKUP($B81,DG!A:D,DG!$C$2,)</f>
        <v>Cáp đồng bọc CV35</v>
      </c>
      <c r="G81" s="1079" t="str">
        <f>VLOOKUP($B81,DG!A:D,DG!$D$2,)</f>
        <v>mét</v>
      </c>
      <c r="H81" s="1167">
        <f>H79*10</f>
        <v>0</v>
      </c>
      <c r="I81" s="1259">
        <f t="shared" si="2"/>
        <v>0</v>
      </c>
      <c r="J81" s="1108"/>
      <c r="K81" s="1108"/>
      <c r="L81" s="1110"/>
      <c r="M81" s="978">
        <v>15</v>
      </c>
    </row>
    <row r="82" spans="1:13" s="1083" customFormat="1" ht="25.2" hidden="1" customHeight="1">
      <c r="A82" s="1153">
        <f t="shared" si="0"/>
        <v>0</v>
      </c>
      <c r="B82" s="1329" t="s">
        <v>1409</v>
      </c>
      <c r="C82" s="1329"/>
      <c r="D82" s="1166"/>
      <c r="E82" s="1079">
        <f>VLOOKUP($B82,DG!A:D,DG!$B$2,)</f>
        <v>0</v>
      </c>
      <c r="F82" s="1080" t="str">
        <f>VLOOKUP($B82,DG!A:D,DG!$C$2,)</f>
        <v>Cáp đồng bọc CV25</v>
      </c>
      <c r="G82" s="1079" t="str">
        <f>VLOOKUP($B82,DG!A:D,DG!$D$2,)</f>
        <v>mét</v>
      </c>
      <c r="H82" s="1167">
        <f>10*H79</f>
        <v>0</v>
      </c>
      <c r="I82" s="1259">
        <f t="shared" si="2"/>
        <v>0</v>
      </c>
      <c r="J82" s="1108"/>
      <c r="K82" s="1108"/>
      <c r="L82" s="1110"/>
      <c r="M82" s="978">
        <v>15</v>
      </c>
    </row>
    <row r="83" spans="1:13" s="1083" customFormat="1" ht="25.2" hidden="1" customHeight="1">
      <c r="A83" s="1153">
        <f t="shared" si="0"/>
        <v>0</v>
      </c>
      <c r="B83" s="1329" t="s">
        <v>1069</v>
      </c>
      <c r="C83" s="1329"/>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8">
        <v>15</v>
      </c>
    </row>
    <row r="84" spans="1:13" s="1083" customFormat="1" ht="25.2" hidden="1" customHeight="1">
      <c r="A84" s="1153">
        <f t="shared" si="0"/>
        <v>0</v>
      </c>
      <c r="B84" s="1329" t="s">
        <v>4472</v>
      </c>
      <c r="C84" s="1329"/>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8">
        <v>15</v>
      </c>
    </row>
    <row r="85" spans="1:13" s="1083" customFormat="1" ht="25.2" hidden="1" customHeight="1">
      <c r="A85" s="1153">
        <f t="shared" si="0"/>
        <v>0</v>
      </c>
      <c r="B85" s="1329" t="s">
        <v>1073</v>
      </c>
      <c r="C85" s="1329"/>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8">
        <v>15</v>
      </c>
    </row>
    <row r="86" spans="1:13" s="1083" customFormat="1" ht="25.2" hidden="1" customHeight="1">
      <c r="A86" s="1153">
        <f t="shared" si="0"/>
        <v>0</v>
      </c>
      <c r="B86" s="1329" t="s">
        <v>4473</v>
      </c>
      <c r="C86" s="1329"/>
      <c r="D86" s="1110"/>
      <c r="E86" s="1079">
        <f>VLOOKUP($B86,DG!A:D,DG!$B$2,)</f>
        <v>0</v>
      </c>
      <c r="F86" s="1080" t="str">
        <f>VLOOKUP($B86,DG!A:D,DG!$C$2,)</f>
        <v>Chụp đầu cosse  35mm2</v>
      </c>
      <c r="G86" s="1079" t="str">
        <f>VLOOKUP($B86,DG!A:D,DG!$D$2,)</f>
        <v>cái</v>
      </c>
      <c r="H86" s="1167">
        <f>H79*1</f>
        <v>0</v>
      </c>
      <c r="I86" s="1259">
        <f t="shared" si="2"/>
        <v>0</v>
      </c>
      <c r="J86" s="1108"/>
      <c r="K86" s="1108"/>
      <c r="L86" s="1110"/>
      <c r="M86" s="978">
        <v>15</v>
      </c>
    </row>
    <row r="87" spans="1:13" s="1083" customFormat="1" ht="25.2" hidden="1" customHeight="1">
      <c r="A87" s="1153">
        <f t="shared" si="0"/>
        <v>0</v>
      </c>
      <c r="B87" s="1329" t="s">
        <v>4474</v>
      </c>
      <c r="C87" s="1329"/>
      <c r="D87" s="1110"/>
      <c r="E87" s="1079">
        <f>VLOOKUP($B87,DG!A:D,DG!$B$2,)</f>
        <v>0</v>
      </c>
      <c r="F87" s="1080" t="str">
        <f>VLOOKUP($B87,DG!A:D,DG!$C$2,)</f>
        <v>Chụp đầu cosse  25mm2</v>
      </c>
      <c r="G87" s="1079" t="str">
        <f>VLOOKUP($B87,DG!A:D,DG!$D$2,)</f>
        <v>cái</v>
      </c>
      <c r="H87" s="1167">
        <f>H79*1</f>
        <v>0</v>
      </c>
      <c r="I87" s="1259">
        <f t="shared" si="2"/>
        <v>0</v>
      </c>
      <c r="J87" s="1108"/>
      <c r="K87" s="1108"/>
      <c r="L87" s="1110"/>
      <c r="M87" s="978">
        <v>15</v>
      </c>
    </row>
    <row r="88" spans="1:13" s="1083" customFormat="1" ht="25.2" hidden="1" customHeight="1">
      <c r="A88" s="1153">
        <f t="shared" si="0"/>
        <v>0</v>
      </c>
      <c r="B88" s="1329" t="s">
        <v>282</v>
      </c>
      <c r="C88" s="1329"/>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8">
        <v>15</v>
      </c>
    </row>
    <row r="89" spans="1:13" s="1083" customFormat="1" ht="25.2"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8">
        <v>15</v>
      </c>
    </row>
    <row r="90" spans="1:13" s="1083" customFormat="1" ht="25.2"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8">
        <v>15</v>
      </c>
    </row>
    <row r="91" spans="1:13" s="1083" customFormat="1" ht="25.2"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8">
        <v>15</v>
      </c>
    </row>
    <row r="92" spans="1:13" s="1083" customFormat="1" ht="25.2" hidden="1" customHeight="1">
      <c r="A92" s="1153">
        <f t="shared" si="3"/>
        <v>0</v>
      </c>
      <c r="B92" s="1154" t="s">
        <v>1131</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8">
        <v>15</v>
      </c>
    </row>
    <row r="93" spans="1:13" s="1083" customFormat="1" ht="25.2" hidden="1" customHeight="1">
      <c r="A93" s="1153">
        <f t="shared" si="3"/>
        <v>0</v>
      </c>
      <c r="B93" s="1154" t="s">
        <v>2023</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8">
        <v>15</v>
      </c>
    </row>
    <row r="94" spans="1:13" s="1083" customFormat="1" ht="25.2" hidden="1" customHeight="1">
      <c r="A94" s="1153">
        <f t="shared" si="3"/>
        <v>0</v>
      </c>
      <c r="B94" s="1329" t="s">
        <v>69</v>
      </c>
      <c r="C94" s="1329"/>
      <c r="D94" s="1110"/>
      <c r="E94" s="1079">
        <f>VLOOKUP($B94,DG!A:D,DG!$B$2,)</f>
        <v>0</v>
      </c>
      <c r="F94" s="1080" t="str">
        <f>VLOOKUP($B94,DG!A:D,DG!$C$2,)</f>
        <v>Co  90 độ PVC 90</v>
      </c>
      <c r="G94" s="1079" t="str">
        <f>VLOOKUP($B94,DG!A:D,DG!$D$2,)</f>
        <v>cái</v>
      </c>
      <c r="H94" s="1167">
        <f>4*H79</f>
        <v>0</v>
      </c>
      <c r="I94" s="1259">
        <f t="shared" si="4"/>
        <v>0</v>
      </c>
      <c r="J94" s="1108"/>
      <c r="K94" s="1108"/>
      <c r="L94" s="1110"/>
      <c r="M94" s="978">
        <v>15</v>
      </c>
    </row>
    <row r="95" spans="1:13" s="1083" customFormat="1" ht="25.2" hidden="1" customHeight="1">
      <c r="A95" s="1153">
        <f t="shared" si="3"/>
        <v>0</v>
      </c>
      <c r="B95" s="1329" t="s">
        <v>725</v>
      </c>
      <c r="C95" s="1329"/>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8">
        <v>15</v>
      </c>
    </row>
    <row r="96" spans="1:13" s="1083" customFormat="1" ht="25.2" hidden="1" customHeight="1">
      <c r="A96" s="1153">
        <f t="shared" si="3"/>
        <v>0</v>
      </c>
      <c r="B96" s="1329" t="s">
        <v>2080</v>
      </c>
      <c r="C96" s="1329"/>
      <c r="D96" s="1110"/>
      <c r="E96" s="1079">
        <f>VLOOKUP($B96,DG!A:D,DG!$B$2,)</f>
        <v>0</v>
      </c>
      <c r="F96" s="1080" t="str">
        <f>VLOOKUP($B96,DG!A:D,DG!$C$2,)</f>
        <v>Keo dán ống PVC (100gr)</v>
      </c>
      <c r="G96" s="1079" t="str">
        <f>VLOOKUP($B96,DG!A:D,DG!$D$2,)</f>
        <v>tuýp</v>
      </c>
      <c r="H96" s="1167">
        <f>H79</f>
        <v>0</v>
      </c>
      <c r="I96" s="1259">
        <f t="shared" si="4"/>
        <v>0</v>
      </c>
      <c r="J96" s="1108"/>
      <c r="K96" s="1108"/>
      <c r="L96" s="1110"/>
      <c r="M96" s="978">
        <v>15</v>
      </c>
    </row>
    <row r="97" spans="1:14" s="1083" customFormat="1" ht="25.2" hidden="1" customHeight="1">
      <c r="A97" s="1153">
        <f t="shared" si="3"/>
        <v>0</v>
      </c>
      <c r="B97" s="1329" t="s">
        <v>489</v>
      </c>
      <c r="C97" s="1329"/>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8">
        <v>15</v>
      </c>
    </row>
    <row r="98" spans="1:14" s="1083" customFormat="1" ht="25.2" hidden="1" customHeight="1">
      <c r="A98" s="1153">
        <f t="shared" si="3"/>
        <v>0</v>
      </c>
      <c r="B98" s="1329" t="s">
        <v>2188</v>
      </c>
      <c r="C98" s="1329"/>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8">
        <v>15</v>
      </c>
    </row>
    <row r="99" spans="1:14" s="1083" customFormat="1" ht="25.2" hidden="1" customHeight="1">
      <c r="A99" s="1153">
        <f t="shared" si="3"/>
        <v>0</v>
      </c>
      <c r="B99" s="1329" t="s">
        <v>1528</v>
      </c>
      <c r="C99" s="1329"/>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8">
        <v>15</v>
      </c>
    </row>
    <row r="100" spans="1:14" s="1083" customFormat="1" ht="25.2" hidden="1" customHeight="1">
      <c r="A100" s="1153">
        <f t="shared" si="3"/>
        <v>0</v>
      </c>
      <c r="B100" s="1329" t="s">
        <v>289</v>
      </c>
      <c r="C100" s="1329"/>
      <c r="D100" s="1170">
        <f>IF(H100&gt;0,D79+1,D79)</f>
        <v>0</v>
      </c>
      <c r="E100" s="1189"/>
      <c r="F100" s="1080" t="str">
        <f>VLOOKUP($B100,DG!A:D,DG!$C$2,)</f>
        <v>Bảng tên trạm, bảng báo nguy hiểm + đinh vít</v>
      </c>
      <c r="G100" s="1079" t="str">
        <f>VLOOKUP($B100,DG!A:D,DG!$D$2,)</f>
        <v>bộ</v>
      </c>
      <c r="H100" s="1846">
        <f>H25</f>
        <v>0</v>
      </c>
      <c r="I100" s="1259">
        <f t="shared" si="4"/>
        <v>0</v>
      </c>
      <c r="J100" s="1108"/>
      <c r="K100" s="1108"/>
      <c r="L100" s="1172"/>
      <c r="M100" s="978">
        <v>15</v>
      </c>
    </row>
    <row r="101" spans="1:14" s="1083" customFormat="1" ht="25.2" hidden="1" customHeight="1">
      <c r="A101" s="1153">
        <f t="shared" si="3"/>
        <v>0</v>
      </c>
      <c r="B101" s="1329"/>
      <c r="C101" s="1329"/>
      <c r="D101" s="1190"/>
      <c r="E101" s="1191"/>
      <c r="F101" s="1158"/>
      <c r="G101" s="1192"/>
      <c r="H101" s="1847"/>
      <c r="I101" s="1259">
        <f t="shared" si="4"/>
        <v>0</v>
      </c>
      <c r="J101" s="1193"/>
      <c r="K101" s="1194"/>
      <c r="L101" s="1107"/>
      <c r="M101" s="978">
        <v>15</v>
      </c>
    </row>
    <row r="102" spans="1:14" s="1083" customFormat="1" ht="25.2" hidden="1" customHeight="1">
      <c r="A102" s="1153">
        <f t="shared" si="3"/>
        <v>0</v>
      </c>
      <c r="B102" s="1319"/>
      <c r="C102" s="1319"/>
      <c r="D102" s="1161"/>
      <c r="E102" s="975"/>
      <c r="H102" s="1880"/>
      <c r="I102" s="1259">
        <f t="shared" si="4"/>
        <v>0</v>
      </c>
      <c r="M102" s="975"/>
    </row>
    <row r="103" spans="1:14" s="1083" customFormat="1" ht="25.2" hidden="1" customHeight="1">
      <c r="A103" s="1153">
        <f t="shared" si="3"/>
        <v>0</v>
      </c>
      <c r="B103" s="1319"/>
      <c r="C103" s="1319"/>
      <c r="D103" s="1323" t="str">
        <f>"TOÅNG HÔÏP VAÄT LIEÄU, NHAÂN COÂNG, MAÙY THI COÂNG: 1 TRAÏM 25KVA"</f>
        <v>TOÅNG HÔÏP VAÄT LIEÄU, NHAÂN COÂNG, MAÙY THI COÂNG: 1 TRAÏM 25KVA</v>
      </c>
      <c r="E103" s="1195"/>
      <c r="F103" s="1100"/>
      <c r="G103" s="1100"/>
      <c r="H103" s="1848"/>
      <c r="I103" s="1259">
        <f t="shared" si="4"/>
        <v>0</v>
      </c>
      <c r="J103" s="1100"/>
      <c r="K103" s="1100"/>
      <c r="M103" s="975"/>
    </row>
    <row r="104" spans="1:14" s="1083" customFormat="1" ht="25.2" hidden="1" customHeight="1">
      <c r="A104" s="1153">
        <f t="shared" si="3"/>
        <v>0</v>
      </c>
      <c r="B104" s="1324"/>
      <c r="C104" s="1324"/>
      <c r="D104" s="1156"/>
      <c r="E104" s="1157"/>
      <c r="F104" s="1069" t="s">
        <v>3690</v>
      </c>
      <c r="G104" s="1159"/>
      <c r="H104" s="1843"/>
      <c r="I104" s="1259">
        <f t="shared" si="4"/>
        <v>0</v>
      </c>
      <c r="J104" s="1159"/>
      <c r="K104" s="1159"/>
      <c r="L104" s="1136"/>
      <c r="M104" s="975"/>
    </row>
    <row r="105" spans="1:14" s="1083" customFormat="1" ht="25.2" hidden="1" customHeight="1">
      <c r="A105" s="1153">
        <f t="shared" si="3"/>
        <v>0</v>
      </c>
      <c r="B105" s="1325" t="str">
        <f>IF($G$8=22,"TR251","TR25")</f>
        <v>TR251</v>
      </c>
      <c r="C105" s="1325"/>
      <c r="D105" s="1090">
        <f>IF(H105&gt;0,1,0)</f>
        <v>0</v>
      </c>
      <c r="E105" s="1079" t="str">
        <f>VLOOKUP($B105,DG!A:D,DG!$B$2,)</f>
        <v>01.1161</v>
      </c>
      <c r="F105" s="1080" t="str">
        <f>VLOOKUP($B105,DG!A:D,DG!$C$2,)</f>
        <v>Máy biến áp 12,7/0,22-0,44kV  25kVA</v>
      </c>
      <c r="G105" s="1079" t="str">
        <f>VLOOKUP($B105,DG!A:D,DG!$D$2,)</f>
        <v>máy</v>
      </c>
      <c r="H105" s="1849">
        <f>I7</f>
        <v>0</v>
      </c>
      <c r="I105" s="1259">
        <f t="shared" si="4"/>
        <v>0</v>
      </c>
      <c r="J105" s="1108"/>
      <c r="K105" s="1108"/>
      <c r="L105" s="1196"/>
      <c r="M105" s="975">
        <v>25</v>
      </c>
    </row>
    <row r="106" spans="1:14" s="1083" customFormat="1" ht="25.2" hidden="1" customHeight="1">
      <c r="A106" s="1153">
        <f t="shared" si="3"/>
        <v>0</v>
      </c>
      <c r="B106" s="1325" t="s">
        <v>1655</v>
      </c>
      <c r="C106" s="1325"/>
      <c r="D106" s="1090">
        <f t="shared" ref="D106:D113" si="5">IF(H106&gt;0,D105+1,D105)</f>
        <v>1</v>
      </c>
      <c r="E106" s="1079" t="str">
        <f>VLOOKUP($B106,DG!A:D,DG!$B$2,)</f>
        <v>02.3155</v>
      </c>
      <c r="F106" s="1080" t="str">
        <f>VLOOKUP($B106,DG!A:D,DG!$C$2,)</f>
        <v>FCO 27kV - 100A</v>
      </c>
      <c r="G106" s="1079" t="str">
        <f>VLOOKUP($B106,DG!A:D,DG!$D$2,)</f>
        <v>cái</v>
      </c>
      <c r="H106" s="1167">
        <v>1</v>
      </c>
      <c r="I106" s="1259">
        <f t="shared" si="4"/>
        <v>0</v>
      </c>
      <c r="J106" s="1108"/>
      <c r="K106" s="1108"/>
      <c r="L106" s="1082"/>
      <c r="M106" s="975">
        <v>25</v>
      </c>
    </row>
    <row r="107" spans="1:14" s="1083" customFormat="1" ht="25.2" hidden="1" customHeight="1">
      <c r="A107" s="1153">
        <f t="shared" si="3"/>
        <v>0</v>
      </c>
      <c r="B107" s="1325" t="str">
        <f>IF($G$8=22,"CHI3K","CHI6K")</f>
        <v>CHI3K</v>
      </c>
      <c r="C107" s="1325"/>
      <c r="D107" s="1090">
        <f t="shared" si="5"/>
        <v>2</v>
      </c>
      <c r="E107" s="1079">
        <f>VLOOKUP($B107,DG!A:D,DG!$B$2,)</f>
        <v>0</v>
      </c>
      <c r="F107" s="1080" t="str">
        <f>VLOOKUP($B107,DG!A:D,DG!$C$2,)</f>
        <v>Dây chảy 3K</v>
      </c>
      <c r="G107" s="1079" t="str">
        <f>VLOOKUP($B107,DG!A:D,DG!$D$2,)</f>
        <v>Sợi</v>
      </c>
      <c r="H107" s="1167">
        <v>1</v>
      </c>
      <c r="I107" s="1259">
        <f t="shared" si="4"/>
        <v>0</v>
      </c>
      <c r="J107" s="1108"/>
      <c r="K107" s="1108"/>
      <c r="L107" s="1082"/>
      <c r="M107" s="975">
        <v>25</v>
      </c>
    </row>
    <row r="108" spans="1:14" s="1083" customFormat="1" ht="25.2" hidden="1" customHeight="1">
      <c r="A108" s="1153">
        <f t="shared" si="3"/>
        <v>0</v>
      </c>
      <c r="B108" s="1324" t="s">
        <v>1376</v>
      </c>
      <c r="C108" s="1324"/>
      <c r="D108" s="1090">
        <f>IF(H108&gt;0,D107+1,D107)</f>
        <v>2</v>
      </c>
      <c r="E108" s="1079" t="str">
        <f>VLOOKUP($B108,DG!A:D,DG!$B$2,)</f>
        <v>02.5114</v>
      </c>
      <c r="F108" s="1080" t="str">
        <f>VLOOKUP($B108,DG!A:D,DG!$C$2,)</f>
        <v>Chống sét van LA-18KV-10KA</v>
      </c>
      <c r="G108" s="1079" t="str">
        <f>VLOOKUP($B108,DG!A:D,DG!$D$2,)</f>
        <v>cái</v>
      </c>
      <c r="H108" s="1167">
        <f>H105</f>
        <v>0</v>
      </c>
      <c r="I108" s="1259">
        <f t="shared" si="4"/>
        <v>0</v>
      </c>
      <c r="J108" s="1108"/>
      <c r="K108" s="1108"/>
      <c r="L108" s="1082"/>
      <c r="M108" s="975">
        <v>25</v>
      </c>
    </row>
    <row r="109" spans="1:14" s="1083" customFormat="1" ht="25.2" hidden="1" customHeight="1">
      <c r="A109" s="1153">
        <f t="shared" si="3"/>
        <v>0</v>
      </c>
      <c r="B109" s="1326" t="s">
        <v>1422</v>
      </c>
      <c r="C109" s="1326"/>
      <c r="D109" s="1090">
        <f t="shared" si="5"/>
        <v>2</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2" hidden="1" customHeight="1">
      <c r="A110" s="1153">
        <f t="shared" si="3"/>
        <v>0</v>
      </c>
      <c r="B110" s="1327" t="s">
        <v>2048</v>
      </c>
      <c r="C110" s="1327"/>
      <c r="D110" s="1090">
        <f t="shared" si="5"/>
        <v>2</v>
      </c>
      <c r="E110" s="1079">
        <f>VLOOKUP($B110,DG!A:D,DG!$B$2,)</f>
        <v>0</v>
      </c>
      <c r="F110" s="1080" t="str">
        <f>VLOOKUP($B110,DG!A:D,DG!$C$2,)</f>
        <v>Biến dòng 600V - 100/5A</v>
      </c>
      <c r="G110" s="1079" t="str">
        <f>VLOOKUP($B110,DG!A:D,DG!$D$2,)</f>
        <v>cái</v>
      </c>
      <c r="H110" s="1167">
        <f>H105</f>
        <v>0</v>
      </c>
      <c r="I110" s="1259">
        <f t="shared" si="4"/>
        <v>0</v>
      </c>
      <c r="J110" s="1108"/>
      <c r="K110" s="1108"/>
      <c r="L110" s="1110" t="s">
        <v>2609</v>
      </c>
      <c r="M110" s="975">
        <v>25</v>
      </c>
      <c r="N110" s="1099"/>
    </row>
    <row r="111" spans="1:14" s="1083" customFormat="1" ht="25.2" hidden="1" customHeight="1">
      <c r="A111" s="1153">
        <f t="shared" si="3"/>
        <v>0</v>
      </c>
      <c r="B111" s="1154" t="s">
        <v>2199</v>
      </c>
      <c r="C111" s="1154"/>
      <c r="D111" s="1090">
        <f t="shared" si="5"/>
        <v>2</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2609</v>
      </c>
      <c r="M111" s="975">
        <v>25</v>
      </c>
    </row>
    <row r="112" spans="1:14" s="1083" customFormat="1" ht="25.2" hidden="1" customHeight="1">
      <c r="A112" s="1153">
        <f t="shared" si="3"/>
        <v>0</v>
      </c>
      <c r="B112" s="1324" t="s">
        <v>199</v>
      </c>
      <c r="C112" s="1324"/>
      <c r="D112" s="1090">
        <f t="shared" si="5"/>
        <v>2</v>
      </c>
      <c r="E112" s="1079">
        <f>VLOOKUP($B112,DG!A:D,DG!$B$2,)</f>
        <v>0</v>
      </c>
      <c r="F112" s="1080" t="str">
        <f>VLOOKUP($B112,DG!A:D,DG!$C$2,)</f>
        <v xml:space="preserve">Ampe kế 100/5A-600v +AS </v>
      </c>
      <c r="G112" s="1079" t="str">
        <f>VLOOKUP($B112,DG!A:D,DG!$D$2,)</f>
        <v>Bộ</v>
      </c>
      <c r="H112" s="1167"/>
      <c r="I112" s="1259">
        <f t="shared" si="4"/>
        <v>0</v>
      </c>
      <c r="J112" s="1108"/>
      <c r="K112" s="1108"/>
      <c r="L112" s="1110" t="s">
        <v>2609</v>
      </c>
      <c r="M112" s="975">
        <v>25</v>
      </c>
    </row>
    <row r="113" spans="1:14" s="1083" customFormat="1" ht="25.2" hidden="1" customHeight="1">
      <c r="A113" s="1153">
        <f t="shared" si="3"/>
        <v>0</v>
      </c>
      <c r="B113" s="1324" t="s">
        <v>200</v>
      </c>
      <c r="C113" s="1324"/>
      <c r="D113" s="1090">
        <f t="shared" si="5"/>
        <v>2</v>
      </c>
      <c r="E113" s="1079">
        <f>VLOOKUP($B113,DG!A:D,DG!$B$2,)</f>
        <v>0</v>
      </c>
      <c r="F113" s="1080" t="str">
        <f>VLOOKUP($B113,DG!A:D,DG!$C$2,)</f>
        <v>Volt kế 500V + VS + 2xChì ống 1A-230V</v>
      </c>
      <c r="G113" s="1079" t="str">
        <f>VLOOKUP($B113,DG!A:D,DG!$D$2,)</f>
        <v>Bộ</v>
      </c>
      <c r="H113" s="1167"/>
      <c r="I113" s="1259">
        <f t="shared" si="4"/>
        <v>0</v>
      </c>
      <c r="J113" s="1108"/>
      <c r="K113" s="1108"/>
      <c r="L113" s="1110" t="s">
        <v>2609</v>
      </c>
      <c r="M113" s="975">
        <v>25</v>
      </c>
    </row>
    <row r="114" spans="1:14" s="1083" customFormat="1" ht="25.2" hidden="1" customHeight="1">
      <c r="A114" s="1153">
        <f t="shared" si="3"/>
        <v>0</v>
      </c>
      <c r="B114" s="1324"/>
      <c r="C114" s="1324"/>
      <c r="D114" s="1107"/>
      <c r="E114" s="1107"/>
      <c r="F114" s="1160"/>
      <c r="G114" s="1107"/>
      <c r="H114" s="1202"/>
      <c r="I114" s="1202">
        <f t="shared" si="4"/>
        <v>0</v>
      </c>
      <c r="J114" s="1160"/>
      <c r="K114" s="1107"/>
      <c r="L114" s="1136"/>
      <c r="M114" s="975">
        <v>25</v>
      </c>
    </row>
    <row r="115" spans="1:14" s="1083" customFormat="1" ht="25.2" hidden="1" customHeight="1">
      <c r="A115" s="1153">
        <f t="shared" si="3"/>
        <v>0</v>
      </c>
      <c r="B115" s="1324"/>
      <c r="C115" s="1324"/>
      <c r="D115" s="1181"/>
      <c r="E115" s="1107"/>
      <c r="F115" s="1069" t="s">
        <v>3691</v>
      </c>
      <c r="G115" s="1069"/>
      <c r="H115" s="1843"/>
      <c r="I115" s="1202">
        <f t="shared" si="4"/>
        <v>0</v>
      </c>
      <c r="J115" s="1069"/>
      <c r="K115" s="1069"/>
      <c r="L115" s="1136"/>
      <c r="M115" s="975">
        <v>25</v>
      </c>
    </row>
    <row r="116" spans="1:14" s="1083" customFormat="1" ht="25.2" hidden="1" customHeight="1">
      <c r="A116" s="1153">
        <f t="shared" si="3"/>
        <v>0</v>
      </c>
      <c r="B116" s="1324" t="s">
        <v>1613</v>
      </c>
      <c r="C116" s="1324"/>
      <c r="D116" s="1183">
        <f>IF(H128&gt;0,1,0)</f>
        <v>0</v>
      </c>
      <c r="E116" s="1079">
        <f>VLOOKUP($B116,DG!A:D,DG!$B$2,)</f>
        <v>0</v>
      </c>
      <c r="F116" s="1080" t="str">
        <f>VLOOKUP($B116,DG!A:D,DG!$C$2,)</f>
        <v>Boulon 16x300+ 2 long đền vuông D18-50x50x3/Zn</v>
      </c>
      <c r="G116" s="1079" t="str">
        <f>VLOOKUP($B116,DG!A:D,DG!$D$2,)</f>
        <v>bộ</v>
      </c>
      <c r="H116" s="1845">
        <f>2*SUM(H105:H105)</f>
        <v>0</v>
      </c>
      <c r="I116" s="1259">
        <f t="shared" si="4"/>
        <v>0</v>
      </c>
      <c r="J116" s="1108"/>
      <c r="K116" s="1108"/>
      <c r="L116" s="1196"/>
      <c r="M116" s="975">
        <v>25</v>
      </c>
    </row>
    <row r="117" spans="1:14" s="1083" customFormat="1" ht="25.2" hidden="1" customHeight="1">
      <c r="A117" s="1153">
        <f t="shared" si="3"/>
        <v>0</v>
      </c>
      <c r="B117" s="1324"/>
      <c r="C117" s="1324"/>
      <c r="D117" s="1078">
        <f>IF(H117&gt;0,D116+1,D116)</f>
        <v>0</v>
      </c>
      <c r="E117" s="1185"/>
      <c r="F117" s="1186" t="s">
        <v>3692</v>
      </c>
      <c r="G117" s="1166" t="s">
        <v>2391</v>
      </c>
      <c r="H117" s="1845">
        <f>H105*0</f>
        <v>0</v>
      </c>
      <c r="I117" s="1259">
        <f t="shared" si="4"/>
        <v>0</v>
      </c>
      <c r="J117" s="1131"/>
      <c r="K117" s="1131"/>
      <c r="L117" s="1110"/>
      <c r="M117" s="975">
        <v>25</v>
      </c>
    </row>
    <row r="118" spans="1:14" s="1083" customFormat="1" ht="25.2" hidden="1" customHeight="1">
      <c r="A118" s="1153">
        <f t="shared" si="3"/>
        <v>0</v>
      </c>
      <c r="B118" s="1324"/>
      <c r="C118" s="1324"/>
      <c r="D118" s="1166"/>
      <c r="E118" s="1185"/>
      <c r="F118" s="1364" t="s">
        <v>2285</v>
      </c>
      <c r="G118" s="1110"/>
      <c r="H118" s="1167"/>
      <c r="I118" s="1259">
        <f t="shared" si="4"/>
        <v>0</v>
      </c>
      <c r="J118" s="1131"/>
      <c r="K118" s="1131"/>
      <c r="L118" s="1110"/>
      <c r="M118" s="975">
        <v>25</v>
      </c>
      <c r="N118" s="1187"/>
    </row>
    <row r="119" spans="1:14" s="1083" customFormat="1" ht="25.2"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2" hidden="1" customHeight="1">
      <c r="A120" s="1153">
        <f t="shared" si="3"/>
        <v>0</v>
      </c>
      <c r="B120" s="1154" t="s">
        <v>1818</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2" hidden="1" customHeight="1">
      <c r="A121" s="1153">
        <f t="shared" si="3"/>
        <v>0</v>
      </c>
      <c r="B121" s="1154" t="s">
        <v>2132</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2" hidden="1" customHeight="1">
      <c r="A122" s="1153">
        <f t="shared" si="3"/>
        <v>0</v>
      </c>
      <c r="B122" s="1324"/>
      <c r="C122" s="1324"/>
      <c r="D122" s="1078">
        <f>IF(H122&gt;0,D117+1,D117)</f>
        <v>0</v>
      </c>
      <c r="E122" s="1185"/>
      <c r="F122" s="1186" t="s">
        <v>2358</v>
      </c>
      <c r="G122" s="1166" t="s">
        <v>2391</v>
      </c>
      <c r="H122" s="1845">
        <f>H117</f>
        <v>0</v>
      </c>
      <c r="I122" s="1259">
        <f t="shared" si="4"/>
        <v>0</v>
      </c>
      <c r="J122" s="1131"/>
      <c r="K122" s="1131"/>
      <c r="L122" s="1110"/>
      <c r="M122" s="975">
        <v>25</v>
      </c>
    </row>
    <row r="123" spans="1:14" s="1083" customFormat="1" ht="25.2" hidden="1" customHeight="1">
      <c r="A123" s="1153">
        <f t="shared" si="3"/>
        <v>0</v>
      </c>
      <c r="B123" s="1324"/>
      <c r="C123" s="1324"/>
      <c r="D123" s="1166"/>
      <c r="E123" s="1185"/>
      <c r="F123" s="1364" t="s">
        <v>2285</v>
      </c>
      <c r="G123" s="1110"/>
      <c r="H123" s="1167"/>
      <c r="I123" s="1259">
        <f t="shared" si="4"/>
        <v>0</v>
      </c>
      <c r="J123" s="1131"/>
      <c r="K123" s="1131"/>
      <c r="L123" s="1110"/>
      <c r="M123" s="975">
        <v>25</v>
      </c>
      <c r="N123" s="1187"/>
    </row>
    <row r="124" spans="1:14" s="1083" customFormat="1" ht="25.2" hidden="1" customHeight="1">
      <c r="A124" s="1153">
        <f t="shared" si="3"/>
        <v>0</v>
      </c>
      <c r="B124" s="1331" t="s">
        <v>636</v>
      </c>
      <c r="C124" s="1331"/>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2" hidden="1" customHeight="1">
      <c r="A125" s="1153">
        <f t="shared" si="3"/>
        <v>0</v>
      </c>
      <c r="B125" s="1331" t="s">
        <v>566</v>
      </c>
      <c r="C125" s="1331"/>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2" hidden="1" customHeight="1">
      <c r="A126" s="1153">
        <f t="shared" si="3"/>
        <v>0</v>
      </c>
      <c r="B126" s="1331" t="str">
        <f>IF(chitiet!G5=1,"MDD1",IF(chitiet!G5=2,"MDD2",IF(chitiet!G5=3,"MDD3",IF(chitiet!G5=4,"MDD4"))))</f>
        <v>MDD3</v>
      </c>
      <c r="C126" s="1331"/>
      <c r="D126" s="1110"/>
      <c r="E126" s="1079" t="str">
        <f>VLOOKUP($B126,DG!A:D,DG!$B$2,)</f>
        <v>03.1013</v>
      </c>
      <c r="F126" s="1080" t="str">
        <f>VLOOKUP($B126,DG!A:D,DG!$C$2,)</f>
        <v>Đào hố móng đất cấp 3 sâu &gt;1m</v>
      </c>
      <c r="G126" s="1079" t="str">
        <f>VLOOKUP($B126,DG!A:D,DG!$D$2,)</f>
        <v>m3</v>
      </c>
      <c r="H126" s="1167">
        <f>H122*1.45</f>
        <v>0</v>
      </c>
      <c r="I126" s="1259">
        <f t="shared" si="4"/>
        <v>0</v>
      </c>
      <c r="J126" s="1108"/>
      <c r="K126" s="1108"/>
      <c r="L126" s="1110"/>
      <c r="M126" s="975">
        <v>25</v>
      </c>
      <c r="N126" s="1187"/>
    </row>
    <row r="127" spans="1:14" s="1083" customFormat="1" ht="25.2" hidden="1" customHeight="1">
      <c r="A127" s="1153">
        <f t="shared" si="3"/>
        <v>0</v>
      </c>
      <c r="B127" s="1331" t="str">
        <f>IF(chitiet!G5=1,"MDAP1",IF(chitiet!G5=2,"MDAP2",IF(chitiet!G5=3,"MDAP3",IF(chitiet!G5=4,"MDAP4"))))</f>
        <v>MDAP3</v>
      </c>
      <c r="C127" s="1331"/>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2" hidden="1" customHeight="1">
      <c r="A128" s="1153">
        <f t="shared" si="3"/>
        <v>0</v>
      </c>
      <c r="B128" s="1324"/>
      <c r="C128" s="1324"/>
      <c r="D128" s="1078">
        <f>IF(H128&gt;0,D122+1,D122)</f>
        <v>0</v>
      </c>
      <c r="E128" s="1185"/>
      <c r="F128" s="1197" t="s">
        <v>4815</v>
      </c>
      <c r="G128" s="1166" t="s">
        <v>2391</v>
      </c>
      <c r="H128" s="1845">
        <f>SUM(H105:H105)</f>
        <v>0</v>
      </c>
      <c r="I128" s="1259">
        <f t="shared" si="4"/>
        <v>0</v>
      </c>
      <c r="J128" s="1131"/>
      <c r="K128" s="1131"/>
      <c r="L128" s="1082"/>
      <c r="M128" s="975">
        <v>25</v>
      </c>
    </row>
    <row r="129" spans="1:13" s="1083" customFormat="1" ht="25.2" hidden="1" customHeight="1">
      <c r="A129" s="1153">
        <f t="shared" si="3"/>
        <v>0</v>
      </c>
      <c r="B129" s="1324"/>
      <c r="C129" s="1324"/>
      <c r="D129" s="1166"/>
      <c r="E129" s="1185"/>
      <c r="F129" s="1365" t="s">
        <v>2285</v>
      </c>
      <c r="G129" s="1110"/>
      <c r="H129" s="1167"/>
      <c r="I129" s="1259">
        <f t="shared" si="4"/>
        <v>0</v>
      </c>
      <c r="J129" s="1131"/>
      <c r="K129" s="1131"/>
      <c r="L129" s="1082"/>
      <c r="M129" s="975">
        <v>25</v>
      </c>
    </row>
    <row r="130" spans="1:13" s="1083" customFormat="1" ht="25.2" hidden="1" customHeight="1">
      <c r="A130" s="1153">
        <f t="shared" si="3"/>
        <v>0</v>
      </c>
      <c r="B130" s="1324" t="s">
        <v>4569</v>
      </c>
      <c r="C130" s="1324"/>
      <c r="D130" s="1110"/>
      <c r="E130" s="1079">
        <f>VLOOKUP($B130,DG!A:D,DG!$B$2,)</f>
        <v>0</v>
      </c>
      <c r="F130" s="1080" t="str">
        <f>VLOOKUP($B130,DG!A:D,DG!$C$2,)</f>
        <v>Đà Composite 110x80x5x800</v>
      </c>
      <c r="G130" s="1079" t="str">
        <f>VLOOKUP($B130,DG!A:D,DG!$D$2,)</f>
        <v>cái</v>
      </c>
      <c r="H130" s="1167">
        <f>H128</f>
        <v>0</v>
      </c>
      <c r="I130" s="1259">
        <f t="shared" si="4"/>
        <v>0</v>
      </c>
      <c r="J130" s="1108"/>
      <c r="K130" s="1108"/>
      <c r="L130" s="1082"/>
      <c r="M130" s="975">
        <v>25</v>
      </c>
    </row>
    <row r="131" spans="1:13" s="1083" customFormat="1" ht="25.2" hidden="1" customHeight="1">
      <c r="A131" s="1153">
        <f t="shared" si="3"/>
        <v>0</v>
      </c>
      <c r="B131" s="1324" t="s">
        <v>4765</v>
      </c>
      <c r="C131" s="1324"/>
      <c r="D131" s="1110"/>
      <c r="E131" s="1079">
        <f>VLOOKUP($B131,DG!A:D,DG!$B$2,)</f>
        <v>0</v>
      </c>
      <c r="F131" s="1080" t="str">
        <f>VLOOKUP($B131,DG!A:D,DG!$C$2,)</f>
        <v>Thanh chống Composite 10x40x720</v>
      </c>
      <c r="G131" s="1079" t="str">
        <f>VLOOKUP($B131,DG!A:D,DG!$D$2,)</f>
        <v>cái</v>
      </c>
      <c r="H131" s="1167">
        <f>H130</f>
        <v>0</v>
      </c>
      <c r="I131" s="1259">
        <f t="shared" ref="I131" si="6">IF(M131=$M$23,H131+J131-K131,0)</f>
        <v>0</v>
      </c>
      <c r="J131" s="1108"/>
      <c r="K131" s="1108"/>
      <c r="L131" s="1082"/>
      <c r="M131" s="975">
        <v>25</v>
      </c>
    </row>
    <row r="132" spans="1:13" s="1083" customFormat="1" ht="25.2" hidden="1" customHeight="1">
      <c r="A132" s="1153">
        <f t="shared" si="3"/>
        <v>0</v>
      </c>
      <c r="B132" s="1324" t="s">
        <v>1079</v>
      </c>
      <c r="C132" s="1324"/>
      <c r="D132" s="1110"/>
      <c r="E132" s="1079">
        <f>VLOOKUP($B132,DG!A:D,DG!$B$2,)</f>
        <v>0</v>
      </c>
      <c r="F132" s="1080" t="str">
        <f>VLOOKUP($B132,DG!A:D,DG!$C$2,)</f>
        <v>Boulon 16x350+ 2 long đền vuông D18-50x50x3/Zn</v>
      </c>
      <c r="G132" s="1079" t="str">
        <f>VLOOKUP($B132,DG!A:D,DG!$D$2,)</f>
        <v>bộ</v>
      </c>
      <c r="H132" s="1167">
        <f>2*H128</f>
        <v>0</v>
      </c>
      <c r="I132" s="1259">
        <f t="shared" si="4"/>
        <v>0</v>
      </c>
      <c r="J132" s="1108"/>
      <c r="K132" s="1108"/>
      <c r="L132" s="1082"/>
      <c r="M132" s="975">
        <v>25</v>
      </c>
    </row>
    <row r="133" spans="1:13" s="1083" customFormat="1" ht="25.2" hidden="1" customHeight="1">
      <c r="A133" s="1153">
        <f t="shared" si="3"/>
        <v>0</v>
      </c>
      <c r="B133" s="1324" t="s">
        <v>4359</v>
      </c>
      <c r="C133" s="1324"/>
      <c r="D133" s="1110"/>
      <c r="E133" s="1079">
        <f>VLOOKUP($B133,DG!A:D,DG!$B$2,)</f>
        <v>0</v>
      </c>
      <c r="F133" s="1080" t="str">
        <f>VLOOKUP($B133,DG!A:D,DG!$C$2,)</f>
        <v>Boulon 14x150+ 2 long đền vuông D16-50x50x3/Zn</v>
      </c>
      <c r="G133" s="1079" t="str">
        <f>VLOOKUP($B133,DG!A:D,DG!$D$2,)</f>
        <v>bộ</v>
      </c>
      <c r="H133" s="1167">
        <f>H130</f>
        <v>0</v>
      </c>
      <c r="I133" s="1259">
        <f t="shared" si="4"/>
        <v>0</v>
      </c>
      <c r="J133" s="1108"/>
      <c r="K133" s="1108"/>
      <c r="L133" s="1082"/>
      <c r="M133" s="975">
        <v>25</v>
      </c>
    </row>
    <row r="134" spans="1:13" s="1083" customFormat="1" ht="25.2" hidden="1" customHeight="1">
      <c r="A134" s="1153">
        <f t="shared" si="3"/>
        <v>0</v>
      </c>
      <c r="B134" s="1324" t="s">
        <v>2277</v>
      </c>
      <c r="C134" s="1324"/>
      <c r="D134" s="1110"/>
      <c r="E134" s="1079">
        <f>VLOOKUP($B134,DG!A:D,DG!$B$2,)</f>
        <v>0</v>
      </c>
      <c r="F134" s="1080" t="str">
        <f>VLOOKUP($B134,DG!A:D,DG!$C$2,)</f>
        <v>Bass LL bắt FCO, LA</v>
      </c>
      <c r="G134" s="1079" t="str">
        <f>VLOOKUP($B134,DG!A:D,DG!$D$2,)</f>
        <v>bộ</v>
      </c>
      <c r="H134" s="1167"/>
      <c r="I134" s="1259">
        <f t="shared" ref="I134:I135" si="7">IF(M134=$M$23,H134+J134-K134,0)</f>
        <v>0</v>
      </c>
      <c r="J134" s="1108"/>
      <c r="K134" s="1108"/>
      <c r="L134" s="1082"/>
      <c r="M134" s="975">
        <v>25</v>
      </c>
    </row>
    <row r="135" spans="1:13" s="1083" customFormat="1" ht="25.2" hidden="1" customHeight="1">
      <c r="A135" s="1153">
        <f t="shared" si="3"/>
        <v>0</v>
      </c>
      <c r="B135" s="1324" t="s">
        <v>1999</v>
      </c>
      <c r="C135" s="1324"/>
      <c r="D135" s="1110"/>
      <c r="E135" s="1079" t="str">
        <f>VLOOKUP($B135,DG!A:D,DG!$B$2,)</f>
        <v>05.6401</v>
      </c>
      <c r="F135" s="1080" t="str">
        <f>VLOOKUP($B135,DG!A:D,DG!$C$2,)</f>
        <v>Lắp xà đỡ ≤ 25kg</v>
      </c>
      <c r="G135" s="1079" t="str">
        <f>VLOOKUP($B135,DG!A:D,DG!$D$2,)</f>
        <v>bộ</v>
      </c>
      <c r="H135" s="1167">
        <f>H130</f>
        <v>0</v>
      </c>
      <c r="I135" s="1259">
        <f t="shared" si="7"/>
        <v>0</v>
      </c>
      <c r="J135" s="1108"/>
      <c r="K135" s="1108"/>
      <c r="L135" s="1082"/>
      <c r="M135" s="975">
        <v>25</v>
      </c>
    </row>
    <row r="136" spans="1:13" s="1083" customFormat="1" ht="25.2" hidden="1" customHeight="1">
      <c r="A136" s="1153">
        <f t="shared" si="3"/>
        <v>0</v>
      </c>
      <c r="B136" s="1324"/>
      <c r="C136" s="1324"/>
      <c r="D136" s="1166">
        <f>IF(H136&gt;0,D128+1,D128)</f>
        <v>0</v>
      </c>
      <c r="E136" s="1185"/>
      <c r="F136" s="1197" t="s">
        <v>3694</v>
      </c>
      <c r="G136" s="1166" t="s">
        <v>2391</v>
      </c>
      <c r="H136" s="1845">
        <f>H128</f>
        <v>0</v>
      </c>
      <c r="I136" s="1259">
        <f t="shared" si="4"/>
        <v>0</v>
      </c>
      <c r="J136" s="1131"/>
      <c r="K136" s="1131"/>
      <c r="L136" s="1082"/>
      <c r="M136" s="975">
        <v>25</v>
      </c>
    </row>
    <row r="137" spans="1:13" s="1083" customFormat="1" ht="25.2" hidden="1" customHeight="1">
      <c r="A137" s="1153">
        <f t="shared" si="3"/>
        <v>0</v>
      </c>
      <c r="B137" s="1324"/>
      <c r="C137" s="1324"/>
      <c r="D137" s="1110"/>
      <c r="E137" s="1188"/>
      <c r="F137" s="1365" t="s">
        <v>2285</v>
      </c>
      <c r="G137" s="1110"/>
      <c r="H137" s="1167"/>
      <c r="I137" s="1259">
        <f t="shared" si="4"/>
        <v>0</v>
      </c>
      <c r="J137" s="1131"/>
      <c r="K137" s="1131"/>
      <c r="L137" s="1082"/>
      <c r="M137" s="975">
        <v>25</v>
      </c>
    </row>
    <row r="138" spans="1:13" s="1083" customFormat="1" ht="25.2" hidden="1" customHeight="1">
      <c r="A138" s="1153">
        <f t="shared" si="3"/>
        <v>0</v>
      </c>
      <c r="B138" s="1324" t="s">
        <v>103</v>
      </c>
      <c r="C138" s="1324"/>
      <c r="D138" s="1110"/>
      <c r="E138" s="1079">
        <f>VLOOKUP($B138,DG!A:D,DG!$B$2,)</f>
        <v>0</v>
      </c>
      <c r="F138" s="1080" t="str">
        <f>VLOOKUP($B138,DG!A:D,DG!$C$2,)&amp;" : "&amp;I3&amp;"m"</f>
        <v>Cáp đồng trần M25mm2 : 54m</v>
      </c>
      <c r="G138" s="1079" t="str">
        <f>VLOOKUP($B138,DG!A:D,DG!$D$2,)</f>
        <v>kg</v>
      </c>
      <c r="H138" s="1167">
        <v>13</v>
      </c>
      <c r="I138" s="1259">
        <f t="shared" si="4"/>
        <v>0</v>
      </c>
      <c r="J138" s="1108"/>
      <c r="K138" s="1108"/>
      <c r="L138" s="1082"/>
      <c r="M138" s="975">
        <v>25</v>
      </c>
    </row>
    <row r="139" spans="1:13" s="1083" customFormat="1" ht="25.2" hidden="1" customHeight="1">
      <c r="A139" s="1153">
        <f t="shared" si="3"/>
        <v>0</v>
      </c>
      <c r="B139" s="1154" t="s">
        <v>1511</v>
      </c>
      <c r="C139" s="1154"/>
      <c r="D139" s="1110"/>
      <c r="E139" s="1079">
        <f>VLOOKUP($B139,DG!A:D,DG!$B$2,)</f>
        <v>0</v>
      </c>
      <c r="F139" s="1080" t="str">
        <f>VLOOKUP($B139,DG!A:D,DG!$C$2,)</f>
        <v>Cọc tiếp đất Þ 16- 2,4m + kẹp cọc mạ đồng</v>
      </c>
      <c r="G139" s="1079" t="str">
        <f>VLOOKUP($B139,DG!A:D,DG!$D$2,)</f>
        <v>bộ</v>
      </c>
      <c r="H139" s="1167">
        <f>I2*H136</f>
        <v>0</v>
      </c>
      <c r="I139" s="1259">
        <f t="shared" si="4"/>
        <v>0</v>
      </c>
      <c r="J139" s="1108"/>
      <c r="K139" s="1108"/>
      <c r="L139" s="1082"/>
      <c r="M139" s="975">
        <v>25</v>
      </c>
    </row>
    <row r="140" spans="1:13" s="1083" customFormat="1" ht="25.2" hidden="1" customHeight="1">
      <c r="A140" s="1153">
        <f t="shared" si="3"/>
        <v>0</v>
      </c>
      <c r="B140" s="1154" t="s">
        <v>1493</v>
      </c>
      <c r="C140" s="1154"/>
      <c r="D140" s="1110"/>
      <c r="E140" s="1079" t="str">
        <f>VLOOKUP($B140,DG!A:D,DG!$B$2,)</f>
        <v>07.2403</v>
      </c>
      <c r="F140" s="1080" t="str">
        <f>VLOOKUP($B140,DG!A:D,DG!$C$2,)</f>
        <v xml:space="preserve">Ống PVC D21x1,6mm </v>
      </c>
      <c r="G140" s="1079" t="str">
        <f>VLOOKUP($B140,DG!A:D,DG!$D$2,)</f>
        <v>m</v>
      </c>
      <c r="H140" s="1167">
        <v>6</v>
      </c>
      <c r="I140" s="1259">
        <f t="shared" si="4"/>
        <v>0</v>
      </c>
      <c r="J140" s="1108"/>
      <c r="K140" s="1108"/>
      <c r="L140" s="1082"/>
      <c r="M140" s="975">
        <v>25</v>
      </c>
    </row>
    <row r="141" spans="1:13" s="1083" customFormat="1" ht="25.2" hidden="1" customHeight="1">
      <c r="A141" s="1153">
        <f t="shared" si="3"/>
        <v>0</v>
      </c>
      <c r="B141" s="1329" t="s">
        <v>13</v>
      </c>
      <c r="C141" s="1329"/>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2" hidden="1" customHeight="1">
      <c r="A142" s="1153">
        <f t="shared" si="3"/>
        <v>0</v>
      </c>
      <c r="B142" s="1329" t="s">
        <v>1073</v>
      </c>
      <c r="C142" s="1329"/>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2" hidden="1" customHeight="1">
      <c r="A143" s="1153">
        <f t="shared" si="3"/>
        <v>0</v>
      </c>
      <c r="B143" s="1329" t="s">
        <v>2023</v>
      </c>
      <c r="C143" s="1329"/>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2" hidden="1" customHeight="1">
      <c r="A144" s="1153">
        <f t="shared" si="3"/>
        <v>0</v>
      </c>
      <c r="B144" s="1329" t="s">
        <v>1114</v>
      </c>
      <c r="C144" s="1329"/>
      <c r="D144" s="1110"/>
      <c r="E144" s="1079">
        <f>VLOOKUP($B144,DG!A:D,DG!$B$2,)</f>
        <v>0</v>
      </c>
      <c r="F144" s="1080" t="str">
        <f>VLOOKUP($B144,DG!A:D,DG!$C$2,)</f>
        <v>Kẹp ép cỡ dây 25mm2</v>
      </c>
      <c r="G144" s="1079" t="str">
        <f>VLOOKUP($B144,DG!A:D,DG!$D$2,)</f>
        <v>cái</v>
      </c>
      <c r="H144" s="1167">
        <v>11</v>
      </c>
      <c r="I144" s="1259">
        <f t="shared" si="4"/>
        <v>0</v>
      </c>
      <c r="J144" s="1108"/>
      <c r="K144" s="1108"/>
      <c r="L144" s="1082"/>
      <c r="M144" s="975">
        <v>25</v>
      </c>
    </row>
    <row r="145" spans="1:13" s="1083" customFormat="1" ht="25.2"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v>4</v>
      </c>
      <c r="I145" s="1259">
        <f t="shared" si="4"/>
        <v>0</v>
      </c>
      <c r="J145" s="1108"/>
      <c r="K145" s="1108"/>
      <c r="L145" s="1082"/>
      <c r="M145" s="975">
        <v>25</v>
      </c>
    </row>
    <row r="146" spans="1:13" s="1083" customFormat="1" ht="25.2"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2"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2" hidden="1" customHeight="1">
      <c r="A148" s="1153">
        <f t="shared" si="3"/>
        <v>0</v>
      </c>
      <c r="B148" s="1154" t="s">
        <v>1130</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2" hidden="1" customHeight="1">
      <c r="A149" s="1153">
        <f t="shared" si="3"/>
        <v>0</v>
      </c>
      <c r="B149" s="1154" t="s">
        <v>2023</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2" hidden="1" customHeight="1">
      <c r="A150" s="1153">
        <f t="shared" si="3"/>
        <v>0</v>
      </c>
      <c r="B150" s="1154" t="s">
        <v>902</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2" hidden="1" customHeight="1">
      <c r="A151" s="1153">
        <f t="shared" si="3"/>
        <v>0</v>
      </c>
      <c r="B151" s="1154" t="s">
        <v>2189</v>
      </c>
      <c r="C151" s="1154"/>
      <c r="D151" s="1110"/>
      <c r="E151" s="1079" t="str">
        <f>VLOOKUP($B151,DG!A:D,DG!$B$2,)</f>
        <v>04.7002</v>
      </c>
      <c r="F151" s="1080" t="str">
        <f>VLOOKUP($B151,DG!A:D,DG!$C$2,)</f>
        <v>Kéo dây tiếp địa trong TBA</v>
      </c>
      <c r="G151" s="1079" t="str">
        <f>VLOOKUP($B151,DG!A:D,DG!$D$2,)</f>
        <v>mét</v>
      </c>
      <c r="H151" s="1167">
        <v>58</v>
      </c>
      <c r="I151" s="1259">
        <f t="shared" si="4"/>
        <v>0</v>
      </c>
      <c r="J151" s="1108"/>
      <c r="K151" s="1108"/>
      <c r="L151" s="1082"/>
      <c r="M151" s="975">
        <v>25</v>
      </c>
    </row>
    <row r="152" spans="1:13" s="1083" customFormat="1" ht="25.2" hidden="1" customHeight="1">
      <c r="A152" s="1153">
        <f t="shared" si="3"/>
        <v>0</v>
      </c>
      <c r="B152" s="1329" t="str">
        <f>"dtd"&amp;chitiet!G5</f>
        <v>dtd3</v>
      </c>
      <c r="C152" s="1329"/>
      <c r="D152" s="1110"/>
      <c r="E152" s="1079" t="str">
        <f>VLOOKUP($B152,DG!A:D,DG!$B$2,)</f>
        <v>03.3123</v>
      </c>
      <c r="F152" s="1080" t="str">
        <f>VLOOKUP($B152,DG!A:D,DG!$C$2,)</f>
        <v>Đào rãnh tiếp địa đất cấp 3</v>
      </c>
      <c r="G152" s="1079" t="str">
        <f>VLOOKUP($B152,DG!A:D,DG!$D$2,)</f>
        <v>m3</v>
      </c>
      <c r="H152" s="1167">
        <v>8.64</v>
      </c>
      <c r="I152" s="1259">
        <f t="shared" si="4"/>
        <v>0</v>
      </c>
      <c r="J152" s="1108"/>
      <c r="K152" s="1108"/>
      <c r="L152" s="1082"/>
      <c r="M152" s="975">
        <v>25</v>
      </c>
    </row>
    <row r="153" spans="1:13" s="1083" customFormat="1" ht="25.2" hidden="1" customHeight="1">
      <c r="A153" s="1153">
        <f t="shared" si="3"/>
        <v>0</v>
      </c>
      <c r="B153" s="1154" t="str">
        <f>"datd"&amp;chitiet!G5</f>
        <v>datd3</v>
      </c>
      <c r="C153" s="1154"/>
      <c r="D153" s="1110"/>
      <c r="E153" s="1079" t="str">
        <f>VLOOKUP($B153,DG!A:D,DG!$B$2,)</f>
        <v>03.4123</v>
      </c>
      <c r="F153" s="1080" t="str">
        <f>VLOOKUP($B153,DG!A:D,DG!$C$2,)</f>
        <v>Đắp đất rãnh tiếp độ chặt k=0,85</v>
      </c>
      <c r="G153" s="1079" t="str">
        <f>VLOOKUP($B153,DG!A:D,DG!$D$2,)</f>
        <v>m3</v>
      </c>
      <c r="H153" s="1167">
        <f>H152</f>
        <v>8.64</v>
      </c>
      <c r="I153" s="1259">
        <f t="shared" si="4"/>
        <v>0</v>
      </c>
      <c r="J153" s="1108"/>
      <c r="K153" s="1108"/>
      <c r="L153" s="1082"/>
      <c r="M153" s="975">
        <v>25</v>
      </c>
    </row>
    <row r="154" spans="1:13" s="1083" customFormat="1" ht="25.2" hidden="1" customHeight="1">
      <c r="A154" s="1153">
        <f t="shared" ref="A154:A217" si="8">IF(I154&gt;0,1,0)</f>
        <v>0</v>
      </c>
      <c r="B154" s="1329"/>
      <c r="C154" s="1329"/>
      <c r="D154" s="1166">
        <f>IF(H154&gt;0,D136+1,D136)</f>
        <v>0</v>
      </c>
      <c r="E154" s="1185"/>
      <c r="F154" s="1186" t="s">
        <v>3698</v>
      </c>
      <c r="G154" s="1166" t="s">
        <v>2391</v>
      </c>
      <c r="H154" s="1845">
        <f>H128</f>
        <v>0</v>
      </c>
      <c r="I154" s="1259">
        <f t="shared" si="4"/>
        <v>0</v>
      </c>
      <c r="J154" s="1131"/>
      <c r="K154" s="1131"/>
      <c r="L154" s="1082"/>
      <c r="M154" s="975">
        <v>25</v>
      </c>
    </row>
    <row r="155" spans="1:13" s="1083" customFormat="1" ht="25.2" hidden="1" customHeight="1">
      <c r="A155" s="1153">
        <f t="shared" si="8"/>
        <v>0</v>
      </c>
      <c r="B155" s="1329"/>
      <c r="C155" s="1329"/>
      <c r="D155" s="1166"/>
      <c r="E155" s="1185"/>
      <c r="F155" s="1365" t="s">
        <v>2285</v>
      </c>
      <c r="G155" s="1110"/>
      <c r="H155" s="1167"/>
      <c r="I155" s="1259">
        <f t="shared" si="4"/>
        <v>0</v>
      </c>
      <c r="J155" s="1131"/>
      <c r="K155" s="1131"/>
      <c r="L155" s="1082"/>
      <c r="M155" s="975">
        <v>25</v>
      </c>
    </row>
    <row r="156" spans="1:13" s="1083" customFormat="1" ht="25.2" hidden="1" customHeight="1">
      <c r="A156" s="1153">
        <f t="shared" si="8"/>
        <v>0</v>
      </c>
      <c r="B156" s="1331" t="s">
        <v>616</v>
      </c>
      <c r="C156" s="1331"/>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2" hidden="1" customHeight="1">
      <c r="A157" s="1153">
        <f t="shared" si="8"/>
        <v>0</v>
      </c>
      <c r="B157" s="1329" t="s">
        <v>879</v>
      </c>
      <c r="C157" s="1329"/>
      <c r="D157" s="1110"/>
      <c r="E157" s="1079" t="str">
        <f>VLOOKUP($B157,DG!A:D,DG!$B$2,)</f>
        <v>06.3231</v>
      </c>
      <c r="F157" s="1080" t="str">
        <f>VLOOKUP($B157,DG!A:D,DG!$C$2,)</f>
        <v>Cổ dê bắt tủ</v>
      </c>
      <c r="G157" s="1079" t="str">
        <f>VLOOKUP($B157,DG!A:D,DG!$D$2,)</f>
        <v>bộ</v>
      </c>
      <c r="H157" s="1167">
        <f>H154*2</f>
        <v>0</v>
      </c>
      <c r="I157" s="1259">
        <f t="shared" ref="I157:I224" si="9">IF(M157=$M$23,H157+J157-K157,0)</f>
        <v>0</v>
      </c>
      <c r="J157" s="1108"/>
      <c r="K157" s="1108"/>
      <c r="L157" s="1082"/>
      <c r="M157" s="975">
        <v>25</v>
      </c>
    </row>
    <row r="158" spans="1:13" s="1083" customFormat="1" ht="25.2" hidden="1" customHeight="1">
      <c r="A158" s="1153">
        <f t="shared" si="8"/>
        <v>0</v>
      </c>
      <c r="B158" s="1329" t="s">
        <v>880</v>
      </c>
      <c r="C158" s="1329"/>
      <c r="D158" s="1110"/>
      <c r="E158" s="1079">
        <f>VLOOKUP($B158,DG!A:D,DG!$B$2,)</f>
        <v>0</v>
      </c>
      <c r="F158" s="1080" t="str">
        <f>VLOOKUP($B158,DG!A:D,DG!$C$2,)</f>
        <v xml:space="preserve">Bakelit 550x450 dầy 10mm </v>
      </c>
      <c r="G158" s="1079" t="str">
        <f>VLOOKUP($B158,DG!A:D,DG!$D$2,)</f>
        <v>cái</v>
      </c>
      <c r="H158" s="1167">
        <v>2</v>
      </c>
      <c r="I158" s="1259">
        <f t="shared" si="9"/>
        <v>0</v>
      </c>
      <c r="J158" s="1108"/>
      <c r="K158" s="1108">
        <v>1</v>
      </c>
      <c r="L158" s="1082"/>
      <c r="M158" s="975">
        <v>25</v>
      </c>
    </row>
    <row r="159" spans="1:13" s="1083" customFormat="1" ht="25.2" hidden="1" customHeight="1">
      <c r="A159" s="1153">
        <f t="shared" si="8"/>
        <v>0</v>
      </c>
      <c r="B159" s="1329" t="s">
        <v>138</v>
      </c>
      <c r="C159" s="1329"/>
      <c r="D159" s="1110"/>
      <c r="E159" s="1079">
        <f>VLOOKUP($B159,DG!A:D,DG!$B$2,)</f>
        <v>0</v>
      </c>
      <c r="F159" s="1080" t="str">
        <f>VLOOKUP($B159,DG!A:D,DG!$C$2,)</f>
        <v>Boulon 12x40+ 2 long đền vuông D14-50x50x3/Zn</v>
      </c>
      <c r="G159" s="1079" t="str">
        <f>VLOOKUP($B159,DG!A:D,DG!$D$2,)</f>
        <v>bộ</v>
      </c>
      <c r="H159" s="1167">
        <f>H154*4*0</f>
        <v>0</v>
      </c>
      <c r="I159" s="1259">
        <f t="shared" si="9"/>
        <v>0</v>
      </c>
      <c r="J159" s="1108"/>
      <c r="K159" s="1108"/>
      <c r="L159" s="1082"/>
      <c r="M159" s="975">
        <v>25</v>
      </c>
    </row>
    <row r="160" spans="1:13" s="1083" customFormat="1" ht="25.2" hidden="1" customHeight="1">
      <c r="A160" s="1153">
        <f t="shared" si="8"/>
        <v>0</v>
      </c>
      <c r="B160" s="1329"/>
      <c r="C160" s="1329"/>
      <c r="D160" s="1166">
        <f>IF(H160&gt;0,D154+1,D154)</f>
        <v>0</v>
      </c>
      <c r="E160" s="1185"/>
      <c r="F160" s="1197" t="s">
        <v>3699</v>
      </c>
      <c r="G160" s="1166" t="s">
        <v>2391</v>
      </c>
      <c r="H160" s="1845">
        <f>I7</f>
        <v>0</v>
      </c>
      <c r="I160" s="1259">
        <f t="shared" si="9"/>
        <v>0</v>
      </c>
      <c r="J160" s="1131"/>
      <c r="K160" s="1131"/>
      <c r="L160" s="1082"/>
      <c r="M160" s="975">
        <v>25</v>
      </c>
    </row>
    <row r="161" spans="1:13" s="1083" customFormat="1" ht="25.2" hidden="1" customHeight="1">
      <c r="A161" s="1153">
        <f t="shared" si="8"/>
        <v>0</v>
      </c>
      <c r="B161" s="1329"/>
      <c r="C161" s="1329"/>
      <c r="D161" s="1166"/>
      <c r="E161" s="1185"/>
      <c r="F161" s="1365" t="s">
        <v>2285</v>
      </c>
      <c r="G161" s="1110"/>
      <c r="H161" s="1167"/>
      <c r="I161" s="1259">
        <f t="shared" si="9"/>
        <v>0</v>
      </c>
      <c r="J161" s="1131"/>
      <c r="K161" s="1131"/>
      <c r="L161" s="1082"/>
      <c r="M161" s="975">
        <v>25</v>
      </c>
    </row>
    <row r="162" spans="1:13" s="1083" customFormat="1" ht="25.2" hidden="1" customHeight="1">
      <c r="A162" s="1153">
        <f t="shared" si="8"/>
        <v>0</v>
      </c>
      <c r="B162" s="1327" t="s">
        <v>4475</v>
      </c>
      <c r="C162" s="1327"/>
      <c r="D162" s="1110"/>
      <c r="E162" s="1079">
        <f>VLOOKUP($B162,DG!A:D,DG!$B$2,)</f>
        <v>0</v>
      </c>
      <c r="F162" s="1080" t="str">
        <f>VLOOKUP($B162,DG!A:D,DG!$C$2,)</f>
        <v>Cáp 24KV C/XLPE/PVC 25mm2</v>
      </c>
      <c r="G162" s="1079" t="str">
        <f>VLOOKUP($B162,DG!A:D,DG!$D$2,)</f>
        <v>mét</v>
      </c>
      <c r="H162" s="1167">
        <v>4</v>
      </c>
      <c r="I162" s="1259">
        <f t="shared" si="9"/>
        <v>0</v>
      </c>
      <c r="J162" s="1108"/>
      <c r="K162" s="1108"/>
      <c r="L162" s="1082"/>
      <c r="M162" s="975">
        <v>25</v>
      </c>
    </row>
    <row r="163" spans="1:13" s="1083" customFormat="1" ht="25.2" hidden="1" customHeight="1">
      <c r="A163" s="1153">
        <f t="shared" si="8"/>
        <v>0</v>
      </c>
      <c r="B163" s="1154" t="s">
        <v>1482</v>
      </c>
      <c r="C163" s="1154"/>
      <c r="D163" s="1110"/>
      <c r="E163" s="1079" t="str">
        <f>VLOOKUP($B163,DG!A:D,DG!$B$2,)</f>
        <v>04.3007</v>
      </c>
      <c r="F163" s="1080" t="str">
        <f>VLOOKUP($B163,DG!A:D,DG!$C$2,)</f>
        <v>Kẹp quai 2/0</v>
      </c>
      <c r="G163" s="1079" t="str">
        <f>VLOOKUP($B163,DG!A:D,DG!$D$2,)</f>
        <v>cái</v>
      </c>
      <c r="H163" s="1167">
        <f>H160</f>
        <v>0</v>
      </c>
      <c r="I163" s="1259">
        <f t="shared" si="9"/>
        <v>0</v>
      </c>
      <c r="J163" s="1108"/>
      <c r="K163" s="1108"/>
      <c r="L163" s="1082"/>
      <c r="M163" s="975">
        <v>25</v>
      </c>
    </row>
    <row r="164" spans="1:13" s="1083" customFormat="1" ht="25.2" hidden="1" customHeight="1">
      <c r="A164" s="1153">
        <f t="shared" si="8"/>
        <v>0</v>
      </c>
      <c r="B164" s="1154" t="s">
        <v>1480</v>
      </c>
      <c r="C164" s="1154"/>
      <c r="D164" s="1110"/>
      <c r="E164" s="1079" t="str">
        <f>VLOOKUP($B164,DG!A:D,DG!$B$2,)</f>
        <v>04.3007</v>
      </c>
      <c r="F164" s="1080" t="str">
        <f>VLOOKUP($B164,DG!A:D,DG!$C$2,)</f>
        <v>Kẹp hotline 2/0</v>
      </c>
      <c r="G164" s="1079" t="str">
        <f>VLOOKUP($B164,DG!A:D,DG!$D$2,)</f>
        <v>cái</v>
      </c>
      <c r="H164" s="1167">
        <f t="shared" ref="H164" si="10">H156</f>
        <v>0</v>
      </c>
      <c r="I164" s="1259">
        <f t="shared" ref="I164:I167" si="11">IF(M164=$M$23,H164+J164-K164,0)</f>
        <v>0</v>
      </c>
      <c r="J164" s="1108"/>
      <c r="K164" s="1108"/>
      <c r="L164" s="1082"/>
      <c r="M164" s="975">
        <v>25</v>
      </c>
    </row>
    <row r="165" spans="1:13" s="1083" customFormat="1" ht="25.2" hidden="1" customHeight="1">
      <c r="A165" s="1153">
        <f t="shared" si="8"/>
        <v>0</v>
      </c>
      <c r="B165" s="1154" t="s">
        <v>4564</v>
      </c>
      <c r="C165" s="1154"/>
      <c r="D165" s="1110"/>
      <c r="E165" s="1079">
        <f>VLOOKUP($B165,DG!A:D,DG!$B$2,)</f>
        <v>0</v>
      </c>
      <c r="F165" s="1080" t="str">
        <f>VLOOKUP($B165,DG!A:D,DG!$C$2,)</f>
        <v>Chụp cách điện kẹp quai</v>
      </c>
      <c r="G165" s="1079" t="str">
        <f>VLOOKUP($B165,DG!A:D,DG!$D$2,)</f>
        <v>cái</v>
      </c>
      <c r="H165" s="1167">
        <f>H160</f>
        <v>0</v>
      </c>
      <c r="I165" s="1259">
        <f t="shared" si="11"/>
        <v>0</v>
      </c>
      <c r="J165" s="1108"/>
      <c r="K165" s="1108"/>
      <c r="L165" s="1082"/>
      <c r="M165" s="975">
        <v>25</v>
      </c>
    </row>
    <row r="166" spans="1:13" s="1083" customFormat="1" ht="25.2" hidden="1" customHeight="1">
      <c r="A166" s="1153">
        <f t="shared" si="8"/>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1"/>
        <v>0</v>
      </c>
      <c r="J166" s="1108"/>
      <c r="K166" s="1108"/>
      <c r="L166" s="1082"/>
      <c r="M166" s="975">
        <v>25</v>
      </c>
    </row>
    <row r="167" spans="1:13" s="1083" customFormat="1" ht="25.2" hidden="1" customHeight="1">
      <c r="A167" s="1153">
        <f t="shared" si="8"/>
        <v>0</v>
      </c>
      <c r="B167" s="1154" t="s">
        <v>379</v>
      </c>
      <c r="C167" s="1154"/>
      <c r="D167" s="1110"/>
      <c r="E167" s="1079">
        <f>VLOOKUP($B167,DG!A:D,DG!$B$2,)</f>
        <v>0</v>
      </c>
      <c r="F167" s="1080" t="str">
        <f>VLOOKUP($B167,DG!A:D,DG!$C$2,)</f>
        <v>Chụp đầu cực LA</v>
      </c>
      <c r="G167" s="1079" t="str">
        <f>VLOOKUP($B167,DG!A:D,DG!$D$2,)</f>
        <v>cái</v>
      </c>
      <c r="H167" s="1167">
        <v>1</v>
      </c>
      <c r="I167" s="1259">
        <f t="shared" si="11"/>
        <v>0</v>
      </c>
      <c r="J167" s="1108"/>
      <c r="K167" s="1108"/>
      <c r="L167" s="1082"/>
      <c r="M167" s="975">
        <v>25</v>
      </c>
    </row>
    <row r="168" spans="1:13" s="1083" customFormat="1" ht="25.2" hidden="1" customHeight="1">
      <c r="A168" s="1153">
        <f t="shared" si="8"/>
        <v>0</v>
      </c>
      <c r="B168" s="1154" t="s">
        <v>380</v>
      </c>
      <c r="C168" s="1154"/>
      <c r="D168" s="1110"/>
      <c r="E168" s="1079">
        <f>VLOOKUP($B168,DG!A:D,DG!$B$2,)</f>
        <v>0</v>
      </c>
      <c r="F168" s="1080" t="str">
        <f>VLOOKUP($B168,DG!A:D,DG!$C$2,)</f>
        <v>Chụp đầu MBA</v>
      </c>
      <c r="G168" s="1079" t="str">
        <f>VLOOKUP($B168,DG!A:D,DG!$D$2,)</f>
        <v>cái</v>
      </c>
      <c r="H168" s="1167">
        <f>H160</f>
        <v>0</v>
      </c>
      <c r="I168" s="1259">
        <f t="shared" si="9"/>
        <v>0</v>
      </c>
      <c r="J168" s="1108"/>
      <c r="K168" s="1108"/>
      <c r="L168" s="1082"/>
      <c r="M168" s="975">
        <v>25</v>
      </c>
    </row>
    <row r="169" spans="1:13" s="1083" customFormat="1" ht="25.2" hidden="1" customHeight="1">
      <c r="A169" s="1153">
        <f t="shared" si="8"/>
        <v>0</v>
      </c>
      <c r="B169" s="1154" t="s">
        <v>696</v>
      </c>
      <c r="C169" s="1154"/>
      <c r="D169" s="1110"/>
      <c r="E169" s="1079">
        <f>VLOOKUP($B169,DG!A:D,DG!$B$2,)</f>
        <v>0</v>
      </c>
      <c r="F169" s="1080" t="str">
        <f>VLOOKUP($B169,DG!A:D,DG!$C$2,)</f>
        <v xml:space="preserve">Sứ đứng 24KV </v>
      </c>
      <c r="G169" s="1079" t="str">
        <f>VLOOKUP($B169,DG!A:D,DG!$D$2,)</f>
        <v>cái</v>
      </c>
      <c r="H169" s="1167"/>
      <c r="I169" s="1259">
        <f t="shared" si="9"/>
        <v>0</v>
      </c>
      <c r="J169" s="1108"/>
      <c r="K169" s="1108"/>
      <c r="L169" s="1082"/>
      <c r="M169" s="975">
        <v>25</v>
      </c>
    </row>
    <row r="170" spans="1:13" s="1083" customFormat="1" ht="25.2" hidden="1" customHeight="1">
      <c r="A170" s="1153">
        <f t="shared" si="8"/>
        <v>0</v>
      </c>
      <c r="B170" s="1154" t="s">
        <v>1268</v>
      </c>
      <c r="C170" s="1154"/>
      <c r="D170" s="1110"/>
      <c r="E170" s="1079">
        <f>VLOOKUP($B170,DG!A:D,DG!$B$2,)</f>
        <v>0</v>
      </c>
      <c r="F170" s="1080" t="str">
        <f>VLOOKUP($B170,DG!A:D,DG!$C$2,)</f>
        <v>Chân sứ đứng D20</v>
      </c>
      <c r="G170" s="1079" t="str">
        <f>VLOOKUP($B170,DG!A:D,DG!$D$2,)</f>
        <v>cái</v>
      </c>
      <c r="H170" s="1167">
        <f>H169</f>
        <v>0</v>
      </c>
      <c r="I170" s="1259">
        <f t="shared" si="9"/>
        <v>0</v>
      </c>
      <c r="J170" s="1108"/>
      <c r="K170" s="1108"/>
      <c r="L170" s="1082"/>
      <c r="M170" s="975">
        <v>25</v>
      </c>
    </row>
    <row r="171" spans="1:13" s="1083" customFormat="1" ht="25.2" hidden="1" customHeight="1">
      <c r="A171" s="1153">
        <f t="shared" si="8"/>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9"/>
        <v>0</v>
      </c>
      <c r="J171" s="1108"/>
      <c r="K171" s="1108"/>
      <c r="L171" s="1082"/>
      <c r="M171" s="975">
        <v>25</v>
      </c>
    </row>
    <row r="172" spans="1:13" s="1083" customFormat="1" ht="25.2" hidden="1" customHeight="1">
      <c r="A172" s="1153">
        <f t="shared" si="8"/>
        <v>0</v>
      </c>
      <c r="B172" s="1154" t="s">
        <v>1528</v>
      </c>
      <c r="C172" s="1154"/>
      <c r="D172" s="1110"/>
      <c r="E172" s="1079" t="str">
        <f>VLOOKUP($B172,DG!A:D,DG!$B$2,)</f>
        <v>04.4201</v>
      </c>
      <c r="F172" s="1080" t="str">
        <f>VLOOKUP($B172,DG!A:D,DG!$C$2,)</f>
        <v>Lắp cáp đồng xuống thiết bị D ≤ 95mm2</v>
      </c>
      <c r="G172" s="1079" t="str">
        <f>VLOOKUP($B172,DG!A:D,DG!$D$2,)</f>
        <v>m</v>
      </c>
      <c r="H172" s="1167">
        <f>H162</f>
        <v>4</v>
      </c>
      <c r="I172" s="1259">
        <f t="shared" si="9"/>
        <v>0</v>
      </c>
      <c r="J172" s="1108"/>
      <c r="K172" s="1108"/>
      <c r="L172" s="1082"/>
      <c r="M172" s="975">
        <v>25</v>
      </c>
    </row>
    <row r="173" spans="1:13" s="1083" customFormat="1" ht="25.2" hidden="1" customHeight="1">
      <c r="A173" s="1153">
        <f t="shared" si="8"/>
        <v>0</v>
      </c>
      <c r="B173" s="1329"/>
      <c r="C173" s="1329"/>
      <c r="D173" s="1166">
        <f>IF(H173&gt;0,D160+1,D160)</f>
        <v>0</v>
      </c>
      <c r="E173" s="1185"/>
      <c r="F173" s="1197" t="s">
        <v>3700</v>
      </c>
      <c r="G173" s="1166" t="s">
        <v>2391</v>
      </c>
      <c r="H173" s="1845">
        <f>H105</f>
        <v>0</v>
      </c>
      <c r="I173" s="1259">
        <f t="shared" si="9"/>
        <v>0</v>
      </c>
      <c r="J173" s="1131"/>
      <c r="K173" s="1131"/>
      <c r="L173" s="1082"/>
      <c r="M173" s="975">
        <v>25</v>
      </c>
    </row>
    <row r="174" spans="1:13" s="1083" customFormat="1" ht="25.2" hidden="1" customHeight="1">
      <c r="A174" s="1153">
        <f t="shared" si="8"/>
        <v>0</v>
      </c>
      <c r="B174" s="1329"/>
      <c r="C174" s="1329"/>
      <c r="D174" s="1166"/>
      <c r="E174" s="1185"/>
      <c r="F174" s="1365" t="s">
        <v>2285</v>
      </c>
      <c r="G174" s="1166"/>
      <c r="H174" s="1845"/>
      <c r="I174" s="1259">
        <f t="shared" si="9"/>
        <v>0</v>
      </c>
      <c r="J174" s="1131"/>
      <c r="K174" s="1131"/>
      <c r="L174" s="1082"/>
      <c r="M174" s="975">
        <v>25</v>
      </c>
    </row>
    <row r="175" spans="1:13" s="1083" customFormat="1" ht="25.2" hidden="1" customHeight="1">
      <c r="A175" s="1153">
        <f t="shared" si="8"/>
        <v>0</v>
      </c>
      <c r="B175" s="1329" t="s">
        <v>237</v>
      </c>
      <c r="C175" s="1329"/>
      <c r="D175" s="1166"/>
      <c r="E175" s="1079">
        <f>VLOOKUP($B175,DG!A:D,DG!$B$2,)</f>
        <v>0</v>
      </c>
      <c r="F175" s="1080" t="str">
        <f>VLOOKUP($B175,DG!A:D,DG!$C$2,)</f>
        <v>Cáp đồng bọc CV70</v>
      </c>
      <c r="G175" s="1079" t="str">
        <f>VLOOKUP($B175,DG!A:D,DG!$D$2,)</f>
        <v>mét</v>
      </c>
      <c r="H175" s="1167">
        <f>H173*20</f>
        <v>0</v>
      </c>
      <c r="I175" s="1259">
        <f t="shared" si="9"/>
        <v>0</v>
      </c>
      <c r="J175" s="1108"/>
      <c r="K175" s="1108"/>
      <c r="L175" s="1082"/>
      <c r="M175" s="975">
        <v>25</v>
      </c>
    </row>
    <row r="176" spans="1:13" s="1083" customFormat="1" ht="25.2" hidden="1" customHeight="1">
      <c r="A176" s="1153">
        <f t="shared" si="8"/>
        <v>0</v>
      </c>
      <c r="B176" s="1329" t="s">
        <v>4545</v>
      </c>
      <c r="C176" s="1329"/>
      <c r="D176" s="1166"/>
      <c r="E176" s="1079" t="str">
        <f>VLOOKUP($B176,DG!A:D,DG!$B$2,)</f>
        <v>03.1401</v>
      </c>
      <c r="F176" s="1080" t="str">
        <f>VLOOKUP($B176,DG!A:D,DG!$C$2,)</f>
        <v xml:space="preserve">Cáp CVV 4x4mm2  </v>
      </c>
      <c r="G176" s="1079" t="str">
        <f>VLOOKUP($B176,DG!A:D,DG!$D$2,)</f>
        <v>mét</v>
      </c>
      <c r="H176" s="1167">
        <f>2*H173</f>
        <v>0</v>
      </c>
      <c r="I176" s="1259">
        <f t="shared" si="9"/>
        <v>0</v>
      </c>
      <c r="J176" s="1108"/>
      <c r="K176" s="1108"/>
      <c r="L176" s="1082"/>
      <c r="M176" s="975">
        <v>25</v>
      </c>
    </row>
    <row r="177" spans="1:13" s="1083" customFormat="1" ht="25.2" hidden="1" customHeight="1">
      <c r="A177" s="1153">
        <f t="shared" si="8"/>
        <v>0</v>
      </c>
      <c r="B177" s="1329" t="str">
        <f>"Cos"&amp;RIGHT(B175,2)</f>
        <v>Cos70</v>
      </c>
      <c r="C177" s="1329"/>
      <c r="D177" s="1110"/>
      <c r="E177" s="1079" t="str">
        <f>VLOOKUP($B177,DG!A:D,DG!$B$2,)</f>
        <v>03.4003</v>
      </c>
      <c r="F177" s="1080" t="str">
        <f>VLOOKUP($B177,DG!A:D,DG!$C$2,)</f>
        <v>Đầu cosse ép Cu 70mm2</v>
      </c>
      <c r="G177" s="1079" t="str">
        <f>VLOOKUP($B177,DG!A:D,DG!$D$2,)</f>
        <v>cái</v>
      </c>
      <c r="H177" s="1167">
        <f>H173*2</f>
        <v>0</v>
      </c>
      <c r="I177" s="1259">
        <f t="shared" si="9"/>
        <v>0</v>
      </c>
      <c r="J177" s="1108"/>
      <c r="K177" s="1108"/>
      <c r="L177" s="1082"/>
      <c r="M177" s="975">
        <v>25</v>
      </c>
    </row>
    <row r="178" spans="1:13" s="1083" customFormat="1" ht="25.2" hidden="1" customHeight="1">
      <c r="A178" s="1153">
        <f t="shared" si="8"/>
        <v>0</v>
      </c>
      <c r="B178" s="1329" t="str">
        <f>"chCos"&amp;RIGHT(B175,2)</f>
        <v>chCos70</v>
      </c>
      <c r="C178" s="1329"/>
      <c r="D178" s="1110"/>
      <c r="E178" s="1079">
        <f>VLOOKUP($B178,DG!A:D,DG!$B$2,)</f>
        <v>0</v>
      </c>
      <c r="F178" s="1080" t="str">
        <f>VLOOKUP($B178,DG!A:D,DG!$C$2,)</f>
        <v>Chụp đầu cosse  70mm2</v>
      </c>
      <c r="G178" s="1079" t="str">
        <f>VLOOKUP($B178,DG!A:D,DG!$D$2,)</f>
        <v>cái</v>
      </c>
      <c r="H178" s="1167">
        <f>H173*2</f>
        <v>0</v>
      </c>
      <c r="I178" s="1259">
        <f t="shared" si="9"/>
        <v>0</v>
      </c>
      <c r="J178" s="1108"/>
      <c r="K178" s="1108"/>
      <c r="L178" s="1082"/>
      <c r="M178" s="975">
        <v>25</v>
      </c>
    </row>
    <row r="179" spans="1:13" s="1083" customFormat="1" ht="25.2" hidden="1" customHeight="1">
      <c r="A179" s="1153">
        <f t="shared" si="8"/>
        <v>0</v>
      </c>
      <c r="B179" s="1329" t="s">
        <v>1042</v>
      </c>
      <c r="C179" s="1329"/>
      <c r="D179" s="1110"/>
      <c r="E179" s="1079">
        <f>VLOOKUP($B179,DG!A:D,DG!$B$2,)</f>
        <v>0</v>
      </c>
      <c r="F179" s="1080" t="str">
        <f>VLOOKUP($B179,DG!A:D,DG!$C$2,)</f>
        <v xml:space="preserve">Ống PVC D114x4,9mm </v>
      </c>
      <c r="G179" s="1079" t="str">
        <f>VLOOKUP($B179,DG!A:D,DG!$D$2,)</f>
        <v>m</v>
      </c>
      <c r="H179" s="1167">
        <v>7</v>
      </c>
      <c r="I179" s="1259">
        <f t="shared" si="9"/>
        <v>0</v>
      </c>
      <c r="J179" s="1108"/>
      <c r="K179" s="1108"/>
      <c r="L179" s="1082"/>
      <c r="M179" s="975">
        <v>25</v>
      </c>
    </row>
    <row r="180" spans="1:13" s="1083" customFormat="1" ht="25.2" hidden="1" customHeight="1">
      <c r="A180" s="1153">
        <f t="shared" si="8"/>
        <v>0</v>
      </c>
      <c r="B180" s="1154" t="s">
        <v>1866</v>
      </c>
      <c r="C180" s="1154"/>
      <c r="D180" s="1110"/>
      <c r="E180" s="1079" t="str">
        <f>VLOOKUP($B180,DG!A:D,DG!$B$2,)</f>
        <v>06.3231</v>
      </c>
      <c r="F180" s="1080" t="str">
        <f>VLOOKUP($B180,DG!A:D,DG!$C$2,)&amp;": 2 bộ: CD 90-250"</f>
        <v>Cổ dê kẹp ống PVC Ø 114: 2 bộ: CD 90-250</v>
      </c>
      <c r="G180" s="1079" t="str">
        <f>VLOOKUP($B180,DG!A:D,DG!$D$2,)</f>
        <v>bộ</v>
      </c>
      <c r="H180" s="1167">
        <v>2</v>
      </c>
      <c r="I180" s="1259">
        <f t="shared" si="9"/>
        <v>0</v>
      </c>
      <c r="J180" s="1108"/>
      <c r="K180" s="1108"/>
      <c r="L180" s="1082"/>
      <c r="M180" s="975">
        <v>25</v>
      </c>
    </row>
    <row r="181" spans="1:13" s="1083" customFormat="1" ht="25.2" hidden="1" customHeight="1">
      <c r="A181" s="1153">
        <f t="shared" si="8"/>
        <v>0</v>
      </c>
      <c r="B181" s="1154" t="s">
        <v>1866</v>
      </c>
      <c r="C181" s="1154"/>
      <c r="D181" s="1110"/>
      <c r="E181" s="1079" t="str">
        <f>VLOOKUP($B181,DG!A:D,DG!$B$2,)</f>
        <v>06.3231</v>
      </c>
      <c r="F181" s="1080" t="str">
        <f>VLOOKUP($B181,DG!A:D,DG!$C$2,)&amp;": 2 bộ: CD 90-280"</f>
        <v>Cổ dê kẹp ống PVC Ø 114: 2 bộ: CD 90-280</v>
      </c>
      <c r="G181" s="1079" t="str">
        <f>VLOOKUP($B181,DG!A:D,DG!$D$2,)</f>
        <v>bộ</v>
      </c>
      <c r="H181" s="1167">
        <f>H173*0*2</f>
        <v>0</v>
      </c>
      <c r="I181" s="1259">
        <f t="shared" si="9"/>
        <v>0</v>
      </c>
      <c r="J181" s="1108"/>
      <c r="K181" s="1108"/>
      <c r="L181" s="1082"/>
      <c r="M181" s="975">
        <v>25</v>
      </c>
    </row>
    <row r="182" spans="1:13" s="1083" customFormat="1" ht="25.2" hidden="1" customHeight="1">
      <c r="A182" s="1153">
        <f t="shared" si="8"/>
        <v>0</v>
      </c>
      <c r="B182" s="1154" t="s">
        <v>1866</v>
      </c>
      <c r="C182" s="1154"/>
      <c r="D182" s="1110"/>
      <c r="E182" s="1079" t="str">
        <f>VLOOKUP($B182,DG!A:D,DG!$B$2,)</f>
        <v>06.3231</v>
      </c>
      <c r="F182" s="1080" t="str">
        <f>VLOOKUP($B182,DG!A:D,DG!$C$2,)&amp;": 2 bộ: CD 90-320"</f>
        <v>Cổ dê kẹp ống PVC Ø 114: 2 bộ: CD 90-320</v>
      </c>
      <c r="G182" s="1079" t="str">
        <f>VLOOKUP($B182,DG!A:D,DG!$D$2,)</f>
        <v>bộ</v>
      </c>
      <c r="H182" s="1167">
        <f>H173*0*2</f>
        <v>0</v>
      </c>
      <c r="I182" s="1259">
        <f t="shared" si="9"/>
        <v>0</v>
      </c>
      <c r="J182" s="1108"/>
      <c r="K182" s="1108"/>
      <c r="L182" s="1082"/>
      <c r="M182" s="975">
        <v>25</v>
      </c>
    </row>
    <row r="183" spans="1:13" s="1083" customFormat="1" ht="25.2" hidden="1" customHeight="1">
      <c r="A183" s="1153">
        <f t="shared" si="8"/>
        <v>0</v>
      </c>
      <c r="B183" s="1154" t="s">
        <v>1131</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9"/>
        <v>0</v>
      </c>
      <c r="J183" s="1108"/>
      <c r="K183" s="1108"/>
      <c r="L183" s="1082"/>
      <c r="M183" s="975">
        <v>25</v>
      </c>
    </row>
    <row r="184" spans="1:13" s="1083" customFormat="1" ht="25.2" hidden="1" customHeight="1">
      <c r="A184" s="1153">
        <f t="shared" si="8"/>
        <v>0</v>
      </c>
      <c r="B184" s="1154" t="s">
        <v>2023</v>
      </c>
      <c r="C184" s="1154"/>
      <c r="D184" s="1110"/>
      <c r="E184" s="1079">
        <f>VLOOKUP($B184,DG!A:D,DG!$B$2,)</f>
        <v>0</v>
      </c>
      <c r="F184" s="1080" t="str">
        <f>VLOOKUP($B184,DG!A:D,DG!$C$2,)</f>
        <v>Boulon 12x40+ 2 long đền vuông D14-50x50x3/Zn</v>
      </c>
      <c r="G184" s="1079" t="str">
        <f>VLOOKUP($B184,DG!A:D,DG!$D$2,)</f>
        <v>bộ</v>
      </c>
      <c r="H184" s="1167">
        <v>8</v>
      </c>
      <c r="I184" s="1259">
        <f t="shared" si="9"/>
        <v>0</v>
      </c>
      <c r="J184" s="1108"/>
      <c r="K184" s="1108"/>
      <c r="L184" s="1082"/>
      <c r="M184" s="975">
        <v>25</v>
      </c>
    </row>
    <row r="185" spans="1:13" s="1083" customFormat="1" ht="25.2" hidden="1" customHeight="1">
      <c r="A185" s="1153">
        <f t="shared" si="8"/>
        <v>0</v>
      </c>
      <c r="B185" s="1329" t="s">
        <v>1868</v>
      </c>
      <c r="C185" s="1329"/>
      <c r="D185" s="1110"/>
      <c r="E185" s="1079">
        <f>VLOOKUP($B185,DG!A:D,DG!$B$2,)</f>
        <v>0</v>
      </c>
      <c r="F185" s="1080" t="str">
        <f>VLOOKUP($B185,DG!A:D,DG!$C$2,)</f>
        <v>Co  90 độ PVC 114</v>
      </c>
      <c r="G185" s="1079" t="str">
        <f>VLOOKUP($B185,DG!A:D,DG!$D$2,)</f>
        <v>cái</v>
      </c>
      <c r="H185" s="1167">
        <f>2*H173</f>
        <v>0</v>
      </c>
      <c r="I185" s="1259">
        <f t="shared" si="9"/>
        <v>0</v>
      </c>
      <c r="J185" s="1108"/>
      <c r="K185" s="1108"/>
      <c r="L185" s="1082"/>
      <c r="M185" s="975">
        <v>25</v>
      </c>
    </row>
    <row r="186" spans="1:13" s="1083" customFormat="1" ht="25.2" hidden="1" customHeight="1">
      <c r="A186" s="1153">
        <f t="shared" si="8"/>
        <v>0</v>
      </c>
      <c r="B186" s="1329" t="s">
        <v>688</v>
      </c>
      <c r="C186" s="1329"/>
      <c r="D186" s="1110"/>
      <c r="E186" s="1079">
        <f>VLOOKUP($B186,DG!A:D,DG!$B$2,)</f>
        <v>0</v>
      </c>
      <c r="F186" s="1080" t="str">
        <f>VLOOKUP($B186,DG!A:D,DG!$C$2,)</f>
        <v>Nối ống PVC 114</v>
      </c>
      <c r="G186" s="1079" t="str">
        <f>VLOOKUP($B186,DG!A:D,DG!$D$2,)</f>
        <v>cái</v>
      </c>
      <c r="H186" s="1167">
        <f>H173*1</f>
        <v>0</v>
      </c>
      <c r="I186" s="1259">
        <f t="shared" si="9"/>
        <v>0</v>
      </c>
      <c r="J186" s="1108"/>
      <c r="K186" s="1108"/>
      <c r="L186" s="1082"/>
      <c r="M186" s="975">
        <v>25</v>
      </c>
    </row>
    <row r="187" spans="1:13" s="1083" customFormat="1" ht="25.2" hidden="1" customHeight="1">
      <c r="A187" s="1153">
        <f t="shared" si="8"/>
        <v>0</v>
      </c>
      <c r="B187" s="1329" t="s">
        <v>2080</v>
      </c>
      <c r="C187" s="1329"/>
      <c r="D187" s="1110"/>
      <c r="E187" s="1079">
        <f>VLOOKUP($B187,DG!A:D,DG!$B$2,)</f>
        <v>0</v>
      </c>
      <c r="F187" s="1080" t="str">
        <f>VLOOKUP($B187,DG!A:D,DG!$C$2,)</f>
        <v>Keo dán ống PVC (100gr)</v>
      </c>
      <c r="G187" s="1079" t="str">
        <f>VLOOKUP($B187,DG!A:D,DG!$D$2,)</f>
        <v>tuýp</v>
      </c>
      <c r="H187" s="1167">
        <f>H173*2</f>
        <v>0</v>
      </c>
      <c r="I187" s="1259">
        <f t="shared" si="9"/>
        <v>0</v>
      </c>
      <c r="J187" s="1108"/>
      <c r="K187" s="1108"/>
      <c r="L187" s="1082"/>
      <c r="M187" s="975">
        <v>25</v>
      </c>
    </row>
    <row r="188" spans="1:13" s="1083" customFormat="1" ht="25.2" hidden="1" customHeight="1">
      <c r="A188" s="1153">
        <f t="shared" si="8"/>
        <v>0</v>
      </c>
      <c r="B188" s="1329" t="s">
        <v>489</v>
      </c>
      <c r="C188" s="1329"/>
      <c r="D188" s="1110"/>
      <c r="E188" s="1079">
        <f>VLOOKUP($B188,DG!A:D,DG!$B$2,)</f>
        <v>0</v>
      </c>
      <c r="F188" s="1080" t="str">
        <f>VLOOKUP($B188,DG!A:D,DG!$C$2,)</f>
        <v>Keo silicon bít miệng ống</v>
      </c>
      <c r="G188" s="1079" t="str">
        <f>VLOOKUP($B188,DG!A:D,DG!$D$2,)</f>
        <v>ống</v>
      </c>
      <c r="H188" s="1167">
        <f>H173</f>
        <v>0</v>
      </c>
      <c r="I188" s="1259">
        <f t="shared" si="9"/>
        <v>0</v>
      </c>
      <c r="J188" s="1108"/>
      <c r="K188" s="1108"/>
      <c r="L188" s="1082"/>
      <c r="M188" s="975">
        <v>25</v>
      </c>
    </row>
    <row r="189" spans="1:13" s="1083" customFormat="1" ht="25.2" hidden="1" customHeight="1">
      <c r="A189" s="1153">
        <f t="shared" si="8"/>
        <v>0</v>
      </c>
      <c r="B189" s="1154" t="s">
        <v>672</v>
      </c>
      <c r="C189" s="1154"/>
      <c r="D189" s="1110"/>
      <c r="E189" s="1079">
        <f>VLOOKUP($B189,DG!A:D,DG!$B$2,)</f>
        <v>0</v>
      </c>
      <c r="F189" s="1080" t="str">
        <f>VLOOKUP($B189,DG!A:D,DG!$C$2,)</f>
        <v>Băng keo cách điện</v>
      </c>
      <c r="G189" s="1079" t="str">
        <f>VLOOKUP($B189,DG!A:D,DG!$D$2,)</f>
        <v>cuộn</v>
      </c>
      <c r="H189" s="1167">
        <v>1</v>
      </c>
      <c r="I189" s="1259">
        <f t="shared" si="9"/>
        <v>0</v>
      </c>
      <c r="J189" s="1108"/>
      <c r="K189" s="1108"/>
      <c r="L189" s="1082"/>
      <c r="M189" s="975">
        <v>25</v>
      </c>
    </row>
    <row r="190" spans="1:13" s="1083" customFormat="1" ht="25.2" hidden="1" customHeight="1">
      <c r="A190" s="1153">
        <f t="shared" si="8"/>
        <v>0</v>
      </c>
      <c r="B190" s="1329" t="s">
        <v>2188</v>
      </c>
      <c r="C190" s="1329"/>
      <c r="D190" s="1110"/>
      <c r="E190" s="1079" t="str">
        <f>VLOOKUP($B190,DG!A:D,DG!$B$2,)</f>
        <v>07.2415</v>
      </c>
      <c r="F190" s="1080" t="str">
        <f>VLOOKUP($B190,DG!A:D,DG!$C$2,)</f>
        <v>Lắp ống nhựa PVC D90</v>
      </c>
      <c r="G190" s="1079" t="str">
        <f>VLOOKUP($B190,DG!A:D,DG!$D$2,)</f>
        <v>mét</v>
      </c>
      <c r="H190" s="1167">
        <f>H179</f>
        <v>7</v>
      </c>
      <c r="I190" s="1259">
        <f t="shared" si="9"/>
        <v>0</v>
      </c>
      <c r="J190" s="1108"/>
      <c r="K190" s="1108"/>
      <c r="L190" s="1082"/>
      <c r="M190" s="975">
        <v>25</v>
      </c>
    </row>
    <row r="191" spans="1:13" s="1083" customFormat="1" ht="25.2" hidden="1" customHeight="1">
      <c r="A191" s="1153">
        <f t="shared" si="8"/>
        <v>0</v>
      </c>
      <c r="B191" s="1154" t="s">
        <v>1528</v>
      </c>
      <c r="C191" s="1154"/>
      <c r="D191" s="1110"/>
      <c r="E191" s="1079" t="str">
        <f>VLOOKUP($B191,DG!A:D,DG!$B$2,)</f>
        <v>04.4201</v>
      </c>
      <c r="F191" s="1080" t="str">
        <f>VLOOKUP($B191,DG!A:D,DG!$C$2,)</f>
        <v>Lắp cáp đồng xuống thiết bị D ≤ 95mm2</v>
      </c>
      <c r="G191" s="1079" t="str">
        <f>VLOOKUP($B191,DG!A:D,DG!$D$2,)</f>
        <v>m</v>
      </c>
      <c r="H191" s="1167">
        <f>H175</f>
        <v>0</v>
      </c>
      <c r="I191" s="1259">
        <f t="shared" si="9"/>
        <v>0</v>
      </c>
      <c r="J191" s="1108"/>
      <c r="K191" s="1108"/>
      <c r="L191" s="1082"/>
      <c r="M191" s="975">
        <v>25</v>
      </c>
    </row>
    <row r="192" spans="1:13" s="1083" customFormat="1" ht="25.2" hidden="1" customHeight="1">
      <c r="A192" s="1153">
        <f t="shared" si="8"/>
        <v>0</v>
      </c>
      <c r="B192" s="1329" t="s">
        <v>289</v>
      </c>
      <c r="C192" s="1329"/>
      <c r="D192" s="1198">
        <f>IF(H192&gt;0,D173+1,D173)</f>
        <v>0</v>
      </c>
      <c r="E192" s="1199"/>
      <c r="F192" s="1080" t="str">
        <f>VLOOKUP($B192,DG!A:D,DG!$C$2,)</f>
        <v>Bảng tên trạm, bảng báo nguy hiểm + đinh vít</v>
      </c>
      <c r="G192" s="1079" t="str">
        <f>VLOOKUP($B192,DG!A:D,DG!$D$2,)</f>
        <v>bộ</v>
      </c>
      <c r="H192" s="1850">
        <f>H128</f>
        <v>0</v>
      </c>
      <c r="I192" s="1259">
        <f t="shared" si="9"/>
        <v>0</v>
      </c>
      <c r="J192" s="1108"/>
      <c r="K192" s="1108"/>
      <c r="L192" s="1098"/>
      <c r="M192" s="975">
        <v>25</v>
      </c>
    </row>
    <row r="193" spans="1:14" s="1083" customFormat="1" ht="25.2" hidden="1" customHeight="1">
      <c r="A193" s="1153">
        <f t="shared" si="8"/>
        <v>0</v>
      </c>
      <c r="B193" s="1319"/>
      <c r="C193" s="1319"/>
      <c r="D193" s="1136"/>
      <c r="E193" s="1190"/>
      <c r="F193" s="1069"/>
      <c r="G193" s="1192"/>
      <c r="H193" s="1847"/>
      <c r="I193" s="1069"/>
      <c r="J193" s="1193"/>
      <c r="K193" s="1194"/>
      <c r="L193" s="1136"/>
      <c r="M193" s="975">
        <v>25</v>
      </c>
    </row>
    <row r="194" spans="1:14" s="1083" customFormat="1" ht="25.2" hidden="1" customHeight="1">
      <c r="A194" s="1153">
        <f t="shared" si="8"/>
        <v>0</v>
      </c>
      <c r="B194" s="1319"/>
      <c r="C194" s="1319"/>
      <c r="D194" s="1161"/>
      <c r="E194" s="975"/>
      <c r="H194" s="1880"/>
      <c r="I194" s="1259">
        <f t="shared" si="9"/>
        <v>0</v>
      </c>
      <c r="M194" s="975"/>
    </row>
    <row r="195" spans="1:14" s="1083" customFormat="1" ht="25.2" hidden="1" customHeight="1">
      <c r="A195" s="1153">
        <f t="shared" si="8"/>
        <v>0</v>
      </c>
      <c r="B195" s="1319"/>
      <c r="C195" s="1319"/>
      <c r="D195" s="1323" t="str">
        <f>"BAÛNG TOÅNG HÔÏP VAÄT LIEÄU, NHAÂN COÂNG, MAÙY THI COÂNG : "&amp;I8&amp;" TRAÏM 1P37,5KVA"</f>
        <v>BAÛNG TOÅNG HÔÏP VAÄT LIEÄU, NHAÂN COÂNG, MAÙY THI COÂNG : 0 TRAÏM 1P37,5KVA</v>
      </c>
      <c r="E195" s="1322"/>
      <c r="F195" s="1321"/>
      <c r="G195" s="1321"/>
      <c r="H195" s="1848"/>
      <c r="I195" s="1259">
        <f t="shared" si="9"/>
        <v>0</v>
      </c>
      <c r="J195" s="1321"/>
      <c r="K195" s="1321"/>
      <c r="L195" s="982"/>
      <c r="M195" s="975"/>
    </row>
    <row r="196" spans="1:14" s="1083" customFormat="1" ht="25.2" hidden="1" customHeight="1">
      <c r="A196" s="1153">
        <f t="shared" si="8"/>
        <v>0</v>
      </c>
      <c r="B196" s="1324"/>
      <c r="C196" s="1324"/>
      <c r="D196" s="1156"/>
      <c r="E196" s="1157"/>
      <c r="F196" s="1069" t="s">
        <v>3690</v>
      </c>
      <c r="G196" s="1159"/>
      <c r="H196" s="1843"/>
      <c r="I196" s="1259">
        <f t="shared" si="9"/>
        <v>0</v>
      </c>
      <c r="J196" s="1159"/>
      <c r="K196" s="1159"/>
      <c r="L196" s="1136"/>
      <c r="M196" s="975" t="s">
        <v>4379</v>
      </c>
    </row>
    <row r="197" spans="1:14" s="1083" customFormat="1" ht="25.2" hidden="1" customHeight="1">
      <c r="A197" s="1153">
        <f t="shared" si="8"/>
        <v>0</v>
      </c>
      <c r="B197" s="1325" t="s">
        <v>1211</v>
      </c>
      <c r="C197" s="1325"/>
      <c r="D197" s="1090">
        <f>IF(H197&gt;0,1,0)</f>
        <v>0</v>
      </c>
      <c r="E197" s="1079" t="str">
        <f>VLOOKUP($B197,DG!A:D,DG!$B$2,)</f>
        <v>01.1412</v>
      </c>
      <c r="F197" s="1080" t="str">
        <f>VLOOKUP($B197,DG!A:D,DG!$C$2,)</f>
        <v>Máy biến áp 12,7/0,22-0,44kV  37,5kVA</v>
      </c>
      <c r="G197" s="1079" t="str">
        <f>VLOOKUP($B197,DG!A:D,DG!$D$2,)</f>
        <v>máy</v>
      </c>
      <c r="H197" s="1849">
        <f>I8</f>
        <v>0</v>
      </c>
      <c r="I197" s="1259">
        <f t="shared" si="9"/>
        <v>0</v>
      </c>
      <c r="J197" s="1108"/>
      <c r="K197" s="1108"/>
      <c r="L197" s="1196"/>
      <c r="M197" s="975" t="s">
        <v>4379</v>
      </c>
    </row>
    <row r="198" spans="1:14" s="1083" customFormat="1" ht="25.2" hidden="1" customHeight="1">
      <c r="A198" s="1153">
        <f t="shared" si="8"/>
        <v>0</v>
      </c>
      <c r="B198" s="1325" t="s">
        <v>1655</v>
      </c>
      <c r="C198" s="1325"/>
      <c r="D198" s="1090">
        <f t="shared" ref="D198:D203" si="12">IF(H198&gt;0,D197+1,D197)</f>
        <v>0</v>
      </c>
      <c r="E198" s="1079" t="str">
        <f>VLOOKUP($B198,DG!A:D,DG!$B$2,)</f>
        <v>02.3155</v>
      </c>
      <c r="F198" s="1080" t="str">
        <f>VLOOKUP($B198,DG!A:D,DG!$C$2,)</f>
        <v>FCO 27kV - 100A</v>
      </c>
      <c r="G198" s="1079" t="str">
        <f>VLOOKUP($B198,DG!A:D,DG!$D$2,)</f>
        <v>cái</v>
      </c>
      <c r="H198" s="1167">
        <f>+H197</f>
        <v>0</v>
      </c>
      <c r="I198" s="1259">
        <f t="shared" si="9"/>
        <v>0</v>
      </c>
      <c r="J198" s="1108"/>
      <c r="K198" s="1108"/>
      <c r="L198" s="1082"/>
      <c r="M198" s="975" t="s">
        <v>4379</v>
      </c>
    </row>
    <row r="199" spans="1:14" s="1083" customFormat="1" ht="25.2" hidden="1" customHeight="1">
      <c r="A199" s="1153">
        <f t="shared" si="8"/>
        <v>0</v>
      </c>
      <c r="B199" s="1325" t="s">
        <v>888</v>
      </c>
      <c r="C199" s="1325"/>
      <c r="D199" s="1090">
        <f t="shared" si="12"/>
        <v>0</v>
      </c>
      <c r="E199" s="1079">
        <f>VLOOKUP($B199,DG!A:D,DG!$B$2,)</f>
        <v>0</v>
      </c>
      <c r="F199" s="1080" t="str">
        <f>VLOOKUP($B199,DG!A:D,DG!$C$2,)</f>
        <v>Dây chảy 3K</v>
      </c>
      <c r="G199" s="1079" t="str">
        <f>VLOOKUP($B199,DG!A:D,DG!$D$2,)</f>
        <v>Sợi</v>
      </c>
      <c r="H199" s="1167">
        <f>H198</f>
        <v>0</v>
      </c>
      <c r="I199" s="1259">
        <f t="shared" si="9"/>
        <v>0</v>
      </c>
      <c r="J199" s="1108"/>
      <c r="K199" s="1108"/>
      <c r="L199" s="1082"/>
      <c r="M199" s="975" t="s">
        <v>4379</v>
      </c>
    </row>
    <row r="200" spans="1:14" s="1083" customFormat="1" ht="25.2" hidden="1" customHeight="1">
      <c r="A200" s="1153">
        <f t="shared" si="8"/>
        <v>0</v>
      </c>
      <c r="B200" s="1319" t="s">
        <v>1376</v>
      </c>
      <c r="C200" s="1319"/>
      <c r="D200" s="1090">
        <f t="shared" si="12"/>
        <v>0</v>
      </c>
      <c r="E200" s="1079" t="str">
        <f>VLOOKUP($B200,DG!A:D,DG!$B$2,)</f>
        <v>02.5114</v>
      </c>
      <c r="F200" s="1080" t="str">
        <f>VLOOKUP($B200,DG!A:D,DG!$C$2,)</f>
        <v>Chống sét van LA-18KV-10KA</v>
      </c>
      <c r="G200" s="1079" t="str">
        <f>VLOOKUP($B200,DG!A:D,DG!$D$2,)</f>
        <v>cái</v>
      </c>
      <c r="H200" s="1167">
        <f>H198</f>
        <v>0</v>
      </c>
      <c r="I200" s="1259">
        <f t="shared" si="9"/>
        <v>0</v>
      </c>
      <c r="J200" s="1108"/>
      <c r="K200" s="1108"/>
      <c r="L200" s="1082"/>
      <c r="M200" s="975" t="s">
        <v>4379</v>
      </c>
    </row>
    <row r="201" spans="1:14" s="1083" customFormat="1" ht="25.2" hidden="1" customHeight="1">
      <c r="A201" s="1153">
        <f t="shared" si="8"/>
        <v>0</v>
      </c>
      <c r="B201" s="1326" t="s">
        <v>793</v>
      </c>
      <c r="C201" s="1326"/>
      <c r="D201" s="1090">
        <f t="shared" si="12"/>
        <v>0</v>
      </c>
      <c r="E201" s="1079" t="str">
        <f>VLOOKUP($B201,DG!A:D,DG!$B$2,)</f>
        <v>02.8401</v>
      </c>
      <c r="F201" s="1080" t="str">
        <f>VLOOKUP($B201,DG!A:D,DG!$C$2,)</f>
        <v>MCCB 3 cực 400V-100A - 30KA</v>
      </c>
      <c r="G201" s="1079" t="str">
        <f>VLOOKUP($B201,DG!A:D,DG!$D$2,)</f>
        <v>cái</v>
      </c>
      <c r="H201" s="1167">
        <f>H197</f>
        <v>0</v>
      </c>
      <c r="I201" s="1259">
        <f t="shared" si="9"/>
        <v>0</v>
      </c>
      <c r="J201" s="1108"/>
      <c r="K201" s="1108"/>
      <c r="L201" s="1082"/>
      <c r="M201" s="975" t="s">
        <v>4379</v>
      </c>
    </row>
    <row r="202" spans="1:14" s="1083" customFormat="1" ht="25.2" hidden="1" customHeight="1">
      <c r="A202" s="1153">
        <f t="shared" si="8"/>
        <v>0</v>
      </c>
      <c r="B202" s="1327" t="s">
        <v>2048</v>
      </c>
      <c r="C202" s="1327"/>
      <c r="D202" s="1090">
        <f t="shared" si="12"/>
        <v>0</v>
      </c>
      <c r="E202" s="1079">
        <f>VLOOKUP($B202,DG!A:D,DG!$B$2,)</f>
        <v>0</v>
      </c>
      <c r="F202" s="1080" t="str">
        <f>VLOOKUP($B202,DG!A:D,DG!$C$2,)</f>
        <v>Biến dòng 600V - 100/5A</v>
      </c>
      <c r="G202" s="1079" t="str">
        <f>VLOOKUP($B202,DG!A:D,DG!$D$2,)</f>
        <v>cái</v>
      </c>
      <c r="H202" s="1167">
        <f>H197*2</f>
        <v>0</v>
      </c>
      <c r="I202" s="1259">
        <f t="shared" si="9"/>
        <v>0</v>
      </c>
      <c r="J202" s="1108"/>
      <c r="K202" s="1108"/>
      <c r="L202" s="1082"/>
      <c r="M202" s="975" t="s">
        <v>4379</v>
      </c>
    </row>
    <row r="203" spans="1:14" s="1083" customFormat="1" ht="25.2" hidden="1" customHeight="1">
      <c r="A203" s="1153">
        <f t="shared" si="8"/>
        <v>0</v>
      </c>
      <c r="B203" s="1331" t="s">
        <v>287</v>
      </c>
      <c r="C203" s="1331"/>
      <c r="D203" s="1090">
        <f t="shared" si="12"/>
        <v>0</v>
      </c>
      <c r="E203" s="1079">
        <f>VLOOKUP($B203,DG!A:D,DG!$B$2,)</f>
        <v>0</v>
      </c>
      <c r="F203" s="1080" t="str">
        <f>VLOOKUP($B203,DG!A:D,DG!$C$2,)</f>
        <v>Điện kế 1 pha 2 dây 220V-5A</v>
      </c>
      <c r="G203" s="1079" t="str">
        <f>VLOOKUP($B203,DG!A:D,DG!$D$2,)</f>
        <v>cái</v>
      </c>
      <c r="H203" s="1167">
        <f>H197*2</f>
        <v>0</v>
      </c>
      <c r="I203" s="1259">
        <f t="shared" si="9"/>
        <v>0</v>
      </c>
      <c r="J203" s="1108"/>
      <c r="K203" s="1108"/>
      <c r="L203" s="1082"/>
      <c r="M203" s="975" t="s">
        <v>4379</v>
      </c>
    </row>
    <row r="204" spans="1:14" s="1083" customFormat="1" ht="25.2" hidden="1" customHeight="1">
      <c r="A204" s="1153">
        <f t="shared" si="8"/>
        <v>0</v>
      </c>
      <c r="B204" s="1324"/>
      <c r="C204" s="1324"/>
      <c r="D204" s="1107"/>
      <c r="E204" s="1179"/>
      <c r="F204" s="1160"/>
      <c r="G204" s="1107"/>
      <c r="H204" s="1202"/>
      <c r="I204" s="1259">
        <f t="shared" si="9"/>
        <v>0</v>
      </c>
      <c r="J204" s="1160"/>
      <c r="K204" s="1107"/>
      <c r="L204" s="1136"/>
      <c r="M204" s="975" t="s">
        <v>4379</v>
      </c>
    </row>
    <row r="205" spans="1:14" s="1083" customFormat="1" ht="25.2" hidden="1" customHeight="1">
      <c r="A205" s="1153">
        <f t="shared" si="8"/>
        <v>0</v>
      </c>
      <c r="B205" s="1324"/>
      <c r="C205" s="1324"/>
      <c r="D205" s="1181"/>
      <c r="E205" s="1182"/>
      <c r="F205" s="1069" t="s">
        <v>3691</v>
      </c>
      <c r="G205" s="1069"/>
      <c r="H205" s="1843"/>
      <c r="I205" s="1259">
        <f t="shared" si="9"/>
        <v>0</v>
      </c>
      <c r="J205" s="1069"/>
      <c r="K205" s="1069"/>
      <c r="L205" s="1136"/>
      <c r="M205" s="975" t="s">
        <v>4379</v>
      </c>
    </row>
    <row r="206" spans="1:14" s="1083" customFormat="1" ht="25.2" hidden="1" customHeight="1">
      <c r="A206" s="1153">
        <f t="shared" si="8"/>
        <v>0</v>
      </c>
      <c r="B206" s="1324" t="s">
        <v>1613</v>
      </c>
      <c r="C206" s="1324"/>
      <c r="D206" s="1183">
        <f>IF(H218&gt;0,1,0)</f>
        <v>0</v>
      </c>
      <c r="E206" s="1185"/>
      <c r="F206" s="1080" t="str">
        <f>VLOOKUP($B206,DG!A:D,DG!$C$2,)</f>
        <v>Boulon 16x300+ 2 long đền vuông D18-50x50x3/Zn</v>
      </c>
      <c r="G206" s="1079" t="str">
        <f>VLOOKUP($B206,DG!A:D,DG!$D$2,)</f>
        <v>bộ</v>
      </c>
      <c r="H206" s="1845">
        <f>2*SUM(H197:H197)</f>
        <v>0</v>
      </c>
      <c r="I206" s="1259">
        <f t="shared" si="9"/>
        <v>0</v>
      </c>
      <c r="J206" s="1108"/>
      <c r="K206" s="1108"/>
      <c r="L206" s="1196"/>
      <c r="M206" s="975" t="s">
        <v>4379</v>
      </c>
    </row>
    <row r="207" spans="1:14" s="1083" customFormat="1" ht="25.2" hidden="1" customHeight="1">
      <c r="A207" s="1153">
        <f t="shared" si="8"/>
        <v>0</v>
      </c>
      <c r="B207" s="1324"/>
      <c r="C207" s="1324"/>
      <c r="D207" s="1078">
        <f>IF(H207&gt;0,D206+1,D206)</f>
        <v>0</v>
      </c>
      <c r="E207" s="1185"/>
      <c r="F207" s="1186" t="s">
        <v>3692</v>
      </c>
      <c r="G207" s="1166" t="s">
        <v>2391</v>
      </c>
      <c r="H207" s="1845">
        <f>H197</f>
        <v>0</v>
      </c>
      <c r="I207" s="1259">
        <f t="shared" si="9"/>
        <v>0</v>
      </c>
      <c r="J207" s="1131"/>
      <c r="K207" s="1131"/>
      <c r="L207" s="1110"/>
      <c r="M207" s="975" t="s">
        <v>4379</v>
      </c>
    </row>
    <row r="208" spans="1:14" s="1083" customFormat="1" ht="25.2" hidden="1" customHeight="1">
      <c r="A208" s="1153">
        <f t="shared" si="8"/>
        <v>0</v>
      </c>
      <c r="B208" s="1324"/>
      <c r="C208" s="1324"/>
      <c r="D208" s="1166"/>
      <c r="E208" s="1185"/>
      <c r="F208" s="1364" t="s">
        <v>2285</v>
      </c>
      <c r="G208" s="1110"/>
      <c r="H208" s="1167"/>
      <c r="I208" s="1259">
        <f t="shared" si="9"/>
        <v>0</v>
      </c>
      <c r="J208" s="1131"/>
      <c r="K208" s="1131"/>
      <c r="L208" s="1110"/>
      <c r="M208" s="975" t="s">
        <v>4379</v>
      </c>
      <c r="N208" s="1187"/>
    </row>
    <row r="209" spans="1:14" s="1083" customFormat="1" ht="25.2" hidden="1" customHeight="1">
      <c r="A209" s="1153">
        <f t="shared" si="8"/>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9"/>
        <v>0</v>
      </c>
      <c r="J209" s="1108"/>
      <c r="K209" s="1108"/>
      <c r="L209" s="1110"/>
      <c r="M209" s="975" t="s">
        <v>4379</v>
      </c>
      <c r="N209" s="1187"/>
    </row>
    <row r="210" spans="1:14" s="1083" customFormat="1" ht="25.2" hidden="1" customHeight="1">
      <c r="A210" s="1153">
        <f t="shared" si="8"/>
        <v>0</v>
      </c>
      <c r="B210" s="1154" t="s">
        <v>1818</v>
      </c>
      <c r="C210" s="1154"/>
      <c r="D210" s="1110"/>
      <c r="E210" s="1188"/>
      <c r="F210" s="1080" t="str">
        <f>VLOOKUP($B210,DG!A:D,DG!$C$2,)</f>
        <v>Vật liệu dựng trụ</v>
      </c>
      <c r="G210" s="1079" t="str">
        <f>VLOOKUP($B210,DG!A:D,DG!$D$2,)</f>
        <v>trụ</v>
      </c>
      <c r="H210" s="1167">
        <f>H209</f>
        <v>0</v>
      </c>
      <c r="I210" s="1259">
        <f t="shared" si="9"/>
        <v>0</v>
      </c>
      <c r="J210" s="1108"/>
      <c r="K210" s="1108"/>
      <c r="L210" s="1110"/>
      <c r="M210" s="975" t="s">
        <v>4379</v>
      </c>
      <c r="N210" s="1187"/>
    </row>
    <row r="211" spans="1:14" s="1083" customFormat="1" ht="25.2" hidden="1" customHeight="1">
      <c r="A211" s="1153">
        <f t="shared" si="8"/>
        <v>0</v>
      </c>
      <c r="B211" s="1154" t="s">
        <v>2132</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9"/>
        <v>0</v>
      </c>
      <c r="J211" s="1108"/>
      <c r="K211" s="1108"/>
      <c r="L211" s="1110"/>
      <c r="M211" s="975" t="s">
        <v>4379</v>
      </c>
      <c r="N211" s="1187"/>
    </row>
    <row r="212" spans="1:14" s="1083" customFormat="1" ht="25.2" hidden="1" customHeight="1">
      <c r="A212" s="1153">
        <f t="shared" si="8"/>
        <v>0</v>
      </c>
      <c r="B212" s="1324"/>
      <c r="C212" s="1324"/>
      <c r="D212" s="1078">
        <f>IF(H212&gt;0,D207+1,D207)</f>
        <v>0</v>
      </c>
      <c r="E212" s="1185"/>
      <c r="F212" s="1186" t="s">
        <v>2358</v>
      </c>
      <c r="G212" s="1166" t="s">
        <v>2391</v>
      </c>
      <c r="H212" s="1845">
        <f>H207</f>
        <v>0</v>
      </c>
      <c r="I212" s="1259">
        <f t="shared" si="9"/>
        <v>0</v>
      </c>
      <c r="J212" s="1131"/>
      <c r="K212" s="1131"/>
      <c r="L212" s="1110"/>
      <c r="M212" s="975" t="s">
        <v>4379</v>
      </c>
    </row>
    <row r="213" spans="1:14" s="1083" customFormat="1" ht="25.2" hidden="1" customHeight="1">
      <c r="A213" s="1153">
        <f t="shared" si="8"/>
        <v>0</v>
      </c>
      <c r="B213" s="1324"/>
      <c r="C213" s="1324"/>
      <c r="D213" s="1166"/>
      <c r="E213" s="1185"/>
      <c r="F213" s="1364" t="s">
        <v>2285</v>
      </c>
      <c r="G213" s="1110"/>
      <c r="H213" s="1167"/>
      <c r="I213" s="1259">
        <f t="shared" si="9"/>
        <v>0</v>
      </c>
      <c r="J213" s="1131"/>
      <c r="K213" s="1131"/>
      <c r="L213" s="1110"/>
      <c r="M213" s="975" t="s">
        <v>4379</v>
      </c>
      <c r="N213" s="1187"/>
    </row>
    <row r="214" spans="1:14" s="1083" customFormat="1" ht="25.2" hidden="1" customHeight="1">
      <c r="A214" s="1153">
        <f t="shared" si="8"/>
        <v>0</v>
      </c>
      <c r="B214" s="1331" t="s">
        <v>636</v>
      </c>
      <c r="C214" s="1331"/>
      <c r="D214" s="1110"/>
      <c r="E214" s="1079" t="str">
        <f>VLOOKUP($B214,DG!A:D,DG!$B$2,)</f>
        <v>04.4001</v>
      </c>
      <c r="F214" s="1080" t="str">
        <f>VLOOKUP($B214,DG!A:D,DG!$C$2,)</f>
        <v>Đà cản BTCT 1,2m</v>
      </c>
      <c r="G214" s="1079" t="str">
        <f>VLOOKUP($B214,DG!A:D,DG!$D$2,)</f>
        <v>cái</v>
      </c>
      <c r="H214" s="1167">
        <f>1*H212</f>
        <v>0</v>
      </c>
      <c r="I214" s="1259">
        <f t="shared" si="9"/>
        <v>0</v>
      </c>
      <c r="J214" s="1108"/>
      <c r="K214" s="1108"/>
      <c r="L214" s="1110"/>
      <c r="M214" s="975" t="s">
        <v>4379</v>
      </c>
      <c r="N214" s="1187"/>
    </row>
    <row r="215" spans="1:14" s="1083" customFormat="1" ht="25.2" hidden="1" customHeight="1">
      <c r="A215" s="1153">
        <f t="shared" si="8"/>
        <v>0</v>
      </c>
      <c r="B215" s="1331" t="s">
        <v>566</v>
      </c>
      <c r="C215" s="1331"/>
      <c r="D215" s="1110"/>
      <c r="E215" s="1079">
        <f>VLOOKUP($B215,DG!A:D,DG!$B$2,)</f>
        <v>0</v>
      </c>
      <c r="F215" s="1080" t="str">
        <f>VLOOKUP($B215,DG!A:D,DG!$C$2,)</f>
        <v>Boulon 22x650+ 2 long đền vuông D24-50x50x3/Zn</v>
      </c>
      <c r="G215" s="1079" t="str">
        <f>VLOOKUP($B215,DG!A:D,DG!$D$2,)</f>
        <v>bộ</v>
      </c>
      <c r="H215" s="1167">
        <f>H212</f>
        <v>0</v>
      </c>
      <c r="I215" s="1259">
        <f t="shared" si="9"/>
        <v>0</v>
      </c>
      <c r="J215" s="1108"/>
      <c r="K215" s="1108"/>
      <c r="L215" s="1110"/>
      <c r="M215" s="975" t="s">
        <v>4379</v>
      </c>
      <c r="N215" s="1187"/>
    </row>
    <row r="216" spans="1:14" s="1083" customFormat="1" ht="25.2" hidden="1" customHeight="1">
      <c r="A216" s="1153">
        <f t="shared" si="8"/>
        <v>0</v>
      </c>
      <c r="B216" s="1331" t="str">
        <f>IF(chitiet!G5=1,"MDD1",IF(chitiet!G5=2,"MDD2",IF(chitiet!G5=3,"MDD3",IF(chitiet!G5=4,"MDD4"))))</f>
        <v>MDD3</v>
      </c>
      <c r="C216" s="1331"/>
      <c r="D216" s="1110"/>
      <c r="E216" s="1079" t="str">
        <f>VLOOKUP($B216,DG!A:D,DG!$B$2,)</f>
        <v>03.1013</v>
      </c>
      <c r="F216" s="1080" t="str">
        <f>VLOOKUP($B216,DG!A:D,DG!$C$2,)</f>
        <v>Đào hố móng đất cấp 3 sâu &gt;1m</v>
      </c>
      <c r="G216" s="1079" t="str">
        <f>VLOOKUP($B216,DG!A:D,DG!$D$2,)</f>
        <v>m3</v>
      </c>
      <c r="H216" s="1167">
        <f>H212*1.45</f>
        <v>0</v>
      </c>
      <c r="I216" s="1259">
        <f t="shared" si="9"/>
        <v>0</v>
      </c>
      <c r="J216" s="1108"/>
      <c r="K216" s="1108"/>
      <c r="L216" s="1110"/>
      <c r="M216" s="975" t="s">
        <v>4379</v>
      </c>
      <c r="N216" s="1187"/>
    </row>
    <row r="217" spans="1:14" s="1083" customFormat="1" ht="25.2" hidden="1" customHeight="1">
      <c r="A217" s="1153">
        <f t="shared" si="8"/>
        <v>0</v>
      </c>
      <c r="B217" s="1331" t="str">
        <f>IF(chitiet!G5=1,"MDAP1",IF(chitiet!G5=2,"MDAP2",IF(chitiet!G5=3,"MDAP3",IF(chitiet!G5=4,"MDAP4"))))</f>
        <v>MDAP3</v>
      </c>
      <c r="C217" s="1331"/>
      <c r="D217" s="1110"/>
      <c r="E217" s="1079" t="str">
        <f>VLOOKUP($B217,DG!A:D,DG!$B$2,)</f>
        <v>03.4113</v>
      </c>
      <c r="F217" s="1080" t="str">
        <f>VLOOKUP($B217,DG!A:D,DG!$C$2,)</f>
        <v>Đắp đất hố móng, độ chặt k=0,95</v>
      </c>
      <c r="G217" s="1079" t="str">
        <f>VLOOKUP($B217,DG!A:D,DG!$D$2,)</f>
        <v>m3</v>
      </c>
      <c r="H217" s="1167">
        <f>H212*1.37</f>
        <v>0</v>
      </c>
      <c r="I217" s="1259">
        <f t="shared" si="9"/>
        <v>0</v>
      </c>
      <c r="J217" s="1108"/>
      <c r="K217" s="1108"/>
      <c r="L217" s="1110"/>
      <c r="M217" s="975" t="s">
        <v>4379</v>
      </c>
      <c r="N217" s="1187"/>
    </row>
    <row r="218" spans="1:14" s="1083" customFormat="1" ht="25.2" hidden="1" customHeight="1">
      <c r="A218" s="1153">
        <f t="shared" ref="A218:A281" si="13">IF(I218&gt;0,1,0)</f>
        <v>0</v>
      </c>
      <c r="B218" s="1324"/>
      <c r="C218" s="1324"/>
      <c r="D218" s="1078">
        <f>IF(H218&gt;0,D212+1,D212)</f>
        <v>0</v>
      </c>
      <c r="E218" s="1185"/>
      <c r="F218" s="1197" t="s">
        <v>3693</v>
      </c>
      <c r="G218" s="1166" t="s">
        <v>2391</v>
      </c>
      <c r="H218" s="1845">
        <f>SUM(H197:H197)</f>
        <v>0</v>
      </c>
      <c r="I218" s="1259">
        <f t="shared" si="9"/>
        <v>0</v>
      </c>
      <c r="J218" s="1108"/>
      <c r="K218" s="1108"/>
      <c r="L218" s="1082"/>
      <c r="M218" s="975" t="s">
        <v>4379</v>
      </c>
    </row>
    <row r="219" spans="1:14" s="1083" customFormat="1" ht="25.2" hidden="1" customHeight="1">
      <c r="A219" s="1153">
        <f t="shared" si="13"/>
        <v>0</v>
      </c>
      <c r="B219" s="1324"/>
      <c r="C219" s="1324"/>
      <c r="D219" s="1166"/>
      <c r="E219" s="1185"/>
      <c r="F219" s="1365" t="s">
        <v>2285</v>
      </c>
      <c r="G219" s="1110"/>
      <c r="H219" s="1167"/>
      <c r="I219" s="1259">
        <f t="shared" si="9"/>
        <v>0</v>
      </c>
      <c r="J219" s="1108"/>
      <c r="K219" s="1108"/>
      <c r="L219" s="1082"/>
      <c r="M219" s="975" t="s">
        <v>4379</v>
      </c>
    </row>
    <row r="220" spans="1:14" s="1083" customFormat="1" ht="25.2" hidden="1" customHeight="1">
      <c r="A220" s="1153">
        <f t="shared" si="13"/>
        <v>0</v>
      </c>
      <c r="B220" s="1324" t="s">
        <v>989</v>
      </c>
      <c r="C220" s="1324"/>
      <c r="D220" s="1110"/>
      <c r="E220" s="1079" t="str">
        <f>VLOOKUP($B220,DG!A:D,DG!$B$2,)</f>
        <v>05.6001</v>
      </c>
      <c r="F220" s="1080" t="str">
        <f>VLOOKUP($B220,DG!A:D,DG!$C$2,)</f>
        <v>Giá chữ "T" lắp FCO, LA (V50x50x5)</v>
      </c>
      <c r="G220" s="1079" t="str">
        <f>VLOOKUP($B220,DG!A:D,DG!$D$2,)</f>
        <v>Kg</v>
      </c>
      <c r="H220" s="1167">
        <f>1*H218</f>
        <v>0</v>
      </c>
      <c r="I220" s="1259">
        <f t="shared" si="9"/>
        <v>0</v>
      </c>
      <c r="J220" s="1108"/>
      <c r="K220" s="1108"/>
      <c r="L220" s="1082"/>
      <c r="M220" s="975" t="s">
        <v>4379</v>
      </c>
    </row>
    <row r="221" spans="1:14" s="1083" customFormat="1" ht="25.2" hidden="1" customHeight="1">
      <c r="A221" s="1153">
        <f t="shared" si="13"/>
        <v>0</v>
      </c>
      <c r="B221" s="1324" t="s">
        <v>1613</v>
      </c>
      <c r="C221" s="1324"/>
      <c r="D221" s="1110"/>
      <c r="E221" s="1188"/>
      <c r="F221" s="1080" t="str">
        <f>VLOOKUP($B221,DG!A:D,DG!$C$2,)</f>
        <v>Boulon 16x300+ 2 long đền vuông D18-50x50x3/Zn</v>
      </c>
      <c r="G221" s="1079" t="str">
        <f>VLOOKUP($B221,DG!A:D,DG!$D$2,)</f>
        <v>bộ</v>
      </c>
      <c r="H221" s="1167">
        <f>2*H218</f>
        <v>0</v>
      </c>
      <c r="I221" s="1259">
        <f t="shared" si="9"/>
        <v>0</v>
      </c>
      <c r="J221" s="1108"/>
      <c r="K221" s="1108"/>
      <c r="L221" s="1082"/>
      <c r="M221" s="975" t="s">
        <v>4379</v>
      </c>
    </row>
    <row r="222" spans="1:14" s="1083" customFormat="1" ht="25.2" hidden="1" customHeight="1">
      <c r="A222" s="1153">
        <f t="shared" si="13"/>
        <v>0</v>
      </c>
      <c r="B222" s="1324" t="s">
        <v>701</v>
      </c>
      <c r="C222" s="1324"/>
      <c r="D222" s="1110"/>
      <c r="E222" s="1188"/>
      <c r="F222" s="1080" t="str">
        <f>VLOOKUP($B222,DG!A:D,DG!$C$2,)</f>
        <v>Boulon 12x50+ 2 long đền vuông D14-50x50x3/Zn</v>
      </c>
      <c r="G222" s="1079" t="str">
        <f>VLOOKUP($B222,DG!A:D,DG!$D$2,)</f>
        <v>bộ</v>
      </c>
      <c r="H222" s="1167">
        <f>2*H218</f>
        <v>0</v>
      </c>
      <c r="I222" s="1259">
        <f t="shared" si="9"/>
        <v>0</v>
      </c>
      <c r="J222" s="1108"/>
      <c r="K222" s="1108"/>
      <c r="L222" s="1082"/>
      <c r="M222" s="975" t="s">
        <v>4379</v>
      </c>
    </row>
    <row r="223" spans="1:14" s="1083" customFormat="1" ht="25.2" hidden="1" customHeight="1">
      <c r="A223" s="1153">
        <f t="shared" si="13"/>
        <v>0</v>
      </c>
      <c r="B223" s="1324"/>
      <c r="C223" s="1324"/>
      <c r="D223" s="1166">
        <f>IF(H223&gt;0,D218+1,D218)</f>
        <v>0</v>
      </c>
      <c r="E223" s="1185"/>
      <c r="F223" s="1197" t="s">
        <v>3694</v>
      </c>
      <c r="G223" s="1166" t="s">
        <v>2391</v>
      </c>
      <c r="H223" s="1845">
        <f>H218</f>
        <v>0</v>
      </c>
      <c r="I223" s="1259">
        <f t="shared" si="9"/>
        <v>0</v>
      </c>
      <c r="J223" s="1108"/>
      <c r="K223" s="1108"/>
      <c r="L223" s="1082"/>
      <c r="M223" s="975" t="s">
        <v>4379</v>
      </c>
    </row>
    <row r="224" spans="1:14" s="1083" customFormat="1" ht="25.2" hidden="1" customHeight="1">
      <c r="A224" s="1153">
        <f t="shared" si="13"/>
        <v>0</v>
      </c>
      <c r="B224" s="1324"/>
      <c r="C224" s="1324"/>
      <c r="D224" s="1110"/>
      <c r="E224" s="1188"/>
      <c r="F224" s="1365" t="s">
        <v>2285</v>
      </c>
      <c r="G224" s="1110"/>
      <c r="H224" s="1167"/>
      <c r="I224" s="1259">
        <f t="shared" si="9"/>
        <v>0</v>
      </c>
      <c r="J224" s="1108"/>
      <c r="K224" s="1108"/>
      <c r="L224" s="1082"/>
      <c r="M224" s="975" t="s">
        <v>4379</v>
      </c>
    </row>
    <row r="225" spans="1:13" s="1083" customFormat="1" ht="25.2" hidden="1" customHeight="1">
      <c r="A225" s="1153">
        <f t="shared" si="13"/>
        <v>0</v>
      </c>
      <c r="B225" s="1324" t="s">
        <v>1033</v>
      </c>
      <c r="C225" s="1324"/>
      <c r="D225" s="1110"/>
      <c r="E225" s="1079">
        <f>VLOOKUP($B225,DG!A:D,DG!$B$2,)</f>
        <v>0</v>
      </c>
      <c r="F225" s="1080" t="str">
        <f>VLOOKUP($B225,DG!A:D,DG!$C$2,)</f>
        <v>Cáp đồng trần M25mm2</v>
      </c>
      <c r="G225" s="1079" t="str">
        <f>VLOOKUP($B225,DG!A:D,DG!$D$2,)</f>
        <v>kg</v>
      </c>
      <c r="H225" s="1167">
        <f>+H223*10*0.224</f>
        <v>0</v>
      </c>
      <c r="I225" s="1259">
        <f t="shared" ref="I225:I288" si="14">IF(M225=$M$23,H225+J225-K225,0)</f>
        <v>0</v>
      </c>
      <c r="J225" s="1108"/>
      <c r="K225" s="1108"/>
      <c r="L225" s="1082"/>
      <c r="M225" s="975" t="s">
        <v>4379</v>
      </c>
    </row>
    <row r="226" spans="1:13" s="1083" customFormat="1" ht="25.2" hidden="1" customHeight="1">
      <c r="A226" s="1153">
        <f t="shared" si="13"/>
        <v>0</v>
      </c>
      <c r="B226" s="1154" t="s">
        <v>1511</v>
      </c>
      <c r="C226" s="1154"/>
      <c r="D226" s="1110"/>
      <c r="E226" s="1079">
        <f>VLOOKUP($B226,DG!A:D,DG!$B$2,)</f>
        <v>0</v>
      </c>
      <c r="F226" s="1080" t="str">
        <f>VLOOKUP($B226,DG!A:D,DG!$C$2,)</f>
        <v>Cọc tiếp đất Þ 16- 2,4m + kẹp cọc mạ đồng</v>
      </c>
      <c r="G226" s="1079" t="str">
        <f>VLOOKUP($B226,DG!A:D,DG!$D$2,)</f>
        <v>bộ</v>
      </c>
      <c r="H226" s="1167">
        <f>12*H223</f>
        <v>0</v>
      </c>
      <c r="I226" s="1259">
        <f t="shared" si="14"/>
        <v>0</v>
      </c>
      <c r="J226" s="1108"/>
      <c r="K226" s="1108"/>
      <c r="L226" s="1082"/>
      <c r="M226" s="975" t="s">
        <v>4379</v>
      </c>
    </row>
    <row r="227" spans="1:13" s="1083" customFormat="1" ht="25.2" hidden="1" customHeight="1">
      <c r="A227" s="1153">
        <f t="shared" si="13"/>
        <v>0</v>
      </c>
      <c r="B227" s="1344" t="s">
        <v>2012</v>
      </c>
      <c r="C227" s="1344"/>
      <c r="D227" s="1110"/>
      <c r="E227" s="1079">
        <f>VLOOKUP($B227,DG!A:D,DG!$B$2,)</f>
        <v>0</v>
      </c>
      <c r="F227" s="1080" t="str">
        <f>VLOOKUP($B227,DG!A:D,DG!$C$2,)</f>
        <v>Sắt Ø10</v>
      </c>
      <c r="G227" s="1079" t="str">
        <f>VLOOKUP($B227,DG!A:D,DG!$D$2,)</f>
        <v>kg</v>
      </c>
      <c r="H227" s="1167">
        <f>40*H223</f>
        <v>0</v>
      </c>
      <c r="I227" s="1259">
        <f t="shared" si="14"/>
        <v>0</v>
      </c>
      <c r="J227" s="1108"/>
      <c r="K227" s="1108"/>
      <c r="L227" s="1082"/>
      <c r="M227" s="975" t="s">
        <v>4379</v>
      </c>
    </row>
    <row r="228" spans="1:13" s="1083" customFormat="1" ht="25.2" hidden="1" customHeight="1">
      <c r="A228" s="1153">
        <f t="shared" si="13"/>
        <v>0</v>
      </c>
      <c r="B228" s="1329" t="s">
        <v>905</v>
      </c>
      <c r="C228" s="1329"/>
      <c r="D228" s="1110"/>
      <c r="E228" s="1079">
        <f>VLOOKUP($B228,DG!A:D,DG!$B$2,)</f>
        <v>0</v>
      </c>
      <c r="F228" s="1080" t="str">
        <f>VLOOKUP($B228,DG!A:D,DG!$C$2,)</f>
        <v>Kẹp ép WR cỡ dây 50mm2</v>
      </c>
      <c r="G228" s="1079" t="str">
        <f>VLOOKUP($B228,DG!A:D,DG!$D$2,)</f>
        <v>cái</v>
      </c>
      <c r="H228" s="1167">
        <f>2*H223</f>
        <v>0</v>
      </c>
      <c r="I228" s="1259">
        <f t="shared" si="14"/>
        <v>0</v>
      </c>
      <c r="J228" s="1108"/>
      <c r="K228" s="1108"/>
      <c r="L228" s="1082"/>
      <c r="M228" s="975" t="s">
        <v>4379</v>
      </c>
    </row>
    <row r="229" spans="1:13" s="1083" customFormat="1" ht="25.2" hidden="1" customHeight="1">
      <c r="A229" s="1153">
        <f t="shared" si="13"/>
        <v>0</v>
      </c>
      <c r="B229" s="1329" t="s">
        <v>816</v>
      </c>
      <c r="C229" s="1329"/>
      <c r="D229" s="1110"/>
      <c r="E229" s="1079" t="str">
        <f>VLOOKUP($B229,DG!A:D,DG!$B$2,)</f>
        <v>04.3107</v>
      </c>
      <c r="F229" s="1080" t="str">
        <f>VLOOKUP($B229,DG!A:D,DG!$C$2,)</f>
        <v>Ốc siết cáp cỡ 25mm2</v>
      </c>
      <c r="G229" s="1079" t="str">
        <f>VLOOKUP($B229,DG!A:D,DG!$D$2,)</f>
        <v>cái</v>
      </c>
      <c r="H229" s="1167">
        <f>4*H223</f>
        <v>0</v>
      </c>
      <c r="I229" s="1259">
        <f t="shared" si="14"/>
        <v>0</v>
      </c>
      <c r="J229" s="1108"/>
      <c r="K229" s="1108"/>
      <c r="L229" s="1082"/>
      <c r="M229" s="975" t="s">
        <v>4379</v>
      </c>
    </row>
    <row r="230" spans="1:13" s="1083" customFormat="1" ht="25.2" hidden="1" customHeight="1">
      <c r="A230" s="1153">
        <f t="shared" si="13"/>
        <v>0</v>
      </c>
      <c r="B230" s="1329" t="s">
        <v>1306</v>
      </c>
      <c r="C230" s="1329"/>
      <c r="D230" s="1110"/>
      <c r="E230" s="1079" t="str">
        <f>VLOOKUP($B230,DG!A:D,DG!$B$2,)</f>
        <v>03.4003</v>
      </c>
      <c r="F230" s="1080" t="str">
        <f>VLOOKUP($B230,DG!A:D,DG!$C$2,)</f>
        <v>Đầu cosse ép Cu 70mm2</v>
      </c>
      <c r="G230" s="1079" t="str">
        <f>VLOOKUP($B230,DG!A:D,DG!$D$2,)</f>
        <v>cái</v>
      </c>
      <c r="H230" s="1167">
        <f>+H223*2</f>
        <v>0</v>
      </c>
      <c r="I230" s="1259">
        <f t="shared" si="14"/>
        <v>0</v>
      </c>
      <c r="J230" s="1108"/>
      <c r="K230" s="1108"/>
      <c r="L230" s="1082"/>
      <c r="M230" s="975" t="s">
        <v>4379</v>
      </c>
    </row>
    <row r="231" spans="1:13" s="1083" customFormat="1" ht="25.2" hidden="1" customHeight="1">
      <c r="A231" s="1153">
        <f t="shared" si="13"/>
        <v>0</v>
      </c>
      <c r="B231" s="1329" t="s">
        <v>1305</v>
      </c>
      <c r="C231" s="1329"/>
      <c r="D231" s="1110"/>
      <c r="E231" s="1079" t="str">
        <f>VLOOKUP($B231,DG!A:D,DG!$B$2,)</f>
        <v>03.4002</v>
      </c>
      <c r="F231" s="1080" t="str">
        <f>VLOOKUP($B231,DG!A:D,DG!$C$2,)</f>
        <v>Đầu cosse ép Cu 50mm2</v>
      </c>
      <c r="G231" s="1079" t="str">
        <f>VLOOKUP($B231,DG!A:D,DG!$D$2,)</f>
        <v>cái</v>
      </c>
      <c r="H231" s="1167">
        <f>+H223*3</f>
        <v>0</v>
      </c>
      <c r="I231" s="1259">
        <f t="shared" si="14"/>
        <v>0</v>
      </c>
      <c r="J231" s="1108"/>
      <c r="K231" s="1108"/>
      <c r="L231" s="1082"/>
      <c r="M231" s="975" t="s">
        <v>4379</v>
      </c>
    </row>
    <row r="232" spans="1:13" s="1083" customFormat="1" ht="25.2" hidden="1" customHeight="1">
      <c r="A232" s="1153">
        <f t="shared" si="13"/>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4"/>
        <v>0</v>
      </c>
      <c r="J232" s="1108"/>
      <c r="K232" s="1108"/>
      <c r="L232" s="1082"/>
      <c r="M232" s="975" t="s">
        <v>4379</v>
      </c>
    </row>
    <row r="233" spans="1:13" s="1083" customFormat="1" ht="25.2" hidden="1" customHeight="1">
      <c r="A233" s="1153">
        <f t="shared" si="13"/>
        <v>0</v>
      </c>
      <c r="B233" s="1154" t="s">
        <v>1353</v>
      </c>
      <c r="C233" s="1154"/>
      <c r="D233" s="1078"/>
      <c r="E233" s="1079">
        <f>VLOOKUP($B233,DG!A:D,DG!$B$2,)</f>
        <v>0</v>
      </c>
      <c r="F233" s="1080" t="s">
        <v>821</v>
      </c>
      <c r="G233" s="1079" t="str">
        <f>VLOOKUP($B233,DG!A:D,DG!$D$2,)</f>
        <v>bộ</v>
      </c>
      <c r="H233" s="1851">
        <f>+H223*10</f>
        <v>0</v>
      </c>
      <c r="I233" s="1259">
        <f t="shared" si="14"/>
        <v>0</v>
      </c>
      <c r="J233" s="1081"/>
      <c r="K233" s="1081"/>
      <c r="L233" s="1082"/>
      <c r="M233" s="975" t="s">
        <v>4379</v>
      </c>
    </row>
    <row r="234" spans="1:13" s="1083" customFormat="1" ht="25.2" hidden="1" customHeight="1">
      <c r="A234" s="1153">
        <f t="shared" si="13"/>
        <v>0</v>
      </c>
      <c r="B234" s="1329" t="s">
        <v>2189</v>
      </c>
      <c r="C234" s="1329"/>
      <c r="D234" s="1110"/>
      <c r="E234" s="1079" t="str">
        <f>VLOOKUP($B234,DG!A:D,DG!$B$2,)</f>
        <v>04.7002</v>
      </c>
      <c r="F234" s="1080" t="str">
        <f>VLOOKUP($B234,DG!A:D,DG!$C$2,)</f>
        <v>Kéo dây tiếp địa trong TBA</v>
      </c>
      <c r="G234" s="1079" t="str">
        <f>VLOOKUP($B234,DG!A:D,DG!$D$2,)</f>
        <v>mét</v>
      </c>
      <c r="H234" s="1167">
        <f>H223*I3</f>
        <v>0</v>
      </c>
      <c r="I234" s="1259">
        <f t="shared" si="14"/>
        <v>0</v>
      </c>
      <c r="J234" s="1108"/>
      <c r="K234" s="1108"/>
      <c r="L234" s="1082"/>
      <c r="M234" s="975" t="s">
        <v>4379</v>
      </c>
    </row>
    <row r="235" spans="1:13" s="1083" customFormat="1" ht="25.2" hidden="1" customHeight="1">
      <c r="A235" s="1153">
        <f t="shared" si="13"/>
        <v>0</v>
      </c>
      <c r="B235" s="1154" t="s">
        <v>902</v>
      </c>
      <c r="C235" s="1154"/>
      <c r="D235" s="1110"/>
      <c r="E235" s="1079" t="str">
        <f>VLOOKUP($B235,DG!A:D,DG!$B$2,)</f>
        <v>04.7001</v>
      </c>
      <c r="F235" s="1080" t="str">
        <f>VLOOKUP($B235,DG!A:D,DG!$C$2,)</f>
        <v>Đóng cọc tiếp địa trong TBA</v>
      </c>
      <c r="G235" s="1079" t="str">
        <f>VLOOKUP($B235,DG!A:D,DG!$D$2,)</f>
        <v>cọc</v>
      </c>
      <c r="H235" s="1167">
        <f>H226</f>
        <v>0</v>
      </c>
      <c r="I235" s="1259">
        <f t="shared" si="14"/>
        <v>0</v>
      </c>
      <c r="J235" s="1108"/>
      <c r="K235" s="1108"/>
      <c r="L235" s="1082"/>
      <c r="M235" s="975" t="s">
        <v>4379</v>
      </c>
    </row>
    <row r="236" spans="1:13" s="1083" customFormat="1" ht="25.2" hidden="1" customHeight="1">
      <c r="A236" s="1153">
        <f t="shared" si="13"/>
        <v>0</v>
      </c>
      <c r="B236" s="1329" t="str">
        <f>"dtd"&amp;chitiet!G5</f>
        <v>dtd3</v>
      </c>
      <c r="C236" s="1329"/>
      <c r="D236" s="1110"/>
      <c r="E236" s="1079" t="str">
        <f>VLOOKUP($B236,DG!A:D,DG!$B$2,)</f>
        <v>03.3123</v>
      </c>
      <c r="F236" s="1080" t="str">
        <f>VLOOKUP($B236,DG!A:D,DG!$C$2,)</f>
        <v>Đào rãnh tiếp địa đất cấp 3</v>
      </c>
      <c r="G236" s="1079" t="str">
        <f>VLOOKUP($B236,DG!A:D,DG!$D$2,)</f>
        <v>m3</v>
      </c>
      <c r="H236" s="1167">
        <f>+H223*11*0.3*0.8</f>
        <v>0</v>
      </c>
      <c r="I236" s="1259">
        <f t="shared" si="14"/>
        <v>0</v>
      </c>
      <c r="J236" s="1108"/>
      <c r="K236" s="1108"/>
      <c r="L236" s="1082"/>
      <c r="M236" s="975" t="s">
        <v>4379</v>
      </c>
    </row>
    <row r="237" spans="1:13" s="1083" customFormat="1" ht="25.2" hidden="1" customHeight="1">
      <c r="A237" s="1153">
        <f t="shared" si="13"/>
        <v>0</v>
      </c>
      <c r="B237" s="1154" t="str">
        <f>"datd"&amp;chitiet!G5</f>
        <v>datd3</v>
      </c>
      <c r="C237" s="1154"/>
      <c r="D237" s="1110"/>
      <c r="E237" s="1079" t="str">
        <f>VLOOKUP($B237,DG!A:D,DG!$B$2,)</f>
        <v>03.4123</v>
      </c>
      <c r="F237" s="1080" t="str">
        <f>VLOOKUP($B237,DG!A:D,DG!$C$2,)</f>
        <v>Đắp đất rãnh tiếp độ chặt k=0,85</v>
      </c>
      <c r="G237" s="1079" t="str">
        <f>VLOOKUP($B237,DG!A:D,DG!$D$2,)</f>
        <v>m3</v>
      </c>
      <c r="H237" s="1167">
        <f>+H236</f>
        <v>0</v>
      </c>
      <c r="I237" s="1259">
        <f t="shared" si="14"/>
        <v>0</v>
      </c>
      <c r="J237" s="1108"/>
      <c r="K237" s="1108"/>
      <c r="L237" s="1082"/>
      <c r="M237" s="975" t="s">
        <v>4379</v>
      </c>
    </row>
    <row r="238" spans="1:13" s="1083" customFormat="1" ht="25.2" hidden="1" customHeight="1">
      <c r="A238" s="1153">
        <f t="shared" si="13"/>
        <v>0</v>
      </c>
      <c r="B238" s="1329"/>
      <c r="C238" s="1329"/>
      <c r="D238" s="1166">
        <f>IF(H238&gt;0,D223+1,D223)</f>
        <v>0</v>
      </c>
      <c r="E238" s="1079"/>
      <c r="F238" s="1186" t="s">
        <v>3701</v>
      </c>
      <c r="G238" s="1166" t="s">
        <v>2391</v>
      </c>
      <c r="H238" s="1845">
        <f>H218</f>
        <v>0</v>
      </c>
      <c r="I238" s="1259">
        <f t="shared" si="14"/>
        <v>0</v>
      </c>
      <c r="J238" s="1108"/>
      <c r="K238" s="1108"/>
      <c r="L238" s="1082"/>
      <c r="M238" s="975" t="s">
        <v>4379</v>
      </c>
    </row>
    <row r="239" spans="1:13" s="1083" customFormat="1" ht="25.2" hidden="1" customHeight="1">
      <c r="A239" s="1153">
        <f t="shared" si="13"/>
        <v>0</v>
      </c>
      <c r="B239" s="1329"/>
      <c r="C239" s="1329"/>
      <c r="D239" s="1166"/>
      <c r="E239" s="1079"/>
      <c r="F239" s="1365" t="s">
        <v>2285</v>
      </c>
      <c r="G239" s="1110"/>
      <c r="H239" s="1167"/>
      <c r="I239" s="1259">
        <f t="shared" si="14"/>
        <v>0</v>
      </c>
      <c r="J239" s="1108"/>
      <c r="K239" s="1108"/>
      <c r="L239" s="1082"/>
      <c r="M239" s="975" t="s">
        <v>4379</v>
      </c>
    </row>
    <row r="240" spans="1:13" s="1083" customFormat="1" ht="25.2" hidden="1" customHeight="1">
      <c r="A240" s="1153">
        <f t="shared" si="13"/>
        <v>0</v>
      </c>
      <c r="B240" s="1331" t="s">
        <v>616</v>
      </c>
      <c r="C240" s="1331"/>
      <c r="D240" s="1110"/>
      <c r="E240" s="1079" t="str">
        <f>VLOOKUP($B240,DG!A:D,DG!$B$2,)</f>
        <v>05.1001</v>
      </c>
      <c r="F240" s="1080" t="str">
        <f>VLOOKUP($B240,DG!A:D,DG!$C$2,)</f>
        <v>Tủ CB trạm 1 pha + khóa + boulon</v>
      </c>
      <c r="G240" s="1079" t="str">
        <f>VLOOKUP($B240,DG!A:D,DG!$D$2,)</f>
        <v>cái</v>
      </c>
      <c r="H240" s="1167">
        <f>H238</f>
        <v>0</v>
      </c>
      <c r="I240" s="1259">
        <f t="shared" si="14"/>
        <v>0</v>
      </c>
      <c r="J240" s="1108"/>
      <c r="K240" s="1108"/>
      <c r="L240" s="1082"/>
      <c r="M240" s="975" t="s">
        <v>4379</v>
      </c>
    </row>
    <row r="241" spans="1:13" s="1083" customFormat="1" ht="25.2" hidden="1" customHeight="1">
      <c r="A241" s="1153">
        <f t="shared" si="13"/>
        <v>0</v>
      </c>
      <c r="B241" s="1329" t="s">
        <v>879</v>
      </c>
      <c r="C241" s="1329"/>
      <c r="D241" s="1110"/>
      <c r="E241" s="1079" t="str">
        <f>VLOOKUP($B241,DG!A:D,DG!$B$2,)</f>
        <v>06.3231</v>
      </c>
      <c r="F241" s="1080" t="str">
        <f>VLOOKUP($B241,DG!A:D,DG!$C$2,)</f>
        <v>Cổ dê bắt tủ</v>
      </c>
      <c r="G241" s="1079" t="str">
        <f>VLOOKUP($B241,DG!A:D,DG!$D$2,)</f>
        <v>bộ</v>
      </c>
      <c r="H241" s="1167">
        <f>2*H238</f>
        <v>0</v>
      </c>
      <c r="I241" s="1259">
        <f t="shared" si="14"/>
        <v>0</v>
      </c>
      <c r="J241" s="1108"/>
      <c r="K241" s="1108"/>
      <c r="L241" s="1082"/>
      <c r="M241" s="975" t="s">
        <v>4379</v>
      </c>
    </row>
    <row r="242" spans="1:13" s="1083" customFormat="1" ht="25.2" hidden="1" customHeight="1">
      <c r="A242" s="1153">
        <f t="shared" si="13"/>
        <v>0</v>
      </c>
      <c r="B242" s="1329" t="s">
        <v>880</v>
      </c>
      <c r="C242" s="1329"/>
      <c r="D242" s="1110"/>
      <c r="E242" s="1079">
        <f>VLOOKUP($B242,DG!A:D,DG!$B$2,)</f>
        <v>0</v>
      </c>
      <c r="F242" s="1080" t="str">
        <f>VLOOKUP($B242,DG!A:D,DG!$C$2,)</f>
        <v xml:space="preserve">Bakelit 550x450 dầy 10mm </v>
      </c>
      <c r="G242" s="1079" t="str">
        <f>VLOOKUP($B242,DG!A:D,DG!$D$2,)</f>
        <v>cái</v>
      </c>
      <c r="H242" s="1167">
        <f>H238</f>
        <v>0</v>
      </c>
      <c r="I242" s="1259">
        <f t="shared" si="14"/>
        <v>0</v>
      </c>
      <c r="J242" s="1108"/>
      <c r="K242" s="1108"/>
      <c r="L242" s="1082"/>
      <c r="M242" s="975" t="s">
        <v>4379</v>
      </c>
    </row>
    <row r="243" spans="1:13" s="1083" customFormat="1" ht="25.2" hidden="1" customHeight="1">
      <c r="A243" s="1153">
        <f t="shared" si="13"/>
        <v>0</v>
      </c>
      <c r="B243" s="1329"/>
      <c r="C243" s="1329"/>
      <c r="D243" s="1166">
        <f>IF(H243&gt;0,D238+1,D238)</f>
        <v>0</v>
      </c>
      <c r="E243" s="1079"/>
      <c r="F243" s="1197" t="s">
        <v>3696</v>
      </c>
      <c r="G243" s="1166" t="s">
        <v>2391</v>
      </c>
      <c r="H243" s="1845">
        <f>H238</f>
        <v>0</v>
      </c>
      <c r="I243" s="1259">
        <f t="shared" si="14"/>
        <v>0</v>
      </c>
      <c r="J243" s="1108"/>
      <c r="K243" s="1108"/>
      <c r="L243" s="1082"/>
      <c r="M243" s="975" t="s">
        <v>4379</v>
      </c>
    </row>
    <row r="244" spans="1:13" s="1083" customFormat="1" ht="25.2" hidden="1" customHeight="1">
      <c r="A244" s="1153">
        <f t="shared" si="13"/>
        <v>0</v>
      </c>
      <c r="B244" s="1329"/>
      <c r="C244" s="1329"/>
      <c r="D244" s="1166"/>
      <c r="E244" s="1079"/>
      <c r="F244" s="1365" t="s">
        <v>2285</v>
      </c>
      <c r="G244" s="1110"/>
      <c r="H244" s="1167"/>
      <c r="I244" s="1259">
        <f t="shared" si="14"/>
        <v>0</v>
      </c>
      <c r="J244" s="1108"/>
      <c r="K244" s="1108"/>
      <c r="L244" s="1082"/>
      <c r="M244" s="975" t="s">
        <v>4379</v>
      </c>
    </row>
    <row r="245" spans="1:13" s="1083" customFormat="1" ht="25.2" hidden="1" customHeight="1">
      <c r="A245" s="1153">
        <f t="shared" si="13"/>
        <v>0</v>
      </c>
      <c r="B245" s="1327" t="s">
        <v>4475</v>
      </c>
      <c r="C245" s="1327"/>
      <c r="D245" s="1110"/>
      <c r="E245" s="1079">
        <f>VLOOKUP($B245,DG!A:D,DG!$B$2,)</f>
        <v>0</v>
      </c>
      <c r="F245" s="1080" t="str">
        <f>VLOOKUP($B245,DG!A:D,DG!$C$2,)</f>
        <v>Cáp 24KV C/XLPE/PVC 25mm2</v>
      </c>
      <c r="G245" s="1079" t="str">
        <f>VLOOKUP($B245,DG!A:D,DG!$D$2,)</f>
        <v>mét</v>
      </c>
      <c r="H245" s="1167">
        <f>3*H243</f>
        <v>0</v>
      </c>
      <c r="I245" s="1259">
        <f t="shared" si="14"/>
        <v>0</v>
      </c>
      <c r="J245" s="1108"/>
      <c r="K245" s="1108"/>
      <c r="L245" s="1082"/>
      <c r="M245" s="975" t="s">
        <v>4379</v>
      </c>
    </row>
    <row r="246" spans="1:13" s="1083" customFormat="1" ht="25.2" hidden="1" customHeight="1">
      <c r="A246" s="1153">
        <f t="shared" si="13"/>
        <v>0</v>
      </c>
      <c r="B246" s="1154" t="s">
        <v>1482</v>
      </c>
      <c r="C246" s="1154"/>
      <c r="D246" s="1110"/>
      <c r="E246" s="1079" t="str">
        <f>VLOOKUP($B246,DG!A:D,DG!$B$2,)</f>
        <v>04.3007</v>
      </c>
      <c r="F246" s="1080" t="str">
        <f>VLOOKUP($B246,DG!A:D,DG!$C$2,)</f>
        <v>Kẹp quai 2/0</v>
      </c>
      <c r="G246" s="1079" t="str">
        <f>VLOOKUP($B246,DG!A:D,DG!$D$2,)</f>
        <v>cái</v>
      </c>
      <c r="H246" s="1167">
        <f>H243</f>
        <v>0</v>
      </c>
      <c r="I246" s="1259">
        <f t="shared" si="14"/>
        <v>0</v>
      </c>
      <c r="J246" s="1108"/>
      <c r="K246" s="1108"/>
      <c r="L246" s="1082"/>
      <c r="M246" s="975" t="s">
        <v>4379</v>
      </c>
    </row>
    <row r="247" spans="1:13" s="1083" customFormat="1" ht="25.2" hidden="1" customHeight="1">
      <c r="A247" s="1153">
        <f t="shared" si="13"/>
        <v>0</v>
      </c>
      <c r="B247" s="1154" t="s">
        <v>1480</v>
      </c>
      <c r="C247" s="1154"/>
      <c r="D247" s="1110"/>
      <c r="E247" s="1079" t="str">
        <f>VLOOKUP($B247,DG!A:D,DG!$B$2,)</f>
        <v>04.3007</v>
      </c>
      <c r="F247" s="1080" t="str">
        <f>VLOOKUP($B247,DG!A:D,DG!$C$2,)</f>
        <v>Kẹp hotline 2/0</v>
      </c>
      <c r="G247" s="1079" t="str">
        <f>VLOOKUP($B247,DG!A:D,DG!$D$2,)</f>
        <v>cái</v>
      </c>
      <c r="H247" s="1167">
        <f>H243</f>
        <v>0</v>
      </c>
      <c r="I247" s="1259">
        <f t="shared" si="14"/>
        <v>0</v>
      </c>
      <c r="J247" s="1108"/>
      <c r="K247" s="1108"/>
      <c r="L247" s="1082"/>
      <c r="M247" s="975" t="s">
        <v>4379</v>
      </c>
    </row>
    <row r="248" spans="1:13" s="1083" customFormat="1" ht="25.2" hidden="1" customHeight="1">
      <c r="A248" s="1153">
        <f t="shared" si="13"/>
        <v>0</v>
      </c>
      <c r="B248" s="1154" t="s">
        <v>1528</v>
      </c>
      <c r="C248" s="1154"/>
      <c r="D248" s="1110"/>
      <c r="E248" s="1079" t="str">
        <f>VLOOKUP($B248,DG!A:D,DG!$B$2,)</f>
        <v>04.4201</v>
      </c>
      <c r="F248" s="1080" t="str">
        <f>VLOOKUP($B248,DG!A:D,DG!$C$2,)</f>
        <v>Lắp cáp đồng xuống thiết bị D ≤ 95mm2</v>
      </c>
      <c r="G248" s="1079" t="str">
        <f>VLOOKUP($B248,DG!A:D,DG!$D$2,)</f>
        <v>m</v>
      </c>
      <c r="H248" s="1167">
        <f>H245</f>
        <v>0</v>
      </c>
      <c r="I248" s="1259">
        <f t="shared" si="14"/>
        <v>0</v>
      </c>
      <c r="J248" s="1108"/>
      <c r="K248" s="1108"/>
      <c r="L248" s="1082"/>
      <c r="M248" s="975" t="s">
        <v>4379</v>
      </c>
    </row>
    <row r="249" spans="1:13" s="1083" customFormat="1" ht="25.2" hidden="1" customHeight="1">
      <c r="A249" s="1153">
        <f t="shared" si="13"/>
        <v>0</v>
      </c>
      <c r="B249" s="1324"/>
      <c r="C249" s="1324"/>
      <c r="D249" s="1166">
        <f>IF(H249&gt;0,D243+1,D243)</f>
        <v>0</v>
      </c>
      <c r="E249" s="1079"/>
      <c r="F249" s="1186" t="s">
        <v>3702</v>
      </c>
      <c r="G249" s="1166" t="s">
        <v>2391</v>
      </c>
      <c r="H249" s="1845">
        <f>H197</f>
        <v>0</v>
      </c>
      <c r="I249" s="1259">
        <f t="shared" si="14"/>
        <v>0</v>
      </c>
      <c r="J249" s="1108"/>
      <c r="K249" s="1108"/>
      <c r="L249" s="1082"/>
      <c r="M249" s="975" t="s">
        <v>4379</v>
      </c>
    </row>
    <row r="250" spans="1:13" s="1083" customFormat="1" ht="25.2" hidden="1" customHeight="1">
      <c r="A250" s="1153">
        <f t="shared" si="13"/>
        <v>0</v>
      </c>
      <c r="B250" s="1324"/>
      <c r="C250" s="1324"/>
      <c r="D250" s="1166"/>
      <c r="E250" s="1079"/>
      <c r="F250" s="1364" t="s">
        <v>2285</v>
      </c>
      <c r="G250" s="1166"/>
      <c r="H250" s="1845"/>
      <c r="I250" s="1259">
        <f t="shared" si="14"/>
        <v>0</v>
      </c>
      <c r="J250" s="1108"/>
      <c r="K250" s="1108"/>
      <c r="L250" s="1082"/>
      <c r="M250" s="975" t="s">
        <v>4379</v>
      </c>
    </row>
    <row r="251" spans="1:13" s="1083" customFormat="1" ht="25.2" hidden="1" customHeight="1">
      <c r="A251" s="1153">
        <f t="shared" si="13"/>
        <v>0</v>
      </c>
      <c r="B251" s="1324" t="s">
        <v>237</v>
      </c>
      <c r="C251" s="1324"/>
      <c r="D251" s="1166"/>
      <c r="E251" s="1079">
        <f>VLOOKUP($B251,DG!A:D,DG!$B$2,)</f>
        <v>0</v>
      </c>
      <c r="F251" s="1080" t="str">
        <f>VLOOKUP($B251,DG!A:D,DG!$C$2,)</f>
        <v>Cáp đồng bọc CV70</v>
      </c>
      <c r="G251" s="1079" t="str">
        <f>VLOOKUP($B251,DG!A:D,DG!$D$2,)</f>
        <v>mét</v>
      </c>
      <c r="H251" s="1167">
        <f>H249*10*2</f>
        <v>0</v>
      </c>
      <c r="I251" s="1259">
        <f t="shared" si="14"/>
        <v>0</v>
      </c>
      <c r="J251" s="1108"/>
      <c r="K251" s="1108"/>
      <c r="L251" s="1082"/>
      <c r="M251" s="975" t="s">
        <v>4379</v>
      </c>
    </row>
    <row r="252" spans="1:13" s="1083" customFormat="1" ht="25.2" hidden="1" customHeight="1">
      <c r="A252" s="1153">
        <f t="shared" si="13"/>
        <v>0</v>
      </c>
      <c r="B252" s="1324" t="s">
        <v>82</v>
      </c>
      <c r="C252" s="1324"/>
      <c r="D252" s="1166"/>
      <c r="E252" s="1079">
        <f>VLOOKUP($B252,DG!A:D,DG!$B$2,)</f>
        <v>0</v>
      </c>
      <c r="F252" s="1080" t="str">
        <f>VLOOKUP($B252,DG!A:D,DG!$C$2,)</f>
        <v>Cáp đồng bọc CV50</v>
      </c>
      <c r="G252" s="1079" t="str">
        <f>VLOOKUP($B252,DG!A:D,DG!$D$2,)</f>
        <v>mét</v>
      </c>
      <c r="H252" s="1167">
        <f>H249*10</f>
        <v>0</v>
      </c>
      <c r="I252" s="1259">
        <f t="shared" si="14"/>
        <v>0</v>
      </c>
      <c r="J252" s="1108"/>
      <c r="K252" s="1108"/>
      <c r="L252" s="1082"/>
      <c r="M252" s="975" t="s">
        <v>4379</v>
      </c>
    </row>
    <row r="253" spans="1:13" s="1083" customFormat="1" ht="25.2" hidden="1" customHeight="1">
      <c r="A253" s="1153">
        <f t="shared" si="13"/>
        <v>0</v>
      </c>
      <c r="B253" s="1324" t="s">
        <v>1069</v>
      </c>
      <c r="C253" s="1324"/>
      <c r="D253" s="1166"/>
      <c r="E253" s="1079" t="str">
        <f>VLOOKUP($B253,DG!A:D,DG!$B$2,)</f>
        <v>03.1401</v>
      </c>
      <c r="F253" s="1080" t="str">
        <f>VLOOKUP($B253,DG!A:D,DG!$C$2,)</f>
        <v xml:space="preserve">Cáp CVV 4x2,5mm2  </v>
      </c>
      <c r="G253" s="1079" t="str">
        <f>VLOOKUP($B253,DG!A:D,DG!$D$2,)</f>
        <v>mét</v>
      </c>
      <c r="H253" s="1167">
        <f>6*H249</f>
        <v>0</v>
      </c>
      <c r="I253" s="1259">
        <f t="shared" si="14"/>
        <v>0</v>
      </c>
      <c r="J253" s="1108"/>
      <c r="K253" s="1108"/>
      <c r="L253" s="1082"/>
      <c r="M253" s="975" t="s">
        <v>4379</v>
      </c>
    </row>
    <row r="254" spans="1:13" s="1083" customFormat="1" ht="25.2" hidden="1" customHeight="1">
      <c r="A254" s="1153">
        <f t="shared" si="13"/>
        <v>0</v>
      </c>
      <c r="B254" s="1329" t="s">
        <v>1306</v>
      </c>
      <c r="C254" s="1329"/>
      <c r="D254" s="1110"/>
      <c r="E254" s="1079" t="str">
        <f>VLOOKUP($B254,DG!A:D,DG!$B$2,)</f>
        <v>03.4003</v>
      </c>
      <c r="F254" s="1080" t="str">
        <f>VLOOKUP($B254,DG!A:D,DG!$C$2,)</f>
        <v>Đầu cosse ép Cu 70mm2</v>
      </c>
      <c r="G254" s="1079" t="str">
        <f>VLOOKUP($B254,DG!A:D,DG!$D$2,)</f>
        <v>cái</v>
      </c>
      <c r="H254" s="1167">
        <f>2*H249</f>
        <v>0</v>
      </c>
      <c r="I254" s="1259">
        <f t="shared" si="14"/>
        <v>0</v>
      </c>
      <c r="J254" s="1108"/>
      <c r="K254" s="1108"/>
      <c r="L254" s="1082"/>
      <c r="M254" s="975" t="s">
        <v>4379</v>
      </c>
    </row>
    <row r="255" spans="1:13" s="1083" customFormat="1" ht="25.2" hidden="1" customHeight="1">
      <c r="A255" s="1153">
        <f t="shared" si="13"/>
        <v>0</v>
      </c>
      <c r="B255" s="1329" t="s">
        <v>1305</v>
      </c>
      <c r="C255" s="1329"/>
      <c r="D255" s="1110"/>
      <c r="E255" s="1079" t="str">
        <f>VLOOKUP($B255,DG!A:D,DG!$B$2,)</f>
        <v>03.4002</v>
      </c>
      <c r="F255" s="1080" t="str">
        <f>VLOOKUP($B255,DG!A:D,DG!$C$2,)</f>
        <v>Đầu cosse ép Cu 50mm2</v>
      </c>
      <c r="G255" s="1079" t="str">
        <f>VLOOKUP($B255,DG!A:D,DG!$D$2,)</f>
        <v>cái</v>
      </c>
      <c r="H255" s="1167">
        <f>H249*2</f>
        <v>0</v>
      </c>
      <c r="I255" s="1259">
        <f t="shared" si="14"/>
        <v>0</v>
      </c>
      <c r="J255" s="1108"/>
      <c r="K255" s="1108"/>
      <c r="L255" s="1082"/>
      <c r="M255" s="975" t="s">
        <v>4379</v>
      </c>
    </row>
    <row r="256" spans="1:13" s="1083" customFormat="1" ht="25.2" hidden="1" customHeight="1">
      <c r="A256" s="1153">
        <f t="shared" si="13"/>
        <v>0</v>
      </c>
      <c r="B256" s="1345" t="s">
        <v>611</v>
      </c>
      <c r="C256" s="1345"/>
      <c r="D256" s="1110"/>
      <c r="E256" s="1079">
        <f>VLOOKUP($B256,DG!A:D,DG!$B$2,)</f>
        <v>0</v>
      </c>
      <c r="F256" s="1080" t="str">
        <f>VLOOKUP($B256,DG!A:D,DG!$C$2,)</f>
        <v>Chụp đầu cosse  70mm2</v>
      </c>
      <c r="G256" s="1079" t="str">
        <f>VLOOKUP($B256,DG!A:D,DG!$D$2,)</f>
        <v>cái</v>
      </c>
      <c r="H256" s="1167">
        <f>H254</f>
        <v>0</v>
      </c>
      <c r="I256" s="1259">
        <f t="shared" si="14"/>
        <v>0</v>
      </c>
      <c r="J256" s="1108"/>
      <c r="K256" s="1108"/>
      <c r="L256" s="1082"/>
      <c r="M256" s="975" t="s">
        <v>4379</v>
      </c>
    </row>
    <row r="257" spans="1:13" s="1083" customFormat="1" ht="25.2" hidden="1" customHeight="1">
      <c r="A257" s="1153">
        <f t="shared" si="13"/>
        <v>0</v>
      </c>
      <c r="B257" s="1345" t="s">
        <v>2157</v>
      </c>
      <c r="C257" s="1345"/>
      <c r="D257" s="1110"/>
      <c r="E257" s="1079">
        <f>VLOOKUP($B257,DG!A:D,DG!$B$2,)</f>
        <v>0</v>
      </c>
      <c r="F257" s="1080" t="str">
        <f>VLOOKUP($B257,DG!A:D,DG!$C$2,)</f>
        <v>Chụp đầu cosse  50mm2</v>
      </c>
      <c r="G257" s="1079" t="str">
        <f>VLOOKUP($B257,DG!A:D,DG!$D$2,)</f>
        <v>cái</v>
      </c>
      <c r="H257" s="1167">
        <f>H255</f>
        <v>0</v>
      </c>
      <c r="I257" s="1259">
        <f t="shared" si="14"/>
        <v>0</v>
      </c>
      <c r="J257" s="1108"/>
      <c r="K257" s="1108"/>
      <c r="L257" s="1082"/>
      <c r="M257" s="975" t="s">
        <v>4379</v>
      </c>
    </row>
    <row r="258" spans="1:13" s="1083" customFormat="1" ht="25.2" hidden="1" customHeight="1">
      <c r="A258" s="1153">
        <f t="shared" si="13"/>
        <v>0</v>
      </c>
      <c r="B258" s="1329" t="s">
        <v>282</v>
      </c>
      <c r="C258" s="1329"/>
      <c r="D258" s="1110"/>
      <c r="E258" s="1079" t="str">
        <f>VLOOKUP($B258,DG!A:D,DG!$B$2,)</f>
        <v>04.8003</v>
      </c>
      <c r="F258" s="1080" t="str">
        <f>VLOOKUP($B258,DG!A:D,DG!$C$2,)</f>
        <v xml:space="preserve">Ống PVC D90x3,8mm </v>
      </c>
      <c r="G258" s="1079" t="str">
        <f>VLOOKUP($B258,DG!A:D,DG!$D$2,)</f>
        <v>m</v>
      </c>
      <c r="H258" s="1167">
        <f>8*H249</f>
        <v>0</v>
      </c>
      <c r="I258" s="1259">
        <f t="shared" si="14"/>
        <v>0</v>
      </c>
      <c r="J258" s="1108"/>
      <c r="K258" s="1108"/>
      <c r="L258" s="1082"/>
      <c r="M258" s="975" t="s">
        <v>4379</v>
      </c>
    </row>
    <row r="259" spans="1:13" s="1083" customFormat="1" ht="25.2" hidden="1" customHeight="1">
      <c r="A259" s="1153">
        <f t="shared" si="13"/>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4"/>
        <v>0</v>
      </c>
      <c r="J259" s="1108"/>
      <c r="K259" s="1108"/>
      <c r="L259" s="1082"/>
      <c r="M259" s="975" t="s">
        <v>4379</v>
      </c>
    </row>
    <row r="260" spans="1:13" s="1083" customFormat="1" ht="25.2" hidden="1" customHeight="1">
      <c r="A260" s="1153">
        <f t="shared" si="13"/>
        <v>0</v>
      </c>
      <c r="B260" s="1329" t="s">
        <v>283</v>
      </c>
      <c r="C260" s="1329"/>
      <c r="D260" s="1110"/>
      <c r="E260" s="1079">
        <f>VLOOKUP($B260,DG!A:D,DG!$B$2,)</f>
        <v>0</v>
      </c>
      <c r="F260" s="1080" t="str">
        <f>VLOOKUP($B260,DG!A:D,DG!$C$2,)</f>
        <v>Co sừng 90 độ PVC 90</v>
      </c>
      <c r="G260" s="1079" t="str">
        <f>VLOOKUP($B260,DG!A:D,DG!$D$2,)</f>
        <v>cái</v>
      </c>
      <c r="H260" s="1167">
        <f>4*H249</f>
        <v>0</v>
      </c>
      <c r="I260" s="1259">
        <f t="shared" si="14"/>
        <v>0</v>
      </c>
      <c r="J260" s="1108"/>
      <c r="K260" s="1108"/>
      <c r="L260" s="1082"/>
      <c r="M260" s="975" t="s">
        <v>4379</v>
      </c>
    </row>
    <row r="261" spans="1:13" s="1083" customFormat="1" ht="25.2" hidden="1" customHeight="1">
      <c r="A261" s="1153">
        <f t="shared" si="13"/>
        <v>0</v>
      </c>
      <c r="B261" s="1329" t="s">
        <v>725</v>
      </c>
      <c r="C261" s="1329"/>
      <c r="D261" s="1110"/>
      <c r="E261" s="1079">
        <f>VLOOKUP($B261,DG!A:D,DG!$B$2,)</f>
        <v>0</v>
      </c>
      <c r="F261" s="1080" t="str">
        <f>VLOOKUP($B261,DG!A:D,DG!$C$2,)</f>
        <v xml:space="preserve">Nối thẳng ống PVC 90 </v>
      </c>
      <c r="G261" s="1079" t="str">
        <f>VLOOKUP($B261,DG!A:D,DG!$D$2,)</f>
        <v>cái</v>
      </c>
      <c r="H261" s="1167">
        <f>H249</f>
        <v>0</v>
      </c>
      <c r="I261" s="1259">
        <f t="shared" si="14"/>
        <v>0</v>
      </c>
      <c r="J261" s="1108"/>
      <c r="K261" s="1108"/>
      <c r="L261" s="1082"/>
      <c r="M261" s="975" t="s">
        <v>4379</v>
      </c>
    </row>
    <row r="262" spans="1:13" s="1083" customFormat="1" ht="25.2" hidden="1" customHeight="1">
      <c r="A262" s="1153">
        <f t="shared" si="13"/>
        <v>0</v>
      </c>
      <c r="B262" s="1329" t="s">
        <v>2080</v>
      </c>
      <c r="C262" s="1329"/>
      <c r="D262" s="1110"/>
      <c r="E262" s="1079">
        <f>VLOOKUP($B262,DG!A:D,DG!$B$2,)</f>
        <v>0</v>
      </c>
      <c r="F262" s="1080" t="str">
        <f>VLOOKUP($B262,DG!A:D,DG!$C$2,)</f>
        <v>Keo dán ống PVC (100gr)</v>
      </c>
      <c r="G262" s="1079" t="str">
        <f>VLOOKUP($B262,DG!A:D,DG!$D$2,)</f>
        <v>tuýp</v>
      </c>
      <c r="H262" s="1167">
        <f>H249</f>
        <v>0</v>
      </c>
      <c r="I262" s="1259">
        <f t="shared" si="14"/>
        <v>0</v>
      </c>
      <c r="J262" s="1108"/>
      <c r="K262" s="1108"/>
      <c r="L262" s="1082"/>
      <c r="M262" s="975" t="s">
        <v>4379</v>
      </c>
    </row>
    <row r="263" spans="1:13" s="1083" customFormat="1" ht="25.2" hidden="1" customHeight="1">
      <c r="A263" s="1153">
        <f t="shared" si="13"/>
        <v>0</v>
      </c>
      <c r="B263" s="1329" t="s">
        <v>489</v>
      </c>
      <c r="C263" s="1329"/>
      <c r="D263" s="1110"/>
      <c r="E263" s="1079">
        <f>VLOOKUP($B263,DG!A:D,DG!$B$2,)</f>
        <v>0</v>
      </c>
      <c r="F263" s="1080" t="str">
        <f>VLOOKUP($B263,DG!A:D,DG!$C$2,)</f>
        <v>Keo silicon bít miệng ống</v>
      </c>
      <c r="G263" s="1079" t="str">
        <f>VLOOKUP($B263,DG!A:D,DG!$D$2,)</f>
        <v>ống</v>
      </c>
      <c r="H263" s="1167">
        <f>H249</f>
        <v>0</v>
      </c>
      <c r="I263" s="1259">
        <f t="shared" si="14"/>
        <v>0</v>
      </c>
      <c r="J263" s="1108"/>
      <c r="K263" s="1108"/>
      <c r="L263" s="1082"/>
      <c r="M263" s="975" t="s">
        <v>4379</v>
      </c>
    </row>
    <row r="264" spans="1:13" s="1083" customFormat="1" ht="25.2" hidden="1" customHeight="1">
      <c r="A264" s="1153">
        <f t="shared" si="13"/>
        <v>0</v>
      </c>
      <c r="B264" s="1154" t="s">
        <v>672</v>
      </c>
      <c r="C264" s="1154"/>
      <c r="D264" s="1110"/>
      <c r="E264" s="1079">
        <f>VLOOKUP($B264,DG!A:D,DG!$B$2,)</f>
        <v>0</v>
      </c>
      <c r="F264" s="1080" t="str">
        <f>VLOOKUP($B264,DG!A:D,DG!$C$2,)</f>
        <v>Băng keo cách điện</v>
      </c>
      <c r="G264" s="1079" t="str">
        <f>VLOOKUP($B264,DG!A:D,DG!$D$2,)</f>
        <v>cuộn</v>
      </c>
      <c r="H264" s="1167">
        <f>H249</f>
        <v>0</v>
      </c>
      <c r="I264" s="1259">
        <f t="shared" si="14"/>
        <v>0</v>
      </c>
      <c r="J264" s="1108"/>
      <c r="K264" s="1108"/>
      <c r="L264" s="1082"/>
      <c r="M264" s="975" t="s">
        <v>4379</v>
      </c>
    </row>
    <row r="265" spans="1:13" s="1083" customFormat="1" ht="25.2" hidden="1" customHeight="1">
      <c r="A265" s="1153">
        <f t="shared" si="13"/>
        <v>0</v>
      </c>
      <c r="B265" s="1329" t="s">
        <v>2188</v>
      </c>
      <c r="C265" s="1329"/>
      <c r="D265" s="1110"/>
      <c r="E265" s="1079" t="str">
        <f>VLOOKUP($B265,DG!A:D,DG!$B$2,)</f>
        <v>07.2415</v>
      </c>
      <c r="F265" s="1080" t="str">
        <f>VLOOKUP($B265,DG!A:D,DG!$C$2,)</f>
        <v>Lắp ống nhựa PVC D90</v>
      </c>
      <c r="G265" s="1079" t="str">
        <f>VLOOKUP($B265,DG!A:D,DG!$D$2,)</f>
        <v>mét</v>
      </c>
      <c r="H265" s="1167">
        <f>H258</f>
        <v>0</v>
      </c>
      <c r="I265" s="1259">
        <f t="shared" si="14"/>
        <v>0</v>
      </c>
      <c r="J265" s="1108"/>
      <c r="K265" s="1108"/>
      <c r="L265" s="1082"/>
      <c r="M265" s="975" t="s">
        <v>4379</v>
      </c>
    </row>
    <row r="266" spans="1:13" s="1083" customFormat="1" ht="25.2" hidden="1" customHeight="1">
      <c r="A266" s="1153">
        <f t="shared" si="13"/>
        <v>0</v>
      </c>
      <c r="B266" s="1154" t="s">
        <v>1528</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4"/>
        <v>0</v>
      </c>
      <c r="J266" s="1108"/>
      <c r="K266" s="1108"/>
      <c r="L266" s="1082"/>
      <c r="M266" s="975" t="s">
        <v>4379</v>
      </c>
    </row>
    <row r="267" spans="1:13" s="1083" customFormat="1" ht="25.2" hidden="1" customHeight="1">
      <c r="A267" s="1153">
        <f t="shared" si="13"/>
        <v>0</v>
      </c>
      <c r="B267" s="1329" t="s">
        <v>289</v>
      </c>
      <c r="C267" s="1329"/>
      <c r="D267" s="1170">
        <f>IF(H267&gt;0,D249+1,D249)</f>
        <v>0</v>
      </c>
      <c r="E267" s="1079" t="str">
        <f>VLOOKUP($B267,DG!A:D,DG!$B$2,)</f>
        <v>06.3191</v>
      </c>
      <c r="F267" s="1080" t="str">
        <f>VLOOKUP($B267,DG!A:D,DG!$C$2,)</f>
        <v>Bảng tên trạm, bảng báo nguy hiểm + đinh vít</v>
      </c>
      <c r="G267" s="1079" t="str">
        <f>VLOOKUP($B267,DG!A:D,DG!$D$2,)</f>
        <v>bộ</v>
      </c>
      <c r="H267" s="1846">
        <f>H218</f>
        <v>0</v>
      </c>
      <c r="I267" s="1259">
        <f t="shared" si="14"/>
        <v>0</v>
      </c>
      <c r="J267" s="1108"/>
      <c r="K267" s="1108"/>
      <c r="L267" s="1098"/>
      <c r="M267" s="975" t="s">
        <v>4379</v>
      </c>
    </row>
    <row r="268" spans="1:13" s="1083" customFormat="1" ht="25.2" hidden="1" customHeight="1">
      <c r="A268" s="1153">
        <f t="shared" si="13"/>
        <v>0</v>
      </c>
      <c r="B268" s="1324"/>
      <c r="C268" s="1324"/>
      <c r="D268" s="1190"/>
      <c r="E268" s="1191"/>
      <c r="F268" s="1069"/>
      <c r="G268" s="1192"/>
      <c r="H268" s="1847"/>
      <c r="I268" s="1259">
        <f t="shared" si="14"/>
        <v>0</v>
      </c>
      <c r="J268" s="1193"/>
      <c r="K268" s="1194"/>
      <c r="L268" s="1136"/>
      <c r="M268" s="975"/>
    </row>
    <row r="269" spans="1:13" s="1083" customFormat="1" ht="25.2" hidden="1" customHeight="1">
      <c r="A269" s="1153">
        <f t="shared" si="13"/>
        <v>0</v>
      </c>
      <c r="B269" s="1319"/>
      <c r="C269" s="1319"/>
      <c r="D269" s="1161"/>
      <c r="E269" s="975"/>
      <c r="H269" s="1880"/>
      <c r="I269" s="1259">
        <f t="shared" si="14"/>
        <v>0</v>
      </c>
      <c r="M269" s="975"/>
    </row>
    <row r="270" spans="1:13" s="1083" customFormat="1" ht="25.2" hidden="1" customHeight="1">
      <c r="A270" s="1153">
        <f t="shared" si="13"/>
        <v>0</v>
      </c>
      <c r="B270" s="1319"/>
      <c r="C270" s="1319"/>
      <c r="D270" s="1134" t="str">
        <f>"BAÛNG TOÅNG HÔÏP VAÄT LIEÄU, NHAÂN COÂNG, MAÙY THI COÂNG : "&amp;I9&amp;" TRAÏM 1P50KVA"</f>
        <v>BAÛNG TOÅNG HÔÏP VAÄT LIEÄU, NHAÂN COÂNG, MAÙY THI COÂNG :  TRAÏM 1P50KVA</v>
      </c>
      <c r="E270" s="1195"/>
      <c r="F270" s="1100"/>
      <c r="G270" s="1100"/>
      <c r="H270" s="1848"/>
      <c r="I270" s="1259">
        <f t="shared" si="14"/>
        <v>0</v>
      </c>
      <c r="J270" s="1100"/>
      <c r="K270" s="1100"/>
      <c r="L270" s="975"/>
      <c r="M270" s="975"/>
    </row>
    <row r="271" spans="1:13" s="1083" customFormat="1" ht="25.2" hidden="1" customHeight="1">
      <c r="A271" s="1153">
        <f t="shared" si="13"/>
        <v>0</v>
      </c>
      <c r="B271" s="1324"/>
      <c r="C271" s="1324"/>
      <c r="D271" s="1156"/>
      <c r="E271" s="1157"/>
      <c r="F271" s="1069" t="s">
        <v>3703</v>
      </c>
      <c r="G271" s="1159"/>
      <c r="H271" s="1843"/>
      <c r="I271" s="1259">
        <f t="shared" si="14"/>
        <v>0</v>
      </c>
      <c r="J271" s="1159"/>
      <c r="K271" s="1159"/>
      <c r="L271" s="1136"/>
      <c r="M271" s="975">
        <v>50</v>
      </c>
    </row>
    <row r="272" spans="1:13" s="1083" customFormat="1" ht="25.2" hidden="1" customHeight="1">
      <c r="A272" s="1153">
        <f t="shared" si="13"/>
        <v>0</v>
      </c>
      <c r="B272" s="1325" t="s">
        <v>1212</v>
      </c>
      <c r="C272" s="1325"/>
      <c r="D272" s="1090">
        <f>IF(H272&gt;0,1,0)</f>
        <v>0</v>
      </c>
      <c r="E272" s="1079" t="str">
        <f>VLOOKUP($B272,DG!A:D,DG!$B$2,)</f>
        <v>01.1162</v>
      </c>
      <c r="F272" s="1080" t="str">
        <f>VLOOKUP($B272,DG!A:D,DG!$C$2,)</f>
        <v>Máy biến áp 12,7/0,23-0,46kV 50kVA</v>
      </c>
      <c r="G272" s="1079" t="str">
        <f>VLOOKUP($B272,DG!A:D,DG!$D$2,)</f>
        <v>máy</v>
      </c>
      <c r="H272" s="1849">
        <f>I9</f>
        <v>0</v>
      </c>
      <c r="I272" s="1259">
        <f t="shared" si="14"/>
        <v>0</v>
      </c>
      <c r="J272" s="1108"/>
      <c r="K272" s="1108"/>
      <c r="L272" s="1082"/>
      <c r="M272" s="975">
        <v>50</v>
      </c>
    </row>
    <row r="273" spans="1:13" s="1083" customFormat="1" ht="25.2" hidden="1" customHeight="1">
      <c r="A273" s="1153">
        <f t="shared" si="13"/>
        <v>0</v>
      </c>
      <c r="B273" s="1325" t="s">
        <v>1655</v>
      </c>
      <c r="C273" s="1325"/>
      <c r="D273" s="1090">
        <f t="shared" ref="D273:D279" si="15">IF(H273&gt;0,D272+1,D272)</f>
        <v>0</v>
      </c>
      <c r="E273" s="1079" t="str">
        <f>VLOOKUP($B273,DG!A:D,DG!$B$2,)</f>
        <v>02.3155</v>
      </c>
      <c r="F273" s="1080" t="str">
        <f>VLOOKUP($B273,DG!A:D,DG!$C$2,)</f>
        <v>FCO 27kV - 100A</v>
      </c>
      <c r="G273" s="1079" t="str">
        <f>VLOOKUP($B273,DG!A:D,DG!$D$2,)</f>
        <v>cái</v>
      </c>
      <c r="H273" s="1167">
        <f>+H272</f>
        <v>0</v>
      </c>
      <c r="I273" s="1259">
        <f t="shared" si="14"/>
        <v>0</v>
      </c>
      <c r="J273" s="1108"/>
      <c r="K273" s="1108"/>
      <c r="L273" s="1082"/>
      <c r="M273" s="975">
        <v>50</v>
      </c>
    </row>
    <row r="274" spans="1:13" s="1083" customFormat="1" ht="25.2" hidden="1" customHeight="1">
      <c r="A274" s="1153">
        <f t="shared" si="13"/>
        <v>0</v>
      </c>
      <c r="B274" s="1325" t="s">
        <v>26</v>
      </c>
      <c r="C274" s="1325"/>
      <c r="D274" s="1090">
        <f t="shared" si="15"/>
        <v>0</v>
      </c>
      <c r="E274" s="1079">
        <f>VLOOKUP($B274,DG!A:D,DG!$B$2,)</f>
        <v>0</v>
      </c>
      <c r="F274" s="1080" t="str">
        <f>VLOOKUP($B274,DG!A:D,DG!$C$2,)</f>
        <v>Dây chảy 6K</v>
      </c>
      <c r="G274" s="1079" t="str">
        <f>VLOOKUP($B274,DG!A:D,DG!$D$2,)</f>
        <v>Sợi</v>
      </c>
      <c r="H274" s="1167">
        <f>H273</f>
        <v>0</v>
      </c>
      <c r="I274" s="1259">
        <f t="shared" si="14"/>
        <v>0</v>
      </c>
      <c r="J274" s="1108"/>
      <c r="K274" s="1108"/>
      <c r="L274" s="1082"/>
      <c r="M274" s="975">
        <v>50</v>
      </c>
    </row>
    <row r="275" spans="1:13" s="1083" customFormat="1" ht="25.2" hidden="1" customHeight="1">
      <c r="A275" s="1153">
        <f t="shared" si="13"/>
        <v>0</v>
      </c>
      <c r="B275" s="1319" t="s">
        <v>1376</v>
      </c>
      <c r="C275" s="1319"/>
      <c r="D275" s="1090">
        <f t="shared" si="15"/>
        <v>0</v>
      </c>
      <c r="E275" s="1079" t="str">
        <f>VLOOKUP($B275,DG!A:D,DG!$B$2,)</f>
        <v>02.5114</v>
      </c>
      <c r="F275" s="1080" t="str">
        <f>VLOOKUP($B275,DG!A:D,DG!$C$2,)</f>
        <v>Chống sét van LA-18KV-10KA</v>
      </c>
      <c r="G275" s="1079" t="str">
        <f>VLOOKUP($B275,DG!A:D,DG!$D$2,)</f>
        <v>cái</v>
      </c>
      <c r="H275" s="1167">
        <f>H273</f>
        <v>0</v>
      </c>
      <c r="I275" s="1259">
        <f t="shared" si="14"/>
        <v>0</v>
      </c>
      <c r="J275" s="1108"/>
      <c r="K275" s="1108"/>
      <c r="L275" s="1082"/>
      <c r="M275" s="975">
        <v>50</v>
      </c>
    </row>
    <row r="276" spans="1:13" s="1083" customFormat="1" ht="25.2" hidden="1" customHeight="1">
      <c r="A276" s="1153">
        <f t="shared" si="13"/>
        <v>0</v>
      </c>
      <c r="B276" s="1326" t="s">
        <v>1563</v>
      </c>
      <c r="C276" s="1326"/>
      <c r="D276" s="1090">
        <f t="shared" si="15"/>
        <v>0</v>
      </c>
      <c r="E276" s="1079" t="str">
        <f>VLOOKUP($B276,DG!A:D,DG!$B$2,)</f>
        <v>02.8401</v>
      </c>
      <c r="F276" s="1080" t="str">
        <f>VLOOKUP($B276,DG!A:D,DG!$C$2,)</f>
        <v xml:space="preserve">MCCB 3 cực 600V -250A - 36KA </v>
      </c>
      <c r="G276" s="1079" t="str">
        <f>VLOOKUP($B276,DG!A:D,DG!$D$2,)</f>
        <v>cái</v>
      </c>
      <c r="H276" s="1167">
        <f>H272</f>
        <v>0</v>
      </c>
      <c r="I276" s="1259">
        <f t="shared" si="14"/>
        <v>0</v>
      </c>
      <c r="J276" s="1108"/>
      <c r="K276" s="1108"/>
      <c r="L276" s="1082"/>
      <c r="M276" s="975">
        <v>50</v>
      </c>
    </row>
    <row r="277" spans="1:13" s="1083" customFormat="1" ht="25.2" hidden="1" customHeight="1">
      <c r="A277" s="1153">
        <f t="shared" si="13"/>
        <v>0</v>
      </c>
      <c r="B277" s="1327" t="s">
        <v>1116</v>
      </c>
      <c r="C277" s="1327"/>
      <c r="D277" s="1090">
        <f t="shared" si="15"/>
        <v>1</v>
      </c>
      <c r="E277" s="1079">
        <f>VLOOKUP($B277,DG!A:D,DG!$B$2,)</f>
        <v>0</v>
      </c>
      <c r="F277" s="1080" t="str">
        <f>VLOOKUP($B277,DG!A:D,DG!$C$2,)</f>
        <v xml:space="preserve">Biến dòng 600V - 200/5A </v>
      </c>
      <c r="G277" s="1079" t="str">
        <f>VLOOKUP($B277,DG!A:D,DG!$D$2,)</f>
        <v>cái</v>
      </c>
      <c r="H277" s="1167">
        <v>1</v>
      </c>
      <c r="I277" s="1259">
        <f t="shared" si="14"/>
        <v>0</v>
      </c>
      <c r="J277" s="1108"/>
      <c r="K277" s="1108"/>
      <c r="L277" s="1110" t="s">
        <v>2609</v>
      </c>
      <c r="M277" s="975">
        <v>50</v>
      </c>
    </row>
    <row r="278" spans="1:13" s="1083" customFormat="1" ht="25.2" hidden="1" customHeight="1">
      <c r="A278" s="1153">
        <f t="shared" si="13"/>
        <v>0</v>
      </c>
      <c r="B278" s="1331" t="s">
        <v>287</v>
      </c>
      <c r="C278" s="1331"/>
      <c r="D278" s="1090">
        <f t="shared" si="15"/>
        <v>2</v>
      </c>
      <c r="E278" s="1079">
        <f>VLOOKUP($B278,DG!A:D,DG!$B$2,)</f>
        <v>0</v>
      </c>
      <c r="F278" s="1080" t="str">
        <f>VLOOKUP($B278,DG!A:D,DG!$C$2,)</f>
        <v>Điện kế 1 pha 2 dây 220V-5A</v>
      </c>
      <c r="G278" s="1079" t="str">
        <f>VLOOKUP($B278,DG!A:D,DG!$D$2,)</f>
        <v>cái</v>
      </c>
      <c r="H278" s="2038">
        <f>H277</f>
        <v>1</v>
      </c>
      <c r="I278" s="1259">
        <f t="shared" si="14"/>
        <v>0</v>
      </c>
      <c r="J278" s="1108"/>
      <c r="K278" s="1108"/>
      <c r="L278" s="1110" t="s">
        <v>2609</v>
      </c>
      <c r="M278" s="975">
        <v>50</v>
      </c>
    </row>
    <row r="279" spans="1:13" s="1083" customFormat="1" ht="25.2" hidden="1" customHeight="1">
      <c r="A279" s="1153">
        <f t="shared" si="13"/>
        <v>0</v>
      </c>
      <c r="B279" s="1324" t="s">
        <v>199</v>
      </c>
      <c r="C279" s="1324"/>
      <c r="D279" s="1090">
        <f t="shared" si="15"/>
        <v>2</v>
      </c>
      <c r="E279" s="1079">
        <f>VLOOKUP($B279,DG!A:D,DG!$B$2,)</f>
        <v>0</v>
      </c>
      <c r="F279" s="1080" t="str">
        <f>VLOOKUP($B279,DG!A:D,DG!$C$2,)</f>
        <v xml:space="preserve">Ampe kế 100/5A-600v +AS </v>
      </c>
      <c r="G279" s="1079" t="str">
        <f>VLOOKUP($B279,DG!A:D,DG!$D$2,)</f>
        <v>Bộ</v>
      </c>
      <c r="H279" s="1167">
        <f>H278*0</f>
        <v>0</v>
      </c>
      <c r="I279" s="1259">
        <f t="shared" si="14"/>
        <v>0</v>
      </c>
      <c r="J279" s="1108"/>
      <c r="K279" s="1108"/>
      <c r="L279" s="1082"/>
      <c r="M279" s="975">
        <v>50</v>
      </c>
    </row>
    <row r="280" spans="1:13" s="1083" customFormat="1" ht="25.2" hidden="1" customHeight="1">
      <c r="A280" s="1153">
        <f t="shared" si="13"/>
        <v>0</v>
      </c>
      <c r="B280" s="1324"/>
      <c r="C280" s="1324"/>
      <c r="D280" s="1107"/>
      <c r="E280" s="1179"/>
      <c r="F280" s="1160" t="s">
        <v>3704</v>
      </c>
      <c r="G280" s="1107"/>
      <c r="H280" s="1202"/>
      <c r="I280" s="1259">
        <f t="shared" si="14"/>
        <v>0</v>
      </c>
      <c r="J280" s="1160"/>
      <c r="K280" s="1107"/>
      <c r="L280" s="1136"/>
      <c r="M280" s="975">
        <v>50</v>
      </c>
    </row>
    <row r="281" spans="1:13" s="1083" customFormat="1" ht="25.2" hidden="1" customHeight="1">
      <c r="A281" s="1153">
        <f t="shared" si="13"/>
        <v>0</v>
      </c>
      <c r="B281" s="1324"/>
      <c r="C281" s="1324"/>
      <c r="D281" s="1156"/>
      <c r="E281" s="1157"/>
      <c r="F281" s="1193" t="s">
        <v>4476</v>
      </c>
      <c r="G281" s="1159"/>
      <c r="H281" s="1843"/>
      <c r="I281" s="1259">
        <f t="shared" si="14"/>
        <v>0</v>
      </c>
      <c r="J281" s="1159"/>
      <c r="K281" s="1159"/>
      <c r="L281" s="1136"/>
      <c r="M281" s="975">
        <v>50</v>
      </c>
    </row>
    <row r="282" spans="1:13" s="1083" customFormat="1" ht="25.2" hidden="1" customHeight="1">
      <c r="A282" s="1153">
        <f t="shared" ref="A282:A345" si="16">IF(I282&gt;0,1,0)</f>
        <v>0</v>
      </c>
      <c r="B282" s="1325" t="s">
        <v>1210</v>
      </c>
      <c r="C282" s="1325"/>
      <c r="D282" s="1090">
        <f>IF(H282&gt;0,1,0)</f>
        <v>0</v>
      </c>
      <c r="E282" s="1079" t="str">
        <f>VLOOKUP($B282,DG!A:D,DG!$B$2,)</f>
        <v>01.1161</v>
      </c>
      <c r="F282" s="1080" t="str">
        <f>VLOOKUP($B282,DG!A:D,DG!$C$2,)</f>
        <v>Máy biến áp 12,7/0,22-0,44kV  25kVA</v>
      </c>
      <c r="G282" s="1079" t="str">
        <f>VLOOKUP($B282,DG!A:D,DG!$D$2,)</f>
        <v>máy</v>
      </c>
      <c r="H282" s="1849"/>
      <c r="I282" s="1259">
        <f t="shared" si="14"/>
        <v>0</v>
      </c>
      <c r="J282" s="1108"/>
      <c r="K282" s="1108"/>
      <c r="L282" s="1082"/>
      <c r="M282" s="975">
        <v>50</v>
      </c>
    </row>
    <row r="283" spans="1:13" s="1083" customFormat="1" ht="25.2" hidden="1" customHeight="1">
      <c r="A283" s="1153">
        <f t="shared" si="16"/>
        <v>0</v>
      </c>
      <c r="B283" s="1325" t="s">
        <v>1211</v>
      </c>
      <c r="C283" s="1325"/>
      <c r="D283" s="1090">
        <f>IF(H283&gt;0,D282+1,D282)</f>
        <v>0</v>
      </c>
      <c r="E283" s="1079" t="str">
        <f>VLOOKUP($B283,DG!A:D,DG!$B$2,)</f>
        <v>01.1412</v>
      </c>
      <c r="F283" s="1080" t="str">
        <f>VLOOKUP($B283,DG!A:D,DG!$C$2,)</f>
        <v>Máy biến áp 12,7/0,22-0,44kV  37,5kVA</v>
      </c>
      <c r="G283" s="1079" t="str">
        <f>VLOOKUP($B283,DG!A:D,DG!$D$2,)</f>
        <v>máy</v>
      </c>
      <c r="H283" s="1849"/>
      <c r="I283" s="1259">
        <f t="shared" si="14"/>
        <v>0</v>
      </c>
      <c r="J283" s="1108"/>
      <c r="K283" s="1108"/>
      <c r="L283" s="1082"/>
      <c r="M283" s="975">
        <v>50</v>
      </c>
    </row>
    <row r="284" spans="1:13" s="1083" customFormat="1" ht="25.2" hidden="1" customHeight="1">
      <c r="A284" s="1153">
        <f t="shared" si="16"/>
        <v>0</v>
      </c>
      <c r="B284" s="1325" t="s">
        <v>1212</v>
      </c>
      <c r="C284" s="1325"/>
      <c r="D284" s="1090">
        <f>IF(H284&gt;0,D283+1,D283)</f>
        <v>0</v>
      </c>
      <c r="E284" s="1079" t="str">
        <f>VLOOKUP($B284,DG!A:D,DG!$B$2,)</f>
        <v>01.1162</v>
      </c>
      <c r="F284" s="1080" t="str">
        <f>VLOOKUP($B284,DG!A:D,DG!$C$2,)</f>
        <v>Máy biến áp 12,7/0,23-0,46kV 50kVA</v>
      </c>
      <c r="G284" s="1079" t="str">
        <f>VLOOKUP($B284,DG!A:D,DG!$D$2,)</f>
        <v>máy</v>
      </c>
      <c r="H284" s="1849"/>
      <c r="I284" s="1259">
        <f t="shared" si="14"/>
        <v>0</v>
      </c>
      <c r="J284" s="1108"/>
      <c r="K284" s="1108"/>
      <c r="L284" s="1082"/>
      <c r="M284" s="975">
        <v>50</v>
      </c>
    </row>
    <row r="285" spans="1:13" s="1083" customFormat="1" ht="25.2" hidden="1" customHeight="1">
      <c r="A285" s="1153">
        <f t="shared" si="16"/>
        <v>0</v>
      </c>
      <c r="B285" s="1325" t="s">
        <v>1213</v>
      </c>
      <c r="C285" s="1325"/>
      <c r="D285" s="1090">
        <f>IF(H285&gt;0,D284+1,D284)</f>
        <v>0</v>
      </c>
      <c r="E285" s="1079" t="str">
        <f>VLOOKUP($B285,DG!A:D,DG!$B$2,)</f>
        <v>01.1163</v>
      </c>
      <c r="F285" s="1080" t="str">
        <f>VLOOKUP($B285,DG!A:D,DG!$C$2,)</f>
        <v>Máy biến áp 12,7/0,23-0,46kV  75kVA</v>
      </c>
      <c r="G285" s="1079" t="str">
        <f>VLOOKUP($B285,DG!A:D,DG!$D$2,)</f>
        <v>máy</v>
      </c>
      <c r="H285" s="1849"/>
      <c r="I285" s="1259">
        <f t="shared" si="14"/>
        <v>0</v>
      </c>
      <c r="J285" s="1108"/>
      <c r="K285" s="1108"/>
      <c r="L285" s="1082"/>
      <c r="M285" s="975">
        <v>50</v>
      </c>
    </row>
    <row r="286" spans="1:13" s="1083" customFormat="1" ht="25.2" hidden="1" customHeight="1">
      <c r="A286" s="1153">
        <f t="shared" si="16"/>
        <v>0</v>
      </c>
      <c r="B286" s="1325" t="s">
        <v>1506</v>
      </c>
      <c r="C286" s="1325"/>
      <c r="D286" s="1090">
        <f>IF(H286&gt;0,D285+1,D285)</f>
        <v>0</v>
      </c>
      <c r="E286" s="1079" t="str">
        <f>VLOOKUP($B286,DG!A:D,DG!$B$2,)</f>
        <v>01.1144</v>
      </c>
      <c r="F286" s="1080" t="str">
        <f>VLOOKUP($B286,DG!A:D,DG!$C$2,)</f>
        <v>Máy biến áp 22/0,4kV  160kVA</v>
      </c>
      <c r="G286" s="1079" t="str">
        <f>VLOOKUP($B286,DG!A:D,DG!$D$2,)</f>
        <v>máy</v>
      </c>
      <c r="H286" s="1849"/>
      <c r="I286" s="1259">
        <f t="shared" si="14"/>
        <v>0</v>
      </c>
      <c r="J286" s="1108"/>
      <c r="K286" s="1108"/>
      <c r="L286" s="1082"/>
      <c r="M286" s="975">
        <v>50</v>
      </c>
    </row>
    <row r="287" spans="1:13" s="1083" customFormat="1" ht="25.2" hidden="1" customHeight="1">
      <c r="A287" s="1153">
        <f t="shared" si="16"/>
        <v>0</v>
      </c>
      <c r="B287" s="1324" t="s">
        <v>1244</v>
      </c>
      <c r="C287" s="1324"/>
      <c r="D287" s="1090">
        <f>IF(H287&gt;0,D286+1,D286)</f>
        <v>0</v>
      </c>
      <c r="E287" s="1079" t="str">
        <f>VLOOKUP($B287,DG!A:D,DG!$B$2,)</f>
        <v>01.1144</v>
      </c>
      <c r="F287" s="1080" t="str">
        <f>VLOOKUP($B287,DG!A:D,DG!$C$2,)</f>
        <v>Máy biến áp 22/0,4kV  180kVA</v>
      </c>
      <c r="G287" s="1079" t="str">
        <f>VLOOKUP($B287,DG!A:D,DG!$D$2,)</f>
        <v>máy</v>
      </c>
      <c r="H287" s="1849"/>
      <c r="I287" s="1259">
        <f t="shared" si="14"/>
        <v>0</v>
      </c>
      <c r="J287" s="1108"/>
      <c r="K287" s="1108"/>
      <c r="L287" s="1082"/>
      <c r="M287" s="975">
        <v>50</v>
      </c>
    </row>
    <row r="288" spans="1:13" s="1083" customFormat="1" ht="25.2" hidden="1" customHeight="1">
      <c r="A288" s="1153">
        <f t="shared" si="16"/>
        <v>0</v>
      </c>
      <c r="B288" s="1324" t="s">
        <v>1376</v>
      </c>
      <c r="C288" s="1324"/>
      <c r="D288" s="1090">
        <f>IF(H288&gt;0,D286+1,D286)</f>
        <v>0</v>
      </c>
      <c r="E288" s="1079" t="str">
        <f>VLOOKUP($B288,DG!A:D,DG!$B$2,)</f>
        <v>02.5114</v>
      </c>
      <c r="F288" s="1080" t="str">
        <f>VLOOKUP($B288,DG!A:D,DG!$C$2,)&amp;" : thuoäc ñieän löïc"</f>
        <v>Chống sét van LA-18KV-10KA : thuoäc ñieän löïc</v>
      </c>
      <c r="G288" s="1079" t="str">
        <f>VLOOKUP($B288,DG!A:D,DG!$D$2,)</f>
        <v>cái</v>
      </c>
      <c r="H288" s="1849"/>
      <c r="I288" s="1259">
        <f t="shared" si="14"/>
        <v>0</v>
      </c>
      <c r="J288" s="1108"/>
      <c r="K288" s="1108"/>
      <c r="L288" s="1098"/>
      <c r="M288" s="975">
        <v>50</v>
      </c>
    </row>
    <row r="289" spans="1:14" s="1083" customFormat="1" ht="25.2" hidden="1" customHeight="1">
      <c r="A289" s="1153">
        <f t="shared" si="16"/>
        <v>0</v>
      </c>
      <c r="B289" s="1324" t="s">
        <v>1376</v>
      </c>
      <c r="C289" s="1324"/>
      <c r="D289" s="1090">
        <f>IF(H289&gt;0,D287+1,D287)</f>
        <v>0</v>
      </c>
      <c r="E289" s="1079" t="str">
        <f>VLOOKUP($B289,DG!A:D,DG!$B$2,)</f>
        <v>02.5114</v>
      </c>
      <c r="F289" s="1080" t="str">
        <f>VLOOKUP($B289,DG!A:D,DG!$C$2,)&amp;" : thuoäc khaùch haøng"</f>
        <v>Chống sét van LA-18KV-10KA : thuoäc khaùch haøng</v>
      </c>
      <c r="G289" s="1079" t="str">
        <f>VLOOKUP($B289,DG!A:D,DG!$D$2,)</f>
        <v>cái</v>
      </c>
      <c r="H289" s="1849"/>
      <c r="I289" s="1259">
        <f t="shared" ref="I289:I349" si="17">IF(M289=$M$23,H289+J289-K289,0)</f>
        <v>0</v>
      </c>
      <c r="J289" s="1108"/>
      <c r="K289" s="1108"/>
      <c r="L289" s="1098"/>
      <c r="M289" s="975">
        <v>50</v>
      </c>
    </row>
    <row r="290" spans="1:14" s="1083" customFormat="1" ht="25.2" hidden="1" customHeight="1">
      <c r="A290" s="1153">
        <f t="shared" si="16"/>
        <v>0</v>
      </c>
      <c r="B290" s="1324" t="s">
        <v>888</v>
      </c>
      <c r="C290" s="1324"/>
      <c r="D290" s="1090">
        <f>IF(H290&gt;0,D286+1,D286)</f>
        <v>0</v>
      </c>
      <c r="E290" s="1079">
        <f>VLOOKUP($B290,DG!A:D,DG!$B$2,)</f>
        <v>0</v>
      </c>
      <c r="F290" s="1080" t="str">
        <f>VLOOKUP($B290,DG!A:D,DG!$C$2,)</f>
        <v>Dây chảy 3K</v>
      </c>
      <c r="G290" s="1079" t="str">
        <f>VLOOKUP($B290,DG!A:D,DG!$D$2,)</f>
        <v>Sợi</v>
      </c>
      <c r="H290" s="1849"/>
      <c r="I290" s="1259">
        <f t="shared" si="17"/>
        <v>0</v>
      </c>
      <c r="J290" s="1108"/>
      <c r="K290" s="1108"/>
      <c r="L290" s="1098"/>
      <c r="M290" s="975">
        <v>50</v>
      </c>
    </row>
    <row r="291" spans="1:14" s="1083" customFormat="1" ht="25.2" hidden="1" customHeight="1">
      <c r="A291" s="1153">
        <f t="shared" si="16"/>
        <v>0</v>
      </c>
      <c r="B291" s="1324" t="s">
        <v>26</v>
      </c>
      <c r="C291" s="1324"/>
      <c r="D291" s="1090">
        <f>IF(H291&gt;0,D287+1,D287)</f>
        <v>0</v>
      </c>
      <c r="E291" s="1079">
        <f>VLOOKUP($B291,DG!A:D,DG!$B$2,)</f>
        <v>0</v>
      </c>
      <c r="F291" s="1080" t="str">
        <f>VLOOKUP($B291,DG!A:D,DG!$C$2,)</f>
        <v>Dây chảy 6K</v>
      </c>
      <c r="G291" s="1079" t="str">
        <f>VLOOKUP($B291,DG!A:D,DG!$D$2,)</f>
        <v>Sợi</v>
      </c>
      <c r="H291" s="1849"/>
      <c r="I291" s="1259">
        <f t="shared" si="17"/>
        <v>0</v>
      </c>
      <c r="J291" s="1108"/>
      <c r="K291" s="1108"/>
      <c r="L291" s="1098"/>
      <c r="M291" s="975">
        <v>50</v>
      </c>
    </row>
    <row r="292" spans="1:14" s="1083" customFormat="1" ht="25.2" hidden="1" customHeight="1">
      <c r="A292" s="1153">
        <f t="shared" si="16"/>
        <v>0</v>
      </c>
      <c r="B292" s="1324" t="s">
        <v>1027</v>
      </c>
      <c r="C292" s="1324"/>
      <c r="D292" s="1090">
        <f>IF(H292&gt;0,D288+1,D288)</f>
        <v>0</v>
      </c>
      <c r="E292" s="1079">
        <f>VLOOKUP($B292,DG!A:D,DG!$B$2,)</f>
        <v>0</v>
      </c>
      <c r="F292" s="1080" t="str">
        <f>VLOOKUP($B292,DG!A:D,DG!$C$2,)</f>
        <v>Dây chảy 8K</v>
      </c>
      <c r="G292" s="1079" t="str">
        <f>VLOOKUP($B292,DG!A:D,DG!$D$2,)</f>
        <v>Sợi</v>
      </c>
      <c r="H292" s="1849"/>
      <c r="I292" s="1259">
        <f t="shared" si="17"/>
        <v>0</v>
      </c>
      <c r="J292" s="1108"/>
      <c r="K292" s="1108"/>
      <c r="L292" s="1098"/>
      <c r="M292" s="975">
        <v>50</v>
      </c>
    </row>
    <row r="293" spans="1:14" s="1083" customFormat="1" ht="25.2" hidden="1" customHeight="1">
      <c r="A293" s="1153">
        <f t="shared" si="16"/>
        <v>0</v>
      </c>
      <c r="B293" s="1324" t="s">
        <v>1146</v>
      </c>
      <c r="C293" s="1324"/>
      <c r="D293" s="1090">
        <f>IF(H293&gt;0,D290+1,D290)</f>
        <v>0</v>
      </c>
      <c r="E293" s="1079">
        <f>VLOOKUP($B293,DG!A:D,DG!$B$2,)</f>
        <v>0</v>
      </c>
      <c r="F293" s="1080" t="str">
        <f>VLOOKUP($B293,DG!A:D,DG!$C$2,)</f>
        <v>Dây chảy 10K</v>
      </c>
      <c r="G293" s="1079" t="str">
        <f>VLOOKUP($B293,DG!A:D,DG!$D$2,)</f>
        <v>Sợi</v>
      </c>
      <c r="H293" s="1849"/>
      <c r="I293" s="1259">
        <f t="shared" si="17"/>
        <v>0</v>
      </c>
      <c r="J293" s="1108"/>
      <c r="K293" s="1108"/>
      <c r="L293" s="1098"/>
      <c r="M293" s="975">
        <v>50</v>
      </c>
    </row>
    <row r="294" spans="1:14" s="1083" customFormat="1" ht="25.2" hidden="1" customHeight="1">
      <c r="A294" s="1153">
        <f t="shared" si="16"/>
        <v>0</v>
      </c>
      <c r="B294" s="1324" t="s">
        <v>1376</v>
      </c>
      <c r="C294" s="1324"/>
      <c r="D294" s="1090">
        <f>IF(H294&gt;0,D287+1,D287)</f>
        <v>0</v>
      </c>
      <c r="E294" s="1079" t="str">
        <f>VLOOKUP($B294,DG!A:D,DG!$B$2,)</f>
        <v>02.5114</v>
      </c>
      <c r="F294" s="1080" t="str">
        <f>VLOOKUP($B294,DG!A:D,DG!$C$2,)</f>
        <v>Chống sét van LA-18KV-10KA</v>
      </c>
      <c r="G294" s="1079" t="str">
        <f>VLOOKUP($B294,DG!A:D,DG!$D$2,)</f>
        <v>cái</v>
      </c>
      <c r="H294" s="1849"/>
      <c r="I294" s="1259">
        <f t="shared" si="17"/>
        <v>0</v>
      </c>
      <c r="J294" s="1108"/>
      <c r="K294" s="1108"/>
      <c r="L294" s="1098"/>
      <c r="M294" s="975">
        <v>50</v>
      </c>
    </row>
    <row r="295" spans="1:14" s="1083" customFormat="1" ht="25.2" hidden="1" customHeight="1">
      <c r="A295" s="1153">
        <f t="shared" si="16"/>
        <v>0</v>
      </c>
      <c r="B295" s="1324"/>
      <c r="C295" s="1324"/>
      <c r="D295" s="2044"/>
      <c r="E295" s="2045"/>
      <c r="F295" s="1225" t="s">
        <v>3705</v>
      </c>
      <c r="G295" s="2044"/>
      <c r="H295" s="1226"/>
      <c r="I295" s="1906">
        <f t="shared" si="17"/>
        <v>0</v>
      </c>
      <c r="J295" s="1225"/>
      <c r="K295" s="2044"/>
      <c r="L295" s="1203"/>
      <c r="M295" s="975">
        <v>50</v>
      </c>
    </row>
    <row r="296" spans="1:14" s="1083" customFormat="1" ht="25.2" hidden="1" customHeight="1">
      <c r="A296" s="1153">
        <f t="shared" si="16"/>
        <v>0</v>
      </c>
      <c r="B296" s="1324"/>
      <c r="C296" s="1324"/>
      <c r="D296" s="1181"/>
      <c r="E296" s="1069"/>
      <c r="F296" s="1069" t="s">
        <v>3691</v>
      </c>
      <c r="G296" s="1069"/>
      <c r="H296" s="1843"/>
      <c r="I296" s="2050">
        <f t="shared" si="17"/>
        <v>0</v>
      </c>
      <c r="J296" s="1069"/>
      <c r="K296" s="1069"/>
      <c r="L296" s="1155"/>
      <c r="M296" s="975">
        <v>50</v>
      </c>
    </row>
    <row r="297" spans="1:14" s="1083" customFormat="1" ht="25.2" hidden="1" customHeight="1">
      <c r="A297" s="1153">
        <f t="shared" si="16"/>
        <v>0</v>
      </c>
      <c r="B297" s="1324" t="s">
        <v>1613</v>
      </c>
      <c r="C297" s="1324"/>
      <c r="D297" s="2046">
        <f>IF(H309&gt;0,1,0)</f>
        <v>0</v>
      </c>
      <c r="E297" s="2047"/>
      <c r="F297" s="2048" t="str">
        <f>VLOOKUP($B297,DG!A:D,DG!$C$2,)</f>
        <v>Boulon 16x300+ 2 long đền vuông D18-50x50x3/Zn</v>
      </c>
      <c r="G297" s="2049" t="str">
        <f>VLOOKUP($B297,DG!A:D,DG!$D$2,)</f>
        <v>bộ</v>
      </c>
      <c r="H297" s="1229">
        <f>2*SUM(H272:H272)</f>
        <v>0</v>
      </c>
      <c r="I297" s="2043">
        <f t="shared" si="17"/>
        <v>0</v>
      </c>
      <c r="J297" s="1231"/>
      <c r="K297" s="1231"/>
      <c r="L297" s="1196"/>
      <c r="M297" s="975">
        <v>50</v>
      </c>
    </row>
    <row r="298" spans="1:14" s="1083" customFormat="1" ht="25.2" hidden="1" customHeight="1">
      <c r="A298" s="1153">
        <f t="shared" si="16"/>
        <v>0</v>
      </c>
      <c r="B298" s="1324"/>
      <c r="C298" s="1324"/>
      <c r="D298" s="1078">
        <f>IF(H298&gt;0,D297+1,D297)</f>
        <v>0</v>
      </c>
      <c r="E298" s="1185"/>
      <c r="F298" s="1186" t="s">
        <v>3692</v>
      </c>
      <c r="G298" s="1166" t="s">
        <v>2391</v>
      </c>
      <c r="H298" s="1845">
        <f>H272*0</f>
        <v>0</v>
      </c>
      <c r="I298" s="1259">
        <f t="shared" si="17"/>
        <v>0</v>
      </c>
      <c r="J298" s="1131"/>
      <c r="K298" s="1131"/>
      <c r="L298" s="1110"/>
      <c r="M298" s="975">
        <v>50</v>
      </c>
    </row>
    <row r="299" spans="1:14" s="1083" customFormat="1" ht="25.2" hidden="1" customHeight="1">
      <c r="A299" s="1153">
        <f t="shared" si="16"/>
        <v>0</v>
      </c>
      <c r="B299" s="1324"/>
      <c r="C299" s="1324"/>
      <c r="D299" s="1166"/>
      <c r="E299" s="1185"/>
      <c r="F299" s="1364" t="s">
        <v>2285</v>
      </c>
      <c r="G299" s="1110"/>
      <c r="H299" s="1167"/>
      <c r="I299" s="1259">
        <f t="shared" si="17"/>
        <v>0</v>
      </c>
      <c r="J299" s="1131"/>
      <c r="K299" s="1131"/>
      <c r="L299" s="1110"/>
      <c r="M299" s="975">
        <v>50</v>
      </c>
      <c r="N299" s="1187"/>
    </row>
    <row r="300" spans="1:14" s="1083" customFormat="1" ht="25.2" hidden="1" customHeight="1">
      <c r="A300" s="1153">
        <f t="shared" si="16"/>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17"/>
        <v>0</v>
      </c>
      <c r="J300" s="1108"/>
      <c r="K300" s="1108"/>
      <c r="L300" s="1110"/>
      <c r="M300" s="975">
        <v>50</v>
      </c>
      <c r="N300" s="1187"/>
    </row>
    <row r="301" spans="1:14" s="1083" customFormat="1" ht="25.2" hidden="1" customHeight="1">
      <c r="A301" s="1153">
        <f t="shared" si="16"/>
        <v>0</v>
      </c>
      <c r="B301" s="1154" t="s">
        <v>1818</v>
      </c>
      <c r="C301" s="1154"/>
      <c r="D301" s="1110"/>
      <c r="E301" s="1188"/>
      <c r="F301" s="1080" t="str">
        <f>VLOOKUP($B301,DG!A:D,DG!$C$2,)</f>
        <v>Vật liệu dựng trụ</v>
      </c>
      <c r="G301" s="1079" t="str">
        <f>VLOOKUP($B301,DG!A:D,DG!$D$2,)</f>
        <v>trụ</v>
      </c>
      <c r="H301" s="1167">
        <f>H300</f>
        <v>0</v>
      </c>
      <c r="I301" s="1259">
        <f t="shared" si="17"/>
        <v>0</v>
      </c>
      <c r="J301" s="1108"/>
      <c r="K301" s="1108"/>
      <c r="L301" s="1110"/>
      <c r="M301" s="975">
        <v>50</v>
      </c>
      <c r="N301" s="1187"/>
    </row>
    <row r="302" spans="1:14" s="1083" customFormat="1" ht="25.2" hidden="1" customHeight="1">
      <c r="A302" s="1153">
        <f t="shared" si="16"/>
        <v>0</v>
      </c>
      <c r="B302" s="1154" t="s">
        <v>2132</v>
      </c>
      <c r="C302" s="1154"/>
      <c r="D302" s="1110"/>
      <c r="E302" s="1188"/>
      <c r="F302" s="1080" t="str">
        <f>VLOOKUP($B302,DG!A:D,DG!$C$2,)</f>
        <v>Dựng trụ BTLT 12m trong TBA bằng thủ công + cơ giới</v>
      </c>
      <c r="G302" s="1079" t="str">
        <f>VLOOKUP($B302,DG!A:D,DG!$D$2,)</f>
        <v>trụ</v>
      </c>
      <c r="H302" s="1167">
        <f>H300</f>
        <v>0</v>
      </c>
      <c r="I302" s="1259">
        <f t="shared" si="17"/>
        <v>0</v>
      </c>
      <c r="J302" s="1108"/>
      <c r="K302" s="1108"/>
      <c r="L302" s="1110"/>
      <c r="M302" s="975">
        <v>50</v>
      </c>
      <c r="N302" s="1187"/>
    </row>
    <row r="303" spans="1:14" s="1083" customFormat="1" ht="25.2" hidden="1" customHeight="1">
      <c r="A303" s="1153">
        <f t="shared" si="16"/>
        <v>0</v>
      </c>
      <c r="B303" s="1324"/>
      <c r="C303" s="1324"/>
      <c r="D303" s="1078">
        <f>IF(H303&gt;0,D298+1,D298)</f>
        <v>0</v>
      </c>
      <c r="E303" s="1185"/>
      <c r="F303" s="1186" t="s">
        <v>2358</v>
      </c>
      <c r="G303" s="1166" t="s">
        <v>2391</v>
      </c>
      <c r="H303" s="1845">
        <f>H298</f>
        <v>0</v>
      </c>
      <c r="I303" s="1259">
        <f t="shared" si="17"/>
        <v>0</v>
      </c>
      <c r="J303" s="1131"/>
      <c r="K303" s="1131"/>
      <c r="L303" s="1110"/>
      <c r="M303" s="975">
        <v>50</v>
      </c>
    </row>
    <row r="304" spans="1:14" s="1083" customFormat="1" ht="25.2" hidden="1" customHeight="1">
      <c r="A304" s="1153">
        <f t="shared" si="16"/>
        <v>0</v>
      </c>
      <c r="B304" s="1324"/>
      <c r="C304" s="1324"/>
      <c r="D304" s="1166"/>
      <c r="E304" s="1185"/>
      <c r="F304" s="1364" t="s">
        <v>2285</v>
      </c>
      <c r="G304" s="1110"/>
      <c r="H304" s="1167"/>
      <c r="I304" s="1259">
        <f t="shared" si="17"/>
        <v>0</v>
      </c>
      <c r="J304" s="1131"/>
      <c r="K304" s="1131"/>
      <c r="L304" s="1110"/>
      <c r="M304" s="975">
        <v>50</v>
      </c>
      <c r="N304" s="1187"/>
    </row>
    <row r="305" spans="1:14" s="1083" customFormat="1" ht="25.2" hidden="1" customHeight="1">
      <c r="A305" s="1153">
        <f t="shared" si="16"/>
        <v>0</v>
      </c>
      <c r="B305" s="1331" t="s">
        <v>636</v>
      </c>
      <c r="C305" s="1331"/>
      <c r="D305" s="1110"/>
      <c r="E305" s="1079" t="str">
        <f>VLOOKUP($B305,DG!A:D,DG!$B$2,)</f>
        <v>04.4001</v>
      </c>
      <c r="F305" s="1080" t="str">
        <f>VLOOKUP($B305,DG!A:D,DG!$C$2,)</f>
        <v>Đà cản BTCT 1,2m</v>
      </c>
      <c r="G305" s="1079" t="str">
        <f>VLOOKUP($B305,DG!A:D,DG!$D$2,)</f>
        <v>cái</v>
      </c>
      <c r="H305" s="1167">
        <f>1*H303</f>
        <v>0</v>
      </c>
      <c r="I305" s="1259">
        <f t="shared" si="17"/>
        <v>0</v>
      </c>
      <c r="J305" s="1108"/>
      <c r="K305" s="1108"/>
      <c r="L305" s="1110"/>
      <c r="M305" s="975">
        <v>50</v>
      </c>
      <c r="N305" s="1187"/>
    </row>
    <row r="306" spans="1:14" s="1083" customFormat="1" ht="25.2" hidden="1" customHeight="1">
      <c r="A306" s="1153">
        <f t="shared" si="16"/>
        <v>0</v>
      </c>
      <c r="B306" s="1331" t="s">
        <v>566</v>
      </c>
      <c r="C306" s="1331"/>
      <c r="D306" s="1110"/>
      <c r="E306" s="1079">
        <f>VLOOKUP($B306,DG!A:D,DG!$B$2,)</f>
        <v>0</v>
      </c>
      <c r="F306" s="1080" t="str">
        <f>VLOOKUP($B306,DG!A:D,DG!$C$2,)</f>
        <v>Boulon 22x650+ 2 long đền vuông D24-50x50x3/Zn</v>
      </c>
      <c r="G306" s="1079" t="str">
        <f>VLOOKUP($B306,DG!A:D,DG!$D$2,)</f>
        <v>bộ</v>
      </c>
      <c r="H306" s="1167">
        <f>H303</f>
        <v>0</v>
      </c>
      <c r="I306" s="1259">
        <f t="shared" si="17"/>
        <v>0</v>
      </c>
      <c r="J306" s="1108"/>
      <c r="K306" s="1108"/>
      <c r="L306" s="1110"/>
      <c r="M306" s="975">
        <v>50</v>
      </c>
      <c r="N306" s="1187"/>
    </row>
    <row r="307" spans="1:14" s="1083" customFormat="1" ht="25.2" hidden="1" customHeight="1">
      <c r="A307" s="1153">
        <f t="shared" si="16"/>
        <v>0</v>
      </c>
      <c r="B307" s="1331" t="str">
        <f>IF(chitiet!G5=1,"MDD1",IF(chitiet!G5=2,"MDD2",IF(chitiet!G5=3,"MDD3",IF(chitiet!G5=4,"MDD4"))))</f>
        <v>MDD3</v>
      </c>
      <c r="C307" s="1331"/>
      <c r="D307" s="1110"/>
      <c r="E307" s="1079" t="str">
        <f>VLOOKUP($B307,DG!A:D,DG!$B$2,)</f>
        <v>03.1013</v>
      </c>
      <c r="F307" s="1080" t="str">
        <f>VLOOKUP($B307,DG!A:D,DG!$C$2,)</f>
        <v>Đào hố móng đất cấp 3 sâu &gt;1m</v>
      </c>
      <c r="G307" s="1079" t="str">
        <f>VLOOKUP($B307,DG!A:D,DG!$D$2,)</f>
        <v>m3</v>
      </c>
      <c r="H307" s="1167">
        <f>H303*1.45</f>
        <v>0</v>
      </c>
      <c r="I307" s="1259">
        <f t="shared" si="17"/>
        <v>0</v>
      </c>
      <c r="J307" s="1108"/>
      <c r="K307" s="1108"/>
      <c r="L307" s="1110"/>
      <c r="M307" s="975">
        <v>50</v>
      </c>
      <c r="N307" s="1187"/>
    </row>
    <row r="308" spans="1:14" s="1083" customFormat="1" ht="25.2" hidden="1" customHeight="1">
      <c r="A308" s="1153">
        <f t="shared" si="16"/>
        <v>0</v>
      </c>
      <c r="B308" s="1331" t="str">
        <f>IF(chitiet!G5=1,"MDAP1",IF(chitiet!G5=2,"MDAP2",IF(chitiet!G5=3,"MDAP3",IF(chitiet!G5=4,"MDAP4"))))</f>
        <v>MDAP3</v>
      </c>
      <c r="C308" s="1331"/>
      <c r="D308" s="1110"/>
      <c r="E308" s="1079" t="str">
        <f>VLOOKUP($B308,DG!A:D,DG!$B$2,)</f>
        <v>03.4113</v>
      </c>
      <c r="F308" s="1080" t="str">
        <f>VLOOKUP($B308,DG!A:D,DG!$C$2,)</f>
        <v>Đắp đất hố móng, độ chặt k=0,95</v>
      </c>
      <c r="G308" s="1079" t="str">
        <f>VLOOKUP($B308,DG!A:D,DG!$D$2,)</f>
        <v>m3</v>
      </c>
      <c r="H308" s="1167">
        <f>H303*1.37</f>
        <v>0</v>
      </c>
      <c r="I308" s="1259">
        <f t="shared" si="17"/>
        <v>0</v>
      </c>
      <c r="J308" s="1108"/>
      <c r="K308" s="1108"/>
      <c r="L308" s="1110"/>
      <c r="M308" s="975">
        <v>50</v>
      </c>
      <c r="N308" s="1187"/>
    </row>
    <row r="309" spans="1:14" s="1083" customFormat="1" ht="25.2" hidden="1" customHeight="1">
      <c r="A309" s="1153">
        <f t="shared" si="16"/>
        <v>0</v>
      </c>
      <c r="B309" s="1324"/>
      <c r="C309" s="1324"/>
      <c r="D309" s="1078">
        <f>IF(H309&gt;0,D303+1,D303)</f>
        <v>0</v>
      </c>
      <c r="E309" s="1185"/>
      <c r="F309" s="1197" t="s">
        <v>4769</v>
      </c>
      <c r="G309" s="1166" t="s">
        <v>2391</v>
      </c>
      <c r="H309" s="1845">
        <f>SUM(H272:H272)</f>
        <v>0</v>
      </c>
      <c r="I309" s="1259">
        <f t="shared" si="17"/>
        <v>0</v>
      </c>
      <c r="J309" s="1108"/>
      <c r="K309" s="1108"/>
      <c r="L309" s="1082"/>
      <c r="M309" s="975">
        <v>50</v>
      </c>
    </row>
    <row r="310" spans="1:14" s="1083" customFormat="1" ht="25.2" hidden="1" customHeight="1">
      <c r="A310" s="1153">
        <f t="shared" si="16"/>
        <v>0</v>
      </c>
      <c r="B310" s="1324"/>
      <c r="C310" s="1324"/>
      <c r="D310" s="1166"/>
      <c r="E310" s="1185"/>
      <c r="F310" s="1365" t="s">
        <v>2285</v>
      </c>
      <c r="G310" s="1110"/>
      <c r="H310" s="1167"/>
      <c r="I310" s="1259">
        <f t="shared" si="17"/>
        <v>0</v>
      </c>
      <c r="J310" s="1108"/>
      <c r="K310" s="1108"/>
      <c r="L310" s="1082"/>
      <c r="M310" s="975">
        <v>50</v>
      </c>
    </row>
    <row r="311" spans="1:14" s="1083" customFormat="1" ht="25.2" hidden="1" customHeight="1">
      <c r="A311" s="1153">
        <f t="shared" si="16"/>
        <v>0</v>
      </c>
      <c r="B311" s="1324" t="s">
        <v>4569</v>
      </c>
      <c r="C311" s="1324">
        <v>1</v>
      </c>
      <c r="D311" s="1110"/>
      <c r="E311" s="1079">
        <f>VLOOKUP($B311,DG!A:D,DG!$B$2,)</f>
        <v>0</v>
      </c>
      <c r="F311" s="1080" t="str">
        <f>VLOOKUP($B311,DG!A:D,DG!$C$2,)</f>
        <v>Đà Composite 110x80x5x800</v>
      </c>
      <c r="G311" s="1079" t="str">
        <f>VLOOKUP($B311,DG!A:D,DG!$D$2,)</f>
        <v>cái</v>
      </c>
      <c r="H311" s="2038">
        <f>H$309*$C311</f>
        <v>0</v>
      </c>
      <c r="I311" s="2038">
        <f t="shared" ref="I311:K311" si="18">I$309*$C311</f>
        <v>0</v>
      </c>
      <c r="J311" s="2038">
        <f t="shared" si="18"/>
        <v>0</v>
      </c>
      <c r="K311" s="1167">
        <f t="shared" si="18"/>
        <v>0</v>
      </c>
      <c r="L311" s="1082"/>
      <c r="M311" s="975">
        <v>50</v>
      </c>
    </row>
    <row r="312" spans="1:14" s="1083" customFormat="1" ht="25.2" hidden="1" customHeight="1">
      <c r="A312" s="1153">
        <f t="shared" si="16"/>
        <v>0</v>
      </c>
      <c r="B312" s="1324" t="s">
        <v>4765</v>
      </c>
      <c r="C312" s="1324">
        <v>1</v>
      </c>
      <c r="D312" s="1110"/>
      <c r="E312" s="1079">
        <f>VLOOKUP($B312,DG!A:D,DG!$B$2,)</f>
        <v>0</v>
      </c>
      <c r="F312" s="1080" t="str">
        <f>VLOOKUP($B312,DG!A:D,DG!$C$2,)</f>
        <v>Thanh chống Composite 10x40x720</v>
      </c>
      <c r="G312" s="1079" t="str">
        <f>VLOOKUP($B312,DG!A:D,DG!$D$2,)</f>
        <v>cái</v>
      </c>
      <c r="H312" s="2038">
        <f t="shared" ref="H312:K314" si="19">H$309*$C312</f>
        <v>0</v>
      </c>
      <c r="I312" s="2038">
        <f t="shared" si="19"/>
        <v>0</v>
      </c>
      <c r="J312" s="2038">
        <f t="shared" si="19"/>
        <v>0</v>
      </c>
      <c r="K312" s="1167">
        <f t="shared" si="19"/>
        <v>0</v>
      </c>
      <c r="L312" s="1082"/>
      <c r="M312" s="975">
        <v>50</v>
      </c>
    </row>
    <row r="313" spans="1:14" s="1083" customFormat="1" ht="25.2" hidden="1" customHeight="1">
      <c r="A313" s="1153">
        <f t="shared" si="16"/>
        <v>0</v>
      </c>
      <c r="B313" s="1324" t="s">
        <v>1613</v>
      </c>
      <c r="C313" s="1324">
        <v>1</v>
      </c>
      <c r="D313" s="1110"/>
      <c r="E313" s="1188"/>
      <c r="F313" s="1080" t="str">
        <f>VLOOKUP($B313,DG!A:D,DG!$C$2,)</f>
        <v>Boulon 16x300+ 2 long đền vuông D18-50x50x3/Zn</v>
      </c>
      <c r="G313" s="1079" t="str">
        <f>VLOOKUP($B313,DG!A:D,DG!$D$2,)</f>
        <v>bộ</v>
      </c>
      <c r="H313" s="2038">
        <f t="shared" si="19"/>
        <v>0</v>
      </c>
      <c r="I313" s="2038">
        <f t="shared" si="19"/>
        <v>0</v>
      </c>
      <c r="J313" s="2038">
        <f t="shared" si="19"/>
        <v>0</v>
      </c>
      <c r="K313" s="1167">
        <f t="shared" si="19"/>
        <v>0</v>
      </c>
      <c r="L313" s="1082"/>
      <c r="M313" s="975">
        <v>50</v>
      </c>
    </row>
    <row r="314" spans="1:14" s="1083" customFormat="1" ht="25.2" hidden="1" customHeight="1">
      <c r="A314" s="1153">
        <f t="shared" si="16"/>
        <v>0</v>
      </c>
      <c r="B314" s="1324" t="s">
        <v>4359</v>
      </c>
      <c r="C314" s="1324">
        <v>1</v>
      </c>
      <c r="D314" s="1110"/>
      <c r="E314" s="1188"/>
      <c r="F314" s="1080" t="str">
        <f>VLOOKUP($B314,DG!A:D,DG!$C$2,)</f>
        <v>Boulon 14x150+ 2 long đền vuông D16-50x50x3/Zn</v>
      </c>
      <c r="G314" s="1079" t="str">
        <f>VLOOKUP($B314,DG!A:D,DG!$D$2,)</f>
        <v>bộ</v>
      </c>
      <c r="H314" s="2038">
        <f t="shared" si="19"/>
        <v>0</v>
      </c>
      <c r="I314" s="2038">
        <f t="shared" si="19"/>
        <v>0</v>
      </c>
      <c r="J314" s="2038">
        <f t="shared" si="19"/>
        <v>0</v>
      </c>
      <c r="K314" s="1167">
        <f t="shared" si="19"/>
        <v>0</v>
      </c>
      <c r="L314" s="1082"/>
      <c r="M314" s="975">
        <v>50</v>
      </c>
    </row>
    <row r="315" spans="1:14" s="1083" customFormat="1" ht="25.2" hidden="1" customHeight="1">
      <c r="A315" s="1153">
        <f t="shared" si="16"/>
        <v>0</v>
      </c>
      <c r="B315" s="1324"/>
      <c r="C315" s="1324"/>
      <c r="D315" s="1166">
        <f>IF(H315&gt;0,D309+1,D309)</f>
        <v>0</v>
      </c>
      <c r="E315" s="1185"/>
      <c r="F315" s="1197" t="s">
        <v>4847</v>
      </c>
      <c r="G315" s="1166" t="s">
        <v>2391</v>
      </c>
      <c r="H315" s="1845">
        <f>H309</f>
        <v>0</v>
      </c>
      <c r="I315" s="1259">
        <f t="shared" si="17"/>
        <v>0</v>
      </c>
      <c r="J315" s="1108"/>
      <c r="K315" s="1108"/>
      <c r="L315" s="1082"/>
      <c r="M315" s="975">
        <v>50</v>
      </c>
    </row>
    <row r="316" spans="1:14" s="1083" customFormat="1" ht="25.2" hidden="1" customHeight="1">
      <c r="A316" s="1153">
        <f t="shared" si="16"/>
        <v>0</v>
      </c>
      <c r="B316" s="1324"/>
      <c r="C316" s="1324"/>
      <c r="D316" s="1110"/>
      <c r="E316" s="1188"/>
      <c r="F316" s="1365" t="s">
        <v>2285</v>
      </c>
      <c r="G316" s="1110"/>
      <c r="H316" s="1167"/>
      <c r="I316" s="1259">
        <f t="shared" si="17"/>
        <v>0</v>
      </c>
      <c r="J316" s="1108"/>
      <c r="K316" s="1108"/>
      <c r="L316" s="1082"/>
      <c r="M316" s="975">
        <v>50</v>
      </c>
    </row>
    <row r="317" spans="1:14" s="1083" customFormat="1" ht="25.2" hidden="1" customHeight="1">
      <c r="A317" s="1153">
        <f t="shared" si="16"/>
        <v>0</v>
      </c>
      <c r="B317" s="1324" t="s">
        <v>103</v>
      </c>
      <c r="C317" s="2039">
        <v>0.224</v>
      </c>
      <c r="D317" s="1110"/>
      <c r="E317" s="1079">
        <f>VLOOKUP($B317,DG!A:D,DG!$B$2,)</f>
        <v>0</v>
      </c>
      <c r="F317" s="1080" t="str">
        <f>VLOOKUP($B317,DG!A:D,DG!$C$2,)</f>
        <v>Cáp đồng trần M25mm2</v>
      </c>
      <c r="G317" s="1079" t="str">
        <f>VLOOKUP($B317,DG!A:D,DG!$D$2,)</f>
        <v>kg</v>
      </c>
      <c r="H317" s="2041">
        <v>13</v>
      </c>
      <c r="I317" s="2042">
        <f t="shared" si="17"/>
        <v>0</v>
      </c>
      <c r="J317" s="1108"/>
      <c r="K317" s="1108"/>
      <c r="L317" s="1082"/>
      <c r="M317" s="975">
        <v>50</v>
      </c>
    </row>
    <row r="318" spans="1:14" s="1083" customFormat="1" ht="25.2" hidden="1" customHeight="1">
      <c r="A318" s="1153">
        <f t="shared" si="16"/>
        <v>0</v>
      </c>
      <c r="B318" s="1154" t="s">
        <v>1511</v>
      </c>
      <c r="C318" s="1154"/>
      <c r="D318" s="1110"/>
      <c r="E318" s="1079">
        <f>VLOOKUP($B318,DG!A:D,DG!$B$2,)</f>
        <v>0</v>
      </c>
      <c r="F318" s="1080" t="str">
        <f>VLOOKUP($B318,DG!A:D,DG!$C$2,)</f>
        <v>Cọc tiếp đất Þ 16- 2,4m + kẹp cọc mạ đồng</v>
      </c>
      <c r="G318" s="1079" t="str">
        <f>VLOOKUP($B318,DG!A:D,DG!$D$2,)</f>
        <v>bộ</v>
      </c>
      <c r="H318" s="1167">
        <f>I2</f>
        <v>9</v>
      </c>
      <c r="I318" s="1259">
        <f t="shared" si="17"/>
        <v>0</v>
      </c>
      <c r="J318" s="1108"/>
      <c r="K318" s="1108"/>
      <c r="L318" s="1082"/>
      <c r="M318" s="975">
        <v>50</v>
      </c>
    </row>
    <row r="319" spans="1:14" s="1083" customFormat="1" ht="25.2" hidden="1" customHeight="1">
      <c r="A319" s="1153">
        <f t="shared" si="16"/>
        <v>0</v>
      </c>
      <c r="B319" s="1154" t="s">
        <v>995</v>
      </c>
      <c r="C319" s="1154"/>
      <c r="D319" s="1110"/>
      <c r="E319" s="1079">
        <f>VLOOKUP($B319,DG!A:D,DG!$B$2,)</f>
        <v>0</v>
      </c>
      <c r="F319" s="1080" t="str">
        <f>VLOOKUP($B319,DG!A:D,DG!$C$2,)</f>
        <v>Sắt Ø10</v>
      </c>
      <c r="G319" s="1079" t="str">
        <f>VLOOKUP($B319,DG!A:D,DG!$D$2,)</f>
        <v>kg</v>
      </c>
      <c r="H319" s="1167"/>
      <c r="I319" s="1259">
        <f t="shared" si="17"/>
        <v>0</v>
      </c>
      <c r="J319" s="1108"/>
      <c r="K319" s="1108"/>
      <c r="L319" s="1082"/>
      <c r="M319" s="975">
        <v>50</v>
      </c>
    </row>
    <row r="320" spans="1:14" s="1083" customFormat="1" ht="25.2" hidden="1" customHeight="1">
      <c r="A320" s="1153">
        <f t="shared" si="16"/>
        <v>0</v>
      </c>
      <c r="B320" s="1154" t="s">
        <v>576</v>
      </c>
      <c r="C320" s="1154"/>
      <c r="D320" s="1110"/>
      <c r="E320" s="1079" t="str">
        <f>VLOOKUP($B320,DG!A:D,DG!$B$2,)</f>
        <v>07.2403</v>
      </c>
      <c r="F320" s="1080" t="str">
        <f>VLOOKUP($B320,DG!A:D,DG!$C$2,)</f>
        <v xml:space="preserve">Ống PVC D21x1,6mm </v>
      </c>
      <c r="G320" s="1079" t="str">
        <f>VLOOKUP($B320,DG!A:D,DG!$D$2,)</f>
        <v>m</v>
      </c>
      <c r="H320" s="1167">
        <v>6</v>
      </c>
      <c r="I320" s="1259">
        <f t="shared" ref="I320" si="20">IF(M320=$M$23,H320+J320-K320,0)</f>
        <v>0</v>
      </c>
      <c r="J320" s="1108"/>
      <c r="K320" s="1108"/>
      <c r="L320" s="1082"/>
      <c r="M320" s="975">
        <v>50</v>
      </c>
    </row>
    <row r="321" spans="1:13" s="1083" customFormat="1" ht="25.2" hidden="1" customHeight="1">
      <c r="A321" s="1153">
        <f t="shared" si="16"/>
        <v>0</v>
      </c>
      <c r="B321" s="1154" t="s">
        <v>1595</v>
      </c>
      <c r="C321" s="1154"/>
      <c r="D321" s="1110"/>
      <c r="E321" s="1079" t="str">
        <f>VLOOKUP($B321,DG!A:D,DG!$B$2,)</f>
        <v>06.3231</v>
      </c>
      <c r="F321" s="1080" t="str">
        <f>VLOOKUP($B321,DG!A:D,DG!$C$2,)</f>
        <v>Cổ dê kẹp ống PVC  21</v>
      </c>
      <c r="G321" s="1079" t="str">
        <f>VLOOKUP($B321,DG!A:D,DG!$D$2,)</f>
        <v>bộ</v>
      </c>
      <c r="H321" s="1167">
        <v>4</v>
      </c>
      <c r="I321" s="1259">
        <f t="shared" si="17"/>
        <v>0</v>
      </c>
      <c r="J321" s="1108"/>
      <c r="K321" s="1108"/>
      <c r="L321" s="1082"/>
      <c r="M321" s="975">
        <v>50</v>
      </c>
    </row>
    <row r="322" spans="1:13" s="1083" customFormat="1" ht="25.2" hidden="1" customHeight="1">
      <c r="A322" s="1153">
        <f t="shared" si="16"/>
        <v>0</v>
      </c>
      <c r="B322" s="1329" t="s">
        <v>1582</v>
      </c>
      <c r="C322" s="1329"/>
      <c r="D322" s="1110"/>
      <c r="E322" s="1079">
        <f>VLOOKUP($B322,DG!A:D,DG!$B$2,)</f>
        <v>0</v>
      </c>
      <c r="F322" s="1080" t="str">
        <f>VLOOKUP($B322,DG!A:D,DG!$C$2,)</f>
        <v>Kẹp ép WR cỡ dây 50mm2</v>
      </c>
      <c r="G322" s="1079" t="str">
        <f>VLOOKUP($B322,DG!A:D,DG!$D$2,)</f>
        <v>cái</v>
      </c>
      <c r="H322" s="1167">
        <f>2*H314</f>
        <v>0</v>
      </c>
      <c r="I322" s="1259">
        <f t="shared" ref="I322" si="21">IF(M322=$M$23,H322+J322-K322,0)</f>
        <v>0</v>
      </c>
      <c r="J322" s="1108"/>
      <c r="K322" s="1108"/>
      <c r="L322" s="1082"/>
      <c r="M322" s="975">
        <v>50</v>
      </c>
    </row>
    <row r="323" spans="1:13" s="1083" customFormat="1" ht="25.2" hidden="1" customHeight="1">
      <c r="A323" s="1153">
        <f t="shared" si="16"/>
        <v>0</v>
      </c>
      <c r="B323" s="1329" t="s">
        <v>1115</v>
      </c>
      <c r="C323" s="1329"/>
      <c r="D323" s="1110"/>
      <c r="E323" s="1079">
        <f>VLOOKUP($B323,DG!A:D,DG!$B$2,)</f>
        <v>0</v>
      </c>
      <c r="F323" s="1080" t="str">
        <f>VLOOKUP($B323,DG!A:D,DG!$C$2,)</f>
        <v>Kẹp ép cỡ dây 25mm2</v>
      </c>
      <c r="G323" s="1079" t="str">
        <f>VLOOKUP($B323,DG!A:D,DG!$D$2,)</f>
        <v>cái</v>
      </c>
      <c r="H323" s="1167">
        <v>11</v>
      </c>
      <c r="I323" s="1259">
        <f t="shared" si="17"/>
        <v>0</v>
      </c>
      <c r="J323" s="1108"/>
      <c r="K323" s="1108"/>
      <c r="L323" s="1082"/>
      <c r="M323" s="975">
        <v>50</v>
      </c>
    </row>
    <row r="324" spans="1:13" s="1083" customFormat="1" ht="25.2" hidden="1" customHeight="1">
      <c r="A324" s="1153">
        <f t="shared" si="16"/>
        <v>0</v>
      </c>
      <c r="B324" s="1329" t="s">
        <v>1472</v>
      </c>
      <c r="C324" s="1329"/>
      <c r="D324" s="1110"/>
      <c r="E324" s="1079" t="str">
        <f>VLOOKUP($B324,DG!A:D,DG!$B$2,)</f>
        <v>04.3107</v>
      </c>
      <c r="F324" s="1080" t="str">
        <f>VLOOKUP($B324,DG!A:D,DG!$C$2,)</f>
        <v xml:space="preserve">Ốc siết cáp cỡ 50mm2 </v>
      </c>
      <c r="G324" s="1079" t="str">
        <f>VLOOKUP($B324,DG!A:D,DG!$D$2,)</f>
        <v>cái</v>
      </c>
      <c r="H324" s="1167"/>
      <c r="I324" s="1259">
        <f t="shared" si="17"/>
        <v>0</v>
      </c>
      <c r="J324" s="1108"/>
      <c r="K324" s="1108"/>
      <c r="L324" s="1082"/>
      <c r="M324" s="975">
        <v>50</v>
      </c>
    </row>
    <row r="325" spans="1:13" s="1083" customFormat="1" ht="25.2" hidden="1" customHeight="1">
      <c r="A325" s="1153">
        <f t="shared" si="16"/>
        <v>0</v>
      </c>
      <c r="B325" s="1329" t="s">
        <v>377</v>
      </c>
      <c r="C325" s="1329"/>
      <c r="D325" s="1110"/>
      <c r="E325" s="1079" t="str">
        <f>VLOOKUP($B325,DG!A:D,DG!$B$2,)</f>
        <v>03.4002</v>
      </c>
      <c r="F325" s="1080" t="str">
        <f>VLOOKUP($B325,DG!A:D,DG!$C$2,)</f>
        <v>Đầu cosse ép Cu 35mm2</v>
      </c>
      <c r="G325" s="1079" t="str">
        <f>VLOOKUP($B325,DG!A:D,DG!$D$2,)</f>
        <v>cái</v>
      </c>
      <c r="H325" s="1167"/>
      <c r="I325" s="1259">
        <f t="shared" si="17"/>
        <v>0</v>
      </c>
      <c r="J325" s="1108"/>
      <c r="K325" s="1108"/>
      <c r="L325" s="1082"/>
      <c r="M325" s="975">
        <v>50</v>
      </c>
    </row>
    <row r="326" spans="1:13" s="1083" customFormat="1" ht="25.2" hidden="1" customHeight="1">
      <c r="A326" s="1153">
        <f t="shared" si="16"/>
        <v>0</v>
      </c>
      <c r="B326" s="1329" t="s">
        <v>371</v>
      </c>
      <c r="C326" s="1329"/>
      <c r="D326" s="1110"/>
      <c r="E326" s="1079" t="str">
        <f>VLOOKUP($B326,DG!A:D,DG!$B$2,)</f>
        <v>03.4003</v>
      </c>
      <c r="F326" s="1080" t="str">
        <f>VLOOKUP($B326,DG!A:D,DG!$C$2,)</f>
        <v>Đầu cosse ép Cu 70mm2</v>
      </c>
      <c r="G326" s="1079" t="str">
        <f>VLOOKUP($B326,DG!A:D,DG!$D$2,)</f>
        <v>cái</v>
      </c>
      <c r="H326" s="1167"/>
      <c r="I326" s="1259">
        <f t="shared" si="17"/>
        <v>0</v>
      </c>
      <c r="J326" s="1108"/>
      <c r="K326" s="1108"/>
      <c r="L326" s="1082"/>
      <c r="M326" s="975">
        <v>50</v>
      </c>
    </row>
    <row r="327" spans="1:13" s="1083" customFormat="1" ht="25.2" hidden="1" customHeight="1">
      <c r="A327" s="1153">
        <f t="shared" si="16"/>
        <v>0</v>
      </c>
      <c r="B327" s="1154" t="s">
        <v>375</v>
      </c>
      <c r="C327" s="1154"/>
      <c r="D327" s="1110"/>
      <c r="E327" s="1079" t="str">
        <f>VLOOKUP($B327,DG!A:D,DG!$B$2,)</f>
        <v>06.3231</v>
      </c>
      <c r="F327" s="1080" t="str">
        <f>VLOOKUP($B327,DG!A:D,DG!$C$2,)</f>
        <v>Cổ dê kẹp sắt Ø 10</v>
      </c>
      <c r="G327" s="1079" t="str">
        <f>VLOOKUP($B327,DG!A:D,DG!$D$2,)</f>
        <v>bộ</v>
      </c>
      <c r="H327" s="1167"/>
      <c r="I327" s="1259">
        <f t="shared" si="17"/>
        <v>0</v>
      </c>
      <c r="J327" s="1108"/>
      <c r="K327" s="1108"/>
      <c r="L327" s="1082"/>
      <c r="M327" s="975">
        <v>50</v>
      </c>
    </row>
    <row r="328" spans="1:13" s="1083" customFormat="1" ht="25.2" hidden="1" customHeight="1">
      <c r="A328" s="1153">
        <f t="shared" si="16"/>
        <v>0</v>
      </c>
      <c r="B328" s="1154" t="s">
        <v>1353</v>
      </c>
      <c r="C328" s="1154"/>
      <c r="D328" s="1110"/>
      <c r="E328" s="1079">
        <f>VLOOKUP($B328,DG!A:D,DG!$B$2,)</f>
        <v>0</v>
      </c>
      <c r="F328" s="1080" t="s">
        <v>821</v>
      </c>
      <c r="G328" s="1079" t="str">
        <f>VLOOKUP($B328,DG!A:D,DG!$D$2,)</f>
        <v>bộ</v>
      </c>
      <c r="H328" s="1167"/>
      <c r="I328" s="1259">
        <f t="shared" si="17"/>
        <v>0</v>
      </c>
      <c r="J328" s="1108"/>
      <c r="K328" s="1108"/>
      <c r="L328" s="1082"/>
      <c r="M328" s="975">
        <v>50</v>
      </c>
    </row>
    <row r="329" spans="1:13" s="1083" customFormat="1" ht="25.2" hidden="1" customHeight="1">
      <c r="A329" s="1153">
        <f t="shared" si="16"/>
        <v>0</v>
      </c>
      <c r="B329" s="1329" t="s">
        <v>2189</v>
      </c>
      <c r="C329" s="1329"/>
      <c r="D329" s="1110"/>
      <c r="E329" s="1079" t="str">
        <f>VLOOKUP($B329,DG!A:D,DG!$B$2,)</f>
        <v>04.7002</v>
      </c>
      <c r="F329" s="1080" t="str">
        <f>VLOOKUP($B329,DG!A:D,DG!$C$2,)</f>
        <v>Kéo dây tiếp địa trong TBA</v>
      </c>
      <c r="G329" s="1079" t="str">
        <f>VLOOKUP($B329,DG!A:D,DG!$D$2,)</f>
        <v>mét</v>
      </c>
      <c r="H329" s="2038">
        <f>+H318*3+12*2+4</f>
        <v>55</v>
      </c>
      <c r="I329" s="1259">
        <f t="shared" si="17"/>
        <v>0</v>
      </c>
      <c r="J329" s="1108"/>
      <c r="K329" s="1108"/>
      <c r="L329" s="1082"/>
      <c r="M329" s="975">
        <v>50</v>
      </c>
    </row>
    <row r="330" spans="1:13" s="1083" customFormat="1" ht="25.2" hidden="1" customHeight="1">
      <c r="A330" s="1153">
        <f t="shared" si="16"/>
        <v>0</v>
      </c>
      <c r="B330" s="1154" t="s">
        <v>902</v>
      </c>
      <c r="C330" s="1154"/>
      <c r="D330" s="1110"/>
      <c r="E330" s="1079" t="str">
        <f>VLOOKUP($B330,DG!A:D,DG!$B$2,)</f>
        <v>04.7001</v>
      </c>
      <c r="F330" s="1080" t="str">
        <f>VLOOKUP($B330,DG!A:D,DG!$C$2,)</f>
        <v>Đóng cọc tiếp địa trong TBA</v>
      </c>
      <c r="G330" s="1079" t="str">
        <f>VLOOKUP($B330,DG!A:D,DG!$D$2,)</f>
        <v>cọc</v>
      </c>
      <c r="H330" s="2038">
        <f>H318</f>
        <v>9</v>
      </c>
      <c r="I330" s="1259">
        <f t="shared" si="17"/>
        <v>0</v>
      </c>
      <c r="J330" s="1108"/>
      <c r="K330" s="1108"/>
      <c r="L330" s="1082"/>
      <c r="M330" s="975">
        <v>50</v>
      </c>
    </row>
    <row r="331" spans="1:13" s="1083" customFormat="1" ht="25.2" hidden="1" customHeight="1">
      <c r="A331" s="1153">
        <f t="shared" si="16"/>
        <v>0</v>
      </c>
      <c r="B331" s="1329" t="str">
        <f>"dtd"&amp;chitiet!G5</f>
        <v>dtd3</v>
      </c>
      <c r="C331" s="1329"/>
      <c r="D331" s="1110"/>
      <c r="E331" s="1079" t="str">
        <f>VLOOKUP($B331,DG!A:D,DG!$B$2,)</f>
        <v>03.3123</v>
      </c>
      <c r="F331" s="1080" t="str">
        <f>VLOOKUP($B331,DG!A:D,DG!$C$2,)</f>
        <v>Đào rãnh tiếp địa đất cấp 3</v>
      </c>
      <c r="G331" s="1079" t="str">
        <f>VLOOKUP($B331,DG!A:D,DG!$D$2,)</f>
        <v>m3</v>
      </c>
      <c r="H331" s="2040">
        <v>8.64</v>
      </c>
      <c r="I331" s="1259">
        <f t="shared" si="17"/>
        <v>0</v>
      </c>
      <c r="J331" s="1108"/>
      <c r="K331" s="1108"/>
      <c r="L331" s="1082"/>
      <c r="M331" s="975">
        <v>50</v>
      </c>
    </row>
    <row r="332" spans="1:13" s="1083" customFormat="1" ht="25.2" hidden="1" customHeight="1">
      <c r="A332" s="1153">
        <f t="shared" si="16"/>
        <v>0</v>
      </c>
      <c r="B332" s="1154" t="str">
        <f>"datd"&amp;chitiet!G5</f>
        <v>datd3</v>
      </c>
      <c r="C332" s="1154"/>
      <c r="D332" s="1110"/>
      <c r="E332" s="1079" t="str">
        <f>VLOOKUP($B332,DG!A:D,DG!$B$2,)</f>
        <v>03.4123</v>
      </c>
      <c r="F332" s="1080" t="str">
        <f>VLOOKUP($B332,DG!A:D,DG!$C$2,)</f>
        <v>Đắp đất rãnh tiếp độ chặt k=0,85</v>
      </c>
      <c r="G332" s="1079" t="str">
        <f>VLOOKUP($B332,DG!A:D,DG!$D$2,)</f>
        <v>m3</v>
      </c>
      <c r="H332" s="2038">
        <f>H331</f>
        <v>8.64</v>
      </c>
      <c r="I332" s="1259">
        <f t="shared" si="17"/>
        <v>0</v>
      </c>
      <c r="J332" s="1108"/>
      <c r="K332" s="1108"/>
      <c r="L332" s="1082"/>
      <c r="M332" s="975">
        <v>50</v>
      </c>
    </row>
    <row r="333" spans="1:13" s="1083" customFormat="1" ht="25.2" hidden="1" customHeight="1">
      <c r="A333" s="1153">
        <f t="shared" si="16"/>
        <v>0</v>
      </c>
      <c r="B333" s="1329"/>
      <c r="C333" s="1329"/>
      <c r="D333" s="1166">
        <f>IF(H333&gt;0,D315+1,D315)</f>
        <v>0</v>
      </c>
      <c r="E333" s="1185"/>
      <c r="F333" s="1186" t="s">
        <v>3701</v>
      </c>
      <c r="G333" s="1166" t="s">
        <v>2391</v>
      </c>
      <c r="H333" s="1845">
        <f>H309</f>
        <v>0</v>
      </c>
      <c r="I333" s="1259">
        <f t="shared" si="17"/>
        <v>0</v>
      </c>
      <c r="J333" s="1108"/>
      <c r="K333" s="1108"/>
      <c r="L333" s="1082"/>
      <c r="M333" s="975">
        <v>50</v>
      </c>
    </row>
    <row r="334" spans="1:13" s="1083" customFormat="1" ht="25.2" hidden="1" customHeight="1">
      <c r="A334" s="1153">
        <f t="shared" si="16"/>
        <v>0</v>
      </c>
      <c r="B334" s="1329"/>
      <c r="C334" s="1329"/>
      <c r="D334" s="1166"/>
      <c r="E334" s="1185"/>
      <c r="F334" s="1365" t="s">
        <v>2285</v>
      </c>
      <c r="G334" s="1110"/>
      <c r="H334" s="1167"/>
      <c r="I334" s="1259">
        <f t="shared" si="17"/>
        <v>0</v>
      </c>
      <c r="J334" s="1108"/>
      <c r="K334" s="1108"/>
      <c r="L334" s="1082"/>
      <c r="M334" s="975">
        <v>50</v>
      </c>
    </row>
    <row r="335" spans="1:13" s="1083" customFormat="1" ht="25.2" hidden="1" customHeight="1">
      <c r="A335" s="1153">
        <f t="shared" si="16"/>
        <v>0</v>
      </c>
      <c r="B335" s="1331" t="s">
        <v>616</v>
      </c>
      <c r="C335" s="1331"/>
      <c r="D335" s="1110"/>
      <c r="E335" s="1079" t="str">
        <f>VLOOKUP($B335,DG!A:D,DG!$B$2,)</f>
        <v>05.1001</v>
      </c>
      <c r="F335" s="1080" t="str">
        <f>VLOOKUP($B335,DG!A:D,DG!$C$2,)</f>
        <v>Tủ CB trạm 1 pha + khóa + boulon</v>
      </c>
      <c r="G335" s="1079" t="str">
        <f>VLOOKUP($B335,DG!A:D,DG!$D$2,)</f>
        <v>cái</v>
      </c>
      <c r="H335" s="1167">
        <f>H333</f>
        <v>0</v>
      </c>
      <c r="I335" s="1259">
        <f t="shared" si="17"/>
        <v>0</v>
      </c>
      <c r="J335" s="1108"/>
      <c r="K335" s="1108"/>
      <c r="L335" s="1082"/>
      <c r="M335" s="975">
        <v>50</v>
      </c>
    </row>
    <row r="336" spans="1:13" s="1083" customFormat="1" ht="25.2" hidden="1" customHeight="1">
      <c r="A336" s="1153">
        <f t="shared" si="16"/>
        <v>0</v>
      </c>
      <c r="B336" s="1329" t="s">
        <v>879</v>
      </c>
      <c r="C336" s="1329"/>
      <c r="D336" s="1110"/>
      <c r="E336" s="1079" t="str">
        <f>VLOOKUP($B336,DG!A:D,DG!$B$2,)</f>
        <v>06.3231</v>
      </c>
      <c r="F336" s="1080" t="str">
        <f>VLOOKUP($B336,DG!A:D,DG!$C$2,)</f>
        <v>Cổ dê bắt tủ</v>
      </c>
      <c r="G336" s="1079" t="str">
        <f>VLOOKUP($B336,DG!A:D,DG!$D$2,)</f>
        <v>bộ</v>
      </c>
      <c r="H336" s="1167">
        <f>2*H333</f>
        <v>0</v>
      </c>
      <c r="I336" s="1259">
        <f t="shared" si="17"/>
        <v>0</v>
      </c>
      <c r="J336" s="1108"/>
      <c r="K336" s="1108"/>
      <c r="L336" s="1082"/>
      <c r="M336" s="975">
        <v>50</v>
      </c>
    </row>
    <row r="337" spans="1:13" s="1083" customFormat="1" ht="25.2" hidden="1" customHeight="1">
      <c r="A337" s="1153">
        <f t="shared" si="16"/>
        <v>0</v>
      </c>
      <c r="B337" s="1329" t="s">
        <v>880</v>
      </c>
      <c r="C337" s="1329"/>
      <c r="D337" s="1110"/>
      <c r="E337" s="1079">
        <f>VLOOKUP($B337,DG!A:D,DG!$B$2,)</f>
        <v>0</v>
      </c>
      <c r="F337" s="1080" t="str">
        <f>VLOOKUP($B337,DG!A:D,DG!$C$2,)</f>
        <v xml:space="preserve">Bakelit 550x450 dầy 10mm </v>
      </c>
      <c r="G337" s="1079" t="str">
        <f>VLOOKUP($B337,DG!A:D,DG!$D$2,)</f>
        <v>cái</v>
      </c>
      <c r="H337" s="1167">
        <f>H335</f>
        <v>0</v>
      </c>
      <c r="I337" s="1259">
        <f t="shared" ref="I337" si="22">IF(M337=$M$23,H337+J337-K337,0)</f>
        <v>0</v>
      </c>
      <c r="J337" s="1108"/>
      <c r="K337" s="1108"/>
      <c r="L337" s="1082"/>
      <c r="M337" s="975">
        <v>50</v>
      </c>
    </row>
    <row r="338" spans="1:13" s="1083" customFormat="1" ht="25.2" hidden="1" customHeight="1">
      <c r="A338" s="1153">
        <f t="shared" si="16"/>
        <v>0</v>
      </c>
      <c r="B338" s="1329" t="s">
        <v>1918</v>
      </c>
      <c r="C338" s="1329"/>
      <c r="D338" s="1110"/>
      <c r="E338" s="1079">
        <f>VLOOKUP($B338,DG!A:D,DG!$B$2,)</f>
        <v>0</v>
      </c>
      <c r="F338" s="1080" t="str">
        <f>VLOOKUP($B338,DG!A:D,DG!$C$2,)</f>
        <v>Bakelit 350x510 dầy 5mm</v>
      </c>
      <c r="G338" s="1079" t="str">
        <f>VLOOKUP($B338,DG!A:D,DG!$D$2,)</f>
        <v>cái</v>
      </c>
      <c r="H338" s="1167">
        <f>H333</f>
        <v>0</v>
      </c>
      <c r="I338" s="1259">
        <f t="shared" si="17"/>
        <v>0</v>
      </c>
      <c r="J338" s="1108"/>
      <c r="K338" s="1108"/>
      <c r="L338" s="1082"/>
      <c r="M338" s="975">
        <v>50</v>
      </c>
    </row>
    <row r="339" spans="1:13" s="1083" customFormat="1" ht="25.2" hidden="1" customHeight="1">
      <c r="A339" s="1153">
        <f t="shared" si="16"/>
        <v>0</v>
      </c>
      <c r="B339" s="1329"/>
      <c r="C339" s="1329"/>
      <c r="D339" s="1166">
        <f>IF(H339&gt;0,D333+1,D333)</f>
        <v>0</v>
      </c>
      <c r="E339" s="1185"/>
      <c r="F339" s="1197" t="s">
        <v>3696</v>
      </c>
      <c r="G339" s="1166" t="s">
        <v>2391</v>
      </c>
      <c r="H339" s="1845">
        <f>H333</f>
        <v>0</v>
      </c>
      <c r="I339" s="1259">
        <f t="shared" si="17"/>
        <v>0</v>
      </c>
      <c r="J339" s="1108"/>
      <c r="K339" s="1108"/>
      <c r="L339" s="1082"/>
      <c r="M339" s="975">
        <v>50</v>
      </c>
    </row>
    <row r="340" spans="1:13" s="1083" customFormat="1" ht="25.2" hidden="1" customHeight="1">
      <c r="A340" s="1153">
        <f t="shared" si="16"/>
        <v>0</v>
      </c>
      <c r="B340" s="1329"/>
      <c r="C340" s="1329"/>
      <c r="D340" s="1166"/>
      <c r="E340" s="1185"/>
      <c r="F340" s="1365" t="s">
        <v>2285</v>
      </c>
      <c r="G340" s="1110"/>
      <c r="H340" s="1167"/>
      <c r="I340" s="1259">
        <f t="shared" si="17"/>
        <v>0</v>
      </c>
      <c r="J340" s="1108"/>
      <c r="K340" s="1108"/>
      <c r="L340" s="1082"/>
      <c r="M340" s="975">
        <v>50</v>
      </c>
    </row>
    <row r="341" spans="1:13" s="1083" customFormat="1" ht="25.2" hidden="1" customHeight="1">
      <c r="A341" s="1153">
        <f t="shared" si="16"/>
        <v>0</v>
      </c>
      <c r="B341" s="1154" t="s">
        <v>697</v>
      </c>
      <c r="C341" s="1154"/>
      <c r="D341" s="1110"/>
      <c r="E341" s="1079">
        <f>VLOOKUP($B341,DG!A:D,DG!$B$2,)</f>
        <v>0</v>
      </c>
      <c r="F341" s="1080" t="str">
        <f>VLOOKUP($B341,DG!A:D,DG!$C$2,)</f>
        <v>Cáp 24KV C/XLPE/PVC 25mm2</v>
      </c>
      <c r="G341" s="1079" t="str">
        <f>VLOOKUP($B341,DG!A:D,DG!$D$2,)</f>
        <v>mét</v>
      </c>
      <c r="H341" s="1167">
        <v>4</v>
      </c>
      <c r="I341" s="1259">
        <f t="shared" si="17"/>
        <v>0</v>
      </c>
      <c r="J341" s="1108"/>
      <c r="K341" s="1108"/>
      <c r="L341" s="1082"/>
      <c r="M341" s="975">
        <v>50</v>
      </c>
    </row>
    <row r="342" spans="1:13" s="1083" customFormat="1" ht="25.2" hidden="1" customHeight="1">
      <c r="A342" s="1153">
        <f t="shared" si="16"/>
        <v>0</v>
      </c>
      <c r="B342" s="1154" t="s">
        <v>1482</v>
      </c>
      <c r="C342" s="1154"/>
      <c r="D342" s="1110"/>
      <c r="E342" s="1079" t="str">
        <f>VLOOKUP($B342,DG!A:D,DG!$B$2,)</f>
        <v>04.3007</v>
      </c>
      <c r="F342" s="1080" t="str">
        <f>VLOOKUP($B342,DG!A:D,DG!$C$2,)</f>
        <v>Kẹp quai 2/0</v>
      </c>
      <c r="G342" s="1079" t="str">
        <f>VLOOKUP($B342,DG!A:D,DG!$D$2,)</f>
        <v>cái</v>
      </c>
      <c r="H342" s="1167">
        <f>H339</f>
        <v>0</v>
      </c>
      <c r="I342" s="1259">
        <f t="shared" si="17"/>
        <v>0</v>
      </c>
      <c r="J342" s="1108"/>
      <c r="K342" s="1108"/>
      <c r="L342" s="1082"/>
      <c r="M342" s="975">
        <v>50</v>
      </c>
    </row>
    <row r="343" spans="1:13" s="1083" customFormat="1" ht="25.2" hidden="1" customHeight="1">
      <c r="A343" s="1153">
        <f t="shared" si="16"/>
        <v>0</v>
      </c>
      <c r="B343" s="1154" t="s">
        <v>1480</v>
      </c>
      <c r="C343" s="1154"/>
      <c r="D343" s="1110"/>
      <c r="E343" s="1079" t="str">
        <f>VLOOKUP($B343,DG!A:D,DG!$B$2,)</f>
        <v>04.3007</v>
      </c>
      <c r="F343" s="1080" t="str">
        <f>VLOOKUP($B343,DG!A:D,DG!$C$2,)</f>
        <v>Kẹp hotline 2/0</v>
      </c>
      <c r="G343" s="1079" t="str">
        <f>VLOOKUP($B343,DG!A:D,DG!$D$2,)</f>
        <v>cái</v>
      </c>
      <c r="H343" s="1167">
        <f>H339</f>
        <v>0</v>
      </c>
      <c r="I343" s="1259">
        <f t="shared" si="17"/>
        <v>0</v>
      </c>
      <c r="J343" s="1108"/>
      <c r="K343" s="1108"/>
      <c r="L343" s="1082"/>
      <c r="M343" s="975">
        <v>50</v>
      </c>
    </row>
    <row r="344" spans="1:13" s="1083" customFormat="1" ht="25.2" hidden="1" customHeight="1">
      <c r="A344" s="1153">
        <f t="shared" si="16"/>
        <v>0</v>
      </c>
      <c r="B344" s="1154" t="s">
        <v>382</v>
      </c>
      <c r="C344" s="1154"/>
      <c r="D344" s="1110"/>
      <c r="E344" s="1079">
        <f>VLOOKUP($B344,DG!A:D,DG!$B$2,)</f>
        <v>0</v>
      </c>
      <c r="F344" s="1080" t="str">
        <f>VLOOKUP($B344,DG!A:D,DG!$C$2,)</f>
        <v>Chụp đầu cực FCO (bộ 2 cái)</v>
      </c>
      <c r="G344" s="1079" t="str">
        <f>VLOOKUP($B344,DG!A:D,DG!$D$2,)</f>
        <v>bộ</v>
      </c>
      <c r="H344" s="1167">
        <f>H273</f>
        <v>0</v>
      </c>
      <c r="I344" s="1259">
        <f t="shared" si="17"/>
        <v>0</v>
      </c>
      <c r="J344" s="1108"/>
      <c r="K344" s="1108"/>
      <c r="L344" s="1082"/>
      <c r="M344" s="975">
        <v>50</v>
      </c>
    </row>
    <row r="345" spans="1:13" s="1083" customFormat="1" ht="25.2" hidden="1" customHeight="1">
      <c r="A345" s="1153">
        <f t="shared" si="16"/>
        <v>0</v>
      </c>
      <c r="B345" s="1154" t="s">
        <v>383</v>
      </c>
      <c r="C345" s="1154"/>
      <c r="D345" s="1110"/>
      <c r="E345" s="1079">
        <f>VLOOKUP($B345,DG!A:D,DG!$B$2,)</f>
        <v>0</v>
      </c>
      <c r="F345" s="1080" t="str">
        <f>VLOOKUP($B345,DG!A:D,DG!$C$2,)</f>
        <v>Chụp đầu cực LA</v>
      </c>
      <c r="G345" s="1079" t="str">
        <f>VLOOKUP($B345,DG!A:D,DG!$D$2,)</f>
        <v>cái</v>
      </c>
      <c r="H345" s="1167">
        <f>H275</f>
        <v>0</v>
      </c>
      <c r="I345" s="1259">
        <f t="shared" si="17"/>
        <v>0</v>
      </c>
      <c r="J345" s="1108"/>
      <c r="K345" s="1108"/>
      <c r="L345" s="1082"/>
      <c r="M345" s="975">
        <v>50</v>
      </c>
    </row>
    <row r="346" spans="1:13" s="1083" customFormat="1" ht="25.2" hidden="1" customHeight="1">
      <c r="A346" s="1153">
        <f t="shared" ref="A346:A409" si="23">IF(I346&gt;0,1,0)</f>
        <v>0</v>
      </c>
      <c r="B346" s="1154" t="s">
        <v>384</v>
      </c>
      <c r="C346" s="1154"/>
      <c r="D346" s="1110"/>
      <c r="E346" s="1079">
        <f>VLOOKUP($B346,DG!A:D,DG!$B$2,)</f>
        <v>0</v>
      </c>
      <c r="F346" s="1080" t="str">
        <f>VLOOKUP($B346,DG!A:D,DG!$C$2,)</f>
        <v>Chụp đầu MBA</v>
      </c>
      <c r="G346" s="1079" t="str">
        <f>VLOOKUP($B346,DG!A:D,DG!$D$2,)</f>
        <v>cái</v>
      </c>
      <c r="H346" s="1167">
        <f>H272</f>
        <v>0</v>
      </c>
      <c r="I346" s="1259">
        <f t="shared" si="17"/>
        <v>0</v>
      </c>
      <c r="J346" s="1108"/>
      <c r="K346" s="1108"/>
      <c r="L346" s="1082"/>
      <c r="M346" s="975">
        <v>50</v>
      </c>
    </row>
    <row r="347" spans="1:13" s="1083" customFormat="1" ht="25.2" hidden="1" customHeight="1">
      <c r="A347" s="1153">
        <f t="shared" si="23"/>
        <v>0</v>
      </c>
      <c r="B347" s="1154" t="s">
        <v>1528</v>
      </c>
      <c r="C347" s="1154"/>
      <c r="D347" s="1110"/>
      <c r="E347" s="1079" t="str">
        <f>VLOOKUP($B347,DG!A:D,DG!$B$2,)</f>
        <v>04.4201</v>
      </c>
      <c r="F347" s="1080" t="str">
        <f>VLOOKUP($B347,DG!A:D,DG!$C$2,)</f>
        <v>Lắp cáp đồng xuống thiết bị D ≤ 95mm2</v>
      </c>
      <c r="G347" s="1079" t="str">
        <f>VLOOKUP($B347,DG!A:D,DG!$D$2,)</f>
        <v>m</v>
      </c>
      <c r="H347" s="1167">
        <f>H341</f>
        <v>4</v>
      </c>
      <c r="I347" s="1259">
        <f t="shared" si="17"/>
        <v>0</v>
      </c>
      <c r="J347" s="1108"/>
      <c r="K347" s="1108"/>
      <c r="L347" s="1082"/>
      <c r="M347" s="975">
        <v>50</v>
      </c>
    </row>
    <row r="348" spans="1:13" s="1083" customFormat="1" ht="25.2" hidden="1" customHeight="1">
      <c r="A348" s="1153">
        <f t="shared" si="23"/>
        <v>0</v>
      </c>
      <c r="B348" s="1324"/>
      <c r="C348" s="1324"/>
      <c r="D348" s="1166">
        <f>IF(H348&gt;0,D339+1,D339)</f>
        <v>0</v>
      </c>
      <c r="E348" s="1185"/>
      <c r="F348" s="1186" t="s">
        <v>3706</v>
      </c>
      <c r="G348" s="1166" t="s">
        <v>2391</v>
      </c>
      <c r="H348" s="1845">
        <f>H272</f>
        <v>0</v>
      </c>
      <c r="I348" s="1259">
        <f t="shared" si="17"/>
        <v>0</v>
      </c>
      <c r="J348" s="1108"/>
      <c r="K348" s="1108"/>
      <c r="L348" s="1082"/>
      <c r="M348" s="975">
        <v>50</v>
      </c>
    </row>
    <row r="349" spans="1:13" s="1083" customFormat="1" ht="25.2" hidden="1" customHeight="1">
      <c r="A349" s="1153">
        <f t="shared" si="23"/>
        <v>0</v>
      </c>
      <c r="B349" s="1324"/>
      <c r="C349" s="1324"/>
      <c r="D349" s="1166"/>
      <c r="E349" s="1185"/>
      <c r="F349" s="1364" t="s">
        <v>2285</v>
      </c>
      <c r="G349" s="1166"/>
      <c r="H349" s="1845"/>
      <c r="I349" s="1259">
        <f t="shared" si="17"/>
        <v>0</v>
      </c>
      <c r="J349" s="1108"/>
      <c r="K349" s="1108"/>
      <c r="L349" s="1082"/>
      <c r="M349" s="975">
        <v>50</v>
      </c>
    </row>
    <row r="350" spans="1:13" s="1083" customFormat="1" ht="25.2" hidden="1" customHeight="1">
      <c r="A350" s="1153">
        <f t="shared" si="23"/>
        <v>0</v>
      </c>
      <c r="B350" s="1324" t="s">
        <v>49</v>
      </c>
      <c r="C350" s="1324">
        <v>18</v>
      </c>
      <c r="D350" s="1166"/>
      <c r="E350" s="1079">
        <f>VLOOKUP($B350,DG!A:D,DG!$B$2,)</f>
        <v>0</v>
      </c>
      <c r="F350" s="1080" t="str">
        <f>VLOOKUP($B350,DG!A:D,DG!$C$2,)</f>
        <v>Cáp đồng bọc CV120</v>
      </c>
      <c r="G350" s="1079" t="str">
        <f>VLOOKUP($B350,DG!A:D,DG!$D$2,)</f>
        <v>mét</v>
      </c>
      <c r="H350" s="2038">
        <v>20</v>
      </c>
      <c r="I350" s="2038">
        <f t="shared" ref="I350:K350" si="24">I$348*$C350</f>
        <v>0</v>
      </c>
      <c r="J350" s="2038">
        <f t="shared" si="24"/>
        <v>0</v>
      </c>
      <c r="K350" s="2038">
        <f t="shared" si="24"/>
        <v>0</v>
      </c>
      <c r="L350" s="1082"/>
      <c r="M350" s="975">
        <v>50</v>
      </c>
    </row>
    <row r="351" spans="1:13" s="1083" customFormat="1" ht="25.2" hidden="1" customHeight="1">
      <c r="A351" s="1153">
        <f t="shared" si="23"/>
        <v>0</v>
      </c>
      <c r="B351" s="1324" t="s">
        <v>1409</v>
      </c>
      <c r="C351" s="1324">
        <v>11</v>
      </c>
      <c r="D351" s="1166"/>
      <c r="E351" s="1079">
        <f>VLOOKUP($B351,DG!A:D,DG!$B$2,)</f>
        <v>0</v>
      </c>
      <c r="F351" s="1080" t="str">
        <f>VLOOKUP($B351,DG!A:D,DG!$C$2,)</f>
        <v>Cáp đồng bọc CV25</v>
      </c>
      <c r="G351" s="1079" t="str">
        <f>VLOOKUP($B351,DG!A:D,DG!$D$2,)</f>
        <v>mét</v>
      </c>
      <c r="H351" s="2038"/>
      <c r="I351" s="2038"/>
      <c r="J351" s="2038">
        <f t="shared" ref="H351:K366" si="25">J$348*$C351</f>
        <v>0</v>
      </c>
      <c r="K351" s="2038">
        <f t="shared" si="25"/>
        <v>0</v>
      </c>
      <c r="L351" s="1082"/>
      <c r="M351" s="975">
        <v>50</v>
      </c>
    </row>
    <row r="352" spans="1:13" s="1083" customFormat="1" ht="25.2" hidden="1" customHeight="1">
      <c r="A352" s="1153">
        <f t="shared" si="23"/>
        <v>0</v>
      </c>
      <c r="B352" s="1324" t="s">
        <v>4545</v>
      </c>
      <c r="C352" s="1324">
        <v>2</v>
      </c>
      <c r="D352" s="1110"/>
      <c r="E352" s="1079" t="str">
        <f>VLOOKUP($B352,DG!A:D,DG!$B$2,)</f>
        <v>03.1401</v>
      </c>
      <c r="F352" s="1080" t="str">
        <f>VLOOKUP($B352,DG!A:D,DG!$C$2,)</f>
        <v xml:space="preserve">Cáp CVV 4x4mm2  </v>
      </c>
      <c r="G352" s="1079" t="str">
        <f>VLOOKUP($B352,DG!A:D,DG!$D$2,)</f>
        <v>mét</v>
      </c>
      <c r="H352" s="2038">
        <f t="shared" si="25"/>
        <v>0</v>
      </c>
      <c r="I352" s="2038">
        <f t="shared" si="25"/>
        <v>0</v>
      </c>
      <c r="J352" s="2038">
        <f t="shared" si="25"/>
        <v>0</v>
      </c>
      <c r="K352" s="2038">
        <f t="shared" si="25"/>
        <v>0</v>
      </c>
      <c r="L352" s="1082"/>
      <c r="M352" s="975">
        <v>50</v>
      </c>
    </row>
    <row r="353" spans="1:13" s="1083" customFormat="1" ht="25.2" hidden="1" customHeight="1">
      <c r="A353" s="1153">
        <f t="shared" si="23"/>
        <v>0</v>
      </c>
      <c r="B353" s="1329" t="s">
        <v>1308</v>
      </c>
      <c r="C353" s="1329">
        <v>4</v>
      </c>
      <c r="D353" s="1110"/>
      <c r="E353" s="1079" t="str">
        <f>VLOOKUP($B353,DG!A:D,DG!$B$2,)</f>
        <v>03.4005</v>
      </c>
      <c r="F353" s="1080" t="str">
        <f>VLOOKUP($B353,DG!A:D,DG!$C$2,)</f>
        <v>Đầu cosse ép Cu 120mm2</v>
      </c>
      <c r="G353" s="1079" t="str">
        <f>VLOOKUP($B353,DG!A:D,DG!$D$2,)</f>
        <v>cái</v>
      </c>
      <c r="H353" s="2038">
        <f t="shared" si="25"/>
        <v>0</v>
      </c>
      <c r="I353" s="2038">
        <f t="shared" si="25"/>
        <v>0</v>
      </c>
      <c r="J353" s="2038">
        <f t="shared" si="25"/>
        <v>0</v>
      </c>
      <c r="K353" s="2038">
        <f t="shared" si="25"/>
        <v>0</v>
      </c>
      <c r="L353" s="1082"/>
      <c r="M353" s="975">
        <v>50</v>
      </c>
    </row>
    <row r="354" spans="1:13" s="1083" customFormat="1" ht="25.2" hidden="1" customHeight="1">
      <c r="A354" s="1153">
        <f t="shared" si="23"/>
        <v>0</v>
      </c>
      <c r="B354" s="1329" t="s">
        <v>93</v>
      </c>
      <c r="C354" s="1329">
        <v>4</v>
      </c>
      <c r="D354" s="1110"/>
      <c r="E354" s="1079">
        <f>VLOOKUP($B354,DG!A:D,DG!$B$2,)</f>
        <v>0</v>
      </c>
      <c r="F354" s="1080" t="str">
        <f>VLOOKUP($B354,DG!A:D,DG!$C$2,)</f>
        <v>Chụp đầu cosse  120mm2</v>
      </c>
      <c r="G354" s="1079" t="str">
        <f>VLOOKUP($B354,DG!A:D,DG!$D$2,)</f>
        <v>cái</v>
      </c>
      <c r="H354" s="2038">
        <f t="shared" si="25"/>
        <v>0</v>
      </c>
      <c r="I354" s="2038">
        <f t="shared" si="25"/>
        <v>0</v>
      </c>
      <c r="J354" s="2038">
        <f t="shared" si="25"/>
        <v>0</v>
      </c>
      <c r="K354" s="2038">
        <f t="shared" si="25"/>
        <v>0</v>
      </c>
      <c r="L354" s="1082"/>
      <c r="M354" s="975">
        <v>50</v>
      </c>
    </row>
    <row r="355" spans="1:13" s="1083" customFormat="1" ht="25.2" hidden="1" customHeight="1">
      <c r="A355" s="1153">
        <f t="shared" si="23"/>
        <v>0</v>
      </c>
      <c r="B355" s="1329" t="s">
        <v>104</v>
      </c>
      <c r="C355" s="1329">
        <v>0</v>
      </c>
      <c r="D355" s="1110"/>
      <c r="E355" s="1079" t="str">
        <f>VLOOKUP($B355,DG!A:D,DG!$B$2,)</f>
        <v>03.4001</v>
      </c>
      <c r="F355" s="1080" t="str">
        <f>VLOOKUP($B355,DG!A:D,DG!$C$2,)</f>
        <v>Đầu cosse ép Cu 25mm2</v>
      </c>
      <c r="G355" s="1079" t="str">
        <f>VLOOKUP($B355,DG!A:D,DG!$D$2,)</f>
        <v>cái</v>
      </c>
      <c r="H355" s="2038">
        <f t="shared" si="25"/>
        <v>0</v>
      </c>
      <c r="I355" s="2038">
        <f t="shared" si="25"/>
        <v>0</v>
      </c>
      <c r="J355" s="2038">
        <f t="shared" si="25"/>
        <v>0</v>
      </c>
      <c r="K355" s="2038">
        <f t="shared" si="25"/>
        <v>0</v>
      </c>
      <c r="L355" s="1082"/>
      <c r="M355" s="975">
        <v>50</v>
      </c>
    </row>
    <row r="356" spans="1:13" s="1083" customFormat="1" ht="25.2" hidden="1" customHeight="1">
      <c r="A356" s="1153">
        <f t="shared" si="23"/>
        <v>0</v>
      </c>
      <c r="B356" s="1329" t="s">
        <v>1920</v>
      </c>
      <c r="C356" s="1329">
        <v>0</v>
      </c>
      <c r="D356" s="1110"/>
      <c r="E356" s="1079">
        <f>VLOOKUP($B356,DG!A:D,DG!$B$2,)</f>
        <v>0</v>
      </c>
      <c r="F356" s="1080" t="str">
        <f>VLOOKUP($B356,DG!A:D,DG!$C$2,)</f>
        <v>Chụp đầu cosse  25mm2</v>
      </c>
      <c r="G356" s="1079" t="str">
        <f>VLOOKUP($B356,DG!A:D,DG!$D$2,)</f>
        <v>cái</v>
      </c>
      <c r="H356" s="2038">
        <f t="shared" si="25"/>
        <v>0</v>
      </c>
      <c r="I356" s="2038">
        <f t="shared" si="25"/>
        <v>0</v>
      </c>
      <c r="J356" s="2038">
        <f t="shared" si="25"/>
        <v>0</v>
      </c>
      <c r="K356" s="2038">
        <f t="shared" si="25"/>
        <v>0</v>
      </c>
      <c r="L356" s="1082"/>
      <c r="M356" s="975">
        <v>50</v>
      </c>
    </row>
    <row r="357" spans="1:13" s="1083" customFormat="1" ht="25.2" customHeight="1">
      <c r="A357" s="1153">
        <f t="shared" si="23"/>
        <v>1</v>
      </c>
      <c r="B357" s="1329" t="s">
        <v>1042</v>
      </c>
      <c r="C357" s="1329">
        <v>8</v>
      </c>
      <c r="D357" s="1110"/>
      <c r="E357" s="1079">
        <f>VLOOKUP($B357,DG!A:D,DG!$B$2,)</f>
        <v>0</v>
      </c>
      <c r="F357" s="1080" t="str">
        <f>VLOOKUP($B357,DG!A:D,DG!$C$2,)</f>
        <v xml:space="preserve">Ống PVC D114x4,9mm </v>
      </c>
      <c r="G357" s="1079" t="str">
        <f>VLOOKUP($B357,DG!A:D,DG!$D$2,)</f>
        <v>m</v>
      </c>
      <c r="H357" s="2038">
        <v>7</v>
      </c>
      <c r="I357" s="2038">
        <f>H357</f>
        <v>7</v>
      </c>
      <c r="J357" s="2038">
        <f t="shared" si="25"/>
        <v>0</v>
      </c>
      <c r="K357" s="2038">
        <f t="shared" si="25"/>
        <v>0</v>
      </c>
      <c r="L357" s="1082"/>
      <c r="M357" s="975">
        <v>50</v>
      </c>
    </row>
    <row r="358" spans="1:13" s="1083" customFormat="1" ht="25.2" hidden="1" customHeight="1">
      <c r="A358" s="1153">
        <f t="shared" si="23"/>
        <v>0</v>
      </c>
      <c r="B358" s="1154" t="s">
        <v>1866</v>
      </c>
      <c r="C358" s="1154">
        <v>3</v>
      </c>
      <c r="D358" s="1110"/>
      <c r="E358" s="1079" t="str">
        <f>VLOOKUP($B358,DG!A:D,DG!$B$2,)</f>
        <v>06.3231</v>
      </c>
      <c r="F358" s="1080" t="str">
        <f>VLOOKUP($B358,DG!A:D,DG!$C$2,)</f>
        <v>Cổ dê kẹp ống PVC Ø 114</v>
      </c>
      <c r="G358" s="1079" t="str">
        <f>VLOOKUP($B358,DG!A:D,DG!$D$2,)</f>
        <v>bộ</v>
      </c>
      <c r="H358" s="2038">
        <v>2</v>
      </c>
      <c r="I358" s="2038">
        <f t="shared" si="25"/>
        <v>0</v>
      </c>
      <c r="J358" s="2038">
        <f t="shared" si="25"/>
        <v>0</v>
      </c>
      <c r="K358" s="2038">
        <f t="shared" si="25"/>
        <v>0</v>
      </c>
      <c r="L358" s="1082"/>
      <c r="M358" s="975">
        <v>50</v>
      </c>
    </row>
    <row r="359" spans="1:13" s="1083" customFormat="1" ht="25.2" hidden="1" customHeight="1">
      <c r="A359" s="1153">
        <f t="shared" si="23"/>
        <v>0</v>
      </c>
      <c r="B359" s="1329" t="s">
        <v>1868</v>
      </c>
      <c r="C359" s="1329">
        <v>2</v>
      </c>
      <c r="D359" s="1110"/>
      <c r="E359" s="1079">
        <f>VLOOKUP($B359,DG!A:D,DG!$B$2,)</f>
        <v>0</v>
      </c>
      <c r="F359" s="1080" t="str">
        <f>VLOOKUP($B359,DG!A:D,DG!$C$2,)</f>
        <v>Co  90 độ PVC 114</v>
      </c>
      <c r="G359" s="1079" t="str">
        <f>VLOOKUP($B359,DG!A:D,DG!$D$2,)</f>
        <v>cái</v>
      </c>
      <c r="H359" s="2038">
        <f t="shared" si="25"/>
        <v>0</v>
      </c>
      <c r="I359" s="2038">
        <f t="shared" si="25"/>
        <v>0</v>
      </c>
      <c r="J359" s="2038">
        <f t="shared" si="25"/>
        <v>0</v>
      </c>
      <c r="K359" s="2038">
        <f t="shared" si="25"/>
        <v>0</v>
      </c>
      <c r="L359" s="1082"/>
      <c r="M359" s="975">
        <v>50</v>
      </c>
    </row>
    <row r="360" spans="1:13" s="1083" customFormat="1" ht="25.2" hidden="1" customHeight="1">
      <c r="A360" s="1153">
        <f t="shared" si="23"/>
        <v>0</v>
      </c>
      <c r="B360" s="1329" t="s">
        <v>688</v>
      </c>
      <c r="C360" s="1329">
        <v>1</v>
      </c>
      <c r="D360" s="1110"/>
      <c r="E360" s="1079">
        <f>VLOOKUP($B360,DG!A:D,DG!$B$2,)</f>
        <v>0</v>
      </c>
      <c r="F360" s="1080" t="str">
        <f>VLOOKUP($B360,DG!A:D,DG!$C$2,)</f>
        <v>Nối ống PVC 114</v>
      </c>
      <c r="G360" s="1079" t="str">
        <f>VLOOKUP($B360,DG!A:D,DG!$D$2,)</f>
        <v>cái</v>
      </c>
      <c r="H360" s="2038">
        <f t="shared" si="25"/>
        <v>0</v>
      </c>
      <c r="I360" s="2038">
        <f t="shared" si="25"/>
        <v>0</v>
      </c>
      <c r="J360" s="2038">
        <f t="shared" si="25"/>
        <v>0</v>
      </c>
      <c r="K360" s="2038">
        <f t="shared" si="25"/>
        <v>0</v>
      </c>
      <c r="L360" s="1082"/>
      <c r="M360" s="975">
        <v>50</v>
      </c>
    </row>
    <row r="361" spans="1:13" s="1083" customFormat="1" ht="25.2" hidden="1" customHeight="1">
      <c r="A361" s="1153">
        <f t="shared" si="23"/>
        <v>0</v>
      </c>
      <c r="B361" s="1329" t="s">
        <v>2080</v>
      </c>
      <c r="C361" s="1329">
        <v>1</v>
      </c>
      <c r="D361" s="1110"/>
      <c r="E361" s="1079">
        <f>VLOOKUP($B361,DG!A:D,DG!$B$2,)</f>
        <v>0</v>
      </c>
      <c r="F361" s="1080" t="str">
        <f>VLOOKUP($B361,DG!A:D,DG!$C$2,)</f>
        <v>Keo dán ống PVC (100gr)</v>
      </c>
      <c r="G361" s="1079" t="str">
        <f>VLOOKUP($B361,DG!A:D,DG!$D$2,)</f>
        <v>tuýp</v>
      </c>
      <c r="H361" s="2038">
        <f t="shared" si="25"/>
        <v>0</v>
      </c>
      <c r="I361" s="2038">
        <f t="shared" si="25"/>
        <v>0</v>
      </c>
      <c r="J361" s="2038">
        <f t="shared" si="25"/>
        <v>0</v>
      </c>
      <c r="K361" s="2038">
        <f t="shared" si="25"/>
        <v>0</v>
      </c>
      <c r="L361" s="1082"/>
      <c r="M361" s="975">
        <v>50</v>
      </c>
    </row>
    <row r="362" spans="1:13" s="1083" customFormat="1" ht="25.2" hidden="1" customHeight="1">
      <c r="A362" s="1153">
        <f t="shared" si="23"/>
        <v>0</v>
      </c>
      <c r="B362" s="1329" t="s">
        <v>489</v>
      </c>
      <c r="C362" s="1329">
        <v>1</v>
      </c>
      <c r="D362" s="1110"/>
      <c r="E362" s="1079">
        <f>VLOOKUP($B362,DG!A:D,DG!$B$2,)</f>
        <v>0</v>
      </c>
      <c r="F362" s="1080" t="str">
        <f>VLOOKUP($B362,DG!A:D,DG!$C$2,)</f>
        <v>Keo silicon bít miệng ống</v>
      </c>
      <c r="G362" s="1079" t="str">
        <f>VLOOKUP($B362,DG!A:D,DG!$D$2,)</f>
        <v>ống</v>
      </c>
      <c r="H362" s="2038">
        <f t="shared" si="25"/>
        <v>0</v>
      </c>
      <c r="I362" s="2038">
        <f t="shared" si="25"/>
        <v>0</v>
      </c>
      <c r="J362" s="2038">
        <f t="shared" si="25"/>
        <v>0</v>
      </c>
      <c r="K362" s="2038">
        <f t="shared" si="25"/>
        <v>0</v>
      </c>
      <c r="L362" s="1082"/>
      <c r="M362" s="975">
        <v>50</v>
      </c>
    </row>
    <row r="363" spans="1:13" s="1083" customFormat="1" ht="25.2" hidden="1" customHeight="1">
      <c r="A363" s="1153">
        <f t="shared" si="23"/>
        <v>0</v>
      </c>
      <c r="B363" s="1154" t="s">
        <v>672</v>
      </c>
      <c r="C363" s="1154">
        <v>1</v>
      </c>
      <c r="D363" s="1110"/>
      <c r="E363" s="1188"/>
      <c r="F363" s="1080" t="str">
        <f>VLOOKUP($B363,DG!A:D,DG!$C$2,)</f>
        <v>Băng keo cách điện</v>
      </c>
      <c r="G363" s="1079" t="str">
        <f>VLOOKUP($B363,DG!A:D,DG!$D$2,)</f>
        <v>cuộn</v>
      </c>
      <c r="H363" s="2038">
        <f t="shared" si="25"/>
        <v>0</v>
      </c>
      <c r="I363" s="2038">
        <f t="shared" si="25"/>
        <v>0</v>
      </c>
      <c r="J363" s="2038">
        <f t="shared" si="25"/>
        <v>0</v>
      </c>
      <c r="K363" s="2038">
        <f t="shared" si="25"/>
        <v>0</v>
      </c>
      <c r="L363" s="1082"/>
      <c r="M363" s="975">
        <v>50</v>
      </c>
    </row>
    <row r="364" spans="1:13" s="1083" customFormat="1" ht="25.2" customHeight="1">
      <c r="A364" s="1153">
        <f t="shared" si="23"/>
        <v>1</v>
      </c>
      <c r="B364" s="1329" t="s">
        <v>1867</v>
      </c>
      <c r="C364" s="1329">
        <v>8</v>
      </c>
      <c r="D364" s="1110"/>
      <c r="E364" s="1079" t="str">
        <f>VLOOKUP($B364,DG!A:D,DG!$B$2,)</f>
        <v>07,2407</v>
      </c>
      <c r="F364" s="1080" t="str">
        <f>VLOOKUP($B364,DG!A:D,DG!$C$2,)</f>
        <v>Lắp ống nhựa PVC D114</v>
      </c>
      <c r="G364" s="1079" t="str">
        <f>VLOOKUP($B364,DG!A:D,DG!$D$2,)</f>
        <v>mét</v>
      </c>
      <c r="H364" s="2038">
        <f>H357</f>
        <v>7</v>
      </c>
      <c r="I364" s="2038">
        <f>H364</f>
        <v>7</v>
      </c>
      <c r="J364" s="2038">
        <f t="shared" si="25"/>
        <v>0</v>
      </c>
      <c r="K364" s="2038">
        <f t="shared" si="25"/>
        <v>0</v>
      </c>
      <c r="L364" s="1082"/>
      <c r="M364" s="975">
        <v>50</v>
      </c>
    </row>
    <row r="365" spans="1:13" s="1083" customFormat="1" ht="25.2" customHeight="1">
      <c r="A365" s="1153">
        <f t="shared" si="23"/>
        <v>1</v>
      </c>
      <c r="B365" s="1154" t="s">
        <v>1528</v>
      </c>
      <c r="C365" s="1154"/>
      <c r="D365" s="1110"/>
      <c r="E365" s="1079" t="str">
        <f>VLOOKUP($B365,DG!A:D,DG!$B$2,)</f>
        <v>04.4201</v>
      </c>
      <c r="F365" s="1080" t="str">
        <f>VLOOKUP($B365,DG!A:D,DG!$C$2,)</f>
        <v>Lắp cáp đồng xuống thiết bị D ≤ 95mm2</v>
      </c>
      <c r="G365" s="1079" t="str">
        <f>VLOOKUP($B365,DG!A:D,DG!$D$2,)</f>
        <v>m</v>
      </c>
      <c r="H365" s="2038">
        <f>H350+H351</f>
        <v>20</v>
      </c>
      <c r="I365" s="2038">
        <f>H365</f>
        <v>20</v>
      </c>
      <c r="J365" s="2038">
        <f t="shared" si="25"/>
        <v>0</v>
      </c>
      <c r="K365" s="2038">
        <f t="shared" si="25"/>
        <v>0</v>
      </c>
      <c r="L365" s="1082"/>
      <c r="M365" s="975">
        <v>50</v>
      </c>
    </row>
    <row r="366" spans="1:13" s="1083" customFormat="1" ht="25.2" customHeight="1">
      <c r="A366" s="1153">
        <f t="shared" si="23"/>
        <v>1</v>
      </c>
      <c r="B366" s="1329" t="s">
        <v>289</v>
      </c>
      <c r="C366" s="1329"/>
      <c r="D366" s="1170">
        <f>IF(H366&gt;0,D348+1,D348)</f>
        <v>1</v>
      </c>
      <c r="E366" s="1189"/>
      <c r="F366" s="1080" t="str">
        <f>VLOOKUP($B366,DG!A:D,DG!$C$2,)</f>
        <v>Bảng tên trạm, bảng báo nguy hiểm + đinh vít</v>
      </c>
      <c r="G366" s="1079" t="str">
        <f>VLOOKUP($B366,DG!A:D,DG!$D$2,)</f>
        <v>bộ</v>
      </c>
      <c r="H366" s="2038">
        <v>1</v>
      </c>
      <c r="I366" s="2038">
        <f>H366</f>
        <v>1</v>
      </c>
      <c r="J366" s="2038">
        <f t="shared" si="25"/>
        <v>0</v>
      </c>
      <c r="K366" s="2038">
        <f t="shared" si="25"/>
        <v>0</v>
      </c>
      <c r="L366" s="1098"/>
      <c r="M366" s="975">
        <v>50</v>
      </c>
    </row>
    <row r="367" spans="1:13" s="1083" customFormat="1" ht="25.2" hidden="1" customHeight="1">
      <c r="A367" s="1153">
        <f t="shared" si="23"/>
        <v>0</v>
      </c>
      <c r="B367" s="1324"/>
      <c r="C367" s="1324"/>
      <c r="D367" s="1190"/>
      <c r="E367" s="1191"/>
      <c r="F367" s="1069"/>
      <c r="G367" s="1192"/>
      <c r="H367" s="1847"/>
      <c r="I367" s="1259">
        <f t="shared" ref="I367:I420" si="26">IF(M367=$M$23,H367+J367-K367,0)</f>
        <v>0</v>
      </c>
      <c r="J367" s="1193"/>
      <c r="K367" s="1194"/>
      <c r="L367" s="1136"/>
      <c r="M367" s="975"/>
    </row>
    <row r="368" spans="1:13" s="1083" customFormat="1" ht="25.2" hidden="1" customHeight="1">
      <c r="A368" s="1153">
        <f t="shared" si="23"/>
        <v>0</v>
      </c>
      <c r="B368" s="1319"/>
      <c r="C368" s="1319"/>
      <c r="D368" s="1161"/>
      <c r="E368" s="975"/>
      <c r="H368" s="1880"/>
      <c r="I368" s="1259">
        <f t="shared" si="26"/>
        <v>0</v>
      </c>
      <c r="M368" s="975"/>
    </row>
    <row r="369" spans="1:14" s="1083" customFormat="1" ht="25.2" hidden="1" customHeight="1">
      <c r="A369" s="1153">
        <f t="shared" si="23"/>
        <v>0</v>
      </c>
      <c r="B369" s="1319"/>
      <c r="C369" s="1319"/>
      <c r="D369" s="1134" t="str">
        <f>"BAÛNG TOÅNG HÔÏP VAÄT LIEÄU, NHAÂN COÂNG, MAÙY THI COÂNG : "&amp;I10&amp;" TRAÏM 1P_75KVA"</f>
        <v>BAÛNG TOÅNG HÔÏP VAÄT LIEÄU, NHAÂN COÂNG, MAÙY THI COÂNG :  TRAÏM 1P_75KVA</v>
      </c>
      <c r="E369" s="1195"/>
      <c r="F369" s="1100"/>
      <c r="G369" s="1100"/>
      <c r="H369" s="1848"/>
      <c r="I369" s="1259">
        <f t="shared" si="26"/>
        <v>0</v>
      </c>
      <c r="J369" s="1100"/>
      <c r="K369" s="1100"/>
      <c r="L369" s="975"/>
      <c r="M369" s="975"/>
    </row>
    <row r="370" spans="1:14" s="1083" customFormat="1" ht="25.2" hidden="1" customHeight="1">
      <c r="A370" s="1153">
        <f t="shared" si="23"/>
        <v>0</v>
      </c>
      <c r="B370" s="1324"/>
      <c r="C370" s="1324"/>
      <c r="D370" s="1156"/>
      <c r="E370" s="1157"/>
      <c r="F370" s="1069" t="s">
        <v>3690</v>
      </c>
      <c r="G370" s="1159"/>
      <c r="H370" s="1843"/>
      <c r="I370" s="1843">
        <f t="shared" si="26"/>
        <v>0</v>
      </c>
      <c r="J370" s="1159"/>
      <c r="K370" s="1159"/>
      <c r="L370" s="1136"/>
      <c r="M370" s="975">
        <v>75</v>
      </c>
    </row>
    <row r="371" spans="1:14" s="1083" customFormat="1" ht="25.2" hidden="1" customHeight="1">
      <c r="A371" s="1153">
        <f t="shared" si="23"/>
        <v>0</v>
      </c>
      <c r="B371" s="1325" t="s">
        <v>1213</v>
      </c>
      <c r="C371" s="1325"/>
      <c r="D371" s="1090">
        <f>IF(H371&gt;0,1,0)</f>
        <v>0</v>
      </c>
      <c r="E371" s="1079" t="str">
        <f>VLOOKUP($B371,DG!A:D,DG!$B$2,)</f>
        <v>01.1163</v>
      </c>
      <c r="F371" s="1092" t="str">
        <f>VLOOKUP($B371,DG!A:D,DG!$C$2,)</f>
        <v>Máy biến áp 12,7/0,23-0,46kV  75kVA</v>
      </c>
      <c r="G371" s="1079" t="str">
        <f>VLOOKUP($B371,DG!A:D,DG!$D$2,)</f>
        <v>máy</v>
      </c>
      <c r="H371" s="1849">
        <f>I10</f>
        <v>0</v>
      </c>
      <c r="I371" s="1259">
        <f t="shared" si="26"/>
        <v>0</v>
      </c>
      <c r="J371" s="1108"/>
      <c r="K371" s="1108"/>
      <c r="L371" s="1082"/>
      <c r="M371" s="975">
        <v>75</v>
      </c>
    </row>
    <row r="372" spans="1:14" s="1083" customFormat="1" ht="25.2" hidden="1" customHeight="1">
      <c r="A372" s="1153">
        <f t="shared" si="23"/>
        <v>0</v>
      </c>
      <c r="B372" s="1325" t="s">
        <v>1655</v>
      </c>
      <c r="C372" s="1325"/>
      <c r="D372" s="1090">
        <f t="shared" ref="D372:D379" si="27">IF(H372&gt;0,D371+1,D371)</f>
        <v>0</v>
      </c>
      <c r="E372" s="1079" t="str">
        <f>VLOOKUP($B372,DG!A:D,DG!$B$2,)</f>
        <v>02.3155</v>
      </c>
      <c r="F372" s="1092" t="str">
        <f>VLOOKUP($B372,DG!A:D,DG!$C$2,)</f>
        <v>FCO 27kV - 100A</v>
      </c>
      <c r="G372" s="1079" t="str">
        <f>VLOOKUP($B372,DG!A:D,DG!$D$2,)</f>
        <v>cái</v>
      </c>
      <c r="H372" s="1167">
        <f>+H371</f>
        <v>0</v>
      </c>
      <c r="I372" s="1259">
        <f t="shared" si="26"/>
        <v>0</v>
      </c>
      <c r="J372" s="1108"/>
      <c r="K372" s="1108"/>
      <c r="L372" s="1082"/>
      <c r="M372" s="975">
        <v>75</v>
      </c>
    </row>
    <row r="373" spans="1:14" s="1083" customFormat="1" ht="25.2" hidden="1" customHeight="1">
      <c r="A373" s="1153">
        <f t="shared" si="23"/>
        <v>0</v>
      </c>
      <c r="B373" s="1325" t="s">
        <v>1027</v>
      </c>
      <c r="C373" s="1325"/>
      <c r="D373" s="1090">
        <f t="shared" si="27"/>
        <v>0</v>
      </c>
      <c r="E373" s="1079">
        <f>VLOOKUP($B373,DG!A:D,DG!$B$2,)</f>
        <v>0</v>
      </c>
      <c r="F373" s="1092" t="str">
        <f>VLOOKUP($B373,DG!A:D,DG!$C$2,)</f>
        <v>Dây chảy 8K</v>
      </c>
      <c r="G373" s="1079" t="str">
        <f>VLOOKUP($B373,DG!A:D,DG!$D$2,)</f>
        <v>Sợi</v>
      </c>
      <c r="H373" s="1167">
        <f>H372</f>
        <v>0</v>
      </c>
      <c r="I373" s="1259">
        <f t="shared" si="26"/>
        <v>0</v>
      </c>
      <c r="J373" s="1108"/>
      <c r="K373" s="1108"/>
      <c r="L373" s="1082"/>
      <c r="M373" s="975">
        <v>75</v>
      </c>
    </row>
    <row r="374" spans="1:14" s="1083" customFormat="1" ht="25.2" hidden="1" customHeight="1">
      <c r="A374" s="1153">
        <f t="shared" si="23"/>
        <v>0</v>
      </c>
      <c r="B374" s="1319" t="s">
        <v>1376</v>
      </c>
      <c r="C374" s="1319"/>
      <c r="D374" s="1090">
        <f t="shared" si="27"/>
        <v>0</v>
      </c>
      <c r="E374" s="1079" t="str">
        <f>VLOOKUP($B374,DG!A:D,DG!$B$2,)</f>
        <v>02.5114</v>
      </c>
      <c r="F374" s="1092" t="str">
        <f>VLOOKUP($B374,DG!A:D,DG!$C$2,)</f>
        <v>Chống sét van LA-18KV-10KA</v>
      </c>
      <c r="G374" s="1079" t="str">
        <f>VLOOKUP($B374,DG!A:D,DG!$D$2,)</f>
        <v>cái</v>
      </c>
      <c r="H374" s="1167">
        <f>H372</f>
        <v>0</v>
      </c>
      <c r="I374" s="1259">
        <f t="shared" si="26"/>
        <v>0</v>
      </c>
      <c r="J374" s="1108"/>
      <c r="K374" s="1108"/>
      <c r="L374" s="1082"/>
      <c r="M374" s="975">
        <v>75</v>
      </c>
    </row>
    <row r="375" spans="1:14" s="1083" customFormat="1" ht="25.2" hidden="1" customHeight="1">
      <c r="A375" s="1153">
        <f t="shared" si="23"/>
        <v>0</v>
      </c>
      <c r="B375" s="1327" t="s">
        <v>986</v>
      </c>
      <c r="C375" s="1327"/>
      <c r="D375" s="1090">
        <f t="shared" si="27"/>
        <v>0</v>
      </c>
      <c r="E375" s="1079" t="str">
        <f>VLOOKUP($B375,DG!A:D,DG!$B$2,)</f>
        <v>02.8402</v>
      </c>
      <c r="F375" s="1092" t="str">
        <f>VLOOKUP($B375,DG!A:D,DG!$C$2,)</f>
        <v>MCCB 3 cực 690V - 400A - 50KA</v>
      </c>
      <c r="G375" s="1079" t="str">
        <f>VLOOKUP($B375,DG!A:D,DG!$D$2,)</f>
        <v>cái</v>
      </c>
      <c r="H375" s="1167">
        <f>H371</f>
        <v>0</v>
      </c>
      <c r="I375" s="1259">
        <f t="shared" si="26"/>
        <v>0</v>
      </c>
      <c r="J375" s="1108"/>
      <c r="K375" s="1108"/>
      <c r="L375" s="1082"/>
      <c r="M375" s="975">
        <v>75</v>
      </c>
    </row>
    <row r="376" spans="1:14" s="1083" customFormat="1" ht="25.2" hidden="1" customHeight="1">
      <c r="A376" s="1153">
        <f t="shared" si="23"/>
        <v>0</v>
      </c>
      <c r="B376" s="1327" t="s">
        <v>4536</v>
      </c>
      <c r="C376" s="1327"/>
      <c r="D376" s="1090">
        <f t="shared" si="27"/>
        <v>0</v>
      </c>
      <c r="E376" s="1079">
        <f>VLOOKUP($B376,DG!A:D,DG!$B$2,)</f>
        <v>0</v>
      </c>
      <c r="F376" s="1080" t="str">
        <f>VLOOKUP($B376,DG!A:D,DG!$C$2,)</f>
        <v xml:space="preserve">Biến dòng 600V - 300/5A </v>
      </c>
      <c r="G376" s="1079" t="str">
        <f>VLOOKUP($B376,DG!A:D,DG!$D$2,)</f>
        <v>cái</v>
      </c>
      <c r="H376" s="1167">
        <f>H371</f>
        <v>0</v>
      </c>
      <c r="I376" s="1259">
        <f t="shared" si="26"/>
        <v>0</v>
      </c>
      <c r="J376" s="1108"/>
      <c r="K376" s="1108"/>
      <c r="L376" s="1110" t="s">
        <v>2609</v>
      </c>
      <c r="M376" s="975">
        <v>75</v>
      </c>
    </row>
    <row r="377" spans="1:14" s="1083" customFormat="1" ht="25.2" hidden="1" customHeight="1">
      <c r="A377" s="1153">
        <f t="shared" si="23"/>
        <v>0</v>
      </c>
      <c r="B377" s="1331" t="s">
        <v>4537</v>
      </c>
      <c r="C377" s="1331"/>
      <c r="D377" s="1090">
        <f>IF(H377&gt;0,D376+1,D376)</f>
        <v>0</v>
      </c>
      <c r="E377" s="1079" t="str">
        <f>VLOOKUP($B377,DG!A:D,DG!$B$2,)</f>
        <v>05.5104</v>
      </c>
      <c r="F377" s="1080" t="str">
        <f>VLOOKUP($B377,DG!A:D,DG!$C$2,)</f>
        <v>Điện kế 3 pha điện tử 220/380V-5A</v>
      </c>
      <c r="G377" s="1079" t="str">
        <f>VLOOKUP($B377,DG!A:D,DG!$D$2,)</f>
        <v>cái</v>
      </c>
      <c r="H377" s="1167">
        <f>H376</f>
        <v>0</v>
      </c>
      <c r="I377" s="1259">
        <f t="shared" si="26"/>
        <v>0</v>
      </c>
      <c r="J377" s="1108"/>
      <c r="K377" s="1108"/>
      <c r="L377" s="1110" t="s">
        <v>2609</v>
      </c>
      <c r="M377" s="975">
        <v>75</v>
      </c>
    </row>
    <row r="378" spans="1:14" s="1083" customFormat="1" ht="25.2" hidden="1" customHeight="1">
      <c r="A378" s="1153">
        <f t="shared" si="23"/>
        <v>0</v>
      </c>
      <c r="B378" s="1324" t="s">
        <v>199</v>
      </c>
      <c r="C378" s="1324"/>
      <c r="D378" s="1090">
        <f t="shared" si="27"/>
        <v>0</v>
      </c>
      <c r="E378" s="1079">
        <f>VLOOKUP($B378,DG!A:D,DG!$B$2,)</f>
        <v>0</v>
      </c>
      <c r="F378" s="1080" t="str">
        <f>VLOOKUP($B378,DG!A:D,DG!$C$2,)</f>
        <v xml:space="preserve">Ampe kế 100/5A-600v +AS </v>
      </c>
      <c r="G378" s="1079" t="str">
        <f>VLOOKUP($B378,DG!A:D,DG!$D$2,)</f>
        <v>Bộ</v>
      </c>
      <c r="H378" s="1167">
        <f>H377*0</f>
        <v>0</v>
      </c>
      <c r="I378" s="1259">
        <f t="shared" si="26"/>
        <v>0</v>
      </c>
      <c r="J378" s="1108"/>
      <c r="K378" s="1108"/>
      <c r="L378" s="1110" t="s">
        <v>2609</v>
      </c>
      <c r="M378" s="975">
        <v>75</v>
      </c>
    </row>
    <row r="379" spans="1:14" s="1083" customFormat="1" ht="25.2" hidden="1" customHeight="1">
      <c r="A379" s="1153">
        <f t="shared" si="23"/>
        <v>0</v>
      </c>
      <c r="B379" s="1324" t="s">
        <v>200</v>
      </c>
      <c r="C379" s="1324"/>
      <c r="D379" s="1090">
        <f t="shared" si="27"/>
        <v>0</v>
      </c>
      <c r="E379" s="1079">
        <f>VLOOKUP($B379,DG!A:D,DG!$B$2,)</f>
        <v>0</v>
      </c>
      <c r="F379" s="1080" t="str">
        <f>VLOOKUP($B379,DG!A:D,DG!$C$2,)</f>
        <v>Volt kế 500V + VS + 2xChì ống 1A-230V</v>
      </c>
      <c r="G379" s="1079" t="str">
        <f>VLOOKUP($B379,DG!A:D,DG!$D$2,)</f>
        <v>Bộ</v>
      </c>
      <c r="H379" s="1167">
        <f>H378</f>
        <v>0</v>
      </c>
      <c r="I379" s="1259">
        <f t="shared" si="26"/>
        <v>0</v>
      </c>
      <c r="J379" s="1108"/>
      <c r="K379" s="1108"/>
      <c r="L379" s="1098"/>
      <c r="M379" s="975">
        <v>75</v>
      </c>
    </row>
    <row r="380" spans="1:14" s="1083" customFormat="1" ht="25.2" hidden="1" customHeight="1">
      <c r="A380" s="1153">
        <f t="shared" si="23"/>
        <v>0</v>
      </c>
      <c r="B380" s="1324"/>
      <c r="C380" s="1324"/>
      <c r="D380" s="1107"/>
      <c r="E380" s="1179"/>
      <c r="F380" s="1160"/>
      <c r="G380" s="1107"/>
      <c r="H380" s="1202"/>
      <c r="I380" s="1202">
        <f t="shared" si="26"/>
        <v>0</v>
      </c>
      <c r="J380" s="1160"/>
      <c r="K380" s="1107"/>
      <c r="L380" s="1136"/>
      <c r="M380" s="975">
        <v>75</v>
      </c>
    </row>
    <row r="381" spans="1:14" s="1083" customFormat="1" ht="25.2" hidden="1" customHeight="1">
      <c r="A381" s="1153">
        <f t="shared" si="23"/>
        <v>0</v>
      </c>
      <c r="B381" s="1324"/>
      <c r="C381" s="1324"/>
      <c r="D381" s="1181"/>
      <c r="E381" s="1182"/>
      <c r="F381" s="1069" t="s">
        <v>3691</v>
      </c>
      <c r="G381" s="1069"/>
      <c r="H381" s="1843"/>
      <c r="I381" s="1843">
        <f t="shared" si="26"/>
        <v>0</v>
      </c>
      <c r="J381" s="1069"/>
      <c r="K381" s="1069"/>
      <c r="L381" s="1136"/>
      <c r="M381" s="975">
        <v>75</v>
      </c>
    </row>
    <row r="382" spans="1:14" s="1083" customFormat="1" ht="25.2" hidden="1" customHeight="1">
      <c r="A382" s="1153">
        <f t="shared" si="23"/>
        <v>0</v>
      </c>
      <c r="B382" s="1324" t="s">
        <v>1613</v>
      </c>
      <c r="C382" s="1324"/>
      <c r="D382" s="1183">
        <f>IF(H394&gt;0,1,0)</f>
        <v>0</v>
      </c>
      <c r="E382" s="1185"/>
      <c r="F382" s="1080" t="str">
        <f>VLOOKUP($B382,DG!A:D,DG!$C$2,)</f>
        <v>Boulon 16x300+ 2 long đền vuông D18-50x50x3/Zn</v>
      </c>
      <c r="G382" s="1079" t="str">
        <f>VLOOKUP($B382,DG!A:D,DG!$D$2,)</f>
        <v>bộ</v>
      </c>
      <c r="H382" s="1845">
        <f>2*SUM(H371:H371)</f>
        <v>0</v>
      </c>
      <c r="I382" s="1259">
        <f t="shared" si="26"/>
        <v>0</v>
      </c>
      <c r="J382" s="1108"/>
      <c r="K382" s="1108"/>
      <c r="L382" s="1196"/>
      <c r="M382" s="975">
        <v>75</v>
      </c>
    </row>
    <row r="383" spans="1:14" s="1083" customFormat="1" ht="25.2" hidden="1" customHeight="1">
      <c r="A383" s="1153">
        <f t="shared" si="23"/>
        <v>0</v>
      </c>
      <c r="B383" s="1324"/>
      <c r="C383" s="1324"/>
      <c r="D383" s="1078">
        <f>IF(H383&gt;0,D382+1,D382)</f>
        <v>0</v>
      </c>
      <c r="E383" s="1185"/>
      <c r="F383" s="1186" t="s">
        <v>3692</v>
      </c>
      <c r="G383" s="1166" t="s">
        <v>2391</v>
      </c>
      <c r="H383" s="1845">
        <f>H371*0</f>
        <v>0</v>
      </c>
      <c r="I383" s="1259">
        <f t="shared" si="26"/>
        <v>0</v>
      </c>
      <c r="J383" s="1131"/>
      <c r="K383" s="1131"/>
      <c r="L383" s="1110"/>
      <c r="M383" s="975">
        <v>75</v>
      </c>
    </row>
    <row r="384" spans="1:14" s="1083" customFormat="1" ht="25.2" hidden="1" customHeight="1">
      <c r="A384" s="1153">
        <f t="shared" si="23"/>
        <v>0</v>
      </c>
      <c r="B384" s="1324"/>
      <c r="C384" s="1324"/>
      <c r="D384" s="1166"/>
      <c r="E384" s="1185"/>
      <c r="F384" s="1364" t="s">
        <v>2285</v>
      </c>
      <c r="G384" s="1110"/>
      <c r="H384" s="1167"/>
      <c r="I384" s="1259">
        <f t="shared" si="26"/>
        <v>0</v>
      </c>
      <c r="J384" s="1131"/>
      <c r="K384" s="1131"/>
      <c r="L384" s="1110"/>
      <c r="M384" s="975">
        <v>75</v>
      </c>
      <c r="N384" s="1187"/>
    </row>
    <row r="385" spans="1:14" s="1083" customFormat="1" ht="25.2" hidden="1" customHeight="1">
      <c r="A385" s="1153">
        <f t="shared" si="23"/>
        <v>0</v>
      </c>
      <c r="B385" s="1154" t="s">
        <v>115</v>
      </c>
      <c r="C385" s="1154"/>
      <c r="D385" s="1110"/>
      <c r="E385" s="1079">
        <f>VLOOKUP($B385,DG!A:D,DG!$B$2,)</f>
        <v>0</v>
      </c>
      <c r="F385" s="1080" t="str">
        <f>VLOOKUP($B385,DG!A:D,DG!$C$2,)</f>
        <v>Trụ BTLT 12m F350 dự ứng lực</v>
      </c>
      <c r="G385" s="1079" t="str">
        <f>VLOOKUP($B385,DG!A:D,DG!$D$2,)</f>
        <v>trụ</v>
      </c>
      <c r="H385" s="1167">
        <f>1*H383</f>
        <v>0</v>
      </c>
      <c r="I385" s="1259">
        <f t="shared" si="26"/>
        <v>0</v>
      </c>
      <c r="J385" s="1108"/>
      <c r="K385" s="1108"/>
      <c r="L385" s="1110"/>
      <c r="M385" s="975">
        <v>75</v>
      </c>
      <c r="N385" s="1187"/>
    </row>
    <row r="386" spans="1:14" s="1083" customFormat="1" ht="25.2" hidden="1" customHeight="1">
      <c r="A386" s="1153">
        <f t="shared" si="23"/>
        <v>0</v>
      </c>
      <c r="B386" s="1154" t="s">
        <v>1818</v>
      </c>
      <c r="C386" s="1154"/>
      <c r="D386" s="1110"/>
      <c r="E386" s="1188"/>
      <c r="F386" s="1080" t="str">
        <f>VLOOKUP($B386,DG!A:D,DG!$C$2,)</f>
        <v>Vật liệu dựng trụ</v>
      </c>
      <c r="G386" s="1079" t="str">
        <f>VLOOKUP($B386,DG!A:D,DG!$D$2,)</f>
        <v>trụ</v>
      </c>
      <c r="H386" s="1167">
        <f>H385</f>
        <v>0</v>
      </c>
      <c r="I386" s="1259">
        <f t="shared" si="26"/>
        <v>0</v>
      </c>
      <c r="J386" s="1108"/>
      <c r="K386" s="1108"/>
      <c r="L386" s="1110"/>
      <c r="M386" s="975">
        <v>75</v>
      </c>
      <c r="N386" s="1187"/>
    </row>
    <row r="387" spans="1:14" s="1083" customFormat="1" ht="25.2" hidden="1" customHeight="1">
      <c r="A387" s="1153">
        <f t="shared" si="23"/>
        <v>0</v>
      </c>
      <c r="B387" s="1154" t="s">
        <v>2132</v>
      </c>
      <c r="C387" s="1154"/>
      <c r="D387" s="1110"/>
      <c r="E387" s="1188"/>
      <c r="F387" s="1080" t="str">
        <f>VLOOKUP($B387,DG!A:D,DG!$C$2,)</f>
        <v>Dựng trụ BTLT 12m trong TBA bằng thủ công + cơ giới</v>
      </c>
      <c r="G387" s="1079" t="str">
        <f>VLOOKUP($B387,DG!A:D,DG!$D$2,)</f>
        <v>trụ</v>
      </c>
      <c r="H387" s="1167">
        <f>H385</f>
        <v>0</v>
      </c>
      <c r="I387" s="1259">
        <f t="shared" si="26"/>
        <v>0</v>
      </c>
      <c r="J387" s="1108"/>
      <c r="K387" s="1108"/>
      <c r="L387" s="1110"/>
      <c r="M387" s="975">
        <v>75</v>
      </c>
      <c r="N387" s="1187"/>
    </row>
    <row r="388" spans="1:14" s="1083" customFormat="1" ht="25.2" hidden="1" customHeight="1">
      <c r="A388" s="1153">
        <f t="shared" si="23"/>
        <v>0</v>
      </c>
      <c r="B388" s="1324"/>
      <c r="C388" s="1324"/>
      <c r="D388" s="1078">
        <f>IF(H388&gt;0,D383+1,D383)</f>
        <v>0</v>
      </c>
      <c r="E388" s="1185"/>
      <c r="F388" s="1186" t="s">
        <v>2358</v>
      </c>
      <c r="G388" s="1166" t="s">
        <v>2391</v>
      </c>
      <c r="H388" s="1845">
        <f>H383</f>
        <v>0</v>
      </c>
      <c r="I388" s="1259">
        <f t="shared" si="26"/>
        <v>0</v>
      </c>
      <c r="J388" s="1131"/>
      <c r="K388" s="1131"/>
      <c r="L388" s="1110"/>
      <c r="M388" s="975">
        <v>75</v>
      </c>
    </row>
    <row r="389" spans="1:14" s="1083" customFormat="1" ht="25.2" hidden="1" customHeight="1">
      <c r="A389" s="1153">
        <f t="shared" si="23"/>
        <v>0</v>
      </c>
      <c r="B389" s="1324"/>
      <c r="C389" s="1324"/>
      <c r="D389" s="1166"/>
      <c r="E389" s="1185"/>
      <c r="F389" s="1364" t="s">
        <v>2285</v>
      </c>
      <c r="G389" s="1110"/>
      <c r="H389" s="1167"/>
      <c r="I389" s="1259">
        <f t="shared" si="26"/>
        <v>0</v>
      </c>
      <c r="J389" s="1131"/>
      <c r="K389" s="1131"/>
      <c r="L389" s="1110"/>
      <c r="M389" s="975">
        <v>75</v>
      </c>
      <c r="N389" s="1187"/>
    </row>
    <row r="390" spans="1:14" s="1083" customFormat="1" ht="25.2" hidden="1" customHeight="1">
      <c r="A390" s="1153">
        <f t="shared" si="23"/>
        <v>0</v>
      </c>
      <c r="B390" s="1331" t="s">
        <v>636</v>
      </c>
      <c r="C390" s="1331"/>
      <c r="D390" s="1110"/>
      <c r="E390" s="1079" t="str">
        <f>VLOOKUP($B390,DG!A:D,DG!$B$2,)</f>
        <v>04.4001</v>
      </c>
      <c r="F390" s="1080" t="str">
        <f>VLOOKUP($B390,DG!A:D,DG!$C$2,)</f>
        <v>Đà cản BTCT 1,2m</v>
      </c>
      <c r="G390" s="1079" t="str">
        <f>VLOOKUP($B390,DG!A:D,DG!$D$2,)</f>
        <v>cái</v>
      </c>
      <c r="H390" s="1167">
        <f>1*H388</f>
        <v>0</v>
      </c>
      <c r="I390" s="1259">
        <f t="shared" si="26"/>
        <v>0</v>
      </c>
      <c r="J390" s="1108"/>
      <c r="K390" s="1108"/>
      <c r="L390" s="1110"/>
      <c r="M390" s="975">
        <v>75</v>
      </c>
      <c r="N390" s="1187"/>
    </row>
    <row r="391" spans="1:14" s="1083" customFormat="1" ht="25.2" hidden="1" customHeight="1">
      <c r="A391" s="1153">
        <f t="shared" si="23"/>
        <v>0</v>
      </c>
      <c r="B391" s="1331" t="s">
        <v>566</v>
      </c>
      <c r="C391" s="1331"/>
      <c r="D391" s="1110"/>
      <c r="E391" s="1079">
        <f>VLOOKUP($B391,DG!A:D,DG!$B$2,)</f>
        <v>0</v>
      </c>
      <c r="F391" s="1080" t="str">
        <f>VLOOKUP($B391,DG!A:D,DG!$C$2,)</f>
        <v>Boulon 22x650+ 2 long đền vuông D24-50x50x3/Zn</v>
      </c>
      <c r="G391" s="1079" t="str">
        <f>VLOOKUP($B391,DG!A:D,DG!$D$2,)</f>
        <v>bộ</v>
      </c>
      <c r="H391" s="1167">
        <f>H388</f>
        <v>0</v>
      </c>
      <c r="I391" s="1259">
        <f t="shared" si="26"/>
        <v>0</v>
      </c>
      <c r="J391" s="1108"/>
      <c r="K391" s="1108"/>
      <c r="L391" s="1110"/>
      <c r="M391" s="975">
        <v>75</v>
      </c>
      <c r="N391" s="1187"/>
    </row>
    <row r="392" spans="1:14" s="1083" customFormat="1" ht="25.2" hidden="1" customHeight="1">
      <c r="A392" s="1153">
        <f t="shared" si="23"/>
        <v>0</v>
      </c>
      <c r="B392" s="1331" t="str">
        <f>IF(chitiet!G5=1,"MDD1",IF(chitiet!G5=2,"MDD2",IF(chitiet!G5=3,"MDD3",IF(chitiet!G5=4,"MDD4"))))</f>
        <v>MDD3</v>
      </c>
      <c r="C392" s="1331"/>
      <c r="D392" s="1110"/>
      <c r="E392" s="1079" t="str">
        <f>VLOOKUP($B392,DG!A:D,DG!$B$2,)</f>
        <v>03.1013</v>
      </c>
      <c r="F392" s="1080" t="str">
        <f>VLOOKUP($B392,DG!A:D,DG!$C$2,)</f>
        <v>Đào hố móng đất cấp 3 sâu &gt;1m</v>
      </c>
      <c r="G392" s="1079" t="str">
        <f>VLOOKUP($B392,DG!A:D,DG!$D$2,)</f>
        <v>m3</v>
      </c>
      <c r="H392" s="1167">
        <f>H388*1.45</f>
        <v>0</v>
      </c>
      <c r="I392" s="1259">
        <f t="shared" si="26"/>
        <v>0</v>
      </c>
      <c r="J392" s="1108"/>
      <c r="K392" s="1108"/>
      <c r="L392" s="1110"/>
      <c r="M392" s="975">
        <v>75</v>
      </c>
      <c r="N392" s="1187"/>
    </row>
    <row r="393" spans="1:14" s="1083" customFormat="1" ht="25.2" hidden="1" customHeight="1">
      <c r="A393" s="1153">
        <f t="shared" si="23"/>
        <v>0</v>
      </c>
      <c r="B393" s="1331" t="str">
        <f>IF(chitiet!G5=1,"MDAP1",IF(chitiet!G5=2,"MDAP2",IF(chitiet!G5=3,"MDAP3",IF(chitiet!G5=4,"MDAP4"))))</f>
        <v>MDAP3</v>
      </c>
      <c r="C393" s="1331"/>
      <c r="D393" s="1110"/>
      <c r="E393" s="1079" t="str">
        <f>VLOOKUP($B393,DG!A:D,DG!$B$2,)</f>
        <v>03.4113</v>
      </c>
      <c r="F393" s="1080" t="str">
        <f>VLOOKUP($B393,DG!A:D,DG!$C$2,)</f>
        <v>Đắp đất hố móng, độ chặt k=0,95</v>
      </c>
      <c r="G393" s="1079" t="str">
        <f>VLOOKUP($B393,DG!A:D,DG!$D$2,)</f>
        <v>m3</v>
      </c>
      <c r="H393" s="1167">
        <f>H388*1.37</f>
        <v>0</v>
      </c>
      <c r="I393" s="1259">
        <f t="shared" si="26"/>
        <v>0</v>
      </c>
      <c r="J393" s="1108"/>
      <c r="K393" s="1108"/>
      <c r="L393" s="1110"/>
      <c r="M393" s="975">
        <v>75</v>
      </c>
      <c r="N393" s="1187"/>
    </row>
    <row r="394" spans="1:14" s="1083" customFormat="1" ht="25.2" hidden="1" customHeight="1">
      <c r="A394" s="1153">
        <f t="shared" si="23"/>
        <v>0</v>
      </c>
      <c r="B394" s="1324"/>
      <c r="C394" s="1324"/>
      <c r="D394" s="1078">
        <f>IF(H394&gt;0,D388+1,D388)</f>
        <v>0</v>
      </c>
      <c r="E394" s="1185"/>
      <c r="F394" s="1197" t="s">
        <v>3693</v>
      </c>
      <c r="G394" s="1166" t="s">
        <v>2391</v>
      </c>
      <c r="H394" s="1845">
        <f>SUM(H371:H371)</f>
        <v>0</v>
      </c>
      <c r="I394" s="1259">
        <f t="shared" si="26"/>
        <v>0</v>
      </c>
      <c r="J394" s="1108"/>
      <c r="K394" s="1108"/>
      <c r="L394" s="1082"/>
      <c r="M394" s="975">
        <v>75</v>
      </c>
    </row>
    <row r="395" spans="1:14" s="1083" customFormat="1" ht="25.2" hidden="1" customHeight="1">
      <c r="A395" s="1153">
        <f t="shared" si="23"/>
        <v>0</v>
      </c>
      <c r="B395" s="1324"/>
      <c r="C395" s="1324"/>
      <c r="D395" s="1166"/>
      <c r="E395" s="1185"/>
      <c r="F395" s="1365" t="s">
        <v>2285</v>
      </c>
      <c r="G395" s="1110"/>
      <c r="H395" s="1167"/>
      <c r="I395" s="1259">
        <f t="shared" si="26"/>
        <v>0</v>
      </c>
      <c r="J395" s="1108"/>
      <c r="K395" s="1108"/>
      <c r="L395" s="1082"/>
      <c r="M395" s="975">
        <v>75</v>
      </c>
    </row>
    <row r="396" spans="1:14" s="1083" customFormat="1" ht="25.2" hidden="1" customHeight="1">
      <c r="A396" s="1153">
        <f t="shared" si="23"/>
        <v>0</v>
      </c>
      <c r="B396" s="1496" t="s">
        <v>4539</v>
      </c>
      <c r="C396" s="1496"/>
      <c r="D396" s="1110"/>
      <c r="E396" s="1079">
        <f>VLOOKUP($B396,DG!A:D,DG!$B$2,)</f>
        <v>0</v>
      </c>
      <c r="F396" s="1092" t="str">
        <f>VLOOKUP($B396,DG!A:D,DG!$C$2,)</f>
        <v>Đà composite 0,8m + Thanh chống đà 720</v>
      </c>
      <c r="G396" s="1079" t="str">
        <f>VLOOKUP($B396,DG!A:D,DG!$D$2,)</f>
        <v>cái</v>
      </c>
      <c r="H396" s="1167">
        <f>1*H394</f>
        <v>0</v>
      </c>
      <c r="I396" s="1259">
        <f t="shared" si="26"/>
        <v>0</v>
      </c>
      <c r="J396" s="1108"/>
      <c r="K396" s="1108"/>
      <c r="L396" s="1082"/>
      <c r="M396" s="975">
        <v>75</v>
      </c>
    </row>
    <row r="397" spans="1:14" s="1083" customFormat="1" ht="25.2" hidden="1" customHeight="1">
      <c r="A397" s="1153">
        <f t="shared" si="23"/>
        <v>0</v>
      </c>
      <c r="B397" s="1324" t="s">
        <v>1079</v>
      </c>
      <c r="C397" s="1324"/>
      <c r="D397" s="1110"/>
      <c r="E397" s="1079">
        <f>VLOOKUP($B397,DG!A:D,DG!$B$2,)</f>
        <v>0</v>
      </c>
      <c r="F397" s="1080" t="str">
        <f>VLOOKUP($B397,DG!A:D,DG!$C$2,)</f>
        <v>Boulon 16x350+ 2 long đền vuông D18-50x50x3/Zn</v>
      </c>
      <c r="G397" s="1079" t="str">
        <f>VLOOKUP($B397,DG!A:D,DG!$D$2,)</f>
        <v>bộ</v>
      </c>
      <c r="H397" s="1167">
        <f>H396*2</f>
        <v>0</v>
      </c>
      <c r="I397" s="1259">
        <f t="shared" si="26"/>
        <v>0</v>
      </c>
      <c r="J397" s="1108"/>
      <c r="K397" s="1108"/>
      <c r="L397" s="1082"/>
      <c r="M397" s="975">
        <v>75</v>
      </c>
    </row>
    <row r="398" spans="1:14" s="1083" customFormat="1" ht="25.2" hidden="1" customHeight="1">
      <c r="A398" s="1153">
        <f t="shared" si="23"/>
        <v>0</v>
      </c>
      <c r="B398" s="1324" t="s">
        <v>4541</v>
      </c>
      <c r="C398" s="1324"/>
      <c r="D398" s="1110"/>
      <c r="E398" s="1188"/>
      <c r="F398" s="1080" t="str">
        <f>VLOOKUP($B398,DG!A:D,DG!$C$2,)</f>
        <v>Boulon 14x100+ 2 long đền vuông D16-50x50x3/Zn</v>
      </c>
      <c r="G398" s="1079" t="str">
        <f>VLOOKUP($B398,DG!A:D,DG!$D$2,)</f>
        <v>bộ</v>
      </c>
      <c r="H398" s="1167">
        <f>H394</f>
        <v>0</v>
      </c>
      <c r="I398" s="1259">
        <f t="shared" si="26"/>
        <v>0</v>
      </c>
      <c r="J398" s="1108"/>
      <c r="K398" s="1108"/>
      <c r="L398" s="1082"/>
      <c r="M398" s="975">
        <v>75</v>
      </c>
    </row>
    <row r="399" spans="1:14" s="1083" customFormat="1" ht="25.2" hidden="1" customHeight="1">
      <c r="A399" s="1153">
        <f t="shared" si="23"/>
        <v>0</v>
      </c>
      <c r="B399" s="1324" t="s">
        <v>2277</v>
      </c>
      <c r="C399" s="1324"/>
      <c r="D399" s="1110"/>
      <c r="E399" s="1188"/>
      <c r="F399" s="1080" t="str">
        <f>VLOOKUP($B399,DG!A:D,DG!$C$2,)</f>
        <v>Bass LL bắt FCO, LA</v>
      </c>
      <c r="G399" s="1079" t="str">
        <f>VLOOKUP($B399,DG!A:D,DG!$D$2,)</f>
        <v>bộ</v>
      </c>
      <c r="H399" s="1167">
        <f>H394</f>
        <v>0</v>
      </c>
      <c r="I399" s="1259">
        <f t="shared" si="26"/>
        <v>0</v>
      </c>
      <c r="J399" s="1108"/>
      <c r="K399" s="1108"/>
      <c r="L399" s="1082"/>
      <c r="M399" s="975">
        <v>75</v>
      </c>
    </row>
    <row r="400" spans="1:14" s="1083" customFormat="1" ht="25.2" hidden="1" customHeight="1">
      <c r="A400" s="1153">
        <f t="shared" si="23"/>
        <v>0</v>
      </c>
      <c r="B400" s="1324"/>
      <c r="C400" s="1324"/>
      <c r="D400" s="1166">
        <f>IF(H400&gt;0,D394+1,D394)</f>
        <v>0</v>
      </c>
      <c r="E400" s="1185"/>
      <c r="F400" s="1197" t="s">
        <v>3694</v>
      </c>
      <c r="G400" s="1166" t="s">
        <v>2391</v>
      </c>
      <c r="H400" s="1845">
        <f>H394</f>
        <v>0</v>
      </c>
      <c r="I400" s="1259">
        <f t="shared" si="26"/>
        <v>0</v>
      </c>
      <c r="J400" s="1108"/>
      <c r="K400" s="1108"/>
      <c r="L400" s="1082"/>
      <c r="M400" s="975">
        <v>75</v>
      </c>
    </row>
    <row r="401" spans="1:13" s="1083" customFormat="1" ht="25.2" hidden="1" customHeight="1">
      <c r="A401" s="1153">
        <f t="shared" si="23"/>
        <v>0</v>
      </c>
      <c r="B401" s="1324"/>
      <c r="C401" s="1324"/>
      <c r="D401" s="1110"/>
      <c r="E401" s="1188"/>
      <c r="F401" s="1365" t="s">
        <v>2285</v>
      </c>
      <c r="G401" s="1110"/>
      <c r="H401" s="1167"/>
      <c r="I401" s="1259">
        <f t="shared" si="26"/>
        <v>0</v>
      </c>
      <c r="J401" s="1108"/>
      <c r="K401" s="1108"/>
      <c r="L401" s="1082"/>
      <c r="M401" s="975">
        <v>75</v>
      </c>
    </row>
    <row r="402" spans="1:13" s="1083" customFormat="1" ht="25.2" hidden="1" customHeight="1">
      <c r="A402" s="1153">
        <f t="shared" si="23"/>
        <v>0</v>
      </c>
      <c r="B402" s="1324" t="s">
        <v>1033</v>
      </c>
      <c r="C402" s="1324"/>
      <c r="D402" s="1110"/>
      <c r="E402" s="1079">
        <f>VLOOKUP($B402,DG!A:D,DG!$B$2,)</f>
        <v>0</v>
      </c>
      <c r="F402" s="1092" t="str">
        <f>VLOOKUP($B402,DG!A:D,DG!$C$2,)</f>
        <v>Cáp đồng trần M25mm2</v>
      </c>
      <c r="G402" s="1079" t="str">
        <f>VLOOKUP($B402,DG!A:D,DG!$D$2,)</f>
        <v>kg</v>
      </c>
      <c r="H402" s="1167">
        <f>53*H400*0.224</f>
        <v>0</v>
      </c>
      <c r="I402" s="1259">
        <f t="shared" si="26"/>
        <v>0</v>
      </c>
      <c r="J402" s="1108"/>
      <c r="K402" s="1108"/>
      <c r="L402" s="1082"/>
      <c r="M402" s="975">
        <v>75</v>
      </c>
    </row>
    <row r="403" spans="1:13" s="1083" customFormat="1" ht="25.2" hidden="1" customHeight="1">
      <c r="A403" s="1153">
        <f t="shared" si="23"/>
        <v>0</v>
      </c>
      <c r="B403" s="1154" t="s">
        <v>1511</v>
      </c>
      <c r="C403" s="1154"/>
      <c r="D403" s="1110"/>
      <c r="E403" s="1079">
        <f>VLOOKUP($B403,DG!A:D,DG!$B$2,)</f>
        <v>0</v>
      </c>
      <c r="F403" s="1092" t="str">
        <f>VLOOKUP($B403,DG!A:D,DG!$C$2,)</f>
        <v>Cọc tiếp đất Þ 16- 2,4m + kẹp cọc mạ đồng</v>
      </c>
      <c r="G403" s="1079" t="str">
        <f>VLOOKUP($B403,DG!A:D,DG!$D$2,)</f>
        <v>bộ</v>
      </c>
      <c r="H403" s="1167">
        <f>9*H400</f>
        <v>0</v>
      </c>
      <c r="I403" s="1259">
        <f t="shared" si="26"/>
        <v>0</v>
      </c>
      <c r="J403" s="1108"/>
      <c r="K403" s="1108"/>
      <c r="L403" s="1082"/>
      <c r="M403" s="975">
        <v>75</v>
      </c>
    </row>
    <row r="404" spans="1:13" s="1083" customFormat="1" ht="25.2" hidden="1" customHeight="1">
      <c r="A404" s="1153">
        <f t="shared" si="23"/>
        <v>0</v>
      </c>
      <c r="B404" s="1154" t="s">
        <v>1493</v>
      </c>
      <c r="C404" s="1154"/>
      <c r="D404" s="1110"/>
      <c r="E404" s="1079" t="str">
        <f>VLOOKUP($B404,DG!A:D,DG!$B$2,)</f>
        <v>07.2403</v>
      </c>
      <c r="F404" s="1080" t="str">
        <f>VLOOKUP($B404,DG!A:D,DG!$C$2,)</f>
        <v xml:space="preserve">Ống PVC D21x1,6mm </v>
      </c>
      <c r="G404" s="1079" t="str">
        <f>VLOOKUP($B404,DG!A:D,DG!$D$2,)</f>
        <v>m</v>
      </c>
      <c r="H404" s="1167">
        <f>6*H400</f>
        <v>0</v>
      </c>
      <c r="I404" s="1259">
        <f t="shared" si="26"/>
        <v>0</v>
      </c>
      <c r="J404" s="1108"/>
      <c r="K404" s="1108"/>
      <c r="L404" s="1082"/>
      <c r="M404" s="975">
        <v>75</v>
      </c>
    </row>
    <row r="405" spans="1:13" s="1083" customFormat="1" ht="25.2" hidden="1" customHeight="1">
      <c r="A405" s="1153">
        <f t="shared" si="23"/>
        <v>0</v>
      </c>
      <c r="B405" s="1329" t="s">
        <v>1582</v>
      </c>
      <c r="C405" s="1329"/>
      <c r="D405" s="1110"/>
      <c r="E405" s="1079">
        <f>VLOOKUP($B405,DG!A:D,DG!$B$2,)</f>
        <v>0</v>
      </c>
      <c r="F405" s="1080" t="str">
        <f>VLOOKUP($B405,DG!A:D,DG!$C$2,)</f>
        <v>Kẹp ép WR cỡ dây 50mm2</v>
      </c>
      <c r="G405" s="1079" t="str">
        <f>VLOOKUP($B405,DG!A:D,DG!$D$2,)</f>
        <v>cái</v>
      </c>
      <c r="H405" s="1167">
        <f>2*H400</f>
        <v>0</v>
      </c>
      <c r="I405" s="1259">
        <f t="shared" si="26"/>
        <v>0</v>
      </c>
      <c r="J405" s="1108"/>
      <c r="K405" s="1108"/>
      <c r="L405" s="1082"/>
      <c r="M405" s="975">
        <v>75</v>
      </c>
    </row>
    <row r="406" spans="1:13" s="1083" customFormat="1" ht="25.2" hidden="1" customHeight="1">
      <c r="A406" s="1153">
        <f t="shared" si="23"/>
        <v>0</v>
      </c>
      <c r="B406" s="1329" t="s">
        <v>1115</v>
      </c>
      <c r="C406" s="1329"/>
      <c r="D406" s="1110"/>
      <c r="E406" s="1079">
        <f>VLOOKUP($B406,DG!A:D,DG!$B$2,)</f>
        <v>0</v>
      </c>
      <c r="F406" s="1080" t="str">
        <f>VLOOKUP($B406,DG!A:D,DG!$C$2,)</f>
        <v>Kẹp ép cỡ dây 25mm2</v>
      </c>
      <c r="G406" s="1079" t="str">
        <f>VLOOKUP($B406,DG!A:D,DG!$D$2,)</f>
        <v>cái</v>
      </c>
      <c r="H406" s="1167">
        <f>H400*10</f>
        <v>0</v>
      </c>
      <c r="I406" s="1259">
        <f t="shared" si="26"/>
        <v>0</v>
      </c>
      <c r="J406" s="1108"/>
      <c r="K406" s="1108"/>
      <c r="L406" s="1082"/>
      <c r="M406" s="975">
        <v>75</v>
      </c>
    </row>
    <row r="407" spans="1:13" s="1083" customFormat="1" ht="25.2" hidden="1" customHeight="1">
      <c r="A407" s="1153">
        <f t="shared" si="23"/>
        <v>0</v>
      </c>
      <c r="B407" s="1154" t="s">
        <v>525</v>
      </c>
      <c r="C407" s="1154"/>
      <c r="D407" s="1110"/>
      <c r="E407" s="1079" t="str">
        <f>VLOOKUP($B407,DG!A:D,DG!$B$2,)</f>
        <v>06.3231</v>
      </c>
      <c r="F407" s="1080" t="str">
        <f>VLOOKUP($B407,DG!A:D,DG!$C$2,)</f>
        <v>Cổ dê kẹp ống PVC  21</v>
      </c>
      <c r="G407" s="1079" t="str">
        <f>VLOOKUP($B407,DG!A:D,DG!$D$2,)</f>
        <v>bộ</v>
      </c>
      <c r="H407" s="1167">
        <f>3*H400</f>
        <v>0</v>
      </c>
      <c r="I407" s="1259">
        <f t="shared" si="26"/>
        <v>0</v>
      </c>
      <c r="J407" s="1108"/>
      <c r="K407" s="1108"/>
      <c r="L407" s="1082"/>
      <c r="M407" s="975">
        <v>75</v>
      </c>
    </row>
    <row r="408" spans="1:13" s="1083" customFormat="1" ht="25.2" hidden="1" customHeight="1">
      <c r="A408" s="1153">
        <f t="shared" si="23"/>
        <v>0</v>
      </c>
      <c r="B408" s="1329" t="s">
        <v>2189</v>
      </c>
      <c r="C408" s="1329"/>
      <c r="D408" s="1110"/>
      <c r="E408" s="1079" t="str">
        <f>VLOOKUP($B408,DG!A:D,DG!$B$2,)</f>
        <v>04.7002</v>
      </c>
      <c r="F408" s="1080" t="str">
        <f>VLOOKUP($B408,DG!A:D,DG!$C$2,)</f>
        <v>Kéo dây tiếp địa trong TBA</v>
      </c>
      <c r="G408" s="1079" t="str">
        <f>VLOOKUP($B408,DG!A:D,DG!$D$2,)</f>
        <v>mét</v>
      </c>
      <c r="H408" s="1167">
        <f>H402/0.224</f>
        <v>0</v>
      </c>
      <c r="I408" s="1259">
        <f t="shared" si="26"/>
        <v>0</v>
      </c>
      <c r="J408" s="1108"/>
      <c r="K408" s="1108"/>
      <c r="L408" s="1082"/>
      <c r="M408" s="975">
        <v>75</v>
      </c>
    </row>
    <row r="409" spans="1:13" s="1083" customFormat="1" ht="25.2" hidden="1" customHeight="1">
      <c r="A409" s="1153">
        <f t="shared" si="23"/>
        <v>0</v>
      </c>
      <c r="B409" s="1154" t="s">
        <v>902</v>
      </c>
      <c r="C409" s="1154"/>
      <c r="D409" s="1110"/>
      <c r="E409" s="1079" t="str">
        <f>VLOOKUP($B409,DG!A:D,DG!$B$2,)</f>
        <v>04.7001</v>
      </c>
      <c r="F409" s="1080" t="str">
        <f>VLOOKUP($B409,DG!A:D,DG!$C$2,)</f>
        <v>Đóng cọc tiếp địa trong TBA</v>
      </c>
      <c r="G409" s="1079" t="str">
        <f>VLOOKUP($B409,DG!A:D,DG!$D$2,)</f>
        <v>cọc</v>
      </c>
      <c r="H409" s="1167">
        <f>H403</f>
        <v>0</v>
      </c>
      <c r="I409" s="1259">
        <f t="shared" si="26"/>
        <v>0</v>
      </c>
      <c r="J409" s="1108"/>
      <c r="K409" s="1108"/>
      <c r="L409" s="1082"/>
      <c r="M409" s="975">
        <v>75</v>
      </c>
    </row>
    <row r="410" spans="1:13" s="1083" customFormat="1" ht="25.2" hidden="1" customHeight="1">
      <c r="A410" s="1153">
        <f t="shared" ref="A410:A473" si="28">IF(I410&gt;0,1,0)</f>
        <v>0</v>
      </c>
      <c r="B410" s="1329" t="str">
        <f>"dtd"&amp;chitiet!G5</f>
        <v>dtd3</v>
      </c>
      <c r="C410" s="1329"/>
      <c r="D410" s="1110"/>
      <c r="E410" s="1079" t="str">
        <f>VLOOKUP($B410,DG!A:D,DG!$B$2,)</f>
        <v>03.3123</v>
      </c>
      <c r="F410" s="1080" t="str">
        <f>VLOOKUP($B410,DG!A:D,DG!$C$2,)</f>
        <v>Đào rãnh tiếp địa đất cấp 3</v>
      </c>
      <c r="G410" s="1079" t="str">
        <f>VLOOKUP($B410,DG!A:D,DG!$D$2,)</f>
        <v>m3</v>
      </c>
      <c r="H410" s="1167">
        <f>H400*2.64</f>
        <v>0</v>
      </c>
      <c r="I410" s="1259">
        <f t="shared" si="26"/>
        <v>0</v>
      </c>
      <c r="J410" s="1108"/>
      <c r="K410" s="1108"/>
      <c r="L410" s="1082"/>
      <c r="M410" s="975">
        <v>75</v>
      </c>
    </row>
    <row r="411" spans="1:13" s="1083" customFormat="1" ht="25.2" hidden="1" customHeight="1">
      <c r="A411" s="1153">
        <f t="shared" si="28"/>
        <v>0</v>
      </c>
      <c r="B411" s="1154" t="str">
        <f>"datd"&amp;chitiet!G5</f>
        <v>datd3</v>
      </c>
      <c r="C411" s="1154"/>
      <c r="D411" s="1110"/>
      <c r="E411" s="1079" t="str">
        <f>VLOOKUP($B411,DG!A:D,DG!$B$2,)</f>
        <v>03.4123</v>
      </c>
      <c r="F411" s="1080" t="str">
        <f>VLOOKUP($B411,DG!A:D,DG!$C$2,)</f>
        <v>Đắp đất rãnh tiếp độ chặt k=0,85</v>
      </c>
      <c r="G411" s="1079" t="str">
        <f>VLOOKUP($B411,DG!A:D,DG!$D$2,)</f>
        <v>m3</v>
      </c>
      <c r="H411" s="1167">
        <f>H410</f>
        <v>0</v>
      </c>
      <c r="I411" s="1259">
        <f t="shared" si="26"/>
        <v>0</v>
      </c>
      <c r="J411" s="1108"/>
      <c r="K411" s="1108"/>
      <c r="L411" s="1082"/>
      <c r="M411" s="975">
        <v>75</v>
      </c>
    </row>
    <row r="412" spans="1:13" s="1083" customFormat="1" ht="25.2" hidden="1" customHeight="1">
      <c r="A412" s="1153">
        <f t="shared" si="28"/>
        <v>0</v>
      </c>
      <c r="B412" s="1329"/>
      <c r="C412" s="1329"/>
      <c r="D412" s="1166">
        <f>IF(H412&gt;0,D400+1,D400)</f>
        <v>0</v>
      </c>
      <c r="E412" s="1185"/>
      <c r="F412" s="1186" t="s">
        <v>3701</v>
      </c>
      <c r="G412" s="1166" t="s">
        <v>2391</v>
      </c>
      <c r="H412" s="1845">
        <f>H394</f>
        <v>0</v>
      </c>
      <c r="I412" s="1259">
        <f t="shared" si="26"/>
        <v>0</v>
      </c>
      <c r="J412" s="1108"/>
      <c r="K412" s="1108"/>
      <c r="L412" s="1082"/>
      <c r="M412" s="975">
        <v>75</v>
      </c>
    </row>
    <row r="413" spans="1:13" s="1083" customFormat="1" ht="25.2" hidden="1" customHeight="1">
      <c r="A413" s="1153">
        <f t="shared" si="28"/>
        <v>0</v>
      </c>
      <c r="B413" s="1329"/>
      <c r="C413" s="1329"/>
      <c r="D413" s="1166"/>
      <c r="E413" s="1185"/>
      <c r="F413" s="1365" t="s">
        <v>2285</v>
      </c>
      <c r="G413" s="1110"/>
      <c r="H413" s="1167"/>
      <c r="I413" s="1259">
        <f t="shared" si="26"/>
        <v>0</v>
      </c>
      <c r="J413" s="1108"/>
      <c r="K413" s="1108"/>
      <c r="L413" s="1082"/>
      <c r="M413" s="975">
        <v>75</v>
      </c>
    </row>
    <row r="414" spans="1:13" s="1083" customFormat="1" ht="25.2" hidden="1" customHeight="1">
      <c r="A414" s="1153">
        <f t="shared" si="28"/>
        <v>0</v>
      </c>
      <c r="B414" s="1331" t="s">
        <v>616</v>
      </c>
      <c r="C414" s="1331"/>
      <c r="D414" s="1110"/>
      <c r="E414" s="1079" t="str">
        <f>VLOOKUP($B414,DG!A:D,DG!$B$2,)</f>
        <v>05.1001</v>
      </c>
      <c r="F414" s="1092" t="str">
        <f>VLOOKUP($B414,DG!A:D,DG!$C$2,)</f>
        <v>Tủ CB trạm 1 pha + khóa + boulon</v>
      </c>
      <c r="G414" s="1079" t="str">
        <f>VLOOKUP($B414,DG!A:D,DG!$D$2,)</f>
        <v>cái</v>
      </c>
      <c r="H414" s="1167">
        <f>H412</f>
        <v>0</v>
      </c>
      <c r="I414" s="1259">
        <f t="shared" si="26"/>
        <v>0</v>
      </c>
      <c r="J414" s="1108"/>
      <c r="K414" s="1108"/>
      <c r="L414" s="1082"/>
      <c r="M414" s="975">
        <v>75</v>
      </c>
    </row>
    <row r="415" spans="1:13" s="1083" customFormat="1" ht="25.2" hidden="1" customHeight="1">
      <c r="A415" s="1153">
        <f t="shared" si="28"/>
        <v>0</v>
      </c>
      <c r="B415" s="1329" t="s">
        <v>879</v>
      </c>
      <c r="C415" s="1329"/>
      <c r="D415" s="1110"/>
      <c r="E415" s="1079" t="str">
        <f>VLOOKUP($B415,DG!A:D,DG!$B$2,)</f>
        <v>06.3231</v>
      </c>
      <c r="F415" s="1080" t="str">
        <f>VLOOKUP($B415,DG!A:D,DG!$C$2,)</f>
        <v>Cổ dê bắt tủ</v>
      </c>
      <c r="G415" s="1079" t="str">
        <f>VLOOKUP($B415,DG!A:D,DG!$D$2,)</f>
        <v>bộ</v>
      </c>
      <c r="H415" s="1167">
        <f>2*H412*7</f>
        <v>0</v>
      </c>
      <c r="I415" s="1259">
        <f t="shared" si="26"/>
        <v>0</v>
      </c>
      <c r="J415" s="1108"/>
      <c r="K415" s="1108"/>
      <c r="L415" s="1082"/>
      <c r="M415" s="975">
        <v>75</v>
      </c>
    </row>
    <row r="416" spans="1:13" s="1083" customFormat="1" ht="25.2" hidden="1" customHeight="1">
      <c r="A416" s="1153">
        <f t="shared" si="28"/>
        <v>0</v>
      </c>
      <c r="B416" s="1329" t="s">
        <v>1131</v>
      </c>
      <c r="C416" s="1329"/>
      <c r="D416" s="1110"/>
      <c r="E416" s="1079" t="str">
        <f>VLOOKUP($B416,DG!A:D,DG!$B$2,)</f>
        <v>06.2110</v>
      </c>
      <c r="F416" s="1080" t="str">
        <f>VLOOKUP($B416,DG!A:D,DG!$C$2,)</f>
        <v>Lắp cổ dề</v>
      </c>
      <c r="G416" s="1079" t="str">
        <f>VLOOKUP($B416,DG!A:D,DG!$D$2,)</f>
        <v>bộ</v>
      </c>
      <c r="H416" s="1167">
        <f>H412*2</f>
        <v>0</v>
      </c>
      <c r="I416" s="1259">
        <f t="shared" si="26"/>
        <v>0</v>
      </c>
      <c r="J416" s="1108"/>
      <c r="K416" s="1108"/>
      <c r="L416" s="1082"/>
      <c r="M416" s="975">
        <v>75</v>
      </c>
    </row>
    <row r="417" spans="1:13" s="1083" customFormat="1" ht="25.2" hidden="1" customHeight="1">
      <c r="A417" s="1153">
        <f t="shared" si="28"/>
        <v>0</v>
      </c>
      <c r="B417" s="1329" t="s">
        <v>880</v>
      </c>
      <c r="C417" s="1329"/>
      <c r="D417" s="1110"/>
      <c r="E417" s="1079">
        <f>VLOOKUP($B417,DG!A:D,DG!$B$2,)</f>
        <v>0</v>
      </c>
      <c r="F417" s="1080" t="str">
        <f>VLOOKUP($B417,DG!A:D,DG!$C$2,)</f>
        <v xml:space="preserve">Bakelit 550x450 dầy 10mm </v>
      </c>
      <c r="G417" s="1079" t="str">
        <f>VLOOKUP($B417,DG!A:D,DG!$D$2,)</f>
        <v>cái</v>
      </c>
      <c r="H417" s="1167">
        <f>H412</f>
        <v>0</v>
      </c>
      <c r="I417" s="1259">
        <f t="shared" si="26"/>
        <v>0</v>
      </c>
      <c r="J417" s="1108"/>
      <c r="K417" s="1108"/>
      <c r="L417" s="1082"/>
      <c r="M417" s="975">
        <v>75</v>
      </c>
    </row>
    <row r="418" spans="1:13" s="1083" customFormat="1" ht="25.2" hidden="1" customHeight="1">
      <c r="A418" s="1153">
        <f t="shared" si="28"/>
        <v>0</v>
      </c>
      <c r="B418" s="1329"/>
      <c r="C418" s="1329"/>
      <c r="D418" s="1166">
        <f>IF(H418&gt;0,D412+1,D412)</f>
        <v>0</v>
      </c>
      <c r="E418" s="1185"/>
      <c r="F418" s="1197" t="s">
        <v>3707</v>
      </c>
      <c r="G418" s="1166" t="s">
        <v>2391</v>
      </c>
      <c r="H418" s="1845">
        <f>H412</f>
        <v>0</v>
      </c>
      <c r="I418" s="1259">
        <f t="shared" si="26"/>
        <v>0</v>
      </c>
      <c r="J418" s="1108"/>
      <c r="K418" s="1108"/>
      <c r="L418" s="1082"/>
      <c r="M418" s="975">
        <v>75</v>
      </c>
    </row>
    <row r="419" spans="1:13" s="1083" customFormat="1" ht="25.2" hidden="1" customHeight="1">
      <c r="A419" s="1153">
        <f t="shared" si="28"/>
        <v>0</v>
      </c>
      <c r="B419" s="1329"/>
      <c r="C419" s="1329"/>
      <c r="D419" s="1166"/>
      <c r="E419" s="1185"/>
      <c r="F419" s="1365" t="s">
        <v>2285</v>
      </c>
      <c r="G419" s="1110"/>
      <c r="H419" s="1167"/>
      <c r="I419" s="1259">
        <f t="shared" si="26"/>
        <v>0</v>
      </c>
      <c r="J419" s="1108"/>
      <c r="K419" s="1108"/>
      <c r="L419" s="1082"/>
      <c r="M419" s="975">
        <v>75</v>
      </c>
    </row>
    <row r="420" spans="1:13" s="1083" customFormat="1" ht="25.2" hidden="1" customHeight="1">
      <c r="A420" s="1153">
        <f t="shared" si="28"/>
        <v>0</v>
      </c>
      <c r="B420" s="1154" t="s">
        <v>697</v>
      </c>
      <c r="C420" s="1154"/>
      <c r="D420" s="1110"/>
      <c r="E420" s="1079">
        <f>VLOOKUP($B420,DG!A:D,DG!$B$2,)</f>
        <v>0</v>
      </c>
      <c r="F420" s="1092" t="str">
        <f>VLOOKUP($B420,DG!A:D,DG!$C$2,)</f>
        <v>Cáp 24KV C/XLPE/PVC 25mm2</v>
      </c>
      <c r="G420" s="1079" t="str">
        <f>VLOOKUP($B420,DG!A:D,DG!$D$2,)</f>
        <v>mét</v>
      </c>
      <c r="H420" s="1167">
        <f>3*H418</f>
        <v>0</v>
      </c>
      <c r="I420" s="1259">
        <f t="shared" si="26"/>
        <v>0</v>
      </c>
      <c r="J420" s="1108"/>
      <c r="K420" s="1108"/>
      <c r="L420" s="1082"/>
      <c r="M420" s="975">
        <v>75</v>
      </c>
    </row>
    <row r="421" spans="1:13" s="1083" customFormat="1" ht="25.2" hidden="1" customHeight="1">
      <c r="A421" s="1153">
        <f t="shared" si="28"/>
        <v>0</v>
      </c>
      <c r="B421" s="1154" t="s">
        <v>4487</v>
      </c>
      <c r="C421" s="1154"/>
      <c r="D421" s="1110"/>
      <c r="E421" s="1079" t="str">
        <f>VLOOKUP($B421,DG!A:D,DG!$B$2,)</f>
        <v>04.3007</v>
      </c>
      <c r="F421" s="1080" t="str">
        <f>VLOOKUP($B421,DG!A:D,DG!$C$2,)</f>
        <v>Kẹp quai 2/0 + chụp cách điện</v>
      </c>
      <c r="G421" s="1079" t="str">
        <f>VLOOKUP($B421,DG!A:D,DG!$D$2,)</f>
        <v>bộ</v>
      </c>
      <c r="H421" s="1167">
        <f>H418</f>
        <v>0</v>
      </c>
      <c r="I421" s="1259">
        <f t="shared" ref="I421:I489" si="29">IF(M421=$M$23,H421+J421-K421,0)</f>
        <v>0</v>
      </c>
      <c r="J421" s="1108"/>
      <c r="K421" s="1108"/>
      <c r="L421" s="1082"/>
      <c r="M421" s="975">
        <v>75</v>
      </c>
    </row>
    <row r="422" spans="1:13" s="1083" customFormat="1" ht="25.2" hidden="1" customHeight="1">
      <c r="A422" s="1153">
        <f t="shared" si="28"/>
        <v>0</v>
      </c>
      <c r="B422" s="1154" t="s">
        <v>1480</v>
      </c>
      <c r="C422" s="1154"/>
      <c r="D422" s="1110"/>
      <c r="E422" s="1079" t="str">
        <f>VLOOKUP($B422,DG!A:D,DG!$B$2,)</f>
        <v>04.3007</v>
      </c>
      <c r="F422" s="1080" t="str">
        <f>VLOOKUP($B422,DG!A:D,DG!$C$2,)</f>
        <v>Kẹp hotline 2/0</v>
      </c>
      <c r="G422" s="1079" t="str">
        <f>VLOOKUP($B422,DG!A:D,DG!$D$2,)</f>
        <v>cái</v>
      </c>
      <c r="H422" s="1167">
        <f>H417</f>
        <v>0</v>
      </c>
      <c r="I422" s="1259">
        <f t="shared" ref="I422:I424" si="30">IF(M422=$M$23,H422+J422-K422,0)</f>
        <v>0</v>
      </c>
      <c r="J422" s="1108"/>
      <c r="K422" s="1108"/>
      <c r="L422" s="1082"/>
      <c r="M422" s="975">
        <v>75</v>
      </c>
    </row>
    <row r="423" spans="1:13" s="1083" customFormat="1" ht="25.2" hidden="1" customHeight="1">
      <c r="A423" s="1153">
        <f t="shared" si="28"/>
        <v>0</v>
      </c>
      <c r="B423" s="1154" t="s">
        <v>4368</v>
      </c>
      <c r="C423" s="1154"/>
      <c r="D423" s="1110"/>
      <c r="E423" s="1079">
        <f>VLOOKUP($B423,DG!A:D,DG!$B$2,)</f>
        <v>0</v>
      </c>
      <c r="F423" s="1080" t="str">
        <f>VLOOKUP($B423,DG!A:D,DG!$C$2,)</f>
        <v>Chụp cách điện đầu cực FCO (trên + dưới)</v>
      </c>
      <c r="G423" s="1079" t="str">
        <f>VLOOKUP($B423,DG!A:D,DG!$D$2,)</f>
        <v>bộ</v>
      </c>
      <c r="H423" s="1167">
        <f>H372</f>
        <v>0</v>
      </c>
      <c r="I423" s="1259">
        <f t="shared" ref="I423" si="31">IF(M423=$M$23,H423+J423-K423,0)</f>
        <v>0</v>
      </c>
      <c r="J423" s="1108"/>
      <c r="K423" s="1108"/>
      <c r="L423" s="1082"/>
      <c r="M423" s="975">
        <v>75</v>
      </c>
    </row>
    <row r="424" spans="1:13" s="1083" customFormat="1" ht="25.2" hidden="1" customHeight="1">
      <c r="A424" s="1153">
        <f t="shared" si="28"/>
        <v>0</v>
      </c>
      <c r="B424" s="1154" t="s">
        <v>4376</v>
      </c>
      <c r="C424" s="1154"/>
      <c r="D424" s="1110"/>
      <c r="E424" s="1079">
        <f>VLOOKUP($B424,DG!A:D,DG!$B$2,)</f>
        <v>0</v>
      </c>
      <c r="F424" s="1080" t="str">
        <f>VLOOKUP($B424,DG!A:D,DG!$C$2,)</f>
        <v>Chụp cách điện đầu cực LA</v>
      </c>
      <c r="G424" s="1079" t="str">
        <f>VLOOKUP($B424,DG!A:D,DG!$D$2,)</f>
        <v>cái</v>
      </c>
      <c r="H424" s="1167">
        <f>H374</f>
        <v>0</v>
      </c>
      <c r="I424" s="1259">
        <f t="shared" si="30"/>
        <v>0</v>
      </c>
      <c r="J424" s="1108"/>
      <c r="K424" s="1108"/>
      <c r="L424" s="1082"/>
      <c r="M424" s="975">
        <v>75</v>
      </c>
    </row>
    <row r="425" spans="1:13" s="1083" customFormat="1" ht="25.2" hidden="1" customHeight="1">
      <c r="A425" s="1153">
        <f t="shared" si="28"/>
        <v>0</v>
      </c>
      <c r="B425" s="1154" t="s">
        <v>4543</v>
      </c>
      <c r="C425" s="1154"/>
      <c r="D425" s="1110"/>
      <c r="E425" s="1079">
        <f>VLOOKUP($B425,DG!A:D,DG!$B$2,)</f>
        <v>0</v>
      </c>
      <c r="F425" s="1080" t="str">
        <f>VLOOKUP($B425,DG!A:D,DG!$C$2,)</f>
        <v>Chụp cách điện đầu cực MBA</v>
      </c>
      <c r="G425" s="1079" t="str">
        <f>VLOOKUP($B425,DG!A:D,DG!$D$2,)</f>
        <v>cái</v>
      </c>
      <c r="H425" s="1167">
        <f>H371</f>
        <v>0</v>
      </c>
      <c r="I425" s="1259">
        <f t="shared" si="29"/>
        <v>0</v>
      </c>
      <c r="J425" s="1108"/>
      <c r="K425" s="1108"/>
      <c r="L425" s="1082"/>
      <c r="M425" s="975">
        <v>75</v>
      </c>
    </row>
    <row r="426" spans="1:13" s="1083" customFormat="1" ht="25.2" hidden="1" customHeight="1">
      <c r="A426" s="1153">
        <f t="shared" si="28"/>
        <v>0</v>
      </c>
      <c r="B426" s="1154" t="s">
        <v>1528</v>
      </c>
      <c r="C426" s="1154"/>
      <c r="D426" s="1110"/>
      <c r="E426" s="1079" t="str">
        <f>VLOOKUP($B426,DG!A:D,DG!$B$2,)</f>
        <v>04.4201</v>
      </c>
      <c r="F426" s="1080" t="str">
        <f>VLOOKUP($B426,DG!A:D,DG!$C$2,)</f>
        <v>Lắp cáp đồng xuống thiết bị D ≤ 95mm2</v>
      </c>
      <c r="G426" s="1079" t="str">
        <f>VLOOKUP($B426,DG!A:D,DG!$D$2,)</f>
        <v>m</v>
      </c>
      <c r="H426" s="1167">
        <f>H420</f>
        <v>0</v>
      </c>
      <c r="I426" s="1259">
        <f t="shared" si="29"/>
        <v>0</v>
      </c>
      <c r="J426" s="1108"/>
      <c r="K426" s="1108"/>
      <c r="L426" s="1082"/>
      <c r="M426" s="975">
        <v>75</v>
      </c>
    </row>
    <row r="427" spans="1:13" s="1083" customFormat="1" ht="25.2" hidden="1" customHeight="1">
      <c r="A427" s="1153">
        <f t="shared" si="28"/>
        <v>0</v>
      </c>
      <c r="B427" s="1324"/>
      <c r="C427" s="1324"/>
      <c r="D427" s="1166">
        <f>IF(H427&gt;0,D418+1,D418)</f>
        <v>0</v>
      </c>
      <c r="E427" s="1185"/>
      <c r="F427" s="1186" t="s">
        <v>3708</v>
      </c>
      <c r="G427" s="1166" t="s">
        <v>2391</v>
      </c>
      <c r="H427" s="1845">
        <f>H371</f>
        <v>0</v>
      </c>
      <c r="I427" s="1259">
        <f t="shared" si="29"/>
        <v>0</v>
      </c>
      <c r="J427" s="1108"/>
      <c r="K427" s="1108"/>
      <c r="L427" s="1082"/>
      <c r="M427" s="975">
        <v>75</v>
      </c>
    </row>
    <row r="428" spans="1:13" s="1083" customFormat="1" ht="25.2" hidden="1" customHeight="1">
      <c r="A428" s="1153">
        <f t="shared" si="28"/>
        <v>0</v>
      </c>
      <c r="B428" s="1324"/>
      <c r="C428" s="1324"/>
      <c r="D428" s="1166"/>
      <c r="E428" s="1185"/>
      <c r="F428" s="1364" t="s">
        <v>2285</v>
      </c>
      <c r="G428" s="1166"/>
      <c r="H428" s="1845"/>
      <c r="I428" s="1259">
        <f t="shared" si="29"/>
        <v>0</v>
      </c>
      <c r="J428" s="1108"/>
      <c r="K428" s="1108"/>
      <c r="L428" s="1082"/>
      <c r="M428" s="975">
        <v>75</v>
      </c>
    </row>
    <row r="429" spans="1:13" s="1083" customFormat="1" ht="25.2" hidden="1" customHeight="1">
      <c r="A429" s="1153">
        <f t="shared" si="28"/>
        <v>0</v>
      </c>
      <c r="B429" s="1324" t="s">
        <v>4544</v>
      </c>
      <c r="C429" s="1324"/>
      <c r="D429" s="1166"/>
      <c r="E429" s="1079">
        <f>VLOOKUP($B429,DG!A:D,DG!$B$2,)</f>
        <v>0</v>
      </c>
      <c r="F429" s="1092" t="str">
        <f>VLOOKUP($B429,DG!A:D,DG!$C$2,)</f>
        <v>Cáp đồng bọc CV185</v>
      </c>
      <c r="G429" s="1079" t="str">
        <f>VLOOKUP($B429,DG!A:D,DG!$D$2,)</f>
        <v>mét</v>
      </c>
      <c r="H429" s="1167">
        <f>H427*10*2</f>
        <v>0</v>
      </c>
      <c r="I429" s="1259">
        <f t="shared" si="29"/>
        <v>0</v>
      </c>
      <c r="J429" s="1108"/>
      <c r="K429" s="1108"/>
      <c r="L429" s="1082"/>
      <c r="M429" s="975">
        <v>75</v>
      </c>
    </row>
    <row r="430" spans="1:13" s="1083" customFormat="1" ht="25.2" hidden="1" customHeight="1">
      <c r="A430" s="1153">
        <f t="shared" si="28"/>
        <v>0</v>
      </c>
      <c r="B430" s="1324" t="s">
        <v>237</v>
      </c>
      <c r="C430" s="1324"/>
      <c r="D430" s="1166"/>
      <c r="E430" s="1079">
        <f>VLOOKUP($B430,DG!A:D,DG!$B$2,)</f>
        <v>0</v>
      </c>
      <c r="F430" s="1080" t="str">
        <f>VLOOKUP($B430,DG!A:D,DG!$C$2,)</f>
        <v>Cáp đồng bọc CV70</v>
      </c>
      <c r="G430" s="1079" t="str">
        <f>VLOOKUP($B430,DG!A:D,DG!$D$2,)</f>
        <v>mét</v>
      </c>
      <c r="H430" s="1167">
        <f>H427*9*0</f>
        <v>0</v>
      </c>
      <c r="I430" s="1259">
        <f t="shared" si="29"/>
        <v>0</v>
      </c>
      <c r="J430" s="1108"/>
      <c r="K430" s="1108"/>
      <c r="L430" s="1082"/>
      <c r="M430" s="975">
        <v>75</v>
      </c>
    </row>
    <row r="431" spans="1:13" s="1083" customFormat="1" ht="25.2" hidden="1" customHeight="1">
      <c r="A431" s="1153">
        <f t="shared" si="28"/>
        <v>0</v>
      </c>
      <c r="B431" s="1324" t="s">
        <v>4545</v>
      </c>
      <c r="C431" s="1324"/>
      <c r="D431" s="1110"/>
      <c r="E431" s="1079" t="str">
        <f>VLOOKUP($B431,DG!A:D,DG!$B$2,)</f>
        <v>03.1401</v>
      </c>
      <c r="F431" s="1092" t="str">
        <f>VLOOKUP($B431,DG!A:D,DG!$C$2,)</f>
        <v xml:space="preserve">Cáp CVV 4x4mm2  </v>
      </c>
      <c r="G431" s="1079" t="str">
        <f>VLOOKUP($B431,DG!A:D,DG!$D$2,)</f>
        <v>mét</v>
      </c>
      <c r="H431" s="1167">
        <f>2*H427</f>
        <v>0</v>
      </c>
      <c r="I431" s="1259">
        <f t="shared" si="29"/>
        <v>0</v>
      </c>
      <c r="J431" s="1108"/>
      <c r="K431" s="1108"/>
      <c r="L431" s="1082"/>
      <c r="M431" s="975">
        <v>75</v>
      </c>
    </row>
    <row r="432" spans="1:13" s="1083" customFormat="1" ht="25.2" hidden="1" customHeight="1">
      <c r="A432" s="1153">
        <f t="shared" si="28"/>
        <v>0</v>
      </c>
      <c r="B432" s="1329" t="s">
        <v>151</v>
      </c>
      <c r="C432" s="1329"/>
      <c r="D432" s="1110"/>
      <c r="E432" s="1079" t="str">
        <f>VLOOKUP($B432,DG!A:D,DG!$B$2,)</f>
        <v>03.4007</v>
      </c>
      <c r="F432" s="1080" t="str">
        <f>VLOOKUP($B432,DG!A:D,DG!$C$2,)</f>
        <v>Đầu cosse ép Cu 185mm2</v>
      </c>
      <c r="G432" s="1079" t="str">
        <f>VLOOKUP($B432,DG!A:D,DG!$D$2,)</f>
        <v>cái</v>
      </c>
      <c r="H432" s="1167">
        <f>H427*H376*2</f>
        <v>0</v>
      </c>
      <c r="I432" s="1259">
        <f t="shared" si="29"/>
        <v>0</v>
      </c>
      <c r="J432" s="1108"/>
      <c r="K432" s="1108"/>
      <c r="L432" s="1082"/>
      <c r="M432" s="975">
        <v>75</v>
      </c>
    </row>
    <row r="433" spans="1:13" s="1083" customFormat="1" ht="25.2" hidden="1" customHeight="1">
      <c r="A433" s="1153">
        <f t="shared" si="28"/>
        <v>0</v>
      </c>
      <c r="B433" s="1329" t="s">
        <v>1074</v>
      </c>
      <c r="C433" s="1329"/>
      <c r="D433" s="1110"/>
      <c r="E433" s="1079" t="str">
        <f>VLOOKUP($B433,DG!A:D,DG!$B$2,)</f>
        <v>03.4003</v>
      </c>
      <c r="F433" s="1080" t="str">
        <f>VLOOKUP($B433,DG!A:D,DG!$C$2,)</f>
        <v>Đầu cosse ép Cu 70mm2</v>
      </c>
      <c r="G433" s="1079" t="str">
        <f>VLOOKUP($B433,DG!A:D,DG!$D$2,)</f>
        <v>cái</v>
      </c>
      <c r="H433" s="1167">
        <f>H427*0</f>
        <v>0</v>
      </c>
      <c r="I433" s="1259">
        <f t="shared" si="29"/>
        <v>0</v>
      </c>
      <c r="J433" s="1108"/>
      <c r="K433" s="1108"/>
      <c r="L433" s="1082"/>
      <c r="M433" s="975">
        <v>75</v>
      </c>
    </row>
    <row r="434" spans="1:13" s="1083" customFormat="1" ht="25.2" hidden="1" customHeight="1">
      <c r="A434" s="1153">
        <f t="shared" si="28"/>
        <v>0</v>
      </c>
      <c r="B434" s="1329" t="s">
        <v>1865</v>
      </c>
      <c r="C434" s="1329"/>
      <c r="D434" s="1110"/>
      <c r="E434" s="1079">
        <f>VLOOKUP($B434,DG!A:D,DG!$B$2,)</f>
        <v>0</v>
      </c>
      <c r="F434" s="1080" t="str">
        <f>VLOOKUP($B434,DG!A:D,DG!$C$2,)</f>
        <v>Chụp đầu cosse  120mm2</v>
      </c>
      <c r="G434" s="1079" t="str">
        <f>VLOOKUP($B434,DG!A:D,DG!$D$2,)</f>
        <v>cái</v>
      </c>
      <c r="H434" s="1167">
        <f>H432</f>
        <v>0</v>
      </c>
      <c r="I434" s="1259">
        <f t="shared" si="29"/>
        <v>0</v>
      </c>
      <c r="J434" s="1108"/>
      <c r="K434" s="1108"/>
      <c r="L434" s="1082"/>
      <c r="M434" s="975">
        <v>75</v>
      </c>
    </row>
    <row r="435" spans="1:13" s="1083" customFormat="1" ht="25.2" hidden="1" customHeight="1">
      <c r="A435" s="1153">
        <f t="shared" si="28"/>
        <v>0</v>
      </c>
      <c r="B435" s="1329" t="s">
        <v>2084</v>
      </c>
      <c r="C435" s="1329"/>
      <c r="D435" s="1110"/>
      <c r="E435" s="1079">
        <f>VLOOKUP($B435,DG!A:D,DG!$B$2,)</f>
        <v>0</v>
      </c>
      <c r="F435" s="1080" t="str">
        <f>VLOOKUP($B435,DG!A:D,DG!$C$2,)</f>
        <v>Chụp đầu cosse  70mm2</v>
      </c>
      <c r="G435" s="1079" t="str">
        <f>VLOOKUP($B435,DG!A:D,DG!$D$2,)</f>
        <v>cái</v>
      </c>
      <c r="H435" s="1167">
        <f>H433*0</f>
        <v>0</v>
      </c>
      <c r="I435" s="1259">
        <f t="shared" si="29"/>
        <v>0</v>
      </c>
      <c r="J435" s="1108"/>
      <c r="K435" s="1108"/>
      <c r="L435" s="1082"/>
      <c r="M435" s="975">
        <v>75</v>
      </c>
    </row>
    <row r="436" spans="1:13" s="1083" customFormat="1" ht="25.2" hidden="1" customHeight="1">
      <c r="A436" s="1153">
        <f t="shared" si="28"/>
        <v>0</v>
      </c>
      <c r="B436" s="1329" t="s">
        <v>1042</v>
      </c>
      <c r="C436" s="1329"/>
      <c r="D436" s="1110"/>
      <c r="E436" s="1079">
        <f>VLOOKUP($B436,DG!A:D,DG!$B$2,)</f>
        <v>0</v>
      </c>
      <c r="F436" s="1080" t="str">
        <f>VLOOKUP($B436,DG!A:D,DG!$C$2,)</f>
        <v xml:space="preserve">Ống PVC D114x4,9mm </v>
      </c>
      <c r="G436" s="1079" t="str">
        <f>VLOOKUP($B436,DG!A:D,DG!$D$2,)</f>
        <v>m</v>
      </c>
      <c r="H436" s="1167">
        <f>6*H427</f>
        <v>0</v>
      </c>
      <c r="I436" s="1259">
        <f t="shared" si="29"/>
        <v>0</v>
      </c>
      <c r="J436" s="1108"/>
      <c r="K436" s="1108"/>
      <c r="L436" s="1082"/>
      <c r="M436" s="975">
        <v>75</v>
      </c>
    </row>
    <row r="437" spans="1:13" s="1083" customFormat="1" ht="25.2" hidden="1" customHeight="1">
      <c r="A437" s="1153">
        <f t="shared" si="28"/>
        <v>0</v>
      </c>
      <c r="B437" s="1154" t="s">
        <v>1866</v>
      </c>
      <c r="C437" s="1154"/>
      <c r="D437" s="1110"/>
      <c r="E437" s="1079" t="str">
        <f>VLOOKUP($B437,DG!A:D,DG!$B$2,)</f>
        <v>06.3231</v>
      </c>
      <c r="F437" s="1080" t="str">
        <f>VLOOKUP($B437,DG!A:D,DG!$C$2,)</f>
        <v>Cổ dê kẹp ống PVC Ø 114</v>
      </c>
      <c r="G437" s="1079" t="str">
        <f>VLOOKUP($B437,DG!A:D,DG!$D$2,)</f>
        <v>bộ</v>
      </c>
      <c r="H437" s="1167">
        <f>3*H427</f>
        <v>0</v>
      </c>
      <c r="I437" s="1259">
        <f t="shared" si="29"/>
        <v>0</v>
      </c>
      <c r="J437" s="1108"/>
      <c r="K437" s="1108"/>
      <c r="L437" s="1082"/>
      <c r="M437" s="975">
        <v>75</v>
      </c>
    </row>
    <row r="438" spans="1:13" s="1083" customFormat="1" ht="25.2" hidden="1" customHeight="1">
      <c r="A438" s="1153">
        <f t="shared" si="28"/>
        <v>0</v>
      </c>
      <c r="B438" s="1154" t="s">
        <v>2023</v>
      </c>
      <c r="C438" s="1154"/>
      <c r="D438" s="1110"/>
      <c r="E438" s="1079">
        <f>VLOOKUP($B438,DG!A:D,DG!$B$2,)</f>
        <v>0</v>
      </c>
      <c r="F438" s="1080" t="str">
        <f>VLOOKUP($B438,DG!A:D,DG!$C$2,)</f>
        <v>Boulon 12x40+ 2 long đền vuông D14-50x50x3/Zn</v>
      </c>
      <c r="G438" s="1079" t="str">
        <f>VLOOKUP($B438,DG!A:D,DG!$D$2,)</f>
        <v>bộ</v>
      </c>
      <c r="H438" s="1167">
        <f>H439*4*0</f>
        <v>0</v>
      </c>
      <c r="I438" s="1259">
        <f t="shared" si="29"/>
        <v>0</v>
      </c>
      <c r="J438" s="1108"/>
      <c r="K438" s="1108"/>
      <c r="L438" s="1082"/>
      <c r="M438" s="975">
        <v>75</v>
      </c>
    </row>
    <row r="439" spans="1:13" s="1083" customFormat="1" ht="25.2" hidden="1" customHeight="1">
      <c r="A439" s="1153">
        <f t="shared" si="28"/>
        <v>0</v>
      </c>
      <c r="B439" s="1154" t="s">
        <v>1131</v>
      </c>
      <c r="C439" s="1154"/>
      <c r="D439" s="1110"/>
      <c r="E439" s="1079" t="str">
        <f>VLOOKUP($B439,DG!A:D,DG!$B$2,)</f>
        <v>06.2110</v>
      </c>
      <c r="F439" s="1080" t="str">
        <f>VLOOKUP($B439,DG!A:D,DG!$C$2,)</f>
        <v>Lắp cổ dề</v>
      </c>
      <c r="G439" s="1079" t="str">
        <f>VLOOKUP($B439,DG!A:D,DG!$D$2,)</f>
        <v>bộ</v>
      </c>
      <c r="H439" s="1167">
        <f>H427*3</f>
        <v>0</v>
      </c>
      <c r="I439" s="1259">
        <f t="shared" si="29"/>
        <v>0</v>
      </c>
      <c r="J439" s="1108"/>
      <c r="K439" s="1108"/>
      <c r="L439" s="1082"/>
      <c r="M439" s="975">
        <v>75</v>
      </c>
    </row>
    <row r="440" spans="1:13" s="1083" customFormat="1" ht="25.2" hidden="1" customHeight="1">
      <c r="A440" s="1153">
        <f t="shared" si="28"/>
        <v>0</v>
      </c>
      <c r="B440" s="1329" t="s">
        <v>1868</v>
      </c>
      <c r="C440" s="1329"/>
      <c r="D440" s="1110"/>
      <c r="E440" s="1079">
        <f>VLOOKUP($B440,DG!A:D,DG!$B$2,)</f>
        <v>0</v>
      </c>
      <c r="F440" s="1080" t="str">
        <f>VLOOKUP($B440,DG!A:D,DG!$C$2,)</f>
        <v>Co  90 độ PVC 114</v>
      </c>
      <c r="G440" s="1079" t="str">
        <f>VLOOKUP($B440,DG!A:D,DG!$D$2,)</f>
        <v>cái</v>
      </c>
      <c r="H440" s="1167">
        <f>2*H427</f>
        <v>0</v>
      </c>
      <c r="I440" s="1259">
        <f t="shared" si="29"/>
        <v>0</v>
      </c>
      <c r="J440" s="1108"/>
      <c r="K440" s="1108"/>
      <c r="L440" s="1082"/>
      <c r="M440" s="975">
        <v>75</v>
      </c>
    </row>
    <row r="441" spans="1:13" s="1083" customFormat="1" ht="25.2" hidden="1" customHeight="1">
      <c r="A441" s="1153">
        <f t="shared" si="28"/>
        <v>0</v>
      </c>
      <c r="B441" s="1329" t="s">
        <v>688</v>
      </c>
      <c r="C441" s="1329"/>
      <c r="D441" s="1110"/>
      <c r="E441" s="1079">
        <f>VLOOKUP($B441,DG!A:D,DG!$B$2,)</f>
        <v>0</v>
      </c>
      <c r="F441" s="1080" t="str">
        <f>VLOOKUP($B441,DG!A:D,DG!$C$2,)</f>
        <v>Nối ống PVC 114</v>
      </c>
      <c r="G441" s="1079" t="str">
        <f>VLOOKUP($B441,DG!A:D,DG!$D$2,)</f>
        <v>cái</v>
      </c>
      <c r="H441" s="1167">
        <f>H427</f>
        <v>0</v>
      </c>
      <c r="I441" s="1259">
        <f t="shared" si="29"/>
        <v>0</v>
      </c>
      <c r="J441" s="1108"/>
      <c r="K441" s="1108"/>
      <c r="L441" s="1082"/>
      <c r="M441" s="975">
        <v>75</v>
      </c>
    </row>
    <row r="442" spans="1:13" s="1083" customFormat="1" ht="25.2" hidden="1" customHeight="1">
      <c r="A442" s="1153">
        <f t="shared" si="28"/>
        <v>0</v>
      </c>
      <c r="B442" s="1329" t="s">
        <v>2173</v>
      </c>
      <c r="C442" s="1329"/>
      <c r="D442" s="1110"/>
      <c r="E442" s="1079">
        <f>VLOOKUP($B442,DG!A:D,DG!$B$2,)</f>
        <v>0</v>
      </c>
      <c r="F442" s="1080" t="str">
        <f>VLOOKUP($B442,DG!A:D,DG!$C$2,)</f>
        <v>Khâu ven răng trong D114</v>
      </c>
      <c r="G442" s="1079" t="str">
        <f>VLOOKUP($B442,DG!A:D,DG!$D$2,)</f>
        <v>cái</v>
      </c>
      <c r="H442" s="1167">
        <f>H441*0</f>
        <v>0</v>
      </c>
      <c r="I442" s="1259">
        <f t="shared" si="29"/>
        <v>0</v>
      </c>
      <c r="J442" s="1108"/>
      <c r="K442" s="1108"/>
      <c r="L442" s="1082"/>
      <c r="M442" s="975">
        <v>75</v>
      </c>
    </row>
    <row r="443" spans="1:13" s="1083" customFormat="1" ht="25.2" hidden="1" customHeight="1">
      <c r="A443" s="1153">
        <f t="shared" si="28"/>
        <v>0</v>
      </c>
      <c r="B443" s="1329" t="s">
        <v>2174</v>
      </c>
      <c r="C443" s="1329"/>
      <c r="D443" s="1110"/>
      <c r="E443" s="1079">
        <f>VLOOKUP($B443,DG!A:D,DG!$B$2,)</f>
        <v>0</v>
      </c>
      <c r="F443" s="1080" t="str">
        <f>VLOOKUP($B443,DG!A:D,DG!$C$2,)</f>
        <v>Khâu ven răng ngoài D114</v>
      </c>
      <c r="G443" s="1079" t="str">
        <f>VLOOKUP($B443,DG!A:D,DG!$D$2,)</f>
        <v>cái</v>
      </c>
      <c r="H443" s="1167">
        <f>H442*0</f>
        <v>0</v>
      </c>
      <c r="I443" s="1259">
        <f t="shared" si="29"/>
        <v>0</v>
      </c>
      <c r="J443" s="1108"/>
      <c r="K443" s="1108"/>
      <c r="L443" s="1082"/>
      <c r="M443" s="975">
        <v>75</v>
      </c>
    </row>
    <row r="444" spans="1:13" s="1083" customFormat="1" ht="25.2" hidden="1" customHeight="1">
      <c r="A444" s="1153">
        <f t="shared" si="28"/>
        <v>0</v>
      </c>
      <c r="B444" s="1329" t="s">
        <v>2080</v>
      </c>
      <c r="C444" s="1329"/>
      <c r="D444" s="1110"/>
      <c r="E444" s="1079">
        <f>VLOOKUP($B444,DG!A:D,DG!$B$2,)</f>
        <v>0</v>
      </c>
      <c r="F444" s="1080" t="str">
        <f>VLOOKUP($B444,DG!A:D,DG!$C$2,)</f>
        <v>Keo dán ống PVC (100gr)</v>
      </c>
      <c r="G444" s="1079" t="str">
        <f>VLOOKUP($B444,DG!A:D,DG!$D$2,)</f>
        <v>tuýp</v>
      </c>
      <c r="H444" s="1167">
        <f>H427</f>
        <v>0</v>
      </c>
      <c r="I444" s="1259">
        <f t="shared" si="29"/>
        <v>0</v>
      </c>
      <c r="J444" s="1108"/>
      <c r="K444" s="1108"/>
      <c r="L444" s="1082"/>
      <c r="M444" s="975">
        <v>75</v>
      </c>
    </row>
    <row r="445" spans="1:13" s="1083" customFormat="1" ht="25.2" hidden="1" customHeight="1">
      <c r="A445" s="1153">
        <f t="shared" si="28"/>
        <v>0</v>
      </c>
      <c r="B445" s="1329" t="s">
        <v>489</v>
      </c>
      <c r="C445" s="1329"/>
      <c r="D445" s="1110"/>
      <c r="E445" s="1079">
        <f>VLOOKUP($B445,DG!A:D,DG!$B$2,)</f>
        <v>0</v>
      </c>
      <c r="F445" s="1080" t="str">
        <f>VLOOKUP($B445,DG!A:D,DG!$C$2,)</f>
        <v>Keo silicon bít miệng ống</v>
      </c>
      <c r="G445" s="1079" t="str">
        <f>VLOOKUP($B445,DG!A:D,DG!$D$2,)</f>
        <v>ống</v>
      </c>
      <c r="H445" s="1167">
        <f>H427</f>
        <v>0</v>
      </c>
      <c r="I445" s="1259">
        <f t="shared" si="29"/>
        <v>0</v>
      </c>
      <c r="J445" s="1108"/>
      <c r="K445" s="1108"/>
      <c r="L445" s="1082"/>
      <c r="M445" s="975">
        <v>75</v>
      </c>
    </row>
    <row r="446" spans="1:13" s="1083" customFormat="1" ht="25.2" hidden="1" customHeight="1">
      <c r="A446" s="1153">
        <f t="shared" si="28"/>
        <v>0</v>
      </c>
      <c r="B446" s="1154" t="s">
        <v>672</v>
      </c>
      <c r="C446" s="1154"/>
      <c r="D446" s="1110"/>
      <c r="E446" s="1188"/>
      <c r="F446" s="1080" t="str">
        <f>VLOOKUP($B446,DG!A:D,DG!$C$2,)</f>
        <v>Băng keo cách điện</v>
      </c>
      <c r="G446" s="1079" t="str">
        <f>VLOOKUP($B446,DG!A:D,DG!$D$2,)</f>
        <v>cuộn</v>
      </c>
      <c r="H446" s="1167">
        <f>H427</f>
        <v>0</v>
      </c>
      <c r="I446" s="1259">
        <f t="shared" si="29"/>
        <v>0</v>
      </c>
      <c r="J446" s="1108"/>
      <c r="K446" s="1108"/>
      <c r="L446" s="1082"/>
      <c r="M446" s="975">
        <v>75</v>
      </c>
    </row>
    <row r="447" spans="1:13" s="1083" customFormat="1" ht="25.2" hidden="1" customHeight="1">
      <c r="A447" s="1153">
        <f t="shared" si="28"/>
        <v>0</v>
      </c>
      <c r="B447" s="1329" t="s">
        <v>1867</v>
      </c>
      <c r="C447" s="1329"/>
      <c r="D447" s="1110"/>
      <c r="E447" s="1079" t="str">
        <f>VLOOKUP($B447,DG!A:D,DG!$B$2,)</f>
        <v>07,2407</v>
      </c>
      <c r="F447" s="1080" t="str">
        <f>VLOOKUP($B447,DG!A:D,DG!$C$2,)</f>
        <v>Lắp ống nhựa PVC D114</v>
      </c>
      <c r="G447" s="1079" t="str">
        <f>VLOOKUP($B447,DG!A:D,DG!$D$2,)</f>
        <v>mét</v>
      </c>
      <c r="H447" s="1167">
        <f>H436</f>
        <v>0</v>
      </c>
      <c r="I447" s="1259">
        <f t="shared" si="29"/>
        <v>0</v>
      </c>
      <c r="J447" s="1108"/>
      <c r="K447" s="1108"/>
      <c r="L447" s="1082"/>
      <c r="M447" s="975">
        <v>75</v>
      </c>
    </row>
    <row r="448" spans="1:13" s="1083" customFormat="1" ht="25.2" hidden="1" customHeight="1">
      <c r="A448" s="1153">
        <f t="shared" si="28"/>
        <v>0</v>
      </c>
      <c r="B448" s="1154" t="s">
        <v>1528</v>
      </c>
      <c r="C448" s="1154"/>
      <c r="D448" s="1110"/>
      <c r="E448" s="1079" t="str">
        <f>VLOOKUP($B448,DG!A:D,DG!$B$2,)</f>
        <v>04.4201</v>
      </c>
      <c r="F448" s="1080" t="str">
        <f>VLOOKUP($B448,DG!A:D,DG!$C$2,)</f>
        <v>Lắp cáp đồng xuống thiết bị D ≤ 95mm2</v>
      </c>
      <c r="G448" s="1079" t="str">
        <f>VLOOKUP($B448,DG!A:D,DG!$D$2,)</f>
        <v>m</v>
      </c>
      <c r="H448" s="1167">
        <f>H429+H430</f>
        <v>0</v>
      </c>
      <c r="I448" s="1259">
        <f t="shared" si="29"/>
        <v>0</v>
      </c>
      <c r="J448" s="1108"/>
      <c r="K448" s="1108"/>
      <c r="L448" s="1082"/>
      <c r="M448" s="975">
        <v>75</v>
      </c>
    </row>
    <row r="449" spans="1:14" s="1083" customFormat="1" ht="25.2" hidden="1" customHeight="1">
      <c r="A449" s="1153">
        <f t="shared" si="28"/>
        <v>0</v>
      </c>
      <c r="B449" s="1329" t="s">
        <v>289</v>
      </c>
      <c r="C449" s="1329"/>
      <c r="D449" s="1170">
        <f>IF(H449&gt;0,D427+1,D427)</f>
        <v>0</v>
      </c>
      <c r="E449" s="1189"/>
      <c r="F449" s="1080" t="str">
        <f>VLOOKUP($B449,DG!A:D,DG!$C$2,)</f>
        <v>Bảng tên trạm, bảng báo nguy hiểm + đinh vít</v>
      </c>
      <c r="G449" s="1079" t="str">
        <f>VLOOKUP($B449,DG!A:D,DG!$D$2,)</f>
        <v>bộ</v>
      </c>
      <c r="H449" s="1846">
        <f>H394</f>
        <v>0</v>
      </c>
      <c r="I449" s="1259">
        <f t="shared" si="29"/>
        <v>0</v>
      </c>
      <c r="J449" s="1108"/>
      <c r="K449" s="1108"/>
      <c r="L449" s="1098"/>
      <c r="M449" s="975">
        <v>75</v>
      </c>
    </row>
    <row r="450" spans="1:14" s="1083" customFormat="1" ht="25.2" hidden="1" customHeight="1">
      <c r="A450" s="1153">
        <f t="shared" si="28"/>
        <v>0</v>
      </c>
      <c r="B450" s="1324"/>
      <c r="C450" s="1324"/>
      <c r="D450" s="1190"/>
      <c r="E450" s="1191"/>
      <c r="F450" s="1069"/>
      <c r="G450" s="1192"/>
      <c r="H450" s="1847"/>
      <c r="I450" s="1259">
        <f t="shared" si="29"/>
        <v>0</v>
      </c>
      <c r="J450" s="1193"/>
      <c r="K450" s="1194"/>
      <c r="L450" s="1136"/>
      <c r="M450" s="975"/>
    </row>
    <row r="451" spans="1:14" s="1083" customFormat="1" ht="25.2" hidden="1" customHeight="1">
      <c r="A451" s="1153">
        <f t="shared" si="28"/>
        <v>0</v>
      </c>
      <c r="B451" s="1324"/>
      <c r="C451" s="1324"/>
      <c r="D451" s="1161"/>
      <c r="E451" s="1200"/>
      <c r="F451" s="1201"/>
      <c r="H451" s="1880"/>
      <c r="I451" s="1259">
        <f t="shared" si="29"/>
        <v>0</v>
      </c>
      <c r="M451" s="975"/>
    </row>
    <row r="452" spans="1:14" s="1083" customFormat="1" ht="25.2" hidden="1" customHeight="1">
      <c r="A452" s="1153">
        <f t="shared" si="28"/>
        <v>0</v>
      </c>
      <c r="B452" s="1319"/>
      <c r="C452" s="1319"/>
      <c r="D452" s="1134" t="str">
        <f>"BAÛNG TOÅNG HÔÏP VAÄT LIEÄU, NHAÂN COÂNG, MAÙY THI COÂNG : "&amp;I11&amp;   "TRAÏM_1P100KVA  CAÙP XUAÁT 1P 2W"</f>
        <v>BAÛNG TOÅNG HÔÏP VAÄT LIEÄU, NHAÂN COÂNG, MAÙY THI COÂNG : TRAÏM_1P100KVA  CAÙP XUAÁT 1P 2W</v>
      </c>
      <c r="E452" s="1195"/>
      <c r="F452" s="1100"/>
      <c r="G452" s="1100"/>
      <c r="H452" s="1848"/>
      <c r="I452" s="1259">
        <f t="shared" si="29"/>
        <v>0</v>
      </c>
      <c r="J452" s="1100"/>
      <c r="K452" s="1100"/>
      <c r="L452" s="975"/>
      <c r="M452" s="975"/>
    </row>
    <row r="453" spans="1:14" s="1083" customFormat="1" ht="25.2" hidden="1" customHeight="1">
      <c r="A453" s="1153">
        <f t="shared" si="28"/>
        <v>0</v>
      </c>
      <c r="B453" s="1324"/>
      <c r="C453" s="1324"/>
      <c r="D453" s="1156"/>
      <c r="E453" s="1157"/>
      <c r="F453" s="1069" t="s">
        <v>3690</v>
      </c>
      <c r="G453" s="1159"/>
      <c r="H453" s="1843"/>
      <c r="I453" s="1259">
        <f t="shared" si="29"/>
        <v>0</v>
      </c>
      <c r="J453" s="1159"/>
      <c r="K453" s="1159"/>
      <c r="L453" s="1136"/>
      <c r="M453" s="975">
        <v>100</v>
      </c>
    </row>
    <row r="454" spans="1:14" s="1083" customFormat="1" ht="25.2" hidden="1" customHeight="1">
      <c r="A454" s="1153">
        <f t="shared" si="28"/>
        <v>0</v>
      </c>
      <c r="B454" s="1325" t="s">
        <v>503</v>
      </c>
      <c r="C454" s="1325"/>
      <c r="D454" s="1090">
        <f>IF(H454&gt;0,1,0)</f>
        <v>0</v>
      </c>
      <c r="E454" s="1079" t="str">
        <f>VLOOKUP($B454,DG!A:D,DG!$B$2,)</f>
        <v>01.1164</v>
      </c>
      <c r="F454" s="1080" t="str">
        <f>VLOOKUP($B454,DG!A:D,DG!$C$2,)</f>
        <v>Máy biến áp 12,7/0,22-0,44kV  100kVA</v>
      </c>
      <c r="G454" s="1079" t="str">
        <f>VLOOKUP($B454,DG!A:D,DG!$D$2,)</f>
        <v>máy</v>
      </c>
      <c r="H454" s="1849">
        <f>I11</f>
        <v>0</v>
      </c>
      <c r="I454" s="1259">
        <f t="shared" si="29"/>
        <v>0</v>
      </c>
      <c r="J454" s="1108"/>
      <c r="K454" s="1108"/>
      <c r="L454" s="1082"/>
      <c r="M454" s="975">
        <v>100</v>
      </c>
    </row>
    <row r="455" spans="1:14" s="1083" customFormat="1" ht="25.2" hidden="1" customHeight="1">
      <c r="A455" s="1153">
        <f t="shared" si="28"/>
        <v>0</v>
      </c>
      <c r="B455" s="1325" t="s">
        <v>1655</v>
      </c>
      <c r="C455" s="1325"/>
      <c r="D455" s="1090">
        <f t="shared" ref="D455:D462" si="32">IF(H455&gt;0,D454+1,D454)</f>
        <v>0</v>
      </c>
      <c r="E455" s="1079" t="str">
        <f>VLOOKUP($B455,DG!A:D,DG!$B$2,)</f>
        <v>02.3155</v>
      </c>
      <c r="F455" s="1080" t="str">
        <f>VLOOKUP($B455,DG!A:D,DG!$C$2,)</f>
        <v>FCO 27kV - 100A</v>
      </c>
      <c r="G455" s="1079" t="str">
        <f>VLOOKUP($B455,DG!A:D,DG!$D$2,)</f>
        <v>cái</v>
      </c>
      <c r="H455" s="1167">
        <f>H454</f>
        <v>0</v>
      </c>
      <c r="I455" s="1259">
        <f t="shared" si="29"/>
        <v>0</v>
      </c>
      <c r="J455" s="1108"/>
      <c r="K455" s="1108"/>
      <c r="L455" s="1082"/>
      <c r="M455" s="975">
        <v>100</v>
      </c>
    </row>
    <row r="456" spans="1:14" s="1083" customFormat="1" ht="25.2" hidden="1" customHeight="1">
      <c r="A456" s="1153">
        <f t="shared" si="28"/>
        <v>0</v>
      </c>
      <c r="B456" s="1325" t="s">
        <v>1146</v>
      </c>
      <c r="C456" s="1325"/>
      <c r="D456" s="1090">
        <f t="shared" si="32"/>
        <v>0</v>
      </c>
      <c r="E456" s="1079">
        <f>VLOOKUP($B456,DG!A:D,DG!$B$2,)</f>
        <v>0</v>
      </c>
      <c r="F456" s="1080" t="str">
        <f>VLOOKUP($B456,DG!A:D,DG!$C$2,)</f>
        <v>Dây chảy 10K</v>
      </c>
      <c r="G456" s="1079" t="str">
        <f>VLOOKUP($B456,DG!A:D,DG!$D$2,)</f>
        <v>Sợi</v>
      </c>
      <c r="H456" s="1167">
        <f>H455</f>
        <v>0</v>
      </c>
      <c r="I456" s="1259">
        <f t="shared" si="29"/>
        <v>0</v>
      </c>
      <c r="J456" s="1108"/>
      <c r="K456" s="1108"/>
      <c r="L456" s="1082"/>
      <c r="M456" s="975">
        <v>100</v>
      </c>
    </row>
    <row r="457" spans="1:14" s="1083" customFormat="1" ht="25.2" hidden="1" customHeight="1">
      <c r="A457" s="1153">
        <f t="shared" si="28"/>
        <v>0</v>
      </c>
      <c r="B457" s="1319" t="s">
        <v>1376</v>
      </c>
      <c r="C457" s="1319"/>
      <c r="D457" s="1090">
        <f t="shared" si="32"/>
        <v>0</v>
      </c>
      <c r="E457" s="1079" t="str">
        <f>VLOOKUP($B457,DG!A:D,DG!$B$2,)</f>
        <v>02.5114</v>
      </c>
      <c r="F457" s="1080" t="str">
        <f>VLOOKUP($B457,DG!A:D,DG!$C$2,)</f>
        <v>Chống sét van LA-18KV-10KA</v>
      </c>
      <c r="G457" s="1079" t="str">
        <f>VLOOKUP($B457,DG!A:D,DG!$D$2,)</f>
        <v>cái</v>
      </c>
      <c r="H457" s="1167">
        <f>H456</f>
        <v>0</v>
      </c>
      <c r="I457" s="1259">
        <f t="shared" si="29"/>
        <v>0</v>
      </c>
      <c r="J457" s="1108"/>
      <c r="K457" s="1108"/>
      <c r="L457" s="1082"/>
      <c r="M457" s="975">
        <v>100</v>
      </c>
    </row>
    <row r="458" spans="1:14" s="1083" customFormat="1" ht="25.2" hidden="1" customHeight="1">
      <c r="A458" s="1153">
        <f t="shared" si="28"/>
        <v>0</v>
      </c>
      <c r="B458" s="1326" t="s">
        <v>1116</v>
      </c>
      <c r="C458" s="1326"/>
      <c r="D458" s="1090">
        <f t="shared" si="32"/>
        <v>0</v>
      </c>
      <c r="E458" s="1079">
        <f>VLOOKUP($B458,DG!A:D,DG!$B$2,)</f>
        <v>0</v>
      </c>
      <c r="F458" s="1080" t="str">
        <f>VLOOKUP($B458,DG!A:D,DG!$C$2,)</f>
        <v xml:space="preserve">Biến dòng 600V - 200/5A </v>
      </c>
      <c r="G458" s="1079" t="str">
        <f>VLOOKUP($B458,DG!A:D,DG!$D$2,)</f>
        <v>cái</v>
      </c>
      <c r="H458" s="1167"/>
      <c r="I458" s="1259">
        <f t="shared" si="29"/>
        <v>0</v>
      </c>
      <c r="J458" s="1108"/>
      <c r="K458" s="1108"/>
      <c r="L458" s="1082"/>
      <c r="M458" s="975">
        <v>100</v>
      </c>
    </row>
    <row r="459" spans="1:14" s="1083" customFormat="1" ht="25.2" hidden="1" customHeight="1">
      <c r="A459" s="1153">
        <f t="shared" si="28"/>
        <v>0</v>
      </c>
      <c r="B459" s="1327" t="s">
        <v>1462</v>
      </c>
      <c r="C459" s="1327"/>
      <c r="D459" s="1090">
        <f t="shared" si="32"/>
        <v>0</v>
      </c>
      <c r="E459" s="1079" t="str">
        <f>VLOOKUP($B459,DG!A:D,DG!$B$2,)</f>
        <v>02.8403</v>
      </c>
      <c r="F459" s="1080" t="str">
        <f>VLOOKUP($B459,DG!A:D,DG!$C$2,)</f>
        <v>MCCB 3 cực 400V -500A - 50KA</v>
      </c>
      <c r="G459" s="1079" t="str">
        <f>VLOOKUP($B459,DG!A:D,DG!$D$2,)</f>
        <v>cái</v>
      </c>
      <c r="H459" s="1167">
        <f>H454</f>
        <v>0</v>
      </c>
      <c r="I459" s="1259">
        <f t="shared" si="29"/>
        <v>0</v>
      </c>
      <c r="J459" s="1108"/>
      <c r="K459" s="1108"/>
      <c r="L459" s="1110"/>
      <c r="M459" s="975">
        <v>100</v>
      </c>
    </row>
    <row r="460" spans="1:14" s="1083" customFormat="1" ht="25.2" hidden="1" customHeight="1">
      <c r="A460" s="1153">
        <f t="shared" si="28"/>
        <v>0</v>
      </c>
      <c r="B460" s="1331" t="s">
        <v>287</v>
      </c>
      <c r="C460" s="1331"/>
      <c r="D460" s="1090">
        <f t="shared" si="32"/>
        <v>1</v>
      </c>
      <c r="E460" s="1079">
        <f>VLOOKUP($B460,DG!A:D,DG!$B$2,)</f>
        <v>0</v>
      </c>
      <c r="F460" s="1080" t="str">
        <f>VLOOKUP($B460,DG!A:D,DG!$C$2,)</f>
        <v>Điện kế 1 pha 2 dây 220V-5A</v>
      </c>
      <c r="G460" s="1079" t="str">
        <f>VLOOKUP($B460,DG!A:D,DG!$D$2,)</f>
        <v>cái</v>
      </c>
      <c r="H460" s="1167">
        <v>1</v>
      </c>
      <c r="I460" s="1259">
        <f t="shared" si="29"/>
        <v>0</v>
      </c>
      <c r="J460" s="1108"/>
      <c r="K460" s="1108"/>
      <c r="L460" s="1110" t="s">
        <v>2609</v>
      </c>
      <c r="M460" s="975">
        <v>100</v>
      </c>
      <c r="N460" s="1083">
        <f>100/0.2</f>
        <v>500</v>
      </c>
    </row>
    <row r="461" spans="1:14" s="1083" customFormat="1" ht="25.2" hidden="1" customHeight="1">
      <c r="A461" s="1153">
        <f t="shared" si="28"/>
        <v>0</v>
      </c>
      <c r="B461" s="1324" t="s">
        <v>199</v>
      </c>
      <c r="C461" s="1324"/>
      <c r="D461" s="1090">
        <f t="shared" si="32"/>
        <v>1</v>
      </c>
      <c r="E461" s="1079">
        <f>VLOOKUP($B461,DG!A:D,DG!$B$2,)</f>
        <v>0</v>
      </c>
      <c r="F461" s="1080" t="str">
        <f>VLOOKUP($B461,DG!A:D,DG!$C$2,)</f>
        <v xml:space="preserve">Ampe kế 100/5A-600v +AS </v>
      </c>
      <c r="G461" s="1079" t="str">
        <f>VLOOKUP($B461,DG!A:D,DG!$D$2,)</f>
        <v>Bộ</v>
      </c>
      <c r="H461" s="1167">
        <f>H460*0</f>
        <v>0</v>
      </c>
      <c r="I461" s="1259">
        <f t="shared" si="29"/>
        <v>0</v>
      </c>
      <c r="J461" s="1108"/>
      <c r="K461" s="1108"/>
      <c r="L461" s="1082"/>
      <c r="M461" s="975">
        <v>100</v>
      </c>
    </row>
    <row r="462" spans="1:14" s="1083" customFormat="1" ht="25.2" hidden="1" customHeight="1">
      <c r="A462" s="1153">
        <f t="shared" si="28"/>
        <v>0</v>
      </c>
      <c r="B462" s="1324" t="s">
        <v>200</v>
      </c>
      <c r="C462" s="1324"/>
      <c r="D462" s="1090">
        <f t="shared" si="32"/>
        <v>1</v>
      </c>
      <c r="E462" s="1079">
        <f>VLOOKUP($B462,DG!A:D,DG!$B$2,)</f>
        <v>0</v>
      </c>
      <c r="F462" s="1080" t="str">
        <f>VLOOKUP($B462,DG!A:D,DG!$C$2,)</f>
        <v>Volt kế 500V + VS + 2xChì ống 1A-230V</v>
      </c>
      <c r="G462" s="1079" t="str">
        <f>VLOOKUP($B462,DG!A:D,DG!$D$2,)</f>
        <v>Bộ</v>
      </c>
      <c r="H462" s="1167">
        <f>H461*0</f>
        <v>0</v>
      </c>
      <c r="I462" s="1259">
        <f t="shared" si="29"/>
        <v>0</v>
      </c>
      <c r="J462" s="1108"/>
      <c r="K462" s="1108"/>
      <c r="L462" s="1098"/>
      <c r="M462" s="975">
        <v>100</v>
      </c>
    </row>
    <row r="463" spans="1:14" s="1083" customFormat="1" ht="25.2" hidden="1" customHeight="1">
      <c r="A463" s="1153">
        <f t="shared" si="28"/>
        <v>0</v>
      </c>
      <c r="B463" s="1324"/>
      <c r="C463" s="1324"/>
      <c r="D463" s="1107"/>
      <c r="E463" s="1179"/>
      <c r="F463" s="1160"/>
      <c r="G463" s="1107"/>
      <c r="H463" s="1202"/>
      <c r="I463" s="1259">
        <f t="shared" si="29"/>
        <v>0</v>
      </c>
      <c r="J463" s="1160"/>
      <c r="K463" s="1107"/>
      <c r="L463" s="1136"/>
      <c r="M463" s="975">
        <v>100</v>
      </c>
    </row>
    <row r="464" spans="1:14" s="1083" customFormat="1" ht="25.2" hidden="1" customHeight="1">
      <c r="A464" s="1153">
        <f t="shared" si="28"/>
        <v>0</v>
      </c>
      <c r="B464" s="1324"/>
      <c r="C464" s="1324"/>
      <c r="D464" s="1181"/>
      <c r="E464" s="1182"/>
      <c r="F464" s="1069" t="s">
        <v>3691</v>
      </c>
      <c r="G464" s="1069"/>
      <c r="H464" s="1843"/>
      <c r="I464" s="1259">
        <f t="shared" si="29"/>
        <v>0</v>
      </c>
      <c r="J464" s="1069"/>
      <c r="K464" s="1069"/>
      <c r="L464" s="1136"/>
      <c r="M464" s="975">
        <v>100</v>
      </c>
    </row>
    <row r="465" spans="1:14" s="1083" customFormat="1" ht="25.2" hidden="1" customHeight="1">
      <c r="A465" s="1153">
        <f t="shared" si="28"/>
        <v>0</v>
      </c>
      <c r="B465" s="1324" t="s">
        <v>1613</v>
      </c>
      <c r="C465" s="1324"/>
      <c r="D465" s="1183">
        <f>IF(H477&gt;0,1,0)</f>
        <v>0</v>
      </c>
      <c r="E465" s="1185"/>
      <c r="F465" s="1080" t="str">
        <f>VLOOKUP($B465,DG!A:D,DG!$C$2,)</f>
        <v>Boulon 16x300+ 2 long đền vuông D18-50x50x3/Zn</v>
      </c>
      <c r="G465" s="1079" t="str">
        <f>VLOOKUP($B465,DG!A:D,DG!$D$2,)</f>
        <v>bộ</v>
      </c>
      <c r="H465" s="1845">
        <f>2*SUM(H454:H454)</f>
        <v>0</v>
      </c>
      <c r="I465" s="1259">
        <f t="shared" si="29"/>
        <v>0</v>
      </c>
      <c r="J465" s="1108"/>
      <c r="K465" s="1108"/>
      <c r="L465" s="1196"/>
      <c r="M465" s="975">
        <v>100</v>
      </c>
    </row>
    <row r="466" spans="1:14" s="1083" customFormat="1" ht="25.2" hidden="1" customHeight="1">
      <c r="A466" s="1153">
        <f t="shared" si="28"/>
        <v>0</v>
      </c>
      <c r="B466" s="1324"/>
      <c r="C466" s="1324"/>
      <c r="D466" s="1078">
        <f>IF(H466&gt;0,D465+1,D465)</f>
        <v>0</v>
      </c>
      <c r="E466" s="1185"/>
      <c r="F466" s="1186" t="s">
        <v>3692</v>
      </c>
      <c r="G466" s="1166" t="s">
        <v>2391</v>
      </c>
      <c r="H466" s="1845">
        <f>H454*0</f>
        <v>0</v>
      </c>
      <c r="I466" s="1259">
        <f t="shared" si="29"/>
        <v>0</v>
      </c>
      <c r="J466" s="1131"/>
      <c r="K466" s="1131"/>
      <c r="L466" s="1110"/>
      <c r="M466" s="975">
        <v>100</v>
      </c>
    </row>
    <row r="467" spans="1:14" s="1083" customFormat="1" ht="25.2" hidden="1" customHeight="1">
      <c r="A467" s="1153">
        <f t="shared" si="28"/>
        <v>0</v>
      </c>
      <c r="B467" s="1324"/>
      <c r="C467" s="1324"/>
      <c r="D467" s="1166"/>
      <c r="E467" s="1185"/>
      <c r="F467" s="1364" t="s">
        <v>2285</v>
      </c>
      <c r="G467" s="1110"/>
      <c r="H467" s="1167"/>
      <c r="I467" s="1259">
        <f t="shared" si="29"/>
        <v>0</v>
      </c>
      <c r="J467" s="1131"/>
      <c r="K467" s="1131"/>
      <c r="L467" s="1110"/>
      <c r="M467" s="975">
        <v>100</v>
      </c>
      <c r="N467" s="1187"/>
    </row>
    <row r="468" spans="1:14" s="1083" customFormat="1" ht="25.2" hidden="1" customHeight="1">
      <c r="A468" s="1153">
        <f t="shared" si="28"/>
        <v>0</v>
      </c>
      <c r="B468" s="1154" t="s">
        <v>115</v>
      </c>
      <c r="C468" s="1154"/>
      <c r="D468" s="1110"/>
      <c r="E468" s="1079">
        <f>VLOOKUP($B468,DG!A:D,DG!$B$2,)</f>
        <v>0</v>
      </c>
      <c r="F468" s="1080" t="str">
        <f>VLOOKUP($B468,DG!A:D,DG!$C$2,)</f>
        <v>Trụ BTLT 12m F350 dự ứng lực</v>
      </c>
      <c r="G468" s="1079" t="str">
        <f>VLOOKUP($B468,DG!A:D,DG!$D$2,)</f>
        <v>trụ</v>
      </c>
      <c r="H468" s="1167">
        <f>1*H466</f>
        <v>0</v>
      </c>
      <c r="I468" s="1259">
        <f t="shared" si="29"/>
        <v>0</v>
      </c>
      <c r="J468" s="1108"/>
      <c r="K468" s="1108"/>
      <c r="L468" s="1110"/>
      <c r="M468" s="975">
        <v>100</v>
      </c>
      <c r="N468" s="1187"/>
    </row>
    <row r="469" spans="1:14" s="1083" customFormat="1" ht="25.2" hidden="1" customHeight="1">
      <c r="A469" s="1153">
        <f t="shared" si="28"/>
        <v>0</v>
      </c>
      <c r="B469" s="1154" t="s">
        <v>1818</v>
      </c>
      <c r="C469" s="1154"/>
      <c r="D469" s="1110"/>
      <c r="E469" s="1188"/>
      <c r="F469" s="1080" t="str">
        <f>VLOOKUP($B469,DG!A:D,DG!$C$2,)</f>
        <v>Vật liệu dựng trụ</v>
      </c>
      <c r="G469" s="1079" t="str">
        <f>VLOOKUP($B469,DG!A:D,DG!$D$2,)</f>
        <v>trụ</v>
      </c>
      <c r="H469" s="1167">
        <f>H468</f>
        <v>0</v>
      </c>
      <c r="I469" s="1259">
        <f t="shared" si="29"/>
        <v>0</v>
      </c>
      <c r="J469" s="1108"/>
      <c r="K469" s="1108"/>
      <c r="L469" s="1110"/>
      <c r="M469" s="975">
        <v>100</v>
      </c>
      <c r="N469" s="1187"/>
    </row>
    <row r="470" spans="1:14" s="1083" customFormat="1" ht="25.2" hidden="1" customHeight="1">
      <c r="A470" s="1153">
        <f t="shared" si="28"/>
        <v>0</v>
      </c>
      <c r="B470" s="1154" t="s">
        <v>2132</v>
      </c>
      <c r="C470" s="1154"/>
      <c r="D470" s="1110"/>
      <c r="E470" s="1188"/>
      <c r="F470" s="1080" t="str">
        <f>VLOOKUP($B470,DG!A:D,DG!$C$2,)</f>
        <v>Dựng trụ BTLT 12m trong TBA bằng thủ công + cơ giới</v>
      </c>
      <c r="G470" s="1079" t="str">
        <f>VLOOKUP($B470,DG!A:D,DG!$D$2,)</f>
        <v>trụ</v>
      </c>
      <c r="H470" s="1167">
        <f>H468</f>
        <v>0</v>
      </c>
      <c r="I470" s="1259">
        <f t="shared" si="29"/>
        <v>0</v>
      </c>
      <c r="J470" s="1108"/>
      <c r="K470" s="1108"/>
      <c r="L470" s="1110"/>
      <c r="M470" s="975">
        <v>100</v>
      </c>
      <c r="N470" s="1187"/>
    </row>
    <row r="471" spans="1:14" s="1083" customFormat="1" ht="25.2" hidden="1" customHeight="1">
      <c r="A471" s="1153">
        <f t="shared" si="28"/>
        <v>0</v>
      </c>
      <c r="B471" s="1324"/>
      <c r="C471" s="1324"/>
      <c r="D471" s="1078">
        <f>IF(H471&gt;0,D466+1,D466)</f>
        <v>0</v>
      </c>
      <c r="E471" s="1185"/>
      <c r="F471" s="1186" t="s">
        <v>2358</v>
      </c>
      <c r="G471" s="1166" t="s">
        <v>2391</v>
      </c>
      <c r="H471" s="1845">
        <f>H466</f>
        <v>0</v>
      </c>
      <c r="I471" s="1259">
        <f t="shared" si="29"/>
        <v>0</v>
      </c>
      <c r="J471" s="1131"/>
      <c r="K471" s="1131"/>
      <c r="L471" s="1110"/>
      <c r="M471" s="975">
        <v>100</v>
      </c>
    </row>
    <row r="472" spans="1:14" s="1083" customFormat="1" ht="25.2" hidden="1" customHeight="1">
      <c r="A472" s="1153">
        <f t="shared" si="28"/>
        <v>0</v>
      </c>
      <c r="B472" s="1324"/>
      <c r="C472" s="1324"/>
      <c r="D472" s="1166"/>
      <c r="E472" s="1185"/>
      <c r="F472" s="1364" t="s">
        <v>2285</v>
      </c>
      <c r="G472" s="1110"/>
      <c r="H472" s="1167"/>
      <c r="I472" s="1259">
        <f t="shared" si="29"/>
        <v>0</v>
      </c>
      <c r="J472" s="1131"/>
      <c r="K472" s="1131"/>
      <c r="L472" s="1110"/>
      <c r="M472" s="975">
        <v>100</v>
      </c>
      <c r="N472" s="1187"/>
    </row>
    <row r="473" spans="1:14" s="1083" customFormat="1" ht="25.2" hidden="1" customHeight="1">
      <c r="A473" s="1153">
        <f t="shared" si="28"/>
        <v>0</v>
      </c>
      <c r="B473" s="1331" t="s">
        <v>636</v>
      </c>
      <c r="C473" s="1331"/>
      <c r="D473" s="1110"/>
      <c r="E473" s="1079" t="str">
        <f>VLOOKUP($B473,DG!A:D,DG!$B$2,)</f>
        <v>04.4001</v>
      </c>
      <c r="F473" s="1080" t="str">
        <f>VLOOKUP($B473,DG!A:D,DG!$C$2,)</f>
        <v>Đà cản BTCT 1,2m</v>
      </c>
      <c r="G473" s="1079" t="str">
        <f>VLOOKUP($B473,DG!A:D,DG!$D$2,)</f>
        <v>cái</v>
      </c>
      <c r="H473" s="1167">
        <f>1*H471</f>
        <v>0</v>
      </c>
      <c r="I473" s="1259">
        <f t="shared" si="29"/>
        <v>0</v>
      </c>
      <c r="J473" s="1108"/>
      <c r="K473" s="1108"/>
      <c r="L473" s="1110"/>
      <c r="M473" s="975">
        <v>100</v>
      </c>
      <c r="N473" s="1187"/>
    </row>
    <row r="474" spans="1:14" s="1083" customFormat="1" ht="25.2" hidden="1" customHeight="1">
      <c r="A474" s="1153">
        <f t="shared" ref="A474:A537" si="33">IF(I474&gt;0,1,0)</f>
        <v>0</v>
      </c>
      <c r="B474" s="1331" t="s">
        <v>566</v>
      </c>
      <c r="C474" s="1331"/>
      <c r="D474" s="1110"/>
      <c r="E474" s="1079">
        <f>VLOOKUP($B474,DG!A:D,DG!$B$2,)</f>
        <v>0</v>
      </c>
      <c r="F474" s="1080" t="str">
        <f>VLOOKUP($B474,DG!A:D,DG!$C$2,)</f>
        <v>Boulon 22x650+ 2 long đền vuông D24-50x50x3/Zn</v>
      </c>
      <c r="G474" s="1079" t="str">
        <f>VLOOKUP($B474,DG!A:D,DG!$D$2,)</f>
        <v>bộ</v>
      </c>
      <c r="H474" s="1167">
        <f>H471</f>
        <v>0</v>
      </c>
      <c r="I474" s="1259">
        <f t="shared" si="29"/>
        <v>0</v>
      </c>
      <c r="J474" s="1108"/>
      <c r="K474" s="1108"/>
      <c r="L474" s="1110"/>
      <c r="M474" s="975">
        <v>100</v>
      </c>
      <c r="N474" s="1187"/>
    </row>
    <row r="475" spans="1:14" s="1083" customFormat="1" ht="25.2" hidden="1" customHeight="1">
      <c r="A475" s="1153">
        <f t="shared" si="33"/>
        <v>0</v>
      </c>
      <c r="B475" s="1331" t="str">
        <f>IF(chitiet!G5=1,"MDD1",IF(chitiet!G5=2,"MDD2",IF(chitiet!G5=3,"MDD3",IF(chitiet!G5=4,"MDD4"))))</f>
        <v>MDD3</v>
      </c>
      <c r="C475" s="1331"/>
      <c r="D475" s="1110"/>
      <c r="E475" s="1079" t="str">
        <f>VLOOKUP($B475,DG!A:D,DG!$B$2,)</f>
        <v>03.1013</v>
      </c>
      <c r="F475" s="1080" t="str">
        <f>VLOOKUP($B475,DG!A:D,DG!$C$2,)</f>
        <v>Đào hố móng đất cấp 3 sâu &gt;1m</v>
      </c>
      <c r="G475" s="1079" t="str">
        <f>VLOOKUP($B475,DG!A:D,DG!$D$2,)</f>
        <v>m3</v>
      </c>
      <c r="H475" s="1167">
        <f>H471*1.45</f>
        <v>0</v>
      </c>
      <c r="I475" s="1259">
        <f t="shared" si="29"/>
        <v>0</v>
      </c>
      <c r="J475" s="1108"/>
      <c r="K475" s="1108"/>
      <c r="L475" s="1110"/>
      <c r="M475" s="975">
        <v>100</v>
      </c>
      <c r="N475" s="1187"/>
    </row>
    <row r="476" spans="1:14" s="1083" customFormat="1" ht="25.2" hidden="1" customHeight="1">
      <c r="A476" s="1153">
        <f t="shared" si="33"/>
        <v>0</v>
      </c>
      <c r="B476" s="1331" t="str">
        <f>IF(chitiet!G5=1,"MDAP1",IF(chitiet!G5=2,"MDAP2",IF(chitiet!G5=3,"MDAP3",IF(chitiet!G5=4,"MDAP4"))))</f>
        <v>MDAP3</v>
      </c>
      <c r="C476" s="1331"/>
      <c r="D476" s="1110"/>
      <c r="E476" s="1079" t="str">
        <f>VLOOKUP($B476,DG!A:D,DG!$B$2,)</f>
        <v>03.4113</v>
      </c>
      <c r="F476" s="1080" t="str">
        <f>VLOOKUP($B476,DG!A:D,DG!$C$2,)</f>
        <v>Đắp đất hố móng, độ chặt k=0,95</v>
      </c>
      <c r="G476" s="1079" t="str">
        <f>VLOOKUP($B476,DG!A:D,DG!$D$2,)</f>
        <v>m3</v>
      </c>
      <c r="H476" s="1167">
        <f>H471*1.37</f>
        <v>0</v>
      </c>
      <c r="I476" s="1259">
        <f t="shared" si="29"/>
        <v>0</v>
      </c>
      <c r="J476" s="1108"/>
      <c r="K476" s="1108"/>
      <c r="L476" s="1110"/>
      <c r="M476" s="975">
        <v>100</v>
      </c>
      <c r="N476" s="1187"/>
    </row>
    <row r="477" spans="1:14" s="1083" customFormat="1" ht="25.2" hidden="1" customHeight="1">
      <c r="A477" s="1153">
        <f t="shared" si="33"/>
        <v>0</v>
      </c>
      <c r="B477" s="1324"/>
      <c r="C477" s="1324"/>
      <c r="D477" s="1078">
        <f>IF(H477&gt;0,D471+1,D471)</f>
        <v>0</v>
      </c>
      <c r="E477" s="1185"/>
      <c r="F477" s="1197" t="s">
        <v>3693</v>
      </c>
      <c r="G477" s="1166" t="s">
        <v>2391</v>
      </c>
      <c r="H477" s="1845">
        <f>SUM(H454:H454)</f>
        <v>0</v>
      </c>
      <c r="I477" s="1259">
        <f t="shared" si="29"/>
        <v>0</v>
      </c>
      <c r="J477" s="1108"/>
      <c r="K477" s="1108"/>
      <c r="L477" s="1082"/>
      <c r="M477" s="975">
        <v>100</v>
      </c>
    </row>
    <row r="478" spans="1:14" s="1083" customFormat="1" ht="25.2" hidden="1" customHeight="1">
      <c r="A478" s="1153">
        <f t="shared" si="33"/>
        <v>0</v>
      </c>
      <c r="B478" s="1324"/>
      <c r="C478" s="1324"/>
      <c r="D478" s="1166"/>
      <c r="E478" s="1185"/>
      <c r="F478" s="1365" t="s">
        <v>2285</v>
      </c>
      <c r="G478" s="1110"/>
      <c r="H478" s="1167"/>
      <c r="I478" s="1259">
        <f t="shared" si="29"/>
        <v>0</v>
      </c>
      <c r="J478" s="1108"/>
      <c r="K478" s="1108"/>
      <c r="L478" s="1082"/>
      <c r="M478" s="975">
        <v>100</v>
      </c>
    </row>
    <row r="479" spans="1:14" s="1083" customFormat="1" ht="25.2" hidden="1" customHeight="1">
      <c r="A479" s="1153">
        <f t="shared" si="33"/>
        <v>0</v>
      </c>
      <c r="B479" s="1324" t="s">
        <v>362</v>
      </c>
      <c r="C479" s="1324"/>
      <c r="D479" s="1110"/>
      <c r="E479" s="1079">
        <f>VLOOKUP($B479,DG!A:D,DG!$B$2,)</f>
        <v>0</v>
      </c>
      <c r="F479" s="1080" t="str">
        <f>VLOOKUP($B479,DG!A:D,DG!$C$2,)</f>
        <v>Xà composite 110x800x5</v>
      </c>
      <c r="G479" s="1079" t="str">
        <f>VLOOKUP($B479,DG!A:D,DG!$D$2,)</f>
        <v>cái</v>
      </c>
      <c r="H479" s="1167">
        <v>1</v>
      </c>
      <c r="I479" s="1259">
        <f t="shared" ref="I479:I480" si="34">IF(M479=$M$23,H479+J479-K479,0)</f>
        <v>0</v>
      </c>
      <c r="J479" s="1108"/>
      <c r="K479" s="1108"/>
      <c r="L479" s="1082"/>
      <c r="M479" s="975">
        <v>100</v>
      </c>
    </row>
    <row r="480" spans="1:14" s="1083" customFormat="1" ht="25.2" hidden="1" customHeight="1">
      <c r="A480" s="1153">
        <f t="shared" si="33"/>
        <v>0</v>
      </c>
      <c r="B480" s="1324" t="s">
        <v>4765</v>
      </c>
      <c r="C480" s="1324"/>
      <c r="D480" s="1110"/>
      <c r="E480" s="1079">
        <f>VLOOKUP($B480,DG!A:D,DG!$B$2,)</f>
        <v>0</v>
      </c>
      <c r="F480" s="1080" t="str">
        <f>VLOOKUP($B480,DG!A:D,DG!$C$2,)</f>
        <v>Thanh chống Composite 10x40x720</v>
      </c>
      <c r="G480" s="1079" t="str">
        <f>VLOOKUP($B480,DG!A:D,DG!$D$2,)</f>
        <v>cái</v>
      </c>
      <c r="H480" s="1167">
        <v>1</v>
      </c>
      <c r="I480" s="1259">
        <f t="shared" si="34"/>
        <v>0</v>
      </c>
      <c r="J480" s="1108"/>
      <c r="K480" s="1108"/>
      <c r="L480" s="1082"/>
      <c r="M480" s="975">
        <v>100</v>
      </c>
    </row>
    <row r="481" spans="1:13" s="1083" customFormat="1" ht="25.2" hidden="1" customHeight="1">
      <c r="A481" s="1153">
        <f t="shared" si="33"/>
        <v>0</v>
      </c>
      <c r="B481" s="1324" t="s">
        <v>2277</v>
      </c>
      <c r="C481" s="1324"/>
      <c r="D481" s="1110"/>
      <c r="E481" s="1079">
        <f>VLOOKUP($B481,DG!A:D,DG!$B$2,)</f>
        <v>0</v>
      </c>
      <c r="F481" s="1080" t="str">
        <f>VLOOKUP($B481,DG!A:D,DG!$C$2,)</f>
        <v>Bass LL bắt FCO, LA</v>
      </c>
      <c r="G481" s="1079" t="str">
        <f>VLOOKUP($B481,DG!A:D,DG!$D$2,)</f>
        <v>bộ</v>
      </c>
      <c r="H481" s="1167">
        <v>1</v>
      </c>
      <c r="I481" s="1259">
        <f t="shared" si="29"/>
        <v>0</v>
      </c>
      <c r="J481" s="1108"/>
      <c r="K481" s="1108"/>
      <c r="L481" s="1082"/>
      <c r="M481" s="975">
        <v>100</v>
      </c>
    </row>
    <row r="482" spans="1:13" s="1083" customFormat="1" ht="25.2" hidden="1" customHeight="1">
      <c r="A482" s="1153">
        <f t="shared" si="33"/>
        <v>0</v>
      </c>
      <c r="B482" s="1324" t="s">
        <v>1613</v>
      </c>
      <c r="C482" s="1324"/>
      <c r="D482" s="1110"/>
      <c r="E482" s="1188"/>
      <c r="F482" s="1080" t="str">
        <f>VLOOKUP($B482,DG!A:D,DG!$C$2,)</f>
        <v>Boulon 16x300+ 2 long đền vuông D18-50x50x3/Zn</v>
      </c>
      <c r="G482" s="1079" t="str">
        <f>VLOOKUP($B482,DG!A:D,DG!$D$2,)</f>
        <v>bộ</v>
      </c>
      <c r="H482" s="1167">
        <f>H477*2</f>
        <v>0</v>
      </c>
      <c r="I482" s="1259">
        <f t="shared" si="29"/>
        <v>0</v>
      </c>
      <c r="J482" s="1108"/>
      <c r="K482" s="1108"/>
      <c r="L482" s="1082"/>
      <c r="M482" s="975">
        <v>100</v>
      </c>
    </row>
    <row r="483" spans="1:13" s="1083" customFormat="1" ht="25.2" hidden="1" customHeight="1">
      <c r="A483" s="1153">
        <f t="shared" si="33"/>
        <v>0</v>
      </c>
      <c r="B483" s="1324" t="s">
        <v>2155</v>
      </c>
      <c r="C483" s="1324"/>
      <c r="D483" s="1110"/>
      <c r="E483" s="1188"/>
      <c r="F483" s="1080" t="str">
        <f>VLOOKUP($B483,DG!A:D,DG!$C$2,)</f>
        <v>Boulon 16x40+ 2 long đền vuông D18-50x50x3/Zn</v>
      </c>
      <c r="G483" s="1079" t="str">
        <f>VLOOKUP($B483,DG!A:D,DG!$D$2,)</f>
        <v>bộ</v>
      </c>
      <c r="H483" s="1167">
        <v>1</v>
      </c>
      <c r="I483" s="1259">
        <f t="shared" si="29"/>
        <v>0</v>
      </c>
      <c r="J483" s="1108"/>
      <c r="K483" s="1108"/>
      <c r="L483" s="1082"/>
      <c r="M483" s="975">
        <v>100</v>
      </c>
    </row>
    <row r="484" spans="1:13" s="1083" customFormat="1" ht="25.2" hidden="1" customHeight="1">
      <c r="A484" s="1153">
        <f t="shared" si="33"/>
        <v>0</v>
      </c>
      <c r="B484" s="1324"/>
      <c r="C484" s="1324"/>
      <c r="D484" s="1166">
        <f>IF(H484&gt;0,D477+1,D477)</f>
        <v>0</v>
      </c>
      <c r="E484" s="1185"/>
      <c r="F484" s="1197" t="s">
        <v>3694</v>
      </c>
      <c r="G484" s="1166" t="s">
        <v>2391</v>
      </c>
      <c r="H484" s="1845">
        <f>H477</f>
        <v>0</v>
      </c>
      <c r="I484" s="1259">
        <f t="shared" si="29"/>
        <v>0</v>
      </c>
      <c r="J484" s="1108"/>
      <c r="K484" s="1108"/>
      <c r="L484" s="1082"/>
      <c r="M484" s="975">
        <v>100</v>
      </c>
    </row>
    <row r="485" spans="1:13" s="1083" customFormat="1" ht="25.2" hidden="1" customHeight="1">
      <c r="A485" s="1153">
        <f t="shared" si="33"/>
        <v>0</v>
      </c>
      <c r="B485" s="1324"/>
      <c r="C485" s="1324"/>
      <c r="D485" s="1110"/>
      <c r="E485" s="1188"/>
      <c r="F485" s="1365" t="s">
        <v>2285</v>
      </c>
      <c r="G485" s="1110"/>
      <c r="H485" s="1167"/>
      <c r="I485" s="1259">
        <f t="shared" si="29"/>
        <v>0</v>
      </c>
      <c r="J485" s="1108"/>
      <c r="K485" s="1108"/>
      <c r="L485" s="1082"/>
      <c r="M485" s="975">
        <v>100</v>
      </c>
    </row>
    <row r="486" spans="1:13" s="1083" customFormat="1" ht="25.2" hidden="1" customHeight="1">
      <c r="A486" s="1153">
        <f t="shared" si="33"/>
        <v>0</v>
      </c>
      <c r="B486" s="1324" t="s">
        <v>1033</v>
      </c>
      <c r="C486" s="1324"/>
      <c r="D486" s="1110"/>
      <c r="E486" s="1079">
        <f>VLOOKUP($B486,DG!A:D,DG!$B$2,)</f>
        <v>0</v>
      </c>
      <c r="F486" s="1332" t="str">
        <f>VLOOKUP($B486,DG!A:D,DG!$C$2,)&amp;": "&amp;I3&amp;J3</f>
        <v>Cáp đồng trần M25mm2: 54m</v>
      </c>
      <c r="G486" s="1079" t="str">
        <f>VLOOKUP($B486,DG!A:D,DG!$D$2,)</f>
        <v>kg</v>
      </c>
      <c r="H486" s="2041">
        <f>53*H484*0.224</f>
        <v>0</v>
      </c>
      <c r="I486" s="2042">
        <f t="shared" si="29"/>
        <v>0</v>
      </c>
      <c r="J486" s="1108"/>
      <c r="K486" s="1108"/>
      <c r="L486" s="1082"/>
      <c r="M486" s="975">
        <v>100</v>
      </c>
    </row>
    <row r="487" spans="1:13" s="1083" customFormat="1" ht="25.2" hidden="1" customHeight="1">
      <c r="A487" s="1153">
        <f t="shared" si="33"/>
        <v>0</v>
      </c>
      <c r="B487" s="1154" t="s">
        <v>1511</v>
      </c>
      <c r="C487" s="1154"/>
      <c r="D487" s="1110"/>
      <c r="E487" s="1079">
        <f>VLOOKUP($B487,DG!A:D,DG!$B$2,)</f>
        <v>0</v>
      </c>
      <c r="F487" s="1080" t="str">
        <f>VLOOKUP($B487,DG!A:D,DG!$C$2,)</f>
        <v>Cọc tiếp đất Þ 16- 2,4m + kẹp cọc mạ đồng</v>
      </c>
      <c r="G487" s="1079" t="str">
        <f>VLOOKUP($B487,DG!A:D,DG!$D$2,)</f>
        <v>bộ</v>
      </c>
      <c r="H487" s="1167">
        <f>9*H484</f>
        <v>0</v>
      </c>
      <c r="I487" s="1259">
        <f t="shared" si="29"/>
        <v>0</v>
      </c>
      <c r="J487" s="1108"/>
      <c r="K487" s="1108"/>
      <c r="L487" s="1082"/>
      <c r="M487" s="975">
        <v>100</v>
      </c>
    </row>
    <row r="488" spans="1:13" s="1083" customFormat="1" ht="25.2" hidden="1" customHeight="1">
      <c r="A488" s="1153">
        <f t="shared" si="33"/>
        <v>0</v>
      </c>
      <c r="B488" s="1154" t="s">
        <v>1493</v>
      </c>
      <c r="C488" s="1154"/>
      <c r="D488" s="1110"/>
      <c r="E488" s="1079" t="str">
        <f>VLOOKUP($B488,DG!A:D,DG!$B$2,)</f>
        <v>07.2403</v>
      </c>
      <c r="F488" s="1080" t="str">
        <f>VLOOKUP($B488,DG!A:D,DG!$C$2,)</f>
        <v xml:space="preserve">Ống PVC D21x1,6mm </v>
      </c>
      <c r="G488" s="1079" t="str">
        <f>VLOOKUP($B488,DG!A:D,DG!$D$2,)</f>
        <v>m</v>
      </c>
      <c r="H488" s="1167">
        <f>6*H484</f>
        <v>0</v>
      </c>
      <c r="I488" s="1259">
        <f t="shared" si="29"/>
        <v>0</v>
      </c>
      <c r="J488" s="1108"/>
      <c r="K488" s="1108"/>
      <c r="L488" s="1082"/>
      <c r="M488" s="975">
        <v>100</v>
      </c>
    </row>
    <row r="489" spans="1:13" s="1083" customFormat="1" ht="25.2" hidden="1" customHeight="1">
      <c r="A489" s="1153">
        <f t="shared" si="33"/>
        <v>0</v>
      </c>
      <c r="B489" s="1329" t="s">
        <v>1582</v>
      </c>
      <c r="C489" s="1329"/>
      <c r="D489" s="1110"/>
      <c r="E489" s="1079">
        <f>VLOOKUP($B489,DG!A:D,DG!$B$2,)</f>
        <v>0</v>
      </c>
      <c r="F489" s="1080" t="str">
        <f>VLOOKUP($B489,DG!A:D,DG!$C$2,)</f>
        <v>Kẹp ép WR cỡ dây 50mm2</v>
      </c>
      <c r="G489" s="1079" t="str">
        <f>VLOOKUP($B489,DG!A:D,DG!$D$2,)</f>
        <v>cái</v>
      </c>
      <c r="H489" s="1167">
        <f>2*H484</f>
        <v>0</v>
      </c>
      <c r="I489" s="1259">
        <f t="shared" si="29"/>
        <v>0</v>
      </c>
      <c r="J489" s="1108"/>
      <c r="K489" s="1108"/>
      <c r="L489" s="1082"/>
      <c r="M489" s="975">
        <v>100</v>
      </c>
    </row>
    <row r="490" spans="1:13" s="1083" customFormat="1" ht="25.2" hidden="1" customHeight="1">
      <c r="A490" s="1153">
        <f t="shared" si="33"/>
        <v>0</v>
      </c>
      <c r="B490" s="1329" t="s">
        <v>1115</v>
      </c>
      <c r="C490" s="1329"/>
      <c r="D490" s="1110"/>
      <c r="E490" s="1079">
        <f>VLOOKUP($B490,DG!A:D,DG!$B$2,)</f>
        <v>0</v>
      </c>
      <c r="F490" s="1080" t="str">
        <f>VLOOKUP($B490,DG!A:D,DG!$C$2,)</f>
        <v>Kẹp ép cỡ dây 25mm2</v>
      </c>
      <c r="G490" s="1079" t="str">
        <f>VLOOKUP($B490,DG!A:D,DG!$D$2,)</f>
        <v>cái</v>
      </c>
      <c r="H490" s="1167">
        <f>H484*11</f>
        <v>0</v>
      </c>
      <c r="I490" s="1259">
        <f t="shared" ref="I490:I556" si="35">IF(M490=$M$23,H490+J490-K490,0)</f>
        <v>0</v>
      </c>
      <c r="J490" s="1108"/>
      <c r="K490" s="1108"/>
      <c r="L490" s="1082"/>
      <c r="M490" s="975">
        <v>100</v>
      </c>
    </row>
    <row r="491" spans="1:13" s="1083" customFormat="1" ht="25.2" hidden="1" customHeight="1">
      <c r="A491" s="1153">
        <f t="shared" si="33"/>
        <v>0</v>
      </c>
      <c r="B491" s="1154" t="s">
        <v>525</v>
      </c>
      <c r="C491" s="1154"/>
      <c r="D491" s="1110"/>
      <c r="E491" s="1079" t="str">
        <f>VLOOKUP($B491,DG!A:D,DG!$B$2,)</f>
        <v>06.3231</v>
      </c>
      <c r="F491" s="1080" t="str">
        <f>VLOOKUP($B491,DG!A:D,DG!$C$2,)</f>
        <v>Cổ dê kẹp ống PVC  21</v>
      </c>
      <c r="G491" s="1079" t="str">
        <f>VLOOKUP($B491,DG!A:D,DG!$D$2,)</f>
        <v>bộ</v>
      </c>
      <c r="H491" s="1167">
        <f>4*H484</f>
        <v>0</v>
      </c>
      <c r="I491" s="1259">
        <f t="shared" si="35"/>
        <v>0</v>
      </c>
      <c r="J491" s="1108"/>
      <c r="K491" s="1108"/>
      <c r="L491" s="1082"/>
      <c r="M491" s="975">
        <v>100</v>
      </c>
    </row>
    <row r="492" spans="1:13" s="1083" customFormat="1" ht="25.2" hidden="1" customHeight="1">
      <c r="A492" s="1153">
        <f t="shared" si="33"/>
        <v>0</v>
      </c>
      <c r="B492" s="1329" t="s">
        <v>2189</v>
      </c>
      <c r="C492" s="1329"/>
      <c r="D492" s="1110"/>
      <c r="E492" s="1079" t="str">
        <f>VLOOKUP($B492,DG!A:D,DG!$B$2,)</f>
        <v>04.7002</v>
      </c>
      <c r="F492" s="1080" t="str">
        <f>VLOOKUP($B492,DG!A:D,DG!$C$2,)</f>
        <v>Kéo dây tiếp địa trong TBA</v>
      </c>
      <c r="G492" s="1079" t="str">
        <f>VLOOKUP($B492,DG!A:D,DG!$D$2,)</f>
        <v>mét</v>
      </c>
      <c r="H492" s="1167">
        <f>H486/0.224</f>
        <v>0</v>
      </c>
      <c r="I492" s="1259">
        <f t="shared" si="35"/>
        <v>0</v>
      </c>
      <c r="J492" s="1108"/>
      <c r="K492" s="1108"/>
      <c r="L492" s="1082"/>
      <c r="M492" s="975">
        <v>100</v>
      </c>
    </row>
    <row r="493" spans="1:13" s="1083" customFormat="1" ht="25.2" hidden="1" customHeight="1">
      <c r="A493" s="1153">
        <f t="shared" si="33"/>
        <v>0</v>
      </c>
      <c r="B493" s="1154" t="s">
        <v>902</v>
      </c>
      <c r="C493" s="1154"/>
      <c r="D493" s="1110"/>
      <c r="E493" s="1079" t="str">
        <f>VLOOKUP($B493,DG!A:D,DG!$B$2,)</f>
        <v>04.7001</v>
      </c>
      <c r="F493" s="1080" t="str">
        <f>VLOOKUP($B493,DG!A:D,DG!$C$2,)</f>
        <v>Đóng cọc tiếp địa trong TBA</v>
      </c>
      <c r="G493" s="1079" t="str">
        <f>VLOOKUP($B493,DG!A:D,DG!$D$2,)</f>
        <v>cọc</v>
      </c>
      <c r="H493" s="1167">
        <f>H487</f>
        <v>0</v>
      </c>
      <c r="I493" s="1259">
        <f t="shared" si="35"/>
        <v>0</v>
      </c>
      <c r="J493" s="1108"/>
      <c r="K493" s="1108"/>
      <c r="L493" s="1082"/>
      <c r="M493" s="975">
        <v>100</v>
      </c>
    </row>
    <row r="494" spans="1:13" s="1083" customFormat="1" ht="25.2" hidden="1" customHeight="1">
      <c r="A494" s="1153">
        <f t="shared" si="33"/>
        <v>0</v>
      </c>
      <c r="B494" s="1329" t="str">
        <f>"dtd"&amp;chitiet!G5</f>
        <v>dtd3</v>
      </c>
      <c r="C494" s="1329"/>
      <c r="D494" s="1110"/>
      <c r="E494" s="1079" t="str">
        <f>VLOOKUP($B494,DG!A:D,DG!$B$2,)</f>
        <v>03.3123</v>
      </c>
      <c r="F494" s="1080" t="str">
        <f>VLOOKUP($B494,DG!A:D,DG!$C$2,)</f>
        <v>Đào rãnh tiếp địa đất cấp 3</v>
      </c>
      <c r="G494" s="1079" t="str">
        <f>VLOOKUP($B494,DG!A:D,DG!$D$2,)</f>
        <v>m3</v>
      </c>
      <c r="H494" s="1167">
        <v>3.6</v>
      </c>
      <c r="I494" s="1259">
        <f t="shared" si="35"/>
        <v>0</v>
      </c>
      <c r="J494" s="1108"/>
      <c r="K494" s="1108"/>
      <c r="L494" s="1082"/>
      <c r="M494" s="975">
        <v>100</v>
      </c>
    </row>
    <row r="495" spans="1:13" s="1083" customFormat="1" ht="25.2" hidden="1" customHeight="1">
      <c r="A495" s="1153">
        <f t="shared" si="33"/>
        <v>0</v>
      </c>
      <c r="B495" s="1154" t="str">
        <f>"datd"&amp;chitiet!G5</f>
        <v>datd3</v>
      </c>
      <c r="C495" s="1154"/>
      <c r="D495" s="1110"/>
      <c r="E495" s="1079" t="str">
        <f>VLOOKUP($B495,DG!A:D,DG!$B$2,)</f>
        <v>03.4123</v>
      </c>
      <c r="F495" s="1080" t="str">
        <f>VLOOKUP($B495,DG!A:D,DG!$C$2,)</f>
        <v>Đắp đất rãnh tiếp độ chặt k=0,85</v>
      </c>
      <c r="G495" s="1079" t="str">
        <f>VLOOKUP($B495,DG!A:D,DG!$D$2,)</f>
        <v>m3</v>
      </c>
      <c r="H495" s="1167">
        <f>H494</f>
        <v>3.6</v>
      </c>
      <c r="I495" s="1259">
        <f t="shared" si="35"/>
        <v>0</v>
      </c>
      <c r="J495" s="1108"/>
      <c r="K495" s="1108"/>
      <c r="L495" s="1082"/>
      <c r="M495" s="975">
        <v>100</v>
      </c>
    </row>
    <row r="496" spans="1:13" s="1083" customFormat="1" ht="25.2" hidden="1" customHeight="1">
      <c r="A496" s="1153">
        <f t="shared" si="33"/>
        <v>0</v>
      </c>
      <c r="B496" s="1329"/>
      <c r="C496" s="1329"/>
      <c r="D496" s="1166">
        <f>IF(H496&gt;0,D484+1,D484)</f>
        <v>0</v>
      </c>
      <c r="E496" s="1185"/>
      <c r="F496" s="1186" t="s">
        <v>3701</v>
      </c>
      <c r="G496" s="1166" t="s">
        <v>2391</v>
      </c>
      <c r="H496" s="1845">
        <f>H477</f>
        <v>0</v>
      </c>
      <c r="I496" s="1259">
        <f t="shared" si="35"/>
        <v>0</v>
      </c>
      <c r="J496" s="1108"/>
      <c r="K496" s="1108"/>
      <c r="L496" s="1082"/>
      <c r="M496" s="975">
        <v>100</v>
      </c>
    </row>
    <row r="497" spans="1:13" s="1083" customFormat="1" ht="25.2" hidden="1" customHeight="1">
      <c r="A497" s="1153">
        <f t="shared" si="33"/>
        <v>0</v>
      </c>
      <c r="B497" s="1329"/>
      <c r="C497" s="1329"/>
      <c r="D497" s="1166"/>
      <c r="E497" s="1185"/>
      <c r="F497" s="1365" t="s">
        <v>2285</v>
      </c>
      <c r="G497" s="1110"/>
      <c r="H497" s="1167"/>
      <c r="I497" s="1259">
        <f t="shared" si="35"/>
        <v>0</v>
      </c>
      <c r="J497" s="1108"/>
      <c r="K497" s="1108"/>
      <c r="L497" s="1082"/>
      <c r="M497" s="975">
        <v>100</v>
      </c>
    </row>
    <row r="498" spans="1:13" s="1083" customFormat="1" ht="25.2" hidden="1" customHeight="1">
      <c r="A498" s="1153">
        <f t="shared" si="33"/>
        <v>0</v>
      </c>
      <c r="B498" s="1331" t="s">
        <v>616</v>
      </c>
      <c r="C498" s="1331"/>
      <c r="D498" s="1110"/>
      <c r="E498" s="1079" t="str">
        <f>VLOOKUP($B498,DG!A:D,DG!$B$2,)</f>
        <v>05.1001</v>
      </c>
      <c r="F498" s="1080" t="str">
        <f>VLOOKUP($B498,DG!A:D,DG!$C$2,)</f>
        <v>Tủ CB trạm 1 pha + khóa + boulon</v>
      </c>
      <c r="G498" s="1079" t="str">
        <f>VLOOKUP($B498,DG!A:D,DG!$D$2,)</f>
        <v>cái</v>
      </c>
      <c r="H498" s="1167">
        <f>H496</f>
        <v>0</v>
      </c>
      <c r="I498" s="1259">
        <f t="shared" si="35"/>
        <v>0</v>
      </c>
      <c r="J498" s="1108"/>
      <c r="K498" s="1108"/>
      <c r="L498" s="1082"/>
      <c r="M498" s="975">
        <v>100</v>
      </c>
    </row>
    <row r="499" spans="1:13" s="1083" customFormat="1" ht="25.2" hidden="1" customHeight="1">
      <c r="A499" s="1153">
        <f t="shared" si="33"/>
        <v>0</v>
      </c>
      <c r="B499" s="1329" t="s">
        <v>879</v>
      </c>
      <c r="C499" s="1329"/>
      <c r="D499" s="1110"/>
      <c r="E499" s="1079" t="str">
        <f>VLOOKUP($B499,DG!A:D,DG!$B$2,)</f>
        <v>06.3231</v>
      </c>
      <c r="F499" s="1080" t="str">
        <f>VLOOKUP($B499,DG!A:D,DG!$C$2,)</f>
        <v>Cổ dê bắt tủ</v>
      </c>
      <c r="G499" s="1079" t="str">
        <f>VLOOKUP($B499,DG!A:D,DG!$D$2,)</f>
        <v>bộ</v>
      </c>
      <c r="H499" s="1167">
        <f>2*H496</f>
        <v>0</v>
      </c>
      <c r="I499" s="1259">
        <f t="shared" si="35"/>
        <v>0</v>
      </c>
      <c r="J499" s="1108"/>
      <c r="K499" s="1108"/>
      <c r="L499" s="1082"/>
      <c r="M499" s="975">
        <v>100</v>
      </c>
    </row>
    <row r="500" spans="1:13" s="1083" customFormat="1" ht="25.2" hidden="1" customHeight="1">
      <c r="A500" s="1153">
        <f t="shared" si="33"/>
        <v>0</v>
      </c>
      <c r="B500" s="1329" t="s">
        <v>880</v>
      </c>
      <c r="C500" s="1329"/>
      <c r="D500" s="1110"/>
      <c r="E500" s="1079">
        <f>VLOOKUP($B500,DG!A:D,DG!$B$2,)</f>
        <v>0</v>
      </c>
      <c r="F500" s="1080" t="str">
        <f>VLOOKUP($B500,DG!A:D,DG!$C$2,)</f>
        <v xml:space="preserve">Bakelit 550x450 dầy 10mm </v>
      </c>
      <c r="G500" s="1079" t="str">
        <f>VLOOKUP($B500,DG!A:D,DG!$D$2,)</f>
        <v>cái</v>
      </c>
      <c r="H500" s="1167">
        <v>3</v>
      </c>
      <c r="I500" s="1259">
        <f t="shared" si="35"/>
        <v>0</v>
      </c>
      <c r="J500" s="1108"/>
      <c r="K500" s="1108"/>
      <c r="L500" s="1082"/>
      <c r="M500" s="975">
        <v>100</v>
      </c>
    </row>
    <row r="501" spans="1:13" s="1083" customFormat="1" ht="25.2" hidden="1" customHeight="1">
      <c r="A501" s="1153">
        <f t="shared" si="33"/>
        <v>0</v>
      </c>
      <c r="B501" s="1329"/>
      <c r="C501" s="1329"/>
      <c r="D501" s="1166">
        <f>IF(H501&gt;0,D496+1,D496)</f>
        <v>0</v>
      </c>
      <c r="E501" s="1185"/>
      <c r="F501" s="1197" t="s">
        <v>3696</v>
      </c>
      <c r="G501" s="1166" t="s">
        <v>2391</v>
      </c>
      <c r="H501" s="1845">
        <f>H496</f>
        <v>0</v>
      </c>
      <c r="I501" s="1259">
        <f t="shared" si="35"/>
        <v>0</v>
      </c>
      <c r="J501" s="1108"/>
      <c r="K501" s="1108"/>
      <c r="L501" s="1082"/>
      <c r="M501" s="975">
        <v>100</v>
      </c>
    </row>
    <row r="502" spans="1:13" s="1083" customFormat="1" ht="25.2" hidden="1" customHeight="1">
      <c r="A502" s="1153">
        <f t="shared" si="33"/>
        <v>0</v>
      </c>
      <c r="B502" s="1329"/>
      <c r="C502" s="1329"/>
      <c r="D502" s="1166"/>
      <c r="E502" s="1185"/>
      <c r="F502" s="1365" t="s">
        <v>2285</v>
      </c>
      <c r="G502" s="1110"/>
      <c r="H502" s="1167"/>
      <c r="I502" s="1259">
        <f t="shared" si="35"/>
        <v>0</v>
      </c>
      <c r="J502" s="1108"/>
      <c r="K502" s="1108"/>
      <c r="L502" s="1082"/>
      <c r="M502" s="975">
        <v>100</v>
      </c>
    </row>
    <row r="503" spans="1:13" s="1083" customFormat="1" ht="25.2" hidden="1" customHeight="1">
      <c r="A503" s="1153">
        <f t="shared" si="33"/>
        <v>0</v>
      </c>
      <c r="B503" s="1154" t="s">
        <v>697</v>
      </c>
      <c r="C503" s="1154"/>
      <c r="D503" s="1110"/>
      <c r="E503" s="1079">
        <f>VLOOKUP($B503,DG!A:D,DG!$B$2,)</f>
        <v>0</v>
      </c>
      <c r="F503" s="1080" t="str">
        <f>VLOOKUP($B503,DG!A:D,DG!$C$2,)</f>
        <v>Cáp 24KV C/XLPE/PVC 25mm2</v>
      </c>
      <c r="G503" s="1079" t="str">
        <f>VLOOKUP($B503,DG!A:D,DG!$D$2,)</f>
        <v>mét</v>
      </c>
      <c r="H503" s="1167">
        <f>3*H501</f>
        <v>0</v>
      </c>
      <c r="I503" s="1259">
        <f t="shared" si="35"/>
        <v>0</v>
      </c>
      <c r="J503" s="1108"/>
      <c r="K503" s="1108"/>
      <c r="L503" s="1082"/>
      <c r="M503" s="975">
        <v>100</v>
      </c>
    </row>
    <row r="504" spans="1:13" s="1083" customFormat="1" ht="25.2" hidden="1" customHeight="1">
      <c r="A504" s="1153">
        <f t="shared" si="33"/>
        <v>0</v>
      </c>
      <c r="B504" s="1154" t="s">
        <v>1482</v>
      </c>
      <c r="C504" s="1154"/>
      <c r="D504" s="1110"/>
      <c r="E504" s="1079" t="str">
        <f>VLOOKUP($B504,DG!A:D,DG!$B$2,)</f>
        <v>04.3007</v>
      </c>
      <c r="F504" s="1080" t="str">
        <f>VLOOKUP($B504,DG!A:D,DG!$C$2,)</f>
        <v>Kẹp quai 2/0</v>
      </c>
      <c r="G504" s="1079" t="str">
        <f>VLOOKUP($B504,DG!A:D,DG!$D$2,)</f>
        <v>cái</v>
      </c>
      <c r="H504" s="1167">
        <f>H501</f>
        <v>0</v>
      </c>
      <c r="I504" s="1259">
        <f t="shared" si="35"/>
        <v>0</v>
      </c>
      <c r="J504" s="1108"/>
      <c r="K504" s="1108"/>
      <c r="L504" s="1082"/>
      <c r="M504" s="975">
        <v>100</v>
      </c>
    </row>
    <row r="505" spans="1:13" s="1083" customFormat="1" ht="25.2" hidden="1" customHeight="1">
      <c r="A505" s="1153">
        <f t="shared" si="33"/>
        <v>0</v>
      </c>
      <c r="B505" s="1154" t="s">
        <v>1480</v>
      </c>
      <c r="C505" s="1154"/>
      <c r="D505" s="1110"/>
      <c r="E505" s="1079" t="str">
        <f>VLOOKUP($B505,DG!A:D,DG!$B$2,)</f>
        <v>04.3007</v>
      </c>
      <c r="F505" s="1080" t="str">
        <f>VLOOKUP($B505,DG!A:D,DG!$C$2,)</f>
        <v>Kẹp hotline 2/0</v>
      </c>
      <c r="G505" s="1079" t="str">
        <f>VLOOKUP($B505,DG!A:D,DG!$D$2,)</f>
        <v>cái</v>
      </c>
      <c r="H505" s="1167">
        <f t="shared" ref="H505" si="36">H498</f>
        <v>0</v>
      </c>
      <c r="I505" s="1259">
        <f t="shared" ref="I505:I507" si="37">IF(M505=$M$23,H505+J505-K505,0)</f>
        <v>0</v>
      </c>
      <c r="J505" s="1108"/>
      <c r="K505" s="1108"/>
      <c r="L505" s="1082"/>
      <c r="M505" s="975">
        <v>100</v>
      </c>
    </row>
    <row r="506" spans="1:13" s="1083" customFormat="1" ht="25.2" hidden="1" customHeight="1">
      <c r="A506" s="1153">
        <f t="shared" si="33"/>
        <v>0</v>
      </c>
      <c r="B506" s="1154" t="s">
        <v>381</v>
      </c>
      <c r="C506" s="1154"/>
      <c r="D506" s="1110"/>
      <c r="E506" s="1079">
        <f>VLOOKUP($B506,DG!A:D,DG!$B$2,)</f>
        <v>0</v>
      </c>
      <c r="F506" s="1080" t="str">
        <f>VLOOKUP($B506,DG!A:D,DG!$C$2,)</f>
        <v>Chụp đầu cực FCO (bộ 2 cái)</v>
      </c>
      <c r="G506" s="1079" t="str">
        <f>VLOOKUP($B506,DG!A:D,DG!$D$2,)</f>
        <v>bộ</v>
      </c>
      <c r="H506" s="1167">
        <v>1</v>
      </c>
      <c r="I506" s="1259">
        <f t="shared" si="37"/>
        <v>0</v>
      </c>
      <c r="J506" s="1108"/>
      <c r="K506" s="1108"/>
      <c r="L506" s="1082"/>
      <c r="M506" s="975">
        <v>100</v>
      </c>
    </row>
    <row r="507" spans="1:13" s="1083" customFormat="1" ht="25.2" hidden="1" customHeight="1">
      <c r="A507" s="1153">
        <f t="shared" si="33"/>
        <v>0</v>
      </c>
      <c r="B507" s="1154" t="s">
        <v>379</v>
      </c>
      <c r="C507" s="1154"/>
      <c r="D507" s="1110"/>
      <c r="E507" s="1079">
        <f>VLOOKUP($B507,DG!A:D,DG!$B$2,)</f>
        <v>0</v>
      </c>
      <c r="F507" s="1080" t="str">
        <f>VLOOKUP($B507,DG!A:D,DG!$C$2,)</f>
        <v>Chụp đầu cực LA</v>
      </c>
      <c r="G507" s="1079" t="str">
        <f>VLOOKUP($B507,DG!A:D,DG!$D$2,)</f>
        <v>cái</v>
      </c>
      <c r="H507" s="1167">
        <v>1</v>
      </c>
      <c r="I507" s="1259">
        <f t="shared" si="37"/>
        <v>0</v>
      </c>
      <c r="J507" s="1108"/>
      <c r="K507" s="1108"/>
      <c r="L507" s="1082"/>
      <c r="M507" s="975">
        <v>100</v>
      </c>
    </row>
    <row r="508" spans="1:13" s="1083" customFormat="1" ht="25.2" hidden="1" customHeight="1">
      <c r="A508" s="1153">
        <f t="shared" si="33"/>
        <v>0</v>
      </c>
      <c r="B508" s="1154" t="s">
        <v>380</v>
      </c>
      <c r="C508" s="1154"/>
      <c r="D508" s="1110"/>
      <c r="E508" s="1079">
        <f>VLOOKUP($B508,DG!A:D,DG!$B$2,)</f>
        <v>0</v>
      </c>
      <c r="F508" s="1080" t="str">
        <f>VLOOKUP($B508,DG!A:D,DG!$C$2,)</f>
        <v>Chụp đầu MBA</v>
      </c>
      <c r="G508" s="1079" t="str">
        <f>VLOOKUP($B508,DG!A:D,DG!$D$2,)</f>
        <v>cái</v>
      </c>
      <c r="H508" s="1167">
        <v>1</v>
      </c>
      <c r="I508" s="1259">
        <f t="shared" si="35"/>
        <v>0</v>
      </c>
      <c r="J508" s="1108"/>
      <c r="K508" s="1108"/>
      <c r="L508" s="1082"/>
      <c r="M508" s="975">
        <v>100</v>
      </c>
    </row>
    <row r="509" spans="1:13" s="1083" customFormat="1" ht="25.2" hidden="1" customHeight="1">
      <c r="A509" s="1153">
        <f t="shared" si="33"/>
        <v>0</v>
      </c>
      <c r="B509" s="1154" t="s">
        <v>1528</v>
      </c>
      <c r="C509" s="1154"/>
      <c r="D509" s="1110"/>
      <c r="E509" s="1079" t="str">
        <f>VLOOKUP($B509,DG!A:D,DG!$B$2,)</f>
        <v>04.4201</v>
      </c>
      <c r="F509" s="1080" t="str">
        <f>VLOOKUP($B509,DG!A:D,DG!$C$2,)</f>
        <v>Lắp cáp đồng xuống thiết bị D ≤ 95mm2</v>
      </c>
      <c r="G509" s="1079" t="str">
        <f>VLOOKUP($B509,DG!A:D,DG!$D$2,)</f>
        <v>m</v>
      </c>
      <c r="H509" s="1167">
        <f>H503</f>
        <v>0</v>
      </c>
      <c r="I509" s="1259">
        <f t="shared" si="35"/>
        <v>0</v>
      </c>
      <c r="J509" s="1108"/>
      <c r="K509" s="1108"/>
      <c r="L509" s="1082"/>
      <c r="M509" s="975">
        <v>100</v>
      </c>
    </row>
    <row r="510" spans="1:13" s="1083" customFormat="1" ht="25.2" hidden="1" customHeight="1">
      <c r="A510" s="1153">
        <f t="shared" si="33"/>
        <v>0</v>
      </c>
      <c r="B510" s="1324"/>
      <c r="C510" s="1324"/>
      <c r="D510" s="1166">
        <f>IF(H510&gt;0,D501+1,D501)</f>
        <v>0</v>
      </c>
      <c r="E510" s="1185"/>
      <c r="F510" s="1186" t="s">
        <v>3709</v>
      </c>
      <c r="G510" s="1166" t="s">
        <v>2391</v>
      </c>
      <c r="H510" s="1845">
        <f>H454</f>
        <v>0</v>
      </c>
      <c r="I510" s="1259">
        <f t="shared" si="35"/>
        <v>0</v>
      </c>
      <c r="J510" s="1108"/>
      <c r="K510" s="1108"/>
      <c r="L510" s="1082"/>
      <c r="M510" s="975">
        <v>100</v>
      </c>
    </row>
    <row r="511" spans="1:13" s="1083" customFormat="1" ht="25.2" hidden="1" customHeight="1">
      <c r="A511" s="1153">
        <f t="shared" si="33"/>
        <v>0</v>
      </c>
      <c r="B511" s="1324"/>
      <c r="C511" s="1324"/>
      <c r="D511" s="1166"/>
      <c r="E511" s="1185"/>
      <c r="F511" s="1364" t="s">
        <v>2285</v>
      </c>
      <c r="G511" s="1166"/>
      <c r="H511" s="1845"/>
      <c r="I511" s="1259">
        <f t="shared" si="35"/>
        <v>0</v>
      </c>
      <c r="J511" s="1108"/>
      <c r="K511" s="1108"/>
      <c r="L511" s="1082"/>
      <c r="M511" s="975">
        <v>100</v>
      </c>
    </row>
    <row r="512" spans="1:13" s="1083" customFormat="1" ht="25.2" hidden="1" customHeight="1">
      <c r="A512" s="1153">
        <f t="shared" si="33"/>
        <v>0</v>
      </c>
      <c r="B512" s="1324" t="s">
        <v>4793</v>
      </c>
      <c r="C512" s="1324"/>
      <c r="D512" s="1166"/>
      <c r="E512" s="1079">
        <f>VLOOKUP($B512,DG!A:D,DG!$B$2,)</f>
        <v>0</v>
      </c>
      <c r="F512" s="1080" t="str">
        <f>VLOOKUP($B512,DG!A:D,DG!$C$2,)</f>
        <v>Cáp đồng bọc CV240</v>
      </c>
      <c r="G512" s="1079" t="str">
        <f>VLOOKUP($B512,DG!A:D,DG!$D$2,)</f>
        <v>mét</v>
      </c>
      <c r="H512" s="1167">
        <f>H510*10*2</f>
        <v>0</v>
      </c>
      <c r="I512" s="1259">
        <f t="shared" si="35"/>
        <v>0</v>
      </c>
      <c r="J512" s="1108"/>
      <c r="K512" s="1108"/>
      <c r="L512" s="1082"/>
      <c r="M512" s="975">
        <v>100</v>
      </c>
    </row>
    <row r="513" spans="1:13" s="1083" customFormat="1" ht="25.2" hidden="1" customHeight="1">
      <c r="A513" s="1153">
        <f t="shared" si="33"/>
        <v>0</v>
      </c>
      <c r="B513" s="1324" t="s">
        <v>49</v>
      </c>
      <c r="C513" s="1324"/>
      <c r="D513" s="1166"/>
      <c r="E513" s="1079">
        <f>VLOOKUP($B513,DG!A:D,DG!$B$2,)</f>
        <v>0</v>
      </c>
      <c r="F513" s="1080" t="str">
        <f>VLOOKUP($B513,DG!A:D,DG!$C$2,)</f>
        <v>Cáp đồng bọc CV120</v>
      </c>
      <c r="G513" s="1079" t="str">
        <f>VLOOKUP($B513,DG!A:D,DG!$D$2,)</f>
        <v>mét</v>
      </c>
      <c r="H513" s="1167"/>
      <c r="I513" s="1259">
        <f t="shared" si="35"/>
        <v>0</v>
      </c>
      <c r="J513" s="1108"/>
      <c r="K513" s="1108"/>
      <c r="L513" s="1082"/>
      <c r="M513" s="975">
        <v>100</v>
      </c>
    </row>
    <row r="514" spans="1:13" s="1083" customFormat="1" ht="25.2" hidden="1" customHeight="1">
      <c r="A514" s="1153">
        <f t="shared" si="33"/>
        <v>0</v>
      </c>
      <c r="B514" s="1324" t="s">
        <v>4545</v>
      </c>
      <c r="C514" s="1324"/>
      <c r="D514" s="1110"/>
      <c r="E514" s="1079" t="str">
        <f>VLOOKUP($B514,DG!A:D,DG!$B$2,)</f>
        <v>03.1401</v>
      </c>
      <c r="F514" s="1080" t="str">
        <f>VLOOKUP($B514,DG!A:D,DG!$C$2,)</f>
        <v xml:space="preserve">Cáp CVV 4x4mm2  </v>
      </c>
      <c r="G514" s="1079" t="str">
        <f>VLOOKUP($B514,DG!A:D,DG!$D$2,)</f>
        <v>mét</v>
      </c>
      <c r="H514" s="1167">
        <v>2</v>
      </c>
      <c r="I514" s="1259">
        <f t="shared" si="35"/>
        <v>0</v>
      </c>
      <c r="J514" s="1108"/>
      <c r="K514" s="1108"/>
      <c r="L514" s="1082"/>
      <c r="M514" s="975">
        <v>100</v>
      </c>
    </row>
    <row r="515" spans="1:13" s="1083" customFormat="1" ht="25.2" hidden="1" customHeight="1">
      <c r="A515" s="1153">
        <f t="shared" si="33"/>
        <v>0</v>
      </c>
      <c r="B515" s="1329" t="s">
        <v>4794</v>
      </c>
      <c r="C515" s="1329"/>
      <c r="D515" s="1110"/>
      <c r="E515" s="1079" t="str">
        <f>VLOOKUP($B515,DG!A:D,DG!$B$2,)</f>
        <v>03.4008</v>
      </c>
      <c r="F515" s="1080" t="str">
        <f>VLOOKUP($B515,DG!A:D,DG!$C$2,)</f>
        <v>Đầu cosse ép Cu 240mm2</v>
      </c>
      <c r="G515" s="1079" t="str">
        <f>VLOOKUP($B515,DG!A:D,DG!$D$2,)</f>
        <v>cái</v>
      </c>
      <c r="H515" s="1167">
        <v>2</v>
      </c>
      <c r="I515" s="1259">
        <f t="shared" si="35"/>
        <v>0</v>
      </c>
      <c r="J515" s="1108"/>
      <c r="K515" s="1108"/>
      <c r="L515" s="1082"/>
      <c r="M515" s="975">
        <v>100</v>
      </c>
    </row>
    <row r="516" spans="1:13" s="1083" customFormat="1" ht="25.2" hidden="1" customHeight="1">
      <c r="A516" s="1153">
        <f t="shared" si="33"/>
        <v>0</v>
      </c>
      <c r="B516" s="1329" t="str">
        <f>IF(H459=1,"Cos"&amp;RIGHT(B$350,2),"Cos"&amp;RIGHT(B$350,2))</f>
        <v>Cos20</v>
      </c>
      <c r="C516" s="1329"/>
      <c r="D516" s="1110"/>
      <c r="E516" s="1079" t="e">
        <f>VLOOKUP($B516,DG!A:D,DG!$B$2,)</f>
        <v>#N/A</v>
      </c>
      <c r="F516" s="1080" t="e">
        <f>VLOOKUP($B516,DG!A:D,DG!$C$2,)</f>
        <v>#N/A</v>
      </c>
      <c r="G516" s="1079" t="e">
        <f>VLOOKUP($B516,DG!A:D,DG!$D$2,)</f>
        <v>#N/A</v>
      </c>
      <c r="H516" s="1167"/>
      <c r="I516" s="1259">
        <f t="shared" si="35"/>
        <v>0</v>
      </c>
      <c r="J516" s="1108"/>
      <c r="K516" s="1108"/>
      <c r="L516" s="1082"/>
      <c r="M516" s="975">
        <v>100</v>
      </c>
    </row>
    <row r="517" spans="1:13" s="1083" customFormat="1" ht="25.2" hidden="1" customHeight="1">
      <c r="A517" s="1153">
        <f t="shared" si="33"/>
        <v>0</v>
      </c>
      <c r="B517" s="1329" t="s">
        <v>90</v>
      </c>
      <c r="C517" s="1329"/>
      <c r="D517" s="1110"/>
      <c r="E517" s="1079">
        <f>VLOOKUP($B517,DG!A:D,DG!$B$2,)</f>
        <v>0</v>
      </c>
      <c r="F517" s="1080" t="str">
        <f>VLOOKUP($B517,DG!A:D,DG!$C$2,)</f>
        <v>Chụp đầu cosse  240mm2</v>
      </c>
      <c r="G517" s="1079" t="str">
        <f>VLOOKUP($B517,DG!A:D,DG!$D$2,)</f>
        <v>cái</v>
      </c>
      <c r="H517" s="1167">
        <v>2</v>
      </c>
      <c r="I517" s="1259">
        <f t="shared" si="35"/>
        <v>0</v>
      </c>
      <c r="J517" s="1108"/>
      <c r="K517" s="1108"/>
      <c r="L517" s="1082"/>
      <c r="M517" s="975">
        <v>100</v>
      </c>
    </row>
    <row r="518" spans="1:13" s="1083" customFormat="1" ht="25.2" hidden="1" customHeight="1">
      <c r="A518" s="1153">
        <f t="shared" si="33"/>
        <v>0</v>
      </c>
      <c r="B518" s="1329" t="s">
        <v>2084</v>
      </c>
      <c r="C518" s="1329"/>
      <c r="D518" s="1110"/>
      <c r="E518" s="1079">
        <f>VLOOKUP($B518,DG!A:D,DG!$B$2,)</f>
        <v>0</v>
      </c>
      <c r="F518" s="1080" t="str">
        <f>VLOOKUP($B518,DG!A:D,DG!$C$2,)</f>
        <v>Chụp đầu cosse  70mm2</v>
      </c>
      <c r="G518" s="1079" t="str">
        <f>VLOOKUP($B518,DG!A:D,DG!$D$2,)</f>
        <v>cái</v>
      </c>
      <c r="H518" s="1167"/>
      <c r="I518" s="1259">
        <f t="shared" si="35"/>
        <v>0</v>
      </c>
      <c r="J518" s="1108"/>
      <c r="K518" s="1108"/>
      <c r="L518" s="1082"/>
      <c r="M518" s="975">
        <v>100</v>
      </c>
    </row>
    <row r="519" spans="1:13" s="1083" customFormat="1" ht="25.2" hidden="1" customHeight="1">
      <c r="A519" s="1153">
        <f t="shared" si="33"/>
        <v>0</v>
      </c>
      <c r="B519" s="1329" t="s">
        <v>1042</v>
      </c>
      <c r="C519" s="1329"/>
      <c r="D519" s="1110"/>
      <c r="E519" s="1079">
        <f>VLOOKUP($B519,DG!A:D,DG!$B$2,)</f>
        <v>0</v>
      </c>
      <c r="F519" s="1080" t="str">
        <f>VLOOKUP($B519,DG!A:D,DG!$C$2,)</f>
        <v xml:space="preserve">Ống PVC D114x4,9mm </v>
      </c>
      <c r="G519" s="1079" t="str">
        <f>VLOOKUP($B519,DG!A:D,DG!$D$2,)</f>
        <v>m</v>
      </c>
      <c r="H519" s="1167">
        <v>7</v>
      </c>
      <c r="I519" s="1259">
        <f t="shared" si="35"/>
        <v>0</v>
      </c>
      <c r="J519" s="1108"/>
      <c r="K519" s="1108"/>
      <c r="L519" s="1082"/>
      <c r="M519" s="975">
        <v>100</v>
      </c>
    </row>
    <row r="520" spans="1:13" s="1083" customFormat="1" ht="25.2" hidden="1" customHeight="1">
      <c r="A520" s="1153">
        <f t="shared" si="33"/>
        <v>0</v>
      </c>
      <c r="B520" s="1154" t="s">
        <v>1866</v>
      </c>
      <c r="C520" s="1154"/>
      <c r="D520" s="1110"/>
      <c r="E520" s="1079" t="str">
        <f>VLOOKUP($B520,DG!A:D,DG!$B$2,)</f>
        <v>06.3231</v>
      </c>
      <c r="F520" s="1080" t="str">
        <f>VLOOKUP($B520,DG!A:D,DG!$C$2,)</f>
        <v>Cổ dê kẹp ống PVC Ø 114</v>
      </c>
      <c r="G520" s="1079" t="str">
        <f>VLOOKUP($B520,DG!A:D,DG!$D$2,)</f>
        <v>bộ</v>
      </c>
      <c r="H520" s="1167">
        <f>3*H510</f>
        <v>0</v>
      </c>
      <c r="I520" s="1259">
        <f t="shared" si="35"/>
        <v>0</v>
      </c>
      <c r="J520" s="1108"/>
      <c r="K520" s="1108"/>
      <c r="L520" s="1082"/>
      <c r="M520" s="975">
        <v>100</v>
      </c>
    </row>
    <row r="521" spans="1:13" s="1083" customFormat="1" ht="25.2" hidden="1" customHeight="1">
      <c r="A521" s="1153">
        <f t="shared" si="33"/>
        <v>0</v>
      </c>
      <c r="B521" s="1329" t="s">
        <v>1868</v>
      </c>
      <c r="C521" s="1329"/>
      <c r="D521" s="1110"/>
      <c r="E521" s="1079">
        <f>VLOOKUP($B521,DG!A:D,DG!$B$2,)</f>
        <v>0</v>
      </c>
      <c r="F521" s="1080" t="str">
        <f>VLOOKUP($B521,DG!A:D,DG!$C$2,)</f>
        <v>Co  90 độ PVC 114</v>
      </c>
      <c r="G521" s="1079" t="str">
        <f>VLOOKUP($B521,DG!A:D,DG!$D$2,)</f>
        <v>cái</v>
      </c>
      <c r="H521" s="1167">
        <f>2*H510</f>
        <v>0</v>
      </c>
      <c r="I521" s="1259">
        <f t="shared" si="35"/>
        <v>0</v>
      </c>
      <c r="J521" s="1108"/>
      <c r="K521" s="1108"/>
      <c r="L521" s="1082"/>
      <c r="M521" s="975">
        <v>100</v>
      </c>
    </row>
    <row r="522" spans="1:13" s="1083" customFormat="1" ht="25.2" hidden="1" customHeight="1">
      <c r="A522" s="1153">
        <f t="shared" si="33"/>
        <v>0</v>
      </c>
      <c r="B522" s="1329" t="s">
        <v>688</v>
      </c>
      <c r="C522" s="1329"/>
      <c r="D522" s="1110"/>
      <c r="E522" s="1079">
        <f>VLOOKUP($B522,DG!A:D,DG!$B$2,)</f>
        <v>0</v>
      </c>
      <c r="F522" s="1080" t="str">
        <f>VLOOKUP($B522,DG!A:D,DG!$C$2,)</f>
        <v>Nối ống PVC 114</v>
      </c>
      <c r="G522" s="1079" t="str">
        <f>VLOOKUP($B522,DG!A:D,DG!$D$2,)</f>
        <v>cái</v>
      </c>
      <c r="H522" s="1167">
        <f>H510</f>
        <v>0</v>
      </c>
      <c r="I522" s="1259">
        <f t="shared" si="35"/>
        <v>0</v>
      </c>
      <c r="J522" s="1108"/>
      <c r="K522" s="1108"/>
      <c r="L522" s="1082"/>
      <c r="M522" s="975">
        <v>100</v>
      </c>
    </row>
    <row r="523" spans="1:13" s="1083" customFormat="1" ht="25.2" hidden="1" customHeight="1">
      <c r="A523" s="1153">
        <f t="shared" si="33"/>
        <v>0</v>
      </c>
      <c r="B523" s="1329" t="s">
        <v>2080</v>
      </c>
      <c r="C523" s="1329"/>
      <c r="D523" s="1110"/>
      <c r="E523" s="1079">
        <f>VLOOKUP($B523,DG!A:D,DG!$B$2,)</f>
        <v>0</v>
      </c>
      <c r="F523" s="1080" t="str">
        <f>VLOOKUP($B523,DG!A:D,DG!$C$2,)</f>
        <v>Keo dán ống PVC (100gr)</v>
      </c>
      <c r="G523" s="1079" t="str">
        <f>VLOOKUP($B523,DG!A:D,DG!$D$2,)</f>
        <v>tuýp</v>
      </c>
      <c r="H523" s="1167">
        <f>H510</f>
        <v>0</v>
      </c>
      <c r="I523" s="1259">
        <f t="shared" si="35"/>
        <v>0</v>
      </c>
      <c r="J523" s="1108"/>
      <c r="K523" s="1108"/>
      <c r="L523" s="1082"/>
      <c r="M523" s="975">
        <v>100</v>
      </c>
    </row>
    <row r="524" spans="1:13" s="1083" customFormat="1" ht="25.2" hidden="1" customHeight="1">
      <c r="A524" s="1153">
        <f t="shared" si="33"/>
        <v>0</v>
      </c>
      <c r="B524" s="1329" t="s">
        <v>489</v>
      </c>
      <c r="C524" s="1329"/>
      <c r="D524" s="1110"/>
      <c r="E524" s="1079">
        <f>VLOOKUP($B524,DG!A:D,DG!$B$2,)</f>
        <v>0</v>
      </c>
      <c r="F524" s="1080" t="str">
        <f>VLOOKUP($B524,DG!A:D,DG!$C$2,)</f>
        <v>Keo silicon bít miệng ống</v>
      </c>
      <c r="G524" s="1079" t="str">
        <f>VLOOKUP($B524,DG!A:D,DG!$D$2,)</f>
        <v>ống</v>
      </c>
      <c r="H524" s="1167">
        <f>H510</f>
        <v>0</v>
      </c>
      <c r="I524" s="1259">
        <f t="shared" si="35"/>
        <v>0</v>
      </c>
      <c r="J524" s="1108"/>
      <c r="K524" s="1108"/>
      <c r="L524" s="1082"/>
      <c r="M524" s="975">
        <v>100</v>
      </c>
    </row>
    <row r="525" spans="1:13" s="1083" customFormat="1" ht="25.2" hidden="1" customHeight="1">
      <c r="A525" s="1153">
        <f t="shared" si="33"/>
        <v>0</v>
      </c>
      <c r="B525" s="1154" t="s">
        <v>672</v>
      </c>
      <c r="C525" s="1154"/>
      <c r="D525" s="1110"/>
      <c r="E525" s="1188"/>
      <c r="F525" s="1080" t="str">
        <f>VLOOKUP($B525,DG!A:D,DG!$C$2,)</f>
        <v>Băng keo cách điện</v>
      </c>
      <c r="G525" s="1079" t="str">
        <f>VLOOKUP($B525,DG!A:D,DG!$D$2,)</f>
        <v>cuộn</v>
      </c>
      <c r="H525" s="1167">
        <f>H510</f>
        <v>0</v>
      </c>
      <c r="I525" s="1259">
        <f t="shared" si="35"/>
        <v>0</v>
      </c>
      <c r="J525" s="1108"/>
      <c r="K525" s="1108"/>
      <c r="L525" s="1082"/>
      <c r="M525" s="975">
        <v>100</v>
      </c>
    </row>
    <row r="526" spans="1:13" s="1083" customFormat="1" ht="25.2" hidden="1" customHeight="1">
      <c r="A526" s="1153">
        <f t="shared" si="33"/>
        <v>0</v>
      </c>
      <c r="B526" s="1329" t="s">
        <v>2188</v>
      </c>
      <c r="C526" s="1329"/>
      <c r="D526" s="1110"/>
      <c r="E526" s="1079" t="str">
        <f>VLOOKUP($B526,DG!A:D,DG!$B$2,)</f>
        <v>07.2415</v>
      </c>
      <c r="F526" s="1080" t="str">
        <f>VLOOKUP($B526,DG!A:D,DG!$C$2,)</f>
        <v>Lắp ống nhựa PVC D90</v>
      </c>
      <c r="G526" s="1079" t="str">
        <f>VLOOKUP($B526,DG!A:D,DG!$D$2,)</f>
        <v>mét</v>
      </c>
      <c r="H526" s="1167">
        <f>H519</f>
        <v>7</v>
      </c>
      <c r="I526" s="1259">
        <f t="shared" si="35"/>
        <v>0</v>
      </c>
      <c r="J526" s="1108"/>
      <c r="K526" s="1108"/>
      <c r="L526" s="1082"/>
      <c r="M526" s="975">
        <v>100</v>
      </c>
    </row>
    <row r="527" spans="1:13" s="1083" customFormat="1" ht="25.2" hidden="1" customHeight="1">
      <c r="A527" s="1153">
        <f t="shared" si="33"/>
        <v>0</v>
      </c>
      <c r="B527" s="1154" t="s">
        <v>1528</v>
      </c>
      <c r="C527" s="1154"/>
      <c r="D527" s="1110"/>
      <c r="E527" s="1079" t="str">
        <f>VLOOKUP($B527,DG!A:D,DG!$B$2,)</f>
        <v>04.4201</v>
      </c>
      <c r="F527" s="1080" t="str">
        <f>VLOOKUP($B527,DG!A:D,DG!$C$2,)</f>
        <v>Lắp cáp đồng xuống thiết bị D ≤ 95mm2</v>
      </c>
      <c r="G527" s="1079" t="str">
        <f>VLOOKUP($B527,DG!A:D,DG!$D$2,)</f>
        <v>m</v>
      </c>
      <c r="H527" s="1167">
        <f>H512+H513</f>
        <v>0</v>
      </c>
      <c r="I527" s="1259">
        <f t="shared" si="35"/>
        <v>0</v>
      </c>
      <c r="J527" s="1108"/>
      <c r="K527" s="1108"/>
      <c r="L527" s="1082"/>
      <c r="M527" s="975">
        <v>100</v>
      </c>
    </row>
    <row r="528" spans="1:13" s="1083" customFormat="1" ht="25.2" hidden="1" customHeight="1">
      <c r="A528" s="1153">
        <f t="shared" si="33"/>
        <v>0</v>
      </c>
      <c r="B528" s="1329" t="s">
        <v>289</v>
      </c>
      <c r="C528" s="1329"/>
      <c r="D528" s="1170">
        <f>IF(H528&gt;0,D510+1,D510)</f>
        <v>0</v>
      </c>
      <c r="E528" s="1189"/>
      <c r="F528" s="1080" t="str">
        <f>VLOOKUP($B528,DG!A:D,DG!$C$2,)</f>
        <v>Bảng tên trạm, bảng báo nguy hiểm + đinh vít</v>
      </c>
      <c r="G528" s="1079" t="str">
        <f>VLOOKUP($B528,DG!A:D,DG!$D$2,)</f>
        <v>bộ</v>
      </c>
      <c r="H528" s="1846">
        <f>H477</f>
        <v>0</v>
      </c>
      <c r="I528" s="1259">
        <f t="shared" si="35"/>
        <v>0</v>
      </c>
      <c r="J528" s="1108"/>
      <c r="K528" s="1108"/>
      <c r="L528" s="1098"/>
      <c r="M528" s="975">
        <v>100</v>
      </c>
    </row>
    <row r="529" spans="1:13" s="1083" customFormat="1" ht="25.2" hidden="1" customHeight="1">
      <c r="A529" s="1153">
        <f t="shared" si="33"/>
        <v>0</v>
      </c>
      <c r="B529" s="1324"/>
      <c r="C529" s="1324"/>
      <c r="D529" s="1190"/>
      <c r="E529" s="1191"/>
      <c r="F529" s="1069"/>
      <c r="G529" s="1192"/>
      <c r="H529" s="1847"/>
      <c r="I529" s="1259">
        <f t="shared" si="35"/>
        <v>0</v>
      </c>
      <c r="J529" s="1193"/>
      <c r="K529" s="1194"/>
      <c r="L529" s="1136"/>
      <c r="M529" s="975"/>
    </row>
    <row r="530" spans="1:13" s="1083" customFormat="1" ht="25.2" hidden="1" customHeight="1">
      <c r="A530" s="1153">
        <f t="shared" si="33"/>
        <v>0</v>
      </c>
      <c r="B530" s="1324"/>
      <c r="C530" s="1324"/>
      <c r="D530" s="1161"/>
      <c r="E530" s="1200"/>
      <c r="F530" s="1201"/>
      <c r="H530" s="1880"/>
      <c r="I530" s="1259">
        <f t="shared" si="35"/>
        <v>0</v>
      </c>
      <c r="M530" s="975"/>
    </row>
    <row r="531" spans="1:13" s="1083" customFormat="1" ht="25.2" hidden="1" customHeight="1">
      <c r="A531" s="1153">
        <f t="shared" si="33"/>
        <v>0</v>
      </c>
      <c r="B531" s="1324"/>
      <c r="C531" s="1324"/>
      <c r="D531" s="1134" t="str">
        <f>" BAÛNG TOÅNG HÔÏP VAÄT LIEÄU, NHAÂN COÂNG, MAÙY THI COÂNG : "&amp;L6&amp;" TRAÏM 3P 3x15KVA"</f>
        <v xml:space="preserve"> BAÛNG TOÅNG HÔÏP VAÄT LIEÄU, NHAÂN COÂNG, MAÙY THI COÂNG : 0 TRAÏM 3P 3x15KVA</v>
      </c>
      <c r="E531" s="1195"/>
      <c r="F531" s="1100"/>
      <c r="G531" s="1100"/>
      <c r="H531" s="1848"/>
      <c r="I531" s="1259">
        <f t="shared" si="35"/>
        <v>0</v>
      </c>
      <c r="J531" s="1100"/>
      <c r="K531" s="1100"/>
      <c r="M531" s="975"/>
    </row>
    <row r="532" spans="1:13" s="1083" customFormat="1" ht="25.2" hidden="1" customHeight="1">
      <c r="A532" s="1153">
        <f t="shared" si="33"/>
        <v>0</v>
      </c>
      <c r="B532" s="1324"/>
      <c r="C532" s="1324"/>
      <c r="D532" s="1156"/>
      <c r="E532" s="1157"/>
      <c r="F532" s="1069" t="s">
        <v>3690</v>
      </c>
      <c r="G532" s="1159"/>
      <c r="H532" s="1843"/>
      <c r="I532" s="1259">
        <f t="shared" si="35"/>
        <v>0</v>
      </c>
      <c r="J532" s="1159"/>
      <c r="K532" s="1159"/>
      <c r="L532" s="1157"/>
      <c r="M532" s="975" t="s">
        <v>1262</v>
      </c>
    </row>
    <row r="533" spans="1:13" s="1083" customFormat="1" ht="25.2" hidden="1" customHeight="1">
      <c r="A533" s="1153">
        <f t="shared" si="33"/>
        <v>0</v>
      </c>
      <c r="B533" s="1325" t="s">
        <v>822</v>
      </c>
      <c r="C533" s="1325"/>
      <c r="D533" s="1090">
        <f>IF(H533&gt;0,1,0)</f>
        <v>0</v>
      </c>
      <c r="E533" s="1079" t="str">
        <f>VLOOKUP($B533,DG!A:D,DG!$B$2,)</f>
        <v>01.1161</v>
      </c>
      <c r="F533" s="1080" t="str">
        <f>VLOOKUP($B533,DG!A:D,DG!$C$2,)</f>
        <v>Máy biến áp 12,7/0,22-0,44kV  15kVA</v>
      </c>
      <c r="G533" s="1079" t="str">
        <f>VLOOKUP($B533,DG!A:D,DG!$D$2,)</f>
        <v>máy</v>
      </c>
      <c r="H533" s="1849">
        <f>L6*3</f>
        <v>0</v>
      </c>
      <c r="I533" s="1259">
        <f t="shared" si="35"/>
        <v>0</v>
      </c>
      <c r="J533" s="1108"/>
      <c r="K533" s="1108"/>
      <c r="L533" s="1082"/>
      <c r="M533" s="975" t="s">
        <v>1262</v>
      </c>
    </row>
    <row r="534" spans="1:13" s="1083" customFormat="1" ht="25.2" hidden="1" customHeight="1">
      <c r="A534" s="1153">
        <f t="shared" si="33"/>
        <v>0</v>
      </c>
      <c r="B534" s="1325" t="s">
        <v>1655</v>
      </c>
      <c r="C534" s="1325"/>
      <c r="D534" s="1110">
        <f>IF(H534&gt;0,D533+1,D533)</f>
        <v>0</v>
      </c>
      <c r="E534" s="1079" t="str">
        <f>VLOOKUP($B534,DG!A:D,DG!$B$2,)</f>
        <v>02.3155</v>
      </c>
      <c r="F534" s="1080" t="str">
        <f>VLOOKUP($B534,DG!A:D,DG!$C$2,)</f>
        <v>FCO 27kV - 100A</v>
      </c>
      <c r="G534" s="1079" t="str">
        <f>VLOOKUP($B534,DG!A:D,DG!$D$2,)</f>
        <v>cái</v>
      </c>
      <c r="H534" s="1167">
        <f>+H533</f>
        <v>0</v>
      </c>
      <c r="I534" s="1259">
        <f t="shared" si="35"/>
        <v>0</v>
      </c>
      <c r="J534" s="1108"/>
      <c r="K534" s="1108"/>
      <c r="L534" s="1082"/>
      <c r="M534" s="975" t="s">
        <v>1262</v>
      </c>
    </row>
    <row r="535" spans="1:13" s="1083" customFormat="1" ht="25.2" hidden="1" customHeight="1">
      <c r="A535" s="1153">
        <f t="shared" si="33"/>
        <v>0</v>
      </c>
      <c r="B535" s="1325" t="s">
        <v>888</v>
      </c>
      <c r="C535" s="1325"/>
      <c r="D535" s="1110">
        <f>IF(H535&gt;0,D534+1,D534)</f>
        <v>0</v>
      </c>
      <c r="E535" s="1079">
        <f>VLOOKUP($B535,DG!A:D,DG!$B$2,)</f>
        <v>0</v>
      </c>
      <c r="F535" s="1080" t="str">
        <f>VLOOKUP($B535,DG!A:D,DG!$C$2,)</f>
        <v>Dây chảy 3K</v>
      </c>
      <c r="G535" s="1079" t="str">
        <f>VLOOKUP($B535,DG!A:D,DG!$D$2,)</f>
        <v>Sợi</v>
      </c>
      <c r="H535" s="1167">
        <f>H534</f>
        <v>0</v>
      </c>
      <c r="I535" s="1259">
        <f t="shared" si="35"/>
        <v>0</v>
      </c>
      <c r="J535" s="1108"/>
      <c r="K535" s="1108"/>
      <c r="L535" s="1082"/>
      <c r="M535" s="975" t="s">
        <v>1262</v>
      </c>
    </row>
    <row r="536" spans="1:13" s="1083" customFormat="1" ht="25.2" hidden="1" customHeight="1">
      <c r="A536" s="1153">
        <f t="shared" si="33"/>
        <v>0</v>
      </c>
      <c r="B536" s="1324" t="s">
        <v>1376</v>
      </c>
      <c r="C536" s="1324"/>
      <c r="D536" s="1110">
        <f>IF(H536&gt;0,D535+1,D535)</f>
        <v>0</v>
      </c>
      <c r="E536" s="1079" t="str">
        <f>VLOOKUP($B536,DG!A:D,DG!$B$2,)</f>
        <v>02.5114</v>
      </c>
      <c r="F536" s="1080" t="str">
        <f>VLOOKUP($B536,DG!A:D,DG!$C$2,)</f>
        <v>Chống sét van LA-18KV-10KA</v>
      </c>
      <c r="G536" s="1079" t="str">
        <f>VLOOKUP($B536,DG!A:D,DG!$D$2,)</f>
        <v>cái</v>
      </c>
      <c r="H536" s="1167">
        <f>H534</f>
        <v>0</v>
      </c>
      <c r="I536" s="1259">
        <f t="shared" si="35"/>
        <v>0</v>
      </c>
      <c r="J536" s="1108"/>
      <c r="K536" s="1108"/>
      <c r="L536" s="1082"/>
      <c r="M536" s="975" t="s">
        <v>1262</v>
      </c>
    </row>
    <row r="537" spans="1:13" s="1083" customFormat="1" ht="25.2" hidden="1" customHeight="1">
      <c r="A537" s="1153">
        <f t="shared" si="33"/>
        <v>0</v>
      </c>
      <c r="B537" s="1326" t="s">
        <v>81</v>
      </c>
      <c r="C537" s="1326"/>
      <c r="D537" s="1110">
        <f>IF(H537&gt;0,D536+1,D536)</f>
        <v>0</v>
      </c>
      <c r="E537" s="1079" t="str">
        <f>VLOOKUP($B537,DG!A:D,DG!$B$2,)</f>
        <v>02.8401</v>
      </c>
      <c r="F537" s="1080" t="str">
        <f>VLOOKUP($B537,DG!A:D,DG!$C$2,)</f>
        <v>MCCB 3 cực 400V-75A - 10KA</v>
      </c>
      <c r="G537" s="1079" t="str">
        <f>VLOOKUP($B537,DG!A:D,DG!$D$2,)</f>
        <v>cái</v>
      </c>
      <c r="H537" s="1167">
        <f>H533/3</f>
        <v>0</v>
      </c>
      <c r="I537" s="1259">
        <f t="shared" si="35"/>
        <v>0</v>
      </c>
      <c r="J537" s="1108"/>
      <c r="K537" s="1108"/>
      <c r="L537" s="1082"/>
      <c r="M537" s="975" t="s">
        <v>1262</v>
      </c>
    </row>
    <row r="538" spans="1:13" s="1083" customFormat="1" ht="25.2" hidden="1" customHeight="1">
      <c r="A538" s="1153">
        <f t="shared" ref="A538:A601" si="38">IF(I538&gt;0,1,0)</f>
        <v>0</v>
      </c>
      <c r="B538" s="1346" t="s">
        <v>1394</v>
      </c>
      <c r="C538" s="1346"/>
      <c r="D538" s="1110">
        <f>IF(H538&gt;0,D537+1,D537)</f>
        <v>0</v>
      </c>
      <c r="E538" s="1079">
        <f>VLOOKUP($B538,DG!A:D,DG!$B$2,)</f>
        <v>0</v>
      </c>
      <c r="F538" s="1080" t="str">
        <f>VLOOKUP($B538,DG!A:D,DG!$C$2,)</f>
        <v>Điện kế 3 pha 4 dây 220/380V-50(100)A</v>
      </c>
      <c r="G538" s="1079" t="str">
        <f>VLOOKUP($B538,DG!A:D,DG!$D$2,)</f>
        <v>cái</v>
      </c>
      <c r="H538" s="1167">
        <f>H535/3</f>
        <v>0</v>
      </c>
      <c r="I538" s="1259">
        <f t="shared" si="35"/>
        <v>0</v>
      </c>
      <c r="J538" s="1108"/>
      <c r="K538" s="1108"/>
      <c r="L538" s="1098" t="s">
        <v>2609</v>
      </c>
      <c r="M538" s="975" t="s">
        <v>1262</v>
      </c>
    </row>
    <row r="539" spans="1:13" s="1083" customFormat="1" ht="25.2" hidden="1" customHeight="1">
      <c r="A539" s="1153">
        <f t="shared" si="38"/>
        <v>0</v>
      </c>
      <c r="B539" s="1324"/>
      <c r="C539" s="1324"/>
      <c r="D539" s="1107"/>
      <c r="E539" s="1202"/>
      <c r="F539" s="1160"/>
      <c r="G539" s="1107"/>
      <c r="H539" s="1202"/>
      <c r="I539" s="1259">
        <f t="shared" si="35"/>
        <v>0</v>
      </c>
      <c r="J539" s="1160"/>
      <c r="K539" s="1107"/>
      <c r="L539" s="1203"/>
      <c r="M539" s="975" t="s">
        <v>1262</v>
      </c>
    </row>
    <row r="540" spans="1:13" s="1083" customFormat="1" ht="25.2" hidden="1" customHeight="1">
      <c r="A540" s="1153">
        <f t="shared" si="38"/>
        <v>0</v>
      </c>
      <c r="B540" s="1324"/>
      <c r="C540" s="1324"/>
      <c r="D540" s="1181"/>
      <c r="E540" s="1204"/>
      <c r="F540" s="1069" t="s">
        <v>3691</v>
      </c>
      <c r="G540" s="1069"/>
      <c r="H540" s="1843"/>
      <c r="I540" s="1259">
        <f t="shared" si="35"/>
        <v>0</v>
      </c>
      <c r="J540" s="1069"/>
      <c r="K540" s="1069"/>
      <c r="L540" s="1136"/>
      <c r="M540" s="975" t="s">
        <v>1262</v>
      </c>
    </row>
    <row r="541" spans="1:13" s="1083" customFormat="1" ht="25.2" hidden="1" customHeight="1">
      <c r="A541" s="1153">
        <f t="shared" si="38"/>
        <v>0</v>
      </c>
      <c r="B541" s="1324"/>
      <c r="C541" s="1324"/>
      <c r="D541" s="1205">
        <f>IF(H541&gt;0,1,0)</f>
        <v>0</v>
      </c>
      <c r="E541" s="1206"/>
      <c r="F541" s="1207" t="s">
        <v>3710</v>
      </c>
      <c r="G541" s="1205" t="s">
        <v>2391</v>
      </c>
      <c r="H541" s="1852">
        <f>H533/3</f>
        <v>0</v>
      </c>
      <c r="I541" s="1259">
        <f t="shared" si="35"/>
        <v>0</v>
      </c>
      <c r="J541" s="1208"/>
      <c r="K541" s="1208"/>
      <c r="L541" s="1196"/>
      <c r="M541" s="975" t="s">
        <v>1262</v>
      </c>
    </row>
    <row r="542" spans="1:13" s="1083" customFormat="1" ht="25.2" hidden="1" customHeight="1">
      <c r="A542" s="1153">
        <f t="shared" si="38"/>
        <v>0</v>
      </c>
      <c r="B542" s="1324"/>
      <c r="C542" s="1324"/>
      <c r="D542" s="1166"/>
      <c r="E542" s="1209"/>
      <c r="F542" s="1365" t="s">
        <v>2285</v>
      </c>
      <c r="G542" s="1110"/>
      <c r="H542" s="1167"/>
      <c r="I542" s="1259">
        <f t="shared" si="35"/>
        <v>0</v>
      </c>
      <c r="J542" s="1210"/>
      <c r="K542" s="1210"/>
      <c r="L542" s="1082"/>
      <c r="M542" s="975" t="s">
        <v>1262</v>
      </c>
    </row>
    <row r="543" spans="1:13" s="1083" customFormat="1" ht="25.2" hidden="1" customHeight="1">
      <c r="A543" s="1153">
        <f t="shared" si="38"/>
        <v>0</v>
      </c>
      <c r="B543" s="1154" t="s">
        <v>1589</v>
      </c>
      <c r="C543" s="1154"/>
      <c r="D543" s="1166"/>
      <c r="E543" s="1079" t="str">
        <f>VLOOKUP($B543,DG!A:D,DG!$B$2,)</f>
        <v>05.6100</v>
      </c>
      <c r="F543" s="1080" t="str">
        <f>VLOOKUP($B543,DG!A:D,DG!$C$2,)</f>
        <v>Giá chùm treo máy biến áp 3x15</v>
      </c>
      <c r="G543" s="1079" t="str">
        <f>VLOOKUP($B543,DG!A:D,DG!$D$2,)</f>
        <v>bô</v>
      </c>
      <c r="H543" s="1167">
        <f>H541*24.13*0+1*H541</f>
        <v>0</v>
      </c>
      <c r="I543" s="1259">
        <f t="shared" si="35"/>
        <v>0</v>
      </c>
      <c r="J543" s="1108"/>
      <c r="K543" s="1108"/>
      <c r="L543" s="1082"/>
      <c r="M543" s="975" t="s">
        <v>1262</v>
      </c>
    </row>
    <row r="544" spans="1:13" s="1083" customFormat="1" ht="25.2" hidden="1" customHeight="1">
      <c r="A544" s="1153">
        <f t="shared" si="38"/>
        <v>0</v>
      </c>
      <c r="B544" s="1324" t="s">
        <v>1790</v>
      </c>
      <c r="C544" s="1324"/>
      <c r="D544" s="1166"/>
      <c r="E544" s="1079">
        <f>VLOOKUP($B544,DG!A:D,DG!$B$2,)</f>
        <v>0</v>
      </c>
      <c r="F544" s="1080" t="str">
        <f>VLOOKUP($B544,DG!A:D,DG!$C$2,)</f>
        <v>Boulon 16x50+ 2 long đền vuông D18-50x50x3/Zn</v>
      </c>
      <c r="G544" s="1079" t="str">
        <f>VLOOKUP($B544,DG!A:D,DG!$D$2,)</f>
        <v>bộ</v>
      </c>
      <c r="H544" s="1167">
        <f>6*H541</f>
        <v>0</v>
      </c>
      <c r="I544" s="1259">
        <f t="shared" si="35"/>
        <v>0</v>
      </c>
      <c r="J544" s="1108"/>
      <c r="K544" s="1108"/>
      <c r="L544" s="1082"/>
      <c r="M544" s="975" t="s">
        <v>1262</v>
      </c>
    </row>
    <row r="545" spans="1:14" s="1083" customFormat="1" ht="25.2" hidden="1" customHeight="1">
      <c r="A545" s="1153">
        <f t="shared" si="38"/>
        <v>0</v>
      </c>
      <c r="B545" s="1324" t="s">
        <v>1613</v>
      </c>
      <c r="C545" s="1324"/>
      <c r="D545" s="1166"/>
      <c r="E545" s="1079">
        <f>VLOOKUP($B545,DG!A:D,DG!$B$2,)</f>
        <v>0</v>
      </c>
      <c r="F545" s="1080" t="str">
        <f>VLOOKUP($B545,DG!A:D,DG!$C$2,)</f>
        <v>Boulon 16x300+ 2 long đền vuông D18-50x50x3/Zn</v>
      </c>
      <c r="G545" s="1079" t="str">
        <f>VLOOKUP($B545,DG!A:D,DG!$D$2,)</f>
        <v>bộ</v>
      </c>
      <c r="H545" s="1167">
        <f>2*H541</f>
        <v>0</v>
      </c>
      <c r="I545" s="1259">
        <f t="shared" si="35"/>
        <v>0</v>
      </c>
      <c r="J545" s="1108"/>
      <c r="K545" s="1108"/>
      <c r="L545" s="1082"/>
      <c r="M545" s="975" t="s">
        <v>1262</v>
      </c>
    </row>
    <row r="546" spans="1:14" s="1083" customFormat="1" ht="25.2" hidden="1" customHeight="1">
      <c r="A546" s="1153">
        <f t="shared" si="38"/>
        <v>0</v>
      </c>
      <c r="B546" s="1324"/>
      <c r="C546" s="1324"/>
      <c r="D546" s="1078">
        <f>IF(H546&gt;0,D541+1,D541)</f>
        <v>0</v>
      </c>
      <c r="E546" s="1185"/>
      <c r="F546" s="1186" t="s">
        <v>3692</v>
      </c>
      <c r="G546" s="1166" t="s">
        <v>2391</v>
      </c>
      <c r="H546" s="1845"/>
      <c r="I546" s="1259">
        <f t="shared" si="35"/>
        <v>0</v>
      </c>
      <c r="J546" s="1131"/>
      <c r="K546" s="1131"/>
      <c r="L546" s="1110"/>
      <c r="M546" s="975" t="s">
        <v>1262</v>
      </c>
    </row>
    <row r="547" spans="1:14" s="1083" customFormat="1" ht="25.2" hidden="1" customHeight="1">
      <c r="A547" s="1153">
        <f t="shared" si="38"/>
        <v>0</v>
      </c>
      <c r="B547" s="1324"/>
      <c r="C547" s="1324"/>
      <c r="D547" s="1166"/>
      <c r="E547" s="1185"/>
      <c r="F547" s="1364" t="s">
        <v>2285</v>
      </c>
      <c r="G547" s="1110"/>
      <c r="H547" s="1167"/>
      <c r="I547" s="1259">
        <f t="shared" si="35"/>
        <v>0</v>
      </c>
      <c r="J547" s="1131"/>
      <c r="K547" s="1131"/>
      <c r="L547" s="1110"/>
      <c r="M547" s="975" t="s">
        <v>1262</v>
      </c>
      <c r="N547" s="1187"/>
    </row>
    <row r="548" spans="1:14" s="1083" customFormat="1" ht="25.2" hidden="1" customHeight="1">
      <c r="A548" s="1153">
        <f t="shared" si="38"/>
        <v>0</v>
      </c>
      <c r="B548" s="1154" t="s">
        <v>115</v>
      </c>
      <c r="C548" s="1154"/>
      <c r="D548" s="1110"/>
      <c r="E548" s="1079">
        <f>VLOOKUP($B548,DG!A:D,DG!$B$2,)</f>
        <v>0</v>
      </c>
      <c r="F548" s="1080" t="str">
        <f>VLOOKUP($B548,DG!A:D,DG!$C$2,)</f>
        <v>Trụ BTLT 12m F350 dự ứng lực</v>
      </c>
      <c r="G548" s="1079" t="str">
        <f>VLOOKUP($B548,DG!A:D,DG!$D$2,)</f>
        <v>trụ</v>
      </c>
      <c r="H548" s="1167">
        <f>1*H546</f>
        <v>0</v>
      </c>
      <c r="I548" s="1259">
        <f t="shared" si="35"/>
        <v>0</v>
      </c>
      <c r="J548" s="1108"/>
      <c r="K548" s="1108"/>
      <c r="L548" s="1110"/>
      <c r="M548" s="975" t="s">
        <v>1262</v>
      </c>
      <c r="N548" s="1187"/>
    </row>
    <row r="549" spans="1:14" s="1083" customFormat="1" ht="25.2" hidden="1" customHeight="1">
      <c r="A549" s="1153">
        <f t="shared" si="38"/>
        <v>0</v>
      </c>
      <c r="B549" s="1154" t="s">
        <v>1818</v>
      </c>
      <c r="C549" s="1154"/>
      <c r="D549" s="1110"/>
      <c r="E549" s="1188"/>
      <c r="F549" s="1080" t="str">
        <f>VLOOKUP($B549,DG!A:D,DG!$C$2,)</f>
        <v>Vật liệu dựng trụ</v>
      </c>
      <c r="G549" s="1079" t="str">
        <f>VLOOKUP($B549,DG!A:D,DG!$D$2,)</f>
        <v>trụ</v>
      </c>
      <c r="H549" s="1167">
        <f>H548</f>
        <v>0</v>
      </c>
      <c r="I549" s="1259">
        <f t="shared" si="35"/>
        <v>0</v>
      </c>
      <c r="J549" s="1108"/>
      <c r="K549" s="1108"/>
      <c r="L549" s="1110"/>
      <c r="M549" s="975" t="s">
        <v>1262</v>
      </c>
      <c r="N549" s="1187"/>
    </row>
    <row r="550" spans="1:14" s="1083" customFormat="1" ht="25.2" hidden="1" customHeight="1">
      <c r="A550" s="1153">
        <f t="shared" si="38"/>
        <v>0</v>
      </c>
      <c r="B550" s="1154" t="s">
        <v>2132</v>
      </c>
      <c r="C550" s="1154"/>
      <c r="D550" s="1110"/>
      <c r="E550" s="1188"/>
      <c r="F550" s="1080" t="str">
        <f>VLOOKUP($B550,DG!A:D,DG!$C$2,)</f>
        <v>Dựng trụ BTLT 12m trong TBA bằng thủ công + cơ giới</v>
      </c>
      <c r="G550" s="1079" t="str">
        <f>VLOOKUP($B550,DG!A:D,DG!$D$2,)</f>
        <v>trụ</v>
      </c>
      <c r="H550" s="1167">
        <f>H548</f>
        <v>0</v>
      </c>
      <c r="I550" s="1259">
        <f t="shared" si="35"/>
        <v>0</v>
      </c>
      <c r="J550" s="1108"/>
      <c r="K550" s="1108"/>
      <c r="L550" s="1110"/>
      <c r="M550" s="975" t="s">
        <v>1262</v>
      </c>
      <c r="N550" s="1187"/>
    </row>
    <row r="551" spans="1:14" s="1083" customFormat="1" ht="25.2" hidden="1" customHeight="1">
      <c r="A551" s="1153">
        <f t="shared" si="38"/>
        <v>0</v>
      </c>
      <c r="B551" s="1324"/>
      <c r="C551" s="1324"/>
      <c r="D551" s="1078">
        <f>IF(H551&gt;0,D546+1,D546)</f>
        <v>0</v>
      </c>
      <c r="E551" s="1185"/>
      <c r="F551" s="1186" t="s">
        <v>2358</v>
      </c>
      <c r="G551" s="1166" t="s">
        <v>2391</v>
      </c>
      <c r="H551" s="1845"/>
      <c r="I551" s="1259">
        <f t="shared" si="35"/>
        <v>0</v>
      </c>
      <c r="J551" s="1131"/>
      <c r="K551" s="1131"/>
      <c r="L551" s="1110"/>
      <c r="M551" s="975" t="s">
        <v>1262</v>
      </c>
    </row>
    <row r="552" spans="1:14" s="1083" customFormat="1" ht="25.2" hidden="1" customHeight="1">
      <c r="A552" s="1153">
        <f t="shared" si="38"/>
        <v>0</v>
      </c>
      <c r="B552" s="1324"/>
      <c r="C552" s="1324"/>
      <c r="D552" s="1166"/>
      <c r="E552" s="1185"/>
      <c r="F552" s="1364" t="s">
        <v>2285</v>
      </c>
      <c r="G552" s="1110"/>
      <c r="H552" s="1167"/>
      <c r="I552" s="1259">
        <f t="shared" si="35"/>
        <v>0</v>
      </c>
      <c r="J552" s="1131"/>
      <c r="K552" s="1131"/>
      <c r="L552" s="1110"/>
      <c r="M552" s="975" t="s">
        <v>1262</v>
      </c>
      <c r="N552" s="1187"/>
    </row>
    <row r="553" spans="1:14" s="1083" customFormat="1" ht="25.2" hidden="1" customHeight="1">
      <c r="A553" s="1153">
        <f t="shared" si="38"/>
        <v>0</v>
      </c>
      <c r="B553" s="1331" t="s">
        <v>230</v>
      </c>
      <c r="C553" s="1331"/>
      <c r="D553" s="1110"/>
      <c r="E553" s="1079" t="str">
        <f>VLOOKUP($B553,DG!A:D,DG!$B$2,)</f>
        <v>04.4001</v>
      </c>
      <c r="F553" s="1080" t="str">
        <f>VLOOKUP($B553,DG!A:D,DG!$C$2,)</f>
        <v>Đà cản BTCT 1,2m</v>
      </c>
      <c r="G553" s="1079" t="str">
        <f>VLOOKUP($B553,DG!A:D,DG!$D$2,)</f>
        <v>cái</v>
      </c>
      <c r="H553" s="1167">
        <f>1*H551</f>
        <v>0</v>
      </c>
      <c r="I553" s="1259">
        <f t="shared" si="35"/>
        <v>0</v>
      </c>
      <c r="J553" s="1108"/>
      <c r="K553" s="1108"/>
      <c r="L553" s="1110"/>
      <c r="M553" s="975" t="s">
        <v>1262</v>
      </c>
      <c r="N553" s="1187"/>
    </row>
    <row r="554" spans="1:14" s="1083" customFormat="1" ht="25.2" hidden="1" customHeight="1">
      <c r="A554" s="1153">
        <f t="shared" si="38"/>
        <v>0</v>
      </c>
      <c r="B554" s="1331" t="s">
        <v>398</v>
      </c>
      <c r="C554" s="1331"/>
      <c r="D554" s="1110"/>
      <c r="E554" s="1079">
        <f>VLOOKUP($B554,DG!A:D,DG!$B$2,)</f>
        <v>0</v>
      </c>
      <c r="F554" s="1080" t="str">
        <f>VLOOKUP($B554,DG!A:D,DG!$C$2,)</f>
        <v>Boulon 22x650+ 2 long đền vuông D24-50x50x3/Zn</v>
      </c>
      <c r="G554" s="1079" t="str">
        <f>VLOOKUP($B554,DG!A:D,DG!$D$2,)</f>
        <v>bộ</v>
      </c>
      <c r="H554" s="1167">
        <f>H551</f>
        <v>0</v>
      </c>
      <c r="I554" s="1259">
        <f t="shared" si="35"/>
        <v>0</v>
      </c>
      <c r="J554" s="1108"/>
      <c r="K554" s="1108"/>
      <c r="L554" s="1110"/>
      <c r="M554" s="975" t="s">
        <v>1262</v>
      </c>
      <c r="N554" s="1187"/>
    </row>
    <row r="555" spans="1:14" s="1083" customFormat="1" ht="25.2" hidden="1" customHeight="1">
      <c r="A555" s="1153">
        <f t="shared" si="38"/>
        <v>0</v>
      </c>
      <c r="B555" s="1331" t="str">
        <f>IF(chitiet!G5=1,"MDD1",IF(chitiet!G5=2,"MDD2",IF(chitiet!G5=3,"MDD3",IF(chitiet!G5=4,"MDD4"))))</f>
        <v>MDD3</v>
      </c>
      <c r="C555" s="1331"/>
      <c r="D555" s="1110"/>
      <c r="E555" s="1079" t="str">
        <f>VLOOKUP($B555,DG!A:D,DG!$B$2,)</f>
        <v>03.1013</v>
      </c>
      <c r="F555" s="1080" t="str">
        <f>VLOOKUP($B555,DG!A:D,DG!$C$2,)</f>
        <v>Đào hố móng đất cấp 3 sâu &gt;1m</v>
      </c>
      <c r="G555" s="1079" t="str">
        <f>VLOOKUP($B555,DG!A:D,DG!$D$2,)</f>
        <v>m3</v>
      </c>
      <c r="H555" s="1167">
        <f>H551*1.45</f>
        <v>0</v>
      </c>
      <c r="I555" s="1259">
        <f t="shared" si="35"/>
        <v>0</v>
      </c>
      <c r="J555" s="1108"/>
      <c r="K555" s="1108"/>
      <c r="L555" s="1110"/>
      <c r="M555" s="975" t="s">
        <v>1262</v>
      </c>
      <c r="N555" s="1187"/>
    </row>
    <row r="556" spans="1:14" s="1083" customFormat="1" ht="25.2" hidden="1" customHeight="1">
      <c r="A556" s="1153">
        <f t="shared" si="38"/>
        <v>0</v>
      </c>
      <c r="B556" s="1331" t="str">
        <f>IF(chitiet!G5=1,"MDAP1",IF(chitiet!G5=2,"MDAP2",IF(chitiet!G5=3,"MDAP3",IF(chitiet!G5=4,"MDAP4"))))</f>
        <v>MDAP3</v>
      </c>
      <c r="C556" s="1331"/>
      <c r="D556" s="1110"/>
      <c r="E556" s="1079" t="str">
        <f>VLOOKUP($B556,DG!A:D,DG!$B$2,)</f>
        <v>03.4113</v>
      </c>
      <c r="F556" s="1080" t="str">
        <f>VLOOKUP($B556,DG!A:D,DG!$C$2,)</f>
        <v>Đắp đất hố móng, độ chặt k=0,95</v>
      </c>
      <c r="G556" s="1079" t="str">
        <f>VLOOKUP($B556,DG!A:D,DG!$D$2,)</f>
        <v>m3</v>
      </c>
      <c r="H556" s="1167">
        <f>H551*1.37</f>
        <v>0</v>
      </c>
      <c r="I556" s="1259">
        <f t="shared" si="35"/>
        <v>0</v>
      </c>
      <c r="J556" s="1108"/>
      <c r="K556" s="1108"/>
      <c r="L556" s="1110"/>
      <c r="M556" s="975" t="s">
        <v>1262</v>
      </c>
      <c r="N556" s="1187"/>
    </row>
    <row r="557" spans="1:14" s="1083" customFormat="1" ht="25.2" hidden="1" customHeight="1">
      <c r="A557" s="1153">
        <f t="shared" si="38"/>
        <v>0</v>
      </c>
      <c r="B557" s="1324"/>
      <c r="C557" s="1324"/>
      <c r="D557" s="1166">
        <f>IF(H557&gt;0,D551+1,D551)</f>
        <v>0</v>
      </c>
      <c r="E557" s="1209"/>
      <c r="F557" s="1197" t="s">
        <v>3711</v>
      </c>
      <c r="G557" s="1166" t="s">
        <v>2391</v>
      </c>
      <c r="H557" s="1845">
        <f>H541</f>
        <v>0</v>
      </c>
      <c r="I557" s="1259">
        <f t="shared" ref="I557:I620" si="39">IF(M557=$M$23,H557+J557-K557,0)</f>
        <v>0</v>
      </c>
      <c r="J557" s="1178"/>
      <c r="K557" s="1178"/>
      <c r="L557" s="1082"/>
      <c r="M557" s="975" t="s">
        <v>1262</v>
      </c>
    </row>
    <row r="558" spans="1:14" s="1083" customFormat="1" ht="25.2" hidden="1" customHeight="1">
      <c r="A558" s="1153">
        <f t="shared" si="38"/>
        <v>0</v>
      </c>
      <c r="B558" s="1324"/>
      <c r="C558" s="1324"/>
      <c r="D558" s="1166"/>
      <c r="E558" s="1209"/>
      <c r="F558" s="1365" t="s">
        <v>2285</v>
      </c>
      <c r="G558" s="1110"/>
      <c r="H558" s="1167"/>
      <c r="I558" s="1259">
        <f t="shared" si="39"/>
        <v>0</v>
      </c>
      <c r="J558" s="1178"/>
      <c r="K558" s="1178"/>
      <c r="L558" s="1082"/>
      <c r="M558" s="975" t="s">
        <v>1262</v>
      </c>
    </row>
    <row r="559" spans="1:14" s="1083" customFormat="1" ht="25.2" hidden="1" customHeight="1">
      <c r="A559" s="1153">
        <f t="shared" si="38"/>
        <v>0</v>
      </c>
      <c r="B559" s="1331" t="s">
        <v>109</v>
      </c>
      <c r="C559" s="1331"/>
      <c r="D559" s="1166"/>
      <c r="E559" s="1079">
        <f>VLOOKUP($B559,DG!A:D,DG!$B$2,)</f>
        <v>0</v>
      </c>
      <c r="F559" s="1080" t="str">
        <f>VLOOKUP($B559,DG!A:D,DG!$C$2,)</f>
        <v>Sắt góc L75 x75 x8</v>
      </c>
      <c r="G559" s="1079" t="str">
        <f>VLOOKUP($B559,DG!A:D,DG!$D$2,)</f>
        <v>kg</v>
      </c>
      <c r="H559" s="1167">
        <f>H557*9.02*(2.2+4*0.07)</f>
        <v>0</v>
      </c>
      <c r="I559" s="1259">
        <f t="shared" si="39"/>
        <v>0</v>
      </c>
      <c r="J559" s="1108"/>
      <c r="K559" s="1108"/>
      <c r="L559" s="1082"/>
      <c r="M559" s="975" t="s">
        <v>1262</v>
      </c>
    </row>
    <row r="560" spans="1:14" s="1083" customFormat="1" ht="25.2" hidden="1" customHeight="1">
      <c r="A560" s="1153">
        <f t="shared" si="38"/>
        <v>0</v>
      </c>
      <c r="B560" s="1324" t="s">
        <v>457</v>
      </c>
      <c r="C560" s="1324"/>
      <c r="D560" s="1166"/>
      <c r="E560" s="1079">
        <f>VLOOKUP($B560,DG!A:D,DG!$B$2,)</f>
        <v>0</v>
      </c>
      <c r="F560" s="1080" t="str">
        <f>VLOOKUP($B560,DG!A:D,DG!$C$2,)</f>
        <v>Sắt góc L50 x50 x5</v>
      </c>
      <c r="G560" s="1079" t="str">
        <f>VLOOKUP($B560,DG!A:D,DG!$D$2,)</f>
        <v>kg</v>
      </c>
      <c r="H560" s="1167">
        <f>H557*2*3.77*0.81</f>
        <v>0</v>
      </c>
      <c r="I560" s="1259">
        <f t="shared" si="39"/>
        <v>0</v>
      </c>
      <c r="J560" s="1108"/>
      <c r="K560" s="1108"/>
      <c r="L560" s="1082"/>
      <c r="M560" s="975" t="s">
        <v>1262</v>
      </c>
    </row>
    <row r="561" spans="1:13" s="1083" customFormat="1" ht="25.2" hidden="1" customHeight="1">
      <c r="A561" s="1153">
        <f t="shared" si="38"/>
        <v>0</v>
      </c>
      <c r="B561" s="1324" t="s">
        <v>1790</v>
      </c>
      <c r="C561" s="1324"/>
      <c r="D561" s="1166"/>
      <c r="E561" s="1079">
        <f>VLOOKUP($B561,DG!A:D,DG!$B$2,)</f>
        <v>0</v>
      </c>
      <c r="F561" s="1080" t="str">
        <f>VLOOKUP($B561,DG!A:D,DG!$C$2,)</f>
        <v>Boulon 16x50+ 2 long đền vuông D18-50x50x3/Zn</v>
      </c>
      <c r="G561" s="1079" t="str">
        <f>VLOOKUP($B561,DG!A:D,DG!$D$2,)</f>
        <v>bộ</v>
      </c>
      <c r="H561" s="1167">
        <f>4*H557</f>
        <v>0</v>
      </c>
      <c r="I561" s="1259">
        <f t="shared" si="39"/>
        <v>0</v>
      </c>
      <c r="J561" s="1108"/>
      <c r="K561" s="1108"/>
      <c r="L561" s="1082"/>
      <c r="M561" s="975" t="s">
        <v>1262</v>
      </c>
    </row>
    <row r="562" spans="1:13" s="1083" customFormat="1" ht="25.2" hidden="1" customHeight="1">
      <c r="A562" s="1153">
        <f t="shared" si="38"/>
        <v>0</v>
      </c>
      <c r="B562" s="1324" t="s">
        <v>1612</v>
      </c>
      <c r="C562" s="1324"/>
      <c r="D562" s="1166"/>
      <c r="E562" s="1079">
        <f>VLOOKUP($B562,DG!A:D,DG!$B$2,)</f>
        <v>0</v>
      </c>
      <c r="F562" s="1080" t="str">
        <f>VLOOKUP($B562,DG!A:D,DG!$C$2,)</f>
        <v>Boulon 16x250+ 2 long đền vuông D18-50x50x3/Zn</v>
      </c>
      <c r="G562" s="1079" t="str">
        <f>VLOOKUP($B562,DG!A:D,DG!$D$2,)</f>
        <v>bộ</v>
      </c>
      <c r="H562" s="1167">
        <f>2*H557</f>
        <v>0</v>
      </c>
      <c r="I562" s="1259">
        <f t="shared" si="39"/>
        <v>0</v>
      </c>
      <c r="J562" s="1108"/>
      <c r="K562" s="1108"/>
      <c r="L562" s="1082"/>
      <c r="M562" s="975" t="s">
        <v>1262</v>
      </c>
    </row>
    <row r="563" spans="1:13" s="1083" customFormat="1" ht="25.2" hidden="1" customHeight="1">
      <c r="A563" s="1153">
        <f t="shared" si="38"/>
        <v>0</v>
      </c>
      <c r="B563" s="1324" t="s">
        <v>2277</v>
      </c>
      <c r="C563" s="1324"/>
      <c r="D563" s="1166"/>
      <c r="E563" s="1079">
        <f>VLOOKUP($B563,DG!A:D,DG!$B$2,)</f>
        <v>0</v>
      </c>
      <c r="F563" s="1080" t="str">
        <f>VLOOKUP($B563,DG!A:D,DG!$C$2,)</f>
        <v>Bass LL bắt FCO, LA</v>
      </c>
      <c r="G563" s="1079" t="str">
        <f>VLOOKUP($B563,DG!A:D,DG!$D$2,)</f>
        <v>bộ</v>
      </c>
      <c r="H563" s="1167">
        <f>H557*3</f>
        <v>0</v>
      </c>
      <c r="I563" s="1259">
        <f t="shared" si="39"/>
        <v>0</v>
      </c>
      <c r="J563" s="1108"/>
      <c r="K563" s="1108"/>
      <c r="L563" s="1082"/>
      <c r="M563" s="975" t="s">
        <v>1262</v>
      </c>
    </row>
    <row r="564" spans="1:13" s="1083" customFormat="1" ht="25.2" hidden="1" customHeight="1">
      <c r="A564" s="1153">
        <f t="shared" si="38"/>
        <v>0</v>
      </c>
      <c r="B564" s="1324" t="s">
        <v>516</v>
      </c>
      <c r="C564" s="1324"/>
      <c r="D564" s="1166"/>
      <c r="E564" s="1079" t="str">
        <f>VLOOKUP($B564,DG!A:D,DG!$B$2,)</f>
        <v>05.6102</v>
      </c>
      <c r="F564" s="1080" t="str">
        <f>VLOOKUP($B564,DG!A:D,DG!$C$2,)</f>
        <v>Lắp xà đỡ ≤ 50kg</v>
      </c>
      <c r="G564" s="1079" t="str">
        <f>VLOOKUP($B564,DG!A:D,DG!$D$2,)</f>
        <v>bộ</v>
      </c>
      <c r="H564" s="1167">
        <f>H557</f>
        <v>0</v>
      </c>
      <c r="I564" s="1259">
        <f t="shared" si="39"/>
        <v>0</v>
      </c>
      <c r="J564" s="1108"/>
      <c r="K564" s="1108"/>
      <c r="L564" s="1082"/>
      <c r="M564" s="975" t="s">
        <v>1262</v>
      </c>
    </row>
    <row r="565" spans="1:13" s="1083" customFormat="1" ht="25.2" hidden="1" customHeight="1">
      <c r="A565" s="1153">
        <f t="shared" si="38"/>
        <v>0</v>
      </c>
      <c r="B565" s="1324"/>
      <c r="C565" s="1324"/>
      <c r="D565" s="1166">
        <f>IF(H565&gt;0,D557+1,D557)</f>
        <v>0</v>
      </c>
      <c r="E565" s="1209"/>
      <c r="F565" s="1197" t="s">
        <v>3712</v>
      </c>
      <c r="G565" s="1166" t="s">
        <v>2391</v>
      </c>
      <c r="H565" s="1845">
        <f>H541</f>
        <v>0</v>
      </c>
      <c r="I565" s="1259">
        <f t="shared" si="39"/>
        <v>0</v>
      </c>
      <c r="J565" s="1178"/>
      <c r="K565" s="1178"/>
      <c r="L565" s="1082"/>
      <c r="M565" s="975" t="s">
        <v>1262</v>
      </c>
    </row>
    <row r="566" spans="1:13" s="1083" customFormat="1" ht="25.2" hidden="1" customHeight="1">
      <c r="A566" s="1153">
        <f t="shared" si="38"/>
        <v>0</v>
      </c>
      <c r="B566" s="1324"/>
      <c r="C566" s="1324"/>
      <c r="D566" s="1166"/>
      <c r="E566" s="1209"/>
      <c r="F566" s="1082" t="s">
        <v>3713</v>
      </c>
      <c r="G566" s="1110"/>
      <c r="H566" s="1167"/>
      <c r="I566" s="1259">
        <f t="shared" si="39"/>
        <v>0</v>
      </c>
      <c r="J566" s="1178"/>
      <c r="K566" s="1178"/>
      <c r="L566" s="1082"/>
      <c r="M566" s="975" t="s">
        <v>1262</v>
      </c>
    </row>
    <row r="567" spans="1:13" s="1083" customFormat="1" ht="25.2" hidden="1" customHeight="1">
      <c r="A567" s="1153">
        <f t="shared" si="38"/>
        <v>0</v>
      </c>
      <c r="B567" s="1324" t="s">
        <v>103</v>
      </c>
      <c r="C567" s="1324"/>
      <c r="D567" s="1110"/>
      <c r="E567" s="1079">
        <f>VLOOKUP($B567,DG!A:D,DG!$B$2,)</f>
        <v>0</v>
      </c>
      <c r="F567" s="1080" t="str">
        <f>VLOOKUP($B567,DG!A:D,DG!$C$2,)</f>
        <v>Cáp đồng trần M25mm2</v>
      </c>
      <c r="G567" s="1079" t="str">
        <f>VLOOKUP($B567,DG!A:D,DG!$D$2,)</f>
        <v>kg</v>
      </c>
      <c r="H567" s="1167">
        <f>I2*H565*0.224</f>
        <v>0</v>
      </c>
      <c r="I567" s="1259">
        <f t="shared" si="39"/>
        <v>0</v>
      </c>
      <c r="J567" s="1108"/>
      <c r="K567" s="1108"/>
      <c r="L567" s="1082"/>
      <c r="M567" s="975" t="s">
        <v>1262</v>
      </c>
    </row>
    <row r="568" spans="1:13" s="1083" customFormat="1" ht="25.2" hidden="1" customHeight="1">
      <c r="A568" s="1153">
        <f t="shared" si="38"/>
        <v>0</v>
      </c>
      <c r="B568" s="1154" t="s">
        <v>1511</v>
      </c>
      <c r="C568" s="1154"/>
      <c r="D568" s="1110"/>
      <c r="E568" s="1079">
        <f>VLOOKUP($B568,DG!A:D,DG!$B$2,)</f>
        <v>0</v>
      </c>
      <c r="F568" s="1080" t="str">
        <f>VLOOKUP($B568,DG!A:D,DG!$C$2,)</f>
        <v>Cọc tiếp đất Þ 16- 2,4m + kẹp cọc mạ đồng</v>
      </c>
      <c r="G568" s="1079" t="str">
        <f>VLOOKUP($B568,DG!A:D,DG!$D$2,)</f>
        <v>bộ</v>
      </c>
      <c r="H568" s="1167">
        <f>(I3)*H565</f>
        <v>0</v>
      </c>
      <c r="I568" s="1259">
        <f t="shared" si="39"/>
        <v>0</v>
      </c>
      <c r="J568" s="1108"/>
      <c r="K568" s="1108"/>
      <c r="L568" s="1082"/>
      <c r="M568" s="975" t="s">
        <v>1262</v>
      </c>
    </row>
    <row r="569" spans="1:13" s="1083" customFormat="1" ht="25.2" hidden="1" customHeight="1">
      <c r="A569" s="1153">
        <f t="shared" si="38"/>
        <v>0</v>
      </c>
      <c r="B569" s="1154" t="s">
        <v>3464</v>
      </c>
      <c r="C569" s="1154"/>
      <c r="D569" s="1110"/>
      <c r="E569" s="1079">
        <f>VLOOKUP($B569,DG!A:D,DG!$B$2,)</f>
        <v>0</v>
      </c>
      <c r="F569" s="1080" t="str">
        <f>VLOOKUP($B569,DG!A:D,DG!$C$2,)</f>
        <v>Giếng tiếp địa khoan đá</v>
      </c>
      <c r="G569" s="1079" t="str">
        <f>VLOOKUP($B569,DG!A:D,DG!$D$2,)</f>
        <v>Cái</v>
      </c>
      <c r="H569" s="1167">
        <f>I3*H565</f>
        <v>0</v>
      </c>
      <c r="I569" s="1259">
        <f t="shared" si="39"/>
        <v>0</v>
      </c>
      <c r="J569" s="1108"/>
      <c r="K569" s="1108"/>
      <c r="L569" s="1082"/>
      <c r="M569" s="975" t="s">
        <v>1262</v>
      </c>
    </row>
    <row r="570" spans="1:13" s="1083" customFormat="1" ht="25.2" hidden="1" customHeight="1">
      <c r="A570" s="1153">
        <f t="shared" si="38"/>
        <v>0</v>
      </c>
      <c r="B570" s="1154" t="s">
        <v>576</v>
      </c>
      <c r="C570" s="1154"/>
      <c r="D570" s="1110"/>
      <c r="E570" s="1079" t="str">
        <f>VLOOKUP($B570,DG!A:D,DG!$B$2,)</f>
        <v>07.2403</v>
      </c>
      <c r="F570" s="1080" t="str">
        <f>VLOOKUP($B570,DG!A:D,DG!$C$2,)</f>
        <v xml:space="preserve">Ống PVC D21x1,6mm </v>
      </c>
      <c r="G570" s="1079" t="str">
        <f>VLOOKUP($B570,DG!A:D,DG!$D$2,)</f>
        <v>m</v>
      </c>
      <c r="H570" s="1167">
        <f>6*H565</f>
        <v>0</v>
      </c>
      <c r="I570" s="1259">
        <f t="shared" si="39"/>
        <v>0</v>
      </c>
      <c r="J570" s="1108"/>
      <c r="K570" s="1108"/>
      <c r="L570" s="1082"/>
      <c r="M570" s="975" t="s">
        <v>1262</v>
      </c>
    </row>
    <row r="571" spans="1:13" s="1083" customFormat="1" ht="25.2" hidden="1" customHeight="1">
      <c r="A571" s="1153">
        <f t="shared" si="38"/>
        <v>0</v>
      </c>
      <c r="B571" s="1329" t="s">
        <v>1582</v>
      </c>
      <c r="C571" s="1329"/>
      <c r="D571" s="1110"/>
      <c r="E571" s="1079">
        <f>VLOOKUP($B571,DG!A:D,DG!$B$2,)</f>
        <v>0</v>
      </c>
      <c r="F571" s="1080" t="str">
        <f>VLOOKUP($B571,DG!A:D,DG!$C$2,)</f>
        <v>Kẹp ép WR cỡ dây 50mm2</v>
      </c>
      <c r="G571" s="1079" t="str">
        <f>VLOOKUP($B571,DG!A:D,DG!$D$2,)</f>
        <v>cái</v>
      </c>
      <c r="H571" s="1167">
        <f>2*H565</f>
        <v>0</v>
      </c>
      <c r="I571" s="1259">
        <f t="shared" si="39"/>
        <v>0</v>
      </c>
      <c r="J571" s="1108"/>
      <c r="K571" s="1108"/>
      <c r="L571" s="1082"/>
      <c r="M571" s="975" t="s">
        <v>1262</v>
      </c>
    </row>
    <row r="572" spans="1:13" s="1083" customFormat="1" ht="25.2" hidden="1" customHeight="1">
      <c r="A572" s="1153">
        <f t="shared" si="38"/>
        <v>0</v>
      </c>
      <c r="B572" s="1329" t="s">
        <v>104</v>
      </c>
      <c r="C572" s="1329"/>
      <c r="D572" s="1110"/>
      <c r="E572" s="1079" t="str">
        <f>VLOOKUP($B572,DG!A:D,DG!$B$2,)</f>
        <v>03.4001</v>
      </c>
      <c r="F572" s="1080" t="str">
        <f>VLOOKUP($B572,DG!A:D,DG!$C$2,)</f>
        <v>Đầu cosse ép Cu 25mm2</v>
      </c>
      <c r="G572" s="1079" t="str">
        <f>VLOOKUP($B572,DG!A:D,DG!$D$2,)</f>
        <v>cái</v>
      </c>
      <c r="H572" s="1167">
        <f>H565*2</f>
        <v>0</v>
      </c>
      <c r="I572" s="1259">
        <f t="shared" si="39"/>
        <v>0</v>
      </c>
      <c r="J572" s="1108"/>
      <c r="K572" s="1108"/>
      <c r="L572" s="1082"/>
      <c r="M572" s="975" t="s">
        <v>1262</v>
      </c>
    </row>
    <row r="573" spans="1:13" s="1083" customFormat="1" ht="25.2" hidden="1" customHeight="1">
      <c r="A573" s="1153">
        <f t="shared" si="38"/>
        <v>0</v>
      </c>
      <c r="B573" s="1329" t="s">
        <v>138</v>
      </c>
      <c r="C573" s="1329"/>
      <c r="D573" s="1110"/>
      <c r="E573" s="1079">
        <f>VLOOKUP($B573,DG!A:D,DG!$B$2,)</f>
        <v>0</v>
      </c>
      <c r="F573" s="1080" t="str">
        <f>VLOOKUP($B573,DG!A:D,DG!$C$2,)</f>
        <v>Boulon 12x40+ 2 long đền vuông D14-50x50x3/Zn</v>
      </c>
      <c r="G573" s="1079" t="str">
        <f>VLOOKUP($B573,DG!A:D,DG!$D$2,)</f>
        <v>bộ</v>
      </c>
      <c r="H573" s="1167">
        <f>H565*1</f>
        <v>0</v>
      </c>
      <c r="I573" s="1259">
        <f t="shared" si="39"/>
        <v>0</v>
      </c>
      <c r="J573" s="1108"/>
      <c r="K573" s="1108"/>
      <c r="L573" s="1082"/>
      <c r="M573" s="975" t="s">
        <v>1262</v>
      </c>
    </row>
    <row r="574" spans="1:13" s="1083" customFormat="1" ht="25.2" hidden="1" customHeight="1">
      <c r="A574" s="1153">
        <f t="shared" si="38"/>
        <v>0</v>
      </c>
      <c r="B574" s="1329" t="s">
        <v>816</v>
      </c>
      <c r="C574" s="1329"/>
      <c r="D574" s="1110"/>
      <c r="E574" s="1079" t="str">
        <f>VLOOKUP($B574,DG!A:D,DG!$B$2,)</f>
        <v>04.3107</v>
      </c>
      <c r="F574" s="1080" t="str">
        <f>VLOOKUP($B574,DG!A:D,DG!$C$2,)</f>
        <v>Ốc siết cáp cỡ 25mm2</v>
      </c>
      <c r="G574" s="1079" t="str">
        <f>VLOOKUP($B574,DG!A:D,DG!$D$2,)</f>
        <v>cái</v>
      </c>
      <c r="H574" s="1167">
        <f>11*H565</f>
        <v>0</v>
      </c>
      <c r="I574" s="1259">
        <f t="shared" si="39"/>
        <v>0</v>
      </c>
      <c r="J574" s="1108"/>
      <c r="K574" s="1108"/>
      <c r="L574" s="1082"/>
      <c r="M574" s="975" t="s">
        <v>1262</v>
      </c>
    </row>
    <row r="575" spans="1:13" s="1083" customFormat="1" ht="25.2" hidden="1" customHeight="1">
      <c r="A575" s="1153">
        <f t="shared" si="38"/>
        <v>0</v>
      </c>
      <c r="B575" s="1154" t="s">
        <v>1595</v>
      </c>
      <c r="C575" s="1154"/>
      <c r="D575" s="1110"/>
      <c r="E575" s="1079" t="str">
        <f>VLOOKUP($B575,DG!A:D,DG!$B$2,)</f>
        <v>06.3231</v>
      </c>
      <c r="F575" s="1080" t="str">
        <f>VLOOKUP($B575,DG!A:D,DG!$C$2,)</f>
        <v>Cổ dê kẹp ống PVC  21</v>
      </c>
      <c r="G575" s="1079" t="str">
        <f>VLOOKUP($B575,DG!A:D,DG!$D$2,)</f>
        <v>bộ</v>
      </c>
      <c r="H575" s="1167">
        <f>H565*3</f>
        <v>0</v>
      </c>
      <c r="I575" s="1259">
        <f t="shared" si="39"/>
        <v>0</v>
      </c>
      <c r="J575" s="1108"/>
      <c r="K575" s="1108"/>
      <c r="L575" s="1082"/>
      <c r="M575" s="975" t="s">
        <v>1262</v>
      </c>
    </row>
    <row r="576" spans="1:13" s="1083" customFormat="1" ht="25.2" hidden="1" customHeight="1">
      <c r="A576" s="1153">
        <f t="shared" si="38"/>
        <v>0</v>
      </c>
      <c r="B576" s="1154" t="s">
        <v>1595</v>
      </c>
      <c r="C576" s="1154"/>
      <c r="D576" s="1110"/>
      <c r="E576" s="1079" t="str">
        <f>VLOOKUP($B576,DG!A:D,DG!$B$2,)</f>
        <v>06.3231</v>
      </c>
      <c r="F576" s="1080" t="str">
        <f>VLOOKUP($B576,DG!A:D,DG!$C$2,)&amp;": CD-280 1 cái"</f>
        <v>Cổ dê kẹp ống PVC  21: CD-280 1 cái</v>
      </c>
      <c r="G576" s="1079" t="str">
        <f>VLOOKUP($B576,DG!A:D,DG!$D$2,)</f>
        <v>bộ</v>
      </c>
      <c r="H576" s="1167">
        <f>H565*0.452*0</f>
        <v>0</v>
      </c>
      <c r="I576" s="1259">
        <f t="shared" si="39"/>
        <v>0</v>
      </c>
      <c r="J576" s="1108"/>
      <c r="K576" s="1108"/>
      <c r="L576" s="1082"/>
      <c r="M576" s="975" t="s">
        <v>1262</v>
      </c>
    </row>
    <row r="577" spans="1:13" s="1083" customFormat="1" ht="25.2" hidden="1" customHeight="1">
      <c r="A577" s="1153">
        <f t="shared" si="38"/>
        <v>0</v>
      </c>
      <c r="B577" s="1154" t="s">
        <v>1595</v>
      </c>
      <c r="C577" s="1154"/>
      <c r="D577" s="1110"/>
      <c r="E577" s="1079" t="str">
        <f>VLOOKUP($B577,DG!A:D,DG!$B$2,)</f>
        <v>06.3231</v>
      </c>
      <c r="F577" s="1080" t="str">
        <f>VLOOKUP($B577,DG!A:D,DG!$C$2,)&amp;": CD-320 1 cái"</f>
        <v>Cổ dê kẹp ống PVC  21: CD-320 1 cái</v>
      </c>
      <c r="G577" s="1079" t="str">
        <f>VLOOKUP($B577,DG!A:D,DG!$D$2,)</f>
        <v>bộ</v>
      </c>
      <c r="H577" s="1167">
        <f>H565*0.5013*0</f>
        <v>0</v>
      </c>
      <c r="I577" s="1259">
        <f t="shared" si="39"/>
        <v>0</v>
      </c>
      <c r="J577" s="1108"/>
      <c r="K577" s="1108"/>
      <c r="L577" s="1082"/>
      <c r="M577" s="975" t="s">
        <v>1262</v>
      </c>
    </row>
    <row r="578" spans="1:13" s="1083" customFormat="1" ht="25.2" hidden="1" customHeight="1">
      <c r="A578" s="1153">
        <f t="shared" si="38"/>
        <v>0</v>
      </c>
      <c r="B578" s="1154" t="s">
        <v>1131</v>
      </c>
      <c r="C578" s="1154"/>
      <c r="D578" s="1110"/>
      <c r="E578" s="1079" t="str">
        <f>VLOOKUP($B578,DG!A:D,DG!$B$2,)</f>
        <v>06.2110</v>
      </c>
      <c r="F578" s="1080" t="str">
        <f>VLOOKUP($B578,DG!A:D,DG!$C$2,)</f>
        <v>Lắp cổ dề</v>
      </c>
      <c r="G578" s="1079" t="str">
        <f>VLOOKUP($B578,DG!A:D,DG!$D$2,)</f>
        <v>bộ</v>
      </c>
      <c r="H578" s="1167">
        <f>H575</f>
        <v>0</v>
      </c>
      <c r="I578" s="1259">
        <f t="shared" si="39"/>
        <v>0</v>
      </c>
      <c r="J578" s="1108"/>
      <c r="K578" s="1108"/>
      <c r="L578" s="1082"/>
      <c r="M578" s="975" t="s">
        <v>1262</v>
      </c>
    </row>
    <row r="579" spans="1:13" s="1083" customFormat="1" ht="25.2" hidden="1" customHeight="1">
      <c r="A579" s="1153">
        <f t="shared" si="38"/>
        <v>0</v>
      </c>
      <c r="B579" s="1329" t="s">
        <v>389</v>
      </c>
      <c r="C579" s="1329"/>
      <c r="D579" s="1110"/>
      <c r="E579" s="1079" t="str">
        <f>VLOOKUP($B579,DG!A:D,DG!$B$2,)</f>
        <v>04.7002</v>
      </c>
      <c r="F579" s="1080" t="str">
        <f>VLOOKUP($B579,DG!A:D,DG!$C$2,)</f>
        <v>Kéo dây tiếp địa trong TBA</v>
      </c>
      <c r="G579" s="1079" t="str">
        <f>VLOOKUP($B579,DG!A:D,DG!$D$2,)</f>
        <v>mét</v>
      </c>
      <c r="H579" s="1167">
        <f>H565*I3</f>
        <v>0</v>
      </c>
      <c r="I579" s="1259">
        <f t="shared" si="39"/>
        <v>0</v>
      </c>
      <c r="J579" s="1108"/>
      <c r="K579" s="1108"/>
      <c r="L579" s="1082"/>
      <c r="M579" s="975" t="s">
        <v>1262</v>
      </c>
    </row>
    <row r="580" spans="1:13" s="1083" customFormat="1" ht="25.2" hidden="1" customHeight="1">
      <c r="A580" s="1153">
        <f t="shared" si="38"/>
        <v>0</v>
      </c>
      <c r="B580" s="1154" t="s">
        <v>1441</v>
      </c>
      <c r="C580" s="1154"/>
      <c r="D580" s="1110"/>
      <c r="E580" s="1079" t="str">
        <f>VLOOKUP($B580,DG!A:D,DG!$B$2,)</f>
        <v>04.7001</v>
      </c>
      <c r="F580" s="1080" t="str">
        <f>VLOOKUP($B580,DG!A:D,DG!$C$2,)</f>
        <v>Đóng cọc tiếp địa trong TBA</v>
      </c>
      <c r="G580" s="1079" t="str">
        <f>VLOOKUP($B580,DG!A:D,DG!$D$2,)</f>
        <v>cọc</v>
      </c>
      <c r="H580" s="1167">
        <f>H568</f>
        <v>0</v>
      </c>
      <c r="I580" s="1259">
        <f t="shared" si="39"/>
        <v>0</v>
      </c>
      <c r="J580" s="1108"/>
      <c r="K580" s="1108"/>
      <c r="L580" s="1082"/>
      <c r="M580" s="975" t="s">
        <v>1262</v>
      </c>
    </row>
    <row r="581" spans="1:13" s="1083" customFormat="1" ht="25.2" hidden="1" customHeight="1">
      <c r="A581" s="1153">
        <f t="shared" si="38"/>
        <v>0</v>
      </c>
      <c r="B581" s="1329" t="s">
        <v>794</v>
      </c>
      <c r="C581" s="1329"/>
      <c r="D581" s="1110"/>
      <c r="E581" s="1079" t="str">
        <f>VLOOKUP($B581,DG!A:D,DG!$B$2,)</f>
        <v>03.3123</v>
      </c>
      <c r="F581" s="1080" t="str">
        <f>VLOOKUP($B581,DG!A:D,DG!$C$2,)</f>
        <v>Đào rãnh tiếp địa đất cấp 3</v>
      </c>
      <c r="G581" s="1079" t="str">
        <f>VLOOKUP($B581,DG!A:D,DG!$D$2,)</f>
        <v>m3</v>
      </c>
      <c r="H581" s="1167">
        <f>H565*I3</f>
        <v>0</v>
      </c>
      <c r="I581" s="1259">
        <f t="shared" si="39"/>
        <v>0</v>
      </c>
      <c r="J581" s="1108"/>
      <c r="K581" s="1108"/>
      <c r="L581" s="1082"/>
      <c r="M581" s="975" t="s">
        <v>1262</v>
      </c>
    </row>
    <row r="582" spans="1:13" s="1083" customFormat="1" ht="25.2" hidden="1" customHeight="1">
      <c r="A582" s="1153">
        <f t="shared" si="38"/>
        <v>0</v>
      </c>
      <c r="B582" s="1329" t="s">
        <v>798</v>
      </c>
      <c r="C582" s="1329"/>
      <c r="D582" s="1110"/>
      <c r="E582" s="1079" t="str">
        <f>VLOOKUP($B582,DG!A:D,DG!$B$2,)</f>
        <v>03.4123</v>
      </c>
      <c r="F582" s="1080" t="str">
        <f>VLOOKUP($B582,DG!A:D,DG!$C$2,)</f>
        <v>Đắp đất rãnh tiếp độ chặt k=0,85</v>
      </c>
      <c r="G582" s="1079" t="str">
        <f>VLOOKUP($B582,DG!A:D,DG!$D$2,)</f>
        <v>m3</v>
      </c>
      <c r="H582" s="1167">
        <f>H581</f>
        <v>0</v>
      </c>
      <c r="I582" s="1259">
        <f t="shared" si="39"/>
        <v>0</v>
      </c>
      <c r="J582" s="1108"/>
      <c r="K582" s="1108"/>
      <c r="L582" s="1082"/>
      <c r="M582" s="975" t="s">
        <v>1262</v>
      </c>
    </row>
    <row r="583" spans="1:13" s="1083" customFormat="1" ht="25.2" hidden="1" customHeight="1">
      <c r="A583" s="1153">
        <f t="shared" si="38"/>
        <v>0</v>
      </c>
      <c r="B583" s="1324"/>
      <c r="C583" s="1324"/>
      <c r="D583" s="1166">
        <f>IF(H583&gt;0,D565+1,D565)</f>
        <v>0</v>
      </c>
      <c r="E583" s="1209"/>
      <c r="F583" s="1186" t="s">
        <v>3714</v>
      </c>
      <c r="G583" s="1166" t="s">
        <v>2391</v>
      </c>
      <c r="H583" s="1845">
        <f>H541</f>
        <v>0</v>
      </c>
      <c r="I583" s="1259">
        <f t="shared" si="39"/>
        <v>0</v>
      </c>
      <c r="J583" s="1178"/>
      <c r="K583" s="1178"/>
      <c r="L583" s="1082"/>
      <c r="M583" s="975" t="s">
        <v>1262</v>
      </c>
    </row>
    <row r="584" spans="1:13" s="1083" customFormat="1" ht="25.2" hidden="1" customHeight="1">
      <c r="A584" s="1153">
        <f t="shared" si="38"/>
        <v>0</v>
      </c>
      <c r="B584" s="1324"/>
      <c r="C584" s="1324"/>
      <c r="D584" s="1166"/>
      <c r="E584" s="1209"/>
      <c r="F584" s="1365" t="s">
        <v>2285</v>
      </c>
      <c r="G584" s="1110"/>
      <c r="H584" s="1167"/>
      <c r="I584" s="1259">
        <f t="shared" si="39"/>
        <v>0</v>
      </c>
      <c r="J584" s="1178"/>
      <c r="K584" s="1178"/>
      <c r="L584" s="1082"/>
      <c r="M584" s="975" t="s">
        <v>1262</v>
      </c>
    </row>
    <row r="585" spans="1:13" s="1083" customFormat="1" ht="25.2" hidden="1" customHeight="1">
      <c r="A585" s="1153">
        <f t="shared" si="38"/>
        <v>0</v>
      </c>
      <c r="B585" s="1331" t="s">
        <v>1026</v>
      </c>
      <c r="C585" s="1331"/>
      <c r="D585" s="1110"/>
      <c r="E585" s="1079" t="str">
        <f>VLOOKUP($B585,DG!A:D,DG!$B$2,)</f>
        <v>05.1102</v>
      </c>
      <c r="F585" s="1080" t="str">
        <f>VLOOKUP($B585,DG!A:D,DG!$C$2,)</f>
        <v>Vỏ tủ + khóa tủ</v>
      </c>
      <c r="G585" s="1079" t="str">
        <f>VLOOKUP($B585,DG!A:D,DG!$D$2,)</f>
        <v>cái</v>
      </c>
      <c r="H585" s="1167">
        <f>H583</f>
        <v>0</v>
      </c>
      <c r="I585" s="1259">
        <f t="shared" si="39"/>
        <v>0</v>
      </c>
      <c r="J585" s="1108"/>
      <c r="K585" s="1108"/>
      <c r="L585" s="1082"/>
      <c r="M585" s="975" t="s">
        <v>1262</v>
      </c>
    </row>
    <row r="586" spans="1:13" s="1083" customFormat="1" ht="25.2" hidden="1" customHeight="1">
      <c r="A586" s="1153">
        <f t="shared" si="38"/>
        <v>0</v>
      </c>
      <c r="B586" s="1324" t="s">
        <v>879</v>
      </c>
      <c r="C586" s="1324"/>
      <c r="D586" s="1110"/>
      <c r="E586" s="1079" t="str">
        <f>VLOOKUP($B586,DG!A:D,DG!$B$2,)</f>
        <v>06.3231</v>
      </c>
      <c r="F586" s="1080" t="str">
        <f>VLOOKUP($B586,DG!A:D,DG!$C$2,)</f>
        <v>Cổ dê bắt tủ</v>
      </c>
      <c r="G586" s="1079" t="str">
        <f>VLOOKUP($B586,DG!A:D,DG!$D$2,)</f>
        <v>bộ</v>
      </c>
      <c r="H586" s="1167">
        <f>H583*2</f>
        <v>0</v>
      </c>
      <c r="I586" s="1259">
        <f t="shared" si="39"/>
        <v>0</v>
      </c>
      <c r="J586" s="1108"/>
      <c r="K586" s="1108"/>
      <c r="L586" s="1082"/>
      <c r="M586" s="975" t="s">
        <v>1262</v>
      </c>
    </row>
    <row r="587" spans="1:13" s="1083" customFormat="1" ht="25.2" hidden="1" customHeight="1">
      <c r="A587" s="1153">
        <f t="shared" si="38"/>
        <v>0</v>
      </c>
      <c r="B587" s="1324" t="s">
        <v>1130</v>
      </c>
      <c r="C587" s="1324"/>
      <c r="D587" s="1110"/>
      <c r="E587" s="1079" t="str">
        <f>VLOOKUP($B587,DG!A:D,DG!$B$2,)</f>
        <v>06.2110</v>
      </c>
      <c r="F587" s="1080" t="str">
        <f>VLOOKUP($B587,DG!A:D,DG!$C$2,)</f>
        <v>Lắp cổ dề</v>
      </c>
      <c r="G587" s="1079" t="str">
        <f>VLOOKUP($B587,DG!A:D,DG!$D$2,)</f>
        <v>bộ</v>
      </c>
      <c r="H587" s="1167">
        <f>H583*2</f>
        <v>0</v>
      </c>
      <c r="I587" s="1259">
        <f t="shared" si="39"/>
        <v>0</v>
      </c>
      <c r="J587" s="1108"/>
      <c r="K587" s="1108"/>
      <c r="L587" s="1082"/>
      <c r="M587" s="975" t="s">
        <v>1262</v>
      </c>
    </row>
    <row r="588" spans="1:13" s="1083" customFormat="1" ht="25.2" hidden="1" customHeight="1">
      <c r="A588" s="1153">
        <f t="shared" si="38"/>
        <v>0</v>
      </c>
      <c r="B588" s="1324" t="s">
        <v>138</v>
      </c>
      <c r="C588" s="1324"/>
      <c r="D588" s="1110"/>
      <c r="E588" s="1079">
        <f>VLOOKUP($B588,DG!A:D,DG!$B$2,)</f>
        <v>0</v>
      </c>
      <c r="F588" s="1080" t="str">
        <f>VLOOKUP($B588,DG!A:D,DG!$C$2,)</f>
        <v>Boulon 12x40+ 2 long đền vuông D14-50x50x3/Zn</v>
      </c>
      <c r="G588" s="1079" t="str">
        <f>VLOOKUP($B588,DG!A:D,DG!$D$2,)</f>
        <v>bộ</v>
      </c>
      <c r="H588" s="1167">
        <f>H583*4*0</f>
        <v>0</v>
      </c>
      <c r="I588" s="1259">
        <f t="shared" si="39"/>
        <v>0</v>
      </c>
      <c r="J588" s="1108"/>
      <c r="K588" s="1108"/>
      <c r="L588" s="1082"/>
      <c r="M588" s="975" t="s">
        <v>1262</v>
      </c>
    </row>
    <row r="589" spans="1:13" s="1083" customFormat="1" ht="25.2" hidden="1" customHeight="1">
      <c r="A589" s="1153">
        <f t="shared" si="38"/>
        <v>0</v>
      </c>
      <c r="B589" s="1324" t="s">
        <v>880</v>
      </c>
      <c r="C589" s="1324"/>
      <c r="D589" s="1110"/>
      <c r="E589" s="1079">
        <f>VLOOKUP($B589,DG!A:D,DG!$B$2,)</f>
        <v>0</v>
      </c>
      <c r="F589" s="1080" t="str">
        <f>VLOOKUP($B589,DG!A:D,DG!$C$2,)</f>
        <v xml:space="preserve">Bakelit 550x450 dầy 10mm </v>
      </c>
      <c r="G589" s="1079" t="str">
        <f>VLOOKUP($B589,DG!A:D,DG!$D$2,)</f>
        <v>cái</v>
      </c>
      <c r="H589" s="1167">
        <f>H583*2</f>
        <v>0</v>
      </c>
      <c r="I589" s="1259">
        <f t="shared" si="39"/>
        <v>0</v>
      </c>
      <c r="J589" s="1108"/>
      <c r="K589" s="1108"/>
      <c r="L589" s="1082"/>
      <c r="M589" s="975" t="s">
        <v>1262</v>
      </c>
    </row>
    <row r="590" spans="1:13" s="1083" customFormat="1" ht="25.2" hidden="1" customHeight="1">
      <c r="A590" s="1153">
        <f t="shared" si="38"/>
        <v>0</v>
      </c>
      <c r="B590" s="1324"/>
      <c r="C590" s="1324"/>
      <c r="D590" s="1166">
        <f>IF(H590&gt;0,D583+1,D583)</f>
        <v>0</v>
      </c>
      <c r="E590" s="1209"/>
      <c r="F590" s="1197" t="s">
        <v>3715</v>
      </c>
      <c r="G590" s="1166" t="s">
        <v>2391</v>
      </c>
      <c r="H590" s="1845">
        <f>H541</f>
        <v>0</v>
      </c>
      <c r="I590" s="1259">
        <f t="shared" si="39"/>
        <v>0</v>
      </c>
      <c r="J590" s="1178"/>
      <c r="K590" s="1178"/>
      <c r="L590" s="1082"/>
      <c r="M590" s="975" t="s">
        <v>1262</v>
      </c>
    </row>
    <row r="591" spans="1:13" s="1083" customFormat="1" ht="25.2" hidden="1" customHeight="1">
      <c r="A591" s="1153">
        <f t="shared" si="38"/>
        <v>0</v>
      </c>
      <c r="B591" s="1324"/>
      <c r="C591" s="1324"/>
      <c r="D591" s="1166"/>
      <c r="E591" s="1209"/>
      <c r="F591" s="1365" t="s">
        <v>2285</v>
      </c>
      <c r="G591" s="1110"/>
      <c r="H591" s="1167"/>
      <c r="I591" s="1259">
        <f t="shared" si="39"/>
        <v>0</v>
      </c>
      <c r="J591" s="1178"/>
      <c r="K591" s="1178"/>
      <c r="L591" s="1082"/>
      <c r="M591" s="975" t="s">
        <v>1262</v>
      </c>
    </row>
    <row r="592" spans="1:13" s="1083" customFormat="1" ht="25.2" hidden="1" customHeight="1">
      <c r="A592" s="1153">
        <f t="shared" si="38"/>
        <v>0</v>
      </c>
      <c r="B592" s="1154" t="s">
        <v>697</v>
      </c>
      <c r="C592" s="1154"/>
      <c r="D592" s="1110"/>
      <c r="E592" s="1079">
        <f>VLOOKUP($B592,DG!A:D,DG!$B$2,)</f>
        <v>0</v>
      </c>
      <c r="F592" s="1080" t="str">
        <f>VLOOKUP($B592,DG!A:D,DG!$C$2,)&amp;": 3m/pha"</f>
        <v>Cáp 24KV C/XLPE/PVC 25mm2: 3m/pha</v>
      </c>
      <c r="G592" s="1079" t="str">
        <f>VLOOKUP($B592,DG!A:D,DG!$D$2,)</f>
        <v>mét</v>
      </c>
      <c r="H592" s="1167">
        <f>H590*3*3</f>
        <v>0</v>
      </c>
      <c r="I592" s="1259">
        <f t="shared" si="39"/>
        <v>0</v>
      </c>
      <c r="J592" s="1108"/>
      <c r="K592" s="1108"/>
      <c r="L592" s="1082"/>
      <c r="M592" s="975" t="s">
        <v>1262</v>
      </c>
    </row>
    <row r="593" spans="1:13" s="1083" customFormat="1" ht="25.2" hidden="1" customHeight="1">
      <c r="A593" s="1153">
        <f t="shared" si="38"/>
        <v>0</v>
      </c>
      <c r="B593" s="1154" t="s">
        <v>1482</v>
      </c>
      <c r="C593" s="1154"/>
      <c r="D593" s="1110"/>
      <c r="E593" s="1079" t="str">
        <f>VLOOKUP($B593,DG!A:D,DG!$B$2,)</f>
        <v>04.3007</v>
      </c>
      <c r="F593" s="1080" t="str">
        <f>VLOOKUP($B593,DG!A:D,DG!$C$2,)</f>
        <v>Kẹp quai 2/0</v>
      </c>
      <c r="G593" s="1079" t="str">
        <f>VLOOKUP($B593,DG!A:D,DG!$D$2,)</f>
        <v>cái</v>
      </c>
      <c r="H593" s="1167">
        <f>3*H590</f>
        <v>0</v>
      </c>
      <c r="I593" s="1259">
        <f t="shared" si="39"/>
        <v>0</v>
      </c>
      <c r="J593" s="1108"/>
      <c r="K593" s="1108"/>
      <c r="L593" s="1082"/>
      <c r="M593" s="975" t="s">
        <v>1262</v>
      </c>
    </row>
    <row r="594" spans="1:13" s="1083" customFormat="1" ht="25.2" hidden="1" customHeight="1">
      <c r="A594" s="1153">
        <f t="shared" si="38"/>
        <v>0</v>
      </c>
      <c r="B594" s="1154" t="s">
        <v>1480</v>
      </c>
      <c r="C594" s="1154"/>
      <c r="D594" s="1110"/>
      <c r="E594" s="1079" t="str">
        <f>VLOOKUP($B594,DG!A:D,DG!$B$2,)</f>
        <v>04.3007</v>
      </c>
      <c r="F594" s="1080" t="str">
        <f>VLOOKUP($B594,DG!A:D,DG!$C$2,)</f>
        <v>Kẹp hotline 2/0</v>
      </c>
      <c r="G594" s="1079" t="str">
        <f>VLOOKUP($B594,DG!A:D,DG!$D$2,)</f>
        <v>cái</v>
      </c>
      <c r="H594" s="1167">
        <f>3*H590</f>
        <v>0</v>
      </c>
      <c r="I594" s="1259">
        <f t="shared" si="39"/>
        <v>0</v>
      </c>
      <c r="J594" s="1108"/>
      <c r="K594" s="1108"/>
      <c r="L594" s="1082"/>
      <c r="M594" s="975" t="s">
        <v>1262</v>
      </c>
    </row>
    <row r="595" spans="1:13" s="1083" customFormat="1" ht="25.2" hidden="1" customHeight="1">
      <c r="A595" s="1153">
        <f t="shared" si="38"/>
        <v>0</v>
      </c>
      <c r="B595" s="1324"/>
      <c r="C595" s="1324"/>
      <c r="D595" s="1166">
        <f>IF(H595&gt;0,D590+1,D590)</f>
        <v>0</v>
      </c>
      <c r="E595" s="1209"/>
      <c r="F595" s="1186" t="s">
        <v>3716</v>
      </c>
      <c r="G595" s="1166" t="s">
        <v>2391</v>
      </c>
      <c r="H595" s="1845">
        <f>H533/3</f>
        <v>0</v>
      </c>
      <c r="I595" s="1259">
        <f t="shared" si="39"/>
        <v>0</v>
      </c>
      <c r="J595" s="1178"/>
      <c r="K595" s="1178"/>
      <c r="L595" s="1082"/>
      <c r="M595" s="975" t="s">
        <v>1262</v>
      </c>
    </row>
    <row r="596" spans="1:13" s="1083" customFormat="1" ht="25.2" hidden="1" customHeight="1">
      <c r="A596" s="1153">
        <f t="shared" si="38"/>
        <v>0</v>
      </c>
      <c r="B596" s="1324"/>
      <c r="C596" s="1324"/>
      <c r="D596" s="1166"/>
      <c r="E596" s="1209"/>
      <c r="F596" s="1365" t="s">
        <v>2285</v>
      </c>
      <c r="G596" s="1110"/>
      <c r="H596" s="1167"/>
      <c r="I596" s="1259">
        <f t="shared" si="39"/>
        <v>0</v>
      </c>
      <c r="J596" s="1178"/>
      <c r="K596" s="1178"/>
      <c r="L596" s="1082"/>
      <c r="M596" s="975" t="s">
        <v>1262</v>
      </c>
    </row>
    <row r="597" spans="1:13" s="1083" customFormat="1" ht="25.2" hidden="1" customHeight="1">
      <c r="A597" s="1153">
        <f t="shared" si="38"/>
        <v>0</v>
      </c>
      <c r="B597" s="1324" t="s">
        <v>82</v>
      </c>
      <c r="C597" s="1324"/>
      <c r="D597" s="1110"/>
      <c r="E597" s="1079">
        <f>VLOOKUP($B597,DG!A:D,DG!$B$2,)</f>
        <v>0</v>
      </c>
      <c r="F597" s="1080" t="str">
        <f>VLOOKUP($B597,DG!A:D,DG!$C$2,)&amp;": 9m/pha"</f>
        <v>Cáp đồng bọc CV50: 9m/pha</v>
      </c>
      <c r="G597" s="1079" t="str">
        <f>VLOOKUP($B597,DG!A:D,DG!$D$2,)</f>
        <v>mét</v>
      </c>
      <c r="H597" s="1167">
        <f>3*9*H595</f>
        <v>0</v>
      </c>
      <c r="I597" s="1259">
        <f t="shared" si="39"/>
        <v>0</v>
      </c>
      <c r="J597" s="1108"/>
      <c r="K597" s="1108"/>
      <c r="L597" s="1082"/>
      <c r="M597" s="975" t="s">
        <v>1262</v>
      </c>
    </row>
    <row r="598" spans="1:13" s="1083" customFormat="1" ht="25.2" hidden="1" customHeight="1">
      <c r="A598" s="1153">
        <f t="shared" si="38"/>
        <v>0</v>
      </c>
      <c r="B598" s="1324" t="s">
        <v>82</v>
      </c>
      <c r="C598" s="1324"/>
      <c r="D598" s="1110"/>
      <c r="E598" s="1079">
        <f>VLOOKUP($B598,DG!A:D,DG!$B$2,)</f>
        <v>0</v>
      </c>
      <c r="F598" s="1080" t="str">
        <f>VLOOKUP($B598,DG!A:D,DG!$C$2,)&amp;": 9m/trung tinh"</f>
        <v>Cáp đồng bọc CV50: 9m/trung tinh</v>
      </c>
      <c r="G598" s="1079" t="str">
        <f>VLOOKUP($B598,DG!A:D,DG!$D$2,)</f>
        <v>mét</v>
      </c>
      <c r="H598" s="1167">
        <f>9*H595</f>
        <v>0</v>
      </c>
      <c r="I598" s="1259">
        <f t="shared" si="39"/>
        <v>0</v>
      </c>
      <c r="J598" s="1108"/>
      <c r="K598" s="1108"/>
      <c r="L598" s="1082"/>
      <c r="M598" s="975" t="s">
        <v>1262</v>
      </c>
    </row>
    <row r="599" spans="1:13" s="1083" customFormat="1" ht="25.2" hidden="1" customHeight="1">
      <c r="A599" s="1153">
        <f t="shared" si="38"/>
        <v>0</v>
      </c>
      <c r="B599" s="1324" t="s">
        <v>1069</v>
      </c>
      <c r="C599" s="1324"/>
      <c r="D599" s="1110"/>
      <c r="E599" s="1079" t="str">
        <f>VLOOKUP($B599,DG!A:D,DG!$B$2,)</f>
        <v>03.1401</v>
      </c>
      <c r="F599" s="1080" t="str">
        <f>VLOOKUP($B599,DG!A:D,DG!$C$2,)&amp;": ñaáu noái ño ñeám"</f>
        <v>Cáp CVV 4x2,5mm2  : ñaáu noái ño ñeám</v>
      </c>
      <c r="G599" s="1079" t="str">
        <f>VLOOKUP($B599,DG!A:D,DG!$D$2,)</f>
        <v>mét</v>
      </c>
      <c r="H599" s="1167">
        <f>4*H595</f>
        <v>0</v>
      </c>
      <c r="I599" s="1259">
        <f t="shared" si="39"/>
        <v>0</v>
      </c>
      <c r="J599" s="1108"/>
      <c r="K599" s="1108"/>
      <c r="L599" s="1082"/>
      <c r="M599" s="975" t="s">
        <v>1262</v>
      </c>
    </row>
    <row r="600" spans="1:13" s="1083" customFormat="1" ht="25.2" hidden="1" customHeight="1">
      <c r="A600" s="1153">
        <f t="shared" si="38"/>
        <v>0</v>
      </c>
      <c r="B600" s="1329" t="s">
        <v>1305</v>
      </c>
      <c r="C600" s="1329"/>
      <c r="D600" s="1110"/>
      <c r="E600" s="1079" t="str">
        <f>VLOOKUP($B600,DG!A:D,DG!$B$2,)</f>
        <v>03.4002</v>
      </c>
      <c r="F600" s="1080" t="str">
        <f>VLOOKUP($B600,DG!A:D,DG!$C$2,)</f>
        <v>Đầu cosse ép Cu 50mm2</v>
      </c>
      <c r="G600" s="1079" t="str">
        <f>VLOOKUP($B600,DG!A:D,DG!$D$2,)</f>
        <v>cái</v>
      </c>
      <c r="H600" s="1167">
        <f>3*H595</f>
        <v>0</v>
      </c>
      <c r="I600" s="1259">
        <f t="shared" si="39"/>
        <v>0</v>
      </c>
      <c r="J600" s="1108"/>
      <c r="K600" s="1108"/>
      <c r="L600" s="1082"/>
      <c r="M600" s="975" t="s">
        <v>1262</v>
      </c>
    </row>
    <row r="601" spans="1:13" s="1083" customFormat="1" ht="25.2" hidden="1" customHeight="1">
      <c r="A601" s="1153">
        <f t="shared" si="38"/>
        <v>0</v>
      </c>
      <c r="B601" s="1329" t="s">
        <v>104</v>
      </c>
      <c r="C601" s="1329"/>
      <c r="D601" s="1110"/>
      <c r="E601" s="1079" t="str">
        <f>VLOOKUP($B601,DG!A:D,DG!$B$2,)</f>
        <v>03.4001</v>
      </c>
      <c r="F601" s="1080" t="str">
        <f>VLOOKUP($B601,DG!A:D,DG!$C$2,)</f>
        <v>Đầu cosse ép Cu 25mm2</v>
      </c>
      <c r="G601" s="1079" t="str">
        <f>VLOOKUP($B601,DG!A:D,DG!$D$2,)</f>
        <v>cái</v>
      </c>
      <c r="H601" s="1167">
        <f>4*H595*0</f>
        <v>0</v>
      </c>
      <c r="I601" s="1259">
        <f t="shared" si="39"/>
        <v>0</v>
      </c>
      <c r="J601" s="1108"/>
      <c r="K601" s="1108"/>
      <c r="L601" s="1082"/>
      <c r="M601" s="975" t="s">
        <v>1262</v>
      </c>
    </row>
    <row r="602" spans="1:13" s="1083" customFormat="1" ht="25.2" hidden="1" customHeight="1">
      <c r="A602" s="1153">
        <f t="shared" ref="A602:A665" si="40">IF(I602&gt;0,1,0)</f>
        <v>0</v>
      </c>
      <c r="B602" s="1329" t="s">
        <v>2157</v>
      </c>
      <c r="C602" s="1329"/>
      <c r="D602" s="1110"/>
      <c r="E602" s="1079">
        <f>VLOOKUP($B602,DG!A:D,DG!$B$2,)</f>
        <v>0</v>
      </c>
      <c r="F602" s="1080" t="str">
        <f>VLOOKUP($B602,DG!A:D,DG!$C$2,)</f>
        <v>Chụp đầu cosse  50mm2</v>
      </c>
      <c r="G602" s="1079" t="str">
        <f>VLOOKUP($B602,DG!A:D,DG!$D$2,)</f>
        <v>cái</v>
      </c>
      <c r="H602" s="1167">
        <f>H600</f>
        <v>0</v>
      </c>
      <c r="I602" s="1259">
        <f t="shared" si="39"/>
        <v>0</v>
      </c>
      <c r="J602" s="1108"/>
      <c r="K602" s="1108"/>
      <c r="L602" s="1082"/>
      <c r="M602" s="975" t="s">
        <v>1262</v>
      </c>
    </row>
    <row r="603" spans="1:13" s="1083" customFormat="1" ht="25.2" hidden="1" customHeight="1">
      <c r="A603" s="1153">
        <f t="shared" si="40"/>
        <v>0</v>
      </c>
      <c r="B603" s="1329" t="s">
        <v>1920</v>
      </c>
      <c r="C603" s="1329"/>
      <c r="D603" s="1110"/>
      <c r="E603" s="1079">
        <f>VLOOKUP($B603,DG!A:D,DG!$B$2,)</f>
        <v>0</v>
      </c>
      <c r="F603" s="1080" t="str">
        <f>VLOOKUP($B603,DG!A:D,DG!$C$2,)</f>
        <v>Chụp đầu cosse  25mm2</v>
      </c>
      <c r="G603" s="1079" t="str">
        <f>VLOOKUP($B603,DG!A:D,DG!$D$2,)</f>
        <v>cái</v>
      </c>
      <c r="H603" s="1167">
        <f>H601</f>
        <v>0</v>
      </c>
      <c r="I603" s="1259">
        <f t="shared" si="39"/>
        <v>0</v>
      </c>
      <c r="J603" s="1108"/>
      <c r="K603" s="1108"/>
      <c r="L603" s="1082"/>
      <c r="M603" s="975" t="s">
        <v>1262</v>
      </c>
    </row>
    <row r="604" spans="1:13" s="1083" customFormat="1" ht="25.2" hidden="1" customHeight="1">
      <c r="A604" s="1153">
        <f t="shared" si="40"/>
        <v>0</v>
      </c>
      <c r="B604" s="1324" t="s">
        <v>282</v>
      </c>
      <c r="C604" s="1324"/>
      <c r="D604" s="1110"/>
      <c r="E604" s="1079" t="str">
        <f>VLOOKUP($B604,DG!A:D,DG!$B$2,)</f>
        <v>04.8003</v>
      </c>
      <c r="F604" s="1080" t="str">
        <f>VLOOKUP($B604,DG!A:D,DG!$C$2,)</f>
        <v xml:space="preserve">Ống PVC D90x3,8mm </v>
      </c>
      <c r="G604" s="1079" t="str">
        <f>VLOOKUP($B604,DG!A:D,DG!$D$2,)</f>
        <v>m</v>
      </c>
      <c r="H604" s="1167">
        <f>8*H595</f>
        <v>0</v>
      </c>
      <c r="I604" s="1259">
        <f t="shared" si="39"/>
        <v>0</v>
      </c>
      <c r="J604" s="1108"/>
      <c r="K604" s="1108"/>
      <c r="L604" s="1082"/>
      <c r="M604" s="975" t="s">
        <v>1262</v>
      </c>
    </row>
    <row r="605" spans="1:13" s="1083" customFormat="1" ht="25.2" hidden="1" customHeight="1">
      <c r="A605" s="1153">
        <f t="shared" si="40"/>
        <v>0</v>
      </c>
      <c r="B605" s="1154" t="s">
        <v>1994</v>
      </c>
      <c r="C605" s="1154"/>
      <c r="D605" s="1110"/>
      <c r="E605" s="1079" t="str">
        <f>VLOOKUP($B605,DG!A:D,DG!$B$2,)</f>
        <v>06.3231</v>
      </c>
      <c r="F605" s="1080" t="str">
        <f>VLOOKUP($B605,DG!A:D,DG!$C$2,)</f>
        <v>Cổ dê kẹp ống PVC Ø 90</v>
      </c>
      <c r="G605" s="1079" t="str">
        <f>VLOOKUP($B605,DG!A:D,DG!$D$2,)</f>
        <v>bộ</v>
      </c>
      <c r="H605" s="1167">
        <f>3*H595</f>
        <v>0</v>
      </c>
      <c r="I605" s="1259">
        <f t="shared" si="39"/>
        <v>0</v>
      </c>
      <c r="J605" s="1108"/>
      <c r="K605" s="1108"/>
      <c r="L605" s="1082"/>
      <c r="M605" s="975" t="s">
        <v>1262</v>
      </c>
    </row>
    <row r="606" spans="1:13" s="1083" customFormat="1" ht="25.2" hidden="1" customHeight="1">
      <c r="A606" s="1153">
        <f t="shared" si="40"/>
        <v>0</v>
      </c>
      <c r="B606" s="1154" t="s">
        <v>1994</v>
      </c>
      <c r="C606" s="1154"/>
      <c r="D606" s="1110"/>
      <c r="E606" s="1079" t="str">
        <f>VLOOKUP($B606,DG!A:D,DG!$B$2,)</f>
        <v>06.3231</v>
      </c>
      <c r="F606" s="1080" t="str">
        <f>VLOOKUP($B606,DG!A:D,DG!$C$2,)&amp;": CD-280-1 cái"</f>
        <v>Cổ dê kẹp ống PVC Ø 90: CD-280-1 cái</v>
      </c>
      <c r="G606" s="1079" t="str">
        <f>VLOOKUP($B606,DG!A:D,DG!$D$2,)</f>
        <v>bộ</v>
      </c>
      <c r="H606" s="1167">
        <f>H595*1.031*0</f>
        <v>0</v>
      </c>
      <c r="I606" s="1259">
        <f t="shared" si="39"/>
        <v>0</v>
      </c>
      <c r="J606" s="1108"/>
      <c r="K606" s="1108"/>
      <c r="L606" s="1082"/>
      <c r="M606" s="975" t="s">
        <v>1262</v>
      </c>
    </row>
    <row r="607" spans="1:13" s="1083" customFormat="1" ht="25.2" hidden="1" customHeight="1">
      <c r="A607" s="1153">
        <f t="shared" si="40"/>
        <v>0</v>
      </c>
      <c r="B607" s="1154" t="s">
        <v>1994</v>
      </c>
      <c r="C607" s="1154"/>
      <c r="D607" s="1110"/>
      <c r="E607" s="1079" t="str">
        <f>VLOOKUP($B607,DG!A:D,DG!$B$2,)</f>
        <v>06.3231</v>
      </c>
      <c r="F607" s="1080" t="str">
        <f>VLOOKUP($B607,DG!A:D,DG!$C$2,)&amp;": CD-320 1 cái"</f>
        <v>Cổ dê kẹp ống PVC Ø 90: CD-320 1 cái</v>
      </c>
      <c r="G607" s="1079" t="str">
        <f>VLOOKUP($B607,DG!A:D,DG!$D$2,)</f>
        <v>bộ</v>
      </c>
      <c r="H607" s="1167">
        <f>H595*1.12*0</f>
        <v>0</v>
      </c>
      <c r="I607" s="1259">
        <f t="shared" si="39"/>
        <v>0</v>
      </c>
      <c r="J607" s="1108"/>
      <c r="K607" s="1108"/>
      <c r="L607" s="1082"/>
      <c r="M607" s="975" t="s">
        <v>1262</v>
      </c>
    </row>
    <row r="608" spans="1:13" s="1083" customFormat="1" ht="25.2" hidden="1" customHeight="1">
      <c r="A608" s="1153">
        <f t="shared" si="40"/>
        <v>0</v>
      </c>
      <c r="B608" s="1154" t="s">
        <v>1131</v>
      </c>
      <c r="C608" s="1154"/>
      <c r="D608" s="1110"/>
      <c r="E608" s="1079" t="str">
        <f>VLOOKUP($B608,DG!A:D,DG!$B$2,)</f>
        <v>06.2110</v>
      </c>
      <c r="F608" s="1080" t="str">
        <f>VLOOKUP($B608,DG!A:D,DG!$C$2,)</f>
        <v>Lắp cổ dề</v>
      </c>
      <c r="G608" s="1079" t="str">
        <f>VLOOKUP($B608,DG!A:D,DG!$D$2,)</f>
        <v>bộ</v>
      </c>
      <c r="H608" s="1167">
        <f>H605</f>
        <v>0</v>
      </c>
      <c r="I608" s="1259">
        <f t="shared" si="39"/>
        <v>0</v>
      </c>
      <c r="J608" s="1108"/>
      <c r="K608" s="1108"/>
      <c r="L608" s="1082"/>
      <c r="M608" s="975" t="s">
        <v>1262</v>
      </c>
    </row>
    <row r="609" spans="1:13" s="1083" customFormat="1" ht="25.2" hidden="1" customHeight="1">
      <c r="A609" s="1153">
        <f t="shared" si="40"/>
        <v>0</v>
      </c>
      <c r="B609" s="1154" t="s">
        <v>138</v>
      </c>
      <c r="C609" s="1154"/>
      <c r="D609" s="1110"/>
      <c r="E609" s="1079">
        <f>VLOOKUP($B609,DG!A:D,DG!$B$2,)</f>
        <v>0</v>
      </c>
      <c r="F609" s="1080" t="str">
        <f>VLOOKUP($B609,DG!A:D,DG!$C$2,)&amp;": CD-250"</f>
        <v>Boulon 12x40+ 2 long đền vuông D14-50x50x3/Zn: CD-250</v>
      </c>
      <c r="G609" s="1079" t="str">
        <f>VLOOKUP($B609,DG!A:D,DG!$D$2,)</f>
        <v>bộ</v>
      </c>
      <c r="H609" s="1167">
        <f>H595*7*0</f>
        <v>0</v>
      </c>
      <c r="I609" s="1259">
        <f t="shared" si="39"/>
        <v>0</v>
      </c>
      <c r="J609" s="1108"/>
      <c r="K609" s="1108"/>
      <c r="L609" s="1082"/>
      <c r="M609" s="975" t="s">
        <v>1262</v>
      </c>
    </row>
    <row r="610" spans="1:13" s="1083" customFormat="1" ht="25.2" hidden="1" customHeight="1">
      <c r="A610" s="1153">
        <f t="shared" si="40"/>
        <v>0</v>
      </c>
      <c r="B610" s="1324" t="s">
        <v>70</v>
      </c>
      <c r="C610" s="1324"/>
      <c r="D610" s="1110"/>
      <c r="E610" s="1079">
        <f>VLOOKUP($B610,DG!A:D,DG!$B$2,)</f>
        <v>0</v>
      </c>
      <c r="F610" s="1080" t="str">
        <f>VLOOKUP($B610,DG!A:D,DG!$C$2,)</f>
        <v>Co  90 độ PVC 90</v>
      </c>
      <c r="G610" s="1079" t="str">
        <f>VLOOKUP($B610,DG!A:D,DG!$D$2,)</f>
        <v>cái</v>
      </c>
      <c r="H610" s="1167">
        <f>2*H595</f>
        <v>0</v>
      </c>
      <c r="I610" s="1259">
        <f t="shared" si="39"/>
        <v>0</v>
      </c>
      <c r="J610" s="1108"/>
      <c r="K610" s="1108"/>
      <c r="L610" s="1082"/>
      <c r="M610" s="975" t="s">
        <v>1262</v>
      </c>
    </row>
    <row r="611" spans="1:13" s="1083" customFormat="1" ht="25.2" hidden="1" customHeight="1">
      <c r="A611" s="1153">
        <f t="shared" si="40"/>
        <v>0</v>
      </c>
      <c r="B611" s="1324" t="s">
        <v>2159</v>
      </c>
      <c r="C611" s="1324"/>
      <c r="D611" s="1110"/>
      <c r="E611" s="1079">
        <f>VLOOKUP($B611,DG!A:D,DG!$B$2,)</f>
        <v>0</v>
      </c>
      <c r="F611" s="1080" t="str">
        <f>VLOOKUP($B611,DG!A:D,DG!$C$2,)</f>
        <v>Khâu ven răng trong D90</v>
      </c>
      <c r="G611" s="1079" t="str">
        <f>VLOOKUP($B611,DG!A:D,DG!$D$2,)</f>
        <v>cái</v>
      </c>
      <c r="H611" s="1167">
        <f>H595</f>
        <v>0</v>
      </c>
      <c r="I611" s="1259">
        <f t="shared" si="39"/>
        <v>0</v>
      </c>
      <c r="J611" s="1108"/>
      <c r="K611" s="1108"/>
      <c r="L611" s="1082"/>
      <c r="M611" s="975" t="s">
        <v>1262</v>
      </c>
    </row>
    <row r="612" spans="1:13" s="1083" customFormat="1" ht="25.2" hidden="1" customHeight="1">
      <c r="A612" s="1153">
        <f t="shared" si="40"/>
        <v>0</v>
      </c>
      <c r="B612" s="1324" t="s">
        <v>2160</v>
      </c>
      <c r="C612" s="1324"/>
      <c r="D612" s="1110"/>
      <c r="E612" s="1079">
        <f>VLOOKUP($B612,DG!A:D,DG!$B$2,)</f>
        <v>0</v>
      </c>
      <c r="F612" s="1080" t="str">
        <f>VLOOKUP($B612,DG!A:D,DG!$C$2,)</f>
        <v>Khâu ven răng ngoài D90</v>
      </c>
      <c r="G612" s="1079" t="str">
        <f>VLOOKUP($B612,DG!A:D,DG!$D$2,)</f>
        <v>cái</v>
      </c>
      <c r="H612" s="1167">
        <f>H611</f>
        <v>0</v>
      </c>
      <c r="I612" s="1259">
        <f t="shared" si="39"/>
        <v>0</v>
      </c>
      <c r="J612" s="1108"/>
      <c r="K612" s="1108"/>
      <c r="L612" s="1082"/>
      <c r="M612" s="975" t="s">
        <v>1262</v>
      </c>
    </row>
    <row r="613" spans="1:13" s="1083" customFormat="1" ht="25.2" hidden="1" customHeight="1">
      <c r="A613" s="1153">
        <f t="shared" si="40"/>
        <v>0</v>
      </c>
      <c r="B613" s="1324" t="s">
        <v>419</v>
      </c>
      <c r="C613" s="1324"/>
      <c r="D613" s="1110"/>
      <c r="E613" s="1079">
        <f>VLOOKUP($B613,DG!A:D,DG!$B$2,)</f>
        <v>0</v>
      </c>
      <c r="F613" s="1080" t="str">
        <f>VLOOKUP($B613,DG!A:D,DG!$C$2,)</f>
        <v>Keo dán ống PVC (100gr)</v>
      </c>
      <c r="G613" s="1079" t="str">
        <f>VLOOKUP($B613,DG!A:D,DG!$D$2,)</f>
        <v>tuýp</v>
      </c>
      <c r="H613" s="1167">
        <f>H595</f>
        <v>0</v>
      </c>
      <c r="I613" s="1259">
        <f t="shared" si="39"/>
        <v>0</v>
      </c>
      <c r="J613" s="1108"/>
      <c r="K613" s="1108"/>
      <c r="L613" s="1082"/>
      <c r="M613" s="975" t="s">
        <v>1262</v>
      </c>
    </row>
    <row r="614" spans="1:13" s="1083" customFormat="1" ht="25.2" hidden="1" customHeight="1">
      <c r="A614" s="1153">
        <f t="shared" si="40"/>
        <v>0</v>
      </c>
      <c r="B614" s="1324" t="s">
        <v>1179</v>
      </c>
      <c r="C614" s="1324"/>
      <c r="D614" s="1110"/>
      <c r="E614" s="1079">
        <f>VLOOKUP($B614,DG!A:D,DG!$B$2,)</f>
        <v>0</v>
      </c>
      <c r="F614" s="1080" t="str">
        <f>VLOOKUP($B614,DG!A:D,DG!$C$2,)</f>
        <v>Keo silicon bít miệng ống</v>
      </c>
      <c r="G614" s="1079" t="str">
        <f>VLOOKUP($B614,DG!A:D,DG!$D$2,)</f>
        <v>ống</v>
      </c>
      <c r="H614" s="1167">
        <f>H595</f>
        <v>0</v>
      </c>
      <c r="I614" s="1259">
        <f t="shared" si="39"/>
        <v>0</v>
      </c>
      <c r="J614" s="1108"/>
      <c r="K614" s="1108"/>
      <c r="L614" s="1082"/>
      <c r="M614" s="975" t="s">
        <v>1262</v>
      </c>
    </row>
    <row r="615" spans="1:13" s="1083" customFormat="1" ht="25.2" hidden="1" customHeight="1">
      <c r="A615" s="1153">
        <f t="shared" si="40"/>
        <v>0</v>
      </c>
      <c r="B615" s="1154" t="s">
        <v>672</v>
      </c>
      <c r="C615" s="1154"/>
      <c r="D615" s="1110"/>
      <c r="E615" s="1079">
        <f>VLOOKUP($B615,DG!A:D,DG!$B$2,)</f>
        <v>0</v>
      </c>
      <c r="F615" s="1080" t="str">
        <f>VLOOKUP($B615,DG!A:D,DG!$C$2,)</f>
        <v>Băng keo cách điện</v>
      </c>
      <c r="G615" s="1079" t="str">
        <f>VLOOKUP($B615,DG!A:D,DG!$D$2,)</f>
        <v>cuộn</v>
      </c>
      <c r="H615" s="1167">
        <f>H595</f>
        <v>0</v>
      </c>
      <c r="I615" s="1259">
        <f t="shared" si="39"/>
        <v>0</v>
      </c>
      <c r="J615" s="1108"/>
      <c r="K615" s="1108"/>
      <c r="L615" s="1082"/>
      <c r="M615" s="975" t="s">
        <v>1262</v>
      </c>
    </row>
    <row r="616" spans="1:13" s="1083" customFormat="1" ht="25.2" hidden="1" customHeight="1">
      <c r="A616" s="1153">
        <f t="shared" si="40"/>
        <v>0</v>
      </c>
      <c r="B616" s="1329" t="s">
        <v>552</v>
      </c>
      <c r="C616" s="1329"/>
      <c r="D616" s="1110"/>
      <c r="E616" s="1079" t="str">
        <f>VLOOKUP($B616,DG!A:D,DG!$B$2,)</f>
        <v>07.2415</v>
      </c>
      <c r="F616" s="1080" t="str">
        <f>VLOOKUP($B616,DG!A:D,DG!$C$2,)</f>
        <v>Lắp ống nhựa PVC D90</v>
      </c>
      <c r="G616" s="1079" t="str">
        <f>VLOOKUP($B616,DG!A:D,DG!$D$2,)</f>
        <v>mét</v>
      </c>
      <c r="H616" s="1167">
        <f>H604</f>
        <v>0</v>
      </c>
      <c r="I616" s="1259">
        <f t="shared" si="39"/>
        <v>0</v>
      </c>
      <c r="J616" s="1108"/>
      <c r="K616" s="1108"/>
      <c r="L616" s="1082"/>
      <c r="M616" s="975" t="s">
        <v>1262</v>
      </c>
    </row>
    <row r="617" spans="1:13" s="1083" customFormat="1" ht="25.2" hidden="1" customHeight="1">
      <c r="A617" s="1153">
        <f t="shared" si="40"/>
        <v>0</v>
      </c>
      <c r="B617" s="1154" t="s">
        <v>1528</v>
      </c>
      <c r="C617" s="1154"/>
      <c r="D617" s="1110"/>
      <c r="E617" s="1079" t="str">
        <f>VLOOKUP($B617,DG!A:D,DG!$B$2,)</f>
        <v>04.4201</v>
      </c>
      <c r="F617" s="1080" t="str">
        <f>VLOOKUP($B617,DG!A:D,DG!$C$2,)</f>
        <v>Lắp cáp đồng xuống thiết bị D ≤ 95mm2</v>
      </c>
      <c r="G617" s="1079" t="str">
        <f>VLOOKUP($B617,DG!A:D,DG!$D$2,)</f>
        <v>m</v>
      </c>
      <c r="H617" s="1167">
        <f>H597+H598</f>
        <v>0</v>
      </c>
      <c r="I617" s="1259">
        <f t="shared" si="39"/>
        <v>0</v>
      </c>
      <c r="J617" s="1108"/>
      <c r="K617" s="1108"/>
      <c r="L617" s="1082"/>
      <c r="M617" s="975" t="s">
        <v>1262</v>
      </c>
    </row>
    <row r="618" spans="1:13" s="1083" customFormat="1" ht="25.2" hidden="1" customHeight="1">
      <c r="A618" s="1153">
        <f t="shared" si="40"/>
        <v>0</v>
      </c>
      <c r="B618" s="1324" t="s">
        <v>289</v>
      </c>
      <c r="C618" s="1324"/>
      <c r="D618" s="1170">
        <f>IF(H618&gt;0,D595+1,D595)</f>
        <v>0</v>
      </c>
      <c r="E618" s="1189"/>
      <c r="F618" s="1080" t="str">
        <f>VLOOKUP($B618,DG!A:D,DG!$C$2,)</f>
        <v>Bảng tên trạm, bảng báo nguy hiểm + đinh vít</v>
      </c>
      <c r="G618" s="1079" t="str">
        <f>VLOOKUP($B618,DG!A:D,DG!$D$2,)</f>
        <v>bộ</v>
      </c>
      <c r="H618" s="1846">
        <f>H557</f>
        <v>0</v>
      </c>
      <c r="I618" s="1259">
        <f t="shared" si="39"/>
        <v>0</v>
      </c>
      <c r="J618" s="1108"/>
      <c r="K618" s="1108"/>
      <c r="L618" s="1098"/>
      <c r="M618" s="975" t="s">
        <v>1262</v>
      </c>
    </row>
    <row r="619" spans="1:13" s="1083" customFormat="1" ht="25.2" hidden="1" customHeight="1">
      <c r="A619" s="1153">
        <f t="shared" si="40"/>
        <v>0</v>
      </c>
      <c r="B619" s="1324"/>
      <c r="C619" s="1324"/>
      <c r="D619" s="1190"/>
      <c r="E619" s="1191"/>
      <c r="F619" s="1069"/>
      <c r="G619" s="1192"/>
      <c r="H619" s="1847"/>
      <c r="I619" s="1259">
        <f t="shared" si="39"/>
        <v>0</v>
      </c>
      <c r="J619" s="1193"/>
      <c r="K619" s="1194"/>
      <c r="L619" s="1136"/>
      <c r="M619" s="975"/>
    </row>
    <row r="620" spans="1:13" s="1083" customFormat="1" ht="25.2" hidden="1" customHeight="1">
      <c r="A620" s="1153">
        <f t="shared" si="40"/>
        <v>0</v>
      </c>
      <c r="B620" s="1319"/>
      <c r="C620" s="1319"/>
      <c r="D620" s="1161"/>
      <c r="E620" s="1200"/>
      <c r="H620" s="1880"/>
      <c r="I620" s="1259">
        <f t="shared" si="39"/>
        <v>0</v>
      </c>
      <c r="M620" s="975"/>
    </row>
    <row r="621" spans="1:13" s="1083" customFormat="1" ht="25.2" hidden="1" customHeight="1">
      <c r="A621" s="1153">
        <f t="shared" si="40"/>
        <v>0</v>
      </c>
      <c r="B621" s="1319"/>
      <c r="C621" s="1319"/>
      <c r="D621" s="1100" t="str">
        <f>"BAÛNG TOÅNG HÔÏP VAÄT LIEÄU, NHAÂN COÂNG, MAÙY THI COÂNG : "&amp;L7&amp;" TRAÏM 3P 3x25KVA"</f>
        <v>BAÛNG TOÅNG HÔÏP VAÄT LIEÄU, NHAÂN COÂNG, MAÙY THI COÂNG : 0 TRAÏM 3P 3x25KVA</v>
      </c>
      <c r="E621" s="1100"/>
      <c r="F621" s="1100"/>
      <c r="G621" s="1100"/>
      <c r="H621" s="1848"/>
      <c r="I621" s="1259">
        <f t="shared" ref="I621:I684" si="41">IF(M621=$M$23,H621+J621-K621,0)</f>
        <v>0</v>
      </c>
      <c r="J621" s="1100"/>
      <c r="K621" s="1100"/>
      <c r="L621" s="975"/>
      <c r="M621" s="975"/>
    </row>
    <row r="622" spans="1:13" s="1083" customFormat="1" ht="25.2" hidden="1" customHeight="1">
      <c r="A622" s="1153">
        <f t="shared" si="40"/>
        <v>0</v>
      </c>
      <c r="B622" s="1324"/>
      <c r="C622" s="1324"/>
      <c r="D622" s="1156"/>
      <c r="E622" s="1157"/>
      <c r="F622" s="1069" t="s">
        <v>3690</v>
      </c>
      <c r="G622" s="1159"/>
      <c r="H622" s="1843"/>
      <c r="I622" s="1259">
        <f t="shared" si="41"/>
        <v>0</v>
      </c>
      <c r="J622" s="1159"/>
      <c r="K622" s="1159"/>
      <c r="L622" s="1136"/>
      <c r="M622" s="975" t="s">
        <v>1263</v>
      </c>
    </row>
    <row r="623" spans="1:13" s="1083" customFormat="1" ht="25.2" hidden="1" customHeight="1">
      <c r="A623" s="1153">
        <f t="shared" si="40"/>
        <v>0</v>
      </c>
      <c r="B623" s="1325" t="s">
        <v>1210</v>
      </c>
      <c r="C623" s="1325"/>
      <c r="D623" s="1090">
        <f>IF(H623&gt;0,1,0)</f>
        <v>0</v>
      </c>
      <c r="E623" s="1079" t="str">
        <f>VLOOKUP($B623,DG!A:D,DG!$B$2,)</f>
        <v>01.1161</v>
      </c>
      <c r="F623" s="1080" t="str">
        <f>VLOOKUP($B623,DG!A:D,DG!$C$2,)</f>
        <v>Máy biến áp 12,7/0,22-0,44kV  25kVA</v>
      </c>
      <c r="G623" s="1079" t="str">
        <f>VLOOKUP($B623,DG!A:D,DG!$D$2,)</f>
        <v>máy</v>
      </c>
      <c r="H623" s="1849">
        <f>L7*3</f>
        <v>0</v>
      </c>
      <c r="I623" s="1259">
        <f t="shared" si="41"/>
        <v>0</v>
      </c>
      <c r="J623" s="1108"/>
      <c r="K623" s="1108"/>
      <c r="L623" s="1196"/>
      <c r="M623" s="975" t="s">
        <v>1263</v>
      </c>
    </row>
    <row r="624" spans="1:13" s="1083" customFormat="1" ht="25.2" hidden="1" customHeight="1">
      <c r="A624" s="1153">
        <f t="shared" si="40"/>
        <v>0</v>
      </c>
      <c r="B624" s="1325" t="s">
        <v>1655</v>
      </c>
      <c r="C624" s="1325"/>
      <c r="D624" s="1090">
        <f t="shared" ref="D624:D629" si="42">IF(H624&gt;0,D623+1,D623)</f>
        <v>0</v>
      </c>
      <c r="E624" s="1079" t="str">
        <f>VLOOKUP($B624,DG!A:D,DG!$B$2,)</f>
        <v>02.3155</v>
      </c>
      <c r="F624" s="1080" t="str">
        <f>VLOOKUP($B624,DG!A:D,DG!$C$2,)</f>
        <v>FCO 27kV - 100A</v>
      </c>
      <c r="G624" s="1079" t="str">
        <f>VLOOKUP($B624,DG!A:D,DG!$D$2,)</f>
        <v>cái</v>
      </c>
      <c r="H624" s="1167">
        <f>+H623</f>
        <v>0</v>
      </c>
      <c r="I624" s="1259">
        <f t="shared" si="41"/>
        <v>0</v>
      </c>
      <c r="J624" s="1108"/>
      <c r="K624" s="1108"/>
      <c r="L624" s="1082"/>
      <c r="M624" s="975" t="s">
        <v>1263</v>
      </c>
    </row>
    <row r="625" spans="1:14" s="1083" customFormat="1" ht="25.2" hidden="1" customHeight="1">
      <c r="A625" s="1153">
        <f t="shared" si="40"/>
        <v>0</v>
      </c>
      <c r="B625" s="1325" t="s">
        <v>888</v>
      </c>
      <c r="C625" s="1325"/>
      <c r="D625" s="1090">
        <f t="shared" si="42"/>
        <v>0</v>
      </c>
      <c r="E625" s="1079">
        <f>VLOOKUP($B625,DG!A:D,DG!$B$2,)</f>
        <v>0</v>
      </c>
      <c r="F625" s="1080" t="str">
        <f>VLOOKUP($B625,DG!A:D,DG!$C$2,)</f>
        <v>Dây chảy 3K</v>
      </c>
      <c r="G625" s="1079" t="str">
        <f>VLOOKUP($B625,DG!A:D,DG!$D$2,)</f>
        <v>Sợi</v>
      </c>
      <c r="H625" s="1167">
        <f>H624</f>
        <v>0</v>
      </c>
      <c r="I625" s="1259">
        <f t="shared" si="41"/>
        <v>0</v>
      </c>
      <c r="J625" s="1108"/>
      <c r="K625" s="1108"/>
      <c r="L625" s="1082"/>
      <c r="M625" s="975" t="s">
        <v>1263</v>
      </c>
    </row>
    <row r="626" spans="1:14" s="1083" customFormat="1" ht="25.2" hidden="1" customHeight="1">
      <c r="A626" s="1153">
        <f t="shared" si="40"/>
        <v>0</v>
      </c>
      <c r="B626" s="1319" t="s">
        <v>1376</v>
      </c>
      <c r="C626" s="1319"/>
      <c r="D626" s="1090">
        <f t="shared" si="42"/>
        <v>0</v>
      </c>
      <c r="E626" s="1079" t="str">
        <f>VLOOKUP($B626,DG!A:D,DG!$B$2,)</f>
        <v>02.5114</v>
      </c>
      <c r="F626" s="1080" t="str">
        <f>VLOOKUP($B626,DG!A:D,DG!$C$2,)</f>
        <v>Chống sét van LA-18KV-10KA</v>
      </c>
      <c r="G626" s="1079" t="str">
        <f>VLOOKUP($B626,DG!A:D,DG!$D$2,)</f>
        <v>cái</v>
      </c>
      <c r="H626" s="1167">
        <f>H623</f>
        <v>0</v>
      </c>
      <c r="I626" s="1259">
        <f t="shared" si="41"/>
        <v>0</v>
      </c>
      <c r="J626" s="1108"/>
      <c r="K626" s="1108"/>
      <c r="L626" s="1082"/>
      <c r="M626" s="975" t="s">
        <v>1263</v>
      </c>
    </row>
    <row r="627" spans="1:14" s="1083" customFormat="1" ht="25.2" hidden="1" customHeight="1">
      <c r="A627" s="1153">
        <f t="shared" si="40"/>
        <v>0</v>
      </c>
      <c r="B627" s="1326" t="s">
        <v>1422</v>
      </c>
      <c r="C627" s="1326"/>
      <c r="D627" s="1090">
        <f t="shared" si="42"/>
        <v>0</v>
      </c>
      <c r="E627" s="1079" t="str">
        <f>VLOOKUP($B627,DG!A:D,DG!$B$2,)</f>
        <v>02.8401</v>
      </c>
      <c r="F627" s="1080" t="str">
        <f>VLOOKUP($B627,DG!A:D,DG!$C$2,)</f>
        <v>MCCB 3 cực 400V -125A - 30KA</v>
      </c>
      <c r="G627" s="1079" t="str">
        <f>VLOOKUP($B627,DG!A:D,DG!$D$2,)</f>
        <v>cái</v>
      </c>
      <c r="H627" s="1167">
        <f>+H623/3</f>
        <v>0</v>
      </c>
      <c r="I627" s="1259">
        <f t="shared" si="41"/>
        <v>0</v>
      </c>
      <c r="J627" s="1108"/>
      <c r="K627" s="1108"/>
      <c r="L627" s="1082"/>
      <c r="M627" s="975" t="s">
        <v>1263</v>
      </c>
    </row>
    <row r="628" spans="1:14" s="1083" customFormat="1" ht="25.2" hidden="1" customHeight="1">
      <c r="A628" s="1153">
        <f t="shared" si="40"/>
        <v>0</v>
      </c>
      <c r="B628" s="1154" t="s">
        <v>2048</v>
      </c>
      <c r="C628" s="1154"/>
      <c r="D628" s="1090">
        <f t="shared" si="42"/>
        <v>0</v>
      </c>
      <c r="E628" s="1079">
        <f>VLOOKUP($B628,DG!A:D,DG!$B$2,)</f>
        <v>0</v>
      </c>
      <c r="F628" s="1080" t="str">
        <f>VLOOKUP($B628,DG!A:D,DG!$C$2,)</f>
        <v>Biến dòng 600V - 100/5A</v>
      </c>
      <c r="G628" s="1079" t="str">
        <f>VLOOKUP($B628,DG!A:D,DG!$D$2,)</f>
        <v>cái</v>
      </c>
      <c r="H628" s="1853">
        <f>H623</f>
        <v>0</v>
      </c>
      <c r="I628" s="1259">
        <f t="shared" si="41"/>
        <v>0</v>
      </c>
      <c r="J628" s="1108"/>
      <c r="K628" s="1108"/>
      <c r="L628" s="1110" t="s">
        <v>2609</v>
      </c>
      <c r="M628" s="975" t="s">
        <v>1263</v>
      </c>
    </row>
    <row r="629" spans="1:14" s="1083" customFormat="1" ht="25.2" hidden="1" customHeight="1">
      <c r="A629" s="1153">
        <f t="shared" si="40"/>
        <v>0</v>
      </c>
      <c r="B629" s="1347" t="s">
        <v>288</v>
      </c>
      <c r="C629" s="1347"/>
      <c r="D629" s="1090">
        <f t="shared" si="42"/>
        <v>0</v>
      </c>
      <c r="E629" s="1079" t="str">
        <f>VLOOKUP($B629,DG!A:D,DG!$B$2,)</f>
        <v>05.5104</v>
      </c>
      <c r="F629" s="1080" t="str">
        <f>VLOOKUP($B629,DG!A:D,DG!$C$2,)</f>
        <v>Điện kế 3 pha 4 dây 220/380V-5A</v>
      </c>
      <c r="G629" s="1079" t="str">
        <f>VLOOKUP($B629,DG!A:D,DG!$D$2,)</f>
        <v>cái</v>
      </c>
      <c r="H629" s="1167">
        <f>H628/3</f>
        <v>0</v>
      </c>
      <c r="I629" s="1259">
        <f t="shared" si="41"/>
        <v>0</v>
      </c>
      <c r="J629" s="1108"/>
      <c r="K629" s="1108"/>
      <c r="L629" s="1110" t="s">
        <v>2609</v>
      </c>
      <c r="M629" s="975" t="s">
        <v>1263</v>
      </c>
    </row>
    <row r="630" spans="1:14" s="1083" customFormat="1" ht="25.2" hidden="1" customHeight="1">
      <c r="A630" s="1153">
        <f t="shared" si="40"/>
        <v>0</v>
      </c>
      <c r="B630" s="1324"/>
      <c r="C630" s="1324"/>
      <c r="D630" s="1107"/>
      <c r="E630" s="1202"/>
      <c r="F630" s="1160"/>
      <c r="G630" s="1107"/>
      <c r="H630" s="1202"/>
      <c r="I630" s="1259">
        <f t="shared" si="41"/>
        <v>0</v>
      </c>
      <c r="J630" s="1160"/>
      <c r="K630" s="1107"/>
      <c r="L630" s="1136"/>
      <c r="M630" s="975" t="s">
        <v>1263</v>
      </c>
    </row>
    <row r="631" spans="1:14" s="1083" customFormat="1" ht="25.2" hidden="1" customHeight="1">
      <c r="A631" s="1153">
        <f t="shared" si="40"/>
        <v>0</v>
      </c>
      <c r="B631" s="1324"/>
      <c r="C631" s="1324"/>
      <c r="D631" s="1181"/>
      <c r="E631" s="1204"/>
      <c r="F631" s="1069" t="s">
        <v>3691</v>
      </c>
      <c r="G631" s="1069"/>
      <c r="H631" s="1843"/>
      <c r="I631" s="1259">
        <f t="shared" si="41"/>
        <v>0</v>
      </c>
      <c r="J631" s="1069"/>
      <c r="K631" s="1069"/>
      <c r="L631" s="1136"/>
      <c r="M631" s="975" t="s">
        <v>1263</v>
      </c>
    </row>
    <row r="632" spans="1:14" s="1083" customFormat="1" ht="25.2" hidden="1" customHeight="1">
      <c r="A632" s="1153">
        <f t="shared" si="40"/>
        <v>0</v>
      </c>
      <c r="B632" s="1324"/>
      <c r="C632" s="1324"/>
      <c r="D632" s="1205">
        <f>IF(H632&gt;0,1,0)</f>
        <v>0</v>
      </c>
      <c r="E632" s="1206"/>
      <c r="F632" s="1207" t="s">
        <v>3710</v>
      </c>
      <c r="G632" s="1205" t="s">
        <v>2391</v>
      </c>
      <c r="H632" s="1852">
        <f>H623/3</f>
        <v>0</v>
      </c>
      <c r="I632" s="1259">
        <f t="shared" si="41"/>
        <v>0</v>
      </c>
      <c r="J632" s="1208"/>
      <c r="K632" s="1208"/>
      <c r="L632" s="1196"/>
      <c r="M632" s="975" t="s">
        <v>1263</v>
      </c>
    </row>
    <row r="633" spans="1:14" s="1083" customFormat="1" ht="25.2" hidden="1" customHeight="1">
      <c r="A633" s="1153">
        <f t="shared" si="40"/>
        <v>0</v>
      </c>
      <c r="B633" s="1324"/>
      <c r="C633" s="1324"/>
      <c r="D633" s="1166"/>
      <c r="E633" s="1209"/>
      <c r="F633" s="1365" t="s">
        <v>2285</v>
      </c>
      <c r="G633" s="1110"/>
      <c r="H633" s="1167"/>
      <c r="I633" s="1259">
        <f t="shared" si="41"/>
        <v>0</v>
      </c>
      <c r="J633" s="1210"/>
      <c r="K633" s="1210"/>
      <c r="L633" s="1082"/>
      <c r="M633" s="975" t="s">
        <v>1263</v>
      </c>
    </row>
    <row r="634" spans="1:14" s="1083" customFormat="1" ht="25.2" hidden="1" customHeight="1">
      <c r="A634" s="1153">
        <f t="shared" si="40"/>
        <v>0</v>
      </c>
      <c r="B634" s="1154" t="s">
        <v>1000</v>
      </c>
      <c r="C634" s="1154"/>
      <c r="D634" s="1166"/>
      <c r="E634" s="1079" t="str">
        <f>VLOOKUP($B634,DG!A:D,DG!$B$2,)</f>
        <v>05.6100</v>
      </c>
      <c r="F634" s="1080" t="str">
        <f>VLOOKUP($B634,DG!A:D,DG!$C$2,)</f>
        <v>Giá chùm treo máy biến áp 3x25</v>
      </c>
      <c r="G634" s="1079" t="str">
        <f>VLOOKUP($B634,DG!A:D,DG!$D$2,)</f>
        <v>cái</v>
      </c>
      <c r="H634" s="1167">
        <f>H632</f>
        <v>0</v>
      </c>
      <c r="I634" s="1259">
        <f t="shared" si="41"/>
        <v>0</v>
      </c>
      <c r="J634" s="1108"/>
      <c r="K634" s="1108"/>
      <c r="L634" s="1082"/>
      <c r="M634" s="975" t="s">
        <v>1263</v>
      </c>
    </row>
    <row r="635" spans="1:14" s="1083" customFormat="1" ht="25.2" hidden="1" customHeight="1">
      <c r="A635" s="1153">
        <f t="shared" si="40"/>
        <v>0</v>
      </c>
      <c r="B635" s="1324" t="s">
        <v>1790</v>
      </c>
      <c r="C635" s="1324"/>
      <c r="D635" s="1166"/>
      <c r="E635" s="1209"/>
      <c r="F635" s="1080" t="str">
        <f>VLOOKUP($B635,DG!A:D,DG!$C$2,)</f>
        <v>Boulon 16x50+ 2 long đền vuông D18-50x50x3/Zn</v>
      </c>
      <c r="G635" s="1079" t="str">
        <f>VLOOKUP($B635,DG!A:D,DG!$D$2,)</f>
        <v>bộ</v>
      </c>
      <c r="H635" s="1167">
        <f>6*H632</f>
        <v>0</v>
      </c>
      <c r="I635" s="1259">
        <f t="shared" si="41"/>
        <v>0</v>
      </c>
      <c r="J635" s="1108"/>
      <c r="K635" s="1108"/>
      <c r="L635" s="1082"/>
      <c r="M635" s="975" t="s">
        <v>1263</v>
      </c>
    </row>
    <row r="636" spans="1:14" s="1083" customFormat="1" ht="25.2" hidden="1" customHeight="1">
      <c r="A636" s="1153">
        <f t="shared" si="40"/>
        <v>0</v>
      </c>
      <c r="B636" s="1324" t="s">
        <v>1613</v>
      </c>
      <c r="C636" s="1324"/>
      <c r="D636" s="1166"/>
      <c r="E636" s="1209"/>
      <c r="F636" s="1080" t="str">
        <f>VLOOKUP($B636,DG!A:D,DG!$C$2,)</f>
        <v>Boulon 16x300+ 2 long đền vuông D18-50x50x3/Zn</v>
      </c>
      <c r="G636" s="1079" t="str">
        <f>VLOOKUP($B636,DG!A:D,DG!$D$2,)</f>
        <v>bộ</v>
      </c>
      <c r="H636" s="1167">
        <f>2*H632</f>
        <v>0</v>
      </c>
      <c r="I636" s="1259">
        <f t="shared" si="41"/>
        <v>0</v>
      </c>
      <c r="J636" s="1108"/>
      <c r="K636" s="1108"/>
      <c r="L636" s="1082"/>
      <c r="M636" s="975" t="s">
        <v>1263</v>
      </c>
    </row>
    <row r="637" spans="1:14" s="1083" customFormat="1" ht="25.2" hidden="1" customHeight="1">
      <c r="A637" s="1153">
        <f t="shared" si="40"/>
        <v>0</v>
      </c>
      <c r="B637" s="1324"/>
      <c r="C637" s="1324"/>
      <c r="D637" s="1078">
        <f>IF(H637&gt;0,D632+1,D632)</f>
        <v>0</v>
      </c>
      <c r="E637" s="1185"/>
      <c r="F637" s="1186" t="s">
        <v>3692</v>
      </c>
      <c r="G637" s="1166" t="s">
        <v>2391</v>
      </c>
      <c r="H637" s="1845">
        <f>H632*0</f>
        <v>0</v>
      </c>
      <c r="I637" s="1259">
        <f t="shared" si="41"/>
        <v>0</v>
      </c>
      <c r="J637" s="1131"/>
      <c r="K637" s="1131"/>
      <c r="L637" s="1110"/>
      <c r="M637" s="975" t="s">
        <v>1263</v>
      </c>
    </row>
    <row r="638" spans="1:14" s="1083" customFormat="1" ht="25.2" hidden="1" customHeight="1">
      <c r="A638" s="1153">
        <f t="shared" si="40"/>
        <v>0</v>
      </c>
      <c r="B638" s="1324"/>
      <c r="C638" s="1324"/>
      <c r="D638" s="1166"/>
      <c r="E638" s="1185"/>
      <c r="F638" s="1364" t="s">
        <v>2285</v>
      </c>
      <c r="G638" s="1110"/>
      <c r="H638" s="1167"/>
      <c r="I638" s="1259">
        <f t="shared" si="41"/>
        <v>0</v>
      </c>
      <c r="J638" s="1131"/>
      <c r="K638" s="1131"/>
      <c r="L638" s="1110"/>
      <c r="M638" s="975" t="s">
        <v>1263</v>
      </c>
      <c r="N638" s="1187"/>
    </row>
    <row r="639" spans="1:14" s="1083" customFormat="1" ht="25.2" hidden="1" customHeight="1">
      <c r="A639" s="1153">
        <f t="shared" si="40"/>
        <v>0</v>
      </c>
      <c r="B639" s="1154" t="s">
        <v>115</v>
      </c>
      <c r="C639" s="1154"/>
      <c r="D639" s="1110"/>
      <c r="E639" s="1079">
        <f>VLOOKUP($B639,DG!A:D,DG!$B$2,)</f>
        <v>0</v>
      </c>
      <c r="F639" s="1080" t="str">
        <f>VLOOKUP($B639,DG!A:D,DG!$C$2,)</f>
        <v>Trụ BTLT 12m F350 dự ứng lực</v>
      </c>
      <c r="G639" s="1079" t="str">
        <f>VLOOKUP($B639,DG!A:D,DG!$D$2,)</f>
        <v>trụ</v>
      </c>
      <c r="H639" s="1167">
        <f>1*H637</f>
        <v>0</v>
      </c>
      <c r="I639" s="1259">
        <f t="shared" si="41"/>
        <v>0</v>
      </c>
      <c r="J639" s="1108"/>
      <c r="K639" s="1108"/>
      <c r="L639" s="1110"/>
      <c r="M639" s="975" t="s">
        <v>1263</v>
      </c>
      <c r="N639" s="1187"/>
    </row>
    <row r="640" spans="1:14" s="1083" customFormat="1" ht="25.2" hidden="1" customHeight="1">
      <c r="A640" s="1153">
        <f t="shared" si="40"/>
        <v>0</v>
      </c>
      <c r="B640" s="1154" t="s">
        <v>1818</v>
      </c>
      <c r="C640" s="1154"/>
      <c r="D640" s="1110"/>
      <c r="E640" s="1188"/>
      <c r="F640" s="1080" t="str">
        <f>VLOOKUP($B640,DG!A:D,DG!$C$2,)</f>
        <v>Vật liệu dựng trụ</v>
      </c>
      <c r="G640" s="1079" t="str">
        <f>VLOOKUP($B640,DG!A:D,DG!$D$2,)</f>
        <v>trụ</v>
      </c>
      <c r="H640" s="1167">
        <f>H639</f>
        <v>0</v>
      </c>
      <c r="I640" s="1259">
        <f t="shared" si="41"/>
        <v>0</v>
      </c>
      <c r="J640" s="1108"/>
      <c r="K640" s="1108"/>
      <c r="L640" s="1110"/>
      <c r="M640" s="975" t="s">
        <v>1263</v>
      </c>
      <c r="N640" s="1187"/>
    </row>
    <row r="641" spans="1:14" s="1083" customFormat="1" ht="25.2" hidden="1" customHeight="1">
      <c r="A641" s="1153">
        <f t="shared" si="40"/>
        <v>0</v>
      </c>
      <c r="B641" s="1154" t="s">
        <v>2132</v>
      </c>
      <c r="C641" s="1154"/>
      <c r="D641" s="1110"/>
      <c r="E641" s="1188"/>
      <c r="F641" s="1080" t="str">
        <f>VLOOKUP($B641,DG!A:D,DG!$C$2,)</f>
        <v>Dựng trụ BTLT 12m trong TBA bằng thủ công + cơ giới</v>
      </c>
      <c r="G641" s="1079" t="str">
        <f>VLOOKUP($B641,DG!A:D,DG!$D$2,)</f>
        <v>trụ</v>
      </c>
      <c r="H641" s="1167">
        <f>H639</f>
        <v>0</v>
      </c>
      <c r="I641" s="1259">
        <f t="shared" si="41"/>
        <v>0</v>
      </c>
      <c r="J641" s="1108"/>
      <c r="K641" s="1108"/>
      <c r="L641" s="1110"/>
      <c r="M641" s="975" t="s">
        <v>1263</v>
      </c>
      <c r="N641" s="1187"/>
    </row>
    <row r="642" spans="1:14" s="1083" customFormat="1" ht="25.2" hidden="1" customHeight="1">
      <c r="A642" s="1153">
        <f t="shared" si="40"/>
        <v>0</v>
      </c>
      <c r="B642" s="1324"/>
      <c r="C642" s="1324"/>
      <c r="D642" s="1078">
        <f>IF(H642&gt;0,D637+1,D637)</f>
        <v>0</v>
      </c>
      <c r="E642" s="1185"/>
      <c r="F642" s="1186" t="s">
        <v>2358</v>
      </c>
      <c r="G642" s="1166" t="s">
        <v>2391</v>
      </c>
      <c r="H642" s="1845">
        <f>H637</f>
        <v>0</v>
      </c>
      <c r="I642" s="1259">
        <f t="shared" si="41"/>
        <v>0</v>
      </c>
      <c r="J642" s="1131"/>
      <c r="K642" s="1131"/>
      <c r="L642" s="1110"/>
      <c r="M642" s="975" t="s">
        <v>1263</v>
      </c>
    </row>
    <row r="643" spans="1:14" s="1083" customFormat="1" ht="25.2" hidden="1" customHeight="1">
      <c r="A643" s="1153">
        <f t="shared" si="40"/>
        <v>0</v>
      </c>
      <c r="B643" s="1324"/>
      <c r="C643" s="1324"/>
      <c r="D643" s="1166"/>
      <c r="E643" s="1185"/>
      <c r="F643" s="1364" t="s">
        <v>2285</v>
      </c>
      <c r="G643" s="1110"/>
      <c r="H643" s="1167"/>
      <c r="I643" s="1259">
        <f t="shared" si="41"/>
        <v>0</v>
      </c>
      <c r="J643" s="1131"/>
      <c r="K643" s="1131"/>
      <c r="L643" s="1110"/>
      <c r="M643" s="975" t="s">
        <v>1263</v>
      </c>
      <c r="N643" s="1187"/>
    </row>
    <row r="644" spans="1:14" s="1083" customFormat="1" ht="25.2" hidden="1" customHeight="1">
      <c r="A644" s="1153">
        <f t="shared" si="40"/>
        <v>0</v>
      </c>
      <c r="B644" s="1331" t="s">
        <v>636</v>
      </c>
      <c r="C644" s="1331"/>
      <c r="D644" s="1110"/>
      <c r="E644" s="1079" t="str">
        <f>VLOOKUP($B644,DG!A:D,DG!$B$2,)</f>
        <v>04.4001</v>
      </c>
      <c r="F644" s="1080" t="str">
        <f>VLOOKUP($B644,DG!A:D,DG!$C$2,)</f>
        <v>Đà cản BTCT 1,2m</v>
      </c>
      <c r="G644" s="1079" t="str">
        <f>VLOOKUP($B644,DG!A:D,DG!$D$2,)</f>
        <v>cái</v>
      </c>
      <c r="H644" s="1167">
        <f>1*H642</f>
        <v>0</v>
      </c>
      <c r="I644" s="1259">
        <f t="shared" si="41"/>
        <v>0</v>
      </c>
      <c r="J644" s="1108"/>
      <c r="K644" s="1108"/>
      <c r="L644" s="1110"/>
      <c r="M644" s="975" t="s">
        <v>1263</v>
      </c>
      <c r="N644" s="1187"/>
    </row>
    <row r="645" spans="1:14" s="1083" customFormat="1" ht="25.2" hidden="1" customHeight="1">
      <c r="A645" s="1153">
        <f t="shared" si="40"/>
        <v>0</v>
      </c>
      <c r="B645" s="1331" t="s">
        <v>566</v>
      </c>
      <c r="C645" s="1331"/>
      <c r="D645" s="1110"/>
      <c r="E645" s="1079">
        <f>VLOOKUP($B645,DG!A:D,DG!$B$2,)</f>
        <v>0</v>
      </c>
      <c r="F645" s="1080" t="str">
        <f>VLOOKUP($B645,DG!A:D,DG!$C$2,)</f>
        <v>Boulon 22x650+ 2 long đền vuông D24-50x50x3/Zn</v>
      </c>
      <c r="G645" s="1079" t="str">
        <f>VLOOKUP($B645,DG!A:D,DG!$D$2,)</f>
        <v>bộ</v>
      </c>
      <c r="H645" s="1167">
        <f>H642</f>
        <v>0</v>
      </c>
      <c r="I645" s="1259">
        <f t="shared" si="41"/>
        <v>0</v>
      </c>
      <c r="J645" s="1108"/>
      <c r="K645" s="1108"/>
      <c r="L645" s="1110"/>
      <c r="M645" s="975" t="s">
        <v>1263</v>
      </c>
      <c r="N645" s="1187"/>
    </row>
    <row r="646" spans="1:14" s="1083" customFormat="1" ht="25.2" hidden="1" customHeight="1">
      <c r="A646" s="1153">
        <f t="shared" si="40"/>
        <v>0</v>
      </c>
      <c r="B646" s="1331" t="str">
        <f>IF(chitiet!G5=1,"MDD1",IF(chitiet!G5=2,"MDD2",IF(chitiet!G5=3,"MDD3",IF(chitiet!G5=4,"MDD4"))))</f>
        <v>MDD3</v>
      </c>
      <c r="C646" s="1331"/>
      <c r="D646" s="1110"/>
      <c r="E646" s="1079" t="str">
        <f>VLOOKUP($B646,DG!A:D,DG!$B$2,)</f>
        <v>03.1013</v>
      </c>
      <c r="F646" s="1080" t="str">
        <f>VLOOKUP($B646,DG!A:D,DG!$C$2,)</f>
        <v>Đào hố móng đất cấp 3 sâu &gt;1m</v>
      </c>
      <c r="G646" s="1079" t="str">
        <f>VLOOKUP($B646,DG!A:D,DG!$D$2,)</f>
        <v>m3</v>
      </c>
      <c r="H646" s="1167">
        <f>H642*1.45</f>
        <v>0</v>
      </c>
      <c r="I646" s="1259">
        <f t="shared" si="41"/>
        <v>0</v>
      </c>
      <c r="J646" s="1108"/>
      <c r="K646" s="1108"/>
      <c r="L646" s="1110"/>
      <c r="M646" s="975" t="s">
        <v>1263</v>
      </c>
      <c r="N646" s="1187"/>
    </row>
    <row r="647" spans="1:14" s="1083" customFormat="1" ht="25.2" hidden="1" customHeight="1">
      <c r="A647" s="1153">
        <f t="shared" si="40"/>
        <v>0</v>
      </c>
      <c r="B647" s="1331" t="str">
        <f>IF(chitiet!G5=1,"MDAP1",IF(chitiet!G5=2,"MDAP2",IF(chitiet!G5=3,"MDAP3",IF(chitiet!G5=4,"MDAP4"))))</f>
        <v>MDAP3</v>
      </c>
      <c r="C647" s="1331"/>
      <c r="D647" s="1110"/>
      <c r="E647" s="1079" t="str">
        <f>VLOOKUP($B647,DG!A:D,DG!$B$2,)</f>
        <v>03.4113</v>
      </c>
      <c r="F647" s="1080" t="str">
        <f>VLOOKUP($B647,DG!A:D,DG!$C$2,)</f>
        <v>Đắp đất hố móng, độ chặt k=0,95</v>
      </c>
      <c r="G647" s="1079" t="str">
        <f>VLOOKUP($B647,DG!A:D,DG!$D$2,)</f>
        <v>m3</v>
      </c>
      <c r="H647" s="1167">
        <f>H642*1.37</f>
        <v>0</v>
      </c>
      <c r="I647" s="1259">
        <f t="shared" si="41"/>
        <v>0</v>
      </c>
      <c r="J647" s="1108"/>
      <c r="K647" s="1108"/>
      <c r="L647" s="1110"/>
      <c r="M647" s="975" t="s">
        <v>1263</v>
      </c>
      <c r="N647" s="1187"/>
    </row>
    <row r="648" spans="1:14" s="1083" customFormat="1" ht="25.2" hidden="1" customHeight="1">
      <c r="A648" s="1153">
        <f t="shared" si="40"/>
        <v>0</v>
      </c>
      <c r="B648" s="1324"/>
      <c r="C648" s="1324"/>
      <c r="D648" s="1166">
        <f>IF(H648&gt;0,D642+1,D642)</f>
        <v>0</v>
      </c>
      <c r="E648" s="1209"/>
      <c r="F648" s="1197" t="s">
        <v>3717</v>
      </c>
      <c r="G648" s="1166" t="s">
        <v>2391</v>
      </c>
      <c r="H648" s="1845">
        <f>H632</f>
        <v>0</v>
      </c>
      <c r="I648" s="1259">
        <f t="shared" si="41"/>
        <v>0</v>
      </c>
      <c r="J648" s="1131"/>
      <c r="K648" s="1131"/>
      <c r="L648" s="1082"/>
      <c r="M648" s="975" t="s">
        <v>1263</v>
      </c>
    </row>
    <row r="649" spans="1:14" s="1083" customFormat="1" ht="25.2" hidden="1" customHeight="1">
      <c r="A649" s="1153">
        <f t="shared" si="40"/>
        <v>0</v>
      </c>
      <c r="B649" s="1324"/>
      <c r="C649" s="1324"/>
      <c r="D649" s="1166"/>
      <c r="E649" s="1209"/>
      <c r="F649" s="1365" t="s">
        <v>2285</v>
      </c>
      <c r="G649" s="1110"/>
      <c r="H649" s="1167"/>
      <c r="I649" s="1259">
        <f t="shared" si="41"/>
        <v>0</v>
      </c>
      <c r="J649" s="1131"/>
      <c r="K649" s="1131"/>
      <c r="L649" s="1082"/>
      <c r="M649" s="975" t="s">
        <v>1263</v>
      </c>
    </row>
    <row r="650" spans="1:14" s="1083" customFormat="1" ht="25.2" hidden="1" customHeight="1">
      <c r="A650" s="1153">
        <f t="shared" si="40"/>
        <v>0</v>
      </c>
      <c r="B650" s="1331" t="s">
        <v>364</v>
      </c>
      <c r="C650" s="1331"/>
      <c r="D650" s="1166"/>
      <c r="E650" s="1079">
        <f>VLOOKUP($B650,DG!A:D,DG!$B$2,)</f>
        <v>0</v>
      </c>
      <c r="F650" s="1080" t="str">
        <f>VLOOKUP($B650,DG!A:D,DG!$C$2,)</f>
        <v>Xà composite 110x800x5</v>
      </c>
      <c r="G650" s="1079" t="str">
        <f>VLOOKUP($B650,DG!A:D,DG!$D$2,)</f>
        <v>cái</v>
      </c>
      <c r="H650" s="1167">
        <f>H648*2.4</f>
        <v>0</v>
      </c>
      <c r="I650" s="1259">
        <f t="shared" si="41"/>
        <v>0</v>
      </c>
      <c r="J650" s="1108"/>
      <c r="K650" s="1108"/>
      <c r="L650" s="1082"/>
      <c r="M650" s="975" t="s">
        <v>1263</v>
      </c>
    </row>
    <row r="651" spans="1:14" s="1083" customFormat="1" ht="25.2" hidden="1" customHeight="1">
      <c r="A651" s="1153">
        <f t="shared" si="40"/>
        <v>0</v>
      </c>
      <c r="B651" s="1324" t="s">
        <v>365</v>
      </c>
      <c r="C651" s="1324"/>
      <c r="D651" s="1166"/>
      <c r="E651" s="1079">
        <f>VLOOKUP($B651,DG!A:D,DG!$B$2,)</f>
        <v>0</v>
      </c>
      <c r="F651" s="1080" t="str">
        <f>VLOOKUP($B651,DG!A:D,DG!$C$2,)</f>
        <v>Chống composite 40x10x920</v>
      </c>
      <c r="G651" s="1079" t="str">
        <f>VLOOKUP($B651,DG!A:D,DG!$D$2,)</f>
        <v>cái</v>
      </c>
      <c r="H651" s="1167">
        <f>2*H648</f>
        <v>0</v>
      </c>
      <c r="I651" s="1259">
        <f t="shared" si="41"/>
        <v>0</v>
      </c>
      <c r="J651" s="1108"/>
      <c r="K651" s="1108"/>
      <c r="L651" s="1082"/>
      <c r="M651" s="975" t="s">
        <v>1263</v>
      </c>
    </row>
    <row r="652" spans="1:14" s="1083" customFormat="1" ht="25.2" hidden="1" customHeight="1">
      <c r="A652" s="1153">
        <f t="shared" si="40"/>
        <v>0</v>
      </c>
      <c r="B652" s="1324" t="s">
        <v>488</v>
      </c>
      <c r="C652" s="1324"/>
      <c r="D652" s="1166"/>
      <c r="E652" s="1079">
        <f>VLOOKUP($B652,DG!A:D,DG!$B$2,)</f>
        <v>0</v>
      </c>
      <c r="F652" s="1080" t="str">
        <f>VLOOKUP($B652,DG!A:D,DG!$C$2,)</f>
        <v>Bass LL bắt FCO, LA</v>
      </c>
      <c r="G652" s="1079" t="str">
        <f>VLOOKUP($B652,DG!A:D,DG!$D$2,)</f>
        <v>bộ</v>
      </c>
      <c r="H652" s="1167">
        <f>H648*3</f>
        <v>0</v>
      </c>
      <c r="I652" s="1259">
        <f t="shared" si="41"/>
        <v>0</v>
      </c>
      <c r="J652" s="1108"/>
      <c r="K652" s="1108"/>
      <c r="L652" s="1082"/>
      <c r="M652" s="975" t="s">
        <v>1263</v>
      </c>
    </row>
    <row r="653" spans="1:14" s="1083" customFormat="1" ht="25.2" hidden="1" customHeight="1">
      <c r="A653" s="1153">
        <f t="shared" si="40"/>
        <v>0</v>
      </c>
      <c r="B653" s="1324" t="s">
        <v>802</v>
      </c>
      <c r="C653" s="1324"/>
      <c r="D653" s="1166"/>
      <c r="E653" s="1079">
        <f>VLOOKUP($B653,DG!A:D,DG!$B$2,)</f>
        <v>0</v>
      </c>
      <c r="F653" s="1080" t="str">
        <f>VLOOKUP($B653,DG!A:D,DG!$C$2,)</f>
        <v>Boulon 16x100+ 2 long đền vuông D18-50x50x3/Zn</v>
      </c>
      <c r="G653" s="1079" t="str">
        <f>VLOOKUP($B653,DG!A:D,DG!$D$2,)</f>
        <v>bộ</v>
      </c>
      <c r="H653" s="1167">
        <f>2*H648</f>
        <v>0</v>
      </c>
      <c r="I653" s="1259">
        <f t="shared" si="41"/>
        <v>0</v>
      </c>
      <c r="J653" s="1108"/>
      <c r="K653" s="1108"/>
      <c r="L653" s="1082"/>
      <c r="M653" s="975" t="s">
        <v>1263</v>
      </c>
    </row>
    <row r="654" spans="1:14" s="1083" customFormat="1" ht="25.2" hidden="1" customHeight="1">
      <c r="A654" s="1153">
        <f t="shared" si="40"/>
        <v>0</v>
      </c>
      <c r="B654" s="1324" t="s">
        <v>1083</v>
      </c>
      <c r="C654" s="1324"/>
      <c r="D654" s="1166"/>
      <c r="E654" s="1079">
        <f>VLOOKUP($B654,DG!A:D,DG!$B$2,)</f>
        <v>0</v>
      </c>
      <c r="F654" s="1080" t="str">
        <f>VLOOKUP($B654,DG!A:D,DG!$C$2,)</f>
        <v>Boulon 16x400+ 2 long đền vuông D18-50x50x3/Zn</v>
      </c>
      <c r="G654" s="1079" t="str">
        <f>VLOOKUP($B654,DG!A:D,DG!$D$2,)</f>
        <v>bộ</v>
      </c>
      <c r="H654" s="1167">
        <f>2*H648</f>
        <v>0</v>
      </c>
      <c r="I654" s="1259">
        <f t="shared" si="41"/>
        <v>0</v>
      </c>
      <c r="J654" s="1108"/>
      <c r="K654" s="1108"/>
      <c r="L654" s="1082"/>
      <c r="M654" s="975" t="s">
        <v>1263</v>
      </c>
    </row>
    <row r="655" spans="1:14" s="1083" customFormat="1" ht="25.2" hidden="1" customHeight="1">
      <c r="A655" s="1153">
        <f t="shared" si="40"/>
        <v>0</v>
      </c>
      <c r="B655" s="1324" t="s">
        <v>420</v>
      </c>
      <c r="C655" s="1324"/>
      <c r="D655" s="1166"/>
      <c r="E655" s="1079" t="str">
        <f>VLOOKUP($B655,DG!A:D,DG!$B$2,)</f>
        <v>05.6102</v>
      </c>
      <c r="F655" s="1080" t="str">
        <f>VLOOKUP($B655,DG!A:D,DG!$C$2,)</f>
        <v>Lắp xà đỡ ≤ 50kg</v>
      </c>
      <c r="G655" s="1079" t="str">
        <f>VLOOKUP($B655,DG!A:D,DG!$D$2,)</f>
        <v>bộ</v>
      </c>
      <c r="H655" s="1167">
        <f>H648</f>
        <v>0</v>
      </c>
      <c r="I655" s="1259">
        <f t="shared" si="41"/>
        <v>0</v>
      </c>
      <c r="J655" s="1108"/>
      <c r="K655" s="1108"/>
      <c r="L655" s="1082"/>
      <c r="M655" s="975" t="s">
        <v>1263</v>
      </c>
    </row>
    <row r="656" spans="1:14" s="1083" customFormat="1" ht="25.2" hidden="1" customHeight="1">
      <c r="A656" s="1153">
        <f t="shared" si="40"/>
        <v>0</v>
      </c>
      <c r="B656" s="1324"/>
      <c r="C656" s="1324"/>
      <c r="D656" s="1166">
        <f>IF(H656&gt;0,D648+1,D648)</f>
        <v>0</v>
      </c>
      <c r="E656" s="1209"/>
      <c r="F656" s="1197" t="s">
        <v>3712</v>
      </c>
      <c r="G656" s="1166" t="s">
        <v>2391</v>
      </c>
      <c r="H656" s="1845">
        <f>H632</f>
        <v>0</v>
      </c>
      <c r="I656" s="1259">
        <f t="shared" si="41"/>
        <v>0</v>
      </c>
      <c r="J656" s="1131"/>
      <c r="K656" s="1131"/>
      <c r="L656" s="1082"/>
      <c r="M656" s="975" t="s">
        <v>1263</v>
      </c>
    </row>
    <row r="657" spans="1:13" s="1083" customFormat="1" ht="25.2" hidden="1" customHeight="1">
      <c r="A657" s="1153">
        <f t="shared" si="40"/>
        <v>0</v>
      </c>
      <c r="B657" s="1324"/>
      <c r="C657" s="1324"/>
      <c r="D657" s="1166"/>
      <c r="E657" s="1209"/>
      <c r="F657" s="1365" t="s">
        <v>2285</v>
      </c>
      <c r="G657" s="1110"/>
      <c r="H657" s="1167"/>
      <c r="I657" s="1259">
        <f t="shared" si="41"/>
        <v>0</v>
      </c>
      <c r="J657" s="1131"/>
      <c r="K657" s="1131"/>
      <c r="L657" s="1082"/>
      <c r="M657" s="975" t="s">
        <v>1263</v>
      </c>
    </row>
    <row r="658" spans="1:13" s="1083" customFormat="1" ht="25.2" hidden="1" customHeight="1">
      <c r="A658" s="1153">
        <f t="shared" si="40"/>
        <v>0</v>
      </c>
      <c r="B658" s="1324" t="s">
        <v>103</v>
      </c>
      <c r="C658" s="1324"/>
      <c r="D658" s="1110"/>
      <c r="E658" s="1079">
        <f>VLOOKUP($B658,DG!A:D,DG!$B$2,)</f>
        <v>0</v>
      </c>
      <c r="F658" s="1080" t="str">
        <f>VLOOKUP($B658,DG!A:D,DG!$C$2,)</f>
        <v>Cáp đồng trần M25mm2</v>
      </c>
      <c r="G658" s="1079" t="str">
        <f>VLOOKUP($B658,DG!A:D,DG!$D$2,)</f>
        <v>kg</v>
      </c>
      <c r="H658" s="1167">
        <f>H656*8*0.224</f>
        <v>0</v>
      </c>
      <c r="I658" s="1259">
        <f t="shared" si="41"/>
        <v>0</v>
      </c>
      <c r="J658" s="1108"/>
      <c r="K658" s="1108"/>
      <c r="L658" s="1082"/>
      <c r="M658" s="975" t="s">
        <v>1263</v>
      </c>
    </row>
    <row r="659" spans="1:13" s="1083" customFormat="1" ht="25.2" hidden="1" customHeight="1">
      <c r="A659" s="1153">
        <f t="shared" si="40"/>
        <v>0</v>
      </c>
      <c r="B659" s="1154" t="s">
        <v>1511</v>
      </c>
      <c r="C659" s="1154"/>
      <c r="D659" s="1110"/>
      <c r="E659" s="1079">
        <f>VLOOKUP($B659,DG!A:D,DG!$B$2,)</f>
        <v>0</v>
      </c>
      <c r="F659" s="1080" t="str">
        <f>VLOOKUP($B659,DG!A:D,DG!$C$2,)</f>
        <v>Cọc tiếp đất Þ 16- 2,4m + kẹp cọc mạ đồng</v>
      </c>
      <c r="G659" s="1079" t="str">
        <f>VLOOKUP($B659,DG!A:D,DG!$D$2,)</f>
        <v>bộ</v>
      </c>
      <c r="H659" s="1167">
        <f>H656*9</f>
        <v>0</v>
      </c>
      <c r="I659" s="1259">
        <f t="shared" si="41"/>
        <v>0</v>
      </c>
      <c r="J659" s="1108"/>
      <c r="K659" s="1108"/>
      <c r="L659" s="1082"/>
      <c r="M659" s="975" t="s">
        <v>1263</v>
      </c>
    </row>
    <row r="660" spans="1:13" s="1083" customFormat="1" ht="25.2" hidden="1" customHeight="1">
      <c r="A660" s="1153">
        <f t="shared" si="40"/>
        <v>0</v>
      </c>
      <c r="B660" s="1154" t="s">
        <v>995</v>
      </c>
      <c r="C660" s="1154"/>
      <c r="D660" s="1110"/>
      <c r="E660" s="1079">
        <f>VLOOKUP($B660,DG!A:D,DG!$B$2,)</f>
        <v>0</v>
      </c>
      <c r="F660" s="1080" t="str">
        <f>VLOOKUP($B660,DG!A:D,DG!$C$2,)</f>
        <v>Sắt Ø10</v>
      </c>
      <c r="G660" s="1079" t="str">
        <f>VLOOKUP($B660,DG!A:D,DG!$D$2,)</f>
        <v>kg</v>
      </c>
      <c r="H660" s="1167">
        <f>0.395*31*H656</f>
        <v>0</v>
      </c>
      <c r="I660" s="1259">
        <f t="shared" si="41"/>
        <v>0</v>
      </c>
      <c r="J660" s="1108"/>
      <c r="K660" s="1108"/>
      <c r="L660" s="1082"/>
      <c r="M660" s="975" t="s">
        <v>1263</v>
      </c>
    </row>
    <row r="661" spans="1:13" s="1083" customFormat="1" ht="25.2" hidden="1" customHeight="1">
      <c r="A661" s="1153">
        <f t="shared" si="40"/>
        <v>0</v>
      </c>
      <c r="B661" s="1154" t="s">
        <v>376</v>
      </c>
      <c r="C661" s="1154"/>
      <c r="D661" s="1110"/>
      <c r="E661" s="1079">
        <f>VLOOKUP($B661,DG!A:D,DG!$B$2,)</f>
        <v>0</v>
      </c>
      <c r="F661" s="1080" t="str">
        <f>VLOOKUP($B661,DG!A:D,DG!$C$2,)</f>
        <v>Bake D16 - 200x200</v>
      </c>
      <c r="G661" s="1079" t="str">
        <f>VLOOKUP($B661,DG!A:D,DG!$D$2,)</f>
        <v>cái</v>
      </c>
      <c r="H661" s="1167">
        <f>H656*14</f>
        <v>0</v>
      </c>
      <c r="I661" s="1259">
        <f t="shared" si="41"/>
        <v>0</v>
      </c>
      <c r="J661" s="1108"/>
      <c r="K661" s="1108"/>
      <c r="L661" s="1082"/>
      <c r="M661" s="975" t="s">
        <v>1263</v>
      </c>
    </row>
    <row r="662" spans="1:13" s="1083" customFormat="1" ht="25.2" hidden="1" customHeight="1">
      <c r="A662" s="1153">
        <f t="shared" si="40"/>
        <v>0</v>
      </c>
      <c r="B662" s="1329" t="s">
        <v>1582</v>
      </c>
      <c r="C662" s="1329"/>
      <c r="D662" s="1110"/>
      <c r="E662" s="1079">
        <f>VLOOKUP($B662,DG!A:D,DG!$B$2,)</f>
        <v>0</v>
      </c>
      <c r="F662" s="1080" t="str">
        <f>VLOOKUP($B662,DG!A:D,DG!$C$2,)</f>
        <v>Kẹp ép WR cỡ dây 50mm2</v>
      </c>
      <c r="G662" s="1079" t="str">
        <f>VLOOKUP($B662,DG!A:D,DG!$D$2,)</f>
        <v>cái</v>
      </c>
      <c r="H662" s="1167">
        <f>2*H656</f>
        <v>0</v>
      </c>
      <c r="I662" s="1259">
        <f t="shared" si="41"/>
        <v>0</v>
      </c>
      <c r="J662" s="1108"/>
      <c r="K662" s="1108"/>
      <c r="L662" s="1082"/>
      <c r="M662" s="975" t="s">
        <v>1263</v>
      </c>
    </row>
    <row r="663" spans="1:13" s="1083" customFormat="1" ht="25.2" hidden="1" customHeight="1">
      <c r="A663" s="1153">
        <f t="shared" si="40"/>
        <v>0</v>
      </c>
      <c r="B663" s="1329" t="s">
        <v>1114</v>
      </c>
      <c r="C663" s="1329"/>
      <c r="D663" s="1110"/>
      <c r="E663" s="1079">
        <f>VLOOKUP($B663,DG!A:D,DG!$B$2,)</f>
        <v>0</v>
      </c>
      <c r="F663" s="1080" t="str">
        <f>VLOOKUP($B663,DG!A:D,DG!$C$2,)</f>
        <v>Kẹp ép cỡ dây 25mm2</v>
      </c>
      <c r="G663" s="1079" t="str">
        <f>VLOOKUP($B663,DG!A:D,DG!$D$2,)</f>
        <v>cái</v>
      </c>
      <c r="H663" s="1167">
        <f>H656*4</f>
        <v>0</v>
      </c>
      <c r="I663" s="1259">
        <f t="shared" si="41"/>
        <v>0</v>
      </c>
      <c r="J663" s="1108"/>
      <c r="K663" s="1108"/>
      <c r="L663" s="1082"/>
      <c r="M663" s="975" t="s">
        <v>1263</v>
      </c>
    </row>
    <row r="664" spans="1:13" s="1083" customFormat="1" ht="25.2" hidden="1" customHeight="1">
      <c r="A664" s="1153">
        <f t="shared" si="40"/>
        <v>0</v>
      </c>
      <c r="B664" s="1329" t="s">
        <v>377</v>
      </c>
      <c r="C664" s="1329"/>
      <c r="D664" s="1110"/>
      <c r="E664" s="1079" t="str">
        <f>VLOOKUP($B664,DG!A:D,DG!$B$2,)</f>
        <v>03.4002</v>
      </c>
      <c r="F664" s="1080" t="str">
        <f>VLOOKUP($B664,DG!A:D,DG!$C$2,)</f>
        <v>Đầu cosse ép Cu 35mm2</v>
      </c>
      <c r="G664" s="1079" t="str">
        <f>VLOOKUP($B664,DG!A:D,DG!$D$2,)</f>
        <v>cái</v>
      </c>
      <c r="H664" s="1167">
        <f>H656*3</f>
        <v>0</v>
      </c>
      <c r="I664" s="1259">
        <f t="shared" si="41"/>
        <v>0</v>
      </c>
      <c r="J664" s="1108"/>
      <c r="K664" s="1108"/>
      <c r="L664" s="1082"/>
      <c r="M664" s="975" t="s">
        <v>1263</v>
      </c>
    </row>
    <row r="665" spans="1:13" s="1083" customFormat="1" ht="25.2" hidden="1" customHeight="1">
      <c r="A665" s="1153">
        <f t="shared" si="40"/>
        <v>0</v>
      </c>
      <c r="B665" s="1329" t="s">
        <v>371</v>
      </c>
      <c r="C665" s="1329"/>
      <c r="D665" s="1110"/>
      <c r="E665" s="1079" t="str">
        <f>VLOOKUP($B665,DG!A:D,DG!$B$2,)</f>
        <v>03.4003</v>
      </c>
      <c r="F665" s="1080" t="str">
        <f>VLOOKUP($B665,DG!A:D,DG!$C$2,)</f>
        <v>Đầu cosse ép Cu 70mm2</v>
      </c>
      <c r="G665" s="1079" t="str">
        <f>VLOOKUP($B665,DG!A:D,DG!$D$2,)</f>
        <v>cái</v>
      </c>
      <c r="H665" s="1167">
        <f>H656*2</f>
        <v>0</v>
      </c>
      <c r="I665" s="1259">
        <f t="shared" si="41"/>
        <v>0</v>
      </c>
      <c r="J665" s="1108"/>
      <c r="K665" s="1108"/>
      <c r="L665" s="1082"/>
      <c r="M665" s="975" t="s">
        <v>1263</v>
      </c>
    </row>
    <row r="666" spans="1:13" s="1083" customFormat="1" ht="25.2" hidden="1" customHeight="1">
      <c r="A666" s="1153">
        <f t="shared" ref="A666:A729" si="43">IF(I666&gt;0,1,0)</f>
        <v>0</v>
      </c>
      <c r="B666" s="1154" t="s">
        <v>375</v>
      </c>
      <c r="C666" s="1154"/>
      <c r="D666" s="1110"/>
      <c r="E666" s="1079" t="str">
        <f>VLOOKUP($B666,DG!A:D,DG!$B$2,)</f>
        <v>06.3231</v>
      </c>
      <c r="F666" s="1080" t="str">
        <f>VLOOKUP($B666,DG!A:D,DG!$C$2,)</f>
        <v>Cổ dê kẹp sắt Ø 10</v>
      </c>
      <c r="G666" s="1079" t="str">
        <f>VLOOKUP($B666,DG!A:D,DG!$D$2,)</f>
        <v>bộ</v>
      </c>
      <c r="H666" s="1167">
        <f>4*H656</f>
        <v>0</v>
      </c>
      <c r="I666" s="1259">
        <f t="shared" si="41"/>
        <v>0</v>
      </c>
      <c r="J666" s="1108"/>
      <c r="K666" s="1108"/>
      <c r="L666" s="1082"/>
      <c r="M666" s="975" t="s">
        <v>1263</v>
      </c>
    </row>
    <row r="667" spans="1:13" s="1083" customFormat="1" ht="25.2" hidden="1" customHeight="1">
      <c r="A667" s="1153">
        <f t="shared" si="43"/>
        <v>0</v>
      </c>
      <c r="B667" s="1154" t="s">
        <v>1353</v>
      </c>
      <c r="C667" s="1154"/>
      <c r="D667" s="1110"/>
      <c r="E667" s="1079">
        <f>VLOOKUP($B667,DG!A:D,DG!$B$2,)</f>
        <v>0</v>
      </c>
      <c r="F667" s="1080" t="s">
        <v>821</v>
      </c>
      <c r="G667" s="1079" t="str">
        <f>VLOOKUP($B667,DG!A:D,DG!$D$2,)</f>
        <v>bộ</v>
      </c>
      <c r="H667" s="1167">
        <f>2*H656</f>
        <v>0</v>
      </c>
      <c r="I667" s="1259">
        <f t="shared" si="41"/>
        <v>0</v>
      </c>
      <c r="J667" s="1108"/>
      <c r="K667" s="1108"/>
      <c r="L667" s="1082"/>
      <c r="M667" s="975" t="s">
        <v>1263</v>
      </c>
    </row>
    <row r="668" spans="1:13" s="1083" customFormat="1" ht="25.2" hidden="1" customHeight="1">
      <c r="A668" s="1153">
        <f t="shared" si="43"/>
        <v>0</v>
      </c>
      <c r="B668" s="1329" t="s">
        <v>2189</v>
      </c>
      <c r="C668" s="1329"/>
      <c r="D668" s="1110"/>
      <c r="E668" s="1079" t="str">
        <f>VLOOKUP($B668,DG!A:D,DG!$B$2,)</f>
        <v>04.7002</v>
      </c>
      <c r="F668" s="1080" t="str">
        <f>VLOOKUP($B668,DG!A:D,DG!$C$2,)</f>
        <v>Kéo dây tiếp địa trong TBA</v>
      </c>
      <c r="G668" s="1079" t="str">
        <f>VLOOKUP($B668,DG!A:D,DG!$D$2,)</f>
        <v>mét</v>
      </c>
      <c r="H668" s="1167">
        <f>H656*31</f>
        <v>0</v>
      </c>
      <c r="I668" s="1259">
        <f t="shared" si="41"/>
        <v>0</v>
      </c>
      <c r="J668" s="1108"/>
      <c r="K668" s="1108"/>
      <c r="L668" s="1082"/>
      <c r="M668" s="975" t="s">
        <v>1263</v>
      </c>
    </row>
    <row r="669" spans="1:13" s="1083" customFormat="1" ht="25.2" hidden="1" customHeight="1">
      <c r="A669" s="1153">
        <f t="shared" si="43"/>
        <v>0</v>
      </c>
      <c r="B669" s="1154" t="s">
        <v>902</v>
      </c>
      <c r="C669" s="1154"/>
      <c r="D669" s="1110"/>
      <c r="E669" s="1079" t="str">
        <f>VLOOKUP($B669,DG!A:D,DG!$B$2,)</f>
        <v>04.7001</v>
      </c>
      <c r="F669" s="1080" t="str">
        <f>VLOOKUP($B669,DG!A:D,DG!$C$2,)</f>
        <v>Đóng cọc tiếp địa trong TBA</v>
      </c>
      <c r="G669" s="1079" t="str">
        <f>VLOOKUP($B669,DG!A:D,DG!$D$2,)</f>
        <v>cọc</v>
      </c>
      <c r="H669" s="1167">
        <f>H659</f>
        <v>0</v>
      </c>
      <c r="I669" s="1259">
        <f t="shared" si="41"/>
        <v>0</v>
      </c>
      <c r="J669" s="1108"/>
      <c r="K669" s="1108"/>
      <c r="L669" s="1082"/>
      <c r="M669" s="975" t="s">
        <v>1263</v>
      </c>
    </row>
    <row r="670" spans="1:13" s="1083" customFormat="1" ht="25.2" hidden="1" customHeight="1">
      <c r="A670" s="1153">
        <f t="shared" si="43"/>
        <v>0</v>
      </c>
      <c r="B670" s="1329" t="str">
        <f>"dtd"&amp;chitiet!G5</f>
        <v>dtd3</v>
      </c>
      <c r="C670" s="1329"/>
      <c r="D670" s="1110"/>
      <c r="E670" s="1079" t="str">
        <f>VLOOKUP($B670,DG!A:D,DG!$B$2,)</f>
        <v>03.3123</v>
      </c>
      <c r="F670" s="1080" t="str">
        <f>VLOOKUP($B670,DG!A:D,DG!$C$2,)</f>
        <v>Đào rãnh tiếp địa đất cấp 3</v>
      </c>
      <c r="G670" s="1079" t="str">
        <f>VLOOKUP($B670,DG!A:D,DG!$D$2,)</f>
        <v>m3</v>
      </c>
      <c r="H670" s="1167">
        <f>H656*11*0.3*0.5</f>
        <v>0</v>
      </c>
      <c r="I670" s="1259">
        <f t="shared" si="41"/>
        <v>0</v>
      </c>
      <c r="J670" s="1108"/>
      <c r="K670" s="1108"/>
      <c r="L670" s="1082"/>
      <c r="M670" s="975" t="s">
        <v>1263</v>
      </c>
    </row>
    <row r="671" spans="1:13" s="1083" customFormat="1" ht="25.2" hidden="1" customHeight="1">
      <c r="A671" s="1153">
        <f t="shared" si="43"/>
        <v>0</v>
      </c>
      <c r="B671" s="1154" t="str">
        <f>"datd"&amp;chitiet!G5</f>
        <v>datd3</v>
      </c>
      <c r="C671" s="1154"/>
      <c r="D671" s="1110"/>
      <c r="E671" s="1079" t="str">
        <f>VLOOKUP($B671,DG!A:D,DG!$B$2,)</f>
        <v>03.4123</v>
      </c>
      <c r="F671" s="1080" t="str">
        <f>VLOOKUP($B671,DG!A:D,DG!$C$2,)</f>
        <v>Đắp đất rãnh tiếp độ chặt k=0,85</v>
      </c>
      <c r="G671" s="1079" t="str">
        <f>VLOOKUP($B671,DG!A:D,DG!$D$2,)</f>
        <v>m3</v>
      </c>
      <c r="H671" s="1167">
        <f>H670</f>
        <v>0</v>
      </c>
      <c r="I671" s="1259">
        <f t="shared" si="41"/>
        <v>0</v>
      </c>
      <c r="J671" s="1108"/>
      <c r="K671" s="1108"/>
      <c r="L671" s="1082"/>
      <c r="M671" s="975" t="s">
        <v>1263</v>
      </c>
    </row>
    <row r="672" spans="1:13" s="1083" customFormat="1" ht="25.2" hidden="1" customHeight="1">
      <c r="A672" s="1153">
        <f t="shared" si="43"/>
        <v>0</v>
      </c>
      <c r="B672" s="1324"/>
      <c r="C672" s="1324"/>
      <c r="D672" s="1166">
        <f>IF(H672&gt;0,D656+1,D656)</f>
        <v>0</v>
      </c>
      <c r="E672" s="1209"/>
      <c r="F672" s="1186" t="s">
        <v>3718</v>
      </c>
      <c r="G672" s="1166" t="s">
        <v>2391</v>
      </c>
      <c r="H672" s="1845">
        <f>H656</f>
        <v>0</v>
      </c>
      <c r="I672" s="1259">
        <f t="shared" si="41"/>
        <v>0</v>
      </c>
      <c r="J672" s="1131"/>
      <c r="K672" s="1131"/>
      <c r="L672" s="1082"/>
      <c r="M672" s="975" t="s">
        <v>1263</v>
      </c>
    </row>
    <row r="673" spans="1:13" s="1083" customFormat="1" ht="25.2" hidden="1" customHeight="1">
      <c r="A673" s="1153">
        <f t="shared" si="43"/>
        <v>0</v>
      </c>
      <c r="B673" s="1324"/>
      <c r="C673" s="1324"/>
      <c r="D673" s="1166"/>
      <c r="E673" s="1209"/>
      <c r="F673" s="1365" t="s">
        <v>2285</v>
      </c>
      <c r="G673" s="1110"/>
      <c r="H673" s="1167"/>
      <c r="I673" s="1259">
        <f t="shared" si="41"/>
        <v>0</v>
      </c>
      <c r="J673" s="1131"/>
      <c r="K673" s="1131"/>
      <c r="L673" s="1082"/>
      <c r="M673" s="975" t="s">
        <v>1263</v>
      </c>
    </row>
    <row r="674" spans="1:13" s="1083" customFormat="1" ht="25.2" hidden="1" customHeight="1">
      <c r="A674" s="1153">
        <f t="shared" si="43"/>
        <v>0</v>
      </c>
      <c r="B674" s="1331" t="s">
        <v>617</v>
      </c>
      <c r="C674" s="1331"/>
      <c r="D674" s="1110"/>
      <c r="E674" s="1079" t="str">
        <f>VLOOKUP($B674,DG!A:D,DG!$B$2,)</f>
        <v>05.1102</v>
      </c>
      <c r="F674" s="1080" t="str">
        <f>VLOOKUP($B674,DG!A:D,DG!$C$2,)</f>
        <v>Vỏ tủ + khóa tủ</v>
      </c>
      <c r="G674" s="1079" t="str">
        <f>VLOOKUP($B674,DG!A:D,DG!$D$2,)</f>
        <v>cái</v>
      </c>
      <c r="H674" s="1167">
        <f>H672</f>
        <v>0</v>
      </c>
      <c r="I674" s="1259">
        <f t="shared" si="41"/>
        <v>0</v>
      </c>
      <c r="J674" s="1108"/>
      <c r="K674" s="1108"/>
      <c r="L674" s="1082"/>
      <c r="M674" s="975" t="s">
        <v>1263</v>
      </c>
    </row>
    <row r="675" spans="1:13" s="1083" customFormat="1" ht="25.2" hidden="1" customHeight="1">
      <c r="A675" s="1153">
        <f t="shared" si="43"/>
        <v>0</v>
      </c>
      <c r="B675" s="1324" t="s">
        <v>879</v>
      </c>
      <c r="C675" s="1324"/>
      <c r="D675" s="1110"/>
      <c r="E675" s="1211"/>
      <c r="F675" s="1080" t="str">
        <f>VLOOKUP($B675,DG!A:D,DG!$C$2,)</f>
        <v>Cổ dê bắt tủ</v>
      </c>
      <c r="G675" s="1079" t="str">
        <f>VLOOKUP($B675,DG!A:D,DG!$D$2,)</f>
        <v>bộ</v>
      </c>
      <c r="H675" s="1167">
        <f>7.018*H672</f>
        <v>0</v>
      </c>
      <c r="I675" s="1259">
        <f t="shared" si="41"/>
        <v>0</v>
      </c>
      <c r="J675" s="1108"/>
      <c r="K675" s="1108"/>
      <c r="L675" s="1082"/>
      <c r="M675" s="975" t="s">
        <v>1263</v>
      </c>
    </row>
    <row r="676" spans="1:13" s="1083" customFormat="1" ht="25.2" hidden="1" customHeight="1">
      <c r="A676" s="1153">
        <f t="shared" si="43"/>
        <v>0</v>
      </c>
      <c r="B676" s="1324" t="s">
        <v>880</v>
      </c>
      <c r="C676" s="1324"/>
      <c r="D676" s="1110"/>
      <c r="E676" s="1211"/>
      <c r="F676" s="1080" t="str">
        <f>VLOOKUP($B676,DG!A:D,DG!$C$2,)</f>
        <v xml:space="preserve">Bakelit 550x450 dầy 10mm </v>
      </c>
      <c r="G676" s="1079" t="str">
        <f>VLOOKUP($B676,DG!A:D,DG!$D$2,)</f>
        <v>cái</v>
      </c>
      <c r="H676" s="1167">
        <f>H672</f>
        <v>0</v>
      </c>
      <c r="I676" s="1259">
        <f t="shared" si="41"/>
        <v>0</v>
      </c>
      <c r="J676" s="1108"/>
      <c r="K676" s="1108"/>
      <c r="L676" s="1082"/>
      <c r="M676" s="975" t="s">
        <v>1263</v>
      </c>
    </row>
    <row r="677" spans="1:13" s="1083" customFormat="1" ht="25.2" hidden="1" customHeight="1">
      <c r="A677" s="1153">
        <f t="shared" si="43"/>
        <v>0</v>
      </c>
      <c r="B677" s="1324"/>
      <c r="C677" s="1324"/>
      <c r="D677" s="1166">
        <f>IF(H677&gt;0,D672+1,D672)</f>
        <v>0</v>
      </c>
      <c r="E677" s="1209"/>
      <c r="F677" s="1197" t="s">
        <v>3719</v>
      </c>
      <c r="G677" s="1166" t="s">
        <v>2391</v>
      </c>
      <c r="H677" s="1845">
        <f>H632</f>
        <v>0</v>
      </c>
      <c r="I677" s="1259">
        <f t="shared" si="41"/>
        <v>0</v>
      </c>
      <c r="J677" s="1131"/>
      <c r="K677" s="1131"/>
      <c r="L677" s="1082"/>
      <c r="M677" s="975" t="s">
        <v>1263</v>
      </c>
    </row>
    <row r="678" spans="1:13" s="1083" customFormat="1" ht="25.2" hidden="1" customHeight="1">
      <c r="A678" s="1153">
        <f t="shared" si="43"/>
        <v>0</v>
      </c>
      <c r="B678" s="1324"/>
      <c r="C678" s="1324"/>
      <c r="D678" s="1166"/>
      <c r="E678" s="1209"/>
      <c r="F678" s="1365" t="s">
        <v>2285</v>
      </c>
      <c r="G678" s="1110"/>
      <c r="H678" s="1167"/>
      <c r="I678" s="1259">
        <f t="shared" si="41"/>
        <v>0</v>
      </c>
      <c r="J678" s="1131"/>
      <c r="K678" s="1131"/>
      <c r="L678" s="1082"/>
      <c r="M678" s="975" t="s">
        <v>1263</v>
      </c>
    </row>
    <row r="679" spans="1:13" s="1083" customFormat="1" ht="25.2" hidden="1" customHeight="1">
      <c r="A679" s="1153">
        <f t="shared" si="43"/>
        <v>0</v>
      </c>
      <c r="B679" s="1327" t="s">
        <v>4475</v>
      </c>
      <c r="C679" s="1327"/>
      <c r="D679" s="1110"/>
      <c r="E679" s="1079">
        <f>VLOOKUP($B679,DG!A:D,DG!$B$2,)</f>
        <v>0</v>
      </c>
      <c r="F679" s="1080" t="str">
        <f>VLOOKUP($B679,DG!A:D,DG!$C$2,)</f>
        <v>Cáp 24KV C/XLPE/PVC 25mm2</v>
      </c>
      <c r="G679" s="1079" t="str">
        <f>VLOOKUP($B679,DG!A:D,DG!$D$2,)</f>
        <v>mét</v>
      </c>
      <c r="H679" s="1167">
        <f>9*H677</f>
        <v>0</v>
      </c>
      <c r="I679" s="1259">
        <f t="shared" si="41"/>
        <v>0</v>
      </c>
      <c r="J679" s="1108"/>
      <c r="K679" s="1108"/>
      <c r="L679" s="1082"/>
      <c r="M679" s="975" t="s">
        <v>1263</v>
      </c>
    </row>
    <row r="680" spans="1:13" s="1083" customFormat="1" ht="25.2" hidden="1" customHeight="1">
      <c r="A680" s="1153">
        <f t="shared" si="43"/>
        <v>0</v>
      </c>
      <c r="B680" s="1154" t="s">
        <v>1482</v>
      </c>
      <c r="C680" s="1154"/>
      <c r="D680" s="1110"/>
      <c r="E680" s="1079" t="str">
        <f>VLOOKUP($B680,DG!A:D,DG!$B$2,)</f>
        <v>04.3007</v>
      </c>
      <c r="F680" s="1080" t="str">
        <f>VLOOKUP($B680,DG!A:D,DG!$C$2,)</f>
        <v>Kẹp quai 2/0</v>
      </c>
      <c r="G680" s="1079" t="str">
        <f>VLOOKUP($B680,DG!A:D,DG!$D$2,)</f>
        <v>cái</v>
      </c>
      <c r="H680" s="1167">
        <f>3*H677</f>
        <v>0</v>
      </c>
      <c r="I680" s="1259">
        <f t="shared" si="41"/>
        <v>0</v>
      </c>
      <c r="J680" s="1108"/>
      <c r="K680" s="1108"/>
      <c r="L680" s="1082"/>
      <c r="M680" s="975" t="s">
        <v>1263</v>
      </c>
    </row>
    <row r="681" spans="1:13" s="1083" customFormat="1" ht="25.2" hidden="1" customHeight="1">
      <c r="A681" s="1153">
        <f t="shared" si="43"/>
        <v>0</v>
      </c>
      <c r="B681" s="1154" t="s">
        <v>1480</v>
      </c>
      <c r="C681" s="1154"/>
      <c r="D681" s="1110"/>
      <c r="E681" s="1079" t="str">
        <f>VLOOKUP($B681,DG!A:D,DG!$B$2,)</f>
        <v>04.3007</v>
      </c>
      <c r="F681" s="1080" t="str">
        <f>VLOOKUP($B681,DG!A:D,DG!$C$2,)</f>
        <v>Kẹp hotline 2/0</v>
      </c>
      <c r="G681" s="1079" t="str">
        <f>VLOOKUP($B681,DG!A:D,DG!$D$2,)</f>
        <v>cái</v>
      </c>
      <c r="H681" s="1167">
        <f>3*H677</f>
        <v>0</v>
      </c>
      <c r="I681" s="1259">
        <f t="shared" si="41"/>
        <v>0</v>
      </c>
      <c r="J681" s="1108"/>
      <c r="K681" s="1108"/>
      <c r="L681" s="1082"/>
      <c r="M681" s="975" t="s">
        <v>1263</v>
      </c>
    </row>
    <row r="682" spans="1:13" s="1083" customFormat="1" ht="25.2" hidden="1" customHeight="1">
      <c r="A682" s="1153">
        <f t="shared" si="43"/>
        <v>0</v>
      </c>
      <c r="B682" s="1154" t="s">
        <v>382</v>
      </c>
      <c r="C682" s="1154"/>
      <c r="D682" s="1110"/>
      <c r="E682" s="1079">
        <f>VLOOKUP($B682,DG!A:D,DG!$B$2,)</f>
        <v>0</v>
      </c>
      <c r="F682" s="1080" t="str">
        <f>VLOOKUP($B682,DG!A:D,DG!$C$2,)</f>
        <v>Chụp đầu cực FCO (bộ 2 cái)</v>
      </c>
      <c r="G682" s="1079" t="str">
        <f>VLOOKUP($B682,DG!A:D,DG!$D$2,)</f>
        <v>bộ</v>
      </c>
      <c r="H682" s="1167">
        <f>H624</f>
        <v>0</v>
      </c>
      <c r="I682" s="1259">
        <f t="shared" si="41"/>
        <v>0</v>
      </c>
      <c r="J682" s="1108"/>
      <c r="K682" s="1108"/>
      <c r="L682" s="1082"/>
      <c r="M682" s="975" t="s">
        <v>1263</v>
      </c>
    </row>
    <row r="683" spans="1:13" s="1083" customFormat="1" ht="25.2" hidden="1" customHeight="1">
      <c r="A683" s="1153">
        <f t="shared" si="43"/>
        <v>0</v>
      </c>
      <c r="B683" s="1154" t="s">
        <v>383</v>
      </c>
      <c r="C683" s="1154"/>
      <c r="D683" s="1110"/>
      <c r="E683" s="1079">
        <f>VLOOKUP($B683,DG!A:D,DG!$B$2,)</f>
        <v>0</v>
      </c>
      <c r="F683" s="1080" t="str">
        <f>VLOOKUP($B683,DG!A:D,DG!$C$2,)</f>
        <v>Chụp đầu cực LA</v>
      </c>
      <c r="G683" s="1079" t="str">
        <f>VLOOKUP($B683,DG!A:D,DG!$D$2,)</f>
        <v>cái</v>
      </c>
      <c r="H683" s="1167">
        <f>H626</f>
        <v>0</v>
      </c>
      <c r="I683" s="1259">
        <f t="shared" si="41"/>
        <v>0</v>
      </c>
      <c r="J683" s="1108"/>
      <c r="K683" s="1108"/>
      <c r="L683" s="1082"/>
      <c r="M683" s="975" t="s">
        <v>1263</v>
      </c>
    </row>
    <row r="684" spans="1:13" s="1083" customFormat="1" ht="25.2" hidden="1" customHeight="1">
      <c r="A684" s="1153">
        <f t="shared" si="43"/>
        <v>0</v>
      </c>
      <c r="B684" s="1154" t="s">
        <v>384</v>
      </c>
      <c r="C684" s="1154"/>
      <c r="D684" s="1110"/>
      <c r="E684" s="1079">
        <f>VLOOKUP($B684,DG!A:D,DG!$B$2,)</f>
        <v>0</v>
      </c>
      <c r="F684" s="1080" t="str">
        <f>VLOOKUP($B684,DG!A:D,DG!$C$2,)</f>
        <v>Chụp đầu MBA</v>
      </c>
      <c r="G684" s="1079" t="str">
        <f>VLOOKUP($B684,DG!A:D,DG!$D$2,)</f>
        <v>cái</v>
      </c>
      <c r="H684" s="1167">
        <f>H623</f>
        <v>0</v>
      </c>
      <c r="I684" s="1259">
        <f t="shared" si="41"/>
        <v>0</v>
      </c>
      <c r="J684" s="1108"/>
      <c r="K684" s="1108"/>
      <c r="L684" s="1082"/>
      <c r="M684" s="975" t="s">
        <v>1263</v>
      </c>
    </row>
    <row r="685" spans="1:13" s="1083" customFormat="1" ht="25.2" hidden="1" customHeight="1">
      <c r="A685" s="1153">
        <f t="shared" si="43"/>
        <v>0</v>
      </c>
      <c r="B685" s="1154" t="s">
        <v>1528</v>
      </c>
      <c r="C685" s="1154"/>
      <c r="D685" s="1110"/>
      <c r="E685" s="1079" t="str">
        <f>VLOOKUP($B685,DG!A:D,DG!$B$2,)</f>
        <v>04.4201</v>
      </c>
      <c r="F685" s="1080" t="str">
        <f>VLOOKUP($B685,DG!A:D,DG!$C$2,)</f>
        <v>Lắp cáp đồng xuống thiết bị D ≤ 95mm2</v>
      </c>
      <c r="G685" s="1079" t="str">
        <f>VLOOKUP($B685,DG!A:D,DG!$D$2,)</f>
        <v>m</v>
      </c>
      <c r="H685" s="1167">
        <f>H679</f>
        <v>0</v>
      </c>
      <c r="I685" s="1259">
        <f t="shared" ref="I685:I748" si="44">IF(M685=$M$23,H685+J685-K685,0)</f>
        <v>0</v>
      </c>
      <c r="J685" s="1108"/>
      <c r="K685" s="1108"/>
      <c r="L685" s="1082"/>
      <c r="M685" s="975" t="s">
        <v>1263</v>
      </c>
    </row>
    <row r="686" spans="1:13" s="1083" customFormat="1" ht="25.2" hidden="1" customHeight="1">
      <c r="A686" s="1153">
        <f t="shared" si="43"/>
        <v>0</v>
      </c>
      <c r="B686" s="1324"/>
      <c r="C686" s="1324"/>
      <c r="D686" s="1166">
        <f>IF(H686&gt;0,D677+1,D677)</f>
        <v>0</v>
      </c>
      <c r="E686" s="1209"/>
      <c r="F686" s="1197" t="s">
        <v>3720</v>
      </c>
      <c r="G686" s="1166" t="s">
        <v>2391</v>
      </c>
      <c r="H686" s="1845">
        <f>+H632</f>
        <v>0</v>
      </c>
      <c r="I686" s="1259">
        <f t="shared" si="44"/>
        <v>0</v>
      </c>
      <c r="J686" s="1131"/>
      <c r="K686" s="1131"/>
      <c r="L686" s="1082"/>
      <c r="M686" s="975" t="s">
        <v>1263</v>
      </c>
    </row>
    <row r="687" spans="1:13" s="1083" customFormat="1" ht="25.2" hidden="1" customHeight="1">
      <c r="A687" s="1153">
        <f t="shared" si="43"/>
        <v>0</v>
      </c>
      <c r="B687" s="1324"/>
      <c r="C687" s="1324"/>
      <c r="D687" s="1166"/>
      <c r="E687" s="1209"/>
      <c r="F687" s="1365" t="s">
        <v>2285</v>
      </c>
      <c r="G687" s="1166"/>
      <c r="H687" s="1845"/>
      <c r="I687" s="1259">
        <f t="shared" si="44"/>
        <v>0</v>
      </c>
      <c r="J687" s="1131"/>
      <c r="K687" s="1131"/>
      <c r="L687" s="1082"/>
      <c r="M687" s="975" t="s">
        <v>1263</v>
      </c>
    </row>
    <row r="688" spans="1:13" s="1083" customFormat="1" ht="25.2" hidden="1" customHeight="1">
      <c r="A688" s="1153">
        <f t="shared" si="43"/>
        <v>0</v>
      </c>
      <c r="B688" s="1324" t="s">
        <v>1626</v>
      </c>
      <c r="C688" s="1324"/>
      <c r="D688" s="1110"/>
      <c r="E688" s="1079">
        <f>VLOOKUP($B688,DG!A:D,DG!$B$2,)</f>
        <v>0</v>
      </c>
      <c r="F688" s="1080" t="str">
        <f>VLOOKUP($B688,DG!A:D,DG!$C$2,)&amp;": 9m/1pha"</f>
        <v>Cáp đồng bọc CV70: 9m/1pha</v>
      </c>
      <c r="G688" s="1079" t="str">
        <f>VLOOKUP($B688,DG!A:D,DG!$D$2,)</f>
        <v>mét</v>
      </c>
      <c r="H688" s="1167">
        <f>9*H686*3</f>
        <v>0</v>
      </c>
      <c r="I688" s="1259">
        <f t="shared" si="44"/>
        <v>0</v>
      </c>
      <c r="J688" s="1108"/>
      <c r="K688" s="1108"/>
      <c r="L688" s="1082"/>
      <c r="M688" s="975" t="s">
        <v>1263</v>
      </c>
    </row>
    <row r="689" spans="1:13" s="1083" customFormat="1" ht="25.2" hidden="1" customHeight="1">
      <c r="A689" s="1153">
        <f t="shared" si="43"/>
        <v>0</v>
      </c>
      <c r="B689" s="1324">
        <f>Solieu!$L$62</f>
        <v>0</v>
      </c>
      <c r="C689" s="1324"/>
      <c r="D689" s="1110"/>
      <c r="E689" s="1079" t="e">
        <f>VLOOKUP($B689,DG!A:D,DG!$B$2,)</f>
        <v>#N/A</v>
      </c>
      <c r="F689" s="1080" t="e">
        <f>VLOOKUP($B689,DG!A:D,DG!$C$2,)&amp;": 10m/trung hòa"</f>
        <v>#N/A</v>
      </c>
      <c r="G689" s="1079" t="e">
        <f>VLOOKUP($B689,DG!A:D,DG!$D$2,)</f>
        <v>#N/A</v>
      </c>
      <c r="H689" s="1851">
        <f>10*H686</f>
        <v>0</v>
      </c>
      <c r="I689" s="1259">
        <f t="shared" si="44"/>
        <v>0</v>
      </c>
      <c r="J689" s="1108"/>
      <c r="K689" s="1108"/>
      <c r="L689" s="1082"/>
      <c r="M689" s="975" t="s">
        <v>1263</v>
      </c>
    </row>
    <row r="690" spans="1:13" s="1083" customFormat="1" ht="25.2" hidden="1" customHeight="1">
      <c r="A690" s="1153">
        <f t="shared" si="43"/>
        <v>0</v>
      </c>
      <c r="B690" s="1324" t="s">
        <v>1826</v>
      </c>
      <c r="C690" s="1324"/>
      <c r="D690" s="1110"/>
      <c r="E690" s="1079" t="str">
        <f>VLOOKUP($B690,DG!A:D,DG!$B$2,)</f>
        <v>03.1401</v>
      </c>
      <c r="F690" s="1080" t="str">
        <f>VLOOKUP($B690,DG!A:D,DG!$C$2,)</f>
        <v xml:space="preserve">Cáp CVV 4x2,5mm2  </v>
      </c>
      <c r="G690" s="1079" t="str">
        <f>VLOOKUP($B690,DG!A:D,DG!$D$2,)</f>
        <v>mét</v>
      </c>
      <c r="H690" s="1167">
        <f>2*H686</f>
        <v>0</v>
      </c>
      <c r="I690" s="1259">
        <f t="shared" si="44"/>
        <v>0</v>
      </c>
      <c r="J690" s="1108"/>
      <c r="K690" s="1108"/>
      <c r="L690" s="1082"/>
      <c r="M690" s="975" t="s">
        <v>1263</v>
      </c>
    </row>
    <row r="691" spans="1:13" s="1083" customFormat="1" ht="25.2" hidden="1" customHeight="1">
      <c r="A691" s="1153">
        <f t="shared" si="43"/>
        <v>0</v>
      </c>
      <c r="B691" s="1324" t="s">
        <v>1306</v>
      </c>
      <c r="C691" s="1324"/>
      <c r="D691" s="1110"/>
      <c r="E691" s="1079" t="str">
        <f>VLOOKUP($B691,DG!A:D,DG!$B$2,)</f>
        <v>03.4003</v>
      </c>
      <c r="F691" s="1080" t="str">
        <f>VLOOKUP($B691,DG!A:D,DG!$C$2,)</f>
        <v>Đầu cosse ép Cu 70mm2</v>
      </c>
      <c r="G691" s="1079" t="str">
        <f>VLOOKUP($B691,DG!A:D,DG!$D$2,)</f>
        <v>cái</v>
      </c>
      <c r="H691" s="1851">
        <f>6*H686</f>
        <v>0</v>
      </c>
      <c r="I691" s="1259">
        <f t="shared" si="44"/>
        <v>0</v>
      </c>
      <c r="J691" s="1108"/>
      <c r="K691" s="1108"/>
      <c r="L691" s="1082"/>
      <c r="M691" s="975" t="s">
        <v>1263</v>
      </c>
    </row>
    <row r="692" spans="1:13" s="1083" customFormat="1" ht="25.2" hidden="1" customHeight="1">
      <c r="A692" s="1153">
        <f t="shared" si="43"/>
        <v>0</v>
      </c>
      <c r="B692" s="1324" t="s">
        <v>1305</v>
      </c>
      <c r="C692" s="1324"/>
      <c r="D692" s="1110"/>
      <c r="E692" s="1079" t="str">
        <f>VLOOKUP($B692,DG!A:D,DG!$B$2,)</f>
        <v>03.4002</v>
      </c>
      <c r="F692" s="1080" t="str">
        <f>VLOOKUP($B692,DG!A:D,DG!$C$2,)</f>
        <v>Đầu cosse ép Cu 50mm2</v>
      </c>
      <c r="G692" s="1079" t="str">
        <f>VLOOKUP($B692,DG!A:D,DG!$D$2,)</f>
        <v>cái</v>
      </c>
      <c r="H692" s="1167">
        <f>H686*2</f>
        <v>0</v>
      </c>
      <c r="I692" s="1259">
        <f t="shared" si="44"/>
        <v>0</v>
      </c>
      <c r="J692" s="1108"/>
      <c r="K692" s="1108"/>
      <c r="L692" s="1082"/>
      <c r="M692" s="975" t="s">
        <v>1263</v>
      </c>
    </row>
    <row r="693" spans="1:13" s="1083" customFormat="1" ht="25.2" hidden="1" customHeight="1">
      <c r="A693" s="1153">
        <f t="shared" si="43"/>
        <v>0</v>
      </c>
      <c r="B693" s="1324" t="s">
        <v>2084</v>
      </c>
      <c r="C693" s="1324"/>
      <c r="D693" s="1110"/>
      <c r="E693" s="1079">
        <f>VLOOKUP($B693,DG!A:D,DG!$B$2,)</f>
        <v>0</v>
      </c>
      <c r="F693" s="1080" t="str">
        <f>VLOOKUP($B693,DG!A:D,DG!$C$2,)</f>
        <v>Chụp đầu cosse  70mm2</v>
      </c>
      <c r="G693" s="1079" t="str">
        <f>VLOOKUP($B693,DG!A:D,DG!$D$2,)</f>
        <v>cái</v>
      </c>
      <c r="H693" s="1167">
        <f>H691</f>
        <v>0</v>
      </c>
      <c r="I693" s="1259">
        <f t="shared" si="44"/>
        <v>0</v>
      </c>
      <c r="J693" s="1108"/>
      <c r="K693" s="1108"/>
      <c r="L693" s="1082"/>
      <c r="M693" s="975" t="s">
        <v>1263</v>
      </c>
    </row>
    <row r="694" spans="1:13" s="1083" customFormat="1" ht="25.2" hidden="1" customHeight="1">
      <c r="A694" s="1153">
        <f t="shared" si="43"/>
        <v>0</v>
      </c>
      <c r="B694" s="1324" t="s">
        <v>1178</v>
      </c>
      <c r="C694" s="1324"/>
      <c r="D694" s="1110"/>
      <c r="E694" s="1079">
        <f>VLOOKUP($B694,DG!A:D,DG!$B$2,)</f>
        <v>0</v>
      </c>
      <c r="F694" s="1080" t="str">
        <f>VLOOKUP($B694,DG!A:D,DG!$C$2,)</f>
        <v>Chụp đầu cosse  50mm2</v>
      </c>
      <c r="G694" s="1079" t="str">
        <f>VLOOKUP($B694,DG!A:D,DG!$D$2,)</f>
        <v>cái</v>
      </c>
      <c r="H694" s="1167">
        <f>H692</f>
        <v>0</v>
      </c>
      <c r="I694" s="1259">
        <f t="shared" si="44"/>
        <v>0</v>
      </c>
      <c r="J694" s="1108"/>
      <c r="K694" s="1108"/>
      <c r="L694" s="1082"/>
      <c r="M694" s="975" t="s">
        <v>1263</v>
      </c>
    </row>
    <row r="695" spans="1:13" s="1083" customFormat="1" ht="25.2" hidden="1" customHeight="1">
      <c r="A695" s="1153">
        <f t="shared" si="43"/>
        <v>0</v>
      </c>
      <c r="B695" s="1324" t="s">
        <v>282</v>
      </c>
      <c r="C695" s="1324"/>
      <c r="D695" s="1110"/>
      <c r="E695" s="1079" t="str">
        <f>VLOOKUP($B695,DG!A:D,DG!$B$2,)</f>
        <v>04.8003</v>
      </c>
      <c r="F695" s="1080" t="str">
        <f>VLOOKUP($B695,DG!A:D,DG!$C$2,)</f>
        <v xml:space="preserve">Ống PVC D90x3,8mm </v>
      </c>
      <c r="G695" s="1079" t="str">
        <f>VLOOKUP($B695,DG!A:D,DG!$D$2,)</f>
        <v>m</v>
      </c>
      <c r="H695" s="1167">
        <f>8*H686</f>
        <v>0</v>
      </c>
      <c r="I695" s="1259">
        <f t="shared" si="44"/>
        <v>0</v>
      </c>
      <c r="J695" s="1108"/>
      <c r="K695" s="1108"/>
      <c r="L695" s="1082"/>
      <c r="M695" s="975" t="s">
        <v>1263</v>
      </c>
    </row>
    <row r="696" spans="1:13" s="1083" customFormat="1" ht="25.2" hidden="1" customHeight="1">
      <c r="A696" s="1153">
        <f t="shared" si="43"/>
        <v>0</v>
      </c>
      <c r="B696" s="1154" t="s">
        <v>1994</v>
      </c>
      <c r="C696" s="1154"/>
      <c r="D696" s="1110"/>
      <c r="E696" s="1079" t="str">
        <f>VLOOKUP($B696,DG!A:D,DG!$B$2,)</f>
        <v>06.3231</v>
      </c>
      <c r="F696" s="1080" t="str">
        <f>VLOOKUP($B696,DG!A:D,DG!$C$2,)</f>
        <v>Cổ dê kẹp ống PVC Ø 90</v>
      </c>
      <c r="G696" s="1079" t="str">
        <f>VLOOKUP($B696,DG!A:D,DG!$D$2,)</f>
        <v>bộ</v>
      </c>
      <c r="H696" s="1167">
        <f>3*H686</f>
        <v>0</v>
      </c>
      <c r="I696" s="1259">
        <f t="shared" si="44"/>
        <v>0</v>
      </c>
      <c r="J696" s="1108"/>
      <c r="K696" s="1108"/>
      <c r="L696" s="1082"/>
      <c r="M696" s="975" t="s">
        <v>1263</v>
      </c>
    </row>
    <row r="697" spans="1:13" s="1083" customFormat="1" ht="25.2" hidden="1" customHeight="1">
      <c r="A697" s="1153">
        <f t="shared" si="43"/>
        <v>0</v>
      </c>
      <c r="B697" s="1154" t="s">
        <v>1131</v>
      </c>
      <c r="C697" s="1154"/>
      <c r="D697" s="1110"/>
      <c r="E697" s="1079" t="str">
        <f>VLOOKUP($B697,DG!A:D,DG!$B$2,)</f>
        <v>06.2110</v>
      </c>
      <c r="F697" s="1080" t="str">
        <f>VLOOKUP($B697,DG!A:D,DG!$C$2,)&amp;": CD-320"</f>
        <v>Lắp cổ dề: CD-320</v>
      </c>
      <c r="G697" s="1079" t="str">
        <f>VLOOKUP($B697,DG!A:D,DG!$D$2,)</f>
        <v>bộ</v>
      </c>
      <c r="H697" s="1167">
        <f>1.12*H687</f>
        <v>0</v>
      </c>
      <c r="I697" s="1259">
        <f t="shared" si="44"/>
        <v>0</v>
      </c>
      <c r="J697" s="1108"/>
      <c r="K697" s="1108"/>
      <c r="L697" s="1082"/>
      <c r="M697" s="975" t="s">
        <v>1263</v>
      </c>
    </row>
    <row r="698" spans="1:13" s="1083" customFormat="1" ht="25.2" hidden="1" customHeight="1">
      <c r="A698" s="1153">
        <f t="shared" si="43"/>
        <v>0</v>
      </c>
      <c r="B698" s="1324" t="s">
        <v>69</v>
      </c>
      <c r="C698" s="1324"/>
      <c r="D698" s="1110"/>
      <c r="E698" s="1079">
        <f>VLOOKUP($B698,DG!A:D,DG!$B$2,)</f>
        <v>0</v>
      </c>
      <c r="F698" s="1080" t="str">
        <f>VLOOKUP($B698,DG!A:D,DG!$C$2,)</f>
        <v>Co  90 độ PVC 90</v>
      </c>
      <c r="G698" s="1079" t="str">
        <f>VLOOKUP($B698,DG!A:D,DG!$D$2,)</f>
        <v>cái</v>
      </c>
      <c r="H698" s="1167">
        <f>2*H686</f>
        <v>0</v>
      </c>
      <c r="I698" s="1259">
        <f t="shared" si="44"/>
        <v>0</v>
      </c>
      <c r="J698" s="1108"/>
      <c r="K698" s="1108"/>
      <c r="L698" s="1082"/>
      <c r="M698" s="975" t="s">
        <v>1263</v>
      </c>
    </row>
    <row r="699" spans="1:13" s="1083" customFormat="1" ht="25.2" hidden="1" customHeight="1">
      <c r="A699" s="1153">
        <f t="shared" si="43"/>
        <v>0</v>
      </c>
      <c r="B699" s="1324" t="s">
        <v>725</v>
      </c>
      <c r="C699" s="1324"/>
      <c r="D699" s="1110"/>
      <c r="E699" s="1079">
        <f>VLOOKUP($B699,DG!A:D,DG!$B$2,)</f>
        <v>0</v>
      </c>
      <c r="F699" s="1080" t="str">
        <f>VLOOKUP($B699,DG!A:D,DG!$C$2,)</f>
        <v xml:space="preserve">Nối thẳng ống PVC 90 </v>
      </c>
      <c r="G699" s="1079" t="str">
        <f>VLOOKUP($B699,DG!A:D,DG!$D$2,)</f>
        <v>cái</v>
      </c>
      <c r="H699" s="1851">
        <f>1*H686*0</f>
        <v>0</v>
      </c>
      <c r="I699" s="1259">
        <f t="shared" si="44"/>
        <v>0</v>
      </c>
      <c r="J699" s="1108"/>
      <c r="K699" s="1108"/>
      <c r="L699" s="1082"/>
      <c r="M699" s="975" t="s">
        <v>1263</v>
      </c>
    </row>
    <row r="700" spans="1:13" s="1083" customFormat="1" ht="25.2" hidden="1" customHeight="1">
      <c r="A700" s="1153">
        <f t="shared" si="43"/>
        <v>0</v>
      </c>
      <c r="B700" s="1324" t="s">
        <v>419</v>
      </c>
      <c r="C700" s="1324"/>
      <c r="D700" s="1110"/>
      <c r="E700" s="1079">
        <f>VLOOKUP($B700,DG!A:D,DG!$B$2,)</f>
        <v>0</v>
      </c>
      <c r="F700" s="1080" t="str">
        <f>VLOOKUP($B700,DG!A:D,DG!$C$2,)</f>
        <v>Keo dán ống PVC (100gr)</v>
      </c>
      <c r="G700" s="1079" t="str">
        <f>VLOOKUP($B700,DG!A:D,DG!$D$2,)</f>
        <v>tuýp</v>
      </c>
      <c r="H700" s="1167">
        <f>H686</f>
        <v>0</v>
      </c>
      <c r="I700" s="1259">
        <f t="shared" si="44"/>
        <v>0</v>
      </c>
      <c r="J700" s="1108"/>
      <c r="K700" s="1108"/>
      <c r="L700" s="1082"/>
      <c r="M700" s="975" t="s">
        <v>1263</v>
      </c>
    </row>
    <row r="701" spans="1:13" s="1083" customFormat="1" ht="25.2" hidden="1" customHeight="1">
      <c r="A701" s="1153">
        <f t="shared" si="43"/>
        <v>0</v>
      </c>
      <c r="B701" s="1324" t="s">
        <v>1179</v>
      </c>
      <c r="C701" s="1324"/>
      <c r="D701" s="1110"/>
      <c r="E701" s="1079">
        <f>VLOOKUP($B701,DG!A:D,DG!$B$2,)</f>
        <v>0</v>
      </c>
      <c r="F701" s="1080" t="str">
        <f>VLOOKUP($B701,DG!A:D,DG!$C$2,)</f>
        <v>Keo silicon bít miệng ống</v>
      </c>
      <c r="G701" s="1079" t="str">
        <f>VLOOKUP($B701,DG!A:D,DG!$D$2,)</f>
        <v>ống</v>
      </c>
      <c r="H701" s="1167">
        <f>H686</f>
        <v>0</v>
      </c>
      <c r="I701" s="1259">
        <f t="shared" si="44"/>
        <v>0</v>
      </c>
      <c r="J701" s="1108"/>
      <c r="K701" s="1108"/>
      <c r="L701" s="1082"/>
      <c r="M701" s="975" t="s">
        <v>1263</v>
      </c>
    </row>
    <row r="702" spans="1:13" s="1083" customFormat="1" ht="25.2" hidden="1" customHeight="1">
      <c r="A702" s="1153">
        <f t="shared" si="43"/>
        <v>0</v>
      </c>
      <c r="B702" s="1154" t="s">
        <v>672</v>
      </c>
      <c r="C702" s="1154"/>
      <c r="D702" s="1110"/>
      <c r="E702" s="1079">
        <f>VLOOKUP($B702,DG!A:D,DG!$B$2,)</f>
        <v>0</v>
      </c>
      <c r="F702" s="1080" t="str">
        <f>VLOOKUP($B702,DG!A:D,DG!$C$2,)</f>
        <v>Băng keo cách điện</v>
      </c>
      <c r="G702" s="1079" t="str">
        <f>VLOOKUP($B702,DG!A:D,DG!$D$2,)</f>
        <v>cuộn</v>
      </c>
      <c r="H702" s="1167">
        <f>H686*2</f>
        <v>0</v>
      </c>
      <c r="I702" s="1259">
        <f t="shared" si="44"/>
        <v>0</v>
      </c>
      <c r="J702" s="1108"/>
      <c r="K702" s="1108"/>
      <c r="L702" s="1082"/>
      <c r="M702" s="975" t="s">
        <v>1263</v>
      </c>
    </row>
    <row r="703" spans="1:13" s="1083" customFormat="1" ht="25.2" hidden="1" customHeight="1">
      <c r="A703" s="1153">
        <f t="shared" si="43"/>
        <v>0</v>
      </c>
      <c r="B703" s="1329" t="s">
        <v>2188</v>
      </c>
      <c r="C703" s="1329"/>
      <c r="D703" s="1110"/>
      <c r="E703" s="1079" t="str">
        <f>VLOOKUP($B703,DG!A:D,DG!$B$2,)</f>
        <v>07.2415</v>
      </c>
      <c r="F703" s="1080" t="str">
        <f>VLOOKUP($B703,DG!A:D,DG!$C$2,)</f>
        <v>Lắp ống nhựa PVC D90</v>
      </c>
      <c r="G703" s="1079" t="str">
        <f>VLOOKUP($B703,DG!A:D,DG!$D$2,)</f>
        <v>mét</v>
      </c>
      <c r="H703" s="1167">
        <f>H695</f>
        <v>0</v>
      </c>
      <c r="I703" s="1259">
        <f t="shared" si="44"/>
        <v>0</v>
      </c>
      <c r="J703" s="1108"/>
      <c r="K703" s="1108"/>
      <c r="L703" s="1082"/>
      <c r="M703" s="975" t="s">
        <v>1263</v>
      </c>
    </row>
    <row r="704" spans="1:13" s="1083" customFormat="1" ht="25.2" hidden="1" customHeight="1">
      <c r="A704" s="1153">
        <f t="shared" si="43"/>
        <v>0</v>
      </c>
      <c r="B704" s="1154" t="s">
        <v>1528</v>
      </c>
      <c r="C704" s="1154"/>
      <c r="D704" s="1110"/>
      <c r="E704" s="1079" t="str">
        <f>VLOOKUP($B704,DG!A:D,DG!$B$2,)</f>
        <v>04.4201</v>
      </c>
      <c r="F704" s="1080" t="str">
        <f>VLOOKUP($B704,DG!A:D,DG!$C$2,)</f>
        <v>Lắp cáp đồng xuống thiết bị D ≤ 95mm2</v>
      </c>
      <c r="G704" s="1079" t="str">
        <f>VLOOKUP($B704,DG!A:D,DG!$D$2,)</f>
        <v>m</v>
      </c>
      <c r="H704" s="1167">
        <f>H688+H689</f>
        <v>0</v>
      </c>
      <c r="I704" s="1259">
        <f t="shared" si="44"/>
        <v>0</v>
      </c>
      <c r="J704" s="1108"/>
      <c r="K704" s="1108"/>
      <c r="L704" s="1082"/>
      <c r="M704" s="975" t="s">
        <v>1263</v>
      </c>
    </row>
    <row r="705" spans="1:13" s="1083" customFormat="1" ht="25.2" hidden="1" customHeight="1">
      <c r="A705" s="1153">
        <f t="shared" si="43"/>
        <v>0</v>
      </c>
      <c r="B705" s="1324" t="s">
        <v>289</v>
      </c>
      <c r="C705" s="1324"/>
      <c r="D705" s="1170">
        <f>IF(H705&gt;0,D686+1,D686)</f>
        <v>0</v>
      </c>
      <c r="E705" s="1189"/>
      <c r="F705" s="1212" t="s">
        <v>3721</v>
      </c>
      <c r="G705" s="1079" t="str">
        <f>VLOOKUP($B705,DG!A:D,DG!$D$2,)</f>
        <v>bộ</v>
      </c>
      <c r="H705" s="1846">
        <f>H648</f>
        <v>0</v>
      </c>
      <c r="I705" s="1259">
        <f t="shared" si="44"/>
        <v>0</v>
      </c>
      <c r="J705" s="1108"/>
      <c r="K705" s="1108"/>
      <c r="L705" s="1098"/>
      <c r="M705" s="975" t="s">
        <v>1263</v>
      </c>
    </row>
    <row r="706" spans="1:13" s="1083" customFormat="1" ht="25.2" hidden="1" customHeight="1">
      <c r="A706" s="1153">
        <f t="shared" si="43"/>
        <v>0</v>
      </c>
      <c r="B706" s="1319"/>
      <c r="C706" s="1319"/>
      <c r="D706" s="1190"/>
      <c r="E706" s="1191"/>
      <c r="F706" s="1069"/>
      <c r="G706" s="1192"/>
      <c r="H706" s="1847"/>
      <c r="I706" s="1259">
        <f t="shared" si="44"/>
        <v>0</v>
      </c>
      <c r="J706" s="1193"/>
      <c r="K706" s="1194"/>
      <c r="L706" s="1136"/>
      <c r="M706" s="975"/>
    </row>
    <row r="707" spans="1:13" s="1083" customFormat="1" ht="25.2" hidden="1" customHeight="1">
      <c r="A707" s="1153">
        <f t="shared" si="43"/>
        <v>0</v>
      </c>
      <c r="B707" s="1348"/>
      <c r="C707" s="1348"/>
      <c r="D707" s="1213" t="str">
        <f>"Địa Điểm: "&amp;Solieu!C7</f>
        <v>Địa Điểm: 04</v>
      </c>
      <c r="E707" s="1213"/>
      <c r="F707" s="1213"/>
      <c r="G707" s="1213"/>
      <c r="H707" s="1905"/>
      <c r="I707" s="1259">
        <f t="shared" si="44"/>
        <v>0</v>
      </c>
      <c r="J707" s="1213"/>
      <c r="K707" s="1213"/>
      <c r="L707" s="1213"/>
      <c r="M707" s="975"/>
    </row>
    <row r="708" spans="1:13" s="1083" customFormat="1" ht="25.2" hidden="1" customHeight="1">
      <c r="A708" s="1153">
        <f t="shared" si="43"/>
        <v>0</v>
      </c>
      <c r="B708" s="1348"/>
      <c r="C708" s="1348"/>
      <c r="D708" s="1100"/>
      <c r="E708" s="1195"/>
      <c r="F708" s="1214"/>
      <c r="G708" s="1214"/>
      <c r="H708" s="1854"/>
      <c r="I708" s="1259">
        <f t="shared" si="44"/>
        <v>0</v>
      </c>
      <c r="J708" s="1214"/>
      <c r="K708" s="1214"/>
      <c r="L708" s="975"/>
      <c r="M708" s="975"/>
    </row>
    <row r="709" spans="1:13" s="1083" customFormat="1" ht="25.2" hidden="1" customHeight="1">
      <c r="A709" s="1153">
        <f t="shared" si="43"/>
        <v>0</v>
      </c>
      <c r="B709" s="1324"/>
      <c r="C709" s="1324"/>
      <c r="D709" s="1212"/>
      <c r="E709" s="1212"/>
      <c r="F709" s="1215" t="s">
        <v>3722</v>
      </c>
      <c r="G709" s="1216"/>
      <c r="H709" s="1875"/>
      <c r="I709" s="1259">
        <f t="shared" si="44"/>
        <v>0</v>
      </c>
      <c r="J709" s="1216"/>
      <c r="K709" s="1216"/>
      <c r="L709" s="1196"/>
      <c r="M709" s="975" t="s">
        <v>1264</v>
      </c>
    </row>
    <row r="710" spans="1:13" s="1083" customFormat="1" ht="25.2" hidden="1" customHeight="1">
      <c r="A710" s="1153">
        <f t="shared" si="43"/>
        <v>0</v>
      </c>
      <c r="B710" s="1325" t="s">
        <v>1211</v>
      </c>
      <c r="C710" s="1325"/>
      <c r="D710" s="1090">
        <f>IF(H710&gt;0,1,0)</f>
        <v>0</v>
      </c>
      <c r="E710" s="1079" t="str">
        <f>VLOOKUP($B710,DG!A:D,DG!$B$2,)</f>
        <v>01.1412</v>
      </c>
      <c r="F710" s="1080" t="str">
        <f>VLOOKUP($B710,DG!A:D,DG!$C$2,)</f>
        <v>Máy biến áp 12,7/0,22-0,44kV  37,5kVA</v>
      </c>
      <c r="G710" s="1079" t="str">
        <f>VLOOKUP($B710,DG!A:D,DG!$D$2,)</f>
        <v>máy</v>
      </c>
      <c r="H710" s="1855">
        <f>L8*3</f>
        <v>0</v>
      </c>
      <c r="I710" s="1259">
        <f t="shared" si="44"/>
        <v>0</v>
      </c>
      <c r="J710" s="1108"/>
      <c r="K710" s="1108"/>
      <c r="L710" s="1082"/>
      <c r="M710" s="975" t="s">
        <v>1264</v>
      </c>
    </row>
    <row r="711" spans="1:13" s="1083" customFormat="1" ht="25.2" hidden="1" customHeight="1">
      <c r="A711" s="1153">
        <f t="shared" si="43"/>
        <v>0</v>
      </c>
      <c r="B711" s="1325" t="s">
        <v>1211</v>
      </c>
      <c r="C711" s="1325"/>
      <c r="D711" s="1090">
        <f>IF(H711&gt;0,D710+1,D710)</f>
        <v>0</v>
      </c>
      <c r="E711" s="1079" t="str">
        <f>VLOOKUP($B711,DG!A:D,DG!$B$2,)</f>
        <v>01.1412</v>
      </c>
      <c r="F711" s="1080" t="str">
        <f>VLOOKUP($B711,DG!A:D,DG!$C$2,)&amp;" : Thaùo + laép"</f>
        <v>Máy biến áp 12,7/0,22-0,44kV  37,5kVA : Thaùo + laép</v>
      </c>
      <c r="G711" s="1079" t="str">
        <f>VLOOKUP($B711,DG!A:D,DG!$D$2,)</f>
        <v>máy</v>
      </c>
      <c r="H711" s="1855"/>
      <c r="I711" s="1259">
        <f t="shared" si="44"/>
        <v>0</v>
      </c>
      <c r="J711" s="1108"/>
      <c r="K711" s="1108"/>
      <c r="L711" s="1082"/>
      <c r="M711" s="975" t="s">
        <v>1264</v>
      </c>
    </row>
    <row r="712" spans="1:13" s="1083" customFormat="1" ht="25.2" hidden="1" customHeight="1">
      <c r="A712" s="1153">
        <f t="shared" si="43"/>
        <v>0</v>
      </c>
      <c r="B712" s="1325" t="s">
        <v>1655</v>
      </c>
      <c r="C712" s="1325"/>
      <c r="D712" s="1090">
        <f t="shared" ref="D712:D723" si="45">IF(H712&gt;0,D711+1,D711)</f>
        <v>0</v>
      </c>
      <c r="E712" s="1079" t="str">
        <f>VLOOKUP($B712,DG!A:D,DG!$B$2,)</f>
        <v>02.3155</v>
      </c>
      <c r="F712" s="1080" t="str">
        <f>VLOOKUP($B712,DG!A:D,DG!$C$2,)</f>
        <v>FCO 27kV - 100A</v>
      </c>
      <c r="G712" s="1079" t="str">
        <f>VLOOKUP($B712,DG!A:D,DG!$D$2,)</f>
        <v>cái</v>
      </c>
      <c r="H712" s="1856">
        <f>+H710</f>
        <v>0</v>
      </c>
      <c r="I712" s="1259">
        <f t="shared" si="44"/>
        <v>0</v>
      </c>
      <c r="J712" s="1108"/>
      <c r="K712" s="1108"/>
      <c r="L712" s="1082"/>
      <c r="M712" s="975" t="s">
        <v>1264</v>
      </c>
    </row>
    <row r="713" spans="1:13" s="1083" customFormat="1" ht="25.2" hidden="1" customHeight="1">
      <c r="A713" s="1153">
        <f t="shared" si="43"/>
        <v>0</v>
      </c>
      <c r="B713" s="1324" t="s">
        <v>888</v>
      </c>
      <c r="C713" s="1324"/>
      <c r="D713" s="1090">
        <f t="shared" si="45"/>
        <v>0</v>
      </c>
      <c r="E713" s="1079">
        <f>VLOOKUP($B713,DG!A:D,DG!$B$2,)</f>
        <v>0</v>
      </c>
      <c r="F713" s="1080" t="str">
        <f>VLOOKUP($B713,DG!A:D,DG!$C$2,)</f>
        <v>Dây chảy 3K</v>
      </c>
      <c r="G713" s="1079" t="str">
        <f>VLOOKUP($B713,DG!A:D,DG!$D$2,)</f>
        <v>Sợi</v>
      </c>
      <c r="H713" s="1856"/>
      <c r="I713" s="1259">
        <f t="shared" si="44"/>
        <v>0</v>
      </c>
      <c r="J713" s="1108"/>
      <c r="K713" s="1108"/>
      <c r="L713" s="1082"/>
      <c r="M713" s="975" t="s">
        <v>1264</v>
      </c>
    </row>
    <row r="714" spans="1:13" s="1083" customFormat="1" ht="25.2" hidden="1" customHeight="1">
      <c r="A714" s="1153">
        <f t="shared" si="43"/>
        <v>0</v>
      </c>
      <c r="B714" s="1319" t="s">
        <v>1376</v>
      </c>
      <c r="C714" s="1319"/>
      <c r="D714" s="1090">
        <f t="shared" si="45"/>
        <v>0</v>
      </c>
      <c r="E714" s="1079" t="str">
        <f>VLOOKUP($B714,DG!A:D,DG!$B$2,)</f>
        <v>02.5114</v>
      </c>
      <c r="F714" s="1080" t="str">
        <f>VLOOKUP($B714,DG!A:D,DG!$C$2,)</f>
        <v>Chống sét van LA-18KV-10KA</v>
      </c>
      <c r="G714" s="1079" t="str">
        <f>VLOOKUP($B714,DG!A:D,DG!$D$2,)</f>
        <v>cái</v>
      </c>
      <c r="H714" s="1856">
        <f>H712</f>
        <v>0</v>
      </c>
      <c r="I714" s="1259">
        <f t="shared" si="44"/>
        <v>0</v>
      </c>
      <c r="J714" s="1108"/>
      <c r="K714" s="1108"/>
      <c r="L714" s="1082"/>
      <c r="M714" s="975" t="s">
        <v>1264</v>
      </c>
    </row>
    <row r="715" spans="1:13" s="1083" customFormat="1" ht="25.2" hidden="1" customHeight="1">
      <c r="A715" s="1153">
        <f t="shared" si="43"/>
        <v>0</v>
      </c>
      <c r="B715" s="1319" t="s">
        <v>4380</v>
      </c>
      <c r="C715" s="1319"/>
      <c r="D715" s="1090">
        <f t="shared" si="45"/>
        <v>0</v>
      </c>
      <c r="E715" s="1079" t="str">
        <f>VLOOKUP($B715,DG!A:D,DG!$B$2,)</f>
        <v>02.5114</v>
      </c>
      <c r="F715" s="1080" t="str">
        <f>VLOOKUP($B715,DG!A:D,DG!$C$2,)&amp;": Thaùo + laép"</f>
        <v>LA 12kV 10kA: Thaùo + laép</v>
      </c>
      <c r="G715" s="1079" t="str">
        <f>VLOOKUP($B715,DG!A:D,DG!$D$2,)</f>
        <v>cái</v>
      </c>
      <c r="H715" s="1856">
        <f>H712</f>
        <v>0</v>
      </c>
      <c r="I715" s="1259">
        <f t="shared" si="44"/>
        <v>0</v>
      </c>
      <c r="J715" s="1108"/>
      <c r="K715" s="1108"/>
      <c r="L715" s="1082"/>
      <c r="M715" s="975" t="s">
        <v>1264</v>
      </c>
    </row>
    <row r="716" spans="1:13" s="1083" customFormat="1" ht="25.2" hidden="1" customHeight="1">
      <c r="A716" s="1153">
        <f t="shared" si="43"/>
        <v>0</v>
      </c>
      <c r="B716" s="1326" t="s">
        <v>1430</v>
      </c>
      <c r="C716" s="1326"/>
      <c r="D716" s="1090">
        <f t="shared" si="45"/>
        <v>0</v>
      </c>
      <c r="E716" s="1079" t="str">
        <f>VLOOKUP($B716,DG!A:D,DG!$B$2,)</f>
        <v>02.8401</v>
      </c>
      <c r="F716" s="1080" t="str">
        <f>VLOOKUP($B716,DG!A:D,DG!$C$2,)</f>
        <v>MCCB 3 cực 400V -200A - 35KA</v>
      </c>
      <c r="G716" s="1079" t="str">
        <f>VLOOKUP($B716,DG!A:D,DG!$D$2,)</f>
        <v>cái</v>
      </c>
      <c r="H716" s="1856"/>
      <c r="I716" s="1259">
        <f t="shared" si="44"/>
        <v>0</v>
      </c>
      <c r="J716" s="1108"/>
      <c r="K716" s="1108"/>
      <c r="L716" s="1082"/>
      <c r="M716" s="975" t="s">
        <v>1264</v>
      </c>
    </row>
    <row r="717" spans="1:13" s="1083" customFormat="1" ht="25.2" hidden="1" customHeight="1">
      <c r="A717" s="1153">
        <f t="shared" si="43"/>
        <v>0</v>
      </c>
      <c r="B717" s="1326" t="s">
        <v>758</v>
      </c>
      <c r="C717" s="1326"/>
      <c r="D717" s="1090">
        <f t="shared" si="45"/>
        <v>0</v>
      </c>
      <c r="E717" s="1079" t="str">
        <f>VLOOKUP($B717,DG!A:D,DG!$B$2,)</f>
        <v>02.8534</v>
      </c>
      <c r="F717" s="1080" t="str">
        <f>VLOOKUP($B717,DG!A:D,DG!$C$2,)</f>
        <v>Tụ bù 1 pha 30Kvar</v>
      </c>
      <c r="G717" s="1079" t="str">
        <f>VLOOKUP($B717,DG!A:D,DG!$D$2,)</f>
        <v>tủ</v>
      </c>
      <c r="H717" s="1857"/>
      <c r="I717" s="1259">
        <f t="shared" si="44"/>
        <v>0</v>
      </c>
      <c r="J717" s="1108"/>
      <c r="K717" s="1108"/>
      <c r="L717" s="1082"/>
      <c r="M717" s="975" t="s">
        <v>1264</v>
      </c>
    </row>
    <row r="718" spans="1:13" s="1083" customFormat="1" ht="25.2" hidden="1" customHeight="1">
      <c r="A718" s="1153">
        <f t="shared" si="43"/>
        <v>0</v>
      </c>
      <c r="B718" s="1326" t="s">
        <v>758</v>
      </c>
      <c r="C718" s="1326"/>
      <c r="D718" s="1090">
        <f t="shared" si="45"/>
        <v>0</v>
      </c>
      <c r="E718" s="1079" t="str">
        <f>VLOOKUP($B718,DG!A:D,DG!$B$2,)</f>
        <v>02.8534</v>
      </c>
      <c r="F718" s="1080" t="s">
        <v>3723</v>
      </c>
      <c r="G718" s="1079" t="str">
        <f>VLOOKUP($B718,DG!A:D,DG!$D$2,)</f>
        <v>tủ</v>
      </c>
      <c r="H718" s="1857"/>
      <c r="I718" s="1259">
        <f t="shared" si="44"/>
        <v>0</v>
      </c>
      <c r="J718" s="1108"/>
      <c r="K718" s="1108"/>
      <c r="L718" s="1082"/>
      <c r="M718" s="975" t="s">
        <v>1264</v>
      </c>
    </row>
    <row r="719" spans="1:13" s="1083" customFormat="1" ht="25.2" hidden="1" customHeight="1">
      <c r="A719" s="1153">
        <f t="shared" si="43"/>
        <v>0</v>
      </c>
      <c r="B719" s="1327" t="s">
        <v>2048</v>
      </c>
      <c r="C719" s="1327"/>
      <c r="D719" s="1090">
        <f t="shared" si="45"/>
        <v>0</v>
      </c>
      <c r="E719" s="1079">
        <f>VLOOKUP($B719,DG!A:D,DG!$B$2,)</f>
        <v>0</v>
      </c>
      <c r="F719" s="1162" t="str">
        <f>VLOOKUP($B719,DG!A:D,DG!$C$2,)</f>
        <v>Biến dòng 600V - 100/5A</v>
      </c>
      <c r="G719" s="1079" t="str">
        <f>VLOOKUP($B719,DG!A:D,DG!$D$2,)</f>
        <v>cái</v>
      </c>
      <c r="H719" s="1857"/>
      <c r="I719" s="1259">
        <f t="shared" si="44"/>
        <v>0</v>
      </c>
      <c r="J719" s="1108"/>
      <c r="K719" s="1108"/>
      <c r="L719" s="1110"/>
      <c r="M719" s="975" t="s">
        <v>1264</v>
      </c>
    </row>
    <row r="720" spans="1:13" s="1083" customFormat="1" ht="25.2" hidden="1" customHeight="1">
      <c r="A720" s="1153">
        <f t="shared" si="43"/>
        <v>0</v>
      </c>
      <c r="B720" s="1331" t="s">
        <v>288</v>
      </c>
      <c r="C720" s="1331"/>
      <c r="D720" s="1090">
        <f t="shared" si="45"/>
        <v>0</v>
      </c>
      <c r="E720" s="1079" t="str">
        <f>VLOOKUP($B720,DG!A:D,DG!$B$2,)</f>
        <v>05.5104</v>
      </c>
      <c r="F720" s="1162" t="str">
        <f>VLOOKUP($B720,DG!A:D,DG!$C$2,)</f>
        <v>Điện kế 3 pha 4 dây 220/380V-5A</v>
      </c>
      <c r="G720" s="1079" t="str">
        <f>VLOOKUP($B720,DG!A:D,DG!$D$2,)</f>
        <v>cái</v>
      </c>
      <c r="H720" s="1858">
        <f>+H710</f>
        <v>0</v>
      </c>
      <c r="I720" s="1259">
        <f t="shared" si="44"/>
        <v>0</v>
      </c>
      <c r="J720" s="1108"/>
      <c r="K720" s="1108"/>
      <c r="L720" s="1110"/>
      <c r="M720" s="975" t="s">
        <v>1264</v>
      </c>
    </row>
    <row r="721" spans="1:13" s="1083" customFormat="1" ht="25.2" hidden="1" customHeight="1">
      <c r="A721" s="1153">
        <f t="shared" si="43"/>
        <v>0</v>
      </c>
      <c r="B721" s="1324" t="s">
        <v>199</v>
      </c>
      <c r="C721" s="1324"/>
      <c r="D721" s="1090">
        <f t="shared" si="45"/>
        <v>0</v>
      </c>
      <c r="E721" s="1079">
        <f>VLOOKUP($B721,DG!A:D,DG!$B$2,)</f>
        <v>0</v>
      </c>
      <c r="F721" s="1080" t="str">
        <f>VLOOKUP($B721,DG!A:D,DG!$C$2,)</f>
        <v xml:space="preserve">Ampe kế 100/5A-600v +AS </v>
      </c>
      <c r="G721" s="1079" t="str">
        <f>VLOOKUP($B721,DG!A:D,DG!$D$2,)</f>
        <v>Bộ</v>
      </c>
      <c r="H721" s="1856"/>
      <c r="I721" s="1259">
        <f t="shared" si="44"/>
        <v>0</v>
      </c>
      <c r="J721" s="1108"/>
      <c r="K721" s="1108"/>
      <c r="L721" s="1082"/>
      <c r="M721" s="975" t="s">
        <v>1264</v>
      </c>
    </row>
    <row r="722" spans="1:13" s="1083" customFormat="1" ht="25.2" hidden="1" customHeight="1">
      <c r="A722" s="1153">
        <f t="shared" si="43"/>
        <v>0</v>
      </c>
      <c r="B722" s="1324" t="s">
        <v>200</v>
      </c>
      <c r="C722" s="1324"/>
      <c r="D722" s="1090">
        <f t="shared" si="45"/>
        <v>0</v>
      </c>
      <c r="E722" s="1079">
        <f>VLOOKUP($B722,DG!A:D,DG!$B$2,)</f>
        <v>0</v>
      </c>
      <c r="F722" s="1080" t="str">
        <f>VLOOKUP($B722,DG!A:D,DG!$C$2,)</f>
        <v>Volt kế 500V + VS + 2xChì ống 1A-230V</v>
      </c>
      <c r="G722" s="1079" t="str">
        <f>VLOOKUP($B722,DG!A:D,DG!$D$2,)</f>
        <v>Bộ</v>
      </c>
      <c r="H722" s="1858">
        <f>+H714*0</f>
        <v>0</v>
      </c>
      <c r="I722" s="1259">
        <f t="shared" si="44"/>
        <v>0</v>
      </c>
      <c r="J722" s="1108"/>
      <c r="K722" s="1108"/>
      <c r="L722" s="1098"/>
      <c r="M722" s="975" t="s">
        <v>1264</v>
      </c>
    </row>
    <row r="723" spans="1:13" s="1083" customFormat="1" ht="25.2" hidden="1" customHeight="1">
      <c r="A723" s="1153">
        <f t="shared" si="43"/>
        <v>0</v>
      </c>
      <c r="B723" s="1324"/>
      <c r="C723" s="1324"/>
      <c r="D723" s="1090">
        <f t="shared" si="45"/>
        <v>0</v>
      </c>
      <c r="E723" s="1079"/>
      <c r="F723" s="1217" t="s">
        <v>3724</v>
      </c>
      <c r="G723" s="1218"/>
      <c r="H723" s="1859">
        <f>H712/3*0</f>
        <v>0</v>
      </c>
      <c r="I723" s="1259">
        <f t="shared" si="44"/>
        <v>0</v>
      </c>
      <c r="J723" s="1108"/>
      <c r="K723" s="1108"/>
      <c r="L723" s="1219"/>
      <c r="M723" s="975" t="s">
        <v>1264</v>
      </c>
    </row>
    <row r="724" spans="1:13" s="1083" customFormat="1" ht="25.2" hidden="1" customHeight="1">
      <c r="A724" s="1153">
        <f t="shared" si="43"/>
        <v>0</v>
      </c>
      <c r="B724" s="1324" t="s">
        <v>1652</v>
      </c>
      <c r="C724" s="1324"/>
      <c r="D724" s="1090">
        <f>IF(H724&gt;0,D723+1,D723)</f>
        <v>0</v>
      </c>
      <c r="E724" s="1079" t="str">
        <f>VLOOKUP($B724,DG!A:D,DG!$B$2,)</f>
        <v>01.1162</v>
      </c>
      <c r="F724" s="1080" t="str">
        <f>VLOOKUP($B724,DG!A:D,DG!$C$2,)&amp;": thaùo"</f>
        <v>Máy biến áp 8,6(12,7)/0,22-0,44kV- 37,5kVA: thaùo</v>
      </c>
      <c r="G724" s="1079" t="str">
        <f>VLOOKUP($B724,DG!A:D,DG!$D$2,)</f>
        <v>máy</v>
      </c>
      <c r="H724" s="1167"/>
      <c r="I724" s="1259">
        <f t="shared" si="44"/>
        <v>0</v>
      </c>
      <c r="J724" s="1108"/>
      <c r="K724" s="1108"/>
      <c r="L724" s="1172"/>
      <c r="M724" s="975" t="s">
        <v>1264</v>
      </c>
    </row>
    <row r="725" spans="1:13" s="1083" customFormat="1" ht="25.2" hidden="1" customHeight="1">
      <c r="A725" s="1153">
        <f t="shared" si="43"/>
        <v>0</v>
      </c>
      <c r="B725" s="1324" t="s">
        <v>1652</v>
      </c>
      <c r="C725" s="1324"/>
      <c r="D725" s="1090">
        <f>IF(H725&gt;0,D724+1,D724)</f>
        <v>0</v>
      </c>
      <c r="E725" s="1079" t="str">
        <f>VLOOKUP($B725,DG!A:D,DG!$B$2,)</f>
        <v>01.1162</v>
      </c>
      <c r="F725" s="1080" t="str">
        <f>VLOOKUP($B725,DG!A:D,DG!$C$2,)&amp;": laép"</f>
        <v>Máy biến áp 8,6(12,7)/0,22-0,44kV- 37,5kVA: laép</v>
      </c>
      <c r="G725" s="1079" t="str">
        <f>VLOOKUP($B725,DG!A:D,DG!$D$2,)</f>
        <v>máy</v>
      </c>
      <c r="H725" s="1167"/>
      <c r="I725" s="1259">
        <f t="shared" si="44"/>
        <v>0</v>
      </c>
      <c r="J725" s="1108"/>
      <c r="K725" s="1108"/>
      <c r="L725" s="1172"/>
      <c r="M725" s="975" t="s">
        <v>1264</v>
      </c>
    </row>
    <row r="726" spans="1:13" s="1083" customFormat="1" ht="25.2" hidden="1" customHeight="1">
      <c r="A726" s="1153">
        <f t="shared" si="43"/>
        <v>0</v>
      </c>
      <c r="B726" s="1325" t="s">
        <v>1655</v>
      </c>
      <c r="C726" s="1325"/>
      <c r="D726" s="1090">
        <f>IF(H726&gt;0,D724+1,D724)</f>
        <v>0</v>
      </c>
      <c r="E726" s="1079" t="str">
        <f>VLOOKUP($B726,DG!A:D,DG!$B$2,)</f>
        <v>02.3155</v>
      </c>
      <c r="F726" s="1080" t="str">
        <f>VLOOKUP($B726,DG!A:D,DG!$C$2,)&amp;": thaùo"</f>
        <v>FCO 27kV - 100A: thaùo</v>
      </c>
      <c r="G726" s="1079" t="str">
        <f>VLOOKUP($B726,DG!A:D,DG!$D$2,)</f>
        <v>cái</v>
      </c>
      <c r="H726" s="1167"/>
      <c r="I726" s="1259">
        <f t="shared" si="44"/>
        <v>0</v>
      </c>
      <c r="J726" s="1108"/>
      <c r="K726" s="1108"/>
      <c r="L726" s="1172"/>
      <c r="M726" s="975" t="s">
        <v>1264</v>
      </c>
    </row>
    <row r="727" spans="1:13" s="1083" customFormat="1" ht="25.2" hidden="1" customHeight="1">
      <c r="A727" s="1153">
        <f t="shared" si="43"/>
        <v>0</v>
      </c>
      <c r="B727" s="1325" t="s">
        <v>1655</v>
      </c>
      <c r="C727" s="1325"/>
      <c r="D727" s="1090">
        <f>IF(H727&gt;0,D725+1,D725)</f>
        <v>0</v>
      </c>
      <c r="E727" s="1079" t="str">
        <f>VLOOKUP($B727,DG!A:D,DG!$B$2,)</f>
        <v>02.3155</v>
      </c>
      <c r="F727" s="1080" t="str">
        <f>VLOOKUP($B727,DG!A:D,DG!$C$2,)&amp;": laép"</f>
        <v>FCO 27kV - 100A: laép</v>
      </c>
      <c r="G727" s="1079" t="str">
        <f>VLOOKUP($B727,DG!A:D,DG!$D$2,)</f>
        <v>cái</v>
      </c>
      <c r="H727" s="1167"/>
      <c r="I727" s="1259">
        <f t="shared" si="44"/>
        <v>0</v>
      </c>
      <c r="J727" s="1108"/>
      <c r="K727" s="1108"/>
      <c r="L727" s="1172"/>
      <c r="M727" s="975" t="s">
        <v>1264</v>
      </c>
    </row>
    <row r="728" spans="1:13" s="1083" customFormat="1" ht="25.2" hidden="1" customHeight="1">
      <c r="A728" s="1153">
        <f t="shared" si="43"/>
        <v>0</v>
      </c>
      <c r="B728" s="1324" t="s">
        <v>1376</v>
      </c>
      <c r="C728" s="1324"/>
      <c r="D728" s="1090">
        <f>IF(H728&gt;0,D726+1,D726)</f>
        <v>0</v>
      </c>
      <c r="E728" s="1079" t="str">
        <f>VLOOKUP($B728,DG!A:D,DG!$B$2,)</f>
        <v>02.5114</v>
      </c>
      <c r="F728" s="1080" t="str">
        <f>VLOOKUP($B728,DG!A:D,DG!$C$2,)&amp;": thaùo"</f>
        <v>Chống sét van LA-18KV-10KA: thaùo</v>
      </c>
      <c r="G728" s="1079" t="str">
        <f>VLOOKUP($B728,DG!A:D,DG!$D$2,)</f>
        <v>cái</v>
      </c>
      <c r="H728" s="1167"/>
      <c r="I728" s="1259">
        <f t="shared" si="44"/>
        <v>0</v>
      </c>
      <c r="J728" s="1108"/>
      <c r="K728" s="1108"/>
      <c r="L728" s="1172"/>
      <c r="M728" s="975" t="s">
        <v>1264</v>
      </c>
    </row>
    <row r="729" spans="1:13" s="1083" customFormat="1" ht="25.2" hidden="1" customHeight="1">
      <c r="A729" s="1153">
        <f t="shared" si="43"/>
        <v>0</v>
      </c>
      <c r="B729" s="1324" t="s">
        <v>1376</v>
      </c>
      <c r="C729" s="1324"/>
      <c r="D729" s="1090">
        <f>IF(H729&gt;0,D727+1,D727)</f>
        <v>0</v>
      </c>
      <c r="E729" s="1079" t="str">
        <f>VLOOKUP($B729,DG!A:D,DG!$B$2,)</f>
        <v>02.5114</v>
      </c>
      <c r="F729" s="1080" t="str">
        <f>VLOOKUP($B729,DG!A:D,DG!$C$2,)&amp;": laép"</f>
        <v>Chống sét van LA-18KV-10KA: laép</v>
      </c>
      <c r="G729" s="1079" t="str">
        <f>VLOOKUP($B729,DG!A:D,DG!$D$2,)</f>
        <v>cái</v>
      </c>
      <c r="H729" s="1167"/>
      <c r="I729" s="1259">
        <f t="shared" si="44"/>
        <v>0</v>
      </c>
      <c r="J729" s="1108"/>
      <c r="K729" s="1108"/>
      <c r="L729" s="1172"/>
      <c r="M729" s="975" t="s">
        <v>1264</v>
      </c>
    </row>
    <row r="730" spans="1:13" s="1083" customFormat="1" ht="25.2" hidden="1" customHeight="1">
      <c r="A730" s="1153">
        <f t="shared" ref="A730:A793" si="46">IF(I730&gt;0,1,0)</f>
        <v>0</v>
      </c>
      <c r="B730" s="1324" t="s">
        <v>989</v>
      </c>
      <c r="C730" s="1324"/>
      <c r="D730" s="1090">
        <f>IF(H730&gt;0,D728+1,D728)</f>
        <v>0</v>
      </c>
      <c r="E730" s="1079" t="str">
        <f>VLOOKUP($B730,DG!A:D,DG!$B$2,)</f>
        <v>05.6001</v>
      </c>
      <c r="F730" s="1080" t="str">
        <f>VLOOKUP($B730,DG!A:D,DG!$C$2,)</f>
        <v>Giá chữ "T" lắp FCO, LA (V50x50x5)</v>
      </c>
      <c r="G730" s="1079" t="str">
        <f>VLOOKUP($B730,DG!A:D,DG!$D$2,)</f>
        <v>Kg</v>
      </c>
      <c r="H730" s="1167"/>
      <c r="I730" s="1259">
        <f t="shared" si="44"/>
        <v>0</v>
      </c>
      <c r="J730" s="1108"/>
      <c r="K730" s="1108"/>
      <c r="L730" s="1172"/>
      <c r="M730" s="975" t="s">
        <v>1264</v>
      </c>
    </row>
    <row r="731" spans="1:13" s="1083" customFormat="1" ht="25.2" hidden="1" customHeight="1">
      <c r="A731" s="1153">
        <f t="shared" si="46"/>
        <v>0</v>
      </c>
      <c r="B731" s="1324"/>
      <c r="C731" s="1324"/>
      <c r="D731" s="1220"/>
      <c r="E731" s="1221"/>
      <c r="F731" s="1222"/>
      <c r="G731" s="1221"/>
      <c r="H731" s="1860"/>
      <c r="I731" s="1259">
        <f t="shared" si="44"/>
        <v>0</v>
      </c>
      <c r="J731" s="1108"/>
      <c r="K731" s="1108"/>
      <c r="L731" s="1098"/>
      <c r="M731" s="975" t="s">
        <v>1264</v>
      </c>
    </row>
    <row r="732" spans="1:13" s="1083" customFormat="1" ht="25.2" hidden="1" customHeight="1">
      <c r="A732" s="1153">
        <f t="shared" si="46"/>
        <v>0</v>
      </c>
      <c r="B732" s="1324"/>
      <c r="C732" s="1324"/>
      <c r="D732" s="1160"/>
      <c r="E732" s="1202"/>
      <c r="F732" s="1223"/>
      <c r="G732" s="1224"/>
      <c r="H732" s="1861"/>
      <c r="I732" s="1259">
        <f t="shared" si="44"/>
        <v>0</v>
      </c>
      <c r="J732" s="1108"/>
      <c r="K732" s="1108"/>
      <c r="L732" s="1136"/>
      <c r="M732" s="975" t="s">
        <v>1264</v>
      </c>
    </row>
    <row r="733" spans="1:13" s="1083" customFormat="1" ht="25.2" hidden="1" customHeight="1">
      <c r="A733" s="1153">
        <f t="shared" si="46"/>
        <v>0</v>
      </c>
      <c r="B733" s="1324"/>
      <c r="C733" s="1324"/>
      <c r="D733" s="1225"/>
      <c r="E733" s="1226"/>
      <c r="F733" s="1227" t="s">
        <v>3691</v>
      </c>
      <c r="G733" s="1227"/>
      <c r="H733" s="1862"/>
      <c r="I733" s="1259">
        <f t="shared" si="44"/>
        <v>0</v>
      </c>
      <c r="J733" s="1171"/>
      <c r="K733" s="1171"/>
      <c r="L733" s="1203"/>
      <c r="M733" s="975" t="s">
        <v>1264</v>
      </c>
    </row>
    <row r="734" spans="1:13" s="1083" customFormat="1" ht="25.2" hidden="1" customHeight="1">
      <c r="A734" s="1153">
        <f t="shared" si="46"/>
        <v>0</v>
      </c>
      <c r="B734" s="1324"/>
      <c r="C734" s="1324"/>
      <c r="D734" s="1163">
        <f>IF(H734&gt;0,1,0)</f>
        <v>0</v>
      </c>
      <c r="E734" s="1164"/>
      <c r="F734" s="1165" t="s">
        <v>3710</v>
      </c>
      <c r="G734" s="1073" t="s">
        <v>2391</v>
      </c>
      <c r="H734" s="1260"/>
      <c r="I734" s="1260">
        <f t="shared" si="44"/>
        <v>0</v>
      </c>
      <c r="J734" s="1073"/>
      <c r="K734" s="1073"/>
      <c r="L734" s="1073"/>
      <c r="M734" s="975" t="s">
        <v>1264</v>
      </c>
    </row>
    <row r="735" spans="1:13" s="1083" customFormat="1" ht="25.2" hidden="1" customHeight="1">
      <c r="A735" s="1153">
        <f t="shared" si="46"/>
        <v>0</v>
      </c>
      <c r="B735" s="1324"/>
      <c r="C735" s="1324"/>
      <c r="D735" s="1228"/>
      <c r="E735" s="1229"/>
      <c r="F735" s="1366" t="s">
        <v>2285</v>
      </c>
      <c r="G735" s="1230"/>
      <c r="H735" s="1863"/>
      <c r="I735" s="1259">
        <f t="shared" si="44"/>
        <v>0</v>
      </c>
      <c r="J735" s="1231"/>
      <c r="K735" s="1231"/>
      <c r="L735" s="1196"/>
      <c r="M735" s="975" t="s">
        <v>1264</v>
      </c>
    </row>
    <row r="736" spans="1:13" s="1083" customFormat="1" ht="25.2" hidden="1" customHeight="1">
      <c r="A736" s="1153">
        <f t="shared" si="46"/>
        <v>0</v>
      </c>
      <c r="B736" s="1154" t="s">
        <v>1590</v>
      </c>
      <c r="C736" s="1154"/>
      <c r="D736" s="1166"/>
      <c r="E736" s="1079" t="str">
        <f>VLOOKUP($B736,DG!A:D,DG!$B$2,)</f>
        <v>05.6100</v>
      </c>
      <c r="F736" s="1080" t="str">
        <f>VLOOKUP($B736,DG!A:D,DG!$C$2,)</f>
        <v>Giá chùm treo máy biến áp 3x37,5</v>
      </c>
      <c r="G736" s="1079" t="str">
        <f>VLOOKUP($B736,DG!A:D,DG!$D$2,)</f>
        <v>cái</v>
      </c>
      <c r="H736" s="1856">
        <f>H734*41</f>
        <v>0</v>
      </c>
      <c r="I736" s="1259">
        <f t="shared" si="44"/>
        <v>0</v>
      </c>
      <c r="J736" s="1108"/>
      <c r="K736" s="1108"/>
      <c r="L736" s="1082"/>
      <c r="M736" s="975" t="s">
        <v>1264</v>
      </c>
    </row>
    <row r="737" spans="1:14" s="1083" customFormat="1" ht="25.2" hidden="1" customHeight="1">
      <c r="A737" s="1153">
        <f t="shared" si="46"/>
        <v>0</v>
      </c>
      <c r="B737" s="1324" t="s">
        <v>1790</v>
      </c>
      <c r="C737" s="1324"/>
      <c r="D737" s="1166"/>
      <c r="E737" s="1167"/>
      <c r="F737" s="1080" t="str">
        <f>VLOOKUP($B737,DG!A:D,DG!$C$2,)</f>
        <v>Boulon 16x50+ 2 long đền vuông D18-50x50x3/Zn</v>
      </c>
      <c r="G737" s="1079" t="str">
        <f>VLOOKUP($B737,DG!A:D,DG!$D$2,)</f>
        <v>bộ</v>
      </c>
      <c r="H737" s="1856">
        <f>6*H734</f>
        <v>0</v>
      </c>
      <c r="I737" s="1259">
        <f t="shared" si="44"/>
        <v>0</v>
      </c>
      <c r="J737" s="1108"/>
      <c r="K737" s="1108"/>
      <c r="L737" s="1082"/>
      <c r="M737" s="975" t="s">
        <v>1264</v>
      </c>
    </row>
    <row r="738" spans="1:14" s="1083" customFormat="1" ht="25.2" hidden="1" customHeight="1">
      <c r="A738" s="1153">
        <f t="shared" si="46"/>
        <v>0</v>
      </c>
      <c r="B738" s="1324" t="s">
        <v>1613</v>
      </c>
      <c r="C738" s="1324"/>
      <c r="D738" s="1166"/>
      <c r="E738" s="1167"/>
      <c r="F738" s="1080" t="str">
        <f>VLOOKUP($B738,DG!A:D,DG!$C$2,)</f>
        <v>Boulon 16x300+ 2 long đền vuông D18-50x50x3/Zn</v>
      </c>
      <c r="G738" s="1079" t="str">
        <f>VLOOKUP($B738,DG!A:D,DG!$D$2,)</f>
        <v>bộ</v>
      </c>
      <c r="H738" s="1856">
        <f>2*H734</f>
        <v>0</v>
      </c>
      <c r="I738" s="1259">
        <f t="shared" si="44"/>
        <v>0</v>
      </c>
      <c r="J738" s="1108"/>
      <c r="K738" s="1108"/>
      <c r="L738" s="1082"/>
      <c r="M738" s="975" t="s">
        <v>1264</v>
      </c>
    </row>
    <row r="739" spans="1:14" s="1083" customFormat="1" ht="25.2" hidden="1" customHeight="1">
      <c r="A739" s="1153">
        <f t="shared" si="46"/>
        <v>0</v>
      </c>
      <c r="B739" s="1324" t="s">
        <v>516</v>
      </c>
      <c r="C739" s="1324"/>
      <c r="D739" s="1166"/>
      <c r="E739" s="1167"/>
      <c r="F739" s="1162" t="str">
        <f>VLOOKUP($B739,DG!A:D,DG!$C$2,)</f>
        <v>Lắp xà đỡ ≤ 50kg</v>
      </c>
      <c r="G739" s="1079" t="str">
        <f>VLOOKUP($B739,DG!A:D,DG!$D$2,)</f>
        <v>bộ</v>
      </c>
      <c r="H739" s="1856">
        <f>H734</f>
        <v>0</v>
      </c>
      <c r="I739" s="1259">
        <f t="shared" si="44"/>
        <v>0</v>
      </c>
      <c r="J739" s="1108"/>
      <c r="K739" s="1108"/>
      <c r="L739" s="1082"/>
      <c r="M739" s="975" t="s">
        <v>1264</v>
      </c>
    </row>
    <row r="740" spans="1:14" s="1083" customFormat="1" ht="25.2" hidden="1" customHeight="1">
      <c r="A740" s="1153">
        <f t="shared" si="46"/>
        <v>0</v>
      </c>
      <c r="B740" s="1324"/>
      <c r="C740" s="1324"/>
      <c r="D740" s="1084">
        <f>IF(H740&gt;0,D734+1,D734)</f>
        <v>0</v>
      </c>
      <c r="E740" s="1232"/>
      <c r="F740" s="1233" t="s">
        <v>3692</v>
      </c>
      <c r="G740" s="1234" t="s">
        <v>2391</v>
      </c>
      <c r="H740" s="1864"/>
      <c r="I740" s="1260">
        <f t="shared" si="44"/>
        <v>0</v>
      </c>
      <c r="J740" s="1087"/>
      <c r="K740" s="1087"/>
      <c r="L740" s="1087"/>
      <c r="M740" s="975" t="s">
        <v>1264</v>
      </c>
    </row>
    <row r="741" spans="1:14" s="1083" customFormat="1" ht="25.2" hidden="1" customHeight="1">
      <c r="A741" s="1153">
        <f t="shared" si="46"/>
        <v>0</v>
      </c>
      <c r="B741" s="1324"/>
      <c r="C741" s="1324"/>
      <c r="D741" s="1166"/>
      <c r="E741" s="1185"/>
      <c r="F741" s="1364" t="s">
        <v>2285</v>
      </c>
      <c r="G741" s="1110"/>
      <c r="H741" s="1859"/>
      <c r="I741" s="1259">
        <f t="shared" si="44"/>
        <v>0</v>
      </c>
      <c r="J741" s="1108"/>
      <c r="K741" s="1108"/>
      <c r="L741" s="1110"/>
      <c r="M741" s="975" t="s">
        <v>1264</v>
      </c>
      <c r="N741" s="1187"/>
    </row>
    <row r="742" spans="1:14" s="1083" customFormat="1" ht="25.2" hidden="1" customHeight="1">
      <c r="A742" s="1153">
        <f t="shared" si="46"/>
        <v>0</v>
      </c>
      <c r="B742" s="1154" t="s">
        <v>115</v>
      </c>
      <c r="C742" s="1154"/>
      <c r="D742" s="1110"/>
      <c r="E742" s="1079">
        <f>VLOOKUP($B742,DG!A:D,DG!$B$2,)</f>
        <v>0</v>
      </c>
      <c r="F742" s="1080" t="str">
        <f>VLOOKUP($B742,DG!A:D,DG!$C$2,)</f>
        <v>Trụ BTLT 12m F350 dự ứng lực</v>
      </c>
      <c r="G742" s="1079" t="str">
        <f>VLOOKUP($B742,DG!A:D,DG!$D$2,)</f>
        <v>trụ</v>
      </c>
      <c r="H742" s="1859">
        <f>1*H740</f>
        <v>0</v>
      </c>
      <c r="I742" s="1259">
        <f t="shared" si="44"/>
        <v>0</v>
      </c>
      <c r="J742" s="1108"/>
      <c r="K742" s="1108"/>
      <c r="L742" s="1110"/>
      <c r="M742" s="975" t="s">
        <v>1264</v>
      </c>
      <c r="N742" s="1187"/>
    </row>
    <row r="743" spans="1:14" s="1083" customFormat="1" ht="25.2" hidden="1" customHeight="1">
      <c r="A743" s="1153">
        <f t="shared" si="46"/>
        <v>0</v>
      </c>
      <c r="B743" s="1154" t="s">
        <v>1818</v>
      </c>
      <c r="C743" s="1154"/>
      <c r="D743" s="1110"/>
      <c r="E743" s="1188"/>
      <c r="F743" s="1080" t="str">
        <f>VLOOKUP($B743,DG!A:D,DG!$C$2,)</f>
        <v>Vật liệu dựng trụ</v>
      </c>
      <c r="G743" s="1079" t="str">
        <f>VLOOKUP($B743,DG!A:D,DG!$D$2,)</f>
        <v>trụ</v>
      </c>
      <c r="H743" s="1859">
        <f>H742</f>
        <v>0</v>
      </c>
      <c r="I743" s="1259">
        <f t="shared" si="44"/>
        <v>0</v>
      </c>
      <c r="J743" s="1108"/>
      <c r="K743" s="1108"/>
      <c r="L743" s="1110"/>
      <c r="M743" s="975" t="s">
        <v>1264</v>
      </c>
      <c r="N743" s="1187"/>
    </row>
    <row r="744" spans="1:14" s="1083" customFormat="1" ht="25.2" hidden="1" customHeight="1">
      <c r="A744" s="1153">
        <f t="shared" si="46"/>
        <v>0</v>
      </c>
      <c r="B744" s="1154" t="s">
        <v>2132</v>
      </c>
      <c r="C744" s="1154"/>
      <c r="D744" s="1110"/>
      <c r="E744" s="1188"/>
      <c r="F744" s="1080" t="str">
        <f>VLOOKUP($B744,DG!A:D,DG!$C$2,)</f>
        <v>Dựng trụ BTLT 12m trong TBA bằng thủ công + cơ giới</v>
      </c>
      <c r="G744" s="1079" t="str">
        <f>VLOOKUP($B744,DG!A:D,DG!$D$2,)</f>
        <v>trụ</v>
      </c>
      <c r="H744" s="1859">
        <f>H742</f>
        <v>0</v>
      </c>
      <c r="I744" s="1259">
        <f t="shared" si="44"/>
        <v>0</v>
      </c>
      <c r="J744" s="1108"/>
      <c r="K744" s="1108"/>
      <c r="L744" s="1110"/>
      <c r="M744" s="975" t="s">
        <v>1264</v>
      </c>
      <c r="N744" s="1187"/>
    </row>
    <row r="745" spans="1:14" s="1083" customFormat="1" ht="25.2" hidden="1" customHeight="1">
      <c r="A745" s="1153">
        <f t="shared" si="46"/>
        <v>0</v>
      </c>
      <c r="B745" s="1324"/>
      <c r="C745" s="1324"/>
      <c r="D745" s="1084">
        <f>IF(H745&gt;0,D740+1,D740)</f>
        <v>0</v>
      </c>
      <c r="E745" s="1232"/>
      <c r="F745" s="1233" t="s">
        <v>2358</v>
      </c>
      <c r="G745" s="1234" t="s">
        <v>2391</v>
      </c>
      <c r="H745" s="1865">
        <f>H740</f>
        <v>0</v>
      </c>
      <c r="I745" s="1260">
        <f t="shared" si="44"/>
        <v>0</v>
      </c>
      <c r="J745" s="1087"/>
      <c r="K745" s="1087"/>
      <c r="L745" s="1087"/>
      <c r="M745" s="975" t="s">
        <v>1264</v>
      </c>
    </row>
    <row r="746" spans="1:14" s="1083" customFormat="1" ht="25.2" hidden="1" customHeight="1">
      <c r="A746" s="1153">
        <f t="shared" si="46"/>
        <v>0</v>
      </c>
      <c r="B746" s="1324"/>
      <c r="C746" s="1324"/>
      <c r="D746" s="1166"/>
      <c r="E746" s="1185"/>
      <c r="F746" s="1364" t="s">
        <v>2285</v>
      </c>
      <c r="G746" s="1110"/>
      <c r="H746" s="1859"/>
      <c r="I746" s="1259">
        <f t="shared" si="44"/>
        <v>0</v>
      </c>
      <c r="J746" s="1108"/>
      <c r="K746" s="1108"/>
      <c r="L746" s="1110"/>
      <c r="M746" s="975" t="s">
        <v>1264</v>
      </c>
      <c r="N746" s="1187"/>
    </row>
    <row r="747" spans="1:14" s="1083" customFormat="1" ht="25.2" hidden="1" customHeight="1">
      <c r="A747" s="1153">
        <f t="shared" si="46"/>
        <v>0</v>
      </c>
      <c r="B747" s="1331" t="s">
        <v>636</v>
      </c>
      <c r="C747" s="1331"/>
      <c r="D747" s="1110"/>
      <c r="E747" s="1079" t="str">
        <f>VLOOKUP($B747,DG!A:D,DG!$B$2,)</f>
        <v>04.4001</v>
      </c>
      <c r="F747" s="1080" t="str">
        <f>VLOOKUP($B747,DG!A:D,DG!$C$2,)</f>
        <v>Đà cản BTCT 1,2m</v>
      </c>
      <c r="G747" s="1079" t="str">
        <f>VLOOKUP($B747,DG!A:D,DG!$D$2,)</f>
        <v>cái</v>
      </c>
      <c r="H747" s="1859">
        <f>1*H745</f>
        <v>0</v>
      </c>
      <c r="I747" s="1259">
        <f t="shared" si="44"/>
        <v>0</v>
      </c>
      <c r="J747" s="1108"/>
      <c r="K747" s="1108"/>
      <c r="L747" s="1110"/>
      <c r="M747" s="975" t="s">
        <v>1264</v>
      </c>
      <c r="N747" s="1187"/>
    </row>
    <row r="748" spans="1:14" s="1083" customFormat="1" ht="25.2" hidden="1" customHeight="1">
      <c r="A748" s="1153">
        <f t="shared" si="46"/>
        <v>0</v>
      </c>
      <c r="B748" s="1331" t="s">
        <v>566</v>
      </c>
      <c r="C748" s="1331"/>
      <c r="D748" s="1110"/>
      <c r="E748" s="1079">
        <f>VLOOKUP($B748,DG!A:D,DG!$B$2,)</f>
        <v>0</v>
      </c>
      <c r="F748" s="1080" t="str">
        <f>VLOOKUP($B748,DG!A:D,DG!$C$2,)</f>
        <v>Boulon 22x650+ 2 long đền vuông D24-50x50x3/Zn</v>
      </c>
      <c r="G748" s="1079" t="str">
        <f>VLOOKUP($B748,DG!A:D,DG!$D$2,)</f>
        <v>bộ</v>
      </c>
      <c r="H748" s="1859">
        <f>H745</f>
        <v>0</v>
      </c>
      <c r="I748" s="1259">
        <f t="shared" si="44"/>
        <v>0</v>
      </c>
      <c r="J748" s="1108"/>
      <c r="K748" s="1108"/>
      <c r="L748" s="1110"/>
      <c r="M748" s="975" t="s">
        <v>1264</v>
      </c>
      <c r="N748" s="1187"/>
    </row>
    <row r="749" spans="1:14" s="1083" customFormat="1" ht="25.2" hidden="1" customHeight="1">
      <c r="A749" s="1153">
        <f t="shared" si="46"/>
        <v>0</v>
      </c>
      <c r="B749" s="1331" t="str">
        <f>IF(chitiet!G5=1,"MDD1",IF(chitiet!G5=2,"MDD2",IF(chitiet!G5=3,"MDD3",IF(chitiet!G5=4,"MDD4"))))</f>
        <v>MDD3</v>
      </c>
      <c r="C749" s="1331"/>
      <c r="D749" s="1110"/>
      <c r="E749" s="1079" t="str">
        <f>VLOOKUP($B749,DG!A:D,DG!$B$2,)</f>
        <v>03.1013</v>
      </c>
      <c r="F749" s="1080" t="str">
        <f>VLOOKUP($B749,DG!A:D,DG!$C$2,)</f>
        <v>Đào hố móng đất cấp 3 sâu &gt;1m</v>
      </c>
      <c r="G749" s="1079" t="str">
        <f>VLOOKUP($B749,DG!A:D,DG!$D$2,)</f>
        <v>m3</v>
      </c>
      <c r="H749" s="1859">
        <f>H745*1.45</f>
        <v>0</v>
      </c>
      <c r="I749" s="1259">
        <f t="shared" ref="I749:I812" si="47">IF(M749=$M$23,H749+J749-K749,0)</f>
        <v>0</v>
      </c>
      <c r="J749" s="1108"/>
      <c r="K749" s="1108"/>
      <c r="L749" s="1110"/>
      <c r="M749" s="975" t="s">
        <v>1264</v>
      </c>
      <c r="N749" s="1187"/>
    </row>
    <row r="750" spans="1:14" s="1083" customFormat="1" ht="25.2" hidden="1" customHeight="1">
      <c r="A750" s="1153">
        <f t="shared" si="46"/>
        <v>0</v>
      </c>
      <c r="B750" s="1331" t="str">
        <f>IF(chitiet!G5=1,"MDAP1",IF(chitiet!G5=2,"MDAP2",IF(chitiet!G5=3,"MDAP3",IF(chitiet!G5=4,"MDAP4"))))</f>
        <v>MDAP3</v>
      </c>
      <c r="C750" s="1331"/>
      <c r="D750" s="1172"/>
      <c r="E750" s="1096" t="str">
        <f>VLOOKUP($B750,DG!A:D,DG!$B$2,)</f>
        <v>03.4113</v>
      </c>
      <c r="F750" s="1097" t="str">
        <f>VLOOKUP($B750,DG!A:D,DG!$C$2,)</f>
        <v>Đắp đất hố móng, độ chặt k=0,95</v>
      </c>
      <c r="G750" s="1096" t="str">
        <f>VLOOKUP($B750,DG!A:D,DG!$D$2,)</f>
        <v>m3</v>
      </c>
      <c r="H750" s="1859">
        <f>H745*1.37</f>
        <v>0</v>
      </c>
      <c r="I750" s="1259">
        <f t="shared" si="47"/>
        <v>0</v>
      </c>
      <c r="J750" s="1171"/>
      <c r="K750" s="1171"/>
      <c r="L750" s="1172"/>
      <c r="M750" s="975" t="s">
        <v>1264</v>
      </c>
      <c r="N750" s="1187"/>
    </row>
    <row r="751" spans="1:14" s="1083" customFormat="1" ht="25.2" hidden="1" customHeight="1">
      <c r="A751" s="1153">
        <f t="shared" si="46"/>
        <v>0</v>
      </c>
      <c r="B751" s="1324"/>
      <c r="C751" s="1324"/>
      <c r="D751" s="1163">
        <f>IF(H751&gt;0,D745+1,D745)</f>
        <v>0</v>
      </c>
      <c r="E751" s="1168"/>
      <c r="F751" s="1169" t="s">
        <v>4370</v>
      </c>
      <c r="G751" s="1073" t="s">
        <v>2391</v>
      </c>
      <c r="H751" s="1866">
        <f>H734</f>
        <v>0</v>
      </c>
      <c r="I751" s="1260">
        <f t="shared" si="47"/>
        <v>0</v>
      </c>
      <c r="J751" s="1073"/>
      <c r="K751" s="1073"/>
      <c r="L751" s="1073"/>
      <c r="M751" s="975" t="s">
        <v>1264</v>
      </c>
    </row>
    <row r="752" spans="1:14" s="1083" customFormat="1" ht="25.2" hidden="1" customHeight="1">
      <c r="A752" s="1153">
        <f t="shared" si="46"/>
        <v>0</v>
      </c>
      <c r="B752" s="1324"/>
      <c r="C752" s="1324"/>
      <c r="D752" s="1228"/>
      <c r="E752" s="1229"/>
      <c r="F752" s="1366" t="s">
        <v>2285</v>
      </c>
      <c r="G752" s="1230"/>
      <c r="H752" s="1856"/>
      <c r="I752" s="1259">
        <f t="shared" si="47"/>
        <v>0</v>
      </c>
      <c r="J752" s="1231"/>
      <c r="K752" s="1231"/>
      <c r="L752" s="1196"/>
      <c r="M752" s="975" t="s">
        <v>1264</v>
      </c>
    </row>
    <row r="753" spans="1:13" s="1083" customFormat="1" ht="25.2" hidden="1" customHeight="1">
      <c r="A753" s="1153">
        <f t="shared" si="46"/>
        <v>0</v>
      </c>
      <c r="B753" s="1154" t="s">
        <v>4358</v>
      </c>
      <c r="C753" s="1154"/>
      <c r="D753" s="1166"/>
      <c r="E753" s="1079">
        <f>VLOOKUP($B753,DG!A:D,DG!$B$2,)</f>
        <v>0</v>
      </c>
      <c r="F753" s="1080" t="str">
        <f>VLOOKUP($B753,DG!A:D,DG!$C$2,)</f>
        <v>Xà composite 110x800x5 dài 2,4m</v>
      </c>
      <c r="G753" s="1079" t="str">
        <f>VLOOKUP($B753,DG!A:D,DG!$D$2,)</f>
        <v>cái</v>
      </c>
      <c r="H753" s="1856">
        <f>H751*9.02*(2.2+4*0.07)</f>
        <v>0</v>
      </c>
      <c r="I753" s="1259">
        <f t="shared" si="47"/>
        <v>0</v>
      </c>
      <c r="J753" s="1108"/>
      <c r="K753" s="1108"/>
      <c r="L753" s="1082"/>
      <c r="M753" s="975" t="s">
        <v>1264</v>
      </c>
    </row>
    <row r="754" spans="1:13" s="1083" customFormat="1" ht="25.2" hidden="1" customHeight="1">
      <c r="A754" s="1153">
        <f t="shared" si="46"/>
        <v>0</v>
      </c>
      <c r="B754" s="1154" t="s">
        <v>365</v>
      </c>
      <c r="C754" s="1154"/>
      <c r="D754" s="1166"/>
      <c r="E754" s="1079">
        <f>VLOOKUP($B754,DG!A:D,DG!$B$2,)</f>
        <v>0</v>
      </c>
      <c r="F754" s="1080" t="str">
        <f>VLOOKUP($B754,DG!A:D,DG!$C$2,)</f>
        <v>Chống composite 40x10x920</v>
      </c>
      <c r="G754" s="1079" t="str">
        <f>VLOOKUP($B754,DG!A:D,DG!$D$2,)</f>
        <v>cái</v>
      </c>
      <c r="H754" s="1856">
        <f>H751*2*3.77*0.81</f>
        <v>0</v>
      </c>
      <c r="I754" s="1259">
        <f t="shared" si="47"/>
        <v>0</v>
      </c>
      <c r="J754" s="1108"/>
      <c r="K754" s="1108"/>
      <c r="L754" s="1082"/>
      <c r="M754" s="975" t="s">
        <v>1264</v>
      </c>
    </row>
    <row r="755" spans="1:13" s="1083" customFormat="1" ht="25.2" hidden="1" customHeight="1">
      <c r="A755" s="1153">
        <f t="shared" si="46"/>
        <v>0</v>
      </c>
      <c r="B755" s="1154" t="s">
        <v>1079</v>
      </c>
      <c r="C755" s="1154"/>
      <c r="D755" s="1166"/>
      <c r="E755" s="1079">
        <f>VLOOKUP($B755,DG!A:D,DG!$B$2,)</f>
        <v>0</v>
      </c>
      <c r="F755" s="1080" t="str">
        <f>VLOOKUP($B755,DG!A:D,DG!$C$2,)</f>
        <v>Boulon 16x350+ 2 long đền vuông D18-50x50x3/Zn</v>
      </c>
      <c r="G755" s="1079" t="str">
        <f>VLOOKUP($B755,DG!A:D,DG!$D$2,)</f>
        <v>bộ</v>
      </c>
      <c r="H755" s="1856">
        <f>H751*3</f>
        <v>0</v>
      </c>
      <c r="I755" s="1259">
        <f t="shared" si="47"/>
        <v>0</v>
      </c>
      <c r="J755" s="1108"/>
      <c r="K755" s="1108"/>
      <c r="L755" s="1082"/>
      <c r="M755" s="975" t="s">
        <v>1264</v>
      </c>
    </row>
    <row r="756" spans="1:13" s="1083" customFormat="1" ht="25.2" hidden="1" customHeight="1">
      <c r="A756" s="1153">
        <f t="shared" si="46"/>
        <v>0</v>
      </c>
      <c r="B756" s="1154" t="s">
        <v>244</v>
      </c>
      <c r="C756" s="1154"/>
      <c r="D756" s="1166"/>
      <c r="E756" s="1079">
        <f>VLOOKUP($B756,DG!A:D,DG!$B$2,)</f>
        <v>0</v>
      </c>
      <c r="F756" s="1080" t="str">
        <f>VLOOKUP($B756,DG!A:D,DG!$C$2,)</f>
        <v>Boulon 16x150+ 2 long đền vuông D18-50x50x3/Zn</v>
      </c>
      <c r="G756" s="1079" t="str">
        <f>VLOOKUP($B756,DG!A:D,DG!$D$2,)</f>
        <v>bộ</v>
      </c>
      <c r="H756" s="1856">
        <f>4*H751</f>
        <v>0</v>
      </c>
      <c r="I756" s="1259">
        <f t="shared" si="47"/>
        <v>0</v>
      </c>
      <c r="J756" s="1108"/>
      <c r="K756" s="1108"/>
      <c r="L756" s="1082"/>
      <c r="M756" s="975" t="s">
        <v>1264</v>
      </c>
    </row>
    <row r="757" spans="1:13" s="1083" customFormat="1" ht="25.2" hidden="1" customHeight="1">
      <c r="A757" s="1153">
        <f t="shared" si="46"/>
        <v>0</v>
      </c>
      <c r="B757" s="1328" t="s">
        <v>2277</v>
      </c>
      <c r="C757" s="1328"/>
      <c r="D757" s="1166"/>
      <c r="E757" s="1079">
        <f>VLOOKUP($B757,DG!A:D,DG!$B$2,)</f>
        <v>0</v>
      </c>
      <c r="F757" s="1080" t="str">
        <f>VLOOKUP($B757,DG!A:D,DG!$C$2,)</f>
        <v>Bass LL bắt FCO, LA</v>
      </c>
      <c r="G757" s="1079" t="str">
        <f>VLOOKUP($B757,DG!A:D,DG!$D$2,)</f>
        <v>bộ</v>
      </c>
      <c r="H757" s="1856">
        <f>2*H751</f>
        <v>0</v>
      </c>
      <c r="I757" s="1259">
        <f t="shared" si="47"/>
        <v>0</v>
      </c>
      <c r="J757" s="1108"/>
      <c r="K757" s="1108"/>
      <c r="L757" s="1082"/>
      <c r="M757" s="975" t="s">
        <v>1264</v>
      </c>
    </row>
    <row r="758" spans="1:13" s="1083" customFormat="1" ht="25.2" hidden="1" customHeight="1">
      <c r="A758" s="1153">
        <f t="shared" si="46"/>
        <v>0</v>
      </c>
      <c r="B758" s="1324" t="s">
        <v>516</v>
      </c>
      <c r="C758" s="1324"/>
      <c r="D758" s="1170"/>
      <c r="E758" s="1096" t="str">
        <f>VLOOKUP($B758,DG!A:D,DG!$B$2,)</f>
        <v>05.6102</v>
      </c>
      <c r="F758" s="1162" t="str">
        <f>VLOOKUP($B758,DG!A:D,DG!$C$2,)</f>
        <v>Lắp xà đỡ ≤ 50kg</v>
      </c>
      <c r="G758" s="1096" t="str">
        <f>VLOOKUP($B758,DG!A:D,DG!$D$2,)</f>
        <v>bộ</v>
      </c>
      <c r="H758" s="1856">
        <f>H751</f>
        <v>0</v>
      </c>
      <c r="I758" s="1259">
        <f t="shared" si="47"/>
        <v>0</v>
      </c>
      <c r="J758" s="1171"/>
      <c r="K758" s="1171"/>
      <c r="L758" s="1098"/>
      <c r="M758" s="975" t="s">
        <v>1264</v>
      </c>
    </row>
    <row r="759" spans="1:13" s="1083" customFormat="1" ht="25.2" hidden="1" customHeight="1">
      <c r="A759" s="1153">
        <f t="shared" si="46"/>
        <v>0</v>
      </c>
      <c r="B759" s="1324"/>
      <c r="C759" s="1324"/>
      <c r="D759" s="1163">
        <f>IF(H759&gt;0,D751+1,D751)</f>
        <v>0</v>
      </c>
      <c r="E759" s="1164"/>
      <c r="F759" s="1165" t="s">
        <v>4403</v>
      </c>
      <c r="G759" s="1073" t="s">
        <v>2391</v>
      </c>
      <c r="H759" s="1866"/>
      <c r="I759" s="1260">
        <f t="shared" si="47"/>
        <v>0</v>
      </c>
      <c r="J759" s="1073"/>
      <c r="K759" s="1073"/>
      <c r="L759" s="1073"/>
      <c r="M759" s="975" t="s">
        <v>1264</v>
      </c>
    </row>
    <row r="760" spans="1:13" s="1083" customFormat="1" ht="25.2" hidden="1" customHeight="1">
      <c r="A760" s="1153">
        <f t="shared" si="46"/>
        <v>0</v>
      </c>
      <c r="B760" s="1324"/>
      <c r="C760" s="1324"/>
      <c r="D760" s="1228"/>
      <c r="E760" s="1235"/>
      <c r="F760" s="1366" t="s">
        <v>2285</v>
      </c>
      <c r="G760" s="1230"/>
      <c r="H760" s="1856"/>
      <c r="I760" s="1259">
        <f t="shared" si="47"/>
        <v>0</v>
      </c>
      <c r="J760" s="1231"/>
      <c r="K760" s="1231"/>
      <c r="L760" s="1196"/>
      <c r="M760" s="975" t="s">
        <v>1264</v>
      </c>
    </row>
    <row r="761" spans="1:13" s="1083" customFormat="1" ht="25.2" hidden="1" customHeight="1">
      <c r="A761" s="1153">
        <f t="shared" si="46"/>
        <v>0</v>
      </c>
      <c r="B761" s="1324" t="s">
        <v>1033</v>
      </c>
      <c r="C761" s="1324"/>
      <c r="D761" s="1166"/>
      <c r="E761" s="1079"/>
      <c r="F761" s="1080" t="str">
        <f>VLOOKUP($B761,DG!A:D,DG!$C$2,)</f>
        <v>Cáp đồng trần M25mm2</v>
      </c>
      <c r="G761" s="1079" t="str">
        <f>VLOOKUP($B761,DG!A:D,DG!$D$2,)</f>
        <v>kg</v>
      </c>
      <c r="H761" s="1859">
        <f>H759*0.224*30</f>
        <v>0</v>
      </c>
      <c r="I761" s="1259">
        <f t="shared" si="47"/>
        <v>0</v>
      </c>
      <c r="J761" s="1108"/>
      <c r="K761" s="1108"/>
      <c r="L761" s="1082"/>
      <c r="M761" s="975" t="s">
        <v>1264</v>
      </c>
    </row>
    <row r="762" spans="1:13" s="1083" customFormat="1" ht="25.2" hidden="1" customHeight="1">
      <c r="A762" s="1153">
        <f t="shared" si="46"/>
        <v>0</v>
      </c>
      <c r="B762" s="1154" t="s">
        <v>1511</v>
      </c>
      <c r="C762" s="1154"/>
      <c r="D762" s="1166"/>
      <c r="E762" s="1079">
        <f>VLOOKUP($B762,DG!A:D,DG!$B$2,)</f>
        <v>0</v>
      </c>
      <c r="F762" s="1080" t="str">
        <f>VLOOKUP($B762,DG!A:D,DG!$C$2,)</f>
        <v>Cọc tiếp đất Þ 16- 2,4m + kẹp cọc mạ đồng</v>
      </c>
      <c r="G762" s="1079" t="str">
        <f>VLOOKUP($B762,DG!A:D,DG!$D$2,)</f>
        <v>bộ</v>
      </c>
      <c r="H762" s="1859"/>
      <c r="I762" s="1259">
        <f t="shared" si="47"/>
        <v>0</v>
      </c>
      <c r="J762" s="1108"/>
      <c r="K762" s="1108"/>
      <c r="L762" s="1082"/>
      <c r="M762" s="975" t="s">
        <v>1264</v>
      </c>
    </row>
    <row r="763" spans="1:13" s="1083" customFormat="1" ht="25.2" hidden="1" customHeight="1">
      <c r="A763" s="1153">
        <f t="shared" si="46"/>
        <v>0</v>
      </c>
      <c r="B763" s="1154" t="s">
        <v>1493</v>
      </c>
      <c r="C763" s="1154"/>
      <c r="D763" s="1110"/>
      <c r="E763" s="1079" t="str">
        <f>VLOOKUP($B763,DG!A:D,DG!$B$2,)</f>
        <v>07.2403</v>
      </c>
      <c r="F763" s="1080" t="str">
        <f>VLOOKUP($B763,DG!A:D,DG!$C$2,)</f>
        <v xml:space="preserve">Ống PVC D21x1,6mm </v>
      </c>
      <c r="G763" s="1079" t="str">
        <f>VLOOKUP($B763,DG!A:D,DG!$D$2,)</f>
        <v>m</v>
      </c>
      <c r="H763" s="1856">
        <f>6*H759</f>
        <v>0</v>
      </c>
      <c r="I763" s="1259">
        <f t="shared" si="47"/>
        <v>0</v>
      </c>
      <c r="J763" s="1108"/>
      <c r="K763" s="1108"/>
      <c r="L763" s="1082"/>
      <c r="M763" s="975" t="s">
        <v>1264</v>
      </c>
    </row>
    <row r="764" spans="1:13" s="1083" customFormat="1" ht="25.2" hidden="1" customHeight="1">
      <c r="A764" s="1153">
        <f t="shared" si="46"/>
        <v>0</v>
      </c>
      <c r="B764" s="1329" t="s">
        <v>1582</v>
      </c>
      <c r="C764" s="1329"/>
      <c r="D764" s="1166"/>
      <c r="E764" s="1079">
        <f>VLOOKUP($B764,DG!A:D,DG!$B$2,)</f>
        <v>0</v>
      </c>
      <c r="F764" s="1080" t="str">
        <f>VLOOKUP($B764,DG!A:D,DG!$C$2,)</f>
        <v>Kẹp ép WR cỡ dây 50mm2</v>
      </c>
      <c r="G764" s="1079" t="str">
        <f>VLOOKUP($B764,DG!A:D,DG!$D$2,)</f>
        <v>cái</v>
      </c>
      <c r="H764" s="1856">
        <f>H759*2</f>
        <v>0</v>
      </c>
      <c r="I764" s="1259">
        <f t="shared" si="47"/>
        <v>0</v>
      </c>
      <c r="J764" s="1108"/>
      <c r="K764" s="1108"/>
      <c r="L764" s="1082"/>
      <c r="M764" s="975" t="s">
        <v>1264</v>
      </c>
    </row>
    <row r="765" spans="1:13" s="1083" customFormat="1" ht="25.2" hidden="1" customHeight="1">
      <c r="A765" s="1153">
        <f t="shared" si="46"/>
        <v>0</v>
      </c>
      <c r="B765" s="1330" t="s">
        <v>1062</v>
      </c>
      <c r="C765" s="1330"/>
      <c r="D765" s="1166"/>
      <c r="E765" s="1079" t="str">
        <f>VLOOKUP($B765,DG!A:D,DG!$B$2,)</f>
        <v>04.3107</v>
      </c>
      <c r="F765" s="1080" t="str">
        <f>VLOOKUP($B765,DG!A:D,DG!$C$2,)</f>
        <v>Ốc siết cáp cỡ 25mm2</v>
      </c>
      <c r="G765" s="1079" t="str">
        <f>VLOOKUP($B765,DG!A:D,DG!$D$2,)</f>
        <v>cái</v>
      </c>
      <c r="H765" s="1856">
        <f>2*H759</f>
        <v>0</v>
      </c>
      <c r="I765" s="1259">
        <f t="shared" si="47"/>
        <v>0</v>
      </c>
      <c r="J765" s="1108"/>
      <c r="K765" s="1108"/>
      <c r="L765" s="1082"/>
      <c r="M765" s="975" t="s">
        <v>1264</v>
      </c>
    </row>
    <row r="766" spans="1:13" s="1083" customFormat="1" ht="25.2" hidden="1" customHeight="1">
      <c r="A766" s="1153">
        <f t="shared" si="46"/>
        <v>0</v>
      </c>
      <c r="B766" s="1154" t="s">
        <v>525</v>
      </c>
      <c r="C766" s="1154"/>
      <c r="D766" s="1166"/>
      <c r="E766" s="1079" t="str">
        <f>VLOOKUP($B766,DG!A:D,DG!$B$2,)</f>
        <v>06.3231</v>
      </c>
      <c r="F766" s="1080" t="str">
        <f>VLOOKUP($B766,DG!A:D,DG!$C$2,)</f>
        <v>Cổ dê kẹp ống PVC  21</v>
      </c>
      <c r="G766" s="1079" t="str">
        <f>VLOOKUP($B766,DG!A:D,DG!$D$2,)</f>
        <v>bộ</v>
      </c>
      <c r="H766" s="1856">
        <f>3*H759*0</f>
        <v>0</v>
      </c>
      <c r="I766" s="1259">
        <f t="shared" si="47"/>
        <v>0</v>
      </c>
      <c r="J766" s="1108"/>
      <c r="K766" s="1108"/>
      <c r="L766" s="1082"/>
      <c r="M766" s="975" t="s">
        <v>1264</v>
      </c>
    </row>
    <row r="767" spans="1:13" s="1083" customFormat="1" ht="25.2" hidden="1" customHeight="1">
      <c r="A767" s="1153">
        <f t="shared" si="46"/>
        <v>0</v>
      </c>
      <c r="B767" s="1329" t="s">
        <v>2189</v>
      </c>
      <c r="C767" s="1329"/>
      <c r="D767" s="1110"/>
      <c r="E767" s="1079" t="str">
        <f>VLOOKUP($B767,DG!A:D,DG!$B$2,)</f>
        <v>04.7002</v>
      </c>
      <c r="F767" s="1162" t="str">
        <f>VLOOKUP($B767,DG!A:D,DG!$C$2,)</f>
        <v>Kéo dây tiếp địa trong TBA</v>
      </c>
      <c r="G767" s="1079" t="str">
        <f>VLOOKUP($B767,DG!A:D,DG!$D$2,)</f>
        <v>mét</v>
      </c>
      <c r="H767" s="1859">
        <f>H759*$I$3</f>
        <v>0</v>
      </c>
      <c r="I767" s="1259">
        <f t="shared" si="47"/>
        <v>0</v>
      </c>
      <c r="J767" s="1108"/>
      <c r="K767" s="1108"/>
      <c r="L767" s="1082"/>
      <c r="M767" s="975" t="s">
        <v>1264</v>
      </c>
    </row>
    <row r="768" spans="1:13" s="1083" customFormat="1" ht="25.2" hidden="1" customHeight="1">
      <c r="A768" s="1153">
        <f t="shared" si="46"/>
        <v>0</v>
      </c>
      <c r="B768" s="1154" t="s">
        <v>902</v>
      </c>
      <c r="C768" s="1154"/>
      <c r="D768" s="1110"/>
      <c r="E768" s="1079" t="str">
        <f>VLOOKUP($B768,DG!A:D,DG!$B$2,)</f>
        <v>04.7001</v>
      </c>
      <c r="F768" s="1162" t="str">
        <f>VLOOKUP($B768,DG!A:D,DG!$C$2,)</f>
        <v>Đóng cọc tiếp địa trong TBA</v>
      </c>
      <c r="G768" s="1079" t="str">
        <f>VLOOKUP($B768,DG!A:D,DG!$D$2,)</f>
        <v>cọc</v>
      </c>
      <c r="H768" s="1859"/>
      <c r="I768" s="1259">
        <f t="shared" si="47"/>
        <v>0</v>
      </c>
      <c r="J768" s="1108"/>
      <c r="K768" s="1108"/>
      <c r="L768" s="1082"/>
      <c r="M768" s="975" t="s">
        <v>1264</v>
      </c>
    </row>
    <row r="769" spans="1:16" s="1083" customFormat="1" ht="25.2" hidden="1" customHeight="1">
      <c r="A769" s="1153">
        <f t="shared" si="46"/>
        <v>0</v>
      </c>
      <c r="B769" s="1154" t="s">
        <v>1588</v>
      </c>
      <c r="C769" s="1154"/>
      <c r="D769" s="1110"/>
      <c r="E769" s="1079">
        <f>VLOOKUP($B769,DG!A:D,DG!$B$2,)</f>
        <v>0</v>
      </c>
      <c r="F769" s="1080" t="str">
        <f>VLOOKUP($B769,DG!A:D,DG!$C$2,)</f>
        <v>Giếng tiếp địa khoan đất</v>
      </c>
      <c r="G769" s="1079" t="str">
        <f>VLOOKUP($B769,DG!A:D,DG!$D$2,)</f>
        <v>Cái</v>
      </c>
      <c r="H769" s="1859"/>
      <c r="I769" s="1259">
        <f t="shared" si="47"/>
        <v>0</v>
      </c>
      <c r="J769" s="1108"/>
      <c r="K769" s="1108"/>
      <c r="L769" s="1082"/>
      <c r="M769" s="975" t="s">
        <v>1264</v>
      </c>
    </row>
    <row r="770" spans="1:16" s="1083" customFormat="1" ht="25.2" hidden="1" customHeight="1">
      <c r="A770" s="1153">
        <f t="shared" si="46"/>
        <v>0</v>
      </c>
      <c r="B770" s="1329" t="s">
        <v>1055</v>
      </c>
      <c r="C770" s="1329"/>
      <c r="D770" s="1110"/>
      <c r="E770" s="1079" t="str">
        <f>VLOOKUP($B770,DG!A:D,DG!$B$2,)</f>
        <v>03.3123</v>
      </c>
      <c r="F770" s="1162" t="str">
        <f>VLOOKUP($B770,DG!A:D,DG!$C$2,)</f>
        <v>Đào rãnh tiếp địa đất cấp 3</v>
      </c>
      <c r="G770" s="1079" t="str">
        <f>VLOOKUP($B770,DG!A:D,DG!$D$2,)</f>
        <v>m3</v>
      </c>
      <c r="H770" s="1167"/>
      <c r="I770" s="1259">
        <f t="shared" si="47"/>
        <v>0</v>
      </c>
      <c r="J770" s="1108"/>
      <c r="K770" s="1108"/>
      <c r="L770" s="1082"/>
      <c r="M770" s="975" t="s">
        <v>1264</v>
      </c>
    </row>
    <row r="771" spans="1:16" s="1083" customFormat="1" ht="25.2" hidden="1" customHeight="1">
      <c r="A771" s="1153">
        <f t="shared" si="46"/>
        <v>0</v>
      </c>
      <c r="B771" s="1154" t="s">
        <v>1056</v>
      </c>
      <c r="C771" s="1154"/>
      <c r="D771" s="1172"/>
      <c r="E771" s="1096" t="str">
        <f>VLOOKUP($B771,DG!A:D,DG!$B$2,)</f>
        <v>03.4123</v>
      </c>
      <c r="F771" s="1162" t="str">
        <f>VLOOKUP($B771,DG!A:D,DG!$C$2,)</f>
        <v>Đắp đất rãnh tiếp độ chặt k=0,85</v>
      </c>
      <c r="G771" s="1096" t="str">
        <f>VLOOKUP($B771,DG!A:D,DG!$D$2,)</f>
        <v>m3</v>
      </c>
      <c r="H771" s="1853"/>
      <c r="I771" s="1259">
        <f t="shared" si="47"/>
        <v>0</v>
      </c>
      <c r="J771" s="1171"/>
      <c r="K771" s="1171"/>
      <c r="L771" s="1098"/>
      <c r="M771" s="975" t="s">
        <v>1264</v>
      </c>
    </row>
    <row r="772" spans="1:16" s="1083" customFormat="1" ht="25.2" hidden="1" customHeight="1">
      <c r="A772" s="1153">
        <f t="shared" si="46"/>
        <v>0</v>
      </c>
      <c r="B772" s="1324"/>
      <c r="C772" s="1324"/>
      <c r="D772" s="1070">
        <f>IF(H772&gt;0,D759+1,D759)</f>
        <v>0</v>
      </c>
      <c r="E772" s="1071"/>
      <c r="F772" s="1072" t="s">
        <v>3718</v>
      </c>
      <c r="G772" s="1070" t="s">
        <v>2391</v>
      </c>
      <c r="H772" s="1260"/>
      <c r="I772" s="1260">
        <f t="shared" si="47"/>
        <v>0</v>
      </c>
      <c r="J772" s="1073"/>
      <c r="K772" s="1073"/>
      <c r="L772" s="1073"/>
      <c r="M772" s="975" t="s">
        <v>1264</v>
      </c>
    </row>
    <row r="773" spans="1:16" s="1083" customFormat="1" ht="25.2" hidden="1" customHeight="1">
      <c r="A773" s="1153">
        <f t="shared" si="46"/>
        <v>0</v>
      </c>
      <c r="B773" s="1324"/>
      <c r="C773" s="1324"/>
      <c r="D773" s="1228"/>
      <c r="E773" s="1235"/>
      <c r="F773" s="1366" t="s">
        <v>2285</v>
      </c>
      <c r="G773" s="1230"/>
      <c r="H773" s="1856"/>
      <c r="I773" s="1259">
        <f t="shared" si="47"/>
        <v>0</v>
      </c>
      <c r="J773" s="1231"/>
      <c r="K773" s="1231"/>
      <c r="L773" s="1196"/>
      <c r="M773" s="975" t="s">
        <v>1264</v>
      </c>
    </row>
    <row r="774" spans="1:16" s="1083" customFormat="1" ht="25.2" hidden="1" customHeight="1">
      <c r="A774" s="1153">
        <f t="shared" si="46"/>
        <v>0</v>
      </c>
      <c r="B774" s="1331" t="s">
        <v>617</v>
      </c>
      <c r="C774" s="1331"/>
      <c r="D774" s="1166"/>
      <c r="E774" s="1079" t="str">
        <f>VLOOKUP($B774,DG!A:D,DG!$B$2,)</f>
        <v>05.1102</v>
      </c>
      <c r="F774" s="1080" t="str">
        <f>VLOOKUP($B774,DG!A:D,DG!$C$2,)</f>
        <v>Vỏ tủ + khóa tủ</v>
      </c>
      <c r="G774" s="1079" t="str">
        <f>VLOOKUP($B774,DG!A:D,DG!$D$2,)</f>
        <v>cái</v>
      </c>
      <c r="H774" s="1856">
        <f>H772*0</f>
        <v>0</v>
      </c>
      <c r="I774" s="1259">
        <f t="shared" si="47"/>
        <v>0</v>
      </c>
      <c r="J774" s="1108"/>
      <c r="K774" s="1108"/>
      <c r="L774" s="1082"/>
      <c r="M774" s="975" t="s">
        <v>1264</v>
      </c>
    </row>
    <row r="775" spans="1:16" s="1083" customFormat="1" ht="25.2" hidden="1" customHeight="1">
      <c r="A775" s="1153">
        <f t="shared" si="46"/>
        <v>0</v>
      </c>
      <c r="B775" s="1324" t="s">
        <v>588</v>
      </c>
      <c r="C775" s="1324"/>
      <c r="D775" s="1166"/>
      <c r="E775" s="1167"/>
      <c r="F775" s="1080" t="str">
        <f>VLOOKUP($B775,DG!A:D,DG!$C$2,)</f>
        <v>Cổ dê bắt tủ</v>
      </c>
      <c r="G775" s="1079" t="str">
        <f>VLOOKUP($B775,DG!A:D,DG!$D$2,)</f>
        <v>bộ</v>
      </c>
      <c r="H775" s="1856">
        <f>2*H772*0</f>
        <v>0</v>
      </c>
      <c r="I775" s="1259">
        <f t="shared" si="47"/>
        <v>0</v>
      </c>
      <c r="J775" s="1108"/>
      <c r="K775" s="1108"/>
      <c r="L775" s="1082"/>
      <c r="M775" s="975" t="s">
        <v>1264</v>
      </c>
    </row>
    <row r="776" spans="1:16" s="1083" customFormat="1" ht="25.2" hidden="1" customHeight="1">
      <c r="A776" s="1153">
        <f t="shared" si="46"/>
        <v>0</v>
      </c>
      <c r="B776" s="1324" t="s">
        <v>2023</v>
      </c>
      <c r="C776" s="1324"/>
      <c r="D776" s="1166"/>
      <c r="E776" s="1167"/>
      <c r="F776" s="1080" t="str">
        <f>VLOOKUP($B776,DG!A:D,DG!$C$2,)</f>
        <v>Boulon 12x40+ 2 long đền vuông D14-50x50x3/Zn</v>
      </c>
      <c r="G776" s="1079" t="str">
        <f>VLOOKUP($B776,DG!A:D,DG!$D$2,)</f>
        <v>bộ</v>
      </c>
      <c r="H776" s="1856">
        <f>H772*4</f>
        <v>0</v>
      </c>
      <c r="I776" s="1259">
        <f t="shared" si="47"/>
        <v>0</v>
      </c>
      <c r="J776" s="1108"/>
      <c r="K776" s="1108"/>
      <c r="L776" s="1082"/>
      <c r="M776" s="975" t="s">
        <v>1264</v>
      </c>
    </row>
    <row r="777" spans="1:16" s="1083" customFormat="1" ht="25.2" hidden="1" customHeight="1">
      <c r="A777" s="1153">
        <f t="shared" si="46"/>
        <v>0</v>
      </c>
      <c r="B777" s="1324" t="s">
        <v>880</v>
      </c>
      <c r="C777" s="1324"/>
      <c r="D777" s="1166"/>
      <c r="E777" s="1167"/>
      <c r="F777" s="1080" t="str">
        <f>VLOOKUP($B777,DG!A:D,DG!$C$2,)</f>
        <v xml:space="preserve">Bakelit 550x450 dầy 10mm </v>
      </c>
      <c r="G777" s="1079" t="str">
        <f>VLOOKUP($B777,DG!A:D,DG!$D$2,)</f>
        <v>cái</v>
      </c>
      <c r="H777" s="1851"/>
      <c r="I777" s="1259">
        <f t="shared" si="47"/>
        <v>0</v>
      </c>
      <c r="J777" s="1108"/>
      <c r="K777" s="1108"/>
      <c r="L777" s="1082"/>
      <c r="M777" s="975" t="s">
        <v>1264</v>
      </c>
    </row>
    <row r="778" spans="1:16" s="1083" customFormat="1" ht="25.2" hidden="1" customHeight="1">
      <c r="A778" s="1153">
        <f t="shared" si="46"/>
        <v>0</v>
      </c>
      <c r="B778" s="1324"/>
      <c r="C778" s="1324"/>
      <c r="D778" s="1084">
        <f>IF(H778&gt;0,D772+1,D772)</f>
        <v>0</v>
      </c>
      <c r="E778" s="1085"/>
      <c r="F778" s="1086" t="s">
        <v>3725</v>
      </c>
      <c r="G778" s="1084" t="s">
        <v>2391</v>
      </c>
      <c r="H778" s="1867"/>
      <c r="I778" s="1260">
        <f t="shared" si="47"/>
        <v>0</v>
      </c>
      <c r="J778" s="1236"/>
      <c r="K778" s="1236"/>
      <c r="L778" s="1236"/>
      <c r="M778" s="975" t="s">
        <v>1264</v>
      </c>
    </row>
    <row r="779" spans="1:16" s="1083" customFormat="1" ht="25.2" hidden="1" customHeight="1">
      <c r="A779" s="1153">
        <f t="shared" si="46"/>
        <v>0</v>
      </c>
      <c r="B779" s="1324"/>
      <c r="C779" s="1324"/>
      <c r="D779" s="1078"/>
      <c r="E779" s="1088"/>
      <c r="F779" s="1367" t="s">
        <v>2285</v>
      </c>
      <c r="G779" s="1090"/>
      <c r="H779" s="1851"/>
      <c r="I779" s="1259">
        <f t="shared" si="47"/>
        <v>0</v>
      </c>
      <c r="J779" s="1108"/>
      <c r="K779" s="1108"/>
      <c r="L779" s="1082"/>
      <c r="M779" s="975" t="s">
        <v>1264</v>
      </c>
    </row>
    <row r="780" spans="1:16" s="1083" customFormat="1" ht="25.2" hidden="1" customHeight="1">
      <c r="A780" s="1153">
        <f t="shared" si="46"/>
        <v>0</v>
      </c>
      <c r="B780" s="1324" t="s">
        <v>653</v>
      </c>
      <c r="C780" s="1324"/>
      <c r="D780" s="1090"/>
      <c r="E780" s="1091">
        <f>VLOOKUP($B780,DG!A:D,DG!$B$2,)</f>
        <v>0</v>
      </c>
      <c r="F780" s="1092" t="str">
        <f>VLOOKUP($B780,DG!A:D,DG!$C$2,)</f>
        <v>Ximăng (PC40)</v>
      </c>
      <c r="G780" s="1091" t="str">
        <f>VLOOKUP($B780,DG!A:D,DG!$D$2,)</f>
        <v>kg</v>
      </c>
      <c r="H780" s="1851"/>
      <c r="I780" s="1259">
        <f t="shared" si="47"/>
        <v>0</v>
      </c>
      <c r="J780" s="1108"/>
      <c r="K780" s="1108"/>
      <c r="L780" s="1082"/>
      <c r="M780" s="975" t="s">
        <v>1264</v>
      </c>
    </row>
    <row r="781" spans="1:16" s="1083" customFormat="1" ht="25.2" hidden="1" customHeight="1">
      <c r="A781" s="1153">
        <f t="shared" si="46"/>
        <v>0</v>
      </c>
      <c r="B781" s="1324" t="s">
        <v>752</v>
      </c>
      <c r="C781" s="1324"/>
      <c r="D781" s="1078"/>
      <c r="E781" s="1091">
        <f>VLOOKUP($B781,DG!A:D,DG!$B$2,)</f>
        <v>0</v>
      </c>
      <c r="F781" s="1092" t="str">
        <f>VLOOKUP($B781,DG!A:D,DG!$C$2,)</f>
        <v>Cát vàng</v>
      </c>
      <c r="G781" s="1091" t="str">
        <f>VLOOKUP($B781,DG!A:D,DG!$D$2,)</f>
        <v>m3</v>
      </c>
      <c r="H781" s="1868"/>
      <c r="I781" s="1259">
        <f t="shared" si="47"/>
        <v>0</v>
      </c>
      <c r="J781" s="1108"/>
      <c r="K781" s="1108"/>
      <c r="L781" s="1082"/>
      <c r="M781" s="975" t="s">
        <v>1264</v>
      </c>
    </row>
    <row r="782" spans="1:16" s="1083" customFormat="1" ht="25.2" hidden="1" customHeight="1">
      <c r="A782" s="1153">
        <f t="shared" si="46"/>
        <v>0</v>
      </c>
      <c r="B782" s="1324" t="s">
        <v>216</v>
      </c>
      <c r="C782" s="1324"/>
      <c r="D782" s="1078"/>
      <c r="E782" s="1091">
        <f>VLOOKUP($B782,DG!A:D,DG!$B$2,)</f>
        <v>0</v>
      </c>
      <c r="F782" s="1092" t="str">
        <f>VLOOKUP($B782,DG!A:D,DG!$C$2,)</f>
        <v>Đá 1x2</v>
      </c>
      <c r="G782" s="1091" t="str">
        <f>VLOOKUP($B782,DG!A:D,DG!$D$2,)</f>
        <v>m3</v>
      </c>
      <c r="H782" s="1868"/>
      <c r="I782" s="1259">
        <f t="shared" si="47"/>
        <v>0</v>
      </c>
      <c r="J782" s="1108"/>
      <c r="K782" s="1108"/>
      <c r="L782" s="1082"/>
      <c r="M782" s="975" t="s">
        <v>1264</v>
      </c>
    </row>
    <row r="783" spans="1:16" s="1083" customFormat="1" ht="25.2" hidden="1" customHeight="1">
      <c r="A783" s="1153">
        <f t="shared" si="46"/>
        <v>0</v>
      </c>
      <c r="B783" s="1324" t="s">
        <v>654</v>
      </c>
      <c r="C783" s="1324"/>
      <c r="D783" s="1090"/>
      <c r="E783" s="1091" t="str">
        <f>VLOOKUP($B783,DG!A:D,DG!$B$2,)</f>
        <v>04.1203c</v>
      </c>
      <c r="F783" s="1092" t="str">
        <f>VLOOKUP($B783,DG!A:D,DG!$C$2,)</f>
        <v>Đổ bê tông móng trụ &lt;=250cm-M200 đá 1x2</v>
      </c>
      <c r="G783" s="1091" t="str">
        <f>VLOOKUP($B783,DG!A:D,DG!$D$2,)</f>
        <v>m3</v>
      </c>
      <c r="H783" s="1851"/>
      <c r="I783" s="1259">
        <f t="shared" si="47"/>
        <v>0</v>
      </c>
      <c r="J783" s="1108"/>
      <c r="K783" s="1108"/>
      <c r="L783" s="1082"/>
      <c r="M783" s="975" t="s">
        <v>1264</v>
      </c>
      <c r="N783" s="1093">
        <f>1.025*0.45</f>
        <v>0.46124999999999999</v>
      </c>
      <c r="O783" s="1093">
        <f>1.025*0.866</f>
        <v>0.88764999999999994</v>
      </c>
      <c r="P783" s="1237"/>
    </row>
    <row r="784" spans="1:16" s="1083" customFormat="1" ht="25.2" hidden="1" customHeight="1">
      <c r="A784" s="1153">
        <f t="shared" si="46"/>
        <v>0</v>
      </c>
      <c r="B784" s="1324"/>
      <c r="C784" s="1324"/>
      <c r="D784" s="1084">
        <f>IF(H784&gt;0,D778+1,D778)</f>
        <v>0</v>
      </c>
      <c r="E784" s="1085"/>
      <c r="F784" s="1094" t="s">
        <v>3726</v>
      </c>
      <c r="G784" s="1084" t="s">
        <v>2391</v>
      </c>
      <c r="H784" s="1867"/>
      <c r="I784" s="1260">
        <f t="shared" si="47"/>
        <v>0</v>
      </c>
      <c r="J784" s="1236"/>
      <c r="K784" s="1236"/>
      <c r="L784" s="1236"/>
      <c r="M784" s="975" t="s">
        <v>1264</v>
      </c>
    </row>
    <row r="785" spans="1:13" s="1083" customFormat="1" ht="25.2" hidden="1" customHeight="1">
      <c r="A785" s="1153">
        <f t="shared" si="46"/>
        <v>0</v>
      </c>
      <c r="B785" s="1324"/>
      <c r="C785" s="1324"/>
      <c r="D785" s="1078"/>
      <c r="E785" s="1088"/>
      <c r="F785" s="1368" t="s">
        <v>2285</v>
      </c>
      <c r="G785" s="1078"/>
      <c r="H785" s="1868"/>
      <c r="I785" s="1259">
        <f t="shared" si="47"/>
        <v>0</v>
      </c>
      <c r="J785" s="1108"/>
      <c r="K785" s="1108"/>
      <c r="L785" s="1082"/>
      <c r="M785" s="975" t="s">
        <v>1264</v>
      </c>
    </row>
    <row r="786" spans="1:13" s="1083" customFormat="1" ht="25.2" hidden="1" customHeight="1">
      <c r="A786" s="1153">
        <f t="shared" si="46"/>
        <v>0</v>
      </c>
      <c r="B786" s="1324" t="s">
        <v>1492</v>
      </c>
      <c r="C786" s="1324"/>
      <c r="D786" s="1090"/>
      <c r="E786" s="1079" t="str">
        <f>VLOOKUP($B786,DG!A:D,DG!$B$2,)</f>
        <v>04.8003</v>
      </c>
      <c r="F786" s="1080" t="str">
        <f>VLOOKUP($B786,DG!A:D,DG!$C$2,)</f>
        <v xml:space="preserve">Ống PVC D90x3,8mm </v>
      </c>
      <c r="G786" s="1079" t="str">
        <f>VLOOKUP($B786,DG!A:D,DG!$D$2,)</f>
        <v>m</v>
      </c>
      <c r="H786" s="1851"/>
      <c r="I786" s="1259">
        <f t="shared" si="47"/>
        <v>0</v>
      </c>
      <c r="J786" s="1108"/>
      <c r="K786" s="1108"/>
      <c r="L786" s="1082"/>
      <c r="M786" s="975" t="s">
        <v>1264</v>
      </c>
    </row>
    <row r="787" spans="1:13" s="1083" customFormat="1" ht="25.2" hidden="1" customHeight="1">
      <c r="A787" s="1153">
        <f t="shared" si="46"/>
        <v>0</v>
      </c>
      <c r="B787" s="1324" t="s">
        <v>86</v>
      </c>
      <c r="C787" s="1324"/>
      <c r="D787" s="1095"/>
      <c r="E787" s="1096">
        <f>VLOOKUP($B787,DG!A:D,DG!$B$2,)</f>
        <v>0</v>
      </c>
      <c r="F787" s="1097" t="str">
        <f>VLOOKUP($B787,DG!A:D,DG!$C$2,)</f>
        <v>Co  90 độ PVC 90</v>
      </c>
      <c r="G787" s="1096" t="str">
        <f>VLOOKUP($B787,DG!A:D,DG!$D$2,)</f>
        <v>cái</v>
      </c>
      <c r="H787" s="1869"/>
      <c r="I787" s="1259">
        <f t="shared" si="47"/>
        <v>0</v>
      </c>
      <c r="J787" s="1171"/>
      <c r="K787" s="1171"/>
      <c r="L787" s="1098"/>
      <c r="M787" s="975" t="s">
        <v>1264</v>
      </c>
    </row>
    <row r="788" spans="1:13" s="1083" customFormat="1" ht="25.2" hidden="1" customHeight="1">
      <c r="A788" s="1153">
        <f t="shared" si="46"/>
        <v>0</v>
      </c>
      <c r="B788" s="1324"/>
      <c r="C788" s="1324"/>
      <c r="D788" s="1163">
        <f>IF(H788&gt;0,D784+1,D784)</f>
        <v>0</v>
      </c>
      <c r="E788" s="1164"/>
      <c r="F788" s="1165" t="s">
        <v>3719</v>
      </c>
      <c r="G788" s="1073" t="s">
        <v>2391</v>
      </c>
      <c r="H788" s="1260"/>
      <c r="I788" s="1260">
        <f t="shared" si="47"/>
        <v>0</v>
      </c>
      <c r="J788" s="1073"/>
      <c r="K788" s="1073"/>
      <c r="L788" s="1073"/>
      <c r="M788" s="975" t="s">
        <v>1264</v>
      </c>
    </row>
    <row r="789" spans="1:13" s="1083" customFormat="1" ht="25.2" hidden="1" customHeight="1">
      <c r="A789" s="1153">
        <f t="shared" si="46"/>
        <v>0</v>
      </c>
      <c r="B789" s="1324"/>
      <c r="C789" s="1324"/>
      <c r="D789" s="1228"/>
      <c r="E789" s="1235"/>
      <c r="F789" s="1366" t="s">
        <v>2285</v>
      </c>
      <c r="G789" s="1230"/>
      <c r="H789" s="1863"/>
      <c r="I789" s="1259">
        <f t="shared" si="47"/>
        <v>0</v>
      </c>
      <c r="J789" s="1231"/>
      <c r="K789" s="1231"/>
      <c r="L789" s="1196"/>
      <c r="M789" s="975" t="s">
        <v>1264</v>
      </c>
    </row>
    <row r="790" spans="1:13" s="1083" customFormat="1" ht="25.2" hidden="1" customHeight="1">
      <c r="A790" s="1153">
        <f t="shared" si="46"/>
        <v>0</v>
      </c>
      <c r="B790" s="1327" t="s">
        <v>697</v>
      </c>
      <c r="C790" s="1327"/>
      <c r="D790" s="1166"/>
      <c r="E790" s="1079">
        <f>VLOOKUP($B790,DG!A:D,DG!$B$2,)</f>
        <v>0</v>
      </c>
      <c r="F790" s="1080" t="str">
        <f>VLOOKUP($B790,DG!A:D,DG!$C$2,)</f>
        <v>Cáp 24KV C/XLPE/PVC 25mm2</v>
      </c>
      <c r="G790" s="1079" t="str">
        <f>VLOOKUP($B790,DG!A:D,DG!$D$2,)</f>
        <v>mét</v>
      </c>
      <c r="H790" s="1856">
        <f>9*H788</f>
        <v>0</v>
      </c>
      <c r="I790" s="1259">
        <f t="shared" si="47"/>
        <v>0</v>
      </c>
      <c r="J790" s="1108"/>
      <c r="K790" s="1108"/>
      <c r="L790" s="1082"/>
      <c r="M790" s="975" t="s">
        <v>1264</v>
      </c>
    </row>
    <row r="791" spans="1:13" s="1083" customFormat="1" ht="25.2" hidden="1" customHeight="1">
      <c r="A791" s="1153">
        <f t="shared" si="46"/>
        <v>0</v>
      </c>
      <c r="B791" s="1154" t="s">
        <v>1482</v>
      </c>
      <c r="C791" s="1154"/>
      <c r="D791" s="1166"/>
      <c r="E791" s="1079" t="str">
        <f>VLOOKUP($B791,DG!A:D,DG!$B$2,)</f>
        <v>04.3007</v>
      </c>
      <c r="F791" s="1080" t="str">
        <f>VLOOKUP($B791,DG!A:D,DG!$C$2,)</f>
        <v>Kẹp quai 2/0</v>
      </c>
      <c r="G791" s="1079" t="str">
        <f>VLOOKUP($B791,DG!A:D,DG!$D$2,)</f>
        <v>cái</v>
      </c>
      <c r="H791" s="1856">
        <f>H788*2</f>
        <v>0</v>
      </c>
      <c r="I791" s="1259">
        <f t="shared" si="47"/>
        <v>0</v>
      </c>
      <c r="J791" s="1108"/>
      <c r="K791" s="1108"/>
      <c r="L791" s="1082"/>
      <c r="M791" s="975" t="s">
        <v>1264</v>
      </c>
    </row>
    <row r="792" spans="1:13" s="1083" customFormat="1" ht="25.2" hidden="1" customHeight="1">
      <c r="A792" s="1153">
        <f t="shared" si="46"/>
        <v>0</v>
      </c>
      <c r="B792" s="1154" t="s">
        <v>1480</v>
      </c>
      <c r="C792" s="1154"/>
      <c r="D792" s="1166"/>
      <c r="E792" s="1079" t="str">
        <f>VLOOKUP($B792,DG!A:D,DG!$B$2,)</f>
        <v>04.3007</v>
      </c>
      <c r="F792" s="1080" t="str">
        <f>VLOOKUP($B792,DG!A:D,DG!$C$2,)</f>
        <v>Kẹp hotline 2/0</v>
      </c>
      <c r="G792" s="1079" t="str">
        <f>VLOOKUP($B792,DG!A:D,DG!$D$2,)</f>
        <v>cái</v>
      </c>
      <c r="H792" s="1856">
        <f>H791</f>
        <v>0</v>
      </c>
      <c r="I792" s="1259">
        <f t="shared" si="47"/>
        <v>0</v>
      </c>
      <c r="J792" s="1108"/>
      <c r="K792" s="1108"/>
      <c r="L792" s="1082"/>
      <c r="M792" s="975" t="s">
        <v>1264</v>
      </c>
    </row>
    <row r="793" spans="1:13" s="1083" customFormat="1" ht="25.2" hidden="1" customHeight="1">
      <c r="A793" s="1153">
        <f t="shared" si="46"/>
        <v>0</v>
      </c>
      <c r="B793" s="1154" t="s">
        <v>1528</v>
      </c>
      <c r="C793" s="1154"/>
      <c r="D793" s="1170"/>
      <c r="E793" s="1096" t="str">
        <f>VLOOKUP($B793,DG!A:D,DG!$B$2,)</f>
        <v>04.4201</v>
      </c>
      <c r="F793" s="1162" t="str">
        <f>VLOOKUP($B793,DG!A:D,DG!$C$2,)</f>
        <v>Lắp cáp đồng xuống thiết bị D ≤ 95mm2</v>
      </c>
      <c r="G793" s="1096" t="str">
        <f>VLOOKUP($B793,DG!A:D,DG!$D$2,)</f>
        <v>m</v>
      </c>
      <c r="H793" s="1856">
        <f>H790</f>
        <v>0</v>
      </c>
      <c r="I793" s="1259">
        <f t="shared" si="47"/>
        <v>0</v>
      </c>
      <c r="J793" s="1171"/>
      <c r="K793" s="1171"/>
      <c r="L793" s="1098"/>
      <c r="M793" s="975" t="s">
        <v>1264</v>
      </c>
    </row>
    <row r="794" spans="1:13" s="1083" customFormat="1" ht="25.2" hidden="1" customHeight="1">
      <c r="A794" s="1153">
        <f t="shared" ref="A794:A857" si="48">IF(I794&gt;0,1,0)</f>
        <v>0</v>
      </c>
      <c r="B794" s="1324"/>
      <c r="C794" s="1324"/>
      <c r="D794" s="1163">
        <f>IF(H794&gt;0,D788+1,D788)</f>
        <v>0</v>
      </c>
      <c r="E794" s="1164"/>
      <c r="F794" s="1173" t="s">
        <v>3727</v>
      </c>
      <c r="G794" s="1073" t="s">
        <v>2391</v>
      </c>
      <c r="H794" s="1260">
        <f>H734</f>
        <v>0</v>
      </c>
      <c r="I794" s="1260">
        <f t="shared" si="47"/>
        <v>0</v>
      </c>
      <c r="J794" s="1073"/>
      <c r="K794" s="1073"/>
      <c r="L794" s="1073"/>
      <c r="M794" s="975" t="s">
        <v>1264</v>
      </c>
    </row>
    <row r="795" spans="1:13" s="1083" customFormat="1" ht="25.2" hidden="1" customHeight="1">
      <c r="A795" s="1153">
        <f t="shared" si="48"/>
        <v>0</v>
      </c>
      <c r="B795" s="1324"/>
      <c r="C795" s="1324"/>
      <c r="D795" s="1228"/>
      <c r="E795" s="1235"/>
      <c r="F795" s="1369" t="s">
        <v>2285</v>
      </c>
      <c r="G795" s="1238"/>
      <c r="H795" s="1870"/>
      <c r="I795" s="1259">
        <f t="shared" si="47"/>
        <v>0</v>
      </c>
      <c r="J795" s="1231"/>
      <c r="K795" s="1231"/>
      <c r="L795" s="1196"/>
      <c r="M795" s="975" t="s">
        <v>1264</v>
      </c>
    </row>
    <row r="796" spans="1:13" s="1083" customFormat="1" ht="25.2" hidden="1" customHeight="1">
      <c r="A796" s="1153">
        <f t="shared" si="48"/>
        <v>0</v>
      </c>
      <c r="B796" s="1324" t="s">
        <v>83</v>
      </c>
      <c r="C796" s="1324"/>
      <c r="D796" s="1110"/>
      <c r="E796" s="1079">
        <f>VLOOKUP($B796,DG!A:D,DG!$B$2,)</f>
        <v>0</v>
      </c>
      <c r="F796" s="1080" t="str">
        <f>VLOOKUP($B796,DG!A:D,DG!$C$2,)&amp;" 9m/pha"</f>
        <v>Cáp đồng bọc CV95 9m/pha</v>
      </c>
      <c r="G796" s="1079" t="str">
        <f>VLOOKUP($B796,DG!A:D,DG!$D$2,)</f>
        <v>mét</v>
      </c>
      <c r="H796" s="1856">
        <v>0</v>
      </c>
      <c r="I796" s="1259">
        <f t="shared" si="47"/>
        <v>0</v>
      </c>
      <c r="J796" s="1108"/>
      <c r="K796" s="1108"/>
      <c r="L796" s="1082"/>
      <c r="M796" s="975" t="s">
        <v>1264</v>
      </c>
    </row>
    <row r="797" spans="1:13" s="1083" customFormat="1" ht="25.2" hidden="1" customHeight="1">
      <c r="A797" s="1153">
        <f t="shared" si="48"/>
        <v>0</v>
      </c>
      <c r="B797" s="1324" t="s">
        <v>237</v>
      </c>
      <c r="C797" s="1324"/>
      <c r="D797" s="1110"/>
      <c r="E797" s="1079">
        <f>VLOOKUP($B797,DG!A:D,DG!$B$2,)</f>
        <v>0</v>
      </c>
      <c r="F797" s="1080" t="str">
        <f>VLOOKUP($B797,DG!A:D,DG!$C$2,)&amp;" 11m/trung hòa"</f>
        <v>Cáp đồng bọc CV70 11m/trung hòa</v>
      </c>
      <c r="G797" s="1079" t="str">
        <f>VLOOKUP($B797,DG!A:D,DG!$D$2,)</f>
        <v>mét</v>
      </c>
      <c r="H797" s="1856">
        <v>0</v>
      </c>
      <c r="I797" s="1259">
        <f t="shared" si="47"/>
        <v>0</v>
      </c>
      <c r="J797" s="1108"/>
      <c r="K797" s="1108"/>
      <c r="L797" s="1082"/>
      <c r="M797" s="975" t="s">
        <v>1264</v>
      </c>
    </row>
    <row r="798" spans="1:13" s="1083" customFormat="1" ht="25.2" hidden="1" customHeight="1">
      <c r="A798" s="1153">
        <f t="shared" si="48"/>
        <v>0</v>
      </c>
      <c r="B798" s="1324" t="s">
        <v>2282</v>
      </c>
      <c r="C798" s="1324"/>
      <c r="D798" s="1110"/>
      <c r="E798" s="1079" t="str">
        <f>VLOOKUP($B798,DG!A:D,DG!$B$2,)</f>
        <v>03.1401</v>
      </c>
      <c r="F798" s="1080" t="str">
        <f>VLOOKUP($B798,DG!A:D,DG!$C$2,)</f>
        <v xml:space="preserve">Cáp CVV 4x4mm2  </v>
      </c>
      <c r="G798" s="1079" t="str">
        <f>VLOOKUP($B798,DG!A:D,DG!$D$2,)</f>
        <v>mét</v>
      </c>
      <c r="H798" s="1856">
        <v>0</v>
      </c>
      <c r="I798" s="1259">
        <f t="shared" si="47"/>
        <v>0</v>
      </c>
      <c r="J798" s="1108"/>
      <c r="K798" s="1108"/>
      <c r="L798" s="1082"/>
      <c r="M798" s="975" t="s">
        <v>1264</v>
      </c>
    </row>
    <row r="799" spans="1:13" s="1083" customFormat="1" ht="25.2" hidden="1" customHeight="1">
      <c r="A799" s="1153">
        <f t="shared" si="48"/>
        <v>0</v>
      </c>
      <c r="B799" s="1324" t="s">
        <v>1307</v>
      </c>
      <c r="C799" s="1324"/>
      <c r="D799" s="1110"/>
      <c r="E799" s="1079" t="str">
        <f>VLOOKUP($B799,DG!A:D,DG!$B$2,)</f>
        <v>03.4004</v>
      </c>
      <c r="F799" s="1080" t="str">
        <f>VLOOKUP($B799,DG!A:D,DG!$C$2,)</f>
        <v>Đầu cosse ép Cu 95mm2</v>
      </c>
      <c r="G799" s="1079" t="str">
        <f>VLOOKUP($B799,DG!A:D,DG!$D$2,)</f>
        <v>cái</v>
      </c>
      <c r="H799" s="1856">
        <v>0</v>
      </c>
      <c r="I799" s="1259">
        <f t="shared" si="47"/>
        <v>0</v>
      </c>
      <c r="J799" s="1108"/>
      <c r="K799" s="1108"/>
      <c r="L799" s="1082"/>
      <c r="M799" s="975" t="s">
        <v>1264</v>
      </c>
    </row>
    <row r="800" spans="1:13" s="1083" customFormat="1" ht="25.2" hidden="1" customHeight="1">
      <c r="A800" s="1153">
        <f t="shared" si="48"/>
        <v>0</v>
      </c>
      <c r="B800" s="1324" t="s">
        <v>1306</v>
      </c>
      <c r="C800" s="1324"/>
      <c r="D800" s="1110"/>
      <c r="E800" s="1079" t="str">
        <f>VLOOKUP($B800,DG!A:D,DG!$B$2,)</f>
        <v>03.4003</v>
      </c>
      <c r="F800" s="1080" t="str">
        <f>VLOOKUP($B800,DG!A:D,DG!$C$2,)</f>
        <v>Đầu cosse ép Cu 70mm2</v>
      </c>
      <c r="G800" s="1079" t="str">
        <f>VLOOKUP($B800,DG!A:D,DG!$D$2,)</f>
        <v>cái</v>
      </c>
      <c r="H800" s="1856">
        <v>0</v>
      </c>
      <c r="I800" s="1259">
        <f t="shared" si="47"/>
        <v>0</v>
      </c>
      <c r="J800" s="1108"/>
      <c r="K800" s="1108"/>
      <c r="L800" s="1082"/>
      <c r="M800" s="975" t="s">
        <v>1264</v>
      </c>
    </row>
    <row r="801" spans="1:13" s="1083" customFormat="1" ht="25.2" hidden="1" customHeight="1">
      <c r="A801" s="1153">
        <f t="shared" si="48"/>
        <v>0</v>
      </c>
      <c r="B801" s="1324" t="s">
        <v>93</v>
      </c>
      <c r="C801" s="1324"/>
      <c r="D801" s="1110"/>
      <c r="E801" s="1079">
        <f>VLOOKUP($B801,DG!A:D,DG!$B$2,)</f>
        <v>0</v>
      </c>
      <c r="F801" s="1080" t="str">
        <f>VLOOKUP($B801,DG!A:D,DG!$C$2,)</f>
        <v>Chụp đầu cosse  120mm2</v>
      </c>
      <c r="G801" s="1079" t="str">
        <f>VLOOKUP($B801,DG!A:D,DG!$D$2,)</f>
        <v>cái</v>
      </c>
      <c r="H801" s="1856">
        <f>H799</f>
        <v>0</v>
      </c>
      <c r="I801" s="1259">
        <f t="shared" si="47"/>
        <v>0</v>
      </c>
      <c r="J801" s="1108"/>
      <c r="K801" s="1108"/>
      <c r="L801" s="1082"/>
      <c r="M801" s="975" t="s">
        <v>1264</v>
      </c>
    </row>
    <row r="802" spans="1:13" s="1083" customFormat="1" ht="25.2" hidden="1" customHeight="1">
      <c r="A802" s="1153">
        <f t="shared" si="48"/>
        <v>0</v>
      </c>
      <c r="B802" s="1324" t="s">
        <v>94</v>
      </c>
      <c r="C802" s="1324"/>
      <c r="D802" s="1110"/>
      <c r="E802" s="1079">
        <f>VLOOKUP($B802,DG!A:D,DG!$B$2,)</f>
        <v>0</v>
      </c>
      <c r="F802" s="1080" t="str">
        <f>VLOOKUP($B802,DG!A:D,DG!$C$2,)</f>
        <v>Chụp đầu cosse  95mm2</v>
      </c>
      <c r="G802" s="1079" t="str">
        <f>VLOOKUP($B802,DG!A:D,DG!$D$2,)</f>
        <v>cái</v>
      </c>
      <c r="H802" s="1856">
        <f>H800</f>
        <v>0</v>
      </c>
      <c r="I802" s="1259">
        <f t="shared" si="47"/>
        <v>0</v>
      </c>
      <c r="J802" s="1108"/>
      <c r="K802" s="1108"/>
      <c r="L802" s="1082"/>
      <c r="M802" s="975" t="s">
        <v>1264</v>
      </c>
    </row>
    <row r="803" spans="1:13" s="1083" customFormat="1" ht="25.2" hidden="1" customHeight="1">
      <c r="A803" s="1153">
        <f t="shared" si="48"/>
        <v>0</v>
      </c>
      <c r="B803" s="1324" t="s">
        <v>282</v>
      </c>
      <c r="C803" s="1324"/>
      <c r="D803" s="1110"/>
      <c r="E803" s="1079" t="str">
        <f>VLOOKUP($B803,DG!A:D,DG!$B$2,)</f>
        <v>04.8003</v>
      </c>
      <c r="F803" s="1080" t="str">
        <f>VLOOKUP($B803,DG!A:D,DG!$C$2,)</f>
        <v xml:space="preserve">Ống PVC D90x3,8mm </v>
      </c>
      <c r="G803" s="1079" t="str">
        <f>VLOOKUP($B803,DG!A:D,DG!$D$2,)</f>
        <v>m</v>
      </c>
      <c r="H803" s="1856">
        <v>0</v>
      </c>
      <c r="I803" s="1259">
        <f t="shared" si="47"/>
        <v>0</v>
      </c>
      <c r="J803" s="1108"/>
      <c r="K803" s="1108"/>
      <c r="L803" s="1082"/>
      <c r="M803" s="975" t="s">
        <v>1264</v>
      </c>
    </row>
    <row r="804" spans="1:13" s="1083" customFormat="1" ht="25.2" hidden="1" customHeight="1">
      <c r="A804" s="1153">
        <f t="shared" si="48"/>
        <v>0</v>
      </c>
      <c r="B804" s="1154" t="s">
        <v>276</v>
      </c>
      <c r="C804" s="1154"/>
      <c r="D804" s="1110"/>
      <c r="E804" s="1079" t="str">
        <f>VLOOKUP($B804,DG!A:D,DG!$B$2,)</f>
        <v>06.3231</v>
      </c>
      <c r="F804" s="1080" t="str">
        <f>VLOOKUP($B804,DG!A:D,DG!$C$2,)</f>
        <v>Cổ dê kẹp ống PVC Ø 90</v>
      </c>
      <c r="G804" s="1079" t="str">
        <f>VLOOKUP($B804,DG!A:D,DG!$D$2,)</f>
        <v>bộ</v>
      </c>
      <c r="H804" s="1856">
        <f>H794*2*0</f>
        <v>0</v>
      </c>
      <c r="I804" s="1259">
        <f t="shared" si="47"/>
        <v>0</v>
      </c>
      <c r="J804" s="1108"/>
      <c r="K804" s="1108"/>
      <c r="L804" s="1082"/>
      <c r="M804" s="975" t="s">
        <v>1264</v>
      </c>
    </row>
    <row r="805" spans="1:13" s="1083" customFormat="1" ht="25.2" hidden="1" customHeight="1">
      <c r="A805" s="1153">
        <f t="shared" si="48"/>
        <v>0</v>
      </c>
      <c r="B805" s="1324" t="s">
        <v>283</v>
      </c>
      <c r="C805" s="1324"/>
      <c r="D805" s="1110"/>
      <c r="E805" s="1079">
        <f>VLOOKUP($B805,DG!A:D,DG!$B$2,)</f>
        <v>0</v>
      </c>
      <c r="F805" s="1080" t="str">
        <f>VLOOKUP($B805,DG!A:D,DG!$C$2,)</f>
        <v>Co sừng 90 độ PVC 90</v>
      </c>
      <c r="G805" s="1079" t="str">
        <f>VLOOKUP($B805,DG!A:D,DG!$D$2,)</f>
        <v>cái</v>
      </c>
      <c r="H805" s="1856">
        <f>H794*2*0</f>
        <v>0</v>
      </c>
      <c r="I805" s="1259">
        <f t="shared" si="47"/>
        <v>0</v>
      </c>
      <c r="J805" s="1108"/>
      <c r="K805" s="1108"/>
      <c r="L805" s="1082"/>
      <c r="M805" s="975" t="s">
        <v>1264</v>
      </c>
    </row>
    <row r="806" spans="1:13" s="1083" customFormat="1" ht="25.2" hidden="1" customHeight="1">
      <c r="A806" s="1153">
        <f t="shared" si="48"/>
        <v>0</v>
      </c>
      <c r="B806" s="1324" t="s">
        <v>4372</v>
      </c>
      <c r="C806" s="1324"/>
      <c r="D806" s="1110"/>
      <c r="E806" s="1079">
        <f>VLOOKUP($B806,DG!A:D,DG!$B$2,)</f>
        <v>0</v>
      </c>
      <c r="F806" s="1080" t="str">
        <f>VLOOKUP($B806,DG!A:D,DG!$C$2,)</f>
        <v>Nối ống PVC 114 - 90</v>
      </c>
      <c r="G806" s="1079" t="str">
        <f>VLOOKUP($B806,DG!A:D,DG!$D$2,)</f>
        <v>cái</v>
      </c>
      <c r="H806" s="1856">
        <f>H794*0</f>
        <v>0</v>
      </c>
      <c r="I806" s="1259">
        <f t="shared" si="47"/>
        <v>0</v>
      </c>
      <c r="J806" s="1108"/>
      <c r="K806" s="1108"/>
      <c r="L806" s="1082"/>
      <c r="M806" s="975" t="s">
        <v>1264</v>
      </c>
    </row>
    <row r="807" spans="1:13" s="1083" customFormat="1" ht="25.2" hidden="1" customHeight="1">
      <c r="A807" s="1153">
        <f t="shared" si="48"/>
        <v>0</v>
      </c>
      <c r="B807" s="1324" t="s">
        <v>70</v>
      </c>
      <c r="C807" s="1324"/>
      <c r="D807" s="1110"/>
      <c r="E807" s="1079">
        <f>VLOOKUP($B807,DG!A:D,DG!$B$2,)</f>
        <v>0</v>
      </c>
      <c r="F807" s="1080" t="str">
        <f>VLOOKUP($B807,DG!A:D,DG!$C$2,)</f>
        <v>Co  90 độ PVC 90</v>
      </c>
      <c r="G807" s="1079" t="str">
        <f>VLOOKUP($B807,DG!A:D,DG!$D$2,)</f>
        <v>cái</v>
      </c>
      <c r="H807" s="1851"/>
      <c r="I807" s="1259">
        <f t="shared" si="47"/>
        <v>0</v>
      </c>
      <c r="J807" s="1108"/>
      <c r="K807" s="1108"/>
      <c r="L807" s="1082"/>
      <c r="M807" s="975" t="s">
        <v>1264</v>
      </c>
    </row>
    <row r="808" spans="1:13" s="1083" customFormat="1" ht="25.2" hidden="1" customHeight="1">
      <c r="A808" s="1153">
        <f t="shared" si="48"/>
        <v>0</v>
      </c>
      <c r="B808" s="1324" t="s">
        <v>419</v>
      </c>
      <c r="C808" s="1324"/>
      <c r="D808" s="1110"/>
      <c r="E808" s="1079">
        <f>VLOOKUP($B808,DG!A:D,DG!$B$2,)</f>
        <v>0</v>
      </c>
      <c r="F808" s="1080" t="str">
        <f>VLOOKUP($B808,DG!A:D,DG!$C$2,)</f>
        <v>Keo dán ống PVC (100gr)</v>
      </c>
      <c r="G808" s="1079" t="str">
        <f>VLOOKUP($B808,DG!A:D,DG!$D$2,)</f>
        <v>tuýp</v>
      </c>
      <c r="H808" s="1856">
        <f>H794*0</f>
        <v>0</v>
      </c>
      <c r="I808" s="1259">
        <f t="shared" si="47"/>
        <v>0</v>
      </c>
      <c r="J808" s="1108"/>
      <c r="K808" s="1108"/>
      <c r="L808" s="1082"/>
      <c r="M808" s="975" t="s">
        <v>1264</v>
      </c>
    </row>
    <row r="809" spans="1:13" s="1083" customFormat="1" ht="25.2" hidden="1" customHeight="1">
      <c r="A809" s="1153">
        <f t="shared" si="48"/>
        <v>0</v>
      </c>
      <c r="B809" s="1324" t="s">
        <v>1179</v>
      </c>
      <c r="C809" s="1324"/>
      <c r="D809" s="1110"/>
      <c r="E809" s="1079">
        <f>VLOOKUP($B809,DG!A:D,DG!$B$2,)</f>
        <v>0</v>
      </c>
      <c r="F809" s="1080" t="str">
        <f>VLOOKUP($B809,DG!A:D,DG!$C$2,)</f>
        <v>Keo silicon bít miệng ống</v>
      </c>
      <c r="G809" s="1079" t="str">
        <f>VLOOKUP($B809,DG!A:D,DG!$D$2,)</f>
        <v>ống</v>
      </c>
      <c r="H809" s="1851"/>
      <c r="I809" s="1259">
        <f t="shared" si="47"/>
        <v>0</v>
      </c>
      <c r="J809" s="1108"/>
      <c r="K809" s="1108"/>
      <c r="L809" s="1082"/>
      <c r="M809" s="975" t="s">
        <v>1264</v>
      </c>
    </row>
    <row r="810" spans="1:13" s="1083" customFormat="1" ht="25.2" hidden="1" customHeight="1">
      <c r="A810" s="1153">
        <f t="shared" si="48"/>
        <v>0</v>
      </c>
      <c r="B810" s="1154" t="s">
        <v>672</v>
      </c>
      <c r="C810" s="1154"/>
      <c r="D810" s="1110"/>
      <c r="E810" s="1079">
        <f>VLOOKUP($B810,DG!A:D,DG!$B$2,)</f>
        <v>0</v>
      </c>
      <c r="F810" s="1080" t="str">
        <f>VLOOKUP($B810,DG!A:D,DG!$C$2,)</f>
        <v>Băng keo cách điện</v>
      </c>
      <c r="G810" s="1079" t="str">
        <f>VLOOKUP($B810,DG!A:D,DG!$D$2,)</f>
        <v>cuộn</v>
      </c>
      <c r="H810" s="1851"/>
      <c r="I810" s="1259">
        <f t="shared" si="47"/>
        <v>0</v>
      </c>
      <c r="J810" s="1108"/>
      <c r="K810" s="1108"/>
      <c r="L810" s="1082"/>
      <c r="M810" s="975" t="s">
        <v>1264</v>
      </c>
    </row>
    <row r="811" spans="1:13" s="1083" customFormat="1" ht="25.2" hidden="1" customHeight="1">
      <c r="A811" s="1153">
        <f t="shared" si="48"/>
        <v>0</v>
      </c>
      <c r="B811" s="1329" t="s">
        <v>4374</v>
      </c>
      <c r="C811" s="1329"/>
      <c r="D811" s="1110"/>
      <c r="E811" s="1079">
        <f>VLOOKUP($B811,DG!A:D,DG!$B$2,)</f>
        <v>0</v>
      </c>
      <c r="F811" s="1080" t="str">
        <f>VLOOKUP($B811,DG!A:D,DG!$C$2,)</f>
        <v>Chụp cách điện đầu cực MBA</v>
      </c>
      <c r="G811" s="1079" t="str">
        <f>VLOOKUP($B811,DG!A:D,DG!$D$2,)</f>
        <v>cái</v>
      </c>
      <c r="H811" s="1167"/>
      <c r="I811" s="1259">
        <f t="shared" si="47"/>
        <v>0</v>
      </c>
      <c r="J811" s="1108"/>
      <c r="K811" s="1108"/>
      <c r="L811" s="1082"/>
      <c r="M811" s="975" t="s">
        <v>1264</v>
      </c>
    </row>
    <row r="812" spans="1:13" s="1083" customFormat="1" ht="25.2" hidden="1" customHeight="1">
      <c r="A812" s="1153">
        <f t="shared" si="48"/>
        <v>0</v>
      </c>
      <c r="B812" s="1329" t="s">
        <v>4368</v>
      </c>
      <c r="C812" s="1329"/>
      <c r="D812" s="1110"/>
      <c r="E812" s="1079">
        <f>VLOOKUP($B812,DG!A:D,DG!$B$2,)</f>
        <v>0</v>
      </c>
      <c r="F812" s="1080" t="str">
        <f>VLOOKUP($B812,DG!A:D,DG!$C$2,)</f>
        <v>Chụp cách điện đầu cực FCO (trên + dưới)</v>
      </c>
      <c r="G812" s="1079" t="str">
        <f>VLOOKUP($B812,DG!A:D,DG!$D$2,)</f>
        <v>bộ</v>
      </c>
      <c r="H812" s="1167"/>
      <c r="I812" s="1259">
        <f t="shared" si="47"/>
        <v>0</v>
      </c>
      <c r="J812" s="1108"/>
      <c r="K812" s="1108"/>
      <c r="L812" s="1082"/>
      <c r="M812" s="975" t="s">
        <v>1264</v>
      </c>
    </row>
    <row r="813" spans="1:13" s="1083" customFormat="1" ht="25.2" hidden="1" customHeight="1">
      <c r="A813" s="1153">
        <f t="shared" si="48"/>
        <v>0</v>
      </c>
      <c r="B813" s="1329" t="s">
        <v>4376</v>
      </c>
      <c r="C813" s="1329"/>
      <c r="D813" s="1110"/>
      <c r="E813" s="1079">
        <f>VLOOKUP($B813,DG!A:D,DG!$B$2,)</f>
        <v>0</v>
      </c>
      <c r="F813" s="1080" t="str">
        <f>VLOOKUP($B813,DG!A:D,DG!$C$2,)</f>
        <v>Chụp cách điện đầu cực LA</v>
      </c>
      <c r="G813" s="1079" t="str">
        <f>VLOOKUP($B813,DG!A:D,DG!$D$2,)</f>
        <v>cái</v>
      </c>
      <c r="H813" s="1167"/>
      <c r="I813" s="1259">
        <f t="shared" ref="I813:I880" si="49">IF(M813=$M$23,H813+J813-K813,0)</f>
        <v>0</v>
      </c>
      <c r="J813" s="1108"/>
      <c r="K813" s="1108"/>
      <c r="L813" s="1082"/>
      <c r="M813" s="975" t="s">
        <v>1264</v>
      </c>
    </row>
    <row r="814" spans="1:13" s="1083" customFormat="1" ht="25.2" hidden="1" customHeight="1">
      <c r="A814" s="1153">
        <f t="shared" si="48"/>
        <v>0</v>
      </c>
      <c r="B814" s="1329" t="s">
        <v>2188</v>
      </c>
      <c r="C814" s="1329"/>
      <c r="D814" s="1110"/>
      <c r="E814" s="1079" t="str">
        <f>VLOOKUP($B814,DG!A:D,DG!$B$2,)</f>
        <v>07.2415</v>
      </c>
      <c r="F814" s="1162" t="str">
        <f>VLOOKUP($B814,DG!A:D,DG!$C$2,)</f>
        <v>Lắp ống nhựa PVC D90</v>
      </c>
      <c r="G814" s="1079" t="str">
        <f>VLOOKUP($B814,DG!A:D,DG!$D$2,)</f>
        <v>mét</v>
      </c>
      <c r="H814" s="1167"/>
      <c r="I814" s="1259">
        <f t="shared" si="49"/>
        <v>0</v>
      </c>
      <c r="J814" s="1108"/>
      <c r="K814" s="1108"/>
      <c r="L814" s="1082"/>
      <c r="M814" s="975" t="s">
        <v>1264</v>
      </c>
    </row>
    <row r="815" spans="1:13" s="1083" customFormat="1" ht="25.2" hidden="1" customHeight="1">
      <c r="A815" s="1153">
        <f t="shared" si="48"/>
        <v>0</v>
      </c>
      <c r="B815" s="1154" t="s">
        <v>1528</v>
      </c>
      <c r="C815" s="1154"/>
      <c r="D815" s="1110"/>
      <c r="E815" s="1079" t="str">
        <f>VLOOKUP($B815,DG!A:D,DG!$B$2,)</f>
        <v>04.4201</v>
      </c>
      <c r="F815" s="1162" t="str">
        <f>VLOOKUP($B815,DG!A:D,DG!$C$2,)</f>
        <v>Lắp cáp đồng xuống thiết bị D ≤ 95mm2</v>
      </c>
      <c r="G815" s="1079" t="str">
        <f>VLOOKUP($B815,DG!A:D,DG!$D$2,)</f>
        <v>m</v>
      </c>
      <c r="H815" s="1167"/>
      <c r="I815" s="1259">
        <f t="shared" si="49"/>
        <v>0</v>
      </c>
      <c r="J815" s="1108"/>
      <c r="K815" s="1108"/>
      <c r="L815" s="1082"/>
      <c r="M815" s="975" t="s">
        <v>1264</v>
      </c>
    </row>
    <row r="816" spans="1:13" s="1083" customFormat="1" ht="25.2" hidden="1" customHeight="1">
      <c r="A816" s="1153">
        <f t="shared" si="48"/>
        <v>0</v>
      </c>
      <c r="B816" s="1324" t="s">
        <v>289</v>
      </c>
      <c r="C816" s="1324"/>
      <c r="D816" s="1170">
        <f>IF(H816&gt;0,D794+1,D794)</f>
        <v>0</v>
      </c>
      <c r="E816" s="1174"/>
      <c r="F816" s="1080" t="str">
        <f>VLOOKUP($B816,DG!A:D,DG!$C$2,)</f>
        <v>Bảng tên trạm, bảng báo nguy hiểm + đinh vít</v>
      </c>
      <c r="G816" s="1079" t="str">
        <f>VLOOKUP($B816,DG!A:D,DG!$D$2,)</f>
        <v>bộ</v>
      </c>
      <c r="H816" s="1869"/>
      <c r="I816" s="1259">
        <f t="shared" si="49"/>
        <v>0</v>
      </c>
      <c r="J816" s="1108"/>
      <c r="K816" s="1108"/>
      <c r="L816" s="1082"/>
      <c r="M816" s="975" t="s">
        <v>1264</v>
      </c>
    </row>
    <row r="817" spans="1:13" s="1083" customFormat="1" ht="25.2" hidden="1" customHeight="1">
      <c r="A817" s="1153">
        <f t="shared" si="48"/>
        <v>0</v>
      </c>
      <c r="B817" s="1324" t="s">
        <v>1629</v>
      </c>
      <c r="C817" s="1324"/>
      <c r="D817" s="1170">
        <f>IF(H817&gt;0,D795+1,D795)</f>
        <v>0</v>
      </c>
      <c r="E817" s="1174"/>
      <c r="F817" s="1097" t="str">
        <f>VLOOKUP($B817,DG!A:D,DG!$C$2,)</f>
        <v>Móng đặt tủ bù (0,2x0,2x0,4)x4 móng</v>
      </c>
      <c r="G817" s="1096" t="str">
        <f>VLOOKUP($B817,DG!A:D,DG!$D$2,)</f>
        <v>Trọn bộ</v>
      </c>
      <c r="H817" s="1906"/>
      <c r="I817" s="1259">
        <f t="shared" si="49"/>
        <v>0</v>
      </c>
      <c r="J817" s="1171"/>
      <c r="K817" s="1171"/>
      <c r="L817" s="1171"/>
      <c r="M817" s="975" t="s">
        <v>1264</v>
      </c>
    </row>
    <row r="818" spans="1:13" s="1083" customFormat="1" ht="25.2" hidden="1" customHeight="1">
      <c r="A818" s="1153">
        <f t="shared" si="48"/>
        <v>0</v>
      </c>
      <c r="B818" s="1348"/>
      <c r="C818" s="1348"/>
      <c r="D818" s="1107"/>
      <c r="E818" s="1179"/>
      <c r="F818" s="1077"/>
      <c r="G818" s="1224"/>
      <c r="H818" s="1861"/>
      <c r="I818" s="1259">
        <f t="shared" si="49"/>
        <v>0</v>
      </c>
      <c r="J818" s="1239"/>
      <c r="K818" s="1240"/>
      <c r="L818" s="1136"/>
      <c r="M818" s="975" t="s">
        <v>1264</v>
      </c>
    </row>
    <row r="819" spans="1:13" s="1142" customFormat="1" ht="25.2" hidden="1" customHeight="1">
      <c r="A819" s="1153">
        <f t="shared" si="48"/>
        <v>0</v>
      </c>
      <c r="B819" s="1349"/>
      <c r="C819" s="1349"/>
      <c r="D819" s="1187"/>
      <c r="E819" s="1241"/>
      <c r="F819" s="1242"/>
      <c r="G819" s="1243"/>
      <c r="H819" s="1871"/>
      <c r="I819" s="1259">
        <f t="shared" si="49"/>
        <v>0</v>
      </c>
      <c r="J819" s="1242"/>
      <c r="K819" s="1242"/>
      <c r="M819" s="1187"/>
    </row>
    <row r="820" spans="1:13" s="1083" customFormat="1" ht="25.2" hidden="1" customHeight="1">
      <c r="A820" s="1153">
        <f t="shared" si="48"/>
        <v>0</v>
      </c>
      <c r="B820" s="1350"/>
      <c r="C820" s="1350"/>
      <c r="D820" s="981" t="e">
        <f>"BAÛNG TOÅNG HÔÏP VAÄT LIEÄU, NHAÂN COÂNG, MAÙY THI COÂNG : "&amp;#REF!&amp;" TRAÏM 3P_3x50KVA"</f>
        <v>#REF!</v>
      </c>
      <c r="E820" s="981"/>
      <c r="F820" s="981"/>
      <c r="G820" s="981"/>
      <c r="H820" s="1872"/>
      <c r="I820" s="1259">
        <f t="shared" si="49"/>
        <v>0</v>
      </c>
      <c r="J820" s="981"/>
      <c r="K820" s="981"/>
      <c r="M820" s="975"/>
    </row>
    <row r="821" spans="1:13" s="1083" customFormat="1" ht="25.2" hidden="1" customHeight="1">
      <c r="A821" s="1153">
        <f t="shared" si="48"/>
        <v>0</v>
      </c>
      <c r="B821" s="1324"/>
      <c r="C821" s="1324"/>
      <c r="D821" s="1103"/>
      <c r="E821" s="1104"/>
      <c r="F821" s="1105" t="s">
        <v>3690</v>
      </c>
      <c r="G821" s="1106"/>
      <c r="H821" s="1907"/>
      <c r="I821" s="1259">
        <f t="shared" si="49"/>
        <v>0</v>
      </c>
      <c r="J821" s="1106"/>
      <c r="K821" s="1106"/>
      <c r="L821" s="1155"/>
      <c r="M821" s="975" t="s">
        <v>1265</v>
      </c>
    </row>
    <row r="822" spans="1:13" s="1083" customFormat="1" ht="25.2" hidden="1" customHeight="1">
      <c r="A822" s="1153">
        <f t="shared" si="48"/>
        <v>0</v>
      </c>
      <c r="B822" s="1325" t="s">
        <v>4418</v>
      </c>
      <c r="C822" s="1325"/>
      <c r="D822" s="1090">
        <f>IF(H822&gt;0,1,0)</f>
        <v>1</v>
      </c>
      <c r="E822" s="1079" t="str">
        <f>VLOOKUP($B822,DG!A:D,DG!$B$2,)</f>
        <v>01.1162</v>
      </c>
      <c r="F822" s="1080" t="str">
        <f>VLOOKUP($B822,DG!A:D,DG!$C$2,)</f>
        <v>Máy biến áp 12,7/0,23-0,46kV 50kVA</v>
      </c>
      <c r="G822" s="1079" t="str">
        <f>VLOOKUP($B822,DG!A:D,DG!$D$2,)</f>
        <v>máy</v>
      </c>
      <c r="H822" s="1873">
        <f>L9*3</f>
        <v>3</v>
      </c>
      <c r="I822" s="1259">
        <f t="shared" si="49"/>
        <v>0</v>
      </c>
      <c r="J822" s="1108"/>
      <c r="K822" s="1108"/>
      <c r="L822" s="1196"/>
      <c r="M822" s="975" t="s">
        <v>1265</v>
      </c>
    </row>
    <row r="823" spans="1:13" s="1083" customFormat="1" ht="25.2" hidden="1" customHeight="1">
      <c r="A823" s="1153">
        <f t="shared" si="48"/>
        <v>0</v>
      </c>
      <c r="B823" s="1325" t="s">
        <v>1655</v>
      </c>
      <c r="C823" s="1325"/>
      <c r="D823" s="1090">
        <f t="shared" ref="D823:D830" si="50">IF(H823&gt;0,D822+1,D822)</f>
        <v>2</v>
      </c>
      <c r="E823" s="1079" t="str">
        <f>VLOOKUP($B823,DG!A:D,DG!$B$2,)</f>
        <v>02.3155</v>
      </c>
      <c r="F823" s="1080" t="str">
        <f>VLOOKUP($B823,DG!A:D,DG!$C$2,)</f>
        <v>FCO 27kV - 100A</v>
      </c>
      <c r="G823" s="1079" t="str">
        <f>VLOOKUP($B823,DG!A:D,DG!$D$2,)</f>
        <v>cái</v>
      </c>
      <c r="H823" s="1851">
        <f>+H822</f>
        <v>3</v>
      </c>
      <c r="I823" s="1259">
        <f t="shared" si="49"/>
        <v>0</v>
      </c>
      <c r="J823" s="1108"/>
      <c r="K823" s="1108"/>
      <c r="L823" s="1082"/>
      <c r="M823" s="975" t="s">
        <v>1265</v>
      </c>
    </row>
    <row r="824" spans="1:13" s="1083" customFormat="1" ht="25.2" hidden="1" customHeight="1">
      <c r="A824" s="1153">
        <f t="shared" si="48"/>
        <v>0</v>
      </c>
      <c r="B824" s="1324" t="s">
        <v>367</v>
      </c>
      <c r="C824" s="1324"/>
      <c r="D824" s="1090">
        <f t="shared" si="50"/>
        <v>3</v>
      </c>
      <c r="E824" s="1079">
        <f>VLOOKUP($B824,DG!A:D,DG!$B$2,)</f>
        <v>0</v>
      </c>
      <c r="F824" s="1080" t="str">
        <f>VLOOKUP($B824,DG!A:D,DG!$C$2,)</f>
        <v>Dây chảy 6K</v>
      </c>
      <c r="G824" s="1079" t="str">
        <f>VLOOKUP($B824,DG!A:D,DG!$D$2,)</f>
        <v>Sợi</v>
      </c>
      <c r="H824" s="1851">
        <v>3</v>
      </c>
      <c r="I824" s="1259">
        <f t="shared" si="49"/>
        <v>0</v>
      </c>
      <c r="J824" s="1108"/>
      <c r="K824" s="1108"/>
      <c r="L824" s="1082"/>
      <c r="M824" s="975" t="s">
        <v>1265</v>
      </c>
    </row>
    <row r="825" spans="1:13" s="1083" customFormat="1" ht="25.2" hidden="1" customHeight="1">
      <c r="A825" s="1153">
        <f t="shared" si="48"/>
        <v>0</v>
      </c>
      <c r="B825" s="1324" t="str">
        <f>IF(RIGHT(B823,2)=12,"LA12","LA18")</f>
        <v>LA18</v>
      </c>
      <c r="C825" s="1324"/>
      <c r="D825" s="1090">
        <f t="shared" si="50"/>
        <v>4</v>
      </c>
      <c r="E825" s="1079" t="str">
        <f>VLOOKUP($B825,DG!A:D,DG!$B$2,)</f>
        <v>02.5114</v>
      </c>
      <c r="F825" s="1080" t="str">
        <f>VLOOKUP($B825,DG!A:D,DG!$C$2,)</f>
        <v>Chống sét van LA-18KV-10KA</v>
      </c>
      <c r="G825" s="1079" t="str">
        <f>VLOOKUP($B825,DG!A:D,DG!$D$2,)</f>
        <v>cái</v>
      </c>
      <c r="H825" s="1851">
        <f>H823</f>
        <v>3</v>
      </c>
      <c r="I825" s="1259">
        <f t="shared" si="49"/>
        <v>0</v>
      </c>
      <c r="J825" s="1108"/>
      <c r="K825" s="1108"/>
      <c r="L825" s="1082"/>
      <c r="M825" s="975" t="s">
        <v>1265</v>
      </c>
    </row>
    <row r="826" spans="1:13" s="1083" customFormat="1" ht="25.2" hidden="1" customHeight="1">
      <c r="A826" s="1153">
        <f t="shared" si="48"/>
        <v>0</v>
      </c>
      <c r="B826" s="1325" t="s">
        <v>4968</v>
      </c>
      <c r="C826" s="1325"/>
      <c r="D826" s="1090">
        <f t="shared" si="50"/>
        <v>5</v>
      </c>
      <c r="E826" s="1079" t="str">
        <f>VLOOKUP($B826,DG!A:D,DG!$B$2,)</f>
        <v>02.8401</v>
      </c>
      <c r="F826" s="1080" t="str">
        <f>VLOOKUP($B826,DG!A:D,DG!$C$2,)</f>
        <v>MCCB 3 cực 400V -200A - 35KA</v>
      </c>
      <c r="G826" s="1079" t="str">
        <f>VLOOKUP($B826,DG!A:D,DG!$D$2,)</f>
        <v>cái</v>
      </c>
      <c r="H826" s="1874">
        <f>H822/3</f>
        <v>1</v>
      </c>
      <c r="I826" s="1259">
        <f t="shared" si="49"/>
        <v>0</v>
      </c>
      <c r="J826" s="1108"/>
      <c r="K826" s="1108"/>
      <c r="L826" s="1082"/>
      <c r="M826" s="975" t="s">
        <v>1265</v>
      </c>
    </row>
    <row r="827" spans="1:13" s="1083" customFormat="1" ht="25.2" hidden="1" customHeight="1">
      <c r="A827" s="1153">
        <f t="shared" si="48"/>
        <v>0</v>
      </c>
      <c r="B827" s="1325" t="s">
        <v>2198</v>
      </c>
      <c r="C827" s="1325"/>
      <c r="D827" s="1090">
        <f t="shared" si="50"/>
        <v>5</v>
      </c>
      <c r="E827" s="1079" t="str">
        <f>VLOOKUP($B827,DG!A:D,DG!$B$2,)</f>
        <v>02.8534</v>
      </c>
      <c r="F827" s="1080" t="str">
        <f>VLOOKUP($B827,DG!A:D,DG!$C$2,)</f>
        <v>Tủ tụ bù hạ thế 60kVAr</v>
      </c>
      <c r="G827" s="1079" t="str">
        <f>VLOOKUP($B827,DG!A:D,DG!$D$2,)</f>
        <v>tủ</v>
      </c>
      <c r="H827" s="1874">
        <f>H822/3*0</f>
        <v>0</v>
      </c>
      <c r="I827" s="1259">
        <f t="shared" si="49"/>
        <v>0</v>
      </c>
      <c r="J827" s="1108"/>
      <c r="K827" s="1108"/>
      <c r="L827" s="1082"/>
      <c r="M827" s="975" t="s">
        <v>1265</v>
      </c>
    </row>
    <row r="828" spans="1:13" s="1083" customFormat="1" ht="25.2" hidden="1" customHeight="1">
      <c r="A828" s="1153">
        <f t="shared" si="48"/>
        <v>0</v>
      </c>
      <c r="B828" s="1327" t="s">
        <v>367</v>
      </c>
      <c r="C828" s="1327"/>
      <c r="D828" s="1090">
        <f>IF(H828&gt;0,D826+1,D826)</f>
        <v>5</v>
      </c>
      <c r="E828" s="1079">
        <f>VLOOKUP($B828,DG!A:D,DG!$B$2,)</f>
        <v>0</v>
      </c>
      <c r="F828" s="1080" t="str">
        <f>VLOOKUP($B828,DG!A:D,DG!$C$2,)</f>
        <v>Dây chảy 6K</v>
      </c>
      <c r="G828" s="1079" t="str">
        <f>VLOOKUP($B828,DG!A:D,DG!$D$2,)</f>
        <v>Sợi</v>
      </c>
      <c r="H828" s="1851">
        <f>H821</f>
        <v>0</v>
      </c>
      <c r="I828" s="1259">
        <f t="shared" ref="I828" si="51">IF(M828=$M$23,H828+J828-K828,0)</f>
        <v>0</v>
      </c>
      <c r="J828" s="1108"/>
      <c r="K828" s="1108"/>
      <c r="L828" s="1110" t="s">
        <v>2609</v>
      </c>
      <c r="M828" s="975" t="s">
        <v>1265</v>
      </c>
    </row>
    <row r="829" spans="1:13" s="1083" customFormat="1" ht="25.2" hidden="1" customHeight="1">
      <c r="A829" s="1153">
        <f t="shared" si="48"/>
        <v>0</v>
      </c>
      <c r="B829" s="1327" t="s">
        <v>1116</v>
      </c>
      <c r="C829" s="1327"/>
      <c r="D829" s="1090">
        <f>IF(H829&gt;0,D827+1,D827)</f>
        <v>6</v>
      </c>
      <c r="E829" s="1079">
        <f>VLOOKUP($B829,DG!A:D,DG!$B$2,)</f>
        <v>0</v>
      </c>
      <c r="F829" s="1080" t="str">
        <f>VLOOKUP($B829,DG!A:D,DG!$C$2,)</f>
        <v xml:space="preserve">Biến dòng 600V - 200/5A </v>
      </c>
      <c r="G829" s="1079" t="str">
        <f>VLOOKUP($B829,DG!A:D,DG!$D$2,)</f>
        <v>cái</v>
      </c>
      <c r="H829" s="1851">
        <f>H822</f>
        <v>3</v>
      </c>
      <c r="I829" s="1259">
        <f t="shared" si="49"/>
        <v>0</v>
      </c>
      <c r="J829" s="1108"/>
      <c r="K829" s="1108"/>
      <c r="L829" s="1110" t="s">
        <v>2609</v>
      </c>
      <c r="M829" s="975" t="s">
        <v>1265</v>
      </c>
    </row>
    <row r="830" spans="1:13" s="1083" customFormat="1" ht="25.2" hidden="1" customHeight="1">
      <c r="A830" s="1153">
        <f t="shared" si="48"/>
        <v>0</v>
      </c>
      <c r="B830" s="1331" t="s">
        <v>288</v>
      </c>
      <c r="C830" s="1331"/>
      <c r="D830" s="1090">
        <f t="shared" si="50"/>
        <v>7</v>
      </c>
      <c r="E830" s="1079" t="str">
        <f>VLOOKUP($B830,DG!A:D,DG!$B$2,)</f>
        <v>05.5104</v>
      </c>
      <c r="F830" s="1080" t="str">
        <f>VLOOKUP($B830,DG!A:D,DG!$C$2,)</f>
        <v>Điện kế 3 pha 4 dây 220/380V-5A</v>
      </c>
      <c r="G830" s="1079" t="str">
        <f>VLOOKUP($B830,DG!A:D,DG!$D$2,)</f>
        <v>cái</v>
      </c>
      <c r="H830" s="1851">
        <f>H824/3</f>
        <v>1</v>
      </c>
      <c r="I830" s="1259">
        <f t="shared" si="49"/>
        <v>0</v>
      </c>
      <c r="J830" s="1108"/>
      <c r="K830" s="1108"/>
      <c r="L830" s="1110" t="s">
        <v>2609</v>
      </c>
      <c r="M830" s="975" t="s">
        <v>1265</v>
      </c>
    </row>
    <row r="831" spans="1:13" s="1083" customFormat="1" ht="25.2" hidden="1" customHeight="1">
      <c r="A831" s="1153">
        <f t="shared" si="48"/>
        <v>0</v>
      </c>
      <c r="B831" s="1324"/>
      <c r="C831" s="1324"/>
      <c r="D831" s="1113"/>
      <c r="E831" s="1114"/>
      <c r="F831" s="1076"/>
      <c r="G831" s="1113"/>
      <c r="H831" s="1861"/>
      <c r="I831" s="1259">
        <f t="shared" si="49"/>
        <v>0</v>
      </c>
      <c r="J831" s="1076"/>
      <c r="K831" s="1113"/>
      <c r="L831" s="1244"/>
      <c r="M831" s="975" t="s">
        <v>1265</v>
      </c>
    </row>
    <row r="832" spans="1:13" s="1083" customFormat="1" ht="25.2" hidden="1" customHeight="1">
      <c r="A832" s="1153">
        <f t="shared" si="48"/>
        <v>0</v>
      </c>
      <c r="B832" s="1324"/>
      <c r="C832" s="1324"/>
      <c r="D832" s="1115"/>
      <c r="E832" s="1116"/>
      <c r="F832" s="1105" t="s">
        <v>3691</v>
      </c>
      <c r="G832" s="1105"/>
      <c r="H832" s="1875"/>
      <c r="I832" s="1259">
        <f t="shared" si="49"/>
        <v>0</v>
      </c>
      <c r="J832" s="1105"/>
      <c r="K832" s="1105"/>
      <c r="L832" s="1136"/>
      <c r="M832" s="975" t="s">
        <v>1265</v>
      </c>
    </row>
    <row r="833" spans="1:14" s="1083" customFormat="1" ht="25.2" hidden="1" customHeight="1">
      <c r="A833" s="1153">
        <f t="shared" si="48"/>
        <v>0</v>
      </c>
      <c r="B833" s="1324"/>
      <c r="C833" s="1324"/>
      <c r="D833" s="1183">
        <f>IF(H833&gt;0,1,0)</f>
        <v>1</v>
      </c>
      <c r="E833" s="1245"/>
      <c r="F833" s="1246" t="s">
        <v>3710</v>
      </c>
      <c r="G833" s="1183" t="s">
        <v>2391</v>
      </c>
      <c r="H833" s="1876">
        <f>H822/3</f>
        <v>1</v>
      </c>
      <c r="I833" s="1259">
        <f t="shared" si="49"/>
        <v>0</v>
      </c>
      <c r="J833" s="1247"/>
      <c r="K833" s="1247"/>
      <c r="L833" s="1196"/>
      <c r="M833" s="975" t="s">
        <v>1265</v>
      </c>
    </row>
    <row r="834" spans="1:14" s="1083" customFormat="1" ht="25.2" hidden="1" customHeight="1">
      <c r="A834" s="1153">
        <f t="shared" si="48"/>
        <v>0</v>
      </c>
      <c r="B834" s="1324"/>
      <c r="C834" s="1324"/>
      <c r="D834" s="1078"/>
      <c r="E834" s="1088"/>
      <c r="F834" s="1367" t="s">
        <v>2285</v>
      </c>
      <c r="G834" s="1090"/>
      <c r="H834" s="1851"/>
      <c r="I834" s="1259">
        <f t="shared" si="49"/>
        <v>0</v>
      </c>
      <c r="J834" s="1129"/>
      <c r="K834" s="1129"/>
      <c r="L834" s="1082"/>
      <c r="M834" s="975" t="s">
        <v>1265</v>
      </c>
    </row>
    <row r="835" spans="1:14" s="1083" customFormat="1" ht="25.2" hidden="1" customHeight="1">
      <c r="A835" s="1153">
        <f t="shared" si="48"/>
        <v>0</v>
      </c>
      <c r="B835" s="1154" t="s">
        <v>1041</v>
      </c>
      <c r="C835" s="1154"/>
      <c r="D835" s="1078"/>
      <c r="E835" s="1079">
        <f>VLOOKUP($B835,DG!A:D,DG!$B$2,)</f>
        <v>0</v>
      </c>
      <c r="F835" s="1080" t="str">
        <f>VLOOKUP($B835,DG!A:D,DG!$C$2,)</f>
        <v>Gía chùm treo máy biến áp 3x50</v>
      </c>
      <c r="G835" s="1079" t="str">
        <f>VLOOKUP($B835,DG!A:D,DG!$D$2,)</f>
        <v>bô</v>
      </c>
      <c r="H835" s="1851">
        <f>H833</f>
        <v>1</v>
      </c>
      <c r="I835" s="1259">
        <f t="shared" si="49"/>
        <v>0</v>
      </c>
      <c r="J835" s="1108"/>
      <c r="K835" s="1108"/>
      <c r="L835" s="1082"/>
      <c r="M835" s="975" t="s">
        <v>1265</v>
      </c>
    </row>
    <row r="836" spans="1:14" s="1083" customFormat="1" ht="25.2" hidden="1" customHeight="1">
      <c r="A836" s="1153">
        <f t="shared" si="48"/>
        <v>0</v>
      </c>
      <c r="B836" s="1324" t="s">
        <v>1790</v>
      </c>
      <c r="C836" s="1324"/>
      <c r="D836" s="1078"/>
      <c r="E836" s="1079">
        <f>VLOOKUP($B836,DG!A:D,DG!$B$2,)</f>
        <v>0</v>
      </c>
      <c r="F836" s="1080" t="str">
        <f>VLOOKUP($B836,DG!A:D,DG!$C$2,)</f>
        <v>Boulon 16x50+ 2 long đền vuông D18-50x50x3/Zn</v>
      </c>
      <c r="G836" s="1079" t="str">
        <f>VLOOKUP($B836,DG!A:D,DG!$D$2,)</f>
        <v>bộ</v>
      </c>
      <c r="H836" s="1851">
        <f>6*H833</f>
        <v>6</v>
      </c>
      <c r="I836" s="1259">
        <f t="shared" si="49"/>
        <v>0</v>
      </c>
      <c r="J836" s="1108"/>
      <c r="K836" s="1108"/>
      <c r="L836" s="1082"/>
      <c r="M836" s="975" t="s">
        <v>1265</v>
      </c>
    </row>
    <row r="837" spans="1:14" s="1083" customFormat="1" ht="25.2" hidden="1" customHeight="1">
      <c r="A837" s="1153">
        <f t="shared" si="48"/>
        <v>0</v>
      </c>
      <c r="B837" s="1324" t="s">
        <v>1613</v>
      </c>
      <c r="C837" s="1324"/>
      <c r="D837" s="1078"/>
      <c r="E837" s="1079">
        <f>VLOOKUP($B837,DG!A:D,DG!$B$2,)</f>
        <v>0</v>
      </c>
      <c r="F837" s="1080" t="str">
        <f>VLOOKUP($B837,DG!A:D,DG!$C$2,)</f>
        <v>Boulon 16x300+ 2 long đền vuông D18-50x50x3/Zn</v>
      </c>
      <c r="G837" s="1079" t="str">
        <f>VLOOKUP($B837,DG!A:D,DG!$D$2,)</f>
        <v>bộ</v>
      </c>
      <c r="H837" s="1851">
        <f>2*H833</f>
        <v>2</v>
      </c>
      <c r="I837" s="1259">
        <f t="shared" ref="I837" si="52">IF(M837=$M$23,H837+J837-K837,0)</f>
        <v>0</v>
      </c>
      <c r="J837" s="1108"/>
      <c r="K837" s="1108"/>
      <c r="L837" s="1082"/>
      <c r="M837" s="975" t="s">
        <v>1265</v>
      </c>
    </row>
    <row r="838" spans="1:14" s="1083" customFormat="1" ht="25.2" hidden="1" customHeight="1">
      <c r="A838" s="1153">
        <f t="shared" si="48"/>
        <v>0</v>
      </c>
      <c r="B838" s="1324" t="s">
        <v>4800</v>
      </c>
      <c r="C838" s="1324"/>
      <c r="D838" s="1078"/>
      <c r="E838" s="1079" t="str">
        <f>VLOOKUP($B838,DG!A:D,DG!$B$2,)</f>
        <v>05.6100</v>
      </c>
      <c r="F838" s="1080" t="str">
        <f>VLOOKUP($B838,DG!A:D,DG!$C$2,)</f>
        <v>Lắp giá treo máy biến áp</v>
      </c>
      <c r="G838" s="1079" t="str">
        <f>VLOOKUP($B838,DG!A:D,DG!$D$2,)</f>
        <v>tấn</v>
      </c>
      <c r="H838" s="1851"/>
      <c r="I838" s="1259">
        <f t="shared" si="49"/>
        <v>0</v>
      </c>
      <c r="J838" s="1108"/>
      <c r="K838" s="1108"/>
      <c r="L838" s="1082"/>
      <c r="M838" s="975" t="s">
        <v>1265</v>
      </c>
    </row>
    <row r="839" spans="1:14" s="1083" customFormat="1" ht="25.2" hidden="1" customHeight="1">
      <c r="A839" s="1153">
        <f t="shared" si="48"/>
        <v>0</v>
      </c>
      <c r="B839" s="1324"/>
      <c r="C839" s="1324"/>
      <c r="D839" s="1078">
        <f>IF(H839&gt;0,D833+1,D833)</f>
        <v>1</v>
      </c>
      <c r="E839" s="1185"/>
      <c r="F839" s="1186" t="s">
        <v>3692</v>
      </c>
      <c r="G839" s="1166" t="s">
        <v>2391</v>
      </c>
      <c r="H839" s="1845">
        <f>H833*0</f>
        <v>0</v>
      </c>
      <c r="I839" s="1259">
        <f t="shared" si="49"/>
        <v>0</v>
      </c>
      <c r="J839" s="1131"/>
      <c r="K839" s="1131"/>
      <c r="L839" s="1110"/>
      <c r="M839" s="975" t="s">
        <v>1265</v>
      </c>
    </row>
    <row r="840" spans="1:14" s="1083" customFormat="1" ht="25.2" hidden="1" customHeight="1">
      <c r="A840" s="1153">
        <f t="shared" si="48"/>
        <v>0</v>
      </c>
      <c r="B840" s="1324"/>
      <c r="C840" s="1324"/>
      <c r="D840" s="1166"/>
      <c r="E840" s="1185"/>
      <c r="F840" s="1364" t="s">
        <v>2285</v>
      </c>
      <c r="G840" s="1110"/>
      <c r="H840" s="1167"/>
      <c r="I840" s="1259">
        <f t="shared" si="49"/>
        <v>0</v>
      </c>
      <c r="J840" s="1131"/>
      <c r="K840" s="1131"/>
      <c r="L840" s="1110"/>
      <c r="M840" s="975" t="s">
        <v>1265</v>
      </c>
      <c r="N840" s="1187"/>
    </row>
    <row r="841" spans="1:14" s="1083" customFormat="1" ht="25.2" hidden="1" customHeight="1">
      <c r="A841" s="1153">
        <f t="shared" si="48"/>
        <v>0</v>
      </c>
      <c r="B841" s="1154" t="s">
        <v>115</v>
      </c>
      <c r="C841" s="1154"/>
      <c r="D841" s="1110"/>
      <c r="E841" s="1079">
        <f>VLOOKUP($B841,DG!A:D,DG!$B$2,)</f>
        <v>0</v>
      </c>
      <c r="F841" s="1080" t="str">
        <f>VLOOKUP($B841,DG!A:D,DG!$C$2,)</f>
        <v>Trụ BTLT 12m F350 dự ứng lực</v>
      </c>
      <c r="G841" s="1079" t="str">
        <f>VLOOKUP($B841,DG!A:D,DG!$D$2,)</f>
        <v>trụ</v>
      </c>
      <c r="H841" s="1167">
        <f>1*H839</f>
        <v>0</v>
      </c>
      <c r="I841" s="1259">
        <f t="shared" si="49"/>
        <v>0</v>
      </c>
      <c r="J841" s="1108"/>
      <c r="K841" s="1108"/>
      <c r="L841" s="1110"/>
      <c r="M841" s="975" t="s">
        <v>1265</v>
      </c>
      <c r="N841" s="1187"/>
    </row>
    <row r="842" spans="1:14" s="1083" customFormat="1" ht="25.2" hidden="1" customHeight="1">
      <c r="A842" s="1153">
        <f t="shared" si="48"/>
        <v>0</v>
      </c>
      <c r="B842" s="1154" t="s">
        <v>1818</v>
      </c>
      <c r="C842" s="1154"/>
      <c r="D842" s="1110"/>
      <c r="E842" s="1188"/>
      <c r="F842" s="1080" t="str">
        <f>VLOOKUP($B842,DG!A:D,DG!$C$2,)</f>
        <v>Vật liệu dựng trụ</v>
      </c>
      <c r="G842" s="1079" t="str">
        <f>VLOOKUP($B842,DG!A:D,DG!$D$2,)</f>
        <v>trụ</v>
      </c>
      <c r="H842" s="1167">
        <f>H841</f>
        <v>0</v>
      </c>
      <c r="I842" s="1259">
        <f t="shared" si="49"/>
        <v>0</v>
      </c>
      <c r="J842" s="1108"/>
      <c r="K842" s="1108"/>
      <c r="L842" s="1110"/>
      <c r="M842" s="975" t="s">
        <v>1265</v>
      </c>
      <c r="N842" s="1187"/>
    </row>
    <row r="843" spans="1:14" s="1083" customFormat="1" ht="25.2" hidden="1" customHeight="1">
      <c r="A843" s="1153">
        <f t="shared" si="48"/>
        <v>0</v>
      </c>
      <c r="B843" s="1154" t="s">
        <v>2132</v>
      </c>
      <c r="C843" s="1154"/>
      <c r="D843" s="1110"/>
      <c r="E843" s="1188"/>
      <c r="F843" s="1080" t="str">
        <f>VLOOKUP($B843,DG!A:D,DG!$C$2,)</f>
        <v>Dựng trụ BTLT 12m trong TBA bằng thủ công + cơ giới</v>
      </c>
      <c r="G843" s="1079" t="str">
        <f>VLOOKUP($B843,DG!A:D,DG!$D$2,)</f>
        <v>trụ</v>
      </c>
      <c r="H843" s="1167">
        <f>H841</f>
        <v>0</v>
      </c>
      <c r="I843" s="1259">
        <f t="shared" si="49"/>
        <v>0</v>
      </c>
      <c r="J843" s="1108"/>
      <c r="K843" s="1108"/>
      <c r="L843" s="1110"/>
      <c r="M843" s="975" t="s">
        <v>1265</v>
      </c>
      <c r="N843" s="1187"/>
    </row>
    <row r="844" spans="1:14" s="1083" customFormat="1" ht="25.2" hidden="1" customHeight="1">
      <c r="A844" s="1153">
        <f t="shared" si="48"/>
        <v>0</v>
      </c>
      <c r="B844" s="1324"/>
      <c r="C844" s="1324"/>
      <c r="D844" s="1078">
        <f>IF(H844&gt;0,D839+1,D839)</f>
        <v>1</v>
      </c>
      <c r="E844" s="1185"/>
      <c r="F844" s="1186" t="s">
        <v>2358</v>
      </c>
      <c r="G844" s="1166" t="s">
        <v>2391</v>
      </c>
      <c r="H844" s="1845">
        <f>H839</f>
        <v>0</v>
      </c>
      <c r="I844" s="1259">
        <f t="shared" si="49"/>
        <v>0</v>
      </c>
      <c r="J844" s="1131"/>
      <c r="K844" s="1131"/>
      <c r="L844" s="1110"/>
      <c r="M844" s="975" t="s">
        <v>1265</v>
      </c>
    </row>
    <row r="845" spans="1:14" s="1083" customFormat="1" ht="25.2" hidden="1" customHeight="1">
      <c r="A845" s="1153">
        <f t="shared" si="48"/>
        <v>0</v>
      </c>
      <c r="B845" s="1324"/>
      <c r="C845" s="1324"/>
      <c r="D845" s="1166"/>
      <c r="E845" s="1185"/>
      <c r="F845" s="1364" t="s">
        <v>2285</v>
      </c>
      <c r="G845" s="1110"/>
      <c r="H845" s="1167"/>
      <c r="I845" s="1259">
        <f t="shared" si="49"/>
        <v>0</v>
      </c>
      <c r="J845" s="1131"/>
      <c r="K845" s="1131"/>
      <c r="L845" s="1110"/>
      <c r="M845" s="975" t="s">
        <v>1265</v>
      </c>
      <c r="N845" s="1187"/>
    </row>
    <row r="846" spans="1:14" s="1083" customFormat="1" ht="25.2" hidden="1" customHeight="1">
      <c r="A846" s="1153">
        <f t="shared" si="48"/>
        <v>0</v>
      </c>
      <c r="B846" s="1331" t="s">
        <v>636</v>
      </c>
      <c r="C846" s="1331"/>
      <c r="D846" s="1110"/>
      <c r="E846" s="1079" t="str">
        <f>VLOOKUP($B846,DG!A:D,DG!$B$2,)</f>
        <v>04.4001</v>
      </c>
      <c r="F846" s="1080" t="str">
        <f>VLOOKUP($B846,DG!A:D,DG!$C$2,)</f>
        <v>Đà cản BTCT 1,2m</v>
      </c>
      <c r="G846" s="1079" t="str">
        <f>VLOOKUP($B846,DG!A:D,DG!$D$2,)</f>
        <v>cái</v>
      </c>
      <c r="H846" s="1167">
        <f>1*H844</f>
        <v>0</v>
      </c>
      <c r="I846" s="1259">
        <f t="shared" si="49"/>
        <v>0</v>
      </c>
      <c r="J846" s="1108"/>
      <c r="K846" s="1108"/>
      <c r="L846" s="1110"/>
      <c r="M846" s="975" t="s">
        <v>1265</v>
      </c>
      <c r="N846" s="1187"/>
    </row>
    <row r="847" spans="1:14" s="1083" customFormat="1" ht="25.2" hidden="1" customHeight="1">
      <c r="A847" s="1153">
        <f t="shared" si="48"/>
        <v>0</v>
      </c>
      <c r="B847" s="1331" t="s">
        <v>566</v>
      </c>
      <c r="C847" s="1331"/>
      <c r="D847" s="1110"/>
      <c r="E847" s="1079">
        <f>VLOOKUP($B847,DG!A:D,DG!$B$2,)</f>
        <v>0</v>
      </c>
      <c r="F847" s="1080" t="str">
        <f>VLOOKUP($B847,DG!A:D,DG!$C$2,)</f>
        <v>Boulon 22x650+ 2 long đền vuông D24-50x50x3/Zn</v>
      </c>
      <c r="G847" s="1079" t="str">
        <f>VLOOKUP($B847,DG!A:D,DG!$D$2,)</f>
        <v>bộ</v>
      </c>
      <c r="H847" s="1167">
        <f>H844</f>
        <v>0</v>
      </c>
      <c r="I847" s="1259">
        <f t="shared" si="49"/>
        <v>0</v>
      </c>
      <c r="J847" s="1108"/>
      <c r="K847" s="1108"/>
      <c r="L847" s="1110"/>
      <c r="M847" s="975" t="s">
        <v>1265</v>
      </c>
      <c r="N847" s="1187"/>
    </row>
    <row r="848" spans="1:14" s="1083" customFormat="1" ht="25.2" hidden="1" customHeight="1">
      <c r="A848" s="1153">
        <f t="shared" si="48"/>
        <v>0</v>
      </c>
      <c r="B848" s="1331" t="str">
        <f>IF(chitiet!G5=1,"MDD1",IF(chitiet!G5=2,"MDD2",IF(chitiet!G5=3,"MDD3",IF(chitiet!G5=4,"MDD4"))))</f>
        <v>MDD3</v>
      </c>
      <c r="C848" s="1331"/>
      <c r="D848" s="1110"/>
      <c r="E848" s="1079" t="str">
        <f>VLOOKUP($B848,DG!A:D,DG!$B$2,)</f>
        <v>03.1013</v>
      </c>
      <c r="F848" s="1080" t="str">
        <f>VLOOKUP($B848,DG!A:D,DG!$C$2,)</f>
        <v>Đào hố móng đất cấp 3 sâu &gt;1m</v>
      </c>
      <c r="G848" s="1079" t="str">
        <f>VLOOKUP($B848,DG!A:D,DG!$D$2,)</f>
        <v>m3</v>
      </c>
      <c r="H848" s="1167">
        <f>H844*0.87</f>
        <v>0</v>
      </c>
      <c r="I848" s="1259">
        <f t="shared" si="49"/>
        <v>0</v>
      </c>
      <c r="J848" s="1108"/>
      <c r="K848" s="1108"/>
      <c r="L848" s="1110"/>
      <c r="M848" s="975" t="s">
        <v>1265</v>
      </c>
      <c r="N848" s="1187"/>
    </row>
    <row r="849" spans="1:14" s="1083" customFormat="1" ht="25.2" hidden="1" customHeight="1">
      <c r="A849" s="1153">
        <f t="shared" si="48"/>
        <v>0</v>
      </c>
      <c r="B849" s="1331" t="str">
        <f>IF(chitiet!G5=1,"MDAP1",IF(chitiet!G5=2,"MDAP2",IF(chitiet!G5=3,"MDAP3",IF(chitiet!G5=4,"MDAP4"))))</f>
        <v>MDAP3</v>
      </c>
      <c r="C849" s="1331"/>
      <c r="D849" s="1110"/>
      <c r="E849" s="1079" t="str">
        <f>VLOOKUP($B849,DG!A:D,DG!$B$2,)</f>
        <v>03.4113</v>
      </c>
      <c r="F849" s="1080" t="str">
        <f>VLOOKUP($B849,DG!A:D,DG!$C$2,)</f>
        <v>Đắp đất hố móng, độ chặt k=0,95</v>
      </c>
      <c r="G849" s="1079" t="str">
        <f>VLOOKUP($B849,DG!A:D,DG!$D$2,)</f>
        <v>m3</v>
      </c>
      <c r="H849" s="1167">
        <f>H844*0.79</f>
        <v>0</v>
      </c>
      <c r="I849" s="1259">
        <f t="shared" si="49"/>
        <v>0</v>
      </c>
      <c r="J849" s="1108"/>
      <c r="K849" s="1108"/>
      <c r="L849" s="1110"/>
      <c r="M849" s="975" t="s">
        <v>1265</v>
      </c>
      <c r="N849" s="1187"/>
    </row>
    <row r="850" spans="1:14" s="1083" customFormat="1" ht="25.2" hidden="1" customHeight="1">
      <c r="A850" s="1153">
        <f t="shared" si="48"/>
        <v>0</v>
      </c>
      <c r="B850" s="1324"/>
      <c r="C850" s="1324"/>
      <c r="D850" s="1166">
        <f>IF(H850&gt;0,D844+1,D844)</f>
        <v>2</v>
      </c>
      <c r="E850" s="1209"/>
      <c r="F850" s="1197" t="s">
        <v>3717</v>
      </c>
      <c r="G850" s="1166" t="s">
        <v>2391</v>
      </c>
      <c r="H850" s="1845">
        <f>H833</f>
        <v>1</v>
      </c>
      <c r="I850" s="1259">
        <f t="shared" si="49"/>
        <v>0</v>
      </c>
      <c r="J850" s="1131"/>
      <c r="K850" s="1131"/>
      <c r="L850" s="1082"/>
      <c r="M850" s="975" t="s">
        <v>1265</v>
      </c>
    </row>
    <row r="851" spans="1:14" s="1083" customFormat="1" ht="25.2" hidden="1" customHeight="1">
      <c r="A851" s="1153">
        <f t="shared" si="48"/>
        <v>0</v>
      </c>
      <c r="B851" s="1324"/>
      <c r="C851" s="1324"/>
      <c r="D851" s="1166"/>
      <c r="E851" s="1209"/>
      <c r="F851" s="1365" t="s">
        <v>2285</v>
      </c>
      <c r="G851" s="1110"/>
      <c r="H851" s="1167"/>
      <c r="I851" s="1259">
        <f t="shared" si="49"/>
        <v>0</v>
      </c>
      <c r="J851" s="1131"/>
      <c r="K851" s="1131"/>
      <c r="L851" s="1082"/>
      <c r="M851" s="975" t="s">
        <v>1265</v>
      </c>
    </row>
    <row r="852" spans="1:14" s="1083" customFormat="1" ht="25.2" hidden="1" customHeight="1">
      <c r="A852" s="1153">
        <f t="shared" si="48"/>
        <v>0</v>
      </c>
      <c r="B852" s="1331" t="s">
        <v>4354</v>
      </c>
      <c r="C852" s="1331"/>
      <c r="D852" s="1166"/>
      <c r="E852" s="1079">
        <f>VLOOKUP($B852,DG!A:D,DG!$B$2,)</f>
        <v>0</v>
      </c>
      <c r="F852" s="1080" t="str">
        <f>VLOOKUP($B852,DG!A:D,DG!$C$2,)</f>
        <v>Xà composite 110x800x5 dài 2,4m</v>
      </c>
      <c r="G852" s="1079" t="str">
        <f>VLOOKUP($B852,DG!A:D,DG!$D$2,)</f>
        <v>cái</v>
      </c>
      <c r="H852" s="1167">
        <v>1</v>
      </c>
      <c r="I852" s="1259">
        <f t="shared" si="49"/>
        <v>0</v>
      </c>
      <c r="J852" s="1108"/>
      <c r="K852" s="1108"/>
      <c r="L852" s="1082"/>
      <c r="M852" s="975" t="s">
        <v>1265</v>
      </c>
    </row>
    <row r="853" spans="1:14" s="1083" customFormat="1" ht="25.2" hidden="1" customHeight="1">
      <c r="A853" s="1153">
        <f t="shared" si="48"/>
        <v>0</v>
      </c>
      <c r="B853" s="1324" t="s">
        <v>365</v>
      </c>
      <c r="C853" s="1324"/>
      <c r="D853" s="1166"/>
      <c r="E853" s="1079">
        <f>VLOOKUP($B853,DG!A:D,DG!$B$2,)</f>
        <v>0</v>
      </c>
      <c r="F853" s="1080" t="str">
        <f>VLOOKUP($B853,DG!A:D,DG!$C$2,)</f>
        <v>Chống composite 40x10x920</v>
      </c>
      <c r="G853" s="1079" t="str">
        <f>VLOOKUP($B853,DG!A:D,DG!$D$2,)</f>
        <v>cái</v>
      </c>
      <c r="H853" s="1167">
        <v>2</v>
      </c>
      <c r="I853" s="1259">
        <f t="shared" si="49"/>
        <v>0</v>
      </c>
      <c r="J853" s="1108"/>
      <c r="K853" s="1108"/>
      <c r="L853" s="1082"/>
      <c r="M853" s="975" t="s">
        <v>1265</v>
      </c>
    </row>
    <row r="854" spans="1:14" s="1083" customFormat="1" ht="25.2" hidden="1" customHeight="1">
      <c r="A854" s="1153">
        <f t="shared" si="48"/>
        <v>0</v>
      </c>
      <c r="B854" s="1324" t="s">
        <v>488</v>
      </c>
      <c r="C854" s="1324"/>
      <c r="D854" s="1166"/>
      <c r="E854" s="1079">
        <f>VLOOKUP($B854,DG!A:D,DG!$B$2,)</f>
        <v>0</v>
      </c>
      <c r="F854" s="1080" t="str">
        <f>VLOOKUP($B854,DG!A:D,DG!$C$2,)</f>
        <v>Bass LL bắt FCO, LA</v>
      </c>
      <c r="G854" s="1079" t="str">
        <f>VLOOKUP($B854,DG!A:D,DG!$D$2,)</f>
        <v>bộ</v>
      </c>
      <c r="H854" s="1167">
        <f>H850*3</f>
        <v>3</v>
      </c>
      <c r="I854" s="1259">
        <f t="shared" si="49"/>
        <v>0</v>
      </c>
      <c r="J854" s="1108"/>
      <c r="K854" s="1108"/>
      <c r="L854" s="1082"/>
      <c r="M854" s="975" t="s">
        <v>1265</v>
      </c>
    </row>
    <row r="855" spans="1:14" s="1083" customFormat="1" ht="25.2" hidden="1" customHeight="1">
      <c r="A855" s="1153">
        <f t="shared" si="48"/>
        <v>0</v>
      </c>
      <c r="B855" s="1324" t="s">
        <v>244</v>
      </c>
      <c r="C855" s="1324"/>
      <c r="D855" s="1166"/>
      <c r="E855" s="1079">
        <f>VLOOKUP($B855,DG!A:D,DG!$B$2,)</f>
        <v>0</v>
      </c>
      <c r="F855" s="1080" t="str">
        <f>VLOOKUP($B855,DG!A:D,DG!$C$2,)</f>
        <v>Boulon 16x150+ 2 long đền vuông D18-50x50x3/Zn</v>
      </c>
      <c r="G855" s="1079" t="str">
        <f>VLOOKUP($B855,DG!A:D,DG!$D$2,)</f>
        <v>bộ</v>
      </c>
      <c r="H855" s="1167">
        <f>2*H850</f>
        <v>2</v>
      </c>
      <c r="I855" s="1259">
        <f t="shared" si="49"/>
        <v>0</v>
      </c>
      <c r="J855" s="1108"/>
      <c r="K855" s="1108"/>
      <c r="L855" s="1082"/>
      <c r="M855" s="975" t="s">
        <v>1265</v>
      </c>
    </row>
    <row r="856" spans="1:14" s="1083" customFormat="1" ht="25.2" hidden="1" customHeight="1">
      <c r="A856" s="1153">
        <f t="shared" si="48"/>
        <v>0</v>
      </c>
      <c r="B856" s="1324" t="s">
        <v>1613</v>
      </c>
      <c r="C856" s="1324"/>
      <c r="D856" s="1166"/>
      <c r="E856" s="1079">
        <f>VLOOKUP($B856,DG!A:D,DG!$B$2,)</f>
        <v>0</v>
      </c>
      <c r="F856" s="1080" t="str">
        <f>VLOOKUP($B856,DG!A:D,DG!$C$2,)</f>
        <v>Boulon 16x300+ 2 long đền vuông D18-50x50x3/Zn</v>
      </c>
      <c r="G856" s="1079" t="str">
        <f>VLOOKUP($B856,DG!A:D,DG!$D$2,)</f>
        <v>bộ</v>
      </c>
      <c r="H856" s="1167">
        <v>1</v>
      </c>
      <c r="I856" s="1259">
        <f t="shared" ref="I856" si="53">IF(M856=$M$23,H856+J856-K856,0)</f>
        <v>0</v>
      </c>
      <c r="J856" s="1108"/>
      <c r="K856" s="1108"/>
      <c r="L856" s="1082"/>
      <c r="M856" s="975" t="s">
        <v>1265</v>
      </c>
    </row>
    <row r="857" spans="1:14" s="1083" customFormat="1" ht="25.2" hidden="1" customHeight="1">
      <c r="A857" s="1153">
        <f t="shared" si="48"/>
        <v>0</v>
      </c>
      <c r="B857" s="1324" t="s">
        <v>1083</v>
      </c>
      <c r="C857" s="1324"/>
      <c r="D857" s="1166"/>
      <c r="E857" s="1079">
        <f>VLOOKUP($B857,DG!A:D,DG!$B$2,)</f>
        <v>0</v>
      </c>
      <c r="F857" s="1080" t="str">
        <f>VLOOKUP($B857,DG!A:D,DG!$C$2,)</f>
        <v>Boulon 16x400+ 2 long đền vuông D18-50x50x3/Zn</v>
      </c>
      <c r="G857" s="1079" t="str">
        <f>VLOOKUP($B857,DG!A:D,DG!$D$2,)</f>
        <v>bộ</v>
      </c>
      <c r="H857" s="1167">
        <v>1</v>
      </c>
      <c r="I857" s="1259">
        <f t="shared" si="49"/>
        <v>0</v>
      </c>
      <c r="J857" s="1108"/>
      <c r="K857" s="1108"/>
      <c r="L857" s="1082"/>
      <c r="M857" s="975" t="s">
        <v>1265</v>
      </c>
    </row>
    <row r="858" spans="1:14" s="1083" customFormat="1" ht="25.2" hidden="1" customHeight="1">
      <c r="A858" s="1153">
        <f t="shared" ref="A858:A921" si="54">IF(I858&gt;0,1,0)</f>
        <v>0</v>
      </c>
      <c r="B858" s="1324" t="s">
        <v>420</v>
      </c>
      <c r="C858" s="1324"/>
      <c r="D858" s="1166"/>
      <c r="E858" s="1079" t="str">
        <f>VLOOKUP($B858,DG!A:D,DG!$B$2,)</f>
        <v>05.6102</v>
      </c>
      <c r="F858" s="1080" t="str">
        <f>VLOOKUP($B858,DG!A:D,DG!$C$2,)</f>
        <v>Lắp xà đỡ ≤ 50kg</v>
      </c>
      <c r="G858" s="1079" t="str">
        <f>VLOOKUP($B858,DG!A:D,DG!$D$2,)</f>
        <v>bộ</v>
      </c>
      <c r="H858" s="1167">
        <f>H850</f>
        <v>1</v>
      </c>
      <c r="I858" s="1259">
        <f t="shared" si="49"/>
        <v>0</v>
      </c>
      <c r="J858" s="1108"/>
      <c r="K858" s="1108"/>
      <c r="L858" s="1082"/>
      <c r="M858" s="975" t="s">
        <v>1265</v>
      </c>
    </row>
    <row r="859" spans="1:14" s="1083" customFormat="1" ht="25.2" hidden="1" customHeight="1">
      <c r="A859" s="1153">
        <f t="shared" si="54"/>
        <v>0</v>
      </c>
      <c r="B859" s="1324"/>
      <c r="C859" s="1324"/>
      <c r="D859" s="1078">
        <f>IF(H859&gt;0,D850+1,D850)</f>
        <v>3</v>
      </c>
      <c r="E859" s="1088"/>
      <c r="F859" s="1248" t="s">
        <v>3712</v>
      </c>
      <c r="G859" s="1078" t="s">
        <v>2391</v>
      </c>
      <c r="H859" s="1868">
        <f>H833</f>
        <v>1</v>
      </c>
      <c r="I859" s="1259">
        <f t="shared" si="49"/>
        <v>0</v>
      </c>
      <c r="J859" s="1131"/>
      <c r="K859" s="1131"/>
      <c r="L859" s="1082"/>
      <c r="M859" s="975" t="s">
        <v>1265</v>
      </c>
    </row>
    <row r="860" spans="1:14" s="1083" customFormat="1" ht="25.2" hidden="1" customHeight="1">
      <c r="A860" s="1153">
        <f t="shared" si="54"/>
        <v>0</v>
      </c>
      <c r="B860" s="1324"/>
      <c r="C860" s="1324"/>
      <c r="D860" s="1078"/>
      <c r="E860" s="1088"/>
      <c r="F860" s="1367" t="s">
        <v>2285</v>
      </c>
      <c r="G860" s="1079"/>
      <c r="H860" s="1851"/>
      <c r="I860" s="1259">
        <f t="shared" si="49"/>
        <v>0</v>
      </c>
      <c r="J860" s="1131"/>
      <c r="K860" s="1131"/>
      <c r="L860" s="1082"/>
      <c r="M860" s="975" t="s">
        <v>1265</v>
      </c>
    </row>
    <row r="861" spans="1:14" s="1083" customFormat="1" ht="25.2" hidden="1" customHeight="1">
      <c r="A861" s="1153">
        <f t="shared" si="54"/>
        <v>0</v>
      </c>
      <c r="B861" s="1324" t="s">
        <v>103</v>
      </c>
      <c r="C861" s="1324"/>
      <c r="D861" s="1110"/>
      <c r="E861" s="1079">
        <f>VLOOKUP($B861,DG!A:D,DG!$B$2,)</f>
        <v>0</v>
      </c>
      <c r="F861" s="1080" t="str">
        <f>VLOOKUP($B861,DG!A:D,DG!$C$2,)</f>
        <v>Cáp đồng trần M25mm2</v>
      </c>
      <c r="G861" s="1079" t="str">
        <f>VLOOKUP($B861,DG!A:D,DG!$D$2,)</f>
        <v>kg</v>
      </c>
      <c r="H861" s="1167">
        <v>11.9</v>
      </c>
      <c r="I861" s="1259">
        <f t="shared" si="49"/>
        <v>0</v>
      </c>
      <c r="J861" s="1108"/>
      <c r="K861" s="1108"/>
      <c r="L861" s="1082"/>
      <c r="M861" s="975" t="s">
        <v>1265</v>
      </c>
    </row>
    <row r="862" spans="1:14" s="1083" customFormat="1" ht="25.2" hidden="1" customHeight="1">
      <c r="A862" s="1153">
        <f t="shared" si="54"/>
        <v>0</v>
      </c>
      <c r="B862" s="1324" t="s">
        <v>2113</v>
      </c>
      <c r="C862" s="1324"/>
      <c r="D862" s="1110"/>
      <c r="E862" s="1079" t="str">
        <f>VLOOKUP($B862,DG!A:D,DG!$B$2,)</f>
        <v>04.4201</v>
      </c>
      <c r="F862" s="1080" t="str">
        <f>VLOOKUP($B862,DG!A:D,DG!$C$2,)</f>
        <v>Cáp đồng bọc CV11</v>
      </c>
      <c r="G862" s="1079" t="str">
        <f>VLOOKUP($B862,DG!A:D,DG!$D$2,)</f>
        <v>mét</v>
      </c>
      <c r="H862" s="1167">
        <v>2</v>
      </c>
      <c r="I862" s="1259">
        <f t="shared" ref="I862" si="55">IF(M862=$M$23,H862+J862-K862,0)</f>
        <v>0</v>
      </c>
      <c r="J862" s="1108"/>
      <c r="K862" s="1108"/>
      <c r="L862" s="1082"/>
      <c r="M862" s="975" t="s">
        <v>1265</v>
      </c>
    </row>
    <row r="863" spans="1:14" s="1083" customFormat="1" ht="25.2" hidden="1" customHeight="1">
      <c r="A863" s="1153">
        <f t="shared" si="54"/>
        <v>0</v>
      </c>
      <c r="B863" s="1154" t="s">
        <v>1511</v>
      </c>
      <c r="C863" s="1154"/>
      <c r="D863" s="1110"/>
      <c r="E863" s="1079">
        <f>VLOOKUP($B863,DG!A:D,DG!$B$2,)</f>
        <v>0</v>
      </c>
      <c r="F863" s="1080" t="str">
        <f>VLOOKUP($B863,DG!A:D,DG!$C$2,)</f>
        <v>Cọc tiếp đất Þ 16- 2,4m + kẹp cọc mạ đồng</v>
      </c>
      <c r="G863" s="1079" t="str">
        <f>VLOOKUP($B863,DG!A:D,DG!$D$2,)</f>
        <v>bộ</v>
      </c>
      <c r="H863" s="1167">
        <v>10</v>
      </c>
      <c r="I863" s="1259">
        <f t="shared" si="49"/>
        <v>0</v>
      </c>
      <c r="J863" s="1108"/>
      <c r="K863" s="1108"/>
      <c r="L863" s="1082"/>
      <c r="M863" s="975" t="s">
        <v>1265</v>
      </c>
    </row>
    <row r="864" spans="1:14" s="1083" customFormat="1" ht="25.2" hidden="1" customHeight="1">
      <c r="A864" s="1153">
        <f t="shared" si="54"/>
        <v>0</v>
      </c>
      <c r="B864" s="1154" t="s">
        <v>995</v>
      </c>
      <c r="C864" s="1154"/>
      <c r="D864" s="1110"/>
      <c r="E864" s="1079">
        <f>VLOOKUP($B864,DG!A:D,DG!$B$2,)</f>
        <v>0</v>
      </c>
      <c r="F864" s="1080" t="str">
        <f>VLOOKUP($B864,DG!A:D,DG!$C$2,)</f>
        <v>Sắt Ø10</v>
      </c>
      <c r="G864" s="1079" t="str">
        <f>VLOOKUP($B864,DG!A:D,DG!$D$2,)</f>
        <v>kg</v>
      </c>
      <c r="H864" s="1167"/>
      <c r="I864" s="1259">
        <f t="shared" si="49"/>
        <v>0</v>
      </c>
      <c r="J864" s="1108"/>
      <c r="K864" s="1108"/>
      <c r="L864" s="1082"/>
      <c r="M864" s="975" t="s">
        <v>1265</v>
      </c>
    </row>
    <row r="865" spans="1:13" s="1083" customFormat="1" ht="25.2" hidden="1" customHeight="1">
      <c r="A865" s="1153">
        <f t="shared" si="54"/>
        <v>0</v>
      </c>
      <c r="B865" s="1154" t="s">
        <v>372</v>
      </c>
      <c r="C865" s="1154"/>
      <c r="D865" s="1110"/>
      <c r="E865" s="1079">
        <f>VLOOKUP($B865,DG!A:D,DG!$B$2,)</f>
        <v>0</v>
      </c>
      <c r="F865" s="1080" t="str">
        <f>VLOOKUP($B865,DG!A:D,DG!$C$2,)</f>
        <v>Bake D16 - 200x200</v>
      </c>
      <c r="G865" s="1079" t="str">
        <f>VLOOKUP($B865,DG!A:D,DG!$D$2,)</f>
        <v>cái</v>
      </c>
      <c r="H865" s="1167"/>
      <c r="I865" s="1259">
        <f t="shared" si="49"/>
        <v>0</v>
      </c>
      <c r="J865" s="1108"/>
      <c r="K865" s="1108"/>
      <c r="L865" s="1082"/>
      <c r="M865" s="975" t="s">
        <v>1265</v>
      </c>
    </row>
    <row r="866" spans="1:13" s="1083" customFormat="1" ht="25.2" hidden="1" customHeight="1">
      <c r="A866" s="1153">
        <f t="shared" si="54"/>
        <v>0</v>
      </c>
      <c r="B866" s="1329" t="s">
        <v>1062</v>
      </c>
      <c r="C866" s="1329"/>
      <c r="D866" s="1110"/>
      <c r="E866" s="1079" t="str">
        <f>VLOOKUP($B866,DG!A:D,DG!$B$2,)</f>
        <v>04.3107</v>
      </c>
      <c r="F866" s="1080" t="str">
        <f>VLOOKUP($B866,DG!A:D,DG!$C$2,)</f>
        <v>Ốc siết cáp cỡ 25mm2</v>
      </c>
      <c r="G866" s="1079" t="str">
        <f>VLOOKUP($B866,DG!A:D,DG!$D$2,)</f>
        <v>cái</v>
      </c>
      <c r="H866" s="1167">
        <v>6</v>
      </c>
      <c r="I866" s="1259">
        <f t="shared" si="49"/>
        <v>0</v>
      </c>
      <c r="J866" s="1108"/>
      <c r="K866" s="1108"/>
      <c r="L866" s="1082"/>
      <c r="M866" s="975" t="s">
        <v>1265</v>
      </c>
    </row>
    <row r="867" spans="1:13" s="1083" customFormat="1" ht="25.2" hidden="1" customHeight="1">
      <c r="A867" s="1153">
        <f t="shared" si="54"/>
        <v>0</v>
      </c>
      <c r="B867" s="1329" t="s">
        <v>1115</v>
      </c>
      <c r="C867" s="1329"/>
      <c r="D867" s="1110"/>
      <c r="E867" s="1079">
        <f>VLOOKUP($B867,DG!A:D,DG!$B$2,)</f>
        <v>0</v>
      </c>
      <c r="F867" s="1080" t="str">
        <f>VLOOKUP($B867,DG!A:D,DG!$C$2,)</f>
        <v>Kẹp ép cỡ dây 25mm2</v>
      </c>
      <c r="G867" s="1079" t="str">
        <f>VLOOKUP($B867,DG!A:D,DG!$D$2,)</f>
        <v>cái</v>
      </c>
      <c r="H867" s="1167">
        <v>2</v>
      </c>
      <c r="I867" s="1259">
        <f t="shared" si="49"/>
        <v>0</v>
      </c>
      <c r="J867" s="1108"/>
      <c r="K867" s="1108"/>
      <c r="L867" s="1082"/>
      <c r="M867" s="975" t="s">
        <v>1265</v>
      </c>
    </row>
    <row r="868" spans="1:13" s="1083" customFormat="1" ht="25.2" hidden="1" customHeight="1">
      <c r="A868" s="1153">
        <f t="shared" si="54"/>
        <v>0</v>
      </c>
      <c r="B868" s="1329" t="s">
        <v>377</v>
      </c>
      <c r="C868" s="1329"/>
      <c r="D868" s="1110"/>
      <c r="E868" s="1079" t="str">
        <f>VLOOKUP($B868,DG!A:D,DG!$B$2,)</f>
        <v>03.4002</v>
      </c>
      <c r="F868" s="1080" t="str">
        <f>VLOOKUP($B868,DG!A:D,DG!$C$2,)</f>
        <v>Đầu cosse ép Cu 35mm2</v>
      </c>
      <c r="G868" s="1079" t="str">
        <f>VLOOKUP($B868,DG!A:D,DG!$D$2,)</f>
        <v>cái</v>
      </c>
      <c r="H868" s="1167"/>
      <c r="I868" s="1259">
        <f t="shared" si="49"/>
        <v>0</v>
      </c>
      <c r="J868" s="1108"/>
      <c r="K868" s="1108"/>
      <c r="L868" s="1082"/>
      <c r="M868" s="975" t="s">
        <v>1265</v>
      </c>
    </row>
    <row r="869" spans="1:13" s="1083" customFormat="1" ht="25.2" hidden="1" customHeight="1">
      <c r="A869" s="1153">
        <f t="shared" si="54"/>
        <v>0</v>
      </c>
      <c r="B869" s="1329" t="s">
        <v>371</v>
      </c>
      <c r="C869" s="1329"/>
      <c r="D869" s="1110"/>
      <c r="E869" s="1079" t="str">
        <f>VLOOKUP($B869,DG!A:D,DG!$B$2,)</f>
        <v>03.4003</v>
      </c>
      <c r="F869" s="1080" t="str">
        <f>VLOOKUP($B869,DG!A:D,DG!$C$2,)</f>
        <v>Đầu cosse ép Cu 70mm2</v>
      </c>
      <c r="G869" s="1079" t="str">
        <f>VLOOKUP($B869,DG!A:D,DG!$D$2,)</f>
        <v>cái</v>
      </c>
      <c r="H869" s="1167"/>
      <c r="I869" s="1259">
        <f t="shared" si="49"/>
        <v>0</v>
      </c>
      <c r="J869" s="1108"/>
      <c r="K869" s="1108"/>
      <c r="L869" s="1082"/>
      <c r="M869" s="975" t="s">
        <v>1265</v>
      </c>
    </row>
    <row r="870" spans="1:13" s="1083" customFormat="1" ht="25.2" hidden="1" customHeight="1">
      <c r="A870" s="1153">
        <f t="shared" si="54"/>
        <v>0</v>
      </c>
      <c r="B870" s="1154" t="s">
        <v>375</v>
      </c>
      <c r="C870" s="1154"/>
      <c r="D870" s="1110"/>
      <c r="E870" s="1079" t="str">
        <f>VLOOKUP($B870,DG!A:D,DG!$B$2,)</f>
        <v>06.3231</v>
      </c>
      <c r="F870" s="1080" t="str">
        <f>VLOOKUP($B870,DG!A:D,DG!$C$2,)</f>
        <v>Cổ dê kẹp sắt Ø 10</v>
      </c>
      <c r="G870" s="1079" t="str">
        <f>VLOOKUP($B870,DG!A:D,DG!$D$2,)</f>
        <v>bộ</v>
      </c>
      <c r="H870" s="1167"/>
      <c r="I870" s="1259">
        <f t="shared" si="49"/>
        <v>0</v>
      </c>
      <c r="J870" s="1108"/>
      <c r="K870" s="1108"/>
      <c r="L870" s="1082"/>
      <c r="M870" s="975" t="s">
        <v>1265</v>
      </c>
    </row>
    <row r="871" spans="1:13" s="1083" customFormat="1" ht="25.2" hidden="1" customHeight="1">
      <c r="A871" s="1153">
        <f t="shared" si="54"/>
        <v>0</v>
      </c>
      <c r="B871" s="1154" t="s">
        <v>1353</v>
      </c>
      <c r="C871" s="1154"/>
      <c r="D871" s="1110"/>
      <c r="E871" s="1079">
        <f>VLOOKUP($B871,DG!A:D,DG!$B$2,)</f>
        <v>0</v>
      </c>
      <c r="F871" s="1080" t="s">
        <v>821</v>
      </c>
      <c r="G871" s="1079" t="str">
        <f>VLOOKUP($B871,DG!A:D,DG!$D$2,)</f>
        <v>bộ</v>
      </c>
      <c r="H871" s="1167"/>
      <c r="I871" s="1259">
        <f t="shared" si="49"/>
        <v>0</v>
      </c>
      <c r="J871" s="1108"/>
      <c r="K871" s="1108"/>
      <c r="L871" s="1082"/>
      <c r="M871" s="975" t="s">
        <v>1265</v>
      </c>
    </row>
    <row r="872" spans="1:13" s="1083" customFormat="1" ht="25.2" hidden="1" customHeight="1">
      <c r="A872" s="1153">
        <f t="shared" si="54"/>
        <v>0</v>
      </c>
      <c r="B872" s="1329" t="s">
        <v>2189</v>
      </c>
      <c r="C872" s="1329"/>
      <c r="D872" s="1110"/>
      <c r="E872" s="1079" t="str">
        <f>VLOOKUP($B872,DG!A:D,DG!$B$2,)</f>
        <v>04.7002</v>
      </c>
      <c r="F872" s="1080" t="str">
        <f>VLOOKUP($B872,DG!A:D,DG!$C$2,)</f>
        <v>Kéo dây tiếp địa trong TBA</v>
      </c>
      <c r="G872" s="1079" t="str">
        <f>VLOOKUP($B872,DG!A:D,DG!$D$2,)</f>
        <v>mét</v>
      </c>
      <c r="H872" s="1167">
        <v>53</v>
      </c>
      <c r="I872" s="1259">
        <f t="shared" si="49"/>
        <v>0</v>
      </c>
      <c r="J872" s="1108"/>
      <c r="K872" s="1108"/>
      <c r="L872" s="1082"/>
      <c r="M872" s="975" t="s">
        <v>1265</v>
      </c>
    </row>
    <row r="873" spans="1:13" s="1083" customFormat="1" ht="25.2" hidden="1" customHeight="1">
      <c r="A873" s="1153">
        <f t="shared" si="54"/>
        <v>0</v>
      </c>
      <c r="B873" s="1154" t="s">
        <v>902</v>
      </c>
      <c r="C873" s="1154"/>
      <c r="D873" s="1110"/>
      <c r="E873" s="1079" t="str">
        <f>VLOOKUP($B873,DG!A:D,DG!$B$2,)</f>
        <v>04.7001</v>
      </c>
      <c r="F873" s="1080" t="str">
        <f>VLOOKUP($B873,DG!A:D,DG!$C$2,)</f>
        <v>Đóng cọc tiếp địa trong TBA</v>
      </c>
      <c r="G873" s="1079" t="str">
        <f>VLOOKUP($B873,DG!A:D,DG!$D$2,)</f>
        <v>cọc</v>
      </c>
      <c r="H873" s="1167">
        <f>H863</f>
        <v>10</v>
      </c>
      <c r="I873" s="1259">
        <f t="shared" si="49"/>
        <v>0</v>
      </c>
      <c r="J873" s="1108"/>
      <c r="K873" s="1108"/>
      <c r="L873" s="1082"/>
      <c r="M873" s="975" t="s">
        <v>1265</v>
      </c>
    </row>
    <row r="874" spans="1:13" s="1083" customFormat="1" ht="25.2" hidden="1" customHeight="1">
      <c r="A874" s="1153">
        <f t="shared" si="54"/>
        <v>0</v>
      </c>
      <c r="B874" s="1329" t="str">
        <f>"dtd"&amp;chitiet!G5</f>
        <v>dtd3</v>
      </c>
      <c r="C874" s="1329"/>
      <c r="D874" s="1110"/>
      <c r="E874" s="1079" t="str">
        <f>VLOOKUP($B874,DG!A:D,DG!$B$2,)</f>
        <v>03.3123</v>
      </c>
      <c r="F874" s="1080" t="str">
        <f>VLOOKUP($B874,DG!A:D,DG!$C$2,)</f>
        <v>Đào rãnh tiếp địa đất cấp 3</v>
      </c>
      <c r="G874" s="1079" t="str">
        <f>VLOOKUP($B874,DG!A:D,DG!$D$2,)</f>
        <v>m3</v>
      </c>
      <c r="H874" s="1167">
        <v>4.0999999999999996</v>
      </c>
      <c r="I874" s="1259">
        <f t="shared" si="49"/>
        <v>0</v>
      </c>
      <c r="J874" s="1108"/>
      <c r="K874" s="1108"/>
      <c r="L874" s="1082"/>
      <c r="M874" s="975" t="s">
        <v>1265</v>
      </c>
    </row>
    <row r="875" spans="1:13" s="1083" customFormat="1" ht="25.2" hidden="1" customHeight="1">
      <c r="A875" s="1153">
        <f t="shared" si="54"/>
        <v>0</v>
      </c>
      <c r="B875" s="1154" t="str">
        <f>"datd"&amp;chitiet!G5</f>
        <v>datd3</v>
      </c>
      <c r="C875" s="1154"/>
      <c r="D875" s="1110"/>
      <c r="E875" s="1079" t="str">
        <f>VLOOKUP($B875,DG!A:D,DG!$B$2,)</f>
        <v>03.4123</v>
      </c>
      <c r="F875" s="1080" t="str">
        <f>VLOOKUP($B875,DG!A:D,DG!$C$2,)</f>
        <v>Đắp đất rãnh tiếp độ chặt k=0,85</v>
      </c>
      <c r="G875" s="1079" t="str">
        <f>VLOOKUP($B875,DG!A:D,DG!$D$2,)</f>
        <v>m3</v>
      </c>
      <c r="H875" s="1167">
        <f>H874</f>
        <v>4.0999999999999996</v>
      </c>
      <c r="I875" s="1259">
        <f t="shared" si="49"/>
        <v>0</v>
      </c>
      <c r="J875" s="1108"/>
      <c r="K875" s="1108"/>
      <c r="L875" s="1082"/>
      <c r="M875" s="975" t="s">
        <v>1265</v>
      </c>
    </row>
    <row r="876" spans="1:13" s="1083" customFormat="1" ht="25.2" hidden="1" customHeight="1">
      <c r="A876" s="1153">
        <f t="shared" si="54"/>
        <v>0</v>
      </c>
      <c r="B876" s="1324"/>
      <c r="C876" s="1324"/>
      <c r="D876" s="1248">
        <f>IF(H876&gt;0,D859+1,D859)</f>
        <v>4</v>
      </c>
      <c r="E876" s="1249"/>
      <c r="F876" s="1250" t="s">
        <v>3718</v>
      </c>
      <c r="G876" s="1078" t="s">
        <v>2391</v>
      </c>
      <c r="H876" s="1868">
        <f>H833</f>
        <v>1</v>
      </c>
      <c r="I876" s="1259">
        <f t="shared" si="49"/>
        <v>0</v>
      </c>
      <c r="J876" s="1251"/>
      <c r="K876" s="1251"/>
      <c r="L876" s="1082"/>
      <c r="M876" s="975" t="s">
        <v>1265</v>
      </c>
    </row>
    <row r="877" spans="1:13" s="1083" customFormat="1" ht="25.2" hidden="1" customHeight="1">
      <c r="A877" s="1153">
        <f t="shared" si="54"/>
        <v>0</v>
      </c>
      <c r="B877" s="1324"/>
      <c r="C877" s="1324"/>
      <c r="D877" s="1078"/>
      <c r="E877" s="1088"/>
      <c r="F877" s="1367" t="s">
        <v>2285</v>
      </c>
      <c r="G877" s="1079"/>
      <c r="H877" s="1851"/>
      <c r="I877" s="1259">
        <f t="shared" si="49"/>
        <v>0</v>
      </c>
      <c r="J877" s="1131"/>
      <c r="K877" s="1131"/>
      <c r="L877" s="1082"/>
      <c r="M877" s="975" t="s">
        <v>1265</v>
      </c>
    </row>
    <row r="878" spans="1:13" s="1083" customFormat="1" ht="25.2" hidden="1" customHeight="1">
      <c r="A878" s="1153">
        <f t="shared" si="54"/>
        <v>0</v>
      </c>
      <c r="B878" s="1351" t="s">
        <v>617</v>
      </c>
      <c r="C878" s="1351"/>
      <c r="D878" s="1252"/>
      <c r="E878" s="1079" t="str">
        <f>VLOOKUP($B878,DG!A:D,DG!$B$2,)</f>
        <v>05.1102</v>
      </c>
      <c r="F878" s="1080" t="str">
        <f>VLOOKUP($B878,DG!A:D,DG!$C$2,)</f>
        <v>Vỏ tủ + khóa tủ</v>
      </c>
      <c r="G878" s="1079" t="str">
        <f>VLOOKUP($B878,DG!A:D,DG!$D$2,)</f>
        <v>cái</v>
      </c>
      <c r="H878" s="1851">
        <f>H876</f>
        <v>1</v>
      </c>
      <c r="I878" s="1259">
        <f t="shared" si="49"/>
        <v>0</v>
      </c>
      <c r="J878" s="1108"/>
      <c r="K878" s="1108"/>
      <c r="L878" s="1082"/>
      <c r="M878" s="975" t="s">
        <v>1265</v>
      </c>
    </row>
    <row r="879" spans="1:13" s="1083" customFormat="1" ht="25.2" hidden="1" customHeight="1">
      <c r="A879" s="1153">
        <f t="shared" si="54"/>
        <v>0</v>
      </c>
      <c r="B879" s="1324" t="s">
        <v>319</v>
      </c>
      <c r="C879" s="1324"/>
      <c r="D879" s="1090"/>
      <c r="E879" s="1079" t="str">
        <f>VLOOKUP($B879,DG!A:D,DG!$B$2,)</f>
        <v>06.3231</v>
      </c>
      <c r="F879" s="1080" t="str">
        <f>VLOOKUP($B879,DG!A:D,DG!$C$2,)</f>
        <v>Cổ dê CDĐKĐT( bắt thùng điện kế)</v>
      </c>
      <c r="G879" s="1079" t="str">
        <f>VLOOKUP($B879,DG!A:D,DG!$D$2,)</f>
        <v>bộ</v>
      </c>
      <c r="H879" s="1851">
        <f>2*H876</f>
        <v>2</v>
      </c>
      <c r="I879" s="1259">
        <f t="shared" si="49"/>
        <v>0</v>
      </c>
      <c r="J879" s="1108"/>
      <c r="K879" s="1108"/>
      <c r="L879" s="1082"/>
      <c r="M879" s="975" t="s">
        <v>1265</v>
      </c>
    </row>
    <row r="880" spans="1:13" s="1083" customFormat="1" ht="25.2" hidden="1" customHeight="1">
      <c r="A880" s="1153">
        <f t="shared" si="54"/>
        <v>0</v>
      </c>
      <c r="B880" s="1324" t="s">
        <v>880</v>
      </c>
      <c r="C880" s="1324"/>
      <c r="D880" s="1090"/>
      <c r="E880" s="1253"/>
      <c r="F880" s="1080" t="str">
        <f>VLOOKUP($B880,DG!A:D,DG!$C$2,)</f>
        <v xml:space="preserve">Bakelit 550x450 dầy 10mm </v>
      </c>
      <c r="G880" s="1079" t="str">
        <f>VLOOKUP($B880,DG!A:D,DG!$D$2,)</f>
        <v>cái</v>
      </c>
      <c r="H880" s="1851">
        <f>H876</f>
        <v>1</v>
      </c>
      <c r="I880" s="1259">
        <f t="shared" si="49"/>
        <v>0</v>
      </c>
      <c r="J880" s="1108"/>
      <c r="K880" s="1108"/>
      <c r="L880" s="1082"/>
      <c r="M880" s="975" t="s">
        <v>1265</v>
      </c>
    </row>
    <row r="881" spans="1:13" s="1083" customFormat="1" ht="25.2" hidden="1" customHeight="1">
      <c r="A881" s="1153">
        <f t="shared" si="54"/>
        <v>0</v>
      </c>
      <c r="B881" s="1324"/>
      <c r="C881" s="1324"/>
      <c r="D881" s="1078">
        <f>IF(H881&gt;0,D876+1,D876)</f>
        <v>5</v>
      </c>
      <c r="E881" s="1088"/>
      <c r="F881" s="1248" t="s">
        <v>3719</v>
      </c>
      <c r="G881" s="1078" t="s">
        <v>2391</v>
      </c>
      <c r="H881" s="1868">
        <f>H833</f>
        <v>1</v>
      </c>
      <c r="I881" s="1259">
        <f t="shared" ref="I881:I972" si="56">IF(M881=$M$23,H881+J881-K881,0)</f>
        <v>0</v>
      </c>
      <c r="J881" s="1131"/>
      <c r="K881" s="1131"/>
      <c r="L881" s="1082"/>
      <c r="M881" s="975" t="s">
        <v>1265</v>
      </c>
    </row>
    <row r="882" spans="1:13" s="1083" customFormat="1" ht="25.2" hidden="1" customHeight="1">
      <c r="A882" s="1153">
        <f t="shared" si="54"/>
        <v>0</v>
      </c>
      <c r="B882" s="1324"/>
      <c r="C882" s="1324"/>
      <c r="D882" s="1078"/>
      <c r="E882" s="1088"/>
      <c r="F882" s="1367" t="s">
        <v>2285</v>
      </c>
      <c r="G882" s="1079"/>
      <c r="H882" s="1851"/>
      <c r="I882" s="1259">
        <f t="shared" si="56"/>
        <v>0</v>
      </c>
      <c r="J882" s="1131"/>
      <c r="K882" s="1131"/>
      <c r="L882" s="1082"/>
      <c r="M882" s="975" t="s">
        <v>1265</v>
      </c>
    </row>
    <row r="883" spans="1:13" s="1083" customFormat="1" ht="25.2" hidden="1" customHeight="1">
      <c r="A883" s="1153">
        <f t="shared" si="54"/>
        <v>0</v>
      </c>
      <c r="B883" s="1154" t="s">
        <v>697</v>
      </c>
      <c r="C883" s="1154"/>
      <c r="D883" s="1090"/>
      <c r="E883" s="1079">
        <f>VLOOKUP($B883,DG!A:D,DG!$B$2,)</f>
        <v>0</v>
      </c>
      <c r="F883" s="1080" t="str">
        <f>VLOOKUP($B883,DG!A:D,DG!$C$2,)</f>
        <v>Cáp 24KV C/XLPE/PVC 25mm2</v>
      </c>
      <c r="G883" s="1079" t="str">
        <f>VLOOKUP($B883,DG!A:D,DG!$D$2,)</f>
        <v>mét</v>
      </c>
      <c r="H883" s="1851">
        <v>12</v>
      </c>
      <c r="I883" s="1259">
        <f t="shared" si="56"/>
        <v>0</v>
      </c>
      <c r="J883" s="1108"/>
      <c r="K883" s="1108"/>
      <c r="L883" s="1082"/>
      <c r="M883" s="975" t="s">
        <v>1265</v>
      </c>
    </row>
    <row r="884" spans="1:13" s="1083" customFormat="1" ht="25.2" hidden="1" customHeight="1">
      <c r="A884" s="1153">
        <f t="shared" si="54"/>
        <v>0</v>
      </c>
      <c r="B884" s="1154" t="s">
        <v>1482</v>
      </c>
      <c r="C884" s="1154"/>
      <c r="D884" s="1090"/>
      <c r="E884" s="1079" t="str">
        <f>VLOOKUP($B884,DG!A:D,DG!$B$2,)</f>
        <v>04.3007</v>
      </c>
      <c r="F884" s="1080" t="str">
        <f>VLOOKUP($B884,DG!A:D,DG!$C$2,)</f>
        <v>Kẹp quai 2/0</v>
      </c>
      <c r="G884" s="1079" t="str">
        <f>VLOOKUP($B884,DG!A:D,DG!$D$2,)</f>
        <v>cái</v>
      </c>
      <c r="H884" s="1851">
        <f>3*H881</f>
        <v>3</v>
      </c>
      <c r="I884" s="1259">
        <f t="shared" si="56"/>
        <v>0</v>
      </c>
      <c r="J884" s="1108"/>
      <c r="K884" s="1108"/>
      <c r="L884" s="1082"/>
      <c r="M884" s="975" t="s">
        <v>1265</v>
      </c>
    </row>
    <row r="885" spans="1:13" s="1083" customFormat="1" ht="25.2" hidden="1" customHeight="1">
      <c r="A885" s="1153">
        <f t="shared" si="54"/>
        <v>0</v>
      </c>
      <c r="B885" s="1154" t="s">
        <v>1480</v>
      </c>
      <c r="C885" s="1154"/>
      <c r="D885" s="1090"/>
      <c r="E885" s="1079" t="str">
        <f>VLOOKUP($B885,DG!A:D,DG!$B$2,)</f>
        <v>04.3007</v>
      </c>
      <c r="F885" s="1080" t="str">
        <f>VLOOKUP($B885,DG!A:D,DG!$C$2,)</f>
        <v>Kẹp hotline 2/0</v>
      </c>
      <c r="G885" s="1079" t="str">
        <f>VLOOKUP($B885,DG!A:D,DG!$D$2,)</f>
        <v>cái</v>
      </c>
      <c r="H885" s="1851">
        <f>3*H880</f>
        <v>3</v>
      </c>
      <c r="I885" s="1259">
        <f t="shared" ref="I885" si="57">IF(M885=$M$23,H885+J885-K885,0)</f>
        <v>0</v>
      </c>
      <c r="J885" s="1108"/>
      <c r="K885" s="1108"/>
      <c r="L885" s="1082"/>
      <c r="M885" s="975" t="s">
        <v>1265</v>
      </c>
    </row>
    <row r="886" spans="1:13" s="1083" customFormat="1" ht="25.2" hidden="1" customHeight="1">
      <c r="A886" s="1153">
        <f t="shared" si="54"/>
        <v>0</v>
      </c>
      <c r="B886" s="1154" t="s">
        <v>488</v>
      </c>
      <c r="C886" s="1154"/>
      <c r="D886" s="1090"/>
      <c r="E886" s="1079">
        <f>VLOOKUP($B886,DG!A:D,DG!$B$2,)</f>
        <v>0</v>
      </c>
      <c r="F886" s="1080" t="str">
        <f>VLOOKUP($B886,DG!A:D,DG!$C$2,)</f>
        <v>Bass LL bắt FCO, LA</v>
      </c>
      <c r="G886" s="1079" t="str">
        <f>VLOOKUP($B886,DG!A:D,DG!$D$2,)</f>
        <v>bộ</v>
      </c>
      <c r="H886" s="1851">
        <f>3*H881</f>
        <v>3</v>
      </c>
      <c r="I886" s="1259">
        <f t="shared" si="56"/>
        <v>0</v>
      </c>
      <c r="J886" s="1108"/>
      <c r="K886" s="1108"/>
      <c r="L886" s="1082"/>
      <c r="M886" s="975" t="s">
        <v>1265</v>
      </c>
    </row>
    <row r="887" spans="1:13" s="1083" customFormat="1" ht="25.2" hidden="1" customHeight="1">
      <c r="A887" s="1153">
        <f t="shared" si="54"/>
        <v>0</v>
      </c>
      <c r="B887" s="1154" t="s">
        <v>382</v>
      </c>
      <c r="C887" s="1154"/>
      <c r="D887" s="1090"/>
      <c r="E887" s="1079">
        <f>VLOOKUP($B887,DG!A:D,DG!$B$2,)</f>
        <v>0</v>
      </c>
      <c r="F887" s="1080" t="str">
        <f>VLOOKUP($B887,DG!A:D,DG!$C$2,)</f>
        <v>Chụp đầu cực FCO (bộ 2 cái)</v>
      </c>
      <c r="G887" s="1079" t="str">
        <f>VLOOKUP($B887,DG!A:D,DG!$D$2,)</f>
        <v>bộ</v>
      </c>
      <c r="H887" s="1851">
        <f>H823</f>
        <v>3</v>
      </c>
      <c r="I887" s="1259">
        <f t="shared" si="56"/>
        <v>0</v>
      </c>
      <c r="J887" s="1108"/>
      <c r="K887" s="1108"/>
      <c r="L887" s="1082"/>
      <c r="M887" s="975" t="s">
        <v>1265</v>
      </c>
    </row>
    <row r="888" spans="1:13" s="1083" customFormat="1" ht="25.2" hidden="1" customHeight="1">
      <c r="A888" s="1153">
        <f t="shared" si="54"/>
        <v>0</v>
      </c>
      <c r="B888" s="1154" t="s">
        <v>383</v>
      </c>
      <c r="C888" s="1154"/>
      <c r="D888" s="1090"/>
      <c r="E888" s="1079">
        <f>VLOOKUP($B888,DG!A:D,DG!$B$2,)</f>
        <v>0</v>
      </c>
      <c r="F888" s="1080" t="str">
        <f>VLOOKUP($B888,DG!A:D,DG!$C$2,)</f>
        <v>Chụp đầu cực LA</v>
      </c>
      <c r="G888" s="1079" t="str">
        <f>VLOOKUP($B888,DG!A:D,DG!$D$2,)</f>
        <v>cái</v>
      </c>
      <c r="H888" s="1851">
        <f>H825</f>
        <v>3</v>
      </c>
      <c r="I888" s="1259">
        <f t="shared" si="56"/>
        <v>0</v>
      </c>
      <c r="J888" s="1108"/>
      <c r="K888" s="1108"/>
      <c r="L888" s="1082"/>
      <c r="M888" s="975" t="s">
        <v>1265</v>
      </c>
    </row>
    <row r="889" spans="1:13" s="1083" customFormat="1" ht="25.2" hidden="1" customHeight="1">
      <c r="A889" s="1153">
        <f t="shared" si="54"/>
        <v>0</v>
      </c>
      <c r="B889" s="1154" t="s">
        <v>384</v>
      </c>
      <c r="C889" s="1154"/>
      <c r="D889" s="1090"/>
      <c r="E889" s="1079">
        <f>VLOOKUP($B889,DG!A:D,DG!$B$2,)</f>
        <v>0</v>
      </c>
      <c r="F889" s="1080" t="str">
        <f>VLOOKUP($B889,DG!A:D,DG!$C$2,)</f>
        <v>Chụp đầu MBA</v>
      </c>
      <c r="G889" s="1079" t="str">
        <f>VLOOKUP($B889,DG!A:D,DG!$D$2,)</f>
        <v>cái</v>
      </c>
      <c r="H889" s="1851">
        <f>H822</f>
        <v>3</v>
      </c>
      <c r="I889" s="1259">
        <f t="shared" si="56"/>
        <v>0</v>
      </c>
      <c r="J889" s="1108"/>
      <c r="K889" s="1108"/>
      <c r="L889" s="1082"/>
      <c r="M889" s="975" t="s">
        <v>1265</v>
      </c>
    </row>
    <row r="890" spans="1:13" s="1083" customFormat="1" ht="25.2" hidden="1" customHeight="1">
      <c r="A890" s="1153">
        <f t="shared" si="54"/>
        <v>0</v>
      </c>
      <c r="B890" s="1154" t="s">
        <v>1528</v>
      </c>
      <c r="C890" s="1154"/>
      <c r="D890" s="1090"/>
      <c r="E890" s="1079" t="str">
        <f>VLOOKUP($B890,DG!A:D,DG!$B$2,)</f>
        <v>04.4201</v>
      </c>
      <c r="F890" s="1080" t="str">
        <f>VLOOKUP($B890,DG!A:D,DG!$C$2,)</f>
        <v>Lắp cáp đồng xuống thiết bị D ≤ 95mm2</v>
      </c>
      <c r="G890" s="1079" t="str">
        <f>VLOOKUP($B890,DG!A:D,DG!$D$2,)</f>
        <v>m</v>
      </c>
      <c r="H890" s="1851">
        <f>H883</f>
        <v>12</v>
      </c>
      <c r="I890" s="1259">
        <f t="shared" si="56"/>
        <v>0</v>
      </c>
      <c r="J890" s="1108"/>
      <c r="K890" s="1108"/>
      <c r="L890" s="1082"/>
      <c r="M890" s="975" t="s">
        <v>1265</v>
      </c>
    </row>
    <row r="891" spans="1:13" s="1083" customFormat="1" ht="25.2" hidden="1" customHeight="1">
      <c r="A891" s="1153">
        <f t="shared" si="54"/>
        <v>0</v>
      </c>
      <c r="B891" s="1324"/>
      <c r="C891" s="1324"/>
      <c r="D891" s="1078">
        <f>IF(H891&gt;0,D881+1,D881)</f>
        <v>6</v>
      </c>
      <c r="E891" s="1088"/>
      <c r="F891" s="1250" t="s">
        <v>3728</v>
      </c>
      <c r="G891" s="1078" t="s">
        <v>2391</v>
      </c>
      <c r="H891" s="1868">
        <f>H833</f>
        <v>1</v>
      </c>
      <c r="I891" s="1259">
        <f t="shared" si="56"/>
        <v>0</v>
      </c>
      <c r="J891" s="1131"/>
      <c r="K891" s="1131"/>
      <c r="L891" s="1082"/>
      <c r="M891" s="975" t="s">
        <v>1265</v>
      </c>
    </row>
    <row r="892" spans="1:13" s="1083" customFormat="1" ht="25.2" hidden="1" customHeight="1">
      <c r="A892" s="1153">
        <f t="shared" si="54"/>
        <v>0</v>
      </c>
      <c r="B892" s="1324"/>
      <c r="C892" s="1324"/>
      <c r="D892" s="1078"/>
      <c r="E892" s="1088"/>
      <c r="F892" s="1368" t="s">
        <v>2285</v>
      </c>
      <c r="G892" s="1079"/>
      <c r="H892" s="1868"/>
      <c r="I892" s="1259">
        <f t="shared" si="56"/>
        <v>0</v>
      </c>
      <c r="J892" s="1131"/>
      <c r="K892" s="1131"/>
      <c r="L892" s="1082"/>
      <c r="M892" s="975" t="s">
        <v>1265</v>
      </c>
    </row>
    <row r="893" spans="1:13" s="1083" customFormat="1" ht="25.2" hidden="1" customHeight="1">
      <c r="A893" s="1153">
        <f t="shared" si="54"/>
        <v>0</v>
      </c>
      <c r="B893" s="1324" t="s">
        <v>34</v>
      </c>
      <c r="C893" s="1324"/>
      <c r="D893" s="1090"/>
      <c r="E893" s="1079">
        <f>VLOOKUP($B893,DG!A:D,DG!$B$2,)</f>
        <v>0</v>
      </c>
      <c r="F893" s="1080" t="str">
        <f>VLOOKUP($B893,DG!A:D,DG!$C$2,)</f>
        <v>Cáp đồng bọc CV150</v>
      </c>
      <c r="G893" s="1079" t="str">
        <f>VLOOKUP($B893,DG!A:D,DG!$D$2,)</f>
        <v>mét</v>
      </c>
      <c r="H893" s="1851"/>
      <c r="I893" s="1259">
        <f t="shared" si="56"/>
        <v>0</v>
      </c>
      <c r="J893" s="1108"/>
      <c r="K893" s="1108"/>
      <c r="L893" s="1082"/>
      <c r="M893" s="975" t="s">
        <v>1265</v>
      </c>
    </row>
    <row r="894" spans="1:13" s="1083" customFormat="1" ht="25.2" hidden="1" customHeight="1">
      <c r="A894" s="1153">
        <f t="shared" si="54"/>
        <v>0</v>
      </c>
      <c r="B894" s="1324" t="s">
        <v>274</v>
      </c>
      <c r="C894" s="1324"/>
      <c r="D894" s="1090"/>
      <c r="E894" s="1079">
        <f>VLOOKUP($B894,DG!A:D,DG!$B$2,)</f>
        <v>0</v>
      </c>
      <c r="F894" s="1080" t="str">
        <f>VLOOKUP($B894,DG!A:D,DG!$C$2,)</f>
        <v>Cáp đồng bọc CV95</v>
      </c>
      <c r="G894" s="1079" t="str">
        <f>VLOOKUP($B894,DG!A:D,DG!$D$2,)</f>
        <v>mét</v>
      </c>
      <c r="H894" s="1851">
        <v>30</v>
      </c>
      <c r="I894" s="1259">
        <f t="shared" ref="I894" si="58">IF(M894=$M$23,H894+J894-K894,0)</f>
        <v>0</v>
      </c>
      <c r="J894" s="1108"/>
      <c r="K894" s="1108"/>
      <c r="L894" s="1082"/>
      <c r="M894" s="975" t="s">
        <v>1265</v>
      </c>
    </row>
    <row r="895" spans="1:13" s="1083" customFormat="1" ht="25.2" hidden="1" customHeight="1">
      <c r="A895" s="1153">
        <f t="shared" si="54"/>
        <v>0</v>
      </c>
      <c r="B895" s="1324" t="s">
        <v>2113</v>
      </c>
      <c r="C895" s="1324"/>
      <c r="D895" s="1090"/>
      <c r="E895" s="1079" t="str">
        <f>VLOOKUP($B895,DG!A:D,DG!$B$2,)</f>
        <v>04.4201</v>
      </c>
      <c r="F895" s="1080" t="str">
        <f>VLOOKUP($B895,DG!A:D,DG!$C$2,)</f>
        <v>Cáp đồng bọc CV11</v>
      </c>
      <c r="G895" s="1079" t="str">
        <f>VLOOKUP($B895,DG!A:D,DG!$D$2,)</f>
        <v>mét</v>
      </c>
      <c r="H895" s="1851">
        <v>3</v>
      </c>
      <c r="I895" s="1259">
        <f t="shared" si="56"/>
        <v>0</v>
      </c>
      <c r="J895" s="1108"/>
      <c r="K895" s="1108"/>
      <c r="L895" s="1082"/>
      <c r="M895" s="975" t="s">
        <v>1265</v>
      </c>
    </row>
    <row r="896" spans="1:13" s="1083" customFormat="1" ht="25.2" hidden="1" customHeight="1">
      <c r="A896" s="1153">
        <f t="shared" si="54"/>
        <v>0</v>
      </c>
      <c r="B896" s="1324" t="s">
        <v>2282</v>
      </c>
      <c r="C896" s="1324"/>
      <c r="D896" s="1110"/>
      <c r="E896" s="1079" t="str">
        <f>VLOOKUP($B896,DG!A:D,DG!$B$2,)</f>
        <v>03.1401</v>
      </c>
      <c r="F896" s="1080" t="str">
        <f>VLOOKUP($B896,DG!A:D,DG!$C$2,)</f>
        <v xml:space="preserve">Cáp CVV 4x4mm2  </v>
      </c>
      <c r="G896" s="1079" t="str">
        <f>VLOOKUP($B896,DG!A:D,DG!$D$2,)</f>
        <v>mét</v>
      </c>
      <c r="H896" s="1851">
        <v>2.5</v>
      </c>
      <c r="I896" s="1259">
        <f t="shared" si="56"/>
        <v>0</v>
      </c>
      <c r="J896" s="1108"/>
      <c r="K896" s="1108"/>
      <c r="L896" s="1082"/>
      <c r="M896" s="975" t="s">
        <v>1265</v>
      </c>
    </row>
    <row r="897" spans="1:13" s="1083" customFormat="1" ht="25.2" hidden="1" customHeight="1">
      <c r="A897" s="1153">
        <f t="shared" si="54"/>
        <v>0</v>
      </c>
      <c r="B897" s="1324" t="s">
        <v>4969</v>
      </c>
      <c r="C897" s="1324"/>
      <c r="D897" s="1090"/>
      <c r="E897" s="1079" t="str">
        <f>VLOOKUP($B897,DG!A:D,DG!$B$2,)</f>
        <v>03.4001</v>
      </c>
      <c r="F897" s="1080" t="str">
        <f>VLOOKUP($B897,DG!A:D,DG!$C$2,)</f>
        <v>Đầu cosse ép Cu 5mm2</v>
      </c>
      <c r="G897" s="1079" t="str">
        <f>VLOOKUP($B897,DG!A:D,DG!$D$2,)</f>
        <v>cái</v>
      </c>
      <c r="H897" s="1851">
        <v>6</v>
      </c>
      <c r="I897" s="1259">
        <f t="shared" ref="I897" si="59">IF(M897=$M$23,H897+J897-K897,0)</f>
        <v>0</v>
      </c>
      <c r="J897" s="1108"/>
      <c r="K897" s="1108"/>
      <c r="L897" s="1082"/>
      <c r="M897" s="975" t="s">
        <v>1265</v>
      </c>
    </row>
    <row r="898" spans="1:13" s="1083" customFormat="1" ht="25.2" hidden="1" customHeight="1">
      <c r="A898" s="1153">
        <f t="shared" si="54"/>
        <v>0</v>
      </c>
      <c r="B898" s="1324" t="str">
        <f>REPLACE(B893,1,2,"cos")</f>
        <v>cos150</v>
      </c>
      <c r="C898" s="1324"/>
      <c r="D898" s="1090"/>
      <c r="E898" s="1079" t="str">
        <f>VLOOKUP($B898,DG!A:D,DG!$B$2,)</f>
        <v>03.4006</v>
      </c>
      <c r="F898" s="1080" t="str">
        <f>VLOOKUP($B898,DG!A:D,DG!$C$2,)</f>
        <v>Đầu cosse ép Cu 150mm2</v>
      </c>
      <c r="G898" s="1079" t="str">
        <f>VLOOKUP($B898,DG!A:D,DG!$D$2,)</f>
        <v>cái</v>
      </c>
      <c r="H898" s="1851"/>
      <c r="I898" s="1259">
        <f t="shared" si="56"/>
        <v>0</v>
      </c>
      <c r="J898" s="1108"/>
      <c r="K898" s="1108"/>
      <c r="L898" s="1082"/>
      <c r="M898" s="975" t="s">
        <v>1265</v>
      </c>
    </row>
    <row r="899" spans="1:13" s="1083" customFormat="1" ht="25.2" hidden="1" customHeight="1">
      <c r="A899" s="1153">
        <f t="shared" si="54"/>
        <v>0</v>
      </c>
      <c r="B899" s="1324" t="str">
        <f>REPLACE(B894,1,2,"cos")</f>
        <v>cos95</v>
      </c>
      <c r="C899" s="1324"/>
      <c r="D899" s="1090"/>
      <c r="E899" s="1079" t="str">
        <f>VLOOKUP($B899,DG!A:D,DG!$B$2,)</f>
        <v>03.4004</v>
      </c>
      <c r="F899" s="1080" t="str">
        <f>VLOOKUP($B899,DG!A:D,DG!$C$2,)</f>
        <v>Đầu cosse ép Cu 95mm2</v>
      </c>
      <c r="G899" s="1079" t="str">
        <f>VLOOKUP($B899,DG!A:D,DG!$D$2,)</f>
        <v>cái</v>
      </c>
      <c r="H899" s="1851">
        <f>H891*1</f>
        <v>1</v>
      </c>
      <c r="I899" s="1259">
        <f t="shared" si="56"/>
        <v>0</v>
      </c>
      <c r="J899" s="1108"/>
      <c r="K899" s="1108"/>
      <c r="L899" s="1082"/>
      <c r="M899" s="975" t="s">
        <v>1265</v>
      </c>
    </row>
    <row r="900" spans="1:13" s="1083" customFormat="1" ht="25.2" hidden="1" customHeight="1">
      <c r="A900" s="1153">
        <f t="shared" si="54"/>
        <v>0</v>
      </c>
      <c r="B900" s="1324" t="str">
        <f>REPLACE(B893,1,2,"chcos")</f>
        <v>chcos150</v>
      </c>
      <c r="C900" s="1324"/>
      <c r="D900" s="1090"/>
      <c r="E900" s="1079">
        <f>VLOOKUP($B900,DG!A:D,DG!$B$2,)</f>
        <v>0</v>
      </c>
      <c r="F900" s="1080" t="str">
        <f>VLOOKUP($B900,DG!A:D,DG!$C$2,)</f>
        <v>Chụp đầu cosse  150mm2</v>
      </c>
      <c r="G900" s="1079" t="str">
        <f>VLOOKUP($B900,DG!A:D,DG!$D$2,)</f>
        <v>cái</v>
      </c>
      <c r="H900" s="1851"/>
      <c r="I900" s="1259">
        <f t="shared" si="56"/>
        <v>0</v>
      </c>
      <c r="J900" s="1108"/>
      <c r="K900" s="1108"/>
      <c r="L900" s="1082"/>
      <c r="M900" s="975" t="s">
        <v>1265</v>
      </c>
    </row>
    <row r="901" spans="1:13" s="1083" customFormat="1" ht="25.2" hidden="1" customHeight="1">
      <c r="A901" s="1153">
        <f t="shared" si="54"/>
        <v>0</v>
      </c>
      <c r="B901" s="1324" t="str">
        <f>REPLACE(B894,1,2,"chcos")</f>
        <v>chcos95</v>
      </c>
      <c r="C901" s="1324"/>
      <c r="D901" s="1090"/>
      <c r="E901" s="1079">
        <f>VLOOKUP($B901,DG!A:D,DG!$B$2,)</f>
        <v>0</v>
      </c>
      <c r="F901" s="1080" t="str">
        <f>VLOOKUP($B901,DG!A:D,DG!$C$2,)</f>
        <v>Chụp đầu cosse  95mm2</v>
      </c>
      <c r="G901" s="1079" t="str">
        <f>VLOOKUP($B901,DG!A:D,DG!$D$2,)</f>
        <v>cái</v>
      </c>
      <c r="H901" s="1851">
        <f>H899</f>
        <v>1</v>
      </c>
      <c r="I901" s="1259">
        <f t="shared" si="56"/>
        <v>0</v>
      </c>
      <c r="J901" s="1108"/>
      <c r="K901" s="1108"/>
      <c r="L901" s="1082"/>
      <c r="M901" s="975" t="s">
        <v>1265</v>
      </c>
    </row>
    <row r="902" spans="1:13" s="1083" customFormat="1" ht="25.2" hidden="1" customHeight="1">
      <c r="A902" s="1153">
        <f t="shared" si="54"/>
        <v>0</v>
      </c>
      <c r="B902" s="1324" t="s">
        <v>490</v>
      </c>
      <c r="C902" s="1324"/>
      <c r="D902" s="1090"/>
      <c r="E902" s="1079">
        <f>VLOOKUP($B902,DG!A:D,DG!$B$2,)</f>
        <v>0</v>
      </c>
      <c r="F902" s="1080" t="str">
        <f>VLOOKUP($B902,DG!A:D,DG!$C$2,)</f>
        <v>Dây đồng trần mềm dẹt</v>
      </c>
      <c r="G902" s="1079" t="str">
        <f>VLOOKUP($B902,DG!A:D,DG!$D$2,)</f>
        <v>mét</v>
      </c>
      <c r="H902" s="1851"/>
      <c r="I902" s="1259">
        <f t="shared" si="56"/>
        <v>0</v>
      </c>
      <c r="J902" s="1108"/>
      <c r="K902" s="1108"/>
      <c r="L902" s="1082"/>
      <c r="M902" s="975" t="s">
        <v>1265</v>
      </c>
    </row>
    <row r="903" spans="1:13" s="1083" customFormat="1" ht="25.2" hidden="1" customHeight="1">
      <c r="A903" s="1153">
        <f t="shared" si="54"/>
        <v>0</v>
      </c>
      <c r="B903" s="1324" t="s">
        <v>1042</v>
      </c>
      <c r="C903" s="1324"/>
      <c r="D903" s="1090"/>
      <c r="E903" s="1079">
        <f>VLOOKUP($B903,DG!A:D,DG!$B$2,)</f>
        <v>0</v>
      </c>
      <c r="F903" s="1080" t="str">
        <f>VLOOKUP($B903,DG!A:D,DG!$C$2,)</f>
        <v xml:space="preserve">Ống PVC D114x4,9mm </v>
      </c>
      <c r="G903" s="1079" t="str">
        <f>VLOOKUP($B903,DG!A:D,DG!$D$2,)</f>
        <v>m</v>
      </c>
      <c r="H903" s="1851">
        <v>11</v>
      </c>
      <c r="I903" s="1259">
        <f t="shared" si="56"/>
        <v>0</v>
      </c>
      <c r="J903" s="1108"/>
      <c r="K903" s="1108"/>
      <c r="L903" s="1082"/>
      <c r="M903" s="975" t="s">
        <v>1265</v>
      </c>
    </row>
    <row r="904" spans="1:13" s="1083" customFormat="1" ht="25.2" hidden="1" customHeight="1">
      <c r="A904" s="1153">
        <f t="shared" si="54"/>
        <v>0</v>
      </c>
      <c r="B904" s="1324" t="s">
        <v>1866</v>
      </c>
      <c r="C904" s="1154"/>
      <c r="D904" s="1090"/>
      <c r="E904" s="1079" t="str">
        <f>VLOOKUP($B904,DG!A:D,DG!$B$2,)</f>
        <v>06.3231</v>
      </c>
      <c r="F904" s="1080" t="str">
        <f>VLOOKUP($B904,DG!A:D,DG!$C$2,)&amp;" trụ đôi D280"</f>
        <v>Cổ dê kẹp ống PVC Ø 114 trụ đôi D280</v>
      </c>
      <c r="G904" s="1079" t="str">
        <f>VLOOKUP($B904,DG!A:D,DG!$D$2,)</f>
        <v>bộ</v>
      </c>
      <c r="H904" s="1851">
        <v>2</v>
      </c>
      <c r="I904" s="1259">
        <f t="shared" ref="I904" si="60">IF(M904=$M$23,H904+J904-K904,0)</f>
        <v>0</v>
      </c>
      <c r="J904" s="1108"/>
      <c r="K904" s="1108"/>
      <c r="L904" s="1082"/>
      <c r="M904" s="975" t="s">
        <v>1265</v>
      </c>
    </row>
    <row r="905" spans="1:13" s="1083" customFormat="1" ht="25.2" hidden="1" customHeight="1">
      <c r="A905" s="1153">
        <f t="shared" si="54"/>
        <v>0</v>
      </c>
      <c r="B905" s="1324" t="str">
        <f>REPLACE(B903,1,3,"cd")</f>
        <v>cd114</v>
      </c>
      <c r="C905" s="1154"/>
      <c r="D905" s="1090"/>
      <c r="E905" s="1079" t="str">
        <f>VLOOKUP($B905,DG!A:D,DG!$B$2,)</f>
        <v>06.3231</v>
      </c>
      <c r="F905" s="1080" t="str">
        <f>VLOOKUP($B905,DG!A:D,DG!$C$2,)&amp;" trụ đôi D230"</f>
        <v>Cổ dê kẹp ống PVC Ø 114 trụ đôi D230</v>
      </c>
      <c r="G905" s="1079" t="str">
        <f>VLOOKUP($B905,DG!A:D,DG!$D$2,)</f>
        <v>bộ</v>
      </c>
      <c r="H905" s="1851">
        <v>4</v>
      </c>
      <c r="I905" s="1259">
        <f t="shared" si="56"/>
        <v>0</v>
      </c>
      <c r="J905" s="1108"/>
      <c r="K905" s="1108"/>
      <c r="L905" s="1082"/>
      <c r="M905" s="975" t="s">
        <v>1265</v>
      </c>
    </row>
    <row r="906" spans="1:13" s="1083" customFormat="1" ht="25.2" hidden="1" customHeight="1">
      <c r="A906" s="1153">
        <f t="shared" si="54"/>
        <v>0</v>
      </c>
      <c r="B906" s="1324" t="str">
        <f>REPLACE(B903,1,3,"cut")&amp;"t"</f>
        <v>cut114t</v>
      </c>
      <c r="C906" s="1324"/>
      <c r="D906" s="1090"/>
      <c r="E906" s="1079">
        <f>VLOOKUP($B906,DG!A:D,DG!$B$2,)</f>
        <v>0</v>
      </c>
      <c r="F906" s="1080" t="str">
        <f>VLOOKUP($B906,DG!A:D,DG!$C$2,)</f>
        <v>Co  90 độ PVC 114</v>
      </c>
      <c r="G906" s="1079" t="str">
        <f>VLOOKUP($B906,DG!A:D,DG!$D$2,)</f>
        <v>cái</v>
      </c>
      <c r="H906" s="1851">
        <v>2</v>
      </c>
      <c r="I906" s="1259">
        <f t="shared" ref="I906" si="61">IF(M906=$M$23,H906+J906-K906,0)</f>
        <v>0</v>
      </c>
      <c r="J906" s="1108"/>
      <c r="K906" s="1108"/>
      <c r="L906" s="1082"/>
      <c r="M906" s="975" t="s">
        <v>1265</v>
      </c>
    </row>
    <row r="907" spans="1:13" s="1083" customFormat="1" ht="25.2" hidden="1" customHeight="1">
      <c r="A907" s="1153">
        <f t="shared" si="54"/>
        <v>0</v>
      </c>
      <c r="B907" s="1324" t="str">
        <f>REPLACE(B903,1,3,"cut")&amp;"l"</f>
        <v>cut114l</v>
      </c>
      <c r="C907" s="1324"/>
      <c r="D907" s="1090"/>
      <c r="E907" s="1079">
        <f>VLOOKUP($B907,DG!A:D,DG!$B$2,)</f>
        <v>0</v>
      </c>
      <c r="F907" s="1080" t="str">
        <f>VLOOKUP($B907,DG!A:D,DG!$C$2,)</f>
        <v>Co 135 độ PVC 114</v>
      </c>
      <c r="G907" s="1079" t="str">
        <f>VLOOKUP($B907,DG!A:D,DG!$D$2,)</f>
        <v>cái</v>
      </c>
      <c r="H907" s="1851">
        <v>2</v>
      </c>
      <c r="I907" s="1259">
        <f t="shared" si="56"/>
        <v>0</v>
      </c>
      <c r="J907" s="1108"/>
      <c r="K907" s="1108"/>
      <c r="L907" s="1082"/>
      <c r="M907" s="975" t="s">
        <v>1265</v>
      </c>
    </row>
    <row r="908" spans="1:13" s="1083" customFormat="1" ht="25.2" hidden="1" customHeight="1">
      <c r="A908" s="1153">
        <f t="shared" si="54"/>
        <v>0</v>
      </c>
      <c r="B908" s="1324" t="s">
        <v>1968</v>
      </c>
      <c r="C908" s="1324"/>
      <c r="D908" s="1090"/>
      <c r="E908" s="1079">
        <f>VLOOKUP($B908,DG!A:D,DG!$B$2,)</f>
        <v>0</v>
      </c>
      <c r="F908" s="1080" t="str">
        <f>VLOOKUP($B908,DG!A:D,DG!$C$2,)</f>
        <v>Khâu ven răng trong D114</v>
      </c>
      <c r="G908" s="1079" t="str">
        <f>VLOOKUP($B908,DG!A:D,DG!$D$2,)</f>
        <v>cái</v>
      </c>
      <c r="H908" s="1851">
        <v>1</v>
      </c>
      <c r="I908" s="1259">
        <f t="shared" ref="I908:I909" si="62">IF(M908=$M$23,H908+J908-K908,0)</f>
        <v>0</v>
      </c>
      <c r="J908" s="1108"/>
      <c r="K908" s="1108"/>
      <c r="L908" s="1082"/>
      <c r="M908" s="975" t="s">
        <v>1265</v>
      </c>
    </row>
    <row r="909" spans="1:13" s="1083" customFormat="1" ht="25.2" hidden="1" customHeight="1">
      <c r="A909" s="1153">
        <f t="shared" si="54"/>
        <v>0</v>
      </c>
      <c r="B909" s="1324" t="s">
        <v>1969</v>
      </c>
      <c r="C909" s="1324"/>
      <c r="D909" s="1090"/>
      <c r="E909" s="1079">
        <f>VLOOKUP($B909,DG!A:D,DG!$B$2,)</f>
        <v>0</v>
      </c>
      <c r="F909" s="1080" t="str">
        <f>VLOOKUP($B909,DG!A:D,DG!$C$2,)</f>
        <v>Khâu ven răng ngoài D114</v>
      </c>
      <c r="G909" s="1079" t="str">
        <f>VLOOKUP($B909,DG!A:D,DG!$D$2,)</f>
        <v>cái</v>
      </c>
      <c r="H909" s="1851">
        <v>1</v>
      </c>
      <c r="I909" s="1259">
        <f t="shared" si="62"/>
        <v>0</v>
      </c>
      <c r="J909" s="1108"/>
      <c r="K909" s="1108"/>
      <c r="L909" s="1082"/>
      <c r="M909" s="975" t="s">
        <v>1265</v>
      </c>
    </row>
    <row r="910" spans="1:13" s="1083" customFormat="1" ht="25.2" hidden="1" customHeight="1">
      <c r="A910" s="1153">
        <f t="shared" si="54"/>
        <v>0</v>
      </c>
      <c r="B910" s="1324" t="s">
        <v>905</v>
      </c>
      <c r="C910" s="1324"/>
      <c r="D910" s="1090"/>
      <c r="E910" s="1079">
        <f>VLOOKUP($B910,DG!A:D,DG!$B$2,)</f>
        <v>0</v>
      </c>
      <c r="F910" s="1080" t="str">
        <f>VLOOKUP($B910,DG!A:D,DG!$C$2,)</f>
        <v>Kẹp ép WR cỡ dây 50mm2</v>
      </c>
      <c r="G910" s="1079" t="str">
        <f>VLOOKUP($B910,DG!A:D,DG!$D$2,)</f>
        <v>cái</v>
      </c>
      <c r="H910" s="1851">
        <v>2</v>
      </c>
      <c r="I910" s="1259">
        <f t="shared" si="56"/>
        <v>0</v>
      </c>
      <c r="J910" s="1108"/>
      <c r="K910" s="1108"/>
      <c r="L910" s="1082"/>
      <c r="M910" s="975" t="s">
        <v>1265</v>
      </c>
    </row>
    <row r="911" spans="1:13" s="1083" customFormat="1" ht="25.2" hidden="1" customHeight="1">
      <c r="A911" s="1153">
        <f t="shared" si="54"/>
        <v>0</v>
      </c>
      <c r="B911" s="1324" t="s">
        <v>142</v>
      </c>
      <c r="C911" s="1324"/>
      <c r="D911" s="1090"/>
      <c r="E911" s="1079">
        <f>VLOOKUP($B911,DG!A:D,DG!$B$2,)</f>
        <v>0</v>
      </c>
      <c r="F911" s="1080" t="str">
        <f>VLOOKUP($B911,DG!A:D,DG!$C$2,)</f>
        <v>Kẹp ép WR cỡ dây 150mm2</v>
      </c>
      <c r="G911" s="1079" t="str">
        <f>VLOOKUP($B911,DG!A:D,DG!$D$2,)</f>
        <v>cái</v>
      </c>
      <c r="H911" s="1851">
        <v>6</v>
      </c>
      <c r="I911" s="1259">
        <f t="shared" ref="I911" si="63">IF(M911=$M$23,H911+J911-K911,0)</f>
        <v>0</v>
      </c>
      <c r="J911" s="1108"/>
      <c r="K911" s="1108"/>
      <c r="L911" s="1082"/>
      <c r="M911" s="975" t="s">
        <v>1265</v>
      </c>
    </row>
    <row r="912" spans="1:13" s="1083" customFormat="1" ht="25.2" hidden="1" customHeight="1">
      <c r="A912" s="1153">
        <f t="shared" si="54"/>
        <v>0</v>
      </c>
      <c r="B912" s="1324" t="str">
        <f>REPLACE(B903,1,3,"npvc")</f>
        <v>npvc114</v>
      </c>
      <c r="C912" s="1324"/>
      <c r="D912" s="1090"/>
      <c r="E912" s="1079">
        <f>VLOOKUP($B912,DG!A:D,DG!$B$2,)</f>
        <v>0</v>
      </c>
      <c r="F912" s="1080" t="str">
        <f>VLOOKUP($B912,DG!A:D,DG!$C$2,)</f>
        <v>Nối ống PVC 114</v>
      </c>
      <c r="G912" s="1079" t="str">
        <f>VLOOKUP($B912,DG!A:D,DG!$D$2,)</f>
        <v>cái</v>
      </c>
      <c r="H912" s="1851">
        <f>1*H891*0</f>
        <v>0</v>
      </c>
      <c r="I912" s="1259">
        <f t="shared" si="56"/>
        <v>0</v>
      </c>
      <c r="J912" s="1108"/>
      <c r="K912" s="1108"/>
      <c r="L912" s="1082"/>
      <c r="M912" s="975" t="s">
        <v>1265</v>
      </c>
    </row>
    <row r="913" spans="1:13" s="1083" customFormat="1" ht="25.2" hidden="1" customHeight="1">
      <c r="A913" s="1153">
        <f t="shared" si="54"/>
        <v>0</v>
      </c>
      <c r="B913" s="1324" t="s">
        <v>419</v>
      </c>
      <c r="C913" s="1324"/>
      <c r="D913" s="1090"/>
      <c r="E913" s="1079">
        <f>VLOOKUP($B913,DG!A:D,DG!$B$2,)</f>
        <v>0</v>
      </c>
      <c r="F913" s="1080" t="str">
        <f>VLOOKUP($B913,DG!A:D,DG!$C$2,)</f>
        <v>Keo dán ống PVC (100gr)</v>
      </c>
      <c r="G913" s="1079" t="str">
        <f>VLOOKUP($B913,DG!A:D,DG!$D$2,)</f>
        <v>tuýp</v>
      </c>
      <c r="H913" s="1851">
        <f>H891*1</f>
        <v>1</v>
      </c>
      <c r="I913" s="1259">
        <f t="shared" si="56"/>
        <v>0</v>
      </c>
      <c r="J913" s="1108"/>
      <c r="K913" s="1108"/>
      <c r="L913" s="1082"/>
      <c r="M913" s="975" t="s">
        <v>1265</v>
      </c>
    </row>
    <row r="914" spans="1:13" s="1083" customFormat="1" ht="25.2" hidden="1" customHeight="1">
      <c r="A914" s="1153">
        <f t="shared" si="54"/>
        <v>0</v>
      </c>
      <c r="B914" s="1324" t="s">
        <v>489</v>
      </c>
      <c r="C914" s="1324"/>
      <c r="D914" s="1090"/>
      <c r="E914" s="1079">
        <f>VLOOKUP($B914,DG!A:D,DG!$B$2,)</f>
        <v>0</v>
      </c>
      <c r="F914" s="1080" t="str">
        <f>VLOOKUP($B914,DG!A:D,DG!$C$2,)</f>
        <v>Keo silicon bít miệng ống</v>
      </c>
      <c r="G914" s="1079" t="str">
        <f>VLOOKUP($B914,DG!A:D,DG!$D$2,)</f>
        <v>ống</v>
      </c>
      <c r="H914" s="1851">
        <v>5</v>
      </c>
      <c r="I914" s="1259">
        <f t="shared" si="56"/>
        <v>0</v>
      </c>
      <c r="J914" s="1108"/>
      <c r="K914" s="1108"/>
      <c r="L914" s="1082"/>
      <c r="M914" s="975" t="s">
        <v>1265</v>
      </c>
    </row>
    <row r="915" spans="1:13" s="1083" customFormat="1" ht="25.2" hidden="1" customHeight="1">
      <c r="A915" s="1153">
        <f t="shared" si="54"/>
        <v>0</v>
      </c>
      <c r="B915" s="1154" t="s">
        <v>672</v>
      </c>
      <c r="C915" s="1154"/>
      <c r="D915" s="1090"/>
      <c r="E915" s="1079">
        <f>VLOOKUP($B915,DG!A:D,DG!$B$2,)</f>
        <v>0</v>
      </c>
      <c r="F915" s="1080" t="str">
        <f>VLOOKUP($B915,DG!A:D,DG!$C$2,)</f>
        <v>Băng keo cách điện</v>
      </c>
      <c r="G915" s="1079" t="str">
        <f>VLOOKUP($B915,DG!A:D,DG!$D$2,)</f>
        <v>cuộn</v>
      </c>
      <c r="H915" s="1851">
        <v>3</v>
      </c>
      <c r="I915" s="1259">
        <f t="shared" si="56"/>
        <v>0</v>
      </c>
      <c r="J915" s="1108"/>
      <c r="K915" s="1108"/>
      <c r="L915" s="1082"/>
      <c r="M915" s="975" t="s">
        <v>1265</v>
      </c>
    </row>
    <row r="916" spans="1:13" s="1083" customFormat="1" ht="25.2" hidden="1" customHeight="1">
      <c r="A916" s="1153">
        <f t="shared" si="54"/>
        <v>0</v>
      </c>
      <c r="B916" s="1329" t="s">
        <v>1867</v>
      </c>
      <c r="C916" s="1329"/>
      <c r="D916" s="1110"/>
      <c r="E916" s="1079" t="str">
        <f>VLOOKUP($B916,DG!A:D,DG!$B$2,)</f>
        <v>07,2407</v>
      </c>
      <c r="F916" s="1080" t="str">
        <f>VLOOKUP($B916,DG!A:D,DG!$C$2,)</f>
        <v>Lắp ống nhựa PVC D114</v>
      </c>
      <c r="G916" s="1079" t="str">
        <f>VLOOKUP($B916,DG!A:D,DG!$D$2,)</f>
        <v>mét</v>
      </c>
      <c r="H916" s="1167">
        <f>H903</f>
        <v>11</v>
      </c>
      <c r="I916" s="1259">
        <f t="shared" si="56"/>
        <v>0</v>
      </c>
      <c r="J916" s="1108"/>
      <c r="K916" s="1108"/>
      <c r="L916" s="1082"/>
      <c r="M916" s="975" t="s">
        <v>1265</v>
      </c>
    </row>
    <row r="917" spans="1:13" s="1083" customFormat="1" ht="25.2" hidden="1" customHeight="1">
      <c r="A917" s="1153">
        <f t="shared" si="54"/>
        <v>0</v>
      </c>
      <c r="B917" s="1154" t="s">
        <v>2010</v>
      </c>
      <c r="C917" s="1154"/>
      <c r="D917" s="1110"/>
      <c r="E917" s="1079" t="str">
        <f>VLOOKUP($B917,DG!A:D,DG!$B$2,)</f>
        <v>04.4202</v>
      </c>
      <c r="F917" s="1080" t="str">
        <f>VLOOKUP($B917,DG!A:D,DG!$C$2,)</f>
        <v>Lắp cáp đồng xuống thiết bị D ≤ 150mm2</v>
      </c>
      <c r="G917" s="1079" t="str">
        <f>VLOOKUP($B917,DG!A:D,DG!$D$2,)</f>
        <v>m</v>
      </c>
      <c r="H917" s="1167">
        <f>H893+H894</f>
        <v>30</v>
      </c>
      <c r="I917" s="1259">
        <f t="shared" si="56"/>
        <v>0</v>
      </c>
      <c r="J917" s="1108"/>
      <c r="K917" s="1108"/>
      <c r="L917" s="1082"/>
      <c r="M917" s="975" t="s">
        <v>1265</v>
      </c>
    </row>
    <row r="918" spans="1:13" s="1083" customFormat="1" ht="25.2" hidden="1" customHeight="1">
      <c r="A918" s="1153">
        <f t="shared" si="54"/>
        <v>0</v>
      </c>
      <c r="B918" s="1324" t="s">
        <v>289</v>
      </c>
      <c r="C918" s="1324"/>
      <c r="D918" s="1254">
        <f>IF(H918&gt;0,D891+1,D875)</f>
        <v>7</v>
      </c>
      <c r="E918" s="1255"/>
      <c r="F918" s="1080" t="str">
        <f>VLOOKUP($B918,DG!A:D,DG!$C$2,)</f>
        <v>Bảng tên trạm, bảng báo nguy hiểm + đinh vít</v>
      </c>
      <c r="G918" s="1079" t="str">
        <f>VLOOKUP($B918,DG!A:D,DG!$D$2,)</f>
        <v>bộ</v>
      </c>
      <c r="H918" s="1877">
        <f>H835</f>
        <v>1</v>
      </c>
      <c r="I918" s="1259">
        <f t="shared" ref="I918:I937" si="64">IF(M918=$M$23,H918+J918-K918,0)</f>
        <v>0</v>
      </c>
      <c r="J918" s="1108"/>
      <c r="K918" s="1108"/>
      <c r="L918" s="1082"/>
      <c r="M918" s="975" t="s">
        <v>1265</v>
      </c>
    </row>
    <row r="919" spans="1:13" s="1083" customFormat="1" ht="25.2" hidden="1" customHeight="1">
      <c r="A919" s="1153">
        <f t="shared" si="54"/>
        <v>0</v>
      </c>
      <c r="B919" s="1324" t="s">
        <v>289</v>
      </c>
      <c r="C919" s="1324"/>
      <c r="D919" s="1254">
        <v>8</v>
      </c>
      <c r="E919" s="1255"/>
      <c r="F919" s="2133" t="s">
        <v>4804</v>
      </c>
      <c r="G919" s="2134" t="str">
        <f>VLOOKUP($B919,DG!A:D,DG!$D$2,)</f>
        <v>bộ</v>
      </c>
      <c r="H919" s="1877"/>
      <c r="I919" s="1259">
        <f t="shared" si="64"/>
        <v>0</v>
      </c>
      <c r="J919" s="1108"/>
      <c r="K919" s="1108"/>
      <c r="L919" s="1082"/>
      <c r="M919" s="975" t="s">
        <v>1265</v>
      </c>
    </row>
    <row r="920" spans="1:13" s="1083" customFormat="1" ht="25.2" hidden="1" customHeight="1">
      <c r="A920" s="1153">
        <f t="shared" si="54"/>
        <v>0</v>
      </c>
      <c r="B920" s="1324" t="s">
        <v>34</v>
      </c>
      <c r="C920" s="1324"/>
      <c r="D920" s="1254"/>
      <c r="E920" s="1255"/>
      <c r="F920" s="1080" t="str">
        <f>VLOOKUP($B920,DG!A:D,DG!$C$2,)</f>
        <v>Cáp đồng bọc CV150</v>
      </c>
      <c r="G920" s="1079" t="str">
        <f>VLOOKUP($B920,DG!A:D,DG!$D$2,)</f>
        <v>mét</v>
      </c>
      <c r="H920" s="1869"/>
      <c r="I920" s="1259">
        <f t="shared" si="64"/>
        <v>0</v>
      </c>
      <c r="J920" s="1108"/>
      <c r="K920" s="1108"/>
      <c r="L920" s="1082"/>
      <c r="M920" s="975" t="s">
        <v>1265</v>
      </c>
    </row>
    <row r="921" spans="1:13" s="1083" customFormat="1" ht="25.2" hidden="1" customHeight="1">
      <c r="A921" s="1153">
        <f t="shared" si="54"/>
        <v>0</v>
      </c>
      <c r="B921" s="1324" t="s">
        <v>274</v>
      </c>
      <c r="C921" s="1324"/>
      <c r="D921" s="1254"/>
      <c r="E921" s="1255"/>
      <c r="F921" s="1080" t="str">
        <f>VLOOKUP($B921,DG!A:D,DG!$C$2,)</f>
        <v>Cáp đồng bọc CV95</v>
      </c>
      <c r="G921" s="1079" t="str">
        <f>VLOOKUP($B921,DG!A:D,DG!$D$2,)</f>
        <v>mét</v>
      </c>
      <c r="H921" s="1869"/>
      <c r="I921" s="1259">
        <f t="shared" si="64"/>
        <v>0</v>
      </c>
      <c r="J921" s="1108"/>
      <c r="K921" s="1108"/>
      <c r="L921" s="1082"/>
      <c r="M921" s="975" t="s">
        <v>1265</v>
      </c>
    </row>
    <row r="922" spans="1:13" s="1083" customFormat="1" ht="25.2" hidden="1" customHeight="1">
      <c r="A922" s="1153">
        <f t="shared" ref="A922:A985" si="65">IF(I922&gt;0,1,0)</f>
        <v>0</v>
      </c>
      <c r="B922" s="1324" t="str">
        <f>REPLACE(B920,1,2,"cos")</f>
        <v>cos150</v>
      </c>
      <c r="C922" s="1324"/>
      <c r="D922" s="1254"/>
      <c r="E922" s="1255"/>
      <c r="F922" s="1080" t="str">
        <f>VLOOKUP($B922,DG!A:D,DG!$C$2,)</f>
        <v>Đầu cosse ép Cu 150mm2</v>
      </c>
      <c r="G922" s="1079" t="str">
        <f>VLOOKUP($B922,DG!A:D,DG!$D$2,)</f>
        <v>cái</v>
      </c>
      <c r="H922" s="1869"/>
      <c r="I922" s="1259">
        <f t="shared" si="64"/>
        <v>0</v>
      </c>
      <c r="J922" s="1108"/>
      <c r="K922" s="1108"/>
      <c r="L922" s="1082"/>
      <c r="M922" s="975" t="s">
        <v>1265</v>
      </c>
    </row>
    <row r="923" spans="1:13" s="1083" customFormat="1" ht="25.2" hidden="1" customHeight="1">
      <c r="A923" s="1153">
        <f t="shared" si="65"/>
        <v>0</v>
      </c>
      <c r="B923" s="1324" t="str">
        <f>REPLACE(B921,1,2,"cos")</f>
        <v>cos95</v>
      </c>
      <c r="C923" s="1324"/>
      <c r="D923" s="1254"/>
      <c r="E923" s="1255"/>
      <c r="F923" s="1080" t="str">
        <f>VLOOKUP($B923,DG!A:D,DG!$C$2,)</f>
        <v>Đầu cosse ép Cu 95mm2</v>
      </c>
      <c r="G923" s="1079" t="str">
        <f>VLOOKUP($B923,DG!A:D,DG!$D$2,)</f>
        <v>cái</v>
      </c>
      <c r="H923" s="1869"/>
      <c r="I923" s="1259">
        <f t="shared" si="64"/>
        <v>0</v>
      </c>
      <c r="J923" s="1108"/>
      <c r="K923" s="1108"/>
      <c r="L923" s="1082"/>
      <c r="M923" s="975" t="s">
        <v>1265</v>
      </c>
    </row>
    <row r="924" spans="1:13" s="1083" customFormat="1" ht="25.2" hidden="1" customHeight="1">
      <c r="A924" s="1153">
        <f t="shared" si="65"/>
        <v>0</v>
      </c>
      <c r="B924" s="1324" t="str">
        <f>REPLACE(B920,1,2,"chcos")</f>
        <v>chcos150</v>
      </c>
      <c r="C924" s="1324"/>
      <c r="D924" s="1254"/>
      <c r="E924" s="1255"/>
      <c r="F924" s="1080" t="str">
        <f>VLOOKUP($B924,DG!A:D,DG!$C$2,)</f>
        <v>Chụp đầu cosse  150mm2</v>
      </c>
      <c r="G924" s="1079" t="str">
        <f>VLOOKUP($B924,DG!A:D,DG!$D$2,)</f>
        <v>cái</v>
      </c>
      <c r="H924" s="1869"/>
      <c r="I924" s="1259">
        <f t="shared" si="64"/>
        <v>0</v>
      </c>
      <c r="J924" s="1108"/>
      <c r="K924" s="1108"/>
      <c r="L924" s="1082"/>
      <c r="M924" s="975" t="s">
        <v>1265</v>
      </c>
    </row>
    <row r="925" spans="1:13" s="1083" customFormat="1" ht="25.2" hidden="1" customHeight="1">
      <c r="A925" s="1153">
        <f t="shared" si="65"/>
        <v>0</v>
      </c>
      <c r="B925" s="1324" t="str">
        <f>REPLACE(B921,1,2,"chcos")</f>
        <v>chcos95</v>
      </c>
      <c r="C925" s="1324"/>
      <c r="D925" s="1254"/>
      <c r="E925" s="1255"/>
      <c r="F925" s="1080" t="str">
        <f>VLOOKUP($B925,DG!A:D,DG!$C$2,)</f>
        <v>Chụp đầu cosse  95mm2</v>
      </c>
      <c r="G925" s="1079" t="str">
        <f>VLOOKUP($B925,DG!A:D,DG!$D$2,)</f>
        <v>cái</v>
      </c>
      <c r="H925" s="1869"/>
      <c r="I925" s="1259">
        <f t="shared" si="64"/>
        <v>0</v>
      </c>
      <c r="J925" s="1108"/>
      <c r="K925" s="1108"/>
      <c r="L925" s="1082"/>
      <c r="M925" s="975" t="s">
        <v>1265</v>
      </c>
    </row>
    <row r="926" spans="1:13" s="1083" customFormat="1" ht="25.2" hidden="1" customHeight="1">
      <c r="A926" s="1153">
        <f t="shared" si="65"/>
        <v>0</v>
      </c>
      <c r="B926" s="1324" t="s">
        <v>1042</v>
      </c>
      <c r="C926" s="1324"/>
      <c r="D926" s="1254"/>
      <c r="E926" s="1255"/>
      <c r="F926" s="1080" t="str">
        <f>VLOOKUP($B926,DG!A:D,DG!$C$2,)</f>
        <v xml:space="preserve">Ống PVC D114x4,9mm </v>
      </c>
      <c r="G926" s="1079" t="str">
        <f>VLOOKUP($B926,DG!A:D,DG!$D$2,)</f>
        <v>m</v>
      </c>
      <c r="H926" s="1869"/>
      <c r="I926" s="1259">
        <f t="shared" si="64"/>
        <v>0</v>
      </c>
      <c r="J926" s="1108"/>
      <c r="K926" s="1108"/>
      <c r="L926" s="1082"/>
      <c r="M926" s="975" t="s">
        <v>1265</v>
      </c>
    </row>
    <row r="927" spans="1:13" s="1083" customFormat="1" ht="25.2" hidden="1" customHeight="1">
      <c r="A927" s="1153">
        <f t="shared" si="65"/>
        <v>0</v>
      </c>
      <c r="B927" s="1324" t="str">
        <f>REPLACE(B926,1,3,"cd")</f>
        <v>cd114</v>
      </c>
      <c r="C927" s="1324"/>
      <c r="D927" s="1254"/>
      <c r="E927" s="1255"/>
      <c r="F927" s="1080" t="str">
        <f>VLOOKUP($B927,DG!A:D,DG!$C$2,)</f>
        <v>Cổ dê kẹp ống PVC Ø 114</v>
      </c>
      <c r="G927" s="1079" t="str">
        <f>VLOOKUP($B927,DG!A:D,DG!$D$2,)</f>
        <v>bộ</v>
      </c>
      <c r="H927" s="1869"/>
      <c r="I927" s="1259">
        <f t="shared" si="64"/>
        <v>0</v>
      </c>
      <c r="J927" s="1108"/>
      <c r="K927" s="1108"/>
      <c r="L927" s="1082"/>
      <c r="M927" s="975" t="s">
        <v>1265</v>
      </c>
    </row>
    <row r="928" spans="1:13" s="1083" customFormat="1" ht="25.2" hidden="1" customHeight="1">
      <c r="A928" s="1153">
        <f t="shared" si="65"/>
        <v>0</v>
      </c>
      <c r="B928" s="1324" t="str">
        <f>REPLACE(B926,1,3,"cut")&amp;"t"</f>
        <v>cut114t</v>
      </c>
      <c r="C928" s="1324"/>
      <c r="D928" s="1254"/>
      <c r="E928" s="1255"/>
      <c r="F928" s="1080" t="str">
        <f>VLOOKUP($B928,DG!A:D,DG!$C$2,)</f>
        <v>Co  90 độ PVC 114</v>
      </c>
      <c r="G928" s="1079" t="str">
        <f>VLOOKUP($B928,DG!A:D,DG!$D$2,)</f>
        <v>cái</v>
      </c>
      <c r="H928" s="1869"/>
      <c r="I928" s="1259">
        <f t="shared" si="64"/>
        <v>0</v>
      </c>
      <c r="J928" s="1108"/>
      <c r="K928" s="1108"/>
      <c r="L928" s="1082"/>
      <c r="M928" s="975" t="s">
        <v>1265</v>
      </c>
    </row>
    <row r="929" spans="1:13" s="1083" customFormat="1" ht="25.2" hidden="1" customHeight="1">
      <c r="A929" s="1153">
        <f t="shared" si="65"/>
        <v>0</v>
      </c>
      <c r="B929" s="1324" t="str">
        <f>REPLACE(B926,1,3,"cut")&amp;"l"</f>
        <v>cut114l</v>
      </c>
      <c r="C929" s="1324"/>
      <c r="D929" s="1254"/>
      <c r="E929" s="1255"/>
      <c r="F929" s="1080" t="str">
        <f>VLOOKUP($B929,DG!A:D,DG!$C$2,)</f>
        <v>Co 135 độ PVC 114</v>
      </c>
      <c r="G929" s="1079" t="str">
        <f>VLOOKUP($B929,DG!A:D,DG!$D$2,)</f>
        <v>cái</v>
      </c>
      <c r="H929" s="1869"/>
      <c r="I929" s="1259">
        <f t="shared" si="64"/>
        <v>0</v>
      </c>
      <c r="J929" s="1108"/>
      <c r="K929" s="1108"/>
      <c r="L929" s="1082"/>
      <c r="M929" s="975" t="s">
        <v>1265</v>
      </c>
    </row>
    <row r="930" spans="1:13" s="1083" customFormat="1" ht="25.2" hidden="1" customHeight="1">
      <c r="A930" s="1153">
        <f t="shared" si="65"/>
        <v>0</v>
      </c>
      <c r="B930" s="1324" t="s">
        <v>1968</v>
      </c>
      <c r="C930" s="1324"/>
      <c r="D930" s="1254"/>
      <c r="E930" s="1255"/>
      <c r="F930" s="1080" t="str">
        <f>VLOOKUP($B930,DG!A:D,DG!$C$2,)</f>
        <v>Khâu ven răng trong D114</v>
      </c>
      <c r="G930" s="1079" t="str">
        <f>VLOOKUP($B930,DG!A:D,DG!$D$2,)</f>
        <v>cái</v>
      </c>
      <c r="H930" s="1869"/>
      <c r="I930" s="1259">
        <f t="shared" si="64"/>
        <v>0</v>
      </c>
      <c r="J930" s="1108"/>
      <c r="K930" s="1108"/>
      <c r="L930" s="1082"/>
      <c r="M930" s="975" t="s">
        <v>1265</v>
      </c>
    </row>
    <row r="931" spans="1:13" s="1083" customFormat="1" ht="25.2" hidden="1" customHeight="1">
      <c r="A931" s="1153">
        <f t="shared" si="65"/>
        <v>0</v>
      </c>
      <c r="B931" s="1324" t="s">
        <v>1969</v>
      </c>
      <c r="C931" s="1324"/>
      <c r="D931" s="1254"/>
      <c r="E931" s="1255"/>
      <c r="F931" s="1080" t="str">
        <f>VLOOKUP($B931,DG!A:D,DG!$C$2,)</f>
        <v>Khâu ven răng ngoài D114</v>
      </c>
      <c r="G931" s="1079" t="str">
        <f>VLOOKUP($B931,DG!A:D,DG!$D$2,)</f>
        <v>cái</v>
      </c>
      <c r="H931" s="1869"/>
      <c r="I931" s="1259">
        <f t="shared" si="64"/>
        <v>0</v>
      </c>
      <c r="J931" s="1108"/>
      <c r="K931" s="1108"/>
      <c r="L931" s="1082"/>
      <c r="M931" s="975" t="s">
        <v>1265</v>
      </c>
    </row>
    <row r="932" spans="1:13" s="1083" customFormat="1" ht="25.2" hidden="1" customHeight="1">
      <c r="A932" s="1153">
        <f t="shared" si="65"/>
        <v>0</v>
      </c>
      <c r="B932" s="1324" t="s">
        <v>419</v>
      </c>
      <c r="C932" s="1324"/>
      <c r="D932" s="1090"/>
      <c r="E932" s="1079">
        <f>VLOOKUP($B932,DG!A:D,DG!$B$2,)</f>
        <v>0</v>
      </c>
      <c r="F932" s="1080" t="str">
        <f>VLOOKUP($B932,DG!A:D,DG!$C$2,)</f>
        <v>Keo dán ống PVC (100gr)</v>
      </c>
      <c r="G932" s="1079" t="str">
        <f>VLOOKUP($B932,DG!A:D,DG!$D$2,)</f>
        <v>tuýp</v>
      </c>
      <c r="H932" s="1851"/>
      <c r="I932" s="1259">
        <f t="shared" si="64"/>
        <v>0</v>
      </c>
      <c r="J932" s="1108"/>
      <c r="K932" s="1108"/>
      <c r="L932" s="1082"/>
      <c r="M932" s="975" t="s">
        <v>1265</v>
      </c>
    </row>
    <row r="933" spans="1:13" s="1083" customFormat="1" ht="25.2" hidden="1" customHeight="1">
      <c r="A933" s="1153">
        <f t="shared" si="65"/>
        <v>0</v>
      </c>
      <c r="B933" s="1324" t="s">
        <v>489</v>
      </c>
      <c r="C933" s="1324"/>
      <c r="D933" s="1090"/>
      <c r="E933" s="1079">
        <f>VLOOKUP($B933,DG!A:D,DG!$B$2,)</f>
        <v>0</v>
      </c>
      <c r="F933" s="1080" t="str">
        <f>VLOOKUP($B933,DG!A:D,DG!$C$2,)</f>
        <v>Keo silicon bít miệng ống</v>
      </c>
      <c r="G933" s="1079" t="str">
        <f>VLOOKUP($B933,DG!A:D,DG!$D$2,)</f>
        <v>ống</v>
      </c>
      <c r="H933" s="1851"/>
      <c r="I933" s="1259">
        <f t="shared" si="64"/>
        <v>0</v>
      </c>
      <c r="J933" s="1108"/>
      <c r="K933" s="1108"/>
      <c r="L933" s="1082"/>
      <c r="M933" s="975" t="s">
        <v>1265</v>
      </c>
    </row>
    <row r="934" spans="1:13" s="1083" customFormat="1" ht="25.2" hidden="1" customHeight="1">
      <c r="A934" s="1153">
        <f t="shared" si="65"/>
        <v>0</v>
      </c>
      <c r="B934" s="1324" t="s">
        <v>142</v>
      </c>
      <c r="C934" s="1324"/>
      <c r="D934" s="1090"/>
      <c r="E934" s="1079">
        <f>VLOOKUP($B934,DG!A:D,DG!$B$2,)</f>
        <v>0</v>
      </c>
      <c r="F934" s="1080" t="str">
        <f>VLOOKUP($B934,DG!A:D,DG!$C$2,)</f>
        <v>Kẹp ép WR cỡ dây 150mm2</v>
      </c>
      <c r="G934" s="1079" t="str">
        <f>VLOOKUP($B934,DG!A:D,DG!$D$2,)</f>
        <v>cái</v>
      </c>
      <c r="H934" s="1851"/>
      <c r="I934" s="1259">
        <f t="shared" si="64"/>
        <v>0</v>
      </c>
      <c r="J934" s="1108"/>
      <c r="K934" s="1108"/>
      <c r="L934" s="1082"/>
      <c r="M934" s="975" t="s">
        <v>1265</v>
      </c>
    </row>
    <row r="935" spans="1:13" s="1083" customFormat="1" ht="25.2" hidden="1" customHeight="1">
      <c r="A935" s="1153">
        <f t="shared" si="65"/>
        <v>0</v>
      </c>
      <c r="B935" s="1154" t="s">
        <v>672</v>
      </c>
      <c r="C935" s="1154"/>
      <c r="D935" s="1090"/>
      <c r="E935" s="1079">
        <f>VLOOKUP($B935,DG!A:D,DG!$B$2,)</f>
        <v>0</v>
      </c>
      <c r="F935" s="1080" t="str">
        <f>VLOOKUP($B935,DG!A:D,DG!$C$2,)</f>
        <v>Băng keo cách điện</v>
      </c>
      <c r="G935" s="1079" t="str">
        <f>VLOOKUP($B935,DG!A:D,DG!$D$2,)</f>
        <v>cuộn</v>
      </c>
      <c r="H935" s="1851"/>
      <c r="I935" s="1259">
        <f t="shared" si="64"/>
        <v>0</v>
      </c>
      <c r="J935" s="1108"/>
      <c r="K935" s="1108"/>
      <c r="L935" s="1082"/>
      <c r="M935" s="975" t="s">
        <v>1265</v>
      </c>
    </row>
    <row r="936" spans="1:13" s="1083" customFormat="1" ht="25.2" hidden="1" customHeight="1">
      <c r="A936" s="1153">
        <f t="shared" si="65"/>
        <v>0</v>
      </c>
      <c r="B936" s="1329" t="s">
        <v>1867</v>
      </c>
      <c r="C936" s="1329"/>
      <c r="D936" s="1110"/>
      <c r="E936" s="1079" t="str">
        <f>VLOOKUP($B936,DG!A:D,DG!$B$2,)</f>
        <v>07,2407</v>
      </c>
      <c r="F936" s="1080" t="str">
        <f>VLOOKUP($B936,DG!A:D,DG!$C$2,)</f>
        <v>Lắp ống nhựa PVC D114</v>
      </c>
      <c r="G936" s="1079" t="str">
        <f>VLOOKUP($B936,DG!A:D,DG!$D$2,)</f>
        <v>mét</v>
      </c>
      <c r="H936" s="1167"/>
      <c r="I936" s="1259">
        <f t="shared" si="64"/>
        <v>0</v>
      </c>
      <c r="J936" s="1108"/>
      <c r="K936" s="1108"/>
      <c r="L936" s="1082"/>
      <c r="M936" s="975" t="s">
        <v>1265</v>
      </c>
    </row>
    <row r="937" spans="1:13" s="1083" customFormat="1" ht="25.2" hidden="1" customHeight="1">
      <c r="A937" s="1153">
        <f t="shared" si="65"/>
        <v>0</v>
      </c>
      <c r="B937" s="1154" t="s">
        <v>2010</v>
      </c>
      <c r="C937" s="1154"/>
      <c r="D937" s="1110"/>
      <c r="E937" s="1079" t="str">
        <f>VLOOKUP($B937,DG!A:D,DG!$B$2,)</f>
        <v>04.4202</v>
      </c>
      <c r="F937" s="1080" t="str">
        <f>VLOOKUP($B937,DG!A:D,DG!$C$2,)</f>
        <v>Lắp cáp đồng xuống thiết bị D ≤ 150mm2</v>
      </c>
      <c r="G937" s="1079" t="str">
        <f>VLOOKUP($B937,DG!A:D,DG!$D$2,)</f>
        <v>m</v>
      </c>
      <c r="H937" s="1167"/>
      <c r="I937" s="1259">
        <f t="shared" si="64"/>
        <v>0</v>
      </c>
      <c r="J937" s="1108"/>
      <c r="K937" s="1108"/>
      <c r="L937" s="1082"/>
      <c r="M937" s="975" t="s">
        <v>1265</v>
      </c>
    </row>
    <row r="938" spans="1:13" s="1083" customFormat="1" ht="25.2" hidden="1" customHeight="1">
      <c r="A938" s="1153">
        <f t="shared" si="65"/>
        <v>0</v>
      </c>
      <c r="B938" s="1324"/>
      <c r="C938" s="1324"/>
      <c r="D938" s="1149"/>
      <c r="E938" s="1138"/>
      <c r="F938" s="1105"/>
      <c r="G938" s="1139"/>
      <c r="H938" s="1878"/>
      <c r="I938" s="1878"/>
      <c r="J938" s="1878"/>
      <c r="K938" s="1878"/>
      <c r="L938" s="1878"/>
      <c r="M938" s="975"/>
    </row>
    <row r="939" spans="1:13" s="1083" customFormat="1" ht="25.2" hidden="1" customHeight="1">
      <c r="A939" s="1153">
        <f t="shared" si="65"/>
        <v>0</v>
      </c>
      <c r="B939" s="1324"/>
      <c r="C939" s="1324"/>
      <c r="D939" s="1256"/>
      <c r="E939" s="1256"/>
      <c r="F939" s="1257"/>
      <c r="G939" s="1258"/>
      <c r="H939" s="1879"/>
      <c r="I939" s="1259">
        <f t="shared" si="56"/>
        <v>0</v>
      </c>
      <c r="J939" s="1257"/>
      <c r="K939" s="1257"/>
      <c r="L939" s="1142"/>
      <c r="M939" s="975"/>
    </row>
    <row r="940" spans="1:13" s="1083" customFormat="1" ht="25.2" hidden="1" customHeight="1">
      <c r="A940" s="1153">
        <f t="shared" si="65"/>
        <v>0</v>
      </c>
      <c r="B940" s="1319"/>
      <c r="C940" s="1319"/>
      <c r="D940" s="1100"/>
      <c r="E940" s="975"/>
      <c r="F940" s="1101"/>
      <c r="G940" s="975"/>
      <c r="H940" s="1880"/>
      <c r="I940" s="1259">
        <f t="shared" si="56"/>
        <v>0</v>
      </c>
      <c r="L940" s="975"/>
      <c r="M940" s="975"/>
    </row>
    <row r="941" spans="1:13" s="1083" customFormat="1" ht="25.2" hidden="1" customHeight="1">
      <c r="A941" s="1153">
        <f t="shared" si="65"/>
        <v>0</v>
      </c>
      <c r="B941" s="1350"/>
      <c r="C941" s="1350"/>
      <c r="D941" s="1363" t="str">
        <f>"BAÛNG TOÅNG HÔÏP VAÄT LIEÄU, NHAÂN COÂNG, MAÙY THI COÂNG : "&amp;L10&amp;" TRAÏM 3P_160KVA ÑO ÑEÁM HAÏ THEÁ"</f>
        <v>BAÛNG TOÅNG HÔÏP VAÄT LIEÄU, NHAÂN COÂNG, MAÙY THI COÂNG :  TRAÏM 3P_160KVA ÑO ÑEÁM HAÏ THEÁ</v>
      </c>
      <c r="E941" s="980"/>
      <c r="F941" s="980"/>
      <c r="G941" s="980"/>
      <c r="H941" s="1881"/>
      <c r="I941" s="1259">
        <f t="shared" si="56"/>
        <v>0</v>
      </c>
      <c r="J941" s="1102"/>
      <c r="K941" s="1102"/>
      <c r="L941" s="975"/>
      <c r="M941" s="975"/>
    </row>
    <row r="942" spans="1:13" s="1083" customFormat="1" ht="25.2" hidden="1" customHeight="1">
      <c r="A942" s="1153">
        <f t="shared" si="65"/>
        <v>0</v>
      </c>
      <c r="B942" s="1324"/>
      <c r="C942" s="1324"/>
      <c r="D942" s="1103"/>
      <c r="E942" s="1104"/>
      <c r="F942" s="1105" t="s">
        <v>3690</v>
      </c>
      <c r="G942" s="1106"/>
      <c r="H942" s="1908"/>
      <c r="I942" s="1259">
        <f t="shared" si="56"/>
        <v>0</v>
      </c>
      <c r="J942" s="1106"/>
      <c r="K942" s="1106"/>
      <c r="L942" s="1107"/>
      <c r="M942" s="975">
        <v>160</v>
      </c>
    </row>
    <row r="943" spans="1:13" s="1083" customFormat="1" ht="25.2" hidden="1" customHeight="1">
      <c r="A943" s="1153">
        <f t="shared" si="65"/>
        <v>0</v>
      </c>
      <c r="B943" s="1325" t="s">
        <v>1381</v>
      </c>
      <c r="C943" s="1325"/>
      <c r="D943" s="1090">
        <f>IF(H943&gt;0,1,0)</f>
        <v>0</v>
      </c>
      <c r="E943" s="1079" t="str">
        <f>VLOOKUP($B943,DG!A:D,DG!$B$2,)</f>
        <v>01.1144</v>
      </c>
      <c r="F943" s="1080" t="str">
        <f>VLOOKUP($B943,DG!A:D,DG!$C$2,)</f>
        <v>Máy biến áp 22/0,4kV  160kVA</v>
      </c>
      <c r="G943" s="1079" t="str">
        <f>VLOOKUP($B943,DG!A:D,DG!$D$2,)</f>
        <v>máy</v>
      </c>
      <c r="H943" s="1882">
        <f>L10</f>
        <v>0</v>
      </c>
      <c r="I943" s="1259">
        <f t="shared" si="56"/>
        <v>0</v>
      </c>
      <c r="J943" s="1108"/>
      <c r="K943" s="1108"/>
      <c r="L943" s="1109"/>
      <c r="M943" s="975">
        <v>160</v>
      </c>
    </row>
    <row r="944" spans="1:13" s="1083" customFormat="1" ht="25.2" hidden="1" customHeight="1">
      <c r="A944" s="1153">
        <f t="shared" si="65"/>
        <v>0</v>
      </c>
      <c r="B944" s="1325" t="s">
        <v>1655</v>
      </c>
      <c r="C944" s="1325"/>
      <c r="D944" s="1090">
        <f>IF(H944&gt;0,D943+1,D943)</f>
        <v>0</v>
      </c>
      <c r="E944" s="1079" t="str">
        <f>VLOOKUP($B944,DG!A:D,DG!$B$2,)</f>
        <v>02.3155</v>
      </c>
      <c r="F944" s="1080" t="str">
        <f>VLOOKUP($B944,DG!A:D,DG!$C$2,)</f>
        <v>FCO 27kV - 100A</v>
      </c>
      <c r="G944" s="1079" t="str">
        <f>VLOOKUP($B944,DG!A:D,DG!$D$2,)</f>
        <v>cái</v>
      </c>
      <c r="H944" s="1851">
        <f>$H$943*3</f>
        <v>0</v>
      </c>
      <c r="I944" s="1259">
        <f t="shared" si="56"/>
        <v>0</v>
      </c>
      <c r="J944" s="1081"/>
      <c r="K944" s="1081"/>
      <c r="L944" s="1110"/>
      <c r="M944" s="975">
        <v>160</v>
      </c>
    </row>
    <row r="945" spans="1:13" s="1083" customFormat="1" ht="25.2" hidden="1" customHeight="1">
      <c r="A945" s="1153">
        <f t="shared" si="65"/>
        <v>0</v>
      </c>
      <c r="B945" s="1325" t="str">
        <f>IF(14=15,"chi10","chi6k")</f>
        <v>chi6k</v>
      </c>
      <c r="C945" s="1325"/>
      <c r="D945" s="1090">
        <f t="shared" ref="D945:D950" si="66">IF(H945&gt;0,D944+1,D944)</f>
        <v>0</v>
      </c>
      <c r="E945" s="1079">
        <f>VLOOKUP($B945,DG!A:D,DG!$B$2,)</f>
        <v>0</v>
      </c>
      <c r="F945" s="1080" t="str">
        <f>VLOOKUP($B945,DG!A:D,DG!$C$2,)</f>
        <v>Dây chảy 6K</v>
      </c>
      <c r="G945" s="1079" t="str">
        <f>VLOOKUP($B945,DG!A:D,DG!$D$2,)</f>
        <v>Sợi</v>
      </c>
      <c r="H945" s="1851">
        <f>H944</f>
        <v>0</v>
      </c>
      <c r="I945" s="1259">
        <f t="shared" si="56"/>
        <v>0</v>
      </c>
      <c r="J945" s="1081"/>
      <c r="K945" s="1081"/>
      <c r="L945" s="1110"/>
      <c r="M945" s="975">
        <v>160</v>
      </c>
    </row>
    <row r="946" spans="1:13" s="1083" customFormat="1" ht="25.2" hidden="1" customHeight="1">
      <c r="A946" s="1153">
        <f t="shared" si="65"/>
        <v>0</v>
      </c>
      <c r="B946" s="1324" t="s">
        <v>1376</v>
      </c>
      <c r="C946" s="1324"/>
      <c r="D946" s="1090">
        <f t="shared" si="66"/>
        <v>0</v>
      </c>
      <c r="E946" s="1079" t="str">
        <f>VLOOKUP($B946,DG!A:D,DG!$B$2,)</f>
        <v>02.5114</v>
      </c>
      <c r="F946" s="1080" t="str">
        <f>VLOOKUP($B946,DG!A:D,DG!$C$2,)</f>
        <v>Chống sét van LA-18KV-10KA</v>
      </c>
      <c r="G946" s="1079" t="str">
        <f>VLOOKUP($B946,DG!A:D,DG!$D$2,)</f>
        <v>cái</v>
      </c>
      <c r="H946" s="1851">
        <f>H944</f>
        <v>0</v>
      </c>
      <c r="I946" s="1259">
        <f t="shared" si="56"/>
        <v>0</v>
      </c>
      <c r="J946" s="1081"/>
      <c r="K946" s="1081"/>
      <c r="L946" s="1110"/>
      <c r="M946" s="975">
        <v>160</v>
      </c>
    </row>
    <row r="947" spans="1:13" s="1083" customFormat="1" ht="25.2" hidden="1" customHeight="1">
      <c r="A947" s="1153">
        <f t="shared" si="65"/>
        <v>0</v>
      </c>
      <c r="B947" s="1325" t="s">
        <v>710</v>
      </c>
      <c r="C947" s="1325"/>
      <c r="D947" s="1090">
        <f t="shared" si="66"/>
        <v>0</v>
      </c>
      <c r="E947" s="1079" t="str">
        <f>VLOOKUP($B947,DG!A:D,DG!$B$2,)</f>
        <v>02.8401</v>
      </c>
      <c r="F947" s="1080" t="str">
        <f>VLOOKUP($B947,DG!A:D,DG!$C$2,)</f>
        <v xml:space="preserve">MCCB 3 cực 600V -250A - 36KA </v>
      </c>
      <c r="G947" s="1079" t="str">
        <f>VLOOKUP($B947,DG!A:D,DG!$D$2,)</f>
        <v>cái</v>
      </c>
      <c r="H947" s="1851">
        <f>$H$943</f>
        <v>0</v>
      </c>
      <c r="I947" s="1259">
        <f t="shared" si="56"/>
        <v>0</v>
      </c>
      <c r="J947" s="1081"/>
      <c r="K947" s="1081"/>
      <c r="L947" s="1110"/>
      <c r="M947" s="975">
        <v>160</v>
      </c>
    </row>
    <row r="948" spans="1:13" s="1083" customFormat="1" ht="25.2" hidden="1" customHeight="1">
      <c r="A948" s="1153">
        <f t="shared" si="65"/>
        <v>0</v>
      </c>
      <c r="B948" s="1325" t="s">
        <v>685</v>
      </c>
      <c r="C948" s="1325"/>
      <c r="D948" s="1090">
        <f t="shared" si="66"/>
        <v>0</v>
      </c>
      <c r="E948" s="1079" t="str">
        <f>VLOOKUP($B948,DG!A:D,DG!$B$2,)</f>
        <v>02.8534</v>
      </c>
      <c r="F948" s="1080" t="str">
        <f>VLOOKUP($B948,DG!A:D,DG!$C$2,)</f>
        <v>Tủ tụ bù hạ thế 80kVAr</v>
      </c>
      <c r="G948" s="1079" t="str">
        <f>VLOOKUP($B948,DG!A:D,DG!$D$2,)</f>
        <v>tủ</v>
      </c>
      <c r="H948" s="1851">
        <f>$H$943</f>
        <v>0</v>
      </c>
      <c r="I948" s="1259">
        <f t="shared" si="56"/>
        <v>0</v>
      </c>
      <c r="J948" s="1081"/>
      <c r="K948" s="1081"/>
      <c r="L948" s="1110"/>
      <c r="M948" s="975">
        <v>160</v>
      </c>
    </row>
    <row r="949" spans="1:13" s="1083" customFormat="1" ht="25.2" hidden="1" customHeight="1">
      <c r="A949" s="1153">
        <f t="shared" si="65"/>
        <v>0</v>
      </c>
      <c r="B949" s="1154" t="s">
        <v>1672</v>
      </c>
      <c r="C949" s="1154"/>
      <c r="D949" s="1090">
        <f t="shared" si="66"/>
        <v>1</v>
      </c>
      <c r="E949" s="1079">
        <f>VLOOKUP($B949,DG!A:D,DG!$B$2,)</f>
        <v>0</v>
      </c>
      <c r="F949" s="1162" t="str">
        <f>VLOOKUP($B949,DG!A:D,DG!$C$2,)</f>
        <v>Biến dòng 600V - 250/5A</v>
      </c>
      <c r="G949" s="1079" t="str">
        <f>VLOOKUP($B949,DG!A:D,DG!$D$2,)</f>
        <v>cái</v>
      </c>
      <c r="H949" s="1883">
        <v>3</v>
      </c>
      <c r="I949" s="1259">
        <f t="shared" si="56"/>
        <v>0</v>
      </c>
      <c r="J949" s="1081"/>
      <c r="K949" s="1081"/>
      <c r="L949" s="1111" t="s">
        <v>2609</v>
      </c>
      <c r="M949" s="975">
        <v>160</v>
      </c>
    </row>
    <row r="950" spans="1:13" s="1083" customFormat="1" ht="25.2" hidden="1" customHeight="1">
      <c r="A950" s="1153">
        <f t="shared" si="65"/>
        <v>0</v>
      </c>
      <c r="B950" s="1352" t="s">
        <v>1463</v>
      </c>
      <c r="C950" s="1352"/>
      <c r="D950" s="1090">
        <f t="shared" si="66"/>
        <v>1</v>
      </c>
      <c r="E950" s="1079" t="str">
        <f>VLOOKUP($B950,DG!A:D,DG!$B$2,)</f>
        <v>05.5104</v>
      </c>
      <c r="F950" s="1162" t="str">
        <f>VLOOKUP($B950,DG!A:D,DG!$C$2,)</f>
        <v>Điện kế 3 pha 4 dây 220/380V-5A</v>
      </c>
      <c r="G950" s="1079" t="str">
        <f>VLOOKUP($B950,DG!A:D,DG!$D$2,)</f>
        <v>cái</v>
      </c>
      <c r="H950" s="1883">
        <f>$H$943</f>
        <v>0</v>
      </c>
      <c r="I950" s="1259">
        <f t="shared" si="56"/>
        <v>0</v>
      </c>
      <c r="J950" s="1081"/>
      <c r="K950" s="1081"/>
      <c r="L950" s="1112" t="s">
        <v>2609</v>
      </c>
      <c r="M950" s="975">
        <v>160</v>
      </c>
    </row>
    <row r="951" spans="1:13" s="1083" customFormat="1" ht="25.2" hidden="1" customHeight="1">
      <c r="A951" s="1153">
        <f t="shared" si="65"/>
        <v>0</v>
      </c>
      <c r="B951" s="1324"/>
      <c r="C951" s="1324"/>
      <c r="D951" s="1113"/>
      <c r="E951" s="1114"/>
      <c r="F951" s="1076"/>
      <c r="G951" s="1113"/>
      <c r="H951" s="1861"/>
      <c r="I951" s="1259">
        <f t="shared" si="56"/>
        <v>0</v>
      </c>
      <c r="J951" s="1076"/>
      <c r="K951" s="1113"/>
      <c r="L951" s="1107"/>
      <c r="M951" s="975">
        <v>160</v>
      </c>
    </row>
    <row r="952" spans="1:13" s="1083" customFormat="1" ht="25.2" hidden="1" customHeight="1">
      <c r="A952" s="1153">
        <f t="shared" si="65"/>
        <v>0</v>
      </c>
      <c r="B952" s="1324"/>
      <c r="C952" s="1324"/>
      <c r="D952" s="1115"/>
      <c r="E952" s="1116"/>
      <c r="F952" s="1425" t="s">
        <v>3691</v>
      </c>
      <c r="G952" s="1105"/>
      <c r="H952" s="1875"/>
      <c r="I952" s="1875">
        <f t="shared" si="56"/>
        <v>0</v>
      </c>
      <c r="J952" s="1105"/>
      <c r="K952" s="1105"/>
      <c r="L952" s="1107"/>
      <c r="M952" s="975">
        <v>160</v>
      </c>
    </row>
    <row r="953" spans="1:13" s="1083" customFormat="1" ht="25.2" hidden="1" customHeight="1">
      <c r="A953" s="1153">
        <f t="shared" si="65"/>
        <v>0</v>
      </c>
      <c r="B953" s="1353"/>
      <c r="C953" s="1353"/>
      <c r="D953" s="1117">
        <f>IF(H953&gt;0,1,0)</f>
        <v>0</v>
      </c>
      <c r="E953" s="1118"/>
      <c r="F953" s="1119" t="s">
        <v>3729</v>
      </c>
      <c r="G953" s="1120" t="s">
        <v>2283</v>
      </c>
      <c r="H953" s="1884">
        <f>H943*2*0</f>
        <v>0</v>
      </c>
      <c r="I953" s="1259">
        <f t="shared" si="56"/>
        <v>0</v>
      </c>
      <c r="J953" s="1121"/>
      <c r="K953" s="1121"/>
      <c r="L953" s="1110"/>
      <c r="M953" s="975">
        <v>160</v>
      </c>
    </row>
    <row r="954" spans="1:13" s="1083" customFormat="1" ht="25.2" hidden="1" customHeight="1">
      <c r="A954" s="1153">
        <f t="shared" si="65"/>
        <v>0</v>
      </c>
      <c r="B954" s="1154" t="s">
        <v>115</v>
      </c>
      <c r="C954" s="1154"/>
      <c r="D954" s="1122"/>
      <c r="E954" s="1079"/>
      <c r="F954" s="1123" t="str">
        <f>VLOOKUP($B954,DG!A:D,DG!$C$2,)</f>
        <v>Trụ BTLT 12m F350 dự ứng lực</v>
      </c>
      <c r="G954" s="1079" t="str">
        <f>VLOOKUP($B954,DG!A:D,DG!$D$2,)</f>
        <v>trụ</v>
      </c>
      <c r="H954" s="1885">
        <f>H953</f>
        <v>0</v>
      </c>
      <c r="I954" s="1259">
        <f t="shared" si="56"/>
        <v>0</v>
      </c>
      <c r="J954" s="1108"/>
      <c r="K954" s="1078"/>
      <c r="L954" s="1110"/>
      <c r="M954" s="975">
        <v>160</v>
      </c>
    </row>
    <row r="955" spans="1:13" s="1083" customFormat="1" ht="25.2" hidden="1" customHeight="1">
      <c r="A955" s="1153">
        <f t="shared" si="65"/>
        <v>0</v>
      </c>
      <c r="B955" s="1154" t="s">
        <v>1818</v>
      </c>
      <c r="C955" s="1154"/>
      <c r="D955" s="1122"/>
      <c r="E955" s="1079"/>
      <c r="F955" s="1123" t="str">
        <f>VLOOKUP($B955,DG!A:D,DG!$C$2,)</f>
        <v>Vật liệu dựng trụ</v>
      </c>
      <c r="G955" s="1079" t="str">
        <f>VLOOKUP($B955,DG!A:D,DG!$D$2,)</f>
        <v>trụ</v>
      </c>
      <c r="H955" s="1885">
        <f>H954</f>
        <v>0</v>
      </c>
      <c r="I955" s="1259">
        <f t="shared" si="56"/>
        <v>0</v>
      </c>
      <c r="J955" s="1078"/>
      <c r="K955" s="1078"/>
      <c r="L955" s="1110"/>
      <c r="M955" s="975">
        <v>160</v>
      </c>
    </row>
    <row r="956" spans="1:13" s="1083" customFormat="1" ht="25.2" hidden="1" customHeight="1">
      <c r="A956" s="1153">
        <f t="shared" si="65"/>
        <v>0</v>
      </c>
      <c r="B956" s="1154" t="s">
        <v>643</v>
      </c>
      <c r="C956" s="1154"/>
      <c r="D956" s="1122"/>
      <c r="E956" s="1079" t="str">
        <f>VLOOKUP($B956,DG!A:D,DG!$B$2,)</f>
        <v>04.9203</v>
      </c>
      <c r="F956" s="1123" t="str">
        <f>VLOOKUP($B956,DG!A:D,DG!$C$2,)</f>
        <v>Dựng trụ BTLT 12m trong TBA bằng thủ công + cơ giới</v>
      </c>
      <c r="G956" s="1079" t="str">
        <f>VLOOKUP($B956,DG!A:D,DG!$D$2,)</f>
        <v>trụ</v>
      </c>
      <c r="H956" s="1885">
        <f>H954</f>
        <v>0</v>
      </c>
      <c r="I956" s="1259">
        <f t="shared" si="56"/>
        <v>0</v>
      </c>
      <c r="J956" s="1108"/>
      <c r="K956" s="1108"/>
      <c r="L956" s="1110"/>
      <c r="M956" s="975">
        <v>160</v>
      </c>
    </row>
    <row r="957" spans="1:13" s="1083" customFormat="1" ht="25.2" hidden="1" customHeight="1">
      <c r="A957" s="1153">
        <f t="shared" si="65"/>
        <v>0</v>
      </c>
      <c r="B957" s="1353"/>
      <c r="C957" s="1353"/>
      <c r="D957" s="1117">
        <f>IF(H957&gt;0,1,0)</f>
        <v>0</v>
      </c>
      <c r="E957" s="1118"/>
      <c r="F957" s="1119" t="s">
        <v>3730</v>
      </c>
      <c r="G957" s="1120" t="s">
        <v>2283</v>
      </c>
      <c r="H957" s="1884">
        <f>H943*2*0</f>
        <v>0</v>
      </c>
      <c r="I957" s="1259">
        <f t="shared" si="56"/>
        <v>0</v>
      </c>
      <c r="J957" s="1121"/>
      <c r="K957" s="1121"/>
      <c r="L957" s="1082"/>
      <c r="M957" s="975">
        <v>160</v>
      </c>
    </row>
    <row r="958" spans="1:13" s="1083" customFormat="1" ht="25.2" hidden="1" customHeight="1">
      <c r="A958" s="1153">
        <f t="shared" si="65"/>
        <v>0</v>
      </c>
      <c r="B958" s="1154" t="s">
        <v>114</v>
      </c>
      <c r="C958" s="1154"/>
      <c r="D958" s="1122"/>
      <c r="E958" s="1079"/>
      <c r="F958" s="1123" t="str">
        <f>VLOOKUP($B958,DG!A:D,DG!$C$2,)</f>
        <v>Trụ BTLT 10,5m F350 dự ứng lực</v>
      </c>
      <c r="G958" s="1079" t="str">
        <f>VLOOKUP($B958,DG!A:D,DG!$D$2,)</f>
        <v>trụ</v>
      </c>
      <c r="H958" s="1885">
        <f>H957</f>
        <v>0</v>
      </c>
      <c r="I958" s="1259">
        <f t="shared" si="56"/>
        <v>0</v>
      </c>
      <c r="J958" s="1108"/>
      <c r="K958" s="1078"/>
      <c r="L958" s="1082"/>
      <c r="M958" s="975">
        <v>160</v>
      </c>
    </row>
    <row r="959" spans="1:13" s="1083" customFormat="1" ht="25.2" hidden="1" customHeight="1">
      <c r="A959" s="1153">
        <f t="shared" si="65"/>
        <v>0</v>
      </c>
      <c r="B959" s="1154" t="s">
        <v>1818</v>
      </c>
      <c r="C959" s="1154"/>
      <c r="D959" s="1122"/>
      <c r="E959" s="1079"/>
      <c r="F959" s="1123" t="str">
        <f>VLOOKUP($B959,DG!A:D,DG!$C$2,)</f>
        <v>Vật liệu dựng trụ</v>
      </c>
      <c r="G959" s="1079" t="str">
        <f>VLOOKUP($B959,DG!A:D,DG!$D$2,)</f>
        <v>trụ</v>
      </c>
      <c r="H959" s="1885">
        <f>H958</f>
        <v>0</v>
      </c>
      <c r="I959" s="1259">
        <f t="shared" si="56"/>
        <v>0</v>
      </c>
      <c r="J959" s="1078"/>
      <c r="K959" s="1078"/>
      <c r="L959" s="1082"/>
      <c r="M959" s="975">
        <v>160</v>
      </c>
    </row>
    <row r="960" spans="1:13" s="1083" customFormat="1" ht="25.2" hidden="1" customHeight="1">
      <c r="A960" s="1153">
        <f t="shared" si="65"/>
        <v>0</v>
      </c>
      <c r="B960" s="1154" t="s">
        <v>644</v>
      </c>
      <c r="C960" s="1154"/>
      <c r="D960" s="1122"/>
      <c r="E960" s="1079" t="str">
        <f>VLOOKUP($B960,DG!A:D,DG!$B$2,)</f>
        <v>04.9203</v>
      </c>
      <c r="F960" s="1123" t="str">
        <f>VLOOKUP($B960,DG!A:D,DG!$C$2,)</f>
        <v>Dựng trụ BTLT 10,5m trong TBA bằng thủ công + cơ giới</v>
      </c>
      <c r="G960" s="1079" t="str">
        <f>VLOOKUP($B960,DG!A:D,DG!$D$2,)</f>
        <v>trụ</v>
      </c>
      <c r="H960" s="1885">
        <f>H958</f>
        <v>0</v>
      </c>
      <c r="I960" s="1259">
        <f t="shared" si="56"/>
        <v>0</v>
      </c>
      <c r="J960" s="1108"/>
      <c r="K960" s="1108"/>
      <c r="L960" s="1082"/>
      <c r="M960" s="975">
        <v>160</v>
      </c>
    </row>
    <row r="961" spans="1:13" s="1083" customFormat="1" ht="25.2" hidden="1" customHeight="1">
      <c r="A961" s="1153">
        <f t="shared" si="65"/>
        <v>0</v>
      </c>
      <c r="B961" s="1354"/>
      <c r="C961" s="1354"/>
      <c r="D961" s="1084">
        <f>IF(H961&gt;0,D953+1,D953)</f>
        <v>0</v>
      </c>
      <c r="E961" s="1118"/>
      <c r="F961" s="1119" t="s">
        <v>2358</v>
      </c>
      <c r="G961" s="1120" t="s">
        <v>2333</v>
      </c>
      <c r="H961" s="1884">
        <f>H953</f>
        <v>0</v>
      </c>
      <c r="I961" s="1259">
        <f t="shared" si="56"/>
        <v>0</v>
      </c>
      <c r="J961" s="1078"/>
      <c r="K961" s="1078"/>
      <c r="L961" s="1110"/>
      <c r="M961" s="975">
        <v>160</v>
      </c>
    </row>
    <row r="962" spans="1:13" s="1083" customFormat="1" ht="25.2" hidden="1" customHeight="1">
      <c r="A962" s="1153">
        <f t="shared" si="65"/>
        <v>0</v>
      </c>
      <c r="B962" s="1331" t="s">
        <v>636</v>
      </c>
      <c r="C962" s="1331"/>
      <c r="D962" s="1122"/>
      <c r="E962" s="1079" t="str">
        <f>VLOOKUP($B962,DG!A:D,DG!$B$2,)</f>
        <v>04.4001</v>
      </c>
      <c r="F962" s="1124" t="str">
        <f>VLOOKUP($B962,DG!A:D,DG!$C$2,)</f>
        <v>Đà cản BTCT 1,2m</v>
      </c>
      <c r="G962" s="1091" t="str">
        <f>VLOOKUP($B962,DG!A:D,DG!$D$2,)</f>
        <v>cái</v>
      </c>
      <c r="H962" s="1885">
        <f>H961</f>
        <v>0</v>
      </c>
      <c r="I962" s="1259">
        <f t="shared" si="56"/>
        <v>0</v>
      </c>
      <c r="J962" s="1108"/>
      <c r="K962" s="1078"/>
      <c r="L962" s="1110"/>
      <c r="M962" s="975">
        <v>160</v>
      </c>
    </row>
    <row r="963" spans="1:13" s="1083" customFormat="1" ht="25.2" hidden="1" customHeight="1">
      <c r="A963" s="1153">
        <f t="shared" si="65"/>
        <v>0</v>
      </c>
      <c r="B963" s="1331" t="s">
        <v>566</v>
      </c>
      <c r="C963" s="1331"/>
      <c r="D963" s="1122"/>
      <c r="E963" s="1091"/>
      <c r="F963" s="1124" t="str">
        <f>VLOOKUP($B963,DG!A:D,DG!$C$2,)</f>
        <v>Boulon 22x650+ 2 long đền vuông D24-50x50x3/Zn</v>
      </c>
      <c r="G963" s="1091" t="str">
        <f>VLOOKUP($B963,DG!A:D,DG!$D$2,)</f>
        <v>bộ</v>
      </c>
      <c r="H963" s="1885">
        <f>H962</f>
        <v>0</v>
      </c>
      <c r="I963" s="1259">
        <f t="shared" si="56"/>
        <v>0</v>
      </c>
      <c r="J963" s="1124"/>
      <c r="K963" s="1078"/>
      <c r="L963" s="1110"/>
      <c r="M963" s="975">
        <v>160</v>
      </c>
    </row>
    <row r="964" spans="1:13" s="1083" customFormat="1" ht="25.2" hidden="1" customHeight="1">
      <c r="A964" s="1153">
        <f t="shared" si="65"/>
        <v>0</v>
      </c>
      <c r="B964" s="1331" t="str">
        <f>IF(chitiet!G5=1,"MDD1",IF(chitiet!G5=2,"MDD2",IF(chitiet!G5=3,"MDD3",IF(chitiet!G5=4,"MDD4"))))</f>
        <v>MDD3</v>
      </c>
      <c r="C964" s="1331"/>
      <c r="D964" s="1122"/>
      <c r="E964" s="1091" t="str">
        <f>VLOOKUP($B964,DG!A:D,DG!$B$2,)</f>
        <v>03.1013</v>
      </c>
      <c r="F964" s="1124" t="str">
        <f>VLOOKUP($B964,DG!A:D,DG!$C$2,)</f>
        <v>Đào hố móng đất cấp 3 sâu &gt;1m</v>
      </c>
      <c r="G964" s="1091" t="str">
        <f>VLOOKUP($B964,DG!A:D,DG!$D$2,)</f>
        <v>m3</v>
      </c>
      <c r="H964" s="1886">
        <f>1.45*H962</f>
        <v>0</v>
      </c>
      <c r="I964" s="1259">
        <f t="shared" si="56"/>
        <v>0</v>
      </c>
      <c r="J964" s="1125"/>
      <c r="K964" s="1078"/>
      <c r="L964" s="1110"/>
      <c r="M964" s="975">
        <v>160</v>
      </c>
    </row>
    <row r="965" spans="1:13" s="1083" customFormat="1" ht="25.2" hidden="1" customHeight="1">
      <c r="A965" s="1153">
        <f t="shared" si="65"/>
        <v>0</v>
      </c>
      <c r="B965" s="1331" t="str">
        <f>IF(chitiet!G5=1,"MDAP1",IF(chitiet!G5=2,"MDAP2",IF(chitiet!G5=3,"MDAP3",IF(chitiet!G5=4,"MDAP4"))))</f>
        <v>MDAP3</v>
      </c>
      <c r="C965" s="1331"/>
      <c r="D965" s="1122"/>
      <c r="E965" s="1091" t="str">
        <f>VLOOKUP($B965,DG!A:D,DG!$B$2,)</f>
        <v>03.4113</v>
      </c>
      <c r="F965" s="1124" t="str">
        <f>VLOOKUP($B965,DG!A:D,DG!$C$2,)</f>
        <v>Đắp đất hố móng, độ chặt k=0,95</v>
      </c>
      <c r="G965" s="1091" t="str">
        <f>VLOOKUP($B965,DG!A:D,DG!$D$2,)</f>
        <v>m3</v>
      </c>
      <c r="H965" s="1886">
        <f>1.37*H961</f>
        <v>0</v>
      </c>
      <c r="I965" s="1259">
        <f t="shared" si="56"/>
        <v>0</v>
      </c>
      <c r="J965" s="1125"/>
      <c r="K965" s="1078"/>
      <c r="L965" s="1110"/>
      <c r="M965" s="975">
        <v>160</v>
      </c>
    </row>
    <row r="966" spans="1:13" s="1083" customFormat="1" ht="25.2" hidden="1" customHeight="1">
      <c r="A966" s="1153">
        <f t="shared" si="65"/>
        <v>0</v>
      </c>
      <c r="B966" s="1354"/>
      <c r="C966" s="1354"/>
      <c r="D966" s="1084">
        <f>IF(H966&gt;0,D958+1,D958)</f>
        <v>0</v>
      </c>
      <c r="E966" s="1118"/>
      <c r="F966" s="1119" t="s">
        <v>3731</v>
      </c>
      <c r="G966" s="1120" t="s">
        <v>2333</v>
      </c>
      <c r="H966" s="1884">
        <f>H957*0</f>
        <v>0</v>
      </c>
      <c r="I966" s="1259">
        <f t="shared" si="56"/>
        <v>0</v>
      </c>
      <c r="J966" s="1078"/>
      <c r="K966" s="1078"/>
      <c r="L966" s="1082"/>
      <c r="M966" s="975">
        <v>160</v>
      </c>
    </row>
    <row r="967" spans="1:13" s="1083" customFormat="1" ht="25.2" hidden="1" customHeight="1">
      <c r="A967" s="1153">
        <f t="shared" si="65"/>
        <v>0</v>
      </c>
      <c r="B967" s="1331" t="s">
        <v>636</v>
      </c>
      <c r="C967" s="1331"/>
      <c r="D967" s="1122"/>
      <c r="E967" s="1079" t="str">
        <f>VLOOKUP($B967,DG!A:D,DG!$B$2,)</f>
        <v>04.4001</v>
      </c>
      <c r="F967" s="1124" t="str">
        <f>VLOOKUP($B967,DG!A:D,DG!$C$2,)</f>
        <v>Đà cản BTCT 1,2m</v>
      </c>
      <c r="G967" s="1091" t="str">
        <f>VLOOKUP($B967,DG!A:D,DG!$D$2,)</f>
        <v>cái</v>
      </c>
      <c r="H967" s="1885">
        <f>H966</f>
        <v>0</v>
      </c>
      <c r="I967" s="1259">
        <f t="shared" si="56"/>
        <v>0</v>
      </c>
      <c r="J967" s="1108"/>
      <c r="K967" s="1078"/>
      <c r="L967" s="1082"/>
      <c r="M967" s="975">
        <v>160</v>
      </c>
    </row>
    <row r="968" spans="1:13" s="1083" customFormat="1" ht="25.2" hidden="1" customHeight="1">
      <c r="A968" s="1153">
        <f t="shared" si="65"/>
        <v>0</v>
      </c>
      <c r="B968" s="1331" t="s">
        <v>566</v>
      </c>
      <c r="C968" s="1331"/>
      <c r="D968" s="1122"/>
      <c r="E968" s="1091"/>
      <c r="F968" s="1124" t="str">
        <f>VLOOKUP($B968,DG!A:D,DG!$C$2,)</f>
        <v>Boulon 22x650+ 2 long đền vuông D24-50x50x3/Zn</v>
      </c>
      <c r="G968" s="1091" t="str">
        <f>VLOOKUP($B968,DG!A:D,DG!$D$2,)</f>
        <v>bộ</v>
      </c>
      <c r="H968" s="1885">
        <f>H967</f>
        <v>0</v>
      </c>
      <c r="I968" s="1259">
        <f t="shared" si="56"/>
        <v>0</v>
      </c>
      <c r="J968" s="1124"/>
      <c r="K968" s="1078"/>
      <c r="L968" s="1082"/>
      <c r="M968" s="975">
        <v>160</v>
      </c>
    </row>
    <row r="969" spans="1:13" s="1083" customFormat="1" ht="25.2" hidden="1" customHeight="1">
      <c r="A969" s="1153">
        <f t="shared" si="65"/>
        <v>0</v>
      </c>
      <c r="B969" s="1331" t="str">
        <f>IF(chitiet!G5=1,"MDD1",IF(chitiet!G5=2,"MDD2",IF(chitiet!G5=3,"MDD3",IF(chitiet!G5=4,"MDD4"))))</f>
        <v>MDD3</v>
      </c>
      <c r="C969" s="1331"/>
      <c r="D969" s="1122"/>
      <c r="E969" s="1091" t="str">
        <f>VLOOKUP($B969,DG!A:D,DG!$B$2,)</f>
        <v>03.1013</v>
      </c>
      <c r="F969" s="1124" t="str">
        <f>VLOOKUP($B969,DG!A:D,DG!$C$2,)</f>
        <v>Đào hố móng đất cấp 3 sâu &gt;1m</v>
      </c>
      <c r="G969" s="1091" t="str">
        <f>VLOOKUP($B969,DG!A:D,DG!$D$2,)</f>
        <v>m3</v>
      </c>
      <c r="H969" s="1886">
        <f>1.48*H967</f>
        <v>0</v>
      </c>
      <c r="I969" s="1259">
        <f t="shared" si="56"/>
        <v>0</v>
      </c>
      <c r="J969" s="1125"/>
      <c r="K969" s="1078"/>
      <c r="L969" s="1082"/>
      <c r="M969" s="975">
        <v>160</v>
      </c>
    </row>
    <row r="970" spans="1:13" s="1083" customFormat="1" ht="25.2" hidden="1" customHeight="1">
      <c r="A970" s="1153">
        <f t="shared" si="65"/>
        <v>0</v>
      </c>
      <c r="B970" s="1331" t="str">
        <f>IF(chitiet!G5=1,"MDAP1",IF(chitiet!G5=2,"MDAP2",IF(chitiet!G5=3,"MDAP3",IF(chitiet!G5=4,"MDAP4"))))</f>
        <v>MDAP3</v>
      </c>
      <c r="C970" s="1331"/>
      <c r="D970" s="1122"/>
      <c r="E970" s="1091" t="str">
        <f>VLOOKUP($B970,DG!A:D,DG!$B$2,)</f>
        <v>03.4113</v>
      </c>
      <c r="F970" s="1124" t="str">
        <f>VLOOKUP($B970,DG!A:D,DG!$C$2,)</f>
        <v>Đắp đất hố móng, độ chặt k=0,95</v>
      </c>
      <c r="G970" s="1091" t="str">
        <f>VLOOKUP($B970,DG!A:D,DG!$D$2,)</f>
        <v>m3</v>
      </c>
      <c r="H970" s="1886">
        <f>1.39*H966</f>
        <v>0</v>
      </c>
      <c r="I970" s="1259">
        <f t="shared" si="56"/>
        <v>0</v>
      </c>
      <c r="J970" s="1125"/>
      <c r="K970" s="1078"/>
      <c r="L970" s="1082"/>
      <c r="M970" s="975">
        <v>160</v>
      </c>
    </row>
    <row r="971" spans="1:13" s="1083" customFormat="1" ht="25.2" hidden="1" customHeight="1">
      <c r="A971" s="1153">
        <f t="shared" si="65"/>
        <v>0</v>
      </c>
      <c r="B971" s="1324"/>
      <c r="C971" s="1324"/>
      <c r="D971" s="1084">
        <f>IF(H971&gt;0,D961+1,D961)</f>
        <v>0</v>
      </c>
      <c r="E971" s="1126"/>
      <c r="F971" s="1119" t="s">
        <v>4864</v>
      </c>
      <c r="G971" s="1117" t="s">
        <v>2391</v>
      </c>
      <c r="H971" s="1887"/>
      <c r="I971" s="1259">
        <f t="shared" si="56"/>
        <v>0</v>
      </c>
      <c r="J971" s="1127"/>
      <c r="K971" s="1127"/>
      <c r="L971" s="1082"/>
      <c r="M971" s="975">
        <v>160</v>
      </c>
    </row>
    <row r="972" spans="1:13" s="1083" customFormat="1" ht="25.2" hidden="1" customHeight="1">
      <c r="A972" s="1153">
        <f t="shared" si="65"/>
        <v>0</v>
      </c>
      <c r="B972" s="1324"/>
      <c r="C972" s="1324"/>
      <c r="D972" s="1078"/>
      <c r="E972" s="1128"/>
      <c r="F972" s="1367" t="s">
        <v>2285</v>
      </c>
      <c r="G972" s="1090"/>
      <c r="H972" s="1851"/>
      <c r="I972" s="1259">
        <f t="shared" si="56"/>
        <v>0</v>
      </c>
      <c r="J972" s="1129"/>
      <c r="K972" s="1129"/>
      <c r="L972" s="1082"/>
      <c r="M972" s="975">
        <v>160</v>
      </c>
    </row>
    <row r="973" spans="1:13" s="1083" customFormat="1" ht="25.2" hidden="1" customHeight="1">
      <c r="A973" s="1153">
        <f t="shared" si="65"/>
        <v>0</v>
      </c>
      <c r="B973" s="1154" t="s">
        <v>1136</v>
      </c>
      <c r="C973" s="1154"/>
      <c r="D973" s="1078"/>
      <c r="E973" s="1091" t="str">
        <f>VLOOKUP($B973,DG!A:D,DG!$B$2,)</f>
        <v>05.6105</v>
      </c>
      <c r="F973" s="1080" t="str">
        <f>VLOOKUP($B973,DG!A:D,DG!$C$2,)&amp;": 2 cái"</f>
        <v>Đà U160x68x5x2800 đỡ MBA: 2 cái</v>
      </c>
      <c r="G973" s="1079" t="str">
        <f>VLOOKUP($B973,DG!A:D,DG!$D$2,)</f>
        <v>cái</v>
      </c>
      <c r="H973" s="1851">
        <f>52.049*$H$971*2</f>
        <v>0</v>
      </c>
      <c r="I973" s="1259">
        <f t="shared" ref="I973:I1059" si="67">IF(M973=$M$23,H973+J973-K973,0)</f>
        <v>0</v>
      </c>
      <c r="J973" s="1108"/>
      <c r="K973" s="1108"/>
      <c r="L973" s="1082"/>
      <c r="M973" s="975">
        <v>160</v>
      </c>
    </row>
    <row r="974" spans="1:13" s="1083" customFormat="1" ht="25.2" hidden="1" customHeight="1">
      <c r="A974" s="1153">
        <f t="shared" si="65"/>
        <v>0</v>
      </c>
      <c r="B974" s="1154" t="s">
        <v>1137</v>
      </c>
      <c r="C974" s="1154"/>
      <c r="D974" s="1078"/>
      <c r="E974" s="1091" t="str">
        <f>VLOOKUP($B974,DG!A:D,DG!$B$2,)</f>
        <v>05.6101</v>
      </c>
      <c r="F974" s="1080" t="str">
        <f>VLOOKUP($B974,DG!A:D,DG!$C$2,)&amp;": 4 cái"</f>
        <v>Đà U100x46x4.5x400 : 4 cái</v>
      </c>
      <c r="G974" s="1079" t="str">
        <f>VLOOKUP($B974,DG!A:D,DG!$D$2,)</f>
        <v>cái</v>
      </c>
      <c r="H974" s="1851">
        <f>$H$971*2.713*4</f>
        <v>0</v>
      </c>
      <c r="I974" s="1259">
        <f t="shared" si="67"/>
        <v>0</v>
      </c>
      <c r="J974" s="1108"/>
      <c r="K974" s="1108"/>
      <c r="L974" s="1082"/>
      <c r="M974" s="975">
        <v>160</v>
      </c>
    </row>
    <row r="975" spans="1:13" s="1083" customFormat="1" ht="25.2" hidden="1" customHeight="1">
      <c r="A975" s="1153">
        <f t="shared" si="65"/>
        <v>0</v>
      </c>
      <c r="B975" s="1154" t="s">
        <v>1138</v>
      </c>
      <c r="C975" s="1154"/>
      <c r="D975" s="1078"/>
      <c r="E975" s="1091" t="str">
        <f>VLOOKUP($B975,DG!A:D,DG!$B$2,)</f>
        <v>05.6101</v>
      </c>
      <c r="F975" s="1080" t="str">
        <f>VLOOKUP($B975,DG!A:D,DG!$C$2,)&amp;": 2 cái"</f>
        <v>Đà U100x46x5x800 : 2 cái</v>
      </c>
      <c r="G975" s="1079" t="str">
        <f>VLOOKUP($B975,DG!A:D,DG!$D$2,)</f>
        <v>cái</v>
      </c>
      <c r="H975" s="1851">
        <f>$H$971*5.426*2</f>
        <v>0</v>
      </c>
      <c r="I975" s="1259">
        <f t="shared" si="67"/>
        <v>0</v>
      </c>
      <c r="J975" s="1108"/>
      <c r="K975" s="1108"/>
      <c r="L975" s="1082"/>
      <c r="M975" s="975">
        <v>160</v>
      </c>
    </row>
    <row r="976" spans="1:13" s="1083" customFormat="1" ht="25.2" hidden="1" customHeight="1">
      <c r="A976" s="1153">
        <f t="shared" si="65"/>
        <v>0</v>
      </c>
      <c r="B976" s="1324" t="s">
        <v>1785</v>
      </c>
      <c r="C976" s="1324"/>
      <c r="D976" s="1078"/>
      <c r="E976" s="1091">
        <f>VLOOKUP($B976,DG!A:D,DG!$B$2,)</f>
        <v>0</v>
      </c>
      <c r="F976" s="1080" t="str">
        <f>VLOOKUP($B976,DG!A:D,DG!$C$2,)</f>
        <v>Boulon 16x400VRS+ 4 long đền vuông D18-50x50x3/Zn</v>
      </c>
      <c r="G976" s="1079" t="str">
        <f>VLOOKUP($B976,DG!A:D,DG!$D$2,)</f>
        <v>bộ</v>
      </c>
      <c r="H976" s="1851">
        <f>$H$971*10</f>
        <v>0</v>
      </c>
      <c r="I976" s="1259">
        <f t="shared" si="67"/>
        <v>0</v>
      </c>
      <c r="J976" s="1108"/>
      <c r="K976" s="1108"/>
      <c r="L976" s="1082"/>
      <c r="M976" s="975">
        <v>160</v>
      </c>
    </row>
    <row r="977" spans="1:13" s="1083" customFormat="1" ht="25.2" hidden="1" customHeight="1">
      <c r="A977" s="1153">
        <f t="shared" si="65"/>
        <v>0</v>
      </c>
      <c r="B977" s="1324" t="s">
        <v>1083</v>
      </c>
      <c r="C977" s="1324"/>
      <c r="D977" s="1078"/>
      <c r="E977" s="1091">
        <f>VLOOKUP($B977,DG!A:D,DG!$B$2,)</f>
        <v>0</v>
      </c>
      <c r="F977" s="1080" t="str">
        <f>VLOOKUP($B977,DG!A:D,DG!$C$2,)</f>
        <v>Boulon 16x400+ 2 long đền vuông D18-50x50x3/Zn</v>
      </c>
      <c r="G977" s="1079" t="str">
        <f>VLOOKUP($B977,DG!A:D,DG!$D$2,)</f>
        <v>bộ</v>
      </c>
      <c r="H977" s="1851">
        <f>$H$971*2</f>
        <v>0</v>
      </c>
      <c r="I977" s="1259">
        <f t="shared" si="67"/>
        <v>0</v>
      </c>
      <c r="J977" s="1108"/>
      <c r="K977" s="1108"/>
      <c r="L977" s="1082"/>
      <c r="M977" s="975">
        <v>160</v>
      </c>
    </row>
    <row r="978" spans="1:13" s="1083" customFormat="1" ht="25.2" hidden="1" customHeight="1">
      <c r="A978" s="1153">
        <f t="shared" si="65"/>
        <v>0</v>
      </c>
      <c r="B978" s="1324" t="s">
        <v>1079</v>
      </c>
      <c r="C978" s="1324"/>
      <c r="D978" s="1078"/>
      <c r="E978" s="1091">
        <f>VLOOKUP($B978,DG!A:D,DG!$B$2,)</f>
        <v>0</v>
      </c>
      <c r="F978" s="1080" t="str">
        <f>VLOOKUP($B978,DG!A:D,DG!$C$2,)</f>
        <v>Boulon 16x350+ 2 long đền vuông D18-50x50x3/Zn</v>
      </c>
      <c r="G978" s="1079" t="str">
        <f>VLOOKUP($B978,DG!A:D,DG!$D$2,)</f>
        <v>bộ</v>
      </c>
      <c r="H978" s="1851">
        <f>$H$971*12</f>
        <v>0</v>
      </c>
      <c r="I978" s="1259">
        <f t="shared" si="67"/>
        <v>0</v>
      </c>
      <c r="J978" s="1108"/>
      <c r="K978" s="1108"/>
      <c r="L978" s="1082"/>
      <c r="M978" s="975">
        <v>160</v>
      </c>
    </row>
    <row r="979" spans="1:13" s="1083" customFormat="1" ht="25.2" hidden="1" customHeight="1">
      <c r="A979" s="1153">
        <f t="shared" si="65"/>
        <v>0</v>
      </c>
      <c r="B979" s="1324"/>
      <c r="C979" s="1324"/>
      <c r="D979" s="1084">
        <f>IF(H979&gt;0,D969+1,D969)</f>
        <v>1</v>
      </c>
      <c r="E979" s="1126"/>
      <c r="F979" s="1119" t="s">
        <v>4865</v>
      </c>
      <c r="G979" s="1117" t="s">
        <v>2391</v>
      </c>
      <c r="H979" s="1887">
        <v>1</v>
      </c>
      <c r="I979" s="1259">
        <f t="shared" si="67"/>
        <v>0</v>
      </c>
      <c r="J979" s="1127"/>
      <c r="K979" s="1127"/>
      <c r="L979" s="1082"/>
      <c r="M979" s="975">
        <v>160</v>
      </c>
    </row>
    <row r="980" spans="1:13" s="1083" customFormat="1" ht="25.2" hidden="1" customHeight="1">
      <c r="A980" s="1153">
        <f t="shared" si="65"/>
        <v>0</v>
      </c>
      <c r="B980" s="1324"/>
      <c r="C980" s="1324"/>
      <c r="D980" s="1078"/>
      <c r="E980" s="1128"/>
      <c r="F980" s="1367" t="s">
        <v>2285</v>
      </c>
      <c r="G980" s="1090"/>
      <c r="H980" s="1851"/>
      <c r="I980" s="1259">
        <f t="shared" si="67"/>
        <v>0</v>
      </c>
      <c r="J980" s="1129"/>
      <c r="K980" s="1129"/>
      <c r="L980" s="1082"/>
      <c r="M980" s="975">
        <v>160</v>
      </c>
    </row>
    <row r="981" spans="1:13" s="1083" customFormat="1" ht="25.2" hidden="1" customHeight="1">
      <c r="A981" s="1153">
        <f t="shared" si="65"/>
        <v>0</v>
      </c>
      <c r="B981" s="1154" t="s">
        <v>4868</v>
      </c>
      <c r="C981" s="1154"/>
      <c r="D981" s="1078"/>
      <c r="E981" s="1091">
        <f>VLOOKUP($B981,DG!A:D,DG!$B$2,)</f>
        <v>0</v>
      </c>
      <c r="F981" s="1080" t="str">
        <f>VLOOKUP($B981,DG!A:D,DG!$C$2,)</f>
        <v>Đà U100x46x4.5x500</v>
      </c>
      <c r="G981" s="1079" t="str">
        <f>VLOOKUP($B981,DG!A:D,DG!$D$2,)</f>
        <v>cái</v>
      </c>
      <c r="H981" s="1851">
        <v>2</v>
      </c>
      <c r="I981" s="1259">
        <f t="shared" ref="I981:I994" si="68">IF(M981=$M$23,H981+J981-K981,0)</f>
        <v>0</v>
      </c>
      <c r="J981" s="1108"/>
      <c r="K981" s="1108"/>
      <c r="L981" s="1082"/>
      <c r="M981" s="975">
        <v>160</v>
      </c>
    </row>
    <row r="982" spans="1:13" s="1083" customFormat="1" ht="25.2" hidden="1" customHeight="1">
      <c r="A982" s="1153">
        <f t="shared" si="65"/>
        <v>0</v>
      </c>
      <c r="B982" s="1154" t="s">
        <v>4869</v>
      </c>
      <c r="C982" s="1154"/>
      <c r="D982" s="1078"/>
      <c r="E982" s="1091">
        <f>VLOOKUP($B982,DG!A:D,DG!$B$2,)</f>
        <v>0</v>
      </c>
      <c r="F982" s="1080" t="str">
        <f>VLOOKUP($B982,DG!A:D,DG!$C$2,)</f>
        <v>Đà U100x46x4.5x700</v>
      </c>
      <c r="G982" s="1079" t="str">
        <f>VLOOKUP($B982,DG!A:D,DG!$D$2,)</f>
        <v>cái</v>
      </c>
      <c r="H982" s="1851">
        <v>3</v>
      </c>
      <c r="I982" s="1259">
        <f t="shared" si="68"/>
        <v>0</v>
      </c>
      <c r="J982" s="1108"/>
      <c r="K982" s="1108"/>
      <c r="L982" s="1082"/>
      <c r="M982" s="975">
        <v>160</v>
      </c>
    </row>
    <row r="983" spans="1:13" s="1083" customFormat="1" ht="25.2" hidden="1" customHeight="1">
      <c r="A983" s="1153">
        <f t="shared" si="65"/>
        <v>0</v>
      </c>
      <c r="B983" s="1154" t="s">
        <v>4870</v>
      </c>
      <c r="C983" s="1154"/>
      <c r="D983" s="1078"/>
      <c r="E983" s="1091">
        <f>VLOOKUP($B983,DG!A:D,DG!$B$2,)</f>
        <v>0</v>
      </c>
      <c r="F983" s="1080" t="str">
        <f>VLOOKUP($B983,DG!A:D,DG!$C$2,)</f>
        <v>Đà U100x68x5x740</v>
      </c>
      <c r="G983" s="1079" t="str">
        <f>VLOOKUP($B983,DG!A:D,DG!$D$2,)</f>
        <v>cái</v>
      </c>
      <c r="H983" s="1851">
        <v>1</v>
      </c>
      <c r="I983" s="1259">
        <f t="shared" ref="I983:I986" si="69">IF(M983=$M$23,H983+J983-K983,0)</f>
        <v>0</v>
      </c>
      <c r="J983" s="1108"/>
      <c r="K983" s="1108"/>
      <c r="L983" s="1082"/>
      <c r="M983" s="975">
        <v>160</v>
      </c>
    </row>
    <row r="984" spans="1:13" s="1083" customFormat="1" ht="25.2" hidden="1" customHeight="1">
      <c r="A984" s="1153">
        <f t="shared" si="65"/>
        <v>0</v>
      </c>
      <c r="B984" s="1154" t="s">
        <v>4871</v>
      </c>
      <c r="C984" s="1154"/>
      <c r="D984" s="1078"/>
      <c r="E984" s="1091">
        <f>VLOOKUP($B984,DG!A:D,DG!$B$2,)</f>
        <v>0</v>
      </c>
      <c r="F984" s="1080" t="str">
        <f>VLOOKUP($B984,DG!A:D,DG!$C$2,)</f>
        <v>Đà U100x68x5x1100</v>
      </c>
      <c r="G984" s="1079" t="str">
        <f>VLOOKUP($B984,DG!A:D,DG!$D$2,)</f>
        <v>cái</v>
      </c>
      <c r="H984" s="1851">
        <v>2</v>
      </c>
      <c r="I984" s="1259">
        <f t="shared" si="69"/>
        <v>0</v>
      </c>
      <c r="J984" s="1108"/>
      <c r="K984" s="1108"/>
      <c r="L984" s="1082"/>
      <c r="M984" s="975">
        <v>160</v>
      </c>
    </row>
    <row r="985" spans="1:13" s="1083" customFormat="1" ht="25.2" hidden="1" customHeight="1">
      <c r="A985" s="1153">
        <f t="shared" si="65"/>
        <v>0</v>
      </c>
      <c r="B985" s="1154" t="s">
        <v>4872</v>
      </c>
      <c r="C985" s="1154"/>
      <c r="D985" s="1078"/>
      <c r="E985" s="1091">
        <f>VLOOKUP($B985,DG!A:D,DG!$B$2,)</f>
        <v>0</v>
      </c>
      <c r="F985" s="1080" t="str">
        <f>VLOOKUP($B985,DG!A:D,DG!$C$2,)</f>
        <v>Đà U100x68x5x1449</v>
      </c>
      <c r="G985" s="1079" t="str">
        <f>VLOOKUP($B985,DG!A:D,DG!$D$2,)</f>
        <v>cái</v>
      </c>
      <c r="H985" s="1851">
        <v>1</v>
      </c>
      <c r="I985" s="1259">
        <f t="shared" si="69"/>
        <v>0</v>
      </c>
      <c r="J985" s="1108"/>
      <c r="K985" s="1108"/>
      <c r="L985" s="1082"/>
      <c r="M985" s="975">
        <v>160</v>
      </c>
    </row>
    <row r="986" spans="1:13" s="1083" customFormat="1" ht="25.2" hidden="1" customHeight="1">
      <c r="A986" s="1153">
        <f t="shared" ref="A986:A1049" si="70">IF(I986&gt;0,1,0)</f>
        <v>0</v>
      </c>
      <c r="B986" s="1154" t="s">
        <v>4873</v>
      </c>
      <c r="C986" s="1154"/>
      <c r="D986" s="1078"/>
      <c r="E986" s="1091">
        <f>VLOOKUP($B986,DG!A:D,DG!$B$2,)</f>
        <v>0</v>
      </c>
      <c r="F986" s="1080" t="str">
        <f>VLOOKUP($B986,DG!A:D,DG!$C$2,)</f>
        <v>Đà U100x68x5x1700</v>
      </c>
      <c r="G986" s="1079" t="str">
        <f>VLOOKUP($B986,DG!A:D,DG!$D$2,)</f>
        <v>cái</v>
      </c>
      <c r="H986" s="1851">
        <v>2</v>
      </c>
      <c r="I986" s="1259">
        <f t="shared" si="69"/>
        <v>0</v>
      </c>
      <c r="J986" s="1108"/>
      <c r="K986" s="1108"/>
      <c r="L986" s="1082"/>
      <c r="M986" s="975">
        <v>160</v>
      </c>
    </row>
    <row r="987" spans="1:13" s="1083" customFormat="1" ht="25.2" hidden="1" customHeight="1">
      <c r="A987" s="1153">
        <f t="shared" si="70"/>
        <v>0</v>
      </c>
      <c r="B987" s="1154" t="s">
        <v>4874</v>
      </c>
      <c r="C987" s="1154"/>
      <c r="D987" s="1078"/>
      <c r="E987" s="1091">
        <f>VLOOKUP($B987,DG!A:D,DG!$B$2,)</f>
        <v>0</v>
      </c>
      <c r="F987" s="1080" t="str">
        <f>VLOOKUP($B987,DG!A:D,DG!$C$2,)</f>
        <v>Đà U100x68x5x2100</v>
      </c>
      <c r="G987" s="1079" t="str">
        <f>VLOOKUP($B987,DG!A:D,DG!$D$2,)</f>
        <v>cái</v>
      </c>
      <c r="H987" s="1851">
        <v>2</v>
      </c>
      <c r="I987" s="1259">
        <f t="shared" si="68"/>
        <v>0</v>
      </c>
      <c r="J987" s="1108"/>
      <c r="K987" s="1108"/>
      <c r="L987" s="1082"/>
      <c r="M987" s="975">
        <v>160</v>
      </c>
    </row>
    <row r="988" spans="1:13" s="1083" customFormat="1" ht="25.2" hidden="1" customHeight="1">
      <c r="A988" s="1153">
        <f t="shared" si="70"/>
        <v>0</v>
      </c>
      <c r="B988" s="1324" t="s">
        <v>1790</v>
      </c>
      <c r="C988" s="1324"/>
      <c r="D988" s="1078"/>
      <c r="E988" s="1091">
        <f>VLOOKUP($B988,DG!A:D,DG!$B$2,)</f>
        <v>0</v>
      </c>
      <c r="F988" s="1080" t="str">
        <f>VLOOKUP($B988,DG!A:D,DG!$C$2,)</f>
        <v>Boulon 16x50+ 2 long đền vuông D18-50x50x3/Zn</v>
      </c>
      <c r="G988" s="1079" t="str">
        <f>VLOOKUP($B988,DG!A:D,DG!$D$2,)</f>
        <v>bộ</v>
      </c>
      <c r="H988" s="1851">
        <v>24</v>
      </c>
      <c r="I988" s="1259">
        <f t="shared" ref="I988" si="71">IF(M988=$M$23,H988+J988-K988,0)</f>
        <v>0</v>
      </c>
      <c r="J988" s="1108"/>
      <c r="K988" s="1108"/>
      <c r="L988" s="1082"/>
      <c r="M988" s="975">
        <v>160</v>
      </c>
    </row>
    <row r="989" spans="1:13" s="1083" customFormat="1" ht="25.2" hidden="1" customHeight="1">
      <c r="A989" s="1153">
        <f t="shared" si="70"/>
        <v>0</v>
      </c>
      <c r="B989" s="1324" t="s">
        <v>137</v>
      </c>
      <c r="C989" s="1324"/>
      <c r="D989" s="1078"/>
      <c r="E989" s="1091">
        <f>VLOOKUP($B989,DG!A:D,DG!$B$2,)</f>
        <v>0</v>
      </c>
      <c r="F989" s="1080" t="str">
        <f>VLOOKUP($B989,DG!A:D,DG!$C$2,)</f>
        <v>Boulon 16x200+ 2 long đền vuông D18-50x50x3/Zn</v>
      </c>
      <c r="G989" s="1079" t="str">
        <f>VLOOKUP($B989,DG!A:D,DG!$D$2,)</f>
        <v>bộ</v>
      </c>
      <c r="H989" s="1851">
        <v>4</v>
      </c>
      <c r="I989" s="1259">
        <f t="shared" si="68"/>
        <v>0</v>
      </c>
      <c r="J989" s="1108"/>
      <c r="K989" s="1108"/>
      <c r="L989" s="1082"/>
      <c r="M989" s="975">
        <v>160</v>
      </c>
    </row>
    <row r="990" spans="1:13" s="1083" customFormat="1" ht="25.2" hidden="1" customHeight="1">
      <c r="A990" s="1153">
        <f t="shared" si="70"/>
        <v>0</v>
      </c>
      <c r="B990" s="1324" t="s">
        <v>4876</v>
      </c>
      <c r="C990" s="1324"/>
      <c r="D990" s="1078"/>
      <c r="E990" s="1091">
        <f>VLOOKUP($B990,DG!A:D,DG!$B$2,)</f>
        <v>0</v>
      </c>
      <c r="F990" s="1080" t="str">
        <f>VLOOKUP($B990,DG!A:D,DG!$C$2,)</f>
        <v>Boulon 16x350VRS+ 4 long đền vuông D18-50x50x3/Zn</v>
      </c>
      <c r="G990" s="1079" t="str">
        <f>VLOOKUP($B990,DG!A:D,DG!$D$2,)</f>
        <v>bộ</v>
      </c>
      <c r="H990" s="1851">
        <v>4</v>
      </c>
      <c r="I990" s="1259">
        <f t="shared" si="68"/>
        <v>0</v>
      </c>
      <c r="J990" s="1108"/>
      <c r="K990" s="1108"/>
      <c r="L990" s="1082"/>
      <c r="M990" s="975">
        <v>160</v>
      </c>
    </row>
    <row r="991" spans="1:13" s="1083" customFormat="1" ht="25.2" hidden="1" customHeight="1">
      <c r="A991" s="1153">
        <f t="shared" si="70"/>
        <v>0</v>
      </c>
      <c r="B991" s="1324" t="s">
        <v>4875</v>
      </c>
      <c r="C991" s="1324"/>
      <c r="D991" s="1078"/>
      <c r="E991" s="1091">
        <f>VLOOKUP($B991,DG!A:D,DG!$B$2,)</f>
        <v>0</v>
      </c>
      <c r="F991" s="1080" t="str">
        <f>VLOOKUP($B991,DG!A:D,DG!$C$2,)</f>
        <v>Boulon 16x750VRS+ 4 long đền vuông D18-50x50x3/Zn</v>
      </c>
      <c r="G991" s="1079" t="str">
        <f>VLOOKUP($B991,DG!A:D,DG!$D$2,)</f>
        <v>bộ</v>
      </c>
      <c r="H991" s="1851">
        <v>6</v>
      </c>
      <c r="I991" s="1259">
        <f t="shared" ref="I991" si="72">IF(M991=$M$23,H991+J991-K991,0)</f>
        <v>0</v>
      </c>
      <c r="J991" s="1108"/>
      <c r="K991" s="1108"/>
      <c r="L991" s="1082"/>
      <c r="M991" s="975">
        <v>160</v>
      </c>
    </row>
    <row r="992" spans="1:13" s="1083" customFormat="1" ht="25.2" hidden="1" customHeight="1">
      <c r="A992" s="1153">
        <f t="shared" si="70"/>
        <v>0</v>
      </c>
      <c r="B992" s="1324" t="s">
        <v>4877</v>
      </c>
      <c r="C992" s="1324"/>
      <c r="D992" s="1078"/>
      <c r="E992" s="1091">
        <f>VLOOKUP($B992,DG!A:D,DG!$B$2,)</f>
        <v>0</v>
      </c>
      <c r="F992" s="1080" t="str">
        <f>VLOOKUP($B992,DG!A:D,DG!$C$2,)</f>
        <v>Boulon 16x800VRS+ 4 long đền vuông D18-50x50x3/Zn</v>
      </c>
      <c r="G992" s="1079" t="str">
        <f>VLOOKUP($B992,DG!A:D,DG!$D$2,)</f>
        <v>bộ</v>
      </c>
      <c r="H992" s="1851">
        <v>4</v>
      </c>
      <c r="I992" s="1259">
        <f t="shared" si="68"/>
        <v>0</v>
      </c>
      <c r="J992" s="1108"/>
      <c r="K992" s="1108"/>
      <c r="L992" s="1082"/>
      <c r="M992" s="975">
        <v>160</v>
      </c>
    </row>
    <row r="993" spans="1:13" s="1083" customFormat="1" ht="25.2" hidden="1" customHeight="1">
      <c r="A993" s="1153">
        <f t="shared" si="70"/>
        <v>0</v>
      </c>
      <c r="B993" s="1324" t="s">
        <v>2248</v>
      </c>
      <c r="C993" s="1324"/>
      <c r="D993" s="1078"/>
      <c r="E993" s="1091" t="str">
        <f>VLOOKUP($B993,DG!A:D,DG!$B$2,)</f>
        <v>05.6044</v>
      </c>
      <c r="F993" s="1080" t="s">
        <v>4880</v>
      </c>
      <c r="G993" s="1091" t="s">
        <v>2448</v>
      </c>
      <c r="H993" s="1851">
        <v>0.24</v>
      </c>
      <c r="I993" s="1259">
        <f t="shared" si="68"/>
        <v>0</v>
      </c>
      <c r="J993" s="1108"/>
      <c r="K993" s="1108"/>
      <c r="L993" s="1082"/>
      <c r="M993" s="975">
        <v>160</v>
      </c>
    </row>
    <row r="994" spans="1:13" s="1083" customFormat="1" ht="25.2" hidden="1" customHeight="1">
      <c r="A994" s="1153">
        <f t="shared" si="70"/>
        <v>0</v>
      </c>
      <c r="B994" s="1324" t="s">
        <v>2248</v>
      </c>
      <c r="C994" s="1324"/>
      <c r="D994" s="1078"/>
      <c r="E994" s="1091" t="str">
        <f>VLOOKUP($B994,DG!A:D,DG!$B$2,)</f>
        <v>05.6044</v>
      </c>
      <c r="F994" s="1080" t="str">
        <f>VLOOKUP($B994,DG!A:D,DG!$C$2,)</f>
        <v>Lắp xà cột Pi loại ≤140kg/xà</v>
      </c>
      <c r="G994" s="1091" t="str">
        <f>VLOOKUP($B994,DG!A:D,DG!$D$2,)</f>
        <v>bộ</v>
      </c>
      <c r="H994" s="1851">
        <v>1</v>
      </c>
      <c r="I994" s="1259">
        <f t="shared" si="68"/>
        <v>0</v>
      </c>
      <c r="J994" s="1108"/>
      <c r="K994" s="1108"/>
      <c r="L994" s="1082"/>
      <c r="M994" s="975">
        <v>160</v>
      </c>
    </row>
    <row r="995" spans="1:13" s="1083" customFormat="1" ht="25.2" hidden="1" customHeight="1">
      <c r="A995" s="1153">
        <f t="shared" si="70"/>
        <v>0</v>
      </c>
      <c r="B995" s="1324"/>
      <c r="C995" s="1324"/>
      <c r="D995" s="1084">
        <f>IF(H995&gt;0,D971+1,D971)</f>
        <v>0</v>
      </c>
      <c r="E995" s="1085"/>
      <c r="F995" s="1130" t="s">
        <v>3733</v>
      </c>
      <c r="G995" s="1084" t="s">
        <v>2391</v>
      </c>
      <c r="H995" s="1867">
        <f>$H$971*2*0</f>
        <v>0</v>
      </c>
      <c r="I995" s="1259">
        <f t="shared" si="67"/>
        <v>0</v>
      </c>
      <c r="J995" s="1131"/>
      <c r="K995" s="1131"/>
      <c r="L995" s="1082"/>
      <c r="M995" s="975">
        <v>160</v>
      </c>
    </row>
    <row r="996" spans="1:13" s="1083" customFormat="1" ht="25.2" hidden="1" customHeight="1">
      <c r="A996" s="1153">
        <f t="shared" si="70"/>
        <v>0</v>
      </c>
      <c r="B996" s="1324"/>
      <c r="C996" s="1324"/>
      <c r="D996" s="1078"/>
      <c r="E996" s="1091"/>
      <c r="F996" s="1367" t="s">
        <v>2285</v>
      </c>
      <c r="G996" s="1090"/>
      <c r="H996" s="1851"/>
      <c r="I996" s="1259">
        <f t="shared" si="67"/>
        <v>0</v>
      </c>
      <c r="J996" s="1131"/>
      <c r="K996" s="1131"/>
      <c r="L996" s="1082"/>
      <c r="M996" s="975">
        <v>160</v>
      </c>
    </row>
    <row r="997" spans="1:13" s="1083" customFormat="1" ht="25.2" hidden="1" customHeight="1">
      <c r="A997" s="1153">
        <f t="shared" si="70"/>
        <v>0</v>
      </c>
      <c r="B997" s="1331" t="s">
        <v>2026</v>
      </c>
      <c r="C997" s="1331"/>
      <c r="D997" s="1078"/>
      <c r="E997" s="1091">
        <f>VLOOKUP($B997,DG!A:D,DG!$B$2,)</f>
        <v>0</v>
      </c>
      <c r="F997" s="1080" t="str">
        <f>VLOOKUP($B997,DG!A:D,DG!$C$2,)</f>
        <v>Sắt góc L75 x75 x8</v>
      </c>
      <c r="G997" s="1091" t="str">
        <f>VLOOKUP($B997,DG!A:D,DG!$D$2,)</f>
        <v>kg</v>
      </c>
      <c r="H997" s="1851">
        <f>H995*9.02*(2.6+3*0.07)*2</f>
        <v>0</v>
      </c>
      <c r="I997" s="1259">
        <f t="shared" si="67"/>
        <v>0</v>
      </c>
      <c r="J997" s="1108"/>
      <c r="K997" s="1108"/>
      <c r="L997" s="1082"/>
      <c r="M997" s="975">
        <v>160</v>
      </c>
    </row>
    <row r="998" spans="1:13" s="1083" customFormat="1" ht="25.2" hidden="1" customHeight="1">
      <c r="A998" s="1153">
        <f t="shared" si="70"/>
        <v>0</v>
      </c>
      <c r="B998" s="1324" t="s">
        <v>1788</v>
      </c>
      <c r="C998" s="1324"/>
      <c r="D998" s="1078"/>
      <c r="E998" s="1091">
        <f>VLOOKUP($B998,DG!A:D,DG!$B$2,)</f>
        <v>0</v>
      </c>
      <c r="F998" s="1080" t="str">
        <f>VLOOKUP($B998,DG!A:D,DG!$C$2,)</f>
        <v>Boulon 16x300VRS+ 4 long đền vuông D18-50x50x3/Zn</v>
      </c>
      <c r="G998" s="1091" t="str">
        <f>VLOOKUP($B998,DG!A:D,DG!$D$2,)</f>
        <v>bộ</v>
      </c>
      <c r="H998" s="1851">
        <f>H995*2</f>
        <v>0</v>
      </c>
      <c r="I998" s="1259">
        <f t="shared" si="67"/>
        <v>0</v>
      </c>
      <c r="J998" s="1108"/>
      <c r="K998" s="1108"/>
      <c r="L998" s="1082"/>
      <c r="M998" s="975">
        <v>160</v>
      </c>
    </row>
    <row r="999" spans="1:13" s="1083" customFormat="1" ht="25.2" hidden="1" customHeight="1">
      <c r="A999" s="1153">
        <f t="shared" si="70"/>
        <v>0</v>
      </c>
      <c r="B999" s="1324" t="s">
        <v>1613</v>
      </c>
      <c r="C999" s="1324"/>
      <c r="D999" s="1078"/>
      <c r="E999" s="1091">
        <f>VLOOKUP($B999,DG!A:D,DG!$B$2,)</f>
        <v>0</v>
      </c>
      <c r="F999" s="1080" t="str">
        <f>VLOOKUP($B999,DG!A:D,DG!$C$2,)</f>
        <v>Boulon 16x300+ 2 long đền vuông D18-50x50x3/Zn</v>
      </c>
      <c r="G999" s="1091" t="str">
        <f>VLOOKUP($B999,DG!A:D,DG!$D$2,)</f>
        <v>bộ</v>
      </c>
      <c r="H999" s="1851">
        <f>H995*2</f>
        <v>0</v>
      </c>
      <c r="I999" s="1259">
        <f t="shared" si="67"/>
        <v>0</v>
      </c>
      <c r="J999" s="1108"/>
      <c r="K999" s="1108"/>
      <c r="L999" s="1082"/>
      <c r="M999" s="975">
        <v>160</v>
      </c>
    </row>
    <row r="1000" spans="1:13" s="1083" customFormat="1" ht="25.2" hidden="1" customHeight="1">
      <c r="A1000" s="1153">
        <f t="shared" si="70"/>
        <v>0</v>
      </c>
      <c r="B1000" s="1324" t="s">
        <v>1612</v>
      </c>
      <c r="C1000" s="1324"/>
      <c r="D1000" s="1078"/>
      <c r="E1000" s="1091">
        <f>VLOOKUP($B1000,DG!A:D,DG!$B$2,)</f>
        <v>0</v>
      </c>
      <c r="F1000" s="1080" t="str">
        <f>VLOOKUP($B1000,DG!A:D,DG!$C$2,)</f>
        <v>Boulon 16x250+ 2 long đền vuông D18-50x50x3/Zn</v>
      </c>
      <c r="G1000" s="1091" t="str">
        <f>VLOOKUP($B1000,DG!A:D,DG!$D$2,)</f>
        <v>bộ</v>
      </c>
      <c r="H1000" s="1851">
        <f>H999</f>
        <v>0</v>
      </c>
      <c r="I1000" s="1259">
        <f t="shared" si="67"/>
        <v>0</v>
      </c>
      <c r="J1000" s="1108"/>
      <c r="K1000" s="1108"/>
      <c r="L1000" s="1082"/>
      <c r="M1000" s="975">
        <v>160</v>
      </c>
    </row>
    <row r="1001" spans="1:13" s="1083" customFormat="1" ht="25.2" hidden="1" customHeight="1">
      <c r="A1001" s="1153">
        <f t="shared" si="70"/>
        <v>0</v>
      </c>
      <c r="B1001" s="1324" t="s">
        <v>2248</v>
      </c>
      <c r="C1001" s="1324"/>
      <c r="D1001" s="1078"/>
      <c r="E1001" s="1091" t="str">
        <f>VLOOKUP($B1001,DG!A:D,DG!$B$2,)</f>
        <v>05.6044</v>
      </c>
      <c r="F1001" s="1080" t="str">
        <f>VLOOKUP($B1001,DG!A:D,DG!$C$2,)</f>
        <v>Lắp xà cột Pi loại ≤140kg/xà</v>
      </c>
      <c r="G1001" s="1091" t="str">
        <f>VLOOKUP($B1001,DG!A:D,DG!$D$2,)</f>
        <v>bộ</v>
      </c>
      <c r="H1001" s="1851">
        <f>H995</f>
        <v>0</v>
      </c>
      <c r="I1001" s="1259">
        <f t="shared" si="67"/>
        <v>0</v>
      </c>
      <c r="J1001" s="1108"/>
      <c r="K1001" s="1108"/>
      <c r="L1001" s="1082"/>
      <c r="M1001" s="975">
        <v>160</v>
      </c>
    </row>
    <row r="1002" spans="1:13" s="1083" customFormat="1" ht="25.2" hidden="1" customHeight="1">
      <c r="A1002" s="1153">
        <f t="shared" si="70"/>
        <v>0</v>
      </c>
      <c r="B1002" s="1324"/>
      <c r="C1002" s="1324"/>
      <c r="D1002" s="1084">
        <f>IF(H1002&gt;0,D995+1,D995)</f>
        <v>0</v>
      </c>
      <c r="E1002" s="1085"/>
      <c r="F1002" s="1130" t="s">
        <v>4478</v>
      </c>
      <c r="G1002" s="1084" t="s">
        <v>2391</v>
      </c>
      <c r="H1002" s="1867">
        <f>$H$971*2</f>
        <v>0</v>
      </c>
      <c r="I1002" s="1259">
        <f t="shared" si="67"/>
        <v>0</v>
      </c>
      <c r="J1002" s="1131"/>
      <c r="K1002" s="1131"/>
      <c r="L1002" s="1082"/>
      <c r="M1002" s="975">
        <v>160</v>
      </c>
    </row>
    <row r="1003" spans="1:13" s="1083" customFormat="1" ht="25.2" hidden="1" customHeight="1">
      <c r="A1003" s="1153">
        <f t="shared" si="70"/>
        <v>0</v>
      </c>
      <c r="B1003" s="1324"/>
      <c r="C1003" s="1324"/>
      <c r="D1003" s="1078"/>
      <c r="E1003" s="1088"/>
      <c r="F1003" s="1367" t="s">
        <v>2285</v>
      </c>
      <c r="G1003" s="1090"/>
      <c r="H1003" s="1851"/>
      <c r="I1003" s="1259">
        <f t="shared" si="67"/>
        <v>0</v>
      </c>
      <c r="J1003" s="1131"/>
      <c r="K1003" s="1131"/>
      <c r="L1003" s="1082"/>
      <c r="M1003" s="975">
        <v>160</v>
      </c>
    </row>
    <row r="1004" spans="1:13" s="1083" customFormat="1" ht="25.2" hidden="1" customHeight="1">
      <c r="A1004" s="1153">
        <f t="shared" si="70"/>
        <v>0</v>
      </c>
      <c r="B1004" s="1331" t="s">
        <v>2026</v>
      </c>
      <c r="C1004" s="1331"/>
      <c r="D1004" s="1078"/>
      <c r="E1004" s="1091">
        <f>VLOOKUP($B1004,DG!A:D,DG!$B$2,)</f>
        <v>0</v>
      </c>
      <c r="F1004" s="1080" t="str">
        <f>VLOOKUP($B1004,DG!A:D,DG!$C$2,)</f>
        <v>Sắt góc L75 x75 x8</v>
      </c>
      <c r="G1004" s="1091" t="str">
        <f>VLOOKUP($B1004,DG!A:D,DG!$D$2,)</f>
        <v>kg</v>
      </c>
      <c r="H1004" s="1851">
        <f>$H$1002*9.42*(2.6+3*0.07)</f>
        <v>0</v>
      </c>
      <c r="I1004" s="1259">
        <f t="shared" si="67"/>
        <v>0</v>
      </c>
      <c r="J1004" s="1108"/>
      <c r="K1004" s="1108"/>
      <c r="L1004" s="1082"/>
      <c r="M1004" s="975">
        <v>160</v>
      </c>
    </row>
    <row r="1005" spans="1:13" s="1083" customFormat="1" ht="25.2" hidden="1" customHeight="1">
      <c r="A1005" s="1153">
        <f t="shared" si="70"/>
        <v>0</v>
      </c>
      <c r="B1005" s="1324" t="s">
        <v>1612</v>
      </c>
      <c r="C1005" s="1324"/>
      <c r="D1005" s="1078"/>
      <c r="E1005" s="1091">
        <f>VLOOKUP($B1005,DG!A:D,DG!$B$2,)</f>
        <v>0</v>
      </c>
      <c r="F1005" s="1080" t="str">
        <f>VLOOKUP($B1005,DG!A:D,DG!$C$2,)</f>
        <v>Boulon 16x250+ 2 long đền vuông D18-50x50x3/Zn</v>
      </c>
      <c r="G1005" s="1091" t="str">
        <f>VLOOKUP($B1005,DG!A:D,DG!$D$2,)</f>
        <v>bộ</v>
      </c>
      <c r="H1005" s="1851">
        <f>IF($H$1002=0,0,2)</f>
        <v>0</v>
      </c>
      <c r="I1005" s="1259">
        <f t="shared" si="67"/>
        <v>0</v>
      </c>
      <c r="J1005" s="1108"/>
      <c r="K1005" s="1108"/>
      <c r="L1005" s="1082"/>
      <c r="M1005" s="975">
        <v>160</v>
      </c>
    </row>
    <row r="1006" spans="1:13" s="1083" customFormat="1" ht="25.2" hidden="1" customHeight="1">
      <c r="A1006" s="1153">
        <f t="shared" si="70"/>
        <v>0</v>
      </c>
      <c r="B1006" s="1324" t="s">
        <v>1613</v>
      </c>
      <c r="C1006" s="1324"/>
      <c r="D1006" s="1078"/>
      <c r="E1006" s="1091">
        <f>VLOOKUP($B1006,DG!A:D,DG!$B$2,)</f>
        <v>0</v>
      </c>
      <c r="F1006" s="1080" t="str">
        <f>VLOOKUP($B1006,DG!A:D,DG!$C$2,)</f>
        <v>Boulon 16x300+ 2 long đền vuông D18-50x50x3/Zn</v>
      </c>
      <c r="G1006" s="1091" t="str">
        <f>VLOOKUP($B1006,DG!A:D,DG!$D$2,)</f>
        <v>bộ</v>
      </c>
      <c r="H1006" s="1851">
        <f>IF($H$1002=0,0,2)</f>
        <v>0</v>
      </c>
      <c r="I1006" s="1259">
        <f t="shared" si="67"/>
        <v>0</v>
      </c>
      <c r="J1006" s="1108"/>
      <c r="K1006" s="1108"/>
      <c r="L1006" s="1082"/>
      <c r="M1006" s="975">
        <v>160</v>
      </c>
    </row>
    <row r="1007" spans="1:13" s="1083" customFormat="1" ht="25.2" hidden="1" customHeight="1">
      <c r="A1007" s="1153">
        <f t="shared" si="70"/>
        <v>0</v>
      </c>
      <c r="B1007" s="1324" t="s">
        <v>30</v>
      </c>
      <c r="C1007" s="1324"/>
      <c r="D1007" s="1078"/>
      <c r="E1007" s="1091">
        <f>VLOOKUP($B1007,DG!A:D,DG!$B$2,)</f>
        <v>0</v>
      </c>
      <c r="F1007" s="1080" t="str">
        <f>VLOOKUP($B1007,DG!A:D,DG!$C$2,)</f>
        <v>Bass LI bắt FCO</v>
      </c>
      <c r="G1007" s="1091" t="str">
        <f>VLOOKUP($B1007,DG!A:D,DG!$D$2,)</f>
        <v>Bộ</v>
      </c>
      <c r="H1007" s="1851"/>
      <c r="I1007" s="1259">
        <f t="shared" si="67"/>
        <v>0</v>
      </c>
      <c r="J1007" s="1108"/>
      <c r="K1007" s="1108"/>
      <c r="L1007" s="1082"/>
      <c r="M1007" s="975">
        <v>160</v>
      </c>
    </row>
    <row r="1008" spans="1:13" s="1083" customFormat="1" ht="25.2" hidden="1" customHeight="1">
      <c r="A1008" s="1153">
        <f t="shared" si="70"/>
        <v>0</v>
      </c>
      <c r="B1008" s="1324" t="s">
        <v>2248</v>
      </c>
      <c r="C1008" s="1324"/>
      <c r="D1008" s="1078"/>
      <c r="E1008" s="1091" t="str">
        <f>VLOOKUP($B1008,DG!A:D,DG!$B$2,)</f>
        <v>05.6044</v>
      </c>
      <c r="F1008" s="1162" t="str">
        <f>VLOOKUP($B1008,DG!A:D,DG!$C$2,)</f>
        <v>Lắp xà cột Pi loại ≤140kg/xà</v>
      </c>
      <c r="G1008" s="1091" t="str">
        <f>VLOOKUP($B1008,DG!A:D,DG!$D$2,)</f>
        <v>bộ</v>
      </c>
      <c r="H1008" s="1851">
        <f>$H$1002/2</f>
        <v>0</v>
      </c>
      <c r="I1008" s="1259">
        <f t="shared" si="67"/>
        <v>0</v>
      </c>
      <c r="J1008" s="1108"/>
      <c r="K1008" s="1108"/>
      <c r="L1008" s="1082"/>
      <c r="M1008" s="975">
        <v>160</v>
      </c>
    </row>
    <row r="1009" spans="1:13" s="1083" customFormat="1" ht="25.2" hidden="1" customHeight="1">
      <c r="A1009" s="1153">
        <f t="shared" si="70"/>
        <v>0</v>
      </c>
      <c r="B1009" s="1324"/>
      <c r="C1009" s="1324"/>
      <c r="D1009" s="1084">
        <f>IF(H1009&gt;0,D1002+1,D1002)</f>
        <v>0</v>
      </c>
      <c r="E1009" s="1085"/>
      <c r="F1009" s="1130" t="s">
        <v>4485</v>
      </c>
      <c r="G1009" s="1084" t="s">
        <v>2391</v>
      </c>
      <c r="H1009" s="1867">
        <f>$H$971*1</f>
        <v>0</v>
      </c>
      <c r="I1009" s="1259">
        <f t="shared" ref="I1009:I1014" si="73">IF(M1009=$M$23,H1009+J1009-K1009,0)</f>
        <v>0</v>
      </c>
      <c r="J1009" s="1131"/>
      <c r="K1009" s="1131"/>
      <c r="L1009" s="1082"/>
      <c r="M1009" s="975">
        <v>160</v>
      </c>
    </row>
    <row r="1010" spans="1:13" s="1083" customFormat="1" ht="25.2" hidden="1" customHeight="1">
      <c r="A1010" s="1153">
        <f t="shared" si="70"/>
        <v>0</v>
      </c>
      <c r="B1010" s="1324"/>
      <c r="C1010" s="1324"/>
      <c r="D1010" s="1078"/>
      <c r="E1010" s="1088"/>
      <c r="F1010" s="1367" t="s">
        <v>2285</v>
      </c>
      <c r="G1010" s="1090"/>
      <c r="H1010" s="1851"/>
      <c r="I1010" s="1259">
        <f t="shared" si="73"/>
        <v>0</v>
      </c>
      <c r="J1010" s="1131"/>
      <c r="K1010" s="1131"/>
      <c r="L1010" s="1082"/>
      <c r="M1010" s="975">
        <v>160</v>
      </c>
    </row>
    <row r="1011" spans="1:13" s="1083" customFormat="1" ht="25.2" hidden="1" customHeight="1">
      <c r="A1011" s="1153">
        <f t="shared" si="70"/>
        <v>0</v>
      </c>
      <c r="B1011" s="1331" t="s">
        <v>4479</v>
      </c>
      <c r="C1011" s="1331"/>
      <c r="D1011" s="1078"/>
      <c r="E1011" s="1091">
        <f>VLOOKUP($B1011,DG!A:D,DG!$B$2,)</f>
        <v>0</v>
      </c>
      <c r="F1011" s="1080" t="str">
        <f>VLOOKUP($B1011,DG!A:D,DG!$C$2,)</f>
        <v>Xà composite 110x800x5 dài 2,6m</v>
      </c>
      <c r="G1011" s="1091" t="str">
        <f>VLOOKUP($B1011,DG!A:D,DG!$D$2,)</f>
        <v>cái</v>
      </c>
      <c r="H1011" s="1851">
        <f>H1009</f>
        <v>0</v>
      </c>
      <c r="I1011" s="1259">
        <f t="shared" si="73"/>
        <v>0</v>
      </c>
      <c r="J1011" s="1108"/>
      <c r="K1011" s="1108"/>
      <c r="L1011" s="1082"/>
      <c r="M1011" s="975">
        <v>160</v>
      </c>
    </row>
    <row r="1012" spans="1:13" s="1083" customFormat="1" ht="25.2" hidden="1" customHeight="1">
      <c r="A1012" s="1153">
        <f t="shared" si="70"/>
        <v>0</v>
      </c>
      <c r="B1012" s="1324" t="s">
        <v>1079</v>
      </c>
      <c r="C1012" s="1324"/>
      <c r="D1012" s="1078"/>
      <c r="E1012" s="1091">
        <f>VLOOKUP($B1012,DG!A:D,DG!$B$2,)</f>
        <v>0</v>
      </c>
      <c r="F1012" s="1080" t="str">
        <f>VLOOKUP($B1012,DG!A:D,DG!$C$2,)</f>
        <v>Boulon 16x350+ 2 long đền vuông D18-50x50x3/Zn</v>
      </c>
      <c r="G1012" s="1091" t="str">
        <f>VLOOKUP($B1012,DG!A:D,DG!$D$2,)</f>
        <v>bộ</v>
      </c>
      <c r="H1012" s="1851">
        <f>IF($H$1002=0,0,2)</f>
        <v>0</v>
      </c>
      <c r="I1012" s="1259">
        <f t="shared" si="73"/>
        <v>0</v>
      </c>
      <c r="J1012" s="1108"/>
      <c r="K1012" s="1108"/>
      <c r="L1012" s="1082"/>
      <c r="M1012" s="975">
        <v>160</v>
      </c>
    </row>
    <row r="1013" spans="1:13" s="1083" customFormat="1" ht="25.2" hidden="1" customHeight="1">
      <c r="A1013" s="1153">
        <f t="shared" si="70"/>
        <v>0</v>
      </c>
      <c r="B1013" s="1324" t="s">
        <v>30</v>
      </c>
      <c r="C1013" s="1324"/>
      <c r="D1013" s="1078"/>
      <c r="E1013" s="1091">
        <f>VLOOKUP($B1013,DG!A:D,DG!$B$2,)</f>
        <v>0</v>
      </c>
      <c r="F1013" s="1080" t="str">
        <f>VLOOKUP($B1013,DG!A:D,DG!$C$2,)</f>
        <v>Bass LI bắt FCO</v>
      </c>
      <c r="G1013" s="1091" t="str">
        <f>VLOOKUP($B1013,DG!A:D,DG!$D$2,)</f>
        <v>Bộ</v>
      </c>
      <c r="H1013" s="1851"/>
      <c r="I1013" s="1259">
        <f t="shared" si="73"/>
        <v>0</v>
      </c>
      <c r="J1013" s="1108"/>
      <c r="K1013" s="1108"/>
      <c r="L1013" s="1082"/>
      <c r="M1013" s="975">
        <v>160</v>
      </c>
    </row>
    <row r="1014" spans="1:13" s="1083" customFormat="1" ht="25.2" hidden="1" customHeight="1">
      <c r="A1014" s="1153">
        <f t="shared" si="70"/>
        <v>0</v>
      </c>
      <c r="B1014" s="1324" t="s">
        <v>1999</v>
      </c>
      <c r="C1014" s="1324"/>
      <c r="D1014" s="1078"/>
      <c r="E1014" s="1091" t="str">
        <f>VLOOKUP($B1014,DG!A:D,DG!$B$2,)</f>
        <v>05.6401</v>
      </c>
      <c r="F1014" s="1162" t="str">
        <f>VLOOKUP($B1014,DG!A:D,DG!$C$2,)</f>
        <v>Lắp xà đỡ ≤ 25kg</v>
      </c>
      <c r="G1014" s="1091" t="str">
        <f>VLOOKUP($B1014,DG!A:D,DG!$D$2,)</f>
        <v>bộ</v>
      </c>
      <c r="H1014" s="1851">
        <f>$H$1002/2</f>
        <v>0</v>
      </c>
      <c r="I1014" s="1259">
        <f t="shared" si="73"/>
        <v>0</v>
      </c>
      <c r="J1014" s="1108"/>
      <c r="K1014" s="1108"/>
      <c r="L1014" s="1082"/>
      <c r="M1014" s="975">
        <v>160</v>
      </c>
    </row>
    <row r="1015" spans="1:13" s="1083" customFormat="1" ht="25.2" hidden="1" customHeight="1">
      <c r="A1015" s="1153">
        <f t="shared" si="70"/>
        <v>0</v>
      </c>
      <c r="B1015" s="1324"/>
      <c r="C1015" s="1324"/>
      <c r="D1015" s="1084">
        <f>IF(H1015&gt;0,D1009+1,D1002)</f>
        <v>0</v>
      </c>
      <c r="E1015" s="1085"/>
      <c r="F1015" s="1130" t="s">
        <v>3735</v>
      </c>
      <c r="G1015" s="1084" t="s">
        <v>2391</v>
      </c>
      <c r="H1015" s="1867">
        <f>$H$971*2</f>
        <v>0</v>
      </c>
      <c r="I1015" s="1259">
        <f t="shared" si="67"/>
        <v>0</v>
      </c>
      <c r="J1015" s="1131"/>
      <c r="K1015" s="1131"/>
      <c r="L1015" s="1082"/>
      <c r="M1015" s="975">
        <v>160</v>
      </c>
    </row>
    <row r="1016" spans="1:13" s="1083" customFormat="1" ht="25.2" hidden="1" customHeight="1">
      <c r="A1016" s="1153">
        <f t="shared" si="70"/>
        <v>0</v>
      </c>
      <c r="B1016" s="1324"/>
      <c r="C1016" s="1324"/>
      <c r="D1016" s="1078"/>
      <c r="E1016" s="1088"/>
      <c r="F1016" s="1367" t="s">
        <v>2285</v>
      </c>
      <c r="G1016" s="1090"/>
      <c r="H1016" s="1851"/>
      <c r="I1016" s="1259">
        <f t="shared" si="67"/>
        <v>0</v>
      </c>
      <c r="J1016" s="1131"/>
      <c r="K1016" s="1131"/>
      <c r="L1016" s="1082"/>
      <c r="M1016" s="975">
        <v>160</v>
      </c>
    </row>
    <row r="1017" spans="1:13" s="1083" customFormat="1" ht="25.2" hidden="1" customHeight="1">
      <c r="A1017" s="1153">
        <f t="shared" si="70"/>
        <v>0</v>
      </c>
      <c r="B1017" s="1324" t="s">
        <v>2026</v>
      </c>
      <c r="C1017" s="1324"/>
      <c r="D1017" s="1078"/>
      <c r="E1017" s="1091">
        <f>VLOOKUP($B1017,DG!A:D,DG!$B$2,)</f>
        <v>0</v>
      </c>
      <c r="F1017" s="1080" t="str">
        <f>VLOOKUP($B1017,DG!A:D,DG!$C$2,)</f>
        <v>Sắt góc L75 x75 x8</v>
      </c>
      <c r="G1017" s="1091" t="str">
        <f>VLOOKUP($B1017,DG!A:D,DG!$D$2,)</f>
        <v>kg</v>
      </c>
      <c r="H1017" s="1851">
        <f>$H$1015*9.42*2.6</f>
        <v>0</v>
      </c>
      <c r="I1017" s="1259">
        <f t="shared" si="67"/>
        <v>0</v>
      </c>
      <c r="J1017" s="1108"/>
      <c r="K1017" s="1108"/>
      <c r="L1017" s="1082"/>
      <c r="M1017" s="975">
        <v>160</v>
      </c>
    </row>
    <row r="1018" spans="1:13" s="1083" customFormat="1" ht="25.2" hidden="1" customHeight="1">
      <c r="A1018" s="1153">
        <f t="shared" si="70"/>
        <v>0</v>
      </c>
      <c r="B1018" s="1324" t="s">
        <v>1083</v>
      </c>
      <c r="C1018" s="1324"/>
      <c r="D1018" s="1078"/>
      <c r="E1018" s="1091">
        <f>VLOOKUP($B1018,DG!A:D,DG!$B$2,)</f>
        <v>0</v>
      </c>
      <c r="F1018" s="1080" t="str">
        <f>VLOOKUP($B1018,DG!A:D,DG!$C$2,)</f>
        <v>Boulon 16x400+ 2 long đền vuông D18-50x50x3/Zn</v>
      </c>
      <c r="G1018" s="1091" t="str">
        <f>VLOOKUP($B1018,DG!A:D,DG!$D$2,)</f>
        <v>bộ</v>
      </c>
      <c r="H1018" s="1851">
        <f>$H$1015*2</f>
        <v>0</v>
      </c>
      <c r="I1018" s="1259">
        <f t="shared" si="67"/>
        <v>0</v>
      </c>
      <c r="J1018" s="1108"/>
      <c r="K1018" s="1108"/>
      <c r="L1018" s="1082"/>
      <c r="M1018" s="975">
        <v>160</v>
      </c>
    </row>
    <row r="1019" spans="1:13" s="1083" customFormat="1" ht="25.2" hidden="1" customHeight="1">
      <c r="A1019" s="1153">
        <f t="shared" si="70"/>
        <v>0</v>
      </c>
      <c r="B1019" s="1324" t="s">
        <v>138</v>
      </c>
      <c r="C1019" s="1324"/>
      <c r="D1019" s="1078"/>
      <c r="E1019" s="1091">
        <f>VLOOKUP($B1019,DG!A:D,DG!$B$2,)</f>
        <v>0</v>
      </c>
      <c r="F1019" s="1080" t="str">
        <f>VLOOKUP($B1019,DG!A:D,DG!$C$2,)</f>
        <v>Boulon 12x40+ 2 long đền vuông D14-50x50x3/Zn</v>
      </c>
      <c r="G1019" s="1091" t="str">
        <f>VLOOKUP($B1019,DG!A:D,DG!$D$2,)</f>
        <v>bộ</v>
      </c>
      <c r="H1019" s="1851">
        <f>$H$1015*2</f>
        <v>0</v>
      </c>
      <c r="I1019" s="1259">
        <f t="shared" si="67"/>
        <v>0</v>
      </c>
      <c r="J1019" s="1108"/>
      <c r="K1019" s="1108"/>
      <c r="L1019" s="1082"/>
      <c r="M1019" s="975">
        <v>160</v>
      </c>
    </row>
    <row r="1020" spans="1:13" s="1083" customFormat="1" ht="25.2" hidden="1" customHeight="1">
      <c r="A1020" s="1153">
        <f t="shared" si="70"/>
        <v>0</v>
      </c>
      <c r="B1020" s="1324" t="s">
        <v>2248</v>
      </c>
      <c r="C1020" s="1324"/>
      <c r="D1020" s="1078"/>
      <c r="E1020" s="1091" t="str">
        <f>VLOOKUP($B1020,DG!A:D,DG!$B$2,)</f>
        <v>05.6044</v>
      </c>
      <c r="F1020" s="1162" t="str">
        <f>VLOOKUP($B1020,DG!A:D,DG!$C$2,)</f>
        <v>Lắp xà cột Pi loại ≤140kg/xà</v>
      </c>
      <c r="G1020" s="1091" t="str">
        <f>VLOOKUP($B1020,DG!A:D,DG!$D$2,)</f>
        <v>bộ</v>
      </c>
      <c r="H1020" s="1851">
        <f>$H$1015/2</f>
        <v>0</v>
      </c>
      <c r="I1020" s="1259">
        <f t="shared" si="67"/>
        <v>0</v>
      </c>
      <c r="J1020" s="1108"/>
      <c r="K1020" s="1108"/>
      <c r="L1020" s="1082"/>
      <c r="M1020" s="975">
        <v>160</v>
      </c>
    </row>
    <row r="1021" spans="1:13" s="1083" customFormat="1" ht="25.2" hidden="1" customHeight="1">
      <c r="A1021" s="1153">
        <f t="shared" si="70"/>
        <v>0</v>
      </c>
      <c r="B1021" s="1324" t="s">
        <v>217</v>
      </c>
      <c r="C1021" s="1324"/>
      <c r="D1021" s="1078"/>
      <c r="E1021" s="1091" t="str">
        <f>VLOOKUP($B1021,DG!A:D,DG!$B$2,)</f>
        <v>02.1115</v>
      </c>
      <c r="F1021" s="1080" t="str">
        <f>VLOOKUP($B1021,DG!A:D,DG!$C$2,)</f>
        <v>Bốc dỡ xà, thép thanh</v>
      </c>
      <c r="G1021" s="1091" t="str">
        <f>VLOOKUP($B1021,DG!A:D,DG!$D$2,)</f>
        <v>tấn</v>
      </c>
      <c r="H1021" s="1851">
        <f>0.05*0</f>
        <v>0</v>
      </c>
      <c r="I1021" s="1259">
        <f t="shared" si="67"/>
        <v>0</v>
      </c>
      <c r="J1021" s="1108"/>
      <c r="K1021" s="1108"/>
      <c r="L1021" s="1082"/>
      <c r="M1021" s="975">
        <v>160</v>
      </c>
    </row>
    <row r="1022" spans="1:13" s="1083" customFormat="1" ht="25.2" hidden="1" customHeight="1">
      <c r="A1022" s="1153">
        <f t="shared" si="70"/>
        <v>0</v>
      </c>
      <c r="B1022" s="1324" t="s">
        <v>1613</v>
      </c>
      <c r="C1022" s="1324"/>
      <c r="D1022" s="1078"/>
      <c r="E1022" s="1091">
        <f>VLOOKUP($B1022,DG!A:D,DG!$B$2,)</f>
        <v>0</v>
      </c>
      <c r="F1022" s="1080" t="str">
        <f>VLOOKUP($B1022,DG!A:D,DG!$C$2,)</f>
        <v>Boulon 16x300+ 2 long đền vuông D18-50x50x3/Zn</v>
      </c>
      <c r="G1022" s="1079" t="s">
        <v>2445</v>
      </c>
      <c r="H1022" s="1851">
        <f>H1015*2*0</f>
        <v>0</v>
      </c>
      <c r="I1022" s="1259">
        <f t="shared" si="67"/>
        <v>0</v>
      </c>
      <c r="J1022" s="1108"/>
      <c r="K1022" s="1108"/>
      <c r="L1022" s="1082"/>
      <c r="M1022" s="975">
        <v>160</v>
      </c>
    </row>
    <row r="1023" spans="1:13" s="1083" customFormat="1" ht="25.2" hidden="1" customHeight="1">
      <c r="A1023" s="1153">
        <f t="shared" si="70"/>
        <v>0</v>
      </c>
      <c r="B1023" s="1324" t="s">
        <v>1612</v>
      </c>
      <c r="C1023" s="1324"/>
      <c r="D1023" s="1078"/>
      <c r="E1023" s="1091">
        <f>VLOOKUP($B1023,DG!A:D,DG!$B$2,)</f>
        <v>0</v>
      </c>
      <c r="F1023" s="1080" t="str">
        <f>VLOOKUP($B1023,DG!A:D,DG!$C$2,)</f>
        <v>Boulon 16x250+ 2 long đền vuông D18-50x50x3/Zn</v>
      </c>
      <c r="G1023" s="1079" t="s">
        <v>2445</v>
      </c>
      <c r="H1023" s="1851">
        <f>2*H1015*2*0</f>
        <v>0</v>
      </c>
      <c r="I1023" s="1259">
        <f t="shared" si="67"/>
        <v>0</v>
      </c>
      <c r="J1023" s="1108"/>
      <c r="K1023" s="1108"/>
      <c r="L1023" s="1082"/>
      <c r="M1023" s="975">
        <v>160</v>
      </c>
    </row>
    <row r="1024" spans="1:13" s="1083" customFormat="1" ht="25.2" hidden="1" customHeight="1" collapsed="1">
      <c r="A1024" s="1153">
        <f t="shared" si="70"/>
        <v>0</v>
      </c>
      <c r="B1024" s="1324"/>
      <c r="C1024" s="1324"/>
      <c r="D1024" s="1084">
        <f>IF(H1024&gt;0,D1015+1,D1015)</f>
        <v>0</v>
      </c>
      <c r="E1024" s="1085"/>
      <c r="F1024" s="1130" t="s">
        <v>3736</v>
      </c>
      <c r="G1024" s="1084" t="s">
        <v>2391</v>
      </c>
      <c r="H1024" s="1867">
        <f>H943*0</f>
        <v>0</v>
      </c>
      <c r="I1024" s="1259">
        <f t="shared" si="67"/>
        <v>0</v>
      </c>
      <c r="J1024" s="1081"/>
      <c r="K1024" s="1081"/>
      <c r="L1024" s="1110"/>
      <c r="M1024" s="975">
        <v>160</v>
      </c>
    </row>
    <row r="1025" spans="1:13" s="1083" customFormat="1" ht="25.2" hidden="1" customHeight="1">
      <c r="A1025" s="1153">
        <f t="shared" si="70"/>
        <v>0</v>
      </c>
      <c r="B1025" s="1324"/>
      <c r="C1025" s="1324"/>
      <c r="D1025" s="1078"/>
      <c r="E1025" s="1088"/>
      <c r="F1025" s="1367" t="s">
        <v>2285</v>
      </c>
      <c r="G1025" s="1090"/>
      <c r="H1025" s="1851"/>
      <c r="I1025" s="1259">
        <f t="shared" si="67"/>
        <v>0</v>
      </c>
      <c r="J1025" s="1081"/>
      <c r="K1025" s="1081"/>
      <c r="L1025" s="1110"/>
      <c r="M1025" s="975">
        <v>160</v>
      </c>
    </row>
    <row r="1026" spans="1:13" s="1083" customFormat="1" ht="25.2" hidden="1" customHeight="1">
      <c r="A1026" s="1153">
        <f t="shared" si="70"/>
        <v>0</v>
      </c>
      <c r="B1026" s="1324" t="s">
        <v>2026</v>
      </c>
      <c r="C1026" s="1324"/>
      <c r="D1026" s="1078"/>
      <c r="E1026" s="1091">
        <f>VLOOKUP($B1026,DG!A:D,DG!$B$2,)</f>
        <v>0</v>
      </c>
      <c r="F1026" s="1080" t="str">
        <f>VLOOKUP($B1026,DG!A:D,DG!$C$2,)</f>
        <v>Sắt góc L75 x75 x8</v>
      </c>
      <c r="G1026" s="1079" t="s">
        <v>2254</v>
      </c>
      <c r="H1026" s="1851">
        <f>H1024*9.02*(2.4+4*0.07)*2</f>
        <v>0</v>
      </c>
      <c r="I1026" s="1259">
        <f t="shared" si="67"/>
        <v>0</v>
      </c>
      <c r="J1026" s="1081"/>
      <c r="K1026" s="1081"/>
      <c r="L1026" s="1110"/>
      <c r="M1026" s="975">
        <v>160</v>
      </c>
    </row>
    <row r="1027" spans="1:13" s="1083" customFormat="1" ht="25.2" hidden="1" customHeight="1">
      <c r="A1027" s="1153">
        <f t="shared" si="70"/>
        <v>0</v>
      </c>
      <c r="B1027" s="1324" t="s">
        <v>1035</v>
      </c>
      <c r="C1027" s="1324"/>
      <c r="D1027" s="1078"/>
      <c r="E1027" s="1091">
        <f>VLOOKUP($B1027,DG!A:D,DG!$B$2,)</f>
        <v>0</v>
      </c>
      <c r="F1027" s="1080" t="str">
        <f>VLOOKUP($B1027,DG!A:D,DG!$C$2,)&amp;" (Thanh choáng 810)"</f>
        <v>Sắt góc L50 x50 x5 (Thanh choáng 810)</v>
      </c>
      <c r="G1027" s="1079" t="s">
        <v>2254</v>
      </c>
      <c r="H1027" s="1851">
        <f>H1024*3.77*0.81*4</f>
        <v>0</v>
      </c>
      <c r="I1027" s="1259">
        <f t="shared" si="67"/>
        <v>0</v>
      </c>
      <c r="J1027" s="1081"/>
      <c r="K1027" s="1081"/>
      <c r="L1027" s="1110"/>
      <c r="M1027" s="975">
        <v>160</v>
      </c>
    </row>
    <row r="1028" spans="1:13" s="1083" customFormat="1" ht="25.2" hidden="1" customHeight="1">
      <c r="A1028" s="1153">
        <f t="shared" si="70"/>
        <v>0</v>
      </c>
      <c r="B1028" s="1324" t="s">
        <v>1613</v>
      </c>
      <c r="C1028" s="1324"/>
      <c r="D1028" s="1078"/>
      <c r="E1028" s="1091">
        <f>VLOOKUP($B1028,DG!A:D,DG!$B$2,)</f>
        <v>0</v>
      </c>
      <c r="F1028" s="1080" t="str">
        <f>VLOOKUP($B1028,DG!A:D,DG!$C$2,)</f>
        <v>Boulon 16x300+ 2 long đền vuông D18-50x50x3/Zn</v>
      </c>
      <c r="G1028" s="1079" t="s">
        <v>2445</v>
      </c>
      <c r="H1028" s="1851">
        <f>H1024*2</f>
        <v>0</v>
      </c>
      <c r="I1028" s="1259">
        <f t="shared" si="67"/>
        <v>0</v>
      </c>
      <c r="J1028" s="1081"/>
      <c r="K1028" s="1081"/>
      <c r="L1028" s="1110"/>
      <c r="M1028" s="975">
        <v>160</v>
      </c>
    </row>
    <row r="1029" spans="1:13" s="1083" customFormat="1" ht="25.2" hidden="1" customHeight="1">
      <c r="A1029" s="1153">
        <f t="shared" si="70"/>
        <v>0</v>
      </c>
      <c r="B1029" s="1324" t="s">
        <v>1790</v>
      </c>
      <c r="C1029" s="1324"/>
      <c r="D1029" s="1078"/>
      <c r="E1029" s="1091">
        <f>VLOOKUP($B1029,DG!A:D,DG!$B$2,)</f>
        <v>0</v>
      </c>
      <c r="F1029" s="1080" t="str">
        <f>VLOOKUP($B1029,DG!A:D,DG!$C$2,)</f>
        <v>Boulon 16x50+ 2 long đền vuông D18-50x50x3/Zn</v>
      </c>
      <c r="G1029" s="1079" t="s">
        <v>2445</v>
      </c>
      <c r="H1029" s="1851">
        <f>H1024*4</f>
        <v>0</v>
      </c>
      <c r="I1029" s="1259">
        <f t="shared" si="67"/>
        <v>0</v>
      </c>
      <c r="J1029" s="1081"/>
      <c r="K1029" s="1081"/>
      <c r="L1029" s="1110"/>
      <c r="M1029" s="975">
        <v>160</v>
      </c>
    </row>
    <row r="1030" spans="1:13" s="1083" customFormat="1" ht="25.2" hidden="1" customHeight="1">
      <c r="A1030" s="1153">
        <f t="shared" si="70"/>
        <v>0</v>
      </c>
      <c r="B1030" s="1324" t="s">
        <v>1788</v>
      </c>
      <c r="C1030" s="1324"/>
      <c r="D1030" s="1078"/>
      <c r="E1030" s="1091">
        <f>VLOOKUP($B1030,DG!A:D,DG!$B$2,)</f>
        <v>0</v>
      </c>
      <c r="F1030" s="1080" t="str">
        <f>VLOOKUP($B1030,DG!A:D,DG!$C$2,)</f>
        <v>Boulon 16x300VRS+ 4 long đền vuông D18-50x50x3/Zn</v>
      </c>
      <c r="G1030" s="1079" t="s">
        <v>2445</v>
      </c>
      <c r="H1030" s="1851">
        <f>H1024*4</f>
        <v>0</v>
      </c>
      <c r="I1030" s="1259">
        <f t="shared" si="67"/>
        <v>0</v>
      </c>
      <c r="J1030" s="1081"/>
      <c r="K1030" s="1081"/>
      <c r="L1030" s="1110"/>
      <c r="M1030" s="975">
        <v>160</v>
      </c>
    </row>
    <row r="1031" spans="1:13" s="1083" customFormat="1" ht="25.2" hidden="1" customHeight="1">
      <c r="A1031" s="1153">
        <f t="shared" si="70"/>
        <v>0</v>
      </c>
      <c r="B1031" s="1324" t="s">
        <v>517</v>
      </c>
      <c r="C1031" s="1324"/>
      <c r="D1031" s="1078"/>
      <c r="E1031" s="1091" t="str">
        <f>VLOOKUP($B1031,DG!A:D,DG!$B$2,)</f>
        <v>05.6203</v>
      </c>
      <c r="F1031" s="1080" t="str">
        <f>VLOOKUP($B1031,DG!A:D,DG!$C$2,)</f>
        <v>Lắp xà néo ≤ 100kg</v>
      </c>
      <c r="G1031" s="1079" t="s">
        <v>2445</v>
      </c>
      <c r="H1031" s="1851">
        <f>H1024</f>
        <v>0</v>
      </c>
      <c r="I1031" s="1259">
        <f t="shared" si="67"/>
        <v>0</v>
      </c>
      <c r="J1031" s="1081"/>
      <c r="K1031" s="1081"/>
      <c r="L1031" s="1110"/>
      <c r="M1031" s="975">
        <v>160</v>
      </c>
    </row>
    <row r="1032" spans="1:13" s="1083" customFormat="1" ht="25.2" hidden="1" customHeight="1">
      <c r="A1032" s="1153">
        <f t="shared" si="70"/>
        <v>0</v>
      </c>
      <c r="B1032" s="1324"/>
      <c r="C1032" s="1324"/>
      <c r="D1032" s="1084">
        <f>IF(H1032&gt;0,D1024+1,D1024)</f>
        <v>0</v>
      </c>
      <c r="E1032" s="1085"/>
      <c r="F1032" s="1130" t="s">
        <v>3737</v>
      </c>
      <c r="G1032" s="1084" t="s">
        <v>2391</v>
      </c>
      <c r="H1032" s="1867">
        <f>H943*1*0</f>
        <v>0</v>
      </c>
      <c r="I1032" s="1259">
        <f t="shared" si="67"/>
        <v>0</v>
      </c>
      <c r="J1032" s="1081"/>
      <c r="K1032" s="1081"/>
      <c r="L1032" s="1110"/>
      <c r="M1032" s="975">
        <v>160</v>
      </c>
    </row>
    <row r="1033" spans="1:13" s="1083" customFormat="1" ht="25.2" hidden="1" customHeight="1">
      <c r="A1033" s="1153">
        <f t="shared" si="70"/>
        <v>0</v>
      </c>
      <c r="B1033" s="1324"/>
      <c r="C1033" s="1324"/>
      <c r="D1033" s="1078"/>
      <c r="E1033" s="1088"/>
      <c r="F1033" s="1367" t="s">
        <v>2285</v>
      </c>
      <c r="G1033" s="1090"/>
      <c r="H1033" s="1851"/>
      <c r="I1033" s="1259">
        <f t="shared" si="67"/>
        <v>0</v>
      </c>
      <c r="J1033" s="1081"/>
      <c r="K1033" s="1081"/>
      <c r="L1033" s="1110"/>
      <c r="M1033" s="975">
        <v>160</v>
      </c>
    </row>
    <row r="1034" spans="1:13" s="1083" customFormat="1" ht="25.2" hidden="1" customHeight="1">
      <c r="A1034" s="1153">
        <f t="shared" si="70"/>
        <v>0</v>
      </c>
      <c r="B1034" s="1324" t="s">
        <v>2026</v>
      </c>
      <c r="C1034" s="1324"/>
      <c r="D1034" s="1078"/>
      <c r="E1034" s="1091">
        <f>VLOOKUP($B1034,DG!A:D,DG!$B$2,)</f>
        <v>0</v>
      </c>
      <c r="F1034" s="1080" t="str">
        <f>VLOOKUP($B1034,DG!A:D,DG!$C$2,)</f>
        <v>Sắt góc L75 x75 x8</v>
      </c>
      <c r="G1034" s="1079" t="s">
        <v>2254</v>
      </c>
      <c r="H1034" s="1851">
        <f>H1032*9.02*(2.4+4*0.07)</f>
        <v>0</v>
      </c>
      <c r="I1034" s="1259">
        <f t="shared" si="67"/>
        <v>0</v>
      </c>
      <c r="J1034" s="1081"/>
      <c r="K1034" s="1081"/>
      <c r="L1034" s="1110"/>
      <c r="M1034" s="975">
        <v>160</v>
      </c>
    </row>
    <row r="1035" spans="1:13" s="1083" customFormat="1" ht="25.2" hidden="1" customHeight="1">
      <c r="A1035" s="1153">
        <f t="shared" si="70"/>
        <v>0</v>
      </c>
      <c r="B1035" s="1324" t="s">
        <v>1035</v>
      </c>
      <c r="C1035" s="1324"/>
      <c r="D1035" s="1078"/>
      <c r="E1035" s="1091">
        <f>VLOOKUP($B1035,DG!A:D,DG!$B$2,)</f>
        <v>0</v>
      </c>
      <c r="F1035" s="1080" t="str">
        <f>VLOOKUP($B1035,DG!A:D,DG!$C$2,)&amp;" (Thanh choáng 810)"</f>
        <v>Sắt góc L50 x50 x5 (Thanh choáng 810)</v>
      </c>
      <c r="G1035" s="1079" t="s">
        <v>2254</v>
      </c>
      <c r="H1035" s="1851">
        <f>H1032*3.77*0.81*2</f>
        <v>0</v>
      </c>
      <c r="I1035" s="1259">
        <f t="shared" si="67"/>
        <v>0</v>
      </c>
      <c r="J1035" s="1081"/>
      <c r="K1035" s="1081"/>
      <c r="L1035" s="1110"/>
      <c r="M1035" s="975">
        <v>160</v>
      </c>
    </row>
    <row r="1036" spans="1:13" s="1083" customFormat="1" ht="25.2" hidden="1" customHeight="1">
      <c r="A1036" s="1153">
        <f t="shared" si="70"/>
        <v>0</v>
      </c>
      <c r="B1036" s="1324" t="s">
        <v>1079</v>
      </c>
      <c r="C1036" s="1324"/>
      <c r="D1036" s="1078"/>
      <c r="E1036" s="1091">
        <f>VLOOKUP($B1036,DG!A:D,DG!$B$2,)</f>
        <v>0</v>
      </c>
      <c r="F1036" s="1080" t="str">
        <f>VLOOKUP($B1036,DG!A:D,DG!$C$2,)</f>
        <v>Boulon 16x350+ 2 long đền vuông D18-50x50x3/Zn</v>
      </c>
      <c r="G1036" s="1079" t="s">
        <v>2445</v>
      </c>
      <c r="H1036" s="1851">
        <f>H1032*2</f>
        <v>0</v>
      </c>
      <c r="I1036" s="1259">
        <f t="shared" si="67"/>
        <v>0</v>
      </c>
      <c r="J1036" s="1081"/>
      <c r="K1036" s="1081"/>
      <c r="L1036" s="1110"/>
      <c r="M1036" s="975">
        <v>160</v>
      </c>
    </row>
    <row r="1037" spans="1:13" s="1083" customFormat="1" ht="25.2" hidden="1" customHeight="1">
      <c r="A1037" s="1153">
        <f t="shared" si="70"/>
        <v>0</v>
      </c>
      <c r="B1037" s="1324" t="s">
        <v>1790</v>
      </c>
      <c r="C1037" s="1324"/>
      <c r="D1037" s="1078"/>
      <c r="E1037" s="1091">
        <f>VLOOKUP($B1037,DG!A:D,DG!$B$2,)</f>
        <v>0</v>
      </c>
      <c r="F1037" s="1080" t="str">
        <f>VLOOKUP($B1037,DG!A:D,DG!$C$2,)</f>
        <v>Boulon 16x50+ 2 long đền vuông D18-50x50x3/Zn</v>
      </c>
      <c r="G1037" s="1079" t="s">
        <v>2445</v>
      </c>
      <c r="H1037" s="1851">
        <f>H1032*2</f>
        <v>0</v>
      </c>
      <c r="I1037" s="1259">
        <f t="shared" si="67"/>
        <v>0</v>
      </c>
      <c r="J1037" s="1081"/>
      <c r="K1037" s="1081"/>
      <c r="L1037" s="1110"/>
      <c r="M1037" s="975">
        <v>160</v>
      </c>
    </row>
    <row r="1038" spans="1:13" s="1083" customFormat="1" ht="25.2" hidden="1" customHeight="1">
      <c r="A1038" s="1153">
        <f t="shared" si="70"/>
        <v>0</v>
      </c>
      <c r="B1038" s="1324" t="s">
        <v>1739</v>
      </c>
      <c r="C1038" s="1324"/>
      <c r="D1038" s="1078"/>
      <c r="E1038" s="1091">
        <f>VLOOKUP($B1038,DG!A:D,DG!$B$2,)</f>
        <v>0</v>
      </c>
      <c r="F1038" s="1080" t="str">
        <f>VLOOKUP($B1038,DG!A:D,DG!$C$2,)</f>
        <v>Bass LI bắt FCO</v>
      </c>
      <c r="G1038" s="1079" t="s">
        <v>2445</v>
      </c>
      <c r="H1038" s="1851">
        <f>IF(H1032&gt;0,3,)</f>
        <v>0</v>
      </c>
      <c r="I1038" s="1259">
        <f t="shared" si="67"/>
        <v>0</v>
      </c>
      <c r="J1038" s="1081"/>
      <c r="K1038" s="1081"/>
      <c r="L1038" s="1110"/>
      <c r="M1038" s="975">
        <v>160</v>
      </c>
    </row>
    <row r="1039" spans="1:13" s="1083" customFormat="1" ht="25.2" hidden="1" customHeight="1">
      <c r="A1039" s="1153">
        <f t="shared" si="70"/>
        <v>0</v>
      </c>
      <c r="B1039" s="1324" t="s">
        <v>988</v>
      </c>
      <c r="C1039" s="1324"/>
      <c r="D1039" s="1078"/>
      <c r="E1039" s="1091" t="str">
        <f>VLOOKUP($B1039,DG!A:D,DG!$B$2,)</f>
        <v>06.3231</v>
      </c>
      <c r="F1039" s="1080" t="str">
        <f>VLOOKUP($B1039,DG!A:D,DG!$C$2,)</f>
        <v xml:space="preserve">Cổ dê chống lắc 8x80x800 </v>
      </c>
      <c r="G1039" s="1079" t="s">
        <v>2445</v>
      </c>
      <c r="H1039" s="1851">
        <f>H1032*0</f>
        <v>0</v>
      </c>
      <c r="I1039" s="1259">
        <f t="shared" si="67"/>
        <v>0</v>
      </c>
      <c r="J1039" s="1081"/>
      <c r="K1039" s="1081"/>
      <c r="L1039" s="1110"/>
      <c r="M1039" s="975">
        <v>160</v>
      </c>
    </row>
    <row r="1040" spans="1:13" s="1083" customFormat="1" ht="25.2" hidden="1" customHeight="1">
      <c r="A1040" s="1153">
        <f t="shared" si="70"/>
        <v>0</v>
      </c>
      <c r="B1040" s="1324" t="s">
        <v>1443</v>
      </c>
      <c r="C1040" s="1324"/>
      <c r="D1040" s="1078"/>
      <c r="E1040" s="1091" t="str">
        <f>VLOOKUP($B1040,DG!A:D,DG!$B$2,)</f>
        <v>05.6102</v>
      </c>
      <c r="F1040" s="1080" t="str">
        <f>VLOOKUP($B1040,DG!A:D,DG!$C$2,)</f>
        <v>Lắp xà đỡ ≤ 50kg</v>
      </c>
      <c r="G1040" s="1079" t="s">
        <v>2445</v>
      </c>
      <c r="H1040" s="1851">
        <f>H1032</f>
        <v>0</v>
      </c>
      <c r="I1040" s="1259">
        <f t="shared" si="67"/>
        <v>0</v>
      </c>
      <c r="J1040" s="1081"/>
      <c r="K1040" s="1081"/>
      <c r="L1040" s="1110"/>
      <c r="M1040" s="975">
        <v>160</v>
      </c>
    </row>
    <row r="1041" spans="1:13" s="1083" customFormat="1" ht="25.2" hidden="1" customHeight="1">
      <c r="A1041" s="1153">
        <f t="shared" si="70"/>
        <v>0</v>
      </c>
      <c r="B1041" s="1324"/>
      <c r="C1041" s="1324"/>
      <c r="D1041" s="1084">
        <f>IF(H1041&gt;0,D1032+1,D1032)</f>
        <v>0</v>
      </c>
      <c r="E1041" s="1085"/>
      <c r="F1041" s="1130" t="s">
        <v>3738</v>
      </c>
      <c r="G1041" s="1084" t="s">
        <v>2391</v>
      </c>
      <c r="H1041" s="1867">
        <f>H943</f>
        <v>0</v>
      </c>
      <c r="I1041" s="1259">
        <f t="shared" si="67"/>
        <v>0</v>
      </c>
      <c r="J1041" s="1081"/>
      <c r="K1041" s="1081"/>
      <c r="L1041" s="1110"/>
      <c r="M1041" s="975">
        <v>160</v>
      </c>
    </row>
    <row r="1042" spans="1:13" s="1083" customFormat="1" ht="25.2" hidden="1" customHeight="1">
      <c r="A1042" s="1153">
        <f t="shared" si="70"/>
        <v>0</v>
      </c>
      <c r="B1042" s="1355"/>
      <c r="C1042" s="1355"/>
      <c r="D1042" s="1078"/>
      <c r="E1042" s="1088"/>
      <c r="F1042" s="1367" t="s">
        <v>2285</v>
      </c>
      <c r="G1042" s="1090"/>
      <c r="H1042" s="1851"/>
      <c r="I1042" s="1259">
        <f t="shared" si="67"/>
        <v>0</v>
      </c>
      <c r="J1042" s="1081"/>
      <c r="K1042" s="1081"/>
      <c r="L1042" s="1110"/>
      <c r="M1042" s="975">
        <v>160</v>
      </c>
    </row>
    <row r="1043" spans="1:13" s="1083" customFormat="1" ht="25.2" hidden="1" customHeight="1">
      <c r="A1043" s="1153">
        <f t="shared" si="70"/>
        <v>0</v>
      </c>
      <c r="B1043" s="1324" t="s">
        <v>1033</v>
      </c>
      <c r="C1043" s="1324"/>
      <c r="D1043" s="1078"/>
      <c r="E1043" s="1079">
        <f>VLOOKUP($B1043,DG!A:D,DG!$B$2,)</f>
        <v>0</v>
      </c>
      <c r="F1043" s="1080" t="str">
        <f>VLOOKUP($B1043,DG!A:D,DG!$C$2,)</f>
        <v>Cáp đồng trần M25mm2</v>
      </c>
      <c r="G1043" s="1091" t="str">
        <f>VLOOKUP($B1043,DG!A:D,DG!$D$2,)</f>
        <v>kg</v>
      </c>
      <c r="H1043" s="1851">
        <v>12</v>
      </c>
      <c r="I1043" s="1259">
        <f t="shared" si="67"/>
        <v>0</v>
      </c>
      <c r="J1043" s="1081"/>
      <c r="K1043" s="1081"/>
      <c r="L1043" s="1110"/>
      <c r="M1043" s="975">
        <v>160</v>
      </c>
    </row>
    <row r="1044" spans="1:13" s="1083" customFormat="1" ht="25.2" hidden="1" customHeight="1">
      <c r="A1044" s="1153">
        <f t="shared" si="70"/>
        <v>0</v>
      </c>
      <c r="B1044" s="1324" t="s">
        <v>1033</v>
      </c>
      <c r="C1044" s="1324"/>
      <c r="D1044" s="1078"/>
      <c r="E1044" s="1079">
        <f>VLOOKUP($B1044,DG!A:D,DG!$B$2,)</f>
        <v>0</v>
      </c>
      <c r="F1044" s="1080" t="str">
        <f>VLOOKUP($B1044,DG!A:D,DG!$C$2,)&amp;": 17m nối lên vỏ các thiết bị"</f>
        <v>Cáp đồng trần M25mm2: 17m nối lên vỏ các thiết bị</v>
      </c>
      <c r="G1044" s="1079" t="str">
        <f>VLOOKUP($B1044,DG!A:D,DG!$D$2,)</f>
        <v>kg</v>
      </c>
      <c r="H1044" s="1851">
        <f>17*0.224*H1041*0</f>
        <v>0</v>
      </c>
      <c r="I1044" s="1259">
        <f t="shared" si="67"/>
        <v>0</v>
      </c>
      <c r="J1044" s="1081"/>
      <c r="K1044" s="1081"/>
      <c r="L1044" s="1110"/>
      <c r="M1044" s="975">
        <v>160</v>
      </c>
    </row>
    <row r="1045" spans="1:13" s="1083" customFormat="1" ht="25.2" hidden="1" customHeight="1">
      <c r="A1045" s="1153">
        <f t="shared" si="70"/>
        <v>0</v>
      </c>
      <c r="B1045" s="1154" t="s">
        <v>1511</v>
      </c>
      <c r="C1045" s="1154"/>
      <c r="D1045" s="1078"/>
      <c r="E1045" s="1079">
        <f>VLOOKUP($B1045,DG!A:D,DG!$B$2,)</f>
        <v>0</v>
      </c>
      <c r="F1045" s="1080" t="str">
        <f>VLOOKUP($B1045,DG!A:D,DG!$C$2,)</f>
        <v>Cọc tiếp đất Þ 16- 2,4m + kẹp cọc mạ đồng</v>
      </c>
      <c r="G1045" s="1091" t="str">
        <f>VLOOKUP($B1045,DG!A:D,DG!$D$2,)</f>
        <v>bộ</v>
      </c>
      <c r="H1045" s="1851">
        <f>I2*$H$1041</f>
        <v>0</v>
      </c>
      <c r="I1045" s="1259">
        <f t="shared" si="67"/>
        <v>0</v>
      </c>
      <c r="J1045" s="1081"/>
      <c r="K1045" s="1081"/>
      <c r="L1045" s="1110"/>
      <c r="M1045" s="975">
        <v>160</v>
      </c>
    </row>
    <row r="1046" spans="1:13" s="1083" customFormat="1" ht="25.2" hidden="1" customHeight="1">
      <c r="A1046" s="1153">
        <f t="shared" si="70"/>
        <v>0</v>
      </c>
      <c r="B1046" s="1154" t="s">
        <v>1529</v>
      </c>
      <c r="C1046" s="1154"/>
      <c r="D1046" s="1078"/>
      <c r="E1046" s="1079">
        <f>VLOOKUP($B1046,DG!A:D,DG!$B$2,)</f>
        <v>0</v>
      </c>
      <c r="F1046" s="1080" t="str">
        <f>VLOOKUP($B1046,DG!A:D,DG!$C$2,)</f>
        <v>Cáp đồng bọc CV25</v>
      </c>
      <c r="G1046" s="1079" t="str">
        <f>VLOOKUP($B1046,DG!A:D,DG!$D$2,)</f>
        <v>mét</v>
      </c>
      <c r="H1046" s="1851">
        <v>2</v>
      </c>
      <c r="I1046" s="1259">
        <f t="shared" ref="I1046" si="74">IF(M1046=$M$23,H1046+J1046-K1046,0)</f>
        <v>0</v>
      </c>
      <c r="J1046" s="1081"/>
      <c r="K1046" s="1081"/>
      <c r="L1046" s="1082"/>
      <c r="M1046" s="975">
        <v>160</v>
      </c>
    </row>
    <row r="1047" spans="1:13" s="1083" customFormat="1" ht="25.2" hidden="1" customHeight="1">
      <c r="A1047" s="1153">
        <f t="shared" si="70"/>
        <v>0</v>
      </c>
      <c r="B1047" s="1154" t="s">
        <v>1493</v>
      </c>
      <c r="C1047" s="1154"/>
      <c r="D1047" s="1078"/>
      <c r="E1047" s="1079" t="str">
        <f>VLOOKUP($B1047,DG!A:D,DG!$B$2,)</f>
        <v>07.2403</v>
      </c>
      <c r="F1047" s="1080" t="str">
        <f>VLOOKUP($B1047,DG!A:D,DG!$C$2,)</f>
        <v xml:space="preserve">Ống PVC D21x1,6mm </v>
      </c>
      <c r="G1047" s="1079" t="str">
        <f>VLOOKUP($B1047,DG!A:D,DG!$D$2,)</f>
        <v>m</v>
      </c>
      <c r="H1047" s="1851">
        <v>2</v>
      </c>
      <c r="I1047" s="1259">
        <f t="shared" si="67"/>
        <v>0</v>
      </c>
      <c r="J1047" s="1081"/>
      <c r="K1047" s="1081"/>
      <c r="L1047" s="1082"/>
      <c r="M1047" s="975">
        <v>160</v>
      </c>
    </row>
    <row r="1048" spans="1:13" s="1083" customFormat="1" ht="25.2" hidden="1" customHeight="1">
      <c r="A1048" s="1153">
        <f t="shared" si="70"/>
        <v>0</v>
      </c>
      <c r="B1048" s="1329" t="s">
        <v>1582</v>
      </c>
      <c r="C1048" s="1329"/>
      <c r="D1048" s="1078"/>
      <c r="E1048" s="1079">
        <f>VLOOKUP($B1048,DG!A:D,DG!$B$2,)</f>
        <v>0</v>
      </c>
      <c r="F1048" s="1080" t="str">
        <f>VLOOKUP($B1048,DG!A:D,DG!$C$2,)&amp; " bắt dây trung tính "</f>
        <v xml:space="preserve">Kẹp ép WR cỡ dây 50mm2 bắt dây trung tính </v>
      </c>
      <c r="G1048" s="1091" t="str">
        <f>VLOOKUP($B1048,DG!A:D,DG!$D$2,)</f>
        <v>cái</v>
      </c>
      <c r="H1048" s="1851">
        <f>2*$H$1041</f>
        <v>0</v>
      </c>
      <c r="I1048" s="1259">
        <f t="shared" si="67"/>
        <v>0</v>
      </c>
      <c r="J1048" s="1081"/>
      <c r="K1048" s="1081"/>
      <c r="L1048" s="1110"/>
      <c r="M1048" s="975">
        <v>160</v>
      </c>
    </row>
    <row r="1049" spans="1:13" s="1083" customFormat="1" ht="25.2" hidden="1" customHeight="1">
      <c r="A1049" s="1153">
        <f t="shared" si="70"/>
        <v>0</v>
      </c>
      <c r="B1049" s="1329" t="s">
        <v>1398</v>
      </c>
      <c r="C1049" s="1329"/>
      <c r="D1049" s="1132"/>
      <c r="E1049" s="1079">
        <f>VLOOKUP($B1049,DG!A:D,DG!$B$2,)</f>
        <v>0</v>
      </c>
      <c r="F1049" s="1080" t="str">
        <f>VLOOKUP($B1049,DG!A:D,DG!$C$2,)&amp;": bắt lưới tiếp địa"</f>
        <v>Kẹp ép cỡ dây 25mm2: bắt lưới tiếp địa</v>
      </c>
      <c r="G1049" s="1091" t="str">
        <f>VLOOKUP($B1049,DG!A:D,DG!$D$2,)</f>
        <v>cái</v>
      </c>
      <c r="H1049" s="1851">
        <f>$H$1041*4</f>
        <v>0</v>
      </c>
      <c r="I1049" s="1259">
        <f t="shared" si="67"/>
        <v>0</v>
      </c>
      <c r="J1049" s="1081"/>
      <c r="K1049" s="1081"/>
      <c r="L1049" s="1110"/>
      <c r="M1049" s="975">
        <v>160</v>
      </c>
    </row>
    <row r="1050" spans="1:13" s="1083" customFormat="1" ht="25.2" hidden="1" customHeight="1">
      <c r="A1050" s="1153">
        <f t="shared" ref="A1050:A1113" si="75">IF(I1050&gt;0,1,0)</f>
        <v>0</v>
      </c>
      <c r="B1050" s="1154" t="s">
        <v>138</v>
      </c>
      <c r="C1050" s="1154"/>
      <c r="D1050" s="1078"/>
      <c r="E1050" s="1079">
        <f>VLOOKUP($B1050,DG!A:D,DG!$B$2,)</f>
        <v>0</v>
      </c>
      <c r="F1050" s="1080" t="str">
        <f>VLOOKUP($B1050,DG!A:D,DG!$C$2,)</f>
        <v>Boulon 12x40+ 2 long đền vuông D14-50x50x3/Zn</v>
      </c>
      <c r="G1050" s="1091" t="str">
        <f>VLOOKUP($B1050,DG!A:D,DG!$D$2,)</f>
        <v>bộ</v>
      </c>
      <c r="H1050" s="1851">
        <f>$H$1041*0</f>
        <v>0</v>
      </c>
      <c r="I1050" s="1259">
        <f t="shared" si="67"/>
        <v>0</v>
      </c>
      <c r="J1050" s="1081"/>
      <c r="K1050" s="1081"/>
      <c r="L1050" s="1110"/>
      <c r="M1050" s="975">
        <v>160</v>
      </c>
    </row>
    <row r="1051" spans="1:13" s="1083" customFormat="1" ht="25.2" hidden="1" customHeight="1">
      <c r="A1051" s="1153">
        <f t="shared" si="75"/>
        <v>0</v>
      </c>
      <c r="B1051" s="1154" t="s">
        <v>104</v>
      </c>
      <c r="C1051" s="1154"/>
      <c r="D1051" s="1078"/>
      <c r="E1051" s="1079" t="str">
        <f>VLOOKUP($B1051,DG!A:D,DG!$B$2,)</f>
        <v>03.4001</v>
      </c>
      <c r="F1051" s="1080" t="str">
        <f>VLOOKUP($B1051,DG!A:D,DG!$C$2,)</f>
        <v>Đầu cosse ép Cu 25mm2</v>
      </c>
      <c r="G1051" s="1091" t="str">
        <f>VLOOKUP($B1051,DG!A:D,DG!$D$2,)</f>
        <v>cái</v>
      </c>
      <c r="H1051" s="1851">
        <f>H1050*2</f>
        <v>0</v>
      </c>
      <c r="I1051" s="1259">
        <f t="shared" si="67"/>
        <v>0</v>
      </c>
      <c r="J1051" s="1081"/>
      <c r="K1051" s="1081"/>
      <c r="L1051" s="1110"/>
      <c r="M1051" s="975">
        <v>160</v>
      </c>
    </row>
    <row r="1052" spans="1:13" s="1083" customFormat="1" ht="25.2" hidden="1" customHeight="1">
      <c r="A1052" s="1153">
        <f t="shared" si="75"/>
        <v>0</v>
      </c>
      <c r="B1052" s="1154" t="s">
        <v>525</v>
      </c>
      <c r="C1052" s="1154"/>
      <c r="D1052" s="1078"/>
      <c r="E1052" s="1079" t="str">
        <f>VLOOKUP($B1052,DG!A:D,DG!$B$2,)</f>
        <v>06.3231</v>
      </c>
      <c r="F1052" s="1080" t="str">
        <f>VLOOKUP($B1052,DG!A:D,DG!$C$2,)&amp;": CD-250"</f>
        <v>Cổ dê kẹp ống PVC  21: CD-250</v>
      </c>
      <c r="G1052" s="1079" t="str">
        <f>VLOOKUP($B1052,DG!A:D,DG!$D$2,)</f>
        <v>bộ</v>
      </c>
      <c r="H1052" s="1851">
        <f>$H$1041*0.415*0</f>
        <v>0</v>
      </c>
      <c r="I1052" s="1259">
        <f t="shared" si="67"/>
        <v>0</v>
      </c>
      <c r="J1052" s="1081"/>
      <c r="K1052" s="1081"/>
      <c r="L1052" s="1082"/>
      <c r="M1052" s="975">
        <v>160</v>
      </c>
    </row>
    <row r="1053" spans="1:13" s="1083" customFormat="1" ht="25.2" hidden="1" customHeight="1">
      <c r="A1053" s="1153">
        <f t="shared" si="75"/>
        <v>0</v>
      </c>
      <c r="B1053" s="1154" t="s">
        <v>525</v>
      </c>
      <c r="C1053" s="1154"/>
      <c r="D1053" s="1078"/>
      <c r="E1053" s="1079" t="str">
        <f>VLOOKUP($B1053,DG!A:D,DG!$B$2,)</f>
        <v>06.3231</v>
      </c>
      <c r="F1053" s="1080" t="str">
        <f>VLOOKUP($B1053,DG!A:D,DG!$C$2,)&amp;": CD-280"</f>
        <v>Cổ dê kẹp ống PVC  21: CD-280</v>
      </c>
      <c r="G1053" s="1079" t="str">
        <f>VLOOKUP($B1053,DG!A:D,DG!$D$2,)</f>
        <v>bộ</v>
      </c>
      <c r="H1053" s="1851">
        <f>$H$1041*0.452*0</f>
        <v>0</v>
      </c>
      <c r="I1053" s="1259">
        <f t="shared" si="67"/>
        <v>0</v>
      </c>
      <c r="J1053" s="1081"/>
      <c r="K1053" s="1081"/>
      <c r="L1053" s="1082"/>
      <c r="M1053" s="975">
        <v>160</v>
      </c>
    </row>
    <row r="1054" spans="1:13" s="1083" customFormat="1" ht="25.2" hidden="1" customHeight="1">
      <c r="A1054" s="1153">
        <f t="shared" si="75"/>
        <v>0</v>
      </c>
      <c r="B1054" s="1154" t="s">
        <v>525</v>
      </c>
      <c r="C1054" s="1154"/>
      <c r="D1054" s="1078"/>
      <c r="E1054" s="1079" t="str">
        <f>VLOOKUP($B1054,DG!A:D,DG!$B$2,)</f>
        <v>06.3231</v>
      </c>
      <c r="F1054" s="1080" t="str">
        <f>VLOOKUP($B1054,DG!A:D,DG!$C$2,)&amp;": CD-320"</f>
        <v>Cổ dê kẹp ống PVC  21: CD-320</v>
      </c>
      <c r="G1054" s="1079" t="str">
        <f>VLOOKUP($B1054,DG!A:D,DG!$D$2,)</f>
        <v>bộ</v>
      </c>
      <c r="H1054" s="1851">
        <f>$H$1041*0.501*0</f>
        <v>0</v>
      </c>
      <c r="I1054" s="1259">
        <f t="shared" si="67"/>
        <v>0</v>
      </c>
      <c r="J1054" s="1081"/>
      <c r="K1054" s="1081"/>
      <c r="L1054" s="1082"/>
      <c r="M1054" s="975">
        <v>160</v>
      </c>
    </row>
    <row r="1055" spans="1:13" s="1083" customFormat="1" ht="25.2" hidden="1" customHeight="1">
      <c r="A1055" s="1153">
        <f t="shared" si="75"/>
        <v>0</v>
      </c>
      <c r="B1055" s="1154" t="s">
        <v>1131</v>
      </c>
      <c r="C1055" s="1154"/>
      <c r="D1055" s="1078"/>
      <c r="E1055" s="1079" t="str">
        <f>VLOOKUP($B1055,DG!A:D,DG!$B$2,)</f>
        <v>06.2110</v>
      </c>
      <c r="F1055" s="1162" t="str">
        <f>VLOOKUP($B1055,DG!A:D,DG!$C$2,)&amp;": CD-320"</f>
        <v>Lắp cổ dề: CD-320</v>
      </c>
      <c r="G1055" s="1079" t="str">
        <f>VLOOKUP($B1055,DG!A:D,DG!$D$2,)</f>
        <v>bộ</v>
      </c>
      <c r="H1055" s="1851">
        <f>$H$1041*0</f>
        <v>0</v>
      </c>
      <c r="I1055" s="1259">
        <f t="shared" si="67"/>
        <v>0</v>
      </c>
      <c r="J1055" s="1081"/>
      <c r="K1055" s="1081"/>
      <c r="L1055" s="1082"/>
      <c r="M1055" s="975">
        <v>160</v>
      </c>
    </row>
    <row r="1056" spans="1:13" s="1083" customFormat="1" ht="25.2" hidden="1" customHeight="1">
      <c r="A1056" s="1153">
        <f t="shared" si="75"/>
        <v>0</v>
      </c>
      <c r="B1056" s="1154" t="s">
        <v>138</v>
      </c>
      <c r="C1056" s="1154"/>
      <c r="D1056" s="1078"/>
      <c r="E1056" s="1079">
        <f>VLOOKUP($B1056,DG!A:D,DG!$B$2,)</f>
        <v>0</v>
      </c>
      <c r="F1056" s="1080" t="str">
        <f>VLOOKUP($B1056,DG!A:D,DG!$C$2,)</f>
        <v>Boulon 12x40+ 2 long đền vuông D14-50x50x3/Zn</v>
      </c>
      <c r="G1056" s="1079" t="str">
        <f>VLOOKUP($B1056,DG!A:D,DG!$D$2,)</f>
        <v>bộ</v>
      </c>
      <c r="H1056" s="1851">
        <f>$H$1041*6*0</f>
        <v>0</v>
      </c>
      <c r="I1056" s="1259">
        <f t="shared" si="67"/>
        <v>0</v>
      </c>
      <c r="J1056" s="1081"/>
      <c r="K1056" s="1081"/>
      <c r="L1056" s="1082"/>
      <c r="M1056" s="975">
        <v>160</v>
      </c>
    </row>
    <row r="1057" spans="1:16" s="1083" customFormat="1" ht="25.2" hidden="1" customHeight="1">
      <c r="A1057" s="1153">
        <f t="shared" si="75"/>
        <v>0</v>
      </c>
      <c r="B1057" s="1154" t="s">
        <v>1588</v>
      </c>
      <c r="C1057" s="1154"/>
      <c r="D1057" s="1078"/>
      <c r="E1057" s="1079">
        <f>VLOOKUP($B1057,DG!A:D,DG!$B$2,)</f>
        <v>0</v>
      </c>
      <c r="F1057" s="1080" t="str">
        <f>VLOOKUP($B1057,DG!A:D,DG!$C$2,)</f>
        <v>Giếng tiếp địa khoan đất</v>
      </c>
      <c r="G1057" s="1079" t="str">
        <f>VLOOKUP($B1057,DG!A:D,DG!$D$2,)</f>
        <v>Cái</v>
      </c>
      <c r="H1057" s="1851">
        <f>M3*H1041</f>
        <v>0</v>
      </c>
      <c r="I1057" s="1259">
        <f t="shared" si="67"/>
        <v>0</v>
      </c>
      <c r="J1057" s="1081"/>
      <c r="K1057" s="1081"/>
      <c r="L1057" s="1110"/>
      <c r="M1057" s="975">
        <v>160</v>
      </c>
    </row>
    <row r="1058" spans="1:16" s="1083" customFormat="1" ht="25.2" hidden="1" customHeight="1">
      <c r="A1058" s="1153">
        <f t="shared" si="75"/>
        <v>0</v>
      </c>
      <c r="B1058" s="1154" t="str">
        <f>"DTD"&amp;chitiet!G5</f>
        <v>DTD3</v>
      </c>
      <c r="C1058" s="1154"/>
      <c r="D1058" s="1090"/>
      <c r="E1058" s="1079" t="str">
        <f>VLOOKUP($B1058,DG!A:D,DG!$B$2,)</f>
        <v>03.3123</v>
      </c>
      <c r="F1058" s="1162" t="str">
        <f>VLOOKUP($B1058,DG!A:D,DG!$C$2,)</f>
        <v>Đào rãnh tiếp địa đất cấp 3</v>
      </c>
      <c r="G1058" s="1091" t="str">
        <f>VLOOKUP($B1058,DG!A:D,DG!$D$2,)</f>
        <v>m3</v>
      </c>
      <c r="H1058" s="2040">
        <v>1.44</v>
      </c>
      <c r="I1058" s="1910">
        <f t="shared" si="67"/>
        <v>0</v>
      </c>
      <c r="J1058" s="1081"/>
      <c r="K1058" s="1081"/>
      <c r="L1058" s="1110"/>
      <c r="M1058" s="975">
        <v>160</v>
      </c>
    </row>
    <row r="1059" spans="1:16" s="1083" customFormat="1" ht="25.2" hidden="1" customHeight="1">
      <c r="A1059" s="1153">
        <f t="shared" si="75"/>
        <v>0</v>
      </c>
      <c r="B1059" s="1154" t="str">
        <f>"DATD"&amp;chitiet!G5</f>
        <v>DATD3</v>
      </c>
      <c r="C1059" s="1154"/>
      <c r="D1059" s="1090"/>
      <c r="E1059" s="1079" t="str">
        <f>VLOOKUP($B1059,DG!A:D,DG!$B$2,)</f>
        <v>03.4123</v>
      </c>
      <c r="F1059" s="1162" t="str">
        <f>VLOOKUP($B1059,DG!A:D,DG!$C$2,)</f>
        <v>Đắp đất rãnh tiếp độ chặt k=0,85</v>
      </c>
      <c r="G1059" s="1091" t="str">
        <f>VLOOKUP($B1059,DG!A:D,DG!$D$2,)</f>
        <v>m3</v>
      </c>
      <c r="H1059" s="2241">
        <f>H1058</f>
        <v>1.44</v>
      </c>
      <c r="I1059" s="1910">
        <f t="shared" si="67"/>
        <v>0</v>
      </c>
      <c r="J1059" s="1081"/>
      <c r="K1059" s="1081"/>
      <c r="L1059" s="1110"/>
      <c r="M1059" s="975">
        <v>160</v>
      </c>
    </row>
    <row r="1060" spans="1:16" s="1083" customFormat="1" ht="25.2" hidden="1" customHeight="1">
      <c r="A1060" s="1153">
        <f t="shared" si="75"/>
        <v>0</v>
      </c>
      <c r="B1060" s="1154" t="s">
        <v>902</v>
      </c>
      <c r="C1060" s="1154"/>
      <c r="D1060" s="1090"/>
      <c r="E1060" s="1079" t="str">
        <f>VLOOKUP($B1060,DG!A:D,DG!$B$2,)</f>
        <v>04.7001</v>
      </c>
      <c r="F1060" s="1162" t="str">
        <f>VLOOKUP($B1060,DG!A:D,DG!$C$2,)</f>
        <v>Đóng cọc tiếp địa trong TBA</v>
      </c>
      <c r="G1060" s="1091" t="str">
        <f>VLOOKUP($B1060,DG!A:D,DG!$D$2,)</f>
        <v>cọc</v>
      </c>
      <c r="H1060" s="1167">
        <f>I2*L10</f>
        <v>0</v>
      </c>
      <c r="I1060" s="1259">
        <f t="shared" ref="I1060:I1127" si="76">IF(M1060=$M$23,H1060+J1060-K1060,0)</f>
        <v>0</v>
      </c>
      <c r="J1060" s="1081"/>
      <c r="K1060" s="1081"/>
      <c r="L1060" s="1110"/>
      <c r="M1060" s="975">
        <v>160</v>
      </c>
    </row>
    <row r="1061" spans="1:16" s="1083" customFormat="1" ht="25.2" hidden="1" customHeight="1">
      <c r="A1061" s="1153">
        <f t="shared" si="75"/>
        <v>0</v>
      </c>
      <c r="B1061" s="1154" t="s">
        <v>1440</v>
      </c>
      <c r="C1061" s="1154"/>
      <c r="D1061" s="1078"/>
      <c r="E1061" s="1079" t="str">
        <f>VLOOKUP($B1061,DG!A:D,DG!$B$2,)</f>
        <v>04.7002</v>
      </c>
      <c r="F1061" s="1162" t="str">
        <f>VLOOKUP($B1061,DG!A:D,DG!$C$2,)</f>
        <v>Kéo dây tiếp địa trong TBA</v>
      </c>
      <c r="G1061" s="1091" t="str">
        <f>VLOOKUP($B1061,DG!A:D,DG!$D$2,)</f>
        <v>mét</v>
      </c>
      <c r="H1061" s="1851">
        <v>54</v>
      </c>
      <c r="I1061" s="1259">
        <f t="shared" si="76"/>
        <v>0</v>
      </c>
      <c r="J1061" s="1081"/>
      <c r="K1061" s="1081"/>
      <c r="L1061" s="1110"/>
      <c r="M1061" s="975">
        <v>160</v>
      </c>
    </row>
    <row r="1062" spans="1:16" s="1083" customFormat="1" ht="25.2" hidden="1" customHeight="1">
      <c r="A1062" s="1153">
        <f t="shared" si="75"/>
        <v>0</v>
      </c>
      <c r="B1062" s="1324"/>
      <c r="C1062" s="1324"/>
      <c r="D1062" s="1084">
        <f>IF(H1062&gt;0,D1041+1,D1041)</f>
        <v>0</v>
      </c>
      <c r="E1062" s="1085"/>
      <c r="F1062" s="1086" t="s">
        <v>3739</v>
      </c>
      <c r="G1062" s="1084" t="s">
        <v>2391</v>
      </c>
      <c r="H1062" s="1867"/>
      <c r="I1062" s="1259">
        <f t="shared" si="76"/>
        <v>0</v>
      </c>
      <c r="J1062" s="1081"/>
      <c r="K1062" s="1081"/>
      <c r="L1062" s="1082"/>
      <c r="M1062" s="975">
        <v>160</v>
      </c>
    </row>
    <row r="1063" spans="1:16" s="1083" customFormat="1" ht="25.2" hidden="1" customHeight="1">
      <c r="A1063" s="1153">
        <f t="shared" si="75"/>
        <v>0</v>
      </c>
      <c r="B1063" s="1324"/>
      <c r="C1063" s="1324"/>
      <c r="D1063" s="1078"/>
      <c r="E1063" s="1088"/>
      <c r="F1063" s="1367" t="s">
        <v>2285</v>
      </c>
      <c r="G1063" s="1090"/>
      <c r="H1063" s="1851"/>
      <c r="I1063" s="1259">
        <f t="shared" si="76"/>
        <v>0</v>
      </c>
      <c r="J1063" s="1081"/>
      <c r="K1063" s="1081"/>
      <c r="L1063" s="1082"/>
      <c r="M1063" s="975">
        <v>160</v>
      </c>
    </row>
    <row r="1064" spans="1:16" s="1083" customFormat="1" ht="25.2" hidden="1" customHeight="1">
      <c r="A1064" s="1153">
        <f t="shared" si="75"/>
        <v>0</v>
      </c>
      <c r="B1064" s="1324" t="s">
        <v>653</v>
      </c>
      <c r="C1064" s="1324"/>
      <c r="D1064" s="1090"/>
      <c r="E1064" s="1091">
        <f>VLOOKUP($B1064,DG!A:D,DG!$B$2,)</f>
        <v>0</v>
      </c>
      <c r="F1064" s="1092" t="str">
        <f>VLOOKUP($B1064,DG!A:D,DG!$C$2,)</f>
        <v>Ximăng (PC40)</v>
      </c>
      <c r="G1064" s="1091" t="str">
        <f>VLOOKUP($B1064,DG!A:D,DG!$D$2,)</f>
        <v>kg</v>
      </c>
      <c r="H1064" s="1851">
        <f>H1062*M1067</f>
        <v>0</v>
      </c>
      <c r="I1064" s="1259">
        <f t="shared" si="76"/>
        <v>0</v>
      </c>
      <c r="J1064" s="1081"/>
      <c r="K1064" s="1081"/>
      <c r="L1064" s="1082"/>
      <c r="M1064" s="975">
        <v>160</v>
      </c>
    </row>
    <row r="1065" spans="1:16" s="1083" customFormat="1" ht="25.2" hidden="1" customHeight="1">
      <c r="A1065" s="1153">
        <f t="shared" si="75"/>
        <v>0</v>
      </c>
      <c r="B1065" s="1324" t="s">
        <v>4440</v>
      </c>
      <c r="C1065" s="1324"/>
      <c r="D1065" s="1078"/>
      <c r="E1065" s="1091">
        <f>VLOOKUP($B1065,DG!A:D,DG!$B$2,)</f>
        <v>0</v>
      </c>
      <c r="F1065" s="1092" t="str">
        <f>VLOOKUP($B1065,DG!A:D,DG!$C$2,)</f>
        <v>Cát vàng</v>
      </c>
      <c r="G1065" s="1091" t="str">
        <f>VLOOKUP($B1065,DG!A:D,DG!$D$2,)</f>
        <v>m3</v>
      </c>
      <c r="H1065" s="1851">
        <f>H1062*N1067</f>
        <v>0</v>
      </c>
      <c r="I1065" s="1259">
        <f t="shared" si="76"/>
        <v>0</v>
      </c>
      <c r="J1065" s="1081"/>
      <c r="K1065" s="1081"/>
      <c r="L1065" s="1082"/>
      <c r="M1065" s="975">
        <v>160</v>
      </c>
    </row>
    <row r="1066" spans="1:16" s="1083" customFormat="1" ht="25.2" hidden="1" customHeight="1">
      <c r="A1066" s="1153">
        <f t="shared" si="75"/>
        <v>0</v>
      </c>
      <c r="B1066" s="1324" t="s">
        <v>216</v>
      </c>
      <c r="C1066" s="1324"/>
      <c r="D1066" s="1078"/>
      <c r="E1066" s="1091">
        <f>VLOOKUP($B1066,DG!A:D,DG!$B$2,)</f>
        <v>0</v>
      </c>
      <c r="F1066" s="1092" t="str">
        <f>VLOOKUP($B1066,DG!A:D,DG!$C$2,)</f>
        <v>Đá 1x2</v>
      </c>
      <c r="G1066" s="1091" t="str">
        <f>VLOOKUP($B1066,DG!A:D,DG!$D$2,)</f>
        <v>m3</v>
      </c>
      <c r="H1066" s="1851">
        <f>H1062*O1067</f>
        <v>0</v>
      </c>
      <c r="I1066" s="1259">
        <f t="shared" si="76"/>
        <v>0</v>
      </c>
      <c r="J1066" s="1081"/>
      <c r="K1066" s="1081"/>
      <c r="L1066" s="1082"/>
      <c r="M1066" s="975">
        <v>160</v>
      </c>
    </row>
    <row r="1067" spans="1:16" s="1083" customFormat="1" ht="25.2" hidden="1" customHeight="1">
      <c r="A1067" s="1153">
        <f t="shared" si="75"/>
        <v>0</v>
      </c>
      <c r="B1067" s="1324" t="s">
        <v>654</v>
      </c>
      <c r="C1067" s="1324"/>
      <c r="D1067" s="1090"/>
      <c r="E1067" s="1091" t="str">
        <f>VLOOKUP($B1067,DG!A:D,DG!$B$2,)</f>
        <v>04.1203c</v>
      </c>
      <c r="F1067" s="1092" t="str">
        <f>VLOOKUP($B1067,DG!A:D,DG!$C$2,)</f>
        <v>Đổ bê tông móng trụ &lt;=250cm-M200 đá 1x2</v>
      </c>
      <c r="G1067" s="1091" t="str">
        <f>VLOOKUP($B1067,DG!A:D,DG!$D$2,)</f>
        <v>m3</v>
      </c>
      <c r="H1067" s="1851">
        <f>H1062*(0.4*3*1-2*3.14*0.15^2*0.4)*1.025</f>
        <v>0</v>
      </c>
      <c r="I1067" s="1259">
        <f t="shared" si="76"/>
        <v>0</v>
      </c>
      <c r="J1067" s="1081"/>
      <c r="K1067" s="1081"/>
      <c r="L1067" s="1082"/>
      <c r="M1067" s="975">
        <v>160</v>
      </c>
      <c r="N1067" s="1093">
        <f>1.025*0.45</f>
        <v>0.46124999999999999</v>
      </c>
      <c r="O1067" s="1093">
        <f>1.025*0.866</f>
        <v>0.88764999999999994</v>
      </c>
      <c r="P1067" s="1237"/>
    </row>
    <row r="1068" spans="1:16" s="1083" customFormat="1" ht="25.2" hidden="1" customHeight="1">
      <c r="A1068" s="1153">
        <f t="shared" si="75"/>
        <v>0</v>
      </c>
      <c r="B1068" s="1324"/>
      <c r="C1068" s="1324"/>
      <c r="D1068" s="1084">
        <f>IF(H1068&gt;0,D1062+1,D1062)</f>
        <v>0</v>
      </c>
      <c r="E1068" s="1085"/>
      <c r="F1068" s="1086" t="s">
        <v>3740</v>
      </c>
      <c r="G1068" s="1084" t="s">
        <v>2391</v>
      </c>
      <c r="H1068" s="1867"/>
      <c r="I1068" s="1259">
        <f t="shared" si="76"/>
        <v>0</v>
      </c>
      <c r="J1068" s="1081"/>
      <c r="K1068" s="1081"/>
      <c r="L1068" s="1082"/>
      <c r="M1068" s="975">
        <v>160</v>
      </c>
    </row>
    <row r="1069" spans="1:16" s="1083" customFormat="1" ht="25.2" hidden="1" customHeight="1">
      <c r="A1069" s="1153">
        <f t="shared" si="75"/>
        <v>0</v>
      </c>
      <c r="B1069" s="1324"/>
      <c r="C1069" s="1324"/>
      <c r="D1069" s="1078"/>
      <c r="E1069" s="1088"/>
      <c r="F1069" s="1367" t="s">
        <v>2285</v>
      </c>
      <c r="G1069" s="1090"/>
      <c r="H1069" s="1851"/>
      <c r="I1069" s="1259">
        <f t="shared" si="76"/>
        <v>0</v>
      </c>
      <c r="J1069" s="1081"/>
      <c r="K1069" s="1081"/>
      <c r="L1069" s="1082"/>
      <c r="M1069" s="975">
        <v>160</v>
      </c>
    </row>
    <row r="1070" spans="1:16" s="1083" customFormat="1" ht="25.2" hidden="1" customHeight="1">
      <c r="A1070" s="1153">
        <f t="shared" si="75"/>
        <v>0</v>
      </c>
      <c r="B1070" s="1324" t="s">
        <v>653</v>
      </c>
      <c r="C1070" s="1324"/>
      <c r="D1070" s="1090"/>
      <c r="E1070" s="1091">
        <f>VLOOKUP($B1070,DG!A:D,DG!$B$2,)</f>
        <v>0</v>
      </c>
      <c r="F1070" s="1092" t="str">
        <f>VLOOKUP($B1070,DG!A:D,DG!$C$2,)</f>
        <v>Ximăng (PC40)</v>
      </c>
      <c r="G1070" s="1091" t="str">
        <f>VLOOKUP($B1070,DG!A:D,DG!$D$2,)</f>
        <v>kg</v>
      </c>
      <c r="H1070" s="1851">
        <f>H1073*M1073</f>
        <v>0</v>
      </c>
      <c r="I1070" s="1259">
        <f t="shared" si="76"/>
        <v>0</v>
      </c>
      <c r="J1070" s="1081"/>
      <c r="K1070" s="1081"/>
      <c r="L1070" s="1082"/>
      <c r="M1070" s="975">
        <v>160</v>
      </c>
    </row>
    <row r="1071" spans="1:16" s="1083" customFormat="1" ht="25.2" hidden="1" customHeight="1">
      <c r="A1071" s="1153">
        <f t="shared" si="75"/>
        <v>0</v>
      </c>
      <c r="B1071" s="1324" t="s">
        <v>4440</v>
      </c>
      <c r="C1071" s="1324"/>
      <c r="D1071" s="1078"/>
      <c r="E1071" s="1091">
        <f>VLOOKUP($B1071,DG!A:D,DG!$B$2,)</f>
        <v>0</v>
      </c>
      <c r="F1071" s="1092" t="str">
        <f>VLOOKUP($B1071,DG!A:D,DG!$C$2,)</f>
        <v>Cát vàng</v>
      </c>
      <c r="G1071" s="1091" t="str">
        <f>VLOOKUP($B1071,DG!A:D,DG!$D$2,)</f>
        <v>m3</v>
      </c>
      <c r="H1071" s="1868">
        <f>H1073*N1073</f>
        <v>0</v>
      </c>
      <c r="I1071" s="1259">
        <f t="shared" si="76"/>
        <v>0</v>
      </c>
      <c r="J1071" s="1081"/>
      <c r="K1071" s="1081"/>
      <c r="L1071" s="1082"/>
      <c r="M1071" s="975">
        <v>160</v>
      </c>
    </row>
    <row r="1072" spans="1:16" s="1083" customFormat="1" ht="25.2" hidden="1" customHeight="1">
      <c r="A1072" s="1153">
        <f t="shared" si="75"/>
        <v>0</v>
      </c>
      <c r="B1072" s="1324" t="s">
        <v>216</v>
      </c>
      <c r="C1072" s="1324"/>
      <c r="D1072" s="1078"/>
      <c r="E1072" s="1091">
        <f>VLOOKUP($B1072,DG!A:D,DG!$B$2,)</f>
        <v>0</v>
      </c>
      <c r="F1072" s="1092" t="str">
        <f>VLOOKUP($B1072,DG!A:D,DG!$C$2,)</f>
        <v>Đá 1x2</v>
      </c>
      <c r="G1072" s="1091" t="str">
        <f>VLOOKUP($B1072,DG!A:D,DG!$D$2,)</f>
        <v>m3</v>
      </c>
      <c r="H1072" s="1868">
        <f>H1073*O1073</f>
        <v>0</v>
      </c>
      <c r="I1072" s="1259">
        <f t="shared" si="76"/>
        <v>0</v>
      </c>
      <c r="J1072" s="1081"/>
      <c r="K1072" s="1081"/>
      <c r="L1072" s="1082"/>
      <c r="M1072" s="975">
        <v>160</v>
      </c>
    </row>
    <row r="1073" spans="1:16" s="1083" customFormat="1" ht="25.2" hidden="1" customHeight="1">
      <c r="A1073" s="1153">
        <f t="shared" si="75"/>
        <v>0</v>
      </c>
      <c r="B1073" s="1324" t="s">
        <v>654</v>
      </c>
      <c r="C1073" s="1324"/>
      <c r="D1073" s="1090"/>
      <c r="E1073" s="1091" t="str">
        <f>VLOOKUP($B1073,DG!A:D,DG!$B$2,)</f>
        <v>04.1203c</v>
      </c>
      <c r="F1073" s="1092" t="str">
        <f>VLOOKUP($B1073,DG!A:D,DG!$C$2,)</f>
        <v>Đổ bê tông móng trụ &lt;=250cm-M200 đá 1x2</v>
      </c>
      <c r="G1073" s="1091" t="str">
        <f>VLOOKUP($B1073,DG!A:D,DG!$D$2,)</f>
        <v>m3</v>
      </c>
      <c r="H1073" s="1851">
        <f>H1068*0.2*0.2*(0.2+0.2+0.8+0.8+2*4)</f>
        <v>0</v>
      </c>
      <c r="I1073" s="1259">
        <f t="shared" si="76"/>
        <v>0</v>
      </c>
      <c r="J1073" s="1081"/>
      <c r="K1073" s="1081"/>
      <c r="L1073" s="1082"/>
      <c r="M1073" s="975">
        <v>160</v>
      </c>
      <c r="N1073" s="1093">
        <f>1.025*0.45</f>
        <v>0.46124999999999999</v>
      </c>
      <c r="O1073" s="1093">
        <f>1.025*0.866</f>
        <v>0.88764999999999994</v>
      </c>
      <c r="P1073" s="1237"/>
    </row>
    <row r="1074" spans="1:16" s="1083" customFormat="1" ht="25.2" hidden="1" customHeight="1">
      <c r="A1074" s="1153">
        <f t="shared" si="75"/>
        <v>0</v>
      </c>
      <c r="B1074" s="1324"/>
      <c r="C1074" s="1324"/>
      <c r="D1074" s="1084">
        <f>IF(H1074&gt;0,D1068+1,D1068)</f>
        <v>0</v>
      </c>
      <c r="E1074" s="1085"/>
      <c r="F1074" s="1086" t="s">
        <v>3741</v>
      </c>
      <c r="G1074" s="1084" t="s">
        <v>2391</v>
      </c>
      <c r="H1074" s="1867">
        <f>H943</f>
        <v>0</v>
      </c>
      <c r="I1074" s="1259">
        <f t="shared" si="76"/>
        <v>0</v>
      </c>
      <c r="J1074" s="1081"/>
      <c r="K1074" s="1081"/>
      <c r="L1074" s="1110"/>
      <c r="M1074" s="975">
        <v>160</v>
      </c>
    </row>
    <row r="1075" spans="1:16" s="1083" customFormat="1" ht="25.2" hidden="1" customHeight="1">
      <c r="A1075" s="1153">
        <f t="shared" si="75"/>
        <v>0</v>
      </c>
      <c r="B1075" s="1324"/>
      <c r="C1075" s="1324"/>
      <c r="D1075" s="1078"/>
      <c r="E1075" s="1088"/>
      <c r="F1075" s="1367" t="s">
        <v>2285</v>
      </c>
      <c r="G1075" s="1090"/>
      <c r="H1075" s="1851"/>
      <c r="I1075" s="1259">
        <f t="shared" si="76"/>
        <v>0</v>
      </c>
      <c r="J1075" s="1081"/>
      <c r="K1075" s="1081"/>
      <c r="L1075" s="1110"/>
      <c r="M1075" s="975">
        <v>160</v>
      </c>
    </row>
    <row r="1076" spans="1:16" s="1083" customFormat="1" ht="25.2" hidden="1" customHeight="1">
      <c r="A1076" s="1153">
        <f t="shared" si="75"/>
        <v>0</v>
      </c>
      <c r="B1076" s="1356" t="s">
        <v>2053</v>
      </c>
      <c r="C1076" s="1356"/>
      <c r="D1076" s="1090"/>
      <c r="E1076" s="1091" t="str">
        <f>VLOOKUP($B1076,DG!A:D,DG!$B$2,)</f>
        <v>05.1002</v>
      </c>
      <c r="F1076" s="1092" t="str">
        <f>VLOOKUP($B1076,DG!A:D,DG!$C$2,)</f>
        <v>Vỏ tủ trạm giàn 2 ngăn + khóa tủ</v>
      </c>
      <c r="G1076" s="1091" t="str">
        <f>VLOOKUP($B1076,DG!A:D,DG!$D$2,)</f>
        <v>cái</v>
      </c>
      <c r="H1076" s="1851">
        <f>$H$1074</f>
        <v>0</v>
      </c>
      <c r="I1076" s="1259">
        <f t="shared" si="76"/>
        <v>0</v>
      </c>
      <c r="J1076" s="1081"/>
      <c r="K1076" s="1081"/>
      <c r="L1076" s="1110"/>
      <c r="M1076" s="975">
        <v>160</v>
      </c>
    </row>
    <row r="1077" spans="1:16" s="1083" customFormat="1" ht="25.2" hidden="1" customHeight="1">
      <c r="A1077" s="1153">
        <f t="shared" si="75"/>
        <v>0</v>
      </c>
      <c r="B1077" s="1356" t="s">
        <v>4882</v>
      </c>
      <c r="C1077" s="1356"/>
      <c r="D1077" s="1090"/>
      <c r="E1077" s="1091" t="str">
        <f>VLOOKUP($B1077,DG!A:D,DG!$B$2,)</f>
        <v>06.3231</v>
      </c>
      <c r="F1077" s="1092" t="str">
        <f>VLOOKUP($B1077,DG!A:D,DG!$C$2,)</f>
        <v>Cổ dê bắt tủ trạm trụ ghép D320/60x6</v>
      </c>
      <c r="G1077" s="1091" t="str">
        <f>VLOOKUP($B1077,DG!A:D,DG!$D$2,)</f>
        <v>bộ</v>
      </c>
      <c r="H1077" s="1851">
        <v>2</v>
      </c>
      <c r="I1077" s="1259">
        <f t="shared" ref="I1077" si="77">IF(M1077=$M$23,H1077+J1077-K1077,0)</f>
        <v>0</v>
      </c>
      <c r="J1077" s="1081"/>
      <c r="K1077" s="1081"/>
      <c r="L1077" s="1110"/>
      <c r="M1077" s="975">
        <v>160</v>
      </c>
    </row>
    <row r="1078" spans="1:16" s="1083" customFormat="1" ht="25.2" hidden="1" customHeight="1">
      <c r="A1078" s="1153">
        <f t="shared" si="75"/>
        <v>0</v>
      </c>
      <c r="B1078" s="1356" t="s">
        <v>138</v>
      </c>
      <c r="C1078" s="1356"/>
      <c r="D1078" s="1090"/>
      <c r="E1078" s="1091">
        <f>VLOOKUP($B1078,DG!A:D,DG!$B$2,)</f>
        <v>0</v>
      </c>
      <c r="F1078" s="1092" t="str">
        <f>VLOOKUP($B1078,DG!A:D,DG!$C$2,)</f>
        <v>Boulon 12x40+ 2 long đền vuông D14-50x50x3/Zn</v>
      </c>
      <c r="G1078" s="1091" t="str">
        <f>VLOOKUP($B1078,DG!A:D,DG!$D$2,)</f>
        <v>bộ</v>
      </c>
      <c r="H1078" s="1851"/>
      <c r="I1078" s="1259">
        <f t="shared" si="76"/>
        <v>0</v>
      </c>
      <c r="J1078" s="1081"/>
      <c r="K1078" s="1081"/>
      <c r="L1078" s="1110"/>
      <c r="M1078" s="975">
        <v>160</v>
      </c>
    </row>
    <row r="1079" spans="1:16" s="1083" customFormat="1" ht="25.2" hidden="1" customHeight="1">
      <c r="A1079" s="1153">
        <f t="shared" si="75"/>
        <v>0</v>
      </c>
      <c r="B1079" s="1324" t="s">
        <v>1538</v>
      </c>
      <c r="C1079" s="1324"/>
      <c r="D1079" s="1078"/>
      <c r="E1079" s="1091">
        <f>VLOOKUP($B1079,DG!A:D,DG!$B$2,)</f>
        <v>0</v>
      </c>
      <c r="F1079" s="1092" t="str">
        <f>VLOOKUP($B1079,DG!A:D,DG!$C$2,)</f>
        <v>Giá nới + Thanh cái tủ CB</v>
      </c>
      <c r="G1079" s="1091" t="str">
        <f>VLOOKUP($B1079,DG!A:D,DG!$D$2,)</f>
        <v>bộ</v>
      </c>
      <c r="H1079" s="1868">
        <f>H1074*0</f>
        <v>0</v>
      </c>
      <c r="I1079" s="1259">
        <f t="shared" si="76"/>
        <v>0</v>
      </c>
      <c r="J1079" s="1081"/>
      <c r="K1079" s="1081"/>
      <c r="L1079" s="1110"/>
      <c r="M1079" s="975">
        <v>160</v>
      </c>
    </row>
    <row r="1080" spans="1:16" s="1083" customFormat="1" ht="25.2" hidden="1" customHeight="1">
      <c r="A1080" s="1153">
        <f t="shared" si="75"/>
        <v>0</v>
      </c>
      <c r="B1080" s="1324" t="s">
        <v>880</v>
      </c>
      <c r="C1080" s="1324"/>
      <c r="D1080" s="1078"/>
      <c r="E1080" s="1091">
        <f>VLOOKUP($B1080,DG!A:D,DG!$B$2,)</f>
        <v>0</v>
      </c>
      <c r="F1080" s="1092" t="str">
        <f>VLOOKUP($B1080,DG!A:D,DG!$C$2,)</f>
        <v xml:space="preserve">Bakelit 550x450 dầy 10mm </v>
      </c>
      <c r="G1080" s="1091" t="str">
        <f>VLOOKUP($B1080,DG!A:D,DG!$D$2,)</f>
        <v>cái</v>
      </c>
      <c r="H1080" s="1851">
        <f>H1074*3</f>
        <v>0</v>
      </c>
      <c r="I1080" s="1259">
        <f t="shared" si="76"/>
        <v>0</v>
      </c>
      <c r="J1080" s="1081"/>
      <c r="K1080" s="1081"/>
      <c r="L1080" s="1110"/>
      <c r="M1080" s="975">
        <v>160</v>
      </c>
    </row>
    <row r="1081" spans="1:16" s="1083" customFormat="1" ht="25.2" hidden="1" customHeight="1">
      <c r="A1081" s="1153">
        <f t="shared" si="75"/>
        <v>0</v>
      </c>
      <c r="B1081" s="1324" t="s">
        <v>289</v>
      </c>
      <c r="C1081" s="1324"/>
      <c r="D1081" s="1090"/>
      <c r="E1081" s="1091" t="str">
        <f>VLOOKUP($B1081,DG!A:D,DG!$B$2,)</f>
        <v>06.3191</v>
      </c>
      <c r="F1081" s="1092" t="str">
        <f>VLOOKUP($B1081,DG!A:D,DG!$C$2,)</f>
        <v>Bảng tên trạm, bảng báo nguy hiểm + đinh vít</v>
      </c>
      <c r="G1081" s="1091" t="str">
        <f>VLOOKUP($B1081,DG!A:D,DG!$D$2,)</f>
        <v>bộ</v>
      </c>
      <c r="H1081" s="1851">
        <f>H1074</f>
        <v>0</v>
      </c>
      <c r="I1081" s="1259">
        <f t="shared" si="76"/>
        <v>0</v>
      </c>
      <c r="J1081" s="1081"/>
      <c r="K1081" s="1081"/>
      <c r="L1081" s="1110"/>
      <c r="M1081" s="975">
        <v>160</v>
      </c>
    </row>
    <row r="1082" spans="1:16" s="1083" customFormat="1" ht="25.2" hidden="1" customHeight="1">
      <c r="A1082" s="1153">
        <f t="shared" si="75"/>
        <v>0</v>
      </c>
      <c r="B1082" s="1324"/>
      <c r="C1082" s="1324"/>
      <c r="D1082" s="1084">
        <f>IF(H1082&gt;0,D1074+1,D1074)</f>
        <v>0</v>
      </c>
      <c r="E1082" s="1085"/>
      <c r="F1082" s="1086" t="s">
        <v>3742</v>
      </c>
      <c r="G1082" s="1084" t="s">
        <v>2538</v>
      </c>
      <c r="H1082" s="1867">
        <f>H943*0</f>
        <v>0</v>
      </c>
      <c r="I1082" s="1259">
        <f t="shared" si="76"/>
        <v>0</v>
      </c>
      <c r="J1082" s="1081"/>
      <c r="K1082" s="1081"/>
      <c r="L1082" s="1082"/>
      <c r="M1082" s="975">
        <v>160</v>
      </c>
    </row>
    <row r="1083" spans="1:16" s="1083" customFormat="1" ht="25.2" hidden="1" customHeight="1">
      <c r="A1083" s="1153">
        <f t="shared" si="75"/>
        <v>0</v>
      </c>
      <c r="B1083" s="1324"/>
      <c r="C1083" s="1324"/>
      <c r="D1083" s="1078"/>
      <c r="E1083" s="1088"/>
      <c r="F1083" s="1367" t="s">
        <v>2285</v>
      </c>
      <c r="G1083" s="1090"/>
      <c r="H1083" s="1851"/>
      <c r="I1083" s="1259">
        <f t="shared" si="76"/>
        <v>0</v>
      </c>
      <c r="J1083" s="1081"/>
      <c r="K1083" s="1081"/>
      <c r="L1083" s="1082"/>
      <c r="M1083" s="975">
        <v>160</v>
      </c>
    </row>
    <row r="1084" spans="1:16" s="1083" customFormat="1" ht="25.2" hidden="1" customHeight="1">
      <c r="A1084" s="1153">
        <f t="shared" si="75"/>
        <v>0</v>
      </c>
      <c r="B1084" s="1326" t="s">
        <v>752</v>
      </c>
      <c r="C1084" s="1326"/>
      <c r="D1084" s="1090"/>
      <c r="E1084" s="1091">
        <f>VLOOKUP($B1084,DG!A:D,DG!$B$2,)</f>
        <v>0</v>
      </c>
      <c r="F1084" s="1108" t="str">
        <f>VLOOKUP($B1084,DG!A:D,DG!$C$2,)&amp;": 0,315m3/m"</f>
        <v>Cát vàng: 0,315m3/m</v>
      </c>
      <c r="G1084" s="1091" t="str">
        <f>VLOOKUP($B1084,DG!A:D,DG!$D$2,)</f>
        <v>m3</v>
      </c>
      <c r="H1084" s="1851">
        <f>H1082*0.315</f>
        <v>0</v>
      </c>
      <c r="I1084" s="1259">
        <f t="shared" si="76"/>
        <v>0</v>
      </c>
      <c r="J1084" s="1081"/>
      <c r="K1084" s="1081"/>
      <c r="L1084" s="1082"/>
      <c r="M1084" s="975">
        <v>160</v>
      </c>
    </row>
    <row r="1085" spans="1:16" s="1083" customFormat="1" ht="25.2" hidden="1" customHeight="1">
      <c r="A1085" s="1153">
        <f t="shared" si="75"/>
        <v>0</v>
      </c>
      <c r="B1085" s="1326" t="s">
        <v>520</v>
      </c>
      <c r="C1085" s="1326"/>
      <c r="D1085" s="1090"/>
      <c r="E1085" s="1091">
        <f>VLOOKUP($B1085,DG!A:D,DG!$B$2,)</f>
        <v>0</v>
      </c>
      <c r="F1085" s="1108" t="str">
        <f>VLOOKUP($B1085,DG!A:D,DG!$C$2,)&amp;": 0,092m3/m"</f>
        <v>Đá 2x4: 0,092m3/m</v>
      </c>
      <c r="G1085" s="1091" t="str">
        <f>VLOOKUP($B1085,DG!A:D,DG!$D$2,)</f>
        <v>m3</v>
      </c>
      <c r="H1085" s="1851">
        <f>0.092*H1082</f>
        <v>0</v>
      </c>
      <c r="I1085" s="1259">
        <f t="shared" si="76"/>
        <v>0</v>
      </c>
      <c r="J1085" s="1081"/>
      <c r="K1085" s="1081"/>
      <c r="L1085" s="1082"/>
      <c r="M1085" s="975">
        <v>160</v>
      </c>
    </row>
    <row r="1086" spans="1:16" s="1083" customFormat="1" ht="25.2" hidden="1" customHeight="1">
      <c r="A1086" s="1153">
        <f t="shared" si="75"/>
        <v>0</v>
      </c>
      <c r="B1086" s="1326" t="s">
        <v>1679</v>
      </c>
      <c r="C1086" s="1326"/>
      <c r="D1086" s="1090"/>
      <c r="E1086" s="1091">
        <f>VLOOKUP($B1086,DG!A:D,DG!$B$2,)</f>
        <v>0</v>
      </c>
      <c r="F1086" s="1108" t="str">
        <f>VLOOKUP($B1086,DG!A:D,DG!$C$2,)&amp;": 3,3vieân/m"</f>
        <v>Gạch tàu: 3,3vieân/m</v>
      </c>
      <c r="G1086" s="1091" t="str">
        <f>VLOOKUP($B1086,DG!A:D,DG!$D$2,)</f>
        <v>viên</v>
      </c>
      <c r="H1086" s="1851">
        <f>3.3*H1082</f>
        <v>0</v>
      </c>
      <c r="I1086" s="1259">
        <f t="shared" si="76"/>
        <v>0</v>
      </c>
      <c r="J1086" s="1081"/>
      <c r="K1086" s="1081"/>
      <c r="L1086" s="1082"/>
      <c r="M1086" s="975">
        <v>160</v>
      </c>
    </row>
    <row r="1087" spans="1:16" s="1083" customFormat="1" ht="25.2" hidden="1" customHeight="1">
      <c r="A1087" s="1153">
        <f t="shared" si="75"/>
        <v>0</v>
      </c>
      <c r="B1087" s="1326" t="s">
        <v>1680</v>
      </c>
      <c r="C1087" s="1326"/>
      <c r="D1087" s="1090"/>
      <c r="E1087" s="1091">
        <f>VLOOKUP($B1087,DG!A:D,DG!$B$2,)</f>
        <v>0</v>
      </c>
      <c r="F1087" s="1108" t="str">
        <f>VLOOKUP($B1087,DG!A:D,DG!$C$2,)&amp;": 0,4m2/m"</f>
        <v>Tấm nilông màu cảnh báo: 0,4m2/m</v>
      </c>
      <c r="G1087" s="1091" t="str">
        <f>VLOOKUP($B1087,DG!A:D,DG!$D$2,)</f>
        <v>m2</v>
      </c>
      <c r="H1087" s="1851">
        <f>0.4*H1082</f>
        <v>0</v>
      </c>
      <c r="I1087" s="1259">
        <f t="shared" si="76"/>
        <v>0</v>
      </c>
      <c r="J1087" s="1081"/>
      <c r="K1087" s="1081"/>
      <c r="L1087" s="1082"/>
      <c r="M1087" s="975">
        <v>160</v>
      </c>
    </row>
    <row r="1088" spans="1:16" s="1083" customFormat="1" ht="25.2" hidden="1" customHeight="1">
      <c r="A1088" s="1153">
        <f t="shared" si="75"/>
        <v>0</v>
      </c>
      <c r="B1088" s="1326" t="s">
        <v>1521</v>
      </c>
      <c r="C1088" s="1326"/>
      <c r="D1088" s="1078"/>
      <c r="E1088" s="1091">
        <f>VLOOKUP($B1088,DG!A:D,DG!$B$2,)</f>
        <v>0</v>
      </c>
      <c r="F1088" s="1108" t="str">
        <f>VLOOKUP($B1088,DG!A:D,DG!$C$2,)</f>
        <v>Ống PVC D140x6,7mm</v>
      </c>
      <c r="G1088" s="1091" t="str">
        <f>VLOOKUP($B1088,DG!A:D,DG!$D$2,)</f>
        <v>m</v>
      </c>
      <c r="H1088" s="1851">
        <f>1*H1082</f>
        <v>0</v>
      </c>
      <c r="I1088" s="1259">
        <f t="shared" si="76"/>
        <v>0</v>
      </c>
      <c r="J1088" s="1081"/>
      <c r="K1088" s="1081"/>
      <c r="L1088" s="1082"/>
      <c r="M1088" s="975">
        <v>160</v>
      </c>
    </row>
    <row r="1089" spans="1:14" s="1083" customFormat="1" ht="25.2" hidden="1" customHeight="1">
      <c r="A1089" s="1153">
        <f t="shared" si="75"/>
        <v>0</v>
      </c>
      <c r="B1089" s="1326" t="s">
        <v>1682</v>
      </c>
      <c r="C1089" s="1326"/>
      <c r="D1089" s="1090"/>
      <c r="E1089" s="1091" t="str">
        <f>VLOOKUP($B1089,DG!A:D,DG!$B$2,)</f>
        <v>03.7000</v>
      </c>
      <c r="F1089" s="1108" t="str">
        <f>VLOOKUP($B1089,DG!A:D,DG!$C$2,)&amp;" + ñaép ñaù"</f>
        <v>Đắp cát  + ñaép ñaù</v>
      </c>
      <c r="G1089" s="1091" t="str">
        <f>VLOOKUP($B1089,DG!A:D,DG!$D$2,)</f>
        <v>m3</v>
      </c>
      <c r="H1089" s="1851">
        <f>H1084+H1085</f>
        <v>0</v>
      </c>
      <c r="I1089" s="1259">
        <f t="shared" si="76"/>
        <v>0</v>
      </c>
      <c r="J1089" s="1081"/>
      <c r="K1089" s="1081"/>
      <c r="L1089" s="1082"/>
      <c r="M1089" s="975">
        <v>160</v>
      </c>
    </row>
    <row r="1090" spans="1:14" s="1083" customFormat="1" ht="25.2" hidden="1" customHeight="1">
      <c r="A1090" s="1153">
        <f t="shared" si="75"/>
        <v>0</v>
      </c>
      <c r="B1090" s="1326" t="s">
        <v>144</v>
      </c>
      <c r="C1090" s="1326"/>
      <c r="D1090" s="1090"/>
      <c r="E1090" s="1091" t="str">
        <f>VLOOKUP($B1090,DG!A:D,DG!$B$2,)</f>
        <v>03.3103</v>
      </c>
      <c r="F1090" s="1108" t="str">
        <f>VLOOKUP($B1090,DG!A:D,DG!$C$2,)&amp;" : 0,48m3/m"</f>
        <v>Đào mương cáp ngầm đất cấp 3 : 0,48m3/m</v>
      </c>
      <c r="G1090" s="1091" t="str">
        <f>VLOOKUP($B1090,DG!A:D,DG!$D$2,)</f>
        <v>m3</v>
      </c>
      <c r="H1090" s="1851">
        <f>H1082*0.48</f>
        <v>0</v>
      </c>
      <c r="I1090" s="1259">
        <f t="shared" si="76"/>
        <v>0</v>
      </c>
      <c r="J1090" s="1081"/>
      <c r="K1090" s="1081"/>
      <c r="L1090" s="1082"/>
      <c r="M1090" s="975">
        <v>160</v>
      </c>
    </row>
    <row r="1091" spans="1:14" s="1083" customFormat="1" ht="25.2" hidden="1" customHeight="1">
      <c r="A1091" s="1153">
        <f t="shared" si="75"/>
        <v>0</v>
      </c>
      <c r="B1091" s="1326" t="s">
        <v>529</v>
      </c>
      <c r="C1091" s="1326"/>
      <c r="D1091" s="1090"/>
      <c r="E1091" s="1091" t="str">
        <f>VLOOKUP($B1091,DG!A:D,DG!$B$2,)</f>
        <v>03.3203</v>
      </c>
      <c r="F1091" s="1108" t="str">
        <f>VLOOKUP($B1091,DG!A:D,DG!$C$2,)&amp;" : 0,073m3/m"</f>
        <v>Đắp đất mương cáp ngầm, đất cấp 3 : 0,073m3/m</v>
      </c>
      <c r="G1091" s="1091" t="str">
        <f>VLOOKUP($B1091,DG!A:D,DG!$D$2,)</f>
        <v>m3</v>
      </c>
      <c r="H1091" s="1851">
        <f>H1082*0.073</f>
        <v>0</v>
      </c>
      <c r="I1091" s="1259">
        <f t="shared" si="76"/>
        <v>0</v>
      </c>
      <c r="J1091" s="1081"/>
      <c r="K1091" s="1081"/>
      <c r="L1091" s="1082"/>
      <c r="M1091" s="975">
        <v>160</v>
      </c>
      <c r="N1091" s="1133">
        <v>0.47499999999999998</v>
      </c>
    </row>
    <row r="1092" spans="1:14" s="1083" customFormat="1" ht="25.2" hidden="1" customHeight="1">
      <c r="A1092" s="1153">
        <f t="shared" si="75"/>
        <v>0</v>
      </c>
      <c r="B1092" s="1324"/>
      <c r="C1092" s="1324"/>
      <c r="D1092" s="1084">
        <f>IF(H1092&gt;0,D1082+1,D1082)</f>
        <v>0</v>
      </c>
      <c r="E1092" s="1085"/>
      <c r="F1092" s="1086" t="s">
        <v>3743</v>
      </c>
      <c r="G1092" s="1084" t="s">
        <v>2391</v>
      </c>
      <c r="H1092" s="1867">
        <f>H1101</f>
        <v>0</v>
      </c>
      <c r="I1092" s="1259">
        <f t="shared" si="76"/>
        <v>0</v>
      </c>
      <c r="J1092" s="1081"/>
      <c r="K1092" s="1081"/>
      <c r="L1092" s="1082"/>
      <c r="M1092" s="975">
        <v>160</v>
      </c>
      <c r="N1092" s="1133">
        <v>0.88100000000000001</v>
      </c>
    </row>
    <row r="1093" spans="1:14" s="1083" customFormat="1" ht="25.2" hidden="1" customHeight="1">
      <c r="A1093" s="1153">
        <f t="shared" si="75"/>
        <v>0</v>
      </c>
      <c r="B1093" s="1324"/>
      <c r="C1093" s="1324"/>
      <c r="D1093" s="1078"/>
      <c r="E1093" s="1088"/>
      <c r="F1093" s="1367" t="s">
        <v>2285</v>
      </c>
      <c r="G1093" s="1090"/>
      <c r="H1093" s="1851"/>
      <c r="I1093" s="1259">
        <f t="shared" si="76"/>
        <v>0</v>
      </c>
      <c r="J1093" s="1081"/>
      <c r="K1093" s="1081"/>
      <c r="L1093" s="1082"/>
      <c r="M1093" s="975">
        <v>160</v>
      </c>
    </row>
    <row r="1094" spans="1:14" s="1083" customFormat="1" ht="25.2" hidden="1" customHeight="1">
      <c r="A1094" s="1153">
        <f t="shared" si="75"/>
        <v>0</v>
      </c>
      <c r="B1094" s="1324" t="s">
        <v>623</v>
      </c>
      <c r="C1094" s="1324"/>
      <c r="D1094" s="1090"/>
      <c r="E1094" s="1091" t="str">
        <f>VLOOKUP($B1094,DG!A:D,DG!$B$2,)</f>
        <v>07.2204</v>
      </c>
      <c r="F1094" s="1092" t="str">
        <f>VLOOKUP($B1094,DG!A:D,DG!$C$2,)</f>
        <v>ÔÁng sắt tráng kẽm D140</v>
      </c>
      <c r="G1094" s="1091" t="str">
        <f>VLOOKUP($B1094,DG!A:D,DG!$D$2,)</f>
        <v>mét</v>
      </c>
      <c r="H1094" s="1851">
        <f>H1092*5*0</f>
        <v>0</v>
      </c>
      <c r="I1094" s="1259">
        <f t="shared" si="76"/>
        <v>0</v>
      </c>
      <c r="J1094" s="1081"/>
      <c r="K1094" s="1081"/>
      <c r="L1094" s="1082"/>
      <c r="M1094" s="975">
        <v>160</v>
      </c>
    </row>
    <row r="1095" spans="1:14" s="1083" customFormat="1" ht="25.2" hidden="1" customHeight="1">
      <c r="A1095" s="1153">
        <f t="shared" si="75"/>
        <v>0</v>
      </c>
      <c r="B1095" s="1326" t="s">
        <v>473</v>
      </c>
      <c r="C1095" s="1326"/>
      <c r="D1095" s="1078"/>
      <c r="E1095" s="1091">
        <f>VLOOKUP($B1095,DG!A:D,DG!$B$2,)</f>
        <v>0</v>
      </c>
      <c r="F1095" s="1092" t="str">
        <f>VLOOKUP($B1095,DG!A:D,DG!$C$2,)</f>
        <v>Co sừng 90 độ PVC 140</v>
      </c>
      <c r="G1095" s="1091" t="str">
        <f>VLOOKUP($B1095,DG!A:D,DG!$D$2,)</f>
        <v>cái</v>
      </c>
      <c r="H1095" s="1851">
        <f>H1092*0</f>
        <v>0</v>
      </c>
      <c r="I1095" s="1259">
        <f t="shared" si="76"/>
        <v>0</v>
      </c>
      <c r="J1095" s="1081"/>
      <c r="K1095" s="1081"/>
      <c r="L1095" s="1082"/>
      <c r="M1095" s="975">
        <v>160</v>
      </c>
    </row>
    <row r="1096" spans="1:14" s="1083" customFormat="1" ht="25.2" hidden="1" customHeight="1">
      <c r="A1096" s="1153">
        <f t="shared" si="75"/>
        <v>0</v>
      </c>
      <c r="B1096" s="1324" t="s">
        <v>120</v>
      </c>
      <c r="C1096" s="1324"/>
      <c r="D1096" s="1090"/>
      <c r="E1096" s="1091" t="str">
        <f>VLOOKUP($B1096,DG!A:D,DG!$B$2,)</f>
        <v>06.3231</v>
      </c>
      <c r="F1096" s="1092" t="str">
        <f>VLOOKUP($B1096,DG!A:D,DG!$C$2,)</f>
        <v>Cổ dê giữ ống STK D140 vào tường+Boulon+long đền+tắc ke sắt</v>
      </c>
      <c r="G1096" s="1091" t="str">
        <f>VLOOKUP($B1096,DG!A:D,DG!$D$2,)</f>
        <v>bộ</v>
      </c>
      <c r="H1096" s="1851">
        <f>H1092*2*0</f>
        <v>0</v>
      </c>
      <c r="I1096" s="1259">
        <f t="shared" si="76"/>
        <v>0</v>
      </c>
      <c r="J1096" s="1081"/>
      <c r="K1096" s="1081"/>
      <c r="L1096" s="1082"/>
      <c r="M1096" s="975">
        <v>160</v>
      </c>
    </row>
    <row r="1097" spans="1:14" s="1083" customFormat="1" ht="25.2" hidden="1" customHeight="1">
      <c r="A1097" s="1153">
        <f t="shared" si="75"/>
        <v>0</v>
      </c>
      <c r="B1097" s="1154" t="s">
        <v>1412</v>
      </c>
      <c r="C1097" s="1154"/>
      <c r="D1097" s="1090"/>
      <c r="E1097" s="1091">
        <f>VLOOKUP($B1097,DG!A:D,DG!$B$2,)</f>
        <v>0</v>
      </c>
      <c r="F1097" s="1092" t="str">
        <f>VLOOKUP($B1097,DG!A:D,DG!$C$2,)</f>
        <v>Giá đỡ cáp ngầm (V63x6)</v>
      </c>
      <c r="G1097" s="1091" t="str">
        <f>VLOOKUP($B1097,DG!A:D,DG!$D$2,)</f>
        <v>bộ</v>
      </c>
      <c r="H1097" s="1851">
        <f>H1092*0</f>
        <v>0</v>
      </c>
      <c r="I1097" s="1259">
        <f t="shared" si="76"/>
        <v>0</v>
      </c>
      <c r="J1097" s="1081"/>
      <c r="K1097" s="1081"/>
      <c r="L1097" s="1082"/>
      <c r="M1097" s="975">
        <v>160</v>
      </c>
    </row>
    <row r="1098" spans="1:14" s="1083" customFormat="1" ht="25.2" hidden="1" customHeight="1">
      <c r="A1098" s="1153">
        <f t="shared" si="75"/>
        <v>0</v>
      </c>
      <c r="B1098" s="1154" t="s">
        <v>2144</v>
      </c>
      <c r="C1098" s="1154"/>
      <c r="D1098" s="1090"/>
      <c r="E1098" s="1091">
        <f>VLOOKUP($B1098,DG!A:D,DG!$B$2,)</f>
        <v>0</v>
      </c>
      <c r="F1098" s="1092" t="str">
        <f>VLOOKUP($B1098,DG!A:D,DG!$C$2,)</f>
        <v>Giá đỡ cáp trung hạ thế</v>
      </c>
      <c r="G1098" s="1091" t="str">
        <f>VLOOKUP($B1098,DG!A:D,DG!$D$2,)</f>
        <v>bộ</v>
      </c>
      <c r="H1098" s="1851">
        <f>H1092</f>
        <v>0</v>
      </c>
      <c r="I1098" s="1259">
        <f t="shared" si="76"/>
        <v>0</v>
      </c>
      <c r="J1098" s="1081"/>
      <c r="K1098" s="1081"/>
      <c r="L1098" s="1082"/>
      <c r="M1098" s="975">
        <v>160</v>
      </c>
    </row>
    <row r="1099" spans="1:14" s="1083" customFormat="1" ht="25.2" hidden="1" customHeight="1">
      <c r="A1099" s="1153">
        <f t="shared" si="75"/>
        <v>0</v>
      </c>
      <c r="B1099" s="1324" t="s">
        <v>1413</v>
      </c>
      <c r="C1099" s="1324"/>
      <c r="D1099" s="1078"/>
      <c r="E1099" s="1091" t="str">
        <f>VLOOKUP($B1099,DG!A:D,DG!$B$2,)</f>
        <v>05.6101</v>
      </c>
      <c r="F1099" s="1092" t="str">
        <f>VLOOKUP($B1099,DG!A:D,DG!$C$2,)</f>
        <v>Lắp Giá đỡ cáp</v>
      </c>
      <c r="G1099" s="1091" t="str">
        <f>VLOOKUP($B1099,DG!A:D,DG!$D$2,)</f>
        <v>bộ</v>
      </c>
      <c r="H1099" s="1851">
        <f>H1097+H1098</f>
        <v>0</v>
      </c>
      <c r="I1099" s="1259">
        <f t="shared" si="76"/>
        <v>0</v>
      </c>
      <c r="J1099" s="1081"/>
      <c r="K1099" s="1081"/>
      <c r="L1099" s="1082"/>
      <c r="M1099" s="975">
        <v>160</v>
      </c>
    </row>
    <row r="1100" spans="1:14" s="1083" customFormat="1" ht="25.2" hidden="1" customHeight="1">
      <c r="A1100" s="1153">
        <f t="shared" si="75"/>
        <v>0</v>
      </c>
      <c r="B1100" s="1324" t="s">
        <v>289</v>
      </c>
      <c r="C1100" s="1324"/>
      <c r="D1100" s="1090"/>
      <c r="E1100" s="1091" t="str">
        <f>VLOOKUP($B1100,DG!A:D,DG!$B$2,)</f>
        <v>06.3191</v>
      </c>
      <c r="F1100" s="1092" t="str">
        <f>VLOOKUP($B1100,DG!A:D,DG!$C$2,)</f>
        <v>Bảng tên trạm, bảng báo nguy hiểm + đinh vít</v>
      </c>
      <c r="G1100" s="1091" t="str">
        <f>VLOOKUP($B1100,DG!A:D,DG!$D$2,)</f>
        <v>bộ</v>
      </c>
      <c r="H1100" s="1851">
        <f>H1092*0</f>
        <v>0</v>
      </c>
      <c r="I1100" s="1259">
        <f t="shared" si="76"/>
        <v>0</v>
      </c>
      <c r="J1100" s="1081"/>
      <c r="K1100" s="1081"/>
      <c r="L1100" s="1082"/>
      <c r="M1100" s="975">
        <v>160</v>
      </c>
    </row>
    <row r="1101" spans="1:14" s="1083" customFormat="1" ht="25.2" hidden="1" customHeight="1">
      <c r="A1101" s="1153">
        <f t="shared" si="75"/>
        <v>0</v>
      </c>
      <c r="B1101" s="1324"/>
      <c r="C1101" s="1324"/>
      <c r="D1101" s="1084">
        <f>IF(H1101&gt;0,D1092+1,D1092)</f>
        <v>0</v>
      </c>
      <c r="E1101" s="1085"/>
      <c r="F1101" s="1094" t="s">
        <v>3744</v>
      </c>
      <c r="G1101" s="1084" t="s">
        <v>2391</v>
      </c>
      <c r="H1101" s="1867">
        <v>0</v>
      </c>
      <c r="I1101" s="1259">
        <f t="shared" si="76"/>
        <v>0</v>
      </c>
      <c r="J1101" s="1081"/>
      <c r="K1101" s="1081"/>
      <c r="L1101" s="1082"/>
      <c r="M1101" s="975">
        <v>160</v>
      </c>
    </row>
    <row r="1102" spans="1:14" s="1083" customFormat="1" ht="25.2" hidden="1" customHeight="1">
      <c r="A1102" s="1153">
        <f t="shared" si="75"/>
        <v>0</v>
      </c>
      <c r="B1102" s="1324"/>
      <c r="C1102" s="1324"/>
      <c r="D1102" s="1078"/>
      <c r="E1102" s="1088"/>
      <c r="F1102" s="1368" t="s">
        <v>2285</v>
      </c>
      <c r="G1102" s="1078"/>
      <c r="H1102" s="1868"/>
      <c r="I1102" s="1259">
        <f t="shared" si="76"/>
        <v>0</v>
      </c>
      <c r="J1102" s="1081"/>
      <c r="K1102" s="1081"/>
      <c r="L1102" s="1082"/>
      <c r="M1102" s="975">
        <v>160</v>
      </c>
    </row>
    <row r="1103" spans="1:14" s="1083" customFormat="1" ht="25.2" hidden="1" customHeight="1">
      <c r="A1103" s="1153">
        <f t="shared" si="75"/>
        <v>0</v>
      </c>
      <c r="B1103" s="1154" t="s">
        <v>470</v>
      </c>
      <c r="C1103" s="1154"/>
      <c r="D1103" s="1090"/>
      <c r="E1103" s="1079">
        <f>VLOOKUP($B1103,DG!A:D,DG!$B$2,)</f>
        <v>0</v>
      </c>
      <c r="F1103" s="1080" t="str">
        <f>VLOOKUP($B1103,DG!A:D,DG!$C$2,)&amp;": trong möông vaø leân MBA"</f>
        <v>Cáp 24kV C/XLPE/DSTA/PVC3x50: trong möông vaø leân MBA</v>
      </c>
      <c r="G1103" s="1079" t="str">
        <f>VLOOKUP($B1103,DG!A:D,DG!$D$2,)</f>
        <v>mét</v>
      </c>
      <c r="H1103" s="1851">
        <f>H1082+H1101*8</f>
        <v>0</v>
      </c>
      <c r="I1103" s="1259">
        <f t="shared" si="76"/>
        <v>0</v>
      </c>
      <c r="J1103" s="1081"/>
      <c r="K1103" s="1081"/>
      <c r="L1103" s="1082"/>
      <c r="M1103" s="975">
        <v>160</v>
      </c>
    </row>
    <row r="1104" spans="1:14" s="1083" customFormat="1" ht="25.2" hidden="1" customHeight="1">
      <c r="A1104" s="1153">
        <f t="shared" si="75"/>
        <v>0</v>
      </c>
      <c r="B1104" s="1154" t="s">
        <v>271</v>
      </c>
      <c r="C1104" s="1154"/>
      <c r="D1104" s="1090"/>
      <c r="E1104" s="1079">
        <f>VLOOKUP($B1104,DG!A:D,DG!$B$2,)</f>
        <v>0</v>
      </c>
      <c r="F1104" s="1080" t="str">
        <f>VLOOKUP($B1104,DG!A:D,DG!$C$2,)&amp;": trung tính"</f>
        <v>Cáp 24KV C/XLPE/PVC 50mm2: trung tính</v>
      </c>
      <c r="G1104" s="1079" t="str">
        <f>VLOOKUP($B1104,DG!A:D,DG!$D$2,)</f>
        <v>mét</v>
      </c>
      <c r="H1104" s="1851">
        <f>H1103</f>
        <v>0</v>
      </c>
      <c r="I1104" s="1259">
        <f t="shared" si="76"/>
        <v>0</v>
      </c>
      <c r="J1104" s="1081"/>
      <c r="K1104" s="1081"/>
      <c r="L1104" s="1082"/>
      <c r="M1104" s="975">
        <v>160</v>
      </c>
    </row>
    <row r="1105" spans="1:13" s="1083" customFormat="1" ht="25.2" hidden="1" customHeight="1">
      <c r="A1105" s="1153">
        <f t="shared" si="75"/>
        <v>0</v>
      </c>
      <c r="B1105" s="1154" t="s">
        <v>271</v>
      </c>
      <c r="C1105" s="1154"/>
      <c r="D1105" s="1090"/>
      <c r="E1105" s="1079">
        <f>VLOOKUP($B1105,DG!A:D,DG!$B$2,)</f>
        <v>0</v>
      </c>
      <c r="F1105" s="1080" t="str">
        <f>VLOOKUP($B1105,DG!A:D,DG!$C$2,)&amp;": 0,5m/pha töø FCO xuoáng MBA"</f>
        <v>Cáp 24KV C/XLPE/PVC 50mm2: 0,5m/pha töø FCO xuoáng MBA</v>
      </c>
      <c r="G1105" s="1079" t="str">
        <f>VLOOKUP($B1105,DG!A:D,DG!$D$2,)</f>
        <v>mét</v>
      </c>
      <c r="H1105" s="1851">
        <f>H1101*0.5*3*0</f>
        <v>0</v>
      </c>
      <c r="I1105" s="1259">
        <f t="shared" si="76"/>
        <v>0</v>
      </c>
      <c r="J1105" s="1081"/>
      <c r="K1105" s="1081"/>
      <c r="L1105" s="1082"/>
      <c r="M1105" s="975">
        <v>160</v>
      </c>
    </row>
    <row r="1106" spans="1:13" s="1083" customFormat="1" ht="25.2" hidden="1" customHeight="1">
      <c r="A1106" s="1153">
        <f t="shared" si="75"/>
        <v>0</v>
      </c>
      <c r="B1106" s="1154" t="s">
        <v>1355</v>
      </c>
      <c r="C1106" s="1154"/>
      <c r="D1106" s="1090"/>
      <c r="E1106" s="1079">
        <f>VLOOKUP($B1106,DG!A:D,DG!$B$2,)</f>
        <v>0</v>
      </c>
      <c r="F1106" s="1080" t="str">
        <f>VLOOKUP($B1106,DG!A:D,DG!$C$2,)</f>
        <v>Đầu cáp ngầm 24KV 3x50mm2 outdoor</v>
      </c>
      <c r="G1106" s="1079" t="str">
        <f>VLOOKUP($B1106,DG!A:D,DG!$D$2,)</f>
        <v>cái</v>
      </c>
      <c r="H1106" s="1851">
        <f>H1101</f>
        <v>0</v>
      </c>
      <c r="I1106" s="1259">
        <f t="shared" si="76"/>
        <v>0</v>
      </c>
      <c r="J1106" s="1081"/>
      <c r="K1106" s="1081"/>
      <c r="L1106" s="1082"/>
      <c r="M1106" s="975">
        <v>160</v>
      </c>
    </row>
    <row r="1107" spans="1:13" s="1083" customFormat="1" ht="25.2" hidden="1" customHeight="1">
      <c r="A1107" s="1153">
        <f t="shared" si="75"/>
        <v>0</v>
      </c>
      <c r="B1107" s="1154" t="s">
        <v>470</v>
      </c>
      <c r="C1107" s="1154"/>
      <c r="D1107" s="1090"/>
      <c r="E1107" s="1079">
        <f>VLOOKUP($B1107,DG!A:D,DG!$B$2,)</f>
        <v>0</v>
      </c>
      <c r="F1107" s="1080" t="str">
        <f>VLOOKUP($B1107,DG!A:D,DG!$C$2,)&amp;": töø tuû LBS ñeán MBA"</f>
        <v>Cáp 24kV C/XLPE/DSTA/PVC3x50: töø tuû LBS ñeán MBA</v>
      </c>
      <c r="G1107" s="1079" t="str">
        <f>VLOOKUP($B1107,DG!A:D,DG!$D$2,)</f>
        <v>mét</v>
      </c>
      <c r="H1107" s="1851">
        <f>(1.2+2.4)*H1101*0</f>
        <v>0</v>
      </c>
      <c r="I1107" s="1259">
        <f t="shared" si="76"/>
        <v>0</v>
      </c>
      <c r="J1107" s="1081"/>
      <c r="K1107" s="1081"/>
      <c r="L1107" s="1082"/>
      <c r="M1107" s="975">
        <v>160</v>
      </c>
    </row>
    <row r="1108" spans="1:13" s="1083" customFormat="1" ht="25.2" hidden="1" customHeight="1">
      <c r="A1108" s="1153">
        <f t="shared" si="75"/>
        <v>0</v>
      </c>
      <c r="B1108" s="1154" t="s">
        <v>271</v>
      </c>
      <c r="C1108" s="1154"/>
      <c r="D1108" s="1090"/>
      <c r="E1108" s="1079">
        <f>VLOOKUP($B1108,DG!A:D,DG!$B$2,)</f>
        <v>0</v>
      </c>
      <c r="F1108" s="1080" t="str">
        <f>VLOOKUP($B1108,DG!A:D,DG!$C$2,)&amp;": töø tuû LBS ñeán MBA"</f>
        <v>Cáp 24KV C/XLPE/PVC 50mm2: töø tuû LBS ñeán MBA</v>
      </c>
      <c r="G1108" s="1079" t="str">
        <f>VLOOKUP($B1108,DG!A:D,DG!$D$2,)</f>
        <v>mét</v>
      </c>
      <c r="H1108" s="1851">
        <f>H1101*1.2*0</f>
        <v>0</v>
      </c>
      <c r="I1108" s="1259">
        <f t="shared" si="76"/>
        <v>0</v>
      </c>
      <c r="J1108" s="1081"/>
      <c r="K1108" s="1081"/>
      <c r="L1108" s="1082"/>
      <c r="M1108" s="975">
        <v>160</v>
      </c>
    </row>
    <row r="1109" spans="1:13" s="1083" customFormat="1" ht="25.2" hidden="1" customHeight="1">
      <c r="A1109" s="1153">
        <f t="shared" si="75"/>
        <v>0</v>
      </c>
      <c r="B1109" s="1154" t="s">
        <v>1356</v>
      </c>
      <c r="C1109" s="1154"/>
      <c r="D1109" s="1090"/>
      <c r="E1109" s="1079">
        <f>VLOOKUP($B1109,DG!A:D,DG!$B$2,)</f>
        <v>0</v>
      </c>
      <c r="F1109" s="1080" t="str">
        <f>VLOOKUP($B1109,DG!A:D,DG!$C$2,)</f>
        <v>Đầu cáp ngầm 24KV 3x50mm2 indoor</v>
      </c>
      <c r="G1109" s="1079" t="str">
        <f>VLOOKUP($B1109,DG!A:D,DG!$D$2,)</f>
        <v>cái</v>
      </c>
      <c r="H1109" s="1851">
        <f>H1101</f>
        <v>0</v>
      </c>
      <c r="I1109" s="1259">
        <f t="shared" si="76"/>
        <v>0</v>
      </c>
      <c r="J1109" s="1081"/>
      <c r="K1109" s="1081"/>
      <c r="L1109" s="1082"/>
      <c r="M1109" s="975">
        <v>160</v>
      </c>
    </row>
    <row r="1110" spans="1:13" s="1083" customFormat="1" ht="25.2" hidden="1" customHeight="1">
      <c r="A1110" s="1153">
        <f t="shared" si="75"/>
        <v>0</v>
      </c>
      <c r="B1110" s="1154" t="s">
        <v>1678</v>
      </c>
      <c r="C1110" s="1154"/>
      <c r="D1110" s="1090"/>
      <c r="E1110" s="1079" t="str">
        <f>VLOOKUP($B1110,DG!A:D,DG!$B$2,)</f>
        <v>07.4312</v>
      </c>
      <c r="F1110" s="1080" t="str">
        <f>VLOOKUP($B1110,DG!A:D,DG!$C$2,)</f>
        <v>Lắp đầu cáp trung thế 3x50mm2, 70mm2</v>
      </c>
      <c r="G1110" s="1079" t="str">
        <f>VLOOKUP($B1110,DG!A:D,DG!$D$2,)</f>
        <v>cái</v>
      </c>
      <c r="H1110" s="1851">
        <f>H1106+H1109</f>
        <v>0</v>
      </c>
      <c r="I1110" s="1259">
        <f t="shared" si="76"/>
        <v>0</v>
      </c>
      <c r="J1110" s="1081"/>
      <c r="K1110" s="1081"/>
      <c r="L1110" s="1082"/>
      <c r="M1110" s="975">
        <v>160</v>
      </c>
    </row>
    <row r="1111" spans="1:13" s="1083" customFormat="1" ht="25.2" hidden="1" customHeight="1">
      <c r="A1111" s="1153">
        <f t="shared" si="75"/>
        <v>0</v>
      </c>
      <c r="B1111" s="1154" t="s">
        <v>1204</v>
      </c>
      <c r="C1111" s="1154"/>
      <c r="D1111" s="1090"/>
      <c r="E1111" s="1079" t="str">
        <f>VLOOKUP($B1111,DG!A:D,DG!$B$2,)</f>
        <v>03.1405</v>
      </c>
      <c r="F1111" s="1080" t="str">
        <f>VLOOKUP($B1111,DG!A:D,DG!$C$2,)</f>
        <v>Lắp cáp trong ống bảo vệ trong TBA loại &lt;=6kg</v>
      </c>
      <c r="G1111" s="1079" t="str">
        <f>VLOOKUP($B1111,DG!A:D,DG!$D$2,)</f>
        <v>mét</v>
      </c>
      <c r="H1111" s="1851">
        <f>H1103+H1107</f>
        <v>0</v>
      </c>
      <c r="I1111" s="1259">
        <f t="shared" si="76"/>
        <v>0</v>
      </c>
      <c r="J1111" s="1081"/>
      <c r="K1111" s="1081"/>
      <c r="L1111" s="1082"/>
      <c r="M1111" s="975">
        <v>160</v>
      </c>
    </row>
    <row r="1112" spans="1:13" s="1083" customFormat="1" ht="25.2" hidden="1" customHeight="1">
      <c r="A1112" s="1153">
        <f t="shared" si="75"/>
        <v>0</v>
      </c>
      <c r="B1112" s="1154" t="s">
        <v>1201</v>
      </c>
      <c r="C1112" s="1154"/>
      <c r="D1112" s="1090"/>
      <c r="E1112" s="1079" t="str">
        <f>VLOOKUP($B1112,DG!A:D,DG!$B$2,)</f>
        <v>03.1402</v>
      </c>
      <c r="F1112" s="1080" t="str">
        <f>VLOOKUP($B1112,DG!A:D,DG!$C$2,)</f>
        <v>Lắp cáp trong ống bảo vệ trong TBA loại &lt;=2kg</v>
      </c>
      <c r="G1112" s="1079" t="str">
        <f>VLOOKUP($B1112,DG!A:D,DG!$D$2,)</f>
        <v>mét</v>
      </c>
      <c r="H1112" s="1851">
        <f>H1104+H1108</f>
        <v>0</v>
      </c>
      <c r="I1112" s="1259">
        <f t="shared" si="76"/>
        <v>0</v>
      </c>
      <c r="J1112" s="1081"/>
      <c r="K1112" s="1081"/>
      <c r="L1112" s="1082"/>
      <c r="M1112" s="975">
        <v>160</v>
      </c>
    </row>
    <row r="1113" spans="1:13" s="1083" customFormat="1" ht="25.2" hidden="1" customHeight="1">
      <c r="A1113" s="1153">
        <f t="shared" si="75"/>
        <v>0</v>
      </c>
      <c r="B1113" s="1154" t="s">
        <v>1528</v>
      </c>
      <c r="C1113" s="1154"/>
      <c r="D1113" s="1090"/>
      <c r="E1113" s="1079" t="str">
        <f>VLOOKUP($B1113,DG!A:D,DG!$B$2,)</f>
        <v>04.4201</v>
      </c>
      <c r="F1113" s="1080" t="str">
        <f>VLOOKUP($B1113,DG!A:D,DG!$C$2,)</f>
        <v>Lắp cáp đồng xuống thiết bị D ≤ 95mm2</v>
      </c>
      <c r="G1113" s="1079" t="str">
        <f>VLOOKUP($B1113,DG!A:D,DG!$D$2,)</f>
        <v>m</v>
      </c>
      <c r="H1113" s="1851">
        <f>H1105</f>
        <v>0</v>
      </c>
      <c r="I1113" s="1259">
        <f t="shared" si="76"/>
        <v>0</v>
      </c>
      <c r="J1113" s="1081"/>
      <c r="K1113" s="1081"/>
      <c r="L1113" s="1082"/>
      <c r="M1113" s="975">
        <v>160</v>
      </c>
    </row>
    <row r="1114" spans="1:13" s="1083" customFormat="1" ht="25.2" hidden="1" customHeight="1">
      <c r="A1114" s="1153">
        <f t="shared" ref="A1114:A1177" si="78">IF(I1114&gt;0,1,0)</f>
        <v>0</v>
      </c>
      <c r="B1114" s="1154" t="s">
        <v>1352</v>
      </c>
      <c r="C1114" s="1154"/>
      <c r="D1114" s="1090"/>
      <c r="E1114" s="1079">
        <f>VLOOKUP($B1114,DG!A:D,DG!$B$2,)</f>
        <v>0</v>
      </c>
      <c r="F1114" s="1080" t="str">
        <f>VLOOKUP($B1114,DG!A:D,DG!$C$2,)</f>
        <v>Dây rút cáp</v>
      </c>
      <c r="G1114" s="1079" t="str">
        <f>VLOOKUP($B1114,DG!A:D,DG!$D$2,)</f>
        <v>bọc</v>
      </c>
      <c r="H1114" s="1851">
        <f>H1101*2</f>
        <v>0</v>
      </c>
      <c r="I1114" s="1259">
        <f t="shared" si="76"/>
        <v>0</v>
      </c>
      <c r="J1114" s="1081"/>
      <c r="K1114" s="1081"/>
      <c r="L1114" s="1082"/>
      <c r="M1114" s="975">
        <v>160</v>
      </c>
    </row>
    <row r="1115" spans="1:13" s="1083" customFormat="1" ht="25.2" hidden="1" customHeight="1">
      <c r="A1115" s="1153">
        <f t="shared" si="78"/>
        <v>0</v>
      </c>
      <c r="B1115" s="1324"/>
      <c r="C1115" s="1324"/>
      <c r="D1115" s="1084">
        <f>IF(H1115&gt;0,D1101+1,D1101)</f>
        <v>0</v>
      </c>
      <c r="E1115" s="1085"/>
      <c r="F1115" s="1094" t="s">
        <v>3745</v>
      </c>
      <c r="G1115" s="1084" t="s">
        <v>2391</v>
      </c>
      <c r="H1115" s="1867">
        <f>H943</f>
        <v>0</v>
      </c>
      <c r="I1115" s="1259">
        <f t="shared" si="76"/>
        <v>0</v>
      </c>
      <c r="J1115" s="1081"/>
      <c r="K1115" s="1081"/>
      <c r="L1115" s="1110"/>
      <c r="M1115" s="975">
        <v>160</v>
      </c>
    </row>
    <row r="1116" spans="1:13" s="1083" customFormat="1" ht="25.2" hidden="1" customHeight="1">
      <c r="A1116" s="1153">
        <f t="shared" si="78"/>
        <v>0</v>
      </c>
      <c r="B1116" s="1324"/>
      <c r="C1116" s="1324"/>
      <c r="D1116" s="1078"/>
      <c r="E1116" s="1088"/>
      <c r="F1116" s="1368" t="s">
        <v>2285</v>
      </c>
      <c r="G1116" s="1078"/>
      <c r="H1116" s="1868"/>
      <c r="I1116" s="1259">
        <f t="shared" si="76"/>
        <v>0</v>
      </c>
      <c r="J1116" s="1081"/>
      <c r="K1116" s="1081"/>
      <c r="L1116" s="1110"/>
      <c r="M1116" s="975">
        <v>160</v>
      </c>
    </row>
    <row r="1117" spans="1:13" s="1083" customFormat="1" ht="25.2" hidden="1" customHeight="1">
      <c r="A1117" s="1153">
        <f t="shared" si="78"/>
        <v>0</v>
      </c>
      <c r="B1117" s="1154" t="s">
        <v>697</v>
      </c>
      <c r="C1117" s="1154"/>
      <c r="D1117" s="1090"/>
      <c r="E1117" s="1079">
        <f>VLOOKUP($B1117,DG!A:D,DG!$B$2,)</f>
        <v>0</v>
      </c>
      <c r="F1117" s="1080" t="str">
        <f>VLOOKUP($B1117,DG!A:D,DG!$C$2,)&amp;": 9m/1pha"</f>
        <v>Cáp 24KV C/XLPE/PVC 25mm2: 9m/1pha</v>
      </c>
      <c r="G1117" s="1079" t="str">
        <f>VLOOKUP($B1117,DG!A:D,DG!$D$2,)</f>
        <v>mét</v>
      </c>
      <c r="H1117" s="1851">
        <f>H1115*(8)*3</f>
        <v>0</v>
      </c>
      <c r="I1117" s="1259">
        <f t="shared" si="76"/>
        <v>0</v>
      </c>
      <c r="J1117" s="1081"/>
      <c r="K1117" s="1081"/>
      <c r="L1117" s="1110"/>
      <c r="M1117" s="975">
        <v>160</v>
      </c>
    </row>
    <row r="1118" spans="1:13" s="1083" customFormat="1" ht="25.2" hidden="1" customHeight="1">
      <c r="A1118" s="1153">
        <f t="shared" si="78"/>
        <v>0</v>
      </c>
      <c r="B1118" s="1154" t="s">
        <v>697</v>
      </c>
      <c r="C1118" s="1154"/>
      <c r="D1118" s="1090"/>
      <c r="E1118" s="1079">
        <f>VLOOKUP($B1118,DG!A:D,DG!$B$2,)</f>
        <v>0</v>
      </c>
      <c r="F1118" s="1080" t="str">
        <f>VLOOKUP($B1118,DG!A:D,DG!$C$2,)&amp;": 1m/1pha ñaáu noái  LA"</f>
        <v>Cáp 24KV C/XLPE/PVC 25mm2: 1m/1pha ñaáu noái  LA</v>
      </c>
      <c r="G1118" s="1079" t="str">
        <f>VLOOKUP($B1118,DG!A:D,DG!$D$2,)</f>
        <v>mét</v>
      </c>
      <c r="H1118" s="1851">
        <f>H1115*3*1*0</f>
        <v>0</v>
      </c>
      <c r="I1118" s="1259">
        <f t="shared" si="76"/>
        <v>0</v>
      </c>
      <c r="J1118" s="1081"/>
      <c r="K1118" s="1081"/>
      <c r="L1118" s="1110"/>
      <c r="M1118" s="975">
        <v>160</v>
      </c>
    </row>
    <row r="1119" spans="1:13" s="1083" customFormat="1" ht="25.2" hidden="1" customHeight="1">
      <c r="A1119" s="1153">
        <f t="shared" si="78"/>
        <v>0</v>
      </c>
      <c r="B1119" s="1154" t="s">
        <v>1115</v>
      </c>
      <c r="C1119" s="1154"/>
      <c r="D1119" s="1090"/>
      <c r="E1119" s="1079">
        <f>VLOOKUP($B1119,DG!A:D,DG!$B$2,)</f>
        <v>0</v>
      </c>
      <c r="F1119" s="1080" t="str">
        <f>VLOOKUP($B1119,DG!A:D,DG!$C$2,)</f>
        <v>Kẹp ép cỡ dây 25mm2</v>
      </c>
      <c r="G1119" s="1079" t="str">
        <f>VLOOKUP($B1119,DG!A:D,DG!$D$2,)</f>
        <v>cái</v>
      </c>
      <c r="H1119" s="1851">
        <f>$H$1115*3*2*0</f>
        <v>0</v>
      </c>
      <c r="I1119" s="1259">
        <f t="shared" si="76"/>
        <v>0</v>
      </c>
      <c r="J1119" s="1081"/>
      <c r="K1119" s="1081"/>
      <c r="L1119" s="1082"/>
      <c r="M1119" s="975">
        <v>160</v>
      </c>
    </row>
    <row r="1120" spans="1:13" s="1083" customFormat="1" ht="25.2" hidden="1" customHeight="1">
      <c r="A1120" s="1153">
        <f t="shared" si="78"/>
        <v>0</v>
      </c>
      <c r="B1120" s="1154" t="s">
        <v>550</v>
      </c>
      <c r="C1120" s="1154"/>
      <c r="D1120" s="1090"/>
      <c r="E1120" s="1079">
        <f>VLOOKUP($B1120,DG!A:D,DG!$B$2,)</f>
        <v>0</v>
      </c>
      <c r="F1120" s="1080" t="str">
        <f>VLOOKUP($B1120,DG!A:D,DG!$C$2,)&amp;" + LA"</f>
        <v>Bass LI bắt FCO + LA</v>
      </c>
      <c r="G1120" s="1079" t="str">
        <f>VLOOKUP($B1120,DG!A:D,DG!$D$2,)</f>
        <v>Bộ</v>
      </c>
      <c r="H1120" s="1851">
        <f>$H$1115*3*2*0</f>
        <v>0</v>
      </c>
      <c r="I1120" s="1259">
        <f t="shared" si="76"/>
        <v>0</v>
      </c>
      <c r="J1120" s="1081"/>
      <c r="K1120" s="1081"/>
      <c r="L1120" s="1082"/>
      <c r="M1120" s="975">
        <v>160</v>
      </c>
    </row>
    <row r="1121" spans="1:13" s="1083" customFormat="1" ht="25.2" hidden="1" customHeight="1">
      <c r="A1121" s="1153">
        <f t="shared" si="78"/>
        <v>0</v>
      </c>
      <c r="B1121" s="1154" t="s">
        <v>1482</v>
      </c>
      <c r="C1121" s="1154"/>
      <c r="D1121" s="1090"/>
      <c r="E1121" s="1079" t="str">
        <f>VLOOKUP($B1121,DG!A:D,DG!$B$2,)</f>
        <v>04.3007</v>
      </c>
      <c r="F1121" s="1080" t="str">
        <f>VLOOKUP($B1121,DG!A:D,DG!$C$2,)</f>
        <v>Kẹp quai 2/0</v>
      </c>
      <c r="G1121" s="1079" t="str">
        <f>VLOOKUP($B1121,DG!A:D,DG!$D$2,)</f>
        <v>cái</v>
      </c>
      <c r="H1121" s="1851">
        <f>$H$1115*3</f>
        <v>0</v>
      </c>
      <c r="I1121" s="1259">
        <f t="shared" si="76"/>
        <v>0</v>
      </c>
      <c r="J1121" s="1081"/>
      <c r="K1121" s="1081"/>
      <c r="L1121" s="1110"/>
      <c r="M1121" s="975">
        <v>160</v>
      </c>
    </row>
    <row r="1122" spans="1:13" s="1083" customFormat="1" ht="25.2" hidden="1" customHeight="1">
      <c r="A1122" s="1153">
        <f t="shared" si="78"/>
        <v>0</v>
      </c>
      <c r="B1122" s="1154" t="s">
        <v>1480</v>
      </c>
      <c r="C1122" s="1154"/>
      <c r="D1122" s="1090"/>
      <c r="E1122" s="1079" t="str">
        <f>VLOOKUP($B1122,DG!A:D,DG!$B$2,)</f>
        <v>04.3007</v>
      </c>
      <c r="F1122" s="1080" t="str">
        <f>VLOOKUP($B1122,DG!A:D,DG!$C$2,)&amp;": "</f>
        <v xml:space="preserve">Kẹp hotline 2/0: </v>
      </c>
      <c r="G1122" s="1079" t="str">
        <f>VLOOKUP($B1122,DG!A:D,DG!$D$2,)</f>
        <v>cái</v>
      </c>
      <c r="H1122" s="1851">
        <f>H1121</f>
        <v>0</v>
      </c>
      <c r="I1122" s="1259">
        <f t="shared" si="76"/>
        <v>0</v>
      </c>
      <c r="J1122" s="1081"/>
      <c r="K1122" s="1081"/>
      <c r="L1122" s="1110"/>
      <c r="M1122" s="975">
        <v>160</v>
      </c>
    </row>
    <row r="1123" spans="1:13" s="1083" customFormat="1" ht="25.2" hidden="1" customHeight="1">
      <c r="A1123" s="1153">
        <f t="shared" si="78"/>
        <v>0</v>
      </c>
      <c r="B1123" s="1324" t="s">
        <v>4374</v>
      </c>
      <c r="C1123" s="1324"/>
      <c r="D1123" s="1090"/>
      <c r="E1123" s="1079">
        <f>VLOOKUP($B1123,DG!A:D,DG!$B$2,)</f>
        <v>0</v>
      </c>
      <c r="F1123" s="1080" t="str">
        <f>VLOOKUP($B1123,DG!A:D,DG!$C$2,)</f>
        <v>Chụp cách điện đầu cực MBA</v>
      </c>
      <c r="G1123" s="1079" t="str">
        <f>VLOOKUP($B1123,DG!A:D,DG!$D$2,)</f>
        <v>cái</v>
      </c>
      <c r="H1123" s="1851">
        <v>3</v>
      </c>
      <c r="I1123" s="1259">
        <f t="shared" si="76"/>
        <v>0</v>
      </c>
      <c r="J1123" s="1081"/>
      <c r="K1123" s="1081"/>
      <c r="L1123" s="1082"/>
      <c r="M1123" s="975">
        <v>160</v>
      </c>
    </row>
    <row r="1124" spans="1:13" s="1083" customFormat="1" ht="25.2" hidden="1" customHeight="1">
      <c r="A1124" s="1153">
        <f t="shared" si="78"/>
        <v>0</v>
      </c>
      <c r="B1124" s="1324" t="s">
        <v>4368</v>
      </c>
      <c r="C1124" s="1324"/>
      <c r="D1124" s="1090"/>
      <c r="E1124" s="1079">
        <f>VLOOKUP($B1124,DG!A:D,DG!$B$2,)</f>
        <v>0</v>
      </c>
      <c r="F1124" s="1080" t="str">
        <f>VLOOKUP($B1124,DG!A:D,DG!$C$2,)</f>
        <v>Chụp cách điện đầu cực FCO (trên + dưới)</v>
      </c>
      <c r="G1124" s="1079" t="str">
        <f>VLOOKUP($B1124,DG!A:D,DG!$D$2,)</f>
        <v>bộ</v>
      </c>
      <c r="H1124" s="1851">
        <v>3</v>
      </c>
      <c r="I1124" s="1259">
        <f t="shared" si="76"/>
        <v>0</v>
      </c>
      <c r="J1124" s="1081"/>
      <c r="K1124" s="1081"/>
      <c r="L1124" s="1082"/>
      <c r="M1124" s="975">
        <v>160</v>
      </c>
    </row>
    <row r="1125" spans="1:13" s="1083" customFormat="1" ht="25.2" hidden="1" customHeight="1">
      <c r="A1125" s="1153">
        <f t="shared" si="78"/>
        <v>0</v>
      </c>
      <c r="B1125" s="1324" t="s">
        <v>4376</v>
      </c>
      <c r="C1125" s="1324"/>
      <c r="D1125" s="1090"/>
      <c r="E1125" s="1079">
        <f>VLOOKUP($B1125,DG!A:D,DG!$B$2,)</f>
        <v>0</v>
      </c>
      <c r="F1125" s="1080" t="str">
        <f>VLOOKUP($B1125,DG!A:D,DG!$C$2,)</f>
        <v>Chụp cách điện đầu cực LA</v>
      </c>
      <c r="G1125" s="1079" t="str">
        <f>VLOOKUP($B1125,DG!A:D,DG!$D$2,)</f>
        <v>cái</v>
      </c>
      <c r="H1125" s="1851">
        <v>3</v>
      </c>
      <c r="I1125" s="1259">
        <f t="shared" si="76"/>
        <v>0</v>
      </c>
      <c r="J1125" s="1081"/>
      <c r="K1125" s="1081"/>
      <c r="L1125" s="1082"/>
      <c r="M1125" s="975">
        <v>160</v>
      </c>
    </row>
    <row r="1126" spans="1:13" s="1083" customFormat="1" ht="25.2" hidden="1" customHeight="1">
      <c r="A1126" s="1153">
        <f t="shared" si="78"/>
        <v>0</v>
      </c>
      <c r="B1126" s="1154" t="s">
        <v>696</v>
      </c>
      <c r="C1126" s="1154"/>
      <c r="D1126" s="1110"/>
      <c r="E1126" s="1079">
        <f>VLOOKUP($B1126,DG!A:D,DG!$B$2,)</f>
        <v>0</v>
      </c>
      <c r="F1126" s="1080" t="str">
        <f>VLOOKUP($B1126,DG!A:D,DG!$C$2,)</f>
        <v xml:space="preserve">Sứ đứng 24KV </v>
      </c>
      <c r="G1126" s="1079" t="str">
        <f>VLOOKUP($B1126,DG!A:D,DG!$D$2,)</f>
        <v>cái</v>
      </c>
      <c r="H1126" s="1851">
        <v>3</v>
      </c>
      <c r="I1126" s="1259">
        <f t="shared" si="76"/>
        <v>0</v>
      </c>
      <c r="J1126" s="1081"/>
      <c r="K1126" s="1081"/>
      <c r="L1126" s="1110"/>
      <c r="M1126" s="975">
        <v>160</v>
      </c>
    </row>
    <row r="1127" spans="1:13" s="1083" customFormat="1" ht="25.2" hidden="1" customHeight="1">
      <c r="A1127" s="1153">
        <f t="shared" si="78"/>
        <v>0</v>
      </c>
      <c r="B1127" s="1154" t="s">
        <v>1268</v>
      </c>
      <c r="C1127" s="1154"/>
      <c r="D1127" s="1090"/>
      <c r="E1127" s="1079">
        <f>VLOOKUP($B1127,DG!A:D,DG!$B$2,)</f>
        <v>0</v>
      </c>
      <c r="F1127" s="1080" t="str">
        <f>VLOOKUP($B1127,DG!A:D,DG!$C$2,)</f>
        <v>Chân sứ đứng D20</v>
      </c>
      <c r="G1127" s="1079" t="str">
        <f>VLOOKUP($B1127,DG!A:D,DG!$D$2,)</f>
        <v>cái</v>
      </c>
      <c r="H1127" s="2242">
        <f>H1126</f>
        <v>3</v>
      </c>
      <c r="I1127" s="1259">
        <f t="shared" si="76"/>
        <v>0</v>
      </c>
      <c r="J1127" s="1081"/>
      <c r="K1127" s="1081"/>
      <c r="L1127" s="1110"/>
      <c r="M1127" s="975">
        <v>160</v>
      </c>
    </row>
    <row r="1128" spans="1:13" s="1083" customFormat="1" ht="25.2" hidden="1" customHeight="1">
      <c r="A1128" s="1153">
        <f t="shared" si="78"/>
        <v>0</v>
      </c>
      <c r="B1128" s="1154" t="s">
        <v>439</v>
      </c>
      <c r="C1128" s="1154"/>
      <c r="D1128" s="1090"/>
      <c r="E1128" s="1079">
        <f>VLOOKUP($B1128,DG!A:D,DG!$B$2,)</f>
        <v>0</v>
      </c>
      <c r="F1128" s="1080" t="str">
        <f>VLOOKUP($B1128,DG!A:D,DG!$C$2,)</f>
        <v>Sứ treo polymer</v>
      </c>
      <c r="G1128" s="1079" t="str">
        <f>VLOOKUP($B1128,DG!A:D,DG!$D$2,)</f>
        <v>chuỗi</v>
      </c>
      <c r="H1128" s="1851">
        <f>H1115*6*0</f>
        <v>0</v>
      </c>
      <c r="I1128" s="1259">
        <f t="shared" ref="I1128:I1195" si="79">IF(M1128=$M$23,H1128+J1128-K1128,0)</f>
        <v>0</v>
      </c>
      <c r="J1128" s="1081"/>
      <c r="K1128" s="1081"/>
      <c r="L1128" s="1110"/>
      <c r="M1128" s="975">
        <v>160</v>
      </c>
    </row>
    <row r="1129" spans="1:13" s="1083" customFormat="1" ht="25.2" hidden="1" customHeight="1">
      <c r="A1129" s="1153">
        <f t="shared" si="78"/>
        <v>0</v>
      </c>
      <c r="B1129" s="1154" t="s">
        <v>1568</v>
      </c>
      <c r="C1129" s="1154"/>
      <c r="D1129" s="1090"/>
      <c r="E1129" s="1079" t="str">
        <f>VLOOKUP($B1129,DG!A:D,DG!$B$2,)</f>
        <v>06.1115</v>
      </c>
      <c r="F1129" s="1162" t="str">
        <f>VLOOKUP($B1129,DG!A:D,DG!$C$2,)</f>
        <v>Lắp sứ đứng 24KV</v>
      </c>
      <c r="G1129" s="1079" t="str">
        <f>VLOOKUP($B1129,DG!A:D,DG!$D$2,)</f>
        <v>bộ</v>
      </c>
      <c r="H1129" s="2242">
        <f>H1127</f>
        <v>3</v>
      </c>
      <c r="I1129" s="1259">
        <f t="shared" si="79"/>
        <v>0</v>
      </c>
      <c r="J1129" s="1081"/>
      <c r="K1129" s="1081"/>
      <c r="L1129" s="1110"/>
      <c r="M1129" s="975">
        <v>160</v>
      </c>
    </row>
    <row r="1130" spans="1:13" s="1083" customFormat="1" ht="25.2" hidden="1" customHeight="1">
      <c r="A1130" s="1153">
        <f t="shared" si="78"/>
        <v>0</v>
      </c>
      <c r="B1130" s="1154" t="s">
        <v>235</v>
      </c>
      <c r="C1130" s="1154"/>
      <c r="D1130" s="1090"/>
      <c r="E1130" s="1079" t="str">
        <f>VLOOKUP($B1130,DG!A:D,DG!$B$2,)</f>
        <v>06.1115</v>
      </c>
      <c r="F1130" s="1080" t="str">
        <f>VLOOKUP($B1130,DG!A:D,DG!$C$2,)</f>
        <v>Tháo sứ đứng 24KV</v>
      </c>
      <c r="G1130" s="1079" t="str">
        <f>VLOOKUP($B1130,DG!A:D,DG!$D$2,)</f>
        <v>bộ</v>
      </c>
      <c r="H1130" s="1851"/>
      <c r="I1130" s="1259">
        <f t="shared" si="79"/>
        <v>0</v>
      </c>
      <c r="J1130" s="1081"/>
      <c r="K1130" s="1081"/>
      <c r="L1130" s="1110"/>
      <c r="M1130" s="975">
        <v>160</v>
      </c>
    </row>
    <row r="1131" spans="1:13" s="1083" customFormat="1" ht="25.2" hidden="1" customHeight="1">
      <c r="A1131" s="1153">
        <f t="shared" si="78"/>
        <v>0</v>
      </c>
      <c r="B1131" s="1154" t="s">
        <v>1510</v>
      </c>
      <c r="C1131" s="1154"/>
      <c r="D1131" s="1090"/>
      <c r="E1131" s="1079" t="str">
        <f>VLOOKUP($B1131,DG!A:D,DG!$B$2,)</f>
        <v>06.2201</v>
      </c>
      <c r="F1131" s="1080" t="str">
        <f>VLOOKUP($B1131,DG!A:D,DG!$C$2,)</f>
        <v>Lắp chuỗi sứ néo Polymer</v>
      </c>
      <c r="G1131" s="1079" t="str">
        <f>VLOOKUP($B1131,DG!A:D,DG!$D$2,)</f>
        <v>chuỗi</v>
      </c>
      <c r="H1131" s="1851">
        <f>H1128</f>
        <v>0</v>
      </c>
      <c r="I1131" s="1259">
        <f t="shared" si="79"/>
        <v>0</v>
      </c>
      <c r="J1131" s="1081"/>
      <c r="K1131" s="1081"/>
      <c r="L1131" s="1110"/>
      <c r="M1131" s="975">
        <v>160</v>
      </c>
    </row>
    <row r="1132" spans="1:13" s="1083" customFormat="1" ht="25.2" hidden="1" customHeight="1">
      <c r="A1132" s="1153">
        <f t="shared" si="78"/>
        <v>0</v>
      </c>
      <c r="B1132" s="1154" t="s">
        <v>1528</v>
      </c>
      <c r="C1132" s="1154"/>
      <c r="D1132" s="1090"/>
      <c r="E1132" s="1079" t="str">
        <f>VLOOKUP($B1132,DG!A:D,DG!$B$2,)</f>
        <v>04.4201</v>
      </c>
      <c r="F1132" s="1162" t="str">
        <f>VLOOKUP($B1132,DG!A:D,DG!$C$2,)</f>
        <v>Lắp cáp đồng xuống thiết bị D ≤ 95mm2</v>
      </c>
      <c r="G1132" s="1079" t="str">
        <f>VLOOKUP($B1132,DG!A:D,DG!$D$2,)</f>
        <v>m</v>
      </c>
      <c r="H1132" s="2242">
        <f>H1117+H1118</f>
        <v>0</v>
      </c>
      <c r="I1132" s="1259">
        <f t="shared" si="79"/>
        <v>0</v>
      </c>
      <c r="J1132" s="1081"/>
      <c r="K1132" s="1081"/>
      <c r="L1132" s="1110"/>
      <c r="M1132" s="975">
        <v>160</v>
      </c>
    </row>
    <row r="1133" spans="1:13" s="1083" customFormat="1" ht="25.2" hidden="1" customHeight="1">
      <c r="A1133" s="1153">
        <f t="shared" si="78"/>
        <v>0</v>
      </c>
      <c r="B1133" s="1324"/>
      <c r="C1133" s="1324"/>
      <c r="D1133" s="1084">
        <f>IF(H1133&gt;0,D1115+1,D1115)</f>
        <v>0</v>
      </c>
      <c r="E1133" s="1085"/>
      <c r="F1133" s="1094" t="s">
        <v>3726</v>
      </c>
      <c r="G1133" s="1084" t="s">
        <v>2391</v>
      </c>
      <c r="H1133" s="1867"/>
      <c r="I1133" s="1259">
        <f t="shared" si="79"/>
        <v>0</v>
      </c>
      <c r="J1133" s="1081"/>
      <c r="K1133" s="1081"/>
      <c r="L1133" s="1082"/>
      <c r="M1133" s="975">
        <v>160</v>
      </c>
    </row>
    <row r="1134" spans="1:13" s="1083" customFormat="1" ht="25.2" hidden="1" customHeight="1">
      <c r="A1134" s="1153">
        <f t="shared" si="78"/>
        <v>0</v>
      </c>
      <c r="B1134" s="1324"/>
      <c r="C1134" s="1324"/>
      <c r="D1134" s="1078"/>
      <c r="E1134" s="1088"/>
      <c r="F1134" s="1368" t="s">
        <v>2285</v>
      </c>
      <c r="G1134" s="1078"/>
      <c r="H1134" s="1868"/>
      <c r="I1134" s="1259">
        <f t="shared" si="79"/>
        <v>0</v>
      </c>
      <c r="J1134" s="1081"/>
      <c r="K1134" s="1081"/>
      <c r="L1134" s="1082"/>
      <c r="M1134" s="975">
        <v>160</v>
      </c>
    </row>
    <row r="1135" spans="1:13" s="1083" customFormat="1" ht="25.2" hidden="1" customHeight="1">
      <c r="A1135" s="1153">
        <f t="shared" si="78"/>
        <v>0</v>
      </c>
      <c r="B1135" s="1324" t="s">
        <v>2147</v>
      </c>
      <c r="C1135" s="1324"/>
      <c r="D1135" s="1090"/>
      <c r="E1135" s="1079" t="str">
        <f>VLOOKUP($B1135,DG!A:D,DG!$B$2,)</f>
        <v>07.2403</v>
      </c>
      <c r="F1135" s="1080" t="str">
        <f>VLOOKUP($B1135,DG!A:D,DG!$C$2,)</f>
        <v>Ống PVC D42x2,1mm</v>
      </c>
      <c r="G1135" s="1079" t="str">
        <f>VLOOKUP($B1135,DG!A:D,DG!$D$2,)</f>
        <v>m</v>
      </c>
      <c r="H1135" s="1851">
        <f>H1133*2</f>
        <v>0</v>
      </c>
      <c r="I1135" s="1259">
        <f t="shared" si="79"/>
        <v>0</v>
      </c>
      <c r="J1135" s="1081"/>
      <c r="K1135" s="1081"/>
      <c r="L1135" s="1082"/>
      <c r="M1135" s="975">
        <v>160</v>
      </c>
    </row>
    <row r="1136" spans="1:13" s="1083" customFormat="1" ht="25.2" hidden="1" customHeight="1">
      <c r="A1136" s="1153">
        <f t="shared" si="78"/>
        <v>0</v>
      </c>
      <c r="B1136" s="1324" t="s">
        <v>1050</v>
      </c>
      <c r="C1136" s="1324"/>
      <c r="D1136" s="1090"/>
      <c r="E1136" s="1079">
        <f>VLOOKUP($B1136,DG!A:D,DG!$B$2,)</f>
        <v>0</v>
      </c>
      <c r="F1136" s="1080" t="str">
        <f>VLOOKUP($B1136,DG!A:D,DG!$C$2,)</f>
        <v>Co chữ T ống PVC 42</v>
      </c>
      <c r="G1136" s="1079" t="str">
        <f>VLOOKUP($B1136,DG!A:D,DG!$D$2,)</f>
        <v>cái</v>
      </c>
      <c r="H1136" s="1851">
        <f>H1133</f>
        <v>0</v>
      </c>
      <c r="I1136" s="1259">
        <f t="shared" si="79"/>
        <v>0</v>
      </c>
      <c r="J1136" s="1081"/>
      <c r="K1136" s="1081"/>
      <c r="L1136" s="1082"/>
      <c r="M1136" s="975">
        <v>160</v>
      </c>
    </row>
    <row r="1137" spans="1:13" s="1083" customFormat="1" ht="25.2" hidden="1" customHeight="1">
      <c r="A1137" s="1153">
        <f t="shared" si="78"/>
        <v>0</v>
      </c>
      <c r="B1137" s="1324" t="s">
        <v>2126</v>
      </c>
      <c r="C1137" s="1324"/>
      <c r="D1137" s="1090"/>
      <c r="E1137" s="1079">
        <f>VLOOKUP($B1137,DG!A:D,DG!$B$2,)</f>
        <v>0</v>
      </c>
      <c r="F1137" s="1080" t="str">
        <f>VLOOKUP($B1137,DG!A:D,DG!$C$2,)</f>
        <v>Khâu ven răng trong D42</v>
      </c>
      <c r="G1137" s="1079" t="str">
        <f>VLOOKUP($B1137,DG!A:D,DG!$D$2,)</f>
        <v>cái</v>
      </c>
      <c r="H1137" s="1851">
        <f>H1133*2</f>
        <v>0</v>
      </c>
      <c r="I1137" s="1259">
        <f t="shared" si="79"/>
        <v>0</v>
      </c>
      <c r="J1137" s="1081"/>
      <c r="K1137" s="1081"/>
      <c r="L1137" s="1082"/>
      <c r="M1137" s="975">
        <v>160</v>
      </c>
    </row>
    <row r="1138" spans="1:13" s="1083" customFormat="1" ht="25.2" hidden="1" customHeight="1">
      <c r="A1138" s="1153">
        <f t="shared" si="78"/>
        <v>0</v>
      </c>
      <c r="B1138" s="1324" t="s">
        <v>959</v>
      </c>
      <c r="C1138" s="1324"/>
      <c r="D1138" s="1090"/>
      <c r="E1138" s="1079">
        <f>VLOOKUP($B1138,DG!A:D,DG!$B$2,)</f>
        <v>0</v>
      </c>
      <c r="F1138" s="1080" t="str">
        <f>VLOOKUP($B1138,DG!A:D,DG!$C$2,)</f>
        <v>Khâu ven răng ngoài D42</v>
      </c>
      <c r="G1138" s="1079" t="str">
        <f>VLOOKUP($B1138,DG!A:D,DG!$D$2,)</f>
        <v>cái</v>
      </c>
      <c r="H1138" s="1851">
        <f>H1137</f>
        <v>0</v>
      </c>
      <c r="I1138" s="1259">
        <f t="shared" si="79"/>
        <v>0</v>
      </c>
      <c r="J1138" s="1081"/>
      <c r="K1138" s="1081"/>
      <c r="L1138" s="1082"/>
      <c r="M1138" s="975">
        <v>160</v>
      </c>
    </row>
    <row r="1139" spans="1:13" s="1083" customFormat="1" ht="25.2" hidden="1" customHeight="1">
      <c r="A1139" s="1153">
        <f t="shared" si="78"/>
        <v>0</v>
      </c>
      <c r="B1139" s="1154"/>
      <c r="C1139" s="1154"/>
      <c r="D1139" s="1084">
        <f>IF(H1139&gt;0,D1133+1,D1133)</f>
        <v>0</v>
      </c>
      <c r="E1139" s="1085"/>
      <c r="F1139" s="1094" t="s">
        <v>3746</v>
      </c>
      <c r="G1139" s="1084" t="s">
        <v>2391</v>
      </c>
      <c r="H1139" s="1888">
        <f>$H$943</f>
        <v>0</v>
      </c>
      <c r="I1139" s="1259">
        <f t="shared" si="79"/>
        <v>0</v>
      </c>
      <c r="J1139" s="1081"/>
      <c r="K1139" s="1081"/>
      <c r="L1139" s="1110"/>
      <c r="M1139" s="975">
        <v>160</v>
      </c>
    </row>
    <row r="1140" spans="1:13" s="1083" customFormat="1" ht="25.2" hidden="1" customHeight="1">
      <c r="A1140" s="1153">
        <f t="shared" si="78"/>
        <v>0</v>
      </c>
      <c r="B1140" s="1154"/>
      <c r="C1140" s="1154"/>
      <c r="D1140" s="1078"/>
      <c r="E1140" s="1088"/>
      <c r="F1140" s="1368" t="s">
        <v>2285</v>
      </c>
      <c r="G1140" s="1078"/>
      <c r="H1140" s="1851"/>
      <c r="I1140" s="1259">
        <f t="shared" si="79"/>
        <v>0</v>
      </c>
      <c r="J1140" s="1081"/>
      <c r="K1140" s="1081"/>
      <c r="L1140" s="1110"/>
      <c r="M1140" s="975">
        <v>160</v>
      </c>
    </row>
    <row r="1141" spans="1:13" s="1083" customFormat="1" ht="25.2" hidden="1" customHeight="1">
      <c r="A1141" s="1153">
        <f t="shared" si="78"/>
        <v>0</v>
      </c>
      <c r="B1141" s="1324" t="s">
        <v>32</v>
      </c>
      <c r="C1141" s="1324"/>
      <c r="D1141" s="1090"/>
      <c r="E1141" s="1079">
        <f>VLOOKUP($B1141,DG!A:D,DG!$B$2,)</f>
        <v>0</v>
      </c>
      <c r="F1141" s="1080" t="str">
        <f>VLOOKUP($B1141,DG!A:D,DG!$C$2,)&amp;":  "&amp;M2&amp;" x 8m/pha "</f>
        <v xml:space="preserve">Cáp đồng bọc CV120:  1 x 8m/pha </v>
      </c>
      <c r="G1141" s="1079" t="str">
        <f>VLOOKUP($B1141,DG!A:D,DG!$D$2,)</f>
        <v>mét</v>
      </c>
      <c r="H1141" s="1851">
        <v>25.5</v>
      </c>
      <c r="I1141" s="1259">
        <f t="shared" si="79"/>
        <v>0</v>
      </c>
      <c r="J1141" s="1081"/>
      <c r="K1141" s="1081"/>
      <c r="L1141" s="1110"/>
      <c r="M1141" s="975">
        <v>160</v>
      </c>
    </row>
    <row r="1142" spans="1:13" s="1083" customFormat="1" ht="25.2" hidden="1" customHeight="1">
      <c r="A1142" s="1153">
        <f t="shared" si="78"/>
        <v>0</v>
      </c>
      <c r="B1142" s="1324" t="s">
        <v>274</v>
      </c>
      <c r="C1142" s="1324"/>
      <c r="D1142" s="1090"/>
      <c r="E1142" s="1079">
        <f>VLOOKUP($B1142,DG!A:D,DG!$B$2,)</f>
        <v>0</v>
      </c>
      <c r="F1142" s="1080" t="str">
        <f>VLOOKUP($B1142,DG!A:D,DG!$C$2,)&amp;":  "&amp;M2&amp;" x 8m/trung tính "</f>
        <v xml:space="preserve">Cáp đồng bọc CV95:  1 x 8m/trung tính </v>
      </c>
      <c r="G1142" s="1079" t="str">
        <f>VLOOKUP($B1142,DG!A:D,DG!$D$2,)</f>
        <v>mét</v>
      </c>
      <c r="H1142" s="1851">
        <v>8.5</v>
      </c>
      <c r="I1142" s="1259">
        <f t="shared" si="79"/>
        <v>0</v>
      </c>
      <c r="J1142" s="1081"/>
      <c r="K1142" s="1081"/>
      <c r="L1142" s="1110"/>
      <c r="M1142" s="975">
        <v>160</v>
      </c>
    </row>
    <row r="1143" spans="1:13" s="1083" customFormat="1" ht="25.2" hidden="1" customHeight="1">
      <c r="A1143" s="1153">
        <f t="shared" si="78"/>
        <v>0</v>
      </c>
      <c r="B1143" s="1324" t="s">
        <v>1308</v>
      </c>
      <c r="C1143" s="1324"/>
      <c r="D1143" s="1090"/>
      <c r="E1143" s="1079" t="str">
        <f>VLOOKUP($B1143,DG!A:D,DG!$B$2,)</f>
        <v>03.4005</v>
      </c>
      <c r="F1143" s="1080" t="str">
        <f>VLOOKUP($B1143,DG!A:D,DG!$C$2,)&amp;": "</f>
        <v xml:space="preserve">Đầu cosse ép Cu 120mm2: </v>
      </c>
      <c r="G1143" s="1079" t="str">
        <f>VLOOKUP($B1143,DG!A:D,DG!$D$2,)</f>
        <v>cái</v>
      </c>
      <c r="H1143" s="1851">
        <v>3</v>
      </c>
      <c r="I1143" s="1259">
        <f t="shared" si="79"/>
        <v>0</v>
      </c>
      <c r="J1143" s="1081"/>
      <c r="K1143" s="1081"/>
      <c r="L1143" s="1110"/>
      <c r="M1143" s="975">
        <v>160</v>
      </c>
    </row>
    <row r="1144" spans="1:13" s="1083" customFormat="1" ht="25.2" hidden="1" customHeight="1">
      <c r="A1144" s="1153">
        <f t="shared" si="78"/>
        <v>0</v>
      </c>
      <c r="B1144" s="1324" t="s">
        <v>1307</v>
      </c>
      <c r="C1144" s="1324"/>
      <c r="D1144" s="1090"/>
      <c r="E1144" s="1079" t="str">
        <f>VLOOKUP($B1144,DG!A:D,DG!$B$2,)</f>
        <v>03.4004</v>
      </c>
      <c r="F1144" s="1080" t="str">
        <f>VLOOKUP($B1144,DG!A:D,DG!$C$2,)&amp;": "</f>
        <v xml:space="preserve">Đầu cosse ép Cu 95mm2: </v>
      </c>
      <c r="G1144" s="1079" t="str">
        <f>VLOOKUP($B1144,DG!A:D,DG!$D$2,)</f>
        <v>cái</v>
      </c>
      <c r="H1144" s="1851">
        <v>3</v>
      </c>
      <c r="I1144" s="1259">
        <f t="shared" si="79"/>
        <v>0</v>
      </c>
      <c r="J1144" s="1081"/>
      <c r="K1144" s="1081"/>
      <c r="L1144" s="1110"/>
      <c r="M1144" s="975">
        <v>160</v>
      </c>
    </row>
    <row r="1145" spans="1:13" s="1083" customFormat="1" ht="25.2" hidden="1" customHeight="1">
      <c r="A1145" s="1153">
        <f t="shared" si="78"/>
        <v>0</v>
      </c>
      <c r="B1145" s="1324" t="s">
        <v>93</v>
      </c>
      <c r="C1145" s="1324"/>
      <c r="D1145" s="1090"/>
      <c r="E1145" s="1079">
        <f>VLOOKUP($B1145,DG!A:D,DG!$B$2,)</f>
        <v>0</v>
      </c>
      <c r="F1145" s="1080" t="str">
        <f>VLOOKUP($B1145,DG!A:D,DG!$C$2,)&amp;": "</f>
        <v xml:space="preserve">Chụp đầu cosse  120mm2: </v>
      </c>
      <c r="G1145" s="1079" t="str">
        <f>VLOOKUP($B1145,DG!A:D,DG!$D$2,)</f>
        <v>cái</v>
      </c>
      <c r="H1145" s="1851">
        <f>H1143</f>
        <v>3</v>
      </c>
      <c r="I1145" s="1259">
        <f t="shared" si="79"/>
        <v>0</v>
      </c>
      <c r="J1145" s="1081"/>
      <c r="K1145" s="1081"/>
      <c r="L1145" s="1110"/>
      <c r="M1145" s="975">
        <v>160</v>
      </c>
    </row>
    <row r="1146" spans="1:13" s="1083" customFormat="1" ht="25.2" hidden="1" customHeight="1">
      <c r="A1146" s="1153">
        <f t="shared" si="78"/>
        <v>0</v>
      </c>
      <c r="B1146" s="1324" t="s">
        <v>4486</v>
      </c>
      <c r="C1146" s="1324"/>
      <c r="D1146" s="1090"/>
      <c r="E1146" s="1079">
        <f>VLOOKUP($B1146,DG!A:D,DG!$B$2,)</f>
        <v>0</v>
      </c>
      <c r="F1146" s="1080" t="str">
        <f>VLOOKUP($B1146,DG!A:D,DG!$C$2,)&amp;": "</f>
        <v xml:space="preserve">Chụp đầu cosse  95mm2: </v>
      </c>
      <c r="G1146" s="1079" t="str">
        <f>VLOOKUP($B1146,DG!A:D,DG!$D$2,)</f>
        <v>cái</v>
      </c>
      <c r="H1146" s="1851">
        <f>H1144</f>
        <v>3</v>
      </c>
      <c r="I1146" s="1259">
        <f t="shared" si="79"/>
        <v>0</v>
      </c>
      <c r="J1146" s="1081"/>
      <c r="K1146" s="1081"/>
      <c r="L1146" s="1110"/>
      <c r="M1146" s="975">
        <v>160</v>
      </c>
    </row>
    <row r="1147" spans="1:13" s="1083" customFormat="1" ht="25.2" hidden="1" customHeight="1">
      <c r="A1147" s="1153">
        <f t="shared" si="78"/>
        <v>0</v>
      </c>
      <c r="B1147" s="1324" t="s">
        <v>1042</v>
      </c>
      <c r="C1147" s="1324"/>
      <c r="D1147" s="1090"/>
      <c r="E1147" s="1079">
        <f>VLOOKUP($B1147,DG!A:D,DG!$B$2,)</f>
        <v>0</v>
      </c>
      <c r="F1147" s="1080" t="str">
        <f>VLOOKUP($B1147,DG!A:D,DG!$C$2,)</f>
        <v xml:space="preserve">Ống PVC D114x4,9mm </v>
      </c>
      <c r="G1147" s="1079" t="str">
        <f>VLOOKUP($B1147,DG!A:D,DG!$D$2,)</f>
        <v>m</v>
      </c>
      <c r="H1147" s="1851">
        <v>6</v>
      </c>
      <c r="I1147" s="1259">
        <f t="shared" ref="I1147:I1148" si="80">IF(M1147=$M$23,H1147+J1147-K1147,0)</f>
        <v>0</v>
      </c>
      <c r="J1147" s="1081"/>
      <c r="K1147" s="1081"/>
      <c r="L1147" s="1110"/>
      <c r="M1147" s="975">
        <v>160</v>
      </c>
    </row>
    <row r="1148" spans="1:13" s="1083" customFormat="1" ht="25.2" hidden="1" customHeight="1">
      <c r="A1148" s="1153">
        <f t="shared" si="78"/>
        <v>0</v>
      </c>
      <c r="B1148" s="1324" t="s">
        <v>4627</v>
      </c>
      <c r="C1148" s="1324"/>
      <c r="D1148" s="1090"/>
      <c r="E1148" s="1079">
        <f>VLOOKUP($B1148,DG!A:D,DG!$B$2,)</f>
        <v>0</v>
      </c>
      <c r="F1148" s="1080" t="str">
        <f>VLOOKUP($B1148,DG!A:D,DG!$C$2,)</f>
        <v>Co sừng 90 độ PVC 114</v>
      </c>
      <c r="G1148" s="1079" t="str">
        <f>VLOOKUP($B1148,DG!A:D,DG!$D$2,)</f>
        <v>cái</v>
      </c>
      <c r="H1148" s="1851">
        <v>1</v>
      </c>
      <c r="I1148" s="1259">
        <f t="shared" si="80"/>
        <v>0</v>
      </c>
      <c r="J1148" s="1081"/>
      <c r="K1148" s="1081"/>
      <c r="L1148" s="1110"/>
      <c r="M1148" s="975">
        <v>160</v>
      </c>
    </row>
    <row r="1149" spans="1:13" s="1083" customFormat="1" ht="25.2" hidden="1" customHeight="1">
      <c r="A1149" s="1153">
        <f t="shared" si="78"/>
        <v>0</v>
      </c>
      <c r="B1149" s="1324" t="s">
        <v>4883</v>
      </c>
      <c r="C1149" s="1324"/>
      <c r="D1149" s="1090"/>
      <c r="E1149" s="1079">
        <f>VLOOKUP($B1149,DG!A:D,DG!$B$2,)</f>
        <v>0</v>
      </c>
      <c r="F1149" s="1080" t="str">
        <f>VLOOKUP($B1149,DG!A:D,DG!$C$2,)</f>
        <v>Co 135 độ PVC 114</v>
      </c>
      <c r="G1149" s="1079" t="str">
        <f>VLOOKUP($B1149,DG!A:D,DG!$D$2,)</f>
        <v>cái</v>
      </c>
      <c r="H1149" s="1851">
        <v>1</v>
      </c>
      <c r="I1149" s="1259">
        <f t="shared" si="79"/>
        <v>0</v>
      </c>
      <c r="J1149" s="1081"/>
      <c r="K1149" s="1081"/>
      <c r="L1149" s="1110"/>
      <c r="M1149" s="975">
        <v>160</v>
      </c>
    </row>
    <row r="1150" spans="1:13" s="1083" customFormat="1" ht="25.2" hidden="1" customHeight="1">
      <c r="A1150" s="1153">
        <f t="shared" si="78"/>
        <v>0</v>
      </c>
      <c r="B1150" s="1154" t="s">
        <v>731</v>
      </c>
      <c r="C1150" s="1154"/>
      <c r="D1150" s="1090"/>
      <c r="E1150" s="1079" t="str">
        <f>VLOOKUP($B1150,DG!A:D,DG!$B$2,)</f>
        <v>06.3231</v>
      </c>
      <c r="F1150" s="1080" t="str">
        <f>VLOOKUP($B1150,DG!A:D,DG!$C$2,)&amp;": CD-250"</f>
        <v>Cổ dê kẹp ống PVC Ø 114: CD-250</v>
      </c>
      <c r="G1150" s="1079" t="str">
        <f>VLOOKUP($B1150,DG!A:D,DG!$D$2,)</f>
        <v>bộ</v>
      </c>
      <c r="H1150" s="1851">
        <f>$H$1139*1</f>
        <v>0</v>
      </c>
      <c r="I1150" s="1259">
        <f t="shared" si="79"/>
        <v>0</v>
      </c>
      <c r="J1150" s="1081"/>
      <c r="K1150" s="1081"/>
      <c r="L1150" s="1110"/>
      <c r="M1150" s="975">
        <v>160</v>
      </c>
    </row>
    <row r="1151" spans="1:13" s="1083" customFormat="1" ht="25.2" hidden="1" customHeight="1">
      <c r="A1151" s="1153">
        <f t="shared" si="78"/>
        <v>0</v>
      </c>
      <c r="B1151" s="1154" t="s">
        <v>731</v>
      </c>
      <c r="C1151" s="1154"/>
      <c r="D1151" s="1090"/>
      <c r="E1151" s="1079" t="str">
        <f>VLOOKUP($B1151,DG!A:D,DG!$B$2,)</f>
        <v>06.3231</v>
      </c>
      <c r="F1151" s="1080" t="str">
        <f>VLOOKUP($B1151,DG!A:D,DG!$C$2,)&amp;": CD-280"</f>
        <v>Cổ dê kẹp ống PVC Ø 114: CD-280</v>
      </c>
      <c r="G1151" s="1079" t="str">
        <f>VLOOKUP($B1151,DG!A:D,DG!$D$2,)</f>
        <v>bộ</v>
      </c>
      <c r="H1151" s="1851">
        <f>$H$1139*1</f>
        <v>0</v>
      </c>
      <c r="I1151" s="1259">
        <f t="shared" si="79"/>
        <v>0</v>
      </c>
      <c r="J1151" s="1081"/>
      <c r="K1151" s="1081"/>
      <c r="L1151" s="1110"/>
      <c r="M1151" s="975">
        <v>160</v>
      </c>
    </row>
    <row r="1152" spans="1:13" s="1083" customFormat="1" ht="25.2" hidden="1" customHeight="1">
      <c r="A1152" s="1153">
        <f t="shared" si="78"/>
        <v>0</v>
      </c>
      <c r="B1152" s="1154" t="s">
        <v>1131</v>
      </c>
      <c r="C1152" s="1154"/>
      <c r="D1152" s="1090"/>
      <c r="E1152" s="1079" t="str">
        <f>VLOOKUP($B1152,DG!A:D,DG!$B$2,)</f>
        <v>06.2110</v>
      </c>
      <c r="F1152" s="1162" t="str">
        <f>VLOOKUP($B1152,DG!A:D,DG!$C$2,)&amp;": CD-280"</f>
        <v>Lắp cổ dề: CD-280</v>
      </c>
      <c r="G1152" s="1079" t="str">
        <f>VLOOKUP($B1152,DG!A:D,DG!$D$2,)</f>
        <v>bộ</v>
      </c>
      <c r="H1152" s="1851">
        <f>H1150+H1151</f>
        <v>0</v>
      </c>
      <c r="I1152" s="1259">
        <f t="shared" si="79"/>
        <v>0</v>
      </c>
      <c r="J1152" s="1081"/>
      <c r="K1152" s="1081"/>
      <c r="L1152" s="1110"/>
      <c r="M1152" s="975">
        <v>160</v>
      </c>
    </row>
    <row r="1153" spans="1:13" s="1083" customFormat="1" ht="25.2" hidden="1" customHeight="1">
      <c r="A1153" s="1153">
        <f t="shared" si="78"/>
        <v>0</v>
      </c>
      <c r="B1153" s="1346" t="s">
        <v>138</v>
      </c>
      <c r="C1153" s="1346"/>
      <c r="D1153" s="1090"/>
      <c r="E1153" s="1079">
        <f>VLOOKUP($B1153,DG!A:D,DG!$B$2,)</f>
        <v>0</v>
      </c>
      <c r="F1153" s="1080" t="str">
        <f>VLOOKUP($B1153,DG!A:D,DG!$C$2,)</f>
        <v>Boulon 12x40+ 2 long đền vuông D14-50x50x3/Zn</v>
      </c>
      <c r="G1153" s="1079" t="str">
        <f>VLOOKUP($B1153,DG!A:D,DG!$D$2,)</f>
        <v>bộ</v>
      </c>
      <c r="H1153" s="1851">
        <f>$H$1139*6*0</f>
        <v>0</v>
      </c>
      <c r="I1153" s="1259">
        <f t="shared" si="79"/>
        <v>0</v>
      </c>
      <c r="J1153" s="1081"/>
      <c r="K1153" s="1081"/>
      <c r="L1153" s="1110"/>
      <c r="M1153" s="975">
        <v>160</v>
      </c>
    </row>
    <row r="1154" spans="1:13" s="1083" customFormat="1" ht="25.2" hidden="1" customHeight="1">
      <c r="A1154" s="1153">
        <f t="shared" si="78"/>
        <v>0</v>
      </c>
      <c r="B1154" s="1324" t="s">
        <v>2173</v>
      </c>
      <c r="C1154" s="1324"/>
      <c r="D1154" s="1090"/>
      <c r="E1154" s="1079">
        <f>VLOOKUP($B1154,DG!A:D,DG!$B$2,)</f>
        <v>0</v>
      </c>
      <c r="F1154" s="1080" t="str">
        <f>VLOOKUP($B1154,DG!A:D,DG!$C$2,)</f>
        <v>Khâu ven răng trong D114</v>
      </c>
      <c r="G1154" s="1079" t="str">
        <f>VLOOKUP($B1154,DG!A:D,DG!$D$2,)</f>
        <v>cái</v>
      </c>
      <c r="H1154" s="1851"/>
      <c r="I1154" s="1259">
        <f t="shared" si="79"/>
        <v>0</v>
      </c>
      <c r="J1154" s="1081"/>
      <c r="K1154" s="1081"/>
      <c r="L1154" s="1110"/>
      <c r="M1154" s="975">
        <v>160</v>
      </c>
    </row>
    <row r="1155" spans="1:13" s="1083" customFormat="1" ht="25.2" hidden="1" customHeight="1">
      <c r="A1155" s="1153">
        <f t="shared" si="78"/>
        <v>0</v>
      </c>
      <c r="B1155" s="1324" t="s">
        <v>2174</v>
      </c>
      <c r="C1155" s="1324"/>
      <c r="D1155" s="1090"/>
      <c r="E1155" s="1079">
        <f>VLOOKUP($B1155,DG!A:D,DG!$B$2,)</f>
        <v>0</v>
      </c>
      <c r="F1155" s="1080" t="str">
        <f>VLOOKUP($B1155,DG!A:D,DG!$C$2,)&amp;": "</f>
        <v xml:space="preserve">Khâu ven răng ngoài D114: </v>
      </c>
      <c r="G1155" s="1079" t="str">
        <f>VLOOKUP($B1155,DG!A:D,DG!$D$2,)</f>
        <v>cái</v>
      </c>
      <c r="H1155" s="1851">
        <f>H1154</f>
        <v>0</v>
      </c>
      <c r="I1155" s="1259">
        <f t="shared" si="79"/>
        <v>0</v>
      </c>
      <c r="J1155" s="1081"/>
      <c r="K1155" s="1081"/>
      <c r="L1155" s="1110"/>
      <c r="M1155" s="975">
        <v>160</v>
      </c>
    </row>
    <row r="1156" spans="1:13" s="1083" customFormat="1" ht="25.2" hidden="1" customHeight="1">
      <c r="A1156" s="1153">
        <f t="shared" si="78"/>
        <v>0</v>
      </c>
      <c r="B1156" s="1324" t="s">
        <v>2080</v>
      </c>
      <c r="C1156" s="1324"/>
      <c r="D1156" s="1090"/>
      <c r="E1156" s="1079">
        <f>VLOOKUP($B1156,DG!A:D,DG!$B$2,)</f>
        <v>0</v>
      </c>
      <c r="F1156" s="1080" t="str">
        <f>VLOOKUP($B1156,DG!A:D,DG!$C$2,)&amp;": "</f>
        <v xml:space="preserve">Keo dán ống PVC (100gr): </v>
      </c>
      <c r="G1156" s="1079" t="str">
        <f>VLOOKUP($B1156,DG!A:D,DG!$D$2,)</f>
        <v>tuýp</v>
      </c>
      <c r="H1156" s="1851">
        <f>IF(H1149&gt;0,H1139*M2,)</f>
        <v>0</v>
      </c>
      <c r="I1156" s="1259">
        <f t="shared" si="79"/>
        <v>0</v>
      </c>
      <c r="J1156" s="1081"/>
      <c r="K1156" s="1081"/>
      <c r="L1156" s="1110"/>
      <c r="M1156" s="975">
        <v>160</v>
      </c>
    </row>
    <row r="1157" spans="1:13" s="1083" customFormat="1" ht="25.2" hidden="1" customHeight="1">
      <c r="A1157" s="1153">
        <f t="shared" si="78"/>
        <v>0</v>
      </c>
      <c r="B1157" s="1154" t="s">
        <v>6</v>
      </c>
      <c r="C1157" s="1154"/>
      <c r="D1157" s="1090"/>
      <c r="E1157" s="1079"/>
      <c r="F1157" s="1080" t="str">
        <f>VLOOKUP($B1157,DG!A:D,DG!$C$2,)</f>
        <v>Keo silicon bít miệng ống</v>
      </c>
      <c r="G1157" s="1079" t="str">
        <f>VLOOKUP($B1157,DG!A:D,DG!$D$2,)</f>
        <v>ống</v>
      </c>
      <c r="H1157" s="1851">
        <f>H1139*M2</f>
        <v>0</v>
      </c>
      <c r="I1157" s="1259">
        <f t="shared" si="79"/>
        <v>0</v>
      </c>
      <c r="J1157" s="1081"/>
      <c r="K1157" s="1081"/>
      <c r="L1157" s="1082"/>
      <c r="M1157" s="975">
        <v>160</v>
      </c>
    </row>
    <row r="1158" spans="1:13" s="1083" customFormat="1" ht="25.2" hidden="1" customHeight="1">
      <c r="A1158" s="1153">
        <f t="shared" si="78"/>
        <v>0</v>
      </c>
      <c r="B1158" s="1324" t="s">
        <v>2282</v>
      </c>
      <c r="C1158" s="1324"/>
      <c r="D1158" s="1090"/>
      <c r="E1158" s="1079" t="str">
        <f>VLOOKUP($B1158,DG!A:D,DG!$B$2,)</f>
        <v>03.1401</v>
      </c>
      <c r="F1158" s="1080" t="str">
        <f>VLOOKUP($B1158,DG!A:D,DG!$C$2,)</f>
        <v xml:space="preserve">Cáp CVV 4x4mm2  </v>
      </c>
      <c r="G1158" s="1079" t="str">
        <f>VLOOKUP($B1158,DG!A:D,DG!$D$2,)</f>
        <v>mét</v>
      </c>
      <c r="H1158" s="1851">
        <v>2</v>
      </c>
      <c r="I1158" s="1259">
        <f t="shared" si="79"/>
        <v>0</v>
      </c>
      <c r="J1158" s="1081"/>
      <c r="K1158" s="1081"/>
      <c r="L1158" s="1082"/>
      <c r="M1158" s="975">
        <v>160</v>
      </c>
    </row>
    <row r="1159" spans="1:13" s="1083" customFormat="1" ht="25.2" hidden="1" customHeight="1">
      <c r="A1159" s="1153">
        <f t="shared" si="78"/>
        <v>0</v>
      </c>
      <c r="B1159" s="1324" t="s">
        <v>1351</v>
      </c>
      <c r="C1159" s="1324"/>
      <c r="D1159" s="1090"/>
      <c r="E1159" s="1079">
        <f>VLOOKUP($B1159,DG!A:D,DG!$B$2,)</f>
        <v>0</v>
      </c>
      <c r="F1159" s="1080" t="str">
        <f>VLOOKUP($B1159,DG!A:D,DG!$C$2,)</f>
        <v>Dây rút cáp</v>
      </c>
      <c r="G1159" s="1079" t="str">
        <f>VLOOKUP($B1159,DG!A:D,DG!$D$2,)</f>
        <v>bọc</v>
      </c>
      <c r="H1159" s="1851"/>
      <c r="I1159" s="1259">
        <f t="shared" ref="I1159:I1161" si="81">IF(M1159=$M$23,H1159+J1159-K1159,0)</f>
        <v>0</v>
      </c>
      <c r="J1159" s="1081"/>
      <c r="K1159" s="1081"/>
      <c r="L1159" s="1082"/>
      <c r="M1159" s="975">
        <v>160</v>
      </c>
    </row>
    <row r="1160" spans="1:13" s="1083" customFormat="1" ht="25.2" hidden="1" customHeight="1">
      <c r="A1160" s="1153">
        <f t="shared" si="78"/>
        <v>0</v>
      </c>
      <c r="B1160" s="1324" t="s">
        <v>4374</v>
      </c>
      <c r="C1160" s="1324"/>
      <c r="D1160" s="1090"/>
      <c r="E1160" s="1079">
        <f>VLOOKUP($B1160,DG!A:D,DG!$B$2,)</f>
        <v>0</v>
      </c>
      <c r="F1160" s="1080" t="str">
        <f>VLOOKUP($B1160,DG!A:D,DG!$C$2,)</f>
        <v>Chụp cách điện đầu cực MBA</v>
      </c>
      <c r="G1160" s="1079" t="str">
        <f>VLOOKUP($B1160,DG!A:D,DG!$D$2,)</f>
        <v>cái</v>
      </c>
      <c r="H1160" s="1851"/>
      <c r="I1160" s="1259">
        <f t="shared" si="81"/>
        <v>0</v>
      </c>
      <c r="J1160" s="1081"/>
      <c r="K1160" s="1081"/>
      <c r="L1160" s="1082"/>
      <c r="M1160" s="975">
        <v>160</v>
      </c>
    </row>
    <row r="1161" spans="1:13" s="1083" customFormat="1" ht="25.2" hidden="1" customHeight="1">
      <c r="A1161" s="1153">
        <f t="shared" si="78"/>
        <v>0</v>
      </c>
      <c r="B1161" s="1324" t="s">
        <v>4368</v>
      </c>
      <c r="C1161" s="1324"/>
      <c r="D1161" s="1090"/>
      <c r="E1161" s="1079">
        <f>VLOOKUP($B1161,DG!A:D,DG!$B$2,)</f>
        <v>0</v>
      </c>
      <c r="F1161" s="1080" t="str">
        <f>VLOOKUP($B1161,DG!A:D,DG!$C$2,)</f>
        <v>Chụp cách điện đầu cực FCO (trên + dưới)</v>
      </c>
      <c r="G1161" s="1079" t="str">
        <f>VLOOKUP($B1161,DG!A:D,DG!$D$2,)</f>
        <v>bộ</v>
      </c>
      <c r="H1161" s="1851"/>
      <c r="I1161" s="1259">
        <f t="shared" si="81"/>
        <v>0</v>
      </c>
      <c r="J1161" s="1081"/>
      <c r="K1161" s="1081"/>
      <c r="L1161" s="1082"/>
      <c r="M1161" s="975">
        <v>160</v>
      </c>
    </row>
    <row r="1162" spans="1:13" s="1083" customFormat="1" ht="25.2" hidden="1" customHeight="1">
      <c r="A1162" s="1153">
        <f t="shared" si="78"/>
        <v>0</v>
      </c>
      <c r="B1162" s="1324" t="s">
        <v>4376</v>
      </c>
      <c r="C1162" s="1324"/>
      <c r="D1162" s="1090"/>
      <c r="E1162" s="1079">
        <f>VLOOKUP($B1162,DG!A:D,DG!$B$2,)</f>
        <v>0</v>
      </c>
      <c r="F1162" s="1080" t="str">
        <f>VLOOKUP($B1162,DG!A:D,DG!$C$2,)</f>
        <v>Chụp cách điện đầu cực LA</v>
      </c>
      <c r="G1162" s="1079" t="str">
        <f>VLOOKUP($B1162,DG!A:D,DG!$D$2,)</f>
        <v>cái</v>
      </c>
      <c r="H1162" s="1851"/>
      <c r="I1162" s="1259">
        <f t="shared" si="79"/>
        <v>0</v>
      </c>
      <c r="J1162" s="1081"/>
      <c r="K1162" s="1081"/>
      <c r="L1162" s="1082"/>
      <c r="M1162" s="975">
        <v>160</v>
      </c>
    </row>
    <row r="1163" spans="1:13" s="1083" customFormat="1" ht="25.2" hidden="1" customHeight="1">
      <c r="A1163" s="1153">
        <f t="shared" si="78"/>
        <v>0</v>
      </c>
      <c r="B1163" s="1154" t="s">
        <v>672</v>
      </c>
      <c r="C1163" s="1154"/>
      <c r="D1163" s="1090"/>
      <c r="E1163" s="1079">
        <f>VLOOKUP($B1163,DG!A:D,DG!$B$2,)</f>
        <v>0</v>
      </c>
      <c r="F1163" s="1080" t="str">
        <f>VLOOKUP($B1163,DG!A:D,DG!$C$2,)&amp;":"</f>
        <v>Băng keo cách điện:</v>
      </c>
      <c r="G1163" s="1079" t="str">
        <f>VLOOKUP($B1163,DG!A:D,DG!$D$2,)</f>
        <v>cuộn</v>
      </c>
      <c r="H1163" s="1851">
        <f>H1139*M2*2</f>
        <v>0</v>
      </c>
      <c r="I1163" s="1259">
        <f t="shared" si="79"/>
        <v>0</v>
      </c>
      <c r="J1163" s="1081"/>
      <c r="K1163" s="1081"/>
      <c r="L1163" s="1110"/>
      <c r="M1163" s="975">
        <v>160</v>
      </c>
    </row>
    <row r="1164" spans="1:13" s="1083" customFormat="1" ht="25.2" hidden="1" customHeight="1">
      <c r="A1164" s="1153">
        <f t="shared" si="78"/>
        <v>0</v>
      </c>
      <c r="B1164" s="1154" t="s">
        <v>1413</v>
      </c>
      <c r="C1164" s="1154"/>
      <c r="D1164" s="1090"/>
      <c r="E1164" s="1079" t="str">
        <f>VLOOKUP($B1164,DG!A:D,DG!$B$2,)</f>
        <v>05.6101</v>
      </c>
      <c r="F1164" s="1080" t="str">
        <f>VLOOKUP($B1164,DG!A:D,DG!$C$2,)&amp;":"</f>
        <v>Lắp Giá đỡ cáp:</v>
      </c>
      <c r="G1164" s="1079" t="str">
        <f>VLOOKUP($B1164,DG!A:D,DG!$D$2,)</f>
        <v>bộ</v>
      </c>
      <c r="H1164" s="1851"/>
      <c r="I1164" s="1259">
        <f t="shared" si="79"/>
        <v>0</v>
      </c>
      <c r="J1164" s="1081"/>
      <c r="K1164" s="1081"/>
      <c r="L1164" s="1110"/>
      <c r="M1164" s="975">
        <v>160</v>
      </c>
    </row>
    <row r="1165" spans="1:13" s="1083" customFormat="1" ht="25.2" hidden="1" customHeight="1">
      <c r="A1165" s="1153">
        <f t="shared" si="78"/>
        <v>0</v>
      </c>
      <c r="B1165" s="1154" t="s">
        <v>247</v>
      </c>
      <c r="C1165" s="1154"/>
      <c r="D1165" s="1090"/>
      <c r="E1165" s="1079" t="str">
        <f>VLOOKUP($B1165,DG!A:D,DG!$B$2,)</f>
        <v>04.4203</v>
      </c>
      <c r="F1165" s="1080" t="str">
        <f>VLOOKUP($B1165,DG!A:D,DG!$C$2,)&amp;":"</f>
        <v>Lắp cáp đồng xuống thiết bị D &gt; 150mm2:</v>
      </c>
      <c r="G1165" s="1079" t="str">
        <f>VLOOKUP($B1165,DG!A:D,DG!$D$2,)</f>
        <v>m</v>
      </c>
      <c r="H1165" s="1851"/>
      <c r="I1165" s="1259">
        <f t="shared" si="79"/>
        <v>0</v>
      </c>
      <c r="J1165" s="1081"/>
      <c r="K1165" s="1081"/>
      <c r="L1165" s="1110"/>
      <c r="M1165" s="975">
        <v>160</v>
      </c>
    </row>
    <row r="1166" spans="1:13" s="1083" customFormat="1" ht="25.2" hidden="1" customHeight="1">
      <c r="A1166" s="1153">
        <f t="shared" si="78"/>
        <v>0</v>
      </c>
      <c r="B1166" s="1154" t="s">
        <v>2010</v>
      </c>
      <c r="C1166" s="1154"/>
      <c r="D1166" s="1090"/>
      <c r="E1166" s="1079" t="str">
        <f>VLOOKUP($B1166,DG!A:D,DG!$B$2,)</f>
        <v>04.4202</v>
      </c>
      <c r="F1166" s="1162" t="str">
        <f>VLOOKUP($B1166,DG!A:D,DG!$C$2,)&amp;":"</f>
        <v>Lắp cáp đồng xuống thiết bị D ≤ 150mm2:</v>
      </c>
      <c r="G1166" s="1079" t="str">
        <f>VLOOKUP($B1166,DG!A:D,DG!$D$2,)</f>
        <v>m</v>
      </c>
      <c r="H1166" s="1851">
        <f>H1141+H1142</f>
        <v>34</v>
      </c>
      <c r="I1166" s="1259">
        <f t="shared" si="79"/>
        <v>0</v>
      </c>
      <c r="J1166" s="1081"/>
      <c r="K1166" s="1081"/>
      <c r="L1166" s="1082"/>
      <c r="M1166" s="975">
        <v>160</v>
      </c>
    </row>
    <row r="1167" spans="1:13" s="1083" customFormat="1" ht="25.2" hidden="1" customHeight="1">
      <c r="A1167" s="1153">
        <f t="shared" si="78"/>
        <v>0</v>
      </c>
      <c r="B1167" s="1154" t="s">
        <v>242</v>
      </c>
      <c r="C1167" s="1154"/>
      <c r="D1167" s="1090"/>
      <c r="E1167" s="1079">
        <f>VLOOKUP($B1167,DG!A:D,DG!$B$2,)</f>
        <v>0</v>
      </c>
      <c r="F1167" s="1080" t="str">
        <f>VLOOKUP($B1167,DG!A:D,DG!$C$2,)&amp;":"</f>
        <v>Bộ móng tủ bù 0,2x0,2x0,4x4móng:</v>
      </c>
      <c r="G1167" s="1079" t="str">
        <f>VLOOKUP($B1167,DG!A:D,DG!$D$2,)</f>
        <v>trọn bộ</v>
      </c>
      <c r="H1167" s="1851">
        <f>H1139*1*0</f>
        <v>0</v>
      </c>
      <c r="I1167" s="1259">
        <f t="shared" si="79"/>
        <v>0</v>
      </c>
      <c r="J1167" s="1081"/>
      <c r="K1167" s="1081"/>
      <c r="L1167" s="1082"/>
      <c r="M1167" s="975">
        <v>160</v>
      </c>
    </row>
    <row r="1168" spans="1:13" s="1083" customFormat="1" ht="25.2" hidden="1" customHeight="1">
      <c r="A1168" s="1153">
        <f t="shared" si="78"/>
        <v>0</v>
      </c>
      <c r="B1168" s="1154"/>
      <c r="C1168" s="1154"/>
      <c r="D1168" s="1084">
        <f>IF(H1168&gt;0,D1139+1,D1139)</f>
        <v>0</v>
      </c>
      <c r="E1168" s="1085"/>
      <c r="F1168" s="1094" t="s">
        <v>3747</v>
      </c>
      <c r="G1168" s="1084" t="s">
        <v>2391</v>
      </c>
      <c r="H1168" s="1888"/>
      <c r="I1168" s="1259">
        <f t="shared" si="79"/>
        <v>0</v>
      </c>
      <c r="J1168" s="1081"/>
      <c r="K1168" s="1081"/>
      <c r="L1168" s="1110"/>
      <c r="M1168" s="975">
        <v>160</v>
      </c>
    </row>
    <row r="1169" spans="1:13" s="1134" customFormat="1" ht="25.2" hidden="1" customHeight="1">
      <c r="A1169" s="1153">
        <f t="shared" si="78"/>
        <v>0</v>
      </c>
      <c r="B1169" s="1357"/>
      <c r="C1169" s="1357"/>
      <c r="D1169" s="1078"/>
      <c r="E1169" s="1088"/>
      <c r="F1169" s="1368" t="s">
        <v>2285</v>
      </c>
      <c r="G1169" s="1078"/>
      <c r="H1169" s="1868"/>
      <c r="I1169" s="1259">
        <f t="shared" si="79"/>
        <v>0</v>
      </c>
      <c r="J1169" s="1081"/>
      <c r="K1169" s="1081"/>
      <c r="L1169" s="1110"/>
      <c r="M1169" s="975">
        <v>160</v>
      </c>
    </row>
    <row r="1170" spans="1:13" s="1083" customFormat="1" ht="25.2" hidden="1" customHeight="1">
      <c r="A1170" s="1153">
        <f t="shared" si="78"/>
        <v>0</v>
      </c>
      <c r="B1170" s="1324" t="s">
        <v>1826</v>
      </c>
      <c r="C1170" s="1324"/>
      <c r="D1170" s="1110"/>
      <c r="E1170" s="1079" t="str">
        <f>VLOOKUP($B1170,DG!A:D,DG!$B$2,)</f>
        <v>03.1401</v>
      </c>
      <c r="F1170" s="1108" t="str">
        <f>VLOOKUP($B1170,DG!A:D,DG!$C$2,)</f>
        <v xml:space="preserve">Cáp CVV 4x2,5mm2  </v>
      </c>
      <c r="G1170" s="1135" t="str">
        <f>VLOOKUP($B1170,DG!A:D,DG!$D$2,)</f>
        <v>mét</v>
      </c>
      <c r="H1170" s="1851">
        <f>H1168*26</f>
        <v>0</v>
      </c>
      <c r="I1170" s="1259">
        <f t="shared" si="79"/>
        <v>0</v>
      </c>
      <c r="J1170" s="1131"/>
      <c r="K1170" s="1131"/>
      <c r="L1170" s="1110"/>
      <c r="M1170" s="975">
        <v>160</v>
      </c>
    </row>
    <row r="1171" spans="1:13" s="1083" customFormat="1" ht="25.2" hidden="1" customHeight="1">
      <c r="A1171" s="1153">
        <f t="shared" si="78"/>
        <v>0</v>
      </c>
      <c r="B1171" s="1324" t="s">
        <v>246</v>
      </c>
      <c r="C1171" s="1324"/>
      <c r="D1171" s="1110"/>
      <c r="E1171" s="1079" t="str">
        <f>VLOOKUP($B1171,DG!A:D,DG!$B$2,)</f>
        <v>05.6101</v>
      </c>
      <c r="F1171" s="1108" t="str">
        <f>VLOOKUP($B1171,DG!A:D,DG!$C$2,)</f>
        <v>Xà kẹp TU, TI U50x32x4 350</v>
      </c>
      <c r="G1171" s="1135" t="str">
        <f>VLOOKUP($B1171,DG!A:D,DG!$D$2,)</f>
        <v>Bộ</v>
      </c>
      <c r="H1171" s="1851">
        <f>H1168*24</f>
        <v>0</v>
      </c>
      <c r="I1171" s="1259">
        <f t="shared" si="79"/>
        <v>0</v>
      </c>
      <c r="J1171" s="1131"/>
      <c r="K1171" s="1131"/>
      <c r="L1171" s="1110"/>
      <c r="M1171" s="975">
        <v>160</v>
      </c>
    </row>
    <row r="1172" spans="1:13" s="1083" customFormat="1" ht="25.2" hidden="1" customHeight="1">
      <c r="A1172" s="1153">
        <f t="shared" si="78"/>
        <v>0</v>
      </c>
      <c r="B1172" s="1324" t="s">
        <v>1869</v>
      </c>
      <c r="C1172" s="1324"/>
      <c r="D1172" s="1090"/>
      <c r="E1172" s="1079" t="str">
        <f>VLOOKUP($B1172,DG!A:D,DG!$B$2,)</f>
        <v>03.4001</v>
      </c>
      <c r="F1172" s="1108" t="str">
        <f>VLOOKUP($B1172,DG!A:D,DG!$C$2,)</f>
        <v xml:space="preserve">Đầu cosse ép Cu 2,5mm2 + bao PVC </v>
      </c>
      <c r="G1172" s="1135" t="str">
        <f>VLOOKUP($B1172,DG!A:D,DG!$D$2,)</f>
        <v>cái</v>
      </c>
      <c r="H1172" s="1851">
        <f>H1168*16</f>
        <v>0</v>
      </c>
      <c r="I1172" s="1259">
        <f t="shared" si="79"/>
        <v>0</v>
      </c>
      <c r="J1172" s="1131"/>
      <c r="K1172" s="1131"/>
      <c r="L1172" s="1110"/>
      <c r="M1172" s="975">
        <v>160</v>
      </c>
    </row>
    <row r="1173" spans="1:13" s="1083" customFormat="1" ht="25.2" hidden="1" customHeight="1">
      <c r="A1173" s="1153">
        <f t="shared" si="78"/>
        <v>0</v>
      </c>
      <c r="B1173" s="1324" t="s">
        <v>1513</v>
      </c>
      <c r="C1173" s="1324"/>
      <c r="D1173" s="1090"/>
      <c r="E1173" s="1079">
        <f>VLOOKUP($B1173,DG!A:D,DG!$B$2,)</f>
        <v>0</v>
      </c>
      <c r="F1173" s="1108" t="str">
        <f>VLOOKUP($B1173,DG!A:D,DG!$C$2,)</f>
        <v>Dây điện đôi 16/10</v>
      </c>
      <c r="G1173" s="1135" t="str">
        <f>VLOOKUP($B1173,DG!A:D,DG!$D$2,)</f>
        <v>mét</v>
      </c>
      <c r="H1173" s="1851">
        <f>2*H1168</f>
        <v>0</v>
      </c>
      <c r="I1173" s="1259">
        <f t="shared" si="79"/>
        <v>0</v>
      </c>
      <c r="J1173" s="1131"/>
      <c r="K1173" s="1131"/>
      <c r="L1173" s="1110"/>
      <c r="M1173" s="975">
        <v>160</v>
      </c>
    </row>
    <row r="1174" spans="1:13" s="1083" customFormat="1" ht="25.2" hidden="1" customHeight="1">
      <c r="A1174" s="1153">
        <f t="shared" si="78"/>
        <v>0</v>
      </c>
      <c r="B1174" s="1324" t="s">
        <v>1114</v>
      </c>
      <c r="C1174" s="1324"/>
      <c r="D1174" s="1090"/>
      <c r="E1174" s="1079">
        <f>VLOOKUP($B1174,DG!A:D,DG!$B$2,)</f>
        <v>0</v>
      </c>
      <c r="F1174" s="1108" t="str">
        <f>VLOOKUP($B1174,DG!A:D,DG!$C$2,)&amp;" (ñaáu TU )"</f>
        <v>Kẹp ép cỡ dây 25mm2 (ñaáu TU )</v>
      </c>
      <c r="G1174" s="1135" t="str">
        <f>VLOOKUP($B1174,DG!A:D,DG!$D$2,)</f>
        <v>cái</v>
      </c>
      <c r="H1174" s="1851">
        <f>+H1168*3</f>
        <v>0</v>
      </c>
      <c r="I1174" s="1259">
        <f t="shared" si="79"/>
        <v>0</v>
      </c>
      <c r="J1174" s="1131"/>
      <c r="K1174" s="1131"/>
      <c r="L1174" s="1110"/>
      <c r="M1174" s="975">
        <v>160</v>
      </c>
    </row>
    <row r="1175" spans="1:13" s="1083" customFormat="1" ht="25.2" hidden="1" customHeight="1">
      <c r="A1175" s="1153">
        <f t="shared" si="78"/>
        <v>0</v>
      </c>
      <c r="B1175" s="1324" t="s">
        <v>2147</v>
      </c>
      <c r="C1175" s="1324"/>
      <c r="D1175" s="1090"/>
      <c r="E1175" s="1079" t="str">
        <f>VLOOKUP($B1175,DG!A:D,DG!$B$2,)</f>
        <v>07.2403</v>
      </c>
      <c r="F1175" s="1108" t="str">
        <f>VLOOKUP($B1175,DG!A:D,DG!$C$2,)</f>
        <v>Ống PVC D42x2,1mm</v>
      </c>
      <c r="G1175" s="1135" t="str">
        <f>VLOOKUP($B1175,DG!A:D,DG!$D$2,)</f>
        <v>m</v>
      </c>
      <c r="H1175" s="1851">
        <f>H1168*16</f>
        <v>0</v>
      </c>
      <c r="I1175" s="1259">
        <f t="shared" si="79"/>
        <v>0</v>
      </c>
      <c r="J1175" s="1131"/>
      <c r="K1175" s="1131"/>
      <c r="L1175" s="1110"/>
      <c r="M1175" s="975">
        <v>160</v>
      </c>
    </row>
    <row r="1176" spans="1:13" s="1083" customFormat="1" ht="25.2" hidden="1" customHeight="1">
      <c r="A1176" s="1153">
        <f t="shared" si="78"/>
        <v>0</v>
      </c>
      <c r="B1176" s="1154" t="s">
        <v>204</v>
      </c>
      <c r="C1176" s="1154"/>
      <c r="D1176" s="1090"/>
      <c r="E1176" s="1079" t="str">
        <f>VLOOKUP($B1176,DG!A:D,DG!$B$2,)</f>
        <v>06.3231</v>
      </c>
      <c r="F1176" s="1108" t="str">
        <f>VLOOKUP($B1176,DG!A:D,DG!$C$2,)</f>
        <v>Cổ dê giữ ống PVC D42</v>
      </c>
      <c r="G1176" s="1135" t="str">
        <f>VLOOKUP($B1176,DG!A:D,DG!$D$2,)</f>
        <v>bộ</v>
      </c>
      <c r="H1176" s="1851">
        <f>H1168*4</f>
        <v>0</v>
      </c>
      <c r="I1176" s="1259">
        <f t="shared" si="79"/>
        <v>0</v>
      </c>
      <c r="J1176" s="1131"/>
      <c r="K1176" s="1131"/>
      <c r="L1176" s="1110"/>
      <c r="M1176" s="975">
        <v>160</v>
      </c>
    </row>
    <row r="1177" spans="1:13" s="1083" customFormat="1" ht="25.2" hidden="1" customHeight="1">
      <c r="A1177" s="1153">
        <f t="shared" si="78"/>
        <v>0</v>
      </c>
      <c r="B1177" s="1324" t="s">
        <v>1619</v>
      </c>
      <c r="C1177" s="1324"/>
      <c r="D1177" s="1090"/>
      <c r="E1177" s="1079">
        <f>VLOOKUP($B1177,DG!A:D,DG!$B$2,)</f>
        <v>0</v>
      </c>
      <c r="F1177" s="1108" t="str">
        <f>VLOOKUP($B1177,DG!A:D,DG!$C$2,)</f>
        <v>Co 90 độ PVC 42</v>
      </c>
      <c r="G1177" s="1135" t="str">
        <f>VLOOKUP($B1177,DG!A:D,DG!$D$2,)</f>
        <v>cái</v>
      </c>
      <c r="H1177" s="1851">
        <f>H1168*5</f>
        <v>0</v>
      </c>
      <c r="I1177" s="1259">
        <f t="shared" si="79"/>
        <v>0</v>
      </c>
      <c r="J1177" s="1131"/>
      <c r="K1177" s="1131"/>
      <c r="L1177" s="1110"/>
      <c r="M1177" s="975">
        <v>160</v>
      </c>
    </row>
    <row r="1178" spans="1:13" s="1083" customFormat="1" ht="25.2" hidden="1" customHeight="1">
      <c r="A1178" s="1153">
        <f t="shared" ref="A1178:A1241" si="82">IF(I1178&gt;0,1,0)</f>
        <v>0</v>
      </c>
      <c r="B1178" s="1324" t="s">
        <v>1050</v>
      </c>
      <c r="C1178" s="1324"/>
      <c r="D1178" s="1090"/>
      <c r="E1178" s="1079">
        <f>VLOOKUP($B1178,DG!A:D,DG!$B$2,)</f>
        <v>0</v>
      </c>
      <c r="F1178" s="1108" t="str">
        <f>VLOOKUP($B1178,DG!A:D,DG!$C$2,)</f>
        <v>Co chữ T ống PVC 42</v>
      </c>
      <c r="G1178" s="1135" t="str">
        <f>VLOOKUP($B1178,DG!A:D,DG!$D$2,)</f>
        <v>cái</v>
      </c>
      <c r="H1178" s="1851">
        <f>H1168*5</f>
        <v>0</v>
      </c>
      <c r="I1178" s="1259">
        <f t="shared" si="79"/>
        <v>0</v>
      </c>
      <c r="J1178" s="1131"/>
      <c r="K1178" s="1131"/>
      <c r="L1178" s="1110"/>
      <c r="M1178" s="975">
        <v>160</v>
      </c>
    </row>
    <row r="1179" spans="1:13" s="1083" customFormat="1" ht="25.2" hidden="1" customHeight="1">
      <c r="A1179" s="1153">
        <f t="shared" si="82"/>
        <v>0</v>
      </c>
      <c r="B1179" s="1324" t="s">
        <v>1917</v>
      </c>
      <c r="C1179" s="1324"/>
      <c r="D1179" s="1090"/>
      <c r="E1179" s="1079">
        <f>VLOOKUP($B1179,DG!A:D,DG!$B$2,)</f>
        <v>0</v>
      </c>
      <c r="F1179" s="1108" t="str">
        <f>VLOOKUP($B1179,DG!A:D,DG!$C$2,)</f>
        <v>Nối thẳng ống PVC 42</v>
      </c>
      <c r="G1179" s="1135" t="str">
        <f>VLOOKUP($B1179,DG!A:D,DG!$D$2,)</f>
        <v>cái</v>
      </c>
      <c r="H1179" s="1851">
        <f>H1168</f>
        <v>0</v>
      </c>
      <c r="I1179" s="1259">
        <f t="shared" si="79"/>
        <v>0</v>
      </c>
      <c r="J1179" s="1131"/>
      <c r="K1179" s="1131"/>
      <c r="L1179" s="1110"/>
      <c r="M1179" s="975">
        <v>160</v>
      </c>
    </row>
    <row r="1180" spans="1:13" s="1083" customFormat="1" ht="25.2" hidden="1" customHeight="1">
      <c r="A1180" s="1153">
        <f t="shared" si="82"/>
        <v>0</v>
      </c>
      <c r="B1180" s="1324" t="s">
        <v>697</v>
      </c>
      <c r="C1180" s="1324"/>
      <c r="D1180" s="1090"/>
      <c r="E1180" s="1079">
        <f>VLOOKUP($B1180,DG!A:D,DG!$B$2,)</f>
        <v>0</v>
      </c>
      <c r="F1180" s="1108" t="str">
        <f>VLOOKUP($B1180,DG!A:D,DG!$C$2,)&amp;" ñaáu TU"</f>
        <v>Cáp 24KV C/XLPE/PVC 25mm2 ñaáu TU</v>
      </c>
      <c r="G1180" s="1135" t="str">
        <f>VLOOKUP($B1180,DG!A:D,DG!$D$2,)</f>
        <v>mét</v>
      </c>
      <c r="H1180" s="1851">
        <f>H1168*2.5*3*0</f>
        <v>0</v>
      </c>
      <c r="I1180" s="1259">
        <f t="shared" si="79"/>
        <v>0</v>
      </c>
      <c r="J1180" s="1131"/>
      <c r="K1180" s="1131"/>
      <c r="L1180" s="1110"/>
      <c r="M1180" s="975">
        <v>160</v>
      </c>
    </row>
    <row r="1181" spans="1:13" s="1083" customFormat="1" ht="25.2" hidden="1" customHeight="1">
      <c r="A1181" s="1153">
        <f t="shared" si="82"/>
        <v>0</v>
      </c>
      <c r="B1181" s="1324" t="s">
        <v>726</v>
      </c>
      <c r="C1181" s="1324"/>
      <c r="D1181" s="1090"/>
      <c r="E1181" s="1079">
        <f>VLOOKUP($B1181,DG!A:D,DG!$B$2,)</f>
        <v>0</v>
      </c>
      <c r="F1181" s="1108" t="str">
        <f>VLOOKUP($B1181,DG!A:D,DG!$C$2,)</f>
        <v>Keo dán ống PVC (500gr)</v>
      </c>
      <c r="G1181" s="1135" t="str">
        <f>VLOOKUP($B1181,DG!A:D,DG!$D$2,)</f>
        <v>lon</v>
      </c>
      <c r="H1181" s="1851">
        <f>H1168</f>
        <v>0</v>
      </c>
      <c r="I1181" s="1259">
        <f t="shared" si="79"/>
        <v>0</v>
      </c>
      <c r="J1181" s="1131"/>
      <c r="K1181" s="1131"/>
      <c r="L1181" s="1110"/>
      <c r="M1181" s="975">
        <v>160</v>
      </c>
    </row>
    <row r="1182" spans="1:13" s="1083" customFormat="1" ht="25.2" hidden="1" customHeight="1">
      <c r="A1182" s="1153">
        <f t="shared" si="82"/>
        <v>0</v>
      </c>
      <c r="B1182" s="1154" t="s">
        <v>672</v>
      </c>
      <c r="C1182" s="1154"/>
      <c r="D1182" s="1090"/>
      <c r="E1182" s="1079">
        <f>VLOOKUP($B1182,DG!A:D,DG!$B$2,)</f>
        <v>0</v>
      </c>
      <c r="F1182" s="1108" t="str">
        <f>VLOOKUP($B1182,DG!A:D,DG!$C$2,)</f>
        <v>Băng keo cách điện</v>
      </c>
      <c r="G1182" s="1135" t="str">
        <f>VLOOKUP($B1182,DG!A:D,DG!$D$2,)</f>
        <v>cuộn</v>
      </c>
      <c r="H1182" s="1851">
        <f>H1168</f>
        <v>0</v>
      </c>
      <c r="I1182" s="1259">
        <f t="shared" si="79"/>
        <v>0</v>
      </c>
      <c r="J1182" s="1081"/>
      <c r="K1182" s="1081"/>
      <c r="L1182" s="1110"/>
      <c r="M1182" s="975">
        <v>160</v>
      </c>
    </row>
    <row r="1183" spans="1:13" s="1083" customFormat="1" ht="25.2" hidden="1" customHeight="1">
      <c r="A1183" s="1153">
        <f t="shared" si="82"/>
        <v>0</v>
      </c>
      <c r="B1183" s="1324" t="s">
        <v>2126</v>
      </c>
      <c r="C1183" s="1324"/>
      <c r="D1183" s="1090"/>
      <c r="E1183" s="1079">
        <f>VLOOKUP($B1183,DG!A:D,DG!$B$2,)</f>
        <v>0</v>
      </c>
      <c r="F1183" s="1108" t="str">
        <f>VLOOKUP($B1183,DG!A:D,DG!$C$2,)</f>
        <v>Khâu ven răng trong D42</v>
      </c>
      <c r="G1183" s="1135" t="str">
        <f>VLOOKUP($B1183,DG!A:D,DG!$D$2,)</f>
        <v>cái</v>
      </c>
      <c r="H1183" s="1851">
        <f>H1168</f>
        <v>0</v>
      </c>
      <c r="I1183" s="1259">
        <f t="shared" si="79"/>
        <v>0</v>
      </c>
      <c r="J1183" s="1081"/>
      <c r="K1183" s="1081"/>
      <c r="L1183" s="1110"/>
      <c r="M1183" s="975">
        <v>160</v>
      </c>
    </row>
    <row r="1184" spans="1:13" s="1083" customFormat="1" ht="25.2" hidden="1" customHeight="1">
      <c r="A1184" s="1153">
        <f t="shared" si="82"/>
        <v>0</v>
      </c>
      <c r="B1184" s="1154" t="s">
        <v>959</v>
      </c>
      <c r="C1184" s="1154"/>
      <c r="D1184" s="1090"/>
      <c r="E1184" s="1079">
        <f>VLOOKUP($B1184,DG!A:D,DG!$B$2,)</f>
        <v>0</v>
      </c>
      <c r="F1184" s="1108" t="str">
        <f>VLOOKUP($B1184,DG!A:D,DG!$C$2,)</f>
        <v>Khâu ven răng ngoài D42</v>
      </c>
      <c r="G1184" s="1135" t="str">
        <f>VLOOKUP($B1184,DG!A:D,DG!$D$2,)</f>
        <v>cái</v>
      </c>
      <c r="H1184" s="1851">
        <f>H1168</f>
        <v>0</v>
      </c>
      <c r="I1184" s="1259">
        <f t="shared" si="79"/>
        <v>0</v>
      </c>
      <c r="J1184" s="1081"/>
      <c r="K1184" s="1081"/>
      <c r="L1184" s="1110"/>
      <c r="M1184" s="975">
        <v>160</v>
      </c>
    </row>
    <row r="1185" spans="1:13" s="1083" customFormat="1" ht="25.2" hidden="1" customHeight="1">
      <c r="A1185" s="1153">
        <f t="shared" si="82"/>
        <v>0</v>
      </c>
      <c r="B1185" s="1154" t="s">
        <v>319</v>
      </c>
      <c r="C1185" s="1154"/>
      <c r="D1185" s="1090"/>
      <c r="E1185" s="1079" t="str">
        <f>VLOOKUP($B1185,DG!A:D,DG!$B$2,)</f>
        <v>06.3231</v>
      </c>
      <c r="F1185" s="1108" t="str">
        <f>VLOOKUP($B1185,DG!A:D,DG!$C$2,)</f>
        <v>Cổ dê CDĐKĐT( bắt thùng điện kế)</v>
      </c>
      <c r="G1185" s="1135" t="str">
        <f>VLOOKUP($B1185,DG!A:D,DG!$D$2,)</f>
        <v>bộ</v>
      </c>
      <c r="H1185" s="1889">
        <f>H1168*2*0</f>
        <v>0</v>
      </c>
      <c r="I1185" s="1259">
        <f t="shared" si="79"/>
        <v>0</v>
      </c>
      <c r="J1185" s="1081"/>
      <c r="K1185" s="1081"/>
      <c r="L1185" s="1082"/>
      <c r="M1185" s="975">
        <v>160</v>
      </c>
    </row>
    <row r="1186" spans="1:13" s="1083" customFormat="1" ht="25.2" hidden="1" customHeight="1">
      <c r="A1186" s="1153">
        <f t="shared" si="82"/>
        <v>0</v>
      </c>
      <c r="B1186" s="1154" t="s">
        <v>1919</v>
      </c>
      <c r="C1186" s="1154"/>
      <c r="D1186" s="1090"/>
      <c r="E1186" s="1079" t="str">
        <f>VLOOKUP($B1186,DG!A:D,DG!$B$2,)</f>
        <v>05.1101</v>
      </c>
      <c r="F1186" s="1108" t="str">
        <f>VLOOKUP($B1186,DG!A:D,DG!$C$2,)</f>
        <v>Thùng điện kế 450x300x200mm đo đếm trung thế</v>
      </c>
      <c r="G1186" s="1135" t="str">
        <f>VLOOKUP($B1186,DG!A:D,DG!$D$2,)</f>
        <v>cái</v>
      </c>
      <c r="H1186" s="1851">
        <f>H1168*0</f>
        <v>0</v>
      </c>
      <c r="I1186" s="1259">
        <f t="shared" si="79"/>
        <v>0</v>
      </c>
      <c r="J1186" s="1081"/>
      <c r="K1186" s="1081"/>
      <c r="L1186" s="1110"/>
      <c r="M1186" s="975">
        <v>160</v>
      </c>
    </row>
    <row r="1187" spans="1:13" s="1083" customFormat="1" ht="25.2" hidden="1" customHeight="1">
      <c r="A1187" s="1153">
        <f t="shared" si="82"/>
        <v>0</v>
      </c>
      <c r="B1187" s="1154" t="s">
        <v>6</v>
      </c>
      <c r="C1187" s="1154"/>
      <c r="D1187" s="1090"/>
      <c r="E1187" s="1079">
        <f>VLOOKUP($B1187,DG!A:D,DG!$B$2,)</f>
        <v>0</v>
      </c>
      <c r="F1187" s="1108" t="str">
        <f>VLOOKUP($B1187,DG!A:D,DG!$C$2,)</f>
        <v>Keo silicon bít miệng ống</v>
      </c>
      <c r="G1187" s="1135" t="str">
        <f>VLOOKUP($B1187,DG!A:D,DG!$D$2,)</f>
        <v>ống</v>
      </c>
      <c r="H1187" s="1851">
        <f>H1168</f>
        <v>0</v>
      </c>
      <c r="I1187" s="1259">
        <f t="shared" si="79"/>
        <v>0</v>
      </c>
      <c r="J1187" s="1081"/>
      <c r="K1187" s="1081"/>
      <c r="L1187" s="1110"/>
      <c r="M1187" s="975">
        <v>160</v>
      </c>
    </row>
    <row r="1188" spans="1:13" s="1083" customFormat="1" ht="25.2" hidden="1" customHeight="1">
      <c r="A1188" s="1153">
        <f t="shared" si="82"/>
        <v>0</v>
      </c>
      <c r="B1188" s="1154" t="s">
        <v>2145</v>
      </c>
      <c r="C1188" s="1154"/>
      <c r="D1188" s="1090"/>
      <c r="E1188" s="1079">
        <f>VLOOKUP($B1188,DG!A:D,DG!$B$2,)</f>
        <v>0</v>
      </c>
      <c r="F1188" s="1108" t="str">
        <f>VLOOKUP($B1188,DG!A:D,DG!$C$2,)</f>
        <v>Dây đồng trần mềm dẹt</v>
      </c>
      <c r="G1188" s="1135" t="str">
        <f>VLOOKUP($B1188,DG!A:D,DG!$D$2,)</f>
        <v>mét</v>
      </c>
      <c r="H1188" s="1851">
        <f>H1168*4</f>
        <v>0</v>
      </c>
      <c r="I1188" s="1259">
        <f t="shared" si="79"/>
        <v>0</v>
      </c>
      <c r="J1188" s="1081"/>
      <c r="K1188" s="1081"/>
      <c r="L1188" s="1110"/>
      <c r="M1188" s="975">
        <v>160</v>
      </c>
    </row>
    <row r="1189" spans="1:13" s="1083" customFormat="1" ht="25.2" hidden="1" customHeight="1">
      <c r="A1189" s="1153">
        <f t="shared" si="82"/>
        <v>0</v>
      </c>
      <c r="B1189" s="1154" t="s">
        <v>1219</v>
      </c>
      <c r="C1189" s="1154"/>
      <c r="D1189" s="1090"/>
      <c r="E1189" s="1079" t="str">
        <f>VLOOKUP($B1189,DG!A:D,DG!$B$2,)</f>
        <v>06.3191</v>
      </c>
      <c r="F1189" s="1108" t="str">
        <f>VLOOKUP($B1189,DG!A:D,DG!$C$2,)</f>
        <v>Bảng tên trạm, bảng báo nguy hiểm + đinh vít</v>
      </c>
      <c r="G1189" s="1135" t="str">
        <f>VLOOKUP($B1189,DG!A:D,DG!$D$2,)</f>
        <v>bộ</v>
      </c>
      <c r="H1189" s="1851">
        <f>H1168</f>
        <v>0</v>
      </c>
      <c r="I1189" s="1259">
        <f t="shared" si="79"/>
        <v>0</v>
      </c>
      <c r="J1189" s="1081"/>
      <c r="K1189" s="1081"/>
      <c r="L1189" s="1110"/>
      <c r="M1189" s="975">
        <v>160</v>
      </c>
    </row>
    <row r="1190" spans="1:13" s="1083" customFormat="1" ht="25.2" hidden="1" customHeight="1">
      <c r="A1190" s="1153">
        <f t="shared" si="82"/>
        <v>0</v>
      </c>
      <c r="B1190" s="1154" t="s">
        <v>1353</v>
      </c>
      <c r="C1190" s="1154"/>
      <c r="D1190" s="1090"/>
      <c r="E1190" s="1079">
        <f>VLOOKUP($B1190,DG!A:D,DG!$B$2,)</f>
        <v>0</v>
      </c>
      <c r="F1190" s="1108" t="str">
        <f>VLOOKUP($B1190,DG!A:D,DG!$C$2,)&amp;" baét thuøng ÑKÑT"</f>
        <v>Boulon 12x60+ 2 long đền vuông D14-50x50x3/Zn baét thuøng ÑKÑT</v>
      </c>
      <c r="G1190" s="1135" t="str">
        <f>VLOOKUP($B1190,DG!A:D,DG!$D$2,)</f>
        <v>bộ</v>
      </c>
      <c r="H1190" s="1851">
        <f>4*H1168*0</f>
        <v>0</v>
      </c>
      <c r="I1190" s="1259">
        <f t="shared" si="79"/>
        <v>0</v>
      </c>
      <c r="J1190" s="1081"/>
      <c r="K1190" s="1081"/>
      <c r="L1190" s="1110"/>
      <c r="M1190" s="975">
        <v>160</v>
      </c>
    </row>
    <row r="1191" spans="1:13" s="1083" customFormat="1" ht="25.2" hidden="1" customHeight="1">
      <c r="A1191" s="1153">
        <f t="shared" si="82"/>
        <v>0</v>
      </c>
      <c r="B1191" s="1154"/>
      <c r="C1191" s="1154"/>
      <c r="D1191" s="1115"/>
      <c r="E1191" s="1116"/>
      <c r="F1191" s="1105" t="s">
        <v>3748</v>
      </c>
      <c r="G1191" s="1105"/>
      <c r="H1191" s="1875"/>
      <c r="I1191" s="1259">
        <f t="shared" si="79"/>
        <v>0</v>
      </c>
      <c r="J1191" s="1105"/>
      <c r="K1191" s="1105"/>
      <c r="L1191" s="1136"/>
      <c r="M1191" s="975">
        <v>160</v>
      </c>
    </row>
    <row r="1192" spans="1:13" s="1083" customFormat="1" ht="25.2" hidden="1" customHeight="1">
      <c r="A1192" s="1153">
        <f t="shared" si="82"/>
        <v>0</v>
      </c>
      <c r="B1192" s="1154" t="s">
        <v>966</v>
      </c>
      <c r="C1192" s="1154"/>
      <c r="D1192" s="1090"/>
      <c r="E1192" s="1079" t="str">
        <f>VLOOKUP($B1192,DG!A:D,DG!$B$2,)</f>
        <v>02.5114</v>
      </c>
      <c r="F1192" s="1108" t="s">
        <v>3749</v>
      </c>
      <c r="G1192" s="1135" t="str">
        <f>VLOOKUP($B1192,DG!A:D,DG!$D$2,)</f>
        <v>cái</v>
      </c>
      <c r="H1192" s="1851"/>
      <c r="I1192" s="1259">
        <f t="shared" si="79"/>
        <v>0</v>
      </c>
      <c r="J1192" s="1081"/>
      <c r="K1192" s="1081"/>
      <c r="L1192" s="1110" t="s">
        <v>3750</v>
      </c>
      <c r="M1192" s="975">
        <v>160</v>
      </c>
    </row>
    <row r="1193" spans="1:13" s="1083" customFormat="1" ht="25.2" hidden="1" customHeight="1">
      <c r="A1193" s="1153">
        <f t="shared" si="82"/>
        <v>0</v>
      </c>
      <c r="B1193" s="1154" t="s">
        <v>1910</v>
      </c>
      <c r="C1193" s="1154"/>
      <c r="D1193" s="1090"/>
      <c r="E1193" s="1079" t="str">
        <f>VLOOKUP($B1193,DG!A:D,DG!$B$2,)</f>
        <v>05.6011</v>
      </c>
      <c r="F1193" s="1108" t="s">
        <v>2467</v>
      </c>
      <c r="G1193" s="1135" t="str">
        <f>VLOOKUP($B1193,DG!A:D,DG!$D$2,)</f>
        <v>bộ</v>
      </c>
      <c r="H1193" s="1851"/>
      <c r="I1193" s="1259">
        <f t="shared" si="79"/>
        <v>0</v>
      </c>
      <c r="J1193" s="1081"/>
      <c r="K1193" s="1081"/>
      <c r="L1193" s="1082"/>
      <c r="M1193" s="975">
        <v>160</v>
      </c>
    </row>
    <row r="1194" spans="1:13" s="1083" customFormat="1" ht="25.2" hidden="1" customHeight="1">
      <c r="A1194" s="1153">
        <f t="shared" si="82"/>
        <v>0</v>
      </c>
      <c r="B1194" s="1154"/>
      <c r="C1194" s="1154"/>
      <c r="D1194" s="1137"/>
      <c r="E1194" s="1138"/>
      <c r="F1194" s="1105"/>
      <c r="G1194" s="1139"/>
      <c r="H1194" s="1878"/>
      <c r="I1194" s="1878">
        <f t="shared" si="79"/>
        <v>0</v>
      </c>
      <c r="J1194" s="1140"/>
      <c r="K1194" s="1141"/>
      <c r="L1194" s="1107"/>
      <c r="M1194" s="975">
        <v>160</v>
      </c>
    </row>
    <row r="1195" spans="1:13" s="1083" customFormat="1" ht="25.2" hidden="1" customHeight="1">
      <c r="A1195" s="1153">
        <f t="shared" si="82"/>
        <v>0</v>
      </c>
      <c r="B1195" s="1154"/>
      <c r="C1195" s="1154"/>
      <c r="D1195" s="1142"/>
      <c r="F1195" s="1143"/>
      <c r="H1195" s="1880"/>
      <c r="I1195" s="1259">
        <f t="shared" si="79"/>
        <v>0</v>
      </c>
      <c r="M1195" s="975"/>
    </row>
    <row r="1196" spans="1:13" s="1083" customFormat="1" ht="25.2" hidden="1" customHeight="1">
      <c r="A1196" s="1153">
        <f t="shared" si="82"/>
        <v>0</v>
      </c>
      <c r="B1196" s="1350"/>
      <c r="C1196" s="1350"/>
      <c r="D1196" s="981" t="e">
        <f>"BAÛNG TOÅNG HÔÏP VAÄT LIEÄU, NHAÂN COÂNG, MAÙY THI COÂNG : "&amp;#REF!&amp;" TRAÏM 3P_250KVA"</f>
        <v>#REF!</v>
      </c>
      <c r="E1196" s="981"/>
      <c r="F1196" s="981"/>
      <c r="G1196" s="981"/>
      <c r="H1196" s="1872"/>
      <c r="I1196" s="1259">
        <f t="shared" ref="I1196:I1259" si="83">IF(M1196=$M$23,H1196+J1196-K1196,0)</f>
        <v>0</v>
      </c>
      <c r="J1196" s="1144"/>
      <c r="K1196" s="1144"/>
      <c r="L1196" s="1145"/>
      <c r="M1196" s="975"/>
    </row>
    <row r="1197" spans="1:13" s="1083" customFormat="1" ht="25.2" hidden="1" customHeight="1">
      <c r="A1197" s="1153">
        <f t="shared" si="82"/>
        <v>0</v>
      </c>
      <c r="B1197" s="1324"/>
      <c r="C1197" s="1324"/>
      <c r="D1197" s="1103"/>
      <c r="E1197" s="1104"/>
      <c r="F1197" s="1105" t="s">
        <v>3690</v>
      </c>
      <c r="G1197" s="1106"/>
      <c r="H1197" s="1908"/>
      <c r="I1197" s="1259">
        <f t="shared" si="83"/>
        <v>0</v>
      </c>
      <c r="J1197" s="1106"/>
      <c r="K1197" s="1106"/>
      <c r="L1197" s="1107"/>
      <c r="M1197" s="975">
        <v>250</v>
      </c>
    </row>
    <row r="1198" spans="1:13" s="1083" customFormat="1" ht="25.2" hidden="1" customHeight="1">
      <c r="A1198" s="1153">
        <f t="shared" si="82"/>
        <v>0</v>
      </c>
      <c r="B1198" s="1325" t="s">
        <v>4525</v>
      </c>
      <c r="C1198" s="1325"/>
      <c r="D1198" s="1090">
        <f>IF(H1198&gt;0,1,0)</f>
        <v>0</v>
      </c>
      <c r="E1198" s="1079" t="str">
        <f>VLOOKUP($B1198,DG!A:D,DG!$B$2,)</f>
        <v>01.1415</v>
      </c>
      <c r="F1198" s="1080" t="str">
        <f>VLOOKUP($B1198,DG!A:D,DG!$C$2,)</f>
        <v>Máy biến áp 22/0,4kV- 250kVA</v>
      </c>
      <c r="G1198" s="1079" t="str">
        <f>VLOOKUP($B1198,DG!A:D,DG!$D$2,)</f>
        <v>máy</v>
      </c>
      <c r="H1198" s="1882">
        <f>L11</f>
        <v>0</v>
      </c>
      <c r="I1198" s="1259">
        <f t="shared" si="83"/>
        <v>0</v>
      </c>
      <c r="J1198" s="1108"/>
      <c r="K1198" s="1108"/>
      <c r="L1198" s="1109"/>
      <c r="M1198" s="975">
        <v>250</v>
      </c>
    </row>
    <row r="1199" spans="1:13" s="1083" customFormat="1" ht="25.2" hidden="1" customHeight="1">
      <c r="A1199" s="1153">
        <f t="shared" si="82"/>
        <v>0</v>
      </c>
      <c r="B1199" s="1325" t="s">
        <v>1655</v>
      </c>
      <c r="C1199" s="1325"/>
      <c r="D1199" s="1090">
        <f>IF(H1199&gt;0,D1198+1,D1198)</f>
        <v>0</v>
      </c>
      <c r="E1199" s="1079" t="str">
        <f>VLOOKUP($B1199,DG!A:D,DG!$B$2,)</f>
        <v>02.3155</v>
      </c>
      <c r="F1199" s="1080" t="str">
        <f>VLOOKUP($B1199,DG!A:D,DG!$C$2,)</f>
        <v>FCO 27kV - 100A</v>
      </c>
      <c r="G1199" s="1079" t="str">
        <f>VLOOKUP($B1199,DG!A:D,DG!$D$2,)</f>
        <v>cái</v>
      </c>
      <c r="H1199" s="1851"/>
      <c r="I1199" s="1259">
        <f t="shared" si="83"/>
        <v>0</v>
      </c>
      <c r="J1199" s="1081"/>
      <c r="K1199" s="1081"/>
      <c r="L1199" s="1110"/>
      <c r="M1199" s="975">
        <v>250</v>
      </c>
    </row>
    <row r="1200" spans="1:13" s="1083" customFormat="1" ht="25.2" hidden="1" customHeight="1">
      <c r="A1200" s="1153">
        <f t="shared" si="82"/>
        <v>0</v>
      </c>
      <c r="B1200" s="1325" t="s">
        <v>4526</v>
      </c>
      <c r="C1200" s="1325"/>
      <c r="D1200" s="1090">
        <f t="shared" ref="D1200:D1205" si="84">IF(H1200&gt;0,D1199+1,D1199)</f>
        <v>0</v>
      </c>
      <c r="E1200" s="1079">
        <f>VLOOKUP($B1200,DG!A:D,DG!$B$2,)</f>
        <v>0</v>
      </c>
      <c r="F1200" s="1080" t="str">
        <f>VLOOKUP($B1200,DG!A:D,DG!$C$2,)</f>
        <v>Dây chảy 10K</v>
      </c>
      <c r="G1200" s="1079" t="str">
        <f>VLOOKUP($B1200,DG!A:D,DG!$D$2,)</f>
        <v>Sợi</v>
      </c>
      <c r="H1200" s="1851">
        <f>H1199</f>
        <v>0</v>
      </c>
      <c r="I1200" s="1259">
        <f t="shared" si="83"/>
        <v>0</v>
      </c>
      <c r="J1200" s="1081"/>
      <c r="K1200" s="1081"/>
      <c r="L1200" s="1110"/>
      <c r="M1200" s="975">
        <v>250</v>
      </c>
    </row>
    <row r="1201" spans="1:13" s="1083" customFormat="1" ht="25.2" hidden="1" customHeight="1">
      <c r="A1201" s="1153">
        <f t="shared" si="82"/>
        <v>0</v>
      </c>
      <c r="B1201" s="1324" t="s">
        <v>1376</v>
      </c>
      <c r="C1201" s="1324"/>
      <c r="D1201" s="1090">
        <f t="shared" si="84"/>
        <v>0</v>
      </c>
      <c r="E1201" s="1079" t="str">
        <f>VLOOKUP($B1201,DG!A:D,DG!$B$2,)</f>
        <v>02.5114</v>
      </c>
      <c r="F1201" s="1080" t="str">
        <f>VLOOKUP($B1201,DG!A:D,DG!$C$2,)</f>
        <v>Chống sét van LA-18KV-10KA</v>
      </c>
      <c r="G1201" s="1079" t="str">
        <f>VLOOKUP($B1201,DG!A:D,DG!$D$2,)</f>
        <v>cái</v>
      </c>
      <c r="H1201" s="1851">
        <f>H1198*3</f>
        <v>0</v>
      </c>
      <c r="I1201" s="1259">
        <f t="shared" si="83"/>
        <v>0</v>
      </c>
      <c r="J1201" s="1081"/>
      <c r="K1201" s="1081"/>
      <c r="L1201" s="1110"/>
      <c r="M1201" s="975">
        <v>250</v>
      </c>
    </row>
    <row r="1202" spans="1:13" s="1083" customFormat="1" ht="25.2" hidden="1" customHeight="1">
      <c r="A1202" s="1153">
        <f t="shared" si="82"/>
        <v>0</v>
      </c>
      <c r="B1202" s="1325" t="s">
        <v>953</v>
      </c>
      <c r="C1202" s="1325"/>
      <c r="D1202" s="1090">
        <f t="shared" si="84"/>
        <v>0</v>
      </c>
      <c r="E1202" s="1079" t="str">
        <f>VLOOKUP($B1202,DG!A:D,DG!$B$2,)</f>
        <v>02.8402</v>
      </c>
      <c r="F1202" s="1080" t="str">
        <f>VLOOKUP($B1202,DG!A:D,DG!$C$2,)</f>
        <v>MCCB 3 cực 690V - 400A - 50KA</v>
      </c>
      <c r="G1202" s="1079" t="str">
        <f>VLOOKUP($B1202,DG!A:D,DG!$D$2,)</f>
        <v>cái</v>
      </c>
      <c r="H1202" s="1851">
        <f>H1198</f>
        <v>0</v>
      </c>
      <c r="I1202" s="1259">
        <f t="shared" si="83"/>
        <v>0</v>
      </c>
      <c r="J1202" s="1081"/>
      <c r="K1202" s="1081"/>
      <c r="L1202" s="1110"/>
      <c r="M1202" s="975">
        <v>250</v>
      </c>
    </row>
    <row r="1203" spans="1:13" s="1083" customFormat="1" ht="25.2" hidden="1" customHeight="1">
      <c r="A1203" s="1153">
        <f t="shared" si="82"/>
        <v>0</v>
      </c>
      <c r="B1203" s="1325" t="s">
        <v>4628</v>
      </c>
      <c r="C1203" s="1325"/>
      <c r="D1203" s="1090">
        <f t="shared" si="84"/>
        <v>0</v>
      </c>
      <c r="E1203" s="1079" t="str">
        <f>VLOOKUP($B1203,DG!A:D,DG!$B$2,)</f>
        <v>02.8534</v>
      </c>
      <c r="F1203" s="1080" t="str">
        <f>VLOOKUP($B1203,DG!A:D,DG!$C$2,)</f>
        <v>Tủ tụ bù hạ thế 90kVAr</v>
      </c>
      <c r="G1203" s="1079" t="str">
        <f>VLOOKUP($B1203,DG!A:D,DG!$D$2,)</f>
        <v>tủ</v>
      </c>
      <c r="H1203" s="1851">
        <f>H1198</f>
        <v>0</v>
      </c>
      <c r="I1203" s="1259">
        <f t="shared" si="83"/>
        <v>0</v>
      </c>
      <c r="J1203" s="1081"/>
      <c r="K1203" s="1081"/>
      <c r="L1203" s="1110" t="s">
        <v>4586</v>
      </c>
      <c r="M1203" s="975">
        <v>250</v>
      </c>
    </row>
    <row r="1204" spans="1:13" s="1083" customFormat="1" ht="25.2" hidden="1" customHeight="1">
      <c r="A1204" s="1153">
        <f t="shared" si="82"/>
        <v>0</v>
      </c>
      <c r="B1204" s="1154" t="s">
        <v>897</v>
      </c>
      <c r="C1204" s="1154"/>
      <c r="D1204" s="1090">
        <f t="shared" si="84"/>
        <v>0</v>
      </c>
      <c r="E1204" s="1079">
        <f>VLOOKUP($B1204,DG!A:D,DG!$B$2,)</f>
        <v>0</v>
      </c>
      <c r="F1204" s="1080" t="str">
        <f>VLOOKUP($B1204,DG!A:D,DG!$C$2,)</f>
        <v>Biến dòng 600V - 400/5A</v>
      </c>
      <c r="G1204" s="1079" t="str">
        <f>VLOOKUP($B1204,DG!A:D,DG!$D$2,)</f>
        <v>cái</v>
      </c>
      <c r="H1204" s="1883">
        <f>3*H1198</f>
        <v>0</v>
      </c>
      <c r="I1204" s="1259">
        <f t="shared" si="83"/>
        <v>0</v>
      </c>
      <c r="J1204" s="1081"/>
      <c r="K1204" s="1081"/>
      <c r="L1204" s="1111" t="s">
        <v>2609</v>
      </c>
      <c r="M1204" s="975">
        <v>250</v>
      </c>
    </row>
    <row r="1205" spans="1:13" s="1083" customFormat="1" ht="25.2" hidden="1" customHeight="1">
      <c r="A1205" s="1153">
        <f t="shared" si="82"/>
        <v>0</v>
      </c>
      <c r="B1205" s="1352" t="s">
        <v>1463</v>
      </c>
      <c r="C1205" s="1352"/>
      <c r="D1205" s="1090">
        <f t="shared" si="84"/>
        <v>1</v>
      </c>
      <c r="E1205" s="1079" t="str">
        <f>VLOOKUP($B1205,DG!A:D,DG!$B$2,)</f>
        <v>05.5104</v>
      </c>
      <c r="F1205" s="1080" t="str">
        <f>VLOOKUP($B1205,DG!A:D,DG!$C$2,)</f>
        <v>Điện kế 3 pha 4 dây 220/380V-5A</v>
      </c>
      <c r="G1205" s="1079" t="str">
        <f>VLOOKUP($B1205,DG!A:D,DG!$D$2,)</f>
        <v>cái</v>
      </c>
      <c r="H1205" s="1883">
        <v>3</v>
      </c>
      <c r="I1205" s="1259">
        <f t="shared" si="83"/>
        <v>0</v>
      </c>
      <c r="J1205" s="1081"/>
      <c r="K1205" s="1081">
        <v>2</v>
      </c>
      <c r="L1205" s="1112" t="s">
        <v>2609</v>
      </c>
      <c r="M1205" s="975">
        <v>250</v>
      </c>
    </row>
    <row r="1206" spans="1:13" s="1083" customFormat="1" ht="25.2" hidden="1" customHeight="1">
      <c r="A1206" s="1153">
        <f t="shared" si="82"/>
        <v>0</v>
      </c>
      <c r="B1206" s="1324"/>
      <c r="C1206" s="1324"/>
      <c r="D1206" s="1113"/>
      <c r="E1206" s="1114"/>
      <c r="F1206" s="1076"/>
      <c r="G1206" s="1113"/>
      <c r="H1206" s="1861"/>
      <c r="I1206" s="1861">
        <f t="shared" si="83"/>
        <v>0</v>
      </c>
      <c r="J1206" s="1076"/>
      <c r="K1206" s="1113"/>
      <c r="L1206" s="1107"/>
      <c r="M1206" s="975">
        <v>250</v>
      </c>
    </row>
    <row r="1207" spans="1:13" s="1083" customFormat="1" ht="25.2" hidden="1" customHeight="1">
      <c r="A1207" s="1153">
        <f t="shared" si="82"/>
        <v>0</v>
      </c>
      <c r="B1207" s="1324"/>
      <c r="C1207" s="1324"/>
      <c r="D1207" s="1115"/>
      <c r="E1207" s="1116"/>
      <c r="F1207" s="1105" t="s">
        <v>3691</v>
      </c>
      <c r="G1207" s="1105"/>
      <c r="H1207" s="1875"/>
      <c r="I1207" s="1861">
        <f t="shared" si="83"/>
        <v>0</v>
      </c>
      <c r="J1207" s="1105"/>
      <c r="K1207" s="1105"/>
      <c r="L1207" s="1107"/>
      <c r="M1207" s="975">
        <v>250</v>
      </c>
    </row>
    <row r="1208" spans="1:13" s="1083" customFormat="1" ht="25.2" hidden="1" customHeight="1">
      <c r="A1208" s="1153">
        <f t="shared" si="82"/>
        <v>0</v>
      </c>
      <c r="B1208" s="1353"/>
      <c r="C1208" s="1353"/>
      <c r="D1208" s="1117">
        <f>IF(H1208&gt;0,1,0)</f>
        <v>0</v>
      </c>
      <c r="E1208" s="1118"/>
      <c r="F1208" s="1119" t="s">
        <v>3751</v>
      </c>
      <c r="G1208" s="1120" t="s">
        <v>2283</v>
      </c>
      <c r="H1208" s="1884"/>
      <c r="I1208" s="1259">
        <f t="shared" si="83"/>
        <v>0</v>
      </c>
      <c r="J1208" s="1121"/>
      <c r="K1208" s="1121"/>
      <c r="L1208" s="1110"/>
      <c r="M1208" s="975">
        <v>250</v>
      </c>
    </row>
    <row r="1209" spans="1:13" s="1083" customFormat="1" ht="25.2" hidden="1" customHeight="1">
      <c r="A1209" s="1153">
        <f t="shared" si="82"/>
        <v>0</v>
      </c>
      <c r="B1209" s="1154" t="s">
        <v>115</v>
      </c>
      <c r="C1209" s="1154"/>
      <c r="D1209" s="1122"/>
      <c r="E1209" s="1079"/>
      <c r="F1209" s="1123" t="str">
        <f>VLOOKUP($B1209,DG!A:D,DG!$C$2,)</f>
        <v>Trụ BTLT 12m F350 dự ứng lực</v>
      </c>
      <c r="G1209" s="1079" t="str">
        <f>VLOOKUP($B1209,DG!A:D,DG!$D$2,)</f>
        <v>trụ</v>
      </c>
      <c r="H1209" s="1885">
        <f>H1208</f>
        <v>0</v>
      </c>
      <c r="I1209" s="1259">
        <f t="shared" si="83"/>
        <v>0</v>
      </c>
      <c r="J1209" s="1108"/>
      <c r="K1209" s="1078"/>
      <c r="L1209" s="1110"/>
      <c r="M1209" s="975">
        <v>250</v>
      </c>
    </row>
    <row r="1210" spans="1:13" s="1083" customFormat="1" ht="25.2" hidden="1" customHeight="1">
      <c r="A1210" s="1153">
        <f t="shared" si="82"/>
        <v>0</v>
      </c>
      <c r="B1210" s="1154" t="s">
        <v>1818</v>
      </c>
      <c r="C1210" s="1154"/>
      <c r="D1210" s="1122"/>
      <c r="E1210" s="1079"/>
      <c r="F1210" s="1123" t="str">
        <f>VLOOKUP($B1210,DG!A:D,DG!$C$2,)</f>
        <v>Vật liệu dựng trụ</v>
      </c>
      <c r="G1210" s="1079" t="str">
        <f>VLOOKUP($B1210,DG!A:D,DG!$D$2,)</f>
        <v>trụ</v>
      </c>
      <c r="H1210" s="1885">
        <f>H1209</f>
        <v>0</v>
      </c>
      <c r="I1210" s="1259">
        <f t="shared" si="83"/>
        <v>0</v>
      </c>
      <c r="J1210" s="1078"/>
      <c r="K1210" s="1078"/>
      <c r="L1210" s="1110"/>
      <c r="M1210" s="975">
        <v>250</v>
      </c>
    </row>
    <row r="1211" spans="1:13" s="1083" customFormat="1" ht="25.2" hidden="1" customHeight="1">
      <c r="A1211" s="1153">
        <f t="shared" si="82"/>
        <v>0</v>
      </c>
      <c r="B1211" s="1154" t="s">
        <v>643</v>
      </c>
      <c r="C1211" s="1154"/>
      <c r="D1211" s="1122"/>
      <c r="E1211" s="1079" t="str">
        <f>VLOOKUP($B1211,DG!A:D,DG!$B$2,)</f>
        <v>04.9203</v>
      </c>
      <c r="F1211" s="1123" t="str">
        <f>VLOOKUP($B1211,DG!A:D,DG!$C$2,)</f>
        <v>Dựng trụ BTLT 12m trong TBA bằng thủ công + cơ giới</v>
      </c>
      <c r="G1211" s="1079" t="str">
        <f>VLOOKUP($B1211,DG!A:D,DG!$D$2,)</f>
        <v>trụ</v>
      </c>
      <c r="H1211" s="1885">
        <f>H1209</f>
        <v>0</v>
      </c>
      <c r="I1211" s="1259">
        <f t="shared" si="83"/>
        <v>0</v>
      </c>
      <c r="J1211" s="1108"/>
      <c r="K1211" s="1108"/>
      <c r="L1211" s="1110"/>
      <c r="M1211" s="975">
        <v>250</v>
      </c>
    </row>
    <row r="1212" spans="1:13" s="1083" customFormat="1" ht="25.2" hidden="1" customHeight="1">
      <c r="A1212" s="1153">
        <f t="shared" si="82"/>
        <v>0</v>
      </c>
      <c r="B1212" s="1353"/>
      <c r="C1212" s="1353"/>
      <c r="D1212" s="1117">
        <f>IF(H1212&gt;0,1,0)</f>
        <v>0</v>
      </c>
      <c r="E1212" s="1118"/>
      <c r="F1212" s="1119" t="s">
        <v>3752</v>
      </c>
      <c r="G1212" s="1120" t="s">
        <v>2283</v>
      </c>
      <c r="H1212" s="1884">
        <f>H1198*2*0</f>
        <v>0</v>
      </c>
      <c r="I1212" s="1259">
        <f t="shared" si="83"/>
        <v>0</v>
      </c>
      <c r="J1212" s="1121"/>
      <c r="K1212" s="1121"/>
      <c r="L1212" s="1082"/>
      <c r="M1212" s="975">
        <v>250</v>
      </c>
    </row>
    <row r="1213" spans="1:13" s="1083" customFormat="1" ht="25.2" hidden="1" customHeight="1">
      <c r="A1213" s="1153">
        <f t="shared" si="82"/>
        <v>0</v>
      </c>
      <c r="B1213" s="1154" t="s">
        <v>114</v>
      </c>
      <c r="C1213" s="1154"/>
      <c r="D1213" s="1122"/>
      <c r="E1213" s="1079"/>
      <c r="F1213" s="1123" t="str">
        <f>VLOOKUP($B1213,DG!A:D,DG!$C$2,)</f>
        <v>Trụ BTLT 10,5m F350 dự ứng lực</v>
      </c>
      <c r="G1213" s="1079" t="str">
        <f>VLOOKUP($B1213,DG!A:D,DG!$D$2,)</f>
        <v>trụ</v>
      </c>
      <c r="H1213" s="1885">
        <f>H1212</f>
        <v>0</v>
      </c>
      <c r="I1213" s="1259">
        <f t="shared" si="83"/>
        <v>0</v>
      </c>
      <c r="J1213" s="1108"/>
      <c r="K1213" s="1078"/>
      <c r="L1213" s="1082"/>
      <c r="M1213" s="975">
        <v>250</v>
      </c>
    </row>
    <row r="1214" spans="1:13" s="1083" customFormat="1" ht="25.2" hidden="1" customHeight="1">
      <c r="A1214" s="1153">
        <f t="shared" si="82"/>
        <v>0</v>
      </c>
      <c r="B1214" s="1154" t="s">
        <v>1818</v>
      </c>
      <c r="C1214" s="1154"/>
      <c r="D1214" s="1122"/>
      <c r="E1214" s="1079"/>
      <c r="F1214" s="1123" t="str">
        <f>VLOOKUP($B1214,DG!A:D,DG!$C$2,)</f>
        <v>Vật liệu dựng trụ</v>
      </c>
      <c r="G1214" s="1079" t="str">
        <f>VLOOKUP($B1214,DG!A:D,DG!$D$2,)</f>
        <v>trụ</v>
      </c>
      <c r="H1214" s="1885">
        <f>H1213</f>
        <v>0</v>
      </c>
      <c r="I1214" s="1259">
        <f t="shared" si="83"/>
        <v>0</v>
      </c>
      <c r="J1214" s="1078"/>
      <c r="K1214" s="1078"/>
      <c r="L1214" s="1082"/>
      <c r="M1214" s="975">
        <v>250</v>
      </c>
    </row>
    <row r="1215" spans="1:13" s="1083" customFormat="1" ht="25.2" hidden="1" customHeight="1">
      <c r="A1215" s="1153">
        <f t="shared" si="82"/>
        <v>0</v>
      </c>
      <c r="B1215" s="1154" t="s">
        <v>644</v>
      </c>
      <c r="C1215" s="1154"/>
      <c r="D1215" s="1122"/>
      <c r="E1215" s="1079" t="str">
        <f>VLOOKUP($B1215,DG!A:D,DG!$B$2,)</f>
        <v>04.9203</v>
      </c>
      <c r="F1215" s="1123" t="str">
        <f>VLOOKUP($B1215,DG!A:D,DG!$C$2,)</f>
        <v>Dựng trụ BTLT 10,5m trong TBA bằng thủ công + cơ giới</v>
      </c>
      <c r="G1215" s="1079" t="str">
        <f>VLOOKUP($B1215,DG!A:D,DG!$D$2,)</f>
        <v>trụ</v>
      </c>
      <c r="H1215" s="1885">
        <f>H1213</f>
        <v>0</v>
      </c>
      <c r="I1215" s="1259">
        <f t="shared" si="83"/>
        <v>0</v>
      </c>
      <c r="J1215" s="1108"/>
      <c r="K1215" s="1108"/>
      <c r="L1215" s="1082"/>
      <c r="M1215" s="975">
        <v>250</v>
      </c>
    </row>
    <row r="1216" spans="1:13" s="1083" customFormat="1" ht="25.2" hidden="1" customHeight="1">
      <c r="A1216" s="1153">
        <f t="shared" si="82"/>
        <v>0</v>
      </c>
      <c r="B1216" s="1354"/>
      <c r="C1216" s="1354"/>
      <c r="D1216" s="1084">
        <f>IF(H1216&gt;0,D1208+1,D1208)</f>
        <v>0</v>
      </c>
      <c r="E1216" s="1118"/>
      <c r="F1216" s="1119" t="s">
        <v>2358</v>
      </c>
      <c r="G1216" s="1120" t="s">
        <v>2333</v>
      </c>
      <c r="H1216" s="1884"/>
      <c r="I1216" s="1259">
        <f t="shared" si="83"/>
        <v>0</v>
      </c>
      <c r="J1216" s="1078"/>
      <c r="K1216" s="1078"/>
      <c r="L1216" s="1110"/>
      <c r="M1216" s="975">
        <v>250</v>
      </c>
    </row>
    <row r="1217" spans="1:13" s="1083" customFormat="1" ht="25.2" hidden="1" customHeight="1">
      <c r="A1217" s="1153">
        <f t="shared" si="82"/>
        <v>0</v>
      </c>
      <c r="B1217" s="1331" t="s">
        <v>636</v>
      </c>
      <c r="C1217" s="1331"/>
      <c r="D1217" s="1122"/>
      <c r="E1217" s="1079" t="str">
        <f>VLOOKUP($B1217,DG!A:D,DG!$B$2,)</f>
        <v>04.4001</v>
      </c>
      <c r="F1217" s="1124" t="str">
        <f>VLOOKUP($B1217,DG!A:D,DG!$C$2,)</f>
        <v>Đà cản BTCT 1,2m</v>
      </c>
      <c r="G1217" s="1091" t="str">
        <f>VLOOKUP($B1217,DG!A:D,DG!$D$2,)</f>
        <v>cái</v>
      </c>
      <c r="H1217" s="1885">
        <f>H1216</f>
        <v>0</v>
      </c>
      <c r="I1217" s="1259">
        <f t="shared" si="83"/>
        <v>0</v>
      </c>
      <c r="J1217" s="1108"/>
      <c r="K1217" s="1078"/>
      <c r="L1217" s="1110"/>
      <c r="M1217" s="975">
        <v>250</v>
      </c>
    </row>
    <row r="1218" spans="1:13" s="1083" customFormat="1" ht="25.2" hidden="1" customHeight="1">
      <c r="A1218" s="1153">
        <f t="shared" si="82"/>
        <v>0</v>
      </c>
      <c r="B1218" s="1331" t="s">
        <v>566</v>
      </c>
      <c r="C1218" s="1331"/>
      <c r="D1218" s="1122"/>
      <c r="E1218" s="1091"/>
      <c r="F1218" s="1124" t="str">
        <f>VLOOKUP($B1218,DG!A:D,DG!$C$2,)</f>
        <v>Boulon 22x650+ 2 long đền vuông D24-50x50x3/Zn</v>
      </c>
      <c r="G1218" s="1091" t="str">
        <f>VLOOKUP($B1218,DG!A:D,DG!$D$2,)</f>
        <v>bộ</v>
      </c>
      <c r="H1218" s="1885">
        <f>H1217</f>
        <v>0</v>
      </c>
      <c r="I1218" s="1259">
        <f t="shared" si="83"/>
        <v>0</v>
      </c>
      <c r="J1218" s="1124"/>
      <c r="K1218" s="1078"/>
      <c r="L1218" s="1110"/>
      <c r="M1218" s="975">
        <v>250</v>
      </c>
    </row>
    <row r="1219" spans="1:13" s="1083" customFormat="1" ht="25.2" hidden="1" customHeight="1">
      <c r="A1219" s="1153">
        <f t="shared" si="82"/>
        <v>0</v>
      </c>
      <c r="B1219" s="1331" t="str">
        <f>IF(chitiet!G5=1,"MDD1",IF(chitiet!G5=2,"MDD2",IF(chitiet!G5=3,"MDD3",IF(chitiet!G5=4,"MDD4"))))</f>
        <v>MDD3</v>
      </c>
      <c r="C1219" s="1331"/>
      <c r="D1219" s="1122"/>
      <c r="E1219" s="1091" t="str">
        <f>VLOOKUP($B1219,DG!A:D,DG!$B$2,)</f>
        <v>03.1013</v>
      </c>
      <c r="F1219" s="1124" t="str">
        <f>VLOOKUP($B1219,DG!A:D,DG!$C$2,)</f>
        <v>Đào hố móng đất cấp 3 sâu &gt;1m</v>
      </c>
      <c r="G1219" s="1091" t="str">
        <f>VLOOKUP($B1219,DG!A:D,DG!$D$2,)</f>
        <v>m3</v>
      </c>
      <c r="H1219" s="1886">
        <f>0.87*H1217</f>
        <v>0</v>
      </c>
      <c r="I1219" s="1259">
        <f t="shared" si="83"/>
        <v>0</v>
      </c>
      <c r="J1219" s="1125"/>
      <c r="K1219" s="1078"/>
      <c r="L1219" s="1110"/>
      <c r="M1219" s="975">
        <v>250</v>
      </c>
    </row>
    <row r="1220" spans="1:13" s="1083" customFormat="1" ht="25.2" hidden="1" customHeight="1">
      <c r="A1220" s="1153">
        <f t="shared" si="82"/>
        <v>0</v>
      </c>
      <c r="B1220" s="1331" t="str">
        <f>IF(chitiet!G5=1,"MDAP1",IF(chitiet!G5=2,"MDAP2",IF(chitiet!G5=3,"MDAP3",IF(chitiet!G5=4,"MDAP4"))))</f>
        <v>MDAP3</v>
      </c>
      <c r="C1220" s="1331"/>
      <c r="D1220" s="1122"/>
      <c r="E1220" s="1091" t="str">
        <f>VLOOKUP($B1220,DG!A:D,DG!$B$2,)</f>
        <v>03.4113</v>
      </c>
      <c r="F1220" s="1124" t="str">
        <f>VLOOKUP($B1220,DG!A:D,DG!$C$2,)</f>
        <v>Đắp đất hố móng, độ chặt k=0,95</v>
      </c>
      <c r="G1220" s="1091" t="str">
        <f>VLOOKUP($B1220,DG!A:D,DG!$D$2,)</f>
        <v>m3</v>
      </c>
      <c r="H1220" s="1886">
        <f>0.79*H1216</f>
        <v>0</v>
      </c>
      <c r="I1220" s="1259">
        <f t="shared" si="83"/>
        <v>0</v>
      </c>
      <c r="J1220" s="1125"/>
      <c r="K1220" s="1078"/>
      <c r="L1220" s="1110"/>
      <c r="M1220" s="975">
        <v>250</v>
      </c>
    </row>
    <row r="1221" spans="1:13" s="1083" customFormat="1" ht="25.2" hidden="1" customHeight="1">
      <c r="A1221" s="1153">
        <f t="shared" si="82"/>
        <v>0</v>
      </c>
      <c r="B1221" s="1354"/>
      <c r="C1221" s="1354"/>
      <c r="D1221" s="1084">
        <f>IF(H1221&gt;0,D1213+1,D1213)</f>
        <v>0</v>
      </c>
      <c r="E1221" s="1118"/>
      <c r="F1221" s="1119" t="s">
        <v>3731</v>
      </c>
      <c r="G1221" s="1120" t="s">
        <v>2333</v>
      </c>
      <c r="H1221" s="1884">
        <f>H1212</f>
        <v>0</v>
      </c>
      <c r="I1221" s="1259">
        <f t="shared" si="83"/>
        <v>0</v>
      </c>
      <c r="J1221" s="1078"/>
      <c r="K1221" s="1078"/>
      <c r="L1221" s="1082"/>
      <c r="M1221" s="975">
        <v>250</v>
      </c>
    </row>
    <row r="1222" spans="1:13" s="1083" customFormat="1" ht="25.2" hidden="1" customHeight="1">
      <c r="A1222" s="1153">
        <f t="shared" si="82"/>
        <v>0</v>
      </c>
      <c r="B1222" s="1331" t="s">
        <v>636</v>
      </c>
      <c r="C1222" s="1331"/>
      <c r="D1222" s="1122"/>
      <c r="E1222" s="1079" t="str">
        <f>VLOOKUP($B1222,DG!A:D,DG!$B$2,)</f>
        <v>04.4001</v>
      </c>
      <c r="F1222" s="1124" t="str">
        <f>VLOOKUP($B1222,DG!A:D,DG!$C$2,)</f>
        <v>Đà cản BTCT 1,2m</v>
      </c>
      <c r="G1222" s="1091" t="str">
        <f>VLOOKUP($B1222,DG!A:D,DG!$D$2,)</f>
        <v>cái</v>
      </c>
      <c r="H1222" s="1885">
        <f>H1221</f>
        <v>0</v>
      </c>
      <c r="I1222" s="1259">
        <f t="shared" si="83"/>
        <v>0</v>
      </c>
      <c r="J1222" s="1108"/>
      <c r="K1222" s="1078"/>
      <c r="L1222" s="1082"/>
      <c r="M1222" s="975">
        <v>250</v>
      </c>
    </row>
    <row r="1223" spans="1:13" s="1083" customFormat="1" ht="25.2" hidden="1" customHeight="1">
      <c r="A1223" s="1153">
        <f t="shared" si="82"/>
        <v>0</v>
      </c>
      <c r="B1223" s="1331" t="s">
        <v>566</v>
      </c>
      <c r="C1223" s="1331"/>
      <c r="D1223" s="1122"/>
      <c r="E1223" s="1091"/>
      <c r="F1223" s="1124" t="str">
        <f>VLOOKUP($B1223,DG!A:D,DG!$C$2,)</f>
        <v>Boulon 22x650+ 2 long đền vuông D24-50x50x3/Zn</v>
      </c>
      <c r="G1223" s="1091" t="str">
        <f>VLOOKUP($B1223,DG!A:D,DG!$D$2,)</f>
        <v>bộ</v>
      </c>
      <c r="H1223" s="1885">
        <f>H1222</f>
        <v>0</v>
      </c>
      <c r="I1223" s="1259">
        <f t="shared" si="83"/>
        <v>0</v>
      </c>
      <c r="J1223" s="1124"/>
      <c r="K1223" s="1078"/>
      <c r="L1223" s="1082"/>
      <c r="M1223" s="975">
        <v>250</v>
      </c>
    </row>
    <row r="1224" spans="1:13" s="1083" customFormat="1" ht="25.2" hidden="1" customHeight="1">
      <c r="A1224" s="1153">
        <f t="shared" si="82"/>
        <v>0</v>
      </c>
      <c r="B1224" s="1331" t="str">
        <f>IF(chitiet!G5=1,"MDD1",IF(chitiet!G5=2,"MDD2",IF(chitiet!G5=3,"MDD3",IF(chitiet!G5=4,"MDD4"))))</f>
        <v>MDD3</v>
      </c>
      <c r="C1224" s="1331"/>
      <c r="D1224" s="1122"/>
      <c r="E1224" s="1091" t="str">
        <f>VLOOKUP($B1224,DG!A:D,DG!$B$2,)</f>
        <v>03.1013</v>
      </c>
      <c r="F1224" s="1124" t="str">
        <f>VLOOKUP($B1224,DG!A:D,DG!$C$2,)</f>
        <v>Đào hố móng đất cấp 3 sâu &gt;1m</v>
      </c>
      <c r="G1224" s="1091" t="str">
        <f>VLOOKUP($B1224,DG!A:D,DG!$D$2,)</f>
        <v>m3</v>
      </c>
      <c r="H1224" s="1886">
        <f>0.78*H1222</f>
        <v>0</v>
      </c>
      <c r="I1224" s="1259">
        <f t="shared" si="83"/>
        <v>0</v>
      </c>
      <c r="J1224" s="1125"/>
      <c r="K1224" s="1078"/>
      <c r="L1224" s="1082"/>
      <c r="M1224" s="975">
        <v>250</v>
      </c>
    </row>
    <row r="1225" spans="1:13" s="1083" customFormat="1" ht="25.2" hidden="1" customHeight="1">
      <c r="A1225" s="1153">
        <f t="shared" si="82"/>
        <v>0</v>
      </c>
      <c r="B1225" s="1331" t="str">
        <f>IF(chitiet!G5=1,"MDAP1",IF(chitiet!G5=2,"MDAP2",IF(chitiet!G5=3,"MDAP3",IF(chitiet!G5=4,"MDAP4"))))</f>
        <v>MDAP3</v>
      </c>
      <c r="C1225" s="1331"/>
      <c r="D1225" s="1122"/>
      <c r="E1225" s="1091" t="str">
        <f>VLOOKUP($B1225,DG!A:D,DG!$B$2,)</f>
        <v>03.4113</v>
      </c>
      <c r="F1225" s="1124" t="str">
        <f>VLOOKUP($B1225,DG!A:D,DG!$C$2,)</f>
        <v>Đắp đất hố móng, độ chặt k=0,95</v>
      </c>
      <c r="G1225" s="1091" t="str">
        <f>VLOOKUP($B1225,DG!A:D,DG!$D$2,)</f>
        <v>m3</v>
      </c>
      <c r="H1225" s="1886">
        <f>0.74*H1221</f>
        <v>0</v>
      </c>
      <c r="I1225" s="1259">
        <f t="shared" si="83"/>
        <v>0</v>
      </c>
      <c r="J1225" s="1125"/>
      <c r="K1225" s="1078"/>
      <c r="L1225" s="1082"/>
      <c r="M1225" s="975">
        <v>250</v>
      </c>
    </row>
    <row r="1226" spans="1:13" s="1083" customFormat="1" ht="25.2" hidden="1" customHeight="1">
      <c r="A1226" s="1153">
        <f t="shared" si="82"/>
        <v>0</v>
      </c>
      <c r="B1226" s="1324"/>
      <c r="C1226" s="1324"/>
      <c r="D1226" s="1084">
        <f>IF(H1226&gt;0,D1216+1,D1216)</f>
        <v>0</v>
      </c>
      <c r="E1226" s="1126"/>
      <c r="F1226" s="1119" t="s">
        <v>3732</v>
      </c>
      <c r="G1226" s="1117" t="s">
        <v>2391</v>
      </c>
      <c r="H1226" s="1887">
        <f>H1198*1</f>
        <v>0</v>
      </c>
      <c r="I1226" s="1259">
        <f t="shared" si="83"/>
        <v>0</v>
      </c>
      <c r="J1226" s="1127"/>
      <c r="K1226" s="1127"/>
      <c r="L1226" s="1082"/>
      <c r="M1226" s="975">
        <v>250</v>
      </c>
    </row>
    <row r="1227" spans="1:13" s="1083" customFormat="1" ht="25.2" hidden="1" customHeight="1">
      <c r="A1227" s="1153">
        <f t="shared" si="82"/>
        <v>0</v>
      </c>
      <c r="B1227" s="1324"/>
      <c r="C1227" s="1324"/>
      <c r="D1227" s="1078"/>
      <c r="E1227" s="1128"/>
      <c r="F1227" s="1367" t="s">
        <v>2285</v>
      </c>
      <c r="G1227" s="1090"/>
      <c r="H1227" s="1851"/>
      <c r="I1227" s="1259">
        <f t="shared" si="83"/>
        <v>0</v>
      </c>
      <c r="J1227" s="1129"/>
      <c r="K1227" s="1129"/>
      <c r="L1227" s="1082"/>
      <c r="M1227" s="975">
        <v>250</v>
      </c>
    </row>
    <row r="1228" spans="1:13" s="1083" customFormat="1" ht="25.2" hidden="1" customHeight="1">
      <c r="A1228" s="1153">
        <f t="shared" si="82"/>
        <v>0</v>
      </c>
      <c r="B1228" s="1154" t="s">
        <v>1136</v>
      </c>
      <c r="C1228" s="1154"/>
      <c r="D1228" s="1078"/>
      <c r="E1228" s="1091"/>
      <c r="F1228" s="1080" t="str">
        <f>VLOOKUP($B1228,DG!A:D,DG!$C$2,)&amp;": 2 cái"</f>
        <v>Đà U160x68x5x2800 đỡ MBA: 2 cái</v>
      </c>
      <c r="G1228" s="1079" t="str">
        <f>VLOOKUP($B1228,DG!A:D,DG!$D$2,)</f>
        <v>cái</v>
      </c>
      <c r="H1228" s="1909">
        <f>52.049*H1226*2</f>
        <v>0</v>
      </c>
      <c r="I1228" s="1910">
        <f t="shared" si="83"/>
        <v>0</v>
      </c>
      <c r="J1228" s="1108"/>
      <c r="K1228" s="1108"/>
      <c r="L1228" s="1082"/>
      <c r="M1228" s="975">
        <v>250</v>
      </c>
    </row>
    <row r="1229" spans="1:13" s="1083" customFormat="1" ht="25.2" hidden="1" customHeight="1">
      <c r="A1229" s="1153">
        <f t="shared" si="82"/>
        <v>0</v>
      </c>
      <c r="B1229" s="1154" t="s">
        <v>1137</v>
      </c>
      <c r="C1229" s="1154"/>
      <c r="D1229" s="1078"/>
      <c r="E1229" s="1091"/>
      <c r="F1229" s="1080" t="str">
        <f>VLOOKUP($B1229,DG!A:D,DG!$C$2,)&amp;": 4 cái"</f>
        <v>Đà U100x46x4.5x400 : 4 cái</v>
      </c>
      <c r="G1229" s="1079" t="str">
        <f>VLOOKUP($B1229,DG!A:D,DG!$D$2,)</f>
        <v>cái</v>
      </c>
      <c r="H1229" s="1909">
        <f>H1226*2.713*4</f>
        <v>0</v>
      </c>
      <c r="I1229" s="1910">
        <f t="shared" si="83"/>
        <v>0</v>
      </c>
      <c r="J1229" s="1108"/>
      <c r="K1229" s="1108"/>
      <c r="L1229" s="1082"/>
      <c r="M1229" s="975">
        <v>250</v>
      </c>
    </row>
    <row r="1230" spans="1:13" s="1083" customFormat="1" ht="25.2" hidden="1" customHeight="1">
      <c r="A1230" s="1153">
        <f t="shared" si="82"/>
        <v>0</v>
      </c>
      <c r="B1230" s="1154" t="s">
        <v>1138</v>
      </c>
      <c r="C1230" s="1154"/>
      <c r="D1230" s="1078"/>
      <c r="E1230" s="1091"/>
      <c r="F1230" s="1080" t="str">
        <f>VLOOKUP($B1230,DG!A:D,DG!$C$2,)&amp;": 2 cái"</f>
        <v>Đà U100x46x5x800 : 2 cái</v>
      </c>
      <c r="G1230" s="1079" t="str">
        <f>VLOOKUP($B1230,DG!A:D,DG!$D$2,)</f>
        <v>cái</v>
      </c>
      <c r="H1230" s="1909">
        <f>H1226*5.426*2</f>
        <v>0</v>
      </c>
      <c r="I1230" s="1910">
        <f t="shared" si="83"/>
        <v>0</v>
      </c>
      <c r="J1230" s="1108"/>
      <c r="K1230" s="1108"/>
      <c r="L1230" s="1082"/>
      <c r="M1230" s="975">
        <v>250</v>
      </c>
    </row>
    <row r="1231" spans="1:13" s="1083" customFormat="1" ht="25.2" hidden="1" customHeight="1">
      <c r="A1231" s="1153">
        <f t="shared" si="82"/>
        <v>0</v>
      </c>
      <c r="B1231" s="1324" t="s">
        <v>1785</v>
      </c>
      <c r="C1231" s="1324"/>
      <c r="D1231" s="1078"/>
      <c r="E1231" s="1091">
        <f>VLOOKUP($B1231,DG!A:D,DG!$B$2,)</f>
        <v>0</v>
      </c>
      <c r="F1231" s="1080" t="str">
        <f>VLOOKUP($B1231,DG!A:D,DG!$C$2,)</f>
        <v>Boulon 16x400VRS+ 4 long đền vuông D18-50x50x3/Zn</v>
      </c>
      <c r="G1231" s="1079" t="str">
        <f>VLOOKUP($B1231,DG!A:D,DG!$D$2,)</f>
        <v>bộ</v>
      </c>
      <c r="H1231" s="1851">
        <f>H1226*10</f>
        <v>0</v>
      </c>
      <c r="I1231" s="1259">
        <f t="shared" si="83"/>
        <v>0</v>
      </c>
      <c r="J1231" s="1108"/>
      <c r="K1231" s="1108"/>
      <c r="L1231" s="1082"/>
      <c r="M1231" s="975">
        <v>250</v>
      </c>
    </row>
    <row r="1232" spans="1:13" s="1083" customFormat="1" ht="25.2" hidden="1" customHeight="1">
      <c r="A1232" s="1153">
        <f t="shared" si="82"/>
        <v>0</v>
      </c>
      <c r="B1232" s="1324" t="s">
        <v>1083</v>
      </c>
      <c r="C1232" s="1324"/>
      <c r="D1232" s="1078"/>
      <c r="E1232" s="1091">
        <f>VLOOKUP($B1232,DG!A:D,DG!$B$2,)</f>
        <v>0</v>
      </c>
      <c r="F1232" s="1080" t="str">
        <f>VLOOKUP($B1232,DG!A:D,DG!$C$2,)</f>
        <v>Boulon 16x400+ 2 long đền vuông D18-50x50x3/Zn</v>
      </c>
      <c r="G1232" s="1079" t="str">
        <f>VLOOKUP($B1232,DG!A:D,DG!$D$2,)</f>
        <v>bộ</v>
      </c>
      <c r="H1232" s="1851">
        <f>H1226*2</f>
        <v>0</v>
      </c>
      <c r="I1232" s="1259">
        <f t="shared" si="83"/>
        <v>0</v>
      </c>
      <c r="J1232" s="1108"/>
      <c r="K1232" s="1108"/>
      <c r="L1232" s="1082"/>
      <c r="M1232" s="975">
        <v>250</v>
      </c>
    </row>
    <row r="1233" spans="1:13" s="1083" customFormat="1" ht="25.2" hidden="1" customHeight="1">
      <c r="A1233" s="1153">
        <f t="shared" si="82"/>
        <v>0</v>
      </c>
      <c r="B1233" s="1324" t="s">
        <v>1079</v>
      </c>
      <c r="C1233" s="1324"/>
      <c r="D1233" s="1078"/>
      <c r="E1233" s="1091">
        <f>VLOOKUP($B1233,DG!A:D,DG!$B$2,)</f>
        <v>0</v>
      </c>
      <c r="F1233" s="1080" t="str">
        <f>VLOOKUP($B1233,DG!A:D,DG!$C$2,)</f>
        <v>Boulon 16x350+ 2 long đền vuông D18-50x50x3/Zn</v>
      </c>
      <c r="G1233" s="1079" t="str">
        <f>VLOOKUP($B1233,DG!A:D,DG!$D$2,)</f>
        <v>bộ</v>
      </c>
      <c r="H1233" s="1851">
        <f>H1226*12</f>
        <v>0</v>
      </c>
      <c r="I1233" s="1259">
        <f t="shared" si="83"/>
        <v>0</v>
      </c>
      <c r="J1233" s="1108"/>
      <c r="K1233" s="1108"/>
      <c r="L1233" s="1082"/>
      <c r="M1233" s="975">
        <v>250</v>
      </c>
    </row>
    <row r="1234" spans="1:13" s="1083" customFormat="1" ht="25.2" hidden="1" customHeight="1">
      <c r="A1234" s="1153">
        <f t="shared" si="82"/>
        <v>0</v>
      </c>
      <c r="B1234" s="1324" t="s">
        <v>2248</v>
      </c>
      <c r="C1234" s="1324"/>
      <c r="D1234" s="1078"/>
      <c r="E1234" s="1091" t="str">
        <f>VLOOKUP($B1234,DG!A:D,DG!$B$2,)</f>
        <v>05.6044</v>
      </c>
      <c r="F1234" s="1080" t="str">
        <f>VLOOKUP($B1234,DG!A:D,DG!$C$2,)</f>
        <v>Lắp xà cột Pi loại ≤140kg/xà</v>
      </c>
      <c r="G1234" s="1079" t="str">
        <f>VLOOKUP($B1234,DG!A:D,DG!$D$2,)</f>
        <v>bộ</v>
      </c>
      <c r="H1234" s="1851">
        <f>H1226</f>
        <v>0</v>
      </c>
      <c r="I1234" s="1259">
        <f t="shared" si="83"/>
        <v>0</v>
      </c>
      <c r="J1234" s="1108"/>
      <c r="K1234" s="1108"/>
      <c r="L1234" s="1082"/>
      <c r="M1234" s="975">
        <v>250</v>
      </c>
    </row>
    <row r="1235" spans="1:13" s="1083" customFormat="1" ht="25.2" hidden="1" customHeight="1">
      <c r="A1235" s="1153">
        <f t="shared" si="82"/>
        <v>0</v>
      </c>
      <c r="B1235" s="1358"/>
      <c r="C1235" s="1358"/>
      <c r="D1235" s="1084">
        <f>IF(H1235&gt;0,D1226+1,D1226)</f>
        <v>0</v>
      </c>
      <c r="E1235" s="1085"/>
      <c r="F1235" s="1130" t="s">
        <v>3733</v>
      </c>
      <c r="G1235" s="1084" t="s">
        <v>2391</v>
      </c>
      <c r="H1235" s="1867">
        <f>H1208*0</f>
        <v>0</v>
      </c>
      <c r="I1235" s="1259">
        <f t="shared" si="83"/>
        <v>0</v>
      </c>
      <c r="J1235" s="1131"/>
      <c r="K1235" s="1131"/>
      <c r="L1235" s="1082"/>
      <c r="M1235" s="975">
        <v>250</v>
      </c>
    </row>
    <row r="1236" spans="1:13" s="1083" customFormat="1" ht="25.2" hidden="1" customHeight="1">
      <c r="A1236" s="1153">
        <f t="shared" si="82"/>
        <v>0</v>
      </c>
      <c r="B1236" s="1324"/>
      <c r="C1236" s="1324"/>
      <c r="D1236" s="1078"/>
      <c r="E1236" s="1091"/>
      <c r="F1236" s="1367" t="s">
        <v>2285</v>
      </c>
      <c r="G1236" s="1090"/>
      <c r="H1236" s="1851"/>
      <c r="I1236" s="1259">
        <f t="shared" si="83"/>
        <v>0</v>
      </c>
      <c r="J1236" s="1131"/>
      <c r="K1236" s="1131"/>
      <c r="L1236" s="1082"/>
      <c r="M1236" s="975">
        <v>250</v>
      </c>
    </row>
    <row r="1237" spans="1:13" s="1083" customFormat="1" ht="25.2" hidden="1" customHeight="1">
      <c r="A1237" s="1153">
        <f t="shared" si="82"/>
        <v>0</v>
      </c>
      <c r="B1237" s="1331" t="s">
        <v>2026</v>
      </c>
      <c r="C1237" s="1331"/>
      <c r="D1237" s="1078"/>
      <c r="E1237" s="1091">
        <f>VLOOKUP($B1237,DG!A:D,DG!$B$2,)</f>
        <v>0</v>
      </c>
      <c r="F1237" s="1080" t="str">
        <f>VLOOKUP($B1237,DG!A:D,DG!$C$2,)</f>
        <v>Sắt góc L75 x75 x8</v>
      </c>
      <c r="G1237" s="1091" t="str">
        <f>VLOOKUP($B1237,DG!A:D,DG!$D$2,)</f>
        <v>kg</v>
      </c>
      <c r="H1237" s="1851">
        <f>H1235*9.02*(2.6+3*0.07)*2</f>
        <v>0</v>
      </c>
      <c r="I1237" s="1259">
        <f t="shared" si="83"/>
        <v>0</v>
      </c>
      <c r="J1237" s="1108"/>
      <c r="K1237" s="1108"/>
      <c r="L1237" s="1082"/>
      <c r="M1237" s="975">
        <v>250</v>
      </c>
    </row>
    <row r="1238" spans="1:13" s="1083" customFormat="1" ht="25.2" hidden="1" customHeight="1">
      <c r="A1238" s="1153">
        <f t="shared" si="82"/>
        <v>0</v>
      </c>
      <c r="B1238" s="1324" t="s">
        <v>1788</v>
      </c>
      <c r="C1238" s="1324"/>
      <c r="D1238" s="1078"/>
      <c r="E1238" s="1091">
        <f>VLOOKUP($B1238,DG!A:D,DG!$B$2,)</f>
        <v>0</v>
      </c>
      <c r="F1238" s="1080" t="str">
        <f>VLOOKUP($B1238,DG!A:D,DG!$C$2,)</f>
        <v>Boulon 16x300VRS+ 4 long đền vuông D18-50x50x3/Zn</v>
      </c>
      <c r="G1238" s="1091" t="str">
        <f>VLOOKUP($B1238,DG!A:D,DG!$D$2,)</f>
        <v>bộ</v>
      </c>
      <c r="H1238" s="1851">
        <f>H1235*2</f>
        <v>0</v>
      </c>
      <c r="I1238" s="1259">
        <f t="shared" si="83"/>
        <v>0</v>
      </c>
      <c r="J1238" s="1108"/>
      <c r="K1238" s="1108"/>
      <c r="L1238" s="1082"/>
      <c r="M1238" s="975">
        <v>250</v>
      </c>
    </row>
    <row r="1239" spans="1:13" s="1083" customFormat="1" ht="25.2" hidden="1" customHeight="1">
      <c r="A1239" s="1153">
        <f t="shared" si="82"/>
        <v>0</v>
      </c>
      <c r="B1239" s="1324" t="s">
        <v>1613</v>
      </c>
      <c r="C1239" s="1324"/>
      <c r="D1239" s="1078"/>
      <c r="E1239" s="1091">
        <f>VLOOKUP($B1239,DG!A:D,DG!$B$2,)</f>
        <v>0</v>
      </c>
      <c r="F1239" s="1080" t="str">
        <f>VLOOKUP($B1239,DG!A:D,DG!$C$2,)</f>
        <v>Boulon 16x300+ 2 long đền vuông D18-50x50x3/Zn</v>
      </c>
      <c r="G1239" s="1091" t="str">
        <f>VLOOKUP($B1239,DG!A:D,DG!$D$2,)</f>
        <v>bộ</v>
      </c>
      <c r="H1239" s="1851">
        <f>H1235*2</f>
        <v>0</v>
      </c>
      <c r="I1239" s="1259">
        <f t="shared" si="83"/>
        <v>0</v>
      </c>
      <c r="J1239" s="1108"/>
      <c r="K1239" s="1108"/>
      <c r="L1239" s="1082"/>
      <c r="M1239" s="975">
        <v>250</v>
      </c>
    </row>
    <row r="1240" spans="1:13" s="1083" customFormat="1" ht="25.2" hidden="1" customHeight="1">
      <c r="A1240" s="1153">
        <f t="shared" si="82"/>
        <v>0</v>
      </c>
      <c r="B1240" s="1324" t="s">
        <v>1612</v>
      </c>
      <c r="C1240" s="1324"/>
      <c r="D1240" s="1078"/>
      <c r="E1240" s="1091">
        <f>VLOOKUP($B1240,DG!A:D,DG!$B$2,)</f>
        <v>0</v>
      </c>
      <c r="F1240" s="1080" t="str">
        <f>VLOOKUP($B1240,DG!A:D,DG!$C$2,)</f>
        <v>Boulon 16x250+ 2 long đền vuông D18-50x50x3/Zn</v>
      </c>
      <c r="G1240" s="1091" t="str">
        <f>VLOOKUP($B1240,DG!A:D,DG!$D$2,)</f>
        <v>bộ</v>
      </c>
      <c r="H1240" s="1851">
        <f>H1239</f>
        <v>0</v>
      </c>
      <c r="I1240" s="1259">
        <f t="shared" si="83"/>
        <v>0</v>
      </c>
      <c r="J1240" s="1108"/>
      <c r="K1240" s="1108"/>
      <c r="L1240" s="1082"/>
      <c r="M1240" s="975">
        <v>250</v>
      </c>
    </row>
    <row r="1241" spans="1:13" s="1083" customFormat="1" ht="25.2" hidden="1" customHeight="1">
      <c r="A1241" s="1153">
        <f t="shared" si="82"/>
        <v>0</v>
      </c>
      <c r="B1241" s="1324" t="s">
        <v>2248</v>
      </c>
      <c r="C1241" s="1324"/>
      <c r="D1241" s="1078"/>
      <c r="E1241" s="1091" t="str">
        <f>VLOOKUP($B1241,DG!A:D,DG!$B$2,)</f>
        <v>05.6044</v>
      </c>
      <c r="F1241" s="1080" t="str">
        <f>VLOOKUP($B1241,DG!A:D,DG!$C$2,)</f>
        <v>Lắp xà cột Pi loại ≤140kg/xà</v>
      </c>
      <c r="G1241" s="1091" t="str">
        <f>VLOOKUP($B1241,DG!A:D,DG!$D$2,)</f>
        <v>bộ</v>
      </c>
      <c r="H1241" s="1851">
        <f>H1235</f>
        <v>0</v>
      </c>
      <c r="I1241" s="1259">
        <f t="shared" si="83"/>
        <v>0</v>
      </c>
      <c r="J1241" s="1108"/>
      <c r="K1241" s="1108"/>
      <c r="L1241" s="1082"/>
      <c r="M1241" s="975">
        <v>250</v>
      </c>
    </row>
    <row r="1242" spans="1:13" s="1083" customFormat="1" ht="25.2" hidden="1" customHeight="1">
      <c r="A1242" s="1153">
        <f t="shared" ref="A1242:A1305" si="85">IF(I1242&gt;0,1,0)</f>
        <v>0</v>
      </c>
      <c r="B1242" s="1358" t="s">
        <v>2299</v>
      </c>
      <c r="C1242" s="1358"/>
      <c r="D1242" s="1084">
        <f>IF(H1242&gt;0,D1235+1,D1235)</f>
        <v>0</v>
      </c>
      <c r="E1242" s="1085"/>
      <c r="F1242" s="1046" t="s">
        <v>2438</v>
      </c>
      <c r="G1242" s="1084" t="s">
        <v>2391</v>
      </c>
      <c r="H1242" s="1867"/>
      <c r="I1242" s="1259">
        <f t="shared" si="83"/>
        <v>0</v>
      </c>
      <c r="J1242" s="1131"/>
      <c r="K1242" s="1131"/>
      <c r="L1242" s="1082"/>
      <c r="M1242" s="975">
        <v>250</v>
      </c>
    </row>
    <row r="1243" spans="1:13" s="1083" customFormat="1" ht="25.2" hidden="1" customHeight="1">
      <c r="A1243" s="1153">
        <f t="shared" si="85"/>
        <v>0</v>
      </c>
      <c r="B1243" s="1324"/>
      <c r="C1243" s="1324"/>
      <c r="D1243" s="1078"/>
      <c r="E1243" s="1091"/>
      <c r="F1243" s="1367" t="s">
        <v>2285</v>
      </c>
      <c r="G1243" s="1090"/>
      <c r="H1243" s="1851"/>
      <c r="I1243" s="1259">
        <f t="shared" si="83"/>
        <v>0</v>
      </c>
      <c r="J1243" s="1131"/>
      <c r="K1243" s="1131"/>
      <c r="L1243" s="1082"/>
      <c r="M1243" s="975">
        <v>250</v>
      </c>
    </row>
    <row r="1244" spans="1:13" s="1083" customFormat="1" ht="25.2" hidden="1" customHeight="1">
      <c r="A1244" s="1153">
        <f t="shared" si="85"/>
        <v>0</v>
      </c>
      <c r="B1244" s="1154" t="s">
        <v>109</v>
      </c>
      <c r="C1244" s="1154"/>
      <c r="D1244" s="1078"/>
      <c r="E1244" s="1091">
        <f>VLOOKUP($B1244,DG!A:D,DG!$B$2,)</f>
        <v>0</v>
      </c>
      <c r="F1244" s="1080" t="str">
        <f>VLOOKUP($B1244,DG!A:D,DG!$C$2,)</f>
        <v>Sắt góc L75 x75 x8</v>
      </c>
      <c r="G1244" s="1091" t="str">
        <f>VLOOKUP($B1244,DG!A:D,DG!$D$2,)</f>
        <v>kg</v>
      </c>
      <c r="H1244" s="1851">
        <f>9.42*(2+3*0.07)*H1242</f>
        <v>0</v>
      </c>
      <c r="I1244" s="1259">
        <f t="shared" si="83"/>
        <v>0</v>
      </c>
      <c r="J1244" s="1108"/>
      <c r="K1244" s="1108"/>
      <c r="L1244" s="1082"/>
      <c r="M1244" s="975">
        <v>250</v>
      </c>
    </row>
    <row r="1245" spans="1:13" s="1083" customFormat="1" ht="25.2" hidden="1" customHeight="1">
      <c r="A1245" s="1153">
        <f t="shared" si="85"/>
        <v>0</v>
      </c>
      <c r="B1245" s="1154" t="s">
        <v>457</v>
      </c>
      <c r="C1245" s="1154"/>
      <c r="D1245" s="1078"/>
      <c r="E1245" s="1091">
        <f>VLOOKUP($B1245,DG!A:D,DG!$B$2,)</f>
        <v>0</v>
      </c>
      <c r="F1245" s="1080" t="str">
        <f>VLOOKUP($B1245,DG!A:D,DG!$C$2,)</f>
        <v>Sắt góc L50 x50 x5</v>
      </c>
      <c r="G1245" s="1091" t="str">
        <f>VLOOKUP($B1245,DG!A:D,DG!$D$2,)</f>
        <v>kg</v>
      </c>
      <c r="H1245" s="1851">
        <f>3.77*1.15*H1242</f>
        <v>0</v>
      </c>
      <c r="I1245" s="1259">
        <f t="shared" si="83"/>
        <v>0</v>
      </c>
      <c r="J1245" s="1108"/>
      <c r="K1245" s="1108"/>
      <c r="L1245" s="1082"/>
      <c r="M1245" s="975">
        <v>250</v>
      </c>
    </row>
    <row r="1246" spans="1:13" s="1083" customFormat="1" ht="25.2" hidden="1" customHeight="1">
      <c r="A1246" s="1153">
        <f t="shared" si="85"/>
        <v>0</v>
      </c>
      <c r="B1246" s="1154" t="s">
        <v>1612</v>
      </c>
      <c r="C1246" s="1154"/>
      <c r="D1246" s="1078"/>
      <c r="E1246" s="1091">
        <f>VLOOKUP($B1246,DG!A:D,DG!$B$2,)</f>
        <v>0</v>
      </c>
      <c r="F1246" s="1080" t="str">
        <f>VLOOKUP($B1246,DG!A:D,DG!$C$2,)</f>
        <v>Boulon 16x250+ 2 long đền vuông D18-50x50x3/Zn</v>
      </c>
      <c r="G1246" s="1091" t="str">
        <f>VLOOKUP($B1246,DG!A:D,DG!$D$2,)</f>
        <v>bộ</v>
      </c>
      <c r="H1246" s="1851">
        <f>2*H1242</f>
        <v>0</v>
      </c>
      <c r="I1246" s="1259">
        <f t="shared" si="83"/>
        <v>0</v>
      </c>
      <c r="J1246" s="1108"/>
      <c r="K1246" s="1108"/>
      <c r="L1246" s="1082"/>
      <c r="M1246" s="975">
        <v>250</v>
      </c>
    </row>
    <row r="1247" spans="1:13" s="1083" customFormat="1" ht="25.2" hidden="1" customHeight="1">
      <c r="A1247" s="1153">
        <f t="shared" si="85"/>
        <v>0</v>
      </c>
      <c r="B1247" s="1154" t="s">
        <v>1790</v>
      </c>
      <c r="C1247" s="1154"/>
      <c r="D1247" s="1078"/>
      <c r="E1247" s="1091">
        <f>VLOOKUP($B1247,DG!A:D,DG!$B$2,)</f>
        <v>0</v>
      </c>
      <c r="F1247" s="1080" t="str">
        <f>VLOOKUP($B1247,DG!A:D,DG!$C$2,)</f>
        <v>Boulon 16x50+ 2 long đền vuông D18-50x50x3/Zn</v>
      </c>
      <c r="G1247" s="1091" t="str">
        <f>VLOOKUP($B1247,DG!A:D,DG!$D$2,)</f>
        <v>bộ</v>
      </c>
      <c r="H1247" s="1851">
        <f>1*H1242</f>
        <v>0</v>
      </c>
      <c r="I1247" s="1259">
        <f t="shared" si="83"/>
        <v>0</v>
      </c>
      <c r="J1247" s="1108"/>
      <c r="K1247" s="1108"/>
      <c r="L1247" s="1082"/>
      <c r="M1247" s="975">
        <v>250</v>
      </c>
    </row>
    <row r="1248" spans="1:13" s="1083" customFormat="1" ht="25.2" hidden="1" customHeight="1">
      <c r="A1248" s="1153">
        <f t="shared" si="85"/>
        <v>0</v>
      </c>
      <c r="B1248" s="1331" t="s">
        <v>517</v>
      </c>
      <c r="C1248" s="1331"/>
      <c r="D1248" s="1078"/>
      <c r="E1248" s="1091" t="str">
        <f>VLOOKUP($B1248,DG!A:D,DG!$B$2,)</f>
        <v>05.6203</v>
      </c>
      <c r="F1248" s="1080" t="str">
        <f>VLOOKUP($B1248,DG!A:D,DG!$C$2,)</f>
        <v>Lắp xà néo ≤ 100kg</v>
      </c>
      <c r="G1248" s="1091" t="str">
        <f>VLOOKUP($B1248,DG!A:D,DG!$D$2,)</f>
        <v>bộ</v>
      </c>
      <c r="H1248" s="1851">
        <f>1*H1242</f>
        <v>0</v>
      </c>
      <c r="I1248" s="1259">
        <f t="shared" si="83"/>
        <v>0</v>
      </c>
      <c r="J1248" s="1108"/>
      <c r="K1248" s="1108"/>
      <c r="L1248" s="1082"/>
      <c r="M1248" s="975">
        <v>250</v>
      </c>
    </row>
    <row r="1249" spans="1:13" s="1083" customFormat="1" ht="25.2" hidden="1" customHeight="1">
      <c r="A1249" s="1153">
        <f t="shared" si="85"/>
        <v>0</v>
      </c>
      <c r="B1249" s="1324"/>
      <c r="C1249" s="1324"/>
      <c r="D1249" s="1084">
        <f>IF(H1249&gt;0,D1242+1,D1242)</f>
        <v>1</v>
      </c>
      <c r="E1249" s="1085"/>
      <c r="F1249" s="1130" t="s">
        <v>3753</v>
      </c>
      <c r="G1249" s="1084" t="s">
        <v>2391</v>
      </c>
      <c r="H1249" s="1867">
        <v>3</v>
      </c>
      <c r="I1249" s="1259">
        <f t="shared" si="83"/>
        <v>0</v>
      </c>
      <c r="J1249" s="1131"/>
      <c r="K1249" s="1131"/>
      <c r="L1249" s="1082"/>
      <c r="M1249" s="975">
        <v>250</v>
      </c>
    </row>
    <row r="1250" spans="1:13" s="1083" customFormat="1" ht="25.2" hidden="1" customHeight="1">
      <c r="A1250" s="1153">
        <f t="shared" si="85"/>
        <v>0</v>
      </c>
      <c r="B1250" s="1324"/>
      <c r="C1250" s="1324"/>
      <c r="D1250" s="1078"/>
      <c r="E1250" s="1088"/>
      <c r="F1250" s="1367" t="s">
        <v>2285</v>
      </c>
      <c r="G1250" s="1090"/>
      <c r="H1250" s="1851"/>
      <c r="I1250" s="1259">
        <f t="shared" si="83"/>
        <v>0</v>
      </c>
      <c r="J1250" s="1131"/>
      <c r="K1250" s="1131"/>
      <c r="L1250" s="1082"/>
      <c r="M1250" s="975">
        <v>250</v>
      </c>
    </row>
    <row r="1251" spans="1:13" s="1083" customFormat="1" ht="25.2" hidden="1" customHeight="1">
      <c r="A1251" s="1153">
        <f t="shared" si="85"/>
        <v>0</v>
      </c>
      <c r="B1251" s="1344" t="s">
        <v>4354</v>
      </c>
      <c r="C1251" s="1344"/>
      <c r="D1251" s="1078"/>
      <c r="E1251" s="1091">
        <f>VLOOKUP($B1251,DG!A:D,DG!$B$2,)</f>
        <v>0</v>
      </c>
      <c r="F1251" s="1080" t="str">
        <f>VLOOKUP($B1251,DG!A:D,DG!$C$2,)</f>
        <v>Xà composite 110x800x5 dài 2,4m</v>
      </c>
      <c r="G1251" s="1091" t="str">
        <f>VLOOKUP($B1251,DG!A:D,DG!$D$2,)</f>
        <v>cái</v>
      </c>
      <c r="H1251" s="1851">
        <v>1</v>
      </c>
      <c r="I1251" s="1259">
        <f t="shared" si="83"/>
        <v>0</v>
      </c>
      <c r="J1251" s="1108"/>
      <c r="K1251" s="1108"/>
      <c r="L1251" s="1082"/>
      <c r="M1251" s="975">
        <v>250</v>
      </c>
    </row>
    <row r="1252" spans="1:13" s="1083" customFormat="1" ht="25.2" hidden="1" customHeight="1">
      <c r="A1252" s="1153">
        <f t="shared" si="85"/>
        <v>0</v>
      </c>
      <c r="B1252" s="1324" t="s">
        <v>1612</v>
      </c>
      <c r="C1252" s="1324"/>
      <c r="D1252" s="1078"/>
      <c r="E1252" s="1091">
        <f>VLOOKUP($B1252,DG!A:D,DG!$B$2,)</f>
        <v>0</v>
      </c>
      <c r="F1252" s="1080" t="str">
        <f>VLOOKUP($B1252,DG!A:D,DG!$C$2,)</f>
        <v>Boulon 16x250+ 2 long đền vuông D18-50x50x3/Zn</v>
      </c>
      <c r="G1252" s="1091" t="str">
        <f>VLOOKUP($B1252,DG!A:D,DG!$D$2,)</f>
        <v>bộ</v>
      </c>
      <c r="H1252" s="1851"/>
      <c r="I1252" s="1259">
        <f t="shared" si="83"/>
        <v>0</v>
      </c>
      <c r="J1252" s="1108"/>
      <c r="K1252" s="1108"/>
      <c r="L1252" s="1082"/>
      <c r="M1252" s="975">
        <v>250</v>
      </c>
    </row>
    <row r="1253" spans="1:13" s="1083" customFormat="1" ht="25.2" hidden="1" customHeight="1">
      <c r="A1253" s="1153">
        <f t="shared" si="85"/>
        <v>0</v>
      </c>
      <c r="B1253" s="1324" t="s">
        <v>1613</v>
      </c>
      <c r="C1253" s="1324"/>
      <c r="D1253" s="1078"/>
      <c r="E1253" s="1091">
        <f>VLOOKUP($B1253,DG!A:D,DG!$B$2,)</f>
        <v>0</v>
      </c>
      <c r="F1253" s="1080" t="str">
        <f>VLOOKUP($B1253,DG!A:D,DG!$C$2,)</f>
        <v>Boulon 16x300+ 2 long đền vuông D18-50x50x3/Zn</v>
      </c>
      <c r="G1253" s="1091" t="str">
        <f>VLOOKUP($B1253,DG!A:D,DG!$D$2,)</f>
        <v>bộ</v>
      </c>
      <c r="H1253" s="1851">
        <f>2*0</f>
        <v>0</v>
      </c>
      <c r="I1253" s="1259">
        <f t="shared" si="83"/>
        <v>0</v>
      </c>
      <c r="J1253" s="1108"/>
      <c r="K1253" s="1108"/>
      <c r="L1253" s="1082"/>
      <c r="M1253" s="975">
        <v>250</v>
      </c>
    </row>
    <row r="1254" spans="1:13" s="1083" customFormat="1" ht="25.2" hidden="1" customHeight="1">
      <c r="A1254" s="1153">
        <f t="shared" si="85"/>
        <v>0</v>
      </c>
      <c r="B1254" s="1324" t="s">
        <v>30</v>
      </c>
      <c r="C1254" s="1324"/>
      <c r="D1254" s="1078"/>
      <c r="E1254" s="1091">
        <f>VLOOKUP($B1254,DG!A:D,DG!$B$2,)</f>
        <v>0</v>
      </c>
      <c r="F1254" s="1080" t="str">
        <f>VLOOKUP($B1254,DG!A:D,DG!$C$2,)</f>
        <v>Bass LI bắt FCO</v>
      </c>
      <c r="G1254" s="1091" t="str">
        <f>VLOOKUP($B1254,DG!A:D,DG!$D$2,)</f>
        <v>Bộ</v>
      </c>
      <c r="H1254" s="1851">
        <f>H1249</f>
        <v>3</v>
      </c>
      <c r="I1254" s="1259">
        <f t="shared" si="83"/>
        <v>0</v>
      </c>
      <c r="J1254" s="1108"/>
      <c r="K1254" s="1108"/>
      <c r="L1254" s="1082"/>
      <c r="M1254" s="975">
        <v>250</v>
      </c>
    </row>
    <row r="1255" spans="1:13" s="1083" customFormat="1" ht="25.2" hidden="1" customHeight="1">
      <c r="A1255" s="1153">
        <f t="shared" si="85"/>
        <v>0</v>
      </c>
      <c r="B1255" s="1324" t="s">
        <v>2248</v>
      </c>
      <c r="C1255" s="1324"/>
      <c r="D1255" s="1078"/>
      <c r="E1255" s="1091" t="str">
        <f>VLOOKUP($B1255,DG!A:D,DG!$B$2,)</f>
        <v>05.6044</v>
      </c>
      <c r="F1255" s="1080" t="str">
        <f>VLOOKUP($B1255,DG!A:D,DG!$C$2,)</f>
        <v>Lắp xà cột Pi loại ≤140kg/xà</v>
      </c>
      <c r="G1255" s="1091" t="str">
        <f>VLOOKUP($B1255,DG!A:D,DG!$D$2,)</f>
        <v>bộ</v>
      </c>
      <c r="H1255" s="1851">
        <f>H1249*3</f>
        <v>9</v>
      </c>
      <c r="I1255" s="1259">
        <f t="shared" si="83"/>
        <v>0</v>
      </c>
      <c r="J1255" s="1108"/>
      <c r="K1255" s="1108"/>
      <c r="L1255" s="1082"/>
      <c r="M1255" s="975">
        <v>250</v>
      </c>
    </row>
    <row r="1256" spans="1:13" s="1083" customFormat="1" ht="25.2" hidden="1" customHeight="1">
      <c r="A1256" s="1153">
        <f t="shared" si="85"/>
        <v>0</v>
      </c>
      <c r="B1256" s="1154" t="s">
        <v>1790</v>
      </c>
      <c r="C1256" s="1154"/>
      <c r="D1256" s="1078"/>
      <c r="E1256" s="1091">
        <f>VLOOKUP($B1256,DG!A:D,DG!$B$2,)</f>
        <v>0</v>
      </c>
      <c r="F1256" s="1080" t="str">
        <f>VLOOKUP($B1256,DG!A:D,DG!$C$2,)</f>
        <v>Boulon 16x50+ 2 long đền vuông D18-50x50x3/Zn</v>
      </c>
      <c r="G1256" s="1091" t="str">
        <f>VLOOKUP($B1256,DG!A:D,DG!$D$2,)</f>
        <v>bộ</v>
      </c>
      <c r="H1256" s="1851">
        <f>4*H1249</f>
        <v>12</v>
      </c>
      <c r="I1256" s="1259">
        <f t="shared" si="83"/>
        <v>0</v>
      </c>
      <c r="J1256" s="1108"/>
      <c r="K1256" s="1108"/>
      <c r="L1256" s="1082"/>
      <c r="M1256" s="975">
        <v>250</v>
      </c>
    </row>
    <row r="1257" spans="1:13" s="1083" customFormat="1" ht="25.2" hidden="1" customHeight="1">
      <c r="A1257" s="1153">
        <f t="shared" si="85"/>
        <v>0</v>
      </c>
      <c r="B1257" s="1331" t="s">
        <v>1443</v>
      </c>
      <c r="C1257" s="1331"/>
      <c r="D1257" s="1078"/>
      <c r="E1257" s="1091" t="str">
        <f>VLOOKUP($B1257,DG!A:D,DG!$B$2,)</f>
        <v>05.6102</v>
      </c>
      <c r="F1257" s="1080" t="str">
        <f>VLOOKUP($B1257,DG!A:D,DG!$C$2,)</f>
        <v>Lắp xà đỡ ≤ 50kg</v>
      </c>
      <c r="G1257" s="1091" t="str">
        <f>VLOOKUP($B1257,DG!A:D,DG!$D$2,)</f>
        <v>bộ</v>
      </c>
      <c r="H1257" s="1851">
        <f>1*H1249</f>
        <v>3</v>
      </c>
      <c r="I1257" s="1259">
        <f t="shared" si="83"/>
        <v>0</v>
      </c>
      <c r="J1257" s="1108"/>
      <c r="K1257" s="1108"/>
      <c r="L1257" s="1082"/>
      <c r="M1257" s="975">
        <v>250</v>
      </c>
    </row>
    <row r="1258" spans="1:13" s="1083" customFormat="1" ht="25.2" hidden="1" customHeight="1">
      <c r="A1258" s="1153">
        <f t="shared" si="85"/>
        <v>0</v>
      </c>
      <c r="B1258" s="1324"/>
      <c r="C1258" s="1324"/>
      <c r="D1258" s="1084">
        <f>IF(H1258&gt;0,D1249+1,D1249)</f>
        <v>2</v>
      </c>
      <c r="E1258" s="1085"/>
      <c r="F1258" s="1130" t="s">
        <v>4584</v>
      </c>
      <c r="G1258" s="1084" t="s">
        <v>2391</v>
      </c>
      <c r="H1258" s="1867">
        <v>1</v>
      </c>
      <c r="I1258" s="1259">
        <f t="shared" si="83"/>
        <v>0</v>
      </c>
      <c r="J1258" s="1131"/>
      <c r="K1258" s="1131"/>
      <c r="L1258" s="1082"/>
      <c r="M1258" s="975">
        <v>250</v>
      </c>
    </row>
    <row r="1259" spans="1:13" s="1083" customFormat="1" ht="25.2" hidden="1" customHeight="1">
      <c r="A1259" s="1153">
        <f t="shared" si="85"/>
        <v>0</v>
      </c>
      <c r="B1259" s="1324"/>
      <c r="C1259" s="1324"/>
      <c r="D1259" s="1078"/>
      <c r="E1259" s="1088"/>
      <c r="F1259" s="1367" t="s">
        <v>2285</v>
      </c>
      <c r="G1259" s="1090"/>
      <c r="H1259" s="1851"/>
      <c r="I1259" s="1259">
        <f t="shared" si="83"/>
        <v>0</v>
      </c>
      <c r="J1259" s="1131"/>
      <c r="K1259" s="1131"/>
      <c r="L1259" s="1082"/>
      <c r="M1259" s="975">
        <v>250</v>
      </c>
    </row>
    <row r="1260" spans="1:13" s="1083" customFormat="1" ht="25.2" hidden="1" customHeight="1">
      <c r="A1260" s="1153">
        <f t="shared" si="85"/>
        <v>0</v>
      </c>
      <c r="B1260" s="1331" t="s">
        <v>2026</v>
      </c>
      <c r="C1260" s="1331"/>
      <c r="D1260" s="1078"/>
      <c r="E1260" s="1091">
        <f>VLOOKUP($B1260,DG!A:D,DG!$B$2,)</f>
        <v>0</v>
      </c>
      <c r="F1260" s="1080" t="str">
        <f>VLOOKUP($B1260,DG!A:D,DG!$C$2,)</f>
        <v>Sắt góc L75 x75 x8</v>
      </c>
      <c r="G1260" s="1091" t="str">
        <f>VLOOKUP($B1260,DG!A:D,DG!$D$2,)</f>
        <v>kg</v>
      </c>
      <c r="H1260" s="1971">
        <v>1</v>
      </c>
      <c r="I1260" s="1972">
        <f t="shared" ref="I1260:I1323" si="86">IF(M1260=$M$23,H1260+J1260-K1260,0)</f>
        <v>0</v>
      </c>
      <c r="J1260" s="1108"/>
      <c r="K1260" s="1108"/>
      <c r="L1260" s="1082"/>
      <c r="M1260" s="975">
        <v>250</v>
      </c>
    </row>
    <row r="1261" spans="1:13" s="1083" customFormat="1" ht="25.2" hidden="1" customHeight="1">
      <c r="A1261" s="1153">
        <f t="shared" si="85"/>
        <v>0</v>
      </c>
      <c r="B1261" s="1324" t="s">
        <v>1612</v>
      </c>
      <c r="C1261" s="1324"/>
      <c r="D1261" s="1078"/>
      <c r="E1261" s="1091">
        <f>VLOOKUP($B1261,DG!A:D,DG!$B$2,)</f>
        <v>0</v>
      </c>
      <c r="F1261" s="1080" t="str">
        <f>VLOOKUP($B1261,DG!A:D,DG!$C$2,)</f>
        <v>Boulon 16x250+ 2 long đền vuông D18-50x50x3/Zn</v>
      </c>
      <c r="G1261" s="1091" t="str">
        <f>VLOOKUP($B1261,DG!A:D,DG!$D$2,)</f>
        <v>bộ</v>
      </c>
      <c r="H1261" s="1851">
        <f>H1258</f>
        <v>1</v>
      </c>
      <c r="I1261" s="1259">
        <f t="shared" si="86"/>
        <v>0</v>
      </c>
      <c r="J1261" s="1108"/>
      <c r="K1261" s="1108"/>
      <c r="L1261" s="1082"/>
      <c r="M1261" s="975">
        <v>250</v>
      </c>
    </row>
    <row r="1262" spans="1:13" s="1083" customFormat="1" ht="25.2" hidden="1" customHeight="1">
      <c r="A1262" s="1153">
        <f t="shared" si="85"/>
        <v>0</v>
      </c>
      <c r="B1262" s="1324" t="s">
        <v>1613</v>
      </c>
      <c r="C1262" s="1324"/>
      <c r="D1262" s="1078"/>
      <c r="E1262" s="1091">
        <f>VLOOKUP($B1262,DG!A:D,DG!$B$2,)</f>
        <v>0</v>
      </c>
      <c r="F1262" s="1080" t="str">
        <f>VLOOKUP($B1262,DG!A:D,DG!$C$2,)</f>
        <v>Boulon 16x300+ 2 long đền vuông D18-50x50x3/Zn</v>
      </c>
      <c r="G1262" s="1091" t="str">
        <f>VLOOKUP($B1262,DG!A:D,DG!$D$2,)</f>
        <v>bộ</v>
      </c>
      <c r="H1262" s="1851">
        <f>H1258</f>
        <v>1</v>
      </c>
      <c r="I1262" s="1259">
        <f t="shared" si="86"/>
        <v>0</v>
      </c>
      <c r="J1262" s="1108"/>
      <c r="K1262" s="1108"/>
      <c r="L1262" s="1082"/>
      <c r="M1262" s="975">
        <v>250</v>
      </c>
    </row>
    <row r="1263" spans="1:13" s="1083" customFormat="1" ht="25.2" hidden="1" customHeight="1">
      <c r="A1263" s="1153">
        <f t="shared" si="85"/>
        <v>0</v>
      </c>
      <c r="B1263" s="1324" t="s">
        <v>1739</v>
      </c>
      <c r="C1263" s="1324"/>
      <c r="D1263" s="1078"/>
      <c r="E1263" s="1091">
        <f>VLOOKUP($B1263,DG!A:D,DG!$B$2,)</f>
        <v>0</v>
      </c>
      <c r="F1263" s="1080" t="str">
        <f>VLOOKUP($B1263,DG!A:D,DG!$C$2,)</f>
        <v>Bass LI bắt FCO</v>
      </c>
      <c r="G1263" s="1091" t="str">
        <f>VLOOKUP($B1263,DG!A:D,DG!$D$2,)</f>
        <v>Bộ</v>
      </c>
      <c r="H1263" s="1851">
        <v>3</v>
      </c>
      <c r="I1263" s="1259">
        <f t="shared" si="86"/>
        <v>0</v>
      </c>
      <c r="J1263" s="1108"/>
      <c r="K1263" s="1108"/>
      <c r="L1263" s="1082"/>
      <c r="M1263" s="975">
        <v>250</v>
      </c>
    </row>
    <row r="1264" spans="1:13" s="1083" customFormat="1" ht="25.2" hidden="1" customHeight="1">
      <c r="A1264" s="1153">
        <f t="shared" si="85"/>
        <v>0</v>
      </c>
      <c r="B1264" s="1324" t="s">
        <v>2248</v>
      </c>
      <c r="C1264" s="1324"/>
      <c r="D1264" s="1078"/>
      <c r="E1264" s="1091" t="str">
        <f>VLOOKUP($B1264,DG!A:D,DG!$B$2,)</f>
        <v>05.6044</v>
      </c>
      <c r="F1264" s="1080" t="str">
        <f>VLOOKUP($B1264,DG!A:D,DG!$C$2,)</f>
        <v>Lắp xà cột Pi loại ≤140kg/xà</v>
      </c>
      <c r="G1264" s="1091" t="str">
        <f>VLOOKUP($B1264,DG!A:D,DG!$D$2,)</f>
        <v>bộ</v>
      </c>
      <c r="H1264" s="1851">
        <v>1</v>
      </c>
      <c r="I1264" s="1259">
        <f t="shared" si="86"/>
        <v>0</v>
      </c>
      <c r="J1264" s="1108"/>
      <c r="K1264" s="1108"/>
      <c r="L1264" s="1082"/>
      <c r="M1264" s="975">
        <v>250</v>
      </c>
    </row>
    <row r="1265" spans="1:13" s="1083" customFormat="1" ht="25.2" hidden="1" customHeight="1">
      <c r="A1265" s="1153">
        <f t="shared" si="85"/>
        <v>0</v>
      </c>
      <c r="B1265" s="1324"/>
      <c r="C1265" s="1324"/>
      <c r="D1265" s="1084">
        <f>IF(H1265&gt;0,D1258+1,D1258)</f>
        <v>3</v>
      </c>
      <c r="E1265" s="1085"/>
      <c r="F1265" s="1130" t="s">
        <v>3735</v>
      </c>
      <c r="G1265" s="1084" t="s">
        <v>2391</v>
      </c>
      <c r="H1265" s="1867">
        <v>2</v>
      </c>
      <c r="I1265" s="1259">
        <f t="shared" si="86"/>
        <v>0</v>
      </c>
      <c r="J1265" s="1131"/>
      <c r="K1265" s="1131"/>
      <c r="L1265" s="1082"/>
      <c r="M1265" s="975">
        <v>250</v>
      </c>
    </row>
    <row r="1266" spans="1:13" s="1083" customFormat="1" ht="25.2" hidden="1" customHeight="1">
      <c r="A1266" s="1153">
        <f t="shared" si="85"/>
        <v>0</v>
      </c>
      <c r="B1266" s="1324"/>
      <c r="C1266" s="1324"/>
      <c r="D1266" s="1078"/>
      <c r="E1266" s="1088"/>
      <c r="F1266" s="1367" t="s">
        <v>2285</v>
      </c>
      <c r="G1266" s="1090"/>
      <c r="H1266" s="1851"/>
      <c r="I1266" s="1259">
        <f t="shared" si="86"/>
        <v>0</v>
      </c>
      <c r="J1266" s="1131"/>
      <c r="K1266" s="1131"/>
      <c r="L1266" s="1082"/>
      <c r="M1266" s="975">
        <v>250</v>
      </c>
    </row>
    <row r="1267" spans="1:13" s="1083" customFormat="1" ht="25.2" hidden="1" customHeight="1">
      <c r="A1267" s="1153">
        <f t="shared" si="85"/>
        <v>0</v>
      </c>
      <c r="B1267" s="1324" t="s">
        <v>2026</v>
      </c>
      <c r="C1267" s="1355">
        <f>93.81/2</f>
        <v>46.905000000000001</v>
      </c>
      <c r="D1267" s="1078"/>
      <c r="E1267" s="1091">
        <f>VLOOKUP($B1267,DG!A:D,DG!$B$2,)</f>
        <v>0</v>
      </c>
      <c r="F1267" s="1080" t="str">
        <f>VLOOKUP($B1267,DG!A:D,DG!$C$2,)</f>
        <v>Sắt góc L75 x75 x8</v>
      </c>
      <c r="G1267" s="1091" t="str">
        <f>VLOOKUP($B1267,DG!A:D,DG!$D$2,)</f>
        <v>kg</v>
      </c>
      <c r="H1267" s="1971"/>
      <c r="I1267" s="1972">
        <f>H1267</f>
        <v>0</v>
      </c>
      <c r="J1267" s="1108"/>
      <c r="K1267" s="1108"/>
      <c r="L1267" s="1082"/>
      <c r="M1267" s="975">
        <v>250</v>
      </c>
    </row>
    <row r="1268" spans="1:13" s="1083" customFormat="1" ht="25.2" hidden="1" customHeight="1">
      <c r="A1268" s="1153">
        <f t="shared" si="85"/>
        <v>0</v>
      </c>
      <c r="B1268" s="1324" t="s">
        <v>1083</v>
      </c>
      <c r="C1268" s="1324"/>
      <c r="D1268" s="1078"/>
      <c r="E1268" s="1091">
        <f>VLOOKUP($B1268,DG!A:D,DG!$B$2,)</f>
        <v>0</v>
      </c>
      <c r="F1268" s="1080" t="str">
        <f>VLOOKUP($B1268,DG!A:D,DG!$C$2,)</f>
        <v>Boulon 16x400+ 2 long đền vuông D18-50x50x3/Zn</v>
      </c>
      <c r="G1268" s="1091" t="str">
        <f>VLOOKUP($B1268,DG!A:D,DG!$D$2,)</f>
        <v>bộ</v>
      </c>
      <c r="H1268" s="1851">
        <f>H1265*2</f>
        <v>4</v>
      </c>
      <c r="I1268" s="1259">
        <f t="shared" si="86"/>
        <v>0</v>
      </c>
      <c r="J1268" s="1108"/>
      <c r="K1268" s="1108"/>
      <c r="L1268" s="1082"/>
      <c r="M1268" s="975">
        <v>250</v>
      </c>
    </row>
    <row r="1269" spans="1:13" s="1083" customFormat="1" ht="25.2" hidden="1" customHeight="1">
      <c r="A1269" s="1153">
        <f t="shared" si="85"/>
        <v>0</v>
      </c>
      <c r="B1269" s="1324" t="s">
        <v>138</v>
      </c>
      <c r="C1269" s="1324"/>
      <c r="D1269" s="1078"/>
      <c r="E1269" s="1091">
        <f>VLOOKUP($B1269,DG!A:D,DG!$B$2,)</f>
        <v>0</v>
      </c>
      <c r="F1269" s="1080" t="str">
        <f>VLOOKUP($B1269,DG!A:D,DG!$C$2,)</f>
        <v>Boulon 12x40+ 2 long đền vuông D14-50x50x3/Zn</v>
      </c>
      <c r="G1269" s="1091" t="str">
        <f>VLOOKUP($B1269,DG!A:D,DG!$D$2,)</f>
        <v>bộ</v>
      </c>
      <c r="H1269" s="1851">
        <f>H1265*2</f>
        <v>4</v>
      </c>
      <c r="I1269" s="1259">
        <f t="shared" si="86"/>
        <v>0</v>
      </c>
      <c r="J1269" s="1108"/>
      <c r="K1269" s="1108"/>
      <c r="L1269" s="1082"/>
      <c r="M1269" s="975">
        <v>250</v>
      </c>
    </row>
    <row r="1270" spans="1:13" s="1083" customFormat="1" ht="25.2" hidden="1" customHeight="1">
      <c r="A1270" s="1153">
        <f t="shared" si="85"/>
        <v>0</v>
      </c>
      <c r="B1270" s="1324" t="s">
        <v>2248</v>
      </c>
      <c r="C1270" s="1324"/>
      <c r="D1270" s="1078"/>
      <c r="E1270" s="1091" t="str">
        <f>VLOOKUP($B1270,DG!A:D,DG!$B$2,)</f>
        <v>05.6044</v>
      </c>
      <c r="F1270" s="1080" t="str">
        <f>VLOOKUP($B1270,DG!A:D,DG!$C$2,)</f>
        <v>Lắp xà cột Pi loại ≤140kg/xà</v>
      </c>
      <c r="G1270" s="1091" t="str">
        <f>VLOOKUP($B1270,DG!A:D,DG!$D$2,)</f>
        <v>bộ</v>
      </c>
      <c r="H1270" s="1851">
        <f>H1265/2</f>
        <v>1</v>
      </c>
      <c r="I1270" s="1259">
        <f t="shared" si="86"/>
        <v>0</v>
      </c>
      <c r="J1270" s="1108"/>
      <c r="K1270" s="1108"/>
      <c r="L1270" s="1082"/>
      <c r="M1270" s="975">
        <v>250</v>
      </c>
    </row>
    <row r="1271" spans="1:13" s="1083" customFormat="1" ht="25.2" hidden="1" customHeight="1">
      <c r="A1271" s="1153">
        <f t="shared" si="85"/>
        <v>0</v>
      </c>
      <c r="B1271" s="1324" t="s">
        <v>217</v>
      </c>
      <c r="C1271" s="1324"/>
      <c r="D1271" s="1078"/>
      <c r="E1271" s="1091" t="str">
        <f>VLOOKUP($B1271,DG!A:D,DG!$B$2,)</f>
        <v>02.1115</v>
      </c>
      <c r="F1271" s="1080" t="str">
        <f>VLOOKUP($B1271,DG!A:D,DG!$C$2,)</f>
        <v>Bốc dỡ xà, thép thanh</v>
      </c>
      <c r="G1271" s="1091" t="str">
        <f>VLOOKUP($B1271,DG!A:D,DG!$D$2,)</f>
        <v>tấn</v>
      </c>
      <c r="H1271" s="1851">
        <f>0.05*0</f>
        <v>0</v>
      </c>
      <c r="I1271" s="1259">
        <f t="shared" si="86"/>
        <v>0</v>
      </c>
      <c r="J1271" s="1108"/>
      <c r="K1271" s="1108"/>
      <c r="L1271" s="1082"/>
      <c r="M1271" s="975">
        <v>250</v>
      </c>
    </row>
    <row r="1272" spans="1:13" s="1083" customFormat="1" ht="25.2" hidden="1" customHeight="1">
      <c r="A1272" s="1153">
        <f t="shared" si="85"/>
        <v>0</v>
      </c>
      <c r="B1272" s="1324" t="s">
        <v>1613</v>
      </c>
      <c r="C1272" s="1324"/>
      <c r="D1272" s="1078"/>
      <c r="E1272" s="1091">
        <f>VLOOKUP($B1272,DG!A:D,DG!$B$2,)</f>
        <v>0</v>
      </c>
      <c r="F1272" s="1080" t="str">
        <f>VLOOKUP($B1272,DG!A:D,DG!$C$2,)</f>
        <v>Boulon 16x300+ 2 long đền vuông D18-50x50x3/Zn</v>
      </c>
      <c r="G1272" s="1079" t="s">
        <v>2445</v>
      </c>
      <c r="H1272" s="1851">
        <f>H1265*2*0</f>
        <v>0</v>
      </c>
      <c r="I1272" s="1259">
        <f t="shared" si="86"/>
        <v>0</v>
      </c>
      <c r="J1272" s="1108"/>
      <c r="K1272" s="1108"/>
      <c r="L1272" s="1082"/>
      <c r="M1272" s="975">
        <v>250</v>
      </c>
    </row>
    <row r="1273" spans="1:13" s="1083" customFormat="1" ht="25.2" hidden="1" customHeight="1">
      <c r="A1273" s="1153">
        <f t="shared" si="85"/>
        <v>0</v>
      </c>
      <c r="B1273" s="1324" t="s">
        <v>1612</v>
      </c>
      <c r="C1273" s="1324"/>
      <c r="D1273" s="1078"/>
      <c r="E1273" s="1091">
        <f>VLOOKUP($B1273,DG!A:D,DG!$B$2,)</f>
        <v>0</v>
      </c>
      <c r="F1273" s="1080" t="str">
        <f>VLOOKUP($B1273,DG!A:D,DG!$C$2,)</f>
        <v>Boulon 16x250+ 2 long đền vuông D18-50x50x3/Zn</v>
      </c>
      <c r="G1273" s="1079" t="s">
        <v>2445</v>
      </c>
      <c r="H1273" s="1851">
        <f>2*H1265*2*0</f>
        <v>0</v>
      </c>
      <c r="I1273" s="1259">
        <f t="shared" si="86"/>
        <v>0</v>
      </c>
      <c r="J1273" s="1108"/>
      <c r="K1273" s="1108"/>
      <c r="L1273" s="1082"/>
      <c r="M1273" s="975">
        <v>250</v>
      </c>
    </row>
    <row r="1274" spans="1:13" s="1083" customFormat="1" ht="25.2" hidden="1" customHeight="1" collapsed="1">
      <c r="A1274" s="1153">
        <f t="shared" si="85"/>
        <v>0</v>
      </c>
      <c r="B1274" s="1324"/>
      <c r="C1274" s="1324"/>
      <c r="D1274" s="1084">
        <f>IF(H1274&gt;0,D1265+1,D1265)</f>
        <v>3</v>
      </c>
      <c r="E1274" s="1085"/>
      <c r="F1274" s="1130" t="s">
        <v>3736</v>
      </c>
      <c r="G1274" s="1084" t="s">
        <v>2391</v>
      </c>
      <c r="H1274" s="1867">
        <f>H1198*0</f>
        <v>0</v>
      </c>
      <c r="I1274" s="1259">
        <f t="shared" si="86"/>
        <v>0</v>
      </c>
      <c r="J1274" s="1081"/>
      <c r="K1274" s="1081"/>
      <c r="L1274" s="1110"/>
      <c r="M1274" s="975">
        <v>250</v>
      </c>
    </row>
    <row r="1275" spans="1:13" s="1083" customFormat="1" ht="25.2" hidden="1" customHeight="1">
      <c r="A1275" s="1153">
        <f t="shared" si="85"/>
        <v>0</v>
      </c>
      <c r="B1275" s="1324"/>
      <c r="C1275" s="1324"/>
      <c r="D1275" s="1078"/>
      <c r="E1275" s="1088"/>
      <c r="F1275" s="1367" t="s">
        <v>2285</v>
      </c>
      <c r="G1275" s="1090"/>
      <c r="H1275" s="1851"/>
      <c r="I1275" s="1259">
        <f t="shared" si="86"/>
        <v>0</v>
      </c>
      <c r="J1275" s="1081"/>
      <c r="K1275" s="1081"/>
      <c r="L1275" s="1110"/>
      <c r="M1275" s="975">
        <v>250</v>
      </c>
    </row>
    <row r="1276" spans="1:13" s="1083" customFormat="1" ht="25.2" hidden="1" customHeight="1">
      <c r="A1276" s="1153">
        <f t="shared" si="85"/>
        <v>0</v>
      </c>
      <c r="B1276" s="1324" t="s">
        <v>2026</v>
      </c>
      <c r="C1276" s="1324"/>
      <c r="D1276" s="1078"/>
      <c r="E1276" s="1091">
        <f>VLOOKUP($B1276,DG!A:D,DG!$B$2,)</f>
        <v>0</v>
      </c>
      <c r="F1276" s="1080" t="str">
        <f>VLOOKUP($B1276,DG!A:D,DG!$C$2,)</f>
        <v>Sắt góc L75 x75 x8</v>
      </c>
      <c r="G1276" s="1079" t="s">
        <v>2254</v>
      </c>
      <c r="H1276" s="1851">
        <f>H1274*9.02*(2.4+4*0.07)*2</f>
        <v>0</v>
      </c>
      <c r="I1276" s="1259">
        <f t="shared" si="86"/>
        <v>0</v>
      </c>
      <c r="J1276" s="1081"/>
      <c r="K1276" s="1081"/>
      <c r="L1276" s="1110"/>
      <c r="M1276" s="975">
        <v>250</v>
      </c>
    </row>
    <row r="1277" spans="1:13" s="1083" customFormat="1" ht="25.2" hidden="1" customHeight="1">
      <c r="A1277" s="1153">
        <f t="shared" si="85"/>
        <v>0</v>
      </c>
      <c r="B1277" s="1324" t="s">
        <v>1035</v>
      </c>
      <c r="C1277" s="1324"/>
      <c r="D1277" s="1078"/>
      <c r="E1277" s="1091">
        <f>VLOOKUP($B1277,DG!A:D,DG!$B$2,)</f>
        <v>0</v>
      </c>
      <c r="F1277" s="1080" t="str">
        <f>VLOOKUP($B1277,DG!A:D,DG!$C$2,)&amp;" (Thanh choáng 810)"</f>
        <v>Sắt góc L50 x50 x5 (Thanh choáng 810)</v>
      </c>
      <c r="G1277" s="1079" t="s">
        <v>2254</v>
      </c>
      <c r="H1277" s="1851">
        <f>H1274*3.77*0.81*4</f>
        <v>0</v>
      </c>
      <c r="I1277" s="1259">
        <f t="shared" si="86"/>
        <v>0</v>
      </c>
      <c r="J1277" s="1081"/>
      <c r="K1277" s="1081"/>
      <c r="L1277" s="1110"/>
      <c r="M1277" s="975">
        <v>250</v>
      </c>
    </row>
    <row r="1278" spans="1:13" s="1083" customFormat="1" ht="25.2" hidden="1" customHeight="1">
      <c r="A1278" s="1153">
        <f t="shared" si="85"/>
        <v>0</v>
      </c>
      <c r="B1278" s="1324" t="s">
        <v>1613</v>
      </c>
      <c r="C1278" s="1324"/>
      <c r="D1278" s="1078"/>
      <c r="E1278" s="1091">
        <f>VLOOKUP($B1278,DG!A:D,DG!$B$2,)</f>
        <v>0</v>
      </c>
      <c r="F1278" s="1080" t="str">
        <f>VLOOKUP($B1278,DG!A:D,DG!$C$2,)</f>
        <v>Boulon 16x300+ 2 long đền vuông D18-50x50x3/Zn</v>
      </c>
      <c r="G1278" s="1079" t="s">
        <v>2445</v>
      </c>
      <c r="H1278" s="1851">
        <f>H1274*2</f>
        <v>0</v>
      </c>
      <c r="I1278" s="1259">
        <f t="shared" si="86"/>
        <v>0</v>
      </c>
      <c r="J1278" s="1081"/>
      <c r="K1278" s="1081"/>
      <c r="L1278" s="1110"/>
      <c r="M1278" s="975">
        <v>250</v>
      </c>
    </row>
    <row r="1279" spans="1:13" s="1083" customFormat="1" ht="25.2" hidden="1" customHeight="1">
      <c r="A1279" s="1153">
        <f t="shared" si="85"/>
        <v>0</v>
      </c>
      <c r="B1279" s="1324" t="s">
        <v>1790</v>
      </c>
      <c r="C1279" s="1324"/>
      <c r="D1279" s="1078"/>
      <c r="E1279" s="1091">
        <f>VLOOKUP($B1279,DG!A:D,DG!$B$2,)</f>
        <v>0</v>
      </c>
      <c r="F1279" s="1080" t="str">
        <f>VLOOKUP($B1279,DG!A:D,DG!$C$2,)</f>
        <v>Boulon 16x50+ 2 long đền vuông D18-50x50x3/Zn</v>
      </c>
      <c r="G1279" s="1079" t="s">
        <v>2445</v>
      </c>
      <c r="H1279" s="1851">
        <f>H1274*4</f>
        <v>0</v>
      </c>
      <c r="I1279" s="1259">
        <f t="shared" si="86"/>
        <v>0</v>
      </c>
      <c r="J1279" s="1081"/>
      <c r="K1279" s="1081"/>
      <c r="L1279" s="1110"/>
      <c r="M1279" s="975">
        <v>250</v>
      </c>
    </row>
    <row r="1280" spans="1:13" s="1083" customFormat="1" ht="25.2" hidden="1" customHeight="1">
      <c r="A1280" s="1153">
        <f t="shared" si="85"/>
        <v>0</v>
      </c>
      <c r="B1280" s="1324" t="s">
        <v>1788</v>
      </c>
      <c r="C1280" s="1324"/>
      <c r="D1280" s="1078"/>
      <c r="E1280" s="1091">
        <f>VLOOKUP($B1280,DG!A:D,DG!$B$2,)</f>
        <v>0</v>
      </c>
      <c r="F1280" s="1080" t="str">
        <f>VLOOKUP($B1280,DG!A:D,DG!$C$2,)</f>
        <v>Boulon 16x300VRS+ 4 long đền vuông D18-50x50x3/Zn</v>
      </c>
      <c r="G1280" s="1079" t="s">
        <v>2445</v>
      </c>
      <c r="H1280" s="1851">
        <f>H1274*4</f>
        <v>0</v>
      </c>
      <c r="I1280" s="1259">
        <f t="shared" si="86"/>
        <v>0</v>
      </c>
      <c r="J1280" s="1081"/>
      <c r="K1280" s="1081"/>
      <c r="L1280" s="1110"/>
      <c r="M1280" s="975">
        <v>250</v>
      </c>
    </row>
    <row r="1281" spans="1:13" s="1083" customFormat="1" ht="25.2" hidden="1" customHeight="1">
      <c r="A1281" s="1153">
        <f t="shared" si="85"/>
        <v>0</v>
      </c>
      <c r="B1281" s="1324" t="s">
        <v>517</v>
      </c>
      <c r="C1281" s="1324"/>
      <c r="D1281" s="1078"/>
      <c r="E1281" s="1091" t="str">
        <f>VLOOKUP($B1281,DG!A:D,DG!$B$2,)</f>
        <v>05.6203</v>
      </c>
      <c r="F1281" s="1080" t="str">
        <f>VLOOKUP($B1281,DG!A:D,DG!$C$2,)</f>
        <v>Lắp xà néo ≤ 100kg</v>
      </c>
      <c r="G1281" s="1079" t="s">
        <v>2445</v>
      </c>
      <c r="H1281" s="1851">
        <f>H1274</f>
        <v>0</v>
      </c>
      <c r="I1281" s="1259">
        <f t="shared" si="86"/>
        <v>0</v>
      </c>
      <c r="J1281" s="1081"/>
      <c r="K1281" s="1081"/>
      <c r="L1281" s="1110"/>
      <c r="M1281" s="975">
        <v>250</v>
      </c>
    </row>
    <row r="1282" spans="1:13" s="1083" customFormat="1" ht="25.2" hidden="1" customHeight="1">
      <c r="A1282" s="1153">
        <f t="shared" si="85"/>
        <v>0</v>
      </c>
      <c r="B1282" s="1324"/>
      <c r="C1282" s="1324"/>
      <c r="D1282" s="1084">
        <f>IF(H1282&gt;0,D1274+1,D1274)</f>
        <v>3</v>
      </c>
      <c r="E1282" s="1085"/>
      <c r="F1282" s="1130" t="s">
        <v>3737</v>
      </c>
      <c r="G1282" s="1084" t="s">
        <v>2391</v>
      </c>
      <c r="H1282" s="1867">
        <f>H1198*1*0</f>
        <v>0</v>
      </c>
      <c r="I1282" s="1259">
        <f t="shared" si="86"/>
        <v>0</v>
      </c>
      <c r="J1282" s="1081"/>
      <c r="K1282" s="1081"/>
      <c r="L1282" s="1110"/>
      <c r="M1282" s="975">
        <v>250</v>
      </c>
    </row>
    <row r="1283" spans="1:13" s="1083" customFormat="1" ht="25.2" hidden="1" customHeight="1">
      <c r="A1283" s="1153">
        <f t="shared" si="85"/>
        <v>0</v>
      </c>
      <c r="B1283" s="1324"/>
      <c r="C1283" s="1324"/>
      <c r="D1283" s="1078"/>
      <c r="E1283" s="1088"/>
      <c r="F1283" s="1367" t="s">
        <v>2285</v>
      </c>
      <c r="G1283" s="1090"/>
      <c r="H1283" s="1851"/>
      <c r="I1283" s="1259">
        <f t="shared" si="86"/>
        <v>0</v>
      </c>
      <c r="J1283" s="1081"/>
      <c r="K1283" s="1081"/>
      <c r="L1283" s="1110"/>
      <c r="M1283" s="975">
        <v>250</v>
      </c>
    </row>
    <row r="1284" spans="1:13" s="1083" customFormat="1" ht="25.2" hidden="1" customHeight="1">
      <c r="A1284" s="1153">
        <f t="shared" si="85"/>
        <v>0</v>
      </c>
      <c r="B1284" s="1324" t="s">
        <v>2026</v>
      </c>
      <c r="C1284" s="1324"/>
      <c r="D1284" s="1078"/>
      <c r="E1284" s="1091">
        <f>VLOOKUP($B1284,DG!A:D,DG!$B$2,)</f>
        <v>0</v>
      </c>
      <c r="F1284" s="1080" t="str">
        <f>VLOOKUP($B1284,DG!A:D,DG!$C$2,)</f>
        <v>Sắt góc L75 x75 x8</v>
      </c>
      <c r="G1284" s="1079" t="s">
        <v>2254</v>
      </c>
      <c r="H1284" s="1851">
        <f>H1282*9.02*(2.4+4*0.07)</f>
        <v>0</v>
      </c>
      <c r="I1284" s="1259">
        <f t="shared" si="86"/>
        <v>0</v>
      </c>
      <c r="J1284" s="1081"/>
      <c r="K1284" s="1081"/>
      <c r="L1284" s="1110"/>
      <c r="M1284" s="975">
        <v>250</v>
      </c>
    </row>
    <row r="1285" spans="1:13" s="1083" customFormat="1" ht="25.2" hidden="1" customHeight="1">
      <c r="A1285" s="1153">
        <f t="shared" si="85"/>
        <v>0</v>
      </c>
      <c r="B1285" s="1324" t="s">
        <v>1035</v>
      </c>
      <c r="C1285" s="1324"/>
      <c r="D1285" s="1078"/>
      <c r="E1285" s="1091">
        <f>VLOOKUP($B1285,DG!A:D,DG!$B$2,)</f>
        <v>0</v>
      </c>
      <c r="F1285" s="1080" t="str">
        <f>VLOOKUP($B1285,DG!A:D,DG!$C$2,)&amp;" (Thanh choáng 810)"</f>
        <v>Sắt góc L50 x50 x5 (Thanh choáng 810)</v>
      </c>
      <c r="G1285" s="1079" t="s">
        <v>2254</v>
      </c>
      <c r="H1285" s="1851">
        <f>H1282*3.77*0.81*2</f>
        <v>0</v>
      </c>
      <c r="I1285" s="1259">
        <f t="shared" si="86"/>
        <v>0</v>
      </c>
      <c r="J1285" s="1081"/>
      <c r="K1285" s="1081"/>
      <c r="L1285" s="1110"/>
      <c r="M1285" s="975">
        <v>250</v>
      </c>
    </row>
    <row r="1286" spans="1:13" s="1083" customFormat="1" ht="25.2" hidden="1" customHeight="1">
      <c r="A1286" s="1153">
        <f t="shared" si="85"/>
        <v>0</v>
      </c>
      <c r="B1286" s="1324" t="s">
        <v>1079</v>
      </c>
      <c r="C1286" s="1324"/>
      <c r="D1286" s="1078"/>
      <c r="E1286" s="1091">
        <f>VLOOKUP($B1286,DG!A:D,DG!$B$2,)</f>
        <v>0</v>
      </c>
      <c r="F1286" s="1080" t="str">
        <f>VLOOKUP($B1286,DG!A:D,DG!$C$2,)</f>
        <v>Boulon 16x350+ 2 long đền vuông D18-50x50x3/Zn</v>
      </c>
      <c r="G1286" s="1079" t="s">
        <v>2445</v>
      </c>
      <c r="H1286" s="1851">
        <f>H1282*2</f>
        <v>0</v>
      </c>
      <c r="I1286" s="1259">
        <f t="shared" si="86"/>
        <v>0</v>
      </c>
      <c r="J1286" s="1081"/>
      <c r="K1286" s="1081"/>
      <c r="L1286" s="1110"/>
      <c r="M1286" s="975">
        <v>250</v>
      </c>
    </row>
    <row r="1287" spans="1:13" s="1083" customFormat="1" ht="25.2" hidden="1" customHeight="1">
      <c r="A1287" s="1153">
        <f t="shared" si="85"/>
        <v>0</v>
      </c>
      <c r="B1287" s="1324" t="s">
        <v>1790</v>
      </c>
      <c r="C1287" s="1324"/>
      <c r="D1287" s="1078"/>
      <c r="E1287" s="1091">
        <f>VLOOKUP($B1287,DG!A:D,DG!$B$2,)</f>
        <v>0</v>
      </c>
      <c r="F1287" s="1080" t="str">
        <f>VLOOKUP($B1287,DG!A:D,DG!$C$2,)</f>
        <v>Boulon 16x50+ 2 long đền vuông D18-50x50x3/Zn</v>
      </c>
      <c r="G1287" s="1079" t="s">
        <v>2445</v>
      </c>
      <c r="H1287" s="1851">
        <f>H1282*2</f>
        <v>0</v>
      </c>
      <c r="I1287" s="1259">
        <f t="shared" si="86"/>
        <v>0</v>
      </c>
      <c r="J1287" s="1081"/>
      <c r="K1287" s="1081"/>
      <c r="L1287" s="1110"/>
      <c r="M1287" s="975">
        <v>250</v>
      </c>
    </row>
    <row r="1288" spans="1:13" s="1083" customFormat="1" ht="25.2" hidden="1" customHeight="1">
      <c r="A1288" s="1153">
        <f t="shared" si="85"/>
        <v>0</v>
      </c>
      <c r="B1288" s="1324" t="s">
        <v>1739</v>
      </c>
      <c r="C1288" s="1324"/>
      <c r="D1288" s="1078"/>
      <c r="E1288" s="1091">
        <f>VLOOKUP($B1288,DG!A:D,DG!$B$2,)</f>
        <v>0</v>
      </c>
      <c r="F1288" s="1080" t="str">
        <f>VLOOKUP($B1288,DG!A:D,DG!$C$2,)</f>
        <v>Bass LI bắt FCO</v>
      </c>
      <c r="G1288" s="1079" t="s">
        <v>2445</v>
      </c>
      <c r="H1288" s="1851">
        <f>IF(H1282&gt;0,3,)</f>
        <v>0</v>
      </c>
      <c r="I1288" s="1259">
        <f t="shared" si="86"/>
        <v>0</v>
      </c>
      <c r="J1288" s="1081"/>
      <c r="K1288" s="1081"/>
      <c r="L1288" s="1110"/>
      <c r="M1288" s="975">
        <v>250</v>
      </c>
    </row>
    <row r="1289" spans="1:13" s="1083" customFormat="1" ht="25.2" hidden="1" customHeight="1">
      <c r="A1289" s="1153">
        <f t="shared" si="85"/>
        <v>0</v>
      </c>
      <c r="B1289" s="1324" t="s">
        <v>988</v>
      </c>
      <c r="C1289" s="1324"/>
      <c r="D1289" s="1078"/>
      <c r="E1289" s="1091" t="str">
        <f>VLOOKUP($B1289,DG!A:D,DG!$B$2,)</f>
        <v>06.3231</v>
      </c>
      <c r="F1289" s="1080" t="str">
        <f>VLOOKUP($B1289,DG!A:D,DG!$C$2,)</f>
        <v xml:space="preserve">Cổ dê chống lắc 8x80x800 </v>
      </c>
      <c r="G1289" s="1079" t="s">
        <v>2445</v>
      </c>
      <c r="H1289" s="1851">
        <f>H1282*0</f>
        <v>0</v>
      </c>
      <c r="I1289" s="1259">
        <f t="shared" si="86"/>
        <v>0</v>
      </c>
      <c r="J1289" s="1081"/>
      <c r="K1289" s="1081"/>
      <c r="L1289" s="1110"/>
      <c r="M1289" s="975">
        <v>250</v>
      </c>
    </row>
    <row r="1290" spans="1:13" s="1083" customFormat="1" ht="25.2" hidden="1" customHeight="1">
      <c r="A1290" s="1153">
        <f t="shared" si="85"/>
        <v>0</v>
      </c>
      <c r="B1290" s="1324" t="s">
        <v>1443</v>
      </c>
      <c r="C1290" s="1324"/>
      <c r="D1290" s="1078"/>
      <c r="E1290" s="1091" t="str">
        <f>VLOOKUP($B1290,DG!A:D,DG!$B$2,)</f>
        <v>05.6102</v>
      </c>
      <c r="F1290" s="1080" t="str">
        <f>VLOOKUP($B1290,DG!A:D,DG!$C$2,)</f>
        <v>Lắp xà đỡ ≤ 50kg</v>
      </c>
      <c r="G1290" s="1079" t="s">
        <v>2445</v>
      </c>
      <c r="H1290" s="1851">
        <f>H1282</f>
        <v>0</v>
      </c>
      <c r="I1290" s="1259">
        <f t="shared" si="86"/>
        <v>0</v>
      </c>
      <c r="J1290" s="1081"/>
      <c r="K1290" s="1081"/>
      <c r="L1290" s="1110"/>
      <c r="M1290" s="975">
        <v>250</v>
      </c>
    </row>
    <row r="1291" spans="1:13" s="1083" customFormat="1" ht="25.2" hidden="1" customHeight="1">
      <c r="A1291" s="1153">
        <f t="shared" si="85"/>
        <v>0</v>
      </c>
      <c r="B1291" s="1324"/>
      <c r="C1291" s="1324"/>
      <c r="D1291" s="1084">
        <f>IF(H1291&gt;0,D1282+1,D1282)</f>
        <v>3</v>
      </c>
      <c r="E1291" s="1085"/>
      <c r="F1291" s="1130" t="s">
        <v>3738</v>
      </c>
      <c r="G1291" s="1084" t="s">
        <v>2391</v>
      </c>
      <c r="H1291" s="1867">
        <f>H1198</f>
        <v>0</v>
      </c>
      <c r="I1291" s="1259">
        <f t="shared" si="86"/>
        <v>0</v>
      </c>
      <c r="J1291" s="1081"/>
      <c r="K1291" s="1081"/>
      <c r="L1291" s="1110"/>
      <c r="M1291" s="975">
        <v>250</v>
      </c>
    </row>
    <row r="1292" spans="1:13" s="1083" customFormat="1" ht="25.2" hidden="1" customHeight="1">
      <c r="A1292" s="1153">
        <f t="shared" si="85"/>
        <v>0</v>
      </c>
      <c r="B1292" s="1355"/>
      <c r="C1292" s="1355"/>
      <c r="D1292" s="1078"/>
      <c r="E1292" s="1088"/>
      <c r="F1292" s="1367" t="s">
        <v>2285</v>
      </c>
      <c r="G1292" s="1090"/>
      <c r="H1292" s="1851"/>
      <c r="I1292" s="1259">
        <f t="shared" si="86"/>
        <v>0</v>
      </c>
      <c r="J1292" s="1081"/>
      <c r="K1292" s="1081"/>
      <c r="L1292" s="1110"/>
      <c r="M1292" s="975">
        <v>250</v>
      </c>
    </row>
    <row r="1293" spans="1:13" s="1083" customFormat="1" ht="25.2" hidden="1" customHeight="1">
      <c r="A1293" s="1153">
        <f t="shared" si="85"/>
        <v>0</v>
      </c>
      <c r="B1293" s="1324" t="s">
        <v>1033</v>
      </c>
      <c r="C1293" s="1324"/>
      <c r="D1293" s="1078"/>
      <c r="E1293" s="1079">
        <f>VLOOKUP($B1293,DG!A:D,DG!$B$2,)</f>
        <v>0</v>
      </c>
      <c r="F1293" s="1080" t="str">
        <f>VLOOKUP($B1293,DG!A:D,DG!$C$2,)</f>
        <v>Cáp đồng trần M25mm2</v>
      </c>
      <c r="G1293" s="1091" t="str">
        <f>VLOOKUP($B1293,DG!A:D,DG!$D$2,)</f>
        <v>kg</v>
      </c>
      <c r="H1293" s="1167">
        <v>11.9</v>
      </c>
      <c r="I1293" s="1259">
        <f t="shared" si="86"/>
        <v>0</v>
      </c>
      <c r="J1293" s="1081"/>
      <c r="K1293" s="1081"/>
      <c r="L1293" s="1110"/>
      <c r="M1293" s="975">
        <v>250</v>
      </c>
    </row>
    <row r="1294" spans="1:13" s="1083" customFormat="1" ht="25.2" hidden="1" customHeight="1">
      <c r="A1294" s="1153">
        <f t="shared" si="85"/>
        <v>0</v>
      </c>
      <c r="B1294" s="1154" t="s">
        <v>1511</v>
      </c>
      <c r="C1294" s="1154"/>
      <c r="D1294" s="1078"/>
      <c r="E1294" s="1079">
        <f>VLOOKUP($B1294,DG!A:D,DG!$B$2,)</f>
        <v>0</v>
      </c>
      <c r="F1294" s="1080" t="str">
        <f>VLOOKUP($B1294,DG!A:D,DG!$C$2,)</f>
        <v>Cọc tiếp đất Þ 16- 2,4m + kẹp cọc mạ đồng</v>
      </c>
      <c r="G1294" s="1091" t="str">
        <f>VLOOKUP($B1294,DG!A:D,DG!$D$2,)</f>
        <v>bộ</v>
      </c>
      <c r="H1294" s="1167">
        <f>10*H1291</f>
        <v>0</v>
      </c>
      <c r="I1294" s="1259">
        <f t="shared" si="86"/>
        <v>0</v>
      </c>
      <c r="J1294" s="1081"/>
      <c r="K1294" s="1081"/>
      <c r="L1294" s="1110"/>
      <c r="M1294" s="975">
        <v>250</v>
      </c>
    </row>
    <row r="1295" spans="1:13" s="1083" customFormat="1" ht="25.2" hidden="1" customHeight="1">
      <c r="A1295" s="1153">
        <f t="shared" si="85"/>
        <v>0</v>
      </c>
      <c r="B1295" s="1344" t="s">
        <v>2012</v>
      </c>
      <c r="C1295" s="1344"/>
      <c r="D1295" s="1078"/>
      <c r="E1295" s="1079">
        <f>VLOOKUP($B1295,DG!A:D,DG!$B$2,)</f>
        <v>0</v>
      </c>
      <c r="F1295" s="1080" t="str">
        <f>VLOOKUP($B1295,DG!A:D,DG!$C$2,)</f>
        <v>Sắt Ø10</v>
      </c>
      <c r="G1295" s="1079" t="str">
        <f>VLOOKUP($B1295,DG!A:D,DG!$D$2,)</f>
        <v>kg</v>
      </c>
      <c r="H1295" s="1167"/>
      <c r="I1295" s="1259">
        <f t="shared" si="86"/>
        <v>0</v>
      </c>
      <c r="J1295" s="1081"/>
      <c r="K1295" s="1081"/>
      <c r="L1295" s="1082"/>
      <c r="M1295" s="975">
        <v>250</v>
      </c>
    </row>
    <row r="1296" spans="1:13" s="1083" customFormat="1" ht="25.2" hidden="1" customHeight="1">
      <c r="A1296" s="1153">
        <f t="shared" si="85"/>
        <v>0</v>
      </c>
      <c r="B1296" s="1329" t="s">
        <v>905</v>
      </c>
      <c r="C1296" s="1329"/>
      <c r="D1296" s="1078"/>
      <c r="E1296" s="1079">
        <f>VLOOKUP($B1296,DG!A:D,DG!$B$2,)</f>
        <v>0</v>
      </c>
      <c r="F1296" s="1080" t="str">
        <f>VLOOKUP($B1296,DG!A:D,DG!$C$2,)&amp;": bắt lưới TĐ"</f>
        <v>Kẹp ép WR cỡ dây 50mm2: bắt lưới TĐ</v>
      </c>
      <c r="G1296" s="1091" t="str">
        <f>VLOOKUP($B1296,DG!A:D,DG!$D$2,)</f>
        <v>cái</v>
      </c>
      <c r="H1296" s="1167">
        <v>2</v>
      </c>
      <c r="I1296" s="1259">
        <f t="shared" si="86"/>
        <v>0</v>
      </c>
      <c r="J1296" s="1081"/>
      <c r="K1296" s="1081"/>
      <c r="L1296" s="1110"/>
      <c r="M1296" s="975">
        <v>250</v>
      </c>
    </row>
    <row r="1297" spans="1:16" s="1083" customFormat="1" ht="25.2" hidden="1" customHeight="1">
      <c r="A1297" s="1153">
        <f t="shared" si="85"/>
        <v>0</v>
      </c>
      <c r="B1297" s="1329" t="s">
        <v>816</v>
      </c>
      <c r="C1297" s="1329"/>
      <c r="D1297" s="1132"/>
      <c r="E1297" s="1079" t="str">
        <f>VLOOKUP($B1297,DG!A:D,DG!$B$2,)</f>
        <v>04.3107</v>
      </c>
      <c r="F1297" s="1080" t="str">
        <f>VLOOKUP($B1297,DG!A:D,DG!$C$2,)</f>
        <v>Ốc siết cáp cỡ 25mm2</v>
      </c>
      <c r="G1297" s="1091" t="str">
        <f>VLOOKUP($B1297,DG!A:D,DG!$D$2,)</f>
        <v>cái</v>
      </c>
      <c r="H1297" s="1167">
        <v>4</v>
      </c>
      <c r="I1297" s="1259">
        <f t="shared" si="86"/>
        <v>0</v>
      </c>
      <c r="J1297" s="1081"/>
      <c r="K1297" s="1081"/>
      <c r="L1297" s="1110"/>
      <c r="M1297" s="975">
        <v>250</v>
      </c>
    </row>
    <row r="1298" spans="1:16" s="1083" customFormat="1" ht="25.2" hidden="1" customHeight="1">
      <c r="A1298" s="1153">
        <f t="shared" si="85"/>
        <v>0</v>
      </c>
      <c r="B1298" s="1329" t="s">
        <v>1306</v>
      </c>
      <c r="C1298" s="1329"/>
      <c r="D1298" s="1078"/>
      <c r="E1298" s="1079" t="str">
        <f>VLOOKUP($B1298,DG!A:D,DG!$B$2,)</f>
        <v>03.4003</v>
      </c>
      <c r="F1298" s="1080" t="str">
        <f>VLOOKUP($B1298,DG!A:D,DG!$C$2,)</f>
        <v>Đầu cosse ép Cu 70mm2</v>
      </c>
      <c r="G1298" s="1091" t="str">
        <f>VLOOKUP($B1298,DG!A:D,DG!$D$2,)</f>
        <v>cái</v>
      </c>
      <c r="H1298" s="1167"/>
      <c r="I1298" s="1259">
        <f t="shared" si="86"/>
        <v>0</v>
      </c>
      <c r="J1298" s="1081"/>
      <c r="K1298" s="1081"/>
      <c r="L1298" s="1110"/>
      <c r="M1298" s="975">
        <v>250</v>
      </c>
    </row>
    <row r="1299" spans="1:16" s="1083" customFormat="1" ht="25.2" hidden="1" customHeight="1">
      <c r="A1299" s="1153">
        <f t="shared" si="85"/>
        <v>0</v>
      </c>
      <c r="B1299" s="1329" t="s">
        <v>1305</v>
      </c>
      <c r="C1299" s="1329"/>
      <c r="D1299" s="1078"/>
      <c r="E1299" s="1079" t="str">
        <f>VLOOKUP($B1299,DG!A:D,DG!$B$2,)</f>
        <v>03.4002</v>
      </c>
      <c r="F1299" s="1080" t="str">
        <f>VLOOKUP($B1299,DG!A:D,DG!$C$2,)</f>
        <v>Đầu cosse ép Cu 50mm2</v>
      </c>
      <c r="G1299" s="1091" t="str">
        <f>VLOOKUP($B1299,DG!A:D,DG!$D$2,)</f>
        <v>cái</v>
      </c>
      <c r="H1299" s="1167"/>
      <c r="I1299" s="1259">
        <f t="shared" si="86"/>
        <v>0</v>
      </c>
      <c r="J1299" s="1081"/>
      <c r="K1299" s="1081"/>
      <c r="L1299" s="1110"/>
      <c r="M1299" s="975">
        <v>250</v>
      </c>
    </row>
    <row r="1300" spans="1:16" s="1083" customFormat="1" ht="25.2" hidden="1" customHeight="1">
      <c r="A1300" s="1153">
        <f t="shared" si="85"/>
        <v>0</v>
      </c>
      <c r="B1300" s="1154" t="s">
        <v>1595</v>
      </c>
      <c r="C1300" s="1154"/>
      <c r="D1300" s="1078"/>
      <c r="E1300" s="1079" t="str">
        <f>VLOOKUP($B1300,DG!A:D,DG!$B$2,)</f>
        <v>06.3231</v>
      </c>
      <c r="F1300" s="1080" t="str">
        <f>VLOOKUP($B1300,DG!A:D,DG!$C$2,)&amp;": CD-250"</f>
        <v>Cổ dê kẹp ống PVC  21: CD-250</v>
      </c>
      <c r="G1300" s="1079" t="str">
        <f>VLOOKUP($B1300,DG!A:D,DG!$D$2,)</f>
        <v>bộ</v>
      </c>
      <c r="H1300" s="1167"/>
      <c r="I1300" s="1259">
        <f t="shared" si="86"/>
        <v>0</v>
      </c>
      <c r="J1300" s="1081"/>
      <c r="K1300" s="1081"/>
      <c r="L1300" s="1082"/>
      <c r="M1300" s="975">
        <v>250</v>
      </c>
    </row>
    <row r="1301" spans="1:16" s="1083" customFormat="1" ht="25.2" hidden="1" customHeight="1">
      <c r="A1301" s="1153">
        <f t="shared" si="85"/>
        <v>0</v>
      </c>
      <c r="B1301" s="1154" t="s">
        <v>1353</v>
      </c>
      <c r="C1301" s="1154"/>
      <c r="D1301" s="1078"/>
      <c r="E1301" s="1079">
        <f>VLOOKUP($B1301,DG!A:D,DG!$B$2,)</f>
        <v>0</v>
      </c>
      <c r="F1301" s="1080" t="s">
        <v>821</v>
      </c>
      <c r="G1301" s="1079" t="str">
        <f>VLOOKUP($B1301,DG!A:D,DG!$D$2,)</f>
        <v>bộ</v>
      </c>
      <c r="H1301" s="1851"/>
      <c r="I1301" s="1259">
        <f t="shared" si="86"/>
        <v>0</v>
      </c>
      <c r="J1301" s="1081"/>
      <c r="K1301" s="1081"/>
      <c r="L1301" s="1082"/>
      <c r="M1301" s="975">
        <v>250</v>
      </c>
    </row>
    <row r="1302" spans="1:16" s="1083" customFormat="1" ht="25.2" hidden="1" customHeight="1">
      <c r="A1302" s="1153">
        <f t="shared" si="85"/>
        <v>0</v>
      </c>
      <c r="B1302" s="1329" t="s">
        <v>2189</v>
      </c>
      <c r="C1302" s="1329"/>
      <c r="D1302" s="1078"/>
      <c r="E1302" s="1079" t="str">
        <f>VLOOKUP($B1302,DG!A:D,DG!$B$2,)</f>
        <v>04.7002</v>
      </c>
      <c r="F1302" s="1080" t="str">
        <f>VLOOKUP($B1302,DG!A:D,DG!$C$2,)</f>
        <v>Kéo dây tiếp địa trong TBA</v>
      </c>
      <c r="G1302" s="1079" t="str">
        <f>VLOOKUP($B1302,DG!A:D,DG!$D$2,)</f>
        <v>mét</v>
      </c>
      <c r="H1302" s="1167">
        <v>45</v>
      </c>
      <c r="I1302" s="1259">
        <f t="shared" si="86"/>
        <v>0</v>
      </c>
      <c r="J1302" s="1081"/>
      <c r="K1302" s="1081"/>
      <c r="L1302" s="1082"/>
      <c r="M1302" s="975">
        <v>250</v>
      </c>
    </row>
    <row r="1303" spans="1:16" s="1083" customFormat="1" ht="25.2" hidden="1" customHeight="1">
      <c r="A1303" s="1153">
        <f t="shared" si="85"/>
        <v>0</v>
      </c>
      <c r="B1303" s="1154" t="s">
        <v>902</v>
      </c>
      <c r="C1303" s="1154"/>
      <c r="D1303" s="1078"/>
      <c r="E1303" s="1079" t="str">
        <f>VLOOKUP($B1303,DG!A:D,DG!$B$2,)</f>
        <v>04.7001</v>
      </c>
      <c r="F1303" s="1080" t="str">
        <f>VLOOKUP($B1303,DG!A:D,DG!$C$2,)</f>
        <v>Đóng cọc tiếp địa trong TBA</v>
      </c>
      <c r="G1303" s="1079" t="str">
        <f>VLOOKUP($B1303,DG!A:D,DG!$D$2,)</f>
        <v>cọc</v>
      </c>
      <c r="H1303" s="1167">
        <f>H1294</f>
        <v>0</v>
      </c>
      <c r="I1303" s="1259">
        <f t="shared" si="86"/>
        <v>0</v>
      </c>
      <c r="J1303" s="1081"/>
      <c r="K1303" s="1081"/>
      <c r="L1303" s="1082"/>
      <c r="M1303" s="975">
        <v>250</v>
      </c>
    </row>
    <row r="1304" spans="1:16" s="1083" customFormat="1" ht="25.2" hidden="1" customHeight="1">
      <c r="A1304" s="1153">
        <f t="shared" si="85"/>
        <v>0</v>
      </c>
      <c r="B1304" s="1329" t="str">
        <f>"dtd"&amp;chitiet!G5</f>
        <v>dtd3</v>
      </c>
      <c r="C1304" s="1329"/>
      <c r="D1304" s="1078"/>
      <c r="E1304" s="1079" t="str">
        <f>VLOOKUP($B1304,DG!A:D,DG!$B$2,)</f>
        <v>03.3123</v>
      </c>
      <c r="F1304" s="1080" t="str">
        <f>VLOOKUP($B1304,DG!A:D,DG!$C$2,)</f>
        <v>Đào rãnh tiếp địa đất cấp 3</v>
      </c>
      <c r="G1304" s="1079" t="str">
        <f>VLOOKUP($B1304,DG!A:D,DG!$D$2,)</f>
        <v>m3</v>
      </c>
      <c r="H1304" s="1167">
        <v>3.5</v>
      </c>
      <c r="I1304" s="1259">
        <f t="shared" si="86"/>
        <v>0</v>
      </c>
      <c r="J1304" s="1081"/>
      <c r="K1304" s="1081"/>
      <c r="L1304" s="1082"/>
      <c r="M1304" s="975">
        <v>250</v>
      </c>
    </row>
    <row r="1305" spans="1:16" s="1083" customFormat="1" ht="25.2" hidden="1" customHeight="1">
      <c r="A1305" s="1153">
        <f t="shared" si="85"/>
        <v>0</v>
      </c>
      <c r="B1305" s="1154" t="str">
        <f>"datd"&amp;chitiet!G5</f>
        <v>datd3</v>
      </c>
      <c r="C1305" s="1154"/>
      <c r="D1305" s="1078"/>
      <c r="E1305" s="1079" t="str">
        <f>VLOOKUP($B1305,DG!A:D,DG!$B$2,)</f>
        <v>03.4123</v>
      </c>
      <c r="F1305" s="1080" t="str">
        <f>VLOOKUP($B1305,DG!A:D,DG!$C$2,)</f>
        <v>Đắp đất rãnh tiếp độ chặt k=0,85</v>
      </c>
      <c r="G1305" s="1079" t="str">
        <f>VLOOKUP($B1305,DG!A:D,DG!$D$2,)</f>
        <v>m3</v>
      </c>
      <c r="H1305" s="1167">
        <f>H1304</f>
        <v>3.5</v>
      </c>
      <c r="I1305" s="1259">
        <f t="shared" si="86"/>
        <v>0</v>
      </c>
      <c r="J1305" s="1081"/>
      <c r="K1305" s="1081"/>
      <c r="L1305" s="1082"/>
      <c r="M1305" s="975">
        <v>250</v>
      </c>
    </row>
    <row r="1306" spans="1:16" s="1083" customFormat="1" ht="25.2" hidden="1" customHeight="1">
      <c r="A1306" s="1153">
        <f t="shared" ref="A1306:A1369" si="87">IF(I1306&gt;0,1,0)</f>
        <v>0</v>
      </c>
      <c r="B1306" s="1324"/>
      <c r="C1306" s="1324"/>
      <c r="D1306" s="1084">
        <f>IF(H1306&gt;0,D1291+1,D1291)</f>
        <v>3</v>
      </c>
      <c r="E1306" s="1085"/>
      <c r="F1306" s="1086" t="s">
        <v>3739</v>
      </c>
      <c r="G1306" s="1084" t="s">
        <v>2391</v>
      </c>
      <c r="H1306" s="1867"/>
      <c r="I1306" s="1259">
        <f t="shared" si="86"/>
        <v>0</v>
      </c>
      <c r="J1306" s="1081"/>
      <c r="K1306" s="1081"/>
      <c r="L1306" s="1082"/>
      <c r="M1306" s="975">
        <v>250</v>
      </c>
    </row>
    <row r="1307" spans="1:16" s="1083" customFormat="1" ht="25.2" hidden="1" customHeight="1">
      <c r="A1307" s="1153">
        <f t="shared" si="87"/>
        <v>0</v>
      </c>
      <c r="B1307" s="1324"/>
      <c r="C1307" s="1324"/>
      <c r="D1307" s="1078"/>
      <c r="E1307" s="1088"/>
      <c r="F1307" s="1367" t="s">
        <v>2285</v>
      </c>
      <c r="G1307" s="1090"/>
      <c r="H1307" s="1851"/>
      <c r="I1307" s="1259">
        <f t="shared" si="86"/>
        <v>0</v>
      </c>
      <c r="J1307" s="1081"/>
      <c r="K1307" s="1081"/>
      <c r="L1307" s="1082"/>
      <c r="M1307" s="975">
        <v>250</v>
      </c>
    </row>
    <row r="1308" spans="1:16" s="1083" customFormat="1" ht="25.2" hidden="1" customHeight="1">
      <c r="A1308" s="1153">
        <f t="shared" si="87"/>
        <v>0</v>
      </c>
      <c r="B1308" s="1324" t="s">
        <v>653</v>
      </c>
      <c r="C1308" s="1324"/>
      <c r="D1308" s="1090"/>
      <c r="E1308" s="1091">
        <f>VLOOKUP($B1308,DG!A:D,DG!$B$2,)</f>
        <v>0</v>
      </c>
      <c r="F1308" s="1092" t="str">
        <f>VLOOKUP($B1308,DG!A:D,DG!$C$2,)</f>
        <v>Ximăng (PC40)</v>
      </c>
      <c r="G1308" s="1091" t="str">
        <f>VLOOKUP($B1308,DG!A:D,DG!$D$2,)</f>
        <v>kg</v>
      </c>
      <c r="H1308" s="1851">
        <f>H1306*M1311</f>
        <v>0</v>
      </c>
      <c r="I1308" s="1259">
        <f t="shared" si="86"/>
        <v>0</v>
      </c>
      <c r="J1308" s="1081"/>
      <c r="K1308" s="1081"/>
      <c r="L1308" s="1082"/>
      <c r="M1308" s="975">
        <v>250</v>
      </c>
    </row>
    <row r="1309" spans="1:16" s="1083" customFormat="1" ht="25.2" hidden="1" customHeight="1">
      <c r="A1309" s="1153">
        <f t="shared" si="87"/>
        <v>0</v>
      </c>
      <c r="B1309" s="1324" t="s">
        <v>4434</v>
      </c>
      <c r="C1309" s="1324"/>
      <c r="D1309" s="1078"/>
      <c r="E1309" s="1091">
        <f>VLOOKUP($B1309,DG!A:D,DG!$B$2,)</f>
        <v>0</v>
      </c>
      <c r="F1309" s="1092" t="str">
        <f>VLOOKUP($B1309,DG!A:D,DG!$C$2,)</f>
        <v>Cát vàng</v>
      </c>
      <c r="G1309" s="1091" t="str">
        <f>VLOOKUP($B1309,DG!A:D,DG!$D$2,)</f>
        <v>m3</v>
      </c>
      <c r="H1309" s="1851">
        <f>H1306*N1311</f>
        <v>0</v>
      </c>
      <c r="I1309" s="1259">
        <f t="shared" si="86"/>
        <v>0</v>
      </c>
      <c r="J1309" s="1081"/>
      <c r="K1309" s="1081"/>
      <c r="L1309" s="1082"/>
      <c r="M1309" s="975">
        <v>250</v>
      </c>
    </row>
    <row r="1310" spans="1:16" s="1083" customFormat="1" ht="25.2" hidden="1" customHeight="1">
      <c r="A1310" s="1153">
        <f t="shared" si="87"/>
        <v>0</v>
      </c>
      <c r="B1310" s="1324" t="s">
        <v>216</v>
      </c>
      <c r="C1310" s="1324"/>
      <c r="D1310" s="1078"/>
      <c r="E1310" s="1091">
        <f>VLOOKUP($B1310,DG!A:D,DG!$B$2,)</f>
        <v>0</v>
      </c>
      <c r="F1310" s="1092" t="str">
        <f>VLOOKUP($B1310,DG!A:D,DG!$C$2,)</f>
        <v>Đá 1x2</v>
      </c>
      <c r="G1310" s="1091" t="str">
        <f>VLOOKUP($B1310,DG!A:D,DG!$D$2,)</f>
        <v>m3</v>
      </c>
      <c r="H1310" s="1851">
        <f>H1306*O1311</f>
        <v>0</v>
      </c>
      <c r="I1310" s="1259">
        <f t="shared" si="86"/>
        <v>0</v>
      </c>
      <c r="J1310" s="1081"/>
      <c r="K1310" s="1081"/>
      <c r="L1310" s="1082"/>
      <c r="M1310" s="975">
        <v>250</v>
      </c>
    </row>
    <row r="1311" spans="1:16" s="1083" customFormat="1" ht="25.2" hidden="1" customHeight="1">
      <c r="A1311" s="1153">
        <f t="shared" si="87"/>
        <v>0</v>
      </c>
      <c r="B1311" s="1324" t="s">
        <v>654</v>
      </c>
      <c r="C1311" s="1324"/>
      <c r="D1311" s="1090"/>
      <c r="E1311" s="1091" t="str">
        <f>VLOOKUP($B1311,DG!A:D,DG!$B$2,)</f>
        <v>04.1203c</v>
      </c>
      <c r="F1311" s="1092" t="str">
        <f>VLOOKUP($B1311,DG!A:D,DG!$C$2,)</f>
        <v>Đổ bê tông móng trụ &lt;=250cm-M200 đá 1x2</v>
      </c>
      <c r="G1311" s="1091" t="str">
        <f>VLOOKUP($B1311,DG!A:D,DG!$D$2,)</f>
        <v>m3</v>
      </c>
      <c r="H1311" s="1851">
        <f>H1306*(0.4*3*1-2*3.14*0.15^2*0.4)*1.025</f>
        <v>0</v>
      </c>
      <c r="I1311" s="1259">
        <f t="shared" si="86"/>
        <v>0</v>
      </c>
      <c r="J1311" s="1081"/>
      <c r="K1311" s="1081"/>
      <c r="L1311" s="1082"/>
      <c r="M1311" s="975">
        <v>250</v>
      </c>
      <c r="N1311" s="1093">
        <f>1.025*0.45</f>
        <v>0.46124999999999999</v>
      </c>
      <c r="O1311" s="1093">
        <f>1.025*0.866</f>
        <v>0.88764999999999994</v>
      </c>
      <c r="P1311" s="1237"/>
    </row>
    <row r="1312" spans="1:16" s="1083" customFormat="1" ht="25.2" hidden="1" customHeight="1">
      <c r="A1312" s="1153">
        <f t="shared" si="87"/>
        <v>0</v>
      </c>
      <c r="B1312" s="1324"/>
      <c r="C1312" s="1324"/>
      <c r="D1312" s="1084">
        <f>IF(H1312&gt;0,D1306+1,D1306)</f>
        <v>3</v>
      </c>
      <c r="E1312" s="1085"/>
      <c r="F1312" s="1086" t="s">
        <v>3740</v>
      </c>
      <c r="G1312" s="1084" t="s">
        <v>2391</v>
      </c>
      <c r="H1312" s="1867"/>
      <c r="I1312" s="1259">
        <f t="shared" si="86"/>
        <v>0</v>
      </c>
      <c r="J1312" s="1081"/>
      <c r="K1312" s="1081"/>
      <c r="L1312" s="1082"/>
      <c r="M1312" s="975">
        <v>250</v>
      </c>
    </row>
    <row r="1313" spans="1:16" s="1083" customFormat="1" ht="25.2" hidden="1" customHeight="1">
      <c r="A1313" s="1153">
        <f t="shared" si="87"/>
        <v>0</v>
      </c>
      <c r="B1313" s="1324"/>
      <c r="C1313" s="1324"/>
      <c r="D1313" s="1078"/>
      <c r="E1313" s="1088"/>
      <c r="F1313" s="1367" t="s">
        <v>2285</v>
      </c>
      <c r="G1313" s="1090"/>
      <c r="H1313" s="1851"/>
      <c r="I1313" s="1259">
        <f t="shared" si="86"/>
        <v>0</v>
      </c>
      <c r="J1313" s="1081"/>
      <c r="K1313" s="1081"/>
      <c r="L1313" s="1082"/>
      <c r="M1313" s="975">
        <v>250</v>
      </c>
    </row>
    <row r="1314" spans="1:16" s="1083" customFormat="1" ht="25.2" hidden="1" customHeight="1">
      <c r="A1314" s="1153">
        <f t="shared" si="87"/>
        <v>0</v>
      </c>
      <c r="B1314" s="1324" t="s">
        <v>653</v>
      </c>
      <c r="C1314" s="1324"/>
      <c r="D1314" s="1090"/>
      <c r="E1314" s="1091">
        <f>VLOOKUP($B1314,DG!A:D,DG!$B$2,)</f>
        <v>0</v>
      </c>
      <c r="F1314" s="1092" t="str">
        <f>VLOOKUP($B1314,DG!A:D,DG!$C$2,)</f>
        <v>Ximăng (PC40)</v>
      </c>
      <c r="G1314" s="1091" t="str">
        <f>VLOOKUP($B1314,DG!A:D,DG!$D$2,)</f>
        <v>kg</v>
      </c>
      <c r="H1314" s="1851">
        <f>H1317*M1317</f>
        <v>0</v>
      </c>
      <c r="I1314" s="1259">
        <f t="shared" si="86"/>
        <v>0</v>
      </c>
      <c r="J1314" s="1081"/>
      <c r="K1314" s="1081"/>
      <c r="L1314" s="1082"/>
      <c r="M1314" s="975">
        <v>250</v>
      </c>
    </row>
    <row r="1315" spans="1:16" s="1083" customFormat="1" ht="25.2" hidden="1" customHeight="1">
      <c r="A1315" s="1153">
        <f t="shared" si="87"/>
        <v>0</v>
      </c>
      <c r="B1315" s="1324" t="s">
        <v>4434</v>
      </c>
      <c r="C1315" s="1324"/>
      <c r="D1315" s="1078"/>
      <c r="E1315" s="1091">
        <f>VLOOKUP($B1315,DG!A:D,DG!$B$2,)</f>
        <v>0</v>
      </c>
      <c r="F1315" s="1092" t="str">
        <f>VLOOKUP($B1315,DG!A:D,DG!$C$2,)</f>
        <v>Cát vàng</v>
      </c>
      <c r="G1315" s="1091" t="str">
        <f>VLOOKUP($B1315,DG!A:D,DG!$D$2,)</f>
        <v>m3</v>
      </c>
      <c r="H1315" s="1868">
        <f>H1317*N1317</f>
        <v>0</v>
      </c>
      <c r="I1315" s="1259">
        <f t="shared" si="86"/>
        <v>0</v>
      </c>
      <c r="J1315" s="1081"/>
      <c r="K1315" s="1081"/>
      <c r="L1315" s="1082"/>
      <c r="M1315" s="975">
        <v>250</v>
      </c>
    </row>
    <row r="1316" spans="1:16" s="1083" customFormat="1" ht="25.2" hidden="1" customHeight="1">
      <c r="A1316" s="1153">
        <f t="shared" si="87"/>
        <v>0</v>
      </c>
      <c r="B1316" s="1324" t="s">
        <v>216</v>
      </c>
      <c r="C1316" s="1324"/>
      <c r="D1316" s="1078"/>
      <c r="E1316" s="1091">
        <f>VLOOKUP($B1316,DG!A:D,DG!$B$2,)</f>
        <v>0</v>
      </c>
      <c r="F1316" s="1092" t="str">
        <f>VLOOKUP($B1316,DG!A:D,DG!$C$2,)</f>
        <v>Đá 1x2</v>
      </c>
      <c r="G1316" s="1091" t="str">
        <f>VLOOKUP($B1316,DG!A:D,DG!$D$2,)</f>
        <v>m3</v>
      </c>
      <c r="H1316" s="1868">
        <f>H1317*O1317</f>
        <v>0</v>
      </c>
      <c r="I1316" s="1259">
        <f t="shared" si="86"/>
        <v>0</v>
      </c>
      <c r="J1316" s="1081"/>
      <c r="K1316" s="1081"/>
      <c r="L1316" s="1082"/>
      <c r="M1316" s="975">
        <v>250</v>
      </c>
    </row>
    <row r="1317" spans="1:16" s="1083" customFormat="1" ht="25.2" hidden="1" customHeight="1">
      <c r="A1317" s="1153">
        <f t="shared" si="87"/>
        <v>0</v>
      </c>
      <c r="B1317" s="1324" t="s">
        <v>654</v>
      </c>
      <c r="C1317" s="1324"/>
      <c r="D1317" s="1090"/>
      <c r="E1317" s="1091" t="str">
        <f>VLOOKUP($B1317,DG!A:D,DG!$B$2,)</f>
        <v>04.1203c</v>
      </c>
      <c r="F1317" s="1092" t="str">
        <f>VLOOKUP($B1317,DG!A:D,DG!$C$2,)</f>
        <v>Đổ bê tông móng trụ &lt;=250cm-M200 đá 1x2</v>
      </c>
      <c r="G1317" s="1091" t="str">
        <f>VLOOKUP($B1317,DG!A:D,DG!$D$2,)</f>
        <v>m3</v>
      </c>
      <c r="H1317" s="1851">
        <f>H1312*0.2*0.2*(0.2+0.2+0.8+0.8+2*4)</f>
        <v>0</v>
      </c>
      <c r="I1317" s="1259">
        <f t="shared" si="86"/>
        <v>0</v>
      </c>
      <c r="J1317" s="1081"/>
      <c r="K1317" s="1081"/>
      <c r="L1317" s="1082"/>
      <c r="M1317" s="975">
        <v>250</v>
      </c>
      <c r="N1317" s="1093">
        <f>1.025*0.45</f>
        <v>0.46124999999999999</v>
      </c>
      <c r="O1317" s="1093">
        <f>1.025*0.866</f>
        <v>0.88764999999999994</v>
      </c>
      <c r="P1317" s="1237"/>
    </row>
    <row r="1318" spans="1:16" s="1083" customFormat="1" ht="25.2" hidden="1" customHeight="1">
      <c r="A1318" s="1153">
        <f t="shared" si="87"/>
        <v>0</v>
      </c>
      <c r="B1318" s="1324"/>
      <c r="C1318" s="1324"/>
      <c r="D1318" s="1084">
        <f>IF(H1318&gt;0,D1312+1,D1312)</f>
        <v>4</v>
      </c>
      <c r="E1318" s="1085"/>
      <c r="F1318" s="1086" t="s">
        <v>3757</v>
      </c>
      <c r="G1318" s="1084" t="s">
        <v>2391</v>
      </c>
      <c r="H1318" s="1867">
        <v>1</v>
      </c>
      <c r="I1318" s="1259">
        <f t="shared" si="86"/>
        <v>0</v>
      </c>
      <c r="J1318" s="1081"/>
      <c r="K1318" s="1081"/>
      <c r="L1318" s="1110"/>
      <c r="M1318" s="975">
        <v>250</v>
      </c>
    </row>
    <row r="1319" spans="1:16" s="1083" customFormat="1" ht="25.2" hidden="1" customHeight="1">
      <c r="A1319" s="1153">
        <f t="shared" si="87"/>
        <v>0</v>
      </c>
      <c r="B1319" s="1324"/>
      <c r="C1319" s="1324"/>
      <c r="D1319" s="1078"/>
      <c r="E1319" s="1088"/>
      <c r="F1319" s="1367" t="s">
        <v>2285</v>
      </c>
      <c r="G1319" s="1090"/>
      <c r="H1319" s="1851"/>
      <c r="I1319" s="1259">
        <f t="shared" si="86"/>
        <v>0</v>
      </c>
      <c r="J1319" s="1081"/>
      <c r="K1319" s="1081"/>
      <c r="L1319" s="1110"/>
      <c r="M1319" s="975">
        <v>250</v>
      </c>
    </row>
    <row r="1320" spans="1:16" s="1083" customFormat="1" ht="25.2" hidden="1" customHeight="1">
      <c r="A1320" s="1153">
        <f t="shared" si="87"/>
        <v>0</v>
      </c>
      <c r="B1320" s="76" t="s">
        <v>1507</v>
      </c>
      <c r="C1320" s="76"/>
      <c r="D1320" s="1090"/>
      <c r="E1320" s="1091" t="str">
        <f>VLOOKUP($B1320,DG!A:D,DG!$B$2,)</f>
        <v>05.1002</v>
      </c>
      <c r="F1320" s="1092" t="str">
        <f>VLOOKUP($B1320,DG!A:D,DG!$C$2,)</f>
        <v>Vỏ tủ trạm giàn 2 ngăn + khóa tủ</v>
      </c>
      <c r="G1320" s="1091" t="str">
        <f>VLOOKUP($B1320,DG!A:D,DG!$D$2,)</f>
        <v>cái</v>
      </c>
      <c r="H1320" s="1851">
        <f>H1318</f>
        <v>1</v>
      </c>
      <c r="I1320" s="1259">
        <f t="shared" si="86"/>
        <v>0</v>
      </c>
      <c r="J1320" s="1081"/>
      <c r="K1320" s="1081"/>
      <c r="L1320" s="1110"/>
      <c r="M1320" s="975">
        <v>250</v>
      </c>
    </row>
    <row r="1321" spans="1:16" s="1083" customFormat="1" ht="25.2" hidden="1" customHeight="1">
      <c r="A1321" s="1153">
        <f t="shared" si="87"/>
        <v>0</v>
      </c>
      <c r="B1321" s="82" t="s">
        <v>1790</v>
      </c>
      <c r="C1321" s="82"/>
      <c r="D1321" s="1090"/>
      <c r="E1321" s="1091">
        <f>VLOOKUP($B1321,DG!A:D,DG!$B$2,)</f>
        <v>0</v>
      </c>
      <c r="F1321" s="1092" t="str">
        <f>VLOOKUP($B1321,DG!A:D,DG!$C$2,)</f>
        <v>Boulon 16x50+ 2 long đền vuông D18-50x50x3/Zn</v>
      </c>
      <c r="G1321" s="1091" t="str">
        <f>VLOOKUP($B1321,DG!A:D,DG!$D$2,)</f>
        <v>bộ</v>
      </c>
      <c r="H1321" s="1851"/>
      <c r="I1321" s="1259">
        <f t="shared" si="86"/>
        <v>0</v>
      </c>
      <c r="J1321" s="1081"/>
      <c r="K1321" s="1081"/>
      <c r="L1321" s="1110"/>
      <c r="M1321" s="975">
        <v>250</v>
      </c>
    </row>
    <row r="1322" spans="1:16" s="1083" customFormat="1" ht="25.2" hidden="1" customHeight="1">
      <c r="A1322" s="1153">
        <f t="shared" si="87"/>
        <v>0</v>
      </c>
      <c r="B1322" s="1324" t="s">
        <v>880</v>
      </c>
      <c r="C1322" s="1324"/>
      <c r="D1322" s="1078"/>
      <c r="E1322" s="1091">
        <f>VLOOKUP($B1322,DG!A:D,DG!$B$2,)</f>
        <v>0</v>
      </c>
      <c r="F1322" s="1092" t="str">
        <f>VLOOKUP($B1322,DG!A:D,DG!$C$2,)</f>
        <v xml:space="preserve">Bakelit 550x450 dầy 10mm </v>
      </c>
      <c r="G1322" s="1091" t="str">
        <f>VLOOKUP($B1322,DG!A:D,DG!$D$2,)</f>
        <v>cái</v>
      </c>
      <c r="H1322" s="1851">
        <v>3</v>
      </c>
      <c r="I1322" s="1259">
        <f t="shared" si="86"/>
        <v>0</v>
      </c>
      <c r="J1322" s="1081"/>
      <c r="K1322" s="1081"/>
      <c r="L1322" s="1110"/>
      <c r="M1322" s="975">
        <v>250</v>
      </c>
    </row>
    <row r="1323" spans="1:16" s="1083" customFormat="1" ht="25.2" hidden="1" customHeight="1">
      <c r="A1323" s="1153">
        <f t="shared" si="87"/>
        <v>0</v>
      </c>
      <c r="B1323" s="1324" t="s">
        <v>289</v>
      </c>
      <c r="C1323" s="1324"/>
      <c r="D1323" s="1090"/>
      <c r="E1323" s="1091" t="str">
        <f>VLOOKUP($B1323,DG!A:D,DG!$B$2,)</f>
        <v>06.3191</v>
      </c>
      <c r="F1323" s="1092" t="str">
        <f>VLOOKUP($B1323,DG!A:D,DG!$C$2,)</f>
        <v>Bảng tên trạm, bảng báo nguy hiểm + đinh vít</v>
      </c>
      <c r="G1323" s="1091" t="str">
        <f>VLOOKUP($B1323,DG!A:D,DG!$D$2,)</f>
        <v>bộ</v>
      </c>
      <c r="H1323" s="1851">
        <v>1</v>
      </c>
      <c r="I1323" s="1259">
        <f t="shared" si="86"/>
        <v>0</v>
      </c>
      <c r="J1323" s="1081"/>
      <c r="K1323" s="1081"/>
      <c r="L1323" s="1110"/>
      <c r="M1323" s="975">
        <v>250</v>
      </c>
    </row>
    <row r="1324" spans="1:16" s="1083" customFormat="1" ht="25.2" hidden="1" customHeight="1">
      <c r="A1324" s="1153">
        <f t="shared" si="87"/>
        <v>0</v>
      </c>
      <c r="B1324" s="1324"/>
      <c r="C1324" s="1324"/>
      <c r="D1324" s="1084">
        <f>IF(H1324&gt;0,D1318+1,D1318)</f>
        <v>4</v>
      </c>
      <c r="E1324" s="1085"/>
      <c r="F1324" s="1086" t="s">
        <v>3742</v>
      </c>
      <c r="G1324" s="1084" t="s">
        <v>2538</v>
      </c>
      <c r="H1324" s="1867">
        <f>H1198*0</f>
        <v>0</v>
      </c>
      <c r="I1324" s="1259">
        <f t="shared" ref="I1324:I1389" si="88">IF(M1324=$M$23,H1324+J1324-K1324,0)</f>
        <v>0</v>
      </c>
      <c r="J1324" s="1081"/>
      <c r="K1324" s="1081"/>
      <c r="L1324" s="1082"/>
      <c r="M1324" s="975">
        <v>250</v>
      </c>
    </row>
    <row r="1325" spans="1:16" s="1083" customFormat="1" ht="25.2" hidden="1" customHeight="1">
      <c r="A1325" s="1153">
        <f t="shared" si="87"/>
        <v>0</v>
      </c>
      <c r="B1325" s="1324"/>
      <c r="C1325" s="1324"/>
      <c r="D1325" s="1078"/>
      <c r="E1325" s="1088"/>
      <c r="F1325" s="1367" t="s">
        <v>2285</v>
      </c>
      <c r="G1325" s="1090"/>
      <c r="H1325" s="1851"/>
      <c r="I1325" s="1259">
        <f t="shared" si="88"/>
        <v>0</v>
      </c>
      <c r="J1325" s="1081"/>
      <c r="K1325" s="1081"/>
      <c r="L1325" s="1082"/>
      <c r="M1325" s="975">
        <v>250</v>
      </c>
    </row>
    <row r="1326" spans="1:16" s="1083" customFormat="1" ht="25.2" hidden="1" customHeight="1">
      <c r="A1326" s="1153">
        <f t="shared" si="87"/>
        <v>0</v>
      </c>
      <c r="B1326" s="1324" t="s">
        <v>4434</v>
      </c>
      <c r="C1326" s="1324"/>
      <c r="D1326" s="1090"/>
      <c r="E1326" s="1091">
        <f>VLOOKUP($B1326,DG!A:D,DG!$B$2,)</f>
        <v>0</v>
      </c>
      <c r="F1326" s="1108" t="str">
        <f>VLOOKUP($B1326,DG!A:D,DG!$C$2,)&amp;": 0,315m3/m"</f>
        <v>Cát vàng: 0,315m3/m</v>
      </c>
      <c r="G1326" s="1091" t="str">
        <f>VLOOKUP($B1326,DG!A:D,DG!$D$2,)</f>
        <v>m3</v>
      </c>
      <c r="H1326" s="1851">
        <f>H1324*0.315</f>
        <v>0</v>
      </c>
      <c r="I1326" s="1259">
        <f t="shared" si="88"/>
        <v>0</v>
      </c>
      <c r="J1326" s="1081"/>
      <c r="K1326" s="1081"/>
      <c r="L1326" s="1082"/>
      <c r="M1326" s="975">
        <v>250</v>
      </c>
    </row>
    <row r="1327" spans="1:16" s="1083" customFormat="1" ht="25.2" hidden="1" customHeight="1">
      <c r="A1327" s="1153">
        <f t="shared" si="87"/>
        <v>0</v>
      </c>
      <c r="B1327" s="1326" t="s">
        <v>520</v>
      </c>
      <c r="C1327" s="1326"/>
      <c r="D1327" s="1090"/>
      <c r="E1327" s="1091">
        <f>VLOOKUP($B1327,DG!A:D,DG!$B$2,)</f>
        <v>0</v>
      </c>
      <c r="F1327" s="1108" t="str">
        <f>VLOOKUP($B1327,DG!A:D,DG!$C$2,)&amp;": 0,092m3/m"</f>
        <v>Đá 2x4: 0,092m3/m</v>
      </c>
      <c r="G1327" s="1091" t="str">
        <f>VLOOKUP($B1327,DG!A:D,DG!$D$2,)</f>
        <v>m3</v>
      </c>
      <c r="H1327" s="1851">
        <f>0.092*H1324</f>
        <v>0</v>
      </c>
      <c r="I1327" s="1259">
        <f t="shared" si="88"/>
        <v>0</v>
      </c>
      <c r="J1327" s="1081"/>
      <c r="K1327" s="1081"/>
      <c r="L1327" s="1082"/>
      <c r="M1327" s="975">
        <v>250</v>
      </c>
    </row>
    <row r="1328" spans="1:16" s="1083" customFormat="1" ht="25.2" hidden="1" customHeight="1">
      <c r="A1328" s="1153">
        <f t="shared" si="87"/>
        <v>0</v>
      </c>
      <c r="B1328" s="1326" t="s">
        <v>1679</v>
      </c>
      <c r="C1328" s="1326"/>
      <c r="D1328" s="1090"/>
      <c r="E1328" s="1091">
        <f>VLOOKUP($B1328,DG!A:D,DG!$B$2,)</f>
        <v>0</v>
      </c>
      <c r="F1328" s="1108" t="str">
        <f>VLOOKUP($B1328,DG!A:D,DG!$C$2,)&amp;": 3,3vieân/m"</f>
        <v>Gạch tàu: 3,3vieân/m</v>
      </c>
      <c r="G1328" s="1091" t="str">
        <f>VLOOKUP($B1328,DG!A:D,DG!$D$2,)</f>
        <v>viên</v>
      </c>
      <c r="H1328" s="1851">
        <f>3.3*H1324</f>
        <v>0</v>
      </c>
      <c r="I1328" s="1259">
        <f t="shared" si="88"/>
        <v>0</v>
      </c>
      <c r="J1328" s="1081"/>
      <c r="K1328" s="1081"/>
      <c r="L1328" s="1082"/>
      <c r="M1328" s="975">
        <v>250</v>
      </c>
    </row>
    <row r="1329" spans="1:14" s="1083" customFormat="1" ht="25.2" hidden="1" customHeight="1">
      <c r="A1329" s="1153">
        <f t="shared" si="87"/>
        <v>0</v>
      </c>
      <c r="B1329" s="1326" t="s">
        <v>1680</v>
      </c>
      <c r="C1329" s="1326"/>
      <c r="D1329" s="1090"/>
      <c r="E1329" s="1091">
        <f>VLOOKUP($B1329,DG!A:D,DG!$B$2,)</f>
        <v>0</v>
      </c>
      <c r="F1329" s="1108" t="str">
        <f>VLOOKUP($B1329,DG!A:D,DG!$C$2,)&amp;": 0,4m2/m"</f>
        <v>Tấm nilông màu cảnh báo: 0,4m2/m</v>
      </c>
      <c r="G1329" s="1091" t="str">
        <f>VLOOKUP($B1329,DG!A:D,DG!$D$2,)</f>
        <v>m2</v>
      </c>
      <c r="H1329" s="1851">
        <f>0.4*H1324</f>
        <v>0</v>
      </c>
      <c r="I1329" s="1259">
        <f t="shared" si="88"/>
        <v>0</v>
      </c>
      <c r="J1329" s="1081"/>
      <c r="K1329" s="1081"/>
      <c r="L1329" s="1082"/>
      <c r="M1329" s="975">
        <v>250</v>
      </c>
    </row>
    <row r="1330" spans="1:14" s="1083" customFormat="1" ht="25.2" hidden="1" customHeight="1">
      <c r="A1330" s="1153">
        <f t="shared" si="87"/>
        <v>0</v>
      </c>
      <c r="B1330" s="1326" t="s">
        <v>1521</v>
      </c>
      <c r="C1330" s="1326"/>
      <c r="D1330" s="1078"/>
      <c r="E1330" s="1091">
        <f>VLOOKUP($B1330,DG!A:D,DG!$B$2,)</f>
        <v>0</v>
      </c>
      <c r="F1330" s="1108" t="str">
        <f>VLOOKUP($B1330,DG!A:D,DG!$C$2,)</f>
        <v>Ống PVC D140x6,7mm</v>
      </c>
      <c r="G1330" s="1091" t="str">
        <f>VLOOKUP($B1330,DG!A:D,DG!$D$2,)</f>
        <v>m</v>
      </c>
      <c r="H1330" s="1851">
        <f>1*H1324</f>
        <v>0</v>
      </c>
      <c r="I1330" s="1259">
        <f t="shared" si="88"/>
        <v>0</v>
      </c>
      <c r="J1330" s="1081"/>
      <c r="K1330" s="1081"/>
      <c r="L1330" s="1082"/>
      <c r="M1330" s="975">
        <v>250</v>
      </c>
    </row>
    <row r="1331" spans="1:14" s="1083" customFormat="1" ht="25.2" hidden="1" customHeight="1">
      <c r="A1331" s="1153">
        <f t="shared" si="87"/>
        <v>0</v>
      </c>
      <c r="B1331" s="1326" t="s">
        <v>1682</v>
      </c>
      <c r="C1331" s="1326"/>
      <c r="D1331" s="1090"/>
      <c r="E1331" s="1091" t="str">
        <f>VLOOKUP($B1331,DG!A:D,DG!$B$2,)</f>
        <v>03.7000</v>
      </c>
      <c r="F1331" s="1108" t="str">
        <f>VLOOKUP($B1331,DG!A:D,DG!$C$2,)&amp;" + ñaép ñaù"</f>
        <v>Đắp cát  + ñaép ñaù</v>
      </c>
      <c r="G1331" s="1091" t="str">
        <f>VLOOKUP($B1331,DG!A:D,DG!$D$2,)</f>
        <v>m3</v>
      </c>
      <c r="H1331" s="1851">
        <f>H1326+H1327</f>
        <v>0</v>
      </c>
      <c r="I1331" s="1259">
        <f t="shared" si="88"/>
        <v>0</v>
      </c>
      <c r="J1331" s="1081"/>
      <c r="K1331" s="1081"/>
      <c r="L1331" s="1082"/>
      <c r="M1331" s="975">
        <v>250</v>
      </c>
    </row>
    <row r="1332" spans="1:14" s="1083" customFormat="1" ht="25.2" hidden="1" customHeight="1">
      <c r="A1332" s="1153">
        <f t="shared" si="87"/>
        <v>0</v>
      </c>
      <c r="B1332" s="1326" t="s">
        <v>144</v>
      </c>
      <c r="C1332" s="1326"/>
      <c r="D1332" s="1090"/>
      <c r="E1332" s="1091" t="str">
        <f>VLOOKUP($B1332,DG!A:D,DG!$B$2,)</f>
        <v>03.3103</v>
      </c>
      <c r="F1332" s="1108" t="str">
        <f>VLOOKUP($B1332,DG!A:D,DG!$C$2,)&amp;" : 0,48m3/m"</f>
        <v>Đào mương cáp ngầm đất cấp 3 : 0,48m3/m</v>
      </c>
      <c r="G1332" s="1091" t="str">
        <f>VLOOKUP($B1332,DG!A:D,DG!$D$2,)</f>
        <v>m3</v>
      </c>
      <c r="H1332" s="1851">
        <f>H1324*0.48</f>
        <v>0</v>
      </c>
      <c r="I1332" s="1259">
        <f t="shared" si="88"/>
        <v>0</v>
      </c>
      <c r="J1332" s="1081"/>
      <c r="K1332" s="1081"/>
      <c r="L1332" s="1082"/>
      <c r="M1332" s="975">
        <v>250</v>
      </c>
    </row>
    <row r="1333" spans="1:14" s="1083" customFormat="1" ht="25.2" hidden="1" customHeight="1">
      <c r="A1333" s="1153">
        <f t="shared" si="87"/>
        <v>0</v>
      </c>
      <c r="B1333" s="1326" t="s">
        <v>529</v>
      </c>
      <c r="C1333" s="1326"/>
      <c r="D1333" s="1090"/>
      <c r="E1333" s="1091" t="str">
        <f>VLOOKUP($B1333,DG!A:D,DG!$B$2,)</f>
        <v>03.3203</v>
      </c>
      <c r="F1333" s="1108" t="str">
        <f>VLOOKUP($B1333,DG!A:D,DG!$C$2,)&amp;" : 0,073m3/m"</f>
        <v>Đắp đất mương cáp ngầm, đất cấp 3 : 0,073m3/m</v>
      </c>
      <c r="G1333" s="1091" t="str">
        <f>VLOOKUP($B1333,DG!A:D,DG!$D$2,)</f>
        <v>m3</v>
      </c>
      <c r="H1333" s="1851">
        <f>H1324*0.073</f>
        <v>0</v>
      </c>
      <c r="I1333" s="1259">
        <f t="shared" si="88"/>
        <v>0</v>
      </c>
      <c r="J1333" s="1081"/>
      <c r="K1333" s="1081"/>
      <c r="L1333" s="1082"/>
      <c r="M1333" s="975">
        <v>250</v>
      </c>
      <c r="N1333" s="1133">
        <v>0.47499999999999998</v>
      </c>
    </row>
    <row r="1334" spans="1:14" s="1083" customFormat="1" ht="25.2" hidden="1" customHeight="1">
      <c r="A1334" s="1153">
        <f t="shared" si="87"/>
        <v>0</v>
      </c>
      <c r="B1334" s="1324"/>
      <c r="C1334" s="1324"/>
      <c r="D1334" s="1084">
        <f>IF(H1334&gt;0,D1324+1,D1324)</f>
        <v>4</v>
      </c>
      <c r="E1334" s="1085"/>
      <c r="F1334" s="1086" t="s">
        <v>3743</v>
      </c>
      <c r="G1334" s="1084" t="s">
        <v>2391</v>
      </c>
      <c r="H1334" s="1867">
        <f>H1343</f>
        <v>0</v>
      </c>
      <c r="I1334" s="1259">
        <f t="shared" si="88"/>
        <v>0</v>
      </c>
      <c r="J1334" s="1081"/>
      <c r="K1334" s="1081"/>
      <c r="L1334" s="1082"/>
      <c r="M1334" s="975">
        <v>250</v>
      </c>
      <c r="N1334" s="1133">
        <v>0.88100000000000001</v>
      </c>
    </row>
    <row r="1335" spans="1:14" s="1083" customFormat="1" ht="25.2" hidden="1" customHeight="1">
      <c r="A1335" s="1153">
        <f t="shared" si="87"/>
        <v>0</v>
      </c>
      <c r="B1335" s="1324"/>
      <c r="C1335" s="1324"/>
      <c r="D1335" s="1078"/>
      <c r="E1335" s="1088"/>
      <c r="F1335" s="1367" t="s">
        <v>2285</v>
      </c>
      <c r="G1335" s="1090"/>
      <c r="H1335" s="1851"/>
      <c r="I1335" s="1259">
        <f t="shared" si="88"/>
        <v>0</v>
      </c>
      <c r="J1335" s="1081"/>
      <c r="K1335" s="1081"/>
      <c r="L1335" s="1082"/>
      <c r="M1335" s="975">
        <v>250</v>
      </c>
    </row>
    <row r="1336" spans="1:14" s="1083" customFormat="1" ht="25.2" hidden="1" customHeight="1">
      <c r="A1336" s="1153">
        <f t="shared" si="87"/>
        <v>0</v>
      </c>
      <c r="B1336" s="1324" t="s">
        <v>623</v>
      </c>
      <c r="C1336" s="1324"/>
      <c r="D1336" s="1090"/>
      <c r="E1336" s="1091" t="str">
        <f>VLOOKUP($B1336,DG!A:D,DG!$B$2,)</f>
        <v>07.2204</v>
      </c>
      <c r="F1336" s="1092" t="str">
        <f>VLOOKUP($B1336,DG!A:D,DG!$C$2,)</f>
        <v>ÔÁng sắt tráng kẽm D140</v>
      </c>
      <c r="G1336" s="1091" t="str">
        <f>VLOOKUP($B1336,DG!A:D,DG!$D$2,)</f>
        <v>mét</v>
      </c>
      <c r="H1336" s="1851">
        <f>H1334*5*0</f>
        <v>0</v>
      </c>
      <c r="I1336" s="1259">
        <f t="shared" si="88"/>
        <v>0</v>
      </c>
      <c r="J1336" s="1081"/>
      <c r="K1336" s="1081"/>
      <c r="L1336" s="1082"/>
      <c r="M1336" s="975">
        <v>250</v>
      </c>
    </row>
    <row r="1337" spans="1:14" s="1083" customFormat="1" ht="25.2" hidden="1" customHeight="1">
      <c r="A1337" s="1153">
        <f t="shared" si="87"/>
        <v>0</v>
      </c>
      <c r="B1337" s="1326" t="s">
        <v>473</v>
      </c>
      <c r="C1337" s="1326"/>
      <c r="D1337" s="1078"/>
      <c r="E1337" s="1091">
        <f>VLOOKUP($B1337,DG!A:D,DG!$B$2,)</f>
        <v>0</v>
      </c>
      <c r="F1337" s="1092" t="str">
        <f>VLOOKUP($B1337,DG!A:D,DG!$C$2,)</f>
        <v>Co sừng 90 độ PVC 140</v>
      </c>
      <c r="G1337" s="1091" t="str">
        <f>VLOOKUP($B1337,DG!A:D,DG!$D$2,)</f>
        <v>cái</v>
      </c>
      <c r="H1337" s="1851">
        <f>H1334*0</f>
        <v>0</v>
      </c>
      <c r="I1337" s="1259">
        <f t="shared" si="88"/>
        <v>0</v>
      </c>
      <c r="J1337" s="1081"/>
      <c r="K1337" s="1081"/>
      <c r="L1337" s="1082"/>
      <c r="M1337" s="975">
        <v>250</v>
      </c>
    </row>
    <row r="1338" spans="1:14" s="1083" customFormat="1" ht="25.2" hidden="1" customHeight="1">
      <c r="A1338" s="1153">
        <f t="shared" si="87"/>
        <v>0</v>
      </c>
      <c r="B1338" s="1324" t="s">
        <v>120</v>
      </c>
      <c r="C1338" s="1324"/>
      <c r="D1338" s="1090"/>
      <c r="E1338" s="1091" t="str">
        <f>VLOOKUP($B1338,DG!A:D,DG!$B$2,)</f>
        <v>06.3231</v>
      </c>
      <c r="F1338" s="1092" t="str">
        <f>VLOOKUP($B1338,DG!A:D,DG!$C$2,)</f>
        <v>Cổ dê giữ ống STK D140 vào tường+Boulon+long đền+tắc ke sắt</v>
      </c>
      <c r="G1338" s="1091" t="str">
        <f>VLOOKUP($B1338,DG!A:D,DG!$D$2,)</f>
        <v>bộ</v>
      </c>
      <c r="H1338" s="1851">
        <f>H1334*2*0</f>
        <v>0</v>
      </c>
      <c r="I1338" s="1259">
        <f t="shared" si="88"/>
        <v>0</v>
      </c>
      <c r="J1338" s="1081"/>
      <c r="K1338" s="1081"/>
      <c r="L1338" s="1082"/>
      <c r="M1338" s="975">
        <v>250</v>
      </c>
    </row>
    <row r="1339" spans="1:14" s="1083" customFormat="1" ht="25.2" hidden="1" customHeight="1">
      <c r="A1339" s="1153">
        <f t="shared" si="87"/>
        <v>0</v>
      </c>
      <c r="B1339" s="1154" t="s">
        <v>1412</v>
      </c>
      <c r="C1339" s="1154"/>
      <c r="D1339" s="1090"/>
      <c r="E1339" s="1091">
        <f>VLOOKUP($B1339,DG!A:D,DG!$B$2,)</f>
        <v>0</v>
      </c>
      <c r="F1339" s="1092" t="str">
        <f>VLOOKUP($B1339,DG!A:D,DG!$C$2,)</f>
        <v>Giá đỡ cáp ngầm (V63x6)</v>
      </c>
      <c r="G1339" s="1091" t="str">
        <f>VLOOKUP($B1339,DG!A:D,DG!$D$2,)</f>
        <v>bộ</v>
      </c>
      <c r="H1339" s="1851">
        <f>H1334*0</f>
        <v>0</v>
      </c>
      <c r="I1339" s="1259">
        <f t="shared" si="88"/>
        <v>0</v>
      </c>
      <c r="J1339" s="1081"/>
      <c r="K1339" s="1081"/>
      <c r="L1339" s="1082"/>
      <c r="M1339" s="975">
        <v>250</v>
      </c>
    </row>
    <row r="1340" spans="1:14" s="1083" customFormat="1" ht="25.2" hidden="1" customHeight="1">
      <c r="A1340" s="1153">
        <f t="shared" si="87"/>
        <v>0</v>
      </c>
      <c r="B1340" s="1154" t="s">
        <v>2144</v>
      </c>
      <c r="C1340" s="1154"/>
      <c r="D1340" s="1090"/>
      <c r="E1340" s="1091">
        <f>VLOOKUP($B1340,DG!A:D,DG!$B$2,)</f>
        <v>0</v>
      </c>
      <c r="F1340" s="1092" t="str">
        <f>VLOOKUP($B1340,DG!A:D,DG!$C$2,)</f>
        <v>Giá đỡ cáp trung hạ thế</v>
      </c>
      <c r="G1340" s="1091" t="str">
        <f>VLOOKUP($B1340,DG!A:D,DG!$D$2,)</f>
        <v>bộ</v>
      </c>
      <c r="H1340" s="1851">
        <f>H1334</f>
        <v>0</v>
      </c>
      <c r="I1340" s="1259">
        <f t="shared" si="88"/>
        <v>0</v>
      </c>
      <c r="J1340" s="1081"/>
      <c r="K1340" s="1081"/>
      <c r="L1340" s="1082"/>
      <c r="M1340" s="975">
        <v>250</v>
      </c>
    </row>
    <row r="1341" spans="1:14" s="1083" customFormat="1" ht="25.2" hidden="1" customHeight="1">
      <c r="A1341" s="1153">
        <f t="shared" si="87"/>
        <v>0</v>
      </c>
      <c r="B1341" s="1324" t="s">
        <v>1413</v>
      </c>
      <c r="C1341" s="1324"/>
      <c r="D1341" s="1078"/>
      <c r="E1341" s="1091" t="str">
        <f>VLOOKUP($B1341,DG!A:D,DG!$B$2,)</f>
        <v>05.6101</v>
      </c>
      <c r="F1341" s="1092" t="str">
        <f>VLOOKUP($B1341,DG!A:D,DG!$C$2,)</f>
        <v>Lắp Giá đỡ cáp</v>
      </c>
      <c r="G1341" s="1091" t="str">
        <f>VLOOKUP($B1341,DG!A:D,DG!$D$2,)</f>
        <v>bộ</v>
      </c>
      <c r="H1341" s="1851">
        <f>H1339+H1340</f>
        <v>0</v>
      </c>
      <c r="I1341" s="1259">
        <f t="shared" si="88"/>
        <v>0</v>
      </c>
      <c r="J1341" s="1081"/>
      <c r="K1341" s="1081"/>
      <c r="L1341" s="1082"/>
      <c r="M1341" s="975">
        <v>250</v>
      </c>
    </row>
    <row r="1342" spans="1:14" s="1083" customFormat="1" ht="25.2" hidden="1" customHeight="1">
      <c r="A1342" s="1153">
        <f t="shared" si="87"/>
        <v>0</v>
      </c>
      <c r="B1342" s="1324" t="s">
        <v>289</v>
      </c>
      <c r="C1342" s="1324"/>
      <c r="D1342" s="1090"/>
      <c r="E1342" s="1091" t="str">
        <f>VLOOKUP($B1342,DG!A:D,DG!$B$2,)</f>
        <v>06.3191</v>
      </c>
      <c r="F1342" s="1092" t="str">
        <f>VLOOKUP($B1342,DG!A:D,DG!$C$2,)</f>
        <v>Bảng tên trạm, bảng báo nguy hiểm + đinh vít</v>
      </c>
      <c r="G1342" s="1091" t="str">
        <f>VLOOKUP($B1342,DG!A:D,DG!$D$2,)</f>
        <v>bộ</v>
      </c>
      <c r="H1342" s="1851">
        <f>H1334*0</f>
        <v>0</v>
      </c>
      <c r="I1342" s="1259">
        <f t="shared" si="88"/>
        <v>0</v>
      </c>
      <c r="J1342" s="1081"/>
      <c r="K1342" s="1081"/>
      <c r="L1342" s="1082"/>
      <c r="M1342" s="975">
        <v>250</v>
      </c>
    </row>
    <row r="1343" spans="1:14" s="1083" customFormat="1" ht="25.2" hidden="1" customHeight="1">
      <c r="A1343" s="1153">
        <f t="shared" si="87"/>
        <v>0</v>
      </c>
      <c r="B1343" s="1324"/>
      <c r="C1343" s="1324"/>
      <c r="D1343" s="1084">
        <f>IF(H1343&gt;0,D1334+1,D1334)</f>
        <v>4</v>
      </c>
      <c r="E1343" s="1085"/>
      <c r="F1343" s="1094" t="s">
        <v>3744</v>
      </c>
      <c r="G1343" s="1084" t="s">
        <v>2391</v>
      </c>
      <c r="H1343" s="1867">
        <f>H1198*0</f>
        <v>0</v>
      </c>
      <c r="I1343" s="1259">
        <f t="shared" si="88"/>
        <v>0</v>
      </c>
      <c r="J1343" s="1081"/>
      <c r="K1343" s="1081"/>
      <c r="L1343" s="1082"/>
      <c r="M1343" s="975">
        <v>250</v>
      </c>
    </row>
    <row r="1344" spans="1:14" s="1083" customFormat="1" ht="25.2" hidden="1" customHeight="1">
      <c r="A1344" s="1153">
        <f t="shared" si="87"/>
        <v>0</v>
      </c>
      <c r="B1344" s="1324"/>
      <c r="C1344" s="1324"/>
      <c r="D1344" s="1078"/>
      <c r="E1344" s="1088"/>
      <c r="F1344" s="1368" t="s">
        <v>2285</v>
      </c>
      <c r="G1344" s="1078"/>
      <c r="H1344" s="1868"/>
      <c r="I1344" s="1259">
        <f t="shared" si="88"/>
        <v>0</v>
      </c>
      <c r="J1344" s="1081"/>
      <c r="K1344" s="1081"/>
      <c r="L1344" s="1082"/>
      <c r="M1344" s="975">
        <v>250</v>
      </c>
    </row>
    <row r="1345" spans="1:13" s="1083" customFormat="1" ht="25.2" hidden="1" customHeight="1">
      <c r="A1345" s="1153">
        <f t="shared" si="87"/>
        <v>0</v>
      </c>
      <c r="B1345" s="1154" t="s">
        <v>470</v>
      </c>
      <c r="C1345" s="1154"/>
      <c r="D1345" s="1090"/>
      <c r="E1345" s="1079">
        <f>VLOOKUP($B1345,DG!A:D,DG!$B$2,)</f>
        <v>0</v>
      </c>
      <c r="F1345" s="1080" t="str">
        <f>VLOOKUP($B1345,DG!A:D,DG!$C$2,)&amp;": trong möông vaø leân MBA"</f>
        <v>Cáp 24kV C/XLPE/DSTA/PVC3x50: trong möông vaø leân MBA</v>
      </c>
      <c r="G1345" s="1079" t="str">
        <f>VLOOKUP($B1345,DG!A:D,DG!$D$2,)</f>
        <v>mét</v>
      </c>
      <c r="H1345" s="1851">
        <f>H1324+H1343*8</f>
        <v>0</v>
      </c>
      <c r="I1345" s="1259">
        <f t="shared" si="88"/>
        <v>0</v>
      </c>
      <c r="J1345" s="1081"/>
      <c r="K1345" s="1081"/>
      <c r="L1345" s="1082"/>
      <c r="M1345" s="975">
        <v>250</v>
      </c>
    </row>
    <row r="1346" spans="1:13" s="1083" customFormat="1" ht="25.2" hidden="1" customHeight="1">
      <c r="A1346" s="1153">
        <f t="shared" si="87"/>
        <v>0</v>
      </c>
      <c r="B1346" s="1154" t="s">
        <v>271</v>
      </c>
      <c r="C1346" s="1154"/>
      <c r="D1346" s="1090"/>
      <c r="E1346" s="1079">
        <f>VLOOKUP($B1346,DG!A:D,DG!$B$2,)</f>
        <v>0</v>
      </c>
      <c r="F1346" s="1080" t="str">
        <f>VLOOKUP($B1346,DG!A:D,DG!$C$2,)&amp;": trung tính"</f>
        <v>Cáp 24KV C/XLPE/PVC 50mm2: trung tính</v>
      </c>
      <c r="G1346" s="1079" t="str">
        <f>VLOOKUP($B1346,DG!A:D,DG!$D$2,)</f>
        <v>mét</v>
      </c>
      <c r="H1346" s="1851">
        <f>H1345</f>
        <v>0</v>
      </c>
      <c r="I1346" s="1259">
        <f t="shared" si="88"/>
        <v>0</v>
      </c>
      <c r="J1346" s="1081"/>
      <c r="K1346" s="1081"/>
      <c r="L1346" s="1082"/>
      <c r="M1346" s="975">
        <v>250</v>
      </c>
    </row>
    <row r="1347" spans="1:13" s="1083" customFormat="1" ht="25.2" hidden="1" customHeight="1">
      <c r="A1347" s="1153">
        <f t="shared" si="87"/>
        <v>0</v>
      </c>
      <c r="B1347" s="1154" t="s">
        <v>271</v>
      </c>
      <c r="C1347" s="1154"/>
      <c r="D1347" s="1090"/>
      <c r="E1347" s="1079">
        <f>VLOOKUP($B1347,DG!A:D,DG!$B$2,)</f>
        <v>0</v>
      </c>
      <c r="F1347" s="1080" t="str">
        <f>VLOOKUP($B1347,DG!A:D,DG!$C$2,)&amp;": 0,5m/pha töø FCO xuoáng MBA"</f>
        <v>Cáp 24KV C/XLPE/PVC 50mm2: 0,5m/pha töø FCO xuoáng MBA</v>
      </c>
      <c r="G1347" s="1079" t="str">
        <f>VLOOKUP($B1347,DG!A:D,DG!$D$2,)</f>
        <v>mét</v>
      </c>
      <c r="H1347" s="1851">
        <f>H1343*0.5*3*0</f>
        <v>0</v>
      </c>
      <c r="I1347" s="1259">
        <f t="shared" si="88"/>
        <v>0</v>
      </c>
      <c r="J1347" s="1081"/>
      <c r="K1347" s="1081"/>
      <c r="L1347" s="1082"/>
      <c r="M1347" s="975">
        <v>250</v>
      </c>
    </row>
    <row r="1348" spans="1:13" s="1083" customFormat="1" ht="25.2" hidden="1" customHeight="1">
      <c r="A1348" s="1153">
        <f t="shared" si="87"/>
        <v>0</v>
      </c>
      <c r="B1348" s="1154" t="s">
        <v>1355</v>
      </c>
      <c r="C1348" s="1154"/>
      <c r="D1348" s="1090"/>
      <c r="E1348" s="1079">
        <f>VLOOKUP($B1348,DG!A:D,DG!$B$2,)</f>
        <v>0</v>
      </c>
      <c r="F1348" s="1080" t="str">
        <f>VLOOKUP($B1348,DG!A:D,DG!$C$2,)</f>
        <v>Đầu cáp ngầm 24KV 3x50mm2 outdoor</v>
      </c>
      <c r="G1348" s="1079" t="str">
        <f>VLOOKUP($B1348,DG!A:D,DG!$D$2,)</f>
        <v>cái</v>
      </c>
      <c r="H1348" s="1851">
        <f>H1343</f>
        <v>0</v>
      </c>
      <c r="I1348" s="1259">
        <f t="shared" si="88"/>
        <v>0</v>
      </c>
      <c r="J1348" s="1081"/>
      <c r="K1348" s="1081"/>
      <c r="L1348" s="1082"/>
      <c r="M1348" s="975">
        <v>250</v>
      </c>
    </row>
    <row r="1349" spans="1:13" s="1083" customFormat="1" ht="25.2" hidden="1" customHeight="1">
      <c r="A1349" s="1153">
        <f t="shared" si="87"/>
        <v>0</v>
      </c>
      <c r="B1349" s="1154" t="s">
        <v>470</v>
      </c>
      <c r="C1349" s="1154"/>
      <c r="D1349" s="1090"/>
      <c r="E1349" s="1079">
        <f>VLOOKUP($B1349,DG!A:D,DG!$B$2,)</f>
        <v>0</v>
      </c>
      <c r="F1349" s="1080" t="str">
        <f>VLOOKUP($B1349,DG!A:D,DG!$C$2,)&amp;": töø tuû LBS ñeán MBA"</f>
        <v>Cáp 24kV C/XLPE/DSTA/PVC3x50: töø tuû LBS ñeán MBA</v>
      </c>
      <c r="G1349" s="1079" t="str">
        <f>VLOOKUP($B1349,DG!A:D,DG!$D$2,)</f>
        <v>mét</v>
      </c>
      <c r="H1349" s="1851">
        <f>(1.2+2.4)*H1343*0</f>
        <v>0</v>
      </c>
      <c r="I1349" s="1259">
        <f t="shared" si="88"/>
        <v>0</v>
      </c>
      <c r="J1349" s="1081"/>
      <c r="K1349" s="1081"/>
      <c r="L1349" s="1082"/>
      <c r="M1349" s="975">
        <v>250</v>
      </c>
    </row>
    <row r="1350" spans="1:13" s="1083" customFormat="1" ht="25.2" hidden="1" customHeight="1">
      <c r="A1350" s="1153">
        <f t="shared" si="87"/>
        <v>0</v>
      </c>
      <c r="B1350" s="1154" t="s">
        <v>271</v>
      </c>
      <c r="C1350" s="1154"/>
      <c r="D1350" s="1090"/>
      <c r="E1350" s="1079">
        <f>VLOOKUP($B1350,DG!A:D,DG!$B$2,)</f>
        <v>0</v>
      </c>
      <c r="F1350" s="1080" t="str">
        <f>VLOOKUP($B1350,DG!A:D,DG!$C$2,)&amp;": töø tuû LBS ñeán MBA"</f>
        <v>Cáp 24KV C/XLPE/PVC 50mm2: töø tuû LBS ñeán MBA</v>
      </c>
      <c r="G1350" s="1079" t="str">
        <f>VLOOKUP($B1350,DG!A:D,DG!$D$2,)</f>
        <v>mét</v>
      </c>
      <c r="H1350" s="1851">
        <f>H1343*1.2*0</f>
        <v>0</v>
      </c>
      <c r="I1350" s="1259">
        <f t="shared" si="88"/>
        <v>0</v>
      </c>
      <c r="J1350" s="1081"/>
      <c r="K1350" s="1081"/>
      <c r="L1350" s="1082"/>
      <c r="M1350" s="975">
        <v>250</v>
      </c>
    </row>
    <row r="1351" spans="1:13" s="1083" customFormat="1" ht="25.2" hidden="1" customHeight="1">
      <c r="A1351" s="1153">
        <f t="shared" si="87"/>
        <v>0</v>
      </c>
      <c r="B1351" s="1154" t="s">
        <v>1356</v>
      </c>
      <c r="C1351" s="1154"/>
      <c r="D1351" s="1090"/>
      <c r="E1351" s="1079">
        <f>VLOOKUP($B1351,DG!A:D,DG!$B$2,)</f>
        <v>0</v>
      </c>
      <c r="F1351" s="1080" t="str">
        <f>VLOOKUP($B1351,DG!A:D,DG!$C$2,)</f>
        <v>Đầu cáp ngầm 24KV 3x50mm2 indoor</v>
      </c>
      <c r="G1351" s="1079" t="str">
        <f>VLOOKUP($B1351,DG!A:D,DG!$D$2,)</f>
        <v>cái</v>
      </c>
      <c r="H1351" s="1851">
        <f>H1343</f>
        <v>0</v>
      </c>
      <c r="I1351" s="1259">
        <f t="shared" si="88"/>
        <v>0</v>
      </c>
      <c r="J1351" s="1081"/>
      <c r="K1351" s="1081"/>
      <c r="L1351" s="1082"/>
      <c r="M1351" s="975">
        <v>250</v>
      </c>
    </row>
    <row r="1352" spans="1:13" s="1083" customFormat="1" ht="25.2" hidden="1" customHeight="1">
      <c r="A1352" s="1153">
        <f t="shared" si="87"/>
        <v>0</v>
      </c>
      <c r="B1352" s="1154" t="s">
        <v>1678</v>
      </c>
      <c r="C1352" s="1154"/>
      <c r="D1352" s="1090"/>
      <c r="E1352" s="1079" t="str">
        <f>VLOOKUP($B1352,DG!A:D,DG!$B$2,)</f>
        <v>07.4312</v>
      </c>
      <c r="F1352" s="1080" t="str">
        <f>VLOOKUP($B1352,DG!A:D,DG!$C$2,)</f>
        <v>Lắp đầu cáp trung thế 3x50mm2, 70mm2</v>
      </c>
      <c r="G1352" s="1079" t="str">
        <f>VLOOKUP($B1352,DG!A:D,DG!$D$2,)</f>
        <v>cái</v>
      </c>
      <c r="H1352" s="1851">
        <f>H1348+H1351</f>
        <v>0</v>
      </c>
      <c r="I1352" s="1259">
        <f t="shared" si="88"/>
        <v>0</v>
      </c>
      <c r="J1352" s="1081"/>
      <c r="K1352" s="1081"/>
      <c r="L1352" s="1082"/>
      <c r="M1352" s="975">
        <v>250</v>
      </c>
    </row>
    <row r="1353" spans="1:13" s="1083" customFormat="1" ht="25.2" hidden="1" customHeight="1">
      <c r="A1353" s="1153">
        <f t="shared" si="87"/>
        <v>0</v>
      </c>
      <c r="B1353" s="1154" t="s">
        <v>1204</v>
      </c>
      <c r="C1353" s="1154"/>
      <c r="D1353" s="1090"/>
      <c r="E1353" s="1079" t="str">
        <f>VLOOKUP($B1353,DG!A:D,DG!$B$2,)</f>
        <v>03.1405</v>
      </c>
      <c r="F1353" s="1080" t="str">
        <f>VLOOKUP($B1353,DG!A:D,DG!$C$2,)</f>
        <v>Lắp cáp trong ống bảo vệ trong TBA loại &lt;=6kg</v>
      </c>
      <c r="G1353" s="1079" t="str">
        <f>VLOOKUP($B1353,DG!A:D,DG!$D$2,)</f>
        <v>mét</v>
      </c>
      <c r="H1353" s="1851">
        <f>H1345+H1349</f>
        <v>0</v>
      </c>
      <c r="I1353" s="1259">
        <f t="shared" si="88"/>
        <v>0</v>
      </c>
      <c r="J1353" s="1081"/>
      <c r="K1353" s="1081"/>
      <c r="L1353" s="1082"/>
      <c r="M1353" s="975">
        <v>250</v>
      </c>
    </row>
    <row r="1354" spans="1:13" s="1083" customFormat="1" ht="25.2" hidden="1" customHeight="1">
      <c r="A1354" s="1153">
        <f t="shared" si="87"/>
        <v>0</v>
      </c>
      <c r="B1354" s="1154" t="s">
        <v>1201</v>
      </c>
      <c r="C1354" s="1154"/>
      <c r="D1354" s="1090"/>
      <c r="E1354" s="1079" t="str">
        <f>VLOOKUP($B1354,DG!A:D,DG!$B$2,)</f>
        <v>03.1402</v>
      </c>
      <c r="F1354" s="1080" t="str">
        <f>VLOOKUP($B1354,DG!A:D,DG!$C$2,)</f>
        <v>Lắp cáp trong ống bảo vệ trong TBA loại &lt;=2kg</v>
      </c>
      <c r="G1354" s="1079" t="str">
        <f>VLOOKUP($B1354,DG!A:D,DG!$D$2,)</f>
        <v>mét</v>
      </c>
      <c r="H1354" s="1851">
        <f>H1346+H1350</f>
        <v>0</v>
      </c>
      <c r="I1354" s="1259">
        <f t="shared" si="88"/>
        <v>0</v>
      </c>
      <c r="J1354" s="1081"/>
      <c r="K1354" s="1081"/>
      <c r="L1354" s="1082"/>
      <c r="M1354" s="975">
        <v>250</v>
      </c>
    </row>
    <row r="1355" spans="1:13" s="1083" customFormat="1" ht="25.2" hidden="1" customHeight="1">
      <c r="A1355" s="1153">
        <f t="shared" si="87"/>
        <v>0</v>
      </c>
      <c r="B1355" s="1154" t="s">
        <v>1528</v>
      </c>
      <c r="C1355" s="1154"/>
      <c r="D1355" s="1090"/>
      <c r="E1355" s="1079" t="str">
        <f>VLOOKUP($B1355,DG!A:D,DG!$B$2,)</f>
        <v>04.4201</v>
      </c>
      <c r="F1355" s="1080" t="str">
        <f>VLOOKUP($B1355,DG!A:D,DG!$C$2,)</f>
        <v>Lắp cáp đồng xuống thiết bị D ≤ 95mm2</v>
      </c>
      <c r="G1355" s="1079" t="str">
        <f>VLOOKUP($B1355,DG!A:D,DG!$D$2,)</f>
        <v>m</v>
      </c>
      <c r="H1355" s="1851">
        <f>H1347</f>
        <v>0</v>
      </c>
      <c r="I1355" s="1259">
        <f t="shared" si="88"/>
        <v>0</v>
      </c>
      <c r="J1355" s="1081"/>
      <c r="K1355" s="1081"/>
      <c r="L1355" s="1082"/>
      <c r="M1355" s="975">
        <v>250</v>
      </c>
    </row>
    <row r="1356" spans="1:13" s="1083" customFormat="1" ht="25.2" hidden="1" customHeight="1">
      <c r="A1356" s="1153">
        <f t="shared" si="87"/>
        <v>0</v>
      </c>
      <c r="B1356" s="1154" t="s">
        <v>1352</v>
      </c>
      <c r="C1356" s="1154"/>
      <c r="D1356" s="1090"/>
      <c r="E1356" s="1079">
        <f>VLOOKUP($B1356,DG!A:D,DG!$B$2,)</f>
        <v>0</v>
      </c>
      <c r="F1356" s="1080" t="str">
        <f>VLOOKUP($B1356,DG!A:D,DG!$C$2,)</f>
        <v>Dây rút cáp</v>
      </c>
      <c r="G1356" s="1079" t="str">
        <f>VLOOKUP($B1356,DG!A:D,DG!$D$2,)</f>
        <v>bọc</v>
      </c>
      <c r="H1356" s="1851">
        <f>H1343*2</f>
        <v>0</v>
      </c>
      <c r="I1356" s="1259">
        <f t="shared" si="88"/>
        <v>0</v>
      </c>
      <c r="J1356" s="1081"/>
      <c r="K1356" s="1081"/>
      <c r="L1356" s="1082"/>
      <c r="M1356" s="975">
        <v>250</v>
      </c>
    </row>
    <row r="1357" spans="1:13" s="1083" customFormat="1" ht="25.2" hidden="1" customHeight="1">
      <c r="A1357" s="1153">
        <f t="shared" si="87"/>
        <v>0</v>
      </c>
      <c r="B1357" s="1324"/>
      <c r="C1357" s="1324"/>
      <c r="D1357" s="1084">
        <f>IF(H1357&gt;0,D1343+1,D1343)</f>
        <v>4</v>
      </c>
      <c r="E1357" s="1085"/>
      <c r="F1357" s="1094" t="s">
        <v>3754</v>
      </c>
      <c r="G1357" s="1084" t="s">
        <v>2391</v>
      </c>
      <c r="H1357" s="1867">
        <f>H1198</f>
        <v>0</v>
      </c>
      <c r="I1357" s="1259">
        <f t="shared" si="88"/>
        <v>0</v>
      </c>
      <c r="J1357" s="1081"/>
      <c r="K1357" s="1081"/>
      <c r="L1357" s="1110"/>
      <c r="M1357" s="975">
        <v>250</v>
      </c>
    </row>
    <row r="1358" spans="1:13" s="1083" customFormat="1" ht="25.2" hidden="1" customHeight="1">
      <c r="A1358" s="1153">
        <f t="shared" si="87"/>
        <v>0</v>
      </c>
      <c r="B1358" s="1324"/>
      <c r="C1358" s="1324"/>
      <c r="D1358" s="1078"/>
      <c r="E1358" s="1088"/>
      <c r="F1358" s="1368" t="s">
        <v>2285</v>
      </c>
      <c r="G1358" s="1078"/>
      <c r="H1358" s="1868"/>
      <c r="I1358" s="1259">
        <f t="shared" si="88"/>
        <v>0</v>
      </c>
      <c r="J1358" s="1081"/>
      <c r="K1358" s="1081"/>
      <c r="L1358" s="1110"/>
      <c r="M1358" s="975">
        <v>250</v>
      </c>
    </row>
    <row r="1359" spans="1:13" s="1083" customFormat="1" ht="25.2" hidden="1" customHeight="1">
      <c r="A1359" s="1153">
        <f t="shared" si="87"/>
        <v>0</v>
      </c>
      <c r="B1359" s="1154" t="s">
        <v>697</v>
      </c>
      <c r="C1359" s="1154">
        <v>7</v>
      </c>
      <c r="D1359" s="1090"/>
      <c r="E1359" s="1079">
        <f>VLOOKUP($B1359,DG!A:D,DG!$B$2,)</f>
        <v>0</v>
      </c>
      <c r="F1359" s="1080" t="str">
        <f>VLOOKUP($B1359,DG!A:D,DG!$C$2,)</f>
        <v>Cáp 24KV C/XLPE/PVC 25mm2</v>
      </c>
      <c r="G1359" s="1079" t="str">
        <f>VLOOKUP($B1359,DG!A:D,DG!$D$2,)</f>
        <v>mét</v>
      </c>
      <c r="H1359" s="1851">
        <v>21</v>
      </c>
      <c r="I1359" s="1259">
        <f t="shared" si="88"/>
        <v>0</v>
      </c>
      <c r="J1359" s="1081"/>
      <c r="K1359" s="1081"/>
      <c r="L1359" s="1110"/>
      <c r="M1359" s="975">
        <v>250</v>
      </c>
    </row>
    <row r="1360" spans="1:13" s="1083" customFormat="1" ht="25.2" hidden="1" customHeight="1">
      <c r="A1360" s="1153">
        <f t="shared" si="87"/>
        <v>0</v>
      </c>
      <c r="B1360" s="1154" t="s">
        <v>1844</v>
      </c>
      <c r="C1360" s="1154"/>
      <c r="D1360" s="1090"/>
      <c r="E1360" s="1079">
        <f>VLOOKUP($B1360,DG!A:D,DG!$B$2,)</f>
        <v>0</v>
      </c>
      <c r="F1360" s="1080" t="str">
        <f>VLOOKUP($B1360,DG!A:D,DG!$C$2,)</f>
        <v>Bass LL bắt FCO, LA</v>
      </c>
      <c r="G1360" s="1079" t="str">
        <f>VLOOKUP($B1360,DG!A:D,DG!$D$2,)</f>
        <v>bộ</v>
      </c>
      <c r="H1360" s="1889"/>
      <c r="I1360" s="1259">
        <f t="shared" si="88"/>
        <v>0</v>
      </c>
      <c r="J1360" s="1081"/>
      <c r="K1360" s="1081"/>
      <c r="L1360" s="1082"/>
      <c r="M1360" s="975">
        <v>250</v>
      </c>
    </row>
    <row r="1361" spans="1:13" s="1083" customFormat="1" ht="25.2" hidden="1" customHeight="1">
      <c r="A1361" s="1153">
        <f t="shared" si="87"/>
        <v>0</v>
      </c>
      <c r="B1361" s="1154" t="s">
        <v>1482</v>
      </c>
      <c r="C1361" s="1154"/>
      <c r="D1361" s="1090"/>
      <c r="E1361" s="1079" t="str">
        <f>VLOOKUP($B1361,DG!A:D,DG!$B$2,)</f>
        <v>04.3007</v>
      </c>
      <c r="F1361" s="1080" t="str">
        <f>VLOOKUP($B1361,DG!A:D,DG!$C$2,)</f>
        <v>Kẹp quai 2/0</v>
      </c>
      <c r="G1361" s="1079" t="str">
        <f>VLOOKUP($B1361,DG!A:D,DG!$D$2,)</f>
        <v>cái</v>
      </c>
      <c r="H1361" s="1889">
        <f>H1357*3</f>
        <v>0</v>
      </c>
      <c r="I1361" s="1259">
        <f t="shared" si="88"/>
        <v>0</v>
      </c>
      <c r="J1361" s="1081"/>
      <c r="K1361" s="1081"/>
      <c r="L1361" s="1110"/>
      <c r="M1361" s="975">
        <v>250</v>
      </c>
    </row>
    <row r="1362" spans="1:13" s="1083" customFormat="1" ht="25.2" hidden="1" customHeight="1">
      <c r="A1362" s="1153">
        <f t="shared" si="87"/>
        <v>0</v>
      </c>
      <c r="B1362" s="1154" t="s">
        <v>1480</v>
      </c>
      <c r="C1362" s="1154"/>
      <c r="D1362" s="1090"/>
      <c r="E1362" s="1079" t="str">
        <f>VLOOKUP($B1362,DG!A:D,DG!$B$2,)</f>
        <v>04.3007</v>
      </c>
      <c r="F1362" s="1080" t="str">
        <f>VLOOKUP($B1362,DG!A:D,DG!$C$2,)&amp;": "</f>
        <v xml:space="preserve">Kẹp hotline 2/0: </v>
      </c>
      <c r="G1362" s="1079" t="str">
        <f>VLOOKUP($B1362,DG!A:D,DG!$D$2,)</f>
        <v>cái</v>
      </c>
      <c r="H1362" s="1851">
        <f>H1361</f>
        <v>0</v>
      </c>
      <c r="I1362" s="1259">
        <f t="shared" si="88"/>
        <v>0</v>
      </c>
      <c r="J1362" s="1081"/>
      <c r="K1362" s="1081"/>
      <c r="L1362" s="1110"/>
      <c r="M1362" s="975">
        <v>250</v>
      </c>
    </row>
    <row r="1363" spans="1:13" s="1083" customFormat="1" ht="25.2" hidden="1" customHeight="1">
      <c r="A1363" s="1153">
        <f t="shared" si="87"/>
        <v>0</v>
      </c>
      <c r="B1363" s="968" t="s">
        <v>4564</v>
      </c>
      <c r="C1363" s="968"/>
      <c r="D1363" s="1110"/>
      <c r="E1363" s="1079">
        <f>VLOOKUP($B1363,DG!A:D,DG!$B$2,)</f>
        <v>0</v>
      </c>
      <c r="F1363" s="1080" t="str">
        <f>VLOOKUP($B1363,DG!A:D,DG!$C$2,)</f>
        <v>Chụp cách điện kẹp quai</v>
      </c>
      <c r="G1363" s="1079" t="str">
        <f>VLOOKUP($B1363,DG!A:D,DG!$D$2,)</f>
        <v>cái</v>
      </c>
      <c r="H1363" s="1851">
        <v>3</v>
      </c>
      <c r="I1363" s="1259">
        <f t="shared" si="88"/>
        <v>0</v>
      </c>
      <c r="J1363" s="1081"/>
      <c r="K1363" s="1081"/>
      <c r="L1363" s="1110"/>
      <c r="M1363" s="975">
        <v>250</v>
      </c>
    </row>
    <row r="1364" spans="1:13" s="1083" customFormat="1" ht="25.2" hidden="1" customHeight="1">
      <c r="A1364" s="1153">
        <f t="shared" si="87"/>
        <v>0</v>
      </c>
      <c r="B1364" s="968" t="s">
        <v>4374</v>
      </c>
      <c r="C1364" s="968"/>
      <c r="D1364" s="1090"/>
      <c r="E1364" s="1079">
        <f>VLOOKUP($B1364,DG!A:D,DG!$B$2,)</f>
        <v>0</v>
      </c>
      <c r="F1364" s="1080" t="str">
        <f>VLOOKUP($B1364,DG!A:D,DG!$C$2,)</f>
        <v>Chụp cách điện đầu cực MBA</v>
      </c>
      <c r="G1364" s="1079" t="str">
        <f>VLOOKUP($B1364,DG!A:D,DG!$D$2,)</f>
        <v>cái</v>
      </c>
      <c r="H1364" s="1851">
        <v>3</v>
      </c>
      <c r="I1364" s="1259">
        <f>IF(M1364=$M$23,H1364+J1364-K1364,0)</f>
        <v>0</v>
      </c>
      <c r="J1364" s="1081"/>
      <c r="K1364" s="1081"/>
      <c r="L1364" s="1110"/>
      <c r="M1364" s="975">
        <v>250</v>
      </c>
    </row>
    <row r="1365" spans="1:13" s="1083" customFormat="1" ht="25.2" hidden="1" customHeight="1">
      <c r="A1365" s="1153">
        <f t="shared" si="87"/>
        <v>0</v>
      </c>
      <c r="B1365" s="968" t="s">
        <v>4376</v>
      </c>
      <c r="C1365" s="968"/>
      <c r="D1365" s="1090"/>
      <c r="E1365" s="1079">
        <f>VLOOKUP($B1365,DG!A:D,DG!$B$2,)</f>
        <v>0</v>
      </c>
      <c r="F1365" s="1080" t="str">
        <f>VLOOKUP($B1365,DG!A:D,DG!$C$2,)</f>
        <v>Chụp cách điện đầu cực LA</v>
      </c>
      <c r="G1365" s="1079" t="str">
        <f>VLOOKUP($B1365,DG!A:D,DG!$D$2,)</f>
        <v>cái</v>
      </c>
      <c r="H1365" s="1851">
        <v>3</v>
      </c>
      <c r="I1365" s="1259">
        <f>IF(M1365=$M$23,H1365+J1365-K1365,0)</f>
        <v>0</v>
      </c>
      <c r="J1365" s="1081"/>
      <c r="K1365" s="1081"/>
      <c r="L1365" s="1110"/>
      <c r="M1365" s="975">
        <v>250</v>
      </c>
    </row>
    <row r="1366" spans="1:13" s="1083" customFormat="1" ht="25.2" hidden="1" customHeight="1">
      <c r="A1366" s="1153">
        <f t="shared" si="87"/>
        <v>0</v>
      </c>
      <c r="B1366" s="1154" t="s">
        <v>4587</v>
      </c>
      <c r="C1366" s="1154"/>
      <c r="D1366" s="1090"/>
      <c r="E1366" s="1079">
        <f>VLOOKUP($B1366,DG!A:D,DG!$B$2,)</f>
        <v>0</v>
      </c>
      <c r="F1366" s="1080" t="str">
        <f>VLOOKUP($B1366,DG!A:D,DG!$C$2,)</f>
        <v xml:space="preserve">Sứ đứng 24KV </v>
      </c>
      <c r="G1366" s="1079" t="str">
        <f>VLOOKUP($B1366,DG!A:D,DG!$D$2,)</f>
        <v>cái</v>
      </c>
      <c r="H1366" s="1851">
        <v>6</v>
      </c>
      <c r="I1366" s="1259">
        <f t="shared" si="88"/>
        <v>0</v>
      </c>
      <c r="J1366" s="1081"/>
      <c r="K1366" s="1081"/>
      <c r="L1366" s="1110"/>
      <c r="M1366" s="975">
        <v>250</v>
      </c>
    </row>
    <row r="1367" spans="1:13" s="1083" customFormat="1" ht="25.2" hidden="1" customHeight="1">
      <c r="A1367" s="1153">
        <f t="shared" si="87"/>
        <v>0</v>
      </c>
      <c r="B1367" s="968" t="s">
        <v>4588</v>
      </c>
      <c r="C1367" s="968"/>
      <c r="D1367" s="1090"/>
      <c r="E1367" s="1079">
        <f>VLOOKUP($B1367,DG!A:D,DG!$B$2,)</f>
        <v>0</v>
      </c>
      <c r="F1367" s="1080" t="str">
        <f>VLOOKUP($B1367,DG!A:D,DG!$C$2,)</f>
        <v>Chân sứ đứng D20</v>
      </c>
      <c r="G1367" s="1079" t="str">
        <f>VLOOKUP($B1367,DG!A:D,DG!$D$2,)</f>
        <v>cái</v>
      </c>
      <c r="H1367" s="1851">
        <f>H1366</f>
        <v>6</v>
      </c>
      <c r="I1367" s="1259">
        <f t="shared" si="88"/>
        <v>0</v>
      </c>
      <c r="J1367" s="1081"/>
      <c r="K1367" s="1081"/>
      <c r="L1367" s="1110"/>
      <c r="M1367" s="975">
        <v>250</v>
      </c>
    </row>
    <row r="1368" spans="1:13" s="1083" customFormat="1" ht="25.2" hidden="1" customHeight="1">
      <c r="A1368" s="1153">
        <f t="shared" si="87"/>
        <v>0</v>
      </c>
      <c r="B1368" s="1154" t="s">
        <v>1568</v>
      </c>
      <c r="C1368" s="1154"/>
      <c r="D1368" s="1090"/>
      <c r="E1368" s="1079" t="str">
        <f>VLOOKUP($B1368,DG!A:D,DG!$B$2,)</f>
        <v>06.1115</v>
      </c>
      <c r="F1368" s="1080" t="str">
        <f>VLOOKUP($B1368,DG!A:D,DG!$C$2,)</f>
        <v>Lắp sứ đứng 24KV</v>
      </c>
      <c r="G1368" s="1079" t="str">
        <f>VLOOKUP($B1368,DG!A:D,DG!$D$2,)</f>
        <v>bộ</v>
      </c>
      <c r="H1368" s="1889">
        <f>H1366</f>
        <v>6</v>
      </c>
      <c r="I1368" s="1259">
        <f t="shared" si="88"/>
        <v>0</v>
      </c>
      <c r="J1368" s="1081"/>
      <c r="K1368" s="1081"/>
      <c r="L1368" s="1110"/>
      <c r="M1368" s="975">
        <v>250</v>
      </c>
    </row>
    <row r="1369" spans="1:13" s="1083" customFormat="1" ht="25.2" hidden="1" customHeight="1">
      <c r="A1369" s="1153">
        <f t="shared" si="87"/>
        <v>0</v>
      </c>
      <c r="B1369" s="1154" t="s">
        <v>1913</v>
      </c>
      <c r="C1369" s="1154"/>
      <c r="D1369" s="1090"/>
      <c r="E1369" s="1079">
        <f>VLOOKUP($B1369,DG!A:D,DG!$B$2,)</f>
        <v>0</v>
      </c>
      <c r="F1369" s="1080" t="str">
        <f>VLOOKUP($B1369,DG!A:D,DG!$C$2,)</f>
        <v>Uclevis + sứ ống chỉ</v>
      </c>
      <c r="G1369" s="1079" t="str">
        <f>VLOOKUP($B1369,DG!A:D,DG!$D$2,)</f>
        <v>bộ</v>
      </c>
      <c r="H1369" s="1889"/>
      <c r="I1369" s="1259">
        <f t="shared" si="88"/>
        <v>0</v>
      </c>
      <c r="J1369" s="1081"/>
      <c r="K1369" s="1081"/>
      <c r="L1369" s="1110"/>
      <c r="M1369" s="975">
        <v>250</v>
      </c>
    </row>
    <row r="1370" spans="1:13" s="1083" customFormat="1" ht="25.2" hidden="1" customHeight="1">
      <c r="A1370" s="1153">
        <f t="shared" ref="A1370:A1433" si="89">IF(I1370&gt;0,1,0)</f>
        <v>0</v>
      </c>
      <c r="B1370" s="1154" t="s">
        <v>1613</v>
      </c>
      <c r="C1370" s="1154"/>
      <c r="D1370" s="1090"/>
      <c r="E1370" s="1079">
        <f>VLOOKUP($B1370,DG!A:D,DG!$B$2,)</f>
        <v>0</v>
      </c>
      <c r="F1370" s="1080" t="str">
        <f>VLOOKUP($B1370,DG!A:D,DG!$C$2,)</f>
        <v>Boulon 16x300+ 2 long đền vuông D18-50x50x3/Zn</v>
      </c>
      <c r="G1370" s="1079" t="str">
        <f>VLOOKUP($B1370,DG!A:D,DG!$D$2,)</f>
        <v>bộ</v>
      </c>
      <c r="H1370" s="1889">
        <f>H1369</f>
        <v>0</v>
      </c>
      <c r="I1370" s="1259">
        <f t="shared" si="88"/>
        <v>0</v>
      </c>
      <c r="J1370" s="1081"/>
      <c r="K1370" s="1081"/>
      <c r="L1370" s="1110"/>
      <c r="M1370" s="975">
        <v>250</v>
      </c>
    </row>
    <row r="1371" spans="1:13" s="1083" customFormat="1" ht="25.2" hidden="1" customHeight="1">
      <c r="A1371" s="1153">
        <f t="shared" si="89"/>
        <v>0</v>
      </c>
      <c r="B1371" s="1154" t="s">
        <v>1509</v>
      </c>
      <c r="C1371" s="1154"/>
      <c r="D1371" s="1090"/>
      <c r="E1371" s="1079">
        <f>VLOOKUP($B1371,DG!A:D,DG!$B$2,)</f>
        <v>0</v>
      </c>
      <c r="F1371" s="1080" t="str">
        <f>VLOOKUP($B1371,DG!A:D,DG!$C$2,)</f>
        <v>Sứ treo polymer</v>
      </c>
      <c r="G1371" s="1079" t="str">
        <f>VLOOKUP($B1371,DG!A:D,DG!$D$2,)</f>
        <v>chuỗi</v>
      </c>
      <c r="H1371" s="1889">
        <f>H1357*0</f>
        <v>0</v>
      </c>
      <c r="I1371" s="1259">
        <f t="shared" si="88"/>
        <v>0</v>
      </c>
      <c r="J1371" s="1081"/>
      <c r="K1371" s="1081"/>
      <c r="L1371" s="1110"/>
      <c r="M1371" s="975">
        <v>250</v>
      </c>
    </row>
    <row r="1372" spans="1:13" s="1083" customFormat="1" ht="25.2" hidden="1" customHeight="1">
      <c r="A1372" s="1153">
        <f t="shared" si="89"/>
        <v>0</v>
      </c>
      <c r="B1372" s="1154" t="s">
        <v>1489</v>
      </c>
      <c r="C1372" s="1154"/>
      <c r="D1372" s="1090"/>
      <c r="E1372" s="1079">
        <f>VLOOKUP($B1372,DG!A:D,DG!$B$2,)</f>
        <v>0</v>
      </c>
      <c r="F1372" s="1080" t="str">
        <f>VLOOKUP($B1372,DG!A:D,DG!$C$2,)</f>
        <v xml:space="preserve">Móc treo chữ U </v>
      </c>
      <c r="G1372" s="1079" t="str">
        <f>VLOOKUP($B1372,DG!A:D,DG!$D$2,)</f>
        <v>cái</v>
      </c>
      <c r="H1372" s="1889">
        <f>H1371*0</f>
        <v>0</v>
      </c>
      <c r="I1372" s="1259">
        <f t="shared" si="88"/>
        <v>0</v>
      </c>
      <c r="J1372" s="1081"/>
      <c r="K1372" s="1081"/>
      <c r="L1372" s="1110"/>
      <c r="M1372" s="975">
        <v>250</v>
      </c>
    </row>
    <row r="1373" spans="1:13" s="1083" customFormat="1" ht="25.2" hidden="1" customHeight="1">
      <c r="A1373" s="1153">
        <f t="shared" si="89"/>
        <v>0</v>
      </c>
      <c r="B1373" s="1154" t="s">
        <v>1746</v>
      </c>
      <c r="C1373" s="1154"/>
      <c r="D1373" s="1090"/>
      <c r="E1373" s="1079">
        <f>VLOOKUP($B1373,DG!A:D,DG!$B$2,)</f>
        <v>0</v>
      </c>
      <c r="F1373" s="1080" t="str">
        <f>VLOOKUP($B1373,DG!A:D,DG!$C$2,)</f>
        <v>Khóa néo dây cỡ dây 185</v>
      </c>
      <c r="G1373" s="1079" t="str">
        <f>VLOOKUP($B1373,DG!A:D,DG!$D$2,)</f>
        <v>cái</v>
      </c>
      <c r="H1373" s="1889">
        <f>H1371*0</f>
        <v>0</v>
      </c>
      <c r="I1373" s="1259">
        <f t="shared" si="88"/>
        <v>0</v>
      </c>
      <c r="J1373" s="1081"/>
      <c r="K1373" s="1081"/>
      <c r="L1373" s="1110"/>
      <c r="M1373" s="975">
        <v>250</v>
      </c>
    </row>
    <row r="1374" spans="1:13" s="1083" customFormat="1" ht="25.2" hidden="1" customHeight="1">
      <c r="A1374" s="1153">
        <f t="shared" si="89"/>
        <v>0</v>
      </c>
      <c r="B1374" s="1154" t="s">
        <v>479</v>
      </c>
      <c r="C1374" s="1154"/>
      <c r="D1374" s="1090"/>
      <c r="E1374" s="1079">
        <f>VLOOKUP($B1374,DG!A:D,DG!$B$2,)</f>
        <v>0</v>
      </c>
      <c r="F1374" s="1080" t="str">
        <f>VLOOKUP($B1374,DG!A:D,DG!$C$2,)</f>
        <v>Khóa néo dây cỡ dây 35</v>
      </c>
      <c r="G1374" s="1079" t="str">
        <f>VLOOKUP($B1374,DG!A:D,DG!$D$2,)</f>
        <v>cái</v>
      </c>
      <c r="H1374" s="1889">
        <f>H1357*2*0</f>
        <v>0</v>
      </c>
      <c r="I1374" s="1259">
        <f t="shared" si="88"/>
        <v>0</v>
      </c>
      <c r="J1374" s="1081"/>
      <c r="K1374" s="1081"/>
      <c r="L1374" s="1110"/>
      <c r="M1374" s="975">
        <v>250</v>
      </c>
    </row>
    <row r="1375" spans="1:13" s="1083" customFormat="1" ht="25.2" hidden="1" customHeight="1">
      <c r="A1375" s="1153">
        <f t="shared" si="89"/>
        <v>0</v>
      </c>
      <c r="B1375" s="1359" t="s">
        <v>778</v>
      </c>
      <c r="C1375" s="1359"/>
      <c r="D1375" s="1090"/>
      <c r="E1375" s="1079">
        <f>VLOOKUP($B1375,DG!A:D,DG!$B$2,)</f>
        <v>0</v>
      </c>
      <c r="F1375" s="1080" t="str">
        <f>VLOOKUP($B1375,DG!A:D,DG!$C$2,)</f>
        <v>Kẹp 2 rãnh (APC) cỡ dây 185mm2</v>
      </c>
      <c r="G1375" s="1079" t="str">
        <f>VLOOKUP($B1375,DG!A:D,DG!$D$2,)</f>
        <v>cái</v>
      </c>
      <c r="H1375" s="1889">
        <f>H1357*6*0</f>
        <v>0</v>
      </c>
      <c r="I1375" s="1259">
        <f t="shared" si="88"/>
        <v>0</v>
      </c>
      <c r="J1375" s="1081"/>
      <c r="K1375" s="1081"/>
      <c r="L1375" s="1110"/>
      <c r="M1375" s="975">
        <v>250</v>
      </c>
    </row>
    <row r="1376" spans="1:13" s="1083" customFormat="1" ht="25.2" hidden="1" customHeight="1">
      <c r="A1376" s="1153">
        <f t="shared" si="89"/>
        <v>0</v>
      </c>
      <c r="B1376" s="1154" t="s">
        <v>1061</v>
      </c>
      <c r="C1376" s="1154"/>
      <c r="D1376" s="1090"/>
      <c r="E1376" s="1079">
        <f>VLOOKUP($B1376,DG!A:D,DG!$B$2,)</f>
        <v>0</v>
      </c>
      <c r="F1376" s="1080" t="str">
        <f>VLOOKUP($B1376,DG!A:D,DG!$C$2,)</f>
        <v>Boulon mắt 16x250+ 2 long đền vuông D18-50x50x3/Zn</v>
      </c>
      <c r="G1376" s="1079" t="str">
        <f>VLOOKUP($B1376,DG!A:D,DG!$D$2,)</f>
        <v>bộ</v>
      </c>
      <c r="H1376" s="1889">
        <f>H1357*3*0</f>
        <v>0</v>
      </c>
      <c r="I1376" s="1259">
        <f t="shared" si="88"/>
        <v>0</v>
      </c>
      <c r="J1376" s="1081"/>
      <c r="K1376" s="1081"/>
      <c r="L1376" s="1110"/>
      <c r="M1376" s="975">
        <v>250</v>
      </c>
    </row>
    <row r="1377" spans="1:13" s="1083" customFormat="1" ht="25.2" hidden="1" customHeight="1">
      <c r="A1377" s="1153">
        <f t="shared" si="89"/>
        <v>0</v>
      </c>
      <c r="B1377" s="1154" t="s">
        <v>417</v>
      </c>
      <c r="C1377" s="1154"/>
      <c r="D1377" s="1090"/>
      <c r="E1377" s="1079">
        <f>VLOOKUP($B1377,DG!A:D,DG!$B$2,)</f>
        <v>0</v>
      </c>
      <c r="F1377" s="1080" t="str">
        <f>VLOOKUP($B1377,DG!A:D,DG!$C$2,)</f>
        <v>Boulon mắt 16x300+ 2 long đền vuông D18-50x50x3/Zn</v>
      </c>
      <c r="G1377" s="1079" t="str">
        <f>VLOOKUP($B1377,DG!A:D,DG!$D$2,)</f>
        <v>bộ</v>
      </c>
      <c r="H1377" s="1889">
        <f>H1374*3*0</f>
        <v>0</v>
      </c>
      <c r="I1377" s="1259">
        <f t="shared" si="88"/>
        <v>0</v>
      </c>
      <c r="J1377" s="1081"/>
      <c r="K1377" s="1081"/>
      <c r="L1377" s="1110"/>
      <c r="M1377" s="975">
        <v>250</v>
      </c>
    </row>
    <row r="1378" spans="1:13" s="1083" customFormat="1" ht="25.2" hidden="1" customHeight="1">
      <c r="A1378" s="1153">
        <f t="shared" si="89"/>
        <v>0</v>
      </c>
      <c r="B1378" s="1154" t="s">
        <v>1583</v>
      </c>
      <c r="C1378" s="1154"/>
      <c r="D1378" s="1090"/>
      <c r="E1378" s="1079">
        <f>VLOOKUP($B1378,DG!A:D,DG!$B$2,)</f>
        <v>0</v>
      </c>
      <c r="F1378" s="1080" t="str">
        <f>VLOOKUP($B1378,DG!A:D,DG!$C$2,)</f>
        <v>Kẹp ép WR cỡ dây 70mm2</v>
      </c>
      <c r="G1378" s="1079" t="str">
        <f>VLOOKUP($B1378,DG!A:D,DG!$D$2,)</f>
        <v>cái</v>
      </c>
      <c r="H1378" s="1889">
        <f>H1374*0</f>
        <v>0</v>
      </c>
      <c r="I1378" s="1259">
        <f t="shared" si="88"/>
        <v>0</v>
      </c>
      <c r="J1378" s="1081"/>
      <c r="K1378" s="1081"/>
      <c r="L1378" s="1110"/>
      <c r="M1378" s="975">
        <v>250</v>
      </c>
    </row>
    <row r="1379" spans="1:13" s="1083" customFormat="1" ht="25.2" hidden="1" customHeight="1">
      <c r="A1379" s="1153">
        <f t="shared" si="89"/>
        <v>0</v>
      </c>
      <c r="B1379" s="1154" t="s">
        <v>1510</v>
      </c>
      <c r="C1379" s="1154"/>
      <c r="D1379" s="1090"/>
      <c r="E1379" s="1079" t="str">
        <f>VLOOKUP($B1379,DG!A:D,DG!$B$2,)</f>
        <v>06.2201</v>
      </c>
      <c r="F1379" s="1080" t="str">
        <f>VLOOKUP($B1379,DG!A:D,DG!$C$2,)</f>
        <v>Lắp chuỗi sứ néo Polymer</v>
      </c>
      <c r="G1379" s="1079" t="str">
        <f>VLOOKUP($B1379,DG!A:D,DG!$D$2,)</f>
        <v>chuỗi</v>
      </c>
      <c r="H1379" s="1851">
        <f>H1371*0</f>
        <v>0</v>
      </c>
      <c r="I1379" s="1259">
        <f t="shared" si="88"/>
        <v>0</v>
      </c>
      <c r="J1379" s="1081"/>
      <c r="K1379" s="1081"/>
      <c r="L1379" s="1110"/>
      <c r="M1379" s="975">
        <v>250</v>
      </c>
    </row>
    <row r="1380" spans="1:13" s="1083" customFormat="1" ht="25.2" hidden="1" customHeight="1">
      <c r="A1380" s="1153">
        <f t="shared" si="89"/>
        <v>0</v>
      </c>
      <c r="B1380" s="1154" t="s">
        <v>1528</v>
      </c>
      <c r="C1380" s="1154"/>
      <c r="D1380" s="1090"/>
      <c r="E1380" s="1079" t="str">
        <f>VLOOKUP($B1380,DG!A:D,DG!$B$2,)</f>
        <v>04.4201</v>
      </c>
      <c r="F1380" s="1080" t="str">
        <f>VLOOKUP($B1380,DG!A:D,DG!$C$2,)</f>
        <v>Lắp cáp đồng xuống thiết bị D ≤ 95mm2</v>
      </c>
      <c r="G1380" s="1079" t="str">
        <f>VLOOKUP($B1380,DG!A:D,DG!$D$2,)</f>
        <v>m</v>
      </c>
      <c r="H1380" s="1851">
        <f>H1359</f>
        <v>21</v>
      </c>
      <c r="I1380" s="1259">
        <f t="shared" si="88"/>
        <v>0</v>
      </c>
      <c r="J1380" s="1081"/>
      <c r="K1380" s="1081"/>
      <c r="L1380" s="1110"/>
      <c r="M1380" s="975">
        <v>250</v>
      </c>
    </row>
    <row r="1381" spans="1:13" s="1083" customFormat="1" ht="25.2" hidden="1" customHeight="1">
      <c r="A1381" s="1153">
        <f t="shared" si="89"/>
        <v>0</v>
      </c>
      <c r="B1381" s="1324"/>
      <c r="C1381" s="1324"/>
      <c r="D1381" s="1084">
        <f>IF(H1381&gt;0,D1357+1,D1357)</f>
        <v>4</v>
      </c>
      <c r="E1381" s="1085"/>
      <c r="F1381" s="1094" t="s">
        <v>3726</v>
      </c>
      <c r="G1381" s="1084" t="s">
        <v>2391</v>
      </c>
      <c r="H1381" s="1867"/>
      <c r="I1381" s="1259">
        <f t="shared" si="88"/>
        <v>0</v>
      </c>
      <c r="J1381" s="1081"/>
      <c r="K1381" s="1081"/>
      <c r="L1381" s="1082"/>
      <c r="M1381" s="975">
        <v>250</v>
      </c>
    </row>
    <row r="1382" spans="1:13" s="1083" customFormat="1" ht="25.2" hidden="1" customHeight="1">
      <c r="A1382" s="1153">
        <f t="shared" si="89"/>
        <v>0</v>
      </c>
      <c r="B1382" s="1324"/>
      <c r="C1382" s="1324"/>
      <c r="D1382" s="1078"/>
      <c r="E1382" s="1088"/>
      <c r="F1382" s="1368" t="s">
        <v>2285</v>
      </c>
      <c r="G1382" s="1078"/>
      <c r="H1382" s="1868"/>
      <c r="I1382" s="1259">
        <f t="shared" si="88"/>
        <v>0</v>
      </c>
      <c r="J1382" s="1081"/>
      <c r="K1382" s="1081"/>
      <c r="L1382" s="1082"/>
      <c r="M1382" s="975">
        <v>250</v>
      </c>
    </row>
    <row r="1383" spans="1:13" s="1083" customFormat="1" ht="25.2" hidden="1" customHeight="1">
      <c r="A1383" s="1153">
        <f t="shared" si="89"/>
        <v>0</v>
      </c>
      <c r="B1383" s="1324" t="s">
        <v>1492</v>
      </c>
      <c r="C1383" s="1324"/>
      <c r="D1383" s="1090"/>
      <c r="E1383" s="1079" t="str">
        <f>VLOOKUP($B1383,DG!A:D,DG!$B$2,)</f>
        <v>04.8003</v>
      </c>
      <c r="F1383" s="1080" t="str">
        <f>VLOOKUP($B1383,DG!A:D,DG!$C$2,)</f>
        <v xml:space="preserve">Ống PVC D90x3,8mm </v>
      </c>
      <c r="G1383" s="1079" t="str">
        <f>VLOOKUP($B1383,DG!A:D,DG!$D$2,)</f>
        <v>m</v>
      </c>
      <c r="H1383" s="1851">
        <f>H1381*2</f>
        <v>0</v>
      </c>
      <c r="I1383" s="1259">
        <f t="shared" si="88"/>
        <v>0</v>
      </c>
      <c r="J1383" s="1081"/>
      <c r="K1383" s="1081"/>
      <c r="L1383" s="1082"/>
      <c r="M1383" s="975">
        <v>250</v>
      </c>
    </row>
    <row r="1384" spans="1:13" s="1083" customFormat="1" ht="25.2" hidden="1" customHeight="1">
      <c r="A1384" s="1153">
        <f t="shared" si="89"/>
        <v>0</v>
      </c>
      <c r="B1384" s="1324" t="s">
        <v>86</v>
      </c>
      <c r="C1384" s="1324"/>
      <c r="D1384" s="1090"/>
      <c r="E1384" s="1079">
        <f>VLOOKUP($B1384,DG!A:D,DG!$B$2,)</f>
        <v>0</v>
      </c>
      <c r="F1384" s="1080" t="str">
        <f>VLOOKUP($B1384,DG!A:D,DG!$C$2,)</f>
        <v>Co  90 độ PVC 90</v>
      </c>
      <c r="G1384" s="1079" t="str">
        <f>VLOOKUP($B1384,DG!A:D,DG!$D$2,)</f>
        <v>cái</v>
      </c>
      <c r="H1384" s="1851">
        <f>H1381*2</f>
        <v>0</v>
      </c>
      <c r="I1384" s="1259">
        <f t="shared" si="88"/>
        <v>0</v>
      </c>
      <c r="J1384" s="1081"/>
      <c r="K1384" s="1081"/>
      <c r="L1384" s="1082"/>
      <c r="M1384" s="975">
        <v>250</v>
      </c>
    </row>
    <row r="1385" spans="1:13" s="1083" customFormat="1" ht="25.2" hidden="1" customHeight="1">
      <c r="A1385" s="1153">
        <f t="shared" si="89"/>
        <v>0</v>
      </c>
      <c r="B1385" s="1346" t="s">
        <v>276</v>
      </c>
      <c r="C1385" s="1346"/>
      <c r="D1385" s="1090"/>
      <c r="E1385" s="1079" t="str">
        <f>VLOOKUP($B1385,DG!A:D,DG!$B$2,)</f>
        <v>06.3231</v>
      </c>
      <c r="F1385" s="1080" t="str">
        <f>VLOOKUP($B1385,DG!A:D,DG!$C$2,)&amp;": 1 bộ"</f>
        <v>Cổ dê kẹp ống PVC Ø 90: 1 bộ</v>
      </c>
      <c r="G1385" s="1079" t="str">
        <f>VLOOKUP($B1385,DG!A:D,DG!$D$2,)</f>
        <v>bộ</v>
      </c>
      <c r="H1385" s="1851">
        <f>H1381*1.21*0</f>
        <v>0</v>
      </c>
      <c r="I1385" s="1259">
        <f t="shared" si="88"/>
        <v>0</v>
      </c>
      <c r="J1385" s="1081"/>
      <c r="K1385" s="1081"/>
      <c r="L1385" s="1082"/>
      <c r="M1385" s="975">
        <v>250</v>
      </c>
    </row>
    <row r="1386" spans="1:13" s="1083" customFormat="1" ht="25.2" hidden="1" customHeight="1">
      <c r="A1386" s="1153">
        <f t="shared" si="89"/>
        <v>0</v>
      </c>
      <c r="B1386" s="1346" t="s">
        <v>86</v>
      </c>
      <c r="C1386" s="1346"/>
      <c r="D1386" s="1090"/>
      <c r="E1386" s="1079">
        <f>VLOOKUP($B1386,DG!A:D,DG!$B$2,)</f>
        <v>0</v>
      </c>
      <c r="F1386" s="1080" t="str">
        <f>VLOOKUP($B1386,DG!A:D,DG!$C$2,)</f>
        <v>Co  90 độ PVC 90</v>
      </c>
      <c r="G1386" s="1079" t="str">
        <f>VLOOKUP($B1386,DG!A:D,DG!$D$2,)</f>
        <v>cái</v>
      </c>
      <c r="H1386" s="1851">
        <f>H1381*3*0</f>
        <v>0</v>
      </c>
      <c r="I1386" s="1259">
        <f t="shared" si="88"/>
        <v>0</v>
      </c>
      <c r="J1386" s="1081"/>
      <c r="K1386" s="1081"/>
      <c r="L1386" s="1082"/>
      <c r="M1386" s="975">
        <v>250</v>
      </c>
    </row>
    <row r="1387" spans="1:13" s="1083" customFormat="1" ht="25.2" hidden="1" customHeight="1">
      <c r="A1387" s="1153">
        <f t="shared" si="89"/>
        <v>0</v>
      </c>
      <c r="B1387" s="1346" t="s">
        <v>138</v>
      </c>
      <c r="C1387" s="1346"/>
      <c r="D1387" s="1090"/>
      <c r="E1387" s="1079">
        <f>VLOOKUP($B1387,DG!A:D,DG!$B$2,)</f>
        <v>0</v>
      </c>
      <c r="F1387" s="1080" t="str">
        <f>VLOOKUP($B1387,DG!A:D,DG!$C$2,)</f>
        <v>Boulon 12x40+ 2 long đền vuông D14-50x50x3/Zn</v>
      </c>
      <c r="G1387" s="1079" t="str">
        <f>VLOOKUP($B1387,DG!A:D,DG!$D$2,)</f>
        <v>bộ</v>
      </c>
      <c r="H1387" s="1851">
        <f>H1381*2*0</f>
        <v>0</v>
      </c>
      <c r="I1387" s="1259">
        <f t="shared" si="88"/>
        <v>0</v>
      </c>
      <c r="J1387" s="1081"/>
      <c r="K1387" s="1081"/>
      <c r="L1387" s="1082"/>
      <c r="M1387" s="975">
        <v>250</v>
      </c>
    </row>
    <row r="1388" spans="1:13" s="1083" customFormat="1" ht="25.2" hidden="1" customHeight="1">
      <c r="A1388" s="1153">
        <f t="shared" si="89"/>
        <v>0</v>
      </c>
      <c r="B1388" s="1346" t="s">
        <v>1989</v>
      </c>
      <c r="C1388" s="1346"/>
      <c r="D1388" s="1090"/>
      <c r="E1388" s="1079">
        <f>VLOOKUP($B1388,DG!A:D,DG!$B$2,)</f>
        <v>0</v>
      </c>
      <c r="F1388" s="1080" t="str">
        <f>VLOOKUP($B1388,DG!A:D,DG!$C$2,)</f>
        <v>Boulon 12x60+ 2 long đền vuông D14-50x50x3/Zn</v>
      </c>
      <c r="G1388" s="1079" t="str">
        <f>VLOOKUP($B1388,DG!A:D,DG!$D$2,)</f>
        <v>bộ</v>
      </c>
      <c r="H1388" s="1851">
        <f>H1387</f>
        <v>0</v>
      </c>
      <c r="I1388" s="1259">
        <f t="shared" si="88"/>
        <v>0</v>
      </c>
      <c r="J1388" s="1081"/>
      <c r="K1388" s="1081"/>
      <c r="L1388" s="1082"/>
      <c r="M1388" s="975">
        <v>250</v>
      </c>
    </row>
    <row r="1389" spans="1:13" s="1083" customFormat="1" ht="25.2" hidden="1" customHeight="1">
      <c r="A1389" s="1153">
        <f t="shared" si="89"/>
        <v>0</v>
      </c>
      <c r="B1389" s="1324" t="s">
        <v>931</v>
      </c>
      <c r="C1389" s="1324"/>
      <c r="D1389" s="1090"/>
      <c r="E1389" s="1079">
        <f>VLOOKUP($B1389,DG!A:D,DG!$B$2,)</f>
        <v>0</v>
      </c>
      <c r="F1389" s="1080" t="str">
        <f>VLOOKUP($B1389,DG!A:D,DG!$C$2,)</f>
        <v>Khâu ven răng trong D90</v>
      </c>
      <c r="G1389" s="1079" t="str">
        <f>VLOOKUP($B1389,DG!A:D,DG!$D$2,)</f>
        <v>cái</v>
      </c>
      <c r="H1389" s="1851">
        <f>H1381*2*0</f>
        <v>0</v>
      </c>
      <c r="I1389" s="1259">
        <f t="shared" si="88"/>
        <v>0</v>
      </c>
      <c r="J1389" s="1081"/>
      <c r="K1389" s="1081"/>
      <c r="L1389" s="1082"/>
      <c r="M1389" s="975">
        <v>250</v>
      </c>
    </row>
    <row r="1390" spans="1:13" s="1083" customFormat="1" ht="25.2" hidden="1" customHeight="1">
      <c r="A1390" s="1153">
        <f t="shared" si="89"/>
        <v>0</v>
      </c>
      <c r="B1390" s="1324" t="s">
        <v>930</v>
      </c>
      <c r="C1390" s="1324"/>
      <c r="D1390" s="1090"/>
      <c r="E1390" s="1079">
        <f>VLOOKUP($B1390,DG!A:D,DG!$B$2,)</f>
        <v>0</v>
      </c>
      <c r="F1390" s="1080" t="str">
        <f>VLOOKUP($B1390,DG!A:D,DG!$C$2,)</f>
        <v>Khâu ven răng ngoài D90</v>
      </c>
      <c r="G1390" s="1079" t="str">
        <f>VLOOKUP($B1390,DG!A:D,DG!$D$2,)</f>
        <v>cái</v>
      </c>
      <c r="H1390" s="1851">
        <f>H1389</f>
        <v>0</v>
      </c>
      <c r="I1390" s="1259">
        <f t="shared" ref="I1390:I1453" si="90">IF(M1390=$M$23,H1390+J1390-K1390,0)</f>
        <v>0</v>
      </c>
      <c r="J1390" s="1081"/>
      <c r="K1390" s="1081"/>
      <c r="L1390" s="1082"/>
      <c r="M1390" s="975">
        <v>250</v>
      </c>
    </row>
    <row r="1391" spans="1:13" s="1083" customFormat="1" ht="25.2" hidden="1" customHeight="1">
      <c r="A1391" s="1153">
        <f t="shared" si="89"/>
        <v>0</v>
      </c>
      <c r="B1391" s="1154"/>
      <c r="C1391" s="1154"/>
      <c r="D1391" s="1084">
        <f>IF(H1391&gt;0,D1381+1,D1381)</f>
        <v>5</v>
      </c>
      <c r="E1391" s="1085"/>
      <c r="F1391" s="1094" t="s">
        <v>3746</v>
      </c>
      <c r="G1391" s="1084" t="s">
        <v>2391</v>
      </c>
      <c r="H1391" s="1888">
        <f>H1318</f>
        <v>1</v>
      </c>
      <c r="I1391" s="1259">
        <f t="shared" si="90"/>
        <v>0</v>
      </c>
      <c r="J1391" s="1081"/>
      <c r="K1391" s="1081"/>
      <c r="L1391" s="1110"/>
      <c r="M1391" s="975">
        <v>250</v>
      </c>
    </row>
    <row r="1392" spans="1:13" s="1083" customFormat="1" ht="25.2" hidden="1" customHeight="1">
      <c r="A1392" s="1153">
        <f t="shared" si="89"/>
        <v>0</v>
      </c>
      <c r="B1392" s="1154"/>
      <c r="C1392" s="1154"/>
      <c r="D1392" s="1078"/>
      <c r="E1392" s="1088"/>
      <c r="F1392" s="1368" t="s">
        <v>2285</v>
      </c>
      <c r="G1392" s="1078"/>
      <c r="H1392" s="1851"/>
      <c r="I1392" s="1259">
        <f t="shared" si="90"/>
        <v>0</v>
      </c>
      <c r="J1392" s="1081"/>
      <c r="K1392" s="1081"/>
      <c r="L1392" s="1110"/>
      <c r="M1392" s="975">
        <v>250</v>
      </c>
    </row>
    <row r="1393" spans="1:13" s="1083" customFormat="1" ht="25.2" hidden="1" customHeight="1">
      <c r="A1393" s="1153">
        <f t="shared" si="89"/>
        <v>0</v>
      </c>
      <c r="B1393" s="1356" t="s">
        <v>1013</v>
      </c>
      <c r="C1393" s="1356">
        <v>25.5</v>
      </c>
      <c r="D1393" s="1090"/>
      <c r="E1393" s="1079">
        <f>VLOOKUP($B1393,DG!A:D,DG!$B$2,)</f>
        <v>0</v>
      </c>
      <c r="F1393" s="1080" t="str">
        <f>VLOOKUP($B1393,DG!A:D,DG!$C$2,)</f>
        <v>Cáp đồng bọc CV185</v>
      </c>
      <c r="G1393" s="1079" t="str">
        <f>VLOOKUP($B1393,DG!A:D,DG!$D$2,)</f>
        <v>mét</v>
      </c>
      <c r="H1393" s="1851">
        <f>$H$1391*C1393</f>
        <v>25.5</v>
      </c>
      <c r="I1393" s="1259">
        <f t="shared" si="90"/>
        <v>0</v>
      </c>
      <c r="J1393" s="1081"/>
      <c r="K1393" s="1081"/>
      <c r="L1393" s="1110"/>
      <c r="M1393" s="975">
        <v>250</v>
      </c>
    </row>
    <row r="1394" spans="1:13" s="1083" customFormat="1" ht="25.2" hidden="1" customHeight="1">
      <c r="A1394" s="1153">
        <f t="shared" si="89"/>
        <v>0</v>
      </c>
      <c r="B1394" s="1356" t="s">
        <v>274</v>
      </c>
      <c r="C1394" s="1356">
        <v>8.5</v>
      </c>
      <c r="D1394" s="1090"/>
      <c r="E1394" s="1079">
        <f>VLOOKUP($B1394,DG!A:D,DG!$B$2,)</f>
        <v>0</v>
      </c>
      <c r="F1394" s="1080" t="str">
        <f>VLOOKUP($B1394,DG!A:D,DG!$C$2,)</f>
        <v>Cáp đồng bọc CV95</v>
      </c>
      <c r="G1394" s="1079" t="str">
        <f>VLOOKUP($B1394,DG!A:D,DG!$D$2,)</f>
        <v>mét</v>
      </c>
      <c r="H1394" s="1851">
        <f t="shared" ref="H1394:H1414" si="91">$H$1391*C1394</f>
        <v>8.5</v>
      </c>
      <c r="I1394" s="1259">
        <f t="shared" si="90"/>
        <v>0</v>
      </c>
      <c r="J1394" s="1081"/>
      <c r="K1394" s="1081"/>
      <c r="L1394" s="1110"/>
      <c r="M1394" s="975">
        <v>250</v>
      </c>
    </row>
    <row r="1395" spans="1:13" s="1083" customFormat="1" ht="25.2" hidden="1" customHeight="1">
      <c r="A1395" s="1153">
        <f t="shared" si="89"/>
        <v>0</v>
      </c>
      <c r="B1395" s="1324" t="s">
        <v>151</v>
      </c>
      <c r="C1395" s="1324">
        <v>6</v>
      </c>
      <c r="D1395" s="1090"/>
      <c r="E1395" s="1079" t="str">
        <f>VLOOKUP($B1395,DG!A:D,DG!$B$2,)</f>
        <v>03.4007</v>
      </c>
      <c r="F1395" s="1080" t="str">
        <f>VLOOKUP($B1395,DG!A:D,DG!$C$2,)</f>
        <v>Đầu cosse ép Cu 185mm2</v>
      </c>
      <c r="G1395" s="1079" t="str">
        <f>VLOOKUP($B1395,DG!A:D,DG!$D$2,)</f>
        <v>cái</v>
      </c>
      <c r="H1395" s="1851">
        <f t="shared" si="91"/>
        <v>6</v>
      </c>
      <c r="I1395" s="1259">
        <f t="shared" si="90"/>
        <v>0</v>
      </c>
      <c r="J1395" s="1081"/>
      <c r="K1395" s="1081"/>
      <c r="L1395" s="1110"/>
      <c r="M1395" s="975">
        <v>250</v>
      </c>
    </row>
    <row r="1396" spans="1:13" s="1083" customFormat="1" ht="25.2" hidden="1" customHeight="1">
      <c r="A1396" s="1153">
        <f t="shared" si="89"/>
        <v>0</v>
      </c>
      <c r="B1396" s="1324" t="s">
        <v>1307</v>
      </c>
      <c r="C1396" s="1324">
        <v>2</v>
      </c>
      <c r="D1396" s="1090"/>
      <c r="E1396" s="1079" t="str">
        <f>VLOOKUP($B1396,DG!A:D,DG!$B$2,)</f>
        <v>03.4004</v>
      </c>
      <c r="F1396" s="1080" t="str">
        <f>VLOOKUP($B1396,DG!A:D,DG!$C$2,)</f>
        <v>Đầu cosse ép Cu 95mm2</v>
      </c>
      <c r="G1396" s="1079" t="str">
        <f>VLOOKUP($B1396,DG!A:D,DG!$D$2,)</f>
        <v>cái</v>
      </c>
      <c r="H1396" s="1851">
        <f t="shared" si="91"/>
        <v>2</v>
      </c>
      <c r="I1396" s="1259">
        <f t="shared" si="90"/>
        <v>0</v>
      </c>
      <c r="J1396" s="1081"/>
      <c r="K1396" s="1081"/>
      <c r="L1396" s="1110"/>
      <c r="M1396" s="975">
        <v>250</v>
      </c>
    </row>
    <row r="1397" spans="1:13" s="1083" customFormat="1" ht="25.2" hidden="1" customHeight="1">
      <c r="A1397" s="1153">
        <f t="shared" si="89"/>
        <v>0</v>
      </c>
      <c r="B1397" s="1324" t="s">
        <v>150</v>
      </c>
      <c r="C1397" s="1324">
        <v>6</v>
      </c>
      <c r="D1397" s="1090"/>
      <c r="E1397" s="1079">
        <f>VLOOKUP($B1397,DG!A:D,DG!$B$2,)</f>
        <v>0</v>
      </c>
      <c r="F1397" s="1080" t="str">
        <f>VLOOKUP($B1397,DG!A:D,DG!$C$2,)</f>
        <v>Chụp đầu cosse  185mm2</v>
      </c>
      <c r="G1397" s="1079" t="str">
        <f>VLOOKUP($B1397,DG!A:D,DG!$D$2,)</f>
        <v>cái</v>
      </c>
      <c r="H1397" s="1851">
        <f t="shared" si="91"/>
        <v>6</v>
      </c>
      <c r="I1397" s="1259">
        <f t="shared" si="90"/>
        <v>0</v>
      </c>
      <c r="J1397" s="1081"/>
      <c r="K1397" s="1081"/>
      <c r="L1397" s="1110"/>
      <c r="M1397" s="975">
        <v>250</v>
      </c>
    </row>
    <row r="1398" spans="1:13" s="1083" customFormat="1" ht="25.2" hidden="1" customHeight="1">
      <c r="A1398" s="1153">
        <f t="shared" si="89"/>
        <v>0</v>
      </c>
      <c r="B1398" s="1324" t="s">
        <v>94</v>
      </c>
      <c r="C1398" s="1324">
        <v>2</v>
      </c>
      <c r="D1398" s="1090"/>
      <c r="E1398" s="1079">
        <f>VLOOKUP($B1398,DG!A:D,DG!$B$2,)</f>
        <v>0</v>
      </c>
      <c r="F1398" s="1080" t="str">
        <f>VLOOKUP($B1398,DG!A:D,DG!$C$2,)</f>
        <v>Chụp đầu cosse  95mm2</v>
      </c>
      <c r="G1398" s="1079" t="str">
        <f>VLOOKUP($B1398,DG!A:D,DG!$D$2,)</f>
        <v>cái</v>
      </c>
      <c r="H1398" s="1851">
        <f t="shared" si="91"/>
        <v>2</v>
      </c>
      <c r="I1398" s="1259">
        <f t="shared" si="90"/>
        <v>0</v>
      </c>
      <c r="J1398" s="1081"/>
      <c r="K1398" s="1081"/>
      <c r="L1398" s="1110"/>
      <c r="M1398" s="975">
        <v>250</v>
      </c>
    </row>
    <row r="1399" spans="1:13" s="1083" customFormat="1" ht="25.2" hidden="1" customHeight="1">
      <c r="A1399" s="1153">
        <f t="shared" si="89"/>
        <v>0</v>
      </c>
      <c r="B1399" s="1324" t="s">
        <v>1042</v>
      </c>
      <c r="C1399" s="1324">
        <v>6</v>
      </c>
      <c r="D1399" s="1090"/>
      <c r="E1399" s="1079">
        <f>VLOOKUP($B1399,DG!A:D,DG!$B$2,)</f>
        <v>0</v>
      </c>
      <c r="F1399" s="1080" t="str">
        <f>VLOOKUP($B1399,DG!A:D,DG!$C$2,)</f>
        <v xml:space="preserve">Ống PVC D114x4,9mm </v>
      </c>
      <c r="G1399" s="1079" t="str">
        <f>VLOOKUP($B1399,DG!A:D,DG!$D$2,)</f>
        <v>m</v>
      </c>
      <c r="H1399" s="1851">
        <f t="shared" si="91"/>
        <v>6</v>
      </c>
      <c r="I1399" s="1259">
        <f t="shared" si="90"/>
        <v>0</v>
      </c>
      <c r="J1399" s="1081"/>
      <c r="K1399" s="1081"/>
      <c r="L1399" s="1110"/>
      <c r="M1399" s="975">
        <v>250</v>
      </c>
    </row>
    <row r="1400" spans="1:13" s="1083" customFormat="1" ht="25.2" hidden="1" customHeight="1">
      <c r="A1400" s="1153">
        <f t="shared" si="89"/>
        <v>0</v>
      </c>
      <c r="B1400" s="1346" t="s">
        <v>86</v>
      </c>
      <c r="C1400" s="1346">
        <v>1</v>
      </c>
      <c r="D1400" s="1090"/>
      <c r="E1400" s="1079">
        <f>VLOOKUP($B1400,DG!A:D,DG!$B$2,)</f>
        <v>0</v>
      </c>
      <c r="F1400" s="1080" t="str">
        <f>VLOOKUP($B1400,DG!A:D,DG!$C$2,)</f>
        <v>Co  90 độ PVC 90</v>
      </c>
      <c r="G1400" s="1079" t="str">
        <f>VLOOKUP($B1400,DG!A:D,DG!$D$2,)</f>
        <v>cái</v>
      </c>
      <c r="H1400" s="1851">
        <f t="shared" si="91"/>
        <v>1</v>
      </c>
      <c r="I1400" s="1259">
        <f t="shared" si="90"/>
        <v>0</v>
      </c>
      <c r="J1400" s="1081"/>
      <c r="K1400" s="1081"/>
      <c r="L1400" s="1110"/>
      <c r="M1400" s="975">
        <v>250</v>
      </c>
    </row>
    <row r="1401" spans="1:13" s="1083" customFormat="1" ht="25.2" hidden="1" customHeight="1">
      <c r="A1401" s="1153">
        <f t="shared" si="89"/>
        <v>0</v>
      </c>
      <c r="B1401" s="77" t="s">
        <v>1215</v>
      </c>
      <c r="C1401" s="77">
        <v>1</v>
      </c>
      <c r="D1401" s="1090"/>
      <c r="E1401" s="1079">
        <f>VLOOKUP($B1401,DG!A:D,DG!$B$2,)</f>
        <v>0</v>
      </c>
      <c r="F1401" s="1080" t="str">
        <f>VLOOKUP($B1401,DG!A:D,DG!$C$2,)</f>
        <v>Co 135 độ PVC 90</v>
      </c>
      <c r="G1401" s="1079" t="str">
        <f>VLOOKUP($B1401,DG!A:D,DG!$D$2,)</f>
        <v>cái</v>
      </c>
      <c r="H1401" s="1851">
        <f t="shared" si="91"/>
        <v>1</v>
      </c>
      <c r="I1401" s="1259">
        <f t="shared" si="90"/>
        <v>0</v>
      </c>
      <c r="J1401" s="1081"/>
      <c r="K1401" s="1081"/>
      <c r="L1401" s="1110"/>
      <c r="M1401" s="975">
        <v>250</v>
      </c>
    </row>
    <row r="1402" spans="1:13" s="1083" customFormat="1" ht="25.2" hidden="1" customHeight="1">
      <c r="A1402" s="1153">
        <f t="shared" si="89"/>
        <v>0</v>
      </c>
      <c r="B1402" s="1154" t="s">
        <v>1492</v>
      </c>
      <c r="C1402" s="1154">
        <v>12</v>
      </c>
      <c r="D1402" s="1090"/>
      <c r="E1402" s="1079" t="str">
        <f>VLOOKUP($B1402,DG!A:D,DG!$B$2,)</f>
        <v>04.8003</v>
      </c>
      <c r="F1402" s="1080" t="str">
        <f>VLOOKUP($B1402,DG!A:D,DG!$C$2,)</f>
        <v xml:space="preserve">Ống PVC D90x3,8mm </v>
      </c>
      <c r="G1402" s="1079" t="str">
        <f>VLOOKUP($B1402,DG!A:D,DG!$D$2,)</f>
        <v>m</v>
      </c>
      <c r="H1402" s="1851">
        <f t="shared" si="91"/>
        <v>12</v>
      </c>
      <c r="I1402" s="1259">
        <f t="shared" si="90"/>
        <v>0</v>
      </c>
      <c r="J1402" s="1081"/>
      <c r="K1402" s="1081"/>
      <c r="L1402" s="1110"/>
      <c r="M1402" s="975">
        <v>250</v>
      </c>
    </row>
    <row r="1403" spans="1:13" s="1083" customFormat="1" ht="25.2" hidden="1" customHeight="1">
      <c r="A1403" s="1153">
        <f t="shared" si="89"/>
        <v>0</v>
      </c>
      <c r="B1403" s="1346" t="s">
        <v>276</v>
      </c>
      <c r="C1403" s="1346">
        <v>3</v>
      </c>
      <c r="D1403" s="1090"/>
      <c r="E1403" s="1079" t="str">
        <f>VLOOKUP($B1403,DG!A:D,DG!$B$2,)</f>
        <v>06.3231</v>
      </c>
      <c r="F1403" s="1080" t="str">
        <f>VLOOKUP($B1403,DG!A:D,DG!$C$2,)</f>
        <v>Cổ dê kẹp ống PVC Ø 90</v>
      </c>
      <c r="G1403" s="1079" t="str">
        <f>VLOOKUP($B1403,DG!A:D,DG!$D$2,)</f>
        <v>bộ</v>
      </c>
      <c r="H1403" s="1851">
        <f t="shared" si="91"/>
        <v>3</v>
      </c>
      <c r="I1403" s="1259">
        <f t="shared" si="90"/>
        <v>0</v>
      </c>
      <c r="J1403" s="1081"/>
      <c r="K1403" s="1081"/>
      <c r="L1403" s="1110"/>
      <c r="M1403" s="975">
        <v>250</v>
      </c>
    </row>
    <row r="1404" spans="1:13" s="1083" customFormat="1" ht="25.2" hidden="1" customHeight="1">
      <c r="A1404" s="1153">
        <f t="shared" si="89"/>
        <v>0</v>
      </c>
      <c r="B1404" s="1154" t="s">
        <v>1131</v>
      </c>
      <c r="C1404" s="1154">
        <v>3</v>
      </c>
      <c r="D1404" s="1090"/>
      <c r="E1404" s="1079" t="str">
        <f>VLOOKUP($B1404,DG!A:D,DG!$B$2,)</f>
        <v>06.2110</v>
      </c>
      <c r="F1404" s="1080" t="str">
        <f>VLOOKUP($B1404,DG!A:D,DG!$C$2,)</f>
        <v>Lắp cổ dề</v>
      </c>
      <c r="G1404" s="1079" t="str">
        <f>VLOOKUP($B1404,DG!A:D,DG!$D$2,)</f>
        <v>bộ</v>
      </c>
      <c r="H1404" s="1851">
        <f t="shared" si="91"/>
        <v>3</v>
      </c>
      <c r="I1404" s="1259">
        <f t="shared" si="90"/>
        <v>0</v>
      </c>
      <c r="J1404" s="1081"/>
      <c r="K1404" s="1081"/>
      <c r="L1404" s="1110"/>
      <c r="M1404" s="975">
        <v>250</v>
      </c>
    </row>
    <row r="1405" spans="1:13" s="1083" customFormat="1" ht="25.2" hidden="1" customHeight="1">
      <c r="A1405" s="1153">
        <f t="shared" si="89"/>
        <v>0</v>
      </c>
      <c r="B1405" s="1346" t="s">
        <v>4627</v>
      </c>
      <c r="C1405" s="1346">
        <v>1</v>
      </c>
      <c r="D1405" s="1090"/>
      <c r="E1405" s="1079">
        <f>VLOOKUP($B1405,DG!A:D,DG!$B$2,)</f>
        <v>0</v>
      </c>
      <c r="F1405" s="1080" t="str">
        <f>VLOOKUP($B1405,DG!A:D,DG!$C$2,)</f>
        <v>Co sừng 90 độ PVC 114</v>
      </c>
      <c r="G1405" s="1079" t="str">
        <f>VLOOKUP($B1405,DG!A:D,DG!$D$2,)</f>
        <v>cái</v>
      </c>
      <c r="H1405" s="1851">
        <f t="shared" si="91"/>
        <v>1</v>
      </c>
      <c r="I1405" s="1259">
        <f t="shared" si="90"/>
        <v>0</v>
      </c>
      <c r="J1405" s="1081"/>
      <c r="K1405" s="1081"/>
      <c r="L1405" s="1110"/>
      <c r="M1405" s="975">
        <v>250</v>
      </c>
    </row>
    <row r="1406" spans="1:13" s="1083" customFormat="1" ht="25.2" hidden="1" customHeight="1">
      <c r="A1406" s="1153">
        <f t="shared" si="89"/>
        <v>0</v>
      </c>
      <c r="B1406" s="1324" t="s">
        <v>2173</v>
      </c>
      <c r="C1406" s="1324"/>
      <c r="D1406" s="1090"/>
      <c r="E1406" s="1079">
        <f>VLOOKUP($B1406,DG!A:D,DG!$B$2,)</f>
        <v>0</v>
      </c>
      <c r="F1406" s="1080" t="str">
        <f>VLOOKUP($B1406,DG!A:D,DG!$C$2,)</f>
        <v>Khâu ven răng trong D114</v>
      </c>
      <c r="G1406" s="1079" t="str">
        <f>VLOOKUP($B1406,DG!A:D,DG!$D$2,)</f>
        <v>cái</v>
      </c>
      <c r="H1406" s="1851">
        <f t="shared" si="91"/>
        <v>0</v>
      </c>
      <c r="I1406" s="1259">
        <f t="shared" si="90"/>
        <v>0</v>
      </c>
      <c r="J1406" s="1081"/>
      <c r="K1406" s="1081"/>
      <c r="L1406" s="1110"/>
      <c r="M1406" s="975">
        <v>250</v>
      </c>
    </row>
    <row r="1407" spans="1:13" s="1083" customFormat="1" ht="25.2" hidden="1" customHeight="1">
      <c r="A1407" s="1153">
        <f t="shared" si="89"/>
        <v>0</v>
      </c>
      <c r="B1407" s="1324" t="s">
        <v>2174</v>
      </c>
      <c r="C1407" s="1324"/>
      <c r="D1407" s="1090"/>
      <c r="E1407" s="1079">
        <f>VLOOKUP($B1407,DG!A:D,DG!$B$2,)</f>
        <v>0</v>
      </c>
      <c r="F1407" s="1080" t="str">
        <f>VLOOKUP($B1407,DG!A:D,DG!$C$2,)&amp;": "</f>
        <v xml:space="preserve">Khâu ven răng ngoài D114: </v>
      </c>
      <c r="G1407" s="1079" t="str">
        <f>VLOOKUP($B1407,DG!A:D,DG!$D$2,)</f>
        <v>cái</v>
      </c>
      <c r="H1407" s="1851">
        <f t="shared" si="91"/>
        <v>0</v>
      </c>
      <c r="I1407" s="1259">
        <f t="shared" si="90"/>
        <v>0</v>
      </c>
      <c r="J1407" s="1081"/>
      <c r="K1407" s="1081"/>
      <c r="L1407" s="1110"/>
      <c r="M1407" s="975">
        <v>250</v>
      </c>
    </row>
    <row r="1408" spans="1:13" s="1083" customFormat="1" ht="25.2" hidden="1" customHeight="1">
      <c r="A1408" s="1153">
        <f t="shared" si="89"/>
        <v>0</v>
      </c>
      <c r="B1408" s="1324" t="s">
        <v>2080</v>
      </c>
      <c r="C1408" s="1324">
        <v>1</v>
      </c>
      <c r="D1408" s="1090"/>
      <c r="E1408" s="1079">
        <f>VLOOKUP($B1408,DG!A:D,DG!$B$2,)</f>
        <v>0</v>
      </c>
      <c r="F1408" s="1080" t="str">
        <f>VLOOKUP($B1408,DG!A:D,DG!$C$2,)&amp;": "</f>
        <v xml:space="preserve">Keo dán ống PVC (100gr): </v>
      </c>
      <c r="G1408" s="1079" t="str">
        <f>VLOOKUP($B1408,DG!A:D,DG!$D$2,)</f>
        <v>tuýp</v>
      </c>
      <c r="H1408" s="1851">
        <f t="shared" si="91"/>
        <v>1</v>
      </c>
      <c r="I1408" s="1259">
        <f t="shared" si="90"/>
        <v>0</v>
      </c>
      <c r="J1408" s="1081"/>
      <c r="K1408" s="1081"/>
      <c r="L1408" s="1110"/>
      <c r="M1408" s="975">
        <v>250</v>
      </c>
    </row>
    <row r="1409" spans="1:13" s="1083" customFormat="1" ht="25.2" hidden="1" customHeight="1">
      <c r="A1409" s="1153">
        <f t="shared" si="89"/>
        <v>0</v>
      </c>
      <c r="B1409" s="1154" t="s">
        <v>6</v>
      </c>
      <c r="C1409" s="1154">
        <v>1</v>
      </c>
      <c r="D1409" s="1090"/>
      <c r="E1409" s="1079"/>
      <c r="F1409" s="1080" t="str">
        <f>VLOOKUP($B1409,DG!A:D,DG!$C$2,)&amp;":"</f>
        <v>Keo silicon bít miệng ống:</v>
      </c>
      <c r="G1409" s="1079" t="str">
        <f>VLOOKUP($B1409,DG!A:D,DG!$D$2,)</f>
        <v>ống</v>
      </c>
      <c r="H1409" s="1851">
        <f t="shared" si="91"/>
        <v>1</v>
      </c>
      <c r="I1409" s="1259">
        <f t="shared" si="90"/>
        <v>0</v>
      </c>
      <c r="J1409" s="1081"/>
      <c r="K1409" s="1081"/>
      <c r="L1409" s="1082"/>
      <c r="M1409" s="975">
        <v>250</v>
      </c>
    </row>
    <row r="1410" spans="1:13" s="1083" customFormat="1" ht="25.2" hidden="1" customHeight="1">
      <c r="A1410" s="1153">
        <f t="shared" si="89"/>
        <v>0</v>
      </c>
      <c r="B1410" s="1324" t="s">
        <v>2282</v>
      </c>
      <c r="C1410" s="1324">
        <v>4</v>
      </c>
      <c r="D1410" s="1090"/>
      <c r="E1410" s="1079" t="str">
        <f>VLOOKUP($B1410,DG!A:D,DG!$B$2,)</f>
        <v>03.1401</v>
      </c>
      <c r="F1410" s="1080" t="str">
        <f>VLOOKUP($B1410,DG!A:D,DG!$C$2,)</f>
        <v xml:space="preserve">Cáp CVV 4x4mm2  </v>
      </c>
      <c r="G1410" s="1079" t="str">
        <f>VLOOKUP($B1410,DG!A:D,DG!$D$2,)</f>
        <v>mét</v>
      </c>
      <c r="H1410" s="1851">
        <f t="shared" si="91"/>
        <v>4</v>
      </c>
      <c r="I1410" s="1259">
        <f t="shared" si="90"/>
        <v>0</v>
      </c>
      <c r="J1410" s="1081"/>
      <c r="K1410" s="1081"/>
      <c r="L1410" s="1082"/>
      <c r="M1410" s="975">
        <v>250</v>
      </c>
    </row>
    <row r="1411" spans="1:13" s="1083" customFormat="1" ht="25.2" hidden="1" customHeight="1">
      <c r="A1411" s="1153">
        <f t="shared" si="89"/>
        <v>0</v>
      </c>
      <c r="B1411" s="1154" t="s">
        <v>672</v>
      </c>
      <c r="C1411" s="1154">
        <v>2</v>
      </c>
      <c r="D1411" s="1090"/>
      <c r="E1411" s="1079">
        <f>VLOOKUP($B1411,DG!A:D,DG!$B$2,)</f>
        <v>0</v>
      </c>
      <c r="F1411" s="1080" t="str">
        <f>VLOOKUP($B1411,DG!A:D,DG!$C$2,)&amp;":"</f>
        <v>Băng keo cách điện:</v>
      </c>
      <c r="G1411" s="1079" t="str">
        <f>VLOOKUP($B1411,DG!A:D,DG!$D$2,)</f>
        <v>cuộn</v>
      </c>
      <c r="H1411" s="1851">
        <f t="shared" si="91"/>
        <v>2</v>
      </c>
      <c r="I1411" s="1259">
        <f t="shared" si="90"/>
        <v>0</v>
      </c>
      <c r="J1411" s="1081"/>
      <c r="K1411" s="1081"/>
      <c r="L1411" s="1110"/>
      <c r="M1411" s="975">
        <v>250</v>
      </c>
    </row>
    <row r="1412" spans="1:13" s="1083" customFormat="1" ht="25.2" hidden="1" customHeight="1">
      <c r="A1412" s="1153">
        <f t="shared" si="89"/>
        <v>0</v>
      </c>
      <c r="B1412" s="1154" t="s">
        <v>247</v>
      </c>
      <c r="C1412" s="1154">
        <v>9</v>
      </c>
      <c r="D1412" s="1090"/>
      <c r="E1412" s="1079" t="str">
        <f>VLOOKUP($B1412,DG!A:D,DG!$B$2,)</f>
        <v>04.4203</v>
      </c>
      <c r="F1412" s="1080" t="str">
        <f>VLOOKUP($B1412,DG!A:D,DG!$C$2,)&amp;":"</f>
        <v>Lắp cáp đồng xuống thiết bị D &gt; 150mm2:</v>
      </c>
      <c r="G1412" s="1079" t="str">
        <f>VLOOKUP($B1412,DG!A:D,DG!$D$2,)</f>
        <v>m</v>
      </c>
      <c r="H1412" s="1851">
        <f t="shared" si="91"/>
        <v>9</v>
      </c>
      <c r="I1412" s="1259">
        <f t="shared" ref="I1412" si="92">IF(M1412=$M$23,H1412+J1412-K1412,0)</f>
        <v>0</v>
      </c>
      <c r="J1412" s="1081"/>
      <c r="K1412" s="1081"/>
      <c r="L1412" s="1110"/>
      <c r="M1412" s="975">
        <v>250</v>
      </c>
    </row>
    <row r="1413" spans="1:13" s="1083" customFormat="1" ht="25.2" hidden="1" customHeight="1">
      <c r="A1413" s="1153">
        <f t="shared" si="89"/>
        <v>0</v>
      </c>
      <c r="B1413" s="1154" t="s">
        <v>2010</v>
      </c>
      <c r="C1413" s="1154">
        <v>10</v>
      </c>
      <c r="D1413" s="1090"/>
      <c r="E1413" s="1079" t="str">
        <f>VLOOKUP($B1413,DG!A:D,DG!$B$2,)</f>
        <v>04.4202</v>
      </c>
      <c r="F1413" s="1080" t="str">
        <f>VLOOKUP($B1413,DG!A:D,DG!$C$2,)&amp;":"</f>
        <v>Lắp cáp đồng xuống thiết bị D ≤ 150mm2:</v>
      </c>
      <c r="G1413" s="1079" t="str">
        <f>VLOOKUP($B1413,DG!A:D,DG!$D$2,)</f>
        <v>m</v>
      </c>
      <c r="H1413" s="1851">
        <f t="shared" si="91"/>
        <v>10</v>
      </c>
      <c r="I1413" s="1259">
        <f t="shared" ref="I1413" si="93">IF(M1413=$M$23,H1413+J1413-K1413,0)</f>
        <v>0</v>
      </c>
      <c r="J1413" s="1081"/>
      <c r="K1413" s="1081"/>
      <c r="L1413" s="1110"/>
      <c r="M1413" s="975">
        <v>250</v>
      </c>
    </row>
    <row r="1414" spans="1:13" s="1083" customFormat="1" ht="25.2" hidden="1" customHeight="1">
      <c r="A1414" s="1153">
        <f t="shared" si="89"/>
        <v>0</v>
      </c>
      <c r="B1414" s="1154" t="s">
        <v>1219</v>
      </c>
      <c r="C1414" s="1154">
        <v>1</v>
      </c>
      <c r="D1414" s="1090"/>
      <c r="E1414" s="1079" t="str">
        <f>VLOOKUP($B1414,DG!A:D,DG!$B$2,)</f>
        <v>06.3191</v>
      </c>
      <c r="F1414" s="1080" t="str">
        <f>VLOOKUP($B1414,DG!A:D,DG!$C$2,)&amp;":"</f>
        <v>Bảng tên trạm, bảng báo nguy hiểm + đinh vít:</v>
      </c>
      <c r="G1414" s="1079" t="str">
        <f>VLOOKUP($B1414,DG!A:D,DG!$D$2,)</f>
        <v>bộ</v>
      </c>
      <c r="H1414" s="1851">
        <f t="shared" si="91"/>
        <v>1</v>
      </c>
      <c r="I1414" s="1259">
        <f t="shared" si="90"/>
        <v>0</v>
      </c>
      <c r="J1414" s="1081"/>
      <c r="K1414" s="1081"/>
      <c r="L1414" s="1110"/>
      <c r="M1414" s="975">
        <v>250</v>
      </c>
    </row>
    <row r="1415" spans="1:13" s="1083" customFormat="1" ht="25.2" hidden="1" customHeight="1">
      <c r="A1415" s="1153">
        <f t="shared" si="89"/>
        <v>0</v>
      </c>
      <c r="B1415" s="1154"/>
      <c r="C1415" s="1154"/>
      <c r="D1415" s="1084">
        <f>IF(H1415&gt;0,D1391+1,D1391)</f>
        <v>5</v>
      </c>
      <c r="E1415" s="1085"/>
      <c r="F1415" s="1094" t="s">
        <v>3747</v>
      </c>
      <c r="G1415" s="1084" t="s">
        <v>2391</v>
      </c>
      <c r="H1415" s="1888"/>
      <c r="I1415" s="1259">
        <f t="shared" si="90"/>
        <v>0</v>
      </c>
      <c r="J1415" s="1081"/>
      <c r="K1415" s="1081"/>
      <c r="L1415" s="1110"/>
      <c r="M1415" s="975">
        <v>250</v>
      </c>
    </row>
    <row r="1416" spans="1:13" s="1134" customFormat="1" ht="25.2" hidden="1" customHeight="1">
      <c r="A1416" s="1153">
        <f t="shared" si="89"/>
        <v>0</v>
      </c>
      <c r="B1416" s="1357"/>
      <c r="C1416" s="1357"/>
      <c r="D1416" s="1078"/>
      <c r="E1416" s="1088"/>
      <c r="F1416" s="1368" t="s">
        <v>2285</v>
      </c>
      <c r="G1416" s="1078"/>
      <c r="H1416" s="1868"/>
      <c r="I1416" s="1259">
        <f t="shared" si="90"/>
        <v>0</v>
      </c>
      <c r="J1416" s="1081"/>
      <c r="K1416" s="1081"/>
      <c r="L1416" s="1110"/>
      <c r="M1416" s="975">
        <v>250</v>
      </c>
    </row>
    <row r="1417" spans="1:13" s="1083" customFormat="1" ht="25.2" hidden="1" customHeight="1">
      <c r="A1417" s="1153">
        <f t="shared" si="89"/>
        <v>0</v>
      </c>
      <c r="B1417" s="1324" t="s">
        <v>1826</v>
      </c>
      <c r="C1417" s="1324"/>
      <c r="D1417" s="1110"/>
      <c r="E1417" s="1079" t="str">
        <f>VLOOKUP($B1417,DG!A:D,DG!$B$2,)</f>
        <v>03.1401</v>
      </c>
      <c r="F1417" s="1108" t="str">
        <f>VLOOKUP($B1417,DG!A:D,DG!$C$2,)</f>
        <v xml:space="preserve">Cáp CVV 4x2,5mm2  </v>
      </c>
      <c r="G1417" s="1135" t="str">
        <f>VLOOKUP($B1417,DG!A:D,DG!$D$2,)</f>
        <v>mét</v>
      </c>
      <c r="H1417" s="1851">
        <f>H1415*26</f>
        <v>0</v>
      </c>
      <c r="I1417" s="1259">
        <f t="shared" si="90"/>
        <v>0</v>
      </c>
      <c r="J1417" s="1131"/>
      <c r="K1417" s="1131"/>
      <c r="L1417" s="1110"/>
      <c r="M1417" s="975">
        <v>250</v>
      </c>
    </row>
    <row r="1418" spans="1:13" s="1083" customFormat="1" ht="25.2" hidden="1" customHeight="1">
      <c r="A1418" s="1153">
        <f t="shared" si="89"/>
        <v>0</v>
      </c>
      <c r="B1418" s="1324" t="s">
        <v>246</v>
      </c>
      <c r="C1418" s="1324"/>
      <c r="D1418" s="1110"/>
      <c r="E1418" s="1079" t="str">
        <f>VLOOKUP($B1418,DG!A:D,DG!$B$2,)</f>
        <v>05.6101</v>
      </c>
      <c r="F1418" s="1108" t="str">
        <f>VLOOKUP($B1418,DG!A:D,DG!$C$2,)</f>
        <v>Xà kẹp TU, TI U50x32x4 350</v>
      </c>
      <c r="G1418" s="1135" t="str">
        <f>VLOOKUP($B1418,DG!A:D,DG!$D$2,)</f>
        <v>Bộ</v>
      </c>
      <c r="H1418" s="1851">
        <f>H1415*24</f>
        <v>0</v>
      </c>
      <c r="I1418" s="1259">
        <f t="shared" si="90"/>
        <v>0</v>
      </c>
      <c r="J1418" s="1131"/>
      <c r="K1418" s="1131"/>
      <c r="L1418" s="1110"/>
      <c r="M1418" s="975">
        <v>250</v>
      </c>
    </row>
    <row r="1419" spans="1:13" s="1083" customFormat="1" ht="25.2" hidden="1" customHeight="1">
      <c r="A1419" s="1153">
        <f t="shared" si="89"/>
        <v>0</v>
      </c>
      <c r="B1419" s="1324" t="s">
        <v>1869</v>
      </c>
      <c r="C1419" s="1324"/>
      <c r="D1419" s="1090"/>
      <c r="E1419" s="1079" t="str">
        <f>VLOOKUP($B1419,DG!A:D,DG!$B$2,)</f>
        <v>03.4001</v>
      </c>
      <c r="F1419" s="1108" t="str">
        <f>VLOOKUP($B1419,DG!A:D,DG!$C$2,)</f>
        <v xml:space="preserve">Đầu cosse ép Cu 2,5mm2 + bao PVC </v>
      </c>
      <c r="G1419" s="1135" t="str">
        <f>VLOOKUP($B1419,DG!A:D,DG!$D$2,)</f>
        <v>cái</v>
      </c>
      <c r="H1419" s="1851">
        <f>H1415*16</f>
        <v>0</v>
      </c>
      <c r="I1419" s="1259">
        <f t="shared" si="90"/>
        <v>0</v>
      </c>
      <c r="J1419" s="1131"/>
      <c r="K1419" s="1131"/>
      <c r="L1419" s="1110"/>
      <c r="M1419" s="975">
        <v>250</v>
      </c>
    </row>
    <row r="1420" spans="1:13" s="1083" customFormat="1" ht="25.2" hidden="1" customHeight="1">
      <c r="A1420" s="1153">
        <f t="shared" si="89"/>
        <v>0</v>
      </c>
      <c r="B1420" s="1324" t="s">
        <v>1513</v>
      </c>
      <c r="C1420" s="1324"/>
      <c r="D1420" s="1090"/>
      <c r="E1420" s="1079">
        <f>VLOOKUP($B1420,DG!A:D,DG!$B$2,)</f>
        <v>0</v>
      </c>
      <c r="F1420" s="1108" t="str">
        <f>VLOOKUP($B1420,DG!A:D,DG!$C$2,)</f>
        <v>Dây điện đôi 16/10</v>
      </c>
      <c r="G1420" s="1135" t="str">
        <f>VLOOKUP($B1420,DG!A:D,DG!$D$2,)</f>
        <v>mét</v>
      </c>
      <c r="H1420" s="1851">
        <f>2*H1415</f>
        <v>0</v>
      </c>
      <c r="I1420" s="1259">
        <f t="shared" si="90"/>
        <v>0</v>
      </c>
      <c r="J1420" s="1131"/>
      <c r="K1420" s="1131"/>
      <c r="L1420" s="1110"/>
      <c r="M1420" s="975">
        <v>250</v>
      </c>
    </row>
    <row r="1421" spans="1:13" s="1083" customFormat="1" ht="25.2" hidden="1" customHeight="1">
      <c r="A1421" s="1153">
        <f t="shared" si="89"/>
        <v>0</v>
      </c>
      <c r="B1421" s="1324" t="s">
        <v>1114</v>
      </c>
      <c r="C1421" s="1324"/>
      <c r="D1421" s="1090"/>
      <c r="E1421" s="1079">
        <f>VLOOKUP($B1421,DG!A:D,DG!$B$2,)</f>
        <v>0</v>
      </c>
      <c r="F1421" s="1108" t="str">
        <f>VLOOKUP($B1421,DG!A:D,DG!$C$2,)&amp;" (ñaáu TU )"</f>
        <v>Kẹp ép cỡ dây 25mm2 (ñaáu TU )</v>
      </c>
      <c r="G1421" s="1135" t="str">
        <f>VLOOKUP($B1421,DG!A:D,DG!$D$2,)</f>
        <v>cái</v>
      </c>
      <c r="H1421" s="1851">
        <f>+H1415*3</f>
        <v>0</v>
      </c>
      <c r="I1421" s="1259">
        <f t="shared" si="90"/>
        <v>0</v>
      </c>
      <c r="J1421" s="1131"/>
      <c r="K1421" s="1131"/>
      <c r="L1421" s="1110"/>
      <c r="M1421" s="975">
        <v>250</v>
      </c>
    </row>
    <row r="1422" spans="1:13" s="1083" customFormat="1" ht="25.2" hidden="1" customHeight="1">
      <c r="A1422" s="1153">
        <f t="shared" si="89"/>
        <v>0</v>
      </c>
      <c r="B1422" s="1324" t="s">
        <v>2147</v>
      </c>
      <c r="C1422" s="1324"/>
      <c r="D1422" s="1090"/>
      <c r="E1422" s="1079" t="str">
        <f>VLOOKUP($B1422,DG!A:D,DG!$B$2,)</f>
        <v>07.2403</v>
      </c>
      <c r="F1422" s="1108" t="str">
        <f>VLOOKUP($B1422,DG!A:D,DG!$C$2,)</f>
        <v>Ống PVC D42x2,1mm</v>
      </c>
      <c r="G1422" s="1135" t="str">
        <f>VLOOKUP($B1422,DG!A:D,DG!$D$2,)</f>
        <v>m</v>
      </c>
      <c r="H1422" s="1851">
        <f>H1415*16</f>
        <v>0</v>
      </c>
      <c r="I1422" s="1259">
        <f t="shared" si="90"/>
        <v>0</v>
      </c>
      <c r="J1422" s="1131"/>
      <c r="K1422" s="1131"/>
      <c r="L1422" s="1110"/>
      <c r="M1422" s="975">
        <v>250</v>
      </c>
    </row>
    <row r="1423" spans="1:13" s="1083" customFormat="1" ht="25.2" hidden="1" customHeight="1">
      <c r="A1423" s="1153">
        <f t="shared" si="89"/>
        <v>0</v>
      </c>
      <c r="B1423" s="1154" t="s">
        <v>204</v>
      </c>
      <c r="C1423" s="1154"/>
      <c r="D1423" s="1090"/>
      <c r="E1423" s="1079" t="str">
        <f>VLOOKUP($B1423,DG!A:D,DG!$B$2,)</f>
        <v>06.3231</v>
      </c>
      <c r="F1423" s="1108" t="str">
        <f>VLOOKUP($B1423,DG!A:D,DG!$C$2,)</f>
        <v>Cổ dê giữ ống PVC D42</v>
      </c>
      <c r="G1423" s="1135" t="str">
        <f>VLOOKUP($B1423,DG!A:D,DG!$D$2,)</f>
        <v>bộ</v>
      </c>
      <c r="H1423" s="1851">
        <f>H1415*4</f>
        <v>0</v>
      </c>
      <c r="I1423" s="1259">
        <f t="shared" si="90"/>
        <v>0</v>
      </c>
      <c r="J1423" s="1131"/>
      <c r="K1423" s="1131"/>
      <c r="L1423" s="1110"/>
      <c r="M1423" s="975">
        <v>250</v>
      </c>
    </row>
    <row r="1424" spans="1:13" s="1083" customFormat="1" ht="25.2" hidden="1" customHeight="1">
      <c r="A1424" s="1153">
        <f t="shared" si="89"/>
        <v>0</v>
      </c>
      <c r="B1424" s="1324" t="s">
        <v>1619</v>
      </c>
      <c r="C1424" s="1324"/>
      <c r="D1424" s="1090"/>
      <c r="E1424" s="1079">
        <f>VLOOKUP($B1424,DG!A:D,DG!$B$2,)</f>
        <v>0</v>
      </c>
      <c r="F1424" s="1108" t="str">
        <f>VLOOKUP($B1424,DG!A:D,DG!$C$2,)</f>
        <v>Co 90 độ PVC 42</v>
      </c>
      <c r="G1424" s="1135" t="str">
        <f>VLOOKUP($B1424,DG!A:D,DG!$D$2,)</f>
        <v>cái</v>
      </c>
      <c r="H1424" s="1851">
        <f>H1415*5</f>
        <v>0</v>
      </c>
      <c r="I1424" s="1259">
        <f t="shared" si="90"/>
        <v>0</v>
      </c>
      <c r="J1424" s="1131"/>
      <c r="K1424" s="1131"/>
      <c r="L1424" s="1110"/>
      <c r="M1424" s="975">
        <v>250</v>
      </c>
    </row>
    <row r="1425" spans="1:13" s="1083" customFormat="1" ht="25.2" hidden="1" customHeight="1">
      <c r="A1425" s="1153">
        <f t="shared" si="89"/>
        <v>0</v>
      </c>
      <c r="B1425" s="1324" t="s">
        <v>1050</v>
      </c>
      <c r="C1425" s="1324"/>
      <c r="D1425" s="1090"/>
      <c r="E1425" s="1079">
        <f>VLOOKUP($B1425,DG!A:D,DG!$B$2,)</f>
        <v>0</v>
      </c>
      <c r="F1425" s="1108" t="str">
        <f>VLOOKUP($B1425,DG!A:D,DG!$C$2,)</f>
        <v>Co chữ T ống PVC 42</v>
      </c>
      <c r="G1425" s="1135" t="str">
        <f>VLOOKUP($B1425,DG!A:D,DG!$D$2,)</f>
        <v>cái</v>
      </c>
      <c r="H1425" s="1851">
        <f>H1415*5</f>
        <v>0</v>
      </c>
      <c r="I1425" s="1259">
        <f t="shared" si="90"/>
        <v>0</v>
      </c>
      <c r="J1425" s="1131"/>
      <c r="K1425" s="1131"/>
      <c r="L1425" s="1110"/>
      <c r="M1425" s="975">
        <v>250</v>
      </c>
    </row>
    <row r="1426" spans="1:13" s="1083" customFormat="1" ht="25.2" hidden="1" customHeight="1">
      <c r="A1426" s="1153">
        <f t="shared" si="89"/>
        <v>0</v>
      </c>
      <c r="B1426" s="1324" t="s">
        <v>1917</v>
      </c>
      <c r="C1426" s="1324"/>
      <c r="D1426" s="1090"/>
      <c r="E1426" s="1079">
        <f>VLOOKUP($B1426,DG!A:D,DG!$B$2,)</f>
        <v>0</v>
      </c>
      <c r="F1426" s="1108" t="str">
        <f>VLOOKUP($B1426,DG!A:D,DG!$C$2,)</f>
        <v>Nối thẳng ống PVC 42</v>
      </c>
      <c r="G1426" s="1135" t="str">
        <f>VLOOKUP($B1426,DG!A:D,DG!$D$2,)</f>
        <v>cái</v>
      </c>
      <c r="H1426" s="1851">
        <f>H1415</f>
        <v>0</v>
      </c>
      <c r="I1426" s="1259">
        <f t="shared" si="90"/>
        <v>0</v>
      </c>
      <c r="J1426" s="1131"/>
      <c r="K1426" s="1131"/>
      <c r="L1426" s="1110"/>
      <c r="M1426" s="975">
        <v>250</v>
      </c>
    </row>
    <row r="1427" spans="1:13" s="1083" customFormat="1" ht="25.2" hidden="1" customHeight="1">
      <c r="A1427" s="1153">
        <f t="shared" si="89"/>
        <v>0</v>
      </c>
      <c r="B1427" s="1324" t="s">
        <v>697</v>
      </c>
      <c r="C1427" s="1324"/>
      <c r="D1427" s="1090"/>
      <c r="E1427" s="1079">
        <f>VLOOKUP($B1427,DG!A:D,DG!$B$2,)</f>
        <v>0</v>
      </c>
      <c r="F1427" s="1108" t="str">
        <f>VLOOKUP($B1427,DG!A:D,DG!$C$2,)&amp;" ñaáu TU"</f>
        <v>Cáp 24KV C/XLPE/PVC 25mm2 ñaáu TU</v>
      </c>
      <c r="G1427" s="1135" t="str">
        <f>VLOOKUP($B1427,DG!A:D,DG!$D$2,)</f>
        <v>mét</v>
      </c>
      <c r="H1427" s="1851">
        <f>H1415*2.5*3*0</f>
        <v>0</v>
      </c>
      <c r="I1427" s="1259">
        <f t="shared" si="90"/>
        <v>0</v>
      </c>
      <c r="J1427" s="1131"/>
      <c r="K1427" s="1131"/>
      <c r="L1427" s="1110"/>
      <c r="M1427" s="975">
        <v>250</v>
      </c>
    </row>
    <row r="1428" spans="1:13" s="1083" customFormat="1" ht="25.2" hidden="1" customHeight="1">
      <c r="A1428" s="1153">
        <f t="shared" si="89"/>
        <v>0</v>
      </c>
      <c r="B1428" s="1324" t="s">
        <v>726</v>
      </c>
      <c r="C1428" s="1324"/>
      <c r="D1428" s="1090"/>
      <c r="E1428" s="1079">
        <f>VLOOKUP($B1428,DG!A:D,DG!$B$2,)</f>
        <v>0</v>
      </c>
      <c r="F1428" s="1108" t="str">
        <f>VLOOKUP($B1428,DG!A:D,DG!$C$2,)</f>
        <v>Keo dán ống PVC (500gr)</v>
      </c>
      <c r="G1428" s="1135" t="str">
        <f>VLOOKUP($B1428,DG!A:D,DG!$D$2,)</f>
        <v>lon</v>
      </c>
      <c r="H1428" s="1851">
        <f>H1415</f>
        <v>0</v>
      </c>
      <c r="I1428" s="1259">
        <f t="shared" si="90"/>
        <v>0</v>
      </c>
      <c r="J1428" s="1131"/>
      <c r="K1428" s="1131"/>
      <c r="L1428" s="1110"/>
      <c r="M1428" s="975">
        <v>250</v>
      </c>
    </row>
    <row r="1429" spans="1:13" s="1083" customFormat="1" ht="25.2" hidden="1" customHeight="1">
      <c r="A1429" s="1153">
        <f t="shared" si="89"/>
        <v>0</v>
      </c>
      <c r="B1429" s="1154" t="s">
        <v>672</v>
      </c>
      <c r="C1429" s="1154"/>
      <c r="D1429" s="1090"/>
      <c r="E1429" s="1079">
        <f>VLOOKUP($B1429,DG!A:D,DG!$B$2,)</f>
        <v>0</v>
      </c>
      <c r="F1429" s="1108" t="str">
        <f>VLOOKUP($B1429,DG!A:D,DG!$C$2,)</f>
        <v>Băng keo cách điện</v>
      </c>
      <c r="G1429" s="1135" t="str">
        <f>VLOOKUP($B1429,DG!A:D,DG!$D$2,)</f>
        <v>cuộn</v>
      </c>
      <c r="H1429" s="1851">
        <f>H1415</f>
        <v>0</v>
      </c>
      <c r="I1429" s="1259">
        <f t="shared" si="90"/>
        <v>0</v>
      </c>
      <c r="J1429" s="1081"/>
      <c r="K1429" s="1081"/>
      <c r="L1429" s="1110"/>
      <c r="M1429" s="975">
        <v>250</v>
      </c>
    </row>
    <row r="1430" spans="1:13" s="1083" customFormat="1" ht="25.2" hidden="1" customHeight="1">
      <c r="A1430" s="1153">
        <f t="shared" si="89"/>
        <v>0</v>
      </c>
      <c r="B1430" s="1324" t="s">
        <v>2126</v>
      </c>
      <c r="C1430" s="1324"/>
      <c r="D1430" s="1090"/>
      <c r="E1430" s="1079">
        <f>VLOOKUP($B1430,DG!A:D,DG!$B$2,)</f>
        <v>0</v>
      </c>
      <c r="F1430" s="1108" t="str">
        <f>VLOOKUP($B1430,DG!A:D,DG!$C$2,)</f>
        <v>Khâu ven răng trong D42</v>
      </c>
      <c r="G1430" s="1135" t="str">
        <f>VLOOKUP($B1430,DG!A:D,DG!$D$2,)</f>
        <v>cái</v>
      </c>
      <c r="H1430" s="1851">
        <f>H1415</f>
        <v>0</v>
      </c>
      <c r="I1430" s="1259">
        <f t="shared" si="90"/>
        <v>0</v>
      </c>
      <c r="J1430" s="1081"/>
      <c r="K1430" s="1081"/>
      <c r="L1430" s="1110"/>
      <c r="M1430" s="975">
        <v>250</v>
      </c>
    </row>
    <row r="1431" spans="1:13" s="1083" customFormat="1" ht="25.2" hidden="1" customHeight="1">
      <c r="A1431" s="1153">
        <f t="shared" si="89"/>
        <v>0</v>
      </c>
      <c r="B1431" s="1154" t="s">
        <v>959</v>
      </c>
      <c r="C1431" s="1154"/>
      <c r="D1431" s="1090"/>
      <c r="E1431" s="1079">
        <f>VLOOKUP($B1431,DG!A:D,DG!$B$2,)</f>
        <v>0</v>
      </c>
      <c r="F1431" s="1108" t="str">
        <f>VLOOKUP($B1431,DG!A:D,DG!$C$2,)</f>
        <v>Khâu ven răng ngoài D42</v>
      </c>
      <c r="G1431" s="1135" t="str">
        <f>VLOOKUP($B1431,DG!A:D,DG!$D$2,)</f>
        <v>cái</v>
      </c>
      <c r="H1431" s="1851">
        <f>H1415</f>
        <v>0</v>
      </c>
      <c r="I1431" s="1259">
        <f t="shared" si="90"/>
        <v>0</v>
      </c>
      <c r="J1431" s="1081"/>
      <c r="K1431" s="1081"/>
      <c r="L1431" s="1110"/>
      <c r="M1431" s="975">
        <v>250</v>
      </c>
    </row>
    <row r="1432" spans="1:13" s="1083" customFormat="1" ht="25.2" hidden="1" customHeight="1">
      <c r="A1432" s="1153">
        <f t="shared" si="89"/>
        <v>0</v>
      </c>
      <c r="B1432" s="1154" t="s">
        <v>319</v>
      </c>
      <c r="C1432" s="1154"/>
      <c r="D1432" s="1090"/>
      <c r="E1432" s="1079" t="str">
        <f>VLOOKUP($B1432,DG!A:D,DG!$B$2,)</f>
        <v>06.3231</v>
      </c>
      <c r="F1432" s="1108" t="str">
        <f>VLOOKUP($B1432,DG!A:D,DG!$C$2,)</f>
        <v>Cổ dê CDĐKĐT( bắt thùng điện kế)</v>
      </c>
      <c r="G1432" s="1135" t="str">
        <f>VLOOKUP($B1432,DG!A:D,DG!$D$2,)</f>
        <v>bộ</v>
      </c>
      <c r="H1432" s="1889">
        <f>H1415*2*0</f>
        <v>0</v>
      </c>
      <c r="I1432" s="1259">
        <f t="shared" si="90"/>
        <v>0</v>
      </c>
      <c r="J1432" s="1081"/>
      <c r="K1432" s="1081"/>
      <c r="L1432" s="1082"/>
      <c r="M1432" s="975">
        <v>250</v>
      </c>
    </row>
    <row r="1433" spans="1:13" s="1083" customFormat="1" ht="25.2" hidden="1" customHeight="1">
      <c r="A1433" s="1153">
        <f t="shared" si="89"/>
        <v>0</v>
      </c>
      <c r="B1433" s="1154" t="s">
        <v>1919</v>
      </c>
      <c r="C1433" s="1154"/>
      <c r="D1433" s="1090"/>
      <c r="E1433" s="1079" t="str">
        <f>VLOOKUP($B1433,DG!A:D,DG!$B$2,)</f>
        <v>05.1101</v>
      </c>
      <c r="F1433" s="1108" t="str">
        <f>VLOOKUP($B1433,DG!A:D,DG!$C$2,)</f>
        <v>Thùng điện kế 450x300x200mm đo đếm trung thế</v>
      </c>
      <c r="G1433" s="1135" t="str">
        <f>VLOOKUP($B1433,DG!A:D,DG!$D$2,)</f>
        <v>cái</v>
      </c>
      <c r="H1433" s="1851">
        <f>H1415*0</f>
        <v>0</v>
      </c>
      <c r="I1433" s="1259">
        <f t="shared" si="90"/>
        <v>0</v>
      </c>
      <c r="J1433" s="1081"/>
      <c r="K1433" s="1081"/>
      <c r="L1433" s="1110"/>
      <c r="M1433" s="975">
        <v>250</v>
      </c>
    </row>
    <row r="1434" spans="1:13" s="1083" customFormat="1" ht="25.2" hidden="1" customHeight="1">
      <c r="A1434" s="1153">
        <f t="shared" ref="A1434:A1497" si="94">IF(I1434&gt;0,1,0)</f>
        <v>0</v>
      </c>
      <c r="B1434" s="1154" t="s">
        <v>6</v>
      </c>
      <c r="C1434" s="1154"/>
      <c r="D1434" s="1090"/>
      <c r="E1434" s="1079">
        <f>VLOOKUP($B1434,DG!A:D,DG!$B$2,)</f>
        <v>0</v>
      </c>
      <c r="F1434" s="1108" t="str">
        <f>VLOOKUP($B1434,DG!A:D,DG!$C$2,)</f>
        <v>Keo silicon bít miệng ống</v>
      </c>
      <c r="G1434" s="1135" t="str">
        <f>VLOOKUP($B1434,DG!A:D,DG!$D$2,)</f>
        <v>ống</v>
      </c>
      <c r="H1434" s="1851">
        <f>H1415</f>
        <v>0</v>
      </c>
      <c r="I1434" s="1259">
        <f t="shared" si="90"/>
        <v>0</v>
      </c>
      <c r="J1434" s="1081"/>
      <c r="K1434" s="1081"/>
      <c r="L1434" s="1110"/>
      <c r="M1434" s="975">
        <v>250</v>
      </c>
    </row>
    <row r="1435" spans="1:13" s="1083" customFormat="1" ht="25.2" hidden="1" customHeight="1">
      <c r="A1435" s="1153">
        <f t="shared" si="94"/>
        <v>0</v>
      </c>
      <c r="B1435" s="1154" t="s">
        <v>2145</v>
      </c>
      <c r="C1435" s="1154"/>
      <c r="D1435" s="1090"/>
      <c r="E1435" s="1079">
        <f>VLOOKUP($B1435,DG!A:D,DG!$B$2,)</f>
        <v>0</v>
      </c>
      <c r="F1435" s="1108" t="str">
        <f>VLOOKUP($B1435,DG!A:D,DG!$C$2,)</f>
        <v>Dây đồng trần mềm dẹt</v>
      </c>
      <c r="G1435" s="1135" t="str">
        <f>VLOOKUP($B1435,DG!A:D,DG!$D$2,)</f>
        <v>mét</v>
      </c>
      <c r="H1435" s="1851">
        <f>H1415*4</f>
        <v>0</v>
      </c>
      <c r="I1435" s="1259">
        <f t="shared" si="90"/>
        <v>0</v>
      </c>
      <c r="J1435" s="1081"/>
      <c r="K1435" s="1081"/>
      <c r="L1435" s="1110"/>
      <c r="M1435" s="975">
        <v>250</v>
      </c>
    </row>
    <row r="1436" spans="1:13" s="1083" customFormat="1" ht="25.2" hidden="1" customHeight="1">
      <c r="A1436" s="1153">
        <f t="shared" si="94"/>
        <v>0</v>
      </c>
      <c r="B1436" s="1154" t="s">
        <v>1219</v>
      </c>
      <c r="C1436" s="1154"/>
      <c r="D1436" s="1090"/>
      <c r="E1436" s="1079" t="str">
        <f>VLOOKUP($B1436,DG!A:D,DG!$B$2,)</f>
        <v>06.3191</v>
      </c>
      <c r="F1436" s="1108" t="str">
        <f>VLOOKUP($B1436,DG!A:D,DG!$C$2,)</f>
        <v>Bảng tên trạm, bảng báo nguy hiểm + đinh vít</v>
      </c>
      <c r="G1436" s="1135" t="str">
        <f>VLOOKUP($B1436,DG!A:D,DG!$D$2,)</f>
        <v>bộ</v>
      </c>
      <c r="H1436" s="1851">
        <f>H1415</f>
        <v>0</v>
      </c>
      <c r="I1436" s="1259">
        <f t="shared" si="90"/>
        <v>0</v>
      </c>
      <c r="J1436" s="1081"/>
      <c r="K1436" s="1081"/>
      <c r="L1436" s="1110"/>
      <c r="M1436" s="975">
        <v>250</v>
      </c>
    </row>
    <row r="1437" spans="1:13" s="1083" customFormat="1" ht="25.2" hidden="1" customHeight="1">
      <c r="A1437" s="1153">
        <f t="shared" si="94"/>
        <v>0</v>
      </c>
      <c r="B1437" s="1154" t="s">
        <v>1353</v>
      </c>
      <c r="C1437" s="1154"/>
      <c r="D1437" s="1090"/>
      <c r="E1437" s="1079">
        <f>VLOOKUP($B1437,DG!A:D,DG!$B$2,)</f>
        <v>0</v>
      </c>
      <c r="F1437" s="1108" t="str">
        <f>VLOOKUP($B1437,DG!A:D,DG!$C$2,)&amp;" baét thuøng ÑKÑT"</f>
        <v>Boulon 12x60+ 2 long đền vuông D14-50x50x3/Zn baét thuøng ÑKÑT</v>
      </c>
      <c r="G1437" s="1135" t="str">
        <f>VLOOKUP($B1437,DG!A:D,DG!$D$2,)</f>
        <v>bộ</v>
      </c>
      <c r="H1437" s="1851">
        <f>4*H1415*0</f>
        <v>0</v>
      </c>
      <c r="I1437" s="1259">
        <f t="shared" si="90"/>
        <v>0</v>
      </c>
      <c r="J1437" s="1081"/>
      <c r="K1437" s="1081"/>
      <c r="L1437" s="1110"/>
      <c r="M1437" s="975">
        <v>250</v>
      </c>
    </row>
    <row r="1438" spans="1:13" s="1083" customFormat="1" ht="25.2" hidden="1" customHeight="1">
      <c r="A1438" s="1153">
        <f t="shared" si="94"/>
        <v>0</v>
      </c>
      <c r="B1438" s="1154"/>
      <c r="C1438" s="1154"/>
      <c r="D1438" s="1115"/>
      <c r="E1438" s="1116"/>
      <c r="F1438" s="1105" t="s">
        <v>3748</v>
      </c>
      <c r="G1438" s="1105"/>
      <c r="H1438" s="1875"/>
      <c r="I1438" s="1259">
        <f t="shared" si="90"/>
        <v>0</v>
      </c>
      <c r="J1438" s="1105"/>
      <c r="K1438" s="1105"/>
      <c r="L1438" s="1136"/>
      <c r="M1438" s="975">
        <v>250</v>
      </c>
    </row>
    <row r="1439" spans="1:13" s="1083" customFormat="1" ht="25.2" hidden="1" customHeight="1">
      <c r="A1439" s="1153">
        <f t="shared" si="94"/>
        <v>0</v>
      </c>
      <c r="B1439" s="1154" t="s">
        <v>966</v>
      </c>
      <c r="C1439" s="1154"/>
      <c r="D1439" s="1090"/>
      <c r="E1439" s="1079" t="str">
        <f>VLOOKUP($B1439,DG!A:D,DG!$B$2,)</f>
        <v>02.5114</v>
      </c>
      <c r="F1439" s="1108" t="s">
        <v>3749</v>
      </c>
      <c r="G1439" s="1135" t="str">
        <f>VLOOKUP($B1439,DG!A:D,DG!$D$2,)</f>
        <v>cái</v>
      </c>
      <c r="H1439" s="1851"/>
      <c r="I1439" s="1259">
        <f t="shared" si="90"/>
        <v>0</v>
      </c>
      <c r="J1439" s="1081"/>
      <c r="K1439" s="1081"/>
      <c r="L1439" s="1110" t="s">
        <v>3750</v>
      </c>
      <c r="M1439" s="975">
        <v>250</v>
      </c>
    </row>
    <row r="1440" spans="1:13" s="1083" customFormat="1" ht="25.2" hidden="1" customHeight="1">
      <c r="A1440" s="1153">
        <f t="shared" si="94"/>
        <v>0</v>
      </c>
      <c r="B1440" s="1154" t="s">
        <v>1910</v>
      </c>
      <c r="C1440" s="1154"/>
      <c r="D1440" s="1090"/>
      <c r="E1440" s="1079" t="str">
        <f>VLOOKUP($B1440,DG!A:D,DG!$B$2,)</f>
        <v>05.6011</v>
      </c>
      <c r="F1440" s="1108" t="s">
        <v>2467</v>
      </c>
      <c r="G1440" s="1135" t="str">
        <f>VLOOKUP($B1440,DG!A:D,DG!$D$2,)</f>
        <v>bộ</v>
      </c>
      <c r="H1440" s="1851"/>
      <c r="I1440" s="1259">
        <f t="shared" si="90"/>
        <v>0</v>
      </c>
      <c r="J1440" s="1081"/>
      <c r="K1440" s="1081"/>
      <c r="L1440" s="1082"/>
      <c r="M1440" s="975">
        <v>250</v>
      </c>
    </row>
    <row r="1441" spans="1:13" s="1083" customFormat="1" ht="25.2" hidden="1" customHeight="1">
      <c r="A1441" s="1153">
        <f t="shared" si="94"/>
        <v>0</v>
      </c>
      <c r="B1441" s="1154"/>
      <c r="C1441" s="1154"/>
      <c r="D1441" s="1137"/>
      <c r="E1441" s="1138"/>
      <c r="F1441" s="1105"/>
      <c r="G1441" s="1139"/>
      <c r="H1441" s="1878"/>
      <c r="I1441" s="1259">
        <f t="shared" si="90"/>
        <v>0</v>
      </c>
      <c r="J1441" s="1140"/>
      <c r="K1441" s="1141"/>
      <c r="L1441" s="1107"/>
      <c r="M1441" s="975"/>
    </row>
    <row r="1442" spans="1:13" s="1083" customFormat="1" ht="25.2" hidden="1" customHeight="1">
      <c r="A1442" s="1153">
        <f t="shared" si="94"/>
        <v>0</v>
      </c>
      <c r="B1442" s="1154"/>
      <c r="C1442" s="1154"/>
      <c r="D1442" s="1142"/>
      <c r="F1442" s="1143"/>
      <c r="H1442" s="1880"/>
      <c r="I1442" s="1259">
        <f t="shared" si="90"/>
        <v>0</v>
      </c>
      <c r="M1442" s="975"/>
    </row>
    <row r="1443" spans="1:13" s="1083" customFormat="1" ht="25.2" hidden="1" customHeight="1">
      <c r="A1443" s="1153">
        <f t="shared" si="94"/>
        <v>0</v>
      </c>
      <c r="B1443" s="1350"/>
      <c r="C1443" s="1350"/>
      <c r="D1443" s="981" t="e">
        <f>"BAÛNG TOÅNG HÔÏP VAÄT LIEÄU, NHAÂN COÂNG, MAÙY THI COÂNG : "&amp;#REF!&amp;" TRAÏM 3P_320KVA ÑO ÑEÁM TRUNG THEÁ"</f>
        <v>#REF!</v>
      </c>
      <c r="E1443" s="981"/>
      <c r="F1443" s="981"/>
      <c r="G1443" s="981"/>
      <c r="H1443" s="1872"/>
      <c r="I1443" s="1259">
        <f t="shared" si="90"/>
        <v>0</v>
      </c>
      <c r="J1443" s="1144"/>
      <c r="K1443" s="1144"/>
      <c r="L1443" s="1145"/>
      <c r="M1443" s="975"/>
    </row>
    <row r="1444" spans="1:13" s="1083" customFormat="1" ht="25.2" hidden="1" customHeight="1">
      <c r="A1444" s="1153">
        <f t="shared" si="94"/>
        <v>0</v>
      </c>
      <c r="B1444" s="1324"/>
      <c r="C1444" s="1324"/>
      <c r="D1444" s="1103"/>
      <c r="E1444" s="1104"/>
      <c r="F1444" s="1105" t="s">
        <v>3690</v>
      </c>
      <c r="G1444" s="1106"/>
      <c r="H1444" s="1908"/>
      <c r="I1444" s="1259">
        <f t="shared" si="90"/>
        <v>0</v>
      </c>
      <c r="J1444" s="1106"/>
      <c r="K1444" s="1106"/>
      <c r="L1444" s="1107"/>
      <c r="M1444" s="975">
        <v>320</v>
      </c>
    </row>
    <row r="1445" spans="1:13" s="1083" customFormat="1" ht="25.2" hidden="1" customHeight="1">
      <c r="A1445" s="1153">
        <f t="shared" si="94"/>
        <v>0</v>
      </c>
      <c r="B1445" s="1325" t="s">
        <v>1845</v>
      </c>
      <c r="C1445" s="1325"/>
      <c r="D1445" s="1090">
        <f>IF(H1445&gt;0,1,0)</f>
        <v>0</v>
      </c>
      <c r="E1445" s="1079" t="str">
        <f>VLOOKUP($B1445,DG!A:D,DG!$B$2,)</f>
        <v>01.1145</v>
      </c>
      <c r="F1445" s="1080" t="str">
        <f>VLOOKUP($B1445,DG!A:D,DG!$C$2,)&amp;"-MBA siêu giảm tổn thất"</f>
        <v>Máy biến áp 22/0,4kV- 320kVA-MBA siêu giảm tổn thất</v>
      </c>
      <c r="G1445" s="1079" t="str">
        <f>VLOOKUP($B1445,DG!A:D,DG!$D$2,)</f>
        <v>máy</v>
      </c>
      <c r="H1445" s="1882">
        <f>L12</f>
        <v>0</v>
      </c>
      <c r="I1445" s="1259">
        <f t="shared" si="90"/>
        <v>0</v>
      </c>
      <c r="J1445" s="1108"/>
      <c r="K1445" s="1108"/>
      <c r="L1445" s="1109"/>
      <c r="M1445" s="975">
        <v>320</v>
      </c>
    </row>
    <row r="1446" spans="1:13" s="1083" customFormat="1" ht="25.2" hidden="1" customHeight="1">
      <c r="A1446" s="1153">
        <f t="shared" si="94"/>
        <v>0</v>
      </c>
      <c r="B1446" s="1325" t="s">
        <v>1655</v>
      </c>
      <c r="C1446" s="1325"/>
      <c r="D1446" s="1090">
        <f>IF(H1446&gt;0,D1445+1,D1445)</f>
        <v>0</v>
      </c>
      <c r="E1446" s="1079" t="str">
        <f>VLOOKUP($B1446,DG!A:D,DG!$B$2,)</f>
        <v>02.3155</v>
      </c>
      <c r="F1446" s="1080" t="str">
        <f>VLOOKUP($B1446,DG!A:D,DG!$C$2,)</f>
        <v>FCO 27kV - 100A</v>
      </c>
      <c r="G1446" s="1079" t="str">
        <f>VLOOKUP($B1446,DG!A:D,DG!$D$2,)</f>
        <v>cái</v>
      </c>
      <c r="H1446" s="1851">
        <f>H1445*3</f>
        <v>0</v>
      </c>
      <c r="I1446" s="1259">
        <f t="shared" si="90"/>
        <v>0</v>
      </c>
      <c r="J1446" s="1081"/>
      <c r="K1446" s="1081"/>
      <c r="L1446" s="1110"/>
      <c r="M1446" s="975">
        <v>320</v>
      </c>
    </row>
    <row r="1447" spans="1:13" s="1083" customFormat="1" ht="25.2" hidden="1" customHeight="1">
      <c r="A1447" s="1153">
        <f t="shared" si="94"/>
        <v>0</v>
      </c>
      <c r="B1447" s="1325" t="s">
        <v>4526</v>
      </c>
      <c r="C1447" s="1325"/>
      <c r="D1447" s="1090">
        <f t="shared" ref="D1447:D1453" si="95">IF(H1447&gt;0,D1446+1,D1446)</f>
        <v>0</v>
      </c>
      <c r="E1447" s="1079">
        <f>VLOOKUP($B1447,DG!A:D,DG!$B$2,)</f>
        <v>0</v>
      </c>
      <c r="F1447" s="1080" t="str">
        <f>VLOOKUP($B1447,DG!A:D,DG!$C$2,)</f>
        <v>Dây chảy 10K</v>
      </c>
      <c r="G1447" s="1079" t="str">
        <f>VLOOKUP($B1447,DG!A:D,DG!$D$2,)</f>
        <v>Sợi</v>
      </c>
      <c r="H1447" s="1851">
        <f>H1446</f>
        <v>0</v>
      </c>
      <c r="I1447" s="1259">
        <f t="shared" si="90"/>
        <v>0</v>
      </c>
      <c r="J1447" s="1081"/>
      <c r="K1447" s="1081"/>
      <c r="L1447" s="1110"/>
      <c r="M1447" s="975">
        <v>320</v>
      </c>
    </row>
    <row r="1448" spans="1:13" s="1083" customFormat="1" ht="25.2" hidden="1" customHeight="1">
      <c r="A1448" s="1153">
        <f t="shared" si="94"/>
        <v>0</v>
      </c>
      <c r="B1448" s="1324" t="s">
        <v>1376</v>
      </c>
      <c r="C1448" s="1324"/>
      <c r="D1448" s="1090">
        <f t="shared" si="95"/>
        <v>0</v>
      </c>
      <c r="E1448" s="1079" t="str">
        <f>VLOOKUP($B1448,DG!A:D,DG!$B$2,)</f>
        <v>02.5114</v>
      </c>
      <c r="F1448" s="1080" t="str">
        <f>VLOOKUP($B1448,DG!A:D,DG!$C$2,)</f>
        <v>Chống sét van LA-18KV-10KA</v>
      </c>
      <c r="G1448" s="1079" t="str">
        <f>VLOOKUP($B1448,DG!A:D,DG!$D$2,)</f>
        <v>cái</v>
      </c>
      <c r="H1448" s="1851">
        <f>H1446</f>
        <v>0</v>
      </c>
      <c r="I1448" s="1259">
        <f t="shared" si="90"/>
        <v>0</v>
      </c>
      <c r="J1448" s="1081"/>
      <c r="K1448" s="1081"/>
      <c r="L1448" s="1110"/>
      <c r="M1448" s="975">
        <v>320</v>
      </c>
    </row>
    <row r="1449" spans="1:13" s="1083" customFormat="1" ht="25.2" hidden="1" customHeight="1">
      <c r="A1449" s="1153">
        <f t="shared" si="94"/>
        <v>0</v>
      </c>
      <c r="B1449" s="1325" t="s">
        <v>1462</v>
      </c>
      <c r="C1449" s="1325"/>
      <c r="D1449" s="1090">
        <f t="shared" si="95"/>
        <v>0</v>
      </c>
      <c r="E1449" s="1079" t="str">
        <f>VLOOKUP($B1449,DG!A:D,DG!$B$2,)</f>
        <v>02.8403</v>
      </c>
      <c r="F1449" s="1080" t="str">
        <f>VLOOKUP($B1449,DG!A:D,DG!$C$2,)</f>
        <v>MCCB 3 cực 400V -500A - 50KA</v>
      </c>
      <c r="G1449" s="1079" t="str">
        <f>VLOOKUP($B1449,DG!A:D,DG!$D$2,)</f>
        <v>cái</v>
      </c>
      <c r="H1449" s="1851">
        <f>H1445</f>
        <v>0</v>
      </c>
      <c r="I1449" s="1259">
        <f t="shared" si="90"/>
        <v>0</v>
      </c>
      <c r="J1449" s="1081"/>
      <c r="K1449" s="1081"/>
      <c r="L1449" s="1110"/>
      <c r="M1449" s="975">
        <v>320</v>
      </c>
    </row>
    <row r="1450" spans="1:13" s="1083" customFormat="1" ht="25.2" hidden="1" customHeight="1">
      <c r="A1450" s="1153">
        <f t="shared" si="94"/>
        <v>0</v>
      </c>
      <c r="B1450" s="1325" t="s">
        <v>1461</v>
      </c>
      <c r="C1450" s="1325"/>
      <c r="D1450" s="1090">
        <f t="shared" si="95"/>
        <v>1</v>
      </c>
      <c r="E1450" s="1079" t="str">
        <f>VLOOKUP($B1450,DG!A:D,DG!$B$2,)</f>
        <v>02.8534</v>
      </c>
      <c r="F1450" s="1080" t="str">
        <f>VLOOKUP($B1450,DG!A:D,DG!$C$2,)</f>
        <v>Tủ tụ bù hạ thế 135kVAr</v>
      </c>
      <c r="G1450" s="1079" t="str">
        <f>VLOOKUP($B1450,DG!A:D,DG!$D$2,)</f>
        <v>tủ</v>
      </c>
      <c r="H1450" s="1851">
        <v>1</v>
      </c>
      <c r="I1450" s="1259">
        <f t="shared" si="90"/>
        <v>0</v>
      </c>
      <c r="J1450" s="1081"/>
      <c r="K1450" s="1081"/>
      <c r="L1450" s="1110"/>
      <c r="M1450" s="975">
        <v>320</v>
      </c>
    </row>
    <row r="1451" spans="1:13" s="1083" customFormat="1" ht="25.2" hidden="1" customHeight="1">
      <c r="A1451" s="1153">
        <f t="shared" si="94"/>
        <v>0</v>
      </c>
      <c r="B1451" s="1154" t="s">
        <v>2281</v>
      </c>
      <c r="C1451" s="1154"/>
      <c r="D1451" s="1090">
        <f t="shared" si="95"/>
        <v>1</v>
      </c>
      <c r="E1451" s="1079">
        <f>VLOOKUP($B1451,DG!A:D,DG!$B$2,)</f>
        <v>0</v>
      </c>
      <c r="F1451" s="1080" t="str">
        <f>VLOOKUP($B1451,DG!A:D,DG!$C$2,)</f>
        <v>Biến dòng 600V - 500/5A</v>
      </c>
      <c r="G1451" s="1079" t="str">
        <f>VLOOKUP($B1451,DG!A:D,DG!$D$2,)</f>
        <v>cái</v>
      </c>
      <c r="H1451" s="1883">
        <f>H1445*3</f>
        <v>0</v>
      </c>
      <c r="I1451" s="1259">
        <f t="shared" si="90"/>
        <v>0</v>
      </c>
      <c r="J1451" s="1081"/>
      <c r="K1451" s="1081"/>
      <c r="L1451" s="1111" t="s">
        <v>2609</v>
      </c>
      <c r="M1451" s="975">
        <v>320</v>
      </c>
    </row>
    <row r="1452" spans="1:13" s="1083" customFormat="1" ht="25.2" hidden="1" customHeight="1">
      <c r="A1452" s="1153">
        <f t="shared" si="94"/>
        <v>0</v>
      </c>
      <c r="B1452" s="1325" t="s">
        <v>2193</v>
      </c>
      <c r="C1452" s="1325"/>
      <c r="D1452" s="1090">
        <f t="shared" si="95"/>
        <v>1</v>
      </c>
      <c r="E1452" s="1079" t="str">
        <f>VLOOKUP($B1452,DG!A:D,DG!$B$2,)</f>
        <v>02.1114</v>
      </c>
      <c r="F1452" s="1080" t="str">
        <f>VLOOKUP($B1452,DG!A:D,DG!$C$2,)</f>
        <v>Biến điện áp 12000/120(60)V</v>
      </c>
      <c r="G1452" s="1079" t="str">
        <f>VLOOKUP($B1452,DG!A:D,DG!$D$2,)</f>
        <v>cái</v>
      </c>
      <c r="H1452" s="1883"/>
      <c r="I1452" s="1259">
        <f t="shared" si="90"/>
        <v>0</v>
      </c>
      <c r="J1452" s="1081"/>
      <c r="K1452" s="1081"/>
      <c r="L1452" s="1111" t="s">
        <v>2609</v>
      </c>
      <c r="M1452" s="975">
        <v>320</v>
      </c>
    </row>
    <row r="1453" spans="1:13" s="1083" customFormat="1" ht="25.2" hidden="1" customHeight="1">
      <c r="A1453" s="1153">
        <f t="shared" si="94"/>
        <v>0</v>
      </c>
      <c r="B1453" s="1352" t="s">
        <v>1841</v>
      </c>
      <c r="C1453" s="1352"/>
      <c r="D1453" s="1090">
        <f t="shared" si="95"/>
        <v>1</v>
      </c>
      <c r="E1453" s="1079">
        <f>VLOOKUP($B1453,DG!A:D,DG!$B$2,)</f>
        <v>0</v>
      </c>
      <c r="F1453" s="1080" t="str">
        <f>VLOOKUP($B1453,DG!A:D,DG!$C$2,)</f>
        <v>Điện kế 3 pha điện tử 600V-5A</v>
      </c>
      <c r="G1453" s="1079" t="str">
        <f>VLOOKUP($B1453,DG!A:D,DG!$D$2,)</f>
        <v>cái</v>
      </c>
      <c r="H1453" s="1883">
        <f>H1445</f>
        <v>0</v>
      </c>
      <c r="I1453" s="1259">
        <f t="shared" si="90"/>
        <v>0</v>
      </c>
      <c r="J1453" s="1081"/>
      <c r="K1453" s="1081"/>
      <c r="L1453" s="1112" t="s">
        <v>2609</v>
      </c>
      <c r="M1453" s="975">
        <v>320</v>
      </c>
    </row>
    <row r="1454" spans="1:13" s="1083" customFormat="1" ht="25.2" hidden="1" customHeight="1">
      <c r="A1454" s="1153">
        <f t="shared" si="94"/>
        <v>0</v>
      </c>
      <c r="B1454" s="1324"/>
      <c r="C1454" s="1324"/>
      <c r="D1454" s="1113"/>
      <c r="E1454" s="1114"/>
      <c r="F1454" s="1076"/>
      <c r="G1454" s="1113"/>
      <c r="H1454" s="1861"/>
      <c r="I1454" s="1890">
        <f>IF(M1454=$M$23,1,0)</f>
        <v>0</v>
      </c>
      <c r="J1454" s="1076"/>
      <c r="K1454" s="1113"/>
      <c r="L1454" s="1107"/>
      <c r="M1454" s="975">
        <v>320</v>
      </c>
    </row>
    <row r="1455" spans="1:13" s="1083" customFormat="1" ht="25.2" hidden="1" customHeight="1">
      <c r="A1455" s="1153">
        <f t="shared" si="94"/>
        <v>0</v>
      </c>
      <c r="B1455" s="1324"/>
      <c r="C1455" s="1324"/>
      <c r="D1455" s="1115"/>
      <c r="E1455" s="1116"/>
      <c r="F1455" s="1105" t="s">
        <v>3691</v>
      </c>
      <c r="G1455" s="1105"/>
      <c r="H1455" s="1875"/>
      <c r="I1455" s="1890">
        <f>IF(M1455=$M$23,1,0)</f>
        <v>0</v>
      </c>
      <c r="J1455" s="1105"/>
      <c r="K1455" s="1105"/>
      <c r="L1455" s="1107"/>
      <c r="M1455" s="975">
        <v>320</v>
      </c>
    </row>
    <row r="1456" spans="1:13" s="1083" customFormat="1" ht="25.2" hidden="1" customHeight="1">
      <c r="A1456" s="1153">
        <f t="shared" si="94"/>
        <v>0</v>
      </c>
      <c r="B1456" s="1353"/>
      <c r="C1456" s="1353"/>
      <c r="D1456" s="1117">
        <f>IF(H1456&gt;0,1,0)</f>
        <v>0</v>
      </c>
      <c r="E1456" s="1118"/>
      <c r="F1456" s="1119" t="s">
        <v>3751</v>
      </c>
      <c r="G1456" s="1120" t="s">
        <v>2283</v>
      </c>
      <c r="H1456" s="1884">
        <f>H1445*2*0</f>
        <v>0</v>
      </c>
      <c r="I1456" s="1259">
        <f t="shared" ref="I1456:I1517" si="96">IF(M1456=$M$23,H1456+J1456-K1456,0)</f>
        <v>0</v>
      </c>
      <c r="J1456" s="1121"/>
      <c r="K1456" s="1121"/>
      <c r="L1456" s="1110"/>
      <c r="M1456" s="975">
        <v>320</v>
      </c>
    </row>
    <row r="1457" spans="1:13" s="1083" customFormat="1" ht="25.2" hidden="1" customHeight="1">
      <c r="A1457" s="1153">
        <f t="shared" si="94"/>
        <v>0</v>
      </c>
      <c r="B1457" s="1154" t="s">
        <v>115</v>
      </c>
      <c r="C1457" s="1154"/>
      <c r="D1457" s="1122"/>
      <c r="E1457" s="1079"/>
      <c r="F1457" s="1123" t="str">
        <f>VLOOKUP($B1457,DG!A:D,DG!$C$2,)</f>
        <v>Trụ BTLT 12m F350 dự ứng lực</v>
      </c>
      <c r="G1457" s="1079" t="str">
        <f>VLOOKUP($B1457,DG!A:D,DG!$D$2,)</f>
        <v>trụ</v>
      </c>
      <c r="H1457" s="1885">
        <f>H1456</f>
        <v>0</v>
      </c>
      <c r="I1457" s="1259">
        <f t="shared" si="96"/>
        <v>0</v>
      </c>
      <c r="J1457" s="1108"/>
      <c r="K1457" s="1078"/>
      <c r="L1457" s="1110"/>
      <c r="M1457" s="975">
        <v>320</v>
      </c>
    </row>
    <row r="1458" spans="1:13" s="1083" customFormat="1" ht="25.2" hidden="1" customHeight="1">
      <c r="A1458" s="1153">
        <f t="shared" si="94"/>
        <v>0</v>
      </c>
      <c r="B1458" s="1154" t="s">
        <v>1818</v>
      </c>
      <c r="C1458" s="1154"/>
      <c r="D1458" s="1122"/>
      <c r="E1458" s="1079"/>
      <c r="F1458" s="1123" t="str">
        <f>VLOOKUP($B1458,DG!A:D,DG!$C$2,)</f>
        <v>Vật liệu dựng trụ</v>
      </c>
      <c r="G1458" s="1079" t="str">
        <f>VLOOKUP($B1458,DG!A:D,DG!$D$2,)</f>
        <v>trụ</v>
      </c>
      <c r="H1458" s="1885">
        <f>H1457</f>
        <v>0</v>
      </c>
      <c r="I1458" s="1259">
        <f t="shared" si="96"/>
        <v>0</v>
      </c>
      <c r="J1458" s="1078"/>
      <c r="K1458" s="1078"/>
      <c r="L1458" s="1110"/>
      <c r="M1458" s="975">
        <v>320</v>
      </c>
    </row>
    <row r="1459" spans="1:13" s="1083" customFormat="1" ht="25.2" hidden="1" customHeight="1">
      <c r="A1459" s="1153">
        <f t="shared" si="94"/>
        <v>0</v>
      </c>
      <c r="B1459" s="1154" t="s">
        <v>643</v>
      </c>
      <c r="C1459" s="1154"/>
      <c r="D1459" s="1122"/>
      <c r="E1459" s="1079" t="str">
        <f>VLOOKUP($B1459,DG!A:D,DG!$B$2,)</f>
        <v>04.9203</v>
      </c>
      <c r="F1459" s="1123" t="str">
        <f>VLOOKUP($B1459,DG!A:D,DG!$C$2,)</f>
        <v>Dựng trụ BTLT 12m trong TBA bằng thủ công + cơ giới</v>
      </c>
      <c r="G1459" s="1079" t="str">
        <f>VLOOKUP($B1459,DG!A:D,DG!$D$2,)</f>
        <v>trụ</v>
      </c>
      <c r="H1459" s="1885">
        <f>H1457</f>
        <v>0</v>
      </c>
      <c r="I1459" s="1259">
        <f t="shared" si="96"/>
        <v>0</v>
      </c>
      <c r="J1459" s="1108"/>
      <c r="K1459" s="1108"/>
      <c r="L1459" s="1110"/>
      <c r="M1459" s="975">
        <v>320</v>
      </c>
    </row>
    <row r="1460" spans="1:13" s="1083" customFormat="1" ht="25.2" hidden="1" customHeight="1">
      <c r="A1460" s="1153">
        <f t="shared" si="94"/>
        <v>0</v>
      </c>
      <c r="B1460" s="1353"/>
      <c r="C1460" s="1353"/>
      <c r="D1460" s="1117">
        <f>IF(H1460&gt;0,1,0)</f>
        <v>0</v>
      </c>
      <c r="E1460" s="1118"/>
      <c r="F1460" s="1119" t="s">
        <v>3730</v>
      </c>
      <c r="G1460" s="1120" t="s">
        <v>2283</v>
      </c>
      <c r="H1460" s="1884">
        <f>H1445*2*0</f>
        <v>0</v>
      </c>
      <c r="I1460" s="1259">
        <f t="shared" si="96"/>
        <v>0</v>
      </c>
      <c r="J1460" s="1121"/>
      <c r="K1460" s="1121"/>
      <c r="L1460" s="1082"/>
      <c r="M1460" s="975">
        <v>320</v>
      </c>
    </row>
    <row r="1461" spans="1:13" s="1083" customFormat="1" ht="25.2" hidden="1" customHeight="1">
      <c r="A1461" s="1153">
        <f t="shared" si="94"/>
        <v>0</v>
      </c>
      <c r="B1461" s="1154" t="s">
        <v>114</v>
      </c>
      <c r="C1461" s="1154"/>
      <c r="D1461" s="1122"/>
      <c r="E1461" s="1079"/>
      <c r="F1461" s="1123" t="str">
        <f>VLOOKUP($B1461,DG!A:D,DG!$C$2,)</f>
        <v>Trụ BTLT 10,5m F350 dự ứng lực</v>
      </c>
      <c r="G1461" s="1079" t="str">
        <f>VLOOKUP($B1461,DG!A:D,DG!$D$2,)</f>
        <v>trụ</v>
      </c>
      <c r="H1461" s="1885">
        <f>H1460</f>
        <v>0</v>
      </c>
      <c r="I1461" s="1259">
        <f t="shared" si="96"/>
        <v>0</v>
      </c>
      <c r="J1461" s="1108"/>
      <c r="K1461" s="1078"/>
      <c r="L1461" s="1082"/>
      <c r="M1461" s="975">
        <v>320</v>
      </c>
    </row>
    <row r="1462" spans="1:13" s="1083" customFormat="1" ht="25.2" hidden="1" customHeight="1">
      <c r="A1462" s="1153">
        <f t="shared" si="94"/>
        <v>0</v>
      </c>
      <c r="B1462" s="1154" t="s">
        <v>1818</v>
      </c>
      <c r="C1462" s="1154"/>
      <c r="D1462" s="1122"/>
      <c r="E1462" s="1079"/>
      <c r="F1462" s="1123" t="str">
        <f>VLOOKUP($B1462,DG!A:D,DG!$C$2,)</f>
        <v>Vật liệu dựng trụ</v>
      </c>
      <c r="G1462" s="1079" t="str">
        <f>VLOOKUP($B1462,DG!A:D,DG!$D$2,)</f>
        <v>trụ</v>
      </c>
      <c r="H1462" s="1885">
        <f>H1461</f>
        <v>0</v>
      </c>
      <c r="I1462" s="1259">
        <f t="shared" si="96"/>
        <v>0</v>
      </c>
      <c r="J1462" s="1078"/>
      <c r="K1462" s="1078"/>
      <c r="L1462" s="1082"/>
      <c r="M1462" s="975">
        <v>320</v>
      </c>
    </row>
    <row r="1463" spans="1:13" s="1083" customFormat="1" ht="25.2" hidden="1" customHeight="1">
      <c r="A1463" s="1153">
        <f t="shared" si="94"/>
        <v>0</v>
      </c>
      <c r="B1463" s="1154" t="s">
        <v>644</v>
      </c>
      <c r="C1463" s="1154"/>
      <c r="D1463" s="1122"/>
      <c r="E1463" s="1079" t="str">
        <f>VLOOKUP($B1463,DG!A:D,DG!$B$2,)</f>
        <v>04.9203</v>
      </c>
      <c r="F1463" s="1123" t="str">
        <f>VLOOKUP($B1463,DG!A:D,DG!$C$2,)</f>
        <v>Dựng trụ BTLT 10,5m trong TBA bằng thủ công + cơ giới</v>
      </c>
      <c r="G1463" s="1079" t="str">
        <f>VLOOKUP($B1463,DG!A:D,DG!$D$2,)</f>
        <v>trụ</v>
      </c>
      <c r="H1463" s="1885">
        <f>H1461</f>
        <v>0</v>
      </c>
      <c r="I1463" s="1259">
        <f t="shared" si="96"/>
        <v>0</v>
      </c>
      <c r="J1463" s="1108"/>
      <c r="K1463" s="1108"/>
      <c r="L1463" s="1082"/>
      <c r="M1463" s="975">
        <v>320</v>
      </c>
    </row>
    <row r="1464" spans="1:13" s="1083" customFormat="1" ht="25.2" hidden="1" customHeight="1">
      <c r="A1464" s="1153">
        <f t="shared" si="94"/>
        <v>0</v>
      </c>
      <c r="B1464" s="1354"/>
      <c r="C1464" s="1354"/>
      <c r="D1464" s="1084">
        <f>IF(H1464&gt;0,D1456+1,D1456)</f>
        <v>0</v>
      </c>
      <c r="E1464" s="1118"/>
      <c r="F1464" s="1119" t="s">
        <v>2358</v>
      </c>
      <c r="G1464" s="1120" t="s">
        <v>2333</v>
      </c>
      <c r="H1464" s="1884">
        <f>H1456</f>
        <v>0</v>
      </c>
      <c r="I1464" s="1259">
        <f t="shared" si="96"/>
        <v>0</v>
      </c>
      <c r="J1464" s="1078"/>
      <c r="K1464" s="1078"/>
      <c r="L1464" s="1110"/>
      <c r="M1464" s="975">
        <v>320</v>
      </c>
    </row>
    <row r="1465" spans="1:13" s="1083" customFormat="1" ht="25.2" hidden="1" customHeight="1">
      <c r="A1465" s="1153">
        <f t="shared" si="94"/>
        <v>0</v>
      </c>
      <c r="B1465" s="1331" t="s">
        <v>636</v>
      </c>
      <c r="C1465" s="1331"/>
      <c r="D1465" s="1122"/>
      <c r="E1465" s="1079" t="str">
        <f>VLOOKUP($B1465,DG!A:D,DG!$B$2,)</f>
        <v>04.4001</v>
      </c>
      <c r="F1465" s="1124" t="str">
        <f>VLOOKUP($B1465,DG!A:D,DG!$C$2,)</f>
        <v>Đà cản BTCT 1,2m</v>
      </c>
      <c r="G1465" s="1091" t="str">
        <f>VLOOKUP($B1465,DG!A:D,DG!$D$2,)</f>
        <v>cái</v>
      </c>
      <c r="H1465" s="1885">
        <f>H1464</f>
        <v>0</v>
      </c>
      <c r="I1465" s="1259">
        <f t="shared" si="96"/>
        <v>0</v>
      </c>
      <c r="J1465" s="1108"/>
      <c r="K1465" s="1078"/>
      <c r="L1465" s="1110"/>
      <c r="M1465" s="975">
        <v>320</v>
      </c>
    </row>
    <row r="1466" spans="1:13" s="1083" customFormat="1" ht="25.2" hidden="1" customHeight="1">
      <c r="A1466" s="1153">
        <f t="shared" si="94"/>
        <v>0</v>
      </c>
      <c r="B1466" s="1331" t="s">
        <v>566</v>
      </c>
      <c r="C1466" s="1331"/>
      <c r="D1466" s="1122"/>
      <c r="E1466" s="1091"/>
      <c r="F1466" s="1124" t="str">
        <f>VLOOKUP($B1466,DG!A:D,DG!$C$2,)</f>
        <v>Boulon 22x650+ 2 long đền vuông D24-50x50x3/Zn</v>
      </c>
      <c r="G1466" s="1091" t="str">
        <f>VLOOKUP($B1466,DG!A:D,DG!$D$2,)</f>
        <v>bộ</v>
      </c>
      <c r="H1466" s="1885">
        <f>H1465</f>
        <v>0</v>
      </c>
      <c r="I1466" s="1259">
        <f t="shared" si="96"/>
        <v>0</v>
      </c>
      <c r="J1466" s="1124"/>
      <c r="K1466" s="1078"/>
      <c r="L1466" s="1110"/>
      <c r="M1466" s="975">
        <v>320</v>
      </c>
    </row>
    <row r="1467" spans="1:13" s="1083" customFormat="1" ht="25.2" hidden="1" customHeight="1">
      <c r="A1467" s="1153">
        <f t="shared" si="94"/>
        <v>0</v>
      </c>
      <c r="B1467" s="1331" t="str">
        <f>IF(chitiet!G5=1,"MDD1",IF(chitiet!G5=2,"MDD2",IF(chitiet!G5=3,"MDD3",IF(chitiet!G5=4,"MDD4"))))</f>
        <v>MDD3</v>
      </c>
      <c r="C1467" s="1331"/>
      <c r="D1467" s="1122"/>
      <c r="E1467" s="1091" t="str">
        <f>VLOOKUP($B1467,DG!A:D,DG!$B$2,)</f>
        <v>03.1013</v>
      </c>
      <c r="F1467" s="1124" t="str">
        <f>VLOOKUP($B1467,DG!A:D,DG!$C$2,)</f>
        <v>Đào hố móng đất cấp 3 sâu &gt;1m</v>
      </c>
      <c r="G1467" s="1091" t="str">
        <f>VLOOKUP($B1467,DG!A:D,DG!$D$2,)</f>
        <v>m3</v>
      </c>
      <c r="H1467" s="1886">
        <f>0.87*H1464</f>
        <v>0</v>
      </c>
      <c r="I1467" s="1259">
        <f t="shared" si="96"/>
        <v>0</v>
      </c>
      <c r="J1467" s="1125"/>
      <c r="K1467" s="1078"/>
      <c r="L1467" s="1110"/>
      <c r="M1467" s="975">
        <v>320</v>
      </c>
    </row>
    <row r="1468" spans="1:13" s="1083" customFormat="1" ht="25.2" hidden="1" customHeight="1">
      <c r="A1468" s="1153">
        <f t="shared" si="94"/>
        <v>0</v>
      </c>
      <c r="B1468" s="1331" t="str">
        <f>IF(chitiet!G5=1,"MDAP1",IF(chitiet!G5=2,"MDAP2",IF(chitiet!G5=3,"MDAP3",IF(chitiet!G5=4,"MDAP4"))))</f>
        <v>MDAP3</v>
      </c>
      <c r="C1468" s="1331"/>
      <c r="D1468" s="1122"/>
      <c r="E1468" s="1091" t="str">
        <f>VLOOKUP($B1468,DG!A:D,DG!$B$2,)</f>
        <v>03.4113</v>
      </c>
      <c r="F1468" s="1124" t="str">
        <f>VLOOKUP($B1468,DG!A:D,DG!$C$2,)</f>
        <v>Đắp đất hố móng, độ chặt k=0,95</v>
      </c>
      <c r="G1468" s="1091" t="str">
        <f>VLOOKUP($B1468,DG!A:D,DG!$D$2,)</f>
        <v>m3</v>
      </c>
      <c r="H1468" s="1886">
        <f>0.79*H1464</f>
        <v>0</v>
      </c>
      <c r="I1468" s="1259">
        <f t="shared" si="96"/>
        <v>0</v>
      </c>
      <c r="J1468" s="1125"/>
      <c r="K1468" s="1078"/>
      <c r="L1468" s="1110"/>
      <c r="M1468" s="975">
        <v>320</v>
      </c>
    </row>
    <row r="1469" spans="1:13" s="1083" customFormat="1" ht="25.2" hidden="1" customHeight="1">
      <c r="A1469" s="1153">
        <f t="shared" si="94"/>
        <v>0</v>
      </c>
      <c r="B1469" s="1354"/>
      <c r="C1469" s="1354"/>
      <c r="D1469" s="1084">
        <f>IF(H1469&gt;0,D1461+1,D1461)</f>
        <v>0</v>
      </c>
      <c r="E1469" s="1118"/>
      <c r="F1469" s="1119" t="s">
        <v>3731</v>
      </c>
      <c r="G1469" s="1120" t="s">
        <v>2333</v>
      </c>
      <c r="H1469" s="1884">
        <f>H1460*0</f>
        <v>0</v>
      </c>
      <c r="I1469" s="1259">
        <f t="shared" si="96"/>
        <v>0</v>
      </c>
      <c r="J1469" s="1078"/>
      <c r="K1469" s="1078"/>
      <c r="L1469" s="1082"/>
      <c r="M1469" s="975">
        <v>320</v>
      </c>
    </row>
    <row r="1470" spans="1:13" s="1083" customFormat="1" ht="25.2" hidden="1" customHeight="1">
      <c r="A1470" s="1153">
        <f t="shared" si="94"/>
        <v>0</v>
      </c>
      <c r="B1470" s="1331" t="s">
        <v>636</v>
      </c>
      <c r="C1470" s="1331"/>
      <c r="D1470" s="1122"/>
      <c r="E1470" s="1079" t="str">
        <f>VLOOKUP($B1470,DG!A:D,DG!$B$2,)</f>
        <v>04.4001</v>
      </c>
      <c r="F1470" s="1124" t="str">
        <f>VLOOKUP($B1470,DG!A:D,DG!$C$2,)</f>
        <v>Đà cản BTCT 1,2m</v>
      </c>
      <c r="G1470" s="1091" t="str">
        <f>VLOOKUP($B1470,DG!A:D,DG!$D$2,)</f>
        <v>cái</v>
      </c>
      <c r="H1470" s="1885">
        <f>H1469</f>
        <v>0</v>
      </c>
      <c r="I1470" s="1259">
        <f t="shared" si="96"/>
        <v>0</v>
      </c>
      <c r="J1470" s="1108"/>
      <c r="K1470" s="1078"/>
      <c r="L1470" s="1082"/>
      <c r="M1470" s="975">
        <v>320</v>
      </c>
    </row>
    <row r="1471" spans="1:13" s="1083" customFormat="1" ht="25.2" hidden="1" customHeight="1">
      <c r="A1471" s="1153">
        <f t="shared" si="94"/>
        <v>0</v>
      </c>
      <c r="B1471" s="1331" t="s">
        <v>566</v>
      </c>
      <c r="C1471" s="1331"/>
      <c r="D1471" s="1122"/>
      <c r="E1471" s="1091"/>
      <c r="F1471" s="1124" t="str">
        <f>VLOOKUP($B1471,DG!A:D,DG!$C$2,)</f>
        <v>Boulon 22x650+ 2 long đền vuông D24-50x50x3/Zn</v>
      </c>
      <c r="G1471" s="1091" t="str">
        <f>VLOOKUP($B1471,DG!A:D,DG!$D$2,)</f>
        <v>bộ</v>
      </c>
      <c r="H1471" s="1885">
        <f>H1470</f>
        <v>0</v>
      </c>
      <c r="I1471" s="1259">
        <f t="shared" si="96"/>
        <v>0</v>
      </c>
      <c r="J1471" s="1124"/>
      <c r="K1471" s="1078"/>
      <c r="L1471" s="1082"/>
      <c r="M1471" s="975">
        <v>320</v>
      </c>
    </row>
    <row r="1472" spans="1:13" s="1083" customFormat="1" ht="25.2" hidden="1" customHeight="1">
      <c r="A1472" s="1153">
        <f t="shared" si="94"/>
        <v>0</v>
      </c>
      <c r="B1472" s="1331" t="str">
        <f>IF(chitiet!G5=1,"MDD1",IF(chitiet!G5=2,"MDD2",IF(chitiet!G5=3,"MDD3",IF(chitiet!G5=4,"MDD4"))))</f>
        <v>MDD3</v>
      </c>
      <c r="C1472" s="1331"/>
      <c r="D1472" s="1122"/>
      <c r="E1472" s="1091" t="str">
        <f>VLOOKUP($B1472,DG!A:D,DG!$B$2,)</f>
        <v>03.1013</v>
      </c>
      <c r="F1472" s="1124" t="str">
        <f>VLOOKUP($B1472,DG!A:D,DG!$C$2,)</f>
        <v>Đào hố móng đất cấp 3 sâu &gt;1m</v>
      </c>
      <c r="G1472" s="1091" t="str">
        <f>VLOOKUP($B1472,DG!A:D,DG!$D$2,)</f>
        <v>m3</v>
      </c>
      <c r="H1472" s="1886">
        <f>1.48*H1470</f>
        <v>0</v>
      </c>
      <c r="I1472" s="1259">
        <f t="shared" si="96"/>
        <v>0</v>
      </c>
      <c r="J1472" s="1125"/>
      <c r="K1472" s="1078"/>
      <c r="L1472" s="1082"/>
      <c r="M1472" s="975">
        <v>320</v>
      </c>
    </row>
    <row r="1473" spans="1:13" s="1083" customFormat="1" ht="25.2" hidden="1" customHeight="1">
      <c r="A1473" s="1153">
        <f t="shared" si="94"/>
        <v>0</v>
      </c>
      <c r="B1473" s="1331" t="str">
        <f>IF(chitiet!G5=1,"MDAP1",IF(chitiet!G5=2,"MDAP2",IF(chitiet!G5=3,"MDAP3",IF(chitiet!G5=4,"MDAP4"))))</f>
        <v>MDAP3</v>
      </c>
      <c r="C1473" s="1331"/>
      <c r="D1473" s="1122"/>
      <c r="E1473" s="1091" t="str">
        <f>VLOOKUP($B1473,DG!A:D,DG!$B$2,)</f>
        <v>03.4113</v>
      </c>
      <c r="F1473" s="1124" t="str">
        <f>VLOOKUP($B1473,DG!A:D,DG!$C$2,)</f>
        <v>Đắp đất hố móng, độ chặt k=0,95</v>
      </c>
      <c r="G1473" s="1091" t="str">
        <f>VLOOKUP($B1473,DG!A:D,DG!$D$2,)</f>
        <v>m3</v>
      </c>
      <c r="H1473" s="1886">
        <f>1.39*H1469</f>
        <v>0</v>
      </c>
      <c r="I1473" s="1259">
        <f t="shared" si="96"/>
        <v>0</v>
      </c>
      <c r="J1473" s="1125"/>
      <c r="K1473" s="1078"/>
      <c r="L1473" s="1082"/>
      <c r="M1473" s="975">
        <v>320</v>
      </c>
    </row>
    <row r="1474" spans="1:13" s="1083" customFormat="1" ht="25.2" hidden="1" customHeight="1">
      <c r="A1474" s="1153">
        <f t="shared" si="94"/>
        <v>0</v>
      </c>
      <c r="B1474" s="1324"/>
      <c r="C1474" s="1324"/>
      <c r="D1474" s="1084">
        <f>IF(H1474&gt;0,D1464+1,D1464)</f>
        <v>0</v>
      </c>
      <c r="E1474" s="1126"/>
      <c r="F1474" s="1119" t="s">
        <v>3732</v>
      </c>
      <c r="G1474" s="1117" t="s">
        <v>2391</v>
      </c>
      <c r="H1474" s="1887">
        <f>H1445*1</f>
        <v>0</v>
      </c>
      <c r="I1474" s="1259">
        <f t="shared" si="96"/>
        <v>0</v>
      </c>
      <c r="J1474" s="1127"/>
      <c r="K1474" s="1127"/>
      <c r="L1474" s="1082"/>
      <c r="M1474" s="975">
        <v>320</v>
      </c>
    </row>
    <row r="1475" spans="1:13" s="1083" customFormat="1" ht="25.2" hidden="1" customHeight="1">
      <c r="A1475" s="1153">
        <f t="shared" si="94"/>
        <v>0</v>
      </c>
      <c r="B1475" s="1324"/>
      <c r="C1475" s="1324"/>
      <c r="D1475" s="1078"/>
      <c r="E1475" s="1128"/>
      <c r="F1475" s="1367" t="s">
        <v>2285</v>
      </c>
      <c r="G1475" s="1090"/>
      <c r="H1475" s="1851"/>
      <c r="I1475" s="1259">
        <f t="shared" si="96"/>
        <v>0</v>
      </c>
      <c r="J1475" s="1129"/>
      <c r="K1475" s="1129"/>
      <c r="L1475" s="1082"/>
      <c r="M1475" s="975">
        <v>320</v>
      </c>
    </row>
    <row r="1476" spans="1:13" s="1083" customFormat="1" ht="25.2" hidden="1" customHeight="1">
      <c r="A1476" s="1153">
        <f t="shared" si="94"/>
        <v>0</v>
      </c>
      <c r="B1476" s="1154" t="s">
        <v>1136</v>
      </c>
      <c r="C1476" s="1154"/>
      <c r="D1476" s="1078"/>
      <c r="E1476" s="1091" t="str">
        <f>VLOOKUP($B1476,DG!A:D,DG!$B$2,)</f>
        <v>05.6105</v>
      </c>
      <c r="F1476" s="1080" t="str">
        <f>VLOOKUP($B1476,DG!A:D,DG!$C$2,)&amp;": 2 cái"</f>
        <v>Đà U160x68x5x2800 đỡ MBA: 2 cái</v>
      </c>
      <c r="G1476" s="1079" t="str">
        <f>VLOOKUP($B1476,DG!A:D,DG!$D$2,)</f>
        <v>cái</v>
      </c>
      <c r="H1476" s="1851">
        <v>2</v>
      </c>
      <c r="I1476" s="1259">
        <f t="shared" si="96"/>
        <v>0</v>
      </c>
      <c r="J1476" s="1108"/>
      <c r="K1476" s="1108"/>
      <c r="L1476" s="1082"/>
      <c r="M1476" s="975">
        <v>320</v>
      </c>
    </row>
    <row r="1477" spans="1:13" s="1083" customFormat="1" ht="25.2" hidden="1" customHeight="1">
      <c r="A1477" s="1153">
        <f t="shared" si="94"/>
        <v>0</v>
      </c>
      <c r="B1477" s="1154" t="s">
        <v>1137</v>
      </c>
      <c r="C1477" s="1154"/>
      <c r="D1477" s="1078"/>
      <c r="E1477" s="1091" t="str">
        <f>VLOOKUP($B1477,DG!A:D,DG!$B$2,)</f>
        <v>05.6101</v>
      </c>
      <c r="F1477" s="1080" t="str">
        <f>VLOOKUP($B1477,DG!A:D,DG!$C$2,)&amp;": 4 cái"</f>
        <v>Đà U100x46x4.5x400 : 4 cái</v>
      </c>
      <c r="G1477" s="1079" t="str">
        <f>VLOOKUP($B1477,DG!A:D,DG!$D$2,)</f>
        <v>cái</v>
      </c>
      <c r="H1477" s="1851">
        <v>4</v>
      </c>
      <c r="I1477" s="1259">
        <f t="shared" si="96"/>
        <v>0</v>
      </c>
      <c r="J1477" s="1108"/>
      <c r="K1477" s="1108"/>
      <c r="L1477" s="1082"/>
      <c r="M1477" s="975">
        <v>320</v>
      </c>
    </row>
    <row r="1478" spans="1:13" s="1083" customFormat="1" ht="25.2" hidden="1" customHeight="1">
      <c r="A1478" s="1153">
        <f t="shared" si="94"/>
        <v>0</v>
      </c>
      <c r="B1478" s="1154" t="s">
        <v>1138</v>
      </c>
      <c r="C1478" s="1154"/>
      <c r="D1478" s="1078"/>
      <c r="E1478" s="1091" t="str">
        <f>VLOOKUP($B1478,DG!A:D,DG!$B$2,)</f>
        <v>05.6101</v>
      </c>
      <c r="F1478" s="1080" t="str">
        <f>VLOOKUP($B1478,DG!A:D,DG!$C$2,)&amp;": 2 cái"</f>
        <v>Đà U100x46x5x800 : 2 cái</v>
      </c>
      <c r="G1478" s="1079" t="str">
        <f>VLOOKUP($B1478,DG!A:D,DG!$D$2,)</f>
        <v>cái</v>
      </c>
      <c r="H1478" s="1851">
        <v>2</v>
      </c>
      <c r="I1478" s="1259">
        <f t="shared" si="96"/>
        <v>0</v>
      </c>
      <c r="J1478" s="1108"/>
      <c r="K1478" s="1108"/>
      <c r="L1478" s="1082"/>
      <c r="M1478" s="975">
        <v>320</v>
      </c>
    </row>
    <row r="1479" spans="1:13" s="1083" customFormat="1" ht="25.2" hidden="1" customHeight="1">
      <c r="A1479" s="1153">
        <f t="shared" si="94"/>
        <v>0</v>
      </c>
      <c r="B1479" s="1324" t="s">
        <v>1785</v>
      </c>
      <c r="C1479" s="1324"/>
      <c r="D1479" s="1078"/>
      <c r="E1479" s="1091">
        <f>VLOOKUP($B1479,DG!A:D,DG!$B$2,)</f>
        <v>0</v>
      </c>
      <c r="F1479" s="1080" t="str">
        <f>VLOOKUP($B1479,DG!A:D,DG!$C$2,)</f>
        <v>Boulon 16x400VRS+ 4 long đền vuông D18-50x50x3/Zn</v>
      </c>
      <c r="G1479" s="1079" t="str">
        <f>VLOOKUP($B1479,DG!A:D,DG!$D$2,)</f>
        <v>bộ</v>
      </c>
      <c r="H1479" s="1851">
        <f>H1474*10</f>
        <v>0</v>
      </c>
      <c r="I1479" s="1259">
        <f t="shared" si="96"/>
        <v>0</v>
      </c>
      <c r="J1479" s="1108"/>
      <c r="K1479" s="1108"/>
      <c r="L1479" s="1082"/>
      <c r="M1479" s="975">
        <v>320</v>
      </c>
    </row>
    <row r="1480" spans="1:13" s="1083" customFormat="1" ht="25.2" hidden="1" customHeight="1">
      <c r="A1480" s="1153">
        <f t="shared" si="94"/>
        <v>0</v>
      </c>
      <c r="B1480" s="1324" t="s">
        <v>1083</v>
      </c>
      <c r="C1480" s="1324"/>
      <c r="D1480" s="1078"/>
      <c r="E1480" s="1091">
        <f>VLOOKUP($B1480,DG!A:D,DG!$B$2,)</f>
        <v>0</v>
      </c>
      <c r="F1480" s="1080" t="str">
        <f>VLOOKUP($B1480,DG!A:D,DG!$C$2,)</f>
        <v>Boulon 16x400+ 2 long đền vuông D18-50x50x3/Zn</v>
      </c>
      <c r="G1480" s="1079" t="str">
        <f>VLOOKUP($B1480,DG!A:D,DG!$D$2,)</f>
        <v>bộ</v>
      </c>
      <c r="H1480" s="1851">
        <f>H1474*2</f>
        <v>0</v>
      </c>
      <c r="I1480" s="1259">
        <f t="shared" si="96"/>
        <v>0</v>
      </c>
      <c r="J1480" s="1108"/>
      <c r="K1480" s="1108"/>
      <c r="L1480" s="1082"/>
      <c r="M1480" s="975">
        <v>320</v>
      </c>
    </row>
    <row r="1481" spans="1:13" s="1083" customFormat="1" ht="25.2" hidden="1" customHeight="1">
      <c r="A1481" s="1153">
        <f t="shared" si="94"/>
        <v>0</v>
      </c>
      <c r="B1481" s="1324" t="s">
        <v>1079</v>
      </c>
      <c r="C1481" s="1324"/>
      <c r="D1481" s="1078"/>
      <c r="E1481" s="1091">
        <f>VLOOKUP($B1481,DG!A:D,DG!$B$2,)</f>
        <v>0</v>
      </c>
      <c r="F1481" s="1080" t="str">
        <f>VLOOKUP($B1481,DG!A:D,DG!$C$2,)</f>
        <v>Boulon 16x350+ 2 long đền vuông D18-50x50x3/Zn</v>
      </c>
      <c r="G1481" s="1079" t="str">
        <f>VLOOKUP($B1481,DG!A:D,DG!$D$2,)</f>
        <v>bộ</v>
      </c>
      <c r="H1481" s="1851">
        <f>H1474*12</f>
        <v>0</v>
      </c>
      <c r="I1481" s="1259">
        <f t="shared" si="96"/>
        <v>0</v>
      </c>
      <c r="J1481" s="1108"/>
      <c r="K1481" s="1108"/>
      <c r="L1481" s="1082"/>
      <c r="M1481" s="975">
        <v>320</v>
      </c>
    </row>
    <row r="1482" spans="1:13" s="1083" customFormat="1" ht="25.2" hidden="1" customHeight="1">
      <c r="A1482" s="1153">
        <f t="shared" si="94"/>
        <v>0</v>
      </c>
      <c r="B1482" s="1324" t="s">
        <v>2248</v>
      </c>
      <c r="C1482" s="1324"/>
      <c r="D1482" s="1078"/>
      <c r="E1482" s="1091" t="str">
        <f>VLOOKUP($B1482,DG!A:D,DG!$B$2,)</f>
        <v>05.6044</v>
      </c>
      <c r="F1482" s="1080" t="str">
        <f>VLOOKUP($B1482,DG!A:D,DG!$C$2,)</f>
        <v>Lắp xà cột Pi loại ≤140kg/xà</v>
      </c>
      <c r="G1482" s="1079" t="str">
        <f>VLOOKUP($B1482,DG!A:D,DG!$D$2,)</f>
        <v>bộ</v>
      </c>
      <c r="H1482" s="1851">
        <f>H1474</f>
        <v>0</v>
      </c>
      <c r="I1482" s="1259">
        <f t="shared" si="96"/>
        <v>0</v>
      </c>
      <c r="J1482" s="1108"/>
      <c r="K1482" s="1108"/>
      <c r="L1482" s="1082"/>
      <c r="M1482" s="975">
        <v>320</v>
      </c>
    </row>
    <row r="1483" spans="1:13" s="1083" customFormat="1" ht="25.2" hidden="1" customHeight="1">
      <c r="A1483" s="1153">
        <f t="shared" si="94"/>
        <v>0</v>
      </c>
      <c r="B1483" s="1324"/>
      <c r="C1483" s="1324"/>
      <c r="D1483" s="1084">
        <f>IF(H1483&gt;0,D1474+1,D1474)</f>
        <v>0</v>
      </c>
      <c r="E1483" s="1085"/>
      <c r="F1483" s="1130" t="s">
        <v>4561</v>
      </c>
      <c r="G1483" s="1084" t="s">
        <v>2391</v>
      </c>
      <c r="H1483" s="1867">
        <f>H1474*2</f>
        <v>0</v>
      </c>
      <c r="I1483" s="1259">
        <f t="shared" si="96"/>
        <v>0</v>
      </c>
      <c r="J1483" s="1131"/>
      <c r="K1483" s="1131"/>
      <c r="L1483" s="1082"/>
      <c r="M1483" s="975">
        <v>320</v>
      </c>
    </row>
    <row r="1484" spans="1:13" s="1083" customFormat="1" ht="25.2" hidden="1" customHeight="1">
      <c r="A1484" s="1153">
        <f t="shared" si="94"/>
        <v>0</v>
      </c>
      <c r="B1484" s="1324"/>
      <c r="C1484" s="1324"/>
      <c r="D1484" s="1078"/>
      <c r="E1484" s="1091"/>
      <c r="F1484" s="1367" t="s">
        <v>2285</v>
      </c>
      <c r="G1484" s="1090"/>
      <c r="H1484" s="1891">
        <f>H1483</f>
        <v>0</v>
      </c>
      <c r="I1484" s="1892">
        <f t="shared" si="96"/>
        <v>0</v>
      </c>
      <c r="J1484" s="1131"/>
      <c r="K1484" s="1131"/>
      <c r="L1484" s="1082"/>
      <c r="M1484" s="975">
        <v>320</v>
      </c>
    </row>
    <row r="1485" spans="1:13" s="1083" customFormat="1" ht="25.2" hidden="1" customHeight="1">
      <c r="A1485" s="1153">
        <f t="shared" si="94"/>
        <v>0</v>
      </c>
      <c r="B1485" s="1331" t="s">
        <v>2026</v>
      </c>
      <c r="C1485" s="1331"/>
      <c r="D1485" s="1078"/>
      <c r="E1485" s="1091">
        <f>VLOOKUP($B1485,DG!A:D,DG!$B$2,)</f>
        <v>0</v>
      </c>
      <c r="F1485" s="1080" t="str">
        <f>VLOOKUP($B1485,DG!A:D,DG!$C$2,)</f>
        <v>Sắt góc L75 x75 x8</v>
      </c>
      <c r="G1485" s="1091" t="str">
        <f>VLOOKUP($B1485,DG!A:D,DG!$D$2,)</f>
        <v>kg</v>
      </c>
      <c r="H1485" s="1851">
        <v>1</v>
      </c>
      <c r="I1485" s="1259">
        <f t="shared" si="96"/>
        <v>0</v>
      </c>
      <c r="J1485" s="1108"/>
      <c r="K1485" s="1108"/>
      <c r="L1485" s="1082"/>
      <c r="M1485" s="975">
        <v>320</v>
      </c>
    </row>
    <row r="1486" spans="1:13" s="1083" customFormat="1" ht="25.2" hidden="1" customHeight="1">
      <c r="A1486" s="1153">
        <f t="shared" si="94"/>
        <v>0</v>
      </c>
      <c r="B1486" s="1324" t="s">
        <v>1788</v>
      </c>
      <c r="C1486" s="1324"/>
      <c r="D1486" s="1078"/>
      <c r="E1486" s="1091">
        <f>VLOOKUP($B1486,DG!A:D,DG!$B$2,)</f>
        <v>0</v>
      </c>
      <c r="F1486" s="1080" t="str">
        <f>VLOOKUP($B1486,DG!A:D,DG!$C$2,)</f>
        <v>Boulon 16x300VRS+ 4 long đền vuông D18-50x50x3/Zn</v>
      </c>
      <c r="G1486" s="1091" t="str">
        <f>VLOOKUP($B1486,DG!A:D,DG!$D$2,)</f>
        <v>bộ</v>
      </c>
      <c r="H1486" s="1851"/>
      <c r="I1486" s="1259">
        <f t="shared" si="96"/>
        <v>0</v>
      </c>
      <c r="J1486" s="1108"/>
      <c r="K1486" s="1108"/>
      <c r="L1486" s="1082"/>
      <c r="M1486" s="975">
        <v>320</v>
      </c>
    </row>
    <row r="1487" spans="1:13" s="1083" customFormat="1" ht="25.2" hidden="1" customHeight="1">
      <c r="A1487" s="1153">
        <f t="shared" si="94"/>
        <v>0</v>
      </c>
      <c r="B1487" s="1324" t="s">
        <v>1613</v>
      </c>
      <c r="C1487" s="1324"/>
      <c r="D1487" s="1078"/>
      <c r="E1487" s="1091">
        <f>VLOOKUP($B1487,DG!A:D,DG!$B$2,)</f>
        <v>0</v>
      </c>
      <c r="F1487" s="1080" t="str">
        <f>VLOOKUP($B1487,DG!A:D,DG!$C$2,)</f>
        <v>Boulon 16x300+ 2 long đền vuông D18-50x50x3/Zn</v>
      </c>
      <c r="G1487" s="1091" t="str">
        <f>VLOOKUP($B1487,DG!A:D,DG!$D$2,)</f>
        <v>bộ</v>
      </c>
      <c r="H1487" s="1851">
        <v>2</v>
      </c>
      <c r="I1487" s="1259">
        <f t="shared" si="96"/>
        <v>0</v>
      </c>
      <c r="J1487" s="1108"/>
      <c r="K1487" s="1108"/>
      <c r="L1487" s="1082"/>
      <c r="M1487" s="975">
        <v>320</v>
      </c>
    </row>
    <row r="1488" spans="1:13" s="1083" customFormat="1" ht="25.2" hidden="1" customHeight="1">
      <c r="A1488" s="1153">
        <f t="shared" si="94"/>
        <v>0</v>
      </c>
      <c r="B1488" s="1324" t="s">
        <v>1612</v>
      </c>
      <c r="C1488" s="1324"/>
      <c r="D1488" s="1078"/>
      <c r="E1488" s="1091">
        <f>VLOOKUP($B1488,DG!A:D,DG!$B$2,)</f>
        <v>0</v>
      </c>
      <c r="F1488" s="1080" t="str">
        <f>VLOOKUP($B1488,DG!A:D,DG!$C$2,)</f>
        <v>Boulon 16x250+ 2 long đền vuông D18-50x50x3/Zn</v>
      </c>
      <c r="G1488" s="1091" t="str">
        <f>VLOOKUP($B1488,DG!A:D,DG!$D$2,)</f>
        <v>bộ</v>
      </c>
      <c r="H1488" s="1851"/>
      <c r="I1488" s="1259">
        <f t="shared" si="96"/>
        <v>0</v>
      </c>
      <c r="J1488" s="1108"/>
      <c r="K1488" s="1108"/>
      <c r="L1488" s="1082"/>
      <c r="M1488" s="975">
        <v>320</v>
      </c>
    </row>
    <row r="1489" spans="1:13" s="1083" customFormat="1" ht="25.2" hidden="1" customHeight="1">
      <c r="A1489" s="1153">
        <f t="shared" si="94"/>
        <v>0</v>
      </c>
      <c r="B1489" s="1324" t="s">
        <v>2248</v>
      </c>
      <c r="C1489" s="1324"/>
      <c r="D1489" s="1078"/>
      <c r="E1489" s="1091" t="str">
        <f>VLOOKUP($B1489,DG!A:D,DG!$B$2,)</f>
        <v>05.6044</v>
      </c>
      <c r="F1489" s="1080" t="str">
        <f>VLOOKUP($B1489,DG!A:D,DG!$C$2,)</f>
        <v>Lắp xà cột Pi loại ≤140kg/xà</v>
      </c>
      <c r="G1489" s="1091" t="str">
        <f>VLOOKUP($B1489,DG!A:D,DG!$D$2,)</f>
        <v>bộ</v>
      </c>
      <c r="H1489" s="1851">
        <v>1</v>
      </c>
      <c r="I1489" s="1259">
        <f t="shared" si="96"/>
        <v>0</v>
      </c>
      <c r="J1489" s="1108"/>
      <c r="K1489" s="1108"/>
      <c r="L1489" s="1082"/>
      <c r="M1489" s="975">
        <v>320</v>
      </c>
    </row>
    <row r="1490" spans="1:13" s="1083" customFormat="1" ht="25.2" hidden="1" customHeight="1">
      <c r="A1490" s="1153">
        <f t="shared" si="94"/>
        <v>0</v>
      </c>
      <c r="B1490" s="1324"/>
      <c r="C1490" s="1324"/>
      <c r="D1490" s="1084">
        <f>IF(H1490&gt;0,D1483+1,D1483)</f>
        <v>0</v>
      </c>
      <c r="E1490" s="1085"/>
      <c r="F1490" s="1130" t="s">
        <v>3753</v>
      </c>
      <c r="G1490" s="1084" t="s">
        <v>2391</v>
      </c>
      <c r="H1490" s="1867">
        <f>H1445</f>
        <v>0</v>
      </c>
      <c r="I1490" s="1259">
        <f t="shared" si="96"/>
        <v>0</v>
      </c>
      <c r="J1490" s="1131"/>
      <c r="K1490" s="1131"/>
      <c r="L1490" s="1082"/>
      <c r="M1490" s="975">
        <v>320</v>
      </c>
    </row>
    <row r="1491" spans="1:13" s="1083" customFormat="1" ht="25.2" hidden="1" customHeight="1">
      <c r="A1491" s="1153">
        <f t="shared" si="94"/>
        <v>0</v>
      </c>
      <c r="B1491" s="1324"/>
      <c r="C1491" s="1324"/>
      <c r="D1491" s="1078"/>
      <c r="E1491" s="1088"/>
      <c r="F1491" s="1367" t="s">
        <v>2285</v>
      </c>
      <c r="G1491" s="1090"/>
      <c r="H1491" s="1851"/>
      <c r="I1491" s="1259">
        <f t="shared" si="96"/>
        <v>0</v>
      </c>
      <c r="J1491" s="1131"/>
      <c r="K1491" s="1131"/>
      <c r="L1491" s="1082"/>
      <c r="M1491" s="975">
        <v>320</v>
      </c>
    </row>
    <row r="1492" spans="1:13" s="1083" customFormat="1" ht="25.2" hidden="1" customHeight="1">
      <c r="A1492" s="1153">
        <f t="shared" si="94"/>
        <v>0</v>
      </c>
      <c r="B1492" s="1344" t="s">
        <v>362</v>
      </c>
      <c r="C1492" s="1344"/>
      <c r="D1492" s="1078"/>
      <c r="E1492" s="1091">
        <f>VLOOKUP($B1492,DG!A:D,DG!$B$2,)</f>
        <v>0</v>
      </c>
      <c r="F1492" s="1080" t="str">
        <f>VLOOKUP($B1492,DG!A:D,DG!$C$2,)</f>
        <v>Xà composite 110x800x5</v>
      </c>
      <c r="G1492" s="1091" t="str">
        <f>VLOOKUP($B1492,DG!A:D,DG!$D$2,)</f>
        <v>cái</v>
      </c>
      <c r="H1492" s="1851">
        <v>1</v>
      </c>
      <c r="I1492" s="1259">
        <f t="shared" si="96"/>
        <v>0</v>
      </c>
      <c r="J1492" s="1108"/>
      <c r="K1492" s="1108"/>
      <c r="L1492" s="1082"/>
      <c r="M1492" s="975">
        <v>320</v>
      </c>
    </row>
    <row r="1493" spans="1:13" s="1083" customFormat="1" ht="25.2" hidden="1" customHeight="1">
      <c r="A1493" s="1153">
        <f t="shared" si="94"/>
        <v>0</v>
      </c>
      <c r="B1493" s="1324" t="s">
        <v>1612</v>
      </c>
      <c r="C1493" s="1324"/>
      <c r="D1493" s="1078"/>
      <c r="E1493" s="1091">
        <f>VLOOKUP($B1493,DG!A:D,DG!$B$2,)</f>
        <v>0</v>
      </c>
      <c r="F1493" s="1080" t="str">
        <f>VLOOKUP($B1493,DG!A:D,DG!$C$2,)</f>
        <v>Boulon 16x250+ 2 long đền vuông D18-50x50x3/Zn</v>
      </c>
      <c r="G1493" s="1091" t="str">
        <f>VLOOKUP($B1493,DG!A:D,DG!$D$2,)</f>
        <v>bộ</v>
      </c>
      <c r="H1493" s="1851"/>
      <c r="I1493" s="1259">
        <f t="shared" si="96"/>
        <v>0</v>
      </c>
      <c r="J1493" s="1108"/>
      <c r="K1493" s="1108"/>
      <c r="L1493" s="1082"/>
      <c r="M1493" s="975">
        <v>320</v>
      </c>
    </row>
    <row r="1494" spans="1:13" s="1083" customFormat="1" ht="25.2" hidden="1" customHeight="1">
      <c r="A1494" s="1153">
        <f t="shared" si="94"/>
        <v>0</v>
      </c>
      <c r="B1494" s="1324" t="s">
        <v>1613</v>
      </c>
      <c r="C1494" s="1324"/>
      <c r="D1494" s="1078"/>
      <c r="E1494" s="1091">
        <f>VLOOKUP($B1494,DG!A:D,DG!$B$2,)</f>
        <v>0</v>
      </c>
      <c r="F1494" s="1080" t="str">
        <f>VLOOKUP($B1494,DG!A:D,DG!$C$2,)</f>
        <v>Boulon 16x300+ 2 long đền vuông D18-50x50x3/Zn</v>
      </c>
      <c r="G1494" s="1091" t="str">
        <f>VLOOKUP($B1494,DG!A:D,DG!$D$2,)</f>
        <v>bộ</v>
      </c>
      <c r="H1494" s="1851">
        <v>2</v>
      </c>
      <c r="I1494" s="1259">
        <f t="shared" si="96"/>
        <v>0</v>
      </c>
      <c r="J1494" s="1108"/>
      <c r="K1494" s="1108"/>
      <c r="L1494" s="1082"/>
      <c r="M1494" s="975">
        <v>320</v>
      </c>
    </row>
    <row r="1495" spans="1:13" s="1083" customFormat="1" ht="25.2" hidden="1" customHeight="1">
      <c r="A1495" s="1153">
        <f t="shared" si="94"/>
        <v>0</v>
      </c>
      <c r="B1495" s="1324" t="s">
        <v>30</v>
      </c>
      <c r="C1495" s="1324"/>
      <c r="D1495" s="1078"/>
      <c r="E1495" s="1091">
        <f>VLOOKUP($B1495,DG!A:D,DG!$B$2,)</f>
        <v>0</v>
      </c>
      <c r="F1495" s="1080" t="str">
        <f>VLOOKUP($B1495,DG!A:D,DG!$C$2,)</f>
        <v>Bass LI bắt FCO</v>
      </c>
      <c r="G1495" s="1091" t="str">
        <f>VLOOKUP($B1495,DG!A:D,DG!$D$2,)</f>
        <v>Bộ</v>
      </c>
      <c r="H1495" s="1851">
        <f>H1446</f>
        <v>0</v>
      </c>
      <c r="I1495" s="1259">
        <f t="shared" si="96"/>
        <v>0</v>
      </c>
      <c r="J1495" s="1108"/>
      <c r="K1495" s="1108"/>
      <c r="L1495" s="1082"/>
      <c r="M1495" s="975">
        <v>320</v>
      </c>
    </row>
    <row r="1496" spans="1:13" s="1083" customFormat="1" ht="25.2" hidden="1" customHeight="1">
      <c r="A1496" s="1153">
        <f t="shared" si="94"/>
        <v>0</v>
      </c>
      <c r="B1496" s="1324" t="s">
        <v>2248</v>
      </c>
      <c r="C1496" s="1324"/>
      <c r="D1496" s="1078"/>
      <c r="E1496" s="1091" t="str">
        <f>VLOOKUP($B1496,DG!A:D,DG!$B$2,)</f>
        <v>05.6044</v>
      </c>
      <c r="F1496" s="1080" t="str">
        <f>VLOOKUP($B1496,DG!A:D,DG!$C$2,)</f>
        <v>Lắp xà cột Pi loại ≤140kg/xà</v>
      </c>
      <c r="G1496" s="1091" t="str">
        <f>VLOOKUP($B1496,DG!A:D,DG!$D$2,)</f>
        <v>bộ</v>
      </c>
      <c r="H1496" s="1851">
        <f>H1445</f>
        <v>0</v>
      </c>
      <c r="I1496" s="1259">
        <f t="shared" si="96"/>
        <v>0</v>
      </c>
      <c r="J1496" s="1146"/>
      <c r="K1496" s="1108"/>
      <c r="L1496" s="1082"/>
      <c r="M1496" s="975">
        <v>320</v>
      </c>
    </row>
    <row r="1497" spans="1:13" s="1083" customFormat="1" ht="25.2" hidden="1" customHeight="1">
      <c r="A1497" s="1153">
        <f t="shared" si="94"/>
        <v>0</v>
      </c>
      <c r="B1497" s="1324"/>
      <c r="C1497" s="1324"/>
      <c r="D1497" s="1084">
        <f>IF(H1497&gt;0,D1490+1,D1490)</f>
        <v>0</v>
      </c>
      <c r="E1497" s="1085"/>
      <c r="F1497" s="1130" t="s">
        <v>3735</v>
      </c>
      <c r="G1497" s="1084" t="s">
        <v>2391</v>
      </c>
      <c r="H1497" s="1867">
        <f>H1445*2</f>
        <v>0</v>
      </c>
      <c r="I1497" s="1259">
        <f t="shared" si="96"/>
        <v>0</v>
      </c>
      <c r="J1497" s="1131"/>
      <c r="K1497" s="1131"/>
      <c r="L1497" s="1082"/>
      <c r="M1497" s="975">
        <v>320</v>
      </c>
    </row>
    <row r="1498" spans="1:13" s="1083" customFormat="1" ht="25.2" hidden="1" customHeight="1">
      <c r="A1498" s="1153">
        <f t="shared" ref="A1498:A1561" si="97">IF(I1498&gt;0,1,0)</f>
        <v>0</v>
      </c>
      <c r="B1498" s="1324"/>
      <c r="C1498" s="1324"/>
      <c r="D1498" s="1078"/>
      <c r="E1498" s="1088"/>
      <c r="F1498" s="1367" t="s">
        <v>2285</v>
      </c>
      <c r="G1498" s="1090"/>
      <c r="H1498" s="1851"/>
      <c r="I1498" s="1259">
        <f t="shared" si="96"/>
        <v>0</v>
      </c>
      <c r="J1498" s="1131"/>
      <c r="K1498" s="1131"/>
      <c r="L1498" s="1082"/>
      <c r="M1498" s="975">
        <v>320</v>
      </c>
    </row>
    <row r="1499" spans="1:13" s="1083" customFormat="1" ht="25.2" hidden="1" customHeight="1">
      <c r="A1499" s="1153">
        <f t="shared" si="97"/>
        <v>0</v>
      </c>
      <c r="B1499" s="1324" t="s">
        <v>2026</v>
      </c>
      <c r="C1499" s="1324"/>
      <c r="D1499" s="1078"/>
      <c r="E1499" s="1091">
        <f>VLOOKUP($B1499,DG!A:D,DG!$B$2,)</f>
        <v>0</v>
      </c>
      <c r="F1499" s="1080" t="str">
        <f>VLOOKUP($B1499,DG!A:D,DG!$C$2,)</f>
        <v>Sắt góc L75 x75 x8</v>
      </c>
      <c r="G1499" s="1091" t="str">
        <f>VLOOKUP($B1499,DG!A:D,DG!$D$2,)</f>
        <v>kg</v>
      </c>
      <c r="H1499" s="1851">
        <v>2</v>
      </c>
      <c r="I1499" s="1259">
        <f t="shared" si="96"/>
        <v>0</v>
      </c>
      <c r="J1499" s="1108"/>
      <c r="K1499" s="1108"/>
      <c r="L1499" s="1082"/>
      <c r="M1499" s="975">
        <v>320</v>
      </c>
    </row>
    <row r="1500" spans="1:13" s="1083" customFormat="1" ht="25.2" hidden="1" customHeight="1">
      <c r="A1500" s="1153">
        <f t="shared" si="97"/>
        <v>0</v>
      </c>
      <c r="B1500" s="1324" t="s">
        <v>1083</v>
      </c>
      <c r="C1500" s="1324"/>
      <c r="D1500" s="1078"/>
      <c r="E1500" s="1091">
        <f>VLOOKUP($B1500,DG!A:D,DG!$B$2,)</f>
        <v>0</v>
      </c>
      <c r="F1500" s="1080" t="str">
        <f>VLOOKUP($B1500,DG!A:D,DG!$C$2,)</f>
        <v>Boulon 16x400+ 2 long đền vuông D18-50x50x3/Zn</v>
      </c>
      <c r="G1500" s="1091" t="str">
        <f>VLOOKUP($B1500,DG!A:D,DG!$D$2,)</f>
        <v>bộ</v>
      </c>
      <c r="H1500" s="1851">
        <f>H1497*2</f>
        <v>0</v>
      </c>
      <c r="I1500" s="1259">
        <f t="shared" si="96"/>
        <v>0</v>
      </c>
      <c r="J1500" s="1108"/>
      <c r="K1500" s="1108"/>
      <c r="L1500" s="1082"/>
      <c r="M1500" s="975">
        <v>320</v>
      </c>
    </row>
    <row r="1501" spans="1:13" s="1083" customFormat="1" ht="25.2" hidden="1" customHeight="1">
      <c r="A1501" s="1153">
        <f t="shared" si="97"/>
        <v>0</v>
      </c>
      <c r="B1501" s="1324" t="s">
        <v>138</v>
      </c>
      <c r="C1501" s="1324"/>
      <c r="D1501" s="1078"/>
      <c r="E1501" s="1091">
        <f>VLOOKUP($B1501,DG!A:D,DG!$B$2,)</f>
        <v>0</v>
      </c>
      <c r="F1501" s="1080" t="str">
        <f>VLOOKUP($B1501,DG!A:D,DG!$C$2,)</f>
        <v>Boulon 12x40+ 2 long đền vuông D14-50x50x3/Zn</v>
      </c>
      <c r="G1501" s="1091" t="str">
        <f>VLOOKUP($B1501,DG!A:D,DG!$D$2,)</f>
        <v>bộ</v>
      </c>
      <c r="H1501" s="1851">
        <f>H1497*2</f>
        <v>0</v>
      </c>
      <c r="I1501" s="1259">
        <f t="shared" si="96"/>
        <v>0</v>
      </c>
      <c r="J1501" s="1108"/>
      <c r="K1501" s="1108"/>
      <c r="L1501" s="1082"/>
      <c r="M1501" s="975">
        <v>320</v>
      </c>
    </row>
    <row r="1502" spans="1:13" s="1083" customFormat="1" ht="25.2" hidden="1" customHeight="1">
      <c r="A1502" s="1153">
        <f t="shared" si="97"/>
        <v>0</v>
      </c>
      <c r="B1502" s="1324" t="s">
        <v>2248</v>
      </c>
      <c r="C1502" s="1324"/>
      <c r="D1502" s="1078"/>
      <c r="E1502" s="1091" t="str">
        <f>VLOOKUP($B1502,DG!A:D,DG!$B$2,)</f>
        <v>05.6044</v>
      </c>
      <c r="F1502" s="1080" t="str">
        <f>VLOOKUP($B1502,DG!A:D,DG!$C$2,)</f>
        <v>Lắp xà cột Pi loại ≤140kg/xà</v>
      </c>
      <c r="G1502" s="1091" t="str">
        <f>VLOOKUP($B1502,DG!A:D,DG!$D$2,)</f>
        <v>bộ</v>
      </c>
      <c r="H1502" s="1851">
        <f>H1497/2</f>
        <v>0</v>
      </c>
      <c r="I1502" s="1259">
        <f t="shared" si="96"/>
        <v>0</v>
      </c>
      <c r="J1502" s="1146"/>
      <c r="K1502" s="1108"/>
      <c r="L1502" s="1082"/>
      <c r="M1502" s="975">
        <v>320</v>
      </c>
    </row>
    <row r="1503" spans="1:13" s="1083" customFormat="1" ht="25.2" hidden="1" customHeight="1">
      <c r="A1503" s="1153">
        <f t="shared" si="97"/>
        <v>0</v>
      </c>
      <c r="B1503" s="1324" t="s">
        <v>217</v>
      </c>
      <c r="C1503" s="1324"/>
      <c r="D1503" s="1078"/>
      <c r="E1503" s="1091" t="str">
        <f>VLOOKUP($B1503,DG!A:D,DG!$B$2,)</f>
        <v>02.1115</v>
      </c>
      <c r="F1503" s="1080" t="str">
        <f>VLOOKUP($B1503,DG!A:D,DG!$C$2,)</f>
        <v>Bốc dỡ xà, thép thanh</v>
      </c>
      <c r="G1503" s="1091" t="str">
        <f>VLOOKUP($B1503,DG!A:D,DG!$D$2,)</f>
        <v>tấn</v>
      </c>
      <c r="H1503" s="1851">
        <f>0.05*0</f>
        <v>0</v>
      </c>
      <c r="I1503" s="1259">
        <f t="shared" si="96"/>
        <v>0</v>
      </c>
      <c r="J1503" s="1108"/>
      <c r="K1503" s="1108"/>
      <c r="L1503" s="1082"/>
      <c r="M1503" s="975">
        <v>320</v>
      </c>
    </row>
    <row r="1504" spans="1:13" s="1083" customFormat="1" ht="25.2" hidden="1" customHeight="1">
      <c r="A1504" s="1153">
        <f t="shared" si="97"/>
        <v>0</v>
      </c>
      <c r="B1504" s="1324" t="s">
        <v>1613</v>
      </c>
      <c r="C1504" s="1324"/>
      <c r="D1504" s="1078"/>
      <c r="E1504" s="1091">
        <f>VLOOKUP($B1504,DG!A:D,DG!$B$2,)</f>
        <v>0</v>
      </c>
      <c r="F1504" s="1080" t="str">
        <f>VLOOKUP($B1504,DG!A:D,DG!$C$2,)</f>
        <v>Boulon 16x300+ 2 long đền vuông D18-50x50x3/Zn</v>
      </c>
      <c r="G1504" s="1079" t="s">
        <v>2445</v>
      </c>
      <c r="H1504" s="1851">
        <f>H1497*2*0</f>
        <v>0</v>
      </c>
      <c r="I1504" s="1259">
        <f t="shared" si="96"/>
        <v>0</v>
      </c>
      <c r="J1504" s="1108"/>
      <c r="K1504" s="1108"/>
      <c r="L1504" s="1082"/>
      <c r="M1504" s="975">
        <v>320</v>
      </c>
    </row>
    <row r="1505" spans="1:13" s="1083" customFormat="1" ht="25.2" hidden="1" customHeight="1">
      <c r="A1505" s="1153">
        <f t="shared" si="97"/>
        <v>0</v>
      </c>
      <c r="B1505" s="1324" t="s">
        <v>1612</v>
      </c>
      <c r="C1505" s="1324"/>
      <c r="D1505" s="1078"/>
      <c r="E1505" s="1091">
        <f>VLOOKUP($B1505,DG!A:D,DG!$B$2,)</f>
        <v>0</v>
      </c>
      <c r="F1505" s="1080" t="str">
        <f>VLOOKUP($B1505,DG!A:D,DG!$C$2,)</f>
        <v>Boulon 16x250+ 2 long đền vuông D18-50x50x3/Zn</v>
      </c>
      <c r="G1505" s="1079" t="s">
        <v>2445</v>
      </c>
      <c r="H1505" s="1851">
        <f>2*H1497*2*0</f>
        <v>0</v>
      </c>
      <c r="I1505" s="1259">
        <f t="shared" si="96"/>
        <v>0</v>
      </c>
      <c r="J1505" s="1108"/>
      <c r="K1505" s="1108"/>
      <c r="L1505" s="1082"/>
      <c r="M1505" s="975">
        <v>320</v>
      </c>
    </row>
    <row r="1506" spans="1:13" s="1083" customFormat="1" ht="25.2" hidden="1" customHeight="1" collapsed="1">
      <c r="A1506" s="1153">
        <f t="shared" si="97"/>
        <v>0</v>
      </c>
      <c r="B1506" s="1324"/>
      <c r="C1506" s="1324"/>
      <c r="D1506" s="1084">
        <f>IF(H1506&gt;0,D1497+1,D1497)</f>
        <v>0</v>
      </c>
      <c r="E1506" s="1085"/>
      <c r="F1506" s="1130" t="s">
        <v>3755</v>
      </c>
      <c r="G1506" s="1084" t="s">
        <v>2391</v>
      </c>
      <c r="H1506" s="1867">
        <f>H1445*0</f>
        <v>0</v>
      </c>
      <c r="I1506" s="1259">
        <f t="shared" si="96"/>
        <v>0</v>
      </c>
      <c r="J1506" s="1081"/>
      <c r="K1506" s="1081"/>
      <c r="L1506" s="1110"/>
      <c r="M1506" s="975">
        <v>320</v>
      </c>
    </row>
    <row r="1507" spans="1:13" s="1083" customFormat="1" ht="25.2" hidden="1" customHeight="1">
      <c r="A1507" s="1153">
        <f t="shared" si="97"/>
        <v>0</v>
      </c>
      <c r="B1507" s="1324"/>
      <c r="C1507" s="1324"/>
      <c r="D1507" s="1078"/>
      <c r="E1507" s="1088"/>
      <c r="F1507" s="1367" t="s">
        <v>2285</v>
      </c>
      <c r="G1507" s="1090"/>
      <c r="H1507" s="1851"/>
      <c r="I1507" s="1259">
        <f t="shared" si="96"/>
        <v>0</v>
      </c>
      <c r="J1507" s="1081"/>
      <c r="K1507" s="1081"/>
      <c r="L1507" s="1110"/>
      <c r="M1507" s="975">
        <v>320</v>
      </c>
    </row>
    <row r="1508" spans="1:13" s="1083" customFormat="1" ht="25.2" hidden="1" customHeight="1">
      <c r="A1508" s="1153">
        <f t="shared" si="97"/>
        <v>0</v>
      </c>
      <c r="B1508" s="1324" t="s">
        <v>2026</v>
      </c>
      <c r="C1508" s="1324"/>
      <c r="D1508" s="1078"/>
      <c r="E1508" s="1091">
        <f>VLOOKUP($B1508,DG!A:D,DG!$B$2,)</f>
        <v>0</v>
      </c>
      <c r="F1508" s="1080" t="str">
        <f>VLOOKUP($B1508,DG!A:D,DG!$C$2,)</f>
        <v>Sắt góc L75 x75 x8</v>
      </c>
      <c r="G1508" s="1079" t="s">
        <v>2254</v>
      </c>
      <c r="H1508" s="1851">
        <f>H1506*9.02*(2.4+4*0.07)*2</f>
        <v>0</v>
      </c>
      <c r="I1508" s="1259">
        <f t="shared" si="96"/>
        <v>0</v>
      </c>
      <c r="J1508" s="1081"/>
      <c r="K1508" s="1081"/>
      <c r="L1508" s="1110"/>
      <c r="M1508" s="975">
        <v>320</v>
      </c>
    </row>
    <row r="1509" spans="1:13" s="1083" customFormat="1" ht="25.2" hidden="1" customHeight="1">
      <c r="A1509" s="1153">
        <f t="shared" si="97"/>
        <v>0</v>
      </c>
      <c r="B1509" s="1324" t="s">
        <v>1035</v>
      </c>
      <c r="C1509" s="1324"/>
      <c r="D1509" s="1078"/>
      <c r="E1509" s="1091">
        <f>VLOOKUP($B1509,DG!A:D,DG!$B$2,)</f>
        <v>0</v>
      </c>
      <c r="F1509" s="1080" t="str">
        <f>VLOOKUP($B1509,DG!A:D,DG!$C$2,)&amp;" (Thanh choáng 810)"</f>
        <v>Sắt góc L50 x50 x5 (Thanh choáng 810)</v>
      </c>
      <c r="G1509" s="1079" t="s">
        <v>2254</v>
      </c>
      <c r="H1509" s="1851">
        <f>H1506*3.77*0.81*4</f>
        <v>0</v>
      </c>
      <c r="I1509" s="1259">
        <f t="shared" si="96"/>
        <v>0</v>
      </c>
      <c r="J1509" s="1081"/>
      <c r="K1509" s="1081"/>
      <c r="L1509" s="1110"/>
      <c r="M1509" s="975">
        <v>320</v>
      </c>
    </row>
    <row r="1510" spans="1:13" s="1083" customFormat="1" ht="25.2" hidden="1" customHeight="1">
      <c r="A1510" s="1153">
        <f t="shared" si="97"/>
        <v>0</v>
      </c>
      <c r="B1510" s="1324" t="s">
        <v>1613</v>
      </c>
      <c r="C1510" s="1324"/>
      <c r="D1510" s="1078"/>
      <c r="E1510" s="1091">
        <f>VLOOKUP($B1510,DG!A:D,DG!$B$2,)</f>
        <v>0</v>
      </c>
      <c r="F1510" s="1080" t="str">
        <f>VLOOKUP($B1510,DG!A:D,DG!$C$2,)</f>
        <v>Boulon 16x300+ 2 long đền vuông D18-50x50x3/Zn</v>
      </c>
      <c r="G1510" s="1079" t="s">
        <v>2445</v>
      </c>
      <c r="H1510" s="1851">
        <f>H1506*2</f>
        <v>0</v>
      </c>
      <c r="I1510" s="1259">
        <f t="shared" si="96"/>
        <v>0</v>
      </c>
      <c r="J1510" s="1081"/>
      <c r="K1510" s="1081"/>
      <c r="L1510" s="1110"/>
      <c r="M1510" s="975">
        <v>320</v>
      </c>
    </row>
    <row r="1511" spans="1:13" s="1083" customFormat="1" ht="25.2" hidden="1" customHeight="1">
      <c r="A1511" s="1153">
        <f t="shared" si="97"/>
        <v>0</v>
      </c>
      <c r="B1511" s="1324" t="s">
        <v>1790</v>
      </c>
      <c r="C1511" s="1324"/>
      <c r="D1511" s="1078"/>
      <c r="E1511" s="1091">
        <f>VLOOKUP($B1511,DG!A:D,DG!$B$2,)</f>
        <v>0</v>
      </c>
      <c r="F1511" s="1080" t="str">
        <f>VLOOKUP($B1511,DG!A:D,DG!$C$2,)</f>
        <v>Boulon 16x50+ 2 long đền vuông D18-50x50x3/Zn</v>
      </c>
      <c r="G1511" s="1079" t="s">
        <v>2445</v>
      </c>
      <c r="H1511" s="1851">
        <f>H1506*4</f>
        <v>0</v>
      </c>
      <c r="I1511" s="1259">
        <f t="shared" si="96"/>
        <v>0</v>
      </c>
      <c r="J1511" s="1081"/>
      <c r="K1511" s="1081"/>
      <c r="L1511" s="1110"/>
      <c r="M1511" s="975">
        <v>320</v>
      </c>
    </row>
    <row r="1512" spans="1:13" s="1083" customFormat="1" ht="25.2" hidden="1" customHeight="1">
      <c r="A1512" s="1153">
        <f t="shared" si="97"/>
        <v>0</v>
      </c>
      <c r="B1512" s="1324" t="s">
        <v>1788</v>
      </c>
      <c r="C1512" s="1324"/>
      <c r="D1512" s="1078"/>
      <c r="E1512" s="1091">
        <f>VLOOKUP($B1512,DG!A:D,DG!$B$2,)</f>
        <v>0</v>
      </c>
      <c r="F1512" s="1080" t="str">
        <f>VLOOKUP($B1512,DG!A:D,DG!$C$2,)</f>
        <v>Boulon 16x300VRS+ 4 long đền vuông D18-50x50x3/Zn</v>
      </c>
      <c r="G1512" s="1079" t="s">
        <v>2445</v>
      </c>
      <c r="H1512" s="1851">
        <f>H1506*4</f>
        <v>0</v>
      </c>
      <c r="I1512" s="1259">
        <f t="shared" si="96"/>
        <v>0</v>
      </c>
      <c r="J1512" s="1081"/>
      <c r="K1512" s="1081"/>
      <c r="L1512" s="1110"/>
      <c r="M1512" s="975">
        <v>320</v>
      </c>
    </row>
    <row r="1513" spans="1:13" s="1083" customFormat="1" ht="25.2" hidden="1" customHeight="1">
      <c r="A1513" s="1153">
        <f t="shared" si="97"/>
        <v>0</v>
      </c>
      <c r="B1513" s="1324" t="s">
        <v>517</v>
      </c>
      <c r="C1513" s="1324"/>
      <c r="D1513" s="1078"/>
      <c r="E1513" s="1091" t="str">
        <f>VLOOKUP($B1513,DG!A:D,DG!$B$2,)</f>
        <v>05.6203</v>
      </c>
      <c r="F1513" s="1080" t="str">
        <f>VLOOKUP($B1513,DG!A:D,DG!$C$2,)</f>
        <v>Lắp xà néo ≤ 100kg</v>
      </c>
      <c r="G1513" s="1079" t="s">
        <v>2445</v>
      </c>
      <c r="H1513" s="1851">
        <f>H1506</f>
        <v>0</v>
      </c>
      <c r="I1513" s="1259">
        <f t="shared" si="96"/>
        <v>0</v>
      </c>
      <c r="J1513" s="1081"/>
      <c r="K1513" s="1081"/>
      <c r="L1513" s="1110"/>
      <c r="M1513" s="975">
        <v>320</v>
      </c>
    </row>
    <row r="1514" spans="1:13" s="1083" customFormat="1" ht="25.2" hidden="1" customHeight="1">
      <c r="A1514" s="1153">
        <f t="shared" si="97"/>
        <v>0</v>
      </c>
      <c r="B1514" s="1324"/>
      <c r="C1514" s="1324"/>
      <c r="D1514" s="1084">
        <f>IF(H1514&gt;0,D1506+1,D1506)</f>
        <v>0</v>
      </c>
      <c r="E1514" s="1085"/>
      <c r="F1514" s="1130" t="s">
        <v>3756</v>
      </c>
      <c r="G1514" s="1084" t="s">
        <v>2391</v>
      </c>
      <c r="H1514" s="1867">
        <f>H1445*0</f>
        <v>0</v>
      </c>
      <c r="I1514" s="1259">
        <f t="shared" si="96"/>
        <v>0</v>
      </c>
      <c r="J1514" s="1081"/>
      <c r="K1514" s="1081"/>
      <c r="L1514" s="1110"/>
      <c r="M1514" s="975">
        <v>320</v>
      </c>
    </row>
    <row r="1515" spans="1:13" s="1083" customFormat="1" ht="25.2" hidden="1" customHeight="1">
      <c r="A1515" s="1153">
        <f t="shared" si="97"/>
        <v>0</v>
      </c>
      <c r="B1515" s="1324"/>
      <c r="C1515" s="1324"/>
      <c r="D1515" s="1078"/>
      <c r="E1515" s="1088"/>
      <c r="F1515" s="1367" t="s">
        <v>2285</v>
      </c>
      <c r="G1515" s="1090"/>
      <c r="H1515" s="1851"/>
      <c r="I1515" s="1259">
        <f t="shared" si="96"/>
        <v>0</v>
      </c>
      <c r="J1515" s="1081"/>
      <c r="K1515" s="1081"/>
      <c r="L1515" s="1110"/>
      <c r="M1515" s="975">
        <v>320</v>
      </c>
    </row>
    <row r="1516" spans="1:13" s="1083" customFormat="1" ht="25.2" hidden="1" customHeight="1">
      <c r="A1516" s="1153">
        <f t="shared" si="97"/>
        <v>0</v>
      </c>
      <c r="B1516" s="1324" t="s">
        <v>2026</v>
      </c>
      <c r="C1516" s="1324"/>
      <c r="D1516" s="1078"/>
      <c r="E1516" s="1091">
        <f>VLOOKUP($B1516,DG!A:D,DG!$B$2,)</f>
        <v>0</v>
      </c>
      <c r="F1516" s="1080" t="str">
        <f>VLOOKUP($B1516,DG!A:D,DG!$C$2,)</f>
        <v>Sắt góc L75 x75 x8</v>
      </c>
      <c r="G1516" s="1079" t="s">
        <v>2254</v>
      </c>
      <c r="H1516" s="1851">
        <f>H1514*9.42*(2.2+4*0.07)</f>
        <v>0</v>
      </c>
      <c r="I1516" s="1259">
        <f t="shared" si="96"/>
        <v>0</v>
      </c>
      <c r="J1516" s="1081"/>
      <c r="K1516" s="1081"/>
      <c r="L1516" s="1110"/>
      <c r="M1516" s="975">
        <v>320</v>
      </c>
    </row>
    <row r="1517" spans="1:13" s="1083" customFormat="1" ht="25.2" hidden="1" customHeight="1">
      <c r="A1517" s="1153">
        <f t="shared" si="97"/>
        <v>0</v>
      </c>
      <c r="B1517" s="1324" t="s">
        <v>1035</v>
      </c>
      <c r="C1517" s="1324"/>
      <c r="D1517" s="1078"/>
      <c r="E1517" s="1091">
        <f>VLOOKUP($B1517,DG!A:D,DG!$B$2,)</f>
        <v>0</v>
      </c>
      <c r="F1517" s="1080" t="str">
        <f>VLOOKUP($B1517,DG!A:D,DG!$C$2,)&amp;" (Thanh choáng 810)"</f>
        <v>Sắt góc L50 x50 x5 (Thanh choáng 810)</v>
      </c>
      <c r="G1517" s="1079" t="s">
        <v>2254</v>
      </c>
      <c r="H1517" s="1851">
        <f>H1514*3.77*0.81*2</f>
        <v>0</v>
      </c>
      <c r="I1517" s="1259">
        <f t="shared" si="96"/>
        <v>0</v>
      </c>
      <c r="J1517" s="1081"/>
      <c r="K1517" s="1081"/>
      <c r="L1517" s="1110"/>
      <c r="M1517" s="975">
        <v>320</v>
      </c>
    </row>
    <row r="1518" spans="1:13" s="1083" customFormat="1" ht="25.2" hidden="1" customHeight="1">
      <c r="A1518" s="1153">
        <f t="shared" si="97"/>
        <v>0</v>
      </c>
      <c r="B1518" s="1324" t="s">
        <v>1079</v>
      </c>
      <c r="C1518" s="1324"/>
      <c r="D1518" s="1078"/>
      <c r="E1518" s="1091">
        <f>VLOOKUP($B1518,DG!A:D,DG!$B$2,)</f>
        <v>0</v>
      </c>
      <c r="F1518" s="1080" t="str">
        <f>VLOOKUP($B1518,DG!A:D,DG!$C$2,)</f>
        <v>Boulon 16x350+ 2 long đền vuông D18-50x50x3/Zn</v>
      </c>
      <c r="G1518" s="1079" t="s">
        <v>2445</v>
      </c>
      <c r="H1518" s="1851">
        <f>H1514*2</f>
        <v>0</v>
      </c>
      <c r="I1518" s="1259">
        <f t="shared" ref="I1518:I1581" si="98">IF(M1518=$M$23,H1518+J1518-K1518,0)</f>
        <v>0</v>
      </c>
      <c r="J1518" s="1081"/>
      <c r="K1518" s="1081"/>
      <c r="L1518" s="1110"/>
      <c r="M1518" s="975">
        <v>320</v>
      </c>
    </row>
    <row r="1519" spans="1:13" s="1083" customFormat="1" ht="25.2" hidden="1" customHeight="1">
      <c r="A1519" s="1153">
        <f t="shared" si="97"/>
        <v>0</v>
      </c>
      <c r="B1519" s="1324" t="s">
        <v>1790</v>
      </c>
      <c r="C1519" s="1324"/>
      <c r="D1519" s="1078"/>
      <c r="E1519" s="1091">
        <f>VLOOKUP($B1519,DG!A:D,DG!$B$2,)</f>
        <v>0</v>
      </c>
      <c r="F1519" s="1080" t="str">
        <f>VLOOKUP($B1519,DG!A:D,DG!$C$2,)</f>
        <v>Boulon 16x50+ 2 long đền vuông D18-50x50x3/Zn</v>
      </c>
      <c r="G1519" s="1079" t="s">
        <v>2445</v>
      </c>
      <c r="H1519" s="1851">
        <f>H1514*2</f>
        <v>0</v>
      </c>
      <c r="I1519" s="1259">
        <f t="shared" si="98"/>
        <v>0</v>
      </c>
      <c r="J1519" s="1081"/>
      <c r="K1519" s="1081"/>
      <c r="L1519" s="1110"/>
      <c r="M1519" s="975">
        <v>320</v>
      </c>
    </row>
    <row r="1520" spans="1:13" s="1083" customFormat="1" ht="25.2" hidden="1" customHeight="1">
      <c r="A1520" s="1153">
        <f t="shared" si="97"/>
        <v>0</v>
      </c>
      <c r="B1520" s="1324" t="s">
        <v>1739</v>
      </c>
      <c r="C1520" s="1324"/>
      <c r="D1520" s="1078"/>
      <c r="E1520" s="1091">
        <f>VLOOKUP($B1520,DG!A:D,DG!$B$2,)</f>
        <v>0</v>
      </c>
      <c r="F1520" s="1080" t="str">
        <f>VLOOKUP($B1520,DG!A:D,DG!$C$2,)</f>
        <v>Bass LI bắt FCO</v>
      </c>
      <c r="G1520" s="1079" t="s">
        <v>2445</v>
      </c>
      <c r="H1520" s="1851">
        <f>IF(H1514&gt;0,3,)*0</f>
        <v>0</v>
      </c>
      <c r="I1520" s="1259">
        <f t="shared" si="98"/>
        <v>0</v>
      </c>
      <c r="J1520" s="1081"/>
      <c r="K1520" s="1081"/>
      <c r="L1520" s="1110"/>
      <c r="M1520" s="975">
        <v>320</v>
      </c>
    </row>
    <row r="1521" spans="1:13" s="1083" customFormat="1" ht="25.2" hidden="1" customHeight="1">
      <c r="A1521" s="1153">
        <f t="shared" si="97"/>
        <v>0</v>
      </c>
      <c r="B1521" s="1324" t="s">
        <v>988</v>
      </c>
      <c r="C1521" s="1324"/>
      <c r="D1521" s="1078"/>
      <c r="E1521" s="1091" t="str">
        <f>VLOOKUP($B1521,DG!A:D,DG!$B$2,)</f>
        <v>06.3231</v>
      </c>
      <c r="F1521" s="1080" t="str">
        <f>VLOOKUP($B1521,DG!A:D,DG!$C$2,)</f>
        <v xml:space="preserve">Cổ dê chống lắc 8x80x800 </v>
      </c>
      <c r="G1521" s="1079" t="s">
        <v>2445</v>
      </c>
      <c r="H1521" s="1851">
        <f>H1514*0</f>
        <v>0</v>
      </c>
      <c r="I1521" s="1259">
        <f t="shared" si="98"/>
        <v>0</v>
      </c>
      <c r="J1521" s="1081"/>
      <c r="K1521" s="1081"/>
      <c r="L1521" s="1110"/>
      <c r="M1521" s="975">
        <v>320</v>
      </c>
    </row>
    <row r="1522" spans="1:13" s="1083" customFormat="1" ht="25.2" hidden="1" customHeight="1">
      <c r="A1522" s="1153">
        <f t="shared" si="97"/>
        <v>0</v>
      </c>
      <c r="B1522" s="1324" t="s">
        <v>1443</v>
      </c>
      <c r="C1522" s="1324"/>
      <c r="D1522" s="1078"/>
      <c r="E1522" s="1091" t="str">
        <f>VLOOKUP($B1522,DG!A:D,DG!$B$2,)</f>
        <v>05.6102</v>
      </c>
      <c r="F1522" s="1080" t="str">
        <f>VLOOKUP($B1522,DG!A:D,DG!$C$2,)</f>
        <v>Lắp xà đỡ ≤ 50kg</v>
      </c>
      <c r="G1522" s="1079" t="s">
        <v>2445</v>
      </c>
      <c r="H1522" s="1851">
        <f>H1514</f>
        <v>0</v>
      </c>
      <c r="I1522" s="1259">
        <f t="shared" si="98"/>
        <v>0</v>
      </c>
      <c r="J1522" s="1081"/>
      <c r="K1522" s="1081"/>
      <c r="L1522" s="1110"/>
      <c r="M1522" s="975">
        <v>320</v>
      </c>
    </row>
    <row r="1523" spans="1:13" s="1083" customFormat="1" ht="25.2" hidden="1" customHeight="1">
      <c r="A1523" s="1153">
        <f t="shared" si="97"/>
        <v>0</v>
      </c>
      <c r="B1523" s="1324"/>
      <c r="C1523" s="1324"/>
      <c r="D1523" s="1084">
        <f>IF(H1523&gt;0,D1514+1,D1514)</f>
        <v>0</v>
      </c>
      <c r="E1523" s="1085"/>
      <c r="F1523" s="1130" t="s">
        <v>3738</v>
      </c>
      <c r="G1523" s="1084" t="s">
        <v>2391</v>
      </c>
      <c r="H1523" s="1867">
        <f>H1445</f>
        <v>0</v>
      </c>
      <c r="I1523" s="1259">
        <f t="shared" si="98"/>
        <v>0</v>
      </c>
      <c r="J1523" s="1081"/>
      <c r="K1523" s="1081"/>
      <c r="L1523" s="1110"/>
      <c r="M1523" s="975">
        <v>320</v>
      </c>
    </row>
    <row r="1524" spans="1:13" s="1083" customFormat="1" ht="25.2" hidden="1" customHeight="1">
      <c r="A1524" s="1153">
        <f t="shared" si="97"/>
        <v>0</v>
      </c>
      <c r="B1524" s="1355"/>
      <c r="C1524" s="1355"/>
      <c r="D1524" s="1078"/>
      <c r="E1524" s="1088"/>
      <c r="F1524" s="1367" t="s">
        <v>2285</v>
      </c>
      <c r="G1524" s="1090"/>
      <c r="H1524" s="1851"/>
      <c r="I1524" s="1259">
        <f t="shared" si="98"/>
        <v>0</v>
      </c>
      <c r="J1524" s="1081"/>
      <c r="K1524" s="1081"/>
      <c r="L1524" s="1110"/>
      <c r="M1524" s="975">
        <v>320</v>
      </c>
    </row>
    <row r="1525" spans="1:13" s="1083" customFormat="1" ht="25.2" hidden="1" customHeight="1">
      <c r="A1525" s="1153">
        <f t="shared" si="97"/>
        <v>0</v>
      </c>
      <c r="B1525" s="1324" t="s">
        <v>1033</v>
      </c>
      <c r="C1525" s="1324"/>
      <c r="D1525" s="1078"/>
      <c r="E1525" s="1079">
        <f>VLOOKUP($B1525,DG!A:D,DG!$B$2,)</f>
        <v>0</v>
      </c>
      <c r="F1525" s="1080" t="str">
        <f>VLOOKUP($B1525,DG!A:D,DG!$C$2,)</f>
        <v>Cáp đồng trần M25mm2</v>
      </c>
      <c r="G1525" s="1091" t="str">
        <f>VLOOKUP($B1525,DG!A:D,DG!$D$2,)</f>
        <v>kg</v>
      </c>
      <c r="H1525" s="2184">
        <f>54*0.224*H1523</f>
        <v>0</v>
      </c>
      <c r="I1525" s="1259">
        <f t="shared" si="98"/>
        <v>0</v>
      </c>
      <c r="J1525" s="1081"/>
      <c r="K1525" s="1081"/>
      <c r="L1525" s="1110"/>
      <c r="M1525" s="975">
        <v>320</v>
      </c>
    </row>
    <row r="1526" spans="1:13" s="1083" customFormat="1" ht="25.2" hidden="1" customHeight="1">
      <c r="A1526" s="1153">
        <f t="shared" si="97"/>
        <v>0</v>
      </c>
      <c r="B1526" s="1324" t="s">
        <v>1033</v>
      </c>
      <c r="C1526" s="1324"/>
      <c r="D1526" s="1078"/>
      <c r="E1526" s="1079">
        <f>VLOOKUP($B1526,DG!A:D,DG!$B$2,)</f>
        <v>0</v>
      </c>
      <c r="F1526" s="1080" t="str">
        <f>VLOOKUP($B1526,DG!A:D,DG!$C$2,)</f>
        <v>Cáp đồng trần M25mm2</v>
      </c>
      <c r="G1526" s="1079" t="str">
        <f>VLOOKUP($B1526,DG!A:D,DG!$D$2,)</f>
        <v>kg</v>
      </c>
      <c r="H1526" s="1851">
        <f>17*0.224*H1523*0</f>
        <v>0</v>
      </c>
      <c r="I1526" s="1259">
        <f t="shared" si="98"/>
        <v>0</v>
      </c>
      <c r="J1526" s="1081"/>
      <c r="K1526" s="1081"/>
      <c r="L1526" s="1110"/>
      <c r="M1526" s="975">
        <v>320</v>
      </c>
    </row>
    <row r="1527" spans="1:13" s="1083" customFormat="1" ht="25.2" hidden="1" customHeight="1">
      <c r="A1527" s="1153">
        <f t="shared" si="97"/>
        <v>0</v>
      </c>
      <c r="B1527" s="1154" t="s">
        <v>1511</v>
      </c>
      <c r="C1527" s="1154"/>
      <c r="D1527" s="1078"/>
      <c r="E1527" s="1079">
        <f>VLOOKUP($B1527,DG!A:D,DG!$B$2,)</f>
        <v>0</v>
      </c>
      <c r="F1527" s="1080" t="str">
        <f>VLOOKUP($B1527,DG!A:D,DG!$C$2,)</f>
        <v>Cọc tiếp đất Þ 16- 2,4m + kẹp cọc mạ đồng</v>
      </c>
      <c r="G1527" s="1091" t="str">
        <f>VLOOKUP($B1527,DG!A:D,DG!$D$2,)</f>
        <v>bộ</v>
      </c>
      <c r="H1527" s="1851">
        <f>I2</f>
        <v>9</v>
      </c>
      <c r="I1527" s="1259">
        <f t="shared" si="98"/>
        <v>0</v>
      </c>
      <c r="J1527" s="1081"/>
      <c r="K1527" s="1081"/>
      <c r="L1527" s="1110"/>
      <c r="M1527" s="975">
        <v>320</v>
      </c>
    </row>
    <row r="1528" spans="1:13" s="1083" customFormat="1" ht="25.2" hidden="1" customHeight="1">
      <c r="A1528" s="1153">
        <f t="shared" si="97"/>
        <v>0</v>
      </c>
      <c r="B1528" s="1154" t="s">
        <v>1493</v>
      </c>
      <c r="C1528" s="1154"/>
      <c r="D1528" s="1078"/>
      <c r="E1528" s="1079" t="str">
        <f>VLOOKUP($B1528,DG!A:D,DG!$B$2,)</f>
        <v>07.2403</v>
      </c>
      <c r="F1528" s="1080" t="str">
        <f>VLOOKUP($B1528,DG!A:D,DG!$C$2,)&amp;": 02 trụ"</f>
        <v>Ống PVC D21x1,6mm : 02 trụ</v>
      </c>
      <c r="G1528" s="1079" t="str">
        <f>VLOOKUP($B1528,DG!A:D,DG!$D$2,)</f>
        <v>m</v>
      </c>
      <c r="H1528" s="1851">
        <v>8</v>
      </c>
      <c r="I1528" s="1259">
        <f t="shared" si="98"/>
        <v>0</v>
      </c>
      <c r="J1528" s="1081"/>
      <c r="K1528" s="1081"/>
      <c r="L1528" s="1082"/>
      <c r="M1528" s="975">
        <v>320</v>
      </c>
    </row>
    <row r="1529" spans="1:13" s="1083" customFormat="1" ht="25.2" hidden="1" customHeight="1">
      <c r="A1529" s="1153">
        <f t="shared" si="97"/>
        <v>0</v>
      </c>
      <c r="B1529" s="1329" t="s">
        <v>1582</v>
      </c>
      <c r="C1529" s="1329"/>
      <c r="D1529" s="1078"/>
      <c r="E1529" s="1079">
        <f>VLOOKUP($B1529,DG!A:D,DG!$B$2,)</f>
        <v>0</v>
      </c>
      <c r="F1529" s="1080" t="str">
        <f>VLOOKUP($B1529,DG!A:D,DG!$C$2,)&amp; " bắt dây trung tính "</f>
        <v xml:space="preserve">Kẹp ép WR cỡ dây 50mm2 bắt dây trung tính </v>
      </c>
      <c r="G1529" s="1091" t="str">
        <f>VLOOKUP($B1529,DG!A:D,DG!$D$2,)</f>
        <v>cái</v>
      </c>
      <c r="H1529" s="1851">
        <f>2*H1523</f>
        <v>0</v>
      </c>
      <c r="I1529" s="1259">
        <f t="shared" si="98"/>
        <v>0</v>
      </c>
      <c r="J1529" s="1081"/>
      <c r="K1529" s="1081"/>
      <c r="L1529" s="1110"/>
      <c r="M1529" s="975">
        <v>320</v>
      </c>
    </row>
    <row r="1530" spans="1:13" s="1083" customFormat="1" ht="25.2" hidden="1" customHeight="1">
      <c r="A1530" s="1153">
        <f t="shared" si="97"/>
        <v>0</v>
      </c>
      <c r="B1530" s="1329" t="s">
        <v>1398</v>
      </c>
      <c r="C1530" s="1329"/>
      <c r="D1530" s="1132"/>
      <c r="E1530" s="1079">
        <f>VLOOKUP($B1530,DG!A:D,DG!$B$2,)</f>
        <v>0</v>
      </c>
      <c r="F1530" s="1080" t="str">
        <f>VLOOKUP($B1530,DG!A:D,DG!$C$2,)&amp;": bắt lưới tiếp địa"</f>
        <v>Kẹp ép cỡ dây 25mm2: bắt lưới tiếp địa</v>
      </c>
      <c r="G1530" s="1091" t="str">
        <f>VLOOKUP($B1530,DG!A:D,DG!$D$2,)</f>
        <v>cái</v>
      </c>
      <c r="H1530" s="1851">
        <f>H1523*12</f>
        <v>0</v>
      </c>
      <c r="I1530" s="1259">
        <f t="shared" si="98"/>
        <v>0</v>
      </c>
      <c r="J1530" s="1081"/>
      <c r="K1530" s="1081"/>
      <c r="L1530" s="1110"/>
      <c r="M1530" s="975">
        <v>320</v>
      </c>
    </row>
    <row r="1531" spans="1:13" s="1083" customFormat="1" ht="25.2" hidden="1" customHeight="1">
      <c r="A1531" s="1153">
        <f t="shared" si="97"/>
        <v>0</v>
      </c>
      <c r="B1531" s="1154" t="s">
        <v>138</v>
      </c>
      <c r="C1531" s="1154"/>
      <c r="D1531" s="1078"/>
      <c r="E1531" s="1079">
        <f>VLOOKUP($B1531,DG!A:D,DG!$B$2,)</f>
        <v>0</v>
      </c>
      <c r="F1531" s="1080" t="str">
        <f>VLOOKUP($B1531,DG!A:D,DG!$C$2,)</f>
        <v>Boulon 12x40+ 2 long đền vuông D14-50x50x3/Zn</v>
      </c>
      <c r="G1531" s="1091" t="str">
        <f>VLOOKUP($B1531,DG!A:D,DG!$D$2,)</f>
        <v>bộ</v>
      </c>
      <c r="H1531" s="1851"/>
      <c r="I1531" s="1259">
        <f t="shared" si="98"/>
        <v>0</v>
      </c>
      <c r="J1531" s="1081"/>
      <c r="K1531" s="1081"/>
      <c r="L1531" s="1110"/>
      <c r="M1531" s="975">
        <v>320</v>
      </c>
    </row>
    <row r="1532" spans="1:13" s="1083" customFormat="1" ht="25.2" hidden="1" customHeight="1">
      <c r="A1532" s="1153">
        <f t="shared" si="97"/>
        <v>0</v>
      </c>
      <c r="B1532" s="1154" t="s">
        <v>104</v>
      </c>
      <c r="C1532" s="1154"/>
      <c r="D1532" s="1078"/>
      <c r="E1532" s="1079" t="str">
        <f>VLOOKUP($B1532,DG!A:D,DG!$B$2,)</f>
        <v>03.4001</v>
      </c>
      <c r="F1532" s="1080" t="str">
        <f>VLOOKUP($B1532,DG!A:D,DG!$C$2,)</f>
        <v>Đầu cosse ép Cu 25mm2</v>
      </c>
      <c r="G1532" s="1091" t="str">
        <f>VLOOKUP($B1532,DG!A:D,DG!$D$2,)</f>
        <v>cái</v>
      </c>
      <c r="H1532" s="1851"/>
      <c r="I1532" s="1259">
        <f t="shared" si="98"/>
        <v>0</v>
      </c>
      <c r="J1532" s="1081"/>
      <c r="K1532" s="1081"/>
      <c r="L1532" s="1110"/>
      <c r="M1532" s="975">
        <v>320</v>
      </c>
    </row>
    <row r="1533" spans="1:13" s="1083" customFormat="1" ht="25.2" hidden="1" customHeight="1">
      <c r="A1533" s="1153">
        <f t="shared" si="97"/>
        <v>0</v>
      </c>
      <c r="B1533" s="1154" t="s">
        <v>525</v>
      </c>
      <c r="C1533" s="1154"/>
      <c r="D1533" s="1078"/>
      <c r="E1533" s="1079" t="str">
        <f>VLOOKUP($B1533,DG!A:D,DG!$B$2,)</f>
        <v>06.3231</v>
      </c>
      <c r="F1533" s="1080" t="str">
        <f>VLOOKUP($B1533,DG!A:D,DG!$C$2,)&amp;": 02 bộ CD-250"</f>
        <v>Cổ dê kẹp ống PVC  21: 02 bộ CD-250</v>
      </c>
      <c r="G1533" s="1079" t="str">
        <f>VLOOKUP($B1533,DG!A:D,DG!$D$2,)</f>
        <v>bộ</v>
      </c>
      <c r="H1533" s="1851"/>
      <c r="I1533" s="1259">
        <f t="shared" si="98"/>
        <v>0</v>
      </c>
      <c r="J1533" s="1081"/>
      <c r="K1533" s="1081"/>
      <c r="L1533" s="1082"/>
      <c r="M1533" s="975">
        <v>320</v>
      </c>
    </row>
    <row r="1534" spans="1:13" s="1083" customFormat="1" ht="25.2" hidden="1" customHeight="1">
      <c r="A1534" s="1153">
        <f t="shared" si="97"/>
        <v>0</v>
      </c>
      <c r="B1534" s="1154" t="s">
        <v>525</v>
      </c>
      <c r="C1534" s="1154"/>
      <c r="D1534" s="1078"/>
      <c r="E1534" s="1079" t="str">
        <f>VLOOKUP($B1534,DG!A:D,DG!$B$2,)</f>
        <v>06.3231</v>
      </c>
      <c r="F1534" s="1080" t="str">
        <f>VLOOKUP($B1534,DG!A:D,DG!$C$2,)&amp;": 02 bộ CD-280"</f>
        <v>Cổ dê kẹp ống PVC  21: 02 bộ CD-280</v>
      </c>
      <c r="G1534" s="1079" t="str">
        <f>VLOOKUP($B1534,DG!A:D,DG!$D$2,)</f>
        <v>bộ</v>
      </c>
      <c r="H1534" s="1851">
        <v>1</v>
      </c>
      <c r="I1534" s="1259">
        <f t="shared" si="98"/>
        <v>0</v>
      </c>
      <c r="J1534" s="1081"/>
      <c r="K1534" s="1081"/>
      <c r="L1534" s="1082"/>
      <c r="M1534" s="975">
        <v>320</v>
      </c>
    </row>
    <row r="1535" spans="1:13" s="1083" customFormat="1" ht="25.2" hidden="1" customHeight="1">
      <c r="A1535" s="1153">
        <f t="shared" si="97"/>
        <v>0</v>
      </c>
      <c r="B1535" s="1154" t="s">
        <v>525</v>
      </c>
      <c r="C1535" s="1154"/>
      <c r="D1535" s="1078"/>
      <c r="E1535" s="1079" t="str">
        <f>VLOOKUP($B1535,DG!A:D,DG!$B$2,)</f>
        <v>06.3231</v>
      </c>
      <c r="F1535" s="1080" t="str">
        <f>VLOOKUP($B1535,DG!A:D,DG!$C$2,)&amp;": 02 bộ CD-320"</f>
        <v>Cổ dê kẹp ống PVC  21: 02 bộ CD-320</v>
      </c>
      <c r="G1535" s="1079" t="str">
        <f>VLOOKUP($B1535,DG!A:D,DG!$D$2,)</f>
        <v>bộ</v>
      </c>
      <c r="H1535" s="1851">
        <v>1</v>
      </c>
      <c r="I1535" s="1259">
        <f t="shared" si="98"/>
        <v>0</v>
      </c>
      <c r="J1535" s="1081"/>
      <c r="K1535" s="1081"/>
      <c r="L1535" s="1082"/>
      <c r="M1535" s="975">
        <v>320</v>
      </c>
    </row>
    <row r="1536" spans="1:13" s="1083" customFormat="1" ht="25.2" hidden="1" customHeight="1">
      <c r="A1536" s="1153">
        <f t="shared" si="97"/>
        <v>0</v>
      </c>
      <c r="B1536" s="1154" t="s">
        <v>1131</v>
      </c>
      <c r="C1536" s="1154"/>
      <c r="D1536" s="1078"/>
      <c r="E1536" s="1079" t="str">
        <f>VLOOKUP($B1536,DG!A:D,DG!$B$2,)</f>
        <v>06.2110</v>
      </c>
      <c r="F1536" s="1080" t="str">
        <f>VLOOKUP($B1536,DG!A:D,DG!$C$2,)&amp;": 06 bộ"</f>
        <v>Lắp cổ dề: 06 bộ</v>
      </c>
      <c r="G1536" s="1079" t="str">
        <f>VLOOKUP($B1536,DG!A:D,DG!$D$2,)</f>
        <v>bộ</v>
      </c>
      <c r="H1536" s="1851">
        <f>H1523*2</f>
        <v>0</v>
      </c>
      <c r="I1536" s="1259">
        <f t="shared" si="98"/>
        <v>0</v>
      </c>
      <c r="J1536" s="1081"/>
      <c r="K1536" s="1081"/>
      <c r="L1536" s="1082"/>
      <c r="M1536" s="975">
        <v>320</v>
      </c>
    </row>
    <row r="1537" spans="1:16" s="1083" customFormat="1" ht="25.2" hidden="1" customHeight="1">
      <c r="A1537" s="1153">
        <f t="shared" si="97"/>
        <v>0</v>
      </c>
      <c r="B1537" s="1154" t="s">
        <v>138</v>
      </c>
      <c r="C1537" s="1154"/>
      <c r="D1537" s="1078"/>
      <c r="E1537" s="1079">
        <f>VLOOKUP($B1537,DG!A:D,DG!$B$2,)</f>
        <v>0</v>
      </c>
      <c r="F1537" s="1080" t="str">
        <f>VLOOKUP($B1537,DG!A:D,DG!$C$2,)</f>
        <v>Boulon 12x40+ 2 long đền vuông D14-50x50x3/Zn</v>
      </c>
      <c r="G1537" s="1079" t="str">
        <f>VLOOKUP($B1537,DG!A:D,DG!$D$2,)</f>
        <v>bộ</v>
      </c>
      <c r="H1537" s="1851"/>
      <c r="I1537" s="1259">
        <f t="shared" si="98"/>
        <v>0</v>
      </c>
      <c r="J1537" s="1081"/>
      <c r="K1537" s="1081"/>
      <c r="L1537" s="1082"/>
      <c r="M1537" s="975">
        <v>320</v>
      </c>
    </row>
    <row r="1538" spans="1:16" s="1083" customFormat="1" ht="25.2" hidden="1" customHeight="1">
      <c r="A1538" s="1153">
        <f t="shared" si="97"/>
        <v>0</v>
      </c>
      <c r="B1538" s="1154" t="s">
        <v>1989</v>
      </c>
      <c r="C1538" s="1154"/>
      <c r="D1538" s="1078"/>
      <c r="E1538" s="1079">
        <f>VLOOKUP($B1538,DG!A:D,DG!$B$2,)</f>
        <v>0</v>
      </c>
      <c r="F1538" s="1080" t="str">
        <f>VLOOKUP($B1538,DG!A:D,DG!$C$2,)</f>
        <v>Boulon 12x60+ 2 long đền vuông D14-50x50x3/Zn</v>
      </c>
      <c r="G1538" s="1079" t="str">
        <f>VLOOKUP($B1538,DG!A:D,DG!$D$2,)</f>
        <v>bộ</v>
      </c>
      <c r="H1538" s="1851"/>
      <c r="I1538" s="1259">
        <f t="shared" si="98"/>
        <v>0</v>
      </c>
      <c r="J1538" s="1081"/>
      <c r="K1538" s="1081"/>
      <c r="L1538" s="1082"/>
      <c r="M1538" s="975">
        <v>320</v>
      </c>
    </row>
    <row r="1539" spans="1:16" s="1083" customFormat="1" ht="25.2" hidden="1" customHeight="1">
      <c r="A1539" s="1153">
        <f t="shared" si="97"/>
        <v>0</v>
      </c>
      <c r="B1539" s="1154" t="s">
        <v>1588</v>
      </c>
      <c r="C1539" s="1154"/>
      <c r="D1539" s="1078"/>
      <c r="E1539" s="1079">
        <f>VLOOKUP($B1539,DG!A:D,DG!$B$2,)</f>
        <v>0</v>
      </c>
      <c r="F1539" s="1080" t="str">
        <f>VLOOKUP($B1539,DG!A:D,DG!$C$2,)</f>
        <v>Giếng tiếp địa khoan đất</v>
      </c>
      <c r="G1539" s="1079" t="str">
        <f>VLOOKUP($B1539,DG!A:D,DG!$D$2,)</f>
        <v>Cái</v>
      </c>
      <c r="H1539" s="1851">
        <f>M3*H1523</f>
        <v>0</v>
      </c>
      <c r="I1539" s="1259">
        <f t="shared" si="98"/>
        <v>0</v>
      </c>
      <c r="J1539" s="1081"/>
      <c r="K1539" s="1081"/>
      <c r="L1539" s="1110"/>
      <c r="M1539" s="975">
        <v>320</v>
      </c>
    </row>
    <row r="1540" spans="1:16" s="1083" customFormat="1" ht="25.2" hidden="1" customHeight="1">
      <c r="A1540" s="1153">
        <f t="shared" si="97"/>
        <v>0</v>
      </c>
      <c r="B1540" s="1154" t="str">
        <f>"DTD"&amp;chitiet!G5</f>
        <v>DTD3</v>
      </c>
      <c r="C1540" s="1154"/>
      <c r="D1540" s="1090"/>
      <c r="E1540" s="1079" t="str">
        <f>VLOOKUP($B1540,DG!A:D,DG!$B$2,)</f>
        <v>03.3123</v>
      </c>
      <c r="F1540" s="1080" t="str">
        <f>VLOOKUP($B1540,DG!A:D,DG!$C$2,)</f>
        <v>Đào rãnh tiếp địa đất cấp 3</v>
      </c>
      <c r="G1540" s="1091" t="str">
        <f>VLOOKUP($B1540,DG!A:D,DG!$D$2,)</f>
        <v>m3</v>
      </c>
      <c r="H1540" s="1167">
        <f>0.3*0.2*36*H1523</f>
        <v>0</v>
      </c>
      <c r="I1540" s="1259">
        <f t="shared" si="98"/>
        <v>0</v>
      </c>
      <c r="J1540" s="1081"/>
      <c r="K1540" s="1081"/>
      <c r="L1540" s="1110"/>
      <c r="M1540" s="975">
        <v>320</v>
      </c>
    </row>
    <row r="1541" spans="1:16" s="1083" customFormat="1" ht="25.2" hidden="1" customHeight="1">
      <c r="A1541" s="1153">
        <f t="shared" si="97"/>
        <v>0</v>
      </c>
      <c r="B1541" s="1154" t="str">
        <f>"DATD"&amp;chitiet!G5</f>
        <v>DATD3</v>
      </c>
      <c r="C1541" s="1154"/>
      <c r="D1541" s="1090"/>
      <c r="E1541" s="1079" t="str">
        <f>VLOOKUP($B1541,DG!A:D,DG!$B$2,)</f>
        <v>03.4123</v>
      </c>
      <c r="F1541" s="1080" t="str">
        <f>VLOOKUP($B1541,DG!A:D,DG!$C$2,)</f>
        <v>Đắp đất rãnh tiếp độ chặt k=0,85</v>
      </c>
      <c r="G1541" s="1091" t="str">
        <f>VLOOKUP($B1541,DG!A:D,DG!$D$2,)</f>
        <v>m3</v>
      </c>
      <c r="H1541" s="1167">
        <f>H1540</f>
        <v>0</v>
      </c>
      <c r="I1541" s="1259">
        <f t="shared" si="98"/>
        <v>0</v>
      </c>
      <c r="J1541" s="1081"/>
      <c r="K1541" s="1081"/>
      <c r="L1541" s="1110"/>
      <c r="M1541" s="975">
        <v>320</v>
      </c>
    </row>
    <row r="1542" spans="1:16" s="1083" customFormat="1" ht="25.2" hidden="1" customHeight="1">
      <c r="A1542" s="1153">
        <f t="shared" si="97"/>
        <v>0</v>
      </c>
      <c r="B1542" s="1154" t="s">
        <v>902</v>
      </c>
      <c r="C1542" s="1154"/>
      <c r="D1542" s="1090"/>
      <c r="E1542" s="1079" t="str">
        <f>VLOOKUP($B1542,DG!A:D,DG!$B$2,)</f>
        <v>04.7001</v>
      </c>
      <c r="F1542" s="1080" t="str">
        <f>VLOOKUP($B1542,DG!A:D,DG!$C$2,)</f>
        <v>Đóng cọc tiếp địa trong TBA</v>
      </c>
      <c r="G1542" s="1091" t="str">
        <f>VLOOKUP($B1542,DG!A:D,DG!$D$2,)</f>
        <v>cọc</v>
      </c>
      <c r="H1542" s="1167">
        <f>H1527</f>
        <v>9</v>
      </c>
      <c r="I1542" s="1259">
        <f t="shared" si="98"/>
        <v>0</v>
      </c>
      <c r="J1542" s="1081"/>
      <c r="K1542" s="1081"/>
      <c r="L1542" s="1110"/>
      <c r="M1542" s="975">
        <v>320</v>
      </c>
    </row>
    <row r="1543" spans="1:16" s="1083" customFormat="1" ht="25.2" hidden="1" customHeight="1">
      <c r="A1543" s="1153">
        <f t="shared" si="97"/>
        <v>0</v>
      </c>
      <c r="B1543" s="1154" t="s">
        <v>1440</v>
      </c>
      <c r="C1543" s="1154"/>
      <c r="D1543" s="1078"/>
      <c r="E1543" s="1079" t="str">
        <f>VLOOKUP($B1543,DG!A:D,DG!$B$2,)</f>
        <v>04.7002</v>
      </c>
      <c r="F1543" s="1080" t="str">
        <f>VLOOKUP($B1543,DG!A:D,DG!$C$2,)</f>
        <v>Kéo dây tiếp địa trong TBA</v>
      </c>
      <c r="G1543" s="1091" t="str">
        <f>VLOOKUP($B1543,DG!A:D,DG!$D$2,)</f>
        <v>mét</v>
      </c>
      <c r="H1543" s="1851">
        <v>45</v>
      </c>
      <c r="I1543" s="1259">
        <f t="shared" si="98"/>
        <v>0</v>
      </c>
      <c r="J1543" s="1081"/>
      <c r="K1543" s="1081"/>
      <c r="L1543" s="1110"/>
      <c r="M1543" s="975">
        <v>320</v>
      </c>
    </row>
    <row r="1544" spans="1:16" s="1083" customFormat="1" ht="25.2" hidden="1" customHeight="1">
      <c r="A1544" s="1153">
        <f t="shared" si="97"/>
        <v>0</v>
      </c>
      <c r="B1544" s="1324"/>
      <c r="C1544" s="1324"/>
      <c r="D1544" s="1084">
        <f>IF(H1544&gt;0,D1523+1,D1523)</f>
        <v>1</v>
      </c>
      <c r="E1544" s="1085"/>
      <c r="F1544" s="1086" t="s">
        <v>4835</v>
      </c>
      <c r="G1544" s="1084" t="s">
        <v>2391</v>
      </c>
      <c r="H1544" s="1867">
        <v>1</v>
      </c>
      <c r="I1544" s="1259">
        <f t="shared" si="98"/>
        <v>0</v>
      </c>
      <c r="J1544" s="1081"/>
      <c r="K1544" s="1081"/>
      <c r="L1544" s="1082"/>
      <c r="M1544" s="975">
        <v>320</v>
      </c>
    </row>
    <row r="1545" spans="1:16" s="1083" customFormat="1" ht="25.2" hidden="1" customHeight="1">
      <c r="A1545" s="1153">
        <f t="shared" si="97"/>
        <v>0</v>
      </c>
      <c r="B1545" s="1324"/>
      <c r="C1545" s="1324"/>
      <c r="D1545" s="1078"/>
      <c r="E1545" s="1088"/>
      <c r="F1545" s="1367" t="s">
        <v>2285</v>
      </c>
      <c r="G1545" s="1090"/>
      <c r="H1545" s="1851"/>
      <c r="I1545" s="1259">
        <f t="shared" si="98"/>
        <v>0</v>
      </c>
      <c r="J1545" s="1081"/>
      <c r="K1545" s="1081"/>
      <c r="L1545" s="1082"/>
      <c r="M1545" s="975">
        <v>320</v>
      </c>
    </row>
    <row r="1546" spans="1:16" s="1083" customFormat="1" ht="25.2" hidden="1" customHeight="1">
      <c r="A1546" s="1153">
        <f t="shared" si="97"/>
        <v>0</v>
      </c>
      <c r="B1546" s="1324" t="s">
        <v>653</v>
      </c>
      <c r="C1546" s="1324"/>
      <c r="D1546" s="1090"/>
      <c r="E1546" s="1091">
        <f>VLOOKUP($B1546,DG!A:D,DG!$B$2,)</f>
        <v>0</v>
      </c>
      <c r="F1546" s="1092" t="str">
        <f>VLOOKUP($B1546,DG!A:D,DG!$C$2,)</f>
        <v>Ximăng (PC40)</v>
      </c>
      <c r="G1546" s="1091" t="str">
        <f>VLOOKUP($B1546,DG!A:D,DG!$D$2,)</f>
        <v>kg</v>
      </c>
      <c r="H1546" s="1851">
        <v>370</v>
      </c>
      <c r="I1546" s="1259">
        <f t="shared" si="98"/>
        <v>0</v>
      </c>
      <c r="J1546" s="1081"/>
      <c r="K1546" s="1081"/>
      <c r="L1546" s="1082"/>
      <c r="M1546" s="975">
        <v>320</v>
      </c>
    </row>
    <row r="1547" spans="1:16" s="1083" customFormat="1" ht="25.2" hidden="1" customHeight="1">
      <c r="A1547" s="1153">
        <f t="shared" si="97"/>
        <v>0</v>
      </c>
      <c r="B1547" s="1324" t="s">
        <v>4434</v>
      </c>
      <c r="C1547" s="1324"/>
      <c r="D1547" s="1078"/>
      <c r="E1547" s="1091">
        <f>VLOOKUP($B1547,DG!A:D,DG!$B$2,)</f>
        <v>0</v>
      </c>
      <c r="F1547" s="1092" t="str">
        <f>VLOOKUP($B1547,DG!A:D,DG!$C$2,)</f>
        <v>Cát vàng</v>
      </c>
      <c r="G1547" s="1091" t="str">
        <f>VLOOKUP($B1547,DG!A:D,DG!$D$2,)</f>
        <v>m3</v>
      </c>
      <c r="H1547" s="1851">
        <v>0.46</v>
      </c>
      <c r="I1547" s="1259">
        <f t="shared" si="98"/>
        <v>0</v>
      </c>
      <c r="J1547" s="1081"/>
      <c r="K1547" s="1081"/>
      <c r="L1547" s="1082"/>
      <c r="M1547" s="975">
        <v>320</v>
      </c>
    </row>
    <row r="1548" spans="1:16" s="1083" customFormat="1" ht="25.2" hidden="1" customHeight="1">
      <c r="A1548" s="1153">
        <f t="shared" si="97"/>
        <v>0</v>
      </c>
      <c r="B1548" s="1324" t="s">
        <v>216</v>
      </c>
      <c r="C1548" s="1324"/>
      <c r="D1548" s="1078"/>
      <c r="E1548" s="1091">
        <f>VLOOKUP($B1548,DG!A:D,DG!$B$2,)</f>
        <v>0</v>
      </c>
      <c r="F1548" s="1092" t="str">
        <f>VLOOKUP($B1548,DG!A:D,DG!$C$2,)</f>
        <v>Đá 1x2</v>
      </c>
      <c r="G1548" s="1091" t="str">
        <f>VLOOKUP($B1548,DG!A:D,DG!$D$2,)</f>
        <v>m3</v>
      </c>
      <c r="H1548" s="1851">
        <v>0.89</v>
      </c>
      <c r="I1548" s="1259">
        <f t="shared" si="98"/>
        <v>0</v>
      </c>
      <c r="J1548" s="1081"/>
      <c r="K1548" s="1081"/>
      <c r="L1548" s="1082"/>
      <c r="M1548" s="975">
        <v>320</v>
      </c>
    </row>
    <row r="1549" spans="1:16" s="1083" customFormat="1" ht="25.2" hidden="1" customHeight="1">
      <c r="A1549" s="1153">
        <f t="shared" si="97"/>
        <v>0</v>
      </c>
      <c r="B1549" s="1324" t="s">
        <v>654</v>
      </c>
      <c r="C1549" s="1324"/>
      <c r="D1549" s="1090"/>
      <c r="E1549" s="1091" t="str">
        <f>VLOOKUP($B1549,DG!A:D,DG!$B$2,)</f>
        <v>04.1203c</v>
      </c>
      <c r="F1549" s="1092" t="str">
        <f>VLOOKUP($B1549,DG!A:D,DG!$C$2,)</f>
        <v>Đổ bê tông móng trụ &lt;=250cm-M200 đá 1x2</v>
      </c>
      <c r="G1549" s="1091" t="str">
        <f>VLOOKUP($B1549,DG!A:D,DG!$D$2,)</f>
        <v>m3</v>
      </c>
      <c r="H1549" s="1851">
        <v>1.17</v>
      </c>
      <c r="I1549" s="1259">
        <f t="shared" si="98"/>
        <v>0</v>
      </c>
      <c r="J1549" s="1081"/>
      <c r="K1549" s="1081"/>
      <c r="L1549" s="1082"/>
      <c r="M1549" s="975">
        <v>320</v>
      </c>
      <c r="N1549" s="1093">
        <f>1.025*0.45</f>
        <v>0.46124999999999999</v>
      </c>
      <c r="O1549" s="1093">
        <f>1.025*0.866</f>
        <v>0.88764999999999994</v>
      </c>
      <c r="P1549" s="1237"/>
    </row>
    <row r="1550" spans="1:16" s="1083" customFormat="1" ht="25.2" hidden="1" customHeight="1">
      <c r="A1550" s="1153">
        <f t="shared" si="97"/>
        <v>0</v>
      </c>
      <c r="B1550" s="1324"/>
      <c r="C1550" s="1324"/>
      <c r="D1550" s="1084">
        <f>IF(H1550&gt;0,D1544+1,D1544)</f>
        <v>1</v>
      </c>
      <c r="E1550" s="1085"/>
      <c r="F1550" s="1086" t="s">
        <v>3740</v>
      </c>
      <c r="G1550" s="1084" t="s">
        <v>2391</v>
      </c>
      <c r="H1550" s="1867"/>
      <c r="I1550" s="1259">
        <f t="shared" si="98"/>
        <v>0</v>
      </c>
      <c r="J1550" s="1081"/>
      <c r="K1550" s="1081"/>
      <c r="L1550" s="1082"/>
      <c r="M1550" s="975">
        <v>320</v>
      </c>
    </row>
    <row r="1551" spans="1:16" s="1083" customFormat="1" ht="25.2" hidden="1" customHeight="1">
      <c r="A1551" s="1153">
        <f t="shared" si="97"/>
        <v>0</v>
      </c>
      <c r="B1551" s="1324"/>
      <c r="C1551" s="1324"/>
      <c r="D1551" s="1078"/>
      <c r="E1551" s="1088"/>
      <c r="F1551" s="1367" t="s">
        <v>2285</v>
      </c>
      <c r="G1551" s="1090"/>
      <c r="H1551" s="1851"/>
      <c r="I1551" s="1259">
        <f t="shared" si="98"/>
        <v>0</v>
      </c>
      <c r="J1551" s="1081"/>
      <c r="K1551" s="1081"/>
      <c r="L1551" s="1082"/>
      <c r="M1551" s="975">
        <v>320</v>
      </c>
    </row>
    <row r="1552" spans="1:16" s="1083" customFormat="1" ht="25.2" hidden="1" customHeight="1">
      <c r="A1552" s="1153">
        <f t="shared" si="97"/>
        <v>0</v>
      </c>
      <c r="B1552" s="1324" t="s">
        <v>653</v>
      </c>
      <c r="C1552" s="1324"/>
      <c r="D1552" s="1090"/>
      <c r="E1552" s="1091">
        <f>VLOOKUP($B1552,DG!A:D,DG!$B$2,)</f>
        <v>0</v>
      </c>
      <c r="F1552" s="1092" t="str">
        <f>VLOOKUP($B1552,DG!A:D,DG!$C$2,)</f>
        <v>Ximăng (PC40)</v>
      </c>
      <c r="G1552" s="1091" t="str">
        <f>VLOOKUP($B1552,DG!A:D,DG!$D$2,)</f>
        <v>kg</v>
      </c>
      <c r="H1552" s="1851">
        <f>H1555*M1555</f>
        <v>0</v>
      </c>
      <c r="I1552" s="1259">
        <f t="shared" si="98"/>
        <v>0</v>
      </c>
      <c r="J1552" s="1081"/>
      <c r="K1552" s="1081"/>
      <c r="L1552" s="1082"/>
      <c r="M1552" s="975">
        <v>320</v>
      </c>
    </row>
    <row r="1553" spans="1:16" s="1083" customFormat="1" ht="25.2" hidden="1" customHeight="1">
      <c r="A1553" s="1153">
        <f t="shared" si="97"/>
        <v>0</v>
      </c>
      <c r="B1553" s="1324" t="s">
        <v>4434</v>
      </c>
      <c r="C1553" s="1324"/>
      <c r="D1553" s="1078"/>
      <c r="E1553" s="1091">
        <f>VLOOKUP($B1553,DG!A:D,DG!$B$2,)</f>
        <v>0</v>
      </c>
      <c r="F1553" s="1092" t="str">
        <f>VLOOKUP($B1553,DG!A:D,DG!$C$2,)</f>
        <v>Cát vàng</v>
      </c>
      <c r="G1553" s="1091" t="str">
        <f>VLOOKUP($B1553,DG!A:D,DG!$D$2,)</f>
        <v>m3</v>
      </c>
      <c r="H1553" s="1868">
        <f>H1555*N1555</f>
        <v>0</v>
      </c>
      <c r="I1553" s="1259">
        <f t="shared" si="98"/>
        <v>0</v>
      </c>
      <c r="J1553" s="1081"/>
      <c r="K1553" s="1081"/>
      <c r="L1553" s="1082"/>
      <c r="M1553" s="975">
        <v>320</v>
      </c>
    </row>
    <row r="1554" spans="1:16" s="1083" customFormat="1" ht="25.2" hidden="1" customHeight="1">
      <c r="A1554" s="1153">
        <f t="shared" si="97"/>
        <v>0</v>
      </c>
      <c r="B1554" s="1324" t="s">
        <v>216</v>
      </c>
      <c r="C1554" s="1324"/>
      <c r="D1554" s="1078"/>
      <c r="E1554" s="1091">
        <f>VLOOKUP($B1554,DG!A:D,DG!$B$2,)</f>
        <v>0</v>
      </c>
      <c r="F1554" s="1092" t="str">
        <f>VLOOKUP($B1554,DG!A:D,DG!$C$2,)</f>
        <v>Đá 1x2</v>
      </c>
      <c r="G1554" s="1091" t="str">
        <f>VLOOKUP($B1554,DG!A:D,DG!$D$2,)</f>
        <v>m3</v>
      </c>
      <c r="H1554" s="1868">
        <f>H1555*O1555</f>
        <v>0</v>
      </c>
      <c r="I1554" s="1259">
        <f t="shared" si="98"/>
        <v>0</v>
      </c>
      <c r="J1554" s="1081"/>
      <c r="K1554" s="1081"/>
      <c r="L1554" s="1082"/>
      <c r="M1554" s="975">
        <v>320</v>
      </c>
    </row>
    <row r="1555" spans="1:16" s="1083" customFormat="1" ht="25.2" hidden="1" customHeight="1">
      <c r="A1555" s="1153">
        <f t="shared" si="97"/>
        <v>0</v>
      </c>
      <c r="B1555" s="1324" t="s">
        <v>654</v>
      </c>
      <c r="C1555" s="1324"/>
      <c r="D1555" s="1090"/>
      <c r="E1555" s="1091" t="str">
        <f>VLOOKUP($B1555,DG!A:D,DG!$B$2,)</f>
        <v>04.1203c</v>
      </c>
      <c r="F1555" s="1092" t="str">
        <f>VLOOKUP($B1555,DG!A:D,DG!$C$2,)</f>
        <v>Đổ bê tông móng trụ &lt;=250cm-M200 đá 1x2</v>
      </c>
      <c r="G1555" s="1091" t="str">
        <f>VLOOKUP($B1555,DG!A:D,DG!$D$2,)</f>
        <v>m3</v>
      </c>
      <c r="H1555" s="1851">
        <f>H1550*0.2*0.2*(0.2+0.2+0.8+0.8+2*4)</f>
        <v>0</v>
      </c>
      <c r="I1555" s="1259">
        <f t="shared" si="98"/>
        <v>0</v>
      </c>
      <c r="J1555" s="1081"/>
      <c r="K1555" s="1081"/>
      <c r="L1555" s="1082"/>
      <c r="M1555" s="975">
        <v>320</v>
      </c>
      <c r="N1555" s="1093">
        <f>1.025*0.45</f>
        <v>0.46124999999999999</v>
      </c>
      <c r="O1555" s="1093">
        <f>1.025*0.866</f>
        <v>0.88764999999999994</v>
      </c>
      <c r="P1555" s="1237"/>
    </row>
    <row r="1556" spans="1:16" s="1083" customFormat="1" ht="25.2" hidden="1" customHeight="1">
      <c r="A1556" s="1153">
        <f t="shared" si="97"/>
        <v>0</v>
      </c>
      <c r="B1556" s="1324"/>
      <c r="C1556" s="1324"/>
      <c r="D1556" s="1084">
        <f>IF(H1556&gt;0,D1550+1,D1550)</f>
        <v>2</v>
      </c>
      <c r="E1556" s="1085"/>
      <c r="F1556" s="1086" t="s">
        <v>3757</v>
      </c>
      <c r="G1556" s="1084" t="s">
        <v>2391</v>
      </c>
      <c r="H1556" s="1867">
        <v>1</v>
      </c>
      <c r="I1556" s="1259">
        <f t="shared" si="98"/>
        <v>0</v>
      </c>
      <c r="J1556" s="1081"/>
      <c r="K1556" s="1081"/>
      <c r="L1556" s="1110"/>
      <c r="M1556" s="975">
        <v>320</v>
      </c>
    </row>
    <row r="1557" spans="1:16" s="1083" customFormat="1" ht="25.2" hidden="1" customHeight="1">
      <c r="A1557" s="1153">
        <f t="shared" si="97"/>
        <v>0</v>
      </c>
      <c r="B1557" s="1324"/>
      <c r="C1557" s="1324"/>
      <c r="D1557" s="1078"/>
      <c r="E1557" s="1088"/>
      <c r="F1557" s="1367" t="s">
        <v>2285</v>
      </c>
      <c r="G1557" s="1090"/>
      <c r="H1557" s="1851"/>
      <c r="I1557" s="1259">
        <f t="shared" si="98"/>
        <v>0</v>
      </c>
      <c r="J1557" s="1081"/>
      <c r="K1557" s="1081"/>
      <c r="L1557" s="1110"/>
      <c r="M1557" s="975">
        <v>320</v>
      </c>
    </row>
    <row r="1558" spans="1:16" s="1083" customFormat="1" ht="25.2" hidden="1" customHeight="1">
      <c r="A1558" s="1153">
        <f t="shared" si="97"/>
        <v>0</v>
      </c>
      <c r="B1558" s="1330" t="s">
        <v>1026</v>
      </c>
      <c r="C1558" s="1330"/>
      <c r="D1558" s="1090"/>
      <c r="E1558" s="1091" t="str">
        <f>VLOOKUP($B1558,DG!A:D,DG!$B$2,)</f>
        <v>05.1102</v>
      </c>
      <c r="F1558" s="1092" t="str">
        <f>VLOOKUP($B1558,DG!A:D,DG!$C$2,)&amp;" + thanh baét MCCB + bulong"</f>
        <v>Vỏ tủ + khóa tủ + thanh baét MCCB + bulong</v>
      </c>
      <c r="G1558" s="1091" t="str">
        <f>VLOOKUP($B1558,DG!A:D,DG!$D$2,)</f>
        <v>cái</v>
      </c>
      <c r="H1558" s="1851">
        <f>H1556</f>
        <v>1</v>
      </c>
      <c r="I1558" s="1259">
        <f t="shared" si="98"/>
        <v>0</v>
      </c>
      <c r="J1558" s="1081"/>
      <c r="K1558" s="1081"/>
      <c r="L1558" s="1110"/>
      <c r="M1558" s="975">
        <v>320</v>
      </c>
    </row>
    <row r="1559" spans="1:16" s="1083" customFormat="1" ht="25.2" hidden="1" customHeight="1">
      <c r="A1559" s="1153">
        <f t="shared" si="97"/>
        <v>0</v>
      </c>
      <c r="B1559" s="1356" t="s">
        <v>1231</v>
      </c>
      <c r="C1559" s="1356"/>
      <c r="D1559" s="1090"/>
      <c r="E1559" s="1091" t="str">
        <f>VLOOKUP($B1559,DG!A:D,DG!$B$2,)</f>
        <v>05.1102</v>
      </c>
      <c r="F1559" s="1092" t="str">
        <f>VLOOKUP($B1559,DG!A:D,DG!$C$2,)</f>
        <v>Khung đỡ tủ MCCB và tủ bù</v>
      </c>
      <c r="G1559" s="1091" t="str">
        <f>VLOOKUP($B1559,DG!A:D,DG!$D$2,)</f>
        <v>trọn bộ</v>
      </c>
      <c r="H1559" s="1851"/>
      <c r="I1559" s="1259">
        <f t="shared" si="98"/>
        <v>0</v>
      </c>
      <c r="J1559" s="1081"/>
      <c r="K1559" s="1081"/>
      <c r="L1559" s="1110"/>
      <c r="M1559" s="975">
        <v>320</v>
      </c>
    </row>
    <row r="1560" spans="1:16" s="1083" customFormat="1" ht="25.2" hidden="1" customHeight="1">
      <c r="A1560" s="1153">
        <f t="shared" si="97"/>
        <v>0</v>
      </c>
      <c r="B1560" s="1324" t="s">
        <v>1538</v>
      </c>
      <c r="C1560" s="1324"/>
      <c r="D1560" s="1078"/>
      <c r="E1560" s="1091">
        <f>VLOOKUP($B1560,DG!A:D,DG!$B$2,)</f>
        <v>0</v>
      </c>
      <c r="F1560" s="1092" t="str">
        <f>VLOOKUP($B1560,DG!A:D,DG!$C$2,)</f>
        <v>Giá nới + Thanh cái tủ CB</v>
      </c>
      <c r="G1560" s="1091" t="str">
        <f>VLOOKUP($B1560,DG!A:D,DG!$D$2,)</f>
        <v>bộ</v>
      </c>
      <c r="H1560" s="1868">
        <f>H1556*0</f>
        <v>0</v>
      </c>
      <c r="I1560" s="1259">
        <f t="shared" si="98"/>
        <v>0</v>
      </c>
      <c r="J1560" s="1081"/>
      <c r="K1560" s="1081"/>
      <c r="L1560" s="1110"/>
      <c r="M1560" s="975">
        <v>320</v>
      </c>
    </row>
    <row r="1561" spans="1:16" s="1083" customFormat="1" ht="25.2" hidden="1" customHeight="1">
      <c r="A1561" s="1153">
        <f t="shared" si="97"/>
        <v>0</v>
      </c>
      <c r="B1561" s="1324" t="s">
        <v>880</v>
      </c>
      <c r="C1561" s="1324"/>
      <c r="D1561" s="1078"/>
      <c r="E1561" s="1091">
        <f>VLOOKUP($B1561,DG!A:D,DG!$B$2,)</f>
        <v>0</v>
      </c>
      <c r="F1561" s="1092" t="str">
        <f>VLOOKUP($B1561,DG!A:D,DG!$C$2,)</f>
        <v xml:space="preserve">Bakelit 550x450 dầy 10mm </v>
      </c>
      <c r="G1561" s="1091" t="str">
        <f>VLOOKUP($B1561,DG!A:D,DG!$D$2,)</f>
        <v>cái</v>
      </c>
      <c r="H1561" s="1851">
        <v>3</v>
      </c>
      <c r="I1561" s="1259">
        <f t="shared" si="98"/>
        <v>0</v>
      </c>
      <c r="J1561" s="1081"/>
      <c r="K1561" s="1081"/>
      <c r="L1561" s="1110"/>
      <c r="M1561" s="975">
        <v>320</v>
      </c>
    </row>
    <row r="1562" spans="1:16" s="1083" customFormat="1" ht="25.2" hidden="1" customHeight="1">
      <c r="A1562" s="1153">
        <f t="shared" ref="A1562:A1625" si="99">IF(I1562&gt;0,1,0)</f>
        <v>0</v>
      </c>
      <c r="B1562" s="1324" t="s">
        <v>289</v>
      </c>
      <c r="C1562" s="1324"/>
      <c r="D1562" s="1090"/>
      <c r="E1562" s="1091" t="str">
        <f>VLOOKUP($B1562,DG!A:D,DG!$B$2,)</f>
        <v>06.3191</v>
      </c>
      <c r="F1562" s="1092" t="str">
        <f>VLOOKUP($B1562,DG!A:D,DG!$C$2,)</f>
        <v>Bảng tên trạm, bảng báo nguy hiểm + đinh vít</v>
      </c>
      <c r="G1562" s="1091" t="str">
        <f>VLOOKUP($B1562,DG!A:D,DG!$D$2,)</f>
        <v>bộ</v>
      </c>
      <c r="H1562" s="1851">
        <v>1</v>
      </c>
      <c r="I1562" s="1259">
        <f t="shared" si="98"/>
        <v>0</v>
      </c>
      <c r="J1562" s="1081"/>
      <c r="K1562" s="1081"/>
      <c r="L1562" s="1110"/>
      <c r="M1562" s="975">
        <v>320</v>
      </c>
    </row>
    <row r="1563" spans="1:16" s="1083" customFormat="1" ht="25.2" hidden="1" customHeight="1">
      <c r="A1563" s="1153">
        <f t="shared" si="99"/>
        <v>0</v>
      </c>
      <c r="B1563" s="1324"/>
      <c r="C1563" s="1324"/>
      <c r="D1563" s="1084">
        <f>IF(H1563&gt;0,D1556+1,D1556)</f>
        <v>2</v>
      </c>
      <c r="E1563" s="1085"/>
      <c r="F1563" s="1086" t="s">
        <v>3742</v>
      </c>
      <c r="G1563" s="1084" t="s">
        <v>2538</v>
      </c>
      <c r="H1563" s="1867">
        <f>H1445*0</f>
        <v>0</v>
      </c>
      <c r="I1563" s="1259">
        <f t="shared" si="98"/>
        <v>0</v>
      </c>
      <c r="J1563" s="1081"/>
      <c r="K1563" s="1081"/>
      <c r="L1563" s="1082"/>
      <c r="M1563" s="975">
        <v>320</v>
      </c>
    </row>
    <row r="1564" spans="1:16" s="1083" customFormat="1" ht="25.2" hidden="1" customHeight="1">
      <c r="A1564" s="1153">
        <f t="shared" si="99"/>
        <v>0</v>
      </c>
      <c r="B1564" s="1324"/>
      <c r="C1564" s="1324"/>
      <c r="D1564" s="1078"/>
      <c r="E1564" s="1088"/>
      <c r="F1564" s="1367" t="s">
        <v>2285</v>
      </c>
      <c r="G1564" s="1090"/>
      <c r="H1564" s="1851"/>
      <c r="I1564" s="1259">
        <f t="shared" si="98"/>
        <v>0</v>
      </c>
      <c r="J1564" s="1081"/>
      <c r="K1564" s="1081"/>
      <c r="L1564" s="1082"/>
      <c r="M1564" s="975">
        <v>320</v>
      </c>
    </row>
    <row r="1565" spans="1:16" s="1083" customFormat="1" ht="25.2" hidden="1" customHeight="1">
      <c r="A1565" s="1153">
        <f t="shared" si="99"/>
        <v>0</v>
      </c>
      <c r="B1565" s="1326" t="s">
        <v>752</v>
      </c>
      <c r="C1565" s="1326"/>
      <c r="D1565" s="1090"/>
      <c r="E1565" s="1091">
        <f>VLOOKUP($B1565,DG!A:D,DG!$B$2,)</f>
        <v>0</v>
      </c>
      <c r="F1565" s="1108" t="str">
        <f>VLOOKUP($B1565,DG!A:D,DG!$C$2,)&amp;": 0,315m3/m"</f>
        <v>Cát vàng: 0,315m3/m</v>
      </c>
      <c r="G1565" s="1091" t="str">
        <f>VLOOKUP($B1565,DG!A:D,DG!$D$2,)</f>
        <v>m3</v>
      </c>
      <c r="H1565" s="1851">
        <f>H1563*0.315</f>
        <v>0</v>
      </c>
      <c r="I1565" s="1259">
        <f t="shared" si="98"/>
        <v>0</v>
      </c>
      <c r="J1565" s="1081"/>
      <c r="K1565" s="1081"/>
      <c r="L1565" s="1082"/>
      <c r="M1565" s="975">
        <v>320</v>
      </c>
    </row>
    <row r="1566" spans="1:16" s="1083" customFormat="1" ht="25.2" hidden="1" customHeight="1">
      <c r="A1566" s="1153">
        <f t="shared" si="99"/>
        <v>0</v>
      </c>
      <c r="B1566" s="1326" t="s">
        <v>520</v>
      </c>
      <c r="C1566" s="1326"/>
      <c r="D1566" s="1090"/>
      <c r="E1566" s="1091">
        <f>VLOOKUP($B1566,DG!A:D,DG!$B$2,)</f>
        <v>0</v>
      </c>
      <c r="F1566" s="1108" t="str">
        <f>VLOOKUP($B1566,DG!A:D,DG!$C$2,)&amp;": 0,092m3/m"</f>
        <v>Đá 2x4: 0,092m3/m</v>
      </c>
      <c r="G1566" s="1091" t="str">
        <f>VLOOKUP($B1566,DG!A:D,DG!$D$2,)</f>
        <v>m3</v>
      </c>
      <c r="H1566" s="1851">
        <f>0.092*H1563</f>
        <v>0</v>
      </c>
      <c r="I1566" s="1259">
        <f t="shared" si="98"/>
        <v>0</v>
      </c>
      <c r="J1566" s="1081"/>
      <c r="K1566" s="1081"/>
      <c r="L1566" s="1082"/>
      <c r="M1566" s="975">
        <v>320</v>
      </c>
    </row>
    <row r="1567" spans="1:16" s="1083" customFormat="1" ht="25.2" hidden="1" customHeight="1">
      <c r="A1567" s="1153">
        <f t="shared" si="99"/>
        <v>0</v>
      </c>
      <c r="B1567" s="1326" t="s">
        <v>1679</v>
      </c>
      <c r="C1567" s="1326"/>
      <c r="D1567" s="1090"/>
      <c r="E1567" s="1091">
        <f>VLOOKUP($B1567,DG!A:D,DG!$B$2,)</f>
        <v>0</v>
      </c>
      <c r="F1567" s="1108" t="str">
        <f>VLOOKUP($B1567,DG!A:D,DG!$C$2,)&amp;": 3,3vieân/m"</f>
        <v>Gạch tàu: 3,3vieân/m</v>
      </c>
      <c r="G1567" s="1091" t="str">
        <f>VLOOKUP($B1567,DG!A:D,DG!$D$2,)</f>
        <v>viên</v>
      </c>
      <c r="H1567" s="1851">
        <f>3.3*H1563</f>
        <v>0</v>
      </c>
      <c r="I1567" s="1259">
        <f t="shared" si="98"/>
        <v>0</v>
      </c>
      <c r="J1567" s="1081"/>
      <c r="K1567" s="1081"/>
      <c r="L1567" s="1082"/>
      <c r="M1567" s="975">
        <v>320</v>
      </c>
    </row>
    <row r="1568" spans="1:16" s="1083" customFormat="1" ht="25.2" hidden="1" customHeight="1">
      <c r="A1568" s="1153">
        <f t="shared" si="99"/>
        <v>0</v>
      </c>
      <c r="B1568" s="1326" t="s">
        <v>1680</v>
      </c>
      <c r="C1568" s="1326"/>
      <c r="D1568" s="1090"/>
      <c r="E1568" s="1091">
        <f>VLOOKUP($B1568,DG!A:D,DG!$B$2,)</f>
        <v>0</v>
      </c>
      <c r="F1568" s="1108" t="str">
        <f>VLOOKUP($B1568,DG!A:D,DG!$C$2,)&amp;": 0,4m2/m"</f>
        <v>Tấm nilông màu cảnh báo: 0,4m2/m</v>
      </c>
      <c r="G1568" s="1091" t="str">
        <f>VLOOKUP($B1568,DG!A:D,DG!$D$2,)</f>
        <v>m2</v>
      </c>
      <c r="H1568" s="1851">
        <f>0.4*H1563</f>
        <v>0</v>
      </c>
      <c r="I1568" s="1259">
        <f t="shared" si="98"/>
        <v>0</v>
      </c>
      <c r="J1568" s="1081"/>
      <c r="K1568" s="1081"/>
      <c r="L1568" s="1082"/>
      <c r="M1568" s="975">
        <v>320</v>
      </c>
    </row>
    <row r="1569" spans="1:14" s="1083" customFormat="1" ht="25.2" hidden="1" customHeight="1">
      <c r="A1569" s="1153">
        <f t="shared" si="99"/>
        <v>0</v>
      </c>
      <c r="B1569" s="1326" t="s">
        <v>1521</v>
      </c>
      <c r="C1569" s="1326"/>
      <c r="D1569" s="1078"/>
      <c r="E1569" s="1091">
        <f>VLOOKUP($B1569,DG!A:D,DG!$B$2,)</f>
        <v>0</v>
      </c>
      <c r="F1569" s="1108" t="str">
        <f>VLOOKUP($B1569,DG!A:D,DG!$C$2,)</f>
        <v>Ống PVC D140x6,7mm</v>
      </c>
      <c r="G1569" s="1091" t="str">
        <f>VLOOKUP($B1569,DG!A:D,DG!$D$2,)</f>
        <v>m</v>
      </c>
      <c r="H1569" s="1851">
        <f>1*H1563</f>
        <v>0</v>
      </c>
      <c r="I1569" s="1259">
        <f t="shared" si="98"/>
        <v>0</v>
      </c>
      <c r="J1569" s="1081"/>
      <c r="K1569" s="1081"/>
      <c r="L1569" s="1082"/>
      <c r="M1569" s="975">
        <v>320</v>
      </c>
    </row>
    <row r="1570" spans="1:14" s="1083" customFormat="1" ht="25.2" hidden="1" customHeight="1">
      <c r="A1570" s="1153">
        <f t="shared" si="99"/>
        <v>0</v>
      </c>
      <c r="B1570" s="1326" t="s">
        <v>1682</v>
      </c>
      <c r="C1570" s="1326"/>
      <c r="D1570" s="1090"/>
      <c r="E1570" s="1091" t="str">
        <f>VLOOKUP($B1570,DG!A:D,DG!$B$2,)</f>
        <v>03.7000</v>
      </c>
      <c r="F1570" s="1108" t="str">
        <f>VLOOKUP($B1570,DG!A:D,DG!$C$2,)&amp;" + ñaép ñaù"</f>
        <v>Đắp cát  + ñaép ñaù</v>
      </c>
      <c r="G1570" s="1091" t="str">
        <f>VLOOKUP($B1570,DG!A:D,DG!$D$2,)</f>
        <v>m3</v>
      </c>
      <c r="H1570" s="1851">
        <f>H1565+H1566</f>
        <v>0</v>
      </c>
      <c r="I1570" s="1259">
        <f t="shared" si="98"/>
        <v>0</v>
      </c>
      <c r="J1570" s="1081"/>
      <c r="K1570" s="1081"/>
      <c r="L1570" s="1082"/>
      <c r="M1570" s="975">
        <v>320</v>
      </c>
    </row>
    <row r="1571" spans="1:14" s="1083" customFormat="1" ht="25.2" hidden="1" customHeight="1">
      <c r="A1571" s="1153">
        <f t="shared" si="99"/>
        <v>0</v>
      </c>
      <c r="B1571" s="1326" t="s">
        <v>144</v>
      </c>
      <c r="C1571" s="1326"/>
      <c r="D1571" s="1090"/>
      <c r="E1571" s="1091" t="str">
        <f>VLOOKUP($B1571,DG!A:D,DG!$B$2,)</f>
        <v>03.3103</v>
      </c>
      <c r="F1571" s="1108" t="str">
        <f>VLOOKUP($B1571,DG!A:D,DG!$C$2,)&amp;" : 0,48m3/m"</f>
        <v>Đào mương cáp ngầm đất cấp 3 : 0,48m3/m</v>
      </c>
      <c r="G1571" s="1091" t="str">
        <f>VLOOKUP($B1571,DG!A:D,DG!$D$2,)</f>
        <v>m3</v>
      </c>
      <c r="H1571" s="1851">
        <f>H1563*0.48</f>
        <v>0</v>
      </c>
      <c r="I1571" s="1259">
        <f t="shared" si="98"/>
        <v>0</v>
      </c>
      <c r="J1571" s="1081"/>
      <c r="K1571" s="1081"/>
      <c r="L1571" s="1082"/>
      <c r="M1571" s="975">
        <v>320</v>
      </c>
    </row>
    <row r="1572" spans="1:14" s="1083" customFormat="1" ht="25.2" hidden="1" customHeight="1">
      <c r="A1572" s="1153">
        <f t="shared" si="99"/>
        <v>0</v>
      </c>
      <c r="B1572" s="1326" t="s">
        <v>529</v>
      </c>
      <c r="C1572" s="1326"/>
      <c r="D1572" s="1090"/>
      <c r="E1572" s="1091" t="str">
        <f>VLOOKUP($B1572,DG!A:D,DG!$B$2,)</f>
        <v>03.3203</v>
      </c>
      <c r="F1572" s="1108" t="str">
        <f>VLOOKUP($B1572,DG!A:D,DG!$C$2,)&amp;" : 0,073m3/m"</f>
        <v>Đắp đất mương cáp ngầm, đất cấp 3 : 0,073m3/m</v>
      </c>
      <c r="G1572" s="1091" t="str">
        <f>VLOOKUP($B1572,DG!A:D,DG!$D$2,)</f>
        <v>m3</v>
      </c>
      <c r="H1572" s="1851">
        <f>H1563*0.073</f>
        <v>0</v>
      </c>
      <c r="I1572" s="1259">
        <f t="shared" si="98"/>
        <v>0</v>
      </c>
      <c r="J1572" s="1081"/>
      <c r="K1572" s="1081"/>
      <c r="L1572" s="1082"/>
      <c r="M1572" s="975">
        <v>320</v>
      </c>
      <c r="N1572" s="1133">
        <v>0.47499999999999998</v>
      </c>
    </row>
    <row r="1573" spans="1:14" s="1083" customFormat="1" ht="25.2" hidden="1" customHeight="1">
      <c r="A1573" s="1153">
        <f t="shared" si="99"/>
        <v>0</v>
      </c>
      <c r="B1573" s="1324"/>
      <c r="C1573" s="1324"/>
      <c r="D1573" s="1084">
        <f>IF(H1573&gt;0,D1563+1,D1563)</f>
        <v>2</v>
      </c>
      <c r="E1573" s="1085"/>
      <c r="F1573" s="1086" t="s">
        <v>3743</v>
      </c>
      <c r="G1573" s="1084" t="s">
        <v>2391</v>
      </c>
      <c r="H1573" s="1867">
        <f>H1582</f>
        <v>0</v>
      </c>
      <c r="I1573" s="1259">
        <f t="shared" si="98"/>
        <v>0</v>
      </c>
      <c r="J1573" s="1081"/>
      <c r="K1573" s="1081"/>
      <c r="L1573" s="1082"/>
      <c r="M1573" s="975">
        <v>320</v>
      </c>
      <c r="N1573" s="1133">
        <v>0.88100000000000001</v>
      </c>
    </row>
    <row r="1574" spans="1:14" s="1083" customFormat="1" ht="25.2" hidden="1" customHeight="1">
      <c r="A1574" s="1153">
        <f t="shared" si="99"/>
        <v>0</v>
      </c>
      <c r="B1574" s="1324"/>
      <c r="C1574" s="1324"/>
      <c r="D1574" s="1078"/>
      <c r="E1574" s="1088"/>
      <c r="F1574" s="1367" t="s">
        <v>2285</v>
      </c>
      <c r="G1574" s="1090"/>
      <c r="H1574" s="1851"/>
      <c r="I1574" s="1259">
        <f t="shared" si="98"/>
        <v>0</v>
      </c>
      <c r="J1574" s="1081"/>
      <c r="K1574" s="1081"/>
      <c r="L1574" s="1082"/>
      <c r="M1574" s="975">
        <v>320</v>
      </c>
    </row>
    <row r="1575" spans="1:14" s="1083" customFormat="1" ht="25.2" hidden="1" customHeight="1">
      <c r="A1575" s="1153">
        <f t="shared" si="99"/>
        <v>0</v>
      </c>
      <c r="B1575" s="1324" t="s">
        <v>623</v>
      </c>
      <c r="C1575" s="1324"/>
      <c r="D1575" s="1090"/>
      <c r="E1575" s="1091" t="str">
        <f>VLOOKUP($B1575,DG!A:D,DG!$B$2,)</f>
        <v>07.2204</v>
      </c>
      <c r="F1575" s="1092" t="str">
        <f>VLOOKUP($B1575,DG!A:D,DG!$C$2,)</f>
        <v>ÔÁng sắt tráng kẽm D140</v>
      </c>
      <c r="G1575" s="1091" t="str">
        <f>VLOOKUP($B1575,DG!A:D,DG!$D$2,)</f>
        <v>mét</v>
      </c>
      <c r="H1575" s="1851">
        <f>H1573*5*0</f>
        <v>0</v>
      </c>
      <c r="I1575" s="1259">
        <f t="shared" si="98"/>
        <v>0</v>
      </c>
      <c r="J1575" s="1081"/>
      <c r="K1575" s="1081"/>
      <c r="L1575" s="1082"/>
      <c r="M1575" s="975">
        <v>320</v>
      </c>
    </row>
    <row r="1576" spans="1:14" s="1083" customFormat="1" ht="25.2" hidden="1" customHeight="1">
      <c r="A1576" s="1153">
        <f t="shared" si="99"/>
        <v>0</v>
      </c>
      <c r="B1576" s="1326" t="s">
        <v>473</v>
      </c>
      <c r="C1576" s="1326"/>
      <c r="D1576" s="1078"/>
      <c r="E1576" s="1091">
        <f>VLOOKUP($B1576,DG!A:D,DG!$B$2,)</f>
        <v>0</v>
      </c>
      <c r="F1576" s="1092" t="str">
        <f>VLOOKUP($B1576,DG!A:D,DG!$C$2,)</f>
        <v>Co sừng 90 độ PVC 140</v>
      </c>
      <c r="G1576" s="1091" t="str">
        <f>VLOOKUP($B1576,DG!A:D,DG!$D$2,)</f>
        <v>cái</v>
      </c>
      <c r="H1576" s="1851">
        <f>H1573*0</f>
        <v>0</v>
      </c>
      <c r="I1576" s="1259">
        <f t="shared" si="98"/>
        <v>0</v>
      </c>
      <c r="J1576" s="1081"/>
      <c r="K1576" s="1081"/>
      <c r="L1576" s="1082"/>
      <c r="M1576" s="975">
        <v>320</v>
      </c>
    </row>
    <row r="1577" spans="1:14" s="1083" customFormat="1" ht="25.2" hidden="1" customHeight="1">
      <c r="A1577" s="1153">
        <f t="shared" si="99"/>
        <v>0</v>
      </c>
      <c r="B1577" s="1324" t="s">
        <v>120</v>
      </c>
      <c r="C1577" s="1324"/>
      <c r="D1577" s="1090"/>
      <c r="E1577" s="1091" t="str">
        <f>VLOOKUP($B1577,DG!A:D,DG!$B$2,)</f>
        <v>06.3231</v>
      </c>
      <c r="F1577" s="1092" t="str">
        <f>VLOOKUP($B1577,DG!A:D,DG!$C$2,)</f>
        <v>Cổ dê giữ ống STK D140 vào tường+Boulon+long đền+tắc ke sắt</v>
      </c>
      <c r="G1577" s="1091" t="str">
        <f>VLOOKUP($B1577,DG!A:D,DG!$D$2,)</f>
        <v>bộ</v>
      </c>
      <c r="H1577" s="1851">
        <f>H1573*2*0</f>
        <v>0</v>
      </c>
      <c r="I1577" s="1259">
        <f t="shared" si="98"/>
        <v>0</v>
      </c>
      <c r="J1577" s="1081"/>
      <c r="K1577" s="1081"/>
      <c r="L1577" s="1082"/>
      <c r="M1577" s="975">
        <v>320</v>
      </c>
    </row>
    <row r="1578" spans="1:14" s="1083" customFormat="1" ht="25.2" hidden="1" customHeight="1">
      <c r="A1578" s="1153">
        <f t="shared" si="99"/>
        <v>0</v>
      </c>
      <c r="B1578" s="1154" t="s">
        <v>1412</v>
      </c>
      <c r="C1578" s="1154"/>
      <c r="D1578" s="1090"/>
      <c r="E1578" s="1091">
        <f>VLOOKUP($B1578,DG!A:D,DG!$B$2,)</f>
        <v>0</v>
      </c>
      <c r="F1578" s="1092" t="str">
        <f>VLOOKUP($B1578,DG!A:D,DG!$C$2,)</f>
        <v>Giá đỡ cáp ngầm (V63x6)</v>
      </c>
      <c r="G1578" s="1091" t="str">
        <f>VLOOKUP($B1578,DG!A:D,DG!$D$2,)</f>
        <v>bộ</v>
      </c>
      <c r="H1578" s="1851">
        <f>H1573*0</f>
        <v>0</v>
      </c>
      <c r="I1578" s="1259">
        <f t="shared" si="98"/>
        <v>0</v>
      </c>
      <c r="J1578" s="1081"/>
      <c r="K1578" s="1081"/>
      <c r="L1578" s="1082"/>
      <c r="M1578" s="975">
        <v>320</v>
      </c>
    </row>
    <row r="1579" spans="1:14" s="1083" customFormat="1" ht="25.2" hidden="1" customHeight="1">
      <c r="A1579" s="1153">
        <f t="shared" si="99"/>
        <v>0</v>
      </c>
      <c r="B1579" s="1154" t="s">
        <v>2144</v>
      </c>
      <c r="C1579" s="1154"/>
      <c r="D1579" s="1090"/>
      <c r="E1579" s="1091">
        <f>VLOOKUP($B1579,DG!A:D,DG!$B$2,)</f>
        <v>0</v>
      </c>
      <c r="F1579" s="1092" t="str">
        <f>VLOOKUP($B1579,DG!A:D,DG!$C$2,)</f>
        <v>Giá đỡ cáp trung hạ thế</v>
      </c>
      <c r="G1579" s="1091" t="str">
        <f>VLOOKUP($B1579,DG!A:D,DG!$D$2,)</f>
        <v>bộ</v>
      </c>
      <c r="H1579" s="1851">
        <f>H1573</f>
        <v>0</v>
      </c>
      <c r="I1579" s="1259">
        <f t="shared" si="98"/>
        <v>0</v>
      </c>
      <c r="J1579" s="1081"/>
      <c r="K1579" s="1081"/>
      <c r="L1579" s="1082"/>
      <c r="M1579" s="975">
        <v>320</v>
      </c>
    </row>
    <row r="1580" spans="1:14" s="1083" customFormat="1" ht="25.2" hidden="1" customHeight="1">
      <c r="A1580" s="1153">
        <f t="shared" si="99"/>
        <v>0</v>
      </c>
      <c r="B1580" s="1324" t="s">
        <v>1413</v>
      </c>
      <c r="C1580" s="1324"/>
      <c r="D1580" s="1078"/>
      <c r="E1580" s="1091" t="str">
        <f>VLOOKUP($B1580,DG!A:D,DG!$B$2,)</f>
        <v>05.6101</v>
      </c>
      <c r="F1580" s="1092" t="str">
        <f>VLOOKUP($B1580,DG!A:D,DG!$C$2,)</f>
        <v>Lắp Giá đỡ cáp</v>
      </c>
      <c r="G1580" s="1091" t="str">
        <f>VLOOKUP($B1580,DG!A:D,DG!$D$2,)</f>
        <v>bộ</v>
      </c>
      <c r="H1580" s="1851">
        <f>H1578+H1579</f>
        <v>0</v>
      </c>
      <c r="I1580" s="1259">
        <f t="shared" si="98"/>
        <v>0</v>
      </c>
      <c r="J1580" s="1081"/>
      <c r="K1580" s="1081"/>
      <c r="L1580" s="1082"/>
      <c r="M1580" s="975">
        <v>320</v>
      </c>
    </row>
    <row r="1581" spans="1:14" s="1083" customFormat="1" ht="25.2" hidden="1" customHeight="1">
      <c r="A1581" s="1153">
        <f t="shared" si="99"/>
        <v>0</v>
      </c>
      <c r="B1581" s="1324" t="s">
        <v>289</v>
      </c>
      <c r="C1581" s="1324"/>
      <c r="D1581" s="1090"/>
      <c r="E1581" s="1091" t="str">
        <f>VLOOKUP($B1581,DG!A:D,DG!$B$2,)</f>
        <v>06.3191</v>
      </c>
      <c r="F1581" s="1092" t="str">
        <f>VLOOKUP($B1581,DG!A:D,DG!$C$2,)</f>
        <v>Bảng tên trạm, bảng báo nguy hiểm + đinh vít</v>
      </c>
      <c r="G1581" s="1091" t="str">
        <f>VLOOKUP($B1581,DG!A:D,DG!$D$2,)</f>
        <v>bộ</v>
      </c>
      <c r="H1581" s="1851">
        <f>H1573*0</f>
        <v>0</v>
      </c>
      <c r="I1581" s="1259">
        <f t="shared" si="98"/>
        <v>0</v>
      </c>
      <c r="J1581" s="1081"/>
      <c r="K1581" s="1081"/>
      <c r="L1581" s="1082"/>
      <c r="M1581" s="975">
        <v>320</v>
      </c>
    </row>
    <row r="1582" spans="1:14" s="1083" customFormat="1" ht="41.4" hidden="1" customHeight="1">
      <c r="A1582" s="1153">
        <f t="shared" si="99"/>
        <v>0</v>
      </c>
      <c r="B1582" s="1324"/>
      <c r="C1582" s="1324"/>
      <c r="D1582" s="1084">
        <f>IF(H1582&gt;0,D1573+1,D1573)</f>
        <v>2</v>
      </c>
      <c r="E1582" s="1085"/>
      <c r="F1582" s="2185" t="s">
        <v>3758</v>
      </c>
      <c r="G1582" s="1084" t="s">
        <v>2391</v>
      </c>
      <c r="H1582" s="1867">
        <f>H1445*0</f>
        <v>0</v>
      </c>
      <c r="I1582" s="1259">
        <f t="shared" ref="I1582:I1650" si="100">IF(M1582=$M$23,H1582+J1582-K1582,0)</f>
        <v>0</v>
      </c>
      <c r="J1582" s="1081"/>
      <c r="K1582" s="1081"/>
      <c r="L1582" s="1082"/>
      <c r="M1582" s="975">
        <v>320</v>
      </c>
    </row>
    <row r="1583" spans="1:14" s="1083" customFormat="1" ht="25.2" hidden="1" customHeight="1">
      <c r="A1583" s="1153">
        <f t="shared" si="99"/>
        <v>0</v>
      </c>
      <c r="B1583" s="1324"/>
      <c r="C1583" s="1324"/>
      <c r="D1583" s="1078"/>
      <c r="E1583" s="1088"/>
      <c r="F1583" s="1368" t="s">
        <v>2285</v>
      </c>
      <c r="G1583" s="1078"/>
      <c r="H1583" s="1868"/>
      <c r="I1583" s="1259">
        <f t="shared" si="100"/>
        <v>0</v>
      </c>
      <c r="J1583" s="1081"/>
      <c r="K1583" s="1081"/>
      <c r="L1583" s="1082"/>
      <c r="M1583" s="975">
        <v>320</v>
      </c>
    </row>
    <row r="1584" spans="1:14" s="1083" customFormat="1" ht="25.2" hidden="1" customHeight="1">
      <c r="A1584" s="1153">
        <f t="shared" si="99"/>
        <v>0</v>
      </c>
      <c r="B1584" s="1154" t="s">
        <v>470</v>
      </c>
      <c r="C1584" s="1154"/>
      <c r="D1584" s="1090"/>
      <c r="E1584" s="1079">
        <f>VLOOKUP($B1584,DG!A:D,DG!$B$2,)</f>
        <v>0</v>
      </c>
      <c r="F1584" s="1080" t="str">
        <f>VLOOKUP($B1584,DG!A:D,DG!$C$2,)&amp;": trong möông vaø leân MBA"</f>
        <v>Cáp 24kV C/XLPE/DSTA/PVC3x50: trong möông vaø leân MBA</v>
      </c>
      <c r="G1584" s="1079" t="str">
        <f>VLOOKUP($B1584,DG!A:D,DG!$D$2,)</f>
        <v>mét</v>
      </c>
      <c r="H1584" s="1851">
        <f>H1563+H1582*8</f>
        <v>0</v>
      </c>
      <c r="I1584" s="1259">
        <f t="shared" si="100"/>
        <v>0</v>
      </c>
      <c r="J1584" s="1081"/>
      <c r="K1584" s="1081"/>
      <c r="L1584" s="1082"/>
      <c r="M1584" s="975">
        <v>320</v>
      </c>
    </row>
    <row r="1585" spans="1:13" s="1083" customFormat="1" ht="25.2" hidden="1" customHeight="1">
      <c r="A1585" s="1153">
        <f t="shared" si="99"/>
        <v>0</v>
      </c>
      <c r="B1585" s="1154" t="s">
        <v>271</v>
      </c>
      <c r="C1585" s="1154"/>
      <c r="D1585" s="1090"/>
      <c r="E1585" s="1079">
        <f>VLOOKUP($B1585,DG!A:D,DG!$B$2,)</f>
        <v>0</v>
      </c>
      <c r="F1585" s="1080" t="str">
        <f>VLOOKUP($B1585,DG!A:D,DG!$C$2,)&amp;": trung tính"</f>
        <v>Cáp 24KV C/XLPE/PVC 50mm2: trung tính</v>
      </c>
      <c r="G1585" s="1079" t="str">
        <f>VLOOKUP($B1585,DG!A:D,DG!$D$2,)</f>
        <v>mét</v>
      </c>
      <c r="H1585" s="1851">
        <f>H1584</f>
        <v>0</v>
      </c>
      <c r="I1585" s="1259">
        <f t="shared" si="100"/>
        <v>0</v>
      </c>
      <c r="J1585" s="1081"/>
      <c r="K1585" s="1081"/>
      <c r="L1585" s="1082"/>
      <c r="M1585" s="975">
        <v>320</v>
      </c>
    </row>
    <row r="1586" spans="1:13" s="1083" customFormat="1" ht="25.2" hidden="1" customHeight="1">
      <c r="A1586" s="1153">
        <f t="shared" si="99"/>
        <v>0</v>
      </c>
      <c r="B1586" s="1154" t="s">
        <v>271</v>
      </c>
      <c r="C1586" s="1154"/>
      <c r="D1586" s="1090"/>
      <c r="E1586" s="1079">
        <f>VLOOKUP($B1586,DG!A:D,DG!$B$2,)</f>
        <v>0</v>
      </c>
      <c r="F1586" s="1080" t="str">
        <f>VLOOKUP($B1586,DG!A:D,DG!$C$2,)&amp;": 0,5m/pha töø FCO xuoáng MBA"</f>
        <v>Cáp 24KV C/XLPE/PVC 50mm2: 0,5m/pha töø FCO xuoáng MBA</v>
      </c>
      <c r="G1586" s="1079" t="str">
        <f>VLOOKUP($B1586,DG!A:D,DG!$D$2,)</f>
        <v>mét</v>
      </c>
      <c r="H1586" s="1851">
        <f>H1582*0.5*3*0</f>
        <v>0</v>
      </c>
      <c r="I1586" s="1259">
        <f t="shared" si="100"/>
        <v>0</v>
      </c>
      <c r="J1586" s="1081"/>
      <c r="K1586" s="1081"/>
      <c r="L1586" s="1082"/>
      <c r="M1586" s="975">
        <v>320</v>
      </c>
    </row>
    <row r="1587" spans="1:13" s="1083" customFormat="1" ht="25.2" hidden="1" customHeight="1">
      <c r="A1587" s="1153">
        <f t="shared" si="99"/>
        <v>0</v>
      </c>
      <c r="B1587" s="1154" t="s">
        <v>1355</v>
      </c>
      <c r="C1587" s="1154"/>
      <c r="D1587" s="1090"/>
      <c r="E1587" s="1079">
        <f>VLOOKUP($B1587,DG!A:D,DG!$B$2,)</f>
        <v>0</v>
      </c>
      <c r="F1587" s="1080" t="str">
        <f>VLOOKUP($B1587,DG!A:D,DG!$C$2,)</f>
        <v>Đầu cáp ngầm 24KV 3x50mm2 outdoor</v>
      </c>
      <c r="G1587" s="1079" t="str">
        <f>VLOOKUP($B1587,DG!A:D,DG!$D$2,)</f>
        <v>cái</v>
      </c>
      <c r="H1587" s="1851">
        <f>H1582</f>
        <v>0</v>
      </c>
      <c r="I1587" s="1259">
        <f t="shared" si="100"/>
        <v>0</v>
      </c>
      <c r="J1587" s="1081"/>
      <c r="K1587" s="1081"/>
      <c r="L1587" s="1082"/>
      <c r="M1587" s="975">
        <v>320</v>
      </c>
    </row>
    <row r="1588" spans="1:13" s="1083" customFormat="1" ht="25.2" hidden="1" customHeight="1">
      <c r="A1588" s="1153">
        <f t="shared" si="99"/>
        <v>0</v>
      </c>
      <c r="B1588" s="1154" t="s">
        <v>470</v>
      </c>
      <c r="C1588" s="1154"/>
      <c r="D1588" s="1090"/>
      <c r="E1588" s="1079">
        <f>VLOOKUP($B1588,DG!A:D,DG!$B$2,)</f>
        <v>0</v>
      </c>
      <c r="F1588" s="1080" t="str">
        <f>VLOOKUP($B1588,DG!A:D,DG!$C$2,)&amp;": töø tuû LBS ñeán MBA"</f>
        <v>Cáp 24kV C/XLPE/DSTA/PVC3x50: töø tuû LBS ñeán MBA</v>
      </c>
      <c r="G1588" s="1079" t="str">
        <f>VLOOKUP($B1588,DG!A:D,DG!$D$2,)</f>
        <v>mét</v>
      </c>
      <c r="H1588" s="1851">
        <f>(1.2+2.4)*H1582*0</f>
        <v>0</v>
      </c>
      <c r="I1588" s="1259">
        <f t="shared" si="100"/>
        <v>0</v>
      </c>
      <c r="J1588" s="1081"/>
      <c r="K1588" s="1081"/>
      <c r="L1588" s="1082"/>
      <c r="M1588" s="975">
        <v>320</v>
      </c>
    </row>
    <row r="1589" spans="1:13" s="1083" customFormat="1" ht="25.2" hidden="1" customHeight="1">
      <c r="A1589" s="1153">
        <f t="shared" si="99"/>
        <v>0</v>
      </c>
      <c r="B1589" s="1154" t="s">
        <v>271</v>
      </c>
      <c r="C1589" s="1154"/>
      <c r="D1589" s="1090"/>
      <c r="E1589" s="1079">
        <f>VLOOKUP($B1589,DG!A:D,DG!$B$2,)</f>
        <v>0</v>
      </c>
      <c r="F1589" s="1080" t="str">
        <f>VLOOKUP($B1589,DG!A:D,DG!$C$2,)&amp;": töø tuû LBS ñeán MBA"</f>
        <v>Cáp 24KV C/XLPE/PVC 50mm2: töø tuû LBS ñeán MBA</v>
      </c>
      <c r="G1589" s="1079" t="str">
        <f>VLOOKUP($B1589,DG!A:D,DG!$D$2,)</f>
        <v>mét</v>
      </c>
      <c r="H1589" s="1851">
        <f>H1582*1.2*0</f>
        <v>0</v>
      </c>
      <c r="I1589" s="1259">
        <f t="shared" si="100"/>
        <v>0</v>
      </c>
      <c r="J1589" s="1081"/>
      <c r="K1589" s="1081"/>
      <c r="L1589" s="1082"/>
      <c r="M1589" s="975">
        <v>320</v>
      </c>
    </row>
    <row r="1590" spans="1:13" s="1083" customFormat="1" ht="25.2" hidden="1" customHeight="1">
      <c r="A1590" s="1153">
        <f t="shared" si="99"/>
        <v>0</v>
      </c>
      <c r="B1590" s="1154" t="s">
        <v>1356</v>
      </c>
      <c r="C1590" s="1154"/>
      <c r="D1590" s="1090"/>
      <c r="E1590" s="1079">
        <f>VLOOKUP($B1590,DG!A:D,DG!$B$2,)</f>
        <v>0</v>
      </c>
      <c r="F1590" s="1080" t="str">
        <f>VLOOKUP($B1590,DG!A:D,DG!$C$2,)</f>
        <v>Đầu cáp ngầm 24KV 3x50mm2 indoor</v>
      </c>
      <c r="G1590" s="1079" t="str">
        <f>VLOOKUP($B1590,DG!A:D,DG!$D$2,)</f>
        <v>cái</v>
      </c>
      <c r="H1590" s="1851">
        <f>H1582</f>
        <v>0</v>
      </c>
      <c r="I1590" s="1259">
        <f t="shared" si="100"/>
        <v>0</v>
      </c>
      <c r="J1590" s="1081"/>
      <c r="K1590" s="1081"/>
      <c r="L1590" s="1082"/>
      <c r="M1590" s="975">
        <v>320</v>
      </c>
    </row>
    <row r="1591" spans="1:13" s="1083" customFormat="1" ht="25.2" hidden="1" customHeight="1">
      <c r="A1591" s="1153">
        <f t="shared" si="99"/>
        <v>0</v>
      </c>
      <c r="B1591" s="1154" t="s">
        <v>1678</v>
      </c>
      <c r="C1591" s="1154"/>
      <c r="D1591" s="1090"/>
      <c r="E1591" s="1079" t="str">
        <f>VLOOKUP($B1591,DG!A:D,DG!$B$2,)</f>
        <v>07.4312</v>
      </c>
      <c r="F1591" s="1080" t="str">
        <f>VLOOKUP($B1591,DG!A:D,DG!$C$2,)</f>
        <v>Lắp đầu cáp trung thế 3x50mm2, 70mm2</v>
      </c>
      <c r="G1591" s="1079" t="str">
        <f>VLOOKUP($B1591,DG!A:D,DG!$D$2,)</f>
        <v>cái</v>
      </c>
      <c r="H1591" s="1851">
        <f>H1587+H1590</f>
        <v>0</v>
      </c>
      <c r="I1591" s="1259">
        <f t="shared" si="100"/>
        <v>0</v>
      </c>
      <c r="J1591" s="1081"/>
      <c r="K1591" s="1081"/>
      <c r="L1591" s="1082"/>
      <c r="M1591" s="975">
        <v>320</v>
      </c>
    </row>
    <row r="1592" spans="1:13" s="1083" customFormat="1" ht="25.2" hidden="1" customHeight="1">
      <c r="A1592" s="1153">
        <f t="shared" si="99"/>
        <v>0</v>
      </c>
      <c r="B1592" s="1154" t="s">
        <v>1204</v>
      </c>
      <c r="C1592" s="1154"/>
      <c r="D1592" s="1090"/>
      <c r="E1592" s="1079" t="str">
        <f>VLOOKUP($B1592,DG!A:D,DG!$B$2,)</f>
        <v>03.1405</v>
      </c>
      <c r="F1592" s="1080" t="str">
        <f>VLOOKUP($B1592,DG!A:D,DG!$C$2,)</f>
        <v>Lắp cáp trong ống bảo vệ trong TBA loại &lt;=6kg</v>
      </c>
      <c r="G1592" s="1079" t="str">
        <f>VLOOKUP($B1592,DG!A:D,DG!$D$2,)</f>
        <v>mét</v>
      </c>
      <c r="H1592" s="1851">
        <f>H1584+H1588</f>
        <v>0</v>
      </c>
      <c r="I1592" s="1259">
        <f t="shared" si="100"/>
        <v>0</v>
      </c>
      <c r="J1592" s="1081"/>
      <c r="K1592" s="1081"/>
      <c r="L1592" s="1082"/>
      <c r="M1592" s="975">
        <v>320</v>
      </c>
    </row>
    <row r="1593" spans="1:13" s="1083" customFormat="1" ht="25.2" hidden="1" customHeight="1">
      <c r="A1593" s="1153">
        <f t="shared" si="99"/>
        <v>0</v>
      </c>
      <c r="B1593" s="1154" t="s">
        <v>1201</v>
      </c>
      <c r="C1593" s="1154"/>
      <c r="D1593" s="1090"/>
      <c r="E1593" s="1079" t="str">
        <f>VLOOKUP($B1593,DG!A:D,DG!$B$2,)</f>
        <v>03.1402</v>
      </c>
      <c r="F1593" s="1080" t="str">
        <f>VLOOKUP($B1593,DG!A:D,DG!$C$2,)</f>
        <v>Lắp cáp trong ống bảo vệ trong TBA loại &lt;=2kg</v>
      </c>
      <c r="G1593" s="1079" t="str">
        <f>VLOOKUP($B1593,DG!A:D,DG!$D$2,)</f>
        <v>mét</v>
      </c>
      <c r="H1593" s="1851">
        <f>H1585+H1589</f>
        <v>0</v>
      </c>
      <c r="I1593" s="1259">
        <f t="shared" si="100"/>
        <v>0</v>
      </c>
      <c r="J1593" s="1081"/>
      <c r="K1593" s="1081"/>
      <c r="L1593" s="1082"/>
      <c r="M1593" s="975">
        <v>320</v>
      </c>
    </row>
    <row r="1594" spans="1:13" s="1083" customFormat="1" ht="25.2" hidden="1" customHeight="1">
      <c r="A1594" s="1153">
        <f t="shared" si="99"/>
        <v>0</v>
      </c>
      <c r="B1594" s="1154" t="s">
        <v>1528</v>
      </c>
      <c r="C1594" s="1154"/>
      <c r="D1594" s="1090"/>
      <c r="E1594" s="1079" t="str">
        <f>VLOOKUP($B1594,DG!A:D,DG!$B$2,)</f>
        <v>04.4201</v>
      </c>
      <c r="F1594" s="1080" t="str">
        <f>VLOOKUP($B1594,DG!A:D,DG!$C$2,)</f>
        <v>Lắp cáp đồng xuống thiết bị D ≤ 95mm2</v>
      </c>
      <c r="G1594" s="1079" t="str">
        <f>VLOOKUP($B1594,DG!A:D,DG!$D$2,)</f>
        <v>m</v>
      </c>
      <c r="H1594" s="1851">
        <f>H1586</f>
        <v>0</v>
      </c>
      <c r="I1594" s="1259">
        <f t="shared" si="100"/>
        <v>0</v>
      </c>
      <c r="J1594" s="1081"/>
      <c r="K1594" s="1081"/>
      <c r="L1594" s="1082"/>
      <c r="M1594" s="975">
        <v>320</v>
      </c>
    </row>
    <row r="1595" spans="1:13" s="1083" customFormat="1" ht="25.2" hidden="1" customHeight="1">
      <c r="A1595" s="1153">
        <f t="shared" si="99"/>
        <v>0</v>
      </c>
      <c r="B1595" s="1154" t="s">
        <v>1352</v>
      </c>
      <c r="C1595" s="1154"/>
      <c r="D1595" s="1090"/>
      <c r="E1595" s="1079">
        <f>VLOOKUP($B1595,DG!A:D,DG!$B$2,)</f>
        <v>0</v>
      </c>
      <c r="F1595" s="1080" t="str">
        <f>VLOOKUP($B1595,DG!A:D,DG!$C$2,)</f>
        <v>Dây rút cáp</v>
      </c>
      <c r="G1595" s="1079" t="str">
        <f>VLOOKUP($B1595,DG!A:D,DG!$D$2,)</f>
        <v>bọc</v>
      </c>
      <c r="H1595" s="1851">
        <f>H1582*2</f>
        <v>0</v>
      </c>
      <c r="I1595" s="1259">
        <f t="shared" si="100"/>
        <v>0</v>
      </c>
      <c r="J1595" s="1081"/>
      <c r="K1595" s="1081"/>
      <c r="L1595" s="1082"/>
      <c r="M1595" s="975">
        <v>320</v>
      </c>
    </row>
    <row r="1596" spans="1:13" s="1083" customFormat="1" ht="25.2" hidden="1" customHeight="1">
      <c r="A1596" s="1153">
        <f t="shared" si="99"/>
        <v>0</v>
      </c>
      <c r="B1596" s="1324"/>
      <c r="C1596" s="1324"/>
      <c r="D1596" s="1084">
        <f>IF(H1596&gt;0,D1582+1,D1582)</f>
        <v>2</v>
      </c>
      <c r="E1596" s="1085"/>
      <c r="F1596" s="1094" t="s">
        <v>3759</v>
      </c>
      <c r="G1596" s="1084" t="s">
        <v>2391</v>
      </c>
      <c r="H1596" s="1867">
        <f>H1445</f>
        <v>0</v>
      </c>
      <c r="I1596" s="1259">
        <f t="shared" si="100"/>
        <v>0</v>
      </c>
      <c r="J1596" s="1081"/>
      <c r="K1596" s="1081"/>
      <c r="L1596" s="1110"/>
      <c r="M1596" s="975">
        <v>320</v>
      </c>
    </row>
    <row r="1597" spans="1:13" s="1083" customFormat="1" ht="25.2" hidden="1" customHeight="1">
      <c r="A1597" s="1153">
        <f t="shared" si="99"/>
        <v>0</v>
      </c>
      <c r="B1597" s="1324"/>
      <c r="C1597" s="1324"/>
      <c r="D1597" s="1078"/>
      <c r="E1597" s="1088"/>
      <c r="F1597" s="1368" t="s">
        <v>2285</v>
      </c>
      <c r="G1597" s="1078"/>
      <c r="H1597" s="1868"/>
      <c r="I1597" s="1259">
        <f t="shared" si="100"/>
        <v>0</v>
      </c>
      <c r="J1597" s="1081"/>
      <c r="K1597" s="1081"/>
      <c r="L1597" s="1110"/>
      <c r="M1597" s="975">
        <v>320</v>
      </c>
    </row>
    <row r="1598" spans="1:13" s="1083" customFormat="1" ht="25.2" hidden="1" customHeight="1">
      <c r="A1598" s="1153">
        <f t="shared" si="99"/>
        <v>0</v>
      </c>
      <c r="B1598" s="1154" t="s">
        <v>697</v>
      </c>
      <c r="C1598" s="1154"/>
      <c r="D1598" s="1090"/>
      <c r="E1598" s="1079">
        <f>VLOOKUP($B1598,DG!A:D,DG!$B$2,)</f>
        <v>0</v>
      </c>
      <c r="F1598" s="1080" t="str">
        <f>VLOOKUP($B1598,DG!A:D,DG!$C$2,)&amp;": 9m/1pha"</f>
        <v>Cáp 24KV C/XLPE/PVC 25mm2: 9m/1pha</v>
      </c>
      <c r="G1598" s="1079" t="str">
        <f>VLOOKUP($B1598,DG!A:D,DG!$D$2,)</f>
        <v>mét</v>
      </c>
      <c r="H1598" s="1851">
        <f>H1596*(9)*3</f>
        <v>0</v>
      </c>
      <c r="I1598" s="1259">
        <f t="shared" si="100"/>
        <v>0</v>
      </c>
      <c r="J1598" s="1081"/>
      <c r="K1598" s="1081"/>
      <c r="L1598" s="1110"/>
      <c r="M1598" s="975">
        <v>320</v>
      </c>
    </row>
    <row r="1599" spans="1:13" s="1083" customFormat="1" ht="25.2" hidden="1" customHeight="1">
      <c r="A1599" s="1153">
        <f t="shared" si="99"/>
        <v>0</v>
      </c>
      <c r="B1599" s="1154" t="s">
        <v>697</v>
      </c>
      <c r="C1599" s="1154"/>
      <c r="D1599" s="1090"/>
      <c r="E1599" s="1079">
        <f>VLOOKUP($B1599,DG!A:D,DG!$B$2,)</f>
        <v>0</v>
      </c>
      <c r="F1599" s="1080" t="str">
        <f>VLOOKUP($B1599,DG!A:D,DG!$C$2,)&amp;": 1m/1pha ñaáu noái  LA"</f>
        <v>Cáp 24KV C/XLPE/PVC 25mm2: 1m/1pha ñaáu noái  LA</v>
      </c>
      <c r="G1599" s="1079" t="str">
        <f>VLOOKUP($B1599,DG!A:D,DG!$D$2,)</f>
        <v>mét</v>
      </c>
      <c r="H1599" s="1851">
        <f>H1596*3*1*0</f>
        <v>0</v>
      </c>
      <c r="I1599" s="1259">
        <f t="shared" si="100"/>
        <v>0</v>
      </c>
      <c r="J1599" s="1081"/>
      <c r="K1599" s="1081"/>
      <c r="L1599" s="1110"/>
      <c r="M1599" s="975">
        <v>320</v>
      </c>
    </row>
    <row r="1600" spans="1:13" s="1083" customFormat="1" ht="25.2" hidden="1" customHeight="1">
      <c r="A1600" s="1153">
        <f t="shared" si="99"/>
        <v>0</v>
      </c>
      <c r="B1600" s="1154" t="s">
        <v>548</v>
      </c>
      <c r="C1600" s="1154"/>
      <c r="D1600" s="1090"/>
      <c r="E1600" s="1079" t="str">
        <f>VLOOKUP($B1600,DG!A:D,DG!$B$2,)</f>
        <v>03.4001</v>
      </c>
      <c r="F1600" s="1080" t="str">
        <f>VLOOKUP($B1600,DG!A:D,DG!$C$2,)&amp;": 1m/1pha ñaáu noái  LA"</f>
        <v>Đầu cosse ép Cu-Al 25mm2: 1m/1pha ñaáu noái  LA</v>
      </c>
      <c r="G1600" s="1079" t="str">
        <f>VLOOKUP($B1600,DG!A:D,DG!$D$2,)</f>
        <v>cái</v>
      </c>
      <c r="H1600" s="1851">
        <v>6</v>
      </c>
      <c r="I1600" s="1259">
        <f t="shared" ref="I1600" si="101">IF(M1600=$M$23,H1600+J1600-K1600,0)</f>
        <v>0</v>
      </c>
      <c r="J1600" s="1081"/>
      <c r="K1600" s="1081"/>
      <c r="L1600" s="1110"/>
      <c r="M1600" s="975">
        <v>320</v>
      </c>
    </row>
    <row r="1601" spans="1:13" s="1083" customFormat="1" ht="25.2" hidden="1" customHeight="1">
      <c r="A1601" s="1153">
        <f t="shared" si="99"/>
        <v>0</v>
      </c>
      <c r="B1601" s="1154" t="s">
        <v>1115</v>
      </c>
      <c r="C1601" s="1154"/>
      <c r="D1601" s="1090"/>
      <c r="E1601" s="1079">
        <f>VLOOKUP($B1601,DG!A:D,DG!$B$2,)</f>
        <v>0</v>
      </c>
      <c r="F1601" s="1080" t="str">
        <f>VLOOKUP($B1601,DG!A:D,DG!$C$2,)</f>
        <v>Kẹp ép cỡ dây 25mm2</v>
      </c>
      <c r="G1601" s="1079" t="str">
        <f>VLOOKUP($B1601,DG!A:D,DG!$D$2,)</f>
        <v>cái</v>
      </c>
      <c r="H1601" s="1851">
        <f>H1596*3*2*0</f>
        <v>0</v>
      </c>
      <c r="I1601" s="1259">
        <f t="shared" si="100"/>
        <v>0</v>
      </c>
      <c r="J1601" s="1081"/>
      <c r="K1601" s="1081"/>
      <c r="L1601" s="1082"/>
      <c r="M1601" s="975">
        <v>320</v>
      </c>
    </row>
    <row r="1602" spans="1:13" s="1083" customFormat="1" ht="25.2" hidden="1" customHeight="1">
      <c r="A1602" s="1153">
        <f t="shared" si="99"/>
        <v>0</v>
      </c>
      <c r="B1602" s="1154" t="s">
        <v>1844</v>
      </c>
      <c r="C1602" s="1154"/>
      <c r="D1602" s="1090"/>
      <c r="E1602" s="1079">
        <f>VLOOKUP($B1602,DG!A:D,DG!$B$2,)</f>
        <v>0</v>
      </c>
      <c r="F1602" s="1080" t="str">
        <f>VLOOKUP($B1602,DG!A:D,DG!$C$2,)</f>
        <v>Bass LL bắt FCO, LA</v>
      </c>
      <c r="G1602" s="1079" t="str">
        <f>VLOOKUP($B1602,DG!A:D,DG!$D$2,)</f>
        <v>bộ</v>
      </c>
      <c r="H1602" s="1851">
        <f>H1596*3*2*0</f>
        <v>0</v>
      </c>
      <c r="I1602" s="1259">
        <f t="shared" si="100"/>
        <v>0</v>
      </c>
      <c r="J1602" s="1081"/>
      <c r="K1602" s="1081"/>
      <c r="L1602" s="1082"/>
      <c r="M1602" s="975">
        <v>320</v>
      </c>
    </row>
    <row r="1603" spans="1:13" s="1083" customFormat="1" ht="25.2" hidden="1" customHeight="1">
      <c r="A1603" s="1153">
        <f t="shared" si="99"/>
        <v>0</v>
      </c>
      <c r="B1603" s="1154" t="s">
        <v>4487</v>
      </c>
      <c r="C1603" s="1154"/>
      <c r="D1603" s="1090"/>
      <c r="E1603" s="1079" t="str">
        <f>VLOOKUP($B1603,DG!A:D,DG!$B$2,)</f>
        <v>04.3007</v>
      </c>
      <c r="F1603" s="1080" t="str">
        <f>VLOOKUP($B1603,DG!A:D,DG!$C$2,)</f>
        <v>Kẹp quai 2/0 + chụp cách điện</v>
      </c>
      <c r="G1603" s="1079" t="str">
        <f>VLOOKUP($B1603,DG!A:D,DG!$D$2,)</f>
        <v>bộ</v>
      </c>
      <c r="H1603" s="1851">
        <f>H1596*3</f>
        <v>0</v>
      </c>
      <c r="I1603" s="1259">
        <f t="shared" si="100"/>
        <v>0</v>
      </c>
      <c r="J1603" s="1081"/>
      <c r="K1603" s="1081"/>
      <c r="L1603" s="1110"/>
      <c r="M1603" s="975">
        <v>320</v>
      </c>
    </row>
    <row r="1604" spans="1:13" s="1083" customFormat="1" ht="25.2" hidden="1" customHeight="1">
      <c r="A1604" s="1153">
        <f t="shared" si="99"/>
        <v>0</v>
      </c>
      <c r="B1604" s="1154" t="s">
        <v>1480</v>
      </c>
      <c r="C1604" s="1154"/>
      <c r="D1604" s="1090"/>
      <c r="E1604" s="1079" t="str">
        <f>VLOOKUP($B1604,DG!A:D,DG!$B$2,)</f>
        <v>04.3007</v>
      </c>
      <c r="F1604" s="1080" t="str">
        <f>VLOOKUP($B1604,DG!A:D,DG!$C$2,)</f>
        <v>Kẹp hotline 2/0</v>
      </c>
      <c r="G1604" s="1079" t="str">
        <f>VLOOKUP($B1604,DG!A:D,DG!$D$2,)</f>
        <v>cái</v>
      </c>
      <c r="H1604" s="1851">
        <f>H1603</f>
        <v>0</v>
      </c>
      <c r="I1604" s="1259">
        <f t="shared" si="100"/>
        <v>0</v>
      </c>
      <c r="J1604" s="1081"/>
      <c r="K1604" s="1081"/>
      <c r="L1604" s="1110"/>
      <c r="M1604" s="975">
        <v>320</v>
      </c>
    </row>
    <row r="1605" spans="1:13" s="1083" customFormat="1" ht="25.2" hidden="1" customHeight="1">
      <c r="A1605" s="1153">
        <f t="shared" si="99"/>
        <v>0</v>
      </c>
      <c r="B1605" s="1154" t="s">
        <v>696</v>
      </c>
      <c r="C1605" s="1154"/>
      <c r="D1605" s="1110"/>
      <c r="E1605" s="1079">
        <f>VLOOKUP($B1605,DG!A:D,DG!$B$2,)</f>
        <v>0</v>
      </c>
      <c r="F1605" s="1080" t="str">
        <f>VLOOKUP($B1605,DG!A:D,DG!$C$2,)</f>
        <v xml:space="preserve">Sứ đứng 24KV </v>
      </c>
      <c r="G1605" s="1079" t="str">
        <f>VLOOKUP($B1605,DG!A:D,DG!$D$2,)</f>
        <v>cái</v>
      </c>
      <c r="H1605" s="1851">
        <v>3</v>
      </c>
      <c r="I1605" s="1259">
        <f t="shared" si="100"/>
        <v>0</v>
      </c>
      <c r="J1605" s="1081"/>
      <c r="K1605" s="1081"/>
      <c r="L1605" s="1110"/>
      <c r="M1605" s="975">
        <v>320</v>
      </c>
    </row>
    <row r="1606" spans="1:13" s="1083" customFormat="1" ht="25.2" hidden="1" customHeight="1">
      <c r="A1606" s="1153">
        <f t="shared" si="99"/>
        <v>0</v>
      </c>
      <c r="B1606" s="1154" t="s">
        <v>1268</v>
      </c>
      <c r="C1606" s="1154"/>
      <c r="D1606" s="1090"/>
      <c r="E1606" s="1079">
        <f>VLOOKUP($B1606,DG!A:D,DG!$B$2,)</f>
        <v>0</v>
      </c>
      <c r="F1606" s="1080" t="str">
        <f>VLOOKUP($B1606,DG!A:D,DG!$C$2,)</f>
        <v>Chân sứ đứng D20</v>
      </c>
      <c r="G1606" s="1079" t="str">
        <f>VLOOKUP($B1606,DG!A:D,DG!$D$2,)</f>
        <v>cái</v>
      </c>
      <c r="H1606" s="1851">
        <f>H1604</f>
        <v>0</v>
      </c>
      <c r="I1606" s="1259">
        <f t="shared" ref="I1606" si="102">IF(M1606=$M$23,H1606+J1606-K1606,0)</f>
        <v>0</v>
      </c>
      <c r="J1606" s="1081"/>
      <c r="K1606" s="1081"/>
      <c r="L1606" s="1110"/>
      <c r="M1606" s="975">
        <v>320</v>
      </c>
    </row>
    <row r="1607" spans="1:13" s="1083" customFormat="1" ht="25.2" hidden="1" customHeight="1">
      <c r="A1607" s="1153">
        <f t="shared" si="99"/>
        <v>0</v>
      </c>
      <c r="B1607" s="1154" t="s">
        <v>4745</v>
      </c>
      <c r="C1607" s="1154"/>
      <c r="D1607" s="1090"/>
      <c r="E1607" s="1079">
        <f>VLOOKUP($B1607,DG!A:D,DG!$B$2,)</f>
        <v>0</v>
      </c>
      <c r="F1607" s="1080" t="str">
        <f>VLOOKUP($B1607,DG!A:D,DG!$C$2,)</f>
        <v>Dây buộc đầu sứ TTF cỡ dây 50mm2</v>
      </c>
      <c r="G1607" s="1079" t="str">
        <f>VLOOKUP($B1607,DG!A:D,DG!$D$2,)</f>
        <v>cái</v>
      </c>
      <c r="H1607" s="1851">
        <f>H1605</f>
        <v>3</v>
      </c>
      <c r="I1607" s="1259">
        <f t="shared" si="100"/>
        <v>0</v>
      </c>
      <c r="J1607" s="1081"/>
      <c r="K1607" s="1081"/>
      <c r="L1607" s="1110"/>
      <c r="M1607" s="975">
        <v>320</v>
      </c>
    </row>
    <row r="1608" spans="1:13" s="1083" customFormat="1" ht="25.2" hidden="1" customHeight="1">
      <c r="A1608" s="1153">
        <f t="shared" si="99"/>
        <v>0</v>
      </c>
      <c r="B1608" s="1360" t="s">
        <v>381</v>
      </c>
      <c r="C1608" s="1360"/>
      <c r="D1608" s="1090"/>
      <c r="E1608" s="1079">
        <f>VLOOKUP($B1608,DG!A:D,DG!$B$2,)</f>
        <v>0</v>
      </c>
      <c r="F1608" s="1080" t="str">
        <f>VLOOKUP($B1608,DG!A:D,DG!$C$2,)</f>
        <v>Chụp đầu cực FCO (bộ 2 cái)</v>
      </c>
      <c r="G1608" s="1079" t="str">
        <f>VLOOKUP($B1608,DG!A:D,DG!$D$2,)</f>
        <v>bộ</v>
      </c>
      <c r="H1608" s="1889">
        <v>3</v>
      </c>
      <c r="I1608" s="1259">
        <f t="shared" si="100"/>
        <v>0</v>
      </c>
      <c r="J1608" s="1081"/>
      <c r="K1608" s="1081"/>
      <c r="L1608" s="1110"/>
      <c r="M1608" s="975">
        <v>320</v>
      </c>
    </row>
    <row r="1609" spans="1:13" s="1083" customFormat="1" ht="25.2" hidden="1" customHeight="1">
      <c r="A1609" s="1153">
        <f t="shared" si="99"/>
        <v>0</v>
      </c>
      <c r="B1609" s="1360" t="s">
        <v>379</v>
      </c>
      <c r="C1609" s="1360"/>
      <c r="D1609" s="1090"/>
      <c r="E1609" s="1079">
        <f>VLOOKUP($B1609,DG!A:D,DG!$B$2,)</f>
        <v>0</v>
      </c>
      <c r="F1609" s="1080" t="str">
        <f>VLOOKUP($B1609,DG!A:D,DG!$C$2,)</f>
        <v>Chụp đầu cực LA</v>
      </c>
      <c r="G1609" s="1079" t="str">
        <f>VLOOKUP($B1609,DG!A:D,DG!$D$2,)</f>
        <v>cái</v>
      </c>
      <c r="H1609" s="1889">
        <f>H1596*3</f>
        <v>0</v>
      </c>
      <c r="I1609" s="1259">
        <f t="shared" si="100"/>
        <v>0</v>
      </c>
      <c r="J1609" s="1081"/>
      <c r="K1609" s="1081"/>
      <c r="L1609" s="1110"/>
      <c r="M1609" s="975">
        <v>320</v>
      </c>
    </row>
    <row r="1610" spans="1:13" s="1083" customFormat="1" ht="25.2" hidden="1" customHeight="1">
      <c r="A1610" s="1153">
        <f t="shared" si="99"/>
        <v>0</v>
      </c>
      <c r="B1610" s="1360" t="s">
        <v>380</v>
      </c>
      <c r="C1610" s="1360"/>
      <c r="D1610" s="1090"/>
      <c r="E1610" s="1079">
        <f>VLOOKUP($B1610,DG!A:D,DG!$B$2,)</f>
        <v>0</v>
      </c>
      <c r="F1610" s="1080" t="str">
        <f>VLOOKUP($B1610,DG!A:D,DG!$C$2,)</f>
        <v>Chụp đầu MBA</v>
      </c>
      <c r="G1610" s="1079" t="str">
        <f>VLOOKUP($B1610,DG!A:D,DG!$D$2,)</f>
        <v>cái</v>
      </c>
      <c r="H1610" s="1889">
        <f>H1609</f>
        <v>0</v>
      </c>
      <c r="I1610" s="1259">
        <f t="shared" si="100"/>
        <v>0</v>
      </c>
      <c r="J1610" s="1081"/>
      <c r="K1610" s="1081"/>
      <c r="L1610" s="1110"/>
      <c r="M1610" s="975">
        <v>320</v>
      </c>
    </row>
    <row r="1611" spans="1:13" s="1083" customFormat="1" ht="25.2" hidden="1" customHeight="1">
      <c r="A1611" s="1153">
        <f t="shared" si="99"/>
        <v>0</v>
      </c>
      <c r="B1611" s="1154" t="s">
        <v>1568</v>
      </c>
      <c r="C1611" s="1154"/>
      <c r="D1611" s="1090"/>
      <c r="E1611" s="1079" t="str">
        <f>VLOOKUP($B1611,DG!A:D,DG!$B$2,)</f>
        <v>06.1115</v>
      </c>
      <c r="F1611" s="1080" t="str">
        <f>VLOOKUP($B1611,DG!A:D,DG!$C$2,)</f>
        <v>Lắp sứ đứng 24KV</v>
      </c>
      <c r="G1611" s="1079" t="str">
        <f>VLOOKUP($B1611,DG!A:D,DG!$D$2,)</f>
        <v>bộ</v>
      </c>
      <c r="H1611" s="1851">
        <f>H1605</f>
        <v>3</v>
      </c>
      <c r="I1611" s="1259">
        <f t="shared" si="100"/>
        <v>0</v>
      </c>
      <c r="J1611" s="1081"/>
      <c r="K1611" s="1081"/>
      <c r="L1611" s="1110"/>
      <c r="M1611" s="975">
        <v>320</v>
      </c>
    </row>
    <row r="1612" spans="1:13" s="1083" customFormat="1" ht="25.2" hidden="1" customHeight="1">
      <c r="A1612" s="1153">
        <f t="shared" si="99"/>
        <v>0</v>
      </c>
      <c r="B1612" s="1154" t="s">
        <v>235</v>
      </c>
      <c r="C1612" s="1154"/>
      <c r="D1612" s="1090"/>
      <c r="E1612" s="1079" t="str">
        <f>VLOOKUP($B1612,DG!A:D,DG!$B$2,)</f>
        <v>06.1115</v>
      </c>
      <c r="F1612" s="1080" t="str">
        <f>VLOOKUP($B1612,DG!A:D,DG!$C$2,)</f>
        <v>Tháo sứ đứng 24KV</v>
      </c>
      <c r="G1612" s="1079" t="str">
        <f>VLOOKUP($B1612,DG!A:D,DG!$D$2,)</f>
        <v>bộ</v>
      </c>
      <c r="H1612" s="1851"/>
      <c r="I1612" s="1259">
        <f t="shared" si="100"/>
        <v>0</v>
      </c>
      <c r="J1612" s="1081"/>
      <c r="K1612" s="1081"/>
      <c r="L1612" s="1110"/>
      <c r="M1612" s="975">
        <v>320</v>
      </c>
    </row>
    <row r="1613" spans="1:13" s="1083" customFormat="1" ht="25.2" hidden="1" customHeight="1">
      <c r="A1613" s="1153">
        <f t="shared" si="99"/>
        <v>0</v>
      </c>
      <c r="B1613" s="1154" t="s">
        <v>1510</v>
      </c>
      <c r="C1613" s="1154"/>
      <c r="D1613" s="1090"/>
      <c r="E1613" s="1079" t="str">
        <f>VLOOKUP($B1613,DG!A:D,DG!$B$2,)</f>
        <v>06.2201</v>
      </c>
      <c r="F1613" s="1080" t="str">
        <f>VLOOKUP($B1613,DG!A:D,DG!$C$2,)</f>
        <v>Lắp chuỗi sứ néo Polymer</v>
      </c>
      <c r="G1613" s="1079" t="str">
        <f>VLOOKUP($B1613,DG!A:D,DG!$D$2,)</f>
        <v>chuỗi</v>
      </c>
      <c r="H1613" s="1851">
        <f>H1608</f>
        <v>3</v>
      </c>
      <c r="I1613" s="1259">
        <f t="shared" si="100"/>
        <v>0</v>
      </c>
      <c r="J1613" s="1081"/>
      <c r="K1613" s="1081"/>
      <c r="L1613" s="1110"/>
      <c r="M1613" s="975">
        <v>320</v>
      </c>
    </row>
    <row r="1614" spans="1:13" s="1083" customFormat="1" ht="25.2" hidden="1" customHeight="1">
      <c r="A1614" s="1153">
        <f t="shared" si="99"/>
        <v>0</v>
      </c>
      <c r="B1614" s="1154" t="s">
        <v>1528</v>
      </c>
      <c r="C1614" s="1154"/>
      <c r="D1614" s="1090"/>
      <c r="E1614" s="1079" t="str">
        <f>VLOOKUP($B1614,DG!A:D,DG!$B$2,)</f>
        <v>04.4201</v>
      </c>
      <c r="F1614" s="1080" t="str">
        <f>VLOOKUP($B1614,DG!A:D,DG!$C$2,)</f>
        <v>Lắp cáp đồng xuống thiết bị D ≤ 95mm2</v>
      </c>
      <c r="G1614" s="1079" t="str">
        <f>VLOOKUP($B1614,DG!A:D,DG!$D$2,)</f>
        <v>m</v>
      </c>
      <c r="H1614" s="1851">
        <f>H1598+H1599</f>
        <v>0</v>
      </c>
      <c r="I1614" s="1259">
        <f t="shared" si="100"/>
        <v>0</v>
      </c>
      <c r="J1614" s="1081"/>
      <c r="K1614" s="1081"/>
      <c r="L1614" s="1110"/>
      <c r="M1614" s="975">
        <v>320</v>
      </c>
    </row>
    <row r="1615" spans="1:13" s="1083" customFormat="1" ht="25.2" hidden="1" customHeight="1">
      <c r="A1615" s="1153">
        <f t="shared" si="99"/>
        <v>0</v>
      </c>
      <c r="B1615" s="1324"/>
      <c r="C1615" s="1324"/>
      <c r="D1615" s="1084">
        <f>IF(H1615&gt;0,D1596+1,D1596)</f>
        <v>2</v>
      </c>
      <c r="E1615" s="1085"/>
      <c r="F1615" s="1094" t="s">
        <v>3726</v>
      </c>
      <c r="G1615" s="1084" t="s">
        <v>2391</v>
      </c>
      <c r="H1615" s="1867"/>
      <c r="I1615" s="1259">
        <f t="shared" si="100"/>
        <v>0</v>
      </c>
      <c r="J1615" s="1081"/>
      <c r="K1615" s="1081"/>
      <c r="L1615" s="1082"/>
      <c r="M1615" s="975">
        <v>320</v>
      </c>
    </row>
    <row r="1616" spans="1:13" s="1083" customFormat="1" ht="25.2" hidden="1" customHeight="1">
      <c r="A1616" s="1153">
        <f t="shared" si="99"/>
        <v>0</v>
      </c>
      <c r="B1616" s="1324"/>
      <c r="C1616" s="1324"/>
      <c r="D1616" s="1078"/>
      <c r="E1616" s="1088"/>
      <c r="F1616" s="1368" t="s">
        <v>2285</v>
      </c>
      <c r="G1616" s="1078"/>
      <c r="H1616" s="1868"/>
      <c r="I1616" s="1259">
        <f t="shared" si="100"/>
        <v>0</v>
      </c>
      <c r="J1616" s="1081"/>
      <c r="K1616" s="1081"/>
      <c r="L1616" s="1082"/>
      <c r="M1616" s="975">
        <v>320</v>
      </c>
    </row>
    <row r="1617" spans="1:13" s="1083" customFormat="1" ht="25.2" hidden="1" customHeight="1">
      <c r="A1617" s="1153">
        <f t="shared" si="99"/>
        <v>0</v>
      </c>
      <c r="B1617" s="1324" t="s">
        <v>1492</v>
      </c>
      <c r="C1617" s="1324"/>
      <c r="D1617" s="1090"/>
      <c r="E1617" s="1079" t="str">
        <f>VLOOKUP($B1617,DG!A:D,DG!$B$2,)</f>
        <v>04.8003</v>
      </c>
      <c r="F1617" s="1080" t="str">
        <f>VLOOKUP($B1617,DG!A:D,DG!$C$2,)</f>
        <v xml:space="preserve">Ống PVC D90x3,8mm </v>
      </c>
      <c r="G1617" s="1079" t="str">
        <f>VLOOKUP($B1617,DG!A:D,DG!$D$2,)</f>
        <v>m</v>
      </c>
      <c r="H1617" s="1851">
        <v>2</v>
      </c>
      <c r="I1617" s="1259">
        <f t="shared" si="100"/>
        <v>0</v>
      </c>
      <c r="J1617" s="1081"/>
      <c r="K1617" s="1081"/>
      <c r="L1617" s="1082"/>
      <c r="M1617" s="975">
        <v>320</v>
      </c>
    </row>
    <row r="1618" spans="1:13" s="1083" customFormat="1" ht="25.2" hidden="1" customHeight="1">
      <c r="A1618" s="1153">
        <f t="shared" si="99"/>
        <v>0</v>
      </c>
      <c r="B1618" s="1324" t="s">
        <v>86</v>
      </c>
      <c r="C1618" s="1324"/>
      <c r="D1618" s="1090"/>
      <c r="E1618" s="1079">
        <f>VLOOKUP($B1618,DG!A:D,DG!$B$2,)</f>
        <v>0</v>
      </c>
      <c r="F1618" s="1080" t="str">
        <f>VLOOKUP($B1618,DG!A:D,DG!$C$2,)</f>
        <v>Co  90 độ PVC 90</v>
      </c>
      <c r="G1618" s="1079" t="str">
        <f>VLOOKUP($B1618,DG!A:D,DG!$D$2,)</f>
        <v>cái</v>
      </c>
      <c r="H1618" s="1851">
        <v>2</v>
      </c>
      <c r="I1618" s="1259">
        <f t="shared" si="100"/>
        <v>0</v>
      </c>
      <c r="J1618" s="1081"/>
      <c r="K1618" s="1081"/>
      <c r="L1618" s="1082"/>
      <c r="M1618" s="975">
        <v>320</v>
      </c>
    </row>
    <row r="1619" spans="1:13" s="1083" customFormat="1" ht="25.2" hidden="1" customHeight="1">
      <c r="A1619" s="1153">
        <f t="shared" si="99"/>
        <v>0</v>
      </c>
      <c r="B1619" s="1324" t="s">
        <v>931</v>
      </c>
      <c r="C1619" s="1324"/>
      <c r="D1619" s="1090"/>
      <c r="E1619" s="1079">
        <f>VLOOKUP($B1619,DG!A:D,DG!$B$2,)</f>
        <v>0</v>
      </c>
      <c r="F1619" s="1080" t="str">
        <f>VLOOKUP($B1619,DG!A:D,DG!$C$2,)</f>
        <v>Khâu ven răng trong D90</v>
      </c>
      <c r="G1619" s="1079" t="str">
        <f>VLOOKUP($B1619,DG!A:D,DG!$D$2,)</f>
        <v>cái</v>
      </c>
      <c r="H1619" s="1851">
        <v>2</v>
      </c>
      <c r="I1619" s="1259">
        <f t="shared" si="100"/>
        <v>0</v>
      </c>
      <c r="J1619" s="1081"/>
      <c r="K1619" s="1081"/>
      <c r="L1619" s="1082"/>
      <c r="M1619" s="975">
        <v>320</v>
      </c>
    </row>
    <row r="1620" spans="1:13" s="1083" customFormat="1" ht="25.2" hidden="1" customHeight="1">
      <c r="A1620" s="1153">
        <f t="shared" si="99"/>
        <v>0</v>
      </c>
      <c r="B1620" s="1324" t="s">
        <v>930</v>
      </c>
      <c r="C1620" s="1324"/>
      <c r="D1620" s="1090"/>
      <c r="E1620" s="1079">
        <f>VLOOKUP($B1620,DG!A:D,DG!$B$2,)</f>
        <v>0</v>
      </c>
      <c r="F1620" s="1080" t="str">
        <f>VLOOKUP($B1620,DG!A:D,DG!$C$2,)</f>
        <v>Khâu ven răng ngoài D90</v>
      </c>
      <c r="G1620" s="1079" t="str">
        <f>VLOOKUP($B1620,DG!A:D,DG!$D$2,)</f>
        <v>cái</v>
      </c>
      <c r="H1620" s="1851">
        <v>2</v>
      </c>
      <c r="I1620" s="1259">
        <f t="shared" si="100"/>
        <v>0</v>
      </c>
      <c r="J1620" s="1081"/>
      <c r="K1620" s="1081"/>
      <c r="L1620" s="1082"/>
      <c r="M1620" s="975">
        <v>320</v>
      </c>
    </row>
    <row r="1621" spans="1:13" s="1083" customFormat="1" ht="25.2" hidden="1" customHeight="1">
      <c r="A1621" s="1153">
        <f t="shared" si="99"/>
        <v>0</v>
      </c>
      <c r="B1621" s="1154"/>
      <c r="C1621" s="1154"/>
      <c r="D1621" s="1084">
        <f>IF(H1621&gt;0,D1615+1,D1615)</f>
        <v>3</v>
      </c>
      <c r="E1621" s="1085"/>
      <c r="F1621" s="1094" t="s">
        <v>3760</v>
      </c>
      <c r="G1621" s="1084" t="s">
        <v>2391</v>
      </c>
      <c r="H1621" s="1888">
        <f>H1556</f>
        <v>1</v>
      </c>
      <c r="I1621" s="1259">
        <f t="shared" si="100"/>
        <v>0</v>
      </c>
      <c r="J1621" s="1081"/>
      <c r="K1621" s="1081"/>
      <c r="L1621" s="1110"/>
      <c r="M1621" s="975">
        <v>320</v>
      </c>
    </row>
    <row r="1622" spans="1:13" s="1083" customFormat="1" ht="25.2" hidden="1" customHeight="1">
      <c r="A1622" s="1153">
        <f t="shared" si="99"/>
        <v>0</v>
      </c>
      <c r="B1622" s="1154"/>
      <c r="C1622" s="1154"/>
      <c r="D1622" s="1078"/>
      <c r="E1622" s="1088"/>
      <c r="F1622" s="1368" t="s">
        <v>2285</v>
      </c>
      <c r="G1622" s="1078"/>
      <c r="H1622" s="1851"/>
      <c r="I1622" s="1259">
        <f t="shared" si="100"/>
        <v>0</v>
      </c>
      <c r="J1622" s="1081"/>
      <c r="K1622" s="1081"/>
      <c r="L1622" s="1110"/>
      <c r="M1622" s="975">
        <v>320</v>
      </c>
    </row>
    <row r="1623" spans="1:13" s="1083" customFormat="1" ht="25.2" hidden="1" customHeight="1">
      <c r="A1623" s="1153">
        <f t="shared" si="99"/>
        <v>0</v>
      </c>
      <c r="B1623" s="1356" t="s">
        <v>1574</v>
      </c>
      <c r="C1623" s="1356"/>
      <c r="D1623" s="1090"/>
      <c r="E1623" s="1079">
        <f>VLOOKUP($B1623,DG!A:D,DG!$B$2,)</f>
        <v>0</v>
      </c>
      <c r="F1623" s="1080" t="str">
        <f>VLOOKUP($B1623,DG!A:D,DG!$C$2,)</f>
        <v>Cáp đồng bọc CV240</v>
      </c>
      <c r="G1623" s="1079" t="str">
        <f>VLOOKUP($B1623,DG!A:D,DG!$D$2,)</f>
        <v>mét</v>
      </c>
      <c r="H1623" s="1851">
        <f>8*3*H1621*L12</f>
        <v>0</v>
      </c>
      <c r="I1623" s="1259">
        <f t="shared" si="100"/>
        <v>0</v>
      </c>
      <c r="J1623" s="1081"/>
      <c r="K1623" s="1081"/>
      <c r="L1623" s="1110"/>
      <c r="M1623" s="975">
        <v>320</v>
      </c>
    </row>
    <row r="1624" spans="1:13" s="1083" customFormat="1" ht="25.2" hidden="1" customHeight="1">
      <c r="A1624" s="1153">
        <f t="shared" si="99"/>
        <v>0</v>
      </c>
      <c r="B1624" s="1356" t="s">
        <v>1013</v>
      </c>
      <c r="C1624" s="1356"/>
      <c r="D1624" s="1090"/>
      <c r="E1624" s="1079">
        <f>VLOOKUP($B1624,DG!A:D,DG!$B$2,)</f>
        <v>0</v>
      </c>
      <c r="F1624" s="1080" t="str">
        <f>VLOOKUP($B1624,DG!A:D,DG!$C$2,)</f>
        <v>Cáp đồng bọc CV185</v>
      </c>
      <c r="G1624" s="1079" t="str">
        <f>VLOOKUP($B1624,DG!A:D,DG!$D$2,)</f>
        <v>mét</v>
      </c>
      <c r="H1624" s="1851">
        <f>8*H1621</f>
        <v>8</v>
      </c>
      <c r="I1624" s="1259">
        <f t="shared" si="100"/>
        <v>0</v>
      </c>
      <c r="J1624" s="1081"/>
      <c r="K1624" s="1081"/>
      <c r="L1624" s="1110"/>
      <c r="M1624" s="975">
        <v>320</v>
      </c>
    </row>
    <row r="1625" spans="1:13" s="1083" customFormat="1" ht="25.2" hidden="1" customHeight="1">
      <c r="A1625" s="1153">
        <f t="shared" si="99"/>
        <v>0</v>
      </c>
      <c r="B1625" s="1324" t="s">
        <v>2162</v>
      </c>
      <c r="C1625" s="1324"/>
      <c r="D1625" s="1090"/>
      <c r="E1625" s="1079" t="str">
        <f>VLOOKUP($B1625,DG!A:D,DG!$B$2,)</f>
        <v>03.4008</v>
      </c>
      <c r="F1625" s="1080" t="str">
        <f>VLOOKUP($B1625,DG!A:D,DG!$C$2,)&amp;": "</f>
        <v xml:space="preserve">Đầu cosse ép Cu 240mm2: </v>
      </c>
      <c r="G1625" s="1079" t="str">
        <f>VLOOKUP($B1625,DG!A:D,DG!$D$2,)</f>
        <v>cái</v>
      </c>
      <c r="H1625" s="1851">
        <f>H1621*6</f>
        <v>6</v>
      </c>
      <c r="I1625" s="1259">
        <f t="shared" si="100"/>
        <v>0</v>
      </c>
      <c r="J1625" s="1081"/>
      <c r="K1625" s="1081"/>
      <c r="L1625" s="1110"/>
      <c r="M1625" s="975">
        <v>320</v>
      </c>
    </row>
    <row r="1626" spans="1:13" s="1083" customFormat="1" ht="25.2" hidden="1" customHeight="1">
      <c r="A1626" s="1153">
        <f t="shared" ref="A1626:A1689" si="103">IF(I1626&gt;0,1,0)</f>
        <v>0</v>
      </c>
      <c r="B1626" s="1324" t="s">
        <v>151</v>
      </c>
      <c r="C1626" s="1324"/>
      <c r="D1626" s="1090"/>
      <c r="E1626" s="1079" t="str">
        <f>VLOOKUP($B1626,DG!A:D,DG!$B$2,)</f>
        <v>03.4007</v>
      </c>
      <c r="F1626" s="1080" t="str">
        <f>VLOOKUP($B1626,DG!A:D,DG!$C$2,)&amp;": "</f>
        <v xml:space="preserve">Đầu cosse ép Cu 185mm2: </v>
      </c>
      <c r="G1626" s="1079" t="str">
        <f>VLOOKUP($B1626,DG!A:D,DG!$D$2,)</f>
        <v>cái</v>
      </c>
      <c r="H1626" s="1851">
        <f>H1621*2</f>
        <v>2</v>
      </c>
      <c r="I1626" s="1259">
        <f t="shared" si="100"/>
        <v>0</v>
      </c>
      <c r="J1626" s="1081"/>
      <c r="K1626" s="1081"/>
      <c r="L1626" s="1110"/>
      <c r="M1626" s="975">
        <v>320</v>
      </c>
    </row>
    <row r="1627" spans="1:13" s="1083" customFormat="1" ht="25.2" hidden="1" customHeight="1">
      <c r="A1627" s="1153">
        <f t="shared" si="103"/>
        <v>0</v>
      </c>
      <c r="B1627" s="1324" t="s">
        <v>90</v>
      </c>
      <c r="C1627" s="1324"/>
      <c r="D1627" s="1090"/>
      <c r="E1627" s="1079">
        <f>VLOOKUP($B1627,DG!A:D,DG!$B$2,)</f>
        <v>0</v>
      </c>
      <c r="F1627" s="1080" t="str">
        <f>VLOOKUP($B1627,DG!A:D,DG!$C$2,)&amp;": "</f>
        <v xml:space="preserve">Chụp đầu cosse  240mm2: </v>
      </c>
      <c r="G1627" s="1079" t="str">
        <f>VLOOKUP($B1627,DG!A:D,DG!$D$2,)</f>
        <v>cái</v>
      </c>
      <c r="H1627" s="1851">
        <f>H1625</f>
        <v>6</v>
      </c>
      <c r="I1627" s="1259">
        <f t="shared" si="100"/>
        <v>0</v>
      </c>
      <c r="J1627" s="1081"/>
      <c r="K1627" s="1081"/>
      <c r="L1627" s="1110"/>
      <c r="M1627" s="975">
        <v>320</v>
      </c>
    </row>
    <row r="1628" spans="1:13" s="1083" customFormat="1" ht="25.2" hidden="1" customHeight="1">
      <c r="A1628" s="1153">
        <f t="shared" si="103"/>
        <v>0</v>
      </c>
      <c r="B1628" s="1324" t="s">
        <v>150</v>
      </c>
      <c r="C1628" s="1324"/>
      <c r="D1628" s="1090"/>
      <c r="E1628" s="1079">
        <f>VLOOKUP($B1628,DG!A:D,DG!$B$2,)</f>
        <v>0</v>
      </c>
      <c r="F1628" s="1080" t="str">
        <f>VLOOKUP($B1628,DG!A:D,DG!$C$2,)&amp;": "</f>
        <v xml:space="preserve">Chụp đầu cosse  185mm2: </v>
      </c>
      <c r="G1628" s="1079" t="str">
        <f>VLOOKUP($B1628,DG!A:D,DG!$D$2,)</f>
        <v>cái</v>
      </c>
      <c r="H1628" s="1851">
        <f>H1626</f>
        <v>2</v>
      </c>
      <c r="I1628" s="1259">
        <f t="shared" si="100"/>
        <v>0</v>
      </c>
      <c r="J1628" s="1081"/>
      <c r="K1628" s="1081"/>
      <c r="L1628" s="1110"/>
      <c r="M1628" s="975">
        <v>320</v>
      </c>
    </row>
    <row r="1629" spans="1:13" s="1083" customFormat="1" ht="25.2" hidden="1" customHeight="1">
      <c r="A1629" s="1153">
        <f t="shared" si="103"/>
        <v>0</v>
      </c>
      <c r="B1629" s="1324" t="s">
        <v>1042</v>
      </c>
      <c r="C1629" s="1324"/>
      <c r="D1629" s="1090"/>
      <c r="E1629" s="1079">
        <f>VLOOKUP($B1629,DG!A:D,DG!$B$2,)</f>
        <v>0</v>
      </c>
      <c r="F1629" s="1080" t="str">
        <f>VLOOKUP($B1629,DG!A:D,DG!$C$2,)</f>
        <v xml:space="preserve">Ống PVC D114x4,9mm </v>
      </c>
      <c r="G1629" s="1079" t="str">
        <f>VLOOKUP($B1629,DG!A:D,DG!$D$2,)</f>
        <v>m</v>
      </c>
      <c r="H1629" s="1851">
        <f>IF(H1621&gt;2,0,6*H1621*H1621)</f>
        <v>6</v>
      </c>
      <c r="I1629" s="1259">
        <f t="shared" si="100"/>
        <v>0</v>
      </c>
      <c r="J1629" s="1081"/>
      <c r="K1629" s="1081"/>
      <c r="L1629" s="1110"/>
      <c r="M1629" s="975">
        <v>320</v>
      </c>
    </row>
    <row r="1630" spans="1:13" s="1083" customFormat="1" ht="25.2" hidden="1" customHeight="1">
      <c r="A1630" s="1153">
        <f t="shared" si="103"/>
        <v>0</v>
      </c>
      <c r="B1630" s="1154" t="s">
        <v>731</v>
      </c>
      <c r="C1630" s="1154"/>
      <c r="D1630" s="1090"/>
      <c r="E1630" s="1079" t="str">
        <f>VLOOKUP($B1630,DG!A:D,DG!$B$2,)</f>
        <v>06.3231</v>
      </c>
      <c r="F1630" s="1080" t="str">
        <f>VLOOKUP($B1630,DG!A:D,DG!$C$2,)&amp;": 01 bộ CD-250"</f>
        <v>Cổ dê kẹp ống PVC Ø 114: 01 bộ CD-250</v>
      </c>
      <c r="G1630" s="1079" t="str">
        <f>VLOOKUP($B1630,DG!A:D,DG!$D$2,)</f>
        <v>bộ</v>
      </c>
      <c r="H1630" s="1851">
        <v>1</v>
      </c>
      <c r="I1630" s="1259">
        <f t="shared" si="100"/>
        <v>0</v>
      </c>
      <c r="J1630" s="1081"/>
      <c r="K1630" s="1081"/>
      <c r="L1630" s="1110"/>
      <c r="M1630" s="975">
        <v>320</v>
      </c>
    </row>
    <row r="1631" spans="1:13" s="1083" customFormat="1" ht="25.2" hidden="1" customHeight="1">
      <c r="A1631" s="1153">
        <f t="shared" si="103"/>
        <v>0</v>
      </c>
      <c r="B1631" s="1154" t="s">
        <v>731</v>
      </c>
      <c r="C1631" s="1154"/>
      <c r="D1631" s="1090"/>
      <c r="E1631" s="1079" t="str">
        <f>VLOOKUP($B1631,DG!A:D,DG!$B$2,)</f>
        <v>06.3231</v>
      </c>
      <c r="F1631" s="1080" t="str">
        <f>VLOOKUP($B1631,DG!A:D,DG!$C$2,)&amp;": 01 bộ CD-280"</f>
        <v>Cổ dê kẹp ống PVC Ø 114: 01 bộ CD-280</v>
      </c>
      <c r="G1631" s="1079" t="str">
        <f>VLOOKUP($B1631,DG!A:D,DG!$D$2,)</f>
        <v>bộ</v>
      </c>
      <c r="H1631" s="1851">
        <v>1</v>
      </c>
      <c r="I1631" s="1259">
        <f t="shared" si="100"/>
        <v>0</v>
      </c>
      <c r="J1631" s="1081"/>
      <c r="K1631" s="1081"/>
      <c r="L1631" s="1110"/>
      <c r="M1631" s="975">
        <v>320</v>
      </c>
    </row>
    <row r="1632" spans="1:13" s="1083" customFormat="1" ht="25.2" hidden="1" customHeight="1">
      <c r="A1632" s="1153">
        <f t="shared" si="103"/>
        <v>0</v>
      </c>
      <c r="B1632" s="1154" t="s">
        <v>731</v>
      </c>
      <c r="C1632" s="1154"/>
      <c r="D1632" s="1090"/>
      <c r="E1632" s="1079" t="str">
        <f>VLOOKUP($B1632,DG!A:D,DG!$B$2,)</f>
        <v>06.3231</v>
      </c>
      <c r="F1632" s="1080" t="str">
        <f>VLOOKUP($B1632,DG!A:D,DG!$C$2,)&amp;": CD-320"</f>
        <v>Cổ dê kẹp ống PVC Ø 114: CD-320</v>
      </c>
      <c r="G1632" s="1079" t="str">
        <f>VLOOKUP($B1632,DG!A:D,DG!$D$2,)</f>
        <v>bộ</v>
      </c>
      <c r="H1632" s="1851">
        <f>H1621*0</f>
        <v>0</v>
      </c>
      <c r="I1632" s="1259">
        <f t="shared" si="100"/>
        <v>0</v>
      </c>
      <c r="J1632" s="1081"/>
      <c r="K1632" s="1081"/>
      <c r="L1632" s="1110"/>
      <c r="M1632" s="975">
        <v>320</v>
      </c>
    </row>
    <row r="1633" spans="1:13" s="1083" customFormat="1" ht="25.2" hidden="1" customHeight="1">
      <c r="A1633" s="1153">
        <f t="shared" si="103"/>
        <v>0</v>
      </c>
      <c r="B1633" s="1154" t="s">
        <v>1131</v>
      </c>
      <c r="C1633" s="1154"/>
      <c r="D1633" s="1090"/>
      <c r="E1633" s="1079" t="str">
        <f>VLOOKUP($B1633,DG!A:D,DG!$B$2,)</f>
        <v>06.2110</v>
      </c>
      <c r="F1633" s="1080" t="str">
        <f>VLOOKUP($B1633,DG!A:D,DG!$C$2,)</f>
        <v>Lắp cổ dề</v>
      </c>
      <c r="G1633" s="1079" t="str">
        <f>VLOOKUP($B1633,DG!A:D,DG!$D$2,)</f>
        <v>bộ</v>
      </c>
      <c r="H1633" s="1851">
        <v>2</v>
      </c>
      <c r="I1633" s="1259">
        <f t="shared" si="100"/>
        <v>0</v>
      </c>
      <c r="J1633" s="1081"/>
      <c r="K1633" s="1081"/>
      <c r="L1633" s="1110"/>
      <c r="M1633" s="975">
        <v>320</v>
      </c>
    </row>
    <row r="1634" spans="1:13" s="1083" customFormat="1" ht="25.2" hidden="1" customHeight="1">
      <c r="A1634" s="1153">
        <f t="shared" si="103"/>
        <v>0</v>
      </c>
      <c r="B1634" s="1346" t="s">
        <v>138</v>
      </c>
      <c r="C1634" s="1346"/>
      <c r="D1634" s="1090"/>
      <c r="E1634" s="1079">
        <f>VLOOKUP($B1634,DG!A:D,DG!$B$2,)</f>
        <v>0</v>
      </c>
      <c r="F1634" s="1080" t="str">
        <f>VLOOKUP($B1634,DG!A:D,DG!$C$2,)</f>
        <v>Boulon 12x40+ 2 long đền vuông D14-50x50x3/Zn</v>
      </c>
      <c r="G1634" s="1079" t="str">
        <f>VLOOKUP($B1634,DG!A:D,DG!$D$2,)</f>
        <v>bộ</v>
      </c>
      <c r="H1634" s="1851"/>
      <c r="I1634" s="1259">
        <f t="shared" si="100"/>
        <v>0</v>
      </c>
      <c r="J1634" s="1081"/>
      <c r="K1634" s="1081"/>
      <c r="L1634" s="1110"/>
      <c r="M1634" s="975">
        <v>320</v>
      </c>
    </row>
    <row r="1635" spans="1:13" s="1083" customFormat="1" ht="25.2" hidden="1" customHeight="1">
      <c r="A1635" s="1153">
        <f t="shared" si="103"/>
        <v>0</v>
      </c>
      <c r="B1635" s="1346" t="s">
        <v>1989</v>
      </c>
      <c r="C1635" s="1346"/>
      <c r="D1635" s="1090"/>
      <c r="E1635" s="1079">
        <f>VLOOKUP($B1635,DG!A:D,DG!$B$2,)</f>
        <v>0</v>
      </c>
      <c r="F1635" s="1080" t="str">
        <f>VLOOKUP($B1635,DG!A:D,DG!$C$2,)</f>
        <v>Boulon 12x60+ 2 long đền vuông D14-50x50x3/Zn</v>
      </c>
      <c r="G1635" s="1079" t="str">
        <f>VLOOKUP($B1635,DG!A:D,DG!$D$2,)</f>
        <v>bộ</v>
      </c>
      <c r="H1635" s="1851"/>
      <c r="I1635" s="1259">
        <f t="shared" si="100"/>
        <v>0</v>
      </c>
      <c r="J1635" s="1081"/>
      <c r="K1635" s="1081"/>
      <c r="L1635" s="1110"/>
      <c r="M1635" s="975">
        <v>320</v>
      </c>
    </row>
    <row r="1636" spans="1:13" s="1083" customFormat="1" ht="25.2" hidden="1" customHeight="1">
      <c r="A1636" s="1153">
        <f t="shared" si="103"/>
        <v>0</v>
      </c>
      <c r="B1636" s="1324" t="s">
        <v>1043</v>
      </c>
      <c r="C1636" s="1324"/>
      <c r="D1636" s="1090"/>
      <c r="E1636" s="1079">
        <f>VLOOKUP($B1636,DG!A:D,DG!$B$2,)</f>
        <v>0</v>
      </c>
      <c r="F1636" s="1080" t="str">
        <f>VLOOKUP($B1636,DG!A:D,DG!$C$2,)</f>
        <v>Co sừng 90 độ PVC 114</v>
      </c>
      <c r="G1636" s="1079" t="str">
        <f>VLOOKUP($B1636,DG!A:D,DG!$D$2,)</f>
        <v>cái</v>
      </c>
      <c r="H1636" s="1851">
        <v>1</v>
      </c>
      <c r="I1636" s="1259">
        <f t="shared" si="100"/>
        <v>0</v>
      </c>
      <c r="J1636" s="1081"/>
      <c r="K1636" s="1081"/>
      <c r="L1636" s="1110"/>
      <c r="M1636" s="975">
        <v>320</v>
      </c>
    </row>
    <row r="1637" spans="1:13" s="1083" customFormat="1" ht="25.2" hidden="1" customHeight="1">
      <c r="A1637" s="1153">
        <f t="shared" si="103"/>
        <v>0</v>
      </c>
      <c r="B1637" s="1324" t="s">
        <v>2123</v>
      </c>
      <c r="C1637" s="1324"/>
      <c r="D1637" s="1090"/>
      <c r="E1637" s="1079">
        <f>VLOOKUP($B1637,DG!A:D,DG!$B$2,)</f>
        <v>0</v>
      </c>
      <c r="F1637" s="1080" t="str">
        <f>VLOOKUP($B1637,DG!A:D,DG!$C$2,)</f>
        <v>Co  90 độ PVC 114</v>
      </c>
      <c r="G1637" s="1079" t="str">
        <f>VLOOKUP($B1637,DG!A:D,DG!$D$2,)</f>
        <v>cái</v>
      </c>
      <c r="H1637" s="1851">
        <f>H1619*1</f>
        <v>2</v>
      </c>
      <c r="I1637" s="1259">
        <f t="shared" ref="I1637:I1638" si="104">IF(M1637=$M$23,H1637+J1637-K1637,0)</f>
        <v>0</v>
      </c>
      <c r="J1637" s="1081"/>
      <c r="K1637" s="1081"/>
      <c r="L1637" s="1110"/>
      <c r="M1637" s="975">
        <v>320</v>
      </c>
    </row>
    <row r="1638" spans="1:13" s="1083" customFormat="1" ht="25.2" hidden="1" customHeight="1">
      <c r="A1638" s="1153">
        <f t="shared" si="103"/>
        <v>0</v>
      </c>
      <c r="B1638" s="1324" t="s">
        <v>4802</v>
      </c>
      <c r="C1638" s="1324"/>
      <c r="D1638" s="1090"/>
      <c r="E1638" s="1079">
        <f>VLOOKUP($B1638,DG!A:D,DG!$B$2,)</f>
        <v>0</v>
      </c>
      <c r="F1638" s="1080" t="str">
        <f>VLOOKUP($B1638,DG!A:D,DG!$C$2,)</f>
        <v>Co 135 độ PVC 114</v>
      </c>
      <c r="G1638" s="1079" t="str">
        <f>VLOOKUP($B1638,DG!A:D,DG!$D$2,)</f>
        <v>cái</v>
      </c>
      <c r="H1638" s="1851">
        <v>1</v>
      </c>
      <c r="I1638" s="1259">
        <f t="shared" si="104"/>
        <v>0</v>
      </c>
      <c r="J1638" s="1081"/>
      <c r="K1638" s="1081"/>
      <c r="L1638" s="1110"/>
      <c r="M1638" s="975">
        <v>320</v>
      </c>
    </row>
    <row r="1639" spans="1:13" s="1083" customFormat="1" ht="25.2" hidden="1" customHeight="1">
      <c r="A1639" s="1153">
        <f t="shared" si="103"/>
        <v>0</v>
      </c>
      <c r="B1639" s="1324" t="s">
        <v>2173</v>
      </c>
      <c r="C1639" s="1324"/>
      <c r="D1639" s="1090"/>
      <c r="E1639" s="1079">
        <f>VLOOKUP($B1639,DG!A:D,DG!$B$2,)</f>
        <v>0</v>
      </c>
      <c r="F1639" s="1080" t="str">
        <f>VLOOKUP($B1639,DG!A:D,DG!$C$2,)</f>
        <v>Khâu ven răng trong D114</v>
      </c>
      <c r="G1639" s="1079" t="str">
        <f>VLOOKUP($B1639,DG!A:D,DG!$D$2,)</f>
        <v>cái</v>
      </c>
      <c r="H1639" s="1851">
        <f>H1621*1</f>
        <v>1</v>
      </c>
      <c r="I1639" s="1259">
        <f t="shared" si="100"/>
        <v>0</v>
      </c>
      <c r="J1639" s="1081"/>
      <c r="K1639" s="1081"/>
      <c r="L1639" s="1110"/>
      <c r="M1639" s="975">
        <v>320</v>
      </c>
    </row>
    <row r="1640" spans="1:13" s="1083" customFormat="1" ht="25.2" hidden="1" customHeight="1">
      <c r="A1640" s="1153">
        <f t="shared" si="103"/>
        <v>0</v>
      </c>
      <c r="B1640" s="1324" t="s">
        <v>2174</v>
      </c>
      <c r="C1640" s="1324"/>
      <c r="D1640" s="1090"/>
      <c r="E1640" s="1079">
        <f>VLOOKUP($B1640,DG!A:D,DG!$B$2,)</f>
        <v>0</v>
      </c>
      <c r="F1640" s="1080" t="str">
        <f>VLOOKUP($B1640,DG!A:D,DG!$C$2,)&amp;": "</f>
        <v xml:space="preserve">Khâu ven răng ngoài D114: </v>
      </c>
      <c r="G1640" s="1079" t="str">
        <f>VLOOKUP($B1640,DG!A:D,DG!$D$2,)</f>
        <v>cái</v>
      </c>
      <c r="H1640" s="1851">
        <f>H1639</f>
        <v>1</v>
      </c>
      <c r="I1640" s="1259">
        <f t="shared" si="100"/>
        <v>0</v>
      </c>
      <c r="J1640" s="1081"/>
      <c r="K1640" s="1081"/>
      <c r="L1640" s="1110"/>
      <c r="M1640" s="975">
        <v>320</v>
      </c>
    </row>
    <row r="1641" spans="1:13" s="1083" customFormat="1" ht="25.2" hidden="1" customHeight="1">
      <c r="A1641" s="1153">
        <f t="shared" si="103"/>
        <v>0</v>
      </c>
      <c r="B1641" s="1324" t="s">
        <v>2080</v>
      </c>
      <c r="C1641" s="1324"/>
      <c r="D1641" s="1090"/>
      <c r="E1641" s="1079">
        <f>VLOOKUP($B1641,DG!A:D,DG!$B$2,)</f>
        <v>0</v>
      </c>
      <c r="F1641" s="1080" t="str">
        <f>VLOOKUP($B1641,DG!A:D,DG!$C$2,)&amp;": "</f>
        <v xml:space="preserve">Keo dán ống PVC (100gr): </v>
      </c>
      <c r="G1641" s="1079" t="str">
        <f>VLOOKUP($B1641,DG!A:D,DG!$D$2,)</f>
        <v>tuýp</v>
      </c>
      <c r="H1641" s="1851">
        <f>H1640</f>
        <v>1</v>
      </c>
      <c r="I1641" s="1259">
        <f t="shared" si="100"/>
        <v>0</v>
      </c>
      <c r="J1641" s="1081"/>
      <c r="K1641" s="1081"/>
      <c r="L1641" s="1110"/>
      <c r="M1641" s="975">
        <v>320</v>
      </c>
    </row>
    <row r="1642" spans="1:13" s="1083" customFormat="1" ht="25.2" hidden="1" customHeight="1">
      <c r="A1642" s="1153">
        <f t="shared" si="103"/>
        <v>0</v>
      </c>
      <c r="B1642" s="1154" t="s">
        <v>6</v>
      </c>
      <c r="C1642" s="1154"/>
      <c r="D1642" s="1090"/>
      <c r="E1642" s="1079"/>
      <c r="F1642" s="1080" t="str">
        <f>VLOOKUP($B1642,DG!A:D,DG!$C$2,)&amp;":"</f>
        <v>Keo silicon bít miệng ống:</v>
      </c>
      <c r="G1642" s="1079" t="str">
        <f>VLOOKUP($B1642,DG!A:D,DG!$D$2,)</f>
        <v>ống</v>
      </c>
      <c r="H1642" s="1851">
        <f>H1641</f>
        <v>1</v>
      </c>
      <c r="I1642" s="1259">
        <f t="shared" si="100"/>
        <v>0</v>
      </c>
      <c r="J1642" s="1081"/>
      <c r="K1642" s="1081"/>
      <c r="L1642" s="1082"/>
      <c r="M1642" s="975">
        <v>320</v>
      </c>
    </row>
    <row r="1643" spans="1:13" s="1083" customFormat="1" ht="25.2" hidden="1" customHeight="1">
      <c r="A1643" s="1153">
        <f t="shared" si="103"/>
        <v>0</v>
      </c>
      <c r="B1643" s="1324" t="s">
        <v>2282</v>
      </c>
      <c r="C1643" s="1324"/>
      <c r="D1643" s="1090"/>
      <c r="E1643" s="1079" t="str">
        <f>VLOOKUP($B1643,DG!A:D,DG!$B$2,)</f>
        <v>03.1401</v>
      </c>
      <c r="F1643" s="1080" t="str">
        <f>VLOOKUP($B1643,DG!A:D,DG!$C$2,)</f>
        <v xml:space="preserve">Cáp CVV 4x4mm2  </v>
      </c>
      <c r="G1643" s="1079" t="str">
        <f>VLOOKUP($B1643,DG!A:D,DG!$D$2,)</f>
        <v>mét</v>
      </c>
      <c r="H1643" s="1851">
        <f>IF(H1650&gt;0,0,H1621*4)</f>
        <v>4</v>
      </c>
      <c r="I1643" s="1259">
        <f t="shared" si="100"/>
        <v>0</v>
      </c>
      <c r="J1643" s="1081"/>
      <c r="K1643" s="1081"/>
      <c r="L1643" s="1082"/>
      <c r="M1643" s="975">
        <v>320</v>
      </c>
    </row>
    <row r="1644" spans="1:13" s="1083" customFormat="1" ht="25.2" hidden="1" customHeight="1">
      <c r="A1644" s="1153">
        <f t="shared" si="103"/>
        <v>0</v>
      </c>
      <c r="B1644" s="1324" t="s">
        <v>1351</v>
      </c>
      <c r="C1644" s="1324"/>
      <c r="D1644" s="1090"/>
      <c r="E1644" s="1079">
        <f>VLOOKUP($B1644,DG!A:D,DG!$B$2,)</f>
        <v>0</v>
      </c>
      <c r="F1644" s="1080" t="str">
        <f>VLOOKUP($B1644,DG!A:D,DG!$C$2,)</f>
        <v>Dây rút cáp</v>
      </c>
      <c r="G1644" s="1079" t="str">
        <f>VLOOKUP($B1644,DG!A:D,DG!$D$2,)</f>
        <v>bọc</v>
      </c>
      <c r="H1644" s="1893"/>
      <c r="I1644" s="1259">
        <f t="shared" si="100"/>
        <v>0</v>
      </c>
      <c r="J1644" s="1081"/>
      <c r="K1644" s="1081"/>
      <c r="L1644" s="1082"/>
      <c r="M1644" s="975">
        <v>320</v>
      </c>
    </row>
    <row r="1645" spans="1:13" s="1083" customFormat="1" ht="25.2" hidden="1" customHeight="1">
      <c r="A1645" s="1153">
        <f t="shared" si="103"/>
        <v>0</v>
      </c>
      <c r="B1645" s="1154" t="s">
        <v>672</v>
      </c>
      <c r="C1645" s="1154"/>
      <c r="D1645" s="1090"/>
      <c r="E1645" s="1079">
        <f>VLOOKUP($B1645,DG!A:D,DG!$B$2,)</f>
        <v>0</v>
      </c>
      <c r="F1645" s="1080" t="str">
        <f>VLOOKUP($B1645,DG!A:D,DG!$C$2,)&amp;":"</f>
        <v>Băng keo cách điện:</v>
      </c>
      <c r="G1645" s="1079" t="str">
        <f>VLOOKUP($B1645,DG!A:D,DG!$D$2,)</f>
        <v>cuộn</v>
      </c>
      <c r="H1645" s="1851">
        <f>H1642*2</f>
        <v>2</v>
      </c>
      <c r="I1645" s="1259">
        <f t="shared" si="100"/>
        <v>0</v>
      </c>
      <c r="J1645" s="1081"/>
      <c r="K1645" s="1081"/>
      <c r="L1645" s="1110"/>
      <c r="M1645" s="975">
        <v>320</v>
      </c>
    </row>
    <row r="1646" spans="1:13" s="1083" customFormat="1" ht="25.2" hidden="1" customHeight="1">
      <c r="A1646" s="1153">
        <f t="shared" si="103"/>
        <v>0</v>
      </c>
      <c r="B1646" s="1154" t="s">
        <v>1413</v>
      </c>
      <c r="C1646" s="1154"/>
      <c r="D1646" s="1090"/>
      <c r="E1646" s="1079" t="str">
        <f>VLOOKUP($B1646,DG!A:D,DG!$B$2,)</f>
        <v>05.6101</v>
      </c>
      <c r="F1646" s="1080" t="str">
        <f>VLOOKUP($B1646,DG!A:D,DG!$C$2,)&amp;":"</f>
        <v>Lắp Giá đỡ cáp:</v>
      </c>
      <c r="G1646" s="1079" t="str">
        <f>VLOOKUP($B1646,DG!A:D,DG!$D$2,)</f>
        <v>bộ</v>
      </c>
      <c r="H1646" s="1851"/>
      <c r="I1646" s="1259">
        <f t="shared" si="100"/>
        <v>0</v>
      </c>
      <c r="J1646" s="1081"/>
      <c r="K1646" s="1081"/>
      <c r="L1646" s="1110"/>
      <c r="M1646" s="975">
        <v>320</v>
      </c>
    </row>
    <row r="1647" spans="1:13" s="1083" customFormat="1" ht="25.2" hidden="1" customHeight="1">
      <c r="A1647" s="1153">
        <f t="shared" si="103"/>
        <v>0</v>
      </c>
      <c r="B1647" s="1154" t="s">
        <v>247</v>
      </c>
      <c r="C1647" s="1154"/>
      <c r="D1647" s="1090"/>
      <c r="E1647" s="1079" t="str">
        <f>VLOOKUP($B1647,DG!A:D,DG!$B$2,)</f>
        <v>04.4203</v>
      </c>
      <c r="F1647" s="1080" t="str">
        <f>VLOOKUP($B1647,DG!A:D,DG!$C$2,)&amp;":"</f>
        <v>Lắp cáp đồng xuống thiết bị D &gt; 150mm2:</v>
      </c>
      <c r="G1647" s="1079" t="str">
        <f>VLOOKUP($B1647,DG!A:D,DG!$D$2,)</f>
        <v>m</v>
      </c>
      <c r="H1647" s="1851">
        <f>H1623+H1624</f>
        <v>8</v>
      </c>
      <c r="I1647" s="1259">
        <f t="shared" si="100"/>
        <v>0</v>
      </c>
      <c r="J1647" s="1081"/>
      <c r="K1647" s="1081"/>
      <c r="L1647" s="1110"/>
      <c r="M1647" s="975">
        <v>320</v>
      </c>
    </row>
    <row r="1648" spans="1:13" s="1083" customFormat="1" ht="25.2" hidden="1" customHeight="1">
      <c r="A1648" s="1153">
        <f t="shared" si="103"/>
        <v>0</v>
      </c>
      <c r="B1648" s="1154" t="s">
        <v>2010</v>
      </c>
      <c r="C1648" s="1154"/>
      <c r="D1648" s="1090"/>
      <c r="E1648" s="1079" t="str">
        <f>VLOOKUP($B1648,DG!A:D,DG!$B$2,)</f>
        <v>04.4202</v>
      </c>
      <c r="F1648" s="1080" t="str">
        <f>VLOOKUP($B1648,DG!A:D,DG!$C$2,)&amp;":"</f>
        <v>Lắp cáp đồng xuống thiết bị D ≤ 150mm2:</v>
      </c>
      <c r="G1648" s="1079" t="str">
        <f>VLOOKUP($B1648,DG!A:D,DG!$D$2,)</f>
        <v>m</v>
      </c>
      <c r="H1648" s="1851"/>
      <c r="I1648" s="1259">
        <f t="shared" si="100"/>
        <v>0</v>
      </c>
      <c r="J1648" s="1081"/>
      <c r="K1648" s="1081"/>
      <c r="L1648" s="1082"/>
      <c r="M1648" s="975">
        <v>320</v>
      </c>
    </row>
    <row r="1649" spans="1:13" s="1083" customFormat="1" ht="25.2" hidden="1" customHeight="1">
      <c r="A1649" s="1153">
        <f t="shared" si="103"/>
        <v>0</v>
      </c>
      <c r="B1649" s="1154" t="s">
        <v>242</v>
      </c>
      <c r="C1649" s="1154"/>
      <c r="D1649" s="1090"/>
      <c r="E1649" s="1079">
        <f>VLOOKUP($B1649,DG!A:D,DG!$B$2,)</f>
        <v>0</v>
      </c>
      <c r="F1649" s="1080" t="str">
        <f>VLOOKUP($B1649,DG!A:D,DG!$C$2,)&amp;":"</f>
        <v>Bộ móng tủ bù 0,2x0,2x0,4x4móng:</v>
      </c>
      <c r="G1649" s="1079" t="str">
        <f>VLOOKUP($B1649,DG!A:D,DG!$D$2,)</f>
        <v>trọn bộ</v>
      </c>
      <c r="H1649" s="1851">
        <f>H1621*1*0</f>
        <v>0</v>
      </c>
      <c r="I1649" s="1259">
        <f t="shared" si="100"/>
        <v>0</v>
      </c>
      <c r="J1649" s="1081"/>
      <c r="K1649" s="1081"/>
      <c r="L1649" s="1082"/>
      <c r="M1649" s="975">
        <v>320</v>
      </c>
    </row>
    <row r="1650" spans="1:13" s="1083" customFormat="1" ht="25.2" hidden="1" customHeight="1">
      <c r="A1650" s="1153">
        <f t="shared" si="103"/>
        <v>0</v>
      </c>
      <c r="B1650" s="1154"/>
      <c r="C1650" s="1154"/>
      <c r="D1650" s="1084">
        <f>IF(H1650&gt;0,D1621+1,D1621)</f>
        <v>3</v>
      </c>
      <c r="E1650" s="1085"/>
      <c r="F1650" s="1094" t="s">
        <v>3747</v>
      </c>
      <c r="G1650" s="1084" t="s">
        <v>2391</v>
      </c>
      <c r="H1650" s="1888">
        <f>H1452/3</f>
        <v>0</v>
      </c>
      <c r="I1650" s="1259">
        <f t="shared" si="100"/>
        <v>0</v>
      </c>
      <c r="J1650" s="1081"/>
      <c r="K1650" s="1081"/>
      <c r="L1650" s="1110"/>
      <c r="M1650" s="975">
        <v>320</v>
      </c>
    </row>
    <row r="1651" spans="1:13" s="1134" customFormat="1" ht="25.2" hidden="1" customHeight="1">
      <c r="A1651" s="1153">
        <f t="shared" si="103"/>
        <v>0</v>
      </c>
      <c r="B1651" s="1357"/>
      <c r="C1651" s="1357"/>
      <c r="D1651" s="1078"/>
      <c r="E1651" s="1088"/>
      <c r="F1651" s="1368" t="s">
        <v>2285</v>
      </c>
      <c r="G1651" s="1078"/>
      <c r="H1651" s="1868"/>
      <c r="I1651" s="1259">
        <f t="shared" ref="I1651:I1714" si="105">IF(M1651=$M$23,H1651+J1651-K1651,0)</f>
        <v>0</v>
      </c>
      <c r="J1651" s="1081"/>
      <c r="K1651" s="1081"/>
      <c r="L1651" s="1110"/>
      <c r="M1651" s="975">
        <v>320</v>
      </c>
    </row>
    <row r="1652" spans="1:13" s="1083" customFormat="1" ht="25.2" hidden="1" customHeight="1">
      <c r="A1652" s="1153">
        <f t="shared" si="103"/>
        <v>0</v>
      </c>
      <c r="B1652" s="1324" t="s">
        <v>1826</v>
      </c>
      <c r="C1652" s="1324"/>
      <c r="D1652" s="1110"/>
      <c r="E1652" s="1079" t="str">
        <f>VLOOKUP($B1652,DG!A:D,DG!$B$2,)</f>
        <v>03.1401</v>
      </c>
      <c r="F1652" s="1108" t="str">
        <f>VLOOKUP($B1652,DG!A:D,DG!$C$2,)</f>
        <v xml:space="preserve">Cáp CVV 4x2,5mm2  </v>
      </c>
      <c r="G1652" s="1135" t="str">
        <f>VLOOKUP($B1652,DG!A:D,DG!$D$2,)</f>
        <v>mét</v>
      </c>
      <c r="H1652" s="1851">
        <f>H1650*26</f>
        <v>0</v>
      </c>
      <c r="I1652" s="1259">
        <f t="shared" si="105"/>
        <v>0</v>
      </c>
      <c r="J1652" s="1131"/>
      <c r="K1652" s="1131"/>
      <c r="L1652" s="1110"/>
      <c r="M1652" s="975">
        <v>320</v>
      </c>
    </row>
    <row r="1653" spans="1:13" s="1083" customFormat="1" ht="25.2" hidden="1" customHeight="1">
      <c r="A1653" s="1153">
        <f t="shared" si="103"/>
        <v>0</v>
      </c>
      <c r="B1653" s="1324" t="s">
        <v>246</v>
      </c>
      <c r="C1653" s="1324"/>
      <c r="D1653" s="1110"/>
      <c r="E1653" s="1079" t="str">
        <f>VLOOKUP($B1653,DG!A:D,DG!$B$2,)</f>
        <v>05.6101</v>
      </c>
      <c r="F1653" s="1108" t="str">
        <f>VLOOKUP($B1653,DG!A:D,DG!$C$2,)</f>
        <v>Xà kẹp TU, TI U50x32x4 350</v>
      </c>
      <c r="G1653" s="1135" t="str">
        <f>VLOOKUP($B1653,DG!A:D,DG!$D$2,)</f>
        <v>Bộ</v>
      </c>
      <c r="H1653" s="1851">
        <f>H1650*24</f>
        <v>0</v>
      </c>
      <c r="I1653" s="1259">
        <f t="shared" si="105"/>
        <v>0</v>
      </c>
      <c r="J1653" s="1131"/>
      <c r="K1653" s="1131"/>
      <c r="L1653" s="1110"/>
      <c r="M1653" s="975">
        <v>320</v>
      </c>
    </row>
    <row r="1654" spans="1:13" s="1083" customFormat="1" ht="25.2" hidden="1" customHeight="1">
      <c r="A1654" s="1153">
        <f t="shared" si="103"/>
        <v>0</v>
      </c>
      <c r="B1654" s="1324" t="s">
        <v>1869</v>
      </c>
      <c r="C1654" s="1324"/>
      <c r="D1654" s="1090"/>
      <c r="E1654" s="1079" t="str">
        <f>VLOOKUP($B1654,DG!A:D,DG!$B$2,)</f>
        <v>03.4001</v>
      </c>
      <c r="F1654" s="1108" t="str">
        <f>VLOOKUP($B1654,DG!A:D,DG!$C$2,)</f>
        <v xml:space="preserve">Đầu cosse ép Cu 2,5mm2 + bao PVC </v>
      </c>
      <c r="G1654" s="1135" t="str">
        <f>VLOOKUP($B1654,DG!A:D,DG!$D$2,)</f>
        <v>cái</v>
      </c>
      <c r="H1654" s="1851">
        <f>H1650*16</f>
        <v>0</v>
      </c>
      <c r="I1654" s="1259">
        <f t="shared" si="105"/>
        <v>0</v>
      </c>
      <c r="J1654" s="1131"/>
      <c r="K1654" s="1131"/>
      <c r="L1654" s="1110"/>
      <c r="M1654" s="975">
        <v>320</v>
      </c>
    </row>
    <row r="1655" spans="1:13" s="1083" customFormat="1" ht="25.2" hidden="1" customHeight="1">
      <c r="A1655" s="1153">
        <f t="shared" si="103"/>
        <v>0</v>
      </c>
      <c r="B1655" s="1324" t="s">
        <v>1513</v>
      </c>
      <c r="C1655" s="1324"/>
      <c r="D1655" s="1090"/>
      <c r="E1655" s="1079">
        <f>VLOOKUP($B1655,DG!A:D,DG!$B$2,)</f>
        <v>0</v>
      </c>
      <c r="F1655" s="1108" t="str">
        <f>VLOOKUP($B1655,DG!A:D,DG!$C$2,)</f>
        <v>Dây điện đôi 16/10</v>
      </c>
      <c r="G1655" s="1135" t="str">
        <f>VLOOKUP($B1655,DG!A:D,DG!$D$2,)</f>
        <v>mét</v>
      </c>
      <c r="H1655" s="1851">
        <f>2*H1650</f>
        <v>0</v>
      </c>
      <c r="I1655" s="1259">
        <f t="shared" si="105"/>
        <v>0</v>
      </c>
      <c r="J1655" s="1131"/>
      <c r="K1655" s="1131"/>
      <c r="L1655" s="1110"/>
      <c r="M1655" s="975">
        <v>320</v>
      </c>
    </row>
    <row r="1656" spans="1:13" s="1083" customFormat="1" ht="25.2" hidden="1" customHeight="1">
      <c r="A1656" s="1153">
        <f t="shared" si="103"/>
        <v>0</v>
      </c>
      <c r="B1656" s="1324" t="s">
        <v>1114</v>
      </c>
      <c r="C1656" s="1324"/>
      <c r="D1656" s="1090"/>
      <c r="E1656" s="1079">
        <f>VLOOKUP($B1656,DG!A:D,DG!$B$2,)</f>
        <v>0</v>
      </c>
      <c r="F1656" s="1108" t="str">
        <f>VLOOKUP($B1656,DG!A:D,DG!$C$2,)&amp;" (ñaáu TU )"</f>
        <v>Kẹp ép cỡ dây 25mm2 (ñaáu TU )</v>
      </c>
      <c r="G1656" s="1135" t="str">
        <f>VLOOKUP($B1656,DG!A:D,DG!$D$2,)</f>
        <v>cái</v>
      </c>
      <c r="H1656" s="1851">
        <f>+H1650*3</f>
        <v>0</v>
      </c>
      <c r="I1656" s="1259">
        <f t="shared" si="105"/>
        <v>0</v>
      </c>
      <c r="J1656" s="1131"/>
      <c r="K1656" s="1131"/>
      <c r="L1656" s="1110"/>
      <c r="M1656" s="975">
        <v>320</v>
      </c>
    </row>
    <row r="1657" spans="1:13" s="1083" customFormat="1" ht="25.2" hidden="1" customHeight="1">
      <c r="A1657" s="1153">
        <f t="shared" si="103"/>
        <v>0</v>
      </c>
      <c r="B1657" s="1324" t="s">
        <v>2147</v>
      </c>
      <c r="C1657" s="1324"/>
      <c r="D1657" s="1090"/>
      <c r="E1657" s="1079" t="str">
        <f>VLOOKUP($B1657,DG!A:D,DG!$B$2,)</f>
        <v>07.2403</v>
      </c>
      <c r="F1657" s="1108" t="str">
        <f>VLOOKUP($B1657,DG!A:D,DG!$C$2,)</f>
        <v>Ống PVC D42x2,1mm</v>
      </c>
      <c r="G1657" s="1135" t="str">
        <f>VLOOKUP($B1657,DG!A:D,DG!$D$2,)</f>
        <v>m</v>
      </c>
      <c r="H1657" s="1851">
        <f>H1650*14</f>
        <v>0</v>
      </c>
      <c r="I1657" s="1259">
        <f t="shared" si="105"/>
        <v>0</v>
      </c>
      <c r="J1657" s="1131"/>
      <c r="K1657" s="1131"/>
      <c r="L1657" s="1110"/>
      <c r="M1657" s="975">
        <v>320</v>
      </c>
    </row>
    <row r="1658" spans="1:13" s="1083" customFormat="1" ht="25.2" hidden="1" customHeight="1">
      <c r="A1658" s="1153">
        <f t="shared" si="103"/>
        <v>0</v>
      </c>
      <c r="B1658" s="1154" t="s">
        <v>204</v>
      </c>
      <c r="C1658" s="1154"/>
      <c r="D1658" s="1090"/>
      <c r="E1658" s="1079" t="str">
        <f>VLOOKUP($B1658,DG!A:D,DG!$B$2,)</f>
        <v>06.3231</v>
      </c>
      <c r="F1658" s="1108" t="str">
        <f>VLOOKUP($B1658,DG!A:D,DG!$C$2,)&amp;": 4 bộ"</f>
        <v>Cổ dê giữ ống PVC D42: 4 bộ</v>
      </c>
      <c r="G1658" s="1135" t="str">
        <f>VLOOKUP($B1658,DG!A:D,DG!$D$2,)</f>
        <v>bộ</v>
      </c>
      <c r="H1658" s="1851">
        <f>H1650*(0.459+0.482+0.52+0.569)</f>
        <v>0</v>
      </c>
      <c r="I1658" s="1259">
        <f t="shared" si="105"/>
        <v>0</v>
      </c>
      <c r="J1658" s="1131"/>
      <c r="K1658" s="1131"/>
      <c r="L1658" s="1110"/>
      <c r="M1658" s="975">
        <v>320</v>
      </c>
    </row>
    <row r="1659" spans="1:13" s="1083" customFormat="1" ht="25.2" hidden="1" customHeight="1">
      <c r="A1659" s="1153">
        <f t="shared" si="103"/>
        <v>0</v>
      </c>
      <c r="B1659" s="1154" t="s">
        <v>1131</v>
      </c>
      <c r="C1659" s="1154"/>
      <c r="D1659" s="1090"/>
      <c r="E1659" s="1079" t="str">
        <f>VLOOKUP($B1659,DG!A:D,DG!$B$2,)</f>
        <v>06.2110</v>
      </c>
      <c r="F1659" s="1108" t="str">
        <f>VLOOKUP($B1659,DG!A:D,DG!$C$2,)&amp;": 4 bộ"</f>
        <v>Lắp cổ dề: 4 bộ</v>
      </c>
      <c r="G1659" s="1135" t="str">
        <f>VLOOKUP($B1659,DG!A:D,DG!$D$2,)</f>
        <v>bộ</v>
      </c>
      <c r="H1659" s="1851">
        <f>H1650*4</f>
        <v>0</v>
      </c>
      <c r="I1659" s="1259">
        <f t="shared" si="105"/>
        <v>0</v>
      </c>
      <c r="J1659" s="1131"/>
      <c r="K1659" s="1131"/>
      <c r="L1659" s="1110"/>
      <c r="M1659" s="975">
        <v>320</v>
      </c>
    </row>
    <row r="1660" spans="1:13" s="1083" customFormat="1" ht="25.2" hidden="1" customHeight="1">
      <c r="A1660" s="1153">
        <f t="shared" si="103"/>
        <v>0</v>
      </c>
      <c r="B1660" s="1324" t="s">
        <v>1619</v>
      </c>
      <c r="C1660" s="1324"/>
      <c r="D1660" s="1090"/>
      <c r="E1660" s="1079">
        <f>VLOOKUP($B1660,DG!A:D,DG!$B$2,)</f>
        <v>0</v>
      </c>
      <c r="F1660" s="1108" t="str">
        <f>VLOOKUP($B1660,DG!A:D,DG!$C$2,)</f>
        <v>Co 90 độ PVC 42</v>
      </c>
      <c r="G1660" s="1135" t="str">
        <f>VLOOKUP($B1660,DG!A:D,DG!$D$2,)</f>
        <v>cái</v>
      </c>
      <c r="H1660" s="1851">
        <f>H1650*5</f>
        <v>0</v>
      </c>
      <c r="I1660" s="1259">
        <f t="shared" si="105"/>
        <v>0</v>
      </c>
      <c r="J1660" s="1131"/>
      <c r="K1660" s="1131"/>
      <c r="L1660" s="1110"/>
      <c r="M1660" s="975">
        <v>320</v>
      </c>
    </row>
    <row r="1661" spans="1:13" s="1083" customFormat="1" ht="25.2" hidden="1" customHeight="1">
      <c r="A1661" s="1153">
        <f t="shared" si="103"/>
        <v>0</v>
      </c>
      <c r="B1661" s="1324" t="s">
        <v>1050</v>
      </c>
      <c r="C1661" s="1324"/>
      <c r="D1661" s="1090"/>
      <c r="E1661" s="1079">
        <f>VLOOKUP($B1661,DG!A:D,DG!$B$2,)</f>
        <v>0</v>
      </c>
      <c r="F1661" s="1108" t="str">
        <f>VLOOKUP($B1661,DG!A:D,DG!$C$2,)</f>
        <v>Co chữ T ống PVC 42</v>
      </c>
      <c r="G1661" s="1135" t="str">
        <f>VLOOKUP($B1661,DG!A:D,DG!$D$2,)</f>
        <v>cái</v>
      </c>
      <c r="H1661" s="1851">
        <f>H1650*5</f>
        <v>0</v>
      </c>
      <c r="I1661" s="1259">
        <f t="shared" si="105"/>
        <v>0</v>
      </c>
      <c r="J1661" s="1131"/>
      <c r="K1661" s="1131"/>
      <c r="L1661" s="1110"/>
      <c r="M1661" s="975">
        <v>320</v>
      </c>
    </row>
    <row r="1662" spans="1:13" s="1083" customFormat="1" ht="25.2" hidden="1" customHeight="1">
      <c r="A1662" s="1153">
        <f t="shared" si="103"/>
        <v>0</v>
      </c>
      <c r="B1662" s="1324" t="s">
        <v>1917</v>
      </c>
      <c r="C1662" s="1324"/>
      <c r="D1662" s="1090"/>
      <c r="E1662" s="1079">
        <f>VLOOKUP($B1662,DG!A:D,DG!$B$2,)</f>
        <v>0</v>
      </c>
      <c r="F1662" s="1108" t="str">
        <f>VLOOKUP($B1662,DG!A:D,DG!$C$2,)</f>
        <v>Nối thẳng ống PVC 42</v>
      </c>
      <c r="G1662" s="1135" t="str">
        <f>VLOOKUP($B1662,DG!A:D,DG!$D$2,)</f>
        <v>cái</v>
      </c>
      <c r="H1662" s="1851">
        <f>H1650</f>
        <v>0</v>
      </c>
      <c r="I1662" s="1259">
        <f t="shared" si="105"/>
        <v>0</v>
      </c>
      <c r="J1662" s="1131"/>
      <c r="K1662" s="1131"/>
      <c r="L1662" s="1110"/>
      <c r="M1662" s="975">
        <v>320</v>
      </c>
    </row>
    <row r="1663" spans="1:13" s="1083" customFormat="1" ht="25.2" hidden="1" customHeight="1">
      <c r="A1663" s="1153">
        <f t="shared" si="103"/>
        <v>0</v>
      </c>
      <c r="B1663" s="1324" t="s">
        <v>697</v>
      </c>
      <c r="C1663" s="1324"/>
      <c r="D1663" s="1090"/>
      <c r="E1663" s="1079">
        <f>VLOOKUP($B1663,DG!A:D,DG!$B$2,)</f>
        <v>0</v>
      </c>
      <c r="F1663" s="1108" t="str">
        <f>VLOOKUP($B1663,DG!A:D,DG!$C$2,)&amp;" ñaáu TU"</f>
        <v>Cáp 24KV C/XLPE/PVC 25mm2 ñaáu TU</v>
      </c>
      <c r="G1663" s="1135" t="str">
        <f>VLOOKUP($B1663,DG!A:D,DG!$D$2,)</f>
        <v>mét</v>
      </c>
      <c r="H1663" s="1851">
        <f>H1650*0.8*3</f>
        <v>0</v>
      </c>
      <c r="I1663" s="1259">
        <f t="shared" si="105"/>
        <v>0</v>
      </c>
      <c r="J1663" s="1131"/>
      <c r="K1663" s="1131"/>
      <c r="L1663" s="1110"/>
      <c r="M1663" s="975">
        <v>320</v>
      </c>
    </row>
    <row r="1664" spans="1:13" s="1083" customFormat="1" ht="25.2" hidden="1" customHeight="1">
      <c r="A1664" s="1153">
        <f t="shared" si="103"/>
        <v>0</v>
      </c>
      <c r="B1664" s="1324" t="s">
        <v>2080</v>
      </c>
      <c r="C1664" s="1324"/>
      <c r="D1664" s="1090"/>
      <c r="E1664" s="1079">
        <f>VLOOKUP($B1664,DG!A:D,DG!$B$2,)</f>
        <v>0</v>
      </c>
      <c r="F1664" s="1108" t="str">
        <f>VLOOKUP($B1664,DG!A:D,DG!$C$2,)</f>
        <v>Keo dán ống PVC (100gr)</v>
      </c>
      <c r="G1664" s="1135" t="str">
        <f>VLOOKUP($B1664,DG!A:D,DG!$D$2,)</f>
        <v>tuýp</v>
      </c>
      <c r="H1664" s="1851">
        <f>H1650</f>
        <v>0</v>
      </c>
      <c r="I1664" s="1259">
        <f t="shared" si="105"/>
        <v>0</v>
      </c>
      <c r="J1664" s="1131"/>
      <c r="K1664" s="1131"/>
      <c r="L1664" s="1110"/>
      <c r="M1664" s="975">
        <v>320</v>
      </c>
    </row>
    <row r="1665" spans="1:13" s="1083" customFormat="1" ht="25.2" hidden="1" customHeight="1">
      <c r="A1665" s="1153">
        <f t="shared" si="103"/>
        <v>0</v>
      </c>
      <c r="B1665" s="1154" t="s">
        <v>672</v>
      </c>
      <c r="C1665" s="1154"/>
      <c r="D1665" s="1090"/>
      <c r="E1665" s="1079">
        <f>VLOOKUP($B1665,DG!A:D,DG!$B$2,)</f>
        <v>0</v>
      </c>
      <c r="F1665" s="1108" t="str">
        <f>VLOOKUP($B1665,DG!A:D,DG!$C$2,)</f>
        <v>Băng keo cách điện</v>
      </c>
      <c r="G1665" s="1135" t="str">
        <f>VLOOKUP($B1665,DG!A:D,DG!$D$2,)</f>
        <v>cuộn</v>
      </c>
      <c r="H1665" s="1851">
        <f>H1650</f>
        <v>0</v>
      </c>
      <c r="I1665" s="1259">
        <f t="shared" si="105"/>
        <v>0</v>
      </c>
      <c r="J1665" s="1081"/>
      <c r="K1665" s="1081"/>
      <c r="L1665" s="1110"/>
      <c r="M1665" s="975">
        <v>320</v>
      </c>
    </row>
    <row r="1666" spans="1:13" s="1083" customFormat="1" ht="25.2" hidden="1" customHeight="1">
      <c r="A1666" s="1153">
        <f t="shared" si="103"/>
        <v>0</v>
      </c>
      <c r="B1666" s="1324" t="s">
        <v>2126</v>
      </c>
      <c r="C1666" s="1324"/>
      <c r="D1666" s="1090"/>
      <c r="E1666" s="1079">
        <f>VLOOKUP($B1666,DG!A:D,DG!$B$2,)</f>
        <v>0</v>
      </c>
      <c r="F1666" s="1108" t="str">
        <f>VLOOKUP($B1666,DG!A:D,DG!$C$2,)</f>
        <v>Khâu ven răng trong D42</v>
      </c>
      <c r="G1666" s="1135" t="str">
        <f>VLOOKUP($B1666,DG!A:D,DG!$D$2,)</f>
        <v>cái</v>
      </c>
      <c r="H1666" s="1851">
        <f>H1650</f>
        <v>0</v>
      </c>
      <c r="I1666" s="1259">
        <f t="shared" si="105"/>
        <v>0</v>
      </c>
      <c r="J1666" s="1081"/>
      <c r="K1666" s="1081"/>
      <c r="L1666" s="1110"/>
      <c r="M1666" s="975">
        <v>320</v>
      </c>
    </row>
    <row r="1667" spans="1:13" s="1083" customFormat="1" ht="25.2" hidden="1" customHeight="1">
      <c r="A1667" s="1153">
        <f t="shared" si="103"/>
        <v>0</v>
      </c>
      <c r="B1667" s="1154" t="s">
        <v>959</v>
      </c>
      <c r="C1667" s="1154"/>
      <c r="D1667" s="1090"/>
      <c r="E1667" s="1079">
        <f>VLOOKUP($B1667,DG!A:D,DG!$B$2,)</f>
        <v>0</v>
      </c>
      <c r="F1667" s="1108" t="str">
        <f>VLOOKUP($B1667,DG!A:D,DG!$C$2,)</f>
        <v>Khâu ven răng ngoài D42</v>
      </c>
      <c r="G1667" s="1135" t="str">
        <f>VLOOKUP($B1667,DG!A:D,DG!$D$2,)</f>
        <v>cái</v>
      </c>
      <c r="H1667" s="1851">
        <f>H1650</f>
        <v>0</v>
      </c>
      <c r="I1667" s="1259">
        <f t="shared" si="105"/>
        <v>0</v>
      </c>
      <c r="J1667" s="1081"/>
      <c r="K1667" s="1081"/>
      <c r="L1667" s="1110"/>
      <c r="M1667" s="975">
        <v>320</v>
      </c>
    </row>
    <row r="1668" spans="1:13" s="1083" customFormat="1" ht="25.2" hidden="1" customHeight="1">
      <c r="A1668" s="1153">
        <f t="shared" si="103"/>
        <v>0</v>
      </c>
      <c r="B1668" s="1154" t="s">
        <v>319</v>
      </c>
      <c r="C1668" s="1154"/>
      <c r="D1668" s="1090"/>
      <c r="E1668" s="1079" t="str">
        <f>VLOOKUP($B1668,DG!A:D,DG!$B$2,)</f>
        <v>06.3231</v>
      </c>
      <c r="F1668" s="1108" t="str">
        <f>VLOOKUP($B1668,DG!A:D,DG!$C$2,)&amp;": 02 bộ"</f>
        <v>Cổ dê CDĐKĐT( bắt thùng điện kế): 02 bộ</v>
      </c>
      <c r="G1668" s="1135" t="str">
        <f>VLOOKUP($B1668,DG!A:D,DG!$D$2,)</f>
        <v>bộ</v>
      </c>
      <c r="H1668" s="1889">
        <f>H1650*2*5.85</f>
        <v>0</v>
      </c>
      <c r="I1668" s="1259">
        <f t="shared" si="105"/>
        <v>0</v>
      </c>
      <c r="J1668" s="1081"/>
      <c r="K1668" s="1081"/>
      <c r="L1668" s="1082"/>
      <c r="M1668" s="975">
        <v>320</v>
      </c>
    </row>
    <row r="1669" spans="1:13" s="1083" customFormat="1" ht="25.2" hidden="1" customHeight="1">
      <c r="A1669" s="1153">
        <f t="shared" si="103"/>
        <v>0</v>
      </c>
      <c r="B1669" s="1154" t="s">
        <v>1919</v>
      </c>
      <c r="C1669" s="1154"/>
      <c r="D1669" s="1090"/>
      <c r="E1669" s="1079" t="str">
        <f>VLOOKUP($B1669,DG!A:D,DG!$B$2,)</f>
        <v>05.1101</v>
      </c>
      <c r="F1669" s="1108" t="str">
        <f>VLOOKUP($B1669,DG!A:D,DG!$C$2,)</f>
        <v>Thùng điện kế 450x300x200mm đo đếm trung thế</v>
      </c>
      <c r="G1669" s="1135" t="str">
        <f>VLOOKUP($B1669,DG!A:D,DG!$D$2,)</f>
        <v>cái</v>
      </c>
      <c r="H1669" s="1851">
        <f>H1650</f>
        <v>0</v>
      </c>
      <c r="I1669" s="1259">
        <f t="shared" si="105"/>
        <v>0</v>
      </c>
      <c r="J1669" s="1081"/>
      <c r="K1669" s="1081"/>
      <c r="L1669" s="1110"/>
      <c r="M1669" s="975">
        <v>320</v>
      </c>
    </row>
    <row r="1670" spans="1:13" s="1083" customFormat="1" ht="25.2" hidden="1" customHeight="1">
      <c r="A1670" s="1153">
        <f t="shared" si="103"/>
        <v>0</v>
      </c>
      <c r="B1670" s="1154" t="s">
        <v>1131</v>
      </c>
      <c r="C1670" s="1154"/>
      <c r="D1670" s="1090"/>
      <c r="E1670" s="1079" t="str">
        <f>VLOOKUP($B1670,DG!A:D,DG!$B$2,)</f>
        <v>06.2110</v>
      </c>
      <c r="F1670" s="1108" t="str">
        <f>VLOOKUP($B1670,DG!A:D,DG!$C$2,)</f>
        <v>Lắp cổ dề</v>
      </c>
      <c r="G1670" s="1135" t="str">
        <f>VLOOKUP($B1670,DG!A:D,DG!$D$2,)</f>
        <v>bộ</v>
      </c>
      <c r="H1670" s="1851">
        <f>H1669*2</f>
        <v>0</v>
      </c>
      <c r="I1670" s="1259">
        <f t="shared" si="105"/>
        <v>0</v>
      </c>
      <c r="J1670" s="1081"/>
      <c r="K1670" s="1081"/>
      <c r="L1670" s="1110"/>
      <c r="M1670" s="975">
        <v>320</v>
      </c>
    </row>
    <row r="1671" spans="1:13" s="1083" customFormat="1" ht="25.2" hidden="1" customHeight="1">
      <c r="A1671" s="1153">
        <f t="shared" si="103"/>
        <v>0</v>
      </c>
      <c r="B1671" s="1154" t="s">
        <v>6</v>
      </c>
      <c r="C1671" s="1154"/>
      <c r="D1671" s="1090"/>
      <c r="E1671" s="1079">
        <f>VLOOKUP($B1671,DG!A:D,DG!$B$2,)</f>
        <v>0</v>
      </c>
      <c r="F1671" s="1108" t="str">
        <f>VLOOKUP($B1671,DG!A:D,DG!$C$2,)</f>
        <v>Keo silicon bít miệng ống</v>
      </c>
      <c r="G1671" s="1135" t="str">
        <f>VLOOKUP($B1671,DG!A:D,DG!$D$2,)</f>
        <v>ống</v>
      </c>
      <c r="H1671" s="1851">
        <f>H1650</f>
        <v>0</v>
      </c>
      <c r="I1671" s="1259">
        <f t="shared" si="105"/>
        <v>0</v>
      </c>
      <c r="J1671" s="1081"/>
      <c r="K1671" s="1081"/>
      <c r="L1671" s="1110"/>
      <c r="M1671" s="975">
        <v>320</v>
      </c>
    </row>
    <row r="1672" spans="1:13" s="1083" customFormat="1" ht="25.2" hidden="1" customHeight="1">
      <c r="A1672" s="1153">
        <f t="shared" si="103"/>
        <v>0</v>
      </c>
      <c r="B1672" s="1154" t="s">
        <v>2145</v>
      </c>
      <c r="C1672" s="1154"/>
      <c r="D1672" s="1090"/>
      <c r="E1672" s="1079">
        <f>VLOOKUP($B1672,DG!A:D,DG!$B$2,)</f>
        <v>0</v>
      </c>
      <c r="F1672" s="1108" t="str">
        <f>VLOOKUP($B1672,DG!A:D,DG!$C$2,)</f>
        <v>Dây đồng trần mềm dẹt</v>
      </c>
      <c r="G1672" s="1135" t="str">
        <f>VLOOKUP($B1672,DG!A:D,DG!$D$2,)</f>
        <v>mét</v>
      </c>
      <c r="H1672" s="1851">
        <f>H1650*4</f>
        <v>0</v>
      </c>
      <c r="I1672" s="1259">
        <f t="shared" si="105"/>
        <v>0</v>
      </c>
      <c r="J1672" s="1081"/>
      <c r="K1672" s="1081"/>
      <c r="L1672" s="1110"/>
      <c r="M1672" s="975">
        <v>320</v>
      </c>
    </row>
    <row r="1673" spans="1:13" s="1083" customFormat="1" ht="25.2" hidden="1" customHeight="1">
      <c r="A1673" s="1153">
        <f t="shared" si="103"/>
        <v>0</v>
      </c>
      <c r="B1673" s="1154" t="s">
        <v>1219</v>
      </c>
      <c r="C1673" s="1154"/>
      <c r="D1673" s="1090"/>
      <c r="E1673" s="1079" t="str">
        <f>VLOOKUP($B1673,DG!A:D,DG!$B$2,)</f>
        <v>06.3191</v>
      </c>
      <c r="F1673" s="1108" t="str">
        <f>VLOOKUP($B1673,DG!A:D,DG!$C$2,)</f>
        <v>Bảng tên trạm, bảng báo nguy hiểm + đinh vít</v>
      </c>
      <c r="G1673" s="1135" t="str">
        <f>VLOOKUP($B1673,DG!A:D,DG!$D$2,)</f>
        <v>bộ</v>
      </c>
      <c r="H1673" s="1851">
        <f>H1650</f>
        <v>0</v>
      </c>
      <c r="I1673" s="1259">
        <f t="shared" si="105"/>
        <v>0</v>
      </c>
      <c r="J1673" s="1081"/>
      <c r="K1673" s="1081"/>
      <c r="L1673" s="1110"/>
      <c r="M1673" s="975">
        <v>320</v>
      </c>
    </row>
    <row r="1674" spans="1:13" s="1083" customFormat="1" ht="25.2" hidden="1" customHeight="1">
      <c r="A1674" s="1153">
        <f t="shared" si="103"/>
        <v>0</v>
      </c>
      <c r="B1674" s="1154" t="s">
        <v>1353</v>
      </c>
      <c r="C1674" s="1154"/>
      <c r="D1674" s="1090"/>
      <c r="E1674" s="1079">
        <f>VLOOKUP($B1674,DG!A:D,DG!$B$2,)</f>
        <v>0</v>
      </c>
      <c r="F1674" s="1108" t="str">
        <f>VLOOKUP($B1674,DG!A:D,DG!$C$2,)&amp;" baét thuøng ÑKÑT"</f>
        <v>Boulon 12x60+ 2 long đền vuông D14-50x50x3/Zn baét thuøng ÑKÑT</v>
      </c>
      <c r="G1674" s="1135" t="str">
        <f>VLOOKUP($B1674,DG!A:D,DG!$D$2,)</f>
        <v>bộ</v>
      </c>
      <c r="H1674" s="1851">
        <f>4*H1650*0</f>
        <v>0</v>
      </c>
      <c r="I1674" s="1259">
        <f t="shared" si="105"/>
        <v>0</v>
      </c>
      <c r="J1674" s="1081"/>
      <c r="K1674" s="1081"/>
      <c r="L1674" s="1110"/>
      <c r="M1674" s="975">
        <v>320</v>
      </c>
    </row>
    <row r="1675" spans="1:13" s="1083" customFormat="1" ht="25.2" hidden="1" customHeight="1">
      <c r="A1675" s="1153">
        <f t="shared" si="103"/>
        <v>0</v>
      </c>
      <c r="B1675" s="1154"/>
      <c r="C1675" s="1154"/>
      <c r="D1675" s="1115"/>
      <c r="E1675" s="1116"/>
      <c r="F1675" s="1105" t="s">
        <v>3748</v>
      </c>
      <c r="G1675" s="1105"/>
      <c r="H1675" s="1875"/>
      <c r="I1675" s="1259">
        <f t="shared" si="105"/>
        <v>0</v>
      </c>
      <c r="J1675" s="1105"/>
      <c r="K1675" s="1105"/>
      <c r="L1675" s="1136"/>
      <c r="M1675" s="975">
        <v>320</v>
      </c>
    </row>
    <row r="1676" spans="1:13" s="1083" customFormat="1" ht="25.2" hidden="1" customHeight="1">
      <c r="A1676" s="1153">
        <f t="shared" si="103"/>
        <v>0</v>
      </c>
      <c r="B1676" s="1154" t="s">
        <v>966</v>
      </c>
      <c r="C1676" s="1154"/>
      <c r="D1676" s="1090"/>
      <c r="E1676" s="1079" t="str">
        <f>VLOOKUP($B1676,DG!A:D,DG!$B$2,)</f>
        <v>02.5114</v>
      </c>
      <c r="F1676" s="1108" t="s">
        <v>3749</v>
      </c>
      <c r="G1676" s="1135" t="str">
        <f>VLOOKUP($B1676,DG!A:D,DG!$D$2,)</f>
        <v>cái</v>
      </c>
      <c r="H1676" s="1851"/>
      <c r="I1676" s="1259">
        <f t="shared" si="105"/>
        <v>0</v>
      </c>
      <c r="J1676" s="1081"/>
      <c r="K1676" s="1081"/>
      <c r="L1676" s="1110" t="s">
        <v>3750</v>
      </c>
      <c r="M1676" s="975">
        <v>320</v>
      </c>
    </row>
    <row r="1677" spans="1:13" s="1083" customFormat="1" ht="25.2" hidden="1" customHeight="1">
      <c r="A1677" s="1153">
        <f t="shared" si="103"/>
        <v>0</v>
      </c>
      <c r="B1677" s="1154" t="s">
        <v>1910</v>
      </c>
      <c r="C1677" s="1154"/>
      <c r="D1677" s="1090"/>
      <c r="E1677" s="1079" t="str">
        <f>VLOOKUP($B1677,DG!A:D,DG!$B$2,)</f>
        <v>05.6011</v>
      </c>
      <c r="F1677" s="1108" t="s">
        <v>2467</v>
      </c>
      <c r="G1677" s="1135" t="str">
        <f>VLOOKUP($B1677,DG!A:D,DG!$D$2,)</f>
        <v>bộ</v>
      </c>
      <c r="H1677" s="1851"/>
      <c r="I1677" s="1259">
        <f t="shared" si="105"/>
        <v>0</v>
      </c>
      <c r="J1677" s="1081"/>
      <c r="K1677" s="1081"/>
      <c r="L1677" s="1082"/>
      <c r="M1677" s="975">
        <v>320</v>
      </c>
    </row>
    <row r="1678" spans="1:13" s="1083" customFormat="1" ht="25.2" hidden="1" customHeight="1">
      <c r="A1678" s="1153">
        <f t="shared" si="103"/>
        <v>0</v>
      </c>
      <c r="B1678" s="1154"/>
      <c r="C1678" s="1154"/>
      <c r="D1678" s="1137"/>
      <c r="E1678" s="1138"/>
      <c r="F1678" s="1105"/>
      <c r="G1678" s="1139"/>
      <c r="H1678" s="1878"/>
      <c r="I1678" s="1259">
        <f t="shared" si="105"/>
        <v>0</v>
      </c>
      <c r="J1678" s="1140"/>
      <c r="K1678" s="1141"/>
      <c r="L1678" s="1107"/>
      <c r="M1678" s="975"/>
    </row>
    <row r="1679" spans="1:13" s="1083" customFormat="1" ht="25.2" hidden="1" customHeight="1">
      <c r="A1679" s="1153">
        <f t="shared" si="103"/>
        <v>0</v>
      </c>
      <c r="B1679" s="1154"/>
      <c r="C1679" s="1154"/>
      <c r="D1679" s="1142"/>
      <c r="F1679" s="1143"/>
      <c r="H1679" s="1880"/>
      <c r="I1679" s="1259">
        <f t="shared" si="105"/>
        <v>0</v>
      </c>
      <c r="M1679" s="975"/>
    </row>
    <row r="1680" spans="1:13" s="1083" customFormat="1" ht="25.2" hidden="1" customHeight="1">
      <c r="A1680" s="1153">
        <f t="shared" si="103"/>
        <v>0</v>
      </c>
      <c r="B1680" s="1350"/>
      <c r="C1680" s="1350"/>
      <c r="D1680" s="981" t="e">
        <f>"BAÛNG TOÅNG HÔÏP VAÄT LIEÄU, NHAÂN COÂNG, MAÙY THI COÂNG : "&amp;#REF!&amp;" TRAÏM 3P_400KVA ÑO ÑEÁM TRUNG THEÁ"</f>
        <v>#REF!</v>
      </c>
      <c r="E1680" s="981"/>
      <c r="F1680" s="981"/>
      <c r="G1680" s="981"/>
      <c r="H1680" s="1872"/>
      <c r="I1680" s="1259">
        <f t="shared" si="105"/>
        <v>0</v>
      </c>
      <c r="J1680" s="1144"/>
      <c r="K1680" s="1144"/>
      <c r="L1680" s="1145"/>
      <c r="M1680" s="975"/>
    </row>
    <row r="1681" spans="1:13" s="1083" customFormat="1" ht="25.2" hidden="1" customHeight="1">
      <c r="A1681" s="1153">
        <f t="shared" si="103"/>
        <v>0</v>
      </c>
      <c r="B1681" s="1324"/>
      <c r="C1681" s="1324"/>
      <c r="D1681" s="1103"/>
      <c r="E1681" s="1104"/>
      <c r="F1681" s="1105" t="s">
        <v>3690</v>
      </c>
      <c r="G1681" s="1106"/>
      <c r="H1681" s="1908"/>
      <c r="I1681" s="1259">
        <f t="shared" si="105"/>
        <v>0</v>
      </c>
      <c r="J1681" s="1106"/>
      <c r="K1681" s="1106"/>
      <c r="L1681" s="1107"/>
      <c r="M1681" s="975">
        <v>400</v>
      </c>
    </row>
    <row r="1682" spans="1:13" s="1083" customFormat="1" ht="25.2" hidden="1" customHeight="1">
      <c r="A1682" s="1153">
        <f t="shared" si="103"/>
        <v>0</v>
      </c>
      <c r="B1682" s="1325" t="s">
        <v>4527</v>
      </c>
      <c r="C1682" s="1325"/>
      <c r="D1682" s="1090">
        <f>IF(H1682&gt;0,1,0)</f>
        <v>0</v>
      </c>
      <c r="E1682" s="1079" t="str">
        <f>VLOOKUP($B1682,DG!A:D,DG!$B$2,)</f>
        <v>01.1146</v>
      </c>
      <c r="F1682" s="1080" t="str">
        <f>VLOOKUP($B1682,DG!A:D,DG!$C$2,)</f>
        <v>Máy biến áp 22/0,4kV- 400kVA</v>
      </c>
      <c r="G1682" s="1079" t="str">
        <f>VLOOKUP($B1682,DG!A:D,DG!$D$2,)</f>
        <v>máy</v>
      </c>
      <c r="H1682" s="1882">
        <f>L13</f>
        <v>0</v>
      </c>
      <c r="I1682" s="1259">
        <f t="shared" si="105"/>
        <v>0</v>
      </c>
      <c r="J1682" s="1108"/>
      <c r="K1682" s="1108"/>
      <c r="L1682" s="1109"/>
      <c r="M1682" s="975">
        <v>400</v>
      </c>
    </row>
    <row r="1683" spans="1:13" s="1083" customFormat="1" ht="25.2" hidden="1" customHeight="1">
      <c r="A1683" s="1153">
        <f t="shared" si="103"/>
        <v>0</v>
      </c>
      <c r="B1683" s="1325" t="s">
        <v>1655</v>
      </c>
      <c r="C1683" s="1325"/>
      <c r="D1683" s="1090">
        <f>IF(H1683&gt;0,D1682+1,D1682)</f>
        <v>0</v>
      </c>
      <c r="E1683" s="1079" t="str">
        <f>VLOOKUP($B1683,DG!A:D,DG!$B$2,)</f>
        <v>02.3155</v>
      </c>
      <c r="F1683" s="1080" t="str">
        <f>VLOOKUP($B1683,DG!A:D,DG!$C$2,)</f>
        <v>FCO 27kV - 100A</v>
      </c>
      <c r="G1683" s="1079" t="str">
        <f>VLOOKUP($B1683,DG!A:D,DG!$D$2,)</f>
        <v>cái</v>
      </c>
      <c r="H1683" s="1851">
        <f>H1682*3</f>
        <v>0</v>
      </c>
      <c r="I1683" s="1259">
        <f t="shared" si="105"/>
        <v>0</v>
      </c>
      <c r="J1683" s="1081"/>
      <c r="K1683" s="1081"/>
      <c r="L1683" s="1110"/>
      <c r="M1683" s="975">
        <v>400</v>
      </c>
    </row>
    <row r="1684" spans="1:13" s="1083" customFormat="1" ht="25.2" hidden="1" customHeight="1">
      <c r="A1684" s="1153">
        <f t="shared" si="103"/>
        <v>0</v>
      </c>
      <c r="B1684" s="1325" t="s">
        <v>4528</v>
      </c>
      <c r="C1684" s="1325"/>
      <c r="D1684" s="1090">
        <f t="shared" ref="D1684:D1690" si="106">IF(H1684&gt;0,D1683+1,D1683)</f>
        <v>0</v>
      </c>
      <c r="E1684" s="1079">
        <f>VLOOKUP($B1684,DG!A:D,DG!$B$2,)</f>
        <v>0</v>
      </c>
      <c r="F1684" s="1080" t="str">
        <f>VLOOKUP($B1684,DG!A:D,DG!$C$2,)</f>
        <v>Dây chảy 15K</v>
      </c>
      <c r="G1684" s="1079" t="str">
        <f>VLOOKUP($B1684,DG!A:D,DG!$D$2,)</f>
        <v>Sợi</v>
      </c>
      <c r="H1684" s="1851">
        <f>H1683</f>
        <v>0</v>
      </c>
      <c r="I1684" s="1259">
        <f t="shared" si="105"/>
        <v>0</v>
      </c>
      <c r="J1684" s="1081"/>
      <c r="K1684" s="1081"/>
      <c r="L1684" s="1110"/>
      <c r="M1684" s="975">
        <v>400</v>
      </c>
    </row>
    <row r="1685" spans="1:13" s="1083" customFormat="1" ht="25.2" hidden="1" customHeight="1">
      <c r="A1685" s="1153">
        <f t="shared" si="103"/>
        <v>0</v>
      </c>
      <c r="B1685" s="1324" t="s">
        <v>1376</v>
      </c>
      <c r="C1685" s="1324"/>
      <c r="D1685" s="1090">
        <f t="shared" si="106"/>
        <v>0</v>
      </c>
      <c r="E1685" s="1079" t="str">
        <f>VLOOKUP($B1685,DG!A:D,DG!$B$2,)</f>
        <v>02.5114</v>
      </c>
      <c r="F1685" s="1080" t="str">
        <f>VLOOKUP($B1685,DG!A:D,DG!$C$2,)</f>
        <v>Chống sét van LA-18KV-10KA</v>
      </c>
      <c r="G1685" s="1079" t="str">
        <f>VLOOKUP($B1685,DG!A:D,DG!$D$2,)</f>
        <v>cái</v>
      </c>
      <c r="H1685" s="1851">
        <f>H1683</f>
        <v>0</v>
      </c>
      <c r="I1685" s="1259">
        <f t="shared" si="105"/>
        <v>0</v>
      </c>
      <c r="J1685" s="1081"/>
      <c r="K1685" s="1081"/>
      <c r="L1685" s="1110"/>
      <c r="M1685" s="975">
        <v>400</v>
      </c>
    </row>
    <row r="1686" spans="1:13" s="1083" customFormat="1" ht="25.2" hidden="1" customHeight="1">
      <c r="A1686" s="1153">
        <f t="shared" si="103"/>
        <v>0</v>
      </c>
      <c r="B1686" s="1325" t="s">
        <v>1465</v>
      </c>
      <c r="C1686" s="1325"/>
      <c r="D1686" s="1090">
        <f t="shared" si="106"/>
        <v>0</v>
      </c>
      <c r="E1686" s="1079" t="str">
        <f>VLOOKUP($B1686,DG!A:D,DG!$B$2,)</f>
        <v>02.8403</v>
      </c>
      <c r="F1686" s="1080" t="str">
        <f>VLOOKUP($B1686,DG!A:D,DG!$C$2,)</f>
        <v>MCCB 3 cực 400V -630A - 35KA</v>
      </c>
      <c r="G1686" s="1079" t="str">
        <f>VLOOKUP($B1686,DG!A:D,DG!$D$2,)</f>
        <v>cái</v>
      </c>
      <c r="H1686" s="1851">
        <f>H1682</f>
        <v>0</v>
      </c>
      <c r="I1686" s="1259">
        <f t="shared" si="105"/>
        <v>0</v>
      </c>
      <c r="J1686" s="1081"/>
      <c r="K1686" s="1081"/>
      <c r="L1686" s="1110"/>
      <c r="M1686" s="975">
        <v>400</v>
      </c>
    </row>
    <row r="1687" spans="1:13" s="1083" customFormat="1" ht="25.2" hidden="1" customHeight="1">
      <c r="A1687" s="1153">
        <f t="shared" si="103"/>
        <v>0</v>
      </c>
      <c r="B1687" s="1325" t="s">
        <v>1464</v>
      </c>
      <c r="C1687" s="1325"/>
      <c r="D1687" s="1090">
        <f t="shared" si="106"/>
        <v>0</v>
      </c>
      <c r="E1687" s="1079" t="str">
        <f>VLOOKUP($B1687,DG!A:D,DG!$B$2,)</f>
        <v>02.8534</v>
      </c>
      <c r="F1687" s="1080" t="str">
        <f>VLOOKUP($B1687,DG!A:D,DG!$C$2,)</f>
        <v>Tủ tụ bù hạ thế 160kVAr</v>
      </c>
      <c r="G1687" s="1079" t="str">
        <f>VLOOKUP($B1687,DG!A:D,DG!$D$2,)</f>
        <v>tủ</v>
      </c>
      <c r="H1687" s="1851">
        <f>H1682</f>
        <v>0</v>
      </c>
      <c r="I1687" s="1259">
        <f t="shared" si="105"/>
        <v>0</v>
      </c>
      <c r="J1687" s="1081"/>
      <c r="K1687" s="1081"/>
      <c r="L1687" s="1110"/>
      <c r="M1687" s="975">
        <v>400</v>
      </c>
    </row>
    <row r="1688" spans="1:13" s="1083" customFormat="1" ht="25.2" hidden="1" customHeight="1">
      <c r="A1688" s="1153">
        <f t="shared" si="103"/>
        <v>0</v>
      </c>
      <c r="B1688" s="1360" t="s">
        <v>64</v>
      </c>
      <c r="C1688" s="1360"/>
      <c r="D1688" s="1090">
        <f t="shared" si="106"/>
        <v>0</v>
      </c>
      <c r="E1688" s="1079">
        <f>VLOOKUP($B1688,DG!A:D,DG!$B$2,)</f>
        <v>0</v>
      </c>
      <c r="F1688" s="1080" t="str">
        <f>VLOOKUP($B1688,DG!A:D,DG!$C$2,)</f>
        <v>Biến dòng 600V - 600/5A</v>
      </c>
      <c r="G1688" s="1079" t="str">
        <f>VLOOKUP($B1688,DG!A:D,DG!$D$2,)</f>
        <v>cái</v>
      </c>
      <c r="H1688" s="1883">
        <f>H1682*3</f>
        <v>0</v>
      </c>
      <c r="I1688" s="1259">
        <f t="shared" si="105"/>
        <v>0</v>
      </c>
      <c r="J1688" s="1081"/>
      <c r="K1688" s="1081"/>
      <c r="L1688" s="1111" t="s">
        <v>2609</v>
      </c>
      <c r="M1688" s="975">
        <v>400</v>
      </c>
    </row>
    <row r="1689" spans="1:13" s="1083" customFormat="1" ht="25.2" hidden="1" customHeight="1">
      <c r="A1689" s="1153">
        <f t="shared" si="103"/>
        <v>0</v>
      </c>
      <c r="B1689" s="1325" t="s">
        <v>4529</v>
      </c>
      <c r="C1689" s="1325"/>
      <c r="D1689" s="1090">
        <f t="shared" si="106"/>
        <v>0</v>
      </c>
      <c r="E1689" s="1079" t="str">
        <f>VLOOKUP($B1689,DG!A:D,DG!$B$2,)</f>
        <v>02.1114</v>
      </c>
      <c r="F1689" s="1080" t="str">
        <f>VLOOKUP($B1689,DG!A:D,DG!$C$2,)</f>
        <v>Biến điện áp 12000/120(60)V</v>
      </c>
      <c r="G1689" s="1079" t="str">
        <f>VLOOKUP($B1689,DG!A:D,DG!$D$2,)</f>
        <v>cái</v>
      </c>
      <c r="H1689" s="1883"/>
      <c r="I1689" s="1259">
        <f t="shared" si="105"/>
        <v>0</v>
      </c>
      <c r="J1689" s="1081"/>
      <c r="K1689" s="1081"/>
      <c r="L1689" s="1111" t="s">
        <v>2609</v>
      </c>
      <c r="M1689" s="975">
        <v>400</v>
      </c>
    </row>
    <row r="1690" spans="1:13" s="1083" customFormat="1" ht="25.2" hidden="1" customHeight="1">
      <c r="A1690" s="1153">
        <f t="shared" ref="A1690:A1753" si="107">IF(I1690&gt;0,1,0)</f>
        <v>0</v>
      </c>
      <c r="B1690" s="1352" t="s">
        <v>1841</v>
      </c>
      <c r="C1690" s="1352"/>
      <c r="D1690" s="1090">
        <f t="shared" si="106"/>
        <v>0</v>
      </c>
      <c r="E1690" s="1079">
        <f>VLOOKUP($B1690,DG!A:D,DG!$B$2,)</f>
        <v>0</v>
      </c>
      <c r="F1690" s="1080" t="str">
        <f>VLOOKUP($B1690,DG!A:D,DG!$C$2,)</f>
        <v>Điện kế 3 pha điện tử 600V-5A</v>
      </c>
      <c r="G1690" s="1079" t="str">
        <f>VLOOKUP($B1690,DG!A:D,DG!$D$2,)</f>
        <v>cái</v>
      </c>
      <c r="H1690" s="1883">
        <f>H1682</f>
        <v>0</v>
      </c>
      <c r="I1690" s="1259">
        <f t="shared" si="105"/>
        <v>0</v>
      </c>
      <c r="J1690" s="1081"/>
      <c r="K1690" s="1081"/>
      <c r="L1690" s="1112" t="s">
        <v>2609</v>
      </c>
      <c r="M1690" s="975">
        <v>400</v>
      </c>
    </row>
    <row r="1691" spans="1:13" s="1083" customFormat="1" ht="25.2" hidden="1" customHeight="1">
      <c r="A1691" s="1153">
        <f t="shared" si="107"/>
        <v>0</v>
      </c>
      <c r="B1691" s="1324"/>
      <c r="C1691" s="1324"/>
      <c r="D1691" s="1113"/>
      <c r="E1691" s="1114"/>
      <c r="F1691" s="1076"/>
      <c r="G1691" s="1113"/>
      <c r="H1691" s="1861"/>
      <c r="I1691" s="1259">
        <f t="shared" si="105"/>
        <v>0</v>
      </c>
      <c r="J1691" s="1076"/>
      <c r="K1691" s="1113"/>
      <c r="L1691" s="1107"/>
      <c r="M1691" s="975">
        <v>400</v>
      </c>
    </row>
    <row r="1692" spans="1:13" s="1083" customFormat="1" ht="25.2" hidden="1" customHeight="1">
      <c r="A1692" s="1153">
        <f t="shared" si="107"/>
        <v>0</v>
      </c>
      <c r="B1692" s="1324"/>
      <c r="C1692" s="1324"/>
      <c r="D1692" s="1115"/>
      <c r="E1692" s="1116"/>
      <c r="F1692" s="1105" t="s">
        <v>3691</v>
      </c>
      <c r="G1692" s="1105"/>
      <c r="H1692" s="1875"/>
      <c r="I1692" s="1259">
        <f t="shared" si="105"/>
        <v>0</v>
      </c>
      <c r="J1692" s="1105"/>
      <c r="K1692" s="1105"/>
      <c r="L1692" s="1107"/>
      <c r="M1692" s="975">
        <v>400</v>
      </c>
    </row>
    <row r="1693" spans="1:13" s="1083" customFormat="1" ht="25.2" hidden="1" customHeight="1">
      <c r="A1693" s="1153">
        <f t="shared" si="107"/>
        <v>0</v>
      </c>
      <c r="B1693" s="1353"/>
      <c r="C1693" s="1353"/>
      <c r="D1693" s="1117">
        <f>IF(H1693&gt;0,1,0)</f>
        <v>0</v>
      </c>
      <c r="E1693" s="1118"/>
      <c r="F1693" s="1119" t="s">
        <v>3729</v>
      </c>
      <c r="G1693" s="1120" t="s">
        <v>2283</v>
      </c>
      <c r="H1693" s="1884">
        <f>H1682*2*0</f>
        <v>0</v>
      </c>
      <c r="I1693" s="1259">
        <f t="shared" si="105"/>
        <v>0</v>
      </c>
      <c r="J1693" s="1121"/>
      <c r="K1693" s="1121"/>
      <c r="L1693" s="1110"/>
      <c r="M1693" s="975">
        <v>400</v>
      </c>
    </row>
    <row r="1694" spans="1:13" s="1083" customFormat="1" ht="25.2" hidden="1" customHeight="1">
      <c r="A1694" s="1153">
        <f t="shared" si="107"/>
        <v>0</v>
      </c>
      <c r="B1694" s="1154" t="s">
        <v>115</v>
      </c>
      <c r="C1694" s="1154"/>
      <c r="D1694" s="1122"/>
      <c r="E1694" s="1079"/>
      <c r="F1694" s="1123" t="str">
        <f>VLOOKUP($B1694,DG!A:D,DG!$C$2,)</f>
        <v>Trụ BTLT 12m F350 dự ứng lực</v>
      </c>
      <c r="G1694" s="1079" t="str">
        <f>VLOOKUP($B1694,DG!A:D,DG!$D$2,)</f>
        <v>trụ</v>
      </c>
      <c r="H1694" s="1885">
        <f>H1693</f>
        <v>0</v>
      </c>
      <c r="I1694" s="1259">
        <f t="shared" si="105"/>
        <v>0</v>
      </c>
      <c r="J1694" s="1108"/>
      <c r="K1694" s="1078"/>
      <c r="L1694" s="1110"/>
      <c r="M1694" s="975">
        <v>400</v>
      </c>
    </row>
    <row r="1695" spans="1:13" s="1083" customFormat="1" ht="25.2" hidden="1" customHeight="1">
      <c r="A1695" s="1153">
        <f t="shared" si="107"/>
        <v>0</v>
      </c>
      <c r="B1695" s="1154" t="s">
        <v>1818</v>
      </c>
      <c r="C1695" s="1154"/>
      <c r="D1695" s="1122"/>
      <c r="E1695" s="1079"/>
      <c r="F1695" s="1123" t="str">
        <f>VLOOKUP($B1695,DG!A:D,DG!$C$2,)</f>
        <v>Vật liệu dựng trụ</v>
      </c>
      <c r="G1695" s="1079" t="str">
        <f>VLOOKUP($B1695,DG!A:D,DG!$D$2,)</f>
        <v>trụ</v>
      </c>
      <c r="H1695" s="1885">
        <f>H1694</f>
        <v>0</v>
      </c>
      <c r="I1695" s="1259">
        <f t="shared" si="105"/>
        <v>0</v>
      </c>
      <c r="J1695" s="1078"/>
      <c r="K1695" s="1078"/>
      <c r="L1695" s="1110"/>
      <c r="M1695" s="975">
        <v>400</v>
      </c>
    </row>
    <row r="1696" spans="1:13" s="1083" customFormat="1" ht="25.2" hidden="1" customHeight="1">
      <c r="A1696" s="1153">
        <f t="shared" si="107"/>
        <v>0</v>
      </c>
      <c r="B1696" s="1154" t="s">
        <v>643</v>
      </c>
      <c r="C1696" s="1154"/>
      <c r="D1696" s="1122"/>
      <c r="E1696" s="1079" t="str">
        <f>VLOOKUP($B1696,DG!A:D,DG!$B$2,)</f>
        <v>04.9203</v>
      </c>
      <c r="F1696" s="1123" t="str">
        <f>VLOOKUP($B1696,DG!A:D,DG!$C$2,)</f>
        <v>Dựng trụ BTLT 12m trong TBA bằng thủ công + cơ giới</v>
      </c>
      <c r="G1696" s="1079" t="str">
        <f>VLOOKUP($B1696,DG!A:D,DG!$D$2,)</f>
        <v>trụ</v>
      </c>
      <c r="H1696" s="1885">
        <f>H1694</f>
        <v>0</v>
      </c>
      <c r="I1696" s="1259">
        <f t="shared" si="105"/>
        <v>0</v>
      </c>
      <c r="J1696" s="1108"/>
      <c r="K1696" s="1108"/>
      <c r="L1696" s="1110"/>
      <c r="M1696" s="975">
        <v>400</v>
      </c>
    </row>
    <row r="1697" spans="1:13" s="1083" customFormat="1" ht="25.2" hidden="1" customHeight="1">
      <c r="A1697" s="1153">
        <f t="shared" si="107"/>
        <v>0</v>
      </c>
      <c r="B1697" s="1353"/>
      <c r="C1697" s="1353"/>
      <c r="D1697" s="1117">
        <f>IF(H1697&gt;0,1,0)</f>
        <v>0</v>
      </c>
      <c r="E1697" s="1118"/>
      <c r="F1697" s="1119" t="s">
        <v>3730</v>
      </c>
      <c r="G1697" s="1120" t="s">
        <v>2283</v>
      </c>
      <c r="H1697" s="1884">
        <f>H1682*2*0</f>
        <v>0</v>
      </c>
      <c r="I1697" s="1259">
        <f t="shared" si="105"/>
        <v>0</v>
      </c>
      <c r="J1697" s="1121"/>
      <c r="K1697" s="1121"/>
      <c r="L1697" s="1082"/>
      <c r="M1697" s="975">
        <v>400</v>
      </c>
    </row>
    <row r="1698" spans="1:13" s="1083" customFormat="1" ht="25.2" hidden="1" customHeight="1">
      <c r="A1698" s="1153">
        <f t="shared" si="107"/>
        <v>0</v>
      </c>
      <c r="B1698" s="1154" t="s">
        <v>114</v>
      </c>
      <c r="C1698" s="1154"/>
      <c r="D1698" s="1122"/>
      <c r="E1698" s="1079"/>
      <c r="F1698" s="1123" t="str">
        <f>VLOOKUP($B1698,DG!A:D,DG!$C$2,)</f>
        <v>Trụ BTLT 10,5m F350 dự ứng lực</v>
      </c>
      <c r="G1698" s="1079" t="str">
        <f>VLOOKUP($B1698,DG!A:D,DG!$D$2,)</f>
        <v>trụ</v>
      </c>
      <c r="H1698" s="1885">
        <f>H1697</f>
        <v>0</v>
      </c>
      <c r="I1698" s="1259">
        <f t="shared" si="105"/>
        <v>0</v>
      </c>
      <c r="J1698" s="1108"/>
      <c r="K1698" s="1078"/>
      <c r="L1698" s="1082"/>
      <c r="M1698" s="975">
        <v>400</v>
      </c>
    </row>
    <row r="1699" spans="1:13" s="1083" customFormat="1" ht="25.2" hidden="1" customHeight="1">
      <c r="A1699" s="1153">
        <f t="shared" si="107"/>
        <v>0</v>
      </c>
      <c r="B1699" s="1154" t="s">
        <v>1818</v>
      </c>
      <c r="C1699" s="1154"/>
      <c r="D1699" s="1122"/>
      <c r="E1699" s="1079"/>
      <c r="F1699" s="1123" t="str">
        <f>VLOOKUP($B1699,DG!A:D,DG!$C$2,)</f>
        <v>Vật liệu dựng trụ</v>
      </c>
      <c r="G1699" s="1079" t="str">
        <f>VLOOKUP($B1699,DG!A:D,DG!$D$2,)</f>
        <v>trụ</v>
      </c>
      <c r="H1699" s="1885">
        <f>H1698</f>
        <v>0</v>
      </c>
      <c r="I1699" s="1259">
        <f t="shared" si="105"/>
        <v>0</v>
      </c>
      <c r="J1699" s="1078"/>
      <c r="K1699" s="1078"/>
      <c r="L1699" s="1082"/>
      <c r="M1699" s="975">
        <v>400</v>
      </c>
    </row>
    <row r="1700" spans="1:13" s="1083" customFormat="1" ht="25.2" hidden="1" customHeight="1">
      <c r="A1700" s="1153">
        <f t="shared" si="107"/>
        <v>0</v>
      </c>
      <c r="B1700" s="1154" t="s">
        <v>644</v>
      </c>
      <c r="C1700" s="1154"/>
      <c r="D1700" s="1122"/>
      <c r="E1700" s="1079" t="str">
        <f>VLOOKUP($B1700,DG!A:D,DG!$B$2,)</f>
        <v>04.9203</v>
      </c>
      <c r="F1700" s="1123" t="str">
        <f>VLOOKUP($B1700,DG!A:D,DG!$C$2,)</f>
        <v>Dựng trụ BTLT 10,5m trong TBA bằng thủ công + cơ giới</v>
      </c>
      <c r="G1700" s="1079" t="str">
        <f>VLOOKUP($B1700,DG!A:D,DG!$D$2,)</f>
        <v>trụ</v>
      </c>
      <c r="H1700" s="1885">
        <f>H1698</f>
        <v>0</v>
      </c>
      <c r="I1700" s="1259">
        <f t="shared" si="105"/>
        <v>0</v>
      </c>
      <c r="J1700" s="1108"/>
      <c r="K1700" s="1108"/>
      <c r="L1700" s="1082"/>
      <c r="M1700" s="975">
        <v>400</v>
      </c>
    </row>
    <row r="1701" spans="1:13" s="1083" customFormat="1" ht="25.2" hidden="1" customHeight="1">
      <c r="A1701" s="1153">
        <f t="shared" si="107"/>
        <v>0</v>
      </c>
      <c r="B1701" s="1354"/>
      <c r="C1701" s="1354"/>
      <c r="D1701" s="1084">
        <f>IF(H1701&gt;0,D1693+1,D1693)</f>
        <v>0</v>
      </c>
      <c r="E1701" s="1118"/>
      <c r="F1701" s="1119" t="s">
        <v>2358</v>
      </c>
      <c r="G1701" s="1120" t="s">
        <v>2333</v>
      </c>
      <c r="H1701" s="1884">
        <f>H1693</f>
        <v>0</v>
      </c>
      <c r="I1701" s="1259">
        <f t="shared" si="105"/>
        <v>0</v>
      </c>
      <c r="J1701" s="1078"/>
      <c r="K1701" s="1078"/>
      <c r="L1701" s="1110"/>
      <c r="M1701" s="975">
        <v>400</v>
      </c>
    </row>
    <row r="1702" spans="1:13" s="1083" customFormat="1" ht="25.2" hidden="1" customHeight="1">
      <c r="A1702" s="1153">
        <f t="shared" si="107"/>
        <v>0</v>
      </c>
      <c r="B1702" s="1331" t="s">
        <v>636</v>
      </c>
      <c r="C1702" s="1331"/>
      <c r="D1702" s="1122"/>
      <c r="E1702" s="1079" t="str">
        <f>VLOOKUP($B1702,DG!A:D,DG!$B$2,)</f>
        <v>04.4001</v>
      </c>
      <c r="F1702" s="1124" t="str">
        <f>VLOOKUP($B1702,DG!A:D,DG!$C$2,)</f>
        <v>Đà cản BTCT 1,2m</v>
      </c>
      <c r="G1702" s="1091" t="str">
        <f>VLOOKUP($B1702,DG!A:D,DG!$D$2,)</f>
        <v>cái</v>
      </c>
      <c r="H1702" s="1885">
        <f>H1701</f>
        <v>0</v>
      </c>
      <c r="I1702" s="1259">
        <f t="shared" si="105"/>
        <v>0</v>
      </c>
      <c r="J1702" s="1108"/>
      <c r="K1702" s="1078"/>
      <c r="L1702" s="1110"/>
      <c r="M1702" s="975">
        <v>400</v>
      </c>
    </row>
    <row r="1703" spans="1:13" s="1083" customFormat="1" ht="25.2" hidden="1" customHeight="1">
      <c r="A1703" s="1153">
        <f t="shared" si="107"/>
        <v>0</v>
      </c>
      <c r="B1703" s="1331" t="s">
        <v>566</v>
      </c>
      <c r="C1703" s="1331"/>
      <c r="D1703" s="1122"/>
      <c r="E1703" s="1091"/>
      <c r="F1703" s="1124" t="str">
        <f>VLOOKUP($B1703,DG!A:D,DG!$C$2,)</f>
        <v>Boulon 22x650+ 2 long đền vuông D24-50x50x3/Zn</v>
      </c>
      <c r="G1703" s="1091" t="str">
        <f>VLOOKUP($B1703,DG!A:D,DG!$D$2,)</f>
        <v>bộ</v>
      </c>
      <c r="H1703" s="1885">
        <f>H1702</f>
        <v>0</v>
      </c>
      <c r="I1703" s="1259">
        <f t="shared" si="105"/>
        <v>0</v>
      </c>
      <c r="J1703" s="1124"/>
      <c r="K1703" s="1078"/>
      <c r="L1703" s="1110"/>
      <c r="M1703" s="975">
        <v>400</v>
      </c>
    </row>
    <row r="1704" spans="1:13" s="1083" customFormat="1" ht="25.2" hidden="1" customHeight="1">
      <c r="A1704" s="1153">
        <f t="shared" si="107"/>
        <v>0</v>
      </c>
      <c r="B1704" s="1331" t="str">
        <f>IF(chitiet!G5=1,"MDD1",IF(chitiet!G5=2,"MDD2",IF(chitiet!G5=3,"MDD3",IF(chitiet!G5=4,"MDD4"))))</f>
        <v>MDD3</v>
      </c>
      <c r="C1704" s="1331"/>
      <c r="D1704" s="1122"/>
      <c r="E1704" s="1091" t="str">
        <f>VLOOKUP($B1704,DG!A:D,DG!$B$2,)</f>
        <v>03.1013</v>
      </c>
      <c r="F1704" s="1124" t="str">
        <f>VLOOKUP($B1704,DG!A:D,DG!$C$2,)</f>
        <v>Đào hố móng đất cấp 3 sâu &gt;1m</v>
      </c>
      <c r="G1704" s="1091" t="str">
        <f>VLOOKUP($B1704,DG!A:D,DG!$D$2,)</f>
        <v>m3</v>
      </c>
      <c r="H1704" s="1886">
        <f>1.45*H1702</f>
        <v>0</v>
      </c>
      <c r="I1704" s="1259">
        <f t="shared" si="105"/>
        <v>0</v>
      </c>
      <c r="J1704" s="1125"/>
      <c r="K1704" s="1078"/>
      <c r="L1704" s="1110"/>
      <c r="M1704" s="975">
        <v>400</v>
      </c>
    </row>
    <row r="1705" spans="1:13" s="1083" customFormat="1" ht="25.2" hidden="1" customHeight="1">
      <c r="A1705" s="1153">
        <f t="shared" si="107"/>
        <v>0</v>
      </c>
      <c r="B1705" s="1331" t="str">
        <f>IF(chitiet!G5=1,"MDAP1",IF(chitiet!G5=2,"MDAP2",IF(chitiet!G5=3,"MDAP3",IF(chitiet!G5=4,"MDAP4"))))</f>
        <v>MDAP3</v>
      </c>
      <c r="C1705" s="1331"/>
      <c r="D1705" s="1122"/>
      <c r="E1705" s="1091" t="str">
        <f>VLOOKUP($B1705,DG!A:D,DG!$B$2,)</f>
        <v>03.4113</v>
      </c>
      <c r="F1705" s="1124" t="str">
        <f>VLOOKUP($B1705,DG!A:D,DG!$C$2,)</f>
        <v>Đắp đất hố móng, độ chặt k=0,95</v>
      </c>
      <c r="G1705" s="1091" t="str">
        <f>VLOOKUP($B1705,DG!A:D,DG!$D$2,)</f>
        <v>m3</v>
      </c>
      <c r="H1705" s="1886">
        <f>1.37*H1701</f>
        <v>0</v>
      </c>
      <c r="I1705" s="1259">
        <f t="shared" si="105"/>
        <v>0</v>
      </c>
      <c r="J1705" s="1125"/>
      <c r="K1705" s="1078"/>
      <c r="L1705" s="1110"/>
      <c r="M1705" s="975">
        <v>400</v>
      </c>
    </row>
    <row r="1706" spans="1:13" s="1083" customFormat="1" ht="25.2" hidden="1" customHeight="1">
      <c r="A1706" s="1153">
        <f t="shared" si="107"/>
        <v>0</v>
      </c>
      <c r="B1706" s="1354"/>
      <c r="C1706" s="1354"/>
      <c r="D1706" s="1084">
        <f>IF(H1706&gt;0,D1698+1,D1698)</f>
        <v>0</v>
      </c>
      <c r="E1706" s="1118"/>
      <c r="F1706" s="1119" t="s">
        <v>3731</v>
      </c>
      <c r="G1706" s="1120" t="s">
        <v>2333</v>
      </c>
      <c r="H1706" s="1884">
        <f>H1697*0</f>
        <v>0</v>
      </c>
      <c r="I1706" s="1259">
        <f t="shared" si="105"/>
        <v>0</v>
      </c>
      <c r="J1706" s="1078"/>
      <c r="K1706" s="1078"/>
      <c r="L1706" s="1082"/>
      <c r="M1706" s="975">
        <v>400</v>
      </c>
    </row>
    <row r="1707" spans="1:13" s="1083" customFormat="1" ht="25.2" hidden="1" customHeight="1">
      <c r="A1707" s="1153">
        <f t="shared" si="107"/>
        <v>0</v>
      </c>
      <c r="B1707" s="1331" t="s">
        <v>636</v>
      </c>
      <c r="C1707" s="1331"/>
      <c r="D1707" s="1122"/>
      <c r="E1707" s="1079" t="str">
        <f>VLOOKUP($B1707,DG!A:D,DG!$B$2,)</f>
        <v>04.4001</v>
      </c>
      <c r="F1707" s="1124" t="str">
        <f>VLOOKUP($B1707,DG!A:D,DG!$C$2,)</f>
        <v>Đà cản BTCT 1,2m</v>
      </c>
      <c r="G1707" s="1091" t="str">
        <f>VLOOKUP($B1707,DG!A:D,DG!$D$2,)</f>
        <v>cái</v>
      </c>
      <c r="H1707" s="1885">
        <f>H1706</f>
        <v>0</v>
      </c>
      <c r="I1707" s="1259">
        <f t="shared" si="105"/>
        <v>0</v>
      </c>
      <c r="J1707" s="1108"/>
      <c r="K1707" s="1078"/>
      <c r="L1707" s="1082"/>
      <c r="M1707" s="975">
        <v>400</v>
      </c>
    </row>
    <row r="1708" spans="1:13" s="1083" customFormat="1" ht="25.2" hidden="1" customHeight="1">
      <c r="A1708" s="1153">
        <f t="shared" si="107"/>
        <v>0</v>
      </c>
      <c r="B1708" s="1331" t="s">
        <v>566</v>
      </c>
      <c r="C1708" s="1331"/>
      <c r="D1708" s="1122"/>
      <c r="E1708" s="1091"/>
      <c r="F1708" s="1124" t="str">
        <f>VLOOKUP($B1708,DG!A:D,DG!$C$2,)</f>
        <v>Boulon 22x650+ 2 long đền vuông D24-50x50x3/Zn</v>
      </c>
      <c r="G1708" s="1091" t="str">
        <f>VLOOKUP($B1708,DG!A:D,DG!$D$2,)</f>
        <v>bộ</v>
      </c>
      <c r="H1708" s="1885">
        <f>H1707</f>
        <v>0</v>
      </c>
      <c r="I1708" s="1259">
        <f t="shared" si="105"/>
        <v>0</v>
      </c>
      <c r="J1708" s="1124"/>
      <c r="K1708" s="1078"/>
      <c r="L1708" s="1082"/>
      <c r="M1708" s="975">
        <v>400</v>
      </c>
    </row>
    <row r="1709" spans="1:13" s="1083" customFormat="1" ht="25.2" hidden="1" customHeight="1">
      <c r="A1709" s="1153">
        <f t="shared" si="107"/>
        <v>0</v>
      </c>
      <c r="B1709" s="1331" t="str">
        <f>IF(chitiet!G5=1,"MDD1",IF(chitiet!G5=2,"MDD2",IF(chitiet!G5=3,"MDD3",IF(chitiet!G5=4,"MDD4"))))</f>
        <v>MDD3</v>
      </c>
      <c r="C1709" s="1331"/>
      <c r="D1709" s="1122"/>
      <c r="E1709" s="1091" t="str">
        <f>VLOOKUP($B1709,DG!A:D,DG!$B$2,)</f>
        <v>03.1013</v>
      </c>
      <c r="F1709" s="1124" t="str">
        <f>VLOOKUP($B1709,DG!A:D,DG!$C$2,)</f>
        <v>Đào hố móng đất cấp 3 sâu &gt;1m</v>
      </c>
      <c r="G1709" s="1091" t="str">
        <f>VLOOKUP($B1709,DG!A:D,DG!$D$2,)</f>
        <v>m3</v>
      </c>
      <c r="H1709" s="1886">
        <f>1.48*H1707</f>
        <v>0</v>
      </c>
      <c r="I1709" s="1259">
        <f t="shared" si="105"/>
        <v>0</v>
      </c>
      <c r="J1709" s="1125"/>
      <c r="K1709" s="1078"/>
      <c r="L1709" s="1082"/>
      <c r="M1709" s="975">
        <v>400</v>
      </c>
    </row>
    <row r="1710" spans="1:13" s="1083" customFormat="1" ht="25.2" hidden="1" customHeight="1">
      <c r="A1710" s="1153">
        <f t="shared" si="107"/>
        <v>0</v>
      </c>
      <c r="B1710" s="1331" t="str">
        <f>IF(chitiet!G5=1,"MDAP1",IF(chitiet!G5=2,"MDAP2",IF(chitiet!G5=3,"MDAP3",IF(chitiet!G5=4,"MDAP4"))))</f>
        <v>MDAP3</v>
      </c>
      <c r="C1710" s="1331"/>
      <c r="D1710" s="1122"/>
      <c r="E1710" s="1091" t="str">
        <f>VLOOKUP($B1710,DG!A:D,DG!$B$2,)</f>
        <v>03.4113</v>
      </c>
      <c r="F1710" s="1124" t="str">
        <f>VLOOKUP($B1710,DG!A:D,DG!$C$2,)</f>
        <v>Đắp đất hố móng, độ chặt k=0,95</v>
      </c>
      <c r="G1710" s="1091" t="str">
        <f>VLOOKUP($B1710,DG!A:D,DG!$D$2,)</f>
        <v>m3</v>
      </c>
      <c r="H1710" s="1886">
        <f>1.39*H1706</f>
        <v>0</v>
      </c>
      <c r="I1710" s="1259">
        <f t="shared" si="105"/>
        <v>0</v>
      </c>
      <c r="J1710" s="1125"/>
      <c r="K1710" s="1078"/>
      <c r="L1710" s="1082"/>
      <c r="M1710" s="975">
        <v>400</v>
      </c>
    </row>
    <row r="1711" spans="1:13" s="1083" customFormat="1" ht="25.2" hidden="1" customHeight="1">
      <c r="A1711" s="1153">
        <f t="shared" si="107"/>
        <v>0</v>
      </c>
      <c r="B1711" s="1324"/>
      <c r="C1711" s="1324"/>
      <c r="D1711" s="1084">
        <f>IF(H1711&gt;0,D1701+1,D1701)</f>
        <v>0</v>
      </c>
      <c r="E1711" s="1126"/>
      <c r="F1711" s="1119" t="s">
        <v>3732</v>
      </c>
      <c r="G1711" s="1117" t="s">
        <v>2391</v>
      </c>
      <c r="H1711" s="1887">
        <f>H1682*1</f>
        <v>0</v>
      </c>
      <c r="I1711" s="1259">
        <f t="shared" si="105"/>
        <v>0</v>
      </c>
      <c r="J1711" s="1127"/>
      <c r="K1711" s="1127"/>
      <c r="L1711" s="1082"/>
      <c r="M1711" s="975">
        <v>400</v>
      </c>
    </row>
    <row r="1712" spans="1:13" s="1083" customFormat="1" ht="25.2" hidden="1" customHeight="1">
      <c r="A1712" s="1153">
        <f t="shared" si="107"/>
        <v>0</v>
      </c>
      <c r="B1712" s="1324"/>
      <c r="C1712" s="1324"/>
      <c r="D1712" s="1078"/>
      <c r="E1712" s="1128"/>
      <c r="F1712" s="1367" t="s">
        <v>2285</v>
      </c>
      <c r="G1712" s="1090"/>
      <c r="H1712" s="1851"/>
      <c r="I1712" s="1259">
        <f t="shared" si="105"/>
        <v>0</v>
      </c>
      <c r="J1712" s="1129"/>
      <c r="K1712" s="1129"/>
      <c r="L1712" s="1082"/>
      <c r="M1712" s="975">
        <v>400</v>
      </c>
    </row>
    <row r="1713" spans="1:13" s="1083" customFormat="1" ht="25.2" hidden="1" customHeight="1">
      <c r="A1713" s="1153">
        <f t="shared" si="107"/>
        <v>0</v>
      </c>
      <c r="B1713" s="1360" t="s">
        <v>1411</v>
      </c>
      <c r="C1713" s="1360"/>
      <c r="D1713" s="1078"/>
      <c r="E1713" s="1091" t="str">
        <f>VLOOKUP($B1713,DG!A:D,DG!$B$2,)</f>
        <v>05.6105</v>
      </c>
      <c r="F1713" s="1080" t="str">
        <f>VLOOKUP($B1713,DG!A:D,DG!$C$2,)&amp;": 2 cái"</f>
        <v>Đà U200x80x5x2800 đỡ MBA: 2 cái</v>
      </c>
      <c r="G1713" s="1079" t="str">
        <f>VLOOKUP($B1713,DG!A:D,DG!$D$2,)</f>
        <v>cái</v>
      </c>
      <c r="H1713" s="1851">
        <f>52.049*H1711*2</f>
        <v>0</v>
      </c>
      <c r="I1713" s="1259">
        <f t="shared" si="105"/>
        <v>0</v>
      </c>
      <c r="J1713" s="1108"/>
      <c r="K1713" s="1108"/>
      <c r="L1713" s="1082"/>
      <c r="M1713" s="975">
        <v>400</v>
      </c>
    </row>
    <row r="1714" spans="1:13" s="1083" customFormat="1" ht="25.2" hidden="1" customHeight="1">
      <c r="A1714" s="1153">
        <f t="shared" si="107"/>
        <v>0</v>
      </c>
      <c r="B1714" s="1154" t="s">
        <v>1137</v>
      </c>
      <c r="C1714" s="1154"/>
      <c r="D1714" s="1078"/>
      <c r="E1714" s="1091" t="str">
        <f>VLOOKUP($B1714,DG!A:D,DG!$B$2,)</f>
        <v>05.6101</v>
      </c>
      <c r="F1714" s="1080" t="str">
        <f>VLOOKUP($B1714,DG!A:D,DG!$C$2,)&amp;": 4 cái"</f>
        <v>Đà U100x46x4.5x400 : 4 cái</v>
      </c>
      <c r="G1714" s="1079" t="str">
        <f>VLOOKUP($B1714,DG!A:D,DG!$D$2,)</f>
        <v>cái</v>
      </c>
      <c r="H1714" s="1851">
        <f>H1711*2.713*4</f>
        <v>0</v>
      </c>
      <c r="I1714" s="1259">
        <f t="shared" si="105"/>
        <v>0</v>
      </c>
      <c r="J1714" s="1108"/>
      <c r="K1714" s="1108"/>
      <c r="L1714" s="1082"/>
      <c r="M1714" s="975">
        <v>400</v>
      </c>
    </row>
    <row r="1715" spans="1:13" s="1083" customFormat="1" ht="25.2" hidden="1" customHeight="1">
      <c r="A1715" s="1153">
        <f t="shared" si="107"/>
        <v>0</v>
      </c>
      <c r="B1715" s="1154" t="s">
        <v>1138</v>
      </c>
      <c r="C1715" s="1154"/>
      <c r="D1715" s="1078"/>
      <c r="E1715" s="1091" t="str">
        <f>VLOOKUP($B1715,DG!A:D,DG!$B$2,)</f>
        <v>05.6101</v>
      </c>
      <c r="F1715" s="1080" t="str">
        <f>VLOOKUP($B1715,DG!A:D,DG!$C$2,)&amp;": 2 cái"</f>
        <v>Đà U100x46x5x800 : 2 cái</v>
      </c>
      <c r="G1715" s="1079" t="str">
        <f>VLOOKUP($B1715,DG!A:D,DG!$D$2,)</f>
        <v>cái</v>
      </c>
      <c r="H1715" s="1851">
        <f>H1711*5.426*2</f>
        <v>0</v>
      </c>
      <c r="I1715" s="1259">
        <f t="shared" ref="I1715:I1778" si="108">IF(M1715=$M$23,H1715+J1715-K1715,0)</f>
        <v>0</v>
      </c>
      <c r="J1715" s="1108"/>
      <c r="K1715" s="1108"/>
      <c r="L1715" s="1082"/>
      <c r="M1715" s="975">
        <v>400</v>
      </c>
    </row>
    <row r="1716" spans="1:13" s="1083" customFormat="1" ht="25.2" hidden="1" customHeight="1">
      <c r="A1716" s="1153">
        <f t="shared" si="107"/>
        <v>0</v>
      </c>
      <c r="B1716" s="1324" t="s">
        <v>2248</v>
      </c>
      <c r="C1716" s="1324"/>
      <c r="D1716" s="1078"/>
      <c r="E1716" s="1091" t="str">
        <f>VLOOKUP($B1716,DG!A:D,DG!$B$2,)</f>
        <v>05.6044</v>
      </c>
      <c r="F1716" s="1080" t="str">
        <f>VLOOKUP($B1716,DG!A:D,DG!$C$2,)</f>
        <v>Lắp xà cột Pi loại ≤140kg/xà</v>
      </c>
      <c r="G1716" s="1091" t="str">
        <f>VLOOKUP($B1716,DG!A:D,DG!$D$2,)</f>
        <v>bộ</v>
      </c>
      <c r="H1716" s="1851">
        <f>H1711</f>
        <v>0</v>
      </c>
      <c r="I1716" s="1259">
        <f t="shared" si="108"/>
        <v>0</v>
      </c>
      <c r="J1716" s="1108"/>
      <c r="K1716" s="1108"/>
      <c r="L1716" s="1082"/>
      <c r="M1716" s="975">
        <v>400</v>
      </c>
    </row>
    <row r="1717" spans="1:13" s="1083" customFormat="1" ht="25.2" hidden="1" customHeight="1">
      <c r="A1717" s="1153">
        <f t="shared" si="107"/>
        <v>0</v>
      </c>
      <c r="B1717" s="1324" t="s">
        <v>1785</v>
      </c>
      <c r="C1717" s="1324"/>
      <c r="D1717" s="1078"/>
      <c r="E1717" s="1091">
        <f>VLOOKUP($B1717,DG!A:D,DG!$B$2,)</f>
        <v>0</v>
      </c>
      <c r="F1717" s="1080" t="str">
        <f>VLOOKUP($B1717,DG!A:D,DG!$C$2,)</f>
        <v>Boulon 16x400VRS+ 4 long đền vuông D18-50x50x3/Zn</v>
      </c>
      <c r="G1717" s="1079" t="str">
        <f>VLOOKUP($B1717,DG!A:D,DG!$D$2,)</f>
        <v>bộ</v>
      </c>
      <c r="H1717" s="1851">
        <f>H1711*10</f>
        <v>0</v>
      </c>
      <c r="I1717" s="1259">
        <f t="shared" si="108"/>
        <v>0</v>
      </c>
      <c r="J1717" s="1108"/>
      <c r="K1717" s="1108"/>
      <c r="L1717" s="1082"/>
      <c r="M1717" s="975">
        <v>400</v>
      </c>
    </row>
    <row r="1718" spans="1:13" s="1083" customFormat="1" ht="25.2" hidden="1" customHeight="1">
      <c r="A1718" s="1153">
        <f t="shared" si="107"/>
        <v>0</v>
      </c>
      <c r="B1718" s="1324" t="s">
        <v>1083</v>
      </c>
      <c r="C1718" s="1324"/>
      <c r="D1718" s="1078"/>
      <c r="E1718" s="1091">
        <f>VLOOKUP($B1718,DG!A:D,DG!$B$2,)</f>
        <v>0</v>
      </c>
      <c r="F1718" s="1080" t="str">
        <f>VLOOKUP($B1718,DG!A:D,DG!$C$2,)</f>
        <v>Boulon 16x400+ 2 long đền vuông D18-50x50x3/Zn</v>
      </c>
      <c r="G1718" s="1079" t="str">
        <f>VLOOKUP($B1718,DG!A:D,DG!$D$2,)</f>
        <v>bộ</v>
      </c>
      <c r="H1718" s="1851">
        <f>H1711*2</f>
        <v>0</v>
      </c>
      <c r="I1718" s="1259">
        <f t="shared" si="108"/>
        <v>0</v>
      </c>
      <c r="J1718" s="1108"/>
      <c r="K1718" s="1108"/>
      <c r="L1718" s="1082"/>
      <c r="M1718" s="975">
        <v>400</v>
      </c>
    </row>
    <row r="1719" spans="1:13" s="1083" customFormat="1" ht="25.2" hidden="1" customHeight="1">
      <c r="A1719" s="1153">
        <f t="shared" si="107"/>
        <v>0</v>
      </c>
      <c r="B1719" s="1324" t="s">
        <v>1079</v>
      </c>
      <c r="C1719" s="1324"/>
      <c r="D1719" s="1078"/>
      <c r="E1719" s="1091">
        <f>VLOOKUP($B1719,DG!A:D,DG!$B$2,)</f>
        <v>0</v>
      </c>
      <c r="F1719" s="1080" t="str">
        <f>VLOOKUP($B1719,DG!A:D,DG!$C$2,)</f>
        <v>Boulon 16x350+ 2 long đền vuông D18-50x50x3/Zn</v>
      </c>
      <c r="G1719" s="1079" t="str">
        <f>VLOOKUP($B1719,DG!A:D,DG!$D$2,)</f>
        <v>bộ</v>
      </c>
      <c r="H1719" s="1851">
        <f>H1711*12</f>
        <v>0</v>
      </c>
      <c r="I1719" s="1259">
        <f t="shared" si="108"/>
        <v>0</v>
      </c>
      <c r="J1719" s="1108"/>
      <c r="K1719" s="1108"/>
      <c r="L1719" s="1082"/>
      <c r="M1719" s="975">
        <v>400</v>
      </c>
    </row>
    <row r="1720" spans="1:13" s="1083" customFormat="1" ht="25.2" hidden="1" customHeight="1">
      <c r="A1720" s="1153">
        <f t="shared" si="107"/>
        <v>0</v>
      </c>
      <c r="B1720" s="1324"/>
      <c r="C1720" s="1324"/>
      <c r="D1720" s="1084">
        <f>IF(H1720&gt;0,D1711+1,D1711)</f>
        <v>0</v>
      </c>
      <c r="E1720" s="1085"/>
      <c r="F1720" s="1130" t="s">
        <v>3761</v>
      </c>
      <c r="G1720" s="1084" t="s">
        <v>2391</v>
      </c>
      <c r="H1720" s="1867"/>
      <c r="I1720" s="1259">
        <f t="shared" si="108"/>
        <v>0</v>
      </c>
      <c r="J1720" s="1131"/>
      <c r="K1720" s="1131"/>
      <c r="L1720" s="1082"/>
      <c r="M1720" s="975">
        <v>400</v>
      </c>
    </row>
    <row r="1721" spans="1:13" s="1083" customFormat="1" ht="25.2" hidden="1" customHeight="1">
      <c r="A1721" s="1153">
        <f t="shared" si="107"/>
        <v>0</v>
      </c>
      <c r="B1721" s="1324"/>
      <c r="C1721" s="1324"/>
      <c r="D1721" s="1078"/>
      <c r="E1721" s="1091"/>
      <c r="F1721" s="1367" t="s">
        <v>2285</v>
      </c>
      <c r="G1721" s="1090"/>
      <c r="H1721" s="1851"/>
      <c r="I1721" s="1259">
        <f t="shared" si="108"/>
        <v>0</v>
      </c>
      <c r="J1721" s="1131"/>
      <c r="K1721" s="1131"/>
      <c r="L1721" s="1082"/>
      <c r="M1721" s="975">
        <v>400</v>
      </c>
    </row>
    <row r="1722" spans="1:13" s="1083" customFormat="1" ht="25.2" hidden="1" customHeight="1">
      <c r="A1722" s="1153">
        <f t="shared" si="107"/>
        <v>0</v>
      </c>
      <c r="B1722" s="1331" t="s">
        <v>2026</v>
      </c>
      <c r="C1722" s="1331"/>
      <c r="D1722" s="1078"/>
      <c r="E1722" s="1091">
        <f>VLOOKUP($B1722,DG!A:D,DG!$B$2,)</f>
        <v>0</v>
      </c>
      <c r="F1722" s="1080" t="str">
        <f>VLOOKUP($B1722,DG!A:D,DG!$C$2,)</f>
        <v>Sắt góc L75 x75 x8</v>
      </c>
      <c r="G1722" s="1091" t="str">
        <f>VLOOKUP($B1722,DG!A:D,DG!$D$2,)</f>
        <v>kg</v>
      </c>
      <c r="H1722" s="1851"/>
      <c r="I1722" s="1259">
        <f t="shared" si="108"/>
        <v>0</v>
      </c>
      <c r="J1722" s="1108"/>
      <c r="K1722" s="1108"/>
      <c r="L1722" s="1082"/>
      <c r="M1722" s="975">
        <v>400</v>
      </c>
    </row>
    <row r="1723" spans="1:13" s="1083" customFormat="1" ht="25.2" hidden="1" customHeight="1">
      <c r="A1723" s="1153">
        <f t="shared" si="107"/>
        <v>0</v>
      </c>
      <c r="B1723" s="1324" t="s">
        <v>1788</v>
      </c>
      <c r="C1723" s="1324"/>
      <c r="D1723" s="1078"/>
      <c r="E1723" s="1091">
        <f>VLOOKUP($B1723,DG!A:D,DG!$B$2,)</f>
        <v>0</v>
      </c>
      <c r="F1723" s="1080" t="str">
        <f>VLOOKUP($B1723,DG!A:D,DG!$C$2,)</f>
        <v>Boulon 16x300VRS+ 4 long đền vuông D18-50x50x3/Zn</v>
      </c>
      <c r="G1723" s="1091" t="str">
        <f>VLOOKUP($B1723,DG!A:D,DG!$D$2,)</f>
        <v>bộ</v>
      </c>
      <c r="H1723" s="1851">
        <f>H1720*2</f>
        <v>0</v>
      </c>
      <c r="I1723" s="1259">
        <f t="shared" si="108"/>
        <v>0</v>
      </c>
      <c r="J1723" s="1108"/>
      <c r="K1723" s="1108"/>
      <c r="L1723" s="1082"/>
      <c r="M1723" s="975">
        <v>400</v>
      </c>
    </row>
    <row r="1724" spans="1:13" s="1083" customFormat="1" ht="25.2" hidden="1" customHeight="1">
      <c r="A1724" s="1153">
        <f t="shared" si="107"/>
        <v>0</v>
      </c>
      <c r="B1724" s="1324" t="s">
        <v>1613</v>
      </c>
      <c r="C1724" s="1324"/>
      <c r="D1724" s="1078"/>
      <c r="E1724" s="1091">
        <f>VLOOKUP($B1724,DG!A:D,DG!$B$2,)</f>
        <v>0</v>
      </c>
      <c r="F1724" s="1080" t="str">
        <f>VLOOKUP($B1724,DG!A:D,DG!$C$2,)</f>
        <v>Boulon 16x300+ 2 long đền vuông D18-50x50x3/Zn</v>
      </c>
      <c r="G1724" s="1091" t="str">
        <f>VLOOKUP($B1724,DG!A:D,DG!$D$2,)</f>
        <v>bộ</v>
      </c>
      <c r="H1724" s="1851">
        <f>H1720*2</f>
        <v>0</v>
      </c>
      <c r="I1724" s="1259">
        <f t="shared" si="108"/>
        <v>0</v>
      </c>
      <c r="J1724" s="1108"/>
      <c r="K1724" s="1108"/>
      <c r="L1724" s="1082"/>
      <c r="M1724" s="975">
        <v>400</v>
      </c>
    </row>
    <row r="1725" spans="1:13" s="1083" customFormat="1" ht="25.2" hidden="1" customHeight="1">
      <c r="A1725" s="1153">
        <f t="shared" si="107"/>
        <v>0</v>
      </c>
      <c r="B1725" s="1324" t="s">
        <v>1612</v>
      </c>
      <c r="C1725" s="1324"/>
      <c r="D1725" s="1078"/>
      <c r="E1725" s="1091">
        <f>VLOOKUP($B1725,DG!A:D,DG!$B$2,)</f>
        <v>0</v>
      </c>
      <c r="F1725" s="1080" t="str">
        <f>VLOOKUP($B1725,DG!A:D,DG!$C$2,)</f>
        <v>Boulon 16x250+ 2 long đền vuông D18-50x50x3/Zn</v>
      </c>
      <c r="G1725" s="1091" t="str">
        <f>VLOOKUP($B1725,DG!A:D,DG!$D$2,)</f>
        <v>bộ</v>
      </c>
      <c r="H1725" s="1851">
        <f>H1724</f>
        <v>0</v>
      </c>
      <c r="I1725" s="1259">
        <f t="shared" si="108"/>
        <v>0</v>
      </c>
      <c r="J1725" s="1108"/>
      <c r="K1725" s="1108"/>
      <c r="L1725" s="1082"/>
      <c r="M1725" s="975">
        <v>400</v>
      </c>
    </row>
    <row r="1726" spans="1:13" s="1083" customFormat="1" ht="25.2" hidden="1" customHeight="1">
      <c r="A1726" s="1153">
        <f t="shared" si="107"/>
        <v>0</v>
      </c>
      <c r="B1726" s="1324" t="s">
        <v>2248</v>
      </c>
      <c r="C1726" s="1324"/>
      <c r="D1726" s="1078"/>
      <c r="E1726" s="1091" t="str">
        <f>VLOOKUP($B1726,DG!A:D,DG!$B$2,)</f>
        <v>05.6044</v>
      </c>
      <c r="F1726" s="1080" t="str">
        <f>VLOOKUP($B1726,DG!A:D,DG!$C$2,)</f>
        <v>Lắp xà cột Pi loại ≤140kg/xà</v>
      </c>
      <c r="G1726" s="1091" t="str">
        <f>VLOOKUP($B1726,DG!A:D,DG!$D$2,)</f>
        <v>bộ</v>
      </c>
      <c r="H1726" s="1851">
        <f>H1720</f>
        <v>0</v>
      </c>
      <c r="I1726" s="1259">
        <f t="shared" si="108"/>
        <v>0</v>
      </c>
      <c r="J1726" s="1108"/>
      <c r="K1726" s="1108"/>
      <c r="L1726" s="1082"/>
      <c r="M1726" s="975">
        <v>400</v>
      </c>
    </row>
    <row r="1727" spans="1:13" s="1083" customFormat="1" ht="25.2" hidden="1" customHeight="1">
      <c r="A1727" s="1153">
        <f t="shared" si="107"/>
        <v>0</v>
      </c>
      <c r="B1727" s="1324"/>
      <c r="C1727" s="1324"/>
      <c r="D1727" s="1084">
        <f>IF(H1727&gt;0,D1720+1,D1720)</f>
        <v>0</v>
      </c>
      <c r="E1727" s="1085"/>
      <c r="F1727" s="1130" t="s">
        <v>3753</v>
      </c>
      <c r="G1727" s="1084" t="s">
        <v>2391</v>
      </c>
      <c r="H1727" s="1867">
        <f>H1682*1</f>
        <v>0</v>
      </c>
      <c r="I1727" s="1259">
        <f t="shared" si="108"/>
        <v>0</v>
      </c>
      <c r="J1727" s="1131"/>
      <c r="K1727" s="1131"/>
      <c r="L1727" s="1082"/>
      <c r="M1727" s="975">
        <v>400</v>
      </c>
    </row>
    <row r="1728" spans="1:13" s="1083" customFormat="1" ht="25.2" hidden="1" customHeight="1">
      <c r="A1728" s="1153">
        <f t="shared" si="107"/>
        <v>0</v>
      </c>
      <c r="B1728" s="1324"/>
      <c r="C1728" s="1324"/>
      <c r="D1728" s="1078"/>
      <c r="E1728" s="1088"/>
      <c r="F1728" s="1367" t="s">
        <v>2285</v>
      </c>
      <c r="G1728" s="1090"/>
      <c r="H1728" s="1851"/>
      <c r="I1728" s="1259">
        <f t="shared" si="108"/>
        <v>0</v>
      </c>
      <c r="J1728" s="1131"/>
      <c r="K1728" s="1131"/>
      <c r="L1728" s="1082"/>
      <c r="M1728" s="975">
        <v>400</v>
      </c>
    </row>
    <row r="1729" spans="1:13" s="1083" customFormat="1" ht="25.2" hidden="1" customHeight="1">
      <c r="A1729" s="1153">
        <f t="shared" si="107"/>
        <v>0</v>
      </c>
      <c r="B1729" s="1344" t="s">
        <v>362</v>
      </c>
      <c r="C1729" s="1344"/>
      <c r="D1729" s="1078"/>
      <c r="E1729" s="1091">
        <f>VLOOKUP($B1729,DG!A:D,DG!$B$2,)</f>
        <v>0</v>
      </c>
      <c r="F1729" s="1080" t="str">
        <f>VLOOKUP($B1729,DG!A:D,DG!$C$2,)</f>
        <v>Xà composite 110x800x5</v>
      </c>
      <c r="G1729" s="1091" t="str">
        <f>VLOOKUP($B1729,DG!A:D,DG!$D$2,)</f>
        <v>cái</v>
      </c>
      <c r="H1729" s="1851"/>
      <c r="I1729" s="1259">
        <f t="shared" si="108"/>
        <v>0</v>
      </c>
      <c r="J1729" s="1108"/>
      <c r="K1729" s="1108"/>
      <c r="L1729" s="1082"/>
      <c r="M1729" s="975">
        <v>400</v>
      </c>
    </row>
    <row r="1730" spans="1:13" s="1083" customFormat="1" ht="25.2" hidden="1" customHeight="1">
      <c r="A1730" s="1153">
        <f t="shared" si="107"/>
        <v>0</v>
      </c>
      <c r="B1730" s="1324" t="s">
        <v>1612</v>
      </c>
      <c r="C1730" s="1324"/>
      <c r="D1730" s="1078"/>
      <c r="E1730" s="1091">
        <f>VLOOKUP($B1730,DG!A:D,DG!$B$2,)</f>
        <v>0</v>
      </c>
      <c r="F1730" s="1080" t="str">
        <f>VLOOKUP($B1730,DG!A:D,DG!$C$2,)</f>
        <v>Boulon 16x250+ 2 long đền vuông D18-50x50x3/Zn</v>
      </c>
      <c r="G1730" s="1091" t="str">
        <f>VLOOKUP($B1730,DG!A:D,DG!$D$2,)</f>
        <v>bộ</v>
      </c>
      <c r="H1730" s="1851">
        <f>H1727</f>
        <v>0</v>
      </c>
      <c r="I1730" s="1259">
        <f t="shared" si="108"/>
        <v>0</v>
      </c>
      <c r="J1730" s="1108"/>
      <c r="K1730" s="1108"/>
      <c r="L1730" s="1082"/>
      <c r="M1730" s="975">
        <v>400</v>
      </c>
    </row>
    <row r="1731" spans="1:13" s="1083" customFormat="1" ht="25.2" hidden="1" customHeight="1">
      <c r="A1731" s="1153">
        <f t="shared" si="107"/>
        <v>0</v>
      </c>
      <c r="B1731" s="1324" t="s">
        <v>1613</v>
      </c>
      <c r="C1731" s="1324"/>
      <c r="D1731" s="1078"/>
      <c r="E1731" s="1091">
        <f>VLOOKUP($B1731,DG!A:D,DG!$B$2,)</f>
        <v>0</v>
      </c>
      <c r="F1731" s="1080" t="str">
        <f>VLOOKUP($B1731,DG!A:D,DG!$C$2,)</f>
        <v>Boulon 16x300+ 2 long đền vuông D18-50x50x3/Zn</v>
      </c>
      <c r="G1731" s="1091" t="str">
        <f>VLOOKUP($B1731,DG!A:D,DG!$D$2,)</f>
        <v>bộ</v>
      </c>
      <c r="H1731" s="1851">
        <f>H1727</f>
        <v>0</v>
      </c>
      <c r="I1731" s="1259">
        <f t="shared" si="108"/>
        <v>0</v>
      </c>
      <c r="J1731" s="1108"/>
      <c r="K1731" s="1108"/>
      <c r="L1731" s="1082"/>
      <c r="M1731" s="975">
        <v>400</v>
      </c>
    </row>
    <row r="1732" spans="1:13" s="1083" customFormat="1" ht="25.2" hidden="1" customHeight="1">
      <c r="A1732" s="1153">
        <f t="shared" si="107"/>
        <v>0</v>
      </c>
      <c r="B1732" s="1324" t="s">
        <v>30</v>
      </c>
      <c r="C1732" s="1324"/>
      <c r="D1732" s="1078"/>
      <c r="E1732" s="1091">
        <f>VLOOKUP($B1732,DG!A:D,DG!$B$2,)</f>
        <v>0</v>
      </c>
      <c r="F1732" s="1080" t="str">
        <f>VLOOKUP($B1732,DG!A:D,DG!$C$2,)</f>
        <v>Bass LI bắt FCO</v>
      </c>
      <c r="G1732" s="1091" t="str">
        <f>VLOOKUP($B1732,DG!A:D,DG!$D$2,)</f>
        <v>Bộ</v>
      </c>
      <c r="H1732" s="1851">
        <f>H1683*2</f>
        <v>0</v>
      </c>
      <c r="I1732" s="1259">
        <f t="shared" si="108"/>
        <v>0</v>
      </c>
      <c r="J1732" s="1108"/>
      <c r="K1732" s="1108"/>
      <c r="L1732" s="1082"/>
      <c r="M1732" s="975">
        <v>400</v>
      </c>
    </row>
    <row r="1733" spans="1:13" s="1083" customFormat="1" ht="25.2" hidden="1" customHeight="1">
      <c r="A1733" s="1153">
        <f t="shared" si="107"/>
        <v>0</v>
      </c>
      <c r="B1733" s="1324" t="s">
        <v>2248</v>
      </c>
      <c r="C1733" s="1324"/>
      <c r="D1733" s="1078"/>
      <c r="E1733" s="1091" t="str">
        <f>VLOOKUP($B1733,DG!A:D,DG!$B$2,)</f>
        <v>05.6044</v>
      </c>
      <c r="F1733" s="1080" t="str">
        <f>VLOOKUP($B1733,DG!A:D,DG!$C$2,)</f>
        <v>Lắp xà cột Pi loại ≤140kg/xà</v>
      </c>
      <c r="G1733" s="1091" t="str">
        <f>VLOOKUP($B1733,DG!A:D,DG!$D$2,)</f>
        <v>bộ</v>
      </c>
      <c r="H1733" s="1851">
        <f>H1682</f>
        <v>0</v>
      </c>
      <c r="I1733" s="1259">
        <f t="shared" si="108"/>
        <v>0</v>
      </c>
      <c r="J1733" s="1108"/>
      <c r="K1733" s="1108"/>
      <c r="L1733" s="1082"/>
      <c r="M1733" s="975">
        <v>400</v>
      </c>
    </row>
    <row r="1734" spans="1:13" s="1083" customFormat="1" ht="25.2" hidden="1" customHeight="1">
      <c r="A1734" s="1153">
        <f t="shared" si="107"/>
        <v>0</v>
      </c>
      <c r="B1734" s="1324"/>
      <c r="C1734" s="1324"/>
      <c r="D1734" s="1084">
        <f>IF(H1734&gt;0,D1727+1,D1727)</f>
        <v>0</v>
      </c>
      <c r="E1734" s="1085"/>
      <c r="F1734" s="1130" t="s">
        <v>3735</v>
      </c>
      <c r="G1734" s="1084" t="s">
        <v>2391</v>
      </c>
      <c r="H1734" s="1867">
        <f>H1682*2</f>
        <v>0</v>
      </c>
      <c r="I1734" s="1259">
        <f t="shared" si="108"/>
        <v>0</v>
      </c>
      <c r="J1734" s="1131"/>
      <c r="K1734" s="1131"/>
      <c r="L1734" s="1082"/>
      <c r="M1734" s="975">
        <v>400</v>
      </c>
    </row>
    <row r="1735" spans="1:13" s="1083" customFormat="1" ht="25.2" hidden="1" customHeight="1">
      <c r="A1735" s="1153">
        <f t="shared" si="107"/>
        <v>0</v>
      </c>
      <c r="B1735" s="1324"/>
      <c r="C1735" s="1324"/>
      <c r="D1735" s="1078"/>
      <c r="E1735" s="1088"/>
      <c r="F1735" s="1367" t="s">
        <v>2285</v>
      </c>
      <c r="G1735" s="1090"/>
      <c r="H1735" s="1851"/>
      <c r="I1735" s="1259">
        <f t="shared" si="108"/>
        <v>0</v>
      </c>
      <c r="J1735" s="1131"/>
      <c r="K1735" s="1131"/>
      <c r="L1735" s="1082"/>
      <c r="M1735" s="975">
        <v>400</v>
      </c>
    </row>
    <row r="1736" spans="1:13" s="1083" customFormat="1" ht="25.2" hidden="1" customHeight="1">
      <c r="A1736" s="1153">
        <f t="shared" si="107"/>
        <v>0</v>
      </c>
      <c r="B1736" s="1324" t="s">
        <v>2026</v>
      </c>
      <c r="C1736" s="1324"/>
      <c r="D1736" s="1078"/>
      <c r="E1736" s="1091">
        <f>VLOOKUP($B1736,DG!A:D,DG!$B$2,)</f>
        <v>0</v>
      </c>
      <c r="F1736" s="1080" t="str">
        <f>VLOOKUP($B1736,DG!A:D,DG!$C$2,)</f>
        <v>Sắt góc L75 x75 x8</v>
      </c>
      <c r="G1736" s="1091" t="str">
        <f>VLOOKUP($B1736,DG!A:D,DG!$D$2,)</f>
        <v>kg</v>
      </c>
      <c r="H1736" s="1851">
        <f>H1734*9.02*2.6</f>
        <v>0</v>
      </c>
      <c r="I1736" s="1259">
        <f t="shared" si="108"/>
        <v>0</v>
      </c>
      <c r="J1736" s="1108"/>
      <c r="K1736" s="1108"/>
      <c r="L1736" s="1082"/>
      <c r="M1736" s="975">
        <v>400</v>
      </c>
    </row>
    <row r="1737" spans="1:13" s="1083" customFormat="1" ht="25.2" hidden="1" customHeight="1">
      <c r="A1737" s="1153">
        <f t="shared" si="107"/>
        <v>0</v>
      </c>
      <c r="B1737" s="1324" t="s">
        <v>1083</v>
      </c>
      <c r="C1737" s="1324"/>
      <c r="D1737" s="1078"/>
      <c r="E1737" s="1091">
        <f>VLOOKUP($B1737,DG!A:D,DG!$B$2,)</f>
        <v>0</v>
      </c>
      <c r="F1737" s="1080" t="str">
        <f>VLOOKUP($B1737,DG!A:D,DG!$C$2,)</f>
        <v>Boulon 16x400+ 2 long đền vuông D18-50x50x3/Zn</v>
      </c>
      <c r="G1737" s="1091" t="str">
        <f>VLOOKUP($B1737,DG!A:D,DG!$D$2,)</f>
        <v>bộ</v>
      </c>
      <c r="H1737" s="1851">
        <f>H1734*2</f>
        <v>0</v>
      </c>
      <c r="I1737" s="1259">
        <f t="shared" si="108"/>
        <v>0</v>
      </c>
      <c r="J1737" s="1108"/>
      <c r="K1737" s="1108"/>
      <c r="L1737" s="1082"/>
      <c r="M1737" s="975">
        <v>400</v>
      </c>
    </row>
    <row r="1738" spans="1:13" s="1083" customFormat="1" ht="25.2" hidden="1" customHeight="1">
      <c r="A1738" s="1153">
        <f t="shared" si="107"/>
        <v>0</v>
      </c>
      <c r="B1738" s="1324" t="s">
        <v>138</v>
      </c>
      <c r="C1738" s="1324"/>
      <c r="D1738" s="1078"/>
      <c r="E1738" s="1091">
        <f>VLOOKUP($B1738,DG!A:D,DG!$B$2,)</f>
        <v>0</v>
      </c>
      <c r="F1738" s="1080" t="str">
        <f>VLOOKUP($B1738,DG!A:D,DG!$C$2,)</f>
        <v>Boulon 12x40+ 2 long đền vuông D14-50x50x3/Zn</v>
      </c>
      <c r="G1738" s="1091" t="str">
        <f>VLOOKUP($B1738,DG!A:D,DG!$D$2,)</f>
        <v>bộ</v>
      </c>
      <c r="H1738" s="1851">
        <f>H1734*2</f>
        <v>0</v>
      </c>
      <c r="I1738" s="1259">
        <f t="shared" si="108"/>
        <v>0</v>
      </c>
      <c r="J1738" s="1108"/>
      <c r="K1738" s="1108"/>
      <c r="L1738" s="1082"/>
      <c r="M1738" s="975">
        <v>400</v>
      </c>
    </row>
    <row r="1739" spans="1:13" s="1083" customFormat="1" ht="25.2" hidden="1" customHeight="1">
      <c r="A1739" s="1153">
        <f t="shared" si="107"/>
        <v>0</v>
      </c>
      <c r="B1739" s="1324" t="s">
        <v>2248</v>
      </c>
      <c r="C1739" s="1324"/>
      <c r="D1739" s="1078"/>
      <c r="E1739" s="1091" t="str">
        <f>VLOOKUP($B1739,DG!A:D,DG!$B$2,)</f>
        <v>05.6044</v>
      </c>
      <c r="F1739" s="1080" t="str">
        <f>VLOOKUP($B1739,DG!A:D,DG!$C$2,)</f>
        <v>Lắp xà cột Pi loại ≤140kg/xà</v>
      </c>
      <c r="G1739" s="1091" t="str">
        <f>VLOOKUP($B1739,DG!A:D,DG!$D$2,)</f>
        <v>bộ</v>
      </c>
      <c r="H1739" s="1851">
        <f>H1734/2</f>
        <v>0</v>
      </c>
      <c r="I1739" s="1259">
        <f t="shared" si="108"/>
        <v>0</v>
      </c>
      <c r="J1739" s="1108"/>
      <c r="K1739" s="1108"/>
      <c r="L1739" s="1082"/>
      <c r="M1739" s="975">
        <v>400</v>
      </c>
    </row>
    <row r="1740" spans="1:13" s="1083" customFormat="1" ht="25.2" hidden="1" customHeight="1">
      <c r="A1740" s="1153">
        <f t="shared" si="107"/>
        <v>0</v>
      </c>
      <c r="B1740" s="1324" t="s">
        <v>217</v>
      </c>
      <c r="C1740" s="1324"/>
      <c r="D1740" s="1078"/>
      <c r="E1740" s="1091" t="str">
        <f>VLOOKUP($B1740,DG!A:D,DG!$B$2,)</f>
        <v>02.1115</v>
      </c>
      <c r="F1740" s="1080" t="str">
        <f>VLOOKUP($B1740,DG!A:D,DG!$C$2,)</f>
        <v>Bốc dỡ xà, thép thanh</v>
      </c>
      <c r="G1740" s="1091" t="str">
        <f>VLOOKUP($B1740,DG!A:D,DG!$D$2,)</f>
        <v>tấn</v>
      </c>
      <c r="H1740" s="1851">
        <f>0.05*0</f>
        <v>0</v>
      </c>
      <c r="I1740" s="1259">
        <f t="shared" si="108"/>
        <v>0</v>
      </c>
      <c r="J1740" s="1108"/>
      <c r="K1740" s="1108"/>
      <c r="L1740" s="1082"/>
      <c r="M1740" s="975">
        <v>400</v>
      </c>
    </row>
    <row r="1741" spans="1:13" s="1083" customFormat="1" ht="25.2" hidden="1" customHeight="1">
      <c r="A1741" s="1153">
        <f t="shared" si="107"/>
        <v>0</v>
      </c>
      <c r="B1741" s="1324" t="s">
        <v>1613</v>
      </c>
      <c r="C1741" s="1324"/>
      <c r="D1741" s="1078"/>
      <c r="E1741" s="1091">
        <f>VLOOKUP($B1741,DG!A:D,DG!$B$2,)</f>
        <v>0</v>
      </c>
      <c r="F1741" s="1080" t="str">
        <f>VLOOKUP($B1741,DG!A:D,DG!$C$2,)</f>
        <v>Boulon 16x300+ 2 long đền vuông D18-50x50x3/Zn</v>
      </c>
      <c r="G1741" s="1079" t="s">
        <v>2445</v>
      </c>
      <c r="H1741" s="1851">
        <f>H1734*2*0</f>
        <v>0</v>
      </c>
      <c r="I1741" s="1259">
        <f t="shared" si="108"/>
        <v>0</v>
      </c>
      <c r="J1741" s="1108"/>
      <c r="K1741" s="1108"/>
      <c r="L1741" s="1082"/>
      <c r="M1741" s="975">
        <v>400</v>
      </c>
    </row>
    <row r="1742" spans="1:13" s="1083" customFormat="1" ht="25.2" hidden="1" customHeight="1">
      <c r="A1742" s="1153">
        <f t="shared" si="107"/>
        <v>0</v>
      </c>
      <c r="B1742" s="1324" t="s">
        <v>1612</v>
      </c>
      <c r="C1742" s="1324"/>
      <c r="D1742" s="1078"/>
      <c r="E1742" s="1091">
        <f>VLOOKUP($B1742,DG!A:D,DG!$B$2,)</f>
        <v>0</v>
      </c>
      <c r="F1742" s="1080" t="str">
        <f>VLOOKUP($B1742,DG!A:D,DG!$C$2,)</f>
        <v>Boulon 16x250+ 2 long đền vuông D18-50x50x3/Zn</v>
      </c>
      <c r="G1742" s="1079" t="s">
        <v>2445</v>
      </c>
      <c r="H1742" s="1851">
        <f>2*H1734*2*0</f>
        <v>0</v>
      </c>
      <c r="I1742" s="1259">
        <f t="shared" si="108"/>
        <v>0</v>
      </c>
      <c r="J1742" s="1108"/>
      <c r="K1742" s="1108"/>
      <c r="L1742" s="1082"/>
      <c r="M1742" s="975">
        <v>400</v>
      </c>
    </row>
    <row r="1743" spans="1:13" s="1083" customFormat="1" ht="25.2" hidden="1" customHeight="1" collapsed="1">
      <c r="A1743" s="1153">
        <f t="shared" si="107"/>
        <v>0</v>
      </c>
      <c r="B1743" s="1324"/>
      <c r="C1743" s="1324"/>
      <c r="D1743" s="1084">
        <f>IF(H1743&gt;0,D1734+1,D1734)</f>
        <v>0</v>
      </c>
      <c r="E1743" s="1085"/>
      <c r="F1743" s="1130" t="s">
        <v>3736</v>
      </c>
      <c r="G1743" s="1084" t="s">
        <v>2391</v>
      </c>
      <c r="H1743" s="1867">
        <f>H1682*0</f>
        <v>0</v>
      </c>
      <c r="I1743" s="1259">
        <f t="shared" si="108"/>
        <v>0</v>
      </c>
      <c r="J1743" s="1081"/>
      <c r="K1743" s="1081"/>
      <c r="L1743" s="1110"/>
      <c r="M1743" s="975">
        <v>400</v>
      </c>
    </row>
    <row r="1744" spans="1:13" s="1083" customFormat="1" ht="25.2" hidden="1" customHeight="1">
      <c r="A1744" s="1153">
        <f t="shared" si="107"/>
        <v>0</v>
      </c>
      <c r="B1744" s="1324"/>
      <c r="C1744" s="1324"/>
      <c r="D1744" s="1078"/>
      <c r="E1744" s="1088"/>
      <c r="F1744" s="1367" t="s">
        <v>2285</v>
      </c>
      <c r="G1744" s="1090"/>
      <c r="H1744" s="1851"/>
      <c r="I1744" s="1259">
        <f t="shared" si="108"/>
        <v>0</v>
      </c>
      <c r="J1744" s="1081"/>
      <c r="K1744" s="1081"/>
      <c r="L1744" s="1110"/>
      <c r="M1744" s="975">
        <v>400</v>
      </c>
    </row>
    <row r="1745" spans="1:13" s="1083" customFormat="1" ht="25.2" hidden="1" customHeight="1">
      <c r="A1745" s="1153">
        <f t="shared" si="107"/>
        <v>0</v>
      </c>
      <c r="B1745" s="1324" t="s">
        <v>2026</v>
      </c>
      <c r="C1745" s="1324"/>
      <c r="D1745" s="1078"/>
      <c r="E1745" s="1091">
        <f>VLOOKUP($B1745,DG!A:D,DG!$B$2,)</f>
        <v>0</v>
      </c>
      <c r="F1745" s="1080" t="str">
        <f>VLOOKUP($B1745,DG!A:D,DG!$C$2,)</f>
        <v>Sắt góc L75 x75 x8</v>
      </c>
      <c r="G1745" s="1079" t="s">
        <v>2254</v>
      </c>
      <c r="H1745" s="1851">
        <f>H1743*9.02*(2.4+4*0.07)*2</f>
        <v>0</v>
      </c>
      <c r="I1745" s="1259">
        <f t="shared" si="108"/>
        <v>0</v>
      </c>
      <c r="J1745" s="1081"/>
      <c r="K1745" s="1081"/>
      <c r="L1745" s="1110"/>
      <c r="M1745" s="975">
        <v>400</v>
      </c>
    </row>
    <row r="1746" spans="1:13" s="1083" customFormat="1" ht="25.2" hidden="1" customHeight="1">
      <c r="A1746" s="1153">
        <f t="shared" si="107"/>
        <v>0</v>
      </c>
      <c r="B1746" s="1324" t="s">
        <v>1035</v>
      </c>
      <c r="C1746" s="1324"/>
      <c r="D1746" s="1078"/>
      <c r="E1746" s="1091">
        <f>VLOOKUP($B1746,DG!A:D,DG!$B$2,)</f>
        <v>0</v>
      </c>
      <c r="F1746" s="1080" t="str">
        <f>VLOOKUP($B1746,DG!A:D,DG!$C$2,)&amp;" (Thanh choáng 810)"</f>
        <v>Sắt góc L50 x50 x5 (Thanh choáng 810)</v>
      </c>
      <c r="G1746" s="1079" t="s">
        <v>2254</v>
      </c>
      <c r="H1746" s="1851">
        <f>H1743*3.77*0.81*4</f>
        <v>0</v>
      </c>
      <c r="I1746" s="1259">
        <f t="shared" si="108"/>
        <v>0</v>
      </c>
      <c r="J1746" s="1081"/>
      <c r="K1746" s="1081"/>
      <c r="L1746" s="1110"/>
      <c r="M1746" s="975">
        <v>400</v>
      </c>
    </row>
    <row r="1747" spans="1:13" s="1083" customFormat="1" ht="25.2" hidden="1" customHeight="1">
      <c r="A1747" s="1153">
        <f t="shared" si="107"/>
        <v>0</v>
      </c>
      <c r="B1747" s="1324" t="s">
        <v>1613</v>
      </c>
      <c r="C1747" s="1324"/>
      <c r="D1747" s="1078"/>
      <c r="E1747" s="1091">
        <f>VLOOKUP($B1747,DG!A:D,DG!$B$2,)</f>
        <v>0</v>
      </c>
      <c r="F1747" s="1080" t="str">
        <f>VLOOKUP($B1747,DG!A:D,DG!$C$2,)</f>
        <v>Boulon 16x300+ 2 long đền vuông D18-50x50x3/Zn</v>
      </c>
      <c r="G1747" s="1079" t="s">
        <v>2445</v>
      </c>
      <c r="H1747" s="1851">
        <f>H1743*2</f>
        <v>0</v>
      </c>
      <c r="I1747" s="1259">
        <f t="shared" si="108"/>
        <v>0</v>
      </c>
      <c r="J1747" s="1081"/>
      <c r="K1747" s="1081"/>
      <c r="L1747" s="1110"/>
      <c r="M1747" s="975">
        <v>400</v>
      </c>
    </row>
    <row r="1748" spans="1:13" s="1083" customFormat="1" ht="25.2" hidden="1" customHeight="1">
      <c r="A1748" s="1153">
        <f t="shared" si="107"/>
        <v>0</v>
      </c>
      <c r="B1748" s="1324" t="s">
        <v>1790</v>
      </c>
      <c r="C1748" s="1324"/>
      <c r="D1748" s="1078"/>
      <c r="E1748" s="1091">
        <f>VLOOKUP($B1748,DG!A:D,DG!$B$2,)</f>
        <v>0</v>
      </c>
      <c r="F1748" s="1080" t="str">
        <f>VLOOKUP($B1748,DG!A:D,DG!$C$2,)</f>
        <v>Boulon 16x50+ 2 long đền vuông D18-50x50x3/Zn</v>
      </c>
      <c r="G1748" s="1079" t="s">
        <v>2445</v>
      </c>
      <c r="H1748" s="1851">
        <f>H1743*4</f>
        <v>0</v>
      </c>
      <c r="I1748" s="1259">
        <f t="shared" si="108"/>
        <v>0</v>
      </c>
      <c r="J1748" s="1081"/>
      <c r="K1748" s="1081"/>
      <c r="L1748" s="1110"/>
      <c r="M1748" s="975">
        <v>400</v>
      </c>
    </row>
    <row r="1749" spans="1:13" s="1083" customFormat="1" ht="25.2" hidden="1" customHeight="1">
      <c r="A1749" s="1153">
        <f t="shared" si="107"/>
        <v>0</v>
      </c>
      <c r="B1749" s="1324" t="s">
        <v>1788</v>
      </c>
      <c r="C1749" s="1324"/>
      <c r="D1749" s="1078"/>
      <c r="E1749" s="1091">
        <f>VLOOKUP($B1749,DG!A:D,DG!$B$2,)</f>
        <v>0</v>
      </c>
      <c r="F1749" s="1080" t="str">
        <f>VLOOKUP($B1749,DG!A:D,DG!$C$2,)</f>
        <v>Boulon 16x300VRS+ 4 long đền vuông D18-50x50x3/Zn</v>
      </c>
      <c r="G1749" s="1079" t="s">
        <v>2445</v>
      </c>
      <c r="H1749" s="1851">
        <f>H1743*4</f>
        <v>0</v>
      </c>
      <c r="I1749" s="1259">
        <f t="shared" si="108"/>
        <v>0</v>
      </c>
      <c r="J1749" s="1081"/>
      <c r="K1749" s="1081"/>
      <c r="L1749" s="1110"/>
      <c r="M1749" s="975">
        <v>400</v>
      </c>
    </row>
    <row r="1750" spans="1:13" s="1083" customFormat="1" ht="25.2" hidden="1" customHeight="1">
      <c r="A1750" s="1153">
        <f t="shared" si="107"/>
        <v>0</v>
      </c>
      <c r="B1750" s="1324" t="s">
        <v>517</v>
      </c>
      <c r="C1750" s="1324"/>
      <c r="D1750" s="1078"/>
      <c r="E1750" s="1091" t="str">
        <f>VLOOKUP($B1750,DG!A:D,DG!$B$2,)</f>
        <v>05.6203</v>
      </c>
      <c r="F1750" s="1080" t="str">
        <f>VLOOKUP($B1750,DG!A:D,DG!$C$2,)</f>
        <v>Lắp xà néo ≤ 100kg</v>
      </c>
      <c r="G1750" s="1079" t="s">
        <v>2445</v>
      </c>
      <c r="H1750" s="1851">
        <f>H1743</f>
        <v>0</v>
      </c>
      <c r="I1750" s="1259">
        <f t="shared" si="108"/>
        <v>0</v>
      </c>
      <c r="J1750" s="1081"/>
      <c r="K1750" s="1081"/>
      <c r="L1750" s="1110"/>
      <c r="M1750" s="975">
        <v>400</v>
      </c>
    </row>
    <row r="1751" spans="1:13" s="1083" customFormat="1" ht="25.2" hidden="1" customHeight="1">
      <c r="A1751" s="1153">
        <f t="shared" si="107"/>
        <v>0</v>
      </c>
      <c r="B1751" s="1324"/>
      <c r="C1751" s="1324"/>
      <c r="D1751" s="1084">
        <f>IF(H1751&gt;0,D1743+1,D1743)</f>
        <v>0</v>
      </c>
      <c r="E1751" s="1085"/>
      <c r="F1751" s="1130" t="s">
        <v>3737</v>
      </c>
      <c r="G1751" s="1084" t="s">
        <v>2391</v>
      </c>
      <c r="H1751" s="1867">
        <f>H1682*1*0</f>
        <v>0</v>
      </c>
      <c r="I1751" s="1259">
        <f t="shared" si="108"/>
        <v>0</v>
      </c>
      <c r="J1751" s="1081"/>
      <c r="K1751" s="1081"/>
      <c r="L1751" s="1110"/>
      <c r="M1751" s="975">
        <v>400</v>
      </c>
    </row>
    <row r="1752" spans="1:13" s="1083" customFormat="1" ht="25.2" hidden="1" customHeight="1">
      <c r="A1752" s="1153">
        <f t="shared" si="107"/>
        <v>0</v>
      </c>
      <c r="B1752" s="1324"/>
      <c r="C1752" s="1324"/>
      <c r="D1752" s="1078"/>
      <c r="E1752" s="1088"/>
      <c r="F1752" s="1367" t="s">
        <v>2285</v>
      </c>
      <c r="G1752" s="1090"/>
      <c r="H1752" s="1851"/>
      <c r="I1752" s="1259">
        <f t="shared" si="108"/>
        <v>0</v>
      </c>
      <c r="J1752" s="1081"/>
      <c r="K1752" s="1081"/>
      <c r="L1752" s="1110"/>
      <c r="M1752" s="975">
        <v>400</v>
      </c>
    </row>
    <row r="1753" spans="1:13" s="1083" customFormat="1" ht="25.2" hidden="1" customHeight="1">
      <c r="A1753" s="1153">
        <f t="shared" si="107"/>
        <v>0</v>
      </c>
      <c r="B1753" s="1324" t="s">
        <v>2026</v>
      </c>
      <c r="C1753" s="1324"/>
      <c r="D1753" s="1078"/>
      <c r="E1753" s="1091">
        <f>VLOOKUP($B1753,DG!A:D,DG!$B$2,)</f>
        <v>0</v>
      </c>
      <c r="F1753" s="1080" t="str">
        <f>VLOOKUP($B1753,DG!A:D,DG!$C$2,)</f>
        <v>Sắt góc L75 x75 x8</v>
      </c>
      <c r="G1753" s="1079" t="s">
        <v>2254</v>
      </c>
      <c r="H1753" s="1851">
        <f>H1751*9.02*(2.4+4*0.07)</f>
        <v>0</v>
      </c>
      <c r="I1753" s="1259">
        <f t="shared" si="108"/>
        <v>0</v>
      </c>
      <c r="J1753" s="1081"/>
      <c r="K1753" s="1081"/>
      <c r="L1753" s="1110"/>
      <c r="M1753" s="975">
        <v>400</v>
      </c>
    </row>
    <row r="1754" spans="1:13" s="1083" customFormat="1" ht="25.2" hidden="1" customHeight="1">
      <c r="A1754" s="1153">
        <f t="shared" ref="A1754:A1817" si="109">IF(I1754&gt;0,1,0)</f>
        <v>0</v>
      </c>
      <c r="B1754" s="1324" t="s">
        <v>1035</v>
      </c>
      <c r="C1754" s="1324"/>
      <c r="D1754" s="1078"/>
      <c r="E1754" s="1091">
        <f>VLOOKUP($B1754,DG!A:D,DG!$B$2,)</f>
        <v>0</v>
      </c>
      <c r="F1754" s="1080" t="str">
        <f>VLOOKUP($B1754,DG!A:D,DG!$C$2,)&amp;" (Thanh choáng 810)"</f>
        <v>Sắt góc L50 x50 x5 (Thanh choáng 810)</v>
      </c>
      <c r="G1754" s="1079" t="s">
        <v>2254</v>
      </c>
      <c r="H1754" s="1851">
        <f>H1751*3.77*0.81*2</f>
        <v>0</v>
      </c>
      <c r="I1754" s="1259">
        <f t="shared" si="108"/>
        <v>0</v>
      </c>
      <c r="J1754" s="1081"/>
      <c r="K1754" s="1081"/>
      <c r="L1754" s="1110"/>
      <c r="M1754" s="975">
        <v>400</v>
      </c>
    </row>
    <row r="1755" spans="1:13" s="1083" customFormat="1" ht="25.2" hidden="1" customHeight="1">
      <c r="A1755" s="1153">
        <f t="shared" si="109"/>
        <v>0</v>
      </c>
      <c r="B1755" s="1324" t="s">
        <v>1079</v>
      </c>
      <c r="C1755" s="1324"/>
      <c r="D1755" s="1078"/>
      <c r="E1755" s="1091">
        <f>VLOOKUP($B1755,DG!A:D,DG!$B$2,)</f>
        <v>0</v>
      </c>
      <c r="F1755" s="1080" t="str">
        <f>VLOOKUP($B1755,DG!A:D,DG!$C$2,)</f>
        <v>Boulon 16x350+ 2 long đền vuông D18-50x50x3/Zn</v>
      </c>
      <c r="G1755" s="1079" t="s">
        <v>2445</v>
      </c>
      <c r="H1755" s="1851">
        <f>H1751*2</f>
        <v>0</v>
      </c>
      <c r="I1755" s="1259">
        <f t="shared" si="108"/>
        <v>0</v>
      </c>
      <c r="J1755" s="1081"/>
      <c r="K1755" s="1081"/>
      <c r="L1755" s="1110"/>
      <c r="M1755" s="975">
        <v>400</v>
      </c>
    </row>
    <row r="1756" spans="1:13" s="1083" customFormat="1" ht="25.2" hidden="1" customHeight="1">
      <c r="A1756" s="1153">
        <f t="shared" si="109"/>
        <v>0</v>
      </c>
      <c r="B1756" s="1324" t="s">
        <v>1790</v>
      </c>
      <c r="C1756" s="1324"/>
      <c r="D1756" s="1078"/>
      <c r="E1756" s="1091">
        <f>VLOOKUP($B1756,DG!A:D,DG!$B$2,)</f>
        <v>0</v>
      </c>
      <c r="F1756" s="1080" t="str">
        <f>VLOOKUP($B1756,DG!A:D,DG!$C$2,)</f>
        <v>Boulon 16x50+ 2 long đền vuông D18-50x50x3/Zn</v>
      </c>
      <c r="G1756" s="1079" t="s">
        <v>2445</v>
      </c>
      <c r="H1756" s="1851">
        <f>H1751*2</f>
        <v>0</v>
      </c>
      <c r="I1756" s="1259">
        <f t="shared" si="108"/>
        <v>0</v>
      </c>
      <c r="J1756" s="1081"/>
      <c r="K1756" s="1081"/>
      <c r="L1756" s="1110"/>
      <c r="M1756" s="975">
        <v>400</v>
      </c>
    </row>
    <row r="1757" spans="1:13" s="1083" customFormat="1" ht="25.2" hidden="1" customHeight="1">
      <c r="A1757" s="1153">
        <f t="shared" si="109"/>
        <v>0</v>
      </c>
      <c r="B1757" s="1324" t="s">
        <v>1739</v>
      </c>
      <c r="C1757" s="1324"/>
      <c r="D1757" s="1078"/>
      <c r="E1757" s="1091">
        <f>VLOOKUP($B1757,DG!A:D,DG!$B$2,)</f>
        <v>0</v>
      </c>
      <c r="F1757" s="1080" t="str">
        <f>VLOOKUP($B1757,DG!A:D,DG!$C$2,)</f>
        <v>Bass LI bắt FCO</v>
      </c>
      <c r="G1757" s="1079" t="s">
        <v>2445</v>
      </c>
      <c r="H1757" s="1851">
        <f>IF(H1751&gt;0,3,)</f>
        <v>0</v>
      </c>
      <c r="I1757" s="1259">
        <f t="shared" si="108"/>
        <v>0</v>
      </c>
      <c r="J1757" s="1081"/>
      <c r="K1757" s="1081"/>
      <c r="L1757" s="1110"/>
      <c r="M1757" s="975">
        <v>400</v>
      </c>
    </row>
    <row r="1758" spans="1:13" s="1083" customFormat="1" ht="25.2" hidden="1" customHeight="1">
      <c r="A1758" s="1153">
        <f t="shared" si="109"/>
        <v>0</v>
      </c>
      <c r="B1758" s="1324" t="s">
        <v>988</v>
      </c>
      <c r="C1758" s="1324"/>
      <c r="D1758" s="1078"/>
      <c r="E1758" s="1091" t="str">
        <f>VLOOKUP($B1758,DG!A:D,DG!$B$2,)</f>
        <v>06.3231</v>
      </c>
      <c r="F1758" s="1080" t="str">
        <f>VLOOKUP($B1758,DG!A:D,DG!$C$2,)</f>
        <v xml:space="preserve">Cổ dê chống lắc 8x80x800 </v>
      </c>
      <c r="G1758" s="1079" t="s">
        <v>2445</v>
      </c>
      <c r="H1758" s="1851">
        <f>H1751*0</f>
        <v>0</v>
      </c>
      <c r="I1758" s="1259">
        <f t="shared" si="108"/>
        <v>0</v>
      </c>
      <c r="J1758" s="1081"/>
      <c r="K1758" s="1081"/>
      <c r="L1758" s="1110"/>
      <c r="M1758" s="975">
        <v>400</v>
      </c>
    </row>
    <row r="1759" spans="1:13" s="1083" customFormat="1" ht="25.2" hidden="1" customHeight="1">
      <c r="A1759" s="1153">
        <f t="shared" si="109"/>
        <v>0</v>
      </c>
      <c r="B1759" s="1324" t="s">
        <v>1443</v>
      </c>
      <c r="C1759" s="1324"/>
      <c r="D1759" s="1078"/>
      <c r="E1759" s="1091" t="str">
        <f>VLOOKUP($B1759,DG!A:D,DG!$B$2,)</f>
        <v>05.6102</v>
      </c>
      <c r="F1759" s="1080" t="str">
        <f>VLOOKUP($B1759,DG!A:D,DG!$C$2,)</f>
        <v>Lắp xà đỡ ≤ 50kg</v>
      </c>
      <c r="G1759" s="1079" t="s">
        <v>2445</v>
      </c>
      <c r="H1759" s="1851">
        <f>H1751</f>
        <v>0</v>
      </c>
      <c r="I1759" s="1259">
        <f t="shared" si="108"/>
        <v>0</v>
      </c>
      <c r="J1759" s="1081"/>
      <c r="K1759" s="1081"/>
      <c r="L1759" s="1110"/>
      <c r="M1759" s="975">
        <v>400</v>
      </c>
    </row>
    <row r="1760" spans="1:13" s="1083" customFormat="1" ht="25.2" hidden="1" customHeight="1">
      <c r="A1760" s="1153">
        <f t="shared" si="109"/>
        <v>0</v>
      </c>
      <c r="B1760" s="1324"/>
      <c r="C1760" s="1324"/>
      <c r="D1760" s="1084">
        <f>IF(H1760&gt;0,D1751+1,D1751)</f>
        <v>0</v>
      </c>
      <c r="E1760" s="1085"/>
      <c r="F1760" s="1130" t="s">
        <v>3738</v>
      </c>
      <c r="G1760" s="1084" t="s">
        <v>2391</v>
      </c>
      <c r="H1760" s="1867">
        <f>H1682</f>
        <v>0</v>
      </c>
      <c r="I1760" s="1259">
        <f t="shared" si="108"/>
        <v>0</v>
      </c>
      <c r="J1760" s="1081"/>
      <c r="K1760" s="1081"/>
      <c r="L1760" s="1110"/>
      <c r="M1760" s="975">
        <v>400</v>
      </c>
    </row>
    <row r="1761" spans="1:13" s="1083" customFormat="1" ht="25.2" hidden="1" customHeight="1">
      <c r="A1761" s="1153">
        <f t="shared" si="109"/>
        <v>0</v>
      </c>
      <c r="B1761" s="1355"/>
      <c r="C1761" s="1355"/>
      <c r="D1761" s="1078"/>
      <c r="E1761" s="1088"/>
      <c r="F1761" s="1367" t="s">
        <v>2285</v>
      </c>
      <c r="G1761" s="1090"/>
      <c r="H1761" s="1851"/>
      <c r="I1761" s="1259">
        <f t="shared" si="108"/>
        <v>0</v>
      </c>
      <c r="J1761" s="1081"/>
      <c r="K1761" s="1081"/>
      <c r="L1761" s="1110"/>
      <c r="M1761" s="975">
        <v>400</v>
      </c>
    </row>
    <row r="1762" spans="1:13" s="1083" customFormat="1" ht="25.2" hidden="1" customHeight="1">
      <c r="A1762" s="1153">
        <f t="shared" si="109"/>
        <v>0</v>
      </c>
      <c r="B1762" s="1324" t="s">
        <v>1033</v>
      </c>
      <c r="C1762" s="1324"/>
      <c r="D1762" s="1078"/>
      <c r="E1762" s="1079">
        <f>VLOOKUP($B1762,DG!A:D,DG!$B$2,)</f>
        <v>0</v>
      </c>
      <c r="F1762" s="1080" t="str">
        <f>VLOOKUP($B1762,DG!A:D,DG!$C$2,)</f>
        <v>Cáp đồng trần M25mm2</v>
      </c>
      <c r="G1762" s="1091" t="str">
        <f>VLOOKUP($B1762,DG!A:D,DG!$D$2,)</f>
        <v>kg</v>
      </c>
      <c r="H1762" s="1851">
        <f>53*0.224*H1760</f>
        <v>0</v>
      </c>
      <c r="I1762" s="1259">
        <f t="shared" si="108"/>
        <v>0</v>
      </c>
      <c r="J1762" s="1081"/>
      <c r="K1762" s="1081"/>
      <c r="L1762" s="1110"/>
      <c r="M1762" s="975">
        <v>400</v>
      </c>
    </row>
    <row r="1763" spans="1:13" s="1083" customFormat="1" ht="25.2" hidden="1" customHeight="1">
      <c r="A1763" s="1153">
        <f t="shared" si="109"/>
        <v>0</v>
      </c>
      <c r="B1763" s="1324" t="s">
        <v>1033</v>
      </c>
      <c r="C1763" s="1324"/>
      <c r="D1763" s="1078"/>
      <c r="E1763" s="1079">
        <f>VLOOKUP($B1763,DG!A:D,DG!$B$2,)</f>
        <v>0</v>
      </c>
      <c r="F1763" s="1080" t="str">
        <f>VLOOKUP($B1763,DG!A:D,DG!$C$2,)&amp;": 17m noái leân voû caùc thieát bò"</f>
        <v>Cáp đồng trần M25mm2: 17m noái leân voû caùc thieát bò</v>
      </c>
      <c r="G1763" s="1079" t="str">
        <f>VLOOKUP($B1763,DG!A:D,DG!$D$2,)</f>
        <v>kg</v>
      </c>
      <c r="H1763" s="1851">
        <f>17*0.224*H1760*0</f>
        <v>0</v>
      </c>
      <c r="I1763" s="1259">
        <f t="shared" si="108"/>
        <v>0</v>
      </c>
      <c r="J1763" s="1081"/>
      <c r="K1763" s="1081"/>
      <c r="L1763" s="1110"/>
      <c r="M1763" s="975">
        <v>400</v>
      </c>
    </row>
    <row r="1764" spans="1:13" s="1083" customFormat="1" ht="25.2" hidden="1" customHeight="1">
      <c r="A1764" s="1153">
        <f t="shared" si="109"/>
        <v>0</v>
      </c>
      <c r="B1764" s="1154" t="s">
        <v>1511</v>
      </c>
      <c r="C1764" s="1154"/>
      <c r="D1764" s="1078"/>
      <c r="E1764" s="1079">
        <f>VLOOKUP($B1764,DG!A:D,DG!$B$2,)</f>
        <v>0</v>
      </c>
      <c r="F1764" s="1080" t="str">
        <f>VLOOKUP($B1764,DG!A:D,DG!$C$2,)</f>
        <v>Cọc tiếp đất Þ 16- 2,4m + kẹp cọc mạ đồng</v>
      </c>
      <c r="G1764" s="1091" t="str">
        <f>VLOOKUP($B1764,DG!A:D,DG!$D$2,)</f>
        <v>bộ</v>
      </c>
      <c r="H1764" s="1851"/>
      <c r="I1764" s="1259">
        <f t="shared" si="108"/>
        <v>0</v>
      </c>
      <c r="J1764" s="1081"/>
      <c r="K1764" s="1081"/>
      <c r="L1764" s="1110"/>
      <c r="M1764" s="975">
        <v>400</v>
      </c>
    </row>
    <row r="1765" spans="1:13" s="1083" customFormat="1" ht="25.2" hidden="1" customHeight="1">
      <c r="A1765" s="1153">
        <f t="shared" si="109"/>
        <v>0</v>
      </c>
      <c r="B1765" s="1154" t="s">
        <v>1493</v>
      </c>
      <c r="C1765" s="1154"/>
      <c r="D1765" s="1078"/>
      <c r="E1765" s="1079" t="str">
        <f>VLOOKUP($B1765,DG!A:D,DG!$B$2,)</f>
        <v>07.2403</v>
      </c>
      <c r="F1765" s="1080" t="str">
        <f>VLOOKUP($B1765,DG!A:D,DG!$C$2,)</f>
        <v xml:space="preserve">Ống PVC D21x1,6mm </v>
      </c>
      <c r="G1765" s="1079" t="str">
        <f>VLOOKUP($B1765,DG!A:D,DG!$D$2,)</f>
        <v>m</v>
      </c>
      <c r="H1765" s="1851">
        <f>H1760*12</f>
        <v>0</v>
      </c>
      <c r="I1765" s="1259">
        <f t="shared" si="108"/>
        <v>0</v>
      </c>
      <c r="J1765" s="1081"/>
      <c r="K1765" s="1081"/>
      <c r="L1765" s="1082"/>
      <c r="M1765" s="975">
        <v>400</v>
      </c>
    </row>
    <row r="1766" spans="1:13" s="1083" customFormat="1" ht="25.2" hidden="1" customHeight="1">
      <c r="A1766" s="1153">
        <f t="shared" si="109"/>
        <v>0</v>
      </c>
      <c r="B1766" s="1329" t="s">
        <v>1582</v>
      </c>
      <c r="C1766" s="1329"/>
      <c r="D1766" s="1078"/>
      <c r="E1766" s="1079">
        <f>VLOOKUP($B1766,DG!A:D,DG!$B$2,)</f>
        <v>0</v>
      </c>
      <c r="F1766" s="1080" t="str">
        <f>VLOOKUP($B1766,DG!A:D,DG!$C$2,)&amp; " bắt dây trung tính "</f>
        <v xml:space="preserve">Kẹp ép WR cỡ dây 50mm2 bắt dây trung tính </v>
      </c>
      <c r="G1766" s="1091" t="str">
        <f>VLOOKUP($B1766,DG!A:D,DG!$D$2,)</f>
        <v>cái</v>
      </c>
      <c r="H1766" s="1851">
        <f>2*H1760</f>
        <v>0</v>
      </c>
      <c r="I1766" s="1259">
        <f t="shared" si="108"/>
        <v>0</v>
      </c>
      <c r="J1766" s="1081"/>
      <c r="K1766" s="1081"/>
      <c r="L1766" s="1110"/>
      <c r="M1766" s="975">
        <v>400</v>
      </c>
    </row>
    <row r="1767" spans="1:13" s="1083" customFormat="1" ht="25.2" hidden="1" customHeight="1">
      <c r="A1767" s="1153">
        <f t="shared" si="109"/>
        <v>0</v>
      </c>
      <c r="B1767" s="1329" t="s">
        <v>816</v>
      </c>
      <c r="C1767" s="1329"/>
      <c r="D1767" s="1132"/>
      <c r="E1767" s="1079" t="str">
        <f>VLOOKUP($B1767,DG!A:D,DG!$B$2,)</f>
        <v>04.3107</v>
      </c>
      <c r="F1767" s="1080" t="str">
        <f>VLOOKUP($B1767,DG!A:D,DG!$C$2,)&amp;":bắt lưới TĐ"</f>
        <v>Ốc siết cáp cỡ 25mm2:bắt lưới TĐ</v>
      </c>
      <c r="G1767" s="1091" t="str">
        <f>VLOOKUP($B1767,DG!A:D,DG!$D$2,)</f>
        <v>cái</v>
      </c>
      <c r="H1767" s="1889">
        <f>H1760*10</f>
        <v>0</v>
      </c>
      <c r="I1767" s="1259">
        <f t="shared" si="108"/>
        <v>0</v>
      </c>
      <c r="J1767" s="1081"/>
      <c r="K1767" s="1081"/>
      <c r="L1767" s="1110"/>
      <c r="M1767" s="975">
        <v>400</v>
      </c>
    </row>
    <row r="1768" spans="1:13" s="1083" customFormat="1" ht="25.2" hidden="1" customHeight="1">
      <c r="A1768" s="1153">
        <f t="shared" si="109"/>
        <v>0</v>
      </c>
      <c r="B1768" s="1154" t="s">
        <v>138</v>
      </c>
      <c r="C1768" s="1154"/>
      <c r="D1768" s="1078"/>
      <c r="E1768" s="1079">
        <f>VLOOKUP($B1768,DG!A:D,DG!$B$2,)</f>
        <v>0</v>
      </c>
      <c r="F1768" s="1080" t="str">
        <f>VLOOKUP($B1768,DG!A:D,DG!$C$2,)</f>
        <v>Boulon 12x40+ 2 long đền vuông D14-50x50x3/Zn</v>
      </c>
      <c r="G1768" s="1091" t="str">
        <f>VLOOKUP($B1768,DG!A:D,DG!$D$2,)</f>
        <v>bộ</v>
      </c>
      <c r="H1768" s="1851">
        <f>H1760*1</f>
        <v>0</v>
      </c>
      <c r="I1768" s="1259">
        <f t="shared" si="108"/>
        <v>0</v>
      </c>
      <c r="J1768" s="1081"/>
      <c r="K1768" s="1081"/>
      <c r="L1768" s="1110"/>
      <c r="M1768" s="975">
        <v>400</v>
      </c>
    </row>
    <row r="1769" spans="1:13" s="1083" customFormat="1" ht="25.2" hidden="1" customHeight="1">
      <c r="A1769" s="1153">
        <f t="shared" si="109"/>
        <v>0</v>
      </c>
      <c r="B1769" s="1154" t="s">
        <v>104</v>
      </c>
      <c r="C1769" s="1154"/>
      <c r="D1769" s="1078"/>
      <c r="E1769" s="1079" t="str">
        <f>VLOOKUP($B1769,DG!A:D,DG!$B$2,)</f>
        <v>03.4001</v>
      </c>
      <c r="F1769" s="1080" t="str">
        <f>VLOOKUP($B1769,DG!A:D,DG!$C$2,)</f>
        <v>Đầu cosse ép Cu 25mm2</v>
      </c>
      <c r="G1769" s="1091" t="str">
        <f>VLOOKUP($B1769,DG!A:D,DG!$D$2,)</f>
        <v>cái</v>
      </c>
      <c r="H1769" s="1851">
        <f>H1768*2</f>
        <v>0</v>
      </c>
      <c r="I1769" s="1259">
        <f t="shared" si="108"/>
        <v>0</v>
      </c>
      <c r="J1769" s="1081"/>
      <c r="K1769" s="1081"/>
      <c r="L1769" s="1110"/>
      <c r="M1769" s="975">
        <v>400</v>
      </c>
    </row>
    <row r="1770" spans="1:13" s="1083" customFormat="1" ht="25.2" hidden="1" customHeight="1">
      <c r="A1770" s="1153">
        <f t="shared" si="109"/>
        <v>0</v>
      </c>
      <c r="B1770" s="1154" t="s">
        <v>525</v>
      </c>
      <c r="C1770" s="1154"/>
      <c r="D1770" s="1078"/>
      <c r="E1770" s="1079" t="str">
        <f>VLOOKUP($B1770,DG!A:D,DG!$B$2,)</f>
        <v>06.3231</v>
      </c>
      <c r="F1770" s="1080" t="str">
        <f>VLOOKUP($B1770,DG!A:D,DG!$C$2,)&amp;": CD-250"</f>
        <v>Cổ dê kẹp ống PVC  21: CD-250</v>
      </c>
      <c r="G1770" s="1079" t="s">
        <v>2445</v>
      </c>
      <c r="H1770" s="1851">
        <f>1*H1760</f>
        <v>0</v>
      </c>
      <c r="I1770" s="1259">
        <f t="shared" si="108"/>
        <v>0</v>
      </c>
      <c r="J1770" s="1081"/>
      <c r="K1770" s="1081"/>
      <c r="L1770" s="1082"/>
      <c r="M1770" s="975">
        <v>400</v>
      </c>
    </row>
    <row r="1771" spans="1:13" s="1083" customFormat="1" ht="25.2" hidden="1" customHeight="1">
      <c r="A1771" s="1153">
        <f t="shared" si="109"/>
        <v>0</v>
      </c>
      <c r="B1771" s="1154" t="s">
        <v>525</v>
      </c>
      <c r="C1771" s="1154"/>
      <c r="D1771" s="1078"/>
      <c r="E1771" s="1079" t="str">
        <f>VLOOKUP($B1771,DG!A:D,DG!$B$2,)</f>
        <v>06.3231</v>
      </c>
      <c r="F1771" s="1080" t="str">
        <f>VLOOKUP($B1771,DG!A:D,DG!$C$2,)&amp;": CD-280"</f>
        <v>Cổ dê kẹp ống PVC  21: CD-280</v>
      </c>
      <c r="G1771" s="1079" t="s">
        <v>2445</v>
      </c>
      <c r="H1771" s="1851">
        <f>H1770</f>
        <v>0</v>
      </c>
      <c r="I1771" s="1259">
        <f t="shared" si="108"/>
        <v>0</v>
      </c>
      <c r="J1771" s="1081"/>
      <c r="K1771" s="1081"/>
      <c r="L1771" s="1082"/>
      <c r="M1771" s="975">
        <v>400</v>
      </c>
    </row>
    <row r="1772" spans="1:13" s="1083" customFormat="1" ht="25.2" hidden="1" customHeight="1">
      <c r="A1772" s="1153">
        <f t="shared" si="109"/>
        <v>0</v>
      </c>
      <c r="B1772" s="1154" t="s">
        <v>525</v>
      </c>
      <c r="C1772" s="1154"/>
      <c r="D1772" s="1078"/>
      <c r="E1772" s="1079" t="str">
        <f>VLOOKUP($B1772,DG!A:D,DG!$B$2,)</f>
        <v>06.3231</v>
      </c>
      <c r="F1772" s="1080" t="str">
        <f>VLOOKUP($B1772,DG!A:D,DG!$C$2,)&amp;": CD-320"</f>
        <v>Cổ dê kẹp ống PVC  21: CD-320</v>
      </c>
      <c r="G1772" s="1079" t="s">
        <v>2445</v>
      </c>
      <c r="H1772" s="1851">
        <f>H1771</f>
        <v>0</v>
      </c>
      <c r="I1772" s="1259">
        <f t="shared" si="108"/>
        <v>0</v>
      </c>
      <c r="J1772" s="1081"/>
      <c r="K1772" s="1081"/>
      <c r="L1772" s="1082"/>
      <c r="M1772" s="975">
        <v>400</v>
      </c>
    </row>
    <row r="1773" spans="1:13" s="1083" customFormat="1" ht="25.2" hidden="1" customHeight="1">
      <c r="A1773" s="1153">
        <f t="shared" si="109"/>
        <v>0</v>
      </c>
      <c r="B1773" s="1154" t="s">
        <v>1131</v>
      </c>
      <c r="C1773" s="1154"/>
      <c r="D1773" s="1078"/>
      <c r="E1773" s="1079" t="str">
        <f>VLOOKUP($B1773,DG!A:D,DG!$B$2,)</f>
        <v>06.2110</v>
      </c>
      <c r="F1773" s="1080" t="str">
        <f>VLOOKUP($B1773,DG!A:D,DG!$C$2,)</f>
        <v>Lắp cổ dề</v>
      </c>
      <c r="G1773" s="1079" t="str">
        <f>VLOOKUP($B1773,DG!A:D,DG!$D$2,)</f>
        <v>bộ</v>
      </c>
      <c r="H1773" s="1851">
        <f>H1760*3</f>
        <v>0</v>
      </c>
      <c r="I1773" s="1259">
        <f t="shared" si="108"/>
        <v>0</v>
      </c>
      <c r="J1773" s="1081"/>
      <c r="K1773" s="1081"/>
      <c r="L1773" s="1082"/>
      <c r="M1773" s="975">
        <v>400</v>
      </c>
    </row>
    <row r="1774" spans="1:13" s="1083" customFormat="1" ht="25.2" hidden="1" customHeight="1">
      <c r="A1774" s="1153">
        <f t="shared" si="109"/>
        <v>0</v>
      </c>
      <c r="B1774" s="1154" t="s">
        <v>138</v>
      </c>
      <c r="C1774" s="1154"/>
      <c r="D1774" s="1078"/>
      <c r="E1774" s="1079">
        <f>VLOOKUP($B1774,DG!A:D,DG!$B$2,)</f>
        <v>0</v>
      </c>
      <c r="F1774" s="1080" t="str">
        <f>VLOOKUP($B1774,DG!A:D,DG!$C$2,)</f>
        <v>Boulon 12x40+ 2 long đền vuông D14-50x50x3/Zn</v>
      </c>
      <c r="G1774" s="1079" t="str">
        <f>VLOOKUP($B1774,DG!A:D,DG!$D$2,)</f>
        <v>bộ</v>
      </c>
      <c r="H1774" s="1851">
        <f>H1760*6</f>
        <v>0</v>
      </c>
      <c r="I1774" s="1259">
        <f t="shared" si="108"/>
        <v>0</v>
      </c>
      <c r="J1774" s="1081"/>
      <c r="K1774" s="1081"/>
      <c r="L1774" s="1082"/>
      <c r="M1774" s="975">
        <v>400</v>
      </c>
    </row>
    <row r="1775" spans="1:13" s="1083" customFormat="1" ht="25.2" hidden="1" customHeight="1">
      <c r="A1775" s="1153">
        <f t="shared" si="109"/>
        <v>0</v>
      </c>
      <c r="B1775" s="1154" t="s">
        <v>1588</v>
      </c>
      <c r="C1775" s="1154"/>
      <c r="D1775" s="1078"/>
      <c r="E1775" s="1079">
        <f>VLOOKUP($B1775,DG!A:D,DG!$B$2,)</f>
        <v>0</v>
      </c>
      <c r="F1775" s="1080" t="str">
        <f>VLOOKUP($B1775,DG!A:D,DG!$C$2,)</f>
        <v>Giếng tiếp địa khoan đất</v>
      </c>
      <c r="G1775" s="1079" t="str">
        <f>VLOOKUP($B1775,DG!A:D,DG!$D$2,)</f>
        <v>Cái</v>
      </c>
      <c r="H1775" s="1851">
        <f>I2*H1760</f>
        <v>0</v>
      </c>
      <c r="I1775" s="1259">
        <f t="shared" si="108"/>
        <v>0</v>
      </c>
      <c r="J1775" s="1081"/>
      <c r="K1775" s="1081"/>
      <c r="L1775" s="1110"/>
      <c r="M1775" s="975">
        <v>400</v>
      </c>
    </row>
    <row r="1776" spans="1:13" s="1083" customFormat="1" ht="25.2" hidden="1" customHeight="1">
      <c r="A1776" s="1153">
        <f t="shared" si="109"/>
        <v>0</v>
      </c>
      <c r="B1776" s="1154" t="str">
        <f>"DTD"&amp;chitiet!G5</f>
        <v>DTD3</v>
      </c>
      <c r="C1776" s="1154"/>
      <c r="D1776" s="1090"/>
      <c r="E1776" s="1079" t="str">
        <f>VLOOKUP($B1776,DG!A:D,DG!$B$2,)</f>
        <v>03.3123</v>
      </c>
      <c r="F1776" s="1080" t="str">
        <f>VLOOKUP($B1776,DG!A:D,DG!$C$2,)</f>
        <v>Đào rãnh tiếp địa đất cấp 3</v>
      </c>
      <c r="G1776" s="1091" t="str">
        <f>VLOOKUP($B1776,DG!A:D,DG!$D$2,)</f>
        <v>m3</v>
      </c>
      <c r="H1776" s="1167">
        <f>I3*H1760</f>
        <v>0</v>
      </c>
      <c r="I1776" s="1259">
        <f t="shared" si="108"/>
        <v>0</v>
      </c>
      <c r="J1776" s="1081"/>
      <c r="K1776" s="1081"/>
      <c r="L1776" s="1110"/>
      <c r="M1776" s="975">
        <v>400</v>
      </c>
    </row>
    <row r="1777" spans="1:16" s="1083" customFormat="1" ht="25.2" hidden="1" customHeight="1">
      <c r="A1777" s="1153">
        <f t="shared" si="109"/>
        <v>0</v>
      </c>
      <c r="B1777" s="1154" t="str">
        <f>"DATD"&amp;chitiet!G5</f>
        <v>DATD3</v>
      </c>
      <c r="C1777" s="1154"/>
      <c r="D1777" s="1090"/>
      <c r="E1777" s="1079" t="str">
        <f>VLOOKUP($B1777,DG!A:D,DG!$B$2,)</f>
        <v>03.4123</v>
      </c>
      <c r="F1777" s="1080" t="str">
        <f>VLOOKUP($B1777,DG!A:D,DG!$C$2,)</f>
        <v>Đắp đất rãnh tiếp độ chặt k=0,85</v>
      </c>
      <c r="G1777" s="1091" t="str">
        <f>VLOOKUP($B1777,DG!A:D,DG!$D$2,)</f>
        <v>m3</v>
      </c>
      <c r="H1777" s="1167">
        <f>H1776</f>
        <v>0</v>
      </c>
      <c r="I1777" s="1259">
        <f t="shared" si="108"/>
        <v>0</v>
      </c>
      <c r="J1777" s="1081"/>
      <c r="K1777" s="1081"/>
      <c r="L1777" s="1110"/>
      <c r="M1777" s="975">
        <v>400</v>
      </c>
    </row>
    <row r="1778" spans="1:16" s="1083" customFormat="1" ht="25.2" hidden="1" customHeight="1">
      <c r="A1778" s="1153">
        <f t="shared" si="109"/>
        <v>0</v>
      </c>
      <c r="B1778" s="1154" t="s">
        <v>902</v>
      </c>
      <c r="C1778" s="1154"/>
      <c r="D1778" s="1090"/>
      <c r="E1778" s="1079" t="str">
        <f>VLOOKUP($B1778,DG!A:D,DG!$B$2,)</f>
        <v>04.7001</v>
      </c>
      <c r="F1778" s="1080" t="str">
        <f>VLOOKUP($B1778,DG!A:D,DG!$C$2,)</f>
        <v>Đóng cọc tiếp địa trong TBA</v>
      </c>
      <c r="G1778" s="1091" t="str">
        <f>VLOOKUP($B1778,DG!A:D,DG!$D$2,)</f>
        <v>cọc</v>
      </c>
      <c r="H1778" s="1167"/>
      <c r="I1778" s="1259">
        <f t="shared" si="108"/>
        <v>0</v>
      </c>
      <c r="J1778" s="1081"/>
      <c r="K1778" s="1081"/>
      <c r="L1778" s="1110"/>
      <c r="M1778" s="975">
        <v>400</v>
      </c>
    </row>
    <row r="1779" spans="1:16" s="1083" customFormat="1" ht="25.2" hidden="1" customHeight="1">
      <c r="A1779" s="1153">
        <f t="shared" si="109"/>
        <v>0</v>
      </c>
      <c r="B1779" s="1154" t="s">
        <v>1440</v>
      </c>
      <c r="C1779" s="1154"/>
      <c r="D1779" s="1078"/>
      <c r="E1779" s="1079" t="str">
        <f>VLOOKUP($B1779,DG!A:D,DG!$B$2,)</f>
        <v>04.7002</v>
      </c>
      <c r="F1779" s="1080" t="str">
        <f>VLOOKUP($B1779,DG!A:D,DG!$C$2,)</f>
        <v>Kéo dây tiếp địa trong TBA</v>
      </c>
      <c r="G1779" s="1091" t="str">
        <f>VLOOKUP($B1779,DG!A:D,DG!$D$2,)</f>
        <v>mét</v>
      </c>
      <c r="H1779" s="1851">
        <f>H1760*36</f>
        <v>0</v>
      </c>
      <c r="I1779" s="1259">
        <f t="shared" ref="I1779:I1842" si="110">IF(M1779=$M$23,H1779+J1779-K1779,0)</f>
        <v>0</v>
      </c>
      <c r="J1779" s="1081"/>
      <c r="K1779" s="1081"/>
      <c r="L1779" s="1110"/>
      <c r="M1779" s="975">
        <v>400</v>
      </c>
    </row>
    <row r="1780" spans="1:16" s="1083" customFormat="1" ht="25.2" hidden="1" customHeight="1">
      <c r="A1780" s="1153">
        <f t="shared" si="109"/>
        <v>0</v>
      </c>
      <c r="B1780" s="1324"/>
      <c r="C1780" s="1324"/>
      <c r="D1780" s="1084">
        <f>IF(H1780&gt;0,D1760+1,D1760)</f>
        <v>0</v>
      </c>
      <c r="E1780" s="1085"/>
      <c r="F1780" s="1086" t="s">
        <v>3739</v>
      </c>
      <c r="G1780" s="1084" t="s">
        <v>2391</v>
      </c>
      <c r="H1780" s="1867">
        <f>H1687</f>
        <v>0</v>
      </c>
      <c r="I1780" s="1259">
        <f t="shared" si="110"/>
        <v>0</v>
      </c>
      <c r="J1780" s="1081"/>
      <c r="K1780" s="1081"/>
      <c r="L1780" s="1082"/>
      <c r="M1780" s="975">
        <v>400</v>
      </c>
    </row>
    <row r="1781" spans="1:16" s="1083" customFormat="1" ht="25.2" hidden="1" customHeight="1">
      <c r="A1781" s="1153">
        <f t="shared" si="109"/>
        <v>0</v>
      </c>
      <c r="B1781" s="1324"/>
      <c r="C1781" s="1324"/>
      <c r="D1781" s="1078"/>
      <c r="E1781" s="1088"/>
      <c r="F1781" s="1367" t="s">
        <v>2285</v>
      </c>
      <c r="G1781" s="1090"/>
      <c r="H1781" s="1851"/>
      <c r="I1781" s="1259">
        <f t="shared" si="110"/>
        <v>0</v>
      </c>
      <c r="J1781" s="1081"/>
      <c r="K1781" s="1081"/>
      <c r="L1781" s="1082"/>
      <c r="M1781" s="975">
        <v>400</v>
      </c>
    </row>
    <row r="1782" spans="1:16" s="1083" customFormat="1" ht="25.2" hidden="1" customHeight="1">
      <c r="A1782" s="1153">
        <f t="shared" si="109"/>
        <v>0</v>
      </c>
      <c r="B1782" s="1324" t="s">
        <v>653</v>
      </c>
      <c r="C1782" s="1324"/>
      <c r="D1782" s="1090"/>
      <c r="E1782" s="1091">
        <f>VLOOKUP($B1782,DG!A:D,DG!$B$2,)</f>
        <v>0</v>
      </c>
      <c r="F1782" s="1092" t="str">
        <f>VLOOKUP($B1782,DG!A:D,DG!$C$2,)</f>
        <v>Ximăng (PC40)</v>
      </c>
      <c r="G1782" s="1091" t="str">
        <f>VLOOKUP($B1782,DG!A:D,DG!$D$2,)</f>
        <v>kg</v>
      </c>
      <c r="H1782" s="1851">
        <f>H1780*M1785</f>
        <v>0</v>
      </c>
      <c r="I1782" s="1259">
        <f t="shared" si="110"/>
        <v>0</v>
      </c>
      <c r="J1782" s="1081"/>
      <c r="K1782" s="1081"/>
      <c r="L1782" s="1082"/>
      <c r="M1782" s="975">
        <v>400</v>
      </c>
    </row>
    <row r="1783" spans="1:16" s="1083" customFormat="1" ht="25.2" hidden="1" customHeight="1">
      <c r="A1783" s="1153">
        <f t="shared" si="109"/>
        <v>0</v>
      </c>
      <c r="B1783" s="1324" t="s">
        <v>4434</v>
      </c>
      <c r="C1783" s="1324"/>
      <c r="D1783" s="1078"/>
      <c r="E1783" s="1091">
        <f>VLOOKUP($B1783,DG!A:D,DG!$B$2,)</f>
        <v>0</v>
      </c>
      <c r="F1783" s="1092" t="str">
        <f>VLOOKUP($B1783,DG!A:D,DG!$C$2,)</f>
        <v>Cát vàng</v>
      </c>
      <c r="G1783" s="1091" t="str">
        <f>VLOOKUP($B1783,DG!A:D,DG!$D$2,)</f>
        <v>m3</v>
      </c>
      <c r="H1783" s="1851">
        <f>H1780*N1785</f>
        <v>0</v>
      </c>
      <c r="I1783" s="1259">
        <f t="shared" si="110"/>
        <v>0</v>
      </c>
      <c r="J1783" s="1081"/>
      <c r="K1783" s="1081"/>
      <c r="L1783" s="1082"/>
      <c r="M1783" s="975">
        <v>400</v>
      </c>
    </row>
    <row r="1784" spans="1:16" s="1083" customFormat="1" ht="25.2" hidden="1" customHeight="1">
      <c r="A1784" s="1153">
        <f t="shared" si="109"/>
        <v>0</v>
      </c>
      <c r="B1784" s="1324" t="s">
        <v>216</v>
      </c>
      <c r="C1784" s="1324"/>
      <c r="D1784" s="1078"/>
      <c r="E1784" s="1091">
        <f>VLOOKUP($B1784,DG!A:D,DG!$B$2,)</f>
        <v>0</v>
      </c>
      <c r="F1784" s="1092" t="str">
        <f>VLOOKUP($B1784,DG!A:D,DG!$C$2,)</f>
        <v>Đá 1x2</v>
      </c>
      <c r="G1784" s="1091" t="str">
        <f>VLOOKUP($B1784,DG!A:D,DG!$D$2,)</f>
        <v>m3</v>
      </c>
      <c r="H1784" s="1851">
        <f>H1780*O1785</f>
        <v>0</v>
      </c>
      <c r="I1784" s="1259">
        <f t="shared" si="110"/>
        <v>0</v>
      </c>
      <c r="J1784" s="1081"/>
      <c r="K1784" s="1081"/>
      <c r="L1784" s="1082"/>
      <c r="M1784" s="975">
        <v>400</v>
      </c>
    </row>
    <row r="1785" spans="1:16" s="1083" customFormat="1" ht="25.2" hidden="1" customHeight="1">
      <c r="A1785" s="1153">
        <f t="shared" si="109"/>
        <v>0</v>
      </c>
      <c r="B1785" s="1324" t="s">
        <v>654</v>
      </c>
      <c r="C1785" s="1324"/>
      <c r="D1785" s="1090"/>
      <c r="E1785" s="1091" t="str">
        <f>VLOOKUP($B1785,DG!A:D,DG!$B$2,)</f>
        <v>04.1203c</v>
      </c>
      <c r="F1785" s="1092" t="str">
        <f>VLOOKUP($B1785,DG!A:D,DG!$C$2,)</f>
        <v>Đổ bê tông móng trụ &lt;=250cm-M200 đá 1x2</v>
      </c>
      <c r="G1785" s="1091" t="str">
        <f>VLOOKUP($B1785,DG!A:D,DG!$D$2,)</f>
        <v>m3</v>
      </c>
      <c r="H1785" s="1851">
        <f>H1780*(0.4*3*1-2*3.14*0.15^2*0.4)*1.025</f>
        <v>0</v>
      </c>
      <c r="I1785" s="1259">
        <f t="shared" si="110"/>
        <v>0</v>
      </c>
      <c r="J1785" s="1081"/>
      <c r="K1785" s="1081"/>
      <c r="L1785" s="1082"/>
      <c r="M1785" s="975">
        <v>400</v>
      </c>
      <c r="N1785" s="1093">
        <f>1.025*0.45</f>
        <v>0.46124999999999999</v>
      </c>
      <c r="O1785" s="1093">
        <f>1.025*0.866</f>
        <v>0.88764999999999994</v>
      </c>
      <c r="P1785" s="1237"/>
    </row>
    <row r="1786" spans="1:16" s="1083" customFormat="1" ht="25.2" hidden="1" customHeight="1">
      <c r="A1786" s="1153">
        <f t="shared" si="109"/>
        <v>0</v>
      </c>
      <c r="B1786" s="1324"/>
      <c r="C1786" s="1324"/>
      <c r="D1786" s="1084">
        <f>IF(H1786&gt;0,D1780+1,D1780)</f>
        <v>0</v>
      </c>
      <c r="E1786" s="1085"/>
      <c r="F1786" s="1086" t="s">
        <v>3740</v>
      </c>
      <c r="G1786" s="1084" t="s">
        <v>2391</v>
      </c>
      <c r="H1786" s="1867"/>
      <c r="I1786" s="1259">
        <f t="shared" si="110"/>
        <v>0</v>
      </c>
      <c r="J1786" s="1081"/>
      <c r="K1786" s="1081"/>
      <c r="L1786" s="1082"/>
      <c r="M1786" s="975">
        <v>400</v>
      </c>
    </row>
    <row r="1787" spans="1:16" s="1083" customFormat="1" ht="25.2" hidden="1" customHeight="1">
      <c r="A1787" s="1153">
        <f t="shared" si="109"/>
        <v>0</v>
      </c>
      <c r="B1787" s="1324"/>
      <c r="C1787" s="1324"/>
      <c r="D1787" s="1078"/>
      <c r="E1787" s="1088"/>
      <c r="F1787" s="1367" t="s">
        <v>2285</v>
      </c>
      <c r="G1787" s="1090"/>
      <c r="H1787" s="1851"/>
      <c r="I1787" s="1259">
        <f t="shared" si="110"/>
        <v>0</v>
      </c>
      <c r="J1787" s="1081"/>
      <c r="K1787" s="1081"/>
      <c r="L1787" s="1082"/>
      <c r="M1787" s="975">
        <v>400</v>
      </c>
    </row>
    <row r="1788" spans="1:16" s="1083" customFormat="1" ht="25.2" hidden="1" customHeight="1">
      <c r="A1788" s="1153">
        <f t="shared" si="109"/>
        <v>0</v>
      </c>
      <c r="B1788" s="1324" t="s">
        <v>653</v>
      </c>
      <c r="C1788" s="1324"/>
      <c r="D1788" s="1090"/>
      <c r="E1788" s="1091">
        <f>VLOOKUP($B1788,DG!A:D,DG!$B$2,)</f>
        <v>0</v>
      </c>
      <c r="F1788" s="1092" t="str">
        <f>VLOOKUP($B1788,DG!A:D,DG!$C$2,)</f>
        <v>Ximăng (PC40)</v>
      </c>
      <c r="G1788" s="1091" t="str">
        <f>VLOOKUP($B1788,DG!A:D,DG!$D$2,)</f>
        <v>kg</v>
      </c>
      <c r="H1788" s="1851">
        <f>H1791*M1791</f>
        <v>0</v>
      </c>
      <c r="I1788" s="1259">
        <f t="shared" si="110"/>
        <v>0</v>
      </c>
      <c r="J1788" s="1081"/>
      <c r="K1788" s="1081"/>
      <c r="L1788" s="1082"/>
      <c r="M1788" s="975">
        <v>400</v>
      </c>
    </row>
    <row r="1789" spans="1:16" s="1083" customFormat="1" ht="25.2" hidden="1" customHeight="1">
      <c r="A1789" s="1153">
        <f t="shared" si="109"/>
        <v>0</v>
      </c>
      <c r="B1789" s="1324" t="s">
        <v>4434</v>
      </c>
      <c r="C1789" s="1324"/>
      <c r="D1789" s="1078"/>
      <c r="E1789" s="1091">
        <f>VLOOKUP($B1789,DG!A:D,DG!$B$2,)</f>
        <v>0</v>
      </c>
      <c r="F1789" s="1092" t="str">
        <f>VLOOKUP($B1789,DG!A:D,DG!$C$2,)</f>
        <v>Cát vàng</v>
      </c>
      <c r="G1789" s="1091" t="str">
        <f>VLOOKUP($B1789,DG!A:D,DG!$D$2,)</f>
        <v>m3</v>
      </c>
      <c r="H1789" s="1868">
        <f>H1791*N1791</f>
        <v>0</v>
      </c>
      <c r="I1789" s="1259">
        <f t="shared" si="110"/>
        <v>0</v>
      </c>
      <c r="J1789" s="1081"/>
      <c r="K1789" s="1081"/>
      <c r="L1789" s="1082"/>
      <c r="M1789" s="975">
        <v>400</v>
      </c>
    </row>
    <row r="1790" spans="1:16" s="1083" customFormat="1" ht="25.2" hidden="1" customHeight="1">
      <c r="A1790" s="1153">
        <f t="shared" si="109"/>
        <v>0</v>
      </c>
      <c r="B1790" s="1324" t="s">
        <v>216</v>
      </c>
      <c r="C1790" s="1324"/>
      <c r="D1790" s="1078"/>
      <c r="E1790" s="1091">
        <f>VLOOKUP($B1790,DG!A:D,DG!$B$2,)</f>
        <v>0</v>
      </c>
      <c r="F1790" s="1092" t="str">
        <f>VLOOKUP($B1790,DG!A:D,DG!$C$2,)</f>
        <v>Đá 1x2</v>
      </c>
      <c r="G1790" s="1091" t="str">
        <f>VLOOKUP($B1790,DG!A:D,DG!$D$2,)</f>
        <v>m3</v>
      </c>
      <c r="H1790" s="1868">
        <f>H1791*O1791</f>
        <v>0</v>
      </c>
      <c r="I1790" s="1259">
        <f t="shared" si="110"/>
        <v>0</v>
      </c>
      <c r="J1790" s="1081"/>
      <c r="K1790" s="1081"/>
      <c r="L1790" s="1082"/>
      <c r="M1790" s="975">
        <v>400</v>
      </c>
    </row>
    <row r="1791" spans="1:16" s="1083" customFormat="1" ht="25.2" hidden="1" customHeight="1">
      <c r="A1791" s="1153">
        <f t="shared" si="109"/>
        <v>0</v>
      </c>
      <c r="B1791" s="1324" t="s">
        <v>654</v>
      </c>
      <c r="C1791" s="1324"/>
      <c r="D1791" s="1090"/>
      <c r="E1791" s="1091" t="str">
        <f>VLOOKUP($B1791,DG!A:D,DG!$B$2,)</f>
        <v>04.1203c</v>
      </c>
      <c r="F1791" s="1092" t="str">
        <f>VLOOKUP($B1791,DG!A:D,DG!$C$2,)</f>
        <v>Đổ bê tông móng trụ &lt;=250cm-M200 đá 1x2</v>
      </c>
      <c r="G1791" s="1091" t="str">
        <f>VLOOKUP($B1791,DG!A:D,DG!$D$2,)</f>
        <v>m3</v>
      </c>
      <c r="H1791" s="1851">
        <f>H1786*0.2*0.2*(0.2+0.2+0.8+0.8+2*4)</f>
        <v>0</v>
      </c>
      <c r="I1791" s="1259">
        <f t="shared" si="110"/>
        <v>0</v>
      </c>
      <c r="J1791" s="1081"/>
      <c r="K1791" s="1081"/>
      <c r="L1791" s="1082"/>
      <c r="M1791" s="975">
        <v>400</v>
      </c>
      <c r="N1791" s="1093">
        <f>1.025*0.45</f>
        <v>0.46124999999999999</v>
      </c>
      <c r="O1791" s="1093">
        <f>1.025*0.866</f>
        <v>0.88764999999999994</v>
      </c>
      <c r="P1791" s="1237"/>
    </row>
    <row r="1792" spans="1:16" s="1083" customFormat="1" ht="25.2" hidden="1" customHeight="1">
      <c r="A1792" s="1153">
        <f t="shared" si="109"/>
        <v>0</v>
      </c>
      <c r="B1792" s="1324"/>
      <c r="C1792" s="1324"/>
      <c r="D1792" s="1084">
        <f>IF(H1792&gt;0,D1786+1,D1786)</f>
        <v>0</v>
      </c>
      <c r="E1792" s="1085"/>
      <c r="F1792" s="1086" t="s">
        <v>3741</v>
      </c>
      <c r="G1792" s="1084" t="s">
        <v>2391</v>
      </c>
      <c r="H1792" s="1867">
        <f>H1682</f>
        <v>0</v>
      </c>
      <c r="I1792" s="1259">
        <f t="shared" si="110"/>
        <v>0</v>
      </c>
      <c r="J1792" s="1081"/>
      <c r="K1792" s="1081"/>
      <c r="L1792" s="1110"/>
      <c r="M1792" s="975">
        <v>400</v>
      </c>
    </row>
    <row r="1793" spans="1:14" s="1083" customFormat="1" ht="25.2" hidden="1" customHeight="1">
      <c r="A1793" s="1153">
        <f t="shared" si="109"/>
        <v>0</v>
      </c>
      <c r="B1793" s="1324"/>
      <c r="C1793" s="1324"/>
      <c r="D1793" s="1078"/>
      <c r="E1793" s="1088"/>
      <c r="F1793" s="1367" t="s">
        <v>2285</v>
      </c>
      <c r="G1793" s="1090"/>
      <c r="H1793" s="1851"/>
      <c r="I1793" s="1259">
        <f t="shared" si="110"/>
        <v>0</v>
      </c>
      <c r="J1793" s="1081"/>
      <c r="K1793" s="1081"/>
      <c r="L1793" s="1110"/>
      <c r="M1793" s="975">
        <v>400</v>
      </c>
    </row>
    <row r="1794" spans="1:14" s="1083" customFormat="1" ht="25.2" hidden="1" customHeight="1">
      <c r="A1794" s="1153">
        <f t="shared" si="109"/>
        <v>0</v>
      </c>
      <c r="B1794" s="1356" t="s">
        <v>1026</v>
      </c>
      <c r="C1794" s="1356"/>
      <c r="D1794" s="1090"/>
      <c r="E1794" s="1091" t="str">
        <f>VLOOKUP($B1794,DG!A:D,DG!$B$2,)</f>
        <v>05.1102</v>
      </c>
      <c r="F1794" s="1092" t="str">
        <f>VLOOKUP($B1794,DG!A:D,DG!$C$2,)</f>
        <v>Vỏ tủ + khóa tủ</v>
      </c>
      <c r="G1794" s="1091" t="str">
        <f>VLOOKUP($B1794,DG!A:D,DG!$D$2,)</f>
        <v>cái</v>
      </c>
      <c r="H1794" s="1851">
        <f>H1792</f>
        <v>0</v>
      </c>
      <c r="I1794" s="1259">
        <f t="shared" si="110"/>
        <v>0</v>
      </c>
      <c r="J1794" s="1081"/>
      <c r="K1794" s="1081"/>
      <c r="L1794" s="1110"/>
      <c r="M1794" s="975">
        <v>400</v>
      </c>
    </row>
    <row r="1795" spans="1:14" s="1083" customFormat="1" ht="25.2" hidden="1" customHeight="1">
      <c r="A1795" s="1153">
        <f t="shared" si="109"/>
        <v>0</v>
      </c>
      <c r="B1795" s="1324" t="s">
        <v>880</v>
      </c>
      <c r="C1795" s="1324"/>
      <c r="D1795" s="1078"/>
      <c r="E1795" s="1091">
        <f>VLOOKUP($B1795,DG!A:D,DG!$B$2,)</f>
        <v>0</v>
      </c>
      <c r="F1795" s="1092" t="str">
        <f>VLOOKUP($B1795,DG!A:D,DG!$C$2,)</f>
        <v xml:space="preserve">Bakelit 550x450 dầy 10mm </v>
      </c>
      <c r="G1795" s="1091" t="str">
        <f>VLOOKUP($B1795,DG!A:D,DG!$D$2,)</f>
        <v>cái</v>
      </c>
      <c r="H1795" s="1868"/>
      <c r="I1795" s="1259">
        <f t="shared" si="110"/>
        <v>0</v>
      </c>
      <c r="J1795" s="1081"/>
      <c r="K1795" s="1081"/>
      <c r="L1795" s="1110"/>
      <c r="M1795" s="975">
        <v>400</v>
      </c>
    </row>
    <row r="1796" spans="1:14" s="1083" customFormat="1" ht="25.2" hidden="1" customHeight="1">
      <c r="A1796" s="1153">
        <f t="shared" si="109"/>
        <v>0</v>
      </c>
      <c r="B1796" s="1324" t="s">
        <v>289</v>
      </c>
      <c r="C1796" s="1324"/>
      <c r="D1796" s="1090"/>
      <c r="E1796" s="1091" t="str">
        <f>VLOOKUP($B1796,DG!A:D,DG!$B$2,)</f>
        <v>06.3191</v>
      </c>
      <c r="F1796" s="1092" t="str">
        <f>VLOOKUP($B1796,DG!A:D,DG!$C$2,)</f>
        <v>Bảng tên trạm, bảng báo nguy hiểm + đinh vít</v>
      </c>
      <c r="G1796" s="1091" t="str">
        <f>VLOOKUP($B1796,DG!A:D,DG!$D$2,)</f>
        <v>bộ</v>
      </c>
      <c r="H1796" s="1851">
        <f>H1792</f>
        <v>0</v>
      </c>
      <c r="I1796" s="1259">
        <f t="shared" si="110"/>
        <v>0</v>
      </c>
      <c r="J1796" s="1081"/>
      <c r="K1796" s="1081"/>
      <c r="L1796" s="1110"/>
      <c r="M1796" s="975">
        <v>400</v>
      </c>
    </row>
    <row r="1797" spans="1:14" s="1083" customFormat="1" ht="25.2" hidden="1" customHeight="1">
      <c r="A1797" s="1153">
        <f t="shared" si="109"/>
        <v>0</v>
      </c>
      <c r="B1797" s="1324"/>
      <c r="C1797" s="1324"/>
      <c r="D1797" s="1084">
        <f>IF(H1797&gt;0,D1792+1,D1792)</f>
        <v>0</v>
      </c>
      <c r="E1797" s="1085"/>
      <c r="F1797" s="1086" t="s">
        <v>3742</v>
      </c>
      <c r="G1797" s="1084" t="s">
        <v>2538</v>
      </c>
      <c r="H1797" s="1867">
        <f>H1682*0</f>
        <v>0</v>
      </c>
      <c r="I1797" s="1259">
        <f t="shared" si="110"/>
        <v>0</v>
      </c>
      <c r="J1797" s="1081"/>
      <c r="K1797" s="1081"/>
      <c r="L1797" s="1082"/>
      <c r="M1797" s="975">
        <v>400</v>
      </c>
    </row>
    <row r="1798" spans="1:14" s="1083" customFormat="1" ht="25.2" hidden="1" customHeight="1">
      <c r="A1798" s="1153">
        <f t="shared" si="109"/>
        <v>0</v>
      </c>
      <c r="B1798" s="1324"/>
      <c r="C1798" s="1324"/>
      <c r="D1798" s="1078"/>
      <c r="E1798" s="1088"/>
      <c r="F1798" s="1367" t="s">
        <v>2285</v>
      </c>
      <c r="G1798" s="1090"/>
      <c r="H1798" s="1851"/>
      <c r="I1798" s="1259">
        <f t="shared" si="110"/>
        <v>0</v>
      </c>
      <c r="J1798" s="1081"/>
      <c r="K1798" s="1081"/>
      <c r="L1798" s="1082"/>
      <c r="M1798" s="975">
        <v>400</v>
      </c>
    </row>
    <row r="1799" spans="1:14" s="1083" customFormat="1" ht="25.2" hidden="1" customHeight="1">
      <c r="A1799" s="1153">
        <f t="shared" si="109"/>
        <v>0</v>
      </c>
      <c r="B1799" s="1324" t="s">
        <v>4434</v>
      </c>
      <c r="C1799" s="1324"/>
      <c r="D1799" s="1090"/>
      <c r="E1799" s="1091">
        <f>VLOOKUP($B1799,DG!A:D,DG!$B$2,)</f>
        <v>0</v>
      </c>
      <c r="F1799" s="1108" t="str">
        <f>VLOOKUP($B1799,DG!A:D,DG!$C$2,)&amp;": 0,315m3/m"</f>
        <v>Cát vàng: 0,315m3/m</v>
      </c>
      <c r="G1799" s="1091" t="str">
        <f>VLOOKUP($B1799,DG!A:D,DG!$D$2,)</f>
        <v>m3</v>
      </c>
      <c r="H1799" s="1851">
        <f>H1797*0.315</f>
        <v>0</v>
      </c>
      <c r="I1799" s="1259">
        <f t="shared" si="110"/>
        <v>0</v>
      </c>
      <c r="J1799" s="1081"/>
      <c r="K1799" s="1081"/>
      <c r="L1799" s="1082"/>
      <c r="M1799" s="975">
        <v>400</v>
      </c>
    </row>
    <row r="1800" spans="1:14" s="1083" customFormat="1" ht="25.2" hidden="1" customHeight="1">
      <c r="A1800" s="1153">
        <f t="shared" si="109"/>
        <v>0</v>
      </c>
      <c r="B1800" s="1326" t="s">
        <v>520</v>
      </c>
      <c r="C1800" s="1326"/>
      <c r="D1800" s="1090"/>
      <c r="E1800" s="1091">
        <f>VLOOKUP($B1800,DG!A:D,DG!$B$2,)</f>
        <v>0</v>
      </c>
      <c r="F1800" s="1108" t="str">
        <f>VLOOKUP($B1800,DG!A:D,DG!$C$2,)&amp;": 0,092m3/m"</f>
        <v>Đá 2x4: 0,092m3/m</v>
      </c>
      <c r="G1800" s="1091" t="str">
        <f>VLOOKUP($B1800,DG!A:D,DG!$D$2,)</f>
        <v>m3</v>
      </c>
      <c r="H1800" s="1851">
        <f>0.092*H1797</f>
        <v>0</v>
      </c>
      <c r="I1800" s="1259">
        <f t="shared" si="110"/>
        <v>0</v>
      </c>
      <c r="J1800" s="1081"/>
      <c r="K1800" s="1081"/>
      <c r="L1800" s="1082"/>
      <c r="M1800" s="975">
        <v>400</v>
      </c>
    </row>
    <row r="1801" spans="1:14" s="1083" customFormat="1" ht="25.2" hidden="1" customHeight="1">
      <c r="A1801" s="1153">
        <f t="shared" si="109"/>
        <v>0</v>
      </c>
      <c r="B1801" s="1326" t="s">
        <v>1679</v>
      </c>
      <c r="C1801" s="1326"/>
      <c r="D1801" s="1090"/>
      <c r="E1801" s="1091">
        <f>VLOOKUP($B1801,DG!A:D,DG!$B$2,)</f>
        <v>0</v>
      </c>
      <c r="F1801" s="1108" t="str">
        <f>VLOOKUP($B1801,DG!A:D,DG!$C$2,)&amp;": 3,3vieân/m"</f>
        <v>Gạch tàu: 3,3vieân/m</v>
      </c>
      <c r="G1801" s="1091" t="str">
        <f>VLOOKUP($B1801,DG!A:D,DG!$D$2,)</f>
        <v>viên</v>
      </c>
      <c r="H1801" s="1851">
        <f>3.3*H1797</f>
        <v>0</v>
      </c>
      <c r="I1801" s="1259">
        <f t="shared" si="110"/>
        <v>0</v>
      </c>
      <c r="J1801" s="1081"/>
      <c r="K1801" s="1081"/>
      <c r="L1801" s="1082"/>
      <c r="M1801" s="975">
        <v>400</v>
      </c>
    </row>
    <row r="1802" spans="1:14" s="1083" customFormat="1" ht="25.2" hidden="1" customHeight="1">
      <c r="A1802" s="1153">
        <f t="shared" si="109"/>
        <v>0</v>
      </c>
      <c r="B1802" s="1326" t="s">
        <v>1680</v>
      </c>
      <c r="C1802" s="1326"/>
      <c r="D1802" s="1090"/>
      <c r="E1802" s="1091">
        <f>VLOOKUP($B1802,DG!A:D,DG!$B$2,)</f>
        <v>0</v>
      </c>
      <c r="F1802" s="1108" t="str">
        <f>VLOOKUP($B1802,DG!A:D,DG!$C$2,)&amp;": 0,4m2/m"</f>
        <v>Tấm nilông màu cảnh báo: 0,4m2/m</v>
      </c>
      <c r="G1802" s="1091" t="str">
        <f>VLOOKUP($B1802,DG!A:D,DG!$D$2,)</f>
        <v>m2</v>
      </c>
      <c r="H1802" s="1851">
        <f>0.4*H1797</f>
        <v>0</v>
      </c>
      <c r="I1802" s="1259">
        <f t="shared" si="110"/>
        <v>0</v>
      </c>
      <c r="J1802" s="1081"/>
      <c r="K1802" s="1081"/>
      <c r="L1802" s="1082"/>
      <c r="M1802" s="975">
        <v>400</v>
      </c>
    </row>
    <row r="1803" spans="1:14" s="1083" customFormat="1" ht="25.2" hidden="1" customHeight="1">
      <c r="A1803" s="1153">
        <f t="shared" si="109"/>
        <v>0</v>
      </c>
      <c r="B1803" s="1326" t="s">
        <v>1521</v>
      </c>
      <c r="C1803" s="1326"/>
      <c r="D1803" s="1078"/>
      <c r="E1803" s="1091">
        <f>VLOOKUP($B1803,DG!A:D,DG!$B$2,)</f>
        <v>0</v>
      </c>
      <c r="F1803" s="1108" t="str">
        <f>VLOOKUP($B1803,DG!A:D,DG!$C$2,)</f>
        <v>Ống PVC D140x6,7mm</v>
      </c>
      <c r="G1803" s="1091" t="str">
        <f>VLOOKUP($B1803,DG!A:D,DG!$D$2,)</f>
        <v>m</v>
      </c>
      <c r="H1803" s="1851">
        <f>1*H1797</f>
        <v>0</v>
      </c>
      <c r="I1803" s="1259">
        <f t="shared" si="110"/>
        <v>0</v>
      </c>
      <c r="J1803" s="1081"/>
      <c r="K1803" s="1081"/>
      <c r="L1803" s="1082"/>
      <c r="M1803" s="975">
        <v>400</v>
      </c>
    </row>
    <row r="1804" spans="1:14" s="1083" customFormat="1" ht="25.2" hidden="1" customHeight="1">
      <c r="A1804" s="1153">
        <f t="shared" si="109"/>
        <v>0</v>
      </c>
      <c r="B1804" s="1326" t="s">
        <v>1682</v>
      </c>
      <c r="C1804" s="1326"/>
      <c r="D1804" s="1090"/>
      <c r="E1804" s="1091" t="str">
        <f>VLOOKUP($B1804,DG!A:D,DG!$B$2,)</f>
        <v>03.7000</v>
      </c>
      <c r="F1804" s="1108" t="str">
        <f>VLOOKUP($B1804,DG!A:D,DG!$C$2,)&amp;" + ñaép ñaù"</f>
        <v>Đắp cát  + ñaép ñaù</v>
      </c>
      <c r="G1804" s="1091" t="str">
        <f>VLOOKUP($B1804,DG!A:D,DG!$D$2,)</f>
        <v>m3</v>
      </c>
      <c r="H1804" s="1851">
        <f>H1799+H1800</f>
        <v>0</v>
      </c>
      <c r="I1804" s="1259">
        <f t="shared" si="110"/>
        <v>0</v>
      </c>
      <c r="J1804" s="1081"/>
      <c r="K1804" s="1081"/>
      <c r="L1804" s="1082"/>
      <c r="M1804" s="975">
        <v>400</v>
      </c>
    </row>
    <row r="1805" spans="1:14" s="1083" customFormat="1" ht="25.2" hidden="1" customHeight="1">
      <c r="A1805" s="1153">
        <f t="shared" si="109"/>
        <v>0</v>
      </c>
      <c r="B1805" s="1326" t="s">
        <v>144</v>
      </c>
      <c r="C1805" s="1326"/>
      <c r="D1805" s="1090"/>
      <c r="E1805" s="1091" t="str">
        <f>VLOOKUP($B1805,DG!A:D,DG!$B$2,)</f>
        <v>03.3103</v>
      </c>
      <c r="F1805" s="1108" t="str">
        <f>VLOOKUP($B1805,DG!A:D,DG!$C$2,)&amp;" : 0,48m3/m"</f>
        <v>Đào mương cáp ngầm đất cấp 3 : 0,48m3/m</v>
      </c>
      <c r="G1805" s="1091" t="str">
        <f>VLOOKUP($B1805,DG!A:D,DG!$D$2,)</f>
        <v>m3</v>
      </c>
      <c r="H1805" s="1851">
        <f>H1797*0.48</f>
        <v>0</v>
      </c>
      <c r="I1805" s="1259">
        <f t="shared" si="110"/>
        <v>0</v>
      </c>
      <c r="J1805" s="1081"/>
      <c r="K1805" s="1081"/>
      <c r="L1805" s="1082"/>
      <c r="M1805" s="975">
        <v>400</v>
      </c>
    </row>
    <row r="1806" spans="1:14" s="1083" customFormat="1" ht="25.2" hidden="1" customHeight="1">
      <c r="A1806" s="1153">
        <f t="shared" si="109"/>
        <v>0</v>
      </c>
      <c r="B1806" s="1326" t="s">
        <v>529</v>
      </c>
      <c r="C1806" s="1326"/>
      <c r="D1806" s="1090"/>
      <c r="E1806" s="1091" t="str">
        <f>VLOOKUP($B1806,DG!A:D,DG!$B$2,)</f>
        <v>03.3203</v>
      </c>
      <c r="F1806" s="1108" t="str">
        <f>VLOOKUP($B1806,DG!A:D,DG!$C$2,)&amp;" : 0,073m3/m"</f>
        <v>Đắp đất mương cáp ngầm, đất cấp 3 : 0,073m3/m</v>
      </c>
      <c r="G1806" s="1091" t="str">
        <f>VLOOKUP($B1806,DG!A:D,DG!$D$2,)</f>
        <v>m3</v>
      </c>
      <c r="H1806" s="1851">
        <f>H1797*0.073</f>
        <v>0</v>
      </c>
      <c r="I1806" s="1259">
        <f t="shared" si="110"/>
        <v>0</v>
      </c>
      <c r="J1806" s="1081"/>
      <c r="K1806" s="1081"/>
      <c r="L1806" s="1082"/>
      <c r="M1806" s="975">
        <v>400</v>
      </c>
      <c r="N1806" s="1133">
        <v>0.47499999999999998</v>
      </c>
    </row>
    <row r="1807" spans="1:14" s="1083" customFormat="1" ht="25.2" hidden="1" customHeight="1">
      <c r="A1807" s="1153">
        <f t="shared" si="109"/>
        <v>0</v>
      </c>
      <c r="B1807" s="1324"/>
      <c r="C1807" s="1324"/>
      <c r="D1807" s="1084">
        <f>IF(H1807&gt;0,D1797+1,D1797)</f>
        <v>0</v>
      </c>
      <c r="E1807" s="1085"/>
      <c r="F1807" s="1086" t="s">
        <v>3743</v>
      </c>
      <c r="G1807" s="1084" t="s">
        <v>2391</v>
      </c>
      <c r="H1807" s="1867">
        <f>H1816</f>
        <v>0</v>
      </c>
      <c r="I1807" s="1259">
        <f t="shared" si="110"/>
        <v>0</v>
      </c>
      <c r="J1807" s="1081"/>
      <c r="K1807" s="1081"/>
      <c r="L1807" s="1082"/>
      <c r="M1807" s="975">
        <v>400</v>
      </c>
      <c r="N1807" s="1133">
        <v>0.88100000000000001</v>
      </c>
    </row>
    <row r="1808" spans="1:14" s="1083" customFormat="1" ht="25.2" hidden="1" customHeight="1">
      <c r="A1808" s="1153">
        <f t="shared" si="109"/>
        <v>0</v>
      </c>
      <c r="B1808" s="1324"/>
      <c r="C1808" s="1324"/>
      <c r="D1808" s="1078"/>
      <c r="E1808" s="1088"/>
      <c r="F1808" s="1367" t="s">
        <v>2285</v>
      </c>
      <c r="G1808" s="1090"/>
      <c r="H1808" s="1851"/>
      <c r="I1808" s="1259">
        <f t="shared" si="110"/>
        <v>0</v>
      </c>
      <c r="J1808" s="1081"/>
      <c r="K1808" s="1081"/>
      <c r="L1808" s="1082"/>
      <c r="M1808" s="975">
        <v>400</v>
      </c>
    </row>
    <row r="1809" spans="1:13" s="1083" customFormat="1" ht="25.2" hidden="1" customHeight="1">
      <c r="A1809" s="1153">
        <f t="shared" si="109"/>
        <v>0</v>
      </c>
      <c r="B1809" s="1324" t="s">
        <v>623</v>
      </c>
      <c r="C1809" s="1324"/>
      <c r="D1809" s="1090"/>
      <c r="E1809" s="1091" t="str">
        <f>VLOOKUP($B1809,DG!A:D,DG!$B$2,)</f>
        <v>07.2204</v>
      </c>
      <c r="F1809" s="1092" t="str">
        <f>VLOOKUP($B1809,DG!A:D,DG!$C$2,)</f>
        <v>ÔÁng sắt tráng kẽm D140</v>
      </c>
      <c r="G1809" s="1091" t="str">
        <f>VLOOKUP($B1809,DG!A:D,DG!$D$2,)</f>
        <v>mét</v>
      </c>
      <c r="H1809" s="1851">
        <f>H1807*5*0</f>
        <v>0</v>
      </c>
      <c r="I1809" s="1259">
        <f t="shared" si="110"/>
        <v>0</v>
      </c>
      <c r="J1809" s="1081"/>
      <c r="K1809" s="1081"/>
      <c r="L1809" s="1082"/>
      <c r="M1809" s="975">
        <v>400</v>
      </c>
    </row>
    <row r="1810" spans="1:13" s="1083" customFormat="1" ht="25.2" hidden="1" customHeight="1">
      <c r="A1810" s="1153">
        <f t="shared" si="109"/>
        <v>0</v>
      </c>
      <c r="B1810" s="1326" t="s">
        <v>473</v>
      </c>
      <c r="C1810" s="1326"/>
      <c r="D1810" s="1078"/>
      <c r="E1810" s="1091">
        <f>VLOOKUP($B1810,DG!A:D,DG!$B$2,)</f>
        <v>0</v>
      </c>
      <c r="F1810" s="1092" t="str">
        <f>VLOOKUP($B1810,DG!A:D,DG!$C$2,)</f>
        <v>Co sừng 90 độ PVC 140</v>
      </c>
      <c r="G1810" s="1091" t="str">
        <f>VLOOKUP($B1810,DG!A:D,DG!$D$2,)</f>
        <v>cái</v>
      </c>
      <c r="H1810" s="1851">
        <f>H1807*0</f>
        <v>0</v>
      </c>
      <c r="I1810" s="1259">
        <f t="shared" si="110"/>
        <v>0</v>
      </c>
      <c r="J1810" s="1081"/>
      <c r="K1810" s="1081"/>
      <c r="L1810" s="1082"/>
      <c r="M1810" s="975">
        <v>400</v>
      </c>
    </row>
    <row r="1811" spans="1:13" s="1083" customFormat="1" ht="25.2" hidden="1" customHeight="1">
      <c r="A1811" s="1153">
        <f t="shared" si="109"/>
        <v>0</v>
      </c>
      <c r="B1811" s="1324" t="s">
        <v>120</v>
      </c>
      <c r="C1811" s="1324"/>
      <c r="D1811" s="1090"/>
      <c r="E1811" s="1091" t="str">
        <f>VLOOKUP($B1811,DG!A:D,DG!$B$2,)</f>
        <v>06.3231</v>
      </c>
      <c r="F1811" s="1092" t="str">
        <f>VLOOKUP($B1811,DG!A:D,DG!$C$2,)</f>
        <v>Cổ dê giữ ống STK D140 vào tường+Boulon+long đền+tắc ke sắt</v>
      </c>
      <c r="G1811" s="1091" t="str">
        <f>VLOOKUP($B1811,DG!A:D,DG!$D$2,)</f>
        <v>bộ</v>
      </c>
      <c r="H1811" s="1851">
        <f>H1807*2*0</f>
        <v>0</v>
      </c>
      <c r="I1811" s="1259">
        <f t="shared" si="110"/>
        <v>0</v>
      </c>
      <c r="J1811" s="1081"/>
      <c r="K1811" s="1081"/>
      <c r="L1811" s="1082"/>
      <c r="M1811" s="975">
        <v>400</v>
      </c>
    </row>
    <row r="1812" spans="1:13" s="1083" customFormat="1" ht="25.2" hidden="1" customHeight="1">
      <c r="A1812" s="1153">
        <f t="shared" si="109"/>
        <v>0</v>
      </c>
      <c r="B1812" s="1154" t="s">
        <v>1412</v>
      </c>
      <c r="C1812" s="1154"/>
      <c r="D1812" s="1090"/>
      <c r="E1812" s="1091">
        <f>VLOOKUP($B1812,DG!A:D,DG!$B$2,)</f>
        <v>0</v>
      </c>
      <c r="F1812" s="1092" t="str">
        <f>VLOOKUP($B1812,DG!A:D,DG!$C$2,)</f>
        <v>Giá đỡ cáp ngầm (V63x6)</v>
      </c>
      <c r="G1812" s="1091" t="str">
        <f>VLOOKUP($B1812,DG!A:D,DG!$D$2,)</f>
        <v>bộ</v>
      </c>
      <c r="H1812" s="1851">
        <f>H1807*0</f>
        <v>0</v>
      </c>
      <c r="I1812" s="1259">
        <f t="shared" si="110"/>
        <v>0</v>
      </c>
      <c r="J1812" s="1081"/>
      <c r="K1812" s="1081"/>
      <c r="L1812" s="1082"/>
      <c r="M1812" s="975">
        <v>400</v>
      </c>
    </row>
    <row r="1813" spans="1:13" s="1083" customFormat="1" ht="25.2" hidden="1" customHeight="1">
      <c r="A1813" s="1153">
        <f t="shared" si="109"/>
        <v>0</v>
      </c>
      <c r="B1813" s="1154" t="s">
        <v>2144</v>
      </c>
      <c r="C1813" s="1154"/>
      <c r="D1813" s="1090"/>
      <c r="E1813" s="1091">
        <f>VLOOKUP($B1813,DG!A:D,DG!$B$2,)</f>
        <v>0</v>
      </c>
      <c r="F1813" s="1092" t="str">
        <f>VLOOKUP($B1813,DG!A:D,DG!$C$2,)</f>
        <v>Giá đỡ cáp trung hạ thế</v>
      </c>
      <c r="G1813" s="1091" t="str">
        <f>VLOOKUP($B1813,DG!A:D,DG!$D$2,)</f>
        <v>bộ</v>
      </c>
      <c r="H1813" s="1851">
        <f>H1807</f>
        <v>0</v>
      </c>
      <c r="I1813" s="1259">
        <f t="shared" si="110"/>
        <v>0</v>
      </c>
      <c r="J1813" s="1081"/>
      <c r="K1813" s="1081"/>
      <c r="L1813" s="1082"/>
      <c r="M1813" s="975">
        <v>400</v>
      </c>
    </row>
    <row r="1814" spans="1:13" s="1083" customFormat="1" ht="25.2" hidden="1" customHeight="1">
      <c r="A1814" s="1153">
        <f t="shared" si="109"/>
        <v>0</v>
      </c>
      <c r="B1814" s="1324" t="s">
        <v>1413</v>
      </c>
      <c r="C1814" s="1324"/>
      <c r="D1814" s="1078"/>
      <c r="E1814" s="1091" t="str">
        <f>VLOOKUP($B1814,DG!A:D,DG!$B$2,)</f>
        <v>05.6101</v>
      </c>
      <c r="F1814" s="1092" t="str">
        <f>VLOOKUP($B1814,DG!A:D,DG!$C$2,)</f>
        <v>Lắp Giá đỡ cáp</v>
      </c>
      <c r="G1814" s="1091" t="str">
        <f>VLOOKUP($B1814,DG!A:D,DG!$D$2,)</f>
        <v>bộ</v>
      </c>
      <c r="H1814" s="1851">
        <f>H1812+H1813</f>
        <v>0</v>
      </c>
      <c r="I1814" s="1259">
        <f t="shared" si="110"/>
        <v>0</v>
      </c>
      <c r="J1814" s="1081"/>
      <c r="K1814" s="1081"/>
      <c r="L1814" s="1082"/>
      <c r="M1814" s="975">
        <v>400</v>
      </c>
    </row>
    <row r="1815" spans="1:13" s="1083" customFormat="1" ht="25.2" hidden="1" customHeight="1">
      <c r="A1815" s="1153">
        <f t="shared" si="109"/>
        <v>0</v>
      </c>
      <c r="B1815" s="1324" t="s">
        <v>289</v>
      </c>
      <c r="C1815" s="1324"/>
      <c r="D1815" s="1090"/>
      <c r="E1815" s="1091" t="str">
        <f>VLOOKUP($B1815,DG!A:D,DG!$B$2,)</f>
        <v>06.3191</v>
      </c>
      <c r="F1815" s="1092" t="str">
        <f>VLOOKUP($B1815,DG!A:D,DG!$C$2,)</f>
        <v>Bảng tên trạm, bảng báo nguy hiểm + đinh vít</v>
      </c>
      <c r="G1815" s="1091" t="str">
        <f>VLOOKUP($B1815,DG!A:D,DG!$D$2,)</f>
        <v>bộ</v>
      </c>
      <c r="H1815" s="1851">
        <f>H1807*0</f>
        <v>0</v>
      </c>
      <c r="I1815" s="1259">
        <f t="shared" si="110"/>
        <v>0</v>
      </c>
      <c r="J1815" s="1081"/>
      <c r="K1815" s="1081"/>
      <c r="L1815" s="1082"/>
      <c r="M1815" s="975">
        <v>400</v>
      </c>
    </row>
    <row r="1816" spans="1:13" s="1083" customFormat="1" ht="25.2" hidden="1" customHeight="1">
      <c r="A1816" s="1153">
        <f t="shared" si="109"/>
        <v>0</v>
      </c>
      <c r="B1816" s="1324"/>
      <c r="C1816" s="1324"/>
      <c r="D1816" s="1084">
        <f>IF(H1816&gt;0,D1807+1,D1807)</f>
        <v>0</v>
      </c>
      <c r="E1816" s="1085"/>
      <c r="F1816" s="1094" t="s">
        <v>3758</v>
      </c>
      <c r="G1816" s="1084" t="s">
        <v>2391</v>
      </c>
      <c r="H1816" s="1867">
        <f>H1682*0</f>
        <v>0</v>
      </c>
      <c r="I1816" s="1259">
        <f t="shared" si="110"/>
        <v>0</v>
      </c>
      <c r="J1816" s="1081"/>
      <c r="K1816" s="1081"/>
      <c r="L1816" s="1082"/>
      <c r="M1816" s="975">
        <v>400</v>
      </c>
    </row>
    <row r="1817" spans="1:13" s="1083" customFormat="1" ht="25.2" hidden="1" customHeight="1">
      <c r="A1817" s="1153">
        <f t="shared" si="109"/>
        <v>0</v>
      </c>
      <c r="B1817" s="1324"/>
      <c r="C1817" s="1324"/>
      <c r="D1817" s="1078"/>
      <c r="E1817" s="1088"/>
      <c r="F1817" s="1368" t="s">
        <v>2285</v>
      </c>
      <c r="G1817" s="1078"/>
      <c r="H1817" s="1868"/>
      <c r="I1817" s="1259">
        <f t="shared" si="110"/>
        <v>0</v>
      </c>
      <c r="J1817" s="1081"/>
      <c r="K1817" s="1081"/>
      <c r="L1817" s="1082"/>
      <c r="M1817" s="975">
        <v>400</v>
      </c>
    </row>
    <row r="1818" spans="1:13" s="1083" customFormat="1" ht="25.2" hidden="1" customHeight="1">
      <c r="A1818" s="1153">
        <f t="shared" ref="A1818:A1881" si="111">IF(I1818&gt;0,1,0)</f>
        <v>0</v>
      </c>
      <c r="B1818" s="1154" t="s">
        <v>470</v>
      </c>
      <c r="C1818" s="1154"/>
      <c r="D1818" s="1090"/>
      <c r="E1818" s="1079">
        <f>VLOOKUP($B1818,DG!A:D,DG!$B$2,)</f>
        <v>0</v>
      </c>
      <c r="F1818" s="1080" t="str">
        <f>VLOOKUP($B1818,DG!A:D,DG!$C$2,)&amp;": trong möông vaø leân MBA"</f>
        <v>Cáp 24kV C/XLPE/DSTA/PVC3x50: trong möông vaø leân MBA</v>
      </c>
      <c r="G1818" s="1079" t="str">
        <f>VLOOKUP($B1818,DG!A:D,DG!$D$2,)</f>
        <v>mét</v>
      </c>
      <c r="H1818" s="1851">
        <f>H1797+H1816*8</f>
        <v>0</v>
      </c>
      <c r="I1818" s="1259">
        <f t="shared" si="110"/>
        <v>0</v>
      </c>
      <c r="J1818" s="1081"/>
      <c r="K1818" s="1081"/>
      <c r="L1818" s="1082"/>
      <c r="M1818" s="975">
        <v>400</v>
      </c>
    </row>
    <row r="1819" spans="1:13" s="1083" customFormat="1" ht="25.2" hidden="1" customHeight="1">
      <c r="A1819" s="1153">
        <f t="shared" si="111"/>
        <v>0</v>
      </c>
      <c r="B1819" s="1154" t="s">
        <v>271</v>
      </c>
      <c r="C1819" s="1154"/>
      <c r="D1819" s="1090"/>
      <c r="E1819" s="1079">
        <f>VLOOKUP($B1819,DG!A:D,DG!$B$2,)</f>
        <v>0</v>
      </c>
      <c r="F1819" s="1080" t="str">
        <f>VLOOKUP($B1819,DG!A:D,DG!$C$2,)&amp;": trung tính"</f>
        <v>Cáp 24KV C/XLPE/PVC 50mm2: trung tính</v>
      </c>
      <c r="G1819" s="1079" t="str">
        <f>VLOOKUP($B1819,DG!A:D,DG!$D$2,)</f>
        <v>mét</v>
      </c>
      <c r="H1819" s="1851">
        <f>H1818</f>
        <v>0</v>
      </c>
      <c r="I1819" s="1259">
        <f t="shared" si="110"/>
        <v>0</v>
      </c>
      <c r="J1819" s="1081"/>
      <c r="K1819" s="1081"/>
      <c r="L1819" s="1082"/>
      <c r="M1819" s="975">
        <v>400</v>
      </c>
    </row>
    <row r="1820" spans="1:13" s="1083" customFormat="1" ht="25.2" hidden="1" customHeight="1">
      <c r="A1820" s="1153">
        <f t="shared" si="111"/>
        <v>0</v>
      </c>
      <c r="B1820" s="1154" t="s">
        <v>271</v>
      </c>
      <c r="C1820" s="1154"/>
      <c r="D1820" s="1090"/>
      <c r="E1820" s="1079">
        <f>VLOOKUP($B1820,DG!A:D,DG!$B$2,)</f>
        <v>0</v>
      </c>
      <c r="F1820" s="1080" t="str">
        <f>VLOOKUP($B1820,DG!A:D,DG!$C$2,)&amp;": 0,5m/pha töø FCO xuoáng MBA"</f>
        <v>Cáp 24KV C/XLPE/PVC 50mm2: 0,5m/pha töø FCO xuoáng MBA</v>
      </c>
      <c r="G1820" s="1079" t="str">
        <f>VLOOKUP($B1820,DG!A:D,DG!$D$2,)</f>
        <v>mét</v>
      </c>
      <c r="H1820" s="1851">
        <f>H1816*0.5*3*0</f>
        <v>0</v>
      </c>
      <c r="I1820" s="1259">
        <f t="shared" si="110"/>
        <v>0</v>
      </c>
      <c r="J1820" s="1081"/>
      <c r="K1820" s="1081"/>
      <c r="L1820" s="1082"/>
      <c r="M1820" s="975">
        <v>400</v>
      </c>
    </row>
    <row r="1821" spans="1:13" s="1083" customFormat="1" ht="25.2" hidden="1" customHeight="1">
      <c r="A1821" s="1153">
        <f t="shared" si="111"/>
        <v>0</v>
      </c>
      <c r="B1821" s="1154" t="s">
        <v>1355</v>
      </c>
      <c r="C1821" s="1154"/>
      <c r="D1821" s="1090"/>
      <c r="E1821" s="1079">
        <f>VLOOKUP($B1821,DG!A:D,DG!$B$2,)</f>
        <v>0</v>
      </c>
      <c r="F1821" s="1080" t="str">
        <f>VLOOKUP($B1821,DG!A:D,DG!$C$2,)</f>
        <v>Đầu cáp ngầm 24KV 3x50mm2 outdoor</v>
      </c>
      <c r="G1821" s="1079" t="str">
        <f>VLOOKUP($B1821,DG!A:D,DG!$D$2,)</f>
        <v>cái</v>
      </c>
      <c r="H1821" s="1851">
        <f>H1816</f>
        <v>0</v>
      </c>
      <c r="I1821" s="1259">
        <f t="shared" si="110"/>
        <v>0</v>
      </c>
      <c r="J1821" s="1081"/>
      <c r="K1821" s="1081"/>
      <c r="L1821" s="1082"/>
      <c r="M1821" s="975">
        <v>400</v>
      </c>
    </row>
    <row r="1822" spans="1:13" s="1083" customFormat="1" ht="25.2" hidden="1" customHeight="1">
      <c r="A1822" s="1153">
        <f t="shared" si="111"/>
        <v>0</v>
      </c>
      <c r="B1822" s="1154" t="s">
        <v>470</v>
      </c>
      <c r="C1822" s="1154"/>
      <c r="D1822" s="1090"/>
      <c r="E1822" s="1079">
        <f>VLOOKUP($B1822,DG!A:D,DG!$B$2,)</f>
        <v>0</v>
      </c>
      <c r="F1822" s="1080" t="str">
        <f>VLOOKUP($B1822,DG!A:D,DG!$C$2,)&amp;": töø tuû LBS ñeán MBA"</f>
        <v>Cáp 24kV C/XLPE/DSTA/PVC3x50: töø tuû LBS ñeán MBA</v>
      </c>
      <c r="G1822" s="1079" t="str">
        <f>VLOOKUP($B1822,DG!A:D,DG!$D$2,)</f>
        <v>mét</v>
      </c>
      <c r="H1822" s="1851">
        <f>(1.2+2.4)*H1816*0</f>
        <v>0</v>
      </c>
      <c r="I1822" s="1259">
        <f t="shared" si="110"/>
        <v>0</v>
      </c>
      <c r="J1822" s="1081"/>
      <c r="K1822" s="1081"/>
      <c r="L1822" s="1082"/>
      <c r="M1822" s="975">
        <v>400</v>
      </c>
    </row>
    <row r="1823" spans="1:13" s="1083" customFormat="1" ht="25.2" hidden="1" customHeight="1">
      <c r="A1823" s="1153">
        <f t="shared" si="111"/>
        <v>0</v>
      </c>
      <c r="B1823" s="1154" t="s">
        <v>271</v>
      </c>
      <c r="C1823" s="1154"/>
      <c r="D1823" s="1090"/>
      <c r="E1823" s="1079">
        <f>VLOOKUP($B1823,DG!A:D,DG!$B$2,)</f>
        <v>0</v>
      </c>
      <c r="F1823" s="1080" t="str">
        <f>VLOOKUP($B1823,DG!A:D,DG!$C$2,)&amp;": töø tuû LBS ñeán MBA"</f>
        <v>Cáp 24KV C/XLPE/PVC 50mm2: töø tuû LBS ñeán MBA</v>
      </c>
      <c r="G1823" s="1079" t="str">
        <f>VLOOKUP($B1823,DG!A:D,DG!$D$2,)</f>
        <v>mét</v>
      </c>
      <c r="H1823" s="1851">
        <f>H1816*1.2*0</f>
        <v>0</v>
      </c>
      <c r="I1823" s="1259">
        <f t="shared" si="110"/>
        <v>0</v>
      </c>
      <c r="J1823" s="1081"/>
      <c r="K1823" s="1081"/>
      <c r="L1823" s="1082"/>
      <c r="M1823" s="975">
        <v>400</v>
      </c>
    </row>
    <row r="1824" spans="1:13" s="1083" customFormat="1" ht="25.2" hidden="1" customHeight="1">
      <c r="A1824" s="1153">
        <f t="shared" si="111"/>
        <v>0</v>
      </c>
      <c r="B1824" s="1154" t="s">
        <v>1356</v>
      </c>
      <c r="C1824" s="1154"/>
      <c r="D1824" s="1090"/>
      <c r="E1824" s="1079">
        <f>VLOOKUP($B1824,DG!A:D,DG!$B$2,)</f>
        <v>0</v>
      </c>
      <c r="F1824" s="1080" t="str">
        <f>VLOOKUP($B1824,DG!A:D,DG!$C$2,)</f>
        <v>Đầu cáp ngầm 24KV 3x50mm2 indoor</v>
      </c>
      <c r="G1824" s="1079" t="str">
        <f>VLOOKUP($B1824,DG!A:D,DG!$D$2,)</f>
        <v>cái</v>
      </c>
      <c r="H1824" s="1851">
        <f>H1816</f>
        <v>0</v>
      </c>
      <c r="I1824" s="1259">
        <f t="shared" si="110"/>
        <v>0</v>
      </c>
      <c r="J1824" s="1081"/>
      <c r="K1824" s="1081"/>
      <c r="L1824" s="1082"/>
      <c r="M1824" s="975">
        <v>400</v>
      </c>
    </row>
    <row r="1825" spans="1:13" s="1083" customFormat="1" ht="25.2" hidden="1" customHeight="1">
      <c r="A1825" s="1153">
        <f t="shared" si="111"/>
        <v>0</v>
      </c>
      <c r="B1825" s="1154" t="s">
        <v>1678</v>
      </c>
      <c r="C1825" s="1154"/>
      <c r="D1825" s="1090"/>
      <c r="E1825" s="1079" t="str">
        <f>VLOOKUP($B1825,DG!A:D,DG!$B$2,)</f>
        <v>07.4312</v>
      </c>
      <c r="F1825" s="1080" t="str">
        <f>VLOOKUP($B1825,DG!A:D,DG!$C$2,)</f>
        <v>Lắp đầu cáp trung thế 3x50mm2, 70mm2</v>
      </c>
      <c r="G1825" s="1079" t="str">
        <f>VLOOKUP($B1825,DG!A:D,DG!$D$2,)</f>
        <v>cái</v>
      </c>
      <c r="H1825" s="1851">
        <f>H1821+H1824</f>
        <v>0</v>
      </c>
      <c r="I1825" s="1259">
        <f t="shared" si="110"/>
        <v>0</v>
      </c>
      <c r="J1825" s="1081"/>
      <c r="K1825" s="1081"/>
      <c r="L1825" s="1082"/>
      <c r="M1825" s="975">
        <v>400</v>
      </c>
    </row>
    <row r="1826" spans="1:13" s="1083" customFormat="1" ht="25.2" hidden="1" customHeight="1">
      <c r="A1826" s="1153">
        <f t="shared" si="111"/>
        <v>0</v>
      </c>
      <c r="B1826" s="1154" t="s">
        <v>1204</v>
      </c>
      <c r="C1826" s="1154"/>
      <c r="D1826" s="1090"/>
      <c r="E1826" s="1079" t="str">
        <f>VLOOKUP($B1826,DG!A:D,DG!$B$2,)</f>
        <v>03.1405</v>
      </c>
      <c r="F1826" s="1080" t="str">
        <f>VLOOKUP($B1826,DG!A:D,DG!$C$2,)</f>
        <v>Lắp cáp trong ống bảo vệ trong TBA loại &lt;=6kg</v>
      </c>
      <c r="G1826" s="1079" t="str">
        <f>VLOOKUP($B1826,DG!A:D,DG!$D$2,)</f>
        <v>mét</v>
      </c>
      <c r="H1826" s="1851">
        <f>H1818+H1822</f>
        <v>0</v>
      </c>
      <c r="I1826" s="1259">
        <f t="shared" si="110"/>
        <v>0</v>
      </c>
      <c r="J1826" s="1081"/>
      <c r="K1826" s="1081"/>
      <c r="L1826" s="1082"/>
      <c r="M1826" s="975">
        <v>400</v>
      </c>
    </row>
    <row r="1827" spans="1:13" s="1083" customFormat="1" ht="25.2" hidden="1" customHeight="1">
      <c r="A1827" s="1153">
        <f t="shared" si="111"/>
        <v>0</v>
      </c>
      <c r="B1827" s="1154" t="s">
        <v>1201</v>
      </c>
      <c r="C1827" s="1154"/>
      <c r="D1827" s="1090"/>
      <c r="E1827" s="1079" t="str">
        <f>VLOOKUP($B1827,DG!A:D,DG!$B$2,)</f>
        <v>03.1402</v>
      </c>
      <c r="F1827" s="1080" t="str">
        <f>VLOOKUP($B1827,DG!A:D,DG!$C$2,)</f>
        <v>Lắp cáp trong ống bảo vệ trong TBA loại &lt;=2kg</v>
      </c>
      <c r="G1827" s="1079" t="str">
        <f>VLOOKUP($B1827,DG!A:D,DG!$D$2,)</f>
        <v>mét</v>
      </c>
      <c r="H1827" s="1851">
        <f>H1819+H1823</f>
        <v>0</v>
      </c>
      <c r="I1827" s="1259">
        <f t="shared" si="110"/>
        <v>0</v>
      </c>
      <c r="J1827" s="1081"/>
      <c r="K1827" s="1081"/>
      <c r="L1827" s="1082"/>
      <c r="M1827" s="975">
        <v>400</v>
      </c>
    </row>
    <row r="1828" spans="1:13" s="1083" customFormat="1" ht="25.2" hidden="1" customHeight="1">
      <c r="A1828" s="1153">
        <f t="shared" si="111"/>
        <v>0</v>
      </c>
      <c r="B1828" s="1154" t="s">
        <v>1528</v>
      </c>
      <c r="C1828" s="1154"/>
      <c r="D1828" s="1090"/>
      <c r="E1828" s="1079" t="str">
        <f>VLOOKUP($B1828,DG!A:D,DG!$B$2,)</f>
        <v>04.4201</v>
      </c>
      <c r="F1828" s="1080" t="str">
        <f>VLOOKUP($B1828,DG!A:D,DG!$C$2,)</f>
        <v>Lắp cáp đồng xuống thiết bị D ≤ 95mm2</v>
      </c>
      <c r="G1828" s="1079" t="str">
        <f>VLOOKUP($B1828,DG!A:D,DG!$D$2,)</f>
        <v>m</v>
      </c>
      <c r="H1828" s="1851">
        <f>H1820</f>
        <v>0</v>
      </c>
      <c r="I1828" s="1259">
        <f t="shared" si="110"/>
        <v>0</v>
      </c>
      <c r="J1828" s="1081"/>
      <c r="K1828" s="1081"/>
      <c r="L1828" s="1082"/>
      <c r="M1828" s="975">
        <v>400</v>
      </c>
    </row>
    <row r="1829" spans="1:13" s="1083" customFormat="1" ht="25.2" hidden="1" customHeight="1">
      <c r="A1829" s="1153">
        <f t="shared" si="111"/>
        <v>0</v>
      </c>
      <c r="B1829" s="1154" t="s">
        <v>1352</v>
      </c>
      <c r="C1829" s="1154"/>
      <c r="D1829" s="1090"/>
      <c r="E1829" s="1079">
        <f>VLOOKUP($B1829,DG!A:D,DG!$B$2,)</f>
        <v>0</v>
      </c>
      <c r="F1829" s="1080" t="str">
        <f>VLOOKUP($B1829,DG!A:D,DG!$C$2,)</f>
        <v>Dây rút cáp</v>
      </c>
      <c r="G1829" s="1079" t="str">
        <f>VLOOKUP($B1829,DG!A:D,DG!$D$2,)</f>
        <v>bọc</v>
      </c>
      <c r="H1829" s="1851">
        <f>H1816*2</f>
        <v>0</v>
      </c>
      <c r="I1829" s="1259">
        <f t="shared" si="110"/>
        <v>0</v>
      </c>
      <c r="J1829" s="1081"/>
      <c r="K1829" s="1081"/>
      <c r="L1829" s="1082"/>
      <c r="M1829" s="975">
        <v>400</v>
      </c>
    </row>
    <row r="1830" spans="1:13" s="1083" customFormat="1" ht="25.2" hidden="1" customHeight="1">
      <c r="A1830" s="1153">
        <f t="shared" si="111"/>
        <v>0</v>
      </c>
      <c r="B1830" s="1324"/>
      <c r="C1830" s="1324"/>
      <c r="D1830" s="1084">
        <f>IF(H1830&gt;0,D1816+1,D1816)</f>
        <v>0</v>
      </c>
      <c r="E1830" s="1085"/>
      <c r="F1830" s="1094" t="s">
        <v>3762</v>
      </c>
      <c r="G1830" s="1084" t="s">
        <v>2391</v>
      </c>
      <c r="H1830" s="1867">
        <f>H1682</f>
        <v>0</v>
      </c>
      <c r="I1830" s="1259">
        <f t="shared" si="110"/>
        <v>0</v>
      </c>
      <c r="J1830" s="1081"/>
      <c r="K1830" s="1081"/>
      <c r="L1830" s="1110"/>
      <c r="M1830" s="975">
        <v>400</v>
      </c>
    </row>
    <row r="1831" spans="1:13" s="1083" customFormat="1" ht="25.2" hidden="1" customHeight="1">
      <c r="A1831" s="1153">
        <f t="shared" si="111"/>
        <v>0</v>
      </c>
      <c r="B1831" s="1324"/>
      <c r="C1831" s="1324"/>
      <c r="D1831" s="1078"/>
      <c r="E1831" s="1088"/>
      <c r="F1831" s="1368" t="s">
        <v>2285</v>
      </c>
      <c r="G1831" s="1078"/>
      <c r="H1831" s="1868"/>
      <c r="I1831" s="1259">
        <f t="shared" si="110"/>
        <v>0</v>
      </c>
      <c r="J1831" s="1081"/>
      <c r="K1831" s="1081"/>
      <c r="L1831" s="1110"/>
      <c r="M1831" s="975">
        <v>400</v>
      </c>
    </row>
    <row r="1832" spans="1:13" s="1083" customFormat="1" ht="25.2" hidden="1" customHeight="1">
      <c r="A1832" s="1153">
        <f t="shared" si="111"/>
        <v>0</v>
      </c>
      <c r="B1832" s="1154" t="s">
        <v>697</v>
      </c>
      <c r="C1832" s="1154"/>
      <c r="D1832" s="1090"/>
      <c r="E1832" s="1079">
        <f>VLOOKUP($B1832,DG!A:D,DG!$B$2,)</f>
        <v>0</v>
      </c>
      <c r="F1832" s="1080" t="str">
        <f>VLOOKUP($B1832,DG!A:D,DG!$C$2,)&amp;": 9m/1pha"</f>
        <v>Cáp 24KV C/XLPE/PVC 25mm2: 9m/1pha</v>
      </c>
      <c r="G1832" s="1079" t="str">
        <f>VLOOKUP($B1832,DG!A:D,DG!$D$2,)</f>
        <v>mét</v>
      </c>
      <c r="H1832" s="1851">
        <f>H1830*(9)*3</f>
        <v>0</v>
      </c>
      <c r="I1832" s="1259">
        <f t="shared" si="110"/>
        <v>0</v>
      </c>
      <c r="J1832" s="1081"/>
      <c r="K1832" s="1081"/>
      <c r="L1832" s="1110"/>
      <c r="M1832" s="975">
        <v>400</v>
      </c>
    </row>
    <row r="1833" spans="1:13" s="1083" customFormat="1" ht="25.2" hidden="1" customHeight="1">
      <c r="A1833" s="1153">
        <f t="shared" si="111"/>
        <v>0</v>
      </c>
      <c r="B1833" s="1154" t="s">
        <v>697</v>
      </c>
      <c r="C1833" s="1154"/>
      <c r="D1833" s="1090"/>
      <c r="E1833" s="1079">
        <f>VLOOKUP($B1833,DG!A:D,DG!$B$2,)</f>
        <v>0</v>
      </c>
      <c r="F1833" s="1080" t="str">
        <f>VLOOKUP($B1833,DG!A:D,DG!$C$2,)&amp;": 1m/1pha ñaáu noái  LA"</f>
        <v>Cáp 24KV C/XLPE/PVC 25mm2: 1m/1pha ñaáu noái  LA</v>
      </c>
      <c r="G1833" s="1079" t="str">
        <f>VLOOKUP($B1833,DG!A:D,DG!$D$2,)</f>
        <v>mét</v>
      </c>
      <c r="H1833" s="1889">
        <f>H1830*3*1*0</f>
        <v>0</v>
      </c>
      <c r="I1833" s="1259">
        <f t="shared" si="110"/>
        <v>0</v>
      </c>
      <c r="J1833" s="1081"/>
      <c r="K1833" s="1081"/>
      <c r="L1833" s="1110"/>
      <c r="M1833" s="975">
        <v>400</v>
      </c>
    </row>
    <row r="1834" spans="1:13" s="1083" customFormat="1" ht="25.2" hidden="1" customHeight="1">
      <c r="A1834" s="1153">
        <f t="shared" si="111"/>
        <v>0</v>
      </c>
      <c r="B1834" s="1154" t="s">
        <v>1115</v>
      </c>
      <c r="C1834" s="1154"/>
      <c r="D1834" s="1090"/>
      <c r="E1834" s="1079">
        <f>VLOOKUP($B1834,DG!A:D,DG!$B$2,)</f>
        <v>0</v>
      </c>
      <c r="F1834" s="1080" t="str">
        <f>VLOOKUP($B1834,DG!A:D,DG!$C$2,)</f>
        <v>Kẹp ép cỡ dây 25mm2</v>
      </c>
      <c r="G1834" s="1079" t="str">
        <f>VLOOKUP($B1834,DG!A:D,DG!$D$2,)</f>
        <v>cái</v>
      </c>
      <c r="H1834" s="1889">
        <f>H1830*3*2</f>
        <v>0</v>
      </c>
      <c r="I1834" s="1259">
        <f t="shared" si="110"/>
        <v>0</v>
      </c>
      <c r="J1834" s="1081"/>
      <c r="K1834" s="1081"/>
      <c r="L1834" s="1082"/>
      <c r="M1834" s="975">
        <v>400</v>
      </c>
    </row>
    <row r="1835" spans="1:13" s="1083" customFormat="1" ht="25.2" hidden="1" customHeight="1">
      <c r="A1835" s="1153">
        <f t="shared" si="111"/>
        <v>0</v>
      </c>
      <c r="B1835" s="1154" t="s">
        <v>550</v>
      </c>
      <c r="C1835" s="1154"/>
      <c r="D1835" s="1090"/>
      <c r="E1835" s="1079">
        <f>VLOOKUP($B1835,DG!A:D,DG!$B$2,)</f>
        <v>0</v>
      </c>
      <c r="F1835" s="1080" t="str">
        <f>VLOOKUP($B1835,DG!A:D,DG!$C$2,)&amp;" + LA"</f>
        <v>Bass LI bắt FCO + LA</v>
      </c>
      <c r="G1835" s="1079" t="str">
        <f>VLOOKUP($B1835,DG!A:D,DG!$D$2,)</f>
        <v>Bộ</v>
      </c>
      <c r="H1835" s="1889">
        <f>H1830*3*2</f>
        <v>0</v>
      </c>
      <c r="I1835" s="1259">
        <f t="shared" si="110"/>
        <v>0</v>
      </c>
      <c r="J1835" s="1081"/>
      <c r="K1835" s="1081"/>
      <c r="L1835" s="1082"/>
      <c r="M1835" s="975">
        <v>400</v>
      </c>
    </row>
    <row r="1836" spans="1:13" s="1083" customFormat="1" ht="25.2" hidden="1" customHeight="1">
      <c r="A1836" s="1153">
        <f t="shared" si="111"/>
        <v>0</v>
      </c>
      <c r="B1836" s="1154" t="s">
        <v>1482</v>
      </c>
      <c r="C1836" s="1154"/>
      <c r="D1836" s="1090"/>
      <c r="E1836" s="1079" t="str">
        <f>VLOOKUP($B1836,DG!A:D,DG!$B$2,)</f>
        <v>04.3007</v>
      </c>
      <c r="F1836" s="1080" t="str">
        <f>VLOOKUP($B1836,DG!A:D,DG!$C$2,)</f>
        <v>Kẹp quai 2/0</v>
      </c>
      <c r="G1836" s="1079" t="str">
        <f>VLOOKUP($B1836,DG!A:D,DG!$D$2,)</f>
        <v>cái</v>
      </c>
      <c r="H1836" s="1889">
        <f>H1830*3</f>
        <v>0</v>
      </c>
      <c r="I1836" s="1259">
        <f t="shared" si="110"/>
        <v>0</v>
      </c>
      <c r="J1836" s="1081"/>
      <c r="K1836" s="1081"/>
      <c r="L1836" s="1110"/>
      <c r="M1836" s="975">
        <v>400</v>
      </c>
    </row>
    <row r="1837" spans="1:13" s="1083" customFormat="1" ht="25.2" hidden="1" customHeight="1">
      <c r="A1837" s="1153">
        <f t="shared" si="111"/>
        <v>0</v>
      </c>
      <c r="B1837" s="1154" t="s">
        <v>1480</v>
      </c>
      <c r="C1837" s="1154"/>
      <c r="D1837" s="1090"/>
      <c r="E1837" s="1079" t="str">
        <f>VLOOKUP($B1837,DG!A:D,DG!$B$2,)</f>
        <v>04.3007</v>
      </c>
      <c r="F1837" s="1080" t="str">
        <f>VLOOKUP($B1837,DG!A:D,DG!$C$2,)&amp;": "</f>
        <v xml:space="preserve">Kẹp hotline 2/0: </v>
      </c>
      <c r="G1837" s="1079" t="str">
        <f>VLOOKUP($B1837,DG!A:D,DG!$D$2,)</f>
        <v>cái</v>
      </c>
      <c r="H1837" s="1851"/>
      <c r="I1837" s="1259">
        <f t="shared" si="110"/>
        <v>0</v>
      </c>
      <c r="J1837" s="1081"/>
      <c r="K1837" s="1081"/>
      <c r="L1837" s="1110"/>
      <c r="M1837" s="975">
        <v>400</v>
      </c>
    </row>
    <row r="1838" spans="1:13" s="1083" customFormat="1" ht="25.2" hidden="1" customHeight="1">
      <c r="A1838" s="1153">
        <f t="shared" si="111"/>
        <v>0</v>
      </c>
      <c r="B1838" s="1154" t="s">
        <v>696</v>
      </c>
      <c r="C1838" s="1154"/>
      <c r="D1838" s="1110"/>
      <c r="E1838" s="1079">
        <f>VLOOKUP($B1838,DG!A:D,DG!$B$2,)</f>
        <v>0</v>
      </c>
      <c r="F1838" s="1080" t="str">
        <f>VLOOKUP($B1838,DG!A:D,DG!$C$2,)</f>
        <v xml:space="preserve">Sứ đứng 24KV </v>
      </c>
      <c r="G1838" s="1079" t="str">
        <f>VLOOKUP($B1838,DG!A:D,DG!$D$2,)</f>
        <v>cái</v>
      </c>
      <c r="H1838" s="1851"/>
      <c r="I1838" s="1259">
        <f t="shared" si="110"/>
        <v>0</v>
      </c>
      <c r="J1838" s="1081"/>
      <c r="K1838" s="1081"/>
      <c r="L1838" s="1110"/>
      <c r="M1838" s="975">
        <v>400</v>
      </c>
    </row>
    <row r="1839" spans="1:13" s="1083" customFormat="1" ht="25.2" hidden="1" customHeight="1">
      <c r="A1839" s="1153">
        <f t="shared" si="111"/>
        <v>0</v>
      </c>
      <c r="B1839" s="1154" t="s">
        <v>1268</v>
      </c>
      <c r="C1839" s="1154"/>
      <c r="D1839" s="1090"/>
      <c r="E1839" s="1079">
        <f>VLOOKUP($B1839,DG!A:D,DG!$B$2,)</f>
        <v>0</v>
      </c>
      <c r="F1839" s="1080" t="str">
        <f>VLOOKUP($B1839,DG!A:D,DG!$C$2,)</f>
        <v>Chân sứ đứng D20</v>
      </c>
      <c r="G1839" s="1079" t="str">
        <f>VLOOKUP($B1839,DG!A:D,DG!$D$2,)</f>
        <v>cái</v>
      </c>
      <c r="H1839" s="1851"/>
      <c r="I1839" s="1259">
        <f t="shared" si="110"/>
        <v>0</v>
      </c>
      <c r="J1839" s="1081"/>
      <c r="K1839" s="1081"/>
      <c r="L1839" s="1110"/>
      <c r="M1839" s="975">
        <v>400</v>
      </c>
    </row>
    <row r="1840" spans="1:13" s="1083" customFormat="1" ht="25.2" hidden="1" customHeight="1">
      <c r="A1840" s="1153">
        <f t="shared" si="111"/>
        <v>0</v>
      </c>
      <c r="B1840" s="1154" t="s">
        <v>439</v>
      </c>
      <c r="C1840" s="1154"/>
      <c r="D1840" s="1090"/>
      <c r="E1840" s="1079">
        <f>VLOOKUP($B1840,DG!A:D,DG!$B$2,)</f>
        <v>0</v>
      </c>
      <c r="F1840" s="1080" t="str">
        <f>VLOOKUP($B1840,DG!A:D,DG!$C$2,)</f>
        <v>Sứ treo polymer</v>
      </c>
      <c r="G1840" s="1079" t="str">
        <f>VLOOKUP($B1840,DG!A:D,DG!$D$2,)</f>
        <v>chuỗi</v>
      </c>
      <c r="H1840" s="1889">
        <f>H1830*6*0</f>
        <v>0</v>
      </c>
      <c r="I1840" s="1259">
        <f t="shared" si="110"/>
        <v>0</v>
      </c>
      <c r="J1840" s="1081"/>
      <c r="K1840" s="1081"/>
      <c r="L1840" s="1110"/>
      <c r="M1840" s="975">
        <v>400</v>
      </c>
    </row>
    <row r="1841" spans="1:13" s="1083" customFormat="1" ht="25.2" hidden="1" customHeight="1">
      <c r="A1841" s="1153">
        <f t="shared" si="111"/>
        <v>0</v>
      </c>
      <c r="B1841" s="1154" t="s">
        <v>1568</v>
      </c>
      <c r="C1841" s="1154"/>
      <c r="D1841" s="1090"/>
      <c r="E1841" s="1079" t="str">
        <f>VLOOKUP($B1841,DG!A:D,DG!$B$2,)</f>
        <v>06.1115</v>
      </c>
      <c r="F1841" s="1080" t="str">
        <f>VLOOKUP($B1841,DG!A:D,DG!$C$2,)</f>
        <v>Lắp sứ đứng 24KV</v>
      </c>
      <c r="G1841" s="1079" t="str">
        <f>VLOOKUP($B1841,DG!A:D,DG!$D$2,)</f>
        <v>bộ</v>
      </c>
      <c r="H1841" s="1851"/>
      <c r="I1841" s="1259">
        <f t="shared" si="110"/>
        <v>0</v>
      </c>
      <c r="J1841" s="1081"/>
      <c r="K1841" s="1081"/>
      <c r="L1841" s="1110"/>
      <c r="M1841" s="975">
        <v>400</v>
      </c>
    </row>
    <row r="1842" spans="1:13" s="1083" customFormat="1" ht="25.2" hidden="1" customHeight="1">
      <c r="A1842" s="1153">
        <f t="shared" si="111"/>
        <v>0</v>
      </c>
      <c r="B1842" s="1154" t="s">
        <v>235</v>
      </c>
      <c r="C1842" s="1154"/>
      <c r="D1842" s="1090"/>
      <c r="E1842" s="1079" t="str">
        <f>VLOOKUP($B1842,DG!A:D,DG!$B$2,)</f>
        <v>06.1115</v>
      </c>
      <c r="F1842" s="1080" t="str">
        <f>VLOOKUP($B1842,DG!A:D,DG!$C$2,)</f>
        <v>Tháo sứ đứng 24KV</v>
      </c>
      <c r="G1842" s="1079" t="str">
        <f>VLOOKUP($B1842,DG!A:D,DG!$D$2,)</f>
        <v>bộ</v>
      </c>
      <c r="H1842" s="1851"/>
      <c r="I1842" s="1259">
        <f t="shared" si="110"/>
        <v>0</v>
      </c>
      <c r="J1842" s="1081"/>
      <c r="K1842" s="1081"/>
      <c r="L1842" s="1110"/>
      <c r="M1842" s="975">
        <v>400</v>
      </c>
    </row>
    <row r="1843" spans="1:13" s="1083" customFormat="1" ht="25.2" hidden="1" customHeight="1">
      <c r="A1843" s="1153">
        <f t="shared" si="111"/>
        <v>0</v>
      </c>
      <c r="B1843" s="1154" t="s">
        <v>1510</v>
      </c>
      <c r="C1843" s="1154"/>
      <c r="D1843" s="1090"/>
      <c r="E1843" s="1079" t="str">
        <f>VLOOKUP($B1843,DG!A:D,DG!$B$2,)</f>
        <v>06.2201</v>
      </c>
      <c r="F1843" s="1080" t="str">
        <f>VLOOKUP($B1843,DG!A:D,DG!$C$2,)</f>
        <v>Lắp chuỗi sứ néo Polymer</v>
      </c>
      <c r="G1843" s="1079" t="str">
        <f>VLOOKUP($B1843,DG!A:D,DG!$D$2,)</f>
        <v>chuỗi</v>
      </c>
      <c r="H1843" s="1851">
        <f>H1840</f>
        <v>0</v>
      </c>
      <c r="I1843" s="1259">
        <f t="shared" ref="I1843:I1906" si="112">IF(M1843=$M$23,H1843+J1843-K1843,0)</f>
        <v>0</v>
      </c>
      <c r="J1843" s="1081"/>
      <c r="K1843" s="1081"/>
      <c r="L1843" s="1110"/>
      <c r="M1843" s="975">
        <v>400</v>
      </c>
    </row>
    <row r="1844" spans="1:13" s="1083" customFormat="1" ht="25.2" hidden="1" customHeight="1">
      <c r="A1844" s="1153">
        <f t="shared" si="111"/>
        <v>0</v>
      </c>
      <c r="B1844" s="1154" t="s">
        <v>1528</v>
      </c>
      <c r="C1844" s="1154"/>
      <c r="D1844" s="1090"/>
      <c r="E1844" s="1079" t="str">
        <f>VLOOKUP($B1844,DG!A:D,DG!$B$2,)</f>
        <v>04.4201</v>
      </c>
      <c r="F1844" s="1080" t="str">
        <f>VLOOKUP($B1844,DG!A:D,DG!$C$2,)</f>
        <v>Lắp cáp đồng xuống thiết bị D ≤ 95mm2</v>
      </c>
      <c r="G1844" s="1079" t="str">
        <f>VLOOKUP($B1844,DG!A:D,DG!$D$2,)</f>
        <v>m</v>
      </c>
      <c r="H1844" s="1851">
        <f>H1832+H1833</f>
        <v>0</v>
      </c>
      <c r="I1844" s="1259">
        <f t="shared" si="112"/>
        <v>0</v>
      </c>
      <c r="J1844" s="1081"/>
      <c r="K1844" s="1081"/>
      <c r="L1844" s="1110"/>
      <c r="M1844" s="975">
        <v>400</v>
      </c>
    </row>
    <row r="1845" spans="1:13" s="1083" customFormat="1" ht="25.2" hidden="1" customHeight="1">
      <c r="A1845" s="1153">
        <f t="shared" si="111"/>
        <v>0</v>
      </c>
      <c r="B1845" s="1324"/>
      <c r="C1845" s="1324"/>
      <c r="D1845" s="1084">
        <f>IF(H1845&gt;0,D1830+1,D1830)</f>
        <v>0</v>
      </c>
      <c r="E1845" s="1085"/>
      <c r="F1845" s="1094" t="s">
        <v>3726</v>
      </c>
      <c r="G1845" s="1084" t="s">
        <v>2391</v>
      </c>
      <c r="H1845" s="1867">
        <f>H1711*0</f>
        <v>0</v>
      </c>
      <c r="I1845" s="1259">
        <f t="shared" si="112"/>
        <v>0</v>
      </c>
      <c r="J1845" s="1081"/>
      <c r="K1845" s="1081"/>
      <c r="L1845" s="1082"/>
      <c r="M1845" s="975">
        <v>400</v>
      </c>
    </row>
    <row r="1846" spans="1:13" s="1083" customFormat="1" ht="25.2" hidden="1" customHeight="1">
      <c r="A1846" s="1153">
        <f t="shared" si="111"/>
        <v>0</v>
      </c>
      <c r="B1846" s="1324"/>
      <c r="C1846" s="1324"/>
      <c r="D1846" s="1078"/>
      <c r="E1846" s="1088"/>
      <c r="F1846" s="1368" t="s">
        <v>2285</v>
      </c>
      <c r="G1846" s="1078"/>
      <c r="H1846" s="1868"/>
      <c r="I1846" s="1259">
        <f t="shared" si="112"/>
        <v>0</v>
      </c>
      <c r="J1846" s="1081"/>
      <c r="K1846" s="1081"/>
      <c r="L1846" s="1082"/>
      <c r="M1846" s="975">
        <v>400</v>
      </c>
    </row>
    <row r="1847" spans="1:13" s="1083" customFormat="1" ht="25.2" hidden="1" customHeight="1">
      <c r="A1847" s="1153">
        <f t="shared" si="111"/>
        <v>0</v>
      </c>
      <c r="B1847" s="1324" t="s">
        <v>1492</v>
      </c>
      <c r="C1847" s="1324"/>
      <c r="D1847" s="1090"/>
      <c r="E1847" s="1079" t="str">
        <f>VLOOKUP($B1847,DG!A:D,DG!$B$2,)</f>
        <v>04.8003</v>
      </c>
      <c r="F1847" s="1080" t="str">
        <f>VLOOKUP($B1847,DG!A:D,DG!$C$2,)</f>
        <v xml:space="preserve">Ống PVC D90x3,8mm </v>
      </c>
      <c r="G1847" s="1079" t="str">
        <f>VLOOKUP($B1847,DG!A:D,DG!$D$2,)</f>
        <v>m</v>
      </c>
      <c r="H1847" s="1851">
        <f>H1845*2</f>
        <v>0</v>
      </c>
      <c r="I1847" s="1259">
        <f t="shared" si="112"/>
        <v>0</v>
      </c>
      <c r="J1847" s="1081"/>
      <c r="K1847" s="1081"/>
      <c r="L1847" s="1082"/>
      <c r="M1847" s="975">
        <v>400</v>
      </c>
    </row>
    <row r="1848" spans="1:13" s="1083" customFormat="1" ht="25.2" hidden="1" customHeight="1">
      <c r="A1848" s="1153">
        <f t="shared" si="111"/>
        <v>0</v>
      </c>
      <c r="B1848" s="1324" t="s">
        <v>86</v>
      </c>
      <c r="C1848" s="1324"/>
      <c r="D1848" s="1090"/>
      <c r="E1848" s="1079">
        <f>VLOOKUP($B1848,DG!A:D,DG!$B$2,)</f>
        <v>0</v>
      </c>
      <c r="F1848" s="1080" t="str">
        <f>VLOOKUP($B1848,DG!A:D,DG!$C$2,)</f>
        <v>Co  90 độ PVC 90</v>
      </c>
      <c r="G1848" s="1079" t="str">
        <f>VLOOKUP($B1848,DG!A:D,DG!$D$2,)</f>
        <v>cái</v>
      </c>
      <c r="H1848" s="1851">
        <f>H1845</f>
        <v>0</v>
      </c>
      <c r="I1848" s="1259">
        <f t="shared" si="112"/>
        <v>0</v>
      </c>
      <c r="J1848" s="1081"/>
      <c r="K1848" s="1081"/>
      <c r="L1848" s="1082"/>
      <c r="M1848" s="975">
        <v>400</v>
      </c>
    </row>
    <row r="1849" spans="1:13" s="1083" customFormat="1" ht="25.2" hidden="1" customHeight="1">
      <c r="A1849" s="1153">
        <f t="shared" si="111"/>
        <v>0</v>
      </c>
      <c r="B1849" s="1324" t="s">
        <v>931</v>
      </c>
      <c r="C1849" s="1324"/>
      <c r="D1849" s="1090"/>
      <c r="E1849" s="1079">
        <f>VLOOKUP($B1849,DG!A:D,DG!$B$2,)</f>
        <v>0</v>
      </c>
      <c r="F1849" s="1080" t="str">
        <f>VLOOKUP($B1849,DG!A:D,DG!$C$2,)</f>
        <v>Khâu ven răng trong D90</v>
      </c>
      <c r="G1849" s="1079" t="str">
        <f>VLOOKUP($B1849,DG!A:D,DG!$D$2,)</f>
        <v>cái</v>
      </c>
      <c r="H1849" s="1851">
        <f>H1845*2</f>
        <v>0</v>
      </c>
      <c r="I1849" s="1259">
        <f t="shared" si="112"/>
        <v>0</v>
      </c>
      <c r="J1849" s="1081"/>
      <c r="K1849" s="1081"/>
      <c r="L1849" s="1082"/>
      <c r="M1849" s="975">
        <v>400</v>
      </c>
    </row>
    <row r="1850" spans="1:13" s="1083" customFormat="1" ht="25.2" hidden="1" customHeight="1">
      <c r="A1850" s="1153">
        <f t="shared" si="111"/>
        <v>0</v>
      </c>
      <c r="B1850" s="1324" t="s">
        <v>930</v>
      </c>
      <c r="C1850" s="1324"/>
      <c r="D1850" s="1090"/>
      <c r="E1850" s="1079">
        <f>VLOOKUP($B1850,DG!A:D,DG!$B$2,)</f>
        <v>0</v>
      </c>
      <c r="F1850" s="1080" t="str">
        <f>VLOOKUP($B1850,DG!A:D,DG!$C$2,)</f>
        <v>Khâu ven răng ngoài D90</v>
      </c>
      <c r="G1850" s="1079" t="str">
        <f>VLOOKUP($B1850,DG!A:D,DG!$D$2,)</f>
        <v>cái</v>
      </c>
      <c r="H1850" s="1851">
        <f>H1849</f>
        <v>0</v>
      </c>
      <c r="I1850" s="1259">
        <f t="shared" si="112"/>
        <v>0</v>
      </c>
      <c r="J1850" s="1081"/>
      <c r="K1850" s="1081"/>
      <c r="L1850" s="1082"/>
      <c r="M1850" s="975">
        <v>400</v>
      </c>
    </row>
    <row r="1851" spans="1:13" s="1083" customFormat="1" ht="25.2" hidden="1" customHeight="1">
      <c r="A1851" s="1153">
        <f t="shared" si="111"/>
        <v>0</v>
      </c>
      <c r="B1851" s="1154"/>
      <c r="C1851" s="1154"/>
      <c r="D1851" s="1084">
        <f>IF(H1851&gt;0,D1845+1,D1845)</f>
        <v>0</v>
      </c>
      <c r="E1851" s="1085"/>
      <c r="F1851" s="1094" t="s">
        <v>3746</v>
      </c>
      <c r="G1851" s="1084" t="s">
        <v>2391</v>
      </c>
      <c r="H1851" s="1888">
        <f>H1792</f>
        <v>0</v>
      </c>
      <c r="I1851" s="1259">
        <f t="shared" si="112"/>
        <v>0</v>
      </c>
      <c r="J1851" s="1081"/>
      <c r="K1851" s="1081"/>
      <c r="L1851" s="1110"/>
      <c r="M1851" s="975">
        <v>400</v>
      </c>
    </row>
    <row r="1852" spans="1:13" s="1083" customFormat="1" ht="25.2" hidden="1" customHeight="1">
      <c r="A1852" s="1153">
        <f t="shared" si="111"/>
        <v>0</v>
      </c>
      <c r="B1852" s="1154"/>
      <c r="C1852" s="1154"/>
      <c r="D1852" s="1078"/>
      <c r="E1852" s="1088"/>
      <c r="F1852" s="1368" t="s">
        <v>2285</v>
      </c>
      <c r="G1852" s="1078"/>
      <c r="H1852" s="1851"/>
      <c r="I1852" s="1259">
        <f t="shared" si="112"/>
        <v>0</v>
      </c>
      <c r="J1852" s="1081"/>
      <c r="K1852" s="1081"/>
      <c r="L1852" s="1110"/>
      <c r="M1852" s="975">
        <v>400</v>
      </c>
    </row>
    <row r="1853" spans="1:13" s="1083" customFormat="1" ht="25.2" hidden="1" customHeight="1">
      <c r="A1853" s="1153">
        <f t="shared" si="111"/>
        <v>0</v>
      </c>
      <c r="B1853" s="1356" t="s">
        <v>608</v>
      </c>
      <c r="C1853" s="1356"/>
      <c r="D1853" s="1090"/>
      <c r="E1853" s="1079">
        <f>VLOOKUP($B1853,DG!A:D,DG!$B$2,)</f>
        <v>0</v>
      </c>
      <c r="F1853" s="1080" t="str">
        <f>VLOOKUP($B1853,DG!A:D,DG!$C$2,)&amp;":  "&amp;2&amp;" x 9m/pha "</f>
        <v xml:space="preserve">Cáp đồng bọc CV200:  2 x 9m/pha </v>
      </c>
      <c r="G1853" s="1079" t="str">
        <f>VLOOKUP($B1853,DG!A:D,DG!$D$2,)</f>
        <v>mét</v>
      </c>
      <c r="H1853" s="1851">
        <f>9*3*H1851*2</f>
        <v>0</v>
      </c>
      <c r="I1853" s="1259">
        <f t="shared" si="112"/>
        <v>0</v>
      </c>
      <c r="J1853" s="1081"/>
      <c r="K1853" s="1081"/>
      <c r="L1853" s="1110"/>
      <c r="M1853" s="975">
        <v>400</v>
      </c>
    </row>
    <row r="1854" spans="1:13" s="1083" customFormat="1" ht="25.2" hidden="1" customHeight="1">
      <c r="A1854" s="1153">
        <f t="shared" si="111"/>
        <v>0</v>
      </c>
      <c r="B1854" s="1356" t="s">
        <v>608</v>
      </c>
      <c r="C1854" s="1356"/>
      <c r="D1854" s="1090"/>
      <c r="E1854" s="1079">
        <f>VLOOKUP($B1854,DG!A:D,DG!$B$2,)</f>
        <v>0</v>
      </c>
      <c r="F1854" s="1080" t="e">
        <f>VLOOKUP($B1854,DG!A:D,DG!$C$2,)&amp;":  "&amp;#REF!&amp;" x 9m/trung tính "</f>
        <v>#REF!</v>
      </c>
      <c r="G1854" s="1079" t="str">
        <f>VLOOKUP($B1854,DG!A:D,DG!$D$2,)</f>
        <v>mét</v>
      </c>
      <c r="H1854" s="1851">
        <f>9*H1851</f>
        <v>0</v>
      </c>
      <c r="I1854" s="1259">
        <f t="shared" si="112"/>
        <v>0</v>
      </c>
      <c r="J1854" s="1081"/>
      <c r="K1854" s="1081"/>
      <c r="L1854" s="1110"/>
      <c r="M1854" s="975">
        <v>400</v>
      </c>
    </row>
    <row r="1855" spans="1:13" s="1083" customFormat="1" ht="25.2" hidden="1" customHeight="1">
      <c r="A1855" s="1153">
        <f t="shared" si="111"/>
        <v>0</v>
      </c>
      <c r="B1855" s="1324" t="s">
        <v>447</v>
      </c>
      <c r="C1855" s="1324"/>
      <c r="D1855" s="1090"/>
      <c r="E1855" s="1079" t="str">
        <f>VLOOKUP($B1855,DG!A:D,DG!$B$2,)</f>
        <v>03.4008</v>
      </c>
      <c r="F1855" s="1080" t="str">
        <f>VLOOKUP($B1855,DG!A:D,DG!$C$2,)&amp;": "</f>
        <v xml:space="preserve">Đầu cosse ép Cu 200mm2: </v>
      </c>
      <c r="G1855" s="1079" t="str">
        <f>VLOOKUP($B1855,DG!A:D,DG!$D$2,)</f>
        <v>cái</v>
      </c>
      <c r="H1855" s="1851">
        <f>H1851*2*7</f>
        <v>0</v>
      </c>
      <c r="I1855" s="1259">
        <f t="shared" si="112"/>
        <v>0</v>
      </c>
      <c r="J1855" s="1081"/>
      <c r="K1855" s="1081"/>
      <c r="L1855" s="1110"/>
      <c r="M1855" s="975">
        <v>400</v>
      </c>
    </row>
    <row r="1856" spans="1:13" s="1083" customFormat="1" ht="25.2" hidden="1" customHeight="1">
      <c r="A1856" s="1153">
        <f t="shared" si="111"/>
        <v>0</v>
      </c>
      <c r="B1856" s="1324" t="s">
        <v>610</v>
      </c>
      <c r="C1856" s="1324"/>
      <c r="D1856" s="1090"/>
      <c r="E1856" s="1079">
        <f>VLOOKUP($B1856,DG!A:D,DG!$B$2,)</f>
        <v>0</v>
      </c>
      <c r="F1856" s="1080" t="str">
        <f>VLOOKUP($B1856,DG!A:D,DG!$C$2,)&amp;": "</f>
        <v xml:space="preserve">Chụp đầu cosse  200mm2: </v>
      </c>
      <c r="G1856" s="1079" t="str">
        <f>VLOOKUP($B1856,DG!A:D,DG!$D$2,)</f>
        <v>cái</v>
      </c>
      <c r="H1856" s="1851">
        <f>H1855</f>
        <v>0</v>
      </c>
      <c r="I1856" s="1259">
        <f t="shared" si="112"/>
        <v>0</v>
      </c>
      <c r="J1856" s="1081"/>
      <c r="K1856" s="1081"/>
      <c r="L1856" s="1110"/>
      <c r="M1856" s="975">
        <v>400</v>
      </c>
    </row>
    <row r="1857" spans="1:13" s="1083" customFormat="1" ht="25.2" hidden="1" customHeight="1">
      <c r="A1857" s="1153">
        <f t="shared" si="111"/>
        <v>0</v>
      </c>
      <c r="B1857" s="1324" t="s">
        <v>1042</v>
      </c>
      <c r="C1857" s="1324"/>
      <c r="D1857" s="1090"/>
      <c r="E1857" s="1079">
        <f>VLOOKUP($B1857,DG!A:D,DG!$B$2,)</f>
        <v>0</v>
      </c>
      <c r="F1857" s="1080" t="str">
        <f>VLOOKUP($B1857,DG!A:D,DG!$C$2,)</f>
        <v xml:space="preserve">Ống PVC D114x4,9mm </v>
      </c>
      <c r="G1857" s="1079" t="str">
        <f>VLOOKUP($B1857,DG!A:D,DG!$D$2,)</f>
        <v>m</v>
      </c>
      <c r="H1857" s="1851"/>
      <c r="I1857" s="1259">
        <f t="shared" si="112"/>
        <v>0</v>
      </c>
      <c r="J1857" s="1081"/>
      <c r="K1857" s="1081"/>
      <c r="L1857" s="1110"/>
      <c r="M1857" s="975">
        <v>400</v>
      </c>
    </row>
    <row r="1858" spans="1:13" s="1083" customFormat="1" ht="25.2" hidden="1" customHeight="1">
      <c r="A1858" s="1153">
        <f t="shared" si="111"/>
        <v>0</v>
      </c>
      <c r="B1858" s="1154" t="s">
        <v>731</v>
      </c>
      <c r="C1858" s="1154"/>
      <c r="D1858" s="1090"/>
      <c r="E1858" s="1079" t="str">
        <f>VLOOKUP($B1858,DG!A:D,DG!$B$2,)</f>
        <v>06.3231</v>
      </c>
      <c r="F1858" s="1080" t="str">
        <f>VLOOKUP($B1858,DG!A:D,DG!$C$2,)&amp;": CD-250"</f>
        <v>Cổ dê kẹp ống PVC Ø 114: CD-250</v>
      </c>
      <c r="G1858" s="1079" t="s">
        <v>2445</v>
      </c>
      <c r="H1858" s="1851">
        <f>H1851*1</f>
        <v>0</v>
      </c>
      <c r="I1858" s="1259">
        <f t="shared" si="112"/>
        <v>0</v>
      </c>
      <c r="J1858" s="1081"/>
      <c r="K1858" s="1081"/>
      <c r="L1858" s="1110"/>
      <c r="M1858" s="975">
        <v>400</v>
      </c>
    </row>
    <row r="1859" spans="1:13" s="1083" customFormat="1" ht="25.2" hidden="1" customHeight="1">
      <c r="A1859" s="1153">
        <f t="shared" si="111"/>
        <v>0</v>
      </c>
      <c r="B1859" s="1154" t="s">
        <v>731</v>
      </c>
      <c r="C1859" s="1154"/>
      <c r="D1859" s="1090"/>
      <c r="E1859" s="1079" t="str">
        <f>VLOOKUP($B1859,DG!A:D,DG!$B$2,)</f>
        <v>06.3231</v>
      </c>
      <c r="F1859" s="1080" t="str">
        <f>VLOOKUP($B1859,DG!A:D,DG!$C$2,)&amp;": CD-280"</f>
        <v>Cổ dê kẹp ống PVC Ø 114: CD-280</v>
      </c>
      <c r="G1859" s="1079" t="s">
        <v>2445</v>
      </c>
      <c r="H1859" s="1851">
        <f>H1851*1</f>
        <v>0</v>
      </c>
      <c r="I1859" s="1259">
        <f t="shared" si="112"/>
        <v>0</v>
      </c>
      <c r="J1859" s="1081"/>
      <c r="K1859" s="1081"/>
      <c r="L1859" s="1110"/>
      <c r="M1859" s="975">
        <v>400</v>
      </c>
    </row>
    <row r="1860" spans="1:13" s="1083" customFormat="1" ht="25.2" hidden="1" customHeight="1">
      <c r="A1860" s="1153">
        <f t="shared" si="111"/>
        <v>0</v>
      </c>
      <c r="B1860" s="1154" t="s">
        <v>731</v>
      </c>
      <c r="C1860" s="1154"/>
      <c r="D1860" s="1090"/>
      <c r="E1860" s="1079" t="str">
        <f>VLOOKUP($B1860,DG!A:D,DG!$B$2,)</f>
        <v>06.3231</v>
      </c>
      <c r="F1860" s="1080" t="str">
        <f>VLOOKUP($B1860,DG!A:D,DG!$C$2,)&amp;": CD-320"</f>
        <v>Cổ dê kẹp ống PVC Ø 114: CD-320</v>
      </c>
      <c r="G1860" s="1079" t="s">
        <v>2445</v>
      </c>
      <c r="H1860" s="1851">
        <f>H1851*1</f>
        <v>0</v>
      </c>
      <c r="I1860" s="1259">
        <f t="shared" si="112"/>
        <v>0</v>
      </c>
      <c r="J1860" s="1081"/>
      <c r="K1860" s="1081"/>
      <c r="L1860" s="1110"/>
      <c r="M1860" s="975">
        <v>400</v>
      </c>
    </row>
    <row r="1861" spans="1:13" s="1083" customFormat="1" ht="25.2" hidden="1" customHeight="1">
      <c r="A1861" s="1153">
        <f t="shared" si="111"/>
        <v>0</v>
      </c>
      <c r="B1861" s="1360" t="s">
        <v>381</v>
      </c>
      <c r="C1861" s="1360"/>
      <c r="D1861" s="1090"/>
      <c r="E1861" s="1079">
        <f>VLOOKUP($B1861,DG!A:D,DG!$B$2,)</f>
        <v>0</v>
      </c>
      <c r="F1861" s="1080" t="str">
        <f>VLOOKUP($B1861,DG!A:D,DG!$C$2,)&amp;": CD-320"</f>
        <v>Chụp đầu cực FCO (bộ 2 cái): CD-320</v>
      </c>
      <c r="G1861" s="1079" t="s">
        <v>2445</v>
      </c>
      <c r="H1861" s="1851"/>
      <c r="I1861" s="1259">
        <f t="shared" si="112"/>
        <v>0</v>
      </c>
      <c r="J1861" s="1081"/>
      <c r="K1861" s="1081"/>
      <c r="L1861" s="1110"/>
      <c r="M1861" s="975">
        <v>400</v>
      </c>
    </row>
    <row r="1862" spans="1:13" s="1083" customFormat="1" ht="25.2" hidden="1" customHeight="1">
      <c r="A1862" s="1153">
        <f t="shared" si="111"/>
        <v>0</v>
      </c>
      <c r="B1862" s="1360" t="s">
        <v>379</v>
      </c>
      <c r="C1862" s="1360"/>
      <c r="D1862" s="1090"/>
      <c r="E1862" s="1079">
        <f>VLOOKUP($B1862,DG!A:D,DG!$B$2,)</f>
        <v>0</v>
      </c>
      <c r="F1862" s="1080" t="str">
        <f>VLOOKUP($B1862,DG!A:D,DG!$C$2,)&amp;": CD-320"</f>
        <v>Chụp đầu cực LA: CD-320</v>
      </c>
      <c r="G1862" s="1079" t="s">
        <v>2445</v>
      </c>
      <c r="H1862" s="1851"/>
      <c r="I1862" s="1259">
        <f t="shared" si="112"/>
        <v>0</v>
      </c>
      <c r="J1862" s="1081"/>
      <c r="K1862" s="1081"/>
      <c r="L1862" s="1110"/>
      <c r="M1862" s="975">
        <v>400</v>
      </c>
    </row>
    <row r="1863" spans="1:13" s="1083" customFormat="1" ht="25.2" hidden="1" customHeight="1">
      <c r="A1863" s="1153">
        <f t="shared" si="111"/>
        <v>0</v>
      </c>
      <c r="B1863" s="1360" t="s">
        <v>380</v>
      </c>
      <c r="C1863" s="1360"/>
      <c r="D1863" s="1090"/>
      <c r="E1863" s="1079">
        <f>VLOOKUP($B1863,DG!A:D,DG!$B$2,)</f>
        <v>0</v>
      </c>
      <c r="F1863" s="1080" t="str">
        <f>VLOOKUP($B1863,DG!A:D,DG!$C$2,)&amp;": CD-320"</f>
        <v>Chụp đầu MBA: CD-320</v>
      </c>
      <c r="G1863" s="1079" t="s">
        <v>2445</v>
      </c>
      <c r="H1863" s="1851"/>
      <c r="I1863" s="1259">
        <f t="shared" si="112"/>
        <v>0</v>
      </c>
      <c r="J1863" s="1081"/>
      <c r="K1863" s="1081"/>
      <c r="L1863" s="1110"/>
      <c r="M1863" s="975">
        <v>400</v>
      </c>
    </row>
    <row r="1864" spans="1:13" s="1083" customFormat="1" ht="25.2" hidden="1" customHeight="1">
      <c r="A1864" s="1153">
        <f t="shared" si="111"/>
        <v>0</v>
      </c>
      <c r="B1864" s="1154" t="s">
        <v>1131</v>
      </c>
      <c r="C1864" s="1154"/>
      <c r="D1864" s="1090"/>
      <c r="E1864" s="1079" t="str">
        <f>VLOOKUP($B1864,DG!A:D,DG!$B$2,)</f>
        <v>06.2110</v>
      </c>
      <c r="F1864" s="1080" t="str">
        <f>VLOOKUP($B1864,DG!A:D,DG!$C$2,)</f>
        <v>Lắp cổ dề</v>
      </c>
      <c r="G1864" s="1079" t="str">
        <f>VLOOKUP($B1864,DG!A:D,DG!$D$2,)</f>
        <v>bộ</v>
      </c>
      <c r="H1864" s="1851">
        <f>H1851*3</f>
        <v>0</v>
      </c>
      <c r="I1864" s="1259">
        <f t="shared" si="112"/>
        <v>0</v>
      </c>
      <c r="J1864" s="1081"/>
      <c r="K1864" s="1081"/>
      <c r="L1864" s="1110"/>
      <c r="M1864" s="975">
        <v>400</v>
      </c>
    </row>
    <row r="1865" spans="1:13" s="1083" customFormat="1" ht="25.2" hidden="1" customHeight="1">
      <c r="A1865" s="1153">
        <f t="shared" si="111"/>
        <v>0</v>
      </c>
      <c r="B1865" s="1324" t="s">
        <v>2173</v>
      </c>
      <c r="C1865" s="1324"/>
      <c r="D1865" s="1090"/>
      <c r="E1865" s="1079">
        <f>VLOOKUP($B1865,DG!A:D,DG!$B$2,)</f>
        <v>0</v>
      </c>
      <c r="F1865" s="1080" t="str">
        <f>VLOOKUP($B1865,DG!A:D,DG!$C$2,)</f>
        <v>Khâu ven răng trong D114</v>
      </c>
      <c r="G1865" s="1079" t="str">
        <f>VLOOKUP($B1865,DG!A:D,DG!$D$2,)</f>
        <v>cái</v>
      </c>
      <c r="H1865" s="1851">
        <f>H1851*2</f>
        <v>0</v>
      </c>
      <c r="I1865" s="1259">
        <f t="shared" si="112"/>
        <v>0</v>
      </c>
      <c r="J1865" s="1081"/>
      <c r="K1865" s="1081"/>
      <c r="L1865" s="1110"/>
      <c r="M1865" s="975">
        <v>400</v>
      </c>
    </row>
    <row r="1866" spans="1:13" s="1083" customFormat="1" ht="25.2" hidden="1" customHeight="1">
      <c r="A1866" s="1153">
        <f t="shared" si="111"/>
        <v>0</v>
      </c>
      <c r="B1866" s="1324" t="s">
        <v>2174</v>
      </c>
      <c r="C1866" s="1324"/>
      <c r="D1866" s="1090"/>
      <c r="E1866" s="1079">
        <f>VLOOKUP($B1866,DG!A:D,DG!$B$2,)</f>
        <v>0</v>
      </c>
      <c r="F1866" s="1080" t="str">
        <f>VLOOKUP($B1866,DG!A:D,DG!$C$2,)&amp;": "</f>
        <v xml:space="preserve">Khâu ven răng ngoài D114: </v>
      </c>
      <c r="G1866" s="1079" t="str">
        <f>VLOOKUP($B1866,DG!A:D,DG!$D$2,)</f>
        <v>cái</v>
      </c>
      <c r="H1866" s="1851">
        <f>H1865</f>
        <v>0</v>
      </c>
      <c r="I1866" s="1259">
        <f t="shared" si="112"/>
        <v>0</v>
      </c>
      <c r="J1866" s="1081"/>
      <c r="K1866" s="1081"/>
      <c r="L1866" s="1110"/>
      <c r="M1866" s="975">
        <v>400</v>
      </c>
    </row>
    <row r="1867" spans="1:13" s="1083" customFormat="1" ht="25.2" hidden="1" customHeight="1">
      <c r="A1867" s="1153">
        <f t="shared" si="111"/>
        <v>0</v>
      </c>
      <c r="B1867" s="1324" t="s">
        <v>2080</v>
      </c>
      <c r="C1867" s="1324"/>
      <c r="D1867" s="1090"/>
      <c r="E1867" s="1079">
        <f>VLOOKUP($B1867,DG!A:D,DG!$B$2,)</f>
        <v>0</v>
      </c>
      <c r="F1867" s="1080" t="str">
        <f>VLOOKUP($B1867,DG!A:D,DG!$C$2,)&amp;": "</f>
        <v xml:space="preserve">Keo dán ống PVC (100gr): </v>
      </c>
      <c r="G1867" s="1079" t="str">
        <f>VLOOKUP($B1867,DG!A:D,DG!$D$2,)</f>
        <v>tuýp</v>
      </c>
      <c r="H1867" s="1851">
        <f>H1851</f>
        <v>0</v>
      </c>
      <c r="I1867" s="1259">
        <f t="shared" si="112"/>
        <v>0</v>
      </c>
      <c r="J1867" s="1081"/>
      <c r="K1867" s="1081"/>
      <c r="L1867" s="1110"/>
      <c r="M1867" s="975">
        <v>400</v>
      </c>
    </row>
    <row r="1868" spans="1:13" s="1083" customFormat="1" ht="25.2" hidden="1" customHeight="1">
      <c r="A1868" s="1153">
        <f t="shared" si="111"/>
        <v>0</v>
      </c>
      <c r="B1868" s="1154" t="s">
        <v>6</v>
      </c>
      <c r="C1868" s="1154"/>
      <c r="D1868" s="1090"/>
      <c r="E1868" s="1079"/>
      <c r="F1868" s="1080" t="str">
        <f>VLOOKUP($B1868,DG!A:D,DG!$C$2,)&amp;":"</f>
        <v>Keo silicon bít miệng ống:</v>
      </c>
      <c r="G1868" s="1079" t="str">
        <f>VLOOKUP($B1868,DG!A:D,DG!$D$2,)</f>
        <v>ống</v>
      </c>
      <c r="H1868" s="1851">
        <f>H1867</f>
        <v>0</v>
      </c>
      <c r="I1868" s="1259">
        <f t="shared" si="112"/>
        <v>0</v>
      </c>
      <c r="J1868" s="1081"/>
      <c r="K1868" s="1081"/>
      <c r="L1868" s="1082"/>
      <c r="M1868" s="975">
        <v>400</v>
      </c>
    </row>
    <row r="1869" spans="1:13" s="1083" customFormat="1" ht="25.2" hidden="1" customHeight="1">
      <c r="A1869" s="1153">
        <f t="shared" si="111"/>
        <v>0</v>
      </c>
      <c r="B1869" s="1154" t="s">
        <v>672</v>
      </c>
      <c r="C1869" s="1154"/>
      <c r="D1869" s="1090"/>
      <c r="E1869" s="1079">
        <f>VLOOKUP($B1869,DG!A:D,DG!$B$2,)</f>
        <v>0</v>
      </c>
      <c r="F1869" s="1080" t="str">
        <f>VLOOKUP($B1869,DG!A:D,DG!$C$2,)&amp;":"</f>
        <v>Băng keo cách điện:</v>
      </c>
      <c r="G1869" s="1079" t="str">
        <f>VLOOKUP($B1869,DG!A:D,DG!$D$2,)</f>
        <v>cuộn</v>
      </c>
      <c r="H1869" s="1851">
        <f>H1868</f>
        <v>0</v>
      </c>
      <c r="I1869" s="1259">
        <f t="shared" si="112"/>
        <v>0</v>
      </c>
      <c r="J1869" s="1081"/>
      <c r="K1869" s="1081"/>
      <c r="L1869" s="1110"/>
      <c r="M1869" s="975">
        <v>400</v>
      </c>
    </row>
    <row r="1870" spans="1:13" s="1083" customFormat="1" ht="25.2" hidden="1" customHeight="1">
      <c r="A1870" s="1153">
        <f t="shared" si="111"/>
        <v>0</v>
      </c>
      <c r="B1870" s="1154" t="s">
        <v>247</v>
      </c>
      <c r="C1870" s="1154"/>
      <c r="D1870" s="1090"/>
      <c r="E1870" s="1079" t="str">
        <f>VLOOKUP($B1870,DG!A:D,DG!$B$2,)</f>
        <v>04.4203</v>
      </c>
      <c r="F1870" s="1080" t="str">
        <f>VLOOKUP($B1870,DG!A:D,DG!$C$2,)&amp;":"</f>
        <v>Lắp cáp đồng xuống thiết bị D &gt; 150mm2:</v>
      </c>
      <c r="G1870" s="1079" t="str">
        <f>VLOOKUP($B1870,DG!A:D,DG!$D$2,)</f>
        <v>m</v>
      </c>
      <c r="H1870" s="1851">
        <f>H1853+H1854</f>
        <v>0</v>
      </c>
      <c r="I1870" s="1259">
        <f t="shared" si="112"/>
        <v>0</v>
      </c>
      <c r="J1870" s="1081"/>
      <c r="K1870" s="1081"/>
      <c r="L1870" s="1110"/>
      <c r="M1870" s="975">
        <v>400</v>
      </c>
    </row>
    <row r="1871" spans="1:13" s="1083" customFormat="1" ht="25.2" hidden="1" customHeight="1">
      <c r="A1871" s="1153">
        <f t="shared" si="111"/>
        <v>0</v>
      </c>
      <c r="B1871" s="1154"/>
      <c r="C1871" s="1154"/>
      <c r="D1871" s="1084">
        <f>IF(H1871&gt;0,D1851+1,D1851)</f>
        <v>0</v>
      </c>
      <c r="E1871" s="1085"/>
      <c r="F1871" s="1094" t="s">
        <v>3747</v>
      </c>
      <c r="G1871" s="1084" t="s">
        <v>2391</v>
      </c>
      <c r="H1871" s="1888"/>
      <c r="I1871" s="1259">
        <f t="shared" si="112"/>
        <v>0</v>
      </c>
      <c r="J1871" s="1081"/>
      <c r="K1871" s="1081"/>
      <c r="L1871" s="1110"/>
      <c r="M1871" s="975">
        <v>400</v>
      </c>
    </row>
    <row r="1872" spans="1:13" s="1134" customFormat="1" ht="25.2" hidden="1" customHeight="1">
      <c r="A1872" s="1153">
        <f t="shared" si="111"/>
        <v>0</v>
      </c>
      <c r="B1872" s="1357"/>
      <c r="C1872" s="1357"/>
      <c r="D1872" s="1078"/>
      <c r="E1872" s="1088"/>
      <c r="F1872" s="1368" t="s">
        <v>2285</v>
      </c>
      <c r="G1872" s="1078"/>
      <c r="H1872" s="1868"/>
      <c r="I1872" s="1259">
        <f t="shared" si="112"/>
        <v>0</v>
      </c>
      <c r="J1872" s="1081"/>
      <c r="K1872" s="1081"/>
      <c r="L1872" s="1110"/>
      <c r="M1872" s="975">
        <v>400</v>
      </c>
    </row>
    <row r="1873" spans="1:13" s="1083" customFormat="1" ht="25.2" hidden="1" customHeight="1">
      <c r="A1873" s="1153">
        <f t="shared" si="111"/>
        <v>0</v>
      </c>
      <c r="B1873" s="1324" t="s">
        <v>1826</v>
      </c>
      <c r="C1873" s="1324"/>
      <c r="D1873" s="1110"/>
      <c r="E1873" s="1079" t="str">
        <f>VLOOKUP($B1873,DG!A:D,DG!$B$2,)</f>
        <v>03.1401</v>
      </c>
      <c r="F1873" s="1108" t="str">
        <f>VLOOKUP($B1873,DG!A:D,DG!$C$2,)</f>
        <v xml:space="preserve">Cáp CVV 4x2,5mm2  </v>
      </c>
      <c r="G1873" s="1135" t="str">
        <f>VLOOKUP($B1873,DG!A:D,DG!$D$2,)</f>
        <v>mét</v>
      </c>
      <c r="H1873" s="1851">
        <f>H1871*26</f>
        <v>0</v>
      </c>
      <c r="I1873" s="1259">
        <f t="shared" si="112"/>
        <v>0</v>
      </c>
      <c r="J1873" s="1131"/>
      <c r="K1873" s="1131"/>
      <c r="L1873" s="1110"/>
      <c r="M1873" s="975">
        <v>400</v>
      </c>
    </row>
    <row r="1874" spans="1:13" s="1083" customFormat="1" ht="25.2" hidden="1" customHeight="1">
      <c r="A1874" s="1153">
        <f t="shared" si="111"/>
        <v>0</v>
      </c>
      <c r="B1874" s="1324" t="s">
        <v>246</v>
      </c>
      <c r="C1874" s="1324"/>
      <c r="D1874" s="1110"/>
      <c r="E1874" s="1079" t="str">
        <f>VLOOKUP($B1874,DG!A:D,DG!$B$2,)</f>
        <v>05.6101</v>
      </c>
      <c r="F1874" s="1108" t="str">
        <f>VLOOKUP($B1874,DG!A:D,DG!$C$2,)</f>
        <v>Xà kẹp TU, TI U50x32x4 350</v>
      </c>
      <c r="G1874" s="1135" t="str">
        <f>VLOOKUP($B1874,DG!A:D,DG!$D$2,)</f>
        <v>Bộ</v>
      </c>
      <c r="H1874" s="1851">
        <f>H1871*24</f>
        <v>0</v>
      </c>
      <c r="I1874" s="1259">
        <f t="shared" si="112"/>
        <v>0</v>
      </c>
      <c r="J1874" s="1131"/>
      <c r="K1874" s="1131"/>
      <c r="L1874" s="1110"/>
      <c r="M1874" s="975">
        <v>400</v>
      </c>
    </row>
    <row r="1875" spans="1:13" s="1083" customFormat="1" ht="25.2" hidden="1" customHeight="1">
      <c r="A1875" s="1153">
        <f t="shared" si="111"/>
        <v>0</v>
      </c>
      <c r="B1875" s="1324" t="s">
        <v>1999</v>
      </c>
      <c r="C1875" s="1324"/>
      <c r="D1875" s="1110"/>
      <c r="E1875" s="1079" t="str">
        <f>VLOOKUP($B1875,DG!A:D,DG!$B$2,)</f>
        <v>05.6401</v>
      </c>
      <c r="F1875" s="1108" t="str">
        <f>VLOOKUP($B1875,DG!A:D,DG!$C$2,)</f>
        <v>Lắp xà đỡ ≤ 25kg</v>
      </c>
      <c r="G1875" s="1135" t="str">
        <f>VLOOKUP($B1875,DG!A:D,DG!$D$2,)</f>
        <v>bộ</v>
      </c>
      <c r="H1875" s="1851">
        <f>H1871</f>
        <v>0</v>
      </c>
      <c r="I1875" s="1259">
        <f t="shared" si="112"/>
        <v>0</v>
      </c>
      <c r="J1875" s="1131"/>
      <c r="K1875" s="1131"/>
      <c r="L1875" s="1110"/>
      <c r="M1875" s="975">
        <v>400</v>
      </c>
    </row>
    <row r="1876" spans="1:13" s="1083" customFormat="1" ht="25.2" hidden="1" customHeight="1">
      <c r="A1876" s="1153">
        <f t="shared" si="111"/>
        <v>0</v>
      </c>
      <c r="B1876" s="1324" t="s">
        <v>1869</v>
      </c>
      <c r="C1876" s="1324"/>
      <c r="D1876" s="1090"/>
      <c r="E1876" s="1079" t="str">
        <f>VLOOKUP($B1876,DG!A:D,DG!$B$2,)</f>
        <v>03.4001</v>
      </c>
      <c r="F1876" s="1108" t="str">
        <f>VLOOKUP($B1876,DG!A:D,DG!$C$2,)</f>
        <v xml:space="preserve">Đầu cosse ép Cu 2,5mm2 + bao PVC </v>
      </c>
      <c r="G1876" s="1135" t="str">
        <f>VLOOKUP($B1876,DG!A:D,DG!$D$2,)</f>
        <v>cái</v>
      </c>
      <c r="H1876" s="1851">
        <f>H1871*16</f>
        <v>0</v>
      </c>
      <c r="I1876" s="1259">
        <f t="shared" si="112"/>
        <v>0</v>
      </c>
      <c r="J1876" s="1131"/>
      <c r="K1876" s="1131"/>
      <c r="L1876" s="1110"/>
      <c r="M1876" s="975">
        <v>400</v>
      </c>
    </row>
    <row r="1877" spans="1:13" s="1083" customFormat="1" ht="25.2" hidden="1" customHeight="1">
      <c r="A1877" s="1153">
        <f t="shared" si="111"/>
        <v>0</v>
      </c>
      <c r="B1877" s="1324" t="s">
        <v>1513</v>
      </c>
      <c r="C1877" s="1324"/>
      <c r="D1877" s="1090"/>
      <c r="E1877" s="1079">
        <f>VLOOKUP($B1877,DG!A:D,DG!$B$2,)</f>
        <v>0</v>
      </c>
      <c r="F1877" s="1108" t="str">
        <f>VLOOKUP($B1877,DG!A:D,DG!$C$2,)</f>
        <v>Dây điện đôi 16/10</v>
      </c>
      <c r="G1877" s="1135" t="str">
        <f>VLOOKUP($B1877,DG!A:D,DG!$D$2,)</f>
        <v>mét</v>
      </c>
      <c r="H1877" s="1851">
        <f>2*H1871</f>
        <v>0</v>
      </c>
      <c r="I1877" s="1259">
        <f t="shared" si="112"/>
        <v>0</v>
      </c>
      <c r="J1877" s="1131"/>
      <c r="K1877" s="1131"/>
      <c r="L1877" s="1110"/>
      <c r="M1877" s="975">
        <v>400</v>
      </c>
    </row>
    <row r="1878" spans="1:13" s="1083" customFormat="1" ht="25.2" hidden="1" customHeight="1">
      <c r="A1878" s="1153">
        <f t="shared" si="111"/>
        <v>0</v>
      </c>
      <c r="B1878" s="1324" t="s">
        <v>1114</v>
      </c>
      <c r="C1878" s="1324"/>
      <c r="D1878" s="1090"/>
      <c r="E1878" s="1079">
        <f>VLOOKUP($B1878,DG!A:D,DG!$B$2,)</f>
        <v>0</v>
      </c>
      <c r="F1878" s="1108" t="str">
        <f>VLOOKUP($B1878,DG!A:D,DG!$C$2,)&amp;" (ñaáu TU )"</f>
        <v>Kẹp ép cỡ dây 25mm2 (ñaáu TU )</v>
      </c>
      <c r="G1878" s="1135" t="str">
        <f>VLOOKUP($B1878,DG!A:D,DG!$D$2,)</f>
        <v>cái</v>
      </c>
      <c r="H1878" s="1851">
        <f>+H1871*3</f>
        <v>0</v>
      </c>
      <c r="I1878" s="1259">
        <f t="shared" si="112"/>
        <v>0</v>
      </c>
      <c r="J1878" s="1131"/>
      <c r="K1878" s="1131"/>
      <c r="L1878" s="1110"/>
      <c r="M1878" s="975">
        <v>400</v>
      </c>
    </row>
    <row r="1879" spans="1:13" s="1083" customFormat="1" ht="25.2" hidden="1" customHeight="1">
      <c r="A1879" s="1153">
        <f t="shared" si="111"/>
        <v>0</v>
      </c>
      <c r="B1879" s="1324" t="s">
        <v>2147</v>
      </c>
      <c r="C1879" s="1324"/>
      <c r="D1879" s="1090"/>
      <c r="E1879" s="1079" t="str">
        <f>VLOOKUP($B1879,DG!A:D,DG!$B$2,)</f>
        <v>07.2403</v>
      </c>
      <c r="F1879" s="1108" t="str">
        <f>VLOOKUP($B1879,DG!A:D,DG!$C$2,)</f>
        <v>Ống PVC D42x2,1mm</v>
      </c>
      <c r="G1879" s="1135" t="str">
        <f>VLOOKUP($B1879,DG!A:D,DG!$D$2,)</f>
        <v>m</v>
      </c>
      <c r="H1879" s="1851">
        <f>H1871*16</f>
        <v>0</v>
      </c>
      <c r="I1879" s="1259">
        <f t="shared" si="112"/>
        <v>0</v>
      </c>
      <c r="J1879" s="1131"/>
      <c r="K1879" s="1131"/>
      <c r="L1879" s="1110"/>
      <c r="M1879" s="975">
        <v>400</v>
      </c>
    </row>
    <row r="1880" spans="1:13" s="1083" customFormat="1" ht="25.2" hidden="1" customHeight="1">
      <c r="A1880" s="1153">
        <f t="shared" si="111"/>
        <v>0</v>
      </c>
      <c r="B1880" s="1154" t="s">
        <v>204</v>
      </c>
      <c r="C1880" s="1154"/>
      <c r="D1880" s="1090"/>
      <c r="E1880" s="1079" t="str">
        <f>VLOOKUP($B1880,DG!A:D,DG!$B$2,)</f>
        <v>06.3231</v>
      </c>
      <c r="F1880" s="1108" t="str">
        <f>VLOOKUP($B1880,DG!A:D,DG!$C$2,)</f>
        <v>Cổ dê giữ ống PVC D42</v>
      </c>
      <c r="G1880" s="1135" t="s">
        <v>2445</v>
      </c>
      <c r="H1880" s="1851">
        <f>3*H1871</f>
        <v>0</v>
      </c>
      <c r="I1880" s="1259">
        <f t="shared" si="112"/>
        <v>0</v>
      </c>
      <c r="J1880" s="1131"/>
      <c r="K1880" s="1131"/>
      <c r="L1880" s="1110"/>
      <c r="M1880" s="975">
        <v>400</v>
      </c>
    </row>
    <row r="1881" spans="1:13" s="1083" customFormat="1" ht="25.2" hidden="1" customHeight="1">
      <c r="A1881" s="1153">
        <f t="shared" si="111"/>
        <v>0</v>
      </c>
      <c r="B1881" s="1324" t="s">
        <v>1619</v>
      </c>
      <c r="C1881" s="1324"/>
      <c r="D1881" s="1090"/>
      <c r="E1881" s="1079">
        <f>VLOOKUP($B1881,DG!A:D,DG!$B$2,)</f>
        <v>0</v>
      </c>
      <c r="F1881" s="1108" t="str">
        <f>VLOOKUP($B1881,DG!A:D,DG!$C$2,)</f>
        <v>Co 90 độ PVC 42</v>
      </c>
      <c r="G1881" s="1135" t="str">
        <f>VLOOKUP($B1881,DG!A:D,DG!$D$2,)</f>
        <v>cái</v>
      </c>
      <c r="H1881" s="1851">
        <f>H1871*5</f>
        <v>0</v>
      </c>
      <c r="I1881" s="1259">
        <f t="shared" si="112"/>
        <v>0</v>
      </c>
      <c r="J1881" s="1131"/>
      <c r="K1881" s="1131"/>
      <c r="L1881" s="1110"/>
      <c r="M1881" s="975">
        <v>400</v>
      </c>
    </row>
    <row r="1882" spans="1:13" s="1083" customFormat="1" ht="25.2" hidden="1" customHeight="1">
      <c r="A1882" s="1153">
        <f t="shared" ref="A1882:A1945" si="113">IF(I1882&gt;0,1,0)</f>
        <v>0</v>
      </c>
      <c r="B1882" s="1324" t="s">
        <v>1050</v>
      </c>
      <c r="C1882" s="1324"/>
      <c r="D1882" s="1090"/>
      <c r="E1882" s="1079">
        <f>VLOOKUP($B1882,DG!A:D,DG!$B$2,)</f>
        <v>0</v>
      </c>
      <c r="F1882" s="1108" t="str">
        <f>VLOOKUP($B1882,DG!A:D,DG!$C$2,)</f>
        <v>Co chữ T ống PVC 42</v>
      </c>
      <c r="G1882" s="1135" t="str">
        <f>VLOOKUP($B1882,DG!A:D,DG!$D$2,)</f>
        <v>cái</v>
      </c>
      <c r="H1882" s="1851">
        <f>H1871*5</f>
        <v>0</v>
      </c>
      <c r="I1882" s="1259">
        <f t="shared" si="112"/>
        <v>0</v>
      </c>
      <c r="J1882" s="1131"/>
      <c r="K1882" s="1131"/>
      <c r="L1882" s="1110"/>
      <c r="M1882" s="975">
        <v>400</v>
      </c>
    </row>
    <row r="1883" spans="1:13" s="1083" customFormat="1" ht="25.2" hidden="1" customHeight="1">
      <c r="A1883" s="1153">
        <f t="shared" si="113"/>
        <v>0</v>
      </c>
      <c r="B1883" s="1324" t="s">
        <v>1917</v>
      </c>
      <c r="C1883" s="1324"/>
      <c r="D1883" s="1090"/>
      <c r="E1883" s="1079">
        <f>VLOOKUP($B1883,DG!A:D,DG!$B$2,)</f>
        <v>0</v>
      </c>
      <c r="F1883" s="1108" t="str">
        <f>VLOOKUP($B1883,DG!A:D,DG!$C$2,)</f>
        <v>Nối thẳng ống PVC 42</v>
      </c>
      <c r="G1883" s="1135" t="str">
        <f>VLOOKUP($B1883,DG!A:D,DG!$D$2,)</f>
        <v>cái</v>
      </c>
      <c r="H1883" s="1851">
        <f>H1871</f>
        <v>0</v>
      </c>
      <c r="I1883" s="1259">
        <f t="shared" si="112"/>
        <v>0</v>
      </c>
      <c r="J1883" s="1131"/>
      <c r="K1883" s="1131"/>
      <c r="L1883" s="1110"/>
      <c r="M1883" s="975">
        <v>400</v>
      </c>
    </row>
    <row r="1884" spans="1:13" s="1083" customFormat="1" ht="25.2" hidden="1" customHeight="1">
      <c r="A1884" s="1153">
        <f t="shared" si="113"/>
        <v>0</v>
      </c>
      <c r="B1884" s="1324" t="s">
        <v>726</v>
      </c>
      <c r="C1884" s="1324"/>
      <c r="D1884" s="1090"/>
      <c r="E1884" s="1079">
        <f>VLOOKUP($B1884,DG!A:D,DG!$B$2,)</f>
        <v>0</v>
      </c>
      <c r="F1884" s="1108" t="str">
        <f>VLOOKUP($B1884,DG!A:D,DG!$C$2,)</f>
        <v>Keo dán ống PVC (500gr)</v>
      </c>
      <c r="G1884" s="1135" t="str">
        <f>VLOOKUP($B1884,DG!A:D,DG!$D$2,)</f>
        <v>lon</v>
      </c>
      <c r="H1884" s="1851">
        <f>H1871</f>
        <v>0</v>
      </c>
      <c r="I1884" s="1259">
        <f t="shared" si="112"/>
        <v>0</v>
      </c>
      <c r="J1884" s="1131"/>
      <c r="K1884" s="1131"/>
      <c r="L1884" s="1110"/>
      <c r="M1884" s="975">
        <v>400</v>
      </c>
    </row>
    <row r="1885" spans="1:13" s="1083" customFormat="1" ht="25.2" hidden="1" customHeight="1">
      <c r="A1885" s="1153">
        <f t="shared" si="113"/>
        <v>0</v>
      </c>
      <c r="B1885" s="1154" t="s">
        <v>672</v>
      </c>
      <c r="C1885" s="1154"/>
      <c r="D1885" s="1090"/>
      <c r="E1885" s="1079">
        <f>VLOOKUP($B1885,DG!A:D,DG!$B$2,)</f>
        <v>0</v>
      </c>
      <c r="F1885" s="1108" t="str">
        <f>VLOOKUP($B1885,DG!A:D,DG!$C$2,)</f>
        <v>Băng keo cách điện</v>
      </c>
      <c r="G1885" s="1135" t="str">
        <f>VLOOKUP($B1885,DG!A:D,DG!$D$2,)</f>
        <v>cuộn</v>
      </c>
      <c r="H1885" s="1851">
        <f>H1871</f>
        <v>0</v>
      </c>
      <c r="I1885" s="1259">
        <f t="shared" si="112"/>
        <v>0</v>
      </c>
      <c r="J1885" s="1081"/>
      <c r="K1885" s="1081"/>
      <c r="L1885" s="1110"/>
      <c r="M1885" s="975">
        <v>400</v>
      </c>
    </row>
    <row r="1886" spans="1:13" s="1083" customFormat="1" ht="25.2" hidden="1" customHeight="1">
      <c r="A1886" s="1153">
        <f t="shared" si="113"/>
        <v>0</v>
      </c>
      <c r="B1886" s="1324" t="s">
        <v>2126</v>
      </c>
      <c r="C1886" s="1324"/>
      <c r="D1886" s="1090"/>
      <c r="E1886" s="1079">
        <f>VLOOKUP($B1886,DG!A:D,DG!$B$2,)</f>
        <v>0</v>
      </c>
      <c r="F1886" s="1108" t="str">
        <f>VLOOKUP($B1886,DG!A:D,DG!$C$2,)</f>
        <v>Khâu ven răng trong D42</v>
      </c>
      <c r="G1886" s="1135" t="str">
        <f>VLOOKUP($B1886,DG!A:D,DG!$D$2,)</f>
        <v>cái</v>
      </c>
      <c r="H1886" s="1851">
        <f>H1871</f>
        <v>0</v>
      </c>
      <c r="I1886" s="1259">
        <f t="shared" si="112"/>
        <v>0</v>
      </c>
      <c r="J1886" s="1081"/>
      <c r="K1886" s="1081"/>
      <c r="L1886" s="1110"/>
      <c r="M1886" s="975">
        <v>400</v>
      </c>
    </row>
    <row r="1887" spans="1:13" s="1083" customFormat="1" ht="25.2" hidden="1" customHeight="1">
      <c r="A1887" s="1153">
        <f t="shared" si="113"/>
        <v>0</v>
      </c>
      <c r="B1887" s="1154" t="s">
        <v>959</v>
      </c>
      <c r="C1887" s="1154"/>
      <c r="D1887" s="1090"/>
      <c r="E1887" s="1079">
        <f>VLOOKUP($B1887,DG!A:D,DG!$B$2,)</f>
        <v>0</v>
      </c>
      <c r="F1887" s="1108" t="str">
        <f>VLOOKUP($B1887,DG!A:D,DG!$C$2,)</f>
        <v>Khâu ven răng ngoài D42</v>
      </c>
      <c r="G1887" s="1135" t="str">
        <f>VLOOKUP($B1887,DG!A:D,DG!$D$2,)</f>
        <v>cái</v>
      </c>
      <c r="H1887" s="1851">
        <f>H1871</f>
        <v>0</v>
      </c>
      <c r="I1887" s="1259">
        <f t="shared" si="112"/>
        <v>0</v>
      </c>
      <c r="J1887" s="1081"/>
      <c r="K1887" s="1081"/>
      <c r="L1887" s="1110"/>
      <c r="M1887" s="975">
        <v>400</v>
      </c>
    </row>
    <row r="1888" spans="1:13" s="1083" customFormat="1" ht="25.2" hidden="1" customHeight="1">
      <c r="A1888" s="1153">
        <f t="shared" si="113"/>
        <v>0</v>
      </c>
      <c r="B1888" s="1154" t="s">
        <v>319</v>
      </c>
      <c r="C1888" s="1154"/>
      <c r="D1888" s="1090"/>
      <c r="E1888" s="1079" t="str">
        <f>VLOOKUP($B1888,DG!A:D,DG!$B$2,)</f>
        <v>06.3231</v>
      </c>
      <c r="F1888" s="1108" t="str">
        <f>VLOOKUP($B1888,DG!A:D,DG!$C$2,)</f>
        <v>Cổ dê CDĐKĐT( bắt thùng điện kế)</v>
      </c>
      <c r="G1888" s="1135" t="s">
        <v>2445</v>
      </c>
      <c r="H1888" s="1889">
        <f>H1871*2</f>
        <v>0</v>
      </c>
      <c r="I1888" s="1259">
        <f t="shared" si="112"/>
        <v>0</v>
      </c>
      <c r="J1888" s="1081"/>
      <c r="K1888" s="1081"/>
      <c r="L1888" s="1082"/>
      <c r="M1888" s="975">
        <v>400</v>
      </c>
    </row>
    <row r="1889" spans="1:13" s="1083" customFormat="1" ht="25.2" hidden="1" customHeight="1">
      <c r="A1889" s="1153">
        <f t="shared" si="113"/>
        <v>0</v>
      </c>
      <c r="B1889" s="1154" t="s">
        <v>1919</v>
      </c>
      <c r="C1889" s="1154"/>
      <c r="D1889" s="1090"/>
      <c r="E1889" s="1079" t="str">
        <f>VLOOKUP($B1889,DG!A:D,DG!$B$2,)</f>
        <v>05.1101</v>
      </c>
      <c r="F1889" s="1108" t="str">
        <f>VLOOKUP($B1889,DG!A:D,DG!$C$2,)</f>
        <v>Thùng điện kế 450x300x200mm đo đếm trung thế</v>
      </c>
      <c r="G1889" s="1135" t="str">
        <f>VLOOKUP($B1889,DG!A:D,DG!$D$2,)</f>
        <v>cái</v>
      </c>
      <c r="H1889" s="1851">
        <f>H1871</f>
        <v>0</v>
      </c>
      <c r="I1889" s="1259">
        <f t="shared" si="112"/>
        <v>0</v>
      </c>
      <c r="J1889" s="1081"/>
      <c r="K1889" s="1081"/>
      <c r="L1889" s="1110"/>
      <c r="M1889" s="975">
        <v>400</v>
      </c>
    </row>
    <row r="1890" spans="1:13" s="1083" customFormat="1" ht="25.2" hidden="1" customHeight="1">
      <c r="A1890" s="1153">
        <f t="shared" si="113"/>
        <v>0</v>
      </c>
      <c r="B1890" s="1154" t="s">
        <v>6</v>
      </c>
      <c r="C1890" s="1154"/>
      <c r="D1890" s="1090"/>
      <c r="E1890" s="1079">
        <f>VLOOKUP($B1890,DG!A:D,DG!$B$2,)</f>
        <v>0</v>
      </c>
      <c r="F1890" s="1108" t="str">
        <f>VLOOKUP($B1890,DG!A:D,DG!$C$2,)</f>
        <v>Keo silicon bít miệng ống</v>
      </c>
      <c r="G1890" s="1135" t="str">
        <f>VLOOKUP($B1890,DG!A:D,DG!$D$2,)</f>
        <v>ống</v>
      </c>
      <c r="H1890" s="1851">
        <f>H1871</f>
        <v>0</v>
      </c>
      <c r="I1890" s="1259">
        <f t="shared" si="112"/>
        <v>0</v>
      </c>
      <c r="J1890" s="1081"/>
      <c r="K1890" s="1081"/>
      <c r="L1890" s="1110"/>
      <c r="M1890" s="975">
        <v>400</v>
      </c>
    </row>
    <row r="1891" spans="1:13" s="1083" customFormat="1" ht="25.2" hidden="1" customHeight="1">
      <c r="A1891" s="1153">
        <f t="shared" si="113"/>
        <v>0</v>
      </c>
      <c r="B1891" s="1154" t="s">
        <v>2145</v>
      </c>
      <c r="C1891" s="1154"/>
      <c r="D1891" s="1090"/>
      <c r="E1891" s="1079">
        <f>VLOOKUP($B1891,DG!A:D,DG!$B$2,)</f>
        <v>0</v>
      </c>
      <c r="F1891" s="1108" t="str">
        <f>VLOOKUP($B1891,DG!A:D,DG!$C$2,)</f>
        <v>Dây đồng trần mềm dẹt</v>
      </c>
      <c r="G1891" s="1135" t="str">
        <f>VLOOKUP($B1891,DG!A:D,DG!$D$2,)</f>
        <v>mét</v>
      </c>
      <c r="H1891" s="1851">
        <f>H1871*4</f>
        <v>0</v>
      </c>
      <c r="I1891" s="1259">
        <f t="shared" si="112"/>
        <v>0</v>
      </c>
      <c r="J1891" s="1081"/>
      <c r="K1891" s="1081"/>
      <c r="L1891" s="1110"/>
      <c r="M1891" s="975">
        <v>400</v>
      </c>
    </row>
    <row r="1892" spans="1:13" s="1083" customFormat="1" ht="25.2" hidden="1" customHeight="1">
      <c r="A1892" s="1153">
        <f t="shared" si="113"/>
        <v>0</v>
      </c>
      <c r="B1892" s="1154" t="s">
        <v>1219</v>
      </c>
      <c r="C1892" s="1154"/>
      <c r="D1892" s="1090"/>
      <c r="E1892" s="1079" t="str">
        <f>VLOOKUP($B1892,DG!A:D,DG!$B$2,)</f>
        <v>06.3191</v>
      </c>
      <c r="F1892" s="1108" t="str">
        <f>VLOOKUP($B1892,DG!A:D,DG!$C$2,)</f>
        <v>Bảng tên trạm, bảng báo nguy hiểm + đinh vít</v>
      </c>
      <c r="G1892" s="1135" t="str">
        <f>VLOOKUP($B1892,DG!A:D,DG!$D$2,)</f>
        <v>bộ</v>
      </c>
      <c r="H1892" s="1851">
        <f>H1871</f>
        <v>0</v>
      </c>
      <c r="I1892" s="1259">
        <f t="shared" si="112"/>
        <v>0</v>
      </c>
      <c r="J1892" s="1081"/>
      <c r="K1892" s="1081"/>
      <c r="L1892" s="1110"/>
      <c r="M1892" s="975">
        <v>400</v>
      </c>
    </row>
    <row r="1893" spans="1:13" s="1083" customFormat="1" ht="25.2" hidden="1" customHeight="1">
      <c r="A1893" s="1153">
        <f t="shared" si="113"/>
        <v>0</v>
      </c>
      <c r="B1893" s="1154" t="s">
        <v>1353</v>
      </c>
      <c r="C1893" s="1154"/>
      <c r="D1893" s="1090"/>
      <c r="E1893" s="1079">
        <f>VLOOKUP($B1893,DG!A:D,DG!$B$2,)</f>
        <v>0</v>
      </c>
      <c r="F1893" s="1108" t="str">
        <f>VLOOKUP($B1893,DG!A:D,DG!$C$2,)&amp;" baét thuøng ÑKÑT"</f>
        <v>Boulon 12x60+ 2 long đền vuông D14-50x50x3/Zn baét thuøng ÑKÑT</v>
      </c>
      <c r="G1893" s="1135" t="str">
        <f>VLOOKUP($B1893,DG!A:D,DG!$D$2,)</f>
        <v>bộ</v>
      </c>
      <c r="H1893" s="1851">
        <f>4*H1871*0</f>
        <v>0</v>
      </c>
      <c r="I1893" s="1259">
        <f t="shared" si="112"/>
        <v>0</v>
      </c>
      <c r="J1893" s="1081"/>
      <c r="K1893" s="1081"/>
      <c r="L1893" s="1110"/>
      <c r="M1893" s="975">
        <v>400</v>
      </c>
    </row>
    <row r="1894" spans="1:13" s="1083" customFormat="1" ht="25.2" hidden="1" customHeight="1">
      <c r="A1894" s="1153">
        <f t="shared" si="113"/>
        <v>0</v>
      </c>
      <c r="B1894" s="1154"/>
      <c r="C1894" s="1154"/>
      <c r="D1894" s="1115"/>
      <c r="E1894" s="1116"/>
      <c r="F1894" s="1105" t="s">
        <v>3748</v>
      </c>
      <c r="G1894" s="1105"/>
      <c r="H1894" s="1875"/>
      <c r="I1894" s="1259">
        <f t="shared" si="112"/>
        <v>0</v>
      </c>
      <c r="J1894" s="1105"/>
      <c r="K1894" s="1105"/>
      <c r="L1894" s="1136"/>
      <c r="M1894" s="975">
        <v>400</v>
      </c>
    </row>
    <row r="1895" spans="1:13" s="1083" customFormat="1" ht="25.2" hidden="1" customHeight="1">
      <c r="A1895" s="1153">
        <f t="shared" si="113"/>
        <v>0</v>
      </c>
      <c r="B1895" s="1154" t="s">
        <v>966</v>
      </c>
      <c r="C1895" s="1154"/>
      <c r="D1895" s="1090"/>
      <c r="E1895" s="1079" t="str">
        <f>VLOOKUP($B1895,DG!A:D,DG!$B$2,)</f>
        <v>02.5114</v>
      </c>
      <c r="F1895" s="1108" t="s">
        <v>3749</v>
      </c>
      <c r="G1895" s="1135" t="str">
        <f>VLOOKUP($B1895,DG!A:D,DG!$D$2,)</f>
        <v>cái</v>
      </c>
      <c r="H1895" s="1851"/>
      <c r="I1895" s="1259">
        <f t="shared" si="112"/>
        <v>0</v>
      </c>
      <c r="J1895" s="1081"/>
      <c r="K1895" s="1081"/>
      <c r="L1895" s="1110" t="s">
        <v>3750</v>
      </c>
      <c r="M1895" s="975">
        <v>400</v>
      </c>
    </row>
    <row r="1896" spans="1:13" s="1083" customFormat="1" ht="25.2" hidden="1" customHeight="1">
      <c r="A1896" s="1153">
        <f t="shared" si="113"/>
        <v>0</v>
      </c>
      <c r="B1896" s="1154" t="s">
        <v>1910</v>
      </c>
      <c r="C1896" s="1154"/>
      <c r="D1896" s="1090"/>
      <c r="E1896" s="1079" t="str">
        <f>VLOOKUP($B1896,DG!A:D,DG!$B$2,)</f>
        <v>05.6011</v>
      </c>
      <c r="F1896" s="1108" t="s">
        <v>2467</v>
      </c>
      <c r="G1896" s="1135" t="str">
        <f>VLOOKUP($B1896,DG!A:D,DG!$D$2,)</f>
        <v>bộ</v>
      </c>
      <c r="H1896" s="1851"/>
      <c r="I1896" s="1259">
        <f t="shared" si="112"/>
        <v>0</v>
      </c>
      <c r="J1896" s="1081"/>
      <c r="K1896" s="1081"/>
      <c r="L1896" s="1082"/>
      <c r="M1896" s="975">
        <v>400</v>
      </c>
    </row>
    <row r="1897" spans="1:13" s="1083" customFormat="1" ht="25.2" hidden="1" customHeight="1">
      <c r="A1897" s="1153">
        <f t="shared" si="113"/>
        <v>0</v>
      </c>
      <c r="B1897" s="1154"/>
      <c r="C1897" s="1154"/>
      <c r="D1897" s="1137"/>
      <c r="E1897" s="1138"/>
      <c r="F1897" s="1105"/>
      <c r="G1897" s="1139"/>
      <c r="H1897" s="1878"/>
      <c r="I1897" s="1259">
        <f t="shared" si="112"/>
        <v>0</v>
      </c>
      <c r="J1897" s="1140"/>
      <c r="K1897" s="1141"/>
      <c r="L1897" s="1107"/>
      <c r="M1897" s="975"/>
    </row>
    <row r="1898" spans="1:13" s="1083" customFormat="1" ht="25.2" hidden="1" customHeight="1">
      <c r="A1898" s="1153">
        <f t="shared" si="113"/>
        <v>0</v>
      </c>
      <c r="B1898" s="1154"/>
      <c r="C1898" s="1154"/>
      <c r="D1898" s="1142"/>
      <c r="F1898" s="1143"/>
      <c r="H1898" s="1880"/>
      <c r="I1898" s="1259">
        <f t="shared" si="112"/>
        <v>0</v>
      </c>
      <c r="M1898" s="975"/>
    </row>
    <row r="1899" spans="1:13" s="1083" customFormat="1" ht="25.2" hidden="1" customHeight="1">
      <c r="A1899" s="1153">
        <f t="shared" si="113"/>
        <v>0</v>
      </c>
      <c r="B1899" s="1350"/>
      <c r="C1899" s="1350"/>
      <c r="D1899" s="981" t="e">
        <f>"BAÛNG TOÅNG HÔÏP VAÄT LIEÄU, NHAÂN COÂNG, MAÙY THI COÂNG : "&amp;#REF!&amp;" TRAÏM 3P_560KVA ÑO ÑEÁM TRUNG THEÁ"</f>
        <v>#REF!</v>
      </c>
      <c r="E1899" s="981"/>
      <c r="F1899" s="981"/>
      <c r="G1899" s="981"/>
      <c r="H1899" s="1872"/>
      <c r="I1899" s="1259">
        <f t="shared" si="112"/>
        <v>0</v>
      </c>
      <c r="J1899" s="1144"/>
      <c r="K1899" s="1144"/>
      <c r="L1899" s="1145"/>
      <c r="M1899" s="975"/>
    </row>
    <row r="1900" spans="1:13" s="1083" customFormat="1" ht="25.2" hidden="1" customHeight="1">
      <c r="A1900" s="1153">
        <f t="shared" si="113"/>
        <v>0</v>
      </c>
      <c r="B1900" s="1324"/>
      <c r="C1900" s="1324"/>
      <c r="D1900" s="1103"/>
      <c r="E1900" s="1104"/>
      <c r="F1900" s="1105" t="s">
        <v>3690</v>
      </c>
      <c r="G1900" s="1106"/>
      <c r="H1900" s="1908"/>
      <c r="I1900" s="1259">
        <f t="shared" si="112"/>
        <v>0</v>
      </c>
      <c r="J1900" s="1106"/>
      <c r="K1900" s="1106"/>
      <c r="L1900" s="1107"/>
      <c r="M1900" s="975">
        <v>560</v>
      </c>
    </row>
    <row r="1901" spans="1:13" s="1083" customFormat="1" ht="25.2" hidden="1" customHeight="1">
      <c r="A1901" s="1153">
        <f t="shared" si="113"/>
        <v>0</v>
      </c>
      <c r="B1901" s="1325" t="s">
        <v>2229</v>
      </c>
      <c r="C1901" s="1325"/>
      <c r="D1901" s="1090">
        <f>IF(H1901&gt;0,1,0)</f>
        <v>0</v>
      </c>
      <c r="E1901" s="1079" t="str">
        <f>VLOOKUP($B1901,DG!A:D,DG!$B$2,)</f>
        <v>01.1146</v>
      </c>
      <c r="F1901" s="1080" t="str">
        <f>VLOOKUP($B1901,DG!A:D,DG!$C$2,)</f>
        <v>Máy biến áp 22/0,4kV- 560kVA</v>
      </c>
      <c r="G1901" s="1079" t="str">
        <f>VLOOKUP($B1901,DG!A:D,DG!$D$2,)</f>
        <v>máy</v>
      </c>
      <c r="H1901" s="1882">
        <f>L14</f>
        <v>0</v>
      </c>
      <c r="I1901" s="1259">
        <f t="shared" si="112"/>
        <v>0</v>
      </c>
      <c r="J1901" s="1108"/>
      <c r="K1901" s="1108"/>
      <c r="L1901" s="1109"/>
      <c r="M1901" s="975">
        <v>560</v>
      </c>
    </row>
    <row r="1902" spans="1:13" s="1083" customFormat="1" ht="25.2" hidden="1" customHeight="1">
      <c r="A1902" s="1153">
        <f t="shared" si="113"/>
        <v>0</v>
      </c>
      <c r="B1902" s="1325" t="s">
        <v>1655</v>
      </c>
      <c r="C1902" s="1325"/>
      <c r="D1902" s="1090">
        <f>IF(H1902&gt;0,D1901+1,D1901)</f>
        <v>0</v>
      </c>
      <c r="E1902" s="1079" t="str">
        <f>VLOOKUP($B1902,DG!A:D,DG!$B$2,)</f>
        <v>02.3155</v>
      </c>
      <c r="F1902" s="1080" t="str">
        <f>VLOOKUP($B1902,DG!A:D,DG!$C$2,)</f>
        <v>FCO 27kV - 100A</v>
      </c>
      <c r="G1902" s="1079" t="str">
        <f>VLOOKUP($B1902,DG!A:D,DG!$D$2,)</f>
        <v>cái</v>
      </c>
      <c r="H1902" s="1851">
        <f>H1901*3</f>
        <v>0</v>
      </c>
      <c r="I1902" s="1259">
        <f t="shared" si="112"/>
        <v>0</v>
      </c>
      <c r="J1902" s="1081"/>
      <c r="K1902" s="1081"/>
      <c r="L1902" s="1110"/>
      <c r="M1902" s="975">
        <v>560</v>
      </c>
    </row>
    <row r="1903" spans="1:13" s="1083" customFormat="1" ht="25.2" hidden="1" customHeight="1">
      <c r="A1903" s="1153">
        <f t="shared" si="113"/>
        <v>0</v>
      </c>
      <c r="B1903" s="1325" t="s">
        <v>4530</v>
      </c>
      <c r="C1903" s="1325"/>
      <c r="D1903" s="1090">
        <f t="shared" ref="D1903:D1913" si="114">IF(H1903&gt;0,D1902+1,D1902)</f>
        <v>0</v>
      </c>
      <c r="E1903" s="1079">
        <f>VLOOKUP($B1903,DG!A:D,DG!$B$2,)</f>
        <v>0</v>
      </c>
      <c r="F1903" s="1080" t="str">
        <f>VLOOKUP($B1903,DG!A:D,DG!$C$2,)</f>
        <v>Dây chảy 25K</v>
      </c>
      <c r="G1903" s="1079" t="str">
        <f>VLOOKUP($B1903,DG!A:D,DG!$D$2,)</f>
        <v>Sợi</v>
      </c>
      <c r="H1903" s="1851">
        <f>H1902</f>
        <v>0</v>
      </c>
      <c r="I1903" s="1259">
        <f t="shared" si="112"/>
        <v>0</v>
      </c>
      <c r="J1903" s="1081"/>
      <c r="K1903" s="1081"/>
      <c r="L1903" s="1110"/>
      <c r="M1903" s="975">
        <v>560</v>
      </c>
    </row>
    <row r="1904" spans="1:13" s="1083" customFormat="1" ht="25.2" hidden="1" customHeight="1">
      <c r="A1904" s="1153">
        <f t="shared" si="113"/>
        <v>0</v>
      </c>
      <c r="B1904" s="1324" t="s">
        <v>1376</v>
      </c>
      <c r="C1904" s="1324"/>
      <c r="D1904" s="1090">
        <f t="shared" si="114"/>
        <v>0</v>
      </c>
      <c r="E1904" s="1079" t="str">
        <f>VLOOKUP($B1904,DG!A:D,DG!$B$2,)</f>
        <v>02.5114</v>
      </c>
      <c r="F1904" s="1080" t="str">
        <f>VLOOKUP($B1904,DG!A:D,DG!$C$2,)</f>
        <v>Chống sét van LA-18KV-10KA</v>
      </c>
      <c r="G1904" s="1079" t="str">
        <f>VLOOKUP($B1904,DG!A:D,DG!$D$2,)</f>
        <v>cái</v>
      </c>
      <c r="H1904" s="1851">
        <f>H1902</f>
        <v>0</v>
      </c>
      <c r="I1904" s="1259">
        <f t="shared" si="112"/>
        <v>0</v>
      </c>
      <c r="J1904" s="1081"/>
      <c r="K1904" s="1081"/>
      <c r="L1904" s="1110"/>
      <c r="M1904" s="975">
        <v>560</v>
      </c>
    </row>
    <row r="1905" spans="1:13" s="1083" customFormat="1" ht="25.2" hidden="1" customHeight="1">
      <c r="A1905" s="1153">
        <f t="shared" si="113"/>
        <v>0</v>
      </c>
      <c r="B1905" s="1325" t="s">
        <v>882</v>
      </c>
      <c r="C1905" s="1325"/>
      <c r="D1905" s="1090">
        <f t="shared" si="114"/>
        <v>0</v>
      </c>
      <c r="E1905" s="1079" t="str">
        <f>VLOOKUP($B1905,DG!A:D,DG!$B$2,)</f>
        <v>02.8404</v>
      </c>
      <c r="F1905" s="1080" t="str">
        <f>VLOOKUP($B1905,DG!A:D,DG!$C$2,)&amp;": bao gồm giaù nôùi"</f>
        <v>MCCB 3 cực 400V -1000A - 50KA: bao gồm giaù nôùi</v>
      </c>
      <c r="G1905" s="1079" t="str">
        <f>VLOOKUP($B1905,DG!A:D,DG!$D$2,)</f>
        <v>cái</v>
      </c>
      <c r="H1905" s="1851">
        <f>H1901</f>
        <v>0</v>
      </c>
      <c r="I1905" s="1259">
        <f t="shared" si="112"/>
        <v>0</v>
      </c>
      <c r="J1905" s="1081"/>
      <c r="K1905" s="1081"/>
      <c r="L1905" s="1110"/>
      <c r="M1905" s="975">
        <v>560</v>
      </c>
    </row>
    <row r="1906" spans="1:13" s="1083" customFormat="1" ht="25.2" hidden="1" customHeight="1">
      <c r="A1906" s="1153">
        <f t="shared" si="113"/>
        <v>0</v>
      </c>
      <c r="B1906" s="1325" t="s">
        <v>1220</v>
      </c>
      <c r="C1906" s="1325"/>
      <c r="D1906" s="1090">
        <f>IF(H1906&gt;0,D1905+1,D1905)</f>
        <v>0</v>
      </c>
      <c r="E1906" s="1079" t="str">
        <f>VLOOKUP($B1906,DG!A:D,DG!$B$2,)</f>
        <v>02.8403</v>
      </c>
      <c r="F1906" s="1080" t="str">
        <f>VLOOKUP($B1906,DG!A:D,DG!$C$2,)&amp;": bao gồm giaù nôùi"</f>
        <v>MCCB 3 cực 400V -800A - 50KA: bao gồm giaù nôùi</v>
      </c>
      <c r="G1906" s="1079" t="str">
        <f>VLOOKUP($B1906,DG!A:D,DG!$D$2,)</f>
        <v>cái</v>
      </c>
      <c r="H1906" s="1851">
        <f>H1901</f>
        <v>0</v>
      </c>
      <c r="I1906" s="1259">
        <f t="shared" si="112"/>
        <v>0</v>
      </c>
      <c r="J1906" s="1081"/>
      <c r="K1906" s="1081"/>
      <c r="L1906" s="1110"/>
      <c r="M1906" s="975">
        <v>560</v>
      </c>
    </row>
    <row r="1907" spans="1:13" s="1083" customFormat="1" ht="25.2" hidden="1" customHeight="1">
      <c r="A1907" s="1153">
        <f t="shared" si="113"/>
        <v>0</v>
      </c>
      <c r="B1907" s="1325" t="s">
        <v>201</v>
      </c>
      <c r="C1907" s="1325"/>
      <c r="D1907" s="1090">
        <f>IF(H1907&gt;0,D1906+1,D1906)</f>
        <v>0</v>
      </c>
      <c r="E1907" s="1079" t="str">
        <f>VLOOKUP($B1907,DG!A:D,DG!$B$2,)</f>
        <v>02.8401</v>
      </c>
      <c r="F1907" s="1080" t="str">
        <f>VLOOKUP($B1907,DG!A:D,DG!$C$2,)</f>
        <v>MCCB 3 cực 400V-100A - 30KA</v>
      </c>
      <c r="G1907" s="1079" t="str">
        <f>VLOOKUP($B1907,DG!A:D,DG!$D$2,)</f>
        <v>cái</v>
      </c>
      <c r="H1907" s="1851">
        <f>H1901*2</f>
        <v>0</v>
      </c>
      <c r="I1907" s="1259">
        <f t="shared" ref="I1907:I1970" si="115">IF(M1907=$M$23,H1907+J1907-K1907,0)</f>
        <v>0</v>
      </c>
      <c r="J1907" s="1081"/>
      <c r="K1907" s="1081"/>
      <c r="L1907" s="1110"/>
      <c r="M1907" s="975">
        <v>560</v>
      </c>
    </row>
    <row r="1908" spans="1:13" s="1083" customFormat="1" ht="25.2" hidden="1" customHeight="1">
      <c r="A1908" s="1153">
        <f t="shared" si="113"/>
        <v>0</v>
      </c>
      <c r="B1908" s="1325" t="s">
        <v>936</v>
      </c>
      <c r="C1908" s="1325"/>
      <c r="D1908" s="1090">
        <f>IF(H1908&gt;0,D1907+1,D1907)</f>
        <v>0</v>
      </c>
      <c r="E1908" s="1079" t="str">
        <f>VLOOKUP($B1908,DG!A:D,DG!$B$2,)</f>
        <v>02.8401</v>
      </c>
      <c r="F1908" s="1080" t="str">
        <f>VLOOKUP($B1908,DG!A:D,DG!$C$2,)</f>
        <v>MCCB 3 cực 400V-75A - 10KA</v>
      </c>
      <c r="G1908" s="1079" t="str">
        <f>VLOOKUP($B1908,DG!A:D,DG!$D$2,)</f>
        <v>cái</v>
      </c>
      <c r="H1908" s="1851">
        <f>H1901</f>
        <v>0</v>
      </c>
      <c r="I1908" s="1259">
        <f t="shared" si="115"/>
        <v>0</v>
      </c>
      <c r="J1908" s="1081"/>
      <c r="K1908" s="1081"/>
      <c r="L1908" s="1110"/>
      <c r="M1908" s="975">
        <v>560</v>
      </c>
    </row>
    <row r="1909" spans="1:13" s="1083" customFormat="1" ht="25.2" hidden="1" customHeight="1">
      <c r="A1909" s="1153">
        <f t="shared" si="113"/>
        <v>0</v>
      </c>
      <c r="B1909" s="1325" t="s">
        <v>1221</v>
      </c>
      <c r="C1909" s="1325"/>
      <c r="D1909" s="1090">
        <f>IF(H1909&gt;0,D1908+1,D1908)</f>
        <v>0</v>
      </c>
      <c r="E1909" s="1079" t="str">
        <f>VLOOKUP($B1909,DG!A:D,DG!$B$2,)</f>
        <v>02.8401</v>
      </c>
      <c r="F1909" s="1080" t="str">
        <f>VLOOKUP($B1909,DG!A:D,DG!$C$2,)</f>
        <v xml:space="preserve">MCCB - 3P-400V-63A-25KA  Icu=Ics </v>
      </c>
      <c r="G1909" s="1079" t="str">
        <f>VLOOKUP($B1909,DG!A:D,DG!$D$2,)</f>
        <v>cái</v>
      </c>
      <c r="H1909" s="1851">
        <f>H1901</f>
        <v>0</v>
      </c>
      <c r="I1909" s="1259">
        <f t="shared" si="115"/>
        <v>0</v>
      </c>
      <c r="J1909" s="1081"/>
      <c r="K1909" s="1081"/>
      <c r="L1909" s="1110"/>
      <c r="M1909" s="975">
        <v>560</v>
      </c>
    </row>
    <row r="1910" spans="1:13" s="1083" customFormat="1" ht="25.2" hidden="1" customHeight="1">
      <c r="A1910" s="1153">
        <f t="shared" si="113"/>
        <v>0</v>
      </c>
      <c r="B1910" s="1325" t="s">
        <v>1466</v>
      </c>
      <c r="C1910" s="1325"/>
      <c r="D1910" s="1090">
        <f>IF(H1910&gt;0,D1905+1,D1905)</f>
        <v>0</v>
      </c>
      <c r="E1910" s="1079" t="str">
        <f>VLOOKUP($B1910,DG!A:D,DG!$B$2,)</f>
        <v>02.8534</v>
      </c>
      <c r="F1910" s="1080" t="str">
        <f>VLOOKUP($B1910,DG!A:D,DG!$C$2,)</f>
        <v>Tủ tụ bù hạ thế 250kVAr</v>
      </c>
      <c r="G1910" s="1079" t="str">
        <f>VLOOKUP($B1910,DG!A:D,DG!$D$2,)</f>
        <v>tủ</v>
      </c>
      <c r="H1910" s="1851">
        <f>H1901</f>
        <v>0</v>
      </c>
      <c r="I1910" s="1259">
        <f t="shared" si="115"/>
        <v>0</v>
      </c>
      <c r="J1910" s="1081"/>
      <c r="K1910" s="1081"/>
      <c r="L1910" s="1110"/>
      <c r="M1910" s="975">
        <v>560</v>
      </c>
    </row>
    <row r="1911" spans="1:13" s="1083" customFormat="1" ht="25.2" hidden="1" customHeight="1">
      <c r="A1911" s="1153">
        <f t="shared" si="113"/>
        <v>0</v>
      </c>
      <c r="B1911" s="1325" t="s">
        <v>4531</v>
      </c>
      <c r="C1911" s="1325"/>
      <c r="D1911" s="1090">
        <f t="shared" si="114"/>
        <v>0</v>
      </c>
      <c r="E1911" s="1079" t="str">
        <f>VLOOKUP($B1911,DG!A:D,DG!$B$2,)</f>
        <v>02.1124</v>
      </c>
      <c r="F1911" s="1080" t="str">
        <f>VLOOKUP($B1911,DG!A:D,DG!$C$2,)</f>
        <v>Biến dòng 24kV  15/5A</v>
      </c>
      <c r="G1911" s="1079" t="str">
        <f>VLOOKUP($B1911,DG!A:D,DG!$D$2,)</f>
        <v>cái</v>
      </c>
      <c r="H1911" s="1883">
        <f>H1901*3</f>
        <v>0</v>
      </c>
      <c r="I1911" s="1259">
        <f t="shared" si="115"/>
        <v>0</v>
      </c>
      <c r="J1911" s="1081"/>
      <c r="K1911" s="1081"/>
      <c r="L1911" s="1111" t="s">
        <v>2609</v>
      </c>
      <c r="M1911" s="975">
        <v>560</v>
      </c>
    </row>
    <row r="1912" spans="1:13" s="1083" customFormat="1" ht="25.2" hidden="1" customHeight="1">
      <c r="A1912" s="1153">
        <f t="shared" si="113"/>
        <v>0</v>
      </c>
      <c r="B1912" s="1325" t="s">
        <v>4529</v>
      </c>
      <c r="C1912" s="1325"/>
      <c r="D1912" s="1090">
        <f t="shared" si="114"/>
        <v>0</v>
      </c>
      <c r="E1912" s="1079" t="str">
        <f>VLOOKUP($B1912,DG!A:D,DG!$B$2,)</f>
        <v>02.1114</v>
      </c>
      <c r="F1912" s="1080" t="str">
        <f>VLOOKUP($B1912,DG!A:D,DG!$C$2,)</f>
        <v>Biến điện áp 12000/120(60)V</v>
      </c>
      <c r="G1912" s="1079" t="str">
        <f>VLOOKUP($B1912,DG!A:D,DG!$D$2,)</f>
        <v>cái</v>
      </c>
      <c r="H1912" s="1883">
        <f>H1911</f>
        <v>0</v>
      </c>
      <c r="I1912" s="1259">
        <f t="shared" si="115"/>
        <v>0</v>
      </c>
      <c r="J1912" s="1081"/>
      <c r="K1912" s="1081"/>
      <c r="L1912" s="1111" t="s">
        <v>2609</v>
      </c>
      <c r="M1912" s="975">
        <v>560</v>
      </c>
    </row>
    <row r="1913" spans="1:13" s="1083" customFormat="1" ht="25.2" hidden="1" customHeight="1">
      <c r="A1913" s="1153">
        <f t="shared" si="113"/>
        <v>0</v>
      </c>
      <c r="B1913" s="1331" t="s">
        <v>1841</v>
      </c>
      <c r="C1913" s="1331"/>
      <c r="D1913" s="1090">
        <f t="shared" si="114"/>
        <v>0</v>
      </c>
      <c r="E1913" s="1079">
        <f>VLOOKUP($B1913,DG!A:D,DG!$B$2,)</f>
        <v>0</v>
      </c>
      <c r="F1913" s="1080" t="str">
        <f>VLOOKUP($B1913,DG!A:D,DG!$C$2,)</f>
        <v>Điện kế 3 pha điện tử 600V-5A</v>
      </c>
      <c r="G1913" s="1079" t="str">
        <f>VLOOKUP($B1913,DG!A:D,DG!$D$2,)</f>
        <v>cái</v>
      </c>
      <c r="H1913" s="1883">
        <f>H1901</f>
        <v>0</v>
      </c>
      <c r="I1913" s="1259">
        <f t="shared" si="115"/>
        <v>0</v>
      </c>
      <c r="J1913" s="1081"/>
      <c r="K1913" s="1081"/>
      <c r="L1913" s="1112" t="s">
        <v>2609</v>
      </c>
      <c r="M1913" s="975">
        <v>560</v>
      </c>
    </row>
    <row r="1914" spans="1:13" s="1083" customFormat="1" ht="25.2" hidden="1" customHeight="1">
      <c r="A1914" s="1153">
        <f t="shared" si="113"/>
        <v>0</v>
      </c>
      <c r="B1914" s="1324"/>
      <c r="C1914" s="1324"/>
      <c r="D1914" s="1113"/>
      <c r="E1914" s="1114"/>
      <c r="F1914" s="1076"/>
      <c r="G1914" s="1113"/>
      <c r="H1914" s="1861"/>
      <c r="I1914" s="1259">
        <f t="shared" si="115"/>
        <v>0</v>
      </c>
      <c r="J1914" s="1076"/>
      <c r="K1914" s="1113"/>
      <c r="L1914" s="1107"/>
      <c r="M1914" s="975">
        <v>560</v>
      </c>
    </row>
    <row r="1915" spans="1:13" s="1083" customFormat="1" ht="25.2" hidden="1" customHeight="1">
      <c r="A1915" s="1153">
        <f t="shared" si="113"/>
        <v>0</v>
      </c>
      <c r="B1915" s="1324"/>
      <c r="C1915" s="1324"/>
      <c r="D1915" s="1115"/>
      <c r="E1915" s="1116"/>
      <c r="F1915" s="1105" t="s">
        <v>3691</v>
      </c>
      <c r="G1915" s="1105"/>
      <c r="H1915" s="1875"/>
      <c r="I1915" s="1259">
        <f t="shared" si="115"/>
        <v>0</v>
      </c>
      <c r="J1915" s="1105"/>
      <c r="K1915" s="1105"/>
      <c r="L1915" s="1107"/>
      <c r="M1915" s="975">
        <v>560</v>
      </c>
    </row>
    <row r="1916" spans="1:13" s="1083" customFormat="1" ht="25.2" hidden="1" customHeight="1">
      <c r="A1916" s="1153">
        <f t="shared" si="113"/>
        <v>0</v>
      </c>
      <c r="B1916" s="1353"/>
      <c r="C1916" s="1353"/>
      <c r="D1916" s="1117">
        <f>IF(H1916&gt;0,1,0)</f>
        <v>0</v>
      </c>
      <c r="E1916" s="1118"/>
      <c r="F1916" s="1119" t="s">
        <v>3729</v>
      </c>
      <c r="G1916" s="1120" t="s">
        <v>2283</v>
      </c>
      <c r="H1916" s="1884">
        <f>H1901*2*0</f>
        <v>0</v>
      </c>
      <c r="I1916" s="1259">
        <f t="shared" si="115"/>
        <v>0</v>
      </c>
      <c r="J1916" s="1121"/>
      <c r="K1916" s="1121"/>
      <c r="L1916" s="1110"/>
      <c r="M1916" s="975">
        <v>560</v>
      </c>
    </row>
    <row r="1917" spans="1:13" s="1083" customFormat="1" ht="25.2" hidden="1" customHeight="1">
      <c r="A1917" s="1153">
        <f t="shared" si="113"/>
        <v>0</v>
      </c>
      <c r="B1917" s="1154" t="s">
        <v>115</v>
      </c>
      <c r="C1917" s="1154"/>
      <c r="D1917" s="1122"/>
      <c r="E1917" s="1079"/>
      <c r="F1917" s="1123" t="str">
        <f>VLOOKUP($B1917,DG!A:D,DG!$C$2,)</f>
        <v>Trụ BTLT 12m F350 dự ứng lực</v>
      </c>
      <c r="G1917" s="1079" t="str">
        <f>VLOOKUP($B1917,DG!A:D,DG!$D$2,)</f>
        <v>trụ</v>
      </c>
      <c r="H1917" s="1885">
        <f>H1916</f>
        <v>0</v>
      </c>
      <c r="I1917" s="1259">
        <f t="shared" si="115"/>
        <v>0</v>
      </c>
      <c r="J1917" s="1108"/>
      <c r="K1917" s="1078"/>
      <c r="L1917" s="1110"/>
      <c r="M1917" s="975">
        <v>560</v>
      </c>
    </row>
    <row r="1918" spans="1:13" s="1083" customFormat="1" ht="25.2" hidden="1" customHeight="1">
      <c r="A1918" s="1153">
        <f t="shared" si="113"/>
        <v>0</v>
      </c>
      <c r="B1918" s="1154" t="s">
        <v>1818</v>
      </c>
      <c r="C1918" s="1154"/>
      <c r="D1918" s="1122"/>
      <c r="E1918" s="1079"/>
      <c r="F1918" s="1123" t="str">
        <f>VLOOKUP($B1918,DG!A:D,DG!$C$2,)</f>
        <v>Vật liệu dựng trụ</v>
      </c>
      <c r="G1918" s="1079" t="str">
        <f>VLOOKUP($B1918,DG!A:D,DG!$D$2,)</f>
        <v>trụ</v>
      </c>
      <c r="H1918" s="1885">
        <f>H1917</f>
        <v>0</v>
      </c>
      <c r="I1918" s="1259">
        <f t="shared" si="115"/>
        <v>0</v>
      </c>
      <c r="J1918" s="1078"/>
      <c r="K1918" s="1078"/>
      <c r="L1918" s="1110"/>
      <c r="M1918" s="975">
        <v>560</v>
      </c>
    </row>
    <row r="1919" spans="1:13" s="1083" customFormat="1" ht="25.2" hidden="1" customHeight="1">
      <c r="A1919" s="1153">
        <f t="shared" si="113"/>
        <v>0</v>
      </c>
      <c r="B1919" s="1154" t="s">
        <v>643</v>
      </c>
      <c r="C1919" s="1154"/>
      <c r="D1919" s="1122"/>
      <c r="E1919" s="1079" t="str">
        <f>VLOOKUP($B1919,DG!A:D,DG!$B$2,)</f>
        <v>04.9203</v>
      </c>
      <c r="F1919" s="1123" t="str">
        <f>VLOOKUP($B1919,DG!A:D,DG!$C$2,)</f>
        <v>Dựng trụ BTLT 12m trong TBA bằng thủ công + cơ giới</v>
      </c>
      <c r="G1919" s="1079" t="str">
        <f>VLOOKUP($B1919,DG!A:D,DG!$D$2,)</f>
        <v>trụ</v>
      </c>
      <c r="H1919" s="1885">
        <f>H1917</f>
        <v>0</v>
      </c>
      <c r="I1919" s="1259">
        <f t="shared" si="115"/>
        <v>0</v>
      </c>
      <c r="J1919" s="1108"/>
      <c r="K1919" s="1108"/>
      <c r="L1919" s="1110"/>
      <c r="M1919" s="975">
        <v>560</v>
      </c>
    </row>
    <row r="1920" spans="1:13" s="1083" customFormat="1" ht="25.2" hidden="1" customHeight="1">
      <c r="A1920" s="1153">
        <f t="shared" si="113"/>
        <v>0</v>
      </c>
      <c r="B1920" s="1353"/>
      <c r="C1920" s="1353"/>
      <c r="D1920" s="1117">
        <f>IF(H1920&gt;0,1,0)</f>
        <v>0</v>
      </c>
      <c r="E1920" s="1118"/>
      <c r="F1920" s="1119" t="s">
        <v>3730</v>
      </c>
      <c r="G1920" s="1120" t="s">
        <v>2283</v>
      </c>
      <c r="H1920" s="1884">
        <f>H1901*2*0</f>
        <v>0</v>
      </c>
      <c r="I1920" s="1259">
        <f t="shared" si="115"/>
        <v>0</v>
      </c>
      <c r="J1920" s="1121"/>
      <c r="K1920" s="1121"/>
      <c r="L1920" s="1082"/>
      <c r="M1920" s="975">
        <v>560</v>
      </c>
    </row>
    <row r="1921" spans="1:13" s="1083" customFormat="1" ht="25.2" hidden="1" customHeight="1">
      <c r="A1921" s="1153">
        <f t="shared" si="113"/>
        <v>0</v>
      </c>
      <c r="B1921" s="1154" t="s">
        <v>114</v>
      </c>
      <c r="C1921" s="1154"/>
      <c r="D1921" s="1122"/>
      <c r="E1921" s="1079"/>
      <c r="F1921" s="1123" t="str">
        <f>VLOOKUP($B1921,DG!A:D,DG!$C$2,)</f>
        <v>Trụ BTLT 10,5m F350 dự ứng lực</v>
      </c>
      <c r="G1921" s="1079" t="str">
        <f>VLOOKUP($B1921,DG!A:D,DG!$D$2,)</f>
        <v>trụ</v>
      </c>
      <c r="H1921" s="1885">
        <f>H1920</f>
        <v>0</v>
      </c>
      <c r="I1921" s="1259">
        <f t="shared" si="115"/>
        <v>0</v>
      </c>
      <c r="J1921" s="1108"/>
      <c r="K1921" s="1078"/>
      <c r="L1921" s="1082"/>
      <c r="M1921" s="975">
        <v>560</v>
      </c>
    </row>
    <row r="1922" spans="1:13" s="1083" customFormat="1" ht="25.2" hidden="1" customHeight="1">
      <c r="A1922" s="1153">
        <f t="shared" si="113"/>
        <v>0</v>
      </c>
      <c r="B1922" s="1154" t="s">
        <v>1818</v>
      </c>
      <c r="C1922" s="1154"/>
      <c r="D1922" s="1122"/>
      <c r="E1922" s="1079"/>
      <c r="F1922" s="1123" t="str">
        <f>VLOOKUP($B1922,DG!A:D,DG!$C$2,)</f>
        <v>Vật liệu dựng trụ</v>
      </c>
      <c r="G1922" s="1079" t="str">
        <f>VLOOKUP($B1922,DG!A:D,DG!$D$2,)</f>
        <v>trụ</v>
      </c>
      <c r="H1922" s="1885">
        <f>H1921</f>
        <v>0</v>
      </c>
      <c r="I1922" s="1259">
        <f t="shared" si="115"/>
        <v>0</v>
      </c>
      <c r="J1922" s="1078"/>
      <c r="K1922" s="1078"/>
      <c r="L1922" s="1082"/>
      <c r="M1922" s="975">
        <v>560</v>
      </c>
    </row>
    <row r="1923" spans="1:13" s="1083" customFormat="1" ht="25.2" hidden="1" customHeight="1">
      <c r="A1923" s="1153">
        <f t="shared" si="113"/>
        <v>0</v>
      </c>
      <c r="B1923" s="1154" t="s">
        <v>644</v>
      </c>
      <c r="C1923" s="1154"/>
      <c r="D1923" s="1122"/>
      <c r="E1923" s="1079" t="str">
        <f>VLOOKUP($B1923,DG!A:D,DG!$B$2,)</f>
        <v>04.9203</v>
      </c>
      <c r="F1923" s="1123" t="str">
        <f>VLOOKUP($B1923,DG!A:D,DG!$C$2,)</f>
        <v>Dựng trụ BTLT 10,5m trong TBA bằng thủ công + cơ giới</v>
      </c>
      <c r="G1923" s="1079" t="str">
        <f>VLOOKUP($B1923,DG!A:D,DG!$D$2,)</f>
        <v>trụ</v>
      </c>
      <c r="H1923" s="1885">
        <f>H1921</f>
        <v>0</v>
      </c>
      <c r="I1923" s="1259">
        <f t="shared" si="115"/>
        <v>0</v>
      </c>
      <c r="J1923" s="1108"/>
      <c r="K1923" s="1108"/>
      <c r="L1923" s="1082"/>
      <c r="M1923" s="975">
        <v>560</v>
      </c>
    </row>
    <row r="1924" spans="1:13" s="1083" customFormat="1" ht="25.2" hidden="1" customHeight="1">
      <c r="A1924" s="1153">
        <f t="shared" si="113"/>
        <v>0</v>
      </c>
      <c r="B1924" s="1354"/>
      <c r="C1924" s="1354"/>
      <c r="D1924" s="1084">
        <f>IF(H1924&gt;0,D1916+1,D1916)</f>
        <v>0</v>
      </c>
      <c r="E1924" s="1118"/>
      <c r="F1924" s="1119" t="s">
        <v>2358</v>
      </c>
      <c r="G1924" s="1120" t="s">
        <v>2333</v>
      </c>
      <c r="H1924" s="1884">
        <f>H1916</f>
        <v>0</v>
      </c>
      <c r="I1924" s="1259">
        <f t="shared" si="115"/>
        <v>0</v>
      </c>
      <c r="J1924" s="1078"/>
      <c r="K1924" s="1078"/>
      <c r="L1924" s="1110"/>
      <c r="M1924" s="975">
        <v>560</v>
      </c>
    </row>
    <row r="1925" spans="1:13" s="1083" customFormat="1" ht="25.2" hidden="1" customHeight="1">
      <c r="A1925" s="1153">
        <f t="shared" si="113"/>
        <v>0</v>
      </c>
      <c r="B1925" s="1331" t="s">
        <v>636</v>
      </c>
      <c r="C1925" s="1331"/>
      <c r="D1925" s="1122"/>
      <c r="E1925" s="1079" t="str">
        <f>VLOOKUP($B1925,DG!A:D,DG!$B$2,)</f>
        <v>04.4001</v>
      </c>
      <c r="F1925" s="1124" t="str">
        <f>VLOOKUP($B1925,DG!A:D,DG!$C$2,)</f>
        <v>Đà cản BTCT 1,2m</v>
      </c>
      <c r="G1925" s="1091" t="str">
        <f>VLOOKUP($B1925,DG!A:D,DG!$D$2,)</f>
        <v>cái</v>
      </c>
      <c r="H1925" s="1885">
        <f>H1924</f>
        <v>0</v>
      </c>
      <c r="I1925" s="1259">
        <f t="shared" si="115"/>
        <v>0</v>
      </c>
      <c r="J1925" s="1108"/>
      <c r="K1925" s="1078"/>
      <c r="L1925" s="1110"/>
      <c r="M1925" s="975">
        <v>560</v>
      </c>
    </row>
    <row r="1926" spans="1:13" s="1083" customFormat="1" ht="25.2" hidden="1" customHeight="1">
      <c r="A1926" s="1153">
        <f t="shared" si="113"/>
        <v>0</v>
      </c>
      <c r="B1926" s="1331" t="s">
        <v>566</v>
      </c>
      <c r="C1926" s="1331"/>
      <c r="D1926" s="1122"/>
      <c r="E1926" s="1091"/>
      <c r="F1926" s="1124" t="str">
        <f>VLOOKUP($B1926,DG!A:D,DG!$C$2,)</f>
        <v>Boulon 22x650+ 2 long đền vuông D24-50x50x3/Zn</v>
      </c>
      <c r="G1926" s="1091" t="str">
        <f>VLOOKUP($B1926,DG!A:D,DG!$D$2,)</f>
        <v>bộ</v>
      </c>
      <c r="H1926" s="1885">
        <f>H1925</f>
        <v>0</v>
      </c>
      <c r="I1926" s="1259">
        <f t="shared" si="115"/>
        <v>0</v>
      </c>
      <c r="J1926" s="1124"/>
      <c r="K1926" s="1078"/>
      <c r="L1926" s="1110"/>
      <c r="M1926" s="975">
        <v>560</v>
      </c>
    </row>
    <row r="1927" spans="1:13" s="1083" customFormat="1" ht="25.2" hidden="1" customHeight="1">
      <c r="A1927" s="1153">
        <f t="shared" si="113"/>
        <v>0</v>
      </c>
      <c r="B1927" s="1331" t="str">
        <f>IF(chitiet!G5=1,"MDD1",IF(chitiet!G5=2,"MDD2",IF(chitiet!G5=3,"MDD3",IF(chitiet!G5=4,"MDD4"))))</f>
        <v>MDD3</v>
      </c>
      <c r="C1927" s="1331"/>
      <c r="D1927" s="1122"/>
      <c r="E1927" s="1091" t="str">
        <f>VLOOKUP($B1927,DG!A:D,DG!$B$2,)</f>
        <v>03.1013</v>
      </c>
      <c r="F1927" s="1124" t="str">
        <f>VLOOKUP($B1927,DG!A:D,DG!$C$2,)</f>
        <v>Đào hố móng đất cấp 3 sâu &gt;1m</v>
      </c>
      <c r="G1927" s="1091" t="str">
        <f>VLOOKUP($B1927,DG!A:D,DG!$D$2,)</f>
        <v>m3</v>
      </c>
      <c r="H1927" s="1886">
        <f>1.45*H1925</f>
        <v>0</v>
      </c>
      <c r="I1927" s="1259">
        <f t="shared" si="115"/>
        <v>0</v>
      </c>
      <c r="J1927" s="1125"/>
      <c r="K1927" s="1078"/>
      <c r="L1927" s="1110"/>
      <c r="M1927" s="975">
        <v>560</v>
      </c>
    </row>
    <row r="1928" spans="1:13" s="1083" customFormat="1" ht="25.2" hidden="1" customHeight="1">
      <c r="A1928" s="1153">
        <f t="shared" si="113"/>
        <v>0</v>
      </c>
      <c r="B1928" s="1331" t="str">
        <f>IF(chitiet!G5=1,"MDAP1",IF(chitiet!G5=2,"MDAP2",IF(chitiet!G5=3,"MDAP3",IF(chitiet!G5=4,"MDAP4"))))</f>
        <v>MDAP3</v>
      </c>
      <c r="C1928" s="1331"/>
      <c r="D1928" s="1122"/>
      <c r="E1928" s="1091" t="str">
        <f>VLOOKUP($B1928,DG!A:D,DG!$B$2,)</f>
        <v>03.4113</v>
      </c>
      <c r="F1928" s="1124" t="str">
        <f>VLOOKUP($B1928,DG!A:D,DG!$C$2,)</f>
        <v>Đắp đất hố móng, độ chặt k=0,95</v>
      </c>
      <c r="G1928" s="1091" t="str">
        <f>VLOOKUP($B1928,DG!A:D,DG!$D$2,)</f>
        <v>m3</v>
      </c>
      <c r="H1928" s="1886">
        <f>1.37*H1924</f>
        <v>0</v>
      </c>
      <c r="I1928" s="1259">
        <f t="shared" si="115"/>
        <v>0</v>
      </c>
      <c r="J1928" s="1125"/>
      <c r="K1928" s="1078"/>
      <c r="L1928" s="1110"/>
      <c r="M1928" s="975">
        <v>560</v>
      </c>
    </row>
    <row r="1929" spans="1:13" s="1083" customFormat="1" ht="25.2" hidden="1" customHeight="1">
      <c r="A1929" s="1153">
        <f t="shared" si="113"/>
        <v>0</v>
      </c>
      <c r="B1929" s="1354"/>
      <c r="C1929" s="1354"/>
      <c r="D1929" s="1084">
        <f>IF(H1929&gt;0,D1921+1,D1921)</f>
        <v>0</v>
      </c>
      <c r="E1929" s="1118"/>
      <c r="F1929" s="1119" t="s">
        <v>3731</v>
      </c>
      <c r="G1929" s="1120" t="s">
        <v>2333</v>
      </c>
      <c r="H1929" s="1884">
        <f>H1920*0</f>
        <v>0</v>
      </c>
      <c r="I1929" s="1259">
        <f t="shared" si="115"/>
        <v>0</v>
      </c>
      <c r="J1929" s="1078"/>
      <c r="K1929" s="1078"/>
      <c r="L1929" s="1082"/>
      <c r="M1929" s="975">
        <v>560</v>
      </c>
    </row>
    <row r="1930" spans="1:13" s="1083" customFormat="1" ht="25.2" hidden="1" customHeight="1">
      <c r="A1930" s="1153">
        <f t="shared" si="113"/>
        <v>0</v>
      </c>
      <c r="B1930" s="1331" t="s">
        <v>636</v>
      </c>
      <c r="C1930" s="1331"/>
      <c r="D1930" s="1122"/>
      <c r="E1930" s="1079" t="str">
        <f>VLOOKUP($B1930,DG!A:D,DG!$B$2,)</f>
        <v>04.4001</v>
      </c>
      <c r="F1930" s="1124" t="str">
        <f>VLOOKUP($B1930,DG!A:D,DG!$C$2,)</f>
        <v>Đà cản BTCT 1,2m</v>
      </c>
      <c r="G1930" s="1091" t="str">
        <f>VLOOKUP($B1930,DG!A:D,DG!$D$2,)</f>
        <v>cái</v>
      </c>
      <c r="H1930" s="1885">
        <f>H1929</f>
        <v>0</v>
      </c>
      <c r="I1930" s="1259">
        <f t="shared" si="115"/>
        <v>0</v>
      </c>
      <c r="J1930" s="1108"/>
      <c r="K1930" s="1078"/>
      <c r="L1930" s="1082"/>
      <c r="M1930" s="975">
        <v>560</v>
      </c>
    </row>
    <row r="1931" spans="1:13" s="1083" customFormat="1" ht="25.2" hidden="1" customHeight="1">
      <c r="A1931" s="1153">
        <f t="shared" si="113"/>
        <v>0</v>
      </c>
      <c r="B1931" s="1331" t="s">
        <v>566</v>
      </c>
      <c r="C1931" s="1331"/>
      <c r="D1931" s="1122"/>
      <c r="E1931" s="1091"/>
      <c r="F1931" s="1124" t="str">
        <f>VLOOKUP($B1931,DG!A:D,DG!$C$2,)</f>
        <v>Boulon 22x650+ 2 long đền vuông D24-50x50x3/Zn</v>
      </c>
      <c r="G1931" s="1091" t="str">
        <f>VLOOKUP($B1931,DG!A:D,DG!$D$2,)</f>
        <v>bộ</v>
      </c>
      <c r="H1931" s="1885">
        <f>H1930</f>
        <v>0</v>
      </c>
      <c r="I1931" s="1259">
        <f t="shared" si="115"/>
        <v>0</v>
      </c>
      <c r="J1931" s="1124"/>
      <c r="K1931" s="1078"/>
      <c r="L1931" s="1082"/>
      <c r="M1931" s="975">
        <v>560</v>
      </c>
    </row>
    <row r="1932" spans="1:13" s="1083" customFormat="1" ht="25.2" hidden="1" customHeight="1">
      <c r="A1932" s="1153">
        <f t="shared" si="113"/>
        <v>0</v>
      </c>
      <c r="B1932" s="1331" t="str">
        <f>IF(chitiet!G5=1,"MDD1",IF(chitiet!G5=2,"MDD2",IF(chitiet!G5=3,"MDD3",IF(chitiet!G5=4,"MDD4"))))</f>
        <v>MDD3</v>
      </c>
      <c r="C1932" s="1331"/>
      <c r="D1932" s="1122"/>
      <c r="E1932" s="1091" t="str">
        <f>VLOOKUP($B1932,DG!A:D,DG!$B$2,)</f>
        <v>03.1013</v>
      </c>
      <c r="F1932" s="1124" t="str">
        <f>VLOOKUP($B1932,DG!A:D,DG!$C$2,)</f>
        <v>Đào hố móng đất cấp 3 sâu &gt;1m</v>
      </c>
      <c r="G1932" s="1091" t="str">
        <f>VLOOKUP($B1932,DG!A:D,DG!$D$2,)</f>
        <v>m3</v>
      </c>
      <c r="H1932" s="1886">
        <f>1.48*H1930</f>
        <v>0</v>
      </c>
      <c r="I1932" s="1259">
        <f t="shared" si="115"/>
        <v>0</v>
      </c>
      <c r="J1932" s="1125"/>
      <c r="K1932" s="1078"/>
      <c r="L1932" s="1082"/>
      <c r="M1932" s="975">
        <v>560</v>
      </c>
    </row>
    <row r="1933" spans="1:13" s="1083" customFormat="1" ht="25.2" hidden="1" customHeight="1">
      <c r="A1933" s="1153">
        <f t="shared" si="113"/>
        <v>0</v>
      </c>
      <c r="B1933" s="1331" t="str">
        <f>IF(chitiet!G5=1,"MDAP1",IF(chitiet!G5=2,"MDAP2",IF(chitiet!G5=3,"MDAP3",IF(chitiet!G5=4,"MDAP4"))))</f>
        <v>MDAP3</v>
      </c>
      <c r="C1933" s="1331"/>
      <c r="D1933" s="1122"/>
      <c r="E1933" s="1091" t="str">
        <f>VLOOKUP($B1933,DG!A:D,DG!$B$2,)</f>
        <v>03.4113</v>
      </c>
      <c r="F1933" s="1124" t="str">
        <f>VLOOKUP($B1933,DG!A:D,DG!$C$2,)</f>
        <v>Đắp đất hố móng, độ chặt k=0,95</v>
      </c>
      <c r="G1933" s="1091" t="str">
        <f>VLOOKUP($B1933,DG!A:D,DG!$D$2,)</f>
        <v>m3</v>
      </c>
      <c r="H1933" s="1886">
        <f>1.39*H1929</f>
        <v>0</v>
      </c>
      <c r="I1933" s="1259">
        <f t="shared" si="115"/>
        <v>0</v>
      </c>
      <c r="J1933" s="1125"/>
      <c r="K1933" s="1078"/>
      <c r="L1933" s="1082"/>
      <c r="M1933" s="975">
        <v>560</v>
      </c>
    </row>
    <row r="1934" spans="1:13" s="1083" customFormat="1" ht="25.2" hidden="1" customHeight="1">
      <c r="A1934" s="1153">
        <f t="shared" si="113"/>
        <v>0</v>
      </c>
      <c r="B1934" s="1324"/>
      <c r="C1934" s="1324"/>
      <c r="D1934" s="1084">
        <f>IF(H1934&gt;0,D1924+1,D1924)</f>
        <v>0</v>
      </c>
      <c r="E1934" s="1126"/>
      <c r="F1934" s="1119" t="s">
        <v>3732</v>
      </c>
      <c r="G1934" s="1117" t="s">
        <v>2391</v>
      </c>
      <c r="H1934" s="1887">
        <f>H1901*1</f>
        <v>0</v>
      </c>
      <c r="I1934" s="1259">
        <f t="shared" si="115"/>
        <v>0</v>
      </c>
      <c r="J1934" s="1127"/>
      <c r="K1934" s="1127"/>
      <c r="L1934" s="1082"/>
      <c r="M1934" s="975">
        <v>560</v>
      </c>
    </row>
    <row r="1935" spans="1:13" s="1083" customFormat="1" ht="25.2" hidden="1" customHeight="1">
      <c r="A1935" s="1153">
        <f t="shared" si="113"/>
        <v>0</v>
      </c>
      <c r="B1935" s="1324"/>
      <c r="C1935" s="1324"/>
      <c r="D1935" s="1078"/>
      <c r="E1935" s="1128"/>
      <c r="F1935" s="1367" t="s">
        <v>2285</v>
      </c>
      <c r="G1935" s="1090"/>
      <c r="H1935" s="1851"/>
      <c r="I1935" s="1259">
        <f t="shared" si="115"/>
        <v>0</v>
      </c>
      <c r="J1935" s="1129"/>
      <c r="K1935" s="1129"/>
      <c r="L1935" s="1082"/>
      <c r="M1935" s="975">
        <v>560</v>
      </c>
    </row>
    <row r="1936" spans="1:13" s="1083" customFormat="1" ht="25.2" hidden="1" customHeight="1">
      <c r="A1936" s="1153">
        <f t="shared" si="113"/>
        <v>0</v>
      </c>
      <c r="B1936" s="1154" t="s">
        <v>1411</v>
      </c>
      <c r="C1936" s="1154"/>
      <c r="D1936" s="1078"/>
      <c r="E1936" s="1091" t="str">
        <f>VLOOKUP($B1936,DG!A:D,DG!$B$2,)</f>
        <v>05.6105</v>
      </c>
      <c r="F1936" s="1080" t="str">
        <f>VLOOKUP($B1936,DG!A:D,DG!$C$2,)&amp;": 2 cái"</f>
        <v>Đà U200x80x5x2800 đỡ MBA: 2 cái</v>
      </c>
      <c r="G1936" s="1079" t="str">
        <f>VLOOKUP($B1936,DG!A:D,DG!$D$2,)</f>
        <v>cái</v>
      </c>
      <c r="H1936" s="1851">
        <f>52.049*H1934*2</f>
        <v>0</v>
      </c>
      <c r="I1936" s="1259">
        <f t="shared" si="115"/>
        <v>0</v>
      </c>
      <c r="J1936" s="1108"/>
      <c r="K1936" s="1108"/>
      <c r="L1936" s="1082"/>
      <c r="M1936" s="975">
        <v>560</v>
      </c>
    </row>
    <row r="1937" spans="1:13" s="1083" customFormat="1" ht="25.2" hidden="1" customHeight="1">
      <c r="A1937" s="1153">
        <f t="shared" si="113"/>
        <v>0</v>
      </c>
      <c r="B1937" s="1154" t="s">
        <v>1137</v>
      </c>
      <c r="C1937" s="1154"/>
      <c r="D1937" s="1078"/>
      <c r="E1937" s="1091" t="str">
        <f>VLOOKUP($B1937,DG!A:D,DG!$B$2,)</f>
        <v>05.6101</v>
      </c>
      <c r="F1937" s="1080" t="str">
        <f>VLOOKUP($B1937,DG!A:D,DG!$C$2,)&amp;": 4 cái"</f>
        <v>Đà U100x46x4.5x400 : 4 cái</v>
      </c>
      <c r="G1937" s="1079" t="str">
        <f>VLOOKUP($B1937,DG!A:D,DG!$D$2,)</f>
        <v>cái</v>
      </c>
      <c r="H1937" s="1851">
        <f>H1934*2.713*4</f>
        <v>0</v>
      </c>
      <c r="I1937" s="1259">
        <f t="shared" si="115"/>
        <v>0</v>
      </c>
      <c r="J1937" s="1108"/>
      <c r="K1937" s="1108"/>
      <c r="L1937" s="1082"/>
      <c r="M1937" s="975">
        <v>560</v>
      </c>
    </row>
    <row r="1938" spans="1:13" s="1083" customFormat="1" ht="25.2" hidden="1" customHeight="1">
      <c r="A1938" s="1153">
        <f t="shared" si="113"/>
        <v>0</v>
      </c>
      <c r="B1938" s="1154" t="s">
        <v>1138</v>
      </c>
      <c r="C1938" s="1154"/>
      <c r="D1938" s="1078"/>
      <c r="E1938" s="1091" t="str">
        <f>VLOOKUP($B1938,DG!A:D,DG!$B$2,)</f>
        <v>05.6101</v>
      </c>
      <c r="F1938" s="1080" t="str">
        <f>VLOOKUP($B1938,DG!A:D,DG!$C$2,)&amp;": 2 cái"</f>
        <v>Đà U100x46x5x800 : 2 cái</v>
      </c>
      <c r="G1938" s="1079" t="str">
        <f>VLOOKUP($B1938,DG!A:D,DG!$D$2,)</f>
        <v>cái</v>
      </c>
      <c r="H1938" s="1851">
        <f>H1934*5.426*2</f>
        <v>0</v>
      </c>
      <c r="I1938" s="1259">
        <f t="shared" si="115"/>
        <v>0</v>
      </c>
      <c r="J1938" s="1108"/>
      <c r="K1938" s="1108"/>
      <c r="L1938" s="1082"/>
      <c r="M1938" s="975">
        <v>560</v>
      </c>
    </row>
    <row r="1939" spans="1:13" s="1083" customFormat="1" ht="25.2" hidden="1" customHeight="1">
      <c r="A1939" s="1153">
        <f t="shared" si="113"/>
        <v>0</v>
      </c>
      <c r="B1939" s="1324" t="s">
        <v>1785</v>
      </c>
      <c r="C1939" s="1324"/>
      <c r="D1939" s="1078"/>
      <c r="E1939" s="1091">
        <f>VLOOKUP($B1939,DG!A:D,DG!$B$2,)</f>
        <v>0</v>
      </c>
      <c r="F1939" s="1080" t="str">
        <f>VLOOKUP($B1939,DG!A:D,DG!$C$2,)</f>
        <v>Boulon 16x400VRS+ 4 long đền vuông D18-50x50x3/Zn</v>
      </c>
      <c r="G1939" s="1079" t="str">
        <f>VLOOKUP($B1939,DG!A:D,DG!$D$2,)</f>
        <v>bộ</v>
      </c>
      <c r="H1939" s="1851">
        <f>H1934*10</f>
        <v>0</v>
      </c>
      <c r="I1939" s="1259">
        <f t="shared" si="115"/>
        <v>0</v>
      </c>
      <c r="J1939" s="1108"/>
      <c r="K1939" s="1108"/>
      <c r="L1939" s="1082"/>
      <c r="M1939" s="975">
        <v>560</v>
      </c>
    </row>
    <row r="1940" spans="1:13" s="1083" customFormat="1" ht="25.2" hidden="1" customHeight="1">
      <c r="A1940" s="1153">
        <f t="shared" si="113"/>
        <v>0</v>
      </c>
      <c r="B1940" s="1324" t="s">
        <v>1083</v>
      </c>
      <c r="C1940" s="1324"/>
      <c r="D1940" s="1078"/>
      <c r="E1940" s="1091">
        <f>VLOOKUP($B1940,DG!A:D,DG!$B$2,)</f>
        <v>0</v>
      </c>
      <c r="F1940" s="1080" t="str">
        <f>VLOOKUP($B1940,DG!A:D,DG!$C$2,)</f>
        <v>Boulon 16x400+ 2 long đền vuông D18-50x50x3/Zn</v>
      </c>
      <c r="G1940" s="1079" t="str">
        <f>VLOOKUP($B1940,DG!A:D,DG!$D$2,)</f>
        <v>bộ</v>
      </c>
      <c r="H1940" s="1851">
        <f>H1934*2</f>
        <v>0</v>
      </c>
      <c r="I1940" s="1259">
        <f t="shared" si="115"/>
        <v>0</v>
      </c>
      <c r="J1940" s="1108"/>
      <c r="K1940" s="1108"/>
      <c r="L1940" s="1082"/>
      <c r="M1940" s="975">
        <v>560</v>
      </c>
    </row>
    <row r="1941" spans="1:13" s="1083" customFormat="1" ht="25.2" hidden="1" customHeight="1">
      <c r="A1941" s="1153">
        <f t="shared" si="113"/>
        <v>0</v>
      </c>
      <c r="B1941" s="1324" t="s">
        <v>1079</v>
      </c>
      <c r="C1941" s="1324"/>
      <c r="D1941" s="1078"/>
      <c r="E1941" s="1091">
        <f>VLOOKUP($B1941,DG!A:D,DG!$B$2,)</f>
        <v>0</v>
      </c>
      <c r="F1941" s="1080" t="str">
        <f>VLOOKUP($B1941,DG!A:D,DG!$C$2,)</f>
        <v>Boulon 16x350+ 2 long đền vuông D18-50x50x3/Zn</v>
      </c>
      <c r="G1941" s="1079" t="str">
        <f>VLOOKUP($B1941,DG!A:D,DG!$D$2,)</f>
        <v>bộ</v>
      </c>
      <c r="H1941" s="1851">
        <f>H1934*12</f>
        <v>0</v>
      </c>
      <c r="I1941" s="1259">
        <f t="shared" si="115"/>
        <v>0</v>
      </c>
      <c r="J1941" s="1108"/>
      <c r="K1941" s="1108"/>
      <c r="L1941" s="1082"/>
      <c r="M1941" s="975">
        <v>560</v>
      </c>
    </row>
    <row r="1942" spans="1:13" s="1083" customFormat="1" ht="25.2" hidden="1" customHeight="1">
      <c r="A1942" s="1153">
        <f t="shared" si="113"/>
        <v>0</v>
      </c>
      <c r="B1942" s="1324" t="s">
        <v>2248</v>
      </c>
      <c r="C1942" s="1324"/>
      <c r="D1942" s="1078"/>
      <c r="E1942" s="1091" t="str">
        <f>VLOOKUP($B1942,DG!A:D,DG!$B$2,)</f>
        <v>05.6044</v>
      </c>
      <c r="F1942" s="1080" t="str">
        <f>VLOOKUP($B1942,DG!A:D,DG!$C$2,)</f>
        <v>Lắp xà cột Pi loại ≤140kg/xà</v>
      </c>
      <c r="G1942" s="1091" t="str">
        <f>VLOOKUP($B1942,DG!A:D,DG!$D$2,)</f>
        <v>bộ</v>
      </c>
      <c r="H1942" s="1851">
        <f>H1934</f>
        <v>0</v>
      </c>
      <c r="I1942" s="1259">
        <f t="shared" si="115"/>
        <v>0</v>
      </c>
      <c r="J1942" s="1108"/>
      <c r="K1942" s="1108"/>
      <c r="L1942" s="1082"/>
      <c r="M1942" s="975">
        <v>560</v>
      </c>
    </row>
    <row r="1943" spans="1:13" s="1083" customFormat="1" ht="25.2" hidden="1" customHeight="1">
      <c r="A1943" s="1153">
        <f t="shared" si="113"/>
        <v>0</v>
      </c>
      <c r="B1943" s="1324"/>
      <c r="C1943" s="1324"/>
      <c r="D1943" s="1084">
        <f>IF(H1943&gt;0,D1934+1,D1934)</f>
        <v>0</v>
      </c>
      <c r="E1943" s="1085"/>
      <c r="F1943" s="1130" t="s">
        <v>3763</v>
      </c>
      <c r="G1943" s="1084" t="s">
        <v>2391</v>
      </c>
      <c r="H1943" s="1867">
        <f>H1934*2</f>
        <v>0</v>
      </c>
      <c r="I1943" s="1259">
        <f t="shared" si="115"/>
        <v>0</v>
      </c>
      <c r="J1943" s="1131"/>
      <c r="K1943" s="1131"/>
      <c r="L1943" s="1082"/>
      <c r="M1943" s="975">
        <v>560</v>
      </c>
    </row>
    <row r="1944" spans="1:13" s="1083" customFormat="1" ht="25.2" hidden="1" customHeight="1">
      <c r="A1944" s="1153">
        <f t="shared" si="113"/>
        <v>0</v>
      </c>
      <c r="B1944" s="1324"/>
      <c r="C1944" s="1324"/>
      <c r="D1944" s="1078"/>
      <c r="E1944" s="1091"/>
      <c r="F1944" s="1367" t="s">
        <v>2285</v>
      </c>
      <c r="G1944" s="1090"/>
      <c r="H1944" s="1851"/>
      <c r="I1944" s="1259">
        <f t="shared" si="115"/>
        <v>0</v>
      </c>
      <c r="J1944" s="1131"/>
      <c r="K1944" s="1131"/>
      <c r="L1944" s="1082"/>
      <c r="M1944" s="975">
        <v>560</v>
      </c>
    </row>
    <row r="1945" spans="1:13" s="1083" customFormat="1" ht="25.2" hidden="1" customHeight="1">
      <c r="A1945" s="1153">
        <f t="shared" si="113"/>
        <v>0</v>
      </c>
      <c r="B1945" s="1331" t="s">
        <v>2026</v>
      </c>
      <c r="C1945" s="1331"/>
      <c r="D1945" s="1078"/>
      <c r="E1945" s="1091">
        <f>VLOOKUP($B1945,DG!A:D,DG!$B$2,)</f>
        <v>0</v>
      </c>
      <c r="F1945" s="1080" t="str">
        <f>VLOOKUP($B1945,DG!A:D,DG!$C$2,)</f>
        <v>Sắt góc L75 x75 x8</v>
      </c>
      <c r="G1945" s="1091" t="str">
        <f>VLOOKUP($B1945,DG!A:D,DG!$D$2,)</f>
        <v>kg</v>
      </c>
      <c r="H1945" s="1851">
        <f>H1943*9.42*(2.6+3*0.07)*2</f>
        <v>0</v>
      </c>
      <c r="I1945" s="1259">
        <f t="shared" si="115"/>
        <v>0</v>
      </c>
      <c r="J1945" s="1108"/>
      <c r="K1945" s="1108"/>
      <c r="L1945" s="1082"/>
      <c r="M1945" s="975">
        <v>560</v>
      </c>
    </row>
    <row r="1946" spans="1:13" s="1083" customFormat="1" ht="25.2" hidden="1" customHeight="1">
      <c r="A1946" s="1153">
        <f t="shared" ref="A1946:A2009" si="116">IF(I1946&gt;0,1,0)</f>
        <v>0</v>
      </c>
      <c r="B1946" s="1324" t="s">
        <v>1788</v>
      </c>
      <c r="C1946" s="1324"/>
      <c r="D1946" s="1078"/>
      <c r="E1946" s="1091">
        <f>VLOOKUP($B1946,DG!A:D,DG!$B$2,)</f>
        <v>0</v>
      </c>
      <c r="F1946" s="1080" t="str">
        <f>VLOOKUP($B1946,DG!A:D,DG!$C$2,)</f>
        <v>Boulon 16x300VRS+ 4 long đền vuông D18-50x50x3/Zn</v>
      </c>
      <c r="G1946" s="1091" t="str">
        <f>VLOOKUP($B1946,DG!A:D,DG!$D$2,)</f>
        <v>bộ</v>
      </c>
      <c r="H1946" s="1851">
        <f>H1943*2</f>
        <v>0</v>
      </c>
      <c r="I1946" s="1259">
        <f t="shared" si="115"/>
        <v>0</v>
      </c>
      <c r="J1946" s="1108"/>
      <c r="K1946" s="1108"/>
      <c r="L1946" s="1082"/>
      <c r="M1946" s="975">
        <v>560</v>
      </c>
    </row>
    <row r="1947" spans="1:13" s="1083" customFormat="1" ht="25.2" hidden="1" customHeight="1">
      <c r="A1947" s="1153">
        <f t="shared" si="116"/>
        <v>0</v>
      </c>
      <c r="B1947" s="1324" t="s">
        <v>1613</v>
      </c>
      <c r="C1947" s="1324"/>
      <c r="D1947" s="1078"/>
      <c r="E1947" s="1091">
        <f>VLOOKUP($B1947,DG!A:D,DG!$B$2,)</f>
        <v>0</v>
      </c>
      <c r="F1947" s="1080" t="str">
        <f>VLOOKUP($B1947,DG!A:D,DG!$C$2,)</f>
        <v>Boulon 16x300+ 2 long đền vuông D18-50x50x3/Zn</v>
      </c>
      <c r="G1947" s="1091" t="str">
        <f>VLOOKUP($B1947,DG!A:D,DG!$D$2,)</f>
        <v>bộ</v>
      </c>
      <c r="H1947" s="1851">
        <f>H1943*2</f>
        <v>0</v>
      </c>
      <c r="I1947" s="1259">
        <f t="shared" si="115"/>
        <v>0</v>
      </c>
      <c r="J1947" s="1108"/>
      <c r="K1947" s="1108"/>
      <c r="L1947" s="1082"/>
      <c r="M1947" s="975">
        <v>560</v>
      </c>
    </row>
    <row r="1948" spans="1:13" s="1083" customFormat="1" ht="25.2" hidden="1" customHeight="1">
      <c r="A1948" s="1153">
        <f t="shared" si="116"/>
        <v>0</v>
      </c>
      <c r="B1948" s="1324" t="s">
        <v>1612</v>
      </c>
      <c r="C1948" s="1324"/>
      <c r="D1948" s="1078"/>
      <c r="E1948" s="1091">
        <f>VLOOKUP($B1948,DG!A:D,DG!$B$2,)</f>
        <v>0</v>
      </c>
      <c r="F1948" s="1080" t="str">
        <f>VLOOKUP($B1948,DG!A:D,DG!$C$2,)</f>
        <v>Boulon 16x250+ 2 long đền vuông D18-50x50x3/Zn</v>
      </c>
      <c r="G1948" s="1091" t="str">
        <f>VLOOKUP($B1948,DG!A:D,DG!$D$2,)</f>
        <v>bộ</v>
      </c>
      <c r="H1948" s="1851">
        <f>H1947</f>
        <v>0</v>
      </c>
      <c r="I1948" s="1259">
        <f t="shared" si="115"/>
        <v>0</v>
      </c>
      <c r="J1948" s="1108"/>
      <c r="K1948" s="1108"/>
      <c r="L1948" s="1082"/>
      <c r="M1948" s="975">
        <v>560</v>
      </c>
    </row>
    <row r="1949" spans="1:13" s="1083" customFormat="1" ht="25.2" hidden="1" customHeight="1">
      <c r="A1949" s="1153">
        <f t="shared" si="116"/>
        <v>0</v>
      </c>
      <c r="B1949" s="1324" t="s">
        <v>2248</v>
      </c>
      <c r="C1949" s="1324"/>
      <c r="D1949" s="1078"/>
      <c r="E1949" s="1091" t="str">
        <f>VLOOKUP($B1949,DG!A:D,DG!$B$2,)</f>
        <v>05.6044</v>
      </c>
      <c r="F1949" s="1080" t="str">
        <f>VLOOKUP($B1949,DG!A:D,DG!$C$2,)</f>
        <v>Lắp xà cột Pi loại ≤140kg/xà</v>
      </c>
      <c r="G1949" s="1091" t="str">
        <f>VLOOKUP($B1949,DG!A:D,DG!$D$2,)</f>
        <v>bộ</v>
      </c>
      <c r="H1949" s="1851">
        <f>H1943/2</f>
        <v>0</v>
      </c>
      <c r="I1949" s="1259">
        <f t="shared" si="115"/>
        <v>0</v>
      </c>
      <c r="J1949" s="1108"/>
      <c r="K1949" s="1108"/>
      <c r="L1949" s="1082"/>
      <c r="M1949" s="975">
        <v>560</v>
      </c>
    </row>
    <row r="1950" spans="1:13" s="1083" customFormat="1" ht="25.2" hidden="1" customHeight="1">
      <c r="A1950" s="1153">
        <f t="shared" si="116"/>
        <v>0</v>
      </c>
      <c r="B1950" s="1324"/>
      <c r="C1950" s="1324"/>
      <c r="D1950" s="1084">
        <f>IF(H1950&gt;0,D1943+1,D1943)</f>
        <v>0</v>
      </c>
      <c r="E1950" s="1085"/>
      <c r="F1950" s="1130" t="s">
        <v>3764</v>
      </c>
      <c r="G1950" s="1084" t="s">
        <v>2391</v>
      </c>
      <c r="H1950" s="1867">
        <f>H1901*1</f>
        <v>0</v>
      </c>
      <c r="I1950" s="1259">
        <f t="shared" si="115"/>
        <v>0</v>
      </c>
      <c r="J1950" s="1131"/>
      <c r="K1950" s="1131"/>
      <c r="L1950" s="1082"/>
      <c r="M1950" s="975">
        <v>560</v>
      </c>
    </row>
    <row r="1951" spans="1:13" s="1083" customFormat="1" ht="25.2" hidden="1" customHeight="1">
      <c r="A1951" s="1153">
        <f t="shared" si="116"/>
        <v>0</v>
      </c>
      <c r="B1951" s="1324"/>
      <c r="C1951" s="1324"/>
      <c r="D1951" s="1078"/>
      <c r="E1951" s="1088"/>
      <c r="F1951" s="1367" t="s">
        <v>2285</v>
      </c>
      <c r="G1951" s="1090"/>
      <c r="H1951" s="1851"/>
      <c r="I1951" s="1259">
        <f t="shared" si="115"/>
        <v>0</v>
      </c>
      <c r="J1951" s="1131"/>
      <c r="K1951" s="1131"/>
      <c r="L1951" s="1082"/>
      <c r="M1951" s="975">
        <v>560</v>
      </c>
    </row>
    <row r="1952" spans="1:13" s="1083" customFormat="1" ht="25.2" hidden="1" customHeight="1">
      <c r="A1952" s="1153">
        <f t="shared" si="116"/>
        <v>0</v>
      </c>
      <c r="B1952" s="1331" t="s">
        <v>2026</v>
      </c>
      <c r="C1952" s="1331"/>
      <c r="D1952" s="1078"/>
      <c r="E1952" s="1091">
        <f>VLOOKUP($B1952,DG!A:D,DG!$B$2,)</f>
        <v>0</v>
      </c>
      <c r="F1952" s="1080" t="str">
        <f>VLOOKUP($B1952,DG!A:D,DG!$C$2,)</f>
        <v>Sắt góc L75 x75 x8</v>
      </c>
      <c r="G1952" s="1091" t="str">
        <f>VLOOKUP($B1952,DG!A:D,DG!$D$2,)</f>
        <v>kg</v>
      </c>
      <c r="H1952" s="1851">
        <f>H1950*9.42*(2.6+3*0.07)</f>
        <v>0</v>
      </c>
      <c r="I1952" s="1259">
        <f t="shared" si="115"/>
        <v>0</v>
      </c>
      <c r="J1952" s="1108"/>
      <c r="K1952" s="1108"/>
      <c r="L1952" s="1082"/>
      <c r="M1952" s="975">
        <v>560</v>
      </c>
    </row>
    <row r="1953" spans="1:13" s="1083" customFormat="1" ht="25.2" hidden="1" customHeight="1">
      <c r="A1953" s="1153">
        <f t="shared" si="116"/>
        <v>0</v>
      </c>
      <c r="B1953" s="1324" t="s">
        <v>1612</v>
      </c>
      <c r="C1953" s="1324"/>
      <c r="D1953" s="1078"/>
      <c r="E1953" s="1091">
        <f>VLOOKUP($B1953,DG!A:D,DG!$B$2,)</f>
        <v>0</v>
      </c>
      <c r="F1953" s="1080" t="str">
        <f>VLOOKUP($B1953,DG!A:D,DG!$C$2,)</f>
        <v>Boulon 16x250+ 2 long đền vuông D18-50x50x3/Zn</v>
      </c>
      <c r="G1953" s="1091" t="str">
        <f>VLOOKUP($B1953,DG!A:D,DG!$D$2,)</f>
        <v>bộ</v>
      </c>
      <c r="H1953" s="1851">
        <f>H1950</f>
        <v>0</v>
      </c>
      <c r="I1953" s="1259">
        <f t="shared" si="115"/>
        <v>0</v>
      </c>
      <c r="J1953" s="1108"/>
      <c r="K1953" s="1108"/>
      <c r="L1953" s="1082"/>
      <c r="M1953" s="975">
        <v>560</v>
      </c>
    </row>
    <row r="1954" spans="1:13" s="1083" customFormat="1" ht="25.2" hidden="1" customHeight="1">
      <c r="A1954" s="1153">
        <f t="shared" si="116"/>
        <v>0</v>
      </c>
      <c r="B1954" s="1324" t="s">
        <v>1613</v>
      </c>
      <c r="C1954" s="1324"/>
      <c r="D1954" s="1078"/>
      <c r="E1954" s="1091">
        <f>VLOOKUP($B1954,DG!A:D,DG!$B$2,)</f>
        <v>0</v>
      </c>
      <c r="F1954" s="1080" t="str">
        <f>VLOOKUP($B1954,DG!A:D,DG!$C$2,)</f>
        <v>Boulon 16x300+ 2 long đền vuông D18-50x50x3/Zn</v>
      </c>
      <c r="G1954" s="1091" t="str">
        <f>VLOOKUP($B1954,DG!A:D,DG!$D$2,)</f>
        <v>bộ</v>
      </c>
      <c r="H1954" s="1851">
        <f>H1950</f>
        <v>0</v>
      </c>
      <c r="I1954" s="1259">
        <f t="shared" si="115"/>
        <v>0</v>
      </c>
      <c r="J1954" s="1108"/>
      <c r="K1954" s="1108"/>
      <c r="L1954" s="1082"/>
      <c r="M1954" s="975">
        <v>560</v>
      </c>
    </row>
    <row r="1955" spans="1:13" s="1083" customFormat="1" ht="25.2" hidden="1" customHeight="1">
      <c r="A1955" s="1153">
        <f t="shared" si="116"/>
        <v>0</v>
      </c>
      <c r="B1955" s="1324" t="s">
        <v>30</v>
      </c>
      <c r="C1955" s="1324"/>
      <c r="D1955" s="1078"/>
      <c r="E1955" s="1091">
        <f>VLOOKUP($B1955,DG!A:D,DG!$B$2,)</f>
        <v>0</v>
      </c>
      <c r="F1955" s="1080" t="str">
        <f>VLOOKUP($B1955,DG!A:D,DG!$C$2,)</f>
        <v>Bass LI bắt FCO</v>
      </c>
      <c r="G1955" s="1091" t="str">
        <f>VLOOKUP($B1955,DG!A:D,DG!$D$2,)</f>
        <v>Bộ</v>
      </c>
      <c r="H1955" s="1851">
        <f>H1902*2</f>
        <v>0</v>
      </c>
      <c r="I1955" s="1259">
        <f t="shared" si="115"/>
        <v>0</v>
      </c>
      <c r="J1955" s="1108"/>
      <c r="K1955" s="1108"/>
      <c r="L1955" s="1082"/>
      <c r="M1955" s="975">
        <v>560</v>
      </c>
    </row>
    <row r="1956" spans="1:13" s="1083" customFormat="1" ht="25.2" hidden="1" customHeight="1">
      <c r="A1956" s="1153">
        <f t="shared" si="116"/>
        <v>0</v>
      </c>
      <c r="B1956" s="1324" t="s">
        <v>2248</v>
      </c>
      <c r="C1956" s="1324"/>
      <c r="D1956" s="1078"/>
      <c r="E1956" s="1091" t="str">
        <f>VLOOKUP($B1956,DG!A:D,DG!$B$2,)</f>
        <v>05.6044</v>
      </c>
      <c r="F1956" s="1080" t="str">
        <f>VLOOKUP($B1956,DG!A:D,DG!$C$2,)</f>
        <v>Lắp xà cột Pi loại ≤140kg/xà</v>
      </c>
      <c r="G1956" s="1091" t="str">
        <f>VLOOKUP($B1956,DG!A:D,DG!$D$2,)</f>
        <v>bộ</v>
      </c>
      <c r="H1956" s="1851">
        <f>H1901</f>
        <v>0</v>
      </c>
      <c r="I1956" s="1259">
        <f t="shared" si="115"/>
        <v>0</v>
      </c>
      <c r="J1956" s="1108"/>
      <c r="K1956" s="1108"/>
      <c r="L1956" s="1082"/>
      <c r="M1956" s="975">
        <v>560</v>
      </c>
    </row>
    <row r="1957" spans="1:13" s="1083" customFormat="1" ht="25.2" hidden="1" customHeight="1">
      <c r="A1957" s="1153">
        <f t="shared" si="116"/>
        <v>0</v>
      </c>
      <c r="B1957" s="1324"/>
      <c r="C1957" s="1324"/>
      <c r="D1957" s="1084">
        <f>IF(H1957&gt;0,D1950+1,D1950)</f>
        <v>0</v>
      </c>
      <c r="E1957" s="1085"/>
      <c r="F1957" s="1130" t="s">
        <v>3735</v>
      </c>
      <c r="G1957" s="1084" t="s">
        <v>2391</v>
      </c>
      <c r="H1957" s="1867">
        <f>H1901*2</f>
        <v>0</v>
      </c>
      <c r="I1957" s="1259">
        <f t="shared" si="115"/>
        <v>0</v>
      </c>
      <c r="J1957" s="1131"/>
      <c r="K1957" s="1131"/>
      <c r="L1957" s="1082"/>
      <c r="M1957" s="975">
        <v>560</v>
      </c>
    </row>
    <row r="1958" spans="1:13" s="1083" customFormat="1" ht="25.2" hidden="1" customHeight="1">
      <c r="A1958" s="1153">
        <f t="shared" si="116"/>
        <v>0</v>
      </c>
      <c r="B1958" s="1324"/>
      <c r="C1958" s="1324"/>
      <c r="D1958" s="1078"/>
      <c r="E1958" s="1088"/>
      <c r="F1958" s="1367" t="s">
        <v>2285</v>
      </c>
      <c r="G1958" s="1090"/>
      <c r="H1958" s="1851"/>
      <c r="I1958" s="1259">
        <f t="shared" si="115"/>
        <v>0</v>
      </c>
      <c r="J1958" s="1131"/>
      <c r="K1958" s="1131"/>
      <c r="L1958" s="1082"/>
      <c r="M1958" s="975">
        <v>560</v>
      </c>
    </row>
    <row r="1959" spans="1:13" s="1083" customFormat="1" ht="25.2" hidden="1" customHeight="1">
      <c r="A1959" s="1153">
        <f t="shared" si="116"/>
        <v>0</v>
      </c>
      <c r="B1959" s="1324" t="s">
        <v>2026</v>
      </c>
      <c r="C1959" s="1324"/>
      <c r="D1959" s="1078"/>
      <c r="E1959" s="1091">
        <f>VLOOKUP($B1959,DG!A:D,DG!$B$2,)</f>
        <v>0</v>
      </c>
      <c r="F1959" s="1080" t="str">
        <f>VLOOKUP($B1959,DG!A:D,DG!$C$2,)</f>
        <v>Sắt góc L75 x75 x8</v>
      </c>
      <c r="G1959" s="1091" t="str">
        <f>VLOOKUP($B1959,DG!A:D,DG!$D$2,)</f>
        <v>kg</v>
      </c>
      <c r="H1959" s="1851">
        <f>H1957*9.42*2.6</f>
        <v>0</v>
      </c>
      <c r="I1959" s="1259">
        <f t="shared" si="115"/>
        <v>0</v>
      </c>
      <c r="J1959" s="1108"/>
      <c r="K1959" s="1108"/>
      <c r="L1959" s="1082"/>
      <c r="M1959" s="975">
        <v>560</v>
      </c>
    </row>
    <row r="1960" spans="1:13" s="1083" customFormat="1" ht="25.2" hidden="1" customHeight="1">
      <c r="A1960" s="1153">
        <f t="shared" si="116"/>
        <v>0</v>
      </c>
      <c r="B1960" s="1324" t="s">
        <v>1083</v>
      </c>
      <c r="C1960" s="1324"/>
      <c r="D1960" s="1078"/>
      <c r="E1960" s="1091">
        <f>VLOOKUP($B1960,DG!A:D,DG!$B$2,)</f>
        <v>0</v>
      </c>
      <c r="F1960" s="1080" t="str">
        <f>VLOOKUP($B1960,DG!A:D,DG!$C$2,)</f>
        <v>Boulon 16x400+ 2 long đền vuông D18-50x50x3/Zn</v>
      </c>
      <c r="G1960" s="1091" t="str">
        <f>VLOOKUP($B1960,DG!A:D,DG!$D$2,)</f>
        <v>bộ</v>
      </c>
      <c r="H1960" s="1851">
        <f>H1957*2</f>
        <v>0</v>
      </c>
      <c r="I1960" s="1259">
        <f t="shared" si="115"/>
        <v>0</v>
      </c>
      <c r="J1960" s="1108"/>
      <c r="K1960" s="1108"/>
      <c r="L1960" s="1082"/>
      <c r="M1960" s="975">
        <v>560</v>
      </c>
    </row>
    <row r="1961" spans="1:13" s="1083" customFormat="1" ht="25.2" hidden="1" customHeight="1">
      <c r="A1961" s="1153">
        <f t="shared" si="116"/>
        <v>0</v>
      </c>
      <c r="B1961" s="1324" t="s">
        <v>138</v>
      </c>
      <c r="C1961" s="1324"/>
      <c r="D1961" s="1078"/>
      <c r="E1961" s="1091">
        <f>VLOOKUP($B1961,DG!A:D,DG!$B$2,)</f>
        <v>0</v>
      </c>
      <c r="F1961" s="1080" t="str">
        <f>VLOOKUP($B1961,DG!A:D,DG!$C$2,)</f>
        <v>Boulon 12x40+ 2 long đền vuông D14-50x50x3/Zn</v>
      </c>
      <c r="G1961" s="1091" t="str">
        <f>VLOOKUP($B1961,DG!A:D,DG!$D$2,)</f>
        <v>bộ</v>
      </c>
      <c r="H1961" s="1851">
        <f>H1957*2</f>
        <v>0</v>
      </c>
      <c r="I1961" s="1259">
        <f t="shared" si="115"/>
        <v>0</v>
      </c>
      <c r="J1961" s="1108"/>
      <c r="K1961" s="1108"/>
      <c r="L1961" s="1082"/>
      <c r="M1961" s="975">
        <v>560</v>
      </c>
    </row>
    <row r="1962" spans="1:13" s="1083" customFormat="1" ht="25.2" hidden="1" customHeight="1">
      <c r="A1962" s="1153">
        <f t="shared" si="116"/>
        <v>0</v>
      </c>
      <c r="B1962" s="1324" t="s">
        <v>2248</v>
      </c>
      <c r="C1962" s="1324"/>
      <c r="D1962" s="1078"/>
      <c r="E1962" s="1091" t="str">
        <f>VLOOKUP($B1962,DG!A:D,DG!$B$2,)</f>
        <v>05.6044</v>
      </c>
      <c r="F1962" s="1080" t="str">
        <f>VLOOKUP($B1962,DG!A:D,DG!$C$2,)</f>
        <v>Lắp xà cột Pi loại ≤140kg/xà</v>
      </c>
      <c r="G1962" s="1091" t="str">
        <f>VLOOKUP($B1962,DG!A:D,DG!$D$2,)</f>
        <v>bộ</v>
      </c>
      <c r="H1962" s="1851">
        <f>H1957/2</f>
        <v>0</v>
      </c>
      <c r="I1962" s="1259">
        <f t="shared" si="115"/>
        <v>0</v>
      </c>
      <c r="J1962" s="1108"/>
      <c r="K1962" s="1108"/>
      <c r="L1962" s="1082"/>
      <c r="M1962" s="975">
        <v>560</v>
      </c>
    </row>
    <row r="1963" spans="1:13" s="1083" customFormat="1" ht="25.2" hidden="1" customHeight="1">
      <c r="A1963" s="1153">
        <f t="shared" si="116"/>
        <v>0</v>
      </c>
      <c r="B1963" s="1324" t="s">
        <v>217</v>
      </c>
      <c r="C1963" s="1324"/>
      <c r="D1963" s="1078"/>
      <c r="E1963" s="1091" t="str">
        <f>VLOOKUP($B1963,DG!A:D,DG!$B$2,)</f>
        <v>02.1115</v>
      </c>
      <c r="F1963" s="1080" t="str">
        <f>VLOOKUP($B1963,DG!A:D,DG!$C$2,)</f>
        <v>Bốc dỡ xà, thép thanh</v>
      </c>
      <c r="G1963" s="1091" t="str">
        <f>VLOOKUP($B1963,DG!A:D,DG!$D$2,)</f>
        <v>tấn</v>
      </c>
      <c r="H1963" s="1851">
        <f>0.05*0</f>
        <v>0</v>
      </c>
      <c r="I1963" s="1259">
        <f t="shared" si="115"/>
        <v>0</v>
      </c>
      <c r="J1963" s="1108"/>
      <c r="K1963" s="1108"/>
      <c r="L1963" s="1082"/>
      <c r="M1963" s="975">
        <v>560</v>
      </c>
    </row>
    <row r="1964" spans="1:13" s="1083" customFormat="1" ht="25.2" hidden="1" customHeight="1">
      <c r="A1964" s="1153">
        <f t="shared" si="116"/>
        <v>0</v>
      </c>
      <c r="B1964" s="1324" t="s">
        <v>1613</v>
      </c>
      <c r="C1964" s="1324"/>
      <c r="D1964" s="1078"/>
      <c r="E1964" s="1091">
        <f>VLOOKUP($B1964,DG!A:D,DG!$B$2,)</f>
        <v>0</v>
      </c>
      <c r="F1964" s="1080" t="str">
        <f>VLOOKUP($B1964,DG!A:D,DG!$C$2,)</f>
        <v>Boulon 16x300+ 2 long đền vuông D18-50x50x3/Zn</v>
      </c>
      <c r="G1964" s="1079" t="s">
        <v>2445</v>
      </c>
      <c r="H1964" s="1851">
        <f>H1957*2*0</f>
        <v>0</v>
      </c>
      <c r="I1964" s="1259">
        <f t="shared" si="115"/>
        <v>0</v>
      </c>
      <c r="J1964" s="1108"/>
      <c r="K1964" s="1108"/>
      <c r="L1964" s="1082"/>
      <c r="M1964" s="975">
        <v>560</v>
      </c>
    </row>
    <row r="1965" spans="1:13" s="1083" customFormat="1" ht="25.2" hidden="1" customHeight="1">
      <c r="A1965" s="1153">
        <f t="shared" si="116"/>
        <v>0</v>
      </c>
      <c r="B1965" s="1324" t="s">
        <v>1612</v>
      </c>
      <c r="C1965" s="1324"/>
      <c r="D1965" s="1078"/>
      <c r="E1965" s="1091">
        <f>VLOOKUP($B1965,DG!A:D,DG!$B$2,)</f>
        <v>0</v>
      </c>
      <c r="F1965" s="1080" t="str">
        <f>VLOOKUP($B1965,DG!A:D,DG!$C$2,)</f>
        <v>Boulon 16x250+ 2 long đền vuông D18-50x50x3/Zn</v>
      </c>
      <c r="G1965" s="1079" t="s">
        <v>2445</v>
      </c>
      <c r="H1965" s="1851">
        <f>2*H1957*2*0</f>
        <v>0</v>
      </c>
      <c r="I1965" s="1259">
        <f t="shared" si="115"/>
        <v>0</v>
      </c>
      <c r="J1965" s="1108"/>
      <c r="K1965" s="1108"/>
      <c r="L1965" s="1082"/>
      <c r="M1965" s="975">
        <v>560</v>
      </c>
    </row>
    <row r="1966" spans="1:13" s="1083" customFormat="1" ht="25.2" hidden="1" customHeight="1" collapsed="1">
      <c r="A1966" s="1153">
        <f t="shared" si="116"/>
        <v>0</v>
      </c>
      <c r="B1966" s="1324"/>
      <c r="C1966" s="1324"/>
      <c r="D1966" s="1084">
        <f>IF(H1966&gt;0,D1957+1,D1957)</f>
        <v>0</v>
      </c>
      <c r="E1966" s="1085"/>
      <c r="F1966" s="1130" t="s">
        <v>3765</v>
      </c>
      <c r="G1966" s="1084" t="s">
        <v>2391</v>
      </c>
      <c r="H1966" s="1867">
        <f>H1901*2*0</f>
        <v>0</v>
      </c>
      <c r="I1966" s="1259">
        <f t="shared" si="115"/>
        <v>0</v>
      </c>
      <c r="J1966" s="1081"/>
      <c r="K1966" s="1081"/>
      <c r="L1966" s="1110"/>
      <c r="M1966" s="975">
        <v>560</v>
      </c>
    </row>
    <row r="1967" spans="1:13" s="1083" customFormat="1" ht="25.2" hidden="1" customHeight="1">
      <c r="A1967" s="1153">
        <f t="shared" si="116"/>
        <v>0</v>
      </c>
      <c r="B1967" s="1324"/>
      <c r="C1967" s="1324"/>
      <c r="D1967" s="1078"/>
      <c r="E1967" s="1088"/>
      <c r="F1967" s="1367" t="s">
        <v>2285</v>
      </c>
      <c r="G1967" s="1090"/>
      <c r="H1967" s="1851"/>
      <c r="I1967" s="1259">
        <f t="shared" si="115"/>
        <v>0</v>
      </c>
      <c r="J1967" s="1081"/>
      <c r="K1967" s="1081"/>
      <c r="L1967" s="1110"/>
      <c r="M1967" s="975">
        <v>560</v>
      </c>
    </row>
    <row r="1968" spans="1:13" s="1083" customFormat="1" ht="25.2" hidden="1" customHeight="1">
      <c r="A1968" s="1153">
        <f t="shared" si="116"/>
        <v>0</v>
      </c>
      <c r="B1968" s="1324" t="s">
        <v>2026</v>
      </c>
      <c r="C1968" s="1324"/>
      <c r="D1968" s="1078"/>
      <c r="E1968" s="1091">
        <f>VLOOKUP($B1968,DG!A:D,DG!$B$2,)</f>
        <v>0</v>
      </c>
      <c r="F1968" s="1080" t="str">
        <f>VLOOKUP($B1968,DG!A:D,DG!$C$2,)</f>
        <v>Sắt góc L75 x75 x8</v>
      </c>
      <c r="G1968" s="1079" t="s">
        <v>2254</v>
      </c>
      <c r="H1968" s="1851">
        <f>H1966*9.02*(2.2+4*0.07)*2</f>
        <v>0</v>
      </c>
      <c r="I1968" s="1259">
        <f t="shared" si="115"/>
        <v>0</v>
      </c>
      <c r="J1968" s="1081"/>
      <c r="K1968" s="1081"/>
      <c r="L1968" s="1110"/>
      <c r="M1968" s="975">
        <v>560</v>
      </c>
    </row>
    <row r="1969" spans="1:13" s="1083" customFormat="1" ht="25.2" hidden="1" customHeight="1">
      <c r="A1969" s="1153">
        <f t="shared" si="116"/>
        <v>0</v>
      </c>
      <c r="B1969" s="1324" t="s">
        <v>1035</v>
      </c>
      <c r="C1969" s="1324"/>
      <c r="D1969" s="1078"/>
      <c r="E1969" s="1091">
        <f>VLOOKUP($B1969,DG!A:D,DG!$B$2,)</f>
        <v>0</v>
      </c>
      <c r="F1969" s="1080" t="str">
        <f>VLOOKUP($B1969,DG!A:D,DG!$C$2,)&amp;" (Thanh choáng 810)"</f>
        <v>Sắt góc L50 x50 x5 (Thanh choáng 810)</v>
      </c>
      <c r="G1969" s="1079" t="s">
        <v>2254</v>
      </c>
      <c r="H1969" s="1851">
        <f>H1966*3.77*0.81*4</f>
        <v>0</v>
      </c>
      <c r="I1969" s="1259">
        <f t="shared" si="115"/>
        <v>0</v>
      </c>
      <c r="J1969" s="1081"/>
      <c r="K1969" s="1081"/>
      <c r="L1969" s="1110"/>
      <c r="M1969" s="975">
        <v>560</v>
      </c>
    </row>
    <row r="1970" spans="1:13" s="1083" customFormat="1" ht="25.2" hidden="1" customHeight="1">
      <c r="A1970" s="1153">
        <f t="shared" si="116"/>
        <v>0</v>
      </c>
      <c r="B1970" s="1324" t="s">
        <v>1613</v>
      </c>
      <c r="C1970" s="1324"/>
      <c r="D1970" s="1078"/>
      <c r="E1970" s="1091">
        <f>VLOOKUP($B1970,DG!A:D,DG!$B$2,)</f>
        <v>0</v>
      </c>
      <c r="F1970" s="1080" t="str">
        <f>VLOOKUP($B1970,DG!A:D,DG!$C$2,)</f>
        <v>Boulon 16x300+ 2 long đền vuông D18-50x50x3/Zn</v>
      </c>
      <c r="G1970" s="1079" t="s">
        <v>2445</v>
      </c>
      <c r="H1970" s="1851">
        <f>H1966*2</f>
        <v>0</v>
      </c>
      <c r="I1970" s="1259">
        <f t="shared" si="115"/>
        <v>0</v>
      </c>
      <c r="J1970" s="1081"/>
      <c r="K1970" s="1081"/>
      <c r="L1970" s="1110"/>
      <c r="M1970" s="975">
        <v>560</v>
      </c>
    </row>
    <row r="1971" spans="1:13" s="1083" customFormat="1" ht="25.2" hidden="1" customHeight="1">
      <c r="A1971" s="1153">
        <f t="shared" si="116"/>
        <v>0</v>
      </c>
      <c r="B1971" s="1324" t="s">
        <v>1790</v>
      </c>
      <c r="C1971" s="1324"/>
      <c r="D1971" s="1078"/>
      <c r="E1971" s="1091">
        <f>VLOOKUP($B1971,DG!A:D,DG!$B$2,)</f>
        <v>0</v>
      </c>
      <c r="F1971" s="1080" t="str">
        <f>VLOOKUP($B1971,DG!A:D,DG!$C$2,)</f>
        <v>Boulon 16x50+ 2 long đền vuông D18-50x50x3/Zn</v>
      </c>
      <c r="G1971" s="1079" t="s">
        <v>2445</v>
      </c>
      <c r="H1971" s="1851">
        <f>H1966*4</f>
        <v>0</v>
      </c>
      <c r="I1971" s="1259">
        <f t="shared" ref="I1971:I2034" si="117">IF(M1971=$M$23,H1971+J1971-K1971,0)</f>
        <v>0</v>
      </c>
      <c r="J1971" s="1081"/>
      <c r="K1971" s="1081"/>
      <c r="L1971" s="1110"/>
      <c r="M1971" s="975">
        <v>560</v>
      </c>
    </row>
    <row r="1972" spans="1:13" s="1083" customFormat="1" ht="25.2" hidden="1" customHeight="1">
      <c r="A1972" s="1153">
        <f t="shared" si="116"/>
        <v>0</v>
      </c>
      <c r="B1972" s="1324" t="s">
        <v>1788</v>
      </c>
      <c r="C1972" s="1324"/>
      <c r="D1972" s="1078"/>
      <c r="E1972" s="1091">
        <f>VLOOKUP($B1972,DG!A:D,DG!$B$2,)</f>
        <v>0</v>
      </c>
      <c r="F1972" s="1080" t="str">
        <f>VLOOKUP($B1972,DG!A:D,DG!$C$2,)</f>
        <v>Boulon 16x300VRS+ 4 long đền vuông D18-50x50x3/Zn</v>
      </c>
      <c r="G1972" s="1079" t="s">
        <v>2445</v>
      </c>
      <c r="H1972" s="1851">
        <f>H1966*4</f>
        <v>0</v>
      </c>
      <c r="I1972" s="1259">
        <f t="shared" si="117"/>
        <v>0</v>
      </c>
      <c r="J1972" s="1081"/>
      <c r="K1972" s="1081"/>
      <c r="L1972" s="1110"/>
      <c r="M1972" s="975">
        <v>560</v>
      </c>
    </row>
    <row r="1973" spans="1:13" s="1083" customFormat="1" ht="25.2" hidden="1" customHeight="1">
      <c r="A1973" s="1153">
        <f t="shared" si="116"/>
        <v>0</v>
      </c>
      <c r="B1973" s="1324" t="s">
        <v>517</v>
      </c>
      <c r="C1973" s="1324"/>
      <c r="D1973" s="1078"/>
      <c r="E1973" s="1091" t="str">
        <f>VLOOKUP($B1973,DG!A:D,DG!$B$2,)</f>
        <v>05.6203</v>
      </c>
      <c r="F1973" s="1080" t="str">
        <f>VLOOKUP($B1973,DG!A:D,DG!$C$2,)</f>
        <v>Lắp xà néo ≤ 100kg</v>
      </c>
      <c r="G1973" s="1079" t="s">
        <v>2445</v>
      </c>
      <c r="H1973" s="1851">
        <f>H1966</f>
        <v>0</v>
      </c>
      <c r="I1973" s="1259">
        <f t="shared" si="117"/>
        <v>0</v>
      </c>
      <c r="J1973" s="1081"/>
      <c r="K1973" s="1081"/>
      <c r="L1973" s="1110"/>
      <c r="M1973" s="975">
        <v>560</v>
      </c>
    </row>
    <row r="1974" spans="1:13" s="1083" customFormat="1" ht="25.2" hidden="1" customHeight="1">
      <c r="A1974" s="1153">
        <f t="shared" si="116"/>
        <v>0</v>
      </c>
      <c r="B1974" s="1324"/>
      <c r="C1974" s="1324"/>
      <c r="D1974" s="1084">
        <f>IF(H1974&gt;0,D1966+1,D1966)</f>
        <v>0</v>
      </c>
      <c r="E1974" s="1085"/>
      <c r="F1974" s="1130" t="s">
        <v>3737</v>
      </c>
      <c r="G1974" s="1084" t="s">
        <v>2391</v>
      </c>
      <c r="H1974" s="1867">
        <f>H1901*1*0</f>
        <v>0</v>
      </c>
      <c r="I1974" s="1259">
        <f t="shared" si="117"/>
        <v>0</v>
      </c>
      <c r="J1974" s="1081"/>
      <c r="K1974" s="1081"/>
      <c r="L1974" s="1110"/>
      <c r="M1974" s="975">
        <v>560</v>
      </c>
    </row>
    <row r="1975" spans="1:13" s="1083" customFormat="1" ht="25.2" hidden="1" customHeight="1">
      <c r="A1975" s="1153">
        <f t="shared" si="116"/>
        <v>0</v>
      </c>
      <c r="B1975" s="1324"/>
      <c r="C1975" s="1324"/>
      <c r="D1975" s="1078"/>
      <c r="E1975" s="1088"/>
      <c r="F1975" s="1367" t="s">
        <v>2285</v>
      </c>
      <c r="G1975" s="1090"/>
      <c r="H1975" s="1851"/>
      <c r="I1975" s="1259">
        <f t="shared" si="117"/>
        <v>0</v>
      </c>
      <c r="J1975" s="1081"/>
      <c r="K1975" s="1081"/>
      <c r="L1975" s="1110"/>
      <c r="M1975" s="975">
        <v>560</v>
      </c>
    </row>
    <row r="1976" spans="1:13" s="1083" customFormat="1" ht="25.2" hidden="1" customHeight="1">
      <c r="A1976" s="1153">
        <f t="shared" si="116"/>
        <v>0</v>
      </c>
      <c r="B1976" s="1324" t="s">
        <v>2026</v>
      </c>
      <c r="C1976" s="1324"/>
      <c r="D1976" s="1078"/>
      <c r="E1976" s="1091">
        <f>VLOOKUP($B1976,DG!A:D,DG!$B$2,)</f>
        <v>0</v>
      </c>
      <c r="F1976" s="1080" t="str">
        <f>VLOOKUP($B1976,DG!A:D,DG!$C$2,)</f>
        <v>Sắt góc L75 x75 x8</v>
      </c>
      <c r="G1976" s="1079" t="s">
        <v>2254</v>
      </c>
      <c r="H1976" s="1851">
        <f>H1974*9.02*(2.4+4*0.07)</f>
        <v>0</v>
      </c>
      <c r="I1976" s="1259">
        <f t="shared" si="117"/>
        <v>0</v>
      </c>
      <c r="J1976" s="1081"/>
      <c r="K1976" s="1081"/>
      <c r="L1976" s="1110"/>
      <c r="M1976" s="975">
        <v>560</v>
      </c>
    </row>
    <row r="1977" spans="1:13" s="1083" customFormat="1" ht="25.2" hidden="1" customHeight="1">
      <c r="A1977" s="1153">
        <f t="shared" si="116"/>
        <v>0</v>
      </c>
      <c r="B1977" s="1324" t="s">
        <v>1035</v>
      </c>
      <c r="C1977" s="1324"/>
      <c r="D1977" s="1078"/>
      <c r="E1977" s="1091">
        <f>VLOOKUP($B1977,DG!A:D,DG!$B$2,)</f>
        <v>0</v>
      </c>
      <c r="F1977" s="1080" t="str">
        <f>VLOOKUP($B1977,DG!A:D,DG!$C$2,)&amp;" (Thanh choáng 810)"</f>
        <v>Sắt góc L50 x50 x5 (Thanh choáng 810)</v>
      </c>
      <c r="G1977" s="1079" t="s">
        <v>2254</v>
      </c>
      <c r="H1977" s="1851">
        <f>H1974*3.77*0.81*2</f>
        <v>0</v>
      </c>
      <c r="I1977" s="1259">
        <f t="shared" si="117"/>
        <v>0</v>
      </c>
      <c r="J1977" s="1081"/>
      <c r="K1977" s="1081"/>
      <c r="L1977" s="1110"/>
      <c r="M1977" s="975">
        <v>560</v>
      </c>
    </row>
    <row r="1978" spans="1:13" s="1083" customFormat="1" ht="25.2" hidden="1" customHeight="1">
      <c r="A1978" s="1153">
        <f t="shared" si="116"/>
        <v>0</v>
      </c>
      <c r="B1978" s="1324" t="s">
        <v>1079</v>
      </c>
      <c r="C1978" s="1324"/>
      <c r="D1978" s="1078"/>
      <c r="E1978" s="1091">
        <f>VLOOKUP($B1978,DG!A:D,DG!$B$2,)</f>
        <v>0</v>
      </c>
      <c r="F1978" s="1080" t="str">
        <f>VLOOKUP($B1978,DG!A:D,DG!$C$2,)</f>
        <v>Boulon 16x350+ 2 long đền vuông D18-50x50x3/Zn</v>
      </c>
      <c r="G1978" s="1079" t="s">
        <v>2445</v>
      </c>
      <c r="H1978" s="1851">
        <f>H1974*2</f>
        <v>0</v>
      </c>
      <c r="I1978" s="1259">
        <f t="shared" si="117"/>
        <v>0</v>
      </c>
      <c r="J1978" s="1081"/>
      <c r="K1978" s="1081"/>
      <c r="L1978" s="1110"/>
      <c r="M1978" s="975">
        <v>560</v>
      </c>
    </row>
    <row r="1979" spans="1:13" s="1083" customFormat="1" ht="25.2" hidden="1" customHeight="1">
      <c r="A1979" s="1153">
        <f t="shared" si="116"/>
        <v>0</v>
      </c>
      <c r="B1979" s="1324" t="s">
        <v>1790</v>
      </c>
      <c r="C1979" s="1324"/>
      <c r="D1979" s="1078"/>
      <c r="E1979" s="1091">
        <f>VLOOKUP($B1979,DG!A:D,DG!$B$2,)</f>
        <v>0</v>
      </c>
      <c r="F1979" s="1080" t="str">
        <f>VLOOKUP($B1979,DG!A:D,DG!$C$2,)</f>
        <v>Boulon 16x50+ 2 long đền vuông D18-50x50x3/Zn</v>
      </c>
      <c r="G1979" s="1079" t="s">
        <v>2445</v>
      </c>
      <c r="H1979" s="1851">
        <f>H1974*2</f>
        <v>0</v>
      </c>
      <c r="I1979" s="1259">
        <f t="shared" si="117"/>
        <v>0</v>
      </c>
      <c r="J1979" s="1081"/>
      <c r="K1979" s="1081"/>
      <c r="L1979" s="1110"/>
      <c r="M1979" s="975">
        <v>560</v>
      </c>
    </row>
    <row r="1980" spans="1:13" s="1083" customFormat="1" ht="25.2" hidden="1" customHeight="1">
      <c r="A1980" s="1153">
        <f t="shared" si="116"/>
        <v>0</v>
      </c>
      <c r="B1980" s="1324" t="s">
        <v>1739</v>
      </c>
      <c r="C1980" s="1324"/>
      <c r="D1980" s="1078"/>
      <c r="E1980" s="1091">
        <f>VLOOKUP($B1980,DG!A:D,DG!$B$2,)</f>
        <v>0</v>
      </c>
      <c r="F1980" s="1080" t="str">
        <f>VLOOKUP($B1980,DG!A:D,DG!$C$2,)</f>
        <v>Bass LI bắt FCO</v>
      </c>
      <c r="G1980" s="1079" t="s">
        <v>2445</v>
      </c>
      <c r="H1980" s="1851">
        <f>IF(H1974&gt;0,3,)</f>
        <v>0</v>
      </c>
      <c r="I1980" s="1259">
        <f t="shared" si="117"/>
        <v>0</v>
      </c>
      <c r="J1980" s="1081"/>
      <c r="K1980" s="1081"/>
      <c r="L1980" s="1110"/>
      <c r="M1980" s="975">
        <v>560</v>
      </c>
    </row>
    <row r="1981" spans="1:13" s="1083" customFormat="1" ht="25.2" hidden="1" customHeight="1">
      <c r="A1981" s="1153">
        <f t="shared" si="116"/>
        <v>0</v>
      </c>
      <c r="B1981" s="1324" t="s">
        <v>988</v>
      </c>
      <c r="C1981" s="1324"/>
      <c r="D1981" s="1078"/>
      <c r="E1981" s="1091" t="str">
        <f>VLOOKUP($B1981,DG!A:D,DG!$B$2,)</f>
        <v>06.3231</v>
      </c>
      <c r="F1981" s="1080" t="str">
        <f>VLOOKUP($B1981,DG!A:D,DG!$C$2,)</f>
        <v xml:space="preserve">Cổ dê chống lắc 8x80x800 </v>
      </c>
      <c r="G1981" s="1079" t="s">
        <v>2445</v>
      </c>
      <c r="H1981" s="1851">
        <f>H1974*0</f>
        <v>0</v>
      </c>
      <c r="I1981" s="1259">
        <f t="shared" si="117"/>
        <v>0</v>
      </c>
      <c r="J1981" s="1081"/>
      <c r="K1981" s="1081"/>
      <c r="L1981" s="1110"/>
      <c r="M1981" s="975">
        <v>560</v>
      </c>
    </row>
    <row r="1982" spans="1:13" s="1083" customFormat="1" ht="25.2" hidden="1" customHeight="1">
      <c r="A1982" s="1153">
        <f t="shared" si="116"/>
        <v>0</v>
      </c>
      <c r="B1982" s="1324" t="s">
        <v>1443</v>
      </c>
      <c r="C1982" s="1324"/>
      <c r="D1982" s="1078"/>
      <c r="E1982" s="1091" t="str">
        <f>VLOOKUP($B1982,DG!A:D,DG!$B$2,)</f>
        <v>05.6102</v>
      </c>
      <c r="F1982" s="1080" t="str">
        <f>VLOOKUP($B1982,DG!A:D,DG!$C$2,)</f>
        <v>Lắp xà đỡ ≤ 50kg</v>
      </c>
      <c r="G1982" s="1079" t="s">
        <v>2445</v>
      </c>
      <c r="H1982" s="1851">
        <f>H1974</f>
        <v>0</v>
      </c>
      <c r="I1982" s="1259">
        <f t="shared" si="117"/>
        <v>0</v>
      </c>
      <c r="J1982" s="1081"/>
      <c r="K1982" s="1081"/>
      <c r="L1982" s="1110"/>
      <c r="M1982" s="975">
        <v>560</v>
      </c>
    </row>
    <row r="1983" spans="1:13" s="1083" customFormat="1" ht="25.2" hidden="1" customHeight="1">
      <c r="A1983" s="1153">
        <f t="shared" si="116"/>
        <v>0</v>
      </c>
      <c r="B1983" s="1324"/>
      <c r="C1983" s="1324"/>
      <c r="D1983" s="1084">
        <f>IF(H1983&gt;0,D1974+1,D1974)</f>
        <v>0</v>
      </c>
      <c r="E1983" s="1085"/>
      <c r="F1983" s="1130" t="s">
        <v>3738</v>
      </c>
      <c r="G1983" s="1084" t="s">
        <v>2391</v>
      </c>
      <c r="H1983" s="1867">
        <f>H1901</f>
        <v>0</v>
      </c>
      <c r="I1983" s="1259">
        <f t="shared" si="117"/>
        <v>0</v>
      </c>
      <c r="J1983" s="1081"/>
      <c r="K1983" s="1081"/>
      <c r="L1983" s="1110"/>
      <c r="M1983" s="975">
        <v>560</v>
      </c>
    </row>
    <row r="1984" spans="1:13" s="1083" customFormat="1" ht="25.2" hidden="1" customHeight="1">
      <c r="A1984" s="1153">
        <f t="shared" si="116"/>
        <v>0</v>
      </c>
      <c r="B1984" s="1355"/>
      <c r="C1984" s="1355"/>
      <c r="D1984" s="1078"/>
      <c r="E1984" s="1088"/>
      <c r="F1984" s="1367" t="s">
        <v>2285</v>
      </c>
      <c r="G1984" s="1090"/>
      <c r="H1984" s="1851"/>
      <c r="I1984" s="1259">
        <f t="shared" si="117"/>
        <v>0</v>
      </c>
      <c r="J1984" s="1081"/>
      <c r="K1984" s="1081"/>
      <c r="L1984" s="1110"/>
      <c r="M1984" s="975">
        <v>560</v>
      </c>
    </row>
    <row r="1985" spans="1:13" s="1083" customFormat="1" ht="25.2" hidden="1" customHeight="1">
      <c r="A1985" s="1153">
        <f t="shared" si="116"/>
        <v>0</v>
      </c>
      <c r="B1985" s="1324" t="s">
        <v>1033</v>
      </c>
      <c r="C1985" s="1324"/>
      <c r="D1985" s="1078"/>
      <c r="E1985" s="1079">
        <f>VLOOKUP($B1985,DG!A:D,DG!$B$2,)</f>
        <v>0</v>
      </c>
      <c r="F1985" s="1080" t="str">
        <f>VLOOKUP($B1985,DG!A:D,DG!$C$2,)</f>
        <v>Cáp đồng trần M25mm2</v>
      </c>
      <c r="G1985" s="1091" t="str">
        <f>VLOOKUP($B1985,DG!A:D,DG!$D$2,)</f>
        <v>kg</v>
      </c>
      <c r="H1985" s="1851">
        <f>I3*0.224*H1983</f>
        <v>0</v>
      </c>
      <c r="I1985" s="1259">
        <f t="shared" si="117"/>
        <v>0</v>
      </c>
      <c r="J1985" s="1081"/>
      <c r="K1985" s="1081"/>
      <c r="L1985" s="1110"/>
      <c r="M1985" s="975">
        <v>560</v>
      </c>
    </row>
    <row r="1986" spans="1:13" s="1083" customFormat="1" ht="25.2" hidden="1" customHeight="1">
      <c r="A1986" s="1153">
        <f t="shared" si="116"/>
        <v>0</v>
      </c>
      <c r="B1986" s="1324" t="s">
        <v>1033</v>
      </c>
      <c r="C1986" s="1324"/>
      <c r="D1986" s="1078"/>
      <c r="E1986" s="1079">
        <f>VLOOKUP($B1986,DG!A:D,DG!$B$2,)</f>
        <v>0</v>
      </c>
      <c r="F1986" s="1080" t="str">
        <f>VLOOKUP($B1986,DG!A:D,DG!$C$2,)&amp;": 17m noái leân voû caùc thieát bò"</f>
        <v>Cáp đồng trần M25mm2: 17m noái leân voû caùc thieát bò</v>
      </c>
      <c r="G1986" s="1079" t="str">
        <f>VLOOKUP($B1986,DG!A:D,DG!$D$2,)</f>
        <v>kg</v>
      </c>
      <c r="H1986" s="1851">
        <f>17*0.224*H1983*0</f>
        <v>0</v>
      </c>
      <c r="I1986" s="1259">
        <f t="shared" si="117"/>
        <v>0</v>
      </c>
      <c r="J1986" s="1081"/>
      <c r="K1986" s="1081"/>
      <c r="L1986" s="1110"/>
      <c r="M1986" s="975">
        <v>560</v>
      </c>
    </row>
    <row r="1987" spans="1:13" s="1083" customFormat="1" ht="25.2" hidden="1" customHeight="1">
      <c r="A1987" s="1153">
        <f t="shared" si="116"/>
        <v>0</v>
      </c>
      <c r="B1987" s="1154" t="s">
        <v>1511</v>
      </c>
      <c r="C1987" s="1154"/>
      <c r="D1987" s="1078"/>
      <c r="E1987" s="1079">
        <f>VLOOKUP($B1987,DG!A:D,DG!$B$2,)</f>
        <v>0</v>
      </c>
      <c r="F1987" s="1080" t="str">
        <f>VLOOKUP($B1987,DG!A:D,DG!$C$2,)</f>
        <v>Cọc tiếp đất Þ 16- 2,4m + kẹp cọc mạ đồng</v>
      </c>
      <c r="G1987" s="1091" t="str">
        <f>VLOOKUP($B1987,DG!A:D,DG!$D$2,)</f>
        <v>bộ</v>
      </c>
      <c r="H1987" s="1851">
        <f>I2*H1983</f>
        <v>0</v>
      </c>
      <c r="I1987" s="1259">
        <f t="shared" si="117"/>
        <v>0</v>
      </c>
      <c r="J1987" s="1081"/>
      <c r="K1987" s="1081"/>
      <c r="L1987" s="1110"/>
      <c r="M1987" s="975">
        <v>560</v>
      </c>
    </row>
    <row r="1988" spans="1:13" s="1083" customFormat="1" ht="25.2" hidden="1" customHeight="1">
      <c r="A1988" s="1153">
        <f t="shared" si="116"/>
        <v>0</v>
      </c>
      <c r="B1988" s="1154" t="s">
        <v>1493</v>
      </c>
      <c r="C1988" s="1154"/>
      <c r="D1988" s="1078"/>
      <c r="E1988" s="1079" t="str">
        <f>VLOOKUP($B1988,DG!A:D,DG!$B$2,)</f>
        <v>07.2403</v>
      </c>
      <c r="F1988" s="1080" t="str">
        <f>VLOOKUP($B1988,DG!A:D,DG!$C$2,)</f>
        <v xml:space="preserve">Ống PVC D21x1,6mm </v>
      </c>
      <c r="G1988" s="1079" t="str">
        <f>VLOOKUP($B1988,DG!A:D,DG!$D$2,)</f>
        <v>m</v>
      </c>
      <c r="H1988" s="1851">
        <f>H1983*12</f>
        <v>0</v>
      </c>
      <c r="I1988" s="1259">
        <f t="shared" si="117"/>
        <v>0</v>
      </c>
      <c r="J1988" s="1081"/>
      <c r="K1988" s="1081"/>
      <c r="L1988" s="1082"/>
      <c r="M1988" s="975">
        <v>560</v>
      </c>
    </row>
    <row r="1989" spans="1:13" s="1083" customFormat="1" ht="25.2" hidden="1" customHeight="1">
      <c r="A1989" s="1153">
        <f t="shared" si="116"/>
        <v>0</v>
      </c>
      <c r="B1989" s="1329" t="s">
        <v>1582</v>
      </c>
      <c r="C1989" s="1329"/>
      <c r="D1989" s="1078"/>
      <c r="E1989" s="1079">
        <f>VLOOKUP($B1989,DG!A:D,DG!$B$2,)</f>
        <v>0</v>
      </c>
      <c r="F1989" s="1080" t="str">
        <f>VLOOKUP($B1989,DG!A:D,DG!$C$2,)&amp; " bắt dây trung tính "</f>
        <v xml:space="preserve">Kẹp ép WR cỡ dây 50mm2 bắt dây trung tính </v>
      </c>
      <c r="G1989" s="1091" t="str">
        <f>VLOOKUP($B1989,DG!A:D,DG!$D$2,)</f>
        <v>cái</v>
      </c>
      <c r="H1989" s="1851">
        <f>2*H1983</f>
        <v>0</v>
      </c>
      <c r="I1989" s="1259">
        <f t="shared" si="117"/>
        <v>0</v>
      </c>
      <c r="J1989" s="1081"/>
      <c r="K1989" s="1081"/>
      <c r="L1989" s="1110"/>
      <c r="M1989" s="975">
        <v>560</v>
      </c>
    </row>
    <row r="1990" spans="1:13" s="1083" customFormat="1" ht="25.2" hidden="1" customHeight="1">
      <c r="A1990" s="1153">
        <f t="shared" si="116"/>
        <v>0</v>
      </c>
      <c r="B1990" s="1329" t="s">
        <v>816</v>
      </c>
      <c r="C1990" s="1329"/>
      <c r="D1990" s="1132"/>
      <c r="E1990" s="1079" t="str">
        <f>VLOOKUP($B1990,DG!A:D,DG!$B$2,)</f>
        <v>04.3107</v>
      </c>
      <c r="F1990" s="1080" t="str">
        <f>VLOOKUP($B1990,DG!A:D,DG!$C$2,)&amp;":bắt lưới TĐ"</f>
        <v>Ốc siết cáp cỡ 25mm2:bắt lưới TĐ</v>
      </c>
      <c r="G1990" s="1091" t="str">
        <f>VLOOKUP($B1990,DG!A:D,DG!$D$2,)</f>
        <v>cái</v>
      </c>
      <c r="H1990" s="1851">
        <f>H1983*14</f>
        <v>0</v>
      </c>
      <c r="I1990" s="1259">
        <f t="shared" si="117"/>
        <v>0</v>
      </c>
      <c r="J1990" s="1081"/>
      <c r="K1990" s="1081"/>
      <c r="L1990" s="1110"/>
      <c r="M1990" s="975">
        <v>560</v>
      </c>
    </row>
    <row r="1991" spans="1:13" s="1083" customFormat="1" ht="25.2" hidden="1" customHeight="1">
      <c r="A1991" s="1153">
        <f t="shared" si="116"/>
        <v>0</v>
      </c>
      <c r="B1991" s="1154" t="s">
        <v>437</v>
      </c>
      <c r="C1991" s="1154"/>
      <c r="D1991" s="1078"/>
      <c r="E1991" s="1079">
        <f>VLOOKUP($B1991,DG!A:D,DG!$B$2,)</f>
        <v>0</v>
      </c>
      <c r="F1991" s="1080" t="str">
        <f>VLOOKUP($B1991,DG!A:D,DG!$C$2,)</f>
        <v>Boulon 12x30+ 2 long đền vuông D14-50x50x3/Zn</v>
      </c>
      <c r="G1991" s="1091" t="str">
        <f>VLOOKUP($B1991,DG!A:D,DG!$D$2,)</f>
        <v>bộ</v>
      </c>
      <c r="H1991" s="1851">
        <f>H1983*1</f>
        <v>0</v>
      </c>
      <c r="I1991" s="1259">
        <f t="shared" si="117"/>
        <v>0</v>
      </c>
      <c r="J1991" s="1081"/>
      <c r="K1991" s="1081"/>
      <c r="L1991" s="1110"/>
      <c r="M1991" s="975">
        <v>560</v>
      </c>
    </row>
    <row r="1992" spans="1:13" s="1083" customFormat="1" ht="25.2" hidden="1" customHeight="1">
      <c r="A1992" s="1153">
        <f t="shared" si="116"/>
        <v>0</v>
      </c>
      <c r="B1992" s="1154" t="s">
        <v>104</v>
      </c>
      <c r="C1992" s="1154"/>
      <c r="D1992" s="1078"/>
      <c r="E1992" s="1079" t="str">
        <f>VLOOKUP($B1992,DG!A:D,DG!$B$2,)</f>
        <v>03.4001</v>
      </c>
      <c r="F1992" s="1080" t="str">
        <f>VLOOKUP($B1992,DG!A:D,DG!$C$2,)</f>
        <v>Đầu cosse ép Cu 25mm2</v>
      </c>
      <c r="G1992" s="1091" t="str">
        <f>VLOOKUP($B1992,DG!A:D,DG!$D$2,)</f>
        <v>cái</v>
      </c>
      <c r="H1992" s="1851">
        <f>H1991*2</f>
        <v>0</v>
      </c>
      <c r="I1992" s="1259">
        <f t="shared" si="117"/>
        <v>0</v>
      </c>
      <c r="J1992" s="1081"/>
      <c r="K1992" s="1081"/>
      <c r="L1992" s="1110"/>
      <c r="M1992" s="975">
        <v>560</v>
      </c>
    </row>
    <row r="1993" spans="1:13" s="1083" customFormat="1" ht="25.2" hidden="1" customHeight="1">
      <c r="A1993" s="1153">
        <f t="shared" si="116"/>
        <v>0</v>
      </c>
      <c r="B1993" s="1154" t="s">
        <v>525</v>
      </c>
      <c r="C1993" s="1154"/>
      <c r="D1993" s="1078"/>
      <c r="E1993" s="1079" t="str">
        <f>VLOOKUP($B1993,DG!A:D,DG!$B$2,)</f>
        <v>06.3231</v>
      </c>
      <c r="F1993" s="1080" t="str">
        <f>VLOOKUP($B1993,DG!A:D,DG!$C$2,)&amp;": CD-250 01 bộ"</f>
        <v>Cổ dê kẹp ống PVC  21: CD-250 01 bộ</v>
      </c>
      <c r="G1993" s="1079" t="str">
        <f>VLOOKUP($B1993,DG!A:D,DG!$D$2,)</f>
        <v>bộ</v>
      </c>
      <c r="H1993" s="1851">
        <f>H1983*0.415</f>
        <v>0</v>
      </c>
      <c r="I1993" s="1259">
        <f t="shared" si="117"/>
        <v>0</v>
      </c>
      <c r="J1993" s="1081"/>
      <c r="K1993" s="1081"/>
      <c r="L1993" s="1082"/>
      <c r="M1993" s="975">
        <v>560</v>
      </c>
    </row>
    <row r="1994" spans="1:13" s="1083" customFormat="1" ht="25.2" hidden="1" customHeight="1">
      <c r="A1994" s="1153">
        <f t="shared" si="116"/>
        <v>0</v>
      </c>
      <c r="B1994" s="1154" t="s">
        <v>525</v>
      </c>
      <c r="C1994" s="1154"/>
      <c r="D1994" s="1078"/>
      <c r="E1994" s="1079" t="str">
        <f>VLOOKUP($B1994,DG!A:D,DG!$B$2,)</f>
        <v>06.3231</v>
      </c>
      <c r="F1994" s="1080" t="str">
        <f>VLOOKUP($B1994,DG!A:D,DG!$C$2,)&amp;": CD-280 01 bộ"</f>
        <v>Cổ dê kẹp ống PVC  21: CD-280 01 bộ</v>
      </c>
      <c r="G1994" s="1079" t="str">
        <f>VLOOKUP($B1994,DG!A:D,DG!$D$2,)</f>
        <v>bộ</v>
      </c>
      <c r="H1994" s="1851">
        <f>H1983*0.452</f>
        <v>0</v>
      </c>
      <c r="I1994" s="1259">
        <f t="shared" si="117"/>
        <v>0</v>
      </c>
      <c r="J1994" s="1081"/>
      <c r="K1994" s="1081"/>
      <c r="L1994" s="1082"/>
      <c r="M1994" s="975">
        <v>560</v>
      </c>
    </row>
    <row r="1995" spans="1:13" s="1083" customFormat="1" ht="25.2" hidden="1" customHeight="1">
      <c r="A1995" s="1153">
        <f t="shared" si="116"/>
        <v>0</v>
      </c>
      <c r="B1995" s="1154" t="s">
        <v>525</v>
      </c>
      <c r="C1995" s="1154"/>
      <c r="D1995" s="1078"/>
      <c r="E1995" s="1079" t="str">
        <f>VLOOKUP($B1995,DG!A:D,DG!$B$2,)</f>
        <v>06.3231</v>
      </c>
      <c r="F1995" s="1080" t="str">
        <f>VLOOKUP($B1995,DG!A:D,DG!$C$2,)&amp;": CD-320 01 bộ"</f>
        <v>Cổ dê kẹp ống PVC  21: CD-320 01 bộ</v>
      </c>
      <c r="G1995" s="1079" t="str">
        <f>VLOOKUP($B1995,DG!A:D,DG!$D$2,)</f>
        <v>bộ</v>
      </c>
      <c r="H1995" s="1851">
        <f>H1983*0.501</f>
        <v>0</v>
      </c>
      <c r="I1995" s="1259">
        <f t="shared" si="117"/>
        <v>0</v>
      </c>
      <c r="J1995" s="1081"/>
      <c r="K1995" s="1081"/>
      <c r="L1995" s="1082"/>
      <c r="M1995" s="975">
        <v>560</v>
      </c>
    </row>
    <row r="1996" spans="1:13" s="1083" customFormat="1" ht="25.2" hidden="1" customHeight="1">
      <c r="A1996" s="1153">
        <f t="shared" si="116"/>
        <v>0</v>
      </c>
      <c r="B1996" s="1154" t="s">
        <v>1131</v>
      </c>
      <c r="C1996" s="1154"/>
      <c r="D1996" s="1078"/>
      <c r="E1996" s="1079" t="str">
        <f>VLOOKUP($B1996,DG!A:D,DG!$B$2,)</f>
        <v>06.2110</v>
      </c>
      <c r="F1996" s="1080" t="str">
        <f>VLOOKUP($B1996,DG!A:D,DG!$C$2,)</f>
        <v>Lắp cổ dề</v>
      </c>
      <c r="G1996" s="1079" t="str">
        <f>VLOOKUP($B1996,DG!A:D,DG!$D$2,)</f>
        <v>bộ</v>
      </c>
      <c r="H1996" s="1851">
        <f>H1983*3</f>
        <v>0</v>
      </c>
      <c r="I1996" s="1259">
        <f t="shared" si="117"/>
        <v>0</v>
      </c>
      <c r="J1996" s="1081"/>
      <c r="K1996" s="1081"/>
      <c r="L1996" s="1082"/>
      <c r="M1996" s="975">
        <v>560</v>
      </c>
    </row>
    <row r="1997" spans="1:13" s="1083" customFormat="1" ht="25.2" hidden="1" customHeight="1">
      <c r="A1997" s="1153">
        <f t="shared" si="116"/>
        <v>0</v>
      </c>
      <c r="B1997" s="1154" t="s">
        <v>138</v>
      </c>
      <c r="C1997" s="1154"/>
      <c r="D1997" s="1078"/>
      <c r="E1997" s="1079">
        <f>VLOOKUP($B1997,DG!A:D,DG!$B$2,)</f>
        <v>0</v>
      </c>
      <c r="F1997" s="1080" t="str">
        <f>VLOOKUP($B1997,DG!A:D,DG!$C$2,)</f>
        <v>Boulon 12x40+ 2 long đền vuông D14-50x50x3/Zn</v>
      </c>
      <c r="G1997" s="1079" t="str">
        <f>VLOOKUP($B1997,DG!A:D,DG!$D$2,)</f>
        <v>bộ</v>
      </c>
      <c r="H1997" s="1851">
        <f>H1983*6</f>
        <v>0</v>
      </c>
      <c r="I1997" s="1259">
        <f t="shared" si="117"/>
        <v>0</v>
      </c>
      <c r="J1997" s="1081"/>
      <c r="K1997" s="1081"/>
      <c r="L1997" s="1082"/>
      <c r="M1997" s="975">
        <v>560</v>
      </c>
    </row>
    <row r="1998" spans="1:13" s="1083" customFormat="1" ht="25.2" hidden="1" customHeight="1">
      <c r="A1998" s="1153">
        <f t="shared" si="116"/>
        <v>0</v>
      </c>
      <c r="B1998" s="1154" t="s">
        <v>1353</v>
      </c>
      <c r="C1998" s="1154"/>
      <c r="D1998" s="1078"/>
      <c r="E1998" s="1079">
        <f>VLOOKUP($B1998,DG!A:D,DG!$B$2,)</f>
        <v>0</v>
      </c>
      <c r="F1998" s="1080" t="str">
        <f>VLOOKUP($B1998,DG!A:D,DG!$C$2,)</f>
        <v>Boulon 12x60+ 2 long đền vuông D14-50x50x3/Zn</v>
      </c>
      <c r="G1998" s="1079" t="str">
        <f>VLOOKUP($B1998,DG!A:D,DG!$D$2,)</f>
        <v>bộ</v>
      </c>
      <c r="H1998" s="1851">
        <f>H1997</f>
        <v>0</v>
      </c>
      <c r="I1998" s="1259">
        <f t="shared" si="117"/>
        <v>0</v>
      </c>
      <c r="J1998" s="1081"/>
      <c r="K1998" s="1081"/>
      <c r="L1998" s="1082"/>
      <c r="M1998" s="975">
        <v>560</v>
      </c>
    </row>
    <row r="1999" spans="1:13" s="1083" customFormat="1" ht="25.2" hidden="1" customHeight="1">
      <c r="A1999" s="1153">
        <f t="shared" si="116"/>
        <v>0</v>
      </c>
      <c r="B1999" s="1154" t="s">
        <v>1588</v>
      </c>
      <c r="C1999" s="1154"/>
      <c r="D1999" s="1078"/>
      <c r="E1999" s="1079">
        <f>VLOOKUP($B1999,DG!A:D,DG!$B$2,)</f>
        <v>0</v>
      </c>
      <c r="F1999" s="1080" t="str">
        <f>VLOOKUP($B1999,DG!A:D,DG!$C$2,)</f>
        <v>Giếng tiếp địa khoan đất</v>
      </c>
      <c r="G1999" s="1079" t="str">
        <f>VLOOKUP($B1999,DG!A:D,DG!$D$2,)</f>
        <v>Cái</v>
      </c>
      <c r="H1999" s="1851">
        <f>L3*H1983</f>
        <v>0</v>
      </c>
      <c r="I1999" s="1259">
        <f t="shared" si="117"/>
        <v>0</v>
      </c>
      <c r="J1999" s="1081"/>
      <c r="K1999" s="1081"/>
      <c r="L1999" s="1110"/>
      <c r="M1999" s="975">
        <v>560</v>
      </c>
    </row>
    <row r="2000" spans="1:13" s="1083" customFormat="1" ht="25.2" hidden="1" customHeight="1">
      <c r="A2000" s="1153">
        <f t="shared" si="116"/>
        <v>0</v>
      </c>
      <c r="B2000" s="1154" t="str">
        <f>"DTD"&amp;chitiet!G5</f>
        <v>DTD3</v>
      </c>
      <c r="C2000" s="1154"/>
      <c r="D2000" s="1090"/>
      <c r="E2000" s="1079" t="str">
        <f>VLOOKUP($B2000,DG!A:D,DG!$B$2,)</f>
        <v>03.3123</v>
      </c>
      <c r="F2000" s="1080" t="str">
        <f>VLOOKUP($B2000,DG!A:D,DG!$C$2,)</f>
        <v>Đào rãnh tiếp địa đất cấp 3</v>
      </c>
      <c r="G2000" s="1091" t="str">
        <f>VLOOKUP($B2000,DG!A:D,DG!$D$2,)</f>
        <v>m3</v>
      </c>
      <c r="H2000" s="1167">
        <f>I3*H1983</f>
        <v>0</v>
      </c>
      <c r="I2000" s="1259">
        <f t="shared" si="117"/>
        <v>0</v>
      </c>
      <c r="J2000" s="1081"/>
      <c r="K2000" s="1081"/>
      <c r="L2000" s="1110"/>
      <c r="M2000" s="975">
        <v>560</v>
      </c>
    </row>
    <row r="2001" spans="1:16" s="1083" customFormat="1" ht="25.2" hidden="1" customHeight="1">
      <c r="A2001" s="1153">
        <f t="shared" si="116"/>
        <v>0</v>
      </c>
      <c r="B2001" s="1154" t="str">
        <f>"DATD"&amp;chitiet!G5</f>
        <v>DATD3</v>
      </c>
      <c r="C2001" s="1154"/>
      <c r="D2001" s="1090"/>
      <c r="E2001" s="1079" t="str">
        <f>VLOOKUP($B2001,DG!A:D,DG!$B$2,)</f>
        <v>03.4123</v>
      </c>
      <c r="F2001" s="1080" t="str">
        <f>VLOOKUP($B2001,DG!A:D,DG!$C$2,)</f>
        <v>Đắp đất rãnh tiếp độ chặt k=0,85</v>
      </c>
      <c r="G2001" s="1091" t="str">
        <f>VLOOKUP($B2001,DG!A:D,DG!$D$2,)</f>
        <v>m3</v>
      </c>
      <c r="H2001" s="1167">
        <f>H2000</f>
        <v>0</v>
      </c>
      <c r="I2001" s="1259">
        <f t="shared" si="117"/>
        <v>0</v>
      </c>
      <c r="J2001" s="1081"/>
      <c r="K2001" s="1081"/>
      <c r="L2001" s="1110"/>
      <c r="M2001" s="975">
        <v>560</v>
      </c>
    </row>
    <row r="2002" spans="1:16" s="1083" customFormat="1" ht="25.2" hidden="1" customHeight="1">
      <c r="A2002" s="1153">
        <f t="shared" si="116"/>
        <v>0</v>
      </c>
      <c r="B2002" s="1154" t="s">
        <v>902</v>
      </c>
      <c r="C2002" s="1154"/>
      <c r="D2002" s="1090"/>
      <c r="E2002" s="1079" t="str">
        <f>VLOOKUP($B2002,DG!A:D,DG!$B$2,)</f>
        <v>04.7001</v>
      </c>
      <c r="F2002" s="1080" t="str">
        <f>VLOOKUP($B2002,DG!A:D,DG!$C$2,)</f>
        <v>Đóng cọc tiếp địa trong TBA</v>
      </c>
      <c r="G2002" s="1091" t="str">
        <f>VLOOKUP($B2002,DG!A:D,DG!$D$2,)</f>
        <v>cọc</v>
      </c>
      <c r="H2002" s="1167">
        <f>H1987</f>
        <v>0</v>
      </c>
      <c r="I2002" s="1259">
        <f t="shared" si="117"/>
        <v>0</v>
      </c>
      <c r="J2002" s="1081"/>
      <c r="K2002" s="1081"/>
      <c r="L2002" s="1110"/>
      <c r="M2002" s="975">
        <v>560</v>
      </c>
    </row>
    <row r="2003" spans="1:16" s="1083" customFormat="1" ht="25.2" hidden="1" customHeight="1">
      <c r="A2003" s="1153">
        <f t="shared" si="116"/>
        <v>0</v>
      </c>
      <c r="B2003" s="1154" t="s">
        <v>1440</v>
      </c>
      <c r="C2003" s="1154"/>
      <c r="D2003" s="1078"/>
      <c r="E2003" s="1079" t="str">
        <f>VLOOKUP($B2003,DG!A:D,DG!$B$2,)</f>
        <v>04.7002</v>
      </c>
      <c r="F2003" s="1080" t="str">
        <f>VLOOKUP($B2003,DG!A:D,DG!$C$2,)</f>
        <v>Kéo dây tiếp địa trong TBA</v>
      </c>
      <c r="G2003" s="1091" t="str">
        <f>VLOOKUP($B2003,DG!A:D,DG!$D$2,)</f>
        <v>mét</v>
      </c>
      <c r="H2003" s="1851">
        <f>H1983*I3</f>
        <v>0</v>
      </c>
      <c r="I2003" s="1259">
        <f t="shared" si="117"/>
        <v>0</v>
      </c>
      <c r="J2003" s="1081"/>
      <c r="K2003" s="1081"/>
      <c r="L2003" s="1110"/>
      <c r="M2003" s="975">
        <v>560</v>
      </c>
    </row>
    <row r="2004" spans="1:16" s="1083" customFormat="1" ht="25.2" hidden="1" customHeight="1">
      <c r="A2004" s="1153">
        <f t="shared" si="116"/>
        <v>0</v>
      </c>
      <c r="B2004" s="1324"/>
      <c r="C2004" s="1324"/>
      <c r="D2004" s="1084">
        <f>IF(H2004&gt;0,D1983+1,D1983)</f>
        <v>0</v>
      </c>
      <c r="E2004" s="1085"/>
      <c r="F2004" s="1086" t="s">
        <v>3766</v>
      </c>
      <c r="G2004" s="1084" t="s">
        <v>2391</v>
      </c>
      <c r="H2004" s="1867">
        <f>H1910</f>
        <v>0</v>
      </c>
      <c r="I2004" s="1259">
        <f t="shared" si="117"/>
        <v>0</v>
      </c>
      <c r="J2004" s="1081"/>
      <c r="K2004" s="1081"/>
      <c r="L2004" s="1082"/>
      <c r="M2004" s="975">
        <v>560</v>
      </c>
    </row>
    <row r="2005" spans="1:16" s="1083" customFormat="1" ht="25.2" hidden="1" customHeight="1">
      <c r="A2005" s="1153">
        <f t="shared" si="116"/>
        <v>0</v>
      </c>
      <c r="B2005" s="1324"/>
      <c r="C2005" s="1324"/>
      <c r="D2005" s="1078"/>
      <c r="E2005" s="1088"/>
      <c r="F2005" s="1367" t="s">
        <v>2285</v>
      </c>
      <c r="G2005" s="1090"/>
      <c r="H2005" s="1851"/>
      <c r="I2005" s="1259">
        <f t="shared" si="117"/>
        <v>0</v>
      </c>
      <c r="J2005" s="1081"/>
      <c r="K2005" s="1081"/>
      <c r="L2005" s="1082"/>
      <c r="M2005" s="975">
        <v>560</v>
      </c>
    </row>
    <row r="2006" spans="1:16" s="1083" customFormat="1" ht="25.2" hidden="1" customHeight="1">
      <c r="A2006" s="1153">
        <f t="shared" si="116"/>
        <v>0</v>
      </c>
      <c r="B2006" s="1324" t="s">
        <v>653</v>
      </c>
      <c r="C2006" s="1324"/>
      <c r="D2006" s="1090"/>
      <c r="E2006" s="1091">
        <f>VLOOKUP($B2006,DG!A:D,DG!$B$2,)</f>
        <v>0</v>
      </c>
      <c r="F2006" s="1092" t="str">
        <f>VLOOKUP($B2006,DG!A:D,DG!$C$2,)</f>
        <v>Ximăng (PC40)</v>
      </c>
      <c r="G2006" s="1091" t="str">
        <f>VLOOKUP($B2006,DG!A:D,DG!$D$2,)</f>
        <v>kg</v>
      </c>
      <c r="H2006" s="1851">
        <f>H2004*M2009</f>
        <v>0</v>
      </c>
      <c r="I2006" s="1259">
        <f t="shared" si="117"/>
        <v>0</v>
      </c>
      <c r="J2006" s="1081"/>
      <c r="K2006" s="1081"/>
      <c r="L2006" s="1082"/>
      <c r="M2006" s="975">
        <v>560</v>
      </c>
    </row>
    <row r="2007" spans="1:16" s="1083" customFormat="1" ht="25.2" hidden="1" customHeight="1">
      <c r="A2007" s="1153">
        <f t="shared" si="116"/>
        <v>0</v>
      </c>
      <c r="B2007" s="1324" t="s">
        <v>4440</v>
      </c>
      <c r="C2007" s="1324"/>
      <c r="D2007" s="1078"/>
      <c r="E2007" s="1091">
        <f>VLOOKUP($B2007,DG!A:D,DG!$B$2,)</f>
        <v>0</v>
      </c>
      <c r="F2007" s="1092" t="str">
        <f>VLOOKUP($B2007,DG!A:D,DG!$C$2,)</f>
        <v>Cát vàng</v>
      </c>
      <c r="G2007" s="1091" t="str">
        <f>VLOOKUP($B2007,DG!A:D,DG!$D$2,)</f>
        <v>m3</v>
      </c>
      <c r="H2007" s="1851">
        <f>H2004*N2009</f>
        <v>0</v>
      </c>
      <c r="I2007" s="1259">
        <f t="shared" si="117"/>
        <v>0</v>
      </c>
      <c r="J2007" s="1081"/>
      <c r="K2007" s="1081"/>
      <c r="L2007" s="1082"/>
      <c r="M2007" s="975">
        <v>560</v>
      </c>
    </row>
    <row r="2008" spans="1:16" s="1083" customFormat="1" ht="25.2" hidden="1" customHeight="1">
      <c r="A2008" s="1153">
        <f t="shared" si="116"/>
        <v>0</v>
      </c>
      <c r="B2008" s="1324" t="s">
        <v>216</v>
      </c>
      <c r="C2008" s="1324"/>
      <c r="D2008" s="1078"/>
      <c r="E2008" s="1091">
        <f>VLOOKUP($B2008,DG!A:D,DG!$B$2,)</f>
        <v>0</v>
      </c>
      <c r="F2008" s="1092" t="str">
        <f>VLOOKUP($B2008,DG!A:D,DG!$C$2,)</f>
        <v>Đá 1x2</v>
      </c>
      <c r="G2008" s="1091" t="str">
        <f>VLOOKUP($B2008,DG!A:D,DG!$D$2,)</f>
        <v>m3</v>
      </c>
      <c r="H2008" s="1851">
        <f>H2004*O2009</f>
        <v>0</v>
      </c>
      <c r="I2008" s="1259">
        <f t="shared" si="117"/>
        <v>0</v>
      </c>
      <c r="J2008" s="1081"/>
      <c r="K2008" s="1081"/>
      <c r="L2008" s="1082"/>
      <c r="M2008" s="975">
        <v>560</v>
      </c>
    </row>
    <row r="2009" spans="1:16" s="1083" customFormat="1" ht="25.2" hidden="1" customHeight="1">
      <c r="A2009" s="1153">
        <f t="shared" si="116"/>
        <v>0</v>
      </c>
      <c r="B2009" s="1324" t="s">
        <v>654</v>
      </c>
      <c r="C2009" s="1324"/>
      <c r="D2009" s="1090"/>
      <c r="E2009" s="1091" t="str">
        <f>VLOOKUP($B2009,DG!A:D,DG!$B$2,)</f>
        <v>04.1203c</v>
      </c>
      <c r="F2009" s="1092" t="str">
        <f>VLOOKUP($B2009,DG!A:D,DG!$C$2,)</f>
        <v>Đổ bê tông móng trụ &lt;=250cm-M200 đá 1x2</v>
      </c>
      <c r="G2009" s="1091" t="str">
        <f>VLOOKUP($B2009,DG!A:D,DG!$D$2,)</f>
        <v>m3</v>
      </c>
      <c r="H2009" s="1851">
        <f>H2004*(0.4*3*1-2*3.14*0.15^2*0.4)*1.025</f>
        <v>0</v>
      </c>
      <c r="I2009" s="1259">
        <f t="shared" si="117"/>
        <v>0</v>
      </c>
      <c r="J2009" s="1081"/>
      <c r="K2009" s="1081"/>
      <c r="L2009" s="1082"/>
      <c r="M2009" s="975">
        <v>560</v>
      </c>
      <c r="N2009" s="1093">
        <f>1.025*0.45</f>
        <v>0.46124999999999999</v>
      </c>
      <c r="O2009" s="1093">
        <f>1.025*0.866</f>
        <v>0.88764999999999994</v>
      </c>
      <c r="P2009" s="1237"/>
    </row>
    <row r="2010" spans="1:16" s="1083" customFormat="1" ht="25.2" hidden="1" customHeight="1">
      <c r="A2010" s="1153">
        <f t="shared" ref="A2010:A2073" si="118">IF(I2010&gt;0,1,0)</f>
        <v>0</v>
      </c>
      <c r="B2010" s="1324"/>
      <c r="C2010" s="1324"/>
      <c r="D2010" s="1084">
        <f>IF(H2010&gt;0,D2004+1,D2004)</f>
        <v>0</v>
      </c>
      <c r="E2010" s="1085"/>
      <c r="F2010" s="1086" t="s">
        <v>3740</v>
      </c>
      <c r="G2010" s="1084" t="s">
        <v>2391</v>
      </c>
      <c r="H2010" s="1867"/>
      <c r="I2010" s="1259">
        <f t="shared" si="117"/>
        <v>0</v>
      </c>
      <c r="J2010" s="1081"/>
      <c r="K2010" s="1081"/>
      <c r="L2010" s="1082"/>
      <c r="M2010" s="975">
        <v>560</v>
      </c>
    </row>
    <row r="2011" spans="1:16" s="1083" customFormat="1" ht="25.2" hidden="1" customHeight="1">
      <c r="A2011" s="1153">
        <f t="shared" si="118"/>
        <v>0</v>
      </c>
      <c r="B2011" s="1324"/>
      <c r="C2011" s="1324"/>
      <c r="D2011" s="1078"/>
      <c r="E2011" s="1088"/>
      <c r="F2011" s="1367" t="s">
        <v>2285</v>
      </c>
      <c r="G2011" s="1090"/>
      <c r="H2011" s="1851"/>
      <c r="I2011" s="1259">
        <f t="shared" si="117"/>
        <v>0</v>
      </c>
      <c r="J2011" s="1081"/>
      <c r="K2011" s="1081"/>
      <c r="L2011" s="1082"/>
      <c r="M2011" s="975">
        <v>560</v>
      </c>
    </row>
    <row r="2012" spans="1:16" s="1083" customFormat="1" ht="25.2" hidden="1" customHeight="1">
      <c r="A2012" s="1153">
        <f t="shared" si="118"/>
        <v>0</v>
      </c>
      <c r="B2012" s="1324" t="s">
        <v>653</v>
      </c>
      <c r="C2012" s="1324"/>
      <c r="D2012" s="1090"/>
      <c r="E2012" s="1091">
        <f>VLOOKUP($B2012,DG!A:D,DG!$B$2,)</f>
        <v>0</v>
      </c>
      <c r="F2012" s="1092" t="str">
        <f>VLOOKUP($B2012,DG!A:D,DG!$C$2,)</f>
        <v>Ximăng (PC40)</v>
      </c>
      <c r="G2012" s="1091" t="str">
        <f>VLOOKUP($B2012,DG!A:D,DG!$D$2,)</f>
        <v>kg</v>
      </c>
      <c r="H2012" s="1851">
        <f>H2015*M2015</f>
        <v>0</v>
      </c>
      <c r="I2012" s="1259">
        <f t="shared" si="117"/>
        <v>0</v>
      </c>
      <c r="J2012" s="1081"/>
      <c r="K2012" s="1081"/>
      <c r="L2012" s="1082"/>
      <c r="M2012" s="975">
        <v>560</v>
      </c>
    </row>
    <row r="2013" spans="1:16" s="1083" customFormat="1" ht="25.2" hidden="1" customHeight="1">
      <c r="A2013" s="1153">
        <f t="shared" si="118"/>
        <v>0</v>
      </c>
      <c r="B2013" s="1324" t="s">
        <v>4440</v>
      </c>
      <c r="C2013" s="1324"/>
      <c r="D2013" s="1078"/>
      <c r="E2013" s="1091">
        <f>VLOOKUP($B2013,DG!A:D,DG!$B$2,)</f>
        <v>0</v>
      </c>
      <c r="F2013" s="1092" t="str">
        <f>VLOOKUP($B2013,DG!A:D,DG!$C$2,)</f>
        <v>Cát vàng</v>
      </c>
      <c r="G2013" s="1091" t="str">
        <f>VLOOKUP($B2013,DG!A:D,DG!$D$2,)</f>
        <v>m3</v>
      </c>
      <c r="H2013" s="1868">
        <f>H2015*N2015</f>
        <v>0</v>
      </c>
      <c r="I2013" s="1259">
        <f t="shared" si="117"/>
        <v>0</v>
      </c>
      <c r="J2013" s="1081"/>
      <c r="K2013" s="1081"/>
      <c r="L2013" s="1082"/>
      <c r="M2013" s="975">
        <v>560</v>
      </c>
    </row>
    <row r="2014" spans="1:16" s="1083" customFormat="1" ht="25.2" hidden="1" customHeight="1">
      <c r="A2014" s="1153">
        <f t="shared" si="118"/>
        <v>0</v>
      </c>
      <c r="B2014" s="1324" t="s">
        <v>216</v>
      </c>
      <c r="C2014" s="1324"/>
      <c r="D2014" s="1078"/>
      <c r="E2014" s="1091">
        <f>VLOOKUP($B2014,DG!A:D,DG!$B$2,)</f>
        <v>0</v>
      </c>
      <c r="F2014" s="1092" t="str">
        <f>VLOOKUP($B2014,DG!A:D,DG!$C$2,)</f>
        <v>Đá 1x2</v>
      </c>
      <c r="G2014" s="1091" t="str">
        <f>VLOOKUP($B2014,DG!A:D,DG!$D$2,)</f>
        <v>m3</v>
      </c>
      <c r="H2014" s="1868">
        <f>H2015*O2015</f>
        <v>0</v>
      </c>
      <c r="I2014" s="1259">
        <f t="shared" si="117"/>
        <v>0</v>
      </c>
      <c r="J2014" s="1081"/>
      <c r="K2014" s="1081"/>
      <c r="L2014" s="1082"/>
      <c r="M2014" s="975">
        <v>560</v>
      </c>
    </row>
    <row r="2015" spans="1:16" s="1083" customFormat="1" ht="25.2" hidden="1" customHeight="1">
      <c r="A2015" s="1153">
        <f t="shared" si="118"/>
        <v>0</v>
      </c>
      <c r="B2015" s="1324" t="s">
        <v>654</v>
      </c>
      <c r="C2015" s="1324"/>
      <c r="D2015" s="1090"/>
      <c r="E2015" s="1091" t="str">
        <f>VLOOKUP($B2015,DG!A:D,DG!$B$2,)</f>
        <v>04.1203c</v>
      </c>
      <c r="F2015" s="1092" t="str">
        <f>VLOOKUP($B2015,DG!A:D,DG!$C$2,)</f>
        <v>Đổ bê tông móng trụ &lt;=250cm-M200 đá 1x2</v>
      </c>
      <c r="G2015" s="1091" t="str">
        <f>VLOOKUP($B2015,DG!A:D,DG!$D$2,)</f>
        <v>m3</v>
      </c>
      <c r="H2015" s="1851">
        <f>H2010*0.2*0.2*(0.2+0.2+0.8+0.8+2*4)</f>
        <v>0</v>
      </c>
      <c r="I2015" s="1259">
        <f t="shared" si="117"/>
        <v>0</v>
      </c>
      <c r="J2015" s="1081"/>
      <c r="K2015" s="1081"/>
      <c r="L2015" s="1082"/>
      <c r="M2015" s="975">
        <v>560</v>
      </c>
      <c r="N2015" s="1093">
        <f>1.025*0.45</f>
        <v>0.46124999999999999</v>
      </c>
      <c r="O2015" s="1093">
        <f>1.025*0.866</f>
        <v>0.88764999999999994</v>
      </c>
      <c r="P2015" s="1237"/>
    </row>
    <row r="2016" spans="1:16" s="1083" customFormat="1" ht="25.2" hidden="1" customHeight="1">
      <c r="A2016" s="1153">
        <f t="shared" si="118"/>
        <v>0</v>
      </c>
      <c r="B2016" s="1324"/>
      <c r="C2016" s="1324"/>
      <c r="D2016" s="1084">
        <f>IF(H2016&gt;0,D2010+1,D2010)</f>
        <v>0</v>
      </c>
      <c r="E2016" s="1085"/>
      <c r="F2016" s="1086" t="s">
        <v>3757</v>
      </c>
      <c r="G2016" s="1084" t="s">
        <v>2391</v>
      </c>
      <c r="H2016" s="1867">
        <f>H1901</f>
        <v>0</v>
      </c>
      <c r="I2016" s="1259">
        <f t="shared" si="117"/>
        <v>0</v>
      </c>
      <c r="J2016" s="1081"/>
      <c r="K2016" s="1081"/>
      <c r="L2016" s="1110"/>
      <c r="M2016" s="975">
        <v>560</v>
      </c>
    </row>
    <row r="2017" spans="1:14" s="1083" customFormat="1" ht="25.2" hidden="1" customHeight="1">
      <c r="A2017" s="1153">
        <f t="shared" si="118"/>
        <v>0</v>
      </c>
      <c r="B2017" s="1324"/>
      <c r="C2017" s="1324"/>
      <c r="D2017" s="1078"/>
      <c r="E2017" s="1088"/>
      <c r="F2017" s="1367" t="s">
        <v>2285</v>
      </c>
      <c r="G2017" s="1090"/>
      <c r="H2017" s="1851"/>
      <c r="I2017" s="1259">
        <f t="shared" si="117"/>
        <v>0</v>
      </c>
      <c r="J2017" s="1081"/>
      <c r="K2017" s="1081"/>
      <c r="L2017" s="1110"/>
      <c r="M2017" s="975">
        <v>560</v>
      </c>
    </row>
    <row r="2018" spans="1:14" s="1083" customFormat="1" ht="25.2" hidden="1" customHeight="1">
      <c r="A2018" s="1153">
        <f t="shared" si="118"/>
        <v>0</v>
      </c>
      <c r="B2018" s="1324" t="s">
        <v>1026</v>
      </c>
      <c r="C2018" s="1324"/>
      <c r="D2018" s="1090"/>
      <c r="E2018" s="1091" t="str">
        <f>VLOOKUP($B2018,DG!A:D,DG!$B$2,)</f>
        <v>05.1102</v>
      </c>
      <c r="F2018" s="1092" t="str">
        <f>VLOOKUP($B2018,DG!A:D,DG!$C$2,)</f>
        <v>Vỏ tủ + khóa tủ</v>
      </c>
      <c r="G2018" s="1091" t="str">
        <f>VLOOKUP($B2018,DG!A:D,DG!$D$2,)</f>
        <v>cái</v>
      </c>
      <c r="H2018" s="1851">
        <f>H2016</f>
        <v>0</v>
      </c>
      <c r="I2018" s="1259">
        <f t="shared" si="117"/>
        <v>0</v>
      </c>
      <c r="J2018" s="1081"/>
      <c r="K2018" s="1081"/>
      <c r="L2018" s="1110"/>
      <c r="M2018" s="975">
        <v>560</v>
      </c>
    </row>
    <row r="2019" spans="1:14" s="1083" customFormat="1" ht="25.2" hidden="1" customHeight="1">
      <c r="A2019" s="1153">
        <f t="shared" si="118"/>
        <v>0</v>
      </c>
      <c r="B2019" s="1356" t="s">
        <v>1231</v>
      </c>
      <c r="C2019" s="1356"/>
      <c r="D2019" s="1090"/>
      <c r="E2019" s="1091" t="str">
        <f>VLOOKUP($B2019,DG!A:D,DG!$B$2,)</f>
        <v>05.1102</v>
      </c>
      <c r="F2019" s="1092" t="str">
        <f>VLOOKUP($B2019,DG!A:D,DG!$C$2,)</f>
        <v>Khung đỡ tủ MCCB và tủ bù</v>
      </c>
      <c r="G2019" s="1091" t="str">
        <f>VLOOKUP($B2019,DG!A:D,DG!$D$2,)</f>
        <v>trọn bộ</v>
      </c>
      <c r="H2019" s="1851"/>
      <c r="I2019" s="1259">
        <f t="shared" si="117"/>
        <v>0</v>
      </c>
      <c r="J2019" s="1081"/>
      <c r="K2019" s="1081"/>
      <c r="L2019" s="1110"/>
      <c r="M2019" s="975">
        <v>560</v>
      </c>
    </row>
    <row r="2020" spans="1:14" s="1083" customFormat="1" ht="25.2" hidden="1" customHeight="1">
      <c r="A2020" s="1153">
        <f t="shared" si="118"/>
        <v>0</v>
      </c>
      <c r="B2020" s="1324" t="s">
        <v>1538</v>
      </c>
      <c r="C2020" s="1324"/>
      <c r="D2020" s="1078"/>
      <c r="E2020" s="1091">
        <f>VLOOKUP($B2020,DG!A:D,DG!$B$2,)</f>
        <v>0</v>
      </c>
      <c r="F2020" s="1092" t="s">
        <v>3767</v>
      </c>
      <c r="G2020" s="1091" t="str">
        <f>VLOOKUP($B2020,DG!A:D,DG!$D$2,)</f>
        <v>bộ</v>
      </c>
      <c r="H2020" s="1868">
        <f>H2016</f>
        <v>0</v>
      </c>
      <c r="I2020" s="1259">
        <f t="shared" si="117"/>
        <v>0</v>
      </c>
      <c r="J2020" s="1081"/>
      <c r="K2020" s="1081"/>
      <c r="L2020" s="1110"/>
      <c r="M2020" s="975">
        <v>560</v>
      </c>
    </row>
    <row r="2021" spans="1:14" s="1083" customFormat="1" ht="25.2" hidden="1" customHeight="1">
      <c r="A2021" s="1153">
        <f t="shared" si="118"/>
        <v>0</v>
      </c>
      <c r="B2021" s="1324" t="s">
        <v>880</v>
      </c>
      <c r="C2021" s="1324"/>
      <c r="D2021" s="1078"/>
      <c r="E2021" s="1091">
        <f>VLOOKUP($B2021,DG!A:D,DG!$B$2,)</f>
        <v>0</v>
      </c>
      <c r="F2021" s="1092" t="str">
        <f>VLOOKUP($B2021,DG!A:D,DG!$C$2,)</f>
        <v xml:space="preserve">Bakelit 550x450 dầy 10mm </v>
      </c>
      <c r="G2021" s="1091" t="str">
        <f>VLOOKUP($B2021,DG!A:D,DG!$D$2,)</f>
        <v>cái</v>
      </c>
      <c r="H2021" s="1868">
        <f>H2016*1*0</f>
        <v>0</v>
      </c>
      <c r="I2021" s="1259">
        <f t="shared" si="117"/>
        <v>0</v>
      </c>
      <c r="J2021" s="1081"/>
      <c r="K2021" s="1081"/>
      <c r="L2021" s="1110"/>
      <c r="M2021" s="975">
        <v>560</v>
      </c>
    </row>
    <row r="2022" spans="1:14" s="1083" customFormat="1" ht="25.2" hidden="1" customHeight="1">
      <c r="A2022" s="1153">
        <f t="shared" si="118"/>
        <v>0</v>
      </c>
      <c r="B2022" s="1324" t="s">
        <v>289</v>
      </c>
      <c r="C2022" s="1324"/>
      <c r="D2022" s="1090"/>
      <c r="E2022" s="1091" t="str">
        <f>VLOOKUP($B2022,DG!A:D,DG!$B$2,)</f>
        <v>06.3191</v>
      </c>
      <c r="F2022" s="1092" t="str">
        <f>VLOOKUP($B2022,DG!A:D,DG!$C$2,)</f>
        <v>Bảng tên trạm, bảng báo nguy hiểm + đinh vít</v>
      </c>
      <c r="G2022" s="1091" t="str">
        <f>VLOOKUP($B2022,DG!A:D,DG!$D$2,)</f>
        <v>bộ</v>
      </c>
      <c r="H2022" s="1851">
        <f>H2018</f>
        <v>0</v>
      </c>
      <c r="I2022" s="1259">
        <f t="shared" si="117"/>
        <v>0</v>
      </c>
      <c r="J2022" s="1081"/>
      <c r="K2022" s="1081"/>
      <c r="L2022" s="1110"/>
      <c r="M2022" s="975">
        <v>560</v>
      </c>
    </row>
    <row r="2023" spans="1:14" s="1083" customFormat="1" ht="25.2" hidden="1" customHeight="1">
      <c r="A2023" s="1153">
        <f t="shared" si="118"/>
        <v>0</v>
      </c>
      <c r="B2023" s="1324"/>
      <c r="C2023" s="1324"/>
      <c r="D2023" s="1084">
        <f>IF(H2023&gt;0,D2016+1,D2016)</f>
        <v>0</v>
      </c>
      <c r="E2023" s="1085"/>
      <c r="F2023" s="1086" t="s">
        <v>3742</v>
      </c>
      <c r="G2023" s="1084" t="s">
        <v>2538</v>
      </c>
      <c r="H2023" s="1867">
        <f>H1901*0</f>
        <v>0</v>
      </c>
      <c r="I2023" s="1259">
        <f t="shared" si="117"/>
        <v>0</v>
      </c>
      <c r="J2023" s="1081"/>
      <c r="K2023" s="1081"/>
      <c r="L2023" s="1082"/>
      <c r="M2023" s="975">
        <v>560</v>
      </c>
    </row>
    <row r="2024" spans="1:14" s="1083" customFormat="1" ht="25.2" hidden="1" customHeight="1">
      <c r="A2024" s="1153">
        <f t="shared" si="118"/>
        <v>0</v>
      </c>
      <c r="B2024" s="1324"/>
      <c r="C2024" s="1324"/>
      <c r="D2024" s="1078"/>
      <c r="E2024" s="1088"/>
      <c r="F2024" s="1367" t="s">
        <v>2285</v>
      </c>
      <c r="G2024" s="1090"/>
      <c r="H2024" s="1851"/>
      <c r="I2024" s="1259">
        <f t="shared" si="117"/>
        <v>0</v>
      </c>
      <c r="J2024" s="1081"/>
      <c r="K2024" s="1081"/>
      <c r="L2024" s="1082"/>
      <c r="M2024" s="975">
        <v>560</v>
      </c>
    </row>
    <row r="2025" spans="1:14" s="1083" customFormat="1" ht="25.2" hidden="1" customHeight="1">
      <c r="A2025" s="1153">
        <f t="shared" si="118"/>
        <v>0</v>
      </c>
      <c r="B2025" s="1324" t="s">
        <v>4440</v>
      </c>
      <c r="C2025" s="1324"/>
      <c r="D2025" s="1090"/>
      <c r="E2025" s="1091">
        <f>VLOOKUP($B2025,DG!A:D,DG!$B$2,)</f>
        <v>0</v>
      </c>
      <c r="F2025" s="1108" t="str">
        <f>VLOOKUP($B2025,DG!A:D,DG!$C$2,)&amp;": 0,315m3/m"</f>
        <v>Cát vàng: 0,315m3/m</v>
      </c>
      <c r="G2025" s="1091" t="str">
        <f>VLOOKUP($B2025,DG!A:D,DG!$D$2,)</f>
        <v>m3</v>
      </c>
      <c r="H2025" s="1851">
        <f>H2023*0.315</f>
        <v>0</v>
      </c>
      <c r="I2025" s="1259">
        <f t="shared" si="117"/>
        <v>0</v>
      </c>
      <c r="J2025" s="1081"/>
      <c r="K2025" s="1081"/>
      <c r="L2025" s="1082"/>
      <c r="M2025" s="975">
        <v>560</v>
      </c>
    </row>
    <row r="2026" spans="1:14" s="1083" customFormat="1" ht="25.2" hidden="1" customHeight="1">
      <c r="A2026" s="1153">
        <f t="shared" si="118"/>
        <v>0</v>
      </c>
      <c r="B2026" s="1326" t="s">
        <v>520</v>
      </c>
      <c r="C2026" s="1326"/>
      <c r="D2026" s="1090"/>
      <c r="E2026" s="1091">
        <f>VLOOKUP($B2026,DG!A:D,DG!$B$2,)</f>
        <v>0</v>
      </c>
      <c r="F2026" s="1108" t="str">
        <f>VLOOKUP($B2026,DG!A:D,DG!$C$2,)&amp;": 0,092m3/m"</f>
        <v>Đá 2x4: 0,092m3/m</v>
      </c>
      <c r="G2026" s="1091" t="str">
        <f>VLOOKUP($B2026,DG!A:D,DG!$D$2,)</f>
        <v>m3</v>
      </c>
      <c r="H2026" s="1851">
        <f>0.092*H2023</f>
        <v>0</v>
      </c>
      <c r="I2026" s="1259">
        <f t="shared" si="117"/>
        <v>0</v>
      </c>
      <c r="J2026" s="1081"/>
      <c r="K2026" s="1081"/>
      <c r="L2026" s="1082"/>
      <c r="M2026" s="975">
        <v>560</v>
      </c>
    </row>
    <row r="2027" spans="1:14" s="1083" customFormat="1" ht="25.2" hidden="1" customHeight="1">
      <c r="A2027" s="1153">
        <f t="shared" si="118"/>
        <v>0</v>
      </c>
      <c r="B2027" s="1326" t="s">
        <v>1679</v>
      </c>
      <c r="C2027" s="1326"/>
      <c r="D2027" s="1090"/>
      <c r="E2027" s="1091">
        <f>VLOOKUP($B2027,DG!A:D,DG!$B$2,)</f>
        <v>0</v>
      </c>
      <c r="F2027" s="1108" t="str">
        <f>VLOOKUP($B2027,DG!A:D,DG!$C$2,)&amp;": 3,3vieân/m"</f>
        <v>Gạch tàu: 3,3vieân/m</v>
      </c>
      <c r="G2027" s="1091" t="str">
        <f>VLOOKUP($B2027,DG!A:D,DG!$D$2,)</f>
        <v>viên</v>
      </c>
      <c r="H2027" s="1851">
        <f>3.3*H2023</f>
        <v>0</v>
      </c>
      <c r="I2027" s="1259">
        <f t="shared" si="117"/>
        <v>0</v>
      </c>
      <c r="J2027" s="1081"/>
      <c r="K2027" s="1081"/>
      <c r="L2027" s="1082"/>
      <c r="M2027" s="975">
        <v>560</v>
      </c>
    </row>
    <row r="2028" spans="1:14" s="1083" customFormat="1" ht="25.2" hidden="1" customHeight="1">
      <c r="A2028" s="1153">
        <f t="shared" si="118"/>
        <v>0</v>
      </c>
      <c r="B2028" s="1326" t="s">
        <v>1680</v>
      </c>
      <c r="C2028" s="1326"/>
      <c r="D2028" s="1090"/>
      <c r="E2028" s="1091">
        <f>VLOOKUP($B2028,DG!A:D,DG!$B$2,)</f>
        <v>0</v>
      </c>
      <c r="F2028" s="1108" t="str">
        <f>VLOOKUP($B2028,DG!A:D,DG!$C$2,)&amp;": 0,4m2/m"</f>
        <v>Tấm nilông màu cảnh báo: 0,4m2/m</v>
      </c>
      <c r="G2028" s="1091" t="str">
        <f>VLOOKUP($B2028,DG!A:D,DG!$D$2,)</f>
        <v>m2</v>
      </c>
      <c r="H2028" s="1851">
        <f>0.4*H2023</f>
        <v>0</v>
      </c>
      <c r="I2028" s="1259">
        <f t="shared" si="117"/>
        <v>0</v>
      </c>
      <c r="J2028" s="1081"/>
      <c r="K2028" s="1081"/>
      <c r="L2028" s="1082"/>
      <c r="M2028" s="975">
        <v>560</v>
      </c>
    </row>
    <row r="2029" spans="1:14" s="1083" customFormat="1" ht="25.2" hidden="1" customHeight="1">
      <c r="A2029" s="1153">
        <f t="shared" si="118"/>
        <v>0</v>
      </c>
      <c r="B2029" s="1326" t="s">
        <v>1521</v>
      </c>
      <c r="C2029" s="1326"/>
      <c r="D2029" s="1078"/>
      <c r="E2029" s="1091">
        <f>VLOOKUP($B2029,DG!A:D,DG!$B$2,)</f>
        <v>0</v>
      </c>
      <c r="F2029" s="1108" t="str">
        <f>VLOOKUP($B2029,DG!A:D,DG!$C$2,)</f>
        <v>Ống PVC D140x6,7mm</v>
      </c>
      <c r="G2029" s="1091" t="str">
        <f>VLOOKUP($B2029,DG!A:D,DG!$D$2,)</f>
        <v>m</v>
      </c>
      <c r="H2029" s="1851">
        <f>1*H2023</f>
        <v>0</v>
      </c>
      <c r="I2029" s="1259">
        <f t="shared" si="117"/>
        <v>0</v>
      </c>
      <c r="J2029" s="1081"/>
      <c r="K2029" s="1081"/>
      <c r="L2029" s="1082"/>
      <c r="M2029" s="975">
        <v>560</v>
      </c>
    </row>
    <row r="2030" spans="1:14" s="1083" customFormat="1" ht="25.2" hidden="1" customHeight="1">
      <c r="A2030" s="1153">
        <f t="shared" si="118"/>
        <v>0</v>
      </c>
      <c r="B2030" s="1326" t="s">
        <v>1682</v>
      </c>
      <c r="C2030" s="1326"/>
      <c r="D2030" s="1090"/>
      <c r="E2030" s="1091" t="str">
        <f>VLOOKUP($B2030,DG!A:D,DG!$B$2,)</f>
        <v>03.7000</v>
      </c>
      <c r="F2030" s="1108" t="str">
        <f>VLOOKUP($B2030,DG!A:D,DG!$C$2,)&amp;" + ñaép ñaù"</f>
        <v>Đắp cát  + ñaép ñaù</v>
      </c>
      <c r="G2030" s="1091" t="str">
        <f>VLOOKUP($B2030,DG!A:D,DG!$D$2,)</f>
        <v>m3</v>
      </c>
      <c r="H2030" s="1851">
        <f>H2025+H2026</f>
        <v>0</v>
      </c>
      <c r="I2030" s="1259">
        <f t="shared" si="117"/>
        <v>0</v>
      </c>
      <c r="J2030" s="1081"/>
      <c r="K2030" s="1081"/>
      <c r="L2030" s="1082"/>
      <c r="M2030" s="975">
        <v>560</v>
      </c>
    </row>
    <row r="2031" spans="1:14" s="1083" customFormat="1" ht="25.2" hidden="1" customHeight="1">
      <c r="A2031" s="1153">
        <f t="shared" si="118"/>
        <v>0</v>
      </c>
      <c r="B2031" s="1326" t="s">
        <v>144</v>
      </c>
      <c r="C2031" s="1326"/>
      <c r="D2031" s="1090"/>
      <c r="E2031" s="1091" t="str">
        <f>VLOOKUP($B2031,DG!A:D,DG!$B$2,)</f>
        <v>03.3103</v>
      </c>
      <c r="F2031" s="1108" t="str">
        <f>VLOOKUP($B2031,DG!A:D,DG!$C$2,)&amp;" : 0,48m3/m"</f>
        <v>Đào mương cáp ngầm đất cấp 3 : 0,48m3/m</v>
      </c>
      <c r="G2031" s="1091" t="str">
        <f>VLOOKUP($B2031,DG!A:D,DG!$D$2,)</f>
        <v>m3</v>
      </c>
      <c r="H2031" s="1851">
        <f>H2023*0.48</f>
        <v>0</v>
      </c>
      <c r="I2031" s="1259">
        <f t="shared" si="117"/>
        <v>0</v>
      </c>
      <c r="J2031" s="1081"/>
      <c r="K2031" s="1081"/>
      <c r="L2031" s="1082"/>
      <c r="M2031" s="975">
        <v>560</v>
      </c>
    </row>
    <row r="2032" spans="1:14" s="1083" customFormat="1" ht="25.2" hidden="1" customHeight="1">
      <c r="A2032" s="1153">
        <f t="shared" si="118"/>
        <v>0</v>
      </c>
      <c r="B2032" s="1326" t="s">
        <v>529</v>
      </c>
      <c r="C2032" s="1326"/>
      <c r="D2032" s="1090"/>
      <c r="E2032" s="1091" t="str">
        <f>VLOOKUP($B2032,DG!A:D,DG!$B$2,)</f>
        <v>03.3203</v>
      </c>
      <c r="F2032" s="1108" t="str">
        <f>VLOOKUP($B2032,DG!A:D,DG!$C$2,)&amp;" : 0,073m3/m"</f>
        <v>Đắp đất mương cáp ngầm, đất cấp 3 : 0,073m3/m</v>
      </c>
      <c r="G2032" s="1091" t="str">
        <f>VLOOKUP($B2032,DG!A:D,DG!$D$2,)</f>
        <v>m3</v>
      </c>
      <c r="H2032" s="1851">
        <f>H2023*0.073</f>
        <v>0</v>
      </c>
      <c r="I2032" s="1259">
        <f t="shared" si="117"/>
        <v>0</v>
      </c>
      <c r="J2032" s="1081"/>
      <c r="K2032" s="1081"/>
      <c r="L2032" s="1082"/>
      <c r="M2032" s="975">
        <v>560</v>
      </c>
      <c r="N2032" s="1133">
        <v>0.47499999999999998</v>
      </c>
    </row>
    <row r="2033" spans="1:14" s="1083" customFormat="1" ht="25.2" hidden="1" customHeight="1">
      <c r="A2033" s="1153">
        <f t="shared" si="118"/>
        <v>0</v>
      </c>
      <c r="B2033" s="1324"/>
      <c r="C2033" s="1324"/>
      <c r="D2033" s="1084">
        <f>IF(H2033&gt;0,D2023+1,D2023)</f>
        <v>0</v>
      </c>
      <c r="E2033" s="1085"/>
      <c r="F2033" s="1086" t="s">
        <v>3743</v>
      </c>
      <c r="G2033" s="1084" t="s">
        <v>2391</v>
      </c>
      <c r="H2033" s="1867">
        <f>H2042</f>
        <v>0</v>
      </c>
      <c r="I2033" s="1259">
        <f t="shared" si="117"/>
        <v>0</v>
      </c>
      <c r="J2033" s="1081"/>
      <c r="K2033" s="1081"/>
      <c r="L2033" s="1082"/>
      <c r="M2033" s="975">
        <v>560</v>
      </c>
      <c r="N2033" s="1133">
        <v>0.88100000000000001</v>
      </c>
    </row>
    <row r="2034" spans="1:14" s="1083" customFormat="1" ht="25.2" hidden="1" customHeight="1">
      <c r="A2034" s="1153">
        <f t="shared" si="118"/>
        <v>0</v>
      </c>
      <c r="B2034" s="1324"/>
      <c r="C2034" s="1324"/>
      <c r="D2034" s="1078"/>
      <c r="E2034" s="1088"/>
      <c r="F2034" s="1367" t="s">
        <v>2285</v>
      </c>
      <c r="G2034" s="1090"/>
      <c r="H2034" s="1851"/>
      <c r="I2034" s="1259">
        <f t="shared" si="117"/>
        <v>0</v>
      </c>
      <c r="J2034" s="1081"/>
      <c r="K2034" s="1081"/>
      <c r="L2034" s="1082"/>
      <c r="M2034" s="975">
        <v>560</v>
      </c>
    </row>
    <row r="2035" spans="1:14" s="1083" customFormat="1" ht="25.2" hidden="1" customHeight="1">
      <c r="A2035" s="1153">
        <f t="shared" si="118"/>
        <v>0</v>
      </c>
      <c r="B2035" s="1324" t="s">
        <v>623</v>
      </c>
      <c r="C2035" s="1324"/>
      <c r="D2035" s="1090"/>
      <c r="E2035" s="1091" t="str">
        <f>VLOOKUP($B2035,DG!A:D,DG!$B$2,)</f>
        <v>07.2204</v>
      </c>
      <c r="F2035" s="1092" t="str">
        <f>VLOOKUP($B2035,DG!A:D,DG!$C$2,)</f>
        <v>ÔÁng sắt tráng kẽm D140</v>
      </c>
      <c r="G2035" s="1091" t="str">
        <f>VLOOKUP($B2035,DG!A:D,DG!$D$2,)</f>
        <v>mét</v>
      </c>
      <c r="H2035" s="1851">
        <f>H2033*5*0</f>
        <v>0</v>
      </c>
      <c r="I2035" s="1259">
        <f t="shared" ref="I2035:I2098" si="119">IF(M2035=$M$23,H2035+J2035-K2035,0)</f>
        <v>0</v>
      </c>
      <c r="J2035" s="1081"/>
      <c r="K2035" s="1081"/>
      <c r="L2035" s="1082"/>
      <c r="M2035" s="975">
        <v>560</v>
      </c>
    </row>
    <row r="2036" spans="1:14" s="1083" customFormat="1" ht="25.2" hidden="1" customHeight="1">
      <c r="A2036" s="1153">
        <f t="shared" si="118"/>
        <v>0</v>
      </c>
      <c r="B2036" s="1326" t="s">
        <v>473</v>
      </c>
      <c r="C2036" s="1326"/>
      <c r="D2036" s="1078"/>
      <c r="E2036" s="1091">
        <f>VLOOKUP($B2036,DG!A:D,DG!$B$2,)</f>
        <v>0</v>
      </c>
      <c r="F2036" s="1092" t="str">
        <f>VLOOKUP($B2036,DG!A:D,DG!$C$2,)</f>
        <v>Co sừng 90 độ PVC 140</v>
      </c>
      <c r="G2036" s="1091" t="str">
        <f>VLOOKUP($B2036,DG!A:D,DG!$D$2,)</f>
        <v>cái</v>
      </c>
      <c r="H2036" s="1851">
        <f>H2033*0</f>
        <v>0</v>
      </c>
      <c r="I2036" s="1259">
        <f t="shared" si="119"/>
        <v>0</v>
      </c>
      <c r="J2036" s="1081"/>
      <c r="K2036" s="1081"/>
      <c r="L2036" s="1082"/>
      <c r="M2036" s="975">
        <v>560</v>
      </c>
    </row>
    <row r="2037" spans="1:14" s="1083" customFormat="1" ht="25.2" hidden="1" customHeight="1">
      <c r="A2037" s="1153">
        <f t="shared" si="118"/>
        <v>0</v>
      </c>
      <c r="B2037" s="1324" t="s">
        <v>120</v>
      </c>
      <c r="C2037" s="1324"/>
      <c r="D2037" s="1090"/>
      <c r="E2037" s="1091" t="str">
        <f>VLOOKUP($B2037,DG!A:D,DG!$B$2,)</f>
        <v>06.3231</v>
      </c>
      <c r="F2037" s="1092" t="str">
        <f>VLOOKUP($B2037,DG!A:D,DG!$C$2,)</f>
        <v>Cổ dê giữ ống STK D140 vào tường+Boulon+long đền+tắc ke sắt</v>
      </c>
      <c r="G2037" s="1091" t="str">
        <f>VLOOKUP($B2037,DG!A:D,DG!$D$2,)</f>
        <v>bộ</v>
      </c>
      <c r="H2037" s="1851">
        <f>H2033*2*0</f>
        <v>0</v>
      </c>
      <c r="I2037" s="1259">
        <f t="shared" si="119"/>
        <v>0</v>
      </c>
      <c r="J2037" s="1081"/>
      <c r="K2037" s="1081"/>
      <c r="L2037" s="1082"/>
      <c r="M2037" s="975">
        <v>560</v>
      </c>
    </row>
    <row r="2038" spans="1:14" s="1083" customFormat="1" ht="25.2" hidden="1" customHeight="1">
      <c r="A2038" s="1153">
        <f t="shared" si="118"/>
        <v>0</v>
      </c>
      <c r="B2038" s="1154" t="s">
        <v>1412</v>
      </c>
      <c r="C2038" s="1154"/>
      <c r="D2038" s="1090"/>
      <c r="E2038" s="1091">
        <f>VLOOKUP($B2038,DG!A:D,DG!$B$2,)</f>
        <v>0</v>
      </c>
      <c r="F2038" s="1092" t="str">
        <f>VLOOKUP($B2038,DG!A:D,DG!$C$2,)</f>
        <v>Giá đỡ cáp ngầm (V63x6)</v>
      </c>
      <c r="G2038" s="1091" t="str">
        <f>VLOOKUP($B2038,DG!A:D,DG!$D$2,)</f>
        <v>bộ</v>
      </c>
      <c r="H2038" s="1851">
        <f>H2033*0</f>
        <v>0</v>
      </c>
      <c r="I2038" s="1259">
        <f t="shared" si="119"/>
        <v>0</v>
      </c>
      <c r="J2038" s="1081"/>
      <c r="K2038" s="1081"/>
      <c r="L2038" s="1082"/>
      <c r="M2038" s="975">
        <v>560</v>
      </c>
    </row>
    <row r="2039" spans="1:14" s="1083" customFormat="1" ht="25.2" hidden="1" customHeight="1">
      <c r="A2039" s="1153">
        <f t="shared" si="118"/>
        <v>0</v>
      </c>
      <c r="B2039" s="1154" t="s">
        <v>2144</v>
      </c>
      <c r="C2039" s="1154"/>
      <c r="D2039" s="1090"/>
      <c r="E2039" s="1091">
        <f>VLOOKUP($B2039,DG!A:D,DG!$B$2,)</f>
        <v>0</v>
      </c>
      <c r="F2039" s="1092" t="str">
        <f>VLOOKUP($B2039,DG!A:D,DG!$C$2,)</f>
        <v>Giá đỡ cáp trung hạ thế</v>
      </c>
      <c r="G2039" s="1091" t="str">
        <f>VLOOKUP($B2039,DG!A:D,DG!$D$2,)</f>
        <v>bộ</v>
      </c>
      <c r="H2039" s="1851">
        <f>H2033</f>
        <v>0</v>
      </c>
      <c r="I2039" s="1259">
        <f t="shared" si="119"/>
        <v>0</v>
      </c>
      <c r="J2039" s="1081"/>
      <c r="K2039" s="1081"/>
      <c r="L2039" s="1082"/>
      <c r="M2039" s="975">
        <v>560</v>
      </c>
    </row>
    <row r="2040" spans="1:14" s="1083" customFormat="1" ht="25.2" hidden="1" customHeight="1">
      <c r="A2040" s="1153">
        <f t="shared" si="118"/>
        <v>0</v>
      </c>
      <c r="B2040" s="1324" t="s">
        <v>1413</v>
      </c>
      <c r="C2040" s="1324"/>
      <c r="D2040" s="1078"/>
      <c r="E2040" s="1091" t="str">
        <f>VLOOKUP($B2040,DG!A:D,DG!$B$2,)</f>
        <v>05.6101</v>
      </c>
      <c r="F2040" s="1092" t="str">
        <f>VLOOKUP($B2040,DG!A:D,DG!$C$2,)</f>
        <v>Lắp Giá đỡ cáp</v>
      </c>
      <c r="G2040" s="1091" t="str">
        <f>VLOOKUP($B2040,DG!A:D,DG!$D$2,)</f>
        <v>bộ</v>
      </c>
      <c r="H2040" s="1851">
        <f>H2038+H2039</f>
        <v>0</v>
      </c>
      <c r="I2040" s="1259">
        <f t="shared" si="119"/>
        <v>0</v>
      </c>
      <c r="J2040" s="1081"/>
      <c r="K2040" s="1081"/>
      <c r="L2040" s="1082"/>
      <c r="M2040" s="975">
        <v>560</v>
      </c>
    </row>
    <row r="2041" spans="1:14" s="1083" customFormat="1" ht="25.2" hidden="1" customHeight="1">
      <c r="A2041" s="1153">
        <f t="shared" si="118"/>
        <v>0</v>
      </c>
      <c r="B2041" s="1324" t="s">
        <v>289</v>
      </c>
      <c r="C2041" s="1324"/>
      <c r="D2041" s="1090"/>
      <c r="E2041" s="1091" t="str">
        <f>VLOOKUP($B2041,DG!A:D,DG!$B$2,)</f>
        <v>06.3191</v>
      </c>
      <c r="F2041" s="1092" t="str">
        <f>VLOOKUP($B2041,DG!A:D,DG!$C$2,)</f>
        <v>Bảng tên trạm, bảng báo nguy hiểm + đinh vít</v>
      </c>
      <c r="G2041" s="1091" t="str">
        <f>VLOOKUP($B2041,DG!A:D,DG!$D$2,)</f>
        <v>bộ</v>
      </c>
      <c r="H2041" s="1851">
        <f>H2033*0</f>
        <v>0</v>
      </c>
      <c r="I2041" s="1259">
        <f t="shared" si="119"/>
        <v>0</v>
      </c>
      <c r="J2041" s="1081"/>
      <c r="K2041" s="1081"/>
      <c r="L2041" s="1082"/>
      <c r="M2041" s="975">
        <v>560</v>
      </c>
    </row>
    <row r="2042" spans="1:14" s="1083" customFormat="1" ht="25.2" hidden="1" customHeight="1">
      <c r="A2042" s="1153">
        <f t="shared" si="118"/>
        <v>0</v>
      </c>
      <c r="B2042" s="1324"/>
      <c r="C2042" s="1324"/>
      <c r="D2042" s="1084">
        <f>IF(H2042&gt;0,D2033+1,D2033)</f>
        <v>0</v>
      </c>
      <c r="E2042" s="1085"/>
      <c r="F2042" s="1094" t="s">
        <v>3744</v>
      </c>
      <c r="G2042" s="1084" t="s">
        <v>2391</v>
      </c>
      <c r="H2042" s="1867">
        <f>H1901*0</f>
        <v>0</v>
      </c>
      <c r="I2042" s="1259">
        <f t="shared" si="119"/>
        <v>0</v>
      </c>
      <c r="J2042" s="1081"/>
      <c r="K2042" s="1081"/>
      <c r="L2042" s="1082"/>
      <c r="M2042" s="975">
        <v>560</v>
      </c>
    </row>
    <row r="2043" spans="1:14" s="1083" customFormat="1" ht="25.2" hidden="1" customHeight="1">
      <c r="A2043" s="1153">
        <f t="shared" si="118"/>
        <v>0</v>
      </c>
      <c r="B2043" s="1324"/>
      <c r="C2043" s="1324"/>
      <c r="D2043" s="1078"/>
      <c r="E2043" s="1088"/>
      <c r="F2043" s="1368" t="s">
        <v>2285</v>
      </c>
      <c r="G2043" s="1078"/>
      <c r="H2043" s="1868"/>
      <c r="I2043" s="1259">
        <f t="shared" si="119"/>
        <v>0</v>
      </c>
      <c r="J2043" s="1081"/>
      <c r="K2043" s="1081"/>
      <c r="L2043" s="1082"/>
      <c r="M2043" s="975">
        <v>560</v>
      </c>
    </row>
    <row r="2044" spans="1:14" s="1083" customFormat="1" ht="25.2" hidden="1" customHeight="1">
      <c r="A2044" s="1153">
        <f t="shared" si="118"/>
        <v>0</v>
      </c>
      <c r="B2044" s="1154" t="s">
        <v>470</v>
      </c>
      <c r="C2044" s="1154"/>
      <c r="D2044" s="1090"/>
      <c r="E2044" s="1079">
        <f>VLOOKUP($B2044,DG!A:D,DG!$B$2,)</f>
        <v>0</v>
      </c>
      <c r="F2044" s="1080" t="str">
        <f>VLOOKUP($B2044,DG!A:D,DG!$C$2,)&amp;": trong möông vaø leân MBA"</f>
        <v>Cáp 24kV C/XLPE/DSTA/PVC3x50: trong möông vaø leân MBA</v>
      </c>
      <c r="G2044" s="1079" t="str">
        <f>VLOOKUP($B2044,DG!A:D,DG!$D$2,)</f>
        <v>mét</v>
      </c>
      <c r="H2044" s="1851">
        <f>H2023+H2042*8</f>
        <v>0</v>
      </c>
      <c r="I2044" s="1259">
        <f t="shared" si="119"/>
        <v>0</v>
      </c>
      <c r="J2044" s="1081"/>
      <c r="K2044" s="1081"/>
      <c r="L2044" s="1082"/>
      <c r="M2044" s="975">
        <v>560</v>
      </c>
    </row>
    <row r="2045" spans="1:14" s="1083" customFormat="1" ht="25.2" hidden="1" customHeight="1">
      <c r="A2045" s="1153">
        <f t="shared" si="118"/>
        <v>0</v>
      </c>
      <c r="B2045" s="1154" t="s">
        <v>271</v>
      </c>
      <c r="C2045" s="1154"/>
      <c r="D2045" s="1090"/>
      <c r="E2045" s="1079">
        <f>VLOOKUP($B2045,DG!A:D,DG!$B$2,)</f>
        <v>0</v>
      </c>
      <c r="F2045" s="1080" t="str">
        <f>VLOOKUP($B2045,DG!A:D,DG!$C$2,)&amp;": trung tính"</f>
        <v>Cáp 24KV C/XLPE/PVC 50mm2: trung tính</v>
      </c>
      <c r="G2045" s="1079" t="str">
        <f>VLOOKUP($B2045,DG!A:D,DG!$D$2,)</f>
        <v>mét</v>
      </c>
      <c r="H2045" s="1851">
        <f>H2044</f>
        <v>0</v>
      </c>
      <c r="I2045" s="1259">
        <f t="shared" si="119"/>
        <v>0</v>
      </c>
      <c r="J2045" s="1081"/>
      <c r="K2045" s="1081"/>
      <c r="L2045" s="1082"/>
      <c r="M2045" s="975">
        <v>560</v>
      </c>
    </row>
    <row r="2046" spans="1:14" s="1083" customFormat="1" ht="25.2" hidden="1" customHeight="1">
      <c r="A2046" s="1153">
        <f t="shared" si="118"/>
        <v>0</v>
      </c>
      <c r="B2046" s="1154" t="s">
        <v>271</v>
      </c>
      <c r="C2046" s="1154"/>
      <c r="D2046" s="1090"/>
      <c r="E2046" s="1079">
        <f>VLOOKUP($B2046,DG!A:D,DG!$B$2,)</f>
        <v>0</v>
      </c>
      <c r="F2046" s="1080" t="str">
        <f>VLOOKUP($B2046,DG!A:D,DG!$C$2,)&amp;": 0,5m/pha töø FCO xuoáng MBA"</f>
        <v>Cáp 24KV C/XLPE/PVC 50mm2: 0,5m/pha töø FCO xuoáng MBA</v>
      </c>
      <c r="G2046" s="1079" t="str">
        <f>VLOOKUP($B2046,DG!A:D,DG!$D$2,)</f>
        <v>mét</v>
      </c>
      <c r="H2046" s="1851">
        <f>H2042*0.5*3*0</f>
        <v>0</v>
      </c>
      <c r="I2046" s="1259">
        <f t="shared" si="119"/>
        <v>0</v>
      </c>
      <c r="J2046" s="1081"/>
      <c r="K2046" s="1081"/>
      <c r="L2046" s="1082"/>
      <c r="M2046" s="975">
        <v>560</v>
      </c>
    </row>
    <row r="2047" spans="1:14" s="1083" customFormat="1" ht="25.2" hidden="1" customHeight="1">
      <c r="A2047" s="1153">
        <f t="shared" si="118"/>
        <v>0</v>
      </c>
      <c r="B2047" s="1154" t="s">
        <v>1355</v>
      </c>
      <c r="C2047" s="1154"/>
      <c r="D2047" s="1090"/>
      <c r="E2047" s="1079">
        <f>VLOOKUP($B2047,DG!A:D,DG!$B$2,)</f>
        <v>0</v>
      </c>
      <c r="F2047" s="1080" t="str">
        <f>VLOOKUP($B2047,DG!A:D,DG!$C$2,)</f>
        <v>Đầu cáp ngầm 24KV 3x50mm2 outdoor</v>
      </c>
      <c r="G2047" s="1079" t="str">
        <f>VLOOKUP($B2047,DG!A:D,DG!$D$2,)</f>
        <v>cái</v>
      </c>
      <c r="H2047" s="1851">
        <f>H2042</f>
        <v>0</v>
      </c>
      <c r="I2047" s="1259">
        <f t="shared" si="119"/>
        <v>0</v>
      </c>
      <c r="J2047" s="1081"/>
      <c r="K2047" s="1081"/>
      <c r="L2047" s="1082"/>
      <c r="M2047" s="975">
        <v>560</v>
      </c>
    </row>
    <row r="2048" spans="1:14" s="1083" customFormat="1" ht="25.2" hidden="1" customHeight="1">
      <c r="A2048" s="1153">
        <f t="shared" si="118"/>
        <v>0</v>
      </c>
      <c r="B2048" s="1154" t="s">
        <v>470</v>
      </c>
      <c r="C2048" s="1154"/>
      <c r="D2048" s="1090"/>
      <c r="E2048" s="1079">
        <f>VLOOKUP($B2048,DG!A:D,DG!$B$2,)</f>
        <v>0</v>
      </c>
      <c r="F2048" s="1080" t="str">
        <f>VLOOKUP($B2048,DG!A:D,DG!$C$2,)&amp;": töø tuû LBS ñeán MBA"</f>
        <v>Cáp 24kV C/XLPE/DSTA/PVC3x50: töø tuû LBS ñeán MBA</v>
      </c>
      <c r="G2048" s="1079" t="str">
        <f>VLOOKUP($B2048,DG!A:D,DG!$D$2,)</f>
        <v>mét</v>
      </c>
      <c r="H2048" s="1851">
        <f>(1.2+2.4)*H2042*0</f>
        <v>0</v>
      </c>
      <c r="I2048" s="1259">
        <f t="shared" si="119"/>
        <v>0</v>
      </c>
      <c r="J2048" s="1081"/>
      <c r="K2048" s="1081"/>
      <c r="L2048" s="1082"/>
      <c r="M2048" s="975">
        <v>560</v>
      </c>
    </row>
    <row r="2049" spans="1:13" s="1083" customFormat="1" ht="25.2" hidden="1" customHeight="1">
      <c r="A2049" s="1153">
        <f t="shared" si="118"/>
        <v>0</v>
      </c>
      <c r="B2049" s="1154" t="s">
        <v>271</v>
      </c>
      <c r="C2049" s="1154"/>
      <c r="D2049" s="1090"/>
      <c r="E2049" s="1079">
        <f>VLOOKUP($B2049,DG!A:D,DG!$B$2,)</f>
        <v>0</v>
      </c>
      <c r="F2049" s="1080" t="str">
        <f>VLOOKUP($B2049,DG!A:D,DG!$C$2,)&amp;": töø tuû LBS ñeán MBA"</f>
        <v>Cáp 24KV C/XLPE/PVC 50mm2: töø tuû LBS ñeán MBA</v>
      </c>
      <c r="G2049" s="1079" t="str">
        <f>VLOOKUP($B2049,DG!A:D,DG!$D$2,)</f>
        <v>mét</v>
      </c>
      <c r="H2049" s="1851">
        <f>H2042*1.2*0</f>
        <v>0</v>
      </c>
      <c r="I2049" s="1259">
        <f t="shared" si="119"/>
        <v>0</v>
      </c>
      <c r="J2049" s="1081"/>
      <c r="K2049" s="1081"/>
      <c r="L2049" s="1082"/>
      <c r="M2049" s="975">
        <v>560</v>
      </c>
    </row>
    <row r="2050" spans="1:13" s="1083" customFormat="1" ht="25.2" hidden="1" customHeight="1">
      <c r="A2050" s="1153">
        <f t="shared" si="118"/>
        <v>0</v>
      </c>
      <c r="B2050" s="1154" t="s">
        <v>1356</v>
      </c>
      <c r="C2050" s="1154"/>
      <c r="D2050" s="1090"/>
      <c r="E2050" s="1079">
        <f>VLOOKUP($B2050,DG!A:D,DG!$B$2,)</f>
        <v>0</v>
      </c>
      <c r="F2050" s="1080" t="str">
        <f>VLOOKUP($B2050,DG!A:D,DG!$C$2,)</f>
        <v>Đầu cáp ngầm 24KV 3x50mm2 indoor</v>
      </c>
      <c r="G2050" s="1079" t="str">
        <f>VLOOKUP($B2050,DG!A:D,DG!$D$2,)</f>
        <v>cái</v>
      </c>
      <c r="H2050" s="1851">
        <f>H2042</f>
        <v>0</v>
      </c>
      <c r="I2050" s="1259">
        <f t="shared" si="119"/>
        <v>0</v>
      </c>
      <c r="J2050" s="1081"/>
      <c r="K2050" s="1081"/>
      <c r="L2050" s="1082"/>
      <c r="M2050" s="975">
        <v>560</v>
      </c>
    </row>
    <row r="2051" spans="1:13" s="1083" customFormat="1" ht="25.2" hidden="1" customHeight="1">
      <c r="A2051" s="1153">
        <f t="shared" si="118"/>
        <v>0</v>
      </c>
      <c r="B2051" s="1154" t="s">
        <v>1678</v>
      </c>
      <c r="C2051" s="1154"/>
      <c r="D2051" s="1090"/>
      <c r="E2051" s="1079" t="str">
        <f>VLOOKUP($B2051,DG!A:D,DG!$B$2,)</f>
        <v>07.4312</v>
      </c>
      <c r="F2051" s="1080" t="str">
        <f>VLOOKUP($B2051,DG!A:D,DG!$C$2,)</f>
        <v>Lắp đầu cáp trung thế 3x50mm2, 70mm2</v>
      </c>
      <c r="G2051" s="1079" t="str">
        <f>VLOOKUP($B2051,DG!A:D,DG!$D$2,)</f>
        <v>cái</v>
      </c>
      <c r="H2051" s="1851">
        <f>H2047+H2050</f>
        <v>0</v>
      </c>
      <c r="I2051" s="1259">
        <f t="shared" si="119"/>
        <v>0</v>
      </c>
      <c r="J2051" s="1081"/>
      <c r="K2051" s="1081"/>
      <c r="L2051" s="1082"/>
      <c r="M2051" s="975">
        <v>560</v>
      </c>
    </row>
    <row r="2052" spans="1:13" s="1083" customFormat="1" ht="25.2" hidden="1" customHeight="1">
      <c r="A2052" s="1153">
        <f t="shared" si="118"/>
        <v>0</v>
      </c>
      <c r="B2052" s="1154" t="s">
        <v>1204</v>
      </c>
      <c r="C2052" s="1154"/>
      <c r="D2052" s="1090"/>
      <c r="E2052" s="1079" t="str">
        <f>VLOOKUP($B2052,DG!A:D,DG!$B$2,)</f>
        <v>03.1405</v>
      </c>
      <c r="F2052" s="1080" t="str">
        <f>VLOOKUP($B2052,DG!A:D,DG!$C$2,)</f>
        <v>Lắp cáp trong ống bảo vệ trong TBA loại &lt;=6kg</v>
      </c>
      <c r="G2052" s="1079" t="str">
        <f>VLOOKUP($B2052,DG!A:D,DG!$D$2,)</f>
        <v>mét</v>
      </c>
      <c r="H2052" s="1851">
        <f>H2044+H2048</f>
        <v>0</v>
      </c>
      <c r="I2052" s="1259">
        <f t="shared" si="119"/>
        <v>0</v>
      </c>
      <c r="J2052" s="1081"/>
      <c r="K2052" s="1081"/>
      <c r="L2052" s="1082"/>
      <c r="M2052" s="975">
        <v>560</v>
      </c>
    </row>
    <row r="2053" spans="1:13" s="1083" customFormat="1" ht="25.2" hidden="1" customHeight="1">
      <c r="A2053" s="1153">
        <f t="shared" si="118"/>
        <v>0</v>
      </c>
      <c r="B2053" s="1154" t="s">
        <v>1201</v>
      </c>
      <c r="C2053" s="1154"/>
      <c r="D2053" s="1090"/>
      <c r="E2053" s="1079" t="str">
        <f>VLOOKUP($B2053,DG!A:D,DG!$B$2,)</f>
        <v>03.1402</v>
      </c>
      <c r="F2053" s="1080" t="str">
        <f>VLOOKUP($B2053,DG!A:D,DG!$C$2,)</f>
        <v>Lắp cáp trong ống bảo vệ trong TBA loại &lt;=2kg</v>
      </c>
      <c r="G2053" s="1079" t="str">
        <f>VLOOKUP($B2053,DG!A:D,DG!$D$2,)</f>
        <v>mét</v>
      </c>
      <c r="H2053" s="1851">
        <f>H2045+H2049</f>
        <v>0</v>
      </c>
      <c r="I2053" s="1259">
        <f t="shared" si="119"/>
        <v>0</v>
      </c>
      <c r="J2053" s="1081"/>
      <c r="K2053" s="1081"/>
      <c r="L2053" s="1082"/>
      <c r="M2053" s="975">
        <v>560</v>
      </c>
    </row>
    <row r="2054" spans="1:13" s="1083" customFormat="1" ht="25.2" hidden="1" customHeight="1">
      <c r="A2054" s="1153">
        <f t="shared" si="118"/>
        <v>0</v>
      </c>
      <c r="B2054" s="1154" t="s">
        <v>1528</v>
      </c>
      <c r="C2054" s="1154"/>
      <c r="D2054" s="1090"/>
      <c r="E2054" s="1079" t="str">
        <f>VLOOKUP($B2054,DG!A:D,DG!$B$2,)</f>
        <v>04.4201</v>
      </c>
      <c r="F2054" s="1080" t="str">
        <f>VLOOKUP($B2054,DG!A:D,DG!$C$2,)</f>
        <v>Lắp cáp đồng xuống thiết bị D ≤ 95mm2</v>
      </c>
      <c r="G2054" s="1079" t="str">
        <f>VLOOKUP($B2054,DG!A:D,DG!$D$2,)</f>
        <v>m</v>
      </c>
      <c r="H2054" s="1851">
        <f>H2046</f>
        <v>0</v>
      </c>
      <c r="I2054" s="1259">
        <f t="shared" si="119"/>
        <v>0</v>
      </c>
      <c r="J2054" s="1081"/>
      <c r="K2054" s="1081"/>
      <c r="L2054" s="1082"/>
      <c r="M2054" s="975">
        <v>560</v>
      </c>
    </row>
    <row r="2055" spans="1:13" s="1083" customFormat="1" ht="25.2" hidden="1" customHeight="1">
      <c r="A2055" s="1153">
        <f t="shared" si="118"/>
        <v>0</v>
      </c>
      <c r="B2055" s="1154" t="s">
        <v>1352</v>
      </c>
      <c r="C2055" s="1154"/>
      <c r="D2055" s="1090"/>
      <c r="E2055" s="1079">
        <f>VLOOKUP($B2055,DG!A:D,DG!$B$2,)</f>
        <v>0</v>
      </c>
      <c r="F2055" s="1080" t="str">
        <f>VLOOKUP($B2055,DG!A:D,DG!$C$2,)</f>
        <v>Dây rút cáp</v>
      </c>
      <c r="G2055" s="1079" t="str">
        <f>VLOOKUP($B2055,DG!A:D,DG!$D$2,)</f>
        <v>bọc</v>
      </c>
      <c r="H2055" s="1851">
        <f>H2042*2</f>
        <v>0</v>
      </c>
      <c r="I2055" s="1259">
        <f t="shared" si="119"/>
        <v>0</v>
      </c>
      <c r="J2055" s="1081"/>
      <c r="K2055" s="1081"/>
      <c r="L2055" s="1082"/>
      <c r="M2055" s="975">
        <v>560</v>
      </c>
    </row>
    <row r="2056" spans="1:13" s="1083" customFormat="1" ht="25.2" hidden="1" customHeight="1">
      <c r="A2056" s="1153">
        <f t="shared" si="118"/>
        <v>0</v>
      </c>
      <c r="B2056" s="1324"/>
      <c r="C2056" s="1324"/>
      <c r="D2056" s="1084">
        <f>IF(H2056&gt;0,D2042+1,D2042)</f>
        <v>0</v>
      </c>
      <c r="E2056" s="1085"/>
      <c r="F2056" s="1094" t="s">
        <v>3762</v>
      </c>
      <c r="G2056" s="1084" t="s">
        <v>2391</v>
      </c>
      <c r="H2056" s="1867">
        <f>H1901</f>
        <v>0</v>
      </c>
      <c r="I2056" s="1259">
        <f t="shared" si="119"/>
        <v>0</v>
      </c>
      <c r="J2056" s="1081"/>
      <c r="K2056" s="1081"/>
      <c r="L2056" s="1110"/>
      <c r="M2056" s="975">
        <v>560</v>
      </c>
    </row>
    <row r="2057" spans="1:13" s="1083" customFormat="1" ht="25.2" hidden="1" customHeight="1">
      <c r="A2057" s="1153">
        <f t="shared" si="118"/>
        <v>0</v>
      </c>
      <c r="B2057" s="1324"/>
      <c r="C2057" s="1324"/>
      <c r="D2057" s="1078"/>
      <c r="E2057" s="1088"/>
      <c r="F2057" s="1368" t="s">
        <v>2285</v>
      </c>
      <c r="G2057" s="1078"/>
      <c r="H2057" s="1868"/>
      <c r="I2057" s="1259">
        <f t="shared" si="119"/>
        <v>0</v>
      </c>
      <c r="J2057" s="1081"/>
      <c r="K2057" s="1081"/>
      <c r="L2057" s="1110"/>
      <c r="M2057" s="975">
        <v>560</v>
      </c>
    </row>
    <row r="2058" spans="1:13" s="1083" customFormat="1" ht="25.2" hidden="1" customHeight="1">
      <c r="A2058" s="1153">
        <f t="shared" si="118"/>
        <v>0</v>
      </c>
      <c r="B2058" s="1154" t="s">
        <v>697</v>
      </c>
      <c r="C2058" s="1154"/>
      <c r="D2058" s="1090"/>
      <c r="E2058" s="1079">
        <f>VLOOKUP($B2058,DG!A:D,DG!$B$2,)</f>
        <v>0</v>
      </c>
      <c r="F2058" s="1080" t="str">
        <f>VLOOKUP($B2058,DG!A:D,DG!$C$2,)&amp;": 9m/1pha"</f>
        <v>Cáp 24KV C/XLPE/PVC 25mm2: 9m/1pha</v>
      </c>
      <c r="G2058" s="1079" t="str">
        <f>VLOOKUP($B2058,DG!A:D,DG!$D$2,)</f>
        <v>mét</v>
      </c>
      <c r="H2058" s="1851">
        <f>H2056*(9)*3</f>
        <v>0</v>
      </c>
      <c r="I2058" s="1259">
        <f t="shared" si="119"/>
        <v>0</v>
      </c>
      <c r="J2058" s="1081"/>
      <c r="K2058" s="1081"/>
      <c r="L2058" s="1110"/>
      <c r="M2058" s="975">
        <v>560</v>
      </c>
    </row>
    <row r="2059" spans="1:13" s="1083" customFormat="1" ht="25.2" hidden="1" customHeight="1">
      <c r="A2059" s="1153">
        <f t="shared" si="118"/>
        <v>0</v>
      </c>
      <c r="B2059" s="1154" t="s">
        <v>1582</v>
      </c>
      <c r="C2059" s="1154"/>
      <c r="D2059" s="1090"/>
      <c r="E2059" s="1079">
        <f>VLOOKUP($B2059,DG!A:D,DG!$B$2,)</f>
        <v>0</v>
      </c>
      <c r="F2059" s="1080" t="str">
        <f>VLOOKUP($B2059,DG!A:D,DG!$C$2,)</f>
        <v>Kẹp ép WR cỡ dây 50mm2</v>
      </c>
      <c r="G2059" s="1079" t="str">
        <f>VLOOKUP($B2059,DG!A:D,DG!$D$2,)</f>
        <v>cái</v>
      </c>
      <c r="H2059" s="1851">
        <f>H2056*6*0</f>
        <v>0</v>
      </c>
      <c r="I2059" s="1259">
        <f t="shared" si="119"/>
        <v>0</v>
      </c>
      <c r="J2059" s="1081"/>
      <c r="K2059" s="1081"/>
      <c r="L2059" s="1110"/>
      <c r="M2059" s="975">
        <v>560</v>
      </c>
    </row>
    <row r="2060" spans="1:13" s="1083" customFormat="1" ht="25.2" hidden="1" customHeight="1">
      <c r="A2060" s="1153">
        <f t="shared" si="118"/>
        <v>0</v>
      </c>
      <c r="B2060" s="1154" t="s">
        <v>1115</v>
      </c>
      <c r="C2060" s="1154"/>
      <c r="D2060" s="1090"/>
      <c r="E2060" s="1079">
        <f>VLOOKUP($B2060,DG!A:D,DG!$B$2,)</f>
        <v>0</v>
      </c>
      <c r="F2060" s="1080" t="str">
        <f>VLOOKUP($B2060,DG!A:D,DG!$C$2,)</f>
        <v>Kẹp ép cỡ dây 25mm2</v>
      </c>
      <c r="G2060" s="1079" t="str">
        <f>VLOOKUP($B2060,DG!A:D,DG!$D$2,)</f>
        <v>cái</v>
      </c>
      <c r="H2060" s="1851">
        <f>H2056*3*2</f>
        <v>0</v>
      </c>
      <c r="I2060" s="1259">
        <f t="shared" si="119"/>
        <v>0</v>
      </c>
      <c r="J2060" s="1081"/>
      <c r="K2060" s="1081"/>
      <c r="L2060" s="1082"/>
      <c r="M2060" s="975">
        <v>560</v>
      </c>
    </row>
    <row r="2061" spans="1:13" s="1083" customFormat="1" ht="25.2" hidden="1" customHeight="1">
      <c r="A2061" s="1153">
        <f t="shared" si="118"/>
        <v>0</v>
      </c>
      <c r="B2061" s="1154" t="s">
        <v>550</v>
      </c>
      <c r="C2061" s="1154"/>
      <c r="D2061" s="1090"/>
      <c r="E2061" s="1079">
        <f>VLOOKUP($B2061,DG!A:D,DG!$B$2,)</f>
        <v>0</v>
      </c>
      <c r="F2061" s="1080" t="str">
        <f>VLOOKUP($B2061,DG!A:D,DG!$C$2,)</f>
        <v>Bass LI bắt FCO</v>
      </c>
      <c r="G2061" s="1079" t="str">
        <f>VLOOKUP($B2061,DG!A:D,DG!$D$2,)</f>
        <v>Bộ</v>
      </c>
      <c r="H2061" s="1851">
        <f>H2056*3*2</f>
        <v>0</v>
      </c>
      <c r="I2061" s="1259">
        <f t="shared" si="119"/>
        <v>0</v>
      </c>
      <c r="J2061" s="1081"/>
      <c r="K2061" s="1081"/>
      <c r="L2061" s="1082"/>
      <c r="M2061" s="975">
        <v>560</v>
      </c>
    </row>
    <row r="2062" spans="1:13" s="1083" customFormat="1" ht="25.2" hidden="1" customHeight="1">
      <c r="A2062" s="1153">
        <f t="shared" si="118"/>
        <v>0</v>
      </c>
      <c r="B2062" s="1154" t="s">
        <v>1482</v>
      </c>
      <c r="C2062" s="1154"/>
      <c r="D2062" s="1090"/>
      <c r="E2062" s="1079" t="str">
        <f>VLOOKUP($B2062,DG!A:D,DG!$B$2,)</f>
        <v>04.3007</v>
      </c>
      <c r="F2062" s="1080" t="str">
        <f>VLOOKUP($B2062,DG!A:D,DG!$C$2,)</f>
        <v>Kẹp quai 2/0</v>
      </c>
      <c r="G2062" s="1079" t="str">
        <f>VLOOKUP($B2062,DG!A:D,DG!$D$2,)</f>
        <v>cái</v>
      </c>
      <c r="H2062" s="1851">
        <f>H2056*3</f>
        <v>0</v>
      </c>
      <c r="I2062" s="1259">
        <f t="shared" si="119"/>
        <v>0</v>
      </c>
      <c r="J2062" s="1081"/>
      <c r="K2062" s="1081"/>
      <c r="L2062" s="1110"/>
      <c r="M2062" s="975">
        <v>560</v>
      </c>
    </row>
    <row r="2063" spans="1:13" s="1083" customFormat="1" ht="25.2" hidden="1" customHeight="1">
      <c r="A2063" s="1153">
        <f t="shared" si="118"/>
        <v>0</v>
      </c>
      <c r="B2063" s="1154" t="s">
        <v>1480</v>
      </c>
      <c r="C2063" s="1154"/>
      <c r="D2063" s="1090"/>
      <c r="E2063" s="1079" t="str">
        <f>VLOOKUP($B2063,DG!A:D,DG!$B$2,)</f>
        <v>04.3007</v>
      </c>
      <c r="F2063" s="1080" t="str">
        <f>VLOOKUP($B2063,DG!A:D,DG!$C$2,)&amp;": "</f>
        <v xml:space="preserve">Kẹp hotline 2/0: </v>
      </c>
      <c r="G2063" s="1079" t="str">
        <f>VLOOKUP($B2063,DG!A:D,DG!$D$2,)</f>
        <v>cái</v>
      </c>
      <c r="H2063" s="1851">
        <f>H2062</f>
        <v>0</v>
      </c>
      <c r="I2063" s="1259">
        <f t="shared" si="119"/>
        <v>0</v>
      </c>
      <c r="J2063" s="1081"/>
      <c r="K2063" s="1081"/>
      <c r="L2063" s="1110"/>
      <c r="M2063" s="975">
        <v>560</v>
      </c>
    </row>
    <row r="2064" spans="1:13" s="1083" customFormat="1" ht="25.2" hidden="1" customHeight="1">
      <c r="A2064" s="1153">
        <f t="shared" si="118"/>
        <v>0</v>
      </c>
      <c r="B2064" s="1154" t="s">
        <v>696</v>
      </c>
      <c r="C2064" s="1154"/>
      <c r="D2064" s="1110"/>
      <c r="E2064" s="1079">
        <f>VLOOKUP($B2064,DG!A:D,DG!$B$2,)</f>
        <v>0</v>
      </c>
      <c r="F2064" s="1080" t="str">
        <f>VLOOKUP($B2064,DG!A:D,DG!$C$2,)</f>
        <v xml:space="preserve">Sứ đứng 24KV </v>
      </c>
      <c r="G2064" s="1079" t="str">
        <f>VLOOKUP($B2064,DG!A:D,DG!$D$2,)</f>
        <v>cái</v>
      </c>
      <c r="H2064" s="1851">
        <f>H2056*9</f>
        <v>0</v>
      </c>
      <c r="I2064" s="1259">
        <f t="shared" si="119"/>
        <v>0</v>
      </c>
      <c r="J2064" s="1081"/>
      <c r="K2064" s="1081"/>
      <c r="L2064" s="1110"/>
      <c r="M2064" s="975">
        <v>560</v>
      </c>
    </row>
    <row r="2065" spans="1:13" s="1083" customFormat="1" ht="25.2" hidden="1" customHeight="1">
      <c r="A2065" s="1153">
        <f t="shared" si="118"/>
        <v>0</v>
      </c>
      <c r="B2065" s="1154" t="s">
        <v>1268</v>
      </c>
      <c r="C2065" s="1154"/>
      <c r="D2065" s="1090"/>
      <c r="E2065" s="1079">
        <f>VLOOKUP($B2065,DG!A:D,DG!$B$2,)</f>
        <v>0</v>
      </c>
      <c r="F2065" s="1080" t="str">
        <f>VLOOKUP($B2065,DG!A:D,DG!$C$2,)</f>
        <v>Chân sứ đứng D20</v>
      </c>
      <c r="G2065" s="1079" t="str">
        <f>VLOOKUP($B2065,DG!A:D,DG!$D$2,)</f>
        <v>cái</v>
      </c>
      <c r="H2065" s="1851">
        <f>H2064</f>
        <v>0</v>
      </c>
      <c r="I2065" s="1259">
        <f t="shared" si="119"/>
        <v>0</v>
      </c>
      <c r="J2065" s="1081"/>
      <c r="K2065" s="1081"/>
      <c r="L2065" s="1110"/>
      <c r="M2065" s="975">
        <v>560</v>
      </c>
    </row>
    <row r="2066" spans="1:13" s="1083" customFormat="1" ht="25.2" hidden="1" customHeight="1">
      <c r="A2066" s="1153">
        <f t="shared" si="118"/>
        <v>0</v>
      </c>
      <c r="B2066" s="1154" t="s">
        <v>439</v>
      </c>
      <c r="C2066" s="1154"/>
      <c r="D2066" s="1090"/>
      <c r="E2066" s="1079">
        <f>VLOOKUP($B2066,DG!A:D,DG!$B$2,)</f>
        <v>0</v>
      </c>
      <c r="F2066" s="1080" t="str">
        <f>VLOOKUP($B2066,DG!A:D,DG!$C$2,)</f>
        <v>Sứ treo polymer</v>
      </c>
      <c r="G2066" s="1079" t="str">
        <f>VLOOKUP($B2066,DG!A:D,DG!$D$2,)</f>
        <v>chuỗi</v>
      </c>
      <c r="H2066" s="1889">
        <f>H2056*6*0</f>
        <v>0</v>
      </c>
      <c r="I2066" s="1259">
        <f t="shared" si="119"/>
        <v>0</v>
      </c>
      <c r="J2066" s="1081"/>
      <c r="K2066" s="1081"/>
      <c r="L2066" s="1110"/>
      <c r="M2066" s="975">
        <v>560</v>
      </c>
    </row>
    <row r="2067" spans="1:13" s="1083" customFormat="1" ht="25.2" hidden="1" customHeight="1">
      <c r="A2067" s="1153">
        <f t="shared" si="118"/>
        <v>0</v>
      </c>
      <c r="B2067" s="1154" t="s">
        <v>1568</v>
      </c>
      <c r="C2067" s="1154"/>
      <c r="D2067" s="1090"/>
      <c r="E2067" s="1079" t="str">
        <f>VLOOKUP($B2067,DG!A:D,DG!$B$2,)</f>
        <v>06.1115</v>
      </c>
      <c r="F2067" s="1080" t="str">
        <f>VLOOKUP($B2067,DG!A:D,DG!$C$2,)</f>
        <v>Lắp sứ đứng 24KV</v>
      </c>
      <c r="G2067" s="1079" t="str">
        <f>VLOOKUP($B2067,DG!A:D,DG!$D$2,)</f>
        <v>bộ</v>
      </c>
      <c r="H2067" s="1851">
        <f>H2065</f>
        <v>0</v>
      </c>
      <c r="I2067" s="1259">
        <f t="shared" si="119"/>
        <v>0</v>
      </c>
      <c r="J2067" s="1081"/>
      <c r="K2067" s="1081"/>
      <c r="L2067" s="1110"/>
      <c r="M2067" s="975">
        <v>560</v>
      </c>
    </row>
    <row r="2068" spans="1:13" s="1083" customFormat="1" ht="25.2" hidden="1" customHeight="1">
      <c r="A2068" s="1153">
        <f t="shared" si="118"/>
        <v>0</v>
      </c>
      <c r="B2068" s="1154" t="s">
        <v>235</v>
      </c>
      <c r="C2068" s="1154"/>
      <c r="D2068" s="1090"/>
      <c r="E2068" s="1079" t="str">
        <f>VLOOKUP($B2068,DG!A:D,DG!$B$2,)</f>
        <v>06.1115</v>
      </c>
      <c r="F2068" s="1080" t="str">
        <f>VLOOKUP($B2068,DG!A:D,DG!$C$2,)</f>
        <v>Tháo sứ đứng 24KV</v>
      </c>
      <c r="G2068" s="1079" t="str">
        <f>VLOOKUP($B2068,DG!A:D,DG!$D$2,)</f>
        <v>bộ</v>
      </c>
      <c r="H2068" s="1851"/>
      <c r="I2068" s="1259">
        <f t="shared" si="119"/>
        <v>0</v>
      </c>
      <c r="J2068" s="1081"/>
      <c r="K2068" s="1081"/>
      <c r="L2068" s="1110"/>
      <c r="M2068" s="975">
        <v>560</v>
      </c>
    </row>
    <row r="2069" spans="1:13" s="1083" customFormat="1" ht="25.2" hidden="1" customHeight="1">
      <c r="A2069" s="1153">
        <f t="shared" si="118"/>
        <v>0</v>
      </c>
      <c r="B2069" s="1154" t="s">
        <v>1510</v>
      </c>
      <c r="C2069" s="1154"/>
      <c r="D2069" s="1090"/>
      <c r="E2069" s="1079" t="str">
        <f>VLOOKUP($B2069,DG!A:D,DG!$B$2,)</f>
        <v>06.2201</v>
      </c>
      <c r="F2069" s="1080" t="str">
        <f>VLOOKUP($B2069,DG!A:D,DG!$C$2,)</f>
        <v>Lắp chuỗi sứ néo Polymer</v>
      </c>
      <c r="G2069" s="1079" t="str">
        <f>VLOOKUP($B2069,DG!A:D,DG!$D$2,)</f>
        <v>chuỗi</v>
      </c>
      <c r="H2069" s="1851">
        <f>H2066</f>
        <v>0</v>
      </c>
      <c r="I2069" s="1259">
        <f t="shared" si="119"/>
        <v>0</v>
      </c>
      <c r="J2069" s="1081"/>
      <c r="K2069" s="1081"/>
      <c r="L2069" s="1110"/>
      <c r="M2069" s="975">
        <v>560</v>
      </c>
    </row>
    <row r="2070" spans="1:13" s="1083" customFormat="1" ht="25.2" hidden="1" customHeight="1">
      <c r="A2070" s="1153">
        <f t="shared" si="118"/>
        <v>0</v>
      </c>
      <c r="B2070" s="1154" t="s">
        <v>1528</v>
      </c>
      <c r="C2070" s="1154"/>
      <c r="D2070" s="1090"/>
      <c r="E2070" s="1079" t="str">
        <f>VLOOKUP($B2070,DG!A:D,DG!$B$2,)</f>
        <v>04.4201</v>
      </c>
      <c r="F2070" s="1080" t="str">
        <f>VLOOKUP($B2070,DG!A:D,DG!$C$2,)</f>
        <v>Lắp cáp đồng xuống thiết bị D ≤ 95mm2</v>
      </c>
      <c r="G2070" s="1079" t="str">
        <f>VLOOKUP($B2070,DG!A:D,DG!$D$2,)</f>
        <v>m</v>
      </c>
      <c r="H2070" s="1851">
        <f>H2058</f>
        <v>0</v>
      </c>
      <c r="I2070" s="1259">
        <f t="shared" si="119"/>
        <v>0</v>
      </c>
      <c r="J2070" s="1081"/>
      <c r="K2070" s="1081"/>
      <c r="L2070" s="1110"/>
      <c r="M2070" s="975">
        <v>560</v>
      </c>
    </row>
    <row r="2071" spans="1:13" s="1083" customFormat="1" ht="25.2" hidden="1" customHeight="1">
      <c r="A2071" s="1153">
        <f t="shared" si="118"/>
        <v>0</v>
      </c>
      <c r="B2071" s="1324"/>
      <c r="C2071" s="1324"/>
      <c r="D2071" s="1084">
        <f>IF(H2071&gt;0,D2056+1,D2056)</f>
        <v>0</v>
      </c>
      <c r="E2071" s="1085"/>
      <c r="F2071" s="1094" t="s">
        <v>3726</v>
      </c>
      <c r="G2071" s="1084" t="s">
        <v>2391</v>
      </c>
      <c r="H2071" s="1867">
        <f>H1934</f>
        <v>0</v>
      </c>
      <c r="I2071" s="1259">
        <f t="shared" si="119"/>
        <v>0</v>
      </c>
      <c r="J2071" s="1081"/>
      <c r="K2071" s="1081"/>
      <c r="L2071" s="1082"/>
      <c r="M2071" s="975">
        <v>560</v>
      </c>
    </row>
    <row r="2072" spans="1:13" s="1083" customFormat="1" ht="25.2" hidden="1" customHeight="1">
      <c r="A2072" s="1153">
        <f t="shared" si="118"/>
        <v>0</v>
      </c>
      <c r="B2072" s="1324"/>
      <c r="C2072" s="1324"/>
      <c r="D2072" s="1078"/>
      <c r="E2072" s="1088"/>
      <c r="F2072" s="1368" t="s">
        <v>2285</v>
      </c>
      <c r="G2072" s="1078"/>
      <c r="H2072" s="1868"/>
      <c r="I2072" s="1259">
        <f t="shared" si="119"/>
        <v>0</v>
      </c>
      <c r="J2072" s="1081"/>
      <c r="K2072" s="1081"/>
      <c r="L2072" s="1082"/>
      <c r="M2072" s="975">
        <v>560</v>
      </c>
    </row>
    <row r="2073" spans="1:13" s="1083" customFormat="1" ht="25.2" hidden="1" customHeight="1">
      <c r="A2073" s="1153">
        <f t="shared" si="118"/>
        <v>0</v>
      </c>
      <c r="B2073" s="1324" t="s">
        <v>1492</v>
      </c>
      <c r="C2073" s="1324"/>
      <c r="D2073" s="1090"/>
      <c r="E2073" s="1079" t="str">
        <f>VLOOKUP($B2073,DG!A:D,DG!$B$2,)</f>
        <v>04.8003</v>
      </c>
      <c r="F2073" s="1080" t="str">
        <f>VLOOKUP($B2073,DG!A:D,DG!$C$2,)</f>
        <v xml:space="preserve">Ống PVC D90x3,8mm </v>
      </c>
      <c r="G2073" s="1079" t="str">
        <f>VLOOKUP($B2073,DG!A:D,DG!$D$2,)</f>
        <v>m</v>
      </c>
      <c r="H2073" s="1851">
        <f>H2071*2</f>
        <v>0</v>
      </c>
      <c r="I2073" s="1259">
        <f t="shared" si="119"/>
        <v>0</v>
      </c>
      <c r="J2073" s="1081"/>
      <c r="K2073" s="1081"/>
      <c r="L2073" s="1082"/>
      <c r="M2073" s="975">
        <v>560</v>
      </c>
    </row>
    <row r="2074" spans="1:13" s="1083" customFormat="1" ht="25.2" hidden="1" customHeight="1">
      <c r="A2074" s="1153">
        <f t="shared" ref="A2074:A2137" si="120">IF(I2074&gt;0,1,0)</f>
        <v>0</v>
      </c>
      <c r="B2074" s="1324" t="s">
        <v>86</v>
      </c>
      <c r="C2074" s="1324"/>
      <c r="D2074" s="1090"/>
      <c r="E2074" s="1079">
        <f>VLOOKUP($B2074,DG!A:D,DG!$B$2,)</f>
        <v>0</v>
      </c>
      <c r="F2074" s="1080" t="str">
        <f>VLOOKUP($B2074,DG!A:D,DG!$C$2,)</f>
        <v>Co  90 độ PVC 90</v>
      </c>
      <c r="G2074" s="1079" t="str">
        <f>VLOOKUP($B2074,DG!A:D,DG!$D$2,)</f>
        <v>cái</v>
      </c>
      <c r="H2074" s="1851">
        <f>H2071*2</f>
        <v>0</v>
      </c>
      <c r="I2074" s="1259">
        <f t="shared" si="119"/>
        <v>0</v>
      </c>
      <c r="J2074" s="1081"/>
      <c r="K2074" s="1081"/>
      <c r="L2074" s="1082"/>
      <c r="M2074" s="975">
        <v>560</v>
      </c>
    </row>
    <row r="2075" spans="1:13" s="1083" customFormat="1" ht="25.2" hidden="1" customHeight="1">
      <c r="A2075" s="1153">
        <f t="shared" si="120"/>
        <v>0</v>
      </c>
      <c r="B2075" s="1324" t="s">
        <v>931</v>
      </c>
      <c r="C2075" s="1324"/>
      <c r="D2075" s="1090"/>
      <c r="E2075" s="1079">
        <f>VLOOKUP($B2075,DG!A:D,DG!$B$2,)</f>
        <v>0</v>
      </c>
      <c r="F2075" s="1080" t="str">
        <f>VLOOKUP($B2075,DG!A:D,DG!$C$2,)</f>
        <v>Khâu ven răng trong D90</v>
      </c>
      <c r="G2075" s="1079" t="str">
        <f>VLOOKUP($B2075,DG!A:D,DG!$D$2,)</f>
        <v>cái</v>
      </c>
      <c r="H2075" s="1851">
        <f>H2071*1*0</f>
        <v>0</v>
      </c>
      <c r="I2075" s="1259">
        <f t="shared" si="119"/>
        <v>0</v>
      </c>
      <c r="J2075" s="1081"/>
      <c r="K2075" s="1081"/>
      <c r="L2075" s="1082"/>
      <c r="M2075" s="975">
        <v>560</v>
      </c>
    </row>
    <row r="2076" spans="1:13" s="1083" customFormat="1" ht="25.2" hidden="1" customHeight="1">
      <c r="A2076" s="1153">
        <f t="shared" si="120"/>
        <v>0</v>
      </c>
      <c r="B2076" s="1324" t="s">
        <v>930</v>
      </c>
      <c r="C2076" s="1324"/>
      <c r="D2076" s="1090"/>
      <c r="E2076" s="1079">
        <f>VLOOKUP($B2076,DG!A:D,DG!$B$2,)</f>
        <v>0</v>
      </c>
      <c r="F2076" s="1080" t="str">
        <f>VLOOKUP($B2076,DG!A:D,DG!$C$2,)</f>
        <v>Khâu ven răng ngoài D90</v>
      </c>
      <c r="G2076" s="1079" t="str">
        <f>VLOOKUP($B2076,DG!A:D,DG!$D$2,)</f>
        <v>cái</v>
      </c>
      <c r="H2076" s="1851">
        <f>H2075</f>
        <v>0</v>
      </c>
      <c r="I2076" s="1259">
        <f t="shared" si="119"/>
        <v>0</v>
      </c>
      <c r="J2076" s="1081"/>
      <c r="K2076" s="1081"/>
      <c r="L2076" s="1082"/>
      <c r="M2076" s="975">
        <v>560</v>
      </c>
    </row>
    <row r="2077" spans="1:13" s="1083" customFormat="1" ht="25.2" hidden="1" customHeight="1">
      <c r="A2077" s="1153">
        <f t="shared" si="120"/>
        <v>0</v>
      </c>
      <c r="B2077" s="1154"/>
      <c r="C2077" s="1154"/>
      <c r="D2077" s="1084">
        <f>IF(H2077&gt;0,D2071+1,D2071)</f>
        <v>0</v>
      </c>
      <c r="E2077" s="1085"/>
      <c r="F2077" s="1094" t="s">
        <v>3768</v>
      </c>
      <c r="G2077" s="1084" t="s">
        <v>2391</v>
      </c>
      <c r="H2077" s="1888">
        <f>H2016</f>
        <v>0</v>
      </c>
      <c r="I2077" s="1259">
        <f t="shared" si="119"/>
        <v>0</v>
      </c>
      <c r="J2077" s="1081"/>
      <c r="K2077" s="1081"/>
      <c r="L2077" s="1110"/>
      <c r="M2077" s="975">
        <v>560</v>
      </c>
    </row>
    <row r="2078" spans="1:13" s="1083" customFormat="1" ht="25.2" hidden="1" customHeight="1">
      <c r="A2078" s="1153">
        <f t="shared" si="120"/>
        <v>0</v>
      </c>
      <c r="B2078" s="1154"/>
      <c r="C2078" s="1154"/>
      <c r="D2078" s="1078"/>
      <c r="E2078" s="1088"/>
      <c r="F2078" s="1368" t="s">
        <v>2285</v>
      </c>
      <c r="G2078" s="1078"/>
      <c r="H2078" s="1851"/>
      <c r="I2078" s="1259">
        <f t="shared" si="119"/>
        <v>0</v>
      </c>
      <c r="J2078" s="1081"/>
      <c r="K2078" s="1081"/>
      <c r="L2078" s="1110"/>
      <c r="M2078" s="975">
        <v>560</v>
      </c>
    </row>
    <row r="2079" spans="1:13" s="1083" customFormat="1" ht="25.2" hidden="1" customHeight="1">
      <c r="A2079" s="1153">
        <f t="shared" si="120"/>
        <v>0</v>
      </c>
      <c r="B2079" s="1324" t="s">
        <v>1222</v>
      </c>
      <c r="C2079" s="1324"/>
      <c r="D2079" s="1090"/>
      <c r="E2079" s="1079">
        <f>VLOOKUP($B2079,DG!A:D,DG!$B$2,)</f>
        <v>0</v>
      </c>
      <c r="F2079" s="1080" t="e">
        <f>VLOOKUP($B2079,DG!A:D,DG!$C$2,)&amp;":  "&amp;#REF!&amp;" x 8m/pha "</f>
        <v>#REF!</v>
      </c>
      <c r="G2079" s="1079" t="str">
        <f>VLOOKUP($B2079,DG!A:D,DG!$D$2,)</f>
        <v>mét</v>
      </c>
      <c r="H2079" s="1851">
        <f>2*8*3*H2077</f>
        <v>0</v>
      </c>
      <c r="I2079" s="1259">
        <f t="shared" si="119"/>
        <v>0</v>
      </c>
      <c r="J2079" s="1081"/>
      <c r="K2079" s="1081"/>
      <c r="L2079" s="1110"/>
      <c r="M2079" s="975">
        <v>560</v>
      </c>
    </row>
    <row r="2080" spans="1:13" s="1083" customFormat="1" ht="25.2" hidden="1" customHeight="1">
      <c r="A2080" s="1153">
        <f t="shared" si="120"/>
        <v>0</v>
      </c>
      <c r="B2080" s="1324" t="s">
        <v>1222</v>
      </c>
      <c r="C2080" s="1324"/>
      <c r="D2080" s="1090"/>
      <c r="E2080" s="1079">
        <f>VLOOKUP($B2080,DG!A:D,DG!$B$2,)</f>
        <v>0</v>
      </c>
      <c r="F2080" s="1080" t="e">
        <f>VLOOKUP($B2080,DG!A:D,DG!$C$2,)&amp;":  "&amp;#REF!&amp;" x 11m/trung tính "</f>
        <v>#REF!</v>
      </c>
      <c r="G2080" s="1079" t="str">
        <f>VLOOKUP($B2080,DG!A:D,DG!$D$2,)</f>
        <v>mét</v>
      </c>
      <c r="H2080" s="1851">
        <f>11*H2077</f>
        <v>0</v>
      </c>
      <c r="I2080" s="1259">
        <f t="shared" si="119"/>
        <v>0</v>
      </c>
      <c r="J2080" s="1081"/>
      <c r="K2080" s="1081"/>
      <c r="L2080" s="1110"/>
      <c r="M2080" s="975">
        <v>560</v>
      </c>
    </row>
    <row r="2081" spans="1:13" s="1083" customFormat="1" ht="25.2" hidden="1" customHeight="1">
      <c r="A2081" s="1153">
        <f t="shared" si="120"/>
        <v>0</v>
      </c>
      <c r="B2081" s="1324" t="s">
        <v>508</v>
      </c>
      <c r="C2081" s="1324"/>
      <c r="D2081" s="1090"/>
      <c r="E2081" s="1079">
        <f>VLOOKUP($B2081,DG!A:D,DG!$B$2,)</f>
        <v>0</v>
      </c>
      <c r="F2081" s="1080" t="str">
        <f>VLOOKUP($B2081,DG!A:D,DG!$C$2,)&amp;": ñaáu noái cho MCCB 800A  2sôïi/pha"</f>
        <v>Cáp đồng bọc CV250: ñaáu noái cho MCCB 800A  2sôïi/pha</v>
      </c>
      <c r="G2081" s="1079" t="str">
        <f>VLOOKUP($B2081,DG!A:D,DG!$D$2,)</f>
        <v>mét</v>
      </c>
      <c r="H2081" s="1851">
        <f>2*2*3*H2077</f>
        <v>0</v>
      </c>
      <c r="I2081" s="1259">
        <f t="shared" si="119"/>
        <v>0</v>
      </c>
      <c r="J2081" s="1081"/>
      <c r="K2081" s="1081"/>
      <c r="L2081" s="1110"/>
      <c r="M2081" s="975">
        <v>560</v>
      </c>
    </row>
    <row r="2082" spans="1:13" s="1083" customFormat="1" ht="25.2" hidden="1" customHeight="1">
      <c r="A2082" s="1153">
        <f t="shared" si="120"/>
        <v>0</v>
      </c>
      <c r="B2082" s="1324" t="s">
        <v>237</v>
      </c>
      <c r="C2082" s="1324"/>
      <c r="D2082" s="1090"/>
      <c r="E2082" s="1079">
        <f>VLOOKUP($B2082,DG!A:D,DG!$B$2,)</f>
        <v>0</v>
      </c>
      <c r="F2082" s="1080" t="str">
        <f>VLOOKUP($B2082,DG!A:D,DG!$C$2,)&amp;": ñaáu noái cho MCCB &lt;100A  1sôïi/pha"</f>
        <v>Cáp đồng bọc CV70: ñaáu noái cho MCCB &lt;100A  1sôïi/pha</v>
      </c>
      <c r="G2082" s="1079" t="str">
        <f>VLOOKUP($B2082,DG!A:D,DG!$D$2,)</f>
        <v>mét</v>
      </c>
      <c r="H2082" s="1851">
        <f>1*4*3*H2077</f>
        <v>0</v>
      </c>
      <c r="I2082" s="1259">
        <f t="shared" si="119"/>
        <v>0</v>
      </c>
      <c r="J2082" s="1081"/>
      <c r="K2082" s="1081"/>
      <c r="L2082" s="1110"/>
      <c r="M2082" s="975">
        <v>560</v>
      </c>
    </row>
    <row r="2083" spans="1:13" s="1083" customFormat="1" ht="25.2" hidden="1" customHeight="1">
      <c r="A2083" s="1153">
        <f t="shared" si="120"/>
        <v>0</v>
      </c>
      <c r="B2083" s="1324" t="s">
        <v>449</v>
      </c>
      <c r="C2083" s="1324"/>
      <c r="D2083" s="1090"/>
      <c r="E2083" s="1079" t="str">
        <f>VLOOKUP($B2083,DG!A:D,DG!$B$2,)</f>
        <v>03.4009</v>
      </c>
      <c r="F2083" s="1080" t="str">
        <f>VLOOKUP($B2083,DG!A:D,DG!$C$2,)&amp;": "</f>
        <v xml:space="preserve">Đầu cosse ép Cu 300mm2: </v>
      </c>
      <c r="G2083" s="1079" t="str">
        <f>VLOOKUP($B2083,DG!A:D,DG!$D$2,)</f>
        <v>cái</v>
      </c>
      <c r="H2083" s="1851">
        <f>H2077*14</f>
        <v>0</v>
      </c>
      <c r="I2083" s="1259">
        <f t="shared" si="119"/>
        <v>0</v>
      </c>
      <c r="J2083" s="1081"/>
      <c r="K2083" s="1081"/>
      <c r="L2083" s="1110"/>
      <c r="M2083" s="975">
        <v>560</v>
      </c>
    </row>
    <row r="2084" spans="1:13" s="1083" customFormat="1" ht="25.2" hidden="1" customHeight="1">
      <c r="A2084" s="1153">
        <f t="shared" si="120"/>
        <v>0</v>
      </c>
      <c r="B2084" s="1324" t="s">
        <v>448</v>
      </c>
      <c r="C2084" s="1324"/>
      <c r="D2084" s="1090"/>
      <c r="E2084" s="1079" t="str">
        <f>VLOOKUP($B2084,DG!A:D,DG!$B$2,)</f>
        <v>03.4009</v>
      </c>
      <c r="F2084" s="1080" t="str">
        <f>VLOOKUP($B2084,DG!A:D,DG!$C$2,)&amp;": "</f>
        <v xml:space="preserve">Đầu cosse ép Cu 250mm2: </v>
      </c>
      <c r="G2084" s="1079" t="str">
        <f>VLOOKUP($B2084,DG!A:D,DG!$D$2,)</f>
        <v>cái</v>
      </c>
      <c r="H2084" s="1851">
        <f>6*H2077*2</f>
        <v>0</v>
      </c>
      <c r="I2084" s="1259">
        <f t="shared" si="119"/>
        <v>0</v>
      </c>
      <c r="J2084" s="1081"/>
      <c r="K2084" s="1081"/>
      <c r="L2084" s="1110"/>
      <c r="M2084" s="975">
        <v>560</v>
      </c>
    </row>
    <row r="2085" spans="1:13" s="1083" customFormat="1" ht="25.2" hidden="1" customHeight="1">
      <c r="A2085" s="1153">
        <f t="shared" si="120"/>
        <v>0</v>
      </c>
      <c r="B2085" s="1324" t="s">
        <v>1306</v>
      </c>
      <c r="C2085" s="1324"/>
      <c r="D2085" s="1090"/>
      <c r="E2085" s="1079" t="str">
        <f>VLOOKUP($B2085,DG!A:D,DG!$B$2,)</f>
        <v>03.4003</v>
      </c>
      <c r="F2085" s="1080" t="str">
        <f>VLOOKUP($B2085,DG!A:D,DG!$C$2,)&amp;": "</f>
        <v xml:space="preserve">Đầu cosse ép Cu 70mm2: </v>
      </c>
      <c r="G2085" s="1079" t="str">
        <f>VLOOKUP($B2085,DG!A:D,DG!$D$2,)</f>
        <v>cái</v>
      </c>
      <c r="H2085" s="1851">
        <f>+H2077*4*6</f>
        <v>0</v>
      </c>
      <c r="I2085" s="1259">
        <f t="shared" si="119"/>
        <v>0</v>
      </c>
      <c r="J2085" s="1081"/>
      <c r="K2085" s="1081"/>
      <c r="L2085" s="1110"/>
      <c r="M2085" s="975">
        <v>560</v>
      </c>
    </row>
    <row r="2086" spans="1:13" s="1083" customFormat="1" ht="25.2" hidden="1" customHeight="1">
      <c r="A2086" s="1153">
        <f t="shared" si="120"/>
        <v>0</v>
      </c>
      <c r="B2086" s="1324" t="s">
        <v>975</v>
      </c>
      <c r="C2086" s="1324"/>
      <c r="D2086" s="1090"/>
      <c r="E2086" s="1079">
        <f>VLOOKUP($B2086,DG!A:D,DG!$B$2,)</f>
        <v>0</v>
      </c>
      <c r="F2086" s="1080" t="str">
        <f>VLOOKUP($B2086,DG!A:D,DG!$C$2,)&amp;": "</f>
        <v xml:space="preserve">Chụp đầu cosse  300mm2: </v>
      </c>
      <c r="G2086" s="1079" t="str">
        <f>VLOOKUP($B2086,DG!A:D,DG!$D$2,)</f>
        <v>cái</v>
      </c>
      <c r="H2086" s="1851">
        <f>H2083</f>
        <v>0</v>
      </c>
      <c r="I2086" s="1259">
        <f t="shared" si="119"/>
        <v>0</v>
      </c>
      <c r="J2086" s="1081"/>
      <c r="K2086" s="1081"/>
      <c r="L2086" s="1110"/>
      <c r="M2086" s="975">
        <v>560</v>
      </c>
    </row>
    <row r="2087" spans="1:13" s="1083" customFormat="1" ht="25.2" hidden="1" customHeight="1">
      <c r="A2087" s="1153">
        <f t="shared" si="120"/>
        <v>0</v>
      </c>
      <c r="B2087" s="1324" t="s">
        <v>1072</v>
      </c>
      <c r="C2087" s="1324"/>
      <c r="D2087" s="1090"/>
      <c r="E2087" s="1079">
        <f>VLOOKUP($B2087,DG!A:D,DG!$B$2,)</f>
        <v>0</v>
      </c>
      <c r="F2087" s="1080" t="str">
        <f>VLOOKUP($B2087,DG!A:D,DG!$C$2,)&amp;": "</f>
        <v xml:space="preserve">Chụp đầu cosse  250mm2: </v>
      </c>
      <c r="G2087" s="1079" t="str">
        <f>VLOOKUP($B2087,DG!A:D,DG!$D$2,)</f>
        <v>cái</v>
      </c>
      <c r="H2087" s="1851">
        <f>H2084</f>
        <v>0</v>
      </c>
      <c r="I2087" s="1259">
        <f t="shared" si="119"/>
        <v>0</v>
      </c>
      <c r="J2087" s="1081"/>
      <c r="K2087" s="1081"/>
      <c r="L2087" s="1110"/>
      <c r="M2087" s="975">
        <v>560</v>
      </c>
    </row>
    <row r="2088" spans="1:13" s="1083" customFormat="1" ht="25.2" hidden="1" customHeight="1">
      <c r="A2088" s="1153">
        <f t="shared" si="120"/>
        <v>0</v>
      </c>
      <c r="B2088" s="1324" t="s">
        <v>611</v>
      </c>
      <c r="C2088" s="1324"/>
      <c r="D2088" s="1090"/>
      <c r="E2088" s="1079">
        <f>VLOOKUP($B2088,DG!A:D,DG!$B$2,)</f>
        <v>0</v>
      </c>
      <c r="F2088" s="1080" t="str">
        <f>VLOOKUP($B2088,DG!A:D,DG!$C$2,)&amp;": "</f>
        <v xml:space="preserve">Chụp đầu cosse  70mm2: </v>
      </c>
      <c r="G2088" s="1079" t="str">
        <f>VLOOKUP($B2088,DG!A:D,DG!$D$2,)</f>
        <v>cái</v>
      </c>
      <c r="H2088" s="1851">
        <f>H2085</f>
        <v>0</v>
      </c>
      <c r="I2088" s="1259">
        <f t="shared" si="119"/>
        <v>0</v>
      </c>
      <c r="J2088" s="1081"/>
      <c r="K2088" s="1081"/>
      <c r="L2088" s="1110"/>
      <c r="M2088" s="975">
        <v>560</v>
      </c>
    </row>
    <row r="2089" spans="1:13" s="1083" customFormat="1" ht="25.2" hidden="1" customHeight="1">
      <c r="A2089" s="1153">
        <f t="shared" si="120"/>
        <v>0</v>
      </c>
      <c r="B2089" s="1324" t="s">
        <v>1521</v>
      </c>
      <c r="C2089" s="1324"/>
      <c r="D2089" s="1090"/>
      <c r="E2089" s="1079">
        <f>VLOOKUP($B2089,DG!A:D,DG!$B$2,)</f>
        <v>0</v>
      </c>
      <c r="F2089" s="1080" t="str">
        <f>VLOOKUP($B2089,DG!A:D,DG!$C$2,)&amp;" : cho caùp xuaát töø MBA-tuû MCCB"</f>
        <v>Ống PVC D140x6,7mm : cho caùp xuaát töø MBA-tuû MCCB</v>
      </c>
      <c r="G2089" s="1079" t="str">
        <f>VLOOKUP($B2089,DG!A:D,DG!$D$2,)</f>
        <v>m</v>
      </c>
      <c r="H2089" s="1894"/>
      <c r="I2089" s="1259">
        <f t="shared" si="119"/>
        <v>0</v>
      </c>
      <c r="J2089" s="1081"/>
      <c r="K2089" s="1081"/>
      <c r="L2089" s="1110"/>
      <c r="M2089" s="975">
        <v>560</v>
      </c>
    </row>
    <row r="2090" spans="1:13" s="1083" customFormat="1" ht="25.2" hidden="1" customHeight="1">
      <c r="A2090" s="1153">
        <f t="shared" si="120"/>
        <v>0</v>
      </c>
      <c r="B2090" s="1324" t="s">
        <v>1521</v>
      </c>
      <c r="C2090" s="1324"/>
      <c r="D2090" s="1090"/>
      <c r="E2090" s="1079">
        <f>VLOOKUP($B2090,DG!A:D,DG!$B$2,)</f>
        <v>0</v>
      </c>
      <c r="F2090" s="1080" t="str">
        <f>VLOOKUP($B2090,DG!A:D,DG!$C$2,)&amp;" : cho caùp xuaát töø tuû MCCB vaùo nhaø xöôûng"</f>
        <v>Ống PVC D140x6,7mm : cho caùp xuaát töø tuû MCCB vaùo nhaø xöôûng</v>
      </c>
      <c r="G2090" s="1079" t="str">
        <f>VLOOKUP($B2090,DG!A:D,DG!$D$2,)</f>
        <v>m</v>
      </c>
      <c r="H2090" s="1851">
        <f>2*3*H2077</f>
        <v>0</v>
      </c>
      <c r="I2090" s="1259">
        <f t="shared" si="119"/>
        <v>0</v>
      </c>
      <c r="J2090" s="1081"/>
      <c r="K2090" s="1081"/>
      <c r="L2090" s="1110"/>
      <c r="M2090" s="975">
        <v>560</v>
      </c>
    </row>
    <row r="2091" spans="1:13" s="1083" customFormat="1" ht="25.2" hidden="1" customHeight="1">
      <c r="A2091" s="1153">
        <f t="shared" si="120"/>
        <v>0</v>
      </c>
      <c r="B2091" s="1324" t="s">
        <v>282</v>
      </c>
      <c r="C2091" s="1324"/>
      <c r="D2091" s="1090"/>
      <c r="E2091" s="1079" t="str">
        <f>VLOOKUP($B2091,DG!A:D,DG!$B$2,)</f>
        <v>04.8003</v>
      </c>
      <c r="F2091" s="1080" t="str">
        <f>VLOOKUP($B2091,DG!A:D,DG!$C$2,)&amp;" : cho caùp xuaát töø tuû MCCB vaùo tuû buø"</f>
        <v>Ống PVC D90x3,8mm  : cho caùp xuaát töø tuû MCCB vaùo tuû buø</v>
      </c>
      <c r="G2091" s="1079" t="str">
        <f>VLOOKUP($B2091,DG!A:D,DG!$D$2,)</f>
        <v>m</v>
      </c>
      <c r="H2091" s="1851">
        <f>1*H2077*0</f>
        <v>0</v>
      </c>
      <c r="I2091" s="1259">
        <f t="shared" si="119"/>
        <v>0</v>
      </c>
      <c r="J2091" s="1081"/>
      <c r="K2091" s="1081"/>
      <c r="L2091" s="1110"/>
      <c r="M2091" s="975">
        <v>560</v>
      </c>
    </row>
    <row r="2092" spans="1:13" s="1083" customFormat="1" ht="25.2" hidden="1" customHeight="1">
      <c r="A2092" s="1153">
        <f t="shared" si="120"/>
        <v>0</v>
      </c>
      <c r="B2092" s="1154" t="s">
        <v>1223</v>
      </c>
      <c r="C2092" s="1154"/>
      <c r="D2092" s="1090"/>
      <c r="E2092" s="1079" t="str">
        <f>VLOOKUP($B2092,DG!A:D,DG!$B$2,)</f>
        <v>06.3231</v>
      </c>
      <c r="F2092" s="1080" t="str">
        <f>VLOOKUP($B2092,DG!A:D,DG!$C$2,)&amp;": CD-250 02 bộ"</f>
        <v>Cổ dê kẹp ống PVC Ø 140: CD-250 02 bộ</v>
      </c>
      <c r="G2092" s="1079" t="str">
        <f>VLOOKUP($B2092,DG!A:D,DG!$D$2,)</f>
        <v>bộ</v>
      </c>
      <c r="H2092" s="1851">
        <f>H2077*1.031*2</f>
        <v>0</v>
      </c>
      <c r="I2092" s="1259">
        <f t="shared" si="119"/>
        <v>0</v>
      </c>
      <c r="J2092" s="1081"/>
      <c r="K2092" s="1081"/>
      <c r="L2092" s="1110"/>
      <c r="M2092" s="975">
        <v>560</v>
      </c>
    </row>
    <row r="2093" spans="1:13" s="1083" customFormat="1" ht="25.2" hidden="1" customHeight="1">
      <c r="A2093" s="1153">
        <f t="shared" si="120"/>
        <v>0</v>
      </c>
      <c r="B2093" s="1154" t="s">
        <v>1539</v>
      </c>
      <c r="C2093" s="1154"/>
      <c r="D2093" s="1090"/>
      <c r="E2093" s="1079" t="str">
        <f>VLOOKUP($B2093,DG!A:D,DG!$B$2,)</f>
        <v>06.3231</v>
      </c>
      <c r="F2093" s="1080" t="str">
        <f>VLOOKUP($B2093,DG!A:D,DG!$C$2,)&amp;": CD-280 02 bộ"</f>
        <v>Cổ dê kẹp ống PVC Ø 140: CD-280 02 bộ</v>
      </c>
      <c r="G2093" s="1079" t="str">
        <f>VLOOKUP($B2093,DG!A:D,DG!$D$2,)</f>
        <v>bộ</v>
      </c>
      <c r="H2093" s="1851">
        <f>H2077*1.031*2</f>
        <v>0</v>
      </c>
      <c r="I2093" s="1259">
        <f t="shared" si="119"/>
        <v>0</v>
      </c>
      <c r="J2093" s="1081"/>
      <c r="K2093" s="1081"/>
      <c r="L2093" s="1110"/>
      <c r="M2093" s="975">
        <v>560</v>
      </c>
    </row>
    <row r="2094" spans="1:13" s="1083" customFormat="1" ht="25.2" hidden="1" customHeight="1">
      <c r="A2094" s="1153">
        <f t="shared" si="120"/>
        <v>0</v>
      </c>
      <c r="B2094" s="1154" t="s">
        <v>1131</v>
      </c>
      <c r="C2094" s="1154"/>
      <c r="D2094" s="1090"/>
      <c r="E2094" s="1079" t="str">
        <f>VLOOKUP($B2094,DG!A:D,DG!$B$2,)</f>
        <v>06.2110</v>
      </c>
      <c r="F2094" s="1080" t="str">
        <f>VLOOKUP($B2094,DG!A:D,DG!$C$2,)</f>
        <v>Lắp cổ dề</v>
      </c>
      <c r="G2094" s="1079" t="str">
        <f>VLOOKUP($B2094,DG!A:D,DG!$D$2,)</f>
        <v>bộ</v>
      </c>
      <c r="H2094" s="1851">
        <f>H2077*2*2</f>
        <v>0</v>
      </c>
      <c r="I2094" s="1259">
        <f t="shared" si="119"/>
        <v>0</v>
      </c>
      <c r="J2094" s="1081"/>
      <c r="K2094" s="1081"/>
      <c r="L2094" s="1110"/>
      <c r="M2094" s="975">
        <v>560</v>
      </c>
    </row>
    <row r="2095" spans="1:13" s="1083" customFormat="1" ht="25.2" hidden="1" customHeight="1">
      <c r="A2095" s="1153">
        <f t="shared" si="120"/>
        <v>0</v>
      </c>
      <c r="B2095" s="1346" t="s">
        <v>138</v>
      </c>
      <c r="C2095" s="1346"/>
      <c r="D2095" s="1090"/>
      <c r="E2095" s="1079">
        <f>VLOOKUP($B2095,DG!A:D,DG!$B$2,)</f>
        <v>0</v>
      </c>
      <c r="F2095" s="1080" t="str">
        <f>VLOOKUP($B2095,DG!A:D,DG!$C$2,)</f>
        <v>Boulon 12x40+ 2 long đền vuông D14-50x50x3/Zn</v>
      </c>
      <c r="G2095" s="1079" t="str">
        <f>VLOOKUP($B2095,DG!A:D,DG!$D$2,)</f>
        <v>bộ</v>
      </c>
      <c r="H2095" s="1851">
        <f>H2077*6</f>
        <v>0</v>
      </c>
      <c r="I2095" s="1259">
        <f t="shared" si="119"/>
        <v>0</v>
      </c>
      <c r="J2095" s="1081"/>
      <c r="K2095" s="1081"/>
      <c r="L2095" s="1110"/>
      <c r="M2095" s="975">
        <v>560</v>
      </c>
    </row>
    <row r="2096" spans="1:13" s="1083" customFormat="1" ht="25.2" hidden="1" customHeight="1">
      <c r="A2096" s="1153">
        <f t="shared" si="120"/>
        <v>0</v>
      </c>
      <c r="B2096" s="1346" t="s">
        <v>1353</v>
      </c>
      <c r="C2096" s="1346"/>
      <c r="D2096" s="1090"/>
      <c r="E2096" s="1079">
        <f>VLOOKUP($B2096,DG!A:D,DG!$B$2,)</f>
        <v>0</v>
      </c>
      <c r="F2096" s="1080" t="str">
        <f>VLOOKUP($B2096,DG!A:D,DG!$C$2,)</f>
        <v>Boulon 12x60+ 2 long đền vuông D14-50x50x3/Zn</v>
      </c>
      <c r="G2096" s="1079" t="str">
        <f>VLOOKUP($B2096,DG!A:D,DG!$D$2,)</f>
        <v>bộ</v>
      </c>
      <c r="H2096" s="1851">
        <f>H2095</f>
        <v>0</v>
      </c>
      <c r="I2096" s="1259">
        <f t="shared" si="119"/>
        <v>0</v>
      </c>
      <c r="J2096" s="1081"/>
      <c r="K2096" s="1081"/>
      <c r="L2096" s="1110"/>
      <c r="M2096" s="975">
        <v>560</v>
      </c>
    </row>
    <row r="2097" spans="1:13" s="1083" customFormat="1" ht="25.2" hidden="1" customHeight="1">
      <c r="A2097" s="1153">
        <f t="shared" si="120"/>
        <v>0</v>
      </c>
      <c r="B2097" s="1324" t="s">
        <v>1224</v>
      </c>
      <c r="C2097" s="1324"/>
      <c r="D2097" s="1090"/>
      <c r="E2097" s="1079">
        <f>VLOOKUP($B2097,DG!A:D,DG!$B$2,)</f>
        <v>0</v>
      </c>
      <c r="F2097" s="1080" t="str">
        <f>VLOOKUP($B2097,DG!A:D,DG!$C$2,)</f>
        <v>Khâu ven răng trong D140</v>
      </c>
      <c r="G2097" s="1079" t="str">
        <f>VLOOKUP($B2097,DG!A:D,DG!$D$2,)</f>
        <v>cái</v>
      </c>
      <c r="H2097" s="1851">
        <f>H2077*2</f>
        <v>0</v>
      </c>
      <c r="I2097" s="1259">
        <f t="shared" si="119"/>
        <v>0</v>
      </c>
      <c r="J2097" s="1081"/>
      <c r="K2097" s="1081"/>
      <c r="L2097" s="1110"/>
      <c r="M2097" s="975">
        <v>560</v>
      </c>
    </row>
    <row r="2098" spans="1:13" s="1083" customFormat="1" ht="25.2" hidden="1" customHeight="1">
      <c r="A2098" s="1153">
        <f t="shared" si="120"/>
        <v>0</v>
      </c>
      <c r="B2098" s="1324" t="s">
        <v>1225</v>
      </c>
      <c r="C2098" s="1324"/>
      <c r="D2098" s="1090"/>
      <c r="E2098" s="1079">
        <f>VLOOKUP($B2098,DG!A:D,DG!$B$2,)</f>
        <v>0</v>
      </c>
      <c r="F2098" s="1080" t="str">
        <f>VLOOKUP($B2098,DG!A:D,DG!$C$2,)&amp;": "</f>
        <v xml:space="preserve">Khâu ven răng ngoài D140: </v>
      </c>
      <c r="G2098" s="1079" t="str">
        <f>VLOOKUP($B2098,DG!A:D,DG!$D$2,)</f>
        <v>cái</v>
      </c>
      <c r="H2098" s="1851">
        <f>H2097</f>
        <v>0</v>
      </c>
      <c r="I2098" s="1259">
        <f t="shared" si="119"/>
        <v>0</v>
      </c>
      <c r="J2098" s="1081"/>
      <c r="K2098" s="1081"/>
      <c r="L2098" s="1110"/>
      <c r="M2098" s="975">
        <v>560</v>
      </c>
    </row>
    <row r="2099" spans="1:13" s="1083" customFormat="1" ht="25.2" hidden="1" customHeight="1">
      <c r="A2099" s="1153">
        <f t="shared" si="120"/>
        <v>0</v>
      </c>
      <c r="B2099" s="1324" t="s">
        <v>2080</v>
      </c>
      <c r="C2099" s="1324"/>
      <c r="D2099" s="1090"/>
      <c r="E2099" s="1079">
        <f>VLOOKUP($B2099,DG!A:D,DG!$B$2,)</f>
        <v>0</v>
      </c>
      <c r="F2099" s="1080" t="str">
        <f>VLOOKUP($B2099,DG!A:D,DG!$C$2,)&amp;": "</f>
        <v xml:space="preserve">Keo dán ống PVC (100gr): </v>
      </c>
      <c r="G2099" s="1079" t="str">
        <f>VLOOKUP($B2099,DG!A:D,DG!$D$2,)</f>
        <v>tuýp</v>
      </c>
      <c r="H2099" s="1851">
        <f>H2077*2</f>
        <v>0</v>
      </c>
      <c r="I2099" s="1259">
        <f t="shared" ref="I2099:I2162" si="121">IF(M2099=$M$23,H2099+J2099-K2099,0)</f>
        <v>0</v>
      </c>
      <c r="J2099" s="1081"/>
      <c r="K2099" s="1081"/>
      <c r="L2099" s="1110"/>
      <c r="M2099" s="975">
        <v>560</v>
      </c>
    </row>
    <row r="2100" spans="1:13" s="1083" customFormat="1" ht="25.2" hidden="1" customHeight="1">
      <c r="A2100" s="1153">
        <f t="shared" si="120"/>
        <v>0</v>
      </c>
      <c r="B2100" s="1154" t="s">
        <v>6</v>
      </c>
      <c r="C2100" s="1154"/>
      <c r="D2100" s="1090"/>
      <c r="E2100" s="1079"/>
      <c r="F2100" s="1080" t="str">
        <f>VLOOKUP($B2100,DG!A:D,DG!$C$2,)&amp;":"</f>
        <v>Keo silicon bít miệng ống:</v>
      </c>
      <c r="G2100" s="1079" t="str">
        <f>VLOOKUP($B2100,DG!A:D,DG!$D$2,)</f>
        <v>ống</v>
      </c>
      <c r="H2100" s="1851">
        <f>H2077*2</f>
        <v>0</v>
      </c>
      <c r="I2100" s="1259">
        <f t="shared" si="121"/>
        <v>0</v>
      </c>
      <c r="J2100" s="1081"/>
      <c r="K2100" s="1081"/>
      <c r="L2100" s="1082"/>
      <c r="M2100" s="975">
        <v>560</v>
      </c>
    </row>
    <row r="2101" spans="1:13" s="1083" customFormat="1" ht="25.2" hidden="1" customHeight="1">
      <c r="A2101" s="1153">
        <f t="shared" si="120"/>
        <v>0</v>
      </c>
      <c r="B2101" s="1154" t="s">
        <v>672</v>
      </c>
      <c r="C2101" s="1154"/>
      <c r="D2101" s="1090"/>
      <c r="E2101" s="1079">
        <f>VLOOKUP($B2101,DG!A:D,DG!$B$2,)</f>
        <v>0</v>
      </c>
      <c r="F2101" s="1080" t="str">
        <f>VLOOKUP($B2101,DG!A:D,DG!$C$2,)&amp;":"</f>
        <v>Băng keo cách điện:</v>
      </c>
      <c r="G2101" s="1079" t="str">
        <f>VLOOKUP($B2101,DG!A:D,DG!$D$2,)</f>
        <v>cuộn</v>
      </c>
      <c r="H2101" s="1851">
        <f>H2077*2</f>
        <v>0</v>
      </c>
      <c r="I2101" s="1259">
        <f t="shared" si="121"/>
        <v>0</v>
      </c>
      <c r="J2101" s="1081"/>
      <c r="K2101" s="1081"/>
      <c r="L2101" s="1110"/>
      <c r="M2101" s="975">
        <v>560</v>
      </c>
    </row>
    <row r="2102" spans="1:13" s="1083" customFormat="1" ht="25.2" hidden="1" customHeight="1">
      <c r="A2102" s="1153">
        <f t="shared" si="120"/>
        <v>0</v>
      </c>
      <c r="B2102" s="1154" t="s">
        <v>247</v>
      </c>
      <c r="C2102" s="1154"/>
      <c r="D2102" s="1090"/>
      <c r="E2102" s="1079" t="str">
        <f>VLOOKUP($B2102,DG!A:D,DG!$B$2,)</f>
        <v>04.4203</v>
      </c>
      <c r="F2102" s="1080" t="str">
        <f>VLOOKUP($B2102,DG!A:D,DG!$C$2,)&amp;":"</f>
        <v>Lắp cáp đồng xuống thiết bị D &gt; 150mm2:</v>
      </c>
      <c r="G2102" s="1079" t="str">
        <f>VLOOKUP($B2102,DG!A:D,DG!$D$2,)</f>
        <v>m</v>
      </c>
      <c r="H2102" s="1851">
        <f>H2079+H2080+H2081</f>
        <v>0</v>
      </c>
      <c r="I2102" s="1259">
        <f t="shared" si="121"/>
        <v>0</v>
      </c>
      <c r="J2102" s="1081"/>
      <c r="K2102" s="1081"/>
      <c r="L2102" s="1110"/>
      <c r="M2102" s="975">
        <v>560</v>
      </c>
    </row>
    <row r="2103" spans="1:13" s="1083" customFormat="1" ht="25.2" hidden="1" customHeight="1">
      <c r="A2103" s="1153">
        <f t="shared" si="120"/>
        <v>0</v>
      </c>
      <c r="B2103" s="1154" t="s">
        <v>2010</v>
      </c>
      <c r="C2103" s="1154"/>
      <c r="D2103" s="1090"/>
      <c r="E2103" s="1079" t="str">
        <f>VLOOKUP($B2103,DG!A:D,DG!$B$2,)</f>
        <v>04.4202</v>
      </c>
      <c r="F2103" s="1080" t="str">
        <f>VLOOKUP($B2103,DG!A:D,DG!$C$2,)&amp;":"</f>
        <v>Lắp cáp đồng xuống thiết bị D ≤ 150mm2:</v>
      </c>
      <c r="G2103" s="1079" t="str">
        <f>VLOOKUP($B2103,DG!A:D,DG!$D$2,)</f>
        <v>m</v>
      </c>
      <c r="H2103" s="1851">
        <f>+H2082</f>
        <v>0</v>
      </c>
      <c r="I2103" s="1259">
        <f t="shared" si="121"/>
        <v>0</v>
      </c>
      <c r="J2103" s="1081"/>
      <c r="K2103" s="1081"/>
      <c r="L2103" s="1110"/>
      <c r="M2103" s="975">
        <v>560</v>
      </c>
    </row>
    <row r="2104" spans="1:13" s="1083" customFormat="1" ht="25.2" hidden="1" customHeight="1">
      <c r="A2104" s="1153">
        <f t="shared" si="120"/>
        <v>0</v>
      </c>
      <c r="B2104" s="1154" t="s">
        <v>1219</v>
      </c>
      <c r="C2104" s="1154"/>
      <c r="D2104" s="1090"/>
      <c r="E2104" s="1079" t="str">
        <f>VLOOKUP($B2104,DG!A:D,DG!$B$2,)</f>
        <v>06.3191</v>
      </c>
      <c r="F2104" s="1080" t="str">
        <f>VLOOKUP($B2104,DG!A:D,DG!$C$2,)&amp;":"</f>
        <v>Bảng tên trạm, bảng báo nguy hiểm + đinh vít:</v>
      </c>
      <c r="G2104" s="1079" t="str">
        <f>VLOOKUP($B2104,DG!A:D,DG!$D$2,)</f>
        <v>bộ</v>
      </c>
      <c r="H2104" s="1851">
        <f>H2077</f>
        <v>0</v>
      </c>
      <c r="I2104" s="1259">
        <f t="shared" si="121"/>
        <v>0</v>
      </c>
      <c r="J2104" s="1081"/>
      <c r="K2104" s="1081"/>
      <c r="L2104" s="1110"/>
      <c r="M2104" s="975">
        <v>560</v>
      </c>
    </row>
    <row r="2105" spans="1:13" s="1083" customFormat="1" ht="25.2" hidden="1" customHeight="1">
      <c r="A2105" s="1153">
        <f t="shared" si="120"/>
        <v>0</v>
      </c>
      <c r="B2105" s="1154"/>
      <c r="C2105" s="1154"/>
      <c r="D2105" s="1084">
        <f>IF(H2105&gt;0,D2077+1,D2077)</f>
        <v>0</v>
      </c>
      <c r="E2105" s="1085"/>
      <c r="F2105" s="1094" t="s">
        <v>3747</v>
      </c>
      <c r="G2105" s="1084" t="s">
        <v>2391</v>
      </c>
      <c r="H2105" s="1888">
        <f>H2077</f>
        <v>0</v>
      </c>
      <c r="I2105" s="1259">
        <f t="shared" si="121"/>
        <v>0</v>
      </c>
      <c r="J2105" s="1081"/>
      <c r="K2105" s="1081"/>
      <c r="L2105" s="1110"/>
      <c r="M2105" s="975">
        <v>560</v>
      </c>
    </row>
    <row r="2106" spans="1:13" s="1134" customFormat="1" ht="25.2" hidden="1" customHeight="1">
      <c r="A2106" s="1153">
        <f t="shared" si="120"/>
        <v>0</v>
      </c>
      <c r="B2106" s="1357"/>
      <c r="C2106" s="1357"/>
      <c r="D2106" s="1078"/>
      <c r="E2106" s="1088"/>
      <c r="F2106" s="1368" t="s">
        <v>2285</v>
      </c>
      <c r="G2106" s="1078"/>
      <c r="H2106" s="1868"/>
      <c r="I2106" s="1259">
        <f t="shared" si="121"/>
        <v>0</v>
      </c>
      <c r="J2106" s="1081"/>
      <c r="K2106" s="1081"/>
      <c r="L2106" s="1110"/>
      <c r="M2106" s="975">
        <v>560</v>
      </c>
    </row>
    <row r="2107" spans="1:13" s="1083" customFormat="1" ht="25.2" hidden="1" customHeight="1">
      <c r="A2107" s="1153">
        <f t="shared" si="120"/>
        <v>0</v>
      </c>
      <c r="B2107" s="1324" t="s">
        <v>1826</v>
      </c>
      <c r="C2107" s="1324"/>
      <c r="D2107" s="1110"/>
      <c r="E2107" s="1079" t="str">
        <f>VLOOKUP($B2107,DG!A:D,DG!$B$2,)</f>
        <v>03.1401</v>
      </c>
      <c r="F2107" s="1108" t="str">
        <f>VLOOKUP($B2107,DG!A:D,DG!$C$2,)</f>
        <v xml:space="preserve">Cáp CVV 4x2,5mm2  </v>
      </c>
      <c r="G2107" s="1135" t="str">
        <f>VLOOKUP($B2107,DG!A:D,DG!$D$2,)</f>
        <v>mét</v>
      </c>
      <c r="H2107" s="1851">
        <f>H2105*26</f>
        <v>0</v>
      </c>
      <c r="I2107" s="1259">
        <f t="shared" si="121"/>
        <v>0</v>
      </c>
      <c r="J2107" s="1131"/>
      <c r="K2107" s="1131"/>
      <c r="L2107" s="1110"/>
      <c r="M2107" s="975">
        <v>560</v>
      </c>
    </row>
    <row r="2108" spans="1:13" s="1083" customFormat="1" ht="25.2" hidden="1" customHeight="1">
      <c r="A2108" s="1153">
        <f t="shared" si="120"/>
        <v>0</v>
      </c>
      <c r="B2108" s="1324" t="s">
        <v>246</v>
      </c>
      <c r="C2108" s="1324"/>
      <c r="D2108" s="1110"/>
      <c r="E2108" s="1079" t="str">
        <f>VLOOKUP($B2108,DG!A:D,DG!$B$2,)</f>
        <v>05.6101</v>
      </c>
      <c r="F2108" s="1108" t="str">
        <f>VLOOKUP($B2108,DG!A:D,DG!$C$2,)</f>
        <v>Xà kẹp TU, TI U50x32x4 350</v>
      </c>
      <c r="G2108" s="1135" t="str">
        <f>VLOOKUP($B2108,DG!A:D,DG!$D$2,)</f>
        <v>Bộ</v>
      </c>
      <c r="H2108" s="1851">
        <f>H2105*12</f>
        <v>0</v>
      </c>
      <c r="I2108" s="1259">
        <f t="shared" si="121"/>
        <v>0</v>
      </c>
      <c r="J2108" s="1131"/>
      <c r="K2108" s="1131"/>
      <c r="L2108" s="1110"/>
      <c r="M2108" s="975">
        <v>560</v>
      </c>
    </row>
    <row r="2109" spans="1:13" s="1083" customFormat="1" ht="25.2" hidden="1" customHeight="1">
      <c r="A2109" s="1153">
        <f t="shared" si="120"/>
        <v>0</v>
      </c>
      <c r="B2109" s="1324" t="s">
        <v>468</v>
      </c>
      <c r="C2109" s="1324"/>
      <c r="D2109" s="1110"/>
      <c r="E2109" s="1079">
        <f>VLOOKUP($B2109,DG!A:D,DG!$B$2,)</f>
        <v>0</v>
      </c>
      <c r="F2109" s="1108" t="str">
        <f>VLOOKUP($B2109,DG!A:D,DG!$C$2,)</f>
        <v>Boulon 10x250+ 2 long đền vuông D14-50x50x3/Zn</v>
      </c>
      <c r="G2109" s="1135" t="str">
        <f>VLOOKUP($B2109,DG!A:D,DG!$D$2,)</f>
        <v>bộ</v>
      </c>
      <c r="H2109" s="1851">
        <f>H2108*4</f>
        <v>0</v>
      </c>
      <c r="I2109" s="1259">
        <f t="shared" si="121"/>
        <v>0</v>
      </c>
      <c r="J2109" s="1131"/>
      <c r="K2109" s="1131"/>
      <c r="L2109" s="1110"/>
      <c r="M2109" s="975">
        <v>560</v>
      </c>
    </row>
    <row r="2110" spans="1:13" s="1083" customFormat="1" ht="25.2" hidden="1" customHeight="1">
      <c r="A2110" s="1153">
        <f t="shared" si="120"/>
        <v>0</v>
      </c>
      <c r="B2110" s="1324" t="s">
        <v>1869</v>
      </c>
      <c r="C2110" s="1324"/>
      <c r="D2110" s="1090"/>
      <c r="E2110" s="1079" t="str">
        <f>VLOOKUP($B2110,DG!A:D,DG!$B$2,)</f>
        <v>03.4001</v>
      </c>
      <c r="F2110" s="1108" t="str">
        <f>VLOOKUP($B2110,DG!A:D,DG!$C$2,)</f>
        <v xml:space="preserve">Đầu cosse ép Cu 2,5mm2 + bao PVC </v>
      </c>
      <c r="G2110" s="1135" t="str">
        <f>VLOOKUP($B2110,DG!A:D,DG!$D$2,)</f>
        <v>cái</v>
      </c>
      <c r="H2110" s="1851">
        <f>H2105*16</f>
        <v>0</v>
      </c>
      <c r="I2110" s="1259">
        <f t="shared" si="121"/>
        <v>0</v>
      </c>
      <c r="J2110" s="1131"/>
      <c r="K2110" s="1131"/>
      <c r="L2110" s="1110"/>
      <c r="M2110" s="975">
        <v>560</v>
      </c>
    </row>
    <row r="2111" spans="1:13" s="1083" customFormat="1" ht="25.2" hidden="1" customHeight="1">
      <c r="A2111" s="1153">
        <f t="shared" si="120"/>
        <v>0</v>
      </c>
      <c r="B2111" s="1324" t="s">
        <v>1513</v>
      </c>
      <c r="C2111" s="1324"/>
      <c r="D2111" s="1090"/>
      <c r="E2111" s="1079">
        <f>VLOOKUP($B2111,DG!A:D,DG!$B$2,)</f>
        <v>0</v>
      </c>
      <c r="F2111" s="1108" t="str">
        <f>VLOOKUP($B2111,DG!A:D,DG!$C$2,)</f>
        <v>Dây điện đôi 16/10</v>
      </c>
      <c r="G2111" s="1135" t="str">
        <f>VLOOKUP($B2111,DG!A:D,DG!$D$2,)</f>
        <v>mét</v>
      </c>
      <c r="H2111" s="1851">
        <f>2*H2105</f>
        <v>0</v>
      </c>
      <c r="I2111" s="1259">
        <f t="shared" si="121"/>
        <v>0</v>
      </c>
      <c r="J2111" s="1131"/>
      <c r="K2111" s="1131"/>
      <c r="L2111" s="1110"/>
      <c r="M2111" s="975">
        <v>560</v>
      </c>
    </row>
    <row r="2112" spans="1:13" s="1083" customFormat="1" ht="25.2" hidden="1" customHeight="1">
      <c r="A2112" s="1153">
        <f t="shared" si="120"/>
        <v>0</v>
      </c>
      <c r="B2112" s="1324" t="s">
        <v>1114</v>
      </c>
      <c r="C2112" s="1324"/>
      <c r="D2112" s="1090"/>
      <c r="E2112" s="1079">
        <f>VLOOKUP($B2112,DG!A:D,DG!$B$2,)</f>
        <v>0</v>
      </c>
      <c r="F2112" s="1108" t="str">
        <f>VLOOKUP($B2112,DG!A:D,DG!$C$2,)&amp;" (ñaáu TU )"</f>
        <v>Kẹp ép cỡ dây 25mm2 (ñaáu TU )</v>
      </c>
      <c r="G2112" s="1135" t="str">
        <f>VLOOKUP($B2112,DG!A:D,DG!$D$2,)</f>
        <v>cái</v>
      </c>
      <c r="H2112" s="1851">
        <f>+H2105*3</f>
        <v>0</v>
      </c>
      <c r="I2112" s="1259">
        <f t="shared" si="121"/>
        <v>0</v>
      </c>
      <c r="J2112" s="1131"/>
      <c r="K2112" s="1131"/>
      <c r="L2112" s="1110"/>
      <c r="M2112" s="975">
        <v>560</v>
      </c>
    </row>
    <row r="2113" spans="1:13" s="1083" customFormat="1" ht="25.2" hidden="1" customHeight="1">
      <c r="A2113" s="1153">
        <f t="shared" si="120"/>
        <v>0</v>
      </c>
      <c r="B2113" s="1324" t="s">
        <v>2147</v>
      </c>
      <c r="C2113" s="1324"/>
      <c r="D2113" s="1090"/>
      <c r="E2113" s="1079" t="str">
        <f>VLOOKUP($B2113,DG!A:D,DG!$B$2,)</f>
        <v>07.2403</v>
      </c>
      <c r="F2113" s="1108" t="str">
        <f>VLOOKUP($B2113,DG!A:D,DG!$C$2,)</f>
        <v>Ống PVC D42x2,1mm</v>
      </c>
      <c r="G2113" s="1135" t="str">
        <f>VLOOKUP($B2113,DG!A:D,DG!$D$2,)</f>
        <v>m</v>
      </c>
      <c r="H2113" s="1851">
        <f>H2105*16</f>
        <v>0</v>
      </c>
      <c r="I2113" s="1259">
        <f t="shared" si="121"/>
        <v>0</v>
      </c>
      <c r="J2113" s="1131"/>
      <c r="K2113" s="1131"/>
      <c r="L2113" s="1110"/>
      <c r="M2113" s="975">
        <v>560</v>
      </c>
    </row>
    <row r="2114" spans="1:13" s="1083" customFormat="1" ht="25.2" hidden="1" customHeight="1">
      <c r="A2114" s="1153">
        <f t="shared" si="120"/>
        <v>0</v>
      </c>
      <c r="B2114" s="1154" t="s">
        <v>204</v>
      </c>
      <c r="C2114" s="1154"/>
      <c r="D2114" s="1090"/>
      <c r="E2114" s="1079" t="str">
        <f>VLOOKUP($B2114,DG!A:D,DG!$B$2,)</f>
        <v>06.3231</v>
      </c>
      <c r="F2114" s="1108" t="str">
        <f>VLOOKUP($B2114,DG!A:D,DG!$C$2,)&amp;": D230 01 bộ"</f>
        <v>Cổ dê giữ ống PVC D42: D230 01 bộ</v>
      </c>
      <c r="G2114" s="1135" t="str">
        <f>VLOOKUP($B2114,DG!A:D,DG!$D$2,)</f>
        <v>bộ</v>
      </c>
      <c r="H2114" s="1851">
        <f>0.459*H2105</f>
        <v>0</v>
      </c>
      <c r="I2114" s="1259">
        <f t="shared" si="121"/>
        <v>0</v>
      </c>
      <c r="J2114" s="1131"/>
      <c r="K2114" s="1131"/>
      <c r="L2114" s="1110"/>
      <c r="M2114" s="975">
        <v>560</v>
      </c>
    </row>
    <row r="2115" spans="1:13" s="1083" customFormat="1" ht="25.2" hidden="1" customHeight="1">
      <c r="A2115" s="1153">
        <f t="shared" si="120"/>
        <v>0</v>
      </c>
      <c r="B2115" s="1154" t="s">
        <v>204</v>
      </c>
      <c r="C2115" s="1154"/>
      <c r="D2115" s="1090"/>
      <c r="E2115" s="1079" t="str">
        <f>VLOOKUP($B2115,DG!A:D,DG!$B$2,)</f>
        <v>06.3231</v>
      </c>
      <c r="F2115" s="1108" t="str">
        <f>VLOOKUP($B2115,DG!A:D,DG!$C$2,)&amp;": D250 01 bộ"</f>
        <v>Cổ dê giữ ống PVC D42: D250 01 bộ</v>
      </c>
      <c r="G2115" s="1135" t="str">
        <f>VLOOKUP($B2115,DG!A:D,DG!$D$2,)</f>
        <v>bộ</v>
      </c>
      <c r="H2115" s="1851">
        <f>0.483*H2105</f>
        <v>0</v>
      </c>
      <c r="I2115" s="1259">
        <f t="shared" si="121"/>
        <v>0</v>
      </c>
      <c r="J2115" s="1131"/>
      <c r="K2115" s="1131"/>
      <c r="L2115" s="1110"/>
      <c r="M2115" s="975">
        <v>560</v>
      </c>
    </row>
    <row r="2116" spans="1:13" s="1083" customFormat="1" ht="25.2" hidden="1" customHeight="1">
      <c r="A2116" s="1153">
        <f t="shared" si="120"/>
        <v>0</v>
      </c>
      <c r="B2116" s="1154" t="s">
        <v>204</v>
      </c>
      <c r="C2116" s="1154"/>
      <c r="D2116" s="1090"/>
      <c r="E2116" s="1079" t="str">
        <f>VLOOKUP($B2116,DG!A:D,DG!$B$2,)</f>
        <v>06.3231</v>
      </c>
      <c r="F2116" s="1108" t="str">
        <f>VLOOKUP($B2116,DG!A:D,DG!$C$2,)&amp;": D280 01 bộ"</f>
        <v>Cổ dê giữ ống PVC D42: D280 01 bộ</v>
      </c>
      <c r="G2116" s="1135" t="str">
        <f>VLOOKUP($B2116,DG!A:D,DG!$D$2,)</f>
        <v>bộ</v>
      </c>
      <c r="H2116" s="1851">
        <f>H2105*0.52</f>
        <v>0</v>
      </c>
      <c r="I2116" s="1259">
        <f t="shared" si="121"/>
        <v>0</v>
      </c>
      <c r="J2116" s="1131"/>
      <c r="K2116" s="1131"/>
      <c r="L2116" s="1110"/>
      <c r="M2116" s="975">
        <v>560</v>
      </c>
    </row>
    <row r="2117" spans="1:13" s="1083" customFormat="1" ht="25.2" hidden="1" customHeight="1">
      <c r="A2117" s="1153">
        <f t="shared" si="120"/>
        <v>0</v>
      </c>
      <c r="B2117" s="1154" t="s">
        <v>204</v>
      </c>
      <c r="C2117" s="1154"/>
      <c r="D2117" s="1090"/>
      <c r="E2117" s="1079" t="str">
        <f>VLOOKUP($B2117,DG!A:D,DG!$B$2,)</f>
        <v>06.3231</v>
      </c>
      <c r="F2117" s="1108" t="str">
        <f>VLOOKUP($B2117,DG!A:D,DG!$C$2,)&amp;": D320 01 bộ"</f>
        <v>Cổ dê giữ ống PVC D42: D320 01 bộ</v>
      </c>
      <c r="G2117" s="1135" t="str">
        <f>VLOOKUP($B2117,DG!A:D,DG!$D$2,)</f>
        <v>bộ</v>
      </c>
      <c r="H2117" s="1851">
        <f>H2105*0.569</f>
        <v>0</v>
      </c>
      <c r="I2117" s="1259">
        <f t="shared" si="121"/>
        <v>0</v>
      </c>
      <c r="J2117" s="1131"/>
      <c r="K2117" s="1131"/>
      <c r="L2117" s="1110"/>
      <c r="M2117" s="975">
        <v>560</v>
      </c>
    </row>
    <row r="2118" spans="1:13" s="1083" customFormat="1" ht="25.2" hidden="1" customHeight="1">
      <c r="A2118" s="1153">
        <f t="shared" si="120"/>
        <v>0</v>
      </c>
      <c r="B2118" s="1154" t="s">
        <v>319</v>
      </c>
      <c r="C2118" s="1154"/>
      <c r="D2118" s="1090"/>
      <c r="E2118" s="1079" t="str">
        <f>VLOOKUP($B2118,DG!A:D,DG!$B$2,)</f>
        <v>06.3231</v>
      </c>
      <c r="F2118" s="1108" t="str">
        <f>VLOOKUP($B2118,DG!A:D,DG!$C$2,)&amp;": D320 02 bộ"</f>
        <v>Cổ dê CDĐKĐT( bắt thùng điện kế): D320 02 bộ</v>
      </c>
      <c r="G2118" s="1135" t="str">
        <f>VLOOKUP($B2118,DG!A:D,DG!$D$2,)</f>
        <v>bộ</v>
      </c>
      <c r="H2118" s="1851">
        <f>H2105*5.85*2</f>
        <v>0</v>
      </c>
      <c r="I2118" s="1259">
        <f t="shared" si="121"/>
        <v>0</v>
      </c>
      <c r="J2118" s="1131"/>
      <c r="K2118" s="1131"/>
      <c r="L2118" s="1110"/>
      <c r="M2118" s="975">
        <v>560</v>
      </c>
    </row>
    <row r="2119" spans="1:13" s="1083" customFormat="1" ht="25.2" hidden="1" customHeight="1">
      <c r="A2119" s="1153">
        <f t="shared" si="120"/>
        <v>0</v>
      </c>
      <c r="B2119" s="1154" t="s">
        <v>138</v>
      </c>
      <c r="C2119" s="1154"/>
      <c r="D2119" s="1090"/>
      <c r="E2119" s="1079">
        <f>VLOOKUP($B2119,DG!A:D,DG!$B$2,)</f>
        <v>0</v>
      </c>
      <c r="F2119" s="1108" t="str">
        <f>VLOOKUP($B2119,DG!A:D,DG!$C$2,)</f>
        <v>Boulon 12x40+ 2 long đền vuông D14-50x50x3/Zn</v>
      </c>
      <c r="G2119" s="1135" t="str">
        <f>VLOOKUP($B2119,DG!A:D,DG!$D$2,)</f>
        <v>bộ</v>
      </c>
      <c r="H2119" s="1851">
        <f>H2121*2</f>
        <v>0</v>
      </c>
      <c r="I2119" s="1259">
        <f t="shared" si="121"/>
        <v>0</v>
      </c>
      <c r="J2119" s="1131"/>
      <c r="K2119" s="1131"/>
      <c r="L2119" s="1110"/>
      <c r="M2119" s="975">
        <v>560</v>
      </c>
    </row>
    <row r="2120" spans="1:13" s="1083" customFormat="1" ht="25.2" hidden="1" customHeight="1">
      <c r="A2120" s="1153">
        <f t="shared" si="120"/>
        <v>0</v>
      </c>
      <c r="B2120" s="1154" t="s">
        <v>1353</v>
      </c>
      <c r="C2120" s="1154"/>
      <c r="D2120" s="1090"/>
      <c r="E2120" s="1079">
        <f>VLOOKUP($B2120,DG!A:D,DG!$B$2,)</f>
        <v>0</v>
      </c>
      <c r="F2120" s="1108" t="str">
        <f>VLOOKUP($B2120,DG!A:D,DG!$C$2,)</f>
        <v>Boulon 12x60+ 2 long đền vuông D14-50x50x3/Zn</v>
      </c>
      <c r="G2120" s="1135" t="str">
        <f>VLOOKUP($B2120,DG!A:D,DG!$D$2,)</f>
        <v>bộ</v>
      </c>
      <c r="H2120" s="1851">
        <f>H2119</f>
        <v>0</v>
      </c>
      <c r="I2120" s="1259">
        <f t="shared" si="121"/>
        <v>0</v>
      </c>
      <c r="J2120" s="1131"/>
      <c r="K2120" s="1131"/>
      <c r="L2120" s="1110"/>
      <c r="M2120" s="975">
        <v>560</v>
      </c>
    </row>
    <row r="2121" spans="1:13" s="1083" customFormat="1" ht="25.2" hidden="1" customHeight="1">
      <c r="A2121" s="1153">
        <f t="shared" si="120"/>
        <v>0</v>
      </c>
      <c r="B2121" s="1154" t="s">
        <v>1131</v>
      </c>
      <c r="C2121" s="1154"/>
      <c r="D2121" s="1090"/>
      <c r="E2121" s="1079" t="str">
        <f>VLOOKUP($B2121,DG!A:D,DG!$B$2,)</f>
        <v>06.2110</v>
      </c>
      <c r="F2121" s="1080" t="str">
        <f>VLOOKUP($B2121,DG!A:D,DG!$C$2,)</f>
        <v>Lắp cổ dề</v>
      </c>
      <c r="G2121" s="1079" t="str">
        <f>VLOOKUP($B2121,DG!A:D,DG!$D$2,)</f>
        <v>bộ</v>
      </c>
      <c r="H2121" s="1851">
        <f>H2105*6</f>
        <v>0</v>
      </c>
      <c r="I2121" s="1259">
        <f t="shared" si="121"/>
        <v>0</v>
      </c>
      <c r="J2121" s="1081"/>
      <c r="K2121" s="1081"/>
      <c r="L2121" s="1110"/>
      <c r="M2121" s="975">
        <v>560</v>
      </c>
    </row>
    <row r="2122" spans="1:13" s="1083" customFormat="1" ht="25.2" hidden="1" customHeight="1">
      <c r="A2122" s="1153">
        <f t="shared" si="120"/>
        <v>0</v>
      </c>
      <c r="B2122" s="1324" t="s">
        <v>1619</v>
      </c>
      <c r="C2122" s="1324"/>
      <c r="D2122" s="1090"/>
      <c r="E2122" s="1079">
        <f>VLOOKUP($B2122,DG!A:D,DG!$B$2,)</f>
        <v>0</v>
      </c>
      <c r="F2122" s="1108" t="str">
        <f>VLOOKUP($B2122,DG!A:D,DG!$C$2,)</f>
        <v>Co 90 độ PVC 42</v>
      </c>
      <c r="G2122" s="1135" t="str">
        <f>VLOOKUP($B2122,DG!A:D,DG!$D$2,)</f>
        <v>cái</v>
      </c>
      <c r="H2122" s="1851">
        <f>H2105*5</f>
        <v>0</v>
      </c>
      <c r="I2122" s="1259">
        <f t="shared" si="121"/>
        <v>0</v>
      </c>
      <c r="J2122" s="1131"/>
      <c r="K2122" s="1131"/>
      <c r="L2122" s="1110"/>
      <c r="M2122" s="975">
        <v>560</v>
      </c>
    </row>
    <row r="2123" spans="1:13" s="1083" customFormat="1" ht="25.2" hidden="1" customHeight="1">
      <c r="A2123" s="1153">
        <f t="shared" si="120"/>
        <v>0</v>
      </c>
      <c r="B2123" s="1324" t="s">
        <v>1050</v>
      </c>
      <c r="C2123" s="1324"/>
      <c r="D2123" s="1090"/>
      <c r="E2123" s="1079">
        <f>VLOOKUP($B2123,DG!A:D,DG!$B$2,)</f>
        <v>0</v>
      </c>
      <c r="F2123" s="1108" t="str">
        <f>VLOOKUP($B2123,DG!A:D,DG!$C$2,)</f>
        <v>Co chữ T ống PVC 42</v>
      </c>
      <c r="G2123" s="1135" t="str">
        <f>VLOOKUP($B2123,DG!A:D,DG!$D$2,)</f>
        <v>cái</v>
      </c>
      <c r="H2123" s="1851">
        <f>H2105*5</f>
        <v>0</v>
      </c>
      <c r="I2123" s="1259">
        <f t="shared" si="121"/>
        <v>0</v>
      </c>
      <c r="J2123" s="1131"/>
      <c r="K2123" s="1131"/>
      <c r="L2123" s="1110"/>
      <c r="M2123" s="975">
        <v>560</v>
      </c>
    </row>
    <row r="2124" spans="1:13" s="1083" customFormat="1" ht="25.2" hidden="1" customHeight="1">
      <c r="A2124" s="1153">
        <f t="shared" si="120"/>
        <v>0</v>
      </c>
      <c r="B2124" s="1324" t="s">
        <v>1917</v>
      </c>
      <c r="C2124" s="1324"/>
      <c r="D2124" s="1090"/>
      <c r="E2124" s="1079">
        <f>VLOOKUP($B2124,DG!A:D,DG!$B$2,)</f>
        <v>0</v>
      </c>
      <c r="F2124" s="1108" t="str">
        <f>VLOOKUP($B2124,DG!A:D,DG!$C$2,)</f>
        <v>Nối thẳng ống PVC 42</v>
      </c>
      <c r="G2124" s="1135" t="str">
        <f>VLOOKUP($B2124,DG!A:D,DG!$D$2,)</f>
        <v>cái</v>
      </c>
      <c r="H2124" s="1851">
        <f>H2105</f>
        <v>0</v>
      </c>
      <c r="I2124" s="1259">
        <f t="shared" si="121"/>
        <v>0</v>
      </c>
      <c r="J2124" s="1131"/>
      <c r="K2124" s="1131"/>
      <c r="L2124" s="1110"/>
      <c r="M2124" s="975">
        <v>560</v>
      </c>
    </row>
    <row r="2125" spans="1:13" s="1083" customFormat="1" ht="25.2" hidden="1" customHeight="1">
      <c r="A2125" s="1153">
        <f t="shared" si="120"/>
        <v>0</v>
      </c>
      <c r="B2125" s="1324" t="s">
        <v>726</v>
      </c>
      <c r="C2125" s="1324"/>
      <c r="D2125" s="1090"/>
      <c r="E2125" s="1079">
        <f>VLOOKUP($B2125,DG!A:D,DG!$B$2,)</f>
        <v>0</v>
      </c>
      <c r="F2125" s="1108" t="str">
        <f>VLOOKUP($B2125,DG!A:D,DG!$C$2,)</f>
        <v>Keo dán ống PVC (500gr)</v>
      </c>
      <c r="G2125" s="1135" t="str">
        <f>VLOOKUP($B2125,DG!A:D,DG!$D$2,)</f>
        <v>lon</v>
      </c>
      <c r="H2125" s="1851">
        <f>H2105</f>
        <v>0</v>
      </c>
      <c r="I2125" s="1259">
        <f t="shared" si="121"/>
        <v>0</v>
      </c>
      <c r="J2125" s="1131"/>
      <c r="K2125" s="1131"/>
      <c r="L2125" s="1110"/>
      <c r="M2125" s="975">
        <v>560</v>
      </c>
    </row>
    <row r="2126" spans="1:13" s="1083" customFormat="1" ht="25.2" hidden="1" customHeight="1">
      <c r="A2126" s="1153">
        <f t="shared" si="120"/>
        <v>0</v>
      </c>
      <c r="B2126" s="1154" t="s">
        <v>672</v>
      </c>
      <c r="C2126" s="1154"/>
      <c r="D2126" s="1090"/>
      <c r="E2126" s="1079">
        <f>VLOOKUP($B2126,DG!A:D,DG!$B$2,)</f>
        <v>0</v>
      </c>
      <c r="F2126" s="1108" t="str">
        <f>VLOOKUP($B2126,DG!A:D,DG!$C$2,)</f>
        <v>Băng keo cách điện</v>
      </c>
      <c r="G2126" s="1135" t="str">
        <f>VLOOKUP($B2126,DG!A:D,DG!$D$2,)</f>
        <v>cuộn</v>
      </c>
      <c r="H2126" s="1851">
        <f>H2105</f>
        <v>0</v>
      </c>
      <c r="I2126" s="1259">
        <f t="shared" si="121"/>
        <v>0</v>
      </c>
      <c r="J2126" s="1081"/>
      <c r="K2126" s="1081"/>
      <c r="L2126" s="1110"/>
      <c r="M2126" s="975">
        <v>560</v>
      </c>
    </row>
    <row r="2127" spans="1:13" s="1083" customFormat="1" ht="25.2" hidden="1" customHeight="1">
      <c r="A2127" s="1153">
        <f t="shared" si="120"/>
        <v>0</v>
      </c>
      <c r="B2127" s="1324" t="s">
        <v>2126</v>
      </c>
      <c r="C2127" s="1324"/>
      <c r="D2127" s="1090"/>
      <c r="E2127" s="1079">
        <f>VLOOKUP($B2127,DG!A:D,DG!$B$2,)</f>
        <v>0</v>
      </c>
      <c r="F2127" s="1108" t="str">
        <f>VLOOKUP($B2127,DG!A:D,DG!$C$2,)</f>
        <v>Khâu ven răng trong D42</v>
      </c>
      <c r="G2127" s="1135" t="str">
        <f>VLOOKUP($B2127,DG!A:D,DG!$D$2,)</f>
        <v>cái</v>
      </c>
      <c r="H2127" s="1851">
        <f>H2105</f>
        <v>0</v>
      </c>
      <c r="I2127" s="1259">
        <f t="shared" si="121"/>
        <v>0</v>
      </c>
      <c r="J2127" s="1081"/>
      <c r="K2127" s="1081"/>
      <c r="L2127" s="1110"/>
      <c r="M2127" s="975">
        <v>560</v>
      </c>
    </row>
    <row r="2128" spans="1:13" s="1083" customFormat="1" ht="25.2" hidden="1" customHeight="1">
      <c r="A2128" s="1153">
        <f t="shared" si="120"/>
        <v>0</v>
      </c>
      <c r="B2128" s="1154" t="s">
        <v>959</v>
      </c>
      <c r="C2128" s="1154"/>
      <c r="D2128" s="1090"/>
      <c r="E2128" s="1079">
        <f>VLOOKUP($B2128,DG!A:D,DG!$B$2,)</f>
        <v>0</v>
      </c>
      <c r="F2128" s="1108" t="str">
        <f>VLOOKUP($B2128,DG!A:D,DG!$C$2,)</f>
        <v>Khâu ven răng ngoài D42</v>
      </c>
      <c r="G2128" s="1135" t="str">
        <f>VLOOKUP($B2128,DG!A:D,DG!$D$2,)</f>
        <v>cái</v>
      </c>
      <c r="H2128" s="1851">
        <f>H2105</f>
        <v>0</v>
      </c>
      <c r="I2128" s="1259">
        <f t="shared" si="121"/>
        <v>0</v>
      </c>
      <c r="J2128" s="1081"/>
      <c r="K2128" s="1081"/>
      <c r="L2128" s="1110"/>
      <c r="M2128" s="975">
        <v>560</v>
      </c>
    </row>
    <row r="2129" spans="1:13" s="1083" customFormat="1" ht="25.2" hidden="1" customHeight="1">
      <c r="A2129" s="1153">
        <f t="shared" si="120"/>
        <v>0</v>
      </c>
      <c r="B2129" s="1154" t="s">
        <v>1919</v>
      </c>
      <c r="C2129" s="1154"/>
      <c r="D2129" s="1090"/>
      <c r="E2129" s="1079" t="str">
        <f>VLOOKUP($B2129,DG!A:D,DG!$B$2,)</f>
        <v>05.1101</v>
      </c>
      <c r="F2129" s="1108" t="str">
        <f>VLOOKUP($B2129,DG!A:D,DG!$C$2,)</f>
        <v>Thùng điện kế 450x300x200mm đo đếm trung thế</v>
      </c>
      <c r="G2129" s="1135" t="str">
        <f>VLOOKUP($B2129,DG!A:D,DG!$D$2,)</f>
        <v>cái</v>
      </c>
      <c r="H2129" s="1851">
        <f>H2105</f>
        <v>0</v>
      </c>
      <c r="I2129" s="1259">
        <f t="shared" si="121"/>
        <v>0</v>
      </c>
      <c r="J2129" s="1081"/>
      <c r="K2129" s="1081"/>
      <c r="L2129" s="1110"/>
      <c r="M2129" s="975">
        <v>560</v>
      </c>
    </row>
    <row r="2130" spans="1:13" s="1083" customFormat="1" ht="25.2" hidden="1" customHeight="1">
      <c r="A2130" s="1153">
        <f t="shared" si="120"/>
        <v>0</v>
      </c>
      <c r="B2130" s="1154" t="s">
        <v>6</v>
      </c>
      <c r="C2130" s="1154"/>
      <c r="D2130" s="1090"/>
      <c r="E2130" s="1079">
        <f>VLOOKUP($B2130,DG!A:D,DG!$B$2,)</f>
        <v>0</v>
      </c>
      <c r="F2130" s="1108" t="str">
        <f>VLOOKUP($B2130,DG!A:D,DG!$C$2,)</f>
        <v>Keo silicon bít miệng ống</v>
      </c>
      <c r="G2130" s="1135" t="str">
        <f>VLOOKUP($B2130,DG!A:D,DG!$D$2,)</f>
        <v>ống</v>
      </c>
      <c r="H2130" s="1851">
        <f>H2105</f>
        <v>0</v>
      </c>
      <c r="I2130" s="1259">
        <f t="shared" si="121"/>
        <v>0</v>
      </c>
      <c r="J2130" s="1081"/>
      <c r="K2130" s="1081"/>
      <c r="L2130" s="1110"/>
      <c r="M2130" s="975">
        <v>560</v>
      </c>
    </row>
    <row r="2131" spans="1:13" s="1083" customFormat="1" ht="25.2" hidden="1" customHeight="1">
      <c r="A2131" s="1153">
        <f t="shared" si="120"/>
        <v>0</v>
      </c>
      <c r="B2131" s="1154" t="s">
        <v>2145</v>
      </c>
      <c r="C2131" s="1154"/>
      <c r="D2131" s="1090"/>
      <c r="E2131" s="1079">
        <f>VLOOKUP($B2131,DG!A:D,DG!$B$2,)</f>
        <v>0</v>
      </c>
      <c r="F2131" s="1108" t="str">
        <f>VLOOKUP($B2131,DG!A:D,DG!$C$2,)</f>
        <v>Dây đồng trần mềm dẹt</v>
      </c>
      <c r="G2131" s="1135" t="str">
        <f>VLOOKUP($B2131,DG!A:D,DG!$D$2,)</f>
        <v>mét</v>
      </c>
      <c r="H2131" s="1851">
        <f>H2105*4</f>
        <v>0</v>
      </c>
      <c r="I2131" s="1259">
        <f t="shared" si="121"/>
        <v>0</v>
      </c>
      <c r="J2131" s="1081"/>
      <c r="K2131" s="1081"/>
      <c r="L2131" s="1110"/>
      <c r="M2131" s="975">
        <v>560</v>
      </c>
    </row>
    <row r="2132" spans="1:13" s="1083" customFormat="1" ht="25.2" hidden="1" customHeight="1">
      <c r="A2132" s="1153">
        <f t="shared" si="120"/>
        <v>0</v>
      </c>
      <c r="B2132" s="1154"/>
      <c r="C2132" s="1154"/>
      <c r="D2132" s="1115"/>
      <c r="E2132" s="1116"/>
      <c r="F2132" s="1105" t="s">
        <v>3748</v>
      </c>
      <c r="G2132" s="1105"/>
      <c r="H2132" s="1875"/>
      <c r="I2132" s="1259">
        <f t="shared" si="121"/>
        <v>0</v>
      </c>
      <c r="J2132" s="1105"/>
      <c r="K2132" s="1105"/>
      <c r="L2132" s="1136"/>
      <c r="M2132" s="975">
        <v>560</v>
      </c>
    </row>
    <row r="2133" spans="1:13" s="1083" customFormat="1" ht="25.2" hidden="1" customHeight="1">
      <c r="A2133" s="1153">
        <f t="shared" si="120"/>
        <v>0</v>
      </c>
      <c r="B2133" s="1154" t="s">
        <v>966</v>
      </c>
      <c r="C2133" s="1154"/>
      <c r="D2133" s="1090"/>
      <c r="E2133" s="1079" t="str">
        <f>VLOOKUP($B2133,DG!A:D,DG!$B$2,)</f>
        <v>02.5114</v>
      </c>
      <c r="F2133" s="1108" t="s">
        <v>3749</v>
      </c>
      <c r="G2133" s="1135" t="str">
        <f>VLOOKUP($B2133,DG!A:D,DG!$D$2,)</f>
        <v>cái</v>
      </c>
      <c r="H2133" s="1851"/>
      <c r="I2133" s="1259">
        <f t="shared" si="121"/>
        <v>0</v>
      </c>
      <c r="J2133" s="1081"/>
      <c r="K2133" s="1081"/>
      <c r="L2133" s="1110" t="s">
        <v>3750</v>
      </c>
      <c r="M2133" s="975">
        <v>560</v>
      </c>
    </row>
    <row r="2134" spans="1:13" s="1083" customFormat="1" ht="25.2" hidden="1" customHeight="1">
      <c r="A2134" s="1153">
        <f t="shared" si="120"/>
        <v>0</v>
      </c>
      <c r="B2134" s="1154" t="s">
        <v>1910</v>
      </c>
      <c r="C2134" s="1154"/>
      <c r="D2134" s="1090"/>
      <c r="E2134" s="1079" t="str">
        <f>VLOOKUP($B2134,DG!A:D,DG!$B$2,)</f>
        <v>05.6011</v>
      </c>
      <c r="F2134" s="1108" t="s">
        <v>2467</v>
      </c>
      <c r="G2134" s="1135" t="str">
        <f>VLOOKUP($B2134,DG!A:D,DG!$D$2,)</f>
        <v>bộ</v>
      </c>
      <c r="H2134" s="1851"/>
      <c r="I2134" s="1259">
        <f t="shared" si="121"/>
        <v>0</v>
      </c>
      <c r="J2134" s="1081"/>
      <c r="K2134" s="1081"/>
      <c r="L2134" s="1082"/>
      <c r="M2134" s="975">
        <v>560</v>
      </c>
    </row>
    <row r="2135" spans="1:13" s="1083" customFormat="1" ht="25.2" hidden="1" customHeight="1">
      <c r="A2135" s="1153">
        <f t="shared" si="120"/>
        <v>0</v>
      </c>
      <c r="B2135" s="1154"/>
      <c r="C2135" s="1154"/>
      <c r="D2135" s="1137"/>
      <c r="E2135" s="1138"/>
      <c r="F2135" s="1105"/>
      <c r="G2135" s="1139"/>
      <c r="H2135" s="1878"/>
      <c r="I2135" s="1259">
        <f t="shared" si="121"/>
        <v>0</v>
      </c>
      <c r="J2135" s="1140"/>
      <c r="K2135" s="1141"/>
      <c r="L2135" s="1107"/>
      <c r="M2135" s="975"/>
    </row>
    <row r="2136" spans="1:13" s="1083" customFormat="1" ht="25.2" hidden="1" customHeight="1">
      <c r="A2136" s="1153">
        <f t="shared" si="120"/>
        <v>0</v>
      </c>
      <c r="B2136" s="1154"/>
      <c r="C2136" s="1154"/>
      <c r="D2136" s="1142"/>
      <c r="F2136" s="1143"/>
      <c r="H2136" s="1880"/>
      <c r="I2136" s="1259">
        <f t="shared" si="121"/>
        <v>0</v>
      </c>
      <c r="M2136" s="975"/>
    </row>
    <row r="2137" spans="1:13" s="1083" customFormat="1" ht="25.2" hidden="1" customHeight="1">
      <c r="A2137" s="1153">
        <f t="shared" si="120"/>
        <v>0</v>
      </c>
      <c r="B2137" s="1350"/>
      <c r="C2137" s="1350"/>
      <c r="D2137" s="981" t="e">
        <f>"BAÛNG TOÅNG HÔÏP VAÄT LIEÄU, NHAÂN COÂNG, MAÙY THI COÂNG : "&amp;#REF!&amp;" TRAÏM 3P_630KVA"</f>
        <v>#REF!</v>
      </c>
      <c r="E2137" s="981"/>
      <c r="F2137" s="981"/>
      <c r="G2137" s="981"/>
      <c r="H2137" s="1872"/>
      <c r="I2137" s="1259">
        <f t="shared" si="121"/>
        <v>0</v>
      </c>
      <c r="J2137" s="1144"/>
      <c r="K2137" s="1144"/>
      <c r="L2137" s="1145"/>
      <c r="M2137" s="975"/>
    </row>
    <row r="2138" spans="1:13" s="1083" customFormat="1" ht="25.2" hidden="1" customHeight="1">
      <c r="A2138" s="1153">
        <f t="shared" ref="A2138:A2201" si="122">IF(I2138&gt;0,1,0)</f>
        <v>0</v>
      </c>
      <c r="B2138" s="1324"/>
      <c r="C2138" s="1324"/>
      <c r="D2138" s="1103"/>
      <c r="E2138" s="1104"/>
      <c r="F2138" s="1105" t="s">
        <v>3690</v>
      </c>
      <c r="G2138" s="1106"/>
      <c r="H2138" s="1908"/>
      <c r="I2138" s="1259">
        <f t="shared" si="121"/>
        <v>0</v>
      </c>
      <c r="J2138" s="1106"/>
      <c r="K2138" s="1106"/>
      <c r="L2138" s="1107"/>
      <c r="M2138" s="975">
        <v>630</v>
      </c>
    </row>
    <row r="2139" spans="1:13" s="1083" customFormat="1" ht="25.2" hidden="1" customHeight="1">
      <c r="A2139" s="1153">
        <f t="shared" si="122"/>
        <v>0</v>
      </c>
      <c r="B2139" s="1325" t="s">
        <v>956</v>
      </c>
      <c r="C2139" s="1325"/>
      <c r="D2139" s="1090">
        <f>IF(H2139&gt;0,1,0)</f>
        <v>0</v>
      </c>
      <c r="E2139" s="1079" t="str">
        <f>VLOOKUP($B2139,DG!A:D,DG!$B$2,)</f>
        <v>01.1146</v>
      </c>
      <c r="F2139" s="1080" t="str">
        <f>VLOOKUP($B2139,DG!A:D,DG!$C$2,)</f>
        <v>Máy biến áp 22/0,4kV- 630kVA</v>
      </c>
      <c r="G2139" s="1079" t="str">
        <f>VLOOKUP($B2139,DG!A:D,DG!$D$2,)</f>
        <v>máy</v>
      </c>
      <c r="H2139" s="1882">
        <f>L15</f>
        <v>0</v>
      </c>
      <c r="I2139" s="1259">
        <f t="shared" si="121"/>
        <v>0</v>
      </c>
      <c r="J2139" s="1108"/>
      <c r="K2139" s="1108"/>
      <c r="L2139" s="1109"/>
      <c r="M2139" s="975">
        <v>630</v>
      </c>
    </row>
    <row r="2140" spans="1:13" s="1083" customFormat="1" ht="25.2" hidden="1" customHeight="1">
      <c r="A2140" s="1153">
        <f t="shared" si="122"/>
        <v>0</v>
      </c>
      <c r="B2140" s="1325" t="s">
        <v>1655</v>
      </c>
      <c r="C2140" s="1325"/>
      <c r="D2140" s="1090">
        <f>IF(H2140&gt;0,D2139+1,D2139)</f>
        <v>0</v>
      </c>
      <c r="E2140" s="1079" t="str">
        <f>VLOOKUP($B2140,DG!A:D,DG!$B$2,)</f>
        <v>02.3155</v>
      </c>
      <c r="F2140" s="1080" t="str">
        <f>VLOOKUP($B2140,DG!A:D,DG!$C$2,)</f>
        <v>FCO 27kV - 100A</v>
      </c>
      <c r="G2140" s="1079" t="str">
        <f>VLOOKUP($B2140,DG!A:D,DG!$D$2,)</f>
        <v>cái</v>
      </c>
      <c r="H2140" s="1851">
        <f>H2139*3</f>
        <v>0</v>
      </c>
      <c r="I2140" s="1259">
        <f t="shared" si="121"/>
        <v>0</v>
      </c>
      <c r="J2140" s="1081"/>
      <c r="K2140" s="1081"/>
      <c r="L2140" s="1110"/>
      <c r="M2140" s="975">
        <v>630</v>
      </c>
    </row>
    <row r="2141" spans="1:13" s="1083" customFormat="1" ht="25.2" hidden="1" customHeight="1">
      <c r="A2141" s="1153">
        <f t="shared" si="122"/>
        <v>0</v>
      </c>
      <c r="B2141" s="1325" t="s">
        <v>4532</v>
      </c>
      <c r="C2141" s="1325"/>
      <c r="D2141" s="1090">
        <f t="shared" ref="D2141:D2147" si="123">IF(H2141&gt;0,D2140+1,D2140)</f>
        <v>0</v>
      </c>
      <c r="E2141" s="1079">
        <f>VLOOKUP($B2141,DG!A:D,DG!$B$2,)</f>
        <v>0</v>
      </c>
      <c r="F2141" s="1080" t="str">
        <f>VLOOKUP($B2141,DG!A:D,DG!$C$2,)</f>
        <v>Dây chảy 30K</v>
      </c>
      <c r="G2141" s="1079" t="str">
        <f>VLOOKUP($B2141,DG!A:D,DG!$D$2,)</f>
        <v>Sợi</v>
      </c>
      <c r="H2141" s="1851">
        <f>H2140</f>
        <v>0</v>
      </c>
      <c r="I2141" s="1259">
        <f t="shared" si="121"/>
        <v>0</v>
      </c>
      <c r="J2141" s="1081"/>
      <c r="K2141" s="1081"/>
      <c r="L2141" s="1110"/>
      <c r="M2141" s="975">
        <v>630</v>
      </c>
    </row>
    <row r="2142" spans="1:13" s="1083" customFormat="1" ht="25.2" hidden="1" customHeight="1">
      <c r="A2142" s="1153">
        <f t="shared" si="122"/>
        <v>0</v>
      </c>
      <c r="B2142" s="1324" t="s">
        <v>1376</v>
      </c>
      <c r="C2142" s="1324"/>
      <c r="D2142" s="1090">
        <f t="shared" si="123"/>
        <v>0</v>
      </c>
      <c r="E2142" s="1079" t="str">
        <f>VLOOKUP($B2142,DG!A:D,DG!$B$2,)</f>
        <v>02.5114</v>
      </c>
      <c r="F2142" s="1080" t="str">
        <f>VLOOKUP($B2142,DG!A:D,DG!$C$2,)</f>
        <v>Chống sét van LA-18KV-10KA</v>
      </c>
      <c r="G2142" s="1079" t="str">
        <f>VLOOKUP($B2142,DG!A:D,DG!$D$2,)</f>
        <v>cái</v>
      </c>
      <c r="H2142" s="1851">
        <f>H2140</f>
        <v>0</v>
      </c>
      <c r="I2142" s="1259">
        <f t="shared" si="121"/>
        <v>0</v>
      </c>
      <c r="J2142" s="1081"/>
      <c r="K2142" s="1081"/>
      <c r="L2142" s="1110"/>
      <c r="M2142" s="975">
        <v>630</v>
      </c>
    </row>
    <row r="2143" spans="1:13" s="1083" customFormat="1" ht="25.2" hidden="1" customHeight="1">
      <c r="A2143" s="1153">
        <f t="shared" si="122"/>
        <v>0</v>
      </c>
      <c r="B2143" s="1325" t="s">
        <v>882</v>
      </c>
      <c r="C2143" s="1325"/>
      <c r="D2143" s="1090">
        <f t="shared" si="123"/>
        <v>0</v>
      </c>
      <c r="E2143" s="1079" t="str">
        <f>VLOOKUP($B2143,DG!A:D,DG!$B$2,)</f>
        <v>02.8404</v>
      </c>
      <c r="F2143" s="1080" t="str">
        <f>VLOOKUP($B2143,DG!A:D,DG!$C$2,)</f>
        <v>MCCB 3 cực 400V -1000A - 50KA</v>
      </c>
      <c r="G2143" s="1079" t="str">
        <f>VLOOKUP($B2143,DG!A:D,DG!$D$2,)</f>
        <v>cái</v>
      </c>
      <c r="H2143" s="1851">
        <f>H2139</f>
        <v>0</v>
      </c>
      <c r="I2143" s="1259">
        <f t="shared" si="121"/>
        <v>0</v>
      </c>
      <c r="J2143" s="1081"/>
      <c r="K2143" s="1081"/>
      <c r="L2143" s="1110"/>
      <c r="M2143" s="975">
        <v>630</v>
      </c>
    </row>
    <row r="2144" spans="1:13" s="1083" customFormat="1" ht="25.2" hidden="1" customHeight="1">
      <c r="A2144" s="1153">
        <f t="shared" si="122"/>
        <v>0</v>
      </c>
      <c r="B2144" s="1325" t="s">
        <v>1466</v>
      </c>
      <c r="C2144" s="1325"/>
      <c r="D2144" s="1090">
        <f t="shared" si="123"/>
        <v>0</v>
      </c>
      <c r="E2144" s="1079" t="str">
        <f>VLOOKUP($B2144,DG!A:D,DG!$B$2,)</f>
        <v>02.8534</v>
      </c>
      <c r="F2144" s="1080" t="str">
        <f>VLOOKUP($B2144,DG!A:D,DG!$C$2,)</f>
        <v>Tủ tụ bù hạ thế 250kVAr</v>
      </c>
      <c r="G2144" s="1079" t="str">
        <f>VLOOKUP($B2144,DG!A:D,DG!$D$2,)</f>
        <v>tủ</v>
      </c>
      <c r="H2144" s="1851">
        <f>H2139</f>
        <v>0</v>
      </c>
      <c r="I2144" s="1259">
        <f t="shared" si="121"/>
        <v>0</v>
      </c>
      <c r="J2144" s="1081"/>
      <c r="K2144" s="1081"/>
      <c r="L2144" s="1110"/>
      <c r="M2144" s="975">
        <v>630</v>
      </c>
    </row>
    <row r="2145" spans="1:13" s="1083" customFormat="1" ht="25.2" hidden="1" customHeight="1">
      <c r="A2145" s="1153">
        <f t="shared" si="122"/>
        <v>0</v>
      </c>
      <c r="B2145" s="1325" t="s">
        <v>4531</v>
      </c>
      <c r="C2145" s="1325"/>
      <c r="D2145" s="1090">
        <f t="shared" si="123"/>
        <v>0</v>
      </c>
      <c r="E2145" s="1079" t="str">
        <f>VLOOKUP($B2145,DG!A:D,DG!$B$2,)</f>
        <v>02.1124</v>
      </c>
      <c r="F2145" s="1080" t="str">
        <f>VLOOKUP($B2145,DG!A:D,DG!$C$2,)</f>
        <v>Biến dòng 24kV  15/5A</v>
      </c>
      <c r="G2145" s="1079" t="str">
        <f>VLOOKUP($B2145,DG!A:D,DG!$D$2,)</f>
        <v>cái</v>
      </c>
      <c r="H2145" s="1883">
        <f>H2139*3</f>
        <v>0</v>
      </c>
      <c r="I2145" s="1259">
        <f t="shared" si="121"/>
        <v>0</v>
      </c>
      <c r="J2145" s="1081"/>
      <c r="K2145" s="1081"/>
      <c r="L2145" s="1111" t="s">
        <v>2609</v>
      </c>
      <c r="M2145" s="975">
        <v>630</v>
      </c>
    </row>
    <row r="2146" spans="1:13" s="1083" customFormat="1" ht="25.2" hidden="1" customHeight="1">
      <c r="A2146" s="1153">
        <f t="shared" si="122"/>
        <v>0</v>
      </c>
      <c r="B2146" s="1325" t="s">
        <v>4529</v>
      </c>
      <c r="C2146" s="1325"/>
      <c r="D2146" s="1090">
        <f t="shared" si="123"/>
        <v>0</v>
      </c>
      <c r="E2146" s="1079" t="str">
        <f>VLOOKUP($B2146,DG!A:D,DG!$B$2,)</f>
        <v>02.1114</v>
      </c>
      <c r="F2146" s="1080" t="str">
        <f>VLOOKUP($B2146,DG!A:D,DG!$C$2,)</f>
        <v>Biến điện áp 12000/120(60)V</v>
      </c>
      <c r="G2146" s="1079" t="str">
        <f>VLOOKUP($B2146,DG!A:D,DG!$D$2,)</f>
        <v>cái</v>
      </c>
      <c r="H2146" s="1883">
        <f>H2145</f>
        <v>0</v>
      </c>
      <c r="I2146" s="1259">
        <f t="shared" si="121"/>
        <v>0</v>
      </c>
      <c r="J2146" s="1081"/>
      <c r="K2146" s="1081"/>
      <c r="L2146" s="1111" t="s">
        <v>2609</v>
      </c>
      <c r="M2146" s="975">
        <v>630</v>
      </c>
    </row>
    <row r="2147" spans="1:13" s="1083" customFormat="1" ht="25.2" hidden="1" customHeight="1">
      <c r="A2147" s="1153">
        <f t="shared" si="122"/>
        <v>0</v>
      </c>
      <c r="B2147" s="1352" t="s">
        <v>1841</v>
      </c>
      <c r="C2147" s="1352"/>
      <c r="D2147" s="1090">
        <f t="shared" si="123"/>
        <v>0</v>
      </c>
      <c r="E2147" s="1079">
        <f>VLOOKUP($B2147,DG!A:D,DG!$B$2,)</f>
        <v>0</v>
      </c>
      <c r="F2147" s="1080" t="str">
        <f>VLOOKUP($B2147,DG!A:D,DG!$C$2,)</f>
        <v>Điện kế 3 pha điện tử 600V-5A</v>
      </c>
      <c r="G2147" s="1079" t="str">
        <f>VLOOKUP($B2147,DG!A:D,DG!$D$2,)</f>
        <v>cái</v>
      </c>
      <c r="H2147" s="1883">
        <f>H2139</f>
        <v>0</v>
      </c>
      <c r="I2147" s="1259">
        <f t="shared" si="121"/>
        <v>0</v>
      </c>
      <c r="J2147" s="1081"/>
      <c r="K2147" s="1081"/>
      <c r="L2147" s="1112" t="s">
        <v>2609</v>
      </c>
      <c r="M2147" s="975">
        <v>630</v>
      </c>
    </row>
    <row r="2148" spans="1:13" s="1083" customFormat="1" ht="25.2" hidden="1" customHeight="1">
      <c r="A2148" s="1153">
        <f t="shared" si="122"/>
        <v>0</v>
      </c>
      <c r="B2148" s="1324"/>
      <c r="C2148" s="1324"/>
      <c r="D2148" s="1113"/>
      <c r="E2148" s="1114"/>
      <c r="F2148" s="1076"/>
      <c r="G2148" s="1113"/>
      <c r="H2148" s="1861"/>
      <c r="I2148" s="1259">
        <f t="shared" si="121"/>
        <v>0</v>
      </c>
      <c r="J2148" s="1076"/>
      <c r="K2148" s="1113"/>
      <c r="L2148" s="1107"/>
      <c r="M2148" s="975">
        <v>630</v>
      </c>
    </row>
    <row r="2149" spans="1:13" s="1083" customFormat="1" ht="25.2" hidden="1" customHeight="1">
      <c r="A2149" s="1153">
        <f t="shared" si="122"/>
        <v>0</v>
      </c>
      <c r="B2149" s="1324"/>
      <c r="C2149" s="1324"/>
      <c r="D2149" s="1115"/>
      <c r="E2149" s="1116"/>
      <c r="F2149" s="1105" t="s">
        <v>3691</v>
      </c>
      <c r="G2149" s="1105"/>
      <c r="H2149" s="1875"/>
      <c r="I2149" s="1259">
        <f t="shared" si="121"/>
        <v>0</v>
      </c>
      <c r="J2149" s="1105"/>
      <c r="K2149" s="1105"/>
      <c r="L2149" s="1107"/>
      <c r="M2149" s="975">
        <v>630</v>
      </c>
    </row>
    <row r="2150" spans="1:13" s="1083" customFormat="1" ht="25.2" hidden="1" customHeight="1">
      <c r="A2150" s="1153">
        <f t="shared" si="122"/>
        <v>0</v>
      </c>
      <c r="B2150" s="1353"/>
      <c r="C2150" s="1353"/>
      <c r="D2150" s="1117">
        <f>IF(H2150&gt;0,1,0)</f>
        <v>0</v>
      </c>
      <c r="E2150" s="1118"/>
      <c r="F2150" s="1119" t="s">
        <v>3729</v>
      </c>
      <c r="G2150" s="1120" t="s">
        <v>2283</v>
      </c>
      <c r="H2150" s="1884">
        <f>H2139*2*0</f>
        <v>0</v>
      </c>
      <c r="I2150" s="1259">
        <f t="shared" si="121"/>
        <v>0</v>
      </c>
      <c r="J2150" s="1121"/>
      <c r="K2150" s="1121"/>
      <c r="L2150" s="1110"/>
      <c r="M2150" s="975">
        <v>630</v>
      </c>
    </row>
    <row r="2151" spans="1:13" s="1083" customFormat="1" ht="25.2" hidden="1" customHeight="1">
      <c r="A2151" s="1153">
        <f t="shared" si="122"/>
        <v>0</v>
      </c>
      <c r="B2151" s="1154" t="s">
        <v>115</v>
      </c>
      <c r="C2151" s="1154"/>
      <c r="D2151" s="1122"/>
      <c r="E2151" s="1079"/>
      <c r="F2151" s="1123" t="str">
        <f>VLOOKUP($B2151,DG!A:D,DG!$C$2,)</f>
        <v>Trụ BTLT 12m F350 dự ứng lực</v>
      </c>
      <c r="G2151" s="1079" t="str">
        <f>VLOOKUP($B2151,DG!A:D,DG!$D$2,)</f>
        <v>trụ</v>
      </c>
      <c r="H2151" s="1885">
        <f>H2150</f>
        <v>0</v>
      </c>
      <c r="I2151" s="1259">
        <f t="shared" si="121"/>
        <v>0</v>
      </c>
      <c r="J2151" s="1108"/>
      <c r="K2151" s="1078"/>
      <c r="L2151" s="1110"/>
      <c r="M2151" s="975">
        <v>630</v>
      </c>
    </row>
    <row r="2152" spans="1:13" s="1083" customFormat="1" ht="25.2" hidden="1" customHeight="1">
      <c r="A2152" s="1153">
        <f t="shared" si="122"/>
        <v>0</v>
      </c>
      <c r="B2152" s="1154" t="s">
        <v>1818</v>
      </c>
      <c r="C2152" s="1154"/>
      <c r="D2152" s="1122"/>
      <c r="E2152" s="1079"/>
      <c r="F2152" s="1123" t="str">
        <f>VLOOKUP($B2152,DG!A:D,DG!$C$2,)</f>
        <v>Vật liệu dựng trụ</v>
      </c>
      <c r="G2152" s="1079" t="str">
        <f>VLOOKUP($B2152,DG!A:D,DG!$D$2,)</f>
        <v>trụ</v>
      </c>
      <c r="H2152" s="1885">
        <f>H2151</f>
        <v>0</v>
      </c>
      <c r="I2152" s="1259">
        <f t="shared" si="121"/>
        <v>0</v>
      </c>
      <c r="J2152" s="1078"/>
      <c r="K2152" s="1078"/>
      <c r="L2152" s="1110"/>
      <c r="M2152" s="975">
        <v>630</v>
      </c>
    </row>
    <row r="2153" spans="1:13" s="1083" customFormat="1" ht="25.2" hidden="1" customHeight="1">
      <c r="A2153" s="1153">
        <f t="shared" si="122"/>
        <v>0</v>
      </c>
      <c r="B2153" s="1154" t="s">
        <v>643</v>
      </c>
      <c r="C2153" s="1154"/>
      <c r="D2153" s="1122"/>
      <c r="E2153" s="1079" t="str">
        <f>VLOOKUP($B2153,DG!A:D,DG!$B$2,)</f>
        <v>04.9203</v>
      </c>
      <c r="F2153" s="1123" t="str">
        <f>VLOOKUP($B2153,DG!A:D,DG!$C$2,)</f>
        <v>Dựng trụ BTLT 12m trong TBA bằng thủ công + cơ giới</v>
      </c>
      <c r="G2153" s="1079" t="str">
        <f>VLOOKUP($B2153,DG!A:D,DG!$D$2,)</f>
        <v>trụ</v>
      </c>
      <c r="H2153" s="1885">
        <f>H2151</f>
        <v>0</v>
      </c>
      <c r="I2153" s="1259">
        <f t="shared" si="121"/>
        <v>0</v>
      </c>
      <c r="J2153" s="1108"/>
      <c r="K2153" s="1108"/>
      <c r="L2153" s="1110"/>
      <c r="M2153" s="975">
        <v>630</v>
      </c>
    </row>
    <row r="2154" spans="1:13" s="1083" customFormat="1" ht="25.2" hidden="1" customHeight="1">
      <c r="A2154" s="1153">
        <f t="shared" si="122"/>
        <v>0</v>
      </c>
      <c r="B2154" s="1353"/>
      <c r="C2154" s="1353"/>
      <c r="D2154" s="1117">
        <f>IF(H2154&gt;0,1,0)</f>
        <v>0</v>
      </c>
      <c r="E2154" s="1118"/>
      <c r="F2154" s="1119" t="s">
        <v>3730</v>
      </c>
      <c r="G2154" s="1120" t="s">
        <v>2283</v>
      </c>
      <c r="H2154" s="1884">
        <f>H2139*2*0</f>
        <v>0</v>
      </c>
      <c r="I2154" s="1259">
        <f t="shared" si="121"/>
        <v>0</v>
      </c>
      <c r="J2154" s="1121"/>
      <c r="K2154" s="1121"/>
      <c r="L2154" s="1082"/>
      <c r="M2154" s="975">
        <v>630</v>
      </c>
    </row>
    <row r="2155" spans="1:13" s="1083" customFormat="1" ht="25.2" hidden="1" customHeight="1">
      <c r="A2155" s="1153">
        <f t="shared" si="122"/>
        <v>0</v>
      </c>
      <c r="B2155" s="1154" t="s">
        <v>114</v>
      </c>
      <c r="C2155" s="1154"/>
      <c r="D2155" s="1122"/>
      <c r="E2155" s="1079"/>
      <c r="F2155" s="1123" t="str">
        <f>VLOOKUP($B2155,DG!A:D,DG!$C$2,)</f>
        <v>Trụ BTLT 10,5m F350 dự ứng lực</v>
      </c>
      <c r="G2155" s="1079" t="str">
        <f>VLOOKUP($B2155,DG!A:D,DG!$D$2,)</f>
        <v>trụ</v>
      </c>
      <c r="H2155" s="1885">
        <f>H2154</f>
        <v>0</v>
      </c>
      <c r="I2155" s="1259">
        <f t="shared" si="121"/>
        <v>0</v>
      </c>
      <c r="J2155" s="1108"/>
      <c r="K2155" s="1078"/>
      <c r="L2155" s="1082"/>
      <c r="M2155" s="975">
        <v>630</v>
      </c>
    </row>
    <row r="2156" spans="1:13" s="1083" customFormat="1" ht="25.2" hidden="1" customHeight="1">
      <c r="A2156" s="1153">
        <f t="shared" si="122"/>
        <v>0</v>
      </c>
      <c r="B2156" s="1154" t="s">
        <v>1818</v>
      </c>
      <c r="C2156" s="1154"/>
      <c r="D2156" s="1122"/>
      <c r="E2156" s="1079"/>
      <c r="F2156" s="1123" t="str">
        <f>VLOOKUP($B2156,DG!A:D,DG!$C$2,)</f>
        <v>Vật liệu dựng trụ</v>
      </c>
      <c r="G2156" s="1079" t="str">
        <f>VLOOKUP($B2156,DG!A:D,DG!$D$2,)</f>
        <v>trụ</v>
      </c>
      <c r="H2156" s="1885">
        <f>H2155</f>
        <v>0</v>
      </c>
      <c r="I2156" s="1259">
        <f t="shared" si="121"/>
        <v>0</v>
      </c>
      <c r="J2156" s="1078"/>
      <c r="K2156" s="1078"/>
      <c r="L2156" s="1082"/>
      <c r="M2156" s="975">
        <v>630</v>
      </c>
    </row>
    <row r="2157" spans="1:13" s="1083" customFormat="1" ht="25.2" hidden="1" customHeight="1">
      <c r="A2157" s="1153">
        <f t="shared" si="122"/>
        <v>0</v>
      </c>
      <c r="B2157" s="1154" t="s">
        <v>644</v>
      </c>
      <c r="C2157" s="1154"/>
      <c r="D2157" s="1122"/>
      <c r="E2157" s="1079" t="str">
        <f>VLOOKUP($B2157,DG!A:D,DG!$B$2,)</f>
        <v>04.9203</v>
      </c>
      <c r="F2157" s="1123" t="str">
        <f>VLOOKUP($B2157,DG!A:D,DG!$C$2,)</f>
        <v>Dựng trụ BTLT 10,5m trong TBA bằng thủ công + cơ giới</v>
      </c>
      <c r="G2157" s="1079" t="str">
        <f>VLOOKUP($B2157,DG!A:D,DG!$D$2,)</f>
        <v>trụ</v>
      </c>
      <c r="H2157" s="1885">
        <f>H2155</f>
        <v>0</v>
      </c>
      <c r="I2157" s="1259">
        <f t="shared" si="121"/>
        <v>0</v>
      </c>
      <c r="J2157" s="1108"/>
      <c r="K2157" s="1108"/>
      <c r="L2157" s="1082"/>
      <c r="M2157" s="975">
        <v>630</v>
      </c>
    </row>
    <row r="2158" spans="1:13" s="1083" customFormat="1" ht="25.2" hidden="1" customHeight="1">
      <c r="A2158" s="1153">
        <f t="shared" si="122"/>
        <v>0</v>
      </c>
      <c r="B2158" s="1354"/>
      <c r="C2158" s="1354"/>
      <c r="D2158" s="1084">
        <f>IF(H2158&gt;0,D2150+1,D2150)</f>
        <v>0</v>
      </c>
      <c r="E2158" s="1118"/>
      <c r="F2158" s="1119" t="s">
        <v>2358</v>
      </c>
      <c r="G2158" s="1120" t="s">
        <v>2333</v>
      </c>
      <c r="H2158" s="1884">
        <f>H2150</f>
        <v>0</v>
      </c>
      <c r="I2158" s="1259">
        <f t="shared" si="121"/>
        <v>0</v>
      </c>
      <c r="J2158" s="1078"/>
      <c r="K2158" s="1078"/>
      <c r="L2158" s="1110"/>
      <c r="M2158" s="975">
        <v>630</v>
      </c>
    </row>
    <row r="2159" spans="1:13" s="1083" customFormat="1" ht="25.2" hidden="1" customHeight="1">
      <c r="A2159" s="1153">
        <f t="shared" si="122"/>
        <v>0</v>
      </c>
      <c r="B2159" s="1331" t="s">
        <v>636</v>
      </c>
      <c r="C2159" s="1331"/>
      <c r="D2159" s="1122"/>
      <c r="E2159" s="1079" t="str">
        <f>VLOOKUP($B2159,DG!A:D,DG!$B$2,)</f>
        <v>04.4001</v>
      </c>
      <c r="F2159" s="1124" t="str">
        <f>VLOOKUP($B2159,DG!A:D,DG!$C$2,)</f>
        <v>Đà cản BTCT 1,2m</v>
      </c>
      <c r="G2159" s="1091" t="str">
        <f>VLOOKUP($B2159,DG!A:D,DG!$D$2,)</f>
        <v>cái</v>
      </c>
      <c r="H2159" s="1885">
        <f>H2158</f>
        <v>0</v>
      </c>
      <c r="I2159" s="1259">
        <f t="shared" si="121"/>
        <v>0</v>
      </c>
      <c r="J2159" s="1108"/>
      <c r="K2159" s="1078"/>
      <c r="L2159" s="1110"/>
      <c r="M2159" s="975">
        <v>630</v>
      </c>
    </row>
    <row r="2160" spans="1:13" s="1083" customFormat="1" ht="25.2" hidden="1" customHeight="1">
      <c r="A2160" s="1153">
        <f t="shared" si="122"/>
        <v>0</v>
      </c>
      <c r="B2160" s="1331" t="s">
        <v>566</v>
      </c>
      <c r="C2160" s="1331"/>
      <c r="D2160" s="1122"/>
      <c r="E2160" s="1091"/>
      <c r="F2160" s="1124" t="str">
        <f>VLOOKUP($B2160,DG!A:D,DG!$C$2,)</f>
        <v>Boulon 22x650+ 2 long đền vuông D24-50x50x3/Zn</v>
      </c>
      <c r="G2160" s="1091" t="str">
        <f>VLOOKUP($B2160,DG!A:D,DG!$D$2,)</f>
        <v>bộ</v>
      </c>
      <c r="H2160" s="1885">
        <f>H2159</f>
        <v>0</v>
      </c>
      <c r="I2160" s="1259">
        <f t="shared" si="121"/>
        <v>0</v>
      </c>
      <c r="J2160" s="1124"/>
      <c r="K2160" s="1078"/>
      <c r="L2160" s="1110"/>
      <c r="M2160" s="975">
        <v>630</v>
      </c>
    </row>
    <row r="2161" spans="1:13" s="1083" customFormat="1" ht="25.2" hidden="1" customHeight="1">
      <c r="A2161" s="1153">
        <f t="shared" si="122"/>
        <v>0</v>
      </c>
      <c r="B2161" s="1331" t="str">
        <f>IF(chitiet!G5=1,"MDD1",IF(chitiet!G5=2,"MDD2",IF(chitiet!G5=3,"MDD3",IF(chitiet!G5=4,"MDD4"))))</f>
        <v>MDD3</v>
      </c>
      <c r="C2161" s="1331"/>
      <c r="D2161" s="1122"/>
      <c r="E2161" s="1091" t="str">
        <f>VLOOKUP($B2161,DG!A:D,DG!$B$2,)</f>
        <v>03.1013</v>
      </c>
      <c r="F2161" s="1124" t="str">
        <f>VLOOKUP($B2161,DG!A:D,DG!$C$2,)</f>
        <v>Đào hố móng đất cấp 3 sâu &gt;1m</v>
      </c>
      <c r="G2161" s="1091" t="str">
        <f>VLOOKUP($B2161,DG!A:D,DG!$D$2,)</f>
        <v>m3</v>
      </c>
      <c r="H2161" s="1886">
        <f>1.45*H2159</f>
        <v>0</v>
      </c>
      <c r="I2161" s="1259">
        <f t="shared" si="121"/>
        <v>0</v>
      </c>
      <c r="J2161" s="1125"/>
      <c r="K2161" s="1078"/>
      <c r="L2161" s="1110"/>
      <c r="M2161" s="975">
        <v>630</v>
      </c>
    </row>
    <row r="2162" spans="1:13" s="1083" customFormat="1" ht="25.2" hidden="1" customHeight="1">
      <c r="A2162" s="1153">
        <f t="shared" si="122"/>
        <v>0</v>
      </c>
      <c r="B2162" s="1331" t="str">
        <f>IF(chitiet!G5=1,"MDAP1",IF(chitiet!G5=2,"MDAP2",IF(chitiet!G5=3,"MDAP3",IF(chitiet!G5=4,"MDAP4"))))</f>
        <v>MDAP3</v>
      </c>
      <c r="C2162" s="1331"/>
      <c r="D2162" s="1122"/>
      <c r="E2162" s="1091" t="str">
        <f>VLOOKUP($B2162,DG!A:D,DG!$B$2,)</f>
        <v>03.4113</v>
      </c>
      <c r="F2162" s="1124" t="str">
        <f>VLOOKUP($B2162,DG!A:D,DG!$C$2,)</f>
        <v>Đắp đất hố móng, độ chặt k=0,95</v>
      </c>
      <c r="G2162" s="1091" t="str">
        <f>VLOOKUP($B2162,DG!A:D,DG!$D$2,)</f>
        <v>m3</v>
      </c>
      <c r="H2162" s="1886">
        <f>1.37*H2158</f>
        <v>0</v>
      </c>
      <c r="I2162" s="1259">
        <f t="shared" si="121"/>
        <v>0</v>
      </c>
      <c r="J2162" s="1125"/>
      <c r="K2162" s="1078"/>
      <c r="L2162" s="1110"/>
      <c r="M2162" s="975">
        <v>630</v>
      </c>
    </row>
    <row r="2163" spans="1:13" s="1083" customFormat="1" ht="25.2" hidden="1" customHeight="1">
      <c r="A2163" s="1153">
        <f t="shared" si="122"/>
        <v>0</v>
      </c>
      <c r="B2163" s="1354"/>
      <c r="C2163" s="1354"/>
      <c r="D2163" s="1084">
        <f>IF(H2163&gt;0,D2155+1,D2155)</f>
        <v>0</v>
      </c>
      <c r="E2163" s="1118"/>
      <c r="F2163" s="1119" t="s">
        <v>3731</v>
      </c>
      <c r="G2163" s="1120" t="s">
        <v>2333</v>
      </c>
      <c r="H2163" s="1884">
        <f>H2154*0</f>
        <v>0</v>
      </c>
      <c r="I2163" s="1259">
        <f t="shared" ref="I2163:I2226" si="124">IF(M2163=$M$23,H2163+J2163-K2163,0)</f>
        <v>0</v>
      </c>
      <c r="J2163" s="1078"/>
      <c r="K2163" s="1078"/>
      <c r="L2163" s="1082"/>
      <c r="M2163" s="975">
        <v>630</v>
      </c>
    </row>
    <row r="2164" spans="1:13" s="1083" customFormat="1" ht="25.2" hidden="1" customHeight="1">
      <c r="A2164" s="1153">
        <f t="shared" si="122"/>
        <v>0</v>
      </c>
      <c r="B2164" s="1331" t="s">
        <v>636</v>
      </c>
      <c r="C2164" s="1331"/>
      <c r="D2164" s="1122"/>
      <c r="E2164" s="1079" t="str">
        <f>VLOOKUP($B2164,DG!A:D,DG!$B$2,)</f>
        <v>04.4001</v>
      </c>
      <c r="F2164" s="1124" t="str">
        <f>VLOOKUP($B2164,DG!A:D,DG!$C$2,)</f>
        <v>Đà cản BTCT 1,2m</v>
      </c>
      <c r="G2164" s="1091" t="str">
        <f>VLOOKUP($B2164,DG!A:D,DG!$D$2,)</f>
        <v>cái</v>
      </c>
      <c r="H2164" s="1885">
        <f>H2163</f>
        <v>0</v>
      </c>
      <c r="I2164" s="1259">
        <f t="shared" si="124"/>
        <v>0</v>
      </c>
      <c r="J2164" s="1108"/>
      <c r="K2164" s="1078"/>
      <c r="L2164" s="1082"/>
      <c r="M2164" s="975">
        <v>630</v>
      </c>
    </row>
    <row r="2165" spans="1:13" s="1083" customFormat="1" ht="25.2" hidden="1" customHeight="1">
      <c r="A2165" s="1153">
        <f t="shared" si="122"/>
        <v>0</v>
      </c>
      <c r="B2165" s="1331" t="s">
        <v>566</v>
      </c>
      <c r="C2165" s="1331"/>
      <c r="D2165" s="1122"/>
      <c r="E2165" s="1091"/>
      <c r="F2165" s="1124" t="str">
        <f>VLOOKUP($B2165,DG!A:D,DG!$C$2,)</f>
        <v>Boulon 22x650+ 2 long đền vuông D24-50x50x3/Zn</v>
      </c>
      <c r="G2165" s="1091" t="str">
        <f>VLOOKUP($B2165,DG!A:D,DG!$D$2,)</f>
        <v>bộ</v>
      </c>
      <c r="H2165" s="1885">
        <f>H2164</f>
        <v>0</v>
      </c>
      <c r="I2165" s="1259">
        <f t="shared" si="124"/>
        <v>0</v>
      </c>
      <c r="J2165" s="1124"/>
      <c r="K2165" s="1078"/>
      <c r="L2165" s="1082"/>
      <c r="M2165" s="975">
        <v>630</v>
      </c>
    </row>
    <row r="2166" spans="1:13" s="1083" customFormat="1" ht="25.2" hidden="1" customHeight="1">
      <c r="A2166" s="1153">
        <f t="shared" si="122"/>
        <v>0</v>
      </c>
      <c r="B2166" s="1331" t="str">
        <f>IF(chitiet!G5=1,"MDD1",IF(chitiet!G5=2,"MDD2",IF(chitiet!G5=3,"MDD3",IF(chitiet!G5=4,"MDD4"))))</f>
        <v>MDD3</v>
      </c>
      <c r="C2166" s="1331"/>
      <c r="D2166" s="1122"/>
      <c r="E2166" s="1091" t="str">
        <f>VLOOKUP($B2166,DG!A:D,DG!$B$2,)</f>
        <v>03.1013</v>
      </c>
      <c r="F2166" s="1124" t="str">
        <f>VLOOKUP($B2166,DG!A:D,DG!$C$2,)</f>
        <v>Đào hố móng đất cấp 3 sâu &gt;1m</v>
      </c>
      <c r="G2166" s="1091" t="str">
        <f>VLOOKUP($B2166,DG!A:D,DG!$D$2,)</f>
        <v>m3</v>
      </c>
      <c r="H2166" s="1886">
        <f>1.48*H2164</f>
        <v>0</v>
      </c>
      <c r="I2166" s="1259">
        <f t="shared" si="124"/>
        <v>0</v>
      </c>
      <c r="J2166" s="1125"/>
      <c r="K2166" s="1078"/>
      <c r="L2166" s="1082"/>
      <c r="M2166" s="975">
        <v>630</v>
      </c>
    </row>
    <row r="2167" spans="1:13" s="1083" customFormat="1" ht="25.2" hidden="1" customHeight="1">
      <c r="A2167" s="1153">
        <f t="shared" si="122"/>
        <v>0</v>
      </c>
      <c r="B2167" s="1331" t="str">
        <f>IF(chitiet!G5=1,"MDAP1",IF(chitiet!G5=2,"MDAP2",IF(chitiet!G5=3,"MDAP3",IF(chitiet!G5=4,"MDAP4"))))</f>
        <v>MDAP3</v>
      </c>
      <c r="C2167" s="1331"/>
      <c r="D2167" s="1122"/>
      <c r="E2167" s="1091" t="str">
        <f>VLOOKUP($B2167,DG!A:D,DG!$B$2,)</f>
        <v>03.4113</v>
      </c>
      <c r="F2167" s="1124" t="str">
        <f>VLOOKUP($B2167,DG!A:D,DG!$C$2,)</f>
        <v>Đắp đất hố móng, độ chặt k=0,95</v>
      </c>
      <c r="G2167" s="1091" t="str">
        <f>VLOOKUP($B2167,DG!A:D,DG!$D$2,)</f>
        <v>m3</v>
      </c>
      <c r="H2167" s="1886">
        <f>1.39*H2163</f>
        <v>0</v>
      </c>
      <c r="I2167" s="1259">
        <f t="shared" si="124"/>
        <v>0</v>
      </c>
      <c r="J2167" s="1125"/>
      <c r="K2167" s="1078"/>
      <c r="L2167" s="1082"/>
      <c r="M2167" s="975">
        <v>630</v>
      </c>
    </row>
    <row r="2168" spans="1:13" s="1083" customFormat="1" ht="25.2" hidden="1" customHeight="1">
      <c r="A2168" s="1153">
        <f t="shared" si="122"/>
        <v>0</v>
      </c>
      <c r="B2168" s="1324"/>
      <c r="C2168" s="1324"/>
      <c r="D2168" s="1084">
        <f>IF(H2168&gt;0,D2158+1,D2158)</f>
        <v>0</v>
      </c>
      <c r="E2168" s="1126"/>
      <c r="F2168" s="1119" t="s">
        <v>3732</v>
      </c>
      <c r="G2168" s="1117" t="s">
        <v>2391</v>
      </c>
      <c r="H2168" s="1887">
        <f>H2139*1</f>
        <v>0</v>
      </c>
      <c r="I2168" s="1259">
        <f t="shared" si="124"/>
        <v>0</v>
      </c>
      <c r="J2168" s="1127"/>
      <c r="K2168" s="1127"/>
      <c r="L2168" s="1082"/>
      <c r="M2168" s="975">
        <v>630</v>
      </c>
    </row>
    <row r="2169" spans="1:13" s="1083" customFormat="1" ht="25.2" hidden="1" customHeight="1">
      <c r="A2169" s="1153">
        <f t="shared" si="122"/>
        <v>0</v>
      </c>
      <c r="B2169" s="1324"/>
      <c r="C2169" s="1324"/>
      <c r="D2169" s="1078"/>
      <c r="E2169" s="1128"/>
      <c r="F2169" s="1367" t="s">
        <v>2285</v>
      </c>
      <c r="G2169" s="1090"/>
      <c r="H2169" s="1851"/>
      <c r="I2169" s="1259">
        <f t="shared" si="124"/>
        <v>0</v>
      </c>
      <c r="J2169" s="1129"/>
      <c r="K2169" s="1129"/>
      <c r="L2169" s="1082"/>
      <c r="M2169" s="975">
        <v>630</v>
      </c>
    </row>
    <row r="2170" spans="1:13" s="1083" customFormat="1" ht="25.2" hidden="1" customHeight="1">
      <c r="A2170" s="1153">
        <f t="shared" si="122"/>
        <v>0</v>
      </c>
      <c r="B2170" s="1154" t="s">
        <v>1136</v>
      </c>
      <c r="C2170" s="1154"/>
      <c r="D2170" s="1078"/>
      <c r="E2170" s="1091" t="str">
        <f>VLOOKUP($B2170,DG!A:D,DG!$B$2,)</f>
        <v>05.6105</v>
      </c>
      <c r="F2170" s="1080" t="str">
        <f>VLOOKUP($B2170,DG!A:D,DG!$C$2,)&amp;": 2 cái"</f>
        <v>Đà U160x68x5x2800 đỡ MBA: 2 cái</v>
      </c>
      <c r="G2170" s="1079" t="str">
        <f>VLOOKUP($B2170,DG!A:D,DG!$D$2,)</f>
        <v>cái</v>
      </c>
      <c r="H2170" s="1851">
        <f>52.049*H2168*2</f>
        <v>0</v>
      </c>
      <c r="I2170" s="1259">
        <f t="shared" si="124"/>
        <v>0</v>
      </c>
      <c r="J2170" s="1108"/>
      <c r="K2170" s="1108"/>
      <c r="L2170" s="1082"/>
      <c r="M2170" s="975">
        <v>630</v>
      </c>
    </row>
    <row r="2171" spans="1:13" s="1083" customFormat="1" ht="25.2" hidden="1" customHeight="1">
      <c r="A2171" s="1153">
        <f t="shared" si="122"/>
        <v>0</v>
      </c>
      <c r="B2171" s="1154" t="s">
        <v>1137</v>
      </c>
      <c r="C2171" s="1154"/>
      <c r="D2171" s="1078"/>
      <c r="E2171" s="1091" t="str">
        <f>VLOOKUP($B2171,DG!A:D,DG!$B$2,)</f>
        <v>05.6101</v>
      </c>
      <c r="F2171" s="1080" t="str">
        <f>VLOOKUP($B2171,DG!A:D,DG!$C$2,)&amp;": 4 cái"</f>
        <v>Đà U100x46x4.5x400 : 4 cái</v>
      </c>
      <c r="G2171" s="1079" t="str">
        <f>VLOOKUP($B2171,DG!A:D,DG!$D$2,)</f>
        <v>cái</v>
      </c>
      <c r="H2171" s="1851">
        <f>H2168*2.713*4</f>
        <v>0</v>
      </c>
      <c r="I2171" s="1259">
        <f t="shared" si="124"/>
        <v>0</v>
      </c>
      <c r="J2171" s="1108"/>
      <c r="K2171" s="1108"/>
      <c r="L2171" s="1082"/>
      <c r="M2171" s="975">
        <v>630</v>
      </c>
    </row>
    <row r="2172" spans="1:13" s="1083" customFormat="1" ht="25.2" hidden="1" customHeight="1">
      <c r="A2172" s="1153">
        <f t="shared" si="122"/>
        <v>0</v>
      </c>
      <c r="B2172" s="1154" t="s">
        <v>1138</v>
      </c>
      <c r="C2172" s="1154"/>
      <c r="D2172" s="1078"/>
      <c r="E2172" s="1091" t="str">
        <f>VLOOKUP($B2172,DG!A:D,DG!$B$2,)</f>
        <v>05.6101</v>
      </c>
      <c r="F2172" s="1080" t="str">
        <f>VLOOKUP($B2172,DG!A:D,DG!$C$2,)&amp;": 2 cái"</f>
        <v>Đà U100x46x5x800 : 2 cái</v>
      </c>
      <c r="G2172" s="1079" t="str">
        <f>VLOOKUP($B2172,DG!A:D,DG!$D$2,)</f>
        <v>cái</v>
      </c>
      <c r="H2172" s="1851">
        <f>H2168*5.426*2</f>
        <v>0</v>
      </c>
      <c r="I2172" s="1259">
        <f t="shared" si="124"/>
        <v>0</v>
      </c>
      <c r="J2172" s="1108"/>
      <c r="K2172" s="1108"/>
      <c r="L2172" s="1082"/>
      <c r="M2172" s="975">
        <v>630</v>
      </c>
    </row>
    <row r="2173" spans="1:13" s="1083" customFormat="1" ht="25.2" hidden="1" customHeight="1">
      <c r="A2173" s="1153">
        <f t="shared" si="122"/>
        <v>0</v>
      </c>
      <c r="B2173" s="1324" t="s">
        <v>1785</v>
      </c>
      <c r="C2173" s="1324"/>
      <c r="D2173" s="1078"/>
      <c r="E2173" s="1091">
        <f>VLOOKUP($B2173,DG!A:D,DG!$B$2,)</f>
        <v>0</v>
      </c>
      <c r="F2173" s="1080" t="str">
        <f>VLOOKUP($B2173,DG!A:D,DG!$C$2,)</f>
        <v>Boulon 16x400VRS+ 4 long đền vuông D18-50x50x3/Zn</v>
      </c>
      <c r="G2173" s="1079" t="str">
        <f>VLOOKUP($B2173,DG!A:D,DG!$D$2,)</f>
        <v>bộ</v>
      </c>
      <c r="H2173" s="1851">
        <f>H2168*10</f>
        <v>0</v>
      </c>
      <c r="I2173" s="1259">
        <f t="shared" si="124"/>
        <v>0</v>
      </c>
      <c r="J2173" s="1108"/>
      <c r="K2173" s="1108"/>
      <c r="L2173" s="1082"/>
      <c r="M2173" s="975">
        <v>630</v>
      </c>
    </row>
    <row r="2174" spans="1:13" s="1083" customFormat="1" ht="25.2" hidden="1" customHeight="1">
      <c r="A2174" s="1153">
        <f t="shared" si="122"/>
        <v>0</v>
      </c>
      <c r="B2174" s="1324" t="s">
        <v>1083</v>
      </c>
      <c r="C2174" s="1324"/>
      <c r="D2174" s="1078"/>
      <c r="E2174" s="1091">
        <f>VLOOKUP($B2174,DG!A:D,DG!$B$2,)</f>
        <v>0</v>
      </c>
      <c r="F2174" s="1080" t="str">
        <f>VLOOKUP($B2174,DG!A:D,DG!$C$2,)</f>
        <v>Boulon 16x400+ 2 long đền vuông D18-50x50x3/Zn</v>
      </c>
      <c r="G2174" s="1079" t="str">
        <f>VLOOKUP($B2174,DG!A:D,DG!$D$2,)</f>
        <v>bộ</v>
      </c>
      <c r="H2174" s="1851">
        <f>H2168*2</f>
        <v>0</v>
      </c>
      <c r="I2174" s="1259">
        <f t="shared" si="124"/>
        <v>0</v>
      </c>
      <c r="J2174" s="1108"/>
      <c r="K2174" s="1108"/>
      <c r="L2174" s="1082"/>
      <c r="M2174" s="975">
        <v>630</v>
      </c>
    </row>
    <row r="2175" spans="1:13" s="1083" customFormat="1" ht="25.2" hidden="1" customHeight="1">
      <c r="A2175" s="1153">
        <f t="shared" si="122"/>
        <v>0</v>
      </c>
      <c r="B2175" s="1324" t="s">
        <v>1079</v>
      </c>
      <c r="C2175" s="1324"/>
      <c r="D2175" s="1078"/>
      <c r="E2175" s="1091">
        <f>VLOOKUP($B2175,DG!A:D,DG!$B$2,)</f>
        <v>0</v>
      </c>
      <c r="F2175" s="1080" t="str">
        <f>VLOOKUP($B2175,DG!A:D,DG!$C$2,)</f>
        <v>Boulon 16x350+ 2 long đền vuông D18-50x50x3/Zn</v>
      </c>
      <c r="G2175" s="1079" t="str">
        <f>VLOOKUP($B2175,DG!A:D,DG!$D$2,)</f>
        <v>bộ</v>
      </c>
      <c r="H2175" s="1851">
        <f>H2168*12</f>
        <v>0</v>
      </c>
      <c r="I2175" s="1259">
        <f t="shared" si="124"/>
        <v>0</v>
      </c>
      <c r="J2175" s="1108"/>
      <c r="K2175" s="1108"/>
      <c r="L2175" s="1082"/>
      <c r="M2175" s="975">
        <v>630</v>
      </c>
    </row>
    <row r="2176" spans="1:13" s="1083" customFormat="1" ht="25.2" hidden="1" customHeight="1">
      <c r="A2176" s="1153">
        <f t="shared" si="122"/>
        <v>0</v>
      </c>
      <c r="B2176" s="1324"/>
      <c r="C2176" s="1324"/>
      <c r="D2176" s="1084">
        <f>IF(H2176&gt;0,D2168+1,D2168)</f>
        <v>0</v>
      </c>
      <c r="E2176" s="1085"/>
      <c r="F2176" s="1130" t="s">
        <v>3733</v>
      </c>
      <c r="G2176" s="1084" t="s">
        <v>2391</v>
      </c>
      <c r="H2176" s="1867">
        <f>H2168*2</f>
        <v>0</v>
      </c>
      <c r="I2176" s="1259">
        <f t="shared" si="124"/>
        <v>0</v>
      </c>
      <c r="J2176" s="1131"/>
      <c r="K2176" s="1131"/>
      <c r="L2176" s="1082"/>
      <c r="M2176" s="975">
        <v>630</v>
      </c>
    </row>
    <row r="2177" spans="1:13" s="1083" customFormat="1" ht="25.2" hidden="1" customHeight="1">
      <c r="A2177" s="1153">
        <f t="shared" si="122"/>
        <v>0</v>
      </c>
      <c r="B2177" s="1324"/>
      <c r="C2177" s="1324"/>
      <c r="D2177" s="1078"/>
      <c r="E2177" s="1091"/>
      <c r="F2177" s="1367" t="s">
        <v>2285</v>
      </c>
      <c r="G2177" s="1090"/>
      <c r="H2177" s="1851"/>
      <c r="I2177" s="1259">
        <f t="shared" si="124"/>
        <v>0</v>
      </c>
      <c r="J2177" s="1131"/>
      <c r="K2177" s="1131"/>
      <c r="L2177" s="1082"/>
      <c r="M2177" s="975">
        <v>630</v>
      </c>
    </row>
    <row r="2178" spans="1:13" s="1083" customFormat="1" ht="25.2" hidden="1" customHeight="1">
      <c r="A2178" s="1153">
        <f t="shared" si="122"/>
        <v>0</v>
      </c>
      <c r="B2178" s="1331" t="s">
        <v>2026</v>
      </c>
      <c r="C2178" s="1331"/>
      <c r="D2178" s="1078"/>
      <c r="E2178" s="1091">
        <f>VLOOKUP($B2178,DG!A:D,DG!$B$2,)</f>
        <v>0</v>
      </c>
      <c r="F2178" s="1080" t="str">
        <f>VLOOKUP($B2178,DG!A:D,DG!$C$2,)</f>
        <v>Sắt góc L75 x75 x8</v>
      </c>
      <c r="G2178" s="1091" t="str">
        <f>VLOOKUP($B2178,DG!A:D,DG!$D$2,)</f>
        <v>kg</v>
      </c>
      <c r="H2178" s="1851">
        <f>H2176*9.42*(2.6+3*0.07)*2</f>
        <v>0</v>
      </c>
      <c r="I2178" s="1259">
        <f t="shared" si="124"/>
        <v>0</v>
      </c>
      <c r="J2178" s="1108"/>
      <c r="K2178" s="1108"/>
      <c r="L2178" s="1082"/>
      <c r="M2178" s="975">
        <v>630</v>
      </c>
    </row>
    <row r="2179" spans="1:13" s="1083" customFormat="1" ht="25.2" hidden="1" customHeight="1">
      <c r="A2179" s="1153">
        <f t="shared" si="122"/>
        <v>0</v>
      </c>
      <c r="B2179" s="1324" t="s">
        <v>1788</v>
      </c>
      <c r="C2179" s="1324"/>
      <c r="D2179" s="1078"/>
      <c r="E2179" s="1091">
        <f>VLOOKUP($B2179,DG!A:D,DG!$B$2,)</f>
        <v>0</v>
      </c>
      <c r="F2179" s="1080" t="str">
        <f>VLOOKUP($B2179,DG!A:D,DG!$C$2,)</f>
        <v>Boulon 16x300VRS+ 4 long đền vuông D18-50x50x3/Zn</v>
      </c>
      <c r="G2179" s="1091" t="str">
        <f>VLOOKUP($B2179,DG!A:D,DG!$D$2,)</f>
        <v>bộ</v>
      </c>
      <c r="H2179" s="1851">
        <f>H2176*2</f>
        <v>0</v>
      </c>
      <c r="I2179" s="1259">
        <f t="shared" si="124"/>
        <v>0</v>
      </c>
      <c r="J2179" s="1108"/>
      <c r="K2179" s="1108"/>
      <c r="L2179" s="1082"/>
      <c r="M2179" s="975">
        <v>630</v>
      </c>
    </row>
    <row r="2180" spans="1:13" s="1083" customFormat="1" ht="25.2" hidden="1" customHeight="1">
      <c r="A2180" s="1153">
        <f t="shared" si="122"/>
        <v>0</v>
      </c>
      <c r="B2180" s="1324" t="s">
        <v>1613</v>
      </c>
      <c r="C2180" s="1324"/>
      <c r="D2180" s="1078"/>
      <c r="E2180" s="1091">
        <f>VLOOKUP($B2180,DG!A:D,DG!$B$2,)</f>
        <v>0</v>
      </c>
      <c r="F2180" s="1080" t="str">
        <f>VLOOKUP($B2180,DG!A:D,DG!$C$2,)</f>
        <v>Boulon 16x300+ 2 long đền vuông D18-50x50x3/Zn</v>
      </c>
      <c r="G2180" s="1091" t="str">
        <f>VLOOKUP($B2180,DG!A:D,DG!$D$2,)</f>
        <v>bộ</v>
      </c>
      <c r="H2180" s="1851">
        <f>H2176*2</f>
        <v>0</v>
      </c>
      <c r="I2180" s="1259">
        <f t="shared" si="124"/>
        <v>0</v>
      </c>
      <c r="J2180" s="1108"/>
      <c r="K2180" s="1108"/>
      <c r="L2180" s="1082"/>
      <c r="M2180" s="975">
        <v>630</v>
      </c>
    </row>
    <row r="2181" spans="1:13" s="1083" customFormat="1" ht="25.2" hidden="1" customHeight="1">
      <c r="A2181" s="1153">
        <f t="shared" si="122"/>
        <v>0</v>
      </c>
      <c r="B2181" s="1324" t="s">
        <v>1612</v>
      </c>
      <c r="C2181" s="1324"/>
      <c r="D2181" s="1078"/>
      <c r="E2181" s="1091">
        <f>VLOOKUP($B2181,DG!A:D,DG!$B$2,)</f>
        <v>0</v>
      </c>
      <c r="F2181" s="1080" t="str">
        <f>VLOOKUP($B2181,DG!A:D,DG!$C$2,)</f>
        <v>Boulon 16x250+ 2 long đền vuông D18-50x50x3/Zn</v>
      </c>
      <c r="G2181" s="1091" t="str">
        <f>VLOOKUP($B2181,DG!A:D,DG!$D$2,)</f>
        <v>bộ</v>
      </c>
      <c r="H2181" s="1851">
        <f>H2180</f>
        <v>0</v>
      </c>
      <c r="I2181" s="1259">
        <f t="shared" si="124"/>
        <v>0</v>
      </c>
      <c r="J2181" s="1108"/>
      <c r="K2181" s="1108"/>
      <c r="L2181" s="1082"/>
      <c r="M2181" s="975">
        <v>630</v>
      </c>
    </row>
    <row r="2182" spans="1:13" s="1083" customFormat="1" ht="25.2" hidden="1" customHeight="1">
      <c r="A2182" s="1153">
        <f t="shared" si="122"/>
        <v>0</v>
      </c>
      <c r="B2182" s="1324" t="s">
        <v>2248</v>
      </c>
      <c r="C2182" s="1324"/>
      <c r="D2182" s="1078"/>
      <c r="E2182" s="1091" t="str">
        <f>VLOOKUP($B2182,DG!A:D,DG!$B$2,)</f>
        <v>05.6044</v>
      </c>
      <c r="F2182" s="1080" t="str">
        <f>VLOOKUP($B2182,DG!A:D,DG!$C$2,)</f>
        <v>Lắp xà cột Pi loại ≤140kg/xà</v>
      </c>
      <c r="G2182" s="1091" t="str">
        <f>VLOOKUP($B2182,DG!A:D,DG!$D$2,)</f>
        <v>bộ</v>
      </c>
      <c r="H2182" s="1851">
        <f>H2176</f>
        <v>0</v>
      </c>
      <c r="I2182" s="1259">
        <f t="shared" si="124"/>
        <v>0</v>
      </c>
      <c r="J2182" s="1108"/>
      <c r="K2182" s="1108"/>
      <c r="L2182" s="1082"/>
      <c r="M2182" s="975">
        <v>630</v>
      </c>
    </row>
    <row r="2183" spans="1:13" s="1083" customFormat="1" ht="25.2" hidden="1" customHeight="1">
      <c r="A2183" s="1153">
        <f t="shared" si="122"/>
        <v>0</v>
      </c>
      <c r="B2183" s="1324"/>
      <c r="C2183" s="1324"/>
      <c r="D2183" s="1084">
        <f>IF(H2183&gt;0,D2176+1,D2176)</f>
        <v>0</v>
      </c>
      <c r="E2183" s="1085"/>
      <c r="F2183" s="1130" t="s">
        <v>3734</v>
      </c>
      <c r="G2183" s="1084" t="s">
        <v>2391</v>
      </c>
      <c r="H2183" s="1867">
        <f>H2139*2</f>
        <v>0</v>
      </c>
      <c r="I2183" s="1259">
        <f t="shared" si="124"/>
        <v>0</v>
      </c>
      <c r="J2183" s="1131"/>
      <c r="K2183" s="1131"/>
      <c r="L2183" s="1082"/>
      <c r="M2183" s="975">
        <v>630</v>
      </c>
    </row>
    <row r="2184" spans="1:13" s="1083" customFormat="1" ht="25.2" hidden="1" customHeight="1">
      <c r="A2184" s="1153">
        <f t="shared" si="122"/>
        <v>0</v>
      </c>
      <c r="B2184" s="1324"/>
      <c r="C2184" s="1324"/>
      <c r="D2184" s="1078"/>
      <c r="E2184" s="1088"/>
      <c r="F2184" s="1367" t="s">
        <v>2285</v>
      </c>
      <c r="G2184" s="1090"/>
      <c r="H2184" s="1851"/>
      <c r="I2184" s="1259">
        <f t="shared" si="124"/>
        <v>0</v>
      </c>
      <c r="J2184" s="1131"/>
      <c r="K2184" s="1131"/>
      <c r="L2184" s="1082"/>
      <c r="M2184" s="975">
        <v>630</v>
      </c>
    </row>
    <row r="2185" spans="1:13" s="1083" customFormat="1" ht="25.2" hidden="1" customHeight="1">
      <c r="A2185" s="1153">
        <f t="shared" si="122"/>
        <v>0</v>
      </c>
      <c r="B2185" s="1331" t="s">
        <v>2026</v>
      </c>
      <c r="C2185" s="1331"/>
      <c r="D2185" s="1078"/>
      <c r="E2185" s="1091">
        <f>VLOOKUP($B2185,DG!A:D,DG!$B$2,)</f>
        <v>0</v>
      </c>
      <c r="F2185" s="1080" t="str">
        <f>VLOOKUP($B2185,DG!A:D,DG!$C$2,)</f>
        <v>Sắt góc L75 x75 x8</v>
      </c>
      <c r="G2185" s="1091" t="str">
        <f>VLOOKUP($B2185,DG!A:D,DG!$D$2,)</f>
        <v>kg</v>
      </c>
      <c r="H2185" s="1851">
        <f>H2183*9.42*(2.6+3*0.07)</f>
        <v>0</v>
      </c>
      <c r="I2185" s="1259">
        <f t="shared" si="124"/>
        <v>0</v>
      </c>
      <c r="J2185" s="1108"/>
      <c r="K2185" s="1108"/>
      <c r="L2185" s="1082"/>
      <c r="M2185" s="975">
        <v>630</v>
      </c>
    </row>
    <row r="2186" spans="1:13" s="1083" customFormat="1" ht="25.2" hidden="1" customHeight="1">
      <c r="A2186" s="1153">
        <f t="shared" si="122"/>
        <v>0</v>
      </c>
      <c r="B2186" s="1324" t="s">
        <v>1612</v>
      </c>
      <c r="C2186" s="1324"/>
      <c r="D2186" s="1078"/>
      <c r="E2186" s="1091">
        <f>VLOOKUP($B2186,DG!A:D,DG!$B$2,)</f>
        <v>0</v>
      </c>
      <c r="F2186" s="1080" t="str">
        <f>VLOOKUP($B2186,DG!A:D,DG!$C$2,)</f>
        <v>Boulon 16x250+ 2 long đền vuông D18-50x50x3/Zn</v>
      </c>
      <c r="G2186" s="1091" t="str">
        <f>VLOOKUP($B2186,DG!A:D,DG!$D$2,)</f>
        <v>bộ</v>
      </c>
      <c r="H2186" s="1851">
        <f>H2183</f>
        <v>0</v>
      </c>
      <c r="I2186" s="1259">
        <f t="shared" si="124"/>
        <v>0</v>
      </c>
      <c r="J2186" s="1108"/>
      <c r="K2186" s="1108"/>
      <c r="L2186" s="1082"/>
      <c r="M2186" s="975">
        <v>630</v>
      </c>
    </row>
    <row r="2187" spans="1:13" s="1083" customFormat="1" ht="25.2" hidden="1" customHeight="1">
      <c r="A2187" s="1153">
        <f t="shared" si="122"/>
        <v>0</v>
      </c>
      <c r="B2187" s="1324" t="s">
        <v>1613</v>
      </c>
      <c r="C2187" s="1324"/>
      <c r="D2187" s="1078"/>
      <c r="E2187" s="1091">
        <f>VLOOKUP($B2187,DG!A:D,DG!$B$2,)</f>
        <v>0</v>
      </c>
      <c r="F2187" s="1080" t="str">
        <f>VLOOKUP($B2187,DG!A:D,DG!$C$2,)</f>
        <v>Boulon 16x300+ 2 long đền vuông D18-50x50x3/Zn</v>
      </c>
      <c r="G2187" s="1091" t="str">
        <f>VLOOKUP($B2187,DG!A:D,DG!$D$2,)</f>
        <v>bộ</v>
      </c>
      <c r="H2187" s="1851">
        <f>H2183</f>
        <v>0</v>
      </c>
      <c r="I2187" s="1259">
        <f t="shared" si="124"/>
        <v>0</v>
      </c>
      <c r="J2187" s="1108"/>
      <c r="K2187" s="1108"/>
      <c r="L2187" s="1082"/>
      <c r="M2187" s="975">
        <v>630</v>
      </c>
    </row>
    <row r="2188" spans="1:13" s="1083" customFormat="1" ht="25.2" hidden="1" customHeight="1">
      <c r="A2188" s="1153">
        <f t="shared" si="122"/>
        <v>0</v>
      </c>
      <c r="B2188" s="1324" t="s">
        <v>30</v>
      </c>
      <c r="C2188" s="1324"/>
      <c r="D2188" s="1078"/>
      <c r="E2188" s="1091">
        <f>VLOOKUP($B2188,DG!A:D,DG!$B$2,)</f>
        <v>0</v>
      </c>
      <c r="F2188" s="1080" t="str">
        <f>VLOOKUP($B2188,DG!A:D,DG!$C$2,)</f>
        <v>Bass LI bắt FCO</v>
      </c>
      <c r="G2188" s="1091" t="str">
        <f>VLOOKUP($B2188,DG!A:D,DG!$D$2,)</f>
        <v>Bộ</v>
      </c>
      <c r="H2188" s="1851">
        <f>H2140*2</f>
        <v>0</v>
      </c>
      <c r="I2188" s="1259">
        <f t="shared" si="124"/>
        <v>0</v>
      </c>
      <c r="J2188" s="1108"/>
      <c r="K2188" s="1108"/>
      <c r="L2188" s="1082"/>
      <c r="M2188" s="975">
        <v>630</v>
      </c>
    </row>
    <row r="2189" spans="1:13" s="1083" customFormat="1" ht="25.2" hidden="1" customHeight="1">
      <c r="A2189" s="1153">
        <f t="shared" si="122"/>
        <v>0</v>
      </c>
      <c r="B2189" s="1324" t="s">
        <v>2248</v>
      </c>
      <c r="C2189" s="1324"/>
      <c r="D2189" s="1078"/>
      <c r="E2189" s="1091" t="str">
        <f>VLOOKUP($B2189,DG!A:D,DG!$B$2,)</f>
        <v>05.6044</v>
      </c>
      <c r="F2189" s="1080" t="str">
        <f>VLOOKUP($B2189,DG!A:D,DG!$C$2,)</f>
        <v>Lắp xà cột Pi loại ≤140kg/xà</v>
      </c>
      <c r="G2189" s="1091" t="str">
        <f>VLOOKUP($B2189,DG!A:D,DG!$D$2,)</f>
        <v>bộ</v>
      </c>
      <c r="H2189" s="1851">
        <f>H2139</f>
        <v>0</v>
      </c>
      <c r="I2189" s="1259">
        <f t="shared" si="124"/>
        <v>0</v>
      </c>
      <c r="J2189" s="1108"/>
      <c r="K2189" s="1108"/>
      <c r="L2189" s="1082"/>
      <c r="M2189" s="975">
        <v>630</v>
      </c>
    </row>
    <row r="2190" spans="1:13" s="1083" customFormat="1" ht="25.2" hidden="1" customHeight="1">
      <c r="A2190" s="1153">
        <f t="shared" si="122"/>
        <v>0</v>
      </c>
      <c r="B2190" s="1324"/>
      <c r="C2190" s="1324"/>
      <c r="D2190" s="1084">
        <f>IF(H2190&gt;0,D2183+1,D2183)</f>
        <v>0</v>
      </c>
      <c r="E2190" s="1085"/>
      <c r="F2190" s="1130" t="s">
        <v>3735</v>
      </c>
      <c r="G2190" s="1084" t="s">
        <v>2391</v>
      </c>
      <c r="H2190" s="1867">
        <f>H2139*2</f>
        <v>0</v>
      </c>
      <c r="I2190" s="1259">
        <f t="shared" si="124"/>
        <v>0</v>
      </c>
      <c r="J2190" s="1131"/>
      <c r="K2190" s="1131"/>
      <c r="L2190" s="1082"/>
      <c r="M2190" s="975">
        <v>630</v>
      </c>
    </row>
    <row r="2191" spans="1:13" s="1083" customFormat="1" ht="25.2" hidden="1" customHeight="1">
      <c r="A2191" s="1153">
        <f t="shared" si="122"/>
        <v>0</v>
      </c>
      <c r="B2191" s="1324"/>
      <c r="C2191" s="1324"/>
      <c r="D2191" s="1078"/>
      <c r="E2191" s="1088"/>
      <c r="F2191" s="1367" t="s">
        <v>2285</v>
      </c>
      <c r="G2191" s="1090"/>
      <c r="H2191" s="1851"/>
      <c r="I2191" s="1259">
        <f t="shared" si="124"/>
        <v>0</v>
      </c>
      <c r="J2191" s="1131"/>
      <c r="K2191" s="1131"/>
      <c r="L2191" s="1082"/>
      <c r="M2191" s="975">
        <v>630</v>
      </c>
    </row>
    <row r="2192" spans="1:13" s="1083" customFormat="1" ht="25.2" hidden="1" customHeight="1">
      <c r="A2192" s="1153">
        <f t="shared" si="122"/>
        <v>0</v>
      </c>
      <c r="B2192" s="1324" t="s">
        <v>2026</v>
      </c>
      <c r="C2192" s="1324"/>
      <c r="D2192" s="1078"/>
      <c r="E2192" s="1091">
        <f>VLOOKUP($B2192,DG!A:D,DG!$B$2,)</f>
        <v>0</v>
      </c>
      <c r="F2192" s="1080" t="str">
        <f>VLOOKUP($B2192,DG!A:D,DG!$C$2,)</f>
        <v>Sắt góc L75 x75 x8</v>
      </c>
      <c r="G2192" s="1091" t="str">
        <f>VLOOKUP($B2192,DG!A:D,DG!$D$2,)</f>
        <v>kg</v>
      </c>
      <c r="H2192" s="1851">
        <f>H2190*9.42*2.6</f>
        <v>0</v>
      </c>
      <c r="I2192" s="1259">
        <f t="shared" si="124"/>
        <v>0</v>
      </c>
      <c r="J2192" s="1108"/>
      <c r="K2192" s="1108"/>
      <c r="L2192" s="1082"/>
      <c r="M2192" s="975">
        <v>630</v>
      </c>
    </row>
    <row r="2193" spans="1:13" s="1083" customFormat="1" ht="25.2" hidden="1" customHeight="1">
      <c r="A2193" s="1153">
        <f t="shared" si="122"/>
        <v>0</v>
      </c>
      <c r="B2193" s="1324" t="s">
        <v>1083</v>
      </c>
      <c r="C2193" s="1324"/>
      <c r="D2193" s="1078"/>
      <c r="E2193" s="1091">
        <f>VLOOKUP($B2193,DG!A:D,DG!$B$2,)</f>
        <v>0</v>
      </c>
      <c r="F2193" s="1080" t="str">
        <f>VLOOKUP($B2193,DG!A:D,DG!$C$2,)</f>
        <v>Boulon 16x400+ 2 long đền vuông D18-50x50x3/Zn</v>
      </c>
      <c r="G2193" s="1091" t="str">
        <f>VLOOKUP($B2193,DG!A:D,DG!$D$2,)</f>
        <v>bộ</v>
      </c>
      <c r="H2193" s="1851">
        <f>H2190*2</f>
        <v>0</v>
      </c>
      <c r="I2193" s="1259">
        <f t="shared" si="124"/>
        <v>0</v>
      </c>
      <c r="J2193" s="1108"/>
      <c r="K2193" s="1108"/>
      <c r="L2193" s="1082"/>
      <c r="M2193" s="975">
        <v>630</v>
      </c>
    </row>
    <row r="2194" spans="1:13" s="1083" customFormat="1" ht="25.2" hidden="1" customHeight="1">
      <c r="A2194" s="1153">
        <f t="shared" si="122"/>
        <v>0</v>
      </c>
      <c r="B2194" s="1324" t="s">
        <v>138</v>
      </c>
      <c r="C2194" s="1324"/>
      <c r="D2194" s="1078"/>
      <c r="E2194" s="1091">
        <f>VLOOKUP($B2194,DG!A:D,DG!$B$2,)</f>
        <v>0</v>
      </c>
      <c r="F2194" s="1080" t="str">
        <f>VLOOKUP($B2194,DG!A:D,DG!$C$2,)</f>
        <v>Boulon 12x40+ 2 long đền vuông D14-50x50x3/Zn</v>
      </c>
      <c r="G2194" s="1091" t="str">
        <f>VLOOKUP($B2194,DG!A:D,DG!$D$2,)</f>
        <v>bộ</v>
      </c>
      <c r="H2194" s="1851">
        <f>H2190*2</f>
        <v>0</v>
      </c>
      <c r="I2194" s="1259">
        <f t="shared" si="124"/>
        <v>0</v>
      </c>
      <c r="J2194" s="1108"/>
      <c r="K2194" s="1108"/>
      <c r="L2194" s="1082"/>
      <c r="M2194" s="975">
        <v>630</v>
      </c>
    </row>
    <row r="2195" spans="1:13" s="1083" customFormat="1" ht="25.2" hidden="1" customHeight="1">
      <c r="A2195" s="1153">
        <f t="shared" si="122"/>
        <v>0</v>
      </c>
      <c r="B2195" s="1324" t="s">
        <v>2248</v>
      </c>
      <c r="C2195" s="1324"/>
      <c r="D2195" s="1078"/>
      <c r="E2195" s="1091" t="str">
        <f>VLOOKUP($B2195,DG!A:D,DG!$B$2,)</f>
        <v>05.6044</v>
      </c>
      <c r="F2195" s="1080" t="str">
        <f>VLOOKUP($B2195,DG!A:D,DG!$C$2,)</f>
        <v>Lắp xà cột Pi loại ≤140kg/xà</v>
      </c>
      <c r="G2195" s="1091" t="str">
        <f>VLOOKUP($B2195,DG!A:D,DG!$D$2,)</f>
        <v>bộ</v>
      </c>
      <c r="H2195" s="1851">
        <f>H2190/2</f>
        <v>0</v>
      </c>
      <c r="I2195" s="1259">
        <f t="shared" si="124"/>
        <v>0</v>
      </c>
      <c r="J2195" s="1108"/>
      <c r="K2195" s="1108"/>
      <c r="L2195" s="1082"/>
      <c r="M2195" s="975">
        <v>630</v>
      </c>
    </row>
    <row r="2196" spans="1:13" s="1083" customFormat="1" ht="25.2" hidden="1" customHeight="1">
      <c r="A2196" s="1153">
        <f t="shared" si="122"/>
        <v>0</v>
      </c>
      <c r="B2196" s="1324" t="s">
        <v>217</v>
      </c>
      <c r="C2196" s="1324"/>
      <c r="D2196" s="1078"/>
      <c r="E2196" s="1091" t="str">
        <f>VLOOKUP($B2196,DG!A:D,DG!$B$2,)</f>
        <v>02.1115</v>
      </c>
      <c r="F2196" s="1080" t="str">
        <f>VLOOKUP($B2196,DG!A:D,DG!$C$2,)</f>
        <v>Bốc dỡ xà, thép thanh</v>
      </c>
      <c r="G2196" s="1091" t="str">
        <f>VLOOKUP($B2196,DG!A:D,DG!$D$2,)</f>
        <v>tấn</v>
      </c>
      <c r="H2196" s="1851">
        <f>0.05*0</f>
        <v>0</v>
      </c>
      <c r="I2196" s="1259">
        <f t="shared" si="124"/>
        <v>0</v>
      </c>
      <c r="J2196" s="1108"/>
      <c r="K2196" s="1108"/>
      <c r="L2196" s="1082"/>
      <c r="M2196" s="975">
        <v>630</v>
      </c>
    </row>
    <row r="2197" spans="1:13" s="1083" customFormat="1" ht="25.2" hidden="1" customHeight="1">
      <c r="A2197" s="1153">
        <f t="shared" si="122"/>
        <v>0</v>
      </c>
      <c r="B2197" s="1324" t="s">
        <v>1613</v>
      </c>
      <c r="C2197" s="1324"/>
      <c r="D2197" s="1078"/>
      <c r="E2197" s="1091">
        <f>VLOOKUP($B2197,DG!A:D,DG!$B$2,)</f>
        <v>0</v>
      </c>
      <c r="F2197" s="1080" t="str">
        <f>VLOOKUP($B2197,DG!A:D,DG!$C$2,)</f>
        <v>Boulon 16x300+ 2 long đền vuông D18-50x50x3/Zn</v>
      </c>
      <c r="G2197" s="1079" t="s">
        <v>2445</v>
      </c>
      <c r="H2197" s="1851">
        <f>H2190*2*0</f>
        <v>0</v>
      </c>
      <c r="I2197" s="1259">
        <f t="shared" si="124"/>
        <v>0</v>
      </c>
      <c r="J2197" s="1108"/>
      <c r="K2197" s="1108"/>
      <c r="L2197" s="1082"/>
      <c r="M2197" s="975">
        <v>630</v>
      </c>
    </row>
    <row r="2198" spans="1:13" s="1083" customFormat="1" ht="25.2" hidden="1" customHeight="1">
      <c r="A2198" s="1153">
        <f t="shared" si="122"/>
        <v>0</v>
      </c>
      <c r="B2198" s="1324" t="s">
        <v>1612</v>
      </c>
      <c r="C2198" s="1324"/>
      <c r="D2198" s="1078"/>
      <c r="E2198" s="1091">
        <f>VLOOKUP($B2198,DG!A:D,DG!$B$2,)</f>
        <v>0</v>
      </c>
      <c r="F2198" s="1080" t="str">
        <f>VLOOKUP($B2198,DG!A:D,DG!$C$2,)</f>
        <v>Boulon 16x250+ 2 long đền vuông D18-50x50x3/Zn</v>
      </c>
      <c r="G2198" s="1079" t="s">
        <v>2445</v>
      </c>
      <c r="H2198" s="1851">
        <f>2*H2190*2*0</f>
        <v>0</v>
      </c>
      <c r="I2198" s="1259">
        <f t="shared" si="124"/>
        <v>0</v>
      </c>
      <c r="J2198" s="1108"/>
      <c r="K2198" s="1108"/>
      <c r="L2198" s="1082"/>
      <c r="M2198" s="975">
        <v>630</v>
      </c>
    </row>
    <row r="2199" spans="1:13" s="1083" customFormat="1" ht="25.2" hidden="1" customHeight="1" collapsed="1">
      <c r="A2199" s="1153">
        <f t="shared" si="122"/>
        <v>0</v>
      </c>
      <c r="B2199" s="1324"/>
      <c r="C2199" s="1324"/>
      <c r="D2199" s="1084">
        <f>IF(H2199&gt;0,D2190+1,D2190)</f>
        <v>0</v>
      </c>
      <c r="E2199" s="1085"/>
      <c r="F2199" s="1130" t="s">
        <v>3736</v>
      </c>
      <c r="G2199" s="1084" t="s">
        <v>2391</v>
      </c>
      <c r="H2199" s="1867">
        <f>H2139*0</f>
        <v>0</v>
      </c>
      <c r="I2199" s="1259">
        <f t="shared" si="124"/>
        <v>0</v>
      </c>
      <c r="J2199" s="1081"/>
      <c r="K2199" s="1081"/>
      <c r="L2199" s="1110"/>
      <c r="M2199" s="975">
        <v>630</v>
      </c>
    </row>
    <row r="2200" spans="1:13" s="1083" customFormat="1" ht="25.2" hidden="1" customHeight="1">
      <c r="A2200" s="1153">
        <f t="shared" si="122"/>
        <v>0</v>
      </c>
      <c r="B2200" s="1324"/>
      <c r="C2200" s="1324"/>
      <c r="D2200" s="1078"/>
      <c r="E2200" s="1088"/>
      <c r="F2200" s="1367" t="s">
        <v>2285</v>
      </c>
      <c r="G2200" s="1090"/>
      <c r="H2200" s="1851"/>
      <c r="I2200" s="1259">
        <f t="shared" si="124"/>
        <v>0</v>
      </c>
      <c r="J2200" s="1081"/>
      <c r="K2200" s="1081"/>
      <c r="L2200" s="1110"/>
      <c r="M2200" s="975">
        <v>630</v>
      </c>
    </row>
    <row r="2201" spans="1:13" s="1083" customFormat="1" ht="25.2" hidden="1" customHeight="1">
      <c r="A2201" s="1153">
        <f t="shared" si="122"/>
        <v>0</v>
      </c>
      <c r="B2201" s="1324" t="s">
        <v>2026</v>
      </c>
      <c r="C2201" s="1324"/>
      <c r="D2201" s="1078"/>
      <c r="E2201" s="1091">
        <f>VLOOKUP($B2201,DG!A:D,DG!$B$2,)</f>
        <v>0</v>
      </c>
      <c r="F2201" s="1080" t="str">
        <f>VLOOKUP($B2201,DG!A:D,DG!$C$2,)</f>
        <v>Sắt góc L75 x75 x8</v>
      </c>
      <c r="G2201" s="1079" t="s">
        <v>2254</v>
      </c>
      <c r="H2201" s="1851">
        <f>H2199*9.02*(2.4+4*0.07)*2</f>
        <v>0</v>
      </c>
      <c r="I2201" s="1259">
        <f t="shared" si="124"/>
        <v>0</v>
      </c>
      <c r="J2201" s="1081"/>
      <c r="K2201" s="1081"/>
      <c r="L2201" s="1110"/>
      <c r="M2201" s="975">
        <v>630</v>
      </c>
    </row>
    <row r="2202" spans="1:13" s="1083" customFormat="1" ht="25.2" hidden="1" customHeight="1">
      <c r="A2202" s="1153">
        <f t="shared" ref="A2202:A2265" si="125">IF(I2202&gt;0,1,0)</f>
        <v>0</v>
      </c>
      <c r="B2202" s="1324" t="s">
        <v>1035</v>
      </c>
      <c r="C2202" s="1324"/>
      <c r="D2202" s="1078"/>
      <c r="E2202" s="1091">
        <f>VLOOKUP($B2202,DG!A:D,DG!$B$2,)</f>
        <v>0</v>
      </c>
      <c r="F2202" s="1080" t="str">
        <f>VLOOKUP($B2202,DG!A:D,DG!$C$2,)&amp;" (Thanh choáng 810)"</f>
        <v>Sắt góc L50 x50 x5 (Thanh choáng 810)</v>
      </c>
      <c r="G2202" s="1079" t="s">
        <v>2254</v>
      </c>
      <c r="H2202" s="1851">
        <f>H2199*3.77*0.81*4</f>
        <v>0</v>
      </c>
      <c r="I2202" s="1259">
        <f t="shared" si="124"/>
        <v>0</v>
      </c>
      <c r="J2202" s="1081"/>
      <c r="K2202" s="1081"/>
      <c r="L2202" s="1110"/>
      <c r="M2202" s="975">
        <v>630</v>
      </c>
    </row>
    <row r="2203" spans="1:13" s="1083" customFormat="1" ht="25.2" hidden="1" customHeight="1">
      <c r="A2203" s="1153">
        <f t="shared" si="125"/>
        <v>0</v>
      </c>
      <c r="B2203" s="1324" t="s">
        <v>1613</v>
      </c>
      <c r="C2203" s="1324"/>
      <c r="D2203" s="1078"/>
      <c r="E2203" s="1091">
        <f>VLOOKUP($B2203,DG!A:D,DG!$B$2,)</f>
        <v>0</v>
      </c>
      <c r="F2203" s="1080" t="str">
        <f>VLOOKUP($B2203,DG!A:D,DG!$C$2,)</f>
        <v>Boulon 16x300+ 2 long đền vuông D18-50x50x3/Zn</v>
      </c>
      <c r="G2203" s="1079" t="s">
        <v>2445</v>
      </c>
      <c r="H2203" s="1851">
        <f>H2199*2</f>
        <v>0</v>
      </c>
      <c r="I2203" s="1259">
        <f t="shared" si="124"/>
        <v>0</v>
      </c>
      <c r="J2203" s="1081"/>
      <c r="K2203" s="1081"/>
      <c r="L2203" s="1110"/>
      <c r="M2203" s="975">
        <v>630</v>
      </c>
    </row>
    <row r="2204" spans="1:13" s="1083" customFormat="1" ht="25.2" hidden="1" customHeight="1">
      <c r="A2204" s="1153">
        <f t="shared" si="125"/>
        <v>0</v>
      </c>
      <c r="B2204" s="1324" t="s">
        <v>1790</v>
      </c>
      <c r="C2204" s="1324"/>
      <c r="D2204" s="1078"/>
      <c r="E2204" s="1091">
        <f>VLOOKUP($B2204,DG!A:D,DG!$B$2,)</f>
        <v>0</v>
      </c>
      <c r="F2204" s="1080" t="str">
        <f>VLOOKUP($B2204,DG!A:D,DG!$C$2,)</f>
        <v>Boulon 16x50+ 2 long đền vuông D18-50x50x3/Zn</v>
      </c>
      <c r="G2204" s="1079" t="s">
        <v>2445</v>
      </c>
      <c r="H2204" s="1851">
        <f>H2199*4</f>
        <v>0</v>
      </c>
      <c r="I2204" s="1259">
        <f t="shared" si="124"/>
        <v>0</v>
      </c>
      <c r="J2204" s="1081"/>
      <c r="K2204" s="1081"/>
      <c r="L2204" s="1110"/>
      <c r="M2204" s="975">
        <v>630</v>
      </c>
    </row>
    <row r="2205" spans="1:13" s="1083" customFormat="1" ht="25.2" hidden="1" customHeight="1">
      <c r="A2205" s="1153">
        <f t="shared" si="125"/>
        <v>0</v>
      </c>
      <c r="B2205" s="1324" t="s">
        <v>1788</v>
      </c>
      <c r="C2205" s="1324"/>
      <c r="D2205" s="1078"/>
      <c r="E2205" s="1091">
        <f>VLOOKUP($B2205,DG!A:D,DG!$B$2,)</f>
        <v>0</v>
      </c>
      <c r="F2205" s="1080" t="str">
        <f>VLOOKUP($B2205,DG!A:D,DG!$C$2,)</f>
        <v>Boulon 16x300VRS+ 4 long đền vuông D18-50x50x3/Zn</v>
      </c>
      <c r="G2205" s="1079" t="s">
        <v>2445</v>
      </c>
      <c r="H2205" s="1851">
        <f>H2199*4</f>
        <v>0</v>
      </c>
      <c r="I2205" s="1259">
        <f t="shared" si="124"/>
        <v>0</v>
      </c>
      <c r="J2205" s="1081"/>
      <c r="K2205" s="1081"/>
      <c r="L2205" s="1110"/>
      <c r="M2205" s="975">
        <v>630</v>
      </c>
    </row>
    <row r="2206" spans="1:13" s="1083" customFormat="1" ht="25.2" hidden="1" customHeight="1">
      <c r="A2206" s="1153">
        <f t="shared" si="125"/>
        <v>0</v>
      </c>
      <c r="B2206" s="1324" t="s">
        <v>517</v>
      </c>
      <c r="C2206" s="1324"/>
      <c r="D2206" s="1078"/>
      <c r="E2206" s="1091" t="str">
        <f>VLOOKUP($B2206,DG!A:D,DG!$B$2,)</f>
        <v>05.6203</v>
      </c>
      <c r="F2206" s="1080" t="str">
        <f>VLOOKUP($B2206,DG!A:D,DG!$C$2,)</f>
        <v>Lắp xà néo ≤ 100kg</v>
      </c>
      <c r="G2206" s="1079" t="s">
        <v>2445</v>
      </c>
      <c r="H2206" s="1851">
        <f>H2199</f>
        <v>0</v>
      </c>
      <c r="I2206" s="1259">
        <f t="shared" si="124"/>
        <v>0</v>
      </c>
      <c r="J2206" s="1081"/>
      <c r="K2206" s="1081"/>
      <c r="L2206" s="1110"/>
      <c r="M2206" s="975">
        <v>630</v>
      </c>
    </row>
    <row r="2207" spans="1:13" s="1083" customFormat="1" ht="25.2" hidden="1" customHeight="1">
      <c r="A2207" s="1153">
        <f t="shared" si="125"/>
        <v>0</v>
      </c>
      <c r="B2207" s="1324"/>
      <c r="C2207" s="1324"/>
      <c r="D2207" s="1084">
        <f>IF(H2207&gt;0,D2199+1,D2199)</f>
        <v>0</v>
      </c>
      <c r="E2207" s="1085"/>
      <c r="F2207" s="1130" t="s">
        <v>3737</v>
      </c>
      <c r="G2207" s="1084" t="s">
        <v>2391</v>
      </c>
      <c r="H2207" s="1867">
        <f>H2139*1*0</f>
        <v>0</v>
      </c>
      <c r="I2207" s="1259">
        <f t="shared" si="124"/>
        <v>0</v>
      </c>
      <c r="J2207" s="1081"/>
      <c r="K2207" s="1081"/>
      <c r="L2207" s="1110"/>
      <c r="M2207" s="975">
        <v>630</v>
      </c>
    </row>
    <row r="2208" spans="1:13" s="1083" customFormat="1" ht="25.2" hidden="1" customHeight="1">
      <c r="A2208" s="1153">
        <f t="shared" si="125"/>
        <v>0</v>
      </c>
      <c r="B2208" s="1324"/>
      <c r="C2208" s="1324"/>
      <c r="D2208" s="1078"/>
      <c r="E2208" s="1088"/>
      <c r="F2208" s="1367" t="s">
        <v>2285</v>
      </c>
      <c r="G2208" s="1090"/>
      <c r="H2208" s="1851"/>
      <c r="I2208" s="1259">
        <f t="shared" si="124"/>
        <v>0</v>
      </c>
      <c r="J2208" s="1081"/>
      <c r="K2208" s="1081"/>
      <c r="L2208" s="1110"/>
      <c r="M2208" s="975">
        <v>630</v>
      </c>
    </row>
    <row r="2209" spans="1:13" s="1083" customFormat="1" ht="25.2" hidden="1" customHeight="1">
      <c r="A2209" s="1153">
        <f t="shared" si="125"/>
        <v>0</v>
      </c>
      <c r="B2209" s="1324" t="s">
        <v>2026</v>
      </c>
      <c r="C2209" s="1324"/>
      <c r="D2209" s="1078"/>
      <c r="E2209" s="1091">
        <f>VLOOKUP($B2209,DG!A:D,DG!$B$2,)</f>
        <v>0</v>
      </c>
      <c r="F2209" s="1080" t="str">
        <f>VLOOKUP($B2209,DG!A:D,DG!$C$2,)</f>
        <v>Sắt góc L75 x75 x8</v>
      </c>
      <c r="G2209" s="1079" t="s">
        <v>2254</v>
      </c>
      <c r="H2209" s="1851">
        <f>H2207*9.02*(2.4+4*0.07)</f>
        <v>0</v>
      </c>
      <c r="I2209" s="1259">
        <f t="shared" si="124"/>
        <v>0</v>
      </c>
      <c r="J2209" s="1081"/>
      <c r="K2209" s="1081"/>
      <c r="L2209" s="1110"/>
      <c r="M2209" s="975">
        <v>630</v>
      </c>
    </row>
    <row r="2210" spans="1:13" s="1083" customFormat="1" ht="25.2" hidden="1" customHeight="1">
      <c r="A2210" s="1153">
        <f t="shared" si="125"/>
        <v>0</v>
      </c>
      <c r="B2210" s="1324" t="s">
        <v>1035</v>
      </c>
      <c r="C2210" s="1324"/>
      <c r="D2210" s="1078"/>
      <c r="E2210" s="1091">
        <f>VLOOKUP($B2210,DG!A:D,DG!$B$2,)</f>
        <v>0</v>
      </c>
      <c r="F2210" s="1080" t="str">
        <f>VLOOKUP($B2210,DG!A:D,DG!$C$2,)&amp;" (Thanh choáng 810)"</f>
        <v>Sắt góc L50 x50 x5 (Thanh choáng 810)</v>
      </c>
      <c r="G2210" s="1079" t="s">
        <v>2254</v>
      </c>
      <c r="H2210" s="1851">
        <f>H2207*3.77*0.81*2</f>
        <v>0</v>
      </c>
      <c r="I2210" s="1259">
        <f t="shared" si="124"/>
        <v>0</v>
      </c>
      <c r="J2210" s="1081"/>
      <c r="K2210" s="1081"/>
      <c r="L2210" s="1110"/>
      <c r="M2210" s="975">
        <v>630</v>
      </c>
    </row>
    <row r="2211" spans="1:13" s="1083" customFormat="1" ht="25.2" hidden="1" customHeight="1">
      <c r="A2211" s="1153">
        <f t="shared" si="125"/>
        <v>0</v>
      </c>
      <c r="B2211" s="1324" t="s">
        <v>1079</v>
      </c>
      <c r="C2211" s="1324"/>
      <c r="D2211" s="1078"/>
      <c r="E2211" s="1091">
        <f>VLOOKUP($B2211,DG!A:D,DG!$B$2,)</f>
        <v>0</v>
      </c>
      <c r="F2211" s="1080" t="str">
        <f>VLOOKUP($B2211,DG!A:D,DG!$C$2,)</f>
        <v>Boulon 16x350+ 2 long đền vuông D18-50x50x3/Zn</v>
      </c>
      <c r="G2211" s="1079" t="s">
        <v>2445</v>
      </c>
      <c r="H2211" s="1851">
        <f>H2207*2</f>
        <v>0</v>
      </c>
      <c r="I2211" s="1259">
        <f t="shared" si="124"/>
        <v>0</v>
      </c>
      <c r="J2211" s="1081"/>
      <c r="K2211" s="1081"/>
      <c r="L2211" s="1110"/>
      <c r="M2211" s="975">
        <v>630</v>
      </c>
    </row>
    <row r="2212" spans="1:13" s="1083" customFormat="1" ht="25.2" hidden="1" customHeight="1">
      <c r="A2212" s="1153">
        <f t="shared" si="125"/>
        <v>0</v>
      </c>
      <c r="B2212" s="1324" t="s">
        <v>1790</v>
      </c>
      <c r="C2212" s="1324"/>
      <c r="D2212" s="1078"/>
      <c r="E2212" s="1091">
        <f>VLOOKUP($B2212,DG!A:D,DG!$B$2,)</f>
        <v>0</v>
      </c>
      <c r="F2212" s="1080" t="str">
        <f>VLOOKUP($B2212,DG!A:D,DG!$C$2,)</f>
        <v>Boulon 16x50+ 2 long đền vuông D18-50x50x3/Zn</v>
      </c>
      <c r="G2212" s="1079" t="s">
        <v>2445</v>
      </c>
      <c r="H2212" s="1851">
        <f>H2207*2</f>
        <v>0</v>
      </c>
      <c r="I2212" s="1259">
        <f t="shared" si="124"/>
        <v>0</v>
      </c>
      <c r="J2212" s="1081"/>
      <c r="K2212" s="1081"/>
      <c r="L2212" s="1110"/>
      <c r="M2212" s="975">
        <v>630</v>
      </c>
    </row>
    <row r="2213" spans="1:13" s="1083" customFormat="1" ht="25.2" hidden="1" customHeight="1">
      <c r="A2213" s="1153">
        <f t="shared" si="125"/>
        <v>0</v>
      </c>
      <c r="B2213" s="1324" t="s">
        <v>1739</v>
      </c>
      <c r="C2213" s="1324"/>
      <c r="D2213" s="1078"/>
      <c r="E2213" s="1091">
        <f>VLOOKUP($B2213,DG!A:D,DG!$B$2,)</f>
        <v>0</v>
      </c>
      <c r="F2213" s="1080" t="str">
        <f>VLOOKUP($B2213,DG!A:D,DG!$C$2,)</f>
        <v>Bass LI bắt FCO</v>
      </c>
      <c r="G2213" s="1079" t="s">
        <v>2445</v>
      </c>
      <c r="H2213" s="1851">
        <f>IF(H2207&gt;0,3,)</f>
        <v>0</v>
      </c>
      <c r="I2213" s="1259">
        <f t="shared" si="124"/>
        <v>0</v>
      </c>
      <c r="J2213" s="1081"/>
      <c r="K2213" s="1081"/>
      <c r="L2213" s="1110"/>
      <c r="M2213" s="975">
        <v>630</v>
      </c>
    </row>
    <row r="2214" spans="1:13" s="1083" customFormat="1" ht="25.2" hidden="1" customHeight="1">
      <c r="A2214" s="1153">
        <f t="shared" si="125"/>
        <v>0</v>
      </c>
      <c r="B2214" s="1324" t="s">
        <v>988</v>
      </c>
      <c r="C2214" s="1324"/>
      <c r="D2214" s="1078"/>
      <c r="E2214" s="1091" t="str">
        <f>VLOOKUP($B2214,DG!A:D,DG!$B$2,)</f>
        <v>06.3231</v>
      </c>
      <c r="F2214" s="1080" t="str">
        <f>VLOOKUP($B2214,DG!A:D,DG!$C$2,)</f>
        <v xml:space="preserve">Cổ dê chống lắc 8x80x800 </v>
      </c>
      <c r="G2214" s="1079" t="s">
        <v>2445</v>
      </c>
      <c r="H2214" s="1851">
        <f>H2207*0</f>
        <v>0</v>
      </c>
      <c r="I2214" s="1259">
        <f t="shared" si="124"/>
        <v>0</v>
      </c>
      <c r="J2214" s="1081"/>
      <c r="K2214" s="1081"/>
      <c r="L2214" s="1110"/>
      <c r="M2214" s="975">
        <v>630</v>
      </c>
    </row>
    <row r="2215" spans="1:13" s="1083" customFormat="1" ht="25.2" hidden="1" customHeight="1">
      <c r="A2215" s="1153">
        <f t="shared" si="125"/>
        <v>0</v>
      </c>
      <c r="B2215" s="1324" t="s">
        <v>1443</v>
      </c>
      <c r="C2215" s="1324"/>
      <c r="D2215" s="1078"/>
      <c r="E2215" s="1091" t="str">
        <f>VLOOKUP($B2215,DG!A:D,DG!$B$2,)</f>
        <v>05.6102</v>
      </c>
      <c r="F2215" s="1080" t="str">
        <f>VLOOKUP($B2215,DG!A:D,DG!$C$2,)</f>
        <v>Lắp xà đỡ ≤ 50kg</v>
      </c>
      <c r="G2215" s="1079" t="s">
        <v>2445</v>
      </c>
      <c r="H2215" s="1851">
        <f>H2207</f>
        <v>0</v>
      </c>
      <c r="I2215" s="1259">
        <f t="shared" si="124"/>
        <v>0</v>
      </c>
      <c r="J2215" s="1081"/>
      <c r="K2215" s="1081"/>
      <c r="L2215" s="1110"/>
      <c r="M2215" s="975">
        <v>630</v>
      </c>
    </row>
    <row r="2216" spans="1:13" s="1083" customFormat="1" ht="25.2" hidden="1" customHeight="1">
      <c r="A2216" s="1153">
        <f t="shared" si="125"/>
        <v>0</v>
      </c>
      <c r="B2216" s="1324"/>
      <c r="C2216" s="1324"/>
      <c r="D2216" s="1084">
        <f>IF(H2216&gt;0,D2207+1,D2207)</f>
        <v>0</v>
      </c>
      <c r="E2216" s="1085"/>
      <c r="F2216" s="1130" t="s">
        <v>3738</v>
      </c>
      <c r="G2216" s="1084" t="s">
        <v>2391</v>
      </c>
      <c r="H2216" s="1867">
        <f>H2139</f>
        <v>0</v>
      </c>
      <c r="I2216" s="1259">
        <f t="shared" si="124"/>
        <v>0</v>
      </c>
      <c r="J2216" s="1081"/>
      <c r="K2216" s="1081"/>
      <c r="L2216" s="1110"/>
      <c r="M2216" s="975">
        <v>630</v>
      </c>
    </row>
    <row r="2217" spans="1:13" s="1083" customFormat="1" ht="25.2" hidden="1" customHeight="1">
      <c r="A2217" s="1153">
        <f t="shared" si="125"/>
        <v>0</v>
      </c>
      <c r="B2217" s="1355"/>
      <c r="C2217" s="1355"/>
      <c r="D2217" s="1078"/>
      <c r="E2217" s="1088"/>
      <c r="F2217" s="1367" t="s">
        <v>2285</v>
      </c>
      <c r="G2217" s="1090"/>
      <c r="H2217" s="1851"/>
      <c r="I2217" s="1259">
        <f t="shared" si="124"/>
        <v>0</v>
      </c>
      <c r="J2217" s="1081"/>
      <c r="K2217" s="1081"/>
      <c r="L2217" s="1110"/>
      <c r="M2217" s="975">
        <v>630</v>
      </c>
    </row>
    <row r="2218" spans="1:13" s="1083" customFormat="1" ht="25.2" hidden="1" customHeight="1">
      <c r="A2218" s="1153">
        <f t="shared" si="125"/>
        <v>0</v>
      </c>
      <c r="B2218" s="1324" t="s">
        <v>1033</v>
      </c>
      <c r="C2218" s="1324"/>
      <c r="D2218" s="1078"/>
      <c r="E2218" s="1079">
        <f>VLOOKUP($B2218,DG!A:D,DG!$B$2,)</f>
        <v>0</v>
      </c>
      <c r="F2218" s="1080" t="str">
        <f>VLOOKUP($B2218,DG!A:D,DG!$C$2,)</f>
        <v>Cáp đồng trần M25mm2</v>
      </c>
      <c r="G2218" s="1091" t="str">
        <f>VLOOKUP($B2218,DG!A:D,DG!$D$2,)</f>
        <v>kg</v>
      </c>
      <c r="H2218" s="1851">
        <f>I3*0.224*H2216</f>
        <v>0</v>
      </c>
      <c r="I2218" s="1259">
        <f t="shared" si="124"/>
        <v>0</v>
      </c>
      <c r="J2218" s="1081"/>
      <c r="K2218" s="1081"/>
      <c r="L2218" s="1110"/>
      <c r="M2218" s="975">
        <v>630</v>
      </c>
    </row>
    <row r="2219" spans="1:13" s="1083" customFormat="1" ht="25.2" hidden="1" customHeight="1">
      <c r="A2219" s="1153">
        <f t="shared" si="125"/>
        <v>0</v>
      </c>
      <c r="B2219" s="1324" t="s">
        <v>1033</v>
      </c>
      <c r="C2219" s="1324"/>
      <c r="D2219" s="1078"/>
      <c r="E2219" s="1079">
        <f>VLOOKUP($B2219,DG!A:D,DG!$B$2,)</f>
        <v>0</v>
      </c>
      <c r="F2219" s="1080" t="str">
        <f>VLOOKUP($B2219,DG!A:D,DG!$C$2,)&amp;": 17m noái leân voû caùc thieát bò"</f>
        <v>Cáp đồng trần M25mm2: 17m noái leân voû caùc thieát bò</v>
      </c>
      <c r="G2219" s="1079" t="str">
        <f>VLOOKUP($B2219,DG!A:D,DG!$D$2,)</f>
        <v>kg</v>
      </c>
      <c r="H2219" s="1851">
        <f>17*0.224*H2216*0</f>
        <v>0</v>
      </c>
      <c r="I2219" s="1259">
        <f t="shared" si="124"/>
        <v>0</v>
      </c>
      <c r="J2219" s="1081"/>
      <c r="K2219" s="1081"/>
      <c r="L2219" s="1110"/>
      <c r="M2219" s="975">
        <v>630</v>
      </c>
    </row>
    <row r="2220" spans="1:13" s="1083" customFormat="1" ht="25.2" hidden="1" customHeight="1">
      <c r="A2220" s="1153">
        <f t="shared" si="125"/>
        <v>0</v>
      </c>
      <c r="B2220" s="1154" t="s">
        <v>1511</v>
      </c>
      <c r="C2220" s="1154"/>
      <c r="D2220" s="1078"/>
      <c r="E2220" s="1079">
        <f>VLOOKUP($B2220,DG!A:D,DG!$B$2,)</f>
        <v>0</v>
      </c>
      <c r="F2220" s="1080" t="str">
        <f>VLOOKUP($B2220,DG!A:D,DG!$C$2,)</f>
        <v>Cọc tiếp đất Þ 16- 2,4m + kẹp cọc mạ đồng</v>
      </c>
      <c r="G2220" s="1091" t="str">
        <f>VLOOKUP($B2220,DG!A:D,DG!$D$2,)</f>
        <v>bộ</v>
      </c>
      <c r="H2220" s="1851">
        <f>I2*H2216</f>
        <v>0</v>
      </c>
      <c r="I2220" s="1259">
        <f t="shared" si="124"/>
        <v>0</v>
      </c>
      <c r="J2220" s="1081"/>
      <c r="K2220" s="1081"/>
      <c r="L2220" s="1110"/>
      <c r="M2220" s="975">
        <v>630</v>
      </c>
    </row>
    <row r="2221" spans="1:13" s="1083" customFormat="1" ht="25.2" hidden="1" customHeight="1">
      <c r="A2221" s="1153">
        <f t="shared" si="125"/>
        <v>0</v>
      </c>
      <c r="B2221" s="1154" t="s">
        <v>1493</v>
      </c>
      <c r="C2221" s="1154"/>
      <c r="D2221" s="1078"/>
      <c r="E2221" s="1079" t="str">
        <f>VLOOKUP($B2221,DG!A:D,DG!$B$2,)</f>
        <v>07.2403</v>
      </c>
      <c r="F2221" s="1080" t="str">
        <f>VLOOKUP($B2221,DG!A:D,DG!$C$2,)</f>
        <v xml:space="preserve">Ống PVC D21x1,6mm </v>
      </c>
      <c r="G2221" s="1079" t="str">
        <f>VLOOKUP($B2221,DG!A:D,DG!$D$2,)</f>
        <v>m</v>
      </c>
      <c r="H2221" s="1851">
        <f>H2216*12</f>
        <v>0</v>
      </c>
      <c r="I2221" s="1259">
        <f t="shared" si="124"/>
        <v>0</v>
      </c>
      <c r="J2221" s="1081"/>
      <c r="K2221" s="1081"/>
      <c r="L2221" s="1082"/>
      <c r="M2221" s="975">
        <v>630</v>
      </c>
    </row>
    <row r="2222" spans="1:13" s="1083" customFormat="1" ht="25.2" hidden="1" customHeight="1">
      <c r="A2222" s="1153">
        <f t="shared" si="125"/>
        <v>0</v>
      </c>
      <c r="B2222" s="1329" t="s">
        <v>1582</v>
      </c>
      <c r="C2222" s="1329"/>
      <c r="D2222" s="1078"/>
      <c r="E2222" s="1079">
        <f>VLOOKUP($B2222,DG!A:D,DG!$B$2,)</f>
        <v>0</v>
      </c>
      <c r="F2222" s="1080" t="str">
        <f>VLOOKUP($B2222,DG!A:D,DG!$C$2,)&amp; " bắt dây trung tính "</f>
        <v xml:space="preserve">Kẹp ép WR cỡ dây 50mm2 bắt dây trung tính </v>
      </c>
      <c r="G2222" s="1091" t="str">
        <f>VLOOKUP($B2222,DG!A:D,DG!$D$2,)</f>
        <v>cái</v>
      </c>
      <c r="H2222" s="1851">
        <f>2*H2216</f>
        <v>0</v>
      </c>
      <c r="I2222" s="1259">
        <f t="shared" si="124"/>
        <v>0</v>
      </c>
      <c r="J2222" s="1081"/>
      <c r="K2222" s="1081"/>
      <c r="L2222" s="1110"/>
      <c r="M2222" s="975">
        <v>630</v>
      </c>
    </row>
    <row r="2223" spans="1:13" s="1083" customFormat="1" ht="25.2" hidden="1" customHeight="1">
      <c r="A2223" s="1153">
        <f t="shared" si="125"/>
        <v>0</v>
      </c>
      <c r="B2223" s="1329" t="s">
        <v>1398</v>
      </c>
      <c r="C2223" s="1329"/>
      <c r="D2223" s="1132"/>
      <c r="E2223" s="1079">
        <f>VLOOKUP($B2223,DG!A:D,DG!$B$2,)</f>
        <v>0</v>
      </c>
      <c r="F2223" s="1080" t="str">
        <f>VLOOKUP($B2223,DG!A:D,DG!$C$2,)&amp;":bắt lưới TĐ"</f>
        <v>Kẹp ép cỡ dây 25mm2:bắt lưới TĐ</v>
      </c>
      <c r="G2223" s="1091" t="str">
        <f>VLOOKUP($B2223,DG!A:D,DG!$D$2,)</f>
        <v>cái</v>
      </c>
      <c r="H2223" s="1889">
        <f>H2216*11</f>
        <v>0</v>
      </c>
      <c r="I2223" s="1259">
        <f t="shared" si="124"/>
        <v>0</v>
      </c>
      <c r="J2223" s="1081"/>
      <c r="K2223" s="1081"/>
      <c r="L2223" s="1110"/>
      <c r="M2223" s="975">
        <v>630</v>
      </c>
    </row>
    <row r="2224" spans="1:13" s="1083" customFormat="1" ht="25.2" hidden="1" customHeight="1">
      <c r="A2224" s="1153">
        <f t="shared" si="125"/>
        <v>0</v>
      </c>
      <c r="B2224" s="1154" t="s">
        <v>138</v>
      </c>
      <c r="C2224" s="1154"/>
      <c r="D2224" s="1078"/>
      <c r="E2224" s="1079">
        <f>VLOOKUP($B2224,DG!A:D,DG!$B$2,)</f>
        <v>0</v>
      </c>
      <c r="F2224" s="1080" t="str">
        <f>VLOOKUP($B2224,DG!A:D,DG!$C$2,)</f>
        <v>Boulon 12x40+ 2 long đền vuông D14-50x50x3/Zn</v>
      </c>
      <c r="G2224" s="1091" t="str">
        <f>VLOOKUP($B2224,DG!A:D,DG!$D$2,)</f>
        <v>bộ</v>
      </c>
      <c r="H2224" s="1851">
        <f>H2216*1</f>
        <v>0</v>
      </c>
      <c r="I2224" s="1259">
        <f t="shared" si="124"/>
        <v>0</v>
      </c>
      <c r="J2224" s="1081"/>
      <c r="K2224" s="1081"/>
      <c r="L2224" s="1110"/>
      <c r="M2224" s="975">
        <v>630</v>
      </c>
    </row>
    <row r="2225" spans="1:13" s="1083" customFormat="1" ht="25.2" hidden="1" customHeight="1">
      <c r="A2225" s="1153">
        <f t="shared" si="125"/>
        <v>0</v>
      </c>
      <c r="B2225" s="1154" t="s">
        <v>104</v>
      </c>
      <c r="C2225" s="1154"/>
      <c r="D2225" s="1078"/>
      <c r="E2225" s="1079" t="str">
        <f>VLOOKUP($B2225,DG!A:D,DG!$B$2,)</f>
        <v>03.4001</v>
      </c>
      <c r="F2225" s="1080" t="str">
        <f>VLOOKUP($B2225,DG!A:D,DG!$C$2,)</f>
        <v>Đầu cosse ép Cu 25mm2</v>
      </c>
      <c r="G2225" s="1091" t="str">
        <f>VLOOKUP($B2225,DG!A:D,DG!$D$2,)</f>
        <v>cái</v>
      </c>
      <c r="H2225" s="1851">
        <f>H2224*2</f>
        <v>0</v>
      </c>
      <c r="I2225" s="1259">
        <f t="shared" si="124"/>
        <v>0</v>
      </c>
      <c r="J2225" s="1081"/>
      <c r="K2225" s="1081"/>
      <c r="L2225" s="1110"/>
      <c r="M2225" s="975">
        <v>630</v>
      </c>
    </row>
    <row r="2226" spans="1:13" s="1083" customFormat="1" ht="25.2" hidden="1" customHeight="1">
      <c r="A2226" s="1153">
        <f t="shared" si="125"/>
        <v>0</v>
      </c>
      <c r="B2226" s="1154" t="s">
        <v>525</v>
      </c>
      <c r="C2226" s="1154"/>
      <c r="D2226" s="1078"/>
      <c r="E2226" s="1079" t="str">
        <f>VLOOKUP($B2226,DG!A:D,DG!$B$2,)</f>
        <v>06.3231</v>
      </c>
      <c r="F2226" s="1080" t="str">
        <f>VLOOKUP($B2226,DG!A:D,DG!$C$2,)&amp;": CD-250"</f>
        <v>Cổ dê kẹp ống PVC  21: CD-250</v>
      </c>
      <c r="G2226" s="1079" t="str">
        <f>VLOOKUP($B2226,DG!A:D,DG!$D$2,)</f>
        <v>bộ</v>
      </c>
      <c r="H2226" s="1851">
        <f>H2216*0.415</f>
        <v>0</v>
      </c>
      <c r="I2226" s="1259">
        <f t="shared" si="124"/>
        <v>0</v>
      </c>
      <c r="J2226" s="1081"/>
      <c r="K2226" s="1081"/>
      <c r="L2226" s="1082"/>
      <c r="M2226" s="975">
        <v>630</v>
      </c>
    </row>
    <row r="2227" spans="1:13" s="1083" customFormat="1" ht="25.2" hidden="1" customHeight="1">
      <c r="A2227" s="1153">
        <f t="shared" si="125"/>
        <v>0</v>
      </c>
      <c r="B2227" s="1154" t="s">
        <v>525</v>
      </c>
      <c r="C2227" s="1154"/>
      <c r="D2227" s="1078"/>
      <c r="E2227" s="1079" t="str">
        <f>VLOOKUP($B2227,DG!A:D,DG!$B$2,)</f>
        <v>06.3231</v>
      </c>
      <c r="F2227" s="1080" t="str">
        <f>VLOOKUP($B2227,DG!A:D,DG!$C$2,)&amp;": CD-280"</f>
        <v>Cổ dê kẹp ống PVC  21: CD-280</v>
      </c>
      <c r="G2227" s="1079" t="str">
        <f>VLOOKUP($B2227,DG!A:D,DG!$D$2,)</f>
        <v>bộ</v>
      </c>
      <c r="H2227" s="1851">
        <f>H2216*0.452</f>
        <v>0</v>
      </c>
      <c r="I2227" s="1259">
        <f t="shared" ref="I2227:I2290" si="126">IF(M2227=$M$23,H2227+J2227-K2227,0)</f>
        <v>0</v>
      </c>
      <c r="J2227" s="1081"/>
      <c r="K2227" s="1081"/>
      <c r="L2227" s="1082"/>
      <c r="M2227" s="975">
        <v>630</v>
      </c>
    </row>
    <row r="2228" spans="1:13" s="1083" customFormat="1" ht="25.2" hidden="1" customHeight="1">
      <c r="A2228" s="1153">
        <f t="shared" si="125"/>
        <v>0</v>
      </c>
      <c r="B2228" s="1154" t="s">
        <v>525</v>
      </c>
      <c r="C2228" s="1154"/>
      <c r="D2228" s="1078"/>
      <c r="E2228" s="1079" t="str">
        <f>VLOOKUP($B2228,DG!A:D,DG!$B$2,)</f>
        <v>06.3231</v>
      </c>
      <c r="F2228" s="1080" t="str">
        <f>VLOOKUP($B2228,DG!A:D,DG!$C$2,)&amp;": CD-320"</f>
        <v>Cổ dê kẹp ống PVC  21: CD-320</v>
      </c>
      <c r="G2228" s="1079" t="str">
        <f>VLOOKUP($B2228,DG!A:D,DG!$D$2,)</f>
        <v>bộ</v>
      </c>
      <c r="H2228" s="1851">
        <f>H2216*0.501</f>
        <v>0</v>
      </c>
      <c r="I2228" s="1259">
        <f t="shared" si="126"/>
        <v>0</v>
      </c>
      <c r="J2228" s="1081"/>
      <c r="K2228" s="1081"/>
      <c r="L2228" s="1082"/>
      <c r="M2228" s="975">
        <v>630</v>
      </c>
    </row>
    <row r="2229" spans="1:13" s="1083" customFormat="1" ht="25.2" hidden="1" customHeight="1">
      <c r="A2229" s="1153">
        <f t="shared" si="125"/>
        <v>0</v>
      </c>
      <c r="B2229" s="1154" t="s">
        <v>1131</v>
      </c>
      <c r="C2229" s="1154"/>
      <c r="D2229" s="1078"/>
      <c r="E2229" s="1079" t="str">
        <f>VLOOKUP($B2229,DG!A:D,DG!$B$2,)</f>
        <v>06.2110</v>
      </c>
      <c r="F2229" s="1080" t="str">
        <f>VLOOKUP($B2229,DG!A:D,DG!$C$2,)&amp;": CD-320"</f>
        <v>Lắp cổ dề: CD-320</v>
      </c>
      <c r="G2229" s="1079" t="str">
        <f>VLOOKUP($B2229,DG!A:D,DG!$D$2,)</f>
        <v>bộ</v>
      </c>
      <c r="H2229" s="1851">
        <f>H2217*0.501</f>
        <v>0</v>
      </c>
      <c r="I2229" s="1259">
        <f t="shared" si="126"/>
        <v>0</v>
      </c>
      <c r="J2229" s="1081"/>
      <c r="K2229" s="1081"/>
      <c r="L2229" s="1082"/>
      <c r="M2229" s="975">
        <v>630</v>
      </c>
    </row>
    <row r="2230" spans="1:13" s="1083" customFormat="1" ht="25.2" hidden="1" customHeight="1">
      <c r="A2230" s="1153">
        <f t="shared" si="125"/>
        <v>0</v>
      </c>
      <c r="B2230" s="1154" t="s">
        <v>138</v>
      </c>
      <c r="C2230" s="1154"/>
      <c r="D2230" s="1078"/>
      <c r="E2230" s="1079">
        <f>VLOOKUP($B2230,DG!A:D,DG!$B$2,)</f>
        <v>0</v>
      </c>
      <c r="F2230" s="1080" t="str">
        <f>VLOOKUP($B2230,DG!A:D,DG!$C$2,)</f>
        <v>Boulon 12x40+ 2 long đền vuông D14-50x50x3/Zn</v>
      </c>
      <c r="G2230" s="1079" t="str">
        <f>VLOOKUP($B2230,DG!A:D,DG!$D$2,)</f>
        <v>bộ</v>
      </c>
      <c r="H2230" s="1851">
        <f>H2216*6</f>
        <v>0</v>
      </c>
      <c r="I2230" s="1259">
        <f t="shared" si="126"/>
        <v>0</v>
      </c>
      <c r="J2230" s="1081"/>
      <c r="K2230" s="1081"/>
      <c r="L2230" s="1082"/>
      <c r="M2230" s="975">
        <v>630</v>
      </c>
    </row>
    <row r="2231" spans="1:13" s="1083" customFormat="1" ht="25.2" hidden="1" customHeight="1">
      <c r="A2231" s="1153">
        <f t="shared" si="125"/>
        <v>0</v>
      </c>
      <c r="B2231" s="1154" t="s">
        <v>1588</v>
      </c>
      <c r="C2231" s="1154"/>
      <c r="D2231" s="1078"/>
      <c r="E2231" s="1079">
        <f>VLOOKUP($B2231,DG!A:D,DG!$B$2,)</f>
        <v>0</v>
      </c>
      <c r="F2231" s="1080" t="str">
        <f>VLOOKUP($B2231,DG!A:D,DG!$C$2,)</f>
        <v>Giếng tiếp địa khoan đất</v>
      </c>
      <c r="G2231" s="1079" t="str">
        <f>VLOOKUP($B2231,DG!A:D,DG!$D$2,)</f>
        <v>Cái</v>
      </c>
      <c r="H2231" s="1851">
        <f>L3*H2216</f>
        <v>0</v>
      </c>
      <c r="I2231" s="1259">
        <f t="shared" si="126"/>
        <v>0</v>
      </c>
      <c r="J2231" s="1081"/>
      <c r="K2231" s="1081"/>
      <c r="L2231" s="1110"/>
      <c r="M2231" s="975">
        <v>630</v>
      </c>
    </row>
    <row r="2232" spans="1:13" s="1083" customFormat="1" ht="25.2" hidden="1" customHeight="1">
      <c r="A2232" s="1153">
        <f t="shared" si="125"/>
        <v>0</v>
      </c>
      <c r="B2232" s="1154" t="str">
        <f>"DTD"&amp;chitiet!G5</f>
        <v>DTD3</v>
      </c>
      <c r="C2232" s="1154"/>
      <c r="D2232" s="1090"/>
      <c r="E2232" s="1079" t="str">
        <f>VLOOKUP($B2232,DG!A:D,DG!$B$2,)</f>
        <v>03.3123</v>
      </c>
      <c r="F2232" s="1080" t="str">
        <f>VLOOKUP($B2232,DG!A:D,DG!$C$2,)</f>
        <v>Đào rãnh tiếp địa đất cấp 3</v>
      </c>
      <c r="G2232" s="1091" t="str">
        <f>VLOOKUP($B2232,DG!A:D,DG!$D$2,)</f>
        <v>m3</v>
      </c>
      <c r="H2232" s="1167">
        <f>I3*H2216</f>
        <v>0</v>
      </c>
      <c r="I2232" s="1259">
        <f t="shared" si="126"/>
        <v>0</v>
      </c>
      <c r="J2232" s="1081"/>
      <c r="K2232" s="1081"/>
      <c r="L2232" s="1110"/>
      <c r="M2232" s="975">
        <v>630</v>
      </c>
    </row>
    <row r="2233" spans="1:13" s="1083" customFormat="1" ht="25.2" hidden="1" customHeight="1">
      <c r="A2233" s="1153">
        <f t="shared" si="125"/>
        <v>0</v>
      </c>
      <c r="B2233" s="1154" t="str">
        <f>"DATD"&amp;chitiet!G5</f>
        <v>DATD3</v>
      </c>
      <c r="C2233" s="1154"/>
      <c r="D2233" s="1090"/>
      <c r="E2233" s="1079" t="str">
        <f>VLOOKUP($B2233,DG!A:D,DG!$B$2,)</f>
        <v>03.4123</v>
      </c>
      <c r="F2233" s="1080" t="str">
        <f>VLOOKUP($B2233,DG!A:D,DG!$C$2,)</f>
        <v>Đắp đất rãnh tiếp độ chặt k=0,85</v>
      </c>
      <c r="G2233" s="1091" t="str">
        <f>VLOOKUP($B2233,DG!A:D,DG!$D$2,)</f>
        <v>m3</v>
      </c>
      <c r="H2233" s="1167">
        <f>H2232</f>
        <v>0</v>
      </c>
      <c r="I2233" s="1259">
        <f t="shared" si="126"/>
        <v>0</v>
      </c>
      <c r="J2233" s="1081"/>
      <c r="K2233" s="1081"/>
      <c r="L2233" s="1110"/>
      <c r="M2233" s="975">
        <v>630</v>
      </c>
    </row>
    <row r="2234" spans="1:13" s="1083" customFormat="1" ht="25.2" hidden="1" customHeight="1">
      <c r="A2234" s="1153">
        <f t="shared" si="125"/>
        <v>0</v>
      </c>
      <c r="B2234" s="1154" t="s">
        <v>902</v>
      </c>
      <c r="C2234" s="1154"/>
      <c r="D2234" s="1090"/>
      <c r="E2234" s="1079" t="str">
        <f>VLOOKUP($B2234,DG!A:D,DG!$B$2,)</f>
        <v>04.7001</v>
      </c>
      <c r="F2234" s="1080" t="str">
        <f>VLOOKUP($B2234,DG!A:D,DG!$C$2,)</f>
        <v>Đóng cọc tiếp địa trong TBA</v>
      </c>
      <c r="G2234" s="1091" t="str">
        <f>VLOOKUP($B2234,DG!A:D,DG!$D$2,)</f>
        <v>cọc</v>
      </c>
      <c r="H2234" s="1167">
        <f>H2220</f>
        <v>0</v>
      </c>
      <c r="I2234" s="1259">
        <f t="shared" si="126"/>
        <v>0</v>
      </c>
      <c r="J2234" s="1081"/>
      <c r="K2234" s="1081"/>
      <c r="L2234" s="1110"/>
      <c r="M2234" s="975">
        <v>630</v>
      </c>
    </row>
    <row r="2235" spans="1:13" s="1083" customFormat="1" ht="25.2" hidden="1" customHeight="1">
      <c r="A2235" s="1153">
        <f t="shared" si="125"/>
        <v>0</v>
      </c>
      <c r="B2235" s="1154" t="s">
        <v>1440</v>
      </c>
      <c r="C2235" s="1154"/>
      <c r="D2235" s="1078"/>
      <c r="E2235" s="1079" t="str">
        <f>VLOOKUP($B2235,DG!A:D,DG!$B$2,)</f>
        <v>04.7002</v>
      </c>
      <c r="F2235" s="1080" t="str">
        <f>VLOOKUP($B2235,DG!A:D,DG!$C$2,)</f>
        <v>Kéo dây tiếp địa trong TBA</v>
      </c>
      <c r="G2235" s="1091" t="str">
        <f>VLOOKUP($B2235,DG!A:D,DG!$D$2,)</f>
        <v>mét</v>
      </c>
      <c r="H2235" s="1851">
        <f>H2216*I3</f>
        <v>0</v>
      </c>
      <c r="I2235" s="1259">
        <f t="shared" si="126"/>
        <v>0</v>
      </c>
      <c r="J2235" s="1081"/>
      <c r="K2235" s="1081"/>
      <c r="L2235" s="1110"/>
      <c r="M2235" s="975">
        <v>630</v>
      </c>
    </row>
    <row r="2236" spans="1:13" s="1083" customFormat="1" ht="25.2" hidden="1" customHeight="1">
      <c r="A2236" s="1153">
        <f t="shared" si="125"/>
        <v>0</v>
      </c>
      <c r="B2236" s="1324"/>
      <c r="C2236" s="1324"/>
      <c r="D2236" s="1084">
        <f>IF(H2236&gt;0,D2216+1,D2216)</f>
        <v>0</v>
      </c>
      <c r="E2236" s="1085"/>
      <c r="F2236" s="1086" t="s">
        <v>3739</v>
      </c>
      <c r="G2236" s="1084" t="s">
        <v>2391</v>
      </c>
      <c r="H2236" s="1867">
        <f>H2144</f>
        <v>0</v>
      </c>
      <c r="I2236" s="1259">
        <f t="shared" si="126"/>
        <v>0</v>
      </c>
      <c r="J2236" s="1081"/>
      <c r="K2236" s="1081"/>
      <c r="L2236" s="1082"/>
      <c r="M2236" s="975">
        <v>630</v>
      </c>
    </row>
    <row r="2237" spans="1:13" s="1083" customFormat="1" ht="25.2" hidden="1" customHeight="1">
      <c r="A2237" s="1153">
        <f t="shared" si="125"/>
        <v>0</v>
      </c>
      <c r="B2237" s="1324"/>
      <c r="C2237" s="1324"/>
      <c r="D2237" s="1078"/>
      <c r="E2237" s="1088"/>
      <c r="F2237" s="1367" t="s">
        <v>2285</v>
      </c>
      <c r="G2237" s="1090"/>
      <c r="H2237" s="1851"/>
      <c r="I2237" s="1259">
        <f t="shared" si="126"/>
        <v>0</v>
      </c>
      <c r="J2237" s="1081"/>
      <c r="K2237" s="1081"/>
      <c r="L2237" s="1082"/>
      <c r="M2237" s="975">
        <v>630</v>
      </c>
    </row>
    <row r="2238" spans="1:13" s="1083" customFormat="1" ht="25.2" hidden="1" customHeight="1">
      <c r="A2238" s="1153">
        <f t="shared" si="125"/>
        <v>0</v>
      </c>
      <c r="B2238" s="1324" t="s">
        <v>653</v>
      </c>
      <c r="C2238" s="1324"/>
      <c r="D2238" s="1090"/>
      <c r="E2238" s="1091">
        <f>VLOOKUP($B2238,DG!A:D,DG!$B$2,)</f>
        <v>0</v>
      </c>
      <c r="F2238" s="1092" t="str">
        <f>VLOOKUP($B2238,DG!A:D,DG!$C$2,)</f>
        <v>Ximăng (PC40)</v>
      </c>
      <c r="G2238" s="1091" t="str">
        <f>VLOOKUP($B2238,DG!A:D,DG!$D$2,)</f>
        <v>kg</v>
      </c>
      <c r="H2238" s="1851">
        <f>H2236*M2241</f>
        <v>0</v>
      </c>
      <c r="I2238" s="1259">
        <f t="shared" si="126"/>
        <v>0</v>
      </c>
      <c r="J2238" s="1081"/>
      <c r="K2238" s="1081"/>
      <c r="L2238" s="1082"/>
      <c r="M2238" s="975">
        <v>630</v>
      </c>
    </row>
    <row r="2239" spans="1:13" s="1083" customFormat="1" ht="25.2" hidden="1" customHeight="1">
      <c r="A2239" s="1153">
        <f t="shared" si="125"/>
        <v>0</v>
      </c>
      <c r="B2239" s="1324" t="s">
        <v>4440</v>
      </c>
      <c r="C2239" s="1324"/>
      <c r="D2239" s="1078"/>
      <c r="E2239" s="1091">
        <f>VLOOKUP($B2239,DG!A:D,DG!$B$2,)</f>
        <v>0</v>
      </c>
      <c r="F2239" s="1092" t="str">
        <f>VLOOKUP($B2239,DG!A:D,DG!$C$2,)</f>
        <v>Cát vàng</v>
      </c>
      <c r="G2239" s="1091" t="str">
        <f>VLOOKUP($B2239,DG!A:D,DG!$D$2,)</f>
        <v>m3</v>
      </c>
      <c r="H2239" s="1851">
        <f>H2236*N2241</f>
        <v>0</v>
      </c>
      <c r="I2239" s="1259">
        <f t="shared" si="126"/>
        <v>0</v>
      </c>
      <c r="J2239" s="1081"/>
      <c r="K2239" s="1081"/>
      <c r="L2239" s="1082"/>
      <c r="M2239" s="975">
        <v>630</v>
      </c>
    </row>
    <row r="2240" spans="1:13" s="1083" customFormat="1" ht="25.2" hidden="1" customHeight="1">
      <c r="A2240" s="1153">
        <f t="shared" si="125"/>
        <v>0</v>
      </c>
      <c r="B2240" s="1324" t="s">
        <v>216</v>
      </c>
      <c r="C2240" s="1324"/>
      <c r="D2240" s="1078"/>
      <c r="E2240" s="1091">
        <f>VLOOKUP($B2240,DG!A:D,DG!$B$2,)</f>
        <v>0</v>
      </c>
      <c r="F2240" s="1092" t="str">
        <f>VLOOKUP($B2240,DG!A:D,DG!$C$2,)</f>
        <v>Đá 1x2</v>
      </c>
      <c r="G2240" s="1091" t="str">
        <f>VLOOKUP($B2240,DG!A:D,DG!$D$2,)</f>
        <v>m3</v>
      </c>
      <c r="H2240" s="1851">
        <f>H2236*O2241</f>
        <v>0</v>
      </c>
      <c r="I2240" s="1259">
        <f t="shared" si="126"/>
        <v>0</v>
      </c>
      <c r="J2240" s="1081"/>
      <c r="K2240" s="1081"/>
      <c r="L2240" s="1082"/>
      <c r="M2240" s="975">
        <v>630</v>
      </c>
    </row>
    <row r="2241" spans="1:16" s="1083" customFormat="1" ht="25.2" hidden="1" customHeight="1">
      <c r="A2241" s="1153">
        <f t="shared" si="125"/>
        <v>0</v>
      </c>
      <c r="B2241" s="1324" t="s">
        <v>654</v>
      </c>
      <c r="C2241" s="1324"/>
      <c r="D2241" s="1090"/>
      <c r="E2241" s="1091" t="str">
        <f>VLOOKUP($B2241,DG!A:D,DG!$B$2,)</f>
        <v>04.1203c</v>
      </c>
      <c r="F2241" s="1092" t="str">
        <f>VLOOKUP($B2241,DG!A:D,DG!$C$2,)</f>
        <v>Đổ bê tông móng trụ &lt;=250cm-M200 đá 1x2</v>
      </c>
      <c r="G2241" s="1091" t="str">
        <f>VLOOKUP($B2241,DG!A:D,DG!$D$2,)</f>
        <v>m3</v>
      </c>
      <c r="H2241" s="1851">
        <f>H2236*(0.4*3*1-2*3.14*0.15^2*0.4)*1.025</f>
        <v>0</v>
      </c>
      <c r="I2241" s="1259">
        <f t="shared" si="126"/>
        <v>0</v>
      </c>
      <c r="J2241" s="1081"/>
      <c r="K2241" s="1081"/>
      <c r="L2241" s="1082"/>
      <c r="M2241" s="975">
        <v>630</v>
      </c>
      <c r="N2241" s="1093">
        <f>1.025*0.45</f>
        <v>0.46124999999999999</v>
      </c>
      <c r="O2241" s="1093">
        <f>1.025*0.866</f>
        <v>0.88764999999999994</v>
      </c>
      <c r="P2241" s="1237"/>
    </row>
    <row r="2242" spans="1:16" s="1083" customFormat="1" ht="25.2" hidden="1" customHeight="1">
      <c r="A2242" s="1153">
        <f t="shared" si="125"/>
        <v>0</v>
      </c>
      <c r="B2242" s="1324"/>
      <c r="C2242" s="1324"/>
      <c r="D2242" s="1084">
        <f>IF(H2242&gt;0,D2236+1,D2236)</f>
        <v>0</v>
      </c>
      <c r="E2242" s="1085"/>
      <c r="F2242" s="1086" t="s">
        <v>3740</v>
      </c>
      <c r="G2242" s="1084" t="s">
        <v>2391</v>
      </c>
      <c r="H2242" s="1867"/>
      <c r="I2242" s="1259">
        <f t="shared" si="126"/>
        <v>0</v>
      </c>
      <c r="J2242" s="1081"/>
      <c r="K2242" s="1081"/>
      <c r="L2242" s="1082"/>
      <c r="M2242" s="975">
        <v>630</v>
      </c>
    </row>
    <row r="2243" spans="1:16" s="1083" customFormat="1" ht="25.2" hidden="1" customHeight="1">
      <c r="A2243" s="1153">
        <f t="shared" si="125"/>
        <v>0</v>
      </c>
      <c r="B2243" s="1324"/>
      <c r="C2243" s="1324"/>
      <c r="D2243" s="1078"/>
      <c r="E2243" s="1088"/>
      <c r="F2243" s="1367" t="s">
        <v>2285</v>
      </c>
      <c r="G2243" s="1090"/>
      <c r="H2243" s="1851"/>
      <c r="I2243" s="1259">
        <f t="shared" si="126"/>
        <v>0</v>
      </c>
      <c r="J2243" s="1081"/>
      <c r="K2243" s="1081"/>
      <c r="L2243" s="1082"/>
      <c r="M2243" s="975">
        <v>630</v>
      </c>
    </row>
    <row r="2244" spans="1:16" s="1083" customFormat="1" ht="25.2" hidden="1" customHeight="1">
      <c r="A2244" s="1153">
        <f t="shared" si="125"/>
        <v>0</v>
      </c>
      <c r="B2244" s="1324" t="s">
        <v>653</v>
      </c>
      <c r="C2244" s="1324"/>
      <c r="D2244" s="1090"/>
      <c r="E2244" s="1091">
        <f>VLOOKUP($B2244,DG!A:D,DG!$B$2,)</f>
        <v>0</v>
      </c>
      <c r="F2244" s="1092" t="str">
        <f>VLOOKUP($B2244,DG!A:D,DG!$C$2,)</f>
        <v>Ximăng (PC40)</v>
      </c>
      <c r="G2244" s="1091" t="str">
        <f>VLOOKUP($B2244,DG!A:D,DG!$D$2,)</f>
        <v>kg</v>
      </c>
      <c r="H2244" s="1851">
        <f>H2247*M2247</f>
        <v>0</v>
      </c>
      <c r="I2244" s="1259">
        <f t="shared" si="126"/>
        <v>0</v>
      </c>
      <c r="J2244" s="1081"/>
      <c r="K2244" s="1081"/>
      <c r="L2244" s="1082"/>
      <c r="M2244" s="975">
        <v>630</v>
      </c>
    </row>
    <row r="2245" spans="1:16" s="1083" customFormat="1" ht="25.2" hidden="1" customHeight="1">
      <c r="A2245" s="1153">
        <f t="shared" si="125"/>
        <v>0</v>
      </c>
      <c r="B2245" s="1324" t="s">
        <v>4440</v>
      </c>
      <c r="C2245" s="1324"/>
      <c r="D2245" s="1078"/>
      <c r="E2245" s="1091">
        <f>VLOOKUP($B2245,DG!A:D,DG!$B$2,)</f>
        <v>0</v>
      </c>
      <c r="F2245" s="1092" t="str">
        <f>VLOOKUP($B2245,DG!A:D,DG!$C$2,)</f>
        <v>Cát vàng</v>
      </c>
      <c r="G2245" s="1091" t="str">
        <f>VLOOKUP($B2245,DG!A:D,DG!$D$2,)</f>
        <v>m3</v>
      </c>
      <c r="H2245" s="1868">
        <f>H2247*N2247</f>
        <v>0</v>
      </c>
      <c r="I2245" s="1259">
        <f t="shared" si="126"/>
        <v>0</v>
      </c>
      <c r="J2245" s="1081"/>
      <c r="K2245" s="1081"/>
      <c r="L2245" s="1082"/>
      <c r="M2245" s="975">
        <v>630</v>
      </c>
    </row>
    <row r="2246" spans="1:16" s="1083" customFormat="1" ht="25.2" hidden="1" customHeight="1">
      <c r="A2246" s="1153">
        <f t="shared" si="125"/>
        <v>0</v>
      </c>
      <c r="B2246" s="1324" t="s">
        <v>216</v>
      </c>
      <c r="C2246" s="1324"/>
      <c r="D2246" s="1078"/>
      <c r="E2246" s="1091">
        <f>VLOOKUP($B2246,DG!A:D,DG!$B$2,)</f>
        <v>0</v>
      </c>
      <c r="F2246" s="1092" t="str">
        <f>VLOOKUP($B2246,DG!A:D,DG!$C$2,)</f>
        <v>Đá 1x2</v>
      </c>
      <c r="G2246" s="1091" t="str">
        <f>VLOOKUP($B2246,DG!A:D,DG!$D$2,)</f>
        <v>m3</v>
      </c>
      <c r="H2246" s="1868">
        <f>H2247*O2247</f>
        <v>0</v>
      </c>
      <c r="I2246" s="1259">
        <f t="shared" si="126"/>
        <v>0</v>
      </c>
      <c r="J2246" s="1081"/>
      <c r="K2246" s="1081"/>
      <c r="L2246" s="1082"/>
      <c r="M2246" s="975">
        <v>630</v>
      </c>
    </row>
    <row r="2247" spans="1:16" s="1083" customFormat="1" ht="25.2" hidden="1" customHeight="1">
      <c r="A2247" s="1153">
        <f t="shared" si="125"/>
        <v>0</v>
      </c>
      <c r="B2247" s="1324" t="s">
        <v>654</v>
      </c>
      <c r="C2247" s="1324"/>
      <c r="D2247" s="1090"/>
      <c r="E2247" s="1091" t="str">
        <f>VLOOKUP($B2247,DG!A:D,DG!$B$2,)</f>
        <v>04.1203c</v>
      </c>
      <c r="F2247" s="1092" t="str">
        <f>VLOOKUP($B2247,DG!A:D,DG!$C$2,)</f>
        <v>Đổ bê tông móng trụ &lt;=250cm-M200 đá 1x2</v>
      </c>
      <c r="G2247" s="1091" t="str">
        <f>VLOOKUP($B2247,DG!A:D,DG!$D$2,)</f>
        <v>m3</v>
      </c>
      <c r="H2247" s="1851">
        <f>H2242*0.2*0.2*(0.2+0.2+0.8+0.8+2*4)</f>
        <v>0</v>
      </c>
      <c r="I2247" s="1259">
        <f t="shared" si="126"/>
        <v>0</v>
      </c>
      <c r="J2247" s="1081"/>
      <c r="K2247" s="1081"/>
      <c r="L2247" s="1082"/>
      <c r="M2247" s="975">
        <v>630</v>
      </c>
      <c r="N2247" s="1093">
        <f>1.025*0.45</f>
        <v>0.46124999999999999</v>
      </c>
      <c r="O2247" s="1093">
        <f>1.025*0.866</f>
        <v>0.88764999999999994</v>
      </c>
      <c r="P2247" s="1237"/>
    </row>
    <row r="2248" spans="1:16" s="1083" customFormat="1" ht="25.2" hidden="1" customHeight="1">
      <c r="A2248" s="1153">
        <f t="shared" si="125"/>
        <v>0</v>
      </c>
      <c r="B2248" s="1324"/>
      <c r="C2248" s="1324"/>
      <c r="D2248" s="1084">
        <f>IF(H2248&gt;0,D2242+1,D2242)</f>
        <v>0</v>
      </c>
      <c r="E2248" s="1085"/>
      <c r="F2248" s="1086" t="s">
        <v>3741</v>
      </c>
      <c r="G2248" s="1084" t="s">
        <v>2391</v>
      </c>
      <c r="H2248" s="1867">
        <f>H2139</f>
        <v>0</v>
      </c>
      <c r="I2248" s="1259">
        <f t="shared" si="126"/>
        <v>0</v>
      </c>
      <c r="J2248" s="1081"/>
      <c r="K2248" s="1081"/>
      <c r="L2248" s="1110"/>
      <c r="M2248" s="975">
        <v>630</v>
      </c>
    </row>
    <row r="2249" spans="1:16" s="1083" customFormat="1" ht="25.2" hidden="1" customHeight="1">
      <c r="A2249" s="1153">
        <f t="shared" si="125"/>
        <v>0</v>
      </c>
      <c r="B2249" s="1324"/>
      <c r="C2249" s="1324"/>
      <c r="D2249" s="1078"/>
      <c r="E2249" s="1088"/>
      <c r="F2249" s="1367" t="s">
        <v>2285</v>
      </c>
      <c r="G2249" s="1090"/>
      <c r="H2249" s="1851"/>
      <c r="I2249" s="1259">
        <f t="shared" si="126"/>
        <v>0</v>
      </c>
      <c r="J2249" s="1081"/>
      <c r="K2249" s="1081"/>
      <c r="L2249" s="1110"/>
      <c r="M2249" s="975">
        <v>630</v>
      </c>
    </row>
    <row r="2250" spans="1:16" s="1083" customFormat="1" ht="25.2" hidden="1" customHeight="1">
      <c r="A2250" s="1153">
        <f t="shared" si="125"/>
        <v>0</v>
      </c>
      <c r="B2250" s="1356" t="s">
        <v>2053</v>
      </c>
      <c r="C2250" s="1356"/>
      <c r="D2250" s="1090"/>
      <c r="E2250" s="1091" t="str">
        <f>VLOOKUP($B2250,DG!A:D,DG!$B$2,)</f>
        <v>05.1002</v>
      </c>
      <c r="F2250" s="1092" t="str">
        <f>VLOOKUP($B2250,DG!A:D,DG!$C$2,)</f>
        <v>Vỏ tủ trạm giàn 2 ngăn + khóa tủ</v>
      </c>
      <c r="G2250" s="1091" t="str">
        <f>VLOOKUP($B2250,DG!A:D,DG!$D$2,)</f>
        <v>cái</v>
      </c>
      <c r="H2250" s="1851">
        <f>H2248</f>
        <v>0</v>
      </c>
      <c r="I2250" s="1259">
        <f t="shared" si="126"/>
        <v>0</v>
      </c>
      <c r="J2250" s="1081"/>
      <c r="K2250" s="1081"/>
      <c r="L2250" s="1110"/>
      <c r="M2250" s="975">
        <v>630</v>
      </c>
    </row>
    <row r="2251" spans="1:16" s="1083" customFormat="1" ht="25.2" hidden="1" customHeight="1">
      <c r="A2251" s="1153">
        <f t="shared" si="125"/>
        <v>0</v>
      </c>
      <c r="B2251" s="1356" t="s">
        <v>1231</v>
      </c>
      <c r="C2251" s="1356"/>
      <c r="D2251" s="1090"/>
      <c r="E2251" s="1091" t="str">
        <f>VLOOKUP($B2251,DG!A:D,DG!$B$2,)</f>
        <v>05.1102</v>
      </c>
      <c r="F2251" s="1092" t="str">
        <f>VLOOKUP($B2251,DG!A:D,DG!$C$2,)</f>
        <v>Khung đỡ tủ MCCB và tủ bù</v>
      </c>
      <c r="G2251" s="1091" t="str">
        <f>VLOOKUP($B2251,DG!A:D,DG!$D$2,)</f>
        <v>trọn bộ</v>
      </c>
      <c r="H2251" s="1851"/>
      <c r="I2251" s="1259">
        <f t="shared" si="126"/>
        <v>0</v>
      </c>
      <c r="J2251" s="1081"/>
      <c r="K2251" s="1081"/>
      <c r="L2251" s="1110"/>
      <c r="M2251" s="975">
        <v>630</v>
      </c>
    </row>
    <row r="2252" spans="1:16" s="1083" customFormat="1" ht="25.2" hidden="1" customHeight="1">
      <c r="A2252" s="1153">
        <f t="shared" si="125"/>
        <v>0</v>
      </c>
      <c r="B2252" s="1324" t="s">
        <v>1538</v>
      </c>
      <c r="C2252" s="1324"/>
      <c r="D2252" s="1078"/>
      <c r="E2252" s="1091">
        <f>VLOOKUP($B2252,DG!A:D,DG!$B$2,)</f>
        <v>0</v>
      </c>
      <c r="F2252" s="1092" t="str">
        <f>VLOOKUP($B2252,DG!A:D,DG!$C$2,)</f>
        <v>Giá nới + Thanh cái tủ CB</v>
      </c>
      <c r="G2252" s="1091" t="str">
        <f>VLOOKUP($B2252,DG!A:D,DG!$D$2,)</f>
        <v>bộ</v>
      </c>
      <c r="H2252" s="1868">
        <f>H2248*0</f>
        <v>0</v>
      </c>
      <c r="I2252" s="1259">
        <f t="shared" si="126"/>
        <v>0</v>
      </c>
      <c r="J2252" s="1081"/>
      <c r="K2252" s="1081"/>
      <c r="L2252" s="1110"/>
      <c r="M2252" s="975">
        <v>630</v>
      </c>
    </row>
    <row r="2253" spans="1:16" s="1083" customFormat="1" ht="25.2" hidden="1" customHeight="1">
      <c r="A2253" s="1153">
        <f t="shared" si="125"/>
        <v>0</v>
      </c>
      <c r="B2253" s="1324" t="s">
        <v>880</v>
      </c>
      <c r="C2253" s="1324"/>
      <c r="D2253" s="1078"/>
      <c r="E2253" s="1091">
        <f>VLOOKUP($B2253,DG!A:D,DG!$B$2,)</f>
        <v>0</v>
      </c>
      <c r="F2253" s="1092" t="str">
        <f>VLOOKUP($B2253,DG!A:D,DG!$C$2,)</f>
        <v xml:space="preserve">Bakelit 550x450 dầy 10mm </v>
      </c>
      <c r="G2253" s="1091" t="str">
        <f>VLOOKUP($B2253,DG!A:D,DG!$D$2,)</f>
        <v>cái</v>
      </c>
      <c r="H2253" s="1868">
        <f>H2248*1</f>
        <v>0</v>
      </c>
      <c r="I2253" s="1259">
        <f t="shared" si="126"/>
        <v>0</v>
      </c>
      <c r="J2253" s="1081"/>
      <c r="K2253" s="1081"/>
      <c r="L2253" s="1110"/>
      <c r="M2253" s="975">
        <v>630</v>
      </c>
    </row>
    <row r="2254" spans="1:16" s="1083" customFormat="1" ht="25.2" hidden="1" customHeight="1">
      <c r="A2254" s="1153">
        <f t="shared" si="125"/>
        <v>0</v>
      </c>
      <c r="B2254" s="1324" t="s">
        <v>289</v>
      </c>
      <c r="C2254" s="1324"/>
      <c r="D2254" s="1090"/>
      <c r="E2254" s="1091" t="str">
        <f>VLOOKUP($B2254,DG!A:D,DG!$B$2,)</f>
        <v>06.3191</v>
      </c>
      <c r="F2254" s="1092" t="str">
        <f>VLOOKUP($B2254,DG!A:D,DG!$C$2,)</f>
        <v>Bảng tên trạm, bảng báo nguy hiểm + đinh vít</v>
      </c>
      <c r="G2254" s="1091" t="str">
        <f>VLOOKUP($B2254,DG!A:D,DG!$D$2,)</f>
        <v>bộ</v>
      </c>
      <c r="H2254" s="1851">
        <f>H2248</f>
        <v>0</v>
      </c>
      <c r="I2254" s="1259">
        <f t="shared" si="126"/>
        <v>0</v>
      </c>
      <c r="J2254" s="1081"/>
      <c r="K2254" s="1081"/>
      <c r="L2254" s="1110"/>
      <c r="M2254" s="975">
        <v>630</v>
      </c>
    </row>
    <row r="2255" spans="1:16" s="1083" customFormat="1" ht="25.2" hidden="1" customHeight="1">
      <c r="A2255" s="1153">
        <f t="shared" si="125"/>
        <v>0</v>
      </c>
      <c r="B2255" s="1324"/>
      <c r="C2255" s="1324"/>
      <c r="D2255" s="1084">
        <f>IF(H2255&gt;0,D2248+1,D2248)</f>
        <v>0</v>
      </c>
      <c r="E2255" s="1085"/>
      <c r="F2255" s="1086" t="s">
        <v>3742</v>
      </c>
      <c r="G2255" s="1084" t="s">
        <v>2538</v>
      </c>
      <c r="H2255" s="1867">
        <f>H2139*0</f>
        <v>0</v>
      </c>
      <c r="I2255" s="1259">
        <f t="shared" si="126"/>
        <v>0</v>
      </c>
      <c r="J2255" s="1081"/>
      <c r="K2255" s="1081"/>
      <c r="L2255" s="1082"/>
      <c r="M2255" s="975">
        <v>630</v>
      </c>
    </row>
    <row r="2256" spans="1:16" s="1083" customFormat="1" ht="25.2" hidden="1" customHeight="1">
      <c r="A2256" s="1153">
        <f t="shared" si="125"/>
        <v>0</v>
      </c>
      <c r="B2256" s="1324"/>
      <c r="C2256" s="1324"/>
      <c r="D2256" s="1078"/>
      <c r="E2256" s="1088"/>
      <c r="F2256" s="1367" t="s">
        <v>2285</v>
      </c>
      <c r="G2256" s="1090"/>
      <c r="H2256" s="1851"/>
      <c r="I2256" s="1259">
        <f t="shared" si="126"/>
        <v>0</v>
      </c>
      <c r="J2256" s="1081"/>
      <c r="K2256" s="1081"/>
      <c r="L2256" s="1082"/>
      <c r="M2256" s="975">
        <v>630</v>
      </c>
    </row>
    <row r="2257" spans="1:14" s="1083" customFormat="1" ht="25.2" hidden="1" customHeight="1">
      <c r="A2257" s="1153">
        <f t="shared" si="125"/>
        <v>0</v>
      </c>
      <c r="B2257" s="1324" t="s">
        <v>4440</v>
      </c>
      <c r="C2257" s="1324"/>
      <c r="D2257" s="1090"/>
      <c r="E2257" s="1091">
        <f>VLOOKUP($B2257,DG!A:D,DG!$B$2,)</f>
        <v>0</v>
      </c>
      <c r="F2257" s="1108" t="str">
        <f>VLOOKUP($B2257,DG!A:D,DG!$C$2,)&amp;": 0,315m3/m"</f>
        <v>Cát vàng: 0,315m3/m</v>
      </c>
      <c r="G2257" s="1091" t="str">
        <f>VLOOKUP($B2257,DG!A:D,DG!$D$2,)</f>
        <v>m3</v>
      </c>
      <c r="H2257" s="1851">
        <f>H2255*0.315</f>
        <v>0</v>
      </c>
      <c r="I2257" s="1259">
        <f t="shared" si="126"/>
        <v>0</v>
      </c>
      <c r="J2257" s="1081"/>
      <c r="K2257" s="1081"/>
      <c r="L2257" s="1082"/>
      <c r="M2257" s="975">
        <v>630</v>
      </c>
    </row>
    <row r="2258" spans="1:14" s="1083" customFormat="1" ht="25.2" hidden="1" customHeight="1">
      <c r="A2258" s="1153">
        <f t="shared" si="125"/>
        <v>0</v>
      </c>
      <c r="B2258" s="1326" t="s">
        <v>520</v>
      </c>
      <c r="C2258" s="1326"/>
      <c r="D2258" s="1090"/>
      <c r="E2258" s="1091">
        <f>VLOOKUP($B2258,DG!A:D,DG!$B$2,)</f>
        <v>0</v>
      </c>
      <c r="F2258" s="1108" t="str">
        <f>VLOOKUP($B2258,DG!A:D,DG!$C$2,)&amp;": 0,092m3/m"</f>
        <v>Đá 2x4: 0,092m3/m</v>
      </c>
      <c r="G2258" s="1091" t="str">
        <f>VLOOKUP($B2258,DG!A:D,DG!$D$2,)</f>
        <v>m3</v>
      </c>
      <c r="H2258" s="1851">
        <f>0.092*H2255</f>
        <v>0</v>
      </c>
      <c r="I2258" s="1259">
        <f t="shared" si="126"/>
        <v>0</v>
      </c>
      <c r="J2258" s="1081"/>
      <c r="K2258" s="1081"/>
      <c r="L2258" s="1082"/>
      <c r="M2258" s="975">
        <v>630</v>
      </c>
    </row>
    <row r="2259" spans="1:14" s="1083" customFormat="1" ht="25.2" hidden="1" customHeight="1">
      <c r="A2259" s="1153">
        <f t="shared" si="125"/>
        <v>0</v>
      </c>
      <c r="B2259" s="1326" t="s">
        <v>1679</v>
      </c>
      <c r="C2259" s="1326"/>
      <c r="D2259" s="1090"/>
      <c r="E2259" s="1091">
        <f>VLOOKUP($B2259,DG!A:D,DG!$B$2,)</f>
        <v>0</v>
      </c>
      <c r="F2259" s="1108" t="str">
        <f>VLOOKUP($B2259,DG!A:D,DG!$C$2,)&amp;": 3,3vieân/m"</f>
        <v>Gạch tàu: 3,3vieân/m</v>
      </c>
      <c r="G2259" s="1091" t="str">
        <f>VLOOKUP($B2259,DG!A:D,DG!$D$2,)</f>
        <v>viên</v>
      </c>
      <c r="H2259" s="1851">
        <f>3.3*H2255</f>
        <v>0</v>
      </c>
      <c r="I2259" s="1259">
        <f t="shared" si="126"/>
        <v>0</v>
      </c>
      <c r="J2259" s="1081"/>
      <c r="K2259" s="1081"/>
      <c r="L2259" s="1082"/>
      <c r="M2259" s="975">
        <v>630</v>
      </c>
    </row>
    <row r="2260" spans="1:14" s="1083" customFormat="1" ht="25.2" hidden="1" customHeight="1">
      <c r="A2260" s="1153">
        <f t="shared" si="125"/>
        <v>0</v>
      </c>
      <c r="B2260" s="1326" t="s">
        <v>1680</v>
      </c>
      <c r="C2260" s="1326"/>
      <c r="D2260" s="1090"/>
      <c r="E2260" s="1091">
        <f>VLOOKUP($B2260,DG!A:D,DG!$B$2,)</f>
        <v>0</v>
      </c>
      <c r="F2260" s="1108" t="str">
        <f>VLOOKUP($B2260,DG!A:D,DG!$C$2,)&amp;": 0,4m2/m"</f>
        <v>Tấm nilông màu cảnh báo: 0,4m2/m</v>
      </c>
      <c r="G2260" s="1091" t="str">
        <f>VLOOKUP($B2260,DG!A:D,DG!$D$2,)</f>
        <v>m2</v>
      </c>
      <c r="H2260" s="1851">
        <f>0.4*H2255</f>
        <v>0</v>
      </c>
      <c r="I2260" s="1259">
        <f t="shared" si="126"/>
        <v>0</v>
      </c>
      <c r="J2260" s="1081"/>
      <c r="K2260" s="1081"/>
      <c r="L2260" s="1082"/>
      <c r="M2260" s="975">
        <v>630</v>
      </c>
    </row>
    <row r="2261" spans="1:14" s="1083" customFormat="1" ht="25.2" hidden="1" customHeight="1">
      <c r="A2261" s="1153">
        <f t="shared" si="125"/>
        <v>0</v>
      </c>
      <c r="B2261" s="1326" t="s">
        <v>1521</v>
      </c>
      <c r="C2261" s="1326"/>
      <c r="D2261" s="1078"/>
      <c r="E2261" s="1091">
        <f>VLOOKUP($B2261,DG!A:D,DG!$B$2,)</f>
        <v>0</v>
      </c>
      <c r="F2261" s="1108" t="str">
        <f>VLOOKUP($B2261,DG!A:D,DG!$C$2,)</f>
        <v>Ống PVC D140x6,7mm</v>
      </c>
      <c r="G2261" s="1091" t="str">
        <f>VLOOKUP($B2261,DG!A:D,DG!$D$2,)</f>
        <v>m</v>
      </c>
      <c r="H2261" s="1851">
        <f>1*H2255</f>
        <v>0</v>
      </c>
      <c r="I2261" s="1259">
        <f t="shared" si="126"/>
        <v>0</v>
      </c>
      <c r="J2261" s="1081"/>
      <c r="K2261" s="1081"/>
      <c r="L2261" s="1082"/>
      <c r="M2261" s="975">
        <v>630</v>
      </c>
    </row>
    <row r="2262" spans="1:14" s="1083" customFormat="1" ht="25.2" hidden="1" customHeight="1">
      <c r="A2262" s="1153">
        <f t="shared" si="125"/>
        <v>0</v>
      </c>
      <c r="B2262" s="1326" t="s">
        <v>1682</v>
      </c>
      <c r="C2262" s="1326"/>
      <c r="D2262" s="1090"/>
      <c r="E2262" s="1091" t="str">
        <f>VLOOKUP($B2262,DG!A:D,DG!$B$2,)</f>
        <v>03.7000</v>
      </c>
      <c r="F2262" s="1108" t="str">
        <f>VLOOKUP($B2262,DG!A:D,DG!$C$2,)&amp;" + ñaép ñaù"</f>
        <v>Đắp cát  + ñaép ñaù</v>
      </c>
      <c r="G2262" s="1091" t="str">
        <f>VLOOKUP($B2262,DG!A:D,DG!$D$2,)</f>
        <v>m3</v>
      </c>
      <c r="H2262" s="1851">
        <f>H2257+H2258</f>
        <v>0</v>
      </c>
      <c r="I2262" s="1259">
        <f t="shared" si="126"/>
        <v>0</v>
      </c>
      <c r="J2262" s="1081"/>
      <c r="K2262" s="1081"/>
      <c r="L2262" s="1082"/>
      <c r="M2262" s="975">
        <v>630</v>
      </c>
    </row>
    <row r="2263" spans="1:14" s="1083" customFormat="1" ht="25.2" hidden="1" customHeight="1">
      <c r="A2263" s="1153">
        <f t="shared" si="125"/>
        <v>0</v>
      </c>
      <c r="B2263" s="1326" t="s">
        <v>144</v>
      </c>
      <c r="C2263" s="1326"/>
      <c r="D2263" s="1090"/>
      <c r="E2263" s="1091" t="str">
        <f>VLOOKUP($B2263,DG!A:D,DG!$B$2,)</f>
        <v>03.3103</v>
      </c>
      <c r="F2263" s="1108" t="str">
        <f>VLOOKUP($B2263,DG!A:D,DG!$C$2,)&amp;" : 0,48m3/m"</f>
        <v>Đào mương cáp ngầm đất cấp 3 : 0,48m3/m</v>
      </c>
      <c r="G2263" s="1091" t="str">
        <f>VLOOKUP($B2263,DG!A:D,DG!$D$2,)</f>
        <v>m3</v>
      </c>
      <c r="H2263" s="1851">
        <f>H2255*0.48</f>
        <v>0</v>
      </c>
      <c r="I2263" s="1259">
        <f t="shared" si="126"/>
        <v>0</v>
      </c>
      <c r="J2263" s="1081"/>
      <c r="K2263" s="1081"/>
      <c r="L2263" s="1082"/>
      <c r="M2263" s="975">
        <v>630</v>
      </c>
    </row>
    <row r="2264" spans="1:14" s="1083" customFormat="1" ht="25.2" hidden="1" customHeight="1">
      <c r="A2264" s="1153">
        <f t="shared" si="125"/>
        <v>0</v>
      </c>
      <c r="B2264" s="1326" t="s">
        <v>529</v>
      </c>
      <c r="C2264" s="1326"/>
      <c r="D2264" s="1090"/>
      <c r="E2264" s="1091" t="str">
        <f>VLOOKUP($B2264,DG!A:D,DG!$B$2,)</f>
        <v>03.3203</v>
      </c>
      <c r="F2264" s="1108" t="str">
        <f>VLOOKUP($B2264,DG!A:D,DG!$C$2,)&amp;" : 0,073m3/m"</f>
        <v>Đắp đất mương cáp ngầm, đất cấp 3 : 0,073m3/m</v>
      </c>
      <c r="G2264" s="1091" t="str">
        <f>VLOOKUP($B2264,DG!A:D,DG!$D$2,)</f>
        <v>m3</v>
      </c>
      <c r="H2264" s="1851">
        <f>H2255*0.073</f>
        <v>0</v>
      </c>
      <c r="I2264" s="1259">
        <f t="shared" si="126"/>
        <v>0</v>
      </c>
      <c r="J2264" s="1081"/>
      <c r="K2264" s="1081"/>
      <c r="L2264" s="1082"/>
      <c r="M2264" s="975">
        <v>630</v>
      </c>
      <c r="N2264" s="1133">
        <v>0.47499999999999998</v>
      </c>
    </row>
    <row r="2265" spans="1:14" s="1083" customFormat="1" ht="25.2" hidden="1" customHeight="1">
      <c r="A2265" s="1153">
        <f t="shared" si="125"/>
        <v>0</v>
      </c>
      <c r="B2265" s="1324"/>
      <c r="C2265" s="1324"/>
      <c r="D2265" s="1084">
        <f>IF(H2265&gt;0,D2255+1,D2255)</f>
        <v>0</v>
      </c>
      <c r="E2265" s="1085"/>
      <c r="F2265" s="1086" t="s">
        <v>3743</v>
      </c>
      <c r="G2265" s="1084" t="s">
        <v>2391</v>
      </c>
      <c r="H2265" s="1867">
        <f>H2274</f>
        <v>0</v>
      </c>
      <c r="I2265" s="1259">
        <f t="shared" si="126"/>
        <v>0</v>
      </c>
      <c r="J2265" s="1081"/>
      <c r="K2265" s="1081"/>
      <c r="L2265" s="1082"/>
      <c r="M2265" s="975">
        <v>630</v>
      </c>
      <c r="N2265" s="1133">
        <v>0.88100000000000001</v>
      </c>
    </row>
    <row r="2266" spans="1:14" s="1083" customFormat="1" ht="25.2" hidden="1" customHeight="1">
      <c r="A2266" s="1153">
        <f t="shared" ref="A2266:A2329" si="127">IF(I2266&gt;0,1,0)</f>
        <v>0</v>
      </c>
      <c r="B2266" s="1324"/>
      <c r="C2266" s="1324"/>
      <c r="D2266" s="1078"/>
      <c r="E2266" s="1088"/>
      <c r="F2266" s="1367" t="s">
        <v>2285</v>
      </c>
      <c r="G2266" s="1090"/>
      <c r="H2266" s="1851"/>
      <c r="I2266" s="1259">
        <f t="shared" si="126"/>
        <v>0</v>
      </c>
      <c r="J2266" s="1081"/>
      <c r="K2266" s="1081"/>
      <c r="L2266" s="1082"/>
      <c r="M2266" s="975">
        <v>630</v>
      </c>
    </row>
    <row r="2267" spans="1:14" s="1083" customFormat="1" ht="25.2" hidden="1" customHeight="1">
      <c r="A2267" s="1153">
        <f t="shared" si="127"/>
        <v>0</v>
      </c>
      <c r="B2267" s="1324" t="s">
        <v>623</v>
      </c>
      <c r="C2267" s="1324"/>
      <c r="D2267" s="1090"/>
      <c r="E2267" s="1091" t="str">
        <f>VLOOKUP($B2267,DG!A:D,DG!$B$2,)</f>
        <v>07.2204</v>
      </c>
      <c r="F2267" s="1092" t="str">
        <f>VLOOKUP($B2267,DG!A:D,DG!$C$2,)</f>
        <v>ÔÁng sắt tráng kẽm D140</v>
      </c>
      <c r="G2267" s="1091" t="str">
        <f>VLOOKUP($B2267,DG!A:D,DG!$D$2,)</f>
        <v>mét</v>
      </c>
      <c r="H2267" s="1851">
        <f>H2265*5*0</f>
        <v>0</v>
      </c>
      <c r="I2267" s="1259">
        <f t="shared" si="126"/>
        <v>0</v>
      </c>
      <c r="J2267" s="1081"/>
      <c r="K2267" s="1081"/>
      <c r="L2267" s="1082"/>
      <c r="M2267" s="975">
        <v>630</v>
      </c>
    </row>
    <row r="2268" spans="1:14" s="1083" customFormat="1" ht="25.2" hidden="1" customHeight="1">
      <c r="A2268" s="1153">
        <f t="shared" si="127"/>
        <v>0</v>
      </c>
      <c r="B2268" s="1326" t="s">
        <v>473</v>
      </c>
      <c r="C2268" s="1326"/>
      <c r="D2268" s="1078"/>
      <c r="E2268" s="1091">
        <f>VLOOKUP($B2268,DG!A:D,DG!$B$2,)</f>
        <v>0</v>
      </c>
      <c r="F2268" s="1092" t="str">
        <f>VLOOKUP($B2268,DG!A:D,DG!$C$2,)</f>
        <v>Co sừng 90 độ PVC 140</v>
      </c>
      <c r="G2268" s="1091" t="str">
        <f>VLOOKUP($B2268,DG!A:D,DG!$D$2,)</f>
        <v>cái</v>
      </c>
      <c r="H2268" s="1851">
        <f>H2265*0</f>
        <v>0</v>
      </c>
      <c r="I2268" s="1259">
        <f t="shared" si="126"/>
        <v>0</v>
      </c>
      <c r="J2268" s="1081"/>
      <c r="K2268" s="1081"/>
      <c r="L2268" s="1082"/>
      <c r="M2268" s="975">
        <v>630</v>
      </c>
    </row>
    <row r="2269" spans="1:14" s="1083" customFormat="1" ht="25.2" hidden="1" customHeight="1">
      <c r="A2269" s="1153">
        <f t="shared" si="127"/>
        <v>0</v>
      </c>
      <c r="B2269" s="1324" t="s">
        <v>120</v>
      </c>
      <c r="C2269" s="1324"/>
      <c r="D2269" s="1090"/>
      <c r="E2269" s="1091" t="str">
        <f>VLOOKUP($B2269,DG!A:D,DG!$B$2,)</f>
        <v>06.3231</v>
      </c>
      <c r="F2269" s="1092" t="str">
        <f>VLOOKUP($B2269,DG!A:D,DG!$C$2,)</f>
        <v>Cổ dê giữ ống STK D140 vào tường+Boulon+long đền+tắc ke sắt</v>
      </c>
      <c r="G2269" s="1091" t="str">
        <f>VLOOKUP($B2269,DG!A:D,DG!$D$2,)</f>
        <v>bộ</v>
      </c>
      <c r="H2269" s="1851">
        <f>H2265*2*0</f>
        <v>0</v>
      </c>
      <c r="I2269" s="1259">
        <f t="shared" si="126"/>
        <v>0</v>
      </c>
      <c r="J2269" s="1081"/>
      <c r="K2269" s="1081"/>
      <c r="L2269" s="1082"/>
      <c r="M2269" s="975">
        <v>630</v>
      </c>
    </row>
    <row r="2270" spans="1:14" s="1083" customFormat="1" ht="25.2" hidden="1" customHeight="1">
      <c r="A2270" s="1153">
        <f t="shared" si="127"/>
        <v>0</v>
      </c>
      <c r="B2270" s="1154" t="s">
        <v>1412</v>
      </c>
      <c r="C2270" s="1154"/>
      <c r="D2270" s="1090"/>
      <c r="E2270" s="1091">
        <f>VLOOKUP($B2270,DG!A:D,DG!$B$2,)</f>
        <v>0</v>
      </c>
      <c r="F2270" s="1092" t="str">
        <f>VLOOKUP($B2270,DG!A:D,DG!$C$2,)</f>
        <v>Giá đỡ cáp ngầm (V63x6)</v>
      </c>
      <c r="G2270" s="1091" t="str">
        <f>VLOOKUP($B2270,DG!A:D,DG!$D$2,)</f>
        <v>bộ</v>
      </c>
      <c r="H2270" s="1851">
        <f>H2265*0</f>
        <v>0</v>
      </c>
      <c r="I2270" s="1259">
        <f t="shared" si="126"/>
        <v>0</v>
      </c>
      <c r="J2270" s="1081"/>
      <c r="K2270" s="1081"/>
      <c r="L2270" s="1082"/>
      <c r="M2270" s="975">
        <v>630</v>
      </c>
    </row>
    <row r="2271" spans="1:14" s="1083" customFormat="1" ht="25.2" hidden="1" customHeight="1">
      <c r="A2271" s="1153">
        <f t="shared" si="127"/>
        <v>0</v>
      </c>
      <c r="B2271" s="1154" t="s">
        <v>2144</v>
      </c>
      <c r="C2271" s="1154"/>
      <c r="D2271" s="1090"/>
      <c r="E2271" s="1091">
        <f>VLOOKUP($B2271,DG!A:D,DG!$B$2,)</f>
        <v>0</v>
      </c>
      <c r="F2271" s="1092" t="str">
        <f>VLOOKUP($B2271,DG!A:D,DG!$C$2,)</f>
        <v>Giá đỡ cáp trung hạ thế</v>
      </c>
      <c r="G2271" s="1091" t="str">
        <f>VLOOKUP($B2271,DG!A:D,DG!$D$2,)</f>
        <v>bộ</v>
      </c>
      <c r="H2271" s="1851">
        <f>H2265</f>
        <v>0</v>
      </c>
      <c r="I2271" s="1259">
        <f t="shared" si="126"/>
        <v>0</v>
      </c>
      <c r="J2271" s="1081"/>
      <c r="K2271" s="1081"/>
      <c r="L2271" s="1082"/>
      <c r="M2271" s="975">
        <v>630</v>
      </c>
    </row>
    <row r="2272" spans="1:14" s="1083" customFormat="1" ht="25.2" hidden="1" customHeight="1">
      <c r="A2272" s="1153">
        <f t="shared" si="127"/>
        <v>0</v>
      </c>
      <c r="B2272" s="1324" t="s">
        <v>1413</v>
      </c>
      <c r="C2272" s="1324"/>
      <c r="D2272" s="1078"/>
      <c r="E2272" s="1091" t="str">
        <f>VLOOKUP($B2272,DG!A:D,DG!$B$2,)</f>
        <v>05.6101</v>
      </c>
      <c r="F2272" s="1092" t="str">
        <f>VLOOKUP($B2272,DG!A:D,DG!$C$2,)</f>
        <v>Lắp Giá đỡ cáp</v>
      </c>
      <c r="G2272" s="1091" t="str">
        <f>VLOOKUP($B2272,DG!A:D,DG!$D$2,)</f>
        <v>bộ</v>
      </c>
      <c r="H2272" s="1851">
        <f>H2270+H2271</f>
        <v>0</v>
      </c>
      <c r="I2272" s="1259">
        <f t="shared" si="126"/>
        <v>0</v>
      </c>
      <c r="J2272" s="1081"/>
      <c r="K2272" s="1081"/>
      <c r="L2272" s="1082"/>
      <c r="M2272" s="975">
        <v>630</v>
      </c>
    </row>
    <row r="2273" spans="1:13" s="1083" customFormat="1" ht="25.2" hidden="1" customHeight="1">
      <c r="A2273" s="1153">
        <f t="shared" si="127"/>
        <v>0</v>
      </c>
      <c r="B2273" s="1324" t="s">
        <v>289</v>
      </c>
      <c r="C2273" s="1324"/>
      <c r="D2273" s="1090"/>
      <c r="E2273" s="1091" t="str">
        <f>VLOOKUP($B2273,DG!A:D,DG!$B$2,)</f>
        <v>06.3191</v>
      </c>
      <c r="F2273" s="1092" t="str">
        <f>VLOOKUP($B2273,DG!A:D,DG!$C$2,)</f>
        <v>Bảng tên trạm, bảng báo nguy hiểm + đinh vít</v>
      </c>
      <c r="G2273" s="1091" t="str">
        <f>VLOOKUP($B2273,DG!A:D,DG!$D$2,)</f>
        <v>bộ</v>
      </c>
      <c r="H2273" s="1851">
        <f>H2265*0</f>
        <v>0</v>
      </c>
      <c r="I2273" s="1259">
        <f t="shared" si="126"/>
        <v>0</v>
      </c>
      <c r="J2273" s="1081"/>
      <c r="K2273" s="1081"/>
      <c r="L2273" s="1082"/>
      <c r="M2273" s="975">
        <v>630</v>
      </c>
    </row>
    <row r="2274" spans="1:13" s="1083" customFormat="1" ht="25.2" hidden="1" customHeight="1">
      <c r="A2274" s="1153">
        <f t="shared" si="127"/>
        <v>0</v>
      </c>
      <c r="B2274" s="1324"/>
      <c r="C2274" s="1324"/>
      <c r="D2274" s="1084">
        <f>IF(H2274&gt;0,D2265+1,D2265)</f>
        <v>0</v>
      </c>
      <c r="E2274" s="1085"/>
      <c r="F2274" s="1094" t="s">
        <v>3758</v>
      </c>
      <c r="G2274" s="1084" t="s">
        <v>2391</v>
      </c>
      <c r="H2274" s="1867">
        <f>H2139*0</f>
        <v>0</v>
      </c>
      <c r="I2274" s="1259">
        <f t="shared" si="126"/>
        <v>0</v>
      </c>
      <c r="J2274" s="1081"/>
      <c r="K2274" s="1081"/>
      <c r="L2274" s="1082"/>
      <c r="M2274" s="975">
        <v>630</v>
      </c>
    </row>
    <row r="2275" spans="1:13" s="1083" customFormat="1" ht="25.2" hidden="1" customHeight="1">
      <c r="A2275" s="1153">
        <f t="shared" si="127"/>
        <v>0</v>
      </c>
      <c r="B2275" s="1324"/>
      <c r="C2275" s="1324"/>
      <c r="D2275" s="1078"/>
      <c r="E2275" s="1088"/>
      <c r="F2275" s="1368" t="s">
        <v>2285</v>
      </c>
      <c r="G2275" s="1078"/>
      <c r="H2275" s="1868"/>
      <c r="I2275" s="1259">
        <f t="shared" si="126"/>
        <v>0</v>
      </c>
      <c r="J2275" s="1081"/>
      <c r="K2275" s="1081"/>
      <c r="L2275" s="1082"/>
      <c r="M2275" s="975">
        <v>630</v>
      </c>
    </row>
    <row r="2276" spans="1:13" s="1083" customFormat="1" ht="25.2" hidden="1" customHeight="1">
      <c r="A2276" s="1153">
        <f t="shared" si="127"/>
        <v>0</v>
      </c>
      <c r="B2276" s="1154" t="s">
        <v>470</v>
      </c>
      <c r="C2276" s="1154"/>
      <c r="D2276" s="1090"/>
      <c r="E2276" s="1079">
        <f>VLOOKUP($B2276,DG!A:D,DG!$B$2,)</f>
        <v>0</v>
      </c>
      <c r="F2276" s="1080" t="str">
        <f>VLOOKUP($B2276,DG!A:D,DG!$C$2,)&amp;": trong möông vaø leân MBA"</f>
        <v>Cáp 24kV C/XLPE/DSTA/PVC3x50: trong möông vaø leân MBA</v>
      </c>
      <c r="G2276" s="1079" t="str">
        <f>VLOOKUP($B2276,DG!A:D,DG!$D$2,)</f>
        <v>mét</v>
      </c>
      <c r="H2276" s="1851">
        <f>H2255+H2274*8</f>
        <v>0</v>
      </c>
      <c r="I2276" s="1259">
        <f t="shared" si="126"/>
        <v>0</v>
      </c>
      <c r="J2276" s="1081"/>
      <c r="K2276" s="1081"/>
      <c r="L2276" s="1082"/>
      <c r="M2276" s="975">
        <v>630</v>
      </c>
    </row>
    <row r="2277" spans="1:13" s="1083" customFormat="1" ht="25.2" hidden="1" customHeight="1">
      <c r="A2277" s="1153">
        <f t="shared" si="127"/>
        <v>0</v>
      </c>
      <c r="B2277" s="1154" t="s">
        <v>271</v>
      </c>
      <c r="C2277" s="1154"/>
      <c r="D2277" s="1090"/>
      <c r="E2277" s="1079">
        <f>VLOOKUP($B2277,DG!A:D,DG!$B$2,)</f>
        <v>0</v>
      </c>
      <c r="F2277" s="1080" t="str">
        <f>VLOOKUP($B2277,DG!A:D,DG!$C$2,)&amp;": trung tính"</f>
        <v>Cáp 24KV C/XLPE/PVC 50mm2: trung tính</v>
      </c>
      <c r="G2277" s="1079" t="str">
        <f>VLOOKUP($B2277,DG!A:D,DG!$D$2,)</f>
        <v>mét</v>
      </c>
      <c r="H2277" s="1851">
        <f>H2276</f>
        <v>0</v>
      </c>
      <c r="I2277" s="1259">
        <f t="shared" si="126"/>
        <v>0</v>
      </c>
      <c r="J2277" s="1081"/>
      <c r="K2277" s="1081"/>
      <c r="L2277" s="1082"/>
      <c r="M2277" s="975">
        <v>630</v>
      </c>
    </row>
    <row r="2278" spans="1:13" s="1083" customFormat="1" ht="25.2" hidden="1" customHeight="1">
      <c r="A2278" s="1153">
        <f t="shared" si="127"/>
        <v>0</v>
      </c>
      <c r="B2278" s="1154" t="s">
        <v>271</v>
      </c>
      <c r="C2278" s="1154"/>
      <c r="D2278" s="1090"/>
      <c r="E2278" s="1079">
        <f>VLOOKUP($B2278,DG!A:D,DG!$B$2,)</f>
        <v>0</v>
      </c>
      <c r="F2278" s="1080" t="str">
        <f>VLOOKUP($B2278,DG!A:D,DG!$C$2,)&amp;": 0,5m/pha töø FCO xuoáng MBA"</f>
        <v>Cáp 24KV C/XLPE/PVC 50mm2: 0,5m/pha töø FCO xuoáng MBA</v>
      </c>
      <c r="G2278" s="1079" t="str">
        <f>VLOOKUP($B2278,DG!A:D,DG!$D$2,)</f>
        <v>mét</v>
      </c>
      <c r="H2278" s="1851">
        <f>H2274*0.5*3*0</f>
        <v>0</v>
      </c>
      <c r="I2278" s="1259">
        <f t="shared" si="126"/>
        <v>0</v>
      </c>
      <c r="J2278" s="1081"/>
      <c r="K2278" s="1081"/>
      <c r="L2278" s="1082"/>
      <c r="M2278" s="975">
        <v>630</v>
      </c>
    </row>
    <row r="2279" spans="1:13" s="1083" customFormat="1" ht="25.2" hidden="1" customHeight="1">
      <c r="A2279" s="1153">
        <f t="shared" si="127"/>
        <v>0</v>
      </c>
      <c r="B2279" s="1154" t="s">
        <v>1355</v>
      </c>
      <c r="C2279" s="1154"/>
      <c r="D2279" s="1090"/>
      <c r="E2279" s="1079">
        <f>VLOOKUP($B2279,DG!A:D,DG!$B$2,)</f>
        <v>0</v>
      </c>
      <c r="F2279" s="1080" t="str">
        <f>VLOOKUP($B2279,DG!A:D,DG!$C$2,)</f>
        <v>Đầu cáp ngầm 24KV 3x50mm2 outdoor</v>
      </c>
      <c r="G2279" s="1079" t="str">
        <f>VLOOKUP($B2279,DG!A:D,DG!$D$2,)</f>
        <v>cái</v>
      </c>
      <c r="H2279" s="1851">
        <f>H2274</f>
        <v>0</v>
      </c>
      <c r="I2279" s="1259">
        <f t="shared" si="126"/>
        <v>0</v>
      </c>
      <c r="J2279" s="1081"/>
      <c r="K2279" s="1081"/>
      <c r="L2279" s="1082"/>
      <c r="M2279" s="975">
        <v>630</v>
      </c>
    </row>
    <row r="2280" spans="1:13" s="1083" customFormat="1" ht="25.2" hidden="1" customHeight="1">
      <c r="A2280" s="1153">
        <f t="shared" si="127"/>
        <v>0</v>
      </c>
      <c r="B2280" s="1154" t="s">
        <v>470</v>
      </c>
      <c r="C2280" s="1154"/>
      <c r="D2280" s="1090"/>
      <c r="E2280" s="1079">
        <f>VLOOKUP($B2280,DG!A:D,DG!$B$2,)</f>
        <v>0</v>
      </c>
      <c r="F2280" s="1080" t="str">
        <f>VLOOKUP($B2280,DG!A:D,DG!$C$2,)&amp;": töø tuû LBS ñeán MBA"</f>
        <v>Cáp 24kV C/XLPE/DSTA/PVC3x50: töø tuû LBS ñeán MBA</v>
      </c>
      <c r="G2280" s="1079" t="str">
        <f>VLOOKUP($B2280,DG!A:D,DG!$D$2,)</f>
        <v>mét</v>
      </c>
      <c r="H2280" s="1851">
        <f>(1.2+2.4)*H2274*0</f>
        <v>0</v>
      </c>
      <c r="I2280" s="1259">
        <f t="shared" si="126"/>
        <v>0</v>
      </c>
      <c r="J2280" s="1081"/>
      <c r="K2280" s="1081"/>
      <c r="L2280" s="1082"/>
      <c r="M2280" s="975">
        <v>630</v>
      </c>
    </row>
    <row r="2281" spans="1:13" s="1083" customFormat="1" ht="25.2" hidden="1" customHeight="1">
      <c r="A2281" s="1153">
        <f t="shared" si="127"/>
        <v>0</v>
      </c>
      <c r="B2281" s="1154" t="s">
        <v>271</v>
      </c>
      <c r="C2281" s="1154"/>
      <c r="D2281" s="1090"/>
      <c r="E2281" s="1079">
        <f>VLOOKUP($B2281,DG!A:D,DG!$B$2,)</f>
        <v>0</v>
      </c>
      <c r="F2281" s="1080" t="str">
        <f>VLOOKUP($B2281,DG!A:D,DG!$C$2,)&amp;": töø tuû LBS ñeán MBA"</f>
        <v>Cáp 24KV C/XLPE/PVC 50mm2: töø tuû LBS ñeán MBA</v>
      </c>
      <c r="G2281" s="1079" t="str">
        <f>VLOOKUP($B2281,DG!A:D,DG!$D$2,)</f>
        <v>mét</v>
      </c>
      <c r="H2281" s="1851">
        <f>H2274*1.2*0</f>
        <v>0</v>
      </c>
      <c r="I2281" s="1259">
        <f t="shared" si="126"/>
        <v>0</v>
      </c>
      <c r="J2281" s="1081"/>
      <c r="K2281" s="1081"/>
      <c r="L2281" s="1082"/>
      <c r="M2281" s="975">
        <v>630</v>
      </c>
    </row>
    <row r="2282" spans="1:13" s="1083" customFormat="1" ht="25.2" hidden="1" customHeight="1">
      <c r="A2282" s="1153">
        <f t="shared" si="127"/>
        <v>0</v>
      </c>
      <c r="B2282" s="1154" t="s">
        <v>1356</v>
      </c>
      <c r="C2282" s="1154"/>
      <c r="D2282" s="1090"/>
      <c r="E2282" s="1079">
        <f>VLOOKUP($B2282,DG!A:D,DG!$B$2,)</f>
        <v>0</v>
      </c>
      <c r="F2282" s="1080" t="str">
        <f>VLOOKUP($B2282,DG!A:D,DG!$C$2,)</f>
        <v>Đầu cáp ngầm 24KV 3x50mm2 indoor</v>
      </c>
      <c r="G2282" s="1079" t="str">
        <f>VLOOKUP($B2282,DG!A:D,DG!$D$2,)</f>
        <v>cái</v>
      </c>
      <c r="H2282" s="1851">
        <f>H2274</f>
        <v>0</v>
      </c>
      <c r="I2282" s="1259">
        <f t="shared" si="126"/>
        <v>0</v>
      </c>
      <c r="J2282" s="1081"/>
      <c r="K2282" s="1081"/>
      <c r="L2282" s="1082"/>
      <c r="M2282" s="975">
        <v>630</v>
      </c>
    </row>
    <row r="2283" spans="1:13" s="1083" customFormat="1" ht="25.2" hidden="1" customHeight="1">
      <c r="A2283" s="1153">
        <f t="shared" si="127"/>
        <v>0</v>
      </c>
      <c r="B2283" s="1154" t="s">
        <v>1678</v>
      </c>
      <c r="C2283" s="1154"/>
      <c r="D2283" s="1090"/>
      <c r="E2283" s="1079" t="str">
        <f>VLOOKUP($B2283,DG!A:D,DG!$B$2,)</f>
        <v>07.4312</v>
      </c>
      <c r="F2283" s="1080" t="str">
        <f>VLOOKUP($B2283,DG!A:D,DG!$C$2,)</f>
        <v>Lắp đầu cáp trung thế 3x50mm2, 70mm2</v>
      </c>
      <c r="G2283" s="1079" t="str">
        <f>VLOOKUP($B2283,DG!A:D,DG!$D$2,)</f>
        <v>cái</v>
      </c>
      <c r="H2283" s="1851">
        <f>H2279+H2282</f>
        <v>0</v>
      </c>
      <c r="I2283" s="1259">
        <f t="shared" si="126"/>
        <v>0</v>
      </c>
      <c r="J2283" s="1081"/>
      <c r="K2283" s="1081"/>
      <c r="L2283" s="1082"/>
      <c r="M2283" s="975">
        <v>630</v>
      </c>
    </row>
    <row r="2284" spans="1:13" s="1083" customFormat="1" ht="25.2" hidden="1" customHeight="1">
      <c r="A2284" s="1153">
        <f t="shared" si="127"/>
        <v>0</v>
      </c>
      <c r="B2284" s="1154" t="s">
        <v>1204</v>
      </c>
      <c r="C2284" s="1154"/>
      <c r="D2284" s="1090"/>
      <c r="E2284" s="1079" t="str">
        <f>VLOOKUP($B2284,DG!A:D,DG!$B$2,)</f>
        <v>03.1405</v>
      </c>
      <c r="F2284" s="1080" t="str">
        <f>VLOOKUP($B2284,DG!A:D,DG!$C$2,)</f>
        <v>Lắp cáp trong ống bảo vệ trong TBA loại &lt;=6kg</v>
      </c>
      <c r="G2284" s="1079" t="str">
        <f>VLOOKUP($B2284,DG!A:D,DG!$D$2,)</f>
        <v>mét</v>
      </c>
      <c r="H2284" s="1851">
        <f>H2276+H2280</f>
        <v>0</v>
      </c>
      <c r="I2284" s="1259">
        <f t="shared" si="126"/>
        <v>0</v>
      </c>
      <c r="J2284" s="1081"/>
      <c r="K2284" s="1081"/>
      <c r="L2284" s="1082"/>
      <c r="M2284" s="975">
        <v>630</v>
      </c>
    </row>
    <row r="2285" spans="1:13" s="1083" customFormat="1" ht="25.2" hidden="1" customHeight="1">
      <c r="A2285" s="1153">
        <f t="shared" si="127"/>
        <v>0</v>
      </c>
      <c r="B2285" s="1154" t="s">
        <v>1201</v>
      </c>
      <c r="C2285" s="1154"/>
      <c r="D2285" s="1090"/>
      <c r="E2285" s="1079" t="str">
        <f>VLOOKUP($B2285,DG!A:D,DG!$B$2,)</f>
        <v>03.1402</v>
      </c>
      <c r="F2285" s="1080" t="str">
        <f>VLOOKUP($B2285,DG!A:D,DG!$C$2,)</f>
        <v>Lắp cáp trong ống bảo vệ trong TBA loại &lt;=2kg</v>
      </c>
      <c r="G2285" s="1079" t="str">
        <f>VLOOKUP($B2285,DG!A:D,DG!$D$2,)</f>
        <v>mét</v>
      </c>
      <c r="H2285" s="1851">
        <f>H2277+H2281</f>
        <v>0</v>
      </c>
      <c r="I2285" s="1259">
        <f t="shared" si="126"/>
        <v>0</v>
      </c>
      <c r="J2285" s="1081"/>
      <c r="K2285" s="1081"/>
      <c r="L2285" s="1082"/>
      <c r="M2285" s="975">
        <v>630</v>
      </c>
    </row>
    <row r="2286" spans="1:13" s="1083" customFormat="1" ht="25.2" hidden="1" customHeight="1">
      <c r="A2286" s="1153">
        <f t="shared" si="127"/>
        <v>0</v>
      </c>
      <c r="B2286" s="1154" t="s">
        <v>1528</v>
      </c>
      <c r="C2286" s="1154"/>
      <c r="D2286" s="1090"/>
      <c r="E2286" s="1079" t="str">
        <f>VLOOKUP($B2286,DG!A:D,DG!$B$2,)</f>
        <v>04.4201</v>
      </c>
      <c r="F2286" s="1080" t="str">
        <f>VLOOKUP($B2286,DG!A:D,DG!$C$2,)</f>
        <v>Lắp cáp đồng xuống thiết bị D ≤ 95mm2</v>
      </c>
      <c r="G2286" s="1079" t="str">
        <f>VLOOKUP($B2286,DG!A:D,DG!$D$2,)</f>
        <v>m</v>
      </c>
      <c r="H2286" s="1851">
        <f>H2278</f>
        <v>0</v>
      </c>
      <c r="I2286" s="1259">
        <f t="shared" si="126"/>
        <v>0</v>
      </c>
      <c r="J2286" s="1081"/>
      <c r="K2286" s="1081"/>
      <c r="L2286" s="1082"/>
      <c r="M2286" s="975">
        <v>630</v>
      </c>
    </row>
    <row r="2287" spans="1:13" s="1083" customFormat="1" ht="25.2" hidden="1" customHeight="1">
      <c r="A2287" s="1153">
        <f t="shared" si="127"/>
        <v>0</v>
      </c>
      <c r="B2287" s="1154" t="s">
        <v>1352</v>
      </c>
      <c r="C2287" s="1154"/>
      <c r="D2287" s="1090"/>
      <c r="E2287" s="1079">
        <f>VLOOKUP($B2287,DG!A:D,DG!$B$2,)</f>
        <v>0</v>
      </c>
      <c r="F2287" s="1080" t="str">
        <f>VLOOKUP($B2287,DG!A:D,DG!$C$2,)</f>
        <v>Dây rút cáp</v>
      </c>
      <c r="G2287" s="1079" t="str">
        <f>VLOOKUP($B2287,DG!A:D,DG!$D$2,)</f>
        <v>bọc</v>
      </c>
      <c r="H2287" s="1851">
        <f>H2274*2</f>
        <v>0</v>
      </c>
      <c r="I2287" s="1259">
        <f t="shared" si="126"/>
        <v>0</v>
      </c>
      <c r="J2287" s="1081"/>
      <c r="K2287" s="1081"/>
      <c r="L2287" s="1082"/>
      <c r="M2287" s="975">
        <v>630</v>
      </c>
    </row>
    <row r="2288" spans="1:13" s="1083" customFormat="1" ht="25.2" hidden="1" customHeight="1">
      <c r="A2288" s="1153">
        <f t="shared" si="127"/>
        <v>0</v>
      </c>
      <c r="B2288" s="1324"/>
      <c r="C2288" s="1324"/>
      <c r="D2288" s="1084">
        <f>IF(H2288&gt;0,D2274+1,D2274)</f>
        <v>0</v>
      </c>
      <c r="E2288" s="1085"/>
      <c r="F2288" s="1094" t="s">
        <v>3762</v>
      </c>
      <c r="G2288" s="1084" t="s">
        <v>2391</v>
      </c>
      <c r="H2288" s="1867">
        <f>H2139</f>
        <v>0</v>
      </c>
      <c r="I2288" s="1259">
        <f t="shared" si="126"/>
        <v>0</v>
      </c>
      <c r="J2288" s="1081"/>
      <c r="K2288" s="1081"/>
      <c r="L2288" s="1110"/>
      <c r="M2288" s="975">
        <v>630</v>
      </c>
    </row>
    <row r="2289" spans="1:13" s="1083" customFormat="1" ht="25.2" hidden="1" customHeight="1">
      <c r="A2289" s="1153">
        <f t="shared" si="127"/>
        <v>0</v>
      </c>
      <c r="B2289" s="1324"/>
      <c r="C2289" s="1324"/>
      <c r="D2289" s="1078"/>
      <c r="E2289" s="1088"/>
      <c r="F2289" s="1368" t="s">
        <v>2285</v>
      </c>
      <c r="G2289" s="1078"/>
      <c r="H2289" s="1868"/>
      <c r="I2289" s="1259">
        <f t="shared" si="126"/>
        <v>0</v>
      </c>
      <c r="J2289" s="1081"/>
      <c r="K2289" s="1081"/>
      <c r="L2289" s="1110"/>
      <c r="M2289" s="975">
        <v>630</v>
      </c>
    </row>
    <row r="2290" spans="1:13" s="1083" customFormat="1" ht="25.2" hidden="1" customHeight="1">
      <c r="A2290" s="1153">
        <f t="shared" si="127"/>
        <v>0</v>
      </c>
      <c r="B2290" s="1154" t="s">
        <v>697</v>
      </c>
      <c r="C2290" s="1154"/>
      <c r="D2290" s="1090"/>
      <c r="E2290" s="1079">
        <f>VLOOKUP($B2290,DG!A:D,DG!$B$2,)</f>
        <v>0</v>
      </c>
      <c r="F2290" s="1080" t="str">
        <f>VLOOKUP($B2290,DG!A:D,DG!$C$2,)&amp;": 9m/1pha"</f>
        <v>Cáp 24KV C/XLPE/PVC 25mm2: 9m/1pha</v>
      </c>
      <c r="G2290" s="1079" t="str">
        <f>VLOOKUP($B2290,DG!A:D,DG!$D$2,)</f>
        <v>mét</v>
      </c>
      <c r="H2290" s="1851">
        <f>H2288*(9)*3</f>
        <v>0</v>
      </c>
      <c r="I2290" s="1259">
        <f t="shared" si="126"/>
        <v>0</v>
      </c>
      <c r="J2290" s="1081"/>
      <c r="K2290" s="1081"/>
      <c r="L2290" s="1110"/>
      <c r="M2290" s="975">
        <v>630</v>
      </c>
    </row>
    <row r="2291" spans="1:13" s="1083" customFormat="1" ht="25.2" hidden="1" customHeight="1">
      <c r="A2291" s="1153">
        <f t="shared" si="127"/>
        <v>0</v>
      </c>
      <c r="B2291" s="1154" t="s">
        <v>697</v>
      </c>
      <c r="C2291" s="1154"/>
      <c r="D2291" s="1090"/>
      <c r="E2291" s="1079">
        <f>VLOOKUP($B2291,DG!A:D,DG!$B$2,)</f>
        <v>0</v>
      </c>
      <c r="F2291" s="1080" t="str">
        <f>VLOOKUP($B2291,DG!A:D,DG!$C$2,)&amp;": 1m/1pha ñaáu noái  LA"</f>
        <v>Cáp 24KV C/XLPE/PVC 25mm2: 1m/1pha ñaáu noái  LA</v>
      </c>
      <c r="G2291" s="1079" t="str">
        <f>VLOOKUP($B2291,DG!A:D,DG!$D$2,)</f>
        <v>mét</v>
      </c>
      <c r="H2291" s="1889">
        <f>H2288*3*1</f>
        <v>0</v>
      </c>
      <c r="I2291" s="1259">
        <f t="shared" ref="I2291:I2354" si="128">IF(M2291=$M$23,H2291+J2291-K2291,0)</f>
        <v>0</v>
      </c>
      <c r="J2291" s="1081"/>
      <c r="K2291" s="1081"/>
      <c r="L2291" s="1110"/>
      <c r="M2291" s="975">
        <v>630</v>
      </c>
    </row>
    <row r="2292" spans="1:13" s="1083" customFormat="1" ht="25.2" hidden="1" customHeight="1">
      <c r="A2292" s="1153">
        <f t="shared" si="127"/>
        <v>0</v>
      </c>
      <c r="B2292" s="1154" t="s">
        <v>1115</v>
      </c>
      <c r="C2292" s="1154"/>
      <c r="D2292" s="1090"/>
      <c r="E2292" s="1079">
        <f>VLOOKUP($B2292,DG!A:D,DG!$B$2,)</f>
        <v>0</v>
      </c>
      <c r="F2292" s="1080" t="str">
        <f>VLOOKUP($B2292,DG!A:D,DG!$C$2,)</f>
        <v>Kẹp ép cỡ dây 25mm2</v>
      </c>
      <c r="G2292" s="1079" t="str">
        <f>VLOOKUP($B2292,DG!A:D,DG!$D$2,)</f>
        <v>cái</v>
      </c>
      <c r="H2292" s="1889">
        <f>H2288*3*2</f>
        <v>0</v>
      </c>
      <c r="I2292" s="1259">
        <f t="shared" si="128"/>
        <v>0</v>
      </c>
      <c r="J2292" s="1081"/>
      <c r="K2292" s="1081"/>
      <c r="L2292" s="1082"/>
      <c r="M2292" s="975">
        <v>630</v>
      </c>
    </row>
    <row r="2293" spans="1:13" s="1083" customFormat="1" ht="25.2" hidden="1" customHeight="1">
      <c r="A2293" s="1153">
        <f t="shared" si="127"/>
        <v>0</v>
      </c>
      <c r="B2293" s="1154" t="s">
        <v>550</v>
      </c>
      <c r="C2293" s="1154"/>
      <c r="D2293" s="1090"/>
      <c r="E2293" s="1079">
        <f>VLOOKUP($B2293,DG!A:D,DG!$B$2,)</f>
        <v>0</v>
      </c>
      <c r="F2293" s="1080" t="str">
        <f>VLOOKUP($B2293,DG!A:D,DG!$C$2,)&amp;" + LA"</f>
        <v>Bass LI bắt FCO + LA</v>
      </c>
      <c r="G2293" s="1079" t="str">
        <f>VLOOKUP($B2293,DG!A:D,DG!$D$2,)</f>
        <v>Bộ</v>
      </c>
      <c r="H2293" s="1889">
        <f>H2288*3*2</f>
        <v>0</v>
      </c>
      <c r="I2293" s="1259">
        <f t="shared" si="128"/>
        <v>0</v>
      </c>
      <c r="J2293" s="1081"/>
      <c r="K2293" s="1081"/>
      <c r="L2293" s="1082"/>
      <c r="M2293" s="975">
        <v>630</v>
      </c>
    </row>
    <row r="2294" spans="1:13" s="1083" customFormat="1" ht="25.2" hidden="1" customHeight="1">
      <c r="A2294" s="1153">
        <f t="shared" si="127"/>
        <v>0</v>
      </c>
      <c r="B2294" s="1154" t="s">
        <v>1482</v>
      </c>
      <c r="C2294" s="1154"/>
      <c r="D2294" s="1090"/>
      <c r="E2294" s="1079" t="str">
        <f>VLOOKUP($B2294,DG!A:D,DG!$B$2,)</f>
        <v>04.3007</v>
      </c>
      <c r="F2294" s="1080" t="str">
        <f>VLOOKUP($B2294,DG!A:D,DG!$C$2,)</f>
        <v>Kẹp quai 2/0</v>
      </c>
      <c r="G2294" s="1079" t="str">
        <f>VLOOKUP($B2294,DG!A:D,DG!$D$2,)</f>
        <v>cái</v>
      </c>
      <c r="H2294" s="1889">
        <f>H2288*3</f>
        <v>0</v>
      </c>
      <c r="I2294" s="1259">
        <f t="shared" si="128"/>
        <v>0</v>
      </c>
      <c r="J2294" s="1081"/>
      <c r="K2294" s="1081"/>
      <c r="L2294" s="1110"/>
      <c r="M2294" s="975">
        <v>630</v>
      </c>
    </row>
    <row r="2295" spans="1:13" s="1083" customFormat="1" ht="25.2" hidden="1" customHeight="1">
      <c r="A2295" s="1153">
        <f t="shared" si="127"/>
        <v>0</v>
      </c>
      <c r="B2295" s="1154" t="s">
        <v>1480</v>
      </c>
      <c r="C2295" s="1154"/>
      <c r="D2295" s="1090"/>
      <c r="E2295" s="1079" t="str">
        <f>VLOOKUP($B2295,DG!A:D,DG!$B$2,)</f>
        <v>04.3007</v>
      </c>
      <c r="F2295" s="1080" t="str">
        <f>VLOOKUP($B2295,DG!A:D,DG!$C$2,)&amp;": "</f>
        <v xml:space="preserve">Kẹp hotline 2/0: </v>
      </c>
      <c r="G2295" s="1079" t="str">
        <f>VLOOKUP($B2295,DG!A:D,DG!$D$2,)</f>
        <v>cái</v>
      </c>
      <c r="H2295" s="1851">
        <f>H2294</f>
        <v>0</v>
      </c>
      <c r="I2295" s="1259">
        <f t="shared" si="128"/>
        <v>0</v>
      </c>
      <c r="J2295" s="1081"/>
      <c r="K2295" s="1081"/>
      <c r="L2295" s="1110"/>
      <c r="M2295" s="975">
        <v>630</v>
      </c>
    </row>
    <row r="2296" spans="1:13" s="1083" customFormat="1" ht="25.2" hidden="1" customHeight="1">
      <c r="A2296" s="1153">
        <f t="shared" si="127"/>
        <v>0</v>
      </c>
      <c r="B2296" s="1154" t="s">
        <v>696</v>
      </c>
      <c r="C2296" s="1154"/>
      <c r="D2296" s="1110"/>
      <c r="E2296" s="1079">
        <f>VLOOKUP($B2296,DG!A:D,DG!$B$2,)</f>
        <v>0</v>
      </c>
      <c r="F2296" s="1080" t="str">
        <f>VLOOKUP($B2296,DG!A:D,DG!$C$2,)</f>
        <v xml:space="preserve">Sứ đứng 24KV </v>
      </c>
      <c r="G2296" s="1079" t="str">
        <f>VLOOKUP($B2296,DG!A:D,DG!$D$2,)</f>
        <v>cái</v>
      </c>
      <c r="H2296" s="1851">
        <f>H2288*9</f>
        <v>0</v>
      </c>
      <c r="I2296" s="1259">
        <f t="shared" si="128"/>
        <v>0</v>
      </c>
      <c r="J2296" s="1081"/>
      <c r="K2296" s="1081"/>
      <c r="L2296" s="1110"/>
      <c r="M2296" s="975">
        <v>630</v>
      </c>
    </row>
    <row r="2297" spans="1:13" s="1083" customFormat="1" ht="25.2" hidden="1" customHeight="1">
      <c r="A2297" s="1153">
        <f t="shared" si="127"/>
        <v>0</v>
      </c>
      <c r="B2297" s="1154" t="s">
        <v>1268</v>
      </c>
      <c r="C2297" s="1154"/>
      <c r="D2297" s="1090"/>
      <c r="E2297" s="1079">
        <f>VLOOKUP($B2297,DG!A:D,DG!$B$2,)</f>
        <v>0</v>
      </c>
      <c r="F2297" s="1080" t="str">
        <f>VLOOKUP($B2297,DG!A:D,DG!$C$2,)</f>
        <v>Chân sứ đứng D20</v>
      </c>
      <c r="G2297" s="1079" t="str">
        <f>VLOOKUP($B2297,DG!A:D,DG!$D$2,)</f>
        <v>cái</v>
      </c>
      <c r="H2297" s="1851">
        <f>H2296</f>
        <v>0</v>
      </c>
      <c r="I2297" s="1259">
        <f t="shared" si="128"/>
        <v>0</v>
      </c>
      <c r="J2297" s="1081"/>
      <c r="K2297" s="1081"/>
      <c r="L2297" s="1110"/>
      <c r="M2297" s="975">
        <v>630</v>
      </c>
    </row>
    <row r="2298" spans="1:13" s="1083" customFormat="1" ht="25.2" hidden="1" customHeight="1">
      <c r="A2298" s="1153">
        <f t="shared" si="127"/>
        <v>0</v>
      </c>
      <c r="B2298" s="1154" t="s">
        <v>439</v>
      </c>
      <c r="C2298" s="1154"/>
      <c r="D2298" s="1090"/>
      <c r="E2298" s="1079">
        <f>VLOOKUP($B2298,DG!A:D,DG!$B$2,)</f>
        <v>0</v>
      </c>
      <c r="F2298" s="1080" t="str">
        <f>VLOOKUP($B2298,DG!A:D,DG!$C$2,)</f>
        <v>Sứ treo polymer</v>
      </c>
      <c r="G2298" s="1079" t="str">
        <f>VLOOKUP($B2298,DG!A:D,DG!$D$2,)</f>
        <v>chuỗi</v>
      </c>
      <c r="H2298" s="1889">
        <f>H2288*6*0</f>
        <v>0</v>
      </c>
      <c r="I2298" s="1259">
        <f t="shared" si="128"/>
        <v>0</v>
      </c>
      <c r="J2298" s="1081"/>
      <c r="K2298" s="1081"/>
      <c r="L2298" s="1110"/>
      <c r="M2298" s="975">
        <v>630</v>
      </c>
    </row>
    <row r="2299" spans="1:13" s="1083" customFormat="1" ht="25.2" hidden="1" customHeight="1">
      <c r="A2299" s="1153">
        <f t="shared" si="127"/>
        <v>0</v>
      </c>
      <c r="B2299" s="1154" t="s">
        <v>1568</v>
      </c>
      <c r="C2299" s="1154"/>
      <c r="D2299" s="1090"/>
      <c r="E2299" s="1079" t="str">
        <f>VLOOKUP($B2299,DG!A:D,DG!$B$2,)</f>
        <v>06.1115</v>
      </c>
      <c r="F2299" s="1080" t="str">
        <f>VLOOKUP($B2299,DG!A:D,DG!$C$2,)</f>
        <v>Lắp sứ đứng 24KV</v>
      </c>
      <c r="G2299" s="1079" t="str">
        <f>VLOOKUP($B2299,DG!A:D,DG!$D$2,)</f>
        <v>bộ</v>
      </c>
      <c r="H2299" s="1851">
        <f>H2297</f>
        <v>0</v>
      </c>
      <c r="I2299" s="1259">
        <f t="shared" si="128"/>
        <v>0</v>
      </c>
      <c r="J2299" s="1081"/>
      <c r="K2299" s="1081"/>
      <c r="L2299" s="1110"/>
      <c r="M2299" s="975">
        <v>630</v>
      </c>
    </row>
    <row r="2300" spans="1:13" s="1083" customFormat="1" ht="25.2" hidden="1" customHeight="1">
      <c r="A2300" s="1153">
        <f t="shared" si="127"/>
        <v>0</v>
      </c>
      <c r="B2300" s="1154" t="s">
        <v>235</v>
      </c>
      <c r="C2300" s="1154"/>
      <c r="D2300" s="1090"/>
      <c r="E2300" s="1079" t="str">
        <f>VLOOKUP($B2300,DG!A:D,DG!$B$2,)</f>
        <v>06.1115</v>
      </c>
      <c r="F2300" s="1080" t="str">
        <f>VLOOKUP($B2300,DG!A:D,DG!$C$2,)</f>
        <v>Tháo sứ đứng 24KV</v>
      </c>
      <c r="G2300" s="1079" t="str">
        <f>VLOOKUP($B2300,DG!A:D,DG!$D$2,)</f>
        <v>bộ</v>
      </c>
      <c r="H2300" s="1851"/>
      <c r="I2300" s="1259">
        <f t="shared" si="128"/>
        <v>0</v>
      </c>
      <c r="J2300" s="1081"/>
      <c r="K2300" s="1081"/>
      <c r="L2300" s="1110"/>
      <c r="M2300" s="975">
        <v>630</v>
      </c>
    </row>
    <row r="2301" spans="1:13" s="1083" customFormat="1" ht="25.2" hidden="1" customHeight="1">
      <c r="A2301" s="1153">
        <f t="shared" si="127"/>
        <v>0</v>
      </c>
      <c r="B2301" s="1154" t="s">
        <v>1510</v>
      </c>
      <c r="C2301" s="1154"/>
      <c r="D2301" s="1090"/>
      <c r="E2301" s="1079" t="str">
        <f>VLOOKUP($B2301,DG!A:D,DG!$B$2,)</f>
        <v>06.2201</v>
      </c>
      <c r="F2301" s="1080" t="str">
        <f>VLOOKUP($B2301,DG!A:D,DG!$C$2,)</f>
        <v>Lắp chuỗi sứ néo Polymer</v>
      </c>
      <c r="G2301" s="1079" t="str">
        <f>VLOOKUP($B2301,DG!A:D,DG!$D$2,)</f>
        <v>chuỗi</v>
      </c>
      <c r="H2301" s="1851">
        <f>H2298</f>
        <v>0</v>
      </c>
      <c r="I2301" s="1259">
        <f t="shared" si="128"/>
        <v>0</v>
      </c>
      <c r="J2301" s="1081"/>
      <c r="K2301" s="1081"/>
      <c r="L2301" s="1110"/>
      <c r="M2301" s="975">
        <v>630</v>
      </c>
    </row>
    <row r="2302" spans="1:13" s="1083" customFormat="1" ht="25.2" hidden="1" customHeight="1">
      <c r="A2302" s="1153">
        <f t="shared" si="127"/>
        <v>0</v>
      </c>
      <c r="B2302" s="1154" t="s">
        <v>1528</v>
      </c>
      <c r="C2302" s="1154"/>
      <c r="D2302" s="1090"/>
      <c r="E2302" s="1079" t="str">
        <f>VLOOKUP($B2302,DG!A:D,DG!$B$2,)</f>
        <v>04.4201</v>
      </c>
      <c r="F2302" s="1080" t="str">
        <f>VLOOKUP($B2302,DG!A:D,DG!$C$2,)</f>
        <v>Lắp cáp đồng xuống thiết bị D ≤ 95mm2</v>
      </c>
      <c r="G2302" s="1079" t="str">
        <f>VLOOKUP($B2302,DG!A:D,DG!$D$2,)</f>
        <v>m</v>
      </c>
      <c r="H2302" s="1851">
        <f>H2290+H2291</f>
        <v>0</v>
      </c>
      <c r="I2302" s="1259">
        <f t="shared" si="128"/>
        <v>0</v>
      </c>
      <c r="J2302" s="1081"/>
      <c r="K2302" s="1081"/>
      <c r="L2302" s="1110"/>
      <c r="M2302" s="975">
        <v>630</v>
      </c>
    </row>
    <row r="2303" spans="1:13" s="1083" customFormat="1" ht="25.2" hidden="1" customHeight="1">
      <c r="A2303" s="1153">
        <f t="shared" si="127"/>
        <v>0</v>
      </c>
      <c r="B2303" s="1324"/>
      <c r="C2303" s="1324"/>
      <c r="D2303" s="1084">
        <f>IF(H2303&gt;0,D2288+1,D2288)</f>
        <v>0</v>
      </c>
      <c r="E2303" s="1085"/>
      <c r="F2303" s="1094" t="s">
        <v>3726</v>
      </c>
      <c r="G2303" s="1084" t="s">
        <v>2391</v>
      </c>
      <c r="H2303" s="1867">
        <f>H2168*0</f>
        <v>0</v>
      </c>
      <c r="I2303" s="1259">
        <f t="shared" si="128"/>
        <v>0</v>
      </c>
      <c r="J2303" s="1081"/>
      <c r="K2303" s="1081"/>
      <c r="L2303" s="1082"/>
      <c r="M2303" s="975">
        <v>630</v>
      </c>
    </row>
    <row r="2304" spans="1:13" s="1083" customFormat="1" ht="25.2" hidden="1" customHeight="1">
      <c r="A2304" s="1153">
        <f t="shared" si="127"/>
        <v>0</v>
      </c>
      <c r="B2304" s="1324"/>
      <c r="C2304" s="1324"/>
      <c r="D2304" s="1078"/>
      <c r="E2304" s="1088"/>
      <c r="F2304" s="1368" t="s">
        <v>2285</v>
      </c>
      <c r="G2304" s="1078"/>
      <c r="H2304" s="1868"/>
      <c r="I2304" s="1259">
        <f t="shared" si="128"/>
        <v>0</v>
      </c>
      <c r="J2304" s="1081"/>
      <c r="K2304" s="1081"/>
      <c r="L2304" s="1082"/>
      <c r="M2304" s="975">
        <v>630</v>
      </c>
    </row>
    <row r="2305" spans="1:13" s="1083" customFormat="1" ht="25.2" hidden="1" customHeight="1">
      <c r="A2305" s="1153">
        <f t="shared" si="127"/>
        <v>0</v>
      </c>
      <c r="B2305" s="1324" t="s">
        <v>1492</v>
      </c>
      <c r="C2305" s="1324"/>
      <c r="D2305" s="1090"/>
      <c r="E2305" s="1079" t="str">
        <f>VLOOKUP($B2305,DG!A:D,DG!$B$2,)</f>
        <v>04.8003</v>
      </c>
      <c r="F2305" s="1080" t="str">
        <f>VLOOKUP($B2305,DG!A:D,DG!$C$2,)</f>
        <v xml:space="preserve">Ống PVC D90x3,8mm </v>
      </c>
      <c r="G2305" s="1079" t="str">
        <f>VLOOKUP($B2305,DG!A:D,DG!$D$2,)</f>
        <v>m</v>
      </c>
      <c r="H2305" s="1851">
        <f>H2303*2</f>
        <v>0</v>
      </c>
      <c r="I2305" s="1259">
        <f t="shared" si="128"/>
        <v>0</v>
      </c>
      <c r="J2305" s="1081"/>
      <c r="K2305" s="1081"/>
      <c r="L2305" s="1082"/>
      <c r="M2305" s="975">
        <v>630</v>
      </c>
    </row>
    <row r="2306" spans="1:13" s="1083" customFormat="1" ht="25.2" hidden="1" customHeight="1">
      <c r="A2306" s="1153">
        <f t="shared" si="127"/>
        <v>0</v>
      </c>
      <c r="B2306" s="1324" t="s">
        <v>86</v>
      </c>
      <c r="C2306" s="1324"/>
      <c r="D2306" s="1090"/>
      <c r="E2306" s="1079">
        <f>VLOOKUP($B2306,DG!A:D,DG!$B$2,)</f>
        <v>0</v>
      </c>
      <c r="F2306" s="1080" t="str">
        <f>VLOOKUP($B2306,DG!A:D,DG!$C$2,)</f>
        <v>Co  90 độ PVC 90</v>
      </c>
      <c r="G2306" s="1079" t="str">
        <f>VLOOKUP($B2306,DG!A:D,DG!$D$2,)</f>
        <v>cái</v>
      </c>
      <c r="H2306" s="1851">
        <f>H2303</f>
        <v>0</v>
      </c>
      <c r="I2306" s="1259">
        <f t="shared" si="128"/>
        <v>0</v>
      </c>
      <c r="J2306" s="1081"/>
      <c r="K2306" s="1081"/>
      <c r="L2306" s="1082"/>
      <c r="M2306" s="975">
        <v>630</v>
      </c>
    </row>
    <row r="2307" spans="1:13" s="1083" customFormat="1" ht="25.2" hidden="1" customHeight="1">
      <c r="A2307" s="1153">
        <f t="shared" si="127"/>
        <v>0</v>
      </c>
      <c r="B2307" s="1324" t="s">
        <v>931</v>
      </c>
      <c r="C2307" s="1324"/>
      <c r="D2307" s="1090"/>
      <c r="E2307" s="1079">
        <f>VLOOKUP($B2307,DG!A:D,DG!$B$2,)</f>
        <v>0</v>
      </c>
      <c r="F2307" s="1080" t="str">
        <f>VLOOKUP($B2307,DG!A:D,DG!$C$2,)</f>
        <v>Khâu ven răng trong D90</v>
      </c>
      <c r="G2307" s="1079" t="str">
        <f>VLOOKUP($B2307,DG!A:D,DG!$D$2,)</f>
        <v>cái</v>
      </c>
      <c r="H2307" s="1851">
        <f>H2303*2</f>
        <v>0</v>
      </c>
      <c r="I2307" s="1259">
        <f t="shared" si="128"/>
        <v>0</v>
      </c>
      <c r="J2307" s="1081"/>
      <c r="K2307" s="1081"/>
      <c r="L2307" s="1082"/>
      <c r="M2307" s="975">
        <v>630</v>
      </c>
    </row>
    <row r="2308" spans="1:13" s="1083" customFormat="1" ht="25.2" hidden="1" customHeight="1">
      <c r="A2308" s="1153">
        <f t="shared" si="127"/>
        <v>0</v>
      </c>
      <c r="B2308" s="1324" t="s">
        <v>930</v>
      </c>
      <c r="C2308" s="1324"/>
      <c r="D2308" s="1090"/>
      <c r="E2308" s="1079">
        <f>VLOOKUP($B2308,DG!A:D,DG!$B$2,)</f>
        <v>0</v>
      </c>
      <c r="F2308" s="1080" t="str">
        <f>VLOOKUP($B2308,DG!A:D,DG!$C$2,)</f>
        <v>Khâu ven răng ngoài D90</v>
      </c>
      <c r="G2308" s="1079" t="str">
        <f>VLOOKUP($B2308,DG!A:D,DG!$D$2,)</f>
        <v>cái</v>
      </c>
      <c r="H2308" s="1851">
        <f>H2307</f>
        <v>0</v>
      </c>
      <c r="I2308" s="1259">
        <f t="shared" si="128"/>
        <v>0</v>
      </c>
      <c r="J2308" s="1081"/>
      <c r="K2308" s="1081"/>
      <c r="L2308" s="1082"/>
      <c r="M2308" s="975">
        <v>630</v>
      </c>
    </row>
    <row r="2309" spans="1:13" s="1083" customFormat="1" ht="25.2" hidden="1" customHeight="1">
      <c r="A2309" s="1153">
        <f t="shared" si="127"/>
        <v>0</v>
      </c>
      <c r="B2309" s="1154"/>
      <c r="C2309" s="1154"/>
      <c r="D2309" s="1084">
        <f>IF(H2309&gt;0,D2303+1,D2303)</f>
        <v>0</v>
      </c>
      <c r="E2309" s="1085"/>
      <c r="F2309" s="1094" t="s">
        <v>3746</v>
      </c>
      <c r="G2309" s="1084" t="s">
        <v>2391</v>
      </c>
      <c r="H2309" s="1888">
        <f>H2248</f>
        <v>0</v>
      </c>
      <c r="I2309" s="1259">
        <f t="shared" si="128"/>
        <v>0</v>
      </c>
      <c r="J2309" s="1081"/>
      <c r="K2309" s="1081"/>
      <c r="L2309" s="1110"/>
      <c r="M2309" s="975">
        <v>630</v>
      </c>
    </row>
    <row r="2310" spans="1:13" s="1083" customFormat="1" ht="25.2" hidden="1" customHeight="1">
      <c r="A2310" s="1153">
        <f t="shared" si="127"/>
        <v>0</v>
      </c>
      <c r="B2310" s="1154"/>
      <c r="C2310" s="1154"/>
      <c r="D2310" s="1078"/>
      <c r="E2310" s="1088"/>
      <c r="F2310" s="1368" t="s">
        <v>2285</v>
      </c>
      <c r="G2310" s="1078"/>
      <c r="H2310" s="1851"/>
      <c r="I2310" s="1259">
        <f t="shared" si="128"/>
        <v>0</v>
      </c>
      <c r="J2310" s="1081"/>
      <c r="K2310" s="1081"/>
      <c r="L2310" s="1110"/>
      <c r="M2310" s="975">
        <v>630</v>
      </c>
    </row>
    <row r="2311" spans="1:13" s="1083" customFormat="1" ht="25.2" hidden="1" customHeight="1">
      <c r="A2311" s="1153">
        <f t="shared" si="127"/>
        <v>0</v>
      </c>
      <c r="B2311" s="1356" t="s">
        <v>608</v>
      </c>
      <c r="C2311" s="1356"/>
      <c r="D2311" s="1090"/>
      <c r="E2311" s="1079">
        <f>VLOOKUP($B2311,DG!A:D,DG!$B$2,)</f>
        <v>0</v>
      </c>
      <c r="F2311" s="1080" t="e">
        <f>VLOOKUP($B2311,DG!A:D,DG!$C$2,)&amp;":  "&amp;#REF!&amp;" x 8m/pha "</f>
        <v>#REF!</v>
      </c>
      <c r="G2311" s="1079" t="str">
        <f>VLOOKUP($B2311,DG!A:D,DG!$D$2,)</f>
        <v>mét</v>
      </c>
      <c r="H2311" s="1851">
        <f>8*3*H2309*L15</f>
        <v>0</v>
      </c>
      <c r="I2311" s="1259">
        <f t="shared" si="128"/>
        <v>0</v>
      </c>
      <c r="J2311" s="1081"/>
      <c r="K2311" s="1081"/>
      <c r="L2311" s="1110"/>
      <c r="M2311" s="975">
        <v>630</v>
      </c>
    </row>
    <row r="2312" spans="1:13" s="1083" customFormat="1" ht="25.2" hidden="1" customHeight="1">
      <c r="A2312" s="1153">
        <f t="shared" si="127"/>
        <v>0</v>
      </c>
      <c r="B2312" s="1356" t="s">
        <v>34</v>
      </c>
      <c r="C2312" s="1356"/>
      <c r="D2312" s="1090"/>
      <c r="E2312" s="1079">
        <f>VLOOKUP($B2312,DG!A:D,DG!$B$2,)</f>
        <v>0</v>
      </c>
      <c r="F2312" s="1080" t="e">
        <f>VLOOKUP($B2312,DG!A:D,DG!$C$2,)&amp;":  "&amp;#REF!&amp;" x 8m/trung tính "</f>
        <v>#REF!</v>
      </c>
      <c r="G2312" s="1079" t="str">
        <f>VLOOKUP($B2312,DG!A:D,DG!$D$2,)</f>
        <v>mét</v>
      </c>
      <c r="H2312" s="1851">
        <f>8*H2309</f>
        <v>0</v>
      </c>
      <c r="I2312" s="1259">
        <f t="shared" si="128"/>
        <v>0</v>
      </c>
      <c r="J2312" s="1081"/>
      <c r="K2312" s="1081"/>
      <c r="L2312" s="1110"/>
      <c r="M2312" s="975">
        <v>630</v>
      </c>
    </row>
    <row r="2313" spans="1:13" s="1083" customFormat="1" ht="25.2" hidden="1" customHeight="1">
      <c r="A2313" s="1153">
        <f t="shared" si="127"/>
        <v>0</v>
      </c>
      <c r="B2313" s="1324" t="s">
        <v>447</v>
      </c>
      <c r="C2313" s="1324"/>
      <c r="D2313" s="1090"/>
      <c r="E2313" s="1079" t="str">
        <f>VLOOKUP($B2313,DG!A:D,DG!$B$2,)</f>
        <v>03.4008</v>
      </c>
      <c r="F2313" s="1080" t="str">
        <f>VLOOKUP($B2313,DG!A:D,DG!$C$2,)&amp;": "</f>
        <v xml:space="preserve">Đầu cosse ép Cu 200mm2: </v>
      </c>
      <c r="G2313" s="1079" t="str">
        <f>VLOOKUP($B2313,DG!A:D,DG!$D$2,)</f>
        <v>cái</v>
      </c>
      <c r="H2313" s="1894"/>
      <c r="I2313" s="1259">
        <f t="shared" si="128"/>
        <v>0</v>
      </c>
      <c r="J2313" s="1081"/>
      <c r="K2313" s="1081"/>
      <c r="L2313" s="1110"/>
      <c r="M2313" s="975">
        <v>630</v>
      </c>
    </row>
    <row r="2314" spans="1:13" s="1083" customFormat="1" ht="25.2" hidden="1" customHeight="1">
      <c r="A2314" s="1153">
        <f t="shared" si="127"/>
        <v>0</v>
      </c>
      <c r="B2314" s="1324" t="s">
        <v>2161</v>
      </c>
      <c r="C2314" s="1324"/>
      <c r="D2314" s="1090"/>
      <c r="E2314" s="1079" t="str">
        <f>VLOOKUP($B2314,DG!A:D,DG!$B$2,)</f>
        <v>03.4006</v>
      </c>
      <c r="F2314" s="1080" t="str">
        <f>VLOOKUP($B2314,DG!A:D,DG!$C$2,)&amp;": "</f>
        <v xml:space="preserve">Đầu cosse ép Cu 150mm2: </v>
      </c>
      <c r="G2314" s="1079" t="str">
        <f>VLOOKUP($B2314,DG!A:D,DG!$D$2,)</f>
        <v>cái</v>
      </c>
      <c r="H2314" s="1851">
        <f>H2309*2</f>
        <v>0</v>
      </c>
      <c r="I2314" s="1259">
        <f t="shared" si="128"/>
        <v>0</v>
      </c>
      <c r="J2314" s="1081"/>
      <c r="K2314" s="1081"/>
      <c r="L2314" s="1110"/>
      <c r="M2314" s="975">
        <v>630</v>
      </c>
    </row>
    <row r="2315" spans="1:13" s="1083" customFormat="1" ht="25.2" hidden="1" customHeight="1">
      <c r="A2315" s="1153">
        <f t="shared" si="127"/>
        <v>0</v>
      </c>
      <c r="B2315" s="1324" t="s">
        <v>610</v>
      </c>
      <c r="C2315" s="1324"/>
      <c r="D2315" s="1090"/>
      <c r="E2315" s="1079">
        <f>VLOOKUP($B2315,DG!A:D,DG!$B$2,)</f>
        <v>0</v>
      </c>
      <c r="F2315" s="1080" t="str">
        <f>VLOOKUP($B2315,DG!A:D,DG!$C$2,)&amp;": "</f>
        <v xml:space="preserve">Chụp đầu cosse  200mm2: </v>
      </c>
      <c r="G2315" s="1079" t="str">
        <f>VLOOKUP($B2315,DG!A:D,DG!$D$2,)</f>
        <v>cái</v>
      </c>
      <c r="H2315" s="1851">
        <f>H2313</f>
        <v>0</v>
      </c>
      <c r="I2315" s="1259">
        <f t="shared" si="128"/>
        <v>0</v>
      </c>
      <c r="J2315" s="1081"/>
      <c r="K2315" s="1081"/>
      <c r="L2315" s="1110"/>
      <c r="M2315" s="975">
        <v>630</v>
      </c>
    </row>
    <row r="2316" spans="1:13" s="1083" customFormat="1" ht="25.2" hidden="1" customHeight="1">
      <c r="A2316" s="1153">
        <f t="shared" si="127"/>
        <v>0</v>
      </c>
      <c r="B2316" s="1324" t="s">
        <v>91</v>
      </c>
      <c r="C2316" s="1324"/>
      <c r="D2316" s="1090"/>
      <c r="E2316" s="1079">
        <f>VLOOKUP($B2316,DG!A:D,DG!$B$2,)</f>
        <v>0</v>
      </c>
      <c r="F2316" s="1080" t="str">
        <f>VLOOKUP($B2316,DG!A:D,DG!$C$2,)&amp;": "</f>
        <v xml:space="preserve">Chụp đầu cosse  150mm2: </v>
      </c>
      <c r="G2316" s="1079" t="str">
        <f>VLOOKUP($B2316,DG!A:D,DG!$D$2,)</f>
        <v>cái</v>
      </c>
      <c r="H2316" s="1851">
        <f>H2314</f>
        <v>0</v>
      </c>
      <c r="I2316" s="1259">
        <f t="shared" si="128"/>
        <v>0</v>
      </c>
      <c r="J2316" s="1081"/>
      <c r="K2316" s="1081"/>
      <c r="L2316" s="1110"/>
      <c r="M2316" s="975">
        <v>630</v>
      </c>
    </row>
    <row r="2317" spans="1:13" s="1083" customFormat="1" ht="25.2" hidden="1" customHeight="1">
      <c r="A2317" s="1153">
        <f t="shared" si="127"/>
        <v>0</v>
      </c>
      <c r="B2317" s="1324" t="s">
        <v>1042</v>
      </c>
      <c r="C2317" s="1324"/>
      <c r="D2317" s="1090"/>
      <c r="E2317" s="1079">
        <f>VLOOKUP($B2317,DG!A:D,DG!$B$2,)</f>
        <v>0</v>
      </c>
      <c r="F2317" s="1080" t="str">
        <f>VLOOKUP($B2317,DG!A:D,DG!$C$2,)</f>
        <v xml:space="preserve">Ống PVC D114x4,9mm </v>
      </c>
      <c r="G2317" s="1079" t="str">
        <f>VLOOKUP($B2317,DG!A:D,DG!$D$2,)</f>
        <v>m</v>
      </c>
      <c r="H2317" s="1894"/>
      <c r="I2317" s="1259">
        <f t="shared" si="128"/>
        <v>0</v>
      </c>
      <c r="J2317" s="1081"/>
      <c r="K2317" s="1081"/>
      <c r="L2317" s="1110"/>
      <c r="M2317" s="975">
        <v>630</v>
      </c>
    </row>
    <row r="2318" spans="1:13" s="1083" customFormat="1" ht="25.2" hidden="1" customHeight="1">
      <c r="A2318" s="1153">
        <f t="shared" si="127"/>
        <v>0</v>
      </c>
      <c r="B2318" s="1154" t="s">
        <v>731</v>
      </c>
      <c r="C2318" s="1154"/>
      <c r="D2318" s="1090"/>
      <c r="E2318" s="1079" t="str">
        <f>VLOOKUP($B2318,DG!A:D,DG!$B$2,)</f>
        <v>06.3231</v>
      </c>
      <c r="F2318" s="1080" t="str">
        <f>VLOOKUP($B2318,DG!A:D,DG!$C$2,)&amp;": CD-250"</f>
        <v>Cổ dê kẹp ống PVC Ø 114: CD-250</v>
      </c>
      <c r="G2318" s="1079" t="str">
        <f>VLOOKUP($B2318,DG!A:D,DG!$D$2,)</f>
        <v>bộ</v>
      </c>
      <c r="H2318" s="1851">
        <f>H2309*1.031</f>
        <v>0</v>
      </c>
      <c r="I2318" s="1259">
        <f t="shared" si="128"/>
        <v>0</v>
      </c>
      <c r="J2318" s="1081"/>
      <c r="K2318" s="1081"/>
      <c r="L2318" s="1110"/>
      <c r="M2318" s="975">
        <v>630</v>
      </c>
    </row>
    <row r="2319" spans="1:13" s="1083" customFormat="1" ht="25.2" hidden="1" customHeight="1">
      <c r="A2319" s="1153">
        <f t="shared" si="127"/>
        <v>0</v>
      </c>
      <c r="B2319" s="1154" t="s">
        <v>731</v>
      </c>
      <c r="C2319" s="1154"/>
      <c r="D2319" s="1090"/>
      <c r="E2319" s="1079" t="str">
        <f>VLOOKUP($B2319,DG!A:D,DG!$B$2,)</f>
        <v>06.3231</v>
      </c>
      <c r="F2319" s="1080" t="str">
        <f>VLOOKUP($B2319,DG!A:D,DG!$C$2,)&amp;": CD-250"</f>
        <v>Cổ dê kẹp ống PVC Ø 114: CD-250</v>
      </c>
      <c r="G2319" s="1079" t="str">
        <f>VLOOKUP($B2319,DG!A:D,DG!$D$2,)</f>
        <v>bộ</v>
      </c>
      <c r="H2319" s="1851">
        <f>H2309*1.031</f>
        <v>0</v>
      </c>
      <c r="I2319" s="1259">
        <f t="shared" si="128"/>
        <v>0</v>
      </c>
      <c r="J2319" s="1081"/>
      <c r="K2319" s="1081"/>
      <c r="L2319" s="1110"/>
      <c r="M2319" s="975">
        <v>630</v>
      </c>
    </row>
    <row r="2320" spans="1:13" s="1083" customFormat="1" ht="25.2" hidden="1" customHeight="1">
      <c r="A2320" s="1153">
        <f t="shared" si="127"/>
        <v>0</v>
      </c>
      <c r="B2320" s="1154" t="s">
        <v>731</v>
      </c>
      <c r="C2320" s="1154"/>
      <c r="D2320" s="1090"/>
      <c r="E2320" s="1079" t="str">
        <f>VLOOKUP($B2320,DG!A:D,DG!$B$2,)</f>
        <v>06.3231</v>
      </c>
      <c r="F2320" s="1080" t="str">
        <f>VLOOKUP($B2320,DG!A:D,DG!$C$2,)&amp;": CD-280"</f>
        <v>Cổ dê kẹp ống PVC Ø 114: CD-280</v>
      </c>
      <c r="G2320" s="1079" t="str">
        <f>VLOOKUP($B2320,DG!A:D,DG!$D$2,)</f>
        <v>bộ</v>
      </c>
      <c r="H2320" s="1851">
        <f>H2309*1.031</f>
        <v>0</v>
      </c>
      <c r="I2320" s="1259">
        <f t="shared" si="128"/>
        <v>0</v>
      </c>
      <c r="J2320" s="1081"/>
      <c r="K2320" s="1081"/>
      <c r="L2320" s="1110"/>
      <c r="M2320" s="975">
        <v>630</v>
      </c>
    </row>
    <row r="2321" spans="1:13" s="1083" customFormat="1" ht="25.2" hidden="1" customHeight="1">
      <c r="A2321" s="1153">
        <f t="shared" si="127"/>
        <v>0</v>
      </c>
      <c r="B2321" s="1154" t="s">
        <v>1131</v>
      </c>
      <c r="C2321" s="1154"/>
      <c r="D2321" s="1090"/>
      <c r="E2321" s="1079" t="str">
        <f>VLOOKUP($B2321,DG!A:D,DG!$B$2,)</f>
        <v>06.2110</v>
      </c>
      <c r="F2321" s="1080" t="str">
        <f>VLOOKUP($B2321,DG!A:D,DG!$C$2,)&amp;": CD-280"</f>
        <v>Lắp cổ dề: CD-280</v>
      </c>
      <c r="G2321" s="1079" t="str">
        <f>VLOOKUP($B2321,DG!A:D,DG!$D$2,)</f>
        <v>bộ</v>
      </c>
      <c r="H2321" s="1851">
        <f>H2310*1.031</f>
        <v>0</v>
      </c>
      <c r="I2321" s="1259">
        <f t="shared" si="128"/>
        <v>0</v>
      </c>
      <c r="J2321" s="1081"/>
      <c r="K2321" s="1081"/>
      <c r="L2321" s="1110"/>
      <c r="M2321" s="975">
        <v>630</v>
      </c>
    </row>
    <row r="2322" spans="1:13" s="1083" customFormat="1" ht="25.2" hidden="1" customHeight="1">
      <c r="A2322" s="1153">
        <f t="shared" si="127"/>
        <v>0</v>
      </c>
      <c r="B2322" s="1346" t="s">
        <v>138</v>
      </c>
      <c r="C2322" s="1346"/>
      <c r="D2322" s="1090"/>
      <c r="E2322" s="1079">
        <f>VLOOKUP($B2322,DG!A:D,DG!$B$2,)</f>
        <v>0</v>
      </c>
      <c r="F2322" s="1080" t="str">
        <f>VLOOKUP($B2322,DG!A:D,DG!$C$2,)</f>
        <v>Boulon 12x40+ 2 long đền vuông D14-50x50x3/Zn</v>
      </c>
      <c r="G2322" s="1079" t="str">
        <f>VLOOKUP($B2322,DG!A:D,DG!$D$2,)</f>
        <v>bộ</v>
      </c>
      <c r="H2322" s="1851">
        <f>H2309*6</f>
        <v>0</v>
      </c>
      <c r="I2322" s="1259">
        <f t="shared" si="128"/>
        <v>0</v>
      </c>
      <c r="J2322" s="1081"/>
      <c r="K2322" s="1081"/>
      <c r="L2322" s="1110"/>
      <c r="M2322" s="975">
        <v>630</v>
      </c>
    </row>
    <row r="2323" spans="1:13" s="1083" customFormat="1" ht="25.2" hidden="1" customHeight="1">
      <c r="A2323" s="1153">
        <f t="shared" si="127"/>
        <v>0</v>
      </c>
      <c r="B2323" s="1324" t="s">
        <v>2173</v>
      </c>
      <c r="C2323" s="1324"/>
      <c r="D2323" s="1090"/>
      <c r="E2323" s="1079">
        <f>VLOOKUP($B2323,DG!A:D,DG!$B$2,)</f>
        <v>0</v>
      </c>
      <c r="F2323" s="1080" t="str">
        <f>VLOOKUP($B2323,DG!A:D,DG!$C$2,)</f>
        <v>Khâu ven răng trong D114</v>
      </c>
      <c r="G2323" s="1079" t="str">
        <f>VLOOKUP($B2323,DG!A:D,DG!$D$2,)</f>
        <v>cái</v>
      </c>
      <c r="H2323" s="1851">
        <f>IF(H2317&gt;0,H2309*#REF!,)</f>
        <v>0</v>
      </c>
      <c r="I2323" s="1259">
        <f t="shared" si="128"/>
        <v>0</v>
      </c>
      <c r="J2323" s="1081"/>
      <c r="K2323" s="1081"/>
      <c r="L2323" s="1110"/>
      <c r="M2323" s="975">
        <v>630</v>
      </c>
    </row>
    <row r="2324" spans="1:13" s="1083" customFormat="1" ht="25.2" hidden="1" customHeight="1">
      <c r="A2324" s="1153">
        <f t="shared" si="127"/>
        <v>0</v>
      </c>
      <c r="B2324" s="1324" t="s">
        <v>2174</v>
      </c>
      <c r="C2324" s="1324"/>
      <c r="D2324" s="1090"/>
      <c r="E2324" s="1079">
        <f>VLOOKUP($B2324,DG!A:D,DG!$B$2,)</f>
        <v>0</v>
      </c>
      <c r="F2324" s="1080" t="str">
        <f>VLOOKUP($B2324,DG!A:D,DG!$C$2,)&amp;": "</f>
        <v xml:space="preserve">Khâu ven răng ngoài D114: </v>
      </c>
      <c r="G2324" s="1079" t="str">
        <f>VLOOKUP($B2324,DG!A:D,DG!$D$2,)</f>
        <v>cái</v>
      </c>
      <c r="H2324" s="1851">
        <f>H2323</f>
        <v>0</v>
      </c>
      <c r="I2324" s="1259">
        <f t="shared" si="128"/>
        <v>0</v>
      </c>
      <c r="J2324" s="1081"/>
      <c r="K2324" s="1081"/>
      <c r="L2324" s="1110"/>
      <c r="M2324" s="975">
        <v>630</v>
      </c>
    </row>
    <row r="2325" spans="1:13" s="1083" customFormat="1" ht="25.2" hidden="1" customHeight="1">
      <c r="A2325" s="1153">
        <f t="shared" si="127"/>
        <v>0</v>
      </c>
      <c r="B2325" s="1324" t="s">
        <v>2080</v>
      </c>
      <c r="C2325" s="1324"/>
      <c r="D2325" s="1090"/>
      <c r="E2325" s="1079">
        <f>VLOOKUP($B2325,DG!A:D,DG!$B$2,)</f>
        <v>0</v>
      </c>
      <c r="F2325" s="1080" t="str">
        <f>VLOOKUP($B2325,DG!A:D,DG!$C$2,)&amp;": "</f>
        <v xml:space="preserve">Keo dán ống PVC (100gr): </v>
      </c>
      <c r="G2325" s="1079" t="str">
        <f>VLOOKUP($B2325,DG!A:D,DG!$D$2,)</f>
        <v>tuýp</v>
      </c>
      <c r="H2325" s="1851">
        <f>IF(H2317&gt;0,H2309*#REF!,)</f>
        <v>0</v>
      </c>
      <c r="I2325" s="1259">
        <f t="shared" si="128"/>
        <v>0</v>
      </c>
      <c r="J2325" s="1081"/>
      <c r="K2325" s="1081"/>
      <c r="L2325" s="1110"/>
      <c r="M2325" s="975">
        <v>630</v>
      </c>
    </row>
    <row r="2326" spans="1:13" s="1083" customFormat="1" ht="25.2" hidden="1" customHeight="1">
      <c r="A2326" s="1153">
        <f t="shared" si="127"/>
        <v>0</v>
      </c>
      <c r="B2326" s="1154" t="s">
        <v>6</v>
      </c>
      <c r="C2326" s="1154"/>
      <c r="D2326" s="1090"/>
      <c r="E2326" s="1079"/>
      <c r="F2326" s="1080" t="str">
        <f>VLOOKUP($B2326,DG!A:D,DG!$C$2,)&amp;":"</f>
        <v>Keo silicon bít miệng ống:</v>
      </c>
      <c r="G2326" s="1079" t="str">
        <f>VLOOKUP($B2326,DG!A:D,DG!$D$2,)</f>
        <v>ống</v>
      </c>
      <c r="H2326" s="1894"/>
      <c r="I2326" s="1259">
        <f t="shared" si="128"/>
        <v>0</v>
      </c>
      <c r="J2326" s="1081"/>
      <c r="K2326" s="1081"/>
      <c r="L2326" s="1082"/>
      <c r="M2326" s="975">
        <v>630</v>
      </c>
    </row>
    <row r="2327" spans="1:13" s="1083" customFormat="1" ht="25.2" hidden="1" customHeight="1">
      <c r="A2327" s="1153">
        <f t="shared" si="127"/>
        <v>0</v>
      </c>
      <c r="B2327" s="1324" t="s">
        <v>1826</v>
      </c>
      <c r="C2327" s="1324"/>
      <c r="D2327" s="1090"/>
      <c r="E2327" s="1079" t="str">
        <f>VLOOKUP($B2327,DG!A:D,DG!$B$2,)</f>
        <v>03.1401</v>
      </c>
      <c r="F2327" s="1080" t="str">
        <f>VLOOKUP($B2327,DG!A:D,DG!$C$2,)</f>
        <v xml:space="preserve">Cáp CVV 4x2,5mm2  </v>
      </c>
      <c r="G2327" s="1079" t="str">
        <f>VLOOKUP($B2327,DG!A:D,DG!$D$2,)</f>
        <v>mét</v>
      </c>
      <c r="H2327" s="1894"/>
      <c r="I2327" s="1259">
        <f t="shared" si="128"/>
        <v>0</v>
      </c>
      <c r="J2327" s="1081"/>
      <c r="K2327" s="1081"/>
      <c r="L2327" s="1082"/>
      <c r="M2327" s="975">
        <v>630</v>
      </c>
    </row>
    <row r="2328" spans="1:13" s="1083" customFormat="1" ht="25.2" hidden="1" customHeight="1">
      <c r="A2328" s="1153">
        <f t="shared" si="127"/>
        <v>0</v>
      </c>
      <c r="B2328" s="1324" t="s">
        <v>1351</v>
      </c>
      <c r="C2328" s="1324"/>
      <c r="D2328" s="1090"/>
      <c r="E2328" s="1079">
        <f>VLOOKUP($B2328,DG!A:D,DG!$B$2,)</f>
        <v>0</v>
      </c>
      <c r="F2328" s="1080" t="str">
        <f>VLOOKUP($B2328,DG!A:D,DG!$C$2,)</f>
        <v>Dây rút cáp</v>
      </c>
      <c r="G2328" s="1079" t="str">
        <f>VLOOKUP($B2328,DG!A:D,DG!$D$2,)</f>
        <v>bọc</v>
      </c>
      <c r="H2328" s="1894"/>
      <c r="I2328" s="1259">
        <f t="shared" si="128"/>
        <v>0</v>
      </c>
      <c r="J2328" s="1081"/>
      <c r="K2328" s="1081"/>
      <c r="L2328" s="1082"/>
      <c r="M2328" s="975">
        <v>630</v>
      </c>
    </row>
    <row r="2329" spans="1:13" s="1083" customFormat="1" ht="25.2" hidden="1" customHeight="1">
      <c r="A2329" s="1153">
        <f t="shared" si="127"/>
        <v>0</v>
      </c>
      <c r="B2329" s="1154" t="s">
        <v>672</v>
      </c>
      <c r="C2329" s="1154"/>
      <c r="D2329" s="1090"/>
      <c r="E2329" s="1079">
        <f>VLOOKUP($B2329,DG!A:D,DG!$B$2,)</f>
        <v>0</v>
      </c>
      <c r="F2329" s="1080" t="str">
        <f>VLOOKUP($B2329,DG!A:D,DG!$C$2,)&amp;":"</f>
        <v>Băng keo cách điện:</v>
      </c>
      <c r="G2329" s="1079" t="str">
        <f>VLOOKUP($B2329,DG!A:D,DG!$D$2,)</f>
        <v>cuộn</v>
      </c>
      <c r="H2329" s="1894"/>
      <c r="I2329" s="1259">
        <f t="shared" si="128"/>
        <v>0</v>
      </c>
      <c r="J2329" s="1081"/>
      <c r="K2329" s="1081"/>
      <c r="L2329" s="1110"/>
      <c r="M2329" s="975">
        <v>630</v>
      </c>
    </row>
    <row r="2330" spans="1:13" s="1083" customFormat="1" ht="25.2" hidden="1" customHeight="1">
      <c r="A2330" s="1153">
        <f t="shared" ref="A2330:A2393" si="129">IF(I2330&gt;0,1,0)</f>
        <v>0</v>
      </c>
      <c r="B2330" s="1154" t="s">
        <v>1413</v>
      </c>
      <c r="C2330" s="1154"/>
      <c r="D2330" s="1090"/>
      <c r="E2330" s="1079" t="str">
        <f>VLOOKUP($B2330,DG!A:D,DG!$B$2,)</f>
        <v>05.6101</v>
      </c>
      <c r="F2330" s="1080" t="str">
        <f>VLOOKUP($B2330,DG!A:D,DG!$C$2,)&amp;":"</f>
        <v>Lắp Giá đỡ cáp:</v>
      </c>
      <c r="G2330" s="1079" t="str">
        <f>VLOOKUP($B2330,DG!A:D,DG!$D$2,)</f>
        <v>bộ</v>
      </c>
      <c r="H2330" s="1851"/>
      <c r="I2330" s="1259">
        <f t="shared" si="128"/>
        <v>0</v>
      </c>
      <c r="J2330" s="1081"/>
      <c r="K2330" s="1081"/>
      <c r="L2330" s="1110"/>
      <c r="M2330" s="975">
        <v>630</v>
      </c>
    </row>
    <row r="2331" spans="1:13" s="1083" customFormat="1" ht="25.2" hidden="1" customHeight="1">
      <c r="A2331" s="1153">
        <f t="shared" si="129"/>
        <v>0</v>
      </c>
      <c r="B2331" s="1154" t="s">
        <v>247</v>
      </c>
      <c r="C2331" s="1154"/>
      <c r="D2331" s="1090"/>
      <c r="E2331" s="1079" t="str">
        <f>VLOOKUP($B2331,DG!A:D,DG!$B$2,)</f>
        <v>04.4203</v>
      </c>
      <c r="F2331" s="1080" t="str">
        <f>VLOOKUP($B2331,DG!A:D,DG!$C$2,)&amp;":"</f>
        <v>Lắp cáp đồng xuống thiết bị D &gt; 150mm2:</v>
      </c>
      <c r="G2331" s="1079" t="str">
        <f>VLOOKUP($B2331,DG!A:D,DG!$D$2,)</f>
        <v>m</v>
      </c>
      <c r="H2331" s="1851">
        <f>H2311+H2312</f>
        <v>0</v>
      </c>
      <c r="I2331" s="1259">
        <f t="shared" si="128"/>
        <v>0</v>
      </c>
      <c r="J2331" s="1081"/>
      <c r="K2331" s="1081"/>
      <c r="L2331" s="1110"/>
      <c r="M2331" s="975">
        <v>630</v>
      </c>
    </row>
    <row r="2332" spans="1:13" s="1083" customFormat="1" ht="25.2" hidden="1" customHeight="1">
      <c r="A2332" s="1153">
        <f t="shared" si="129"/>
        <v>0</v>
      </c>
      <c r="B2332" s="1154" t="s">
        <v>2010</v>
      </c>
      <c r="C2332" s="1154"/>
      <c r="D2332" s="1090"/>
      <c r="E2332" s="1079" t="str">
        <f>VLOOKUP($B2332,DG!A:D,DG!$B$2,)</f>
        <v>04.4202</v>
      </c>
      <c r="F2332" s="1080" t="str">
        <f>VLOOKUP($B2332,DG!A:D,DG!$C$2,)&amp;":"</f>
        <v>Lắp cáp đồng xuống thiết bị D ≤ 150mm2:</v>
      </c>
      <c r="G2332" s="1079" t="str">
        <f>VLOOKUP($B2332,DG!A:D,DG!$D$2,)</f>
        <v>m</v>
      </c>
      <c r="H2332" s="1851"/>
      <c r="I2332" s="1259">
        <f t="shared" si="128"/>
        <v>0</v>
      </c>
      <c r="J2332" s="1081"/>
      <c r="K2332" s="1081"/>
      <c r="L2332" s="1082"/>
      <c r="M2332" s="975">
        <v>630</v>
      </c>
    </row>
    <row r="2333" spans="1:13" s="1083" customFormat="1" ht="25.2" hidden="1" customHeight="1">
      <c r="A2333" s="1153">
        <f t="shared" si="129"/>
        <v>0</v>
      </c>
      <c r="B2333" s="1154" t="s">
        <v>242</v>
      </c>
      <c r="C2333" s="1154"/>
      <c r="D2333" s="1090"/>
      <c r="E2333" s="1079">
        <f>VLOOKUP($B2333,DG!A:D,DG!$B$2,)</f>
        <v>0</v>
      </c>
      <c r="F2333" s="1080" t="str">
        <f>VLOOKUP($B2333,DG!A:D,DG!$C$2,)&amp;":"</f>
        <v>Bộ móng tủ bù 0,2x0,2x0,4x4móng:</v>
      </c>
      <c r="G2333" s="1079" t="str">
        <f>VLOOKUP($B2333,DG!A:D,DG!$D$2,)</f>
        <v>trọn bộ</v>
      </c>
      <c r="H2333" s="1851">
        <f>H2309*1*0</f>
        <v>0</v>
      </c>
      <c r="I2333" s="1259">
        <f t="shared" si="128"/>
        <v>0</v>
      </c>
      <c r="J2333" s="1081"/>
      <c r="K2333" s="1081"/>
      <c r="L2333" s="1082"/>
      <c r="M2333" s="975">
        <v>630</v>
      </c>
    </row>
    <row r="2334" spans="1:13" s="1083" customFormat="1" ht="25.2" hidden="1" customHeight="1">
      <c r="A2334" s="1153">
        <f t="shared" si="129"/>
        <v>0</v>
      </c>
      <c r="B2334" s="1154"/>
      <c r="C2334" s="1154"/>
      <c r="D2334" s="1084">
        <f>IF(H2334&gt;0,D2309+1,D2309)</f>
        <v>0</v>
      </c>
      <c r="E2334" s="1085"/>
      <c r="F2334" s="1094" t="s">
        <v>3747</v>
      </c>
      <c r="G2334" s="1084" t="s">
        <v>2391</v>
      </c>
      <c r="H2334" s="1894"/>
      <c r="I2334" s="1259">
        <f t="shared" si="128"/>
        <v>0</v>
      </c>
      <c r="J2334" s="1081"/>
      <c r="K2334" s="1081"/>
      <c r="L2334" s="1110"/>
      <c r="M2334" s="975">
        <v>630</v>
      </c>
    </row>
    <row r="2335" spans="1:13" s="1134" customFormat="1" ht="25.2" hidden="1" customHeight="1">
      <c r="A2335" s="1153">
        <f t="shared" si="129"/>
        <v>0</v>
      </c>
      <c r="B2335" s="1357"/>
      <c r="C2335" s="1357"/>
      <c r="D2335" s="1078"/>
      <c r="E2335" s="1088"/>
      <c r="F2335" s="1368" t="s">
        <v>2285</v>
      </c>
      <c r="G2335" s="1078"/>
      <c r="H2335" s="1868"/>
      <c r="I2335" s="1259">
        <f t="shared" si="128"/>
        <v>0</v>
      </c>
      <c r="J2335" s="1081"/>
      <c r="K2335" s="1081"/>
      <c r="L2335" s="1110"/>
      <c r="M2335" s="975">
        <v>630</v>
      </c>
    </row>
    <row r="2336" spans="1:13" s="1083" customFormat="1" ht="25.2" hidden="1" customHeight="1">
      <c r="A2336" s="1153">
        <f t="shared" si="129"/>
        <v>0</v>
      </c>
      <c r="B2336" s="1324" t="s">
        <v>1826</v>
      </c>
      <c r="C2336" s="1324"/>
      <c r="D2336" s="1110"/>
      <c r="E2336" s="1079" t="str">
        <f>VLOOKUP($B2336,DG!A:D,DG!$B$2,)</f>
        <v>03.1401</v>
      </c>
      <c r="F2336" s="1108" t="str">
        <f>VLOOKUP($B2336,DG!A:D,DG!$C$2,)</f>
        <v xml:space="preserve">Cáp CVV 4x2,5mm2  </v>
      </c>
      <c r="G2336" s="1135" t="str">
        <f>VLOOKUP($B2336,DG!A:D,DG!$D$2,)</f>
        <v>mét</v>
      </c>
      <c r="H2336" s="1851">
        <f>H2334*26</f>
        <v>0</v>
      </c>
      <c r="I2336" s="1259">
        <f t="shared" si="128"/>
        <v>0</v>
      </c>
      <c r="J2336" s="1131"/>
      <c r="K2336" s="1131"/>
      <c r="L2336" s="1110"/>
      <c r="M2336" s="975">
        <v>630</v>
      </c>
    </row>
    <row r="2337" spans="1:13" s="1083" customFormat="1" ht="25.2" hidden="1" customHeight="1">
      <c r="A2337" s="1153">
        <f t="shared" si="129"/>
        <v>0</v>
      </c>
      <c r="B2337" s="1324" t="s">
        <v>246</v>
      </c>
      <c r="C2337" s="1324"/>
      <c r="D2337" s="1110"/>
      <c r="E2337" s="1079" t="str">
        <f>VLOOKUP($B2337,DG!A:D,DG!$B$2,)</f>
        <v>05.6101</v>
      </c>
      <c r="F2337" s="1108" t="str">
        <f>VLOOKUP($B2337,DG!A:D,DG!$C$2,)</f>
        <v>Xà kẹp TU, TI U50x32x4 350</v>
      </c>
      <c r="G2337" s="1135" t="str">
        <f>VLOOKUP($B2337,DG!A:D,DG!$D$2,)</f>
        <v>Bộ</v>
      </c>
      <c r="H2337" s="1851">
        <f>H2334*24</f>
        <v>0</v>
      </c>
      <c r="I2337" s="1259">
        <f t="shared" si="128"/>
        <v>0</v>
      </c>
      <c r="J2337" s="1131"/>
      <c r="K2337" s="1131"/>
      <c r="L2337" s="1110"/>
      <c r="M2337" s="975">
        <v>630</v>
      </c>
    </row>
    <row r="2338" spans="1:13" s="1083" customFormat="1" ht="25.2" hidden="1" customHeight="1">
      <c r="A2338" s="1153">
        <f t="shared" si="129"/>
        <v>0</v>
      </c>
      <c r="B2338" s="1324" t="s">
        <v>1869</v>
      </c>
      <c r="C2338" s="1324"/>
      <c r="D2338" s="1090"/>
      <c r="E2338" s="1079" t="str">
        <f>VLOOKUP($B2338,DG!A:D,DG!$B$2,)</f>
        <v>03.4001</v>
      </c>
      <c r="F2338" s="1108" t="str">
        <f>VLOOKUP($B2338,DG!A:D,DG!$C$2,)</f>
        <v xml:space="preserve">Đầu cosse ép Cu 2,5mm2 + bao PVC </v>
      </c>
      <c r="G2338" s="1135" t="str">
        <f>VLOOKUP($B2338,DG!A:D,DG!$D$2,)</f>
        <v>cái</v>
      </c>
      <c r="H2338" s="1851">
        <f>H2334*16</f>
        <v>0</v>
      </c>
      <c r="I2338" s="1259">
        <f t="shared" si="128"/>
        <v>0</v>
      </c>
      <c r="J2338" s="1131"/>
      <c r="K2338" s="1131"/>
      <c r="L2338" s="1110"/>
      <c r="M2338" s="975">
        <v>630</v>
      </c>
    </row>
    <row r="2339" spans="1:13" s="1083" customFormat="1" ht="25.2" hidden="1" customHeight="1">
      <c r="A2339" s="1153">
        <f t="shared" si="129"/>
        <v>0</v>
      </c>
      <c r="B2339" s="1324" t="s">
        <v>1513</v>
      </c>
      <c r="C2339" s="1324"/>
      <c r="D2339" s="1090"/>
      <c r="E2339" s="1079">
        <f>VLOOKUP($B2339,DG!A:D,DG!$B$2,)</f>
        <v>0</v>
      </c>
      <c r="F2339" s="1108" t="str">
        <f>VLOOKUP($B2339,DG!A:D,DG!$C$2,)</f>
        <v>Dây điện đôi 16/10</v>
      </c>
      <c r="G2339" s="1135" t="str">
        <f>VLOOKUP($B2339,DG!A:D,DG!$D$2,)</f>
        <v>mét</v>
      </c>
      <c r="H2339" s="1851">
        <f>2*H2334</f>
        <v>0</v>
      </c>
      <c r="I2339" s="1259">
        <f t="shared" si="128"/>
        <v>0</v>
      </c>
      <c r="J2339" s="1131"/>
      <c r="K2339" s="1131"/>
      <c r="L2339" s="1110"/>
      <c r="M2339" s="975">
        <v>630</v>
      </c>
    </row>
    <row r="2340" spans="1:13" s="1083" customFormat="1" ht="25.2" hidden="1" customHeight="1">
      <c r="A2340" s="1153">
        <f t="shared" si="129"/>
        <v>0</v>
      </c>
      <c r="B2340" s="1324" t="s">
        <v>1114</v>
      </c>
      <c r="C2340" s="1324"/>
      <c r="D2340" s="1090"/>
      <c r="E2340" s="1079">
        <f>VLOOKUP($B2340,DG!A:D,DG!$B$2,)</f>
        <v>0</v>
      </c>
      <c r="F2340" s="1108" t="str">
        <f>VLOOKUP($B2340,DG!A:D,DG!$C$2,)&amp;" (ñaáu TU )"</f>
        <v>Kẹp ép cỡ dây 25mm2 (ñaáu TU )</v>
      </c>
      <c r="G2340" s="1135" t="str">
        <f>VLOOKUP($B2340,DG!A:D,DG!$D$2,)</f>
        <v>cái</v>
      </c>
      <c r="H2340" s="1851">
        <f>+H2334*3</f>
        <v>0</v>
      </c>
      <c r="I2340" s="1259">
        <f t="shared" si="128"/>
        <v>0</v>
      </c>
      <c r="J2340" s="1131"/>
      <c r="K2340" s="1131"/>
      <c r="L2340" s="1110"/>
      <c r="M2340" s="975">
        <v>630</v>
      </c>
    </row>
    <row r="2341" spans="1:13" s="1083" customFormat="1" ht="25.2" hidden="1" customHeight="1">
      <c r="A2341" s="1153">
        <f t="shared" si="129"/>
        <v>0</v>
      </c>
      <c r="B2341" s="1324" t="s">
        <v>2147</v>
      </c>
      <c r="C2341" s="1324"/>
      <c r="D2341" s="1090"/>
      <c r="E2341" s="1079" t="str">
        <f>VLOOKUP($B2341,DG!A:D,DG!$B$2,)</f>
        <v>07.2403</v>
      </c>
      <c r="F2341" s="1108" t="str">
        <f>VLOOKUP($B2341,DG!A:D,DG!$C$2,)</f>
        <v>Ống PVC D42x2,1mm</v>
      </c>
      <c r="G2341" s="1135" t="str">
        <f>VLOOKUP($B2341,DG!A:D,DG!$D$2,)</f>
        <v>m</v>
      </c>
      <c r="H2341" s="1851">
        <f>H2334*16</f>
        <v>0</v>
      </c>
      <c r="I2341" s="1259">
        <f t="shared" si="128"/>
        <v>0</v>
      </c>
      <c r="J2341" s="1131"/>
      <c r="K2341" s="1131"/>
      <c r="L2341" s="1110"/>
      <c r="M2341" s="975">
        <v>630</v>
      </c>
    </row>
    <row r="2342" spans="1:13" s="1083" customFormat="1" ht="25.2" hidden="1" customHeight="1">
      <c r="A2342" s="1153">
        <f t="shared" si="129"/>
        <v>0</v>
      </c>
      <c r="B2342" s="1154" t="s">
        <v>204</v>
      </c>
      <c r="C2342" s="1154"/>
      <c r="D2342" s="1090"/>
      <c r="E2342" s="1079" t="str">
        <f>VLOOKUP($B2342,DG!A:D,DG!$B$2,)</f>
        <v>06.3231</v>
      </c>
      <c r="F2342" s="1108" t="str">
        <f>VLOOKUP($B2342,DG!A:D,DG!$C$2,)</f>
        <v>Cổ dê giữ ống PVC D42</v>
      </c>
      <c r="G2342" s="1135" t="str">
        <f>VLOOKUP($B2342,DG!A:D,DG!$D$2,)</f>
        <v>bộ</v>
      </c>
      <c r="H2342" s="1851">
        <f>H2334*4</f>
        <v>0</v>
      </c>
      <c r="I2342" s="1259">
        <f t="shared" si="128"/>
        <v>0</v>
      </c>
      <c r="J2342" s="1131"/>
      <c r="K2342" s="1131"/>
      <c r="L2342" s="1110"/>
      <c r="M2342" s="975">
        <v>630</v>
      </c>
    </row>
    <row r="2343" spans="1:13" s="1083" customFormat="1" ht="25.2" hidden="1" customHeight="1">
      <c r="A2343" s="1153">
        <f t="shared" si="129"/>
        <v>0</v>
      </c>
      <c r="B2343" s="1324" t="s">
        <v>1619</v>
      </c>
      <c r="C2343" s="1324"/>
      <c r="D2343" s="1090"/>
      <c r="E2343" s="1079">
        <f>VLOOKUP($B2343,DG!A:D,DG!$B$2,)</f>
        <v>0</v>
      </c>
      <c r="F2343" s="1108" t="str">
        <f>VLOOKUP($B2343,DG!A:D,DG!$C$2,)</f>
        <v>Co 90 độ PVC 42</v>
      </c>
      <c r="G2343" s="1135" t="str">
        <f>VLOOKUP($B2343,DG!A:D,DG!$D$2,)</f>
        <v>cái</v>
      </c>
      <c r="H2343" s="1851">
        <f>H2334*5</f>
        <v>0</v>
      </c>
      <c r="I2343" s="1259">
        <f t="shared" si="128"/>
        <v>0</v>
      </c>
      <c r="J2343" s="1131"/>
      <c r="K2343" s="1131"/>
      <c r="L2343" s="1110"/>
      <c r="M2343" s="975">
        <v>630</v>
      </c>
    </row>
    <row r="2344" spans="1:13" s="1083" customFormat="1" ht="25.2" hidden="1" customHeight="1">
      <c r="A2344" s="1153">
        <f t="shared" si="129"/>
        <v>0</v>
      </c>
      <c r="B2344" s="1324" t="s">
        <v>1050</v>
      </c>
      <c r="C2344" s="1324"/>
      <c r="D2344" s="1090"/>
      <c r="E2344" s="1079">
        <f>VLOOKUP($B2344,DG!A:D,DG!$B$2,)</f>
        <v>0</v>
      </c>
      <c r="F2344" s="1108" t="str">
        <f>VLOOKUP($B2344,DG!A:D,DG!$C$2,)</f>
        <v>Co chữ T ống PVC 42</v>
      </c>
      <c r="G2344" s="1135" t="str">
        <f>VLOOKUP($B2344,DG!A:D,DG!$D$2,)</f>
        <v>cái</v>
      </c>
      <c r="H2344" s="1851">
        <f>H2334*5</f>
        <v>0</v>
      </c>
      <c r="I2344" s="1259">
        <f t="shared" si="128"/>
        <v>0</v>
      </c>
      <c r="J2344" s="1131"/>
      <c r="K2344" s="1131"/>
      <c r="L2344" s="1110"/>
      <c r="M2344" s="975">
        <v>630</v>
      </c>
    </row>
    <row r="2345" spans="1:13" s="1083" customFormat="1" ht="25.2" hidden="1" customHeight="1">
      <c r="A2345" s="1153">
        <f t="shared" si="129"/>
        <v>0</v>
      </c>
      <c r="B2345" s="1324" t="s">
        <v>1917</v>
      </c>
      <c r="C2345" s="1324"/>
      <c r="D2345" s="1090"/>
      <c r="E2345" s="1079">
        <f>VLOOKUP($B2345,DG!A:D,DG!$B$2,)</f>
        <v>0</v>
      </c>
      <c r="F2345" s="1108" t="str">
        <f>VLOOKUP($B2345,DG!A:D,DG!$C$2,)</f>
        <v>Nối thẳng ống PVC 42</v>
      </c>
      <c r="G2345" s="1135" t="str">
        <f>VLOOKUP($B2345,DG!A:D,DG!$D$2,)</f>
        <v>cái</v>
      </c>
      <c r="H2345" s="1851">
        <f>H2334</f>
        <v>0</v>
      </c>
      <c r="I2345" s="1259">
        <f t="shared" si="128"/>
        <v>0</v>
      </c>
      <c r="J2345" s="1131"/>
      <c r="K2345" s="1131"/>
      <c r="L2345" s="1110"/>
      <c r="M2345" s="975">
        <v>630</v>
      </c>
    </row>
    <row r="2346" spans="1:13" s="1083" customFormat="1" ht="25.2" hidden="1" customHeight="1">
      <c r="A2346" s="1153">
        <f t="shared" si="129"/>
        <v>0</v>
      </c>
      <c r="B2346" s="1324" t="s">
        <v>697</v>
      </c>
      <c r="C2346" s="1324"/>
      <c r="D2346" s="1090"/>
      <c r="E2346" s="1079">
        <f>VLOOKUP($B2346,DG!A:D,DG!$B$2,)</f>
        <v>0</v>
      </c>
      <c r="F2346" s="1108" t="str">
        <f>VLOOKUP($B2346,DG!A:D,DG!$C$2,)&amp;" ñaáu TU"</f>
        <v>Cáp 24KV C/XLPE/PVC 25mm2 ñaáu TU</v>
      </c>
      <c r="G2346" s="1135" t="str">
        <f>VLOOKUP($B2346,DG!A:D,DG!$D$2,)</f>
        <v>mét</v>
      </c>
      <c r="H2346" s="1851">
        <f>H2334*2.5*3*0</f>
        <v>0</v>
      </c>
      <c r="I2346" s="1259">
        <f t="shared" si="128"/>
        <v>0</v>
      </c>
      <c r="J2346" s="1131"/>
      <c r="K2346" s="1131"/>
      <c r="L2346" s="1110"/>
      <c r="M2346" s="975">
        <v>630</v>
      </c>
    </row>
    <row r="2347" spans="1:13" s="1083" customFormat="1" ht="25.2" hidden="1" customHeight="1">
      <c r="A2347" s="1153">
        <f t="shared" si="129"/>
        <v>0</v>
      </c>
      <c r="B2347" s="1324" t="s">
        <v>726</v>
      </c>
      <c r="C2347" s="1324"/>
      <c r="D2347" s="1090"/>
      <c r="E2347" s="1079">
        <f>VLOOKUP($B2347,DG!A:D,DG!$B$2,)</f>
        <v>0</v>
      </c>
      <c r="F2347" s="1108" t="str">
        <f>VLOOKUP($B2347,DG!A:D,DG!$C$2,)</f>
        <v>Keo dán ống PVC (500gr)</v>
      </c>
      <c r="G2347" s="1135" t="str">
        <f>VLOOKUP($B2347,DG!A:D,DG!$D$2,)</f>
        <v>lon</v>
      </c>
      <c r="H2347" s="1851">
        <f>H2334</f>
        <v>0</v>
      </c>
      <c r="I2347" s="1259">
        <f t="shared" si="128"/>
        <v>0</v>
      </c>
      <c r="J2347" s="1131"/>
      <c r="K2347" s="1131"/>
      <c r="L2347" s="1110"/>
      <c r="M2347" s="975">
        <v>630</v>
      </c>
    </row>
    <row r="2348" spans="1:13" s="1083" customFormat="1" ht="25.2" hidden="1" customHeight="1">
      <c r="A2348" s="1153">
        <f t="shared" si="129"/>
        <v>0</v>
      </c>
      <c r="B2348" s="1154" t="s">
        <v>672</v>
      </c>
      <c r="C2348" s="1154"/>
      <c r="D2348" s="1090"/>
      <c r="E2348" s="1079">
        <f>VLOOKUP($B2348,DG!A:D,DG!$B$2,)</f>
        <v>0</v>
      </c>
      <c r="F2348" s="1108" t="str">
        <f>VLOOKUP($B2348,DG!A:D,DG!$C$2,)</f>
        <v>Băng keo cách điện</v>
      </c>
      <c r="G2348" s="1135" t="str">
        <f>VLOOKUP($B2348,DG!A:D,DG!$D$2,)</f>
        <v>cuộn</v>
      </c>
      <c r="H2348" s="1851">
        <f>H2334</f>
        <v>0</v>
      </c>
      <c r="I2348" s="1259">
        <f t="shared" si="128"/>
        <v>0</v>
      </c>
      <c r="J2348" s="1081"/>
      <c r="K2348" s="1081"/>
      <c r="L2348" s="1110"/>
      <c r="M2348" s="975">
        <v>630</v>
      </c>
    </row>
    <row r="2349" spans="1:13" s="1083" customFormat="1" ht="25.2" hidden="1" customHeight="1">
      <c r="A2349" s="1153">
        <f t="shared" si="129"/>
        <v>0</v>
      </c>
      <c r="B2349" s="1324" t="s">
        <v>2126</v>
      </c>
      <c r="C2349" s="1324"/>
      <c r="D2349" s="1090"/>
      <c r="E2349" s="1079">
        <f>VLOOKUP($B2349,DG!A:D,DG!$B$2,)</f>
        <v>0</v>
      </c>
      <c r="F2349" s="1108" t="str">
        <f>VLOOKUP($B2349,DG!A:D,DG!$C$2,)</f>
        <v>Khâu ven răng trong D42</v>
      </c>
      <c r="G2349" s="1135" t="str">
        <f>VLOOKUP($B2349,DG!A:D,DG!$D$2,)</f>
        <v>cái</v>
      </c>
      <c r="H2349" s="1851">
        <f>H2334</f>
        <v>0</v>
      </c>
      <c r="I2349" s="1259">
        <f t="shared" si="128"/>
        <v>0</v>
      </c>
      <c r="J2349" s="1081"/>
      <c r="K2349" s="1081"/>
      <c r="L2349" s="1110"/>
      <c r="M2349" s="975">
        <v>630</v>
      </c>
    </row>
    <row r="2350" spans="1:13" s="1083" customFormat="1" ht="25.2" hidden="1" customHeight="1">
      <c r="A2350" s="1153">
        <f t="shared" si="129"/>
        <v>0</v>
      </c>
      <c r="B2350" s="1154" t="s">
        <v>959</v>
      </c>
      <c r="C2350" s="1154"/>
      <c r="D2350" s="1090"/>
      <c r="E2350" s="1079">
        <f>VLOOKUP($B2350,DG!A:D,DG!$B$2,)</f>
        <v>0</v>
      </c>
      <c r="F2350" s="1108" t="str">
        <f>VLOOKUP($B2350,DG!A:D,DG!$C$2,)</f>
        <v>Khâu ven răng ngoài D42</v>
      </c>
      <c r="G2350" s="1135" t="str">
        <f>VLOOKUP($B2350,DG!A:D,DG!$D$2,)</f>
        <v>cái</v>
      </c>
      <c r="H2350" s="1851">
        <f>H2334</f>
        <v>0</v>
      </c>
      <c r="I2350" s="1259">
        <f t="shared" si="128"/>
        <v>0</v>
      </c>
      <c r="J2350" s="1081"/>
      <c r="K2350" s="1081"/>
      <c r="L2350" s="1110"/>
      <c r="M2350" s="975">
        <v>630</v>
      </c>
    </row>
    <row r="2351" spans="1:13" s="1083" customFormat="1" ht="25.2" hidden="1" customHeight="1">
      <c r="A2351" s="1153">
        <f t="shared" si="129"/>
        <v>0</v>
      </c>
      <c r="B2351" s="1154" t="s">
        <v>319</v>
      </c>
      <c r="C2351" s="1154"/>
      <c r="D2351" s="1090"/>
      <c r="E2351" s="1079" t="str">
        <f>VLOOKUP($B2351,DG!A:D,DG!$B$2,)</f>
        <v>06.3231</v>
      </c>
      <c r="F2351" s="1108" t="str">
        <f>VLOOKUP($B2351,DG!A:D,DG!$C$2,)</f>
        <v>Cổ dê CDĐKĐT( bắt thùng điện kế)</v>
      </c>
      <c r="G2351" s="1135" t="str">
        <f>VLOOKUP($B2351,DG!A:D,DG!$D$2,)</f>
        <v>bộ</v>
      </c>
      <c r="H2351" s="1889">
        <f>H2334*2*0</f>
        <v>0</v>
      </c>
      <c r="I2351" s="1259">
        <f t="shared" si="128"/>
        <v>0</v>
      </c>
      <c r="J2351" s="1081"/>
      <c r="K2351" s="1081"/>
      <c r="L2351" s="1082"/>
      <c r="M2351" s="975">
        <v>630</v>
      </c>
    </row>
    <row r="2352" spans="1:13" s="1083" customFormat="1" ht="25.2" hidden="1" customHeight="1">
      <c r="A2352" s="1153">
        <f t="shared" si="129"/>
        <v>0</v>
      </c>
      <c r="B2352" s="1154" t="s">
        <v>1919</v>
      </c>
      <c r="C2352" s="1154"/>
      <c r="D2352" s="1090"/>
      <c r="E2352" s="1079" t="str">
        <f>VLOOKUP($B2352,DG!A:D,DG!$B$2,)</f>
        <v>05.1101</v>
      </c>
      <c r="F2352" s="1108" t="str">
        <f>VLOOKUP($B2352,DG!A:D,DG!$C$2,)</f>
        <v>Thùng điện kế 450x300x200mm đo đếm trung thế</v>
      </c>
      <c r="G2352" s="1135" t="str">
        <f>VLOOKUP($B2352,DG!A:D,DG!$D$2,)</f>
        <v>cái</v>
      </c>
      <c r="H2352" s="1851">
        <f>H2334*0</f>
        <v>0</v>
      </c>
      <c r="I2352" s="1259">
        <f t="shared" si="128"/>
        <v>0</v>
      </c>
      <c r="J2352" s="1081"/>
      <c r="K2352" s="1081"/>
      <c r="L2352" s="1110"/>
      <c r="M2352" s="975">
        <v>630</v>
      </c>
    </row>
    <row r="2353" spans="1:13" s="1083" customFormat="1" ht="25.2" hidden="1" customHeight="1">
      <c r="A2353" s="1153">
        <f t="shared" si="129"/>
        <v>0</v>
      </c>
      <c r="B2353" s="1154" t="s">
        <v>6</v>
      </c>
      <c r="C2353" s="1154"/>
      <c r="D2353" s="1090"/>
      <c r="E2353" s="1079">
        <f>VLOOKUP($B2353,DG!A:D,DG!$B$2,)</f>
        <v>0</v>
      </c>
      <c r="F2353" s="1108" t="str">
        <f>VLOOKUP($B2353,DG!A:D,DG!$C$2,)</f>
        <v>Keo silicon bít miệng ống</v>
      </c>
      <c r="G2353" s="1135" t="str">
        <f>VLOOKUP($B2353,DG!A:D,DG!$D$2,)</f>
        <v>ống</v>
      </c>
      <c r="H2353" s="1851">
        <f>H2334</f>
        <v>0</v>
      </c>
      <c r="I2353" s="1259">
        <f t="shared" si="128"/>
        <v>0</v>
      </c>
      <c r="J2353" s="1081"/>
      <c r="K2353" s="1081"/>
      <c r="L2353" s="1110"/>
      <c r="M2353" s="975">
        <v>630</v>
      </c>
    </row>
    <row r="2354" spans="1:13" s="1083" customFormat="1" ht="25.2" hidden="1" customHeight="1">
      <c r="A2354" s="1153">
        <f t="shared" si="129"/>
        <v>0</v>
      </c>
      <c r="B2354" s="1154" t="s">
        <v>2145</v>
      </c>
      <c r="C2354" s="1154"/>
      <c r="D2354" s="1090"/>
      <c r="E2354" s="1079">
        <f>VLOOKUP($B2354,DG!A:D,DG!$B$2,)</f>
        <v>0</v>
      </c>
      <c r="F2354" s="1108" t="str">
        <f>VLOOKUP($B2354,DG!A:D,DG!$C$2,)</f>
        <v>Dây đồng trần mềm dẹt</v>
      </c>
      <c r="G2354" s="1135" t="str">
        <f>VLOOKUP($B2354,DG!A:D,DG!$D$2,)</f>
        <v>mét</v>
      </c>
      <c r="H2354" s="1851">
        <f>H2334*4</f>
        <v>0</v>
      </c>
      <c r="I2354" s="1259">
        <f t="shared" si="128"/>
        <v>0</v>
      </c>
      <c r="J2354" s="1081"/>
      <c r="K2354" s="1081"/>
      <c r="L2354" s="1110"/>
      <c r="M2354" s="975">
        <v>630</v>
      </c>
    </row>
    <row r="2355" spans="1:13" s="1083" customFormat="1" ht="25.2" hidden="1" customHeight="1">
      <c r="A2355" s="1153">
        <f t="shared" si="129"/>
        <v>0</v>
      </c>
      <c r="B2355" s="1154" t="s">
        <v>1219</v>
      </c>
      <c r="C2355" s="1154"/>
      <c r="D2355" s="1090"/>
      <c r="E2355" s="1079" t="str">
        <f>VLOOKUP($B2355,DG!A:D,DG!$B$2,)</f>
        <v>06.3191</v>
      </c>
      <c r="F2355" s="1108" t="str">
        <f>VLOOKUP($B2355,DG!A:D,DG!$C$2,)</f>
        <v>Bảng tên trạm, bảng báo nguy hiểm + đinh vít</v>
      </c>
      <c r="G2355" s="1135" t="str">
        <f>VLOOKUP($B2355,DG!A:D,DG!$D$2,)</f>
        <v>bộ</v>
      </c>
      <c r="H2355" s="1851">
        <f>H2334</f>
        <v>0</v>
      </c>
      <c r="I2355" s="1259">
        <f t="shared" ref="I2355:I2418" si="130">IF(M2355=$M$23,H2355+J2355-K2355,0)</f>
        <v>0</v>
      </c>
      <c r="J2355" s="1081"/>
      <c r="K2355" s="1081"/>
      <c r="L2355" s="1110"/>
      <c r="M2355" s="975">
        <v>630</v>
      </c>
    </row>
    <row r="2356" spans="1:13" s="1083" customFormat="1" ht="25.2" hidden="1" customHeight="1">
      <c r="A2356" s="1153">
        <f t="shared" si="129"/>
        <v>0</v>
      </c>
      <c r="B2356" s="1154" t="s">
        <v>1353</v>
      </c>
      <c r="C2356" s="1154"/>
      <c r="D2356" s="1090"/>
      <c r="E2356" s="1079">
        <f>VLOOKUP($B2356,DG!A:D,DG!$B$2,)</f>
        <v>0</v>
      </c>
      <c r="F2356" s="1108" t="str">
        <f>VLOOKUP($B2356,DG!A:D,DG!$C$2,)&amp;" baét thuøng ÑKÑT"</f>
        <v>Boulon 12x60+ 2 long đền vuông D14-50x50x3/Zn baét thuøng ÑKÑT</v>
      </c>
      <c r="G2356" s="1135" t="str">
        <f>VLOOKUP($B2356,DG!A:D,DG!$D$2,)</f>
        <v>bộ</v>
      </c>
      <c r="H2356" s="1851">
        <f>4*H2334*0</f>
        <v>0</v>
      </c>
      <c r="I2356" s="1259">
        <f t="shared" si="130"/>
        <v>0</v>
      </c>
      <c r="J2356" s="1081"/>
      <c r="K2356" s="1081"/>
      <c r="L2356" s="1110"/>
      <c r="M2356" s="975">
        <v>630</v>
      </c>
    </row>
    <row r="2357" spans="1:13" s="1083" customFormat="1" ht="25.2" hidden="1" customHeight="1">
      <c r="A2357" s="1153">
        <f t="shared" si="129"/>
        <v>0</v>
      </c>
      <c r="B2357" s="1154"/>
      <c r="C2357" s="1154"/>
      <c r="D2357" s="1115"/>
      <c r="E2357" s="1116"/>
      <c r="F2357" s="1105" t="s">
        <v>3748</v>
      </c>
      <c r="G2357" s="1105"/>
      <c r="H2357" s="1875"/>
      <c r="I2357" s="1259">
        <f t="shared" si="130"/>
        <v>0</v>
      </c>
      <c r="J2357" s="1105"/>
      <c r="K2357" s="1105"/>
      <c r="L2357" s="1136"/>
      <c r="M2357" s="975">
        <v>630</v>
      </c>
    </row>
    <row r="2358" spans="1:13" s="1083" customFormat="1" ht="25.2" hidden="1" customHeight="1">
      <c r="A2358" s="1153">
        <f t="shared" si="129"/>
        <v>0</v>
      </c>
      <c r="B2358" s="1154" t="s">
        <v>966</v>
      </c>
      <c r="C2358" s="1154"/>
      <c r="D2358" s="1090"/>
      <c r="E2358" s="1079" t="str">
        <f>VLOOKUP($B2358,DG!A:D,DG!$B$2,)</f>
        <v>02.5114</v>
      </c>
      <c r="F2358" s="1108" t="s">
        <v>3749</v>
      </c>
      <c r="G2358" s="1135" t="str">
        <f>VLOOKUP($B2358,DG!A:D,DG!$D$2,)</f>
        <v>cái</v>
      </c>
      <c r="H2358" s="1851"/>
      <c r="I2358" s="1259">
        <f t="shared" si="130"/>
        <v>0</v>
      </c>
      <c r="J2358" s="1081"/>
      <c r="K2358" s="1081"/>
      <c r="L2358" s="1110" t="s">
        <v>3750</v>
      </c>
      <c r="M2358" s="975">
        <v>630</v>
      </c>
    </row>
    <row r="2359" spans="1:13" s="1083" customFormat="1" ht="25.2" hidden="1" customHeight="1">
      <c r="A2359" s="1153">
        <f t="shared" si="129"/>
        <v>0</v>
      </c>
      <c r="B2359" s="1154" t="s">
        <v>1910</v>
      </c>
      <c r="C2359" s="1154"/>
      <c r="D2359" s="1090"/>
      <c r="E2359" s="1079" t="str">
        <f>VLOOKUP($B2359,DG!A:D,DG!$B$2,)</f>
        <v>05.6011</v>
      </c>
      <c r="F2359" s="1108" t="s">
        <v>2467</v>
      </c>
      <c r="G2359" s="1135" t="str">
        <f>VLOOKUP($B2359,DG!A:D,DG!$D$2,)</f>
        <v>bộ</v>
      </c>
      <c r="H2359" s="1851"/>
      <c r="I2359" s="1259">
        <f t="shared" si="130"/>
        <v>0</v>
      </c>
      <c r="J2359" s="1081"/>
      <c r="K2359" s="1081"/>
      <c r="L2359" s="1082"/>
      <c r="M2359" s="975">
        <v>630</v>
      </c>
    </row>
    <row r="2360" spans="1:13" s="1083" customFormat="1" ht="25.2" hidden="1" customHeight="1">
      <c r="A2360" s="1153">
        <f t="shared" si="129"/>
        <v>0</v>
      </c>
      <c r="B2360" s="1154"/>
      <c r="C2360" s="1154"/>
      <c r="D2360" s="1137"/>
      <c r="E2360" s="1138"/>
      <c r="F2360" s="1105"/>
      <c r="G2360" s="1139"/>
      <c r="H2360" s="1878"/>
      <c r="I2360" s="1259">
        <f t="shared" si="130"/>
        <v>0</v>
      </c>
      <c r="J2360" s="1140"/>
      <c r="K2360" s="1141"/>
      <c r="L2360" s="1107"/>
      <c r="M2360" s="975"/>
    </row>
    <row r="2361" spans="1:13" s="1083" customFormat="1" ht="25.2" hidden="1" customHeight="1">
      <c r="A2361" s="1153">
        <f t="shared" si="129"/>
        <v>0</v>
      </c>
      <c r="B2361" s="1154"/>
      <c r="C2361" s="1154"/>
      <c r="D2361" s="1142"/>
      <c r="F2361" s="1143"/>
      <c r="H2361" s="1880"/>
      <c r="I2361" s="1259">
        <f t="shared" si="130"/>
        <v>0</v>
      </c>
      <c r="M2361" s="975"/>
    </row>
    <row r="2362" spans="1:13" s="1083" customFormat="1" ht="25.2" hidden="1" customHeight="1">
      <c r="A2362" s="1153">
        <f t="shared" si="129"/>
        <v>0</v>
      </c>
      <c r="B2362" s="1350"/>
      <c r="C2362" s="1350"/>
      <c r="D2362" s="981" t="e">
        <f>"BAÛNG TOÅNG HÔÏP VAÄT LIEÄU, NHAÂN COÂNG, MAÙY THI COÂNG : "&amp;#REF!&amp;" TRAÏM 3P_1000KVA"</f>
        <v>#REF!</v>
      </c>
      <c r="E2362" s="981"/>
      <c r="F2362" s="981"/>
      <c r="G2362" s="981"/>
      <c r="H2362" s="1872"/>
      <c r="I2362" s="1259">
        <f t="shared" si="130"/>
        <v>0</v>
      </c>
      <c r="J2362" s="1144"/>
      <c r="K2362" s="1144"/>
      <c r="L2362" s="1145"/>
      <c r="M2362" s="975"/>
    </row>
    <row r="2363" spans="1:13" s="1083" customFormat="1" ht="25.2" hidden="1" customHeight="1">
      <c r="A2363" s="1153">
        <f t="shared" si="129"/>
        <v>0</v>
      </c>
      <c r="B2363" s="1324"/>
      <c r="C2363" s="1324"/>
      <c r="D2363" s="1103"/>
      <c r="E2363" s="1104"/>
      <c r="F2363" s="1105" t="s">
        <v>3690</v>
      </c>
      <c r="G2363" s="1106"/>
      <c r="H2363" s="1908"/>
      <c r="I2363" s="1259">
        <f t="shared" si="130"/>
        <v>0</v>
      </c>
      <c r="J2363" s="1106"/>
      <c r="K2363" s="1106"/>
      <c r="L2363" s="1136"/>
      <c r="M2363" s="975">
        <v>1000</v>
      </c>
    </row>
    <row r="2364" spans="1:13" s="1083" customFormat="1" ht="25.2" hidden="1" customHeight="1">
      <c r="A2364" s="1153">
        <f t="shared" si="129"/>
        <v>0</v>
      </c>
      <c r="B2364" s="1325" t="s">
        <v>4533</v>
      </c>
      <c r="C2364" s="1325"/>
      <c r="D2364" s="1090">
        <f>IF(H2364&gt;0,1,0)</f>
        <v>0</v>
      </c>
      <c r="E2364" s="1079" t="str">
        <f>VLOOKUP($B2364,DG!A:D,DG!$B$2,)</f>
        <v>01.1147</v>
      </c>
      <c r="F2364" s="1080" t="str">
        <f>VLOOKUP($B2364,DG!A:D,DG!$C$2,)</f>
        <v>Máy biến áp 22/0,4kV- 1000kVA</v>
      </c>
      <c r="G2364" s="1079" t="str">
        <f>VLOOKUP($B2364,DG!A:D,DG!$D$2,)</f>
        <v>máy</v>
      </c>
      <c r="H2364" s="1882">
        <f>L16</f>
        <v>0</v>
      </c>
      <c r="I2364" s="1259">
        <f t="shared" si="130"/>
        <v>0</v>
      </c>
      <c r="J2364" s="1108"/>
      <c r="K2364" s="1108"/>
      <c r="L2364" s="1147"/>
      <c r="M2364" s="975">
        <v>1000</v>
      </c>
    </row>
    <row r="2365" spans="1:13" s="1083" customFormat="1" ht="25.2" hidden="1" customHeight="1">
      <c r="A2365" s="1153">
        <f t="shared" si="129"/>
        <v>0</v>
      </c>
      <c r="B2365" s="1325" t="s">
        <v>393</v>
      </c>
      <c r="C2365" s="1325"/>
      <c r="D2365" s="1090">
        <f t="shared" ref="D2365:D2371" si="131">IF(H2365&gt;0,D2364+1,D2364)</f>
        <v>0</v>
      </c>
      <c r="E2365" s="1079" t="str">
        <f>VLOOKUP($B2365,DG!A:D,DG!$B$2,)</f>
        <v>02.3302</v>
      </c>
      <c r="F2365" s="1080" t="str">
        <f>VLOOKUP($B2365,DG!A:D,DG!$C$2,)</f>
        <v xml:space="preserve">DS 3P - 24KV - 630A </v>
      </c>
      <c r="G2365" s="1079" t="str">
        <f>VLOOKUP($B2365,DG!A:D,DG!$D$2,)</f>
        <v>bộ</v>
      </c>
      <c r="H2365" s="1851">
        <f>H2364</f>
        <v>0</v>
      </c>
      <c r="I2365" s="1259">
        <f t="shared" si="130"/>
        <v>0</v>
      </c>
      <c r="J2365" s="1108"/>
      <c r="K2365" s="1108"/>
      <c r="L2365" s="1082"/>
      <c r="M2365" s="975">
        <v>1000</v>
      </c>
    </row>
    <row r="2366" spans="1:13" s="1083" customFormat="1" ht="25.2" hidden="1" customHeight="1">
      <c r="A2366" s="1153">
        <f t="shared" si="129"/>
        <v>0</v>
      </c>
      <c r="B2366" s="1324" t="s">
        <v>1</v>
      </c>
      <c r="C2366" s="1324"/>
      <c r="D2366" s="1090">
        <f t="shared" si="131"/>
        <v>0</v>
      </c>
      <c r="E2366" s="1079" t="str">
        <f>VLOOKUP($B2366,DG!A:D,DG!$B$2,)</f>
        <v>05.2102</v>
      </c>
      <c r="F2366" s="1080" t="str">
        <f>VLOOKUP($B2366,DG!A:D,DG!$C$2,)</f>
        <v>Tủ LBS 3 pha 630-800A</v>
      </c>
      <c r="G2366" s="1079" t="str">
        <f>VLOOKUP($B2366,DG!A:D,DG!$D$2,)</f>
        <v>tủ</v>
      </c>
      <c r="H2366" s="1851">
        <f>H2364</f>
        <v>0</v>
      </c>
      <c r="I2366" s="1259">
        <f t="shared" si="130"/>
        <v>0</v>
      </c>
      <c r="J2366" s="1108"/>
      <c r="K2366" s="1108"/>
      <c r="L2366" s="1110" t="s">
        <v>3769</v>
      </c>
      <c r="M2366" s="975">
        <v>1000</v>
      </c>
    </row>
    <row r="2367" spans="1:13" s="1083" customFormat="1" ht="25.2" hidden="1" customHeight="1">
      <c r="A2367" s="1153">
        <f t="shared" si="129"/>
        <v>0</v>
      </c>
      <c r="B2367" s="1325" t="s">
        <v>1655</v>
      </c>
      <c r="C2367" s="1325"/>
      <c r="D2367" s="1090">
        <f t="shared" si="131"/>
        <v>0</v>
      </c>
      <c r="E2367" s="1079" t="str">
        <f>VLOOKUP($B2367,DG!A:D,DG!$B$2,)</f>
        <v>02.3155</v>
      </c>
      <c r="F2367" s="1080" t="str">
        <f>VLOOKUP($B2367,DG!A:D,DG!$C$2,)</f>
        <v>FCO 27kV - 100A</v>
      </c>
      <c r="G2367" s="1079" t="str">
        <f>VLOOKUP($B2367,DG!A:D,DG!$D$2,)</f>
        <v>cái</v>
      </c>
      <c r="H2367" s="1851">
        <f>+H2364*3</f>
        <v>0</v>
      </c>
      <c r="I2367" s="1259">
        <f t="shared" si="130"/>
        <v>0</v>
      </c>
      <c r="J2367" s="1081"/>
      <c r="K2367" s="1081"/>
      <c r="L2367" s="1082"/>
      <c r="M2367" s="975">
        <v>1000</v>
      </c>
    </row>
    <row r="2368" spans="1:13" s="1083" customFormat="1" ht="25.2" hidden="1" customHeight="1">
      <c r="A2368" s="1153">
        <f t="shared" si="129"/>
        <v>0</v>
      </c>
      <c r="B2368" s="1325" t="s">
        <v>2074</v>
      </c>
      <c r="C2368" s="1325"/>
      <c r="D2368" s="1090">
        <f t="shared" si="131"/>
        <v>0</v>
      </c>
      <c r="E2368" s="1079">
        <f>VLOOKUP($B2368,DG!A:D,DG!$B$2,)</f>
        <v>0</v>
      </c>
      <c r="F2368" s="1080" t="str">
        <f>VLOOKUP($B2368,DG!A:D,DG!$C$2,)</f>
        <v>Dây chảy 40K</v>
      </c>
      <c r="G2368" s="1079" t="str">
        <f>VLOOKUP($B2368,DG!A:D,DG!$D$2,)</f>
        <v>Sợi</v>
      </c>
      <c r="H2368" s="1851">
        <f>H2367</f>
        <v>0</v>
      </c>
      <c r="I2368" s="1259">
        <f t="shared" si="130"/>
        <v>0</v>
      </c>
      <c r="J2368" s="1081"/>
      <c r="K2368" s="1081"/>
      <c r="L2368" s="1082"/>
      <c r="M2368" s="975">
        <v>1000</v>
      </c>
    </row>
    <row r="2369" spans="1:13" s="1083" customFormat="1" ht="25.2" hidden="1" customHeight="1">
      <c r="A2369" s="1153">
        <f t="shared" si="129"/>
        <v>0</v>
      </c>
      <c r="B2369" s="1324" t="s">
        <v>1376</v>
      </c>
      <c r="C2369" s="1324"/>
      <c r="D2369" s="1090">
        <f t="shared" si="131"/>
        <v>0</v>
      </c>
      <c r="E2369" s="1079" t="str">
        <f>VLOOKUP($B2369,DG!A:D,DG!$B$2,)</f>
        <v>02.5114</v>
      </c>
      <c r="F2369" s="1080" t="str">
        <f>VLOOKUP($B2369,DG!A:D,DG!$C$2,)</f>
        <v>Chống sét van LA-18KV-10KA</v>
      </c>
      <c r="G2369" s="1079" t="str">
        <f>VLOOKUP($B2369,DG!A:D,DG!$D$2,)</f>
        <v>cái</v>
      </c>
      <c r="H2369" s="1851">
        <f>H2364*3</f>
        <v>0</v>
      </c>
      <c r="I2369" s="1259">
        <f t="shared" si="130"/>
        <v>0</v>
      </c>
      <c r="J2369" s="1081"/>
      <c r="K2369" s="1081"/>
      <c r="L2369" s="1082"/>
      <c r="M2369" s="975">
        <v>1000</v>
      </c>
    </row>
    <row r="2370" spans="1:13" s="1083" customFormat="1" ht="25.2" hidden="1" customHeight="1">
      <c r="A2370" s="1153">
        <f t="shared" si="129"/>
        <v>0</v>
      </c>
      <c r="B2370" s="1325" t="s">
        <v>882</v>
      </c>
      <c r="C2370" s="1325"/>
      <c r="D2370" s="1090">
        <f t="shared" si="131"/>
        <v>0</v>
      </c>
      <c r="E2370" s="1079" t="str">
        <f>VLOOKUP($B2370,DG!A:D,DG!$B$2,)</f>
        <v>02.8404</v>
      </c>
      <c r="F2370" s="1080" t="str">
        <f>VLOOKUP($B2370,DG!A:D,DG!$C$2,)</f>
        <v>MCCB 3 cực 400V -1000A - 50KA</v>
      </c>
      <c r="G2370" s="1079" t="str">
        <f>VLOOKUP($B2370,DG!A:D,DG!$D$2,)</f>
        <v>cái</v>
      </c>
      <c r="H2370" s="1851">
        <f>H2364</f>
        <v>0</v>
      </c>
      <c r="I2370" s="1259">
        <f t="shared" si="130"/>
        <v>0</v>
      </c>
      <c r="J2370" s="1081"/>
      <c r="K2370" s="1081"/>
      <c r="L2370" s="1082"/>
      <c r="M2370" s="975">
        <v>1000</v>
      </c>
    </row>
    <row r="2371" spans="1:13" s="1083" customFormat="1" ht="25.2" hidden="1" customHeight="1">
      <c r="A2371" s="1153">
        <f t="shared" si="129"/>
        <v>0</v>
      </c>
      <c r="B2371" s="1325" t="s">
        <v>1467</v>
      </c>
      <c r="C2371" s="1325"/>
      <c r="D2371" s="1090">
        <f t="shared" si="131"/>
        <v>0</v>
      </c>
      <c r="E2371" s="1079" t="str">
        <f>VLOOKUP($B2371,DG!A:D,DG!$B$2,)</f>
        <v>02.8534</v>
      </c>
      <c r="F2371" s="1080" t="str">
        <f>VLOOKUP($B2371,DG!A:D,DG!$C$2,)</f>
        <v>Tủ tụ bù hạ thế 400kVAr</v>
      </c>
      <c r="G2371" s="1079" t="str">
        <f>VLOOKUP($B2371,DG!A:D,DG!$D$2,)</f>
        <v>tủ</v>
      </c>
      <c r="H2371" s="1851">
        <f>H2370</f>
        <v>0</v>
      </c>
      <c r="I2371" s="1259">
        <f t="shared" si="130"/>
        <v>0</v>
      </c>
      <c r="J2371" s="1081"/>
      <c r="K2371" s="1081"/>
      <c r="L2371" s="1082"/>
      <c r="M2371" s="975">
        <v>1000</v>
      </c>
    </row>
    <row r="2372" spans="1:13" s="1083" customFormat="1" ht="25.2" hidden="1" customHeight="1">
      <c r="A2372" s="1153">
        <f t="shared" si="129"/>
        <v>0</v>
      </c>
      <c r="B2372" s="1325" t="s">
        <v>1731</v>
      </c>
      <c r="C2372" s="1325"/>
      <c r="D2372" s="1090">
        <f>IF(H2372&gt;0,D2370+1,D2370)</f>
        <v>0</v>
      </c>
      <c r="E2372" s="1079" t="str">
        <f>VLOOKUP($B2372,DG!A:D,DG!$B$2,)</f>
        <v>02.1124</v>
      </c>
      <c r="F2372" s="1080" t="str">
        <f>VLOOKUP($B2372,DG!A:D,DG!$C$2,)</f>
        <v>Biến dòng 24kV  25/5A</v>
      </c>
      <c r="G2372" s="1079" t="str">
        <f>VLOOKUP($B2372,DG!A:D,DG!$D$2,)</f>
        <v>cái</v>
      </c>
      <c r="H2372" s="1883">
        <f>H2364*3</f>
        <v>0</v>
      </c>
      <c r="I2372" s="1259">
        <f t="shared" si="130"/>
        <v>0</v>
      </c>
      <c r="J2372" s="1081"/>
      <c r="K2372" s="1081"/>
      <c r="L2372" s="1111" t="s">
        <v>2609</v>
      </c>
      <c r="M2372" s="975">
        <v>1000</v>
      </c>
    </row>
    <row r="2373" spans="1:13" s="1083" customFormat="1" ht="25.2" hidden="1" customHeight="1">
      <c r="A2373" s="1153">
        <f t="shared" si="129"/>
        <v>0</v>
      </c>
      <c r="B2373" s="1154" t="s">
        <v>1672</v>
      </c>
      <c r="C2373" s="1154"/>
      <c r="D2373" s="1090">
        <f>IF(H2373&gt;0,D2371+1,D2371)</f>
        <v>0</v>
      </c>
      <c r="E2373" s="1079">
        <f>VLOOKUP($B2373,DG!A:D,DG!$B$2,)</f>
        <v>0</v>
      </c>
      <c r="F2373" s="1080" t="str">
        <f>VLOOKUP($B2373,DG!A:D,DG!$C$2,)</f>
        <v>Biến dòng 600V - 250/5A</v>
      </c>
      <c r="G2373" s="1079" t="str">
        <f>VLOOKUP($B2373,DG!A:D,DG!$D$2,)</f>
        <v>cái</v>
      </c>
      <c r="H2373" s="1883">
        <f>H2364*3</f>
        <v>0</v>
      </c>
      <c r="I2373" s="1259">
        <f t="shared" si="130"/>
        <v>0</v>
      </c>
      <c r="J2373" s="1081"/>
      <c r="K2373" s="1081"/>
      <c r="L2373" s="1111" t="s">
        <v>2609</v>
      </c>
      <c r="M2373" s="975">
        <v>1000</v>
      </c>
    </row>
    <row r="2374" spans="1:13" s="1083" customFormat="1" ht="25.2" hidden="1" customHeight="1">
      <c r="A2374" s="1153">
        <f t="shared" si="129"/>
        <v>0</v>
      </c>
      <c r="B2374" s="1325" t="s">
        <v>4529</v>
      </c>
      <c r="C2374" s="1325"/>
      <c r="D2374" s="1090">
        <f>IF(H2374&gt;0,D2373+1,D2373)</f>
        <v>0</v>
      </c>
      <c r="E2374" s="1079" t="str">
        <f>VLOOKUP($B2374,DG!A:D,DG!$B$2,)</f>
        <v>02.1114</v>
      </c>
      <c r="F2374" s="1080" t="str">
        <f>VLOOKUP($B2374,DG!A:D,DG!$C$2,)</f>
        <v>Biến điện áp 12000/120(60)V</v>
      </c>
      <c r="G2374" s="1079" t="str">
        <f>VLOOKUP($B2374,DG!A:D,DG!$D$2,)</f>
        <v>cái</v>
      </c>
      <c r="H2374" s="1895">
        <f>+H2373</f>
        <v>0</v>
      </c>
      <c r="I2374" s="1259">
        <f t="shared" si="130"/>
        <v>0</v>
      </c>
      <c r="J2374" s="1081"/>
      <c r="K2374" s="1081"/>
      <c r="L2374" s="1111" t="s">
        <v>2609</v>
      </c>
      <c r="M2374" s="975">
        <v>1000</v>
      </c>
    </row>
    <row r="2375" spans="1:13" s="1083" customFormat="1" ht="25.2" hidden="1" customHeight="1">
      <c r="A2375" s="1153">
        <f t="shared" si="129"/>
        <v>0</v>
      </c>
      <c r="B2375" s="1361" t="s">
        <v>1841</v>
      </c>
      <c r="C2375" s="1361"/>
      <c r="D2375" s="1090">
        <f>IF(H2375&gt;0,D2374+1,D2374)</f>
        <v>0</v>
      </c>
      <c r="E2375" s="1079">
        <f>VLOOKUP($B2375,DG!A:D,DG!$B$2,)</f>
        <v>0</v>
      </c>
      <c r="F2375" s="1080" t="str">
        <f>VLOOKUP($B2375,DG!A:D,DG!$C$2,)</f>
        <v>Điện kế 3 pha điện tử 600V-5A</v>
      </c>
      <c r="G2375" s="1079" t="str">
        <f>VLOOKUP($B2375,DG!A:D,DG!$D$2,)</f>
        <v>cái</v>
      </c>
      <c r="H2375" s="1883">
        <f>H2364</f>
        <v>0</v>
      </c>
      <c r="I2375" s="1259">
        <f t="shared" si="130"/>
        <v>0</v>
      </c>
      <c r="J2375" s="1108"/>
      <c r="K2375" s="1108"/>
      <c r="L2375" s="1112" t="s">
        <v>2609</v>
      </c>
      <c r="M2375" s="975">
        <v>1000</v>
      </c>
    </row>
    <row r="2376" spans="1:13" s="1083" customFormat="1" ht="25.2" hidden="1" customHeight="1">
      <c r="A2376" s="1153">
        <f t="shared" si="129"/>
        <v>0</v>
      </c>
      <c r="B2376" s="1324"/>
      <c r="C2376" s="1324"/>
      <c r="D2376" s="1113"/>
      <c r="E2376" s="1114"/>
      <c r="F2376" s="1076"/>
      <c r="G2376" s="1113"/>
      <c r="H2376" s="1861"/>
      <c r="I2376" s="1259">
        <f t="shared" si="130"/>
        <v>0</v>
      </c>
      <c r="J2376" s="1076"/>
      <c r="K2376" s="1113"/>
      <c r="L2376" s="1136"/>
      <c r="M2376" s="975">
        <v>1000</v>
      </c>
    </row>
    <row r="2377" spans="1:13" s="1083" customFormat="1" ht="25.2" hidden="1" customHeight="1">
      <c r="A2377" s="1153">
        <f t="shared" si="129"/>
        <v>0</v>
      </c>
      <c r="B2377" s="1324"/>
      <c r="C2377" s="1324"/>
      <c r="D2377" s="1115"/>
      <c r="E2377" s="1116"/>
      <c r="F2377" s="1105" t="s">
        <v>3691</v>
      </c>
      <c r="G2377" s="1105"/>
      <c r="H2377" s="1875"/>
      <c r="I2377" s="1259">
        <f t="shared" si="130"/>
        <v>0</v>
      </c>
      <c r="J2377" s="1105"/>
      <c r="K2377" s="1105"/>
      <c r="L2377" s="1136"/>
      <c r="M2377" s="975">
        <v>1000</v>
      </c>
    </row>
    <row r="2378" spans="1:13" s="1083" customFormat="1" ht="25.2" hidden="1" customHeight="1">
      <c r="A2378" s="1153">
        <f t="shared" si="129"/>
        <v>0</v>
      </c>
      <c r="B2378" s="1353"/>
      <c r="C2378" s="1353"/>
      <c r="D2378" s="1117">
        <f>IF(H2378&gt;0,1,0)</f>
        <v>0</v>
      </c>
      <c r="E2378" s="1118"/>
      <c r="F2378" s="1119" t="s">
        <v>3730</v>
      </c>
      <c r="G2378" s="1120" t="s">
        <v>2283</v>
      </c>
      <c r="H2378" s="1884">
        <f>H2364</f>
        <v>0</v>
      </c>
      <c r="I2378" s="1259">
        <f t="shared" si="130"/>
        <v>0</v>
      </c>
      <c r="J2378" s="1121"/>
      <c r="K2378" s="1121"/>
      <c r="L2378" s="1082"/>
      <c r="M2378" s="975">
        <v>1000</v>
      </c>
    </row>
    <row r="2379" spans="1:13" s="1083" customFormat="1" ht="25.2" hidden="1" customHeight="1">
      <c r="A2379" s="1153">
        <f t="shared" si="129"/>
        <v>0</v>
      </c>
      <c r="B2379" s="1154" t="s">
        <v>2239</v>
      </c>
      <c r="C2379" s="1154"/>
      <c r="D2379" s="1122"/>
      <c r="E2379" s="1079"/>
      <c r="F2379" s="1123" t="str">
        <f>VLOOKUP($B2379,DG!A:D,DG!$C$2,)</f>
        <v>Trụ BTLT 10,5m F350 dự ứng lực</v>
      </c>
      <c r="G2379" s="1079" t="str">
        <f>VLOOKUP($B2379,DG!A:D,DG!$D$2,)</f>
        <v>trụ</v>
      </c>
      <c r="H2379" s="1885">
        <f>H2378</f>
        <v>0</v>
      </c>
      <c r="I2379" s="1259">
        <f t="shared" si="130"/>
        <v>0</v>
      </c>
      <c r="J2379" s="1108"/>
      <c r="K2379" s="1078"/>
      <c r="L2379" s="1082"/>
      <c r="M2379" s="975">
        <v>1000</v>
      </c>
    </row>
    <row r="2380" spans="1:13" s="1083" customFormat="1" ht="25.2" hidden="1" customHeight="1">
      <c r="A2380" s="1153">
        <f t="shared" si="129"/>
        <v>0</v>
      </c>
      <c r="B2380" s="1154" t="s">
        <v>1818</v>
      </c>
      <c r="C2380" s="1154"/>
      <c r="D2380" s="1122"/>
      <c r="E2380" s="1079"/>
      <c r="F2380" s="1123" t="str">
        <f>VLOOKUP($B2380,DG!A:D,DG!$C$2,)</f>
        <v>Vật liệu dựng trụ</v>
      </c>
      <c r="G2380" s="1079" t="str">
        <f>VLOOKUP($B2380,DG!A:D,DG!$D$2,)</f>
        <v>trụ</v>
      </c>
      <c r="H2380" s="1885">
        <f>H2379</f>
        <v>0</v>
      </c>
      <c r="I2380" s="1259">
        <f t="shared" si="130"/>
        <v>0</v>
      </c>
      <c r="J2380" s="1078"/>
      <c r="K2380" s="1078"/>
      <c r="L2380" s="1082"/>
      <c r="M2380" s="975">
        <v>1000</v>
      </c>
    </row>
    <row r="2381" spans="1:13" s="1083" customFormat="1" ht="25.2" hidden="1" customHeight="1">
      <c r="A2381" s="1153">
        <f t="shared" si="129"/>
        <v>0</v>
      </c>
      <c r="B2381" s="1154" t="s">
        <v>1615</v>
      </c>
      <c r="C2381" s="1154"/>
      <c r="D2381" s="1122"/>
      <c r="E2381" s="1079" t="str">
        <f>VLOOKUP($B2381,DG!A:D,DG!$B$2,)</f>
        <v>05.5402</v>
      </c>
      <c r="F2381" s="1123" t="str">
        <f>VLOOKUP($B2381,DG!A:D,DG!$C$2,)</f>
        <v>Dựng trụ BTLT 10,5m thủ công + cơ giới</v>
      </c>
      <c r="G2381" s="1079" t="str">
        <f>VLOOKUP($B2381,DG!A:D,DG!$D$2,)</f>
        <v>trụ</v>
      </c>
      <c r="H2381" s="1885">
        <f>H2379</f>
        <v>0</v>
      </c>
      <c r="I2381" s="1259">
        <f t="shared" si="130"/>
        <v>0</v>
      </c>
      <c r="J2381" s="1108"/>
      <c r="K2381" s="1108"/>
      <c r="L2381" s="1082"/>
      <c r="M2381" s="975">
        <v>1000</v>
      </c>
    </row>
    <row r="2382" spans="1:13" s="1083" customFormat="1" ht="25.2" hidden="1" customHeight="1">
      <c r="A2382" s="1153">
        <f t="shared" si="129"/>
        <v>0</v>
      </c>
      <c r="B2382" s="1154" t="s">
        <v>2240</v>
      </c>
      <c r="C2382" s="1154"/>
      <c r="D2382" s="1122"/>
      <c r="E2382" s="1079"/>
      <c r="F2382" s="1123" t="str">
        <f>VLOOKUP($B2382,DG!A:D,DG!$C$2,)</f>
        <v>Đào hố móng đất cấp 3 sâu &gt;1m</v>
      </c>
      <c r="G2382" s="1079" t="str">
        <f>VLOOKUP($B2382,DG!A:D,DG!$D$2,)</f>
        <v>m3</v>
      </c>
      <c r="H2382" s="1885">
        <f>H2378*0.201</f>
        <v>0</v>
      </c>
      <c r="I2382" s="1259">
        <f t="shared" si="130"/>
        <v>0</v>
      </c>
      <c r="J2382" s="1108"/>
      <c r="K2382" s="1108"/>
      <c r="L2382" s="1082"/>
      <c r="M2382" s="975">
        <v>1000</v>
      </c>
    </row>
    <row r="2383" spans="1:13" s="1083" customFormat="1" ht="25.2" hidden="1" customHeight="1">
      <c r="A2383" s="1153">
        <f t="shared" si="129"/>
        <v>0</v>
      </c>
      <c r="B2383" s="1154" t="s">
        <v>21</v>
      </c>
      <c r="C2383" s="1154"/>
      <c r="D2383" s="1122"/>
      <c r="E2383" s="1079" t="str">
        <f>VLOOKUP($B2383,DG!A:D,DG!$B$2,)</f>
        <v>03.4113</v>
      </c>
      <c r="F2383" s="1123" t="str">
        <f>VLOOKUP($B2383,DG!A:D,DG!$C$2,)</f>
        <v>Đắp đất hố móng, độ chặt k=0,95</v>
      </c>
      <c r="G2383" s="1079" t="str">
        <f>VLOOKUP($B2383,DG!A:D,DG!$D$2,)</f>
        <v>m3</v>
      </c>
      <c r="H2383" s="1885">
        <f>H2378*0.182</f>
        <v>0</v>
      </c>
      <c r="I2383" s="1259">
        <f t="shared" si="130"/>
        <v>0</v>
      </c>
      <c r="J2383" s="1108"/>
      <c r="K2383" s="1108"/>
      <c r="L2383" s="1082"/>
      <c r="M2383" s="975">
        <v>1000</v>
      </c>
    </row>
    <row r="2384" spans="1:13" s="1083" customFormat="1" ht="25.2" hidden="1" customHeight="1">
      <c r="A2384" s="1153">
        <f t="shared" si="129"/>
        <v>0</v>
      </c>
      <c r="B2384" s="1354"/>
      <c r="C2384" s="1354"/>
      <c r="D2384" s="1084">
        <f>IF(H2384&gt;0,D2378+1,D2378)</f>
        <v>0</v>
      </c>
      <c r="E2384" s="1118"/>
      <c r="F2384" s="1119" t="s">
        <v>2340</v>
      </c>
      <c r="G2384" s="1120" t="s">
        <v>2333</v>
      </c>
      <c r="H2384" s="1884">
        <f>H2378*0</f>
        <v>0</v>
      </c>
      <c r="I2384" s="1259">
        <f t="shared" si="130"/>
        <v>0</v>
      </c>
      <c r="J2384" s="1078"/>
      <c r="K2384" s="1078"/>
      <c r="L2384" s="1082"/>
      <c r="M2384" s="975">
        <v>1000</v>
      </c>
    </row>
    <row r="2385" spans="1:13" s="1083" customFormat="1" ht="25.2" hidden="1" customHeight="1">
      <c r="A2385" s="1153">
        <f t="shared" si="129"/>
        <v>0</v>
      </c>
      <c r="B2385" s="1331" t="s">
        <v>636</v>
      </c>
      <c r="C2385" s="1331"/>
      <c r="D2385" s="1122"/>
      <c r="E2385" s="1079" t="str">
        <f>VLOOKUP($B2385,DG!A:D,DG!$B$2,)</f>
        <v>04.4001</v>
      </c>
      <c r="F2385" s="1124" t="str">
        <f>VLOOKUP($B2385,DG!A:D,DG!$C$2,)</f>
        <v>Đà cản BTCT 1,2m</v>
      </c>
      <c r="G2385" s="1091" t="str">
        <f>VLOOKUP($B2385,DG!A:D,DG!$D$2,)</f>
        <v>cái</v>
      </c>
      <c r="H2385" s="1885">
        <f>H2384</f>
        <v>0</v>
      </c>
      <c r="I2385" s="1259">
        <f t="shared" si="130"/>
        <v>0</v>
      </c>
      <c r="J2385" s="1108"/>
      <c r="K2385" s="1078"/>
      <c r="L2385" s="1082"/>
      <c r="M2385" s="975">
        <v>1000</v>
      </c>
    </row>
    <row r="2386" spans="1:13" s="1083" customFormat="1" ht="25.2" hidden="1" customHeight="1">
      <c r="A2386" s="1153">
        <f t="shared" si="129"/>
        <v>0</v>
      </c>
      <c r="B2386" s="1331" t="s">
        <v>566</v>
      </c>
      <c r="C2386" s="1331"/>
      <c r="D2386" s="1122"/>
      <c r="E2386" s="1091"/>
      <c r="F2386" s="1124" t="str">
        <f>VLOOKUP($B2386,DG!A:D,DG!$C$2,)</f>
        <v>Boulon 22x650+ 2 long đền vuông D24-50x50x3/Zn</v>
      </c>
      <c r="G2386" s="1091" t="str">
        <f>VLOOKUP($B2386,DG!A:D,DG!$D$2,)</f>
        <v>bộ</v>
      </c>
      <c r="H2386" s="1885">
        <f>H2385</f>
        <v>0</v>
      </c>
      <c r="I2386" s="1259">
        <f t="shared" si="130"/>
        <v>0</v>
      </c>
      <c r="J2386" s="1124"/>
      <c r="K2386" s="1078"/>
      <c r="L2386" s="1082"/>
      <c r="M2386" s="975">
        <v>1000</v>
      </c>
    </row>
    <row r="2387" spans="1:13" s="1083" customFormat="1" ht="25.2" hidden="1" customHeight="1">
      <c r="A2387" s="1153">
        <f t="shared" si="129"/>
        <v>0</v>
      </c>
      <c r="B2387" s="1331" t="str">
        <f>IF(chitiet!G5=1,"MDD1",IF(chitiet!G5=2,"MDD2",IF(chitiet!G5=3,"MDD3",IF(chitiet!G5=4,"MDD4"))))</f>
        <v>MDD3</v>
      </c>
      <c r="C2387" s="1331"/>
      <c r="D2387" s="1122"/>
      <c r="E2387" s="1091" t="str">
        <f>VLOOKUP($B2387,DG!A:D,DG!$B$2,)</f>
        <v>03.1013</v>
      </c>
      <c r="F2387" s="1124" t="str">
        <f>VLOOKUP($B2387,DG!A:D,DG!$C$2,)</f>
        <v>Đào hố móng đất cấp 3 sâu &gt;1m</v>
      </c>
      <c r="G2387" s="1091" t="str">
        <f>VLOOKUP($B2387,DG!A:D,DG!$D$2,)</f>
        <v>m3</v>
      </c>
      <c r="H2387" s="1886">
        <f>1.48*H2385</f>
        <v>0</v>
      </c>
      <c r="I2387" s="1259">
        <f t="shared" si="130"/>
        <v>0</v>
      </c>
      <c r="J2387" s="1125"/>
      <c r="K2387" s="1078"/>
      <c r="L2387" s="1082"/>
      <c r="M2387" s="975">
        <v>1000</v>
      </c>
    </row>
    <row r="2388" spans="1:13" s="1083" customFormat="1" ht="25.2" hidden="1" customHeight="1">
      <c r="A2388" s="1153">
        <f t="shared" si="129"/>
        <v>0</v>
      </c>
      <c r="B2388" s="1331" t="str">
        <f>IF(chitiet!G5=1,"MDAP1",IF(chitiet!G5=2,"MDAP2",IF(chitiet!G5=3,"MDAP3",IF(chitiet!G5=4,"MDAP4"))))</f>
        <v>MDAP3</v>
      </c>
      <c r="C2388" s="1331"/>
      <c r="D2388" s="1122"/>
      <c r="E2388" s="1091" t="str">
        <f>VLOOKUP($B2388,DG!A:D,DG!$B$2,)</f>
        <v>03.4113</v>
      </c>
      <c r="F2388" s="1124" t="str">
        <f>VLOOKUP($B2388,DG!A:D,DG!$C$2,)</f>
        <v>Đắp đất hố móng, độ chặt k=0,95</v>
      </c>
      <c r="G2388" s="1091" t="str">
        <f>VLOOKUP($B2388,DG!A:D,DG!$D$2,)</f>
        <v>m3</v>
      </c>
      <c r="H2388" s="1886">
        <f>1.39*H2384</f>
        <v>0</v>
      </c>
      <c r="I2388" s="1259">
        <f t="shared" si="130"/>
        <v>0</v>
      </c>
      <c r="J2388" s="1125"/>
      <c r="K2388" s="1078"/>
      <c r="L2388" s="1082"/>
      <c r="M2388" s="975">
        <v>1000</v>
      </c>
    </row>
    <row r="2389" spans="1:13" s="1083" customFormat="1" ht="25.2" hidden="1" customHeight="1">
      <c r="A2389" s="1153">
        <f t="shared" si="129"/>
        <v>0</v>
      </c>
      <c r="B2389" s="1324"/>
      <c r="C2389" s="1324"/>
      <c r="D2389" s="1084">
        <f>IF(H2389&gt;0,D2384+1,D2384)</f>
        <v>0</v>
      </c>
      <c r="E2389" s="1126"/>
      <c r="F2389" s="1119" t="s">
        <v>3732</v>
      </c>
      <c r="G2389" s="1117" t="s">
        <v>2391</v>
      </c>
      <c r="H2389" s="1887">
        <f>H2364</f>
        <v>0</v>
      </c>
      <c r="I2389" s="1259">
        <f t="shared" si="130"/>
        <v>0</v>
      </c>
      <c r="J2389" s="1127"/>
      <c r="K2389" s="1127"/>
      <c r="L2389" s="1082"/>
      <c r="M2389" s="975">
        <v>1000</v>
      </c>
    </row>
    <row r="2390" spans="1:13" s="1083" customFormat="1" ht="25.2" hidden="1" customHeight="1">
      <c r="A2390" s="1153">
        <f t="shared" si="129"/>
        <v>0</v>
      </c>
      <c r="B2390" s="1324"/>
      <c r="C2390" s="1324"/>
      <c r="D2390" s="1078"/>
      <c r="E2390" s="1128"/>
      <c r="F2390" s="1367" t="s">
        <v>2285</v>
      </c>
      <c r="G2390" s="1090"/>
      <c r="H2390" s="1851"/>
      <c r="I2390" s="1259">
        <f t="shared" si="130"/>
        <v>0</v>
      </c>
      <c r="J2390" s="1129"/>
      <c r="K2390" s="1129"/>
      <c r="L2390" s="1082"/>
      <c r="M2390" s="975">
        <v>1000</v>
      </c>
    </row>
    <row r="2391" spans="1:13" s="1083" customFormat="1" ht="25.2" hidden="1" customHeight="1">
      <c r="A2391" s="1153">
        <f t="shared" si="129"/>
        <v>0</v>
      </c>
      <c r="B2391" s="1154" t="s">
        <v>1136</v>
      </c>
      <c r="C2391" s="1154"/>
      <c r="D2391" s="1078"/>
      <c r="E2391" s="1079" t="str">
        <f>VLOOKUP($B2391,DG!A:D,DG!$B$2,)</f>
        <v>05.6105</v>
      </c>
      <c r="F2391" s="1080" t="str">
        <f>VLOOKUP($B2391,DG!A:D,DG!$C$2,)</f>
        <v>Đà U160x68x5x2800 đỡ MBA</v>
      </c>
      <c r="G2391" s="1079" t="str">
        <f>VLOOKUP($B2391,DG!A:D,DG!$D$2,)</f>
        <v>cái</v>
      </c>
      <c r="H2391" s="1874">
        <f>2*H2389</f>
        <v>0</v>
      </c>
      <c r="I2391" s="1259">
        <f t="shared" si="130"/>
        <v>0</v>
      </c>
      <c r="J2391" s="1108"/>
      <c r="K2391" s="1108"/>
      <c r="L2391" s="1082"/>
      <c r="M2391" s="975">
        <v>1000</v>
      </c>
    </row>
    <row r="2392" spans="1:13" s="1083" customFormat="1" ht="25.2" hidden="1" customHeight="1">
      <c r="A2392" s="1153">
        <f t="shared" si="129"/>
        <v>0</v>
      </c>
      <c r="B2392" s="1154" t="s">
        <v>1137</v>
      </c>
      <c r="C2392" s="1154"/>
      <c r="D2392" s="1078"/>
      <c r="E2392" s="1079" t="str">
        <f>VLOOKUP($B2392,DG!A:D,DG!$B$2,)</f>
        <v>05.6101</v>
      </c>
      <c r="F2392" s="1080" t="str">
        <f>VLOOKUP($B2392,DG!A:D,DG!$C$2,)</f>
        <v xml:space="preserve">Đà U100x46x4.5x400 </v>
      </c>
      <c r="G2392" s="1079" t="str">
        <f>VLOOKUP($B2392,DG!A:D,DG!$D$2,)</f>
        <v>cái</v>
      </c>
      <c r="H2392" s="1874">
        <f>H2389*4</f>
        <v>0</v>
      </c>
      <c r="I2392" s="1259">
        <f t="shared" si="130"/>
        <v>0</v>
      </c>
      <c r="J2392" s="1108"/>
      <c r="K2392" s="1108"/>
      <c r="L2392" s="1082"/>
      <c r="M2392" s="975">
        <v>1000</v>
      </c>
    </row>
    <row r="2393" spans="1:13" s="1083" customFormat="1" ht="25.2" hidden="1" customHeight="1">
      <c r="A2393" s="1153">
        <f t="shared" si="129"/>
        <v>0</v>
      </c>
      <c r="B2393" s="1154" t="s">
        <v>1138</v>
      </c>
      <c r="C2393" s="1154"/>
      <c r="D2393" s="1078"/>
      <c r="E2393" s="1079" t="str">
        <f>VLOOKUP($B2393,DG!A:D,DG!$B$2,)</f>
        <v>05.6101</v>
      </c>
      <c r="F2393" s="1080" t="str">
        <f>VLOOKUP($B2393,DG!A:D,DG!$C$2,)</f>
        <v xml:space="preserve">Đà U100x46x5x800 </v>
      </c>
      <c r="G2393" s="1079" t="str">
        <f>VLOOKUP($B2393,DG!A:D,DG!$D$2,)</f>
        <v>cái</v>
      </c>
      <c r="H2393" s="1874">
        <f>H2389*2</f>
        <v>0</v>
      </c>
      <c r="I2393" s="1259">
        <f t="shared" si="130"/>
        <v>0</v>
      </c>
      <c r="J2393" s="1108"/>
      <c r="K2393" s="1108"/>
      <c r="L2393" s="1082"/>
      <c r="M2393" s="975">
        <v>1000</v>
      </c>
    </row>
    <row r="2394" spans="1:13" s="1083" customFormat="1" ht="25.2" hidden="1" customHeight="1">
      <c r="A2394" s="1153">
        <f t="shared" ref="A2394:A2457" si="132">IF(I2394&gt;0,1,0)</f>
        <v>0</v>
      </c>
      <c r="B2394" s="1324" t="s">
        <v>1785</v>
      </c>
      <c r="C2394" s="1324"/>
      <c r="D2394" s="1078"/>
      <c r="E2394" s="1079">
        <f>VLOOKUP($B2394,DG!A:D,DG!$B$2,)</f>
        <v>0</v>
      </c>
      <c r="F2394" s="1080" t="str">
        <f>VLOOKUP($B2394,DG!A:D,DG!$C$2,)</f>
        <v>Boulon 16x400VRS+ 4 long đền vuông D18-50x50x3/Zn</v>
      </c>
      <c r="G2394" s="1079" t="str">
        <f>VLOOKUP($B2394,DG!A:D,DG!$D$2,)</f>
        <v>bộ</v>
      </c>
      <c r="H2394" s="1851">
        <f>H2389*12</f>
        <v>0</v>
      </c>
      <c r="I2394" s="1259">
        <f t="shared" si="130"/>
        <v>0</v>
      </c>
      <c r="J2394" s="1108"/>
      <c r="K2394" s="1108"/>
      <c r="L2394" s="1082"/>
      <c r="M2394" s="975">
        <v>1000</v>
      </c>
    </row>
    <row r="2395" spans="1:13" s="1083" customFormat="1" ht="25.2" hidden="1" customHeight="1">
      <c r="A2395" s="1153">
        <f t="shared" si="132"/>
        <v>0</v>
      </c>
      <c r="B2395" s="1324" t="s">
        <v>1083</v>
      </c>
      <c r="C2395" s="1324"/>
      <c r="D2395" s="1078"/>
      <c r="E2395" s="1079">
        <f>VLOOKUP($B2395,DG!A:D,DG!$B$2,)</f>
        <v>0</v>
      </c>
      <c r="F2395" s="1080" t="str">
        <f>VLOOKUP($B2395,DG!A:D,DG!$C$2,)</f>
        <v>Boulon 16x400+ 2 long đền vuông D18-50x50x3/Zn</v>
      </c>
      <c r="G2395" s="1079" t="str">
        <f>VLOOKUP($B2395,DG!A:D,DG!$D$2,)</f>
        <v>bộ</v>
      </c>
      <c r="H2395" s="1851">
        <f>H2389*2</f>
        <v>0</v>
      </c>
      <c r="I2395" s="1259">
        <f t="shared" si="130"/>
        <v>0</v>
      </c>
      <c r="J2395" s="1108"/>
      <c r="K2395" s="1108"/>
      <c r="L2395" s="1082"/>
      <c r="M2395" s="975">
        <v>1000</v>
      </c>
    </row>
    <row r="2396" spans="1:13" s="1083" customFormat="1" ht="25.2" hidden="1" customHeight="1">
      <c r="A2396" s="1153">
        <f t="shared" si="132"/>
        <v>0</v>
      </c>
      <c r="B2396" s="1324" t="s">
        <v>1079</v>
      </c>
      <c r="C2396" s="1324"/>
      <c r="D2396" s="1078"/>
      <c r="E2396" s="1079">
        <f>VLOOKUP($B2396,DG!A:D,DG!$B$2,)</f>
        <v>0</v>
      </c>
      <c r="F2396" s="1080" t="str">
        <f>VLOOKUP($B2396,DG!A:D,DG!$C$2,)</f>
        <v>Boulon 16x350+ 2 long đền vuông D18-50x50x3/Zn</v>
      </c>
      <c r="G2396" s="1079" t="str">
        <f>VLOOKUP($B2396,DG!A:D,DG!$D$2,)</f>
        <v>bộ</v>
      </c>
      <c r="H2396" s="1851">
        <f>+H2389*4</f>
        <v>0</v>
      </c>
      <c r="I2396" s="1259">
        <f t="shared" si="130"/>
        <v>0</v>
      </c>
      <c r="J2396" s="1108"/>
      <c r="K2396" s="1108"/>
      <c r="L2396" s="1082"/>
      <c r="M2396" s="975">
        <v>1000</v>
      </c>
    </row>
    <row r="2397" spans="1:13" s="1083" customFormat="1" ht="25.2" hidden="1" customHeight="1">
      <c r="A2397" s="1153">
        <f t="shared" si="132"/>
        <v>0</v>
      </c>
      <c r="B2397" s="1324"/>
      <c r="C2397" s="1324"/>
      <c r="D2397" s="1084">
        <f>IF(H2397&gt;0,D2389+1,D2389)</f>
        <v>0</v>
      </c>
      <c r="E2397" s="1085"/>
      <c r="F2397" s="1130" t="s">
        <v>3733</v>
      </c>
      <c r="G2397" s="1084" t="s">
        <v>2391</v>
      </c>
      <c r="H2397" s="1867">
        <f>H2389*2</f>
        <v>0</v>
      </c>
      <c r="I2397" s="1259">
        <f t="shared" si="130"/>
        <v>0</v>
      </c>
      <c r="J2397" s="1131"/>
      <c r="K2397" s="1131"/>
      <c r="L2397" s="1082"/>
      <c r="M2397" s="975">
        <v>1000</v>
      </c>
    </row>
    <row r="2398" spans="1:13" s="1083" customFormat="1" ht="25.2" hidden="1" customHeight="1">
      <c r="A2398" s="1153">
        <f t="shared" si="132"/>
        <v>0</v>
      </c>
      <c r="B2398" s="1324"/>
      <c r="C2398" s="1324"/>
      <c r="D2398" s="1078"/>
      <c r="E2398" s="1088"/>
      <c r="F2398" s="1367" t="s">
        <v>2285</v>
      </c>
      <c r="G2398" s="1090"/>
      <c r="H2398" s="1851"/>
      <c r="I2398" s="1259">
        <f t="shared" si="130"/>
        <v>0</v>
      </c>
      <c r="J2398" s="1131"/>
      <c r="K2398" s="1131"/>
      <c r="L2398" s="1082"/>
      <c r="M2398" s="975">
        <v>1000</v>
      </c>
    </row>
    <row r="2399" spans="1:13" s="1083" customFormat="1" ht="25.2" hidden="1" customHeight="1">
      <c r="A2399" s="1153">
        <f t="shared" si="132"/>
        <v>0</v>
      </c>
      <c r="B2399" s="1331" t="s">
        <v>2026</v>
      </c>
      <c r="C2399" s="1331"/>
      <c r="D2399" s="1078"/>
      <c r="E2399" s="1079">
        <v>0</v>
      </c>
      <c r="F2399" s="1080" t="str">
        <f>VLOOKUP($B2399,DG!A:D,DG!$C$2,)</f>
        <v>Sắt góc L75 x75 x8</v>
      </c>
      <c r="G2399" s="1079" t="s">
        <v>2254</v>
      </c>
      <c r="H2399" s="1851">
        <f>H2397*9.02*(2.6+3*0.07)*2</f>
        <v>0</v>
      </c>
      <c r="I2399" s="1259">
        <f t="shared" si="130"/>
        <v>0</v>
      </c>
      <c r="J2399" s="1108"/>
      <c r="K2399" s="1108"/>
      <c r="L2399" s="1082"/>
      <c r="M2399" s="975">
        <v>1000</v>
      </c>
    </row>
    <row r="2400" spans="1:13" s="1083" customFormat="1" ht="25.2" hidden="1" customHeight="1">
      <c r="A2400" s="1153">
        <f t="shared" si="132"/>
        <v>0</v>
      </c>
      <c r="B2400" s="1324" t="s">
        <v>1788</v>
      </c>
      <c r="C2400" s="1324"/>
      <c r="D2400" s="1078"/>
      <c r="E2400" s="1079">
        <v>0</v>
      </c>
      <c r="F2400" s="1080" t="str">
        <f>VLOOKUP($B2400,DG!A:D,DG!$C$2,)</f>
        <v>Boulon 16x300VRS+ 4 long đền vuông D18-50x50x3/Zn</v>
      </c>
      <c r="G2400" s="1079" t="s">
        <v>2445</v>
      </c>
      <c r="H2400" s="1851">
        <f>H2397*2</f>
        <v>0</v>
      </c>
      <c r="I2400" s="1259">
        <f t="shared" si="130"/>
        <v>0</v>
      </c>
      <c r="J2400" s="1108"/>
      <c r="K2400" s="1108"/>
      <c r="L2400" s="1082"/>
      <c r="M2400" s="975">
        <v>1000</v>
      </c>
    </row>
    <row r="2401" spans="1:13" s="1083" customFormat="1" ht="25.2" hidden="1" customHeight="1">
      <c r="A2401" s="1153">
        <f t="shared" si="132"/>
        <v>0</v>
      </c>
      <c r="B2401" s="1324" t="s">
        <v>1613</v>
      </c>
      <c r="C2401" s="1324"/>
      <c r="D2401" s="1078"/>
      <c r="E2401" s="1079">
        <v>0</v>
      </c>
      <c r="F2401" s="1080" t="str">
        <f>VLOOKUP($B2401,DG!A:D,DG!$C$2,)</f>
        <v>Boulon 16x300+ 2 long đền vuông D18-50x50x3/Zn</v>
      </c>
      <c r="G2401" s="1079" t="s">
        <v>2445</v>
      </c>
      <c r="H2401" s="1851">
        <f>H2397*2</f>
        <v>0</v>
      </c>
      <c r="I2401" s="1259">
        <f t="shared" si="130"/>
        <v>0</v>
      </c>
      <c r="J2401" s="1108"/>
      <c r="K2401" s="1108"/>
      <c r="L2401" s="1082"/>
      <c r="M2401" s="975">
        <v>1000</v>
      </c>
    </row>
    <row r="2402" spans="1:13" s="1083" customFormat="1" ht="25.2" hidden="1" customHeight="1">
      <c r="A2402" s="1153">
        <f t="shared" si="132"/>
        <v>0</v>
      </c>
      <c r="B2402" s="1324" t="s">
        <v>1612</v>
      </c>
      <c r="C2402" s="1324"/>
      <c r="D2402" s="1078"/>
      <c r="E2402" s="1079">
        <v>0</v>
      </c>
      <c r="F2402" s="1080" t="str">
        <f>VLOOKUP($B2402,DG!A:D,DG!$C$2,)</f>
        <v>Boulon 16x250+ 2 long đền vuông D18-50x50x3/Zn</v>
      </c>
      <c r="G2402" s="1079" t="s">
        <v>2445</v>
      </c>
      <c r="H2402" s="1851">
        <f>H2401</f>
        <v>0</v>
      </c>
      <c r="I2402" s="1259">
        <f t="shared" si="130"/>
        <v>0</v>
      </c>
      <c r="J2402" s="1108"/>
      <c r="K2402" s="1108"/>
      <c r="L2402" s="1082"/>
      <c r="M2402" s="975">
        <v>1000</v>
      </c>
    </row>
    <row r="2403" spans="1:13" s="1083" customFormat="1" ht="25.2" hidden="1" customHeight="1">
      <c r="A2403" s="1153">
        <f t="shared" si="132"/>
        <v>0</v>
      </c>
      <c r="B2403" s="1324" t="s">
        <v>2248</v>
      </c>
      <c r="C2403" s="1324"/>
      <c r="D2403" s="1078"/>
      <c r="E2403" s="1079" t="s">
        <v>730</v>
      </c>
      <c r="F2403" s="1080" t="str">
        <f>VLOOKUP($B2403,DG!A:D,DG!$C$2,)</f>
        <v>Lắp xà cột Pi loại ≤140kg/xà</v>
      </c>
      <c r="G2403" s="1079" t="s">
        <v>2445</v>
      </c>
      <c r="H2403" s="1851">
        <f>H2397</f>
        <v>0</v>
      </c>
      <c r="I2403" s="1259">
        <f t="shared" si="130"/>
        <v>0</v>
      </c>
      <c r="J2403" s="1108"/>
      <c r="K2403" s="1108"/>
      <c r="L2403" s="1082"/>
      <c r="M2403" s="975">
        <v>1000</v>
      </c>
    </row>
    <row r="2404" spans="1:13" s="1083" customFormat="1" ht="25.2" hidden="1" customHeight="1">
      <c r="A2404" s="1153">
        <f t="shared" si="132"/>
        <v>0</v>
      </c>
      <c r="B2404" s="1324"/>
      <c r="C2404" s="1324"/>
      <c r="D2404" s="1084">
        <f>IF(H2404&gt;0,D2397+1,D2397)</f>
        <v>0</v>
      </c>
      <c r="E2404" s="1085"/>
      <c r="F2404" s="1130" t="s">
        <v>3770</v>
      </c>
      <c r="G2404" s="1084" t="s">
        <v>2391</v>
      </c>
      <c r="H2404" s="1867">
        <f>H2389*3</f>
        <v>0</v>
      </c>
      <c r="I2404" s="1259">
        <f t="shared" si="130"/>
        <v>0</v>
      </c>
      <c r="J2404" s="1131"/>
      <c r="K2404" s="1131"/>
      <c r="L2404" s="1082"/>
      <c r="M2404" s="975">
        <v>1000</v>
      </c>
    </row>
    <row r="2405" spans="1:13" s="1083" customFormat="1" ht="25.2" hidden="1" customHeight="1">
      <c r="A2405" s="1153">
        <f t="shared" si="132"/>
        <v>0</v>
      </c>
      <c r="B2405" s="1324"/>
      <c r="C2405" s="1324"/>
      <c r="D2405" s="1078"/>
      <c r="E2405" s="1088"/>
      <c r="F2405" s="1367" t="s">
        <v>2285</v>
      </c>
      <c r="G2405" s="1090"/>
      <c r="H2405" s="1851"/>
      <c r="I2405" s="1259">
        <f t="shared" si="130"/>
        <v>0</v>
      </c>
      <c r="J2405" s="1131"/>
      <c r="K2405" s="1131"/>
      <c r="L2405" s="1082"/>
      <c r="M2405" s="975">
        <v>1000</v>
      </c>
    </row>
    <row r="2406" spans="1:13" s="1083" customFormat="1" ht="25.2" hidden="1" customHeight="1">
      <c r="A2406" s="1153">
        <f t="shared" si="132"/>
        <v>0</v>
      </c>
      <c r="B2406" s="1331" t="s">
        <v>2026</v>
      </c>
      <c r="C2406" s="1331"/>
      <c r="D2406" s="1078"/>
      <c r="E2406" s="1079">
        <v>0</v>
      </c>
      <c r="F2406" s="1080" t="str">
        <f>VLOOKUP($B2406,DG!A:D,DG!$C$2,)</f>
        <v>Sắt góc L75 x75 x8</v>
      </c>
      <c r="G2406" s="1079" t="s">
        <v>2254</v>
      </c>
      <c r="H2406" s="1851">
        <f>H2404*9.42*(2.6+3*0.07)</f>
        <v>0</v>
      </c>
      <c r="I2406" s="1259">
        <f t="shared" si="130"/>
        <v>0</v>
      </c>
      <c r="J2406" s="1108"/>
      <c r="K2406" s="1108"/>
      <c r="L2406" s="1082"/>
      <c r="M2406" s="975">
        <v>1000</v>
      </c>
    </row>
    <row r="2407" spans="1:13" s="1083" customFormat="1" ht="25.2" hidden="1" customHeight="1">
      <c r="A2407" s="1153">
        <f t="shared" si="132"/>
        <v>0</v>
      </c>
      <c r="B2407" s="1324" t="s">
        <v>1612</v>
      </c>
      <c r="C2407" s="1324"/>
      <c r="D2407" s="1078"/>
      <c r="E2407" s="1079">
        <v>0</v>
      </c>
      <c r="F2407" s="1080" t="str">
        <f>VLOOKUP($B2407,DG!A:D,DG!$C$2,)</f>
        <v>Boulon 16x250+ 2 long đền vuông D18-50x50x3/Zn</v>
      </c>
      <c r="G2407" s="1079" t="s">
        <v>2445</v>
      </c>
      <c r="H2407" s="1851">
        <f>IF(H2404&gt;2,(H2404-1)*2,0)</f>
        <v>0</v>
      </c>
      <c r="I2407" s="1259">
        <f t="shared" si="130"/>
        <v>0</v>
      </c>
      <c r="J2407" s="1108"/>
      <c r="K2407" s="1108"/>
      <c r="L2407" s="1082"/>
      <c r="M2407" s="975">
        <v>1000</v>
      </c>
    </row>
    <row r="2408" spans="1:13" s="1083" customFormat="1" ht="25.2" hidden="1" customHeight="1">
      <c r="A2408" s="1153">
        <f t="shared" si="132"/>
        <v>0</v>
      </c>
      <c r="B2408" s="1324" t="s">
        <v>1613</v>
      </c>
      <c r="C2408" s="1324"/>
      <c r="D2408" s="1078"/>
      <c r="E2408" s="1079">
        <v>0</v>
      </c>
      <c r="F2408" s="1080" t="str">
        <f>VLOOKUP($B2408,DG!A:D,DG!$C$2,)</f>
        <v>Boulon 16x300+ 2 long đền vuông D18-50x50x3/Zn</v>
      </c>
      <c r="G2408" s="1079" t="s">
        <v>2445</v>
      </c>
      <c r="H2408" s="1851">
        <f>IF(H2404=0,0,2)</f>
        <v>0</v>
      </c>
      <c r="I2408" s="1259">
        <f t="shared" si="130"/>
        <v>0</v>
      </c>
      <c r="J2408" s="1108"/>
      <c r="K2408" s="1108"/>
      <c r="L2408" s="1082"/>
      <c r="M2408" s="975">
        <v>1000</v>
      </c>
    </row>
    <row r="2409" spans="1:13" s="1083" customFormat="1" ht="25.2" hidden="1" customHeight="1">
      <c r="A2409" s="1153">
        <f t="shared" si="132"/>
        <v>0</v>
      </c>
      <c r="B2409" s="1331" t="s">
        <v>2277</v>
      </c>
      <c r="C2409" s="1331"/>
      <c r="D2409" s="1078"/>
      <c r="E2409" s="1079">
        <v>0</v>
      </c>
      <c r="F2409" s="1080" t="str">
        <f>VLOOKUP($B2409,DG!A:D,DG!$C$2,)</f>
        <v>Bass LL bắt FCO, LA</v>
      </c>
      <c r="G2409" s="1079" t="s">
        <v>2391</v>
      </c>
      <c r="H2409" s="1851">
        <f>H2404*1</f>
        <v>0</v>
      </c>
      <c r="I2409" s="1259">
        <f t="shared" si="130"/>
        <v>0</v>
      </c>
      <c r="J2409" s="1108"/>
      <c r="K2409" s="1108"/>
      <c r="L2409" s="1082"/>
      <c r="M2409" s="975">
        <v>1000</v>
      </c>
    </row>
    <row r="2410" spans="1:13" s="1083" customFormat="1" ht="25.2" hidden="1" customHeight="1">
      <c r="A2410" s="1153">
        <f t="shared" si="132"/>
        <v>0</v>
      </c>
      <c r="B2410" s="1324" t="s">
        <v>2248</v>
      </c>
      <c r="C2410" s="1324"/>
      <c r="D2410" s="1078"/>
      <c r="E2410" s="1079" t="s">
        <v>730</v>
      </c>
      <c r="F2410" s="1080" t="str">
        <f>VLOOKUP($B2410,DG!A:D,DG!$C$2,)</f>
        <v>Lắp xà cột Pi loại ≤140kg/xà</v>
      </c>
      <c r="G2410" s="1079" t="s">
        <v>2445</v>
      </c>
      <c r="H2410" s="1851">
        <f>H2404</f>
        <v>0</v>
      </c>
      <c r="I2410" s="1259">
        <f t="shared" si="130"/>
        <v>0</v>
      </c>
      <c r="J2410" s="1108"/>
      <c r="K2410" s="1108"/>
      <c r="L2410" s="1082"/>
      <c r="M2410" s="975">
        <v>1000</v>
      </c>
    </row>
    <row r="2411" spans="1:13" s="1083" customFormat="1" ht="25.2" hidden="1" customHeight="1">
      <c r="A2411" s="1153">
        <f t="shared" si="132"/>
        <v>0</v>
      </c>
      <c r="B2411" s="1324"/>
      <c r="C2411" s="1324"/>
      <c r="D2411" s="1084">
        <f>IF(H2411&gt;0,D2404+1,D2404)</f>
        <v>0</v>
      </c>
      <c r="E2411" s="1085"/>
      <c r="F2411" s="1130" t="s">
        <v>3735</v>
      </c>
      <c r="G2411" s="1084" t="s">
        <v>2391</v>
      </c>
      <c r="H2411" s="1867">
        <f>H2389*2</f>
        <v>0</v>
      </c>
      <c r="I2411" s="1259">
        <f t="shared" si="130"/>
        <v>0</v>
      </c>
      <c r="J2411" s="1131"/>
      <c r="K2411" s="1131"/>
      <c r="L2411" s="1082"/>
      <c r="M2411" s="975">
        <v>1000</v>
      </c>
    </row>
    <row r="2412" spans="1:13" s="1083" customFormat="1" ht="25.2" hidden="1" customHeight="1">
      <c r="A2412" s="1153">
        <f t="shared" si="132"/>
        <v>0</v>
      </c>
      <c r="B2412" s="1324"/>
      <c r="C2412" s="1324"/>
      <c r="D2412" s="1078"/>
      <c r="E2412" s="1088"/>
      <c r="F2412" s="1367" t="s">
        <v>2285</v>
      </c>
      <c r="G2412" s="1090"/>
      <c r="H2412" s="1851"/>
      <c r="I2412" s="1259">
        <f t="shared" si="130"/>
        <v>0</v>
      </c>
      <c r="J2412" s="1131"/>
      <c r="K2412" s="1131"/>
      <c r="L2412" s="1082"/>
      <c r="M2412" s="975">
        <v>1000</v>
      </c>
    </row>
    <row r="2413" spans="1:13" s="1083" customFormat="1" ht="25.2" hidden="1" customHeight="1">
      <c r="A2413" s="1153">
        <f t="shared" si="132"/>
        <v>0</v>
      </c>
      <c r="B2413" s="1324" t="s">
        <v>2026</v>
      </c>
      <c r="C2413" s="1324"/>
      <c r="D2413" s="1078"/>
      <c r="E2413" s="1079">
        <v>0</v>
      </c>
      <c r="F2413" s="1080" t="str">
        <f>VLOOKUP($B2413,DG!A:D,DG!$C$2,)</f>
        <v>Sắt góc L75 x75 x8</v>
      </c>
      <c r="G2413" s="1079" t="s">
        <v>2254</v>
      </c>
      <c r="H2413" s="1851">
        <f>H2411*9.42*2.6</f>
        <v>0</v>
      </c>
      <c r="I2413" s="1259">
        <f t="shared" si="130"/>
        <v>0</v>
      </c>
      <c r="J2413" s="1108"/>
      <c r="K2413" s="1108"/>
      <c r="L2413" s="1082"/>
      <c r="M2413" s="975">
        <v>1000</v>
      </c>
    </row>
    <row r="2414" spans="1:13" s="1083" customFormat="1" ht="25.2" hidden="1" customHeight="1">
      <c r="A2414" s="1153">
        <f t="shared" si="132"/>
        <v>0</v>
      </c>
      <c r="B2414" s="1324" t="s">
        <v>1083</v>
      </c>
      <c r="C2414" s="1324"/>
      <c r="D2414" s="1078"/>
      <c r="E2414" s="1079">
        <v>0</v>
      </c>
      <c r="F2414" s="1080" t="str">
        <f>VLOOKUP($B2414,DG!A:D,DG!$C$2,)</f>
        <v>Boulon 16x400+ 2 long đền vuông D18-50x50x3/Zn</v>
      </c>
      <c r="G2414" s="1079" t="s">
        <v>2445</v>
      </c>
      <c r="H2414" s="1851">
        <f>H2411*2</f>
        <v>0</v>
      </c>
      <c r="I2414" s="1259">
        <f t="shared" si="130"/>
        <v>0</v>
      </c>
      <c r="J2414" s="1108"/>
      <c r="K2414" s="1108"/>
      <c r="L2414" s="1082"/>
      <c r="M2414" s="975">
        <v>1000</v>
      </c>
    </row>
    <row r="2415" spans="1:13" s="1083" customFormat="1" ht="25.2" hidden="1" customHeight="1">
      <c r="A2415" s="1153">
        <f t="shared" si="132"/>
        <v>0</v>
      </c>
      <c r="B2415" s="1324" t="s">
        <v>2248</v>
      </c>
      <c r="C2415" s="1324"/>
      <c r="D2415" s="1078"/>
      <c r="E2415" s="1079" t="s">
        <v>730</v>
      </c>
      <c r="F2415" s="1080" t="str">
        <f>VLOOKUP($B2415,DG!A:D,DG!$C$2,)</f>
        <v>Lắp xà cột Pi loại ≤140kg/xà</v>
      </c>
      <c r="G2415" s="1079" t="s">
        <v>2445</v>
      </c>
      <c r="H2415" s="1851">
        <f>H2411</f>
        <v>0</v>
      </c>
      <c r="I2415" s="1259">
        <f t="shared" si="130"/>
        <v>0</v>
      </c>
      <c r="J2415" s="1108"/>
      <c r="K2415" s="1108"/>
      <c r="L2415" s="1082"/>
      <c r="M2415" s="975">
        <v>1000</v>
      </c>
    </row>
    <row r="2416" spans="1:13" s="1083" customFormat="1" ht="25.2" hidden="1" customHeight="1">
      <c r="A2416" s="1153">
        <f t="shared" si="132"/>
        <v>0</v>
      </c>
      <c r="B2416" s="1324" t="s">
        <v>1613</v>
      </c>
      <c r="C2416" s="1324"/>
      <c r="D2416" s="1078"/>
      <c r="E2416" s="1079">
        <v>0</v>
      </c>
      <c r="F2416" s="1080" t="str">
        <f>VLOOKUP($B2416,DG!A:D,DG!$C$2,)</f>
        <v>Boulon 16x300+ 2 long đền vuông D18-50x50x3/Zn</v>
      </c>
      <c r="G2416" s="1079" t="s">
        <v>2445</v>
      </c>
      <c r="H2416" s="1851">
        <f>H2411*2*0</f>
        <v>0</v>
      </c>
      <c r="I2416" s="1259">
        <f t="shared" si="130"/>
        <v>0</v>
      </c>
      <c r="J2416" s="1108"/>
      <c r="K2416" s="1108"/>
      <c r="L2416" s="1082"/>
      <c r="M2416" s="975">
        <v>1000</v>
      </c>
    </row>
    <row r="2417" spans="1:13" s="1083" customFormat="1" ht="25.2" hidden="1" customHeight="1">
      <c r="A2417" s="1153">
        <f t="shared" si="132"/>
        <v>0</v>
      </c>
      <c r="B2417" s="1324" t="s">
        <v>1612</v>
      </c>
      <c r="C2417" s="1324"/>
      <c r="D2417" s="1078"/>
      <c r="E2417" s="1079">
        <v>0</v>
      </c>
      <c r="F2417" s="1080" t="str">
        <f>VLOOKUP($B2417,DG!A:D,DG!$C$2,)</f>
        <v>Boulon 16x250+ 2 long đền vuông D18-50x50x3/Zn</v>
      </c>
      <c r="G2417" s="1079" t="s">
        <v>2445</v>
      </c>
      <c r="H2417" s="1851">
        <f>2*H2411*2*0</f>
        <v>0</v>
      </c>
      <c r="I2417" s="1259">
        <f t="shared" si="130"/>
        <v>0</v>
      </c>
      <c r="J2417" s="1108"/>
      <c r="K2417" s="1108"/>
      <c r="L2417" s="1082"/>
      <c r="M2417" s="975">
        <v>1000</v>
      </c>
    </row>
    <row r="2418" spans="1:13" s="1083" customFormat="1" ht="25.2" hidden="1" customHeight="1" collapsed="1">
      <c r="A2418" s="1153">
        <f t="shared" si="132"/>
        <v>0</v>
      </c>
      <c r="B2418" s="1324"/>
      <c r="C2418" s="1324"/>
      <c r="D2418" s="1084">
        <f>IF(H2418&gt;0,D2411+1,D2411)</f>
        <v>0</v>
      </c>
      <c r="E2418" s="1085"/>
      <c r="F2418" s="1130" t="s">
        <v>3771</v>
      </c>
      <c r="G2418" s="1084" t="s">
        <v>2391</v>
      </c>
      <c r="H2418" s="1867">
        <f>H2364</f>
        <v>0</v>
      </c>
      <c r="I2418" s="1259">
        <f t="shared" si="130"/>
        <v>0</v>
      </c>
      <c r="J2418" s="1081"/>
      <c r="K2418" s="1081"/>
      <c r="L2418" s="1082"/>
      <c r="M2418" s="975">
        <v>1000</v>
      </c>
    </row>
    <row r="2419" spans="1:13" s="1083" customFormat="1" ht="25.2" hidden="1" customHeight="1">
      <c r="A2419" s="1153">
        <f t="shared" si="132"/>
        <v>0</v>
      </c>
      <c r="B2419" s="1324"/>
      <c r="C2419" s="1324"/>
      <c r="D2419" s="1078"/>
      <c r="E2419" s="1088"/>
      <c r="F2419" s="1367" t="s">
        <v>2285</v>
      </c>
      <c r="G2419" s="1090"/>
      <c r="H2419" s="1851"/>
      <c r="I2419" s="1259">
        <f t="shared" ref="I2419:I2482" si="133">IF(M2419=$M$23,H2419+J2419-K2419,0)</f>
        <v>0</v>
      </c>
      <c r="J2419" s="1081"/>
      <c r="K2419" s="1081"/>
      <c r="L2419" s="1082"/>
      <c r="M2419" s="975">
        <v>1000</v>
      </c>
    </row>
    <row r="2420" spans="1:13" s="1083" customFormat="1" ht="25.2" hidden="1" customHeight="1">
      <c r="A2420" s="1153">
        <f t="shared" si="132"/>
        <v>0</v>
      </c>
      <c r="B2420" s="1324" t="s">
        <v>2026</v>
      </c>
      <c r="C2420" s="1324"/>
      <c r="D2420" s="1078"/>
      <c r="E2420" s="1079">
        <v>0</v>
      </c>
      <c r="F2420" s="1080" t="str">
        <f>VLOOKUP($B2420,DG!A:D,DG!$C$2,)</f>
        <v>Sắt góc L75 x75 x8</v>
      </c>
      <c r="G2420" s="1079" t="s">
        <v>2254</v>
      </c>
      <c r="H2420" s="1851">
        <f>H2418*9.42*(2.4+4*0.07)*2</f>
        <v>0</v>
      </c>
      <c r="I2420" s="1259">
        <f t="shared" si="133"/>
        <v>0</v>
      </c>
      <c r="J2420" s="1081"/>
      <c r="K2420" s="1081"/>
      <c r="L2420" s="1082"/>
      <c r="M2420" s="975">
        <v>1000</v>
      </c>
    </row>
    <row r="2421" spans="1:13" s="1083" customFormat="1" ht="25.2" hidden="1" customHeight="1">
      <c r="A2421" s="1153">
        <f t="shared" si="132"/>
        <v>0</v>
      </c>
      <c r="B2421" s="1324" t="s">
        <v>1035</v>
      </c>
      <c r="C2421" s="1324"/>
      <c r="D2421" s="1078"/>
      <c r="E2421" s="1079" t="s">
        <v>554</v>
      </c>
      <c r="F2421" s="1080" t="str">
        <f>VLOOKUP($B2421,DG!A:D,DG!$C$2,)&amp;" (Thanh choáng 920)"</f>
        <v>Sắt góc L50 x50 x5 (Thanh choáng 920)</v>
      </c>
      <c r="G2421" s="1079" t="s">
        <v>2254</v>
      </c>
      <c r="H2421" s="1851">
        <f>H2418*3.77*0.92*4</f>
        <v>0</v>
      </c>
      <c r="I2421" s="1259">
        <f t="shared" si="133"/>
        <v>0</v>
      </c>
      <c r="J2421" s="1081"/>
      <c r="K2421" s="1081"/>
      <c r="L2421" s="1082"/>
      <c r="M2421" s="975">
        <v>1000</v>
      </c>
    </row>
    <row r="2422" spans="1:13" s="1083" customFormat="1" ht="25.2" hidden="1" customHeight="1">
      <c r="A2422" s="1153">
        <f t="shared" si="132"/>
        <v>0</v>
      </c>
      <c r="B2422" s="1324" t="s">
        <v>1613</v>
      </c>
      <c r="C2422" s="1324"/>
      <c r="D2422" s="1078"/>
      <c r="E2422" s="1079">
        <v>0</v>
      </c>
      <c r="F2422" s="1080" t="str">
        <f>VLOOKUP($B2422,DG!A:D,DG!$C$2,)</f>
        <v>Boulon 16x300+ 2 long đền vuông D18-50x50x3/Zn</v>
      </c>
      <c r="G2422" s="1079" t="s">
        <v>2445</v>
      </c>
      <c r="H2422" s="1851">
        <f>H2418*2</f>
        <v>0</v>
      </c>
      <c r="I2422" s="1259">
        <f t="shared" si="133"/>
        <v>0</v>
      </c>
      <c r="J2422" s="1081"/>
      <c r="K2422" s="1081"/>
      <c r="L2422" s="1082"/>
      <c r="M2422" s="975">
        <v>1000</v>
      </c>
    </row>
    <row r="2423" spans="1:13" s="1083" customFormat="1" ht="25.2" hidden="1" customHeight="1">
      <c r="A2423" s="1153">
        <f t="shared" si="132"/>
        <v>0</v>
      </c>
      <c r="B2423" s="1324" t="s">
        <v>1790</v>
      </c>
      <c r="C2423" s="1324"/>
      <c r="D2423" s="1078"/>
      <c r="E2423" s="1079">
        <v>0</v>
      </c>
      <c r="F2423" s="1080" t="str">
        <f>VLOOKUP($B2423,DG!A:D,DG!$C$2,)</f>
        <v>Boulon 16x50+ 2 long đền vuông D18-50x50x3/Zn</v>
      </c>
      <c r="G2423" s="1079" t="s">
        <v>2445</v>
      </c>
      <c r="H2423" s="1851">
        <f>H2418*4</f>
        <v>0</v>
      </c>
      <c r="I2423" s="1259">
        <f t="shared" si="133"/>
        <v>0</v>
      </c>
      <c r="J2423" s="1081"/>
      <c r="K2423" s="1081"/>
      <c r="L2423" s="1082"/>
      <c r="M2423" s="975">
        <v>1000</v>
      </c>
    </row>
    <row r="2424" spans="1:13" s="1083" customFormat="1" ht="25.2" hidden="1" customHeight="1">
      <c r="A2424" s="1153">
        <f t="shared" si="132"/>
        <v>0</v>
      </c>
      <c r="B2424" s="1324" t="s">
        <v>1788</v>
      </c>
      <c r="C2424" s="1324"/>
      <c r="D2424" s="1078"/>
      <c r="E2424" s="1079">
        <v>0</v>
      </c>
      <c r="F2424" s="1080" t="str">
        <f>VLOOKUP($B2424,DG!A:D,DG!$C$2,)</f>
        <v>Boulon 16x300VRS+ 4 long đền vuông D18-50x50x3/Zn</v>
      </c>
      <c r="G2424" s="1079" t="s">
        <v>2445</v>
      </c>
      <c r="H2424" s="1851">
        <f>H2418*4</f>
        <v>0</v>
      </c>
      <c r="I2424" s="1259">
        <f t="shared" si="133"/>
        <v>0</v>
      </c>
      <c r="J2424" s="1081"/>
      <c r="K2424" s="1081"/>
      <c r="L2424" s="1082"/>
      <c r="M2424" s="975">
        <v>1000</v>
      </c>
    </row>
    <row r="2425" spans="1:13" s="1083" customFormat="1" ht="25.2" hidden="1" customHeight="1">
      <c r="A2425" s="1153">
        <f t="shared" si="132"/>
        <v>0</v>
      </c>
      <c r="B2425" s="1324" t="s">
        <v>550</v>
      </c>
      <c r="C2425" s="1324"/>
      <c r="D2425" s="1078"/>
      <c r="E2425" s="1079">
        <v>0</v>
      </c>
      <c r="F2425" s="1080" t="str">
        <f>VLOOKUP($B2425,DG!A:D,DG!$C$2,)</f>
        <v>Bass LI bắt FCO</v>
      </c>
      <c r="G2425" s="1079" t="s">
        <v>2445</v>
      </c>
      <c r="H2425" s="1851">
        <f>H2418*3/2*0</f>
        <v>0</v>
      </c>
      <c r="I2425" s="1259">
        <f t="shared" si="133"/>
        <v>0</v>
      </c>
      <c r="J2425" s="1081"/>
      <c r="K2425" s="1081"/>
      <c r="L2425" s="1082"/>
      <c r="M2425" s="975">
        <v>1000</v>
      </c>
    </row>
    <row r="2426" spans="1:13" s="1083" customFormat="1" ht="25.2" hidden="1" customHeight="1">
      <c r="A2426" s="1153">
        <f t="shared" si="132"/>
        <v>0</v>
      </c>
      <c r="B2426" s="1324" t="s">
        <v>517</v>
      </c>
      <c r="C2426" s="1324"/>
      <c r="D2426" s="1078"/>
      <c r="E2426" s="1079" t="s">
        <v>1460</v>
      </c>
      <c r="F2426" s="1080" t="str">
        <f>VLOOKUP($B2426,DG!A:D,DG!$C$2,)</f>
        <v>Lắp xà néo ≤ 100kg</v>
      </c>
      <c r="G2426" s="1079" t="s">
        <v>2445</v>
      </c>
      <c r="H2426" s="1851">
        <f>H2418</f>
        <v>0</v>
      </c>
      <c r="I2426" s="1259">
        <f t="shared" si="133"/>
        <v>0</v>
      </c>
      <c r="J2426" s="1081"/>
      <c r="K2426" s="1081"/>
      <c r="L2426" s="1082"/>
      <c r="M2426" s="975">
        <v>1000</v>
      </c>
    </row>
    <row r="2427" spans="1:13" s="1083" customFormat="1" ht="25.2" hidden="1" customHeight="1">
      <c r="A2427" s="1153">
        <f t="shared" si="132"/>
        <v>0</v>
      </c>
      <c r="B2427" s="1324"/>
      <c r="C2427" s="1324"/>
      <c r="D2427" s="1084">
        <f>IF(H2427&gt;0,D2418+1,D2418)</f>
        <v>0</v>
      </c>
      <c r="E2427" s="1085"/>
      <c r="F2427" s="1130" t="s">
        <v>3772</v>
      </c>
      <c r="G2427" s="1084" t="s">
        <v>2391</v>
      </c>
      <c r="H2427" s="1867">
        <f>H2364*3</f>
        <v>0</v>
      </c>
      <c r="I2427" s="1259">
        <f t="shared" si="133"/>
        <v>0</v>
      </c>
      <c r="J2427" s="1081"/>
      <c r="K2427" s="1081"/>
      <c r="L2427" s="1082"/>
      <c r="M2427" s="975">
        <v>1000</v>
      </c>
    </row>
    <row r="2428" spans="1:13" s="1083" customFormat="1" ht="25.2" hidden="1" customHeight="1">
      <c r="A2428" s="1153">
        <f t="shared" si="132"/>
        <v>0</v>
      </c>
      <c r="B2428" s="1324"/>
      <c r="C2428" s="1324"/>
      <c r="D2428" s="1078"/>
      <c r="E2428" s="1088"/>
      <c r="F2428" s="1367" t="s">
        <v>2285</v>
      </c>
      <c r="G2428" s="1090"/>
      <c r="H2428" s="1851"/>
      <c r="I2428" s="1259">
        <f t="shared" si="133"/>
        <v>0</v>
      </c>
      <c r="J2428" s="1081"/>
      <c r="K2428" s="1081"/>
      <c r="L2428" s="1082"/>
      <c r="M2428" s="975">
        <v>1000</v>
      </c>
    </row>
    <row r="2429" spans="1:13" s="1083" customFormat="1" ht="25.2" hidden="1" customHeight="1">
      <c r="A2429" s="1153">
        <f t="shared" si="132"/>
        <v>0</v>
      </c>
      <c r="B2429" s="1324" t="s">
        <v>2026</v>
      </c>
      <c r="C2429" s="1324"/>
      <c r="D2429" s="1078"/>
      <c r="E2429" s="1079">
        <v>0</v>
      </c>
      <c r="F2429" s="1080" t="str">
        <f>VLOOKUP($B2429,DG!A:D,DG!$C$2,)</f>
        <v>Sắt góc L75 x75 x8</v>
      </c>
      <c r="G2429" s="1079" t="s">
        <v>2254</v>
      </c>
      <c r="H2429" s="1851">
        <f>H2427*9.02*(2.2+4*0.07)</f>
        <v>0</v>
      </c>
      <c r="I2429" s="1259">
        <f t="shared" si="133"/>
        <v>0</v>
      </c>
      <c r="J2429" s="1081"/>
      <c r="K2429" s="1081"/>
      <c r="L2429" s="1082"/>
      <c r="M2429" s="975">
        <v>1000</v>
      </c>
    </row>
    <row r="2430" spans="1:13" s="1083" customFormat="1" ht="25.2" hidden="1" customHeight="1">
      <c r="A2430" s="1153">
        <f t="shared" si="132"/>
        <v>0</v>
      </c>
      <c r="B2430" s="1324" t="s">
        <v>1035</v>
      </c>
      <c r="C2430" s="1324"/>
      <c r="D2430" s="1078"/>
      <c r="E2430" s="1079">
        <v>0</v>
      </c>
      <c r="F2430" s="1080" t="str">
        <f>VLOOKUP($B2430,DG!A:D,DG!$C$2,)&amp;" (Thanh choáng 920)"</f>
        <v>Sắt góc L50 x50 x5 (Thanh choáng 920)</v>
      </c>
      <c r="G2430" s="1079" t="s">
        <v>2254</v>
      </c>
      <c r="H2430" s="1889">
        <f>H2427*3.77*0.92*2</f>
        <v>0</v>
      </c>
      <c r="I2430" s="1259">
        <f t="shared" si="133"/>
        <v>0</v>
      </c>
      <c r="J2430" s="1081"/>
      <c r="K2430" s="1081"/>
      <c r="L2430" s="1082"/>
      <c r="M2430" s="975">
        <v>1000</v>
      </c>
    </row>
    <row r="2431" spans="1:13" s="1083" customFormat="1" ht="25.2" hidden="1" customHeight="1">
      <c r="A2431" s="1153">
        <f t="shared" si="132"/>
        <v>0</v>
      </c>
      <c r="B2431" s="1324" t="s">
        <v>1079</v>
      </c>
      <c r="C2431" s="1324"/>
      <c r="D2431" s="1078"/>
      <c r="E2431" s="1079">
        <v>0</v>
      </c>
      <c r="F2431" s="1080" t="str">
        <f>VLOOKUP($B2431,DG!A:D,DG!$C$2,)</f>
        <v>Boulon 16x350+ 2 long đền vuông D18-50x50x3/Zn</v>
      </c>
      <c r="G2431" s="1079" t="s">
        <v>2445</v>
      </c>
      <c r="H2431" s="1851">
        <f>H2427*2</f>
        <v>0</v>
      </c>
      <c r="I2431" s="1259">
        <f t="shared" si="133"/>
        <v>0</v>
      </c>
      <c r="J2431" s="1081"/>
      <c r="K2431" s="1081"/>
      <c r="L2431" s="1082"/>
      <c r="M2431" s="975">
        <v>1000</v>
      </c>
    </row>
    <row r="2432" spans="1:13" s="1083" customFormat="1" ht="25.2" hidden="1" customHeight="1">
      <c r="A2432" s="1153">
        <f t="shared" si="132"/>
        <v>0</v>
      </c>
      <c r="B2432" s="1324" t="s">
        <v>1790</v>
      </c>
      <c r="C2432" s="1324"/>
      <c r="D2432" s="1078"/>
      <c r="E2432" s="1079">
        <v>0</v>
      </c>
      <c r="F2432" s="1080" t="str">
        <f>VLOOKUP($B2432,DG!A:D,DG!$C$2,)</f>
        <v>Boulon 16x50+ 2 long đền vuông D18-50x50x3/Zn</v>
      </c>
      <c r="G2432" s="1079" t="s">
        <v>2445</v>
      </c>
      <c r="H2432" s="1851">
        <f>H2427*2</f>
        <v>0</v>
      </c>
      <c r="I2432" s="1259">
        <f t="shared" si="133"/>
        <v>0</v>
      </c>
      <c r="J2432" s="1081"/>
      <c r="K2432" s="1081"/>
      <c r="L2432" s="1082"/>
      <c r="M2432" s="975">
        <v>1000</v>
      </c>
    </row>
    <row r="2433" spans="1:13" s="1083" customFormat="1" ht="25.2" hidden="1" customHeight="1">
      <c r="A2433" s="1153">
        <f t="shared" si="132"/>
        <v>0</v>
      </c>
      <c r="B2433" s="1324" t="s">
        <v>1739</v>
      </c>
      <c r="C2433" s="1324"/>
      <c r="D2433" s="1078"/>
      <c r="E2433" s="1079">
        <v>0</v>
      </c>
      <c r="F2433" s="1080" t="str">
        <f>VLOOKUP($B2433,DG!A:D,DG!$C$2,)</f>
        <v>Bass LI bắt FCO</v>
      </c>
      <c r="G2433" s="1079" t="s">
        <v>2445</v>
      </c>
      <c r="H2433" s="1889">
        <f>H2427</f>
        <v>0</v>
      </c>
      <c r="I2433" s="1259">
        <f t="shared" si="133"/>
        <v>0</v>
      </c>
      <c r="J2433" s="1081"/>
      <c r="K2433" s="1081"/>
      <c r="L2433" s="1082"/>
      <c r="M2433" s="975">
        <v>1000</v>
      </c>
    </row>
    <row r="2434" spans="1:13" s="1083" customFormat="1" ht="25.2" hidden="1" customHeight="1">
      <c r="A2434" s="1153">
        <f t="shared" si="132"/>
        <v>0</v>
      </c>
      <c r="B2434" s="1324" t="s">
        <v>988</v>
      </c>
      <c r="C2434" s="1324"/>
      <c r="D2434" s="1078"/>
      <c r="E2434" s="1079">
        <v>0</v>
      </c>
      <c r="F2434" s="1080" t="str">
        <f>VLOOKUP($B2434,DG!A:D,DG!$C$2,)</f>
        <v xml:space="preserve">Cổ dê chống lắc 8x80x800 </v>
      </c>
      <c r="G2434" s="1079" t="s">
        <v>2445</v>
      </c>
      <c r="H2434" s="1851">
        <f>H2427/3</f>
        <v>0</v>
      </c>
      <c r="I2434" s="1259">
        <f t="shared" si="133"/>
        <v>0</v>
      </c>
      <c r="J2434" s="1081"/>
      <c r="K2434" s="1081"/>
      <c r="L2434" s="1082"/>
      <c r="M2434" s="975">
        <v>1000</v>
      </c>
    </row>
    <row r="2435" spans="1:13" s="1083" customFormat="1" ht="25.2" hidden="1" customHeight="1">
      <c r="A2435" s="1153">
        <f t="shared" si="132"/>
        <v>0</v>
      </c>
      <c r="B2435" s="1324" t="s">
        <v>2002</v>
      </c>
      <c r="C2435" s="1324"/>
      <c r="D2435" s="1078"/>
      <c r="E2435" s="1079" t="s">
        <v>2271</v>
      </c>
      <c r="F2435" s="1080" t="str">
        <f>VLOOKUP($B2435,DG!A:D,DG!$C$2,)</f>
        <v>Lắp xà néo ≤ 50kg</v>
      </c>
      <c r="G2435" s="1079" t="s">
        <v>2445</v>
      </c>
      <c r="H2435" s="1851">
        <f>H2427</f>
        <v>0</v>
      </c>
      <c r="I2435" s="1259">
        <f t="shared" si="133"/>
        <v>0</v>
      </c>
      <c r="J2435" s="1081"/>
      <c r="K2435" s="1081"/>
      <c r="L2435" s="1082"/>
      <c r="M2435" s="975">
        <v>1000</v>
      </c>
    </row>
    <row r="2436" spans="1:13" s="1083" customFormat="1" ht="25.2" hidden="1" customHeight="1">
      <c r="A2436" s="1153">
        <f t="shared" si="132"/>
        <v>0</v>
      </c>
      <c r="B2436" s="1324"/>
      <c r="C2436" s="1324"/>
      <c r="D2436" s="1084">
        <f>IF(H2436&gt;0,D2427+1,D2427)</f>
        <v>0</v>
      </c>
      <c r="E2436" s="1085"/>
      <c r="F2436" s="1130" t="s">
        <v>3773</v>
      </c>
      <c r="G2436" s="1084" t="s">
        <v>2391</v>
      </c>
      <c r="H2436" s="1867">
        <f>H2364</f>
        <v>0</v>
      </c>
      <c r="I2436" s="1259">
        <f t="shared" si="133"/>
        <v>0</v>
      </c>
      <c r="J2436" s="1081"/>
      <c r="K2436" s="1081"/>
      <c r="L2436" s="1082"/>
      <c r="M2436" s="975">
        <v>1000</v>
      </c>
    </row>
    <row r="2437" spans="1:13" s="1083" customFormat="1" ht="25.2" hidden="1" customHeight="1">
      <c r="A2437" s="1153">
        <f t="shared" si="132"/>
        <v>0</v>
      </c>
      <c r="B2437" s="1355"/>
      <c r="C2437" s="1355"/>
      <c r="D2437" s="1078"/>
      <c r="E2437" s="1088"/>
      <c r="F2437" s="1089" t="s">
        <v>3774</v>
      </c>
      <c r="G2437" s="1090"/>
      <c r="H2437" s="1851"/>
      <c r="I2437" s="1259">
        <f t="shared" si="133"/>
        <v>0</v>
      </c>
      <c r="J2437" s="1081"/>
      <c r="K2437" s="1081"/>
      <c r="L2437" s="1082"/>
      <c r="M2437" s="975">
        <v>1000</v>
      </c>
    </row>
    <row r="2438" spans="1:13" s="1083" customFormat="1" ht="25.2" hidden="1" customHeight="1">
      <c r="A2438" s="1153">
        <f t="shared" si="132"/>
        <v>0</v>
      </c>
      <c r="B2438" s="1324" t="s">
        <v>1033</v>
      </c>
      <c r="C2438" s="1324"/>
      <c r="D2438" s="1078"/>
      <c r="E2438" s="1079">
        <f>VLOOKUP($B2438,DG!A:D,DG!$B$2,)</f>
        <v>0</v>
      </c>
      <c r="F2438" s="1080" t="e">
        <f>VLOOKUP($B2438,DG!A:D,DG!$C$2,)&amp; ": "&amp;#REF!&amp;"m"</f>
        <v>#REF!</v>
      </c>
      <c r="G2438" s="1079" t="str">
        <f>VLOOKUP($B2438,DG!A:D,DG!$D$2,)</f>
        <v>kg</v>
      </c>
      <c r="H2438" s="1851">
        <f>I3*0.224*H2436*0</f>
        <v>0</v>
      </c>
      <c r="I2438" s="1259">
        <f t="shared" si="133"/>
        <v>0</v>
      </c>
      <c r="J2438" s="1081"/>
      <c r="K2438" s="1081"/>
      <c r="L2438" s="1082"/>
      <c r="M2438" s="975">
        <v>1000</v>
      </c>
    </row>
    <row r="2439" spans="1:13" s="1083" customFormat="1" ht="25.2" hidden="1" customHeight="1">
      <c r="A2439" s="1153">
        <f t="shared" si="132"/>
        <v>0</v>
      </c>
      <c r="B2439" s="1324" t="s">
        <v>1033</v>
      </c>
      <c r="C2439" s="1324"/>
      <c r="D2439" s="1078"/>
      <c r="E2439" s="1079">
        <f>VLOOKUP($B2439,DG!A:D,DG!$B$2,)</f>
        <v>0</v>
      </c>
      <c r="F2439" s="1080" t="str">
        <f>VLOOKUP($B2439,DG!A:D,DG!$C$2,)&amp;": 10m noái leân voû caùc thieát bò"</f>
        <v>Cáp đồng trần M25mm2: 10m noái leân voû caùc thieát bò</v>
      </c>
      <c r="G2439" s="1079" t="str">
        <f>VLOOKUP($B2439,DG!A:D,DG!$D$2,)</f>
        <v>kg</v>
      </c>
      <c r="H2439" s="1851">
        <f>10*0.224*H2436*0</f>
        <v>0</v>
      </c>
      <c r="I2439" s="1259">
        <f t="shared" si="133"/>
        <v>0</v>
      </c>
      <c r="J2439" s="1081"/>
      <c r="K2439" s="1081"/>
      <c r="L2439" s="1082"/>
      <c r="M2439" s="975">
        <v>1000</v>
      </c>
    </row>
    <row r="2440" spans="1:13" s="1083" customFormat="1" ht="25.2" hidden="1" customHeight="1">
      <c r="A2440" s="1153">
        <f t="shared" si="132"/>
        <v>0</v>
      </c>
      <c r="B2440" s="1154" t="s">
        <v>1511</v>
      </c>
      <c r="C2440" s="1154"/>
      <c r="D2440" s="1078"/>
      <c r="E2440" s="1079">
        <f>VLOOKUP($B2440,DG!A:D,DG!$B$2,)</f>
        <v>0</v>
      </c>
      <c r="F2440" s="1080" t="str">
        <f>VLOOKUP($B2440,DG!A:D,DG!$C$2,)</f>
        <v>Cọc tiếp đất Þ 16- 2,4m + kẹp cọc mạ đồng</v>
      </c>
      <c r="G2440" s="1079" t="str">
        <f>VLOOKUP($B2440,DG!A:D,DG!$D$2,)</f>
        <v>bộ</v>
      </c>
      <c r="H2440" s="1851">
        <f>I2*H2436</f>
        <v>0</v>
      </c>
      <c r="I2440" s="1259">
        <f t="shared" si="133"/>
        <v>0</v>
      </c>
      <c r="J2440" s="1081"/>
      <c r="K2440" s="1081"/>
      <c r="L2440" s="1082"/>
      <c r="M2440" s="975">
        <v>1000</v>
      </c>
    </row>
    <row r="2441" spans="1:13" s="1083" customFormat="1" ht="25.2" hidden="1" customHeight="1">
      <c r="A2441" s="1153">
        <f t="shared" si="132"/>
        <v>0</v>
      </c>
      <c r="B2441" s="1154" t="s">
        <v>1493</v>
      </c>
      <c r="C2441" s="1154"/>
      <c r="D2441" s="1078"/>
      <c r="E2441" s="1079" t="str">
        <f>VLOOKUP($B2441,DG!A:D,DG!$B$2,)</f>
        <v>07.2403</v>
      </c>
      <c r="F2441" s="1080" t="str">
        <f>VLOOKUP($B2441,DG!A:D,DG!$C$2,)</f>
        <v xml:space="preserve">Ống PVC D21x1,6mm </v>
      </c>
      <c r="G2441" s="1079" t="str">
        <f>VLOOKUP($B2441,DG!A:D,DG!$D$2,)</f>
        <v>m</v>
      </c>
      <c r="H2441" s="1851">
        <f>H2436*6*0</f>
        <v>0</v>
      </c>
      <c r="I2441" s="1259">
        <f t="shared" si="133"/>
        <v>0</v>
      </c>
      <c r="J2441" s="1081"/>
      <c r="K2441" s="1081"/>
      <c r="L2441" s="1082"/>
      <c r="M2441" s="975">
        <v>1000</v>
      </c>
    </row>
    <row r="2442" spans="1:13" s="1083" customFormat="1" ht="25.2" hidden="1" customHeight="1">
      <c r="A2442" s="1153">
        <f t="shared" si="132"/>
        <v>0</v>
      </c>
      <c r="B2442" s="1329" t="s">
        <v>1582</v>
      </c>
      <c r="C2442" s="1329"/>
      <c r="D2442" s="1078"/>
      <c r="E2442" s="1079">
        <f>VLOOKUP($B2442,DG!A:D,DG!$B$2,)</f>
        <v>0</v>
      </c>
      <c r="F2442" s="1080" t="str">
        <f>VLOOKUP($B2442,DG!A:D,DG!$C$2,)&amp; " baét trung tính löôùi"</f>
        <v>Kẹp ép WR cỡ dây 50mm2 baét trung tính löôùi</v>
      </c>
      <c r="G2442" s="1079" t="str">
        <f>VLOOKUP($B2442,DG!A:D,DG!$D$2,)</f>
        <v>cái</v>
      </c>
      <c r="H2442" s="1851">
        <f>2*H2436*0</f>
        <v>0</v>
      </c>
      <c r="I2442" s="1259">
        <f t="shared" si="133"/>
        <v>0</v>
      </c>
      <c r="J2442" s="1081"/>
      <c r="K2442" s="1081"/>
      <c r="L2442" s="1082"/>
      <c r="M2442" s="975">
        <v>1000</v>
      </c>
    </row>
    <row r="2443" spans="1:13" s="1083" customFormat="1" ht="25.2" hidden="1" customHeight="1">
      <c r="A2443" s="1153">
        <f t="shared" si="132"/>
        <v>0</v>
      </c>
      <c r="B2443" s="1329" t="s">
        <v>1114</v>
      </c>
      <c r="C2443" s="1329"/>
      <c r="D2443" s="1078"/>
      <c r="E2443" s="1079">
        <f>VLOOKUP($B2443,DG!A:D,DG!$B$2,)</f>
        <v>0</v>
      </c>
      <c r="F2443" s="1080" t="str">
        <f>VLOOKUP($B2443,DG!A:D,DG!$C$2,)</f>
        <v>Kẹp ép cỡ dây 25mm2</v>
      </c>
      <c r="G2443" s="1079" t="str">
        <f>VLOOKUP($B2443,DG!A:D,DG!$D$2,)</f>
        <v>cái</v>
      </c>
      <c r="H2443" s="1889">
        <f>H2436*11*0</f>
        <v>0</v>
      </c>
      <c r="I2443" s="1259">
        <f t="shared" si="133"/>
        <v>0</v>
      </c>
      <c r="J2443" s="1081"/>
      <c r="K2443" s="1081"/>
      <c r="L2443" s="1082"/>
      <c r="M2443" s="975">
        <v>1000</v>
      </c>
    </row>
    <row r="2444" spans="1:13" s="1083" customFormat="1" ht="25.2" hidden="1" customHeight="1">
      <c r="A2444" s="1153">
        <f t="shared" si="132"/>
        <v>0</v>
      </c>
      <c r="B2444" s="1154" t="s">
        <v>138</v>
      </c>
      <c r="C2444" s="1154"/>
      <c r="D2444" s="1078"/>
      <c r="E2444" s="1079">
        <f>VLOOKUP($B2444,DG!A:D,DG!$B$2,)</f>
        <v>0</v>
      </c>
      <c r="F2444" s="1080" t="str">
        <f>VLOOKUP($B2444,DG!A:D,DG!$C$2,)</f>
        <v>Boulon 12x40+ 2 long đền vuông D14-50x50x3/Zn</v>
      </c>
      <c r="G2444" s="1079" t="str">
        <f>VLOOKUP($B2444,DG!A:D,DG!$D$2,)</f>
        <v>bộ</v>
      </c>
      <c r="H2444" s="1851">
        <f>H2445/2</f>
        <v>0</v>
      </c>
      <c r="I2444" s="1259">
        <f t="shared" si="133"/>
        <v>0</v>
      </c>
      <c r="J2444" s="1081"/>
      <c r="K2444" s="1081"/>
      <c r="L2444" s="1082"/>
      <c r="M2444" s="975">
        <v>1000</v>
      </c>
    </row>
    <row r="2445" spans="1:13" s="1083" customFormat="1" ht="25.2" hidden="1" customHeight="1">
      <c r="A2445" s="1153">
        <f t="shared" si="132"/>
        <v>0</v>
      </c>
      <c r="B2445" s="1154" t="s">
        <v>104</v>
      </c>
      <c r="C2445" s="1154"/>
      <c r="D2445" s="1078"/>
      <c r="E2445" s="1079" t="str">
        <f>VLOOKUP($B2445,DG!A:D,DG!$B$2,)</f>
        <v>03.4001</v>
      </c>
      <c r="F2445" s="1080" t="str">
        <f>VLOOKUP($B2445,DG!A:D,DG!$C$2,)</f>
        <v>Đầu cosse ép Cu 25mm2</v>
      </c>
      <c r="G2445" s="1079" t="str">
        <f>VLOOKUP($B2445,DG!A:D,DG!$D$2,)</f>
        <v>cái</v>
      </c>
      <c r="H2445" s="1851">
        <f>+H2436*2*0</f>
        <v>0</v>
      </c>
      <c r="I2445" s="1259">
        <f t="shared" si="133"/>
        <v>0</v>
      </c>
      <c r="J2445" s="1081"/>
      <c r="K2445" s="1081"/>
      <c r="L2445" s="1082"/>
      <c r="M2445" s="975">
        <v>1000</v>
      </c>
    </row>
    <row r="2446" spans="1:13" s="1083" customFormat="1" ht="25.2" hidden="1" customHeight="1">
      <c r="A2446" s="1153">
        <f t="shared" si="132"/>
        <v>0</v>
      </c>
      <c r="B2446" s="1154" t="s">
        <v>525</v>
      </c>
      <c r="C2446" s="1154"/>
      <c r="D2446" s="1078"/>
      <c r="E2446" s="1079" t="str">
        <f>VLOOKUP($B2446,DG!A:D,DG!$B$2,)</f>
        <v>06.3231</v>
      </c>
      <c r="F2446" s="1080" t="str">
        <f>VLOOKUP($B2446,DG!A:D,DG!$C$2,)</f>
        <v>Cổ dê kẹp ống PVC  21</v>
      </c>
      <c r="G2446" s="1079" t="str">
        <f>VLOOKUP($B2446,DG!A:D,DG!$D$2,)</f>
        <v>bộ</v>
      </c>
      <c r="H2446" s="1851">
        <f>H2436*2*0</f>
        <v>0</v>
      </c>
      <c r="I2446" s="1259">
        <f t="shared" si="133"/>
        <v>0</v>
      </c>
      <c r="J2446" s="1081"/>
      <c r="K2446" s="1081"/>
      <c r="L2446" s="1082"/>
      <c r="M2446" s="975">
        <v>1000</v>
      </c>
    </row>
    <row r="2447" spans="1:13" s="1083" customFormat="1" ht="25.2" hidden="1" customHeight="1">
      <c r="A2447" s="1153">
        <f t="shared" si="132"/>
        <v>0</v>
      </c>
      <c r="B2447" s="1154" t="s">
        <v>1588</v>
      </c>
      <c r="C2447" s="1154"/>
      <c r="D2447" s="1078"/>
      <c r="E2447" s="1079">
        <f>VLOOKUP($B2447,DG!A:D,DG!$B$2,)</f>
        <v>0</v>
      </c>
      <c r="F2447" s="1080" t="str">
        <f>VLOOKUP($B2447,DG!A:D,DG!$C$2,)</f>
        <v>Giếng tiếp địa khoan đất</v>
      </c>
      <c r="G2447" s="1079" t="str">
        <f>VLOOKUP($B2447,DG!A:D,DG!$D$2,)</f>
        <v>Cái</v>
      </c>
      <c r="H2447" s="1851"/>
      <c r="I2447" s="1259">
        <f t="shared" si="133"/>
        <v>0</v>
      </c>
      <c r="J2447" s="1081"/>
      <c r="K2447" s="1081"/>
      <c r="L2447" s="1082"/>
      <c r="M2447" s="975">
        <v>1000</v>
      </c>
    </row>
    <row r="2448" spans="1:13" s="1083" customFormat="1" ht="25.2" hidden="1" customHeight="1">
      <c r="A2448" s="1153">
        <f t="shared" si="132"/>
        <v>0</v>
      </c>
      <c r="B2448" s="1154" t="s">
        <v>453</v>
      </c>
      <c r="C2448" s="1154"/>
      <c r="D2448" s="1090"/>
      <c r="E2448" s="1079" t="str">
        <f>VLOOKUP($B2448,DG!A:D,DG!$B$2,)</f>
        <v>03.8133</v>
      </c>
      <c r="F2448" s="1108" t="str">
        <f>VLOOKUP($B2448,DG!A:D,DG!$C$2,)&amp;": (2m3/coïc)x"&amp;H2440&amp;" coïc"</f>
        <v>Phá đá chân hố móng, đá cấp II: (2m3/coïc)x0 coïc</v>
      </c>
      <c r="G2448" s="1135" t="s">
        <v>856</v>
      </c>
      <c r="H2448" s="1167"/>
      <c r="I2448" s="1259">
        <f t="shared" si="133"/>
        <v>0</v>
      </c>
      <c r="J2448" s="1081"/>
      <c r="K2448" s="1081"/>
      <c r="L2448" s="1082"/>
      <c r="M2448" s="975">
        <v>1000</v>
      </c>
    </row>
    <row r="2449" spans="1:13" s="1083" customFormat="1" ht="25.2" hidden="1" customHeight="1">
      <c r="A2449" s="1153">
        <f t="shared" si="132"/>
        <v>0</v>
      </c>
      <c r="B2449" s="1154" t="s">
        <v>794</v>
      </c>
      <c r="C2449" s="1154"/>
      <c r="D2449" s="1090"/>
      <c r="E2449" s="1079" t="str">
        <f>VLOOKUP($B2449,DG!A:D,DG!$B$2,)</f>
        <v>03.3123</v>
      </c>
      <c r="F2449" s="1080" t="str">
        <f>VLOOKUP($B2449,DG!A:D,DG!$C$2,)</f>
        <v>Đào rãnh tiếp địa đất cấp 3</v>
      </c>
      <c r="G2449" s="1135" t="s">
        <v>856</v>
      </c>
      <c r="H2449" s="1167">
        <f>I3*H2436*0</f>
        <v>0</v>
      </c>
      <c r="I2449" s="1259">
        <f t="shared" si="133"/>
        <v>0</v>
      </c>
      <c r="J2449" s="1081"/>
      <c r="K2449" s="1081"/>
      <c r="L2449" s="1082"/>
      <c r="M2449" s="975">
        <v>1000</v>
      </c>
    </row>
    <row r="2450" spans="1:13" s="1083" customFormat="1" ht="25.2" hidden="1" customHeight="1">
      <c r="A2450" s="1153">
        <f t="shared" si="132"/>
        <v>0</v>
      </c>
      <c r="B2450" s="1154" t="s">
        <v>798</v>
      </c>
      <c r="C2450" s="1154"/>
      <c r="D2450" s="1090"/>
      <c r="E2450" s="1079" t="str">
        <f>VLOOKUP($B2450,DG!A:D,DG!$B$2,)</f>
        <v>03.4123</v>
      </c>
      <c r="F2450" s="1080" t="str">
        <f>VLOOKUP($B2450,DG!A:D,DG!$C$2,)</f>
        <v>Đắp đất rãnh tiếp độ chặt k=0,85</v>
      </c>
      <c r="G2450" s="1135" t="s">
        <v>856</v>
      </c>
      <c r="H2450" s="1167">
        <f>($H2449+H2448)*H2436</f>
        <v>0</v>
      </c>
      <c r="I2450" s="1259">
        <f t="shared" si="133"/>
        <v>0</v>
      </c>
      <c r="J2450" s="1081"/>
      <c r="K2450" s="1081"/>
      <c r="L2450" s="1082"/>
      <c r="M2450" s="975">
        <v>1000</v>
      </c>
    </row>
    <row r="2451" spans="1:13" s="1083" customFormat="1" ht="25.2" hidden="1" customHeight="1">
      <c r="A2451" s="1153">
        <f t="shared" si="132"/>
        <v>0</v>
      </c>
      <c r="B2451" s="1154" t="s">
        <v>902</v>
      </c>
      <c r="C2451" s="1154"/>
      <c r="D2451" s="1090"/>
      <c r="E2451" s="1079" t="str">
        <f>VLOOKUP($B2451,DG!A:D,DG!$B$2,)</f>
        <v>04.7001</v>
      </c>
      <c r="F2451" s="1080" t="str">
        <f>VLOOKUP($B2451,DG!A:D,DG!$C$2,)</f>
        <v>Đóng cọc tiếp địa trong TBA</v>
      </c>
      <c r="G2451" s="1135" t="s">
        <v>856</v>
      </c>
      <c r="H2451" s="1167">
        <f>H2440</f>
        <v>0</v>
      </c>
      <c r="I2451" s="1259">
        <f t="shared" si="133"/>
        <v>0</v>
      </c>
      <c r="J2451" s="1081"/>
      <c r="K2451" s="1081"/>
      <c r="L2451" s="1082"/>
      <c r="M2451" s="975">
        <v>1000</v>
      </c>
    </row>
    <row r="2452" spans="1:13" s="1083" customFormat="1" ht="25.2" hidden="1" customHeight="1">
      <c r="A2452" s="1153">
        <f t="shared" si="132"/>
        <v>0</v>
      </c>
      <c r="B2452" s="1154" t="s">
        <v>1440</v>
      </c>
      <c r="C2452" s="1154"/>
      <c r="D2452" s="1078"/>
      <c r="E2452" s="1079" t="str">
        <f>VLOOKUP($B2452,DG!A:D,DG!$B$2,)</f>
        <v>04.7002</v>
      </c>
      <c r="F2452" s="1080" t="str">
        <f>VLOOKUP($B2452,DG!A:D,DG!$C$2,)</f>
        <v>Kéo dây tiếp địa trong TBA</v>
      </c>
      <c r="G2452" s="1079" t="str">
        <f>VLOOKUP($B2452,DG!A:D,DG!$D$2,)</f>
        <v>mét</v>
      </c>
      <c r="H2452" s="1851">
        <f>H2436*I3</f>
        <v>0</v>
      </c>
      <c r="I2452" s="1259">
        <f t="shared" si="133"/>
        <v>0</v>
      </c>
      <c r="J2452" s="1081"/>
      <c r="K2452" s="1081"/>
      <c r="L2452" s="1082"/>
      <c r="M2452" s="975">
        <v>1000</v>
      </c>
    </row>
    <row r="2453" spans="1:13" s="1083" customFormat="1" ht="25.2" hidden="1" customHeight="1">
      <c r="A2453" s="1153">
        <f t="shared" si="132"/>
        <v>0</v>
      </c>
      <c r="B2453" s="1324"/>
      <c r="C2453" s="1324"/>
      <c r="D2453" s="1084">
        <f>IF(H2453&gt;0,D2436+1,D2436)</f>
        <v>0</v>
      </c>
      <c r="E2453" s="1085"/>
      <c r="F2453" s="1086" t="s">
        <v>3775</v>
      </c>
      <c r="G2453" s="1084" t="s">
        <v>2391</v>
      </c>
      <c r="H2453" s="1867">
        <f>H2364</f>
        <v>0</v>
      </c>
      <c r="I2453" s="1259">
        <f t="shared" si="133"/>
        <v>0</v>
      </c>
      <c r="J2453" s="1081"/>
      <c r="K2453" s="1081"/>
      <c r="L2453" s="1082"/>
      <c r="M2453" s="975">
        <v>1000</v>
      </c>
    </row>
    <row r="2454" spans="1:13" s="1083" customFormat="1" ht="25.2" hidden="1" customHeight="1">
      <c r="A2454" s="1153">
        <f t="shared" si="132"/>
        <v>0</v>
      </c>
      <c r="B2454" s="1324"/>
      <c r="C2454" s="1324"/>
      <c r="D2454" s="1078"/>
      <c r="E2454" s="1088"/>
      <c r="F2454" s="1367" t="s">
        <v>2285</v>
      </c>
      <c r="G2454" s="1090"/>
      <c r="H2454" s="1851"/>
      <c r="I2454" s="1259">
        <f t="shared" si="133"/>
        <v>0</v>
      </c>
      <c r="J2454" s="1081"/>
      <c r="K2454" s="1081"/>
      <c r="L2454" s="1082"/>
      <c r="M2454" s="975">
        <v>1000</v>
      </c>
    </row>
    <row r="2455" spans="1:13" s="1083" customFormat="1" ht="25.2" hidden="1" customHeight="1">
      <c r="A2455" s="1153">
        <f t="shared" si="132"/>
        <v>0</v>
      </c>
      <c r="B2455" s="1362" t="s">
        <v>1192</v>
      </c>
      <c r="C2455" s="1362"/>
      <c r="D2455" s="1090"/>
      <c r="E2455" s="1091" t="str">
        <f>VLOOKUP($B2455,DG!A:D,DG!$B$2,)</f>
        <v>05.1002</v>
      </c>
      <c r="F2455" s="1092" t="str">
        <f>VLOOKUP($B2455,DG!A:D,DG!$C$2,)</f>
        <v>Tủ CB trạm 3 pha + khoá + bulon</v>
      </c>
      <c r="G2455" s="1091" t="str">
        <f>VLOOKUP($B2455,DG!A:D,DG!$D$2,)</f>
        <v>cái</v>
      </c>
      <c r="H2455" s="1851">
        <f>H2453</f>
        <v>0</v>
      </c>
      <c r="I2455" s="1259">
        <f t="shared" si="133"/>
        <v>0</v>
      </c>
      <c r="J2455" s="1081"/>
      <c r="K2455" s="1081"/>
      <c r="L2455" s="1082"/>
      <c r="M2455" s="975">
        <v>1000</v>
      </c>
    </row>
    <row r="2456" spans="1:13" s="1083" customFormat="1" ht="25.2" hidden="1" customHeight="1">
      <c r="A2456" s="1153">
        <f t="shared" si="132"/>
        <v>0</v>
      </c>
      <c r="B2456" s="1324" t="s">
        <v>1538</v>
      </c>
      <c r="C2456" s="1324"/>
      <c r="D2456" s="1078"/>
      <c r="E2456" s="1091">
        <f>VLOOKUP($B2456,DG!A:D,DG!$B$2,)</f>
        <v>0</v>
      </c>
      <c r="F2456" s="1092" t="str">
        <f>VLOOKUP($B2456,DG!A:D,DG!$C$2,)</f>
        <v>Giá nới + Thanh cái tủ CB</v>
      </c>
      <c r="G2456" s="1091" t="str">
        <f>VLOOKUP($B2456,DG!A:D,DG!$D$2,)</f>
        <v>bộ</v>
      </c>
      <c r="H2456" s="1868">
        <f>H2453</f>
        <v>0</v>
      </c>
      <c r="I2456" s="1259">
        <f t="shared" si="133"/>
        <v>0</v>
      </c>
      <c r="J2456" s="1081"/>
      <c r="K2456" s="1081"/>
      <c r="L2456" s="1082"/>
      <c r="M2456" s="975">
        <v>1000</v>
      </c>
    </row>
    <row r="2457" spans="1:13" s="1083" customFormat="1" ht="25.2" hidden="1" customHeight="1">
      <c r="A2457" s="1153">
        <f t="shared" si="132"/>
        <v>0</v>
      </c>
      <c r="B2457" s="1324" t="s">
        <v>880</v>
      </c>
      <c r="C2457" s="1324"/>
      <c r="D2457" s="1078"/>
      <c r="E2457" s="1091">
        <f>VLOOKUP($B2457,DG!A:D,DG!$B$2,)</f>
        <v>0</v>
      </c>
      <c r="F2457" s="1092" t="str">
        <f>VLOOKUP($B2457,DG!A:D,DG!$C$2,)</f>
        <v xml:space="preserve">Bakelit 550x450 dầy 10mm </v>
      </c>
      <c r="G2457" s="1091" t="str">
        <f>VLOOKUP($B2457,DG!A:D,DG!$D$2,)</f>
        <v>cái</v>
      </c>
      <c r="H2457" s="1868">
        <f>H2453*1</f>
        <v>0</v>
      </c>
      <c r="I2457" s="1259">
        <f t="shared" si="133"/>
        <v>0</v>
      </c>
      <c r="J2457" s="1081"/>
      <c r="K2457" s="1081"/>
      <c r="L2457" s="1082"/>
      <c r="M2457" s="975">
        <v>1000</v>
      </c>
    </row>
    <row r="2458" spans="1:13" s="1083" customFormat="1" ht="25.2" hidden="1" customHeight="1">
      <c r="A2458" s="1153">
        <f t="shared" ref="A2458:A2521" si="134">IF(I2458&gt;0,1,0)</f>
        <v>0</v>
      </c>
      <c r="B2458" s="1324" t="s">
        <v>289</v>
      </c>
      <c r="C2458" s="1324"/>
      <c r="D2458" s="1090"/>
      <c r="E2458" s="1091" t="str">
        <f>VLOOKUP($B2458,DG!A:D,DG!$B$2,)</f>
        <v>06.3191</v>
      </c>
      <c r="F2458" s="1092" t="str">
        <f>VLOOKUP($B2458,DG!A:D,DG!$C$2,)</f>
        <v>Bảng tên trạm, bảng báo nguy hiểm + đinh vít</v>
      </c>
      <c r="G2458" s="1091" t="str">
        <f>VLOOKUP($B2458,DG!A:D,DG!$D$2,)</f>
        <v>bộ</v>
      </c>
      <c r="H2458" s="1851">
        <f>H2453</f>
        <v>0</v>
      </c>
      <c r="I2458" s="1259">
        <f t="shared" si="133"/>
        <v>0</v>
      </c>
      <c r="J2458" s="1081"/>
      <c r="K2458" s="1081"/>
      <c r="L2458" s="1082"/>
      <c r="M2458" s="975">
        <v>1000</v>
      </c>
    </row>
    <row r="2459" spans="1:13" s="1083" customFormat="1" ht="25.2" hidden="1" customHeight="1">
      <c r="A2459" s="1153">
        <f t="shared" si="134"/>
        <v>0</v>
      </c>
      <c r="B2459" s="1324"/>
      <c r="C2459" s="1324"/>
      <c r="D2459" s="1084">
        <f>IF(H2459&gt;0,D2453+1,D2453)</f>
        <v>0</v>
      </c>
      <c r="E2459" s="1085"/>
      <c r="F2459" s="1086" t="s">
        <v>3776</v>
      </c>
      <c r="G2459" s="1084" t="s">
        <v>2538</v>
      </c>
      <c r="H2459" s="1867"/>
      <c r="I2459" s="1259">
        <f t="shared" si="133"/>
        <v>0</v>
      </c>
      <c r="J2459" s="1081"/>
      <c r="K2459" s="1081"/>
      <c r="L2459" s="1082"/>
      <c r="M2459" s="975">
        <v>1000</v>
      </c>
    </row>
    <row r="2460" spans="1:13" s="1083" customFormat="1" ht="25.2" hidden="1" customHeight="1">
      <c r="A2460" s="1153">
        <f t="shared" si="134"/>
        <v>0</v>
      </c>
      <c r="B2460" s="1324"/>
      <c r="C2460" s="1324"/>
      <c r="D2460" s="1078"/>
      <c r="E2460" s="1088"/>
      <c r="F2460" s="1367" t="s">
        <v>2285</v>
      </c>
      <c r="G2460" s="1090"/>
      <c r="H2460" s="1851"/>
      <c r="I2460" s="1259">
        <f t="shared" si="133"/>
        <v>0</v>
      </c>
      <c r="J2460" s="1081"/>
      <c r="K2460" s="1081"/>
      <c r="L2460" s="1082"/>
      <c r="M2460" s="975">
        <v>1000</v>
      </c>
    </row>
    <row r="2461" spans="1:13" s="1083" customFormat="1" ht="25.2" hidden="1" customHeight="1">
      <c r="A2461" s="1153">
        <f t="shared" si="134"/>
        <v>0</v>
      </c>
      <c r="B2461" s="1326" t="s">
        <v>4440</v>
      </c>
      <c r="C2461" s="1326"/>
      <c r="D2461" s="1090"/>
      <c r="E2461" s="1091">
        <f>VLOOKUP($B2461,DG!A:D,DG!$B$2,)</f>
        <v>0</v>
      </c>
      <c r="F2461" s="1108" t="str">
        <f>VLOOKUP($B2461,DG!A:D,DG!$C$2,)&amp;": 0,38m3/m"</f>
        <v>Cát vàng: 0,38m3/m</v>
      </c>
      <c r="G2461" s="1091" t="str">
        <f>VLOOKUP($B2461,DG!A:D,DG!$D$2,)</f>
        <v>m3</v>
      </c>
      <c r="H2461" s="1851">
        <f>H2459*0.38</f>
        <v>0</v>
      </c>
      <c r="I2461" s="1259">
        <f t="shared" si="133"/>
        <v>0</v>
      </c>
      <c r="J2461" s="1081"/>
      <c r="K2461" s="1081"/>
      <c r="L2461" s="1082"/>
      <c r="M2461" s="975">
        <v>1000</v>
      </c>
    </row>
    <row r="2462" spans="1:13" s="1083" customFormat="1" ht="25.2" hidden="1" customHeight="1">
      <c r="A2462" s="1153">
        <f t="shared" si="134"/>
        <v>0</v>
      </c>
      <c r="B2462" s="1326" t="s">
        <v>867</v>
      </c>
      <c r="C2462" s="1326"/>
      <c r="D2462" s="1090"/>
      <c r="E2462" s="1091">
        <f>VLOOKUP($B2462,DG!A:D,DG!$B$2,)</f>
        <v>0</v>
      </c>
      <c r="F2462" s="1108" t="str">
        <f>VLOOKUP($B2462,DG!A:D,DG!$C$2,)&amp;": 0,12m3/m"</f>
        <v>Đá 1x2: 0,12m3/m</v>
      </c>
      <c r="G2462" s="1091" t="str">
        <f>VLOOKUP($B2462,DG!A:D,DG!$D$2,)</f>
        <v>m3</v>
      </c>
      <c r="H2462" s="1851">
        <f>0.12*H2459*0</f>
        <v>0</v>
      </c>
      <c r="I2462" s="1259">
        <f t="shared" si="133"/>
        <v>0</v>
      </c>
      <c r="J2462" s="1081"/>
      <c r="K2462" s="1081"/>
      <c r="L2462" s="1082"/>
      <c r="M2462" s="975">
        <v>1000</v>
      </c>
    </row>
    <row r="2463" spans="1:13" s="1083" customFormat="1" ht="25.2" hidden="1" customHeight="1">
      <c r="A2463" s="1153">
        <f t="shared" si="134"/>
        <v>0</v>
      </c>
      <c r="B2463" s="1326" t="s">
        <v>1679</v>
      </c>
      <c r="C2463" s="1326"/>
      <c r="D2463" s="1090"/>
      <c r="E2463" s="1091">
        <f>VLOOKUP($B2463,DG!A:D,DG!$B$2,)</f>
        <v>0</v>
      </c>
      <c r="F2463" s="1108" t="str">
        <f>VLOOKUP($B2463,DG!A:D,DG!$C$2,)&amp;": 3,3vieân/m"</f>
        <v>Gạch tàu: 3,3vieân/m</v>
      </c>
      <c r="G2463" s="1091" t="str">
        <f>VLOOKUP($B2463,DG!A:D,DG!$D$2,)</f>
        <v>viên</v>
      </c>
      <c r="H2463" s="1851">
        <f>3.3*H2459</f>
        <v>0</v>
      </c>
      <c r="I2463" s="1259">
        <f t="shared" si="133"/>
        <v>0</v>
      </c>
      <c r="J2463" s="1081"/>
      <c r="K2463" s="1081"/>
      <c r="L2463" s="1082"/>
      <c r="M2463" s="975">
        <v>1000</v>
      </c>
    </row>
    <row r="2464" spans="1:13" s="1083" customFormat="1" ht="25.2" hidden="1" customHeight="1">
      <c r="A2464" s="1153">
        <f t="shared" si="134"/>
        <v>0</v>
      </c>
      <c r="B2464" s="1326" t="s">
        <v>1680</v>
      </c>
      <c r="C2464" s="1326"/>
      <c r="D2464" s="1090"/>
      <c r="E2464" s="1091">
        <f>VLOOKUP($B2464,DG!A:D,DG!$B$2,)</f>
        <v>0</v>
      </c>
      <c r="F2464" s="1108" t="str">
        <f>VLOOKUP($B2464,DG!A:D,DG!$C$2,)&amp;": 0,4m2/m"</f>
        <v>Tấm nilông màu cảnh báo: 0,4m2/m</v>
      </c>
      <c r="G2464" s="1091" t="str">
        <f>VLOOKUP($B2464,DG!A:D,DG!$D$2,)</f>
        <v>m2</v>
      </c>
      <c r="H2464" s="1851">
        <f>0.4*H2459</f>
        <v>0</v>
      </c>
      <c r="I2464" s="1259">
        <f t="shared" si="133"/>
        <v>0</v>
      </c>
      <c r="J2464" s="1081"/>
      <c r="K2464" s="1081"/>
      <c r="L2464" s="1082"/>
      <c r="M2464" s="975">
        <v>1000</v>
      </c>
    </row>
    <row r="2465" spans="1:14" s="1083" customFormat="1" ht="25.2" hidden="1" customHeight="1">
      <c r="A2465" s="1153">
        <f t="shared" si="134"/>
        <v>0</v>
      </c>
      <c r="B2465" s="1326" t="s">
        <v>1521</v>
      </c>
      <c r="C2465" s="1326"/>
      <c r="D2465" s="1078"/>
      <c r="E2465" s="1091">
        <f>VLOOKUP($B2465,DG!A:D,DG!$B$2,)</f>
        <v>0</v>
      </c>
      <c r="F2465" s="1108" t="str">
        <f>VLOOKUP($B2465,DG!A:D,DG!$C$2,)</f>
        <v>Ống PVC D140x6,7mm</v>
      </c>
      <c r="G2465" s="1091" t="str">
        <f>VLOOKUP($B2465,DG!A:D,DG!$D$2,)</f>
        <v>m</v>
      </c>
      <c r="H2465" s="1851">
        <f>1*H2459</f>
        <v>0</v>
      </c>
      <c r="I2465" s="1259">
        <f t="shared" si="133"/>
        <v>0</v>
      </c>
      <c r="J2465" s="1081"/>
      <c r="K2465" s="1081"/>
      <c r="L2465" s="1082"/>
      <c r="M2465" s="975">
        <v>1000</v>
      </c>
    </row>
    <row r="2466" spans="1:14" s="1083" customFormat="1" ht="25.2" hidden="1" customHeight="1">
      <c r="A2466" s="1153">
        <f t="shared" si="134"/>
        <v>0</v>
      </c>
      <c r="B2466" s="1326" t="s">
        <v>1682</v>
      </c>
      <c r="C2466" s="1326"/>
      <c r="D2466" s="1090"/>
      <c r="E2466" s="1091" t="str">
        <f>VLOOKUP($B2466,DG!A:D,DG!$B$2,)</f>
        <v>03.7000</v>
      </c>
      <c r="F2466" s="1108" t="str">
        <f>VLOOKUP($B2466,DG!A:D,DG!$C$2,)&amp;" + ñaép ñaù"</f>
        <v>Đắp cát  + ñaép ñaù</v>
      </c>
      <c r="G2466" s="1091" t="str">
        <f>VLOOKUP($B2466,DG!A:D,DG!$D$2,)</f>
        <v>m3</v>
      </c>
      <c r="H2466" s="1851">
        <f>H2461+H2462</f>
        <v>0</v>
      </c>
      <c r="I2466" s="1259">
        <f t="shared" si="133"/>
        <v>0</v>
      </c>
      <c r="J2466" s="1081"/>
      <c r="K2466" s="1081"/>
      <c r="L2466" s="1082"/>
      <c r="M2466" s="975">
        <v>1000</v>
      </c>
    </row>
    <row r="2467" spans="1:14" s="1083" customFormat="1" ht="25.2" hidden="1" customHeight="1">
      <c r="A2467" s="1153">
        <f t="shared" si="134"/>
        <v>0</v>
      </c>
      <c r="B2467" s="1326" t="s">
        <v>144</v>
      </c>
      <c r="C2467" s="1326"/>
      <c r="D2467" s="1090"/>
      <c r="E2467" s="1091" t="str">
        <f>VLOOKUP($B2467,DG!A:D,DG!$B$2,)</f>
        <v>03.3103</v>
      </c>
      <c r="F2467" s="1108" t="str">
        <f>VLOOKUP($B2467,DG!A:D,DG!$C$2,)&amp;" : 0,48m3/m"</f>
        <v>Đào mương cáp ngầm đất cấp 3 : 0,48m3/m</v>
      </c>
      <c r="G2467" s="1091" t="str">
        <f>VLOOKUP($B2467,DG!A:D,DG!$D$2,)</f>
        <v>m3</v>
      </c>
      <c r="H2467" s="1851">
        <f>H2459*0.48</f>
        <v>0</v>
      </c>
      <c r="I2467" s="1259">
        <f t="shared" si="133"/>
        <v>0</v>
      </c>
      <c r="J2467" s="1081"/>
      <c r="K2467" s="1081"/>
      <c r="L2467" s="1082"/>
      <c r="M2467" s="975">
        <v>1000</v>
      </c>
    </row>
    <row r="2468" spans="1:14" s="1083" customFormat="1" ht="25.2" hidden="1" customHeight="1">
      <c r="A2468" s="1153">
        <f t="shared" si="134"/>
        <v>0</v>
      </c>
      <c r="B2468" s="1326" t="s">
        <v>529</v>
      </c>
      <c r="C2468" s="1326"/>
      <c r="D2468" s="1090"/>
      <c r="E2468" s="1091" t="str">
        <f>VLOOKUP($B2468,DG!A:D,DG!$B$2,)</f>
        <v>03.3203</v>
      </c>
      <c r="F2468" s="1108" t="str">
        <f>VLOOKUP($B2468,DG!A:D,DG!$C$2,)&amp;" : 0,16m3/m"</f>
        <v>Đắp đất mương cáp ngầm, đất cấp 3 : 0,16m3/m</v>
      </c>
      <c r="G2468" s="1091" t="str">
        <f>VLOOKUP($B2468,DG!A:D,DG!$D$2,)</f>
        <v>m3</v>
      </c>
      <c r="H2468" s="1851">
        <f>0.16*H2459</f>
        <v>0</v>
      </c>
      <c r="I2468" s="1259">
        <f t="shared" si="133"/>
        <v>0</v>
      </c>
      <c r="J2468" s="1081"/>
      <c r="K2468" s="1081"/>
      <c r="L2468" s="1082"/>
      <c r="M2468" s="975">
        <v>1000</v>
      </c>
      <c r="N2468" s="1133">
        <v>0.47499999999999998</v>
      </c>
    </row>
    <row r="2469" spans="1:14" s="1083" customFormat="1" ht="25.2" hidden="1" customHeight="1">
      <c r="A2469" s="1153">
        <f t="shared" si="134"/>
        <v>0</v>
      </c>
      <c r="B2469" s="1324"/>
      <c r="C2469" s="1324"/>
      <c r="D2469" s="1084">
        <f>IF(H2469&gt;0,D2459+1,D2459)</f>
        <v>0</v>
      </c>
      <c r="E2469" s="1085"/>
      <c r="F2469" s="1086" t="s">
        <v>3777</v>
      </c>
      <c r="G2469" s="1084" t="s">
        <v>2391</v>
      </c>
      <c r="H2469" s="1867">
        <f>H2478</f>
        <v>0</v>
      </c>
      <c r="I2469" s="1259">
        <f t="shared" si="133"/>
        <v>0</v>
      </c>
      <c r="J2469" s="1081"/>
      <c r="K2469" s="1081"/>
      <c r="L2469" s="1082"/>
      <c r="M2469" s="975">
        <v>1000</v>
      </c>
      <c r="N2469" s="1133">
        <v>0.88100000000000001</v>
      </c>
    </row>
    <row r="2470" spans="1:14" s="1083" customFormat="1" ht="25.2" hidden="1" customHeight="1">
      <c r="A2470" s="1153">
        <f t="shared" si="134"/>
        <v>0</v>
      </c>
      <c r="B2470" s="1324"/>
      <c r="C2470" s="1324"/>
      <c r="D2470" s="1078"/>
      <c r="E2470" s="1088"/>
      <c r="F2470" s="1367" t="s">
        <v>2285</v>
      </c>
      <c r="G2470" s="1090"/>
      <c r="H2470" s="1851"/>
      <c r="I2470" s="1259">
        <f t="shared" si="133"/>
        <v>0</v>
      </c>
      <c r="J2470" s="1081"/>
      <c r="K2470" s="1081"/>
      <c r="L2470" s="1082"/>
      <c r="M2470" s="975">
        <v>1000</v>
      </c>
    </row>
    <row r="2471" spans="1:14" s="1083" customFormat="1" ht="25.2" hidden="1" customHeight="1">
      <c r="A2471" s="1153">
        <f t="shared" si="134"/>
        <v>0</v>
      </c>
      <c r="B2471" s="1324" t="s">
        <v>623</v>
      </c>
      <c r="C2471" s="1324"/>
      <c r="D2471" s="1090"/>
      <c r="E2471" s="1091" t="str">
        <f>VLOOKUP($B2471,DG!A:D,DG!$B$2,)</f>
        <v>07.2204</v>
      </c>
      <c r="F2471" s="1092" t="str">
        <f>VLOOKUP($B2471,DG!A:D,DG!$C$2,)</f>
        <v>ÔÁng sắt tráng kẽm D140</v>
      </c>
      <c r="G2471" s="1091" t="str">
        <f>VLOOKUP($B2471,DG!A:D,DG!$D$2,)</f>
        <v>mét</v>
      </c>
      <c r="H2471" s="1851">
        <f>H2469*4</f>
        <v>0</v>
      </c>
      <c r="I2471" s="1259">
        <f t="shared" si="133"/>
        <v>0</v>
      </c>
      <c r="J2471" s="1081"/>
      <c r="K2471" s="1081"/>
      <c r="L2471" s="1082"/>
      <c r="M2471" s="975">
        <v>1000</v>
      </c>
    </row>
    <row r="2472" spans="1:14" s="1083" customFormat="1" ht="25.2" hidden="1" customHeight="1">
      <c r="A2472" s="1153">
        <f t="shared" si="134"/>
        <v>0</v>
      </c>
      <c r="B2472" s="1326" t="s">
        <v>473</v>
      </c>
      <c r="C2472" s="1326"/>
      <c r="D2472" s="1078"/>
      <c r="E2472" s="1091">
        <f>VLOOKUP($B2472,DG!A:D,DG!$B$2,)</f>
        <v>0</v>
      </c>
      <c r="F2472" s="1092" t="str">
        <f>VLOOKUP($B2472,DG!A:D,DG!$C$2,)</f>
        <v>Co sừng 90 độ PVC 140</v>
      </c>
      <c r="G2472" s="1091" t="str">
        <f>VLOOKUP($B2472,DG!A:D,DG!$D$2,)</f>
        <v>cái</v>
      </c>
      <c r="H2472" s="1851">
        <f>H2469*1</f>
        <v>0</v>
      </c>
      <c r="I2472" s="1259">
        <f t="shared" si="133"/>
        <v>0</v>
      </c>
      <c r="J2472" s="1081"/>
      <c r="K2472" s="1081"/>
      <c r="L2472" s="1082"/>
      <c r="M2472" s="975">
        <v>1000</v>
      </c>
    </row>
    <row r="2473" spans="1:14" s="1083" customFormat="1" ht="25.2" hidden="1" customHeight="1">
      <c r="A2473" s="1153">
        <f t="shared" si="134"/>
        <v>0</v>
      </c>
      <c r="B2473" s="1324" t="s">
        <v>120</v>
      </c>
      <c r="C2473" s="1324"/>
      <c r="D2473" s="1090"/>
      <c r="E2473" s="1091" t="str">
        <f>VLOOKUP($B2473,DG!A:D,DG!$B$2,)</f>
        <v>06.3231</v>
      </c>
      <c r="F2473" s="1092" t="str">
        <f>VLOOKUP($B2473,DG!A:D,DG!$C$2,)</f>
        <v>Cổ dê giữ ống STK D140 vào tường+Boulon+long đền+tắc ke sắt</v>
      </c>
      <c r="G2473" s="1091" t="str">
        <f>VLOOKUP($B2473,DG!A:D,DG!$D$2,)</f>
        <v>bộ</v>
      </c>
      <c r="H2473" s="1851">
        <f>H2469*2</f>
        <v>0</v>
      </c>
      <c r="I2473" s="1259">
        <f t="shared" si="133"/>
        <v>0</v>
      </c>
      <c r="J2473" s="1081"/>
      <c r="K2473" s="1081"/>
      <c r="L2473" s="1082"/>
      <c r="M2473" s="975">
        <v>1000</v>
      </c>
    </row>
    <row r="2474" spans="1:14" s="1083" customFormat="1" ht="25.2" hidden="1" customHeight="1">
      <c r="A2474" s="1153">
        <f t="shared" si="134"/>
        <v>0</v>
      </c>
      <c r="B2474" s="1154" t="s">
        <v>1412</v>
      </c>
      <c r="C2474" s="1154"/>
      <c r="D2474" s="1090"/>
      <c r="E2474" s="1091">
        <f>VLOOKUP($B2474,DG!A:D,DG!$B$2,)</f>
        <v>0</v>
      </c>
      <c r="F2474" s="1092" t="str">
        <f>VLOOKUP($B2474,DG!A:D,DG!$C$2,)</f>
        <v>Giá đỡ cáp ngầm (V63x6)</v>
      </c>
      <c r="G2474" s="1091" t="str">
        <f>VLOOKUP($B2474,DG!A:D,DG!$D$2,)</f>
        <v>bộ</v>
      </c>
      <c r="H2474" s="1851">
        <f>H2469</f>
        <v>0</v>
      </c>
      <c r="I2474" s="1259">
        <f t="shared" si="133"/>
        <v>0</v>
      </c>
      <c r="J2474" s="1081"/>
      <c r="K2474" s="1081"/>
      <c r="L2474" s="1082"/>
      <c r="M2474" s="975">
        <v>1000</v>
      </c>
    </row>
    <row r="2475" spans="1:14" s="1083" customFormat="1" ht="25.2" hidden="1" customHeight="1">
      <c r="A2475" s="1153">
        <f t="shared" si="134"/>
        <v>0</v>
      </c>
      <c r="B2475" s="1154" t="s">
        <v>984</v>
      </c>
      <c r="C2475" s="1154"/>
      <c r="D2475" s="1090"/>
      <c r="E2475" s="1091">
        <f>VLOOKUP($B2475,DG!A:D,DG!$B$2,)</f>
        <v>0</v>
      </c>
      <c r="F2475" s="1092" t="str">
        <f>VLOOKUP($B2475,DG!A:D,DG!$C$2,)</f>
        <v>Giá đỡ cáp trung thế</v>
      </c>
      <c r="G2475" s="1091" t="str">
        <f>VLOOKUP($B2475,DG!A:D,DG!$D$2,)</f>
        <v>bộ</v>
      </c>
      <c r="H2475" s="1851">
        <f>H2469*0</f>
        <v>0</v>
      </c>
      <c r="I2475" s="1259">
        <f t="shared" si="133"/>
        <v>0</v>
      </c>
      <c r="J2475" s="1081"/>
      <c r="K2475" s="1081"/>
      <c r="L2475" s="1082"/>
      <c r="M2475" s="975">
        <v>1000</v>
      </c>
    </row>
    <row r="2476" spans="1:14" s="1083" customFormat="1" ht="25.2" hidden="1" customHeight="1">
      <c r="A2476" s="1153">
        <f t="shared" si="134"/>
        <v>0</v>
      </c>
      <c r="B2476" s="1324" t="s">
        <v>1413</v>
      </c>
      <c r="C2476" s="1324"/>
      <c r="D2476" s="1078"/>
      <c r="E2476" s="1091" t="str">
        <f>VLOOKUP($B2476,DG!A:D,DG!$B$2,)</f>
        <v>05.6101</v>
      </c>
      <c r="F2476" s="1092" t="str">
        <f>VLOOKUP($B2476,DG!A:D,DG!$C$2,)</f>
        <v>Lắp Giá đỡ cáp</v>
      </c>
      <c r="G2476" s="1091" t="str">
        <f>VLOOKUP($B2476,DG!A:D,DG!$D$2,)</f>
        <v>bộ</v>
      </c>
      <c r="H2476" s="1851">
        <f>H2474</f>
        <v>0</v>
      </c>
      <c r="I2476" s="1259">
        <f t="shared" si="133"/>
        <v>0</v>
      </c>
      <c r="J2476" s="1081"/>
      <c r="K2476" s="1081"/>
      <c r="L2476" s="1082"/>
      <c r="M2476" s="975">
        <v>1000</v>
      </c>
    </row>
    <row r="2477" spans="1:14" s="1083" customFormat="1" ht="25.2" hidden="1" customHeight="1">
      <c r="A2477" s="1153">
        <f t="shared" si="134"/>
        <v>0</v>
      </c>
      <c r="B2477" s="1324" t="s">
        <v>289</v>
      </c>
      <c r="C2477" s="1324"/>
      <c r="D2477" s="1090"/>
      <c r="E2477" s="1091" t="str">
        <f>VLOOKUP($B2477,DG!A:D,DG!$B$2,)</f>
        <v>06.3191</v>
      </c>
      <c r="F2477" s="1092" t="str">
        <f>VLOOKUP($B2477,DG!A:D,DG!$C$2,)</f>
        <v>Bảng tên trạm, bảng báo nguy hiểm + đinh vít</v>
      </c>
      <c r="G2477" s="1091" t="str">
        <f>VLOOKUP($B2477,DG!A:D,DG!$D$2,)</f>
        <v>bộ</v>
      </c>
      <c r="H2477" s="1851">
        <f>H2469</f>
        <v>0</v>
      </c>
      <c r="I2477" s="1259">
        <f t="shared" si="133"/>
        <v>0</v>
      </c>
      <c r="J2477" s="1081"/>
      <c r="K2477" s="1081"/>
      <c r="L2477" s="1082"/>
      <c r="M2477" s="975">
        <v>1000</v>
      </c>
    </row>
    <row r="2478" spans="1:14" s="1083" customFormat="1" ht="25.2" hidden="1" customHeight="1">
      <c r="A2478" s="1153">
        <f t="shared" si="134"/>
        <v>0</v>
      </c>
      <c r="B2478" s="1324"/>
      <c r="C2478" s="1324"/>
      <c r="D2478" s="1084">
        <f>IF(H2478&gt;0,D2469+1,D2469)</f>
        <v>0</v>
      </c>
      <c r="E2478" s="1085"/>
      <c r="F2478" s="1094" t="s">
        <v>3758</v>
      </c>
      <c r="G2478" s="1084" t="s">
        <v>2391</v>
      </c>
      <c r="H2478" s="1867">
        <f>H2364</f>
        <v>0</v>
      </c>
      <c r="I2478" s="1259">
        <f t="shared" si="133"/>
        <v>0</v>
      </c>
      <c r="J2478" s="1081"/>
      <c r="K2478" s="1081"/>
      <c r="L2478" s="1082"/>
      <c r="M2478" s="975">
        <v>1000</v>
      </c>
    </row>
    <row r="2479" spans="1:14" s="1083" customFormat="1" ht="25.2" hidden="1" customHeight="1">
      <c r="A2479" s="1153">
        <f t="shared" si="134"/>
        <v>0</v>
      </c>
      <c r="B2479" s="1324"/>
      <c r="C2479" s="1324"/>
      <c r="D2479" s="1078"/>
      <c r="E2479" s="1088"/>
      <c r="F2479" s="1368" t="s">
        <v>2285</v>
      </c>
      <c r="G2479" s="1078"/>
      <c r="H2479" s="1868"/>
      <c r="I2479" s="1259">
        <f t="shared" si="133"/>
        <v>0</v>
      </c>
      <c r="J2479" s="1081"/>
      <c r="K2479" s="1081"/>
      <c r="L2479" s="1082"/>
      <c r="M2479" s="975">
        <v>1000</v>
      </c>
    </row>
    <row r="2480" spans="1:14" s="1083" customFormat="1" ht="25.2" hidden="1" customHeight="1">
      <c r="A2480" s="1153">
        <f t="shared" si="134"/>
        <v>0</v>
      </c>
      <c r="B2480" s="1154" t="s">
        <v>470</v>
      </c>
      <c r="C2480" s="1154"/>
      <c r="D2480" s="1090"/>
      <c r="E2480" s="1079">
        <f>VLOOKUP($B2480,DG!A:D,DG!$B$2,)</f>
        <v>0</v>
      </c>
      <c r="F2480" s="1080" t="str">
        <f>VLOOKUP($B2480,DG!A:D,DG!$C$2,)&amp;": töø trụ ño ñeám ñeán tuû LBSA"</f>
        <v>Cáp 24kV C/XLPE/DSTA/PVC3x50: töø trụ ño ñeám ñeán tuû LBSA</v>
      </c>
      <c r="G2480" s="1079" t="str">
        <f>VLOOKUP($B2480,DG!A:D,DG!$D$2,)</f>
        <v>mét</v>
      </c>
      <c r="H2480" s="1851">
        <f>(3+10)*1.02*H2478*0</f>
        <v>0</v>
      </c>
      <c r="I2480" s="1259">
        <f t="shared" si="133"/>
        <v>0</v>
      </c>
      <c r="J2480" s="1081"/>
      <c r="K2480" s="1081"/>
      <c r="L2480" s="1082"/>
      <c r="M2480" s="975">
        <v>1000</v>
      </c>
    </row>
    <row r="2481" spans="1:13" s="1083" customFormat="1" ht="25.2" hidden="1" customHeight="1">
      <c r="A2481" s="1153">
        <f t="shared" si="134"/>
        <v>0</v>
      </c>
      <c r="B2481" s="1154" t="s">
        <v>271</v>
      </c>
      <c r="C2481" s="1154"/>
      <c r="D2481" s="1090"/>
      <c r="E2481" s="1079">
        <f>VLOOKUP($B2481,DG!A:D,DG!$B$2,)</f>
        <v>0</v>
      </c>
      <c r="F2481" s="1080" t="str">
        <f>VLOOKUP($B2481,DG!A:D,DG!$C$2,)&amp;": 0,5m/pha"</f>
        <v>Cáp 24KV C/XLPE/PVC 50mm2: 0,5m/pha</v>
      </c>
      <c r="G2481" s="1079" t="str">
        <f>VLOOKUP($B2481,DG!A:D,DG!$D$2,)</f>
        <v>mét</v>
      </c>
      <c r="H2481" s="1851">
        <f>H2478*0.5*3</f>
        <v>0</v>
      </c>
      <c r="I2481" s="1259">
        <f t="shared" si="133"/>
        <v>0</v>
      </c>
      <c r="J2481" s="1081"/>
      <c r="K2481" s="1081"/>
      <c r="L2481" s="1082"/>
      <c r="M2481" s="975">
        <v>1000</v>
      </c>
    </row>
    <row r="2482" spans="1:13" s="1083" customFormat="1" ht="25.2" hidden="1" customHeight="1">
      <c r="A2482" s="1153">
        <f t="shared" si="134"/>
        <v>0</v>
      </c>
      <c r="B2482" s="1154" t="s">
        <v>1355</v>
      </c>
      <c r="C2482" s="1154"/>
      <c r="D2482" s="1090"/>
      <c r="E2482" s="1079">
        <f>VLOOKUP($B2482,DG!A:D,DG!$B$2,)</f>
        <v>0</v>
      </c>
      <c r="F2482" s="1080" t="str">
        <f>VLOOKUP($B2482,DG!A:D,DG!$C$2,)</f>
        <v>Đầu cáp ngầm 24KV 3x50mm2 outdoor</v>
      </c>
      <c r="G2482" s="1079" t="str">
        <f>VLOOKUP($B2482,DG!A:D,DG!$D$2,)</f>
        <v>cái</v>
      </c>
      <c r="H2482" s="1851">
        <f>H2478*2*0</f>
        <v>0</v>
      </c>
      <c r="I2482" s="1259">
        <f t="shared" si="133"/>
        <v>0</v>
      </c>
      <c r="J2482" s="1081"/>
      <c r="K2482" s="1081"/>
      <c r="L2482" s="1082"/>
      <c r="M2482" s="975">
        <v>1000</v>
      </c>
    </row>
    <row r="2483" spans="1:13" s="1083" customFormat="1" ht="25.2" hidden="1" customHeight="1">
      <c r="A2483" s="1153">
        <f t="shared" si="134"/>
        <v>0</v>
      </c>
      <c r="B2483" s="1154" t="s">
        <v>470</v>
      </c>
      <c r="C2483" s="1154"/>
      <c r="D2483" s="1090"/>
      <c r="E2483" s="1079">
        <f>VLOOKUP($B2483,DG!A:D,DG!$B$2,)</f>
        <v>0</v>
      </c>
      <c r="F2483" s="1080" t="str">
        <f>VLOOKUP($B2483,DG!A:D,DG!$C$2,)&amp;": töø tuû LBS ñeán MBA"</f>
        <v>Cáp 24kV C/XLPE/DSTA/PVC3x50: töø tuû LBS ñeán MBA</v>
      </c>
      <c r="G2483" s="1079" t="str">
        <f>VLOOKUP($B2483,DG!A:D,DG!$D$2,)</f>
        <v>mét</v>
      </c>
      <c r="H2483" s="1851">
        <f>(1.2+2.4)*H2478*0</f>
        <v>0</v>
      </c>
      <c r="I2483" s="1259">
        <f t="shared" ref="I2483:I2546" si="135">IF(M2483=$M$23,H2483+J2483-K2483,0)</f>
        <v>0</v>
      </c>
      <c r="J2483" s="1081"/>
      <c r="K2483" s="1081"/>
      <c r="L2483" s="1082"/>
      <c r="M2483" s="975">
        <v>1000</v>
      </c>
    </row>
    <row r="2484" spans="1:13" s="1083" customFormat="1" ht="25.2" hidden="1" customHeight="1">
      <c r="A2484" s="1153">
        <f t="shared" si="134"/>
        <v>0</v>
      </c>
      <c r="B2484" s="1154" t="s">
        <v>271</v>
      </c>
      <c r="C2484" s="1154"/>
      <c r="D2484" s="1090"/>
      <c r="E2484" s="1079">
        <f>VLOOKUP($B2484,DG!A:D,DG!$B$2,)</f>
        <v>0</v>
      </c>
      <c r="F2484" s="1080" t="str">
        <f>VLOOKUP($B2484,DG!A:D,DG!$C$2,)&amp;": töø tuû LBS ñeán MBA"</f>
        <v>Cáp 24KV C/XLPE/PVC 50mm2: töø tuû LBS ñeán MBA</v>
      </c>
      <c r="G2484" s="1079" t="str">
        <f>VLOOKUP($B2484,DG!A:D,DG!$D$2,)</f>
        <v>mét</v>
      </c>
      <c r="H2484" s="1851">
        <f>H2483*0</f>
        <v>0</v>
      </c>
      <c r="I2484" s="1259">
        <f t="shared" si="135"/>
        <v>0</v>
      </c>
      <c r="J2484" s="1081"/>
      <c r="K2484" s="1081"/>
      <c r="L2484" s="1082"/>
      <c r="M2484" s="975">
        <v>1000</v>
      </c>
    </row>
    <row r="2485" spans="1:13" s="1083" customFormat="1" ht="25.2" hidden="1" customHeight="1">
      <c r="A2485" s="1153">
        <f t="shared" si="134"/>
        <v>0</v>
      </c>
      <c r="B2485" s="1154" t="s">
        <v>1356</v>
      </c>
      <c r="C2485" s="1154"/>
      <c r="D2485" s="1090"/>
      <c r="E2485" s="1079">
        <f>VLOOKUP($B2485,DG!A:D,DG!$B$2,)</f>
        <v>0</v>
      </c>
      <c r="F2485" s="1080" t="str">
        <f>VLOOKUP($B2485,DG!A:D,DG!$C$2,)</f>
        <v>Đầu cáp ngầm 24KV 3x50mm2 indoor</v>
      </c>
      <c r="G2485" s="1079" t="str">
        <f>VLOOKUP($B2485,DG!A:D,DG!$D$2,)</f>
        <v>cái</v>
      </c>
      <c r="H2485" s="1851">
        <f>H2478*3*0</f>
        <v>0</v>
      </c>
      <c r="I2485" s="1259">
        <f t="shared" si="135"/>
        <v>0</v>
      </c>
      <c r="J2485" s="1081"/>
      <c r="K2485" s="1081"/>
      <c r="L2485" s="1082"/>
      <c r="M2485" s="975">
        <v>1000</v>
      </c>
    </row>
    <row r="2486" spans="1:13" s="1083" customFormat="1" ht="25.2" hidden="1" customHeight="1">
      <c r="A2486" s="1153">
        <f t="shared" si="134"/>
        <v>0</v>
      </c>
      <c r="B2486" s="1154" t="s">
        <v>1678</v>
      </c>
      <c r="C2486" s="1154"/>
      <c r="D2486" s="1090"/>
      <c r="E2486" s="1079" t="str">
        <f>VLOOKUP($B2486,DG!A:D,DG!$B$2,)</f>
        <v>07.4312</v>
      </c>
      <c r="F2486" s="1080" t="str">
        <f>VLOOKUP($B2486,DG!A:D,DG!$C$2,)</f>
        <v>Lắp đầu cáp trung thế 3x50mm2, 70mm2</v>
      </c>
      <c r="G2486" s="1079" t="str">
        <f>VLOOKUP($B2486,DG!A:D,DG!$D$2,)</f>
        <v>cái</v>
      </c>
      <c r="H2486" s="1851">
        <f>H2482+H2485</f>
        <v>0</v>
      </c>
      <c r="I2486" s="1259">
        <f t="shared" si="135"/>
        <v>0</v>
      </c>
      <c r="J2486" s="1081"/>
      <c r="K2486" s="1081"/>
      <c r="L2486" s="1082"/>
      <c r="M2486" s="975">
        <v>1000</v>
      </c>
    </row>
    <row r="2487" spans="1:13" s="1083" customFormat="1" ht="25.2" hidden="1" customHeight="1">
      <c r="A2487" s="1153">
        <f t="shared" si="134"/>
        <v>0</v>
      </c>
      <c r="B2487" s="1154" t="s">
        <v>1182</v>
      </c>
      <c r="C2487" s="1154"/>
      <c r="D2487" s="1090"/>
      <c r="E2487" s="1079" t="str">
        <f>VLOOKUP($B2487,DG!A:D,DG!$B$2,)</f>
        <v>07.3405</v>
      </c>
      <c r="F2487" s="1080" t="str">
        <f>VLOOKUP($B2487,DG!A:D,DG!$C$2,)</f>
        <v>Lắp cáp trong ống bảo vệ loại &lt;=6kg</v>
      </c>
      <c r="G2487" s="1079" t="str">
        <f>VLOOKUP($B2487,DG!A:D,DG!$D$2,)</f>
        <v>mét</v>
      </c>
      <c r="H2487" s="1851">
        <f>H2480+H2483</f>
        <v>0</v>
      </c>
      <c r="I2487" s="1259">
        <f t="shared" si="135"/>
        <v>0</v>
      </c>
      <c r="J2487" s="1081"/>
      <c r="K2487" s="1081"/>
      <c r="L2487" s="1082"/>
      <c r="M2487" s="975">
        <v>1000</v>
      </c>
    </row>
    <row r="2488" spans="1:13" s="1083" customFormat="1" ht="25.2" hidden="1" customHeight="1">
      <c r="A2488" s="1153">
        <f t="shared" si="134"/>
        <v>0</v>
      </c>
      <c r="B2488" s="1154" t="s">
        <v>1528</v>
      </c>
      <c r="C2488" s="1154"/>
      <c r="D2488" s="1090"/>
      <c r="E2488" s="1079" t="str">
        <f>VLOOKUP($B2488,DG!A:D,DG!$B$2,)</f>
        <v>04.4201</v>
      </c>
      <c r="F2488" s="1080" t="str">
        <f>VLOOKUP($B2488,DG!A:D,DG!$C$2,)</f>
        <v>Lắp cáp đồng xuống thiết bị D ≤ 95mm2</v>
      </c>
      <c r="G2488" s="1079" t="str">
        <f>VLOOKUP($B2488,DG!A:D,DG!$D$2,)</f>
        <v>m</v>
      </c>
      <c r="H2488" s="1851">
        <f>H2481</f>
        <v>0</v>
      </c>
      <c r="I2488" s="1259">
        <f t="shared" si="135"/>
        <v>0</v>
      </c>
      <c r="J2488" s="1081"/>
      <c r="K2488" s="1081"/>
      <c r="L2488" s="1082"/>
      <c r="M2488" s="975">
        <v>1000</v>
      </c>
    </row>
    <row r="2489" spans="1:13" s="1083" customFormat="1" ht="25.2" hidden="1" customHeight="1">
      <c r="A2489" s="1153">
        <f t="shared" si="134"/>
        <v>0</v>
      </c>
      <c r="B2489" s="1154" t="s">
        <v>1352</v>
      </c>
      <c r="C2489" s="1154"/>
      <c r="D2489" s="1090"/>
      <c r="E2489" s="1079">
        <f>VLOOKUP($B2489,DG!A:D,DG!$B$2,)</f>
        <v>0</v>
      </c>
      <c r="F2489" s="1080" t="str">
        <f>VLOOKUP($B2489,DG!A:D,DG!$C$2,)</f>
        <v>Dây rút cáp</v>
      </c>
      <c r="G2489" s="1079" t="str">
        <f>VLOOKUP($B2489,DG!A:D,DG!$D$2,)</f>
        <v>bọc</v>
      </c>
      <c r="H2489" s="1851">
        <f>H2478*2*0</f>
        <v>0</v>
      </c>
      <c r="I2489" s="1259">
        <f t="shared" si="135"/>
        <v>0</v>
      </c>
      <c r="J2489" s="1081"/>
      <c r="K2489" s="1081"/>
      <c r="L2489" s="1082"/>
      <c r="M2489" s="975">
        <v>1000</v>
      </c>
    </row>
    <row r="2490" spans="1:13" s="1083" customFormat="1" ht="25.2" hidden="1" customHeight="1">
      <c r="A2490" s="1153">
        <f t="shared" si="134"/>
        <v>0</v>
      </c>
      <c r="B2490" s="1324"/>
      <c r="C2490" s="1324"/>
      <c r="D2490" s="1084">
        <f>IF(H2490&gt;0,D2478+1,D2478)</f>
        <v>0</v>
      </c>
      <c r="E2490" s="1085"/>
      <c r="F2490" s="1094" t="s">
        <v>3745</v>
      </c>
      <c r="G2490" s="1084" t="s">
        <v>2391</v>
      </c>
      <c r="H2490" s="1867">
        <f>H2364</f>
        <v>0</v>
      </c>
      <c r="I2490" s="1259">
        <f t="shared" si="135"/>
        <v>0</v>
      </c>
      <c r="J2490" s="1081"/>
      <c r="K2490" s="1081"/>
      <c r="L2490" s="1082"/>
      <c r="M2490" s="975">
        <v>1000</v>
      </c>
    </row>
    <row r="2491" spans="1:13" s="1083" customFormat="1" ht="25.2" hidden="1" customHeight="1">
      <c r="A2491" s="1153">
        <f t="shared" si="134"/>
        <v>0</v>
      </c>
      <c r="B2491" s="1324"/>
      <c r="C2491" s="1324"/>
      <c r="D2491" s="1078"/>
      <c r="E2491" s="1088"/>
      <c r="F2491" s="1368" t="s">
        <v>2285</v>
      </c>
      <c r="G2491" s="1078"/>
      <c r="H2491" s="1868"/>
      <c r="I2491" s="1259">
        <f t="shared" si="135"/>
        <v>0</v>
      </c>
      <c r="J2491" s="1081"/>
      <c r="K2491" s="1081"/>
      <c r="L2491" s="1082"/>
      <c r="M2491" s="975">
        <v>1000</v>
      </c>
    </row>
    <row r="2492" spans="1:13" s="1083" customFormat="1" ht="25.2" hidden="1" customHeight="1">
      <c r="A2492" s="1153">
        <f t="shared" si="134"/>
        <v>0</v>
      </c>
      <c r="B2492" s="1154" t="s">
        <v>697</v>
      </c>
      <c r="C2492" s="1154"/>
      <c r="D2492" s="1090"/>
      <c r="E2492" s="1079">
        <f>VLOOKUP($B2492,DG!A:D,DG!$B$2,)</f>
        <v>0</v>
      </c>
      <c r="F2492" s="1080" t="str">
        <f>VLOOKUP($B2492,DG!A:D,DG!$C$2,)&amp;": 7m/1pha"</f>
        <v>Cáp 24KV C/XLPE/PVC 25mm2: 7m/1pha</v>
      </c>
      <c r="G2492" s="1079" t="str">
        <f>VLOOKUP($B2492,DG!A:D,DG!$D$2,)</f>
        <v>mét</v>
      </c>
      <c r="H2492" s="1851">
        <f>H2490*7*3</f>
        <v>0</v>
      </c>
      <c r="I2492" s="1259">
        <f t="shared" si="135"/>
        <v>0</v>
      </c>
      <c r="J2492" s="1081"/>
      <c r="K2492" s="1081"/>
      <c r="L2492" s="1082"/>
      <c r="M2492" s="975">
        <v>1000</v>
      </c>
    </row>
    <row r="2493" spans="1:13" s="1083" customFormat="1" ht="25.2" hidden="1" customHeight="1">
      <c r="A2493" s="1153">
        <f t="shared" si="134"/>
        <v>0</v>
      </c>
      <c r="B2493" s="1154" t="s">
        <v>1115</v>
      </c>
      <c r="C2493" s="1154"/>
      <c r="D2493" s="1090"/>
      <c r="E2493" s="1079">
        <f>VLOOKUP($B2493,DG!A:D,DG!$B$2,)</f>
        <v>0</v>
      </c>
      <c r="F2493" s="1080" t="str">
        <f>VLOOKUP($B2493,DG!A:D,DG!$C$2,)</f>
        <v>Kẹp ép cỡ dây 25mm2</v>
      </c>
      <c r="G2493" s="1079" t="str">
        <f>VLOOKUP($B2493,DG!A:D,DG!$D$2,)</f>
        <v>cái</v>
      </c>
      <c r="H2493" s="1851">
        <f>H2490*3*2</f>
        <v>0</v>
      </c>
      <c r="I2493" s="1259">
        <f t="shared" si="135"/>
        <v>0</v>
      </c>
      <c r="J2493" s="1081"/>
      <c r="K2493" s="1081"/>
      <c r="L2493" s="1082"/>
      <c r="M2493" s="975">
        <v>1000</v>
      </c>
    </row>
    <row r="2494" spans="1:13" s="1083" customFormat="1" ht="25.2" hidden="1" customHeight="1">
      <c r="A2494" s="1153">
        <f t="shared" si="134"/>
        <v>0</v>
      </c>
      <c r="B2494" s="1154" t="s">
        <v>1482</v>
      </c>
      <c r="C2494" s="1154"/>
      <c r="D2494" s="1090"/>
      <c r="E2494" s="1079" t="str">
        <f>VLOOKUP($B2494,DG!A:D,DG!$B$2,)</f>
        <v>04.3007</v>
      </c>
      <c r="F2494" s="1080" t="str">
        <f>VLOOKUP($B2494,DG!A:D,DG!$C$2,)</f>
        <v>Kẹp quai 2/0</v>
      </c>
      <c r="G2494" s="1079" t="str">
        <f>VLOOKUP($B2494,DG!A:D,DG!$D$2,)</f>
        <v>cái</v>
      </c>
      <c r="H2494" s="1851">
        <f>H2490*3*0</f>
        <v>0</v>
      </c>
      <c r="I2494" s="1259">
        <f t="shared" si="135"/>
        <v>0</v>
      </c>
      <c r="J2494" s="1081"/>
      <c r="K2494" s="1081"/>
      <c r="L2494" s="1082"/>
      <c r="M2494" s="975">
        <v>1000</v>
      </c>
    </row>
    <row r="2495" spans="1:13" s="1083" customFormat="1" ht="25.2" hidden="1" customHeight="1">
      <c r="A2495" s="1153">
        <f t="shared" si="134"/>
        <v>0</v>
      </c>
      <c r="B2495" s="1154" t="s">
        <v>1480</v>
      </c>
      <c r="C2495" s="1154"/>
      <c r="D2495" s="1090"/>
      <c r="E2495" s="1079" t="str">
        <f>VLOOKUP($B2495,DG!A:D,DG!$B$2,)</f>
        <v>04.3007</v>
      </c>
      <c r="F2495" s="1080" t="str">
        <f>VLOOKUP($B2495,DG!A:D,DG!$C$2,)&amp;": "</f>
        <v xml:space="preserve">Kẹp hotline 2/0: </v>
      </c>
      <c r="G2495" s="1079" t="str">
        <f>VLOOKUP($B2495,DG!A:D,DG!$D$2,)</f>
        <v>cái</v>
      </c>
      <c r="H2495" s="1851">
        <f>H2494</f>
        <v>0</v>
      </c>
      <c r="I2495" s="1259">
        <f t="shared" si="135"/>
        <v>0</v>
      </c>
      <c r="J2495" s="1081"/>
      <c r="K2495" s="1081"/>
      <c r="L2495" s="1082"/>
      <c r="M2495" s="975">
        <v>1000</v>
      </c>
    </row>
    <row r="2496" spans="1:13" s="1083" customFormat="1" ht="25.2" hidden="1" customHeight="1">
      <c r="A2496" s="1153">
        <f t="shared" si="134"/>
        <v>0</v>
      </c>
      <c r="B2496" s="1154" t="s">
        <v>696</v>
      </c>
      <c r="C2496" s="1154"/>
      <c r="D2496" s="1110"/>
      <c r="E2496" s="1079">
        <f>VLOOKUP($B2496,DG!A:D,DG!$B$2,)</f>
        <v>0</v>
      </c>
      <c r="F2496" s="1080" t="str">
        <f>VLOOKUP($B2496,DG!A:D,DG!$C$2,)</f>
        <v xml:space="preserve">Sứ đứng 24KV </v>
      </c>
      <c r="G2496" s="1079" t="str">
        <f>VLOOKUP($B2496,DG!A:D,DG!$D$2,)</f>
        <v>cái</v>
      </c>
      <c r="H2496" s="1851">
        <f>+H2490*3*4</f>
        <v>0</v>
      </c>
      <c r="I2496" s="1259">
        <f t="shared" si="135"/>
        <v>0</v>
      </c>
      <c r="J2496" s="1081"/>
      <c r="K2496" s="1081"/>
      <c r="L2496" s="1082"/>
      <c r="M2496" s="975">
        <v>1000</v>
      </c>
    </row>
    <row r="2497" spans="1:14" s="1083" customFormat="1" ht="25.2" hidden="1" customHeight="1">
      <c r="A2497" s="1153">
        <f t="shared" si="134"/>
        <v>0</v>
      </c>
      <c r="B2497" s="1154" t="s">
        <v>1268</v>
      </c>
      <c r="C2497" s="1154"/>
      <c r="D2497" s="1090"/>
      <c r="E2497" s="1079">
        <f>VLOOKUP($B2497,DG!A:D,DG!$B$2,)</f>
        <v>0</v>
      </c>
      <c r="F2497" s="1080" t="str">
        <f>VLOOKUP($B2497,DG!A:D,DG!$C$2,)</f>
        <v>Chân sứ đứng D20</v>
      </c>
      <c r="G2497" s="1079" t="str">
        <f>VLOOKUP($B2497,DG!A:D,DG!$D$2,)</f>
        <v>cái</v>
      </c>
      <c r="H2497" s="1851">
        <f>+H2496</f>
        <v>0</v>
      </c>
      <c r="I2497" s="1259">
        <f t="shared" si="135"/>
        <v>0</v>
      </c>
      <c r="J2497" s="1081"/>
      <c r="K2497" s="1081"/>
      <c r="L2497" s="1082"/>
      <c r="M2497" s="975">
        <v>1000</v>
      </c>
    </row>
    <row r="2498" spans="1:14" s="1083" customFormat="1" ht="25.2" hidden="1" customHeight="1">
      <c r="A2498" s="1153">
        <f t="shared" si="134"/>
        <v>0</v>
      </c>
      <c r="B2498" s="1154" t="s">
        <v>347</v>
      </c>
      <c r="C2498" s="1154"/>
      <c r="D2498" s="1090"/>
      <c r="E2498" s="1079" t="str">
        <f>VLOOKUP($B2498,DG!A:D,DG!$B$2,)</f>
        <v>06.1115</v>
      </c>
      <c r="F2498" s="1080" t="str">
        <f>VLOOKUP($B2498,DG!A:D,DG!$C$2,)</f>
        <v>Lắp sứ đứng 24KV</v>
      </c>
      <c r="G2498" s="1079" t="str">
        <f>VLOOKUP($B2498,DG!A:D,DG!$D$2,)</f>
        <v>bộ</v>
      </c>
      <c r="H2498" s="1851">
        <f>H2496</f>
        <v>0</v>
      </c>
      <c r="I2498" s="1259">
        <f t="shared" si="135"/>
        <v>0</v>
      </c>
      <c r="J2498" s="1081"/>
      <c r="K2498" s="1081"/>
      <c r="L2498" s="1082"/>
      <c r="M2498" s="975">
        <v>1000</v>
      </c>
    </row>
    <row r="2499" spans="1:14" s="1083" customFormat="1" ht="25.2" hidden="1" customHeight="1">
      <c r="A2499" s="1153">
        <f t="shared" si="134"/>
        <v>0</v>
      </c>
      <c r="B2499" s="1324"/>
      <c r="C2499" s="1324"/>
      <c r="D2499" s="1084">
        <f>IF(H2499&gt;0,D2490+1,D2490)</f>
        <v>0</v>
      </c>
      <c r="E2499" s="1085"/>
      <c r="F2499" s="1086" t="s">
        <v>3778</v>
      </c>
      <c r="G2499" s="1084" t="s">
        <v>2391</v>
      </c>
      <c r="H2499" s="1867">
        <f>H2364*1</f>
        <v>0</v>
      </c>
      <c r="I2499" s="1259">
        <f t="shared" si="135"/>
        <v>0</v>
      </c>
      <c r="J2499" s="1081"/>
      <c r="K2499" s="1081"/>
      <c r="L2499" s="1082"/>
      <c r="M2499" s="975">
        <v>1000</v>
      </c>
    </row>
    <row r="2500" spans="1:14" s="1083" customFormat="1" ht="25.2" hidden="1" customHeight="1">
      <c r="A2500" s="1153">
        <f t="shared" si="134"/>
        <v>0</v>
      </c>
      <c r="B2500" s="1324"/>
      <c r="C2500" s="1324"/>
      <c r="D2500" s="1078"/>
      <c r="E2500" s="1088"/>
      <c r="F2500" s="1368" t="s">
        <v>2285</v>
      </c>
      <c r="G2500" s="1078"/>
      <c r="H2500" s="1868"/>
      <c r="I2500" s="1259">
        <f t="shared" si="135"/>
        <v>0</v>
      </c>
      <c r="J2500" s="1081"/>
      <c r="K2500" s="1081"/>
      <c r="L2500" s="1082"/>
      <c r="M2500" s="975">
        <v>1000</v>
      </c>
    </row>
    <row r="2501" spans="1:14" s="1083" customFormat="1" ht="25.2" hidden="1" customHeight="1">
      <c r="A2501" s="1153">
        <f t="shared" si="134"/>
        <v>0</v>
      </c>
      <c r="B2501" s="1324" t="s">
        <v>1124</v>
      </c>
      <c r="C2501" s="1324"/>
      <c r="D2501" s="1090"/>
      <c r="E2501" s="1079">
        <f>VLOOKUP($B2501,DG!A:D,DG!$B$2,)</f>
        <v>0</v>
      </c>
      <c r="F2501" s="1080" t="str">
        <f>VLOOKUP($B2501,DG!A:D,DG!$C$2,)</f>
        <v xml:space="preserve">Giá đỡ cáp hạ thế </v>
      </c>
      <c r="G2501" s="1079" t="str">
        <f>VLOOKUP($B2501,DG!A:D,DG!$D$2,)</f>
        <v>bộ</v>
      </c>
      <c r="H2501" s="1851">
        <f>H2499</f>
        <v>0</v>
      </c>
      <c r="I2501" s="1259">
        <f t="shared" si="135"/>
        <v>0</v>
      </c>
      <c r="J2501" s="1081"/>
      <c r="K2501" s="1081"/>
      <c r="L2501" s="1082"/>
      <c r="M2501" s="975">
        <v>1000</v>
      </c>
    </row>
    <row r="2502" spans="1:14" s="1083" customFormat="1" ht="25.2" hidden="1" customHeight="1">
      <c r="A2502" s="1153">
        <f t="shared" si="134"/>
        <v>0</v>
      </c>
      <c r="B2502" s="1324" t="s">
        <v>1413</v>
      </c>
      <c r="C2502" s="1324"/>
      <c r="D2502" s="1090"/>
      <c r="E2502" s="1079" t="str">
        <f>VLOOKUP($B2502,DG!A:D,DG!$B$2,)</f>
        <v>05.6101</v>
      </c>
      <c r="F2502" s="1080" t="str">
        <f>VLOOKUP($B2502,DG!A:D,DG!$C$2,)</f>
        <v>Lắp Giá đỡ cáp</v>
      </c>
      <c r="G2502" s="1079" t="str">
        <f>VLOOKUP($B2502,DG!A:D,DG!$D$2,)</f>
        <v>bộ</v>
      </c>
      <c r="H2502" s="1851">
        <f>H2501</f>
        <v>0</v>
      </c>
      <c r="I2502" s="1259">
        <f t="shared" si="135"/>
        <v>0</v>
      </c>
      <c r="J2502" s="1081"/>
      <c r="K2502" s="1081"/>
      <c r="L2502" s="1082"/>
      <c r="M2502" s="975">
        <v>1000</v>
      </c>
    </row>
    <row r="2503" spans="1:14" s="1083" customFormat="1" ht="25.2" hidden="1" customHeight="1">
      <c r="A2503" s="1153">
        <f t="shared" si="134"/>
        <v>0</v>
      </c>
      <c r="B2503" s="1154"/>
      <c r="C2503" s="1154"/>
      <c r="D2503" s="1084">
        <f>IF(H2503&gt;0,D2499+1,D2499)</f>
        <v>0</v>
      </c>
      <c r="E2503" s="1085"/>
      <c r="F2503" s="1094" t="s">
        <v>3779</v>
      </c>
      <c r="G2503" s="1084" t="s">
        <v>2391</v>
      </c>
      <c r="H2503" s="1888">
        <f>H2478+H2490</f>
        <v>0</v>
      </c>
      <c r="I2503" s="1259">
        <f t="shared" si="135"/>
        <v>0</v>
      </c>
      <c r="J2503" s="1081"/>
      <c r="K2503" s="1081"/>
      <c r="L2503" s="1082"/>
      <c r="M2503" s="975">
        <v>1000</v>
      </c>
    </row>
    <row r="2504" spans="1:14" s="1083" customFormat="1" ht="25.2" hidden="1" customHeight="1">
      <c r="A2504" s="1153">
        <f t="shared" si="134"/>
        <v>0</v>
      </c>
      <c r="B2504" s="1154"/>
      <c r="C2504" s="1154"/>
      <c r="D2504" s="1078"/>
      <c r="E2504" s="1088"/>
      <c r="F2504" s="1368" t="s">
        <v>2285</v>
      </c>
      <c r="G2504" s="1078"/>
      <c r="H2504" s="1851"/>
      <c r="I2504" s="1259">
        <f t="shared" si="135"/>
        <v>0</v>
      </c>
      <c r="J2504" s="1081"/>
      <c r="K2504" s="1081"/>
      <c r="L2504" s="1082"/>
      <c r="M2504" s="975">
        <v>1000</v>
      </c>
    </row>
    <row r="2505" spans="1:14" s="1083" customFormat="1" ht="25.2" hidden="1" customHeight="1">
      <c r="A2505" s="1153">
        <f t="shared" si="134"/>
        <v>0</v>
      </c>
      <c r="B2505" s="1324"/>
      <c r="C2505" s="1324"/>
      <c r="D2505" s="1090"/>
      <c r="E2505" s="1079" t="e">
        <f>VLOOKUP($B2505,DG!A:D,DG!$B$2,)</f>
        <v>#N/A</v>
      </c>
      <c r="F2505" s="1080" t="e">
        <f>VLOOKUP($B2505,DG!A:D,DG!$C$2,)&amp;": "&amp;#REF!&amp;"x 8m/pha "</f>
        <v>#N/A</v>
      </c>
      <c r="G2505" s="1079" t="e">
        <f>VLOOKUP($B2505,DG!A:D,DG!$D$2,)</f>
        <v>#N/A</v>
      </c>
      <c r="H2505" s="1851">
        <f>8*3*H2503*L16</f>
        <v>0</v>
      </c>
      <c r="I2505" s="1259">
        <f t="shared" si="135"/>
        <v>0</v>
      </c>
      <c r="J2505" s="1081"/>
      <c r="K2505" s="1081"/>
      <c r="L2505" s="1082"/>
      <c r="M2505" s="975">
        <v>1000</v>
      </c>
      <c r="N2505" s="1083">
        <f>48*(30+6)</f>
        <v>1728</v>
      </c>
    </row>
    <row r="2506" spans="1:14" s="1083" customFormat="1" ht="25.2" hidden="1" customHeight="1">
      <c r="A2506" s="1153">
        <f t="shared" si="134"/>
        <v>0</v>
      </c>
      <c r="B2506" s="1324"/>
      <c r="C2506" s="1324"/>
      <c r="D2506" s="1090"/>
      <c r="E2506" s="1079" t="e">
        <f>VLOOKUP($B2506,DG!A:D,DG!$B$2,)</f>
        <v>#N/A</v>
      </c>
      <c r="F2506" s="1080" t="e">
        <f>VLOOKUP($B2506,DG!A:D,DG!$C$2,)&amp;": "&amp;#REF!/2&amp;"x 8m/trung tính "</f>
        <v>#N/A</v>
      </c>
      <c r="G2506" s="1079" t="e">
        <f>VLOOKUP($B2506,DG!A:D,DG!$D$2,)</f>
        <v>#N/A</v>
      </c>
      <c r="H2506" s="1894"/>
      <c r="I2506" s="1259">
        <f t="shared" si="135"/>
        <v>0</v>
      </c>
      <c r="J2506" s="1081"/>
      <c r="K2506" s="1081"/>
      <c r="L2506" s="1082"/>
      <c r="M2506" s="975">
        <v>1000</v>
      </c>
      <c r="N2506" s="1083">
        <f>8*(30+6)</f>
        <v>288</v>
      </c>
    </row>
    <row r="2507" spans="1:14" s="1083" customFormat="1" ht="25.2" hidden="1" customHeight="1">
      <c r="A2507" s="1153">
        <f t="shared" si="134"/>
        <v>0</v>
      </c>
      <c r="B2507" s="1324" t="s">
        <v>448</v>
      </c>
      <c r="C2507" s="1324"/>
      <c r="D2507" s="1090"/>
      <c r="E2507" s="1079" t="str">
        <f>VLOOKUP($B2507,DG!A:D,DG!$B$2,)</f>
        <v>03.4009</v>
      </c>
      <c r="F2507" s="1080" t="str">
        <f>VLOOKUP($B2507,DG!A:D,DG!$C$2,)&amp;": "</f>
        <v xml:space="preserve">Đầu cosse ép Cu 250mm2: </v>
      </c>
      <c r="G2507" s="1079" t="str">
        <f>VLOOKUP($B2507,DG!A:D,DG!$D$2,)</f>
        <v>cái</v>
      </c>
      <c r="H2507" s="1894"/>
      <c r="I2507" s="1259">
        <f t="shared" si="135"/>
        <v>0</v>
      </c>
      <c r="J2507" s="1081"/>
      <c r="K2507" s="1081"/>
      <c r="L2507" s="1082"/>
      <c r="M2507" s="975">
        <v>1000</v>
      </c>
    </row>
    <row r="2508" spans="1:14" s="1083" customFormat="1" ht="25.2" hidden="1" customHeight="1">
      <c r="A2508" s="1153">
        <f t="shared" si="134"/>
        <v>0</v>
      </c>
      <c r="B2508" s="1324" t="s">
        <v>448</v>
      </c>
      <c r="C2508" s="1324"/>
      <c r="D2508" s="1090"/>
      <c r="E2508" s="1079" t="str">
        <f>VLOOKUP($B2508,DG!A:D,DG!$B$2,)</f>
        <v>03.4009</v>
      </c>
      <c r="F2508" s="1080" t="str">
        <f>VLOOKUP($B2508,DG!A:D,DG!$C$2,)&amp;": "</f>
        <v xml:space="preserve">Đầu cosse ép Cu 250mm2: </v>
      </c>
      <c r="G2508" s="1079" t="str">
        <f>VLOOKUP($B2508,DG!A:D,DG!$D$2,)</f>
        <v>cái</v>
      </c>
      <c r="H2508" s="1894"/>
      <c r="I2508" s="1259">
        <f t="shared" si="135"/>
        <v>0</v>
      </c>
      <c r="J2508" s="1081"/>
      <c r="K2508" s="1081"/>
      <c r="L2508" s="1082"/>
      <c r="M2508" s="975">
        <v>1000</v>
      </c>
    </row>
    <row r="2509" spans="1:14" s="1083" customFormat="1" ht="25.2" hidden="1" customHeight="1">
      <c r="A2509" s="1153">
        <f t="shared" si="134"/>
        <v>0</v>
      </c>
      <c r="B2509" s="1324" t="s">
        <v>1072</v>
      </c>
      <c r="C2509" s="1324"/>
      <c r="D2509" s="1090"/>
      <c r="E2509" s="1079">
        <f>VLOOKUP($B2509,DG!A:D,DG!$B$2,)</f>
        <v>0</v>
      </c>
      <c r="F2509" s="1080" t="str">
        <f>VLOOKUP($B2509,DG!A:D,DG!$C$2,)&amp;": "</f>
        <v xml:space="preserve">Chụp đầu cosse  250mm2: </v>
      </c>
      <c r="G2509" s="1079" t="str">
        <f>VLOOKUP($B2509,DG!A:D,DG!$D$2,)</f>
        <v>cái</v>
      </c>
      <c r="H2509" s="1894"/>
      <c r="I2509" s="1259">
        <f t="shared" si="135"/>
        <v>0</v>
      </c>
      <c r="J2509" s="1081"/>
      <c r="K2509" s="1081"/>
      <c r="L2509" s="1082"/>
      <c r="M2509" s="975">
        <v>1000</v>
      </c>
    </row>
    <row r="2510" spans="1:14" s="1083" customFormat="1" ht="25.2" hidden="1" customHeight="1">
      <c r="A2510" s="1153">
        <f t="shared" si="134"/>
        <v>0</v>
      </c>
      <c r="B2510" s="1324" t="s">
        <v>1072</v>
      </c>
      <c r="C2510" s="1324"/>
      <c r="D2510" s="1090"/>
      <c r="E2510" s="1079">
        <f>VLOOKUP($B2510,DG!A:D,DG!$B$2,)</f>
        <v>0</v>
      </c>
      <c r="F2510" s="1080" t="str">
        <f>VLOOKUP($B2510,DG!A:D,DG!$C$2,)&amp;": "</f>
        <v xml:space="preserve">Chụp đầu cosse  250mm2: </v>
      </c>
      <c r="G2510" s="1079" t="str">
        <f>VLOOKUP($B2510,DG!A:D,DG!$D$2,)</f>
        <v>cái</v>
      </c>
      <c r="H2510" s="1894"/>
      <c r="I2510" s="1259">
        <f t="shared" si="135"/>
        <v>0</v>
      </c>
      <c r="J2510" s="1081"/>
      <c r="K2510" s="1081"/>
      <c r="L2510" s="1082"/>
      <c r="M2510" s="975">
        <v>1000</v>
      </c>
    </row>
    <row r="2511" spans="1:14" s="1083" customFormat="1" ht="25.2" hidden="1" customHeight="1">
      <c r="A2511" s="1153">
        <f t="shared" si="134"/>
        <v>0</v>
      </c>
      <c r="B2511" s="1324" t="s">
        <v>1042</v>
      </c>
      <c r="C2511" s="1324"/>
      <c r="D2511" s="1090"/>
      <c r="E2511" s="1079">
        <f>VLOOKUP($B2511,DG!A:D,DG!$B$2,)</f>
        <v>0</v>
      </c>
      <c r="F2511" s="1080" t="str">
        <f>VLOOKUP($B2511,DG!A:D,DG!$C$2,)</f>
        <v xml:space="preserve">Ống PVC D114x4,9mm </v>
      </c>
      <c r="G2511" s="1079" t="str">
        <f>VLOOKUP($B2511,DG!A:D,DG!$D$2,)</f>
        <v>m</v>
      </c>
      <c r="H2511" s="1894"/>
      <c r="I2511" s="1259">
        <f t="shared" si="135"/>
        <v>0</v>
      </c>
      <c r="J2511" s="1081"/>
      <c r="K2511" s="1081"/>
      <c r="L2511" s="1082"/>
      <c r="M2511" s="975">
        <v>1000</v>
      </c>
    </row>
    <row r="2512" spans="1:14" s="1083" customFormat="1" ht="25.2" hidden="1" customHeight="1">
      <c r="A2512" s="1153">
        <f t="shared" si="134"/>
        <v>0</v>
      </c>
      <c r="B2512" s="1154" t="s">
        <v>731</v>
      </c>
      <c r="C2512" s="1154"/>
      <c r="D2512" s="1090"/>
      <c r="E2512" s="1079" t="str">
        <f>VLOOKUP($B2512,DG!A:D,DG!$B$2,)</f>
        <v>06.3231</v>
      </c>
      <c r="F2512" s="1080" t="str">
        <f>VLOOKUP($B2512,DG!A:D,DG!$C$2,)</f>
        <v>Cổ dê kẹp ống PVC Ø 114</v>
      </c>
      <c r="G2512" s="1079" t="str">
        <f>VLOOKUP($B2512,DG!A:D,DG!$D$2,)</f>
        <v>bộ</v>
      </c>
      <c r="H2512" s="1894"/>
      <c r="I2512" s="1259">
        <f t="shared" si="135"/>
        <v>0</v>
      </c>
      <c r="J2512" s="1081"/>
      <c r="K2512" s="1081"/>
      <c r="L2512" s="1082"/>
      <c r="M2512" s="975">
        <v>1000</v>
      </c>
    </row>
    <row r="2513" spans="1:13" s="1083" customFormat="1" ht="25.2" hidden="1" customHeight="1">
      <c r="A2513" s="1153">
        <f t="shared" si="134"/>
        <v>0</v>
      </c>
      <c r="B2513" s="1324" t="s">
        <v>1043</v>
      </c>
      <c r="C2513" s="1324"/>
      <c r="D2513" s="1090"/>
      <c r="E2513" s="1079">
        <f>VLOOKUP($B2513,DG!A:D,DG!$B$2,)</f>
        <v>0</v>
      </c>
      <c r="F2513" s="1080" t="str">
        <f>VLOOKUP($B2513,DG!A:D,DG!$C$2,)</f>
        <v>Co sừng 90 độ PVC 114</v>
      </c>
      <c r="G2513" s="1079" t="str">
        <f>VLOOKUP($B2513,DG!A:D,DG!$D$2,)</f>
        <v>cái</v>
      </c>
      <c r="H2513" s="1894"/>
      <c r="I2513" s="1259">
        <f t="shared" si="135"/>
        <v>0</v>
      </c>
      <c r="J2513" s="1081"/>
      <c r="K2513" s="1081"/>
      <c r="L2513" s="1082"/>
      <c r="M2513" s="975">
        <v>1000</v>
      </c>
    </row>
    <row r="2514" spans="1:13" s="1083" customFormat="1" ht="25.2" hidden="1" customHeight="1">
      <c r="A2514" s="1153">
        <f t="shared" si="134"/>
        <v>0</v>
      </c>
      <c r="B2514" s="1324" t="s">
        <v>2173</v>
      </c>
      <c r="C2514" s="1324"/>
      <c r="D2514" s="1090"/>
      <c r="E2514" s="1079">
        <f>VLOOKUP($B2514,DG!A:D,DG!$B$2,)</f>
        <v>0</v>
      </c>
      <c r="F2514" s="1080" t="str">
        <f>VLOOKUP($B2514,DG!A:D,DG!$C$2,)</f>
        <v>Khâu ven răng trong D114</v>
      </c>
      <c r="G2514" s="1079" t="str">
        <f>VLOOKUP($B2514,DG!A:D,DG!$D$2,)</f>
        <v>cái</v>
      </c>
      <c r="H2514" s="1894"/>
      <c r="I2514" s="1259">
        <f t="shared" si="135"/>
        <v>0</v>
      </c>
      <c r="J2514" s="1081"/>
      <c r="K2514" s="1081"/>
      <c r="L2514" s="1082"/>
      <c r="M2514" s="975">
        <v>1000</v>
      </c>
    </row>
    <row r="2515" spans="1:13" s="1083" customFormat="1" ht="25.2" hidden="1" customHeight="1">
      <c r="A2515" s="1153">
        <f t="shared" si="134"/>
        <v>0</v>
      </c>
      <c r="B2515" s="1324" t="s">
        <v>2174</v>
      </c>
      <c r="C2515" s="1324"/>
      <c r="D2515" s="1090"/>
      <c r="E2515" s="1079">
        <f>VLOOKUP($B2515,DG!A:D,DG!$B$2,)</f>
        <v>0</v>
      </c>
      <c r="F2515" s="1080" t="str">
        <f>VLOOKUP($B2515,DG!A:D,DG!$C$2,)&amp;": "</f>
        <v xml:space="preserve">Khâu ven răng ngoài D114: </v>
      </c>
      <c r="G2515" s="1079" t="str">
        <f>VLOOKUP($B2515,DG!A:D,DG!$D$2,)</f>
        <v>cái</v>
      </c>
      <c r="H2515" s="1894"/>
      <c r="I2515" s="1259">
        <f t="shared" si="135"/>
        <v>0</v>
      </c>
      <c r="J2515" s="1081"/>
      <c r="K2515" s="1081"/>
      <c r="L2515" s="1082"/>
      <c r="M2515" s="975">
        <v>1000</v>
      </c>
    </row>
    <row r="2516" spans="1:13" s="1083" customFormat="1" ht="25.2" hidden="1" customHeight="1">
      <c r="A2516" s="1153">
        <f t="shared" si="134"/>
        <v>0</v>
      </c>
      <c r="B2516" s="1324" t="s">
        <v>726</v>
      </c>
      <c r="C2516" s="1324"/>
      <c r="D2516" s="1090"/>
      <c r="E2516" s="1079">
        <f>VLOOKUP($B2516,DG!A:D,DG!$B$2,)</f>
        <v>0</v>
      </c>
      <c r="F2516" s="1080" t="str">
        <f>VLOOKUP($B2516,DG!A:D,DG!$C$2,)&amp;": "</f>
        <v xml:space="preserve">Keo dán ống PVC (500gr): </v>
      </c>
      <c r="G2516" s="1079" t="str">
        <f>VLOOKUP($B2516,DG!A:D,DG!$D$2,)</f>
        <v>lon</v>
      </c>
      <c r="H2516" s="1894"/>
      <c r="I2516" s="1259">
        <f t="shared" si="135"/>
        <v>0</v>
      </c>
      <c r="J2516" s="1081"/>
      <c r="K2516" s="1081"/>
      <c r="L2516" s="1082"/>
      <c r="M2516" s="975">
        <v>1000</v>
      </c>
    </row>
    <row r="2517" spans="1:13" s="1083" customFormat="1" ht="25.2" hidden="1" customHeight="1">
      <c r="A2517" s="1153">
        <f t="shared" si="134"/>
        <v>0</v>
      </c>
      <c r="B2517" s="1154" t="s">
        <v>6</v>
      </c>
      <c r="C2517" s="1154"/>
      <c r="D2517" s="1090"/>
      <c r="E2517" s="1079"/>
      <c r="F2517" s="1080" t="str">
        <f>VLOOKUP($B2517,DG!A:D,DG!$C$2,)&amp;":"</f>
        <v>Keo silicon bít miệng ống:</v>
      </c>
      <c r="G2517" s="1079" t="str">
        <f>VLOOKUP($B2517,DG!A:D,DG!$D$2,)</f>
        <v>ống</v>
      </c>
      <c r="H2517" s="1894"/>
      <c r="I2517" s="1259">
        <f t="shared" si="135"/>
        <v>0</v>
      </c>
      <c r="J2517" s="1081"/>
      <c r="K2517" s="1081"/>
      <c r="L2517" s="1082"/>
      <c r="M2517" s="975">
        <v>1000</v>
      </c>
    </row>
    <row r="2518" spans="1:13" s="1083" customFormat="1" ht="25.2" hidden="1" customHeight="1">
      <c r="A2518" s="1153">
        <f t="shared" si="134"/>
        <v>0</v>
      </c>
      <c r="B2518" s="1324" t="s">
        <v>1351</v>
      </c>
      <c r="C2518" s="1324"/>
      <c r="D2518" s="1090"/>
      <c r="E2518" s="1079">
        <f>VLOOKUP($B2518,DG!A:D,DG!$B$2,)</f>
        <v>0</v>
      </c>
      <c r="F2518" s="1080" t="str">
        <f>VLOOKUP($B2518,DG!A:D,DG!$C$2,)</f>
        <v>Dây rút cáp</v>
      </c>
      <c r="G2518" s="1079" t="str">
        <f>VLOOKUP($B2518,DG!A:D,DG!$D$2,)</f>
        <v>bọc</v>
      </c>
      <c r="H2518" s="1894"/>
      <c r="I2518" s="1259">
        <f t="shared" si="135"/>
        <v>0</v>
      </c>
      <c r="J2518" s="1081"/>
      <c r="K2518" s="1081"/>
      <c r="L2518" s="1082"/>
      <c r="M2518" s="975">
        <v>1000</v>
      </c>
    </row>
    <row r="2519" spans="1:13" s="1083" customFormat="1" ht="25.2" hidden="1" customHeight="1">
      <c r="A2519" s="1153">
        <f t="shared" si="134"/>
        <v>0</v>
      </c>
      <c r="B2519" s="1154" t="s">
        <v>672</v>
      </c>
      <c r="C2519" s="1154"/>
      <c r="D2519" s="1090"/>
      <c r="E2519" s="1079">
        <f>VLOOKUP($B2519,DG!A:D,DG!$B$2,)</f>
        <v>0</v>
      </c>
      <c r="F2519" s="1080" t="str">
        <f>VLOOKUP($B2519,DG!A:D,DG!$C$2,)</f>
        <v>Băng keo cách điện</v>
      </c>
      <c r="G2519" s="1079" t="str">
        <f>VLOOKUP($B2519,DG!A:D,DG!$D$2,)</f>
        <v>cuộn</v>
      </c>
      <c r="H2519" s="1894"/>
      <c r="I2519" s="1259">
        <f t="shared" si="135"/>
        <v>0</v>
      </c>
      <c r="J2519" s="1081"/>
      <c r="K2519" s="1081"/>
      <c r="L2519" s="1082"/>
      <c r="M2519" s="975">
        <v>1000</v>
      </c>
    </row>
    <row r="2520" spans="1:13" s="1083" customFormat="1" ht="25.2" hidden="1" customHeight="1">
      <c r="A2520" s="1153">
        <f t="shared" si="134"/>
        <v>0</v>
      </c>
      <c r="B2520" s="1154" t="s">
        <v>247</v>
      </c>
      <c r="C2520" s="1154"/>
      <c r="D2520" s="1095"/>
      <c r="E2520" s="1079"/>
      <c r="F2520" s="1080" t="str">
        <f>VLOOKUP($B2520,DG!A:D,DG!$C$2,)&amp;":"</f>
        <v>Lắp cáp đồng xuống thiết bị D &gt; 150mm2:</v>
      </c>
      <c r="G2520" s="1079" t="str">
        <f>VLOOKUP($B2520,DG!A:D,DG!$D$2,)</f>
        <v>m</v>
      </c>
      <c r="H2520" s="1894"/>
      <c r="I2520" s="1259">
        <f t="shared" si="135"/>
        <v>0</v>
      </c>
      <c r="J2520" s="1081"/>
      <c r="K2520" s="1081"/>
      <c r="L2520" s="1082"/>
      <c r="M2520" s="975">
        <v>1000</v>
      </c>
    </row>
    <row r="2521" spans="1:13" s="1083" customFormat="1" ht="25.2" hidden="1" customHeight="1">
      <c r="A2521" s="1153">
        <f t="shared" si="134"/>
        <v>0</v>
      </c>
      <c r="B2521" s="1154"/>
      <c r="C2521" s="1154"/>
      <c r="D2521" s="1084">
        <f>IF(H2521&gt;0,D2503+1,D2503)</f>
        <v>0</v>
      </c>
      <c r="E2521" s="1085"/>
      <c r="F2521" s="1094" t="s">
        <v>3747</v>
      </c>
      <c r="G2521" s="1084" t="s">
        <v>2391</v>
      </c>
      <c r="H2521" s="1894"/>
      <c r="I2521" s="1259">
        <f t="shared" si="135"/>
        <v>0</v>
      </c>
      <c r="J2521" s="1081"/>
      <c r="K2521" s="1081"/>
      <c r="L2521" s="1082"/>
      <c r="M2521" s="975">
        <v>1000</v>
      </c>
    </row>
    <row r="2522" spans="1:13" s="1134" customFormat="1" ht="25.2" hidden="1" customHeight="1">
      <c r="A2522" s="1153">
        <f t="shared" ref="A2522:A2585" si="136">IF(I2522&gt;0,1,0)</f>
        <v>0</v>
      </c>
      <c r="B2522" s="1357"/>
      <c r="C2522" s="1357"/>
      <c r="D2522" s="1078"/>
      <c r="E2522" s="1088"/>
      <c r="F2522" s="1368" t="s">
        <v>2285</v>
      </c>
      <c r="G2522" s="1078" t="s">
        <v>2445</v>
      </c>
      <c r="H2522" s="1896"/>
      <c r="I2522" s="1259">
        <f t="shared" si="135"/>
        <v>0</v>
      </c>
      <c r="J2522" s="1081"/>
      <c r="K2522" s="1081"/>
      <c r="L2522" s="1082"/>
      <c r="M2522" s="975">
        <v>1000</v>
      </c>
    </row>
    <row r="2523" spans="1:13" s="1083" customFormat="1" ht="25.2" hidden="1" customHeight="1">
      <c r="A2523" s="1153">
        <f t="shared" si="136"/>
        <v>0</v>
      </c>
      <c r="B2523" s="1324" t="s">
        <v>1826</v>
      </c>
      <c r="C2523" s="1324"/>
      <c r="D2523" s="1110"/>
      <c r="E2523" s="1079" t="str">
        <f>VLOOKUP($B2523,DG!A:D,DG!$B$2,)</f>
        <v>03.1401</v>
      </c>
      <c r="F2523" s="1108" t="str">
        <f>VLOOKUP($B2523,DG!A:D,DG!$C$2,)</f>
        <v xml:space="preserve">Cáp CVV 4x2,5mm2  </v>
      </c>
      <c r="G2523" s="1135" t="str">
        <f>VLOOKUP($B2523,DG!A:D,DG!$D$2,)</f>
        <v>mét</v>
      </c>
      <c r="H2523" s="1894"/>
      <c r="I2523" s="1259">
        <f t="shared" si="135"/>
        <v>0</v>
      </c>
      <c r="J2523" s="1081"/>
      <c r="K2523" s="1081"/>
      <c r="L2523" s="1082"/>
      <c r="M2523" s="975">
        <v>1000</v>
      </c>
    </row>
    <row r="2524" spans="1:13" s="1083" customFormat="1" ht="25.2" hidden="1" customHeight="1">
      <c r="A2524" s="1153">
        <f t="shared" si="136"/>
        <v>0</v>
      </c>
      <c r="B2524" s="1324" t="s">
        <v>246</v>
      </c>
      <c r="C2524" s="1324"/>
      <c r="D2524" s="1110"/>
      <c r="E2524" s="1079" t="str">
        <f>VLOOKUP($B2524,DG!A:D,DG!$B$2,)</f>
        <v>05.6101</v>
      </c>
      <c r="F2524" s="1108" t="str">
        <f>VLOOKUP($B2524,DG!A:D,DG!$C$2,)</f>
        <v>Xà kẹp TU, TI U50x32x4 350</v>
      </c>
      <c r="G2524" s="1135" t="str">
        <f>VLOOKUP($B2524,DG!A:D,DG!$D$2,)</f>
        <v>Bộ</v>
      </c>
      <c r="H2524" s="1894"/>
      <c r="I2524" s="1259">
        <f t="shared" si="135"/>
        <v>0</v>
      </c>
      <c r="J2524" s="1081"/>
      <c r="K2524" s="1081"/>
      <c r="L2524" s="1082"/>
      <c r="M2524" s="975">
        <v>1000</v>
      </c>
    </row>
    <row r="2525" spans="1:13" s="1083" customFormat="1" ht="25.2" hidden="1" customHeight="1">
      <c r="A2525" s="1153">
        <f t="shared" si="136"/>
        <v>0</v>
      </c>
      <c r="B2525" s="1324" t="s">
        <v>1869</v>
      </c>
      <c r="C2525" s="1324"/>
      <c r="D2525" s="1090"/>
      <c r="E2525" s="1079" t="str">
        <f>VLOOKUP($B2525,DG!A:D,DG!$B$2,)</f>
        <v>03.4001</v>
      </c>
      <c r="F2525" s="1108" t="str">
        <f>VLOOKUP($B2525,DG!A:D,DG!$C$2,)</f>
        <v xml:space="preserve">Đầu cosse ép Cu 2,5mm2 + bao PVC </v>
      </c>
      <c r="G2525" s="1135" t="str">
        <f>VLOOKUP($B2525,DG!A:D,DG!$D$2,)</f>
        <v>cái</v>
      </c>
      <c r="H2525" s="1894"/>
      <c r="I2525" s="1259">
        <f t="shared" si="135"/>
        <v>0</v>
      </c>
      <c r="J2525" s="1081"/>
      <c r="K2525" s="1081"/>
      <c r="L2525" s="1082"/>
      <c r="M2525" s="975">
        <v>1000</v>
      </c>
    </row>
    <row r="2526" spans="1:13" s="1083" customFormat="1" ht="25.2" hidden="1" customHeight="1">
      <c r="A2526" s="1153">
        <f t="shared" si="136"/>
        <v>0</v>
      </c>
      <c r="B2526" s="1324" t="s">
        <v>1513</v>
      </c>
      <c r="C2526" s="1324"/>
      <c r="D2526" s="1090"/>
      <c r="E2526" s="1079">
        <f>VLOOKUP($B2526,DG!A:D,DG!$B$2,)</f>
        <v>0</v>
      </c>
      <c r="F2526" s="1108" t="str">
        <f>VLOOKUP($B2526,DG!A:D,DG!$C$2,)</f>
        <v>Dây điện đôi 16/10</v>
      </c>
      <c r="G2526" s="1135" t="str">
        <f>VLOOKUP($B2526,DG!A:D,DG!$D$2,)</f>
        <v>mét</v>
      </c>
      <c r="H2526" s="1894"/>
      <c r="I2526" s="1259">
        <f t="shared" si="135"/>
        <v>0</v>
      </c>
      <c r="J2526" s="1081"/>
      <c r="K2526" s="1081"/>
      <c r="L2526" s="1082"/>
      <c r="M2526" s="975">
        <v>1000</v>
      </c>
    </row>
    <row r="2527" spans="1:13" s="1083" customFormat="1" ht="25.2" hidden="1" customHeight="1">
      <c r="A2527" s="1153">
        <f t="shared" si="136"/>
        <v>0</v>
      </c>
      <c r="B2527" s="1324" t="s">
        <v>1114</v>
      </c>
      <c r="C2527" s="1324"/>
      <c r="D2527" s="1090"/>
      <c r="E2527" s="1079">
        <f>VLOOKUP($B2527,DG!A:D,DG!$B$2,)</f>
        <v>0</v>
      </c>
      <c r="F2527" s="1108" t="str">
        <f>VLOOKUP($B2527,DG!A:D,DG!$C$2,)&amp;" (ñaáu TU)"</f>
        <v>Kẹp ép cỡ dây 25mm2 (ñaáu TU)</v>
      </c>
      <c r="G2527" s="1135" t="str">
        <f>VLOOKUP($B2527,DG!A:D,DG!$D$2,)</f>
        <v>cái</v>
      </c>
      <c r="H2527" s="1894"/>
      <c r="I2527" s="1259">
        <f t="shared" si="135"/>
        <v>0</v>
      </c>
      <c r="J2527" s="1081"/>
      <c r="K2527" s="1081"/>
      <c r="L2527" s="1082"/>
      <c r="M2527" s="975">
        <v>1000</v>
      </c>
    </row>
    <row r="2528" spans="1:13" s="1083" customFormat="1" ht="25.2" hidden="1" customHeight="1">
      <c r="A2528" s="1153">
        <f t="shared" si="136"/>
        <v>0</v>
      </c>
      <c r="B2528" s="1324" t="s">
        <v>2147</v>
      </c>
      <c r="C2528" s="1324"/>
      <c r="D2528" s="1090"/>
      <c r="E2528" s="1079" t="str">
        <f>VLOOKUP($B2528,DG!A:D,DG!$B$2,)</f>
        <v>07.2403</v>
      </c>
      <c r="F2528" s="1108" t="str">
        <f>VLOOKUP($B2528,DG!A:D,DG!$C$2,)</f>
        <v>Ống PVC D42x2,1mm</v>
      </c>
      <c r="G2528" s="1135" t="str">
        <f>VLOOKUP($B2528,DG!A:D,DG!$D$2,)</f>
        <v>m</v>
      </c>
      <c r="H2528" s="1894"/>
      <c r="I2528" s="1259">
        <f t="shared" si="135"/>
        <v>0</v>
      </c>
      <c r="J2528" s="1081"/>
      <c r="K2528" s="1081"/>
      <c r="L2528" s="1082"/>
      <c r="M2528" s="975">
        <v>1000</v>
      </c>
    </row>
    <row r="2529" spans="1:13" s="1083" customFormat="1" ht="25.2" hidden="1" customHeight="1">
      <c r="A2529" s="1153">
        <f t="shared" si="136"/>
        <v>0</v>
      </c>
      <c r="B2529" s="1154" t="s">
        <v>204</v>
      </c>
      <c r="C2529" s="1154"/>
      <c r="D2529" s="1090"/>
      <c r="E2529" s="1079" t="str">
        <f>VLOOKUP($B2529,DG!A:D,DG!$B$2,)</f>
        <v>06.3231</v>
      </c>
      <c r="F2529" s="1108" t="str">
        <f>VLOOKUP($B2529,DG!A:D,DG!$C$2,)</f>
        <v>Cổ dê giữ ống PVC D42</v>
      </c>
      <c r="G2529" s="1135" t="str">
        <f>VLOOKUP($B2529,DG!A:D,DG!$D$2,)</f>
        <v>bộ</v>
      </c>
      <c r="H2529" s="1894"/>
      <c r="I2529" s="1259">
        <f t="shared" si="135"/>
        <v>0</v>
      </c>
      <c r="J2529" s="1081"/>
      <c r="K2529" s="1081"/>
      <c r="L2529" s="1082"/>
      <c r="M2529" s="975">
        <v>1000</v>
      </c>
    </row>
    <row r="2530" spans="1:13" s="1083" customFormat="1" ht="25.2" hidden="1" customHeight="1">
      <c r="A2530" s="1153">
        <f t="shared" si="136"/>
        <v>0</v>
      </c>
      <c r="B2530" s="1324" t="s">
        <v>1619</v>
      </c>
      <c r="C2530" s="1324"/>
      <c r="D2530" s="1090"/>
      <c r="E2530" s="1079">
        <f>VLOOKUP($B2530,DG!A:D,DG!$B$2,)</f>
        <v>0</v>
      </c>
      <c r="F2530" s="1108" t="str">
        <f>VLOOKUP($B2530,DG!A:D,DG!$C$2,)</f>
        <v>Co 90 độ PVC 42</v>
      </c>
      <c r="G2530" s="1135" t="str">
        <f>VLOOKUP($B2530,DG!A:D,DG!$D$2,)</f>
        <v>cái</v>
      </c>
      <c r="H2530" s="1894"/>
      <c r="I2530" s="1259">
        <f t="shared" si="135"/>
        <v>0</v>
      </c>
      <c r="J2530" s="1081"/>
      <c r="K2530" s="1081"/>
      <c r="L2530" s="1082"/>
      <c r="M2530" s="975">
        <v>1000</v>
      </c>
    </row>
    <row r="2531" spans="1:13" s="1083" customFormat="1" ht="25.2" hidden="1" customHeight="1">
      <c r="A2531" s="1153">
        <f t="shared" si="136"/>
        <v>0</v>
      </c>
      <c r="B2531" s="1324" t="s">
        <v>1050</v>
      </c>
      <c r="C2531" s="1324"/>
      <c r="D2531" s="1090"/>
      <c r="E2531" s="1079">
        <f>VLOOKUP($B2531,DG!A:D,DG!$B$2,)</f>
        <v>0</v>
      </c>
      <c r="F2531" s="1108" t="str">
        <f>VLOOKUP($B2531,DG!A:D,DG!$C$2,)</f>
        <v>Co chữ T ống PVC 42</v>
      </c>
      <c r="G2531" s="1135" t="str">
        <f>VLOOKUP($B2531,DG!A:D,DG!$D$2,)</f>
        <v>cái</v>
      </c>
      <c r="H2531" s="1894"/>
      <c r="I2531" s="1259">
        <f t="shared" si="135"/>
        <v>0</v>
      </c>
      <c r="J2531" s="1081"/>
      <c r="K2531" s="1081"/>
      <c r="L2531" s="1082"/>
      <c r="M2531" s="975">
        <v>1000</v>
      </c>
    </row>
    <row r="2532" spans="1:13" s="1083" customFormat="1" ht="25.2" hidden="1" customHeight="1">
      <c r="A2532" s="1153">
        <f t="shared" si="136"/>
        <v>0</v>
      </c>
      <c r="B2532" s="1324" t="s">
        <v>1917</v>
      </c>
      <c r="C2532" s="1324"/>
      <c r="D2532" s="1090"/>
      <c r="E2532" s="1079">
        <f>VLOOKUP($B2532,DG!A:D,DG!$B$2,)</f>
        <v>0</v>
      </c>
      <c r="F2532" s="1108" t="str">
        <f>VLOOKUP($B2532,DG!A:D,DG!$C$2,)</f>
        <v>Nối thẳng ống PVC 42</v>
      </c>
      <c r="G2532" s="1135" t="str">
        <f>VLOOKUP($B2532,DG!A:D,DG!$D$2,)</f>
        <v>cái</v>
      </c>
      <c r="H2532" s="1894"/>
      <c r="I2532" s="1259">
        <f t="shared" si="135"/>
        <v>0</v>
      </c>
      <c r="J2532" s="1081"/>
      <c r="K2532" s="1081"/>
      <c r="L2532" s="1082"/>
      <c r="M2532" s="975">
        <v>1000</v>
      </c>
    </row>
    <row r="2533" spans="1:13" s="1083" customFormat="1" ht="25.2" hidden="1" customHeight="1">
      <c r="A2533" s="1153">
        <f t="shared" si="136"/>
        <v>0</v>
      </c>
      <c r="B2533" s="1324" t="s">
        <v>697</v>
      </c>
      <c r="C2533" s="1324"/>
      <c r="D2533" s="1090"/>
      <c r="E2533" s="1079">
        <f>VLOOKUP($B2533,DG!A:D,DG!$B$2,)</f>
        <v>0</v>
      </c>
      <c r="F2533" s="1108" t="str">
        <f>VLOOKUP($B2533,DG!A:D,DG!$C$2,)&amp;" ñaáu TU"</f>
        <v>Cáp 24KV C/XLPE/PVC 25mm2 ñaáu TU</v>
      </c>
      <c r="G2533" s="1135" t="str">
        <f>VLOOKUP($B2533,DG!A:D,DG!$D$2,)</f>
        <v>mét</v>
      </c>
      <c r="H2533" s="1894"/>
      <c r="I2533" s="1259">
        <f t="shared" si="135"/>
        <v>0</v>
      </c>
      <c r="J2533" s="1081"/>
      <c r="K2533" s="1081"/>
      <c r="L2533" s="1082"/>
      <c r="M2533" s="975">
        <v>1000</v>
      </c>
    </row>
    <row r="2534" spans="1:13" s="1083" customFormat="1" ht="25.2" hidden="1" customHeight="1">
      <c r="A2534" s="1153">
        <f t="shared" si="136"/>
        <v>0</v>
      </c>
      <c r="B2534" s="1324" t="s">
        <v>726</v>
      </c>
      <c r="C2534" s="1324"/>
      <c r="D2534" s="1090"/>
      <c r="E2534" s="1079">
        <f>VLOOKUP($B2534,DG!A:D,DG!$B$2,)</f>
        <v>0</v>
      </c>
      <c r="F2534" s="1108" t="str">
        <f>VLOOKUP($B2534,DG!A:D,DG!$C$2,)</f>
        <v>Keo dán ống PVC (500gr)</v>
      </c>
      <c r="G2534" s="1135" t="str">
        <f>VLOOKUP($B2534,DG!A:D,DG!$D$2,)</f>
        <v>lon</v>
      </c>
      <c r="H2534" s="1894"/>
      <c r="I2534" s="1259">
        <f t="shared" si="135"/>
        <v>0</v>
      </c>
      <c r="J2534" s="1081"/>
      <c r="K2534" s="1081"/>
      <c r="L2534" s="1082"/>
      <c r="M2534" s="975">
        <v>1000</v>
      </c>
    </row>
    <row r="2535" spans="1:13" s="1083" customFormat="1" ht="25.2" hidden="1" customHeight="1">
      <c r="A2535" s="1153">
        <f t="shared" si="136"/>
        <v>0</v>
      </c>
      <c r="B2535" s="1154" t="s">
        <v>672</v>
      </c>
      <c r="C2535" s="1154"/>
      <c r="D2535" s="1090"/>
      <c r="E2535" s="1079">
        <f>VLOOKUP($B2535,DG!A:D,DG!$B$2,)</f>
        <v>0</v>
      </c>
      <c r="F2535" s="1108" t="str">
        <f>VLOOKUP($B2535,DG!A:D,DG!$C$2,)</f>
        <v>Băng keo cách điện</v>
      </c>
      <c r="G2535" s="1135" t="str">
        <f>VLOOKUP($B2535,DG!A:D,DG!$D$2,)</f>
        <v>cuộn</v>
      </c>
      <c r="H2535" s="1894"/>
      <c r="I2535" s="1259">
        <f t="shared" si="135"/>
        <v>0</v>
      </c>
      <c r="J2535" s="1081"/>
      <c r="K2535" s="1081"/>
      <c r="L2535" s="1082"/>
      <c r="M2535" s="975">
        <v>1000</v>
      </c>
    </row>
    <row r="2536" spans="1:13" s="1083" customFormat="1" ht="25.2" hidden="1" customHeight="1">
      <c r="A2536" s="1153">
        <f t="shared" si="136"/>
        <v>0</v>
      </c>
      <c r="B2536" s="1324" t="s">
        <v>2126</v>
      </c>
      <c r="C2536" s="1324"/>
      <c r="D2536" s="1090"/>
      <c r="E2536" s="1079">
        <f>VLOOKUP($B2536,DG!A:D,DG!$B$2,)</f>
        <v>0</v>
      </c>
      <c r="F2536" s="1108" t="str">
        <f>VLOOKUP($B2536,DG!A:D,DG!$C$2,)</f>
        <v>Khâu ven răng trong D42</v>
      </c>
      <c r="G2536" s="1135" t="str">
        <f>VLOOKUP($B2536,DG!A:D,DG!$D$2,)</f>
        <v>cái</v>
      </c>
      <c r="H2536" s="1894"/>
      <c r="I2536" s="1259">
        <f t="shared" si="135"/>
        <v>0</v>
      </c>
      <c r="J2536" s="1081"/>
      <c r="K2536" s="1081"/>
      <c r="L2536" s="1082"/>
      <c r="M2536" s="975">
        <v>1000</v>
      </c>
    </row>
    <row r="2537" spans="1:13" s="1083" customFormat="1" ht="25.2" hidden="1" customHeight="1">
      <c r="A2537" s="1153">
        <f t="shared" si="136"/>
        <v>0</v>
      </c>
      <c r="B2537" s="1154" t="s">
        <v>959</v>
      </c>
      <c r="C2537" s="1154"/>
      <c r="D2537" s="1090"/>
      <c r="E2537" s="1079">
        <f>VLOOKUP($B2537,DG!A:D,DG!$B$2,)</f>
        <v>0</v>
      </c>
      <c r="F2537" s="1108" t="str">
        <f>VLOOKUP($B2537,DG!A:D,DG!$C$2,)</f>
        <v>Khâu ven răng ngoài D42</v>
      </c>
      <c r="G2537" s="1135" t="str">
        <f>VLOOKUP($B2537,DG!A:D,DG!$D$2,)</f>
        <v>cái</v>
      </c>
      <c r="H2537" s="1894"/>
      <c r="I2537" s="1259">
        <f t="shared" si="135"/>
        <v>0</v>
      </c>
      <c r="J2537" s="1081"/>
      <c r="K2537" s="1081"/>
      <c r="L2537" s="1082"/>
      <c r="M2537" s="975">
        <v>1000</v>
      </c>
    </row>
    <row r="2538" spans="1:13" s="1083" customFormat="1" ht="25.2" hidden="1" customHeight="1">
      <c r="A2538" s="1153">
        <f t="shared" si="136"/>
        <v>0</v>
      </c>
      <c r="B2538" s="1154" t="s">
        <v>319</v>
      </c>
      <c r="C2538" s="1154"/>
      <c r="D2538" s="1090"/>
      <c r="E2538" s="1079" t="str">
        <f>VLOOKUP($B2538,DG!A:D,DG!$B$2,)</f>
        <v>06.3231</v>
      </c>
      <c r="F2538" s="1108" t="str">
        <f>VLOOKUP($B2538,DG!A:D,DG!$C$2,)</f>
        <v>Cổ dê CDĐKĐT( bắt thùng điện kế)</v>
      </c>
      <c r="G2538" s="1135" t="str">
        <f>VLOOKUP($B2538,DG!A:D,DG!$D$2,)</f>
        <v>bộ</v>
      </c>
      <c r="H2538" s="1894"/>
      <c r="I2538" s="1259">
        <f t="shared" si="135"/>
        <v>0</v>
      </c>
      <c r="J2538" s="1081"/>
      <c r="K2538" s="1081"/>
      <c r="L2538" s="1082"/>
      <c r="M2538" s="975">
        <v>1000</v>
      </c>
    </row>
    <row r="2539" spans="1:13" s="1083" customFormat="1" ht="25.2" hidden="1" customHeight="1">
      <c r="A2539" s="1153">
        <f t="shared" si="136"/>
        <v>0</v>
      </c>
      <c r="B2539" s="1154" t="s">
        <v>1919</v>
      </c>
      <c r="C2539" s="1154"/>
      <c r="D2539" s="1090"/>
      <c r="E2539" s="1079" t="str">
        <f>VLOOKUP($B2539,DG!A:D,DG!$B$2,)</f>
        <v>05.1101</v>
      </c>
      <c r="F2539" s="1108" t="str">
        <f>VLOOKUP($B2539,DG!A:D,DG!$C$2,)</f>
        <v>Thùng điện kế 450x300x200mm đo đếm trung thế</v>
      </c>
      <c r="G2539" s="1135" t="str">
        <f>VLOOKUP($B2539,DG!A:D,DG!$D$2,)</f>
        <v>cái</v>
      </c>
      <c r="H2539" s="1894"/>
      <c r="I2539" s="1259">
        <f t="shared" si="135"/>
        <v>0</v>
      </c>
      <c r="J2539" s="1081"/>
      <c r="K2539" s="1081"/>
      <c r="L2539" s="1082"/>
      <c r="M2539" s="975">
        <v>1000</v>
      </c>
    </row>
    <row r="2540" spans="1:13" s="1083" customFormat="1" ht="25.2" hidden="1" customHeight="1">
      <c r="A2540" s="1153">
        <f t="shared" si="136"/>
        <v>0</v>
      </c>
      <c r="B2540" s="1154" t="s">
        <v>6</v>
      </c>
      <c r="C2540" s="1154"/>
      <c r="D2540" s="1090"/>
      <c r="E2540" s="1079">
        <f>VLOOKUP($B2540,DG!A:D,DG!$B$2,)</f>
        <v>0</v>
      </c>
      <c r="F2540" s="1108" t="str">
        <f>VLOOKUP($B2540,DG!A:D,DG!$C$2,)</f>
        <v>Keo silicon bít miệng ống</v>
      </c>
      <c r="G2540" s="1135" t="str">
        <f>VLOOKUP($B2540,DG!A:D,DG!$D$2,)</f>
        <v>ống</v>
      </c>
      <c r="H2540" s="1894"/>
      <c r="I2540" s="1259">
        <f t="shared" si="135"/>
        <v>0</v>
      </c>
      <c r="J2540" s="1081"/>
      <c r="K2540" s="1081"/>
      <c r="L2540" s="1082"/>
      <c r="M2540" s="975">
        <v>1000</v>
      </c>
    </row>
    <row r="2541" spans="1:13" s="1083" customFormat="1" ht="25.2" hidden="1" customHeight="1">
      <c r="A2541" s="1153">
        <f t="shared" si="136"/>
        <v>0</v>
      </c>
      <c r="B2541" s="1154" t="s">
        <v>2145</v>
      </c>
      <c r="C2541" s="1154"/>
      <c r="D2541" s="1090"/>
      <c r="E2541" s="1079">
        <f>VLOOKUP($B2541,DG!A:D,DG!$B$2,)</f>
        <v>0</v>
      </c>
      <c r="F2541" s="1108" t="str">
        <f>VLOOKUP($B2541,DG!A:D,DG!$C$2,)</f>
        <v>Dây đồng trần mềm dẹt</v>
      </c>
      <c r="G2541" s="1135" t="str">
        <f>VLOOKUP($B2541,DG!A:D,DG!$D$2,)</f>
        <v>mét</v>
      </c>
      <c r="H2541" s="1894"/>
      <c r="I2541" s="1259">
        <f t="shared" si="135"/>
        <v>0</v>
      </c>
      <c r="J2541" s="1081"/>
      <c r="K2541" s="1081"/>
      <c r="L2541" s="1082"/>
      <c r="M2541" s="975">
        <v>1000</v>
      </c>
    </row>
    <row r="2542" spans="1:13" s="1083" customFormat="1" ht="25.2" hidden="1" customHeight="1">
      <c r="A2542" s="1153">
        <f t="shared" si="136"/>
        <v>0</v>
      </c>
      <c r="B2542" s="1154" t="s">
        <v>1035</v>
      </c>
      <c r="C2542" s="1154"/>
      <c r="D2542" s="1090"/>
      <c r="E2542" s="1079">
        <v>0</v>
      </c>
      <c r="F2542" s="1108" t="str">
        <f>VLOOKUP($B2542,DG!A:D,DG!$C$2,)&amp;" : 2 thanh daøi 0,5m"</f>
        <v>Sắt góc L50 x50 x5 : 2 thanh daøi 0,5m</v>
      </c>
      <c r="G2542" s="1135" t="str">
        <f>VLOOKUP($B2542,DG!A:D,DG!$D$2,)</f>
        <v>kg</v>
      </c>
      <c r="H2542" s="1894"/>
      <c r="I2542" s="1259">
        <f t="shared" si="135"/>
        <v>0</v>
      </c>
      <c r="J2542" s="1081"/>
      <c r="K2542" s="1081"/>
      <c r="L2542" s="1082"/>
      <c r="M2542" s="975">
        <v>1000</v>
      </c>
    </row>
    <row r="2543" spans="1:13" s="1083" customFormat="1" ht="25.2" hidden="1" customHeight="1">
      <c r="A2543" s="1153">
        <f t="shared" si="136"/>
        <v>0</v>
      </c>
      <c r="B2543" s="1154" t="s">
        <v>1353</v>
      </c>
      <c r="C2543" s="1154"/>
      <c r="D2543" s="1090"/>
      <c r="E2543" s="1079">
        <v>0</v>
      </c>
      <c r="F2543" s="1148" t="str">
        <f>VLOOKUP($B2543,DG!A:D,DG!$C$2,)&amp;" baét thuøng ÑKÑT"</f>
        <v>Boulon 12x60+ 2 long đền vuông D14-50x50x3/Zn baét thuøng ÑKÑT</v>
      </c>
      <c r="G2543" s="1135" t="str">
        <f>VLOOKUP($B2543,DG!A:D,DG!$D$2,)</f>
        <v>bộ</v>
      </c>
      <c r="H2543" s="1894"/>
      <c r="I2543" s="1259">
        <f t="shared" si="135"/>
        <v>0</v>
      </c>
      <c r="J2543" s="1081"/>
      <c r="K2543" s="1081"/>
      <c r="L2543" s="1082"/>
      <c r="M2543" s="975">
        <v>1000</v>
      </c>
    </row>
    <row r="2544" spans="1:13" s="1083" customFormat="1" ht="25.2" hidden="1" customHeight="1">
      <c r="A2544" s="1153">
        <f t="shared" si="136"/>
        <v>0</v>
      </c>
      <c r="B2544" s="1154" t="s">
        <v>6</v>
      </c>
      <c r="C2544" s="1154"/>
      <c r="D2544" s="1115"/>
      <c r="E2544" s="1116"/>
      <c r="F2544" s="1105" t="s">
        <v>3780</v>
      </c>
      <c r="G2544" s="1105"/>
      <c r="H2544" s="1897"/>
      <c r="I2544" s="1259">
        <f t="shared" si="135"/>
        <v>0</v>
      </c>
      <c r="J2544" s="1105"/>
      <c r="K2544" s="1105"/>
      <c r="L2544" s="1136"/>
      <c r="M2544" s="975">
        <v>1000</v>
      </c>
    </row>
    <row r="2545" spans="1:13" s="1083" customFormat="1" ht="25.2" hidden="1" customHeight="1">
      <c r="A2545" s="1153">
        <f t="shared" si="136"/>
        <v>0</v>
      </c>
      <c r="B2545" s="1154" t="s">
        <v>1922</v>
      </c>
      <c r="C2545" s="1154"/>
      <c r="D2545" s="1090"/>
      <c r="E2545" s="1079" t="str">
        <f>VLOOKUP($B2545,DG!A:D,DG!$B$2,)</f>
        <v>06.3241</v>
      </c>
      <c r="F2545" s="1108" t="s">
        <v>2466</v>
      </c>
      <c r="G2545" s="1135" t="str">
        <f>VLOOKUP($B2545,DG!A:D,DG!$D$2,)</f>
        <v>bộ</v>
      </c>
      <c r="H2545" s="1894"/>
      <c r="I2545" s="1259">
        <f t="shared" si="135"/>
        <v>0</v>
      </c>
      <c r="J2545" s="1081"/>
      <c r="K2545" s="1081"/>
      <c r="L2545" s="1082"/>
      <c r="M2545" s="975">
        <v>1000</v>
      </c>
    </row>
    <row r="2546" spans="1:13" s="1083" customFormat="1" ht="25.2" hidden="1" customHeight="1">
      <c r="A2546" s="1153">
        <f t="shared" si="136"/>
        <v>0</v>
      </c>
      <c r="B2546" s="1154" t="s">
        <v>809</v>
      </c>
      <c r="C2546" s="1154"/>
      <c r="D2546" s="1090"/>
      <c r="E2546" s="1079" t="str">
        <f>VLOOKUP($B2546,DG!A:D,DG!$B$2,)</f>
        <v>05.6011</v>
      </c>
      <c r="F2546" s="1108" t="s">
        <v>2467</v>
      </c>
      <c r="G2546" s="1135" t="str">
        <f>VLOOKUP($B2546,DG!A:D,DG!$D$2,)</f>
        <v>bộ</v>
      </c>
      <c r="H2546" s="1894"/>
      <c r="I2546" s="1259">
        <f t="shared" si="135"/>
        <v>0</v>
      </c>
      <c r="J2546" s="1081"/>
      <c r="K2546" s="1081"/>
      <c r="L2546" s="1082"/>
      <c r="M2546" s="975">
        <v>1000</v>
      </c>
    </row>
    <row r="2547" spans="1:13" s="1083" customFormat="1" ht="25.2" hidden="1" customHeight="1">
      <c r="A2547" s="1153">
        <f t="shared" si="136"/>
        <v>0</v>
      </c>
      <c r="B2547" s="1154" t="s">
        <v>1353</v>
      </c>
      <c r="C2547" s="1154"/>
      <c r="D2547" s="1090"/>
      <c r="E2547" s="1079">
        <f>VLOOKUP($B2547,DG!A:D,DG!$B$2,)</f>
        <v>0</v>
      </c>
      <c r="F2547" s="1148" t="str">
        <f>VLOOKUP($B2547,DG!A:D,DG!$C$2,)&amp;" baét thuøng ÑKÑT"</f>
        <v>Boulon 12x60+ 2 long đền vuông D14-50x50x3/Zn baét thuøng ÑKÑT</v>
      </c>
      <c r="G2547" s="1135" t="str">
        <f>VLOOKUP($B2547,DG!A:D,DG!$D$2,)</f>
        <v>bộ</v>
      </c>
      <c r="H2547" s="1894"/>
      <c r="I2547" s="1259">
        <f t="shared" ref="I2547:I2804" si="137">IF(M2547=$M$23,H2547+J2547-K2547,0)</f>
        <v>0</v>
      </c>
      <c r="J2547" s="1081"/>
      <c r="K2547" s="1081"/>
      <c r="L2547" s="1082"/>
      <c r="M2547" s="975">
        <v>1000</v>
      </c>
    </row>
    <row r="2548" spans="1:13" s="1083" customFormat="1" ht="25.2" hidden="1" customHeight="1">
      <c r="A2548" s="1153">
        <f t="shared" si="136"/>
        <v>0</v>
      </c>
      <c r="B2548" s="1154"/>
      <c r="C2548" s="1154"/>
      <c r="D2548" s="1149"/>
      <c r="E2548" s="1138"/>
      <c r="F2548" s="1105"/>
      <c r="G2548" s="1139"/>
      <c r="H2548" s="1878"/>
      <c r="I2548" s="1259">
        <f t="shared" si="137"/>
        <v>0</v>
      </c>
      <c r="J2548" s="1140"/>
      <c r="K2548" s="1141"/>
      <c r="L2548" s="1136"/>
      <c r="M2548" s="975"/>
    </row>
    <row r="2549" spans="1:13" s="1083" customFormat="1" ht="25.2" hidden="1" customHeight="1">
      <c r="A2549" s="1153">
        <f t="shared" si="136"/>
        <v>0</v>
      </c>
      <c r="B2549" s="1154"/>
      <c r="C2549" s="1154"/>
      <c r="D2549" s="2919"/>
      <c r="E2549" s="2920"/>
      <c r="F2549" s="2921"/>
      <c r="G2549" s="2922"/>
      <c r="H2549" s="2923"/>
      <c r="I2549" s="1906"/>
      <c r="J2549" s="2918"/>
      <c r="K2549" s="2918"/>
      <c r="L2549" s="1142"/>
      <c r="M2549" s="975"/>
    </row>
    <row r="2550" spans="1:13" s="1083" customFormat="1" ht="25.2" hidden="1" customHeight="1">
      <c r="A2550" s="1153">
        <f t="shared" si="136"/>
        <v>0</v>
      </c>
      <c r="B2550" s="1154"/>
      <c r="C2550" s="1154"/>
      <c r="D2550" s="2924"/>
      <c r="E2550" s="2924"/>
      <c r="F2550" s="2874" t="s">
        <v>3690</v>
      </c>
      <c r="G2550" s="2924"/>
      <c r="H2550" s="2924"/>
      <c r="I2550" s="2925">
        <f t="shared" si="137"/>
        <v>0</v>
      </c>
      <c r="J2550" s="1136"/>
      <c r="K2550" s="1136"/>
      <c r="L2550" s="1136"/>
      <c r="M2550" s="975">
        <v>1250</v>
      </c>
    </row>
    <row r="2551" spans="1:13" s="1083" customFormat="1" ht="25.2" customHeight="1">
      <c r="A2551" s="1153">
        <f t="shared" si="136"/>
        <v>1</v>
      </c>
      <c r="B2551" s="1154" t="s">
        <v>1416</v>
      </c>
      <c r="C2551" s="1154"/>
      <c r="D2551" s="2646">
        <f>IF(H2551&gt;0,1,0)</f>
        <v>1</v>
      </c>
      <c r="E2551" s="2926" t="s">
        <v>5656</v>
      </c>
      <c r="F2551" s="2927" t="str">
        <f>VLOOKUP(B2551,DonGia,3,0)</f>
        <v>Máy biến áp 22/0,4kV- 1250kVA</v>
      </c>
      <c r="G2551" s="2926" t="str">
        <f>VLOOKUP(B2551,DonGia,4,0)</f>
        <v>máy</v>
      </c>
      <c r="H2551" s="2917">
        <v>1</v>
      </c>
      <c r="I2551" s="2925">
        <f>H2551</f>
        <v>1</v>
      </c>
      <c r="J2551" s="1136"/>
      <c r="K2551" s="1136"/>
      <c r="L2551" s="1136"/>
      <c r="M2551" s="975">
        <v>1250</v>
      </c>
    </row>
    <row r="2552" spans="1:13" s="1083" customFormat="1" ht="25.2" customHeight="1">
      <c r="A2552" s="1153">
        <f t="shared" si="136"/>
        <v>1</v>
      </c>
      <c r="B2552" s="1154" t="s">
        <v>1655</v>
      </c>
      <c r="C2552" s="1154"/>
      <c r="D2552" s="2646">
        <f>IF(H2552&gt;0,D2551+1,D2551)</f>
        <v>2</v>
      </c>
      <c r="E2552" s="2926" t="s">
        <v>5660</v>
      </c>
      <c r="F2552" s="2927" t="str">
        <f>VLOOKUP(B2552,DonGia,3,0)</f>
        <v>FCO 27kV - 100A</v>
      </c>
      <c r="G2552" s="2926" t="str">
        <f>VLOOKUP(B2552,DonGia,4,0)</f>
        <v>cái</v>
      </c>
      <c r="H2552" s="2917">
        <f>H2551*3</f>
        <v>3</v>
      </c>
      <c r="I2552" s="2925">
        <f t="shared" ref="I2552:I2615" si="138">H2552</f>
        <v>3</v>
      </c>
      <c r="J2552" s="1136"/>
      <c r="K2552" s="1136"/>
      <c r="L2552" s="1136"/>
      <c r="M2552" s="975">
        <v>1250</v>
      </c>
    </row>
    <row r="2553" spans="1:13" s="1083" customFormat="1" ht="25.2" customHeight="1">
      <c r="A2553" s="1153">
        <f t="shared" si="136"/>
        <v>1</v>
      </c>
      <c r="B2553" s="1154" t="s">
        <v>6347</v>
      </c>
      <c r="C2553" s="1154"/>
      <c r="D2553" s="2646">
        <f>IF(H2553&gt;0,D2552+1,D2552)</f>
        <v>3</v>
      </c>
      <c r="E2553" s="2926">
        <v>0</v>
      </c>
      <c r="F2553" s="2927" t="str">
        <f>VLOOKUP(B2553,DonGia,3,0)</f>
        <v>Dây chảy 40K</v>
      </c>
      <c r="G2553" s="2926" t="str">
        <f>VLOOKUP(B2553,DonGia,4,0)</f>
        <v>Sợi</v>
      </c>
      <c r="H2553" s="2917">
        <f>H2552</f>
        <v>3</v>
      </c>
      <c r="I2553" s="2925">
        <f t="shared" si="138"/>
        <v>3</v>
      </c>
      <c r="J2553" s="1136"/>
      <c r="K2553" s="1136"/>
      <c r="L2553" s="1136"/>
      <c r="M2553" s="975">
        <v>1250</v>
      </c>
    </row>
    <row r="2554" spans="1:13" s="1083" customFormat="1" ht="25.2" customHeight="1">
      <c r="A2554" s="1153">
        <f t="shared" si="136"/>
        <v>1</v>
      </c>
      <c r="B2554" s="1154" t="s">
        <v>1376</v>
      </c>
      <c r="C2554" s="1154"/>
      <c r="D2554" s="2646">
        <f>IF(H2554&gt;0,D2553+1,D2553)</f>
        <v>4</v>
      </c>
      <c r="E2554" s="2926" t="s">
        <v>5664</v>
      </c>
      <c r="F2554" s="2927" t="str">
        <f>VLOOKUP(B2554,DonGia,3,0)</f>
        <v>Chống sét van LA-18KV-10KA</v>
      </c>
      <c r="G2554" s="2926" t="str">
        <f>VLOOKUP(B2554,DonGia,4,0)</f>
        <v>cái</v>
      </c>
      <c r="H2554" s="2917">
        <f>H2552</f>
        <v>3</v>
      </c>
      <c r="I2554" s="2925">
        <f t="shared" si="138"/>
        <v>3</v>
      </c>
      <c r="J2554" s="1136"/>
      <c r="K2554" s="1136"/>
      <c r="L2554" s="1136"/>
      <c r="M2554" s="975">
        <v>1250</v>
      </c>
    </row>
    <row r="2555" spans="1:13" s="1083" customFormat="1" ht="25.2" customHeight="1">
      <c r="A2555" s="1153">
        <f t="shared" si="136"/>
        <v>1</v>
      </c>
      <c r="B2555" s="1154" t="s">
        <v>6348</v>
      </c>
      <c r="C2555" s="1154"/>
      <c r="D2555" s="2646">
        <f>IF(H2555&gt;0,D2554+1,D2554)</f>
        <v>5</v>
      </c>
      <c r="E2555" s="2926">
        <v>0</v>
      </c>
      <c r="F2555" s="2927" t="str">
        <f>VLOOKUP(B2555,DonGia,3,0)</f>
        <v>ACB 3P - 2000A - 85KA (nạp lò xo bằng tay)</v>
      </c>
      <c r="G2555" s="2926" t="str">
        <f>VLOOKUP(B2555,DonGia,4,0)</f>
        <v>cái</v>
      </c>
      <c r="H2555" s="2917">
        <f>H2551</f>
        <v>1</v>
      </c>
      <c r="I2555" s="2925">
        <f t="shared" si="138"/>
        <v>1</v>
      </c>
      <c r="J2555" s="1136"/>
      <c r="K2555" s="1136"/>
      <c r="L2555" s="1136"/>
      <c r="M2555" s="975">
        <v>1250</v>
      </c>
    </row>
    <row r="2556" spans="1:13" s="1083" customFormat="1" ht="25.2" hidden="1" customHeight="1">
      <c r="A2556" s="1153">
        <f t="shared" si="136"/>
        <v>0</v>
      </c>
      <c r="B2556" s="1154" t="s">
        <v>710</v>
      </c>
      <c r="C2556" s="1154"/>
      <c r="D2556" s="2646">
        <f>IF(H2556&gt;0,D2554+1,D2554)</f>
        <v>4</v>
      </c>
      <c r="E2556" s="2926">
        <v>0</v>
      </c>
      <c r="F2556" s="2927" t="s">
        <v>5744</v>
      </c>
      <c r="G2556" s="2926" t="s">
        <v>2563</v>
      </c>
      <c r="H2556" s="2917"/>
      <c r="I2556" s="2925">
        <f t="shared" si="138"/>
        <v>0</v>
      </c>
      <c r="J2556" s="1136"/>
      <c r="K2556" s="1136"/>
      <c r="L2556" s="1136"/>
      <c r="M2556" s="975">
        <v>1250</v>
      </c>
    </row>
    <row r="2557" spans="1:13" s="1083" customFormat="1" ht="25.2" hidden="1" customHeight="1">
      <c r="A2557" s="1153">
        <f t="shared" si="136"/>
        <v>0</v>
      </c>
      <c r="B2557" s="1154" t="s">
        <v>710</v>
      </c>
      <c r="C2557" s="1154"/>
      <c r="D2557" s="2646">
        <f t="shared" ref="D2557:D2563" si="139">IF(H2557&gt;0,D2555+1,D2555)</f>
        <v>5</v>
      </c>
      <c r="E2557" s="2926">
        <v>0</v>
      </c>
      <c r="F2557" s="2927" t="s">
        <v>5744</v>
      </c>
      <c r="G2557" s="2926" t="s">
        <v>2563</v>
      </c>
      <c r="H2557" s="2917">
        <f>+H2551*1*0</f>
        <v>0</v>
      </c>
      <c r="I2557" s="2925">
        <f t="shared" si="138"/>
        <v>0</v>
      </c>
      <c r="J2557" s="1136"/>
      <c r="K2557" s="1136"/>
      <c r="L2557" s="1136"/>
      <c r="M2557" s="975">
        <v>1250</v>
      </c>
    </row>
    <row r="2558" spans="1:13" s="1083" customFormat="1" ht="25.2" hidden="1" customHeight="1">
      <c r="A2558" s="1153">
        <f t="shared" si="136"/>
        <v>0</v>
      </c>
      <c r="B2558" s="1154" t="s">
        <v>201</v>
      </c>
      <c r="C2558" s="1154"/>
      <c r="D2558" s="2646">
        <f t="shared" si="139"/>
        <v>4</v>
      </c>
      <c r="E2558" s="2926">
        <v>0</v>
      </c>
      <c r="F2558" s="2927" t="s">
        <v>3422</v>
      </c>
      <c r="G2558" s="2926" t="s">
        <v>2563</v>
      </c>
      <c r="H2558" s="2917"/>
      <c r="I2558" s="2925">
        <f t="shared" si="138"/>
        <v>0</v>
      </c>
      <c r="J2558" s="1136"/>
      <c r="K2558" s="1136"/>
      <c r="L2558" s="1136"/>
      <c r="M2558" s="975">
        <v>1250</v>
      </c>
    </row>
    <row r="2559" spans="1:13" s="1083" customFormat="1" ht="25.2" hidden="1" customHeight="1">
      <c r="A2559" s="1153">
        <f t="shared" si="136"/>
        <v>0</v>
      </c>
      <c r="B2559" s="1154" t="s">
        <v>936</v>
      </c>
      <c r="C2559" s="1154"/>
      <c r="D2559" s="2646">
        <f t="shared" si="139"/>
        <v>5</v>
      </c>
      <c r="E2559" s="2926">
        <v>0</v>
      </c>
      <c r="F2559" s="2927" t="s">
        <v>5741</v>
      </c>
      <c r="G2559" s="2926" t="s">
        <v>2563</v>
      </c>
      <c r="H2559" s="2917"/>
      <c r="I2559" s="2925">
        <f t="shared" si="138"/>
        <v>0</v>
      </c>
      <c r="J2559" s="1136"/>
      <c r="K2559" s="1136"/>
      <c r="L2559" s="1136"/>
      <c r="M2559" s="975">
        <v>1250</v>
      </c>
    </row>
    <row r="2560" spans="1:13" s="1083" customFormat="1" ht="25.2" customHeight="1">
      <c r="A2560" s="1153">
        <f t="shared" si="136"/>
        <v>1</v>
      </c>
      <c r="B2560" s="1154" t="s">
        <v>6349</v>
      </c>
      <c r="C2560" s="1154"/>
      <c r="D2560" s="2646">
        <f t="shared" si="139"/>
        <v>5</v>
      </c>
      <c r="E2560" s="2926" t="s">
        <v>1025</v>
      </c>
      <c r="F2560" s="2927" t="str">
        <f>VLOOKUP(B2560,DonGia,3,0)</f>
        <v>Tủ tụ bù hạ thế 500kVAr</v>
      </c>
      <c r="G2560" s="2926" t="str">
        <f>VLOOKUP(B2560,DonGia,4,0)</f>
        <v>tủ</v>
      </c>
      <c r="H2560" s="2917">
        <v>1</v>
      </c>
      <c r="I2560" s="2925">
        <f t="shared" si="138"/>
        <v>1</v>
      </c>
      <c r="J2560" s="1136"/>
      <c r="K2560" s="1136"/>
      <c r="L2560" s="1136"/>
      <c r="M2560" s="975">
        <v>1250</v>
      </c>
    </row>
    <row r="2561" spans="1:13" s="1083" customFormat="1" ht="25.2" customHeight="1">
      <c r="A2561" s="1153">
        <f t="shared" si="136"/>
        <v>1</v>
      </c>
      <c r="B2561" s="1154" t="s">
        <v>901</v>
      </c>
      <c r="C2561" s="1154"/>
      <c r="D2561" s="2646">
        <f t="shared" si="139"/>
        <v>6</v>
      </c>
      <c r="E2561" s="2926">
        <v>0</v>
      </c>
      <c r="F2561" s="2927" t="str">
        <f>VLOOKUP(B2561,DonGia,3,0)</f>
        <v>Biến dòng 24kV  30/5A</v>
      </c>
      <c r="G2561" s="2926" t="str">
        <f>VLOOKUP(B2561,DonGia,4,0)</f>
        <v>cái</v>
      </c>
      <c r="H2561" s="2917">
        <v>3</v>
      </c>
      <c r="I2561" s="2925">
        <f t="shared" si="138"/>
        <v>3</v>
      </c>
      <c r="J2561" s="1136"/>
      <c r="K2561" s="1136"/>
      <c r="L2561" s="1136"/>
      <c r="M2561" s="975">
        <v>1250</v>
      </c>
    </row>
    <row r="2562" spans="1:13" s="1083" customFormat="1" ht="25.2" customHeight="1">
      <c r="A2562" s="1153">
        <f t="shared" si="136"/>
        <v>1</v>
      </c>
      <c r="B2562" s="1154" t="s">
        <v>2193</v>
      </c>
      <c r="C2562" s="1154"/>
      <c r="D2562" s="2646">
        <f t="shared" si="139"/>
        <v>6</v>
      </c>
      <c r="E2562" s="2926">
        <v>0</v>
      </c>
      <c r="F2562" s="2927" t="str">
        <f>VLOOKUP(B2562,DonGia,3,0)</f>
        <v>Biến điện áp 12000/120(60)V</v>
      </c>
      <c r="G2562" s="2926" t="str">
        <f>VLOOKUP(B2562,DonGia,4,0)</f>
        <v>cái</v>
      </c>
      <c r="H2562" s="2917">
        <v>3</v>
      </c>
      <c r="I2562" s="2925">
        <f t="shared" si="138"/>
        <v>3</v>
      </c>
      <c r="J2562" s="1136"/>
      <c r="K2562" s="1136"/>
      <c r="L2562" s="1136"/>
      <c r="M2562" s="975">
        <v>1250</v>
      </c>
    </row>
    <row r="2563" spans="1:13" s="1083" customFormat="1" ht="25.2" customHeight="1">
      <c r="A2563" s="1153">
        <f t="shared" si="136"/>
        <v>1</v>
      </c>
      <c r="B2563" s="1154" t="s">
        <v>1841</v>
      </c>
      <c r="C2563" s="1154"/>
      <c r="D2563" s="2646">
        <f t="shared" si="139"/>
        <v>7</v>
      </c>
      <c r="E2563" s="2926">
        <v>0</v>
      </c>
      <c r="F2563" s="2927" t="str">
        <f>VLOOKUP(B2563,DonGia,3,0)</f>
        <v>Điện kế 3 pha điện tử 600V-5A</v>
      </c>
      <c r="G2563" s="2926" t="str">
        <f>VLOOKUP(B2563,DonGia,4,0)</f>
        <v>cái</v>
      </c>
      <c r="H2563" s="2917">
        <v>1</v>
      </c>
      <c r="I2563" s="2925">
        <f t="shared" si="138"/>
        <v>1</v>
      </c>
      <c r="J2563" s="1136"/>
      <c r="K2563" s="1136"/>
      <c r="L2563" s="1136"/>
      <c r="M2563" s="975">
        <v>1250</v>
      </c>
    </row>
    <row r="2564" spans="1:13" s="1083" customFormat="1" ht="25.2" hidden="1" customHeight="1">
      <c r="A2564" s="1153">
        <f t="shared" si="136"/>
        <v>0</v>
      </c>
      <c r="B2564" s="1154"/>
      <c r="C2564" s="1154"/>
      <c r="D2564" s="2646"/>
      <c r="E2564" s="2647"/>
      <c r="F2564" s="2648"/>
      <c r="G2564" s="2646"/>
      <c r="H2564" s="2917"/>
      <c r="I2564" s="2925">
        <f t="shared" si="138"/>
        <v>0</v>
      </c>
      <c r="J2564" s="1136"/>
      <c r="K2564" s="1136"/>
      <c r="L2564" s="1136"/>
      <c r="M2564" s="975">
        <v>1250</v>
      </c>
    </row>
    <row r="2565" spans="1:13" s="1083" customFormat="1" ht="25.2" hidden="1" customHeight="1">
      <c r="A2565" s="1153">
        <f t="shared" si="136"/>
        <v>0</v>
      </c>
      <c r="B2565" s="1154"/>
      <c r="C2565" s="1154"/>
      <c r="D2565" s="2648"/>
      <c r="E2565" s="2648"/>
      <c r="F2565" s="2648" t="s">
        <v>3691</v>
      </c>
      <c r="G2565" s="2648"/>
      <c r="H2565" s="2944"/>
      <c r="I2565" s="2925">
        <f t="shared" si="138"/>
        <v>0</v>
      </c>
      <c r="J2565" s="1136"/>
      <c r="K2565" s="1136"/>
      <c r="L2565" s="1136"/>
      <c r="M2565" s="975">
        <v>1250</v>
      </c>
    </row>
    <row r="2566" spans="1:13" s="1083" customFormat="1" ht="25.2" hidden="1" customHeight="1">
      <c r="A2566" s="1153">
        <f t="shared" si="136"/>
        <v>0</v>
      </c>
      <c r="B2566" s="1154"/>
      <c r="C2566" s="1154"/>
      <c r="D2566" s="2648">
        <f>IF(H2566&gt;0,1,0)</f>
        <v>0</v>
      </c>
      <c r="E2566" s="2926"/>
      <c r="F2566" s="2678" t="s">
        <v>6196</v>
      </c>
      <c r="G2566" s="2928" t="s">
        <v>2283</v>
      </c>
      <c r="H2566" s="2945"/>
      <c r="I2566" s="2925">
        <f t="shared" si="138"/>
        <v>0</v>
      </c>
      <c r="J2566" s="1136"/>
      <c r="K2566" s="1136"/>
      <c r="L2566" s="1136"/>
      <c r="M2566" s="975">
        <v>1250</v>
      </c>
    </row>
    <row r="2567" spans="1:13" s="1083" customFormat="1" ht="25.2" hidden="1" customHeight="1">
      <c r="A2567" s="1153">
        <f t="shared" si="136"/>
        <v>0</v>
      </c>
      <c r="B2567" s="1154" t="s">
        <v>5337</v>
      </c>
      <c r="C2567" s="1154"/>
      <c r="D2567" s="2929"/>
      <c r="E2567" s="2926"/>
      <c r="F2567" s="2930" t="s">
        <v>5338</v>
      </c>
      <c r="G2567" s="2926" t="s">
        <v>2839</v>
      </c>
      <c r="H2567" s="2946">
        <f>H2566</f>
        <v>0</v>
      </c>
      <c r="I2567" s="2925">
        <f t="shared" si="138"/>
        <v>0</v>
      </c>
      <c r="J2567" s="1136"/>
      <c r="K2567" s="1136"/>
      <c r="L2567" s="1136"/>
      <c r="M2567" s="975">
        <v>1250</v>
      </c>
    </row>
    <row r="2568" spans="1:13" s="1083" customFormat="1" ht="25.2" hidden="1" customHeight="1">
      <c r="A2568" s="1153">
        <f t="shared" si="136"/>
        <v>0</v>
      </c>
      <c r="B2568" s="1154" t="s">
        <v>1818</v>
      </c>
      <c r="C2568" s="1154"/>
      <c r="D2568" s="2929"/>
      <c r="E2568" s="2926"/>
      <c r="F2568" s="2930" t="s">
        <v>2838</v>
      </c>
      <c r="G2568" s="2926" t="s">
        <v>2839</v>
      </c>
      <c r="H2568" s="2946">
        <f>H2567</f>
        <v>0</v>
      </c>
      <c r="I2568" s="2925">
        <f t="shared" si="138"/>
        <v>0</v>
      </c>
      <c r="J2568" s="1136"/>
      <c r="K2568" s="1136"/>
      <c r="L2568" s="1136"/>
      <c r="M2568" s="975">
        <v>1250</v>
      </c>
    </row>
    <row r="2569" spans="1:13" s="1083" customFormat="1" ht="25.2" hidden="1" customHeight="1">
      <c r="A2569" s="1153">
        <f t="shared" si="136"/>
        <v>0</v>
      </c>
      <c r="B2569" s="1154" t="s">
        <v>643</v>
      </c>
      <c r="C2569" s="1154"/>
      <c r="D2569" s="2929"/>
      <c r="E2569" s="2926" t="s">
        <v>2133</v>
      </c>
      <c r="F2569" s="2930" t="s">
        <v>3185</v>
      </c>
      <c r="G2569" s="2926" t="s">
        <v>2839</v>
      </c>
      <c r="H2569" s="2946">
        <f>H2567</f>
        <v>0</v>
      </c>
      <c r="I2569" s="2925">
        <f t="shared" si="138"/>
        <v>0</v>
      </c>
      <c r="J2569" s="1136"/>
      <c r="K2569" s="1136"/>
      <c r="L2569" s="1136"/>
      <c r="M2569" s="975">
        <v>1250</v>
      </c>
    </row>
    <row r="2570" spans="1:13" s="1083" customFormat="1" ht="25.2" hidden="1" customHeight="1">
      <c r="A2570" s="1153">
        <f t="shared" si="136"/>
        <v>0</v>
      </c>
      <c r="B2570" s="1154"/>
      <c r="C2570" s="1154"/>
      <c r="D2570" s="2648">
        <f>IF(H2570&gt;0,1,0)</f>
        <v>0</v>
      </c>
      <c r="E2570" s="2926"/>
      <c r="F2570" s="2678" t="s">
        <v>6291</v>
      </c>
      <c r="G2570" s="2928" t="s">
        <v>2283</v>
      </c>
      <c r="H2570" s="2945"/>
      <c r="I2570" s="2925">
        <f t="shared" si="138"/>
        <v>0</v>
      </c>
      <c r="J2570" s="1136"/>
      <c r="K2570" s="1136"/>
      <c r="L2570" s="1136"/>
      <c r="M2570" s="975">
        <v>1250</v>
      </c>
    </row>
    <row r="2571" spans="1:13" s="1083" customFormat="1" ht="25.2" hidden="1" customHeight="1">
      <c r="A2571" s="1153">
        <f t="shared" si="136"/>
        <v>0</v>
      </c>
      <c r="B2571" s="1154" t="s">
        <v>114</v>
      </c>
      <c r="C2571" s="1154"/>
      <c r="D2571" s="2929"/>
      <c r="E2571" s="2926"/>
      <c r="F2571" s="2930" t="s">
        <v>3008</v>
      </c>
      <c r="G2571" s="2926" t="s">
        <v>2839</v>
      </c>
      <c r="H2571" s="2946">
        <f>H2570</f>
        <v>0</v>
      </c>
      <c r="I2571" s="2925">
        <f t="shared" si="138"/>
        <v>0</v>
      </c>
      <c r="J2571" s="1136"/>
      <c r="K2571" s="1136"/>
      <c r="L2571" s="1136"/>
      <c r="M2571" s="975">
        <v>1250</v>
      </c>
    </row>
    <row r="2572" spans="1:13" s="1083" customFormat="1" ht="25.2" hidden="1" customHeight="1">
      <c r="A2572" s="1153">
        <f t="shared" si="136"/>
        <v>0</v>
      </c>
      <c r="B2572" s="1154" t="s">
        <v>1818</v>
      </c>
      <c r="C2572" s="1154"/>
      <c r="D2572" s="2929"/>
      <c r="E2572" s="2926"/>
      <c r="F2572" s="2930" t="s">
        <v>2838</v>
      </c>
      <c r="G2572" s="2926" t="s">
        <v>2839</v>
      </c>
      <c r="H2572" s="2946">
        <f>H2571</f>
        <v>0</v>
      </c>
      <c r="I2572" s="2925">
        <f t="shared" si="138"/>
        <v>0</v>
      </c>
      <c r="J2572" s="1136"/>
      <c r="K2572" s="1136"/>
      <c r="L2572" s="1136"/>
      <c r="M2572" s="975">
        <v>1250</v>
      </c>
    </row>
    <row r="2573" spans="1:13" s="1083" customFormat="1" ht="25.2" hidden="1" customHeight="1">
      <c r="A2573" s="1153">
        <f t="shared" si="136"/>
        <v>0</v>
      </c>
      <c r="B2573" s="1154" t="s">
        <v>644</v>
      </c>
      <c r="C2573" s="1154"/>
      <c r="D2573" s="2929"/>
      <c r="E2573" s="2926" t="s">
        <v>2133</v>
      </c>
      <c r="F2573" s="2930" t="s">
        <v>3186</v>
      </c>
      <c r="G2573" s="2926" t="s">
        <v>2839</v>
      </c>
      <c r="H2573" s="2946">
        <f>H2571</f>
        <v>0</v>
      </c>
      <c r="I2573" s="2925">
        <f t="shared" si="138"/>
        <v>0</v>
      </c>
      <c r="J2573" s="1136"/>
      <c r="K2573" s="1136"/>
      <c r="L2573" s="1136"/>
      <c r="M2573" s="975">
        <v>1250</v>
      </c>
    </row>
    <row r="2574" spans="1:13" s="1083" customFormat="1" ht="25.2" hidden="1" customHeight="1">
      <c r="A2574" s="1153">
        <f t="shared" si="136"/>
        <v>0</v>
      </c>
      <c r="B2574" s="1154"/>
      <c r="C2574" s="1154"/>
      <c r="D2574" s="2648">
        <f>IF(H2574&gt;0,D2566+1,D2566)</f>
        <v>0</v>
      </c>
      <c r="E2574" s="2926"/>
      <c r="F2574" s="2931" t="s">
        <v>2370</v>
      </c>
      <c r="G2574" s="2932" t="s">
        <v>2333</v>
      </c>
      <c r="H2574" s="2945"/>
      <c r="I2574" s="2925">
        <f t="shared" si="138"/>
        <v>0</v>
      </c>
      <c r="J2574" s="1136"/>
      <c r="K2574" s="1136"/>
      <c r="L2574" s="1136"/>
      <c r="M2574" s="975">
        <v>1250</v>
      </c>
    </row>
    <row r="2575" spans="1:13" s="1083" customFormat="1" ht="25.2" hidden="1" customHeight="1">
      <c r="A2575" s="1153">
        <f t="shared" si="136"/>
        <v>0</v>
      </c>
      <c r="B2575" s="1154" t="s">
        <v>751</v>
      </c>
      <c r="C2575" s="1154"/>
      <c r="D2575" s="2929"/>
      <c r="E2575" s="2926">
        <v>0</v>
      </c>
      <c r="F2575" s="2930" t="s">
        <v>5351</v>
      </c>
      <c r="G2575" s="2926" t="s">
        <v>2254</v>
      </c>
      <c r="H2575" s="2946">
        <f>H2574*504</f>
        <v>0</v>
      </c>
      <c r="I2575" s="2925">
        <f t="shared" si="138"/>
        <v>0</v>
      </c>
      <c r="J2575" s="1136"/>
      <c r="K2575" s="1136"/>
      <c r="L2575" s="1136"/>
      <c r="M2575" s="975">
        <v>1250</v>
      </c>
    </row>
    <row r="2576" spans="1:13" s="1083" customFormat="1" ht="25.2" hidden="1" customHeight="1">
      <c r="A2576" s="1153">
        <f t="shared" si="136"/>
        <v>0</v>
      </c>
      <c r="B2576" s="1154" t="s">
        <v>752</v>
      </c>
      <c r="C2576" s="1154"/>
      <c r="D2576" s="2929"/>
      <c r="E2576" s="2926"/>
      <c r="F2576" s="2930" t="s">
        <v>3022</v>
      </c>
      <c r="G2576" s="2926" t="s">
        <v>856</v>
      </c>
      <c r="H2576" s="2946">
        <f>H2574*0.809</f>
        <v>0</v>
      </c>
      <c r="I2576" s="2925">
        <f t="shared" si="138"/>
        <v>0</v>
      </c>
      <c r="J2576" s="1136"/>
      <c r="K2576" s="1136"/>
      <c r="L2576" s="1136"/>
      <c r="M2576" s="975">
        <v>1250</v>
      </c>
    </row>
    <row r="2577" spans="1:13" s="1083" customFormat="1" ht="25.2" hidden="1" customHeight="1">
      <c r="A2577" s="1153">
        <f t="shared" si="136"/>
        <v>0</v>
      </c>
      <c r="B2577" s="1154" t="s">
        <v>867</v>
      </c>
      <c r="C2577" s="1154"/>
      <c r="D2577" s="2929"/>
      <c r="E2577" s="2926">
        <v>0</v>
      </c>
      <c r="F2577" s="2930" t="s">
        <v>3018</v>
      </c>
      <c r="G2577" s="2926" t="s">
        <v>856</v>
      </c>
      <c r="H2577" s="2946">
        <f>1.501*H2574</f>
        <v>0</v>
      </c>
      <c r="I2577" s="2925">
        <f t="shared" si="138"/>
        <v>0</v>
      </c>
      <c r="J2577" s="1136"/>
      <c r="K2577" s="1136"/>
      <c r="L2577" s="1136"/>
      <c r="M2577" s="975">
        <v>1250</v>
      </c>
    </row>
    <row r="2578" spans="1:13" s="1083" customFormat="1" ht="25.2" hidden="1" customHeight="1">
      <c r="A2578" s="1153">
        <f t="shared" si="136"/>
        <v>0</v>
      </c>
      <c r="B2578" s="1154" t="s">
        <v>6171</v>
      </c>
      <c r="C2578" s="1154"/>
      <c r="D2578" s="2929"/>
      <c r="E2578" s="2926">
        <v>0</v>
      </c>
      <c r="F2578" s="2930" t="s">
        <v>2674</v>
      </c>
      <c r="G2578" s="2926" t="s">
        <v>2445</v>
      </c>
      <c r="H2578" s="2946">
        <f>H2574</f>
        <v>0</v>
      </c>
      <c r="I2578" s="2925">
        <f t="shared" si="138"/>
        <v>0</v>
      </c>
      <c r="J2578" s="1136"/>
      <c r="K2578" s="1136"/>
      <c r="L2578" s="1136"/>
      <c r="M2578" s="975">
        <v>1250</v>
      </c>
    </row>
    <row r="2579" spans="1:13" s="1083" customFormat="1" ht="25.2" hidden="1" customHeight="1">
      <c r="A2579" s="1153">
        <f t="shared" si="136"/>
        <v>0</v>
      </c>
      <c r="B2579" s="1154" t="s">
        <v>4875</v>
      </c>
      <c r="C2579" s="1154"/>
      <c r="D2579" s="2929"/>
      <c r="E2579" s="2926"/>
      <c r="F2579" s="2930" t="s">
        <v>4673</v>
      </c>
      <c r="G2579" s="2926" t="s">
        <v>2445</v>
      </c>
      <c r="H2579" s="2946">
        <f>H2574</f>
        <v>0</v>
      </c>
      <c r="I2579" s="2925">
        <f t="shared" si="138"/>
        <v>0</v>
      </c>
      <c r="J2579" s="1136"/>
      <c r="K2579" s="1136"/>
      <c r="L2579" s="1136"/>
      <c r="M2579" s="975">
        <v>1250</v>
      </c>
    </row>
    <row r="2580" spans="1:13" s="1083" customFormat="1" ht="25.2" hidden="1" customHeight="1">
      <c r="A2580" s="1153">
        <f t="shared" si="136"/>
        <v>0</v>
      </c>
      <c r="B2580" s="1154" t="s">
        <v>5383</v>
      </c>
      <c r="C2580" s="1154"/>
      <c r="D2580" s="2929"/>
      <c r="E2580" s="2926"/>
      <c r="F2580" s="2930" t="s">
        <v>5385</v>
      </c>
      <c r="G2580" s="2926" t="s">
        <v>856</v>
      </c>
      <c r="H2580" s="2946">
        <f>H2574*1.93</f>
        <v>0</v>
      </c>
      <c r="I2580" s="2925">
        <f t="shared" si="138"/>
        <v>0</v>
      </c>
      <c r="J2580" s="1136"/>
      <c r="K2580" s="1136"/>
      <c r="L2580" s="1136"/>
      <c r="M2580" s="975">
        <v>1250</v>
      </c>
    </row>
    <row r="2581" spans="1:13" s="1083" customFormat="1" ht="25.2" hidden="1" customHeight="1">
      <c r="A2581" s="1153">
        <f t="shared" si="136"/>
        <v>0</v>
      </c>
      <c r="B2581" s="1154" t="s">
        <v>1839</v>
      </c>
      <c r="C2581" s="1154"/>
      <c r="D2581" s="2929"/>
      <c r="E2581" s="2926"/>
      <c r="F2581" s="2930" t="s">
        <v>5535</v>
      </c>
      <c r="G2581" s="2926" t="s">
        <v>856</v>
      </c>
      <c r="H2581" s="2946">
        <f>H2574*1.704</f>
        <v>0</v>
      </c>
      <c r="I2581" s="2925">
        <f t="shared" si="138"/>
        <v>0</v>
      </c>
      <c r="J2581" s="1136"/>
      <c r="K2581" s="1136"/>
      <c r="L2581" s="1136"/>
      <c r="M2581" s="975">
        <v>1250</v>
      </c>
    </row>
    <row r="2582" spans="1:13" s="1083" customFormat="1" ht="25.2" hidden="1" customHeight="1">
      <c r="A2582" s="1153">
        <f t="shared" si="136"/>
        <v>0</v>
      </c>
      <c r="B2582" s="1154"/>
      <c r="C2582" s="1154"/>
      <c r="D2582" s="2648">
        <f>IF(H2582&gt;0,D2571+1,D2571)</f>
        <v>0</v>
      </c>
      <c r="E2582" s="2926"/>
      <c r="F2582" s="2678" t="s">
        <v>3731</v>
      </c>
      <c r="G2582" s="2928" t="s">
        <v>2333</v>
      </c>
      <c r="H2582" s="2945"/>
      <c r="I2582" s="2925">
        <f t="shared" si="138"/>
        <v>0</v>
      </c>
      <c r="J2582" s="1136"/>
      <c r="K2582" s="1136"/>
      <c r="L2582" s="1136"/>
      <c r="M2582" s="975">
        <v>1250</v>
      </c>
    </row>
    <row r="2583" spans="1:13" s="1083" customFormat="1" ht="25.2" hidden="1" customHeight="1">
      <c r="A2583" s="1153">
        <f t="shared" si="136"/>
        <v>0</v>
      </c>
      <c r="B2583" s="1154" t="s">
        <v>636</v>
      </c>
      <c r="C2583" s="1154"/>
      <c r="D2583" s="2929"/>
      <c r="E2583" s="2926" t="s">
        <v>5099</v>
      </c>
      <c r="F2583" s="2930" t="s">
        <v>2615</v>
      </c>
      <c r="G2583" s="2926" t="s">
        <v>2563</v>
      </c>
      <c r="H2583" s="2946">
        <f>H2582</f>
        <v>0</v>
      </c>
      <c r="I2583" s="2925">
        <f t="shared" si="138"/>
        <v>0</v>
      </c>
      <c r="J2583" s="1136"/>
      <c r="K2583" s="1136"/>
      <c r="L2583" s="1136"/>
      <c r="M2583" s="975">
        <v>1250</v>
      </c>
    </row>
    <row r="2584" spans="1:13" s="1083" customFormat="1" ht="25.2" hidden="1" customHeight="1">
      <c r="A2584" s="1153">
        <f t="shared" si="136"/>
        <v>0</v>
      </c>
      <c r="B2584" s="1154" t="s">
        <v>566</v>
      </c>
      <c r="C2584" s="1154"/>
      <c r="D2584" s="2929"/>
      <c r="E2584" s="2926"/>
      <c r="F2584" s="2930" t="s">
        <v>5124</v>
      </c>
      <c r="G2584" s="2926" t="s">
        <v>2445</v>
      </c>
      <c r="H2584" s="2946">
        <f>H2583</f>
        <v>0</v>
      </c>
      <c r="I2584" s="2925">
        <f t="shared" si="138"/>
        <v>0</v>
      </c>
      <c r="J2584" s="1136"/>
      <c r="K2584" s="1136"/>
      <c r="L2584" s="1136"/>
      <c r="M2584" s="975">
        <v>1250</v>
      </c>
    </row>
    <row r="2585" spans="1:13" s="1083" customFormat="1" ht="25.2" hidden="1" customHeight="1">
      <c r="A2585" s="1153">
        <f t="shared" si="136"/>
        <v>0</v>
      </c>
      <c r="B2585" s="1154" t="s">
        <v>639</v>
      </c>
      <c r="C2585" s="1154"/>
      <c r="D2585" s="2929"/>
      <c r="E2585" s="2926" t="s">
        <v>1751</v>
      </c>
      <c r="F2585" s="2930" t="s">
        <v>5386</v>
      </c>
      <c r="G2585" s="2926" t="s">
        <v>856</v>
      </c>
      <c r="H2585" s="2946">
        <f>1.48*H2583</f>
        <v>0</v>
      </c>
      <c r="I2585" s="2925">
        <f t="shared" si="138"/>
        <v>0</v>
      </c>
      <c r="J2585" s="1136"/>
      <c r="K2585" s="1136"/>
      <c r="L2585" s="1136"/>
      <c r="M2585" s="975">
        <v>1250</v>
      </c>
    </row>
    <row r="2586" spans="1:13" s="1083" customFormat="1" ht="25.2" hidden="1" customHeight="1">
      <c r="A2586" s="1153">
        <f t="shared" ref="A2586:A2649" si="140">IF(I2586&gt;0,1,0)</f>
        <v>0</v>
      </c>
      <c r="B2586" s="1154" t="s">
        <v>21</v>
      </c>
      <c r="C2586" s="1154"/>
      <c r="D2586" s="2929"/>
      <c r="E2586" s="2926" t="s">
        <v>5387</v>
      </c>
      <c r="F2586" s="2930" t="s">
        <v>5388</v>
      </c>
      <c r="G2586" s="2926" t="s">
        <v>856</v>
      </c>
      <c r="H2586" s="2946">
        <f>1.39*H2582</f>
        <v>0</v>
      </c>
      <c r="I2586" s="2925">
        <f t="shared" si="138"/>
        <v>0</v>
      </c>
      <c r="J2586" s="1136"/>
      <c r="K2586" s="1136"/>
      <c r="L2586" s="1136"/>
      <c r="M2586" s="975">
        <v>1250</v>
      </c>
    </row>
    <row r="2587" spans="1:13" s="1083" customFormat="1" ht="25.2" customHeight="1">
      <c r="A2587" s="1153">
        <f t="shared" si="140"/>
        <v>1</v>
      </c>
      <c r="B2587" s="1154" t="s">
        <v>6491</v>
      </c>
      <c r="C2587" s="1154"/>
      <c r="D2587" s="2933">
        <f>IF(H2587&gt;0,D2582+1,D2582)</f>
        <v>1</v>
      </c>
      <c r="E2587" s="2934"/>
      <c r="F2587" s="2935" t="s">
        <v>6311</v>
      </c>
      <c r="G2587" s="2936" t="s">
        <v>2391</v>
      </c>
      <c r="H2587" s="2947">
        <f>+H2551*1</f>
        <v>1</v>
      </c>
      <c r="I2587" s="2925">
        <f t="shared" si="138"/>
        <v>1</v>
      </c>
      <c r="J2587" s="1136"/>
      <c r="K2587" s="1136"/>
      <c r="L2587" s="1136"/>
      <c r="M2587" s="975">
        <v>1250</v>
      </c>
    </row>
    <row r="2588" spans="1:13" s="1083" customFormat="1" ht="25.2" hidden="1" customHeight="1">
      <c r="A2588" s="1153">
        <f t="shared" si="140"/>
        <v>0</v>
      </c>
      <c r="B2588" s="1154"/>
      <c r="C2588" s="1154"/>
      <c r="D2588" s="2648"/>
      <c r="E2588" s="2937"/>
      <c r="F2588" s="2938" t="s">
        <v>6207</v>
      </c>
      <c r="G2588" s="2646"/>
      <c r="H2588" s="2917"/>
      <c r="I2588" s="2925">
        <f t="shared" si="138"/>
        <v>0</v>
      </c>
      <c r="J2588" s="1136"/>
      <c r="K2588" s="1136"/>
      <c r="L2588" s="1136"/>
      <c r="M2588" s="975">
        <v>1250</v>
      </c>
    </row>
    <row r="2589" spans="1:13" s="1083" customFormat="1" ht="25.2" customHeight="1">
      <c r="A2589" s="1153">
        <f t="shared" si="140"/>
        <v>1</v>
      </c>
      <c r="B2589" s="1154" t="s">
        <v>4354</v>
      </c>
      <c r="C2589" s="1154"/>
      <c r="D2589" s="2648"/>
      <c r="E2589" s="2926">
        <v>0</v>
      </c>
      <c r="F2589" s="2927" t="str">
        <f>VLOOKUP(B2589,DonGia,3,0)</f>
        <v>Xà composite 110x800x5 dài 2,4m</v>
      </c>
      <c r="G2589" s="2926" t="str">
        <f>VLOOKUP(B2589,DonGia,4,0)</f>
        <v>cái</v>
      </c>
      <c r="H2589" s="2917">
        <f>+H2587*1</f>
        <v>1</v>
      </c>
      <c r="I2589" s="2925">
        <f t="shared" si="138"/>
        <v>1</v>
      </c>
      <c r="J2589" s="1136"/>
      <c r="K2589" s="1136"/>
      <c r="L2589" s="1136"/>
      <c r="M2589" s="975">
        <v>1250</v>
      </c>
    </row>
    <row r="2590" spans="1:13" s="1083" customFormat="1" ht="25.2" customHeight="1">
      <c r="A2590" s="1153">
        <f t="shared" si="140"/>
        <v>1</v>
      </c>
      <c r="B2590" s="1154" t="s">
        <v>365</v>
      </c>
      <c r="C2590" s="1154"/>
      <c r="D2590" s="2648"/>
      <c r="E2590" s="2926">
        <v>0</v>
      </c>
      <c r="F2590" s="2927" t="str">
        <f>VLOOKUP(B2590,DonGia,3,0)</f>
        <v>Chống composite 40x10x920</v>
      </c>
      <c r="G2590" s="2926" t="str">
        <f>VLOOKUP(B2590,DonGia,4,0)</f>
        <v>cái</v>
      </c>
      <c r="H2590" s="2917">
        <f>H2589*2</f>
        <v>2</v>
      </c>
      <c r="I2590" s="2925">
        <f t="shared" si="138"/>
        <v>2</v>
      </c>
      <c r="J2590" s="1136"/>
      <c r="K2590" s="1136"/>
      <c r="L2590" s="1136"/>
      <c r="M2590" s="975">
        <v>1250</v>
      </c>
    </row>
    <row r="2591" spans="1:13" s="1083" customFormat="1" ht="25.2" customHeight="1">
      <c r="A2591" s="1153">
        <f t="shared" si="140"/>
        <v>1</v>
      </c>
      <c r="B2591" s="1154" t="s">
        <v>488</v>
      </c>
      <c r="C2591" s="1154"/>
      <c r="D2591" s="2648"/>
      <c r="E2591" s="2926">
        <v>0</v>
      </c>
      <c r="F2591" s="2927" t="str">
        <f>VLOOKUP(B2591,DonGia,3,0)</f>
        <v>Bass LL bắt FCO, LA</v>
      </c>
      <c r="G2591" s="2926" t="str">
        <f>VLOOKUP(B2591,DonGia,4,0)</f>
        <v>bộ</v>
      </c>
      <c r="H2591" s="2917">
        <f>+H2587*3</f>
        <v>3</v>
      </c>
      <c r="I2591" s="2925">
        <f t="shared" si="138"/>
        <v>3</v>
      </c>
      <c r="J2591" s="1136"/>
      <c r="K2591" s="1136"/>
      <c r="L2591" s="1136"/>
      <c r="M2591" s="975">
        <v>1250</v>
      </c>
    </row>
    <row r="2592" spans="1:13" s="1083" customFormat="1" ht="25.2" customHeight="1">
      <c r="A2592" s="1153">
        <f t="shared" si="140"/>
        <v>1</v>
      </c>
      <c r="B2592" s="1154" t="s">
        <v>1079</v>
      </c>
      <c r="C2592" s="1154"/>
      <c r="D2592" s="2648"/>
      <c r="E2592" s="2926">
        <v>0</v>
      </c>
      <c r="F2592" s="2927" t="str">
        <f>VLOOKUP(B2592,DonGia,3,0)</f>
        <v>Boulon 16x350+ 2 long đền vuông D18-50x50x3/Zn</v>
      </c>
      <c r="G2592" s="2926" t="str">
        <f>VLOOKUP(B2592,DonGia,4,0)</f>
        <v>bộ</v>
      </c>
      <c r="H2592" s="2917">
        <f>+H2587*2</f>
        <v>2</v>
      </c>
      <c r="I2592" s="2925">
        <f t="shared" si="138"/>
        <v>2</v>
      </c>
      <c r="J2592" s="1136"/>
      <c r="K2592" s="1136"/>
      <c r="L2592" s="1136"/>
      <c r="M2592" s="975">
        <v>1250</v>
      </c>
    </row>
    <row r="2593" spans="1:13" s="1083" customFormat="1" ht="25.2" customHeight="1">
      <c r="A2593" s="1153">
        <f t="shared" si="140"/>
        <v>1</v>
      </c>
      <c r="B2593" s="1154" t="s">
        <v>244</v>
      </c>
      <c r="C2593" s="1154"/>
      <c r="D2593" s="2648"/>
      <c r="E2593" s="2926">
        <v>0</v>
      </c>
      <c r="F2593" s="2927" t="str">
        <f>VLOOKUP(B2593,DonGia,3,0)</f>
        <v>Boulon 16x150+ 2 long đền vuông D18-50x50x3/Zn</v>
      </c>
      <c r="G2593" s="2926" t="str">
        <f>VLOOKUP(B2593,DonGia,4,0)</f>
        <v>bộ</v>
      </c>
      <c r="H2593" s="2917">
        <f>+H2587*2</f>
        <v>2</v>
      </c>
      <c r="I2593" s="2925">
        <f t="shared" si="138"/>
        <v>2</v>
      </c>
      <c r="J2593" s="1136"/>
      <c r="K2593" s="1136"/>
      <c r="L2593" s="1136"/>
      <c r="M2593" s="975">
        <v>1250</v>
      </c>
    </row>
    <row r="2594" spans="1:13" s="1083" customFormat="1" ht="25.2" customHeight="1">
      <c r="A2594" s="1153">
        <f t="shared" si="140"/>
        <v>1</v>
      </c>
      <c r="B2594" s="1154" t="s">
        <v>2248</v>
      </c>
      <c r="C2594" s="1154"/>
      <c r="D2594" s="2648"/>
      <c r="E2594" s="2926" t="s">
        <v>5506</v>
      </c>
      <c r="F2594" s="2927" t="str">
        <f>VLOOKUP(B2594,DonGia,3,0)</f>
        <v>Lắp xà cột Pi loại ≤140kg/xà</v>
      </c>
      <c r="G2594" s="2926" t="str">
        <f>VLOOKUP(B2594,DonGia,4,0)</f>
        <v>bộ</v>
      </c>
      <c r="H2594" s="2917">
        <f>+H2587</f>
        <v>1</v>
      </c>
      <c r="I2594" s="2925">
        <f t="shared" si="138"/>
        <v>1</v>
      </c>
      <c r="J2594" s="1136"/>
      <c r="K2594" s="1136"/>
      <c r="L2594" s="1136"/>
      <c r="M2594" s="975">
        <v>1250</v>
      </c>
    </row>
    <row r="2595" spans="1:13" s="1083" customFormat="1" ht="25.2" customHeight="1">
      <c r="A2595" s="1153">
        <f t="shared" si="140"/>
        <v>1</v>
      </c>
      <c r="B2595" s="1154" t="s">
        <v>6492</v>
      </c>
      <c r="C2595" s="1154"/>
      <c r="D2595" s="2933">
        <f>IF(H2595&gt;0,D2587+1,D2587)</f>
        <v>2</v>
      </c>
      <c r="E2595" s="2934"/>
      <c r="F2595" s="2935" t="s">
        <v>6350</v>
      </c>
      <c r="G2595" s="2936" t="s">
        <v>2391</v>
      </c>
      <c r="H2595" s="2947">
        <v>2</v>
      </c>
      <c r="I2595" s="2925">
        <f t="shared" si="138"/>
        <v>2</v>
      </c>
      <c r="J2595" s="1136"/>
      <c r="K2595" s="1136"/>
      <c r="L2595" s="1136"/>
      <c r="M2595" s="975">
        <v>1250</v>
      </c>
    </row>
    <row r="2596" spans="1:13" s="1083" customFormat="1" ht="25.2" hidden="1" customHeight="1">
      <c r="A2596" s="1153">
        <f t="shared" si="140"/>
        <v>0</v>
      </c>
      <c r="B2596" s="1154"/>
      <c r="C2596" s="1154"/>
      <c r="D2596" s="2648"/>
      <c r="E2596" s="2937"/>
      <c r="F2596" s="2938" t="s">
        <v>6207</v>
      </c>
      <c r="G2596" s="2646"/>
      <c r="H2596" s="2917"/>
      <c r="I2596" s="2925">
        <f t="shared" si="138"/>
        <v>0</v>
      </c>
      <c r="J2596" s="1136"/>
      <c r="K2596" s="1136"/>
      <c r="L2596" s="1136"/>
      <c r="M2596" s="975">
        <v>1250</v>
      </c>
    </row>
    <row r="2597" spans="1:13" s="1083" customFormat="1" ht="25.2" customHeight="1">
      <c r="A2597" s="1153">
        <f t="shared" si="140"/>
        <v>1</v>
      </c>
      <c r="B2597" s="1154" t="s">
        <v>6483</v>
      </c>
      <c r="C2597" s="1154"/>
      <c r="D2597" s="2648"/>
      <c r="E2597" s="2926">
        <v>0</v>
      </c>
      <c r="F2597" s="2927" t="str">
        <f>VLOOKUP(B2597,DonGia,3,0)</f>
        <v>Sắt góc L75 x75 x8 x2400</v>
      </c>
      <c r="G2597" s="2926" t="str">
        <f>VLOOKUP(B2597,DonGia,4,0)</f>
        <v>cái</v>
      </c>
      <c r="H2597" s="2917">
        <v>2</v>
      </c>
      <c r="I2597" s="2925">
        <f t="shared" si="138"/>
        <v>2</v>
      </c>
      <c r="J2597" s="1136"/>
      <c r="K2597" s="1136"/>
      <c r="L2597" s="1136"/>
      <c r="M2597" s="975">
        <v>1250</v>
      </c>
    </row>
    <row r="2598" spans="1:13" s="1083" customFormat="1" ht="25.2" customHeight="1">
      <c r="A2598" s="1153">
        <f t="shared" si="140"/>
        <v>1</v>
      </c>
      <c r="B2598" s="1154" t="s">
        <v>6482</v>
      </c>
      <c r="C2598" s="1154"/>
      <c r="D2598" s="2648"/>
      <c r="E2598" s="2926">
        <v>0</v>
      </c>
      <c r="F2598" s="2927" t="str">
        <f>VLOOKUP(B2598,DonGia,3,0)</f>
        <v>Sắt góc L50 x50 x5 - 810</v>
      </c>
      <c r="G2598" s="2926" t="str">
        <f>VLOOKUP(B2598,DonGia,4,0)</f>
        <v>cái</v>
      </c>
      <c r="H2598" s="2917">
        <v>2</v>
      </c>
      <c r="I2598" s="2925">
        <f t="shared" si="138"/>
        <v>2</v>
      </c>
      <c r="J2598" s="1136"/>
      <c r="K2598" s="1136"/>
      <c r="L2598" s="1136"/>
      <c r="M2598" s="975">
        <v>1250</v>
      </c>
    </row>
    <row r="2599" spans="1:13" s="1083" customFormat="1" ht="25.2" customHeight="1">
      <c r="A2599" s="1153">
        <f t="shared" si="140"/>
        <v>1</v>
      </c>
      <c r="B2599" s="1154" t="s">
        <v>1613</v>
      </c>
      <c r="C2599" s="1154"/>
      <c r="D2599" s="2648"/>
      <c r="E2599" s="2926">
        <v>0</v>
      </c>
      <c r="F2599" s="2927" t="str">
        <f>VLOOKUP(B2599,DonGia,3,0)</f>
        <v>Boulon 16x300+ 2 long đền vuông D18-50x50x3/Zn</v>
      </c>
      <c r="G2599" s="2926" t="str">
        <f>VLOOKUP(B2599,DonGia,4,0)</f>
        <v>bộ</v>
      </c>
      <c r="H2599" s="2917">
        <f>H2595*2</f>
        <v>4</v>
      </c>
      <c r="I2599" s="2925">
        <f t="shared" si="138"/>
        <v>4</v>
      </c>
      <c r="J2599" s="1136"/>
      <c r="K2599" s="1136"/>
      <c r="L2599" s="1136"/>
      <c r="M2599" s="975">
        <v>1250</v>
      </c>
    </row>
    <row r="2600" spans="1:13" s="1083" customFormat="1" ht="25.2" customHeight="1">
      <c r="A2600" s="1153">
        <f t="shared" si="140"/>
        <v>1</v>
      </c>
      <c r="B2600" s="1154" t="s">
        <v>1790</v>
      </c>
      <c r="C2600" s="1154"/>
      <c r="D2600" s="2648"/>
      <c r="E2600" s="2926">
        <v>0</v>
      </c>
      <c r="F2600" s="2927" t="str">
        <f>VLOOKUP(B2600,DonGia,3,0)</f>
        <v>Boulon 16x50+ 2 long đền vuông D18-50x50x3/Zn</v>
      </c>
      <c r="G2600" s="2926" t="str">
        <f>VLOOKUP(B2600,DonGia,4,0)</f>
        <v>bộ</v>
      </c>
      <c r="H2600" s="2917">
        <f>H2595*4</f>
        <v>8</v>
      </c>
      <c r="I2600" s="2925">
        <f t="shared" si="138"/>
        <v>8</v>
      </c>
      <c r="J2600" s="1136"/>
      <c r="K2600" s="1136"/>
      <c r="L2600" s="1136"/>
      <c r="M2600" s="975">
        <v>1250</v>
      </c>
    </row>
    <row r="2601" spans="1:13" s="1083" customFormat="1" ht="25.2" customHeight="1">
      <c r="A2601" s="1153">
        <f t="shared" si="140"/>
        <v>1</v>
      </c>
      <c r="B2601" s="1154" t="s">
        <v>1788</v>
      </c>
      <c r="C2601" s="1154"/>
      <c r="D2601" s="2648"/>
      <c r="E2601" s="2926">
        <v>0</v>
      </c>
      <c r="F2601" s="2927" t="str">
        <f>VLOOKUP(B2601,DonGia,3,0)</f>
        <v>Boulon 16x300VRS+ 4 long đền vuông D18-50x50x3/Zn</v>
      </c>
      <c r="G2601" s="2926" t="str">
        <f>VLOOKUP(B2601,DonGia,4,0)</f>
        <v>bộ</v>
      </c>
      <c r="H2601" s="2917">
        <f>H2595*4</f>
        <v>8</v>
      </c>
      <c r="I2601" s="2925">
        <f t="shared" si="138"/>
        <v>8</v>
      </c>
      <c r="J2601" s="1136"/>
      <c r="K2601" s="1136"/>
      <c r="L2601" s="1136"/>
      <c r="M2601" s="975">
        <v>1250</v>
      </c>
    </row>
    <row r="2602" spans="1:13" s="1083" customFormat="1" ht="25.2" customHeight="1">
      <c r="A2602" s="1153">
        <f t="shared" si="140"/>
        <v>1</v>
      </c>
      <c r="B2602" s="1154" t="s">
        <v>517</v>
      </c>
      <c r="C2602" s="1154"/>
      <c r="D2602" s="2648"/>
      <c r="E2602" s="2926" t="s">
        <v>5492</v>
      </c>
      <c r="F2602" s="2927" t="str">
        <f>VLOOKUP(B2602,DonGia,3,0)</f>
        <v>Lắp xà néo ≤ 100kg</v>
      </c>
      <c r="G2602" s="2926" t="str">
        <f>VLOOKUP(B2602,DonGia,4,0)</f>
        <v>bộ</v>
      </c>
      <c r="H2602" s="2917">
        <f>H2595</f>
        <v>2</v>
      </c>
      <c r="I2602" s="2925">
        <f t="shared" si="138"/>
        <v>2</v>
      </c>
      <c r="J2602" s="1136"/>
      <c r="K2602" s="1136"/>
      <c r="L2602" s="1136"/>
      <c r="M2602" s="975">
        <v>1250</v>
      </c>
    </row>
    <row r="2603" spans="1:13" s="1083" customFormat="1" ht="25.2" customHeight="1">
      <c r="A2603" s="1153">
        <f t="shared" si="140"/>
        <v>1</v>
      </c>
      <c r="B2603" s="1154" t="s">
        <v>6493</v>
      </c>
      <c r="C2603" s="1154"/>
      <c r="D2603" s="2933">
        <f>IF(H2603&gt;0,D2595+1,D2595)</f>
        <v>3</v>
      </c>
      <c r="E2603" s="2934"/>
      <c r="F2603" s="2935" t="s">
        <v>6351</v>
      </c>
      <c r="G2603" s="2936" t="s">
        <v>2391</v>
      </c>
      <c r="H2603" s="2947">
        <f>H2551*1</f>
        <v>1</v>
      </c>
      <c r="I2603" s="2925">
        <f t="shared" si="138"/>
        <v>1</v>
      </c>
      <c r="J2603" s="1136"/>
      <c r="K2603" s="1136"/>
      <c r="L2603" s="1136"/>
      <c r="M2603" s="975">
        <v>1250</v>
      </c>
    </row>
    <row r="2604" spans="1:13" s="1083" customFormat="1" ht="25.2" hidden="1" customHeight="1">
      <c r="A2604" s="1153">
        <f t="shared" si="140"/>
        <v>0</v>
      </c>
      <c r="B2604" s="1154"/>
      <c r="C2604" s="1154"/>
      <c r="D2604" s="2648"/>
      <c r="E2604" s="2937"/>
      <c r="F2604" s="2938" t="s">
        <v>6207</v>
      </c>
      <c r="G2604" s="2646"/>
      <c r="H2604" s="2917"/>
      <c r="I2604" s="2925">
        <f t="shared" si="138"/>
        <v>0</v>
      </c>
      <c r="J2604" s="1136"/>
      <c r="K2604" s="1136"/>
      <c r="L2604" s="1136"/>
      <c r="M2604" s="975">
        <v>1250</v>
      </c>
    </row>
    <row r="2605" spans="1:13" s="1083" customFormat="1" ht="25.2" customHeight="1">
      <c r="A2605" s="1153">
        <f t="shared" si="140"/>
        <v>1</v>
      </c>
      <c r="B2605" s="1154" t="s">
        <v>6481</v>
      </c>
      <c r="C2605" s="1154"/>
      <c r="D2605" s="2648"/>
      <c r="E2605" s="2926">
        <v>0</v>
      </c>
      <c r="F2605" s="2927" t="str">
        <f>VLOOKUP(B2605,DonGia,3,0)</f>
        <v>Sắt góc L75 x75 x8 x2200</v>
      </c>
      <c r="G2605" s="2926" t="str">
        <f>VLOOKUP(B2605,DonGia,4,0)</f>
        <v>cái</v>
      </c>
      <c r="H2605" s="2917">
        <v>1</v>
      </c>
      <c r="I2605" s="2925">
        <f t="shared" si="138"/>
        <v>1</v>
      </c>
      <c r="J2605" s="1136"/>
      <c r="K2605" s="1136"/>
      <c r="L2605" s="1136"/>
      <c r="M2605" s="975">
        <v>1250</v>
      </c>
    </row>
    <row r="2606" spans="1:13" s="1083" customFormat="1" ht="25.2" customHeight="1">
      <c r="A2606" s="1153">
        <f t="shared" si="140"/>
        <v>1</v>
      </c>
      <c r="B2606" s="1154" t="s">
        <v>6482</v>
      </c>
      <c r="C2606" s="1154"/>
      <c r="D2606" s="2648"/>
      <c r="E2606" s="2926">
        <v>0</v>
      </c>
      <c r="F2606" s="2927" t="str">
        <f>VLOOKUP(B2606,DonGia,3,0)</f>
        <v>Sắt góc L50 x50 x5 - 810</v>
      </c>
      <c r="G2606" s="2926" t="str">
        <f>VLOOKUP(B2606,DonGia,4,0)</f>
        <v>cái</v>
      </c>
      <c r="H2606" s="2917">
        <v>2</v>
      </c>
      <c r="I2606" s="2925">
        <f t="shared" si="138"/>
        <v>2</v>
      </c>
      <c r="J2606" s="1136"/>
      <c r="K2606" s="1136"/>
      <c r="L2606" s="1136"/>
      <c r="M2606" s="975">
        <v>1250</v>
      </c>
    </row>
    <row r="2607" spans="1:13" s="1083" customFormat="1" ht="25.2" customHeight="1">
      <c r="A2607" s="1153">
        <f t="shared" si="140"/>
        <v>1</v>
      </c>
      <c r="B2607" s="1154" t="s">
        <v>1079</v>
      </c>
      <c r="C2607" s="1154"/>
      <c r="D2607" s="2648"/>
      <c r="E2607" s="2926">
        <v>0</v>
      </c>
      <c r="F2607" s="2927" t="str">
        <f>VLOOKUP(B2607,DonGia,3,0)</f>
        <v>Boulon 16x350+ 2 long đền vuông D18-50x50x3/Zn</v>
      </c>
      <c r="G2607" s="2926" t="str">
        <f>VLOOKUP(B2607,DonGia,4,0)</f>
        <v>bộ</v>
      </c>
      <c r="H2607" s="2917">
        <f>H2603*2</f>
        <v>2</v>
      </c>
      <c r="I2607" s="2925">
        <f t="shared" si="138"/>
        <v>2</v>
      </c>
      <c r="J2607" s="1136"/>
      <c r="K2607" s="1136"/>
      <c r="L2607" s="1136"/>
      <c r="M2607" s="975">
        <v>1250</v>
      </c>
    </row>
    <row r="2608" spans="1:13" s="1083" customFormat="1" ht="25.2" customHeight="1">
      <c r="A2608" s="1153">
        <f t="shared" si="140"/>
        <v>1</v>
      </c>
      <c r="B2608" s="1154" t="s">
        <v>1790</v>
      </c>
      <c r="C2608" s="1154"/>
      <c r="D2608" s="2648"/>
      <c r="E2608" s="2926">
        <v>0</v>
      </c>
      <c r="F2608" s="2927" t="str">
        <f>VLOOKUP(B2608,DonGia,3,0)</f>
        <v>Boulon 16x50+ 2 long đền vuông D18-50x50x3/Zn</v>
      </c>
      <c r="G2608" s="2926" t="str">
        <f>VLOOKUP(B2608,DonGia,4,0)</f>
        <v>bộ</v>
      </c>
      <c r="H2608" s="2917">
        <f>H2603*2</f>
        <v>2</v>
      </c>
      <c r="I2608" s="2925">
        <f t="shared" si="138"/>
        <v>2</v>
      </c>
      <c r="J2608" s="1136"/>
      <c r="K2608" s="1136"/>
      <c r="L2608" s="1136"/>
      <c r="M2608" s="975">
        <v>1250</v>
      </c>
    </row>
    <row r="2609" spans="1:13" s="1083" customFormat="1" ht="25.2" hidden="1" customHeight="1">
      <c r="A2609" s="1153">
        <f t="shared" si="140"/>
        <v>0</v>
      </c>
      <c r="B2609" s="1154" t="s">
        <v>1739</v>
      </c>
      <c r="C2609" s="1154"/>
      <c r="D2609" s="2648"/>
      <c r="E2609" s="2926">
        <v>0</v>
      </c>
      <c r="F2609" s="2927" t="s">
        <v>2699</v>
      </c>
      <c r="G2609" s="2926" t="s">
        <v>2391</v>
      </c>
      <c r="H2609" s="2917"/>
      <c r="I2609" s="2925">
        <f t="shared" si="138"/>
        <v>0</v>
      </c>
      <c r="J2609" s="1136"/>
      <c r="K2609" s="1136"/>
      <c r="L2609" s="1136"/>
      <c r="M2609" s="975">
        <v>1250</v>
      </c>
    </row>
    <row r="2610" spans="1:13" s="1083" customFormat="1" ht="25.2" hidden="1" customHeight="1">
      <c r="A2610" s="1153">
        <f t="shared" si="140"/>
        <v>0</v>
      </c>
      <c r="B2610" s="1154" t="s">
        <v>988</v>
      </c>
      <c r="C2610" s="1154"/>
      <c r="D2610" s="2648"/>
      <c r="E2610" s="2926">
        <v>0</v>
      </c>
      <c r="F2610" s="2927" t="s">
        <v>5331</v>
      </c>
      <c r="G2610" s="2926" t="s">
        <v>2391</v>
      </c>
      <c r="H2610" s="2917"/>
      <c r="I2610" s="2925">
        <f t="shared" si="138"/>
        <v>0</v>
      </c>
      <c r="J2610" s="1136"/>
      <c r="K2610" s="1136"/>
      <c r="L2610" s="1136"/>
      <c r="M2610" s="975">
        <v>1250</v>
      </c>
    </row>
    <row r="2611" spans="1:13" s="1083" customFormat="1" ht="25.2" customHeight="1">
      <c r="A2611" s="1153">
        <f t="shared" si="140"/>
        <v>1</v>
      </c>
      <c r="B2611" s="1154" t="s">
        <v>1443</v>
      </c>
      <c r="C2611" s="1154"/>
      <c r="D2611" s="2648"/>
      <c r="E2611" s="2926" t="s">
        <v>5483</v>
      </c>
      <c r="F2611" s="2927" t="str">
        <f>VLOOKUP(B2611,DonGia,3,0)</f>
        <v>Lắp xà đỡ ≤ 50kg</v>
      </c>
      <c r="G2611" s="2926" t="str">
        <f>VLOOKUP(B2611,DonGia,4,0)</f>
        <v>bộ</v>
      </c>
      <c r="H2611" s="2917">
        <f>H2603</f>
        <v>1</v>
      </c>
      <c r="I2611" s="2925">
        <f t="shared" si="138"/>
        <v>1</v>
      </c>
      <c r="J2611" s="1136"/>
      <c r="K2611" s="1136"/>
      <c r="L2611" s="1136"/>
      <c r="M2611" s="975">
        <v>1250</v>
      </c>
    </row>
    <row r="2612" spans="1:13" s="1083" customFormat="1" ht="25.2" customHeight="1">
      <c r="A2612" s="1153">
        <f t="shared" si="140"/>
        <v>1</v>
      </c>
      <c r="B2612" s="1154"/>
      <c r="C2612" s="1154"/>
      <c r="D2612" s="2933">
        <f>IF(H2612&gt;0,D2603+1,D2603)</f>
        <v>4</v>
      </c>
      <c r="E2612" s="2934"/>
      <c r="F2612" s="2935" t="s">
        <v>3738</v>
      </c>
      <c r="G2612" s="2936" t="s">
        <v>2391</v>
      </c>
      <c r="H2612" s="2947">
        <f>H2551</f>
        <v>1</v>
      </c>
      <c r="I2612" s="2925">
        <f t="shared" si="138"/>
        <v>1</v>
      </c>
      <c r="J2612" s="1136"/>
      <c r="K2612" s="1136"/>
      <c r="L2612" s="1136"/>
      <c r="M2612" s="975">
        <v>1250</v>
      </c>
    </row>
    <row r="2613" spans="1:13" s="1083" customFormat="1" ht="25.2" hidden="1" customHeight="1">
      <c r="A2613" s="1153">
        <f t="shared" si="140"/>
        <v>0</v>
      </c>
      <c r="B2613" s="1154"/>
      <c r="C2613" s="1154"/>
      <c r="D2613" s="2648"/>
      <c r="E2613" s="2937"/>
      <c r="F2613" s="2938" t="s">
        <v>6207</v>
      </c>
      <c r="G2613" s="2646"/>
      <c r="H2613" s="2917"/>
      <c r="I2613" s="2925">
        <f t="shared" si="138"/>
        <v>0</v>
      </c>
      <c r="J2613" s="1136"/>
      <c r="K2613" s="1136"/>
      <c r="L2613" s="1136"/>
      <c r="M2613" s="975">
        <v>1250</v>
      </c>
    </row>
    <row r="2614" spans="1:13" s="1083" customFormat="1" ht="25.2" customHeight="1">
      <c r="A2614" s="1153">
        <f t="shared" si="140"/>
        <v>1</v>
      </c>
      <c r="B2614" s="1154" t="s">
        <v>1033</v>
      </c>
      <c r="C2614" s="3206">
        <f>$I$3*0.224*C2612</f>
        <v>0</v>
      </c>
      <c r="D2614" s="2648"/>
      <c r="E2614" s="2926">
        <v>0</v>
      </c>
      <c r="F2614" s="2927" t="s">
        <v>2708</v>
      </c>
      <c r="G2614" s="2926" t="s">
        <v>2254</v>
      </c>
      <c r="H2614" s="3206">
        <v>11.87</v>
      </c>
      <c r="I2614" s="3207">
        <f t="shared" si="138"/>
        <v>11.87</v>
      </c>
      <c r="J2614" s="1136"/>
      <c r="K2614" s="1136"/>
      <c r="L2614" s="1136"/>
      <c r="M2614" s="975">
        <v>1250</v>
      </c>
    </row>
    <row r="2615" spans="1:13" s="1083" customFormat="1" ht="25.2" customHeight="1">
      <c r="A2615" s="1153">
        <f t="shared" si="140"/>
        <v>1</v>
      </c>
      <c r="B2615" s="1154" t="s">
        <v>1511</v>
      </c>
      <c r="C2615" s="1154"/>
      <c r="D2615" s="2648"/>
      <c r="E2615" s="2926">
        <v>0</v>
      </c>
      <c r="F2615" s="2927" t="s">
        <v>5224</v>
      </c>
      <c r="G2615" s="2926" t="s">
        <v>2445</v>
      </c>
      <c r="H2615" s="2917">
        <f>($I$2+H2620)*H2612</f>
        <v>9</v>
      </c>
      <c r="I2615" s="2925">
        <f t="shared" si="138"/>
        <v>9</v>
      </c>
      <c r="J2615" s="1136"/>
      <c r="K2615" s="1136"/>
      <c r="L2615" s="1136"/>
      <c r="M2615" s="975">
        <v>1250</v>
      </c>
    </row>
    <row r="2616" spans="1:13" s="1083" customFormat="1" ht="25.2" hidden="1" customHeight="1">
      <c r="A2616" s="1153">
        <f t="shared" si="140"/>
        <v>0</v>
      </c>
      <c r="B2616" s="1154" t="s">
        <v>1493</v>
      </c>
      <c r="C2616" s="1154"/>
      <c r="D2616" s="2648"/>
      <c r="E2616" s="2926">
        <v>0</v>
      </c>
      <c r="F2616" s="2927" t="s">
        <v>3554</v>
      </c>
      <c r="G2616" s="2926" t="s">
        <v>1827</v>
      </c>
      <c r="H2616" s="2917">
        <f>H2612*4*0</f>
        <v>0</v>
      </c>
      <c r="I2616" s="2925">
        <f t="shared" ref="I2616:I2679" si="141">H2616</f>
        <v>0</v>
      </c>
      <c r="J2616" s="1136"/>
      <c r="K2616" s="1136"/>
      <c r="L2616" s="1136"/>
      <c r="M2616" s="975">
        <v>1250</v>
      </c>
    </row>
    <row r="2617" spans="1:13" s="1083" customFormat="1" ht="25.2" customHeight="1">
      <c r="A2617" s="1153">
        <f t="shared" si="140"/>
        <v>1</v>
      </c>
      <c r="B2617" s="1154" t="s">
        <v>1582</v>
      </c>
      <c r="C2617" s="1154"/>
      <c r="D2617" s="2648"/>
      <c r="E2617" s="2926">
        <v>0</v>
      </c>
      <c r="F2617" s="2927" t="str">
        <f>VLOOKUP(B2617,DonGia,3,0)</f>
        <v>Kẹp ép WR cỡ dây 50mm2</v>
      </c>
      <c r="G2617" s="2926" t="s">
        <v>2563</v>
      </c>
      <c r="H2617" s="2917">
        <f>2*H2612</f>
        <v>2</v>
      </c>
      <c r="I2617" s="2925">
        <f t="shared" si="141"/>
        <v>2</v>
      </c>
      <c r="J2617" s="1136"/>
      <c r="K2617" s="1136"/>
      <c r="L2617" s="1136"/>
      <c r="M2617" s="975">
        <v>1250</v>
      </c>
    </row>
    <row r="2618" spans="1:13" s="1083" customFormat="1" ht="25.2" customHeight="1">
      <c r="A2618" s="1153">
        <f t="shared" si="140"/>
        <v>1</v>
      </c>
      <c r="B2618" s="1154" t="s">
        <v>816</v>
      </c>
      <c r="C2618" s="1154"/>
      <c r="D2618" s="2648"/>
      <c r="E2618" s="2926">
        <v>0</v>
      </c>
      <c r="F2618" s="2927" t="str">
        <f>VLOOKUP(B2618,DonGia,3,0)</f>
        <v>Ốc siết cáp cỡ 25mm2</v>
      </c>
      <c r="G2618" s="2926" t="s">
        <v>2563</v>
      </c>
      <c r="H2618" s="2917">
        <v>8</v>
      </c>
      <c r="I2618" s="2925">
        <f t="shared" si="141"/>
        <v>8</v>
      </c>
      <c r="J2618" s="1136"/>
      <c r="K2618" s="1136"/>
      <c r="L2618" s="1136"/>
      <c r="M2618" s="975">
        <v>1250</v>
      </c>
    </row>
    <row r="2619" spans="1:13" s="1083" customFormat="1" ht="25.2" hidden="1" customHeight="1">
      <c r="A2619" s="1153">
        <f t="shared" si="140"/>
        <v>0</v>
      </c>
      <c r="B2619" s="1154" t="s">
        <v>525</v>
      </c>
      <c r="C2619" s="1154"/>
      <c r="D2619" s="2648"/>
      <c r="E2619" s="2926">
        <v>0</v>
      </c>
      <c r="F2619" s="2927" t="s">
        <v>5313</v>
      </c>
      <c r="G2619" s="2926" t="s">
        <v>2445</v>
      </c>
      <c r="H2619" s="2917">
        <f>+H2612*2*0</f>
        <v>0</v>
      </c>
      <c r="I2619" s="2925">
        <f t="shared" si="141"/>
        <v>0</v>
      </c>
      <c r="J2619" s="1136"/>
      <c r="K2619" s="1136"/>
      <c r="L2619" s="1136"/>
      <c r="M2619" s="975">
        <v>1250</v>
      </c>
    </row>
    <row r="2620" spans="1:13" s="1083" customFormat="1" ht="25.2" hidden="1" customHeight="1">
      <c r="A2620" s="1153">
        <f t="shared" si="140"/>
        <v>0</v>
      </c>
      <c r="B2620" s="1154" t="s">
        <v>1588</v>
      </c>
      <c r="C2620" s="1154"/>
      <c r="D2620" s="2648"/>
      <c r="E2620" s="2926">
        <v>0</v>
      </c>
      <c r="F2620" s="2927" t="s">
        <v>5775</v>
      </c>
      <c r="G2620" s="2926" t="s">
        <v>3463</v>
      </c>
      <c r="H2620" s="2917">
        <f>$L$3*H2612</f>
        <v>0</v>
      </c>
      <c r="I2620" s="2925">
        <f t="shared" si="141"/>
        <v>0</v>
      </c>
      <c r="J2620" s="1136"/>
      <c r="K2620" s="1136"/>
      <c r="L2620" s="1136"/>
      <c r="M2620" s="975">
        <v>1250</v>
      </c>
    </row>
    <row r="2621" spans="1:13" s="1083" customFormat="1" ht="25.2" customHeight="1">
      <c r="A2621" s="1153">
        <f t="shared" si="140"/>
        <v>1</v>
      </c>
      <c r="B2621" s="1154" t="s">
        <v>794</v>
      </c>
      <c r="C2621" s="1154"/>
      <c r="D2621" s="2646"/>
      <c r="E2621" s="2926" t="s">
        <v>5398</v>
      </c>
      <c r="F2621" s="2927" t="str">
        <f>VLOOKUP(B2621,DonGia,3,0)</f>
        <v>Đào rãnh tiếp địa đất cấp 3</v>
      </c>
      <c r="G2621" s="2926" t="s">
        <v>856</v>
      </c>
      <c r="H2621" s="2917">
        <f>H2612*45*0.3*0.5</f>
        <v>6.75</v>
      </c>
      <c r="I2621" s="2925">
        <f t="shared" si="141"/>
        <v>6.75</v>
      </c>
      <c r="J2621" s="1136"/>
      <c r="K2621" s="1136"/>
      <c r="L2621" s="1136"/>
      <c r="M2621" s="975">
        <v>1250</v>
      </c>
    </row>
    <row r="2622" spans="1:13" s="1083" customFormat="1" ht="25.2" customHeight="1">
      <c r="A2622" s="1153">
        <f t="shared" si="140"/>
        <v>1</v>
      </c>
      <c r="B2622" s="1154" t="s">
        <v>798</v>
      </c>
      <c r="C2622" s="1154"/>
      <c r="D2622" s="2646"/>
      <c r="E2622" s="2926" t="s">
        <v>5387</v>
      </c>
      <c r="F2622" s="2927" t="str">
        <f>VLOOKUP(B2622,DonGia,3,0)</f>
        <v>Đắp đất rãnh tiếp độ chặt k=0,85</v>
      </c>
      <c r="G2622" s="2926" t="s">
        <v>856</v>
      </c>
      <c r="H2622" s="2917">
        <f>H2621</f>
        <v>6.75</v>
      </c>
      <c r="I2622" s="2925">
        <f t="shared" si="141"/>
        <v>6.75</v>
      </c>
      <c r="J2622" s="1136"/>
      <c r="K2622" s="1136"/>
      <c r="L2622" s="1136"/>
      <c r="M2622" s="975">
        <v>1250</v>
      </c>
    </row>
    <row r="2623" spans="1:13" s="1083" customFormat="1" ht="25.2" customHeight="1">
      <c r="A2623" s="1153">
        <f t="shared" si="140"/>
        <v>1</v>
      </c>
      <c r="B2623" s="1154" t="s">
        <v>902</v>
      </c>
      <c r="C2623" s="1154"/>
      <c r="D2623" s="2646"/>
      <c r="E2623" s="2926" t="s">
        <v>5413</v>
      </c>
      <c r="F2623" s="2927" t="s">
        <v>5414</v>
      </c>
      <c r="G2623" s="2926" t="s">
        <v>2284</v>
      </c>
      <c r="H2623" s="2917">
        <f>H2615</f>
        <v>9</v>
      </c>
      <c r="I2623" s="2925">
        <f t="shared" si="141"/>
        <v>9</v>
      </c>
      <c r="J2623" s="1136"/>
      <c r="K2623" s="1136"/>
      <c r="L2623" s="1136"/>
      <c r="M2623" s="975">
        <v>1250</v>
      </c>
    </row>
    <row r="2624" spans="1:13" s="1083" customFormat="1" ht="25.2" customHeight="1">
      <c r="A2624" s="1153">
        <f t="shared" si="140"/>
        <v>1</v>
      </c>
      <c r="B2624" s="1154" t="s">
        <v>6352</v>
      </c>
      <c r="C2624" s="1154"/>
      <c r="D2624" s="2648"/>
      <c r="E2624" s="2926" t="s">
        <v>5407</v>
      </c>
      <c r="F2624" s="2927" t="s">
        <v>3169</v>
      </c>
      <c r="G2624" s="2926" t="s">
        <v>2254</v>
      </c>
      <c r="H2624" s="2917">
        <f>H2614</f>
        <v>11.87</v>
      </c>
      <c r="I2624" s="2925">
        <f t="shared" si="141"/>
        <v>11.87</v>
      </c>
      <c r="J2624" s="1136"/>
      <c r="K2624" s="1136"/>
      <c r="L2624" s="1136"/>
      <c r="M2624" s="975">
        <v>1250</v>
      </c>
    </row>
    <row r="2625" spans="1:13" s="1083" customFormat="1" ht="25.2" customHeight="1">
      <c r="A2625" s="1153">
        <f t="shared" si="140"/>
        <v>1</v>
      </c>
      <c r="B2625" s="1154"/>
      <c r="C2625" s="1154"/>
      <c r="D2625" s="2933">
        <f>IF(H2625&gt;0,D2612+1,D2612)</f>
        <v>5</v>
      </c>
      <c r="E2625" s="2934"/>
      <c r="F2625" s="2935" t="s">
        <v>6283</v>
      </c>
      <c r="G2625" s="2936" t="s">
        <v>2391</v>
      </c>
      <c r="H2625" s="2947">
        <f>H2551</f>
        <v>1</v>
      </c>
      <c r="I2625" s="2925">
        <f t="shared" si="141"/>
        <v>1</v>
      </c>
      <c r="J2625" s="1136"/>
      <c r="K2625" s="1136"/>
      <c r="L2625" s="1136"/>
      <c r="M2625" s="975">
        <v>1250</v>
      </c>
    </row>
    <row r="2626" spans="1:13" s="1083" customFormat="1" ht="25.2" hidden="1" customHeight="1">
      <c r="A2626" s="1153">
        <f t="shared" si="140"/>
        <v>0</v>
      </c>
      <c r="B2626" s="1154"/>
      <c r="C2626" s="1154"/>
      <c r="D2626" s="2648"/>
      <c r="E2626" s="2937"/>
      <c r="F2626" s="2938" t="s">
        <v>6207</v>
      </c>
      <c r="G2626" s="2646"/>
      <c r="H2626" s="2917"/>
      <c r="I2626" s="2925">
        <f t="shared" si="141"/>
        <v>0</v>
      </c>
      <c r="J2626" s="1136"/>
      <c r="K2626" s="1136"/>
      <c r="L2626" s="1136"/>
      <c r="M2626" s="975">
        <v>1250</v>
      </c>
    </row>
    <row r="2627" spans="1:13" s="1083" customFormat="1" ht="25.2" customHeight="1">
      <c r="A2627" s="1153">
        <f t="shared" si="140"/>
        <v>1</v>
      </c>
      <c r="B2627" s="1154" t="s">
        <v>6353</v>
      </c>
      <c r="C2627" s="1154"/>
      <c r="D2627" s="2646"/>
      <c r="E2627" s="2926" t="s">
        <v>5695</v>
      </c>
      <c r="F2627" s="2927" t="str">
        <f>VLOOKUP(B2627,DonGia,3,0)</f>
        <v>Tủ ACB + thanh cái 2000A</v>
      </c>
      <c r="G2627" s="2926" t="s">
        <v>2563</v>
      </c>
      <c r="H2627" s="2917">
        <f>H2625</f>
        <v>1</v>
      </c>
      <c r="I2627" s="2925">
        <f t="shared" si="141"/>
        <v>1</v>
      </c>
      <c r="J2627" s="1136"/>
      <c r="K2627" s="1136"/>
      <c r="L2627" s="1136"/>
      <c r="M2627" s="975">
        <v>1250</v>
      </c>
    </row>
    <row r="2628" spans="1:13" s="1083" customFormat="1" ht="25.2" customHeight="1">
      <c r="A2628" s="1153">
        <f t="shared" si="140"/>
        <v>1</v>
      </c>
      <c r="B2628" s="1154" t="s">
        <v>880</v>
      </c>
      <c r="C2628" s="1154"/>
      <c r="D2628" s="2648"/>
      <c r="E2628" s="2926">
        <v>0</v>
      </c>
      <c r="F2628" s="2927" t="str">
        <f>VLOOKUP(B2628,DonGia,3,0)</f>
        <v xml:space="preserve">Bakelit 550x450 dầy 10mm </v>
      </c>
      <c r="G2628" s="2926" t="s">
        <v>2563</v>
      </c>
      <c r="H2628" s="2917">
        <f>+H2625</f>
        <v>1</v>
      </c>
      <c r="I2628" s="2925">
        <f t="shared" si="141"/>
        <v>1</v>
      </c>
      <c r="J2628" s="1136"/>
      <c r="K2628" s="1136"/>
      <c r="L2628" s="1136"/>
      <c r="M2628" s="975">
        <v>1250</v>
      </c>
    </row>
    <row r="2629" spans="1:13" s="1083" customFormat="1" ht="25.2" customHeight="1">
      <c r="A2629" s="1153">
        <f t="shared" si="140"/>
        <v>1</v>
      </c>
      <c r="B2629" s="1154" t="s">
        <v>289</v>
      </c>
      <c r="C2629" s="1154"/>
      <c r="D2629" s="2646"/>
      <c r="E2629" s="2926">
        <v>0</v>
      </c>
      <c r="F2629" s="2927" t="str">
        <f>VLOOKUP(B2629,DonGia,3,0)</f>
        <v>Bảng tên trạm, bảng báo nguy hiểm + đinh vít</v>
      </c>
      <c r="G2629" s="2926" t="s">
        <v>2563</v>
      </c>
      <c r="H2629" s="2917">
        <f>H2625</f>
        <v>1</v>
      </c>
      <c r="I2629" s="2925">
        <f t="shared" si="141"/>
        <v>1</v>
      </c>
      <c r="J2629" s="1136"/>
      <c r="K2629" s="1136"/>
      <c r="L2629" s="1136"/>
      <c r="M2629" s="975">
        <v>1250</v>
      </c>
    </row>
    <row r="2630" spans="1:13" s="1083" customFormat="1" ht="25.2" hidden="1" customHeight="1">
      <c r="A2630" s="1153">
        <f t="shared" si="140"/>
        <v>0</v>
      </c>
      <c r="B2630" s="1154"/>
      <c r="C2630" s="1154"/>
      <c r="D2630" s="2933">
        <f>IF(H2630&gt;0,D2625+1,D2625)</f>
        <v>5</v>
      </c>
      <c r="E2630" s="2934"/>
      <c r="F2630" s="2935" t="s">
        <v>3742</v>
      </c>
      <c r="G2630" s="2936" t="s">
        <v>2538</v>
      </c>
      <c r="H2630" s="2947"/>
      <c r="I2630" s="2925">
        <f t="shared" si="141"/>
        <v>0</v>
      </c>
      <c r="J2630" s="1136"/>
      <c r="K2630" s="1136"/>
      <c r="L2630" s="1136"/>
      <c r="M2630" s="975">
        <v>1250</v>
      </c>
    </row>
    <row r="2631" spans="1:13" s="1083" customFormat="1" ht="25.2" hidden="1" customHeight="1">
      <c r="A2631" s="1153">
        <f t="shared" si="140"/>
        <v>0</v>
      </c>
      <c r="B2631" s="1154"/>
      <c r="C2631" s="1154"/>
      <c r="D2631" s="2648"/>
      <c r="E2631" s="2937"/>
      <c r="F2631" s="2938" t="s">
        <v>6207</v>
      </c>
      <c r="G2631" s="2646"/>
      <c r="H2631" s="2917"/>
      <c r="I2631" s="2925">
        <f t="shared" si="141"/>
        <v>0</v>
      </c>
      <c r="J2631" s="1136"/>
      <c r="K2631" s="1136"/>
      <c r="L2631" s="1136"/>
      <c r="M2631" s="975">
        <v>1250</v>
      </c>
    </row>
    <row r="2632" spans="1:13" s="1083" customFormat="1" ht="25.2" hidden="1" customHeight="1">
      <c r="A2632" s="1153">
        <f t="shared" si="140"/>
        <v>0</v>
      </c>
      <c r="B2632" s="1154" t="s">
        <v>752</v>
      </c>
      <c r="C2632" s="1154"/>
      <c r="D2632" s="2646"/>
      <c r="E2632" s="2926">
        <v>0</v>
      </c>
      <c r="F2632" s="2940" t="s">
        <v>6449</v>
      </c>
      <c r="G2632" s="2926" t="s">
        <v>856</v>
      </c>
      <c r="H2632" s="2917">
        <f>H2630*0.315</f>
        <v>0</v>
      </c>
      <c r="I2632" s="2925">
        <f t="shared" si="141"/>
        <v>0</v>
      </c>
      <c r="J2632" s="1136"/>
      <c r="K2632" s="1136"/>
      <c r="L2632" s="1136"/>
      <c r="M2632" s="975">
        <v>1250</v>
      </c>
    </row>
    <row r="2633" spans="1:13" s="1083" customFormat="1" ht="25.2" hidden="1" customHeight="1">
      <c r="A2633" s="1153">
        <f t="shared" si="140"/>
        <v>0</v>
      </c>
      <c r="B2633" s="1154" t="s">
        <v>520</v>
      </c>
      <c r="C2633" s="1154"/>
      <c r="D2633" s="2646"/>
      <c r="E2633" s="2926">
        <v>0</v>
      </c>
      <c r="F2633" s="2940" t="s">
        <v>6450</v>
      </c>
      <c r="G2633" s="2926" t="s">
        <v>856</v>
      </c>
      <c r="H2633" s="2917">
        <f>0.092*H2630</f>
        <v>0</v>
      </c>
      <c r="I2633" s="2925">
        <f t="shared" si="141"/>
        <v>0</v>
      </c>
      <c r="J2633" s="1136"/>
      <c r="K2633" s="1136"/>
      <c r="L2633" s="1136"/>
      <c r="M2633" s="975">
        <v>1250</v>
      </c>
    </row>
    <row r="2634" spans="1:13" s="1083" customFormat="1" ht="25.2" hidden="1" customHeight="1">
      <c r="A2634" s="1153">
        <f t="shared" si="140"/>
        <v>0</v>
      </c>
      <c r="B2634" s="1154" t="s">
        <v>1679</v>
      </c>
      <c r="C2634" s="1154"/>
      <c r="D2634" s="2646"/>
      <c r="E2634" s="2926">
        <v>0</v>
      </c>
      <c r="F2634" s="2940" t="s">
        <v>6451</v>
      </c>
      <c r="G2634" s="2926" t="s">
        <v>3024</v>
      </c>
      <c r="H2634" s="2917">
        <f>3.3*H2630</f>
        <v>0</v>
      </c>
      <c r="I2634" s="2925">
        <f t="shared" si="141"/>
        <v>0</v>
      </c>
      <c r="J2634" s="1136"/>
      <c r="K2634" s="1136"/>
      <c r="L2634" s="1136"/>
      <c r="M2634" s="975">
        <v>1250</v>
      </c>
    </row>
    <row r="2635" spans="1:13" s="1083" customFormat="1" ht="25.2" hidden="1" customHeight="1">
      <c r="A2635" s="1153">
        <f t="shared" si="140"/>
        <v>0</v>
      </c>
      <c r="B2635" s="1154" t="s">
        <v>1680</v>
      </c>
      <c r="C2635" s="1154"/>
      <c r="D2635" s="2646"/>
      <c r="E2635" s="2926" t="s">
        <v>5352</v>
      </c>
      <c r="F2635" s="2940" t="s">
        <v>6452</v>
      </c>
      <c r="G2635" s="2926" t="s">
        <v>1964</v>
      </c>
      <c r="H2635" s="2917">
        <f>0.4*H2630</f>
        <v>0</v>
      </c>
      <c r="I2635" s="2925">
        <f t="shared" si="141"/>
        <v>0</v>
      </c>
      <c r="J2635" s="1136"/>
      <c r="K2635" s="1136"/>
      <c r="L2635" s="1136"/>
      <c r="M2635" s="975">
        <v>1250</v>
      </c>
    </row>
    <row r="2636" spans="1:13" s="1083" customFormat="1" ht="25.2" hidden="1" customHeight="1">
      <c r="A2636" s="1153">
        <f t="shared" si="140"/>
        <v>0</v>
      </c>
      <c r="B2636" s="1154" t="s">
        <v>1521</v>
      </c>
      <c r="C2636" s="1154"/>
      <c r="D2636" s="2648"/>
      <c r="E2636" s="2926">
        <v>0</v>
      </c>
      <c r="F2636" s="2940" t="s">
        <v>3548</v>
      </c>
      <c r="G2636" s="2926" t="s">
        <v>1827</v>
      </c>
      <c r="H2636" s="2917">
        <f>1*H2630</f>
        <v>0</v>
      </c>
      <c r="I2636" s="2925">
        <f t="shared" si="141"/>
        <v>0</v>
      </c>
      <c r="J2636" s="1136"/>
      <c r="K2636" s="1136"/>
      <c r="L2636" s="1136"/>
      <c r="M2636" s="975">
        <v>1250</v>
      </c>
    </row>
    <row r="2637" spans="1:13" s="1083" customFormat="1" ht="25.2" hidden="1" customHeight="1">
      <c r="A2637" s="1153">
        <f t="shared" si="140"/>
        <v>0</v>
      </c>
      <c r="B2637" s="1154" t="s">
        <v>1682</v>
      </c>
      <c r="C2637" s="1154"/>
      <c r="D2637" s="2646"/>
      <c r="E2637" s="2926" t="s">
        <v>5395</v>
      </c>
      <c r="F2637" s="2940" t="s">
        <v>6453</v>
      </c>
      <c r="G2637" s="2926" t="s">
        <v>856</v>
      </c>
      <c r="H2637" s="2917">
        <f>H2632+H2633</f>
        <v>0</v>
      </c>
      <c r="I2637" s="2925">
        <f t="shared" si="141"/>
        <v>0</v>
      </c>
      <c r="J2637" s="1136"/>
      <c r="K2637" s="1136"/>
      <c r="L2637" s="1136"/>
      <c r="M2637" s="975">
        <v>1250</v>
      </c>
    </row>
    <row r="2638" spans="1:13" s="1083" customFormat="1" ht="25.2" hidden="1" customHeight="1">
      <c r="A2638" s="1153">
        <f t="shared" si="140"/>
        <v>0</v>
      </c>
      <c r="B2638" s="1154" t="s">
        <v>144</v>
      </c>
      <c r="C2638" s="1154"/>
      <c r="D2638" s="2646"/>
      <c r="E2638" s="2926" t="s">
        <v>5389</v>
      </c>
      <c r="F2638" s="2940" t="s">
        <v>6454</v>
      </c>
      <c r="G2638" s="2926" t="s">
        <v>856</v>
      </c>
      <c r="H2638" s="2917">
        <f>H2630*0.48</f>
        <v>0</v>
      </c>
      <c r="I2638" s="2925">
        <f t="shared" si="141"/>
        <v>0</v>
      </c>
      <c r="J2638" s="1136"/>
      <c r="K2638" s="1136"/>
      <c r="L2638" s="1136"/>
      <c r="M2638" s="975">
        <v>1250</v>
      </c>
    </row>
    <row r="2639" spans="1:13" s="1083" customFormat="1" ht="25.2" hidden="1" customHeight="1">
      <c r="A2639" s="1153">
        <f t="shared" si="140"/>
        <v>0</v>
      </c>
      <c r="B2639" s="1154" t="s">
        <v>529</v>
      </c>
      <c r="C2639" s="1154"/>
      <c r="D2639" s="2646"/>
      <c r="E2639" s="2926" t="s">
        <v>5394</v>
      </c>
      <c r="F2639" s="2940" t="s">
        <v>6455</v>
      </c>
      <c r="G2639" s="2926" t="s">
        <v>856</v>
      </c>
      <c r="H2639" s="2917">
        <f>H2630*0.073</f>
        <v>0</v>
      </c>
      <c r="I2639" s="2925">
        <f t="shared" si="141"/>
        <v>0</v>
      </c>
      <c r="J2639" s="1136"/>
      <c r="K2639" s="1136"/>
      <c r="L2639" s="1136"/>
      <c r="M2639" s="975">
        <v>1250</v>
      </c>
    </row>
    <row r="2640" spans="1:13" s="1083" customFormat="1" ht="25.2" hidden="1" customHeight="1">
      <c r="A2640" s="1153">
        <f t="shared" si="140"/>
        <v>0</v>
      </c>
      <c r="B2640" s="1154"/>
      <c r="C2640" s="1154"/>
      <c r="D2640" s="2933">
        <f>IF(H2640&gt;0,D2630+1,D2630)</f>
        <v>5</v>
      </c>
      <c r="E2640" s="2934"/>
      <c r="F2640" s="2935" t="s">
        <v>3743</v>
      </c>
      <c r="G2640" s="2936" t="s">
        <v>2391</v>
      </c>
      <c r="H2640" s="2947"/>
      <c r="I2640" s="2925">
        <f t="shared" si="141"/>
        <v>0</v>
      </c>
      <c r="J2640" s="1136"/>
      <c r="K2640" s="1136"/>
      <c r="L2640" s="1136"/>
      <c r="M2640" s="975">
        <v>1250</v>
      </c>
    </row>
    <row r="2641" spans="1:13" s="1083" customFormat="1" ht="25.2" hidden="1" customHeight="1">
      <c r="A2641" s="1153">
        <f t="shared" si="140"/>
        <v>0</v>
      </c>
      <c r="B2641" s="1154"/>
      <c r="C2641" s="1154"/>
      <c r="D2641" s="2648"/>
      <c r="E2641" s="2937"/>
      <c r="F2641" s="2938" t="s">
        <v>6207</v>
      </c>
      <c r="G2641" s="2646"/>
      <c r="H2641" s="2917"/>
      <c r="I2641" s="2925">
        <f t="shared" si="141"/>
        <v>0</v>
      </c>
      <c r="J2641" s="1136"/>
      <c r="K2641" s="1136"/>
      <c r="L2641" s="1136"/>
      <c r="M2641" s="975">
        <v>1250</v>
      </c>
    </row>
    <row r="2642" spans="1:13" s="1083" customFormat="1" ht="25.2" hidden="1" customHeight="1">
      <c r="A2642" s="1153">
        <f t="shared" si="140"/>
        <v>0</v>
      </c>
      <c r="B2642" s="1154" t="s">
        <v>623</v>
      </c>
      <c r="C2642" s="1154"/>
      <c r="D2642" s="2646"/>
      <c r="E2642" s="2926" t="s">
        <v>5367</v>
      </c>
      <c r="F2642" s="2927" t="s">
        <v>5368</v>
      </c>
      <c r="G2642" s="2926" t="s">
        <v>2538</v>
      </c>
      <c r="H2642" s="2917">
        <f>H2640*5</f>
        <v>0</v>
      </c>
      <c r="I2642" s="2925">
        <f t="shared" si="141"/>
        <v>0</v>
      </c>
      <c r="J2642" s="1136"/>
      <c r="K2642" s="1136"/>
      <c r="L2642" s="1136"/>
      <c r="M2642" s="975">
        <v>1250</v>
      </c>
    </row>
    <row r="2643" spans="1:13" s="1083" customFormat="1" ht="25.2" hidden="1" customHeight="1">
      <c r="A2643" s="1153">
        <f t="shared" si="140"/>
        <v>0</v>
      </c>
      <c r="B2643" s="1154" t="s">
        <v>473</v>
      </c>
      <c r="C2643" s="1154"/>
      <c r="D2643" s="2648"/>
      <c r="E2643" s="2926">
        <v>0</v>
      </c>
      <c r="F2643" s="2927" t="s">
        <v>3570</v>
      </c>
      <c r="G2643" s="2926" t="s">
        <v>2563</v>
      </c>
      <c r="H2643" s="2917">
        <f>H2640</f>
        <v>0</v>
      </c>
      <c r="I2643" s="2925">
        <f t="shared" si="141"/>
        <v>0</v>
      </c>
      <c r="J2643" s="1136"/>
      <c r="K2643" s="1136"/>
      <c r="L2643" s="1136"/>
      <c r="M2643" s="975">
        <v>1250</v>
      </c>
    </row>
    <row r="2644" spans="1:13" s="1083" customFormat="1" ht="25.2" hidden="1" customHeight="1">
      <c r="A2644" s="1153">
        <f t="shared" si="140"/>
        <v>0</v>
      </c>
      <c r="B2644" s="1154" t="s">
        <v>120</v>
      </c>
      <c r="C2644" s="1154"/>
      <c r="D2644" s="2646"/>
      <c r="E2644" s="2926">
        <v>0</v>
      </c>
      <c r="F2644" s="2927" t="s">
        <v>2998</v>
      </c>
      <c r="G2644" s="2926" t="s">
        <v>2445</v>
      </c>
      <c r="H2644" s="2917">
        <f>H2640*2</f>
        <v>0</v>
      </c>
      <c r="I2644" s="2925">
        <f t="shared" si="141"/>
        <v>0</v>
      </c>
      <c r="J2644" s="1136"/>
      <c r="K2644" s="1136"/>
      <c r="L2644" s="1136"/>
      <c r="M2644" s="975">
        <v>1250</v>
      </c>
    </row>
    <row r="2645" spans="1:13" s="1083" customFormat="1" ht="25.2" hidden="1" customHeight="1">
      <c r="A2645" s="1153">
        <f t="shared" si="140"/>
        <v>0</v>
      </c>
      <c r="B2645" s="1154" t="s">
        <v>1412</v>
      </c>
      <c r="C2645" s="1154"/>
      <c r="D2645" s="2646"/>
      <c r="E2645" s="2926">
        <v>0</v>
      </c>
      <c r="F2645" s="2927" t="s">
        <v>3467</v>
      </c>
      <c r="G2645" s="2926" t="s">
        <v>2445</v>
      </c>
      <c r="H2645" s="2917">
        <f>H2640</f>
        <v>0</v>
      </c>
      <c r="I2645" s="2925">
        <f t="shared" si="141"/>
        <v>0</v>
      </c>
      <c r="J2645" s="1136"/>
      <c r="K2645" s="1136"/>
      <c r="L2645" s="1136"/>
      <c r="M2645" s="975">
        <v>1250</v>
      </c>
    </row>
    <row r="2646" spans="1:13" s="1083" customFormat="1" ht="25.2" hidden="1" customHeight="1">
      <c r="A2646" s="1153">
        <f t="shared" si="140"/>
        <v>0</v>
      </c>
      <c r="B2646" s="1154" t="s">
        <v>2144</v>
      </c>
      <c r="C2646" s="1154"/>
      <c r="D2646" s="2646"/>
      <c r="E2646" s="2926">
        <v>0</v>
      </c>
      <c r="F2646" s="2927" t="s">
        <v>3473</v>
      </c>
      <c r="G2646" s="2926" t="s">
        <v>2445</v>
      </c>
      <c r="H2646" s="2917">
        <f>H2640</f>
        <v>0</v>
      </c>
      <c r="I2646" s="2925">
        <f t="shared" si="141"/>
        <v>0</v>
      </c>
      <c r="J2646" s="1136"/>
      <c r="K2646" s="1136"/>
      <c r="L2646" s="1136"/>
      <c r="M2646" s="975">
        <v>1250</v>
      </c>
    </row>
    <row r="2647" spans="1:13" s="1083" customFormat="1" ht="25.2" hidden="1" customHeight="1">
      <c r="A2647" s="1153">
        <f t="shared" si="140"/>
        <v>0</v>
      </c>
      <c r="B2647" s="1154" t="s">
        <v>1413</v>
      </c>
      <c r="C2647" s="1154"/>
      <c r="D2647" s="2648"/>
      <c r="E2647" s="2926" t="s">
        <v>5403</v>
      </c>
      <c r="F2647" s="2927" t="s">
        <v>5404</v>
      </c>
      <c r="G2647" s="2926" t="s">
        <v>2445</v>
      </c>
      <c r="H2647" s="2917">
        <f>H2645+H2646</f>
        <v>0</v>
      </c>
      <c r="I2647" s="2925">
        <f t="shared" si="141"/>
        <v>0</v>
      </c>
      <c r="J2647" s="1136"/>
      <c r="K2647" s="1136"/>
      <c r="L2647" s="1136"/>
      <c r="M2647" s="975">
        <v>1250</v>
      </c>
    </row>
    <row r="2648" spans="1:13" s="1083" customFormat="1" ht="25.2" hidden="1" customHeight="1">
      <c r="A2648" s="1153">
        <f t="shared" si="140"/>
        <v>0</v>
      </c>
      <c r="B2648" s="1154" t="s">
        <v>289</v>
      </c>
      <c r="C2648" s="1154"/>
      <c r="D2648" s="2646"/>
      <c r="E2648" s="2926">
        <v>0</v>
      </c>
      <c r="F2648" s="2927" t="s">
        <v>5774</v>
      </c>
      <c r="G2648" s="2926" t="s">
        <v>2563</v>
      </c>
      <c r="H2648" s="2917">
        <f>H2640</f>
        <v>0</v>
      </c>
      <c r="I2648" s="2925">
        <f t="shared" si="141"/>
        <v>0</v>
      </c>
      <c r="J2648" s="1136"/>
      <c r="K2648" s="1136"/>
      <c r="L2648" s="1136"/>
      <c r="M2648" s="975">
        <v>1250</v>
      </c>
    </row>
    <row r="2649" spans="1:13" s="1083" customFormat="1" ht="25.2" hidden="1" customHeight="1">
      <c r="A2649" s="1153">
        <f t="shared" si="140"/>
        <v>0</v>
      </c>
      <c r="B2649" s="1154"/>
      <c r="C2649" s="1154"/>
      <c r="D2649" s="2933">
        <f>IF(H2649&gt;0,D2640+1,D2640)</f>
        <v>5</v>
      </c>
      <c r="E2649" s="2934"/>
      <c r="F2649" s="2935" t="s">
        <v>3758</v>
      </c>
      <c r="G2649" s="2936" t="s">
        <v>2391</v>
      </c>
      <c r="H2649" s="2947"/>
      <c r="I2649" s="2925">
        <f t="shared" si="141"/>
        <v>0</v>
      </c>
      <c r="J2649" s="1136"/>
      <c r="K2649" s="1136"/>
      <c r="L2649" s="1136"/>
      <c r="M2649" s="975">
        <v>1250</v>
      </c>
    </row>
    <row r="2650" spans="1:13" s="1083" customFormat="1" ht="25.2" hidden="1" customHeight="1">
      <c r="A2650" s="1153">
        <f t="shared" ref="A2650:A2713" si="142">IF(I2650&gt;0,1,0)</f>
        <v>0</v>
      </c>
      <c r="B2650" s="1154"/>
      <c r="C2650" s="1154"/>
      <c r="D2650" s="2648"/>
      <c r="E2650" s="2937"/>
      <c r="F2650" s="2941" t="s">
        <v>6207</v>
      </c>
      <c r="G2650" s="2648"/>
      <c r="H2650" s="2944"/>
      <c r="I2650" s="2925">
        <f t="shared" si="141"/>
        <v>0</v>
      </c>
      <c r="J2650" s="1136"/>
      <c r="K2650" s="1136"/>
      <c r="L2650" s="1136"/>
      <c r="M2650" s="975">
        <v>1250</v>
      </c>
    </row>
    <row r="2651" spans="1:13" s="1083" customFormat="1" ht="25.2" hidden="1" customHeight="1">
      <c r="A2651" s="1153">
        <f t="shared" si="142"/>
        <v>0</v>
      </c>
      <c r="B2651" s="1154" t="s">
        <v>470</v>
      </c>
      <c r="C2651" s="1154"/>
      <c r="D2651" s="2646"/>
      <c r="E2651" s="2926">
        <v>0</v>
      </c>
      <c r="F2651" s="2927" t="s">
        <v>6456</v>
      </c>
      <c r="G2651" s="2926" t="s">
        <v>2538</v>
      </c>
      <c r="H2651" s="2917">
        <f>H2630+H2649*8</f>
        <v>0</v>
      </c>
      <c r="I2651" s="2925">
        <f t="shared" si="141"/>
        <v>0</v>
      </c>
      <c r="J2651" s="1136"/>
      <c r="K2651" s="1136"/>
      <c r="L2651" s="1136"/>
      <c r="M2651" s="975">
        <v>1250</v>
      </c>
    </row>
    <row r="2652" spans="1:13" s="1083" customFormat="1" ht="25.2" hidden="1" customHeight="1">
      <c r="A2652" s="1153">
        <f t="shared" si="142"/>
        <v>0</v>
      </c>
      <c r="B2652" s="1154" t="s">
        <v>271</v>
      </c>
      <c r="C2652" s="1154"/>
      <c r="D2652" s="2646"/>
      <c r="E2652" s="2926">
        <v>0</v>
      </c>
      <c r="F2652" s="2927" t="s">
        <v>6457</v>
      </c>
      <c r="G2652" s="2926" t="s">
        <v>2538</v>
      </c>
      <c r="H2652" s="2917">
        <f>H2651</f>
        <v>0</v>
      </c>
      <c r="I2652" s="2925">
        <f t="shared" si="141"/>
        <v>0</v>
      </c>
      <c r="J2652" s="1136"/>
      <c r="K2652" s="1136"/>
      <c r="L2652" s="1136"/>
      <c r="M2652" s="975">
        <v>1250</v>
      </c>
    </row>
    <row r="2653" spans="1:13" s="1083" customFormat="1" ht="25.2" hidden="1" customHeight="1">
      <c r="A2653" s="1153">
        <f t="shared" si="142"/>
        <v>0</v>
      </c>
      <c r="B2653" s="1154" t="s">
        <v>271</v>
      </c>
      <c r="C2653" s="1154"/>
      <c r="D2653" s="2646"/>
      <c r="E2653" s="2926">
        <v>0</v>
      </c>
      <c r="F2653" s="2927" t="s">
        <v>6458</v>
      </c>
      <c r="G2653" s="2926" t="s">
        <v>2538</v>
      </c>
      <c r="H2653" s="2917">
        <f>H2649*0.5*3</f>
        <v>0</v>
      </c>
      <c r="I2653" s="2925">
        <f t="shared" si="141"/>
        <v>0</v>
      </c>
      <c r="J2653" s="1136"/>
      <c r="K2653" s="1136"/>
      <c r="L2653" s="1136"/>
      <c r="M2653" s="975">
        <v>1250</v>
      </c>
    </row>
    <row r="2654" spans="1:13" s="1083" customFormat="1" ht="25.2" hidden="1" customHeight="1">
      <c r="A2654" s="1153">
        <f t="shared" si="142"/>
        <v>0</v>
      </c>
      <c r="B2654" s="1154" t="s">
        <v>1355</v>
      </c>
      <c r="C2654" s="1154"/>
      <c r="D2654" s="2646"/>
      <c r="E2654" s="2926">
        <v>0</v>
      </c>
      <c r="F2654" s="2927" t="s">
        <v>3032</v>
      </c>
      <c r="G2654" s="2926" t="s">
        <v>2563</v>
      </c>
      <c r="H2654" s="2917">
        <f>H2649</f>
        <v>0</v>
      </c>
      <c r="I2654" s="2925">
        <f t="shared" si="141"/>
        <v>0</v>
      </c>
      <c r="J2654" s="1136"/>
      <c r="K2654" s="1136"/>
      <c r="L2654" s="1136"/>
      <c r="M2654" s="975">
        <v>1250</v>
      </c>
    </row>
    <row r="2655" spans="1:13" s="1083" customFormat="1" ht="25.2" hidden="1" customHeight="1">
      <c r="A2655" s="1153">
        <f t="shared" si="142"/>
        <v>0</v>
      </c>
      <c r="B2655" s="1154" t="s">
        <v>470</v>
      </c>
      <c r="C2655" s="1154"/>
      <c r="D2655" s="2646"/>
      <c r="E2655" s="2926">
        <v>0</v>
      </c>
      <c r="F2655" s="2927" t="s">
        <v>6459</v>
      </c>
      <c r="G2655" s="2926" t="s">
        <v>2538</v>
      </c>
      <c r="H2655" s="2917">
        <f>(1.2+2.4)*H2649</f>
        <v>0</v>
      </c>
      <c r="I2655" s="2925">
        <f t="shared" si="141"/>
        <v>0</v>
      </c>
      <c r="J2655" s="1136"/>
      <c r="K2655" s="1136"/>
      <c r="L2655" s="1136"/>
      <c r="M2655" s="975">
        <v>1250</v>
      </c>
    </row>
    <row r="2656" spans="1:13" s="1083" customFormat="1" ht="25.2" hidden="1" customHeight="1">
      <c r="A2656" s="1153">
        <f t="shared" si="142"/>
        <v>0</v>
      </c>
      <c r="B2656" s="1154" t="s">
        <v>271</v>
      </c>
      <c r="C2656" s="1154"/>
      <c r="D2656" s="2646"/>
      <c r="E2656" s="2926">
        <v>0</v>
      </c>
      <c r="F2656" s="2927" t="s">
        <v>6460</v>
      </c>
      <c r="G2656" s="2926" t="s">
        <v>2538</v>
      </c>
      <c r="H2656" s="2917">
        <f>H2649*1.2</f>
        <v>0</v>
      </c>
      <c r="I2656" s="2925">
        <f t="shared" si="141"/>
        <v>0</v>
      </c>
      <c r="J2656" s="1136"/>
      <c r="K2656" s="1136"/>
      <c r="L2656" s="1136"/>
      <c r="M2656" s="975">
        <v>1250</v>
      </c>
    </row>
    <row r="2657" spans="1:13" s="1083" customFormat="1" ht="25.2" hidden="1" customHeight="1">
      <c r="A2657" s="1153">
        <f t="shared" si="142"/>
        <v>0</v>
      </c>
      <c r="B2657" s="1154" t="s">
        <v>1356</v>
      </c>
      <c r="C2657" s="1154"/>
      <c r="D2657" s="2646"/>
      <c r="E2657" s="2926">
        <v>0</v>
      </c>
      <c r="F2657" s="2927" t="s">
        <v>3039</v>
      </c>
      <c r="G2657" s="2926" t="s">
        <v>2563</v>
      </c>
      <c r="H2657" s="2917">
        <f>H2649</f>
        <v>0</v>
      </c>
      <c r="I2657" s="2925">
        <f t="shared" si="141"/>
        <v>0</v>
      </c>
      <c r="J2657" s="1136"/>
      <c r="K2657" s="1136"/>
      <c r="L2657" s="1136"/>
      <c r="M2657" s="975">
        <v>1250</v>
      </c>
    </row>
    <row r="2658" spans="1:13" s="1083" customFormat="1" ht="25.2" hidden="1" customHeight="1">
      <c r="A2658" s="1153">
        <f t="shared" si="142"/>
        <v>0</v>
      </c>
      <c r="B2658" s="1154" t="s">
        <v>1678</v>
      </c>
      <c r="C2658" s="1154"/>
      <c r="D2658" s="2646"/>
      <c r="E2658" s="2926" t="s">
        <v>5521</v>
      </c>
      <c r="F2658" s="2927" t="s">
        <v>3196</v>
      </c>
      <c r="G2658" s="2926" t="s">
        <v>2563</v>
      </c>
      <c r="H2658" s="2917">
        <f>H2654+H2657</f>
        <v>0</v>
      </c>
      <c r="I2658" s="2925">
        <f t="shared" si="141"/>
        <v>0</v>
      </c>
      <c r="J2658" s="1136"/>
      <c r="K2658" s="1136"/>
      <c r="L2658" s="1136"/>
      <c r="M2658" s="975">
        <v>1250</v>
      </c>
    </row>
    <row r="2659" spans="1:13" s="1083" customFormat="1" ht="25.2" hidden="1" customHeight="1">
      <c r="A2659" s="1153">
        <f t="shared" si="142"/>
        <v>0</v>
      </c>
      <c r="B2659" s="1154" t="s">
        <v>1204</v>
      </c>
      <c r="C2659" s="1154"/>
      <c r="D2659" s="2646"/>
      <c r="E2659" s="2926" t="s">
        <v>337</v>
      </c>
      <c r="F2659" s="2927" t="s">
        <v>3286</v>
      </c>
      <c r="G2659" s="2926" t="s">
        <v>2538</v>
      </c>
      <c r="H2659" s="2917">
        <f>H2651+H2655</f>
        <v>0</v>
      </c>
      <c r="I2659" s="2925">
        <f t="shared" si="141"/>
        <v>0</v>
      </c>
      <c r="J2659" s="1136"/>
      <c r="K2659" s="1136"/>
      <c r="L2659" s="1136"/>
      <c r="M2659" s="975">
        <v>1250</v>
      </c>
    </row>
    <row r="2660" spans="1:13" s="1083" customFormat="1" ht="25.2" hidden="1" customHeight="1">
      <c r="A2660" s="1153">
        <f t="shared" si="142"/>
        <v>0</v>
      </c>
      <c r="B2660" s="1154" t="s">
        <v>1201</v>
      </c>
      <c r="C2660" s="1154"/>
      <c r="D2660" s="2646"/>
      <c r="E2660" s="2926" t="s">
        <v>334</v>
      </c>
      <c r="F2660" s="2927" t="s">
        <v>3283</v>
      </c>
      <c r="G2660" s="2926" t="s">
        <v>2538</v>
      </c>
      <c r="H2660" s="2917">
        <f>H2652+H2656</f>
        <v>0</v>
      </c>
      <c r="I2660" s="2925">
        <f t="shared" si="141"/>
        <v>0</v>
      </c>
      <c r="J2660" s="1136"/>
      <c r="K2660" s="1136"/>
      <c r="L2660" s="1136"/>
      <c r="M2660" s="975">
        <v>1250</v>
      </c>
    </row>
    <row r="2661" spans="1:13" s="1083" customFormat="1" ht="25.2" hidden="1" customHeight="1">
      <c r="A2661" s="1153">
        <f t="shared" si="142"/>
        <v>0</v>
      </c>
      <c r="B2661" s="1154" t="s">
        <v>1528</v>
      </c>
      <c r="C2661" s="1154"/>
      <c r="D2661" s="2646"/>
      <c r="E2661" s="2926" t="s">
        <v>5633</v>
      </c>
      <c r="F2661" s="2927" t="s">
        <v>3310</v>
      </c>
      <c r="G2661" s="2926" t="s">
        <v>1827</v>
      </c>
      <c r="H2661" s="2917">
        <f>H2653</f>
        <v>0</v>
      </c>
      <c r="I2661" s="2925">
        <f t="shared" si="141"/>
        <v>0</v>
      </c>
      <c r="J2661" s="1136"/>
      <c r="K2661" s="1136"/>
      <c r="L2661" s="1136"/>
      <c r="M2661" s="975">
        <v>1250</v>
      </c>
    </row>
    <row r="2662" spans="1:13" s="1083" customFormat="1" ht="25.2" hidden="1" customHeight="1">
      <c r="A2662" s="1153">
        <f t="shared" si="142"/>
        <v>0</v>
      </c>
      <c r="B2662" s="1154" t="s">
        <v>1352</v>
      </c>
      <c r="C2662" s="1154"/>
      <c r="D2662" s="2646"/>
      <c r="E2662" s="2926">
        <v>0</v>
      </c>
      <c r="F2662" s="2927" t="s">
        <v>3536</v>
      </c>
      <c r="G2662" s="2926" t="s">
        <v>3537</v>
      </c>
      <c r="H2662" s="2917">
        <f>H2649*2</f>
        <v>0</v>
      </c>
      <c r="I2662" s="2925">
        <f t="shared" si="141"/>
        <v>0</v>
      </c>
      <c r="J2662" s="1136"/>
      <c r="K2662" s="1136"/>
      <c r="L2662" s="1136"/>
      <c r="M2662" s="975">
        <v>1250</v>
      </c>
    </row>
    <row r="2663" spans="1:13" s="1083" customFormat="1" ht="25.2" customHeight="1">
      <c r="A2663" s="1153">
        <f t="shared" si="142"/>
        <v>1</v>
      </c>
      <c r="B2663" s="1154"/>
      <c r="C2663" s="1154"/>
      <c r="D2663" s="2933">
        <f>IF(H2663&gt;0,D2649+1,D2649)</f>
        <v>6</v>
      </c>
      <c r="E2663" s="2934"/>
      <c r="F2663" s="2935" t="s">
        <v>6337</v>
      </c>
      <c r="G2663" s="2936" t="s">
        <v>2391</v>
      </c>
      <c r="H2663" s="2947">
        <f>H2551</f>
        <v>1</v>
      </c>
      <c r="I2663" s="2925">
        <f t="shared" si="141"/>
        <v>1</v>
      </c>
      <c r="J2663" s="1136"/>
      <c r="K2663" s="1136"/>
      <c r="L2663" s="1136"/>
      <c r="M2663" s="975">
        <v>1250</v>
      </c>
    </row>
    <row r="2664" spans="1:13" s="1083" customFormat="1" ht="25.2" hidden="1" customHeight="1">
      <c r="A2664" s="1153">
        <f t="shared" si="142"/>
        <v>0</v>
      </c>
      <c r="B2664" s="1154"/>
      <c r="C2664" s="1154"/>
      <c r="D2664" s="2648"/>
      <c r="E2664" s="2937"/>
      <c r="F2664" s="2938" t="s">
        <v>6207</v>
      </c>
      <c r="G2664" s="2648"/>
      <c r="H2664" s="2944"/>
      <c r="I2664" s="2925">
        <f t="shared" si="141"/>
        <v>0</v>
      </c>
      <c r="J2664" s="1136"/>
      <c r="K2664" s="1136"/>
      <c r="L2664" s="1136"/>
      <c r="M2664" s="975">
        <v>1250</v>
      </c>
    </row>
    <row r="2665" spans="1:13" s="1083" customFormat="1" ht="25.2" customHeight="1">
      <c r="A2665" s="1153">
        <f t="shared" si="142"/>
        <v>1</v>
      </c>
      <c r="B2665" s="1154" t="s">
        <v>697</v>
      </c>
      <c r="C2665" s="1154"/>
      <c r="D2665" s="2646"/>
      <c r="E2665" s="2926">
        <v>0</v>
      </c>
      <c r="F2665" s="2927" t="str">
        <f>VLOOKUP(B2665,DonGia,3,0)</f>
        <v>Cáp 24KV C/XLPE/PVC 25mm2</v>
      </c>
      <c r="G2665" s="2926" t="s">
        <v>2538</v>
      </c>
      <c r="H2665" s="2917">
        <f>H2663*(12)*3</f>
        <v>36</v>
      </c>
      <c r="I2665" s="2925">
        <f t="shared" si="141"/>
        <v>36</v>
      </c>
      <c r="J2665" s="1136"/>
      <c r="K2665" s="1136"/>
      <c r="L2665" s="1136"/>
      <c r="M2665" s="975">
        <v>1250</v>
      </c>
    </row>
    <row r="2666" spans="1:13" s="1083" customFormat="1" ht="25.2" customHeight="1">
      <c r="A2666" s="1153">
        <f t="shared" si="142"/>
        <v>1</v>
      </c>
      <c r="B2666" s="1154" t="s">
        <v>5761</v>
      </c>
      <c r="C2666" s="1154"/>
      <c r="D2666" s="2646"/>
      <c r="E2666" s="2926">
        <v>0</v>
      </c>
      <c r="F2666" s="2927" t="str">
        <f>VLOOKUP(B2666,DonGia,3,0)</f>
        <v>Nắp che đầu cực FCO</v>
      </c>
      <c r="G2666" s="2926" t="s">
        <v>2563</v>
      </c>
      <c r="H2666" s="2917">
        <f>H2663*3</f>
        <v>3</v>
      </c>
      <c r="I2666" s="2925">
        <f t="shared" si="141"/>
        <v>3</v>
      </c>
      <c r="J2666" s="1136"/>
      <c r="K2666" s="1136"/>
      <c r="L2666" s="1136"/>
      <c r="M2666" s="975">
        <v>1250</v>
      </c>
    </row>
    <row r="2667" spans="1:13" s="1083" customFormat="1" ht="25.2" customHeight="1">
      <c r="A2667" s="1153">
        <f t="shared" si="142"/>
        <v>1</v>
      </c>
      <c r="B2667" s="1154" t="s">
        <v>5767</v>
      </c>
      <c r="C2667" s="1154"/>
      <c r="D2667" s="2646"/>
      <c r="E2667" s="2926">
        <v>0</v>
      </c>
      <c r="F2667" s="2927" t="str">
        <f>VLOOKUP(B2667,DonGia,3,0)</f>
        <v>Nắp che đầu cực LA</v>
      </c>
      <c r="G2667" s="2926" t="s">
        <v>2563</v>
      </c>
      <c r="H2667" s="2917">
        <f>H2663*3</f>
        <v>3</v>
      </c>
      <c r="I2667" s="2925">
        <f t="shared" si="141"/>
        <v>3</v>
      </c>
      <c r="J2667" s="1136"/>
      <c r="K2667" s="1136"/>
      <c r="L2667" s="1136"/>
      <c r="M2667" s="975">
        <v>1250</v>
      </c>
    </row>
    <row r="2668" spans="1:13" s="1083" customFormat="1" ht="25.2" customHeight="1">
      <c r="A2668" s="1153">
        <f t="shared" si="142"/>
        <v>1</v>
      </c>
      <c r="B2668" s="1154" t="s">
        <v>5769</v>
      </c>
      <c r="C2668" s="1154"/>
      <c r="D2668" s="2646"/>
      <c r="E2668" s="2926">
        <v>0</v>
      </c>
      <c r="F2668" s="2927" t="str">
        <f>VLOOKUP(B2668,DonGia,3,0)</f>
        <v>Nắp che đầu sứ MBA</v>
      </c>
      <c r="G2668" s="2926" t="s">
        <v>2563</v>
      </c>
      <c r="H2668" s="2917">
        <f>H2663*3</f>
        <v>3</v>
      </c>
      <c r="I2668" s="2925">
        <f t="shared" si="141"/>
        <v>3</v>
      </c>
      <c r="J2668" s="1136"/>
      <c r="K2668" s="1136"/>
      <c r="L2668" s="1136"/>
      <c r="M2668" s="975">
        <v>1250</v>
      </c>
    </row>
    <row r="2669" spans="1:13" s="1083" customFormat="1" ht="25.2" customHeight="1">
      <c r="A2669" s="1153">
        <f t="shared" si="142"/>
        <v>1</v>
      </c>
      <c r="B2669" s="1154" t="s">
        <v>5759</v>
      </c>
      <c r="C2669" s="1154"/>
      <c r="D2669" s="2646"/>
      <c r="E2669" s="2926"/>
      <c r="F2669" s="2927" t="str">
        <f>VLOOKUP(B2669,DonGia,3,0)</f>
        <v>Chụp đầu cực TI, TU</v>
      </c>
      <c r="G2669" s="2926" t="s">
        <v>3463</v>
      </c>
      <c r="H2669" s="2917">
        <f>H2561*2+H2562</f>
        <v>9</v>
      </c>
      <c r="I2669" s="2925">
        <f t="shared" si="141"/>
        <v>9</v>
      </c>
      <c r="J2669" s="1136"/>
      <c r="K2669" s="1136"/>
      <c r="L2669" s="1136"/>
      <c r="M2669" s="975">
        <v>1250</v>
      </c>
    </row>
    <row r="2670" spans="1:13" s="1083" customFormat="1" ht="25.2" customHeight="1">
      <c r="A2670" s="1153">
        <f t="shared" si="142"/>
        <v>1</v>
      </c>
      <c r="B2670" s="1154" t="s">
        <v>1482</v>
      </c>
      <c r="C2670" s="1154"/>
      <c r="D2670" s="2646"/>
      <c r="E2670" s="2926">
        <v>0</v>
      </c>
      <c r="F2670" s="2927" t="str">
        <f>VLOOKUP(B2670,DonGia,3,0)</f>
        <v>Kẹp quai 2/0</v>
      </c>
      <c r="G2670" s="2926" t="s">
        <v>2563</v>
      </c>
      <c r="H2670" s="2917">
        <v>3</v>
      </c>
      <c r="I2670" s="2925">
        <f t="shared" si="141"/>
        <v>3</v>
      </c>
      <c r="J2670" s="1136"/>
      <c r="K2670" s="1136"/>
      <c r="L2670" s="1136"/>
      <c r="M2670" s="975">
        <v>1250</v>
      </c>
    </row>
    <row r="2671" spans="1:13" s="1083" customFormat="1" ht="25.2" customHeight="1">
      <c r="A2671" s="1153">
        <f t="shared" si="142"/>
        <v>1</v>
      </c>
      <c r="B2671" s="1154" t="s">
        <v>1480</v>
      </c>
      <c r="C2671" s="1154"/>
      <c r="D2671" s="2646"/>
      <c r="E2671" s="2926">
        <v>0</v>
      </c>
      <c r="F2671" s="2927" t="str">
        <f>VLOOKUP(B2671,DonGia,3,0)</f>
        <v>Kẹp hotline 2/0</v>
      </c>
      <c r="G2671" s="2926" t="s">
        <v>2563</v>
      </c>
      <c r="H2671" s="2917">
        <v>3</v>
      </c>
      <c r="I2671" s="2925">
        <f t="shared" si="141"/>
        <v>3</v>
      </c>
      <c r="J2671" s="1136"/>
      <c r="K2671" s="1136"/>
      <c r="L2671" s="1136"/>
      <c r="M2671" s="975">
        <v>1250</v>
      </c>
    </row>
    <row r="2672" spans="1:13" s="1083" customFormat="1" ht="25.2" customHeight="1">
      <c r="A2672" s="1153">
        <f t="shared" si="142"/>
        <v>1</v>
      </c>
      <c r="B2672" s="1154" t="s">
        <v>696</v>
      </c>
      <c r="C2672" s="1154"/>
      <c r="D2672" s="2649"/>
      <c r="E2672" s="2926">
        <v>0</v>
      </c>
      <c r="F2672" s="2927" t="str">
        <f>VLOOKUP(B2672,DonGia,3,0)</f>
        <v xml:space="preserve">Sứ đứng 24KV </v>
      </c>
      <c r="G2672" s="2926" t="s">
        <v>2563</v>
      </c>
      <c r="H2672" s="2917">
        <v>9</v>
      </c>
      <c r="I2672" s="2925">
        <f t="shared" si="141"/>
        <v>9</v>
      </c>
      <c r="J2672" s="1136"/>
      <c r="K2672" s="1136"/>
      <c r="L2672" s="1136"/>
      <c r="M2672" s="975">
        <v>1250</v>
      </c>
    </row>
    <row r="2673" spans="1:13" s="1083" customFormat="1" ht="25.2" customHeight="1">
      <c r="A2673" s="1153">
        <f t="shared" si="142"/>
        <v>1</v>
      </c>
      <c r="B2673" s="1154" t="s">
        <v>1268</v>
      </c>
      <c r="C2673" s="1154"/>
      <c r="D2673" s="2646"/>
      <c r="E2673" s="2926">
        <v>0</v>
      </c>
      <c r="F2673" s="2927" t="str">
        <f>VLOOKUP(B2673,DonGia,3,0)</f>
        <v>Chân sứ đứng D20</v>
      </c>
      <c r="G2673" s="2926" t="s">
        <v>2563</v>
      </c>
      <c r="H2673" s="2917">
        <f>H2672</f>
        <v>9</v>
      </c>
      <c r="I2673" s="2925">
        <f t="shared" si="141"/>
        <v>9</v>
      </c>
      <c r="J2673" s="1136"/>
      <c r="K2673" s="1136"/>
      <c r="L2673" s="1136"/>
      <c r="M2673" s="975">
        <v>1250</v>
      </c>
    </row>
    <row r="2674" spans="1:13" s="1083" customFormat="1" ht="25.2" customHeight="1">
      <c r="A2674" s="1153">
        <f t="shared" si="142"/>
        <v>1</v>
      </c>
      <c r="B2674" s="1154" t="s">
        <v>6354</v>
      </c>
      <c r="C2674" s="1154"/>
      <c r="D2674" s="2646"/>
      <c r="E2674" s="2926">
        <v>0</v>
      </c>
      <c r="F2674" s="2927" t="str">
        <f>VLOOKUP(B2674,DonGia,3,0)</f>
        <v>Dây buộc đầu sứ đỡ thẳng 50mm2</v>
      </c>
      <c r="G2674" s="2926" t="s">
        <v>2563</v>
      </c>
      <c r="H2674" s="2917">
        <f>H2673</f>
        <v>9</v>
      </c>
      <c r="I2674" s="2925">
        <f t="shared" si="141"/>
        <v>9</v>
      </c>
      <c r="J2674" s="1136"/>
      <c r="K2674" s="1136"/>
      <c r="L2674" s="1136"/>
      <c r="M2674" s="975">
        <v>1250</v>
      </c>
    </row>
    <row r="2675" spans="1:13" s="1083" customFormat="1" ht="25.2" customHeight="1">
      <c r="A2675" s="1153">
        <f t="shared" si="142"/>
        <v>1</v>
      </c>
      <c r="B2675" s="1154" t="s">
        <v>1568</v>
      </c>
      <c r="C2675" s="1154"/>
      <c r="D2675" s="2646"/>
      <c r="E2675" s="2926" t="s">
        <v>5622</v>
      </c>
      <c r="F2675" s="2927" t="str">
        <f>VLOOKUP(B2675,DonGia,3,0)</f>
        <v>Lắp sứ đứng 24KV</v>
      </c>
      <c r="G2675" s="2926" t="s">
        <v>2445</v>
      </c>
      <c r="H2675" s="2917">
        <f>H2673</f>
        <v>9</v>
      </c>
      <c r="I2675" s="2925">
        <f t="shared" si="141"/>
        <v>9</v>
      </c>
      <c r="J2675" s="1136"/>
      <c r="K2675" s="1136"/>
      <c r="L2675" s="1136"/>
      <c r="M2675" s="975">
        <v>1250</v>
      </c>
    </row>
    <row r="2676" spans="1:13" s="1083" customFormat="1" ht="25.2" customHeight="1">
      <c r="A2676" s="1153">
        <f t="shared" si="142"/>
        <v>1</v>
      </c>
      <c r="B2676" s="1154" t="s">
        <v>1528</v>
      </c>
      <c r="C2676" s="1154"/>
      <c r="D2676" s="2646"/>
      <c r="E2676" s="2926" t="s">
        <v>5633</v>
      </c>
      <c r="F2676" s="2927" t="str">
        <f>VLOOKUP(B2676,DonGia,3,0)</f>
        <v>Lắp cáp đồng xuống thiết bị D ≤ 95mm2</v>
      </c>
      <c r="G2676" s="2926" t="s">
        <v>1827</v>
      </c>
      <c r="H2676" s="2917">
        <f>H2665</f>
        <v>36</v>
      </c>
      <c r="I2676" s="2925">
        <f t="shared" si="141"/>
        <v>36</v>
      </c>
      <c r="J2676" s="1136"/>
      <c r="K2676" s="1136"/>
      <c r="L2676" s="1136"/>
      <c r="M2676" s="975">
        <v>1250</v>
      </c>
    </row>
    <row r="2677" spans="1:13" s="1083" customFormat="1" ht="25.2" customHeight="1">
      <c r="A2677" s="1153">
        <f t="shared" si="142"/>
        <v>1</v>
      </c>
      <c r="B2677" s="1154"/>
      <c r="C2677" s="1154"/>
      <c r="D2677" s="2933">
        <f>IF(H2677&gt;0,D2663+1,D2663)</f>
        <v>7</v>
      </c>
      <c r="E2677" s="2934"/>
      <c r="F2677" s="2935" t="s">
        <v>3746</v>
      </c>
      <c r="G2677" s="2936" t="s">
        <v>2391</v>
      </c>
      <c r="H2677" s="2947">
        <f>H2625</f>
        <v>1</v>
      </c>
      <c r="I2677" s="2925">
        <f t="shared" si="141"/>
        <v>1</v>
      </c>
      <c r="J2677" s="1136"/>
      <c r="K2677" s="1136"/>
      <c r="L2677" s="1136"/>
      <c r="M2677" s="975">
        <v>1250</v>
      </c>
    </row>
    <row r="2678" spans="1:13" s="1083" customFormat="1" ht="25.2" hidden="1" customHeight="1">
      <c r="A2678" s="1153">
        <f t="shared" si="142"/>
        <v>0</v>
      </c>
      <c r="B2678" s="1154"/>
      <c r="C2678" s="1154"/>
      <c r="D2678" s="2648"/>
      <c r="E2678" s="2937"/>
      <c r="F2678" s="2938" t="s">
        <v>6207</v>
      </c>
      <c r="G2678" s="2648"/>
      <c r="H2678" s="2917"/>
      <c r="I2678" s="2925">
        <f t="shared" si="141"/>
        <v>0</v>
      </c>
      <c r="J2678" s="1136"/>
      <c r="K2678" s="1136"/>
      <c r="L2678" s="1136"/>
      <c r="M2678" s="975">
        <v>1250</v>
      </c>
    </row>
    <row r="2679" spans="1:13" s="1083" customFormat="1" ht="25.2" customHeight="1">
      <c r="A2679" s="1153">
        <f t="shared" si="142"/>
        <v>1</v>
      </c>
      <c r="B2679" s="1154" t="s">
        <v>4793</v>
      </c>
      <c r="C2679" s="1154"/>
      <c r="D2679" s="2646"/>
      <c r="E2679" s="2926">
        <v>0</v>
      </c>
      <c r="F2679" s="2927" t="str">
        <f>VLOOKUP(B2679,DonGia,3,0)</f>
        <v>Cáp đồng bọc CV240</v>
      </c>
      <c r="G2679" s="2926" t="s">
        <v>2538</v>
      </c>
      <c r="H2679" s="2917">
        <f>+H2677*(5*4*3+6*2)</f>
        <v>72</v>
      </c>
      <c r="I2679" s="2925">
        <f t="shared" si="141"/>
        <v>72</v>
      </c>
      <c r="J2679" s="1136"/>
      <c r="K2679" s="1136"/>
      <c r="L2679" s="1136"/>
      <c r="M2679" s="975">
        <v>1250</v>
      </c>
    </row>
    <row r="2680" spans="1:13" s="1083" customFormat="1" ht="25.2" customHeight="1">
      <c r="A2680" s="1153">
        <f t="shared" si="142"/>
        <v>1</v>
      </c>
      <c r="B2680" s="1154" t="s">
        <v>2162</v>
      </c>
      <c r="C2680" s="1154"/>
      <c r="D2680" s="2646"/>
      <c r="E2680" s="2926" t="s">
        <v>5793</v>
      </c>
      <c r="F2680" s="2927" t="str">
        <f>VLOOKUP(B2680,DonGia,3,0)</f>
        <v>Đầu cosse ép Cu 240mm2</v>
      </c>
      <c r="G2680" s="2926" t="s">
        <v>2563</v>
      </c>
      <c r="H2680" s="2917">
        <f>+H2677*2*(4*3+2)</f>
        <v>28</v>
      </c>
      <c r="I2680" s="2925">
        <f t="shared" ref="I2680:I2742" si="143">H2680</f>
        <v>28</v>
      </c>
      <c r="J2680" s="1136"/>
      <c r="K2680" s="1136"/>
      <c r="L2680" s="1136"/>
      <c r="M2680" s="975">
        <v>1250</v>
      </c>
    </row>
    <row r="2681" spans="1:13" s="1083" customFormat="1" ht="25.2" customHeight="1">
      <c r="A2681" s="1153">
        <f t="shared" si="142"/>
        <v>1</v>
      </c>
      <c r="B2681" s="1154" t="s">
        <v>90</v>
      </c>
      <c r="C2681" s="1154"/>
      <c r="D2681" s="2646"/>
      <c r="E2681" s="2926">
        <v>0</v>
      </c>
      <c r="F2681" s="2927" t="str">
        <f>VLOOKUP(B2681,DonGia,3,0)</f>
        <v>Chụp đầu cosse  240mm2</v>
      </c>
      <c r="G2681" s="2926" t="s">
        <v>2563</v>
      </c>
      <c r="H2681" s="2917">
        <f>H2680</f>
        <v>28</v>
      </c>
      <c r="I2681" s="2925">
        <f t="shared" si="143"/>
        <v>28</v>
      </c>
      <c r="J2681" s="1136"/>
      <c r="K2681" s="1136"/>
      <c r="L2681" s="1136"/>
      <c r="M2681" s="975">
        <v>1250</v>
      </c>
    </row>
    <row r="2682" spans="1:13" s="1083" customFormat="1" ht="25.2" customHeight="1">
      <c r="A2682" s="1153">
        <f t="shared" si="142"/>
        <v>1</v>
      </c>
      <c r="B2682" s="1154" t="s">
        <v>1042</v>
      </c>
      <c r="C2682" s="1154"/>
      <c r="D2682" s="2646"/>
      <c r="E2682" s="2926">
        <v>0</v>
      </c>
      <c r="F2682" s="2927" t="str">
        <f>VLOOKUP(B2682,DonGia,3,0)</f>
        <v xml:space="preserve">Ống PVC D114x4,9mm </v>
      </c>
      <c r="G2682" s="2926" t="s">
        <v>1827</v>
      </c>
      <c r="H2682" s="2917">
        <f>+H2677*8</f>
        <v>8</v>
      </c>
      <c r="I2682" s="2925">
        <f t="shared" si="143"/>
        <v>8</v>
      </c>
      <c r="J2682" s="1136"/>
      <c r="K2682" s="1136"/>
      <c r="L2682" s="1136"/>
      <c r="M2682" s="975">
        <v>1250</v>
      </c>
    </row>
    <row r="2683" spans="1:13" s="1083" customFormat="1" ht="25.2" hidden="1" customHeight="1">
      <c r="A2683" s="1153">
        <f t="shared" si="142"/>
        <v>0</v>
      </c>
      <c r="B2683" s="1154" t="s">
        <v>2144</v>
      </c>
      <c r="C2683" s="1154"/>
      <c r="D2683" s="2646"/>
      <c r="E2683" s="2926">
        <v>0</v>
      </c>
      <c r="F2683" s="2927" t="s">
        <v>3473</v>
      </c>
      <c r="G2683" s="2926" t="s">
        <v>2445</v>
      </c>
      <c r="H2683" s="2917"/>
      <c r="I2683" s="2925">
        <f t="shared" si="143"/>
        <v>0</v>
      </c>
      <c r="J2683" s="1136"/>
      <c r="K2683" s="1136"/>
      <c r="L2683" s="1136"/>
      <c r="M2683" s="975">
        <v>1250</v>
      </c>
    </row>
    <row r="2684" spans="1:13" s="1083" customFormat="1" ht="25.2" customHeight="1">
      <c r="A2684" s="1153">
        <f t="shared" si="142"/>
        <v>1</v>
      </c>
      <c r="B2684" s="1154" t="s">
        <v>6</v>
      </c>
      <c r="C2684" s="1154"/>
      <c r="D2684" s="2646"/>
      <c r="E2684" s="2926"/>
      <c r="F2684" s="2927" t="str">
        <f>VLOOKUP(B2684,DonGia,3,0)</f>
        <v>Keo silicon bít miệng ống</v>
      </c>
      <c r="G2684" s="2926" t="s">
        <v>5868</v>
      </c>
      <c r="H2684" s="2917">
        <f>+H2677*3</f>
        <v>3</v>
      </c>
      <c r="I2684" s="2925">
        <f t="shared" si="143"/>
        <v>3</v>
      </c>
      <c r="J2684" s="1136"/>
      <c r="K2684" s="1136"/>
      <c r="L2684" s="1136"/>
      <c r="M2684" s="975">
        <v>1250</v>
      </c>
    </row>
    <row r="2685" spans="1:13" s="1083" customFormat="1" ht="25.2" customHeight="1">
      <c r="A2685" s="1153">
        <f t="shared" si="142"/>
        <v>1</v>
      </c>
      <c r="B2685" s="1154" t="s">
        <v>1351</v>
      </c>
      <c r="C2685" s="1154"/>
      <c r="D2685" s="2646"/>
      <c r="E2685" s="2926">
        <v>0</v>
      </c>
      <c r="F2685" s="2927" t="str">
        <f>VLOOKUP(B2685,DonGia,3,0)</f>
        <v>Dây rút cáp</v>
      </c>
      <c r="G2685" s="2926" t="s">
        <v>3537</v>
      </c>
      <c r="H2685" s="2917">
        <f>+H2684</f>
        <v>3</v>
      </c>
      <c r="I2685" s="2925">
        <f t="shared" si="143"/>
        <v>3</v>
      </c>
      <c r="J2685" s="1136"/>
      <c r="K2685" s="1136"/>
      <c r="L2685" s="1136"/>
      <c r="M2685" s="975">
        <v>1250</v>
      </c>
    </row>
    <row r="2686" spans="1:13" s="1083" customFormat="1" ht="25.2" customHeight="1">
      <c r="A2686" s="1153">
        <f t="shared" si="142"/>
        <v>1</v>
      </c>
      <c r="B2686" s="1154" t="s">
        <v>672</v>
      </c>
      <c r="C2686" s="1154"/>
      <c r="D2686" s="2646"/>
      <c r="E2686" s="2926">
        <v>0</v>
      </c>
      <c r="F2686" s="2927" t="str">
        <f>VLOOKUP(B2686,DonGia,3,0)</f>
        <v>Băng keo cách điện</v>
      </c>
      <c r="G2686" s="2926" t="s">
        <v>3584</v>
      </c>
      <c r="H2686" s="2917">
        <f>+H2677*1</f>
        <v>1</v>
      </c>
      <c r="I2686" s="2925">
        <f t="shared" si="143"/>
        <v>1</v>
      </c>
      <c r="J2686" s="1136"/>
      <c r="K2686" s="1136"/>
      <c r="L2686" s="1136"/>
      <c r="M2686" s="975">
        <v>1250</v>
      </c>
    </row>
    <row r="2687" spans="1:13" s="1083" customFormat="1" ht="25.2" customHeight="1">
      <c r="A2687" s="1153">
        <f t="shared" si="142"/>
        <v>1</v>
      </c>
      <c r="B2687" s="1154" t="s">
        <v>247</v>
      </c>
      <c r="C2687" s="1154"/>
      <c r="D2687" s="2646"/>
      <c r="E2687" s="2926" t="s">
        <v>5635</v>
      </c>
      <c r="F2687" s="2927" t="str">
        <f>VLOOKUP(B2687,DonGia,3,0)</f>
        <v>Lắp cáp đồng xuống thiết bị D &gt; 150mm2</v>
      </c>
      <c r="G2687" s="2926" t="s">
        <v>1827</v>
      </c>
      <c r="H2687" s="2917">
        <f>H2679</f>
        <v>72</v>
      </c>
      <c r="I2687" s="2925">
        <f t="shared" si="143"/>
        <v>72</v>
      </c>
      <c r="J2687" s="1136"/>
      <c r="K2687" s="1136"/>
      <c r="L2687" s="1136"/>
      <c r="M2687" s="975">
        <v>1250</v>
      </c>
    </row>
    <row r="2688" spans="1:13" s="1083" customFormat="1" ht="25.2" hidden="1" customHeight="1">
      <c r="A2688" s="1153">
        <f t="shared" si="142"/>
        <v>0</v>
      </c>
      <c r="B2688" s="1154"/>
      <c r="C2688" s="1154"/>
      <c r="D2688" s="2933">
        <f>IF(H2688&gt;0,D2677+1,D2677)</f>
        <v>7</v>
      </c>
      <c r="E2688" s="2934"/>
      <c r="F2688" s="2935" t="s">
        <v>6296</v>
      </c>
      <c r="G2688" s="2936" t="s">
        <v>2391</v>
      </c>
      <c r="H2688" s="2947"/>
      <c r="I2688" s="2925">
        <f t="shared" si="143"/>
        <v>0</v>
      </c>
      <c r="J2688" s="1136"/>
      <c r="K2688" s="1136"/>
      <c r="L2688" s="1136"/>
      <c r="M2688" s="975">
        <v>1250</v>
      </c>
    </row>
    <row r="2689" spans="1:13" s="1083" customFormat="1" ht="25.2" hidden="1" customHeight="1">
      <c r="A2689" s="1153">
        <f t="shared" si="142"/>
        <v>0</v>
      </c>
      <c r="B2689" s="1154"/>
      <c r="C2689" s="1154"/>
      <c r="D2689" s="2648"/>
      <c r="E2689" s="2937"/>
      <c r="F2689" s="2938" t="s">
        <v>6207</v>
      </c>
      <c r="G2689" s="2646"/>
      <c r="H2689" s="2917"/>
      <c r="I2689" s="2925">
        <f t="shared" si="143"/>
        <v>0</v>
      </c>
      <c r="J2689" s="1136"/>
      <c r="K2689" s="1136"/>
      <c r="L2689" s="1136"/>
      <c r="M2689" s="975">
        <v>1250</v>
      </c>
    </row>
    <row r="2690" spans="1:13" s="1083" customFormat="1" ht="25.2" hidden="1" customHeight="1">
      <c r="A2690" s="1153">
        <f t="shared" si="142"/>
        <v>0</v>
      </c>
      <c r="B2690" s="1154" t="s">
        <v>653</v>
      </c>
      <c r="C2690" s="1154"/>
      <c r="D2690" s="2646"/>
      <c r="E2690" s="2926">
        <v>0</v>
      </c>
      <c r="F2690" s="2927" t="s">
        <v>5351</v>
      </c>
      <c r="G2690" s="2926" t="s">
        <v>2254</v>
      </c>
      <c r="H2690" s="2917">
        <f>+H2693*296</f>
        <v>0</v>
      </c>
      <c r="I2690" s="2925">
        <f t="shared" si="143"/>
        <v>0</v>
      </c>
      <c r="J2690" s="1136"/>
      <c r="K2690" s="1136"/>
      <c r="L2690" s="1136"/>
      <c r="M2690" s="975">
        <v>1250</v>
      </c>
    </row>
    <row r="2691" spans="1:13" s="1083" customFormat="1" ht="25.2" hidden="1" customHeight="1">
      <c r="A2691" s="1153">
        <f t="shared" si="142"/>
        <v>0</v>
      </c>
      <c r="B2691" s="1154" t="s">
        <v>752</v>
      </c>
      <c r="C2691" s="1154"/>
      <c r="D2691" s="2646"/>
      <c r="E2691" s="2926">
        <v>0</v>
      </c>
      <c r="F2691" s="2927" t="s">
        <v>3022</v>
      </c>
      <c r="G2691" s="2926" t="s">
        <v>856</v>
      </c>
      <c r="H2691" s="2917">
        <f>H2693*0.475</f>
        <v>0</v>
      </c>
      <c r="I2691" s="2925">
        <f t="shared" si="143"/>
        <v>0</v>
      </c>
      <c r="J2691" s="1136"/>
      <c r="K2691" s="1136"/>
      <c r="L2691" s="1136"/>
      <c r="M2691" s="975">
        <v>1250</v>
      </c>
    </row>
    <row r="2692" spans="1:13" s="1083" customFormat="1" ht="25.2" hidden="1" customHeight="1">
      <c r="A2692" s="1153">
        <f t="shared" si="142"/>
        <v>0</v>
      </c>
      <c r="B2692" s="1154" t="s">
        <v>216</v>
      </c>
      <c r="C2692" s="1154"/>
      <c r="D2692" s="2646"/>
      <c r="E2692" s="2926">
        <v>0</v>
      </c>
      <c r="F2692" s="2927" t="s">
        <v>3018</v>
      </c>
      <c r="G2692" s="2926" t="s">
        <v>856</v>
      </c>
      <c r="H2692" s="2917">
        <f>H2693*0.881</f>
        <v>0</v>
      </c>
      <c r="I2692" s="2925">
        <f t="shared" si="143"/>
        <v>0</v>
      </c>
      <c r="J2692" s="1136"/>
      <c r="K2692" s="1136"/>
      <c r="L2692" s="1136"/>
      <c r="M2692" s="975">
        <v>1250</v>
      </c>
    </row>
    <row r="2693" spans="1:13" s="1083" customFormat="1" ht="25.2" hidden="1" customHeight="1">
      <c r="A2693" s="1153">
        <f t="shared" si="142"/>
        <v>0</v>
      </c>
      <c r="B2693" s="1154" t="s">
        <v>654</v>
      </c>
      <c r="C2693" s="1154"/>
      <c r="D2693" s="2646"/>
      <c r="E2693" s="2926" t="s">
        <v>5533</v>
      </c>
      <c r="F2693" s="2927" t="s">
        <v>5536</v>
      </c>
      <c r="G2693" s="2926" t="s">
        <v>856</v>
      </c>
      <c r="H2693" s="2917">
        <f>H2688*(0.4*3*1-2*3.14*0.15^2*0.4)</f>
        <v>0</v>
      </c>
      <c r="I2693" s="2925">
        <f t="shared" si="143"/>
        <v>0</v>
      </c>
      <c r="J2693" s="1136"/>
      <c r="K2693" s="1136"/>
      <c r="L2693" s="1136"/>
      <c r="M2693" s="975">
        <v>1250</v>
      </c>
    </row>
    <row r="2694" spans="1:13" s="1083" customFormat="1" ht="25.2" customHeight="1">
      <c r="A2694" s="1153">
        <f t="shared" si="142"/>
        <v>1</v>
      </c>
      <c r="B2694" s="1154"/>
      <c r="C2694" s="1154"/>
      <c r="D2694" s="2933">
        <f>IF(H2694&gt;0,D2688+1,D2688)</f>
        <v>8</v>
      </c>
      <c r="E2694" s="2942"/>
      <c r="F2694" s="2935" t="s">
        <v>6355</v>
      </c>
      <c r="G2694" s="2936" t="s">
        <v>2391</v>
      </c>
      <c r="H2694" s="2947">
        <f>H2551</f>
        <v>1</v>
      </c>
      <c r="I2694" s="2925">
        <f t="shared" si="143"/>
        <v>1</v>
      </c>
      <c r="J2694" s="1136"/>
      <c r="K2694" s="1136"/>
      <c r="L2694" s="1136"/>
      <c r="M2694" s="975">
        <v>1250</v>
      </c>
    </row>
    <row r="2695" spans="1:13" s="1083" customFormat="1" ht="25.2" hidden="1" customHeight="1">
      <c r="A2695" s="1153">
        <f t="shared" si="142"/>
        <v>0</v>
      </c>
      <c r="B2695" s="1154"/>
      <c r="C2695" s="1154"/>
      <c r="D2695" s="2648"/>
      <c r="E2695" s="2937"/>
      <c r="F2695" s="2938" t="s">
        <v>6207</v>
      </c>
      <c r="G2695" s="2646"/>
      <c r="H2695" s="2917"/>
      <c r="I2695" s="2925">
        <f t="shared" si="143"/>
        <v>0</v>
      </c>
      <c r="J2695" s="1136"/>
      <c r="K2695" s="1136"/>
      <c r="L2695" s="1136"/>
      <c r="M2695" s="975">
        <v>1250</v>
      </c>
    </row>
    <row r="2696" spans="1:13" s="1083" customFormat="1" ht="25.2" hidden="1" customHeight="1">
      <c r="A2696" s="1153">
        <f t="shared" si="142"/>
        <v>0</v>
      </c>
      <c r="B2696" s="1154"/>
      <c r="C2696" s="1154"/>
      <c r="D2696" s="2648"/>
      <c r="E2696" s="2937"/>
      <c r="F2696" s="2938" t="s">
        <v>6207</v>
      </c>
      <c r="G2696" s="2646"/>
      <c r="H2696" s="2917"/>
      <c r="I2696" s="2925">
        <f t="shared" si="143"/>
        <v>0</v>
      </c>
      <c r="J2696" s="1136"/>
      <c r="K2696" s="1136"/>
      <c r="L2696" s="1136"/>
      <c r="M2696" s="975">
        <v>1250</v>
      </c>
    </row>
    <row r="2697" spans="1:13" s="1083" customFormat="1" ht="25.2" customHeight="1">
      <c r="A2697" s="1153">
        <f t="shared" si="142"/>
        <v>1</v>
      </c>
      <c r="B2697" s="1154" t="s">
        <v>2012</v>
      </c>
      <c r="C2697" s="1154"/>
      <c r="D2697" s="2646"/>
      <c r="E2697" s="2926">
        <v>0</v>
      </c>
      <c r="F2697" s="2927" t="str">
        <f>VLOOKUP(B2697,DonGia,3,0)</f>
        <v>Sắt Ø10</v>
      </c>
      <c r="G2697" s="2926" t="s">
        <v>2254</v>
      </c>
      <c r="H2697" s="2917">
        <f>H2694*(0.4*3*1-2*3.14*0.15^2*0.4)</f>
        <v>1.1434800000000003</v>
      </c>
      <c r="I2697" s="2925">
        <f t="shared" si="143"/>
        <v>1.1434800000000003</v>
      </c>
      <c r="J2697" s="1136"/>
      <c r="K2697" s="1136"/>
      <c r="L2697" s="1136"/>
      <c r="M2697" s="975">
        <v>1250</v>
      </c>
    </row>
    <row r="2698" spans="1:13" s="1083" customFormat="1" ht="25.2" customHeight="1">
      <c r="A2698" s="1153">
        <f t="shared" si="142"/>
        <v>1</v>
      </c>
      <c r="B2698" s="1154" t="s">
        <v>6317</v>
      </c>
      <c r="C2698" s="1154"/>
      <c r="D2698" s="2646"/>
      <c r="E2698" s="2926">
        <v>0</v>
      </c>
      <c r="F2698" s="2927" t="str">
        <f>VLOOKUP(B2698,DonGia,3,0)</f>
        <v>Bêtông đá 1x2 mac 200</v>
      </c>
      <c r="G2698" s="2926" t="s">
        <v>856</v>
      </c>
      <c r="H2698" s="2917">
        <v>1.08</v>
      </c>
      <c r="I2698" s="2925">
        <f t="shared" si="143"/>
        <v>1.08</v>
      </c>
      <c r="J2698" s="1136"/>
      <c r="K2698" s="1136"/>
      <c r="L2698" s="1136"/>
      <c r="M2698" s="975">
        <v>1250</v>
      </c>
    </row>
    <row r="2699" spans="1:13" s="1083" customFormat="1" ht="25.2" customHeight="1">
      <c r="A2699" s="1153">
        <f t="shared" si="142"/>
        <v>1</v>
      </c>
      <c r="B2699" s="1154" t="s">
        <v>5547</v>
      </c>
      <c r="C2699" s="1154"/>
      <c r="D2699" s="2646"/>
      <c r="E2699" s="2926">
        <v>0</v>
      </c>
      <c r="F2699" s="2927" t="str">
        <f>VLOOKUP(B2699,DonGia,3,0)</f>
        <v>Bêtông đá 4x6 mac 100</v>
      </c>
      <c r="G2699" s="2926" t="s">
        <v>856</v>
      </c>
      <c r="H2699" s="2917">
        <v>0.16799999999999998</v>
      </c>
      <c r="I2699" s="2925">
        <f t="shared" si="143"/>
        <v>0.16799999999999998</v>
      </c>
      <c r="J2699" s="1136"/>
      <c r="K2699" s="1136"/>
      <c r="L2699" s="1136"/>
      <c r="M2699" s="975">
        <v>1250</v>
      </c>
    </row>
    <row r="2700" spans="1:13" s="1083" customFormat="1" ht="25.2" customHeight="1">
      <c r="A2700" s="1153">
        <f t="shared" si="142"/>
        <v>1</v>
      </c>
      <c r="B2700" s="1154" t="s">
        <v>585</v>
      </c>
      <c r="C2700" s="1154"/>
      <c r="D2700" s="2646"/>
      <c r="E2700" s="2926" t="s">
        <v>5541</v>
      </c>
      <c r="F2700" s="2927" t="str">
        <f>VLOOKUP(B2700,DonGia,3,0)</f>
        <v>Gia công và lắp dựng cốt thép D&lt;=18</v>
      </c>
      <c r="G2700" s="2926" t="s">
        <v>2254</v>
      </c>
      <c r="H2700" s="2917">
        <v>18.880200000000002</v>
      </c>
      <c r="I2700" s="2925">
        <f t="shared" si="143"/>
        <v>18.880200000000002</v>
      </c>
      <c r="J2700" s="1136"/>
      <c r="K2700" s="1136"/>
      <c r="L2700" s="1136"/>
      <c r="M2700" s="975">
        <v>1250</v>
      </c>
    </row>
    <row r="2701" spans="1:13" s="1083" customFormat="1" ht="25.2" customHeight="1">
      <c r="A2701" s="1153">
        <f t="shared" si="142"/>
        <v>1</v>
      </c>
      <c r="B2701" s="1154" t="s">
        <v>654</v>
      </c>
      <c r="C2701" s="1154"/>
      <c r="D2701" s="2646"/>
      <c r="E2701" s="2926" t="s">
        <v>5533</v>
      </c>
      <c r="F2701" s="2927" t="str">
        <f>VLOOKUP(B2701,DonGia,3,0)</f>
        <v>Đổ bê tông móng trụ &lt;=250cm-M200 đá 1x2</v>
      </c>
      <c r="G2701" s="2926" t="s">
        <v>856</v>
      </c>
      <c r="H2701" s="2917">
        <v>1.08</v>
      </c>
      <c r="I2701" s="2925">
        <f t="shared" si="143"/>
        <v>1.08</v>
      </c>
      <c r="J2701" s="1136"/>
      <c r="K2701" s="1136"/>
      <c r="L2701" s="1136"/>
      <c r="M2701" s="975">
        <v>1250</v>
      </c>
    </row>
    <row r="2702" spans="1:13" s="1083" customFormat="1" ht="25.2" customHeight="1">
      <c r="A2702" s="1153">
        <f t="shared" si="142"/>
        <v>1</v>
      </c>
      <c r="B2702" s="1154" t="s">
        <v>1959</v>
      </c>
      <c r="C2702" s="1154"/>
      <c r="D2702" s="2646"/>
      <c r="E2702" s="2926" t="s">
        <v>5533</v>
      </c>
      <c r="F2702" s="2927" t="str">
        <f>VLOOKUP(B2702,DonGia,3,0)</f>
        <v>Đổ bê tông mác M100 đá 4x6</v>
      </c>
      <c r="G2702" s="2926" t="s">
        <v>856</v>
      </c>
      <c r="H2702" s="2917">
        <v>0.16799999999999998</v>
      </c>
      <c r="I2702" s="2925">
        <f t="shared" si="143"/>
        <v>0.16799999999999998</v>
      </c>
      <c r="J2702" s="1136"/>
      <c r="K2702" s="1136"/>
      <c r="L2702" s="1136"/>
      <c r="M2702" s="975">
        <v>1250</v>
      </c>
    </row>
    <row r="2703" spans="1:13" s="1083" customFormat="1" ht="25.2" customHeight="1">
      <c r="A2703" s="1153">
        <f t="shared" si="142"/>
        <v>1</v>
      </c>
      <c r="B2703" s="1154"/>
      <c r="C2703" s="1154"/>
      <c r="D2703" s="2933">
        <f>IF(H2703&gt;0,D2694+1,D2694)</f>
        <v>9</v>
      </c>
      <c r="E2703" s="2942"/>
      <c r="F2703" s="2935" t="s">
        <v>6318</v>
      </c>
      <c r="G2703" s="2936" t="s">
        <v>2391</v>
      </c>
      <c r="H2703" s="2947">
        <f>H2694</f>
        <v>1</v>
      </c>
      <c r="I2703" s="2925">
        <f t="shared" si="143"/>
        <v>1</v>
      </c>
      <c r="J2703" s="1136"/>
      <c r="K2703" s="1136"/>
      <c r="L2703" s="1136"/>
      <c r="M2703" s="975">
        <v>1250</v>
      </c>
    </row>
    <row r="2704" spans="1:13" s="1083" customFormat="1" ht="25.2" hidden="1" customHeight="1">
      <c r="A2704" s="1153">
        <f t="shared" si="142"/>
        <v>0</v>
      </c>
      <c r="B2704" s="1154"/>
      <c r="C2704" s="1154"/>
      <c r="D2704" s="2648"/>
      <c r="E2704" s="2937"/>
      <c r="F2704" s="2938" t="s">
        <v>6207</v>
      </c>
      <c r="G2704" s="2646"/>
      <c r="H2704" s="2917"/>
      <c r="I2704" s="2925">
        <f t="shared" si="143"/>
        <v>0</v>
      </c>
      <c r="J2704" s="1136"/>
      <c r="K2704" s="1136"/>
      <c r="L2704" s="1136"/>
      <c r="M2704" s="975">
        <v>1250</v>
      </c>
    </row>
    <row r="2705" spans="1:13" s="1083" customFormat="1" ht="25.2" hidden="1" customHeight="1">
      <c r="A2705" s="1153">
        <f t="shared" si="142"/>
        <v>0</v>
      </c>
      <c r="B2705" s="1154"/>
      <c r="C2705" s="1154"/>
      <c r="D2705" s="2648"/>
      <c r="E2705" s="2937"/>
      <c r="F2705" s="2938" t="s">
        <v>6207</v>
      </c>
      <c r="G2705" s="2646"/>
      <c r="H2705" s="2917"/>
      <c r="I2705" s="2925">
        <f t="shared" si="143"/>
        <v>0</v>
      </c>
      <c r="J2705" s="1136"/>
      <c r="K2705" s="1136"/>
      <c r="L2705" s="1136"/>
      <c r="M2705" s="975">
        <v>1250</v>
      </c>
    </row>
    <row r="2706" spans="1:13" s="1083" customFormat="1" ht="25.2" customHeight="1">
      <c r="A2706" s="1153">
        <f t="shared" si="142"/>
        <v>1</v>
      </c>
      <c r="B2706" s="1154" t="s">
        <v>5364</v>
      </c>
      <c r="C2706" s="1154"/>
      <c r="D2706" s="2646"/>
      <c r="E2706" s="2926" t="s">
        <v>5365</v>
      </c>
      <c r="F2706" s="2927" t="str">
        <f>VLOOKUP(B2706,DonGia,3,0)</f>
        <v>Ông sắt tráng kẽm D76</v>
      </c>
      <c r="G2706" s="2926" t="s">
        <v>2538</v>
      </c>
      <c r="H2706" s="2917">
        <f>H2703*9*2</f>
        <v>18</v>
      </c>
      <c r="I2706" s="2925">
        <f t="shared" si="143"/>
        <v>18</v>
      </c>
      <c r="J2706" s="1136"/>
      <c r="K2706" s="1136"/>
      <c r="L2706" s="1136"/>
      <c r="M2706" s="975">
        <v>1250</v>
      </c>
    </row>
    <row r="2707" spans="1:13" s="1083" customFormat="1" ht="25.2" customHeight="1">
      <c r="A2707" s="1153">
        <f t="shared" si="142"/>
        <v>1</v>
      </c>
      <c r="B2707" s="1154" t="s">
        <v>5426</v>
      </c>
      <c r="C2707" s="1154"/>
      <c r="D2707" s="2646"/>
      <c r="E2707" s="2926" t="s">
        <v>5427</v>
      </c>
      <c r="F2707" s="2927" t="str">
        <f>VLOOKUP(B2707,DonGia,3,0)</f>
        <v>Mặt bích nối cột bêt tông loại 200x200x5, 04 lỗ D16</v>
      </c>
      <c r="G2707" s="2926" t="s">
        <v>5429</v>
      </c>
      <c r="H2707" s="2917">
        <f>H2706/2</f>
        <v>9</v>
      </c>
      <c r="I2707" s="2925">
        <f t="shared" si="143"/>
        <v>9</v>
      </c>
      <c r="J2707" s="1136"/>
      <c r="K2707" s="1136"/>
      <c r="L2707" s="1136"/>
      <c r="M2707" s="975">
        <v>1250</v>
      </c>
    </row>
    <row r="2708" spans="1:13" s="1083" customFormat="1" ht="25.2" customHeight="1">
      <c r="A2708" s="1153">
        <f t="shared" si="142"/>
        <v>1</v>
      </c>
      <c r="B2708" s="1154" t="s">
        <v>5225</v>
      </c>
      <c r="C2708" s="1154"/>
      <c r="D2708" s="2646"/>
      <c r="E2708" s="2926">
        <v>0</v>
      </c>
      <c r="F2708" s="2927" t="str">
        <f>VLOOKUP(B2708,DonGia,3,0)</f>
        <v>Thanh sắt V50x50x5-4000 - 16kg/thanh</v>
      </c>
      <c r="G2708" s="2926" t="s">
        <v>2254</v>
      </c>
      <c r="H2708" s="2917">
        <f>H2703*16*2/4*16</f>
        <v>128</v>
      </c>
      <c r="I2708" s="2925">
        <f t="shared" si="143"/>
        <v>128</v>
      </c>
      <c r="J2708" s="1136"/>
      <c r="K2708" s="1136"/>
      <c r="L2708" s="1136"/>
      <c r="M2708" s="975">
        <v>1250</v>
      </c>
    </row>
    <row r="2709" spans="1:13" s="1083" customFormat="1" ht="25.2" customHeight="1">
      <c r="A2709" s="1153">
        <f t="shared" si="142"/>
        <v>1</v>
      </c>
      <c r="B2709" s="1154" t="s">
        <v>5227</v>
      </c>
      <c r="C2709" s="1154"/>
      <c r="D2709" s="2646"/>
      <c r="E2709" s="2926">
        <v>0</v>
      </c>
      <c r="F2709" s="2927" t="str">
        <f>VLOOKUP(B2709,DonGia,3,0)</f>
        <v>Thanh sắt V40x40x3-6000 - 17,7kg/thanh</v>
      </c>
      <c r="G2709" s="2926" t="s">
        <v>2254</v>
      </c>
      <c r="H2709" s="2917">
        <f>H2703*16/6*17.7</f>
        <v>47.199999999999996</v>
      </c>
      <c r="I2709" s="2925">
        <f t="shared" si="143"/>
        <v>47.199999999999996</v>
      </c>
      <c r="J2709" s="1136"/>
      <c r="K2709" s="1136"/>
      <c r="L2709" s="1136"/>
      <c r="M2709" s="975">
        <v>1250</v>
      </c>
    </row>
    <row r="2710" spans="1:13" s="1083" customFormat="1" ht="25.2" customHeight="1">
      <c r="A2710" s="1153">
        <f t="shared" si="142"/>
        <v>1</v>
      </c>
      <c r="B2710" s="1154" t="s">
        <v>279</v>
      </c>
      <c r="C2710" s="1154"/>
      <c r="D2710" s="2646"/>
      <c r="E2710" s="2926">
        <v>0</v>
      </c>
      <c r="F2710" s="2927" t="str">
        <f>VLOOKUP(B2710,DonGia,3,0)</f>
        <v>Sắt dẹt 60 x 6</v>
      </c>
      <c r="G2710" s="2926" t="s">
        <v>2254</v>
      </c>
      <c r="H2710" s="2917">
        <f>H2703*3</f>
        <v>3</v>
      </c>
      <c r="I2710" s="2925">
        <f t="shared" si="143"/>
        <v>3</v>
      </c>
      <c r="J2710" s="1136"/>
      <c r="K2710" s="1136"/>
      <c r="L2710" s="1136"/>
      <c r="M2710" s="975">
        <v>1250</v>
      </c>
    </row>
    <row r="2711" spans="1:13" s="1083" customFormat="1" ht="25.2" customHeight="1">
      <c r="A2711" s="1153">
        <f t="shared" si="142"/>
        <v>1</v>
      </c>
      <c r="B2711" s="1154" t="s">
        <v>6319</v>
      </c>
      <c r="C2711" s="1154"/>
      <c r="D2711" s="2646"/>
      <c r="E2711" s="2926">
        <v>0</v>
      </c>
      <c r="F2711" s="2927" t="str">
        <f>VLOOKUP(B2711,DonGia,3,0)</f>
        <v>Lưới B40 - 1800-3/Zn</v>
      </c>
      <c r="G2711" s="2926" t="s">
        <v>2538</v>
      </c>
      <c r="H2711" s="2917">
        <f>H2703*(12+2.2)</f>
        <v>14.2</v>
      </c>
      <c r="I2711" s="2925">
        <f t="shared" si="143"/>
        <v>14.2</v>
      </c>
      <c r="J2711" s="1136"/>
      <c r="K2711" s="1136"/>
      <c r="L2711" s="1136"/>
      <c r="M2711" s="975">
        <v>1250</v>
      </c>
    </row>
    <row r="2712" spans="1:13" s="1083" customFormat="1" ht="25.2" customHeight="1">
      <c r="A2712" s="1153">
        <f t="shared" si="142"/>
        <v>1</v>
      </c>
      <c r="B2712" s="1154" t="s">
        <v>745</v>
      </c>
      <c r="C2712" s="1154"/>
      <c r="D2712" s="2646"/>
      <c r="E2712" s="2926">
        <v>0</v>
      </c>
      <c r="F2712" s="2927" t="str">
        <f>VLOOKUP(B2712,DonGia,3,0)</f>
        <v>Sắt Ø8</v>
      </c>
      <c r="G2712" s="2926" t="s">
        <v>2254</v>
      </c>
      <c r="H2712" s="2917">
        <f>H2703*16</f>
        <v>16</v>
      </c>
      <c r="I2712" s="2925">
        <f t="shared" si="143"/>
        <v>16</v>
      </c>
      <c r="J2712" s="1136"/>
      <c r="K2712" s="1136"/>
      <c r="L2712" s="1136"/>
      <c r="M2712" s="975">
        <v>1250</v>
      </c>
    </row>
    <row r="2713" spans="1:13" s="1083" customFormat="1" ht="25.2" customHeight="1">
      <c r="A2713" s="1153">
        <f t="shared" si="142"/>
        <v>1</v>
      </c>
      <c r="B2713" s="1154" t="s">
        <v>5110</v>
      </c>
      <c r="C2713" s="1154"/>
      <c r="D2713" s="2646"/>
      <c r="E2713" s="2926">
        <v>0</v>
      </c>
      <c r="F2713" s="2927" t="str">
        <f>VLOOKUP(B2713,DonGia,3,0)</f>
        <v>Boulon 14x350+ 2 long đền vuông D16-50x50x3/Zn</v>
      </c>
      <c r="G2713" s="2926" t="s">
        <v>2445</v>
      </c>
      <c r="H2713" s="2917">
        <f>H2703*9*4</f>
        <v>36</v>
      </c>
      <c r="I2713" s="2925">
        <f t="shared" si="143"/>
        <v>36</v>
      </c>
      <c r="J2713" s="1136"/>
      <c r="K2713" s="1136"/>
      <c r="L2713" s="1136"/>
      <c r="M2713" s="975">
        <v>1250</v>
      </c>
    </row>
    <row r="2714" spans="1:13" s="1083" customFormat="1" ht="25.2" customHeight="1">
      <c r="A2714" s="1153">
        <f t="shared" ref="A2714:A2777" si="144">IF(I2714&gt;0,1,0)</f>
        <v>1</v>
      </c>
      <c r="B2714" s="1154" t="s">
        <v>6317</v>
      </c>
      <c r="C2714" s="1154"/>
      <c r="D2714" s="2646"/>
      <c r="E2714" s="2926">
        <v>0</v>
      </c>
      <c r="F2714" s="2927" t="str">
        <f>VLOOKUP(B2714,DonGia,3,0)</f>
        <v>Bêtông đá 1x2 mac 200</v>
      </c>
      <c r="G2714" s="2926" t="s">
        <v>856</v>
      </c>
      <c r="H2714" s="2917">
        <f>H2703*0.12</f>
        <v>0.12</v>
      </c>
      <c r="I2714" s="2925">
        <f t="shared" si="143"/>
        <v>0.12</v>
      </c>
      <c r="J2714" s="1136"/>
      <c r="K2714" s="1136"/>
      <c r="L2714" s="1136"/>
      <c r="M2714" s="975">
        <v>1250</v>
      </c>
    </row>
    <row r="2715" spans="1:13" s="1083" customFormat="1" ht="25.2" customHeight="1">
      <c r="A2715" s="1153">
        <f t="shared" si="144"/>
        <v>1</v>
      </c>
      <c r="B2715" s="1154" t="s">
        <v>934</v>
      </c>
      <c r="C2715" s="1154"/>
      <c r="D2715" s="2646"/>
      <c r="E2715" s="2926">
        <v>0</v>
      </c>
      <c r="F2715" s="2927" t="str">
        <f>VLOOKUP(B2715,DonGia,3,0)</f>
        <v>Gạch ống</v>
      </c>
      <c r="G2715" s="2926" t="s">
        <v>3024</v>
      </c>
      <c r="H2715" s="2917">
        <f>H2703*350</f>
        <v>350</v>
      </c>
      <c r="I2715" s="2925">
        <f t="shared" si="143"/>
        <v>350</v>
      </c>
      <c r="J2715" s="1136"/>
      <c r="K2715" s="1136"/>
      <c r="L2715" s="1136"/>
      <c r="M2715" s="975">
        <v>1250</v>
      </c>
    </row>
    <row r="2716" spans="1:13" s="1083" customFormat="1" ht="25.2" customHeight="1">
      <c r="A2716" s="1153">
        <f t="shared" si="144"/>
        <v>1</v>
      </c>
      <c r="B2716" s="1154" t="s">
        <v>5549</v>
      </c>
      <c r="C2716" s="1154"/>
      <c r="D2716" s="2646"/>
      <c r="E2716" s="2926" t="s">
        <v>5550</v>
      </c>
      <c r="F2716" s="2927" t="str">
        <f>VLOOKUP(B2716,DonGia,3,0)</f>
        <v>Xây tường gạch ống bề dày &lt;30cm</v>
      </c>
      <c r="G2716" s="2926" t="s">
        <v>856</v>
      </c>
      <c r="H2716" s="2917">
        <f>H2703*1.4</f>
        <v>1.4</v>
      </c>
      <c r="I2716" s="2925">
        <f t="shared" si="143"/>
        <v>1.4</v>
      </c>
      <c r="J2716" s="1136"/>
      <c r="K2716" s="1136"/>
      <c r="L2716" s="1136"/>
      <c r="M2716" s="975">
        <v>1250</v>
      </c>
    </row>
    <row r="2717" spans="1:13" s="1083" customFormat="1" ht="25.2" customHeight="1">
      <c r="A2717" s="1153">
        <f t="shared" si="144"/>
        <v>1</v>
      </c>
      <c r="B2717" s="1154" t="s">
        <v>9</v>
      </c>
      <c r="C2717" s="1154"/>
      <c r="D2717" s="2646"/>
      <c r="E2717" s="2926" t="s">
        <v>5540</v>
      </c>
      <c r="F2717" s="2927" t="str">
        <f>VLOOKUP(B2717,DonGia,3,0)</f>
        <v>Gia công và lắp dựng cốt thép D&lt;=10</v>
      </c>
      <c r="G2717" s="2926" t="s">
        <v>2254</v>
      </c>
      <c r="H2717" s="2917">
        <f>H2712</f>
        <v>16</v>
      </c>
      <c r="I2717" s="2925">
        <f t="shared" si="143"/>
        <v>16</v>
      </c>
      <c r="J2717" s="1136"/>
      <c r="K2717" s="1136"/>
      <c r="L2717" s="1136"/>
      <c r="M2717" s="975">
        <v>1250</v>
      </c>
    </row>
    <row r="2718" spans="1:13" s="1083" customFormat="1" ht="25.2" customHeight="1">
      <c r="A2718" s="1153">
        <f t="shared" si="144"/>
        <v>1</v>
      </c>
      <c r="B2718" s="1154" t="s">
        <v>654</v>
      </c>
      <c r="C2718" s="1154"/>
      <c r="D2718" s="2646"/>
      <c r="E2718" s="2926" t="s">
        <v>5533</v>
      </c>
      <c r="F2718" s="2927" t="str">
        <f>VLOOKUP(B2718,DonGia,3,0)</f>
        <v>Đổ bê tông móng trụ &lt;=250cm-M200 đá 1x2</v>
      </c>
      <c r="G2718" s="2926" t="s">
        <v>856</v>
      </c>
      <c r="H2718" s="2917">
        <f>H2714</f>
        <v>0.12</v>
      </c>
      <c r="I2718" s="2925">
        <f t="shared" si="143"/>
        <v>0.12</v>
      </c>
      <c r="J2718" s="1136"/>
      <c r="K2718" s="1136"/>
      <c r="L2718" s="1136"/>
      <c r="M2718" s="975">
        <v>1250</v>
      </c>
    </row>
    <row r="2719" spans="1:13" s="1083" customFormat="1" ht="25.2" customHeight="1">
      <c r="A2719" s="1153">
        <f t="shared" si="144"/>
        <v>1</v>
      </c>
      <c r="B2719" s="1154" t="s">
        <v>5542</v>
      </c>
      <c r="C2719" s="1154"/>
      <c r="D2719" s="2646"/>
      <c r="E2719" s="2926" t="s">
        <v>5543</v>
      </c>
      <c r="F2719" s="2927" t="str">
        <f>VLOOKUP(B2719,DonGia,3,0)</f>
        <v>Gia công và lắp dựng khung cửa sắt</v>
      </c>
      <c r="G2719" s="2926" t="s">
        <v>1964</v>
      </c>
      <c r="H2719" s="2917">
        <f>H2703*12*2</f>
        <v>24</v>
      </c>
      <c r="I2719" s="2925">
        <f t="shared" si="143"/>
        <v>24</v>
      </c>
      <c r="J2719" s="1136"/>
      <c r="K2719" s="1136"/>
      <c r="L2719" s="1136"/>
      <c r="M2719" s="975">
        <v>1250</v>
      </c>
    </row>
    <row r="2720" spans="1:13" s="1083" customFormat="1" ht="25.2" customHeight="1">
      <c r="A2720" s="1153">
        <f t="shared" si="144"/>
        <v>1</v>
      </c>
      <c r="B2720" s="1154"/>
      <c r="C2720" s="1154"/>
      <c r="D2720" s="2933">
        <f>IF(H2720&gt;0,D2703+1,D2703)</f>
        <v>10</v>
      </c>
      <c r="E2720" s="2942"/>
      <c r="F2720" s="2935" t="s">
        <v>6327</v>
      </c>
      <c r="G2720" s="2936" t="s">
        <v>2391</v>
      </c>
      <c r="H2720" s="2947">
        <v>1</v>
      </c>
      <c r="I2720" s="2925">
        <f t="shared" si="143"/>
        <v>1</v>
      </c>
      <c r="J2720" s="1136"/>
      <c r="K2720" s="1136"/>
      <c r="L2720" s="1136"/>
      <c r="M2720" s="975">
        <v>1250</v>
      </c>
    </row>
    <row r="2721" spans="1:13" s="1083" customFormat="1" ht="25.2" hidden="1" customHeight="1">
      <c r="A2721" s="1153">
        <f t="shared" si="144"/>
        <v>0</v>
      </c>
      <c r="B2721" s="1154"/>
      <c r="C2721" s="1154"/>
      <c r="D2721" s="2648"/>
      <c r="E2721" s="2937"/>
      <c r="F2721" s="2941" t="s">
        <v>6207</v>
      </c>
      <c r="G2721" s="2648"/>
      <c r="H2721" s="2944"/>
      <c r="I2721" s="2925">
        <f t="shared" si="143"/>
        <v>0</v>
      </c>
      <c r="J2721" s="1136"/>
      <c r="K2721" s="1136"/>
      <c r="L2721" s="1136"/>
      <c r="M2721" s="975">
        <v>1250</v>
      </c>
    </row>
    <row r="2722" spans="1:13" s="1083" customFormat="1" ht="25.2" customHeight="1">
      <c r="A2722" s="1153">
        <f t="shared" si="144"/>
        <v>1</v>
      </c>
      <c r="B2722" s="1154" t="s">
        <v>2282</v>
      </c>
      <c r="C2722" s="1154"/>
      <c r="D2722" s="2649"/>
      <c r="E2722" s="2926">
        <v>0</v>
      </c>
      <c r="F2722" s="2927" t="str">
        <f>VLOOKUP(B2722,DonGia,3,0)</f>
        <v xml:space="preserve">Cáp CVV 4x4mm2  </v>
      </c>
      <c r="G2722" s="2943" t="s">
        <v>2538</v>
      </c>
      <c r="H2722" s="2917">
        <f>H2720*3*11</f>
        <v>33</v>
      </c>
      <c r="I2722" s="2925">
        <f t="shared" si="143"/>
        <v>33</v>
      </c>
      <c r="J2722" s="1136"/>
      <c r="K2722" s="1136"/>
      <c r="L2722" s="1136"/>
      <c r="M2722" s="975">
        <v>1250</v>
      </c>
    </row>
    <row r="2723" spans="1:13" s="1083" customFormat="1" ht="25.2" hidden="1" customHeight="1">
      <c r="A2723" s="1153">
        <f t="shared" si="144"/>
        <v>0</v>
      </c>
      <c r="B2723" s="1154" t="s">
        <v>6328</v>
      </c>
      <c r="C2723" s="1154"/>
      <c r="D2723" s="2646"/>
      <c r="E2723" s="2926">
        <v>0</v>
      </c>
      <c r="F2723" s="2940" t="s">
        <v>5105</v>
      </c>
      <c r="G2723" s="2943" t="s">
        <v>2445</v>
      </c>
      <c r="H2723" s="2917"/>
      <c r="I2723" s="2925">
        <f t="shared" si="143"/>
        <v>0</v>
      </c>
      <c r="J2723" s="1136"/>
      <c r="K2723" s="1136"/>
      <c r="L2723" s="1136"/>
      <c r="M2723" s="975">
        <v>1250</v>
      </c>
    </row>
    <row r="2724" spans="1:13" s="1083" customFormat="1" ht="25.2" customHeight="1">
      <c r="A2724" s="1153">
        <f t="shared" si="144"/>
        <v>1</v>
      </c>
      <c r="B2724" s="1154" t="s">
        <v>6329</v>
      </c>
      <c r="C2724" s="1154"/>
      <c r="D2724" s="2646"/>
      <c r="E2724" s="2926">
        <v>0</v>
      </c>
      <c r="F2724" s="2927" t="str">
        <f>VLOOKUP(B2724,DonGia,3,0)</f>
        <v>Boulon 10x50+ 2 long đền vuông D12-50x50x3/Zn</v>
      </c>
      <c r="G2724" s="2943" t="s">
        <v>2445</v>
      </c>
      <c r="H2724" s="2917">
        <v>24</v>
      </c>
      <c r="I2724" s="2925">
        <f t="shared" si="143"/>
        <v>24</v>
      </c>
      <c r="J2724" s="1136"/>
      <c r="K2724" s="1136"/>
      <c r="L2724" s="1136"/>
      <c r="M2724" s="975">
        <v>1250</v>
      </c>
    </row>
    <row r="2725" spans="1:13" s="1083" customFormat="1" ht="25.2" customHeight="1">
      <c r="A2725" s="1153">
        <f t="shared" si="144"/>
        <v>1</v>
      </c>
      <c r="B2725" s="1154" t="s">
        <v>246</v>
      </c>
      <c r="C2725" s="1154"/>
      <c r="D2725" s="2649"/>
      <c r="E2725" s="2926">
        <v>0</v>
      </c>
      <c r="F2725" s="2927" t="str">
        <f>VLOOKUP(B2725,DonGia,3,0)</f>
        <v>Xà kẹp TU, TI U50x32x4 350</v>
      </c>
      <c r="G2725" s="2943" t="s">
        <v>2563</v>
      </c>
      <c r="H2725" s="2917">
        <v>24</v>
      </c>
      <c r="I2725" s="2925">
        <f t="shared" si="143"/>
        <v>24</v>
      </c>
      <c r="J2725" s="1136"/>
      <c r="K2725" s="1136"/>
      <c r="L2725" s="1136"/>
      <c r="M2725" s="975">
        <v>1250</v>
      </c>
    </row>
    <row r="2726" spans="1:13" s="1083" customFormat="1" ht="25.2" customHeight="1">
      <c r="A2726" s="1153">
        <f t="shared" si="144"/>
        <v>1</v>
      </c>
      <c r="B2726" s="1154" t="s">
        <v>5796</v>
      </c>
      <c r="C2726" s="1154"/>
      <c r="D2726" s="2646"/>
      <c r="E2726" s="2926" t="s">
        <v>5786</v>
      </c>
      <c r="F2726" s="2927" t="str">
        <f>VLOOKUP(B2726,DonGia,3,0)</f>
        <v xml:space="preserve">Đầu cosse ép Cu 4mm2 + bao PVC </v>
      </c>
      <c r="G2726" s="2943" t="s">
        <v>2563</v>
      </c>
      <c r="H2726" s="2917">
        <f>H2720*16</f>
        <v>16</v>
      </c>
      <c r="I2726" s="2925">
        <f t="shared" si="143"/>
        <v>16</v>
      </c>
      <c r="J2726" s="1136"/>
      <c r="K2726" s="1136"/>
      <c r="L2726" s="1136"/>
      <c r="M2726" s="975">
        <v>1250</v>
      </c>
    </row>
    <row r="2727" spans="1:13" s="1083" customFormat="1" ht="25.2" hidden="1" customHeight="1">
      <c r="A2727" s="1153">
        <f t="shared" si="144"/>
        <v>0</v>
      </c>
      <c r="B2727" s="1154" t="s">
        <v>1513</v>
      </c>
      <c r="C2727" s="1154"/>
      <c r="D2727" s="2646"/>
      <c r="E2727" s="2926">
        <v>0</v>
      </c>
      <c r="F2727" s="2940" t="s">
        <v>3533</v>
      </c>
      <c r="G2727" s="2943" t="s">
        <v>2538</v>
      </c>
      <c r="H2727" s="2917"/>
      <c r="I2727" s="2925">
        <f t="shared" si="143"/>
        <v>0</v>
      </c>
      <c r="J2727" s="1136"/>
      <c r="K2727" s="1136"/>
      <c r="L2727" s="1136"/>
      <c r="M2727" s="975">
        <v>1250</v>
      </c>
    </row>
    <row r="2728" spans="1:13" s="1083" customFormat="1" ht="25.2" customHeight="1">
      <c r="A2728" s="1153">
        <f t="shared" si="144"/>
        <v>1</v>
      </c>
      <c r="B2728" s="1154" t="s">
        <v>816</v>
      </c>
      <c r="C2728" s="1154"/>
      <c r="D2728" s="2646"/>
      <c r="E2728" s="2926">
        <v>0</v>
      </c>
      <c r="F2728" s="2927" t="str">
        <f>VLOOKUP(B2728,DonGia,3,0)</f>
        <v>Ốc siết cáp cỡ 25mm2</v>
      </c>
      <c r="G2728" s="2943" t="s">
        <v>2563</v>
      </c>
      <c r="H2728" s="2917">
        <v>3</v>
      </c>
      <c r="I2728" s="2925">
        <f t="shared" si="143"/>
        <v>3</v>
      </c>
      <c r="J2728" s="1136"/>
      <c r="K2728" s="1136"/>
      <c r="L2728" s="1136"/>
      <c r="M2728" s="975">
        <v>1250</v>
      </c>
    </row>
    <row r="2729" spans="1:13" s="1083" customFormat="1" ht="25.2" customHeight="1">
      <c r="A2729" s="1153">
        <f t="shared" si="144"/>
        <v>1</v>
      </c>
      <c r="B2729" s="1154" t="s">
        <v>2147</v>
      </c>
      <c r="C2729" s="1154"/>
      <c r="D2729" s="2646"/>
      <c r="E2729" s="2926">
        <v>0</v>
      </c>
      <c r="F2729" s="2927" t="str">
        <f>VLOOKUP(B2729,DonGia,3,0)</f>
        <v>Ống PVC D42x2,1mm</v>
      </c>
      <c r="G2729" s="2943" t="s">
        <v>1827</v>
      </c>
      <c r="H2729" s="2917">
        <f>H2738*18</f>
        <v>18</v>
      </c>
      <c r="I2729" s="2925">
        <f t="shared" si="143"/>
        <v>18</v>
      </c>
      <c r="J2729" s="1136"/>
      <c r="K2729" s="1136"/>
      <c r="L2729" s="1136"/>
      <c r="M2729" s="975">
        <v>1250</v>
      </c>
    </row>
    <row r="2730" spans="1:13" s="1083" customFormat="1" ht="25.2" customHeight="1">
      <c r="A2730" s="1153">
        <f t="shared" si="144"/>
        <v>1</v>
      </c>
      <c r="B2730" s="1154" t="s">
        <v>204</v>
      </c>
      <c r="C2730" s="1154"/>
      <c r="D2730" s="2646"/>
      <c r="E2730" s="2926">
        <v>0</v>
      </c>
      <c r="F2730" s="2927" t="str">
        <f>VLOOKUP(B2730,DonGia,3,0)</f>
        <v>Cổ dê giữ ống PVC D42</v>
      </c>
      <c r="G2730" s="2943" t="s">
        <v>2445</v>
      </c>
      <c r="H2730" s="2917">
        <f>H2720*4</f>
        <v>4</v>
      </c>
      <c r="I2730" s="2925">
        <f t="shared" si="143"/>
        <v>4</v>
      </c>
      <c r="J2730" s="1136"/>
      <c r="K2730" s="1136"/>
      <c r="L2730" s="1136"/>
      <c r="M2730" s="975">
        <v>1250</v>
      </c>
    </row>
    <row r="2731" spans="1:13" s="1083" customFormat="1" ht="25.2" customHeight="1">
      <c r="A2731" s="1153">
        <f t="shared" si="144"/>
        <v>1</v>
      </c>
      <c r="B2731" s="1154" t="s">
        <v>1619</v>
      </c>
      <c r="C2731" s="1154"/>
      <c r="D2731" s="2646"/>
      <c r="E2731" s="2926">
        <v>0</v>
      </c>
      <c r="F2731" s="2927" t="str">
        <f>VLOOKUP(B2731,DonGia,3,0)</f>
        <v>Co 90 độ PVC 42</v>
      </c>
      <c r="G2731" s="2943" t="s">
        <v>2563</v>
      </c>
      <c r="H2731" s="2917">
        <f>H2720*6</f>
        <v>6</v>
      </c>
      <c r="I2731" s="2925">
        <f t="shared" si="143"/>
        <v>6</v>
      </c>
      <c r="J2731" s="1136"/>
      <c r="K2731" s="1136"/>
      <c r="L2731" s="1136"/>
      <c r="M2731" s="975">
        <v>1250</v>
      </c>
    </row>
    <row r="2732" spans="1:13" s="1083" customFormat="1" ht="25.2" customHeight="1">
      <c r="A2732" s="1153">
        <f t="shared" si="144"/>
        <v>1</v>
      </c>
      <c r="B2732" s="1154" t="s">
        <v>1050</v>
      </c>
      <c r="C2732" s="1154"/>
      <c r="D2732" s="2646"/>
      <c r="E2732" s="2926">
        <v>0</v>
      </c>
      <c r="F2732" s="2927" t="str">
        <f>VLOOKUP(B2732,DonGia,3,0)</f>
        <v>Co chữ T ống PVC 42</v>
      </c>
      <c r="G2732" s="2943" t="s">
        <v>2563</v>
      </c>
      <c r="H2732" s="2917">
        <f>H2720*5</f>
        <v>5</v>
      </c>
      <c r="I2732" s="2925">
        <f t="shared" si="143"/>
        <v>5</v>
      </c>
      <c r="J2732" s="1136"/>
      <c r="K2732" s="1136"/>
      <c r="L2732" s="1136"/>
      <c r="M2732" s="975">
        <v>1250</v>
      </c>
    </row>
    <row r="2733" spans="1:13" s="1083" customFormat="1" ht="25.2" customHeight="1">
      <c r="A2733" s="1153">
        <f t="shared" si="144"/>
        <v>1</v>
      </c>
      <c r="B2733" s="1154" t="s">
        <v>726</v>
      </c>
      <c r="C2733" s="1154"/>
      <c r="D2733" s="2646"/>
      <c r="E2733" s="2926">
        <v>0</v>
      </c>
      <c r="F2733" s="2927" t="str">
        <f>VLOOKUP(B2733,DonGia,3,0)</f>
        <v>Keo dán ống PVC (500gr)</v>
      </c>
      <c r="G2733" s="2943" t="s">
        <v>388</v>
      </c>
      <c r="H2733" s="2917">
        <f>H2720</f>
        <v>1</v>
      </c>
      <c r="I2733" s="2925">
        <f t="shared" si="143"/>
        <v>1</v>
      </c>
      <c r="J2733" s="1136"/>
      <c r="K2733" s="1136"/>
      <c r="L2733" s="1136"/>
      <c r="M2733" s="975">
        <v>1250</v>
      </c>
    </row>
    <row r="2734" spans="1:13" s="1083" customFormat="1" ht="25.2" customHeight="1">
      <c r="A2734" s="1153">
        <f t="shared" si="144"/>
        <v>1</v>
      </c>
      <c r="B2734" s="1154" t="s">
        <v>672</v>
      </c>
      <c r="C2734" s="1154"/>
      <c r="D2734" s="2646"/>
      <c r="E2734" s="2926">
        <v>0</v>
      </c>
      <c r="F2734" s="2927" t="str">
        <f>VLOOKUP(B2734,DonGia,3,0)</f>
        <v>Băng keo cách điện</v>
      </c>
      <c r="G2734" s="2943" t="s">
        <v>3584</v>
      </c>
      <c r="H2734" s="2917">
        <f>H2720</f>
        <v>1</v>
      </c>
      <c r="I2734" s="2925">
        <f t="shared" si="143"/>
        <v>1</v>
      </c>
      <c r="J2734" s="1136"/>
      <c r="K2734" s="1136"/>
      <c r="L2734" s="1136"/>
      <c r="M2734" s="975">
        <v>1250</v>
      </c>
    </row>
    <row r="2735" spans="1:13" s="1083" customFormat="1" ht="25.2" customHeight="1">
      <c r="A2735" s="1153">
        <f t="shared" si="144"/>
        <v>1</v>
      </c>
      <c r="B2735" s="1154" t="s">
        <v>2126</v>
      </c>
      <c r="C2735" s="1154"/>
      <c r="D2735" s="2646"/>
      <c r="E2735" s="2926">
        <v>0</v>
      </c>
      <c r="F2735" s="2927" t="str">
        <f>VLOOKUP(B2735,DonGia,3,0)</f>
        <v>Khâu ven răng trong D42</v>
      </c>
      <c r="G2735" s="2943" t="s">
        <v>2563</v>
      </c>
      <c r="H2735" s="2917">
        <f>H2720</f>
        <v>1</v>
      </c>
      <c r="I2735" s="2925">
        <f t="shared" si="143"/>
        <v>1</v>
      </c>
      <c r="J2735" s="1136"/>
      <c r="K2735" s="1136"/>
      <c r="L2735" s="1136"/>
      <c r="M2735" s="975">
        <v>1250</v>
      </c>
    </row>
    <row r="2736" spans="1:13" s="1083" customFormat="1" ht="25.2" customHeight="1">
      <c r="A2736" s="1153">
        <f t="shared" si="144"/>
        <v>1</v>
      </c>
      <c r="B2736" s="1154" t="s">
        <v>959</v>
      </c>
      <c r="C2736" s="1154"/>
      <c r="D2736" s="2646"/>
      <c r="E2736" s="2926">
        <v>0</v>
      </c>
      <c r="F2736" s="2927" t="str">
        <f>VLOOKUP(B2736,DonGia,3,0)</f>
        <v>Khâu ven răng ngoài D42</v>
      </c>
      <c r="G2736" s="2943" t="s">
        <v>2563</v>
      </c>
      <c r="H2736" s="2917">
        <f>H2720</f>
        <v>1</v>
      </c>
      <c r="I2736" s="2925">
        <f t="shared" si="143"/>
        <v>1</v>
      </c>
      <c r="J2736" s="1136"/>
      <c r="K2736" s="1136"/>
      <c r="L2736" s="1136"/>
      <c r="M2736" s="975">
        <v>1250</v>
      </c>
    </row>
    <row r="2737" spans="1:13" s="1083" customFormat="1" ht="25.2" customHeight="1">
      <c r="A2737" s="1153">
        <f t="shared" si="144"/>
        <v>1</v>
      </c>
      <c r="B2737" s="1154" t="s">
        <v>319</v>
      </c>
      <c r="C2737" s="1154"/>
      <c r="D2737" s="2646"/>
      <c r="E2737" s="2926">
        <v>0</v>
      </c>
      <c r="F2737" s="2927" t="str">
        <f>VLOOKUP(B2737,DonGia,3,0)</f>
        <v>Cổ dê CDĐKĐT( bắt thùng điện kế)</v>
      </c>
      <c r="G2737" s="2943" t="s">
        <v>2445</v>
      </c>
      <c r="H2737" s="2917">
        <v>1</v>
      </c>
      <c r="I2737" s="2925">
        <f t="shared" si="143"/>
        <v>1</v>
      </c>
      <c r="J2737" s="1136"/>
      <c r="K2737" s="1136"/>
      <c r="L2737" s="1136"/>
      <c r="M2737" s="975">
        <v>1250</v>
      </c>
    </row>
    <row r="2738" spans="1:13" s="1083" customFormat="1" ht="25.2" customHeight="1">
      <c r="A2738" s="1153">
        <f t="shared" si="144"/>
        <v>1</v>
      </c>
      <c r="B2738" s="1154" t="s">
        <v>1919</v>
      </c>
      <c r="C2738" s="1154"/>
      <c r="D2738" s="2646"/>
      <c r="E2738" s="2926" t="s">
        <v>5717</v>
      </c>
      <c r="F2738" s="2927" t="str">
        <f>VLOOKUP(B2738,DonGia,3,0)</f>
        <v>Thùng điện kế 450x300x200mm đo đếm trung thế</v>
      </c>
      <c r="G2738" s="2943" t="s">
        <v>2563</v>
      </c>
      <c r="H2738" s="2917">
        <f>H2720</f>
        <v>1</v>
      </c>
      <c r="I2738" s="2925">
        <f t="shared" si="143"/>
        <v>1</v>
      </c>
      <c r="J2738" s="1136"/>
      <c r="K2738" s="1136"/>
      <c r="L2738" s="1136"/>
      <c r="M2738" s="975">
        <v>1250</v>
      </c>
    </row>
    <row r="2739" spans="1:13" s="1083" customFormat="1" ht="25.2" customHeight="1">
      <c r="A2739" s="1153">
        <f t="shared" si="144"/>
        <v>1</v>
      </c>
      <c r="B2739" s="1154" t="s">
        <v>6</v>
      </c>
      <c r="C2739" s="1154"/>
      <c r="D2739" s="2646"/>
      <c r="E2739" s="2926">
        <v>0</v>
      </c>
      <c r="F2739" s="2927" t="str">
        <f>VLOOKUP(B2739,DonGia,3,0)</f>
        <v>Keo silicon bít miệng ống</v>
      </c>
      <c r="G2739" s="2943" t="s">
        <v>5868</v>
      </c>
      <c r="H2739" s="2917">
        <f>H2720*2</f>
        <v>2</v>
      </c>
      <c r="I2739" s="2925">
        <f t="shared" si="143"/>
        <v>2</v>
      </c>
      <c r="J2739" s="1136"/>
      <c r="K2739" s="1136"/>
      <c r="L2739" s="1136"/>
      <c r="M2739" s="975">
        <v>1250</v>
      </c>
    </row>
    <row r="2740" spans="1:13" s="1083" customFormat="1" ht="25.2" customHeight="1">
      <c r="A2740" s="1153">
        <f t="shared" si="144"/>
        <v>1</v>
      </c>
      <c r="B2740" s="1154" t="s">
        <v>2145</v>
      </c>
      <c r="C2740" s="1154"/>
      <c r="D2740" s="2646"/>
      <c r="E2740" s="2926">
        <v>0</v>
      </c>
      <c r="F2740" s="2927" t="str">
        <f>VLOOKUP(B2740,DonGia,3,0)</f>
        <v>Dây đồng trần mềm dẹt</v>
      </c>
      <c r="G2740" s="2943" t="s">
        <v>2538</v>
      </c>
      <c r="H2740" s="2917">
        <f>H2720*4</f>
        <v>4</v>
      </c>
      <c r="I2740" s="2925">
        <f t="shared" si="143"/>
        <v>4</v>
      </c>
      <c r="J2740" s="1136"/>
      <c r="K2740" s="1136"/>
      <c r="L2740" s="1136"/>
      <c r="M2740" s="975">
        <v>1250</v>
      </c>
    </row>
    <row r="2741" spans="1:13" s="1083" customFormat="1" ht="25.2" hidden="1" customHeight="1">
      <c r="A2741" s="1153">
        <f t="shared" si="144"/>
        <v>0</v>
      </c>
      <c r="B2741" s="1154" t="s">
        <v>1035</v>
      </c>
      <c r="C2741" s="1154"/>
      <c r="D2741" s="2646"/>
      <c r="E2741" s="2926">
        <v>0</v>
      </c>
      <c r="F2741" s="2940" t="s">
        <v>6463</v>
      </c>
      <c r="G2741" s="2943" t="s">
        <v>2254</v>
      </c>
      <c r="H2741" s="2939"/>
      <c r="I2741" s="2925">
        <f t="shared" si="143"/>
        <v>0</v>
      </c>
      <c r="J2741" s="1136"/>
      <c r="K2741" s="1136"/>
      <c r="L2741" s="1136"/>
      <c r="M2741" s="975">
        <v>1250</v>
      </c>
    </row>
    <row r="2742" spans="1:13" s="1083" customFormat="1" ht="25.2" hidden="1" customHeight="1">
      <c r="A2742" s="1153">
        <f t="shared" si="144"/>
        <v>0</v>
      </c>
      <c r="B2742" s="1154" t="s">
        <v>6329</v>
      </c>
      <c r="C2742" s="1154"/>
      <c r="D2742" s="2646"/>
      <c r="E2742" s="2926">
        <v>0</v>
      </c>
      <c r="F2742" s="2940" t="s">
        <v>2632</v>
      </c>
      <c r="G2742" s="2943" t="s">
        <v>2445</v>
      </c>
      <c r="H2742" s="2939"/>
      <c r="I2742" s="2925">
        <f t="shared" si="143"/>
        <v>0</v>
      </c>
      <c r="J2742" s="1136"/>
      <c r="K2742" s="1136"/>
      <c r="L2742" s="1136"/>
      <c r="M2742" s="975">
        <v>1250</v>
      </c>
    </row>
    <row r="2743" spans="1:13" s="1083" customFormat="1" ht="25.2" hidden="1" customHeight="1">
      <c r="A2743" s="1153">
        <f t="shared" si="144"/>
        <v>0</v>
      </c>
      <c r="B2743" s="1154"/>
      <c r="C2743" s="1154"/>
      <c r="D2743" s="1142"/>
      <c r="F2743" s="1143"/>
      <c r="H2743" s="1880"/>
      <c r="I2743" s="2043"/>
      <c r="M2743" s="975"/>
    </row>
    <row r="2744" spans="1:13" s="1083" customFormat="1" ht="25.2" hidden="1" customHeight="1">
      <c r="A2744" s="1153">
        <f t="shared" si="144"/>
        <v>0</v>
      </c>
      <c r="B2744" s="1350"/>
      <c r="C2744" s="1350"/>
      <c r="D2744" s="981"/>
      <c r="E2744" s="981"/>
      <c r="F2744" s="981"/>
      <c r="G2744" s="981"/>
      <c r="H2744" s="1872"/>
      <c r="I2744" s="1259">
        <f t="shared" si="137"/>
        <v>0</v>
      </c>
      <c r="J2744" s="1144"/>
      <c r="K2744" s="1144"/>
      <c r="L2744" s="1145"/>
      <c r="M2744" s="975"/>
    </row>
    <row r="2745" spans="1:13" s="1083" customFormat="1" ht="25.2" hidden="1" customHeight="1">
      <c r="A2745" s="1153">
        <f t="shared" si="144"/>
        <v>0</v>
      </c>
      <c r="B2745" s="1324"/>
      <c r="C2745" s="1324"/>
      <c r="D2745" s="1103"/>
      <c r="E2745" s="1104"/>
      <c r="F2745" s="1105" t="s">
        <v>3690</v>
      </c>
      <c r="G2745" s="1106"/>
      <c r="H2745" s="1908"/>
      <c r="I2745" s="1259">
        <f t="shared" si="137"/>
        <v>0</v>
      </c>
      <c r="J2745" s="1106"/>
      <c r="K2745" s="1106"/>
      <c r="L2745" s="1136"/>
      <c r="M2745" s="975">
        <v>2000</v>
      </c>
    </row>
    <row r="2746" spans="1:13" s="1083" customFormat="1" ht="25.2" hidden="1" customHeight="1">
      <c r="A2746" s="1153">
        <f t="shared" si="144"/>
        <v>0</v>
      </c>
      <c r="B2746" s="1325" t="s">
        <v>4534</v>
      </c>
      <c r="C2746" s="1325"/>
      <c r="D2746" s="1090">
        <f>IF(H2746&gt;0,1,0)</f>
        <v>0</v>
      </c>
      <c r="E2746" s="1079" t="str">
        <f>VLOOKUP($B2746,DG!A:D,DG!$B$2,)</f>
        <v>01.1147</v>
      </c>
      <c r="F2746" s="1080" t="str">
        <f>VLOOKUP($B2746,DG!A:D,DG!$C$2,)</f>
        <v>Máy biến áp 22/0,4kV- 2000kVA</v>
      </c>
      <c r="G2746" s="1079" t="str">
        <f>VLOOKUP($B2746,DG!A:D,DG!$D$2,)</f>
        <v>máy</v>
      </c>
      <c r="H2746" s="1882">
        <f>L17</f>
        <v>0</v>
      </c>
      <c r="I2746" s="1259">
        <f t="shared" si="137"/>
        <v>0</v>
      </c>
      <c r="J2746" s="1108"/>
      <c r="K2746" s="1108"/>
      <c r="L2746" s="1147"/>
      <c r="M2746" s="975">
        <v>2000</v>
      </c>
    </row>
    <row r="2747" spans="1:13" s="1083" customFormat="1" ht="25.2" hidden="1" customHeight="1">
      <c r="A2747" s="1153">
        <f t="shared" si="144"/>
        <v>0</v>
      </c>
      <c r="B2747" s="1325" t="s">
        <v>393</v>
      </c>
      <c r="C2747" s="1325"/>
      <c r="D2747" s="1090">
        <f t="shared" ref="D2747:D2753" si="145">IF(H2747&gt;0,D2746+1,D2746)</f>
        <v>0</v>
      </c>
      <c r="E2747" s="1079" t="str">
        <f>VLOOKUP($B2747,DG!A:D,DG!$B$2,)</f>
        <v>02.3302</v>
      </c>
      <c r="F2747" s="1080" t="str">
        <f>VLOOKUP($B2747,DG!A:D,DG!$C$2,)</f>
        <v xml:space="preserve">DS 3P - 24KV - 630A </v>
      </c>
      <c r="G2747" s="1079" t="str">
        <f>VLOOKUP($B2747,DG!A:D,DG!$D$2,)</f>
        <v>bộ</v>
      </c>
      <c r="H2747" s="1851">
        <f>+H2746</f>
        <v>0</v>
      </c>
      <c r="I2747" s="1259">
        <f t="shared" si="137"/>
        <v>0</v>
      </c>
      <c r="J2747" s="1108"/>
      <c r="K2747" s="1108"/>
      <c r="L2747" s="1082"/>
      <c r="M2747" s="975">
        <v>2000</v>
      </c>
    </row>
    <row r="2748" spans="1:13" s="1083" customFormat="1" ht="25.2" hidden="1" customHeight="1">
      <c r="A2748" s="1153">
        <f t="shared" si="144"/>
        <v>0</v>
      </c>
      <c r="B2748" s="1324" t="s">
        <v>1</v>
      </c>
      <c r="C2748" s="1324"/>
      <c r="D2748" s="1090">
        <f t="shared" si="145"/>
        <v>0</v>
      </c>
      <c r="E2748" s="1079" t="str">
        <f>VLOOKUP($B2748,DG!A:D,DG!$B$2,)</f>
        <v>05.2102</v>
      </c>
      <c r="F2748" s="1080" t="str">
        <f>VLOOKUP($B2748,DG!A:D,DG!$C$2,)</f>
        <v>Tủ LBS 3 pha 630-800A</v>
      </c>
      <c r="G2748" s="1079" t="str">
        <f>VLOOKUP($B2748,DG!A:D,DG!$D$2,)</f>
        <v>tủ</v>
      </c>
      <c r="H2748" s="1851">
        <f>H2746</f>
        <v>0</v>
      </c>
      <c r="I2748" s="1259">
        <f t="shared" si="137"/>
        <v>0</v>
      </c>
      <c r="J2748" s="1108"/>
      <c r="K2748" s="1108"/>
      <c r="L2748" s="1110" t="s">
        <v>3769</v>
      </c>
      <c r="M2748" s="975">
        <v>2000</v>
      </c>
    </row>
    <row r="2749" spans="1:13" s="1083" customFormat="1" ht="25.2" hidden="1" customHeight="1">
      <c r="A2749" s="1153">
        <f t="shared" si="144"/>
        <v>0</v>
      </c>
      <c r="B2749" s="1325" t="s">
        <v>1655</v>
      </c>
      <c r="C2749" s="1325"/>
      <c r="D2749" s="1090">
        <f t="shared" si="145"/>
        <v>0</v>
      </c>
      <c r="E2749" s="1079" t="str">
        <f>VLOOKUP($B2749,DG!A:D,DG!$B$2,)</f>
        <v>02.3155</v>
      </c>
      <c r="F2749" s="1080" t="str">
        <f>VLOOKUP($B2749,DG!A:D,DG!$C$2,)</f>
        <v>FCO 27kV - 100A</v>
      </c>
      <c r="G2749" s="1079" t="str">
        <f>VLOOKUP($B2749,DG!A:D,DG!$D$2,)</f>
        <v>cái</v>
      </c>
      <c r="H2749" s="1851">
        <f>+H2746*3</f>
        <v>0</v>
      </c>
      <c r="I2749" s="1259">
        <f t="shared" si="137"/>
        <v>0</v>
      </c>
      <c r="J2749" s="1081"/>
      <c r="K2749" s="1081"/>
      <c r="L2749" s="1082"/>
      <c r="M2749" s="975">
        <v>2000</v>
      </c>
    </row>
    <row r="2750" spans="1:13" s="1083" customFormat="1" ht="25.2" hidden="1" customHeight="1">
      <c r="A2750" s="1153">
        <f t="shared" si="144"/>
        <v>0</v>
      </c>
      <c r="B2750" s="1324" t="s">
        <v>2073</v>
      </c>
      <c r="C2750" s="1324"/>
      <c r="D2750" s="1090">
        <f t="shared" si="145"/>
        <v>0</v>
      </c>
      <c r="E2750" s="1079">
        <f>VLOOKUP($B2750,DG!A:D,DG!$B$2,)</f>
        <v>0</v>
      </c>
      <c r="F2750" s="1080" t="str">
        <f>VLOOKUP($B2750,DG!A:D,DG!$C$2,)</f>
        <v>Dây chảy 30K</v>
      </c>
      <c r="G2750" s="1079" t="str">
        <f>VLOOKUP($B2750,DG!A:D,DG!$D$2,)</f>
        <v>Sợi</v>
      </c>
      <c r="H2750" s="1851">
        <f>H2749</f>
        <v>0</v>
      </c>
      <c r="I2750" s="1259">
        <f t="shared" si="137"/>
        <v>0</v>
      </c>
      <c r="J2750" s="1081"/>
      <c r="K2750" s="1081"/>
      <c r="L2750" s="1082"/>
      <c r="M2750" s="975">
        <v>2000</v>
      </c>
    </row>
    <row r="2751" spans="1:13" s="1083" customFormat="1" ht="25.2" hidden="1" customHeight="1">
      <c r="A2751" s="1153">
        <f t="shared" si="144"/>
        <v>0</v>
      </c>
      <c r="B2751" s="1324" t="s">
        <v>1376</v>
      </c>
      <c r="C2751" s="1324"/>
      <c r="D2751" s="1090">
        <f t="shared" si="145"/>
        <v>0</v>
      </c>
      <c r="E2751" s="1079" t="str">
        <f>VLOOKUP($B2751,DG!A:D,DG!$B$2,)</f>
        <v>02.5114</v>
      </c>
      <c r="F2751" s="1080" t="str">
        <f>VLOOKUP($B2751,DG!A:D,DG!$C$2,)</f>
        <v>Chống sét van LA-18KV-10KA</v>
      </c>
      <c r="G2751" s="1079" t="str">
        <f>VLOOKUP($B2751,DG!A:D,DG!$D$2,)</f>
        <v>cái</v>
      </c>
      <c r="H2751" s="1851">
        <f>H2746*3</f>
        <v>0</v>
      </c>
      <c r="I2751" s="1259">
        <f t="shared" si="137"/>
        <v>0</v>
      </c>
      <c r="J2751" s="1081"/>
      <c r="K2751" s="1081"/>
      <c r="L2751" s="1082"/>
      <c r="M2751" s="975">
        <v>2000</v>
      </c>
    </row>
    <row r="2752" spans="1:13" s="1083" customFormat="1" ht="25.2" hidden="1" customHeight="1">
      <c r="A2752" s="1153">
        <f t="shared" si="144"/>
        <v>0</v>
      </c>
      <c r="B2752" s="1325" t="s">
        <v>882</v>
      </c>
      <c r="C2752" s="1325"/>
      <c r="D2752" s="1090">
        <f t="shared" si="145"/>
        <v>0</v>
      </c>
      <c r="E2752" s="1079" t="str">
        <f>VLOOKUP($B2752,DG!A:D,DG!$B$2,)</f>
        <v>02.8404</v>
      </c>
      <c r="F2752" s="1080" t="str">
        <f>VLOOKUP($B2752,DG!A:D,DG!$C$2,)</f>
        <v>MCCB 3 cực 400V -1000A - 50KA</v>
      </c>
      <c r="G2752" s="1079" t="str">
        <f>VLOOKUP($B2752,DG!A:D,DG!$D$2,)</f>
        <v>cái</v>
      </c>
      <c r="H2752" s="1851">
        <f>H2746</f>
        <v>0</v>
      </c>
      <c r="I2752" s="1259">
        <f t="shared" si="137"/>
        <v>0</v>
      </c>
      <c r="J2752" s="1081"/>
      <c r="K2752" s="1081"/>
      <c r="L2752" s="1082"/>
      <c r="M2752" s="975">
        <v>2000</v>
      </c>
    </row>
    <row r="2753" spans="1:13" s="1083" customFormat="1" ht="25.2" hidden="1" customHeight="1">
      <c r="A2753" s="1153">
        <f t="shared" si="144"/>
        <v>0</v>
      </c>
      <c r="B2753" s="1325" t="s">
        <v>883</v>
      </c>
      <c r="C2753" s="1325"/>
      <c r="D2753" s="1090">
        <f t="shared" si="145"/>
        <v>0</v>
      </c>
      <c r="E2753" s="1079" t="str">
        <f>VLOOKUP($B2753,DG!A:D,DG!$B$2,)</f>
        <v>02.8534</v>
      </c>
      <c r="F2753" s="1080" t="str">
        <f>VLOOKUP($B2753,DG!A:D,DG!$C$2,)</f>
        <v>Tủ tụ bù hạ thế 220kVAr</v>
      </c>
      <c r="G2753" s="1079" t="str">
        <f>VLOOKUP($B2753,DG!A:D,DG!$D$2,)</f>
        <v>tủ</v>
      </c>
      <c r="H2753" s="1851">
        <f>H2752</f>
        <v>0</v>
      </c>
      <c r="I2753" s="1259">
        <f t="shared" si="137"/>
        <v>0</v>
      </c>
      <c r="J2753" s="1081"/>
      <c r="K2753" s="1081"/>
      <c r="L2753" s="1082"/>
      <c r="M2753" s="975">
        <v>2000</v>
      </c>
    </row>
    <row r="2754" spans="1:13" s="1083" customFormat="1" ht="25.2" hidden="1" customHeight="1">
      <c r="A2754" s="1153">
        <f t="shared" si="144"/>
        <v>0</v>
      </c>
      <c r="B2754" s="1154" t="s">
        <v>2047</v>
      </c>
      <c r="C2754" s="1154"/>
      <c r="D2754" s="1090">
        <f>IF(H2754&gt;0,D2752+1,D2752)</f>
        <v>0</v>
      </c>
      <c r="E2754" s="1079">
        <f>VLOOKUP($B2754,DG!A:D,DG!$B$2,)</f>
        <v>0</v>
      </c>
      <c r="F2754" s="1080" t="str">
        <f>VLOOKUP($B2754,DG!A:D,DG!$C$2,)</f>
        <v>Biến dòng 600V - 800/5A</v>
      </c>
      <c r="G2754" s="1079" t="str">
        <f>VLOOKUP($B2754,DG!A:D,DG!$D$2,)</f>
        <v>cái</v>
      </c>
      <c r="H2754" s="1883">
        <f>H2746*3</f>
        <v>0</v>
      </c>
      <c r="I2754" s="1259">
        <f t="shared" si="137"/>
        <v>0</v>
      </c>
      <c r="J2754" s="1081"/>
      <c r="K2754" s="1081"/>
      <c r="L2754" s="1111" t="s">
        <v>2609</v>
      </c>
      <c r="M2754" s="975">
        <v>2000</v>
      </c>
    </row>
    <row r="2755" spans="1:13" s="1083" customFormat="1" ht="25.2" hidden="1" customHeight="1">
      <c r="A2755" s="1153">
        <f t="shared" si="144"/>
        <v>0</v>
      </c>
      <c r="B2755" s="1154" t="s">
        <v>1672</v>
      </c>
      <c r="C2755" s="1154"/>
      <c r="D2755" s="1090">
        <f>IF(H2755&gt;0,D2753+1,D2753)</f>
        <v>0</v>
      </c>
      <c r="E2755" s="1079">
        <f>VLOOKUP($B2755,DG!A:D,DG!$B$2,)</f>
        <v>0</v>
      </c>
      <c r="F2755" s="1080" t="str">
        <f>VLOOKUP($B2755,DG!A:D,DG!$C$2,)</f>
        <v>Biến dòng 600V - 250/5A</v>
      </c>
      <c r="G2755" s="1079" t="str">
        <f>VLOOKUP($B2755,DG!A:D,DG!$D$2,)</f>
        <v>cái</v>
      </c>
      <c r="H2755" s="1883">
        <f>H2746*3</f>
        <v>0</v>
      </c>
      <c r="I2755" s="1259">
        <f t="shared" si="137"/>
        <v>0</v>
      </c>
      <c r="J2755" s="1081"/>
      <c r="K2755" s="1081"/>
      <c r="L2755" s="1111" t="s">
        <v>2609</v>
      </c>
      <c r="M2755" s="975">
        <v>2000</v>
      </c>
    </row>
    <row r="2756" spans="1:13" s="1083" customFormat="1" ht="25.2" hidden="1" customHeight="1">
      <c r="A2756" s="1153">
        <f t="shared" si="144"/>
        <v>0</v>
      </c>
      <c r="B2756" s="1154" t="s">
        <v>2193</v>
      </c>
      <c r="C2756" s="1154"/>
      <c r="D2756" s="1090">
        <f>IF(H2756&gt;0,D2755+1,D2755)</f>
        <v>0</v>
      </c>
      <c r="E2756" s="1079" t="str">
        <f>VLOOKUP($B2756,DG!A:D,DG!$B$2,)</f>
        <v>02.1114</v>
      </c>
      <c r="F2756" s="1080" t="str">
        <f>VLOOKUP($B2756,DG!A:D,DG!$C$2,)</f>
        <v>Biến điện áp 12000/120(60)V</v>
      </c>
      <c r="G2756" s="1079" t="str">
        <f>VLOOKUP($B2756,DG!A:D,DG!$D$2,)</f>
        <v>cái</v>
      </c>
      <c r="H2756" s="1895">
        <f>+H2755</f>
        <v>0</v>
      </c>
      <c r="I2756" s="1259">
        <f t="shared" si="137"/>
        <v>0</v>
      </c>
      <c r="J2756" s="1081"/>
      <c r="K2756" s="1081"/>
      <c r="L2756" s="1111" t="s">
        <v>2609</v>
      </c>
      <c r="M2756" s="975">
        <v>2000</v>
      </c>
    </row>
    <row r="2757" spans="1:13" s="1083" customFormat="1" ht="25.2" hidden="1" customHeight="1">
      <c r="A2757" s="1153">
        <f t="shared" si="144"/>
        <v>0</v>
      </c>
      <c r="B2757" s="1361" t="s">
        <v>288</v>
      </c>
      <c r="C2757" s="1361"/>
      <c r="D2757" s="1090">
        <f>IF(H2757&gt;0,D2756+1,D2756)</f>
        <v>0</v>
      </c>
      <c r="E2757" s="1079" t="str">
        <f>VLOOKUP($B2757,DG!A:D,DG!$B$2,)</f>
        <v>05.5104</v>
      </c>
      <c r="F2757" s="1080" t="str">
        <f>VLOOKUP($B2757,DG!A:D,DG!$C$2,)</f>
        <v>Điện kế 3 pha 4 dây 220/380V-5A</v>
      </c>
      <c r="G2757" s="1079" t="str">
        <f>VLOOKUP($B2757,DG!A:D,DG!$D$2,)</f>
        <v>cái</v>
      </c>
      <c r="H2757" s="1883">
        <f>H2746</f>
        <v>0</v>
      </c>
      <c r="I2757" s="1259">
        <f t="shared" si="137"/>
        <v>0</v>
      </c>
      <c r="J2757" s="1108"/>
      <c r="K2757" s="1108"/>
      <c r="L2757" s="1112" t="s">
        <v>2609</v>
      </c>
      <c r="M2757" s="975">
        <v>2000</v>
      </c>
    </row>
    <row r="2758" spans="1:13" s="1083" customFormat="1" ht="25.2" hidden="1" customHeight="1">
      <c r="A2758" s="1153">
        <f t="shared" si="144"/>
        <v>0</v>
      </c>
      <c r="B2758" s="1324"/>
      <c r="C2758" s="1324"/>
      <c r="D2758" s="1113"/>
      <c r="E2758" s="1114"/>
      <c r="F2758" s="1076"/>
      <c r="G2758" s="1113"/>
      <c r="H2758" s="1861"/>
      <c r="I2758" s="1259">
        <f t="shared" si="137"/>
        <v>0</v>
      </c>
      <c r="J2758" s="1076"/>
      <c r="K2758" s="1113"/>
      <c r="L2758" s="1136"/>
      <c r="M2758" s="975">
        <v>2000</v>
      </c>
    </row>
    <row r="2759" spans="1:13" s="1083" customFormat="1" ht="25.2" hidden="1" customHeight="1">
      <c r="A2759" s="1153">
        <f t="shared" si="144"/>
        <v>0</v>
      </c>
      <c r="B2759" s="1324"/>
      <c r="C2759" s="1324"/>
      <c r="D2759" s="1115"/>
      <c r="E2759" s="1116"/>
      <c r="F2759" s="1105" t="s">
        <v>3691</v>
      </c>
      <c r="G2759" s="1105"/>
      <c r="H2759" s="1875"/>
      <c r="I2759" s="1259">
        <f t="shared" si="137"/>
        <v>0</v>
      </c>
      <c r="J2759" s="1105"/>
      <c r="K2759" s="1105"/>
      <c r="L2759" s="1136"/>
      <c r="M2759" s="975">
        <v>2000</v>
      </c>
    </row>
    <row r="2760" spans="1:13" s="1083" customFormat="1" ht="25.2" hidden="1" customHeight="1">
      <c r="A2760" s="1153">
        <f t="shared" si="144"/>
        <v>0</v>
      </c>
      <c r="B2760" s="1353"/>
      <c r="C2760" s="1353"/>
      <c r="D2760" s="1117">
        <f>IF(H2760&gt;0,1,0)</f>
        <v>0</v>
      </c>
      <c r="E2760" s="1118"/>
      <c r="F2760" s="1119" t="s">
        <v>3730</v>
      </c>
      <c r="G2760" s="1120" t="s">
        <v>2283</v>
      </c>
      <c r="H2760" s="1884">
        <f>H2746</f>
        <v>0</v>
      </c>
      <c r="I2760" s="1259">
        <f t="shared" si="137"/>
        <v>0</v>
      </c>
      <c r="J2760" s="1121"/>
      <c r="K2760" s="1121"/>
      <c r="L2760" s="1082"/>
      <c r="M2760" s="975">
        <v>2000</v>
      </c>
    </row>
    <row r="2761" spans="1:13" s="1083" customFormat="1" ht="25.2" hidden="1" customHeight="1">
      <c r="A2761" s="1153">
        <f t="shared" si="144"/>
        <v>0</v>
      </c>
      <c r="B2761" s="1154" t="s">
        <v>2239</v>
      </c>
      <c r="C2761" s="1154"/>
      <c r="D2761" s="1122"/>
      <c r="E2761" s="1079"/>
      <c r="F2761" s="1123" t="str">
        <f>VLOOKUP($B2761,DG!A:D,DG!$C$2,)</f>
        <v>Trụ BTLT 10,5m F350 dự ứng lực</v>
      </c>
      <c r="G2761" s="1079" t="str">
        <f>VLOOKUP($B2761,DG!A:D,DG!$D$2,)</f>
        <v>trụ</v>
      </c>
      <c r="H2761" s="1885">
        <f>H2760</f>
        <v>0</v>
      </c>
      <c r="I2761" s="1259">
        <f t="shared" si="137"/>
        <v>0</v>
      </c>
      <c r="J2761" s="1108"/>
      <c r="K2761" s="1078"/>
      <c r="L2761" s="1082"/>
      <c r="M2761" s="975">
        <v>2000</v>
      </c>
    </row>
    <row r="2762" spans="1:13" s="1083" customFormat="1" ht="25.2" hidden="1" customHeight="1">
      <c r="A2762" s="1153">
        <f t="shared" si="144"/>
        <v>0</v>
      </c>
      <c r="B2762" s="1154" t="s">
        <v>1818</v>
      </c>
      <c r="C2762" s="1154"/>
      <c r="D2762" s="1122"/>
      <c r="E2762" s="1079"/>
      <c r="F2762" s="1123" t="str">
        <f>VLOOKUP($B2762,DG!A:D,DG!$C$2,)</f>
        <v>Vật liệu dựng trụ</v>
      </c>
      <c r="G2762" s="1079" t="str">
        <f>VLOOKUP($B2762,DG!A:D,DG!$D$2,)</f>
        <v>trụ</v>
      </c>
      <c r="H2762" s="1885">
        <f>H2761</f>
        <v>0</v>
      </c>
      <c r="I2762" s="1259">
        <f t="shared" si="137"/>
        <v>0</v>
      </c>
      <c r="J2762" s="1078"/>
      <c r="K2762" s="1078"/>
      <c r="L2762" s="1082"/>
      <c r="M2762" s="975">
        <v>2000</v>
      </c>
    </row>
    <row r="2763" spans="1:13" s="1083" customFormat="1" ht="25.2" hidden="1" customHeight="1">
      <c r="A2763" s="1153">
        <f t="shared" si="144"/>
        <v>0</v>
      </c>
      <c r="B2763" s="1154" t="s">
        <v>1615</v>
      </c>
      <c r="C2763" s="1154"/>
      <c r="D2763" s="1122"/>
      <c r="E2763" s="1079" t="str">
        <f>VLOOKUP($B2763,DG!A:D,DG!$B$2,)</f>
        <v>05.5402</v>
      </c>
      <c r="F2763" s="1123" t="str">
        <f>VLOOKUP($B2763,DG!A:D,DG!$C$2,)</f>
        <v>Dựng trụ BTLT 10,5m thủ công + cơ giới</v>
      </c>
      <c r="G2763" s="1079" t="str">
        <f>VLOOKUP($B2763,DG!A:D,DG!$D$2,)</f>
        <v>trụ</v>
      </c>
      <c r="H2763" s="1885">
        <f>H2761</f>
        <v>0</v>
      </c>
      <c r="I2763" s="1259">
        <f t="shared" si="137"/>
        <v>0</v>
      </c>
      <c r="J2763" s="1108"/>
      <c r="K2763" s="1108"/>
      <c r="L2763" s="1082"/>
      <c r="M2763" s="975">
        <v>2000</v>
      </c>
    </row>
    <row r="2764" spans="1:13" s="1083" customFormat="1" ht="25.2" hidden="1" customHeight="1">
      <c r="A2764" s="1153">
        <f t="shared" si="144"/>
        <v>0</v>
      </c>
      <c r="B2764" s="1154" t="s">
        <v>2240</v>
      </c>
      <c r="C2764" s="1154"/>
      <c r="D2764" s="1122"/>
      <c r="E2764" s="1079"/>
      <c r="F2764" s="1123" t="str">
        <f>VLOOKUP($B2764,DG!A:D,DG!$C$2,)</f>
        <v>Đào hố móng đất cấp 3 sâu &gt;1m</v>
      </c>
      <c r="G2764" s="1079" t="str">
        <f>VLOOKUP($B2764,DG!A:D,DG!$D$2,)</f>
        <v>m3</v>
      </c>
      <c r="H2764" s="1885">
        <f>H2760*0.201</f>
        <v>0</v>
      </c>
      <c r="I2764" s="1259">
        <f t="shared" si="137"/>
        <v>0</v>
      </c>
      <c r="J2764" s="1108"/>
      <c r="K2764" s="1108"/>
      <c r="L2764" s="1082"/>
      <c r="M2764" s="975">
        <v>2000</v>
      </c>
    </row>
    <row r="2765" spans="1:13" s="1083" customFormat="1" ht="25.2" hidden="1" customHeight="1">
      <c r="A2765" s="1153">
        <f t="shared" si="144"/>
        <v>0</v>
      </c>
      <c r="B2765" s="1154" t="s">
        <v>21</v>
      </c>
      <c r="C2765" s="1154"/>
      <c r="D2765" s="1122"/>
      <c r="E2765" s="1079" t="str">
        <f>VLOOKUP($B2765,DG!A:D,DG!$B$2,)</f>
        <v>03.4113</v>
      </c>
      <c r="F2765" s="1123" t="str">
        <f>VLOOKUP($B2765,DG!A:D,DG!$C$2,)</f>
        <v>Đắp đất hố móng, độ chặt k=0,95</v>
      </c>
      <c r="G2765" s="1079" t="str">
        <f>VLOOKUP($B2765,DG!A:D,DG!$D$2,)</f>
        <v>m3</v>
      </c>
      <c r="H2765" s="1885">
        <f>H2760*0.182</f>
        <v>0</v>
      </c>
      <c r="I2765" s="1259">
        <f t="shared" si="137"/>
        <v>0</v>
      </c>
      <c r="J2765" s="1108"/>
      <c r="K2765" s="1108"/>
      <c r="L2765" s="1082"/>
      <c r="M2765" s="975">
        <v>2000</v>
      </c>
    </row>
    <row r="2766" spans="1:13" s="1083" customFormat="1" ht="25.2" hidden="1" customHeight="1">
      <c r="A2766" s="1153">
        <f t="shared" si="144"/>
        <v>0</v>
      </c>
      <c r="B2766" s="1354"/>
      <c r="C2766" s="1354"/>
      <c r="D2766" s="1084">
        <f>IF(H2766&gt;0,D2760+1,D2760)</f>
        <v>0</v>
      </c>
      <c r="E2766" s="1118"/>
      <c r="F2766" s="1119" t="s">
        <v>2340</v>
      </c>
      <c r="G2766" s="1120" t="s">
        <v>2333</v>
      </c>
      <c r="H2766" s="1884">
        <f>H2760*0</f>
        <v>0</v>
      </c>
      <c r="I2766" s="1259">
        <f t="shared" si="137"/>
        <v>0</v>
      </c>
      <c r="J2766" s="1078"/>
      <c r="K2766" s="1078"/>
      <c r="L2766" s="1082"/>
      <c r="M2766" s="975">
        <v>2000</v>
      </c>
    </row>
    <row r="2767" spans="1:13" s="1083" customFormat="1" ht="25.2" hidden="1" customHeight="1">
      <c r="A2767" s="1153">
        <f t="shared" si="144"/>
        <v>0</v>
      </c>
      <c r="B2767" s="1331" t="s">
        <v>636</v>
      </c>
      <c r="C2767" s="1331"/>
      <c r="D2767" s="1122"/>
      <c r="E2767" s="1079" t="str">
        <f>VLOOKUP($B2767,DG!A:D,DG!$B$2,)</f>
        <v>04.4001</v>
      </c>
      <c r="F2767" s="1124" t="str">
        <f>VLOOKUP($B2767,DG!A:D,DG!$C$2,)</f>
        <v>Đà cản BTCT 1,2m</v>
      </c>
      <c r="G2767" s="1091" t="str">
        <f>VLOOKUP($B2767,DG!A:D,DG!$D$2,)</f>
        <v>cái</v>
      </c>
      <c r="H2767" s="1885">
        <f>H2766</f>
        <v>0</v>
      </c>
      <c r="I2767" s="1259">
        <f t="shared" si="137"/>
        <v>0</v>
      </c>
      <c r="J2767" s="1108"/>
      <c r="K2767" s="1078"/>
      <c r="L2767" s="1082"/>
      <c r="M2767" s="975">
        <v>2000</v>
      </c>
    </row>
    <row r="2768" spans="1:13" s="1083" customFormat="1" ht="25.2" hidden="1" customHeight="1">
      <c r="A2768" s="1153">
        <f t="shared" si="144"/>
        <v>0</v>
      </c>
      <c r="B2768" s="1331" t="s">
        <v>566</v>
      </c>
      <c r="C2768" s="1331"/>
      <c r="D2768" s="1122"/>
      <c r="E2768" s="1091"/>
      <c r="F2768" s="1124" t="str">
        <f>VLOOKUP($B2768,DG!A:D,DG!$C$2,)</f>
        <v>Boulon 22x650+ 2 long đền vuông D24-50x50x3/Zn</v>
      </c>
      <c r="G2768" s="1091" t="str">
        <f>VLOOKUP($B2768,DG!A:D,DG!$D$2,)</f>
        <v>bộ</v>
      </c>
      <c r="H2768" s="1885">
        <f>H2767</f>
        <v>0</v>
      </c>
      <c r="I2768" s="1259">
        <f t="shared" si="137"/>
        <v>0</v>
      </c>
      <c r="J2768" s="1124"/>
      <c r="K2768" s="1078"/>
      <c r="L2768" s="1082"/>
      <c r="M2768" s="975">
        <v>2000</v>
      </c>
    </row>
    <row r="2769" spans="1:13" s="1083" customFormat="1" ht="25.2" hidden="1" customHeight="1">
      <c r="A2769" s="1153">
        <f t="shared" si="144"/>
        <v>0</v>
      </c>
      <c r="B2769" s="1331" t="str">
        <f>IF(chitiet!G5=1,"MDD1",IF(chitiet!G5=2,"MDD2",IF(chitiet!G5=3,"MDD3",IF(chitiet!G5=4,"MDD4"))))</f>
        <v>MDD3</v>
      </c>
      <c r="C2769" s="1331"/>
      <c r="D2769" s="1122"/>
      <c r="E2769" s="1091" t="str">
        <f>VLOOKUP($B2769,DG!A:D,DG!$B$2,)</f>
        <v>03.1013</v>
      </c>
      <c r="F2769" s="1124" t="str">
        <f>VLOOKUP($B2769,DG!A:D,DG!$C$2,)</f>
        <v>Đào hố móng đất cấp 3 sâu &gt;1m</v>
      </c>
      <c r="G2769" s="1091" t="str">
        <f>VLOOKUP($B2769,DG!A:D,DG!$D$2,)</f>
        <v>m3</v>
      </c>
      <c r="H2769" s="1886">
        <f>1.48*H2767</f>
        <v>0</v>
      </c>
      <c r="I2769" s="1259">
        <f t="shared" si="137"/>
        <v>0</v>
      </c>
      <c r="J2769" s="1125"/>
      <c r="K2769" s="1078"/>
      <c r="L2769" s="1082"/>
      <c r="M2769" s="975">
        <v>2000</v>
      </c>
    </row>
    <row r="2770" spans="1:13" s="1083" customFormat="1" ht="25.2" hidden="1" customHeight="1">
      <c r="A2770" s="1153">
        <f t="shared" si="144"/>
        <v>0</v>
      </c>
      <c r="B2770" s="1331" t="str">
        <f>IF(chitiet!G5=1,"MDAP1",IF(chitiet!G5=2,"MDAP2",IF(chitiet!G5=3,"MDAP3",IF(chitiet!G5=4,"MDAP4"))))</f>
        <v>MDAP3</v>
      </c>
      <c r="C2770" s="1331"/>
      <c r="D2770" s="1122"/>
      <c r="E2770" s="1091" t="str">
        <f>VLOOKUP($B2770,DG!A:D,DG!$B$2,)</f>
        <v>03.4113</v>
      </c>
      <c r="F2770" s="1124" t="str">
        <f>VLOOKUP($B2770,DG!A:D,DG!$C$2,)</f>
        <v>Đắp đất hố móng, độ chặt k=0,95</v>
      </c>
      <c r="G2770" s="1091" t="str">
        <f>VLOOKUP($B2770,DG!A:D,DG!$D$2,)</f>
        <v>m3</v>
      </c>
      <c r="H2770" s="1886">
        <f>1.39*H2766</f>
        <v>0</v>
      </c>
      <c r="I2770" s="1259">
        <f t="shared" si="137"/>
        <v>0</v>
      </c>
      <c r="J2770" s="1125"/>
      <c r="K2770" s="1078"/>
      <c r="L2770" s="1082"/>
      <c r="M2770" s="975">
        <v>2000</v>
      </c>
    </row>
    <row r="2771" spans="1:13" s="1083" customFormat="1" ht="25.2" hidden="1" customHeight="1">
      <c r="A2771" s="1153">
        <f t="shared" si="144"/>
        <v>0</v>
      </c>
      <c r="B2771" s="1324"/>
      <c r="C2771" s="1324"/>
      <c r="D2771" s="1084">
        <f>IF(H2771&gt;0,D2766+1,D2766)</f>
        <v>0</v>
      </c>
      <c r="E2771" s="1126"/>
      <c r="F2771" s="1119" t="s">
        <v>3732</v>
      </c>
      <c r="G2771" s="1117" t="s">
        <v>2391</v>
      </c>
      <c r="H2771" s="1887">
        <f>H2746*0</f>
        <v>0</v>
      </c>
      <c r="I2771" s="1259">
        <f t="shared" si="137"/>
        <v>0</v>
      </c>
      <c r="J2771" s="1127"/>
      <c r="K2771" s="1127"/>
      <c r="L2771" s="1082"/>
      <c r="M2771" s="975">
        <v>2000</v>
      </c>
    </row>
    <row r="2772" spans="1:13" s="1083" customFormat="1" ht="25.2" hidden="1" customHeight="1">
      <c r="A2772" s="1153">
        <f t="shared" si="144"/>
        <v>0</v>
      </c>
      <c r="B2772" s="1324"/>
      <c r="C2772" s="1324"/>
      <c r="D2772" s="1078"/>
      <c r="E2772" s="1128"/>
      <c r="F2772" s="1367" t="s">
        <v>2285</v>
      </c>
      <c r="G2772" s="1090"/>
      <c r="H2772" s="1851"/>
      <c r="I2772" s="1259">
        <f t="shared" si="137"/>
        <v>0</v>
      </c>
      <c r="J2772" s="1129"/>
      <c r="K2772" s="1129"/>
      <c r="L2772" s="1082"/>
      <c r="M2772" s="975">
        <v>2000</v>
      </c>
    </row>
    <row r="2773" spans="1:13" s="1083" customFormat="1" ht="25.2" hidden="1" customHeight="1">
      <c r="A2773" s="1153">
        <f t="shared" si="144"/>
        <v>0</v>
      </c>
      <c r="B2773" s="1154" t="s">
        <v>1136</v>
      </c>
      <c r="C2773" s="1154"/>
      <c r="D2773" s="1078"/>
      <c r="E2773" s="1079" t="str">
        <f>VLOOKUP($B2773,DG!A:D,DG!$B$2,)</f>
        <v>05.6105</v>
      </c>
      <c r="F2773" s="1080" t="str">
        <f>VLOOKUP($B2773,DG!A:D,DG!$C$2,)</f>
        <v>Đà U160x68x5x2800 đỡ MBA</v>
      </c>
      <c r="G2773" s="1079" t="str">
        <f>VLOOKUP($B2773,DG!A:D,DG!$D$2,)</f>
        <v>cái</v>
      </c>
      <c r="H2773" s="1851">
        <f>2*H2771</f>
        <v>0</v>
      </c>
      <c r="I2773" s="1259">
        <f t="shared" si="137"/>
        <v>0</v>
      </c>
      <c r="J2773" s="1108"/>
      <c r="K2773" s="1108"/>
      <c r="L2773" s="1082"/>
      <c r="M2773" s="975">
        <v>2000</v>
      </c>
    </row>
    <row r="2774" spans="1:13" s="1083" customFormat="1" ht="25.2" hidden="1" customHeight="1">
      <c r="A2774" s="1153">
        <f t="shared" si="144"/>
        <v>0</v>
      </c>
      <c r="B2774" s="1154" t="s">
        <v>1137</v>
      </c>
      <c r="C2774" s="1154"/>
      <c r="D2774" s="1078"/>
      <c r="E2774" s="1079" t="str">
        <f>VLOOKUP($B2774,DG!A:D,DG!$B$2,)</f>
        <v>05.6101</v>
      </c>
      <c r="F2774" s="1080" t="str">
        <f>VLOOKUP($B2774,DG!A:D,DG!$C$2,)</f>
        <v xml:space="preserve">Đà U100x46x4.5x400 </v>
      </c>
      <c r="G2774" s="1079" t="str">
        <f>VLOOKUP($B2774,DG!A:D,DG!$D$2,)</f>
        <v>cái</v>
      </c>
      <c r="H2774" s="1851">
        <f>H2771*4</f>
        <v>0</v>
      </c>
      <c r="I2774" s="1259">
        <f t="shared" si="137"/>
        <v>0</v>
      </c>
      <c r="J2774" s="1108"/>
      <c r="K2774" s="1108"/>
      <c r="L2774" s="1082"/>
      <c r="M2774" s="975">
        <v>2000</v>
      </c>
    </row>
    <row r="2775" spans="1:13" s="1083" customFormat="1" ht="25.2" hidden="1" customHeight="1">
      <c r="A2775" s="1153">
        <f t="shared" si="144"/>
        <v>0</v>
      </c>
      <c r="B2775" s="1154" t="s">
        <v>1138</v>
      </c>
      <c r="C2775" s="1154"/>
      <c r="D2775" s="1078"/>
      <c r="E2775" s="1079" t="str">
        <f>VLOOKUP($B2775,DG!A:D,DG!$B$2,)</f>
        <v>05.6101</v>
      </c>
      <c r="F2775" s="1080" t="str">
        <f>VLOOKUP($B2775,DG!A:D,DG!$C$2,)</f>
        <v xml:space="preserve">Đà U100x46x5x800 </v>
      </c>
      <c r="G2775" s="1079" t="str">
        <f>VLOOKUP($B2775,DG!A:D,DG!$D$2,)</f>
        <v>cái</v>
      </c>
      <c r="H2775" s="1851">
        <f>H2771*2</f>
        <v>0</v>
      </c>
      <c r="I2775" s="1259">
        <f t="shared" si="137"/>
        <v>0</v>
      </c>
      <c r="J2775" s="1108"/>
      <c r="K2775" s="1108"/>
      <c r="L2775" s="1082"/>
      <c r="M2775" s="975">
        <v>2000</v>
      </c>
    </row>
    <row r="2776" spans="1:13" s="1083" customFormat="1" ht="25.2" hidden="1" customHeight="1">
      <c r="A2776" s="1153">
        <f t="shared" si="144"/>
        <v>0</v>
      </c>
      <c r="B2776" s="1324" t="s">
        <v>1785</v>
      </c>
      <c r="C2776" s="1324"/>
      <c r="D2776" s="1078"/>
      <c r="E2776" s="1079">
        <f>VLOOKUP($B2776,DG!A:D,DG!$B$2,)</f>
        <v>0</v>
      </c>
      <c r="F2776" s="1080" t="str">
        <f>VLOOKUP($B2776,DG!A:D,DG!$C$2,)</f>
        <v>Boulon 16x400VRS+ 4 long đền vuông D18-50x50x3/Zn</v>
      </c>
      <c r="G2776" s="1079" t="str">
        <f>VLOOKUP($B2776,DG!A:D,DG!$D$2,)</f>
        <v>bộ</v>
      </c>
      <c r="H2776" s="1851">
        <f>H2771*12</f>
        <v>0</v>
      </c>
      <c r="I2776" s="1259">
        <f t="shared" si="137"/>
        <v>0</v>
      </c>
      <c r="J2776" s="1108"/>
      <c r="K2776" s="1108"/>
      <c r="L2776" s="1082"/>
      <c r="M2776" s="975">
        <v>2000</v>
      </c>
    </row>
    <row r="2777" spans="1:13" s="1083" customFormat="1" ht="25.2" hidden="1" customHeight="1">
      <c r="A2777" s="1153">
        <f t="shared" si="144"/>
        <v>0</v>
      </c>
      <c r="B2777" s="1324" t="s">
        <v>1083</v>
      </c>
      <c r="C2777" s="1324"/>
      <c r="D2777" s="1078"/>
      <c r="E2777" s="1079">
        <f>VLOOKUP($B2777,DG!A:D,DG!$B$2,)</f>
        <v>0</v>
      </c>
      <c r="F2777" s="1080" t="str">
        <f>VLOOKUP($B2777,DG!A:D,DG!$C$2,)</f>
        <v>Boulon 16x400+ 2 long đền vuông D18-50x50x3/Zn</v>
      </c>
      <c r="G2777" s="1079" t="str">
        <f>VLOOKUP($B2777,DG!A:D,DG!$D$2,)</f>
        <v>bộ</v>
      </c>
      <c r="H2777" s="1851">
        <f>H2771*2</f>
        <v>0</v>
      </c>
      <c r="I2777" s="1259">
        <f t="shared" si="137"/>
        <v>0</v>
      </c>
      <c r="J2777" s="1108"/>
      <c r="K2777" s="1108"/>
      <c r="L2777" s="1082"/>
      <c r="M2777" s="975">
        <v>2000</v>
      </c>
    </row>
    <row r="2778" spans="1:13" s="1083" customFormat="1" ht="25.2" hidden="1" customHeight="1">
      <c r="A2778" s="1153">
        <f t="shared" ref="A2778:A2841" si="146">IF(I2778&gt;0,1,0)</f>
        <v>0</v>
      </c>
      <c r="B2778" s="1324" t="s">
        <v>1079</v>
      </c>
      <c r="C2778" s="1324"/>
      <c r="D2778" s="1078"/>
      <c r="E2778" s="1079">
        <f>VLOOKUP($B2778,DG!A:D,DG!$B$2,)</f>
        <v>0</v>
      </c>
      <c r="F2778" s="1080" t="str">
        <f>VLOOKUP($B2778,DG!A:D,DG!$C$2,)</f>
        <v>Boulon 16x350+ 2 long đền vuông D18-50x50x3/Zn</v>
      </c>
      <c r="G2778" s="1079" t="str">
        <f>VLOOKUP($B2778,DG!A:D,DG!$D$2,)</f>
        <v>bộ</v>
      </c>
      <c r="H2778" s="1851">
        <f>+H2771*4</f>
        <v>0</v>
      </c>
      <c r="I2778" s="1259">
        <f t="shared" si="137"/>
        <v>0</v>
      </c>
      <c r="J2778" s="1108"/>
      <c r="K2778" s="1108"/>
      <c r="L2778" s="1082"/>
      <c r="M2778" s="975">
        <v>2000</v>
      </c>
    </row>
    <row r="2779" spans="1:13" s="1083" customFormat="1" ht="25.2" hidden="1" customHeight="1">
      <c r="A2779" s="1153">
        <f t="shared" si="146"/>
        <v>0</v>
      </c>
      <c r="B2779" s="1324"/>
      <c r="C2779" s="1324"/>
      <c r="D2779" s="1084">
        <f>IF(H2779&gt;0,D2771+1,D2771)</f>
        <v>0</v>
      </c>
      <c r="E2779" s="1085"/>
      <c r="F2779" s="1130" t="s">
        <v>3733</v>
      </c>
      <c r="G2779" s="1084" t="s">
        <v>2391</v>
      </c>
      <c r="H2779" s="1867">
        <f>H2771*2*0</f>
        <v>0</v>
      </c>
      <c r="I2779" s="1259">
        <f t="shared" si="137"/>
        <v>0</v>
      </c>
      <c r="J2779" s="1131"/>
      <c r="K2779" s="1131"/>
      <c r="L2779" s="1082"/>
      <c r="M2779" s="975">
        <v>2000</v>
      </c>
    </row>
    <row r="2780" spans="1:13" s="1083" customFormat="1" ht="25.2" hidden="1" customHeight="1">
      <c r="A2780" s="1153">
        <f t="shared" si="146"/>
        <v>0</v>
      </c>
      <c r="B2780" s="1324"/>
      <c r="C2780" s="1324"/>
      <c r="D2780" s="1078"/>
      <c r="E2780" s="1088"/>
      <c r="F2780" s="1367" t="s">
        <v>2285</v>
      </c>
      <c r="G2780" s="1090"/>
      <c r="H2780" s="1851"/>
      <c r="I2780" s="1259">
        <f t="shared" si="137"/>
        <v>0</v>
      </c>
      <c r="J2780" s="1131"/>
      <c r="K2780" s="1131"/>
      <c r="L2780" s="1082"/>
      <c r="M2780" s="975">
        <v>2000</v>
      </c>
    </row>
    <row r="2781" spans="1:13" s="1083" customFormat="1" ht="25.2" hidden="1" customHeight="1">
      <c r="A2781" s="1153">
        <f t="shared" si="146"/>
        <v>0</v>
      </c>
      <c r="B2781" s="1331" t="s">
        <v>2026</v>
      </c>
      <c r="C2781" s="1331"/>
      <c r="D2781" s="1078"/>
      <c r="E2781" s="1079">
        <v>0</v>
      </c>
      <c r="F2781" s="1080" t="str">
        <f>VLOOKUP($B2781,DG!A:D,DG!$C$2,)</f>
        <v>Sắt góc L75 x75 x8</v>
      </c>
      <c r="G2781" s="1079" t="s">
        <v>2254</v>
      </c>
      <c r="H2781" s="1851">
        <f>H2779*9.02*(2.6+3*0.07)*2</f>
        <v>0</v>
      </c>
      <c r="I2781" s="1259">
        <f t="shared" si="137"/>
        <v>0</v>
      </c>
      <c r="J2781" s="1108"/>
      <c r="K2781" s="1108"/>
      <c r="L2781" s="1082"/>
      <c r="M2781" s="975">
        <v>2000</v>
      </c>
    </row>
    <row r="2782" spans="1:13" s="1083" customFormat="1" ht="25.2" hidden="1" customHeight="1">
      <c r="A2782" s="1153">
        <f t="shared" si="146"/>
        <v>0</v>
      </c>
      <c r="B2782" s="1324" t="s">
        <v>1788</v>
      </c>
      <c r="C2782" s="1324"/>
      <c r="D2782" s="1078"/>
      <c r="E2782" s="1079">
        <v>0</v>
      </c>
      <c r="F2782" s="1080" t="str">
        <f>VLOOKUP($B2782,DG!A:D,DG!$C$2,)</f>
        <v>Boulon 16x300VRS+ 4 long đền vuông D18-50x50x3/Zn</v>
      </c>
      <c r="G2782" s="1079" t="s">
        <v>2445</v>
      </c>
      <c r="H2782" s="1851">
        <f>H2779*2</f>
        <v>0</v>
      </c>
      <c r="I2782" s="1259">
        <f t="shared" si="137"/>
        <v>0</v>
      </c>
      <c r="J2782" s="1108"/>
      <c r="K2782" s="1108"/>
      <c r="L2782" s="1082"/>
      <c r="M2782" s="975">
        <v>2000</v>
      </c>
    </row>
    <row r="2783" spans="1:13" s="1083" customFormat="1" ht="25.2" hidden="1" customHeight="1">
      <c r="A2783" s="1153">
        <f t="shared" si="146"/>
        <v>0</v>
      </c>
      <c r="B2783" s="1324" t="s">
        <v>1613</v>
      </c>
      <c r="C2783" s="1324"/>
      <c r="D2783" s="1078"/>
      <c r="E2783" s="1079">
        <v>0</v>
      </c>
      <c r="F2783" s="1080" t="str">
        <f>VLOOKUP($B2783,DG!A:D,DG!$C$2,)</f>
        <v>Boulon 16x300+ 2 long đền vuông D18-50x50x3/Zn</v>
      </c>
      <c r="G2783" s="1079" t="s">
        <v>2445</v>
      </c>
      <c r="H2783" s="1851">
        <f>H2779*2</f>
        <v>0</v>
      </c>
      <c r="I2783" s="1259">
        <f t="shared" si="137"/>
        <v>0</v>
      </c>
      <c r="J2783" s="1108"/>
      <c r="K2783" s="1108"/>
      <c r="L2783" s="1082"/>
      <c r="M2783" s="975">
        <v>2000</v>
      </c>
    </row>
    <row r="2784" spans="1:13" s="1083" customFormat="1" ht="25.2" hidden="1" customHeight="1">
      <c r="A2784" s="1153">
        <f t="shared" si="146"/>
        <v>0</v>
      </c>
      <c r="B2784" s="1324" t="s">
        <v>1612</v>
      </c>
      <c r="C2784" s="1324"/>
      <c r="D2784" s="1078"/>
      <c r="E2784" s="1079">
        <v>0</v>
      </c>
      <c r="F2784" s="1080" t="str">
        <f>VLOOKUP($B2784,DG!A:D,DG!$C$2,)</f>
        <v>Boulon 16x250+ 2 long đền vuông D18-50x50x3/Zn</v>
      </c>
      <c r="G2784" s="1079" t="s">
        <v>2445</v>
      </c>
      <c r="H2784" s="1851">
        <f>H2783</f>
        <v>0</v>
      </c>
      <c r="I2784" s="1259">
        <f t="shared" si="137"/>
        <v>0</v>
      </c>
      <c r="J2784" s="1108"/>
      <c r="K2784" s="1108"/>
      <c r="L2784" s="1082"/>
      <c r="M2784" s="975">
        <v>2000</v>
      </c>
    </row>
    <row r="2785" spans="1:13" s="1083" customFormat="1" ht="25.2" hidden="1" customHeight="1">
      <c r="A2785" s="1153">
        <f t="shared" si="146"/>
        <v>0</v>
      </c>
      <c r="B2785" s="1324" t="s">
        <v>2248</v>
      </c>
      <c r="C2785" s="1324"/>
      <c r="D2785" s="1078"/>
      <c r="E2785" s="1079" t="s">
        <v>730</v>
      </c>
      <c r="F2785" s="1080" t="str">
        <f>VLOOKUP($B2785,DG!A:D,DG!$C$2,)</f>
        <v>Lắp xà cột Pi loại ≤140kg/xà</v>
      </c>
      <c r="G2785" s="1079" t="s">
        <v>2445</v>
      </c>
      <c r="H2785" s="1851">
        <f>H2779</f>
        <v>0</v>
      </c>
      <c r="I2785" s="1259">
        <f t="shared" si="137"/>
        <v>0</v>
      </c>
      <c r="J2785" s="1108"/>
      <c r="K2785" s="1108"/>
      <c r="L2785" s="1082"/>
      <c r="M2785" s="975">
        <v>2000</v>
      </c>
    </row>
    <row r="2786" spans="1:13" s="1083" customFormat="1" ht="25.2" hidden="1" customHeight="1">
      <c r="A2786" s="1153">
        <f t="shared" si="146"/>
        <v>0</v>
      </c>
      <c r="B2786" s="1324"/>
      <c r="C2786" s="1324"/>
      <c r="D2786" s="1084">
        <f>IF(H2786&gt;0,D2779+1,D2779)</f>
        <v>0</v>
      </c>
      <c r="E2786" s="1085"/>
      <c r="F2786" s="1130" t="s">
        <v>3770</v>
      </c>
      <c r="G2786" s="1084" t="s">
        <v>2391</v>
      </c>
      <c r="H2786" s="1867">
        <f>H2771*3</f>
        <v>0</v>
      </c>
      <c r="I2786" s="1259">
        <f t="shared" si="137"/>
        <v>0</v>
      </c>
      <c r="J2786" s="1131"/>
      <c r="K2786" s="1131"/>
      <c r="L2786" s="1082"/>
      <c r="M2786" s="975">
        <v>2000</v>
      </c>
    </row>
    <row r="2787" spans="1:13" s="1083" customFormat="1" ht="25.2" hidden="1" customHeight="1">
      <c r="A2787" s="1153">
        <f t="shared" si="146"/>
        <v>0</v>
      </c>
      <c r="B2787" s="1324"/>
      <c r="C2787" s="1324"/>
      <c r="D2787" s="1078"/>
      <c r="E2787" s="1088"/>
      <c r="F2787" s="1367" t="s">
        <v>2285</v>
      </c>
      <c r="G2787" s="1090"/>
      <c r="H2787" s="1851"/>
      <c r="I2787" s="1259">
        <f t="shared" si="137"/>
        <v>0</v>
      </c>
      <c r="J2787" s="1131"/>
      <c r="K2787" s="1131"/>
      <c r="L2787" s="1082"/>
      <c r="M2787" s="975">
        <v>2000</v>
      </c>
    </row>
    <row r="2788" spans="1:13" s="1083" customFormat="1" ht="25.2" hidden="1" customHeight="1">
      <c r="A2788" s="1153">
        <f t="shared" si="146"/>
        <v>0</v>
      </c>
      <c r="B2788" s="1331" t="s">
        <v>2026</v>
      </c>
      <c r="C2788" s="1331"/>
      <c r="D2788" s="1078"/>
      <c r="E2788" s="1079">
        <v>0</v>
      </c>
      <c r="F2788" s="1080" t="str">
        <f>VLOOKUP($B2788,DG!A:D,DG!$C$2,)</f>
        <v>Sắt góc L75 x75 x8</v>
      </c>
      <c r="G2788" s="1079" t="s">
        <v>2254</v>
      </c>
      <c r="H2788" s="1851">
        <f>H2786*9.02*(2.6+3*0.07)</f>
        <v>0</v>
      </c>
      <c r="I2788" s="1259">
        <f t="shared" si="137"/>
        <v>0</v>
      </c>
      <c r="J2788" s="1108"/>
      <c r="K2788" s="1108"/>
      <c r="L2788" s="1082"/>
      <c r="M2788" s="975">
        <v>2000</v>
      </c>
    </row>
    <row r="2789" spans="1:13" s="1083" customFormat="1" ht="25.2" hidden="1" customHeight="1">
      <c r="A2789" s="1153">
        <f t="shared" si="146"/>
        <v>0</v>
      </c>
      <c r="B2789" s="1324" t="s">
        <v>1612</v>
      </c>
      <c r="C2789" s="1324"/>
      <c r="D2789" s="1078"/>
      <c r="E2789" s="1079">
        <v>0</v>
      </c>
      <c r="F2789" s="1080" t="str">
        <f>VLOOKUP($B2789,DG!A:D,DG!$C$2,)</f>
        <v>Boulon 16x250+ 2 long đền vuông D18-50x50x3/Zn</v>
      </c>
      <c r="G2789" s="1079" t="s">
        <v>2445</v>
      </c>
      <c r="H2789" s="1851">
        <f>IF(H2786&gt;2,(H2786-1)*2,0)</f>
        <v>0</v>
      </c>
      <c r="I2789" s="1259">
        <f t="shared" si="137"/>
        <v>0</v>
      </c>
      <c r="J2789" s="1108"/>
      <c r="K2789" s="1108"/>
      <c r="L2789" s="1082"/>
      <c r="M2789" s="975">
        <v>2000</v>
      </c>
    </row>
    <row r="2790" spans="1:13" s="1083" customFormat="1" ht="25.2" hidden="1" customHeight="1">
      <c r="A2790" s="1153">
        <f t="shared" si="146"/>
        <v>0</v>
      </c>
      <c r="B2790" s="1324" t="s">
        <v>1613</v>
      </c>
      <c r="C2790" s="1324"/>
      <c r="D2790" s="1078"/>
      <c r="E2790" s="1079">
        <v>0</v>
      </c>
      <c r="F2790" s="1080" t="str">
        <f>VLOOKUP($B2790,DG!A:D,DG!$C$2,)</f>
        <v>Boulon 16x300+ 2 long đền vuông D18-50x50x3/Zn</v>
      </c>
      <c r="G2790" s="1079" t="s">
        <v>2445</v>
      </c>
      <c r="H2790" s="1851">
        <f>IF(H2786=0,0,2)</f>
        <v>0</v>
      </c>
      <c r="I2790" s="1259">
        <f t="shared" si="137"/>
        <v>0</v>
      </c>
      <c r="J2790" s="1108"/>
      <c r="K2790" s="1108"/>
      <c r="L2790" s="1082"/>
      <c r="M2790" s="975">
        <v>2000</v>
      </c>
    </row>
    <row r="2791" spans="1:13" s="1083" customFormat="1" ht="25.2" hidden="1" customHeight="1">
      <c r="A2791" s="1153">
        <f t="shared" si="146"/>
        <v>0</v>
      </c>
      <c r="B2791" s="1331" t="s">
        <v>2277</v>
      </c>
      <c r="C2791" s="1331"/>
      <c r="D2791" s="1078"/>
      <c r="E2791" s="1079">
        <v>0</v>
      </c>
      <c r="F2791" s="1080" t="str">
        <f>VLOOKUP($B2791,DG!A:D,DG!$C$2,)</f>
        <v>Bass LL bắt FCO, LA</v>
      </c>
      <c r="G2791" s="1079" t="s">
        <v>2391</v>
      </c>
      <c r="H2791" s="1851">
        <f>H2786*1</f>
        <v>0</v>
      </c>
      <c r="I2791" s="1259">
        <f t="shared" si="137"/>
        <v>0</v>
      </c>
      <c r="J2791" s="1108"/>
      <c r="K2791" s="1108"/>
      <c r="L2791" s="1082"/>
      <c r="M2791" s="975">
        <v>2000</v>
      </c>
    </row>
    <row r="2792" spans="1:13" s="1083" customFormat="1" ht="25.2" hidden="1" customHeight="1">
      <c r="A2792" s="1153">
        <f t="shared" si="146"/>
        <v>0</v>
      </c>
      <c r="B2792" s="1324" t="s">
        <v>2248</v>
      </c>
      <c r="C2792" s="1324"/>
      <c r="D2792" s="1078"/>
      <c r="E2792" s="1079" t="s">
        <v>730</v>
      </c>
      <c r="F2792" s="1080" t="str">
        <f>VLOOKUP($B2792,DG!A:D,DG!$C$2,)</f>
        <v>Lắp xà cột Pi loại ≤140kg/xà</v>
      </c>
      <c r="G2792" s="1079" t="s">
        <v>2445</v>
      </c>
      <c r="H2792" s="1851">
        <f>H2786</f>
        <v>0</v>
      </c>
      <c r="I2792" s="1259">
        <f t="shared" si="137"/>
        <v>0</v>
      </c>
      <c r="J2792" s="1108"/>
      <c r="K2792" s="1108"/>
      <c r="L2792" s="1082"/>
      <c r="M2792" s="975">
        <v>2000</v>
      </c>
    </row>
    <row r="2793" spans="1:13" s="1083" customFormat="1" ht="25.2" hidden="1" customHeight="1">
      <c r="A2793" s="1153">
        <f t="shared" si="146"/>
        <v>0</v>
      </c>
      <c r="B2793" s="1324"/>
      <c r="C2793" s="1324"/>
      <c r="D2793" s="1084">
        <f>IF(H2793&gt;0,D2786+1,D2786)</f>
        <v>0</v>
      </c>
      <c r="E2793" s="1085"/>
      <c r="F2793" s="1130" t="s">
        <v>3735</v>
      </c>
      <c r="G2793" s="1084" t="s">
        <v>2391</v>
      </c>
      <c r="H2793" s="1867">
        <f>H2771*2</f>
        <v>0</v>
      </c>
      <c r="I2793" s="1259">
        <f t="shared" si="137"/>
        <v>0</v>
      </c>
      <c r="J2793" s="1131"/>
      <c r="K2793" s="1131"/>
      <c r="L2793" s="1082"/>
      <c r="M2793" s="975">
        <v>2000</v>
      </c>
    </row>
    <row r="2794" spans="1:13" s="1083" customFormat="1" ht="25.2" hidden="1" customHeight="1">
      <c r="A2794" s="1153">
        <f t="shared" si="146"/>
        <v>0</v>
      </c>
      <c r="B2794" s="1324"/>
      <c r="C2794" s="1324"/>
      <c r="D2794" s="1078"/>
      <c r="E2794" s="1088"/>
      <c r="F2794" s="1367" t="s">
        <v>2285</v>
      </c>
      <c r="G2794" s="1090"/>
      <c r="H2794" s="1851"/>
      <c r="I2794" s="1259">
        <f t="shared" si="137"/>
        <v>0</v>
      </c>
      <c r="J2794" s="1131"/>
      <c r="K2794" s="1131"/>
      <c r="L2794" s="1082"/>
      <c r="M2794" s="975">
        <v>2000</v>
      </c>
    </row>
    <row r="2795" spans="1:13" s="1083" customFormat="1" ht="25.2" hidden="1" customHeight="1">
      <c r="A2795" s="1153">
        <f t="shared" si="146"/>
        <v>0</v>
      </c>
      <c r="B2795" s="1324" t="s">
        <v>2026</v>
      </c>
      <c r="C2795" s="1324"/>
      <c r="D2795" s="1078"/>
      <c r="E2795" s="1079">
        <v>0</v>
      </c>
      <c r="F2795" s="1080" t="str">
        <f>VLOOKUP($B2795,DG!A:D,DG!$C$2,)</f>
        <v>Sắt góc L75 x75 x8</v>
      </c>
      <c r="G2795" s="1079" t="s">
        <v>2254</v>
      </c>
      <c r="H2795" s="1851">
        <f>H2793*9.02*2.6</f>
        <v>0</v>
      </c>
      <c r="I2795" s="1259">
        <f t="shared" si="137"/>
        <v>0</v>
      </c>
      <c r="J2795" s="1108"/>
      <c r="K2795" s="1108"/>
      <c r="L2795" s="1082"/>
      <c r="M2795" s="975">
        <v>2000</v>
      </c>
    </row>
    <row r="2796" spans="1:13" s="1083" customFormat="1" ht="25.2" hidden="1" customHeight="1">
      <c r="A2796" s="1153">
        <f t="shared" si="146"/>
        <v>0</v>
      </c>
      <c r="B2796" s="1324" t="s">
        <v>1083</v>
      </c>
      <c r="C2796" s="1324"/>
      <c r="D2796" s="1078"/>
      <c r="E2796" s="1079">
        <v>0</v>
      </c>
      <c r="F2796" s="1080" t="str">
        <f>VLOOKUP($B2796,DG!A:D,DG!$C$2,)</f>
        <v>Boulon 16x400+ 2 long đền vuông D18-50x50x3/Zn</v>
      </c>
      <c r="G2796" s="1079" t="s">
        <v>2445</v>
      </c>
      <c r="H2796" s="1851">
        <f>H2793*2</f>
        <v>0</v>
      </c>
      <c r="I2796" s="1259">
        <f t="shared" si="137"/>
        <v>0</v>
      </c>
      <c r="J2796" s="1108"/>
      <c r="K2796" s="1108"/>
      <c r="L2796" s="1082"/>
      <c r="M2796" s="975">
        <v>2000</v>
      </c>
    </row>
    <row r="2797" spans="1:13" s="1083" customFormat="1" ht="25.2" hidden="1" customHeight="1">
      <c r="A2797" s="1153">
        <f t="shared" si="146"/>
        <v>0</v>
      </c>
      <c r="B2797" s="1324" t="s">
        <v>2248</v>
      </c>
      <c r="C2797" s="1324"/>
      <c r="D2797" s="1078"/>
      <c r="E2797" s="1079" t="s">
        <v>730</v>
      </c>
      <c r="F2797" s="1080" t="str">
        <f>VLOOKUP($B2797,DG!A:D,DG!$C$2,)</f>
        <v>Lắp xà cột Pi loại ≤140kg/xà</v>
      </c>
      <c r="G2797" s="1079" t="s">
        <v>2445</v>
      </c>
      <c r="H2797" s="1851">
        <f>H2793</f>
        <v>0</v>
      </c>
      <c r="I2797" s="1259">
        <f t="shared" si="137"/>
        <v>0</v>
      </c>
      <c r="J2797" s="1108"/>
      <c r="K2797" s="1108"/>
      <c r="L2797" s="1082"/>
      <c r="M2797" s="975">
        <v>2000</v>
      </c>
    </row>
    <row r="2798" spans="1:13" s="1083" customFormat="1" ht="25.2" hidden="1" customHeight="1">
      <c r="A2798" s="1153">
        <f t="shared" si="146"/>
        <v>0</v>
      </c>
      <c r="B2798" s="1324" t="s">
        <v>1613</v>
      </c>
      <c r="C2798" s="1324"/>
      <c r="D2798" s="1078"/>
      <c r="E2798" s="1079">
        <v>0</v>
      </c>
      <c r="F2798" s="1080" t="str">
        <f>VLOOKUP($B2798,DG!A:D,DG!$C$2,)</f>
        <v>Boulon 16x300+ 2 long đền vuông D18-50x50x3/Zn</v>
      </c>
      <c r="G2798" s="1079" t="s">
        <v>2445</v>
      </c>
      <c r="H2798" s="1851">
        <f>H2793*2*0</f>
        <v>0</v>
      </c>
      <c r="I2798" s="1259">
        <f t="shared" si="137"/>
        <v>0</v>
      </c>
      <c r="J2798" s="1108"/>
      <c r="K2798" s="1108"/>
      <c r="L2798" s="1082"/>
      <c r="M2798" s="975">
        <v>2000</v>
      </c>
    </row>
    <row r="2799" spans="1:13" s="1083" customFormat="1" ht="25.2" hidden="1" customHeight="1">
      <c r="A2799" s="1153">
        <f t="shared" si="146"/>
        <v>0</v>
      </c>
      <c r="B2799" s="1324" t="s">
        <v>1612</v>
      </c>
      <c r="C2799" s="1324"/>
      <c r="D2799" s="1078"/>
      <c r="E2799" s="1079">
        <v>0</v>
      </c>
      <c r="F2799" s="1080" t="str">
        <f>VLOOKUP($B2799,DG!A:D,DG!$C$2,)</f>
        <v>Boulon 16x250+ 2 long đền vuông D18-50x50x3/Zn</v>
      </c>
      <c r="G2799" s="1079" t="s">
        <v>2445</v>
      </c>
      <c r="H2799" s="1851">
        <f>2*H2793*2*0</f>
        <v>0</v>
      </c>
      <c r="I2799" s="1259">
        <f t="shared" si="137"/>
        <v>0</v>
      </c>
      <c r="J2799" s="1108"/>
      <c r="K2799" s="1108"/>
      <c r="L2799" s="1082"/>
      <c r="M2799" s="975">
        <v>2000</v>
      </c>
    </row>
    <row r="2800" spans="1:13" s="1083" customFormat="1" ht="25.2" hidden="1" customHeight="1" collapsed="1">
      <c r="A2800" s="1153">
        <f t="shared" si="146"/>
        <v>0</v>
      </c>
      <c r="B2800" s="1324"/>
      <c r="C2800" s="1324"/>
      <c r="D2800" s="1084">
        <f>IF(H2800&gt;0,D2793+1,D2793)</f>
        <v>0</v>
      </c>
      <c r="E2800" s="1085"/>
      <c r="F2800" s="1130" t="s">
        <v>3771</v>
      </c>
      <c r="G2800" s="1084" t="s">
        <v>2391</v>
      </c>
      <c r="H2800" s="1867">
        <f>H2746</f>
        <v>0</v>
      </c>
      <c r="I2800" s="1259">
        <f t="shared" si="137"/>
        <v>0</v>
      </c>
      <c r="J2800" s="1081"/>
      <c r="K2800" s="1081"/>
      <c r="L2800" s="1082"/>
      <c r="M2800" s="975">
        <v>2000</v>
      </c>
    </row>
    <row r="2801" spans="1:13" s="1083" customFormat="1" ht="25.2" hidden="1" customHeight="1">
      <c r="A2801" s="1153">
        <f t="shared" si="146"/>
        <v>0</v>
      </c>
      <c r="B2801" s="1324"/>
      <c r="C2801" s="1324"/>
      <c r="D2801" s="1078"/>
      <c r="E2801" s="1088"/>
      <c r="F2801" s="1367" t="s">
        <v>2285</v>
      </c>
      <c r="G2801" s="1090"/>
      <c r="H2801" s="1851"/>
      <c r="I2801" s="1259">
        <f t="shared" si="137"/>
        <v>0</v>
      </c>
      <c r="J2801" s="1081"/>
      <c r="K2801" s="1081"/>
      <c r="L2801" s="1082"/>
      <c r="M2801" s="975">
        <v>2000</v>
      </c>
    </row>
    <row r="2802" spans="1:13" s="1083" customFormat="1" ht="25.2" hidden="1" customHeight="1">
      <c r="A2802" s="1153">
        <f t="shared" si="146"/>
        <v>0</v>
      </c>
      <c r="B2802" s="1324" t="s">
        <v>2026</v>
      </c>
      <c r="C2802" s="1324"/>
      <c r="D2802" s="1078"/>
      <c r="E2802" s="1079">
        <v>0</v>
      </c>
      <c r="F2802" s="1080" t="str">
        <f>VLOOKUP($B2802,DG!A:D,DG!$C$2,)</f>
        <v>Sắt góc L75 x75 x8</v>
      </c>
      <c r="G2802" s="1079" t="s">
        <v>2254</v>
      </c>
      <c r="H2802" s="1851">
        <f>H2800*9.02*(2.4+4*0.07)*2</f>
        <v>0</v>
      </c>
      <c r="I2802" s="1259">
        <f t="shared" si="137"/>
        <v>0</v>
      </c>
      <c r="J2802" s="1081"/>
      <c r="K2802" s="1081"/>
      <c r="L2802" s="1082"/>
      <c r="M2802" s="975">
        <v>2000</v>
      </c>
    </row>
    <row r="2803" spans="1:13" s="1083" customFormat="1" ht="25.2" hidden="1" customHeight="1">
      <c r="A2803" s="1153">
        <f t="shared" si="146"/>
        <v>0</v>
      </c>
      <c r="B2803" s="1324" t="s">
        <v>1035</v>
      </c>
      <c r="C2803" s="1324"/>
      <c r="D2803" s="1078"/>
      <c r="E2803" s="1079" t="s">
        <v>554</v>
      </c>
      <c r="F2803" s="1080" t="str">
        <f>VLOOKUP($B2803,DG!A:D,DG!$C$2,)&amp;" (Thanh choáng 920)"</f>
        <v>Sắt góc L50 x50 x5 (Thanh choáng 920)</v>
      </c>
      <c r="G2803" s="1079" t="s">
        <v>2254</v>
      </c>
      <c r="H2803" s="1851">
        <f>H2800*3.77*0.92*4</f>
        <v>0</v>
      </c>
      <c r="I2803" s="1259">
        <f t="shared" si="137"/>
        <v>0</v>
      </c>
      <c r="J2803" s="1081"/>
      <c r="K2803" s="1081"/>
      <c r="L2803" s="1082"/>
      <c r="M2803" s="975">
        <v>2000</v>
      </c>
    </row>
    <row r="2804" spans="1:13" s="1083" customFormat="1" ht="25.2" hidden="1" customHeight="1">
      <c r="A2804" s="1153">
        <f t="shared" si="146"/>
        <v>0</v>
      </c>
      <c r="B2804" s="1324" t="s">
        <v>1613</v>
      </c>
      <c r="C2804" s="1324"/>
      <c r="D2804" s="1078"/>
      <c r="E2804" s="1079">
        <v>0</v>
      </c>
      <c r="F2804" s="1080" t="str">
        <f>VLOOKUP($B2804,DG!A:D,DG!$C$2,)</f>
        <v>Boulon 16x300+ 2 long đền vuông D18-50x50x3/Zn</v>
      </c>
      <c r="G2804" s="1079" t="s">
        <v>2445</v>
      </c>
      <c r="H2804" s="1851">
        <f>H2800*2</f>
        <v>0</v>
      </c>
      <c r="I2804" s="1259">
        <f t="shared" si="137"/>
        <v>0</v>
      </c>
      <c r="J2804" s="1081"/>
      <c r="K2804" s="1081"/>
      <c r="L2804" s="1082"/>
      <c r="M2804" s="975">
        <v>2000</v>
      </c>
    </row>
    <row r="2805" spans="1:13" s="1083" customFormat="1" ht="25.2" hidden="1" customHeight="1">
      <c r="A2805" s="1153">
        <f t="shared" si="146"/>
        <v>0</v>
      </c>
      <c r="B2805" s="1324" t="s">
        <v>1790</v>
      </c>
      <c r="C2805" s="1324"/>
      <c r="D2805" s="1078"/>
      <c r="E2805" s="1079">
        <v>0</v>
      </c>
      <c r="F2805" s="1080" t="str">
        <f>VLOOKUP($B2805,DG!A:D,DG!$C$2,)</f>
        <v>Boulon 16x50+ 2 long đền vuông D18-50x50x3/Zn</v>
      </c>
      <c r="G2805" s="1079" t="s">
        <v>2445</v>
      </c>
      <c r="H2805" s="1851">
        <f>H2800*4</f>
        <v>0</v>
      </c>
      <c r="I2805" s="1259">
        <f t="shared" ref="I2805:I2868" si="147">IF(M2805=$M$23,H2805+J2805-K2805,0)</f>
        <v>0</v>
      </c>
      <c r="J2805" s="1081"/>
      <c r="K2805" s="1081"/>
      <c r="L2805" s="1082"/>
      <c r="M2805" s="975">
        <v>2000</v>
      </c>
    </row>
    <row r="2806" spans="1:13" s="1083" customFormat="1" ht="25.2" hidden="1" customHeight="1">
      <c r="A2806" s="1153">
        <f t="shared" si="146"/>
        <v>0</v>
      </c>
      <c r="B2806" s="1324" t="s">
        <v>1788</v>
      </c>
      <c r="C2806" s="1324"/>
      <c r="D2806" s="1078"/>
      <c r="E2806" s="1079">
        <v>0</v>
      </c>
      <c r="F2806" s="1080" t="str">
        <f>VLOOKUP($B2806,DG!A:D,DG!$C$2,)</f>
        <v>Boulon 16x300VRS+ 4 long đền vuông D18-50x50x3/Zn</v>
      </c>
      <c r="G2806" s="1079" t="s">
        <v>2445</v>
      </c>
      <c r="H2806" s="1851">
        <f>H2800*4</f>
        <v>0</v>
      </c>
      <c r="I2806" s="1259">
        <f t="shared" si="147"/>
        <v>0</v>
      </c>
      <c r="J2806" s="1081"/>
      <c r="K2806" s="1081"/>
      <c r="L2806" s="1082"/>
      <c r="M2806" s="975">
        <v>2000</v>
      </c>
    </row>
    <row r="2807" spans="1:13" s="1083" customFormat="1" ht="25.2" hidden="1" customHeight="1">
      <c r="A2807" s="1153">
        <f t="shared" si="146"/>
        <v>0</v>
      </c>
      <c r="B2807" s="1324" t="s">
        <v>550</v>
      </c>
      <c r="C2807" s="1324"/>
      <c r="D2807" s="1078"/>
      <c r="E2807" s="1079">
        <v>0</v>
      </c>
      <c r="F2807" s="1080" t="str">
        <f>VLOOKUP($B2807,DG!A:D,DG!$C$2,)</f>
        <v>Bass LI bắt FCO</v>
      </c>
      <c r="G2807" s="1079" t="s">
        <v>2445</v>
      </c>
      <c r="H2807" s="1851">
        <f>H2800*3/2*0</f>
        <v>0</v>
      </c>
      <c r="I2807" s="1259">
        <f t="shared" si="147"/>
        <v>0</v>
      </c>
      <c r="J2807" s="1081"/>
      <c r="K2807" s="1081"/>
      <c r="L2807" s="1082"/>
      <c r="M2807" s="975">
        <v>2000</v>
      </c>
    </row>
    <row r="2808" spans="1:13" s="1083" customFormat="1" ht="25.2" hidden="1" customHeight="1">
      <c r="A2808" s="1153">
        <f t="shared" si="146"/>
        <v>0</v>
      </c>
      <c r="B2808" s="1324" t="s">
        <v>517</v>
      </c>
      <c r="C2808" s="1324"/>
      <c r="D2808" s="1078"/>
      <c r="E2808" s="1079" t="s">
        <v>1460</v>
      </c>
      <c r="F2808" s="1080" t="str">
        <f>VLOOKUP($B2808,DG!A:D,DG!$C$2,)</f>
        <v>Lắp xà néo ≤ 100kg</v>
      </c>
      <c r="G2808" s="1079" t="s">
        <v>2445</v>
      </c>
      <c r="H2808" s="1851">
        <f>H2800</f>
        <v>0</v>
      </c>
      <c r="I2808" s="1259">
        <f t="shared" si="147"/>
        <v>0</v>
      </c>
      <c r="J2808" s="1081"/>
      <c r="K2808" s="1081"/>
      <c r="L2808" s="1082"/>
      <c r="M2808" s="975">
        <v>2000</v>
      </c>
    </row>
    <row r="2809" spans="1:13" s="1083" customFormat="1" ht="25.2" hidden="1" customHeight="1">
      <c r="A2809" s="1153">
        <f t="shared" si="146"/>
        <v>0</v>
      </c>
      <c r="B2809" s="1324"/>
      <c r="C2809" s="1324"/>
      <c r="D2809" s="1084">
        <f>IF(H2809&gt;0,D2800+1,D2800)</f>
        <v>0</v>
      </c>
      <c r="E2809" s="1085"/>
      <c r="F2809" s="1130" t="s">
        <v>3772</v>
      </c>
      <c r="G2809" s="1084" t="s">
        <v>2391</v>
      </c>
      <c r="H2809" s="1867">
        <f>H2746*3</f>
        <v>0</v>
      </c>
      <c r="I2809" s="1259">
        <f t="shared" si="147"/>
        <v>0</v>
      </c>
      <c r="J2809" s="1081"/>
      <c r="K2809" s="1081"/>
      <c r="L2809" s="1082"/>
      <c r="M2809" s="975">
        <v>2000</v>
      </c>
    </row>
    <row r="2810" spans="1:13" s="1083" customFormat="1" ht="25.2" hidden="1" customHeight="1">
      <c r="A2810" s="1153">
        <f t="shared" si="146"/>
        <v>0</v>
      </c>
      <c r="B2810" s="1324"/>
      <c r="C2810" s="1324"/>
      <c r="D2810" s="1078"/>
      <c r="E2810" s="1088"/>
      <c r="F2810" s="1367" t="s">
        <v>2285</v>
      </c>
      <c r="G2810" s="1090"/>
      <c r="H2810" s="1851"/>
      <c r="I2810" s="1259">
        <f t="shared" si="147"/>
        <v>0</v>
      </c>
      <c r="J2810" s="1081"/>
      <c r="K2810" s="1081"/>
      <c r="L2810" s="1082"/>
      <c r="M2810" s="975">
        <v>2000</v>
      </c>
    </row>
    <row r="2811" spans="1:13" s="1083" customFormat="1" ht="25.2" hidden="1" customHeight="1">
      <c r="A2811" s="1153">
        <f t="shared" si="146"/>
        <v>0</v>
      </c>
      <c r="B2811" s="1324" t="s">
        <v>2026</v>
      </c>
      <c r="C2811" s="1324"/>
      <c r="D2811" s="1078"/>
      <c r="E2811" s="1079">
        <v>0</v>
      </c>
      <c r="F2811" s="1080" t="str">
        <f>VLOOKUP($B2811,DG!A:D,DG!$C$2,)</f>
        <v>Sắt góc L75 x75 x8</v>
      </c>
      <c r="G2811" s="1079" t="s">
        <v>2254</v>
      </c>
      <c r="H2811" s="1851">
        <f>H2809*9.02*(2.2+4*0.07)</f>
        <v>0</v>
      </c>
      <c r="I2811" s="1259">
        <f t="shared" si="147"/>
        <v>0</v>
      </c>
      <c r="J2811" s="1081"/>
      <c r="K2811" s="1081"/>
      <c r="L2811" s="1082"/>
      <c r="M2811" s="975">
        <v>2000</v>
      </c>
    </row>
    <row r="2812" spans="1:13" s="1083" customFormat="1" ht="25.2" hidden="1" customHeight="1">
      <c r="A2812" s="1153">
        <f t="shared" si="146"/>
        <v>0</v>
      </c>
      <c r="B2812" s="1324" t="s">
        <v>1035</v>
      </c>
      <c r="C2812" s="1324"/>
      <c r="D2812" s="1078"/>
      <c r="E2812" s="1079">
        <v>0</v>
      </c>
      <c r="F2812" s="1080" t="str">
        <f>VLOOKUP($B2812,DG!A:D,DG!$C$2,)&amp;" (Thanh choáng 920)"</f>
        <v>Sắt góc L50 x50 x5 (Thanh choáng 920)</v>
      </c>
      <c r="G2812" s="1079" t="s">
        <v>2254</v>
      </c>
      <c r="H2812" s="1889">
        <f>H2809*3.77*0.92*2</f>
        <v>0</v>
      </c>
      <c r="I2812" s="1259">
        <f t="shared" si="147"/>
        <v>0</v>
      </c>
      <c r="J2812" s="1081"/>
      <c r="K2812" s="1081"/>
      <c r="L2812" s="1082"/>
      <c r="M2812" s="975">
        <v>2000</v>
      </c>
    </row>
    <row r="2813" spans="1:13" s="1083" customFormat="1" ht="25.2" hidden="1" customHeight="1">
      <c r="A2813" s="1153">
        <f t="shared" si="146"/>
        <v>0</v>
      </c>
      <c r="B2813" s="1324" t="s">
        <v>1079</v>
      </c>
      <c r="C2813" s="1324"/>
      <c r="D2813" s="1078"/>
      <c r="E2813" s="1079">
        <v>0</v>
      </c>
      <c r="F2813" s="1080" t="str">
        <f>VLOOKUP($B2813,DG!A:D,DG!$C$2,)</f>
        <v>Boulon 16x350+ 2 long đền vuông D18-50x50x3/Zn</v>
      </c>
      <c r="G2813" s="1079" t="s">
        <v>2445</v>
      </c>
      <c r="H2813" s="1851">
        <f>H2809*2</f>
        <v>0</v>
      </c>
      <c r="I2813" s="1259">
        <f t="shared" si="147"/>
        <v>0</v>
      </c>
      <c r="J2813" s="1081"/>
      <c r="K2813" s="1081"/>
      <c r="L2813" s="1082"/>
      <c r="M2813" s="975">
        <v>2000</v>
      </c>
    </row>
    <row r="2814" spans="1:13" s="1083" customFormat="1" ht="25.2" hidden="1" customHeight="1">
      <c r="A2814" s="1153">
        <f t="shared" si="146"/>
        <v>0</v>
      </c>
      <c r="B2814" s="1324" t="s">
        <v>1790</v>
      </c>
      <c r="C2814" s="1324"/>
      <c r="D2814" s="1078"/>
      <c r="E2814" s="1079">
        <v>0</v>
      </c>
      <c r="F2814" s="1080" t="str">
        <f>VLOOKUP($B2814,DG!A:D,DG!$C$2,)</f>
        <v>Boulon 16x50+ 2 long đền vuông D18-50x50x3/Zn</v>
      </c>
      <c r="G2814" s="1079" t="s">
        <v>2445</v>
      </c>
      <c r="H2814" s="1851">
        <f>H2809*2</f>
        <v>0</v>
      </c>
      <c r="I2814" s="1259">
        <f t="shared" si="147"/>
        <v>0</v>
      </c>
      <c r="J2814" s="1081"/>
      <c r="K2814" s="1081"/>
      <c r="L2814" s="1082"/>
      <c r="M2814" s="975">
        <v>2000</v>
      </c>
    </row>
    <row r="2815" spans="1:13" s="1083" customFormat="1" ht="25.2" hidden="1" customHeight="1">
      <c r="A2815" s="1153">
        <f t="shared" si="146"/>
        <v>0</v>
      </c>
      <c r="B2815" s="1324" t="s">
        <v>1739</v>
      </c>
      <c r="C2815" s="1324"/>
      <c r="D2815" s="1078"/>
      <c r="E2815" s="1079">
        <v>0</v>
      </c>
      <c r="F2815" s="1080" t="str">
        <f>VLOOKUP($B2815,DG!A:D,DG!$C$2,)</f>
        <v>Bass LI bắt FCO</v>
      </c>
      <c r="G2815" s="1079" t="s">
        <v>2445</v>
      </c>
      <c r="H2815" s="1889">
        <f>H2809</f>
        <v>0</v>
      </c>
      <c r="I2815" s="1259">
        <f t="shared" si="147"/>
        <v>0</v>
      </c>
      <c r="J2815" s="1081"/>
      <c r="K2815" s="1081"/>
      <c r="L2815" s="1082"/>
      <c r="M2815" s="975">
        <v>2000</v>
      </c>
    </row>
    <row r="2816" spans="1:13" s="1083" customFormat="1" ht="25.2" hidden="1" customHeight="1">
      <c r="A2816" s="1153">
        <f t="shared" si="146"/>
        <v>0</v>
      </c>
      <c r="B2816" s="1324" t="s">
        <v>988</v>
      </c>
      <c r="C2816" s="1324"/>
      <c r="D2816" s="1078"/>
      <c r="E2816" s="1079">
        <v>0</v>
      </c>
      <c r="F2816" s="1080" t="str">
        <f>VLOOKUP($B2816,DG!A:D,DG!$C$2,)</f>
        <v xml:space="preserve">Cổ dê chống lắc 8x80x800 </v>
      </c>
      <c r="G2816" s="1079" t="s">
        <v>2445</v>
      </c>
      <c r="H2816" s="1851">
        <f>H2809/3</f>
        <v>0</v>
      </c>
      <c r="I2816" s="1259">
        <f t="shared" si="147"/>
        <v>0</v>
      </c>
      <c r="J2816" s="1081"/>
      <c r="K2816" s="1081"/>
      <c r="L2816" s="1082"/>
      <c r="M2816" s="975">
        <v>2000</v>
      </c>
    </row>
    <row r="2817" spans="1:13" s="1083" customFormat="1" ht="25.2" hidden="1" customHeight="1">
      <c r="A2817" s="1153">
        <f t="shared" si="146"/>
        <v>0</v>
      </c>
      <c r="B2817" s="1324" t="s">
        <v>2002</v>
      </c>
      <c r="C2817" s="1324"/>
      <c r="D2817" s="1078"/>
      <c r="E2817" s="1079" t="s">
        <v>2271</v>
      </c>
      <c r="F2817" s="1080" t="str">
        <f>VLOOKUP($B2817,DG!A:D,DG!$C$2,)</f>
        <v>Lắp xà néo ≤ 50kg</v>
      </c>
      <c r="G2817" s="1079" t="s">
        <v>2445</v>
      </c>
      <c r="H2817" s="1851">
        <f>H2809</f>
        <v>0</v>
      </c>
      <c r="I2817" s="1259">
        <f t="shared" si="147"/>
        <v>0</v>
      </c>
      <c r="J2817" s="1081"/>
      <c r="K2817" s="1081"/>
      <c r="L2817" s="1082"/>
      <c r="M2817" s="975">
        <v>2000</v>
      </c>
    </row>
    <row r="2818" spans="1:13" s="1083" customFormat="1" ht="25.2" hidden="1" customHeight="1">
      <c r="A2818" s="1153">
        <f t="shared" si="146"/>
        <v>0</v>
      </c>
      <c r="B2818" s="1324"/>
      <c r="C2818" s="1324"/>
      <c r="D2818" s="1084">
        <f>IF(H2818&gt;0,D2809+1,D2809)</f>
        <v>0</v>
      </c>
      <c r="E2818" s="1085"/>
      <c r="F2818" s="1130" t="s">
        <v>3773</v>
      </c>
      <c r="G2818" s="1084" t="s">
        <v>2391</v>
      </c>
      <c r="H2818" s="1867">
        <f>H2746</f>
        <v>0</v>
      </c>
      <c r="I2818" s="1259">
        <f t="shared" si="147"/>
        <v>0</v>
      </c>
      <c r="J2818" s="1081"/>
      <c r="K2818" s="1081"/>
      <c r="L2818" s="1082"/>
      <c r="M2818" s="975">
        <v>2000</v>
      </c>
    </row>
    <row r="2819" spans="1:13" s="1083" customFormat="1" ht="25.2" hidden="1" customHeight="1">
      <c r="A2819" s="1153">
        <f t="shared" si="146"/>
        <v>0</v>
      </c>
      <c r="B2819" s="1355"/>
      <c r="C2819" s="1355"/>
      <c r="D2819" s="1078"/>
      <c r="E2819" s="1088"/>
      <c r="F2819" s="1089" t="s">
        <v>3774</v>
      </c>
      <c r="G2819" s="1090"/>
      <c r="H2819" s="1851"/>
      <c r="I2819" s="1259">
        <f t="shared" si="147"/>
        <v>0</v>
      </c>
      <c r="J2819" s="1081"/>
      <c r="K2819" s="1081"/>
      <c r="L2819" s="1082"/>
      <c r="M2819" s="975">
        <v>2000</v>
      </c>
    </row>
    <row r="2820" spans="1:13" s="1083" customFormat="1" ht="25.2" hidden="1" customHeight="1">
      <c r="A2820" s="1153">
        <f t="shared" si="146"/>
        <v>0</v>
      </c>
      <c r="B2820" s="1324" t="s">
        <v>1033</v>
      </c>
      <c r="C2820" s="1324"/>
      <c r="D2820" s="1078"/>
      <c r="E2820" s="1079">
        <f>VLOOKUP($B2820,DG!A:D,DG!$B$2,)</f>
        <v>0</v>
      </c>
      <c r="F2820" s="1080" t="str">
        <f>VLOOKUP($B2820,DG!A:D,DG!$C$2,)&amp; ": "&amp;I3&amp;"m"</f>
        <v>Cáp đồng trần M25mm2: 54m</v>
      </c>
      <c r="G2820" s="1079" t="str">
        <f>VLOOKUP($B2820,DG!A:D,DG!$D$2,)</f>
        <v>kg</v>
      </c>
      <c r="H2820" s="1851">
        <f>I3*0.224*H2818*0</f>
        <v>0</v>
      </c>
      <c r="I2820" s="1259">
        <f t="shared" si="147"/>
        <v>0</v>
      </c>
      <c r="J2820" s="1081"/>
      <c r="K2820" s="1081"/>
      <c r="L2820" s="1082"/>
      <c r="M2820" s="975">
        <v>2000</v>
      </c>
    </row>
    <row r="2821" spans="1:13" s="1083" customFormat="1" ht="25.2" hidden="1" customHeight="1">
      <c r="A2821" s="1153">
        <f t="shared" si="146"/>
        <v>0</v>
      </c>
      <c r="B2821" s="1324" t="s">
        <v>1033</v>
      </c>
      <c r="C2821" s="1324"/>
      <c r="D2821" s="1078"/>
      <c r="E2821" s="1079">
        <f>VLOOKUP($B2821,DG!A:D,DG!$B$2,)</f>
        <v>0</v>
      </c>
      <c r="F2821" s="1080" t="str">
        <f>VLOOKUP($B2821,DG!A:D,DG!$C$2,)&amp;": 10m noái leân voû caùc thieát bò"</f>
        <v>Cáp đồng trần M25mm2: 10m noái leân voû caùc thieát bò</v>
      </c>
      <c r="G2821" s="1079" t="str">
        <f>VLOOKUP($B2821,DG!A:D,DG!$D$2,)</f>
        <v>kg</v>
      </c>
      <c r="H2821" s="1851">
        <f>10*0.224*H2818*0</f>
        <v>0</v>
      </c>
      <c r="I2821" s="1259">
        <f t="shared" si="147"/>
        <v>0</v>
      </c>
      <c r="J2821" s="1081"/>
      <c r="K2821" s="1081"/>
      <c r="L2821" s="1082"/>
      <c r="M2821" s="975">
        <v>2000</v>
      </c>
    </row>
    <row r="2822" spans="1:13" s="1083" customFormat="1" ht="25.2" hidden="1" customHeight="1">
      <c r="A2822" s="1153">
        <f t="shared" si="146"/>
        <v>0</v>
      </c>
      <c r="B2822" s="1154" t="s">
        <v>1511</v>
      </c>
      <c r="C2822" s="1154"/>
      <c r="D2822" s="1078"/>
      <c r="E2822" s="1079">
        <f>VLOOKUP($B2822,DG!A:D,DG!$B$2,)</f>
        <v>0</v>
      </c>
      <c r="F2822" s="1080" t="str">
        <f>VLOOKUP($B2822,DG!A:D,DG!$C$2,)</f>
        <v>Cọc tiếp đất Þ 16- 2,4m + kẹp cọc mạ đồng</v>
      </c>
      <c r="G2822" s="1079" t="str">
        <f>VLOOKUP($B2822,DG!A:D,DG!$D$2,)</f>
        <v>bộ</v>
      </c>
      <c r="H2822" s="1851">
        <f>I2*H2818</f>
        <v>0</v>
      </c>
      <c r="I2822" s="1259">
        <f t="shared" si="147"/>
        <v>0</v>
      </c>
      <c r="J2822" s="1081"/>
      <c r="K2822" s="1081"/>
      <c r="L2822" s="1082"/>
      <c r="M2822" s="975">
        <v>2000</v>
      </c>
    </row>
    <row r="2823" spans="1:13" s="1083" customFormat="1" ht="25.2" hidden="1" customHeight="1">
      <c r="A2823" s="1153">
        <f t="shared" si="146"/>
        <v>0</v>
      </c>
      <c r="B2823" s="1154" t="s">
        <v>1493</v>
      </c>
      <c r="C2823" s="1154"/>
      <c r="D2823" s="1078"/>
      <c r="E2823" s="1079" t="str">
        <f>VLOOKUP($B2823,DG!A:D,DG!$B$2,)</f>
        <v>07.2403</v>
      </c>
      <c r="F2823" s="1080" t="str">
        <f>VLOOKUP($B2823,DG!A:D,DG!$C$2,)</f>
        <v xml:space="preserve">Ống PVC D21x1,6mm </v>
      </c>
      <c r="G2823" s="1079" t="str">
        <f>VLOOKUP($B2823,DG!A:D,DG!$D$2,)</f>
        <v>m</v>
      </c>
      <c r="H2823" s="1851">
        <f>H2818*6*0</f>
        <v>0</v>
      </c>
      <c r="I2823" s="1259">
        <f t="shared" si="147"/>
        <v>0</v>
      </c>
      <c r="J2823" s="1081"/>
      <c r="K2823" s="1081"/>
      <c r="L2823" s="1082"/>
      <c r="M2823" s="975">
        <v>2000</v>
      </c>
    </row>
    <row r="2824" spans="1:13" s="1083" customFormat="1" ht="25.2" hidden="1" customHeight="1">
      <c r="A2824" s="1153">
        <f t="shared" si="146"/>
        <v>0</v>
      </c>
      <c r="B2824" s="1329" t="s">
        <v>1582</v>
      </c>
      <c r="C2824" s="1329"/>
      <c r="D2824" s="1078"/>
      <c r="E2824" s="1079">
        <f>VLOOKUP($B2824,DG!A:D,DG!$B$2,)</f>
        <v>0</v>
      </c>
      <c r="F2824" s="1080" t="str">
        <f>VLOOKUP($B2824,DG!A:D,DG!$C$2,)&amp; " baét trung tính löôùi"</f>
        <v>Kẹp ép WR cỡ dây 50mm2 baét trung tính löôùi</v>
      </c>
      <c r="G2824" s="1079" t="str">
        <f>VLOOKUP($B2824,DG!A:D,DG!$D$2,)</f>
        <v>cái</v>
      </c>
      <c r="H2824" s="1851">
        <f>2*H2818*0</f>
        <v>0</v>
      </c>
      <c r="I2824" s="1259">
        <f t="shared" si="147"/>
        <v>0</v>
      </c>
      <c r="J2824" s="1081"/>
      <c r="K2824" s="1081"/>
      <c r="L2824" s="1082"/>
      <c r="M2824" s="975">
        <v>2000</v>
      </c>
    </row>
    <row r="2825" spans="1:13" s="1083" customFormat="1" ht="25.2" hidden="1" customHeight="1">
      <c r="A2825" s="1153">
        <f t="shared" si="146"/>
        <v>0</v>
      </c>
      <c r="B2825" s="1329" t="s">
        <v>1114</v>
      </c>
      <c r="C2825" s="1329"/>
      <c r="D2825" s="1078"/>
      <c r="E2825" s="1079">
        <f>VLOOKUP($B2825,DG!A:D,DG!$B$2,)</f>
        <v>0</v>
      </c>
      <c r="F2825" s="1080" t="str">
        <f>VLOOKUP($B2825,DG!A:D,DG!$C$2,)</f>
        <v>Kẹp ép cỡ dây 25mm2</v>
      </c>
      <c r="G2825" s="1079" t="str">
        <f>VLOOKUP($B2825,DG!A:D,DG!$D$2,)</f>
        <v>cái</v>
      </c>
      <c r="H2825" s="1889">
        <f>H2818*11*0</f>
        <v>0</v>
      </c>
      <c r="I2825" s="1259">
        <f t="shared" si="147"/>
        <v>0</v>
      </c>
      <c r="J2825" s="1081"/>
      <c r="K2825" s="1081"/>
      <c r="L2825" s="1082"/>
      <c r="M2825" s="975">
        <v>2000</v>
      </c>
    </row>
    <row r="2826" spans="1:13" s="1083" customFormat="1" ht="25.2" hidden="1" customHeight="1">
      <c r="A2826" s="1153">
        <f t="shared" si="146"/>
        <v>0</v>
      </c>
      <c r="B2826" s="1154" t="s">
        <v>138</v>
      </c>
      <c r="C2826" s="1154"/>
      <c r="D2826" s="1078"/>
      <c r="E2826" s="1079">
        <f>VLOOKUP($B2826,DG!A:D,DG!$B$2,)</f>
        <v>0</v>
      </c>
      <c r="F2826" s="1080" t="str">
        <f>VLOOKUP($B2826,DG!A:D,DG!$C$2,)</f>
        <v>Boulon 12x40+ 2 long đền vuông D14-50x50x3/Zn</v>
      </c>
      <c r="G2826" s="1079" t="str">
        <f>VLOOKUP($B2826,DG!A:D,DG!$D$2,)</f>
        <v>bộ</v>
      </c>
      <c r="H2826" s="1851">
        <f>H2827/2</f>
        <v>0</v>
      </c>
      <c r="I2826" s="1259">
        <f t="shared" si="147"/>
        <v>0</v>
      </c>
      <c r="J2826" s="1081"/>
      <c r="K2826" s="1081"/>
      <c r="L2826" s="1082"/>
      <c r="M2826" s="975">
        <v>2000</v>
      </c>
    </row>
    <row r="2827" spans="1:13" s="1083" customFormat="1" ht="25.2" hidden="1" customHeight="1">
      <c r="A2827" s="1153">
        <f t="shared" si="146"/>
        <v>0</v>
      </c>
      <c r="B2827" s="1154" t="s">
        <v>104</v>
      </c>
      <c r="C2827" s="1154"/>
      <c r="D2827" s="1078"/>
      <c r="E2827" s="1079" t="str">
        <f>VLOOKUP($B2827,DG!A:D,DG!$B$2,)</f>
        <v>03.4001</v>
      </c>
      <c r="F2827" s="1080" t="str">
        <f>VLOOKUP($B2827,DG!A:D,DG!$C$2,)</f>
        <v>Đầu cosse ép Cu 25mm2</v>
      </c>
      <c r="G2827" s="1079" t="str">
        <f>VLOOKUP($B2827,DG!A:D,DG!$D$2,)</f>
        <v>cái</v>
      </c>
      <c r="H2827" s="1851">
        <f>+H2818*2*0</f>
        <v>0</v>
      </c>
      <c r="I2827" s="1259">
        <f t="shared" si="147"/>
        <v>0</v>
      </c>
      <c r="J2827" s="1081"/>
      <c r="K2827" s="1081"/>
      <c r="L2827" s="1082"/>
      <c r="M2827" s="975">
        <v>2000</v>
      </c>
    </row>
    <row r="2828" spans="1:13" s="1083" customFormat="1" ht="25.2" hidden="1" customHeight="1">
      <c r="A2828" s="1153">
        <f t="shared" si="146"/>
        <v>0</v>
      </c>
      <c r="B2828" s="1154" t="s">
        <v>525</v>
      </c>
      <c r="C2828" s="1154"/>
      <c r="D2828" s="1078"/>
      <c r="E2828" s="1079" t="str">
        <f>VLOOKUP($B2828,DG!A:D,DG!$B$2,)</f>
        <v>06.3231</v>
      </c>
      <c r="F2828" s="1080" t="str">
        <f>VLOOKUP($B2828,DG!A:D,DG!$C$2,)</f>
        <v>Cổ dê kẹp ống PVC  21</v>
      </c>
      <c r="G2828" s="1079" t="str">
        <f>VLOOKUP($B2828,DG!A:D,DG!$D$2,)</f>
        <v>bộ</v>
      </c>
      <c r="H2828" s="1851">
        <f>H2818*2*0</f>
        <v>0</v>
      </c>
      <c r="I2828" s="1259">
        <f t="shared" si="147"/>
        <v>0</v>
      </c>
      <c r="J2828" s="1081"/>
      <c r="K2828" s="1081"/>
      <c r="L2828" s="1082"/>
      <c r="M2828" s="975">
        <v>2000</v>
      </c>
    </row>
    <row r="2829" spans="1:13" s="1083" customFormat="1" ht="25.2" hidden="1" customHeight="1">
      <c r="A2829" s="1153">
        <f t="shared" si="146"/>
        <v>0</v>
      </c>
      <c r="B2829" s="1154" t="s">
        <v>1588</v>
      </c>
      <c r="C2829" s="1154"/>
      <c r="D2829" s="1078"/>
      <c r="E2829" s="1079">
        <f>VLOOKUP($B2829,DG!A:D,DG!$B$2,)</f>
        <v>0</v>
      </c>
      <c r="F2829" s="1080" t="str">
        <f>VLOOKUP($B2829,DG!A:D,DG!$C$2,)</f>
        <v>Giếng tiếp địa khoan đất</v>
      </c>
      <c r="G2829" s="1079" t="str">
        <f>VLOOKUP($B2829,DG!A:D,DG!$D$2,)</f>
        <v>Cái</v>
      </c>
      <c r="H2829" s="1851"/>
      <c r="I2829" s="1259">
        <f t="shared" si="147"/>
        <v>0</v>
      </c>
      <c r="J2829" s="1081"/>
      <c r="K2829" s="1081"/>
      <c r="L2829" s="1082"/>
      <c r="M2829" s="975">
        <v>2000</v>
      </c>
    </row>
    <row r="2830" spans="1:13" s="1083" customFormat="1" ht="25.2" hidden="1" customHeight="1">
      <c r="A2830" s="1153">
        <f t="shared" si="146"/>
        <v>0</v>
      </c>
      <c r="B2830" s="1154" t="s">
        <v>453</v>
      </c>
      <c r="C2830" s="1154"/>
      <c r="D2830" s="1090"/>
      <c r="E2830" s="1079" t="str">
        <f>VLOOKUP($B2830,DG!A:D,DG!$B$2,)</f>
        <v>03.8133</v>
      </c>
      <c r="F2830" s="1108" t="str">
        <f>VLOOKUP($B2830,DG!A:D,DG!$C$2,)&amp;": (2m3/cọc)x"&amp;H2822&amp;" cọc"</f>
        <v>Phá đá chân hố móng, đá cấp II: (2m3/cọc)x0 cọc</v>
      </c>
      <c r="G2830" s="1135" t="s">
        <v>856</v>
      </c>
      <c r="H2830" s="1167"/>
      <c r="I2830" s="1259">
        <f t="shared" si="147"/>
        <v>0</v>
      </c>
      <c r="J2830" s="1081"/>
      <c r="K2830" s="1081"/>
      <c r="L2830" s="1082"/>
      <c r="M2830" s="975">
        <v>2000</v>
      </c>
    </row>
    <row r="2831" spans="1:13" s="1083" customFormat="1" ht="25.2" hidden="1" customHeight="1">
      <c r="A2831" s="1153">
        <f t="shared" si="146"/>
        <v>0</v>
      </c>
      <c r="B2831" s="1154" t="s">
        <v>794</v>
      </c>
      <c r="C2831" s="1154"/>
      <c r="D2831" s="1090"/>
      <c r="E2831" s="1079" t="str">
        <f>VLOOKUP($B2831,DG!A:D,DG!$B$2,)</f>
        <v>03.3123</v>
      </c>
      <c r="F2831" s="1080" t="str">
        <f>VLOOKUP($B2831,DG!A:D,DG!$C$2,)</f>
        <v>Đào rãnh tiếp địa đất cấp 3</v>
      </c>
      <c r="G2831" s="1135" t="s">
        <v>856</v>
      </c>
      <c r="H2831" s="1167">
        <f>I3*H2818</f>
        <v>0</v>
      </c>
      <c r="I2831" s="1259">
        <f t="shared" si="147"/>
        <v>0</v>
      </c>
      <c r="J2831" s="1081"/>
      <c r="K2831" s="1081"/>
      <c r="L2831" s="1082"/>
      <c r="M2831" s="975">
        <v>2000</v>
      </c>
    </row>
    <row r="2832" spans="1:13" s="1083" customFormat="1" ht="25.2" hidden="1" customHeight="1">
      <c r="A2832" s="1153">
        <f t="shared" si="146"/>
        <v>0</v>
      </c>
      <c r="B2832" s="1154" t="s">
        <v>798</v>
      </c>
      <c r="C2832" s="1154"/>
      <c r="D2832" s="1090"/>
      <c r="E2832" s="1079" t="str">
        <f>VLOOKUP($B2832,DG!A:D,DG!$B$2,)</f>
        <v>03.4123</v>
      </c>
      <c r="F2832" s="1080" t="str">
        <f>VLOOKUP($B2832,DG!A:D,DG!$C$2,)</f>
        <v>Đắp đất rãnh tiếp độ chặt k=0,85</v>
      </c>
      <c r="G2832" s="1135" t="s">
        <v>856</v>
      </c>
      <c r="H2832" s="1167">
        <f>($H2831+H2830)*H2818</f>
        <v>0</v>
      </c>
      <c r="I2832" s="1259">
        <f t="shared" si="147"/>
        <v>0</v>
      </c>
      <c r="J2832" s="1081"/>
      <c r="K2832" s="1081"/>
      <c r="L2832" s="1082"/>
      <c r="M2832" s="975">
        <v>2000</v>
      </c>
    </row>
    <row r="2833" spans="1:13" s="1083" customFormat="1" ht="25.2" hidden="1" customHeight="1">
      <c r="A2833" s="1153">
        <f t="shared" si="146"/>
        <v>0</v>
      </c>
      <c r="B2833" s="1154" t="s">
        <v>902</v>
      </c>
      <c r="C2833" s="1154"/>
      <c r="D2833" s="1090"/>
      <c r="E2833" s="1079" t="str">
        <f>VLOOKUP($B2833,DG!A:D,DG!$B$2,)</f>
        <v>04.7001</v>
      </c>
      <c r="F2833" s="1080" t="str">
        <f>VLOOKUP($B2833,DG!A:D,DG!$C$2,)</f>
        <v>Đóng cọc tiếp địa trong TBA</v>
      </c>
      <c r="G2833" s="1135" t="s">
        <v>856</v>
      </c>
      <c r="H2833" s="1167">
        <f>H2822</f>
        <v>0</v>
      </c>
      <c r="I2833" s="1259">
        <f t="shared" si="147"/>
        <v>0</v>
      </c>
      <c r="J2833" s="1081"/>
      <c r="K2833" s="1081"/>
      <c r="L2833" s="1082"/>
      <c r="M2833" s="975">
        <v>2000</v>
      </c>
    </row>
    <row r="2834" spans="1:13" s="1083" customFormat="1" ht="25.2" hidden="1" customHeight="1">
      <c r="A2834" s="1153">
        <f t="shared" si="146"/>
        <v>0</v>
      </c>
      <c r="B2834" s="1154" t="s">
        <v>1440</v>
      </c>
      <c r="C2834" s="1154"/>
      <c r="D2834" s="1078"/>
      <c r="E2834" s="1079" t="str">
        <f>VLOOKUP($B2834,DG!A:D,DG!$B$2,)</f>
        <v>04.7002</v>
      </c>
      <c r="F2834" s="1080" t="str">
        <f>VLOOKUP($B2834,DG!A:D,DG!$C$2,)</f>
        <v>Kéo dây tiếp địa trong TBA</v>
      </c>
      <c r="G2834" s="1079" t="str">
        <f>VLOOKUP($B2834,DG!A:D,DG!$D$2,)</f>
        <v>mét</v>
      </c>
      <c r="H2834" s="1851">
        <f>H2818*I3*0</f>
        <v>0</v>
      </c>
      <c r="I2834" s="1259">
        <f t="shared" si="147"/>
        <v>0</v>
      </c>
      <c r="J2834" s="1081"/>
      <c r="K2834" s="1081"/>
      <c r="L2834" s="1082"/>
      <c r="M2834" s="975">
        <v>2000</v>
      </c>
    </row>
    <row r="2835" spans="1:13" s="1083" customFormat="1" ht="25.2" hidden="1" customHeight="1">
      <c r="A2835" s="1153">
        <f t="shared" si="146"/>
        <v>0</v>
      </c>
      <c r="B2835" s="1324"/>
      <c r="C2835" s="1324"/>
      <c r="D2835" s="1084">
        <f>IF(H2835&gt;0,D2818+1,D2818)</f>
        <v>0</v>
      </c>
      <c r="E2835" s="1085"/>
      <c r="F2835" s="1086" t="s">
        <v>3775</v>
      </c>
      <c r="G2835" s="1084" t="s">
        <v>2391</v>
      </c>
      <c r="H2835" s="1867">
        <f>H2746</f>
        <v>0</v>
      </c>
      <c r="I2835" s="1259">
        <f t="shared" si="147"/>
        <v>0</v>
      </c>
      <c r="J2835" s="1081"/>
      <c r="K2835" s="1081"/>
      <c r="L2835" s="1082"/>
      <c r="M2835" s="975">
        <v>2000</v>
      </c>
    </row>
    <row r="2836" spans="1:13" s="1083" customFormat="1" ht="25.2" hidden="1" customHeight="1">
      <c r="A2836" s="1153">
        <f t="shared" si="146"/>
        <v>0</v>
      </c>
      <c r="B2836" s="1324"/>
      <c r="C2836" s="1324"/>
      <c r="D2836" s="1078"/>
      <c r="E2836" s="1088"/>
      <c r="F2836" s="1367" t="s">
        <v>2285</v>
      </c>
      <c r="G2836" s="1090"/>
      <c r="H2836" s="1851"/>
      <c r="I2836" s="1259">
        <f t="shared" si="147"/>
        <v>0</v>
      </c>
      <c r="J2836" s="1081"/>
      <c r="K2836" s="1081"/>
      <c r="L2836" s="1082"/>
      <c r="M2836" s="975">
        <v>2000</v>
      </c>
    </row>
    <row r="2837" spans="1:13" s="1083" customFormat="1" ht="25.2" hidden="1" customHeight="1">
      <c r="A2837" s="1153">
        <f t="shared" si="146"/>
        <v>0</v>
      </c>
      <c r="B2837" s="1362" t="s">
        <v>1192</v>
      </c>
      <c r="C2837" s="1362"/>
      <c r="D2837" s="1090"/>
      <c r="E2837" s="1091" t="str">
        <f>VLOOKUP($B2837,DG!A:D,DG!$B$2,)</f>
        <v>05.1002</v>
      </c>
      <c r="F2837" s="1092" t="str">
        <f>VLOOKUP($B2837,DG!A:D,DG!$C$2,)</f>
        <v>Tủ CB trạm 3 pha + khoá + bulon</v>
      </c>
      <c r="G2837" s="1091" t="str">
        <f>VLOOKUP($B2837,DG!A:D,DG!$D$2,)</f>
        <v>cái</v>
      </c>
      <c r="H2837" s="1851">
        <f>H2835</f>
        <v>0</v>
      </c>
      <c r="I2837" s="1259">
        <f t="shared" si="147"/>
        <v>0</v>
      </c>
      <c r="J2837" s="1081"/>
      <c r="K2837" s="1081"/>
      <c r="L2837" s="1082"/>
      <c r="M2837" s="975">
        <v>2000</v>
      </c>
    </row>
    <row r="2838" spans="1:13" s="1083" customFormat="1" ht="25.2" hidden="1" customHeight="1">
      <c r="A2838" s="1153">
        <f t="shared" si="146"/>
        <v>0</v>
      </c>
      <c r="B2838" s="1324" t="s">
        <v>1538</v>
      </c>
      <c r="C2838" s="1324"/>
      <c r="D2838" s="1078"/>
      <c r="E2838" s="1091">
        <f>VLOOKUP($B2838,DG!A:D,DG!$B$2,)</f>
        <v>0</v>
      </c>
      <c r="F2838" s="1092" t="str">
        <f>VLOOKUP($B2838,DG!A:D,DG!$C$2,)</f>
        <v>Giá nới + Thanh cái tủ CB</v>
      </c>
      <c r="G2838" s="1091" t="str">
        <f>VLOOKUP($B2838,DG!A:D,DG!$D$2,)</f>
        <v>bộ</v>
      </c>
      <c r="H2838" s="1868">
        <f>H2835</f>
        <v>0</v>
      </c>
      <c r="I2838" s="1259">
        <f t="shared" si="147"/>
        <v>0</v>
      </c>
      <c r="J2838" s="1081"/>
      <c r="K2838" s="1081"/>
      <c r="L2838" s="1082"/>
      <c r="M2838" s="975">
        <v>2000</v>
      </c>
    </row>
    <row r="2839" spans="1:13" s="1083" customFormat="1" ht="25.2" hidden="1" customHeight="1">
      <c r="A2839" s="1153">
        <f t="shared" si="146"/>
        <v>0</v>
      </c>
      <c r="B2839" s="1324" t="s">
        <v>880</v>
      </c>
      <c r="C2839" s="1324"/>
      <c r="D2839" s="1078"/>
      <c r="E2839" s="1091">
        <f>VLOOKUP($B2839,DG!A:D,DG!$B$2,)</f>
        <v>0</v>
      </c>
      <c r="F2839" s="1092" t="str">
        <f>VLOOKUP($B2839,DG!A:D,DG!$C$2,)</f>
        <v xml:space="preserve">Bakelit 550x450 dầy 10mm </v>
      </c>
      <c r="G2839" s="1091" t="str">
        <f>VLOOKUP($B2839,DG!A:D,DG!$D$2,)</f>
        <v>cái</v>
      </c>
      <c r="H2839" s="1868">
        <f>H2835*1</f>
        <v>0</v>
      </c>
      <c r="I2839" s="1259">
        <f t="shared" si="147"/>
        <v>0</v>
      </c>
      <c r="J2839" s="1081"/>
      <c r="K2839" s="1081"/>
      <c r="L2839" s="1082"/>
      <c r="M2839" s="975">
        <v>2000</v>
      </c>
    </row>
    <row r="2840" spans="1:13" s="1083" customFormat="1" ht="25.2" hidden="1" customHeight="1">
      <c r="A2840" s="1153">
        <f t="shared" si="146"/>
        <v>0</v>
      </c>
      <c r="B2840" s="1324" t="s">
        <v>289</v>
      </c>
      <c r="C2840" s="1324"/>
      <c r="D2840" s="1090"/>
      <c r="E2840" s="1091" t="str">
        <f>VLOOKUP($B2840,DG!A:D,DG!$B$2,)</f>
        <v>06.3191</v>
      </c>
      <c r="F2840" s="1092" t="str">
        <f>VLOOKUP($B2840,DG!A:D,DG!$C$2,)</f>
        <v>Bảng tên trạm, bảng báo nguy hiểm + đinh vít</v>
      </c>
      <c r="G2840" s="1091" t="str">
        <f>VLOOKUP($B2840,DG!A:D,DG!$D$2,)</f>
        <v>bộ</v>
      </c>
      <c r="H2840" s="1851">
        <f>H2835</f>
        <v>0</v>
      </c>
      <c r="I2840" s="1259">
        <f t="shared" si="147"/>
        <v>0</v>
      </c>
      <c r="J2840" s="1081"/>
      <c r="K2840" s="1081"/>
      <c r="L2840" s="1082"/>
      <c r="M2840" s="975">
        <v>2000</v>
      </c>
    </row>
    <row r="2841" spans="1:13" s="1083" customFormat="1" ht="25.2" hidden="1" customHeight="1">
      <c r="A2841" s="1153">
        <f t="shared" si="146"/>
        <v>0</v>
      </c>
      <c r="B2841" s="1324"/>
      <c r="C2841" s="1324"/>
      <c r="D2841" s="1084">
        <f>IF(H2841&gt;0,D2835+1,D2835)</f>
        <v>0</v>
      </c>
      <c r="E2841" s="1085"/>
      <c r="F2841" s="1086" t="s">
        <v>3776</v>
      </c>
      <c r="G2841" s="1084" t="s">
        <v>2538</v>
      </c>
      <c r="H2841" s="1867"/>
      <c r="I2841" s="1259">
        <f t="shared" si="147"/>
        <v>0</v>
      </c>
      <c r="J2841" s="1081"/>
      <c r="K2841" s="1081"/>
      <c r="L2841" s="1082"/>
      <c r="M2841" s="975">
        <v>2000</v>
      </c>
    </row>
    <row r="2842" spans="1:13" s="1083" customFormat="1" ht="25.2" hidden="1" customHeight="1">
      <c r="A2842" s="1153">
        <f t="shared" ref="A2842:A2905" si="148">IF(I2842&gt;0,1,0)</f>
        <v>0</v>
      </c>
      <c r="B2842" s="1324"/>
      <c r="C2842" s="1324"/>
      <c r="D2842" s="1078"/>
      <c r="E2842" s="1088"/>
      <c r="F2842" s="1367" t="s">
        <v>2285</v>
      </c>
      <c r="G2842" s="1090"/>
      <c r="H2842" s="1851"/>
      <c r="I2842" s="1259">
        <f t="shared" si="147"/>
        <v>0</v>
      </c>
      <c r="J2842" s="1081"/>
      <c r="K2842" s="1081"/>
      <c r="L2842" s="1082"/>
      <c r="M2842" s="975">
        <v>2000</v>
      </c>
    </row>
    <row r="2843" spans="1:13" s="1083" customFormat="1" ht="25.2" hidden="1" customHeight="1">
      <c r="A2843" s="1153">
        <f t="shared" si="148"/>
        <v>0</v>
      </c>
      <c r="B2843" s="1326" t="s">
        <v>752</v>
      </c>
      <c r="C2843" s="1326"/>
      <c r="D2843" s="1090"/>
      <c r="E2843" s="1091">
        <f>VLOOKUP($B2843,DG!A:D,DG!$B$2,)</f>
        <v>0</v>
      </c>
      <c r="F2843" s="1108" t="str">
        <f>VLOOKUP($B2843,DG!A:D,DG!$C$2,)&amp;": 0,38m3/m"</f>
        <v>Cát vàng: 0,38m3/m</v>
      </c>
      <c r="G2843" s="1091" t="str">
        <f>VLOOKUP($B2843,DG!A:D,DG!$D$2,)</f>
        <v>m3</v>
      </c>
      <c r="H2843" s="1851">
        <f>H2841*0.38</f>
        <v>0</v>
      </c>
      <c r="I2843" s="1259">
        <f t="shared" si="147"/>
        <v>0</v>
      </c>
      <c r="J2843" s="1081"/>
      <c r="K2843" s="1081"/>
      <c r="L2843" s="1082"/>
      <c r="M2843" s="975">
        <v>2000</v>
      </c>
    </row>
    <row r="2844" spans="1:13" s="1083" customFormat="1" ht="25.2" hidden="1" customHeight="1">
      <c r="A2844" s="1153">
        <f t="shared" si="148"/>
        <v>0</v>
      </c>
      <c r="B2844" s="1326" t="s">
        <v>867</v>
      </c>
      <c r="C2844" s="1326"/>
      <c r="D2844" s="1090"/>
      <c r="E2844" s="1091">
        <f>VLOOKUP($B2844,DG!A:D,DG!$B$2,)</f>
        <v>0</v>
      </c>
      <c r="F2844" s="1108" t="str">
        <f>VLOOKUP($B2844,DG!A:D,DG!$C$2,)&amp;": 0,12m3/m"</f>
        <v>Đá 1x2: 0,12m3/m</v>
      </c>
      <c r="G2844" s="1091" t="str">
        <f>VLOOKUP($B2844,DG!A:D,DG!$D$2,)</f>
        <v>m3</v>
      </c>
      <c r="H2844" s="1851">
        <f>0.12*H2841*0</f>
        <v>0</v>
      </c>
      <c r="I2844" s="1259">
        <f t="shared" si="147"/>
        <v>0</v>
      </c>
      <c r="J2844" s="1081"/>
      <c r="K2844" s="1081"/>
      <c r="L2844" s="1082"/>
      <c r="M2844" s="975">
        <v>2000</v>
      </c>
    </row>
    <row r="2845" spans="1:13" s="1083" customFormat="1" ht="25.2" hidden="1" customHeight="1">
      <c r="A2845" s="1153">
        <f t="shared" si="148"/>
        <v>0</v>
      </c>
      <c r="B2845" s="1326" t="s">
        <v>1679</v>
      </c>
      <c r="C2845" s="1326"/>
      <c r="D2845" s="1090"/>
      <c r="E2845" s="1091">
        <f>VLOOKUP($B2845,DG!A:D,DG!$B$2,)</f>
        <v>0</v>
      </c>
      <c r="F2845" s="1108" t="str">
        <f>VLOOKUP($B2845,DG!A:D,DG!$C$2,)&amp;": 3,3vieân/m"</f>
        <v>Gạch tàu: 3,3vieân/m</v>
      </c>
      <c r="G2845" s="1091" t="str">
        <f>VLOOKUP($B2845,DG!A:D,DG!$D$2,)</f>
        <v>viên</v>
      </c>
      <c r="H2845" s="1851">
        <f>3.3*H2841</f>
        <v>0</v>
      </c>
      <c r="I2845" s="1259">
        <f t="shared" si="147"/>
        <v>0</v>
      </c>
      <c r="J2845" s="1081"/>
      <c r="K2845" s="1081"/>
      <c r="L2845" s="1082"/>
      <c r="M2845" s="975">
        <v>2000</v>
      </c>
    </row>
    <row r="2846" spans="1:13" s="1083" customFormat="1" ht="25.2" hidden="1" customHeight="1">
      <c r="A2846" s="1153">
        <f t="shared" si="148"/>
        <v>0</v>
      </c>
      <c r="B2846" s="1326" t="s">
        <v>1680</v>
      </c>
      <c r="C2846" s="1326"/>
      <c r="D2846" s="1090"/>
      <c r="E2846" s="1091">
        <f>VLOOKUP($B2846,DG!A:D,DG!$B$2,)</f>
        <v>0</v>
      </c>
      <c r="F2846" s="1108" t="str">
        <f>VLOOKUP($B2846,DG!A:D,DG!$C$2,)&amp;": 0,4m2/m"</f>
        <v>Tấm nilông màu cảnh báo: 0,4m2/m</v>
      </c>
      <c r="G2846" s="1091" t="str">
        <f>VLOOKUP($B2846,DG!A:D,DG!$D$2,)</f>
        <v>m2</v>
      </c>
      <c r="H2846" s="1851">
        <f>0.4*H2841</f>
        <v>0</v>
      </c>
      <c r="I2846" s="1259">
        <f t="shared" si="147"/>
        <v>0</v>
      </c>
      <c r="J2846" s="1081"/>
      <c r="K2846" s="1081"/>
      <c r="L2846" s="1082"/>
      <c r="M2846" s="975">
        <v>2000</v>
      </c>
    </row>
    <row r="2847" spans="1:13" s="1083" customFormat="1" ht="25.2" hidden="1" customHeight="1">
      <c r="A2847" s="1153">
        <f t="shared" si="148"/>
        <v>0</v>
      </c>
      <c r="B2847" s="1326" t="s">
        <v>1521</v>
      </c>
      <c r="C2847" s="1326"/>
      <c r="D2847" s="1078"/>
      <c r="E2847" s="1091">
        <f>VLOOKUP($B2847,DG!A:D,DG!$B$2,)</f>
        <v>0</v>
      </c>
      <c r="F2847" s="1108" t="str">
        <f>VLOOKUP($B2847,DG!A:D,DG!$C$2,)</f>
        <v>Ống PVC D140x6,7mm</v>
      </c>
      <c r="G2847" s="1091" t="str">
        <f>VLOOKUP($B2847,DG!A:D,DG!$D$2,)</f>
        <v>m</v>
      </c>
      <c r="H2847" s="1851">
        <f>1*H2841</f>
        <v>0</v>
      </c>
      <c r="I2847" s="1259">
        <f t="shared" si="147"/>
        <v>0</v>
      </c>
      <c r="J2847" s="1081"/>
      <c r="K2847" s="1081"/>
      <c r="L2847" s="1082"/>
      <c r="M2847" s="975">
        <v>2000</v>
      </c>
    </row>
    <row r="2848" spans="1:13" s="1083" customFormat="1" ht="25.2" hidden="1" customHeight="1">
      <c r="A2848" s="1153">
        <f t="shared" si="148"/>
        <v>0</v>
      </c>
      <c r="B2848" s="1326" t="s">
        <v>1682</v>
      </c>
      <c r="C2848" s="1326"/>
      <c r="D2848" s="1090"/>
      <c r="E2848" s="1091" t="str">
        <f>VLOOKUP($B2848,DG!A:D,DG!$B$2,)</f>
        <v>03.7000</v>
      </c>
      <c r="F2848" s="1108" t="str">
        <f>VLOOKUP($B2848,DG!A:D,DG!$C$2,)&amp;" + ñaép ñaù"</f>
        <v>Đắp cát  + ñaép ñaù</v>
      </c>
      <c r="G2848" s="1091" t="str">
        <f>VLOOKUP($B2848,DG!A:D,DG!$D$2,)</f>
        <v>m3</v>
      </c>
      <c r="H2848" s="1851">
        <f>H2843+H2844</f>
        <v>0</v>
      </c>
      <c r="I2848" s="1259">
        <f t="shared" si="147"/>
        <v>0</v>
      </c>
      <c r="J2848" s="1081"/>
      <c r="K2848" s="1081"/>
      <c r="L2848" s="1082"/>
      <c r="M2848" s="975">
        <v>2000</v>
      </c>
    </row>
    <row r="2849" spans="1:14" s="1083" customFormat="1" ht="25.2" hidden="1" customHeight="1">
      <c r="A2849" s="1153">
        <f t="shared" si="148"/>
        <v>0</v>
      </c>
      <c r="B2849" s="1326" t="s">
        <v>144</v>
      </c>
      <c r="C2849" s="1326"/>
      <c r="D2849" s="1090"/>
      <c r="E2849" s="1091" t="str">
        <f>VLOOKUP($B2849,DG!A:D,DG!$B$2,)</f>
        <v>03.3103</v>
      </c>
      <c r="F2849" s="1108" t="str">
        <f>VLOOKUP($B2849,DG!A:D,DG!$C$2,)&amp;" : 0,48m3/m"</f>
        <v>Đào mương cáp ngầm đất cấp 3 : 0,48m3/m</v>
      </c>
      <c r="G2849" s="1091" t="str">
        <f>VLOOKUP($B2849,DG!A:D,DG!$D$2,)</f>
        <v>m3</v>
      </c>
      <c r="H2849" s="1851">
        <f>H2841*0.48</f>
        <v>0</v>
      </c>
      <c r="I2849" s="1259">
        <f t="shared" si="147"/>
        <v>0</v>
      </c>
      <c r="J2849" s="1081"/>
      <c r="K2849" s="1081"/>
      <c r="L2849" s="1082"/>
      <c r="M2849" s="975">
        <v>2000</v>
      </c>
    </row>
    <row r="2850" spans="1:14" s="1083" customFormat="1" ht="25.2" hidden="1" customHeight="1">
      <c r="A2850" s="1153">
        <f t="shared" si="148"/>
        <v>0</v>
      </c>
      <c r="B2850" s="1326" t="s">
        <v>529</v>
      </c>
      <c r="C2850" s="1326"/>
      <c r="D2850" s="1090"/>
      <c r="E2850" s="1091" t="str">
        <f>VLOOKUP($B2850,DG!A:D,DG!$B$2,)</f>
        <v>03.3203</v>
      </c>
      <c r="F2850" s="1108" t="str">
        <f>VLOOKUP($B2850,DG!A:D,DG!$C$2,)&amp;" : 0,16m3/m"</f>
        <v>Đắp đất mương cáp ngầm, đất cấp 3 : 0,16m3/m</v>
      </c>
      <c r="G2850" s="1091" t="str">
        <f>VLOOKUP($B2850,DG!A:D,DG!$D$2,)</f>
        <v>m3</v>
      </c>
      <c r="H2850" s="1851">
        <f>0.16*H2841</f>
        <v>0</v>
      </c>
      <c r="I2850" s="1259">
        <f t="shared" si="147"/>
        <v>0</v>
      </c>
      <c r="J2850" s="1081"/>
      <c r="K2850" s="1081"/>
      <c r="L2850" s="1082"/>
      <c r="M2850" s="975">
        <v>2000</v>
      </c>
      <c r="N2850" s="1133">
        <v>0.47499999999999998</v>
      </c>
    </row>
    <row r="2851" spans="1:14" s="1083" customFormat="1" ht="25.2" hidden="1" customHeight="1">
      <c r="A2851" s="1153">
        <f t="shared" si="148"/>
        <v>0</v>
      </c>
      <c r="B2851" s="1324"/>
      <c r="C2851" s="1324"/>
      <c r="D2851" s="1084">
        <f>IF(H2851&gt;0,D2841+1,D2841)</f>
        <v>0</v>
      </c>
      <c r="E2851" s="1085"/>
      <c r="F2851" s="1086" t="s">
        <v>3777</v>
      </c>
      <c r="G2851" s="1084" t="s">
        <v>2391</v>
      </c>
      <c r="H2851" s="1867">
        <f>H2860</f>
        <v>0</v>
      </c>
      <c r="I2851" s="1259">
        <f t="shared" si="147"/>
        <v>0</v>
      </c>
      <c r="J2851" s="1081"/>
      <c r="K2851" s="1081"/>
      <c r="L2851" s="1082"/>
      <c r="M2851" s="975">
        <v>2000</v>
      </c>
      <c r="N2851" s="1133">
        <v>0.88100000000000001</v>
      </c>
    </row>
    <row r="2852" spans="1:14" s="1083" customFormat="1" ht="25.2" hidden="1" customHeight="1">
      <c r="A2852" s="1153">
        <f t="shared" si="148"/>
        <v>0</v>
      </c>
      <c r="B2852" s="1324"/>
      <c r="C2852" s="1324"/>
      <c r="D2852" s="1078"/>
      <c r="E2852" s="1088"/>
      <c r="F2852" s="1367" t="s">
        <v>2285</v>
      </c>
      <c r="G2852" s="1090"/>
      <c r="H2852" s="1851"/>
      <c r="I2852" s="1259">
        <f t="shared" si="147"/>
        <v>0</v>
      </c>
      <c r="J2852" s="1081"/>
      <c r="K2852" s="1081"/>
      <c r="L2852" s="1082"/>
      <c r="M2852" s="975">
        <v>2000</v>
      </c>
    </row>
    <row r="2853" spans="1:14" s="1083" customFormat="1" ht="25.2" hidden="1" customHeight="1">
      <c r="A2853" s="1153">
        <f t="shared" si="148"/>
        <v>0</v>
      </c>
      <c r="B2853" s="1324" t="s">
        <v>623</v>
      </c>
      <c r="C2853" s="1324"/>
      <c r="D2853" s="1090"/>
      <c r="E2853" s="1091" t="str">
        <f>VLOOKUP($B2853,DG!A:D,DG!$B$2,)</f>
        <v>07.2204</v>
      </c>
      <c r="F2853" s="1092" t="str">
        <f>VLOOKUP($B2853,DG!A:D,DG!$C$2,)</f>
        <v>ÔÁng sắt tráng kẽm D140</v>
      </c>
      <c r="G2853" s="1091" t="str">
        <f>VLOOKUP($B2853,DG!A:D,DG!$D$2,)</f>
        <v>mét</v>
      </c>
      <c r="H2853" s="1851">
        <f>H2851*4</f>
        <v>0</v>
      </c>
      <c r="I2853" s="1259">
        <f t="shared" si="147"/>
        <v>0</v>
      </c>
      <c r="J2853" s="1081"/>
      <c r="K2853" s="1081"/>
      <c r="L2853" s="1082"/>
      <c r="M2853" s="975">
        <v>2000</v>
      </c>
    </row>
    <row r="2854" spans="1:14" s="1083" customFormat="1" ht="25.2" hidden="1" customHeight="1">
      <c r="A2854" s="1153">
        <f t="shared" si="148"/>
        <v>0</v>
      </c>
      <c r="B2854" s="1326" t="s">
        <v>473</v>
      </c>
      <c r="C2854" s="1326"/>
      <c r="D2854" s="1078"/>
      <c r="E2854" s="1091">
        <f>VLOOKUP($B2854,DG!A:D,DG!$B$2,)</f>
        <v>0</v>
      </c>
      <c r="F2854" s="1092" t="str">
        <f>VLOOKUP($B2854,DG!A:D,DG!$C$2,)</f>
        <v>Co sừng 90 độ PVC 140</v>
      </c>
      <c r="G2854" s="1091" t="str">
        <f>VLOOKUP($B2854,DG!A:D,DG!$D$2,)</f>
        <v>cái</v>
      </c>
      <c r="H2854" s="1851">
        <f>H2851*1</f>
        <v>0</v>
      </c>
      <c r="I2854" s="1259">
        <f t="shared" si="147"/>
        <v>0</v>
      </c>
      <c r="J2854" s="1081"/>
      <c r="K2854" s="1081"/>
      <c r="L2854" s="1082"/>
      <c r="M2854" s="975">
        <v>2000</v>
      </c>
    </row>
    <row r="2855" spans="1:14" s="1083" customFormat="1" ht="25.2" hidden="1" customHeight="1">
      <c r="A2855" s="1153">
        <f t="shared" si="148"/>
        <v>0</v>
      </c>
      <c r="B2855" s="1324" t="s">
        <v>120</v>
      </c>
      <c r="C2855" s="1324"/>
      <c r="D2855" s="1090"/>
      <c r="E2855" s="1091" t="str">
        <f>VLOOKUP($B2855,DG!A:D,DG!$B$2,)</f>
        <v>06.3231</v>
      </c>
      <c r="F2855" s="1092" t="str">
        <f>VLOOKUP($B2855,DG!A:D,DG!$C$2,)</f>
        <v>Cổ dê giữ ống STK D140 vào tường+Boulon+long đền+tắc ke sắt</v>
      </c>
      <c r="G2855" s="1091" t="str">
        <f>VLOOKUP($B2855,DG!A:D,DG!$D$2,)</f>
        <v>bộ</v>
      </c>
      <c r="H2855" s="1851">
        <f>H2851*2</f>
        <v>0</v>
      </c>
      <c r="I2855" s="1259">
        <f t="shared" si="147"/>
        <v>0</v>
      </c>
      <c r="J2855" s="1081"/>
      <c r="K2855" s="1081"/>
      <c r="L2855" s="1082"/>
      <c r="M2855" s="975">
        <v>2000</v>
      </c>
    </row>
    <row r="2856" spans="1:14" s="1083" customFormat="1" ht="25.2" hidden="1" customHeight="1">
      <c r="A2856" s="1153">
        <f t="shared" si="148"/>
        <v>0</v>
      </c>
      <c r="B2856" s="1154" t="s">
        <v>1412</v>
      </c>
      <c r="C2856" s="1154"/>
      <c r="D2856" s="1090"/>
      <c r="E2856" s="1091">
        <f>VLOOKUP($B2856,DG!A:D,DG!$B$2,)</f>
        <v>0</v>
      </c>
      <c r="F2856" s="1092" t="str">
        <f>VLOOKUP($B2856,DG!A:D,DG!$C$2,)</f>
        <v>Giá đỡ cáp ngầm (V63x6)</v>
      </c>
      <c r="G2856" s="1091" t="str">
        <f>VLOOKUP($B2856,DG!A:D,DG!$D$2,)</f>
        <v>bộ</v>
      </c>
      <c r="H2856" s="1851">
        <f>H2851</f>
        <v>0</v>
      </c>
      <c r="I2856" s="1259">
        <f t="shared" si="147"/>
        <v>0</v>
      </c>
      <c r="J2856" s="1081"/>
      <c r="K2856" s="1081"/>
      <c r="L2856" s="1082"/>
      <c r="M2856" s="975">
        <v>2000</v>
      </c>
    </row>
    <row r="2857" spans="1:14" s="1083" customFormat="1" ht="25.2" hidden="1" customHeight="1">
      <c r="A2857" s="1153">
        <f t="shared" si="148"/>
        <v>0</v>
      </c>
      <c r="B2857" s="1154" t="s">
        <v>984</v>
      </c>
      <c r="C2857" s="1154"/>
      <c r="D2857" s="1090"/>
      <c r="E2857" s="1091">
        <f>VLOOKUP($B2857,DG!A:D,DG!$B$2,)</f>
        <v>0</v>
      </c>
      <c r="F2857" s="1092" t="str">
        <f>VLOOKUP($B2857,DG!A:D,DG!$C$2,)</f>
        <v>Giá đỡ cáp trung thế</v>
      </c>
      <c r="G2857" s="1091" t="str">
        <f>VLOOKUP($B2857,DG!A:D,DG!$D$2,)</f>
        <v>bộ</v>
      </c>
      <c r="H2857" s="1851">
        <f>H2851*0</f>
        <v>0</v>
      </c>
      <c r="I2857" s="1259">
        <f t="shared" si="147"/>
        <v>0</v>
      </c>
      <c r="J2857" s="1081"/>
      <c r="K2857" s="1081"/>
      <c r="L2857" s="1082"/>
      <c r="M2857" s="975">
        <v>2000</v>
      </c>
    </row>
    <row r="2858" spans="1:14" s="1083" customFormat="1" ht="25.2" hidden="1" customHeight="1">
      <c r="A2858" s="1153">
        <f t="shared" si="148"/>
        <v>0</v>
      </c>
      <c r="B2858" s="1324" t="s">
        <v>1413</v>
      </c>
      <c r="C2858" s="1324"/>
      <c r="D2858" s="1078"/>
      <c r="E2858" s="1091" t="str">
        <f>VLOOKUP($B2858,DG!A:D,DG!$B$2,)</f>
        <v>05.6101</v>
      </c>
      <c r="F2858" s="1092" t="str">
        <f>VLOOKUP($B2858,DG!A:D,DG!$C$2,)</f>
        <v>Lắp Giá đỡ cáp</v>
      </c>
      <c r="G2858" s="1091" t="str">
        <f>VLOOKUP($B2858,DG!A:D,DG!$D$2,)</f>
        <v>bộ</v>
      </c>
      <c r="H2858" s="1851">
        <f>H2856</f>
        <v>0</v>
      </c>
      <c r="I2858" s="1259">
        <f t="shared" si="147"/>
        <v>0</v>
      </c>
      <c r="J2858" s="1081"/>
      <c r="K2858" s="1081"/>
      <c r="L2858" s="1082"/>
      <c r="M2858" s="975">
        <v>2000</v>
      </c>
    </row>
    <row r="2859" spans="1:14" s="1083" customFormat="1" ht="25.2" hidden="1" customHeight="1">
      <c r="A2859" s="1153">
        <f t="shared" si="148"/>
        <v>0</v>
      </c>
      <c r="B2859" s="1324" t="s">
        <v>289</v>
      </c>
      <c r="C2859" s="1324"/>
      <c r="D2859" s="1090"/>
      <c r="E2859" s="1091" t="str">
        <f>VLOOKUP($B2859,DG!A:D,DG!$B$2,)</f>
        <v>06.3191</v>
      </c>
      <c r="F2859" s="1092" t="str">
        <f>VLOOKUP($B2859,DG!A:D,DG!$C$2,)</f>
        <v>Bảng tên trạm, bảng báo nguy hiểm + đinh vít</v>
      </c>
      <c r="G2859" s="1091" t="str">
        <f>VLOOKUP($B2859,DG!A:D,DG!$D$2,)</f>
        <v>bộ</v>
      </c>
      <c r="H2859" s="1851">
        <f>H2851</f>
        <v>0</v>
      </c>
      <c r="I2859" s="1259">
        <f t="shared" si="147"/>
        <v>0</v>
      </c>
      <c r="J2859" s="1081"/>
      <c r="K2859" s="1081"/>
      <c r="L2859" s="1082"/>
      <c r="M2859" s="975">
        <v>2000</v>
      </c>
    </row>
    <row r="2860" spans="1:14" s="1083" customFormat="1" ht="25.2" hidden="1" customHeight="1">
      <c r="A2860" s="1153">
        <f t="shared" si="148"/>
        <v>0</v>
      </c>
      <c r="B2860" s="1324"/>
      <c r="C2860" s="1324"/>
      <c r="D2860" s="1084">
        <f>IF(H2860&gt;0,D2851+1,D2851)</f>
        <v>0</v>
      </c>
      <c r="E2860" s="1085"/>
      <c r="F2860" s="1094" t="s">
        <v>3744</v>
      </c>
      <c r="G2860" s="1084" t="s">
        <v>2391</v>
      </c>
      <c r="H2860" s="1867">
        <f>H2746*0</f>
        <v>0</v>
      </c>
      <c r="I2860" s="1259">
        <f t="shared" si="147"/>
        <v>0</v>
      </c>
      <c r="J2860" s="1081"/>
      <c r="K2860" s="1081"/>
      <c r="L2860" s="1082"/>
      <c r="M2860" s="975">
        <v>2000</v>
      </c>
    </row>
    <row r="2861" spans="1:14" s="1083" customFormat="1" ht="25.2" hidden="1" customHeight="1">
      <c r="A2861" s="1153">
        <f t="shared" si="148"/>
        <v>0</v>
      </c>
      <c r="B2861" s="1324"/>
      <c r="C2861" s="1324"/>
      <c r="D2861" s="1078"/>
      <c r="E2861" s="1088"/>
      <c r="F2861" s="1368" t="s">
        <v>2285</v>
      </c>
      <c r="G2861" s="1078"/>
      <c r="H2861" s="1868"/>
      <c r="I2861" s="1259">
        <f t="shared" si="147"/>
        <v>0</v>
      </c>
      <c r="J2861" s="1081"/>
      <c r="K2861" s="1081"/>
      <c r="L2861" s="1082"/>
      <c r="M2861" s="975">
        <v>2000</v>
      </c>
    </row>
    <row r="2862" spans="1:14" s="1083" customFormat="1" ht="25.2" hidden="1" customHeight="1">
      <c r="A2862" s="1153">
        <f t="shared" si="148"/>
        <v>0</v>
      </c>
      <c r="B2862" s="1154" t="s">
        <v>470</v>
      </c>
      <c r="C2862" s="1154"/>
      <c r="D2862" s="1090"/>
      <c r="E2862" s="1079">
        <f>VLOOKUP($B2862,DG!A:D,DG!$B$2,)</f>
        <v>0</v>
      </c>
      <c r="F2862" s="1080" t="str">
        <f>VLOOKUP($B2862,DG!A:D,DG!$C$2,)&amp;": töø trụ ño ñeám ñeán tuû LBSA"</f>
        <v>Cáp 24kV C/XLPE/DSTA/PVC3x50: töø trụ ño ñeám ñeán tuû LBSA</v>
      </c>
      <c r="G2862" s="1079" t="str">
        <f>VLOOKUP($B2862,DG!A:D,DG!$D$2,)</f>
        <v>mét</v>
      </c>
      <c r="H2862" s="1851">
        <f>(3+10)*1.02*H2860*0</f>
        <v>0</v>
      </c>
      <c r="I2862" s="1259">
        <f t="shared" si="147"/>
        <v>0</v>
      </c>
      <c r="J2862" s="1081"/>
      <c r="K2862" s="1081"/>
      <c r="L2862" s="1082"/>
      <c r="M2862" s="975">
        <v>2000</v>
      </c>
    </row>
    <row r="2863" spans="1:14" s="1083" customFormat="1" ht="25.2" hidden="1" customHeight="1">
      <c r="A2863" s="1153">
        <f t="shared" si="148"/>
        <v>0</v>
      </c>
      <c r="B2863" s="1154" t="s">
        <v>271</v>
      </c>
      <c r="C2863" s="1154"/>
      <c r="D2863" s="1090"/>
      <c r="E2863" s="1079">
        <f>VLOOKUP($B2863,DG!A:D,DG!$B$2,)</f>
        <v>0</v>
      </c>
      <c r="F2863" s="1080" t="str">
        <f>VLOOKUP($B2863,DG!A:D,DG!$C$2,)&amp;": 0,5m/pha"</f>
        <v>Cáp 24KV C/XLPE/PVC 50mm2: 0,5m/pha</v>
      </c>
      <c r="G2863" s="1079" t="str">
        <f>VLOOKUP($B2863,DG!A:D,DG!$D$2,)</f>
        <v>mét</v>
      </c>
      <c r="H2863" s="1851">
        <f>H2860*0.5*3</f>
        <v>0</v>
      </c>
      <c r="I2863" s="1259">
        <f t="shared" si="147"/>
        <v>0</v>
      </c>
      <c r="J2863" s="1081"/>
      <c r="K2863" s="1081"/>
      <c r="L2863" s="1082"/>
      <c r="M2863" s="975">
        <v>2000</v>
      </c>
    </row>
    <row r="2864" spans="1:14" s="1083" customFormat="1" ht="25.2" hidden="1" customHeight="1">
      <c r="A2864" s="1153">
        <f t="shared" si="148"/>
        <v>0</v>
      </c>
      <c r="B2864" s="1154" t="s">
        <v>1355</v>
      </c>
      <c r="C2864" s="1154"/>
      <c r="D2864" s="1090"/>
      <c r="E2864" s="1079">
        <f>VLOOKUP($B2864,DG!A:D,DG!$B$2,)</f>
        <v>0</v>
      </c>
      <c r="F2864" s="1080" t="str">
        <f>VLOOKUP($B2864,DG!A:D,DG!$C$2,)</f>
        <v>Đầu cáp ngầm 24KV 3x50mm2 outdoor</v>
      </c>
      <c r="G2864" s="1079" t="str">
        <f>VLOOKUP($B2864,DG!A:D,DG!$D$2,)</f>
        <v>cái</v>
      </c>
      <c r="H2864" s="1851">
        <f>H2860*2*0</f>
        <v>0</v>
      </c>
      <c r="I2864" s="1259">
        <f t="shared" si="147"/>
        <v>0</v>
      </c>
      <c r="J2864" s="1081"/>
      <c r="K2864" s="1081"/>
      <c r="L2864" s="1082"/>
      <c r="M2864" s="975">
        <v>2000</v>
      </c>
    </row>
    <row r="2865" spans="1:13" s="1083" customFormat="1" ht="25.2" hidden="1" customHeight="1">
      <c r="A2865" s="1153">
        <f t="shared" si="148"/>
        <v>0</v>
      </c>
      <c r="B2865" s="1154" t="s">
        <v>470</v>
      </c>
      <c r="C2865" s="1154"/>
      <c r="D2865" s="1090"/>
      <c r="E2865" s="1079">
        <f>VLOOKUP($B2865,DG!A:D,DG!$B$2,)</f>
        <v>0</v>
      </c>
      <c r="F2865" s="1080" t="str">
        <f>VLOOKUP($B2865,DG!A:D,DG!$C$2,)&amp;": töø tuû LBS ñeán MBA"</f>
        <v>Cáp 24kV C/XLPE/DSTA/PVC3x50: töø tuû LBS ñeán MBA</v>
      </c>
      <c r="G2865" s="1079" t="str">
        <f>VLOOKUP($B2865,DG!A:D,DG!$D$2,)</f>
        <v>mét</v>
      </c>
      <c r="H2865" s="1851">
        <f>(1.2+2.4)*H2860*0</f>
        <v>0</v>
      </c>
      <c r="I2865" s="1259">
        <f t="shared" si="147"/>
        <v>0</v>
      </c>
      <c r="J2865" s="1081"/>
      <c r="K2865" s="1081"/>
      <c r="L2865" s="1082"/>
      <c r="M2865" s="975">
        <v>2000</v>
      </c>
    </row>
    <row r="2866" spans="1:13" s="1083" customFormat="1" ht="25.2" hidden="1" customHeight="1">
      <c r="A2866" s="1153">
        <f t="shared" si="148"/>
        <v>0</v>
      </c>
      <c r="B2866" s="1154" t="s">
        <v>271</v>
      </c>
      <c r="C2866" s="1154"/>
      <c r="D2866" s="1090"/>
      <c r="E2866" s="1079">
        <f>VLOOKUP($B2866,DG!A:D,DG!$B$2,)</f>
        <v>0</v>
      </c>
      <c r="F2866" s="1080" t="str">
        <f>VLOOKUP($B2866,DG!A:D,DG!$C$2,)&amp;": töø tuû LBS ñeán MBA"</f>
        <v>Cáp 24KV C/XLPE/PVC 50mm2: töø tuû LBS ñeán MBA</v>
      </c>
      <c r="G2866" s="1079" t="str">
        <f>VLOOKUP($B2866,DG!A:D,DG!$D$2,)</f>
        <v>mét</v>
      </c>
      <c r="H2866" s="1851">
        <f>H2865*0</f>
        <v>0</v>
      </c>
      <c r="I2866" s="1259">
        <f t="shared" si="147"/>
        <v>0</v>
      </c>
      <c r="J2866" s="1081"/>
      <c r="K2866" s="1081"/>
      <c r="L2866" s="1082"/>
      <c r="M2866" s="975">
        <v>2000</v>
      </c>
    </row>
    <row r="2867" spans="1:13" s="1083" customFormat="1" ht="25.2" hidden="1" customHeight="1">
      <c r="A2867" s="1153">
        <f t="shared" si="148"/>
        <v>0</v>
      </c>
      <c r="B2867" s="1154" t="s">
        <v>1356</v>
      </c>
      <c r="C2867" s="1154"/>
      <c r="D2867" s="1090"/>
      <c r="E2867" s="1079">
        <f>VLOOKUP($B2867,DG!A:D,DG!$B$2,)</f>
        <v>0</v>
      </c>
      <c r="F2867" s="1080" t="str">
        <f>VLOOKUP($B2867,DG!A:D,DG!$C$2,)</f>
        <v>Đầu cáp ngầm 24KV 3x50mm2 indoor</v>
      </c>
      <c r="G2867" s="1079" t="str">
        <f>VLOOKUP($B2867,DG!A:D,DG!$D$2,)</f>
        <v>cái</v>
      </c>
      <c r="H2867" s="1851">
        <f>H2860*3*0</f>
        <v>0</v>
      </c>
      <c r="I2867" s="1259">
        <f t="shared" si="147"/>
        <v>0</v>
      </c>
      <c r="J2867" s="1081"/>
      <c r="K2867" s="1081"/>
      <c r="L2867" s="1082"/>
      <c r="M2867" s="975">
        <v>2000</v>
      </c>
    </row>
    <row r="2868" spans="1:13" s="1083" customFormat="1" ht="25.2" hidden="1" customHeight="1">
      <c r="A2868" s="1153">
        <f t="shared" si="148"/>
        <v>0</v>
      </c>
      <c r="B2868" s="1154" t="s">
        <v>1678</v>
      </c>
      <c r="C2868" s="1154"/>
      <c r="D2868" s="1090"/>
      <c r="E2868" s="1079" t="str">
        <f>VLOOKUP($B2868,DG!A:D,DG!$B$2,)</f>
        <v>07.4312</v>
      </c>
      <c r="F2868" s="1080" t="str">
        <f>VLOOKUP($B2868,DG!A:D,DG!$C$2,)</f>
        <v>Lắp đầu cáp trung thế 3x50mm2, 70mm2</v>
      </c>
      <c r="G2868" s="1079" t="str">
        <f>VLOOKUP($B2868,DG!A:D,DG!$D$2,)</f>
        <v>cái</v>
      </c>
      <c r="H2868" s="1851">
        <f>H2864+H2867</f>
        <v>0</v>
      </c>
      <c r="I2868" s="1259">
        <f t="shared" si="147"/>
        <v>0</v>
      </c>
      <c r="J2868" s="1081"/>
      <c r="K2868" s="1081"/>
      <c r="L2868" s="1082"/>
      <c r="M2868" s="975">
        <v>2000</v>
      </c>
    </row>
    <row r="2869" spans="1:13" s="1083" customFormat="1" ht="25.2" hidden="1" customHeight="1">
      <c r="A2869" s="1153">
        <f t="shared" si="148"/>
        <v>0</v>
      </c>
      <c r="B2869" s="1154" t="s">
        <v>1182</v>
      </c>
      <c r="C2869" s="1154"/>
      <c r="D2869" s="1090"/>
      <c r="E2869" s="1079" t="str">
        <f>VLOOKUP($B2869,DG!A:D,DG!$B$2,)</f>
        <v>07.3405</v>
      </c>
      <c r="F2869" s="1080" t="str">
        <f>VLOOKUP($B2869,DG!A:D,DG!$C$2,)</f>
        <v>Lắp cáp trong ống bảo vệ loại &lt;=6kg</v>
      </c>
      <c r="G2869" s="1079" t="str">
        <f>VLOOKUP($B2869,DG!A:D,DG!$D$2,)</f>
        <v>mét</v>
      </c>
      <c r="H2869" s="1851">
        <f>H2862+H2865</f>
        <v>0</v>
      </c>
      <c r="I2869" s="1259">
        <f t="shared" ref="I2869:I2929" si="149">IF(M2869=$M$23,H2869+J2869-K2869,0)</f>
        <v>0</v>
      </c>
      <c r="J2869" s="1081"/>
      <c r="K2869" s="1081"/>
      <c r="L2869" s="1082"/>
      <c r="M2869" s="975">
        <v>2000</v>
      </c>
    </row>
    <row r="2870" spans="1:13" s="1083" customFormat="1" ht="25.2" hidden="1" customHeight="1">
      <c r="A2870" s="1153">
        <f t="shared" si="148"/>
        <v>0</v>
      </c>
      <c r="B2870" s="1154" t="s">
        <v>1528</v>
      </c>
      <c r="C2870" s="1154"/>
      <c r="D2870" s="1090"/>
      <c r="E2870" s="1079" t="str">
        <f>VLOOKUP($B2870,DG!A:D,DG!$B$2,)</f>
        <v>04.4201</v>
      </c>
      <c r="F2870" s="1080" t="str">
        <f>VLOOKUP($B2870,DG!A:D,DG!$C$2,)</f>
        <v>Lắp cáp đồng xuống thiết bị D ≤ 95mm2</v>
      </c>
      <c r="G2870" s="1079" t="str">
        <f>VLOOKUP($B2870,DG!A:D,DG!$D$2,)</f>
        <v>m</v>
      </c>
      <c r="H2870" s="1851">
        <f>H2863</f>
        <v>0</v>
      </c>
      <c r="I2870" s="1259">
        <f t="shared" si="149"/>
        <v>0</v>
      </c>
      <c r="J2870" s="1081"/>
      <c r="K2870" s="1081"/>
      <c r="L2870" s="1082"/>
      <c r="M2870" s="975">
        <v>2000</v>
      </c>
    </row>
    <row r="2871" spans="1:13" s="1083" customFormat="1" ht="25.2" hidden="1" customHeight="1">
      <c r="A2871" s="1153">
        <f t="shared" si="148"/>
        <v>0</v>
      </c>
      <c r="B2871" s="1154" t="s">
        <v>1352</v>
      </c>
      <c r="C2871" s="1154"/>
      <c r="D2871" s="1090"/>
      <c r="E2871" s="1079">
        <f>VLOOKUP($B2871,DG!A:D,DG!$B$2,)</f>
        <v>0</v>
      </c>
      <c r="F2871" s="1080" t="str">
        <f>VLOOKUP($B2871,DG!A:D,DG!$C$2,)</f>
        <v>Dây rút cáp</v>
      </c>
      <c r="G2871" s="1079" t="str">
        <f>VLOOKUP($B2871,DG!A:D,DG!$D$2,)</f>
        <v>bọc</v>
      </c>
      <c r="H2871" s="1851">
        <f>H2860*2*0</f>
        <v>0</v>
      </c>
      <c r="I2871" s="1259">
        <f t="shared" si="149"/>
        <v>0</v>
      </c>
      <c r="J2871" s="1081"/>
      <c r="K2871" s="1081"/>
      <c r="L2871" s="1082"/>
      <c r="M2871" s="975">
        <v>2000</v>
      </c>
    </row>
    <row r="2872" spans="1:13" s="1083" customFormat="1" ht="25.2" hidden="1" customHeight="1">
      <c r="A2872" s="1153">
        <f t="shared" si="148"/>
        <v>0</v>
      </c>
      <c r="B2872" s="1324"/>
      <c r="C2872" s="1324"/>
      <c r="D2872" s="1084">
        <f>IF(H2872&gt;0,D2860+1,D2860)</f>
        <v>0</v>
      </c>
      <c r="E2872" s="1085"/>
      <c r="F2872" s="1094" t="s">
        <v>3745</v>
      </c>
      <c r="G2872" s="1084" t="s">
        <v>2391</v>
      </c>
      <c r="H2872" s="1867">
        <f>H2746</f>
        <v>0</v>
      </c>
      <c r="I2872" s="1259">
        <f t="shared" si="149"/>
        <v>0</v>
      </c>
      <c r="J2872" s="1081"/>
      <c r="K2872" s="1081"/>
      <c r="L2872" s="1082"/>
      <c r="M2872" s="975">
        <v>2000</v>
      </c>
    </row>
    <row r="2873" spans="1:13" s="1083" customFormat="1" ht="25.2" hidden="1" customHeight="1">
      <c r="A2873" s="1153">
        <f t="shared" si="148"/>
        <v>0</v>
      </c>
      <c r="B2873" s="1324"/>
      <c r="C2873" s="1324"/>
      <c r="D2873" s="1078"/>
      <c r="E2873" s="1088"/>
      <c r="F2873" s="1368" t="s">
        <v>2285</v>
      </c>
      <c r="G2873" s="1078"/>
      <c r="H2873" s="1868"/>
      <c r="I2873" s="1259">
        <f t="shared" si="149"/>
        <v>0</v>
      </c>
      <c r="J2873" s="1081"/>
      <c r="K2873" s="1081"/>
      <c r="L2873" s="1082"/>
      <c r="M2873" s="975">
        <v>2000</v>
      </c>
    </row>
    <row r="2874" spans="1:13" s="1083" customFormat="1" ht="25.2" hidden="1" customHeight="1">
      <c r="A2874" s="1153">
        <f t="shared" si="148"/>
        <v>0</v>
      </c>
      <c r="B2874" s="1154" t="s">
        <v>697</v>
      </c>
      <c r="C2874" s="1154"/>
      <c r="D2874" s="1090"/>
      <c r="E2874" s="1079">
        <f>VLOOKUP($B2874,DG!A:D,DG!$B$2,)</f>
        <v>0</v>
      </c>
      <c r="F2874" s="1080" t="str">
        <f>VLOOKUP($B2874,DG!A:D,DG!$C$2,)&amp;": 7m/1pha"</f>
        <v>Cáp 24KV C/XLPE/PVC 25mm2: 7m/1pha</v>
      </c>
      <c r="G2874" s="1079" t="str">
        <f>VLOOKUP($B2874,DG!A:D,DG!$D$2,)</f>
        <v>mét</v>
      </c>
      <c r="H2874" s="1851">
        <f>H2872*7*3</f>
        <v>0</v>
      </c>
      <c r="I2874" s="1259">
        <f t="shared" si="149"/>
        <v>0</v>
      </c>
      <c r="J2874" s="1081"/>
      <c r="K2874" s="1081"/>
      <c r="L2874" s="1082"/>
      <c r="M2874" s="975">
        <v>2000</v>
      </c>
    </row>
    <row r="2875" spans="1:13" s="1083" customFormat="1" ht="25.2" hidden="1" customHeight="1">
      <c r="A2875" s="1153">
        <f t="shared" si="148"/>
        <v>0</v>
      </c>
      <c r="B2875" s="1154" t="s">
        <v>1115</v>
      </c>
      <c r="C2875" s="1154"/>
      <c r="D2875" s="1090"/>
      <c r="E2875" s="1079">
        <f>VLOOKUP($B2875,DG!A:D,DG!$B$2,)</f>
        <v>0</v>
      </c>
      <c r="F2875" s="1080" t="str">
        <f>VLOOKUP($B2875,DG!A:D,DG!$C$2,)</f>
        <v>Kẹp ép cỡ dây 25mm2</v>
      </c>
      <c r="G2875" s="1079" t="str">
        <f>VLOOKUP($B2875,DG!A:D,DG!$D$2,)</f>
        <v>cái</v>
      </c>
      <c r="H2875" s="1851">
        <f>H2872*3*2</f>
        <v>0</v>
      </c>
      <c r="I2875" s="1259">
        <f t="shared" si="149"/>
        <v>0</v>
      </c>
      <c r="J2875" s="1081"/>
      <c r="K2875" s="1081"/>
      <c r="L2875" s="1082"/>
      <c r="M2875" s="975">
        <v>2000</v>
      </c>
    </row>
    <row r="2876" spans="1:13" s="1083" customFormat="1" ht="25.2" hidden="1" customHeight="1">
      <c r="A2876" s="1153">
        <f t="shared" si="148"/>
        <v>0</v>
      </c>
      <c r="B2876" s="1154" t="s">
        <v>1482</v>
      </c>
      <c r="C2876" s="1154"/>
      <c r="D2876" s="1090"/>
      <c r="E2876" s="1079" t="str">
        <f>VLOOKUP($B2876,DG!A:D,DG!$B$2,)</f>
        <v>04.3007</v>
      </c>
      <c r="F2876" s="1080" t="str">
        <f>VLOOKUP($B2876,DG!A:D,DG!$C$2,)</f>
        <v>Kẹp quai 2/0</v>
      </c>
      <c r="G2876" s="1079" t="str">
        <f>VLOOKUP($B2876,DG!A:D,DG!$D$2,)</f>
        <v>cái</v>
      </c>
      <c r="H2876" s="1851">
        <f>H2872*3*0</f>
        <v>0</v>
      </c>
      <c r="I2876" s="1259">
        <f t="shared" si="149"/>
        <v>0</v>
      </c>
      <c r="J2876" s="1081"/>
      <c r="K2876" s="1081"/>
      <c r="L2876" s="1082"/>
      <c r="M2876" s="975">
        <v>2000</v>
      </c>
    </row>
    <row r="2877" spans="1:13" s="1083" customFormat="1" ht="25.2" hidden="1" customHeight="1">
      <c r="A2877" s="1153">
        <f t="shared" si="148"/>
        <v>0</v>
      </c>
      <c r="B2877" s="1154" t="s">
        <v>1480</v>
      </c>
      <c r="C2877" s="1154"/>
      <c r="D2877" s="1090"/>
      <c r="E2877" s="1079" t="str">
        <f>VLOOKUP($B2877,DG!A:D,DG!$B$2,)</f>
        <v>04.3007</v>
      </c>
      <c r="F2877" s="1080" t="str">
        <f>VLOOKUP($B2877,DG!A:D,DG!$C$2,)&amp;": "</f>
        <v xml:space="preserve">Kẹp hotline 2/0: </v>
      </c>
      <c r="G2877" s="1079" t="str">
        <f>VLOOKUP($B2877,DG!A:D,DG!$D$2,)</f>
        <v>cái</v>
      </c>
      <c r="H2877" s="1851">
        <f>H2876</f>
        <v>0</v>
      </c>
      <c r="I2877" s="1259">
        <f t="shared" si="149"/>
        <v>0</v>
      </c>
      <c r="J2877" s="1081"/>
      <c r="K2877" s="1081"/>
      <c r="L2877" s="1082"/>
      <c r="M2877" s="975">
        <v>2000</v>
      </c>
    </row>
    <row r="2878" spans="1:13" s="1083" customFormat="1" ht="25.2" hidden="1" customHeight="1">
      <c r="A2878" s="1153">
        <f t="shared" si="148"/>
        <v>0</v>
      </c>
      <c r="B2878" s="1154" t="s">
        <v>696</v>
      </c>
      <c r="C2878" s="1154"/>
      <c r="D2878" s="1110"/>
      <c r="E2878" s="1079">
        <f>VLOOKUP($B2878,DG!A:D,DG!$B$2,)</f>
        <v>0</v>
      </c>
      <c r="F2878" s="1080" t="str">
        <f>VLOOKUP($B2878,DG!A:D,DG!$C$2,)</f>
        <v xml:space="preserve">Sứ đứng 24KV </v>
      </c>
      <c r="G2878" s="1079" t="str">
        <f>VLOOKUP($B2878,DG!A:D,DG!$D$2,)</f>
        <v>cái</v>
      </c>
      <c r="H2878" s="1851">
        <f>+H2872*3*4</f>
        <v>0</v>
      </c>
      <c r="I2878" s="1259">
        <f t="shared" si="149"/>
        <v>0</v>
      </c>
      <c r="J2878" s="1081"/>
      <c r="K2878" s="1081"/>
      <c r="L2878" s="1082"/>
      <c r="M2878" s="975">
        <v>2000</v>
      </c>
    </row>
    <row r="2879" spans="1:13" s="1083" customFormat="1" ht="25.2" hidden="1" customHeight="1">
      <c r="A2879" s="1153">
        <f t="shared" si="148"/>
        <v>0</v>
      </c>
      <c r="B2879" s="1154" t="s">
        <v>1268</v>
      </c>
      <c r="C2879" s="1154"/>
      <c r="D2879" s="1090"/>
      <c r="E2879" s="1079">
        <f>VLOOKUP($B2879,DG!A:D,DG!$B$2,)</f>
        <v>0</v>
      </c>
      <c r="F2879" s="1080" t="str">
        <f>VLOOKUP($B2879,DG!A:D,DG!$C$2,)</f>
        <v>Chân sứ đứng D20</v>
      </c>
      <c r="G2879" s="1079" t="str">
        <f>VLOOKUP($B2879,DG!A:D,DG!$D$2,)</f>
        <v>cái</v>
      </c>
      <c r="H2879" s="1851">
        <f>+H2878</f>
        <v>0</v>
      </c>
      <c r="I2879" s="1259">
        <f t="shared" si="149"/>
        <v>0</v>
      </c>
      <c r="J2879" s="1081"/>
      <c r="K2879" s="1081"/>
      <c r="L2879" s="1082"/>
      <c r="M2879" s="975">
        <v>2000</v>
      </c>
    </row>
    <row r="2880" spans="1:13" s="1083" customFormat="1" ht="25.2" hidden="1" customHeight="1">
      <c r="A2880" s="1153">
        <f t="shared" si="148"/>
        <v>0</v>
      </c>
      <c r="B2880" s="1154" t="s">
        <v>347</v>
      </c>
      <c r="C2880" s="1154"/>
      <c r="D2880" s="1090"/>
      <c r="E2880" s="1079" t="str">
        <f>VLOOKUP($B2880,DG!A:D,DG!$B$2,)</f>
        <v>06.1115</v>
      </c>
      <c r="F2880" s="1080" t="str">
        <f>VLOOKUP($B2880,DG!A:D,DG!$C$2,)</f>
        <v>Lắp sứ đứng 24KV</v>
      </c>
      <c r="G2880" s="1079" t="str">
        <f>VLOOKUP($B2880,DG!A:D,DG!$D$2,)</f>
        <v>bộ</v>
      </c>
      <c r="H2880" s="1851">
        <f>H2878</f>
        <v>0</v>
      </c>
      <c r="I2880" s="1259">
        <f t="shared" si="149"/>
        <v>0</v>
      </c>
      <c r="J2880" s="1081"/>
      <c r="K2880" s="1081"/>
      <c r="L2880" s="1082"/>
      <c r="M2880" s="975">
        <v>2000</v>
      </c>
    </row>
    <row r="2881" spans="1:14" s="1083" customFormat="1" ht="25.2" hidden="1" customHeight="1">
      <c r="A2881" s="1153">
        <f t="shared" si="148"/>
        <v>0</v>
      </c>
      <c r="B2881" s="1324"/>
      <c r="C2881" s="1324"/>
      <c r="D2881" s="1084">
        <f>IF(H2881&gt;0,D2872+1,D2872)</f>
        <v>0</v>
      </c>
      <c r="E2881" s="1085"/>
      <c r="F2881" s="1086" t="s">
        <v>3778</v>
      </c>
      <c r="G2881" s="1084" t="s">
        <v>2391</v>
      </c>
      <c r="H2881" s="1867">
        <f>H2746*1</f>
        <v>0</v>
      </c>
      <c r="I2881" s="1259">
        <f t="shared" si="149"/>
        <v>0</v>
      </c>
      <c r="J2881" s="1081"/>
      <c r="K2881" s="1081"/>
      <c r="L2881" s="1082"/>
      <c r="M2881" s="975">
        <v>2000</v>
      </c>
    </row>
    <row r="2882" spans="1:14" s="1083" customFormat="1" ht="25.2" hidden="1" customHeight="1">
      <c r="A2882" s="1153">
        <f t="shared" si="148"/>
        <v>0</v>
      </c>
      <c r="B2882" s="1324"/>
      <c r="C2882" s="1324"/>
      <c r="D2882" s="1078"/>
      <c r="E2882" s="1088"/>
      <c r="F2882" s="1368" t="s">
        <v>2285</v>
      </c>
      <c r="G2882" s="1078"/>
      <c r="H2882" s="1868"/>
      <c r="I2882" s="1259">
        <f t="shared" si="149"/>
        <v>0</v>
      </c>
      <c r="J2882" s="1081"/>
      <c r="K2882" s="1081"/>
      <c r="L2882" s="1082"/>
      <c r="M2882" s="975">
        <v>2000</v>
      </c>
    </row>
    <row r="2883" spans="1:14" s="1083" customFormat="1" ht="25.2" hidden="1" customHeight="1">
      <c r="A2883" s="1153">
        <f t="shared" si="148"/>
        <v>0</v>
      </c>
      <c r="B2883" s="1324" t="s">
        <v>1124</v>
      </c>
      <c r="C2883" s="1324"/>
      <c r="D2883" s="1090"/>
      <c r="E2883" s="1079">
        <f>VLOOKUP($B2883,DG!A:D,DG!$B$2,)</f>
        <v>0</v>
      </c>
      <c r="F2883" s="1080" t="str">
        <f>VLOOKUP($B2883,DG!A:D,DG!$C$2,)</f>
        <v xml:space="preserve">Giá đỡ cáp hạ thế </v>
      </c>
      <c r="G2883" s="1079" t="str">
        <f>VLOOKUP($B2883,DG!A:D,DG!$D$2,)</f>
        <v>bộ</v>
      </c>
      <c r="H2883" s="1851">
        <f>H2881</f>
        <v>0</v>
      </c>
      <c r="I2883" s="1259">
        <f t="shared" si="149"/>
        <v>0</v>
      </c>
      <c r="J2883" s="1081"/>
      <c r="K2883" s="1081"/>
      <c r="L2883" s="1082"/>
      <c r="M2883" s="975">
        <v>2000</v>
      </c>
    </row>
    <row r="2884" spans="1:14" s="1083" customFormat="1" ht="25.2" hidden="1" customHeight="1">
      <c r="A2884" s="1153">
        <f t="shared" si="148"/>
        <v>0</v>
      </c>
      <c r="B2884" s="1324" t="s">
        <v>1413</v>
      </c>
      <c r="C2884" s="1324"/>
      <c r="D2884" s="1090"/>
      <c r="E2884" s="1079" t="str">
        <f>VLOOKUP($B2884,DG!A:D,DG!$B$2,)</f>
        <v>05.6101</v>
      </c>
      <c r="F2884" s="1080" t="str">
        <f>VLOOKUP($B2884,DG!A:D,DG!$C$2,)</f>
        <v>Lắp Giá đỡ cáp</v>
      </c>
      <c r="G2884" s="1079" t="str">
        <f>VLOOKUP($B2884,DG!A:D,DG!$D$2,)</f>
        <v>bộ</v>
      </c>
      <c r="H2884" s="1851">
        <f>H2883</f>
        <v>0</v>
      </c>
      <c r="I2884" s="1259">
        <f t="shared" si="149"/>
        <v>0</v>
      </c>
      <c r="J2884" s="1081"/>
      <c r="K2884" s="1081"/>
      <c r="L2884" s="1082"/>
      <c r="M2884" s="975">
        <v>2000</v>
      </c>
    </row>
    <row r="2885" spans="1:14" s="1083" customFormat="1" ht="25.2" hidden="1" customHeight="1">
      <c r="A2885" s="1153">
        <f t="shared" si="148"/>
        <v>0</v>
      </c>
      <c r="B2885" s="1154"/>
      <c r="C2885" s="1154"/>
      <c r="D2885" s="1084">
        <f>IF(H2885&gt;0,D2881+1,D2881)</f>
        <v>0</v>
      </c>
      <c r="E2885" s="1085"/>
      <c r="F2885" s="1094" t="s">
        <v>3779</v>
      </c>
      <c r="G2885" s="1084" t="s">
        <v>2391</v>
      </c>
      <c r="H2885" s="1888">
        <f>H2860+H2872</f>
        <v>0</v>
      </c>
      <c r="I2885" s="1259">
        <f t="shared" si="149"/>
        <v>0</v>
      </c>
      <c r="J2885" s="1081"/>
      <c r="K2885" s="1081"/>
      <c r="L2885" s="1082"/>
      <c r="M2885" s="975">
        <v>2000</v>
      </c>
    </row>
    <row r="2886" spans="1:14" s="1083" customFormat="1" ht="25.2" hidden="1" customHeight="1">
      <c r="A2886" s="1153">
        <f t="shared" si="148"/>
        <v>0</v>
      </c>
      <c r="B2886" s="1154"/>
      <c r="C2886" s="1154"/>
      <c r="D2886" s="1078"/>
      <c r="E2886" s="1088"/>
      <c r="F2886" s="1368" t="s">
        <v>2285</v>
      </c>
      <c r="G2886" s="1078"/>
      <c r="H2886" s="1851"/>
      <c r="I2886" s="1259">
        <f t="shared" si="149"/>
        <v>0</v>
      </c>
      <c r="J2886" s="1081"/>
      <c r="K2886" s="1081"/>
      <c r="L2886" s="1082"/>
      <c r="M2886" s="975">
        <v>2000</v>
      </c>
    </row>
    <row r="2887" spans="1:14" s="1083" customFormat="1" ht="25.2" hidden="1" customHeight="1">
      <c r="A2887" s="1153">
        <f t="shared" si="148"/>
        <v>0</v>
      </c>
      <c r="B2887" s="1324" t="s">
        <v>1241</v>
      </c>
      <c r="C2887" s="1324"/>
      <c r="D2887" s="1090"/>
      <c r="E2887" s="1079">
        <f>VLOOKUP($B2887,DG!A:D,DG!$B$2,)</f>
        <v>0</v>
      </c>
      <c r="F2887" s="1080" t="e">
        <f>VLOOKUP($B2887,DG!A:D,DG!$C$2,)&amp;": "&amp;#REF!&amp;"x 8m/pha "</f>
        <v>#REF!</v>
      </c>
      <c r="G2887" s="1079" t="str">
        <f>VLOOKUP($B2887,DG!A:D,DG!$D$2,)</f>
        <v>mét</v>
      </c>
      <c r="H2887" s="1894"/>
      <c r="I2887" s="1259">
        <f t="shared" si="149"/>
        <v>0</v>
      </c>
      <c r="J2887" s="1081"/>
      <c r="K2887" s="1081"/>
      <c r="L2887" s="1082"/>
      <c r="M2887" s="975">
        <v>2000</v>
      </c>
      <c r="N2887" s="1083">
        <f>48*(30+6)</f>
        <v>1728</v>
      </c>
    </row>
    <row r="2888" spans="1:14" s="1083" customFormat="1" ht="25.2" hidden="1" customHeight="1">
      <c r="A2888" s="1153">
        <f t="shared" si="148"/>
        <v>0</v>
      </c>
      <c r="B2888" s="1324" t="s">
        <v>1241</v>
      </c>
      <c r="C2888" s="1324"/>
      <c r="D2888" s="1090"/>
      <c r="E2888" s="1079">
        <f>VLOOKUP($B2888,DG!A:D,DG!$B$2,)</f>
        <v>0</v>
      </c>
      <c r="F2888" s="1080" t="e">
        <f>VLOOKUP($B2888,DG!A:D,DG!$C$2,)&amp;": "&amp;#REF!/2&amp;"x 8m/trung tính "</f>
        <v>#REF!</v>
      </c>
      <c r="G2888" s="1079" t="str">
        <f>VLOOKUP($B2888,DG!A:D,DG!$D$2,)</f>
        <v>mét</v>
      </c>
      <c r="H2888" s="1894"/>
      <c r="I2888" s="1259">
        <f t="shared" si="149"/>
        <v>0</v>
      </c>
      <c r="J2888" s="1081"/>
      <c r="K2888" s="1081"/>
      <c r="L2888" s="1082"/>
      <c r="M2888" s="975">
        <v>2000</v>
      </c>
      <c r="N2888" s="1083">
        <f>8*(30+6)</f>
        <v>288</v>
      </c>
    </row>
    <row r="2889" spans="1:14" s="1083" customFormat="1" ht="25.2" hidden="1" customHeight="1">
      <c r="A2889" s="1153">
        <f t="shared" si="148"/>
        <v>0</v>
      </c>
      <c r="B2889" s="1324" t="s">
        <v>448</v>
      </c>
      <c r="C2889" s="1324"/>
      <c r="D2889" s="1090"/>
      <c r="E2889" s="1079" t="str">
        <f>VLOOKUP($B2889,DG!A:D,DG!$B$2,)</f>
        <v>03.4009</v>
      </c>
      <c r="F2889" s="1080" t="str">
        <f>VLOOKUP($B2889,DG!A:D,DG!$C$2,)&amp;": "</f>
        <v xml:space="preserve">Đầu cosse ép Cu 250mm2: </v>
      </c>
      <c r="G2889" s="1079" t="str">
        <f>VLOOKUP($B2889,DG!A:D,DG!$D$2,)</f>
        <v>cái</v>
      </c>
      <c r="H2889" s="1894"/>
      <c r="I2889" s="1259">
        <f t="shared" si="149"/>
        <v>0</v>
      </c>
      <c r="J2889" s="1081"/>
      <c r="K2889" s="1081"/>
      <c r="L2889" s="1082"/>
      <c r="M2889" s="975">
        <v>2000</v>
      </c>
    </row>
    <row r="2890" spans="1:14" s="1083" customFormat="1" ht="25.2" hidden="1" customHeight="1">
      <c r="A2890" s="1153">
        <f t="shared" si="148"/>
        <v>0</v>
      </c>
      <c r="B2890" s="1324" t="s">
        <v>448</v>
      </c>
      <c r="C2890" s="1324"/>
      <c r="D2890" s="1090"/>
      <c r="E2890" s="1079" t="str">
        <f>VLOOKUP($B2890,DG!A:D,DG!$B$2,)</f>
        <v>03.4009</v>
      </c>
      <c r="F2890" s="1080" t="str">
        <f>VLOOKUP($B2890,DG!A:D,DG!$C$2,)&amp;": "</f>
        <v xml:space="preserve">Đầu cosse ép Cu 250mm2: </v>
      </c>
      <c r="G2890" s="1079" t="str">
        <f>VLOOKUP($B2890,DG!A:D,DG!$D$2,)</f>
        <v>cái</v>
      </c>
      <c r="H2890" s="1894"/>
      <c r="I2890" s="1259">
        <f t="shared" si="149"/>
        <v>0</v>
      </c>
      <c r="J2890" s="1081"/>
      <c r="K2890" s="1081"/>
      <c r="L2890" s="1082"/>
      <c r="M2890" s="975">
        <v>2000</v>
      </c>
    </row>
    <row r="2891" spans="1:14" s="1083" customFormat="1" ht="25.2" hidden="1" customHeight="1">
      <c r="A2891" s="1153">
        <f t="shared" si="148"/>
        <v>0</v>
      </c>
      <c r="B2891" s="1324" t="s">
        <v>1072</v>
      </c>
      <c r="C2891" s="1324"/>
      <c r="D2891" s="1090"/>
      <c r="E2891" s="1079">
        <f>VLOOKUP($B2891,DG!A:D,DG!$B$2,)</f>
        <v>0</v>
      </c>
      <c r="F2891" s="1080" t="str">
        <f>VLOOKUP($B2891,DG!A:D,DG!$C$2,)&amp;": "</f>
        <v xml:space="preserve">Chụp đầu cosse  250mm2: </v>
      </c>
      <c r="G2891" s="1079" t="str">
        <f>VLOOKUP($B2891,DG!A:D,DG!$D$2,)</f>
        <v>cái</v>
      </c>
      <c r="H2891" s="1894"/>
      <c r="I2891" s="1259">
        <f t="shared" si="149"/>
        <v>0</v>
      </c>
      <c r="J2891" s="1081"/>
      <c r="K2891" s="1081"/>
      <c r="L2891" s="1082"/>
      <c r="M2891" s="975">
        <v>2000</v>
      </c>
    </row>
    <row r="2892" spans="1:14" s="1083" customFormat="1" ht="25.2" hidden="1" customHeight="1">
      <c r="A2892" s="1153">
        <f t="shared" si="148"/>
        <v>0</v>
      </c>
      <c r="B2892" s="1324" t="s">
        <v>1072</v>
      </c>
      <c r="C2892" s="1324"/>
      <c r="D2892" s="1090"/>
      <c r="E2892" s="1079">
        <f>VLOOKUP($B2892,DG!A:D,DG!$B$2,)</f>
        <v>0</v>
      </c>
      <c r="F2892" s="1080" t="str">
        <f>VLOOKUP($B2892,DG!A:D,DG!$C$2,)&amp;": "</f>
        <v xml:space="preserve">Chụp đầu cosse  250mm2: </v>
      </c>
      <c r="G2892" s="1079" t="str">
        <f>VLOOKUP($B2892,DG!A:D,DG!$D$2,)</f>
        <v>cái</v>
      </c>
      <c r="H2892" s="1894"/>
      <c r="I2892" s="1259">
        <f t="shared" si="149"/>
        <v>0</v>
      </c>
      <c r="J2892" s="1081"/>
      <c r="K2892" s="1081"/>
      <c r="L2892" s="1082"/>
      <c r="M2892" s="975">
        <v>2000</v>
      </c>
    </row>
    <row r="2893" spans="1:14" s="1083" customFormat="1" ht="25.2" hidden="1" customHeight="1">
      <c r="A2893" s="1153">
        <f t="shared" si="148"/>
        <v>0</v>
      </c>
      <c r="B2893" s="1324" t="s">
        <v>1042</v>
      </c>
      <c r="C2893" s="1324"/>
      <c r="D2893" s="1090"/>
      <c r="E2893" s="1079">
        <f>VLOOKUP($B2893,DG!A:D,DG!$B$2,)</f>
        <v>0</v>
      </c>
      <c r="F2893" s="1080" t="str">
        <f>VLOOKUP($B2893,DG!A:D,DG!$C$2,)</f>
        <v xml:space="preserve">Ống PVC D114x4,9mm </v>
      </c>
      <c r="G2893" s="1079" t="str">
        <f>VLOOKUP($B2893,DG!A:D,DG!$D$2,)</f>
        <v>m</v>
      </c>
      <c r="H2893" s="1894"/>
      <c r="I2893" s="1259">
        <f t="shared" si="149"/>
        <v>0</v>
      </c>
      <c r="J2893" s="1081"/>
      <c r="K2893" s="1081"/>
      <c r="L2893" s="1082"/>
      <c r="M2893" s="975">
        <v>2000</v>
      </c>
    </row>
    <row r="2894" spans="1:14" s="1083" customFormat="1" ht="25.2" hidden="1" customHeight="1">
      <c r="A2894" s="1153">
        <f t="shared" si="148"/>
        <v>0</v>
      </c>
      <c r="B2894" s="1154" t="s">
        <v>731</v>
      </c>
      <c r="C2894" s="1154"/>
      <c r="D2894" s="1090"/>
      <c r="E2894" s="1079" t="str">
        <f>VLOOKUP($B2894,DG!A:D,DG!$B$2,)</f>
        <v>06.3231</v>
      </c>
      <c r="F2894" s="1080" t="str">
        <f>VLOOKUP($B2894,DG!A:D,DG!$C$2,)</f>
        <v>Cổ dê kẹp ống PVC Ø 114</v>
      </c>
      <c r="G2894" s="1079" t="str">
        <f>VLOOKUP($B2894,DG!A:D,DG!$D$2,)</f>
        <v>bộ</v>
      </c>
      <c r="H2894" s="1894"/>
      <c r="I2894" s="1259">
        <f t="shared" si="149"/>
        <v>0</v>
      </c>
      <c r="J2894" s="1081"/>
      <c r="K2894" s="1081"/>
      <c r="L2894" s="1082"/>
      <c r="M2894" s="975">
        <v>2000</v>
      </c>
    </row>
    <row r="2895" spans="1:14" s="1083" customFormat="1" ht="25.2" hidden="1" customHeight="1">
      <c r="A2895" s="1153">
        <f t="shared" si="148"/>
        <v>0</v>
      </c>
      <c r="B2895" s="1324" t="s">
        <v>1043</v>
      </c>
      <c r="C2895" s="1324"/>
      <c r="D2895" s="1090"/>
      <c r="E2895" s="1079">
        <f>VLOOKUP($B2895,DG!A:D,DG!$B$2,)</f>
        <v>0</v>
      </c>
      <c r="F2895" s="1080" t="str">
        <f>VLOOKUP($B2895,DG!A:D,DG!$C$2,)</f>
        <v>Co sừng 90 độ PVC 114</v>
      </c>
      <c r="G2895" s="1079" t="str">
        <f>VLOOKUP($B2895,DG!A:D,DG!$D$2,)</f>
        <v>cái</v>
      </c>
      <c r="H2895" s="1894"/>
      <c r="I2895" s="1259">
        <f t="shared" si="149"/>
        <v>0</v>
      </c>
      <c r="J2895" s="1081"/>
      <c r="K2895" s="1081"/>
      <c r="L2895" s="1082"/>
      <c r="M2895" s="975">
        <v>2000</v>
      </c>
    </row>
    <row r="2896" spans="1:14" s="1083" customFormat="1" ht="25.2" hidden="1" customHeight="1">
      <c r="A2896" s="1153">
        <f t="shared" si="148"/>
        <v>0</v>
      </c>
      <c r="B2896" s="1324" t="s">
        <v>2173</v>
      </c>
      <c r="C2896" s="1324"/>
      <c r="D2896" s="1090"/>
      <c r="E2896" s="1079">
        <f>VLOOKUP($B2896,DG!A:D,DG!$B$2,)</f>
        <v>0</v>
      </c>
      <c r="F2896" s="1080" t="str">
        <f>VLOOKUP($B2896,DG!A:D,DG!$C$2,)</f>
        <v>Khâu ven răng trong D114</v>
      </c>
      <c r="G2896" s="1079" t="str">
        <f>VLOOKUP($B2896,DG!A:D,DG!$D$2,)</f>
        <v>cái</v>
      </c>
      <c r="H2896" s="1894"/>
      <c r="I2896" s="1259">
        <f t="shared" si="149"/>
        <v>0</v>
      </c>
      <c r="J2896" s="1081"/>
      <c r="K2896" s="1081"/>
      <c r="L2896" s="1082"/>
      <c r="M2896" s="975">
        <v>2000</v>
      </c>
    </row>
    <row r="2897" spans="1:13" s="1083" customFormat="1" ht="25.2" hidden="1" customHeight="1">
      <c r="A2897" s="1153">
        <f t="shared" si="148"/>
        <v>0</v>
      </c>
      <c r="B2897" s="1324" t="s">
        <v>2174</v>
      </c>
      <c r="C2897" s="1324"/>
      <c r="D2897" s="1090"/>
      <c r="E2897" s="1079">
        <f>VLOOKUP($B2897,DG!A:D,DG!$B$2,)</f>
        <v>0</v>
      </c>
      <c r="F2897" s="1080" t="str">
        <f>VLOOKUP($B2897,DG!A:D,DG!$C$2,)&amp;": "</f>
        <v xml:space="preserve">Khâu ven răng ngoài D114: </v>
      </c>
      <c r="G2897" s="1079" t="str">
        <f>VLOOKUP($B2897,DG!A:D,DG!$D$2,)</f>
        <v>cái</v>
      </c>
      <c r="H2897" s="1894"/>
      <c r="I2897" s="1259">
        <f t="shared" si="149"/>
        <v>0</v>
      </c>
      <c r="J2897" s="1081"/>
      <c r="K2897" s="1081"/>
      <c r="L2897" s="1082"/>
      <c r="M2897" s="975">
        <v>2000</v>
      </c>
    </row>
    <row r="2898" spans="1:13" s="1083" customFormat="1" ht="25.2" hidden="1" customHeight="1">
      <c r="A2898" s="1153">
        <f t="shared" si="148"/>
        <v>0</v>
      </c>
      <c r="B2898" s="1324" t="s">
        <v>726</v>
      </c>
      <c r="C2898" s="1324"/>
      <c r="D2898" s="1090"/>
      <c r="E2898" s="1079">
        <f>VLOOKUP($B2898,DG!A:D,DG!$B$2,)</f>
        <v>0</v>
      </c>
      <c r="F2898" s="1080" t="str">
        <f>VLOOKUP($B2898,DG!A:D,DG!$C$2,)&amp;": "</f>
        <v xml:space="preserve">Keo dán ống PVC (500gr): </v>
      </c>
      <c r="G2898" s="1079" t="str">
        <f>VLOOKUP($B2898,DG!A:D,DG!$D$2,)</f>
        <v>lon</v>
      </c>
      <c r="H2898" s="1894"/>
      <c r="I2898" s="1259">
        <f t="shared" si="149"/>
        <v>0</v>
      </c>
      <c r="J2898" s="1081"/>
      <c r="K2898" s="1081"/>
      <c r="L2898" s="1082"/>
      <c r="M2898" s="975">
        <v>2000</v>
      </c>
    </row>
    <row r="2899" spans="1:13" s="1083" customFormat="1" ht="25.2" hidden="1" customHeight="1">
      <c r="A2899" s="1153">
        <f t="shared" si="148"/>
        <v>0</v>
      </c>
      <c r="B2899" s="1154" t="s">
        <v>6</v>
      </c>
      <c r="C2899" s="1154"/>
      <c r="D2899" s="1090"/>
      <c r="E2899" s="1079"/>
      <c r="F2899" s="1080" t="str">
        <f>VLOOKUP($B2899,DG!A:D,DG!$C$2,)&amp;":"</f>
        <v>Keo silicon bít miệng ống:</v>
      </c>
      <c r="G2899" s="1079" t="str">
        <f>VLOOKUP($B2899,DG!A:D,DG!$D$2,)</f>
        <v>ống</v>
      </c>
      <c r="H2899" s="1894"/>
      <c r="I2899" s="1259">
        <f t="shared" si="149"/>
        <v>0</v>
      </c>
      <c r="J2899" s="1081"/>
      <c r="K2899" s="1081"/>
      <c r="L2899" s="1082"/>
      <c r="M2899" s="975">
        <v>2000</v>
      </c>
    </row>
    <row r="2900" spans="1:13" s="1083" customFormat="1" ht="25.2" hidden="1" customHeight="1">
      <c r="A2900" s="1153">
        <f t="shared" si="148"/>
        <v>0</v>
      </c>
      <c r="B2900" s="1324" t="s">
        <v>1351</v>
      </c>
      <c r="C2900" s="1324"/>
      <c r="D2900" s="1090"/>
      <c r="E2900" s="1079">
        <f>VLOOKUP($B2900,DG!A:D,DG!$B$2,)</f>
        <v>0</v>
      </c>
      <c r="F2900" s="1080" t="str">
        <f>VLOOKUP($B2900,DG!A:D,DG!$C$2,)</f>
        <v>Dây rút cáp</v>
      </c>
      <c r="G2900" s="1079" t="str">
        <f>VLOOKUP($B2900,DG!A:D,DG!$D$2,)</f>
        <v>bọc</v>
      </c>
      <c r="H2900" s="1894"/>
      <c r="I2900" s="1259">
        <f t="shared" si="149"/>
        <v>0</v>
      </c>
      <c r="J2900" s="1081"/>
      <c r="K2900" s="1081"/>
      <c r="L2900" s="1082"/>
      <c r="M2900" s="975">
        <v>2000</v>
      </c>
    </row>
    <row r="2901" spans="1:13" s="1083" customFormat="1" ht="25.2" hidden="1" customHeight="1">
      <c r="A2901" s="1153">
        <f t="shared" si="148"/>
        <v>0</v>
      </c>
      <c r="B2901" s="1154" t="s">
        <v>672</v>
      </c>
      <c r="C2901" s="1154"/>
      <c r="D2901" s="1090"/>
      <c r="E2901" s="1079">
        <f>VLOOKUP($B2901,DG!A:D,DG!$B$2,)</f>
        <v>0</v>
      </c>
      <c r="F2901" s="1080" t="str">
        <f>VLOOKUP($B2901,DG!A:D,DG!$C$2,)</f>
        <v>Băng keo cách điện</v>
      </c>
      <c r="G2901" s="1079" t="str">
        <f>VLOOKUP($B2901,DG!A:D,DG!$D$2,)</f>
        <v>cuộn</v>
      </c>
      <c r="H2901" s="1894"/>
      <c r="I2901" s="1259">
        <f t="shared" si="149"/>
        <v>0</v>
      </c>
      <c r="J2901" s="1081"/>
      <c r="K2901" s="1081"/>
      <c r="L2901" s="1082"/>
      <c r="M2901" s="975">
        <v>2000</v>
      </c>
    </row>
    <row r="2902" spans="1:13" s="1083" customFormat="1" ht="25.2" hidden="1" customHeight="1">
      <c r="A2902" s="1153">
        <f t="shared" si="148"/>
        <v>0</v>
      </c>
      <c r="B2902" s="1154" t="s">
        <v>247</v>
      </c>
      <c r="C2902" s="1154"/>
      <c r="D2902" s="1095"/>
      <c r="E2902" s="1079"/>
      <c r="F2902" s="1080" t="str">
        <f>VLOOKUP($B2902,DG!A:D,DG!$C$2,)&amp;":"</f>
        <v>Lắp cáp đồng xuống thiết bị D &gt; 150mm2:</v>
      </c>
      <c r="G2902" s="1079" t="str">
        <f>VLOOKUP($B2902,DG!A:D,DG!$D$2,)</f>
        <v>m</v>
      </c>
      <c r="H2902" s="1894"/>
      <c r="I2902" s="1259">
        <f t="shared" si="149"/>
        <v>0</v>
      </c>
      <c r="J2902" s="1081"/>
      <c r="K2902" s="1081"/>
      <c r="L2902" s="1082"/>
      <c r="M2902" s="975">
        <v>2000</v>
      </c>
    </row>
    <row r="2903" spans="1:13" s="1083" customFormat="1" ht="25.2" hidden="1" customHeight="1">
      <c r="A2903" s="1153">
        <f t="shared" si="148"/>
        <v>0</v>
      </c>
      <c r="B2903" s="1154"/>
      <c r="C2903" s="1154"/>
      <c r="D2903" s="1084">
        <f>IF(H2903&gt;0,D2885+1,D2885)</f>
        <v>0</v>
      </c>
      <c r="E2903" s="1085"/>
      <c r="F2903" s="1094" t="s">
        <v>3747</v>
      </c>
      <c r="G2903" s="1084" t="s">
        <v>2391</v>
      </c>
      <c r="H2903" s="1888"/>
      <c r="I2903" s="1259">
        <f t="shared" si="149"/>
        <v>0</v>
      </c>
      <c r="J2903" s="1081"/>
      <c r="K2903" s="1081"/>
      <c r="L2903" s="1082"/>
      <c r="M2903" s="975">
        <v>2000</v>
      </c>
    </row>
    <row r="2904" spans="1:13" s="1134" customFormat="1" ht="25.2" hidden="1" customHeight="1">
      <c r="A2904" s="1153">
        <f t="shared" si="148"/>
        <v>0</v>
      </c>
      <c r="B2904" s="1357"/>
      <c r="C2904" s="1357"/>
      <c r="D2904" s="1078"/>
      <c r="E2904" s="1088"/>
      <c r="F2904" s="1368" t="s">
        <v>2285</v>
      </c>
      <c r="G2904" s="1078" t="s">
        <v>2445</v>
      </c>
      <c r="H2904" s="1868"/>
      <c r="I2904" s="1259">
        <f t="shared" si="149"/>
        <v>0</v>
      </c>
      <c r="J2904" s="1081"/>
      <c r="K2904" s="1081"/>
      <c r="L2904" s="1082"/>
      <c r="M2904" s="975">
        <v>2000</v>
      </c>
    </row>
    <row r="2905" spans="1:13" s="1083" customFormat="1" ht="25.2" hidden="1" customHeight="1">
      <c r="A2905" s="1153">
        <f t="shared" si="148"/>
        <v>0</v>
      </c>
      <c r="B2905" s="1324" t="s">
        <v>1826</v>
      </c>
      <c r="C2905" s="1324"/>
      <c r="D2905" s="1110"/>
      <c r="E2905" s="1079" t="str">
        <f>VLOOKUP($B2905,DG!A:D,DG!$B$2,)</f>
        <v>03.1401</v>
      </c>
      <c r="F2905" s="1108" t="str">
        <f>VLOOKUP($B2905,DG!A:D,DG!$C$2,)</f>
        <v xml:space="preserve">Cáp CVV 4x2,5mm2  </v>
      </c>
      <c r="G2905" s="1135" t="str">
        <f>VLOOKUP($B2905,DG!A:D,DG!$D$2,)</f>
        <v>mét</v>
      </c>
      <c r="H2905" s="1851">
        <f>H2903*12</f>
        <v>0</v>
      </c>
      <c r="I2905" s="1259">
        <f t="shared" si="149"/>
        <v>0</v>
      </c>
      <c r="J2905" s="1081"/>
      <c r="K2905" s="1081"/>
      <c r="L2905" s="1082"/>
      <c r="M2905" s="975">
        <v>2000</v>
      </c>
    </row>
    <row r="2906" spans="1:13" s="1083" customFormat="1" ht="25.2" hidden="1" customHeight="1">
      <c r="A2906" s="1153">
        <f t="shared" ref="A2906:A2929" si="150">IF(I2906&gt;0,1,0)</f>
        <v>0</v>
      </c>
      <c r="B2906" s="1324" t="s">
        <v>246</v>
      </c>
      <c r="C2906" s="1324"/>
      <c r="D2906" s="1110"/>
      <c r="E2906" s="1079" t="str">
        <f>VLOOKUP($B2906,DG!A:D,DG!$B$2,)</f>
        <v>05.6101</v>
      </c>
      <c r="F2906" s="1108" t="str">
        <f>VLOOKUP($B2906,DG!A:D,DG!$C$2,)</f>
        <v>Xà kẹp TU, TI U50x32x4 350</v>
      </c>
      <c r="G2906" s="1135" t="str">
        <f>VLOOKUP($B2906,DG!A:D,DG!$D$2,)</f>
        <v>Bộ</v>
      </c>
      <c r="H2906" s="1851">
        <f>H2903*24*0</f>
        <v>0</v>
      </c>
      <c r="I2906" s="1259">
        <f t="shared" si="149"/>
        <v>0</v>
      </c>
      <c r="J2906" s="1081"/>
      <c r="K2906" s="1081"/>
      <c r="L2906" s="1082"/>
      <c r="M2906" s="975">
        <v>2000</v>
      </c>
    </row>
    <row r="2907" spans="1:13" s="1083" customFormat="1" ht="25.2" hidden="1" customHeight="1">
      <c r="A2907" s="1153">
        <f t="shared" si="150"/>
        <v>0</v>
      </c>
      <c r="B2907" s="1324" t="s">
        <v>1869</v>
      </c>
      <c r="C2907" s="1324"/>
      <c r="D2907" s="1090"/>
      <c r="E2907" s="1079" t="str">
        <f>VLOOKUP($B2907,DG!A:D,DG!$B$2,)</f>
        <v>03.4001</v>
      </c>
      <c r="F2907" s="1108" t="str">
        <f>VLOOKUP($B2907,DG!A:D,DG!$C$2,)</f>
        <v xml:space="preserve">Đầu cosse ép Cu 2,5mm2 + bao PVC </v>
      </c>
      <c r="G2907" s="1135" t="str">
        <f>VLOOKUP($B2907,DG!A:D,DG!$D$2,)</f>
        <v>cái</v>
      </c>
      <c r="H2907" s="1851">
        <f>H2903*16*0</f>
        <v>0</v>
      </c>
      <c r="I2907" s="1259">
        <f t="shared" si="149"/>
        <v>0</v>
      </c>
      <c r="J2907" s="1081"/>
      <c r="K2907" s="1081"/>
      <c r="L2907" s="1082"/>
      <c r="M2907" s="975">
        <v>2000</v>
      </c>
    </row>
    <row r="2908" spans="1:13" s="1083" customFormat="1" ht="25.2" hidden="1" customHeight="1">
      <c r="A2908" s="1153">
        <f t="shared" si="150"/>
        <v>0</v>
      </c>
      <c r="B2908" s="1324" t="s">
        <v>1513</v>
      </c>
      <c r="C2908" s="1324"/>
      <c r="D2908" s="1090"/>
      <c r="E2908" s="1079">
        <f>VLOOKUP($B2908,DG!A:D,DG!$B$2,)</f>
        <v>0</v>
      </c>
      <c r="F2908" s="1108" t="str">
        <f>VLOOKUP($B2908,DG!A:D,DG!$C$2,)</f>
        <v>Dây điện đôi 16/10</v>
      </c>
      <c r="G2908" s="1135" t="str">
        <f>VLOOKUP($B2908,DG!A:D,DG!$D$2,)</f>
        <v>mét</v>
      </c>
      <c r="H2908" s="1851">
        <f>6*H2903*0</f>
        <v>0</v>
      </c>
      <c r="I2908" s="1259">
        <f t="shared" si="149"/>
        <v>0</v>
      </c>
      <c r="J2908" s="1081"/>
      <c r="K2908" s="1081"/>
      <c r="L2908" s="1082"/>
      <c r="M2908" s="975">
        <v>2000</v>
      </c>
    </row>
    <row r="2909" spans="1:13" s="1083" customFormat="1" ht="25.2" hidden="1" customHeight="1">
      <c r="A2909" s="1153">
        <f t="shared" si="150"/>
        <v>0</v>
      </c>
      <c r="B2909" s="1324" t="s">
        <v>1114</v>
      </c>
      <c r="C2909" s="1324"/>
      <c r="D2909" s="1090"/>
      <c r="E2909" s="1079">
        <f>VLOOKUP($B2909,DG!A:D,DG!$B$2,)</f>
        <v>0</v>
      </c>
      <c r="F2909" s="1108" t="str">
        <f>VLOOKUP($B2909,DG!A:D,DG!$C$2,)&amp;" (ñaáu TU)"</f>
        <v>Kẹp ép cỡ dây 25mm2 (ñaáu TU)</v>
      </c>
      <c r="G2909" s="1135" t="str">
        <f>VLOOKUP($B2909,DG!A:D,DG!$D$2,)</f>
        <v>cái</v>
      </c>
      <c r="H2909" s="1851">
        <f>+H2903*3*0</f>
        <v>0</v>
      </c>
      <c r="I2909" s="1259">
        <f t="shared" si="149"/>
        <v>0</v>
      </c>
      <c r="J2909" s="1081"/>
      <c r="K2909" s="1081"/>
      <c r="L2909" s="1082"/>
      <c r="M2909" s="975">
        <v>2000</v>
      </c>
    </row>
    <row r="2910" spans="1:13" s="1083" customFormat="1" ht="25.2" hidden="1" customHeight="1">
      <c r="A2910" s="1153">
        <f t="shared" si="150"/>
        <v>0</v>
      </c>
      <c r="B2910" s="1324" t="s">
        <v>2147</v>
      </c>
      <c r="C2910" s="1324"/>
      <c r="D2910" s="1090"/>
      <c r="E2910" s="1079" t="str">
        <f>VLOOKUP($B2910,DG!A:D,DG!$B$2,)</f>
        <v>07.2403</v>
      </c>
      <c r="F2910" s="1108" t="str">
        <f>VLOOKUP($B2910,DG!A:D,DG!$C$2,)</f>
        <v>Ống PVC D42x2,1mm</v>
      </c>
      <c r="G2910" s="1135" t="str">
        <f>VLOOKUP($B2910,DG!A:D,DG!$D$2,)</f>
        <v>m</v>
      </c>
      <c r="H2910" s="1851">
        <f>H2921*6</f>
        <v>0</v>
      </c>
      <c r="I2910" s="1259">
        <f t="shared" si="149"/>
        <v>0</v>
      </c>
      <c r="J2910" s="1081"/>
      <c r="K2910" s="1081"/>
      <c r="L2910" s="1082"/>
      <c r="M2910" s="975">
        <v>2000</v>
      </c>
    </row>
    <row r="2911" spans="1:13" s="1083" customFormat="1" ht="25.2" hidden="1" customHeight="1">
      <c r="A2911" s="1153">
        <f t="shared" si="150"/>
        <v>0</v>
      </c>
      <c r="B2911" s="1154" t="s">
        <v>204</v>
      </c>
      <c r="C2911" s="1154"/>
      <c r="D2911" s="1090"/>
      <c r="E2911" s="1079" t="str">
        <f>VLOOKUP($B2911,DG!A:D,DG!$B$2,)</f>
        <v>06.3231</v>
      </c>
      <c r="F2911" s="1108" t="str">
        <f>VLOOKUP($B2911,DG!A:D,DG!$C$2,)</f>
        <v>Cổ dê giữ ống PVC D42</v>
      </c>
      <c r="G2911" s="1135" t="str">
        <f>VLOOKUP($B2911,DG!A:D,DG!$D$2,)</f>
        <v>bộ</v>
      </c>
      <c r="H2911" s="1851">
        <f>H2903*4</f>
        <v>0</v>
      </c>
      <c r="I2911" s="1259">
        <f t="shared" si="149"/>
        <v>0</v>
      </c>
      <c r="J2911" s="1081"/>
      <c r="K2911" s="1081"/>
      <c r="L2911" s="1082"/>
      <c r="M2911" s="975">
        <v>2000</v>
      </c>
    </row>
    <row r="2912" spans="1:13" s="1083" customFormat="1" ht="25.2" hidden="1" customHeight="1">
      <c r="A2912" s="1153">
        <f t="shared" si="150"/>
        <v>0</v>
      </c>
      <c r="B2912" s="1324" t="s">
        <v>1619</v>
      </c>
      <c r="C2912" s="1324"/>
      <c r="D2912" s="1090"/>
      <c r="E2912" s="1079">
        <f>VLOOKUP($B2912,DG!A:D,DG!$B$2,)</f>
        <v>0</v>
      </c>
      <c r="F2912" s="1108" t="str">
        <f>VLOOKUP($B2912,DG!A:D,DG!$C$2,)</f>
        <v>Co 90 độ PVC 42</v>
      </c>
      <c r="G2912" s="1135" t="str">
        <f>VLOOKUP($B2912,DG!A:D,DG!$D$2,)</f>
        <v>cái</v>
      </c>
      <c r="H2912" s="1851">
        <f>H2903*4</f>
        <v>0</v>
      </c>
      <c r="I2912" s="1259">
        <f t="shared" si="149"/>
        <v>0</v>
      </c>
      <c r="J2912" s="1081"/>
      <c r="K2912" s="1081"/>
      <c r="L2912" s="1082"/>
      <c r="M2912" s="975">
        <v>2000</v>
      </c>
    </row>
    <row r="2913" spans="1:13" s="1083" customFormat="1" ht="25.2" hidden="1" customHeight="1">
      <c r="A2913" s="1153">
        <f t="shared" si="150"/>
        <v>0</v>
      </c>
      <c r="B2913" s="1324" t="s">
        <v>1050</v>
      </c>
      <c r="C2913" s="1324"/>
      <c r="D2913" s="1090"/>
      <c r="E2913" s="1079">
        <f>VLOOKUP($B2913,DG!A:D,DG!$B$2,)</f>
        <v>0</v>
      </c>
      <c r="F2913" s="1108" t="str">
        <f>VLOOKUP($B2913,DG!A:D,DG!$C$2,)</f>
        <v>Co chữ T ống PVC 42</v>
      </c>
      <c r="G2913" s="1135" t="str">
        <f>VLOOKUP($B2913,DG!A:D,DG!$D$2,)</f>
        <v>cái</v>
      </c>
      <c r="H2913" s="1851">
        <f>H2903*5*0</f>
        <v>0</v>
      </c>
      <c r="I2913" s="1259">
        <f t="shared" si="149"/>
        <v>0</v>
      </c>
      <c r="J2913" s="1081"/>
      <c r="K2913" s="1081"/>
      <c r="L2913" s="1082"/>
      <c r="M2913" s="975">
        <v>2000</v>
      </c>
    </row>
    <row r="2914" spans="1:13" s="1083" customFormat="1" ht="25.2" hidden="1" customHeight="1">
      <c r="A2914" s="1153">
        <f t="shared" si="150"/>
        <v>0</v>
      </c>
      <c r="B2914" s="1324" t="s">
        <v>1917</v>
      </c>
      <c r="C2914" s="1324"/>
      <c r="D2914" s="1090"/>
      <c r="E2914" s="1079">
        <f>VLOOKUP($B2914,DG!A:D,DG!$B$2,)</f>
        <v>0</v>
      </c>
      <c r="F2914" s="1108" t="str">
        <f>VLOOKUP($B2914,DG!A:D,DG!$C$2,)</f>
        <v>Nối thẳng ống PVC 42</v>
      </c>
      <c r="G2914" s="1135" t="str">
        <f>VLOOKUP($B2914,DG!A:D,DG!$D$2,)</f>
        <v>cái</v>
      </c>
      <c r="H2914" s="1851">
        <f>H2903*0</f>
        <v>0</v>
      </c>
      <c r="I2914" s="1259">
        <f t="shared" si="149"/>
        <v>0</v>
      </c>
      <c r="J2914" s="1081"/>
      <c r="K2914" s="1081"/>
      <c r="L2914" s="1082"/>
      <c r="M2914" s="975">
        <v>2000</v>
      </c>
    </row>
    <row r="2915" spans="1:13" s="1083" customFormat="1" ht="25.2" hidden="1" customHeight="1">
      <c r="A2915" s="1153">
        <f t="shared" si="150"/>
        <v>0</v>
      </c>
      <c r="B2915" s="1324" t="s">
        <v>697</v>
      </c>
      <c r="C2915" s="1324"/>
      <c r="D2915" s="1090"/>
      <c r="E2915" s="1079">
        <f>VLOOKUP($B2915,DG!A:D,DG!$B$2,)</f>
        <v>0</v>
      </c>
      <c r="F2915" s="1108" t="str">
        <f>VLOOKUP($B2915,DG!A:D,DG!$C$2,)&amp;" ñaáu TU"</f>
        <v>Cáp 24KV C/XLPE/PVC 25mm2 ñaáu TU</v>
      </c>
      <c r="G2915" s="1135" t="str">
        <f>VLOOKUP($B2915,DG!A:D,DG!$D$2,)</f>
        <v>mét</v>
      </c>
      <c r="H2915" s="1851">
        <f>H2903*2.5*3*0</f>
        <v>0</v>
      </c>
      <c r="I2915" s="1259">
        <f t="shared" si="149"/>
        <v>0</v>
      </c>
      <c r="J2915" s="1081"/>
      <c r="K2915" s="1081"/>
      <c r="L2915" s="1082"/>
      <c r="M2915" s="975">
        <v>2000</v>
      </c>
    </row>
    <row r="2916" spans="1:13" s="1083" customFormat="1" ht="25.2" hidden="1" customHeight="1">
      <c r="A2916" s="1153">
        <f t="shared" si="150"/>
        <v>0</v>
      </c>
      <c r="B2916" s="1324" t="s">
        <v>726</v>
      </c>
      <c r="C2916" s="1324"/>
      <c r="D2916" s="1090"/>
      <c r="E2916" s="1079">
        <f>VLOOKUP($B2916,DG!A:D,DG!$B$2,)</f>
        <v>0</v>
      </c>
      <c r="F2916" s="1108" t="str">
        <f>VLOOKUP($B2916,DG!A:D,DG!$C$2,)</f>
        <v>Keo dán ống PVC (500gr)</v>
      </c>
      <c r="G2916" s="1135" t="str">
        <f>VLOOKUP($B2916,DG!A:D,DG!$D$2,)</f>
        <v>lon</v>
      </c>
      <c r="H2916" s="1851">
        <f>H2903</f>
        <v>0</v>
      </c>
      <c r="I2916" s="1259">
        <f t="shared" si="149"/>
        <v>0</v>
      </c>
      <c r="J2916" s="1081"/>
      <c r="K2916" s="1081"/>
      <c r="L2916" s="1082"/>
      <c r="M2916" s="975">
        <v>2000</v>
      </c>
    </row>
    <row r="2917" spans="1:13" s="1083" customFormat="1" ht="25.2" hidden="1" customHeight="1">
      <c r="A2917" s="1153">
        <f t="shared" si="150"/>
        <v>0</v>
      </c>
      <c r="B2917" s="1154" t="s">
        <v>672</v>
      </c>
      <c r="C2917" s="1154"/>
      <c r="D2917" s="1090"/>
      <c r="E2917" s="1079">
        <f>VLOOKUP($B2917,DG!A:D,DG!$B$2,)</f>
        <v>0</v>
      </c>
      <c r="F2917" s="1108" t="str">
        <f>VLOOKUP($B2917,DG!A:D,DG!$C$2,)</f>
        <v>Băng keo cách điện</v>
      </c>
      <c r="G2917" s="1135" t="str">
        <f>VLOOKUP($B2917,DG!A:D,DG!$D$2,)</f>
        <v>cuộn</v>
      </c>
      <c r="H2917" s="1851">
        <f>H2903</f>
        <v>0</v>
      </c>
      <c r="I2917" s="1259">
        <f t="shared" si="149"/>
        <v>0</v>
      </c>
      <c r="J2917" s="1081"/>
      <c r="K2917" s="1081"/>
      <c r="L2917" s="1082"/>
      <c r="M2917" s="975">
        <v>2000</v>
      </c>
    </row>
    <row r="2918" spans="1:13" s="1083" customFormat="1" ht="25.2" hidden="1" customHeight="1">
      <c r="A2918" s="1153">
        <f t="shared" si="150"/>
        <v>0</v>
      </c>
      <c r="B2918" s="1324" t="s">
        <v>2126</v>
      </c>
      <c r="C2918" s="1324"/>
      <c r="D2918" s="1090"/>
      <c r="E2918" s="1079">
        <f>VLOOKUP($B2918,DG!A:D,DG!$B$2,)</f>
        <v>0</v>
      </c>
      <c r="F2918" s="1108" t="str">
        <f>VLOOKUP($B2918,DG!A:D,DG!$C$2,)</f>
        <v>Khâu ven răng trong D42</v>
      </c>
      <c r="G2918" s="1135" t="str">
        <f>VLOOKUP($B2918,DG!A:D,DG!$D$2,)</f>
        <v>cái</v>
      </c>
      <c r="H2918" s="1851">
        <f>H2903*2</f>
        <v>0</v>
      </c>
      <c r="I2918" s="1259">
        <f t="shared" si="149"/>
        <v>0</v>
      </c>
      <c r="J2918" s="1081"/>
      <c r="K2918" s="1081"/>
      <c r="L2918" s="1082"/>
      <c r="M2918" s="975">
        <v>2000</v>
      </c>
    </row>
    <row r="2919" spans="1:13" s="1083" customFormat="1" ht="25.2" hidden="1" customHeight="1">
      <c r="A2919" s="1153">
        <f t="shared" si="150"/>
        <v>0</v>
      </c>
      <c r="B2919" s="1154" t="s">
        <v>959</v>
      </c>
      <c r="C2919" s="1154"/>
      <c r="D2919" s="1090"/>
      <c r="E2919" s="1079">
        <f>VLOOKUP($B2919,DG!A:D,DG!$B$2,)</f>
        <v>0</v>
      </c>
      <c r="F2919" s="1108" t="str">
        <f>VLOOKUP($B2919,DG!A:D,DG!$C$2,)</f>
        <v>Khâu ven răng ngoài D42</v>
      </c>
      <c r="G2919" s="1135" t="str">
        <f>VLOOKUP($B2919,DG!A:D,DG!$D$2,)</f>
        <v>cái</v>
      </c>
      <c r="H2919" s="1851">
        <f>H2903*2</f>
        <v>0</v>
      </c>
      <c r="I2919" s="1259">
        <f t="shared" si="149"/>
        <v>0</v>
      </c>
      <c r="J2919" s="1081"/>
      <c r="K2919" s="1081"/>
      <c r="L2919" s="1082"/>
      <c r="M2919" s="975">
        <v>2000</v>
      </c>
    </row>
    <row r="2920" spans="1:13" s="1083" customFormat="1" ht="25.2" hidden="1" customHeight="1">
      <c r="A2920" s="1153">
        <f t="shared" si="150"/>
        <v>0</v>
      </c>
      <c r="B2920" s="1154" t="s">
        <v>319</v>
      </c>
      <c r="C2920" s="1154"/>
      <c r="D2920" s="1090"/>
      <c r="E2920" s="1079" t="str">
        <f>VLOOKUP($B2920,DG!A:D,DG!$B$2,)</f>
        <v>06.3231</v>
      </c>
      <c r="F2920" s="1108" t="str">
        <f>VLOOKUP($B2920,DG!A:D,DG!$C$2,)</f>
        <v>Cổ dê CDĐKĐT( bắt thùng điện kế)</v>
      </c>
      <c r="G2920" s="1135" t="str">
        <f>VLOOKUP($B2920,DG!A:D,DG!$D$2,)</f>
        <v>bộ</v>
      </c>
      <c r="H2920" s="1851">
        <f>H2903*2*0</f>
        <v>0</v>
      </c>
      <c r="I2920" s="1259">
        <f t="shared" si="149"/>
        <v>0</v>
      </c>
      <c r="J2920" s="1081"/>
      <c r="K2920" s="1081"/>
      <c r="L2920" s="1082"/>
      <c r="M2920" s="975">
        <v>2000</v>
      </c>
    </row>
    <row r="2921" spans="1:13" s="1083" customFormat="1" ht="25.2" hidden="1" customHeight="1">
      <c r="A2921" s="1153">
        <f t="shared" si="150"/>
        <v>0</v>
      </c>
      <c r="B2921" s="1154" t="s">
        <v>1919</v>
      </c>
      <c r="C2921" s="1154"/>
      <c r="D2921" s="1090"/>
      <c r="E2921" s="1079" t="str">
        <f>VLOOKUP($B2921,DG!A:D,DG!$B$2,)</f>
        <v>05.1101</v>
      </c>
      <c r="F2921" s="1108" t="str">
        <f>VLOOKUP($B2921,DG!A:D,DG!$C$2,)</f>
        <v>Thùng điện kế 450x300x200mm đo đếm trung thế</v>
      </c>
      <c r="G2921" s="1135" t="str">
        <f>VLOOKUP($B2921,DG!A:D,DG!$D$2,)</f>
        <v>cái</v>
      </c>
      <c r="H2921" s="1851">
        <f>H2903</f>
        <v>0</v>
      </c>
      <c r="I2921" s="1259">
        <f t="shared" si="149"/>
        <v>0</v>
      </c>
      <c r="J2921" s="1081"/>
      <c r="K2921" s="1081"/>
      <c r="L2921" s="1082"/>
      <c r="M2921" s="975">
        <v>2000</v>
      </c>
    </row>
    <row r="2922" spans="1:13" s="1083" customFormat="1" ht="25.2" hidden="1" customHeight="1">
      <c r="A2922" s="1153">
        <f t="shared" si="150"/>
        <v>0</v>
      </c>
      <c r="B2922" s="1154" t="s">
        <v>6</v>
      </c>
      <c r="C2922" s="1154"/>
      <c r="D2922" s="1090"/>
      <c r="E2922" s="1079">
        <f>VLOOKUP($B2922,DG!A:D,DG!$B$2,)</f>
        <v>0</v>
      </c>
      <c r="F2922" s="1108" t="str">
        <f>VLOOKUP($B2922,DG!A:D,DG!$C$2,)</f>
        <v>Keo silicon bít miệng ống</v>
      </c>
      <c r="G2922" s="1135" t="str">
        <f>VLOOKUP($B2922,DG!A:D,DG!$D$2,)</f>
        <v>ống</v>
      </c>
      <c r="H2922" s="1851">
        <f>H2903*2</f>
        <v>0</v>
      </c>
      <c r="I2922" s="1259">
        <f t="shared" si="149"/>
        <v>0</v>
      </c>
      <c r="J2922" s="1081"/>
      <c r="K2922" s="1081"/>
      <c r="L2922" s="1082"/>
      <c r="M2922" s="975">
        <v>2000</v>
      </c>
    </row>
    <row r="2923" spans="1:13" s="1083" customFormat="1" ht="25.2" hidden="1" customHeight="1">
      <c r="A2923" s="1153">
        <f t="shared" si="150"/>
        <v>0</v>
      </c>
      <c r="B2923" s="1154" t="s">
        <v>2145</v>
      </c>
      <c r="C2923" s="1154"/>
      <c r="D2923" s="1090"/>
      <c r="E2923" s="1079">
        <f>VLOOKUP($B2923,DG!A:D,DG!$B$2,)</f>
        <v>0</v>
      </c>
      <c r="F2923" s="1108" t="str">
        <f>VLOOKUP($B2923,DG!A:D,DG!$C$2,)</f>
        <v>Dây đồng trần mềm dẹt</v>
      </c>
      <c r="G2923" s="1135" t="str">
        <f>VLOOKUP($B2923,DG!A:D,DG!$D$2,)</f>
        <v>mét</v>
      </c>
      <c r="H2923" s="1851">
        <f>H2903*4</f>
        <v>0</v>
      </c>
      <c r="I2923" s="1259">
        <f t="shared" si="149"/>
        <v>0</v>
      </c>
      <c r="J2923" s="1081"/>
      <c r="K2923" s="1081"/>
      <c r="L2923" s="1082"/>
      <c r="M2923" s="975">
        <v>2000</v>
      </c>
    </row>
    <row r="2924" spans="1:13" s="1083" customFormat="1" ht="25.2" hidden="1" customHeight="1">
      <c r="A2924" s="1153">
        <f t="shared" si="150"/>
        <v>0</v>
      </c>
      <c r="B2924" s="1154" t="s">
        <v>1035</v>
      </c>
      <c r="C2924" s="1154"/>
      <c r="D2924" s="1090"/>
      <c r="E2924" s="1079">
        <v>0</v>
      </c>
      <c r="F2924" s="1108" t="str">
        <f>VLOOKUP($B2924,DG!A:D,DG!$C$2,)&amp;" : 2 thanh daøi 0,5m"</f>
        <v>Sắt góc L50 x50 x5 : 2 thanh daøi 0,5m</v>
      </c>
      <c r="G2924" s="1135" t="str">
        <f>VLOOKUP($B2924,DG!A:D,DG!$D$2,)</f>
        <v>kg</v>
      </c>
      <c r="H2924" s="1851">
        <f>3.77*H2903</f>
        <v>0</v>
      </c>
      <c r="I2924" s="1259">
        <f t="shared" si="149"/>
        <v>0</v>
      </c>
      <c r="J2924" s="1081"/>
      <c r="K2924" s="1081"/>
      <c r="L2924" s="1082"/>
      <c r="M2924" s="975">
        <v>2000</v>
      </c>
    </row>
    <row r="2925" spans="1:13" s="1083" customFormat="1" ht="25.2" hidden="1" customHeight="1">
      <c r="A2925" s="1153">
        <f t="shared" si="150"/>
        <v>0</v>
      </c>
      <c r="B2925" s="1154" t="s">
        <v>1353</v>
      </c>
      <c r="C2925" s="1154"/>
      <c r="D2925" s="1090"/>
      <c r="E2925" s="1079">
        <v>0</v>
      </c>
      <c r="F2925" s="1148" t="str">
        <f>VLOOKUP($B2925,DG!A:D,DG!$C$2,)&amp;" baét thuøng ÑKÑT"</f>
        <v>Boulon 12x60+ 2 long đền vuông D14-50x50x3/Zn baét thuøng ÑKÑT</v>
      </c>
      <c r="G2925" s="1135" t="str">
        <f>VLOOKUP($B2925,DG!A:D,DG!$D$2,)</f>
        <v>bộ</v>
      </c>
      <c r="H2925" s="1851">
        <f>4*H2903</f>
        <v>0</v>
      </c>
      <c r="I2925" s="1259">
        <f t="shared" si="149"/>
        <v>0</v>
      </c>
      <c r="J2925" s="1081"/>
      <c r="K2925" s="1081"/>
      <c r="L2925" s="1082"/>
      <c r="M2925" s="975">
        <v>2000</v>
      </c>
    </row>
    <row r="2926" spans="1:13" s="1083" customFormat="1" ht="25.2" hidden="1" customHeight="1">
      <c r="A2926" s="1153">
        <f t="shared" si="150"/>
        <v>0</v>
      </c>
      <c r="B2926" s="1154" t="s">
        <v>6</v>
      </c>
      <c r="C2926" s="1154"/>
      <c r="D2926" s="1115"/>
      <c r="E2926" s="1116"/>
      <c r="F2926" s="1105" t="s">
        <v>3780</v>
      </c>
      <c r="G2926" s="1105"/>
      <c r="H2926" s="1875"/>
      <c r="I2926" s="1259">
        <f t="shared" si="149"/>
        <v>0</v>
      </c>
      <c r="J2926" s="1105"/>
      <c r="K2926" s="1105"/>
      <c r="L2926" s="1136"/>
      <c r="M2926" s="975">
        <v>2000</v>
      </c>
    </row>
    <row r="2927" spans="1:13" s="1083" customFormat="1" ht="25.2" hidden="1" customHeight="1">
      <c r="A2927" s="1153">
        <f t="shared" si="150"/>
        <v>0</v>
      </c>
      <c r="B2927" s="1154" t="s">
        <v>1922</v>
      </c>
      <c r="C2927" s="1154"/>
      <c r="D2927" s="1090"/>
      <c r="E2927" s="1079" t="str">
        <f>VLOOKUP($B2927,DG!A:D,DG!$B$2,)</f>
        <v>06.3241</v>
      </c>
      <c r="F2927" s="1108" t="s">
        <v>2466</v>
      </c>
      <c r="G2927" s="1135" t="str">
        <f>VLOOKUP($B2927,DG!A:D,DG!$D$2,)</f>
        <v>bộ</v>
      </c>
      <c r="H2927" s="1851"/>
      <c r="I2927" s="1259">
        <f t="shared" si="149"/>
        <v>0</v>
      </c>
      <c r="J2927" s="1081"/>
      <c r="K2927" s="1081"/>
      <c r="L2927" s="1082"/>
      <c r="M2927" s="975">
        <v>2000</v>
      </c>
    </row>
    <row r="2928" spans="1:13" s="1083" customFormat="1" ht="25.2" hidden="1" customHeight="1">
      <c r="A2928" s="1153">
        <f t="shared" si="150"/>
        <v>0</v>
      </c>
      <c r="B2928" s="1154" t="s">
        <v>809</v>
      </c>
      <c r="C2928" s="1154"/>
      <c r="D2928" s="1090"/>
      <c r="E2928" s="1079" t="str">
        <f>VLOOKUP($B2928,DG!A:D,DG!$B$2,)</f>
        <v>05.6011</v>
      </c>
      <c r="F2928" s="1108" t="s">
        <v>2467</v>
      </c>
      <c r="G2928" s="1135" t="str">
        <f>VLOOKUP($B2928,DG!A:D,DG!$D$2,)</f>
        <v>bộ</v>
      </c>
      <c r="H2928" s="1851"/>
      <c r="I2928" s="1259">
        <f t="shared" si="149"/>
        <v>0</v>
      </c>
      <c r="J2928" s="1081"/>
      <c r="K2928" s="1081"/>
      <c r="L2928" s="1082"/>
      <c r="M2928" s="975">
        <v>2000</v>
      </c>
    </row>
    <row r="2929" spans="1:13" s="1083" customFormat="1" ht="25.2" hidden="1" customHeight="1">
      <c r="A2929" s="1153">
        <f t="shared" si="150"/>
        <v>0</v>
      </c>
      <c r="B2929" s="1154" t="s">
        <v>1353</v>
      </c>
      <c r="C2929" s="1154"/>
      <c r="D2929" s="1095"/>
      <c r="E2929" s="1096">
        <f>VLOOKUP($B2929,DG!A:D,DG!$B$2,)</f>
        <v>0</v>
      </c>
      <c r="F2929" s="1150" t="str">
        <f>VLOOKUP($B2929,DG!A:D,DG!$C$2,)&amp;" baét thuøng ÑKÑT"</f>
        <v>Boulon 12x60+ 2 long đền vuông D14-50x50x3/Zn baét thuøng ÑKÑT</v>
      </c>
      <c r="G2929" s="1151" t="str">
        <f>VLOOKUP($B2929,DG!A:D,DG!$D$2,)</f>
        <v>bộ</v>
      </c>
      <c r="H2929" s="1869">
        <f>4*H2907</f>
        <v>0</v>
      </c>
      <c r="I2929" s="1259">
        <f t="shared" si="149"/>
        <v>0</v>
      </c>
      <c r="J2929" s="1152"/>
      <c r="K2929" s="1152"/>
      <c r="L2929" s="1098"/>
      <c r="M2929" s="975">
        <v>2000</v>
      </c>
    </row>
    <row r="2930" spans="1:13" s="1083" customFormat="1" ht="20.100000000000001" customHeight="1">
      <c r="A2930" s="1153">
        <v>1</v>
      </c>
      <c r="B2930" s="1154"/>
      <c r="C2930" s="1154"/>
      <c r="D2930" s="1149"/>
      <c r="E2930" s="1138"/>
      <c r="F2930" s="1105"/>
      <c r="G2930" s="1139"/>
      <c r="H2930" s="1878"/>
      <c r="I2930" s="1878"/>
      <c r="J2930" s="1140"/>
      <c r="K2930" s="1140"/>
      <c r="L2930" s="1155"/>
      <c r="M2930" s="975">
        <f>M23</f>
        <v>1250</v>
      </c>
    </row>
  </sheetData>
  <autoFilter ref="A24:N2930" xr:uid="{00000000-0009-0000-0000-000015000000}">
    <filterColumn colId="0">
      <customFilters>
        <customFilter operator="notEqual" val=" "/>
      </custom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7" priority="14"/>
  </conditionalFormatting>
  <conditionalFormatting sqref="B1320:C1320">
    <cfRule type="duplicateValues" dxfId="106" priority="13"/>
  </conditionalFormatting>
  <conditionalFormatting sqref="B1321:C1321">
    <cfRule type="duplicateValues" dxfId="105" priority="12"/>
  </conditionalFormatting>
  <conditionalFormatting sqref="B1321:C1321">
    <cfRule type="duplicateValues" dxfId="104" priority="11"/>
  </conditionalFormatting>
  <conditionalFormatting sqref="B1367:C1367">
    <cfRule type="duplicateValues" dxfId="103" priority="10"/>
  </conditionalFormatting>
  <conditionalFormatting sqref="B1367:C1367">
    <cfRule type="duplicateValues" dxfId="102" priority="9"/>
  </conditionalFormatting>
  <conditionalFormatting sqref="B1401:C1401">
    <cfRule type="duplicateValues" dxfId="101" priority="8"/>
  </conditionalFormatting>
  <conditionalFormatting sqref="B1401:C1401">
    <cfRule type="duplicateValues" dxfId="100" priority="7"/>
  </conditionalFormatting>
  <conditionalFormatting sqref="B1364:C1364">
    <cfRule type="duplicateValues" dxfId="99" priority="6"/>
  </conditionalFormatting>
  <conditionalFormatting sqref="B1364:C1364">
    <cfRule type="duplicateValues" dxfId="98" priority="5"/>
  </conditionalFormatting>
  <conditionalFormatting sqref="B1365:C1365">
    <cfRule type="duplicateValues" dxfId="97" priority="4"/>
  </conditionalFormatting>
  <conditionalFormatting sqref="B1365:C1365">
    <cfRule type="duplicateValues" dxfId="96" priority="3"/>
  </conditionalFormatting>
  <conditionalFormatting sqref="B1363:C1363">
    <cfRule type="duplicateValues" dxfId="95" priority="2"/>
  </conditionalFormatting>
  <conditionalFormatting sqref="B1363:C1363">
    <cfRule type="duplicateValues" dxfId="94" priority="1"/>
  </conditionalFormatting>
  <printOptions horizontalCentered="1"/>
  <pageMargins left="0.23622047244094499" right="0.23622047244094499" top="0.63" bottom="0.56000000000000005"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2" filterMode="1">
    <tabColor rgb="FFFFFF00"/>
  </sheetPr>
  <dimension ref="A1:T2813"/>
  <sheetViews>
    <sheetView showZeros="0" topLeftCell="B1" zoomScale="90" zoomScaleNormal="90" workbookViewId="0">
      <pane ySplit="10" topLeftCell="A11" activePane="bottomLeft" state="frozen"/>
      <selection activeCell="D399" sqref="D399"/>
      <selection pane="bottomLeft" activeCell="T13" sqref="T13"/>
    </sheetView>
  </sheetViews>
  <sheetFormatPr defaultColWidth="8.90625" defaultRowHeight="13.2" outlineLevelRow="1" outlineLevelCol="1"/>
  <cols>
    <col min="1" max="1" width="8.1796875" style="1568" customWidth="1"/>
    <col min="2" max="2" width="9.453125" style="1567" customWidth="1"/>
    <col min="3" max="3" width="4.54296875" style="1831" customWidth="1"/>
    <col min="4" max="4" width="8.36328125" style="1524" customWidth="1"/>
    <col min="5" max="5" width="9.81640625" style="61" customWidth="1"/>
    <col min="6" max="6" width="48.36328125" style="998" customWidth="1"/>
    <col min="7" max="7" width="11.1796875" style="61" customWidth="1"/>
    <col min="8" max="8" width="10" style="1818" customWidth="1"/>
    <col min="9" max="15" width="10" style="1818" hidden="1" customWidth="1" outlineLevel="1"/>
    <col min="16" max="16" width="10" style="1820" customWidth="1" collapsed="1"/>
    <col min="17" max="18" width="10" style="53" customWidth="1" outlineLevel="1"/>
    <col min="19" max="19" width="9.90625" style="53" customWidth="1"/>
    <col min="20" max="20" width="11.453125" style="2034" customWidth="1"/>
    <col min="21" max="16384" width="8.90625" style="53"/>
  </cols>
  <sheetData>
    <row r="1" spans="1:20" hidden="1" outlineLevel="1">
      <c r="A1" s="59"/>
      <c r="B1" s="1567">
        <v>1</v>
      </c>
      <c r="C1" s="1012"/>
      <c r="F1" s="997" t="s">
        <v>2322</v>
      </c>
      <c r="G1" s="69">
        <v>1.5</v>
      </c>
      <c r="T1" s="53"/>
    </row>
    <row r="2" spans="1:20" hidden="1" outlineLevel="1">
      <c r="A2" s="59"/>
      <c r="B2" s="1567">
        <v>0</v>
      </c>
      <c r="C2" s="1012"/>
      <c r="F2" s="997" t="s">
        <v>2323</v>
      </c>
      <c r="G2" s="69">
        <v>1.7</v>
      </c>
      <c r="T2" s="53"/>
    </row>
    <row r="3" spans="1:20" ht="16.5" hidden="1" customHeight="1" outlineLevel="1">
      <c r="A3" s="59"/>
      <c r="C3" s="1012"/>
      <c r="F3" s="997" t="s">
        <v>2324</v>
      </c>
      <c r="G3" s="69">
        <v>0.7</v>
      </c>
      <c r="T3" s="53"/>
    </row>
    <row r="4" spans="1:20" hidden="1" outlineLevel="1">
      <c r="A4" s="59"/>
      <c r="C4" s="1012"/>
      <c r="F4" s="997" t="s">
        <v>2325</v>
      </c>
      <c r="G4" s="69">
        <v>0.7</v>
      </c>
      <c r="T4" s="53"/>
    </row>
    <row r="5" spans="1:20" hidden="1" outlineLevel="1">
      <c r="A5" s="59"/>
      <c r="C5" s="1012"/>
      <c r="F5" s="997" t="s">
        <v>2326</v>
      </c>
      <c r="G5" s="809">
        <v>3</v>
      </c>
      <c r="T5" s="53"/>
    </row>
    <row r="6" spans="1:20" ht="37.5" customHeight="1" collapsed="1">
      <c r="A6" s="1566"/>
      <c r="D6" s="1525"/>
      <c r="E6" s="1420" t="s">
        <v>4849</v>
      </c>
      <c r="F6" s="1020"/>
      <c r="G6" s="1020"/>
      <c r="H6" s="1806"/>
      <c r="I6" s="1819"/>
      <c r="J6" s="1819"/>
      <c r="K6" s="1819"/>
      <c r="L6" s="1819"/>
      <c r="M6" s="1819"/>
      <c r="N6" s="1819"/>
      <c r="O6" s="1819"/>
      <c r="P6" s="1807"/>
      <c r="Q6" s="1421"/>
      <c r="R6" s="1421"/>
      <c r="S6" s="1421"/>
    </row>
    <row r="7" spans="1:20" ht="21.75" customHeight="1">
      <c r="D7" s="1526"/>
      <c r="E7" s="1021" t="str">
        <f>CT_tram!D20</f>
        <v>Công trình: Đường dây trung thế và TBA 3P-1250kVA Trang trại tổng hợp Nguyễn Đăng Nam</v>
      </c>
      <c r="F7" s="1020"/>
      <c r="G7" s="984"/>
      <c r="H7" s="1808"/>
      <c r="I7" s="1809"/>
      <c r="J7" s="1809"/>
      <c r="K7" s="1809"/>
      <c r="L7" s="1809"/>
      <c r="M7" s="1809"/>
      <c r="N7" s="1809"/>
      <c r="O7" s="1809"/>
      <c r="P7" s="1808"/>
      <c r="Q7" s="984"/>
      <c r="R7" s="984"/>
      <c r="S7" s="984"/>
    </row>
    <row r="8" spans="1:20" ht="18.75" customHeight="1">
      <c r="D8" s="1525"/>
      <c r="E8" s="930" t="str">
        <f>CT_tram!D21</f>
        <v>Địa điểm: Xã Suối Cao - Huyện Xuân Lộc - Tỉnh Đồng Nai</v>
      </c>
      <c r="F8" s="1020"/>
      <c r="G8" s="1020"/>
      <c r="H8" s="1806"/>
      <c r="I8" s="1819"/>
      <c r="J8" s="1819"/>
      <c r="K8" s="1819"/>
      <c r="L8" s="1819"/>
      <c r="M8" s="1819"/>
      <c r="N8" s="1819"/>
      <c r="O8" s="1819"/>
      <c r="P8" s="1807"/>
      <c r="Q8" s="1421"/>
      <c r="R8" s="1421"/>
      <c r="S8" s="1421"/>
    </row>
    <row r="9" spans="1:20" ht="21" customHeight="1">
      <c r="B9" s="1569" t="s">
        <v>2290</v>
      </c>
      <c r="C9" s="1018" t="s">
        <v>512</v>
      </c>
      <c r="D9" s="1527" t="s">
        <v>4313</v>
      </c>
      <c r="E9" s="3150" t="s">
        <v>1712</v>
      </c>
      <c r="F9" s="3150" t="s">
        <v>2287</v>
      </c>
      <c r="G9" s="3150" t="s">
        <v>2601</v>
      </c>
      <c r="H9" s="1933" t="s">
        <v>4312</v>
      </c>
      <c r="I9" s="1810"/>
      <c r="J9" s="1810"/>
      <c r="K9" s="1810"/>
      <c r="L9" s="1810"/>
      <c r="M9" s="1810"/>
      <c r="N9" s="1810"/>
      <c r="O9" s="1810"/>
      <c r="P9" s="927"/>
      <c r="Q9" s="928"/>
      <c r="R9" s="929"/>
      <c r="S9" s="3154" t="s">
        <v>2607</v>
      </c>
    </row>
    <row r="10" spans="1:20" ht="23.25" customHeight="1">
      <c r="B10" s="1570"/>
      <c r="C10" s="1018" t="s">
        <v>512</v>
      </c>
      <c r="D10" s="1528" t="s">
        <v>4314</v>
      </c>
      <c r="E10" s="3151"/>
      <c r="F10" s="3151"/>
      <c r="G10" s="3151"/>
      <c r="H10" s="1041" t="s">
        <v>4311</v>
      </c>
      <c r="I10" s="1811" t="s">
        <v>2328</v>
      </c>
      <c r="J10" s="1811" t="s">
        <v>2329</v>
      </c>
      <c r="K10" s="1811" t="s">
        <v>2330</v>
      </c>
      <c r="L10" s="1811" t="s">
        <v>190</v>
      </c>
      <c r="M10" s="1811" t="s">
        <v>191</v>
      </c>
      <c r="N10" s="1811" t="s">
        <v>2331</v>
      </c>
      <c r="O10" s="1811" t="s">
        <v>162</v>
      </c>
      <c r="P10" s="1041" t="s">
        <v>4308</v>
      </c>
      <c r="Q10" s="1068" t="s">
        <v>4492</v>
      </c>
      <c r="R10" s="1068" t="s">
        <v>4493</v>
      </c>
      <c r="S10" s="3155"/>
      <c r="T10" s="2036" t="s">
        <v>4197</v>
      </c>
    </row>
    <row r="11" spans="1:20" ht="22.2" hidden="1" customHeight="1">
      <c r="A11" s="59"/>
      <c r="B11" s="1587"/>
      <c r="C11" s="57"/>
      <c r="D11" s="1529">
        <v>4</v>
      </c>
      <c r="E11" s="1398">
        <v>1</v>
      </c>
      <c r="F11" s="1399">
        <v>2</v>
      </c>
      <c r="G11" s="1398">
        <v>3</v>
      </c>
      <c r="H11" s="1812"/>
      <c r="I11" s="1812"/>
      <c r="J11" s="1812"/>
      <c r="K11" s="1812"/>
      <c r="L11" s="1812"/>
      <c r="M11" s="1812"/>
      <c r="N11" s="1812"/>
      <c r="O11" s="1812"/>
      <c r="P11" s="1813"/>
      <c r="Q11" s="1397"/>
      <c r="R11" s="1397"/>
      <c r="S11" s="1397"/>
      <c r="T11" s="1397"/>
    </row>
    <row r="12" spans="1:20" ht="22.2" hidden="1" customHeight="1">
      <c r="A12" s="59">
        <v>1</v>
      </c>
      <c r="B12" s="1587">
        <v>2</v>
      </c>
      <c r="C12" s="57"/>
      <c r="D12" s="1530">
        <v>7</v>
      </c>
      <c r="E12" s="1400">
        <v>4</v>
      </c>
      <c r="F12" s="1401">
        <v>5</v>
      </c>
      <c r="G12" s="1400">
        <v>6</v>
      </c>
      <c r="H12" s="1814">
        <v>8</v>
      </c>
      <c r="I12" s="1814">
        <v>9</v>
      </c>
      <c r="J12" s="1814">
        <v>10</v>
      </c>
      <c r="K12" s="1814">
        <v>11</v>
      </c>
      <c r="L12" s="1814">
        <v>12</v>
      </c>
      <c r="M12" s="1814">
        <v>13</v>
      </c>
      <c r="N12" s="1814">
        <v>14</v>
      </c>
      <c r="O12" s="1814">
        <v>15</v>
      </c>
      <c r="P12" s="1813"/>
      <c r="Q12" s="1397"/>
      <c r="R12" s="1397"/>
      <c r="S12" s="1397"/>
      <c r="T12" s="1397"/>
    </row>
    <row r="13" spans="1:20" ht="22.2" customHeight="1">
      <c r="B13" s="1571"/>
      <c r="C13" s="1018" t="s">
        <v>1960</v>
      </c>
      <c r="D13" s="1531"/>
      <c r="E13" s="1042" t="s">
        <v>501</v>
      </c>
      <c r="F13" s="1043" t="s">
        <v>2294</v>
      </c>
      <c r="G13" s="1044"/>
      <c r="H13" s="1815"/>
      <c r="I13" s="1815"/>
      <c r="J13" s="1815"/>
      <c r="K13" s="1815"/>
      <c r="L13" s="1815"/>
      <c r="M13" s="1815"/>
      <c r="N13" s="1815"/>
      <c r="O13" s="1815"/>
      <c r="P13" s="1815"/>
      <c r="Q13" s="1044"/>
      <c r="R13" s="1044"/>
      <c r="S13" s="1044"/>
      <c r="T13" s="1390"/>
    </row>
    <row r="14" spans="1:20" ht="22.2" hidden="1" customHeight="1">
      <c r="A14" s="56" t="s">
        <v>87</v>
      </c>
      <c r="B14" s="1574" t="s">
        <v>87</v>
      </c>
      <c r="C14" s="62" t="str">
        <f>IF(OR(P14&lt;&gt;0,H14&lt;&gt;0),"x"," ")</f>
        <v xml:space="preserve"> </v>
      </c>
      <c r="D14" s="1532"/>
      <c r="E14" s="1045"/>
      <c r="F14" s="1392" t="s">
        <v>2332</v>
      </c>
      <c r="G14" s="1046" t="s">
        <v>2333</v>
      </c>
      <c r="H14" s="1821">
        <f>SUM(I14:O14)</f>
        <v>0</v>
      </c>
      <c r="I14" s="1822"/>
      <c r="J14" s="1822"/>
      <c r="K14" s="1822">
        <f>IFERROR(HLOOKUP(B14,pp3p1m!$1:$3,3,0),0)</f>
        <v>0</v>
      </c>
      <c r="L14" s="1822">
        <f>IFERROR(HLOOKUP(chitiet!B14,pp1p!$1:$3,3,0),0)</f>
        <v>0</v>
      </c>
      <c r="M14" s="1822"/>
      <c r="N14" s="1822"/>
      <c r="O14" s="1822"/>
      <c r="P14" s="1821">
        <f>H14+Q14-R14</f>
        <v>0</v>
      </c>
      <c r="Q14" s="1047"/>
      <c r="R14" s="1047"/>
      <c r="S14" s="1047"/>
      <c r="T14" s="2035">
        <f>IFERROR(HLOOKUP(B14,pp1p!$1:$3,3,0),0)+IFERROR(HLOOKUP(B14,pp3p1m!$1:$3,3,0),0)</f>
        <v>0</v>
      </c>
    </row>
    <row r="15" spans="1:20" ht="22.2" hidden="1" customHeight="1">
      <c r="A15" s="59"/>
      <c r="B15" s="1577" t="s">
        <v>639</v>
      </c>
      <c r="C15" s="64" t="str">
        <f t="shared" ref="C15:C78" si="0">IF(OR(P15&lt;&gt;0,H15&lt;&gt;0),"x"," ")</f>
        <v xml:space="preserve"> </v>
      </c>
      <c r="D15" s="1533">
        <v>0.16300000000000001</v>
      </c>
      <c r="E15" s="1044" t="str">
        <f>VLOOKUP($B15,DG!A:D,DG!$B$2,)</f>
        <v>03.1013</v>
      </c>
      <c r="F15" s="1049" t="str">
        <f>VLOOKUP($B15,DG!A:D,DG!$C$2,)</f>
        <v>Đào hố móng đất cấp 3 sâu &gt;1m</v>
      </c>
      <c r="G15" s="1044" t="str">
        <f>VLOOKUP($B15,DG!A:D,DG!$D$2,)</f>
        <v>m3</v>
      </c>
      <c r="H15" s="1823">
        <f>$H$14*D15</f>
        <v>0</v>
      </c>
      <c r="I15" s="1823"/>
      <c r="J15" s="1823"/>
      <c r="K15" s="1823"/>
      <c r="L15" s="1823"/>
      <c r="M15" s="1823"/>
      <c r="N15" s="1823"/>
      <c r="O15" s="1823"/>
      <c r="P15" s="1824">
        <f>H15+Q15-R15</f>
        <v>0</v>
      </c>
      <c r="Q15" s="1058"/>
      <c r="R15" s="1058"/>
      <c r="S15" s="1058"/>
      <c r="T15" s="2035">
        <f t="shared" ref="T15:T77" si="1">IFERROR(HLOOKUP(B15,BangKeTru,3,0),0)</f>
        <v>0</v>
      </c>
    </row>
    <row r="16" spans="1:20" ht="22.2" hidden="1" customHeight="1">
      <c r="A16" s="59"/>
      <c r="B16" s="1577" t="s">
        <v>21</v>
      </c>
      <c r="C16" s="64" t="str">
        <f t="shared" si="0"/>
        <v xml:space="preserve"> </v>
      </c>
      <c r="D16" s="1533">
        <v>0.13100000000000001</v>
      </c>
      <c r="E16" s="1044" t="str">
        <f>VLOOKUP($B16,DG!A:D,DG!$B$2,)</f>
        <v>03.4113</v>
      </c>
      <c r="F16" s="1049" t="str">
        <f>VLOOKUP($B16,DG!A:D,DG!$C$2,)</f>
        <v>Đắp đất hố móng, độ chặt k=0,95</v>
      </c>
      <c r="G16" s="1044" t="str">
        <f>VLOOKUP($B16,DG!A:D,DG!$D$2,)</f>
        <v>m3</v>
      </c>
      <c r="H16" s="1823">
        <f>$H$14*D16</f>
        <v>0</v>
      </c>
      <c r="I16" s="1823"/>
      <c r="J16" s="1823"/>
      <c r="K16" s="1823"/>
      <c r="L16" s="1823"/>
      <c r="M16" s="1823"/>
      <c r="N16" s="1823"/>
      <c r="O16" s="1823"/>
      <c r="P16" s="1824">
        <f>H16+Q16-R16</f>
        <v>0</v>
      </c>
      <c r="Q16" s="1058"/>
      <c r="R16" s="1058"/>
      <c r="S16" s="1058"/>
      <c r="T16" s="2035">
        <f t="shared" si="1"/>
        <v>0</v>
      </c>
    </row>
    <row r="17" spans="1:20" ht="22.2" hidden="1" customHeight="1">
      <c r="A17" s="59"/>
      <c r="B17" s="1588" t="s">
        <v>635</v>
      </c>
      <c r="C17" s="64" t="str">
        <f t="shared" si="0"/>
        <v xml:space="preserve"> </v>
      </c>
      <c r="D17" s="1534"/>
      <c r="E17" s="1044" t="str">
        <f>VLOOKUP($B17,DG!A:C,2,)</f>
        <v>02.1482</v>
      </c>
      <c r="F17" s="1049" t="str">
        <f>VLOOKUP(B17,DG!A:C,3,0)</f>
        <v>V/c dụng cụ thi công vào vị trí (cự ly &lt;=100m)</v>
      </c>
      <c r="G17" s="1044" t="str">
        <f>VLOOKUP($B17,DG!A:D,4,0)</f>
        <v>tấn</v>
      </c>
      <c r="H17" s="1823"/>
      <c r="I17" s="1823"/>
      <c r="J17" s="1823"/>
      <c r="K17" s="1823"/>
      <c r="L17" s="1823"/>
      <c r="M17" s="1823"/>
      <c r="N17" s="1823"/>
      <c r="O17" s="1823"/>
      <c r="P17" s="1823"/>
      <c r="Q17" s="1058"/>
      <c r="R17" s="1058"/>
      <c r="S17" s="1058"/>
      <c r="T17" s="2035">
        <f t="shared" si="1"/>
        <v>0</v>
      </c>
    </row>
    <row r="18" spans="1:20" ht="22.2" hidden="1" customHeight="1">
      <c r="A18" s="56" t="s">
        <v>102</v>
      </c>
      <c r="B18" s="1574" t="s">
        <v>102</v>
      </c>
      <c r="C18" s="62" t="str">
        <f t="shared" si="0"/>
        <v xml:space="preserve"> </v>
      </c>
      <c r="D18" s="1532"/>
      <c r="E18" s="1045"/>
      <c r="F18" s="1392" t="s">
        <v>2334</v>
      </c>
      <c r="G18" s="1046" t="s">
        <v>2333</v>
      </c>
      <c r="H18" s="1821">
        <f>SUM(I18:O18)</f>
        <v>0</v>
      </c>
      <c r="I18" s="1822"/>
      <c r="J18" s="1822"/>
      <c r="K18" s="1822">
        <f>IFERROR(HLOOKUP(B18,pp3p1m!$1:$3,3,0),0)</f>
        <v>0</v>
      </c>
      <c r="L18" s="1822">
        <f>IFERROR(HLOOKUP(chitiet!B18,pp1p!$1:$3,3,0),0)</f>
        <v>0</v>
      </c>
      <c r="M18" s="1822"/>
      <c r="N18" s="1822"/>
      <c r="O18" s="1822"/>
      <c r="P18" s="1822"/>
      <c r="Q18" s="1047"/>
      <c r="R18" s="1047"/>
      <c r="S18" s="1047"/>
      <c r="T18" s="2035">
        <f>IFERROR(HLOOKUP(B18,pp1p!$1:$3,3,0),0)+IFERROR(HLOOKUP(B18,pp3p1m!$1:$3,3,0),0)</f>
        <v>0</v>
      </c>
    </row>
    <row r="19" spans="1:20" ht="22.2" hidden="1" customHeight="1">
      <c r="A19" s="59"/>
      <c r="B19" s="1577" t="s">
        <v>636</v>
      </c>
      <c r="C19" s="64" t="str">
        <f t="shared" si="0"/>
        <v xml:space="preserve"> </v>
      </c>
      <c r="D19" s="1535">
        <v>1</v>
      </c>
      <c r="E19" s="1044" t="str">
        <f>VLOOKUP($B19,DG!A:D,DG!$B$2,)</f>
        <v>04.4001</v>
      </c>
      <c r="F19" s="1056" t="str">
        <f>VLOOKUP($B19,DG!A:D,DG!$C$2,)</f>
        <v>Đà cản BTCT 1,2m</v>
      </c>
      <c r="G19" s="1044" t="str">
        <f>VLOOKUP($B19,DG!A:D,DG!$D$2,)</f>
        <v>cái</v>
      </c>
      <c r="H19" s="1823">
        <f t="shared" ref="H19:O20" si="2">H$18*$D19</f>
        <v>0</v>
      </c>
      <c r="I19" s="1823">
        <f t="shared" si="2"/>
        <v>0</v>
      </c>
      <c r="J19" s="1823">
        <f t="shared" si="2"/>
        <v>0</v>
      </c>
      <c r="K19" s="1823">
        <f t="shared" si="2"/>
        <v>0</v>
      </c>
      <c r="L19" s="1823">
        <f t="shared" si="2"/>
        <v>0</v>
      </c>
      <c r="M19" s="1823">
        <f t="shared" si="2"/>
        <v>0</v>
      </c>
      <c r="N19" s="1823">
        <f t="shared" si="2"/>
        <v>0</v>
      </c>
      <c r="O19" s="1823">
        <f t="shared" si="2"/>
        <v>0</v>
      </c>
      <c r="P19" s="1823"/>
      <c r="Q19" s="1053"/>
      <c r="R19" s="1053"/>
      <c r="S19" s="1053"/>
      <c r="T19" s="2035">
        <f t="shared" si="1"/>
        <v>0</v>
      </c>
    </row>
    <row r="20" spans="1:20" ht="22.2" hidden="1" customHeight="1">
      <c r="A20" s="59"/>
      <c r="B20" s="1577" t="s">
        <v>719</v>
      </c>
      <c r="C20" s="64" t="str">
        <f t="shared" si="0"/>
        <v xml:space="preserve"> </v>
      </c>
      <c r="D20" s="1535">
        <v>1</v>
      </c>
      <c r="E20" s="1044"/>
      <c r="F20" s="1056" t="str">
        <f>VLOOKUP($B20,DG!A:D,DG!$C$2,)</f>
        <v>Boulon 22x550/100+ 2 long đền vuông D24-50x50x3/Zn</v>
      </c>
      <c r="G20" s="1044" t="str">
        <f>VLOOKUP($B20,DG!A:D,DG!$D$2,)</f>
        <v>bộ</v>
      </c>
      <c r="H20" s="1823">
        <f t="shared" si="2"/>
        <v>0</v>
      </c>
      <c r="I20" s="1823">
        <f t="shared" si="2"/>
        <v>0</v>
      </c>
      <c r="J20" s="1823">
        <f t="shared" si="2"/>
        <v>0</v>
      </c>
      <c r="K20" s="1823">
        <f t="shared" si="2"/>
        <v>0</v>
      </c>
      <c r="L20" s="1823">
        <f t="shared" si="2"/>
        <v>0</v>
      </c>
      <c r="M20" s="1823">
        <f t="shared" si="2"/>
        <v>0</v>
      </c>
      <c r="N20" s="1823">
        <f t="shared" si="2"/>
        <v>0</v>
      </c>
      <c r="O20" s="1823">
        <f t="shared" si="2"/>
        <v>0</v>
      </c>
      <c r="P20" s="1823"/>
      <c r="Q20" s="1053"/>
      <c r="R20" s="1053"/>
      <c r="S20" s="1053"/>
      <c r="T20" s="2035">
        <f t="shared" si="1"/>
        <v>0</v>
      </c>
    </row>
    <row r="21" spans="1:20" ht="22.2" hidden="1" customHeight="1">
      <c r="A21" s="59"/>
      <c r="B21" s="1577" t="s">
        <v>639</v>
      </c>
      <c r="C21" s="64" t="str">
        <f t="shared" si="0"/>
        <v xml:space="preserve"> </v>
      </c>
      <c r="D21" s="1534">
        <v>0.72</v>
      </c>
      <c r="E21" s="1044" t="str">
        <f>VLOOKUP($B21,DG!A:D,DG!$B$2,)</f>
        <v>03.1013</v>
      </c>
      <c r="F21" s="1049" t="str">
        <f>VLOOKUP($B21,DG!A:D,DG!$C$2,)</f>
        <v>Đào hố móng đất cấp 3 sâu &gt;1m</v>
      </c>
      <c r="G21" s="1044" t="str">
        <f>VLOOKUP($B21,DG!A:D,DG!$D$2,)</f>
        <v>m3</v>
      </c>
      <c r="H21" s="1823"/>
      <c r="I21" s="1823"/>
      <c r="J21" s="1823"/>
      <c r="K21" s="1823"/>
      <c r="L21" s="1823"/>
      <c r="M21" s="1823"/>
      <c r="N21" s="1823"/>
      <c r="O21" s="1823"/>
      <c r="P21" s="1823"/>
      <c r="Q21" s="1058"/>
      <c r="R21" s="1058"/>
      <c r="S21" s="1058"/>
      <c r="T21" s="2035">
        <f t="shared" si="1"/>
        <v>0</v>
      </c>
    </row>
    <row r="22" spans="1:20" ht="22.2" hidden="1" customHeight="1">
      <c r="A22" s="59"/>
      <c r="B22" s="1577" t="s">
        <v>21</v>
      </c>
      <c r="C22" s="64" t="str">
        <f t="shared" si="0"/>
        <v xml:space="preserve"> </v>
      </c>
      <c r="D22" s="1534">
        <f>+D21</f>
        <v>0.72</v>
      </c>
      <c r="E22" s="1044" t="str">
        <f>VLOOKUP($B22,DG!A:D,DG!$B$2,)</f>
        <v>03.4113</v>
      </c>
      <c r="F22" s="1049" t="str">
        <f>VLOOKUP($B22,DG!A:D,DG!$C$2,)</f>
        <v>Đắp đất hố móng, độ chặt k=0,95</v>
      </c>
      <c r="G22" s="1044" t="str">
        <f>VLOOKUP($B22,DG!A:D,DG!$D$2,)</f>
        <v>m3</v>
      </c>
      <c r="H22" s="1823"/>
      <c r="I22" s="1823"/>
      <c r="J22" s="1823"/>
      <c r="K22" s="1823"/>
      <c r="L22" s="1823"/>
      <c r="M22" s="1823"/>
      <c r="N22" s="1823"/>
      <c r="O22" s="1823"/>
      <c r="P22" s="1823"/>
      <c r="Q22" s="1058"/>
      <c r="R22" s="1058"/>
      <c r="S22" s="1058"/>
      <c r="T22" s="2035">
        <f t="shared" si="1"/>
        <v>0</v>
      </c>
    </row>
    <row r="23" spans="1:20" ht="22.2" hidden="1" customHeight="1">
      <c r="A23" s="59"/>
      <c r="B23" s="1577" t="s">
        <v>637</v>
      </c>
      <c r="C23" s="64" t="str">
        <f t="shared" si="0"/>
        <v xml:space="preserve"> </v>
      </c>
      <c r="D23" s="1534"/>
      <c r="E23" s="1044" t="str">
        <f>VLOOKUP($B23,DG!A:D,DG!$B$2,)</f>
        <v>02.1123</v>
      </c>
      <c r="F23" s="1049" t="str">
        <f>VLOOKUP($B23,DG!A:D,DG!$C$2,)</f>
        <v>Bốc dỡ đà cản, đế néo</v>
      </c>
      <c r="G23" s="1044" t="str">
        <f>VLOOKUP($B23,DG!A:D,DG!$D$2,)</f>
        <v>tấn</v>
      </c>
      <c r="H23" s="1823"/>
      <c r="I23" s="1823"/>
      <c r="J23" s="1823"/>
      <c r="K23" s="1823"/>
      <c r="L23" s="1823"/>
      <c r="M23" s="1823"/>
      <c r="N23" s="1823"/>
      <c r="O23" s="1823"/>
      <c r="P23" s="1823"/>
      <c r="Q23" s="1053"/>
      <c r="R23" s="1053"/>
      <c r="S23" s="1053"/>
      <c r="T23" s="2035">
        <f t="shared" si="1"/>
        <v>0</v>
      </c>
    </row>
    <row r="24" spans="1:20" ht="22.2" hidden="1" customHeight="1">
      <c r="A24" s="59"/>
      <c r="B24" s="1588" t="s">
        <v>2069</v>
      </c>
      <c r="C24" s="64" t="str">
        <f t="shared" si="0"/>
        <v xml:space="preserve"> </v>
      </c>
      <c r="D24" s="1534"/>
      <c r="E24" s="1044" t="str">
        <f>VLOOKUP($B24,DG!A:C,2,)</f>
        <v>02.1451</v>
      </c>
      <c r="F24" s="1049" t="str">
        <f>VLOOKUP($B24,DG!A:C,3,)</f>
        <v>V/c đà cản vào vị trí (cự ly &lt;=100m)</v>
      </c>
      <c r="G24" s="1044" t="str">
        <f>VLOOKUP($B24,DG!A:D,4,0)</f>
        <v>tấn</v>
      </c>
      <c r="H24" s="1823"/>
      <c r="I24" s="1823"/>
      <c r="J24" s="1823"/>
      <c r="K24" s="1823"/>
      <c r="L24" s="1823"/>
      <c r="M24" s="1823"/>
      <c r="N24" s="1823"/>
      <c r="O24" s="1823"/>
      <c r="P24" s="1823"/>
      <c r="Q24" s="1058"/>
      <c r="R24" s="1058"/>
      <c r="S24" s="1058"/>
      <c r="T24" s="2035">
        <f t="shared" si="1"/>
        <v>0</v>
      </c>
    </row>
    <row r="25" spans="1:20" ht="22.2" hidden="1" customHeight="1">
      <c r="A25" s="59"/>
      <c r="B25" s="1588" t="s">
        <v>674</v>
      </c>
      <c r="C25" s="64" t="str">
        <f t="shared" si="0"/>
        <v xml:space="preserve"> </v>
      </c>
      <c r="D25" s="1533"/>
      <c r="E25" s="1044" t="str">
        <f>VLOOKUP($B25,DG!A:C,2,)</f>
        <v>02.1241</v>
      </c>
      <c r="F25" s="1049" t="str">
        <f>VLOOKUP($B25,DG!A:C,3,)</f>
        <v>V/c đá dăm ( cự ly &lt;=100m)</v>
      </c>
      <c r="G25" s="1044" t="str">
        <f>VLOOKUP($B25,DG!A:D,4,0)</f>
        <v>m3</v>
      </c>
      <c r="H25" s="1823"/>
      <c r="I25" s="1823"/>
      <c r="J25" s="1823"/>
      <c r="K25" s="1823"/>
      <c r="L25" s="1823"/>
      <c r="M25" s="1823"/>
      <c r="N25" s="1823"/>
      <c r="O25" s="1823"/>
      <c r="P25" s="1823"/>
      <c r="Q25" s="1058"/>
      <c r="R25" s="1058"/>
      <c r="S25" s="1058"/>
      <c r="T25" s="2035">
        <f t="shared" si="1"/>
        <v>0</v>
      </c>
    </row>
    <row r="26" spans="1:20" ht="22.2" hidden="1" customHeight="1">
      <c r="A26" s="59"/>
      <c r="B26" s="1588" t="s">
        <v>635</v>
      </c>
      <c r="C26" s="64" t="str">
        <f t="shared" si="0"/>
        <v xml:space="preserve"> </v>
      </c>
      <c r="D26" s="1534"/>
      <c r="E26" s="1044" t="str">
        <f>VLOOKUP($B26,DG!A:C,2,)</f>
        <v>02.1482</v>
      </c>
      <c r="F26" s="1049" t="str">
        <f>VLOOKUP($B26,DG!A:C,3,)</f>
        <v>V/c dụng cụ thi công vào vị trí (cự ly &lt;=100m)</v>
      </c>
      <c r="G26" s="1044" t="str">
        <f>VLOOKUP($B26,DG!A:D,4,0)</f>
        <v>tấn</v>
      </c>
      <c r="H26" s="1823"/>
      <c r="I26" s="1823"/>
      <c r="J26" s="1823"/>
      <c r="K26" s="1823"/>
      <c r="L26" s="1823"/>
      <c r="M26" s="1823"/>
      <c r="N26" s="1823"/>
      <c r="O26" s="1823"/>
      <c r="P26" s="1823"/>
      <c r="Q26" s="1058"/>
      <c r="R26" s="1058"/>
      <c r="S26" s="1058"/>
      <c r="T26" s="2035">
        <f t="shared" si="1"/>
        <v>0</v>
      </c>
    </row>
    <row r="27" spans="1:20" ht="22.2" hidden="1" customHeight="1">
      <c r="A27" s="56" t="s">
        <v>762</v>
      </c>
      <c r="B27" s="1574" t="s">
        <v>762</v>
      </c>
      <c r="C27" s="62" t="str">
        <f t="shared" si="0"/>
        <v xml:space="preserve"> </v>
      </c>
      <c r="D27" s="1532"/>
      <c r="E27" s="1045"/>
      <c r="F27" s="1392" t="s">
        <v>2335</v>
      </c>
      <c r="G27" s="1046" t="s">
        <v>2333</v>
      </c>
      <c r="H27" s="1821">
        <f>SUM(I27:O27)</f>
        <v>0</v>
      </c>
      <c r="I27" s="1822"/>
      <c r="J27" s="1822"/>
      <c r="K27" s="1822">
        <f>IFERROR(HLOOKUP(B27,pp3p1m!$1:$3,3,0),0)</f>
        <v>0</v>
      </c>
      <c r="L27" s="1822">
        <f>IFERROR(HLOOKUP(chitiet!B27,pp1p!$1:$3,3,0),0)</f>
        <v>0</v>
      </c>
      <c r="M27" s="1822"/>
      <c r="N27" s="1822"/>
      <c r="O27" s="1822"/>
      <c r="P27" s="1822"/>
      <c r="Q27" s="1047"/>
      <c r="R27" s="1047"/>
      <c r="S27" s="1047"/>
      <c r="T27" s="2035">
        <f>IFERROR(HLOOKUP(B27,pp1p!$1:$3,3,0),0)+IFERROR(HLOOKUP(B27,pp3p1m!$1:$3,3,0),0)</f>
        <v>0</v>
      </c>
    </row>
    <row r="28" spans="1:20" ht="22.2" hidden="1" customHeight="1">
      <c r="A28" s="59"/>
      <c r="B28" s="1577" t="s">
        <v>1578</v>
      </c>
      <c r="C28" s="64" t="str">
        <f t="shared" si="0"/>
        <v xml:space="preserve"> </v>
      </c>
      <c r="D28" s="1535">
        <v>1</v>
      </c>
      <c r="E28" s="1044" t="str">
        <f>VLOOKUP($B28,DG!A:D,DG!$B$2,)</f>
        <v>04.3801</v>
      </c>
      <c r="F28" s="1056" t="str">
        <f>VLOOKUP($B28,DG!A:D,DG!$C$2,)</f>
        <v>Đà cản BTCT 1,5m</v>
      </c>
      <c r="G28" s="1044" t="str">
        <f>VLOOKUP($B28,DG!A:D,DG!$D$2,)</f>
        <v>cái</v>
      </c>
      <c r="H28" s="1823">
        <f t="shared" ref="H28:O29" si="3">H$27*$D28</f>
        <v>0</v>
      </c>
      <c r="I28" s="1823">
        <f t="shared" si="3"/>
        <v>0</v>
      </c>
      <c r="J28" s="1823">
        <f t="shared" si="3"/>
        <v>0</v>
      </c>
      <c r="K28" s="1823">
        <f t="shared" si="3"/>
        <v>0</v>
      </c>
      <c r="L28" s="1823">
        <f t="shared" si="3"/>
        <v>0</v>
      </c>
      <c r="M28" s="1823">
        <f t="shared" si="3"/>
        <v>0</v>
      </c>
      <c r="N28" s="1823">
        <f t="shared" si="3"/>
        <v>0</v>
      </c>
      <c r="O28" s="1823">
        <f t="shared" si="3"/>
        <v>0</v>
      </c>
      <c r="P28" s="1823"/>
      <c r="Q28" s="1053"/>
      <c r="R28" s="1053"/>
      <c r="S28" s="1053"/>
      <c r="T28" s="2035">
        <f t="shared" si="1"/>
        <v>0</v>
      </c>
    </row>
    <row r="29" spans="1:20" ht="22.2" hidden="1" customHeight="1">
      <c r="A29" s="59"/>
      <c r="B29" s="1577" t="s">
        <v>719</v>
      </c>
      <c r="C29" s="64" t="str">
        <f t="shared" si="0"/>
        <v xml:space="preserve"> </v>
      </c>
      <c r="D29" s="1535">
        <v>1</v>
      </c>
      <c r="E29" s="1044"/>
      <c r="F29" s="1056" t="str">
        <f>VLOOKUP($B29,DG!A:D,DG!$C$2,)</f>
        <v>Boulon 22x550/100+ 2 long đền vuông D24-50x50x3/Zn</v>
      </c>
      <c r="G29" s="1044" t="str">
        <f>VLOOKUP($B29,DG!A:D,DG!$D$2,)</f>
        <v>bộ</v>
      </c>
      <c r="H29" s="1823">
        <f t="shared" si="3"/>
        <v>0</v>
      </c>
      <c r="I29" s="1823">
        <f t="shared" si="3"/>
        <v>0</v>
      </c>
      <c r="J29" s="1823">
        <f t="shared" si="3"/>
        <v>0</v>
      </c>
      <c r="K29" s="1823">
        <f t="shared" si="3"/>
        <v>0</v>
      </c>
      <c r="L29" s="1823">
        <f t="shared" si="3"/>
        <v>0</v>
      </c>
      <c r="M29" s="1823">
        <f t="shared" si="3"/>
        <v>0</v>
      </c>
      <c r="N29" s="1823">
        <f t="shared" si="3"/>
        <v>0</v>
      </c>
      <c r="O29" s="1823">
        <f t="shared" si="3"/>
        <v>0</v>
      </c>
      <c r="P29" s="1823"/>
      <c r="Q29" s="1053"/>
      <c r="R29" s="1053"/>
      <c r="S29" s="1053"/>
      <c r="T29" s="2035">
        <f t="shared" si="1"/>
        <v>0</v>
      </c>
    </row>
    <row r="30" spans="1:20" ht="22.2" hidden="1" customHeight="1">
      <c r="A30" s="59"/>
      <c r="B30" s="1577" t="s">
        <v>1816</v>
      </c>
      <c r="C30" s="64" t="str">
        <f t="shared" si="0"/>
        <v xml:space="preserve"> </v>
      </c>
      <c r="D30" s="1533">
        <v>0.155</v>
      </c>
      <c r="E30" s="1044">
        <f>VLOOKUP($B30,DG!A:D,DG!$B$2,)</f>
        <v>0</v>
      </c>
      <c r="F30" s="1049" t="str">
        <f>VLOOKUP($B30,DG!A:D,DG!$C$2,)</f>
        <v>Đá 2x4</v>
      </c>
      <c r="G30" s="1044" t="str">
        <f>VLOOKUP($B30,DG!A:D,DG!$D$2,)</f>
        <v>m3</v>
      </c>
      <c r="H30" s="1823">
        <f t="shared" ref="H30:O30" si="4">H$18*$D30</f>
        <v>0</v>
      </c>
      <c r="I30" s="1823">
        <f t="shared" si="4"/>
        <v>0</v>
      </c>
      <c r="J30" s="1823">
        <f t="shared" si="4"/>
        <v>0</v>
      </c>
      <c r="K30" s="1823">
        <f t="shared" si="4"/>
        <v>0</v>
      </c>
      <c r="L30" s="1823">
        <f t="shared" si="4"/>
        <v>0</v>
      </c>
      <c r="M30" s="1823">
        <f t="shared" si="4"/>
        <v>0</v>
      </c>
      <c r="N30" s="1823">
        <f t="shared" si="4"/>
        <v>0</v>
      </c>
      <c r="O30" s="1823">
        <f t="shared" si="4"/>
        <v>0</v>
      </c>
      <c r="P30" s="1823"/>
      <c r="Q30" s="1053"/>
      <c r="R30" s="1053"/>
      <c r="S30" s="1053"/>
      <c r="T30" s="2035">
        <f t="shared" si="1"/>
        <v>0</v>
      </c>
    </row>
    <row r="31" spans="1:20" ht="22.2" hidden="1" customHeight="1">
      <c r="A31" s="59"/>
      <c r="B31" s="1577" t="s">
        <v>639</v>
      </c>
      <c r="C31" s="64" t="str">
        <f t="shared" si="0"/>
        <v xml:space="preserve"> </v>
      </c>
      <c r="D31" s="1534">
        <v>1.77</v>
      </c>
      <c r="E31" s="1044" t="str">
        <f>VLOOKUP($B31,DG!A:D,DG!$B$2,)</f>
        <v>03.1013</v>
      </c>
      <c r="F31" s="1049" t="str">
        <f>VLOOKUP($B31,DG!A:D,DG!$C$2,)</f>
        <v>Đào hố móng đất cấp 3 sâu &gt;1m</v>
      </c>
      <c r="G31" s="1044" t="str">
        <f>VLOOKUP($B31,DG!A:D,DG!$D$2,)</f>
        <v>m3</v>
      </c>
      <c r="H31" s="1823"/>
      <c r="I31" s="1823"/>
      <c r="J31" s="1823"/>
      <c r="K31" s="1823"/>
      <c r="L31" s="1823"/>
      <c r="M31" s="1823"/>
      <c r="N31" s="1823"/>
      <c r="O31" s="1823"/>
      <c r="P31" s="1823"/>
      <c r="Q31" s="1058"/>
      <c r="R31" s="1058"/>
      <c r="S31" s="1058"/>
      <c r="T31" s="2035">
        <f t="shared" si="1"/>
        <v>0</v>
      </c>
    </row>
    <row r="32" spans="1:20" ht="22.2" hidden="1" customHeight="1">
      <c r="A32" s="59"/>
      <c r="B32" s="1577" t="s">
        <v>21</v>
      </c>
      <c r="C32" s="64" t="str">
        <f t="shared" si="0"/>
        <v xml:space="preserve"> </v>
      </c>
      <c r="D32" s="1534">
        <v>2.0099999999999998</v>
      </c>
      <c r="E32" s="1044" t="str">
        <f>VLOOKUP($B32,DG!A:D,DG!$B$2,)</f>
        <v>03.4113</v>
      </c>
      <c r="F32" s="1049" t="str">
        <f>VLOOKUP($B32,DG!A:D,DG!$C$2,)</f>
        <v>Đắp đất hố móng, độ chặt k=0,95</v>
      </c>
      <c r="G32" s="1044" t="str">
        <f>VLOOKUP($B32,DG!A:D,DG!$D$2,)</f>
        <v>m3</v>
      </c>
      <c r="H32" s="1823"/>
      <c r="I32" s="1823"/>
      <c r="J32" s="1823"/>
      <c r="K32" s="1823"/>
      <c r="L32" s="1823"/>
      <c r="M32" s="1823"/>
      <c r="N32" s="1823"/>
      <c r="O32" s="1823"/>
      <c r="P32" s="1823"/>
      <c r="Q32" s="1058"/>
      <c r="R32" s="1058"/>
      <c r="S32" s="1058"/>
      <c r="T32" s="2035">
        <f t="shared" si="1"/>
        <v>0</v>
      </c>
    </row>
    <row r="33" spans="1:20" ht="22.2" hidden="1" customHeight="1">
      <c r="A33" s="59"/>
      <c r="B33" s="1577" t="s">
        <v>637</v>
      </c>
      <c r="C33" s="64" t="str">
        <f t="shared" si="0"/>
        <v xml:space="preserve"> </v>
      </c>
      <c r="D33" s="1534">
        <v>0.1</v>
      </c>
      <c r="E33" s="1044" t="str">
        <f>VLOOKUP($B33,DG!A:D,DG!$B$2,)</f>
        <v>02.1123</v>
      </c>
      <c r="F33" s="1049" t="str">
        <f>VLOOKUP($B33,DG!A:D,DG!$C$2,)</f>
        <v>Bốc dỡ đà cản, đế néo</v>
      </c>
      <c r="G33" s="1044" t="str">
        <f>VLOOKUP($B33,DG!A:D,DG!$D$2,)</f>
        <v>tấn</v>
      </c>
      <c r="H33" s="1823"/>
      <c r="I33" s="1823"/>
      <c r="J33" s="1823"/>
      <c r="K33" s="1823"/>
      <c r="L33" s="1823"/>
      <c r="M33" s="1823"/>
      <c r="N33" s="1823"/>
      <c r="O33" s="1823"/>
      <c r="P33" s="1823"/>
      <c r="Q33" s="1053"/>
      <c r="R33" s="1053"/>
      <c r="S33" s="1053"/>
      <c r="T33" s="2035">
        <f t="shared" si="1"/>
        <v>0</v>
      </c>
    </row>
    <row r="34" spans="1:20" ht="22.2" hidden="1" customHeight="1">
      <c r="A34" s="59"/>
      <c r="B34" s="1588" t="s">
        <v>2069</v>
      </c>
      <c r="C34" s="64" t="str">
        <f t="shared" si="0"/>
        <v xml:space="preserve"> </v>
      </c>
      <c r="D34" s="1534">
        <f>D33</f>
        <v>0.1</v>
      </c>
      <c r="E34" s="1044" t="str">
        <f>VLOOKUP($B34,DG!A:C,2,)</f>
        <v>02.1451</v>
      </c>
      <c r="F34" s="1049" t="str">
        <f>VLOOKUP($B34,DG!A:C,3,)</f>
        <v>V/c đà cản vào vị trí (cự ly &lt;=100m)</v>
      </c>
      <c r="G34" s="1044" t="str">
        <f>VLOOKUP($B34,DG!A:D,4,0)</f>
        <v>tấn</v>
      </c>
      <c r="H34" s="1823"/>
      <c r="I34" s="1823"/>
      <c r="J34" s="1823"/>
      <c r="K34" s="1823"/>
      <c r="L34" s="1823"/>
      <c r="M34" s="1823"/>
      <c r="N34" s="1823"/>
      <c r="O34" s="1823"/>
      <c r="P34" s="1823"/>
      <c r="Q34" s="1058"/>
      <c r="R34" s="1058"/>
      <c r="S34" s="1058"/>
      <c r="T34" s="2035">
        <f t="shared" si="1"/>
        <v>0</v>
      </c>
    </row>
    <row r="35" spans="1:20" ht="22.2" hidden="1" customHeight="1">
      <c r="A35" s="59"/>
      <c r="B35" s="1588" t="s">
        <v>674</v>
      </c>
      <c r="C35" s="64" t="str">
        <f t="shared" si="0"/>
        <v xml:space="preserve"> </v>
      </c>
      <c r="D35" s="1533">
        <f>D30</f>
        <v>0.155</v>
      </c>
      <c r="E35" s="1044" t="str">
        <f>VLOOKUP($B35,DG!A:C,2,)</f>
        <v>02.1241</v>
      </c>
      <c r="F35" s="1049" t="str">
        <f>VLOOKUP($B35,DG!A:C,3,)</f>
        <v>V/c đá dăm ( cự ly &lt;=100m)</v>
      </c>
      <c r="G35" s="1044" t="str">
        <f>VLOOKUP($B35,DG!A:D,4,0)</f>
        <v>m3</v>
      </c>
      <c r="H35" s="1823"/>
      <c r="I35" s="1823"/>
      <c r="J35" s="1823"/>
      <c r="K35" s="1823"/>
      <c r="L35" s="1823"/>
      <c r="M35" s="1823"/>
      <c r="N35" s="1823"/>
      <c r="O35" s="1823"/>
      <c r="P35" s="1823"/>
      <c r="Q35" s="1058"/>
      <c r="R35" s="1058"/>
      <c r="S35" s="1058"/>
      <c r="T35" s="2035">
        <f t="shared" si="1"/>
        <v>0</v>
      </c>
    </row>
    <row r="36" spans="1:20" ht="22.2" hidden="1" customHeight="1">
      <c r="A36" s="59"/>
      <c r="B36" s="1588" t="s">
        <v>635</v>
      </c>
      <c r="C36" s="64" t="str">
        <f t="shared" si="0"/>
        <v xml:space="preserve"> </v>
      </c>
      <c r="D36" s="1534">
        <v>0.2</v>
      </c>
      <c r="E36" s="1044" t="str">
        <f>VLOOKUP($B36,DG!A:C,2,)</f>
        <v>02.1482</v>
      </c>
      <c r="F36" s="1049" t="str">
        <f>VLOOKUP($B36,DG!A:C,3,)</f>
        <v>V/c dụng cụ thi công vào vị trí (cự ly &lt;=100m)</v>
      </c>
      <c r="G36" s="1044" t="str">
        <f>VLOOKUP($B36,DG!A:D,4,0)</f>
        <v>tấn</v>
      </c>
      <c r="H36" s="1823"/>
      <c r="I36" s="1823"/>
      <c r="J36" s="1823"/>
      <c r="K36" s="1823"/>
      <c r="L36" s="1823"/>
      <c r="M36" s="1823"/>
      <c r="N36" s="1823"/>
      <c r="O36" s="1823"/>
      <c r="P36" s="1823"/>
      <c r="Q36" s="1058"/>
      <c r="R36" s="1058"/>
      <c r="S36" s="1058"/>
      <c r="T36" s="2035">
        <f t="shared" si="1"/>
        <v>0</v>
      </c>
    </row>
    <row r="37" spans="1:20" ht="22.2" hidden="1" customHeight="1">
      <c r="A37" s="56" t="s">
        <v>761</v>
      </c>
      <c r="B37" s="1574" t="s">
        <v>761</v>
      </c>
      <c r="C37" s="62" t="str">
        <f t="shared" si="0"/>
        <v xml:space="preserve"> </v>
      </c>
      <c r="D37" s="1532"/>
      <c r="E37" s="1045"/>
      <c r="F37" s="1392" t="s">
        <v>2336</v>
      </c>
      <c r="G37" s="1046" t="s">
        <v>2333</v>
      </c>
      <c r="H37" s="1821">
        <f>SUM(I37:O37)</f>
        <v>0</v>
      </c>
      <c r="I37" s="1822"/>
      <c r="J37" s="1822"/>
      <c r="K37" s="1822">
        <f>IFERROR(HLOOKUP(B37,pp3p1m!$1:$3,3,0),0)</f>
        <v>0</v>
      </c>
      <c r="L37" s="1822">
        <f>IFERROR(HLOOKUP(chitiet!B37,pp1p!$1:$3,3,0),0)</f>
        <v>0</v>
      </c>
      <c r="M37" s="1822"/>
      <c r="N37" s="1822"/>
      <c r="O37" s="1822"/>
      <c r="P37" s="1822"/>
      <c r="Q37" s="1047"/>
      <c r="R37" s="1047"/>
      <c r="S37" s="1047"/>
      <c r="T37" s="2035">
        <f>IFERROR(HLOOKUP(B37,pp1p!$1:$3,3,0),0)+IFERROR(HLOOKUP(B37,pp3p1m!$1:$3,3,0),0)</f>
        <v>0</v>
      </c>
    </row>
    <row r="38" spans="1:20" ht="22.2" hidden="1" customHeight="1">
      <c r="A38" s="59"/>
      <c r="B38" s="1577" t="s">
        <v>636</v>
      </c>
      <c r="C38" s="64" t="str">
        <f t="shared" si="0"/>
        <v xml:space="preserve"> </v>
      </c>
      <c r="D38" s="1535">
        <v>2</v>
      </c>
      <c r="E38" s="1044" t="str">
        <f>VLOOKUP($B38,DG!A:D,DG!$B$2,)</f>
        <v>04.4001</v>
      </c>
      <c r="F38" s="1056" t="str">
        <f>VLOOKUP($B38,DG!A:D,DG!$C$2,)</f>
        <v>Đà cản BTCT 1,2m</v>
      </c>
      <c r="G38" s="1044" t="str">
        <f>VLOOKUP($B38,DG!A:D,DG!$D$2,)</f>
        <v>cái</v>
      </c>
      <c r="H38" s="1823">
        <f t="shared" ref="H38:N39" si="5">H$37*$D38</f>
        <v>0</v>
      </c>
      <c r="I38" s="1823">
        <f t="shared" si="5"/>
        <v>0</v>
      </c>
      <c r="J38" s="1823">
        <f t="shared" si="5"/>
        <v>0</v>
      </c>
      <c r="K38" s="1823">
        <f t="shared" si="5"/>
        <v>0</v>
      </c>
      <c r="L38" s="1823">
        <f t="shared" si="5"/>
        <v>0</v>
      </c>
      <c r="M38" s="1823">
        <f t="shared" si="5"/>
        <v>0</v>
      </c>
      <c r="N38" s="1823">
        <f t="shared" si="5"/>
        <v>0</v>
      </c>
      <c r="O38" s="1823"/>
      <c r="P38" s="1823"/>
      <c r="Q38" s="1053"/>
      <c r="R38" s="1053"/>
      <c r="S38" s="1053"/>
      <c r="T38" s="2035">
        <f t="shared" si="1"/>
        <v>0</v>
      </c>
    </row>
    <row r="39" spans="1:20" ht="22.2" hidden="1" customHeight="1">
      <c r="A39" s="59"/>
      <c r="B39" s="1577" t="s">
        <v>719</v>
      </c>
      <c r="C39" s="64" t="str">
        <f t="shared" si="0"/>
        <v xml:space="preserve"> </v>
      </c>
      <c r="D39" s="1535">
        <v>2</v>
      </c>
      <c r="E39" s="1044"/>
      <c r="F39" s="1056" t="str">
        <f>VLOOKUP($B39,DG!A:D,DG!$C$2,)</f>
        <v>Boulon 22x550/100+ 2 long đền vuông D24-50x50x3/Zn</v>
      </c>
      <c r="G39" s="1044" t="str">
        <f>VLOOKUP($B39,DG!A:D,DG!$D$2,)</f>
        <v>bộ</v>
      </c>
      <c r="H39" s="1823">
        <f t="shared" si="5"/>
        <v>0</v>
      </c>
      <c r="I39" s="1823">
        <f t="shared" si="5"/>
        <v>0</v>
      </c>
      <c r="J39" s="1823">
        <f t="shared" si="5"/>
        <v>0</v>
      </c>
      <c r="K39" s="1823">
        <f t="shared" si="5"/>
        <v>0</v>
      </c>
      <c r="L39" s="1823">
        <f t="shared" si="5"/>
        <v>0</v>
      </c>
      <c r="M39" s="1823">
        <f t="shared" si="5"/>
        <v>0</v>
      </c>
      <c r="N39" s="1823">
        <f t="shared" si="5"/>
        <v>0</v>
      </c>
      <c r="O39" s="1823"/>
      <c r="P39" s="1823"/>
      <c r="Q39" s="1053"/>
      <c r="R39" s="1053"/>
      <c r="S39" s="1053"/>
      <c r="T39" s="2035">
        <f t="shared" si="1"/>
        <v>0</v>
      </c>
    </row>
    <row r="40" spans="1:20" ht="22.2" hidden="1" customHeight="1">
      <c r="A40" s="59"/>
      <c r="B40" s="1577" t="s">
        <v>639</v>
      </c>
      <c r="C40" s="64" t="str">
        <f t="shared" si="0"/>
        <v xml:space="preserve"> </v>
      </c>
      <c r="D40" s="1534">
        <v>3.65</v>
      </c>
      <c r="E40" s="1044" t="str">
        <f>VLOOKUP($B40,DG!A:D,DG!$B$2,)</f>
        <v>03.1013</v>
      </c>
      <c r="F40" s="1049" t="str">
        <f>VLOOKUP($B40,DG!A:D,DG!$C$2,)</f>
        <v>Đào hố móng đất cấp 3 sâu &gt;1m</v>
      </c>
      <c r="G40" s="1044" t="str">
        <f>VLOOKUP($B40,DG!A:D,DG!$D$2,)</f>
        <v>m3</v>
      </c>
      <c r="H40" s="1823"/>
      <c r="I40" s="1823"/>
      <c r="J40" s="1823"/>
      <c r="K40" s="1823"/>
      <c r="L40" s="1823"/>
      <c r="M40" s="1823"/>
      <c r="N40" s="1823"/>
      <c r="O40" s="1823"/>
      <c r="P40" s="1823"/>
      <c r="Q40" s="1058"/>
      <c r="R40" s="1058"/>
      <c r="S40" s="1058"/>
      <c r="T40" s="2035">
        <f t="shared" si="1"/>
        <v>0</v>
      </c>
    </row>
    <row r="41" spans="1:20" ht="22.2" hidden="1" customHeight="1">
      <c r="A41" s="59"/>
      <c r="B41" s="1577" t="s">
        <v>21</v>
      </c>
      <c r="C41" s="64" t="str">
        <f t="shared" si="0"/>
        <v xml:space="preserve"> </v>
      </c>
      <c r="D41" s="1534">
        <v>4.41</v>
      </c>
      <c r="E41" s="1044" t="str">
        <f>VLOOKUP($B41,DG!A:D,DG!$B$2,)</f>
        <v>03.4113</v>
      </c>
      <c r="F41" s="1049" t="str">
        <f>VLOOKUP($B41,DG!A:D,DG!$C$2,)</f>
        <v>Đắp đất hố móng, độ chặt k=0,95</v>
      </c>
      <c r="G41" s="1044" t="str">
        <f>VLOOKUP($B41,DG!A:D,DG!$D$2,)</f>
        <v>m3</v>
      </c>
      <c r="H41" s="1823"/>
      <c r="I41" s="1823"/>
      <c r="J41" s="1823"/>
      <c r="K41" s="1823"/>
      <c r="L41" s="1823"/>
      <c r="M41" s="1823"/>
      <c r="N41" s="1823"/>
      <c r="O41" s="1823"/>
      <c r="P41" s="1823"/>
      <c r="Q41" s="1058"/>
      <c r="R41" s="1058"/>
      <c r="S41" s="1058"/>
      <c r="T41" s="2035">
        <f t="shared" si="1"/>
        <v>0</v>
      </c>
    </row>
    <row r="42" spans="1:20" ht="22.2" hidden="1" customHeight="1">
      <c r="A42" s="59"/>
      <c r="B42" s="1577" t="s">
        <v>637</v>
      </c>
      <c r="C42" s="64" t="str">
        <f t="shared" si="0"/>
        <v xml:space="preserve"> </v>
      </c>
      <c r="D42" s="1534">
        <f>0.1*D38</f>
        <v>0.2</v>
      </c>
      <c r="E42" s="1044" t="str">
        <f>VLOOKUP($B42,DG!A:D,DG!$B$2,)</f>
        <v>02.1123</v>
      </c>
      <c r="F42" s="1049" t="str">
        <f>VLOOKUP($B42,DG!A:D,DG!$C$2,)</f>
        <v>Bốc dỡ đà cản, đế néo</v>
      </c>
      <c r="G42" s="1044" t="str">
        <f>VLOOKUP($B42,DG!A:D,DG!$D$2,)</f>
        <v>tấn</v>
      </c>
      <c r="H42" s="1823"/>
      <c r="I42" s="1823"/>
      <c r="J42" s="1823"/>
      <c r="K42" s="1823"/>
      <c r="L42" s="1823"/>
      <c r="M42" s="1823"/>
      <c r="N42" s="1823"/>
      <c r="O42" s="1823"/>
      <c r="P42" s="1823"/>
      <c r="Q42" s="1053"/>
      <c r="R42" s="1053"/>
      <c r="S42" s="1053"/>
      <c r="T42" s="2035">
        <f t="shared" si="1"/>
        <v>0</v>
      </c>
    </row>
    <row r="43" spans="1:20" ht="22.2" hidden="1" customHeight="1">
      <c r="A43" s="59"/>
      <c r="B43" s="1588" t="s">
        <v>2069</v>
      </c>
      <c r="C43" s="64" t="str">
        <f t="shared" si="0"/>
        <v xml:space="preserve"> </v>
      </c>
      <c r="D43" s="1534">
        <f>D42</f>
        <v>0.2</v>
      </c>
      <c r="E43" s="1044" t="str">
        <f>VLOOKUP($B43,DG!A:C,2,)</f>
        <v>02.1451</v>
      </c>
      <c r="F43" s="1049" t="str">
        <f>VLOOKUP($B43,DG!A:C,3,)</f>
        <v>V/c đà cản vào vị trí (cự ly &lt;=100m)</v>
      </c>
      <c r="G43" s="1044" t="str">
        <f>VLOOKUP($B43,DG!A:D,4,0)</f>
        <v>tấn</v>
      </c>
      <c r="H43" s="1823"/>
      <c r="I43" s="1823"/>
      <c r="J43" s="1823"/>
      <c r="K43" s="1823"/>
      <c r="L43" s="1823"/>
      <c r="M43" s="1823"/>
      <c r="N43" s="1823"/>
      <c r="O43" s="1823"/>
      <c r="P43" s="1823"/>
      <c r="Q43" s="1058"/>
      <c r="R43" s="1058"/>
      <c r="S43" s="1058"/>
      <c r="T43" s="2035">
        <f t="shared" si="1"/>
        <v>0</v>
      </c>
    </row>
    <row r="44" spans="1:20" ht="22.2" hidden="1" customHeight="1">
      <c r="A44" s="59"/>
      <c r="B44" s="1588" t="s">
        <v>635</v>
      </c>
      <c r="C44" s="64" t="str">
        <f t="shared" si="0"/>
        <v xml:space="preserve"> </v>
      </c>
      <c r="D44" s="1534">
        <v>0.2</v>
      </c>
      <c r="E44" s="1044" t="str">
        <f>VLOOKUP($B44,DG!A:C,2,)</f>
        <v>02.1482</v>
      </c>
      <c r="F44" s="1049" t="str">
        <f>VLOOKUP($B44,DG!A:C,3,)</f>
        <v>V/c dụng cụ thi công vào vị trí (cự ly &lt;=100m)</v>
      </c>
      <c r="G44" s="1044" t="str">
        <f>VLOOKUP($B44,DG!A:D,4,0)</f>
        <v>tấn</v>
      </c>
      <c r="H44" s="1823"/>
      <c r="I44" s="1823"/>
      <c r="J44" s="1823"/>
      <c r="K44" s="1823"/>
      <c r="L44" s="1823"/>
      <c r="M44" s="1823"/>
      <c r="N44" s="1823"/>
      <c r="O44" s="1823"/>
      <c r="P44" s="1823"/>
      <c r="Q44" s="1058"/>
      <c r="R44" s="1058"/>
      <c r="S44" s="1058"/>
      <c r="T44" s="2035">
        <f t="shared" si="1"/>
        <v>0</v>
      </c>
    </row>
    <row r="45" spans="1:20" ht="22.2" hidden="1" customHeight="1">
      <c r="A45" s="56" t="s">
        <v>443</v>
      </c>
      <c r="B45" s="1574" t="s">
        <v>443</v>
      </c>
      <c r="C45" s="62" t="str">
        <f t="shared" si="0"/>
        <v xml:space="preserve"> </v>
      </c>
      <c r="D45" s="1532"/>
      <c r="E45" s="1045"/>
      <c r="F45" s="1392" t="s">
        <v>2337</v>
      </c>
      <c r="G45" s="1046" t="s">
        <v>2333</v>
      </c>
      <c r="H45" s="1821">
        <f>SUM(I45:O45)</f>
        <v>0</v>
      </c>
      <c r="I45" s="1822"/>
      <c r="J45" s="1822"/>
      <c r="K45" s="1822">
        <f>IFERROR(HLOOKUP(B45,pp3p1m!$1:$3,3,0),0)</f>
        <v>0</v>
      </c>
      <c r="L45" s="1822">
        <f>IFERROR(HLOOKUP(chitiet!B45,pp1p!$1:$3,3,0),0)</f>
        <v>0</v>
      </c>
      <c r="M45" s="1822"/>
      <c r="N45" s="1822"/>
      <c r="O45" s="1822"/>
      <c r="P45" s="1822"/>
      <c r="Q45" s="1047"/>
      <c r="R45" s="1047"/>
      <c r="S45" s="1047"/>
      <c r="T45" s="2035">
        <f>IFERROR(HLOOKUP(B45,pp1p!$1:$3,3,0),0)+IFERROR(HLOOKUP(B45,pp3p1m!$1:$3,3,0),0)</f>
        <v>0</v>
      </c>
    </row>
    <row r="46" spans="1:20" ht="22.2" hidden="1" customHeight="1">
      <c r="A46" s="59"/>
      <c r="B46" s="1577" t="s">
        <v>636</v>
      </c>
      <c r="C46" s="64" t="str">
        <f t="shared" si="0"/>
        <v xml:space="preserve"> </v>
      </c>
      <c r="D46" s="1535">
        <v>2</v>
      </c>
      <c r="E46" s="1044" t="str">
        <f>VLOOKUP($B46,DG!A:D,DG!$B$2,)</f>
        <v>04.4001</v>
      </c>
      <c r="F46" s="1056" t="str">
        <f>VLOOKUP($B46,DG!A:D,DG!$C$2,)</f>
        <v>Đà cản BTCT 1,2m</v>
      </c>
      <c r="G46" s="1044" t="str">
        <f>VLOOKUP($B46,DG!A:D,DG!$D$2,)</f>
        <v>cái</v>
      </c>
      <c r="H46" s="1823">
        <f t="shared" ref="H46:N47" si="6">H$45*$D46</f>
        <v>0</v>
      </c>
      <c r="I46" s="1823">
        <f t="shared" si="6"/>
        <v>0</v>
      </c>
      <c r="J46" s="1823">
        <f t="shared" si="6"/>
        <v>0</v>
      </c>
      <c r="K46" s="1823">
        <f t="shared" si="6"/>
        <v>0</v>
      </c>
      <c r="L46" s="1823">
        <f t="shared" si="6"/>
        <v>0</v>
      </c>
      <c r="M46" s="1823">
        <f t="shared" si="6"/>
        <v>0</v>
      </c>
      <c r="N46" s="1823">
        <f t="shared" si="6"/>
        <v>0</v>
      </c>
      <c r="O46" s="1823"/>
      <c r="P46" s="1823"/>
      <c r="Q46" s="1053"/>
      <c r="R46" s="1053"/>
      <c r="S46" s="1053"/>
      <c r="T46" s="2035">
        <f t="shared" si="1"/>
        <v>0</v>
      </c>
    </row>
    <row r="47" spans="1:20" ht="22.2" hidden="1" customHeight="1">
      <c r="A47" s="59"/>
      <c r="B47" s="1577" t="s">
        <v>719</v>
      </c>
      <c r="C47" s="64" t="str">
        <f t="shared" si="0"/>
        <v xml:space="preserve"> </v>
      </c>
      <c r="D47" s="1535">
        <v>2</v>
      </c>
      <c r="E47" s="1044"/>
      <c r="F47" s="1056" t="str">
        <f>VLOOKUP($B47,DG!A:D,DG!$C$2,)</f>
        <v>Boulon 22x550/100+ 2 long đền vuông D24-50x50x3/Zn</v>
      </c>
      <c r="G47" s="1044" t="str">
        <f>VLOOKUP($B47,DG!A:D,DG!$D$2,)</f>
        <v>bộ</v>
      </c>
      <c r="H47" s="1823">
        <f t="shared" si="6"/>
        <v>0</v>
      </c>
      <c r="I47" s="1823">
        <f t="shared" si="6"/>
        <v>0</v>
      </c>
      <c r="J47" s="1823">
        <f t="shared" si="6"/>
        <v>0</v>
      </c>
      <c r="K47" s="1823">
        <f t="shared" si="6"/>
        <v>0</v>
      </c>
      <c r="L47" s="1823">
        <f t="shared" si="6"/>
        <v>0</v>
      </c>
      <c r="M47" s="1823">
        <f t="shared" si="6"/>
        <v>0</v>
      </c>
      <c r="N47" s="1823">
        <f t="shared" si="6"/>
        <v>0</v>
      </c>
      <c r="O47" s="1823"/>
      <c r="P47" s="1823"/>
      <c r="Q47" s="1053"/>
      <c r="R47" s="1053"/>
      <c r="S47" s="1053"/>
      <c r="T47" s="2035">
        <f t="shared" si="1"/>
        <v>0</v>
      </c>
    </row>
    <row r="48" spans="1:20" ht="22.2" hidden="1" customHeight="1">
      <c r="A48" s="59"/>
      <c r="B48" s="1577" t="s">
        <v>639</v>
      </c>
      <c r="C48" s="64" t="str">
        <f t="shared" si="0"/>
        <v xml:space="preserve"> </v>
      </c>
      <c r="D48" s="1534">
        <v>3.81</v>
      </c>
      <c r="E48" s="1044" t="str">
        <f>VLOOKUP($B48,DG!A:D,DG!$B$2,)</f>
        <v>03.1013</v>
      </c>
      <c r="F48" s="1049" t="str">
        <f>VLOOKUP($B48,DG!A:D,DG!$C$2,)</f>
        <v>Đào hố móng đất cấp 3 sâu &gt;1m</v>
      </c>
      <c r="G48" s="1044" t="str">
        <f>VLOOKUP($B48,DG!A:D,DG!$D$2,)</f>
        <v>m3</v>
      </c>
      <c r="H48" s="1823"/>
      <c r="I48" s="1823"/>
      <c r="J48" s="1823"/>
      <c r="K48" s="1823"/>
      <c r="L48" s="1823"/>
      <c r="M48" s="1823"/>
      <c r="N48" s="1823"/>
      <c r="O48" s="1823"/>
      <c r="P48" s="1823"/>
      <c r="Q48" s="1058"/>
      <c r="R48" s="1058"/>
      <c r="S48" s="1058"/>
      <c r="T48" s="2035">
        <f t="shared" si="1"/>
        <v>0</v>
      </c>
    </row>
    <row r="49" spans="1:20" ht="22.2" hidden="1" customHeight="1">
      <c r="A49" s="59"/>
      <c r="B49" s="1577" t="s">
        <v>21</v>
      </c>
      <c r="C49" s="64" t="str">
        <f t="shared" si="0"/>
        <v xml:space="preserve"> </v>
      </c>
      <c r="D49" s="1534">
        <v>4.63</v>
      </c>
      <c r="E49" s="1044" t="str">
        <f>VLOOKUP($B49,DG!A:D,DG!$B$2,)</f>
        <v>03.4113</v>
      </c>
      <c r="F49" s="1049" t="str">
        <f>VLOOKUP($B49,DG!A:D,DG!$C$2,)</f>
        <v>Đắp đất hố móng, độ chặt k=0,95</v>
      </c>
      <c r="G49" s="1044" t="str">
        <f>VLOOKUP($B49,DG!A:D,DG!$D$2,)</f>
        <v>m3</v>
      </c>
      <c r="H49" s="1823"/>
      <c r="I49" s="1823"/>
      <c r="J49" s="1823"/>
      <c r="K49" s="1823"/>
      <c r="L49" s="1823"/>
      <c r="M49" s="1823"/>
      <c r="N49" s="1823"/>
      <c r="O49" s="1823"/>
      <c r="P49" s="1823"/>
      <c r="Q49" s="1058"/>
      <c r="R49" s="1058"/>
      <c r="S49" s="1058"/>
      <c r="T49" s="2035">
        <f t="shared" si="1"/>
        <v>0</v>
      </c>
    </row>
    <row r="50" spans="1:20" ht="22.2" hidden="1" customHeight="1">
      <c r="A50" s="59"/>
      <c r="B50" s="1577" t="s">
        <v>637</v>
      </c>
      <c r="C50" s="64" t="str">
        <f t="shared" si="0"/>
        <v xml:space="preserve"> </v>
      </c>
      <c r="D50" s="1534">
        <f>0.1*D46</f>
        <v>0.2</v>
      </c>
      <c r="E50" s="1044" t="str">
        <f>VLOOKUP($B50,DG!A:D,DG!$B$2,)</f>
        <v>02.1123</v>
      </c>
      <c r="F50" s="1049" t="str">
        <f>VLOOKUP($B50,DG!A:D,DG!$C$2,)</f>
        <v>Bốc dỡ đà cản, đế néo</v>
      </c>
      <c r="G50" s="1044" t="str">
        <f>VLOOKUP($B50,DG!A:D,DG!$D$2,)</f>
        <v>tấn</v>
      </c>
      <c r="H50" s="1823"/>
      <c r="I50" s="1823"/>
      <c r="J50" s="1823"/>
      <c r="K50" s="1823"/>
      <c r="L50" s="1823"/>
      <c r="M50" s="1823"/>
      <c r="N50" s="1823"/>
      <c r="O50" s="1823"/>
      <c r="P50" s="1823"/>
      <c r="Q50" s="1053"/>
      <c r="R50" s="1053"/>
      <c r="S50" s="1053"/>
      <c r="T50" s="2035">
        <f t="shared" si="1"/>
        <v>0</v>
      </c>
    </row>
    <row r="51" spans="1:20" ht="22.2" hidden="1" customHeight="1">
      <c r="A51" s="59"/>
      <c r="B51" s="1588" t="s">
        <v>2069</v>
      </c>
      <c r="C51" s="64" t="str">
        <f t="shared" si="0"/>
        <v xml:space="preserve"> </v>
      </c>
      <c r="D51" s="1534">
        <f>D50</f>
        <v>0.2</v>
      </c>
      <c r="E51" s="1044" t="str">
        <f>VLOOKUP($B51,DG!A:C,2,)</f>
        <v>02.1451</v>
      </c>
      <c r="F51" s="1049" t="str">
        <f>VLOOKUP($B51,DG!A:C,3,)</f>
        <v>V/c đà cản vào vị trí (cự ly &lt;=100m)</v>
      </c>
      <c r="G51" s="1044" t="str">
        <f>VLOOKUP($B51,DG!A:D,4,0)</f>
        <v>tấn</v>
      </c>
      <c r="H51" s="1823"/>
      <c r="I51" s="1823"/>
      <c r="J51" s="1823"/>
      <c r="K51" s="1823"/>
      <c r="L51" s="1823"/>
      <c r="M51" s="1823"/>
      <c r="N51" s="1823"/>
      <c r="O51" s="1823"/>
      <c r="P51" s="1823"/>
      <c r="Q51" s="1058"/>
      <c r="R51" s="1058"/>
      <c r="S51" s="1058"/>
      <c r="T51" s="2035">
        <f t="shared" si="1"/>
        <v>0</v>
      </c>
    </row>
    <row r="52" spans="1:20" ht="22.2" hidden="1" customHeight="1">
      <c r="A52" s="59"/>
      <c r="B52" s="1588" t="s">
        <v>635</v>
      </c>
      <c r="C52" s="64" t="str">
        <f t="shared" si="0"/>
        <v xml:space="preserve"> </v>
      </c>
      <c r="D52" s="1534">
        <v>0.2</v>
      </c>
      <c r="E52" s="1044" t="str">
        <f>VLOOKUP($B52,DG!A:C,2,)</f>
        <v>02.1482</v>
      </c>
      <c r="F52" s="1049" t="str">
        <f>VLOOKUP($B52,DG!A:C,3,)</f>
        <v>V/c dụng cụ thi công vào vị trí (cự ly &lt;=100m)</v>
      </c>
      <c r="G52" s="1044" t="str">
        <f>VLOOKUP($B52,DG!A:D,4,0)</f>
        <v>tấn</v>
      </c>
      <c r="H52" s="1823"/>
      <c r="I52" s="1823"/>
      <c r="J52" s="1823"/>
      <c r="K52" s="1823"/>
      <c r="L52" s="1823"/>
      <c r="M52" s="1823"/>
      <c r="N52" s="1823"/>
      <c r="O52" s="1823"/>
      <c r="P52" s="1823"/>
      <c r="Q52" s="1058"/>
      <c r="R52" s="1058"/>
      <c r="S52" s="1058"/>
      <c r="T52" s="2035">
        <f t="shared" si="1"/>
        <v>0</v>
      </c>
    </row>
    <row r="53" spans="1:20" ht="22.2" hidden="1" customHeight="1">
      <c r="A53" s="56" t="s">
        <v>444</v>
      </c>
      <c r="B53" s="1574" t="s">
        <v>444</v>
      </c>
      <c r="C53" s="62" t="str">
        <f t="shared" si="0"/>
        <v xml:space="preserve"> </v>
      </c>
      <c r="D53" s="1532"/>
      <c r="E53" s="1045"/>
      <c r="F53" s="1392" t="s">
        <v>2338</v>
      </c>
      <c r="G53" s="1046" t="s">
        <v>2333</v>
      </c>
      <c r="H53" s="1821">
        <f>SUM(I53:O53)</f>
        <v>0</v>
      </c>
      <c r="I53" s="1822"/>
      <c r="J53" s="1822"/>
      <c r="K53" s="1822">
        <f>IFERROR(HLOOKUP(B53,pp3p1m!$1:$3,3,0),0)</f>
        <v>0</v>
      </c>
      <c r="L53" s="1822">
        <f>IFERROR(HLOOKUP(chitiet!B53,pp1p!$1:$3,3,0),0)</f>
        <v>0</v>
      </c>
      <c r="M53" s="1822"/>
      <c r="N53" s="1822"/>
      <c r="O53" s="1822"/>
      <c r="P53" s="1822"/>
      <c r="Q53" s="1047"/>
      <c r="R53" s="1047"/>
      <c r="S53" s="1047"/>
      <c r="T53" s="2035">
        <f>IFERROR(HLOOKUP(B53,pp1p!$1:$3,3,0),0)+IFERROR(HLOOKUP(B53,pp3p1m!$1:$3,3,0),0)</f>
        <v>0</v>
      </c>
    </row>
    <row r="54" spans="1:20" ht="22.2" hidden="1" customHeight="1">
      <c r="A54" s="59"/>
      <c r="B54" s="1577" t="s">
        <v>636</v>
      </c>
      <c r="C54" s="64" t="str">
        <f t="shared" si="0"/>
        <v xml:space="preserve"> </v>
      </c>
      <c r="D54" s="1535">
        <v>2</v>
      </c>
      <c r="E54" s="1044" t="str">
        <f>VLOOKUP($B54,DG!A:D,DG!$B$2,)</f>
        <v>04.4001</v>
      </c>
      <c r="F54" s="1056" t="str">
        <f>VLOOKUP($B54,DG!A:D,DG!$C$2,)</f>
        <v>Đà cản BTCT 1,2m</v>
      </c>
      <c r="G54" s="1044" t="str">
        <f>VLOOKUP($B54,DG!A:D,DG!$D$2,)</f>
        <v>cái</v>
      </c>
      <c r="H54" s="1823">
        <f t="shared" ref="H54:N55" si="7">H$53*$D54</f>
        <v>0</v>
      </c>
      <c r="I54" s="1823">
        <f t="shared" si="7"/>
        <v>0</v>
      </c>
      <c r="J54" s="1823">
        <f t="shared" si="7"/>
        <v>0</v>
      </c>
      <c r="K54" s="1823">
        <f t="shared" si="7"/>
        <v>0</v>
      </c>
      <c r="L54" s="1823">
        <f t="shared" si="7"/>
        <v>0</v>
      </c>
      <c r="M54" s="1823">
        <f t="shared" si="7"/>
        <v>0</v>
      </c>
      <c r="N54" s="1823">
        <f t="shared" si="7"/>
        <v>0</v>
      </c>
      <c r="O54" s="1823"/>
      <c r="P54" s="1823"/>
      <c r="Q54" s="1053"/>
      <c r="R54" s="1053"/>
      <c r="S54" s="1053"/>
      <c r="T54" s="2035">
        <f t="shared" si="1"/>
        <v>0</v>
      </c>
    </row>
    <row r="55" spans="1:20" ht="22.2" hidden="1" customHeight="1">
      <c r="A55" s="59"/>
      <c r="B55" s="1577" t="s">
        <v>720</v>
      </c>
      <c r="C55" s="64" t="str">
        <f t="shared" si="0"/>
        <v xml:space="preserve"> </v>
      </c>
      <c r="D55" s="1535">
        <v>2</v>
      </c>
      <c r="E55" s="1044"/>
      <c r="F55" s="1056" t="str">
        <f>VLOOKUP($B55,DG!A:D,DG!$C$2,)</f>
        <v>Boulon 22x750+ 2 long đền vuông D24-50x50x3/Zn</v>
      </c>
      <c r="G55" s="1044" t="str">
        <f>VLOOKUP($B55,DG!A:D,DG!$D$2,)</f>
        <v>bộ</v>
      </c>
      <c r="H55" s="1823">
        <f t="shared" si="7"/>
        <v>0</v>
      </c>
      <c r="I55" s="1823">
        <f t="shared" si="7"/>
        <v>0</v>
      </c>
      <c r="J55" s="1823">
        <f t="shared" si="7"/>
        <v>0</v>
      </c>
      <c r="K55" s="1823">
        <f t="shared" si="7"/>
        <v>0</v>
      </c>
      <c r="L55" s="1823">
        <f t="shared" si="7"/>
        <v>0</v>
      </c>
      <c r="M55" s="1823">
        <f t="shared" si="7"/>
        <v>0</v>
      </c>
      <c r="N55" s="1823">
        <f t="shared" si="7"/>
        <v>0</v>
      </c>
      <c r="O55" s="1823"/>
      <c r="P55" s="1823"/>
      <c r="Q55" s="1053"/>
      <c r="R55" s="1053"/>
      <c r="S55" s="1053"/>
      <c r="T55" s="2035">
        <f t="shared" si="1"/>
        <v>0</v>
      </c>
    </row>
    <row r="56" spans="1:20" ht="22.2" hidden="1" customHeight="1">
      <c r="A56" s="59"/>
      <c r="B56" s="1577" t="s">
        <v>1816</v>
      </c>
      <c r="C56" s="64" t="str">
        <f t="shared" si="0"/>
        <v xml:space="preserve"> </v>
      </c>
      <c r="D56" s="1533">
        <v>0.155</v>
      </c>
      <c r="E56" s="1044">
        <f>VLOOKUP($B56,DG!A:D,DG!$B$2,)</f>
        <v>0</v>
      </c>
      <c r="F56" s="1049" t="str">
        <f>VLOOKUP($B56,DG!A:D,DG!$C$2,)</f>
        <v>Đá 2x4</v>
      </c>
      <c r="G56" s="1044" t="str">
        <f>VLOOKUP($B56,DG!A:D,DG!$D$2,)</f>
        <v>m3</v>
      </c>
      <c r="H56" s="1823">
        <f t="shared" ref="H56:N56" si="8">H$18*$D56</f>
        <v>0</v>
      </c>
      <c r="I56" s="1823">
        <f t="shared" si="8"/>
        <v>0</v>
      </c>
      <c r="J56" s="1823">
        <f t="shared" si="8"/>
        <v>0</v>
      </c>
      <c r="K56" s="1823">
        <f t="shared" si="8"/>
        <v>0</v>
      </c>
      <c r="L56" s="1823">
        <f t="shared" si="8"/>
        <v>0</v>
      </c>
      <c r="M56" s="1823">
        <f t="shared" si="8"/>
        <v>0</v>
      </c>
      <c r="N56" s="1823">
        <f t="shared" si="8"/>
        <v>0</v>
      </c>
      <c r="O56" s="1823"/>
      <c r="P56" s="1823"/>
      <c r="Q56" s="1053"/>
      <c r="R56" s="1053"/>
      <c r="S56" s="1053"/>
      <c r="T56" s="2035">
        <f t="shared" si="1"/>
        <v>0</v>
      </c>
    </row>
    <row r="57" spans="1:20" ht="22.2" hidden="1" customHeight="1">
      <c r="A57" s="59"/>
      <c r="B57" s="1577" t="s">
        <v>639</v>
      </c>
      <c r="C57" s="64" t="str">
        <f t="shared" si="0"/>
        <v xml:space="preserve"> </v>
      </c>
      <c r="D57" s="1534">
        <v>1.9</v>
      </c>
      <c r="E57" s="1044" t="str">
        <f>VLOOKUP($B57,DG!A:D,DG!$B$2,)</f>
        <v>03.1013</v>
      </c>
      <c r="F57" s="1049" t="str">
        <f>VLOOKUP($B57,DG!A:D,DG!$C$2,)</f>
        <v>Đào hố móng đất cấp 3 sâu &gt;1m</v>
      </c>
      <c r="G57" s="1044" t="str">
        <f>VLOOKUP($B57,DG!A:D,DG!$D$2,)</f>
        <v>m3</v>
      </c>
      <c r="H57" s="1823"/>
      <c r="I57" s="1823"/>
      <c r="J57" s="1823"/>
      <c r="K57" s="1823"/>
      <c r="L57" s="1823"/>
      <c r="M57" s="1823"/>
      <c r="N57" s="1823"/>
      <c r="O57" s="1823"/>
      <c r="P57" s="1823"/>
      <c r="Q57" s="1058"/>
      <c r="R57" s="1058"/>
      <c r="S57" s="1058"/>
      <c r="T57" s="2035">
        <f t="shared" si="1"/>
        <v>0</v>
      </c>
    </row>
    <row r="58" spans="1:20" ht="22.2" hidden="1" customHeight="1">
      <c r="A58" s="59"/>
      <c r="B58" s="1577" t="s">
        <v>21</v>
      </c>
      <c r="C58" s="64" t="str">
        <f t="shared" si="0"/>
        <v xml:space="preserve"> </v>
      </c>
      <c r="D58" s="1534">
        <v>2.4</v>
      </c>
      <c r="E58" s="1044" t="str">
        <f>VLOOKUP($B58,DG!A:D,DG!$B$2,)</f>
        <v>03.4113</v>
      </c>
      <c r="F58" s="1049" t="str">
        <f>VLOOKUP($B58,DG!A:D,DG!$C$2,)</f>
        <v>Đắp đất hố móng, độ chặt k=0,95</v>
      </c>
      <c r="G58" s="1044" t="str">
        <f>VLOOKUP($B58,DG!A:D,DG!$D$2,)</f>
        <v>m3</v>
      </c>
      <c r="H58" s="1823"/>
      <c r="I58" s="1823"/>
      <c r="J58" s="1823"/>
      <c r="K58" s="1823"/>
      <c r="L58" s="1823"/>
      <c r="M58" s="1823"/>
      <c r="N58" s="1823"/>
      <c r="O58" s="1823"/>
      <c r="P58" s="1823"/>
      <c r="Q58" s="1058"/>
      <c r="R58" s="1058"/>
      <c r="S58" s="1058"/>
      <c r="T58" s="2035">
        <f t="shared" si="1"/>
        <v>0</v>
      </c>
    </row>
    <row r="59" spans="1:20" ht="22.2" hidden="1" customHeight="1">
      <c r="A59" s="59"/>
      <c r="B59" s="1577" t="s">
        <v>637</v>
      </c>
      <c r="C59" s="64" t="str">
        <f t="shared" si="0"/>
        <v xml:space="preserve"> </v>
      </c>
      <c r="D59" s="1534">
        <f>0.1*D54</f>
        <v>0.2</v>
      </c>
      <c r="E59" s="1044" t="str">
        <f>VLOOKUP($B59,DG!A:D,DG!$B$2,)</f>
        <v>02.1123</v>
      </c>
      <c r="F59" s="1049" t="str">
        <f>VLOOKUP($B59,DG!A:D,DG!$C$2,)</f>
        <v>Bốc dỡ đà cản, đế néo</v>
      </c>
      <c r="G59" s="1044" t="str">
        <f>VLOOKUP($B59,DG!A:D,DG!$D$2,)</f>
        <v>tấn</v>
      </c>
      <c r="H59" s="1823"/>
      <c r="I59" s="1823"/>
      <c r="J59" s="1823"/>
      <c r="K59" s="1823"/>
      <c r="L59" s="1823"/>
      <c r="M59" s="1823"/>
      <c r="N59" s="1823"/>
      <c r="O59" s="1823"/>
      <c r="P59" s="1823"/>
      <c r="Q59" s="1053"/>
      <c r="R59" s="1053"/>
      <c r="S59" s="1053"/>
      <c r="T59" s="2035">
        <f t="shared" si="1"/>
        <v>0</v>
      </c>
    </row>
    <row r="60" spans="1:20" ht="22.2" hidden="1" customHeight="1">
      <c r="A60" s="59"/>
      <c r="B60" s="1588" t="s">
        <v>2069</v>
      </c>
      <c r="C60" s="64" t="str">
        <f t="shared" si="0"/>
        <v xml:space="preserve"> </v>
      </c>
      <c r="D60" s="1534">
        <f>D59</f>
        <v>0.2</v>
      </c>
      <c r="E60" s="1044" t="str">
        <f>VLOOKUP($B60,DG!A:C,2,)</f>
        <v>02.1451</v>
      </c>
      <c r="F60" s="1049" t="str">
        <f>VLOOKUP($B60,DG!A:C,3,)</f>
        <v>V/c đà cản vào vị trí (cự ly &lt;=100m)</v>
      </c>
      <c r="G60" s="1044" t="str">
        <f>VLOOKUP($B60,DG!A:D,4,0)</f>
        <v>tấn</v>
      </c>
      <c r="H60" s="1823"/>
      <c r="I60" s="1823"/>
      <c r="J60" s="1823"/>
      <c r="K60" s="1823"/>
      <c r="L60" s="1823"/>
      <c r="M60" s="1823"/>
      <c r="N60" s="1823"/>
      <c r="O60" s="1823"/>
      <c r="P60" s="1823"/>
      <c r="Q60" s="1058"/>
      <c r="R60" s="1058"/>
      <c r="S60" s="1058"/>
      <c r="T60" s="2035">
        <f t="shared" si="1"/>
        <v>0</v>
      </c>
    </row>
    <row r="61" spans="1:20" ht="22.2" hidden="1" customHeight="1">
      <c r="A61" s="59"/>
      <c r="B61" s="1588" t="s">
        <v>674</v>
      </c>
      <c r="C61" s="64" t="str">
        <f t="shared" si="0"/>
        <v xml:space="preserve"> </v>
      </c>
      <c r="D61" s="1533">
        <f>D56</f>
        <v>0.155</v>
      </c>
      <c r="E61" s="1044" t="str">
        <f>VLOOKUP($B61,DG!A:C,2,)</f>
        <v>02.1241</v>
      </c>
      <c r="F61" s="1049" t="str">
        <f>VLOOKUP($B61,DG!A:C,3,)</f>
        <v>V/c đá dăm ( cự ly &lt;=100m)</v>
      </c>
      <c r="G61" s="1044" t="str">
        <f>VLOOKUP($B61,DG!A:D,4,0)</f>
        <v>m3</v>
      </c>
      <c r="H61" s="1823"/>
      <c r="I61" s="1823"/>
      <c r="J61" s="1823"/>
      <c r="K61" s="1823"/>
      <c r="L61" s="1823"/>
      <c r="M61" s="1823"/>
      <c r="N61" s="1823"/>
      <c r="O61" s="1823"/>
      <c r="P61" s="1823"/>
      <c r="Q61" s="1058"/>
      <c r="R61" s="1058"/>
      <c r="S61" s="1058"/>
      <c r="T61" s="2035">
        <f t="shared" si="1"/>
        <v>0</v>
      </c>
    </row>
    <row r="62" spans="1:20" ht="22.2" hidden="1" customHeight="1">
      <c r="A62" s="59"/>
      <c r="B62" s="1588" t="s">
        <v>635</v>
      </c>
      <c r="C62" s="64" t="str">
        <f t="shared" si="0"/>
        <v xml:space="preserve"> </v>
      </c>
      <c r="D62" s="1534">
        <v>0.2</v>
      </c>
      <c r="E62" s="1044" t="str">
        <f>VLOOKUP($B62,DG!A:C,2,)</f>
        <v>02.1482</v>
      </c>
      <c r="F62" s="1049" t="str">
        <f>VLOOKUP($B62,DG!A:C,3,)</f>
        <v>V/c dụng cụ thi công vào vị trí (cự ly &lt;=100m)</v>
      </c>
      <c r="G62" s="1044" t="str">
        <f>VLOOKUP($B62,DG!A:D,4,0)</f>
        <v>tấn</v>
      </c>
      <c r="H62" s="1823"/>
      <c r="I62" s="1823"/>
      <c r="J62" s="1823"/>
      <c r="K62" s="1823"/>
      <c r="L62" s="1823"/>
      <c r="M62" s="1823"/>
      <c r="N62" s="1823"/>
      <c r="O62" s="1823"/>
      <c r="P62" s="1823"/>
      <c r="Q62" s="1058"/>
      <c r="R62" s="1058"/>
      <c r="S62" s="1058"/>
      <c r="T62" s="2035">
        <f t="shared" si="1"/>
        <v>0</v>
      </c>
    </row>
    <row r="63" spans="1:20" ht="22.2" hidden="1" customHeight="1">
      <c r="A63" s="56" t="s">
        <v>958</v>
      </c>
      <c r="B63" s="1574" t="s">
        <v>958</v>
      </c>
      <c r="C63" s="62" t="str">
        <f t="shared" si="0"/>
        <v xml:space="preserve"> </v>
      </c>
      <c r="D63" s="1532"/>
      <c r="E63" s="1045"/>
      <c r="F63" s="1392" t="s">
        <v>2339</v>
      </c>
      <c r="G63" s="1046" t="s">
        <v>2333</v>
      </c>
      <c r="H63" s="1821">
        <f>SUM(I63:O63)</f>
        <v>0</v>
      </c>
      <c r="I63" s="1822"/>
      <c r="J63" s="1822"/>
      <c r="K63" s="1822">
        <f>IFERROR(HLOOKUP(B63,pp3p1m!$1:$3,3,0),0)</f>
        <v>0</v>
      </c>
      <c r="L63" s="1822">
        <f>IFERROR(HLOOKUP(chitiet!B63,pp1p!$1:$3,3,0),0)</f>
        <v>0</v>
      </c>
      <c r="M63" s="1822"/>
      <c r="N63" s="1822"/>
      <c r="O63" s="1822"/>
      <c r="P63" s="1822">
        <f>H63+Q63-R63</f>
        <v>0</v>
      </c>
      <c r="Q63" s="1047"/>
      <c r="R63" s="1047"/>
      <c r="S63" s="1047"/>
      <c r="T63" s="2035">
        <f>IFERROR(HLOOKUP(B63,pp1p!$1:$3,3,0),0)+IFERROR(HLOOKUP(B63,pp3p1m!$1:$3,3,0),0)</f>
        <v>0</v>
      </c>
    </row>
    <row r="64" spans="1:20" ht="22.2" hidden="1" customHeight="1">
      <c r="A64" s="63"/>
      <c r="B64" s="1589" t="s">
        <v>639</v>
      </c>
      <c r="C64" s="64" t="str">
        <f t="shared" si="0"/>
        <v xml:space="preserve"> </v>
      </c>
      <c r="D64" s="1536">
        <v>0.13500000000000001</v>
      </c>
      <c r="E64" s="1048" t="str">
        <f>VLOOKUP($B64,DG!A:D,DG!$B$2,)</f>
        <v>03.1013</v>
      </c>
      <c r="F64" s="1049" t="str">
        <f>VLOOKUP($B64,DG!A:D,DG!$C$2,)</f>
        <v>Đào hố móng đất cấp 3 sâu &gt;1m</v>
      </c>
      <c r="G64" s="1048" t="str">
        <f>VLOOKUP($B64,DG!A:D,DG!$D$2,)</f>
        <v>m3</v>
      </c>
      <c r="H64" s="1824">
        <f>$H$63*D64</f>
        <v>0</v>
      </c>
      <c r="I64" s="1824"/>
      <c r="J64" s="1824"/>
      <c r="K64" s="1824"/>
      <c r="L64" s="1824"/>
      <c r="M64" s="1824"/>
      <c r="N64" s="1824"/>
      <c r="O64" s="1824"/>
      <c r="P64" s="1824">
        <f>$P$63*D64</f>
        <v>0</v>
      </c>
      <c r="Q64" s="1055"/>
      <c r="R64" s="1055"/>
      <c r="S64" s="1055"/>
      <c r="T64" s="2035">
        <f t="shared" si="1"/>
        <v>0</v>
      </c>
    </row>
    <row r="65" spans="1:20" ht="22.2" hidden="1" customHeight="1">
      <c r="A65" s="63"/>
      <c r="B65" s="1589" t="s">
        <v>21</v>
      </c>
      <c r="C65" s="64" t="str">
        <f t="shared" si="0"/>
        <v xml:space="preserve"> </v>
      </c>
      <c r="D65" s="1536">
        <f>D64</f>
        <v>0.13500000000000001</v>
      </c>
      <c r="E65" s="1048" t="str">
        <f>VLOOKUP($B65,DG!A:D,DG!$B$2,)</f>
        <v>03.4113</v>
      </c>
      <c r="F65" s="1049" t="str">
        <f>VLOOKUP($B65,DG!A:D,DG!$C$2,)</f>
        <v>Đắp đất hố móng, độ chặt k=0,95</v>
      </c>
      <c r="G65" s="1048" t="str">
        <f>VLOOKUP($B65,DG!A:D,DG!$D$2,)</f>
        <v>m3</v>
      </c>
      <c r="H65" s="1824">
        <f>$H$63*D65</f>
        <v>0</v>
      </c>
      <c r="I65" s="1824"/>
      <c r="J65" s="1824"/>
      <c r="K65" s="1824"/>
      <c r="L65" s="1824"/>
      <c r="M65" s="1824"/>
      <c r="N65" s="1824"/>
      <c r="O65" s="1824"/>
      <c r="P65" s="1824">
        <f>$P$63*D65</f>
        <v>0</v>
      </c>
      <c r="Q65" s="1055"/>
      <c r="R65" s="1055"/>
      <c r="S65" s="1055"/>
      <c r="T65" s="2035">
        <f t="shared" si="1"/>
        <v>0</v>
      </c>
    </row>
    <row r="66" spans="1:20" ht="22.2" hidden="1" customHeight="1">
      <c r="A66" s="63"/>
      <c r="B66" s="1575" t="s">
        <v>635</v>
      </c>
      <c r="C66" s="64" t="str">
        <f t="shared" si="0"/>
        <v xml:space="preserve"> </v>
      </c>
      <c r="D66" s="1537"/>
      <c r="E66" s="1048" t="str">
        <f>VLOOKUP($B66,DG!A:C,2,)</f>
        <v>02.1482</v>
      </c>
      <c r="F66" s="1049" t="str">
        <f>VLOOKUP($B66,DG!A:C,3,)</f>
        <v>V/c dụng cụ thi công vào vị trí (cự ly &lt;=100m)</v>
      </c>
      <c r="G66" s="1048" t="str">
        <f>VLOOKUP($B66,DG!A:D,4,0)</f>
        <v>tấn</v>
      </c>
      <c r="H66" s="1824"/>
      <c r="I66" s="1824"/>
      <c r="J66" s="1824"/>
      <c r="K66" s="1824"/>
      <c r="L66" s="1824"/>
      <c r="M66" s="1824"/>
      <c r="N66" s="1824"/>
      <c r="O66" s="1824"/>
      <c r="P66" s="1824"/>
      <c r="Q66" s="1055"/>
      <c r="R66" s="1055"/>
      <c r="S66" s="1055"/>
      <c r="T66" s="2035">
        <f t="shared" si="1"/>
        <v>0</v>
      </c>
    </row>
    <row r="67" spans="1:20" ht="22.2" hidden="1" customHeight="1">
      <c r="A67" s="56" t="s">
        <v>2182</v>
      </c>
      <c r="B67" s="1574" t="s">
        <v>2182</v>
      </c>
      <c r="C67" s="62" t="str">
        <f t="shared" si="0"/>
        <v xml:space="preserve"> </v>
      </c>
      <c r="D67" s="1532"/>
      <c r="E67" s="1045"/>
      <c r="F67" s="1392" t="s">
        <v>2340</v>
      </c>
      <c r="G67" s="1046" t="s">
        <v>2333</v>
      </c>
      <c r="H67" s="1821">
        <f>SUM(I67:O67)</f>
        <v>0</v>
      </c>
      <c r="I67" s="1822"/>
      <c r="J67" s="1822"/>
      <c r="K67" s="1822">
        <f>IFERROR(HLOOKUP(B67,pp3p1m!$1:$3,3,0),0)</f>
        <v>0</v>
      </c>
      <c r="L67" s="1822">
        <f>IFERROR(HLOOKUP(chitiet!B67,pp1p!$1:$3,3,0),0)</f>
        <v>0</v>
      </c>
      <c r="M67" s="1822"/>
      <c r="N67" s="1822"/>
      <c r="O67" s="1822"/>
      <c r="P67" s="1822"/>
      <c r="Q67" s="1047"/>
      <c r="R67" s="1047"/>
      <c r="S67" s="1047"/>
      <c r="T67" s="2035">
        <f>IFERROR(HLOOKUP(B67,pp1p!$1:$3,3,0),0)+IFERROR(HLOOKUP(B67,pp3p1m!$1:$3,3,0),0)</f>
        <v>0</v>
      </c>
    </row>
    <row r="68" spans="1:20" ht="22.2" hidden="1" customHeight="1">
      <c r="A68" s="63"/>
      <c r="B68" s="1589" t="s">
        <v>636</v>
      </c>
      <c r="C68" s="64" t="str">
        <f t="shared" si="0"/>
        <v xml:space="preserve"> </v>
      </c>
      <c r="D68" s="1538">
        <v>1</v>
      </c>
      <c r="E68" s="1044" t="str">
        <f>VLOOKUP($B68,DG!A:D,DG!$B$2,)</f>
        <v>04.4001</v>
      </c>
      <c r="F68" s="1054" t="str">
        <f>VLOOKUP($B68,DG!A:D,DG!$C$2,)</f>
        <v>Đà cản BTCT 1,2m</v>
      </c>
      <c r="G68" s="1048" t="str">
        <f>VLOOKUP($B68,DG!A:D,DG!$D$2,)</f>
        <v>cái</v>
      </c>
      <c r="H68" s="1824"/>
      <c r="I68" s="1824">
        <f t="shared" ref="I68:L69" si="9">I$63*$D68</f>
        <v>0</v>
      </c>
      <c r="J68" s="1824">
        <f t="shared" si="9"/>
        <v>0</v>
      </c>
      <c r="K68" s="1824">
        <f t="shared" si="9"/>
        <v>0</v>
      </c>
      <c r="L68" s="1824">
        <f t="shared" si="9"/>
        <v>0</v>
      </c>
      <c r="M68" s="1824">
        <f t="shared" ref="M68:O69" si="10">M$67*$D68</f>
        <v>0</v>
      </c>
      <c r="N68" s="1824">
        <f t="shared" si="10"/>
        <v>0</v>
      </c>
      <c r="O68" s="1824">
        <f t="shared" si="10"/>
        <v>0</v>
      </c>
      <c r="P68" s="1824"/>
      <c r="Q68" s="1052"/>
      <c r="R68" s="1052"/>
      <c r="S68" s="1052"/>
      <c r="T68" s="2035">
        <f t="shared" si="1"/>
        <v>0</v>
      </c>
    </row>
    <row r="69" spans="1:20" ht="22.2" hidden="1" customHeight="1">
      <c r="A69" s="63"/>
      <c r="B69" s="1589" t="s">
        <v>719</v>
      </c>
      <c r="C69" s="64" t="str">
        <f t="shared" si="0"/>
        <v xml:space="preserve"> </v>
      </c>
      <c r="D69" s="1538">
        <v>1</v>
      </c>
      <c r="E69" s="1048"/>
      <c r="F69" s="1054" t="str">
        <f>VLOOKUP($B69,DG!A:D,DG!$C$2,)</f>
        <v>Boulon 22x550/100+ 2 long đền vuông D24-50x50x3/Zn</v>
      </c>
      <c r="G69" s="1048" t="str">
        <f>VLOOKUP($B69,DG!A:D,DG!$D$2,)</f>
        <v>bộ</v>
      </c>
      <c r="H69" s="1824"/>
      <c r="I69" s="1824">
        <f t="shared" si="9"/>
        <v>0</v>
      </c>
      <c r="J69" s="1824">
        <f t="shared" si="9"/>
        <v>0</v>
      </c>
      <c r="K69" s="1824">
        <f t="shared" si="9"/>
        <v>0</v>
      </c>
      <c r="L69" s="1824">
        <f t="shared" si="9"/>
        <v>0</v>
      </c>
      <c r="M69" s="1824">
        <f t="shared" si="10"/>
        <v>0</v>
      </c>
      <c r="N69" s="1824">
        <f t="shared" si="10"/>
        <v>0</v>
      </c>
      <c r="O69" s="1824">
        <f t="shared" si="10"/>
        <v>0</v>
      </c>
      <c r="P69" s="1824"/>
      <c r="Q69" s="1052"/>
      <c r="R69" s="1052"/>
      <c r="S69" s="1052"/>
      <c r="T69" s="2035">
        <f t="shared" si="1"/>
        <v>0</v>
      </c>
    </row>
    <row r="70" spans="1:20" ht="22.2" hidden="1" customHeight="1">
      <c r="A70" s="63"/>
      <c r="B70" s="1589" t="s">
        <v>639</v>
      </c>
      <c r="C70" s="64" t="str">
        <f t="shared" si="0"/>
        <v xml:space="preserve"> </v>
      </c>
      <c r="D70" s="1537">
        <v>0.73</v>
      </c>
      <c r="E70" s="1048" t="str">
        <f>VLOOKUP($B70,DG!A:D,DG!$B$2,)</f>
        <v>03.1013</v>
      </c>
      <c r="F70" s="1049" t="str">
        <f>VLOOKUP($B70,DG!A:D,DG!$C$2,)</f>
        <v>Đào hố móng đất cấp 3 sâu &gt;1m</v>
      </c>
      <c r="G70" s="1048" t="str">
        <f>VLOOKUP($B70,DG!A:D,DG!$D$2,)</f>
        <v>m3</v>
      </c>
      <c r="H70" s="1824"/>
      <c r="I70" s="1824"/>
      <c r="J70" s="1824"/>
      <c r="K70" s="1824"/>
      <c r="L70" s="1824"/>
      <c r="M70" s="1824"/>
      <c r="N70" s="1824"/>
      <c r="O70" s="1824"/>
      <c r="P70" s="1824"/>
      <c r="Q70" s="1055"/>
      <c r="R70" s="1055"/>
      <c r="S70" s="1055"/>
      <c r="T70" s="2035">
        <f t="shared" si="1"/>
        <v>0</v>
      </c>
    </row>
    <row r="71" spans="1:20" ht="22.2" hidden="1" customHeight="1">
      <c r="A71" s="63"/>
      <c r="B71" s="1589" t="s">
        <v>21</v>
      </c>
      <c r="C71" s="64" t="str">
        <f t="shared" si="0"/>
        <v xml:space="preserve"> </v>
      </c>
      <c r="D71" s="1537">
        <f>+D70</f>
        <v>0.73</v>
      </c>
      <c r="E71" s="1048" t="str">
        <f>VLOOKUP($B71,DG!A:D,DG!$B$2,)</f>
        <v>03.4113</v>
      </c>
      <c r="F71" s="1049" t="str">
        <f>VLOOKUP($B71,DG!A:D,DG!$C$2,)</f>
        <v>Đắp đất hố móng, độ chặt k=0,95</v>
      </c>
      <c r="G71" s="1048" t="str">
        <f>VLOOKUP($B71,DG!A:D,DG!$D$2,)</f>
        <v>m3</v>
      </c>
      <c r="H71" s="1824"/>
      <c r="I71" s="1824"/>
      <c r="J71" s="1824"/>
      <c r="K71" s="1824"/>
      <c r="L71" s="1824"/>
      <c r="M71" s="1824"/>
      <c r="N71" s="1824"/>
      <c r="O71" s="1824"/>
      <c r="P71" s="1824"/>
      <c r="Q71" s="1055"/>
      <c r="R71" s="1055"/>
      <c r="S71" s="1055"/>
      <c r="T71" s="2035">
        <f t="shared" si="1"/>
        <v>0</v>
      </c>
    </row>
    <row r="72" spans="1:20" ht="22.2" hidden="1" customHeight="1">
      <c r="A72" s="63"/>
      <c r="B72" s="1589" t="s">
        <v>637</v>
      </c>
      <c r="C72" s="64" t="str">
        <f t="shared" si="0"/>
        <v xml:space="preserve"> </v>
      </c>
      <c r="D72" s="1537"/>
      <c r="E72" s="1048" t="str">
        <f>VLOOKUP($B72,DG!A:D,DG!$B$2,)</f>
        <v>02.1123</v>
      </c>
      <c r="F72" s="1049" t="str">
        <f>VLOOKUP($B72,DG!A:D,DG!$C$2,)</f>
        <v>Bốc dỡ đà cản, đế néo</v>
      </c>
      <c r="G72" s="1048" t="str">
        <f>VLOOKUP($B72,DG!A:D,DG!$D$2,)</f>
        <v>tấn</v>
      </c>
      <c r="H72" s="1824"/>
      <c r="I72" s="1824"/>
      <c r="J72" s="1824"/>
      <c r="K72" s="1824"/>
      <c r="L72" s="1824"/>
      <c r="M72" s="1824"/>
      <c r="N72" s="1824"/>
      <c r="O72" s="1824"/>
      <c r="P72" s="1824"/>
      <c r="Q72" s="1052"/>
      <c r="R72" s="1052"/>
      <c r="S72" s="1052"/>
      <c r="T72" s="2035">
        <f t="shared" si="1"/>
        <v>0</v>
      </c>
    </row>
    <row r="73" spans="1:20" ht="22.2" hidden="1" customHeight="1">
      <c r="A73" s="63"/>
      <c r="B73" s="1575" t="s">
        <v>2069</v>
      </c>
      <c r="C73" s="64" t="str">
        <f t="shared" si="0"/>
        <v xml:space="preserve"> </v>
      </c>
      <c r="D73" s="1537"/>
      <c r="E73" s="1048" t="str">
        <f>VLOOKUP($B73,DG!A:C,2,)</f>
        <v>02.1451</v>
      </c>
      <c r="F73" s="1049" t="str">
        <f>VLOOKUP($B73,DG!A:C,3,)</f>
        <v>V/c đà cản vào vị trí (cự ly &lt;=100m)</v>
      </c>
      <c r="G73" s="1048" t="str">
        <f>VLOOKUP($B73,DG!A:D,4,0)</f>
        <v>tấn</v>
      </c>
      <c r="H73" s="1824"/>
      <c r="I73" s="1824"/>
      <c r="J73" s="1824"/>
      <c r="K73" s="1824"/>
      <c r="L73" s="1824"/>
      <c r="M73" s="1824"/>
      <c r="N73" s="1824"/>
      <c r="O73" s="1824"/>
      <c r="P73" s="1824"/>
      <c r="Q73" s="1055"/>
      <c r="R73" s="1055"/>
      <c r="S73" s="1055"/>
      <c r="T73" s="2035">
        <f t="shared" si="1"/>
        <v>0</v>
      </c>
    </row>
    <row r="74" spans="1:20" ht="22.2" hidden="1" customHeight="1">
      <c r="A74" s="63"/>
      <c r="B74" s="1575" t="s">
        <v>635</v>
      </c>
      <c r="C74" s="64" t="str">
        <f t="shared" si="0"/>
        <v xml:space="preserve"> </v>
      </c>
      <c r="D74" s="1537"/>
      <c r="E74" s="1048" t="str">
        <f>VLOOKUP($B74,DG!A:C,2,)</f>
        <v>02.1482</v>
      </c>
      <c r="F74" s="1049" t="str">
        <f>VLOOKUP($B74,DG!A:C,3,)</f>
        <v>V/c dụng cụ thi công vào vị trí (cự ly &lt;=100m)</v>
      </c>
      <c r="G74" s="1048" t="str">
        <f>VLOOKUP($B74,DG!A:D,4,0)</f>
        <v>tấn</v>
      </c>
      <c r="H74" s="1824"/>
      <c r="I74" s="1824"/>
      <c r="J74" s="1824"/>
      <c r="K74" s="1824"/>
      <c r="L74" s="1824"/>
      <c r="M74" s="1824"/>
      <c r="N74" s="1824"/>
      <c r="O74" s="1824"/>
      <c r="P74" s="1824"/>
      <c r="Q74" s="1055"/>
      <c r="R74" s="1055"/>
      <c r="S74" s="1055"/>
      <c r="T74" s="2035">
        <f t="shared" si="1"/>
        <v>0</v>
      </c>
    </row>
    <row r="75" spans="1:20" ht="22.2" hidden="1" customHeight="1">
      <c r="A75" s="56" t="s">
        <v>2321</v>
      </c>
      <c r="B75" s="1574" t="s">
        <v>2321</v>
      </c>
      <c r="C75" s="62" t="str">
        <f t="shared" si="0"/>
        <v xml:space="preserve"> </v>
      </c>
      <c r="D75" s="1532"/>
      <c r="E75" s="1045"/>
      <c r="F75" s="1392" t="s">
        <v>2341</v>
      </c>
      <c r="G75" s="1046" t="s">
        <v>2333</v>
      </c>
      <c r="H75" s="1821">
        <f>SUM(I75:O75)</f>
        <v>0</v>
      </c>
      <c r="I75" s="1822"/>
      <c r="J75" s="1822"/>
      <c r="K75" s="1822">
        <f>IFERROR(HLOOKUP(B75,pp3p1m!$1:$3,3,0),0)</f>
        <v>0</v>
      </c>
      <c r="L75" s="1822">
        <f>IFERROR(HLOOKUP(chitiet!B75,pp1p!$1:$3,3,0),0)</f>
        <v>0</v>
      </c>
      <c r="M75" s="1822"/>
      <c r="N75" s="1822"/>
      <c r="O75" s="1822"/>
      <c r="P75" s="1822"/>
      <c r="Q75" s="1047"/>
      <c r="R75" s="1047"/>
      <c r="S75" s="1047"/>
      <c r="T75" s="2035">
        <f>IFERROR(HLOOKUP(B75,pp1p!$1:$3,3,0),0)+IFERROR(HLOOKUP(B75,pp3p1m!$1:$3,3,0),0)</f>
        <v>0</v>
      </c>
    </row>
    <row r="76" spans="1:20" ht="22.2" hidden="1" customHeight="1">
      <c r="A76" s="63"/>
      <c r="B76" s="1575" t="s">
        <v>751</v>
      </c>
      <c r="C76" s="64" t="str">
        <f t="shared" si="0"/>
        <v xml:space="preserve"> </v>
      </c>
      <c r="D76" s="1539">
        <v>116</v>
      </c>
      <c r="E76" s="1048">
        <f>VLOOKUP($B76,DG!A:D,DG!$B$2,)</f>
        <v>0</v>
      </c>
      <c r="F76" s="1049" t="str">
        <f>VLOOKUP($B76,DG!A:D,DG!$C$2,)</f>
        <v>Ximăng (PC40)</v>
      </c>
      <c r="G76" s="1048" t="str">
        <f>VLOOKUP($B76,DG!A:D,DG!$D$2,)</f>
        <v>kg</v>
      </c>
      <c r="H76" s="1824">
        <f t="shared" ref="H76:O80" si="11">H$75*$D76</f>
        <v>0</v>
      </c>
      <c r="I76" s="1824">
        <f t="shared" si="11"/>
        <v>0</v>
      </c>
      <c r="J76" s="1824">
        <f t="shared" si="11"/>
        <v>0</v>
      </c>
      <c r="K76" s="1824">
        <f t="shared" si="11"/>
        <v>0</v>
      </c>
      <c r="L76" s="1824">
        <f t="shared" si="11"/>
        <v>0</v>
      </c>
      <c r="M76" s="1824">
        <f t="shared" si="11"/>
        <v>0</v>
      </c>
      <c r="N76" s="1824">
        <f t="shared" si="11"/>
        <v>0</v>
      </c>
      <c r="O76" s="1824">
        <f t="shared" si="11"/>
        <v>0</v>
      </c>
      <c r="P76" s="1824"/>
      <c r="Q76" s="1052"/>
      <c r="R76" s="1052"/>
      <c r="S76" s="1052"/>
      <c r="T76" s="2035">
        <f t="shared" si="1"/>
        <v>0</v>
      </c>
    </row>
    <row r="77" spans="1:20" ht="22.2" hidden="1" customHeight="1">
      <c r="A77" s="63"/>
      <c r="B77" s="1576" t="s">
        <v>4440</v>
      </c>
      <c r="C77" s="64" t="str">
        <f t="shared" si="0"/>
        <v xml:space="preserve"> </v>
      </c>
      <c r="D77" s="1536">
        <v>0.186</v>
      </c>
      <c r="E77" s="1048">
        <f>VLOOKUP($B77,DG!A:D,DG!$B$2,)</f>
        <v>0</v>
      </c>
      <c r="F77" s="1049" t="str">
        <f>VLOOKUP($B77,DG!A:D,DG!$C$2,)</f>
        <v>Cát vàng</v>
      </c>
      <c r="G77" s="1048" t="str">
        <f>VLOOKUP($B77,DG!A:D,DG!$D$2,)</f>
        <v>m3</v>
      </c>
      <c r="H77" s="1824">
        <f t="shared" si="11"/>
        <v>0</v>
      </c>
      <c r="I77" s="1824">
        <f t="shared" si="11"/>
        <v>0</v>
      </c>
      <c r="J77" s="1824">
        <f t="shared" si="11"/>
        <v>0</v>
      </c>
      <c r="K77" s="1824">
        <f t="shared" si="11"/>
        <v>0</v>
      </c>
      <c r="L77" s="1824">
        <f t="shared" si="11"/>
        <v>0</v>
      </c>
      <c r="M77" s="1824">
        <f t="shared" si="11"/>
        <v>0</v>
      </c>
      <c r="N77" s="1824">
        <f t="shared" si="11"/>
        <v>0</v>
      </c>
      <c r="O77" s="1824">
        <f t="shared" si="11"/>
        <v>0</v>
      </c>
      <c r="P77" s="1824"/>
      <c r="Q77" s="1052"/>
      <c r="R77" s="1052"/>
      <c r="S77" s="1052"/>
      <c r="T77" s="2035">
        <f t="shared" si="1"/>
        <v>0</v>
      </c>
    </row>
    <row r="78" spans="1:20" ht="22.2" hidden="1" customHeight="1">
      <c r="A78" s="63" t="s">
        <v>1016</v>
      </c>
      <c r="B78" s="1575" t="s">
        <v>867</v>
      </c>
      <c r="C78" s="64" t="str">
        <f t="shared" si="0"/>
        <v xml:space="preserve"> </v>
      </c>
      <c r="D78" s="1540">
        <v>0.34399999999999997</v>
      </c>
      <c r="E78" s="1048">
        <f>VLOOKUP($B78,DG!A:D,DG!$B$2,)</f>
        <v>0</v>
      </c>
      <c r="F78" s="1049" t="str">
        <f>VLOOKUP($B78,DG!A:D,DG!$C$2,)</f>
        <v>Đá 1x2</v>
      </c>
      <c r="G78" s="1048" t="str">
        <f>VLOOKUP($B78,DG!A:D,DG!$D$2,)</f>
        <v>m3</v>
      </c>
      <c r="H78" s="1824">
        <f t="shared" si="11"/>
        <v>0</v>
      </c>
      <c r="I78" s="1824">
        <f t="shared" si="11"/>
        <v>0</v>
      </c>
      <c r="J78" s="1824">
        <f t="shared" si="11"/>
        <v>0</v>
      </c>
      <c r="K78" s="1824">
        <f t="shared" si="11"/>
        <v>0</v>
      </c>
      <c r="L78" s="1824">
        <f t="shared" si="11"/>
        <v>0</v>
      </c>
      <c r="M78" s="1824">
        <f t="shared" si="11"/>
        <v>0</v>
      </c>
      <c r="N78" s="1824">
        <f t="shared" si="11"/>
        <v>0</v>
      </c>
      <c r="O78" s="1824">
        <f t="shared" si="11"/>
        <v>0</v>
      </c>
      <c r="P78" s="1824"/>
      <c r="Q78" s="1052"/>
      <c r="R78" s="1052"/>
      <c r="S78" s="1052"/>
      <c r="T78" s="2035">
        <f t="shared" ref="T78:T141" si="12">IFERROR(HLOOKUP(B78,BangKeTru,3,0),0)</f>
        <v>0</v>
      </c>
    </row>
    <row r="79" spans="1:20" ht="22.2" hidden="1" customHeight="1">
      <c r="A79" s="63" t="s">
        <v>1016</v>
      </c>
      <c r="B79" s="1575" t="s">
        <v>1427</v>
      </c>
      <c r="C79" s="64" t="str">
        <f t="shared" ref="C79:C142" si="13">IF(OR(P79&lt;&gt;0,H79&lt;&gt;0),"x"," ")</f>
        <v xml:space="preserve"> </v>
      </c>
      <c r="D79" s="1540"/>
      <c r="E79" s="1048">
        <f>VLOOKUP($B79,DG!A:D,DG!$B$2,)</f>
        <v>0</v>
      </c>
      <c r="F79" s="1054" t="str">
        <f>VLOOKUP($B79,DG!A:D,DG!$C$2,)</f>
        <v>Sắt Ø8</v>
      </c>
      <c r="G79" s="1048" t="str">
        <f>VLOOKUP($B79,DG!A:D,DG!$D$2,)</f>
        <v>kg</v>
      </c>
      <c r="H79" s="1824">
        <f t="shared" si="11"/>
        <v>0</v>
      </c>
      <c r="I79" s="1824">
        <f t="shared" si="11"/>
        <v>0</v>
      </c>
      <c r="J79" s="1824">
        <f t="shared" si="11"/>
        <v>0</v>
      </c>
      <c r="K79" s="1824">
        <f t="shared" si="11"/>
        <v>0</v>
      </c>
      <c r="L79" s="1824">
        <f t="shared" si="11"/>
        <v>0</v>
      </c>
      <c r="M79" s="1824">
        <f t="shared" si="11"/>
        <v>0</v>
      </c>
      <c r="N79" s="1824">
        <f t="shared" si="11"/>
        <v>0</v>
      </c>
      <c r="O79" s="1824">
        <f t="shared" si="11"/>
        <v>0</v>
      </c>
      <c r="P79" s="1824"/>
      <c r="Q79" s="1052"/>
      <c r="R79" s="1052"/>
      <c r="S79" s="1052"/>
      <c r="T79" s="2035">
        <f t="shared" si="12"/>
        <v>0</v>
      </c>
    </row>
    <row r="80" spans="1:20" ht="22.2" hidden="1" customHeight="1">
      <c r="A80" s="63" t="s">
        <v>1016</v>
      </c>
      <c r="B80" s="1575" t="s">
        <v>1428</v>
      </c>
      <c r="C80" s="64" t="str">
        <f t="shared" si="13"/>
        <v xml:space="preserve"> </v>
      </c>
      <c r="D80" s="1536"/>
      <c r="E80" s="1048">
        <f>VLOOKUP($B80,DG!A:D,DG!$B$2,)</f>
        <v>0</v>
      </c>
      <c r="F80" s="1054" t="str">
        <f>VLOOKUP($B80,DG!A:D,DG!$C$2,)</f>
        <v>Kẽm</v>
      </c>
      <c r="G80" s="1048" t="str">
        <f>VLOOKUP($B80,DG!A:D,DG!$D$2,)</f>
        <v>kg</v>
      </c>
      <c r="H80" s="1824">
        <f t="shared" si="11"/>
        <v>0</v>
      </c>
      <c r="I80" s="1824">
        <f t="shared" si="11"/>
        <v>0</v>
      </c>
      <c r="J80" s="1824">
        <f t="shared" si="11"/>
        <v>0</v>
      </c>
      <c r="K80" s="1824">
        <f t="shared" si="11"/>
        <v>0</v>
      </c>
      <c r="L80" s="1824">
        <f t="shared" si="11"/>
        <v>0</v>
      </c>
      <c r="M80" s="1824">
        <f t="shared" si="11"/>
        <v>0</v>
      </c>
      <c r="N80" s="1824">
        <f t="shared" si="11"/>
        <v>0</v>
      </c>
      <c r="O80" s="1824">
        <f t="shared" si="11"/>
        <v>0</v>
      </c>
      <c r="P80" s="1824"/>
      <c r="Q80" s="1052"/>
      <c r="R80" s="1052"/>
      <c r="S80" s="1052"/>
      <c r="T80" s="2035">
        <f t="shared" si="12"/>
        <v>0</v>
      </c>
    </row>
    <row r="81" spans="1:20" ht="22.2" hidden="1" customHeight="1">
      <c r="A81" s="63"/>
      <c r="B81" s="1575" t="s">
        <v>639</v>
      </c>
      <c r="C81" s="64" t="str">
        <f t="shared" si="13"/>
        <v xml:space="preserve"> </v>
      </c>
      <c r="D81" s="1536">
        <v>0.46200000000000002</v>
      </c>
      <c r="E81" s="1048" t="str">
        <f>VLOOKUP($B81,DG!A:D,DG!$B$2,)</f>
        <v>03.1013</v>
      </c>
      <c r="F81" s="1049" t="str">
        <f>VLOOKUP($B81,DG!A:D,DG!$C$2,)</f>
        <v>Đào hố móng đất cấp 3 sâu &gt;1m</v>
      </c>
      <c r="G81" s="1048" t="str">
        <f>VLOOKUP($B81,DG!A:D,DG!$D$2,)</f>
        <v>m3</v>
      </c>
      <c r="H81" s="1824"/>
      <c r="I81" s="1824"/>
      <c r="J81" s="1824"/>
      <c r="K81" s="1824"/>
      <c r="L81" s="1824"/>
      <c r="M81" s="1824"/>
      <c r="N81" s="1824"/>
      <c r="O81" s="1824"/>
      <c r="P81" s="1824"/>
      <c r="Q81" s="1055"/>
      <c r="R81" s="1055"/>
      <c r="S81" s="1055"/>
      <c r="T81" s="2035">
        <f t="shared" si="12"/>
        <v>0</v>
      </c>
    </row>
    <row r="82" spans="1:20" ht="22.2" hidden="1" customHeight="1">
      <c r="A82" s="63"/>
      <c r="B82" s="1575" t="s">
        <v>21</v>
      </c>
      <c r="C82" s="64" t="str">
        <f t="shared" si="13"/>
        <v xml:space="preserve"> </v>
      </c>
      <c r="D82" s="1536"/>
      <c r="E82" s="1048" t="str">
        <f>VLOOKUP($B82,DG!A:D,DG!$B$2,)</f>
        <v>03.4113</v>
      </c>
      <c r="F82" s="1049" t="str">
        <f>VLOOKUP($B82,DG!A:D,DG!$C$2,)</f>
        <v>Đắp đất hố móng, độ chặt k=0,95</v>
      </c>
      <c r="G82" s="1048" t="str">
        <f>VLOOKUP($B82,DG!A:D,DG!$D$2,)</f>
        <v>m3</v>
      </c>
      <c r="H82" s="1824"/>
      <c r="I82" s="1824"/>
      <c r="J82" s="1824"/>
      <c r="K82" s="1824"/>
      <c r="L82" s="1824"/>
      <c r="M82" s="1824"/>
      <c r="N82" s="1824"/>
      <c r="O82" s="1824"/>
      <c r="P82" s="1824"/>
      <c r="Q82" s="1055"/>
      <c r="R82" s="1055"/>
      <c r="S82" s="1055"/>
      <c r="T82" s="2035">
        <f t="shared" si="12"/>
        <v>0</v>
      </c>
    </row>
    <row r="83" spans="1:20" ht="22.2" hidden="1" customHeight="1">
      <c r="A83" s="63"/>
      <c r="B83" s="1575" t="s">
        <v>1296</v>
      </c>
      <c r="C83" s="64" t="str">
        <f t="shared" si="13"/>
        <v xml:space="preserve"> </v>
      </c>
      <c r="D83" s="1536"/>
      <c r="E83" s="1048" t="str">
        <f>VLOOKUP($B83,DG!A:D,DG!$B$2,)</f>
        <v>02.1101</v>
      </c>
      <c r="F83" s="1049" t="str">
        <f>VLOOKUP($B83,DG!A:D,DG!$C$2,)</f>
        <v>Bốc dỡ xi măng</v>
      </c>
      <c r="G83" s="1048" t="str">
        <f>VLOOKUP($B83,DG!A:D,DG!$D$2,)</f>
        <v>tấn</v>
      </c>
      <c r="H83" s="1824"/>
      <c r="I83" s="1824"/>
      <c r="J83" s="1824"/>
      <c r="K83" s="1824"/>
      <c r="L83" s="1824"/>
      <c r="M83" s="1824"/>
      <c r="N83" s="1824"/>
      <c r="O83" s="1824"/>
      <c r="P83" s="1824"/>
      <c r="Q83" s="1055"/>
      <c r="R83" s="1055"/>
      <c r="S83" s="1055"/>
      <c r="T83" s="2035">
        <f t="shared" si="12"/>
        <v>0</v>
      </c>
    </row>
    <row r="84" spans="1:20" ht="22.2" hidden="1" customHeight="1">
      <c r="A84" s="63"/>
      <c r="B84" s="1575" t="s">
        <v>133</v>
      </c>
      <c r="C84" s="64" t="str">
        <f t="shared" si="13"/>
        <v xml:space="preserve"> </v>
      </c>
      <c r="D84" s="1536"/>
      <c r="E84" s="1048" t="str">
        <f>VLOOKUP($B84,DG!A:D,DG!$B$2,)</f>
        <v>02.1103</v>
      </c>
      <c r="F84" s="1049" t="str">
        <f>VLOOKUP($B84,DG!A:D,DG!$C$2,)</f>
        <v>Bốc dỡ cát</v>
      </c>
      <c r="G84" s="1048" t="str">
        <f>VLOOKUP($B84,DG!A:D,DG!$D$2,)</f>
        <v>m3</v>
      </c>
      <c r="H84" s="1824"/>
      <c r="I84" s="1824"/>
      <c r="J84" s="1824"/>
      <c r="K84" s="1824"/>
      <c r="L84" s="1824"/>
      <c r="M84" s="1824"/>
      <c r="N84" s="1824"/>
      <c r="O84" s="1824"/>
      <c r="P84" s="1824"/>
      <c r="Q84" s="1055"/>
      <c r="R84" s="1055"/>
      <c r="S84" s="1055"/>
      <c r="T84" s="2035">
        <f t="shared" si="12"/>
        <v>0</v>
      </c>
    </row>
    <row r="85" spans="1:20" ht="22.2" hidden="1" customHeight="1">
      <c r="A85" s="63"/>
      <c r="B85" s="1575" t="s">
        <v>135</v>
      </c>
      <c r="C85" s="64" t="str">
        <f t="shared" si="13"/>
        <v xml:space="preserve"> </v>
      </c>
      <c r="D85" s="1536"/>
      <c r="E85" s="1048" t="str">
        <f>VLOOKUP($B85,DG!A:D,DG!$B$2,)</f>
        <v>02.1104</v>
      </c>
      <c r="F85" s="1049" t="str">
        <f>VLOOKUP($B85,DG!A:D,DG!$C$2,)</f>
        <v>Bốc dỡ đá dăm</v>
      </c>
      <c r="G85" s="1048" t="str">
        <f>VLOOKUP($B85,DG!A:D,DG!$D$2,)</f>
        <v>m3</v>
      </c>
      <c r="H85" s="1824"/>
      <c r="I85" s="1824"/>
      <c r="J85" s="1824"/>
      <c r="K85" s="1824"/>
      <c r="L85" s="1824"/>
      <c r="M85" s="1824"/>
      <c r="N85" s="1824"/>
      <c r="O85" s="1824"/>
      <c r="P85" s="1824"/>
      <c r="Q85" s="1055"/>
      <c r="R85" s="1055"/>
      <c r="S85" s="1055"/>
      <c r="T85" s="2035">
        <f t="shared" si="12"/>
        <v>0</v>
      </c>
    </row>
    <row r="86" spans="1:20" ht="22.2" hidden="1" customHeight="1">
      <c r="A86" s="63"/>
      <c r="B86" s="1575" t="s">
        <v>9</v>
      </c>
      <c r="C86" s="64" t="str">
        <f t="shared" si="13"/>
        <v xml:space="preserve"> </v>
      </c>
      <c r="D86" s="1536"/>
      <c r="E86" s="1048" t="str">
        <f>VLOOKUP($B86,DG!A:D,DG!$B$2,)</f>
        <v>04.5101</v>
      </c>
      <c r="F86" s="1049" t="str">
        <f>VLOOKUP($B86,DG!A:D,DG!$C$2,)</f>
        <v>Gia công và lắp dựng cốt thép D&lt;=10</v>
      </c>
      <c r="G86" s="1048" t="str">
        <f>VLOOKUP($B86,DG!A:D,DG!$D$2,)</f>
        <v>kg</v>
      </c>
      <c r="H86" s="1824"/>
      <c r="I86" s="1824"/>
      <c r="J86" s="1824"/>
      <c r="K86" s="1824"/>
      <c r="L86" s="1824"/>
      <c r="M86" s="1824"/>
      <c r="N86" s="1824"/>
      <c r="O86" s="1824"/>
      <c r="P86" s="1824"/>
      <c r="Q86" s="1055"/>
      <c r="R86" s="1055"/>
      <c r="S86" s="1055"/>
      <c r="T86" s="2035">
        <f t="shared" si="12"/>
        <v>0</v>
      </c>
    </row>
    <row r="87" spans="1:20" ht="22.2" hidden="1" customHeight="1">
      <c r="A87" s="63"/>
      <c r="B87" s="1575" t="s">
        <v>495</v>
      </c>
      <c r="C87" s="64" t="str">
        <f t="shared" si="13"/>
        <v xml:space="preserve"> </v>
      </c>
      <c r="D87" s="1536"/>
      <c r="E87" s="1048" t="str">
        <f>VLOOKUP($B87,DG!A:D,DG!$B$2,)</f>
        <v>02.1211</v>
      </c>
      <c r="F87" s="1049" t="str">
        <f>VLOOKUP($B87,DG!A:D,DG!$C$2,)</f>
        <v>V/c xi măng ( cự ly &lt;=100m)</v>
      </c>
      <c r="G87" s="1048" t="str">
        <f>VLOOKUP($B87,DG!A:D,DG!$D$2,)</f>
        <v>tấn</v>
      </c>
      <c r="H87" s="1824"/>
      <c r="I87" s="1824"/>
      <c r="J87" s="1824"/>
      <c r="K87" s="1824"/>
      <c r="L87" s="1824"/>
      <c r="M87" s="1824"/>
      <c r="N87" s="1824"/>
      <c r="O87" s="1824"/>
      <c r="P87" s="1824"/>
      <c r="Q87" s="1055"/>
      <c r="R87" s="1055"/>
      <c r="S87" s="1055"/>
      <c r="T87" s="2035">
        <f t="shared" si="12"/>
        <v>0</v>
      </c>
    </row>
    <row r="88" spans="1:20" ht="22.2" hidden="1" customHeight="1">
      <c r="A88" s="63"/>
      <c r="B88" s="1575" t="s">
        <v>1614</v>
      </c>
      <c r="C88" s="64" t="str">
        <f t="shared" si="13"/>
        <v xml:space="preserve"> </v>
      </c>
      <c r="D88" s="1536"/>
      <c r="E88" s="1048" t="str">
        <f>VLOOKUP($B88,DG!A:D,DG!$B$2,)</f>
        <v>02.1231</v>
      </c>
      <c r="F88" s="1049" t="str">
        <f>VLOOKUP($B88,DG!A:D,DG!$C$2,)</f>
        <v>V/c cát vàng cự ly &lt;=100m</v>
      </c>
      <c r="G88" s="1048" t="str">
        <f>VLOOKUP($B88,DG!A:D,DG!$D$2,)</f>
        <v>m3</v>
      </c>
      <c r="H88" s="1824"/>
      <c r="I88" s="1824"/>
      <c r="J88" s="1824"/>
      <c r="K88" s="1824"/>
      <c r="L88" s="1824"/>
      <c r="M88" s="1824"/>
      <c r="N88" s="1824"/>
      <c r="O88" s="1824"/>
      <c r="P88" s="1824"/>
      <c r="Q88" s="1055"/>
      <c r="R88" s="1055"/>
      <c r="S88" s="1055"/>
      <c r="T88" s="2035">
        <f t="shared" si="12"/>
        <v>0</v>
      </c>
    </row>
    <row r="89" spans="1:20" ht="22.2" hidden="1" customHeight="1">
      <c r="A89" s="63"/>
      <c r="B89" s="1575" t="s">
        <v>521</v>
      </c>
      <c r="C89" s="64" t="str">
        <f t="shared" si="13"/>
        <v xml:space="preserve"> </v>
      </c>
      <c r="D89" s="1536"/>
      <c r="E89" s="1048" t="str">
        <f>VLOOKUP($B89,DG!A:D,DG!$B$2,)</f>
        <v>02.1241</v>
      </c>
      <c r="F89" s="1049" t="str">
        <f>VLOOKUP($B89,DG!A:D,DG!$C$2,)</f>
        <v>V/c đá dăm ( cự ly &lt;=100m)</v>
      </c>
      <c r="G89" s="1048" t="str">
        <f>VLOOKUP($B89,DG!A:D,DG!$D$2,)</f>
        <v>m3</v>
      </c>
      <c r="H89" s="1824"/>
      <c r="I89" s="1824"/>
      <c r="J89" s="1824"/>
      <c r="K89" s="1824"/>
      <c r="L89" s="1824"/>
      <c r="M89" s="1824"/>
      <c r="N89" s="1824"/>
      <c r="O89" s="1824"/>
      <c r="P89" s="1824"/>
      <c r="Q89" s="1055"/>
      <c r="R89" s="1055"/>
      <c r="S89" s="1055"/>
      <c r="T89" s="2035">
        <f t="shared" si="12"/>
        <v>0</v>
      </c>
    </row>
    <row r="90" spans="1:20" ht="22.2" hidden="1" customHeight="1">
      <c r="A90" s="63"/>
      <c r="B90" s="1575" t="s">
        <v>1985</v>
      </c>
      <c r="C90" s="64" t="str">
        <f t="shared" si="13"/>
        <v xml:space="preserve"> </v>
      </c>
      <c r="D90" s="1536"/>
      <c r="E90" s="1048" t="str">
        <f>VLOOKUP($B90,DG!A:D,DG!$B$2,)</f>
        <v>02.1482</v>
      </c>
      <c r="F90" s="1049" t="str">
        <f>VLOOKUP($B90,DG!A:D,DG!$C$2,)</f>
        <v>V/c dụng cụ thi công ( cự ly &lt;=100m)</v>
      </c>
      <c r="G90" s="1048" t="str">
        <f>VLOOKUP($B90,DG!A:D,DG!$D$2,)</f>
        <v>tấn</v>
      </c>
      <c r="H90" s="1824"/>
      <c r="I90" s="1824"/>
      <c r="J90" s="1824"/>
      <c r="K90" s="1824"/>
      <c r="L90" s="1824"/>
      <c r="M90" s="1824"/>
      <c r="N90" s="1824"/>
      <c r="O90" s="1824"/>
      <c r="P90" s="1824"/>
      <c r="Q90" s="1055"/>
      <c r="R90" s="1055"/>
      <c r="S90" s="1055"/>
      <c r="T90" s="2035">
        <f t="shared" si="12"/>
        <v>0</v>
      </c>
    </row>
    <row r="91" spans="1:20" ht="22.2" hidden="1" customHeight="1">
      <c r="A91" s="63"/>
      <c r="B91" s="1575" t="s">
        <v>1840</v>
      </c>
      <c r="C91" s="64" t="str">
        <f t="shared" si="13"/>
        <v xml:space="preserve"> </v>
      </c>
      <c r="D91" s="1536">
        <v>0.39</v>
      </c>
      <c r="E91" s="1048" t="str">
        <f>VLOOKUP($B91,DG!A:D,DG!$B$2,)</f>
        <v>04.1203c</v>
      </c>
      <c r="F91" s="1049" t="str">
        <f>VLOOKUP($B91,DG!A:D,DG!$C$2,)</f>
        <v>Đổ bê tông móng trụ &lt;=250cm-M200 đá 1x2</v>
      </c>
      <c r="G91" s="1048" t="str">
        <f>VLOOKUP($B91,DG!A:D,DG!$D$2,)</f>
        <v>m3</v>
      </c>
      <c r="H91" s="1824"/>
      <c r="I91" s="1824"/>
      <c r="J91" s="1824"/>
      <c r="K91" s="1824"/>
      <c r="L91" s="1824"/>
      <c r="M91" s="1824"/>
      <c r="N91" s="1824"/>
      <c r="O91" s="1824"/>
      <c r="P91" s="1824"/>
      <c r="Q91" s="1055"/>
      <c r="R91" s="1055"/>
      <c r="S91" s="1055"/>
      <c r="T91" s="2035">
        <f t="shared" si="12"/>
        <v>0</v>
      </c>
    </row>
    <row r="92" spans="1:20" ht="22.2" hidden="1" customHeight="1">
      <c r="A92" s="56" t="s">
        <v>4154</v>
      </c>
      <c r="B92" s="1574" t="s">
        <v>4154</v>
      </c>
      <c r="C92" s="62" t="str">
        <f t="shared" si="13"/>
        <v xml:space="preserve"> </v>
      </c>
      <c r="D92" s="1532"/>
      <c r="E92" s="1045"/>
      <c r="F92" s="1392" t="s">
        <v>4577</v>
      </c>
      <c r="G92" s="1046" t="s">
        <v>2333</v>
      </c>
      <c r="H92" s="1821">
        <f>SUM(I92:O92)</f>
        <v>0</v>
      </c>
      <c r="I92" s="1822"/>
      <c r="J92" s="1822"/>
      <c r="K92" s="1822">
        <f>IFERROR(HLOOKUP(B92,pp3p1m!$1:$3,3,0),0)</f>
        <v>0</v>
      </c>
      <c r="L92" s="1822">
        <f>IFERROR(HLOOKUP(chitiet!B92,pp1p!$1:$3,3,0),0)</f>
        <v>0</v>
      </c>
      <c r="M92" s="1822"/>
      <c r="N92" s="1822"/>
      <c r="O92" s="1822"/>
      <c r="P92" s="1822">
        <f>H92+Q92-R92</f>
        <v>0</v>
      </c>
      <c r="Q92" s="1047"/>
      <c r="R92" s="1047"/>
      <c r="S92" s="1047"/>
      <c r="T92" s="2035">
        <f>IFERROR(HLOOKUP(B92,pp1p!$1:$3,3,0),0)+IFERROR(HLOOKUP(B92,pp3p1m!$1:$3,3,0),0)</f>
        <v>0</v>
      </c>
    </row>
    <row r="93" spans="1:20" ht="22.2" hidden="1" customHeight="1">
      <c r="A93" s="63"/>
      <c r="B93" s="1575" t="s">
        <v>751</v>
      </c>
      <c r="C93" s="64" t="str">
        <f t="shared" si="13"/>
        <v xml:space="preserve"> </v>
      </c>
      <c r="D93" s="1539">
        <v>162</v>
      </c>
      <c r="E93" s="1048">
        <f>VLOOKUP($B93,DG!A:D,DG!$B$2,)</f>
        <v>0</v>
      </c>
      <c r="F93" s="1049" t="str">
        <f>VLOOKUP($B93,DG!A:D,DG!$C$2,)</f>
        <v>Ximăng (PC40)</v>
      </c>
      <c r="G93" s="1048" t="str">
        <f>VLOOKUP($B93,DG!A:D,DG!$D$2,)</f>
        <v>kg</v>
      </c>
      <c r="H93" s="1824">
        <f t="shared" ref="H93:H107" si="14">$H$92*D93</f>
        <v>0</v>
      </c>
      <c r="I93" s="1824">
        <f t="shared" ref="I93:O97" si="15">I$75*$D93</f>
        <v>0</v>
      </c>
      <c r="J93" s="1824">
        <f t="shared" si="15"/>
        <v>0</v>
      </c>
      <c r="K93" s="1824">
        <f t="shared" si="15"/>
        <v>0</v>
      </c>
      <c r="L93" s="1824">
        <f t="shared" si="15"/>
        <v>0</v>
      </c>
      <c r="M93" s="1824">
        <f t="shared" si="15"/>
        <v>0</v>
      </c>
      <c r="N93" s="1824">
        <f t="shared" si="15"/>
        <v>0</v>
      </c>
      <c r="O93" s="1824">
        <f t="shared" si="15"/>
        <v>0</v>
      </c>
      <c r="P93" s="1822">
        <f>H93+Q93-R93</f>
        <v>0</v>
      </c>
      <c r="Q93" s="1052"/>
      <c r="R93" s="1052"/>
      <c r="S93" s="1052"/>
      <c r="T93" s="2035">
        <f t="shared" si="12"/>
        <v>0</v>
      </c>
    </row>
    <row r="94" spans="1:20" ht="22.2" hidden="1" customHeight="1">
      <c r="A94" s="63"/>
      <c r="B94" s="1576" t="s">
        <v>4440</v>
      </c>
      <c r="C94" s="64" t="str">
        <f t="shared" si="13"/>
        <v xml:space="preserve"> </v>
      </c>
      <c r="D94" s="1536">
        <v>0.43</v>
      </c>
      <c r="E94" s="1048">
        <f>VLOOKUP($B94,DG!A:D,DG!$B$2,)</f>
        <v>0</v>
      </c>
      <c r="F94" s="1049" t="str">
        <f>VLOOKUP($B94,DG!A:D,DG!$C$2,)</f>
        <v>Cát vàng</v>
      </c>
      <c r="G94" s="1048" t="str">
        <f>VLOOKUP($B94,DG!A:D,DG!$D$2,)</f>
        <v>m3</v>
      </c>
      <c r="H94" s="1824">
        <f t="shared" si="14"/>
        <v>0</v>
      </c>
      <c r="I94" s="1824">
        <f t="shared" si="15"/>
        <v>0</v>
      </c>
      <c r="J94" s="1824">
        <f t="shared" si="15"/>
        <v>0</v>
      </c>
      <c r="K94" s="1824">
        <f t="shared" si="15"/>
        <v>0</v>
      </c>
      <c r="L94" s="1824">
        <f t="shared" si="15"/>
        <v>0</v>
      </c>
      <c r="M94" s="1824">
        <f t="shared" si="15"/>
        <v>0</v>
      </c>
      <c r="N94" s="1824">
        <f t="shared" si="15"/>
        <v>0</v>
      </c>
      <c r="O94" s="1824">
        <f t="shared" si="15"/>
        <v>0</v>
      </c>
      <c r="P94" s="1822">
        <f>H94+Q94-R94</f>
        <v>0</v>
      </c>
      <c r="Q94" s="1052"/>
      <c r="R94" s="1052"/>
      <c r="S94" s="1052"/>
      <c r="T94" s="2035">
        <f t="shared" si="12"/>
        <v>0</v>
      </c>
    </row>
    <row r="95" spans="1:20" ht="22.2" hidden="1" customHeight="1">
      <c r="A95" s="63" t="s">
        <v>1016</v>
      </c>
      <c r="B95" s="1575" t="s">
        <v>867</v>
      </c>
      <c r="C95" s="64" t="str">
        <f t="shared" si="13"/>
        <v xml:space="preserve"> </v>
      </c>
      <c r="D95" s="1536">
        <v>0.79</v>
      </c>
      <c r="E95" s="1048">
        <f>VLOOKUP($B95,DG!A:D,DG!$B$2,)</f>
        <v>0</v>
      </c>
      <c r="F95" s="1049" t="str">
        <f>VLOOKUP($B95,DG!A:D,DG!$C$2,)</f>
        <v>Đá 1x2</v>
      </c>
      <c r="G95" s="1048" t="str">
        <f>VLOOKUP($B95,DG!A:D,DG!$D$2,)</f>
        <v>m3</v>
      </c>
      <c r="H95" s="1824">
        <f t="shared" si="14"/>
        <v>0</v>
      </c>
      <c r="I95" s="1824">
        <f t="shared" si="15"/>
        <v>0</v>
      </c>
      <c r="J95" s="1824">
        <f t="shared" si="15"/>
        <v>0</v>
      </c>
      <c r="K95" s="1824">
        <f t="shared" si="15"/>
        <v>0</v>
      </c>
      <c r="L95" s="1824">
        <f t="shared" si="15"/>
        <v>0</v>
      </c>
      <c r="M95" s="1824">
        <f t="shared" si="15"/>
        <v>0</v>
      </c>
      <c r="N95" s="1824">
        <f t="shared" si="15"/>
        <v>0</v>
      </c>
      <c r="O95" s="1824">
        <f t="shared" si="15"/>
        <v>0</v>
      </c>
      <c r="P95" s="1822">
        <f>H95+Q95-R95</f>
        <v>0</v>
      </c>
      <c r="Q95" s="1402"/>
      <c r="R95" s="1402"/>
      <c r="S95" s="1402"/>
      <c r="T95" s="2035">
        <f t="shared" si="12"/>
        <v>0</v>
      </c>
    </row>
    <row r="96" spans="1:20" ht="22.2" hidden="1" customHeight="1">
      <c r="A96" s="63" t="s">
        <v>1016</v>
      </c>
      <c r="B96" s="1575" t="s">
        <v>2012</v>
      </c>
      <c r="C96" s="64" t="str">
        <f t="shared" si="13"/>
        <v xml:space="preserve"> </v>
      </c>
      <c r="D96" s="1536"/>
      <c r="E96" s="1048">
        <f>VLOOKUP($B96,DG!A:D,DG!$B$2,)</f>
        <v>0</v>
      </c>
      <c r="F96" s="1054" t="str">
        <f>VLOOKUP($B96,DG!A:D,DG!$C$2,)</f>
        <v>Sắt Ø10</v>
      </c>
      <c r="G96" s="1048" t="str">
        <f>VLOOKUP($B96,DG!A:D,DG!$D$2,)</f>
        <v>kg</v>
      </c>
      <c r="H96" s="1824">
        <f t="shared" si="14"/>
        <v>0</v>
      </c>
      <c r="I96" s="1824">
        <f t="shared" si="15"/>
        <v>0</v>
      </c>
      <c r="J96" s="1824">
        <f t="shared" si="15"/>
        <v>0</v>
      </c>
      <c r="K96" s="1824">
        <f t="shared" si="15"/>
        <v>0</v>
      </c>
      <c r="L96" s="1824">
        <f t="shared" si="15"/>
        <v>0</v>
      </c>
      <c r="M96" s="1824">
        <f t="shared" si="15"/>
        <v>0</v>
      </c>
      <c r="N96" s="1824">
        <f t="shared" si="15"/>
        <v>0</v>
      </c>
      <c r="O96" s="1824">
        <f t="shared" si="15"/>
        <v>0</v>
      </c>
      <c r="P96" s="1824"/>
      <c r="Q96" s="1052"/>
      <c r="R96" s="1052"/>
      <c r="S96" s="1052"/>
      <c r="T96" s="2035">
        <f t="shared" si="12"/>
        <v>0</v>
      </c>
    </row>
    <row r="97" spans="1:20" ht="22.2" hidden="1" customHeight="1">
      <c r="A97" s="63" t="s">
        <v>1016</v>
      </c>
      <c r="B97" s="1575" t="s">
        <v>1428</v>
      </c>
      <c r="C97" s="64" t="str">
        <f t="shared" si="13"/>
        <v xml:space="preserve"> </v>
      </c>
      <c r="D97" s="1536"/>
      <c r="E97" s="1048">
        <f>VLOOKUP($B97,DG!A:D,DG!$B$2,)</f>
        <v>0</v>
      </c>
      <c r="F97" s="1054" t="str">
        <f>VLOOKUP($B97,DG!A:D,DG!$C$2,)</f>
        <v>Kẽm</v>
      </c>
      <c r="G97" s="1048" t="str">
        <f>VLOOKUP($B97,DG!A:D,DG!$D$2,)</f>
        <v>kg</v>
      </c>
      <c r="H97" s="1824">
        <f t="shared" si="14"/>
        <v>0</v>
      </c>
      <c r="I97" s="1824">
        <f t="shared" si="15"/>
        <v>0</v>
      </c>
      <c r="J97" s="1824">
        <f t="shared" si="15"/>
        <v>0</v>
      </c>
      <c r="K97" s="1824">
        <f t="shared" si="15"/>
        <v>0</v>
      </c>
      <c r="L97" s="1824">
        <f t="shared" si="15"/>
        <v>0</v>
      </c>
      <c r="M97" s="1824">
        <f t="shared" si="15"/>
        <v>0</v>
      </c>
      <c r="N97" s="1824">
        <f t="shared" si="15"/>
        <v>0</v>
      </c>
      <c r="O97" s="1824">
        <f t="shared" si="15"/>
        <v>0</v>
      </c>
      <c r="P97" s="1824"/>
      <c r="Q97" s="1052"/>
      <c r="R97" s="1052"/>
      <c r="S97" s="1052"/>
      <c r="T97" s="2035">
        <f t="shared" si="12"/>
        <v>0</v>
      </c>
    </row>
    <row r="98" spans="1:20" ht="22.2" hidden="1" customHeight="1">
      <c r="A98" s="63"/>
      <c r="B98" s="1575" t="s">
        <v>639</v>
      </c>
      <c r="C98" s="64" t="str">
        <f t="shared" si="13"/>
        <v xml:space="preserve"> </v>
      </c>
      <c r="D98" s="1536">
        <v>1.02</v>
      </c>
      <c r="E98" s="1048" t="str">
        <f>VLOOKUP($B98,DG!A:D,DG!$B$2,)</f>
        <v>03.1013</v>
      </c>
      <c r="F98" s="1049" t="str">
        <f>VLOOKUP($B98,DG!A:D,DG!$C$2,)</f>
        <v>Đào hố móng đất cấp 3 sâu &gt;1m</v>
      </c>
      <c r="G98" s="1048" t="str">
        <f>VLOOKUP($B98,DG!A:D,DG!$D$2,)</f>
        <v>m3</v>
      </c>
      <c r="H98" s="1824">
        <f t="shared" si="14"/>
        <v>0</v>
      </c>
      <c r="I98" s="1824"/>
      <c r="J98" s="1824"/>
      <c r="K98" s="1824"/>
      <c r="L98" s="1824"/>
      <c r="M98" s="1824"/>
      <c r="N98" s="1824"/>
      <c r="O98" s="1824"/>
      <c r="P98" s="1822">
        <f>H98+Q98-R98</f>
        <v>0</v>
      </c>
      <c r="Q98" s="1402"/>
      <c r="R98" s="1402"/>
      <c r="S98" s="1402"/>
      <c r="T98" s="2035">
        <f t="shared" si="12"/>
        <v>0</v>
      </c>
    </row>
    <row r="99" spans="1:20" ht="22.2" hidden="1" customHeight="1">
      <c r="A99" s="63"/>
      <c r="B99" s="1575" t="s">
        <v>21</v>
      </c>
      <c r="C99" s="64" t="str">
        <f t="shared" si="13"/>
        <v xml:space="preserve"> </v>
      </c>
      <c r="D99" s="1536">
        <v>0.47</v>
      </c>
      <c r="E99" s="1048" t="str">
        <f>VLOOKUP($B99,DG!A:D,DG!$B$2,)</f>
        <v>03.4113</v>
      </c>
      <c r="F99" s="1049" t="str">
        <f>VLOOKUP($B99,DG!A:D,DG!$C$2,)</f>
        <v>Đắp đất hố móng, độ chặt k=0,95</v>
      </c>
      <c r="G99" s="1048" t="str">
        <f>VLOOKUP($B99,DG!A:D,DG!$D$2,)</f>
        <v>m3</v>
      </c>
      <c r="H99" s="1824">
        <f t="shared" si="14"/>
        <v>0</v>
      </c>
      <c r="I99" s="1824"/>
      <c r="J99" s="1824"/>
      <c r="K99" s="1824"/>
      <c r="L99" s="1824"/>
      <c r="M99" s="1824"/>
      <c r="N99" s="1824"/>
      <c r="O99" s="1824"/>
      <c r="P99" s="1822">
        <f>H99+Q99-R99</f>
        <v>0</v>
      </c>
      <c r="Q99" s="1052"/>
      <c r="R99" s="1052"/>
      <c r="S99" s="1052"/>
      <c r="T99" s="2035">
        <f t="shared" si="12"/>
        <v>0</v>
      </c>
    </row>
    <row r="100" spans="1:20" ht="22.2" hidden="1" customHeight="1">
      <c r="A100" s="63"/>
      <c r="B100" s="1575" t="s">
        <v>1296</v>
      </c>
      <c r="C100" s="64" t="str">
        <f t="shared" si="13"/>
        <v xml:space="preserve"> </v>
      </c>
      <c r="D100" s="1536"/>
      <c r="E100" s="1048" t="str">
        <f>VLOOKUP($B100,DG!A:D,DG!$B$2,)</f>
        <v>02.1101</v>
      </c>
      <c r="F100" s="1049" t="str">
        <f>VLOOKUP($B100,DG!A:D,DG!$C$2,)</f>
        <v>Bốc dỡ xi măng</v>
      </c>
      <c r="G100" s="1048" t="str">
        <f>VLOOKUP($B100,DG!A:D,DG!$D$2,)</f>
        <v>tấn</v>
      </c>
      <c r="H100" s="1824">
        <f t="shared" si="14"/>
        <v>0</v>
      </c>
      <c r="I100" s="1824"/>
      <c r="J100" s="1824"/>
      <c r="K100" s="1824"/>
      <c r="L100" s="1824"/>
      <c r="M100" s="1824"/>
      <c r="N100" s="1824"/>
      <c r="O100" s="1824"/>
      <c r="P100" s="1824"/>
      <c r="Q100" s="1052"/>
      <c r="R100" s="1052"/>
      <c r="S100" s="1052"/>
      <c r="T100" s="2035">
        <f t="shared" si="12"/>
        <v>0</v>
      </c>
    </row>
    <row r="101" spans="1:20" ht="22.2" hidden="1" customHeight="1">
      <c r="A101" s="63"/>
      <c r="B101" s="1575" t="s">
        <v>133</v>
      </c>
      <c r="C101" s="64" t="str">
        <f t="shared" si="13"/>
        <v xml:space="preserve"> </v>
      </c>
      <c r="D101" s="1536"/>
      <c r="E101" s="1048" t="str">
        <f>VLOOKUP($B101,DG!A:D,DG!$B$2,)</f>
        <v>02.1103</v>
      </c>
      <c r="F101" s="1049" t="str">
        <f>VLOOKUP($B101,DG!A:D,DG!$C$2,)</f>
        <v>Bốc dỡ cát</v>
      </c>
      <c r="G101" s="1048" t="str">
        <f>VLOOKUP($B101,DG!A:D,DG!$D$2,)</f>
        <v>m3</v>
      </c>
      <c r="H101" s="1824">
        <f t="shared" si="14"/>
        <v>0</v>
      </c>
      <c r="I101" s="1824"/>
      <c r="J101" s="1824"/>
      <c r="K101" s="1824"/>
      <c r="L101" s="1824"/>
      <c r="M101" s="1824"/>
      <c r="N101" s="1824"/>
      <c r="O101" s="1824"/>
      <c r="P101" s="1824"/>
      <c r="Q101" s="1052"/>
      <c r="R101" s="1052"/>
      <c r="S101" s="1052"/>
      <c r="T101" s="2035">
        <f t="shared" si="12"/>
        <v>0</v>
      </c>
    </row>
    <row r="102" spans="1:20" ht="22.2" hidden="1" customHeight="1">
      <c r="A102" s="63"/>
      <c r="B102" s="1575" t="s">
        <v>135</v>
      </c>
      <c r="C102" s="64" t="str">
        <f t="shared" si="13"/>
        <v xml:space="preserve"> </v>
      </c>
      <c r="D102" s="1536"/>
      <c r="E102" s="1048" t="str">
        <f>VLOOKUP($B102,DG!A:D,DG!$B$2,)</f>
        <v>02.1104</v>
      </c>
      <c r="F102" s="1049" t="str">
        <f>VLOOKUP($B102,DG!A:D,DG!$C$2,)</f>
        <v>Bốc dỡ đá dăm</v>
      </c>
      <c r="G102" s="1048" t="str">
        <f>VLOOKUP($B102,DG!A:D,DG!$D$2,)</f>
        <v>m3</v>
      </c>
      <c r="H102" s="1824">
        <f t="shared" si="14"/>
        <v>0</v>
      </c>
      <c r="I102" s="1824"/>
      <c r="J102" s="1824"/>
      <c r="K102" s="1824"/>
      <c r="L102" s="1824"/>
      <c r="M102" s="1824"/>
      <c r="N102" s="1824"/>
      <c r="O102" s="1824"/>
      <c r="P102" s="1824"/>
      <c r="Q102" s="1052"/>
      <c r="R102" s="1052"/>
      <c r="S102" s="1052"/>
      <c r="T102" s="2035">
        <f t="shared" si="12"/>
        <v>0</v>
      </c>
    </row>
    <row r="103" spans="1:20" ht="22.2" hidden="1" customHeight="1">
      <c r="A103" s="63"/>
      <c r="B103" s="1575" t="s">
        <v>9</v>
      </c>
      <c r="C103" s="64" t="str">
        <f t="shared" si="13"/>
        <v xml:space="preserve"> </v>
      </c>
      <c r="D103" s="1536">
        <f>D96</f>
        <v>0</v>
      </c>
      <c r="E103" s="1048" t="str">
        <f>VLOOKUP($B103,DG!A:D,DG!$B$2,)</f>
        <v>04.5101</v>
      </c>
      <c r="F103" s="1049" t="str">
        <f>VLOOKUP($B103,DG!A:D,DG!$C$2,)</f>
        <v>Gia công và lắp dựng cốt thép D&lt;=10</v>
      </c>
      <c r="G103" s="1048" t="str">
        <f>VLOOKUP($B103,DG!A:D,DG!$D$2,)</f>
        <v>kg</v>
      </c>
      <c r="H103" s="1824">
        <f t="shared" si="14"/>
        <v>0</v>
      </c>
      <c r="I103" s="1824"/>
      <c r="J103" s="1824"/>
      <c r="K103" s="1824"/>
      <c r="L103" s="1824"/>
      <c r="M103" s="1824"/>
      <c r="N103" s="1824"/>
      <c r="O103" s="1824"/>
      <c r="P103" s="1824"/>
      <c r="Q103" s="1052"/>
      <c r="R103" s="1052"/>
      <c r="S103" s="1052"/>
      <c r="T103" s="2035">
        <f t="shared" si="12"/>
        <v>0</v>
      </c>
    </row>
    <row r="104" spans="1:20" ht="22.2" hidden="1" customHeight="1">
      <c r="A104" s="63"/>
      <c r="B104" s="1575" t="s">
        <v>495</v>
      </c>
      <c r="C104" s="64" t="str">
        <f t="shared" si="13"/>
        <v xml:space="preserve"> </v>
      </c>
      <c r="D104" s="1536"/>
      <c r="E104" s="1048" t="str">
        <f>VLOOKUP($B104,DG!A:D,DG!$B$2,)</f>
        <v>02.1211</v>
      </c>
      <c r="F104" s="1049" t="str">
        <f>VLOOKUP($B104,DG!A:D,DG!$C$2,)</f>
        <v>V/c xi măng ( cự ly &lt;=100m)</v>
      </c>
      <c r="G104" s="1048" t="str">
        <f>VLOOKUP($B104,DG!A:D,DG!$D$2,)</f>
        <v>tấn</v>
      </c>
      <c r="H104" s="1824">
        <f t="shared" si="14"/>
        <v>0</v>
      </c>
      <c r="I104" s="1824"/>
      <c r="J104" s="1824"/>
      <c r="K104" s="1824"/>
      <c r="L104" s="1824"/>
      <c r="M104" s="1824"/>
      <c r="N104" s="1824"/>
      <c r="O104" s="1824"/>
      <c r="P104" s="1824"/>
      <c r="Q104" s="1052"/>
      <c r="R104" s="1052"/>
      <c r="S104" s="1052"/>
      <c r="T104" s="2035">
        <f t="shared" si="12"/>
        <v>0</v>
      </c>
    </row>
    <row r="105" spans="1:20" ht="22.2" hidden="1" customHeight="1">
      <c r="A105" s="63"/>
      <c r="B105" s="1575" t="s">
        <v>1614</v>
      </c>
      <c r="C105" s="64" t="str">
        <f t="shared" si="13"/>
        <v xml:space="preserve"> </v>
      </c>
      <c r="D105" s="1536"/>
      <c r="E105" s="1048" t="str">
        <f>VLOOKUP($B105,DG!A:D,DG!$B$2,)</f>
        <v>02.1231</v>
      </c>
      <c r="F105" s="1049" t="str">
        <f>VLOOKUP($B105,DG!A:D,DG!$C$2,)</f>
        <v>V/c cát vàng cự ly &lt;=100m</v>
      </c>
      <c r="G105" s="1048" t="str">
        <f>VLOOKUP($B105,DG!A:D,DG!$D$2,)</f>
        <v>m3</v>
      </c>
      <c r="H105" s="1824">
        <f t="shared" si="14"/>
        <v>0</v>
      </c>
      <c r="I105" s="1824"/>
      <c r="J105" s="1824"/>
      <c r="K105" s="1824"/>
      <c r="L105" s="1824"/>
      <c r="M105" s="1824"/>
      <c r="N105" s="1824"/>
      <c r="O105" s="1824"/>
      <c r="P105" s="1824"/>
      <c r="Q105" s="1052"/>
      <c r="R105" s="1052"/>
      <c r="S105" s="1052"/>
      <c r="T105" s="2035">
        <f t="shared" si="12"/>
        <v>0</v>
      </c>
    </row>
    <row r="106" spans="1:20" ht="22.2" hidden="1" customHeight="1">
      <c r="A106" s="63"/>
      <c r="B106" s="1575" t="s">
        <v>521</v>
      </c>
      <c r="C106" s="64" t="str">
        <f t="shared" si="13"/>
        <v xml:space="preserve"> </v>
      </c>
      <c r="D106" s="1536"/>
      <c r="E106" s="1048" t="str">
        <f>VLOOKUP($B106,DG!A:D,DG!$B$2,)</f>
        <v>02.1241</v>
      </c>
      <c r="F106" s="1049" t="str">
        <f>VLOOKUP($B106,DG!A:D,DG!$C$2,)</f>
        <v>V/c đá dăm ( cự ly &lt;=100m)</v>
      </c>
      <c r="G106" s="1048" t="str">
        <f>VLOOKUP($B106,DG!A:D,DG!$D$2,)</f>
        <v>m3</v>
      </c>
      <c r="H106" s="1824">
        <f t="shared" si="14"/>
        <v>0</v>
      </c>
      <c r="I106" s="1824"/>
      <c r="J106" s="1824"/>
      <c r="K106" s="1824"/>
      <c r="L106" s="1824"/>
      <c r="M106" s="1824"/>
      <c r="N106" s="1824"/>
      <c r="O106" s="1824"/>
      <c r="P106" s="1824"/>
      <c r="Q106" s="1052"/>
      <c r="R106" s="1052"/>
      <c r="S106" s="1052"/>
      <c r="T106" s="2035">
        <f t="shared" si="12"/>
        <v>0</v>
      </c>
    </row>
    <row r="107" spans="1:20" ht="22.2" hidden="1" customHeight="1">
      <c r="A107" s="63"/>
      <c r="B107" s="1575" t="s">
        <v>1985</v>
      </c>
      <c r="C107" s="64" t="str">
        <f t="shared" si="13"/>
        <v xml:space="preserve"> </v>
      </c>
      <c r="D107" s="1536"/>
      <c r="E107" s="1048" t="str">
        <f>VLOOKUP($B107,DG!A:D,DG!$B$2,)</f>
        <v>02.1482</v>
      </c>
      <c r="F107" s="1049" t="str">
        <f>VLOOKUP($B107,DG!A:D,DG!$C$2,)</f>
        <v>V/c dụng cụ thi công ( cự ly &lt;=100m)</v>
      </c>
      <c r="G107" s="1048" t="str">
        <f>VLOOKUP($B107,DG!A:D,DG!$D$2,)</f>
        <v>tấn</v>
      </c>
      <c r="H107" s="1824">
        <f t="shared" si="14"/>
        <v>0</v>
      </c>
      <c r="I107" s="1824"/>
      <c r="J107" s="1824"/>
      <c r="K107" s="1824"/>
      <c r="L107" s="1824"/>
      <c r="M107" s="1824"/>
      <c r="N107" s="1824"/>
      <c r="O107" s="1824"/>
      <c r="P107" s="1824"/>
      <c r="Q107" s="1052"/>
      <c r="R107" s="1052"/>
      <c r="S107" s="1052"/>
      <c r="T107" s="2035">
        <f t="shared" si="12"/>
        <v>0</v>
      </c>
    </row>
    <row r="108" spans="1:20" ht="22.2" hidden="1" customHeight="1">
      <c r="A108" s="63"/>
      <c r="B108" s="1575" t="s">
        <v>1840</v>
      </c>
      <c r="C108" s="64" t="str">
        <f t="shared" si="13"/>
        <v xml:space="preserve"> </v>
      </c>
      <c r="D108" s="1536">
        <v>0.55000000000000004</v>
      </c>
      <c r="E108" s="1048" t="str">
        <f>VLOOKUP($B108,DG!A:D,DG!$B$2,)</f>
        <v>04.1203c</v>
      </c>
      <c r="F108" s="1049" t="str">
        <f>VLOOKUP($B108,DG!A:D,DG!$C$2,)</f>
        <v>Đổ bê tông móng trụ &lt;=250cm-M200 đá 1x2</v>
      </c>
      <c r="G108" s="1048" t="str">
        <f>VLOOKUP($B108,DG!A:D,DG!$D$2,)</f>
        <v>m3</v>
      </c>
      <c r="H108" s="1824">
        <f>$H$92*D108*0</f>
        <v>0</v>
      </c>
      <c r="I108" s="1824"/>
      <c r="J108" s="1824"/>
      <c r="K108" s="1824"/>
      <c r="L108" s="1824"/>
      <c r="M108" s="1824"/>
      <c r="N108" s="1824"/>
      <c r="O108" s="1824"/>
      <c r="P108" s="1822">
        <f>H108+Q108-R108</f>
        <v>0</v>
      </c>
      <c r="Q108" s="1402"/>
      <c r="R108" s="1402"/>
      <c r="S108" s="1402"/>
      <c r="T108" s="2035">
        <f t="shared" si="12"/>
        <v>0</v>
      </c>
    </row>
    <row r="109" spans="1:20" ht="22.2" hidden="1" customHeight="1">
      <c r="A109" s="56" t="s">
        <v>234</v>
      </c>
      <c r="B109" s="1574" t="s">
        <v>234</v>
      </c>
      <c r="C109" s="62" t="str">
        <f t="shared" si="13"/>
        <v xml:space="preserve"> </v>
      </c>
      <c r="D109" s="1532"/>
      <c r="E109" s="1045"/>
      <c r="F109" s="1392" t="s">
        <v>2342</v>
      </c>
      <c r="G109" s="1046" t="s">
        <v>2333</v>
      </c>
      <c r="H109" s="1821">
        <f>SUM(I109:O109)</f>
        <v>0</v>
      </c>
      <c r="I109" s="1822"/>
      <c r="J109" s="1822"/>
      <c r="K109" s="1822">
        <f>IFERROR(HLOOKUP(B109,pp3p1m!$1:$3,3,0),0)</f>
        <v>0</v>
      </c>
      <c r="L109" s="1822">
        <f>IFERROR(HLOOKUP(chitiet!B109,pp1p!$1:$3,3,0),0)</f>
        <v>0</v>
      </c>
      <c r="M109" s="1822"/>
      <c r="N109" s="1822"/>
      <c r="O109" s="1822"/>
      <c r="P109" s="1822"/>
      <c r="Q109" s="1047"/>
      <c r="R109" s="1047"/>
      <c r="S109" s="1047"/>
      <c r="T109" s="2035">
        <f>IFERROR(HLOOKUP(B109,pp1p!$1:$3,3,0),0)+IFERROR(HLOOKUP(B109,pp3p1m!$1:$3,3,0),0)</f>
        <v>0</v>
      </c>
    </row>
    <row r="110" spans="1:20" ht="22.2" hidden="1" customHeight="1">
      <c r="A110" s="63"/>
      <c r="B110" s="1589" t="s">
        <v>1578</v>
      </c>
      <c r="C110" s="64" t="str">
        <f t="shared" si="13"/>
        <v xml:space="preserve"> </v>
      </c>
      <c r="D110" s="1538">
        <v>1</v>
      </c>
      <c r="E110" s="1044" t="str">
        <f>VLOOKUP($B110,DG!A:D,DG!$B$2,)</f>
        <v>04.3801</v>
      </c>
      <c r="F110" s="1054" t="str">
        <f>VLOOKUP($B110,DG!A:D,DG!$C$2,)</f>
        <v>Đà cản BTCT 1,5m</v>
      </c>
      <c r="G110" s="1048" t="str">
        <f>VLOOKUP($B110,DG!A:D,DG!$D$2,)</f>
        <v>cái</v>
      </c>
      <c r="H110" s="1824">
        <f t="shared" ref="H110:O111" si="16">H$109*$D110</f>
        <v>0</v>
      </c>
      <c r="I110" s="1824">
        <f t="shared" si="16"/>
        <v>0</v>
      </c>
      <c r="J110" s="1824">
        <f t="shared" si="16"/>
        <v>0</v>
      </c>
      <c r="K110" s="1824">
        <f t="shared" si="16"/>
        <v>0</v>
      </c>
      <c r="L110" s="1824">
        <f t="shared" si="16"/>
        <v>0</v>
      </c>
      <c r="M110" s="1824">
        <f t="shared" si="16"/>
        <v>0</v>
      </c>
      <c r="N110" s="1824">
        <f t="shared" si="16"/>
        <v>0</v>
      </c>
      <c r="O110" s="1824">
        <f t="shared" si="16"/>
        <v>0</v>
      </c>
      <c r="P110" s="1824"/>
      <c r="Q110" s="1052"/>
      <c r="R110" s="1052"/>
      <c r="S110" s="1052"/>
      <c r="T110" s="2035">
        <f t="shared" si="12"/>
        <v>0</v>
      </c>
    </row>
    <row r="111" spans="1:20" ht="22.2" hidden="1" customHeight="1">
      <c r="A111" s="63"/>
      <c r="B111" s="1589" t="s">
        <v>719</v>
      </c>
      <c r="C111" s="64" t="str">
        <f t="shared" si="13"/>
        <v xml:space="preserve"> </v>
      </c>
      <c r="D111" s="1538">
        <v>1</v>
      </c>
      <c r="E111" s="1048"/>
      <c r="F111" s="1054" t="str">
        <f>VLOOKUP($B111,DG!A:D,DG!$C$2,)</f>
        <v>Boulon 22x550/100+ 2 long đền vuông D24-50x50x3/Zn</v>
      </c>
      <c r="G111" s="1048" t="str">
        <f>VLOOKUP($B111,DG!A:D,DG!$D$2,)</f>
        <v>bộ</v>
      </c>
      <c r="H111" s="1824">
        <f t="shared" si="16"/>
        <v>0</v>
      </c>
      <c r="I111" s="1824">
        <f t="shared" si="16"/>
        <v>0</v>
      </c>
      <c r="J111" s="1824">
        <f t="shared" si="16"/>
        <v>0</v>
      </c>
      <c r="K111" s="1824">
        <f t="shared" si="16"/>
        <v>0</v>
      </c>
      <c r="L111" s="1824">
        <f t="shared" si="16"/>
        <v>0</v>
      </c>
      <c r="M111" s="1824">
        <f t="shared" si="16"/>
        <v>0</v>
      </c>
      <c r="N111" s="1824">
        <f t="shared" si="16"/>
        <v>0</v>
      </c>
      <c r="O111" s="1824">
        <f t="shared" si="16"/>
        <v>0</v>
      </c>
      <c r="P111" s="1824"/>
      <c r="Q111" s="1052"/>
      <c r="R111" s="1052"/>
      <c r="S111" s="1052"/>
      <c r="T111" s="2035">
        <f t="shared" si="12"/>
        <v>0</v>
      </c>
    </row>
    <row r="112" spans="1:20" ht="22.2" hidden="1" customHeight="1">
      <c r="A112" s="63"/>
      <c r="B112" s="1589" t="s">
        <v>639</v>
      </c>
      <c r="C112" s="64" t="str">
        <f t="shared" si="13"/>
        <v xml:space="preserve"> </v>
      </c>
      <c r="D112" s="1537">
        <v>1.17</v>
      </c>
      <c r="E112" s="1048" t="str">
        <f>VLOOKUP($B112,DG!A:D,DG!$B$2,)</f>
        <v>03.1013</v>
      </c>
      <c r="F112" s="1049" t="str">
        <f>VLOOKUP($B112,DG!A:D,DG!$C$2,)</f>
        <v>Đào hố móng đất cấp 3 sâu &gt;1m</v>
      </c>
      <c r="G112" s="1048" t="str">
        <f>VLOOKUP($B112,DG!A:D,DG!$D$2,)</f>
        <v>m3</v>
      </c>
      <c r="H112" s="1824"/>
      <c r="I112" s="1824"/>
      <c r="J112" s="1824"/>
      <c r="K112" s="1824"/>
      <c r="L112" s="1824"/>
      <c r="M112" s="1824"/>
      <c r="N112" s="1824"/>
      <c r="O112" s="1824"/>
      <c r="P112" s="1824"/>
      <c r="Q112" s="1055"/>
      <c r="R112" s="1055"/>
      <c r="S112" s="1055"/>
      <c r="T112" s="2035">
        <f t="shared" si="12"/>
        <v>0</v>
      </c>
    </row>
    <row r="113" spans="1:20" ht="22.2" hidden="1" customHeight="1">
      <c r="A113" s="63"/>
      <c r="B113" s="1589" t="s">
        <v>21</v>
      </c>
      <c r="C113" s="64" t="str">
        <f t="shared" si="13"/>
        <v xml:space="preserve"> </v>
      </c>
      <c r="D113" s="1537">
        <v>2.0099999999999998</v>
      </c>
      <c r="E113" s="1048" t="str">
        <f>VLOOKUP($B113,DG!A:D,DG!$B$2,)</f>
        <v>03.4113</v>
      </c>
      <c r="F113" s="1049" t="str">
        <f>VLOOKUP($B113,DG!A:D,DG!$C$2,)</f>
        <v>Đắp đất hố móng, độ chặt k=0,95</v>
      </c>
      <c r="G113" s="1048" t="str">
        <f>VLOOKUP($B113,DG!A:D,DG!$D$2,)</f>
        <v>m3</v>
      </c>
      <c r="H113" s="1824"/>
      <c r="I113" s="1824"/>
      <c r="J113" s="1824"/>
      <c r="K113" s="1824"/>
      <c r="L113" s="1824"/>
      <c r="M113" s="1824"/>
      <c r="N113" s="1824"/>
      <c r="O113" s="1824"/>
      <c r="P113" s="1824"/>
      <c r="Q113" s="1055"/>
      <c r="R113" s="1055"/>
      <c r="S113" s="1055"/>
      <c r="T113" s="2035">
        <f t="shared" si="12"/>
        <v>0</v>
      </c>
    </row>
    <row r="114" spans="1:20" ht="22.2" hidden="1" customHeight="1">
      <c r="A114" s="63"/>
      <c r="B114" s="1589" t="s">
        <v>637</v>
      </c>
      <c r="C114" s="64" t="str">
        <f t="shared" si="13"/>
        <v xml:space="preserve"> </v>
      </c>
      <c r="D114" s="1537">
        <v>0.255</v>
      </c>
      <c r="E114" s="1048" t="str">
        <f>VLOOKUP($B114,DG!A:D,DG!$B$2,)</f>
        <v>02.1123</v>
      </c>
      <c r="F114" s="1049" t="str">
        <f>VLOOKUP($B114,DG!A:D,DG!$C$2,)</f>
        <v>Bốc dỡ đà cản, đế néo</v>
      </c>
      <c r="G114" s="1048" t="str">
        <f>VLOOKUP($B114,DG!A:D,DG!$D$2,)</f>
        <v>tấn</v>
      </c>
      <c r="H114" s="1824"/>
      <c r="I114" s="1824"/>
      <c r="J114" s="1824"/>
      <c r="K114" s="1824"/>
      <c r="L114" s="1824"/>
      <c r="M114" s="1824"/>
      <c r="N114" s="1824"/>
      <c r="O114" s="1824"/>
      <c r="P114" s="1824"/>
      <c r="Q114" s="1052"/>
      <c r="R114" s="1052"/>
      <c r="S114" s="1052"/>
      <c r="T114" s="2035">
        <f t="shared" si="12"/>
        <v>0</v>
      </c>
    </row>
    <row r="115" spans="1:20" ht="22.2" hidden="1" customHeight="1">
      <c r="A115" s="63"/>
      <c r="B115" s="1575" t="s">
        <v>2069</v>
      </c>
      <c r="C115" s="64" t="str">
        <f t="shared" si="13"/>
        <v xml:space="preserve"> </v>
      </c>
      <c r="D115" s="1537">
        <f>D114</f>
        <v>0.255</v>
      </c>
      <c r="E115" s="1048" t="str">
        <f>VLOOKUP($B115,DG!A:C,2,)</f>
        <v>02.1451</v>
      </c>
      <c r="F115" s="1049" t="str">
        <f>VLOOKUP($B115,DG!A:C,3,)</f>
        <v>V/c đà cản vào vị trí (cự ly &lt;=100m)</v>
      </c>
      <c r="G115" s="1048" t="str">
        <f>VLOOKUP($B115,DG!A:D,4,0)</f>
        <v>tấn</v>
      </c>
      <c r="H115" s="1824"/>
      <c r="I115" s="1824"/>
      <c r="J115" s="1824"/>
      <c r="K115" s="1824"/>
      <c r="L115" s="1824"/>
      <c r="M115" s="1824"/>
      <c r="N115" s="1824"/>
      <c r="O115" s="1824"/>
      <c r="P115" s="1824"/>
      <c r="Q115" s="1055"/>
      <c r="R115" s="1055"/>
      <c r="S115" s="1055"/>
      <c r="T115" s="2035">
        <f t="shared" si="12"/>
        <v>0</v>
      </c>
    </row>
    <row r="116" spans="1:20" ht="22.2" hidden="1" customHeight="1">
      <c r="A116" s="63"/>
      <c r="B116" s="1575" t="s">
        <v>635</v>
      </c>
      <c r="C116" s="64" t="str">
        <f t="shared" si="13"/>
        <v xml:space="preserve"> </v>
      </c>
      <c r="D116" s="1537">
        <v>0.2</v>
      </c>
      <c r="E116" s="1048" t="str">
        <f>VLOOKUP($B116,DG!A:C,2,)</f>
        <v>02.1482</v>
      </c>
      <c r="F116" s="1049" t="str">
        <f>VLOOKUP($B116,DG!A:C,3,)</f>
        <v>V/c dụng cụ thi công vào vị trí (cự ly &lt;=100m)</v>
      </c>
      <c r="G116" s="1048" t="str">
        <f>VLOOKUP($B116,DG!A:D,4,0)</f>
        <v>tấn</v>
      </c>
      <c r="H116" s="1824"/>
      <c r="I116" s="1824"/>
      <c r="J116" s="1824"/>
      <c r="K116" s="1824"/>
      <c r="L116" s="1824"/>
      <c r="M116" s="1824"/>
      <c r="N116" s="1824"/>
      <c r="O116" s="1824"/>
      <c r="P116" s="1824"/>
      <c r="Q116" s="1055"/>
      <c r="R116" s="1055"/>
      <c r="S116" s="1055"/>
      <c r="T116" s="2035">
        <f t="shared" si="12"/>
        <v>0</v>
      </c>
    </row>
    <row r="117" spans="1:20" ht="22.2" hidden="1" customHeight="1">
      <c r="A117" s="56" t="s">
        <v>2183</v>
      </c>
      <c r="B117" s="1574" t="s">
        <v>2183</v>
      </c>
      <c r="C117" s="62" t="str">
        <f t="shared" si="13"/>
        <v xml:space="preserve"> </v>
      </c>
      <c r="D117" s="1532"/>
      <c r="E117" s="1045"/>
      <c r="F117" s="1392" t="s">
        <v>2343</v>
      </c>
      <c r="G117" s="1046" t="s">
        <v>2333</v>
      </c>
      <c r="H117" s="1821">
        <f>SUM(I117:O117)</f>
        <v>0</v>
      </c>
      <c r="I117" s="1822"/>
      <c r="J117" s="1822"/>
      <c r="K117" s="1822">
        <f>IFERROR(HLOOKUP(B117,pp3p1m!$1:$3,3,0),0)</f>
        <v>0</v>
      </c>
      <c r="L117" s="1822">
        <f>IFERROR(HLOOKUP(chitiet!B117,pp1p!$1:$3,3,0),0)</f>
        <v>0</v>
      </c>
      <c r="M117" s="1822"/>
      <c r="N117" s="1822"/>
      <c r="O117" s="1822"/>
      <c r="P117" s="1822"/>
      <c r="Q117" s="1047"/>
      <c r="R117" s="1047"/>
      <c r="S117" s="1047"/>
      <c r="T117" s="2035">
        <f>IFERROR(HLOOKUP(B117,pp1p!$1:$3,3,0),0)+IFERROR(HLOOKUP(B117,pp3p1m!$1:$3,3,0),0)</f>
        <v>0</v>
      </c>
    </row>
    <row r="118" spans="1:20" ht="22.2" hidden="1" customHeight="1">
      <c r="A118" s="63"/>
      <c r="B118" s="1589" t="s">
        <v>636</v>
      </c>
      <c r="C118" s="64" t="str">
        <f t="shared" si="13"/>
        <v xml:space="preserve"> </v>
      </c>
      <c r="D118" s="1538">
        <v>2</v>
      </c>
      <c r="E118" s="1044" t="str">
        <f>VLOOKUP($B118,DG!A:D,DG!$B$2,)</f>
        <v>04.4001</v>
      </c>
      <c r="F118" s="1054" t="str">
        <f>VLOOKUP($B118,DG!A:D,DG!$C$2,)</f>
        <v>Đà cản BTCT 1,2m</v>
      </c>
      <c r="G118" s="1048" t="str">
        <f>VLOOKUP($B118,DG!A:D,DG!$D$2,)</f>
        <v>cái</v>
      </c>
      <c r="H118" s="1824">
        <f t="shared" ref="H118:N119" si="17">H$117*$D118</f>
        <v>0</v>
      </c>
      <c r="I118" s="1824">
        <f t="shared" si="17"/>
        <v>0</v>
      </c>
      <c r="J118" s="1824">
        <f t="shared" si="17"/>
        <v>0</v>
      </c>
      <c r="K118" s="1824">
        <f t="shared" si="17"/>
        <v>0</v>
      </c>
      <c r="L118" s="1824">
        <f t="shared" si="17"/>
        <v>0</v>
      </c>
      <c r="M118" s="1824">
        <f t="shared" si="17"/>
        <v>0</v>
      </c>
      <c r="N118" s="1824">
        <f t="shared" si="17"/>
        <v>0</v>
      </c>
      <c r="O118" s="1824"/>
      <c r="P118" s="1824"/>
      <c r="Q118" s="1052"/>
      <c r="R118" s="1052"/>
      <c r="S118" s="1052"/>
      <c r="T118" s="2035">
        <f t="shared" si="12"/>
        <v>0</v>
      </c>
    </row>
    <row r="119" spans="1:20" ht="22.2" hidden="1" customHeight="1">
      <c r="A119" s="63"/>
      <c r="B119" s="1589" t="s">
        <v>719</v>
      </c>
      <c r="C119" s="64" t="str">
        <f t="shared" si="13"/>
        <v xml:space="preserve"> </v>
      </c>
      <c r="D119" s="1538">
        <v>2</v>
      </c>
      <c r="E119" s="1048"/>
      <c r="F119" s="1054" t="str">
        <f>VLOOKUP($B119,DG!A:D,DG!$C$2,)</f>
        <v>Boulon 22x550/100+ 2 long đền vuông D24-50x50x3/Zn</v>
      </c>
      <c r="G119" s="1048" t="str">
        <f>VLOOKUP($B119,DG!A:D,DG!$D$2,)</f>
        <v>bộ</v>
      </c>
      <c r="H119" s="1824">
        <f t="shared" si="17"/>
        <v>0</v>
      </c>
      <c r="I119" s="1824">
        <f t="shared" si="17"/>
        <v>0</v>
      </c>
      <c r="J119" s="1824">
        <f t="shared" si="17"/>
        <v>0</v>
      </c>
      <c r="K119" s="1824">
        <f t="shared" si="17"/>
        <v>0</v>
      </c>
      <c r="L119" s="1824">
        <f t="shared" si="17"/>
        <v>0</v>
      </c>
      <c r="M119" s="1824">
        <f t="shared" si="17"/>
        <v>0</v>
      </c>
      <c r="N119" s="1824">
        <f t="shared" si="17"/>
        <v>0</v>
      </c>
      <c r="O119" s="1824"/>
      <c r="P119" s="1824"/>
      <c r="Q119" s="1052"/>
      <c r="R119" s="1052"/>
      <c r="S119" s="1052"/>
      <c r="T119" s="2035">
        <f t="shared" si="12"/>
        <v>0</v>
      </c>
    </row>
    <row r="120" spans="1:20" ht="22.2" hidden="1" customHeight="1">
      <c r="A120" s="63"/>
      <c r="B120" s="1589" t="s">
        <v>639</v>
      </c>
      <c r="C120" s="64" t="str">
        <f t="shared" si="13"/>
        <v xml:space="preserve"> </v>
      </c>
      <c r="D120" s="1537">
        <v>3.65</v>
      </c>
      <c r="E120" s="1048" t="str">
        <f>VLOOKUP($B120,DG!A:D,DG!$B$2,)</f>
        <v>03.1013</v>
      </c>
      <c r="F120" s="1049" t="str">
        <f>VLOOKUP($B120,DG!A:D,DG!$C$2,)</f>
        <v>Đào hố móng đất cấp 3 sâu &gt;1m</v>
      </c>
      <c r="G120" s="1048" t="str">
        <f>VLOOKUP($B120,DG!A:D,DG!$D$2,)</f>
        <v>m3</v>
      </c>
      <c r="H120" s="1824"/>
      <c r="I120" s="1824"/>
      <c r="J120" s="1824"/>
      <c r="K120" s="1824"/>
      <c r="L120" s="1824"/>
      <c r="M120" s="1824"/>
      <c r="N120" s="1824"/>
      <c r="O120" s="1824"/>
      <c r="P120" s="1824"/>
      <c r="Q120" s="1055"/>
      <c r="R120" s="1055"/>
      <c r="S120" s="1055"/>
      <c r="T120" s="2035">
        <f t="shared" si="12"/>
        <v>0</v>
      </c>
    </row>
    <row r="121" spans="1:20" ht="22.2" hidden="1" customHeight="1">
      <c r="A121" s="63"/>
      <c r="B121" s="1589" t="s">
        <v>21</v>
      </c>
      <c r="C121" s="64" t="str">
        <f t="shared" si="13"/>
        <v xml:space="preserve"> </v>
      </c>
      <c r="D121" s="1537">
        <v>4.41</v>
      </c>
      <c r="E121" s="1048" t="str">
        <f>VLOOKUP($B121,DG!A:D,DG!$B$2,)</f>
        <v>03.4113</v>
      </c>
      <c r="F121" s="1049" t="str">
        <f>VLOOKUP($B121,DG!A:D,DG!$C$2,)</f>
        <v>Đắp đất hố móng, độ chặt k=0,95</v>
      </c>
      <c r="G121" s="1048" t="str">
        <f>VLOOKUP($B121,DG!A:D,DG!$D$2,)</f>
        <v>m3</v>
      </c>
      <c r="H121" s="1824"/>
      <c r="I121" s="1824"/>
      <c r="J121" s="1824"/>
      <c r="K121" s="1824"/>
      <c r="L121" s="1824"/>
      <c r="M121" s="1824"/>
      <c r="N121" s="1824"/>
      <c r="O121" s="1824"/>
      <c r="P121" s="1824"/>
      <c r="Q121" s="1055"/>
      <c r="R121" s="1055"/>
      <c r="S121" s="1055"/>
      <c r="T121" s="2035">
        <f t="shared" si="12"/>
        <v>0</v>
      </c>
    </row>
    <row r="122" spans="1:20" ht="22.2" hidden="1" customHeight="1">
      <c r="A122" s="63"/>
      <c r="B122" s="1589" t="s">
        <v>637</v>
      </c>
      <c r="C122" s="64" t="str">
        <f t="shared" si="13"/>
        <v xml:space="preserve"> </v>
      </c>
      <c r="D122" s="1537">
        <f>0.1*D118</f>
        <v>0.2</v>
      </c>
      <c r="E122" s="1048" t="str">
        <f>VLOOKUP($B122,DG!A:D,DG!$B$2,)</f>
        <v>02.1123</v>
      </c>
      <c r="F122" s="1049" t="str">
        <f>VLOOKUP($B122,DG!A:D,DG!$C$2,)</f>
        <v>Bốc dỡ đà cản, đế néo</v>
      </c>
      <c r="G122" s="1048" t="str">
        <f>VLOOKUP($B122,DG!A:D,DG!$D$2,)</f>
        <v>tấn</v>
      </c>
      <c r="H122" s="1824"/>
      <c r="I122" s="1824"/>
      <c r="J122" s="1824"/>
      <c r="K122" s="1824"/>
      <c r="L122" s="1824"/>
      <c r="M122" s="1824"/>
      <c r="N122" s="1824"/>
      <c r="O122" s="1824"/>
      <c r="P122" s="1824"/>
      <c r="Q122" s="1052"/>
      <c r="R122" s="1052"/>
      <c r="S122" s="1052"/>
      <c r="T122" s="2035">
        <f t="shared" si="12"/>
        <v>0</v>
      </c>
    </row>
    <row r="123" spans="1:20" ht="22.2" hidden="1" customHeight="1">
      <c r="A123" s="63"/>
      <c r="B123" s="1575" t="s">
        <v>2069</v>
      </c>
      <c r="C123" s="64" t="str">
        <f t="shared" si="13"/>
        <v xml:space="preserve"> </v>
      </c>
      <c r="D123" s="1537">
        <f>D122</f>
        <v>0.2</v>
      </c>
      <c r="E123" s="1048" t="str">
        <f>VLOOKUP($B123,DG!A:C,2,)</f>
        <v>02.1451</v>
      </c>
      <c r="F123" s="1049" t="str">
        <f>VLOOKUP($B123,DG!A:C,3,)</f>
        <v>V/c đà cản vào vị trí (cự ly &lt;=100m)</v>
      </c>
      <c r="G123" s="1048" t="str">
        <f>VLOOKUP($B123,DG!A:D,4,0)</f>
        <v>tấn</v>
      </c>
      <c r="H123" s="1824"/>
      <c r="I123" s="1824"/>
      <c r="J123" s="1824"/>
      <c r="K123" s="1824"/>
      <c r="L123" s="1824"/>
      <c r="M123" s="1824"/>
      <c r="N123" s="1824"/>
      <c r="O123" s="1824"/>
      <c r="P123" s="1824"/>
      <c r="Q123" s="1055"/>
      <c r="R123" s="1055"/>
      <c r="S123" s="1055"/>
      <c r="T123" s="2035">
        <f t="shared" si="12"/>
        <v>0</v>
      </c>
    </row>
    <row r="124" spans="1:20" ht="22.2" hidden="1" customHeight="1">
      <c r="A124" s="63"/>
      <c r="B124" s="1575" t="s">
        <v>635</v>
      </c>
      <c r="C124" s="64" t="str">
        <f t="shared" si="13"/>
        <v xml:space="preserve"> </v>
      </c>
      <c r="D124" s="1537">
        <f>D123</f>
        <v>0.2</v>
      </c>
      <c r="E124" s="1048" t="str">
        <f>VLOOKUP($B124,DG!A:C,2,)</f>
        <v>02.1482</v>
      </c>
      <c r="F124" s="1049" t="str">
        <f>VLOOKUP($B124,DG!A:C,3,)</f>
        <v>V/c dụng cụ thi công vào vị trí (cự ly &lt;=100m)</v>
      </c>
      <c r="G124" s="1048" t="str">
        <f>VLOOKUP($B124,DG!A:D,4,0)</f>
        <v>tấn</v>
      </c>
      <c r="H124" s="1824"/>
      <c r="I124" s="1824"/>
      <c r="J124" s="1824"/>
      <c r="K124" s="1824"/>
      <c r="L124" s="1824"/>
      <c r="M124" s="1824"/>
      <c r="N124" s="1824"/>
      <c r="O124" s="1824"/>
      <c r="P124" s="1824"/>
      <c r="Q124" s="1055"/>
      <c r="R124" s="1055"/>
      <c r="S124" s="1055"/>
      <c r="T124" s="2035">
        <f t="shared" si="12"/>
        <v>0</v>
      </c>
    </row>
    <row r="125" spans="1:20" ht="22.2" hidden="1" customHeight="1">
      <c r="A125" s="56" t="s">
        <v>932</v>
      </c>
      <c r="B125" s="1574" t="s">
        <v>932</v>
      </c>
      <c r="C125" s="62" t="str">
        <f t="shared" si="13"/>
        <v xml:space="preserve"> </v>
      </c>
      <c r="D125" s="1532"/>
      <c r="E125" s="1045"/>
      <c r="F125" s="1392" t="s">
        <v>2344</v>
      </c>
      <c r="G125" s="1046" t="s">
        <v>2333</v>
      </c>
      <c r="H125" s="1821">
        <f>SUM(I125:O125)</f>
        <v>0</v>
      </c>
      <c r="I125" s="1822"/>
      <c r="J125" s="1822"/>
      <c r="K125" s="1822">
        <f>IFERROR(HLOOKUP(B125,pp3p1m!$1:$3,3,0),0)</f>
        <v>0</v>
      </c>
      <c r="L125" s="1822">
        <f>IFERROR(HLOOKUP(chitiet!B125,pp1p!$1:$3,3,0),0)</f>
        <v>0</v>
      </c>
      <c r="M125" s="1822"/>
      <c r="N125" s="1822"/>
      <c r="O125" s="1822"/>
      <c r="P125" s="1822"/>
      <c r="Q125" s="1047"/>
      <c r="R125" s="1047"/>
      <c r="S125" s="1047"/>
      <c r="T125" s="2035">
        <f>IFERROR(HLOOKUP(B125,pp1p!$1:$3,3,0),0)+IFERROR(HLOOKUP(B125,pp3p1m!$1:$3,3,0),0)</f>
        <v>0</v>
      </c>
    </row>
    <row r="126" spans="1:20" ht="22.2" hidden="1" customHeight="1">
      <c r="A126" s="63"/>
      <c r="B126" s="1589" t="s">
        <v>1578</v>
      </c>
      <c r="C126" s="64" t="str">
        <f t="shared" si="13"/>
        <v xml:space="preserve"> </v>
      </c>
      <c r="D126" s="1538">
        <v>1</v>
      </c>
      <c r="E126" s="1044" t="str">
        <f>VLOOKUP($B126,DG!A:D,DG!$B$2,)</f>
        <v>04.3801</v>
      </c>
      <c r="F126" s="1054" t="str">
        <f>VLOOKUP($B126,DG!A:D,DG!$C$2,)</f>
        <v>Đà cản BTCT 1,5m</v>
      </c>
      <c r="G126" s="1048" t="str">
        <f>VLOOKUP($B126,DG!A:D,DG!$D$2,)</f>
        <v>cái</v>
      </c>
      <c r="H126" s="1824">
        <f t="shared" ref="H126:N128" si="18">H$125*$D126</f>
        <v>0</v>
      </c>
      <c r="I126" s="1824">
        <f t="shared" si="18"/>
        <v>0</v>
      </c>
      <c r="J126" s="1824">
        <f t="shared" si="18"/>
        <v>0</v>
      </c>
      <c r="K126" s="1824">
        <f t="shared" si="18"/>
        <v>0</v>
      </c>
      <c r="L126" s="1824">
        <f t="shared" si="18"/>
        <v>0</v>
      </c>
      <c r="M126" s="1824">
        <f t="shared" si="18"/>
        <v>0</v>
      </c>
      <c r="N126" s="1824">
        <f t="shared" si="18"/>
        <v>0</v>
      </c>
      <c r="O126" s="1824"/>
      <c r="P126" s="1824"/>
      <c r="Q126" s="1052"/>
      <c r="R126" s="1052"/>
      <c r="S126" s="1052"/>
      <c r="T126" s="2035">
        <f t="shared" si="12"/>
        <v>0</v>
      </c>
    </row>
    <row r="127" spans="1:20" ht="22.2" hidden="1" customHeight="1">
      <c r="A127" s="63"/>
      <c r="B127" s="1589" t="s">
        <v>636</v>
      </c>
      <c r="C127" s="64" t="str">
        <f t="shared" si="13"/>
        <v xml:space="preserve"> </v>
      </c>
      <c r="D127" s="1538">
        <v>1</v>
      </c>
      <c r="E127" s="1044" t="str">
        <f>VLOOKUP($B127,DG!A:D,DG!$B$2,)</f>
        <v>04.4001</v>
      </c>
      <c r="F127" s="1054" t="str">
        <f>VLOOKUP($B127,DG!A:D,DG!$C$2,)</f>
        <v>Đà cản BTCT 1,2m</v>
      </c>
      <c r="G127" s="1048" t="str">
        <f>VLOOKUP($B127,DG!A:D,DG!$D$2,)</f>
        <v>cái</v>
      </c>
      <c r="H127" s="1824">
        <f t="shared" si="18"/>
        <v>0</v>
      </c>
      <c r="I127" s="1824">
        <f t="shared" si="18"/>
        <v>0</v>
      </c>
      <c r="J127" s="1824">
        <f t="shared" si="18"/>
        <v>0</v>
      </c>
      <c r="K127" s="1824">
        <f t="shared" si="18"/>
        <v>0</v>
      </c>
      <c r="L127" s="1824">
        <f t="shared" si="18"/>
        <v>0</v>
      </c>
      <c r="M127" s="1824">
        <f t="shared" si="18"/>
        <v>0</v>
      </c>
      <c r="N127" s="1824">
        <f t="shared" si="18"/>
        <v>0</v>
      </c>
      <c r="O127" s="1824"/>
      <c r="P127" s="1824"/>
      <c r="Q127" s="1052"/>
      <c r="R127" s="1052"/>
      <c r="S127" s="1052"/>
      <c r="T127" s="2035">
        <f t="shared" si="12"/>
        <v>0</v>
      </c>
    </row>
    <row r="128" spans="1:20" ht="22.2" hidden="1" customHeight="1">
      <c r="A128" s="63"/>
      <c r="B128" s="1589" t="s">
        <v>719</v>
      </c>
      <c r="C128" s="64" t="str">
        <f t="shared" si="13"/>
        <v xml:space="preserve"> </v>
      </c>
      <c r="D128" s="1538">
        <v>2</v>
      </c>
      <c r="E128" s="1048"/>
      <c r="F128" s="1054" t="str">
        <f>VLOOKUP($B128,DG!A:D,DG!$C$2,)</f>
        <v>Boulon 22x550/100+ 2 long đền vuông D24-50x50x3/Zn</v>
      </c>
      <c r="G128" s="1048" t="str">
        <f>VLOOKUP($B128,DG!A:D,DG!$D$2,)</f>
        <v>bộ</v>
      </c>
      <c r="H128" s="1824">
        <f t="shared" si="18"/>
        <v>0</v>
      </c>
      <c r="I128" s="1824">
        <f t="shared" si="18"/>
        <v>0</v>
      </c>
      <c r="J128" s="1824">
        <f t="shared" si="18"/>
        <v>0</v>
      </c>
      <c r="K128" s="1824">
        <f t="shared" si="18"/>
        <v>0</v>
      </c>
      <c r="L128" s="1824">
        <f t="shared" si="18"/>
        <v>0</v>
      </c>
      <c r="M128" s="1824">
        <f t="shared" si="18"/>
        <v>0</v>
      </c>
      <c r="N128" s="1824">
        <f t="shared" si="18"/>
        <v>0</v>
      </c>
      <c r="O128" s="1824"/>
      <c r="P128" s="1824"/>
      <c r="Q128" s="1052"/>
      <c r="R128" s="1052"/>
      <c r="S128" s="1052"/>
      <c r="T128" s="2035">
        <f t="shared" si="12"/>
        <v>0</v>
      </c>
    </row>
    <row r="129" spans="1:20" ht="22.2" hidden="1" customHeight="1">
      <c r="A129" s="63"/>
      <c r="B129" s="1589" t="s">
        <v>639</v>
      </c>
      <c r="C129" s="64" t="str">
        <f t="shared" si="13"/>
        <v xml:space="preserve"> </v>
      </c>
      <c r="D129" s="1534">
        <v>3.81</v>
      </c>
      <c r="E129" s="1048" t="str">
        <f>VLOOKUP($B129,DG!A:D,DG!$B$2,)</f>
        <v>03.1013</v>
      </c>
      <c r="F129" s="1049" t="str">
        <f>VLOOKUP($B129,DG!A:D,DG!$C$2,)</f>
        <v>Đào hố móng đất cấp 3 sâu &gt;1m</v>
      </c>
      <c r="G129" s="1048" t="str">
        <f>VLOOKUP($B129,DG!A:D,DG!$D$2,)</f>
        <v>m3</v>
      </c>
      <c r="H129" s="1824"/>
      <c r="I129" s="1824"/>
      <c r="J129" s="1824"/>
      <c r="K129" s="1824"/>
      <c r="L129" s="1824"/>
      <c r="M129" s="1824"/>
      <c r="N129" s="1824"/>
      <c r="O129" s="1824"/>
      <c r="P129" s="1824"/>
      <c r="Q129" s="1055"/>
      <c r="R129" s="1055"/>
      <c r="S129" s="1055"/>
      <c r="T129" s="2035">
        <f t="shared" si="12"/>
        <v>0</v>
      </c>
    </row>
    <row r="130" spans="1:20" ht="22.2" hidden="1" customHeight="1">
      <c r="A130" s="63"/>
      <c r="B130" s="1589" t="s">
        <v>21</v>
      </c>
      <c r="C130" s="64" t="str">
        <f t="shared" si="13"/>
        <v xml:space="preserve"> </v>
      </c>
      <c r="D130" s="1534">
        <v>4.63</v>
      </c>
      <c r="E130" s="1048" t="str">
        <f>VLOOKUP($B130,DG!A:D,DG!$B$2,)</f>
        <v>03.4113</v>
      </c>
      <c r="F130" s="1049" t="str">
        <f>VLOOKUP($B130,DG!A:D,DG!$C$2,)</f>
        <v>Đắp đất hố móng, độ chặt k=0,95</v>
      </c>
      <c r="G130" s="1048" t="str">
        <f>VLOOKUP($B130,DG!A:D,DG!$D$2,)</f>
        <v>m3</v>
      </c>
      <c r="H130" s="1824"/>
      <c r="I130" s="1824"/>
      <c r="J130" s="1824"/>
      <c r="K130" s="1824"/>
      <c r="L130" s="1824"/>
      <c r="M130" s="1824"/>
      <c r="N130" s="1824"/>
      <c r="O130" s="1824"/>
      <c r="P130" s="1824"/>
      <c r="Q130" s="1055"/>
      <c r="R130" s="1055"/>
      <c r="S130" s="1055"/>
      <c r="T130" s="2035">
        <f t="shared" si="12"/>
        <v>0</v>
      </c>
    </row>
    <row r="131" spans="1:20" ht="22.2" hidden="1" customHeight="1">
      <c r="A131" s="63"/>
      <c r="B131" s="1589" t="s">
        <v>637</v>
      </c>
      <c r="C131" s="64" t="str">
        <f t="shared" si="13"/>
        <v xml:space="preserve"> </v>
      </c>
      <c r="D131" s="1537">
        <f>0.1+0.255</f>
        <v>0.35499999999999998</v>
      </c>
      <c r="E131" s="1048" t="str">
        <f>VLOOKUP($B131,DG!A:D,DG!$B$2,)</f>
        <v>02.1123</v>
      </c>
      <c r="F131" s="1049" t="str">
        <f>VLOOKUP($B131,DG!A:D,DG!$C$2,)</f>
        <v>Bốc dỡ đà cản, đế néo</v>
      </c>
      <c r="G131" s="1048" t="str">
        <f>VLOOKUP($B131,DG!A:D,DG!$D$2,)</f>
        <v>tấn</v>
      </c>
      <c r="H131" s="1824"/>
      <c r="I131" s="1824"/>
      <c r="J131" s="1824"/>
      <c r="K131" s="1824"/>
      <c r="L131" s="1824"/>
      <c r="M131" s="1824"/>
      <c r="N131" s="1824"/>
      <c r="O131" s="1824"/>
      <c r="P131" s="1824"/>
      <c r="Q131" s="1052"/>
      <c r="R131" s="1052"/>
      <c r="S131" s="1052"/>
      <c r="T131" s="2035">
        <f t="shared" si="12"/>
        <v>0</v>
      </c>
    </row>
    <row r="132" spans="1:20" ht="22.2" hidden="1" customHeight="1">
      <c r="A132" s="63"/>
      <c r="B132" s="1575" t="s">
        <v>2069</v>
      </c>
      <c r="C132" s="64" t="str">
        <f t="shared" si="13"/>
        <v xml:space="preserve"> </v>
      </c>
      <c r="D132" s="1537">
        <f>D131</f>
        <v>0.35499999999999998</v>
      </c>
      <c r="E132" s="1048" t="str">
        <f>VLOOKUP($B132,DG!A:C,2,)</f>
        <v>02.1451</v>
      </c>
      <c r="F132" s="1049" t="str">
        <f>VLOOKUP($B132,DG!A:C,3,)</f>
        <v>V/c đà cản vào vị trí (cự ly &lt;=100m)</v>
      </c>
      <c r="G132" s="1048" t="str">
        <f>VLOOKUP($B132,DG!A:D,4,0)</f>
        <v>tấn</v>
      </c>
      <c r="H132" s="1824"/>
      <c r="I132" s="1824"/>
      <c r="J132" s="1824"/>
      <c r="K132" s="1824"/>
      <c r="L132" s="1824"/>
      <c r="M132" s="1824"/>
      <c r="N132" s="1824"/>
      <c r="O132" s="1824"/>
      <c r="P132" s="1824"/>
      <c r="Q132" s="1055"/>
      <c r="R132" s="1055"/>
      <c r="S132" s="1055"/>
      <c r="T132" s="2035">
        <f t="shared" si="12"/>
        <v>0</v>
      </c>
    </row>
    <row r="133" spans="1:20" ht="22.2" hidden="1" customHeight="1">
      <c r="A133" s="63"/>
      <c r="B133" s="1575" t="s">
        <v>635</v>
      </c>
      <c r="C133" s="64" t="str">
        <f t="shared" si="13"/>
        <v xml:space="preserve"> </v>
      </c>
      <c r="D133" s="1537">
        <v>0.2</v>
      </c>
      <c r="E133" s="1048" t="str">
        <f>VLOOKUP($B133,DG!A:C,2,)</f>
        <v>02.1482</v>
      </c>
      <c r="F133" s="1049" t="str">
        <f>VLOOKUP($B133,DG!A:C,3,)</f>
        <v>V/c dụng cụ thi công vào vị trí (cự ly &lt;=100m)</v>
      </c>
      <c r="G133" s="1048" t="str">
        <f>VLOOKUP($B133,DG!A:D,4,0)</f>
        <v>tấn</v>
      </c>
      <c r="H133" s="1824"/>
      <c r="I133" s="1824"/>
      <c r="J133" s="1824"/>
      <c r="K133" s="1824"/>
      <c r="L133" s="1824"/>
      <c r="M133" s="1824"/>
      <c r="N133" s="1824"/>
      <c r="O133" s="1824"/>
      <c r="P133" s="1824"/>
      <c r="Q133" s="1055"/>
      <c r="R133" s="1055"/>
      <c r="S133" s="1055"/>
      <c r="T133" s="2035">
        <f t="shared" si="12"/>
        <v>0</v>
      </c>
    </row>
    <row r="134" spans="1:20" ht="22.2" hidden="1" customHeight="1">
      <c r="A134" s="56" t="s">
        <v>933</v>
      </c>
      <c r="B134" s="1574" t="s">
        <v>933</v>
      </c>
      <c r="C134" s="62" t="str">
        <f t="shared" si="13"/>
        <v xml:space="preserve"> </v>
      </c>
      <c r="D134" s="1532"/>
      <c r="E134" s="1045"/>
      <c r="F134" s="1392" t="s">
        <v>2345</v>
      </c>
      <c r="G134" s="1046" t="s">
        <v>2333</v>
      </c>
      <c r="H134" s="1821">
        <f>SUM(I134:O134)</f>
        <v>0</v>
      </c>
      <c r="I134" s="1822"/>
      <c r="J134" s="1822"/>
      <c r="K134" s="1822">
        <f>IFERROR(HLOOKUP(B134,pp3p1m!$1:$3,3,0),0)</f>
        <v>0</v>
      </c>
      <c r="L134" s="1822">
        <f>IFERROR(HLOOKUP(chitiet!B134,pp1p!$1:$3,3,0),0)</f>
        <v>0</v>
      </c>
      <c r="M134" s="1822"/>
      <c r="N134" s="1822"/>
      <c r="O134" s="1822"/>
      <c r="P134" s="1822"/>
      <c r="Q134" s="1047"/>
      <c r="R134" s="1047"/>
      <c r="S134" s="1047"/>
      <c r="T134" s="2035">
        <f>IFERROR(HLOOKUP(B134,pp1p!$1:$3,3,0),0)+IFERROR(HLOOKUP(B134,pp3p1m!$1:$3,3,0),0)</f>
        <v>0</v>
      </c>
    </row>
    <row r="135" spans="1:20" ht="22.2" hidden="1" customHeight="1">
      <c r="A135" s="63"/>
      <c r="B135" s="1589" t="s">
        <v>1578</v>
      </c>
      <c r="C135" s="64" t="str">
        <f t="shared" si="13"/>
        <v xml:space="preserve"> </v>
      </c>
      <c r="D135" s="1538">
        <v>2</v>
      </c>
      <c r="E135" s="1044" t="str">
        <f>VLOOKUP($B135,DG!A:D,DG!$B$2,)</f>
        <v>04.3801</v>
      </c>
      <c r="F135" s="1054" t="str">
        <f>VLOOKUP($B135,DG!A:D,DG!$C$2,)</f>
        <v>Đà cản BTCT 1,5m</v>
      </c>
      <c r="G135" s="1048" t="str">
        <f>VLOOKUP($B135,DG!A:D,DG!$D$2,)</f>
        <v>cái</v>
      </c>
      <c r="H135" s="1824">
        <f t="shared" ref="H135:N136" si="19">H$134*$D135</f>
        <v>0</v>
      </c>
      <c r="I135" s="1824">
        <f t="shared" si="19"/>
        <v>0</v>
      </c>
      <c r="J135" s="1824">
        <f t="shared" si="19"/>
        <v>0</v>
      </c>
      <c r="K135" s="1824">
        <f t="shared" si="19"/>
        <v>0</v>
      </c>
      <c r="L135" s="1824">
        <f t="shared" si="19"/>
        <v>0</v>
      </c>
      <c r="M135" s="1824">
        <f t="shared" si="19"/>
        <v>0</v>
      </c>
      <c r="N135" s="1824">
        <f t="shared" si="19"/>
        <v>0</v>
      </c>
      <c r="O135" s="1824"/>
      <c r="P135" s="1824"/>
      <c r="Q135" s="1052"/>
      <c r="R135" s="1052"/>
      <c r="S135" s="1052"/>
      <c r="T135" s="2035">
        <f t="shared" si="12"/>
        <v>0</v>
      </c>
    </row>
    <row r="136" spans="1:20" ht="22.2" hidden="1" customHeight="1">
      <c r="A136" s="63"/>
      <c r="B136" s="1589" t="s">
        <v>719</v>
      </c>
      <c r="C136" s="64" t="str">
        <f t="shared" si="13"/>
        <v xml:space="preserve"> </v>
      </c>
      <c r="D136" s="1538">
        <v>2</v>
      </c>
      <c r="E136" s="1048"/>
      <c r="F136" s="1054" t="str">
        <f>VLOOKUP($B136,DG!A:D,DG!$C$2,)</f>
        <v>Boulon 22x550/100+ 2 long đền vuông D24-50x50x3/Zn</v>
      </c>
      <c r="G136" s="1048" t="str">
        <f>VLOOKUP($B136,DG!A:D,DG!$D$2,)</f>
        <v>bộ</v>
      </c>
      <c r="H136" s="1824">
        <f t="shared" si="19"/>
        <v>0</v>
      </c>
      <c r="I136" s="1824">
        <f t="shared" si="19"/>
        <v>0</v>
      </c>
      <c r="J136" s="1824">
        <f t="shared" si="19"/>
        <v>0</v>
      </c>
      <c r="K136" s="1824">
        <f t="shared" si="19"/>
        <v>0</v>
      </c>
      <c r="L136" s="1824">
        <f t="shared" si="19"/>
        <v>0</v>
      </c>
      <c r="M136" s="1824">
        <f t="shared" si="19"/>
        <v>0</v>
      </c>
      <c r="N136" s="1824">
        <f t="shared" si="19"/>
        <v>0</v>
      </c>
      <c r="O136" s="1824"/>
      <c r="P136" s="1824"/>
      <c r="Q136" s="1052"/>
      <c r="R136" s="1052"/>
      <c r="S136" s="1052"/>
      <c r="T136" s="2035">
        <f t="shared" si="12"/>
        <v>0</v>
      </c>
    </row>
    <row r="137" spans="1:20" ht="22.2" hidden="1" customHeight="1">
      <c r="A137" s="63"/>
      <c r="B137" s="1589" t="s">
        <v>639</v>
      </c>
      <c r="C137" s="64" t="str">
        <f t="shared" si="13"/>
        <v xml:space="preserve"> </v>
      </c>
      <c r="D137" s="1537">
        <v>2.8</v>
      </c>
      <c r="E137" s="1048" t="str">
        <f>VLOOKUP($B137,DG!A:D,DG!$B$2,)</f>
        <v>03.1013</v>
      </c>
      <c r="F137" s="1049" t="str">
        <f>VLOOKUP($B137,DG!A:D,DG!$C$2,)</f>
        <v>Đào hố móng đất cấp 3 sâu &gt;1m</v>
      </c>
      <c r="G137" s="1048" t="str">
        <f>VLOOKUP($B137,DG!A:D,DG!$D$2,)</f>
        <v>m3</v>
      </c>
      <c r="H137" s="1824"/>
      <c r="I137" s="1824"/>
      <c r="J137" s="1824"/>
      <c r="K137" s="1824"/>
      <c r="L137" s="1824"/>
      <c r="M137" s="1824"/>
      <c r="N137" s="1824"/>
      <c r="O137" s="1824"/>
      <c r="P137" s="1824"/>
      <c r="Q137" s="1055"/>
      <c r="R137" s="1055"/>
      <c r="S137" s="1055"/>
      <c r="T137" s="2035">
        <f t="shared" si="12"/>
        <v>0</v>
      </c>
    </row>
    <row r="138" spans="1:20" ht="22.2" hidden="1" customHeight="1">
      <c r="A138" s="63"/>
      <c r="B138" s="1589" t="s">
        <v>21</v>
      </c>
      <c r="C138" s="64" t="str">
        <f t="shared" si="13"/>
        <v xml:space="preserve"> </v>
      </c>
      <c r="D138" s="1537">
        <v>3.25</v>
      </c>
      <c r="E138" s="1048" t="str">
        <f>VLOOKUP($B138,DG!A:D,DG!$B$2,)</f>
        <v>03.4113</v>
      </c>
      <c r="F138" s="1049" t="str">
        <f>VLOOKUP($B138,DG!A:D,DG!$C$2,)</f>
        <v>Đắp đất hố móng, độ chặt k=0,95</v>
      </c>
      <c r="G138" s="1048" t="str">
        <f>VLOOKUP($B138,DG!A:D,DG!$D$2,)</f>
        <v>m3</v>
      </c>
      <c r="H138" s="1824"/>
      <c r="I138" s="1824"/>
      <c r="J138" s="1824"/>
      <c r="K138" s="1824"/>
      <c r="L138" s="1824"/>
      <c r="M138" s="1824"/>
      <c r="N138" s="1824"/>
      <c r="O138" s="1824"/>
      <c r="P138" s="1824"/>
      <c r="Q138" s="1055"/>
      <c r="R138" s="1055"/>
      <c r="S138" s="1055"/>
      <c r="T138" s="2035">
        <f t="shared" si="12"/>
        <v>0</v>
      </c>
    </row>
    <row r="139" spans="1:20" ht="22.2" hidden="1" customHeight="1">
      <c r="A139" s="63"/>
      <c r="B139" s="1589" t="s">
        <v>637</v>
      </c>
      <c r="C139" s="64" t="str">
        <f t="shared" si="13"/>
        <v xml:space="preserve"> </v>
      </c>
      <c r="D139" s="1537">
        <f>0.255*2</f>
        <v>0.51</v>
      </c>
      <c r="E139" s="1048" t="str">
        <f>VLOOKUP($B139,DG!A:D,DG!$B$2,)</f>
        <v>02.1123</v>
      </c>
      <c r="F139" s="1049" t="str">
        <f>VLOOKUP($B139,DG!A:D,DG!$C$2,)</f>
        <v>Bốc dỡ đà cản, đế néo</v>
      </c>
      <c r="G139" s="1048" t="str">
        <f>VLOOKUP($B139,DG!A:D,DG!$D$2,)</f>
        <v>tấn</v>
      </c>
      <c r="H139" s="1824"/>
      <c r="I139" s="1824"/>
      <c r="J139" s="1824"/>
      <c r="K139" s="1824"/>
      <c r="L139" s="1824"/>
      <c r="M139" s="1824"/>
      <c r="N139" s="1824"/>
      <c r="O139" s="1824"/>
      <c r="P139" s="1824"/>
      <c r="Q139" s="1052"/>
      <c r="R139" s="1052"/>
      <c r="S139" s="1052"/>
      <c r="T139" s="2035">
        <f t="shared" si="12"/>
        <v>0</v>
      </c>
    </row>
    <row r="140" spans="1:20" ht="22.2" hidden="1" customHeight="1">
      <c r="A140" s="63"/>
      <c r="B140" s="1575" t="s">
        <v>2069</v>
      </c>
      <c r="C140" s="64" t="str">
        <f t="shared" si="13"/>
        <v xml:space="preserve"> </v>
      </c>
      <c r="D140" s="1537">
        <f>D139</f>
        <v>0.51</v>
      </c>
      <c r="E140" s="1048" t="str">
        <f>VLOOKUP($B140,DG!A:C,2,)</f>
        <v>02.1451</v>
      </c>
      <c r="F140" s="1049" t="str">
        <f>VLOOKUP($B140,DG!A:C,3,)</f>
        <v>V/c đà cản vào vị trí (cự ly &lt;=100m)</v>
      </c>
      <c r="G140" s="1048" t="str">
        <f>VLOOKUP($B140,DG!A:D,4,0)</f>
        <v>tấn</v>
      </c>
      <c r="H140" s="1824"/>
      <c r="I140" s="1824"/>
      <c r="J140" s="1824"/>
      <c r="K140" s="1824"/>
      <c r="L140" s="1824"/>
      <c r="M140" s="1824"/>
      <c r="N140" s="1824"/>
      <c r="O140" s="1824"/>
      <c r="P140" s="1824"/>
      <c r="Q140" s="1055"/>
      <c r="R140" s="1055"/>
      <c r="S140" s="1055"/>
      <c r="T140" s="2035">
        <f t="shared" si="12"/>
        <v>0</v>
      </c>
    </row>
    <row r="141" spans="1:20" ht="22.2" hidden="1" customHeight="1">
      <c r="A141" s="63"/>
      <c r="B141" s="1588" t="s">
        <v>635</v>
      </c>
      <c r="C141" s="64" t="str">
        <f t="shared" si="13"/>
        <v xml:space="preserve"> </v>
      </c>
      <c r="D141" s="1537">
        <f>D140</f>
        <v>0.51</v>
      </c>
      <c r="E141" s="1048" t="str">
        <f>VLOOKUP($B141,DG!A:C,2,)</f>
        <v>02.1482</v>
      </c>
      <c r="F141" s="1049" t="str">
        <f>VLOOKUP($B141,DG!A:C,3,)</f>
        <v>V/c dụng cụ thi công vào vị trí (cự ly &lt;=100m)</v>
      </c>
      <c r="G141" s="1048" t="str">
        <f>VLOOKUP($B141,DG!A:D,4,0)</f>
        <v>tấn</v>
      </c>
      <c r="H141" s="1824"/>
      <c r="I141" s="1824"/>
      <c r="J141" s="1824"/>
      <c r="K141" s="1824"/>
      <c r="L141" s="1824"/>
      <c r="M141" s="1824"/>
      <c r="N141" s="1824"/>
      <c r="O141" s="1824"/>
      <c r="P141" s="1824"/>
      <c r="Q141" s="1055"/>
      <c r="R141" s="1055"/>
      <c r="S141" s="1055"/>
      <c r="T141" s="2035">
        <f t="shared" si="12"/>
        <v>0</v>
      </c>
    </row>
    <row r="142" spans="1:20" ht="22.2" hidden="1" customHeight="1">
      <c r="A142" s="56" t="s">
        <v>2184</v>
      </c>
      <c r="B142" s="1574" t="s">
        <v>2184</v>
      </c>
      <c r="C142" s="62" t="str">
        <f t="shared" si="13"/>
        <v xml:space="preserve"> </v>
      </c>
      <c r="D142" s="1532"/>
      <c r="E142" s="1045"/>
      <c r="F142" s="1392" t="s">
        <v>2346</v>
      </c>
      <c r="G142" s="1046" t="s">
        <v>2333</v>
      </c>
      <c r="H142" s="1821">
        <f>SUM(I142:O142)</f>
        <v>0</v>
      </c>
      <c r="I142" s="1822"/>
      <c r="J142" s="1822"/>
      <c r="K142" s="1822">
        <f>IFERROR(HLOOKUP(B142,pp3p1m!$1:$3,3,0),0)</f>
        <v>0</v>
      </c>
      <c r="L142" s="1822">
        <f>IFERROR(HLOOKUP(chitiet!B142,pp1p!$1:$3,3,0),0)</f>
        <v>0</v>
      </c>
      <c r="M142" s="1822"/>
      <c r="N142" s="1822"/>
      <c r="O142" s="1822"/>
      <c r="P142" s="1822"/>
      <c r="Q142" s="1047"/>
      <c r="R142" s="1047"/>
      <c r="S142" s="1047"/>
      <c r="T142" s="2035">
        <f>IFERROR(HLOOKUP(B142,pp1p!$1:$3,3,0),0)+IFERROR(HLOOKUP(B142,pp3p1m!$1:$3,3,0),0)</f>
        <v>0</v>
      </c>
    </row>
    <row r="143" spans="1:20" ht="22.2" hidden="1" customHeight="1">
      <c r="A143" s="63"/>
      <c r="B143" s="1589" t="s">
        <v>636</v>
      </c>
      <c r="C143" s="64" t="str">
        <f t="shared" ref="C143:C206" si="20">IF(OR(P143&lt;&gt;0,H143&lt;&gt;0),"x"," ")</f>
        <v xml:space="preserve"> </v>
      </c>
      <c r="D143" s="1538">
        <v>2</v>
      </c>
      <c r="E143" s="1044" t="str">
        <f>VLOOKUP($B143,DG!A:D,DG!$B$2,)</f>
        <v>04.4001</v>
      </c>
      <c r="F143" s="1054" t="str">
        <f>VLOOKUP($B143,DG!A:D,DG!$C$2,)</f>
        <v>Đà cản BTCT 1,2m</v>
      </c>
      <c r="G143" s="1048" t="str">
        <f>VLOOKUP($B143,DG!A:D,DG!$D$2,)</f>
        <v>cái</v>
      </c>
      <c r="H143" s="1824">
        <f t="shared" ref="H143:N144" si="21">H$142*$D143</f>
        <v>0</v>
      </c>
      <c r="I143" s="1824">
        <f t="shared" si="21"/>
        <v>0</v>
      </c>
      <c r="J143" s="1824">
        <f t="shared" si="21"/>
        <v>0</v>
      </c>
      <c r="K143" s="1824">
        <f t="shared" si="21"/>
        <v>0</v>
      </c>
      <c r="L143" s="1824">
        <f t="shared" si="21"/>
        <v>0</v>
      </c>
      <c r="M143" s="1824">
        <f t="shared" si="21"/>
        <v>0</v>
      </c>
      <c r="N143" s="1824">
        <f t="shared" si="21"/>
        <v>0</v>
      </c>
      <c r="O143" s="1824"/>
      <c r="P143" s="1824"/>
      <c r="Q143" s="1052"/>
      <c r="R143" s="1052"/>
      <c r="S143" s="1052"/>
      <c r="T143" s="2035">
        <f t="shared" ref="T143:T204" si="22">IFERROR(HLOOKUP(B143,BangKeTru,3,0),0)</f>
        <v>0</v>
      </c>
    </row>
    <row r="144" spans="1:20" ht="22.2" hidden="1" customHeight="1">
      <c r="A144" s="63"/>
      <c r="B144" s="1577" t="s">
        <v>720</v>
      </c>
      <c r="C144" s="64" t="str">
        <f t="shared" si="20"/>
        <v xml:space="preserve"> </v>
      </c>
      <c r="D144" s="1538">
        <v>1</v>
      </c>
      <c r="E144" s="1048"/>
      <c r="F144" s="1054" t="str">
        <f>VLOOKUP($B144,DG!A:D,DG!$C$2,)</f>
        <v>Boulon 22x750+ 2 long đền vuông D24-50x50x3/Zn</v>
      </c>
      <c r="G144" s="1048" t="str">
        <f>VLOOKUP($B144,DG!A:D,DG!$D$2,)</f>
        <v>bộ</v>
      </c>
      <c r="H144" s="1824">
        <f t="shared" si="21"/>
        <v>0</v>
      </c>
      <c r="I144" s="1824">
        <f t="shared" si="21"/>
        <v>0</v>
      </c>
      <c r="J144" s="1824">
        <f t="shared" si="21"/>
        <v>0</v>
      </c>
      <c r="K144" s="1824">
        <f t="shared" si="21"/>
        <v>0</v>
      </c>
      <c r="L144" s="1824">
        <f t="shared" si="21"/>
        <v>0</v>
      </c>
      <c r="M144" s="1824">
        <f t="shared" si="21"/>
        <v>0</v>
      </c>
      <c r="N144" s="1824">
        <f t="shared" si="21"/>
        <v>0</v>
      </c>
      <c r="O144" s="1824"/>
      <c r="P144" s="1824"/>
      <c r="Q144" s="1052"/>
      <c r="R144" s="1052"/>
      <c r="S144" s="1052"/>
      <c r="T144" s="2035">
        <f t="shared" si="22"/>
        <v>0</v>
      </c>
    </row>
    <row r="145" spans="1:20" ht="22.2" hidden="1" customHeight="1">
      <c r="A145" s="59"/>
      <c r="B145" s="1577" t="s">
        <v>1816</v>
      </c>
      <c r="C145" s="64" t="str">
        <f t="shared" si="20"/>
        <v xml:space="preserve"> </v>
      </c>
      <c r="D145" s="1533">
        <v>0.155</v>
      </c>
      <c r="E145" s="1044">
        <f>VLOOKUP($B145,DG!A:D,DG!$B$2,)</f>
        <v>0</v>
      </c>
      <c r="F145" s="1049" t="str">
        <f>VLOOKUP($B145,DG!A:D,DG!$C$2,)</f>
        <v>Đá 2x4</v>
      </c>
      <c r="G145" s="1044" t="str">
        <f>VLOOKUP($B145,DG!A:D,DG!$D$2,)</f>
        <v>m3</v>
      </c>
      <c r="H145" s="1823">
        <f t="shared" ref="H145:N145" si="23">H$18*$D145</f>
        <v>0</v>
      </c>
      <c r="I145" s="1823">
        <f t="shared" si="23"/>
        <v>0</v>
      </c>
      <c r="J145" s="1823">
        <f t="shared" si="23"/>
        <v>0</v>
      </c>
      <c r="K145" s="1823">
        <f t="shared" si="23"/>
        <v>0</v>
      </c>
      <c r="L145" s="1823">
        <f t="shared" si="23"/>
        <v>0</v>
      </c>
      <c r="M145" s="1823">
        <f t="shared" si="23"/>
        <v>0</v>
      </c>
      <c r="N145" s="1823">
        <f t="shared" si="23"/>
        <v>0</v>
      </c>
      <c r="O145" s="1823"/>
      <c r="P145" s="1823"/>
      <c r="Q145" s="1053"/>
      <c r="R145" s="1053"/>
      <c r="S145" s="1053"/>
      <c r="T145" s="2035">
        <f t="shared" si="22"/>
        <v>0</v>
      </c>
    </row>
    <row r="146" spans="1:20" ht="22.2" hidden="1" customHeight="1">
      <c r="A146" s="63"/>
      <c r="B146" s="1589" t="s">
        <v>639</v>
      </c>
      <c r="C146" s="64" t="str">
        <f t="shared" si="20"/>
        <v xml:space="preserve"> </v>
      </c>
      <c r="D146" s="1537">
        <v>2.8</v>
      </c>
      <c r="E146" s="1048" t="str">
        <f>VLOOKUP($B146,DG!A:D,DG!$B$2,)</f>
        <v>03.1013</v>
      </c>
      <c r="F146" s="1049" t="str">
        <f>VLOOKUP($B146,DG!A:D,DG!$C$2,)</f>
        <v>Đào hố móng đất cấp 3 sâu &gt;1m</v>
      </c>
      <c r="G146" s="1048" t="str">
        <f>VLOOKUP($B146,DG!A:D,DG!$D$2,)</f>
        <v>m3</v>
      </c>
      <c r="H146" s="1824"/>
      <c r="I146" s="1824"/>
      <c r="J146" s="1824"/>
      <c r="K146" s="1824"/>
      <c r="L146" s="1824"/>
      <c r="M146" s="1824"/>
      <c r="N146" s="1824"/>
      <c r="O146" s="1824"/>
      <c r="P146" s="1824"/>
      <c r="Q146" s="1055"/>
      <c r="R146" s="1055"/>
      <c r="S146" s="1055"/>
      <c r="T146" s="2035">
        <f t="shared" si="22"/>
        <v>0</v>
      </c>
    </row>
    <row r="147" spans="1:20" ht="22.2" hidden="1" customHeight="1">
      <c r="A147" s="63"/>
      <c r="B147" s="1589" t="s">
        <v>21</v>
      </c>
      <c r="C147" s="64" t="str">
        <f t="shared" si="20"/>
        <v xml:space="preserve"> </v>
      </c>
      <c r="D147" s="1537">
        <v>3.25</v>
      </c>
      <c r="E147" s="1048" t="str">
        <f>VLOOKUP($B147,DG!A:D,DG!$B$2,)</f>
        <v>03.4113</v>
      </c>
      <c r="F147" s="1049" t="str">
        <f>VLOOKUP($B147,DG!A:D,DG!$C$2,)</f>
        <v>Đắp đất hố móng, độ chặt k=0,95</v>
      </c>
      <c r="G147" s="1048" t="str">
        <f>VLOOKUP($B147,DG!A:D,DG!$D$2,)</f>
        <v>m3</v>
      </c>
      <c r="H147" s="1824"/>
      <c r="I147" s="1824"/>
      <c r="J147" s="1824"/>
      <c r="K147" s="1824"/>
      <c r="L147" s="1824"/>
      <c r="M147" s="1824"/>
      <c r="N147" s="1824"/>
      <c r="O147" s="1824"/>
      <c r="P147" s="1824"/>
      <c r="Q147" s="1055"/>
      <c r="R147" s="1055"/>
      <c r="S147" s="1055"/>
      <c r="T147" s="2035">
        <f t="shared" si="22"/>
        <v>0</v>
      </c>
    </row>
    <row r="148" spans="1:20" ht="22.2" hidden="1" customHeight="1">
      <c r="A148" s="63"/>
      <c r="B148" s="1589" t="s">
        <v>637</v>
      </c>
      <c r="C148" s="64" t="str">
        <f t="shared" si="20"/>
        <v xml:space="preserve"> </v>
      </c>
      <c r="D148" s="1537">
        <f>0.1*D143</f>
        <v>0.2</v>
      </c>
      <c r="E148" s="1048" t="str">
        <f>VLOOKUP($B148,DG!A:D,DG!$B$2,)</f>
        <v>02.1123</v>
      </c>
      <c r="F148" s="1049" t="str">
        <f>VLOOKUP($B148,DG!A:D,DG!$C$2,)</f>
        <v>Bốc dỡ đà cản, đế néo</v>
      </c>
      <c r="G148" s="1048" t="str">
        <f>VLOOKUP($B148,DG!A:D,DG!$D$2,)</f>
        <v>tấn</v>
      </c>
      <c r="H148" s="1824"/>
      <c r="I148" s="1824"/>
      <c r="J148" s="1824"/>
      <c r="K148" s="1824"/>
      <c r="L148" s="1824"/>
      <c r="M148" s="1824"/>
      <c r="N148" s="1824"/>
      <c r="O148" s="1824"/>
      <c r="P148" s="1824"/>
      <c r="Q148" s="1052"/>
      <c r="R148" s="1052"/>
      <c r="S148" s="1052"/>
      <c r="T148" s="2035">
        <f t="shared" si="22"/>
        <v>0</v>
      </c>
    </row>
    <row r="149" spans="1:20" ht="22.2" hidden="1" customHeight="1">
      <c r="A149" s="63"/>
      <c r="B149" s="1575" t="s">
        <v>2069</v>
      </c>
      <c r="C149" s="64" t="str">
        <f t="shared" si="20"/>
        <v xml:space="preserve"> </v>
      </c>
      <c r="D149" s="1537">
        <f>D148</f>
        <v>0.2</v>
      </c>
      <c r="E149" s="1048" t="str">
        <f>VLOOKUP($B149,DG!A:C,2,)</f>
        <v>02.1451</v>
      </c>
      <c r="F149" s="1049" t="str">
        <f>VLOOKUP($B149,DG!A:C,3,)</f>
        <v>V/c đà cản vào vị trí (cự ly &lt;=100m)</v>
      </c>
      <c r="G149" s="1048" t="str">
        <f>VLOOKUP($B149,DG!A:D,4,0)</f>
        <v>tấn</v>
      </c>
      <c r="H149" s="1824"/>
      <c r="I149" s="1824"/>
      <c r="J149" s="1824"/>
      <c r="K149" s="1824"/>
      <c r="L149" s="1824"/>
      <c r="M149" s="1824"/>
      <c r="N149" s="1824"/>
      <c r="O149" s="1824"/>
      <c r="P149" s="1824"/>
      <c r="Q149" s="1055"/>
      <c r="R149" s="1055"/>
      <c r="S149" s="1055"/>
      <c r="T149" s="2035">
        <f t="shared" si="22"/>
        <v>0</v>
      </c>
    </row>
    <row r="150" spans="1:20" ht="22.2" hidden="1" customHeight="1">
      <c r="A150" s="59"/>
      <c r="B150" s="1588" t="s">
        <v>674</v>
      </c>
      <c r="C150" s="64" t="str">
        <f t="shared" si="20"/>
        <v xml:space="preserve"> </v>
      </c>
      <c r="D150" s="1533">
        <f>D145</f>
        <v>0.155</v>
      </c>
      <c r="E150" s="1044" t="str">
        <f>VLOOKUP($B150,DG!A:C,2,)</f>
        <v>02.1241</v>
      </c>
      <c r="F150" s="1049" t="str">
        <f>VLOOKUP($B150,DG!A:C,3,)</f>
        <v>V/c đá dăm ( cự ly &lt;=100m)</v>
      </c>
      <c r="G150" s="1044" t="str">
        <f>VLOOKUP($B150,DG!A:D,4,0)</f>
        <v>m3</v>
      </c>
      <c r="H150" s="1823"/>
      <c r="I150" s="1823"/>
      <c r="J150" s="1823"/>
      <c r="K150" s="1823"/>
      <c r="L150" s="1823"/>
      <c r="M150" s="1823"/>
      <c r="N150" s="1823"/>
      <c r="O150" s="1823"/>
      <c r="P150" s="1823"/>
      <c r="Q150" s="1058"/>
      <c r="R150" s="1058"/>
      <c r="S150" s="1058"/>
      <c r="T150" s="2035">
        <f t="shared" si="22"/>
        <v>0</v>
      </c>
    </row>
    <row r="151" spans="1:20" ht="22.2" hidden="1" customHeight="1">
      <c r="A151" s="63"/>
      <c r="B151" s="1575" t="s">
        <v>635</v>
      </c>
      <c r="C151" s="64" t="str">
        <f t="shared" si="20"/>
        <v xml:space="preserve"> </v>
      </c>
      <c r="D151" s="1537">
        <f>D149</f>
        <v>0.2</v>
      </c>
      <c r="E151" s="1048" t="str">
        <f>VLOOKUP($B151,DG!A:C,2,)</f>
        <v>02.1482</v>
      </c>
      <c r="F151" s="1049" t="str">
        <f>VLOOKUP($B151,DG!A:C,3,)</f>
        <v>V/c dụng cụ thi công vào vị trí (cự ly &lt;=100m)</v>
      </c>
      <c r="G151" s="1048" t="str">
        <f>VLOOKUP($B151,DG!A:D,4,0)</f>
        <v>tấn</v>
      </c>
      <c r="H151" s="1824"/>
      <c r="I151" s="1824"/>
      <c r="J151" s="1824"/>
      <c r="K151" s="1824"/>
      <c r="L151" s="1824"/>
      <c r="M151" s="1824"/>
      <c r="N151" s="1824"/>
      <c r="O151" s="1824"/>
      <c r="P151" s="1824"/>
      <c r="Q151" s="1055"/>
      <c r="R151" s="1055"/>
      <c r="S151" s="1055"/>
      <c r="T151" s="2035">
        <f t="shared" si="22"/>
        <v>0</v>
      </c>
    </row>
    <row r="152" spans="1:20" ht="22.2" hidden="1" customHeight="1">
      <c r="A152" s="56" t="s">
        <v>12</v>
      </c>
      <c r="B152" s="1574" t="s">
        <v>12</v>
      </c>
      <c r="C152" s="62" t="str">
        <f t="shared" si="20"/>
        <v xml:space="preserve"> </v>
      </c>
      <c r="D152" s="1532"/>
      <c r="E152" s="1045"/>
      <c r="F152" s="1392" t="s">
        <v>2347</v>
      </c>
      <c r="G152" s="1046" t="s">
        <v>2333</v>
      </c>
      <c r="H152" s="1821">
        <f>SUM(I152:O152)</f>
        <v>0</v>
      </c>
      <c r="I152" s="1822"/>
      <c r="J152" s="1822"/>
      <c r="K152" s="1822">
        <f>IFERROR(HLOOKUP(B152,pp3p1m!$1:$3,3,0),0)</f>
        <v>0</v>
      </c>
      <c r="L152" s="1822">
        <f>IFERROR(HLOOKUP(chitiet!B152,pp1p!$1:$3,3,0),0)</f>
        <v>0</v>
      </c>
      <c r="M152" s="1822"/>
      <c r="N152" s="1822"/>
      <c r="O152" s="1822"/>
      <c r="P152" s="1822"/>
      <c r="Q152" s="1047"/>
      <c r="R152" s="1047"/>
      <c r="S152" s="1047"/>
      <c r="T152" s="2035">
        <f>IFERROR(HLOOKUP(B152,pp1p!$1:$3,3,0),0)+IFERROR(HLOOKUP(B152,pp3p1m!$1:$3,3,0),0)</f>
        <v>0</v>
      </c>
    </row>
    <row r="153" spans="1:20" ht="22.2" hidden="1" customHeight="1">
      <c r="A153" s="63"/>
      <c r="B153" s="1589" t="s">
        <v>639</v>
      </c>
      <c r="C153" s="64" t="str">
        <f t="shared" si="20"/>
        <v xml:space="preserve"> </v>
      </c>
      <c r="D153" s="1536">
        <v>0.20100000000000001</v>
      </c>
      <c r="E153" s="1048"/>
      <c r="F153" s="1049" t="str">
        <f>VLOOKUP($B153,DG!A:D,DG!$C$2,)</f>
        <v>Đào hố móng đất cấp 3 sâu &gt;1m</v>
      </c>
      <c r="G153" s="1048" t="str">
        <f>VLOOKUP($B153,DG!A:D,DG!$D$2,)</f>
        <v>m3</v>
      </c>
      <c r="H153" s="1824">
        <f>$H$152*$D153</f>
        <v>0</v>
      </c>
      <c r="I153" s="1824">
        <f t="shared" ref="I153:O153" si="24">I$244*$D153</f>
        <v>0</v>
      </c>
      <c r="J153" s="1824">
        <f t="shared" si="24"/>
        <v>0</v>
      </c>
      <c r="K153" s="1824">
        <f t="shared" si="24"/>
        <v>0.20100000000000001</v>
      </c>
      <c r="L153" s="1824">
        <f t="shared" si="24"/>
        <v>0</v>
      </c>
      <c r="M153" s="1824">
        <f t="shared" si="24"/>
        <v>0</v>
      </c>
      <c r="N153" s="1824">
        <f t="shared" si="24"/>
        <v>0</v>
      </c>
      <c r="O153" s="1824">
        <f t="shared" si="24"/>
        <v>0</v>
      </c>
      <c r="P153" s="1824"/>
      <c r="Q153" s="1052"/>
      <c r="R153" s="1052"/>
      <c r="S153" s="1052"/>
      <c r="T153" s="2035">
        <f t="shared" si="22"/>
        <v>0</v>
      </c>
    </row>
    <row r="154" spans="1:20" ht="22.2" hidden="1" customHeight="1">
      <c r="A154" s="59"/>
      <c r="B154" s="1577" t="s">
        <v>21</v>
      </c>
      <c r="C154" s="64" t="str">
        <f t="shared" si="20"/>
        <v xml:space="preserve"> </v>
      </c>
      <c r="D154" s="1533">
        <v>0.182</v>
      </c>
      <c r="E154" s="1044" t="str">
        <f>VLOOKUP($B154,DG!A:D,DG!$B$2,)</f>
        <v>03.4113</v>
      </c>
      <c r="F154" s="1049" t="str">
        <f>VLOOKUP($B154,DG!A:D,DG!$C$2,)</f>
        <v>Đắp đất hố móng, độ chặt k=0,95</v>
      </c>
      <c r="G154" s="1044" t="str">
        <f>VLOOKUP($B154,DG!A:D,DG!$D$2,)</f>
        <v>m3</v>
      </c>
      <c r="H154" s="1824">
        <f>$H$152*$D154</f>
        <v>0</v>
      </c>
      <c r="I154" s="1823">
        <f t="shared" ref="I154:O154" si="25">I$18*$D154</f>
        <v>0</v>
      </c>
      <c r="J154" s="1823">
        <f t="shared" si="25"/>
        <v>0</v>
      </c>
      <c r="K154" s="1823">
        <f t="shared" si="25"/>
        <v>0</v>
      </c>
      <c r="L154" s="1823">
        <f t="shared" si="25"/>
        <v>0</v>
      </c>
      <c r="M154" s="1823">
        <f t="shared" si="25"/>
        <v>0</v>
      </c>
      <c r="N154" s="1823">
        <f t="shared" si="25"/>
        <v>0</v>
      </c>
      <c r="O154" s="1823">
        <f t="shared" si="25"/>
        <v>0</v>
      </c>
      <c r="P154" s="1823"/>
      <c r="Q154" s="1053"/>
      <c r="R154" s="1053"/>
      <c r="S154" s="1053"/>
      <c r="T154" s="2035">
        <f t="shared" si="22"/>
        <v>0</v>
      </c>
    </row>
    <row r="155" spans="1:20" ht="22.2" hidden="1" customHeight="1">
      <c r="A155" s="63"/>
      <c r="B155" s="1575" t="s">
        <v>635</v>
      </c>
      <c r="C155" s="64" t="str">
        <f t="shared" si="20"/>
        <v xml:space="preserve"> </v>
      </c>
      <c r="D155" s="1536"/>
      <c r="E155" s="1048" t="str">
        <f>VLOOKUP($B155,DG!A:C,2,)</f>
        <v>02.1482</v>
      </c>
      <c r="F155" s="1049" t="str">
        <f>VLOOKUP($B155,DG!A:C,3,)</f>
        <v>V/c dụng cụ thi công vào vị trí (cự ly &lt;=100m)</v>
      </c>
      <c r="G155" s="1048" t="str">
        <f>VLOOKUP($B155,DG!A:D,4,0)</f>
        <v>tấn</v>
      </c>
      <c r="H155" s="1824"/>
      <c r="I155" s="1824"/>
      <c r="J155" s="1824"/>
      <c r="K155" s="1824"/>
      <c r="L155" s="1824"/>
      <c r="M155" s="1824"/>
      <c r="N155" s="1824"/>
      <c r="O155" s="1824"/>
      <c r="P155" s="1824"/>
      <c r="Q155" s="1055"/>
      <c r="R155" s="1055"/>
      <c r="S155" s="1055"/>
      <c r="T155" s="2035">
        <f t="shared" si="22"/>
        <v>0</v>
      </c>
    </row>
    <row r="156" spans="1:20" ht="22.2" hidden="1" customHeight="1">
      <c r="A156" s="56" t="s">
        <v>695</v>
      </c>
      <c r="B156" s="1574" t="s">
        <v>695</v>
      </c>
      <c r="C156" s="62" t="str">
        <f t="shared" si="20"/>
        <v xml:space="preserve"> </v>
      </c>
      <c r="D156" s="1532"/>
      <c r="E156" s="1045"/>
      <c r="F156" s="1392" t="s">
        <v>2348</v>
      </c>
      <c r="G156" s="1046" t="s">
        <v>2333</v>
      </c>
      <c r="H156" s="1821">
        <f>SUM(I156:O156)</f>
        <v>0</v>
      </c>
      <c r="I156" s="1822"/>
      <c r="J156" s="1822"/>
      <c r="K156" s="1822">
        <f>IFERROR(HLOOKUP(B156,pp3p1m!$1:$3,3,0),0)</f>
        <v>0</v>
      </c>
      <c r="L156" s="1822">
        <f>IFERROR(HLOOKUP(chitiet!B156,pp1p!$1:$3,3,0),0)</f>
        <v>0</v>
      </c>
      <c r="M156" s="1822"/>
      <c r="N156" s="1822"/>
      <c r="O156" s="1822"/>
      <c r="P156" s="1822"/>
      <c r="Q156" s="1047"/>
      <c r="R156" s="1047"/>
      <c r="S156" s="1047"/>
      <c r="T156" s="2035">
        <f>IFERROR(HLOOKUP(B156,pp1p!$1:$3,3,0),0)+IFERROR(HLOOKUP(B156,pp3p1m!$1:$3,3,0),0)</f>
        <v>0</v>
      </c>
    </row>
    <row r="157" spans="1:20" ht="22.2" hidden="1" customHeight="1">
      <c r="A157" s="59"/>
      <c r="B157" s="1577" t="s">
        <v>636</v>
      </c>
      <c r="C157" s="64" t="str">
        <f t="shared" si="20"/>
        <v xml:space="preserve"> </v>
      </c>
      <c r="D157" s="1535">
        <v>1</v>
      </c>
      <c r="E157" s="1044" t="str">
        <f>VLOOKUP($B157,DG!A:D,DG!$B$2,)</f>
        <v>04.4001</v>
      </c>
      <c r="F157" s="1056" t="str">
        <f>VLOOKUP($B157,DG!A:D,DG!$C$2,)</f>
        <v>Đà cản BTCT 1,2m</v>
      </c>
      <c r="G157" s="1044" t="str">
        <f>VLOOKUP($B157,DG!A:D,DG!$D$2,)</f>
        <v>cái</v>
      </c>
      <c r="H157" s="1823">
        <f t="shared" ref="H157:O158" si="26">H156*$D157</f>
        <v>0</v>
      </c>
      <c r="I157" s="1823">
        <f t="shared" si="26"/>
        <v>0</v>
      </c>
      <c r="J157" s="1823">
        <f t="shared" si="26"/>
        <v>0</v>
      </c>
      <c r="K157" s="1823">
        <f t="shared" si="26"/>
        <v>0</v>
      </c>
      <c r="L157" s="1823">
        <f t="shared" si="26"/>
        <v>0</v>
      </c>
      <c r="M157" s="1823">
        <f t="shared" si="26"/>
        <v>0</v>
      </c>
      <c r="N157" s="1823">
        <f t="shared" si="26"/>
        <v>0</v>
      </c>
      <c r="O157" s="1823">
        <f t="shared" si="26"/>
        <v>0</v>
      </c>
      <c r="P157" s="1823"/>
      <c r="Q157" s="1053"/>
      <c r="R157" s="1053"/>
      <c r="S157" s="1053"/>
      <c r="T157" s="2035">
        <f t="shared" si="22"/>
        <v>0</v>
      </c>
    </row>
    <row r="158" spans="1:20" ht="22.2" hidden="1" customHeight="1">
      <c r="A158" s="59"/>
      <c r="B158" s="1577" t="s">
        <v>566</v>
      </c>
      <c r="C158" s="64" t="str">
        <f t="shared" si="20"/>
        <v xml:space="preserve"> </v>
      </c>
      <c r="D158" s="1535">
        <v>1</v>
      </c>
      <c r="E158" s="1044"/>
      <c r="F158" s="1056" t="str">
        <f>VLOOKUP($B158,DG!A:D,DG!$C$2,)</f>
        <v>Boulon 22x650+ 2 long đền vuông D24-50x50x3/Zn</v>
      </c>
      <c r="G158" s="1044" t="str">
        <f>VLOOKUP($B158,DG!A:D,DG!$D$2,)</f>
        <v>bộ</v>
      </c>
      <c r="H158" s="1823">
        <f t="shared" si="26"/>
        <v>0</v>
      </c>
      <c r="I158" s="1823">
        <f t="shared" si="26"/>
        <v>0</v>
      </c>
      <c r="J158" s="1823">
        <f t="shared" si="26"/>
        <v>0</v>
      </c>
      <c r="K158" s="1823">
        <f t="shared" si="26"/>
        <v>0</v>
      </c>
      <c r="L158" s="1823">
        <f t="shared" si="26"/>
        <v>0</v>
      </c>
      <c r="M158" s="1823">
        <f t="shared" si="26"/>
        <v>0</v>
      </c>
      <c r="N158" s="1823">
        <f t="shared" si="26"/>
        <v>0</v>
      </c>
      <c r="O158" s="1823">
        <f t="shared" si="26"/>
        <v>0</v>
      </c>
      <c r="P158" s="1823"/>
      <c r="Q158" s="1053"/>
      <c r="R158" s="1053"/>
      <c r="S158" s="1053"/>
      <c r="T158" s="2035">
        <f t="shared" si="22"/>
        <v>0</v>
      </c>
    </row>
    <row r="159" spans="1:20" ht="22.2" hidden="1" customHeight="1">
      <c r="A159" s="59"/>
      <c r="B159" s="1577" t="s">
        <v>639</v>
      </c>
      <c r="C159" s="64" t="str">
        <f t="shared" si="20"/>
        <v xml:space="preserve"> </v>
      </c>
      <c r="D159" s="1534">
        <v>0.78</v>
      </c>
      <c r="E159" s="1044" t="str">
        <f>VLOOKUP($B159,DG!A:D,DG!$B$2,)</f>
        <v>03.1013</v>
      </c>
      <c r="F159" s="1049" t="str">
        <f>VLOOKUP($B159,DG!A:D,DG!$C$2,)</f>
        <v>Đào hố móng đất cấp 3 sâu &gt;1m</v>
      </c>
      <c r="G159" s="1044" t="str">
        <f>VLOOKUP($B159,DG!A:D,DG!$D$2,)</f>
        <v>m3</v>
      </c>
      <c r="H159" s="1823"/>
      <c r="I159" s="1823"/>
      <c r="J159" s="1823"/>
      <c r="K159" s="1823"/>
      <c r="L159" s="1823"/>
      <c r="M159" s="1823"/>
      <c r="N159" s="1823"/>
      <c r="O159" s="1823"/>
      <c r="P159" s="1823"/>
      <c r="Q159" s="1058"/>
      <c r="R159" s="1058"/>
      <c r="S159" s="1058"/>
      <c r="T159" s="2035">
        <f t="shared" si="22"/>
        <v>0</v>
      </c>
    </row>
    <row r="160" spans="1:20" ht="22.2" hidden="1" customHeight="1">
      <c r="A160" s="59"/>
      <c r="B160" s="1577" t="s">
        <v>21</v>
      </c>
      <c r="C160" s="64" t="str">
        <f t="shared" si="20"/>
        <v xml:space="preserve"> </v>
      </c>
      <c r="D160" s="1534">
        <f>+D159</f>
        <v>0.78</v>
      </c>
      <c r="E160" s="1044" t="str">
        <f>VLOOKUP($B160,DG!A:D,DG!$B$2,)</f>
        <v>03.4113</v>
      </c>
      <c r="F160" s="1049" t="str">
        <f>VLOOKUP($B160,DG!A:D,DG!$C$2,)</f>
        <v>Đắp đất hố móng, độ chặt k=0,95</v>
      </c>
      <c r="G160" s="1044" t="str">
        <f>VLOOKUP($B160,DG!A:D,DG!$D$2,)</f>
        <v>m3</v>
      </c>
      <c r="H160" s="1823"/>
      <c r="I160" s="1823"/>
      <c r="J160" s="1823"/>
      <c r="K160" s="1823"/>
      <c r="L160" s="1823"/>
      <c r="M160" s="1823"/>
      <c r="N160" s="1823"/>
      <c r="O160" s="1823"/>
      <c r="P160" s="1823"/>
      <c r="Q160" s="1058"/>
      <c r="R160" s="1058"/>
      <c r="S160" s="1058"/>
      <c r="T160" s="2035">
        <f t="shared" si="22"/>
        <v>0</v>
      </c>
    </row>
    <row r="161" spans="1:20" ht="22.2" hidden="1" customHeight="1">
      <c r="A161" s="59"/>
      <c r="B161" s="1577" t="s">
        <v>637</v>
      </c>
      <c r="C161" s="64" t="str">
        <f t="shared" si="20"/>
        <v xml:space="preserve"> </v>
      </c>
      <c r="D161" s="1534"/>
      <c r="E161" s="1044" t="str">
        <f>VLOOKUP($B161,DG!A:D,DG!$B$2,)</f>
        <v>02.1123</v>
      </c>
      <c r="F161" s="1049" t="str">
        <f>VLOOKUP($B161,DG!A:D,DG!$C$2,)</f>
        <v>Bốc dỡ đà cản, đế néo</v>
      </c>
      <c r="G161" s="1044" t="str">
        <f>VLOOKUP($B161,DG!A:D,DG!$D$2,)</f>
        <v>tấn</v>
      </c>
      <c r="H161" s="1823"/>
      <c r="I161" s="1823"/>
      <c r="J161" s="1823"/>
      <c r="K161" s="1823"/>
      <c r="L161" s="1823"/>
      <c r="M161" s="1823"/>
      <c r="N161" s="1823"/>
      <c r="O161" s="1823"/>
      <c r="P161" s="1823"/>
      <c r="Q161" s="1053"/>
      <c r="R161" s="1053"/>
      <c r="S161" s="1053"/>
      <c r="T161" s="2035">
        <f t="shared" si="22"/>
        <v>0</v>
      </c>
    </row>
    <row r="162" spans="1:20" ht="22.2" hidden="1" customHeight="1">
      <c r="A162" s="59"/>
      <c r="B162" s="1588" t="s">
        <v>2069</v>
      </c>
      <c r="C162" s="64" t="str">
        <f t="shared" si="20"/>
        <v xml:space="preserve"> </v>
      </c>
      <c r="D162" s="1534"/>
      <c r="E162" s="1044" t="str">
        <f>VLOOKUP($B162,DG!A:C,2,)</f>
        <v>02.1451</v>
      </c>
      <c r="F162" s="1049" t="str">
        <f>VLOOKUP($B162,DG!A:C,3,)</f>
        <v>V/c đà cản vào vị trí (cự ly &lt;=100m)</v>
      </c>
      <c r="G162" s="1044" t="str">
        <f>VLOOKUP($B162,DG!A:D,4,0)</f>
        <v>tấn</v>
      </c>
      <c r="H162" s="1823"/>
      <c r="I162" s="1823"/>
      <c r="J162" s="1823"/>
      <c r="K162" s="1823"/>
      <c r="L162" s="1823"/>
      <c r="M162" s="1823"/>
      <c r="N162" s="1823"/>
      <c r="O162" s="1823"/>
      <c r="P162" s="1823"/>
      <c r="Q162" s="1058"/>
      <c r="R162" s="1058"/>
      <c r="S162" s="1058"/>
      <c r="T162" s="2035">
        <f t="shared" si="22"/>
        <v>0</v>
      </c>
    </row>
    <row r="163" spans="1:20" ht="22.2" hidden="1" customHeight="1">
      <c r="A163" s="59"/>
      <c r="B163" s="1588" t="s">
        <v>635</v>
      </c>
      <c r="C163" s="64" t="str">
        <f t="shared" si="20"/>
        <v xml:space="preserve"> </v>
      </c>
      <c r="D163" s="1534"/>
      <c r="E163" s="1044" t="str">
        <f>VLOOKUP($B163,DG!A:C,2,)</f>
        <v>02.1482</v>
      </c>
      <c r="F163" s="1049" t="str">
        <f>VLOOKUP($B163,DG!A:C,3,)</f>
        <v>V/c dụng cụ thi công vào vị trí (cự ly &lt;=100m)</v>
      </c>
      <c r="G163" s="1044" t="str">
        <f>VLOOKUP($B163,DG!A:D,4,0)</f>
        <v>tấn</v>
      </c>
      <c r="H163" s="1823"/>
      <c r="I163" s="1823"/>
      <c r="J163" s="1823"/>
      <c r="K163" s="1823"/>
      <c r="L163" s="1823"/>
      <c r="M163" s="1823"/>
      <c r="N163" s="1823"/>
      <c r="O163" s="1823"/>
      <c r="P163" s="1823"/>
      <c r="Q163" s="1058"/>
      <c r="R163" s="1058"/>
      <c r="S163" s="1058"/>
      <c r="T163" s="2035">
        <f t="shared" si="22"/>
        <v>0</v>
      </c>
    </row>
    <row r="164" spans="1:20" ht="22.2" hidden="1" customHeight="1">
      <c r="A164" s="56" t="s">
        <v>994</v>
      </c>
      <c r="B164" s="1574" t="s">
        <v>994</v>
      </c>
      <c r="C164" s="62" t="str">
        <f t="shared" si="20"/>
        <v xml:space="preserve"> </v>
      </c>
      <c r="D164" s="1532"/>
      <c r="E164" s="1045"/>
      <c r="F164" s="1392" t="s">
        <v>2349</v>
      </c>
      <c r="G164" s="1046" t="s">
        <v>2333</v>
      </c>
      <c r="H164" s="1821">
        <f>SUM(I164:O164)</f>
        <v>0</v>
      </c>
      <c r="I164" s="1822"/>
      <c r="J164" s="1822"/>
      <c r="K164" s="1822">
        <f>IFERROR(HLOOKUP(B164,pp3p1m!$1:$3,3,0),0)</f>
        <v>0</v>
      </c>
      <c r="L164" s="1822">
        <f>IFERROR(HLOOKUP(chitiet!B164,pp1p!$1:$3,3,0),0)</f>
        <v>0</v>
      </c>
      <c r="M164" s="1822"/>
      <c r="N164" s="1822"/>
      <c r="O164" s="1822"/>
      <c r="P164" s="1822"/>
      <c r="Q164" s="1047"/>
      <c r="R164" s="1047"/>
      <c r="S164" s="1047"/>
      <c r="T164" s="2035">
        <f>IFERROR(HLOOKUP(B164,pp1p!$1:$3,3,0),0)+IFERROR(HLOOKUP(B164,pp3p1m!$1:$3,3,0),0)</f>
        <v>0</v>
      </c>
    </row>
    <row r="165" spans="1:20" ht="22.2" hidden="1" customHeight="1">
      <c r="A165" s="59"/>
      <c r="B165" s="1577" t="s">
        <v>1578</v>
      </c>
      <c r="C165" s="64" t="str">
        <f t="shared" si="20"/>
        <v xml:space="preserve"> </v>
      </c>
      <c r="D165" s="1535">
        <v>1</v>
      </c>
      <c r="E165" s="1044" t="str">
        <f>VLOOKUP($B165,DG!A:D,DG!$B$2,)</f>
        <v>04.3801</v>
      </c>
      <c r="F165" s="1056" t="str">
        <f>VLOOKUP($B165,DG!A:D,DG!$C$2,)</f>
        <v>Đà cản BTCT 1,5m</v>
      </c>
      <c r="G165" s="1044" t="str">
        <f>VLOOKUP($B165,DG!A:D,DG!$D$2,)</f>
        <v>cái</v>
      </c>
      <c r="H165" s="1823">
        <f t="shared" ref="H165:N166" si="27">H$164*$D165</f>
        <v>0</v>
      </c>
      <c r="I165" s="1823">
        <f t="shared" si="27"/>
        <v>0</v>
      </c>
      <c r="J165" s="1823">
        <f t="shared" si="27"/>
        <v>0</v>
      </c>
      <c r="K165" s="1823">
        <f t="shared" si="27"/>
        <v>0</v>
      </c>
      <c r="L165" s="1823">
        <f t="shared" si="27"/>
        <v>0</v>
      </c>
      <c r="M165" s="1823">
        <f t="shared" si="27"/>
        <v>0</v>
      </c>
      <c r="N165" s="1823">
        <f t="shared" si="27"/>
        <v>0</v>
      </c>
      <c r="O165" s="1823"/>
      <c r="P165" s="1823"/>
      <c r="Q165" s="1053"/>
      <c r="R165" s="1053"/>
      <c r="S165" s="1053"/>
      <c r="T165" s="2035">
        <f t="shared" si="22"/>
        <v>0</v>
      </c>
    </row>
    <row r="166" spans="1:20" ht="22.2" hidden="1" customHeight="1">
      <c r="A166" s="59"/>
      <c r="B166" s="1577" t="s">
        <v>566</v>
      </c>
      <c r="C166" s="64" t="str">
        <f t="shared" si="20"/>
        <v xml:space="preserve"> </v>
      </c>
      <c r="D166" s="1535">
        <v>1</v>
      </c>
      <c r="E166" s="1044"/>
      <c r="F166" s="1056" t="str">
        <f>VLOOKUP($B166,DG!A:D,DG!$C$2,)</f>
        <v>Boulon 22x650+ 2 long đền vuông D24-50x50x3/Zn</v>
      </c>
      <c r="G166" s="1044" t="str">
        <f>VLOOKUP($B166,DG!A:D,DG!$D$2,)</f>
        <v>bộ</v>
      </c>
      <c r="H166" s="1823">
        <f t="shared" si="27"/>
        <v>0</v>
      </c>
      <c r="I166" s="1823">
        <f t="shared" si="27"/>
        <v>0</v>
      </c>
      <c r="J166" s="1823">
        <f t="shared" si="27"/>
        <v>0</v>
      </c>
      <c r="K166" s="1823">
        <f t="shared" si="27"/>
        <v>0</v>
      </c>
      <c r="L166" s="1823">
        <f t="shared" si="27"/>
        <v>0</v>
      </c>
      <c r="M166" s="1823">
        <f t="shared" si="27"/>
        <v>0</v>
      </c>
      <c r="N166" s="1823">
        <f t="shared" si="27"/>
        <v>0</v>
      </c>
      <c r="O166" s="1823"/>
      <c r="P166" s="1823"/>
      <c r="Q166" s="1053"/>
      <c r="R166" s="1053"/>
      <c r="S166" s="1053"/>
      <c r="T166" s="2035">
        <f t="shared" si="22"/>
        <v>0</v>
      </c>
    </row>
    <row r="167" spans="1:20" ht="22.2" hidden="1" customHeight="1">
      <c r="A167" s="59"/>
      <c r="B167" s="1577" t="s">
        <v>1816</v>
      </c>
      <c r="C167" s="64" t="str">
        <f t="shared" si="20"/>
        <v xml:space="preserve"> </v>
      </c>
      <c r="D167" s="1533">
        <v>0.2</v>
      </c>
      <c r="E167" s="1044">
        <f>VLOOKUP($B167,DG!A:D,DG!$B$2,)</f>
        <v>0</v>
      </c>
      <c r="F167" s="1049" t="str">
        <f>VLOOKUP($B167,DG!A:D,DG!$C$2,)</f>
        <v>Đá 2x4</v>
      </c>
      <c r="G167" s="1044" t="str">
        <f>VLOOKUP($B167,DG!A:D,DG!$D$2,)</f>
        <v>m3</v>
      </c>
      <c r="H167" s="1823">
        <f t="shared" ref="H167:N167" si="28">H$18*$D167</f>
        <v>0</v>
      </c>
      <c r="I167" s="1823">
        <f t="shared" si="28"/>
        <v>0</v>
      </c>
      <c r="J167" s="1823">
        <f t="shared" si="28"/>
        <v>0</v>
      </c>
      <c r="K167" s="1823">
        <f t="shared" si="28"/>
        <v>0</v>
      </c>
      <c r="L167" s="1823">
        <f t="shared" si="28"/>
        <v>0</v>
      </c>
      <c r="M167" s="1823">
        <f t="shared" si="28"/>
        <v>0</v>
      </c>
      <c r="N167" s="1823">
        <f t="shared" si="28"/>
        <v>0</v>
      </c>
      <c r="O167" s="1823"/>
      <c r="P167" s="1823"/>
      <c r="Q167" s="1053"/>
      <c r="R167" s="1053"/>
      <c r="S167" s="1053"/>
      <c r="T167" s="2035">
        <f t="shared" si="22"/>
        <v>0</v>
      </c>
    </row>
    <row r="168" spans="1:20" ht="22.2" hidden="1" customHeight="1">
      <c r="A168" s="59"/>
      <c r="B168" s="1577" t="s">
        <v>639</v>
      </c>
      <c r="C168" s="64" t="str">
        <f t="shared" si="20"/>
        <v xml:space="preserve"> </v>
      </c>
      <c r="D168" s="1534">
        <v>1.77</v>
      </c>
      <c r="E168" s="1044" t="str">
        <f>VLOOKUP($B168,DG!A:D,DG!$B$2,)</f>
        <v>03.1013</v>
      </c>
      <c r="F168" s="1049" t="str">
        <f>VLOOKUP($B168,DG!A:D,DG!$C$2,)</f>
        <v>Đào hố móng đất cấp 3 sâu &gt;1m</v>
      </c>
      <c r="G168" s="1044" t="str">
        <f>VLOOKUP($B168,DG!A:D,DG!$D$2,)</f>
        <v>m3</v>
      </c>
      <c r="H168" s="1823"/>
      <c r="I168" s="1823"/>
      <c r="J168" s="1823"/>
      <c r="K168" s="1823"/>
      <c r="L168" s="1823"/>
      <c r="M168" s="1823"/>
      <c r="N168" s="1823"/>
      <c r="O168" s="1823"/>
      <c r="P168" s="1823"/>
      <c r="Q168" s="1058"/>
      <c r="R168" s="1058"/>
      <c r="S168" s="1058"/>
      <c r="T168" s="2035">
        <f t="shared" si="22"/>
        <v>0</v>
      </c>
    </row>
    <row r="169" spans="1:20" ht="22.2" hidden="1" customHeight="1">
      <c r="A169" s="59"/>
      <c r="B169" s="1577" t="s">
        <v>21</v>
      </c>
      <c r="C169" s="64" t="str">
        <f t="shared" si="20"/>
        <v xml:space="preserve"> </v>
      </c>
      <c r="D169" s="1534">
        <v>1.9319999999999999</v>
      </c>
      <c r="E169" s="1044" t="str">
        <f>VLOOKUP($B169,DG!A:D,DG!$B$2,)</f>
        <v>03.4113</v>
      </c>
      <c r="F169" s="1049" t="str">
        <f>VLOOKUP($B169,DG!A:D,DG!$C$2,)</f>
        <v>Đắp đất hố móng, độ chặt k=0,95</v>
      </c>
      <c r="G169" s="1044" t="str">
        <f>VLOOKUP($B169,DG!A:D,DG!$D$2,)</f>
        <v>m3</v>
      </c>
      <c r="H169" s="1823"/>
      <c r="I169" s="1823"/>
      <c r="J169" s="1823"/>
      <c r="K169" s="1823"/>
      <c r="L169" s="1823"/>
      <c r="M169" s="1823"/>
      <c r="N169" s="1823"/>
      <c r="O169" s="1823"/>
      <c r="P169" s="1823"/>
      <c r="Q169" s="1058"/>
      <c r="R169" s="1058"/>
      <c r="S169" s="1058"/>
      <c r="T169" s="2035">
        <f t="shared" si="22"/>
        <v>0</v>
      </c>
    </row>
    <row r="170" spans="1:20" ht="22.2" hidden="1" customHeight="1">
      <c r="A170" s="59"/>
      <c r="B170" s="1577" t="s">
        <v>637</v>
      </c>
      <c r="C170" s="64" t="str">
        <f t="shared" si="20"/>
        <v xml:space="preserve"> </v>
      </c>
      <c r="D170" s="1534">
        <v>0.255</v>
      </c>
      <c r="E170" s="1044" t="str">
        <f>VLOOKUP($B170,DG!A:D,DG!$B$2,)</f>
        <v>02.1123</v>
      </c>
      <c r="F170" s="1049" t="str">
        <f>VLOOKUP($B170,DG!A:D,DG!$C$2,)</f>
        <v>Bốc dỡ đà cản, đế néo</v>
      </c>
      <c r="G170" s="1044" t="str">
        <f>VLOOKUP($B170,DG!A:D,DG!$D$2,)</f>
        <v>tấn</v>
      </c>
      <c r="H170" s="1823"/>
      <c r="I170" s="1823"/>
      <c r="J170" s="1823"/>
      <c r="K170" s="1823"/>
      <c r="L170" s="1823"/>
      <c r="M170" s="1823"/>
      <c r="N170" s="1823"/>
      <c r="O170" s="1823"/>
      <c r="P170" s="1823"/>
      <c r="Q170" s="1053"/>
      <c r="R170" s="1053"/>
      <c r="S170" s="1053"/>
      <c r="T170" s="2035">
        <f t="shared" si="22"/>
        <v>0</v>
      </c>
    </row>
    <row r="171" spans="1:20" ht="22.2" hidden="1" customHeight="1">
      <c r="A171" s="59"/>
      <c r="B171" s="1588" t="s">
        <v>2069</v>
      </c>
      <c r="C171" s="64" t="str">
        <f t="shared" si="20"/>
        <v xml:space="preserve"> </v>
      </c>
      <c r="D171" s="1534"/>
      <c r="E171" s="1044" t="str">
        <f>VLOOKUP($B171,DG!A:C,2,)</f>
        <v>02.1451</v>
      </c>
      <c r="F171" s="1049" t="str">
        <f>VLOOKUP($B171,DG!A:C,3,)</f>
        <v>V/c đà cản vào vị trí (cự ly &lt;=100m)</v>
      </c>
      <c r="G171" s="1044" t="str">
        <f>VLOOKUP($B171,DG!A:D,4,0)</f>
        <v>tấn</v>
      </c>
      <c r="H171" s="1823"/>
      <c r="I171" s="1823"/>
      <c r="J171" s="1823"/>
      <c r="K171" s="1823"/>
      <c r="L171" s="1823"/>
      <c r="M171" s="1823"/>
      <c r="N171" s="1823"/>
      <c r="O171" s="1823"/>
      <c r="P171" s="1823"/>
      <c r="Q171" s="1058"/>
      <c r="R171" s="1058"/>
      <c r="S171" s="1058"/>
      <c r="T171" s="2035">
        <f t="shared" si="22"/>
        <v>0</v>
      </c>
    </row>
    <row r="172" spans="1:20" ht="22.2" hidden="1" customHeight="1">
      <c r="A172" s="59"/>
      <c r="B172" s="1588" t="s">
        <v>674</v>
      </c>
      <c r="C172" s="64" t="str">
        <f t="shared" si="20"/>
        <v xml:space="preserve"> </v>
      </c>
      <c r="D172" s="1533"/>
      <c r="E172" s="1044" t="str">
        <f>VLOOKUP($B172,DG!A:C,2,)</f>
        <v>02.1241</v>
      </c>
      <c r="F172" s="1049" t="str">
        <f>VLOOKUP($B172,DG!A:C,3,)</f>
        <v>V/c đá dăm ( cự ly &lt;=100m)</v>
      </c>
      <c r="G172" s="1044" t="str">
        <f>VLOOKUP($B172,DG!A:D,4,0)</f>
        <v>m3</v>
      </c>
      <c r="H172" s="1823"/>
      <c r="I172" s="1823"/>
      <c r="J172" s="1823"/>
      <c r="K172" s="1823"/>
      <c r="L172" s="1823"/>
      <c r="M172" s="1823"/>
      <c r="N172" s="1823"/>
      <c r="O172" s="1823"/>
      <c r="P172" s="1823"/>
      <c r="Q172" s="1058"/>
      <c r="R172" s="1058"/>
      <c r="S172" s="1058"/>
      <c r="T172" s="2035">
        <f t="shared" si="22"/>
        <v>0</v>
      </c>
    </row>
    <row r="173" spans="1:20" ht="22.2" hidden="1" customHeight="1">
      <c r="A173" s="59"/>
      <c r="B173" s="1588" t="s">
        <v>635</v>
      </c>
      <c r="C173" s="64" t="str">
        <f t="shared" si="20"/>
        <v xml:space="preserve"> </v>
      </c>
      <c r="D173" s="1534"/>
      <c r="E173" s="1044" t="str">
        <f>VLOOKUP($B173,DG!A:C,2,)</f>
        <v>02.1482</v>
      </c>
      <c r="F173" s="1049" t="str">
        <f>VLOOKUP($B173,DG!A:C,3,)</f>
        <v>V/c dụng cụ thi công vào vị trí (cự ly &lt;=100m)</v>
      </c>
      <c r="G173" s="1044" t="str">
        <f>VLOOKUP($B173,DG!A:D,4,0)</f>
        <v>tấn</v>
      </c>
      <c r="H173" s="1823"/>
      <c r="I173" s="1823"/>
      <c r="J173" s="1823"/>
      <c r="K173" s="1823"/>
      <c r="L173" s="1823"/>
      <c r="M173" s="1823"/>
      <c r="N173" s="1823"/>
      <c r="O173" s="1823"/>
      <c r="P173" s="1823"/>
      <c r="Q173" s="1058"/>
      <c r="R173" s="1058"/>
      <c r="S173" s="1058"/>
      <c r="T173" s="2035">
        <f t="shared" si="22"/>
        <v>0</v>
      </c>
    </row>
    <row r="174" spans="1:20" ht="22.2" hidden="1" customHeight="1">
      <c r="A174" s="56" t="s">
        <v>2309</v>
      </c>
      <c r="B174" s="1574" t="s">
        <v>2309</v>
      </c>
      <c r="C174" s="62" t="str">
        <f t="shared" si="20"/>
        <v xml:space="preserve"> </v>
      </c>
      <c r="D174" s="1532"/>
      <c r="E174" s="1045"/>
      <c r="F174" s="1392" t="s">
        <v>2350</v>
      </c>
      <c r="G174" s="1046" t="s">
        <v>2333</v>
      </c>
      <c r="H174" s="1821">
        <f>SUM(I174:O174)</f>
        <v>0</v>
      </c>
      <c r="I174" s="1822"/>
      <c r="J174" s="1822"/>
      <c r="K174" s="1822">
        <f>IFERROR(HLOOKUP(B174,pp3p1m!$1:$3,3,0),0)</f>
        <v>0</v>
      </c>
      <c r="L174" s="1822">
        <f>IFERROR(HLOOKUP(chitiet!B174,pp1p!$1:$3,3,0),0)</f>
        <v>0</v>
      </c>
      <c r="M174" s="1822"/>
      <c r="N174" s="1822"/>
      <c r="O174" s="1822"/>
      <c r="P174" s="1822"/>
      <c r="Q174" s="1047"/>
      <c r="R174" s="1047"/>
      <c r="S174" s="1047"/>
      <c r="T174" s="2035">
        <f>IFERROR(HLOOKUP(B174,pp1p!$1:$3,3,0),0)+IFERROR(HLOOKUP(B174,pp3p1m!$1:$3,3,0),0)</f>
        <v>0</v>
      </c>
    </row>
    <row r="175" spans="1:20" ht="22.2" hidden="1" customHeight="1">
      <c r="A175" s="63"/>
      <c r="B175" s="1575" t="s">
        <v>751</v>
      </c>
      <c r="C175" s="64" t="str">
        <f t="shared" si="20"/>
        <v xml:space="preserve"> </v>
      </c>
      <c r="D175" s="1539">
        <v>4.5999999999999996</v>
      </c>
      <c r="E175" s="1048">
        <f>VLOOKUP($B175,DG!A:D,DG!$B$2,)</f>
        <v>0</v>
      </c>
      <c r="F175" s="1049" t="str">
        <f>VLOOKUP($B175,DG!A:D,DG!$C$2,)</f>
        <v>Ximăng (PC40)</v>
      </c>
      <c r="G175" s="1048" t="str">
        <f>VLOOKUP($B175,DG!A:D,DG!$D$2,)</f>
        <v>kg</v>
      </c>
      <c r="H175" s="1824">
        <f>$H$174*$D175</f>
        <v>0</v>
      </c>
      <c r="I175" s="1824">
        <f>I$494*$D175</f>
        <v>0</v>
      </c>
      <c r="J175" s="1824">
        <f>J$494*$D175</f>
        <v>0</v>
      </c>
      <c r="K175" s="1824">
        <f>K$339*$D175</f>
        <v>0</v>
      </c>
      <c r="L175" s="1824">
        <f>L$494*$D175</f>
        <v>0</v>
      </c>
      <c r="M175" s="1824">
        <f>M$494*$D175</f>
        <v>0</v>
      </c>
      <c r="N175" s="1824">
        <f>N$494*$D175</f>
        <v>0</v>
      </c>
      <c r="O175" s="1824"/>
      <c r="P175" s="1824"/>
      <c r="Q175" s="1052"/>
      <c r="R175" s="1052"/>
      <c r="S175" s="1052"/>
      <c r="T175" s="2035">
        <f t="shared" si="22"/>
        <v>0</v>
      </c>
    </row>
    <row r="176" spans="1:20" ht="22.2" hidden="1" customHeight="1">
      <c r="A176" s="63"/>
      <c r="B176" s="1576" t="s">
        <v>4440</v>
      </c>
      <c r="C176" s="64" t="str">
        <f>IF(OR(P176&lt;&gt;0,H176&lt;&gt;0),"x"," ")</f>
        <v xml:space="preserve"> </v>
      </c>
      <c r="D176" s="1536">
        <v>8.0000000000000002E-3</v>
      </c>
      <c r="E176" s="1048">
        <f>VLOOKUP($B176,DG!A:D,DG!$B$2,)</f>
        <v>0</v>
      </c>
      <c r="F176" s="1049" t="str">
        <f>VLOOKUP($B176,DG!A:D,DG!$C$2,)</f>
        <v>Cát vàng</v>
      </c>
      <c r="G176" s="1048" t="str">
        <f>VLOOKUP($B176,DG!A:D,DG!$D$2,)</f>
        <v>m3</v>
      </c>
      <c r="H176" s="1824">
        <f>$H$174*$D176</f>
        <v>0</v>
      </c>
      <c r="I176" s="1824"/>
      <c r="J176" s="1824"/>
      <c r="K176" s="1824">
        <f>K$339*$D176</f>
        <v>0</v>
      </c>
      <c r="L176" s="1824"/>
      <c r="M176" s="1824"/>
      <c r="N176" s="1824"/>
      <c r="O176" s="1824"/>
      <c r="P176" s="1824"/>
      <c r="Q176" s="1050"/>
      <c r="R176" s="1050"/>
      <c r="S176" s="1050"/>
      <c r="T176" s="2035">
        <f t="shared" si="22"/>
        <v>0</v>
      </c>
    </row>
    <row r="177" spans="1:20" ht="22.2" hidden="1" customHeight="1">
      <c r="A177" s="63" t="s">
        <v>1016</v>
      </c>
      <c r="B177" s="1575" t="s">
        <v>867</v>
      </c>
      <c r="C177" s="64" t="str">
        <f t="shared" si="20"/>
        <v xml:space="preserve"> </v>
      </c>
      <c r="D177" s="1536">
        <v>1.2999999999999999E-2</v>
      </c>
      <c r="E177" s="1048">
        <f>VLOOKUP($B177,DG!A:D,DG!$B$2,)</f>
        <v>0</v>
      </c>
      <c r="F177" s="1049" t="str">
        <f>VLOOKUP($B177,DG!A:D,DG!$C$2,)</f>
        <v>Đá 1x2</v>
      </c>
      <c r="G177" s="1048" t="str">
        <f>VLOOKUP($B177,DG!A:D,DG!$D$2,)</f>
        <v>m3</v>
      </c>
      <c r="H177" s="1824">
        <f>$H$174*$D177</f>
        <v>0</v>
      </c>
      <c r="I177" s="1824"/>
      <c r="J177" s="1824"/>
      <c r="K177" s="1824">
        <f>K$339*$D177</f>
        <v>0</v>
      </c>
      <c r="L177" s="1824"/>
      <c r="M177" s="1824"/>
      <c r="N177" s="1824"/>
      <c r="O177" s="1824"/>
      <c r="P177" s="1824"/>
      <c r="Q177" s="1050"/>
      <c r="R177" s="1050"/>
      <c r="S177" s="1050"/>
      <c r="T177" s="2035">
        <f t="shared" si="22"/>
        <v>0</v>
      </c>
    </row>
    <row r="178" spans="1:20" ht="22.2" hidden="1" customHeight="1">
      <c r="A178" s="63"/>
      <c r="B178" s="1575" t="s">
        <v>2012</v>
      </c>
      <c r="C178" s="64" t="str">
        <f t="shared" si="20"/>
        <v xml:space="preserve"> </v>
      </c>
      <c r="D178" s="1536">
        <v>30</v>
      </c>
      <c r="E178" s="1048">
        <f>VLOOKUP($B178,DG!A:D,DG!$B$2,)</f>
        <v>0</v>
      </c>
      <c r="F178" s="1054" t="str">
        <f>VLOOKUP($B178,DG!A:D,DG!$C$2,)</f>
        <v>Sắt Ø10</v>
      </c>
      <c r="G178" s="1048" t="str">
        <f>VLOOKUP($B178,DG!A:D,DG!$D$2,)</f>
        <v>kg</v>
      </c>
      <c r="H178" s="1824">
        <f>$H$174*$D178</f>
        <v>0</v>
      </c>
      <c r="I178" s="1824"/>
      <c r="J178" s="1824"/>
      <c r="K178" s="1824">
        <f>K$339*$D178</f>
        <v>0</v>
      </c>
      <c r="L178" s="1824"/>
      <c r="M178" s="1824"/>
      <c r="N178" s="1824"/>
      <c r="O178" s="1824"/>
      <c r="P178" s="1824"/>
      <c r="Q178" s="1050"/>
      <c r="R178" s="1050"/>
      <c r="S178" s="1050"/>
      <c r="T178" s="2035">
        <f t="shared" si="22"/>
        <v>0</v>
      </c>
    </row>
    <row r="179" spans="1:20" ht="22.2" hidden="1" customHeight="1">
      <c r="A179" s="63" t="s">
        <v>1016</v>
      </c>
      <c r="B179" s="1575" t="s">
        <v>1428</v>
      </c>
      <c r="C179" s="64" t="str">
        <f t="shared" si="20"/>
        <v xml:space="preserve"> </v>
      </c>
      <c r="D179" s="1536">
        <v>0.65</v>
      </c>
      <c r="E179" s="1048">
        <f>VLOOKUP($B179,DG!A:D,DG!$B$2,)</f>
        <v>0</v>
      </c>
      <c r="F179" s="1054" t="str">
        <f>VLOOKUP($B179,DG!A:D,DG!$C$2,)</f>
        <v>Kẽm</v>
      </c>
      <c r="G179" s="1048" t="str">
        <f>VLOOKUP($B179,DG!A:D,DG!$D$2,)</f>
        <v>kg</v>
      </c>
      <c r="H179" s="1824">
        <f>$H$174*$D179</f>
        <v>0</v>
      </c>
      <c r="I179" s="1824"/>
      <c r="J179" s="1824"/>
      <c r="K179" s="1824">
        <f>K$339*$D179</f>
        <v>0</v>
      </c>
      <c r="L179" s="1824"/>
      <c r="M179" s="1824"/>
      <c r="N179" s="1824"/>
      <c r="O179" s="1824"/>
      <c r="P179" s="1824"/>
      <c r="Q179" s="1050"/>
      <c r="R179" s="1050"/>
      <c r="S179" s="1050"/>
      <c r="T179" s="2035">
        <f t="shared" si="22"/>
        <v>0</v>
      </c>
    </row>
    <row r="180" spans="1:20" ht="22.2" hidden="1" customHeight="1">
      <c r="A180" s="63" t="s">
        <v>1016</v>
      </c>
      <c r="B180" s="1575" t="s">
        <v>1229</v>
      </c>
      <c r="C180" s="64" t="str">
        <f t="shared" si="20"/>
        <v xml:space="preserve"> </v>
      </c>
      <c r="D180" s="1536">
        <v>2.5000000000000001E-2</v>
      </c>
      <c r="E180" s="1048" t="str">
        <f>VLOOKUP($B180,DG!A:D,DG!$B$2,)</f>
        <v>03.1113</v>
      </c>
      <c r="F180" s="1054" t="str">
        <f>VLOOKUP($B180,DG!A:D,DG!$C$2,)</f>
        <v>Khoan cắt BT bằng máy khoan cằm tay</v>
      </c>
      <c r="G180" s="1048" t="str">
        <f>VLOOKUP($B180,DG!A:D,DG!$D$2,)</f>
        <v>m3</v>
      </c>
      <c r="H180" s="1824"/>
      <c r="I180" s="1824"/>
      <c r="J180" s="1824"/>
      <c r="K180" s="1824"/>
      <c r="L180" s="1824"/>
      <c r="M180" s="1824"/>
      <c r="N180" s="1824"/>
      <c r="O180" s="1824"/>
      <c r="P180" s="1824"/>
      <c r="Q180" s="1050"/>
      <c r="R180" s="1050"/>
      <c r="S180" s="1050"/>
      <c r="T180" s="2035">
        <f t="shared" si="22"/>
        <v>0</v>
      </c>
    </row>
    <row r="181" spans="1:20" ht="22.2" hidden="1" customHeight="1">
      <c r="A181" s="63"/>
      <c r="B181" s="1575" t="s">
        <v>639</v>
      </c>
      <c r="C181" s="64" t="str">
        <f t="shared" si="20"/>
        <v xml:space="preserve"> </v>
      </c>
      <c r="D181" s="1536">
        <v>0.29399999999999998</v>
      </c>
      <c r="E181" s="1048" t="str">
        <f>VLOOKUP($B181,DG!A:D,DG!$B$2,)</f>
        <v>03.1013</v>
      </c>
      <c r="F181" s="1049" t="str">
        <f>VLOOKUP($B181,DG!A:D,DG!$C$2,)</f>
        <v>Đào hố móng đất cấp 3 sâu &gt;1m</v>
      </c>
      <c r="G181" s="1048" t="str">
        <f>VLOOKUP($B181,DG!A:D,DG!$D$2,)</f>
        <v>m3</v>
      </c>
      <c r="H181" s="1824"/>
      <c r="I181" s="1824"/>
      <c r="J181" s="1824"/>
      <c r="K181" s="1824"/>
      <c r="L181" s="1824"/>
      <c r="M181" s="1824"/>
      <c r="N181" s="1824"/>
      <c r="O181" s="1824"/>
      <c r="P181" s="1824"/>
      <c r="Q181" s="1055"/>
      <c r="R181" s="1055"/>
      <c r="S181" s="1055"/>
      <c r="T181" s="2035">
        <f t="shared" si="22"/>
        <v>0</v>
      </c>
    </row>
    <row r="182" spans="1:20" ht="22.2" hidden="1" customHeight="1">
      <c r="A182" s="63"/>
      <c r="B182" s="1575" t="s">
        <v>21</v>
      </c>
      <c r="C182" s="64" t="str">
        <f t="shared" si="20"/>
        <v xml:space="preserve"> </v>
      </c>
      <c r="D182" s="1536">
        <v>0.15</v>
      </c>
      <c r="E182" s="1048" t="str">
        <f>VLOOKUP($B182,DG!A:D,DG!$B$2,)</f>
        <v>03.4113</v>
      </c>
      <c r="F182" s="1049" t="str">
        <f>VLOOKUP($B182,DG!A:D,DG!$C$2,)</f>
        <v>Đắp đất hố móng, độ chặt k=0,95</v>
      </c>
      <c r="G182" s="1048" t="str">
        <f>VLOOKUP($B182,DG!A:D,DG!$D$2,)</f>
        <v>m3</v>
      </c>
      <c r="H182" s="1824"/>
      <c r="I182" s="1824"/>
      <c r="J182" s="1824"/>
      <c r="K182" s="1824"/>
      <c r="L182" s="1824"/>
      <c r="M182" s="1824"/>
      <c r="N182" s="1824"/>
      <c r="O182" s="1824"/>
      <c r="P182" s="1824"/>
      <c r="Q182" s="1055"/>
      <c r="R182" s="1055"/>
      <c r="S182" s="1055"/>
      <c r="T182" s="2035">
        <f t="shared" si="22"/>
        <v>0</v>
      </c>
    </row>
    <row r="183" spans="1:20" ht="22.2" hidden="1" customHeight="1">
      <c r="A183" s="63"/>
      <c r="B183" s="1575" t="s">
        <v>1296</v>
      </c>
      <c r="C183" s="64" t="str">
        <f t="shared" si="20"/>
        <v xml:space="preserve"> </v>
      </c>
      <c r="D183" s="1536"/>
      <c r="E183" s="1048" t="str">
        <f>VLOOKUP($B183,DG!A:D,DG!$B$2,)</f>
        <v>02.1101</v>
      </c>
      <c r="F183" s="1049" t="str">
        <f>VLOOKUP($B183,DG!A:D,DG!$C$2,)</f>
        <v>Bốc dỡ xi măng</v>
      </c>
      <c r="G183" s="1048" t="str">
        <f>VLOOKUP($B183,DG!A:D,DG!$D$2,)</f>
        <v>tấn</v>
      </c>
      <c r="H183" s="1824"/>
      <c r="I183" s="1824"/>
      <c r="J183" s="1824"/>
      <c r="K183" s="1824"/>
      <c r="L183" s="1824"/>
      <c r="M183" s="1824"/>
      <c r="N183" s="1824"/>
      <c r="O183" s="1824"/>
      <c r="P183" s="1824"/>
      <c r="Q183" s="1055"/>
      <c r="R183" s="1055"/>
      <c r="S183" s="1055"/>
      <c r="T183" s="2035">
        <f t="shared" si="22"/>
        <v>0</v>
      </c>
    </row>
    <row r="184" spans="1:20" ht="22.2" hidden="1" customHeight="1">
      <c r="A184" s="63"/>
      <c r="B184" s="1575" t="s">
        <v>133</v>
      </c>
      <c r="C184" s="64" t="str">
        <f t="shared" si="20"/>
        <v xml:space="preserve"> </v>
      </c>
      <c r="D184" s="1536"/>
      <c r="E184" s="1048" t="str">
        <f>VLOOKUP($B184,DG!A:D,DG!$B$2,)</f>
        <v>02.1103</v>
      </c>
      <c r="F184" s="1049" t="str">
        <f>VLOOKUP($B184,DG!A:D,DG!$C$2,)</f>
        <v>Bốc dỡ cát</v>
      </c>
      <c r="G184" s="1048" t="str">
        <f>VLOOKUP($B184,DG!A:D,DG!$D$2,)</f>
        <v>m3</v>
      </c>
      <c r="H184" s="1824"/>
      <c r="I184" s="1824"/>
      <c r="J184" s="1824"/>
      <c r="K184" s="1824"/>
      <c r="L184" s="1824"/>
      <c r="M184" s="1824"/>
      <c r="N184" s="1824"/>
      <c r="O184" s="1824"/>
      <c r="P184" s="1824"/>
      <c r="Q184" s="1055"/>
      <c r="R184" s="1055"/>
      <c r="S184" s="1055"/>
      <c r="T184" s="2035">
        <f t="shared" si="22"/>
        <v>0</v>
      </c>
    </row>
    <row r="185" spans="1:20" ht="22.2" hidden="1" customHeight="1">
      <c r="A185" s="63"/>
      <c r="B185" s="1575" t="s">
        <v>135</v>
      </c>
      <c r="C185" s="64" t="str">
        <f t="shared" si="20"/>
        <v xml:space="preserve"> </v>
      </c>
      <c r="D185" s="1536"/>
      <c r="E185" s="1048" t="str">
        <f>VLOOKUP($B185,DG!A:D,DG!$B$2,)</f>
        <v>02.1104</v>
      </c>
      <c r="F185" s="1049" t="str">
        <f>VLOOKUP($B185,DG!A:D,DG!$C$2,)</f>
        <v>Bốc dỡ đá dăm</v>
      </c>
      <c r="G185" s="1048" t="str">
        <f>VLOOKUP($B185,DG!A:D,DG!$D$2,)</f>
        <v>m3</v>
      </c>
      <c r="H185" s="1824"/>
      <c r="I185" s="1824"/>
      <c r="J185" s="1824"/>
      <c r="K185" s="1824"/>
      <c r="L185" s="1824"/>
      <c r="M185" s="1824"/>
      <c r="N185" s="1824"/>
      <c r="O185" s="1824"/>
      <c r="P185" s="1824"/>
      <c r="Q185" s="1055"/>
      <c r="R185" s="1055"/>
      <c r="S185" s="1055"/>
      <c r="T185" s="2035">
        <f t="shared" si="22"/>
        <v>0</v>
      </c>
    </row>
    <row r="186" spans="1:20" ht="22.2" hidden="1" customHeight="1">
      <c r="A186" s="63"/>
      <c r="B186" s="1575" t="s">
        <v>9</v>
      </c>
      <c r="C186" s="64" t="str">
        <f t="shared" si="20"/>
        <v xml:space="preserve"> </v>
      </c>
      <c r="D186" s="1536">
        <f>D178</f>
        <v>30</v>
      </c>
      <c r="E186" s="1048" t="str">
        <f>VLOOKUP($B186,DG!A:D,DG!$B$2,)</f>
        <v>04.5101</v>
      </c>
      <c r="F186" s="1049" t="str">
        <f>VLOOKUP($B186,DG!A:D,DG!$C$2,)</f>
        <v>Gia công và lắp dựng cốt thép D&lt;=10</v>
      </c>
      <c r="G186" s="1048" t="str">
        <f>VLOOKUP($B186,DG!A:D,DG!$D$2,)</f>
        <v>kg</v>
      </c>
      <c r="H186" s="1824"/>
      <c r="I186" s="1824"/>
      <c r="J186" s="1824"/>
      <c r="K186" s="1824"/>
      <c r="L186" s="1824"/>
      <c r="M186" s="1824"/>
      <c r="N186" s="1824"/>
      <c r="O186" s="1824"/>
      <c r="P186" s="1824"/>
      <c r="Q186" s="1055"/>
      <c r="R186" s="1055"/>
      <c r="S186" s="1055"/>
      <c r="T186" s="2035">
        <f t="shared" si="22"/>
        <v>0</v>
      </c>
    </row>
    <row r="187" spans="1:20" ht="22.2" hidden="1" customHeight="1">
      <c r="A187" s="63"/>
      <c r="B187" s="1575" t="s">
        <v>1839</v>
      </c>
      <c r="C187" s="64" t="str">
        <f t="shared" si="20"/>
        <v xml:space="preserve"> </v>
      </c>
      <c r="D187" s="1536">
        <v>1.4999999999999999E-2</v>
      </c>
      <c r="E187" s="1048" t="str">
        <f>VLOOKUP($B187,DG!A:D,DG!$B$2,)</f>
        <v>04.1203b</v>
      </c>
      <c r="F187" s="1049" t="str">
        <f>VLOOKUP($B187,DG!A:D,DG!$C$2,)&amp; ": Taùi laäp laïi neàn"</f>
        <v>Đổ bê tông mác M150 đá 1x2: Taùi laäp laïi neàn</v>
      </c>
      <c r="G187" s="1048" t="str">
        <f>VLOOKUP($B187,DG!A:D,DG!$D$2,)</f>
        <v>m3</v>
      </c>
      <c r="H187" s="1824"/>
      <c r="I187" s="1824"/>
      <c r="J187" s="1824"/>
      <c r="K187" s="1824"/>
      <c r="L187" s="1824"/>
      <c r="M187" s="1824"/>
      <c r="N187" s="1824"/>
      <c r="O187" s="1824"/>
      <c r="P187" s="1824"/>
      <c r="Q187" s="1055"/>
      <c r="R187" s="1055"/>
      <c r="S187" s="1055"/>
      <c r="T187" s="2035">
        <f t="shared" si="22"/>
        <v>0</v>
      </c>
    </row>
    <row r="188" spans="1:20" ht="22.2" hidden="1" customHeight="1">
      <c r="A188" s="56" t="s">
        <v>100</v>
      </c>
      <c r="B188" s="1574" t="s">
        <v>100</v>
      </c>
      <c r="C188" s="62" t="str">
        <f t="shared" si="20"/>
        <v xml:space="preserve"> </v>
      </c>
      <c r="D188" s="1532"/>
      <c r="E188" s="1045"/>
      <c r="F188" s="1392" t="s">
        <v>2351</v>
      </c>
      <c r="G188" s="1046" t="s">
        <v>2333</v>
      </c>
      <c r="H188" s="1821">
        <f>SUM(I188:O188)</f>
        <v>0</v>
      </c>
      <c r="I188" s="1822"/>
      <c r="J188" s="1822"/>
      <c r="K188" s="1822">
        <f>IFERROR(HLOOKUP(B188,pp3p1m!$1:$3,3,0),0)</f>
        <v>0</v>
      </c>
      <c r="L188" s="1822">
        <f>IFERROR(HLOOKUP(chitiet!B188,pp1p!$1:$3,3,0),0)</f>
        <v>0</v>
      </c>
      <c r="M188" s="1822"/>
      <c r="N188" s="1822"/>
      <c r="O188" s="1822"/>
      <c r="P188" s="1822"/>
      <c r="Q188" s="1047"/>
      <c r="R188" s="1047"/>
      <c r="S188" s="1047"/>
      <c r="T188" s="2035">
        <f>IFERROR(HLOOKUP(B188,pp1p!$1:$3,3,0),0)+IFERROR(HLOOKUP(B188,pp3p1m!$1:$3,3,0),0)</f>
        <v>0</v>
      </c>
    </row>
    <row r="189" spans="1:20" ht="22.2" hidden="1" customHeight="1">
      <c r="A189" s="59"/>
      <c r="B189" s="1577" t="s">
        <v>636</v>
      </c>
      <c r="C189" s="64" t="str">
        <f t="shared" si="20"/>
        <v xml:space="preserve"> </v>
      </c>
      <c r="D189" s="1535">
        <v>2</v>
      </c>
      <c r="E189" s="1044" t="str">
        <f>VLOOKUP($B189,DG!A:D,DG!$B$2,)</f>
        <v>04.4001</v>
      </c>
      <c r="F189" s="1056" t="str">
        <f>VLOOKUP($B189,DG!A:D,DG!$C$2,)</f>
        <v>Đà cản BTCT 1,2m</v>
      </c>
      <c r="G189" s="1044" t="str">
        <f>VLOOKUP($B189,DG!A:D,DG!$D$2,)</f>
        <v>cái</v>
      </c>
      <c r="H189" s="1823">
        <f t="shared" ref="H189:N190" si="29">H$188*$D189</f>
        <v>0</v>
      </c>
      <c r="I189" s="1823">
        <f t="shared" si="29"/>
        <v>0</v>
      </c>
      <c r="J189" s="1823">
        <f t="shared" si="29"/>
        <v>0</v>
      </c>
      <c r="K189" s="1823">
        <f t="shared" si="29"/>
        <v>0</v>
      </c>
      <c r="L189" s="1823">
        <f t="shared" si="29"/>
        <v>0</v>
      </c>
      <c r="M189" s="1823">
        <f t="shared" si="29"/>
        <v>0</v>
      </c>
      <c r="N189" s="1823">
        <f t="shared" si="29"/>
        <v>0</v>
      </c>
      <c r="O189" s="1823"/>
      <c r="P189" s="1823"/>
      <c r="Q189" s="1053"/>
      <c r="R189" s="1053"/>
      <c r="S189" s="1053"/>
      <c r="T189" s="2035">
        <f t="shared" si="22"/>
        <v>0</v>
      </c>
    </row>
    <row r="190" spans="1:20" ht="22.2" hidden="1" customHeight="1">
      <c r="A190" s="59"/>
      <c r="B190" s="1577" t="s">
        <v>566</v>
      </c>
      <c r="C190" s="64" t="str">
        <f t="shared" si="20"/>
        <v xml:space="preserve"> </v>
      </c>
      <c r="D190" s="1535">
        <v>2</v>
      </c>
      <c r="E190" s="1044"/>
      <c r="F190" s="1056" t="str">
        <f>VLOOKUP($B190,DG!A:D,DG!$C$2,)</f>
        <v>Boulon 22x650+ 2 long đền vuông D24-50x50x3/Zn</v>
      </c>
      <c r="G190" s="1044" t="str">
        <f>VLOOKUP($B190,DG!A:D,DG!$D$2,)</f>
        <v>bộ</v>
      </c>
      <c r="H190" s="1823">
        <f t="shared" si="29"/>
        <v>0</v>
      </c>
      <c r="I190" s="1823">
        <f t="shared" si="29"/>
        <v>0</v>
      </c>
      <c r="J190" s="1823">
        <f t="shared" si="29"/>
        <v>0</v>
      </c>
      <c r="K190" s="1823">
        <f t="shared" si="29"/>
        <v>0</v>
      </c>
      <c r="L190" s="1823">
        <f t="shared" si="29"/>
        <v>0</v>
      </c>
      <c r="M190" s="1823">
        <f t="shared" si="29"/>
        <v>0</v>
      </c>
      <c r="N190" s="1823">
        <f t="shared" si="29"/>
        <v>0</v>
      </c>
      <c r="O190" s="1823"/>
      <c r="P190" s="1823"/>
      <c r="Q190" s="1053"/>
      <c r="R190" s="1053"/>
      <c r="S190" s="1053"/>
      <c r="T190" s="2035">
        <f t="shared" si="22"/>
        <v>0</v>
      </c>
    </row>
    <row r="191" spans="1:20" ht="22.2" hidden="1" customHeight="1">
      <c r="A191" s="59"/>
      <c r="B191" s="1577" t="s">
        <v>639</v>
      </c>
      <c r="C191" s="64" t="str">
        <f t="shared" si="20"/>
        <v xml:space="preserve"> </v>
      </c>
      <c r="D191" s="1534">
        <v>5.39</v>
      </c>
      <c r="E191" s="1044" t="str">
        <f>VLOOKUP($B191,DG!A:D,DG!$B$2,)</f>
        <v>03.1013</v>
      </c>
      <c r="F191" s="1049" t="str">
        <f>VLOOKUP($B191,DG!A:D,DG!$C$2,)</f>
        <v>Đào hố móng đất cấp 3 sâu &gt;1m</v>
      </c>
      <c r="G191" s="1044" t="str">
        <f>VLOOKUP($B191,DG!A:D,DG!$D$2,)</f>
        <v>m3</v>
      </c>
      <c r="H191" s="1823"/>
      <c r="I191" s="1823"/>
      <c r="J191" s="1823"/>
      <c r="K191" s="1823"/>
      <c r="L191" s="1823"/>
      <c r="M191" s="1823"/>
      <c r="N191" s="1823"/>
      <c r="O191" s="1823"/>
      <c r="P191" s="1823"/>
      <c r="Q191" s="1058"/>
      <c r="R191" s="1058"/>
      <c r="S191" s="1058"/>
      <c r="T191" s="2035">
        <f t="shared" si="22"/>
        <v>0</v>
      </c>
    </row>
    <row r="192" spans="1:20" ht="22.2" hidden="1" customHeight="1">
      <c r="A192" s="59"/>
      <c r="B192" s="1577" t="s">
        <v>21</v>
      </c>
      <c r="C192" s="64" t="str">
        <f t="shared" si="20"/>
        <v xml:space="preserve"> </v>
      </c>
      <c r="D192" s="1534">
        <v>6.37</v>
      </c>
      <c r="E192" s="1044" t="str">
        <f>VLOOKUP($B192,DG!A:D,DG!$B$2,)</f>
        <v>03.4113</v>
      </c>
      <c r="F192" s="1049" t="str">
        <f>VLOOKUP($B192,DG!A:D,DG!$C$2,)</f>
        <v>Đắp đất hố móng, độ chặt k=0,95</v>
      </c>
      <c r="G192" s="1044" t="str">
        <f>VLOOKUP($B192,DG!A:D,DG!$D$2,)</f>
        <v>m3</v>
      </c>
      <c r="H192" s="1823"/>
      <c r="I192" s="1823"/>
      <c r="J192" s="1823"/>
      <c r="K192" s="1823"/>
      <c r="L192" s="1823"/>
      <c r="M192" s="1823"/>
      <c r="N192" s="1823"/>
      <c r="O192" s="1823"/>
      <c r="P192" s="1823"/>
      <c r="Q192" s="1058"/>
      <c r="R192" s="1058"/>
      <c r="S192" s="1058"/>
      <c r="T192" s="2035">
        <f t="shared" si="22"/>
        <v>0</v>
      </c>
    </row>
    <row r="193" spans="1:20" ht="22.2" hidden="1" customHeight="1">
      <c r="A193" s="59"/>
      <c r="B193" s="1577" t="s">
        <v>637</v>
      </c>
      <c r="C193" s="64" t="str">
        <f t="shared" si="20"/>
        <v xml:space="preserve"> </v>
      </c>
      <c r="D193" s="1534"/>
      <c r="E193" s="1044" t="str">
        <f>VLOOKUP($B193,DG!A:D,DG!$B$2,)</f>
        <v>02.1123</v>
      </c>
      <c r="F193" s="1049" t="str">
        <f>VLOOKUP($B193,DG!A:D,DG!$C$2,)</f>
        <v>Bốc dỡ đà cản, đế néo</v>
      </c>
      <c r="G193" s="1044" t="str">
        <f>VLOOKUP($B193,DG!A:D,DG!$D$2,)</f>
        <v>tấn</v>
      </c>
      <c r="H193" s="1823"/>
      <c r="I193" s="1823"/>
      <c r="J193" s="1823"/>
      <c r="K193" s="1823"/>
      <c r="L193" s="1823"/>
      <c r="M193" s="1823"/>
      <c r="N193" s="1823"/>
      <c r="O193" s="1823"/>
      <c r="P193" s="1823"/>
      <c r="Q193" s="1053"/>
      <c r="R193" s="1053"/>
      <c r="S193" s="1053"/>
      <c r="T193" s="2035">
        <f t="shared" si="22"/>
        <v>0</v>
      </c>
    </row>
    <row r="194" spans="1:20" ht="22.2" hidden="1" customHeight="1">
      <c r="A194" s="59"/>
      <c r="B194" s="1588" t="s">
        <v>2069</v>
      </c>
      <c r="C194" s="64" t="str">
        <f t="shared" si="20"/>
        <v xml:space="preserve"> </v>
      </c>
      <c r="D194" s="1534"/>
      <c r="E194" s="1044" t="str">
        <f>VLOOKUP($B194,DG!A:C,2,)</f>
        <v>02.1451</v>
      </c>
      <c r="F194" s="1049" t="str">
        <f>VLOOKUP($B194,DG!A:C,3,)</f>
        <v>V/c đà cản vào vị trí (cự ly &lt;=100m)</v>
      </c>
      <c r="G194" s="1044" t="str">
        <f>VLOOKUP($B194,DG!A:D,4,0)</f>
        <v>tấn</v>
      </c>
      <c r="H194" s="1823"/>
      <c r="I194" s="1823"/>
      <c r="J194" s="1823"/>
      <c r="K194" s="1823"/>
      <c r="L194" s="1823"/>
      <c r="M194" s="1823"/>
      <c r="N194" s="1823"/>
      <c r="O194" s="1823"/>
      <c r="P194" s="1823"/>
      <c r="Q194" s="1058"/>
      <c r="R194" s="1058"/>
      <c r="S194" s="1058"/>
      <c r="T194" s="2035">
        <f t="shared" si="22"/>
        <v>0</v>
      </c>
    </row>
    <row r="195" spans="1:20" ht="22.2" hidden="1" customHeight="1">
      <c r="A195" s="59"/>
      <c r="B195" s="1588" t="s">
        <v>635</v>
      </c>
      <c r="C195" s="64" t="str">
        <f t="shared" si="20"/>
        <v xml:space="preserve"> </v>
      </c>
      <c r="D195" s="1534"/>
      <c r="E195" s="1044" t="str">
        <f>VLOOKUP($B195,DG!A:C,2,)</f>
        <v>02.1482</v>
      </c>
      <c r="F195" s="1049" t="str">
        <f>VLOOKUP($B195,DG!A:C,3,)</f>
        <v>V/c dụng cụ thi công vào vị trí (cự ly &lt;=100m)</v>
      </c>
      <c r="G195" s="1044" t="str">
        <f>VLOOKUP($B195,DG!A:D,4,0)</f>
        <v>tấn</v>
      </c>
      <c r="H195" s="1823"/>
      <c r="I195" s="1823"/>
      <c r="J195" s="1823"/>
      <c r="K195" s="1823"/>
      <c r="L195" s="1823"/>
      <c r="M195" s="1823"/>
      <c r="N195" s="1823"/>
      <c r="O195" s="1823"/>
      <c r="P195" s="1823"/>
      <c r="Q195" s="1058"/>
      <c r="R195" s="1058"/>
      <c r="S195" s="1058"/>
      <c r="T195" s="2035">
        <f t="shared" si="22"/>
        <v>0</v>
      </c>
    </row>
    <row r="196" spans="1:20" ht="22.2" hidden="1" customHeight="1">
      <c r="A196" s="56" t="s">
        <v>833</v>
      </c>
      <c r="B196" s="1574" t="s">
        <v>833</v>
      </c>
      <c r="C196" s="62" t="str">
        <f t="shared" si="20"/>
        <v xml:space="preserve"> </v>
      </c>
      <c r="D196" s="1532"/>
      <c r="E196" s="1045"/>
      <c r="F196" s="1392" t="s">
        <v>2352</v>
      </c>
      <c r="G196" s="1046" t="s">
        <v>2333</v>
      </c>
      <c r="H196" s="1821">
        <f>SUM(I196:O196)</f>
        <v>0</v>
      </c>
      <c r="I196" s="1822"/>
      <c r="J196" s="1822"/>
      <c r="K196" s="1822">
        <f>IFERROR(HLOOKUP(B196,pp3p1m!$1:$3,3,0),0)</f>
        <v>0</v>
      </c>
      <c r="L196" s="1822">
        <f>IFERROR(HLOOKUP(chitiet!B196,pp1p!$1:$3,3,0),0)</f>
        <v>0</v>
      </c>
      <c r="M196" s="1822"/>
      <c r="N196" s="1822"/>
      <c r="O196" s="1822"/>
      <c r="P196" s="1822"/>
      <c r="Q196" s="1047"/>
      <c r="R196" s="1047"/>
      <c r="S196" s="1047"/>
      <c r="T196" s="2035">
        <f>IFERROR(HLOOKUP(B196,pp1p!$1:$3,3,0),0)+IFERROR(HLOOKUP(B196,pp3p1m!$1:$3,3,0),0)</f>
        <v>0</v>
      </c>
    </row>
    <row r="197" spans="1:20" ht="22.2" hidden="1" customHeight="1">
      <c r="A197" s="59"/>
      <c r="B197" s="1577" t="s">
        <v>636</v>
      </c>
      <c r="C197" s="64" t="str">
        <f t="shared" si="20"/>
        <v xml:space="preserve"> </v>
      </c>
      <c r="D197" s="1535">
        <v>1</v>
      </c>
      <c r="E197" s="1044" t="str">
        <f>VLOOKUP($B197,DG!A:D,DG!$B$2,)</f>
        <v>04.4001</v>
      </c>
      <c r="F197" s="1056" t="str">
        <f>VLOOKUP($B197,DG!A:D,DG!$C$2,)</f>
        <v>Đà cản BTCT 1,2m</v>
      </c>
      <c r="G197" s="1044" t="str">
        <f>VLOOKUP($B197,DG!A:D,DG!$D$2,)</f>
        <v>cái</v>
      </c>
      <c r="H197" s="1823">
        <f t="shared" ref="H197:N199" si="30">H$196*$D197</f>
        <v>0</v>
      </c>
      <c r="I197" s="1823">
        <f t="shared" si="30"/>
        <v>0</v>
      </c>
      <c r="J197" s="1823">
        <f t="shared" si="30"/>
        <v>0</v>
      </c>
      <c r="K197" s="1823">
        <f t="shared" si="30"/>
        <v>0</v>
      </c>
      <c r="L197" s="1823">
        <f t="shared" si="30"/>
        <v>0</v>
      </c>
      <c r="M197" s="1823">
        <f t="shared" si="30"/>
        <v>0</v>
      </c>
      <c r="N197" s="1823">
        <f t="shared" si="30"/>
        <v>0</v>
      </c>
      <c r="O197" s="1823"/>
      <c r="P197" s="1823"/>
      <c r="Q197" s="1053"/>
      <c r="R197" s="1053"/>
      <c r="S197" s="1053"/>
      <c r="T197" s="2035">
        <f t="shared" si="22"/>
        <v>0</v>
      </c>
    </row>
    <row r="198" spans="1:20" ht="22.2" hidden="1" customHeight="1">
      <c r="A198" s="59"/>
      <c r="B198" s="1577" t="s">
        <v>1578</v>
      </c>
      <c r="C198" s="64" t="str">
        <f t="shared" si="20"/>
        <v xml:space="preserve"> </v>
      </c>
      <c r="D198" s="1535">
        <v>1</v>
      </c>
      <c r="E198" s="1044" t="str">
        <f>VLOOKUP($B198,DG!A:D,DG!$B$2,)</f>
        <v>04.3801</v>
      </c>
      <c r="F198" s="1056" t="str">
        <f>VLOOKUP($B198,DG!A:D,DG!$C$2,)</f>
        <v>Đà cản BTCT 1,5m</v>
      </c>
      <c r="G198" s="1044" t="str">
        <f>VLOOKUP($B198,DG!A:D,DG!$D$2,)</f>
        <v>cái</v>
      </c>
      <c r="H198" s="1823">
        <f t="shared" si="30"/>
        <v>0</v>
      </c>
      <c r="I198" s="1823">
        <f t="shared" si="30"/>
        <v>0</v>
      </c>
      <c r="J198" s="1823">
        <f t="shared" si="30"/>
        <v>0</v>
      </c>
      <c r="K198" s="1823">
        <f t="shared" si="30"/>
        <v>0</v>
      </c>
      <c r="L198" s="1823">
        <f t="shared" si="30"/>
        <v>0</v>
      </c>
      <c r="M198" s="1823">
        <f t="shared" si="30"/>
        <v>0</v>
      </c>
      <c r="N198" s="1823">
        <f t="shared" si="30"/>
        <v>0</v>
      </c>
      <c r="O198" s="1823"/>
      <c r="P198" s="1823"/>
      <c r="Q198" s="1053"/>
      <c r="R198" s="1053"/>
      <c r="S198" s="1053"/>
      <c r="T198" s="2035">
        <f t="shared" si="22"/>
        <v>0</v>
      </c>
    </row>
    <row r="199" spans="1:20" ht="22.2" hidden="1" customHeight="1">
      <c r="A199" s="59"/>
      <c r="B199" s="1577" t="s">
        <v>566</v>
      </c>
      <c r="C199" s="64" t="str">
        <f t="shared" si="20"/>
        <v xml:space="preserve"> </v>
      </c>
      <c r="D199" s="1535">
        <v>2</v>
      </c>
      <c r="E199" s="1044"/>
      <c r="F199" s="1056" t="str">
        <f>VLOOKUP($B199,DG!A:D,DG!$C$2,)</f>
        <v>Boulon 22x650+ 2 long đền vuông D24-50x50x3/Zn</v>
      </c>
      <c r="G199" s="1044" t="str">
        <f>VLOOKUP($B199,DG!A:D,DG!$D$2,)</f>
        <v>bộ</v>
      </c>
      <c r="H199" s="1823">
        <f t="shared" si="30"/>
        <v>0</v>
      </c>
      <c r="I199" s="1823">
        <f t="shared" si="30"/>
        <v>0</v>
      </c>
      <c r="J199" s="1823">
        <f t="shared" si="30"/>
        <v>0</v>
      </c>
      <c r="K199" s="1823">
        <f t="shared" si="30"/>
        <v>0</v>
      </c>
      <c r="L199" s="1823">
        <f t="shared" si="30"/>
        <v>0</v>
      </c>
      <c r="M199" s="1823">
        <f t="shared" si="30"/>
        <v>0</v>
      </c>
      <c r="N199" s="1823">
        <f t="shared" si="30"/>
        <v>0</v>
      </c>
      <c r="O199" s="1823"/>
      <c r="P199" s="1823"/>
      <c r="Q199" s="1053"/>
      <c r="R199" s="1053"/>
      <c r="S199" s="1053"/>
      <c r="T199" s="2035">
        <f t="shared" si="22"/>
        <v>0</v>
      </c>
    </row>
    <row r="200" spans="1:20" ht="22.2" hidden="1" customHeight="1">
      <c r="A200" s="59"/>
      <c r="B200" s="1577" t="s">
        <v>639</v>
      </c>
      <c r="C200" s="64" t="str">
        <f t="shared" si="20"/>
        <v xml:space="preserve"> </v>
      </c>
      <c r="D200" s="1534">
        <v>5.56</v>
      </c>
      <c r="E200" s="1044" t="str">
        <f>VLOOKUP($B200,DG!A:D,DG!$B$2,)</f>
        <v>03.1013</v>
      </c>
      <c r="F200" s="1049" t="str">
        <f>VLOOKUP($B200,DG!A:D,DG!$C$2,)</f>
        <v>Đào hố móng đất cấp 3 sâu &gt;1m</v>
      </c>
      <c r="G200" s="1044" t="str">
        <f>VLOOKUP($B200,DG!A:D,DG!$D$2,)</f>
        <v>m3</v>
      </c>
      <c r="H200" s="1823"/>
      <c r="I200" s="1823"/>
      <c r="J200" s="1823"/>
      <c r="K200" s="1823"/>
      <c r="L200" s="1823"/>
      <c r="M200" s="1823"/>
      <c r="N200" s="1823"/>
      <c r="O200" s="1823"/>
      <c r="P200" s="1823"/>
      <c r="Q200" s="1058"/>
      <c r="R200" s="1058"/>
      <c r="S200" s="1058"/>
      <c r="T200" s="2035">
        <f t="shared" si="22"/>
        <v>0</v>
      </c>
    </row>
    <row r="201" spans="1:20" ht="22.2" hidden="1" customHeight="1">
      <c r="A201" s="59"/>
      <c r="B201" s="1577" t="s">
        <v>21</v>
      </c>
      <c r="C201" s="64" t="str">
        <f t="shared" si="20"/>
        <v xml:space="preserve"> </v>
      </c>
      <c r="D201" s="1534">
        <v>6.54</v>
      </c>
      <c r="E201" s="1044" t="str">
        <f>VLOOKUP($B201,DG!A:D,DG!$B$2,)</f>
        <v>03.4113</v>
      </c>
      <c r="F201" s="1049" t="str">
        <f>VLOOKUP($B201,DG!A:D,DG!$C$2,)</f>
        <v>Đắp đất hố móng, độ chặt k=0,95</v>
      </c>
      <c r="G201" s="1044" t="str">
        <f>VLOOKUP($B201,DG!A:D,DG!$D$2,)</f>
        <v>m3</v>
      </c>
      <c r="H201" s="1823"/>
      <c r="I201" s="1823"/>
      <c r="J201" s="1823"/>
      <c r="K201" s="1823"/>
      <c r="L201" s="1823"/>
      <c r="M201" s="1823"/>
      <c r="N201" s="1823"/>
      <c r="O201" s="1823"/>
      <c r="P201" s="1823"/>
      <c r="Q201" s="1058"/>
      <c r="R201" s="1058"/>
      <c r="S201" s="1058"/>
      <c r="T201" s="2035">
        <f t="shared" si="22"/>
        <v>0</v>
      </c>
    </row>
    <row r="202" spans="1:20" ht="22.2" hidden="1" customHeight="1">
      <c r="A202" s="59"/>
      <c r="B202" s="1577" t="s">
        <v>1579</v>
      </c>
      <c r="C202" s="64" t="str">
        <f t="shared" si="20"/>
        <v xml:space="preserve"> </v>
      </c>
      <c r="D202" s="1534"/>
      <c r="E202" s="1044" t="str">
        <f>VLOOKUP($B202,DG!A:D,DG!$B$2,)</f>
        <v>02.1123</v>
      </c>
      <c r="F202" s="1049" t="str">
        <f>VLOOKUP($B202,DG!A:D,DG!$C$2,)</f>
        <v>Bốc dỡ đà cản, đế néo</v>
      </c>
      <c r="G202" s="1044" t="str">
        <f>VLOOKUP($B202,DG!A:D,DG!$D$2,)</f>
        <v>tấn</v>
      </c>
      <c r="H202" s="1823"/>
      <c r="I202" s="1823"/>
      <c r="J202" s="1823"/>
      <c r="K202" s="1823"/>
      <c r="L202" s="1823"/>
      <c r="M202" s="1823"/>
      <c r="N202" s="1823"/>
      <c r="O202" s="1823"/>
      <c r="P202" s="1823"/>
      <c r="Q202" s="1053"/>
      <c r="R202" s="1053"/>
      <c r="S202" s="1053"/>
      <c r="T202" s="2035">
        <f t="shared" si="22"/>
        <v>0</v>
      </c>
    </row>
    <row r="203" spans="1:20" ht="22.2" hidden="1" customHeight="1">
      <c r="A203" s="59"/>
      <c r="B203" s="1588" t="s">
        <v>2069</v>
      </c>
      <c r="C203" s="64" t="str">
        <f t="shared" si="20"/>
        <v xml:space="preserve"> </v>
      </c>
      <c r="D203" s="1534"/>
      <c r="E203" s="1044" t="str">
        <f>VLOOKUP($B203,DG!A:C,2,)</f>
        <v>02.1451</v>
      </c>
      <c r="F203" s="1049" t="str">
        <f>VLOOKUP($B203,DG!A:C,3,)</f>
        <v>V/c đà cản vào vị trí (cự ly &lt;=100m)</v>
      </c>
      <c r="G203" s="1044" t="str">
        <f>VLOOKUP($B203,DG!A:D,4,0)</f>
        <v>tấn</v>
      </c>
      <c r="H203" s="1823"/>
      <c r="I203" s="1823"/>
      <c r="J203" s="1823"/>
      <c r="K203" s="1823"/>
      <c r="L203" s="1823"/>
      <c r="M203" s="1823"/>
      <c r="N203" s="1823"/>
      <c r="O203" s="1823"/>
      <c r="P203" s="1823"/>
      <c r="Q203" s="1058"/>
      <c r="R203" s="1058"/>
      <c r="S203" s="1058"/>
      <c r="T203" s="2035">
        <f t="shared" si="22"/>
        <v>0</v>
      </c>
    </row>
    <row r="204" spans="1:20" ht="22.2" hidden="1" customHeight="1">
      <c r="A204" s="59"/>
      <c r="B204" s="1588" t="s">
        <v>635</v>
      </c>
      <c r="C204" s="64" t="str">
        <f t="shared" si="20"/>
        <v xml:space="preserve"> </v>
      </c>
      <c r="D204" s="1534"/>
      <c r="E204" s="1044" t="str">
        <f>VLOOKUP($B204,DG!A:C,2,)</f>
        <v>02.1482</v>
      </c>
      <c r="F204" s="1049" t="str">
        <f>VLOOKUP($B204,DG!A:C,3,)</f>
        <v>V/c dụng cụ thi công vào vị trí (cự ly &lt;=100m)</v>
      </c>
      <c r="G204" s="1044" t="str">
        <f>VLOOKUP($B204,DG!A:D,4,0)</f>
        <v>tấn</v>
      </c>
      <c r="H204" s="1823"/>
      <c r="I204" s="1823"/>
      <c r="J204" s="1823"/>
      <c r="K204" s="1823"/>
      <c r="L204" s="1823"/>
      <c r="M204" s="1823"/>
      <c r="N204" s="1823"/>
      <c r="O204" s="1823"/>
      <c r="P204" s="1823"/>
      <c r="Q204" s="1058"/>
      <c r="R204" s="1058"/>
      <c r="S204" s="1058"/>
      <c r="T204" s="2035">
        <f t="shared" si="22"/>
        <v>0</v>
      </c>
    </row>
    <row r="205" spans="1:20" ht="22.2" hidden="1" customHeight="1">
      <c r="A205" s="56" t="s">
        <v>834</v>
      </c>
      <c r="B205" s="1574" t="s">
        <v>834</v>
      </c>
      <c r="C205" s="62" t="str">
        <f t="shared" si="20"/>
        <v xml:space="preserve"> </v>
      </c>
      <c r="D205" s="1532"/>
      <c r="E205" s="1045"/>
      <c r="F205" s="1392" t="s">
        <v>2353</v>
      </c>
      <c r="G205" s="1046" t="s">
        <v>2333</v>
      </c>
      <c r="H205" s="1821">
        <f>SUM(I205:O205)</f>
        <v>0</v>
      </c>
      <c r="I205" s="1822"/>
      <c r="J205" s="1822"/>
      <c r="K205" s="1822">
        <f>IFERROR(HLOOKUP(B205,pp3p1m!$1:$3,3,0),0)</f>
        <v>0</v>
      </c>
      <c r="L205" s="1822">
        <f>IFERROR(HLOOKUP(chitiet!B205,pp1p!$1:$3,3,0),0)</f>
        <v>0</v>
      </c>
      <c r="M205" s="1822"/>
      <c r="N205" s="1822"/>
      <c r="O205" s="1822"/>
      <c r="P205" s="1822"/>
      <c r="Q205" s="1047"/>
      <c r="R205" s="1047"/>
      <c r="S205" s="1047"/>
      <c r="T205" s="2035">
        <f>IFERROR(HLOOKUP(B205,pp1p!$1:$3,3,0),0)+IFERROR(HLOOKUP(B205,pp3p1m!$1:$3,3,0),0)</f>
        <v>0</v>
      </c>
    </row>
    <row r="206" spans="1:20" ht="22.2" hidden="1" customHeight="1">
      <c r="A206" s="59"/>
      <c r="B206" s="1577" t="s">
        <v>1578</v>
      </c>
      <c r="C206" s="64" t="str">
        <f t="shared" si="20"/>
        <v xml:space="preserve"> </v>
      </c>
      <c r="D206" s="1535">
        <v>2</v>
      </c>
      <c r="E206" s="1044" t="str">
        <f>VLOOKUP($B206,DG!A:D,DG!$B$2,)</f>
        <v>04.3801</v>
      </c>
      <c r="F206" s="1056" t="str">
        <f>VLOOKUP($B206,DG!A:D,DG!$C$2,)</f>
        <v>Đà cản BTCT 1,5m</v>
      </c>
      <c r="G206" s="1044" t="str">
        <f>VLOOKUP($B206,DG!A:D,DG!$D$2,)</f>
        <v>cái</v>
      </c>
      <c r="H206" s="1823">
        <f t="shared" ref="H206:N207" si="31">H$205*$D206</f>
        <v>0</v>
      </c>
      <c r="I206" s="1823">
        <f t="shared" si="31"/>
        <v>0</v>
      </c>
      <c r="J206" s="1823">
        <f t="shared" si="31"/>
        <v>0</v>
      </c>
      <c r="K206" s="1823">
        <f t="shared" si="31"/>
        <v>0</v>
      </c>
      <c r="L206" s="1823">
        <f t="shared" si="31"/>
        <v>0</v>
      </c>
      <c r="M206" s="1823">
        <f t="shared" si="31"/>
        <v>0</v>
      </c>
      <c r="N206" s="1823">
        <f t="shared" si="31"/>
        <v>0</v>
      </c>
      <c r="O206" s="1823"/>
      <c r="P206" s="1823"/>
      <c r="Q206" s="1053"/>
      <c r="R206" s="1053"/>
      <c r="S206" s="1053"/>
      <c r="T206" s="2035">
        <f t="shared" ref="T206:T269" si="32">IFERROR(HLOOKUP(B206,BangKeTru,3,0),0)</f>
        <v>0</v>
      </c>
    </row>
    <row r="207" spans="1:20" ht="22.2" hidden="1" customHeight="1">
      <c r="A207" s="59"/>
      <c r="B207" s="1577" t="s">
        <v>566</v>
      </c>
      <c r="C207" s="64" t="str">
        <f t="shared" ref="C207:C270" si="33">IF(OR(P207&lt;&gt;0,H207&lt;&gt;0),"x"," ")</f>
        <v xml:space="preserve"> </v>
      </c>
      <c r="D207" s="1535">
        <v>2</v>
      </c>
      <c r="E207" s="1044"/>
      <c r="F207" s="1056" t="str">
        <f>VLOOKUP($B207,DG!A:D,DG!$C$2,)</f>
        <v>Boulon 22x650+ 2 long đền vuông D24-50x50x3/Zn</v>
      </c>
      <c r="G207" s="1044" t="str">
        <f>VLOOKUP($B207,DG!A:D,DG!$D$2,)</f>
        <v>bộ</v>
      </c>
      <c r="H207" s="1823">
        <f t="shared" si="31"/>
        <v>0</v>
      </c>
      <c r="I207" s="1823">
        <f t="shared" si="31"/>
        <v>0</v>
      </c>
      <c r="J207" s="1823">
        <f t="shared" si="31"/>
        <v>0</v>
      </c>
      <c r="K207" s="1823">
        <f t="shared" si="31"/>
        <v>0</v>
      </c>
      <c r="L207" s="1823">
        <f t="shared" si="31"/>
        <v>0</v>
      </c>
      <c r="M207" s="1823">
        <f t="shared" si="31"/>
        <v>0</v>
      </c>
      <c r="N207" s="1823">
        <f t="shared" si="31"/>
        <v>0</v>
      </c>
      <c r="O207" s="1823"/>
      <c r="P207" s="1823"/>
      <c r="Q207" s="1053"/>
      <c r="R207" s="1053"/>
      <c r="S207" s="1053"/>
      <c r="T207" s="2035">
        <f t="shared" si="32"/>
        <v>0</v>
      </c>
    </row>
    <row r="208" spans="1:20" ht="22.2" hidden="1" customHeight="1">
      <c r="A208" s="59"/>
      <c r="B208" s="1577" t="s">
        <v>639</v>
      </c>
      <c r="C208" s="64" t="str">
        <f t="shared" si="33"/>
        <v xml:space="preserve"> </v>
      </c>
      <c r="D208" s="1534">
        <v>7.4</v>
      </c>
      <c r="E208" s="1044" t="str">
        <f>VLOOKUP($B208,DG!A:D,DG!$B$2,)</f>
        <v>03.1013</v>
      </c>
      <c r="F208" s="1049" t="str">
        <f>VLOOKUP($B208,DG!A:D,DG!$C$2,)</f>
        <v>Đào hố móng đất cấp 3 sâu &gt;1m</v>
      </c>
      <c r="G208" s="1044" t="str">
        <f>VLOOKUP($B208,DG!A:D,DG!$D$2,)</f>
        <v>m3</v>
      </c>
      <c r="H208" s="1823"/>
      <c r="I208" s="1823"/>
      <c r="J208" s="1823"/>
      <c r="K208" s="1823"/>
      <c r="L208" s="1823"/>
      <c r="M208" s="1823"/>
      <c r="N208" s="1823"/>
      <c r="O208" s="1823"/>
      <c r="P208" s="1823"/>
      <c r="Q208" s="1058"/>
      <c r="R208" s="1058"/>
      <c r="S208" s="1058"/>
      <c r="T208" s="2035">
        <f t="shared" si="32"/>
        <v>0</v>
      </c>
    </row>
    <row r="209" spans="1:20" ht="22.2" hidden="1" customHeight="1">
      <c r="A209" s="59"/>
      <c r="B209" s="1577" t="s">
        <v>21</v>
      </c>
      <c r="C209" s="64" t="str">
        <f t="shared" si="33"/>
        <v xml:space="preserve"> </v>
      </c>
      <c r="D209" s="1534">
        <v>8.67</v>
      </c>
      <c r="E209" s="1044" t="str">
        <f>VLOOKUP($B209,DG!A:D,DG!$B$2,)</f>
        <v>03.4113</v>
      </c>
      <c r="F209" s="1049" t="str">
        <f>VLOOKUP($B209,DG!A:D,DG!$C$2,)</f>
        <v>Đắp đất hố móng, độ chặt k=0,95</v>
      </c>
      <c r="G209" s="1044" t="str">
        <f>VLOOKUP($B209,DG!A:D,DG!$D$2,)</f>
        <v>m3</v>
      </c>
      <c r="H209" s="1823"/>
      <c r="I209" s="1823"/>
      <c r="J209" s="1823"/>
      <c r="K209" s="1823"/>
      <c r="L209" s="1823"/>
      <c r="M209" s="1823"/>
      <c r="N209" s="1823"/>
      <c r="O209" s="1823"/>
      <c r="P209" s="1823"/>
      <c r="Q209" s="1058"/>
      <c r="R209" s="1058"/>
      <c r="S209" s="1058"/>
      <c r="T209" s="2035">
        <f t="shared" si="32"/>
        <v>0</v>
      </c>
    </row>
    <row r="210" spans="1:20" ht="22.2" hidden="1" customHeight="1">
      <c r="A210" s="59"/>
      <c r="B210" s="1577" t="s">
        <v>1579</v>
      </c>
      <c r="C210" s="64" t="str">
        <f t="shared" si="33"/>
        <v xml:space="preserve"> </v>
      </c>
      <c r="D210" s="1534"/>
      <c r="E210" s="1044" t="str">
        <f>VLOOKUP($B210,DG!A:D,DG!$B$2,)</f>
        <v>02.1123</v>
      </c>
      <c r="F210" s="1049" t="str">
        <f>VLOOKUP($B210,DG!A:D,DG!$C$2,)</f>
        <v>Bốc dỡ đà cản, đế néo</v>
      </c>
      <c r="G210" s="1044" t="str">
        <f>VLOOKUP($B210,DG!A:D,DG!$D$2,)</f>
        <v>tấn</v>
      </c>
      <c r="H210" s="1823"/>
      <c r="I210" s="1823"/>
      <c r="J210" s="1823"/>
      <c r="K210" s="1823"/>
      <c r="L210" s="1823"/>
      <c r="M210" s="1823"/>
      <c r="N210" s="1823"/>
      <c r="O210" s="1823"/>
      <c r="P210" s="1823"/>
      <c r="Q210" s="1053"/>
      <c r="R210" s="1053"/>
      <c r="S210" s="1053"/>
      <c r="T210" s="2035">
        <f t="shared" si="32"/>
        <v>0</v>
      </c>
    </row>
    <row r="211" spans="1:20" ht="22.2" hidden="1" customHeight="1">
      <c r="A211" s="59"/>
      <c r="B211" s="1588" t="s">
        <v>2069</v>
      </c>
      <c r="C211" s="64" t="str">
        <f t="shared" si="33"/>
        <v xml:space="preserve"> </v>
      </c>
      <c r="D211" s="1534"/>
      <c r="E211" s="1044" t="str">
        <f>VLOOKUP($B211,DG!A:C,2,)</f>
        <v>02.1451</v>
      </c>
      <c r="F211" s="1049" t="str">
        <f>VLOOKUP($B211,DG!A:C,3,)</f>
        <v>V/c đà cản vào vị trí (cự ly &lt;=100m)</v>
      </c>
      <c r="G211" s="1044" t="str">
        <f>VLOOKUP($B211,DG!A:D,4,0)</f>
        <v>tấn</v>
      </c>
      <c r="H211" s="1823"/>
      <c r="I211" s="1823"/>
      <c r="J211" s="1823"/>
      <c r="K211" s="1823"/>
      <c r="L211" s="1823"/>
      <c r="M211" s="1823"/>
      <c r="N211" s="1823"/>
      <c r="O211" s="1823"/>
      <c r="P211" s="1823"/>
      <c r="Q211" s="1058"/>
      <c r="R211" s="1058"/>
      <c r="S211" s="1058"/>
      <c r="T211" s="2035">
        <f t="shared" si="32"/>
        <v>0</v>
      </c>
    </row>
    <row r="212" spans="1:20" ht="22.2" hidden="1" customHeight="1">
      <c r="A212" s="59"/>
      <c r="B212" s="1588" t="s">
        <v>635</v>
      </c>
      <c r="C212" s="64" t="str">
        <f t="shared" si="33"/>
        <v xml:space="preserve"> </v>
      </c>
      <c r="D212" s="1534"/>
      <c r="E212" s="1044" t="str">
        <f>VLOOKUP($B212,DG!A:C,2,)</f>
        <v>02.1482</v>
      </c>
      <c r="F212" s="1049" t="str">
        <f>VLOOKUP($B212,DG!A:C,3,)</f>
        <v>V/c dụng cụ thi công vào vị trí (cự ly &lt;=100m)</v>
      </c>
      <c r="G212" s="1044" t="str">
        <f>VLOOKUP($B212,DG!A:D,4,0)</f>
        <v>tấn</v>
      </c>
      <c r="H212" s="1823"/>
      <c r="I212" s="1823"/>
      <c r="J212" s="1823"/>
      <c r="K212" s="1823"/>
      <c r="L212" s="1823"/>
      <c r="M212" s="1823"/>
      <c r="N212" s="1823"/>
      <c r="O212" s="1823"/>
      <c r="P212" s="1823"/>
      <c r="Q212" s="1058"/>
      <c r="R212" s="1058"/>
      <c r="S212" s="1058"/>
      <c r="T212" s="2035">
        <f t="shared" si="32"/>
        <v>0</v>
      </c>
    </row>
    <row r="213" spans="1:20" ht="22.2" hidden="1" customHeight="1">
      <c r="A213" s="56" t="s">
        <v>286</v>
      </c>
      <c r="B213" s="1574" t="s">
        <v>286</v>
      </c>
      <c r="C213" s="62" t="str">
        <f t="shared" si="33"/>
        <v xml:space="preserve"> </v>
      </c>
      <c r="D213" s="1532"/>
      <c r="E213" s="1045"/>
      <c r="F213" s="1392" t="s">
        <v>2354</v>
      </c>
      <c r="G213" s="1046" t="s">
        <v>2333</v>
      </c>
      <c r="H213" s="1821">
        <f>SUM(I213:O213)</f>
        <v>0</v>
      </c>
      <c r="I213" s="1822"/>
      <c r="J213" s="1822"/>
      <c r="K213" s="1822">
        <f>IFERROR(HLOOKUP(B213,pp3p1m!$1:$3,3,0),0)</f>
        <v>0</v>
      </c>
      <c r="L213" s="1822">
        <f>IFERROR(HLOOKUP(chitiet!B213,pp1p!$1:$3,3,0),0)</f>
        <v>0</v>
      </c>
      <c r="M213" s="1822"/>
      <c r="N213" s="1822"/>
      <c r="O213" s="1822"/>
      <c r="P213" s="1822"/>
      <c r="Q213" s="1047"/>
      <c r="R213" s="1047"/>
      <c r="S213" s="1047"/>
      <c r="T213" s="2035">
        <f>IFERROR(HLOOKUP(B213,pp1p!$1:$3,3,0),0)+IFERROR(HLOOKUP(B213,pp3p1m!$1:$3,3,0),0)</f>
        <v>0</v>
      </c>
    </row>
    <row r="214" spans="1:20" ht="22.2" hidden="1" customHeight="1">
      <c r="A214" s="59"/>
      <c r="B214" s="1577" t="s">
        <v>224</v>
      </c>
      <c r="C214" s="64" t="str">
        <f t="shared" si="33"/>
        <v xml:space="preserve"> </v>
      </c>
      <c r="D214" s="1535">
        <v>42</v>
      </c>
      <c r="E214" s="1044" t="str">
        <f>VLOOKUP($B214,DG!A:D,DG!$B$2,)</f>
        <v>04.5142</v>
      </c>
      <c r="F214" s="1056" t="str">
        <f>VLOOKUP($B214,DG!A:D,DG!$C$2,)</f>
        <v>Cừ tràm 5m</v>
      </c>
      <c r="G214" s="1044" t="str">
        <f>VLOOKUP($B214,DG!A:D,DG!$D$2,)</f>
        <v>cây</v>
      </c>
      <c r="H214" s="1823">
        <f t="shared" ref="H214:N216" si="34">H$213*$D214</f>
        <v>0</v>
      </c>
      <c r="I214" s="1823">
        <f t="shared" si="34"/>
        <v>0</v>
      </c>
      <c r="J214" s="1823">
        <f t="shared" si="34"/>
        <v>0</v>
      </c>
      <c r="K214" s="1823">
        <f t="shared" si="34"/>
        <v>0</v>
      </c>
      <c r="L214" s="1823">
        <f t="shared" si="34"/>
        <v>0</v>
      </c>
      <c r="M214" s="1823">
        <f t="shared" si="34"/>
        <v>0</v>
      </c>
      <c r="N214" s="1823">
        <f t="shared" si="34"/>
        <v>0</v>
      </c>
      <c r="O214" s="1823"/>
      <c r="P214" s="1823"/>
      <c r="Q214" s="1053"/>
      <c r="R214" s="1053"/>
      <c r="S214" s="1053"/>
      <c r="T214" s="2035">
        <f t="shared" si="32"/>
        <v>0</v>
      </c>
    </row>
    <row r="215" spans="1:20" ht="22.2" hidden="1" customHeight="1">
      <c r="A215" s="59"/>
      <c r="B215" s="1577" t="s">
        <v>1578</v>
      </c>
      <c r="C215" s="64" t="str">
        <f t="shared" si="33"/>
        <v xml:space="preserve"> </v>
      </c>
      <c r="D215" s="1535">
        <v>2</v>
      </c>
      <c r="E215" s="1044" t="str">
        <f>VLOOKUP($B215,DG!A:D,DG!$B$2,)</f>
        <v>04.3801</v>
      </c>
      <c r="F215" s="1056" t="str">
        <f>VLOOKUP($B215,DG!A:D,DG!$C$2,)</f>
        <v>Đà cản BTCT 1,5m</v>
      </c>
      <c r="G215" s="1044" t="str">
        <f>VLOOKUP($B215,DG!A:D,DG!$D$2,)</f>
        <v>cái</v>
      </c>
      <c r="H215" s="1823">
        <f t="shared" si="34"/>
        <v>0</v>
      </c>
      <c r="I215" s="1823">
        <f t="shared" si="34"/>
        <v>0</v>
      </c>
      <c r="J215" s="1823">
        <f t="shared" si="34"/>
        <v>0</v>
      </c>
      <c r="K215" s="1823">
        <f t="shared" si="34"/>
        <v>0</v>
      </c>
      <c r="L215" s="1823">
        <f t="shared" si="34"/>
        <v>0</v>
      </c>
      <c r="M215" s="1823">
        <f t="shared" si="34"/>
        <v>0</v>
      </c>
      <c r="N215" s="1823">
        <f t="shared" si="34"/>
        <v>0</v>
      </c>
      <c r="O215" s="1823"/>
      <c r="P215" s="1823"/>
      <c r="Q215" s="1053"/>
      <c r="R215" s="1053"/>
      <c r="S215" s="1053"/>
      <c r="T215" s="2035">
        <f t="shared" si="32"/>
        <v>0</v>
      </c>
    </row>
    <row r="216" spans="1:20" ht="22.2" hidden="1" customHeight="1">
      <c r="A216" s="59"/>
      <c r="B216" s="1589" t="s">
        <v>416</v>
      </c>
      <c r="C216" s="64" t="str">
        <f t="shared" si="33"/>
        <v xml:space="preserve"> </v>
      </c>
      <c r="D216" s="1535">
        <v>1</v>
      </c>
      <c r="E216" s="1044"/>
      <c r="F216" s="1056" t="str">
        <f>VLOOKUP($B216,DG!A:D,DG!$C$2,)</f>
        <v>Boulon 22x800+ 2 long đền vuông D24-50x50x3/Zn</v>
      </c>
      <c r="G216" s="1044" t="str">
        <f>VLOOKUP($B216,DG!A:D,DG!$D$2,)</f>
        <v>bộ</v>
      </c>
      <c r="H216" s="1823">
        <f t="shared" si="34"/>
        <v>0</v>
      </c>
      <c r="I216" s="1823">
        <f t="shared" si="34"/>
        <v>0</v>
      </c>
      <c r="J216" s="1823">
        <f t="shared" si="34"/>
        <v>0</v>
      </c>
      <c r="K216" s="1823">
        <f t="shared" si="34"/>
        <v>0</v>
      </c>
      <c r="L216" s="1823">
        <f t="shared" si="34"/>
        <v>0</v>
      </c>
      <c r="M216" s="1823">
        <f t="shared" si="34"/>
        <v>0</v>
      </c>
      <c r="N216" s="1823">
        <f t="shared" si="34"/>
        <v>0</v>
      </c>
      <c r="O216" s="1823"/>
      <c r="P216" s="1823"/>
      <c r="Q216" s="1053"/>
      <c r="R216" s="1053"/>
      <c r="S216" s="1053"/>
      <c r="T216" s="2035">
        <f t="shared" si="32"/>
        <v>0</v>
      </c>
    </row>
    <row r="217" spans="1:20" ht="22.2" hidden="1" customHeight="1">
      <c r="A217" s="59"/>
      <c r="B217" s="1577" t="s">
        <v>639</v>
      </c>
      <c r="C217" s="64" t="str">
        <f t="shared" si="33"/>
        <v xml:space="preserve"> </v>
      </c>
      <c r="D217" s="1537">
        <v>2.2530000000000001</v>
      </c>
      <c r="E217" s="1044" t="str">
        <f>VLOOKUP($B217,DG!A:D,DG!$B$2,)</f>
        <v>03.1013</v>
      </c>
      <c r="F217" s="1049" t="str">
        <f>VLOOKUP($B217,DG!A:D,DG!$C$2,)</f>
        <v>Đào hố móng đất cấp 3 sâu &gt;1m</v>
      </c>
      <c r="G217" s="1044" t="str">
        <f>VLOOKUP($B217,DG!A:D,DG!$D$2,)</f>
        <v>m3</v>
      </c>
      <c r="H217" s="1823"/>
      <c r="I217" s="1823"/>
      <c r="J217" s="1823"/>
      <c r="K217" s="1823"/>
      <c r="L217" s="1823"/>
      <c r="M217" s="1823"/>
      <c r="N217" s="1823"/>
      <c r="O217" s="1823"/>
      <c r="P217" s="1823"/>
      <c r="Q217" s="1058"/>
      <c r="R217" s="1058"/>
      <c r="S217" s="1058"/>
      <c r="T217" s="2035">
        <f t="shared" si="32"/>
        <v>0</v>
      </c>
    </row>
    <row r="218" spans="1:20" ht="22.2" hidden="1" customHeight="1">
      <c r="A218" s="59"/>
      <c r="B218" s="1577" t="s">
        <v>21</v>
      </c>
      <c r="C218" s="64" t="str">
        <f t="shared" si="33"/>
        <v xml:space="preserve"> </v>
      </c>
      <c r="D218" s="1537">
        <v>2.48</v>
      </c>
      <c r="E218" s="1044" t="str">
        <f>VLOOKUP($B218,DG!A:D,DG!$B$2,)</f>
        <v>03.4113</v>
      </c>
      <c r="F218" s="1049" t="str">
        <f>VLOOKUP($B218,DG!A:D,DG!$C$2,)</f>
        <v>Đắp đất hố móng, độ chặt k=0,95</v>
      </c>
      <c r="G218" s="1044" t="str">
        <f>VLOOKUP($B218,DG!A:D,DG!$D$2,)</f>
        <v>m3</v>
      </c>
      <c r="H218" s="1823"/>
      <c r="I218" s="1823"/>
      <c r="J218" s="1823"/>
      <c r="K218" s="1823"/>
      <c r="L218" s="1823"/>
      <c r="M218" s="1823"/>
      <c r="N218" s="1823"/>
      <c r="O218" s="1823"/>
      <c r="P218" s="1823"/>
      <c r="Q218" s="1058"/>
      <c r="R218" s="1058"/>
      <c r="S218" s="1058"/>
      <c r="T218" s="2035">
        <f t="shared" si="32"/>
        <v>0</v>
      </c>
    </row>
    <row r="219" spans="1:20" ht="22.2" hidden="1" customHeight="1">
      <c r="A219" s="59"/>
      <c r="B219" s="1577" t="s">
        <v>1579</v>
      </c>
      <c r="C219" s="64" t="str">
        <f t="shared" si="33"/>
        <v xml:space="preserve"> </v>
      </c>
      <c r="D219" s="1534">
        <f>0.255*2</f>
        <v>0.51</v>
      </c>
      <c r="E219" s="1044" t="str">
        <f>VLOOKUP($B219,DG!A:D,DG!$B$2,)</f>
        <v>02.1123</v>
      </c>
      <c r="F219" s="1049" t="str">
        <f>VLOOKUP($B219,DG!A:D,DG!$C$2,)</f>
        <v>Bốc dỡ đà cản, đế néo</v>
      </c>
      <c r="G219" s="1044" t="str">
        <f>VLOOKUP($B219,DG!A:D,DG!$D$2,)</f>
        <v>tấn</v>
      </c>
      <c r="H219" s="1823"/>
      <c r="I219" s="1823"/>
      <c r="J219" s="1823"/>
      <c r="K219" s="1823"/>
      <c r="L219" s="1823"/>
      <c r="M219" s="1823"/>
      <c r="N219" s="1823"/>
      <c r="O219" s="1823"/>
      <c r="P219" s="1823"/>
      <c r="Q219" s="1053"/>
      <c r="R219" s="1053"/>
      <c r="S219" s="1053"/>
      <c r="T219" s="2035">
        <f t="shared" si="32"/>
        <v>0</v>
      </c>
    </row>
    <row r="220" spans="1:20" ht="22.2" hidden="1" customHeight="1">
      <c r="A220" s="59"/>
      <c r="B220" s="1577" t="s">
        <v>1580</v>
      </c>
      <c r="C220" s="64" t="str">
        <f t="shared" si="33"/>
        <v xml:space="preserve"> </v>
      </c>
      <c r="D220" s="1535">
        <f>D214</f>
        <v>42</v>
      </c>
      <c r="E220" s="1044" t="str">
        <f>VLOOKUP($B220,DG!A:D,DG!$B$2,)</f>
        <v>02.1119</v>
      </c>
      <c r="F220" s="1049" t="str">
        <f>VLOOKUP($B220,DG!A:D,DG!$C$2,)</f>
        <v>Bốc dỡ cừ tràm 5m</v>
      </c>
      <c r="G220" s="1044" t="str">
        <f>VLOOKUP($B220,DG!A:D,DG!$D$2,)</f>
        <v>cây</v>
      </c>
      <c r="H220" s="1823"/>
      <c r="I220" s="1823"/>
      <c r="J220" s="1823"/>
      <c r="K220" s="1823"/>
      <c r="L220" s="1823"/>
      <c r="M220" s="1823"/>
      <c r="N220" s="1823"/>
      <c r="O220" s="1823"/>
      <c r="P220" s="1823"/>
      <c r="Q220" s="1053"/>
      <c r="R220" s="1053"/>
      <c r="S220" s="1053"/>
      <c r="T220" s="2035">
        <f t="shared" si="32"/>
        <v>0</v>
      </c>
    </row>
    <row r="221" spans="1:20" ht="22.2" hidden="1" customHeight="1">
      <c r="A221" s="59"/>
      <c r="B221" s="1588" t="s">
        <v>2069</v>
      </c>
      <c r="C221" s="64" t="str">
        <f t="shared" si="33"/>
        <v xml:space="preserve"> </v>
      </c>
      <c r="D221" s="1534">
        <f>D219</f>
        <v>0.51</v>
      </c>
      <c r="E221" s="1044" t="str">
        <f>VLOOKUP($B221,DG!A:C,2,)</f>
        <v>02.1451</v>
      </c>
      <c r="F221" s="1049" t="str">
        <f>VLOOKUP($B221,DG!A:C,3,)</f>
        <v>V/c đà cản vào vị trí (cự ly &lt;=100m)</v>
      </c>
      <c r="G221" s="1044" t="str">
        <f>VLOOKUP($B221,DG!A:D,4,0)</f>
        <v>tấn</v>
      </c>
      <c r="H221" s="1823"/>
      <c r="I221" s="1823"/>
      <c r="J221" s="1823"/>
      <c r="K221" s="1823"/>
      <c r="L221" s="1823"/>
      <c r="M221" s="1823"/>
      <c r="N221" s="1823"/>
      <c r="O221" s="1823"/>
      <c r="P221" s="1823"/>
      <c r="Q221" s="1058"/>
      <c r="R221" s="1058"/>
      <c r="S221" s="1058"/>
      <c r="T221" s="2035">
        <f t="shared" si="32"/>
        <v>0</v>
      </c>
    </row>
    <row r="222" spans="1:20" ht="22.2" hidden="1" customHeight="1">
      <c r="A222" s="59"/>
      <c r="B222" s="1590" t="s">
        <v>634</v>
      </c>
      <c r="C222" s="64" t="str">
        <f t="shared" si="33"/>
        <v xml:space="preserve"> </v>
      </c>
      <c r="D222" s="1535">
        <f>D214</f>
        <v>42</v>
      </c>
      <c r="E222" s="1044" t="str">
        <f>VLOOKUP($B222,DG!A:C,2,)</f>
        <v>02.1411</v>
      </c>
      <c r="F222" s="1049" t="str">
        <f>VLOOKUP($B222,DG!A:C,3,)</f>
        <v>V/c cừ tràm 5m ( cự ly &lt;=100m)</v>
      </c>
      <c r="G222" s="1044" t="str">
        <f>VLOOKUP($B222,DG!A:D,4,0)</f>
        <v>cây</v>
      </c>
      <c r="H222" s="1823"/>
      <c r="I222" s="1823"/>
      <c r="J222" s="1823"/>
      <c r="K222" s="1823"/>
      <c r="L222" s="1823"/>
      <c r="M222" s="1823"/>
      <c r="N222" s="1823"/>
      <c r="O222" s="1823"/>
      <c r="P222" s="1823"/>
      <c r="Q222" s="1058"/>
      <c r="R222" s="1058"/>
      <c r="S222" s="1058"/>
      <c r="T222" s="2035">
        <f t="shared" si="32"/>
        <v>0</v>
      </c>
    </row>
    <row r="223" spans="1:20" ht="22.2" hidden="1" customHeight="1">
      <c r="A223" s="59"/>
      <c r="B223" s="1588" t="s">
        <v>635</v>
      </c>
      <c r="C223" s="64" t="str">
        <f t="shared" si="33"/>
        <v xml:space="preserve"> </v>
      </c>
      <c r="D223" s="1534">
        <v>0.2</v>
      </c>
      <c r="E223" s="1044" t="str">
        <f>VLOOKUP($B223,DG!A:C,2,)</f>
        <v>02.1482</v>
      </c>
      <c r="F223" s="1049" t="str">
        <f>VLOOKUP($B223,DG!A:C,3,)</f>
        <v>V/c dụng cụ thi công vào vị trí (cự ly &lt;=100m)</v>
      </c>
      <c r="G223" s="1044" t="str">
        <f>VLOOKUP($B223,DG!A:D,4,0)</f>
        <v>tấn</v>
      </c>
      <c r="H223" s="1823"/>
      <c r="I223" s="1823"/>
      <c r="J223" s="1823"/>
      <c r="K223" s="1823"/>
      <c r="L223" s="1823"/>
      <c r="M223" s="1823"/>
      <c r="N223" s="1823"/>
      <c r="O223" s="1823"/>
      <c r="P223" s="1823"/>
      <c r="Q223" s="1058"/>
      <c r="R223" s="1058"/>
      <c r="S223" s="1058"/>
      <c r="T223" s="2035">
        <f t="shared" si="32"/>
        <v>0</v>
      </c>
    </row>
    <row r="224" spans="1:20" ht="22.2" hidden="1" customHeight="1">
      <c r="A224" s="56" t="s">
        <v>832</v>
      </c>
      <c r="B224" s="1574" t="s">
        <v>832</v>
      </c>
      <c r="C224" s="62" t="str">
        <f t="shared" si="33"/>
        <v xml:space="preserve"> </v>
      </c>
      <c r="D224" s="1532"/>
      <c r="E224" s="1045"/>
      <c r="F224" s="1392" t="s">
        <v>2355</v>
      </c>
      <c r="G224" s="1046" t="s">
        <v>2333</v>
      </c>
      <c r="H224" s="1821">
        <f>SUM(I224:O224)</f>
        <v>0</v>
      </c>
      <c r="I224" s="1822"/>
      <c r="J224" s="1822"/>
      <c r="K224" s="1822">
        <f>IFERROR(HLOOKUP(B224,pp3p1m!$1:$3,3,0),0)</f>
        <v>0</v>
      </c>
      <c r="L224" s="1822">
        <f>IFERROR(HLOOKUP(chitiet!B224,pp1p!$1:$3,3,0),0)</f>
        <v>0</v>
      </c>
      <c r="M224" s="1822"/>
      <c r="N224" s="1822"/>
      <c r="O224" s="1822"/>
      <c r="P224" s="1822"/>
      <c r="Q224" s="1047"/>
      <c r="R224" s="1047"/>
      <c r="S224" s="1047"/>
      <c r="T224" s="2035">
        <f>IFERROR(HLOOKUP(B224,pp1p!$1:$3,3,0),0)+IFERROR(HLOOKUP(B224,pp3p1m!$1:$3,3,0),0)</f>
        <v>0</v>
      </c>
    </row>
    <row r="225" spans="1:20" ht="22.2" hidden="1" customHeight="1">
      <c r="A225" s="63"/>
      <c r="B225" s="1589" t="s">
        <v>636</v>
      </c>
      <c r="C225" s="64" t="str">
        <f t="shared" si="33"/>
        <v xml:space="preserve"> </v>
      </c>
      <c r="D225" s="1538">
        <v>2</v>
      </c>
      <c r="E225" s="1044" t="str">
        <f>VLOOKUP($B225,DG!A:D,DG!$B$2,)</f>
        <v>04.4001</v>
      </c>
      <c r="F225" s="1054" t="str">
        <f>VLOOKUP($B225,DG!A:D,DG!$C$2,)</f>
        <v>Đà cản BTCT 1,2m</v>
      </c>
      <c r="G225" s="1048" t="str">
        <f>VLOOKUP($B225,DG!A:D,DG!$D$2,)</f>
        <v>cái</v>
      </c>
      <c r="H225" s="1824">
        <f t="shared" ref="H225:N226" si="35">H$224*$D225</f>
        <v>0</v>
      </c>
      <c r="I225" s="1824">
        <f t="shared" si="35"/>
        <v>0</v>
      </c>
      <c r="J225" s="1824">
        <f t="shared" si="35"/>
        <v>0</v>
      </c>
      <c r="K225" s="1824">
        <f t="shared" si="35"/>
        <v>0</v>
      </c>
      <c r="L225" s="1824">
        <f t="shared" si="35"/>
        <v>0</v>
      </c>
      <c r="M225" s="1824">
        <f t="shared" si="35"/>
        <v>0</v>
      </c>
      <c r="N225" s="1824">
        <f t="shared" si="35"/>
        <v>0</v>
      </c>
      <c r="O225" s="1824"/>
      <c r="P225" s="1824"/>
      <c r="Q225" s="1052"/>
      <c r="R225" s="1052"/>
      <c r="S225" s="1052"/>
      <c r="T225" s="2035">
        <f t="shared" si="32"/>
        <v>0</v>
      </c>
    </row>
    <row r="226" spans="1:20" ht="22.2" hidden="1" customHeight="1">
      <c r="A226" s="63"/>
      <c r="B226" s="1589" t="s">
        <v>416</v>
      </c>
      <c r="C226" s="64" t="str">
        <f t="shared" si="33"/>
        <v xml:space="preserve"> </v>
      </c>
      <c r="D226" s="1538">
        <v>1</v>
      </c>
      <c r="E226" s="1048"/>
      <c r="F226" s="1054" t="str">
        <f>VLOOKUP($B226,DG!A:D,DG!$C$2,)</f>
        <v>Boulon 22x800+ 2 long đền vuông D24-50x50x3/Zn</v>
      </c>
      <c r="G226" s="1048" t="str">
        <f>VLOOKUP($B226,DG!A:D,DG!$D$2,)</f>
        <v>bộ</v>
      </c>
      <c r="H226" s="1824">
        <f t="shared" si="35"/>
        <v>0</v>
      </c>
      <c r="I226" s="1824">
        <f t="shared" si="35"/>
        <v>0</v>
      </c>
      <c r="J226" s="1824">
        <f t="shared" si="35"/>
        <v>0</v>
      </c>
      <c r="K226" s="1824">
        <f t="shared" si="35"/>
        <v>0</v>
      </c>
      <c r="L226" s="1824">
        <f t="shared" si="35"/>
        <v>0</v>
      </c>
      <c r="M226" s="1824">
        <f t="shared" si="35"/>
        <v>0</v>
      </c>
      <c r="N226" s="1824">
        <f t="shared" si="35"/>
        <v>0</v>
      </c>
      <c r="O226" s="1824"/>
      <c r="P226" s="1824"/>
      <c r="Q226" s="1052"/>
      <c r="R226" s="1052"/>
      <c r="S226" s="1052"/>
      <c r="T226" s="2035">
        <f t="shared" si="32"/>
        <v>0</v>
      </c>
    </row>
    <row r="227" spans="1:20" ht="22.2" hidden="1" customHeight="1">
      <c r="A227" s="59"/>
      <c r="B227" s="1577" t="s">
        <v>1816</v>
      </c>
      <c r="C227" s="64" t="str">
        <f t="shared" si="33"/>
        <v xml:space="preserve"> </v>
      </c>
      <c r="D227" s="1533">
        <v>0.2</v>
      </c>
      <c r="E227" s="1044">
        <f>VLOOKUP($B227,DG!A:D,DG!$B$2,)</f>
        <v>0</v>
      </c>
      <c r="F227" s="1049" t="str">
        <f>VLOOKUP($B227,DG!A:D,DG!$C$2,)</f>
        <v>Đá 2x4</v>
      </c>
      <c r="G227" s="1044" t="str">
        <f>VLOOKUP($B227,DG!A:D,DG!$D$2,)</f>
        <v>m3</v>
      </c>
      <c r="H227" s="1823">
        <f t="shared" ref="H227:N227" si="36">H$18*$D227</f>
        <v>0</v>
      </c>
      <c r="I227" s="1823">
        <f t="shared" si="36"/>
        <v>0</v>
      </c>
      <c r="J227" s="1823">
        <f t="shared" si="36"/>
        <v>0</v>
      </c>
      <c r="K227" s="1823">
        <f t="shared" si="36"/>
        <v>0</v>
      </c>
      <c r="L227" s="1823">
        <f t="shared" si="36"/>
        <v>0</v>
      </c>
      <c r="M227" s="1823">
        <f t="shared" si="36"/>
        <v>0</v>
      </c>
      <c r="N227" s="1823">
        <f t="shared" si="36"/>
        <v>0</v>
      </c>
      <c r="O227" s="1823"/>
      <c r="P227" s="1823"/>
      <c r="Q227" s="1053"/>
      <c r="R227" s="1053"/>
      <c r="S227" s="1053"/>
      <c r="T227" s="2035">
        <f t="shared" si="32"/>
        <v>0</v>
      </c>
    </row>
    <row r="228" spans="1:20" ht="22.2" hidden="1" customHeight="1">
      <c r="A228" s="63"/>
      <c r="B228" s="1589" t="s">
        <v>639</v>
      </c>
      <c r="C228" s="64" t="str">
        <f t="shared" si="33"/>
        <v xml:space="preserve"> </v>
      </c>
      <c r="D228" s="1537">
        <v>1.76</v>
      </c>
      <c r="E228" s="1048" t="str">
        <f>VLOOKUP($B228,DG!A:D,DG!$B$2,)</f>
        <v>03.1013</v>
      </c>
      <c r="F228" s="1049" t="str">
        <f>VLOOKUP($B228,DG!A:D,DG!$C$2,)</f>
        <v>Đào hố móng đất cấp 3 sâu &gt;1m</v>
      </c>
      <c r="G228" s="1048" t="str">
        <f>VLOOKUP($B228,DG!A:D,DG!$D$2,)</f>
        <v>m3</v>
      </c>
      <c r="H228" s="1824"/>
      <c r="I228" s="1824"/>
      <c r="J228" s="1824"/>
      <c r="K228" s="1824"/>
      <c r="L228" s="1824"/>
      <c r="M228" s="1824"/>
      <c r="N228" s="1824"/>
      <c r="O228" s="1824"/>
      <c r="P228" s="1824"/>
      <c r="Q228" s="1055"/>
      <c r="R228" s="1055"/>
      <c r="S228" s="1055"/>
      <c r="T228" s="2035">
        <f t="shared" si="32"/>
        <v>0</v>
      </c>
    </row>
    <row r="229" spans="1:20" ht="22.2" hidden="1" customHeight="1">
      <c r="A229" s="63"/>
      <c r="B229" s="1589" t="s">
        <v>21</v>
      </c>
      <c r="C229" s="64" t="str">
        <f t="shared" si="33"/>
        <v xml:space="preserve"> </v>
      </c>
      <c r="D229" s="1537">
        <v>1.94</v>
      </c>
      <c r="E229" s="1048" t="str">
        <f>VLOOKUP($B229,DG!A:D,DG!$B$2,)</f>
        <v>03.4113</v>
      </c>
      <c r="F229" s="1049" t="str">
        <f>VLOOKUP($B229,DG!A:D,DG!$C$2,)</f>
        <v>Đắp đất hố móng, độ chặt k=0,95</v>
      </c>
      <c r="G229" s="1048" t="str">
        <f>VLOOKUP($B229,DG!A:D,DG!$D$2,)</f>
        <v>m3</v>
      </c>
      <c r="H229" s="1824"/>
      <c r="I229" s="1824"/>
      <c r="J229" s="1824"/>
      <c r="K229" s="1824"/>
      <c r="L229" s="1824"/>
      <c r="M229" s="1824"/>
      <c r="N229" s="1824"/>
      <c r="O229" s="1824"/>
      <c r="P229" s="1824"/>
      <c r="Q229" s="1055"/>
      <c r="R229" s="1055"/>
      <c r="S229" s="1055"/>
      <c r="T229" s="2035">
        <f t="shared" si="32"/>
        <v>0</v>
      </c>
    </row>
    <row r="230" spans="1:20" ht="22.2" hidden="1" customHeight="1">
      <c r="A230" s="63"/>
      <c r="B230" s="1589" t="s">
        <v>637</v>
      </c>
      <c r="C230" s="64" t="str">
        <f t="shared" si="33"/>
        <v xml:space="preserve"> </v>
      </c>
      <c r="D230" s="1537">
        <f>0.1*2</f>
        <v>0.2</v>
      </c>
      <c r="E230" s="1048" t="str">
        <f>VLOOKUP($B230,DG!A:D,DG!$B$2,)</f>
        <v>02.1123</v>
      </c>
      <c r="F230" s="1049" t="str">
        <f>VLOOKUP($B230,DG!A:D,DG!$C$2,)</f>
        <v>Bốc dỡ đà cản, đế néo</v>
      </c>
      <c r="G230" s="1048" t="str">
        <f>VLOOKUP($B230,DG!A:D,DG!$D$2,)</f>
        <v>tấn</v>
      </c>
      <c r="H230" s="1824"/>
      <c r="I230" s="1824"/>
      <c r="J230" s="1824"/>
      <c r="K230" s="1824"/>
      <c r="L230" s="1824"/>
      <c r="M230" s="1824"/>
      <c r="N230" s="1824"/>
      <c r="O230" s="1824"/>
      <c r="P230" s="1824"/>
      <c r="Q230" s="1052"/>
      <c r="R230" s="1052"/>
      <c r="S230" s="1052"/>
      <c r="T230" s="2035">
        <f t="shared" si="32"/>
        <v>0</v>
      </c>
    </row>
    <row r="231" spans="1:20" ht="22.2" hidden="1" customHeight="1">
      <c r="A231" s="63"/>
      <c r="B231" s="1575" t="s">
        <v>2069</v>
      </c>
      <c r="C231" s="64" t="str">
        <f t="shared" si="33"/>
        <v xml:space="preserve"> </v>
      </c>
      <c r="D231" s="1537">
        <f>D230</f>
        <v>0.2</v>
      </c>
      <c r="E231" s="1048" t="str">
        <f>VLOOKUP($B231,DG!A:C,2,)</f>
        <v>02.1451</v>
      </c>
      <c r="F231" s="1049" t="str">
        <f>VLOOKUP($B231,DG!A:C,3,)</f>
        <v>V/c đà cản vào vị trí (cự ly &lt;=100m)</v>
      </c>
      <c r="G231" s="1048" t="str">
        <f>VLOOKUP($B231,DG!A:D,4,0)</f>
        <v>tấn</v>
      </c>
      <c r="H231" s="1824"/>
      <c r="I231" s="1824"/>
      <c r="J231" s="1824"/>
      <c r="K231" s="1824"/>
      <c r="L231" s="1824"/>
      <c r="M231" s="1824"/>
      <c r="N231" s="1824"/>
      <c r="O231" s="1824"/>
      <c r="P231" s="1824"/>
      <c r="Q231" s="1055"/>
      <c r="R231" s="1055"/>
      <c r="S231" s="1055"/>
      <c r="T231" s="2035">
        <f t="shared" si="32"/>
        <v>0</v>
      </c>
    </row>
    <row r="232" spans="1:20" ht="22.2" hidden="1" customHeight="1">
      <c r="A232" s="59"/>
      <c r="B232" s="1588" t="s">
        <v>674</v>
      </c>
      <c r="C232" s="64" t="str">
        <f t="shared" si="33"/>
        <v xml:space="preserve"> </v>
      </c>
      <c r="D232" s="1533">
        <f>D227</f>
        <v>0.2</v>
      </c>
      <c r="E232" s="1044" t="str">
        <f>VLOOKUP($B232,DG!A:C,2,)</f>
        <v>02.1241</v>
      </c>
      <c r="F232" s="1049" t="str">
        <f>VLOOKUP($B232,DG!A:C,3,)</f>
        <v>V/c đá dăm ( cự ly &lt;=100m)</v>
      </c>
      <c r="G232" s="1044" t="str">
        <f>VLOOKUP($B232,DG!A:D,4,0)</f>
        <v>m3</v>
      </c>
      <c r="H232" s="1823"/>
      <c r="I232" s="1823"/>
      <c r="J232" s="1823"/>
      <c r="K232" s="1823"/>
      <c r="L232" s="1823"/>
      <c r="M232" s="1823"/>
      <c r="N232" s="1823"/>
      <c r="O232" s="1823"/>
      <c r="P232" s="1823"/>
      <c r="Q232" s="1058"/>
      <c r="R232" s="1058"/>
      <c r="S232" s="1058"/>
      <c r="T232" s="2035">
        <f t="shared" si="32"/>
        <v>0</v>
      </c>
    </row>
    <row r="233" spans="1:20" ht="22.2" hidden="1" customHeight="1">
      <c r="A233" s="63"/>
      <c r="B233" s="1575" t="s">
        <v>635</v>
      </c>
      <c r="C233" s="64" t="str">
        <f t="shared" si="33"/>
        <v xml:space="preserve"> </v>
      </c>
      <c r="D233" s="1537">
        <v>0.2</v>
      </c>
      <c r="E233" s="1048" t="str">
        <f>VLOOKUP($B233,DG!A:C,2,)</f>
        <v>02.1482</v>
      </c>
      <c r="F233" s="1049" t="str">
        <f>VLOOKUP($B233,DG!A:C,3,)</f>
        <v>V/c dụng cụ thi công vào vị trí (cự ly &lt;=100m)</v>
      </c>
      <c r="G233" s="1048" t="str">
        <f>VLOOKUP($B233,DG!A:D,4,0)</f>
        <v>tấn</v>
      </c>
      <c r="H233" s="1824"/>
      <c r="I233" s="1824"/>
      <c r="J233" s="1824"/>
      <c r="K233" s="1824"/>
      <c r="L233" s="1824"/>
      <c r="M233" s="1824"/>
      <c r="N233" s="1824"/>
      <c r="O233" s="1824"/>
      <c r="P233" s="1824"/>
      <c r="Q233" s="1055"/>
      <c r="R233" s="1055"/>
      <c r="S233" s="1055"/>
      <c r="T233" s="2035">
        <f t="shared" si="32"/>
        <v>0</v>
      </c>
    </row>
    <row r="234" spans="1:20" ht="22.2" hidden="1" customHeight="1">
      <c r="A234" s="56" t="s">
        <v>760</v>
      </c>
      <c r="B234" s="1574" t="s">
        <v>760</v>
      </c>
      <c r="C234" s="62" t="str">
        <f t="shared" si="33"/>
        <v xml:space="preserve"> </v>
      </c>
      <c r="D234" s="1532"/>
      <c r="E234" s="1045"/>
      <c r="F234" s="1392" t="s">
        <v>2356</v>
      </c>
      <c r="G234" s="1046" t="s">
        <v>2333</v>
      </c>
      <c r="H234" s="1821">
        <f>SUM(I234:O234)</f>
        <v>0</v>
      </c>
      <c r="I234" s="1822"/>
      <c r="J234" s="1822"/>
      <c r="K234" s="1822">
        <f>IFERROR(HLOOKUP(B234,pp3p1m!$1:$3,3,0),0)</f>
        <v>0</v>
      </c>
      <c r="L234" s="1822">
        <f>IFERROR(HLOOKUP(chitiet!B234,pp1p!$1:$3,3,0),0)</f>
        <v>0</v>
      </c>
      <c r="M234" s="1822"/>
      <c r="N234" s="1822"/>
      <c r="O234" s="1822"/>
      <c r="P234" s="1822"/>
      <c r="Q234" s="1047"/>
      <c r="R234" s="1047"/>
      <c r="S234" s="1047"/>
      <c r="T234" s="2035">
        <f>IFERROR(HLOOKUP(B234,pp1p!$1:$3,3,0),0)+IFERROR(HLOOKUP(B234,pp3p1m!$1:$3,3,0),0)</f>
        <v>0</v>
      </c>
    </row>
    <row r="235" spans="1:20" ht="22.2" hidden="1" customHeight="1">
      <c r="A235" s="63"/>
      <c r="B235" s="1589" t="s">
        <v>1578</v>
      </c>
      <c r="C235" s="64" t="str">
        <f t="shared" si="33"/>
        <v xml:space="preserve"> </v>
      </c>
      <c r="D235" s="1538">
        <v>2</v>
      </c>
      <c r="E235" s="1044" t="str">
        <f>VLOOKUP($B235,DG!A:D,DG!$B$2,)</f>
        <v>04.3801</v>
      </c>
      <c r="F235" s="1054" t="str">
        <f>VLOOKUP($B235,DG!A:D,DG!$C$2,)</f>
        <v>Đà cản BTCT 1,5m</v>
      </c>
      <c r="G235" s="1048" t="str">
        <f>VLOOKUP($B235,DG!A:D,DG!$D$2,)</f>
        <v>cái</v>
      </c>
      <c r="H235" s="1824">
        <f t="shared" ref="H235:N236" si="37">H$234*$D235</f>
        <v>0</v>
      </c>
      <c r="I235" s="1824">
        <f t="shared" si="37"/>
        <v>0</v>
      </c>
      <c r="J235" s="1824">
        <f t="shared" si="37"/>
        <v>0</v>
      </c>
      <c r="K235" s="1824">
        <f t="shared" si="37"/>
        <v>0</v>
      </c>
      <c r="L235" s="1824">
        <f t="shared" si="37"/>
        <v>0</v>
      </c>
      <c r="M235" s="1824">
        <f t="shared" si="37"/>
        <v>0</v>
      </c>
      <c r="N235" s="1824">
        <f t="shared" si="37"/>
        <v>0</v>
      </c>
      <c r="O235" s="1824"/>
      <c r="P235" s="1824"/>
      <c r="Q235" s="1052"/>
      <c r="R235" s="1052"/>
      <c r="S235" s="1052"/>
      <c r="T235" s="2035">
        <f t="shared" si="32"/>
        <v>0</v>
      </c>
    </row>
    <row r="236" spans="1:20" ht="22.2" hidden="1" customHeight="1">
      <c r="A236" s="63"/>
      <c r="B236" s="1589" t="s">
        <v>416</v>
      </c>
      <c r="C236" s="64" t="str">
        <f t="shared" si="33"/>
        <v xml:space="preserve"> </v>
      </c>
      <c r="D236" s="1538">
        <v>1</v>
      </c>
      <c r="E236" s="1048"/>
      <c r="F236" s="1054" t="str">
        <f>VLOOKUP($B236,DG!A:D,DG!$C$2,)</f>
        <v>Boulon 22x800+ 2 long đền vuông D24-50x50x3/Zn</v>
      </c>
      <c r="G236" s="1048" t="str">
        <f>VLOOKUP($B236,DG!A:D,DG!$D$2,)</f>
        <v>bộ</v>
      </c>
      <c r="H236" s="1824">
        <f t="shared" si="37"/>
        <v>0</v>
      </c>
      <c r="I236" s="1824">
        <f t="shared" si="37"/>
        <v>0</v>
      </c>
      <c r="J236" s="1824">
        <f t="shared" si="37"/>
        <v>0</v>
      </c>
      <c r="K236" s="1824">
        <f t="shared" si="37"/>
        <v>0</v>
      </c>
      <c r="L236" s="1824">
        <f t="shared" si="37"/>
        <v>0</v>
      </c>
      <c r="M236" s="1824">
        <f t="shared" si="37"/>
        <v>0</v>
      </c>
      <c r="N236" s="1824">
        <f t="shared" si="37"/>
        <v>0</v>
      </c>
      <c r="O236" s="1824"/>
      <c r="P236" s="1824"/>
      <c r="Q236" s="1052"/>
      <c r="R236" s="1052"/>
      <c r="S236" s="1052"/>
      <c r="T236" s="2035">
        <f t="shared" si="32"/>
        <v>0</v>
      </c>
    </row>
    <row r="237" spans="1:20" ht="22.2" hidden="1" customHeight="1">
      <c r="A237" s="59"/>
      <c r="B237" s="1577" t="s">
        <v>1816</v>
      </c>
      <c r="C237" s="64" t="str">
        <f t="shared" si="33"/>
        <v xml:space="preserve"> </v>
      </c>
      <c r="D237" s="1533">
        <v>0.2</v>
      </c>
      <c r="E237" s="1044">
        <f>VLOOKUP($B237,DG!A:D,DG!$B$2,)</f>
        <v>0</v>
      </c>
      <c r="F237" s="1049" t="str">
        <f>VLOOKUP($B237,DG!A:D,DG!$C$2,)</f>
        <v>Đá 2x4</v>
      </c>
      <c r="G237" s="1044" t="str">
        <f>VLOOKUP($B237,DG!A:D,DG!$D$2,)</f>
        <v>m3</v>
      </c>
      <c r="H237" s="1823">
        <f t="shared" ref="H237:N237" si="38">H$18*$D237</f>
        <v>0</v>
      </c>
      <c r="I237" s="1823">
        <f t="shared" si="38"/>
        <v>0</v>
      </c>
      <c r="J237" s="1823">
        <f t="shared" si="38"/>
        <v>0</v>
      </c>
      <c r="K237" s="1823">
        <f t="shared" si="38"/>
        <v>0</v>
      </c>
      <c r="L237" s="1823">
        <f t="shared" si="38"/>
        <v>0</v>
      </c>
      <c r="M237" s="1823">
        <f t="shared" si="38"/>
        <v>0</v>
      </c>
      <c r="N237" s="1823">
        <f t="shared" si="38"/>
        <v>0</v>
      </c>
      <c r="O237" s="1823"/>
      <c r="P237" s="1823"/>
      <c r="Q237" s="1053"/>
      <c r="R237" s="1053"/>
      <c r="S237" s="1053"/>
      <c r="T237" s="2035">
        <f t="shared" si="32"/>
        <v>0</v>
      </c>
    </row>
    <row r="238" spans="1:20" ht="22.2" hidden="1" customHeight="1">
      <c r="A238" s="63"/>
      <c r="B238" s="1589" t="s">
        <v>639</v>
      </c>
      <c r="C238" s="64" t="str">
        <f t="shared" si="33"/>
        <v xml:space="preserve"> </v>
      </c>
      <c r="D238" s="1537">
        <v>2.2530000000000001</v>
      </c>
      <c r="E238" s="1048" t="str">
        <f>VLOOKUP($B238,DG!A:D,DG!$B$2,)</f>
        <v>03.1013</v>
      </c>
      <c r="F238" s="1049" t="str">
        <f>VLOOKUP($B238,DG!A:D,DG!$C$2,)</f>
        <v>Đào hố móng đất cấp 3 sâu &gt;1m</v>
      </c>
      <c r="G238" s="1048" t="str">
        <f>VLOOKUP($B238,DG!A:D,DG!$D$2,)</f>
        <v>m3</v>
      </c>
      <c r="H238" s="1824"/>
      <c r="I238" s="1824"/>
      <c r="J238" s="1824"/>
      <c r="K238" s="1824"/>
      <c r="L238" s="1824"/>
      <c r="M238" s="1824"/>
      <c r="N238" s="1824"/>
      <c r="O238" s="1824"/>
      <c r="P238" s="1824"/>
      <c r="Q238" s="1055"/>
      <c r="R238" s="1055"/>
      <c r="S238" s="1055"/>
      <c r="T238" s="2035">
        <f t="shared" si="32"/>
        <v>0</v>
      </c>
    </row>
    <row r="239" spans="1:20" ht="22.2" hidden="1" customHeight="1">
      <c r="A239" s="63"/>
      <c r="B239" s="1589" t="s">
        <v>21</v>
      </c>
      <c r="C239" s="64" t="str">
        <f t="shared" si="33"/>
        <v xml:space="preserve"> </v>
      </c>
      <c r="D239" s="1537">
        <v>2.48</v>
      </c>
      <c r="E239" s="1048" t="str">
        <f>VLOOKUP($B239,DG!A:D,DG!$B$2,)</f>
        <v>03.4113</v>
      </c>
      <c r="F239" s="1049" t="str">
        <f>VLOOKUP($B239,DG!A:D,DG!$C$2,)</f>
        <v>Đắp đất hố móng, độ chặt k=0,95</v>
      </c>
      <c r="G239" s="1048" t="str">
        <f>VLOOKUP($B239,DG!A:D,DG!$D$2,)</f>
        <v>m3</v>
      </c>
      <c r="H239" s="1824"/>
      <c r="I239" s="1824"/>
      <c r="J239" s="1824"/>
      <c r="K239" s="1824"/>
      <c r="L239" s="1824"/>
      <c r="M239" s="1824"/>
      <c r="N239" s="1824"/>
      <c r="O239" s="1824"/>
      <c r="P239" s="1824"/>
      <c r="Q239" s="1055"/>
      <c r="R239" s="1055"/>
      <c r="S239" s="1055"/>
      <c r="T239" s="2035">
        <f t="shared" si="32"/>
        <v>0</v>
      </c>
    </row>
    <row r="240" spans="1:20" ht="22.2" hidden="1" customHeight="1">
      <c r="A240" s="63"/>
      <c r="B240" s="1589" t="s">
        <v>637</v>
      </c>
      <c r="C240" s="64" t="str">
        <f t="shared" si="33"/>
        <v xml:space="preserve"> </v>
      </c>
      <c r="D240" s="1537">
        <f>0.1*2</f>
        <v>0.2</v>
      </c>
      <c r="E240" s="1048" t="str">
        <f>VLOOKUP($B240,DG!A:D,DG!$B$2,)</f>
        <v>02.1123</v>
      </c>
      <c r="F240" s="1049" t="str">
        <f>VLOOKUP($B240,DG!A:D,DG!$C$2,)</f>
        <v>Bốc dỡ đà cản, đế néo</v>
      </c>
      <c r="G240" s="1048" t="str">
        <f>VLOOKUP($B240,DG!A:D,DG!$D$2,)</f>
        <v>tấn</v>
      </c>
      <c r="H240" s="1824"/>
      <c r="I240" s="1824"/>
      <c r="J240" s="1824"/>
      <c r="K240" s="1824"/>
      <c r="L240" s="1824"/>
      <c r="M240" s="1824"/>
      <c r="N240" s="1824"/>
      <c r="O240" s="1824"/>
      <c r="P240" s="1824"/>
      <c r="Q240" s="1052"/>
      <c r="R240" s="1052"/>
      <c r="S240" s="1052"/>
      <c r="T240" s="2035">
        <f t="shared" si="32"/>
        <v>0</v>
      </c>
    </row>
    <row r="241" spans="1:20" ht="22.2" hidden="1" customHeight="1">
      <c r="A241" s="63"/>
      <c r="B241" s="1575" t="s">
        <v>2069</v>
      </c>
      <c r="C241" s="64" t="str">
        <f t="shared" si="33"/>
        <v xml:space="preserve"> </v>
      </c>
      <c r="D241" s="1537">
        <f>D240</f>
        <v>0.2</v>
      </c>
      <c r="E241" s="1048" t="str">
        <f>VLOOKUP($B241,DG!A:C,2,)</f>
        <v>02.1451</v>
      </c>
      <c r="F241" s="1049" t="str">
        <f>VLOOKUP($B241,DG!A:C,3,)</f>
        <v>V/c đà cản vào vị trí (cự ly &lt;=100m)</v>
      </c>
      <c r="G241" s="1048" t="str">
        <f>VLOOKUP($B241,DG!A:D,4,0)</f>
        <v>tấn</v>
      </c>
      <c r="H241" s="1824"/>
      <c r="I241" s="1824"/>
      <c r="J241" s="1824"/>
      <c r="K241" s="1824"/>
      <c r="L241" s="1824"/>
      <c r="M241" s="1824"/>
      <c r="N241" s="1824"/>
      <c r="O241" s="1824"/>
      <c r="P241" s="1824"/>
      <c r="Q241" s="1055"/>
      <c r="R241" s="1055"/>
      <c r="S241" s="1055"/>
      <c r="T241" s="2035">
        <f t="shared" si="32"/>
        <v>0</v>
      </c>
    </row>
    <row r="242" spans="1:20" ht="22.2" hidden="1" customHeight="1">
      <c r="A242" s="59"/>
      <c r="B242" s="1588" t="s">
        <v>674</v>
      </c>
      <c r="C242" s="64" t="str">
        <f t="shared" si="33"/>
        <v xml:space="preserve"> </v>
      </c>
      <c r="D242" s="1533">
        <f>D237</f>
        <v>0.2</v>
      </c>
      <c r="E242" s="1044" t="str">
        <f>VLOOKUP($B242,DG!A:C,2,)</f>
        <v>02.1241</v>
      </c>
      <c r="F242" s="1049" t="str">
        <f>VLOOKUP($B242,DG!A:C,3,)</f>
        <v>V/c đá dăm ( cự ly &lt;=100m)</v>
      </c>
      <c r="G242" s="1044" t="str">
        <f>VLOOKUP($B242,DG!A:D,4,0)</f>
        <v>m3</v>
      </c>
      <c r="H242" s="1823"/>
      <c r="I242" s="1823"/>
      <c r="J242" s="1823"/>
      <c r="K242" s="1823"/>
      <c r="L242" s="1823"/>
      <c r="M242" s="1823"/>
      <c r="N242" s="1823"/>
      <c r="O242" s="1823"/>
      <c r="P242" s="1823"/>
      <c r="Q242" s="1058"/>
      <c r="R242" s="1058"/>
      <c r="S242" s="1058"/>
      <c r="T242" s="2035">
        <f t="shared" si="32"/>
        <v>0</v>
      </c>
    </row>
    <row r="243" spans="1:20" ht="22.2" hidden="1" customHeight="1">
      <c r="A243" s="63"/>
      <c r="B243" s="1575" t="s">
        <v>635</v>
      </c>
      <c r="C243" s="64" t="str">
        <f t="shared" si="33"/>
        <v xml:space="preserve"> </v>
      </c>
      <c r="D243" s="1537">
        <v>0.2</v>
      </c>
      <c r="E243" s="1048" t="str">
        <f>VLOOKUP($B243,DG!A:C,2,)</f>
        <v>02.1482</v>
      </c>
      <c r="F243" s="1049" t="str">
        <f>VLOOKUP($B243,DG!A:C,3,)</f>
        <v>V/c dụng cụ thi công vào vị trí (cự ly &lt;=100m)</v>
      </c>
      <c r="G243" s="1048" t="str">
        <f>VLOOKUP($B243,DG!A:D,4,0)</f>
        <v>tấn</v>
      </c>
      <c r="H243" s="1824"/>
      <c r="I243" s="1824"/>
      <c r="J243" s="1824"/>
      <c r="K243" s="1824"/>
      <c r="L243" s="1824"/>
      <c r="M243" s="1824"/>
      <c r="N243" s="1824"/>
      <c r="O243" s="1824"/>
      <c r="P243" s="1824"/>
      <c r="Q243" s="1055"/>
      <c r="R243" s="1055"/>
      <c r="S243" s="1055"/>
      <c r="T243" s="2035">
        <f t="shared" si="32"/>
        <v>0</v>
      </c>
    </row>
    <row r="244" spans="1:20" ht="22.2" customHeight="1">
      <c r="A244" s="1572" t="s">
        <v>219</v>
      </c>
      <c r="B244" s="1574" t="s">
        <v>219</v>
      </c>
      <c r="C244" s="1018" t="str">
        <f t="shared" si="33"/>
        <v>x</v>
      </c>
      <c r="D244" s="1532"/>
      <c r="E244" s="1045"/>
      <c r="F244" s="1392" t="s">
        <v>2357</v>
      </c>
      <c r="G244" s="1046" t="s">
        <v>2333</v>
      </c>
      <c r="H244" s="1821">
        <f>SUM(I244:O244)</f>
        <v>1</v>
      </c>
      <c r="I244" s="1822"/>
      <c r="J244" s="1822"/>
      <c r="K244" s="1822">
        <f>IFERROR(HLOOKUP(B244,pp3p1m!$1:$3,3,0),0)</f>
        <v>1</v>
      </c>
      <c r="L244" s="1822">
        <f>IFERROR(HLOOKUP(chitiet!B244,pp1p!$1:$3,3,0),0)</f>
        <v>0</v>
      </c>
      <c r="M244" s="1822"/>
      <c r="N244" s="1822"/>
      <c r="O244" s="1822"/>
      <c r="P244" s="1821">
        <f>H244+Q244-R244</f>
        <v>1</v>
      </c>
      <c r="Q244" s="1047"/>
      <c r="R244" s="1047"/>
      <c r="S244" s="1047"/>
      <c r="T244" s="2035">
        <f>IFERROR(HLOOKUP(B244,pp1p!$1:$3,3,0),0)+IFERROR(HLOOKUP(B244,pp3p1m!$1:$3,3,0),0)</f>
        <v>1</v>
      </c>
    </row>
    <row r="245" spans="1:20" ht="22.2" customHeight="1">
      <c r="A245" s="1573"/>
      <c r="B245" s="1571" t="s">
        <v>639</v>
      </c>
      <c r="C245" s="1018" t="str">
        <f t="shared" si="33"/>
        <v>x</v>
      </c>
      <c r="D245" s="1536">
        <v>0.28799999999999998</v>
      </c>
      <c r="E245" s="1048"/>
      <c r="F245" s="1049" t="str">
        <f>VLOOKUP($B245,DG!A:D,DG!$C$2,)</f>
        <v>Đào hố móng đất cấp 3 sâu &gt;1m</v>
      </c>
      <c r="G245" s="1048" t="str">
        <f>VLOOKUP($B245,DG!A:D,DG!$D$2,)</f>
        <v>m3</v>
      </c>
      <c r="H245" s="1824">
        <f t="shared" ref="H245:N245" si="39">H$244*$D245</f>
        <v>0.28799999999999998</v>
      </c>
      <c r="I245" s="1824">
        <f t="shared" si="39"/>
        <v>0</v>
      </c>
      <c r="J245" s="1824">
        <f t="shared" si="39"/>
        <v>0</v>
      </c>
      <c r="K245" s="1824">
        <f t="shared" si="39"/>
        <v>0.28799999999999998</v>
      </c>
      <c r="L245" s="1824">
        <f t="shared" si="39"/>
        <v>0</v>
      </c>
      <c r="M245" s="1824">
        <f t="shared" si="39"/>
        <v>0</v>
      </c>
      <c r="N245" s="1824">
        <f t="shared" si="39"/>
        <v>0</v>
      </c>
      <c r="O245" s="1824"/>
      <c r="P245" s="1824">
        <f>$P$244*D245</f>
        <v>0.28799999999999998</v>
      </c>
      <c r="Q245" s="1051">
        <f>$Q$244*D245</f>
        <v>0</v>
      </c>
      <c r="R245" s="1050">
        <f>$R$244*D245</f>
        <v>0</v>
      </c>
      <c r="S245" s="1052"/>
      <c r="T245" s="2035">
        <f t="shared" si="32"/>
        <v>0</v>
      </c>
    </row>
    <row r="246" spans="1:20" ht="22.2" customHeight="1">
      <c r="B246" s="1571" t="s">
        <v>21</v>
      </c>
      <c r="C246" s="1018" t="str">
        <f t="shared" si="33"/>
        <v>x</v>
      </c>
      <c r="D246" s="1536">
        <v>0.115</v>
      </c>
      <c r="E246" s="1044" t="str">
        <f>VLOOKUP($B246,DG!A:D,DG!$B$2,)</f>
        <v>03.4113</v>
      </c>
      <c r="F246" s="1049" t="str">
        <f>VLOOKUP($B246,DG!A:D,DG!$C$2,)</f>
        <v>Đắp đất hố móng, độ chặt k=0,95</v>
      </c>
      <c r="G246" s="1044" t="str">
        <f>VLOOKUP($B246,DG!A:D,DG!$D$2,)</f>
        <v>m3</v>
      </c>
      <c r="H246" s="1824">
        <f>H$244*$D246</f>
        <v>0.115</v>
      </c>
      <c r="I246" s="1823">
        <f t="shared" ref="I246:N246" si="40">I$18*$D246</f>
        <v>0</v>
      </c>
      <c r="J246" s="1823">
        <f t="shared" si="40"/>
        <v>0</v>
      </c>
      <c r="K246" s="1823">
        <f t="shared" si="40"/>
        <v>0</v>
      </c>
      <c r="L246" s="1823">
        <f t="shared" si="40"/>
        <v>0</v>
      </c>
      <c r="M246" s="1823">
        <f t="shared" si="40"/>
        <v>0</v>
      </c>
      <c r="N246" s="1823">
        <f t="shared" si="40"/>
        <v>0</v>
      </c>
      <c r="O246" s="1823"/>
      <c r="P246" s="1824">
        <f>$P$244*D246</f>
        <v>0.115</v>
      </c>
      <c r="Q246" s="1051">
        <f>$Q$244*D246</f>
        <v>0</v>
      </c>
      <c r="R246" s="1050">
        <f>$R$244*D246</f>
        <v>0</v>
      </c>
      <c r="S246" s="1053"/>
      <c r="T246" s="2035">
        <f t="shared" si="32"/>
        <v>0</v>
      </c>
    </row>
    <row r="247" spans="1:20" ht="22.2" hidden="1" customHeight="1">
      <c r="A247" s="63"/>
      <c r="B247" s="1575" t="s">
        <v>635</v>
      </c>
      <c r="C247" s="64" t="str">
        <f t="shared" si="33"/>
        <v xml:space="preserve"> </v>
      </c>
      <c r="D247" s="1537"/>
      <c r="E247" s="1048" t="str">
        <f>VLOOKUP($B247,DG!A:C,2,)</f>
        <v>02.1482</v>
      </c>
      <c r="F247" s="1049" t="str">
        <f>VLOOKUP($B247,DG!A:C,3,)</f>
        <v>V/c dụng cụ thi công vào vị trí (cự ly &lt;=100m)</v>
      </c>
      <c r="G247" s="1048" t="str">
        <f>VLOOKUP($B247,DG!A:D,4,0)</f>
        <v>tấn</v>
      </c>
      <c r="H247" s="1824"/>
      <c r="I247" s="1824"/>
      <c r="J247" s="1824"/>
      <c r="K247" s="1824"/>
      <c r="L247" s="1824"/>
      <c r="M247" s="1824"/>
      <c r="N247" s="1824"/>
      <c r="O247" s="1824"/>
      <c r="P247" s="1824"/>
      <c r="Q247" s="1055"/>
      <c r="R247" s="1055"/>
      <c r="S247" s="1055"/>
      <c r="T247" s="2035">
        <f t="shared" si="32"/>
        <v>0</v>
      </c>
    </row>
    <row r="248" spans="1:20" ht="22.2" hidden="1" customHeight="1">
      <c r="A248" s="56" t="s">
        <v>303</v>
      </c>
      <c r="B248" s="1574" t="s">
        <v>303</v>
      </c>
      <c r="C248" s="62" t="str">
        <f t="shared" si="33"/>
        <v xml:space="preserve"> </v>
      </c>
      <c r="D248" s="1532"/>
      <c r="E248" s="1045"/>
      <c r="F248" s="1392" t="s">
        <v>2358</v>
      </c>
      <c r="G248" s="1046" t="s">
        <v>2333</v>
      </c>
      <c r="H248" s="1821">
        <f>SUM(I248:O248)</f>
        <v>0</v>
      </c>
      <c r="I248" s="1822"/>
      <c r="J248" s="1822"/>
      <c r="K248" s="1822">
        <f>IFERROR(HLOOKUP(B248,pp3p1m!$1:$3,3,0),0)</f>
        <v>0</v>
      </c>
      <c r="L248" s="1822">
        <f>IFERROR(HLOOKUP(chitiet!B248,pp1p!$1:$3,3,0),0)</f>
        <v>0</v>
      </c>
      <c r="M248" s="1822"/>
      <c r="N248" s="1822"/>
      <c r="O248" s="1822"/>
      <c r="P248" s="1821">
        <f>H248+Q248-R248</f>
        <v>0</v>
      </c>
      <c r="Q248" s="1047"/>
      <c r="R248" s="1047"/>
      <c r="S248" s="1047"/>
      <c r="T248" s="2035">
        <f>IFERROR(HLOOKUP(B248,pp1p!$1:$3,3,0),0)+IFERROR(HLOOKUP(B248,pp3p1m!$1:$3,3,0),0)</f>
        <v>0</v>
      </c>
    </row>
    <row r="249" spans="1:20" ht="22.2" hidden="1" customHeight="1">
      <c r="A249" s="63"/>
      <c r="B249" s="1589" t="s">
        <v>636</v>
      </c>
      <c r="C249" s="64" t="str">
        <f t="shared" si="33"/>
        <v xml:space="preserve"> </v>
      </c>
      <c r="D249" s="1538">
        <v>1</v>
      </c>
      <c r="E249" s="1044" t="str">
        <f>VLOOKUP($B249,DG!A:D,DG!$B$2,)</f>
        <v>04.4001</v>
      </c>
      <c r="F249" s="1054" t="str">
        <f>VLOOKUP($B249,DG!A:D,DG!$C$2,)</f>
        <v>Đà cản BTCT 1,2m</v>
      </c>
      <c r="G249" s="1048" t="str">
        <f>VLOOKUP($B249,DG!A:D,DG!$D$2,)</f>
        <v>cái</v>
      </c>
      <c r="H249" s="1824">
        <f>H$248*$D249</f>
        <v>0</v>
      </c>
      <c r="I249" s="1824">
        <f>I$244*$D249</f>
        <v>0</v>
      </c>
      <c r="J249" s="1824">
        <f>J$244*$D249</f>
        <v>0</v>
      </c>
      <c r="K249" s="1824">
        <f>K$248*$D249</f>
        <v>0</v>
      </c>
      <c r="L249" s="1824">
        <f>L$248*$D249</f>
        <v>0</v>
      </c>
      <c r="M249" s="1824">
        <f t="shared" ref="M249:O250" si="41">M$244*$D249</f>
        <v>0</v>
      </c>
      <c r="N249" s="1824">
        <f t="shared" si="41"/>
        <v>0</v>
      </c>
      <c r="O249" s="1824">
        <f t="shared" si="41"/>
        <v>0</v>
      </c>
      <c r="P249" s="1823">
        <f>$P$248*D249</f>
        <v>0</v>
      </c>
      <c r="Q249" s="1052"/>
      <c r="R249" s="1052"/>
      <c r="S249" s="1052"/>
      <c r="T249" s="2035">
        <f t="shared" si="32"/>
        <v>0</v>
      </c>
    </row>
    <row r="250" spans="1:20" ht="22.2" hidden="1" customHeight="1">
      <c r="A250" s="63"/>
      <c r="B250" s="1589" t="s">
        <v>1814</v>
      </c>
      <c r="C250" s="64" t="str">
        <f t="shared" si="33"/>
        <v xml:space="preserve"> </v>
      </c>
      <c r="D250" s="1538">
        <v>1</v>
      </c>
      <c r="E250" s="1048"/>
      <c r="F250" s="1054" t="str">
        <f>VLOOKUP($B250,DG!A:D,DG!$C$2,)</f>
        <v>Boulon 22x600+ 2 long đền vuông D24-50x50x3/Zn</v>
      </c>
      <c r="G250" s="1048" t="str">
        <f>VLOOKUP($B250,DG!A:D,DG!$D$2,)</f>
        <v>bộ</v>
      </c>
      <c r="H250" s="1824">
        <f>H$248*$D250</f>
        <v>0</v>
      </c>
      <c r="I250" s="1824">
        <f>I$244*$D250</f>
        <v>0</v>
      </c>
      <c r="J250" s="1824">
        <f>J$244*$D250</f>
        <v>0</v>
      </c>
      <c r="K250" s="1824">
        <f>K$248*$D250</f>
        <v>0</v>
      </c>
      <c r="L250" s="1824">
        <f>L$248*$D250</f>
        <v>0</v>
      </c>
      <c r="M250" s="1824">
        <f t="shared" si="41"/>
        <v>0</v>
      </c>
      <c r="N250" s="1824">
        <f t="shared" si="41"/>
        <v>0</v>
      </c>
      <c r="O250" s="1824">
        <f t="shared" si="41"/>
        <v>0</v>
      </c>
      <c r="P250" s="1823">
        <f>$P$248*D250</f>
        <v>0</v>
      </c>
      <c r="Q250" s="1052"/>
      <c r="R250" s="1052"/>
      <c r="S250" s="1052"/>
      <c r="T250" s="2035">
        <f t="shared" si="32"/>
        <v>0</v>
      </c>
    </row>
    <row r="251" spans="1:20" ht="22.2" hidden="1" customHeight="1">
      <c r="A251" s="63"/>
      <c r="B251" s="1589" t="s">
        <v>639</v>
      </c>
      <c r="C251" s="64" t="str">
        <f t="shared" si="33"/>
        <v xml:space="preserve"> </v>
      </c>
      <c r="D251" s="1537">
        <v>0.87</v>
      </c>
      <c r="E251" s="1048" t="str">
        <f>VLOOKUP($B251,DG!A:D,DG!$B$2,)</f>
        <v>03.1013</v>
      </c>
      <c r="F251" s="1049" t="str">
        <f>VLOOKUP($B251,DG!A:D,DG!$C$2,)</f>
        <v>Đào hố móng đất cấp 3 sâu &gt;1m</v>
      </c>
      <c r="G251" s="1048" t="str">
        <f>VLOOKUP($B251,DG!A:D,DG!$D$2,)</f>
        <v>m3</v>
      </c>
      <c r="H251" s="1824">
        <f>H$248*$D251</f>
        <v>0</v>
      </c>
      <c r="I251" s="1824"/>
      <c r="J251" s="1824"/>
      <c r="K251" s="1824"/>
      <c r="L251" s="1824"/>
      <c r="M251" s="1824"/>
      <c r="N251" s="1824"/>
      <c r="O251" s="1824"/>
      <c r="P251" s="1823">
        <f>$P$248*D251</f>
        <v>0</v>
      </c>
      <c r="Q251" s="1055"/>
      <c r="R251" s="1055"/>
      <c r="S251" s="1055"/>
      <c r="T251" s="2035">
        <f t="shared" si="32"/>
        <v>0</v>
      </c>
    </row>
    <row r="252" spans="1:20" ht="22.2" hidden="1" customHeight="1">
      <c r="A252" s="63"/>
      <c r="B252" s="1589" t="s">
        <v>21</v>
      </c>
      <c r="C252" s="64" t="str">
        <f t="shared" si="33"/>
        <v xml:space="preserve"> </v>
      </c>
      <c r="D252" s="1537">
        <v>0.79</v>
      </c>
      <c r="E252" s="1048" t="str">
        <f>VLOOKUP($B252,DG!A:D,DG!$B$2,)</f>
        <v>03.4113</v>
      </c>
      <c r="F252" s="1049" t="str">
        <f>VLOOKUP($B252,DG!A:D,DG!$C$2,)</f>
        <v>Đắp đất hố móng, độ chặt k=0,95</v>
      </c>
      <c r="G252" s="1048" t="str">
        <f>VLOOKUP($B252,DG!A:D,DG!$D$2,)</f>
        <v>m3</v>
      </c>
      <c r="H252" s="1824">
        <f>H$248*$D252</f>
        <v>0</v>
      </c>
      <c r="I252" s="1824"/>
      <c r="J252" s="1824"/>
      <c r="K252" s="1824"/>
      <c r="L252" s="1824"/>
      <c r="M252" s="1824"/>
      <c r="N252" s="1824"/>
      <c r="O252" s="1824"/>
      <c r="P252" s="1823">
        <f>$P$248*D252</f>
        <v>0</v>
      </c>
      <c r="Q252" s="1055"/>
      <c r="R252" s="1055"/>
      <c r="S252" s="1055"/>
      <c r="T252" s="2035">
        <f t="shared" si="32"/>
        <v>0</v>
      </c>
    </row>
    <row r="253" spans="1:20" ht="22.2" hidden="1" customHeight="1">
      <c r="A253" s="63"/>
      <c r="B253" s="1589" t="s">
        <v>637</v>
      </c>
      <c r="C253" s="64" t="str">
        <f t="shared" si="33"/>
        <v xml:space="preserve"> </v>
      </c>
      <c r="D253" s="1537">
        <f>0.1*0</f>
        <v>0</v>
      </c>
      <c r="E253" s="1048" t="str">
        <f>VLOOKUP($B253,DG!A:D,DG!$B$2,)</f>
        <v>02.1123</v>
      </c>
      <c r="F253" s="1049" t="str">
        <f>VLOOKUP($B253,DG!A:D,DG!$C$2,)</f>
        <v>Bốc dỡ đà cản, đế néo</v>
      </c>
      <c r="G253" s="1048" t="str">
        <f>VLOOKUP($B253,DG!A:D,DG!$D$2,)</f>
        <v>tấn</v>
      </c>
      <c r="H253" s="1824"/>
      <c r="I253" s="1824"/>
      <c r="J253" s="1824"/>
      <c r="K253" s="1824"/>
      <c r="L253" s="1824"/>
      <c r="M253" s="1824"/>
      <c r="N253" s="1824"/>
      <c r="O253" s="1824"/>
      <c r="P253" s="1824"/>
      <c r="Q253" s="1052"/>
      <c r="R253" s="1052"/>
      <c r="S253" s="1052"/>
      <c r="T253" s="2035">
        <f t="shared" si="32"/>
        <v>0</v>
      </c>
    </row>
    <row r="254" spans="1:20" ht="22.2" hidden="1" customHeight="1">
      <c r="A254" s="63"/>
      <c r="B254" s="1575" t="s">
        <v>2069</v>
      </c>
      <c r="C254" s="64" t="str">
        <f t="shared" si="33"/>
        <v xml:space="preserve"> </v>
      </c>
      <c r="D254" s="1537">
        <f>D253</f>
        <v>0</v>
      </c>
      <c r="E254" s="1048" t="str">
        <f>VLOOKUP($B254,DG!A:C,2,)</f>
        <v>02.1451</v>
      </c>
      <c r="F254" s="1049" t="str">
        <f>VLOOKUP($B254,DG!A:C,3,)</f>
        <v>V/c đà cản vào vị trí (cự ly &lt;=100m)</v>
      </c>
      <c r="G254" s="1048" t="str">
        <f>VLOOKUP($B254,DG!A:D,4,0)</f>
        <v>tấn</v>
      </c>
      <c r="H254" s="1824"/>
      <c r="I254" s="1824"/>
      <c r="J254" s="1824"/>
      <c r="K254" s="1824"/>
      <c r="L254" s="1824"/>
      <c r="M254" s="1824"/>
      <c r="N254" s="1824"/>
      <c r="O254" s="1824"/>
      <c r="P254" s="1824"/>
      <c r="Q254" s="1055"/>
      <c r="R254" s="1055"/>
      <c r="S254" s="1055"/>
      <c r="T254" s="2035">
        <f t="shared" si="32"/>
        <v>0</v>
      </c>
    </row>
    <row r="255" spans="1:20" ht="22.2" hidden="1" customHeight="1">
      <c r="A255" s="63"/>
      <c r="B255" s="1575" t="s">
        <v>635</v>
      </c>
      <c r="C255" s="64" t="str">
        <f t="shared" si="33"/>
        <v xml:space="preserve"> </v>
      </c>
      <c r="D255" s="1537">
        <f>0.2*0</f>
        <v>0</v>
      </c>
      <c r="E255" s="1048" t="str">
        <f>VLOOKUP($B255,DG!A:C,2,)</f>
        <v>02.1482</v>
      </c>
      <c r="F255" s="1049" t="str">
        <f>VLOOKUP($B255,DG!A:C,3,)</f>
        <v>V/c dụng cụ thi công vào vị trí (cự ly &lt;=100m)</v>
      </c>
      <c r="G255" s="1048" t="str">
        <f>VLOOKUP($B255,DG!A:D,4,0)</f>
        <v>tấn</v>
      </c>
      <c r="H255" s="1824"/>
      <c r="I255" s="1824"/>
      <c r="J255" s="1824"/>
      <c r="K255" s="1824"/>
      <c r="L255" s="1824"/>
      <c r="M255" s="1824"/>
      <c r="N255" s="1824"/>
      <c r="O255" s="1824"/>
      <c r="P255" s="1824"/>
      <c r="Q255" s="1055"/>
      <c r="R255" s="1055"/>
      <c r="S255" s="1055"/>
      <c r="T255" s="2035">
        <f t="shared" si="32"/>
        <v>0</v>
      </c>
    </row>
    <row r="256" spans="1:20" ht="22.2" hidden="1" customHeight="1">
      <c r="A256" s="56" t="s">
        <v>2269</v>
      </c>
      <c r="B256" s="1574" t="s">
        <v>2269</v>
      </c>
      <c r="C256" s="62" t="str">
        <f t="shared" si="33"/>
        <v xml:space="preserve"> </v>
      </c>
      <c r="D256" s="1532"/>
      <c r="E256" s="1045"/>
      <c r="F256" s="1392" t="s">
        <v>2359</v>
      </c>
      <c r="G256" s="1046" t="s">
        <v>2333</v>
      </c>
      <c r="H256" s="1821">
        <f>SUM(I256:O256)</f>
        <v>0</v>
      </c>
      <c r="I256" s="1822"/>
      <c r="J256" s="1822"/>
      <c r="K256" s="1822">
        <f>IFERROR(HLOOKUP(B256,pp3p1m!$1:$3,3,0),0)</f>
        <v>0</v>
      </c>
      <c r="L256" s="1822">
        <f>IFERROR(HLOOKUP(chitiet!B256,pp1p!$1:$3,3,0),0)</f>
        <v>0</v>
      </c>
      <c r="M256" s="1822"/>
      <c r="N256" s="1822"/>
      <c r="O256" s="1822"/>
      <c r="P256" s="1822"/>
      <c r="Q256" s="1047"/>
      <c r="R256" s="1047"/>
      <c r="S256" s="1047"/>
      <c r="T256" s="2035">
        <f>IFERROR(HLOOKUP(B256,pp1p!$1:$3,3,0),0)+IFERROR(HLOOKUP(B256,pp3p1m!$1:$3,3,0),0)</f>
        <v>0</v>
      </c>
    </row>
    <row r="257" spans="1:20" ht="22.2" hidden="1" customHeight="1">
      <c r="A257" s="63"/>
      <c r="B257" s="1589" t="s">
        <v>1578</v>
      </c>
      <c r="C257" s="64" t="str">
        <f t="shared" si="33"/>
        <v xml:space="preserve"> </v>
      </c>
      <c r="D257" s="1538">
        <v>1</v>
      </c>
      <c r="E257" s="1044" t="str">
        <f>VLOOKUP($B257,DG!A:D,DG!$B$2,)</f>
        <v>04.3801</v>
      </c>
      <c r="F257" s="1054" t="str">
        <f>VLOOKUP($B257,DG!A:D,DG!$C$2,)</f>
        <v>Đà cản BTCT 1,5m</v>
      </c>
      <c r="G257" s="1048" t="str">
        <f>VLOOKUP($B257,DG!A:D,DG!$D$2,)</f>
        <v>cái</v>
      </c>
      <c r="H257" s="1824">
        <f t="shared" ref="H257:N258" si="42">H$256*$D257</f>
        <v>0</v>
      </c>
      <c r="I257" s="1824">
        <f t="shared" si="42"/>
        <v>0</v>
      </c>
      <c r="J257" s="1824">
        <f t="shared" si="42"/>
        <v>0</v>
      </c>
      <c r="K257" s="1824">
        <f t="shared" si="42"/>
        <v>0</v>
      </c>
      <c r="L257" s="1824">
        <f t="shared" si="42"/>
        <v>0</v>
      </c>
      <c r="M257" s="1824">
        <f t="shared" si="42"/>
        <v>0</v>
      </c>
      <c r="N257" s="1824">
        <f t="shared" si="42"/>
        <v>0</v>
      </c>
      <c r="O257" s="1824"/>
      <c r="P257" s="1824"/>
      <c r="Q257" s="1052"/>
      <c r="R257" s="1052"/>
      <c r="S257" s="1052"/>
      <c r="T257" s="2035">
        <f t="shared" si="32"/>
        <v>0</v>
      </c>
    </row>
    <row r="258" spans="1:20" ht="22.2" hidden="1" customHeight="1">
      <c r="A258" s="63"/>
      <c r="B258" s="1589" t="s">
        <v>566</v>
      </c>
      <c r="C258" s="64" t="str">
        <f t="shared" si="33"/>
        <v xml:space="preserve"> </v>
      </c>
      <c r="D258" s="1538">
        <v>1</v>
      </c>
      <c r="E258" s="1048"/>
      <c r="F258" s="1054" t="str">
        <f>VLOOKUP($B258,DG!A:D,DG!$C$2,)</f>
        <v>Boulon 22x650+ 2 long đền vuông D24-50x50x3/Zn</v>
      </c>
      <c r="G258" s="1048" t="str">
        <f>VLOOKUP($B258,DG!A:D,DG!$D$2,)</f>
        <v>bộ</v>
      </c>
      <c r="H258" s="1824">
        <f t="shared" si="42"/>
        <v>0</v>
      </c>
      <c r="I258" s="1824">
        <f t="shared" si="42"/>
        <v>0</v>
      </c>
      <c r="J258" s="1824">
        <f t="shared" si="42"/>
        <v>0</v>
      </c>
      <c r="K258" s="1824">
        <f t="shared" si="42"/>
        <v>0</v>
      </c>
      <c r="L258" s="1824">
        <f t="shared" si="42"/>
        <v>0</v>
      </c>
      <c r="M258" s="1824">
        <f t="shared" si="42"/>
        <v>0</v>
      </c>
      <c r="N258" s="1824">
        <f t="shared" si="42"/>
        <v>0</v>
      </c>
      <c r="O258" s="1824"/>
      <c r="P258" s="1824"/>
      <c r="Q258" s="1052"/>
      <c r="R258" s="1052"/>
      <c r="S258" s="1052"/>
      <c r="T258" s="2035">
        <f t="shared" si="32"/>
        <v>0</v>
      </c>
    </row>
    <row r="259" spans="1:20" ht="22.2" hidden="1" customHeight="1">
      <c r="A259" s="59"/>
      <c r="B259" s="1577" t="s">
        <v>1816</v>
      </c>
      <c r="C259" s="64" t="str">
        <f t="shared" si="33"/>
        <v xml:space="preserve"> </v>
      </c>
      <c r="D259" s="1533">
        <v>0.23200000000000001</v>
      </c>
      <c r="E259" s="1044">
        <f>VLOOKUP($B259,DG!A:D,DG!$B$2,)</f>
        <v>0</v>
      </c>
      <c r="F259" s="1049" t="str">
        <f>VLOOKUP($B259,DG!A:D,DG!$C$2,)</f>
        <v>Đá 2x4</v>
      </c>
      <c r="G259" s="1044" t="str">
        <f>VLOOKUP($B259,DG!A:D,DG!$D$2,)</f>
        <v>m3</v>
      </c>
      <c r="H259" s="1823">
        <f t="shared" ref="H259:N259" si="43">H$18*$D259</f>
        <v>0</v>
      </c>
      <c r="I259" s="1823">
        <f t="shared" si="43"/>
        <v>0</v>
      </c>
      <c r="J259" s="1823">
        <f t="shared" si="43"/>
        <v>0</v>
      </c>
      <c r="K259" s="1823">
        <f t="shared" si="43"/>
        <v>0</v>
      </c>
      <c r="L259" s="1823">
        <f t="shared" si="43"/>
        <v>0</v>
      </c>
      <c r="M259" s="1823">
        <f t="shared" si="43"/>
        <v>0</v>
      </c>
      <c r="N259" s="1823">
        <f t="shared" si="43"/>
        <v>0</v>
      </c>
      <c r="O259" s="1823"/>
      <c r="P259" s="1823"/>
      <c r="Q259" s="1053"/>
      <c r="R259" s="1053"/>
      <c r="S259" s="1053"/>
      <c r="T259" s="2035">
        <f t="shared" si="32"/>
        <v>0</v>
      </c>
    </row>
    <row r="260" spans="1:20" ht="22.2" hidden="1" customHeight="1">
      <c r="A260" s="63"/>
      <c r="B260" s="1589" t="s">
        <v>639</v>
      </c>
      <c r="C260" s="64" t="str">
        <f t="shared" si="33"/>
        <v xml:space="preserve"> </v>
      </c>
      <c r="D260" s="1537">
        <v>3.1030000000000002</v>
      </c>
      <c r="E260" s="1048" t="str">
        <f>VLOOKUP($B260,DG!A:D,DG!$B$2,)</f>
        <v>03.1013</v>
      </c>
      <c r="F260" s="1049" t="str">
        <f>VLOOKUP($B260,DG!A:D,DG!$C$2,)</f>
        <v>Đào hố móng đất cấp 3 sâu &gt;1m</v>
      </c>
      <c r="G260" s="1048" t="str">
        <f>VLOOKUP($B260,DG!A:D,DG!$D$2,)</f>
        <v>m3</v>
      </c>
      <c r="H260" s="1824"/>
      <c r="I260" s="1824"/>
      <c r="J260" s="1824"/>
      <c r="K260" s="1824"/>
      <c r="L260" s="1824"/>
      <c r="M260" s="1824"/>
      <c r="N260" s="1824"/>
      <c r="O260" s="1824"/>
      <c r="P260" s="1824"/>
      <c r="Q260" s="1055"/>
      <c r="R260" s="1055"/>
      <c r="S260" s="1055"/>
      <c r="T260" s="2035">
        <f t="shared" si="32"/>
        <v>0</v>
      </c>
    </row>
    <row r="261" spans="1:20" ht="22.2" hidden="1" customHeight="1">
      <c r="A261" s="63"/>
      <c r="B261" s="1589" t="s">
        <v>21</v>
      </c>
      <c r="C261" s="64" t="str">
        <f t="shared" si="33"/>
        <v xml:space="preserve"> </v>
      </c>
      <c r="D261" s="1537">
        <v>3.472</v>
      </c>
      <c r="E261" s="1048" t="str">
        <f>VLOOKUP($B261,DG!A:D,DG!$B$2,)</f>
        <v>03.4113</v>
      </c>
      <c r="F261" s="1049" t="str">
        <f>VLOOKUP($B261,DG!A:D,DG!$C$2,)</f>
        <v>Đắp đất hố móng, độ chặt k=0,95</v>
      </c>
      <c r="G261" s="1048" t="str">
        <f>VLOOKUP($B261,DG!A:D,DG!$D$2,)</f>
        <v>m3</v>
      </c>
      <c r="H261" s="1824"/>
      <c r="I261" s="1824"/>
      <c r="J261" s="1824"/>
      <c r="K261" s="1824"/>
      <c r="L261" s="1824"/>
      <c r="M261" s="1824"/>
      <c r="N261" s="1824"/>
      <c r="O261" s="1824"/>
      <c r="P261" s="1824"/>
      <c r="Q261" s="1055"/>
      <c r="R261" s="1055"/>
      <c r="S261" s="1055"/>
      <c r="T261" s="2035">
        <f t="shared" si="32"/>
        <v>0</v>
      </c>
    </row>
    <row r="262" spans="1:20" ht="22.2" hidden="1" customHeight="1">
      <c r="A262" s="63"/>
      <c r="B262" s="1589" t="s">
        <v>637</v>
      </c>
      <c r="C262" s="64" t="str">
        <f t="shared" si="33"/>
        <v xml:space="preserve"> </v>
      </c>
      <c r="D262" s="1537">
        <v>0.255</v>
      </c>
      <c r="E262" s="1048" t="str">
        <f>VLOOKUP($B262,DG!A:D,DG!$B$2,)</f>
        <v>02.1123</v>
      </c>
      <c r="F262" s="1049" t="str">
        <f>VLOOKUP($B262,DG!A:D,DG!$C$2,)</f>
        <v>Bốc dỡ đà cản, đế néo</v>
      </c>
      <c r="G262" s="1048" t="str">
        <f>VLOOKUP($B262,DG!A:D,DG!$D$2,)</f>
        <v>tấn</v>
      </c>
      <c r="H262" s="1824"/>
      <c r="I262" s="1824"/>
      <c r="J262" s="1824"/>
      <c r="K262" s="1824"/>
      <c r="L262" s="1824"/>
      <c r="M262" s="1824"/>
      <c r="N262" s="1824"/>
      <c r="O262" s="1824"/>
      <c r="P262" s="1824"/>
      <c r="Q262" s="1052"/>
      <c r="R262" s="1052"/>
      <c r="S262" s="1052"/>
      <c r="T262" s="2035">
        <f t="shared" si="32"/>
        <v>0</v>
      </c>
    </row>
    <row r="263" spans="1:20" ht="22.2" hidden="1" customHeight="1">
      <c r="A263" s="63"/>
      <c r="B263" s="1575" t="s">
        <v>2069</v>
      </c>
      <c r="C263" s="64" t="str">
        <f t="shared" si="33"/>
        <v xml:space="preserve"> </v>
      </c>
      <c r="D263" s="1537">
        <f>+D262</f>
        <v>0.255</v>
      </c>
      <c r="E263" s="1048" t="str">
        <f>VLOOKUP($B263,DG!A:C,2,)</f>
        <v>02.1451</v>
      </c>
      <c r="F263" s="1049" t="str">
        <f>VLOOKUP($B263,DG!A:C,3,)</f>
        <v>V/c đà cản vào vị trí (cự ly &lt;=100m)</v>
      </c>
      <c r="G263" s="1048" t="str">
        <f>VLOOKUP($B263,DG!A:D,4,0)</f>
        <v>tấn</v>
      </c>
      <c r="H263" s="1824"/>
      <c r="I263" s="1824"/>
      <c r="J263" s="1824"/>
      <c r="K263" s="1824"/>
      <c r="L263" s="1824"/>
      <c r="M263" s="1824"/>
      <c r="N263" s="1824"/>
      <c r="O263" s="1824"/>
      <c r="P263" s="1824"/>
      <c r="Q263" s="1055"/>
      <c r="R263" s="1055"/>
      <c r="S263" s="1055"/>
      <c r="T263" s="2035">
        <f t="shared" si="32"/>
        <v>0</v>
      </c>
    </row>
    <row r="264" spans="1:20" ht="22.2" hidden="1" customHeight="1">
      <c r="A264" s="59"/>
      <c r="B264" s="1588" t="s">
        <v>674</v>
      </c>
      <c r="C264" s="64" t="str">
        <f t="shared" si="33"/>
        <v xml:space="preserve"> </v>
      </c>
      <c r="D264" s="1533">
        <f>D259</f>
        <v>0.23200000000000001</v>
      </c>
      <c r="E264" s="1044" t="str">
        <f>VLOOKUP($B264,DG!A:C,2,)</f>
        <v>02.1241</v>
      </c>
      <c r="F264" s="1049" t="str">
        <f>VLOOKUP($B264,DG!A:C,3,)</f>
        <v>V/c đá dăm ( cự ly &lt;=100m)</v>
      </c>
      <c r="G264" s="1044" t="str">
        <f>VLOOKUP($B264,DG!A:D,4,0)</f>
        <v>m3</v>
      </c>
      <c r="H264" s="1823"/>
      <c r="I264" s="1823"/>
      <c r="J264" s="1823"/>
      <c r="K264" s="1823"/>
      <c r="L264" s="1823"/>
      <c r="M264" s="1823"/>
      <c r="N264" s="1823"/>
      <c r="O264" s="1823"/>
      <c r="P264" s="1823"/>
      <c r="Q264" s="1058"/>
      <c r="R264" s="1058"/>
      <c r="S264" s="1058"/>
      <c r="T264" s="2035">
        <f t="shared" si="32"/>
        <v>0</v>
      </c>
    </row>
    <row r="265" spans="1:20" ht="22.2" hidden="1" customHeight="1">
      <c r="A265" s="63"/>
      <c r="B265" s="1575" t="s">
        <v>635</v>
      </c>
      <c r="C265" s="64" t="str">
        <f t="shared" si="33"/>
        <v xml:space="preserve"> </v>
      </c>
      <c r="D265" s="1537">
        <v>0.2</v>
      </c>
      <c r="E265" s="1048" t="str">
        <f>VLOOKUP($B265,DG!A:C,2,)</f>
        <v>02.1482</v>
      </c>
      <c r="F265" s="1049" t="str">
        <f>VLOOKUP($B265,DG!A:C,3,)</f>
        <v>V/c dụng cụ thi công vào vị trí (cự ly &lt;=100m)</v>
      </c>
      <c r="G265" s="1048" t="str">
        <f>VLOOKUP($B265,DG!A:D,4,0)</f>
        <v>tấn</v>
      </c>
      <c r="H265" s="1824"/>
      <c r="I265" s="1824"/>
      <c r="J265" s="1824"/>
      <c r="K265" s="1824"/>
      <c r="L265" s="1824"/>
      <c r="M265" s="1824"/>
      <c r="N265" s="1824"/>
      <c r="O265" s="1824"/>
      <c r="P265" s="1824"/>
      <c r="Q265" s="1055"/>
      <c r="R265" s="1055"/>
      <c r="S265" s="1055"/>
      <c r="T265" s="2035">
        <f t="shared" si="32"/>
        <v>0</v>
      </c>
    </row>
    <row r="266" spans="1:20" ht="22.2" hidden="1" customHeight="1">
      <c r="A266" s="56" t="s">
        <v>304</v>
      </c>
      <c r="B266" s="1574" t="s">
        <v>304</v>
      </c>
      <c r="C266" s="62" t="str">
        <f t="shared" si="33"/>
        <v xml:space="preserve"> </v>
      </c>
      <c r="D266" s="1532"/>
      <c r="E266" s="1045"/>
      <c r="F266" s="1392" t="s">
        <v>2360</v>
      </c>
      <c r="G266" s="1046" t="s">
        <v>2333</v>
      </c>
      <c r="H266" s="1821">
        <f>SUM(I266:O266)</f>
        <v>0</v>
      </c>
      <c r="I266" s="1822"/>
      <c r="J266" s="1822"/>
      <c r="K266" s="1822">
        <f>IFERROR(HLOOKUP(B266,pp3p1m!$1:$3,3,0),0)</f>
        <v>0</v>
      </c>
      <c r="L266" s="1822">
        <f>IFERROR(HLOOKUP(chitiet!B266,pp1p!$1:$3,3,0),0)</f>
        <v>0</v>
      </c>
      <c r="M266" s="1822"/>
      <c r="N266" s="1822"/>
      <c r="O266" s="1822"/>
      <c r="P266" s="1822"/>
      <c r="Q266" s="1047"/>
      <c r="R266" s="1047"/>
      <c r="S266" s="1047"/>
      <c r="T266" s="2035">
        <f>IFERROR(HLOOKUP(B266,pp1p!$1:$3,3,0),0)+IFERROR(HLOOKUP(B266,pp3p1m!$1:$3,3,0),0)</f>
        <v>0</v>
      </c>
    </row>
    <row r="267" spans="1:20" ht="22.2" hidden="1" customHeight="1">
      <c r="A267" s="63"/>
      <c r="B267" s="1589" t="s">
        <v>636</v>
      </c>
      <c r="C267" s="64" t="str">
        <f t="shared" si="33"/>
        <v xml:space="preserve"> </v>
      </c>
      <c r="D267" s="1538">
        <v>2</v>
      </c>
      <c r="E267" s="1044" t="str">
        <f>VLOOKUP($B267,DG!A:D,DG!$B$2,)</f>
        <v>04.4001</v>
      </c>
      <c r="F267" s="1054" t="str">
        <f>VLOOKUP($B267,DG!A:D,DG!$C$2,)</f>
        <v>Đà cản BTCT 1,2m</v>
      </c>
      <c r="G267" s="1048" t="str">
        <f>VLOOKUP($B267,DG!A:D,DG!$D$2,)</f>
        <v>cái</v>
      </c>
      <c r="H267" s="1824">
        <f t="shared" ref="H267:N268" si="44">H$266*$D267</f>
        <v>0</v>
      </c>
      <c r="I267" s="1824">
        <f t="shared" si="44"/>
        <v>0</v>
      </c>
      <c r="J267" s="1824">
        <f t="shared" si="44"/>
        <v>0</v>
      </c>
      <c r="K267" s="1824">
        <f t="shared" si="44"/>
        <v>0</v>
      </c>
      <c r="L267" s="1824">
        <f t="shared" si="44"/>
        <v>0</v>
      </c>
      <c r="M267" s="1824">
        <f t="shared" si="44"/>
        <v>0</v>
      </c>
      <c r="N267" s="1824">
        <f t="shared" si="44"/>
        <v>0</v>
      </c>
      <c r="O267" s="1824"/>
      <c r="P267" s="1824"/>
      <c r="Q267" s="1052"/>
      <c r="R267" s="1052"/>
      <c r="S267" s="1052"/>
      <c r="T267" s="2035">
        <f t="shared" si="32"/>
        <v>0</v>
      </c>
    </row>
    <row r="268" spans="1:20" ht="22.2" hidden="1" customHeight="1">
      <c r="A268" s="63"/>
      <c r="B268" s="1589" t="s">
        <v>416</v>
      </c>
      <c r="C268" s="64" t="str">
        <f t="shared" si="33"/>
        <v xml:space="preserve"> </v>
      </c>
      <c r="D268" s="1538">
        <v>3</v>
      </c>
      <c r="E268" s="1048"/>
      <c r="F268" s="1054" t="str">
        <f>VLOOKUP($B268,DG!A:D,DG!$C$2,)</f>
        <v>Boulon 22x800+ 2 long đền vuông D24-50x50x3/Zn</v>
      </c>
      <c r="G268" s="1048" t="str">
        <f>VLOOKUP($B268,DG!A:D,DG!$D$2,)</f>
        <v>bộ</v>
      </c>
      <c r="H268" s="1824">
        <f t="shared" si="44"/>
        <v>0</v>
      </c>
      <c r="I268" s="1824">
        <f t="shared" si="44"/>
        <v>0</v>
      </c>
      <c r="J268" s="1824">
        <f t="shared" si="44"/>
        <v>0</v>
      </c>
      <c r="K268" s="1824">
        <f t="shared" si="44"/>
        <v>0</v>
      </c>
      <c r="L268" s="1824">
        <f t="shared" si="44"/>
        <v>0</v>
      </c>
      <c r="M268" s="1824">
        <f t="shared" si="44"/>
        <v>0</v>
      </c>
      <c r="N268" s="1824">
        <f t="shared" si="44"/>
        <v>0</v>
      </c>
      <c r="O268" s="1824"/>
      <c r="P268" s="1824"/>
      <c r="Q268" s="1052"/>
      <c r="R268" s="1052"/>
      <c r="S268" s="1052"/>
      <c r="T268" s="2035">
        <f t="shared" si="32"/>
        <v>0</v>
      </c>
    </row>
    <row r="269" spans="1:20" ht="22.2" hidden="1" customHeight="1">
      <c r="A269" s="63"/>
      <c r="B269" s="1589" t="s">
        <v>639</v>
      </c>
      <c r="C269" s="64" t="str">
        <f t="shared" si="33"/>
        <v xml:space="preserve"> </v>
      </c>
      <c r="D269" s="1537">
        <v>3.03</v>
      </c>
      <c r="E269" s="1048" t="str">
        <f>VLOOKUP($B269,DG!A:D,DG!$B$2,)</f>
        <v>03.1013</v>
      </c>
      <c r="F269" s="1049" t="str">
        <f>VLOOKUP($B269,DG!A:D,DG!$C$2,)</f>
        <v>Đào hố móng đất cấp 3 sâu &gt;1m</v>
      </c>
      <c r="G269" s="1048" t="str">
        <f>VLOOKUP($B269,DG!A:D,DG!$D$2,)</f>
        <v>m3</v>
      </c>
      <c r="H269" s="1824"/>
      <c r="I269" s="1824"/>
      <c r="J269" s="1824"/>
      <c r="K269" s="1824"/>
      <c r="L269" s="1824"/>
      <c r="M269" s="1824"/>
      <c r="N269" s="1824"/>
      <c r="O269" s="1824"/>
      <c r="P269" s="1824"/>
      <c r="Q269" s="1055"/>
      <c r="R269" s="1055"/>
      <c r="S269" s="1055"/>
      <c r="T269" s="2035">
        <f t="shared" si="32"/>
        <v>0</v>
      </c>
    </row>
    <row r="270" spans="1:20" ht="22.2" hidden="1" customHeight="1">
      <c r="A270" s="63"/>
      <c r="B270" s="1589" t="s">
        <v>21</v>
      </c>
      <c r="C270" s="64" t="str">
        <f t="shared" si="33"/>
        <v xml:space="preserve"> </v>
      </c>
      <c r="D270" s="1537">
        <v>3.02</v>
      </c>
      <c r="E270" s="1048" t="str">
        <f>VLOOKUP($B270,DG!A:D,DG!$B$2,)</f>
        <v>03.4113</v>
      </c>
      <c r="F270" s="1049" t="str">
        <f>VLOOKUP($B270,DG!A:D,DG!$C$2,)</f>
        <v>Đắp đất hố móng, độ chặt k=0,95</v>
      </c>
      <c r="G270" s="1048" t="str">
        <f>VLOOKUP($B270,DG!A:D,DG!$D$2,)</f>
        <v>m3</v>
      </c>
      <c r="H270" s="1824"/>
      <c r="I270" s="1824"/>
      <c r="J270" s="1824"/>
      <c r="K270" s="1824"/>
      <c r="L270" s="1824"/>
      <c r="M270" s="1824"/>
      <c r="N270" s="1824"/>
      <c r="O270" s="1824"/>
      <c r="P270" s="1824"/>
      <c r="Q270" s="1055"/>
      <c r="R270" s="1055"/>
      <c r="S270" s="1055"/>
      <c r="T270" s="2035">
        <f t="shared" ref="T270:T333" si="45">IFERROR(HLOOKUP(B270,BangKeTru,3,0),0)</f>
        <v>0</v>
      </c>
    </row>
    <row r="271" spans="1:20" ht="22.2" hidden="1" customHeight="1">
      <c r="A271" s="63"/>
      <c r="B271" s="1589" t="s">
        <v>637</v>
      </c>
      <c r="C271" s="64" t="str">
        <f t="shared" ref="C271:C334" si="46">IF(OR(P271&lt;&gt;0,H271&lt;&gt;0),"x"," ")</f>
        <v xml:space="preserve"> </v>
      </c>
      <c r="D271" s="1537"/>
      <c r="E271" s="1048" t="str">
        <f>VLOOKUP($B271,DG!A:D,DG!$B$2,)</f>
        <v>02.1123</v>
      </c>
      <c r="F271" s="1049" t="str">
        <f>VLOOKUP($B271,DG!A:D,DG!$C$2,)</f>
        <v>Bốc dỡ đà cản, đế néo</v>
      </c>
      <c r="G271" s="1048" t="str">
        <f>VLOOKUP($B271,DG!A:D,DG!$D$2,)</f>
        <v>tấn</v>
      </c>
      <c r="H271" s="1824"/>
      <c r="I271" s="1824"/>
      <c r="J271" s="1824"/>
      <c r="K271" s="1824"/>
      <c r="L271" s="1824"/>
      <c r="M271" s="1824"/>
      <c r="N271" s="1824"/>
      <c r="O271" s="1824"/>
      <c r="P271" s="1824"/>
      <c r="Q271" s="1052"/>
      <c r="R271" s="1052"/>
      <c r="S271" s="1052"/>
      <c r="T271" s="2035">
        <f t="shared" si="45"/>
        <v>0</v>
      </c>
    </row>
    <row r="272" spans="1:20" ht="22.2" hidden="1" customHeight="1">
      <c r="A272" s="63"/>
      <c r="B272" s="1575" t="s">
        <v>2069</v>
      </c>
      <c r="C272" s="64" t="str">
        <f t="shared" si="46"/>
        <v xml:space="preserve"> </v>
      </c>
      <c r="D272" s="1537"/>
      <c r="E272" s="1048" t="str">
        <f>VLOOKUP($B272,DG!A:C,2,)</f>
        <v>02.1451</v>
      </c>
      <c r="F272" s="1049" t="str">
        <f>VLOOKUP($B272,DG!A:C,3,)</f>
        <v>V/c đà cản vào vị trí (cự ly &lt;=100m)</v>
      </c>
      <c r="G272" s="1048" t="str">
        <f>VLOOKUP($B272,DG!A:D,4,0)</f>
        <v>tấn</v>
      </c>
      <c r="H272" s="1824"/>
      <c r="I272" s="1824"/>
      <c r="J272" s="1824"/>
      <c r="K272" s="1824"/>
      <c r="L272" s="1824"/>
      <c r="M272" s="1824"/>
      <c r="N272" s="1824"/>
      <c r="O272" s="1824"/>
      <c r="P272" s="1824"/>
      <c r="Q272" s="1055"/>
      <c r="R272" s="1055"/>
      <c r="S272" s="1055"/>
      <c r="T272" s="2035">
        <f t="shared" si="45"/>
        <v>0</v>
      </c>
    </row>
    <row r="273" spans="1:20" ht="22.2" hidden="1" customHeight="1">
      <c r="A273" s="63"/>
      <c r="B273" s="1575" t="s">
        <v>635</v>
      </c>
      <c r="C273" s="64" t="str">
        <f t="shared" si="46"/>
        <v xml:space="preserve"> </v>
      </c>
      <c r="D273" s="1537"/>
      <c r="E273" s="1048" t="str">
        <f>VLOOKUP($B273,DG!A:C,2,)</f>
        <v>02.1482</v>
      </c>
      <c r="F273" s="1049" t="str">
        <f>VLOOKUP($B273,DG!A:C,3,)</f>
        <v>V/c dụng cụ thi công vào vị trí (cự ly &lt;=100m)</v>
      </c>
      <c r="G273" s="1048" t="str">
        <f>VLOOKUP($B273,DG!A:D,4,0)</f>
        <v>tấn</v>
      </c>
      <c r="H273" s="1824"/>
      <c r="I273" s="1824"/>
      <c r="J273" s="1824"/>
      <c r="K273" s="1824"/>
      <c r="L273" s="1824"/>
      <c r="M273" s="1824"/>
      <c r="N273" s="1824"/>
      <c r="O273" s="1824"/>
      <c r="P273" s="1824"/>
      <c r="Q273" s="1055"/>
      <c r="R273" s="1055"/>
      <c r="S273" s="1055"/>
      <c r="T273" s="2035">
        <f t="shared" si="45"/>
        <v>0</v>
      </c>
    </row>
    <row r="274" spans="1:20" ht="22.2" hidden="1" customHeight="1">
      <c r="A274" s="56" t="s">
        <v>638</v>
      </c>
      <c r="B274" s="1574" t="s">
        <v>638</v>
      </c>
      <c r="C274" s="62" t="str">
        <f t="shared" si="46"/>
        <v xml:space="preserve"> </v>
      </c>
      <c r="D274" s="1532"/>
      <c r="E274" s="1045"/>
      <c r="F274" s="1392" t="s">
        <v>2361</v>
      </c>
      <c r="G274" s="1046" t="s">
        <v>2333</v>
      </c>
      <c r="H274" s="1821">
        <f>SUM(I274:O274)</f>
        <v>0</v>
      </c>
      <c r="I274" s="1822"/>
      <c r="J274" s="1822"/>
      <c r="K274" s="1822">
        <f>IFERROR(HLOOKUP(B274,pp3p1m!$1:$3,3,0),0)</f>
        <v>0</v>
      </c>
      <c r="L274" s="1822">
        <f>IFERROR(HLOOKUP(chitiet!B274,pp1p!$1:$3,3,0),0)</f>
        <v>0</v>
      </c>
      <c r="M274" s="1822"/>
      <c r="N274" s="1822"/>
      <c r="O274" s="1822"/>
      <c r="P274" s="1822"/>
      <c r="Q274" s="1047"/>
      <c r="R274" s="1047"/>
      <c r="S274" s="1047"/>
      <c r="T274" s="2035">
        <f>IFERROR(HLOOKUP(B274,pp1p!$1:$3,3,0),0)+IFERROR(HLOOKUP(B274,pp3p1m!$1:$3,3,0),0)</f>
        <v>0</v>
      </c>
    </row>
    <row r="275" spans="1:20" ht="22.2" hidden="1" customHeight="1">
      <c r="A275" s="63"/>
      <c r="B275" s="1589" t="s">
        <v>1578</v>
      </c>
      <c r="C275" s="64" t="str">
        <f t="shared" si="46"/>
        <v xml:space="preserve"> </v>
      </c>
      <c r="D275" s="1538">
        <v>1</v>
      </c>
      <c r="E275" s="1044" t="str">
        <f>VLOOKUP($B275,DG!A:D,DG!$B$2,)</f>
        <v>04.3801</v>
      </c>
      <c r="F275" s="1054" t="str">
        <f>VLOOKUP($B275,DG!A:D,DG!$C$2,)</f>
        <v>Đà cản BTCT 1,5m</v>
      </c>
      <c r="G275" s="1048" t="str">
        <f>VLOOKUP($B275,DG!A:D,DG!$D$2,)</f>
        <v>cái</v>
      </c>
      <c r="H275" s="1824">
        <f t="shared" ref="H275:N277" si="47">H$274*$D275</f>
        <v>0</v>
      </c>
      <c r="I275" s="1824">
        <f t="shared" si="47"/>
        <v>0</v>
      </c>
      <c r="J275" s="1824">
        <f t="shared" si="47"/>
        <v>0</v>
      </c>
      <c r="K275" s="1824">
        <f t="shared" si="47"/>
        <v>0</v>
      </c>
      <c r="L275" s="1824">
        <f t="shared" si="47"/>
        <v>0</v>
      </c>
      <c r="M275" s="1824">
        <f t="shared" si="47"/>
        <v>0</v>
      </c>
      <c r="N275" s="1824">
        <f t="shared" si="47"/>
        <v>0</v>
      </c>
      <c r="O275" s="1824"/>
      <c r="P275" s="1824"/>
      <c r="Q275" s="1052"/>
      <c r="R275" s="1052"/>
      <c r="S275" s="1052"/>
      <c r="T275" s="2035">
        <f t="shared" si="45"/>
        <v>0</v>
      </c>
    </row>
    <row r="276" spans="1:20" ht="22.2" hidden="1" customHeight="1">
      <c r="A276" s="63"/>
      <c r="B276" s="1589" t="s">
        <v>636</v>
      </c>
      <c r="C276" s="64" t="str">
        <f t="shared" si="46"/>
        <v xml:space="preserve"> </v>
      </c>
      <c r="D276" s="1538">
        <v>1</v>
      </c>
      <c r="E276" s="1044" t="str">
        <f>VLOOKUP($B276,DG!A:D,DG!$B$2,)</f>
        <v>04.4001</v>
      </c>
      <c r="F276" s="1054" t="str">
        <f>VLOOKUP($B276,DG!A:D,DG!$C$2,)</f>
        <v>Đà cản BTCT 1,2m</v>
      </c>
      <c r="G276" s="1048" t="str">
        <f>VLOOKUP($B276,DG!A:D,DG!$D$2,)</f>
        <v>cái</v>
      </c>
      <c r="H276" s="1824">
        <f t="shared" si="47"/>
        <v>0</v>
      </c>
      <c r="I276" s="1824">
        <f t="shared" si="47"/>
        <v>0</v>
      </c>
      <c r="J276" s="1824">
        <f t="shared" si="47"/>
        <v>0</v>
      </c>
      <c r="K276" s="1824">
        <f t="shared" si="47"/>
        <v>0</v>
      </c>
      <c r="L276" s="1824">
        <f t="shared" si="47"/>
        <v>0</v>
      </c>
      <c r="M276" s="1824">
        <f t="shared" si="47"/>
        <v>0</v>
      </c>
      <c r="N276" s="1824">
        <f t="shared" si="47"/>
        <v>0</v>
      </c>
      <c r="O276" s="1824"/>
      <c r="P276" s="1824"/>
      <c r="Q276" s="1052"/>
      <c r="R276" s="1052"/>
      <c r="S276" s="1052"/>
      <c r="T276" s="2035">
        <f t="shared" si="45"/>
        <v>0</v>
      </c>
    </row>
    <row r="277" spans="1:20" ht="22.2" hidden="1" customHeight="1">
      <c r="A277" s="63"/>
      <c r="B277" s="1589" t="s">
        <v>566</v>
      </c>
      <c r="C277" s="64" t="str">
        <f t="shared" si="46"/>
        <v xml:space="preserve"> </v>
      </c>
      <c r="D277" s="1538">
        <v>2</v>
      </c>
      <c r="E277" s="1048"/>
      <c r="F277" s="1054" t="str">
        <f>VLOOKUP($B277,DG!A:D,DG!$C$2,)</f>
        <v>Boulon 22x650+ 2 long đền vuông D24-50x50x3/Zn</v>
      </c>
      <c r="G277" s="1048" t="str">
        <f>VLOOKUP($B277,DG!A:D,DG!$D$2,)</f>
        <v>bộ</v>
      </c>
      <c r="H277" s="1824">
        <f t="shared" si="47"/>
        <v>0</v>
      </c>
      <c r="I277" s="1824">
        <f t="shared" si="47"/>
        <v>0</v>
      </c>
      <c r="J277" s="1824">
        <f t="shared" si="47"/>
        <v>0</v>
      </c>
      <c r="K277" s="1824">
        <f t="shared" si="47"/>
        <v>0</v>
      </c>
      <c r="L277" s="1824">
        <f t="shared" si="47"/>
        <v>0</v>
      </c>
      <c r="M277" s="1824">
        <f t="shared" si="47"/>
        <v>0</v>
      </c>
      <c r="N277" s="1824">
        <f t="shared" si="47"/>
        <v>0</v>
      </c>
      <c r="O277" s="1824"/>
      <c r="P277" s="1824"/>
      <c r="Q277" s="1052"/>
      <c r="R277" s="1052"/>
      <c r="S277" s="1052"/>
      <c r="T277" s="2035">
        <f t="shared" si="45"/>
        <v>0</v>
      </c>
    </row>
    <row r="278" spans="1:20" ht="22.2" hidden="1" customHeight="1">
      <c r="A278" s="63"/>
      <c r="B278" s="1589" t="s">
        <v>639</v>
      </c>
      <c r="C278" s="64" t="str">
        <f t="shared" si="46"/>
        <v xml:space="preserve"> </v>
      </c>
      <c r="D278" s="1537">
        <v>7.3</v>
      </c>
      <c r="E278" s="1048" t="str">
        <f>VLOOKUP($B278,DG!A:D,DG!$B$2,)</f>
        <v>03.1013</v>
      </c>
      <c r="F278" s="1049" t="str">
        <f>VLOOKUP($B278,DG!A:D,DG!$C$2,)</f>
        <v>Đào hố móng đất cấp 3 sâu &gt;1m</v>
      </c>
      <c r="G278" s="1048" t="str">
        <f>VLOOKUP($B278,DG!A:D,DG!$D$2,)</f>
        <v>m3</v>
      </c>
      <c r="H278" s="1824"/>
      <c r="I278" s="1824"/>
      <c r="J278" s="1824"/>
      <c r="K278" s="1824"/>
      <c r="L278" s="1824"/>
      <c r="M278" s="1824"/>
      <c r="N278" s="1824"/>
      <c r="O278" s="1824"/>
      <c r="P278" s="1824"/>
      <c r="Q278" s="1055"/>
      <c r="R278" s="1055"/>
      <c r="S278" s="1055"/>
      <c r="T278" s="2035">
        <f t="shared" si="45"/>
        <v>0</v>
      </c>
    </row>
    <row r="279" spans="1:20" ht="22.2" hidden="1" customHeight="1">
      <c r="A279" s="63"/>
      <c r="B279" s="1589" t="s">
        <v>21</v>
      </c>
      <c r="C279" s="64" t="str">
        <f t="shared" si="46"/>
        <v xml:space="preserve"> </v>
      </c>
      <c r="D279" s="1537">
        <v>8.51</v>
      </c>
      <c r="E279" s="1048" t="str">
        <f>VLOOKUP($B279,DG!A:D,DG!$B$2,)</f>
        <v>03.4113</v>
      </c>
      <c r="F279" s="1049" t="str">
        <f>VLOOKUP($B279,DG!A:D,DG!$C$2,)</f>
        <v>Đắp đất hố móng, độ chặt k=0,95</v>
      </c>
      <c r="G279" s="1048" t="str">
        <f>VLOOKUP($B279,DG!A:D,DG!$D$2,)</f>
        <v>m3</v>
      </c>
      <c r="H279" s="1824"/>
      <c r="I279" s="1824"/>
      <c r="J279" s="1824"/>
      <c r="K279" s="1824"/>
      <c r="L279" s="1824"/>
      <c r="M279" s="1824"/>
      <c r="N279" s="1824"/>
      <c r="O279" s="1824"/>
      <c r="P279" s="1824"/>
      <c r="Q279" s="1055"/>
      <c r="R279" s="1055"/>
      <c r="S279" s="1055"/>
      <c r="T279" s="2035">
        <f t="shared" si="45"/>
        <v>0</v>
      </c>
    </row>
    <row r="280" spans="1:20" ht="22.2" hidden="1" customHeight="1">
      <c r="A280" s="63"/>
      <c r="B280" s="1589" t="s">
        <v>637</v>
      </c>
      <c r="C280" s="64" t="str">
        <f t="shared" si="46"/>
        <v xml:space="preserve"> </v>
      </c>
      <c r="D280" s="1537">
        <f>0.255+0.1</f>
        <v>0.35499999999999998</v>
      </c>
      <c r="E280" s="1048" t="str">
        <f>VLOOKUP($B280,DG!A:D,DG!$B$2,)</f>
        <v>02.1123</v>
      </c>
      <c r="F280" s="1049" t="str">
        <f>VLOOKUP($B280,DG!A:D,DG!$C$2,)</f>
        <v>Bốc dỡ đà cản, đế néo</v>
      </c>
      <c r="G280" s="1048" t="str">
        <f>VLOOKUP($B280,DG!A:D,DG!$D$2,)</f>
        <v>tấn</v>
      </c>
      <c r="H280" s="1824"/>
      <c r="I280" s="1824"/>
      <c r="J280" s="1824"/>
      <c r="K280" s="1824"/>
      <c r="L280" s="1824"/>
      <c r="M280" s="1824"/>
      <c r="N280" s="1824"/>
      <c r="O280" s="1824"/>
      <c r="P280" s="1824"/>
      <c r="Q280" s="1052"/>
      <c r="R280" s="1052"/>
      <c r="S280" s="1052"/>
      <c r="T280" s="2035">
        <f t="shared" si="45"/>
        <v>0</v>
      </c>
    </row>
    <row r="281" spans="1:20" ht="22.2" hidden="1" customHeight="1">
      <c r="A281" s="63"/>
      <c r="B281" s="1575" t="s">
        <v>2069</v>
      </c>
      <c r="C281" s="64" t="str">
        <f t="shared" si="46"/>
        <v xml:space="preserve"> </v>
      </c>
      <c r="D281" s="1537">
        <f>D280</f>
        <v>0.35499999999999998</v>
      </c>
      <c r="E281" s="1048" t="str">
        <f>VLOOKUP($B281,DG!A:C,2,)</f>
        <v>02.1451</v>
      </c>
      <c r="F281" s="1049" t="str">
        <f>VLOOKUP($B281,DG!A:C,3,)</f>
        <v>V/c đà cản vào vị trí (cự ly &lt;=100m)</v>
      </c>
      <c r="G281" s="1048" t="str">
        <f>VLOOKUP($B281,DG!A:D,4,0)</f>
        <v>tấn</v>
      </c>
      <c r="H281" s="1824"/>
      <c r="I281" s="1824"/>
      <c r="J281" s="1824"/>
      <c r="K281" s="1824"/>
      <c r="L281" s="1824"/>
      <c r="M281" s="1824"/>
      <c r="N281" s="1824"/>
      <c r="O281" s="1824"/>
      <c r="P281" s="1824"/>
      <c r="Q281" s="1055"/>
      <c r="R281" s="1055"/>
      <c r="S281" s="1055"/>
      <c r="T281" s="2035">
        <f t="shared" si="45"/>
        <v>0</v>
      </c>
    </row>
    <row r="282" spans="1:20" ht="22.2" hidden="1" customHeight="1">
      <c r="A282" s="63"/>
      <c r="B282" s="1575" t="s">
        <v>635</v>
      </c>
      <c r="C282" s="64" t="str">
        <f t="shared" si="46"/>
        <v xml:space="preserve"> </v>
      </c>
      <c r="D282" s="1537">
        <v>0.2</v>
      </c>
      <c r="E282" s="1048" t="str">
        <f>VLOOKUP($B282,DG!A:C,2,)</f>
        <v>02.1482</v>
      </c>
      <c r="F282" s="1049" t="str">
        <f>VLOOKUP($B282,DG!A:C,3,)</f>
        <v>V/c dụng cụ thi công vào vị trí (cự ly &lt;=100m)</v>
      </c>
      <c r="G282" s="1048" t="str">
        <f>VLOOKUP($B282,DG!A:D,4,0)</f>
        <v>tấn</v>
      </c>
      <c r="H282" s="1824"/>
      <c r="I282" s="1824"/>
      <c r="J282" s="1824"/>
      <c r="K282" s="1824"/>
      <c r="L282" s="1824"/>
      <c r="M282" s="1824"/>
      <c r="N282" s="1824"/>
      <c r="O282" s="1824"/>
      <c r="P282" s="1824"/>
      <c r="Q282" s="1055"/>
      <c r="R282" s="1055"/>
      <c r="S282" s="1055"/>
      <c r="T282" s="2035">
        <f t="shared" si="45"/>
        <v>0</v>
      </c>
    </row>
    <row r="283" spans="1:20" ht="22.2" hidden="1" customHeight="1">
      <c r="A283" s="56" t="s">
        <v>647</v>
      </c>
      <c r="B283" s="1574" t="s">
        <v>647</v>
      </c>
      <c r="C283" s="62" t="str">
        <f t="shared" si="46"/>
        <v xml:space="preserve"> </v>
      </c>
      <c r="D283" s="1532"/>
      <c r="E283" s="1045"/>
      <c r="F283" s="1392" t="s">
        <v>2362</v>
      </c>
      <c r="G283" s="1046" t="s">
        <v>2333</v>
      </c>
      <c r="H283" s="1821">
        <f>SUM(I283:O283)</f>
        <v>0</v>
      </c>
      <c r="I283" s="1822"/>
      <c r="J283" s="1822"/>
      <c r="K283" s="1822">
        <f>IFERROR(HLOOKUP(B283,pp3p1m!$1:$3,3,0),0)</f>
        <v>0</v>
      </c>
      <c r="L283" s="1822">
        <f>IFERROR(HLOOKUP(chitiet!B283,pp1p!$1:$3,3,0),0)</f>
        <v>0</v>
      </c>
      <c r="M283" s="1822"/>
      <c r="N283" s="1822"/>
      <c r="O283" s="1822"/>
      <c r="P283" s="1822"/>
      <c r="Q283" s="1047"/>
      <c r="R283" s="1047"/>
      <c r="S283" s="1047"/>
      <c r="T283" s="2035">
        <f>IFERROR(HLOOKUP(B283,pp1p!$1:$3,3,0),0)+IFERROR(HLOOKUP(B283,pp3p1m!$1:$3,3,0),0)</f>
        <v>0</v>
      </c>
    </row>
    <row r="284" spans="1:20" ht="22.2" hidden="1" customHeight="1">
      <c r="A284" s="63"/>
      <c r="B284" s="1589" t="s">
        <v>1578</v>
      </c>
      <c r="C284" s="64" t="str">
        <f t="shared" si="46"/>
        <v xml:space="preserve"> </v>
      </c>
      <c r="D284" s="1538">
        <v>2</v>
      </c>
      <c r="E284" s="1044" t="str">
        <f>VLOOKUP($B284,DG!A:D,DG!$B$2,)</f>
        <v>04.3801</v>
      </c>
      <c r="F284" s="1054" t="str">
        <f>VLOOKUP($B284,DG!A:D,DG!$C$2,)</f>
        <v>Đà cản BTCT 1,5m</v>
      </c>
      <c r="G284" s="1048" t="str">
        <f>VLOOKUP($B284,DG!A:D,DG!$D$2,)</f>
        <v>cái</v>
      </c>
      <c r="H284" s="1824">
        <f t="shared" ref="H284:N285" si="48">H$283*$D284</f>
        <v>0</v>
      </c>
      <c r="I284" s="1824">
        <f t="shared" si="48"/>
        <v>0</v>
      </c>
      <c r="J284" s="1824">
        <f t="shared" si="48"/>
        <v>0</v>
      </c>
      <c r="K284" s="1824">
        <f t="shared" si="48"/>
        <v>0</v>
      </c>
      <c r="L284" s="1824">
        <f t="shared" si="48"/>
        <v>0</v>
      </c>
      <c r="M284" s="1824">
        <f t="shared" si="48"/>
        <v>0</v>
      </c>
      <c r="N284" s="1824">
        <f t="shared" si="48"/>
        <v>0</v>
      </c>
      <c r="O284" s="1824"/>
      <c r="P284" s="1824"/>
      <c r="Q284" s="1052"/>
      <c r="R284" s="1052"/>
      <c r="S284" s="1052"/>
      <c r="T284" s="2035">
        <f t="shared" si="45"/>
        <v>0</v>
      </c>
    </row>
    <row r="285" spans="1:20" ht="22.2" hidden="1" customHeight="1">
      <c r="A285" s="63"/>
      <c r="B285" s="1589" t="s">
        <v>566</v>
      </c>
      <c r="C285" s="64" t="str">
        <f t="shared" si="46"/>
        <v xml:space="preserve"> </v>
      </c>
      <c r="D285" s="1538">
        <v>2</v>
      </c>
      <c r="E285" s="1048"/>
      <c r="F285" s="1054" t="str">
        <f>VLOOKUP($B285,DG!A:D,DG!$C$2,)</f>
        <v>Boulon 22x650+ 2 long đền vuông D24-50x50x3/Zn</v>
      </c>
      <c r="G285" s="1048" t="str">
        <f>VLOOKUP($B285,DG!A:D,DG!$D$2,)</f>
        <v>bộ</v>
      </c>
      <c r="H285" s="1824">
        <f t="shared" si="48"/>
        <v>0</v>
      </c>
      <c r="I285" s="1824">
        <f t="shared" si="48"/>
        <v>0</v>
      </c>
      <c r="J285" s="1824">
        <f t="shared" si="48"/>
        <v>0</v>
      </c>
      <c r="K285" s="1824">
        <f t="shared" si="48"/>
        <v>0</v>
      </c>
      <c r="L285" s="1824">
        <f t="shared" si="48"/>
        <v>0</v>
      </c>
      <c r="M285" s="1824">
        <f t="shared" si="48"/>
        <v>0</v>
      </c>
      <c r="N285" s="1824">
        <f t="shared" si="48"/>
        <v>0</v>
      </c>
      <c r="O285" s="1824"/>
      <c r="P285" s="1824"/>
      <c r="Q285" s="1052"/>
      <c r="R285" s="1052"/>
      <c r="S285" s="1052"/>
      <c r="T285" s="2035">
        <f t="shared" si="45"/>
        <v>0</v>
      </c>
    </row>
    <row r="286" spans="1:20" ht="22.2" hidden="1" customHeight="1">
      <c r="A286" s="63"/>
      <c r="B286" s="1589" t="s">
        <v>639</v>
      </c>
      <c r="C286" s="64" t="str">
        <f t="shared" si="46"/>
        <v xml:space="preserve"> </v>
      </c>
      <c r="D286" s="1537">
        <v>9.48</v>
      </c>
      <c r="E286" s="1048" t="str">
        <f>VLOOKUP($B286,DG!A:D,DG!$B$2,)</f>
        <v>03.1013</v>
      </c>
      <c r="F286" s="1049" t="str">
        <f>VLOOKUP($B286,DG!A:D,DG!$C$2,)</f>
        <v>Đào hố móng đất cấp 3 sâu &gt;1m</v>
      </c>
      <c r="G286" s="1048" t="str">
        <f>VLOOKUP($B286,DG!A:D,DG!$D$2,)</f>
        <v>m3</v>
      </c>
      <c r="H286" s="1824"/>
      <c r="I286" s="1824"/>
      <c r="J286" s="1824"/>
      <c r="K286" s="1824"/>
      <c r="L286" s="1824"/>
      <c r="M286" s="1824"/>
      <c r="N286" s="1824"/>
      <c r="O286" s="1824"/>
      <c r="P286" s="1824"/>
      <c r="Q286" s="1055"/>
      <c r="R286" s="1055"/>
      <c r="S286" s="1055"/>
      <c r="T286" s="2035">
        <f t="shared" si="45"/>
        <v>0</v>
      </c>
    </row>
    <row r="287" spans="1:20" ht="22.2" hidden="1" customHeight="1">
      <c r="A287" s="63"/>
      <c r="B287" s="1589" t="s">
        <v>21</v>
      </c>
      <c r="C287" s="64" t="str">
        <f t="shared" si="46"/>
        <v xml:space="preserve"> </v>
      </c>
      <c r="D287" s="1537">
        <v>10.94</v>
      </c>
      <c r="E287" s="1048" t="str">
        <f>VLOOKUP($B287,DG!A:D,DG!$B$2,)</f>
        <v>03.4113</v>
      </c>
      <c r="F287" s="1049" t="str">
        <f>VLOOKUP($B287,DG!A:D,DG!$C$2,)</f>
        <v>Đắp đất hố móng, độ chặt k=0,95</v>
      </c>
      <c r="G287" s="1048" t="str">
        <f>VLOOKUP($B287,DG!A:D,DG!$D$2,)</f>
        <v>m3</v>
      </c>
      <c r="H287" s="1824"/>
      <c r="I287" s="1824"/>
      <c r="J287" s="1824"/>
      <c r="K287" s="1824"/>
      <c r="L287" s="1824"/>
      <c r="M287" s="1824"/>
      <c r="N287" s="1824"/>
      <c r="O287" s="1824"/>
      <c r="P287" s="1824"/>
      <c r="Q287" s="1055"/>
      <c r="R287" s="1055"/>
      <c r="S287" s="1055"/>
      <c r="T287" s="2035">
        <f t="shared" si="45"/>
        <v>0</v>
      </c>
    </row>
    <row r="288" spans="1:20" ht="22.2" hidden="1" customHeight="1">
      <c r="A288" s="63"/>
      <c r="B288" s="1589" t="s">
        <v>637</v>
      </c>
      <c r="C288" s="64" t="str">
        <f t="shared" si="46"/>
        <v xml:space="preserve"> </v>
      </c>
      <c r="D288" s="1537">
        <f>0.255*2</f>
        <v>0.51</v>
      </c>
      <c r="E288" s="1048" t="str">
        <f>VLOOKUP($B288,DG!A:D,DG!$B$2,)</f>
        <v>02.1123</v>
      </c>
      <c r="F288" s="1049" t="str">
        <f>VLOOKUP($B288,DG!A:D,DG!$C$2,)</f>
        <v>Bốc dỡ đà cản, đế néo</v>
      </c>
      <c r="G288" s="1048" t="str">
        <f>VLOOKUP($B288,DG!A:D,DG!$D$2,)</f>
        <v>tấn</v>
      </c>
      <c r="H288" s="1824"/>
      <c r="I288" s="1824"/>
      <c r="J288" s="1824"/>
      <c r="K288" s="1824"/>
      <c r="L288" s="1824"/>
      <c r="M288" s="1824"/>
      <c r="N288" s="1824"/>
      <c r="O288" s="1824"/>
      <c r="P288" s="1824"/>
      <c r="Q288" s="1052"/>
      <c r="R288" s="1052"/>
      <c r="S288" s="1052"/>
      <c r="T288" s="2035">
        <f t="shared" si="45"/>
        <v>0</v>
      </c>
    </row>
    <row r="289" spans="1:20" ht="22.2" hidden="1" customHeight="1">
      <c r="A289" s="63"/>
      <c r="B289" s="1575" t="s">
        <v>2069</v>
      </c>
      <c r="C289" s="64" t="str">
        <f t="shared" si="46"/>
        <v xml:space="preserve"> </v>
      </c>
      <c r="D289" s="1537">
        <f>D288</f>
        <v>0.51</v>
      </c>
      <c r="E289" s="1048" t="str">
        <f>VLOOKUP($B289,DG!A:C,2,)</f>
        <v>02.1451</v>
      </c>
      <c r="F289" s="1049" t="str">
        <f>VLOOKUP($B289,DG!A:C,3,)</f>
        <v>V/c đà cản vào vị trí (cự ly &lt;=100m)</v>
      </c>
      <c r="G289" s="1048" t="str">
        <f>VLOOKUP($B289,DG!A:D,4,0)</f>
        <v>tấn</v>
      </c>
      <c r="H289" s="1824"/>
      <c r="I289" s="1824"/>
      <c r="J289" s="1824"/>
      <c r="K289" s="1824"/>
      <c r="L289" s="1824"/>
      <c r="M289" s="1824"/>
      <c r="N289" s="1824"/>
      <c r="O289" s="1824"/>
      <c r="P289" s="1824"/>
      <c r="Q289" s="1055"/>
      <c r="R289" s="1055"/>
      <c r="S289" s="1055"/>
      <c r="T289" s="2035">
        <f t="shared" si="45"/>
        <v>0</v>
      </c>
    </row>
    <row r="290" spans="1:20" ht="22.2" hidden="1" customHeight="1">
      <c r="A290" s="63"/>
      <c r="B290" s="1575" t="s">
        <v>635</v>
      </c>
      <c r="C290" s="64" t="str">
        <f t="shared" si="46"/>
        <v xml:space="preserve"> </v>
      </c>
      <c r="D290" s="1537">
        <v>0.2</v>
      </c>
      <c r="E290" s="1048" t="str">
        <f>VLOOKUP($B290,DG!A:C,2,)</f>
        <v>02.1482</v>
      </c>
      <c r="F290" s="1049" t="str">
        <f>VLOOKUP($B290,DG!A:C,3,)</f>
        <v>V/c dụng cụ thi công vào vị trí (cự ly &lt;=100m)</v>
      </c>
      <c r="G290" s="1048" t="str">
        <f>VLOOKUP($B290,DG!A:D,4,0)</f>
        <v>tấn</v>
      </c>
      <c r="H290" s="1824"/>
      <c r="I290" s="1824"/>
      <c r="J290" s="1824"/>
      <c r="K290" s="1824"/>
      <c r="L290" s="1824"/>
      <c r="M290" s="1824"/>
      <c r="N290" s="1824"/>
      <c r="O290" s="1824"/>
      <c r="P290" s="1824"/>
      <c r="Q290" s="1055"/>
      <c r="R290" s="1055"/>
      <c r="S290" s="1055"/>
      <c r="T290" s="2035">
        <f t="shared" si="45"/>
        <v>0</v>
      </c>
    </row>
    <row r="291" spans="1:20" ht="22.2" hidden="1" customHeight="1">
      <c r="A291" s="56" t="s">
        <v>511</v>
      </c>
      <c r="B291" s="1574" t="s">
        <v>511</v>
      </c>
      <c r="C291" s="62" t="str">
        <f t="shared" si="46"/>
        <v xml:space="preserve"> </v>
      </c>
      <c r="D291" s="1532"/>
      <c r="E291" s="1045"/>
      <c r="F291" s="1392" t="s">
        <v>2363</v>
      </c>
      <c r="G291" s="1046" t="s">
        <v>2333</v>
      </c>
      <c r="H291" s="1821">
        <f>SUM(I291:O291)</f>
        <v>0</v>
      </c>
      <c r="I291" s="1822"/>
      <c r="J291" s="1822"/>
      <c r="K291" s="1822">
        <f>IFERROR(HLOOKUP(B291,pp3p1m!$1:$3,3,0),0)</f>
        <v>0</v>
      </c>
      <c r="L291" s="1822">
        <f>IFERROR(HLOOKUP(chitiet!B291,pp1p!$1:$3,3,0),0)</f>
        <v>0</v>
      </c>
      <c r="M291" s="1822"/>
      <c r="N291" s="1822"/>
      <c r="O291" s="1822"/>
      <c r="P291" s="1822"/>
      <c r="Q291" s="1047"/>
      <c r="R291" s="1047"/>
      <c r="S291" s="1047"/>
      <c r="T291" s="2035">
        <f>IFERROR(HLOOKUP(B291,pp1p!$1:$3,3,0),0)+IFERROR(HLOOKUP(B291,pp3p1m!$1:$3,3,0),0)</f>
        <v>0</v>
      </c>
    </row>
    <row r="292" spans="1:20" ht="22.2" hidden="1" customHeight="1">
      <c r="A292" s="63"/>
      <c r="B292" s="1589" t="s">
        <v>224</v>
      </c>
      <c r="C292" s="64" t="str">
        <f t="shared" si="46"/>
        <v xml:space="preserve"> </v>
      </c>
      <c r="D292" s="1538">
        <v>42</v>
      </c>
      <c r="E292" s="1044" t="str">
        <f>VLOOKUP($B292,DG!A:D,DG!$B$2,)</f>
        <v>04.5142</v>
      </c>
      <c r="F292" s="1054" t="str">
        <f>VLOOKUP($B292,DG!A:D,DG!$C$2,)</f>
        <v>Cừ tràm 5m</v>
      </c>
      <c r="G292" s="1048" t="str">
        <f>VLOOKUP($B292,DG!A:D,DG!$D$2,)</f>
        <v>cây</v>
      </c>
      <c r="H292" s="1824">
        <f t="shared" ref="H292:N294" si="49">H$291*$D292</f>
        <v>0</v>
      </c>
      <c r="I292" s="1824">
        <f t="shared" si="49"/>
        <v>0</v>
      </c>
      <c r="J292" s="1824">
        <f t="shared" si="49"/>
        <v>0</v>
      </c>
      <c r="K292" s="1824">
        <f t="shared" si="49"/>
        <v>0</v>
      </c>
      <c r="L292" s="1824">
        <f t="shared" si="49"/>
        <v>0</v>
      </c>
      <c r="M292" s="1824">
        <f t="shared" si="49"/>
        <v>0</v>
      </c>
      <c r="N292" s="1824">
        <f t="shared" si="49"/>
        <v>0</v>
      </c>
      <c r="O292" s="1824"/>
      <c r="P292" s="1824"/>
      <c r="Q292" s="1052"/>
      <c r="R292" s="1052"/>
      <c r="S292" s="1052"/>
      <c r="T292" s="2035">
        <f t="shared" si="45"/>
        <v>0</v>
      </c>
    </row>
    <row r="293" spans="1:20" ht="22.2" hidden="1" customHeight="1">
      <c r="A293" s="63"/>
      <c r="B293" s="1589" t="s">
        <v>1578</v>
      </c>
      <c r="C293" s="64" t="str">
        <f t="shared" si="46"/>
        <v xml:space="preserve"> </v>
      </c>
      <c r="D293" s="1538">
        <v>2</v>
      </c>
      <c r="E293" s="1044" t="str">
        <f>VLOOKUP($B293,DG!A:D,DG!$B$2,)</f>
        <v>04.3801</v>
      </c>
      <c r="F293" s="1054" t="str">
        <f>VLOOKUP($B293,DG!A:D,DG!$C$2,)</f>
        <v>Đà cản BTCT 1,5m</v>
      </c>
      <c r="G293" s="1048" t="str">
        <f>VLOOKUP($B293,DG!A:D,DG!$D$2,)</f>
        <v>cái</v>
      </c>
      <c r="H293" s="1824">
        <f t="shared" si="49"/>
        <v>0</v>
      </c>
      <c r="I293" s="1824">
        <f t="shared" si="49"/>
        <v>0</v>
      </c>
      <c r="J293" s="1824">
        <f t="shared" si="49"/>
        <v>0</v>
      </c>
      <c r="K293" s="1824">
        <f t="shared" si="49"/>
        <v>0</v>
      </c>
      <c r="L293" s="1824">
        <f t="shared" si="49"/>
        <v>0</v>
      </c>
      <c r="M293" s="1824">
        <f t="shared" si="49"/>
        <v>0</v>
      </c>
      <c r="N293" s="1824">
        <f t="shared" si="49"/>
        <v>0</v>
      </c>
      <c r="O293" s="1824"/>
      <c r="P293" s="1824"/>
      <c r="Q293" s="1052"/>
      <c r="R293" s="1052"/>
      <c r="S293" s="1052"/>
      <c r="T293" s="2035">
        <f t="shared" si="45"/>
        <v>0</v>
      </c>
    </row>
    <row r="294" spans="1:20" ht="22.2" hidden="1" customHeight="1">
      <c r="A294" s="63"/>
      <c r="B294" s="1589" t="s">
        <v>722</v>
      </c>
      <c r="C294" s="64" t="str">
        <f t="shared" si="46"/>
        <v xml:space="preserve"> </v>
      </c>
      <c r="D294" s="1538">
        <v>1</v>
      </c>
      <c r="E294" s="1048"/>
      <c r="F294" s="1054" t="str">
        <f>VLOOKUP($B294,DG!A:D,DG!$C$2,)</f>
        <v>Boulon 22x850+ 2 long đền vuông D24-50x50x3/Zn</v>
      </c>
      <c r="G294" s="1048" t="str">
        <f>VLOOKUP($B294,DG!A:D,DG!$D$2,)</f>
        <v>bộ</v>
      </c>
      <c r="H294" s="1824">
        <f t="shared" si="49"/>
        <v>0</v>
      </c>
      <c r="I294" s="1824">
        <f t="shared" si="49"/>
        <v>0</v>
      </c>
      <c r="J294" s="1824">
        <f t="shared" si="49"/>
        <v>0</v>
      </c>
      <c r="K294" s="1824">
        <f t="shared" si="49"/>
        <v>0</v>
      </c>
      <c r="L294" s="1824">
        <f t="shared" si="49"/>
        <v>0</v>
      </c>
      <c r="M294" s="1824">
        <f t="shared" si="49"/>
        <v>0</v>
      </c>
      <c r="N294" s="1824">
        <f t="shared" si="49"/>
        <v>0</v>
      </c>
      <c r="O294" s="1824"/>
      <c r="P294" s="1824"/>
      <c r="Q294" s="1052"/>
      <c r="R294" s="1052"/>
      <c r="S294" s="1052"/>
      <c r="T294" s="2035">
        <f t="shared" si="45"/>
        <v>0</v>
      </c>
    </row>
    <row r="295" spans="1:20" ht="22.2" hidden="1" customHeight="1">
      <c r="A295" s="63"/>
      <c r="B295" s="1589" t="s">
        <v>639</v>
      </c>
      <c r="C295" s="64" t="str">
        <f t="shared" si="46"/>
        <v xml:space="preserve"> </v>
      </c>
      <c r="D295" s="1537">
        <v>3.88</v>
      </c>
      <c r="E295" s="1048" t="str">
        <f>VLOOKUP($B295,DG!A:D,DG!$B$2,)</f>
        <v>03.1013</v>
      </c>
      <c r="F295" s="1049" t="str">
        <f>VLOOKUP($B295,DG!A:D,DG!$C$2,)</f>
        <v>Đào hố móng đất cấp 3 sâu &gt;1m</v>
      </c>
      <c r="G295" s="1048" t="str">
        <f>VLOOKUP($B295,DG!A:D,DG!$D$2,)</f>
        <v>m3</v>
      </c>
      <c r="H295" s="1824"/>
      <c r="I295" s="1824"/>
      <c r="J295" s="1824"/>
      <c r="K295" s="1824"/>
      <c r="L295" s="1824"/>
      <c r="M295" s="1824"/>
      <c r="N295" s="1824"/>
      <c r="O295" s="1824"/>
      <c r="P295" s="1824"/>
      <c r="Q295" s="1055"/>
      <c r="R295" s="1055"/>
      <c r="S295" s="1055"/>
      <c r="T295" s="2035">
        <f t="shared" si="45"/>
        <v>0</v>
      </c>
    </row>
    <row r="296" spans="1:20" ht="22.2" hidden="1" customHeight="1">
      <c r="A296" s="63"/>
      <c r="B296" s="1589" t="s">
        <v>21</v>
      </c>
      <c r="C296" s="64" t="str">
        <f t="shared" si="46"/>
        <v xml:space="preserve"> </v>
      </c>
      <c r="D296" s="1537">
        <v>4.34</v>
      </c>
      <c r="E296" s="1048" t="str">
        <f>VLOOKUP($B296,DG!A:D,DG!$B$2,)</f>
        <v>03.4113</v>
      </c>
      <c r="F296" s="1049" t="str">
        <f>VLOOKUP($B296,DG!A:D,DG!$C$2,)</f>
        <v>Đắp đất hố móng, độ chặt k=0,95</v>
      </c>
      <c r="G296" s="1048" t="str">
        <f>VLOOKUP($B296,DG!A:D,DG!$D$2,)</f>
        <v>m3</v>
      </c>
      <c r="H296" s="1824"/>
      <c r="I296" s="1824"/>
      <c r="J296" s="1824"/>
      <c r="K296" s="1824"/>
      <c r="L296" s="1824"/>
      <c r="M296" s="1824"/>
      <c r="N296" s="1824"/>
      <c r="O296" s="1824"/>
      <c r="P296" s="1824"/>
      <c r="Q296" s="1055"/>
      <c r="R296" s="1055"/>
      <c r="S296" s="1055"/>
      <c r="T296" s="2035">
        <f t="shared" si="45"/>
        <v>0</v>
      </c>
    </row>
    <row r="297" spans="1:20" ht="22.2" hidden="1" customHeight="1">
      <c r="A297" s="63"/>
      <c r="B297" s="1589" t="s">
        <v>637</v>
      </c>
      <c r="C297" s="64" t="str">
        <f t="shared" si="46"/>
        <v xml:space="preserve"> </v>
      </c>
      <c r="D297" s="1537">
        <f>0.255*2</f>
        <v>0.51</v>
      </c>
      <c r="E297" s="1048" t="str">
        <f>VLOOKUP($B297,DG!A:D,DG!$B$2,)</f>
        <v>02.1123</v>
      </c>
      <c r="F297" s="1049" t="str">
        <f>VLOOKUP($B297,DG!A:D,DG!$C$2,)</f>
        <v>Bốc dỡ đà cản, đế néo</v>
      </c>
      <c r="G297" s="1048" t="str">
        <f>VLOOKUP($B297,DG!A:D,DG!$D$2,)</f>
        <v>tấn</v>
      </c>
      <c r="H297" s="1824"/>
      <c r="I297" s="1824"/>
      <c r="J297" s="1824"/>
      <c r="K297" s="1824"/>
      <c r="L297" s="1824"/>
      <c r="M297" s="1824"/>
      <c r="N297" s="1824"/>
      <c r="O297" s="1824"/>
      <c r="P297" s="1824"/>
      <c r="Q297" s="1055"/>
      <c r="R297" s="1055"/>
      <c r="S297" s="1055"/>
      <c r="T297" s="2035">
        <f t="shared" si="45"/>
        <v>0</v>
      </c>
    </row>
    <row r="298" spans="1:20" ht="22.2" hidden="1" customHeight="1">
      <c r="A298" s="63"/>
      <c r="B298" s="1589" t="s">
        <v>1580</v>
      </c>
      <c r="C298" s="64" t="str">
        <f t="shared" si="46"/>
        <v xml:space="preserve"> </v>
      </c>
      <c r="D298" s="1538">
        <f>D292</f>
        <v>42</v>
      </c>
      <c r="E298" s="1048" t="str">
        <f>VLOOKUP($B298,DG!A:D,DG!$B$2,)</f>
        <v>02.1119</v>
      </c>
      <c r="F298" s="1049" t="str">
        <f>VLOOKUP($B298,DG!A:D,DG!$C$2,)</f>
        <v>Bốc dỡ cừ tràm 5m</v>
      </c>
      <c r="G298" s="1048" t="str">
        <f>VLOOKUP($B298,DG!A:D,DG!$D$2,)</f>
        <v>cây</v>
      </c>
      <c r="H298" s="1824"/>
      <c r="I298" s="1824"/>
      <c r="J298" s="1824"/>
      <c r="K298" s="1824"/>
      <c r="L298" s="1824"/>
      <c r="M298" s="1824"/>
      <c r="N298" s="1824"/>
      <c r="O298" s="1824"/>
      <c r="P298" s="1824"/>
      <c r="Q298" s="1055"/>
      <c r="R298" s="1055"/>
      <c r="S298" s="1055"/>
      <c r="T298" s="2035">
        <f t="shared" si="45"/>
        <v>0</v>
      </c>
    </row>
    <row r="299" spans="1:20" ht="22.2" hidden="1" customHeight="1">
      <c r="A299" s="63"/>
      <c r="B299" s="1591" t="s">
        <v>634</v>
      </c>
      <c r="C299" s="64" t="str">
        <f t="shared" si="46"/>
        <v xml:space="preserve"> </v>
      </c>
      <c r="D299" s="1538">
        <f>D292</f>
        <v>42</v>
      </c>
      <c r="E299" s="1048" t="str">
        <f>VLOOKUP($B299,DG!A:C,2,)</f>
        <v>02.1411</v>
      </c>
      <c r="F299" s="1049" t="str">
        <f>VLOOKUP($B299,DG!A:C,3,)</f>
        <v>V/c cừ tràm 5m ( cự ly &lt;=100m)</v>
      </c>
      <c r="G299" s="1048" t="str">
        <f>VLOOKUP($B299,DG!A:D,4,0)</f>
        <v>cây</v>
      </c>
      <c r="H299" s="1824"/>
      <c r="I299" s="1824"/>
      <c r="J299" s="1824"/>
      <c r="K299" s="1824"/>
      <c r="L299" s="1824"/>
      <c r="M299" s="1824"/>
      <c r="N299" s="1824"/>
      <c r="O299" s="1824"/>
      <c r="P299" s="1824"/>
      <c r="Q299" s="1055"/>
      <c r="R299" s="1055"/>
      <c r="S299" s="1055"/>
      <c r="T299" s="2035">
        <f t="shared" si="45"/>
        <v>0</v>
      </c>
    </row>
    <row r="300" spans="1:20" ht="22.2" hidden="1" customHeight="1">
      <c r="A300" s="63"/>
      <c r="B300" s="1575" t="s">
        <v>2069</v>
      </c>
      <c r="C300" s="64" t="str">
        <f t="shared" si="46"/>
        <v xml:space="preserve"> </v>
      </c>
      <c r="D300" s="1537">
        <f>D297</f>
        <v>0.51</v>
      </c>
      <c r="E300" s="1048" t="str">
        <f>VLOOKUP($B300,DG!A:C,2,)</f>
        <v>02.1451</v>
      </c>
      <c r="F300" s="1049" t="str">
        <f>VLOOKUP($B300,DG!A:C,3,)</f>
        <v>V/c đà cản vào vị trí (cự ly &lt;=100m)</v>
      </c>
      <c r="G300" s="1048" t="str">
        <f>VLOOKUP($B300,DG!A:D,4,0)</f>
        <v>tấn</v>
      </c>
      <c r="H300" s="1824"/>
      <c r="I300" s="1824"/>
      <c r="J300" s="1824"/>
      <c r="K300" s="1824"/>
      <c r="L300" s="1824"/>
      <c r="M300" s="1824"/>
      <c r="N300" s="1824"/>
      <c r="O300" s="1824"/>
      <c r="P300" s="1824"/>
      <c r="Q300" s="1055"/>
      <c r="R300" s="1055"/>
      <c r="S300" s="1055"/>
      <c r="T300" s="2035">
        <f t="shared" si="45"/>
        <v>0</v>
      </c>
    </row>
    <row r="301" spans="1:20" ht="22.2" hidden="1" customHeight="1">
      <c r="A301" s="63"/>
      <c r="B301" s="1575" t="s">
        <v>635</v>
      </c>
      <c r="C301" s="64" t="str">
        <f t="shared" si="46"/>
        <v xml:space="preserve"> </v>
      </c>
      <c r="D301" s="1537">
        <v>0.2</v>
      </c>
      <c r="E301" s="1048" t="str">
        <f>VLOOKUP($B301,DG!A:C,2,)</f>
        <v>02.1482</v>
      </c>
      <c r="F301" s="1049" t="str">
        <f>VLOOKUP($B301,DG!A:C,3,)</f>
        <v>V/c dụng cụ thi công vào vị trí (cự ly &lt;=100m)</v>
      </c>
      <c r="G301" s="1048" t="str">
        <f>VLOOKUP($B301,DG!A:D,4,0)</f>
        <v>tấn</v>
      </c>
      <c r="H301" s="1824"/>
      <c r="I301" s="1824"/>
      <c r="J301" s="1824"/>
      <c r="K301" s="1824"/>
      <c r="L301" s="1824"/>
      <c r="M301" s="1824"/>
      <c r="N301" s="1824"/>
      <c r="O301" s="1824"/>
      <c r="P301" s="1824"/>
      <c r="Q301" s="1055"/>
      <c r="R301" s="1055"/>
      <c r="S301" s="1055"/>
      <c r="T301" s="2035">
        <f t="shared" si="45"/>
        <v>0</v>
      </c>
    </row>
    <row r="302" spans="1:20" ht="22.2" hidden="1" customHeight="1" collapsed="1">
      <c r="A302" s="56" t="s">
        <v>646</v>
      </c>
      <c r="B302" s="1574" t="s">
        <v>646</v>
      </c>
      <c r="C302" s="62" t="str">
        <f t="shared" si="46"/>
        <v xml:space="preserve"> </v>
      </c>
      <c r="D302" s="1532"/>
      <c r="E302" s="1045"/>
      <c r="F302" s="1392" t="s">
        <v>2364</v>
      </c>
      <c r="G302" s="1046" t="s">
        <v>2333</v>
      </c>
      <c r="H302" s="1821">
        <f>SUM(I302:O302)</f>
        <v>0</v>
      </c>
      <c r="I302" s="1822"/>
      <c r="J302" s="1822"/>
      <c r="K302" s="1822">
        <f>IFERROR(HLOOKUP(B302,pp3p1m!$1:$3,3,0),0)</f>
        <v>0</v>
      </c>
      <c r="L302" s="1822">
        <f>IFERROR(HLOOKUP(chitiet!B302,pp1p!$1:$3,3,0),0)</f>
        <v>0</v>
      </c>
      <c r="M302" s="1822"/>
      <c r="N302" s="1822"/>
      <c r="O302" s="1822"/>
      <c r="P302" s="1822"/>
      <c r="Q302" s="1047"/>
      <c r="R302" s="1047"/>
      <c r="S302" s="1047"/>
      <c r="T302" s="2035">
        <f>IFERROR(HLOOKUP(B302,pp1p!$1:$3,3,0),0)+IFERROR(HLOOKUP(B302,pp3p1m!$1:$3,3,0),0)</f>
        <v>0</v>
      </c>
    </row>
    <row r="303" spans="1:20" ht="22.2" hidden="1" customHeight="1">
      <c r="A303" s="63"/>
      <c r="B303" s="1589" t="s">
        <v>636</v>
      </c>
      <c r="C303" s="64" t="str">
        <f t="shared" si="46"/>
        <v xml:space="preserve"> </v>
      </c>
      <c r="D303" s="1538">
        <v>2</v>
      </c>
      <c r="E303" s="1044" t="str">
        <f>VLOOKUP($B303,DG!A:D,DG!$B$2,)</f>
        <v>04.4001</v>
      </c>
      <c r="F303" s="1054" t="str">
        <f>VLOOKUP($B303,DG!A:D,DG!$C$2,)</f>
        <v>Đà cản BTCT 1,2m</v>
      </c>
      <c r="G303" s="1048" t="str">
        <f>VLOOKUP($B303,DG!A:D,DG!$D$2,)</f>
        <v>cái</v>
      </c>
      <c r="H303" s="1824">
        <f t="shared" ref="H303:N303" si="50">H$302*$D303</f>
        <v>0</v>
      </c>
      <c r="I303" s="1824">
        <f t="shared" si="50"/>
        <v>0</v>
      </c>
      <c r="J303" s="1824">
        <f t="shared" si="50"/>
        <v>0</v>
      </c>
      <c r="K303" s="1824">
        <f t="shared" si="50"/>
        <v>0</v>
      </c>
      <c r="L303" s="1824">
        <f t="shared" si="50"/>
        <v>0</v>
      </c>
      <c r="M303" s="1824">
        <f t="shared" si="50"/>
        <v>0</v>
      </c>
      <c r="N303" s="1824">
        <f t="shared" si="50"/>
        <v>0</v>
      </c>
      <c r="O303" s="1824"/>
      <c r="P303" s="1824"/>
      <c r="Q303" s="1052"/>
      <c r="R303" s="1052"/>
      <c r="S303" s="1052"/>
      <c r="T303" s="2035">
        <f t="shared" si="45"/>
        <v>0</v>
      </c>
    </row>
    <row r="304" spans="1:20" ht="22.2" hidden="1" customHeight="1">
      <c r="A304" s="63"/>
      <c r="B304" s="1589" t="s">
        <v>722</v>
      </c>
      <c r="C304" s="64" t="str">
        <f t="shared" si="46"/>
        <v xml:space="preserve"> </v>
      </c>
      <c r="D304" s="1538">
        <v>1</v>
      </c>
      <c r="E304" s="1048"/>
      <c r="F304" s="1054" t="str">
        <f>VLOOKUP($B304,DG!A:D,DG!$C$2,)</f>
        <v>Boulon 22x850+ 2 long đền vuông D24-50x50x3/Zn</v>
      </c>
      <c r="G304" s="1048" t="str">
        <f>VLOOKUP($B304,DG!A:D,DG!$D$2,)</f>
        <v>bộ</v>
      </c>
      <c r="H304" s="1824">
        <f>$H$302*D304</f>
        <v>0</v>
      </c>
      <c r="I304" s="1824">
        <f t="shared" ref="I304:N304" si="51">I$302*$D304</f>
        <v>0</v>
      </c>
      <c r="J304" s="1824">
        <f t="shared" si="51"/>
        <v>0</v>
      </c>
      <c r="K304" s="1824">
        <f t="shared" si="51"/>
        <v>0</v>
      </c>
      <c r="L304" s="1824">
        <f t="shared" si="51"/>
        <v>0</v>
      </c>
      <c r="M304" s="1824">
        <f t="shared" si="51"/>
        <v>0</v>
      </c>
      <c r="N304" s="1824">
        <f t="shared" si="51"/>
        <v>0</v>
      </c>
      <c r="O304" s="1824"/>
      <c r="P304" s="1824"/>
      <c r="Q304" s="1052"/>
      <c r="R304" s="1052"/>
      <c r="S304" s="1052"/>
      <c r="T304" s="2035">
        <f t="shared" si="45"/>
        <v>0</v>
      </c>
    </row>
    <row r="305" spans="1:20" ht="22.2" hidden="1" customHeight="1">
      <c r="A305" s="63"/>
      <c r="B305" s="1589" t="s">
        <v>639</v>
      </c>
      <c r="C305" s="64" t="str">
        <f t="shared" si="46"/>
        <v xml:space="preserve"> </v>
      </c>
      <c r="D305" s="1537">
        <v>1.0900000000000001</v>
      </c>
      <c r="E305" s="1048" t="str">
        <f>VLOOKUP($B305,DG!A:D,DG!$B$2,)</f>
        <v>03.1013</v>
      </c>
      <c r="F305" s="1049" t="str">
        <f>VLOOKUP($B305,DG!A:D,DG!$C$2,)</f>
        <v>Đào hố móng đất cấp 3 sâu &gt;1m</v>
      </c>
      <c r="G305" s="1048" t="str">
        <f>VLOOKUP($B305,DG!A:D,DG!$D$2,)</f>
        <v>m3</v>
      </c>
      <c r="H305" s="1824"/>
      <c r="I305" s="1824"/>
      <c r="J305" s="1824"/>
      <c r="K305" s="1824"/>
      <c r="L305" s="1824"/>
      <c r="M305" s="1824"/>
      <c r="N305" s="1824"/>
      <c r="O305" s="1824"/>
      <c r="P305" s="1824"/>
      <c r="Q305" s="1055"/>
      <c r="R305" s="1055"/>
      <c r="S305" s="1055"/>
      <c r="T305" s="2035">
        <f t="shared" si="45"/>
        <v>0</v>
      </c>
    </row>
    <row r="306" spans="1:20" ht="22.2" hidden="1" customHeight="1">
      <c r="A306" s="63"/>
      <c r="B306" s="1589" t="s">
        <v>21</v>
      </c>
      <c r="C306" s="64" t="str">
        <f t="shared" si="46"/>
        <v xml:space="preserve"> </v>
      </c>
      <c r="D306" s="1537">
        <v>1.02</v>
      </c>
      <c r="E306" s="1048" t="str">
        <f>VLOOKUP($B306,DG!A:D,DG!$B$2,)</f>
        <v>03.4113</v>
      </c>
      <c r="F306" s="1049" t="str">
        <f>VLOOKUP($B306,DG!A:D,DG!$C$2,)</f>
        <v>Đắp đất hố móng, độ chặt k=0,95</v>
      </c>
      <c r="G306" s="1048" t="str">
        <f>VLOOKUP($B306,DG!A:D,DG!$D$2,)</f>
        <v>m3</v>
      </c>
      <c r="H306" s="1824"/>
      <c r="I306" s="1824"/>
      <c r="J306" s="1824"/>
      <c r="K306" s="1824"/>
      <c r="L306" s="1824"/>
      <c r="M306" s="1824"/>
      <c r="N306" s="1824"/>
      <c r="O306" s="1824"/>
      <c r="P306" s="1824"/>
      <c r="Q306" s="1055"/>
      <c r="R306" s="1055"/>
      <c r="S306" s="1055"/>
      <c r="T306" s="2035">
        <f t="shared" si="45"/>
        <v>0</v>
      </c>
    </row>
    <row r="307" spans="1:20" ht="22.2" hidden="1" customHeight="1">
      <c r="A307" s="56" t="s">
        <v>1905</v>
      </c>
      <c r="B307" s="1574" t="s">
        <v>1905</v>
      </c>
      <c r="C307" s="62" t="str">
        <f t="shared" si="46"/>
        <v xml:space="preserve"> </v>
      </c>
      <c r="D307" s="1532"/>
      <c r="E307" s="1045"/>
      <c r="F307" s="1392" t="s">
        <v>2365</v>
      </c>
      <c r="G307" s="1046" t="s">
        <v>2333</v>
      </c>
      <c r="H307" s="1821">
        <f>SUM(I307:O307)</f>
        <v>0</v>
      </c>
      <c r="I307" s="1822"/>
      <c r="J307" s="1822"/>
      <c r="K307" s="1822">
        <f>IFERROR(HLOOKUP(B307,pp3p1m!$1:$3,3,0),0)</f>
        <v>0</v>
      </c>
      <c r="L307" s="1822">
        <f>IFERROR(HLOOKUP(chitiet!B307,pp1p!$1:$3,3,0),0)</f>
        <v>0</v>
      </c>
      <c r="M307" s="1822"/>
      <c r="N307" s="1822"/>
      <c r="O307" s="1822"/>
      <c r="P307" s="1822"/>
      <c r="Q307" s="1047"/>
      <c r="R307" s="1047"/>
      <c r="S307" s="1047"/>
      <c r="T307" s="2035">
        <f>IFERROR(HLOOKUP(B307,pp1p!$1:$3,3,0),0)+IFERROR(HLOOKUP(B307,pp3p1m!$1:$3,3,0),0)</f>
        <v>0</v>
      </c>
    </row>
    <row r="308" spans="1:20" ht="22.2" hidden="1" customHeight="1">
      <c r="A308" s="63"/>
      <c r="B308" s="1589" t="s">
        <v>1578</v>
      </c>
      <c r="C308" s="64" t="str">
        <f t="shared" si="46"/>
        <v xml:space="preserve"> </v>
      </c>
      <c r="D308" s="1538">
        <v>2</v>
      </c>
      <c r="E308" s="1044" t="str">
        <f>VLOOKUP($B308,DG!A:D,DG!$B$2,)</f>
        <v>04.3801</v>
      </c>
      <c r="F308" s="1054" t="str">
        <f>VLOOKUP($B308,DG!A:D,DG!$C$2,)</f>
        <v>Đà cản BTCT 1,5m</v>
      </c>
      <c r="G308" s="1048" t="str">
        <f>VLOOKUP($B308,DG!A:D,DG!$D$2,)</f>
        <v>cái</v>
      </c>
      <c r="H308" s="1824">
        <f>H$307*$D308</f>
        <v>0</v>
      </c>
      <c r="I308" s="1824">
        <f>I$307*$D308</f>
        <v>0</v>
      </c>
      <c r="J308" s="1824">
        <f t="shared" ref="J308:N309" si="52">J$302*$D308</f>
        <v>0</v>
      </c>
      <c r="K308" s="1824">
        <f t="shared" si="52"/>
        <v>0</v>
      </c>
      <c r="L308" s="1824">
        <f t="shared" si="52"/>
        <v>0</v>
      </c>
      <c r="M308" s="1824">
        <f t="shared" si="52"/>
        <v>0</v>
      </c>
      <c r="N308" s="1824">
        <f t="shared" si="52"/>
        <v>0</v>
      </c>
      <c r="O308" s="1824"/>
      <c r="P308" s="1824"/>
      <c r="Q308" s="1052"/>
      <c r="R308" s="1052"/>
      <c r="S308" s="1052"/>
      <c r="T308" s="2035">
        <f t="shared" si="45"/>
        <v>0</v>
      </c>
    </row>
    <row r="309" spans="1:20" ht="22.2" hidden="1" customHeight="1">
      <c r="A309" s="63"/>
      <c r="B309" s="1589" t="s">
        <v>722</v>
      </c>
      <c r="C309" s="64" t="str">
        <f t="shared" si="46"/>
        <v xml:space="preserve"> </v>
      </c>
      <c r="D309" s="1538">
        <v>1</v>
      </c>
      <c r="E309" s="1048"/>
      <c r="F309" s="1054" t="str">
        <f>VLOOKUP($B309,DG!A:D,DG!$C$2,)</f>
        <v>Boulon 22x850+ 2 long đền vuông D24-50x50x3/Zn</v>
      </c>
      <c r="G309" s="1048" t="str">
        <f>VLOOKUP($B309,DG!A:D,DG!$D$2,)</f>
        <v>bộ</v>
      </c>
      <c r="H309" s="1824">
        <f>H$307*$D309</f>
        <v>0</v>
      </c>
      <c r="I309" s="1824">
        <f>I$307*$D309</f>
        <v>0</v>
      </c>
      <c r="J309" s="1824">
        <f t="shared" si="52"/>
        <v>0</v>
      </c>
      <c r="K309" s="1824">
        <f t="shared" si="52"/>
        <v>0</v>
      </c>
      <c r="L309" s="1824">
        <f t="shared" si="52"/>
        <v>0</v>
      </c>
      <c r="M309" s="1824">
        <f t="shared" si="52"/>
        <v>0</v>
      </c>
      <c r="N309" s="1824">
        <f t="shared" si="52"/>
        <v>0</v>
      </c>
      <c r="O309" s="1824"/>
      <c r="P309" s="1824"/>
      <c r="Q309" s="1052"/>
      <c r="R309" s="1052"/>
      <c r="S309" s="1052"/>
      <c r="T309" s="2035">
        <f t="shared" si="45"/>
        <v>0</v>
      </c>
    </row>
    <row r="310" spans="1:20" ht="22.2" hidden="1" customHeight="1">
      <c r="A310" s="59"/>
      <c r="B310" s="1577" t="s">
        <v>1816</v>
      </c>
      <c r="C310" s="64" t="str">
        <f t="shared" si="46"/>
        <v xml:space="preserve"> </v>
      </c>
      <c r="D310" s="1533">
        <v>0.23200000000000001</v>
      </c>
      <c r="E310" s="1044">
        <f>VLOOKUP($B310,DG!A:D,DG!$B$2,)</f>
        <v>0</v>
      </c>
      <c r="F310" s="1049" t="str">
        <f>VLOOKUP($B310,DG!A:D,DG!$C$2,)</f>
        <v>Đá 2x4</v>
      </c>
      <c r="G310" s="1044" t="str">
        <f>VLOOKUP($B310,DG!A:D,DG!$D$2,)</f>
        <v>m3</v>
      </c>
      <c r="H310" s="1823">
        <f t="shared" ref="H310:N310" si="53">H$18*$D310</f>
        <v>0</v>
      </c>
      <c r="I310" s="1823">
        <f t="shared" si="53"/>
        <v>0</v>
      </c>
      <c r="J310" s="1823">
        <f t="shared" si="53"/>
        <v>0</v>
      </c>
      <c r="K310" s="1823">
        <f t="shared" si="53"/>
        <v>0</v>
      </c>
      <c r="L310" s="1823">
        <f t="shared" si="53"/>
        <v>0</v>
      </c>
      <c r="M310" s="1823">
        <f t="shared" si="53"/>
        <v>0</v>
      </c>
      <c r="N310" s="1823">
        <f t="shared" si="53"/>
        <v>0</v>
      </c>
      <c r="O310" s="1823"/>
      <c r="P310" s="1823"/>
      <c r="Q310" s="1053"/>
      <c r="R310" s="1053"/>
      <c r="S310" s="1053"/>
      <c r="T310" s="2035">
        <f t="shared" si="45"/>
        <v>0</v>
      </c>
    </row>
    <row r="311" spans="1:20" ht="22.2" hidden="1" customHeight="1">
      <c r="A311" s="63"/>
      <c r="B311" s="1589" t="s">
        <v>639</v>
      </c>
      <c r="C311" s="64" t="str">
        <f t="shared" si="46"/>
        <v xml:space="preserve"> </v>
      </c>
      <c r="D311" s="1537">
        <v>3.88</v>
      </c>
      <c r="E311" s="1048" t="str">
        <f>VLOOKUP($B311,DG!A:D,DG!$B$2,)</f>
        <v>03.1013</v>
      </c>
      <c r="F311" s="1049" t="str">
        <f>VLOOKUP($B311,DG!A:D,DG!$C$2,)</f>
        <v>Đào hố móng đất cấp 3 sâu &gt;1m</v>
      </c>
      <c r="G311" s="1048" t="str">
        <f>VLOOKUP($B311,DG!A:D,DG!$D$2,)</f>
        <v>m3</v>
      </c>
      <c r="H311" s="1824"/>
      <c r="I311" s="1824"/>
      <c r="J311" s="1824"/>
      <c r="K311" s="1824"/>
      <c r="L311" s="1824"/>
      <c r="M311" s="1824"/>
      <c r="N311" s="1824"/>
      <c r="O311" s="1824"/>
      <c r="P311" s="1824"/>
      <c r="Q311" s="1055"/>
      <c r="R311" s="1055"/>
      <c r="S311" s="1055"/>
      <c r="T311" s="2035">
        <f t="shared" si="45"/>
        <v>0</v>
      </c>
    </row>
    <row r="312" spans="1:20" ht="22.2" hidden="1" customHeight="1">
      <c r="A312" s="63"/>
      <c r="B312" s="1589" t="s">
        <v>21</v>
      </c>
      <c r="C312" s="64" t="str">
        <f t="shared" si="46"/>
        <v xml:space="preserve"> </v>
      </c>
      <c r="D312" s="1537">
        <v>4.34</v>
      </c>
      <c r="E312" s="1048" t="str">
        <f>VLOOKUP($B312,DG!A:D,DG!$B$2,)</f>
        <v>03.4113</v>
      </c>
      <c r="F312" s="1049" t="str">
        <f>VLOOKUP($B312,DG!A:D,DG!$C$2,)</f>
        <v>Đắp đất hố móng, độ chặt k=0,95</v>
      </c>
      <c r="G312" s="1048" t="str">
        <f>VLOOKUP($B312,DG!A:D,DG!$D$2,)</f>
        <v>m3</v>
      </c>
      <c r="H312" s="1824"/>
      <c r="I312" s="1824"/>
      <c r="J312" s="1824"/>
      <c r="K312" s="1824"/>
      <c r="L312" s="1824"/>
      <c r="M312" s="1824"/>
      <c r="N312" s="1824"/>
      <c r="O312" s="1824"/>
      <c r="P312" s="1824"/>
      <c r="Q312" s="1055"/>
      <c r="R312" s="1055"/>
      <c r="S312" s="1055"/>
      <c r="T312" s="2035">
        <f t="shared" si="45"/>
        <v>0</v>
      </c>
    </row>
    <row r="313" spans="1:20" ht="22.2" hidden="1" customHeight="1">
      <c r="A313" s="63"/>
      <c r="B313" s="1589" t="s">
        <v>637</v>
      </c>
      <c r="C313" s="64" t="str">
        <f t="shared" si="46"/>
        <v xml:space="preserve"> </v>
      </c>
      <c r="D313" s="1537">
        <f>0.255*D308</f>
        <v>0.51</v>
      </c>
      <c r="E313" s="1048" t="str">
        <f>VLOOKUP($B313,DG!A:D,DG!$B$2,)</f>
        <v>02.1123</v>
      </c>
      <c r="F313" s="1049" t="str">
        <f>VLOOKUP($B313,DG!A:D,DG!$C$2,)</f>
        <v>Bốc dỡ đà cản, đế néo</v>
      </c>
      <c r="G313" s="1048" t="str">
        <f>VLOOKUP($B313,DG!A:D,DG!$D$2,)</f>
        <v>tấn</v>
      </c>
      <c r="H313" s="1824"/>
      <c r="I313" s="1824"/>
      <c r="J313" s="1824"/>
      <c r="K313" s="1824"/>
      <c r="L313" s="1824"/>
      <c r="M313" s="1824"/>
      <c r="N313" s="1824"/>
      <c r="O313" s="1824"/>
      <c r="P313" s="1824"/>
      <c r="Q313" s="1052"/>
      <c r="R313" s="1052"/>
      <c r="S313" s="1052"/>
      <c r="T313" s="2035">
        <f t="shared" si="45"/>
        <v>0</v>
      </c>
    </row>
    <row r="314" spans="1:20" ht="22.2" hidden="1" customHeight="1">
      <c r="A314" s="63"/>
      <c r="B314" s="1575" t="s">
        <v>2069</v>
      </c>
      <c r="C314" s="64" t="str">
        <f t="shared" si="46"/>
        <v xml:space="preserve"> </v>
      </c>
      <c r="D314" s="1537">
        <f>D313</f>
        <v>0.51</v>
      </c>
      <c r="E314" s="1048" t="str">
        <f>VLOOKUP($B314,DG!A:C,2,)</f>
        <v>02.1451</v>
      </c>
      <c r="F314" s="1049" t="str">
        <f>VLOOKUP($B314,DG!A:C,3,)</f>
        <v>V/c đà cản vào vị trí (cự ly &lt;=100m)</v>
      </c>
      <c r="G314" s="1048" t="str">
        <f>VLOOKUP($B314,DG!A:D,4,0)</f>
        <v>tấn</v>
      </c>
      <c r="H314" s="1824"/>
      <c r="I314" s="1824"/>
      <c r="J314" s="1824"/>
      <c r="K314" s="1824"/>
      <c r="L314" s="1824"/>
      <c r="M314" s="1824"/>
      <c r="N314" s="1824"/>
      <c r="O314" s="1824"/>
      <c r="P314" s="1824"/>
      <c r="Q314" s="1055"/>
      <c r="R314" s="1055"/>
      <c r="S314" s="1055"/>
      <c r="T314" s="2035">
        <f t="shared" si="45"/>
        <v>0</v>
      </c>
    </row>
    <row r="315" spans="1:20" ht="22.2" hidden="1" customHeight="1">
      <c r="A315" s="59"/>
      <c r="B315" s="1588" t="s">
        <v>674</v>
      </c>
      <c r="C315" s="64" t="str">
        <f t="shared" si="46"/>
        <v xml:space="preserve"> </v>
      </c>
      <c r="D315" s="1533">
        <f>D310</f>
        <v>0.23200000000000001</v>
      </c>
      <c r="E315" s="1044" t="str">
        <f>VLOOKUP($B315,DG!A:C,2,)</f>
        <v>02.1241</v>
      </c>
      <c r="F315" s="1049" t="str">
        <f>VLOOKUP($B315,DG!A:C,3,)</f>
        <v>V/c đá dăm ( cự ly &lt;=100m)</v>
      </c>
      <c r="G315" s="1044" t="str">
        <f>VLOOKUP($B315,DG!A:D,4,0)</f>
        <v>m3</v>
      </c>
      <c r="H315" s="1823"/>
      <c r="I315" s="1823"/>
      <c r="J315" s="1823"/>
      <c r="K315" s="1823"/>
      <c r="L315" s="1823"/>
      <c r="M315" s="1823"/>
      <c r="N315" s="1823"/>
      <c r="O315" s="1823"/>
      <c r="P315" s="1823"/>
      <c r="Q315" s="1058"/>
      <c r="R315" s="1058"/>
      <c r="S315" s="1058"/>
      <c r="T315" s="2035">
        <f t="shared" si="45"/>
        <v>0</v>
      </c>
    </row>
    <row r="316" spans="1:20" ht="22.2" hidden="1" customHeight="1">
      <c r="A316" s="63"/>
      <c r="B316" s="1575" t="s">
        <v>635</v>
      </c>
      <c r="C316" s="64" t="str">
        <f t="shared" si="46"/>
        <v xml:space="preserve"> </v>
      </c>
      <c r="D316" s="1537">
        <v>0.2</v>
      </c>
      <c r="E316" s="1048" t="str">
        <f>VLOOKUP($B316,DG!A:C,2,)</f>
        <v>02.1482</v>
      </c>
      <c r="F316" s="1049" t="str">
        <f>VLOOKUP($B316,DG!A:C,3,)</f>
        <v>V/c dụng cụ thi công vào vị trí (cự ly &lt;=100m)</v>
      </c>
      <c r="G316" s="1048" t="str">
        <f>VLOOKUP($B316,DG!A:D,4,0)</f>
        <v>tấn</v>
      </c>
      <c r="H316" s="1824"/>
      <c r="I316" s="1824"/>
      <c r="J316" s="1824"/>
      <c r="K316" s="1824"/>
      <c r="L316" s="1824"/>
      <c r="M316" s="1824"/>
      <c r="N316" s="1824"/>
      <c r="O316" s="1824"/>
      <c r="P316" s="1824"/>
      <c r="Q316" s="1055"/>
      <c r="R316" s="1055"/>
      <c r="S316" s="1055"/>
      <c r="T316" s="2035">
        <f t="shared" si="45"/>
        <v>0</v>
      </c>
    </row>
    <row r="317" spans="1:20" ht="22.2" hidden="1" customHeight="1">
      <c r="A317" s="56" t="s">
        <v>2186</v>
      </c>
      <c r="B317" s="1574" t="s">
        <v>2186</v>
      </c>
      <c r="C317" s="62" t="str">
        <f t="shared" si="46"/>
        <v xml:space="preserve"> </v>
      </c>
      <c r="D317" s="1532"/>
      <c r="E317" s="1045"/>
      <c r="F317" s="1392" t="s">
        <v>2366</v>
      </c>
      <c r="G317" s="1046" t="s">
        <v>2333</v>
      </c>
      <c r="H317" s="1821">
        <f>SUM(I317:O317)</f>
        <v>0</v>
      </c>
      <c r="I317" s="1822"/>
      <c r="J317" s="1822"/>
      <c r="K317" s="1822">
        <f>IFERROR(HLOOKUP(B317,pp3p1m!$1:$3,3,0),0)</f>
        <v>0</v>
      </c>
      <c r="L317" s="1822">
        <f>IFERROR(HLOOKUP(chitiet!B317,pp1p!$1:$3,3,0),0)</f>
        <v>0</v>
      </c>
      <c r="M317" s="1822"/>
      <c r="N317" s="1822"/>
      <c r="O317" s="1822"/>
      <c r="P317" s="1822"/>
      <c r="Q317" s="1047"/>
      <c r="R317" s="1047"/>
      <c r="S317" s="1047"/>
      <c r="T317" s="2035">
        <f>IFERROR(HLOOKUP(B317,pp1p!$1:$3,3,0),0)+IFERROR(HLOOKUP(B317,pp3p1m!$1:$3,3,0),0)</f>
        <v>0</v>
      </c>
    </row>
    <row r="318" spans="1:20" ht="22.2" hidden="1" customHeight="1">
      <c r="A318" s="63"/>
      <c r="B318" s="1589" t="s">
        <v>1578</v>
      </c>
      <c r="C318" s="64" t="str">
        <f t="shared" si="46"/>
        <v xml:space="preserve"> </v>
      </c>
      <c r="D318" s="1538">
        <v>1</v>
      </c>
      <c r="E318" s="1044" t="str">
        <f>VLOOKUP($B318,DG!A:D,DG!$B$2,)</f>
        <v>04.3801</v>
      </c>
      <c r="F318" s="1054" t="str">
        <f>VLOOKUP($B318,DG!A:D,DG!$C$2,)</f>
        <v>Đà cản BTCT 1,5m</v>
      </c>
      <c r="G318" s="1048" t="str">
        <f>VLOOKUP($B318,DG!A:D,DG!$D$2,)</f>
        <v>cái</v>
      </c>
      <c r="H318" s="1824">
        <f t="shared" ref="H318:N320" si="54">H$317*$D318</f>
        <v>0</v>
      </c>
      <c r="I318" s="1824">
        <f t="shared" si="54"/>
        <v>0</v>
      </c>
      <c r="J318" s="1824">
        <f t="shared" si="54"/>
        <v>0</v>
      </c>
      <c r="K318" s="1824">
        <f t="shared" si="54"/>
        <v>0</v>
      </c>
      <c r="L318" s="1824">
        <f t="shared" si="54"/>
        <v>0</v>
      </c>
      <c r="M318" s="1824">
        <f t="shared" si="54"/>
        <v>0</v>
      </c>
      <c r="N318" s="1824">
        <f t="shared" si="54"/>
        <v>0</v>
      </c>
      <c r="O318" s="1824"/>
      <c r="P318" s="1824"/>
      <c r="Q318" s="1052"/>
      <c r="R318" s="1052"/>
      <c r="S318" s="1052"/>
      <c r="T318" s="2035">
        <f t="shared" si="45"/>
        <v>0</v>
      </c>
    </row>
    <row r="319" spans="1:20" ht="22.2" hidden="1" customHeight="1">
      <c r="A319" s="63"/>
      <c r="B319" s="1589" t="s">
        <v>636</v>
      </c>
      <c r="C319" s="64" t="str">
        <f t="shared" si="46"/>
        <v xml:space="preserve"> </v>
      </c>
      <c r="D319" s="1538">
        <v>2</v>
      </c>
      <c r="E319" s="1044" t="str">
        <f>VLOOKUP($B319,DG!A:D,DG!$B$2,)</f>
        <v>04.4001</v>
      </c>
      <c r="F319" s="1054" t="str">
        <f>VLOOKUP($B319,DG!A:D,DG!$C$2,)&amp;" hieän höõu"</f>
        <v>Đà cản BTCT 1,2m hieän höõu</v>
      </c>
      <c r="G319" s="1048" t="str">
        <f>VLOOKUP($B319,DG!A:D,DG!$D$2,)</f>
        <v>cái</v>
      </c>
      <c r="H319" s="1824">
        <f t="shared" si="54"/>
        <v>0</v>
      </c>
      <c r="I319" s="1824">
        <f t="shared" si="54"/>
        <v>0</v>
      </c>
      <c r="J319" s="1824">
        <f t="shared" si="54"/>
        <v>0</v>
      </c>
      <c r="K319" s="1824">
        <f t="shared" si="54"/>
        <v>0</v>
      </c>
      <c r="L319" s="1824">
        <f t="shared" si="54"/>
        <v>0</v>
      </c>
      <c r="M319" s="1824">
        <f t="shared" si="54"/>
        <v>0</v>
      </c>
      <c r="N319" s="1824">
        <f t="shared" si="54"/>
        <v>0</v>
      </c>
      <c r="O319" s="1824"/>
      <c r="P319" s="1824"/>
      <c r="Q319" s="1052"/>
      <c r="R319" s="1052"/>
      <c r="S319" s="1052"/>
      <c r="T319" s="2035">
        <f t="shared" si="45"/>
        <v>0</v>
      </c>
    </row>
    <row r="320" spans="1:20" ht="22.2" hidden="1" customHeight="1">
      <c r="A320" s="63"/>
      <c r="B320" s="1589" t="s">
        <v>1832</v>
      </c>
      <c r="C320" s="64" t="str">
        <f t="shared" si="46"/>
        <v xml:space="preserve"> </v>
      </c>
      <c r="D320" s="1538">
        <v>1</v>
      </c>
      <c r="E320" s="1048"/>
      <c r="F320" s="1054" t="str">
        <f>VLOOKUP($B320,DG!A:D,DG!$C$2,)</f>
        <v>Boulon 22x700+ 2 long đền vuông D24-50x50x3/Zn</v>
      </c>
      <c r="G320" s="1048" t="str">
        <f>VLOOKUP($B320,DG!A:D,DG!$D$2,)</f>
        <v>bộ</v>
      </c>
      <c r="H320" s="1824">
        <f t="shared" si="54"/>
        <v>0</v>
      </c>
      <c r="I320" s="1824">
        <f t="shared" si="54"/>
        <v>0</v>
      </c>
      <c r="J320" s="1824">
        <f t="shared" si="54"/>
        <v>0</v>
      </c>
      <c r="K320" s="1824">
        <f t="shared" si="54"/>
        <v>0</v>
      </c>
      <c r="L320" s="1824">
        <f t="shared" si="54"/>
        <v>0</v>
      </c>
      <c r="M320" s="1824">
        <f t="shared" si="54"/>
        <v>0</v>
      </c>
      <c r="N320" s="1824">
        <f t="shared" si="54"/>
        <v>0</v>
      </c>
      <c r="O320" s="1824"/>
      <c r="P320" s="1824"/>
      <c r="Q320" s="1052"/>
      <c r="R320" s="1052"/>
      <c r="S320" s="1052"/>
      <c r="T320" s="2035">
        <f t="shared" si="45"/>
        <v>0</v>
      </c>
    </row>
    <row r="321" spans="1:20" ht="22.2" hidden="1" customHeight="1">
      <c r="A321" s="63"/>
      <c r="B321" s="1589" t="s">
        <v>639</v>
      </c>
      <c r="C321" s="64" t="str">
        <f t="shared" si="46"/>
        <v xml:space="preserve"> </v>
      </c>
      <c r="D321" s="1537">
        <v>2.17</v>
      </c>
      <c r="E321" s="1048" t="str">
        <f>VLOOKUP($B321,DG!A:D,DG!$B$2,)</f>
        <v>03.1013</v>
      </c>
      <c r="F321" s="1049" t="str">
        <f>VLOOKUP($B321,DG!A:D,DG!$C$2,)</f>
        <v>Đào hố móng đất cấp 3 sâu &gt;1m</v>
      </c>
      <c r="G321" s="1048" t="str">
        <f>VLOOKUP($B321,DG!A:D,DG!$D$2,)</f>
        <v>m3</v>
      </c>
      <c r="H321" s="1824"/>
      <c r="I321" s="1824"/>
      <c r="J321" s="1824"/>
      <c r="K321" s="1824"/>
      <c r="L321" s="1824"/>
      <c r="M321" s="1824"/>
      <c r="N321" s="1824"/>
      <c r="O321" s="1824"/>
      <c r="P321" s="1824"/>
      <c r="Q321" s="1055"/>
      <c r="R321" s="1055"/>
      <c r="S321" s="1055"/>
      <c r="T321" s="2035">
        <f t="shared" si="45"/>
        <v>0</v>
      </c>
    </row>
    <row r="322" spans="1:20" ht="22.2" hidden="1" customHeight="1">
      <c r="A322" s="63"/>
      <c r="B322" s="1589" t="s">
        <v>21</v>
      </c>
      <c r="C322" s="64" t="str">
        <f t="shared" si="46"/>
        <v xml:space="preserve"> </v>
      </c>
      <c r="D322" s="1537">
        <v>2.3199999999999998</v>
      </c>
      <c r="E322" s="1048" t="str">
        <f>VLOOKUP($B322,DG!A:D,DG!$B$2,)</f>
        <v>03.4113</v>
      </c>
      <c r="F322" s="1049" t="str">
        <f>VLOOKUP($B322,DG!A:D,DG!$C$2,)</f>
        <v>Đắp đất hố móng, độ chặt k=0,95</v>
      </c>
      <c r="G322" s="1048" t="str">
        <f>VLOOKUP($B322,DG!A:D,DG!$D$2,)</f>
        <v>m3</v>
      </c>
      <c r="H322" s="1824"/>
      <c r="I322" s="1824"/>
      <c r="J322" s="1824"/>
      <c r="K322" s="1824"/>
      <c r="L322" s="1824"/>
      <c r="M322" s="1824"/>
      <c r="N322" s="1824"/>
      <c r="O322" s="1824"/>
      <c r="P322" s="1824"/>
      <c r="Q322" s="1055"/>
      <c r="R322" s="1055"/>
      <c r="S322" s="1055"/>
      <c r="T322" s="2035">
        <f t="shared" si="45"/>
        <v>0</v>
      </c>
    </row>
    <row r="323" spans="1:20" ht="22.2" hidden="1" customHeight="1">
      <c r="A323" s="63"/>
      <c r="B323" s="1589" t="s">
        <v>637</v>
      </c>
      <c r="C323" s="64" t="str">
        <f t="shared" si="46"/>
        <v xml:space="preserve"> </v>
      </c>
      <c r="D323" s="1537">
        <f>0.255*D318</f>
        <v>0.255</v>
      </c>
      <c r="E323" s="1048" t="str">
        <f>VLOOKUP($B323,DG!A:D,DG!$B$2,)</f>
        <v>02.1123</v>
      </c>
      <c r="F323" s="1049" t="str">
        <f>VLOOKUP($B323,DG!A:D,DG!$C$2,)</f>
        <v>Bốc dỡ đà cản, đế néo</v>
      </c>
      <c r="G323" s="1048" t="str">
        <f>VLOOKUP($B323,DG!A:D,DG!$D$2,)</f>
        <v>tấn</v>
      </c>
      <c r="H323" s="1824"/>
      <c r="I323" s="1824"/>
      <c r="J323" s="1824"/>
      <c r="K323" s="1824"/>
      <c r="L323" s="1824"/>
      <c r="M323" s="1824"/>
      <c r="N323" s="1824"/>
      <c r="O323" s="1824"/>
      <c r="P323" s="1824"/>
      <c r="Q323" s="1052"/>
      <c r="R323" s="1052"/>
      <c r="S323" s="1052"/>
      <c r="T323" s="2035">
        <f t="shared" si="45"/>
        <v>0</v>
      </c>
    </row>
    <row r="324" spans="1:20" ht="22.2" hidden="1" customHeight="1">
      <c r="A324" s="63"/>
      <c r="B324" s="1575" t="s">
        <v>2069</v>
      </c>
      <c r="C324" s="64" t="str">
        <f t="shared" si="46"/>
        <v xml:space="preserve"> </v>
      </c>
      <c r="D324" s="1537">
        <f>D323</f>
        <v>0.255</v>
      </c>
      <c r="E324" s="1048" t="str">
        <f>VLOOKUP($B324,DG!A:C,2,)</f>
        <v>02.1451</v>
      </c>
      <c r="F324" s="1049" t="str">
        <f>VLOOKUP($B324,DG!A:C,3,)</f>
        <v>V/c đà cản vào vị trí (cự ly &lt;=100m)</v>
      </c>
      <c r="G324" s="1048" t="str">
        <f>VLOOKUP($B324,DG!A:D,4,0)</f>
        <v>tấn</v>
      </c>
      <c r="H324" s="1824"/>
      <c r="I324" s="1824"/>
      <c r="J324" s="1824"/>
      <c r="K324" s="1824"/>
      <c r="L324" s="1824"/>
      <c r="M324" s="1824"/>
      <c r="N324" s="1824"/>
      <c r="O324" s="1824"/>
      <c r="P324" s="1824"/>
      <c r="Q324" s="1055"/>
      <c r="R324" s="1055"/>
      <c r="S324" s="1055"/>
      <c r="T324" s="2035">
        <f t="shared" si="45"/>
        <v>0</v>
      </c>
    </row>
    <row r="325" spans="1:20" ht="22.2" hidden="1" customHeight="1">
      <c r="A325" s="63"/>
      <c r="B325" s="1575" t="s">
        <v>635</v>
      </c>
      <c r="C325" s="64" t="str">
        <f t="shared" si="46"/>
        <v xml:space="preserve"> </v>
      </c>
      <c r="D325" s="1537">
        <v>0.2</v>
      </c>
      <c r="E325" s="1048" t="str">
        <f>VLOOKUP($B325,DG!A:C,2,)</f>
        <v>02.1482</v>
      </c>
      <c r="F325" s="1049" t="str">
        <f>VLOOKUP($B325,DG!A:C,3,)</f>
        <v>V/c dụng cụ thi công vào vị trí (cự ly &lt;=100m)</v>
      </c>
      <c r="G325" s="1048" t="str">
        <f>VLOOKUP($B325,DG!A:D,4,0)</f>
        <v>tấn</v>
      </c>
      <c r="H325" s="1824"/>
      <c r="I325" s="1824"/>
      <c r="J325" s="1824"/>
      <c r="K325" s="1824"/>
      <c r="L325" s="1824"/>
      <c r="M325" s="1824"/>
      <c r="N325" s="1824"/>
      <c r="O325" s="1824"/>
      <c r="P325" s="1824"/>
      <c r="Q325" s="1055"/>
      <c r="R325" s="1055"/>
      <c r="S325" s="1055"/>
      <c r="T325" s="2035">
        <f t="shared" si="45"/>
        <v>0</v>
      </c>
    </row>
    <row r="326" spans="1:20" ht="22.2" hidden="1" customHeight="1">
      <c r="A326" s="56" t="s">
        <v>500</v>
      </c>
      <c r="B326" s="1574" t="s">
        <v>500</v>
      </c>
      <c r="C326" s="62" t="str">
        <f t="shared" si="46"/>
        <v xml:space="preserve"> </v>
      </c>
      <c r="D326" s="1532"/>
      <c r="E326" s="1045"/>
      <c r="F326" s="1392" t="s">
        <v>2367</v>
      </c>
      <c r="G326" s="1046" t="s">
        <v>2333</v>
      </c>
      <c r="H326" s="1821">
        <f>SUM(I326:O326)</f>
        <v>0</v>
      </c>
      <c r="I326" s="1822"/>
      <c r="J326" s="1822"/>
      <c r="K326" s="1822">
        <f>IFERROR(HLOOKUP(B326,pp3p1m!$1:$3,3,0),0)</f>
        <v>0</v>
      </c>
      <c r="L326" s="1822">
        <f>IFERROR(HLOOKUP(chitiet!B326,pp1p!$1:$3,3,0),0)</f>
        <v>0</v>
      </c>
      <c r="M326" s="1822"/>
      <c r="N326" s="1822"/>
      <c r="O326" s="1822"/>
      <c r="P326" s="1822"/>
      <c r="Q326" s="1047"/>
      <c r="R326" s="1047"/>
      <c r="S326" s="1047"/>
      <c r="T326" s="2035">
        <f>IFERROR(HLOOKUP(B326,pp1p!$1:$3,3,0),0)+IFERROR(HLOOKUP(B326,pp3p1m!$1:$3,3,0),0)</f>
        <v>0</v>
      </c>
    </row>
    <row r="327" spans="1:20" ht="22.2" hidden="1" customHeight="1">
      <c r="A327" s="63"/>
      <c r="B327" s="1589" t="s">
        <v>1578</v>
      </c>
      <c r="C327" s="64" t="str">
        <f t="shared" si="46"/>
        <v xml:space="preserve"> </v>
      </c>
      <c r="D327" s="1538">
        <v>1</v>
      </c>
      <c r="E327" s="1044" t="str">
        <f>VLOOKUP($B327,DG!A:D,DG!$B$2,)</f>
        <v>04.3801</v>
      </c>
      <c r="F327" s="1054" t="str">
        <f>VLOOKUP($B327,DG!A:D,DG!$C$2,)</f>
        <v>Đà cản BTCT 1,5m</v>
      </c>
      <c r="G327" s="1048" t="str">
        <f>VLOOKUP($B327,DG!A:D,DG!$D$2,)</f>
        <v>cái</v>
      </c>
      <c r="H327" s="1824">
        <f t="shared" ref="H327:N329" si="55">H$326*$D327</f>
        <v>0</v>
      </c>
      <c r="I327" s="1824">
        <f t="shared" si="55"/>
        <v>0</v>
      </c>
      <c r="J327" s="1824">
        <f t="shared" si="55"/>
        <v>0</v>
      </c>
      <c r="K327" s="1824">
        <f t="shared" si="55"/>
        <v>0</v>
      </c>
      <c r="L327" s="1824">
        <f t="shared" si="55"/>
        <v>0</v>
      </c>
      <c r="M327" s="1824">
        <f t="shared" si="55"/>
        <v>0</v>
      </c>
      <c r="N327" s="1824">
        <f t="shared" si="55"/>
        <v>0</v>
      </c>
      <c r="O327" s="1824"/>
      <c r="P327" s="1824"/>
      <c r="Q327" s="1052"/>
      <c r="R327" s="1052"/>
      <c r="S327" s="1052"/>
      <c r="T327" s="2035">
        <f t="shared" si="45"/>
        <v>0</v>
      </c>
    </row>
    <row r="328" spans="1:20" ht="22.2" hidden="1" customHeight="1">
      <c r="A328" s="63"/>
      <c r="B328" s="1589" t="s">
        <v>636</v>
      </c>
      <c r="C328" s="64" t="str">
        <f t="shared" si="46"/>
        <v xml:space="preserve"> </v>
      </c>
      <c r="D328" s="1538">
        <v>2</v>
      </c>
      <c r="E328" s="1044" t="str">
        <f>VLOOKUP($B328,DG!A:D,DG!$B$2,)</f>
        <v>04.4001</v>
      </c>
      <c r="F328" s="1054" t="str">
        <f>VLOOKUP($B328,DG!A:D,DG!$C$2,)&amp;" hieän höõu"</f>
        <v>Đà cản BTCT 1,2m hieän höõu</v>
      </c>
      <c r="G328" s="1048" t="str">
        <f>VLOOKUP($B328,DG!A:D,DG!$D$2,)</f>
        <v>cái</v>
      </c>
      <c r="H328" s="1824">
        <f t="shared" si="55"/>
        <v>0</v>
      </c>
      <c r="I328" s="1824">
        <f t="shared" si="55"/>
        <v>0</v>
      </c>
      <c r="J328" s="1824">
        <f t="shared" si="55"/>
        <v>0</v>
      </c>
      <c r="K328" s="1824">
        <f t="shared" si="55"/>
        <v>0</v>
      </c>
      <c r="L328" s="1824">
        <f t="shared" si="55"/>
        <v>0</v>
      </c>
      <c r="M328" s="1824">
        <f t="shared" si="55"/>
        <v>0</v>
      </c>
      <c r="N328" s="1824">
        <f t="shared" si="55"/>
        <v>0</v>
      </c>
      <c r="O328" s="1824"/>
      <c r="P328" s="1824"/>
      <c r="Q328" s="1052"/>
      <c r="R328" s="1052"/>
      <c r="S328" s="1052"/>
      <c r="T328" s="2035">
        <f t="shared" si="45"/>
        <v>0</v>
      </c>
    </row>
    <row r="329" spans="1:20" ht="22.2" hidden="1" customHeight="1">
      <c r="A329" s="63"/>
      <c r="B329" s="1589" t="s">
        <v>1832</v>
      </c>
      <c r="C329" s="64" t="str">
        <f t="shared" si="46"/>
        <v xml:space="preserve"> </v>
      </c>
      <c r="D329" s="1538">
        <v>2</v>
      </c>
      <c r="E329" s="1048"/>
      <c r="F329" s="1054" t="str">
        <f>VLOOKUP($B329,DG!A:D,DG!$C$2,)</f>
        <v>Boulon 22x700+ 2 long đền vuông D24-50x50x3/Zn</v>
      </c>
      <c r="G329" s="1048" t="str">
        <f>VLOOKUP($B329,DG!A:D,DG!$D$2,)</f>
        <v>bộ</v>
      </c>
      <c r="H329" s="1824">
        <f t="shared" si="55"/>
        <v>0</v>
      </c>
      <c r="I329" s="1824">
        <f t="shared" si="55"/>
        <v>0</v>
      </c>
      <c r="J329" s="1824">
        <f t="shared" si="55"/>
        <v>0</v>
      </c>
      <c r="K329" s="1824">
        <f t="shared" si="55"/>
        <v>0</v>
      </c>
      <c r="L329" s="1824">
        <f t="shared" si="55"/>
        <v>0</v>
      </c>
      <c r="M329" s="1824">
        <f t="shared" si="55"/>
        <v>0</v>
      </c>
      <c r="N329" s="1824">
        <f t="shared" si="55"/>
        <v>0</v>
      </c>
      <c r="O329" s="1824"/>
      <c r="P329" s="1824"/>
      <c r="Q329" s="1052"/>
      <c r="R329" s="1052"/>
      <c r="S329" s="1052"/>
      <c r="T329" s="2035">
        <f t="shared" si="45"/>
        <v>0</v>
      </c>
    </row>
    <row r="330" spans="1:20" ht="22.2" hidden="1" customHeight="1">
      <c r="A330" s="63"/>
      <c r="B330" s="1589" t="s">
        <v>639</v>
      </c>
      <c r="C330" s="64" t="str">
        <f t="shared" si="46"/>
        <v xml:space="preserve"> </v>
      </c>
      <c r="D330" s="1537">
        <v>4.63</v>
      </c>
      <c r="E330" s="1048" t="str">
        <f>VLOOKUP($B330,DG!A:D,DG!$B$2,)</f>
        <v>03.1013</v>
      </c>
      <c r="F330" s="1049" t="str">
        <f>VLOOKUP($B330,DG!A:D,DG!$C$2,)</f>
        <v>Đào hố móng đất cấp 3 sâu &gt;1m</v>
      </c>
      <c r="G330" s="1048" t="str">
        <f>VLOOKUP($B330,DG!A:D,DG!$D$2,)</f>
        <v>m3</v>
      </c>
      <c r="H330" s="1824"/>
      <c r="I330" s="1824"/>
      <c r="J330" s="1824"/>
      <c r="K330" s="1824"/>
      <c r="L330" s="1824"/>
      <c r="M330" s="1824"/>
      <c r="N330" s="1824"/>
      <c r="O330" s="1824"/>
      <c r="P330" s="1824"/>
      <c r="Q330" s="1055"/>
      <c r="R330" s="1055"/>
      <c r="S330" s="1055"/>
      <c r="T330" s="2035">
        <f t="shared" si="45"/>
        <v>0</v>
      </c>
    </row>
    <row r="331" spans="1:20" ht="22.2" hidden="1" customHeight="1">
      <c r="A331" s="63"/>
      <c r="B331" s="1589" t="s">
        <v>21</v>
      </c>
      <c r="C331" s="64" t="str">
        <f t="shared" si="46"/>
        <v xml:space="preserve"> </v>
      </c>
      <c r="D331" s="1537">
        <v>4.95</v>
      </c>
      <c r="E331" s="1048" t="str">
        <f>VLOOKUP($B331,DG!A:D,DG!$B$2,)</f>
        <v>03.4113</v>
      </c>
      <c r="F331" s="1049" t="str">
        <f>VLOOKUP($B331,DG!A:D,DG!$C$2,)</f>
        <v>Đắp đất hố móng, độ chặt k=0,95</v>
      </c>
      <c r="G331" s="1048" t="str">
        <f>VLOOKUP($B331,DG!A:D,DG!$D$2,)</f>
        <v>m3</v>
      </c>
      <c r="H331" s="1824"/>
      <c r="I331" s="1824"/>
      <c r="J331" s="1824"/>
      <c r="K331" s="1824"/>
      <c r="L331" s="1824"/>
      <c r="M331" s="1824"/>
      <c r="N331" s="1824"/>
      <c r="O331" s="1824"/>
      <c r="P331" s="1824"/>
      <c r="Q331" s="1055"/>
      <c r="R331" s="1055"/>
      <c r="S331" s="1055"/>
      <c r="T331" s="2035">
        <f t="shared" si="45"/>
        <v>0</v>
      </c>
    </row>
    <row r="332" spans="1:20" ht="22.2" hidden="1" customHeight="1">
      <c r="A332" s="63"/>
      <c r="B332" s="1589" t="s">
        <v>637</v>
      </c>
      <c r="C332" s="64" t="str">
        <f t="shared" si="46"/>
        <v xml:space="preserve"> </v>
      </c>
      <c r="D332" s="1537">
        <f>0.1*D327</f>
        <v>0.1</v>
      </c>
      <c r="E332" s="1048" t="str">
        <f>VLOOKUP($B332,DG!A:D,DG!$B$2,)</f>
        <v>02.1123</v>
      </c>
      <c r="F332" s="1049" t="str">
        <f>VLOOKUP($B332,DG!A:D,DG!$C$2,)</f>
        <v>Bốc dỡ đà cản, đế néo</v>
      </c>
      <c r="G332" s="1048" t="str">
        <f>VLOOKUP($B332,DG!A:D,DG!$D$2,)</f>
        <v>tấn</v>
      </c>
      <c r="H332" s="1824"/>
      <c r="I332" s="1824"/>
      <c r="J332" s="1824"/>
      <c r="K332" s="1824"/>
      <c r="L332" s="1824"/>
      <c r="M332" s="1824"/>
      <c r="N332" s="1824"/>
      <c r="O332" s="1824"/>
      <c r="P332" s="1824"/>
      <c r="Q332" s="1052"/>
      <c r="R332" s="1052"/>
      <c r="S332" s="1052"/>
      <c r="T332" s="2035">
        <f t="shared" si="45"/>
        <v>0</v>
      </c>
    </row>
    <row r="333" spans="1:20" ht="22.2" hidden="1" customHeight="1">
      <c r="A333" s="63"/>
      <c r="B333" s="1575" t="s">
        <v>2069</v>
      </c>
      <c r="C333" s="64" t="str">
        <f t="shared" si="46"/>
        <v xml:space="preserve"> </v>
      </c>
      <c r="D333" s="1537">
        <f>D332</f>
        <v>0.1</v>
      </c>
      <c r="E333" s="1048" t="str">
        <f>VLOOKUP($B333,DG!A:C,2,)</f>
        <v>02.1451</v>
      </c>
      <c r="F333" s="1049" t="str">
        <f>VLOOKUP($B333,DG!A:C,3,)</f>
        <v>V/c đà cản vào vị trí (cự ly &lt;=100m)</v>
      </c>
      <c r="G333" s="1048" t="str">
        <f>VLOOKUP($B333,DG!A:D,4,0)</f>
        <v>tấn</v>
      </c>
      <c r="H333" s="1824"/>
      <c r="I333" s="1824"/>
      <c r="J333" s="1824"/>
      <c r="K333" s="1824"/>
      <c r="L333" s="1824"/>
      <c r="M333" s="1824"/>
      <c r="N333" s="1824"/>
      <c r="O333" s="1824"/>
      <c r="P333" s="1824"/>
      <c r="Q333" s="1055"/>
      <c r="R333" s="1055"/>
      <c r="S333" s="1055"/>
      <c r="T333" s="2035">
        <f t="shared" si="45"/>
        <v>0</v>
      </c>
    </row>
    <row r="334" spans="1:20" ht="22.2" hidden="1" customHeight="1">
      <c r="A334" s="63"/>
      <c r="B334" s="1575" t="s">
        <v>635</v>
      </c>
      <c r="C334" s="64" t="str">
        <f t="shared" si="46"/>
        <v xml:space="preserve"> </v>
      </c>
      <c r="D334" s="1537">
        <v>0.2</v>
      </c>
      <c r="E334" s="1048" t="str">
        <f>VLOOKUP($B334,DG!A:C,2,)</f>
        <v>02.1482</v>
      </c>
      <c r="F334" s="1049" t="str">
        <f>VLOOKUP($B334,DG!A:C,3,)</f>
        <v>V/c dụng cụ thi công vào vị trí (cự ly &lt;=100m)</v>
      </c>
      <c r="G334" s="1048" t="str">
        <f>VLOOKUP($B334,DG!A:D,4,0)</f>
        <v>tấn</v>
      </c>
      <c r="H334" s="1824"/>
      <c r="I334" s="1824"/>
      <c r="J334" s="1824"/>
      <c r="K334" s="1824"/>
      <c r="L334" s="1824"/>
      <c r="M334" s="1824"/>
      <c r="N334" s="1824"/>
      <c r="O334" s="1824"/>
      <c r="P334" s="1824"/>
      <c r="Q334" s="1055"/>
      <c r="R334" s="1055"/>
      <c r="S334" s="1055"/>
      <c r="T334" s="2035">
        <f t="shared" ref="T334:T400" si="56">IFERROR(HLOOKUP(B334,BangKeTru,3,0),0)</f>
        <v>0</v>
      </c>
    </row>
    <row r="335" spans="1:20" ht="22.2" hidden="1" customHeight="1">
      <c r="A335" s="56" t="s">
        <v>2310</v>
      </c>
      <c r="B335" s="1574" t="s">
        <v>2310</v>
      </c>
      <c r="C335" s="62" t="str">
        <f t="shared" ref="C335:C401" si="57">IF(OR(P335&lt;&gt;0,H335&lt;&gt;0),"x"," ")</f>
        <v xml:space="preserve"> </v>
      </c>
      <c r="D335" s="1532"/>
      <c r="E335" s="1045"/>
      <c r="F335" s="1392" t="s">
        <v>2368</v>
      </c>
      <c r="G335" s="1046" t="s">
        <v>2333</v>
      </c>
      <c r="H335" s="1821">
        <f>SUM(I335:O335)</f>
        <v>0</v>
      </c>
      <c r="I335" s="1822"/>
      <c r="J335" s="1822"/>
      <c r="K335" s="1822">
        <f>IFERROR(HLOOKUP(B335,pp3p1m!$1:$3,3,0),0)</f>
        <v>0</v>
      </c>
      <c r="L335" s="1822">
        <f>IFERROR(HLOOKUP(chitiet!B335,pp1p!$1:$3,3,0),0)</f>
        <v>0</v>
      </c>
      <c r="M335" s="1822"/>
      <c r="N335" s="1822"/>
      <c r="O335" s="1822"/>
      <c r="P335" s="1822"/>
      <c r="Q335" s="1047"/>
      <c r="R335" s="1047"/>
      <c r="S335" s="1047"/>
      <c r="T335" s="2035">
        <f>IFERROR(HLOOKUP(B335,pp1p!$1:$3,3,0),0)+IFERROR(HLOOKUP(B335,pp3p1m!$1:$3,3,0),0)</f>
        <v>0</v>
      </c>
    </row>
    <row r="336" spans="1:20" ht="22.2" hidden="1" customHeight="1">
      <c r="A336" s="63"/>
      <c r="B336" s="1589" t="s">
        <v>820</v>
      </c>
      <c r="C336" s="64" t="str">
        <f t="shared" si="57"/>
        <v xml:space="preserve"> </v>
      </c>
      <c r="D336" s="1537">
        <v>0.33</v>
      </c>
      <c r="E336" s="1048" t="str">
        <f>VLOOKUP($B336,DG!A:D,DG!$B$2,)</f>
        <v>03.1103</v>
      </c>
      <c r="F336" s="1049" t="str">
        <f>VLOOKUP($B336,DG!A:D,DG!$C$2,)</f>
        <v>Đào hố móng đất cấp 3 sâu &lt;=1m</v>
      </c>
      <c r="G336" s="1048" t="str">
        <f>VLOOKUP($B336,DG!A:D,DG!$D$2,)</f>
        <v>m3</v>
      </c>
      <c r="H336" s="1824"/>
      <c r="I336" s="1824"/>
      <c r="J336" s="1824"/>
      <c r="K336" s="1824"/>
      <c r="L336" s="1824"/>
      <c r="M336" s="1824"/>
      <c r="N336" s="1824"/>
      <c r="O336" s="1824"/>
      <c r="P336" s="1824"/>
      <c r="Q336" s="1055"/>
      <c r="R336" s="1055"/>
      <c r="S336" s="1055"/>
      <c r="T336" s="2035">
        <f t="shared" si="56"/>
        <v>0</v>
      </c>
    </row>
    <row r="337" spans="1:20" ht="22.2" hidden="1" customHeight="1">
      <c r="A337" s="63"/>
      <c r="B337" s="1589" t="s">
        <v>957</v>
      </c>
      <c r="C337" s="64" t="str">
        <f t="shared" si="57"/>
        <v xml:space="preserve"> </v>
      </c>
      <c r="D337" s="1537">
        <v>1.65</v>
      </c>
      <c r="E337" s="1048" t="str">
        <f>VLOOKUP($B337,DG!A:D,DG!$B$2,)</f>
        <v>03.8133</v>
      </c>
      <c r="F337" s="1049" t="str">
        <f>VLOOKUP($B337,DG!A:D,DG!$C$2,)</f>
        <v>Phá đá chân hố móng, đá cấp I</v>
      </c>
      <c r="G337" s="1048" t="str">
        <f>VLOOKUP($B337,DG!A:D,DG!$D$2,)</f>
        <v>m3</v>
      </c>
      <c r="H337" s="1824"/>
      <c r="I337" s="1824"/>
      <c r="J337" s="1824"/>
      <c r="K337" s="1824"/>
      <c r="L337" s="1824"/>
      <c r="M337" s="1824"/>
      <c r="N337" s="1824"/>
      <c r="O337" s="1824"/>
      <c r="P337" s="1824"/>
      <c r="Q337" s="1055"/>
      <c r="R337" s="1055"/>
      <c r="S337" s="1055"/>
      <c r="T337" s="2035">
        <f t="shared" si="56"/>
        <v>0</v>
      </c>
    </row>
    <row r="338" spans="1:20" ht="22.2" hidden="1" customHeight="1">
      <c r="A338" s="63"/>
      <c r="B338" s="1589" t="s">
        <v>1830</v>
      </c>
      <c r="C338" s="64" t="str">
        <f t="shared" si="57"/>
        <v xml:space="preserve"> </v>
      </c>
      <c r="D338" s="1537">
        <v>2.0499999999999998</v>
      </c>
      <c r="E338" s="1048" t="str">
        <f>VLOOKUP($B338,DG!A:D,DG!$B$2,)</f>
        <v>03.2203</v>
      </c>
      <c r="F338" s="1049" t="str">
        <f>VLOOKUP($B338,DG!A:D,DG!$C$2,)</f>
        <v>Đắp đất hố móng, đất cấp 4</v>
      </c>
      <c r="G338" s="1048" t="str">
        <f>VLOOKUP($B338,DG!A:D,DG!$D$2,)</f>
        <v>m3</v>
      </c>
      <c r="H338" s="1824"/>
      <c r="I338" s="1824"/>
      <c r="J338" s="1824"/>
      <c r="K338" s="1824"/>
      <c r="L338" s="1824"/>
      <c r="M338" s="1824"/>
      <c r="N338" s="1824"/>
      <c r="O338" s="1824"/>
      <c r="P338" s="1824"/>
      <c r="Q338" s="1052"/>
      <c r="R338" s="1052"/>
      <c r="S338" s="1052"/>
      <c r="T338" s="2035">
        <f t="shared" si="56"/>
        <v>0</v>
      </c>
    </row>
    <row r="339" spans="1:20" ht="22.2" hidden="1" customHeight="1">
      <c r="A339" s="1572" t="s">
        <v>2311</v>
      </c>
      <c r="B339" s="1574" t="s">
        <v>2311</v>
      </c>
      <c r="C339" s="64" t="str">
        <f t="shared" si="57"/>
        <v xml:space="preserve"> </v>
      </c>
      <c r="D339" s="1532"/>
      <c r="E339" s="1045"/>
      <c r="F339" s="1392" t="s">
        <v>2369</v>
      </c>
      <c r="G339" s="1046" t="s">
        <v>2333</v>
      </c>
      <c r="H339" s="1821">
        <f>SUM(I339:O339)</f>
        <v>0</v>
      </c>
      <c r="I339" s="1822"/>
      <c r="J339" s="1822"/>
      <c r="K339" s="1822">
        <f>IFERROR(HLOOKUP(B339,pp3p1m!$1:$3,3,0),0)</f>
        <v>0</v>
      </c>
      <c r="L339" s="1822">
        <f>IFERROR(HLOOKUP(chitiet!B339,pp1p!$1:$3,3,0),0)</f>
        <v>0</v>
      </c>
      <c r="M339" s="1822"/>
      <c r="N339" s="1822"/>
      <c r="O339" s="1822"/>
      <c r="P339" s="1821">
        <f>H339+Q339-R339</f>
        <v>0</v>
      </c>
      <c r="Q339" s="1047"/>
      <c r="R339" s="1047"/>
      <c r="S339" s="1047"/>
      <c r="T339" s="2035">
        <f>IFERROR(HLOOKUP(B339,pp1p!$1:$3,3,0),0)+IFERROR(HLOOKUP(B339,pp3p1m!$1:$3,3,0),0)</f>
        <v>0</v>
      </c>
    </row>
    <row r="340" spans="1:20" ht="22.2" hidden="1" customHeight="1">
      <c r="A340" s="1573"/>
      <c r="B340" s="1575" t="s">
        <v>751</v>
      </c>
      <c r="C340" s="64" t="str">
        <f t="shared" si="57"/>
        <v xml:space="preserve"> </v>
      </c>
      <c r="D340" s="1539">
        <v>252</v>
      </c>
      <c r="E340" s="1048">
        <f>VLOOKUP($B340,DG!A:D,DG!$B$2,)</f>
        <v>0</v>
      </c>
      <c r="F340" s="1054" t="str">
        <f>VLOOKUP($B340,DG!A:D,DG!$C$2,)</f>
        <v>Ximăng (PC40)</v>
      </c>
      <c r="G340" s="1048" t="str">
        <f>VLOOKUP($B340,DG!A:D,DG!$D$2,)</f>
        <v>kg</v>
      </c>
      <c r="H340" s="1824">
        <f t="shared" ref="H340:O344" si="58">H$339*$D340</f>
        <v>0</v>
      </c>
      <c r="I340" s="1824">
        <f t="shared" si="58"/>
        <v>0</v>
      </c>
      <c r="J340" s="1824">
        <f t="shared" si="58"/>
        <v>0</v>
      </c>
      <c r="K340" s="1824">
        <f t="shared" si="58"/>
        <v>0</v>
      </c>
      <c r="L340" s="1824">
        <f t="shared" si="58"/>
        <v>0</v>
      </c>
      <c r="M340" s="1824">
        <f t="shared" si="58"/>
        <v>0</v>
      </c>
      <c r="N340" s="1824">
        <f t="shared" si="58"/>
        <v>0</v>
      </c>
      <c r="O340" s="1824">
        <f t="shared" si="58"/>
        <v>0</v>
      </c>
      <c r="P340" s="1824">
        <f>$P$339*D340</f>
        <v>0</v>
      </c>
      <c r="Q340" s="1052"/>
      <c r="R340" s="1052"/>
      <c r="S340" s="1052"/>
      <c r="T340" s="2035">
        <f t="shared" si="56"/>
        <v>0</v>
      </c>
    </row>
    <row r="341" spans="1:20" ht="22.2" hidden="1" customHeight="1">
      <c r="A341" s="1573"/>
      <c r="B341" s="1576" t="s">
        <v>4440</v>
      </c>
      <c r="C341" s="64" t="str">
        <f t="shared" si="57"/>
        <v xml:space="preserve"> </v>
      </c>
      <c r="D341" s="1536">
        <v>0.56499999999999995</v>
      </c>
      <c r="E341" s="1048">
        <f>VLOOKUP($B341,DG!A:D,DG!$B$2,)</f>
        <v>0</v>
      </c>
      <c r="F341" s="1054" t="str">
        <f>VLOOKUP($B341,DG!A:D,DG!$C$2,)</f>
        <v>Cát vàng</v>
      </c>
      <c r="G341" s="1048" t="str">
        <f>VLOOKUP($B341,DG!A:D,DG!$D$2,)</f>
        <v>m3</v>
      </c>
      <c r="H341" s="1824">
        <f t="shared" si="58"/>
        <v>0</v>
      </c>
      <c r="I341" s="1824">
        <f t="shared" si="58"/>
        <v>0</v>
      </c>
      <c r="J341" s="1824">
        <f t="shared" si="58"/>
        <v>0</v>
      </c>
      <c r="K341" s="1824">
        <f t="shared" si="58"/>
        <v>0</v>
      </c>
      <c r="L341" s="1824">
        <f t="shared" si="58"/>
        <v>0</v>
      </c>
      <c r="M341" s="1824">
        <f t="shared" si="58"/>
        <v>0</v>
      </c>
      <c r="N341" s="1824">
        <f t="shared" si="58"/>
        <v>0</v>
      </c>
      <c r="O341" s="1824">
        <f t="shared" si="58"/>
        <v>0</v>
      </c>
      <c r="P341" s="1824">
        <f>$P$339*D341</f>
        <v>0</v>
      </c>
      <c r="Q341" s="1050"/>
      <c r="R341" s="1050"/>
      <c r="S341" s="1050"/>
      <c r="T341" s="2035">
        <f t="shared" si="56"/>
        <v>0</v>
      </c>
    </row>
    <row r="342" spans="1:20" ht="22.2" hidden="1" customHeight="1">
      <c r="A342" s="1573" t="s">
        <v>1016</v>
      </c>
      <c r="B342" s="1575" t="s">
        <v>867</v>
      </c>
      <c r="C342" s="64" t="str">
        <f t="shared" si="57"/>
        <v xml:space="preserve"> </v>
      </c>
      <c r="D342" s="1536">
        <v>1.0489999999999999</v>
      </c>
      <c r="E342" s="1048">
        <f>VLOOKUP($B342,DG!A:D,DG!$B$2,)</f>
        <v>0</v>
      </c>
      <c r="F342" s="1054" t="str">
        <f>VLOOKUP($B342,DG!A:D,DG!$C$2,)</f>
        <v>Đá 1x2</v>
      </c>
      <c r="G342" s="1048" t="str">
        <f>VLOOKUP($B342,DG!A:D,DG!$D$2,)</f>
        <v>m3</v>
      </c>
      <c r="H342" s="1824">
        <f t="shared" si="58"/>
        <v>0</v>
      </c>
      <c r="I342" s="1824">
        <f t="shared" si="58"/>
        <v>0</v>
      </c>
      <c r="J342" s="1824">
        <f t="shared" si="58"/>
        <v>0</v>
      </c>
      <c r="K342" s="1824">
        <f t="shared" si="58"/>
        <v>0</v>
      </c>
      <c r="L342" s="1824">
        <f t="shared" si="58"/>
        <v>0</v>
      </c>
      <c r="M342" s="1824">
        <f t="shared" si="58"/>
        <v>0</v>
      </c>
      <c r="N342" s="1824">
        <f t="shared" si="58"/>
        <v>0</v>
      </c>
      <c r="O342" s="1824">
        <f t="shared" si="58"/>
        <v>0</v>
      </c>
      <c r="P342" s="1824">
        <f>$P$339*D342</f>
        <v>0</v>
      </c>
      <c r="Q342" s="1050"/>
      <c r="R342" s="1050"/>
      <c r="S342" s="1050"/>
      <c r="T342" s="2035">
        <f t="shared" si="56"/>
        <v>0</v>
      </c>
    </row>
    <row r="343" spans="1:20" ht="22.2" hidden="1" customHeight="1">
      <c r="A343" s="63"/>
      <c r="B343" s="1575" t="s">
        <v>995</v>
      </c>
      <c r="C343" s="64" t="str">
        <f t="shared" si="57"/>
        <v xml:space="preserve"> </v>
      </c>
      <c r="D343" s="1536"/>
      <c r="E343" s="1048">
        <f>VLOOKUP($B343,DG!A:D,DG!$B$2,)</f>
        <v>0</v>
      </c>
      <c r="F343" s="1054" t="str">
        <f>VLOOKUP($B343,DG!A:D,DG!$C$2,)</f>
        <v>Sắt Ø10</v>
      </c>
      <c r="G343" s="1048" t="str">
        <f>VLOOKUP($B343,DG!A:D,DG!$D$2,)</f>
        <v>kg</v>
      </c>
      <c r="H343" s="1824">
        <f t="shared" si="58"/>
        <v>0</v>
      </c>
      <c r="I343" s="1824">
        <f t="shared" si="58"/>
        <v>0</v>
      </c>
      <c r="J343" s="1824">
        <f t="shared" si="58"/>
        <v>0</v>
      </c>
      <c r="K343" s="1824">
        <f t="shared" si="58"/>
        <v>0</v>
      </c>
      <c r="L343" s="1824">
        <f t="shared" si="58"/>
        <v>0</v>
      </c>
      <c r="M343" s="1824">
        <f t="shared" si="58"/>
        <v>0</v>
      </c>
      <c r="N343" s="1824">
        <f t="shared" si="58"/>
        <v>0</v>
      </c>
      <c r="O343" s="1824">
        <f t="shared" si="58"/>
        <v>0</v>
      </c>
      <c r="P343" s="1824"/>
      <c r="Q343" s="1050"/>
      <c r="R343" s="1050"/>
      <c r="S343" s="1050"/>
      <c r="T343" s="2035">
        <f t="shared" si="56"/>
        <v>0</v>
      </c>
    </row>
    <row r="344" spans="1:20" ht="22.2" hidden="1" customHeight="1">
      <c r="A344" s="63" t="s">
        <v>1016</v>
      </c>
      <c r="B344" s="1575" t="s">
        <v>996</v>
      </c>
      <c r="C344" s="64" t="str">
        <f t="shared" si="57"/>
        <v xml:space="preserve"> </v>
      </c>
      <c r="D344" s="1536"/>
      <c r="E344" s="1048">
        <f>VLOOKUP($B344,DG!A:D,DG!$B$2,)</f>
        <v>0</v>
      </c>
      <c r="F344" s="1054" t="str">
        <f>VLOOKUP($B344,DG!A:D,DG!$C$2,)</f>
        <v>Kẽm</v>
      </c>
      <c r="G344" s="1048" t="str">
        <f>VLOOKUP($B344,DG!A:D,DG!$D$2,)</f>
        <v>kg</v>
      </c>
      <c r="H344" s="1824">
        <f t="shared" si="58"/>
        <v>0</v>
      </c>
      <c r="I344" s="1824">
        <f t="shared" si="58"/>
        <v>0</v>
      </c>
      <c r="J344" s="1824">
        <f t="shared" si="58"/>
        <v>0</v>
      </c>
      <c r="K344" s="1824">
        <f t="shared" si="58"/>
        <v>0</v>
      </c>
      <c r="L344" s="1824">
        <f t="shared" si="58"/>
        <v>0</v>
      </c>
      <c r="M344" s="1824">
        <f t="shared" si="58"/>
        <v>0</v>
      </c>
      <c r="N344" s="1824">
        <f t="shared" si="58"/>
        <v>0</v>
      </c>
      <c r="O344" s="1824">
        <f t="shared" si="58"/>
        <v>0</v>
      </c>
      <c r="P344" s="1824"/>
      <c r="Q344" s="1050"/>
      <c r="R344" s="1050"/>
      <c r="S344" s="1050"/>
      <c r="T344" s="2035">
        <f t="shared" si="56"/>
        <v>0</v>
      </c>
    </row>
    <row r="345" spans="1:20" ht="22.2" hidden="1" customHeight="1">
      <c r="A345" s="1573"/>
      <c r="B345" s="1577" t="s">
        <v>639</v>
      </c>
      <c r="C345" s="64" t="str">
        <f t="shared" si="57"/>
        <v xml:space="preserve"> </v>
      </c>
      <c r="D345" s="1536">
        <v>1.28</v>
      </c>
      <c r="E345" s="1048" t="str">
        <f>VLOOKUP($B345,DG!A:D,DG!$B$2,)</f>
        <v>03.1013</v>
      </c>
      <c r="F345" s="1049" t="str">
        <f>VLOOKUP($B345,DG!A:D,DG!$C$2,)</f>
        <v>Đào hố móng đất cấp 3 sâu &gt;1m</v>
      </c>
      <c r="G345" s="1048" t="str">
        <f>VLOOKUP($B345,DG!A:D,DG!$D$2,)</f>
        <v>m3</v>
      </c>
      <c r="H345" s="1824"/>
      <c r="I345" s="1824">
        <f t="shared" ref="I345:O355" si="59">I$339*$D345</f>
        <v>0</v>
      </c>
      <c r="J345" s="1824">
        <f t="shared" si="59"/>
        <v>0</v>
      </c>
      <c r="K345" s="1824">
        <f t="shared" si="59"/>
        <v>0</v>
      </c>
      <c r="L345" s="1824">
        <f t="shared" si="59"/>
        <v>0</v>
      </c>
      <c r="M345" s="1824">
        <f t="shared" si="59"/>
        <v>0</v>
      </c>
      <c r="N345" s="1824">
        <f t="shared" si="59"/>
        <v>0</v>
      </c>
      <c r="O345" s="1824">
        <f t="shared" si="59"/>
        <v>0</v>
      </c>
      <c r="P345" s="1824"/>
      <c r="Q345" s="1055"/>
      <c r="R345" s="1055"/>
      <c r="S345" s="1055"/>
      <c r="T345" s="2035">
        <f t="shared" si="56"/>
        <v>0</v>
      </c>
    </row>
    <row r="346" spans="1:20" ht="22.2" hidden="1" customHeight="1">
      <c r="A346" s="63"/>
      <c r="B346" s="1575" t="s">
        <v>21</v>
      </c>
      <c r="C346" s="64" t="str">
        <f t="shared" si="57"/>
        <v xml:space="preserve"> </v>
      </c>
      <c r="D346" s="1536">
        <v>1.28</v>
      </c>
      <c r="E346" s="1048" t="str">
        <f>VLOOKUP($B346,DG!A:D,DG!$B$2,)</f>
        <v>03.4113</v>
      </c>
      <c r="F346" s="1049" t="str">
        <f>VLOOKUP($B346,DG!A:D,DG!$C$2,)</f>
        <v>Đắp đất hố móng, độ chặt k=0,95</v>
      </c>
      <c r="G346" s="1048" t="str">
        <f>VLOOKUP($B346,DG!A:D,DG!$D$2,)</f>
        <v>m3</v>
      </c>
      <c r="H346" s="1824">
        <f>H$339*$D346</f>
        <v>0</v>
      </c>
      <c r="I346" s="1824">
        <f t="shared" si="59"/>
        <v>0</v>
      </c>
      <c r="J346" s="1824">
        <f t="shared" si="59"/>
        <v>0</v>
      </c>
      <c r="K346" s="1824">
        <f t="shared" si="59"/>
        <v>0</v>
      </c>
      <c r="L346" s="1824">
        <f t="shared" si="59"/>
        <v>0</v>
      </c>
      <c r="M346" s="1824">
        <f t="shared" si="59"/>
        <v>0</v>
      </c>
      <c r="N346" s="1824">
        <f t="shared" si="59"/>
        <v>0</v>
      </c>
      <c r="O346" s="1824">
        <f t="shared" si="59"/>
        <v>0</v>
      </c>
      <c r="P346" s="1824">
        <f>$P$339*D346</f>
        <v>0</v>
      </c>
      <c r="Q346" s="1055"/>
      <c r="R346" s="1055"/>
      <c r="S346" s="1055"/>
      <c r="T346" s="2035">
        <f t="shared" si="56"/>
        <v>0</v>
      </c>
    </row>
    <row r="347" spans="1:20" ht="22.2" hidden="1" customHeight="1">
      <c r="A347" s="63"/>
      <c r="B347" s="1575" t="s">
        <v>1296</v>
      </c>
      <c r="C347" s="64" t="str">
        <f t="shared" si="57"/>
        <v xml:space="preserve"> </v>
      </c>
      <c r="D347" s="1536"/>
      <c r="E347" s="1048" t="str">
        <f>VLOOKUP($B347,DG!A:D,DG!$B$2,)</f>
        <v>02.1101</v>
      </c>
      <c r="F347" s="1049" t="str">
        <f>VLOOKUP($B347,DG!A:D,DG!$C$2,)</f>
        <v>Bốc dỡ xi măng</v>
      </c>
      <c r="G347" s="1048" t="str">
        <f>VLOOKUP($B347,DG!A:D,DG!$D$2,)</f>
        <v>tấn</v>
      </c>
      <c r="H347" s="1824">
        <f t="shared" ref="H347:H355" si="60">H$339*$D347</f>
        <v>0</v>
      </c>
      <c r="I347" s="1824">
        <f t="shared" si="59"/>
        <v>0</v>
      </c>
      <c r="J347" s="1824">
        <f t="shared" si="59"/>
        <v>0</v>
      </c>
      <c r="K347" s="1824">
        <f t="shared" si="59"/>
        <v>0</v>
      </c>
      <c r="L347" s="1824">
        <f t="shared" si="59"/>
        <v>0</v>
      </c>
      <c r="M347" s="1824">
        <f t="shared" si="59"/>
        <v>0</v>
      </c>
      <c r="N347" s="1824">
        <f t="shared" si="59"/>
        <v>0</v>
      </c>
      <c r="O347" s="1824">
        <f t="shared" si="59"/>
        <v>0</v>
      </c>
      <c r="P347" s="1824">
        <f t="shared" ref="P347:P355" si="61">$P$339*D347</f>
        <v>0</v>
      </c>
      <c r="Q347" s="1055"/>
      <c r="R347" s="1055"/>
      <c r="S347" s="1055"/>
      <c r="T347" s="2035">
        <f t="shared" si="56"/>
        <v>0</v>
      </c>
    </row>
    <row r="348" spans="1:20" ht="22.2" hidden="1" customHeight="1">
      <c r="A348" s="63"/>
      <c r="B348" s="1575" t="s">
        <v>133</v>
      </c>
      <c r="C348" s="64" t="str">
        <f t="shared" si="57"/>
        <v xml:space="preserve"> </v>
      </c>
      <c r="D348" s="1536"/>
      <c r="E348" s="1048" t="str">
        <f>VLOOKUP($B348,DG!A:D,DG!$B$2,)</f>
        <v>02.1103</v>
      </c>
      <c r="F348" s="1049" t="str">
        <f>VLOOKUP($B348,DG!A:D,DG!$C$2,)</f>
        <v>Bốc dỡ cát</v>
      </c>
      <c r="G348" s="1048" t="str">
        <f>VLOOKUP($B348,DG!A:D,DG!$D$2,)</f>
        <v>m3</v>
      </c>
      <c r="H348" s="1824">
        <f t="shared" si="60"/>
        <v>0</v>
      </c>
      <c r="I348" s="1824">
        <f t="shared" si="59"/>
        <v>0</v>
      </c>
      <c r="J348" s="1824">
        <f t="shared" si="59"/>
        <v>0</v>
      </c>
      <c r="K348" s="1824">
        <f t="shared" si="59"/>
        <v>0</v>
      </c>
      <c r="L348" s="1824">
        <f t="shared" si="59"/>
        <v>0</v>
      </c>
      <c r="M348" s="1824">
        <f t="shared" si="59"/>
        <v>0</v>
      </c>
      <c r="N348" s="1824">
        <f t="shared" si="59"/>
        <v>0</v>
      </c>
      <c r="O348" s="1824">
        <f t="shared" si="59"/>
        <v>0</v>
      </c>
      <c r="P348" s="1824">
        <f t="shared" si="61"/>
        <v>0</v>
      </c>
      <c r="Q348" s="1055"/>
      <c r="R348" s="1055"/>
      <c r="S348" s="1055"/>
      <c r="T348" s="2035">
        <f t="shared" si="56"/>
        <v>0</v>
      </c>
    </row>
    <row r="349" spans="1:20" ht="22.2" hidden="1" customHeight="1">
      <c r="A349" s="63"/>
      <c r="B349" s="1575" t="s">
        <v>135</v>
      </c>
      <c r="C349" s="64" t="str">
        <f t="shared" si="57"/>
        <v xml:space="preserve"> </v>
      </c>
      <c r="D349" s="1536"/>
      <c r="E349" s="1048" t="str">
        <f>VLOOKUP($B349,DG!A:D,DG!$B$2,)</f>
        <v>02.1104</v>
      </c>
      <c r="F349" s="1049" t="str">
        <f>VLOOKUP($B349,DG!A:D,DG!$C$2,)</f>
        <v>Bốc dỡ đá dăm</v>
      </c>
      <c r="G349" s="1048" t="str">
        <f>VLOOKUP($B349,DG!A:D,DG!$D$2,)</f>
        <v>m3</v>
      </c>
      <c r="H349" s="1824">
        <f t="shared" si="60"/>
        <v>0</v>
      </c>
      <c r="I349" s="1824">
        <f t="shared" si="59"/>
        <v>0</v>
      </c>
      <c r="J349" s="1824">
        <f t="shared" si="59"/>
        <v>0</v>
      </c>
      <c r="K349" s="1824">
        <f t="shared" si="59"/>
        <v>0</v>
      </c>
      <c r="L349" s="1824">
        <f t="shared" si="59"/>
        <v>0</v>
      </c>
      <c r="M349" s="1824">
        <f t="shared" si="59"/>
        <v>0</v>
      </c>
      <c r="N349" s="1824">
        <f t="shared" si="59"/>
        <v>0</v>
      </c>
      <c r="O349" s="1824">
        <f t="shared" si="59"/>
        <v>0</v>
      </c>
      <c r="P349" s="1824">
        <f t="shared" si="61"/>
        <v>0</v>
      </c>
      <c r="Q349" s="1055"/>
      <c r="R349" s="1055"/>
      <c r="S349" s="1055"/>
      <c r="T349" s="2035">
        <f t="shared" si="56"/>
        <v>0</v>
      </c>
    </row>
    <row r="350" spans="1:20" ht="22.2" hidden="1" customHeight="1">
      <c r="A350" s="63"/>
      <c r="B350" s="1575" t="s">
        <v>495</v>
      </c>
      <c r="C350" s="64" t="str">
        <f t="shared" si="57"/>
        <v xml:space="preserve"> </v>
      </c>
      <c r="D350" s="1536"/>
      <c r="E350" s="1048" t="str">
        <f>VLOOKUP($B350,DG!A:D,DG!$B$2,)</f>
        <v>02.1211</v>
      </c>
      <c r="F350" s="1049" t="str">
        <f>VLOOKUP($B350,DG!A:D,DG!$C$2,)</f>
        <v>V/c xi măng ( cự ly &lt;=100m)</v>
      </c>
      <c r="G350" s="1048" t="str">
        <f>VLOOKUP($B350,DG!A:D,DG!$D$2,)</f>
        <v>tấn</v>
      </c>
      <c r="H350" s="1824">
        <f t="shared" si="60"/>
        <v>0</v>
      </c>
      <c r="I350" s="1824">
        <f t="shared" si="59"/>
        <v>0</v>
      </c>
      <c r="J350" s="1824">
        <f t="shared" si="59"/>
        <v>0</v>
      </c>
      <c r="K350" s="1824">
        <f t="shared" si="59"/>
        <v>0</v>
      </c>
      <c r="L350" s="1824">
        <f t="shared" si="59"/>
        <v>0</v>
      </c>
      <c r="M350" s="1824">
        <f t="shared" si="59"/>
        <v>0</v>
      </c>
      <c r="N350" s="1824">
        <f t="shared" si="59"/>
        <v>0</v>
      </c>
      <c r="O350" s="1824">
        <f t="shared" si="59"/>
        <v>0</v>
      </c>
      <c r="P350" s="1824">
        <f t="shared" si="61"/>
        <v>0</v>
      </c>
      <c r="Q350" s="1055"/>
      <c r="R350" s="1055"/>
      <c r="S350" s="1055"/>
      <c r="T350" s="2035">
        <f t="shared" si="56"/>
        <v>0</v>
      </c>
    </row>
    <row r="351" spans="1:20" ht="22.2" hidden="1" customHeight="1">
      <c r="A351" s="63"/>
      <c r="B351" s="1575" t="s">
        <v>1614</v>
      </c>
      <c r="C351" s="64" t="str">
        <f t="shared" si="57"/>
        <v xml:space="preserve"> </v>
      </c>
      <c r="D351" s="1536"/>
      <c r="E351" s="1048" t="str">
        <f>VLOOKUP($B351,DG!A:D,DG!$B$2,)</f>
        <v>02.1231</v>
      </c>
      <c r="F351" s="1049" t="str">
        <f>VLOOKUP($B351,DG!A:D,DG!$C$2,)</f>
        <v>V/c cát vàng cự ly &lt;=100m</v>
      </c>
      <c r="G351" s="1048" t="str">
        <f>VLOOKUP($B351,DG!A:D,DG!$D$2,)</f>
        <v>m3</v>
      </c>
      <c r="H351" s="1824">
        <f t="shared" si="60"/>
        <v>0</v>
      </c>
      <c r="I351" s="1824">
        <f t="shared" si="59"/>
        <v>0</v>
      </c>
      <c r="J351" s="1824">
        <f t="shared" si="59"/>
        <v>0</v>
      </c>
      <c r="K351" s="1824">
        <f t="shared" si="59"/>
        <v>0</v>
      </c>
      <c r="L351" s="1824">
        <f t="shared" si="59"/>
        <v>0</v>
      </c>
      <c r="M351" s="1824">
        <f t="shared" si="59"/>
        <v>0</v>
      </c>
      <c r="N351" s="1824">
        <f t="shared" si="59"/>
        <v>0</v>
      </c>
      <c r="O351" s="1824">
        <f t="shared" si="59"/>
        <v>0</v>
      </c>
      <c r="P351" s="1824">
        <f t="shared" si="61"/>
        <v>0</v>
      </c>
      <c r="Q351" s="1055"/>
      <c r="R351" s="1055"/>
      <c r="S351" s="1055"/>
      <c r="T351" s="2035">
        <f t="shared" si="56"/>
        <v>0</v>
      </c>
    </row>
    <row r="352" spans="1:20" ht="22.2" hidden="1" customHeight="1">
      <c r="A352" s="63"/>
      <c r="B352" s="1575" t="s">
        <v>521</v>
      </c>
      <c r="C352" s="64" t="str">
        <f t="shared" si="57"/>
        <v xml:space="preserve"> </v>
      </c>
      <c r="D352" s="1536"/>
      <c r="E352" s="1048" t="str">
        <f>VLOOKUP($B352,DG!A:D,DG!$B$2,)</f>
        <v>02.1241</v>
      </c>
      <c r="F352" s="1049" t="str">
        <f>VLOOKUP($B352,DG!A:D,DG!$C$2,)</f>
        <v>V/c đá dăm ( cự ly &lt;=100m)</v>
      </c>
      <c r="G352" s="1048" t="str">
        <f>VLOOKUP($B352,DG!A:D,DG!$D$2,)</f>
        <v>m3</v>
      </c>
      <c r="H352" s="1824">
        <f t="shared" si="60"/>
        <v>0</v>
      </c>
      <c r="I352" s="1824">
        <f t="shared" si="59"/>
        <v>0</v>
      </c>
      <c r="J352" s="1824">
        <f t="shared" si="59"/>
        <v>0</v>
      </c>
      <c r="K352" s="1824">
        <f t="shared" si="59"/>
        <v>0</v>
      </c>
      <c r="L352" s="1824">
        <f t="shared" si="59"/>
        <v>0</v>
      </c>
      <c r="M352" s="1824">
        <f t="shared" si="59"/>
        <v>0</v>
      </c>
      <c r="N352" s="1824">
        <f t="shared" si="59"/>
        <v>0</v>
      </c>
      <c r="O352" s="1824">
        <f t="shared" si="59"/>
        <v>0</v>
      </c>
      <c r="P352" s="1824">
        <f t="shared" si="61"/>
        <v>0</v>
      </c>
      <c r="Q352" s="1055"/>
      <c r="R352" s="1055"/>
      <c r="S352" s="1055"/>
      <c r="T352" s="2035">
        <f t="shared" si="56"/>
        <v>0</v>
      </c>
    </row>
    <row r="353" spans="1:20" ht="22.2" hidden="1" customHeight="1">
      <c r="A353" s="63"/>
      <c r="B353" s="1575" t="s">
        <v>1985</v>
      </c>
      <c r="C353" s="64" t="str">
        <f t="shared" si="57"/>
        <v xml:space="preserve"> </v>
      </c>
      <c r="D353" s="1536"/>
      <c r="E353" s="1048" t="str">
        <f>VLOOKUP($B353,DG!A:D,DG!$B$2,)</f>
        <v>02.1482</v>
      </c>
      <c r="F353" s="1049" t="str">
        <f>VLOOKUP($B353,DG!A:D,DG!$C$2,)</f>
        <v>V/c dụng cụ thi công ( cự ly &lt;=100m)</v>
      </c>
      <c r="G353" s="1048" t="str">
        <f>VLOOKUP($B353,DG!A:D,DG!$D$2,)</f>
        <v>tấn</v>
      </c>
      <c r="H353" s="1824">
        <f t="shared" si="60"/>
        <v>0</v>
      </c>
      <c r="I353" s="1824">
        <f t="shared" si="59"/>
        <v>0</v>
      </c>
      <c r="J353" s="1824">
        <f t="shared" si="59"/>
        <v>0</v>
      </c>
      <c r="K353" s="1824">
        <f t="shared" si="59"/>
        <v>0</v>
      </c>
      <c r="L353" s="1824">
        <f t="shared" si="59"/>
        <v>0</v>
      </c>
      <c r="M353" s="1824">
        <f t="shared" si="59"/>
        <v>0</v>
      </c>
      <c r="N353" s="1824">
        <f t="shared" si="59"/>
        <v>0</v>
      </c>
      <c r="O353" s="1824">
        <f t="shared" si="59"/>
        <v>0</v>
      </c>
      <c r="P353" s="1824">
        <f t="shared" si="61"/>
        <v>0</v>
      </c>
      <c r="Q353" s="1055"/>
      <c r="R353" s="1055"/>
      <c r="S353" s="1055"/>
      <c r="T353" s="2035">
        <f t="shared" si="56"/>
        <v>0</v>
      </c>
    </row>
    <row r="354" spans="1:20" ht="22.2" hidden="1" customHeight="1">
      <c r="A354" s="63"/>
      <c r="B354" s="1575" t="s">
        <v>997</v>
      </c>
      <c r="C354" s="64" t="str">
        <f t="shared" si="57"/>
        <v xml:space="preserve"> </v>
      </c>
      <c r="D354" s="1536">
        <f>D343*0</f>
        <v>0</v>
      </c>
      <c r="E354" s="1048" t="str">
        <f>VLOOKUP($B354,DG!A:D,DG!$B$2,)</f>
        <v>04.5101</v>
      </c>
      <c r="F354" s="1049" t="str">
        <f>VLOOKUP($B354,DG!A:D,DG!$C$2,)</f>
        <v>Gia công và lắp dựng cốt thép D&lt;=10</v>
      </c>
      <c r="G354" s="1048" t="str">
        <f>VLOOKUP($B354,DG!A:D,DG!$D$2,)</f>
        <v>kg</v>
      </c>
      <c r="H354" s="1824">
        <f t="shared" si="60"/>
        <v>0</v>
      </c>
      <c r="I354" s="1824">
        <f t="shared" si="59"/>
        <v>0</v>
      </c>
      <c r="J354" s="1824">
        <f t="shared" si="59"/>
        <v>0</v>
      </c>
      <c r="K354" s="1824">
        <f t="shared" si="59"/>
        <v>0</v>
      </c>
      <c r="L354" s="1824">
        <f t="shared" si="59"/>
        <v>0</v>
      </c>
      <c r="M354" s="1824">
        <f t="shared" si="59"/>
        <v>0</v>
      </c>
      <c r="N354" s="1824">
        <f t="shared" si="59"/>
        <v>0</v>
      </c>
      <c r="O354" s="1824">
        <f t="shared" si="59"/>
        <v>0</v>
      </c>
      <c r="P354" s="1824">
        <f t="shared" si="61"/>
        <v>0</v>
      </c>
      <c r="Q354" s="1055"/>
      <c r="R354" s="1055"/>
      <c r="S354" s="1055"/>
      <c r="T354" s="2035">
        <f t="shared" si="56"/>
        <v>0</v>
      </c>
    </row>
    <row r="355" spans="1:20" ht="22.2" hidden="1" customHeight="1">
      <c r="A355" s="63"/>
      <c r="B355" s="1575" t="s">
        <v>1839</v>
      </c>
      <c r="C355" s="64" t="str">
        <f t="shared" si="57"/>
        <v xml:space="preserve"> </v>
      </c>
      <c r="D355" s="1536">
        <v>1.19</v>
      </c>
      <c r="E355" s="1048" t="str">
        <f>VLOOKUP($B355,DG!A:D,DG!$B$2,)</f>
        <v>04.1203b</v>
      </c>
      <c r="F355" s="1049" t="str">
        <f>VLOOKUP($B355,DG!A:D,DG!$C$2,)</f>
        <v>Đổ bê tông mác M150 đá 1x2</v>
      </c>
      <c r="G355" s="1048" t="str">
        <f>VLOOKUP($B355,DG!A:D,DG!$D$2,)</f>
        <v>m3</v>
      </c>
      <c r="H355" s="1824">
        <f t="shared" si="60"/>
        <v>0</v>
      </c>
      <c r="I355" s="1824">
        <f t="shared" si="59"/>
        <v>0</v>
      </c>
      <c r="J355" s="1824">
        <f t="shared" si="59"/>
        <v>0</v>
      </c>
      <c r="K355" s="1824">
        <f t="shared" si="59"/>
        <v>0</v>
      </c>
      <c r="L355" s="1824">
        <f t="shared" si="59"/>
        <v>0</v>
      </c>
      <c r="M355" s="1824">
        <f t="shared" si="59"/>
        <v>0</v>
      </c>
      <c r="N355" s="1824">
        <f t="shared" si="59"/>
        <v>0</v>
      </c>
      <c r="O355" s="1824">
        <f t="shared" si="59"/>
        <v>0</v>
      </c>
      <c r="P355" s="1824">
        <f t="shared" si="61"/>
        <v>0</v>
      </c>
      <c r="Q355" s="1055"/>
      <c r="R355" s="1055"/>
      <c r="S355" s="1055"/>
      <c r="T355" s="2035">
        <f t="shared" si="56"/>
        <v>0</v>
      </c>
    </row>
    <row r="356" spans="1:20" ht="22.2" customHeight="1">
      <c r="A356" s="1572" t="s">
        <v>2312</v>
      </c>
      <c r="B356" s="1574" t="s">
        <v>2312</v>
      </c>
      <c r="C356" s="1018" t="str">
        <f t="shared" si="57"/>
        <v>x</v>
      </c>
      <c r="D356" s="1532"/>
      <c r="E356" s="1045"/>
      <c r="F356" s="1392" t="s">
        <v>2370</v>
      </c>
      <c r="G356" s="1046" t="s">
        <v>2333</v>
      </c>
      <c r="H356" s="1821">
        <f>SUM(I356:O356)</f>
        <v>1</v>
      </c>
      <c r="I356" s="1822"/>
      <c r="J356" s="1822"/>
      <c r="K356" s="1822">
        <f>IFERROR(HLOOKUP(B356,pp3p1m!$1:$3,3,0),0)</f>
        <v>1</v>
      </c>
      <c r="L356" s="1822">
        <f>IFERROR(HLOOKUP(chitiet!B356,pp1p!$1:$3,3,0),0)</f>
        <v>0</v>
      </c>
      <c r="M356" s="1822"/>
      <c r="N356" s="1822"/>
      <c r="O356" s="1822"/>
      <c r="P356" s="1821">
        <f>H356+Q356-R356</f>
        <v>1</v>
      </c>
      <c r="Q356" s="1047"/>
      <c r="R356" s="1047"/>
      <c r="S356" s="1047"/>
      <c r="T356" s="2035">
        <f>IFERROR(HLOOKUP(B356,pp1p!$1:$3,3,0),0)+IFERROR(HLOOKUP(B356,pp3p1m!$1:$3,3,0),0)</f>
        <v>1</v>
      </c>
    </row>
    <row r="357" spans="1:20" ht="22.2" customHeight="1">
      <c r="A357" s="1573"/>
      <c r="B357" s="1576" t="s">
        <v>751</v>
      </c>
      <c r="C357" s="1018" t="str">
        <f t="shared" si="57"/>
        <v>x</v>
      </c>
      <c r="D357" s="1539">
        <v>504</v>
      </c>
      <c r="E357" s="1048">
        <f>VLOOKUP($B357,DG!A:D,DG!$B$2,)</f>
        <v>0</v>
      </c>
      <c r="F357" s="1049" t="str">
        <f>VLOOKUP($B357,DG!A:D,DG!$C$2,)</f>
        <v>Ximăng (PC40)</v>
      </c>
      <c r="G357" s="1048" t="str">
        <f>VLOOKUP($B357,DG!A:D,DG!$D$2,)</f>
        <v>kg</v>
      </c>
      <c r="H357" s="1824">
        <f t="shared" ref="H357:H375" si="62">$H$356*$D357</f>
        <v>504</v>
      </c>
      <c r="I357" s="1824">
        <f>I$494*$D357</f>
        <v>0</v>
      </c>
      <c r="J357" s="1824">
        <f>J$494*$D357</f>
        <v>0</v>
      </c>
      <c r="K357" s="1824">
        <f t="shared" ref="K357:K364" si="63">K$356*$D357</f>
        <v>504</v>
      </c>
      <c r="L357" s="1824">
        <f>L$494*$D357</f>
        <v>0</v>
      </c>
      <c r="M357" s="1824">
        <f>M$494*$D357</f>
        <v>0</v>
      </c>
      <c r="N357" s="1824">
        <f>N$494*$D357</f>
        <v>0</v>
      </c>
      <c r="O357" s="1824"/>
      <c r="P357" s="1824">
        <f t="shared" ref="P357:P375" si="64">$P$356*D357</f>
        <v>504</v>
      </c>
      <c r="Q357" s="1052">
        <f>$Q$356*D357</f>
        <v>0</v>
      </c>
      <c r="R357" s="1052"/>
      <c r="S357" s="1052"/>
      <c r="T357" s="2035">
        <f t="shared" si="56"/>
        <v>0</v>
      </c>
    </row>
    <row r="358" spans="1:20" ht="22.2" customHeight="1">
      <c r="A358" s="1573"/>
      <c r="B358" s="1576" t="s">
        <v>4434</v>
      </c>
      <c r="C358" s="1018" t="str">
        <f t="shared" si="57"/>
        <v>x</v>
      </c>
      <c r="D358" s="1536">
        <v>0.80900000000000005</v>
      </c>
      <c r="E358" s="1048">
        <f>VLOOKUP($B358,DG!A:D,DG!$B$2,)</f>
        <v>0</v>
      </c>
      <c r="F358" s="1049" t="str">
        <f>VLOOKUP($B358,DG!A:D,DG!$C$2,)</f>
        <v>Cát vàng</v>
      </c>
      <c r="G358" s="1048" t="str">
        <f>VLOOKUP($B358,DG!A:D,DG!$D$2,)</f>
        <v>m3</v>
      </c>
      <c r="H358" s="1824">
        <f t="shared" si="62"/>
        <v>0.80900000000000005</v>
      </c>
      <c r="I358" s="1824"/>
      <c r="J358" s="1824"/>
      <c r="K358" s="1824">
        <f t="shared" si="63"/>
        <v>0.80900000000000005</v>
      </c>
      <c r="L358" s="1824"/>
      <c r="M358" s="1824"/>
      <c r="N358" s="1824"/>
      <c r="O358" s="1824"/>
      <c r="P358" s="1824">
        <f t="shared" si="64"/>
        <v>0.80900000000000005</v>
      </c>
      <c r="Q358" s="1050">
        <f>$Q$356*D358</f>
        <v>0</v>
      </c>
      <c r="R358" s="1051"/>
      <c r="S358" s="1051"/>
      <c r="T358" s="2035">
        <f t="shared" si="56"/>
        <v>0</v>
      </c>
    </row>
    <row r="359" spans="1:20" ht="22.2" customHeight="1">
      <c r="A359" s="1573"/>
      <c r="B359" s="1576" t="s">
        <v>867</v>
      </c>
      <c r="C359" s="1018" t="str">
        <f t="shared" si="57"/>
        <v>x</v>
      </c>
      <c r="D359" s="1536">
        <v>1.5009999999999999</v>
      </c>
      <c r="E359" s="1048">
        <f>VLOOKUP($B359,DG!A:D,DG!$B$2,)</f>
        <v>0</v>
      </c>
      <c r="F359" s="1049" t="str">
        <f>VLOOKUP($B359,DG!A:D,DG!$C$2,)</f>
        <v>Đá 1x2</v>
      </c>
      <c r="G359" s="1048" t="str">
        <f>VLOOKUP($B359,DG!A:D,DG!$D$2,)</f>
        <v>m3</v>
      </c>
      <c r="H359" s="1824">
        <f t="shared" si="62"/>
        <v>1.5009999999999999</v>
      </c>
      <c r="I359" s="1824"/>
      <c r="J359" s="1824"/>
      <c r="K359" s="1824">
        <f t="shared" si="63"/>
        <v>1.5009999999999999</v>
      </c>
      <c r="L359" s="1824"/>
      <c r="M359" s="1824"/>
      <c r="N359" s="1824"/>
      <c r="O359" s="1824"/>
      <c r="P359" s="1824">
        <f t="shared" si="64"/>
        <v>1.5009999999999999</v>
      </c>
      <c r="Q359" s="1050">
        <f>$Q$356*D359</f>
        <v>0</v>
      </c>
      <c r="R359" s="1051"/>
      <c r="S359" s="1051"/>
      <c r="T359" s="2035">
        <f t="shared" si="56"/>
        <v>0</v>
      </c>
    </row>
    <row r="360" spans="1:20" ht="22.2" hidden="1" customHeight="1">
      <c r="A360" s="63"/>
      <c r="B360" s="1575" t="s">
        <v>4965</v>
      </c>
      <c r="C360" s="64" t="str">
        <f t="shared" ref="C360:C361" si="65">IF(OR(P360&lt;&gt;0,H360&lt;&gt;0),"x"," ")</f>
        <v xml:space="preserve"> </v>
      </c>
      <c r="D360" s="1540">
        <v>0.75</v>
      </c>
      <c r="E360" s="1048">
        <f>VLOOKUP($B360,DG!A:D,DG!$B$2,)</f>
        <v>0</v>
      </c>
      <c r="F360" s="1049" t="str">
        <f>VLOOKUP($B360,DG!A:D,DG!$C$2,)</f>
        <v>Đinh các loại</v>
      </c>
      <c r="G360" s="1048" t="str">
        <f>VLOOKUP($B360,DG!A:D,DG!$D$2,)</f>
        <v>kg</v>
      </c>
      <c r="H360" s="1824"/>
      <c r="I360" s="1824"/>
      <c r="J360" s="1824"/>
      <c r="K360" s="1824">
        <f t="shared" si="63"/>
        <v>0.75</v>
      </c>
      <c r="L360" s="1824"/>
      <c r="M360" s="1824"/>
      <c r="N360" s="1824"/>
      <c r="O360" s="1824"/>
      <c r="P360" s="1824"/>
      <c r="Q360" s="1051"/>
      <c r="R360" s="1051"/>
      <c r="S360" s="1051"/>
      <c r="T360" s="2035">
        <f t="shared" ref="T360:T361" si="66">IFERROR(HLOOKUP(B360,BangKeTru,3,0),0)</f>
        <v>0</v>
      </c>
    </row>
    <row r="361" spans="1:20" ht="22.2" hidden="1" customHeight="1">
      <c r="A361" s="63"/>
      <c r="B361" s="1575" t="s">
        <v>996</v>
      </c>
      <c r="C361" s="64" t="str">
        <f t="shared" si="65"/>
        <v xml:space="preserve"> </v>
      </c>
      <c r="D361" s="1540"/>
      <c r="E361" s="1048">
        <f>VLOOKUP($B361,DG!A:D,DG!$B$2,)</f>
        <v>0</v>
      </c>
      <c r="F361" s="1049" t="str">
        <f>VLOOKUP($B361,DG!A:D,DG!$C$2,)</f>
        <v>Kẽm</v>
      </c>
      <c r="G361" s="1048" t="str">
        <f>VLOOKUP($B361,DG!A:D,DG!$D$2,)</f>
        <v>kg</v>
      </c>
      <c r="H361" s="1824">
        <f t="shared" si="62"/>
        <v>0</v>
      </c>
      <c r="I361" s="1824"/>
      <c r="J361" s="1824"/>
      <c r="K361" s="1824">
        <f t="shared" si="63"/>
        <v>0</v>
      </c>
      <c r="L361" s="1824"/>
      <c r="M361" s="1824"/>
      <c r="N361" s="1824"/>
      <c r="O361" s="1824"/>
      <c r="P361" s="1824">
        <f t="shared" ref="P361" si="67">$P$356*D361</f>
        <v>0</v>
      </c>
      <c r="Q361" s="1051"/>
      <c r="R361" s="1051"/>
      <c r="S361" s="1051"/>
      <c r="T361" s="2035">
        <f t="shared" si="66"/>
        <v>0</v>
      </c>
    </row>
    <row r="362" spans="1:20" ht="22.2" hidden="1" customHeight="1">
      <c r="A362" s="63"/>
      <c r="B362" s="1575" t="s">
        <v>4664</v>
      </c>
      <c r="C362" s="64" t="str">
        <f t="shared" si="57"/>
        <v xml:space="preserve"> </v>
      </c>
      <c r="D362" s="1540">
        <v>1.6800000000000001E-3</v>
      </c>
      <c r="E362" s="1048">
        <f>VLOOKUP($B362,DG!A:D,DG!$B$2,)</f>
        <v>0</v>
      </c>
      <c r="F362" s="1049" t="str">
        <f>VLOOKUP($B362,DG!A:D,DG!$C$2,)</f>
        <v>Gỗ chống</v>
      </c>
      <c r="G362" s="1048" t="str">
        <f>VLOOKUP($B362,DG!A:D,DG!$D$2,)</f>
        <v>m3</v>
      </c>
      <c r="H362" s="1824"/>
      <c r="I362" s="1824"/>
      <c r="J362" s="1824"/>
      <c r="K362" s="1824">
        <f t="shared" si="63"/>
        <v>1.6800000000000001E-3</v>
      </c>
      <c r="L362" s="1824"/>
      <c r="M362" s="1824"/>
      <c r="N362" s="1824"/>
      <c r="O362" s="1824"/>
      <c r="P362" s="1824"/>
      <c r="Q362" s="1051"/>
      <c r="R362" s="1051"/>
      <c r="S362" s="1051"/>
      <c r="T362" s="2035">
        <f t="shared" si="56"/>
        <v>0</v>
      </c>
    </row>
    <row r="363" spans="1:20" ht="22.2" hidden="1" customHeight="1">
      <c r="A363" s="63"/>
      <c r="B363" s="1575" t="s">
        <v>4666</v>
      </c>
      <c r="C363" s="64" t="str">
        <f t="shared" ref="C363" si="68">IF(OR(P363&lt;&gt;0,H363&lt;&gt;0),"x"," ")</f>
        <v xml:space="preserve"> </v>
      </c>
      <c r="D363" s="1540">
        <v>1.0500000000000001E-2</v>
      </c>
      <c r="E363" s="1048">
        <f>VLOOKUP($B363,DG!A:D,DG!$B$2,)</f>
        <v>0</v>
      </c>
      <c r="F363" s="1049" t="str">
        <f>VLOOKUP($B363,DG!A:D,DG!$C$2,)</f>
        <v>Gỗ đà nẹp</v>
      </c>
      <c r="G363" s="1048" t="str">
        <f>VLOOKUP($B363,DG!A:D,DG!$D$2,)</f>
        <v>m3</v>
      </c>
      <c r="H363" s="1824"/>
      <c r="I363" s="1824"/>
      <c r="J363" s="1824"/>
      <c r="K363" s="1824">
        <f t="shared" si="63"/>
        <v>1.0500000000000001E-2</v>
      </c>
      <c r="L363" s="1824"/>
      <c r="M363" s="1824"/>
      <c r="N363" s="1824"/>
      <c r="O363" s="1824"/>
      <c r="P363" s="1824"/>
      <c r="Q363" s="1051"/>
      <c r="R363" s="1051"/>
      <c r="S363" s="1051"/>
      <c r="T363" s="2035">
        <f t="shared" ref="T363" si="69">IFERROR(HLOOKUP(B363,BangKeTru,3,0),0)</f>
        <v>0</v>
      </c>
    </row>
    <row r="364" spans="1:20" ht="22.2" hidden="1" customHeight="1">
      <c r="A364" s="63"/>
      <c r="B364" s="1575" t="s">
        <v>4668</v>
      </c>
      <c r="C364" s="64" t="str">
        <f t="shared" si="57"/>
        <v xml:space="preserve"> </v>
      </c>
      <c r="D364" s="1540">
        <v>3.9600000000000003E-2</v>
      </c>
      <c r="E364" s="1048">
        <f>VLOOKUP($B364,DG!A:D,DG!$B$2,)</f>
        <v>0</v>
      </c>
      <c r="F364" s="1049" t="str">
        <f>VLOOKUP($B364,DG!A:D,DG!$C$2,)</f>
        <v>Gỗ ván (cả nẹp)</v>
      </c>
      <c r="G364" s="1048" t="str">
        <f>VLOOKUP($B364,DG!A:D,DG!$D$2,)</f>
        <v>m3</v>
      </c>
      <c r="H364" s="1824"/>
      <c r="I364" s="1824"/>
      <c r="J364" s="1824"/>
      <c r="K364" s="1824">
        <f t="shared" si="63"/>
        <v>3.9600000000000003E-2</v>
      </c>
      <c r="L364" s="1824"/>
      <c r="M364" s="1824"/>
      <c r="N364" s="1824"/>
      <c r="O364" s="1824"/>
      <c r="P364" s="1824"/>
      <c r="Q364" s="1051"/>
      <c r="R364" s="1051"/>
      <c r="S364" s="1051"/>
      <c r="T364" s="2035">
        <f t="shared" si="56"/>
        <v>0</v>
      </c>
    </row>
    <row r="365" spans="1:20" ht="22.2" hidden="1" customHeight="1">
      <c r="A365" s="1573"/>
      <c r="B365" s="1571" t="s">
        <v>4674</v>
      </c>
      <c r="C365" s="1018" t="str">
        <f t="shared" si="57"/>
        <v xml:space="preserve"> </v>
      </c>
      <c r="D365" s="1540">
        <v>1.93</v>
      </c>
      <c r="E365" s="1048">
        <f>VLOOKUP($B365,DG!A:D,DG!$B$2,)</f>
        <v>0</v>
      </c>
      <c r="F365" s="1049" t="str">
        <f>VLOOKUP($B365,DG!A:D,DG!$C$2,)</f>
        <v>Ván khuôn gỗ móng - móng vuông, chữ nhật</v>
      </c>
      <c r="G365" s="1048" t="str">
        <f>VLOOKUP($B365,DG!A:D,DG!$D$2,)</f>
        <v>100m2</v>
      </c>
      <c r="H365" s="1824"/>
      <c r="I365" s="1824"/>
      <c r="J365" s="1824"/>
      <c r="K365" s="1824"/>
      <c r="L365" s="1824"/>
      <c r="M365" s="1824"/>
      <c r="N365" s="1824"/>
      <c r="O365" s="1824"/>
      <c r="P365" s="1824"/>
      <c r="Q365" s="1050">
        <f>$Q$356*D365</f>
        <v>0</v>
      </c>
      <c r="R365" s="1055"/>
      <c r="S365" s="1055"/>
      <c r="T365" s="2035">
        <f t="shared" si="56"/>
        <v>0</v>
      </c>
    </row>
    <row r="366" spans="1:20" ht="22.2" hidden="1" customHeight="1">
      <c r="A366" s="63"/>
      <c r="B366" s="1575" t="s">
        <v>21</v>
      </c>
      <c r="C366" s="64" t="str">
        <f t="shared" si="57"/>
        <v xml:space="preserve"> </v>
      </c>
      <c r="D366" s="1536">
        <v>0.157</v>
      </c>
      <c r="E366" s="1048" t="str">
        <f>VLOOKUP($B366,DG!A:D,DG!$B$2,)</f>
        <v>03.4113</v>
      </c>
      <c r="F366" s="1049" t="str">
        <f>VLOOKUP($B366,DG!A:D,DG!$C$2,)</f>
        <v>Đắp đất hố móng, độ chặt k=0,95</v>
      </c>
      <c r="G366" s="1048" t="str">
        <f>VLOOKUP($B366,DG!A:D,DG!$D$2,)</f>
        <v>m3</v>
      </c>
      <c r="H366" s="1824"/>
      <c r="I366" s="1824"/>
      <c r="J366" s="1824"/>
      <c r="K366" s="1824"/>
      <c r="L366" s="1824"/>
      <c r="M366" s="1824"/>
      <c r="N366" s="1824"/>
      <c r="O366" s="1824"/>
      <c r="P366" s="1824"/>
      <c r="Q366" s="1055"/>
      <c r="R366" s="1055"/>
      <c r="S366" s="1055"/>
      <c r="T366" s="2035">
        <f t="shared" si="56"/>
        <v>0</v>
      </c>
    </row>
    <row r="367" spans="1:20" ht="22.2" hidden="1" customHeight="1">
      <c r="A367" s="63"/>
      <c r="B367" s="1575" t="s">
        <v>4862</v>
      </c>
      <c r="C367" s="64" t="str">
        <f t="shared" si="57"/>
        <v xml:space="preserve"> </v>
      </c>
      <c r="D367" s="1536">
        <v>1</v>
      </c>
      <c r="E367" s="1048">
        <f>VLOOKUP($B367,DG!A:D,DG!$B$2,)</f>
        <v>0</v>
      </c>
      <c r="F367" s="1049" t="str">
        <f>VLOOKUP($B367,DG!A:D,DG!$C$2,)</f>
        <v>Boulon 16x450VRS+ 4 long đền vuông D18-50x50x3/Zn</v>
      </c>
      <c r="G367" s="1048" t="str">
        <f>VLOOKUP($B367,DG!A:D,DG!$D$2,)</f>
        <v>bộ</v>
      </c>
      <c r="H367" s="1824"/>
      <c r="I367" s="1824"/>
      <c r="J367" s="1824"/>
      <c r="K367" s="1824"/>
      <c r="L367" s="1824"/>
      <c r="M367" s="1824"/>
      <c r="N367" s="1824"/>
      <c r="O367" s="1824"/>
      <c r="P367" s="1824"/>
      <c r="Q367" s="1055"/>
      <c r="R367" s="1055"/>
      <c r="S367" s="1055"/>
      <c r="T367" s="2035">
        <f t="shared" si="56"/>
        <v>0</v>
      </c>
    </row>
    <row r="368" spans="1:20" ht="22.2" customHeight="1">
      <c r="A368" s="63"/>
      <c r="B368" s="1575" t="s">
        <v>6171</v>
      </c>
      <c r="C368" s="64" t="str">
        <f t="shared" si="57"/>
        <v>x</v>
      </c>
      <c r="D368" s="1536">
        <v>1</v>
      </c>
      <c r="E368" s="1048">
        <f>VLOOKUP($B368,DG!A:D,DG!$B$2,)</f>
        <v>0</v>
      </c>
      <c r="F368" s="1049" t="str">
        <f>VLOOKUP($B368,DG!A:D,DG!$C$2,)</f>
        <v>Boulon 16x650VRS+ 4 long đền vuông D18-50x50x3/Zn</v>
      </c>
      <c r="G368" s="1048" t="str">
        <f>VLOOKUP($B368,DG!A:D,DG!$D$2,)</f>
        <v>bộ</v>
      </c>
      <c r="H368" s="1824">
        <f t="shared" si="62"/>
        <v>1</v>
      </c>
      <c r="I368" s="1824"/>
      <c r="J368" s="1824"/>
      <c r="K368" s="1824"/>
      <c r="L368" s="1824"/>
      <c r="M368" s="1824"/>
      <c r="N368" s="1824"/>
      <c r="O368" s="1824"/>
      <c r="P368" s="1824">
        <f t="shared" si="64"/>
        <v>1</v>
      </c>
      <c r="Q368" s="1055"/>
      <c r="R368" s="1055"/>
      <c r="S368" s="1055"/>
      <c r="T368" s="2035">
        <f t="shared" si="56"/>
        <v>0</v>
      </c>
    </row>
    <row r="369" spans="1:20" ht="22.2" customHeight="1">
      <c r="A369" s="63"/>
      <c r="B369" s="1575" t="s">
        <v>4875</v>
      </c>
      <c r="C369" s="64" t="str">
        <f t="shared" si="57"/>
        <v>x</v>
      </c>
      <c r="D369" s="1536">
        <v>1</v>
      </c>
      <c r="E369" s="1048">
        <f>VLOOKUP($B369,DG!A:D,DG!$B$2,)</f>
        <v>0</v>
      </c>
      <c r="F369" s="1049" t="str">
        <f>VLOOKUP($B369,DG!A:D,DG!$C$2,)</f>
        <v>Boulon 16x750VRS+ 4 long đền vuông D18-50x50x3/Zn</v>
      </c>
      <c r="G369" s="1048" t="str">
        <f>VLOOKUP($B369,DG!A:D,DG!$D$2,)</f>
        <v>bộ</v>
      </c>
      <c r="H369" s="1824">
        <f t="shared" si="62"/>
        <v>1</v>
      </c>
      <c r="I369" s="1824"/>
      <c r="J369" s="1824"/>
      <c r="K369" s="1824"/>
      <c r="L369" s="1824"/>
      <c r="M369" s="1824"/>
      <c r="N369" s="1824"/>
      <c r="O369" s="1824"/>
      <c r="P369" s="1824">
        <f t="shared" si="64"/>
        <v>1</v>
      </c>
      <c r="Q369" s="1055"/>
      <c r="R369" s="1055"/>
      <c r="S369" s="1055"/>
      <c r="T369" s="2035">
        <f t="shared" si="56"/>
        <v>0</v>
      </c>
    </row>
    <row r="370" spans="1:20" ht="22.2" customHeight="1">
      <c r="A370" s="63"/>
      <c r="B370" s="1575" t="s">
        <v>639</v>
      </c>
      <c r="C370" s="64" t="str">
        <f t="shared" si="57"/>
        <v>x</v>
      </c>
      <c r="D370" s="1536">
        <v>1.93</v>
      </c>
      <c r="E370" s="1048" t="str">
        <f>VLOOKUP($B370,DG!A:D,DG!$B$2,)</f>
        <v>03.1013</v>
      </c>
      <c r="F370" s="1049" t="str">
        <f>VLOOKUP($B370,DG!A:D,DG!$C$2,)</f>
        <v>Đào hố móng đất cấp 3 sâu &gt;1m</v>
      </c>
      <c r="G370" s="1048" t="str">
        <f>VLOOKUP($B370,DG!A:D,DG!$D$2,)</f>
        <v>m3</v>
      </c>
      <c r="H370" s="1824">
        <f t="shared" si="62"/>
        <v>1.93</v>
      </c>
      <c r="I370" s="1824"/>
      <c r="J370" s="1824"/>
      <c r="K370" s="1824"/>
      <c r="L370" s="1824"/>
      <c r="M370" s="1824"/>
      <c r="N370" s="1824"/>
      <c r="O370" s="1824"/>
      <c r="P370" s="1824">
        <f t="shared" si="64"/>
        <v>1.93</v>
      </c>
      <c r="Q370" s="1055"/>
      <c r="R370" s="1055"/>
      <c r="S370" s="1055"/>
      <c r="T370" s="2035">
        <f t="shared" si="56"/>
        <v>0</v>
      </c>
    </row>
    <row r="371" spans="1:20" ht="22.2" hidden="1" customHeight="1">
      <c r="A371" s="63"/>
      <c r="B371" s="1575" t="s">
        <v>1614</v>
      </c>
      <c r="C371" s="64" t="str">
        <f t="shared" si="57"/>
        <v xml:space="preserve"> </v>
      </c>
      <c r="D371" s="1536"/>
      <c r="E371" s="1048" t="str">
        <f>VLOOKUP($B371,DG!A:D,DG!$B$2,)</f>
        <v>02.1231</v>
      </c>
      <c r="F371" s="1049" t="str">
        <f>VLOOKUP($B371,DG!A:D,DG!$C$2,)</f>
        <v>V/c cát vàng cự ly &lt;=100m</v>
      </c>
      <c r="G371" s="1048" t="str">
        <f>VLOOKUP($B371,DG!A:D,DG!$D$2,)</f>
        <v>m3</v>
      </c>
      <c r="H371" s="1824">
        <f t="shared" si="62"/>
        <v>0</v>
      </c>
      <c r="I371" s="1824"/>
      <c r="J371" s="1824"/>
      <c r="K371" s="1824"/>
      <c r="L371" s="1824"/>
      <c r="M371" s="1824"/>
      <c r="N371" s="1824"/>
      <c r="O371" s="1824"/>
      <c r="P371" s="1824">
        <f t="shared" si="64"/>
        <v>0</v>
      </c>
      <c r="Q371" s="1055"/>
      <c r="R371" s="1055"/>
      <c r="S371" s="1055"/>
      <c r="T371" s="2035">
        <f t="shared" si="56"/>
        <v>0</v>
      </c>
    </row>
    <row r="372" spans="1:20" ht="22.2" hidden="1" customHeight="1">
      <c r="A372" s="63"/>
      <c r="B372" s="1575" t="s">
        <v>521</v>
      </c>
      <c r="C372" s="64" t="str">
        <f t="shared" si="57"/>
        <v xml:space="preserve"> </v>
      </c>
      <c r="D372" s="1536"/>
      <c r="E372" s="1048" t="str">
        <f>VLOOKUP($B372,DG!A:D,DG!$B$2,)</f>
        <v>02.1241</v>
      </c>
      <c r="F372" s="1049" t="str">
        <f>VLOOKUP($B372,DG!A:D,DG!$C$2,)</f>
        <v>V/c đá dăm ( cự ly &lt;=100m)</v>
      </c>
      <c r="G372" s="1048" t="str">
        <f>VLOOKUP($B372,DG!A:D,DG!$D$2,)</f>
        <v>m3</v>
      </c>
      <c r="H372" s="1824">
        <f t="shared" si="62"/>
        <v>0</v>
      </c>
      <c r="I372" s="1824"/>
      <c r="J372" s="1824"/>
      <c r="K372" s="1824"/>
      <c r="L372" s="1824"/>
      <c r="M372" s="1824"/>
      <c r="N372" s="1824"/>
      <c r="O372" s="1824"/>
      <c r="P372" s="1824">
        <f t="shared" si="64"/>
        <v>0</v>
      </c>
      <c r="Q372" s="1055"/>
      <c r="R372" s="1055"/>
      <c r="S372" s="1055"/>
      <c r="T372" s="2035">
        <f t="shared" si="56"/>
        <v>0</v>
      </c>
    </row>
    <row r="373" spans="1:20" ht="22.2" hidden="1" customHeight="1">
      <c r="A373" s="63"/>
      <c r="B373" s="1575" t="s">
        <v>1985</v>
      </c>
      <c r="C373" s="64" t="str">
        <f t="shared" si="57"/>
        <v xml:space="preserve"> </v>
      </c>
      <c r="D373" s="1536"/>
      <c r="E373" s="1048" t="str">
        <f>VLOOKUP($B373,DG!A:D,DG!$B$2,)</f>
        <v>02.1482</v>
      </c>
      <c r="F373" s="1049" t="str">
        <f>VLOOKUP($B373,DG!A:D,DG!$C$2,)</f>
        <v>V/c dụng cụ thi công ( cự ly &lt;=100m)</v>
      </c>
      <c r="G373" s="1048" t="str">
        <f>VLOOKUP($B373,DG!A:D,DG!$D$2,)</f>
        <v>tấn</v>
      </c>
      <c r="H373" s="1824">
        <f t="shared" si="62"/>
        <v>0</v>
      </c>
      <c r="I373" s="1824"/>
      <c r="J373" s="1824"/>
      <c r="K373" s="1824"/>
      <c r="L373" s="1824"/>
      <c r="M373" s="1824"/>
      <c r="N373" s="1824"/>
      <c r="O373" s="1824"/>
      <c r="P373" s="1824">
        <f t="shared" si="64"/>
        <v>0</v>
      </c>
      <c r="Q373" s="1055"/>
      <c r="R373" s="1055"/>
      <c r="S373" s="1055"/>
      <c r="T373" s="2035">
        <f t="shared" si="56"/>
        <v>0</v>
      </c>
    </row>
    <row r="374" spans="1:20" ht="22.2" hidden="1" customHeight="1">
      <c r="A374" s="63"/>
      <c r="B374" s="1575" t="s">
        <v>997</v>
      </c>
      <c r="C374" s="64" t="str">
        <f t="shared" si="57"/>
        <v xml:space="preserve"> </v>
      </c>
      <c r="D374" s="1536"/>
      <c r="E374" s="1048" t="str">
        <f>VLOOKUP($B374,DG!A:D,DG!$B$2,)</f>
        <v>04.5101</v>
      </c>
      <c r="F374" s="1049" t="str">
        <f>VLOOKUP($B374,DG!A:D,DG!$C$2,)</f>
        <v>Gia công và lắp dựng cốt thép D&lt;=10</v>
      </c>
      <c r="G374" s="1048" t="str">
        <f>VLOOKUP($B374,DG!A:D,DG!$D$2,)</f>
        <v>kg</v>
      </c>
      <c r="H374" s="1824">
        <f t="shared" si="62"/>
        <v>0</v>
      </c>
      <c r="I374" s="1824"/>
      <c r="J374" s="1824"/>
      <c r="K374" s="1824"/>
      <c r="L374" s="1824"/>
      <c r="M374" s="1824"/>
      <c r="N374" s="1824"/>
      <c r="O374" s="1824"/>
      <c r="P374" s="1824">
        <f t="shared" si="64"/>
        <v>0</v>
      </c>
      <c r="Q374" s="1055"/>
      <c r="R374" s="1055"/>
      <c r="S374" s="1055"/>
      <c r="T374" s="2035">
        <f t="shared" si="56"/>
        <v>0</v>
      </c>
    </row>
    <row r="375" spans="1:20" ht="22.2" customHeight="1">
      <c r="A375" s="1573"/>
      <c r="B375" s="1575" t="s">
        <v>1839</v>
      </c>
      <c r="C375" s="64" t="str">
        <f t="shared" si="57"/>
        <v>x</v>
      </c>
      <c r="D375" s="1536">
        <v>1.704</v>
      </c>
      <c r="E375" s="1048" t="str">
        <f>VLOOKUP($B375,DG!A:D,DG!$B$2,)</f>
        <v>04.1203b</v>
      </c>
      <c r="F375" s="1049" t="str">
        <f>VLOOKUP($B375,DG!A:D,DG!$C$2,)</f>
        <v>Đổ bê tông mác M150 đá 1x2</v>
      </c>
      <c r="G375" s="1048" t="str">
        <f>VLOOKUP($B375,DG!A:D,DG!$D$2,)</f>
        <v>m3</v>
      </c>
      <c r="H375" s="1824">
        <f t="shared" si="62"/>
        <v>1.704</v>
      </c>
      <c r="I375" s="1824"/>
      <c r="J375" s="1824"/>
      <c r="K375" s="1824"/>
      <c r="L375" s="1824"/>
      <c r="M375" s="1824"/>
      <c r="N375" s="1824"/>
      <c r="O375" s="1824"/>
      <c r="P375" s="1824">
        <f t="shared" si="64"/>
        <v>1.704</v>
      </c>
      <c r="Q375" s="1055"/>
      <c r="R375" s="1055"/>
      <c r="S375" s="1055"/>
      <c r="T375" s="2035">
        <f t="shared" si="56"/>
        <v>0</v>
      </c>
    </row>
    <row r="376" spans="1:20" ht="22.2" hidden="1" customHeight="1">
      <c r="A376" s="56" t="s">
        <v>744</v>
      </c>
      <c r="B376" s="1574" t="s">
        <v>744</v>
      </c>
      <c r="C376" s="62" t="str">
        <f t="shared" si="57"/>
        <v xml:space="preserve"> </v>
      </c>
      <c r="D376" s="1532"/>
      <c r="E376" s="1045"/>
      <c r="F376" s="1392" t="s">
        <v>2371</v>
      </c>
      <c r="G376" s="1046" t="s">
        <v>2333</v>
      </c>
      <c r="H376" s="1821">
        <f>SUM(I376:O376)</f>
        <v>0</v>
      </c>
      <c r="I376" s="1822"/>
      <c r="J376" s="1822"/>
      <c r="K376" s="1822">
        <f>IFERROR(HLOOKUP(B376,pp3p1m!$1:$3,3,0),0)</f>
        <v>0</v>
      </c>
      <c r="L376" s="1822">
        <f>IFERROR(HLOOKUP(chitiet!B376,pp1p!$1:$3,3,0),0)</f>
        <v>0</v>
      </c>
      <c r="M376" s="1822"/>
      <c r="N376" s="1822"/>
      <c r="O376" s="1822"/>
      <c r="P376" s="1822"/>
      <c r="Q376" s="1047"/>
      <c r="R376" s="1047"/>
      <c r="S376" s="1047"/>
      <c r="T376" s="2035">
        <f>IFERROR(HLOOKUP(B376,pp1p!$1:$3,3,0),0)+IFERROR(HLOOKUP(B376,pp3p1m!$1:$3,3,0),0)</f>
        <v>0</v>
      </c>
    </row>
    <row r="377" spans="1:20" ht="22.2" hidden="1" customHeight="1">
      <c r="A377" s="63"/>
      <c r="B377" s="1575" t="s">
        <v>751</v>
      </c>
      <c r="C377" s="64" t="str">
        <f t="shared" si="57"/>
        <v xml:space="preserve"> </v>
      </c>
      <c r="D377" s="1539">
        <v>838</v>
      </c>
      <c r="E377" s="1048">
        <f>VLOOKUP($B377,DG!A:D,DG!$B$2,)</f>
        <v>0</v>
      </c>
      <c r="F377" s="1049" t="str">
        <f>VLOOKUP($B377,DG!A:D,DG!$C$2,)</f>
        <v>Ximăng (PC40)</v>
      </c>
      <c r="G377" s="1048" t="str">
        <f>VLOOKUP($B377,DG!A:D,DG!$D$2,)</f>
        <v>kg</v>
      </c>
      <c r="H377" s="1824">
        <f t="shared" ref="H377:H395" si="70">H$356*$H$376</f>
        <v>0</v>
      </c>
      <c r="I377" s="1824">
        <f>I$494*$D377</f>
        <v>0</v>
      </c>
      <c r="J377" s="1824">
        <f>J$494*$D377</f>
        <v>0</v>
      </c>
      <c r="K377" s="1824">
        <f t="shared" ref="K377:K387" si="71">K$356*$D377</f>
        <v>838</v>
      </c>
      <c r="L377" s="1824">
        <f>L$494*$D377</f>
        <v>0</v>
      </c>
      <c r="M377" s="1824">
        <f>M$494*$D377</f>
        <v>0</v>
      </c>
      <c r="N377" s="1824">
        <f>N$494*$D377</f>
        <v>0</v>
      </c>
      <c r="O377" s="1824"/>
      <c r="P377" s="1824"/>
      <c r="Q377" s="1052"/>
      <c r="R377" s="1052"/>
      <c r="S377" s="1052"/>
      <c r="T377" s="2035">
        <f t="shared" si="56"/>
        <v>0</v>
      </c>
    </row>
    <row r="378" spans="1:20" ht="22.2" hidden="1" customHeight="1">
      <c r="A378" s="63"/>
      <c r="B378" s="1576" t="s">
        <v>4440</v>
      </c>
      <c r="C378" s="64" t="str">
        <f t="shared" si="57"/>
        <v xml:space="preserve"> </v>
      </c>
      <c r="D378" s="1536">
        <v>0.80100000000000005</v>
      </c>
      <c r="E378" s="1048">
        <f>VLOOKUP($B378,DG!A:D,DG!$B$2,)</f>
        <v>0</v>
      </c>
      <c r="F378" s="1049" t="str">
        <f>VLOOKUP($B378,DG!A:D,DG!$C$2,)</f>
        <v>Cát vàng</v>
      </c>
      <c r="G378" s="1048" t="str">
        <f>VLOOKUP($B378,DG!A:D,DG!$D$2,)</f>
        <v>m3</v>
      </c>
      <c r="H378" s="1824">
        <f t="shared" si="70"/>
        <v>0</v>
      </c>
      <c r="I378" s="1824"/>
      <c r="J378" s="1824"/>
      <c r="K378" s="1824">
        <f t="shared" si="71"/>
        <v>0.80100000000000005</v>
      </c>
      <c r="L378" s="1824"/>
      <c r="M378" s="1824"/>
      <c r="N378" s="1824"/>
      <c r="O378" s="1824"/>
      <c r="P378" s="1824"/>
      <c r="Q378" s="1051"/>
      <c r="R378" s="1051"/>
      <c r="S378" s="1051"/>
      <c r="T378" s="2035">
        <f t="shared" si="56"/>
        <v>0</v>
      </c>
    </row>
    <row r="379" spans="1:20" ht="22.2" hidden="1" customHeight="1">
      <c r="A379" s="63"/>
      <c r="B379" s="1575" t="s">
        <v>867</v>
      </c>
      <c r="C379" s="64" t="str">
        <f t="shared" si="57"/>
        <v xml:space="preserve"> </v>
      </c>
      <c r="D379" s="1536">
        <v>1.6559999999999999</v>
      </c>
      <c r="E379" s="1048">
        <f>VLOOKUP($B379,DG!A:D,DG!$B$2,)</f>
        <v>0</v>
      </c>
      <c r="F379" s="1049" t="str">
        <f>VLOOKUP($B379,DG!A:D,DG!$C$2,)</f>
        <v>Đá 1x2</v>
      </c>
      <c r="G379" s="1048" t="str">
        <f>VLOOKUP($B379,DG!A:D,DG!$D$2,)</f>
        <v>m3</v>
      </c>
      <c r="H379" s="1824">
        <f t="shared" si="70"/>
        <v>0</v>
      </c>
      <c r="I379" s="1824"/>
      <c r="J379" s="1824"/>
      <c r="K379" s="1824">
        <f t="shared" si="71"/>
        <v>1.6559999999999999</v>
      </c>
      <c r="L379" s="1824"/>
      <c r="M379" s="1824"/>
      <c r="N379" s="1824"/>
      <c r="O379" s="1824"/>
      <c r="P379" s="1824"/>
      <c r="Q379" s="1051"/>
      <c r="R379" s="1051"/>
      <c r="S379" s="1051"/>
      <c r="T379" s="2035">
        <f t="shared" si="56"/>
        <v>0</v>
      </c>
    </row>
    <row r="380" spans="1:20" ht="22.2" hidden="1" customHeight="1">
      <c r="A380" s="63"/>
      <c r="B380" s="1575" t="s">
        <v>1437</v>
      </c>
      <c r="C380" s="64" t="str">
        <f t="shared" si="57"/>
        <v xml:space="preserve"> </v>
      </c>
      <c r="D380" s="1540">
        <v>53.24</v>
      </c>
      <c r="E380" s="1048">
        <f>VLOOKUP($B380,DG!A:D,DG!$B$2,)</f>
        <v>0</v>
      </c>
      <c r="F380" s="1054" t="str">
        <f>VLOOKUP($B380,DG!A:D,DG!$C$2,)</f>
        <v>Sắt Ø16</v>
      </c>
      <c r="G380" s="1048" t="str">
        <f>VLOOKUP($B380,DG!A:D,DG!$D$2,)</f>
        <v>kg</v>
      </c>
      <c r="H380" s="1824">
        <f t="shared" si="70"/>
        <v>0</v>
      </c>
      <c r="I380" s="1824"/>
      <c r="J380" s="1824"/>
      <c r="K380" s="1824">
        <f t="shared" si="71"/>
        <v>53.24</v>
      </c>
      <c r="L380" s="1824"/>
      <c r="M380" s="1824"/>
      <c r="N380" s="1824"/>
      <c r="O380" s="1824"/>
      <c r="P380" s="1824"/>
      <c r="Q380" s="1051"/>
      <c r="R380" s="1051"/>
      <c r="S380" s="1051"/>
      <c r="T380" s="2035">
        <f t="shared" si="56"/>
        <v>0</v>
      </c>
    </row>
    <row r="381" spans="1:20" ht="22.2" hidden="1" customHeight="1">
      <c r="A381" s="63"/>
      <c r="B381" s="1575" t="s">
        <v>995</v>
      </c>
      <c r="C381" s="64" t="str">
        <f t="shared" si="57"/>
        <v xml:space="preserve"> </v>
      </c>
      <c r="D381" s="1540">
        <v>4.4400000000000004</v>
      </c>
      <c r="E381" s="1048">
        <f>VLOOKUP($B381,DG!A:D,DG!$B$2,)</f>
        <v>0</v>
      </c>
      <c r="F381" s="1054" t="str">
        <f>VLOOKUP($B381,DG!A:D,DG!$C$2,)</f>
        <v>Sắt Ø10</v>
      </c>
      <c r="G381" s="1048" t="str">
        <f>VLOOKUP($B381,DG!A:D,DG!$D$2,)</f>
        <v>kg</v>
      </c>
      <c r="H381" s="1824">
        <f t="shared" si="70"/>
        <v>0</v>
      </c>
      <c r="I381" s="1824"/>
      <c r="J381" s="1824"/>
      <c r="K381" s="1824">
        <f t="shared" si="71"/>
        <v>4.4400000000000004</v>
      </c>
      <c r="L381" s="1824"/>
      <c r="M381" s="1824"/>
      <c r="N381" s="1824"/>
      <c r="O381" s="1824"/>
      <c r="P381" s="1824"/>
      <c r="Q381" s="1051"/>
      <c r="R381" s="1051"/>
      <c r="S381" s="1051"/>
      <c r="T381" s="2035">
        <f t="shared" si="56"/>
        <v>0</v>
      </c>
    </row>
    <row r="382" spans="1:20" ht="22.2" hidden="1" customHeight="1">
      <c r="A382" s="63"/>
      <c r="B382" s="1575" t="s">
        <v>745</v>
      </c>
      <c r="C382" s="64" t="str">
        <f t="shared" si="57"/>
        <v xml:space="preserve"> </v>
      </c>
      <c r="D382" s="1540">
        <v>13.36</v>
      </c>
      <c r="E382" s="1048">
        <f>VLOOKUP($B382,DG!A:D,DG!$B$2,)</f>
        <v>0</v>
      </c>
      <c r="F382" s="1054" t="str">
        <f>VLOOKUP($B382,DG!A:D,DG!$C$2,)</f>
        <v>Sắt Ø8</v>
      </c>
      <c r="G382" s="1048" t="str">
        <f>VLOOKUP($B382,DG!A:D,DG!$D$2,)</f>
        <v>kg</v>
      </c>
      <c r="H382" s="1824">
        <f t="shared" si="70"/>
        <v>0</v>
      </c>
      <c r="I382" s="1824"/>
      <c r="J382" s="1824"/>
      <c r="K382" s="1824">
        <f t="shared" si="71"/>
        <v>13.36</v>
      </c>
      <c r="L382" s="1824"/>
      <c r="M382" s="1824"/>
      <c r="N382" s="1824"/>
      <c r="O382" s="1824"/>
      <c r="P382" s="1824"/>
      <c r="Q382" s="1051"/>
      <c r="R382" s="1051"/>
      <c r="S382" s="1051"/>
      <c r="T382" s="2035">
        <f t="shared" si="56"/>
        <v>0</v>
      </c>
    </row>
    <row r="383" spans="1:20" ht="22.2" hidden="1" customHeight="1">
      <c r="A383" s="63"/>
      <c r="B383" s="1575" t="s">
        <v>996</v>
      </c>
      <c r="C383" s="64" t="str">
        <f t="shared" si="57"/>
        <v xml:space="preserve"> </v>
      </c>
      <c r="D383" s="1540"/>
      <c r="E383" s="1048">
        <f>VLOOKUP($B383,DG!A:D,DG!$B$2,)</f>
        <v>0</v>
      </c>
      <c r="F383" s="1054" t="str">
        <f>VLOOKUP($B383,DG!A:D,DG!$C$2,)</f>
        <v>Kẽm</v>
      </c>
      <c r="G383" s="1048" t="str">
        <f>VLOOKUP($B383,DG!A:D,DG!$D$2,)</f>
        <v>kg</v>
      </c>
      <c r="H383" s="1824">
        <f t="shared" si="70"/>
        <v>0</v>
      </c>
      <c r="I383" s="1824"/>
      <c r="J383" s="1824"/>
      <c r="K383" s="1824">
        <f t="shared" si="71"/>
        <v>0</v>
      </c>
      <c r="L383" s="1824"/>
      <c r="M383" s="1824"/>
      <c r="N383" s="1824"/>
      <c r="O383" s="1824"/>
      <c r="P383" s="1824"/>
      <c r="Q383" s="1051"/>
      <c r="R383" s="1051"/>
      <c r="S383" s="1051"/>
      <c r="T383" s="2035">
        <f t="shared" si="56"/>
        <v>0</v>
      </c>
    </row>
    <row r="384" spans="1:20" ht="22.2" hidden="1" customHeight="1">
      <c r="A384" s="63"/>
      <c r="B384" s="1575" t="s">
        <v>1433</v>
      </c>
      <c r="C384" s="64" t="str">
        <f t="shared" si="57"/>
        <v xml:space="preserve"> </v>
      </c>
      <c r="D384" s="1540">
        <v>2</v>
      </c>
      <c r="E384" s="1048"/>
      <c r="F384" s="1054" t="str">
        <f>VLOOKUP($B384,DG!A:D,DG!$C$2,)</f>
        <v>Cong D1000x1000mm</v>
      </c>
      <c r="G384" s="1048" t="str">
        <f>VLOOKUP($B384,DG!A:D,DG!$D$2,)</f>
        <v>cái</v>
      </c>
      <c r="H384" s="1824">
        <f t="shared" si="70"/>
        <v>0</v>
      </c>
      <c r="I384" s="1824"/>
      <c r="J384" s="1824"/>
      <c r="K384" s="1824">
        <f t="shared" si="71"/>
        <v>2</v>
      </c>
      <c r="L384" s="1824"/>
      <c r="M384" s="1824"/>
      <c r="N384" s="1824"/>
      <c r="O384" s="1824"/>
      <c r="P384" s="1824"/>
      <c r="Q384" s="1051"/>
      <c r="R384" s="1051"/>
      <c r="S384" s="1051"/>
      <c r="T384" s="2035">
        <f t="shared" si="56"/>
        <v>0</v>
      </c>
    </row>
    <row r="385" spans="1:20" ht="22.2" hidden="1" customHeight="1">
      <c r="A385" s="63"/>
      <c r="B385" s="1575" t="s">
        <v>1434</v>
      </c>
      <c r="C385" s="64" t="str">
        <f t="shared" si="57"/>
        <v xml:space="preserve"> </v>
      </c>
      <c r="D385" s="1540">
        <v>1</v>
      </c>
      <c r="E385" s="1048"/>
      <c r="F385" s="1054" t="str">
        <f>VLOOKUP($B385,DG!A:D,DG!$C$2,)</f>
        <v>Cong D1000x400mm</v>
      </c>
      <c r="G385" s="1048" t="str">
        <f>VLOOKUP($B385,DG!A:D,DG!$D$2,)</f>
        <v>cái</v>
      </c>
      <c r="H385" s="1824">
        <f t="shared" si="70"/>
        <v>0</v>
      </c>
      <c r="I385" s="1824"/>
      <c r="J385" s="1824"/>
      <c r="K385" s="1824">
        <f t="shared" si="71"/>
        <v>1</v>
      </c>
      <c r="L385" s="1824"/>
      <c r="M385" s="1824"/>
      <c r="N385" s="1824"/>
      <c r="O385" s="1824"/>
      <c r="P385" s="1824"/>
      <c r="Q385" s="1051"/>
      <c r="R385" s="1051"/>
      <c r="S385" s="1051"/>
      <c r="T385" s="2035">
        <f t="shared" si="56"/>
        <v>0</v>
      </c>
    </row>
    <row r="386" spans="1:20" ht="22.2" hidden="1" customHeight="1">
      <c r="A386" s="63"/>
      <c r="B386" s="1577" t="s">
        <v>639</v>
      </c>
      <c r="C386" s="64" t="str">
        <f t="shared" si="57"/>
        <v xml:space="preserve"> </v>
      </c>
      <c r="D386" s="1540">
        <v>1.93</v>
      </c>
      <c r="E386" s="1048" t="str">
        <f>VLOOKUP($B386,DG!A:D,DG!$B$2,)</f>
        <v>03.1013</v>
      </c>
      <c r="F386" s="1049" t="str">
        <f>VLOOKUP($B386,DG!A:D,DG!$C$2,)</f>
        <v>Đào hố móng đất cấp 3 sâu &gt;1m</v>
      </c>
      <c r="G386" s="1048" t="str">
        <f>VLOOKUP($B386,DG!A:D,DG!$D$2,)</f>
        <v>m3</v>
      </c>
      <c r="H386" s="1824">
        <f t="shared" si="70"/>
        <v>0</v>
      </c>
      <c r="I386" s="1824"/>
      <c r="J386" s="1824"/>
      <c r="K386" s="1824">
        <f t="shared" si="71"/>
        <v>1.93</v>
      </c>
      <c r="L386" s="1824"/>
      <c r="M386" s="1824"/>
      <c r="N386" s="1824"/>
      <c r="O386" s="1824"/>
      <c r="P386" s="1824"/>
      <c r="Q386" s="1051"/>
      <c r="R386" s="1051"/>
      <c r="S386" s="1051"/>
      <c r="T386" s="2035">
        <f t="shared" si="56"/>
        <v>0</v>
      </c>
    </row>
    <row r="387" spans="1:20" ht="22.2" hidden="1" customHeight="1">
      <c r="A387" s="63"/>
      <c r="B387" s="1575" t="s">
        <v>1296</v>
      </c>
      <c r="C387" s="64" t="str">
        <f t="shared" si="57"/>
        <v xml:space="preserve"> </v>
      </c>
      <c r="D387" s="1536"/>
      <c r="E387" s="1048" t="str">
        <f>VLOOKUP($B387,DG!A:D,DG!$B$2,)</f>
        <v>02.1101</v>
      </c>
      <c r="F387" s="1054" t="s">
        <v>2372</v>
      </c>
      <c r="G387" s="1048" t="str">
        <f>VLOOKUP($B387,DG!A:D,DG!$D$2,)</f>
        <v>tấn</v>
      </c>
      <c r="H387" s="1824">
        <f t="shared" si="70"/>
        <v>0</v>
      </c>
      <c r="I387" s="1824"/>
      <c r="J387" s="1824"/>
      <c r="K387" s="1824">
        <f t="shared" si="71"/>
        <v>0</v>
      </c>
      <c r="L387" s="1824"/>
      <c r="M387" s="1824"/>
      <c r="N387" s="1824"/>
      <c r="O387" s="1824"/>
      <c r="P387" s="1824"/>
      <c r="Q387" s="1051"/>
      <c r="R387" s="1051"/>
      <c r="S387" s="1051"/>
      <c r="T387" s="2035">
        <f t="shared" si="56"/>
        <v>0</v>
      </c>
    </row>
    <row r="388" spans="1:20" ht="22.2" hidden="1" customHeight="1">
      <c r="A388" s="63"/>
      <c r="B388" s="1575" t="s">
        <v>133</v>
      </c>
      <c r="C388" s="64" t="str">
        <f t="shared" si="57"/>
        <v xml:space="preserve"> </v>
      </c>
      <c r="D388" s="1536"/>
      <c r="E388" s="1048" t="str">
        <f>VLOOKUP($B388,DG!A:D,DG!$B$2,)</f>
        <v>02.1103</v>
      </c>
      <c r="F388" s="1049" t="str">
        <f>VLOOKUP($B388,DG!A:D,DG!$C$2,)</f>
        <v>Bốc dỡ cát</v>
      </c>
      <c r="G388" s="1048" t="str">
        <f>VLOOKUP($B388,DG!A:D,DG!$D$2,)</f>
        <v>m3</v>
      </c>
      <c r="H388" s="1824">
        <f t="shared" si="70"/>
        <v>0</v>
      </c>
      <c r="I388" s="1824"/>
      <c r="J388" s="1824"/>
      <c r="K388" s="1824"/>
      <c r="L388" s="1824"/>
      <c r="M388" s="1824"/>
      <c r="N388" s="1824"/>
      <c r="O388" s="1824"/>
      <c r="P388" s="1824"/>
      <c r="Q388" s="1055"/>
      <c r="R388" s="1055"/>
      <c r="S388" s="1055"/>
      <c r="T388" s="2035">
        <f t="shared" si="56"/>
        <v>0</v>
      </c>
    </row>
    <row r="389" spans="1:20" ht="22.2" hidden="1" customHeight="1">
      <c r="A389" s="63"/>
      <c r="B389" s="1575" t="s">
        <v>135</v>
      </c>
      <c r="C389" s="64" t="str">
        <f t="shared" si="57"/>
        <v xml:space="preserve"> </v>
      </c>
      <c r="D389" s="1536"/>
      <c r="E389" s="1048" t="str">
        <f>VLOOKUP($B389,DG!A:D,DG!$B$2,)</f>
        <v>02.1104</v>
      </c>
      <c r="F389" s="1049" t="str">
        <f>VLOOKUP($B389,DG!A:D,DG!$C$2,)</f>
        <v>Bốc dỡ đá dăm</v>
      </c>
      <c r="G389" s="1048" t="str">
        <f>VLOOKUP($B389,DG!A:D,DG!$D$2,)</f>
        <v>m3</v>
      </c>
      <c r="H389" s="1824">
        <f t="shared" si="70"/>
        <v>0</v>
      </c>
      <c r="I389" s="1824"/>
      <c r="J389" s="1824"/>
      <c r="K389" s="1824"/>
      <c r="L389" s="1824"/>
      <c r="M389" s="1824"/>
      <c r="N389" s="1824"/>
      <c r="O389" s="1824"/>
      <c r="P389" s="1824"/>
      <c r="Q389" s="1055"/>
      <c r="R389" s="1055"/>
      <c r="S389" s="1055"/>
      <c r="T389" s="2035">
        <f t="shared" si="56"/>
        <v>0</v>
      </c>
    </row>
    <row r="390" spans="1:20" ht="22.2" hidden="1" customHeight="1">
      <c r="A390" s="63"/>
      <c r="B390" s="1575" t="s">
        <v>495</v>
      </c>
      <c r="C390" s="64" t="str">
        <f t="shared" si="57"/>
        <v xml:space="preserve"> </v>
      </c>
      <c r="D390" s="1536"/>
      <c r="E390" s="1048" t="str">
        <f>VLOOKUP($B390,DG!A:D,DG!$B$2,)</f>
        <v>02.1211</v>
      </c>
      <c r="F390" s="1049" t="str">
        <f>VLOOKUP($B390,DG!A:D,DG!$C$2,)</f>
        <v>V/c xi măng ( cự ly &lt;=100m)</v>
      </c>
      <c r="G390" s="1048" t="str">
        <f>VLOOKUP($B390,DG!A:D,DG!$D$2,)</f>
        <v>tấn</v>
      </c>
      <c r="H390" s="1824">
        <f t="shared" si="70"/>
        <v>0</v>
      </c>
      <c r="I390" s="1824"/>
      <c r="J390" s="1824"/>
      <c r="K390" s="1824"/>
      <c r="L390" s="1824"/>
      <c r="M390" s="1824"/>
      <c r="N390" s="1824"/>
      <c r="O390" s="1824"/>
      <c r="P390" s="1824"/>
      <c r="Q390" s="1055"/>
      <c r="R390" s="1055"/>
      <c r="S390" s="1055"/>
      <c r="T390" s="2035">
        <f t="shared" si="56"/>
        <v>0</v>
      </c>
    </row>
    <row r="391" spans="1:20" ht="22.2" hidden="1" customHeight="1">
      <c r="A391" s="63"/>
      <c r="B391" s="1575" t="s">
        <v>1614</v>
      </c>
      <c r="C391" s="64" t="str">
        <f t="shared" si="57"/>
        <v xml:space="preserve"> </v>
      </c>
      <c r="D391" s="1536"/>
      <c r="E391" s="1048" t="str">
        <f>VLOOKUP($B391,DG!A:D,DG!$B$2,)</f>
        <v>02.1231</v>
      </c>
      <c r="F391" s="1049" t="str">
        <f>VLOOKUP($B391,DG!A:D,DG!$C$2,)</f>
        <v>V/c cát vàng cự ly &lt;=100m</v>
      </c>
      <c r="G391" s="1048" t="str">
        <f>VLOOKUP($B391,DG!A:D,DG!$D$2,)</f>
        <v>m3</v>
      </c>
      <c r="H391" s="1824">
        <f t="shared" si="70"/>
        <v>0</v>
      </c>
      <c r="I391" s="1824"/>
      <c r="J391" s="1824"/>
      <c r="K391" s="1824"/>
      <c r="L391" s="1824"/>
      <c r="M391" s="1824"/>
      <c r="N391" s="1824"/>
      <c r="O391" s="1824"/>
      <c r="P391" s="1824"/>
      <c r="Q391" s="1055"/>
      <c r="R391" s="1055"/>
      <c r="S391" s="1055"/>
      <c r="T391" s="2035">
        <f t="shared" si="56"/>
        <v>0</v>
      </c>
    </row>
    <row r="392" spans="1:20" ht="22.2" hidden="1" customHeight="1">
      <c r="A392" s="63"/>
      <c r="B392" s="1575" t="s">
        <v>521</v>
      </c>
      <c r="C392" s="64" t="str">
        <f t="shared" si="57"/>
        <v xml:space="preserve"> </v>
      </c>
      <c r="D392" s="1536"/>
      <c r="E392" s="1048" t="str">
        <f>VLOOKUP($B392,DG!A:D,DG!$B$2,)</f>
        <v>02.1241</v>
      </c>
      <c r="F392" s="1049" t="str">
        <f>VLOOKUP($B392,DG!A:D,DG!$C$2,)</f>
        <v>V/c đá dăm ( cự ly &lt;=100m)</v>
      </c>
      <c r="G392" s="1048" t="str">
        <f>VLOOKUP($B392,DG!A:D,DG!$D$2,)</f>
        <v>m3</v>
      </c>
      <c r="H392" s="1824">
        <f t="shared" si="70"/>
        <v>0</v>
      </c>
      <c r="I392" s="1824"/>
      <c r="J392" s="1824"/>
      <c r="K392" s="1824"/>
      <c r="L392" s="1824"/>
      <c r="M392" s="1824"/>
      <c r="N392" s="1824"/>
      <c r="O392" s="1824"/>
      <c r="P392" s="1824"/>
      <c r="Q392" s="1055"/>
      <c r="R392" s="1055"/>
      <c r="S392" s="1055"/>
      <c r="T392" s="2035">
        <f t="shared" si="56"/>
        <v>0</v>
      </c>
    </row>
    <row r="393" spans="1:20" ht="22.2" hidden="1" customHeight="1">
      <c r="A393" s="63"/>
      <c r="B393" s="1575" t="s">
        <v>1985</v>
      </c>
      <c r="C393" s="64" t="str">
        <f t="shared" si="57"/>
        <v xml:space="preserve"> </v>
      </c>
      <c r="D393" s="1536"/>
      <c r="E393" s="1048" t="str">
        <f>VLOOKUP($B393,DG!A:D,DG!$B$2,)</f>
        <v>02.1482</v>
      </c>
      <c r="F393" s="1049" t="str">
        <f>VLOOKUP($B393,DG!A:D,DG!$C$2,)</f>
        <v>V/c dụng cụ thi công ( cự ly &lt;=100m)</v>
      </c>
      <c r="G393" s="1048" t="str">
        <f>VLOOKUP($B393,DG!A:D,DG!$D$2,)</f>
        <v>tấn</v>
      </c>
      <c r="H393" s="1824">
        <f t="shared" si="70"/>
        <v>0</v>
      </c>
      <c r="I393" s="1824"/>
      <c r="J393" s="1824"/>
      <c r="K393" s="1824"/>
      <c r="L393" s="1824"/>
      <c r="M393" s="1824"/>
      <c r="N393" s="1824"/>
      <c r="O393" s="1824"/>
      <c r="P393" s="1824"/>
      <c r="Q393" s="1055"/>
      <c r="R393" s="1055"/>
      <c r="S393" s="1055"/>
      <c r="T393" s="2035">
        <f t="shared" si="56"/>
        <v>0</v>
      </c>
    </row>
    <row r="394" spans="1:20" ht="22.2" hidden="1" customHeight="1">
      <c r="A394" s="63"/>
      <c r="B394" s="1575" t="s">
        <v>997</v>
      </c>
      <c r="C394" s="64" t="str">
        <f t="shared" si="57"/>
        <v xml:space="preserve"> </v>
      </c>
      <c r="D394" s="1536">
        <f>D380</f>
        <v>53.24</v>
      </c>
      <c r="E394" s="1048" t="str">
        <f>VLOOKUP($B394,DG!A:D,DG!$B$2,)</f>
        <v>04.5101</v>
      </c>
      <c r="F394" s="1049" t="str">
        <f>VLOOKUP($B394,DG!A:D,DG!$C$2,)</f>
        <v>Gia công và lắp dựng cốt thép D&lt;=10</v>
      </c>
      <c r="G394" s="1048" t="str">
        <f>VLOOKUP($B394,DG!A:D,DG!$D$2,)</f>
        <v>kg</v>
      </c>
      <c r="H394" s="1824">
        <f t="shared" si="70"/>
        <v>0</v>
      </c>
      <c r="I394" s="1824"/>
      <c r="J394" s="1824"/>
      <c r="K394" s="1824"/>
      <c r="L394" s="1824"/>
      <c r="M394" s="1824"/>
      <c r="N394" s="1824"/>
      <c r="O394" s="1824"/>
      <c r="P394" s="1824"/>
      <c r="Q394" s="1055"/>
      <c r="R394" s="1055"/>
      <c r="S394" s="1055"/>
      <c r="T394" s="2035">
        <f t="shared" si="56"/>
        <v>0</v>
      </c>
    </row>
    <row r="395" spans="1:20" ht="22.2" hidden="1" customHeight="1">
      <c r="A395" s="63"/>
      <c r="B395" s="1575" t="s">
        <v>1839</v>
      </c>
      <c r="C395" s="64" t="str">
        <f t="shared" si="57"/>
        <v xml:space="preserve"> </v>
      </c>
      <c r="D395" s="1536">
        <v>1.93</v>
      </c>
      <c r="E395" s="1048" t="str">
        <f>VLOOKUP($B395,DG!A:D,DG!$B$2,)</f>
        <v>04.1203b</v>
      </c>
      <c r="F395" s="1049" t="str">
        <f>VLOOKUP($B395,DG!A:D,DG!$C$2,)</f>
        <v>Đổ bê tông mác M150 đá 1x2</v>
      </c>
      <c r="G395" s="1048" t="str">
        <f>VLOOKUP($B395,DG!A:D,DG!$D$2,)</f>
        <v>m3</v>
      </c>
      <c r="H395" s="1824">
        <f t="shared" si="70"/>
        <v>0</v>
      </c>
      <c r="I395" s="1824"/>
      <c r="J395" s="1824"/>
      <c r="K395" s="1824"/>
      <c r="L395" s="1824"/>
      <c r="M395" s="1824"/>
      <c r="N395" s="1824"/>
      <c r="O395" s="1824"/>
      <c r="P395" s="1824"/>
      <c r="Q395" s="1055"/>
      <c r="R395" s="1055"/>
      <c r="S395" s="1055"/>
      <c r="T395" s="2035">
        <f t="shared" si="56"/>
        <v>0</v>
      </c>
    </row>
    <row r="396" spans="1:20" ht="22.2" hidden="1" customHeight="1">
      <c r="A396" s="56" t="s">
        <v>2270</v>
      </c>
      <c r="B396" s="1574" t="s">
        <v>2270</v>
      </c>
      <c r="C396" s="62" t="str">
        <f t="shared" si="57"/>
        <v xml:space="preserve"> </v>
      </c>
      <c r="D396" s="1532"/>
      <c r="E396" s="1045"/>
      <c r="F396" s="1392" t="s">
        <v>2373</v>
      </c>
      <c r="G396" s="1046" t="s">
        <v>2333</v>
      </c>
      <c r="H396" s="1821">
        <f>SUM(I396:O396)</f>
        <v>0</v>
      </c>
      <c r="I396" s="1822"/>
      <c r="J396" s="1822"/>
      <c r="K396" s="1822">
        <f>IFERROR(HLOOKUP(B396,pp3p1m!$1:$3,3,0),0)</f>
        <v>0</v>
      </c>
      <c r="L396" s="1822">
        <f>IFERROR(HLOOKUP(chitiet!B396,pp1p!$1:$3,3,0),0)</f>
        <v>0</v>
      </c>
      <c r="M396" s="1822"/>
      <c r="N396" s="1822"/>
      <c r="O396" s="1822"/>
      <c r="P396" s="1822"/>
      <c r="Q396" s="1047"/>
      <c r="R396" s="1047"/>
      <c r="S396" s="1047"/>
      <c r="T396" s="2035">
        <f>IFERROR(HLOOKUP(B396,pp1p!$1:$3,3,0),0)+IFERROR(HLOOKUP(B396,pp3p1m!$1:$3,3,0),0)</f>
        <v>0</v>
      </c>
    </row>
    <row r="397" spans="1:20" ht="22.2" hidden="1" customHeight="1">
      <c r="A397" s="63"/>
      <c r="B397" s="1575" t="s">
        <v>751</v>
      </c>
      <c r="C397" s="64" t="str">
        <f t="shared" si="57"/>
        <v xml:space="preserve"> </v>
      </c>
      <c r="D397" s="1540">
        <v>510</v>
      </c>
      <c r="E397" s="1048">
        <f>VLOOKUP($B397,DG!A:D,DG!$B$2,)</f>
        <v>0</v>
      </c>
      <c r="F397" s="1049" t="str">
        <f>VLOOKUP($B397,DG!A:D,DG!$C$2,)</f>
        <v>Ximăng (PC40)</v>
      </c>
      <c r="G397" s="1048" t="str">
        <f>VLOOKUP($B397,DG!A:D,DG!$D$2,)</f>
        <v>kg</v>
      </c>
      <c r="H397" s="1824">
        <f>H$396*$D397</f>
        <v>0</v>
      </c>
      <c r="I397" s="1824">
        <f>I$494*$D397</f>
        <v>0</v>
      </c>
      <c r="J397" s="1824">
        <f>J$494*$D397</f>
        <v>0</v>
      </c>
      <c r="K397" s="1824">
        <f>K$396*$D397</f>
        <v>0</v>
      </c>
      <c r="L397" s="1824">
        <f>L$494*$D397</f>
        <v>0</v>
      </c>
      <c r="M397" s="1824">
        <f>M$494*$D397</f>
        <v>0</v>
      </c>
      <c r="N397" s="1824">
        <f>N$494*$D397</f>
        <v>0</v>
      </c>
      <c r="O397" s="1824"/>
      <c r="P397" s="1824"/>
      <c r="Q397" s="1052"/>
      <c r="R397" s="1052"/>
      <c r="S397" s="1052"/>
      <c r="T397" s="2035">
        <f t="shared" si="56"/>
        <v>0</v>
      </c>
    </row>
    <row r="398" spans="1:20" ht="22.2" hidden="1" customHeight="1">
      <c r="A398" s="63"/>
      <c r="B398" s="1576" t="s">
        <v>4440</v>
      </c>
      <c r="C398" s="64" t="str">
        <f t="shared" si="57"/>
        <v xml:space="preserve"> </v>
      </c>
      <c r="D398" s="1536">
        <v>0.89500000000000002</v>
      </c>
      <c r="E398" s="1048">
        <f>VLOOKUP($B398,DG!A:D,DG!$B$2,)</f>
        <v>0</v>
      </c>
      <c r="F398" s="1049" t="str">
        <f>VLOOKUP($B398,DG!A:D,DG!$C$2,)</f>
        <v>Cát vàng</v>
      </c>
      <c r="G398" s="1048" t="str">
        <f>VLOOKUP($B398,DG!A:D,DG!$D$2,)</f>
        <v>m3</v>
      </c>
      <c r="H398" s="1824">
        <f>H$396*$D398</f>
        <v>0</v>
      </c>
      <c r="I398" s="1824"/>
      <c r="J398" s="1824"/>
      <c r="K398" s="1824">
        <f>K$396*$D398</f>
        <v>0</v>
      </c>
      <c r="L398" s="1824"/>
      <c r="M398" s="1824"/>
      <c r="N398" s="1824"/>
      <c r="O398" s="1824"/>
      <c r="P398" s="1824"/>
      <c r="Q398" s="1051"/>
      <c r="R398" s="1051"/>
      <c r="S398" s="1051"/>
      <c r="T398" s="2035">
        <f t="shared" si="56"/>
        <v>0</v>
      </c>
    </row>
    <row r="399" spans="1:20" ht="22.2" hidden="1" customHeight="1">
      <c r="A399" s="63"/>
      <c r="B399" s="1575" t="s">
        <v>867</v>
      </c>
      <c r="C399" s="64" t="str">
        <f t="shared" si="57"/>
        <v xml:space="preserve"> </v>
      </c>
      <c r="D399" s="1536">
        <v>1.617</v>
      </c>
      <c r="E399" s="1048">
        <f>VLOOKUP($B399,DG!A:D,DG!$B$2,)</f>
        <v>0</v>
      </c>
      <c r="F399" s="1049" t="str">
        <f>VLOOKUP($B399,DG!A:D,DG!$C$2,)</f>
        <v>Đá 1x2</v>
      </c>
      <c r="G399" s="1048" t="str">
        <f>VLOOKUP($B399,DG!A:D,DG!$D$2,)</f>
        <v>m3</v>
      </c>
      <c r="H399" s="1824">
        <f>H$396*$D399</f>
        <v>0</v>
      </c>
      <c r="I399" s="1824"/>
      <c r="J399" s="1824"/>
      <c r="K399" s="1824">
        <f>K$396*$D399</f>
        <v>0</v>
      </c>
      <c r="L399" s="1824"/>
      <c r="M399" s="1824"/>
      <c r="N399" s="1824"/>
      <c r="O399" s="1824"/>
      <c r="P399" s="1824"/>
      <c r="Q399" s="1051"/>
      <c r="R399" s="1051"/>
      <c r="S399" s="1051"/>
      <c r="T399" s="2035">
        <f t="shared" si="56"/>
        <v>0</v>
      </c>
    </row>
    <row r="400" spans="1:20" ht="22.2" hidden="1" customHeight="1">
      <c r="A400" s="63"/>
      <c r="B400" s="1575" t="s">
        <v>1395</v>
      </c>
      <c r="C400" s="64" t="str">
        <f t="shared" si="57"/>
        <v xml:space="preserve"> </v>
      </c>
      <c r="D400" s="1536">
        <v>2.09</v>
      </c>
      <c r="E400" s="1048" t="str">
        <f>VLOOKUP($B400,DG!A:D,DG!$B$2,)</f>
        <v>03.1114</v>
      </c>
      <c r="F400" s="1049" t="str">
        <f>VLOOKUP($B400,DG!A:D,DG!$C$2,)</f>
        <v>Đào hố móng đất cấp 4 sâu &gt;1m</v>
      </c>
      <c r="G400" s="1048" t="str">
        <f>VLOOKUP($B400,DG!A:D,DG!$D$2,)</f>
        <v>m3</v>
      </c>
      <c r="H400" s="1824"/>
      <c r="I400" s="1824"/>
      <c r="J400" s="1824"/>
      <c r="K400" s="1824"/>
      <c r="L400" s="1824"/>
      <c r="M400" s="1824"/>
      <c r="N400" s="1824"/>
      <c r="O400" s="1824"/>
      <c r="P400" s="1824"/>
      <c r="Q400" s="1055"/>
      <c r="R400" s="1055"/>
      <c r="S400" s="1055"/>
      <c r="T400" s="2035">
        <f t="shared" si="56"/>
        <v>0</v>
      </c>
    </row>
    <row r="401" spans="1:20" ht="22.2" hidden="1" customHeight="1">
      <c r="A401" s="63"/>
      <c r="B401" s="1575" t="s">
        <v>1830</v>
      </c>
      <c r="C401" s="64" t="str">
        <f t="shared" si="57"/>
        <v xml:space="preserve"> </v>
      </c>
      <c r="D401" s="1537">
        <v>0</v>
      </c>
      <c r="E401" s="1048" t="str">
        <f>VLOOKUP($B401,DG!A:D,DG!$B$2,)</f>
        <v>03.2203</v>
      </c>
      <c r="F401" s="1049" t="str">
        <f>VLOOKUP($B401,DG!A:D,DG!$C$2,)</f>
        <v>Đắp đất hố móng, đất cấp 4</v>
      </c>
      <c r="G401" s="1048" t="str">
        <f>VLOOKUP($B401,DG!A:D,DG!$D$2,)</f>
        <v>m3</v>
      </c>
      <c r="H401" s="1824"/>
      <c r="I401" s="1824"/>
      <c r="J401" s="1824"/>
      <c r="K401" s="1824"/>
      <c r="L401" s="1824"/>
      <c r="M401" s="1824"/>
      <c r="N401" s="1824"/>
      <c r="O401" s="1824"/>
      <c r="P401" s="1824"/>
      <c r="Q401" s="1055"/>
      <c r="R401" s="1055"/>
      <c r="S401" s="1055"/>
      <c r="T401" s="2035">
        <f t="shared" ref="T401:T464" si="72">IFERROR(HLOOKUP(B401,BangKeTru,3,0),0)</f>
        <v>0</v>
      </c>
    </row>
    <row r="402" spans="1:20" ht="22.2" hidden="1" customHeight="1">
      <c r="A402" s="63"/>
      <c r="B402" s="1575" t="s">
        <v>1296</v>
      </c>
      <c r="C402" s="64" t="str">
        <f t="shared" ref="C402:C465" si="73">IF(OR(P402&lt;&gt;0,H402&lt;&gt;0),"x"," ")</f>
        <v xml:space="preserve"> </v>
      </c>
      <c r="D402" s="1537">
        <f>D397</f>
        <v>510</v>
      </c>
      <c r="E402" s="1048" t="str">
        <f>VLOOKUP($B402,DG!A:D,DG!$B$2,)</f>
        <v>02.1101</v>
      </c>
      <c r="F402" s="1049" t="str">
        <f>VLOOKUP($B402,DG!A:D,DG!$C$2,)</f>
        <v>Bốc dỡ xi măng</v>
      </c>
      <c r="G402" s="1048" t="str">
        <f>VLOOKUP($B402,DG!A:D,DG!$D$2,)</f>
        <v>tấn</v>
      </c>
      <c r="H402" s="1824"/>
      <c r="I402" s="1824"/>
      <c r="J402" s="1824"/>
      <c r="K402" s="1824"/>
      <c r="L402" s="1824"/>
      <c r="M402" s="1824"/>
      <c r="N402" s="1824"/>
      <c r="O402" s="1824"/>
      <c r="P402" s="1824"/>
      <c r="Q402" s="1055"/>
      <c r="R402" s="1055"/>
      <c r="S402" s="1055"/>
      <c r="T402" s="2035">
        <f t="shared" si="72"/>
        <v>0</v>
      </c>
    </row>
    <row r="403" spans="1:20" ht="22.2" hidden="1" customHeight="1">
      <c r="A403" s="63"/>
      <c r="B403" s="1575" t="s">
        <v>133</v>
      </c>
      <c r="C403" s="64" t="str">
        <f t="shared" si="73"/>
        <v xml:space="preserve"> </v>
      </c>
      <c r="D403" s="1537">
        <f>D405</f>
        <v>8.9500000000000007E-4</v>
      </c>
      <c r="E403" s="1048" t="str">
        <f>VLOOKUP($B403,DG!A:D,DG!$B$2,)</f>
        <v>02.1103</v>
      </c>
      <c r="F403" s="1049" t="str">
        <f>VLOOKUP($B403,DG!A:D,DG!$C$2,)</f>
        <v>Bốc dỡ cát</v>
      </c>
      <c r="G403" s="1048" t="str">
        <f>VLOOKUP($B403,DG!A:D,DG!$D$2,)</f>
        <v>m3</v>
      </c>
      <c r="H403" s="1824"/>
      <c r="I403" s="1824"/>
      <c r="J403" s="1824"/>
      <c r="K403" s="1824"/>
      <c r="L403" s="1824"/>
      <c r="M403" s="1824"/>
      <c r="N403" s="1824"/>
      <c r="O403" s="1824"/>
      <c r="P403" s="1824"/>
      <c r="Q403" s="1055"/>
      <c r="R403" s="1055"/>
      <c r="S403" s="1055"/>
      <c r="T403" s="2035">
        <f t="shared" si="72"/>
        <v>0</v>
      </c>
    </row>
    <row r="404" spans="1:20" ht="22.2" hidden="1" customHeight="1">
      <c r="A404" s="63"/>
      <c r="B404" s="1575" t="s">
        <v>135</v>
      </c>
      <c r="C404" s="64" t="str">
        <f t="shared" si="73"/>
        <v xml:space="preserve"> </v>
      </c>
      <c r="D404" s="1537">
        <f>D397</f>
        <v>510</v>
      </c>
      <c r="E404" s="1048" t="str">
        <f>VLOOKUP($B404,DG!A:D,DG!$B$2,)</f>
        <v>02.1104</v>
      </c>
      <c r="F404" s="1049" t="str">
        <f>VLOOKUP($B404,DG!A:D,DG!$C$2,)</f>
        <v>Bốc dỡ đá dăm</v>
      </c>
      <c r="G404" s="1048" t="str">
        <f>VLOOKUP($B404,DG!A:D,DG!$D$2,)</f>
        <v>m3</v>
      </c>
      <c r="H404" s="1824"/>
      <c r="I404" s="1824"/>
      <c r="J404" s="1824"/>
      <c r="K404" s="1824"/>
      <c r="L404" s="1824"/>
      <c r="M404" s="1824"/>
      <c r="N404" s="1824"/>
      <c r="O404" s="1824"/>
      <c r="P404" s="1824"/>
      <c r="Q404" s="1055"/>
      <c r="R404" s="1055"/>
      <c r="S404" s="1055"/>
      <c r="T404" s="2035">
        <f t="shared" si="72"/>
        <v>0</v>
      </c>
    </row>
    <row r="405" spans="1:20" ht="22.2" hidden="1" customHeight="1">
      <c r="A405" s="63"/>
      <c r="B405" s="1575" t="s">
        <v>495</v>
      </c>
      <c r="C405" s="64" t="str">
        <f t="shared" si="73"/>
        <v xml:space="preserve"> </v>
      </c>
      <c r="D405" s="1537">
        <f>D398/1000</f>
        <v>8.9500000000000007E-4</v>
      </c>
      <c r="E405" s="1048" t="str">
        <f>VLOOKUP($B405,DG!A:D,DG!$B$2,)</f>
        <v>02.1211</v>
      </c>
      <c r="F405" s="1049" t="str">
        <f>VLOOKUP($B405,DG!A:D,DG!$C$2,)</f>
        <v>V/c xi măng ( cự ly &lt;=100m)</v>
      </c>
      <c r="G405" s="1048" t="str">
        <f>VLOOKUP($B405,DG!A:D,DG!$D$2,)</f>
        <v>tấn</v>
      </c>
      <c r="H405" s="1824"/>
      <c r="I405" s="1824"/>
      <c r="J405" s="1824"/>
      <c r="K405" s="1824"/>
      <c r="L405" s="1824"/>
      <c r="M405" s="1824"/>
      <c r="N405" s="1824"/>
      <c r="O405" s="1824"/>
      <c r="P405" s="1824"/>
      <c r="Q405" s="1055"/>
      <c r="R405" s="1055"/>
      <c r="S405" s="1055"/>
      <c r="T405" s="2035">
        <f t="shared" si="72"/>
        <v>0</v>
      </c>
    </row>
    <row r="406" spans="1:20" ht="22.2" hidden="1" customHeight="1">
      <c r="A406" s="63"/>
      <c r="B406" s="1575" t="s">
        <v>1614</v>
      </c>
      <c r="C406" s="64" t="str">
        <f t="shared" si="73"/>
        <v xml:space="preserve"> </v>
      </c>
      <c r="D406" s="1536">
        <f>D397</f>
        <v>510</v>
      </c>
      <c r="E406" s="1048" t="str">
        <f>VLOOKUP($B406,DG!A:D,DG!$B$2,)</f>
        <v>02.1231</v>
      </c>
      <c r="F406" s="1049" t="str">
        <f>VLOOKUP($B406,DG!A:D,DG!$C$2,)</f>
        <v>V/c cát vàng cự ly &lt;=100m</v>
      </c>
      <c r="G406" s="1048" t="str">
        <f>VLOOKUP($B406,DG!A:D,DG!$D$2,)</f>
        <v>m3</v>
      </c>
      <c r="H406" s="1824"/>
      <c r="I406" s="1824"/>
      <c r="J406" s="1824"/>
      <c r="K406" s="1824"/>
      <c r="L406" s="1824"/>
      <c r="M406" s="1824"/>
      <c r="N406" s="1824"/>
      <c r="O406" s="1824"/>
      <c r="P406" s="1824"/>
      <c r="Q406" s="1055"/>
      <c r="R406" s="1055"/>
      <c r="S406" s="1055"/>
      <c r="T406" s="2035">
        <f t="shared" si="72"/>
        <v>0</v>
      </c>
    </row>
    <row r="407" spans="1:20" ht="22.2" hidden="1" customHeight="1">
      <c r="A407" s="63"/>
      <c r="B407" s="1575" t="s">
        <v>521</v>
      </c>
      <c r="C407" s="64" t="str">
        <f t="shared" si="73"/>
        <v xml:space="preserve"> </v>
      </c>
      <c r="D407" s="1537">
        <f>D400/1000</f>
        <v>2.0899999999999998E-3</v>
      </c>
      <c r="E407" s="1048" t="str">
        <f>VLOOKUP($B407,DG!A:D,DG!$B$2,)</f>
        <v>02.1241</v>
      </c>
      <c r="F407" s="1049" t="str">
        <f>VLOOKUP($B407,DG!A:D,DG!$C$2,)</f>
        <v>V/c đá dăm ( cự ly &lt;=100m)</v>
      </c>
      <c r="G407" s="1048" t="str">
        <f>VLOOKUP($B407,DG!A:D,DG!$D$2,)</f>
        <v>m3</v>
      </c>
      <c r="H407" s="1824"/>
      <c r="I407" s="1824"/>
      <c r="J407" s="1824"/>
      <c r="K407" s="1824"/>
      <c r="L407" s="1824"/>
      <c r="M407" s="1824"/>
      <c r="N407" s="1824"/>
      <c r="O407" s="1824"/>
      <c r="P407" s="1824"/>
      <c r="Q407" s="1055"/>
      <c r="R407" s="1055"/>
      <c r="S407" s="1055"/>
      <c r="T407" s="2035">
        <f t="shared" si="72"/>
        <v>0</v>
      </c>
    </row>
    <row r="408" spans="1:20" ht="22.2" hidden="1" customHeight="1">
      <c r="A408" s="63"/>
      <c r="B408" s="1575" t="s">
        <v>1985</v>
      </c>
      <c r="C408" s="64" t="str">
        <f t="shared" si="73"/>
        <v xml:space="preserve"> </v>
      </c>
      <c r="D408" s="1536">
        <v>0.02</v>
      </c>
      <c r="E408" s="1048" t="str">
        <f>VLOOKUP($B408,DG!A:D,DG!$B$2,)</f>
        <v>02.1482</v>
      </c>
      <c r="F408" s="1049" t="str">
        <f>VLOOKUP($B408,DG!A:D,DG!$C$2,)</f>
        <v>V/c dụng cụ thi công ( cự ly &lt;=100m)</v>
      </c>
      <c r="G408" s="1048" t="str">
        <f>VLOOKUP($B408,DG!A:D,DG!$D$2,)</f>
        <v>tấn</v>
      </c>
      <c r="H408" s="1824"/>
      <c r="I408" s="1824"/>
      <c r="J408" s="1824"/>
      <c r="K408" s="1824"/>
      <c r="L408" s="1824"/>
      <c r="M408" s="1824"/>
      <c r="N408" s="1824"/>
      <c r="O408" s="1824"/>
      <c r="P408" s="1824"/>
      <c r="Q408" s="1055"/>
      <c r="R408" s="1055"/>
      <c r="S408" s="1055"/>
      <c r="T408" s="2035">
        <f t="shared" si="72"/>
        <v>0</v>
      </c>
    </row>
    <row r="409" spans="1:20" ht="22.2" hidden="1" customHeight="1">
      <c r="A409" s="56" t="s">
        <v>780</v>
      </c>
      <c r="B409" s="1574" t="s">
        <v>780</v>
      </c>
      <c r="C409" s="62" t="str">
        <f t="shared" si="73"/>
        <v xml:space="preserve"> </v>
      </c>
      <c r="D409" s="1532"/>
      <c r="E409" s="1045"/>
      <c r="F409" s="1392" t="s">
        <v>2374</v>
      </c>
      <c r="G409" s="1046" t="s">
        <v>2333</v>
      </c>
      <c r="H409" s="1821">
        <f>SUM(I409:O409)</f>
        <v>0</v>
      </c>
      <c r="I409" s="1822"/>
      <c r="J409" s="1822"/>
      <c r="K409" s="1822">
        <f>IFERROR(HLOOKUP(B409,pp3p1m!$1:$3,3,0),0)</f>
        <v>0</v>
      </c>
      <c r="L409" s="1822">
        <f>IFERROR(HLOOKUP(chitiet!B409,pp1p!$1:$3,3,0),0)</f>
        <v>0</v>
      </c>
      <c r="M409" s="1822"/>
      <c r="N409" s="1822"/>
      <c r="O409" s="1822"/>
      <c r="P409" s="1822"/>
      <c r="Q409" s="1047"/>
      <c r="R409" s="1047"/>
      <c r="S409" s="1047"/>
      <c r="T409" s="2035">
        <f>IFERROR(HLOOKUP(B409,pp1p!$1:$3,3,0),0)+IFERROR(HLOOKUP(B409,pp3p1m!$1:$3,3,0),0)</f>
        <v>0</v>
      </c>
    </row>
    <row r="410" spans="1:20" ht="22.2" hidden="1" customHeight="1">
      <c r="A410" s="63"/>
      <c r="B410" s="1589" t="s">
        <v>639</v>
      </c>
      <c r="C410" s="64" t="str">
        <f t="shared" si="73"/>
        <v xml:space="preserve"> </v>
      </c>
      <c r="D410" s="1539">
        <v>0.4</v>
      </c>
      <c r="E410" s="1048"/>
      <c r="F410" s="1049" t="str">
        <f>VLOOKUP($B410,DG!A:D,DG!$C$2,)</f>
        <v>Đào hố móng đất cấp 3 sâu &gt;1m</v>
      </c>
      <c r="G410" s="1048" t="str">
        <f>VLOOKUP($B410,DG!A:D,DG!$D$2,)</f>
        <v>m3</v>
      </c>
      <c r="H410" s="1824">
        <f>$H$409*D410</f>
        <v>0</v>
      </c>
      <c r="I410" s="1824">
        <f t="shared" ref="I410:N410" si="74">I$244*$D410</f>
        <v>0</v>
      </c>
      <c r="J410" s="1824">
        <f t="shared" si="74"/>
        <v>0</v>
      </c>
      <c r="K410" s="1824">
        <f t="shared" si="74"/>
        <v>0.4</v>
      </c>
      <c r="L410" s="1824">
        <f t="shared" si="74"/>
        <v>0</v>
      </c>
      <c r="M410" s="1824">
        <f t="shared" si="74"/>
        <v>0</v>
      </c>
      <c r="N410" s="1824">
        <f t="shared" si="74"/>
        <v>0</v>
      </c>
      <c r="O410" s="1824"/>
      <c r="P410" s="1824"/>
      <c r="Q410" s="1052"/>
      <c r="R410" s="1052"/>
      <c r="S410" s="1052"/>
      <c r="T410" s="2035">
        <f t="shared" si="72"/>
        <v>0</v>
      </c>
    </row>
    <row r="411" spans="1:20" ht="22.2" hidden="1" customHeight="1">
      <c r="A411" s="59"/>
      <c r="B411" s="1577" t="s">
        <v>21</v>
      </c>
      <c r="C411" s="64" t="str">
        <f t="shared" si="73"/>
        <v xml:space="preserve"> </v>
      </c>
      <c r="D411" s="1541">
        <v>0.4</v>
      </c>
      <c r="E411" s="1044" t="str">
        <f>VLOOKUP($B411,DG!A:D,DG!$B$2,)</f>
        <v>03.4113</v>
      </c>
      <c r="F411" s="1049" t="str">
        <f>VLOOKUP($B411,DG!A:D,DG!$C$2,)</f>
        <v>Đắp đất hố móng, độ chặt k=0,95</v>
      </c>
      <c r="G411" s="1044" t="str">
        <f>VLOOKUP($B411,DG!A:D,DG!$D$2,)</f>
        <v>m3</v>
      </c>
      <c r="H411" s="1824">
        <f>$H$409*D411</f>
        <v>0</v>
      </c>
      <c r="I411" s="1823">
        <f t="shared" ref="I411:N411" si="75">I$18*$D411</f>
        <v>0</v>
      </c>
      <c r="J411" s="1823">
        <f t="shared" si="75"/>
        <v>0</v>
      </c>
      <c r="K411" s="1823">
        <f t="shared" si="75"/>
        <v>0</v>
      </c>
      <c r="L411" s="1823">
        <f t="shared" si="75"/>
        <v>0</v>
      </c>
      <c r="M411" s="1823">
        <f t="shared" si="75"/>
        <v>0</v>
      </c>
      <c r="N411" s="1823">
        <f t="shared" si="75"/>
        <v>0</v>
      </c>
      <c r="O411" s="1823"/>
      <c r="P411" s="1823"/>
      <c r="Q411" s="1053"/>
      <c r="R411" s="1053"/>
      <c r="S411" s="1053"/>
      <c r="T411" s="2035">
        <f t="shared" si="72"/>
        <v>0</v>
      </c>
    </row>
    <row r="412" spans="1:20" ht="22.2" hidden="1" customHeight="1">
      <c r="A412" s="63"/>
      <c r="B412" s="1575" t="s">
        <v>635</v>
      </c>
      <c r="C412" s="64" t="str">
        <f t="shared" si="73"/>
        <v xml:space="preserve"> </v>
      </c>
      <c r="D412" s="1537">
        <v>0.2</v>
      </c>
      <c r="E412" s="1048" t="str">
        <f>VLOOKUP($B412,DG!A:C,2,)</f>
        <v>02.1482</v>
      </c>
      <c r="F412" s="1049" t="str">
        <f>VLOOKUP($B412,DG!A:C,3,)</f>
        <v>V/c dụng cụ thi công vào vị trí (cự ly &lt;=100m)</v>
      </c>
      <c r="G412" s="1048" t="str">
        <f>VLOOKUP($B412,DG!A:D,4,0)</f>
        <v>tấn</v>
      </c>
      <c r="H412" s="1824">
        <f>$H$409*D412</f>
        <v>0</v>
      </c>
      <c r="I412" s="1824"/>
      <c r="J412" s="1824"/>
      <c r="K412" s="1824"/>
      <c r="L412" s="1824"/>
      <c r="M412" s="1824"/>
      <c r="N412" s="1824"/>
      <c r="O412" s="1824"/>
      <c r="P412" s="1824"/>
      <c r="Q412" s="1055"/>
      <c r="R412" s="1055"/>
      <c r="S412" s="1055"/>
      <c r="T412" s="2035">
        <f t="shared" si="72"/>
        <v>0</v>
      </c>
    </row>
    <row r="413" spans="1:20" ht="22.2" hidden="1" customHeight="1">
      <c r="A413" s="56" t="s">
        <v>648</v>
      </c>
      <c r="B413" s="1574" t="s">
        <v>648</v>
      </c>
      <c r="C413" s="62" t="str">
        <f t="shared" si="73"/>
        <v xml:space="preserve"> </v>
      </c>
      <c r="D413" s="1532"/>
      <c r="E413" s="1045"/>
      <c r="F413" s="1392" t="s">
        <v>2375</v>
      </c>
      <c r="G413" s="1046" t="s">
        <v>2333</v>
      </c>
      <c r="H413" s="1821">
        <f>SUM(I413:O413)</f>
        <v>0</v>
      </c>
      <c r="I413" s="1822"/>
      <c r="J413" s="1822"/>
      <c r="K413" s="1822">
        <f>IFERROR(HLOOKUP(B413,pp3p1m!$1:$3,3,0),0)</f>
        <v>0</v>
      </c>
      <c r="L413" s="1822">
        <f>IFERROR(HLOOKUP(chitiet!B413,pp1p!$1:$3,3,0),0)</f>
        <v>0</v>
      </c>
      <c r="M413" s="1822"/>
      <c r="N413" s="1822"/>
      <c r="O413" s="1822"/>
      <c r="P413" s="1822"/>
      <c r="Q413" s="1047"/>
      <c r="R413" s="1047"/>
      <c r="S413" s="1047"/>
      <c r="T413" s="2035">
        <f>IFERROR(HLOOKUP(B413,pp1p!$1:$3,3,0),0)+IFERROR(HLOOKUP(B413,pp3p1m!$1:$3,3,0),0)</f>
        <v>0</v>
      </c>
    </row>
    <row r="414" spans="1:20" ht="22.2" hidden="1" customHeight="1">
      <c r="A414" s="63"/>
      <c r="B414" s="1589" t="s">
        <v>636</v>
      </c>
      <c r="C414" s="64" t="str">
        <f t="shared" si="73"/>
        <v xml:space="preserve"> </v>
      </c>
      <c r="D414" s="1538">
        <v>1</v>
      </c>
      <c r="E414" s="1044" t="str">
        <f>VLOOKUP($B414,DG!A:D,DG!$B$2,)</f>
        <v>04.4001</v>
      </c>
      <c r="F414" s="1054" t="str">
        <f>VLOOKUP($B414,DG!A:D,DG!$C$2,)</f>
        <v>Đà cản BTCT 1,2m</v>
      </c>
      <c r="G414" s="1048" t="str">
        <f>VLOOKUP($B414,DG!A:D,DG!$D$2,)</f>
        <v>cái</v>
      </c>
      <c r="H414" s="1824">
        <f t="shared" ref="H414:N415" si="76">H$413*$D414</f>
        <v>0</v>
      </c>
      <c r="I414" s="1824">
        <f t="shared" si="76"/>
        <v>0</v>
      </c>
      <c r="J414" s="1824">
        <f t="shared" si="76"/>
        <v>0</v>
      </c>
      <c r="K414" s="1824">
        <f t="shared" si="76"/>
        <v>0</v>
      </c>
      <c r="L414" s="1824">
        <f t="shared" si="76"/>
        <v>0</v>
      </c>
      <c r="M414" s="1824">
        <f t="shared" si="76"/>
        <v>0</v>
      </c>
      <c r="N414" s="1824">
        <f t="shared" si="76"/>
        <v>0</v>
      </c>
      <c r="O414" s="1824"/>
      <c r="P414" s="1824"/>
      <c r="Q414" s="1052"/>
      <c r="R414" s="1052"/>
      <c r="S414" s="1052"/>
      <c r="T414" s="2035">
        <f t="shared" si="72"/>
        <v>0</v>
      </c>
    </row>
    <row r="415" spans="1:20" ht="22.2" hidden="1" customHeight="1">
      <c r="A415" s="63"/>
      <c r="B415" s="1589" t="s">
        <v>566</v>
      </c>
      <c r="C415" s="64" t="str">
        <f t="shared" si="73"/>
        <v xml:space="preserve"> </v>
      </c>
      <c r="D415" s="1538">
        <v>1</v>
      </c>
      <c r="E415" s="1048"/>
      <c r="F415" s="1054" t="str">
        <f>VLOOKUP($B415,DG!A:D,DG!$C$2,)</f>
        <v>Boulon 22x650+ 2 long đền vuông D24-50x50x3/Zn</v>
      </c>
      <c r="G415" s="1048" t="str">
        <f>VLOOKUP($B415,DG!A:D,DG!$D$2,)</f>
        <v>bộ</v>
      </c>
      <c r="H415" s="1824">
        <f t="shared" si="76"/>
        <v>0</v>
      </c>
      <c r="I415" s="1824">
        <f t="shared" si="76"/>
        <v>0</v>
      </c>
      <c r="J415" s="1824">
        <f t="shared" si="76"/>
        <v>0</v>
      </c>
      <c r="K415" s="1824">
        <f t="shared" si="76"/>
        <v>0</v>
      </c>
      <c r="L415" s="1824">
        <f t="shared" si="76"/>
        <v>0</v>
      </c>
      <c r="M415" s="1824">
        <f t="shared" si="76"/>
        <v>0</v>
      </c>
      <c r="N415" s="1824">
        <f t="shared" si="76"/>
        <v>0</v>
      </c>
      <c r="O415" s="1824"/>
      <c r="P415" s="1824"/>
      <c r="Q415" s="1052"/>
      <c r="R415" s="1052"/>
      <c r="S415" s="1052"/>
      <c r="T415" s="2035">
        <f t="shared" si="72"/>
        <v>0</v>
      </c>
    </row>
    <row r="416" spans="1:20" ht="22.2" hidden="1" customHeight="1">
      <c r="A416" s="63"/>
      <c r="B416" s="1589" t="s">
        <v>639</v>
      </c>
      <c r="C416" s="64" t="str">
        <f t="shared" si="73"/>
        <v xml:space="preserve"> </v>
      </c>
      <c r="D416" s="1537">
        <v>1.64</v>
      </c>
      <c r="E416" s="1048" t="str">
        <f>VLOOKUP($B416,DG!A:D,DG!$B$2,)</f>
        <v>03.1013</v>
      </c>
      <c r="F416" s="1049" t="str">
        <f>VLOOKUP($B416,DG!A:D,DG!$C$2,)</f>
        <v>Đào hố móng đất cấp 3 sâu &gt;1m</v>
      </c>
      <c r="G416" s="1048" t="str">
        <f>VLOOKUP($B416,DG!A:D,DG!$D$2,)</f>
        <v>m3</v>
      </c>
      <c r="H416" s="1824"/>
      <c r="I416" s="1824"/>
      <c r="J416" s="1824"/>
      <c r="K416" s="1824"/>
      <c r="L416" s="1824"/>
      <c r="M416" s="1824"/>
      <c r="N416" s="1824"/>
      <c r="O416" s="1824"/>
      <c r="P416" s="1824"/>
      <c r="Q416" s="1055"/>
      <c r="R416" s="1055"/>
      <c r="S416" s="1055"/>
      <c r="T416" s="2035">
        <f t="shared" si="72"/>
        <v>0</v>
      </c>
    </row>
    <row r="417" spans="1:20" ht="22.2" hidden="1" customHeight="1">
      <c r="A417" s="63"/>
      <c r="B417" s="1589" t="s">
        <v>21</v>
      </c>
      <c r="C417" s="64" t="str">
        <f t="shared" si="73"/>
        <v xml:space="preserve"> </v>
      </c>
      <c r="D417" s="1537">
        <v>1.42</v>
      </c>
      <c r="E417" s="1048" t="str">
        <f>VLOOKUP($B417,DG!A:D,DG!$B$2,)</f>
        <v>03.4113</v>
      </c>
      <c r="F417" s="1049" t="str">
        <f>VLOOKUP($B417,DG!A:D,DG!$C$2,)</f>
        <v>Đắp đất hố móng, độ chặt k=0,95</v>
      </c>
      <c r="G417" s="1048" t="str">
        <f>VLOOKUP($B417,DG!A:D,DG!$D$2,)</f>
        <v>m3</v>
      </c>
      <c r="H417" s="1824"/>
      <c r="I417" s="1824"/>
      <c r="J417" s="1824"/>
      <c r="K417" s="1824"/>
      <c r="L417" s="1824"/>
      <c r="M417" s="1824"/>
      <c r="N417" s="1824"/>
      <c r="O417" s="1824"/>
      <c r="P417" s="1824"/>
      <c r="Q417" s="1055"/>
      <c r="R417" s="1055"/>
      <c r="S417" s="1055"/>
      <c r="T417" s="2035">
        <f t="shared" si="72"/>
        <v>0</v>
      </c>
    </row>
    <row r="418" spans="1:20" ht="22.2" hidden="1" customHeight="1">
      <c r="A418" s="63"/>
      <c r="B418" s="1589" t="s">
        <v>637</v>
      </c>
      <c r="C418" s="64" t="str">
        <f t="shared" si="73"/>
        <v xml:space="preserve"> </v>
      </c>
      <c r="D418" s="1537"/>
      <c r="E418" s="1048" t="str">
        <f>VLOOKUP($B418,DG!A:D,DG!$B$2,)</f>
        <v>02.1123</v>
      </c>
      <c r="F418" s="1049" t="str">
        <f>VLOOKUP($B418,DG!A:D,DG!$C$2,)</f>
        <v>Bốc dỡ đà cản, đế néo</v>
      </c>
      <c r="G418" s="1048" t="str">
        <f>VLOOKUP($B418,DG!A:D,DG!$D$2,)</f>
        <v>tấn</v>
      </c>
      <c r="H418" s="1824"/>
      <c r="I418" s="1824"/>
      <c r="J418" s="1824"/>
      <c r="K418" s="1824"/>
      <c r="L418" s="1824"/>
      <c r="M418" s="1824"/>
      <c r="N418" s="1824"/>
      <c r="O418" s="1824"/>
      <c r="P418" s="1824"/>
      <c r="Q418" s="1052"/>
      <c r="R418" s="1052"/>
      <c r="S418" s="1052"/>
      <c r="T418" s="2035">
        <f t="shared" si="72"/>
        <v>0</v>
      </c>
    </row>
    <row r="419" spans="1:20" ht="22.2" hidden="1" customHeight="1">
      <c r="A419" s="63"/>
      <c r="B419" s="1575" t="s">
        <v>2069</v>
      </c>
      <c r="C419" s="64" t="str">
        <f t="shared" si="73"/>
        <v xml:space="preserve"> </v>
      </c>
      <c r="D419" s="1537"/>
      <c r="E419" s="1048" t="str">
        <f>VLOOKUP($B419,DG!A:C,2,)</f>
        <v>02.1451</v>
      </c>
      <c r="F419" s="1049" t="str">
        <f>VLOOKUP($B419,DG!A:C,3,)</f>
        <v>V/c đà cản vào vị trí (cự ly &lt;=100m)</v>
      </c>
      <c r="G419" s="1048" t="str">
        <f>VLOOKUP($B419,DG!A:D,4,0)</f>
        <v>tấn</v>
      </c>
      <c r="H419" s="1824"/>
      <c r="I419" s="1824"/>
      <c r="J419" s="1824"/>
      <c r="K419" s="1824"/>
      <c r="L419" s="1824"/>
      <c r="M419" s="1824"/>
      <c r="N419" s="1824"/>
      <c r="O419" s="1824"/>
      <c r="P419" s="1824"/>
      <c r="Q419" s="1055"/>
      <c r="R419" s="1055"/>
      <c r="S419" s="1055"/>
      <c r="T419" s="2035">
        <f t="shared" si="72"/>
        <v>0</v>
      </c>
    </row>
    <row r="420" spans="1:20" ht="22.2" hidden="1" customHeight="1">
      <c r="A420" s="63"/>
      <c r="B420" s="1575" t="s">
        <v>635</v>
      </c>
      <c r="C420" s="64" t="str">
        <f t="shared" si="73"/>
        <v xml:space="preserve"> </v>
      </c>
      <c r="D420" s="1537"/>
      <c r="E420" s="1048" t="str">
        <f>VLOOKUP($B420,DG!A:C,2,)</f>
        <v>02.1482</v>
      </c>
      <c r="F420" s="1049" t="str">
        <f>VLOOKUP($B420,DG!A:C,3,)</f>
        <v>V/c dụng cụ thi công vào vị trí (cự ly &lt;=100m)</v>
      </c>
      <c r="G420" s="1048" t="str">
        <f>VLOOKUP($B420,DG!A:D,4,0)</f>
        <v>tấn</v>
      </c>
      <c r="H420" s="1824"/>
      <c r="I420" s="1824"/>
      <c r="J420" s="1824"/>
      <c r="K420" s="1824"/>
      <c r="L420" s="1824"/>
      <c r="M420" s="1824"/>
      <c r="N420" s="1824"/>
      <c r="O420" s="1824"/>
      <c r="P420" s="1824"/>
      <c r="Q420" s="1055"/>
      <c r="R420" s="1055"/>
      <c r="S420" s="1055"/>
      <c r="T420" s="2035">
        <f t="shared" si="72"/>
        <v>0</v>
      </c>
    </row>
    <row r="421" spans="1:20" ht="22.2" hidden="1" customHeight="1">
      <c r="A421" s="56" t="s">
        <v>750</v>
      </c>
      <c r="B421" s="1574" t="s">
        <v>750</v>
      </c>
      <c r="C421" s="62" t="str">
        <f t="shared" si="73"/>
        <v xml:space="preserve"> </v>
      </c>
      <c r="D421" s="1532"/>
      <c r="E421" s="1045"/>
      <c r="F421" s="1392" t="s">
        <v>2376</v>
      </c>
      <c r="G421" s="1046" t="s">
        <v>2333</v>
      </c>
      <c r="H421" s="1821">
        <f>SUM(I421:O421)</f>
        <v>0</v>
      </c>
      <c r="I421" s="1822"/>
      <c r="J421" s="1822"/>
      <c r="K421" s="1822">
        <f>IFERROR(HLOOKUP(B421,pp3p1m!$1:$3,3,0),0)</f>
        <v>0</v>
      </c>
      <c r="L421" s="1822">
        <f>IFERROR(HLOOKUP(chitiet!B421,pp1p!$1:$3,3,0),0)</f>
        <v>0</v>
      </c>
      <c r="M421" s="1822"/>
      <c r="N421" s="1822"/>
      <c r="O421" s="1822"/>
      <c r="P421" s="1822"/>
      <c r="Q421" s="1047"/>
      <c r="R421" s="1047"/>
      <c r="S421" s="1047"/>
      <c r="T421" s="2035">
        <f>IFERROR(HLOOKUP(B421,pp1p!$1:$3,3,0),0)+IFERROR(HLOOKUP(B421,pp3p1m!$1:$3,3,0),0)</f>
        <v>0</v>
      </c>
    </row>
    <row r="422" spans="1:20" ht="22.2" hidden="1" customHeight="1">
      <c r="A422" s="63"/>
      <c r="B422" s="1589" t="s">
        <v>1578</v>
      </c>
      <c r="C422" s="64" t="str">
        <f t="shared" si="73"/>
        <v xml:space="preserve"> </v>
      </c>
      <c r="D422" s="1538">
        <v>1</v>
      </c>
      <c r="E422" s="1048" t="str">
        <f>VLOOKUP($B422,DG!A:D,DG!$B$2,)</f>
        <v>04.3801</v>
      </c>
      <c r="F422" s="1054" t="str">
        <f>VLOOKUP($B422,DG!A:D,DG!$C$2,)</f>
        <v>Đà cản BTCT 1,5m</v>
      </c>
      <c r="G422" s="1048" t="str">
        <f>VLOOKUP($B422,DG!A:D,DG!$D$2,)</f>
        <v>cái</v>
      </c>
      <c r="H422" s="1824">
        <f t="shared" ref="H422:N423" si="77">H$421*$D422</f>
        <v>0</v>
      </c>
      <c r="I422" s="1824">
        <f t="shared" si="77"/>
        <v>0</v>
      </c>
      <c r="J422" s="1824">
        <f t="shared" si="77"/>
        <v>0</v>
      </c>
      <c r="K422" s="1824">
        <f t="shared" si="77"/>
        <v>0</v>
      </c>
      <c r="L422" s="1824">
        <f t="shared" si="77"/>
        <v>0</v>
      </c>
      <c r="M422" s="1824">
        <f t="shared" si="77"/>
        <v>0</v>
      </c>
      <c r="N422" s="1824">
        <f t="shared" si="77"/>
        <v>0</v>
      </c>
      <c r="O422" s="1824"/>
      <c r="P422" s="1824"/>
      <c r="Q422" s="1052"/>
      <c r="R422" s="1052"/>
      <c r="S422" s="1052"/>
      <c r="T422" s="2035">
        <f t="shared" si="72"/>
        <v>0</v>
      </c>
    </row>
    <row r="423" spans="1:20" ht="22.2" hidden="1" customHeight="1">
      <c r="A423" s="63"/>
      <c r="B423" s="1589" t="s">
        <v>566</v>
      </c>
      <c r="C423" s="64" t="str">
        <f t="shared" si="73"/>
        <v xml:space="preserve"> </v>
      </c>
      <c r="D423" s="1538">
        <v>1</v>
      </c>
      <c r="E423" s="1048"/>
      <c r="F423" s="1054" t="str">
        <f>VLOOKUP($B423,DG!A:D,DG!$C$2,)</f>
        <v>Boulon 22x650+ 2 long đền vuông D24-50x50x3/Zn</v>
      </c>
      <c r="G423" s="1048" t="str">
        <f>VLOOKUP($B423,DG!A:D,DG!$D$2,)</f>
        <v>bộ</v>
      </c>
      <c r="H423" s="1824">
        <f t="shared" si="77"/>
        <v>0</v>
      </c>
      <c r="I423" s="1824">
        <f t="shared" si="77"/>
        <v>0</v>
      </c>
      <c r="J423" s="1824">
        <f t="shared" si="77"/>
        <v>0</v>
      </c>
      <c r="K423" s="1824">
        <f t="shared" si="77"/>
        <v>0</v>
      </c>
      <c r="L423" s="1824">
        <f t="shared" si="77"/>
        <v>0</v>
      </c>
      <c r="M423" s="1824">
        <f t="shared" si="77"/>
        <v>0</v>
      </c>
      <c r="N423" s="1824">
        <f t="shared" si="77"/>
        <v>0</v>
      </c>
      <c r="O423" s="1824"/>
      <c r="P423" s="1824"/>
      <c r="Q423" s="1052"/>
      <c r="R423" s="1052"/>
      <c r="S423" s="1052"/>
      <c r="T423" s="2035">
        <f t="shared" si="72"/>
        <v>0</v>
      </c>
    </row>
    <row r="424" spans="1:20" ht="22.2" hidden="1" customHeight="1">
      <c r="A424" s="59"/>
      <c r="B424" s="1577" t="s">
        <v>1816</v>
      </c>
      <c r="C424" s="64" t="str">
        <f t="shared" si="73"/>
        <v xml:space="preserve"> </v>
      </c>
      <c r="D424" s="1533">
        <v>0.42099999999999999</v>
      </c>
      <c r="E424" s="1044">
        <f>VLOOKUP($B424,DG!A:D,DG!$B$2,)</f>
        <v>0</v>
      </c>
      <c r="F424" s="1049" t="str">
        <f>VLOOKUP($B424,DG!A:D,DG!$C$2,)</f>
        <v>Đá 2x4</v>
      </c>
      <c r="G424" s="1044" t="str">
        <f>VLOOKUP($B424,DG!A:D,DG!$D$2,)</f>
        <v>m3</v>
      </c>
      <c r="H424" s="1823">
        <f t="shared" ref="H424:N424" si="78">H$18*$D424</f>
        <v>0</v>
      </c>
      <c r="I424" s="1823">
        <f t="shared" si="78"/>
        <v>0</v>
      </c>
      <c r="J424" s="1823">
        <f t="shared" si="78"/>
        <v>0</v>
      </c>
      <c r="K424" s="1823">
        <f t="shared" si="78"/>
        <v>0</v>
      </c>
      <c r="L424" s="1823">
        <f t="shared" si="78"/>
        <v>0</v>
      </c>
      <c r="M424" s="1823">
        <f t="shared" si="78"/>
        <v>0</v>
      </c>
      <c r="N424" s="1823">
        <f t="shared" si="78"/>
        <v>0</v>
      </c>
      <c r="O424" s="1823"/>
      <c r="P424" s="1823"/>
      <c r="Q424" s="1053"/>
      <c r="R424" s="1053"/>
      <c r="S424" s="1053"/>
      <c r="T424" s="2035">
        <f t="shared" si="72"/>
        <v>0</v>
      </c>
    </row>
    <row r="425" spans="1:20" ht="22.2" hidden="1" customHeight="1">
      <c r="A425" s="63"/>
      <c r="B425" s="1589" t="s">
        <v>639</v>
      </c>
      <c r="C425" s="64" t="str">
        <f t="shared" si="73"/>
        <v xml:space="preserve"> </v>
      </c>
      <c r="D425" s="1537">
        <v>3.3</v>
      </c>
      <c r="E425" s="1048" t="str">
        <f>VLOOKUP($B425,DG!A:D,DG!$B$2,)</f>
        <v>03.1013</v>
      </c>
      <c r="F425" s="1049" t="str">
        <f>VLOOKUP($B425,DG!A:D,DG!$C$2,)</f>
        <v>Đào hố móng đất cấp 3 sâu &gt;1m</v>
      </c>
      <c r="G425" s="1048" t="str">
        <f>VLOOKUP($B425,DG!A:D,DG!$D$2,)</f>
        <v>m3</v>
      </c>
      <c r="H425" s="1824"/>
      <c r="I425" s="1824"/>
      <c r="J425" s="1824"/>
      <c r="K425" s="1824"/>
      <c r="L425" s="1824"/>
      <c r="M425" s="1824"/>
      <c r="N425" s="1824"/>
      <c r="O425" s="1824"/>
      <c r="P425" s="1824"/>
      <c r="Q425" s="1055"/>
      <c r="R425" s="1055"/>
      <c r="S425" s="1055"/>
      <c r="T425" s="2035">
        <f t="shared" si="72"/>
        <v>0</v>
      </c>
    </row>
    <row r="426" spans="1:20" ht="22.2" hidden="1" customHeight="1">
      <c r="A426" s="63"/>
      <c r="B426" s="1589" t="s">
        <v>21</v>
      </c>
      <c r="C426" s="64" t="str">
        <f t="shared" si="73"/>
        <v xml:space="preserve"> </v>
      </c>
      <c r="D426" s="1537">
        <v>3.49</v>
      </c>
      <c r="E426" s="1048" t="str">
        <f>VLOOKUP($B426,DG!A:D,DG!$B$2,)</f>
        <v>03.4113</v>
      </c>
      <c r="F426" s="1049" t="str">
        <f>VLOOKUP($B426,DG!A:D,DG!$C$2,)</f>
        <v>Đắp đất hố móng, độ chặt k=0,95</v>
      </c>
      <c r="G426" s="1048" t="str">
        <f>VLOOKUP($B426,DG!A:D,DG!$D$2,)</f>
        <v>m3</v>
      </c>
      <c r="H426" s="1824"/>
      <c r="I426" s="1824"/>
      <c r="J426" s="1824"/>
      <c r="K426" s="1824"/>
      <c r="L426" s="1824"/>
      <c r="M426" s="1824"/>
      <c r="N426" s="1824"/>
      <c r="O426" s="1824"/>
      <c r="P426" s="1824"/>
      <c r="Q426" s="1055"/>
      <c r="R426" s="1055"/>
      <c r="S426" s="1055"/>
      <c r="T426" s="2035">
        <f t="shared" si="72"/>
        <v>0</v>
      </c>
    </row>
    <row r="427" spans="1:20" ht="22.2" hidden="1" customHeight="1">
      <c r="A427" s="63"/>
      <c r="B427" s="1589" t="s">
        <v>637</v>
      </c>
      <c r="C427" s="64" t="str">
        <f t="shared" si="73"/>
        <v xml:space="preserve"> </v>
      </c>
      <c r="D427" s="1537">
        <v>0.255</v>
      </c>
      <c r="E427" s="1048" t="str">
        <f>VLOOKUP($B427,DG!A:D,DG!$B$2,)</f>
        <v>02.1123</v>
      </c>
      <c r="F427" s="1049" t="str">
        <f>VLOOKUP($B427,DG!A:D,DG!$C$2,)</f>
        <v>Bốc dỡ đà cản, đế néo</v>
      </c>
      <c r="G427" s="1048" t="str">
        <f>VLOOKUP($B427,DG!A:D,DG!$D$2,)</f>
        <v>tấn</v>
      </c>
      <c r="H427" s="1824"/>
      <c r="I427" s="1824"/>
      <c r="J427" s="1824"/>
      <c r="K427" s="1824"/>
      <c r="L427" s="1824"/>
      <c r="M427" s="1824"/>
      <c r="N427" s="1824"/>
      <c r="O427" s="1824"/>
      <c r="P427" s="1824"/>
      <c r="Q427" s="1052"/>
      <c r="R427" s="1052"/>
      <c r="S427" s="1052"/>
      <c r="T427" s="2035">
        <f t="shared" si="72"/>
        <v>0</v>
      </c>
    </row>
    <row r="428" spans="1:20" ht="22.2" hidden="1" customHeight="1">
      <c r="A428" s="63"/>
      <c r="B428" s="1575" t="s">
        <v>2069</v>
      </c>
      <c r="C428" s="64" t="str">
        <f t="shared" si="73"/>
        <v xml:space="preserve"> </v>
      </c>
      <c r="D428" s="1537">
        <f>+D427</f>
        <v>0.255</v>
      </c>
      <c r="E428" s="1048" t="str">
        <f>VLOOKUP($B428,DG!A:C,2,)</f>
        <v>02.1451</v>
      </c>
      <c r="F428" s="1049" t="str">
        <f>VLOOKUP($B428,DG!A:C,3,)</f>
        <v>V/c đà cản vào vị trí (cự ly &lt;=100m)</v>
      </c>
      <c r="G428" s="1048" t="str">
        <f>VLOOKUP($B428,DG!A:D,4,0)</f>
        <v>tấn</v>
      </c>
      <c r="H428" s="1824"/>
      <c r="I428" s="1824"/>
      <c r="J428" s="1824"/>
      <c r="K428" s="1824"/>
      <c r="L428" s="1824"/>
      <c r="M428" s="1824"/>
      <c r="N428" s="1824"/>
      <c r="O428" s="1824"/>
      <c r="P428" s="1824"/>
      <c r="Q428" s="1055"/>
      <c r="R428" s="1055"/>
      <c r="S428" s="1055"/>
      <c r="T428" s="2035">
        <f t="shared" si="72"/>
        <v>0</v>
      </c>
    </row>
    <row r="429" spans="1:20" ht="22.2" hidden="1" customHeight="1">
      <c r="A429" s="59"/>
      <c r="B429" s="1588" t="s">
        <v>674</v>
      </c>
      <c r="C429" s="64" t="str">
        <f t="shared" si="73"/>
        <v xml:space="preserve"> </v>
      </c>
      <c r="D429" s="1533">
        <f>D424</f>
        <v>0.42099999999999999</v>
      </c>
      <c r="E429" s="1044" t="str">
        <f>VLOOKUP($B429,DG!A:C,2,)</f>
        <v>02.1241</v>
      </c>
      <c r="F429" s="1049" t="str">
        <f>VLOOKUP($B429,DG!A:C,3,)</f>
        <v>V/c đá dăm ( cự ly &lt;=100m)</v>
      </c>
      <c r="G429" s="1044" t="str">
        <f>VLOOKUP($B429,DG!A:D,4,0)</f>
        <v>m3</v>
      </c>
      <c r="H429" s="1823"/>
      <c r="I429" s="1823"/>
      <c r="J429" s="1823"/>
      <c r="K429" s="1823"/>
      <c r="L429" s="1823"/>
      <c r="M429" s="1823"/>
      <c r="N429" s="1823"/>
      <c r="O429" s="1823"/>
      <c r="P429" s="1823"/>
      <c r="Q429" s="1058"/>
      <c r="R429" s="1058"/>
      <c r="S429" s="1058"/>
      <c r="T429" s="2035">
        <f t="shared" si="72"/>
        <v>0</v>
      </c>
    </row>
    <row r="430" spans="1:20" ht="22.2" hidden="1" customHeight="1">
      <c r="A430" s="63"/>
      <c r="B430" s="1575" t="s">
        <v>635</v>
      </c>
      <c r="C430" s="64" t="str">
        <f t="shared" si="73"/>
        <v xml:space="preserve"> </v>
      </c>
      <c r="D430" s="1537">
        <v>0.2</v>
      </c>
      <c r="E430" s="1048" t="str">
        <f>VLOOKUP($B430,DG!A:C,2,)</f>
        <v>02.1482</v>
      </c>
      <c r="F430" s="1049" t="str">
        <f>VLOOKUP($B430,DG!A:C,3,)</f>
        <v>V/c dụng cụ thi công vào vị trí (cự ly &lt;=100m)</v>
      </c>
      <c r="G430" s="1048" t="str">
        <f>VLOOKUP($B430,DG!A:D,4,0)</f>
        <v>tấn</v>
      </c>
      <c r="H430" s="1824"/>
      <c r="I430" s="1824"/>
      <c r="J430" s="1824"/>
      <c r="K430" s="1824"/>
      <c r="L430" s="1824"/>
      <c r="M430" s="1824"/>
      <c r="N430" s="1824"/>
      <c r="O430" s="1824"/>
      <c r="P430" s="1824"/>
      <c r="Q430" s="1055"/>
      <c r="R430" s="1055"/>
      <c r="S430" s="1055"/>
      <c r="T430" s="2035">
        <f t="shared" si="72"/>
        <v>0</v>
      </c>
    </row>
    <row r="431" spans="1:20" ht="22.2" hidden="1" customHeight="1">
      <c r="A431" s="56" t="s">
        <v>2313</v>
      </c>
      <c r="B431" s="1574" t="s">
        <v>2313</v>
      </c>
      <c r="C431" s="62" t="str">
        <f t="shared" si="73"/>
        <v xml:space="preserve"> </v>
      </c>
      <c r="D431" s="1532"/>
      <c r="E431" s="1045"/>
      <c r="F431" s="1392" t="s">
        <v>2377</v>
      </c>
      <c r="G431" s="1046" t="s">
        <v>2333</v>
      </c>
      <c r="H431" s="1821">
        <f>SUM(I431:O431)</f>
        <v>0</v>
      </c>
      <c r="I431" s="1822"/>
      <c r="J431" s="1822"/>
      <c r="K431" s="1822">
        <f>IFERROR(HLOOKUP(B431,pp3p1m!$1:$3,3,0),0)</f>
        <v>0</v>
      </c>
      <c r="L431" s="1822">
        <f>IFERROR(HLOOKUP(chitiet!B431,pp1p!$1:$3,3,0),0)</f>
        <v>0</v>
      </c>
      <c r="M431" s="1822"/>
      <c r="N431" s="1822"/>
      <c r="O431" s="1822"/>
      <c r="P431" s="1822"/>
      <c r="Q431" s="1047"/>
      <c r="R431" s="1047"/>
      <c r="S431" s="1047"/>
      <c r="T431" s="2035">
        <f>IFERROR(HLOOKUP(B431,pp1p!$1:$3,3,0),0)+IFERROR(HLOOKUP(B431,pp3p1m!$1:$3,3,0),0)</f>
        <v>0</v>
      </c>
    </row>
    <row r="432" spans="1:20" ht="22.2" hidden="1" customHeight="1">
      <c r="A432" s="63"/>
      <c r="B432" s="1575" t="s">
        <v>751</v>
      </c>
      <c r="C432" s="64" t="str">
        <f t="shared" si="73"/>
        <v xml:space="preserve"> </v>
      </c>
      <c r="D432" s="1539">
        <v>336</v>
      </c>
      <c r="E432" s="1048">
        <f>VLOOKUP($B432,DG!A:D,DG!$B$2,)</f>
        <v>0</v>
      </c>
      <c r="F432" s="1049" t="str">
        <f>VLOOKUP($B432,DG!A:D,DG!$C$2,)</f>
        <v>Ximăng (PC40)</v>
      </c>
      <c r="G432" s="1048" t="str">
        <f>VLOOKUP($B432,DG!A:D,DG!$D$2,)</f>
        <v>kg</v>
      </c>
      <c r="H432" s="1824">
        <f t="shared" ref="H432:H447" si="79">$H$431*$D432</f>
        <v>0</v>
      </c>
      <c r="I432" s="1824">
        <f t="shared" ref="I432:O436" si="80">I$431*$D432</f>
        <v>0</v>
      </c>
      <c r="J432" s="1824">
        <f t="shared" si="80"/>
        <v>0</v>
      </c>
      <c r="K432" s="1824">
        <f t="shared" si="80"/>
        <v>0</v>
      </c>
      <c r="L432" s="1824">
        <f t="shared" si="80"/>
        <v>0</v>
      </c>
      <c r="M432" s="1824">
        <f t="shared" si="80"/>
        <v>0</v>
      </c>
      <c r="N432" s="1824">
        <f t="shared" si="80"/>
        <v>0</v>
      </c>
      <c r="O432" s="1824">
        <f t="shared" si="80"/>
        <v>0</v>
      </c>
      <c r="P432" s="1824"/>
      <c r="Q432" s="1052"/>
      <c r="R432" s="1052"/>
      <c r="S432" s="1052"/>
      <c r="T432" s="2035">
        <f t="shared" si="72"/>
        <v>0</v>
      </c>
    </row>
    <row r="433" spans="1:20" ht="22.2" hidden="1" customHeight="1">
      <c r="A433" s="63"/>
      <c r="B433" s="1576" t="s">
        <v>4440</v>
      </c>
      <c r="C433" s="64" t="str">
        <f t="shared" si="73"/>
        <v xml:space="preserve"> </v>
      </c>
      <c r="D433" s="1536">
        <v>0.53900000000000003</v>
      </c>
      <c r="E433" s="1048">
        <f>VLOOKUP($B433,DG!A:D,DG!$B$2,)</f>
        <v>0</v>
      </c>
      <c r="F433" s="1049" t="str">
        <f>VLOOKUP($B433,DG!A:D,DG!$C$2,)</f>
        <v>Cát vàng</v>
      </c>
      <c r="G433" s="1048" t="str">
        <f>VLOOKUP($B433,DG!A:D,DG!$D$2,)</f>
        <v>m3</v>
      </c>
      <c r="H433" s="1824">
        <f t="shared" si="79"/>
        <v>0</v>
      </c>
      <c r="I433" s="1824">
        <f t="shared" si="80"/>
        <v>0</v>
      </c>
      <c r="J433" s="1824">
        <f t="shared" si="80"/>
        <v>0</v>
      </c>
      <c r="K433" s="1824">
        <f t="shared" si="80"/>
        <v>0</v>
      </c>
      <c r="L433" s="1824">
        <f t="shared" si="80"/>
        <v>0</v>
      </c>
      <c r="M433" s="1824">
        <f t="shared" si="80"/>
        <v>0</v>
      </c>
      <c r="N433" s="1824">
        <f t="shared" si="80"/>
        <v>0</v>
      </c>
      <c r="O433" s="1824">
        <f t="shared" si="80"/>
        <v>0</v>
      </c>
      <c r="P433" s="1824"/>
      <c r="Q433" s="1050"/>
      <c r="R433" s="1050"/>
      <c r="S433" s="1050"/>
      <c r="T433" s="2035">
        <f t="shared" si="72"/>
        <v>0</v>
      </c>
    </row>
    <row r="434" spans="1:20" ht="22.2" hidden="1" customHeight="1">
      <c r="A434" s="63" t="s">
        <v>1016</v>
      </c>
      <c r="B434" s="1575" t="s">
        <v>867</v>
      </c>
      <c r="C434" s="64" t="str">
        <f t="shared" si="73"/>
        <v xml:space="preserve"> </v>
      </c>
      <c r="D434" s="1536">
        <v>0.999</v>
      </c>
      <c r="E434" s="1048">
        <f>VLOOKUP($B434,DG!A:D,DG!$B$2,)</f>
        <v>0</v>
      </c>
      <c r="F434" s="1049" t="str">
        <f>VLOOKUP($B434,DG!A:D,DG!$C$2,)</f>
        <v>Đá 1x2</v>
      </c>
      <c r="G434" s="1048" t="str">
        <f>VLOOKUP($B434,DG!A:D,DG!$D$2,)</f>
        <v>m3</v>
      </c>
      <c r="H434" s="1824">
        <f t="shared" si="79"/>
        <v>0</v>
      </c>
      <c r="I434" s="1824">
        <f t="shared" si="80"/>
        <v>0</v>
      </c>
      <c r="J434" s="1824">
        <f t="shared" si="80"/>
        <v>0</v>
      </c>
      <c r="K434" s="1824">
        <f t="shared" si="80"/>
        <v>0</v>
      </c>
      <c r="L434" s="1824">
        <f t="shared" si="80"/>
        <v>0</v>
      </c>
      <c r="M434" s="1824">
        <f t="shared" si="80"/>
        <v>0</v>
      </c>
      <c r="N434" s="1824">
        <f t="shared" si="80"/>
        <v>0</v>
      </c>
      <c r="O434" s="1824">
        <f t="shared" si="80"/>
        <v>0</v>
      </c>
      <c r="P434" s="1824"/>
      <c r="Q434" s="1050"/>
      <c r="R434" s="1050"/>
      <c r="S434" s="1050"/>
      <c r="T434" s="2035">
        <f t="shared" si="72"/>
        <v>0</v>
      </c>
    </row>
    <row r="435" spans="1:20" ht="22.2" hidden="1" customHeight="1">
      <c r="A435" s="63"/>
      <c r="B435" s="1575" t="s">
        <v>995</v>
      </c>
      <c r="C435" s="64" t="str">
        <f t="shared" si="73"/>
        <v xml:space="preserve"> </v>
      </c>
      <c r="D435" s="1536">
        <v>31.1</v>
      </c>
      <c r="E435" s="1048">
        <f>VLOOKUP($B435,DG!A:D,DG!$B$2,)</f>
        <v>0</v>
      </c>
      <c r="F435" s="1054" t="str">
        <f>VLOOKUP($B435,DG!A:D,DG!$C$2,)</f>
        <v>Sắt Ø10</v>
      </c>
      <c r="G435" s="1048" t="str">
        <f>VLOOKUP($B435,DG!A:D,DG!$D$2,)</f>
        <v>kg</v>
      </c>
      <c r="H435" s="1824">
        <f t="shared" si="79"/>
        <v>0</v>
      </c>
      <c r="I435" s="1824">
        <f t="shared" si="80"/>
        <v>0</v>
      </c>
      <c r="J435" s="1824">
        <f t="shared" si="80"/>
        <v>0</v>
      </c>
      <c r="K435" s="1824">
        <f t="shared" si="80"/>
        <v>0</v>
      </c>
      <c r="L435" s="1824">
        <f t="shared" si="80"/>
        <v>0</v>
      </c>
      <c r="M435" s="1824">
        <f t="shared" si="80"/>
        <v>0</v>
      </c>
      <c r="N435" s="1824">
        <f t="shared" si="80"/>
        <v>0</v>
      </c>
      <c r="O435" s="1824">
        <f t="shared" si="80"/>
        <v>0</v>
      </c>
      <c r="P435" s="1824"/>
      <c r="Q435" s="1050"/>
      <c r="R435" s="1050"/>
      <c r="S435" s="1050"/>
      <c r="T435" s="2035">
        <f t="shared" si="72"/>
        <v>0</v>
      </c>
    </row>
    <row r="436" spans="1:20" ht="22.2" hidden="1" customHeight="1">
      <c r="A436" s="63" t="s">
        <v>1016</v>
      </c>
      <c r="B436" s="1575" t="s">
        <v>996</v>
      </c>
      <c r="C436" s="64" t="str">
        <f t="shared" si="73"/>
        <v xml:space="preserve"> </v>
      </c>
      <c r="D436" s="1536">
        <v>0.67</v>
      </c>
      <c r="E436" s="1048">
        <f>VLOOKUP($B436,DG!A:D,DG!$B$2,)</f>
        <v>0</v>
      </c>
      <c r="F436" s="1054" t="str">
        <f>VLOOKUP($B436,DG!A:D,DG!$C$2,)</f>
        <v>Kẽm</v>
      </c>
      <c r="G436" s="1048" t="str">
        <f>VLOOKUP($B436,DG!A:D,DG!$D$2,)</f>
        <v>kg</v>
      </c>
      <c r="H436" s="1824">
        <f t="shared" si="79"/>
        <v>0</v>
      </c>
      <c r="I436" s="1824">
        <f t="shared" si="80"/>
        <v>0</v>
      </c>
      <c r="J436" s="1824">
        <f t="shared" si="80"/>
        <v>0</v>
      </c>
      <c r="K436" s="1824">
        <f t="shared" si="80"/>
        <v>0</v>
      </c>
      <c r="L436" s="1824">
        <f t="shared" si="80"/>
        <v>0</v>
      </c>
      <c r="M436" s="1824">
        <f t="shared" si="80"/>
        <v>0</v>
      </c>
      <c r="N436" s="1824">
        <f t="shared" si="80"/>
        <v>0</v>
      </c>
      <c r="O436" s="1824">
        <f t="shared" si="80"/>
        <v>0</v>
      </c>
      <c r="P436" s="1824"/>
      <c r="Q436" s="1050"/>
      <c r="R436" s="1050"/>
      <c r="S436" s="1050"/>
      <c r="T436" s="2035">
        <f t="shared" si="72"/>
        <v>0</v>
      </c>
    </row>
    <row r="437" spans="1:20" ht="22.2" hidden="1" customHeight="1">
      <c r="A437" s="63"/>
      <c r="B437" s="1575" t="s">
        <v>639</v>
      </c>
      <c r="C437" s="64" t="str">
        <f t="shared" si="73"/>
        <v xml:space="preserve"> </v>
      </c>
      <c r="D437" s="1536">
        <v>1.36</v>
      </c>
      <c r="E437" s="1048" t="str">
        <f>VLOOKUP($B437,DG!A:D,DG!$B$2,)</f>
        <v>03.1013</v>
      </c>
      <c r="F437" s="1049" t="str">
        <f>VLOOKUP($B437,DG!A:D,DG!$C$2,)</f>
        <v>Đào hố móng đất cấp 3 sâu &gt;1m</v>
      </c>
      <c r="G437" s="1048" t="str">
        <f>VLOOKUP($B437,DG!A:D,DG!$D$2,)</f>
        <v>m3</v>
      </c>
      <c r="H437" s="1824">
        <f t="shared" si="79"/>
        <v>0</v>
      </c>
      <c r="I437" s="1824"/>
      <c r="J437" s="1824"/>
      <c r="K437" s="1824"/>
      <c r="L437" s="1824"/>
      <c r="M437" s="1824"/>
      <c r="N437" s="1824"/>
      <c r="O437" s="1824"/>
      <c r="P437" s="1824"/>
      <c r="Q437" s="1055"/>
      <c r="R437" s="1055"/>
      <c r="S437" s="1055"/>
      <c r="T437" s="2035">
        <f t="shared" si="72"/>
        <v>0</v>
      </c>
    </row>
    <row r="438" spans="1:20" ht="22.2" hidden="1" customHeight="1">
      <c r="A438" s="63"/>
      <c r="B438" s="1575" t="s">
        <v>21</v>
      </c>
      <c r="C438" s="64" t="str">
        <f t="shared" si="73"/>
        <v xml:space="preserve"> </v>
      </c>
      <c r="D438" s="1536">
        <v>0</v>
      </c>
      <c r="E438" s="1048" t="str">
        <f>VLOOKUP($B438,DG!A:D,DG!$B$2,)</f>
        <v>03.4113</v>
      </c>
      <c r="F438" s="1049" t="str">
        <f>VLOOKUP($B438,DG!A:D,DG!$C$2,)</f>
        <v>Đắp đất hố móng, độ chặt k=0,95</v>
      </c>
      <c r="G438" s="1048" t="str">
        <f>VLOOKUP($B438,DG!A:D,DG!$D$2,)</f>
        <v>m3</v>
      </c>
      <c r="H438" s="1824">
        <f t="shared" si="79"/>
        <v>0</v>
      </c>
      <c r="I438" s="1824"/>
      <c r="J438" s="1824"/>
      <c r="K438" s="1824"/>
      <c r="L438" s="1824"/>
      <c r="M438" s="1824"/>
      <c r="N438" s="1824"/>
      <c r="O438" s="1824"/>
      <c r="P438" s="1824"/>
      <c r="Q438" s="1055"/>
      <c r="R438" s="1055"/>
      <c r="S438" s="1055"/>
      <c r="T438" s="2035">
        <f t="shared" si="72"/>
        <v>0</v>
      </c>
    </row>
    <row r="439" spans="1:20" ht="22.2" hidden="1" customHeight="1">
      <c r="A439" s="63"/>
      <c r="B439" s="1575" t="s">
        <v>1296</v>
      </c>
      <c r="C439" s="64" t="str">
        <f t="shared" si="73"/>
        <v xml:space="preserve"> </v>
      </c>
      <c r="D439" s="1536"/>
      <c r="E439" s="1048" t="str">
        <f>VLOOKUP($B439,DG!A:D,DG!$B$2,)</f>
        <v>02.1101</v>
      </c>
      <c r="F439" s="1049" t="str">
        <f>VLOOKUP($B439,DG!A:D,DG!$C$2,)</f>
        <v>Bốc dỡ xi măng</v>
      </c>
      <c r="G439" s="1048" t="str">
        <f>VLOOKUP($B439,DG!A:D,DG!$D$2,)</f>
        <v>tấn</v>
      </c>
      <c r="H439" s="1824">
        <f t="shared" si="79"/>
        <v>0</v>
      </c>
      <c r="I439" s="1824"/>
      <c r="J439" s="1824"/>
      <c r="K439" s="1824"/>
      <c r="L439" s="1824"/>
      <c r="M439" s="1824"/>
      <c r="N439" s="1824"/>
      <c r="O439" s="1824"/>
      <c r="P439" s="1824"/>
      <c r="Q439" s="1055"/>
      <c r="R439" s="1055"/>
      <c r="S439" s="1055"/>
      <c r="T439" s="2035">
        <f t="shared" si="72"/>
        <v>0</v>
      </c>
    </row>
    <row r="440" spans="1:20" ht="22.2" hidden="1" customHeight="1">
      <c r="A440" s="63"/>
      <c r="B440" s="1575" t="s">
        <v>133</v>
      </c>
      <c r="C440" s="64" t="str">
        <f t="shared" si="73"/>
        <v xml:space="preserve"> </v>
      </c>
      <c r="D440" s="1536"/>
      <c r="E440" s="1048" t="str">
        <f>VLOOKUP($B440,DG!A:D,DG!$B$2,)</f>
        <v>02.1103</v>
      </c>
      <c r="F440" s="1049" t="str">
        <f>VLOOKUP($B440,DG!A:D,DG!$C$2,)</f>
        <v>Bốc dỡ cát</v>
      </c>
      <c r="G440" s="1048" t="str">
        <f>VLOOKUP($B440,DG!A:D,DG!$D$2,)</f>
        <v>m3</v>
      </c>
      <c r="H440" s="1824">
        <f t="shared" si="79"/>
        <v>0</v>
      </c>
      <c r="I440" s="1824"/>
      <c r="J440" s="1824"/>
      <c r="K440" s="1824"/>
      <c r="L440" s="1824"/>
      <c r="M440" s="1824"/>
      <c r="N440" s="1824"/>
      <c r="O440" s="1824"/>
      <c r="P440" s="1824"/>
      <c r="Q440" s="1055"/>
      <c r="R440" s="1055"/>
      <c r="S440" s="1055"/>
      <c r="T440" s="2035">
        <f t="shared" si="72"/>
        <v>0</v>
      </c>
    </row>
    <row r="441" spans="1:20" ht="22.2" hidden="1" customHeight="1">
      <c r="A441" s="63"/>
      <c r="B441" s="1575" t="s">
        <v>135</v>
      </c>
      <c r="C441" s="64" t="str">
        <f t="shared" si="73"/>
        <v xml:space="preserve"> </v>
      </c>
      <c r="D441" s="1536"/>
      <c r="E441" s="1048" t="str">
        <f>VLOOKUP($B441,DG!A:D,DG!$B$2,)</f>
        <v>02.1104</v>
      </c>
      <c r="F441" s="1049" t="str">
        <f>VLOOKUP($B441,DG!A:D,DG!$C$2,)</f>
        <v>Bốc dỡ đá dăm</v>
      </c>
      <c r="G441" s="1048" t="str">
        <f>VLOOKUP($B441,DG!A:D,DG!$D$2,)</f>
        <v>m3</v>
      </c>
      <c r="H441" s="1824">
        <f t="shared" si="79"/>
        <v>0</v>
      </c>
      <c r="I441" s="1824"/>
      <c r="J441" s="1824"/>
      <c r="K441" s="1824"/>
      <c r="L441" s="1824"/>
      <c r="M441" s="1824"/>
      <c r="N441" s="1824"/>
      <c r="O441" s="1824"/>
      <c r="P441" s="1824"/>
      <c r="Q441" s="1055"/>
      <c r="R441" s="1055"/>
      <c r="S441" s="1055"/>
      <c r="T441" s="2035">
        <f t="shared" si="72"/>
        <v>0</v>
      </c>
    </row>
    <row r="442" spans="1:20" ht="22.2" hidden="1" customHeight="1">
      <c r="A442" s="63"/>
      <c r="B442" s="1575" t="s">
        <v>495</v>
      </c>
      <c r="C442" s="64" t="str">
        <f t="shared" si="73"/>
        <v xml:space="preserve"> </v>
      </c>
      <c r="D442" s="1536"/>
      <c r="E442" s="1048" t="str">
        <f>VLOOKUP($B442,DG!A:D,DG!$B$2,)</f>
        <v>02.1211</v>
      </c>
      <c r="F442" s="1049" t="str">
        <f>VLOOKUP($B442,DG!A:D,DG!$C$2,)</f>
        <v>V/c xi măng ( cự ly &lt;=100m)</v>
      </c>
      <c r="G442" s="1048" t="str">
        <f>VLOOKUP($B442,DG!A:D,DG!$D$2,)</f>
        <v>tấn</v>
      </c>
      <c r="H442" s="1824">
        <f t="shared" si="79"/>
        <v>0</v>
      </c>
      <c r="I442" s="1824"/>
      <c r="J442" s="1824"/>
      <c r="K442" s="1824"/>
      <c r="L442" s="1824"/>
      <c r="M442" s="1824"/>
      <c r="N442" s="1824"/>
      <c r="O442" s="1824"/>
      <c r="P442" s="1824"/>
      <c r="Q442" s="1055"/>
      <c r="R442" s="1055"/>
      <c r="S442" s="1055"/>
      <c r="T442" s="2035">
        <f t="shared" si="72"/>
        <v>0</v>
      </c>
    </row>
    <row r="443" spans="1:20" ht="22.2" hidden="1" customHeight="1">
      <c r="A443" s="63"/>
      <c r="B443" s="1575" t="s">
        <v>1614</v>
      </c>
      <c r="C443" s="64" t="str">
        <f t="shared" si="73"/>
        <v xml:space="preserve"> </v>
      </c>
      <c r="D443" s="1536"/>
      <c r="E443" s="1048" t="str">
        <f>VLOOKUP($B443,DG!A:D,DG!$B$2,)</f>
        <v>02.1231</v>
      </c>
      <c r="F443" s="1049" t="str">
        <f>VLOOKUP($B443,DG!A:D,DG!$C$2,)</f>
        <v>V/c cát vàng cự ly &lt;=100m</v>
      </c>
      <c r="G443" s="1048" t="str">
        <f>VLOOKUP($B443,DG!A:D,DG!$D$2,)</f>
        <v>m3</v>
      </c>
      <c r="H443" s="1824">
        <f t="shared" si="79"/>
        <v>0</v>
      </c>
      <c r="I443" s="1824"/>
      <c r="J443" s="1824"/>
      <c r="K443" s="1824"/>
      <c r="L443" s="1824"/>
      <c r="M443" s="1824"/>
      <c r="N443" s="1824"/>
      <c r="O443" s="1824"/>
      <c r="P443" s="1824"/>
      <c r="Q443" s="1055"/>
      <c r="R443" s="1055"/>
      <c r="S443" s="1055"/>
      <c r="T443" s="2035">
        <f t="shared" si="72"/>
        <v>0</v>
      </c>
    </row>
    <row r="444" spans="1:20" ht="22.2" hidden="1" customHeight="1">
      <c r="A444" s="63"/>
      <c r="B444" s="1575" t="s">
        <v>521</v>
      </c>
      <c r="C444" s="64" t="str">
        <f t="shared" si="73"/>
        <v xml:space="preserve"> </v>
      </c>
      <c r="D444" s="1536"/>
      <c r="E444" s="1048" t="str">
        <f>VLOOKUP($B444,DG!A:D,DG!$B$2,)</f>
        <v>02.1241</v>
      </c>
      <c r="F444" s="1049" t="str">
        <f>VLOOKUP($B444,DG!A:D,DG!$C$2,)</f>
        <v>V/c đá dăm ( cự ly &lt;=100m)</v>
      </c>
      <c r="G444" s="1048" t="str">
        <f>VLOOKUP($B444,DG!A:D,DG!$D$2,)</f>
        <v>m3</v>
      </c>
      <c r="H444" s="1824">
        <f t="shared" si="79"/>
        <v>0</v>
      </c>
      <c r="I444" s="1824"/>
      <c r="J444" s="1824"/>
      <c r="K444" s="1824"/>
      <c r="L444" s="1824"/>
      <c r="M444" s="1824"/>
      <c r="N444" s="1824"/>
      <c r="O444" s="1824"/>
      <c r="P444" s="1824"/>
      <c r="Q444" s="1055"/>
      <c r="R444" s="1055"/>
      <c r="S444" s="1055"/>
      <c r="T444" s="2035">
        <f t="shared" si="72"/>
        <v>0</v>
      </c>
    </row>
    <row r="445" spans="1:20" ht="22.2" hidden="1" customHeight="1">
      <c r="A445" s="63"/>
      <c r="B445" s="1575" t="s">
        <v>1985</v>
      </c>
      <c r="C445" s="64" t="str">
        <f t="shared" si="73"/>
        <v xml:space="preserve"> </v>
      </c>
      <c r="D445" s="1536"/>
      <c r="E445" s="1048" t="str">
        <f>VLOOKUP($B445,DG!A:D,DG!$B$2,)</f>
        <v>02.1482</v>
      </c>
      <c r="F445" s="1049" t="str">
        <f>VLOOKUP($B445,DG!A:D,DG!$C$2,)</f>
        <v>V/c dụng cụ thi công ( cự ly &lt;=100m)</v>
      </c>
      <c r="G445" s="1048" t="str">
        <f>VLOOKUP($B445,DG!A:D,DG!$D$2,)</f>
        <v>tấn</v>
      </c>
      <c r="H445" s="1824">
        <f t="shared" si="79"/>
        <v>0</v>
      </c>
      <c r="I445" s="1824"/>
      <c r="J445" s="1824"/>
      <c r="K445" s="1824"/>
      <c r="L445" s="1824"/>
      <c r="M445" s="1824"/>
      <c r="N445" s="1824"/>
      <c r="O445" s="1824"/>
      <c r="P445" s="1824"/>
      <c r="Q445" s="1055"/>
      <c r="R445" s="1055"/>
      <c r="S445" s="1055"/>
      <c r="T445" s="2035">
        <f t="shared" si="72"/>
        <v>0</v>
      </c>
    </row>
    <row r="446" spans="1:20" ht="22.2" hidden="1" customHeight="1">
      <c r="A446" s="63"/>
      <c r="B446" s="1575" t="s">
        <v>997</v>
      </c>
      <c r="C446" s="64" t="str">
        <f t="shared" si="73"/>
        <v xml:space="preserve"> </v>
      </c>
      <c r="D446" s="1536">
        <f>D435</f>
        <v>31.1</v>
      </c>
      <c r="E446" s="1048" t="str">
        <f>VLOOKUP($B446,DG!A:D,DG!$B$2,)</f>
        <v>04.5101</v>
      </c>
      <c r="F446" s="1049" t="str">
        <f>VLOOKUP($B446,DG!A:D,DG!$C$2,)</f>
        <v>Gia công và lắp dựng cốt thép D&lt;=10</v>
      </c>
      <c r="G446" s="1048" t="str">
        <f>VLOOKUP($B446,DG!A:D,DG!$D$2,)</f>
        <v>kg</v>
      </c>
      <c r="H446" s="1824">
        <f t="shared" si="79"/>
        <v>0</v>
      </c>
      <c r="I446" s="1824"/>
      <c r="J446" s="1824"/>
      <c r="K446" s="1824"/>
      <c r="L446" s="1824"/>
      <c r="M446" s="1824"/>
      <c r="N446" s="1824"/>
      <c r="O446" s="1824"/>
      <c r="P446" s="1824"/>
      <c r="Q446" s="1055"/>
      <c r="R446" s="1055"/>
      <c r="S446" s="1055"/>
      <c r="T446" s="2035">
        <f t="shared" si="72"/>
        <v>0</v>
      </c>
    </row>
    <row r="447" spans="1:20" ht="22.2" hidden="1" customHeight="1">
      <c r="A447" s="63"/>
      <c r="B447" s="1575" t="s">
        <v>1839</v>
      </c>
      <c r="C447" s="64" t="str">
        <f t="shared" si="73"/>
        <v xml:space="preserve"> </v>
      </c>
      <c r="D447" s="1536">
        <v>1.1339999999999999</v>
      </c>
      <c r="E447" s="1048" t="str">
        <f>VLOOKUP($B447,DG!A:D,DG!$B$2,)</f>
        <v>04.1203b</v>
      </c>
      <c r="F447" s="1049" t="str">
        <f>VLOOKUP($B447,DG!A:D,DG!$C$2,)</f>
        <v>Đổ bê tông mác M150 đá 1x2</v>
      </c>
      <c r="G447" s="1048" t="str">
        <f>VLOOKUP($B447,DG!A:D,DG!$D$2,)</f>
        <v>m3</v>
      </c>
      <c r="H447" s="1824">
        <f t="shared" si="79"/>
        <v>0</v>
      </c>
      <c r="I447" s="1824"/>
      <c r="J447" s="1824"/>
      <c r="K447" s="1824"/>
      <c r="L447" s="1824"/>
      <c r="M447" s="1824"/>
      <c r="N447" s="1824"/>
      <c r="O447" s="1824"/>
      <c r="P447" s="1824"/>
      <c r="Q447" s="1055"/>
      <c r="R447" s="1055"/>
      <c r="S447" s="1055"/>
      <c r="T447" s="2035">
        <f t="shared" si="72"/>
        <v>0</v>
      </c>
    </row>
    <row r="448" spans="1:20" ht="22.2" hidden="1" customHeight="1">
      <c r="A448" s="56" t="s">
        <v>649</v>
      </c>
      <c r="B448" s="1574" t="s">
        <v>649</v>
      </c>
      <c r="C448" s="62" t="str">
        <f t="shared" si="73"/>
        <v xml:space="preserve"> </v>
      </c>
      <c r="D448" s="1532"/>
      <c r="E448" s="1045"/>
      <c r="F448" s="1392" t="s">
        <v>2378</v>
      </c>
      <c r="G448" s="1046" t="s">
        <v>2333</v>
      </c>
      <c r="H448" s="1821">
        <f>SUM(I448:O448)</f>
        <v>0</v>
      </c>
      <c r="I448" s="1822"/>
      <c r="J448" s="1822"/>
      <c r="K448" s="1822">
        <f>IFERROR(HLOOKUP(B448,pp3p1m!$1:$3,3,0),0)</f>
        <v>0</v>
      </c>
      <c r="L448" s="1822">
        <f>IFERROR(HLOOKUP(chitiet!B448,pp1p!$1:$3,3,0),0)</f>
        <v>0</v>
      </c>
      <c r="M448" s="1822"/>
      <c r="N448" s="1822"/>
      <c r="O448" s="1822"/>
      <c r="P448" s="1822"/>
      <c r="Q448" s="1047"/>
      <c r="R448" s="1047"/>
      <c r="S448" s="1047"/>
      <c r="T448" s="2035">
        <f>IFERROR(HLOOKUP(B448,pp1p!$1:$3,3,0),0)+IFERROR(HLOOKUP(B448,pp3p1m!$1:$3,3,0),0)</f>
        <v>0</v>
      </c>
    </row>
    <row r="449" spans="1:20" ht="22.2" hidden="1" customHeight="1">
      <c r="A449" s="63"/>
      <c r="B449" s="1589" t="s">
        <v>636</v>
      </c>
      <c r="C449" s="64" t="str">
        <f t="shared" si="73"/>
        <v xml:space="preserve"> </v>
      </c>
      <c r="D449" s="1538">
        <v>2</v>
      </c>
      <c r="E449" s="1044" t="str">
        <f>VLOOKUP($B449,DG!A:D,DG!$B$2,)</f>
        <v>04.4001</v>
      </c>
      <c r="F449" s="1054" t="str">
        <f>VLOOKUP($B449,DG!A:D,DG!$C$2,)</f>
        <v>Đà cản BTCT 1,2m</v>
      </c>
      <c r="G449" s="1048" t="str">
        <f>VLOOKUP($B449,DG!A:D,DG!$D$2,)</f>
        <v>cái</v>
      </c>
      <c r="H449" s="1824">
        <f t="shared" ref="H449:N450" si="81">H$448*$D449</f>
        <v>0</v>
      </c>
      <c r="I449" s="1824">
        <f t="shared" si="81"/>
        <v>0</v>
      </c>
      <c r="J449" s="1824">
        <f t="shared" si="81"/>
        <v>0</v>
      </c>
      <c r="K449" s="1824">
        <f t="shared" si="81"/>
        <v>0</v>
      </c>
      <c r="L449" s="1824">
        <f t="shared" si="81"/>
        <v>0</v>
      </c>
      <c r="M449" s="1824">
        <f t="shared" si="81"/>
        <v>0</v>
      </c>
      <c r="N449" s="1824">
        <f t="shared" si="81"/>
        <v>0</v>
      </c>
      <c r="O449" s="1824"/>
      <c r="P449" s="1824"/>
      <c r="Q449" s="1052"/>
      <c r="R449" s="1052"/>
      <c r="S449" s="1052"/>
      <c r="T449" s="2035">
        <f t="shared" si="72"/>
        <v>0</v>
      </c>
    </row>
    <row r="450" spans="1:20" ht="22.2" hidden="1" customHeight="1">
      <c r="A450" s="63"/>
      <c r="B450" s="1589" t="s">
        <v>566</v>
      </c>
      <c r="C450" s="64" t="str">
        <f t="shared" si="73"/>
        <v xml:space="preserve"> </v>
      </c>
      <c r="D450" s="1538">
        <v>2</v>
      </c>
      <c r="E450" s="1048"/>
      <c r="F450" s="1054" t="str">
        <f>VLOOKUP($B450,DG!A:D,DG!$C$2,)</f>
        <v>Boulon 22x650+ 2 long đền vuông D24-50x50x3/Zn</v>
      </c>
      <c r="G450" s="1048" t="str">
        <f>VLOOKUP($B450,DG!A:D,DG!$D$2,)</f>
        <v>bộ</v>
      </c>
      <c r="H450" s="1824">
        <f t="shared" si="81"/>
        <v>0</v>
      </c>
      <c r="I450" s="1824">
        <f t="shared" si="81"/>
        <v>0</v>
      </c>
      <c r="J450" s="1824">
        <f t="shared" si="81"/>
        <v>0</v>
      </c>
      <c r="K450" s="1824">
        <f t="shared" si="81"/>
        <v>0</v>
      </c>
      <c r="L450" s="1824">
        <f t="shared" si="81"/>
        <v>0</v>
      </c>
      <c r="M450" s="1824">
        <f t="shared" si="81"/>
        <v>0</v>
      </c>
      <c r="N450" s="1824">
        <f t="shared" si="81"/>
        <v>0</v>
      </c>
      <c r="O450" s="1824"/>
      <c r="P450" s="1824"/>
      <c r="Q450" s="1052"/>
      <c r="R450" s="1052"/>
      <c r="S450" s="1052"/>
      <c r="T450" s="2035">
        <f t="shared" si="72"/>
        <v>0</v>
      </c>
    </row>
    <row r="451" spans="1:20" ht="22.2" hidden="1" customHeight="1">
      <c r="A451" s="63"/>
      <c r="B451" s="1589" t="s">
        <v>639</v>
      </c>
      <c r="C451" s="64" t="str">
        <f t="shared" si="73"/>
        <v xml:space="preserve"> </v>
      </c>
      <c r="D451" s="1537">
        <v>10.33</v>
      </c>
      <c r="E451" s="1048" t="str">
        <f>VLOOKUP($B451,DG!A:D,DG!$B$2,)</f>
        <v>03.1013</v>
      </c>
      <c r="F451" s="1049" t="str">
        <f>VLOOKUP($B451,DG!A:D,DG!$C$2,)</f>
        <v>Đào hố móng đất cấp 3 sâu &gt;1m</v>
      </c>
      <c r="G451" s="1048" t="str">
        <f>VLOOKUP($B451,DG!A:D,DG!$D$2,)</f>
        <v>m3</v>
      </c>
      <c r="H451" s="1824"/>
      <c r="I451" s="1824"/>
      <c r="J451" s="1824"/>
      <c r="K451" s="1824"/>
      <c r="L451" s="1824"/>
      <c r="M451" s="1824"/>
      <c r="N451" s="1824"/>
      <c r="O451" s="1824"/>
      <c r="P451" s="1824"/>
      <c r="Q451" s="1055"/>
      <c r="R451" s="1055"/>
      <c r="S451" s="1055"/>
      <c r="T451" s="2035">
        <f t="shared" si="72"/>
        <v>0</v>
      </c>
    </row>
    <row r="452" spans="1:20" ht="22.2" hidden="1" customHeight="1">
      <c r="A452" s="63"/>
      <c r="B452" s="1589" t="s">
        <v>21</v>
      </c>
      <c r="C452" s="64" t="str">
        <f t="shared" si="73"/>
        <v xml:space="preserve"> </v>
      </c>
      <c r="D452" s="1537">
        <v>11.93</v>
      </c>
      <c r="E452" s="1048" t="str">
        <f>VLOOKUP($B452,DG!A:D,DG!$B$2,)</f>
        <v>03.4113</v>
      </c>
      <c r="F452" s="1049" t="str">
        <f>VLOOKUP($B452,DG!A:D,DG!$C$2,)</f>
        <v>Đắp đất hố móng, độ chặt k=0,95</v>
      </c>
      <c r="G452" s="1048" t="str">
        <f>VLOOKUP($B452,DG!A:D,DG!$D$2,)</f>
        <v>m3</v>
      </c>
      <c r="H452" s="1824"/>
      <c r="I452" s="1824"/>
      <c r="J452" s="1824"/>
      <c r="K452" s="1824"/>
      <c r="L452" s="1824"/>
      <c r="M452" s="1824"/>
      <c r="N452" s="1824"/>
      <c r="O452" s="1824"/>
      <c r="P452" s="1824"/>
      <c r="Q452" s="1055"/>
      <c r="R452" s="1055"/>
      <c r="S452" s="1055"/>
      <c r="T452" s="2035">
        <f t="shared" si="72"/>
        <v>0</v>
      </c>
    </row>
    <row r="453" spans="1:20" ht="22.2" hidden="1" customHeight="1">
      <c r="A453" s="63"/>
      <c r="B453" s="1589" t="s">
        <v>637</v>
      </c>
      <c r="C453" s="64" t="str">
        <f t="shared" si="73"/>
        <v xml:space="preserve"> </v>
      </c>
      <c r="D453" s="1537">
        <f>0.1*D449</f>
        <v>0.2</v>
      </c>
      <c r="E453" s="1048" t="str">
        <f>VLOOKUP($B453,DG!A:D,DG!$B$2,)</f>
        <v>02.1123</v>
      </c>
      <c r="F453" s="1049" t="str">
        <f>VLOOKUP($B453,DG!A:D,DG!$C$2,)</f>
        <v>Bốc dỡ đà cản, đế néo</v>
      </c>
      <c r="G453" s="1048" t="str">
        <f>VLOOKUP($B453,DG!A:D,DG!$D$2,)</f>
        <v>tấn</v>
      </c>
      <c r="H453" s="1824"/>
      <c r="I453" s="1824"/>
      <c r="J453" s="1824"/>
      <c r="K453" s="1824"/>
      <c r="L453" s="1824"/>
      <c r="M453" s="1824"/>
      <c r="N453" s="1824"/>
      <c r="O453" s="1824"/>
      <c r="P453" s="1824"/>
      <c r="Q453" s="1052"/>
      <c r="R453" s="1052"/>
      <c r="S453" s="1052"/>
      <c r="T453" s="2035">
        <f t="shared" si="72"/>
        <v>0</v>
      </c>
    </row>
    <row r="454" spans="1:20" ht="22.2" hidden="1" customHeight="1">
      <c r="A454" s="63"/>
      <c r="B454" s="1575" t="s">
        <v>2069</v>
      </c>
      <c r="C454" s="64" t="str">
        <f t="shared" si="73"/>
        <v xml:space="preserve"> </v>
      </c>
      <c r="D454" s="1537">
        <f>+D453</f>
        <v>0.2</v>
      </c>
      <c r="E454" s="1048" t="str">
        <f>VLOOKUP($B454,DG!A:C,2,)</f>
        <v>02.1451</v>
      </c>
      <c r="F454" s="1049" t="str">
        <f>VLOOKUP($B454,DG!A:C,3,)</f>
        <v>V/c đà cản vào vị trí (cự ly &lt;=100m)</v>
      </c>
      <c r="G454" s="1048" t="str">
        <f>VLOOKUP($B454,DG!A:D,4,0)</f>
        <v>tấn</v>
      </c>
      <c r="H454" s="1824"/>
      <c r="I454" s="1824"/>
      <c r="J454" s="1824"/>
      <c r="K454" s="1824"/>
      <c r="L454" s="1824"/>
      <c r="M454" s="1824"/>
      <c r="N454" s="1824"/>
      <c r="O454" s="1824"/>
      <c r="P454" s="1824"/>
      <c r="Q454" s="1055"/>
      <c r="R454" s="1055"/>
      <c r="S454" s="1055"/>
      <c r="T454" s="2035">
        <f t="shared" si="72"/>
        <v>0</v>
      </c>
    </row>
    <row r="455" spans="1:20" ht="22.2" hidden="1" customHeight="1">
      <c r="A455" s="63"/>
      <c r="B455" s="1575" t="s">
        <v>635</v>
      </c>
      <c r="C455" s="64" t="str">
        <f t="shared" si="73"/>
        <v xml:space="preserve"> </v>
      </c>
      <c r="D455" s="1537">
        <v>0.2</v>
      </c>
      <c r="E455" s="1048" t="str">
        <f>VLOOKUP($B455,DG!A:C,2,)</f>
        <v>02.1482</v>
      </c>
      <c r="F455" s="1049" t="str">
        <f>VLOOKUP($B455,DG!A:C,3,)</f>
        <v>V/c dụng cụ thi công vào vị trí (cự ly &lt;=100m)</v>
      </c>
      <c r="G455" s="1048" t="str">
        <f>VLOOKUP($B455,DG!A:D,4,0)</f>
        <v>tấn</v>
      </c>
      <c r="H455" s="1824"/>
      <c r="I455" s="1824"/>
      <c r="J455" s="1824"/>
      <c r="K455" s="1824"/>
      <c r="L455" s="1824"/>
      <c r="M455" s="1824"/>
      <c r="N455" s="1824"/>
      <c r="O455" s="1824"/>
      <c r="P455" s="1824"/>
      <c r="Q455" s="1055"/>
      <c r="R455" s="1055"/>
      <c r="S455" s="1055"/>
      <c r="T455" s="2035">
        <f t="shared" si="72"/>
        <v>0</v>
      </c>
    </row>
    <row r="456" spans="1:20" ht="22.2" hidden="1" customHeight="1">
      <c r="A456" s="56" t="s">
        <v>483</v>
      </c>
      <c r="B456" s="1574" t="s">
        <v>483</v>
      </c>
      <c r="C456" s="62" t="str">
        <f t="shared" si="73"/>
        <v xml:space="preserve"> </v>
      </c>
      <c r="D456" s="1532"/>
      <c r="E456" s="1045"/>
      <c r="F456" s="1392" t="s">
        <v>2379</v>
      </c>
      <c r="G456" s="1046" t="s">
        <v>2333</v>
      </c>
      <c r="H456" s="1821">
        <f>SUM(I456:O456)</f>
        <v>0</v>
      </c>
      <c r="I456" s="1822"/>
      <c r="J456" s="1822"/>
      <c r="K456" s="1822">
        <f>IFERROR(HLOOKUP(B456,pp3p1m!$1:$3,3,0),0)</f>
        <v>0</v>
      </c>
      <c r="L456" s="1822">
        <f>IFERROR(HLOOKUP(chitiet!B456,pp1p!$1:$3,3,0),0)</f>
        <v>0</v>
      </c>
      <c r="M456" s="1822"/>
      <c r="N456" s="1822"/>
      <c r="O456" s="1822"/>
      <c r="P456" s="1822"/>
      <c r="Q456" s="1047"/>
      <c r="R456" s="1047"/>
      <c r="S456" s="1047"/>
      <c r="T456" s="2035">
        <f>IFERROR(HLOOKUP(B456,pp1p!$1:$3,3,0),0)+IFERROR(HLOOKUP(B456,pp3p1m!$1:$3,3,0),0)</f>
        <v>0</v>
      </c>
    </row>
    <row r="457" spans="1:20" ht="22.2" hidden="1" customHeight="1">
      <c r="A457" s="63"/>
      <c r="B457" s="1589" t="s">
        <v>1578</v>
      </c>
      <c r="C457" s="64" t="str">
        <f t="shared" si="73"/>
        <v xml:space="preserve"> </v>
      </c>
      <c r="D457" s="1538">
        <v>1</v>
      </c>
      <c r="E457" s="1044" t="str">
        <f>VLOOKUP($B457,DG!A:D,DG!$B$2,)</f>
        <v>04.3801</v>
      </c>
      <c r="F457" s="1054" t="str">
        <f>VLOOKUP($B457,DG!A:D,DG!$C$2,)</f>
        <v>Đà cản BTCT 1,5m</v>
      </c>
      <c r="G457" s="1048" t="str">
        <f>VLOOKUP($B457,DG!A:D,DG!$D$2,)</f>
        <v>cái</v>
      </c>
      <c r="H457" s="1824">
        <f t="shared" ref="H457:N459" si="82">H$456*$D457</f>
        <v>0</v>
      </c>
      <c r="I457" s="1824">
        <f t="shared" si="82"/>
        <v>0</v>
      </c>
      <c r="J457" s="1824">
        <f t="shared" si="82"/>
        <v>0</v>
      </c>
      <c r="K457" s="1824">
        <f t="shared" si="82"/>
        <v>0</v>
      </c>
      <c r="L457" s="1824">
        <f t="shared" si="82"/>
        <v>0</v>
      </c>
      <c r="M457" s="1824">
        <f t="shared" si="82"/>
        <v>0</v>
      </c>
      <c r="N457" s="1824">
        <f t="shared" si="82"/>
        <v>0</v>
      </c>
      <c r="O457" s="1824"/>
      <c r="P457" s="1824"/>
      <c r="Q457" s="1052"/>
      <c r="R457" s="1052"/>
      <c r="S457" s="1052"/>
      <c r="T457" s="2035">
        <f t="shared" si="72"/>
        <v>0</v>
      </c>
    </row>
    <row r="458" spans="1:20" ht="22.2" hidden="1" customHeight="1">
      <c r="A458" s="63"/>
      <c r="B458" s="1589" t="s">
        <v>636</v>
      </c>
      <c r="C458" s="64" t="str">
        <f t="shared" si="73"/>
        <v xml:space="preserve"> </v>
      </c>
      <c r="D458" s="1538">
        <v>1</v>
      </c>
      <c r="E458" s="1044" t="str">
        <f>VLOOKUP($B458,DG!A:D,DG!$B$2,)</f>
        <v>04.4001</v>
      </c>
      <c r="F458" s="1054" t="str">
        <f>VLOOKUP($B458,DG!A:D,DG!$C$2,)</f>
        <v>Đà cản BTCT 1,2m</v>
      </c>
      <c r="G458" s="1048" t="str">
        <f>VLOOKUP($B458,DG!A:D,DG!$D$2,)</f>
        <v>cái</v>
      </c>
      <c r="H458" s="1824">
        <f t="shared" si="82"/>
        <v>0</v>
      </c>
      <c r="I458" s="1824">
        <f t="shared" si="82"/>
        <v>0</v>
      </c>
      <c r="J458" s="1824">
        <f t="shared" si="82"/>
        <v>0</v>
      </c>
      <c r="K458" s="1824">
        <f t="shared" si="82"/>
        <v>0</v>
      </c>
      <c r="L458" s="1824">
        <f t="shared" si="82"/>
        <v>0</v>
      </c>
      <c r="M458" s="1824">
        <f t="shared" si="82"/>
        <v>0</v>
      </c>
      <c r="N458" s="1824">
        <f t="shared" si="82"/>
        <v>0</v>
      </c>
      <c r="O458" s="1824"/>
      <c r="P458" s="1824"/>
      <c r="Q458" s="1052"/>
      <c r="R458" s="1052"/>
      <c r="S458" s="1052"/>
      <c r="T458" s="2035">
        <f t="shared" si="72"/>
        <v>0</v>
      </c>
    </row>
    <row r="459" spans="1:20" ht="22.2" hidden="1" customHeight="1">
      <c r="A459" s="63"/>
      <c r="B459" s="1589" t="s">
        <v>566</v>
      </c>
      <c r="C459" s="64" t="str">
        <f t="shared" si="73"/>
        <v xml:space="preserve"> </v>
      </c>
      <c r="D459" s="1538">
        <v>2</v>
      </c>
      <c r="E459" s="1048"/>
      <c r="F459" s="1054" t="str">
        <f>VLOOKUP($B459,DG!A:D,DG!$C$2,)</f>
        <v>Boulon 22x650+ 2 long đền vuông D24-50x50x3/Zn</v>
      </c>
      <c r="G459" s="1048" t="str">
        <f>VLOOKUP($B459,DG!A:D,DG!$D$2,)</f>
        <v>bộ</v>
      </c>
      <c r="H459" s="1824">
        <f t="shared" si="82"/>
        <v>0</v>
      </c>
      <c r="I459" s="1824">
        <f t="shared" si="82"/>
        <v>0</v>
      </c>
      <c r="J459" s="1824">
        <f t="shared" si="82"/>
        <v>0</v>
      </c>
      <c r="K459" s="1824">
        <f t="shared" si="82"/>
        <v>0</v>
      </c>
      <c r="L459" s="1824">
        <f t="shared" si="82"/>
        <v>0</v>
      </c>
      <c r="M459" s="1824">
        <f t="shared" si="82"/>
        <v>0</v>
      </c>
      <c r="N459" s="1824">
        <f t="shared" si="82"/>
        <v>0</v>
      </c>
      <c r="O459" s="1824"/>
      <c r="P459" s="1824"/>
      <c r="Q459" s="1052"/>
      <c r="R459" s="1052"/>
      <c r="S459" s="1052"/>
      <c r="T459" s="2035">
        <f t="shared" si="72"/>
        <v>0</v>
      </c>
    </row>
    <row r="460" spans="1:20" ht="22.2" hidden="1" customHeight="1">
      <c r="A460" s="63"/>
      <c r="B460" s="1589" t="s">
        <v>639</v>
      </c>
      <c r="C460" s="64" t="str">
        <f t="shared" si="73"/>
        <v xml:space="preserve"> </v>
      </c>
      <c r="D460" s="1537">
        <v>10.63</v>
      </c>
      <c r="E460" s="1048" t="str">
        <f>VLOOKUP($B460,DG!A:D,DG!$B$2,)</f>
        <v>03.1013</v>
      </c>
      <c r="F460" s="1049" t="str">
        <f>VLOOKUP($B460,DG!A:D,DG!$C$2,)</f>
        <v>Đào hố móng đất cấp 3 sâu &gt;1m</v>
      </c>
      <c r="G460" s="1048" t="str">
        <f>VLOOKUP($B460,DG!A:D,DG!$D$2,)</f>
        <v>m3</v>
      </c>
      <c r="H460" s="1824"/>
      <c r="I460" s="1824"/>
      <c r="J460" s="1824"/>
      <c r="K460" s="1824"/>
      <c r="L460" s="1824"/>
      <c r="M460" s="1824"/>
      <c r="N460" s="1824"/>
      <c r="O460" s="1824"/>
      <c r="P460" s="1824"/>
      <c r="Q460" s="1055"/>
      <c r="R460" s="1055"/>
      <c r="S460" s="1055"/>
      <c r="T460" s="2035">
        <f t="shared" si="72"/>
        <v>0</v>
      </c>
    </row>
    <row r="461" spans="1:20" ht="22.2" hidden="1" customHeight="1">
      <c r="A461" s="63"/>
      <c r="B461" s="1589" t="s">
        <v>21</v>
      </c>
      <c r="C461" s="64" t="str">
        <f t="shared" si="73"/>
        <v xml:space="preserve"> </v>
      </c>
      <c r="D461" s="1537">
        <v>12.23</v>
      </c>
      <c r="E461" s="1048" t="str">
        <f>VLOOKUP($B461,DG!A:D,DG!$B$2,)</f>
        <v>03.4113</v>
      </c>
      <c r="F461" s="1049" t="str">
        <f>VLOOKUP($B461,DG!A:D,DG!$C$2,)</f>
        <v>Đắp đất hố móng, độ chặt k=0,95</v>
      </c>
      <c r="G461" s="1048" t="str">
        <f>VLOOKUP($B461,DG!A:D,DG!$D$2,)</f>
        <v>m3</v>
      </c>
      <c r="H461" s="1824"/>
      <c r="I461" s="1824"/>
      <c r="J461" s="1824"/>
      <c r="K461" s="1824"/>
      <c r="L461" s="1824"/>
      <c r="M461" s="1824"/>
      <c r="N461" s="1824"/>
      <c r="O461" s="1824"/>
      <c r="P461" s="1824"/>
      <c r="Q461" s="1055"/>
      <c r="R461" s="1055"/>
      <c r="S461" s="1055"/>
      <c r="T461" s="2035">
        <f t="shared" si="72"/>
        <v>0</v>
      </c>
    </row>
    <row r="462" spans="1:20" ht="22.2" hidden="1" customHeight="1">
      <c r="A462" s="63"/>
      <c r="B462" s="1589" t="s">
        <v>637</v>
      </c>
      <c r="C462" s="64" t="str">
        <f t="shared" si="73"/>
        <v xml:space="preserve"> </v>
      </c>
      <c r="D462" s="1537">
        <f>0.255+0.1</f>
        <v>0.35499999999999998</v>
      </c>
      <c r="E462" s="1048" t="str">
        <f>VLOOKUP($B462,DG!A:D,DG!$B$2,)</f>
        <v>02.1123</v>
      </c>
      <c r="F462" s="1049" t="str">
        <f>VLOOKUP($B462,DG!A:D,DG!$C$2,)</f>
        <v>Bốc dỡ đà cản, đế néo</v>
      </c>
      <c r="G462" s="1048" t="str">
        <f>VLOOKUP($B462,DG!A:D,DG!$D$2,)</f>
        <v>tấn</v>
      </c>
      <c r="H462" s="1824"/>
      <c r="I462" s="1824"/>
      <c r="J462" s="1824"/>
      <c r="K462" s="1824"/>
      <c r="L462" s="1824"/>
      <c r="M462" s="1824"/>
      <c r="N462" s="1824"/>
      <c r="O462" s="1824"/>
      <c r="P462" s="1824"/>
      <c r="Q462" s="1052"/>
      <c r="R462" s="1052"/>
      <c r="S462" s="1052"/>
      <c r="T462" s="2035">
        <f t="shared" si="72"/>
        <v>0</v>
      </c>
    </row>
    <row r="463" spans="1:20" ht="22.2" hidden="1" customHeight="1">
      <c r="A463" s="63"/>
      <c r="B463" s="1575" t="s">
        <v>2069</v>
      </c>
      <c r="C463" s="64" t="str">
        <f t="shared" si="73"/>
        <v xml:space="preserve"> </v>
      </c>
      <c r="D463" s="1537">
        <f>D462</f>
        <v>0.35499999999999998</v>
      </c>
      <c r="E463" s="1048" t="str">
        <f>VLOOKUP($B463,DG!A:C,2,)</f>
        <v>02.1451</v>
      </c>
      <c r="F463" s="1049" t="str">
        <f>VLOOKUP($B463,DG!A:C,3,)</f>
        <v>V/c đà cản vào vị trí (cự ly &lt;=100m)</v>
      </c>
      <c r="G463" s="1048" t="str">
        <f>VLOOKUP($B463,DG!A:D,4,0)</f>
        <v>tấn</v>
      </c>
      <c r="H463" s="1824"/>
      <c r="I463" s="1824"/>
      <c r="J463" s="1824"/>
      <c r="K463" s="1824"/>
      <c r="L463" s="1824"/>
      <c r="M463" s="1824"/>
      <c r="N463" s="1824"/>
      <c r="O463" s="1824"/>
      <c r="P463" s="1824"/>
      <c r="Q463" s="1055"/>
      <c r="R463" s="1055"/>
      <c r="S463" s="1055"/>
      <c r="T463" s="2035">
        <f t="shared" si="72"/>
        <v>0</v>
      </c>
    </row>
    <row r="464" spans="1:20" ht="22.2" hidden="1" customHeight="1">
      <c r="A464" s="63"/>
      <c r="B464" s="1575" t="s">
        <v>635</v>
      </c>
      <c r="C464" s="64" t="str">
        <f t="shared" si="73"/>
        <v xml:space="preserve"> </v>
      </c>
      <c r="D464" s="1537">
        <v>0.2</v>
      </c>
      <c r="E464" s="1048" t="str">
        <f>VLOOKUP($B464,DG!A:C,2,)</f>
        <v>02.1482</v>
      </c>
      <c r="F464" s="1049" t="str">
        <f>VLOOKUP($B464,DG!A:C,3,)</f>
        <v>V/c dụng cụ thi công vào vị trí (cự ly &lt;=100m)</v>
      </c>
      <c r="G464" s="1048" t="str">
        <f>VLOOKUP($B464,DG!A:D,4,0)</f>
        <v>tấn</v>
      </c>
      <c r="H464" s="1824"/>
      <c r="I464" s="1824"/>
      <c r="J464" s="1824"/>
      <c r="K464" s="1824"/>
      <c r="L464" s="1824"/>
      <c r="M464" s="1824"/>
      <c r="N464" s="1824"/>
      <c r="O464" s="1824"/>
      <c r="P464" s="1824"/>
      <c r="Q464" s="1055"/>
      <c r="R464" s="1055"/>
      <c r="S464" s="1055"/>
      <c r="T464" s="2035">
        <f t="shared" si="72"/>
        <v>0</v>
      </c>
    </row>
    <row r="465" spans="1:20" ht="22.2" hidden="1" customHeight="1">
      <c r="A465" s="56" t="s">
        <v>484</v>
      </c>
      <c r="B465" s="1574" t="s">
        <v>484</v>
      </c>
      <c r="C465" s="62" t="str">
        <f t="shared" si="73"/>
        <v xml:space="preserve"> </v>
      </c>
      <c r="D465" s="1532"/>
      <c r="E465" s="1045"/>
      <c r="F465" s="1392" t="s">
        <v>2380</v>
      </c>
      <c r="G465" s="1046" t="s">
        <v>2333</v>
      </c>
      <c r="H465" s="1821">
        <f>SUM(I465:O465)</f>
        <v>0</v>
      </c>
      <c r="I465" s="1822"/>
      <c r="J465" s="1822"/>
      <c r="K465" s="1822">
        <f>IFERROR(HLOOKUP(B465,pp3p1m!$1:$3,3,0),0)</f>
        <v>0</v>
      </c>
      <c r="L465" s="1822">
        <f>IFERROR(HLOOKUP(chitiet!B465,pp1p!$1:$3,3,0),0)</f>
        <v>0</v>
      </c>
      <c r="M465" s="1822"/>
      <c r="N465" s="1822"/>
      <c r="O465" s="1822"/>
      <c r="P465" s="1822"/>
      <c r="Q465" s="1047"/>
      <c r="R465" s="1047"/>
      <c r="S465" s="1047"/>
      <c r="T465" s="2035">
        <f>IFERROR(HLOOKUP(B465,pp1p!$1:$3,3,0),0)+IFERROR(HLOOKUP(B465,pp3p1m!$1:$3,3,0),0)</f>
        <v>0</v>
      </c>
    </row>
    <row r="466" spans="1:20" ht="22.2" hidden="1" customHeight="1">
      <c r="A466" s="63"/>
      <c r="B466" s="1589" t="s">
        <v>1578</v>
      </c>
      <c r="C466" s="64" t="str">
        <f t="shared" ref="C466:C529" si="83">IF(OR(P466&lt;&gt;0,H466&lt;&gt;0),"x"," ")</f>
        <v xml:space="preserve"> </v>
      </c>
      <c r="D466" s="1538">
        <v>2</v>
      </c>
      <c r="E466" s="1044" t="str">
        <f>VLOOKUP($B466,DG!A:D,DG!$B$2,)</f>
        <v>04.3801</v>
      </c>
      <c r="F466" s="1054" t="str">
        <f>VLOOKUP($B466,DG!A:D,DG!$C$2,)</f>
        <v>Đà cản BTCT 1,5m</v>
      </c>
      <c r="G466" s="1048" t="str">
        <f>VLOOKUP($B466,DG!A:D,DG!$D$2,)</f>
        <v>cái</v>
      </c>
      <c r="H466" s="1824">
        <f t="shared" ref="H466:N467" si="84">H$465*$D466</f>
        <v>0</v>
      </c>
      <c r="I466" s="1824">
        <f t="shared" si="84"/>
        <v>0</v>
      </c>
      <c r="J466" s="1824">
        <f t="shared" si="84"/>
        <v>0</v>
      </c>
      <c r="K466" s="1824">
        <f t="shared" si="84"/>
        <v>0</v>
      </c>
      <c r="L466" s="1824">
        <f t="shared" si="84"/>
        <v>0</v>
      </c>
      <c r="M466" s="1824">
        <f t="shared" si="84"/>
        <v>0</v>
      </c>
      <c r="N466" s="1824">
        <f t="shared" si="84"/>
        <v>0</v>
      </c>
      <c r="O466" s="1824"/>
      <c r="P466" s="1824"/>
      <c r="Q466" s="1052"/>
      <c r="R466" s="1052"/>
      <c r="S466" s="1052"/>
      <c r="T466" s="2035">
        <f t="shared" ref="T466:T528" si="85">IFERROR(HLOOKUP(B466,BangKeTru,3,0),0)</f>
        <v>0</v>
      </c>
    </row>
    <row r="467" spans="1:20" ht="22.2" hidden="1" customHeight="1">
      <c r="A467" s="63"/>
      <c r="B467" s="1589" t="s">
        <v>566</v>
      </c>
      <c r="C467" s="64" t="str">
        <f t="shared" si="83"/>
        <v xml:space="preserve"> </v>
      </c>
      <c r="D467" s="1538">
        <v>2</v>
      </c>
      <c r="E467" s="1048"/>
      <c r="F467" s="1054" t="str">
        <f>VLOOKUP($B467,DG!A:D,DG!$C$2,)</f>
        <v>Boulon 22x650+ 2 long đền vuông D24-50x50x3/Zn</v>
      </c>
      <c r="G467" s="1048" t="str">
        <f>VLOOKUP($B467,DG!A:D,DG!$D$2,)</f>
        <v>bộ</v>
      </c>
      <c r="H467" s="1824">
        <f t="shared" si="84"/>
        <v>0</v>
      </c>
      <c r="I467" s="1824">
        <f t="shared" si="84"/>
        <v>0</v>
      </c>
      <c r="J467" s="1824">
        <f t="shared" si="84"/>
        <v>0</v>
      </c>
      <c r="K467" s="1824">
        <f t="shared" si="84"/>
        <v>0</v>
      </c>
      <c r="L467" s="1824">
        <f t="shared" si="84"/>
        <v>0</v>
      </c>
      <c r="M467" s="1824">
        <f t="shared" si="84"/>
        <v>0</v>
      </c>
      <c r="N467" s="1824">
        <f t="shared" si="84"/>
        <v>0</v>
      </c>
      <c r="O467" s="1824"/>
      <c r="P467" s="1824"/>
      <c r="Q467" s="1052"/>
      <c r="R467" s="1052"/>
      <c r="S467" s="1052"/>
      <c r="T467" s="2035">
        <f t="shared" si="85"/>
        <v>0</v>
      </c>
    </row>
    <row r="468" spans="1:20" ht="22.2" hidden="1" customHeight="1">
      <c r="A468" s="63"/>
      <c r="B468" s="1589" t="s">
        <v>639</v>
      </c>
      <c r="C468" s="64" t="str">
        <f t="shared" si="83"/>
        <v xml:space="preserve"> </v>
      </c>
      <c r="D468" s="1537">
        <v>13.55</v>
      </c>
      <c r="E468" s="1048" t="str">
        <f>VLOOKUP($B468,DG!A:D,DG!$B$2,)</f>
        <v>03.1013</v>
      </c>
      <c r="F468" s="1049" t="str">
        <f>VLOOKUP($B468,DG!A:D,DG!$C$2,)</f>
        <v>Đào hố móng đất cấp 3 sâu &gt;1m</v>
      </c>
      <c r="G468" s="1048" t="str">
        <f>VLOOKUP($B468,DG!A:D,DG!$D$2,)</f>
        <v>m3</v>
      </c>
      <c r="H468" s="1824"/>
      <c r="I468" s="1824"/>
      <c r="J468" s="1824"/>
      <c r="K468" s="1824"/>
      <c r="L468" s="1824"/>
      <c r="M468" s="1824"/>
      <c r="N468" s="1824"/>
      <c r="O468" s="1824"/>
      <c r="P468" s="1824"/>
      <c r="Q468" s="1055"/>
      <c r="R468" s="1055"/>
      <c r="S468" s="1055"/>
      <c r="T468" s="2035">
        <f t="shared" si="85"/>
        <v>0</v>
      </c>
    </row>
    <row r="469" spans="1:20" ht="22.2" hidden="1" customHeight="1">
      <c r="A469" s="63"/>
      <c r="B469" s="1589" t="s">
        <v>21</v>
      </c>
      <c r="C469" s="64" t="str">
        <f t="shared" si="83"/>
        <v xml:space="preserve"> </v>
      </c>
      <c r="D469" s="1537">
        <v>15.44</v>
      </c>
      <c r="E469" s="1048" t="str">
        <f>VLOOKUP($B469,DG!A:D,DG!$B$2,)</f>
        <v>03.4113</v>
      </c>
      <c r="F469" s="1049" t="str">
        <f>VLOOKUP($B469,DG!A:D,DG!$C$2,)</f>
        <v>Đắp đất hố móng, độ chặt k=0,95</v>
      </c>
      <c r="G469" s="1048" t="str">
        <f>VLOOKUP($B469,DG!A:D,DG!$D$2,)</f>
        <v>m3</v>
      </c>
      <c r="H469" s="1824"/>
      <c r="I469" s="1824"/>
      <c r="J469" s="1824"/>
      <c r="K469" s="1824"/>
      <c r="L469" s="1824"/>
      <c r="M469" s="1824"/>
      <c r="N469" s="1824"/>
      <c r="O469" s="1824"/>
      <c r="P469" s="1824"/>
      <c r="Q469" s="1055"/>
      <c r="R469" s="1055"/>
      <c r="S469" s="1055"/>
      <c r="T469" s="2035">
        <f t="shared" si="85"/>
        <v>0</v>
      </c>
    </row>
    <row r="470" spans="1:20" ht="22.2" hidden="1" customHeight="1">
      <c r="A470" s="63"/>
      <c r="B470" s="1589" t="s">
        <v>637</v>
      </c>
      <c r="C470" s="64" t="str">
        <f t="shared" si="83"/>
        <v xml:space="preserve"> </v>
      </c>
      <c r="D470" s="1537">
        <f>0.255*2</f>
        <v>0.51</v>
      </c>
      <c r="E470" s="1048" t="str">
        <f>VLOOKUP($B470,DG!A:D,DG!$B$2,)</f>
        <v>02.1123</v>
      </c>
      <c r="F470" s="1049" t="str">
        <f>VLOOKUP($B470,DG!A:D,DG!$C$2,)</f>
        <v>Bốc dỡ đà cản, đế néo</v>
      </c>
      <c r="G470" s="1048" t="str">
        <f>VLOOKUP($B470,DG!A:D,DG!$D$2,)</f>
        <v>tấn</v>
      </c>
      <c r="H470" s="1824"/>
      <c r="I470" s="1824"/>
      <c r="J470" s="1824"/>
      <c r="K470" s="1824"/>
      <c r="L470" s="1824"/>
      <c r="M470" s="1824"/>
      <c r="N470" s="1824"/>
      <c r="O470" s="1824"/>
      <c r="P470" s="1824"/>
      <c r="Q470" s="1052"/>
      <c r="R470" s="1052"/>
      <c r="S470" s="1052"/>
      <c r="T470" s="2035">
        <f t="shared" si="85"/>
        <v>0</v>
      </c>
    </row>
    <row r="471" spans="1:20" ht="22.2" hidden="1" customHeight="1">
      <c r="A471" s="63"/>
      <c r="B471" s="1575" t="s">
        <v>2069</v>
      </c>
      <c r="C471" s="64" t="str">
        <f t="shared" si="83"/>
        <v xml:space="preserve"> </v>
      </c>
      <c r="D471" s="1537">
        <f>D470</f>
        <v>0.51</v>
      </c>
      <c r="E471" s="1048" t="str">
        <f>VLOOKUP($B471,DG!A:C,2,)</f>
        <v>02.1451</v>
      </c>
      <c r="F471" s="1049" t="str">
        <f>VLOOKUP($B471,DG!A:C,3,)</f>
        <v>V/c đà cản vào vị trí (cự ly &lt;=100m)</v>
      </c>
      <c r="G471" s="1048" t="str">
        <f>VLOOKUP($B471,DG!A:D,4,0)</f>
        <v>tấn</v>
      </c>
      <c r="H471" s="1824"/>
      <c r="I471" s="1824"/>
      <c r="J471" s="1824"/>
      <c r="K471" s="1824"/>
      <c r="L471" s="1824"/>
      <c r="M471" s="1824"/>
      <c r="N471" s="1824"/>
      <c r="O471" s="1824"/>
      <c r="P471" s="1824"/>
      <c r="Q471" s="1055"/>
      <c r="R471" s="1055"/>
      <c r="S471" s="1055"/>
      <c r="T471" s="2035">
        <f t="shared" si="85"/>
        <v>0</v>
      </c>
    </row>
    <row r="472" spans="1:20" ht="22.2" hidden="1" customHeight="1">
      <c r="A472" s="63"/>
      <c r="B472" s="1575" t="s">
        <v>635</v>
      </c>
      <c r="C472" s="64" t="str">
        <f t="shared" si="83"/>
        <v xml:space="preserve"> </v>
      </c>
      <c r="D472" s="1537">
        <v>0.2</v>
      </c>
      <c r="E472" s="1048" t="str">
        <f>VLOOKUP($B472,DG!A:C,2,)</f>
        <v>02.1482</v>
      </c>
      <c r="F472" s="1049" t="str">
        <f>VLOOKUP($B472,DG!A:C,3,)</f>
        <v>V/c dụng cụ thi công vào vị trí (cự ly &lt;=100m)</v>
      </c>
      <c r="G472" s="1048" t="str">
        <f>VLOOKUP($B472,DG!A:D,4,0)</f>
        <v>tấn</v>
      </c>
      <c r="H472" s="1824"/>
      <c r="I472" s="1824"/>
      <c r="J472" s="1824"/>
      <c r="K472" s="1824"/>
      <c r="L472" s="1824"/>
      <c r="M472" s="1824"/>
      <c r="N472" s="1824"/>
      <c r="O472" s="1824"/>
      <c r="P472" s="1824"/>
      <c r="Q472" s="1055"/>
      <c r="R472" s="1055"/>
      <c r="S472" s="1055"/>
      <c r="T472" s="2035">
        <f t="shared" si="85"/>
        <v>0</v>
      </c>
    </row>
    <row r="473" spans="1:20" ht="22.2" hidden="1" customHeight="1">
      <c r="A473" s="56" t="s">
        <v>285</v>
      </c>
      <c r="B473" s="1574" t="s">
        <v>285</v>
      </c>
      <c r="C473" s="62" t="str">
        <f t="shared" si="83"/>
        <v xml:space="preserve"> </v>
      </c>
      <c r="D473" s="1532"/>
      <c r="E473" s="1045"/>
      <c r="F473" s="1392" t="s">
        <v>2381</v>
      </c>
      <c r="G473" s="1046" t="s">
        <v>2333</v>
      </c>
      <c r="H473" s="1821">
        <f>SUM(I473:O473)</f>
        <v>0</v>
      </c>
      <c r="I473" s="1822"/>
      <c r="J473" s="1822"/>
      <c r="K473" s="1822">
        <f>IFERROR(HLOOKUP(B473,pp3p1m!$1:$3,3,0),0)</f>
        <v>0</v>
      </c>
      <c r="L473" s="1822">
        <f>IFERROR(HLOOKUP(chitiet!B473,pp1p!$1:$3,3,0),0)</f>
        <v>0</v>
      </c>
      <c r="M473" s="1822"/>
      <c r="N473" s="1822"/>
      <c r="O473" s="1822"/>
      <c r="P473" s="1822"/>
      <c r="Q473" s="1047"/>
      <c r="R473" s="1047"/>
      <c r="S473" s="1047"/>
      <c r="T473" s="2035">
        <f>IFERROR(HLOOKUP(B473,pp1p!$1:$3,3,0),0)+IFERROR(HLOOKUP(B473,pp3p1m!$1:$3,3,0),0)</f>
        <v>0</v>
      </c>
    </row>
    <row r="474" spans="1:20" ht="22.2" hidden="1" customHeight="1">
      <c r="A474" s="59"/>
      <c r="B474" s="1577" t="s">
        <v>224</v>
      </c>
      <c r="C474" s="64" t="str">
        <f t="shared" si="83"/>
        <v xml:space="preserve"> </v>
      </c>
      <c r="D474" s="1535">
        <v>28</v>
      </c>
      <c r="E474" s="1044" t="str">
        <f>VLOOKUP($B474,DG!A:D,DG!$B$2,)</f>
        <v>04.5142</v>
      </c>
      <c r="F474" s="1056" t="str">
        <f>VLOOKUP($B474,DG!A:D,DG!$C$2,)</f>
        <v>Cừ tràm 5m</v>
      </c>
      <c r="G474" s="1044" t="str">
        <f>VLOOKUP($B474,DG!A:D,DG!$D$2,)</f>
        <v>cây</v>
      </c>
      <c r="H474" s="1823">
        <f t="shared" ref="H474:N477" si="86">H$473*$D474</f>
        <v>0</v>
      </c>
      <c r="I474" s="1823">
        <f t="shared" si="86"/>
        <v>0</v>
      </c>
      <c r="J474" s="1823">
        <f t="shared" si="86"/>
        <v>0</v>
      </c>
      <c r="K474" s="1823">
        <f t="shared" si="86"/>
        <v>0</v>
      </c>
      <c r="L474" s="1823">
        <f t="shared" si="86"/>
        <v>0</v>
      </c>
      <c r="M474" s="1823">
        <f t="shared" si="86"/>
        <v>0</v>
      </c>
      <c r="N474" s="1823">
        <f t="shared" si="86"/>
        <v>0</v>
      </c>
      <c r="O474" s="1823"/>
      <c r="P474" s="1823"/>
      <c r="Q474" s="1053"/>
      <c r="R474" s="1053"/>
      <c r="S474" s="1053"/>
      <c r="T474" s="2035">
        <f t="shared" si="85"/>
        <v>0</v>
      </c>
    </row>
    <row r="475" spans="1:20" ht="22.2" hidden="1" customHeight="1">
      <c r="A475" s="59"/>
      <c r="B475" s="1577" t="s">
        <v>1578</v>
      </c>
      <c r="C475" s="64" t="str">
        <f t="shared" si="83"/>
        <v xml:space="preserve"> </v>
      </c>
      <c r="D475" s="1535">
        <v>2</v>
      </c>
      <c r="E475" s="1044" t="str">
        <f>VLOOKUP($B475,DG!A:D,DG!$B$2,)</f>
        <v>04.3801</v>
      </c>
      <c r="F475" s="1056" t="str">
        <f>VLOOKUP($B475,DG!A:D,DG!$C$2,)</f>
        <v>Đà cản BTCT 1,5m</v>
      </c>
      <c r="G475" s="1044" t="str">
        <f>VLOOKUP($B475,DG!A:D,DG!$D$2,)</f>
        <v>cái</v>
      </c>
      <c r="H475" s="1823">
        <f t="shared" si="86"/>
        <v>0</v>
      </c>
      <c r="I475" s="1823">
        <f t="shared" si="86"/>
        <v>0</v>
      </c>
      <c r="J475" s="1823">
        <f t="shared" si="86"/>
        <v>0</v>
      </c>
      <c r="K475" s="1823">
        <f t="shared" si="86"/>
        <v>0</v>
      </c>
      <c r="L475" s="1823">
        <f t="shared" si="86"/>
        <v>0</v>
      </c>
      <c r="M475" s="1823">
        <f t="shared" si="86"/>
        <v>0</v>
      </c>
      <c r="N475" s="1823">
        <f t="shared" si="86"/>
        <v>0</v>
      </c>
      <c r="O475" s="1823"/>
      <c r="P475" s="1823"/>
      <c r="Q475" s="1053"/>
      <c r="R475" s="1053"/>
      <c r="S475" s="1053"/>
      <c r="T475" s="2035">
        <f t="shared" si="85"/>
        <v>0</v>
      </c>
    </row>
    <row r="476" spans="1:20" ht="22.2" hidden="1" customHeight="1">
      <c r="A476" s="59"/>
      <c r="B476" s="1577" t="s">
        <v>722</v>
      </c>
      <c r="C476" s="64" t="str">
        <f t="shared" si="83"/>
        <v xml:space="preserve"> </v>
      </c>
      <c r="D476" s="1535">
        <v>1</v>
      </c>
      <c r="E476" s="1044"/>
      <c r="F476" s="1056" t="str">
        <f>VLOOKUP($B476,DG!A:D,DG!$C$2,)</f>
        <v>Boulon 22x850+ 2 long đền vuông D24-50x50x3/Zn</v>
      </c>
      <c r="G476" s="1044" t="str">
        <f>VLOOKUP($B476,DG!A:D,DG!$D$2,)</f>
        <v>bộ</v>
      </c>
      <c r="H476" s="1823">
        <f t="shared" si="86"/>
        <v>0</v>
      </c>
      <c r="I476" s="1823">
        <f t="shared" si="86"/>
        <v>0</v>
      </c>
      <c r="J476" s="1823">
        <f t="shared" si="86"/>
        <v>0</v>
      </c>
      <c r="K476" s="1823">
        <f t="shared" si="86"/>
        <v>0</v>
      </c>
      <c r="L476" s="1823">
        <f t="shared" si="86"/>
        <v>0</v>
      </c>
      <c r="M476" s="1823">
        <f t="shared" si="86"/>
        <v>0</v>
      </c>
      <c r="N476" s="1823">
        <f t="shared" si="86"/>
        <v>0</v>
      </c>
      <c r="O476" s="1823"/>
      <c r="P476" s="1823"/>
      <c r="Q476" s="1053"/>
      <c r="R476" s="1053"/>
      <c r="S476" s="1053"/>
      <c r="T476" s="2035">
        <f t="shared" si="85"/>
        <v>0</v>
      </c>
    </row>
    <row r="477" spans="1:20" ht="22.2" hidden="1" customHeight="1">
      <c r="A477" s="59"/>
      <c r="B477" s="1577" t="s">
        <v>566</v>
      </c>
      <c r="C477" s="64" t="str">
        <f t="shared" si="83"/>
        <v xml:space="preserve"> </v>
      </c>
      <c r="D477" s="1535">
        <v>2</v>
      </c>
      <c r="E477" s="1044"/>
      <c r="F477" s="1056" t="str">
        <f>VLOOKUP($B477,DG!A:D,DG!$C$2,)</f>
        <v>Boulon 22x650+ 2 long đền vuông D24-50x50x3/Zn</v>
      </c>
      <c r="G477" s="1044" t="str">
        <f>VLOOKUP($B477,DG!A:D,DG!$D$2,)</f>
        <v>bộ</v>
      </c>
      <c r="H477" s="1823">
        <f t="shared" si="86"/>
        <v>0</v>
      </c>
      <c r="I477" s="1823">
        <f t="shared" si="86"/>
        <v>0</v>
      </c>
      <c r="J477" s="1823">
        <f t="shared" si="86"/>
        <v>0</v>
      </c>
      <c r="K477" s="1823">
        <f t="shared" si="86"/>
        <v>0</v>
      </c>
      <c r="L477" s="1823">
        <f t="shared" si="86"/>
        <v>0</v>
      </c>
      <c r="M477" s="1823">
        <f t="shared" si="86"/>
        <v>0</v>
      </c>
      <c r="N477" s="1823">
        <f t="shared" si="86"/>
        <v>0</v>
      </c>
      <c r="O477" s="1823"/>
      <c r="P477" s="1823"/>
      <c r="Q477" s="1053"/>
      <c r="R477" s="1053"/>
      <c r="S477" s="1053"/>
      <c r="T477" s="2035">
        <f t="shared" si="85"/>
        <v>0</v>
      </c>
    </row>
    <row r="478" spans="1:20" ht="22.2" hidden="1" customHeight="1">
      <c r="A478" s="59"/>
      <c r="B478" s="1577" t="s">
        <v>639</v>
      </c>
      <c r="C478" s="64" t="str">
        <f t="shared" si="83"/>
        <v xml:space="preserve"> </v>
      </c>
      <c r="D478" s="1537">
        <v>4.03</v>
      </c>
      <c r="E478" s="1044" t="str">
        <f>VLOOKUP($B478,DG!A:D,DG!$B$2,)</f>
        <v>03.1013</v>
      </c>
      <c r="F478" s="1049" t="str">
        <f>VLOOKUP($B478,DG!A:D,DG!$C$2,)</f>
        <v>Đào hố móng đất cấp 3 sâu &gt;1m</v>
      </c>
      <c r="G478" s="1044" t="str">
        <f>VLOOKUP($B478,DG!A:D,DG!$D$2,)</f>
        <v>m3</v>
      </c>
      <c r="H478" s="1823"/>
      <c r="I478" s="1823"/>
      <c r="J478" s="1823"/>
      <c r="K478" s="1823"/>
      <c r="L478" s="1823"/>
      <c r="M478" s="1823"/>
      <c r="N478" s="1823"/>
      <c r="O478" s="1823"/>
      <c r="P478" s="1823"/>
      <c r="Q478" s="1058"/>
      <c r="R478" s="1058"/>
      <c r="S478" s="1058"/>
      <c r="T478" s="2035">
        <f t="shared" si="85"/>
        <v>0</v>
      </c>
    </row>
    <row r="479" spans="1:20" ht="22.2" hidden="1" customHeight="1">
      <c r="A479" s="59"/>
      <c r="B479" s="1577" t="s">
        <v>21</v>
      </c>
      <c r="C479" s="64" t="str">
        <f t="shared" si="83"/>
        <v xml:space="preserve"> </v>
      </c>
      <c r="D479" s="1537">
        <v>4.3140000000000001</v>
      </c>
      <c r="E479" s="1044" t="str">
        <f>VLOOKUP($B479,DG!A:D,DG!$B$2,)</f>
        <v>03.4113</v>
      </c>
      <c r="F479" s="1049" t="str">
        <f>VLOOKUP($B479,DG!A:D,DG!$C$2,)</f>
        <v>Đắp đất hố móng, độ chặt k=0,95</v>
      </c>
      <c r="G479" s="1044" t="str">
        <f>VLOOKUP($B479,DG!A:D,DG!$D$2,)</f>
        <v>m3</v>
      </c>
      <c r="H479" s="1823"/>
      <c r="I479" s="1823"/>
      <c r="J479" s="1823"/>
      <c r="K479" s="1823"/>
      <c r="L479" s="1823"/>
      <c r="M479" s="1823"/>
      <c r="N479" s="1823"/>
      <c r="O479" s="1823"/>
      <c r="P479" s="1823"/>
      <c r="Q479" s="1058"/>
      <c r="R479" s="1058"/>
      <c r="S479" s="1058"/>
      <c r="T479" s="2035">
        <f t="shared" si="85"/>
        <v>0</v>
      </c>
    </row>
    <row r="480" spans="1:20" ht="22.2" hidden="1" customHeight="1">
      <c r="A480" s="59"/>
      <c r="B480" s="1577" t="s">
        <v>637</v>
      </c>
      <c r="C480" s="64" t="str">
        <f t="shared" si="83"/>
        <v xml:space="preserve"> </v>
      </c>
      <c r="D480" s="1534">
        <f>0.255*2</f>
        <v>0.51</v>
      </c>
      <c r="E480" s="1044" t="str">
        <f>VLOOKUP($B480,DG!A:D,DG!$B$2,)</f>
        <v>02.1123</v>
      </c>
      <c r="F480" s="1049" t="str">
        <f>VLOOKUP($B480,DG!A:D,DG!$C$2,)</f>
        <v>Bốc dỡ đà cản, đế néo</v>
      </c>
      <c r="G480" s="1044" t="str">
        <f>VLOOKUP($B480,DG!A:D,DG!$D$2,)</f>
        <v>tấn</v>
      </c>
      <c r="H480" s="1823"/>
      <c r="I480" s="1823"/>
      <c r="J480" s="1823"/>
      <c r="K480" s="1823"/>
      <c r="L480" s="1823"/>
      <c r="M480" s="1823"/>
      <c r="N480" s="1823"/>
      <c r="O480" s="1823"/>
      <c r="P480" s="1823"/>
      <c r="Q480" s="1058"/>
      <c r="R480" s="1058"/>
      <c r="S480" s="1058"/>
      <c r="T480" s="2035">
        <f t="shared" si="85"/>
        <v>0</v>
      </c>
    </row>
    <row r="481" spans="1:20" ht="22.2" hidden="1" customHeight="1">
      <c r="A481" s="59"/>
      <c r="B481" s="1577" t="s">
        <v>1580</v>
      </c>
      <c r="C481" s="64" t="str">
        <f t="shared" si="83"/>
        <v xml:space="preserve"> </v>
      </c>
      <c r="D481" s="1535">
        <f>D474</f>
        <v>28</v>
      </c>
      <c r="E481" s="1044" t="str">
        <f>VLOOKUP($B481,DG!A:D,DG!$B$2,)</f>
        <v>02.1119</v>
      </c>
      <c r="F481" s="1049" t="str">
        <f>VLOOKUP($B481,DG!A:D,DG!$C$2,)</f>
        <v>Bốc dỡ cừ tràm 5m</v>
      </c>
      <c r="G481" s="1044" t="str">
        <f>VLOOKUP($B481,DG!A:D,DG!$D$2,)</f>
        <v>cây</v>
      </c>
      <c r="H481" s="1823"/>
      <c r="I481" s="1823"/>
      <c r="J481" s="1823"/>
      <c r="K481" s="1823"/>
      <c r="L481" s="1823"/>
      <c r="M481" s="1823"/>
      <c r="N481" s="1823"/>
      <c r="O481" s="1823"/>
      <c r="P481" s="1823"/>
      <c r="Q481" s="1058"/>
      <c r="R481" s="1058"/>
      <c r="S481" s="1058"/>
      <c r="T481" s="2035">
        <f t="shared" si="85"/>
        <v>0</v>
      </c>
    </row>
    <row r="482" spans="1:20" ht="22.2" hidden="1" customHeight="1">
      <c r="A482" s="59"/>
      <c r="B482" s="1590" t="s">
        <v>634</v>
      </c>
      <c r="C482" s="64" t="str">
        <f t="shared" si="83"/>
        <v xml:space="preserve"> </v>
      </c>
      <c r="D482" s="1535">
        <f>D474</f>
        <v>28</v>
      </c>
      <c r="E482" s="1044" t="str">
        <f>VLOOKUP($B482,DG!A:C,2,)</f>
        <v>02.1411</v>
      </c>
      <c r="F482" s="1049" t="str">
        <f>VLOOKUP($B482,DG!A:C,3,)</f>
        <v>V/c cừ tràm 5m ( cự ly &lt;=100m)</v>
      </c>
      <c r="G482" s="1044" t="str">
        <f>VLOOKUP($B482,DG!A:D,4,0)</f>
        <v>cây</v>
      </c>
      <c r="H482" s="1823"/>
      <c r="I482" s="1823"/>
      <c r="J482" s="1823"/>
      <c r="K482" s="1823"/>
      <c r="L482" s="1823"/>
      <c r="M482" s="1823"/>
      <c r="N482" s="1823"/>
      <c r="O482" s="1823"/>
      <c r="P482" s="1823"/>
      <c r="Q482" s="1058"/>
      <c r="R482" s="1058"/>
      <c r="S482" s="1058"/>
      <c r="T482" s="2035">
        <f t="shared" si="85"/>
        <v>0</v>
      </c>
    </row>
    <row r="483" spans="1:20" ht="22.2" hidden="1" customHeight="1">
      <c r="A483" s="59"/>
      <c r="B483" s="1588" t="s">
        <v>2069</v>
      </c>
      <c r="C483" s="64" t="str">
        <f t="shared" si="83"/>
        <v xml:space="preserve"> </v>
      </c>
      <c r="D483" s="1534">
        <f>D480</f>
        <v>0.51</v>
      </c>
      <c r="E483" s="1044" t="str">
        <f>VLOOKUP($B483,DG!A:C,2,)</f>
        <v>02.1451</v>
      </c>
      <c r="F483" s="1049" t="str">
        <f>VLOOKUP($B483,DG!A:C,3,)</f>
        <v>V/c đà cản vào vị trí (cự ly &lt;=100m)</v>
      </c>
      <c r="G483" s="1044" t="str">
        <f>VLOOKUP($B483,DG!A:D,4,0)</f>
        <v>tấn</v>
      </c>
      <c r="H483" s="1823"/>
      <c r="I483" s="1823"/>
      <c r="J483" s="1823"/>
      <c r="K483" s="1823"/>
      <c r="L483" s="1823"/>
      <c r="M483" s="1823"/>
      <c r="N483" s="1823"/>
      <c r="O483" s="1823"/>
      <c r="P483" s="1823"/>
      <c r="Q483" s="1058"/>
      <c r="R483" s="1058"/>
      <c r="S483" s="1058"/>
      <c r="T483" s="2035">
        <f t="shared" si="85"/>
        <v>0</v>
      </c>
    </row>
    <row r="484" spans="1:20" ht="22.2" hidden="1" customHeight="1">
      <c r="A484" s="59"/>
      <c r="B484" s="1588" t="s">
        <v>635</v>
      </c>
      <c r="C484" s="64" t="str">
        <f t="shared" si="83"/>
        <v xml:space="preserve"> </v>
      </c>
      <c r="D484" s="1534">
        <v>0.2</v>
      </c>
      <c r="E484" s="1044" t="str">
        <f>VLOOKUP($B484,DG!A:C,2,)</f>
        <v>02.1482</v>
      </c>
      <c r="F484" s="1049" t="str">
        <f>VLOOKUP($B484,DG!A:C,3,)</f>
        <v>V/c dụng cụ thi công vào vị trí (cự ly &lt;=100m)</v>
      </c>
      <c r="G484" s="1044" t="str">
        <f>VLOOKUP($B484,DG!A:D,4,0)</f>
        <v>tấn</v>
      </c>
      <c r="H484" s="1823"/>
      <c r="I484" s="1823"/>
      <c r="J484" s="1823"/>
      <c r="K484" s="1823"/>
      <c r="L484" s="1823"/>
      <c r="M484" s="1823"/>
      <c r="N484" s="1823"/>
      <c r="O484" s="1823"/>
      <c r="P484" s="1823"/>
      <c r="Q484" s="1058"/>
      <c r="R484" s="1058"/>
      <c r="S484" s="1058"/>
      <c r="T484" s="2035">
        <f t="shared" si="85"/>
        <v>0</v>
      </c>
    </row>
    <row r="485" spans="1:20" ht="22.2" hidden="1" customHeight="1">
      <c r="A485" s="56" t="s">
        <v>650</v>
      </c>
      <c r="B485" s="1574" t="s">
        <v>650</v>
      </c>
      <c r="C485" s="62" t="str">
        <f t="shared" si="83"/>
        <v xml:space="preserve"> </v>
      </c>
      <c r="D485" s="1532"/>
      <c r="E485" s="1045"/>
      <c r="F485" s="1392" t="s">
        <v>2382</v>
      </c>
      <c r="G485" s="1046" t="s">
        <v>2333</v>
      </c>
      <c r="H485" s="1821">
        <f>SUM(I485:O485)</f>
        <v>0</v>
      </c>
      <c r="I485" s="1822"/>
      <c r="J485" s="1822"/>
      <c r="K485" s="1822">
        <f>IFERROR(HLOOKUP(B485,pp3p1m!$1:$3,3,0),0)</f>
        <v>0</v>
      </c>
      <c r="L485" s="1822">
        <f>IFERROR(HLOOKUP(chitiet!B485,pp1p!$1:$3,3,0),0)</f>
        <v>0</v>
      </c>
      <c r="M485" s="1822"/>
      <c r="N485" s="1822"/>
      <c r="O485" s="1822"/>
      <c r="P485" s="1822"/>
      <c r="Q485" s="1047"/>
      <c r="R485" s="1047"/>
      <c r="S485" s="1047"/>
      <c r="T485" s="2035">
        <f>IFERROR(HLOOKUP(B485,pp1p!$1:$3,3,0),0)+IFERROR(HLOOKUP(B485,pp3p1m!$1:$3,3,0),0)</f>
        <v>0</v>
      </c>
    </row>
    <row r="486" spans="1:20" ht="22.2" hidden="1" customHeight="1">
      <c r="A486" s="63"/>
      <c r="B486" s="1589" t="s">
        <v>636</v>
      </c>
      <c r="C486" s="64" t="str">
        <f t="shared" si="83"/>
        <v xml:space="preserve"> </v>
      </c>
      <c r="D486" s="1538">
        <v>2</v>
      </c>
      <c r="E486" s="1044" t="str">
        <f>VLOOKUP($B486,DG!A:D,DG!$B$2,)</f>
        <v>04.4001</v>
      </c>
      <c r="F486" s="1054" t="str">
        <f>VLOOKUP($B486,DG!A:D,DG!$C$2,)</f>
        <v>Đà cản BTCT 1,2m</v>
      </c>
      <c r="G486" s="1048" t="str">
        <f>VLOOKUP($B486,DG!A:D,DG!$D$2,)</f>
        <v>cái</v>
      </c>
      <c r="H486" s="1824">
        <f t="shared" ref="H486:N487" si="87">H$485*$D486</f>
        <v>0</v>
      </c>
      <c r="I486" s="1824">
        <f t="shared" si="87"/>
        <v>0</v>
      </c>
      <c r="J486" s="1824">
        <f t="shared" si="87"/>
        <v>0</v>
      </c>
      <c r="K486" s="1824">
        <f t="shared" si="87"/>
        <v>0</v>
      </c>
      <c r="L486" s="1824">
        <f t="shared" si="87"/>
        <v>0</v>
      </c>
      <c r="M486" s="1824">
        <f t="shared" si="87"/>
        <v>0</v>
      </c>
      <c r="N486" s="1824">
        <f t="shared" si="87"/>
        <v>0</v>
      </c>
      <c r="O486" s="1824"/>
      <c r="P486" s="1824"/>
      <c r="Q486" s="1052"/>
      <c r="R486" s="1052"/>
      <c r="S486" s="1052"/>
      <c r="T486" s="2035">
        <f t="shared" si="85"/>
        <v>0</v>
      </c>
    </row>
    <row r="487" spans="1:20" ht="22.2" hidden="1" customHeight="1">
      <c r="A487" s="63"/>
      <c r="B487" s="1589" t="s">
        <v>1832</v>
      </c>
      <c r="C487" s="64" t="str">
        <f t="shared" si="83"/>
        <v xml:space="preserve"> </v>
      </c>
      <c r="D487" s="1538">
        <v>1</v>
      </c>
      <c r="E487" s="1048"/>
      <c r="F487" s="1054" t="str">
        <f>VLOOKUP($B487,DG!A:D,DG!$C$2,)</f>
        <v>Boulon 22x700+ 2 long đền vuông D24-50x50x3/Zn</v>
      </c>
      <c r="G487" s="1048" t="str">
        <f>VLOOKUP($B487,DG!A:D,DG!$D$2,)</f>
        <v>bộ</v>
      </c>
      <c r="H487" s="1824">
        <f t="shared" si="87"/>
        <v>0</v>
      </c>
      <c r="I487" s="1824">
        <f t="shared" si="87"/>
        <v>0</v>
      </c>
      <c r="J487" s="1824">
        <f t="shared" si="87"/>
        <v>0</v>
      </c>
      <c r="K487" s="1824">
        <f t="shared" si="87"/>
        <v>0</v>
      </c>
      <c r="L487" s="1824">
        <f t="shared" si="87"/>
        <v>0</v>
      </c>
      <c r="M487" s="1824">
        <f t="shared" si="87"/>
        <v>0</v>
      </c>
      <c r="N487" s="1824">
        <f t="shared" si="87"/>
        <v>0</v>
      </c>
      <c r="O487" s="1824"/>
      <c r="P487" s="1824"/>
      <c r="Q487" s="1052"/>
      <c r="R487" s="1052"/>
      <c r="S487" s="1052"/>
      <c r="T487" s="2035">
        <f t="shared" si="85"/>
        <v>0</v>
      </c>
    </row>
    <row r="488" spans="1:20" ht="22.2" hidden="1" customHeight="1">
      <c r="A488" s="59"/>
      <c r="B488" s="1577" t="s">
        <v>1816</v>
      </c>
      <c r="C488" s="64" t="str">
        <f t="shared" si="83"/>
        <v xml:space="preserve"> </v>
      </c>
      <c r="D488" s="1533">
        <v>0.42099999999999999</v>
      </c>
      <c r="E488" s="1044">
        <f>VLOOKUP($B488,DG!A:D,DG!$B$2,)</f>
        <v>0</v>
      </c>
      <c r="F488" s="1049" t="str">
        <f>VLOOKUP($B488,DG!A:D,DG!$C$2,)</f>
        <v>Đá 2x4</v>
      </c>
      <c r="G488" s="1044" t="str">
        <f>VLOOKUP($B488,DG!A:D,DG!$D$2,)</f>
        <v>m3</v>
      </c>
      <c r="H488" s="1823">
        <f t="shared" ref="H488:N488" si="88">H$18*$D488</f>
        <v>0</v>
      </c>
      <c r="I488" s="1823">
        <f t="shared" si="88"/>
        <v>0</v>
      </c>
      <c r="J488" s="1823">
        <f t="shared" si="88"/>
        <v>0</v>
      </c>
      <c r="K488" s="1823">
        <f t="shared" si="88"/>
        <v>0</v>
      </c>
      <c r="L488" s="1823">
        <f t="shared" si="88"/>
        <v>0</v>
      </c>
      <c r="M488" s="1823">
        <f t="shared" si="88"/>
        <v>0</v>
      </c>
      <c r="N488" s="1823">
        <f t="shared" si="88"/>
        <v>0</v>
      </c>
      <c r="O488" s="1823"/>
      <c r="P488" s="1823"/>
      <c r="Q488" s="1053"/>
      <c r="R488" s="1053"/>
      <c r="S488" s="1053"/>
      <c r="T488" s="2035">
        <f t="shared" si="85"/>
        <v>0</v>
      </c>
    </row>
    <row r="489" spans="1:20" ht="22.2" hidden="1" customHeight="1">
      <c r="A489" s="63"/>
      <c r="B489" s="1589" t="s">
        <v>639</v>
      </c>
      <c r="C489" s="64" t="str">
        <f t="shared" si="83"/>
        <v xml:space="preserve"> </v>
      </c>
      <c r="D489" s="1537">
        <v>3.25</v>
      </c>
      <c r="E489" s="1048" t="str">
        <f>VLOOKUP($B489,DG!A:D,DG!$B$2,)</f>
        <v>03.1013</v>
      </c>
      <c r="F489" s="1049" t="str">
        <f>VLOOKUP($B489,DG!A:D,DG!$C$2,)</f>
        <v>Đào hố móng đất cấp 3 sâu &gt;1m</v>
      </c>
      <c r="G489" s="1048" t="str">
        <f>VLOOKUP($B489,DG!A:D,DG!$D$2,)</f>
        <v>m3</v>
      </c>
      <c r="H489" s="1824"/>
      <c r="I489" s="1824"/>
      <c r="J489" s="1824"/>
      <c r="K489" s="1824"/>
      <c r="L489" s="1824"/>
      <c r="M489" s="1824"/>
      <c r="N489" s="1824"/>
      <c r="O489" s="1824"/>
      <c r="P489" s="1824"/>
      <c r="Q489" s="1055"/>
      <c r="R489" s="1055"/>
      <c r="S489" s="1055"/>
      <c r="T489" s="2035">
        <f t="shared" si="85"/>
        <v>0</v>
      </c>
    </row>
    <row r="490" spans="1:20" ht="22.2" hidden="1" customHeight="1">
      <c r="A490" s="63"/>
      <c r="B490" s="1589" t="s">
        <v>21</v>
      </c>
      <c r="C490" s="64" t="str">
        <f t="shared" si="83"/>
        <v xml:space="preserve"> </v>
      </c>
      <c r="D490" s="1537">
        <v>3.44</v>
      </c>
      <c r="E490" s="1048" t="str">
        <f>VLOOKUP($B490,DG!A:D,DG!$B$2,)</f>
        <v>03.4113</v>
      </c>
      <c r="F490" s="1049" t="str">
        <f>VLOOKUP($B490,DG!A:D,DG!$C$2,)</f>
        <v>Đắp đất hố móng, độ chặt k=0,95</v>
      </c>
      <c r="G490" s="1048" t="str">
        <f>VLOOKUP($B490,DG!A:D,DG!$D$2,)</f>
        <v>m3</v>
      </c>
      <c r="H490" s="1824"/>
      <c r="I490" s="1824"/>
      <c r="J490" s="1824"/>
      <c r="K490" s="1824"/>
      <c r="L490" s="1824"/>
      <c r="M490" s="1824"/>
      <c r="N490" s="1824"/>
      <c r="O490" s="1824"/>
      <c r="P490" s="1824"/>
      <c r="Q490" s="1055"/>
      <c r="R490" s="1055"/>
      <c r="S490" s="1055"/>
      <c r="T490" s="2035">
        <f t="shared" si="85"/>
        <v>0</v>
      </c>
    </row>
    <row r="491" spans="1:20" ht="22.2" hidden="1" customHeight="1">
      <c r="A491" s="63"/>
      <c r="B491" s="1589" t="s">
        <v>637</v>
      </c>
      <c r="C491" s="64" t="str">
        <f t="shared" si="83"/>
        <v xml:space="preserve"> </v>
      </c>
      <c r="D491" s="1537">
        <f>0.1*2</f>
        <v>0.2</v>
      </c>
      <c r="E491" s="1048" t="str">
        <f>VLOOKUP($B491,DG!A:D,DG!$B$2,)</f>
        <v>02.1123</v>
      </c>
      <c r="F491" s="1049" t="str">
        <f>VLOOKUP($B491,DG!A:D,DG!$C$2,)</f>
        <v>Bốc dỡ đà cản, đế néo</v>
      </c>
      <c r="G491" s="1048" t="str">
        <f>VLOOKUP($B491,DG!A:D,DG!$D$2,)</f>
        <v>tấn</v>
      </c>
      <c r="H491" s="1824"/>
      <c r="I491" s="1824"/>
      <c r="J491" s="1824"/>
      <c r="K491" s="1824"/>
      <c r="L491" s="1824"/>
      <c r="M491" s="1824"/>
      <c r="N491" s="1824"/>
      <c r="O491" s="1824"/>
      <c r="P491" s="1824"/>
      <c r="Q491" s="1052"/>
      <c r="R491" s="1052"/>
      <c r="S491" s="1052"/>
      <c r="T491" s="2035">
        <f t="shared" si="85"/>
        <v>0</v>
      </c>
    </row>
    <row r="492" spans="1:20" ht="22.2" hidden="1" customHeight="1">
      <c r="A492" s="63"/>
      <c r="B492" s="1575" t="s">
        <v>2069</v>
      </c>
      <c r="C492" s="64" t="str">
        <f t="shared" si="83"/>
        <v xml:space="preserve"> </v>
      </c>
      <c r="D492" s="1537">
        <f>D491</f>
        <v>0.2</v>
      </c>
      <c r="E492" s="1048" t="str">
        <f>VLOOKUP($B492,DG!A:C,2,)</f>
        <v>02.1451</v>
      </c>
      <c r="F492" s="1049" t="str">
        <f>VLOOKUP($B492,DG!A:C,3,)</f>
        <v>V/c đà cản vào vị trí (cự ly &lt;=100m)</v>
      </c>
      <c r="G492" s="1048" t="str">
        <f>VLOOKUP($B492,DG!A:D,4,0)</f>
        <v>tấn</v>
      </c>
      <c r="H492" s="1824"/>
      <c r="I492" s="1824"/>
      <c r="J492" s="1824"/>
      <c r="K492" s="1824"/>
      <c r="L492" s="1824"/>
      <c r="M492" s="1824"/>
      <c r="N492" s="1824"/>
      <c r="O492" s="1824"/>
      <c r="P492" s="1824"/>
      <c r="Q492" s="1055"/>
      <c r="R492" s="1055"/>
      <c r="S492" s="1055"/>
      <c r="T492" s="2035">
        <f t="shared" si="85"/>
        <v>0</v>
      </c>
    </row>
    <row r="493" spans="1:20" ht="22.2" hidden="1" customHeight="1">
      <c r="A493" s="59"/>
      <c r="B493" s="1588" t="s">
        <v>674</v>
      </c>
      <c r="C493" s="64" t="str">
        <f t="shared" si="83"/>
        <v xml:space="preserve"> </v>
      </c>
      <c r="D493" s="1533">
        <f>D488</f>
        <v>0.42099999999999999</v>
      </c>
      <c r="E493" s="1044" t="str">
        <f>VLOOKUP($B493,DG!A:C,2,)</f>
        <v>02.1241</v>
      </c>
      <c r="F493" s="1049" t="str">
        <f>VLOOKUP($B493,DG!A:C,3,)</f>
        <v>V/c đá dăm ( cự ly &lt;=100m)</v>
      </c>
      <c r="G493" s="1044" t="str">
        <f>VLOOKUP($B493,DG!A:D,4,0)</f>
        <v>m3</v>
      </c>
      <c r="H493" s="1823"/>
      <c r="I493" s="1823"/>
      <c r="J493" s="1823"/>
      <c r="K493" s="1823"/>
      <c r="L493" s="1823"/>
      <c r="M493" s="1823"/>
      <c r="N493" s="1823"/>
      <c r="O493" s="1823"/>
      <c r="P493" s="1823"/>
      <c r="Q493" s="1058"/>
      <c r="R493" s="1058"/>
      <c r="S493" s="1058"/>
      <c r="T493" s="2035">
        <f t="shared" si="85"/>
        <v>0</v>
      </c>
    </row>
    <row r="494" spans="1:20" ht="22.2" hidden="1" customHeight="1">
      <c r="A494" s="63"/>
      <c r="B494" s="1575" t="s">
        <v>635</v>
      </c>
      <c r="C494" s="64" t="str">
        <f t="shared" si="83"/>
        <v xml:space="preserve"> </v>
      </c>
      <c r="D494" s="1537">
        <v>0.2</v>
      </c>
      <c r="E494" s="1048" t="str">
        <f>VLOOKUP($B494,DG!A:C,2,)</f>
        <v>02.1482</v>
      </c>
      <c r="F494" s="1049" t="str">
        <f>VLOOKUP($B494,DG!A:C,3,)</f>
        <v>V/c dụng cụ thi công vào vị trí (cự ly &lt;=100m)</v>
      </c>
      <c r="G494" s="1048" t="str">
        <f>VLOOKUP($B494,DG!A:D,4,0)</f>
        <v>tấn</v>
      </c>
      <c r="H494" s="1824"/>
      <c r="I494" s="1824"/>
      <c r="J494" s="1824"/>
      <c r="K494" s="1824"/>
      <c r="L494" s="1824"/>
      <c r="M494" s="1824"/>
      <c r="N494" s="1824"/>
      <c r="O494" s="1824"/>
      <c r="P494" s="1824"/>
      <c r="Q494" s="1055"/>
      <c r="R494" s="1055"/>
      <c r="S494" s="1055"/>
      <c r="T494" s="2035">
        <f t="shared" si="85"/>
        <v>0</v>
      </c>
    </row>
    <row r="495" spans="1:20" ht="22.2" hidden="1" customHeight="1">
      <c r="A495" s="56" t="s">
        <v>1645</v>
      </c>
      <c r="B495" s="1574" t="s">
        <v>1645</v>
      </c>
      <c r="C495" s="62" t="str">
        <f t="shared" si="83"/>
        <v xml:space="preserve"> </v>
      </c>
      <c r="D495" s="1532"/>
      <c r="E495" s="1045"/>
      <c r="F495" s="1392" t="s">
        <v>2383</v>
      </c>
      <c r="G495" s="1046" t="s">
        <v>2333</v>
      </c>
      <c r="H495" s="1821">
        <f>SUM(I495:O495)</f>
        <v>0</v>
      </c>
      <c r="I495" s="1822"/>
      <c r="J495" s="1822"/>
      <c r="K495" s="1822">
        <f>IFERROR(HLOOKUP(B495,pp3p1m!$1:$3,3,0),0)</f>
        <v>0</v>
      </c>
      <c r="L495" s="1822">
        <f>IFERROR(HLOOKUP(chitiet!B495,pp1p!$1:$3,3,0),0)</f>
        <v>0</v>
      </c>
      <c r="M495" s="1822"/>
      <c r="N495" s="1822"/>
      <c r="O495" s="1822"/>
      <c r="P495" s="1822"/>
      <c r="Q495" s="1047"/>
      <c r="R495" s="1047"/>
      <c r="S495" s="1047"/>
      <c r="T495" s="2035">
        <f>IFERROR(HLOOKUP(B495,pp1p!$1:$3,3,0),0)+IFERROR(HLOOKUP(B495,pp3p1m!$1:$3,3,0),0)</f>
        <v>0</v>
      </c>
    </row>
    <row r="496" spans="1:20" ht="22.2" hidden="1" customHeight="1">
      <c r="A496" s="63"/>
      <c r="B496" s="1589" t="s">
        <v>1578</v>
      </c>
      <c r="C496" s="64" t="str">
        <f t="shared" si="83"/>
        <v xml:space="preserve"> </v>
      </c>
      <c r="D496" s="1538">
        <v>2</v>
      </c>
      <c r="E496" s="1044" t="str">
        <f>VLOOKUP($B496,DG!A:D,DG!$B$2,)</f>
        <v>04.3801</v>
      </c>
      <c r="F496" s="1054" t="str">
        <f>VLOOKUP($B496,DG!A:D,DG!$C$2,)</f>
        <v>Đà cản BTCT 1,5m</v>
      </c>
      <c r="G496" s="1048" t="str">
        <f>VLOOKUP($B496,DG!A:D,DG!$D$2,)</f>
        <v>cái</v>
      </c>
      <c r="H496" s="1824">
        <f t="shared" ref="H496:N497" si="89">H$495*$D496</f>
        <v>0</v>
      </c>
      <c r="I496" s="1824">
        <f t="shared" si="89"/>
        <v>0</v>
      </c>
      <c r="J496" s="1824">
        <f t="shared" si="89"/>
        <v>0</v>
      </c>
      <c r="K496" s="1824">
        <f t="shared" si="89"/>
        <v>0</v>
      </c>
      <c r="L496" s="1824">
        <f t="shared" si="89"/>
        <v>0</v>
      </c>
      <c r="M496" s="1824">
        <f t="shared" si="89"/>
        <v>0</v>
      </c>
      <c r="N496" s="1824">
        <f t="shared" si="89"/>
        <v>0</v>
      </c>
      <c r="O496" s="1824"/>
      <c r="P496" s="1824"/>
      <c r="Q496" s="1052"/>
      <c r="R496" s="1052"/>
      <c r="S496" s="1052"/>
      <c r="T496" s="2035">
        <f t="shared" si="85"/>
        <v>0</v>
      </c>
    </row>
    <row r="497" spans="1:20" ht="22.2" hidden="1" customHeight="1">
      <c r="A497" s="63"/>
      <c r="B497" s="1589" t="s">
        <v>416</v>
      </c>
      <c r="C497" s="64" t="str">
        <f t="shared" si="83"/>
        <v xml:space="preserve"> </v>
      </c>
      <c r="D497" s="1538">
        <v>1</v>
      </c>
      <c r="E497" s="1048"/>
      <c r="F497" s="1054" t="str">
        <f>VLOOKUP($B497,DG!A:D,DG!$C$2,)</f>
        <v>Boulon 22x800+ 2 long đền vuông D24-50x50x3/Zn</v>
      </c>
      <c r="G497" s="1048" t="str">
        <f>VLOOKUP($B497,DG!A:D,DG!$D$2,)</f>
        <v>bộ</v>
      </c>
      <c r="H497" s="1824">
        <f t="shared" si="89"/>
        <v>0</v>
      </c>
      <c r="I497" s="1824">
        <f t="shared" si="89"/>
        <v>0</v>
      </c>
      <c r="J497" s="1824">
        <f t="shared" si="89"/>
        <v>0</v>
      </c>
      <c r="K497" s="1824">
        <f t="shared" si="89"/>
        <v>0</v>
      </c>
      <c r="L497" s="1824">
        <f t="shared" si="89"/>
        <v>0</v>
      </c>
      <c r="M497" s="1824">
        <f t="shared" si="89"/>
        <v>0</v>
      </c>
      <c r="N497" s="1824">
        <f t="shared" si="89"/>
        <v>0</v>
      </c>
      <c r="O497" s="1824"/>
      <c r="P497" s="1824"/>
      <c r="Q497" s="1052"/>
      <c r="R497" s="1052"/>
      <c r="S497" s="1052"/>
      <c r="T497" s="2035">
        <f t="shared" si="85"/>
        <v>0</v>
      </c>
    </row>
    <row r="498" spans="1:20" ht="22.2" hidden="1" customHeight="1">
      <c r="A498" s="59"/>
      <c r="B498" s="1577" t="s">
        <v>1816</v>
      </c>
      <c r="C498" s="64" t="str">
        <f t="shared" si="83"/>
        <v xml:space="preserve"> </v>
      </c>
      <c r="D498" s="1533">
        <v>0.42099999999999999</v>
      </c>
      <c r="E498" s="1044">
        <f>VLOOKUP($B498,DG!A:D,DG!$B$2,)</f>
        <v>0</v>
      </c>
      <c r="F498" s="1049" t="str">
        <f>VLOOKUP($B498,DG!A:D,DG!$C$2,)</f>
        <v>Đá 2x4</v>
      </c>
      <c r="G498" s="1044" t="str">
        <f>VLOOKUP($B498,DG!A:D,DG!$D$2,)</f>
        <v>m3</v>
      </c>
      <c r="H498" s="1823">
        <f t="shared" ref="H498:N498" si="90">H$18*$D498</f>
        <v>0</v>
      </c>
      <c r="I498" s="1823">
        <f t="shared" si="90"/>
        <v>0</v>
      </c>
      <c r="J498" s="1823">
        <f t="shared" si="90"/>
        <v>0</v>
      </c>
      <c r="K498" s="1823">
        <f t="shared" si="90"/>
        <v>0</v>
      </c>
      <c r="L498" s="1823">
        <f t="shared" si="90"/>
        <v>0</v>
      </c>
      <c r="M498" s="1823">
        <f t="shared" si="90"/>
        <v>0</v>
      </c>
      <c r="N498" s="1823">
        <f t="shared" si="90"/>
        <v>0</v>
      </c>
      <c r="O498" s="1823"/>
      <c r="P498" s="1823"/>
      <c r="Q498" s="1053"/>
      <c r="R498" s="1053"/>
      <c r="S498" s="1053"/>
      <c r="T498" s="2035">
        <f t="shared" si="85"/>
        <v>0</v>
      </c>
    </row>
    <row r="499" spans="1:20" ht="22.2" hidden="1" customHeight="1">
      <c r="A499" s="63"/>
      <c r="B499" s="1589" t="s">
        <v>639</v>
      </c>
      <c r="C499" s="64" t="str">
        <f t="shared" si="83"/>
        <v xml:space="preserve"> </v>
      </c>
      <c r="D499" s="1537">
        <v>4.03</v>
      </c>
      <c r="E499" s="1048" t="str">
        <f>VLOOKUP($B499,DG!A:D,DG!$B$2,)</f>
        <v>03.1013</v>
      </c>
      <c r="F499" s="1049" t="str">
        <f>VLOOKUP($B499,DG!A:D,DG!$C$2,)</f>
        <v>Đào hố móng đất cấp 3 sâu &gt;1m</v>
      </c>
      <c r="G499" s="1048" t="str">
        <f>VLOOKUP($B499,DG!A:D,DG!$D$2,)</f>
        <v>m3</v>
      </c>
      <c r="H499" s="1824"/>
      <c r="I499" s="1824"/>
      <c r="J499" s="1824"/>
      <c r="K499" s="1824"/>
      <c r="L499" s="1824"/>
      <c r="M499" s="1824"/>
      <c r="N499" s="1824"/>
      <c r="O499" s="1824"/>
      <c r="P499" s="1824"/>
      <c r="Q499" s="1055"/>
      <c r="R499" s="1055"/>
      <c r="S499" s="1055"/>
      <c r="T499" s="2035">
        <f t="shared" si="85"/>
        <v>0</v>
      </c>
    </row>
    <row r="500" spans="1:20" ht="22.2" hidden="1" customHeight="1">
      <c r="A500" s="63"/>
      <c r="B500" s="1589" t="s">
        <v>21</v>
      </c>
      <c r="C500" s="64" t="str">
        <f t="shared" si="83"/>
        <v xml:space="preserve"> </v>
      </c>
      <c r="D500" s="1537">
        <v>4.3140000000000001</v>
      </c>
      <c r="E500" s="1048" t="str">
        <f>VLOOKUP($B500,DG!A:D,DG!$B$2,)</f>
        <v>03.4113</v>
      </c>
      <c r="F500" s="1049" t="str">
        <f>VLOOKUP($B500,DG!A:D,DG!$C$2,)</f>
        <v>Đắp đất hố móng, độ chặt k=0,95</v>
      </c>
      <c r="G500" s="1048" t="str">
        <f>VLOOKUP($B500,DG!A:D,DG!$D$2,)</f>
        <v>m3</v>
      </c>
      <c r="H500" s="1824"/>
      <c r="I500" s="1824"/>
      <c r="J500" s="1824"/>
      <c r="K500" s="1824"/>
      <c r="L500" s="1824"/>
      <c r="M500" s="1824"/>
      <c r="N500" s="1824"/>
      <c r="O500" s="1824"/>
      <c r="P500" s="1824"/>
      <c r="Q500" s="1055"/>
      <c r="R500" s="1055"/>
      <c r="S500" s="1055"/>
      <c r="T500" s="2035">
        <f t="shared" si="85"/>
        <v>0</v>
      </c>
    </row>
    <row r="501" spans="1:20" ht="22.2" hidden="1" customHeight="1">
      <c r="A501" s="63"/>
      <c r="B501" s="1589" t="s">
        <v>637</v>
      </c>
      <c r="C501" s="64" t="str">
        <f t="shared" si="83"/>
        <v xml:space="preserve"> </v>
      </c>
      <c r="D501" s="1537">
        <f>0.255*2</f>
        <v>0.51</v>
      </c>
      <c r="E501" s="1048" t="str">
        <f>VLOOKUP($B501,DG!A:D,DG!$B$2,)</f>
        <v>02.1123</v>
      </c>
      <c r="F501" s="1049" t="str">
        <f>VLOOKUP($B501,DG!A:D,DG!$C$2,)</f>
        <v>Bốc dỡ đà cản, đế néo</v>
      </c>
      <c r="G501" s="1048" t="str">
        <f>VLOOKUP($B501,DG!A:D,DG!$D$2,)</f>
        <v>tấn</v>
      </c>
      <c r="H501" s="1824"/>
      <c r="I501" s="1824"/>
      <c r="J501" s="1824"/>
      <c r="K501" s="1824"/>
      <c r="L501" s="1824"/>
      <c r="M501" s="1824"/>
      <c r="N501" s="1824"/>
      <c r="O501" s="1824"/>
      <c r="P501" s="1824"/>
      <c r="Q501" s="1052"/>
      <c r="R501" s="1052"/>
      <c r="S501" s="1052"/>
      <c r="T501" s="2035">
        <f t="shared" si="85"/>
        <v>0</v>
      </c>
    </row>
    <row r="502" spans="1:20" ht="22.2" hidden="1" customHeight="1">
      <c r="A502" s="63"/>
      <c r="B502" s="1575" t="s">
        <v>2069</v>
      </c>
      <c r="C502" s="64" t="str">
        <f t="shared" si="83"/>
        <v xml:space="preserve"> </v>
      </c>
      <c r="D502" s="1537">
        <f>D501</f>
        <v>0.51</v>
      </c>
      <c r="E502" s="1048" t="str">
        <f>VLOOKUP($B502,DG!A:C,2,)</f>
        <v>02.1451</v>
      </c>
      <c r="F502" s="1049" t="str">
        <f>VLOOKUP($B502,DG!A:C,3,)</f>
        <v>V/c đà cản vào vị trí (cự ly &lt;=100m)</v>
      </c>
      <c r="G502" s="1048" t="str">
        <f>VLOOKUP($B502,DG!A:D,4,0)</f>
        <v>tấn</v>
      </c>
      <c r="H502" s="1824"/>
      <c r="I502" s="1824"/>
      <c r="J502" s="1824"/>
      <c r="K502" s="1824"/>
      <c r="L502" s="1824"/>
      <c r="M502" s="1824"/>
      <c r="N502" s="1824"/>
      <c r="O502" s="1824"/>
      <c r="P502" s="1824"/>
      <c r="Q502" s="1055"/>
      <c r="R502" s="1055"/>
      <c r="S502" s="1055"/>
      <c r="T502" s="2035">
        <f t="shared" si="85"/>
        <v>0</v>
      </c>
    </row>
    <row r="503" spans="1:20" ht="22.2" hidden="1" customHeight="1">
      <c r="A503" s="59"/>
      <c r="B503" s="1588" t="s">
        <v>674</v>
      </c>
      <c r="C503" s="64" t="str">
        <f t="shared" si="83"/>
        <v xml:space="preserve"> </v>
      </c>
      <c r="D503" s="1533">
        <f>D498</f>
        <v>0.42099999999999999</v>
      </c>
      <c r="E503" s="1044" t="str">
        <f>VLOOKUP($B503,DG!A:C,2,)</f>
        <v>02.1241</v>
      </c>
      <c r="F503" s="1049" t="str">
        <f>VLOOKUP($B503,DG!A:C,3,)</f>
        <v>V/c đá dăm ( cự ly &lt;=100m)</v>
      </c>
      <c r="G503" s="1044" t="str">
        <f>VLOOKUP($B503,DG!A:D,4,0)</f>
        <v>m3</v>
      </c>
      <c r="H503" s="1823"/>
      <c r="I503" s="1823"/>
      <c r="J503" s="1823"/>
      <c r="K503" s="1823"/>
      <c r="L503" s="1823"/>
      <c r="M503" s="1823"/>
      <c r="N503" s="1823"/>
      <c r="O503" s="1823"/>
      <c r="P503" s="1823"/>
      <c r="Q503" s="1058"/>
      <c r="R503" s="1058"/>
      <c r="S503" s="1058"/>
      <c r="T503" s="2035">
        <f t="shared" si="85"/>
        <v>0</v>
      </c>
    </row>
    <row r="504" spans="1:20" ht="22.2" hidden="1" customHeight="1">
      <c r="A504" s="63"/>
      <c r="B504" s="1575" t="s">
        <v>635</v>
      </c>
      <c r="C504" s="64" t="str">
        <f t="shared" si="83"/>
        <v xml:space="preserve"> </v>
      </c>
      <c r="D504" s="1537">
        <v>0.2</v>
      </c>
      <c r="E504" s="1048" t="str">
        <f>VLOOKUP($B504,DG!A:C,2,)</f>
        <v>02.1482</v>
      </c>
      <c r="F504" s="1049" t="str">
        <f>VLOOKUP($B504,DG!A:C,3,)</f>
        <v>V/c dụng cụ thi công vào vị trí (cự ly &lt;=100m)</v>
      </c>
      <c r="G504" s="1048" t="str">
        <f>VLOOKUP($B504,DG!A:D,4,0)</f>
        <v>tấn</v>
      </c>
      <c r="H504" s="1824"/>
      <c r="I504" s="1824"/>
      <c r="J504" s="1824"/>
      <c r="K504" s="1824"/>
      <c r="L504" s="1824"/>
      <c r="M504" s="1824"/>
      <c r="N504" s="1824"/>
      <c r="O504" s="1824"/>
      <c r="P504" s="1824"/>
      <c r="Q504" s="1055"/>
      <c r="R504" s="1055"/>
      <c r="S504" s="1055"/>
      <c r="T504" s="2035">
        <f t="shared" si="85"/>
        <v>0</v>
      </c>
    </row>
    <row r="505" spans="1:20" ht="22.2" hidden="1" customHeight="1">
      <c r="A505" s="56" t="s">
        <v>987</v>
      </c>
      <c r="B505" s="1574" t="s">
        <v>987</v>
      </c>
      <c r="C505" s="62" t="str">
        <f t="shared" si="83"/>
        <v xml:space="preserve"> </v>
      </c>
      <c r="D505" s="1532"/>
      <c r="E505" s="1045"/>
      <c r="F505" s="1392" t="s">
        <v>2384</v>
      </c>
      <c r="G505" s="1046" t="s">
        <v>2333</v>
      </c>
      <c r="H505" s="1821">
        <f>SUM(I505:O505)</f>
        <v>0</v>
      </c>
      <c r="I505" s="1822"/>
      <c r="J505" s="1822"/>
      <c r="K505" s="1822">
        <f>IFERROR(HLOOKUP(B505,pp3p1m!$1:$3,3,0),0)</f>
        <v>0</v>
      </c>
      <c r="L505" s="1822">
        <f>IFERROR(HLOOKUP(chitiet!B505,pp1p!$1:$3,3,0),0)</f>
        <v>0</v>
      </c>
      <c r="M505" s="1822"/>
      <c r="N505" s="1822"/>
      <c r="O505" s="1822"/>
      <c r="P505" s="1822"/>
      <c r="Q505" s="1047"/>
      <c r="R505" s="1047"/>
      <c r="S505" s="1047"/>
      <c r="T505" s="2035">
        <f>IFERROR(HLOOKUP(B505,pp1p!$1:$3,3,0),0)+IFERROR(HLOOKUP(B505,pp3p1m!$1:$3,3,0),0)</f>
        <v>0</v>
      </c>
    </row>
    <row r="506" spans="1:20" ht="22.2" hidden="1" customHeight="1">
      <c r="A506" s="63"/>
      <c r="B506" s="1589" t="s">
        <v>1578</v>
      </c>
      <c r="C506" s="64" t="str">
        <f t="shared" si="83"/>
        <v xml:space="preserve"> </v>
      </c>
      <c r="D506" s="1538">
        <v>4</v>
      </c>
      <c r="E506" s="1044" t="str">
        <f>VLOOKUP($B506,DG!A:D,DG!$B$2,)</f>
        <v>04.3801</v>
      </c>
      <c r="F506" s="1054" t="str">
        <f>VLOOKUP($B506,DG!A:D,DG!$C$2,)</f>
        <v>Đà cản BTCT 1,5m</v>
      </c>
      <c r="G506" s="1048" t="str">
        <f>VLOOKUP($B506,DG!A:D,DG!$D$2,)</f>
        <v>cái</v>
      </c>
      <c r="H506" s="1824">
        <f t="shared" ref="H506:N507" si="91">H$505*$D506</f>
        <v>0</v>
      </c>
      <c r="I506" s="1824">
        <f t="shared" si="91"/>
        <v>0</v>
      </c>
      <c r="J506" s="1824">
        <f t="shared" si="91"/>
        <v>0</v>
      </c>
      <c r="K506" s="1824">
        <f t="shared" si="91"/>
        <v>0</v>
      </c>
      <c r="L506" s="1824">
        <f t="shared" si="91"/>
        <v>0</v>
      </c>
      <c r="M506" s="1824">
        <f t="shared" si="91"/>
        <v>0</v>
      </c>
      <c r="N506" s="1824">
        <f t="shared" si="91"/>
        <v>0</v>
      </c>
      <c r="O506" s="1824"/>
      <c r="P506" s="1824"/>
      <c r="Q506" s="1052"/>
      <c r="R506" s="1052"/>
      <c r="S506" s="1052"/>
      <c r="T506" s="2035">
        <f t="shared" si="85"/>
        <v>0</v>
      </c>
    </row>
    <row r="507" spans="1:20" ht="22.2" hidden="1" customHeight="1">
      <c r="A507" s="63"/>
      <c r="B507" s="1589" t="s">
        <v>566</v>
      </c>
      <c r="C507" s="64" t="str">
        <f t="shared" si="83"/>
        <v xml:space="preserve"> </v>
      </c>
      <c r="D507" s="1538">
        <v>4</v>
      </c>
      <c r="E507" s="1044"/>
      <c r="F507" s="1054" t="str">
        <f>VLOOKUP($B507,DG!A:D,DG!$C$2,)</f>
        <v>Boulon 22x650+ 2 long đền vuông D24-50x50x3/Zn</v>
      </c>
      <c r="G507" s="1048" t="str">
        <f>VLOOKUP($B507,DG!A:D,DG!$D$2,)</f>
        <v>bộ</v>
      </c>
      <c r="H507" s="1824">
        <f t="shared" si="91"/>
        <v>0</v>
      </c>
      <c r="I507" s="1824">
        <f t="shared" si="91"/>
        <v>0</v>
      </c>
      <c r="J507" s="1824">
        <f t="shared" si="91"/>
        <v>0</v>
      </c>
      <c r="K507" s="1824">
        <f t="shared" si="91"/>
        <v>0</v>
      </c>
      <c r="L507" s="1824">
        <f t="shared" si="91"/>
        <v>0</v>
      </c>
      <c r="M507" s="1824">
        <f t="shared" si="91"/>
        <v>0</v>
      </c>
      <c r="N507" s="1824">
        <f t="shared" si="91"/>
        <v>0</v>
      </c>
      <c r="O507" s="1824"/>
      <c r="P507" s="1824"/>
      <c r="Q507" s="1052"/>
      <c r="R507" s="1052"/>
      <c r="S507" s="1052"/>
      <c r="T507" s="2035">
        <f t="shared" si="85"/>
        <v>0</v>
      </c>
    </row>
    <row r="508" spans="1:20" ht="22.2" hidden="1" customHeight="1">
      <c r="A508" s="63"/>
      <c r="B508" s="1589" t="s">
        <v>639</v>
      </c>
      <c r="C508" s="64" t="str">
        <f t="shared" si="83"/>
        <v xml:space="preserve"> </v>
      </c>
      <c r="D508" s="1537">
        <v>10.63</v>
      </c>
      <c r="E508" s="1048" t="str">
        <f>VLOOKUP($B508,DG!A:D,DG!$B$2,)</f>
        <v>03.1013</v>
      </c>
      <c r="F508" s="1049" t="str">
        <f>VLOOKUP($B508,DG!A:D,DG!$C$2,)</f>
        <v>Đào hố móng đất cấp 3 sâu &gt;1m</v>
      </c>
      <c r="G508" s="1048" t="str">
        <f>VLOOKUP($B508,DG!A:D,DG!$D$2,)</f>
        <v>m3</v>
      </c>
      <c r="H508" s="1824"/>
      <c r="I508" s="1824"/>
      <c r="J508" s="1824"/>
      <c r="K508" s="1824"/>
      <c r="L508" s="1824"/>
      <c r="M508" s="1824"/>
      <c r="N508" s="1824"/>
      <c r="O508" s="1824"/>
      <c r="P508" s="1824"/>
      <c r="Q508" s="1055"/>
      <c r="R508" s="1055"/>
      <c r="S508" s="1055"/>
      <c r="T508" s="2035">
        <f t="shared" si="85"/>
        <v>0</v>
      </c>
    </row>
    <row r="509" spans="1:20" ht="22.2" hidden="1" customHeight="1">
      <c r="A509" s="63"/>
      <c r="B509" s="1589" t="s">
        <v>21</v>
      </c>
      <c r="C509" s="64" t="str">
        <f t="shared" si="83"/>
        <v xml:space="preserve"> </v>
      </c>
      <c r="D509" s="1537">
        <v>10.63</v>
      </c>
      <c r="E509" s="1048" t="str">
        <f>VLOOKUP($B509,DG!A:D,DG!$B$2,)</f>
        <v>03.4113</v>
      </c>
      <c r="F509" s="1049" t="str">
        <f>VLOOKUP($B509,DG!A:D,DG!$C$2,)</f>
        <v>Đắp đất hố móng, độ chặt k=0,95</v>
      </c>
      <c r="G509" s="1048" t="str">
        <f>VLOOKUP($B509,DG!A:D,DG!$D$2,)</f>
        <v>m3</v>
      </c>
      <c r="H509" s="1824"/>
      <c r="I509" s="1824"/>
      <c r="J509" s="1824"/>
      <c r="K509" s="1824"/>
      <c r="L509" s="1824"/>
      <c r="M509" s="1824"/>
      <c r="N509" s="1824"/>
      <c r="O509" s="1824"/>
      <c r="P509" s="1824"/>
      <c r="Q509" s="1055"/>
      <c r="R509" s="1055"/>
      <c r="S509" s="1055"/>
      <c r="T509" s="2035">
        <f t="shared" si="85"/>
        <v>0</v>
      </c>
    </row>
    <row r="510" spans="1:20" ht="22.2" hidden="1" customHeight="1">
      <c r="A510" s="63"/>
      <c r="B510" s="1589" t="s">
        <v>637</v>
      </c>
      <c r="C510" s="64" t="str">
        <f t="shared" si="83"/>
        <v xml:space="preserve"> </v>
      </c>
      <c r="D510" s="1537">
        <f>0.255*D506</f>
        <v>1.02</v>
      </c>
      <c r="E510" s="1048" t="str">
        <f>VLOOKUP($B510,DG!A:D,DG!$B$2,)</f>
        <v>02.1123</v>
      </c>
      <c r="F510" s="1049" t="str">
        <f>VLOOKUP($B510,DG!A:D,DG!$C$2,)</f>
        <v>Bốc dỡ đà cản, đế néo</v>
      </c>
      <c r="G510" s="1048" t="str">
        <f>VLOOKUP($B510,DG!A:D,DG!$D$2,)</f>
        <v>tấn</v>
      </c>
      <c r="H510" s="1824"/>
      <c r="I510" s="1824"/>
      <c r="J510" s="1824"/>
      <c r="K510" s="1824"/>
      <c r="L510" s="1824"/>
      <c r="M510" s="1824"/>
      <c r="N510" s="1824"/>
      <c r="O510" s="1824"/>
      <c r="P510" s="1824"/>
      <c r="Q510" s="1052"/>
      <c r="R510" s="1052"/>
      <c r="S510" s="1052"/>
      <c r="T510" s="2035">
        <f t="shared" si="85"/>
        <v>0</v>
      </c>
    </row>
    <row r="511" spans="1:20" ht="22.2" hidden="1" customHeight="1">
      <c r="A511" s="63"/>
      <c r="B511" s="1575" t="s">
        <v>2069</v>
      </c>
      <c r="C511" s="64" t="str">
        <f t="shared" si="83"/>
        <v xml:space="preserve"> </v>
      </c>
      <c r="D511" s="1537">
        <f>D510</f>
        <v>1.02</v>
      </c>
      <c r="E511" s="1048" t="str">
        <f>VLOOKUP($B511,DG!A:C,2,)</f>
        <v>02.1451</v>
      </c>
      <c r="F511" s="1049" t="str">
        <f>VLOOKUP($B511,DG!A:C,3,)</f>
        <v>V/c đà cản vào vị trí (cự ly &lt;=100m)</v>
      </c>
      <c r="G511" s="1048" t="str">
        <f>VLOOKUP($B511,DG!A:D,4,0)</f>
        <v>tấn</v>
      </c>
      <c r="H511" s="1824"/>
      <c r="I511" s="1824"/>
      <c r="J511" s="1824"/>
      <c r="K511" s="1824"/>
      <c r="L511" s="1824"/>
      <c r="M511" s="1824"/>
      <c r="N511" s="1824"/>
      <c r="O511" s="1824"/>
      <c r="P511" s="1824"/>
      <c r="Q511" s="1055"/>
      <c r="R511" s="1055"/>
      <c r="S511" s="1055"/>
      <c r="T511" s="2035">
        <f t="shared" si="85"/>
        <v>0</v>
      </c>
    </row>
    <row r="512" spans="1:20" ht="22.2" hidden="1" customHeight="1">
      <c r="A512" s="63"/>
      <c r="B512" s="1575" t="s">
        <v>635</v>
      </c>
      <c r="C512" s="64" t="str">
        <f t="shared" si="83"/>
        <v xml:space="preserve"> </v>
      </c>
      <c r="D512" s="1537">
        <v>0.2</v>
      </c>
      <c r="E512" s="1048" t="str">
        <f>VLOOKUP($B512,DG!A:C,2,)</f>
        <v>02.1482</v>
      </c>
      <c r="F512" s="1049" t="str">
        <f>VLOOKUP($B512,DG!A:C,3,)</f>
        <v>V/c dụng cụ thi công vào vị trí (cự ly &lt;=100m)</v>
      </c>
      <c r="G512" s="1048" t="str">
        <f>VLOOKUP($B512,DG!A:D,4,0)</f>
        <v>tấn</v>
      </c>
      <c r="H512" s="1824"/>
      <c r="I512" s="1824"/>
      <c r="J512" s="1824"/>
      <c r="K512" s="1824"/>
      <c r="L512" s="1824"/>
      <c r="M512" s="1824"/>
      <c r="N512" s="1824"/>
      <c r="O512" s="1824"/>
      <c r="P512" s="1824"/>
      <c r="Q512" s="1055"/>
      <c r="R512" s="1055"/>
      <c r="S512" s="1055"/>
      <c r="T512" s="2035">
        <f t="shared" si="85"/>
        <v>0</v>
      </c>
    </row>
    <row r="513" spans="1:20" ht="22.2" hidden="1" customHeight="1">
      <c r="A513" s="56" t="s">
        <v>312</v>
      </c>
      <c r="B513" s="1574" t="s">
        <v>312</v>
      </c>
      <c r="C513" s="62" t="str">
        <f t="shared" si="83"/>
        <v xml:space="preserve"> </v>
      </c>
      <c r="D513" s="1532"/>
      <c r="E513" s="1045"/>
      <c r="F513" s="1392" t="s">
        <v>2385</v>
      </c>
      <c r="G513" s="1046" t="s">
        <v>2333</v>
      </c>
      <c r="H513" s="1821">
        <f>SUM(I513:O513)</f>
        <v>0</v>
      </c>
      <c r="I513" s="1822"/>
      <c r="J513" s="1822"/>
      <c r="K513" s="1822">
        <f>IFERROR(HLOOKUP(B513,pp3p1m!$1:$3,3,0),0)</f>
        <v>0</v>
      </c>
      <c r="L513" s="1822">
        <f>IFERROR(HLOOKUP(chitiet!B513,pp1p!$1:$3,3,0),0)</f>
        <v>0</v>
      </c>
      <c r="M513" s="1822"/>
      <c r="N513" s="1822"/>
      <c r="O513" s="1822"/>
      <c r="P513" s="1822"/>
      <c r="Q513" s="1047"/>
      <c r="R513" s="1047"/>
      <c r="S513" s="1047"/>
      <c r="T513" s="2035">
        <f>IFERROR(HLOOKUP(B513,pp1p!$1:$3,3,0),0)+IFERROR(HLOOKUP(B513,pp3p1m!$1:$3,3,0),0)</f>
        <v>0</v>
      </c>
    </row>
    <row r="514" spans="1:20" ht="22.2" hidden="1" customHeight="1">
      <c r="A514" s="63"/>
      <c r="B514" s="1589" t="s">
        <v>1840</v>
      </c>
      <c r="C514" s="64" t="str">
        <f t="shared" si="83"/>
        <v xml:space="preserve"> </v>
      </c>
      <c r="D514" s="1536">
        <v>2.0139999999999998</v>
      </c>
      <c r="E514" s="1048" t="str">
        <f>VLOOKUP($B514,DG!A:D,DG!$B$2,)</f>
        <v>04.1203c</v>
      </c>
      <c r="F514" s="1049" t="str">
        <f>VLOOKUP($B514,DG!A:D,DG!$C$2,)</f>
        <v>Đổ bê tông móng trụ &lt;=250cm-M200 đá 1x2</v>
      </c>
      <c r="G514" s="1048" t="str">
        <f>VLOOKUP($B514,DG!A:D,DG!$D$2,)</f>
        <v>m3</v>
      </c>
      <c r="H514" s="1824">
        <f t="shared" ref="H514:N517" si="92">H$513*$D514</f>
        <v>0</v>
      </c>
      <c r="I514" s="1824">
        <f t="shared" si="92"/>
        <v>0</v>
      </c>
      <c r="J514" s="1824">
        <f t="shared" si="92"/>
        <v>0</v>
      </c>
      <c r="K514" s="1824">
        <f t="shared" si="92"/>
        <v>0</v>
      </c>
      <c r="L514" s="1824">
        <f t="shared" si="92"/>
        <v>0</v>
      </c>
      <c r="M514" s="1824">
        <f t="shared" si="92"/>
        <v>0</v>
      </c>
      <c r="N514" s="1824">
        <f t="shared" si="92"/>
        <v>0</v>
      </c>
      <c r="O514" s="1824"/>
      <c r="P514" s="1824"/>
      <c r="Q514" s="1052"/>
      <c r="R514" s="1052"/>
      <c r="S514" s="1052"/>
      <c r="T514" s="2035">
        <f t="shared" si="85"/>
        <v>0</v>
      </c>
    </row>
    <row r="515" spans="1:20" ht="22.2" hidden="1" customHeight="1">
      <c r="A515" s="63"/>
      <c r="B515" s="1589" t="s">
        <v>1959</v>
      </c>
      <c r="C515" s="64" t="str">
        <f t="shared" si="83"/>
        <v xml:space="preserve"> </v>
      </c>
      <c r="D515" s="1536">
        <v>0.20399999999999999</v>
      </c>
      <c r="E515" s="1048" t="str">
        <f>VLOOKUP($B515,DG!A:D,DG!$B$2,)</f>
        <v>04.3112</v>
      </c>
      <c r="F515" s="1049" t="str">
        <f>VLOOKUP($B515,DG!A:D,DG!$C$2,)</f>
        <v>Đổ bê tông mác M100 đá 4x6</v>
      </c>
      <c r="G515" s="1048" t="str">
        <f>VLOOKUP($B515,DG!A:D,DG!$D$2,)</f>
        <v>m3</v>
      </c>
      <c r="H515" s="1824">
        <f t="shared" si="92"/>
        <v>0</v>
      </c>
      <c r="I515" s="1824">
        <f t="shared" si="92"/>
        <v>0</v>
      </c>
      <c r="J515" s="1824">
        <f t="shared" si="92"/>
        <v>0</v>
      </c>
      <c r="K515" s="1824">
        <f t="shared" si="92"/>
        <v>0</v>
      </c>
      <c r="L515" s="1824">
        <f t="shared" si="92"/>
        <v>0</v>
      </c>
      <c r="M515" s="1824">
        <f t="shared" si="92"/>
        <v>0</v>
      </c>
      <c r="N515" s="1824">
        <f t="shared" si="92"/>
        <v>0</v>
      </c>
      <c r="O515" s="1824"/>
      <c r="P515" s="1824"/>
      <c r="Q515" s="1052"/>
      <c r="R515" s="1052"/>
      <c r="S515" s="1052"/>
      <c r="T515" s="2035">
        <f t="shared" si="85"/>
        <v>0</v>
      </c>
    </row>
    <row r="516" spans="1:20" ht="22.2" hidden="1" customHeight="1">
      <c r="A516" s="63"/>
      <c r="B516" s="1576" t="s">
        <v>4440</v>
      </c>
      <c r="C516" s="64" t="str">
        <f t="shared" si="83"/>
        <v xml:space="preserve"> </v>
      </c>
      <c r="D516" s="1540">
        <v>0.24</v>
      </c>
      <c r="E516" s="1048"/>
      <c r="F516" s="1049" t="str">
        <f>VLOOKUP($B516,DG!A:D,DG!$C$2,)</f>
        <v>Cát vàng</v>
      </c>
      <c r="G516" s="1048" t="str">
        <f>VLOOKUP($B516,DG!A:D,DG!$D$2,)</f>
        <v>m3</v>
      </c>
      <c r="H516" s="1824">
        <f t="shared" si="92"/>
        <v>0</v>
      </c>
      <c r="I516" s="1824">
        <f t="shared" si="92"/>
        <v>0</v>
      </c>
      <c r="J516" s="1824">
        <f t="shared" si="92"/>
        <v>0</v>
      </c>
      <c r="K516" s="1824">
        <f t="shared" si="92"/>
        <v>0</v>
      </c>
      <c r="L516" s="1824">
        <f t="shared" si="92"/>
        <v>0</v>
      </c>
      <c r="M516" s="1824">
        <f t="shared" si="92"/>
        <v>0</v>
      </c>
      <c r="N516" s="1824">
        <f t="shared" si="92"/>
        <v>0</v>
      </c>
      <c r="O516" s="1824"/>
      <c r="P516" s="1824"/>
      <c r="Q516" s="1052"/>
      <c r="R516" s="1052"/>
      <c r="S516" s="1052"/>
      <c r="T516" s="2035">
        <f t="shared" si="85"/>
        <v>0</v>
      </c>
    </row>
    <row r="517" spans="1:20" ht="22.2" hidden="1" customHeight="1">
      <c r="A517" s="63"/>
      <c r="B517" s="1589" t="s">
        <v>1977</v>
      </c>
      <c r="C517" s="64" t="str">
        <f t="shared" si="83"/>
        <v xml:space="preserve"> </v>
      </c>
      <c r="D517" s="1538">
        <v>193.05</v>
      </c>
      <c r="E517" s="1048"/>
      <c r="F517" s="1054" t="str">
        <f>VLOOKUP($B517,DG!A:D,DG!$C$2,)</f>
        <v>Sắt Ø6</v>
      </c>
      <c r="G517" s="1048" t="str">
        <f>VLOOKUP($B517,DG!A:D,DG!$D$2,)</f>
        <v>kg</v>
      </c>
      <c r="H517" s="1824">
        <f t="shared" si="92"/>
        <v>0</v>
      </c>
      <c r="I517" s="1824">
        <f t="shared" si="92"/>
        <v>0</v>
      </c>
      <c r="J517" s="1824">
        <f t="shared" si="92"/>
        <v>0</v>
      </c>
      <c r="K517" s="1824">
        <f t="shared" si="92"/>
        <v>0</v>
      </c>
      <c r="L517" s="1824">
        <f t="shared" si="92"/>
        <v>0</v>
      </c>
      <c r="M517" s="1824">
        <f t="shared" si="92"/>
        <v>0</v>
      </c>
      <c r="N517" s="1824">
        <f t="shared" si="92"/>
        <v>0</v>
      </c>
      <c r="O517" s="1824"/>
      <c r="P517" s="1824"/>
      <c r="Q517" s="1052"/>
      <c r="R517" s="1052"/>
      <c r="S517" s="1052"/>
      <c r="T517" s="2035">
        <f t="shared" si="85"/>
        <v>0</v>
      </c>
    </row>
    <row r="518" spans="1:20" ht="22.2" hidden="1" customHeight="1">
      <c r="A518" s="63"/>
      <c r="B518" s="1589" t="s">
        <v>639</v>
      </c>
      <c r="C518" s="64" t="str">
        <f t="shared" si="83"/>
        <v xml:space="preserve"> </v>
      </c>
      <c r="D518" s="1542">
        <v>5.3040000000000003</v>
      </c>
      <c r="E518" s="1048" t="str">
        <f>VLOOKUP($B518,DG!A:D,DG!$B$2,)</f>
        <v>03.1013</v>
      </c>
      <c r="F518" s="1049" t="str">
        <f>VLOOKUP($B518,DG!A:D,DG!$C$2,)</f>
        <v>Đào hố móng đất cấp 3 sâu &gt;1m</v>
      </c>
      <c r="G518" s="1048" t="str">
        <f>VLOOKUP($B518,DG!A:D,DG!$D$2,)</f>
        <v>m3</v>
      </c>
      <c r="H518" s="1824"/>
      <c r="I518" s="1824"/>
      <c r="J518" s="1824"/>
      <c r="K518" s="1824"/>
      <c r="L518" s="1824"/>
      <c r="M518" s="1824"/>
      <c r="N518" s="1824"/>
      <c r="O518" s="1824"/>
      <c r="P518" s="1824"/>
      <c r="Q518" s="1055"/>
      <c r="R518" s="1055"/>
      <c r="S518" s="1055"/>
      <c r="T518" s="2035">
        <f t="shared" si="85"/>
        <v>0</v>
      </c>
    </row>
    <row r="519" spans="1:20" ht="22.2" hidden="1" customHeight="1">
      <c r="A519" s="63"/>
      <c r="B519" s="1589" t="s">
        <v>21</v>
      </c>
      <c r="C519" s="64" t="str">
        <f t="shared" si="83"/>
        <v xml:space="preserve"> </v>
      </c>
      <c r="D519" s="1542">
        <v>2.8450000000000002</v>
      </c>
      <c r="E519" s="1048" t="str">
        <f>VLOOKUP($B519,DG!A:D,DG!$B$2,)</f>
        <v>03.4113</v>
      </c>
      <c r="F519" s="1049" t="str">
        <f>VLOOKUP($B519,DG!A:D,DG!$C$2,)</f>
        <v>Đắp đất hố móng, độ chặt k=0,95</v>
      </c>
      <c r="G519" s="1048" t="str">
        <f>VLOOKUP($B519,DG!A:D,DG!$D$2,)</f>
        <v>m3</v>
      </c>
      <c r="H519" s="1824"/>
      <c r="I519" s="1824"/>
      <c r="J519" s="1824"/>
      <c r="K519" s="1824"/>
      <c r="L519" s="1824"/>
      <c r="M519" s="1824"/>
      <c r="N519" s="1824"/>
      <c r="O519" s="1824"/>
      <c r="P519" s="1824"/>
      <c r="Q519" s="1055"/>
      <c r="R519" s="1055"/>
      <c r="S519" s="1055"/>
      <c r="T519" s="2035">
        <f t="shared" si="85"/>
        <v>0</v>
      </c>
    </row>
    <row r="520" spans="1:20" ht="22.2" hidden="1" customHeight="1">
      <c r="A520" s="63"/>
      <c r="B520" s="1589" t="s">
        <v>1078</v>
      </c>
      <c r="C520" s="64" t="str">
        <f t="shared" si="83"/>
        <v xml:space="preserve"> </v>
      </c>
      <c r="D520" s="1537">
        <f>D516</f>
        <v>0.24</v>
      </c>
      <c r="E520" s="1048" t="str">
        <f>VLOOKUP($B520,DG!A:D,DG!$B$2,)</f>
        <v>03.7000</v>
      </c>
      <c r="F520" s="1049" t="str">
        <f>VLOOKUP($B520,DG!A:D,DG!$C$2,)&amp;"san phaúng ñaàu cöø"</f>
        <v>Đắp cát san phaúng ñaàu cöø</v>
      </c>
      <c r="G520" s="1048" t="str">
        <f>VLOOKUP($B520,DG!A:D,DG!$D$2,)</f>
        <v>m3</v>
      </c>
      <c r="H520" s="1824"/>
      <c r="I520" s="1824"/>
      <c r="J520" s="1824"/>
      <c r="K520" s="1824"/>
      <c r="L520" s="1824"/>
      <c r="M520" s="1824"/>
      <c r="N520" s="1824"/>
      <c r="O520" s="1824"/>
      <c r="P520" s="1824"/>
      <c r="Q520" s="1052"/>
      <c r="R520" s="1052"/>
      <c r="S520" s="1052"/>
      <c r="T520" s="2035">
        <f t="shared" si="85"/>
        <v>0</v>
      </c>
    </row>
    <row r="521" spans="1:20" ht="22.2" hidden="1" customHeight="1">
      <c r="A521" s="63"/>
      <c r="B521" s="1589" t="s">
        <v>9</v>
      </c>
      <c r="C521" s="64" t="str">
        <f t="shared" si="83"/>
        <v xml:space="preserve"> </v>
      </c>
      <c r="D521" s="1538">
        <f>D517</f>
        <v>193.05</v>
      </c>
      <c r="E521" s="1048" t="str">
        <f>VLOOKUP($B521,DG!A:D,DG!$B$2,)</f>
        <v>04.5101</v>
      </c>
      <c r="F521" s="1049" t="str">
        <f>VLOOKUP($B521,DG!A:D,DG!$C$2,)</f>
        <v>Gia công và lắp dựng cốt thép D&lt;=10</v>
      </c>
      <c r="G521" s="1048" t="str">
        <f>VLOOKUP($B521,DG!A:D,DG!$D$2,)</f>
        <v>kg</v>
      </c>
      <c r="H521" s="1824"/>
      <c r="I521" s="1824"/>
      <c r="J521" s="1824"/>
      <c r="K521" s="1824"/>
      <c r="L521" s="1824"/>
      <c r="M521" s="1824"/>
      <c r="N521" s="1824"/>
      <c r="O521" s="1824"/>
      <c r="P521" s="1824"/>
      <c r="Q521" s="1052"/>
      <c r="R521" s="1052"/>
      <c r="S521" s="1052"/>
      <c r="T521" s="2035">
        <f t="shared" si="85"/>
        <v>0</v>
      </c>
    </row>
    <row r="522" spans="1:20" ht="22.2" hidden="1" customHeight="1">
      <c r="A522" s="63"/>
      <c r="B522" s="1589" t="s">
        <v>10</v>
      </c>
      <c r="C522" s="64" t="str">
        <f t="shared" si="83"/>
        <v xml:space="preserve"> </v>
      </c>
      <c r="D522" s="1537">
        <v>8</v>
      </c>
      <c r="E522" s="1048" t="str">
        <f>VLOOKUP($B522,DG!A:D,DG!$B$2,)</f>
        <v>04.2001</v>
      </c>
      <c r="F522" s="1049" t="str">
        <f>VLOOKUP($B522,DG!A:D,DG!$C$2,)</f>
        <v>Gia công và lắp dựng ván khuôn</v>
      </c>
      <c r="G522" s="1048" t="str">
        <f>VLOOKUP($B522,DG!A:D,DG!$D$2,)</f>
        <v>m2</v>
      </c>
      <c r="H522" s="1824"/>
      <c r="I522" s="1824"/>
      <c r="J522" s="1824"/>
      <c r="K522" s="1824"/>
      <c r="L522" s="1824"/>
      <c r="M522" s="1824"/>
      <c r="N522" s="1824"/>
      <c r="O522" s="1824"/>
      <c r="P522" s="1824"/>
      <c r="Q522" s="1052"/>
      <c r="R522" s="1052"/>
      <c r="S522" s="1052"/>
      <c r="T522" s="2035">
        <f t="shared" si="85"/>
        <v>0</v>
      </c>
    </row>
    <row r="523" spans="1:20" ht="22.2" hidden="1" customHeight="1">
      <c r="A523" s="63"/>
      <c r="B523" s="1575" t="s">
        <v>17</v>
      </c>
      <c r="C523" s="64" t="str">
        <f t="shared" si="83"/>
        <v xml:space="preserve"> </v>
      </c>
      <c r="D523" s="1537">
        <f>D517/1000</f>
        <v>0.19305</v>
      </c>
      <c r="E523" s="1048" t="str">
        <f>VLOOKUP($B523,DG!A:C,2,)</f>
        <v>02.1351</v>
      </c>
      <c r="F523" s="1049" t="str">
        <f>VLOOKUP($B523,DG!A:C,3,)</f>
        <v>V/c cốt thép ( cự ly &lt;=100m)</v>
      </c>
      <c r="G523" s="1048" t="str">
        <f>VLOOKUP($B523,DG!A:D,4,0)</f>
        <v>tấn</v>
      </c>
      <c r="H523" s="1824"/>
      <c r="I523" s="1824"/>
      <c r="J523" s="1824"/>
      <c r="K523" s="1824"/>
      <c r="L523" s="1824"/>
      <c r="M523" s="1824"/>
      <c r="N523" s="1824"/>
      <c r="O523" s="1824"/>
      <c r="P523" s="1824"/>
      <c r="Q523" s="1055"/>
      <c r="R523" s="1055"/>
      <c r="S523" s="1055"/>
      <c r="T523" s="2035">
        <f t="shared" si="85"/>
        <v>0</v>
      </c>
    </row>
    <row r="524" spans="1:20" ht="22.2" hidden="1" customHeight="1">
      <c r="A524" s="63"/>
      <c r="B524" s="1575" t="s">
        <v>19</v>
      </c>
      <c r="C524" s="64" t="str">
        <f t="shared" si="83"/>
        <v xml:space="preserve"> </v>
      </c>
      <c r="D524" s="1537">
        <f>D516</f>
        <v>0.24</v>
      </c>
      <c r="E524" s="1048">
        <f>VLOOKUP($B524,DG!A:C,2,)</f>
        <v>0</v>
      </c>
      <c r="F524" s="1049" t="str">
        <f>VLOOKUP($B524,DG!A:C,3,)</f>
        <v>Cát vàng</v>
      </c>
      <c r="G524" s="1048" t="str">
        <f>VLOOKUP($B524,DG!A:D,4,0)</f>
        <v>m3</v>
      </c>
      <c r="H524" s="1824"/>
      <c r="I524" s="1824"/>
      <c r="J524" s="1824"/>
      <c r="K524" s="1824"/>
      <c r="L524" s="1824"/>
      <c r="M524" s="1824"/>
      <c r="N524" s="1824"/>
      <c r="O524" s="1824"/>
      <c r="P524" s="1824"/>
      <c r="Q524" s="1055"/>
      <c r="R524" s="1055"/>
      <c r="S524" s="1055"/>
      <c r="T524" s="2035">
        <f t="shared" si="85"/>
        <v>0</v>
      </c>
    </row>
    <row r="525" spans="1:20" ht="22.2" hidden="1" customHeight="1">
      <c r="A525" s="63"/>
      <c r="B525" s="1575" t="s">
        <v>635</v>
      </c>
      <c r="C525" s="64" t="str">
        <f t="shared" si="83"/>
        <v xml:space="preserve"> </v>
      </c>
      <c r="D525" s="1537">
        <v>0.2</v>
      </c>
      <c r="E525" s="1048" t="str">
        <f>VLOOKUP($B525,DG!A:C,2,)</f>
        <v>02.1482</v>
      </c>
      <c r="F525" s="1049" t="str">
        <f>VLOOKUP($B525,DG!A:C,3,)</f>
        <v>V/c dụng cụ thi công vào vị trí (cự ly &lt;=100m)</v>
      </c>
      <c r="G525" s="1048" t="str">
        <f>VLOOKUP($B525,DG!A:D,4,0)</f>
        <v>tấn</v>
      </c>
      <c r="H525" s="1824"/>
      <c r="I525" s="1824"/>
      <c r="J525" s="1824"/>
      <c r="K525" s="1824"/>
      <c r="L525" s="1824"/>
      <c r="M525" s="1824"/>
      <c r="N525" s="1824"/>
      <c r="O525" s="1824"/>
      <c r="P525" s="1824"/>
      <c r="Q525" s="1055"/>
      <c r="R525" s="1055"/>
      <c r="S525" s="1055"/>
      <c r="T525" s="2035">
        <f t="shared" si="85"/>
        <v>0</v>
      </c>
    </row>
    <row r="526" spans="1:20" ht="22.2" hidden="1" customHeight="1">
      <c r="A526" s="56" t="s">
        <v>891</v>
      </c>
      <c r="B526" s="1574" t="s">
        <v>891</v>
      </c>
      <c r="C526" s="62" t="str">
        <f t="shared" si="83"/>
        <v xml:space="preserve"> </v>
      </c>
      <c r="D526" s="1532"/>
      <c r="E526" s="1045"/>
      <c r="F526" s="1392" t="s">
        <v>2386</v>
      </c>
      <c r="G526" s="1046" t="s">
        <v>2333</v>
      </c>
      <c r="H526" s="1821">
        <f>SUM(I526:O526)</f>
        <v>0</v>
      </c>
      <c r="I526" s="1822"/>
      <c r="J526" s="1822"/>
      <c r="K526" s="1822">
        <f>IFERROR(HLOOKUP(B526,pp3p1m!$1:$3,3,0),0)</f>
        <v>0</v>
      </c>
      <c r="L526" s="1822">
        <f>IFERROR(HLOOKUP(chitiet!B526,pp1p!$1:$3,3,0),0)</f>
        <v>0</v>
      </c>
      <c r="M526" s="1822"/>
      <c r="N526" s="1822"/>
      <c r="O526" s="1822"/>
      <c r="P526" s="1822"/>
      <c r="Q526" s="1047"/>
      <c r="R526" s="1047"/>
      <c r="S526" s="1047"/>
      <c r="T526" s="2035">
        <f>IFERROR(HLOOKUP(B526,pp1p!$1:$3,3,0),0)+IFERROR(HLOOKUP(B526,pp3p1m!$1:$3,3,0),0)</f>
        <v>0</v>
      </c>
    </row>
    <row r="527" spans="1:20" ht="22.2" hidden="1" customHeight="1">
      <c r="A527" s="63"/>
      <c r="B527" s="1589" t="s">
        <v>1578</v>
      </c>
      <c r="C527" s="64" t="str">
        <f t="shared" si="83"/>
        <v xml:space="preserve"> </v>
      </c>
      <c r="D527" s="1538">
        <v>4</v>
      </c>
      <c r="E527" s="1044" t="str">
        <f>VLOOKUP($B527,DG!A:D,DG!$B$2,)</f>
        <v>04.3801</v>
      </c>
      <c r="F527" s="1054" t="str">
        <f>VLOOKUP($B527,DG!A:D,DG!$C$2,)</f>
        <v>Đà cản BTCT 1,5m</v>
      </c>
      <c r="G527" s="1048" t="str">
        <f>VLOOKUP($B527,DG!A:D,DG!$D$2,)</f>
        <v>cái</v>
      </c>
      <c r="H527" s="1824">
        <f t="shared" ref="H527:N528" si="93">H$526*$D527</f>
        <v>0</v>
      </c>
      <c r="I527" s="1824">
        <f t="shared" si="93"/>
        <v>0</v>
      </c>
      <c r="J527" s="1824">
        <f t="shared" si="93"/>
        <v>0</v>
      </c>
      <c r="K527" s="1824">
        <f t="shared" si="93"/>
        <v>0</v>
      </c>
      <c r="L527" s="1824">
        <f t="shared" si="93"/>
        <v>0</v>
      </c>
      <c r="M527" s="1824">
        <f t="shared" si="93"/>
        <v>0</v>
      </c>
      <c r="N527" s="1824">
        <f t="shared" si="93"/>
        <v>0</v>
      </c>
      <c r="O527" s="1824"/>
      <c r="P527" s="1824"/>
      <c r="Q527" s="1052"/>
      <c r="R527" s="1052"/>
      <c r="S527" s="1052"/>
      <c r="T527" s="2035">
        <f t="shared" si="85"/>
        <v>0</v>
      </c>
    </row>
    <row r="528" spans="1:20" ht="22.2" hidden="1" customHeight="1">
      <c r="A528" s="63"/>
      <c r="B528" s="1589" t="s">
        <v>416</v>
      </c>
      <c r="C528" s="64" t="str">
        <f t="shared" si="83"/>
        <v xml:space="preserve"> </v>
      </c>
      <c r="D528" s="1538">
        <v>4</v>
      </c>
      <c r="E528" s="1044"/>
      <c r="F528" s="1391" t="str">
        <f>VLOOKUP($B528,DG!A:D,DG!$C$2,)</f>
        <v>Boulon 22x800+ 2 long đền vuông D24-50x50x3/Zn</v>
      </c>
      <c r="G528" s="1048" t="str">
        <f>VLOOKUP($B528,DG!A:D,DG!$D$2,)</f>
        <v>bộ</v>
      </c>
      <c r="H528" s="1824">
        <f t="shared" si="93"/>
        <v>0</v>
      </c>
      <c r="I528" s="1824">
        <f t="shared" si="93"/>
        <v>0</v>
      </c>
      <c r="J528" s="1824">
        <f t="shared" si="93"/>
        <v>0</v>
      </c>
      <c r="K528" s="1824">
        <f t="shared" si="93"/>
        <v>0</v>
      </c>
      <c r="L528" s="1824">
        <f t="shared" si="93"/>
        <v>0</v>
      </c>
      <c r="M528" s="1824">
        <f t="shared" si="93"/>
        <v>0</v>
      </c>
      <c r="N528" s="1824">
        <f t="shared" si="93"/>
        <v>0</v>
      </c>
      <c r="O528" s="1824"/>
      <c r="P528" s="1824"/>
      <c r="Q528" s="1052"/>
      <c r="R528" s="1052"/>
      <c r="S528" s="1052"/>
      <c r="T528" s="2035">
        <f t="shared" si="85"/>
        <v>0</v>
      </c>
    </row>
    <row r="529" spans="1:20" ht="22.2" hidden="1" customHeight="1">
      <c r="A529" s="63"/>
      <c r="B529" s="1589" t="s">
        <v>639</v>
      </c>
      <c r="C529" s="64" t="str">
        <f t="shared" si="83"/>
        <v xml:space="preserve"> </v>
      </c>
      <c r="D529" s="1537">
        <v>21.8</v>
      </c>
      <c r="E529" s="1048" t="str">
        <f>VLOOKUP($B529,DG!A:D,DG!$B$2,)</f>
        <v>03.1013</v>
      </c>
      <c r="F529" s="1049" t="str">
        <f>VLOOKUP($B529,DG!A:D,DG!$C$2,)</f>
        <v>Đào hố móng đất cấp 3 sâu &gt;1m</v>
      </c>
      <c r="G529" s="1048" t="str">
        <f>VLOOKUP($B529,DG!A:D,DG!$D$2,)</f>
        <v>m3</v>
      </c>
      <c r="H529" s="1824"/>
      <c r="I529" s="1824"/>
      <c r="J529" s="1824"/>
      <c r="K529" s="1824"/>
      <c r="L529" s="1824"/>
      <c r="M529" s="1824"/>
      <c r="N529" s="1824"/>
      <c r="O529" s="1824"/>
      <c r="P529" s="1824"/>
      <c r="Q529" s="1055"/>
      <c r="R529" s="1055"/>
      <c r="S529" s="1055"/>
      <c r="T529" s="2035">
        <f t="shared" ref="T529:T592" si="94">IFERROR(HLOOKUP(B529,BangKeTru,3,0),0)</f>
        <v>0</v>
      </c>
    </row>
    <row r="530" spans="1:20" ht="22.2" hidden="1" customHeight="1">
      <c r="A530" s="63"/>
      <c r="B530" s="1589" t="s">
        <v>21</v>
      </c>
      <c r="C530" s="64" t="str">
        <f t="shared" ref="C530:C593" si="95">IF(OR(P530&lt;&gt;0,H530&lt;&gt;0),"x"," ")</f>
        <v xml:space="preserve"> </v>
      </c>
      <c r="D530" s="1537">
        <v>23.1</v>
      </c>
      <c r="E530" s="1048" t="str">
        <f>VLOOKUP($B530,DG!A:D,DG!$B$2,)</f>
        <v>03.4113</v>
      </c>
      <c r="F530" s="1049" t="str">
        <f>VLOOKUP($B530,DG!A:D,DG!$C$2,)</f>
        <v>Đắp đất hố móng, độ chặt k=0,95</v>
      </c>
      <c r="G530" s="1048" t="str">
        <f>VLOOKUP($B530,DG!A:D,DG!$D$2,)</f>
        <v>m3</v>
      </c>
      <c r="H530" s="1824"/>
      <c r="I530" s="1824"/>
      <c r="J530" s="1824"/>
      <c r="K530" s="1824"/>
      <c r="L530" s="1824"/>
      <c r="M530" s="1824"/>
      <c r="N530" s="1824"/>
      <c r="O530" s="1824"/>
      <c r="P530" s="1824"/>
      <c r="Q530" s="1055"/>
      <c r="R530" s="1055"/>
      <c r="S530" s="1055"/>
      <c r="T530" s="2035">
        <f t="shared" si="94"/>
        <v>0</v>
      </c>
    </row>
    <row r="531" spans="1:20" ht="22.2" hidden="1" customHeight="1">
      <c r="A531" s="63"/>
      <c r="B531" s="1589" t="s">
        <v>637</v>
      </c>
      <c r="C531" s="64" t="str">
        <f t="shared" si="95"/>
        <v xml:space="preserve"> </v>
      </c>
      <c r="D531" s="1537">
        <f>0.255*D527</f>
        <v>1.02</v>
      </c>
      <c r="E531" s="1048" t="str">
        <f>VLOOKUP($B531,DG!A:D,DG!$B$2,)</f>
        <v>02.1123</v>
      </c>
      <c r="F531" s="1049" t="str">
        <f>VLOOKUP($B531,DG!A:D,DG!$C$2,)</f>
        <v>Bốc dỡ đà cản, đế néo</v>
      </c>
      <c r="G531" s="1048" t="str">
        <f>VLOOKUP($B531,DG!A:D,DG!$D$2,)</f>
        <v>tấn</v>
      </c>
      <c r="H531" s="1824"/>
      <c r="I531" s="1824"/>
      <c r="J531" s="1824"/>
      <c r="K531" s="1824"/>
      <c r="L531" s="1824"/>
      <c r="M531" s="1824"/>
      <c r="N531" s="1824"/>
      <c r="O531" s="1824"/>
      <c r="P531" s="1824"/>
      <c r="Q531" s="1052"/>
      <c r="R531" s="1052"/>
      <c r="S531" s="1052"/>
      <c r="T531" s="2035">
        <f t="shared" si="94"/>
        <v>0</v>
      </c>
    </row>
    <row r="532" spans="1:20" ht="22.2" hidden="1" customHeight="1">
      <c r="A532" s="63"/>
      <c r="B532" s="1575" t="s">
        <v>2069</v>
      </c>
      <c r="C532" s="64" t="str">
        <f t="shared" si="95"/>
        <v xml:space="preserve"> </v>
      </c>
      <c r="D532" s="1537">
        <f>D531</f>
        <v>1.02</v>
      </c>
      <c r="E532" s="1048" t="str">
        <f>VLOOKUP($B532,DG!A:C,2,)</f>
        <v>02.1451</v>
      </c>
      <c r="F532" s="1049" t="str">
        <f>VLOOKUP($B532,DG!A:C,3,)</f>
        <v>V/c đà cản vào vị trí (cự ly &lt;=100m)</v>
      </c>
      <c r="G532" s="1048" t="str">
        <f>VLOOKUP($B532,DG!A:D,4,0)</f>
        <v>tấn</v>
      </c>
      <c r="H532" s="1824"/>
      <c r="I532" s="1824"/>
      <c r="J532" s="1824"/>
      <c r="K532" s="1824"/>
      <c r="L532" s="1824"/>
      <c r="M532" s="1824"/>
      <c r="N532" s="1824"/>
      <c r="O532" s="1824"/>
      <c r="P532" s="1824"/>
      <c r="Q532" s="1055"/>
      <c r="R532" s="1055"/>
      <c r="S532" s="1055"/>
      <c r="T532" s="2035">
        <f t="shared" si="94"/>
        <v>0</v>
      </c>
    </row>
    <row r="533" spans="1:20" ht="22.2" hidden="1" customHeight="1">
      <c r="A533" s="63"/>
      <c r="B533" s="1575" t="s">
        <v>635</v>
      </c>
      <c r="C533" s="64" t="str">
        <f t="shared" si="95"/>
        <v xml:space="preserve"> </v>
      </c>
      <c r="D533" s="1537">
        <v>0.2</v>
      </c>
      <c r="E533" s="1048" t="str">
        <f>VLOOKUP($B533,DG!A:C,2,)</f>
        <v>02.1482</v>
      </c>
      <c r="F533" s="1049" t="str">
        <f>VLOOKUP($B533,DG!A:C,3,)</f>
        <v>V/c dụng cụ thi công vào vị trí (cự ly &lt;=100m)</v>
      </c>
      <c r="G533" s="1048" t="str">
        <f>VLOOKUP($B533,DG!A:D,4,0)</f>
        <v>tấn</v>
      </c>
      <c r="H533" s="1824"/>
      <c r="I533" s="1824"/>
      <c r="J533" s="1824"/>
      <c r="K533" s="1824"/>
      <c r="L533" s="1824"/>
      <c r="M533" s="1824"/>
      <c r="N533" s="1824"/>
      <c r="O533" s="1824"/>
      <c r="P533" s="1824"/>
      <c r="Q533" s="1055"/>
      <c r="R533" s="1055"/>
      <c r="S533" s="1055"/>
      <c r="T533" s="2035">
        <f t="shared" si="94"/>
        <v>0</v>
      </c>
    </row>
    <row r="534" spans="1:20" ht="22.2" hidden="1" customHeight="1">
      <c r="A534" s="56" t="s">
        <v>513</v>
      </c>
      <c r="B534" s="1574" t="s">
        <v>513</v>
      </c>
      <c r="C534" s="62" t="str">
        <f t="shared" si="95"/>
        <v xml:space="preserve"> </v>
      </c>
      <c r="D534" s="1532"/>
      <c r="E534" s="1045"/>
      <c r="F534" s="1392" t="s">
        <v>2387</v>
      </c>
      <c r="G534" s="1046" t="s">
        <v>2388</v>
      </c>
      <c r="H534" s="1821">
        <f>SUM(I534:O534)</f>
        <v>0</v>
      </c>
      <c r="I534" s="1822"/>
      <c r="J534" s="1822"/>
      <c r="K534" s="1822">
        <f>IFERROR(HLOOKUP(B534,pp3p1m!$1:$3,3,0),0)</f>
        <v>0</v>
      </c>
      <c r="L534" s="1822">
        <f>IFERROR(HLOOKUP(chitiet!B534,pp1p!$1:$3,3,0),0)</f>
        <v>0</v>
      </c>
      <c r="M534" s="1822"/>
      <c r="N534" s="1822"/>
      <c r="O534" s="1822"/>
      <c r="P534" s="1822"/>
      <c r="Q534" s="1047"/>
      <c r="R534" s="1047"/>
      <c r="S534" s="1047"/>
      <c r="T534" s="2035">
        <f>IFERROR(HLOOKUP(B534,pp1p!$1:$3,3,0),0)+IFERROR(HLOOKUP(B534,pp3p1m!$1:$3,3,0),0)</f>
        <v>0</v>
      </c>
    </row>
    <row r="535" spans="1:20" ht="22.2" hidden="1" customHeight="1">
      <c r="A535" s="63"/>
      <c r="B535" s="1575" t="s">
        <v>751</v>
      </c>
      <c r="C535" s="64" t="str">
        <f t="shared" si="95"/>
        <v xml:space="preserve"> </v>
      </c>
      <c r="D535" s="1536">
        <f>D548*P548+D549*P549</f>
        <v>0</v>
      </c>
      <c r="E535" s="1044"/>
      <c r="F535" s="1049" t="str">
        <f>VLOOKUP($B535,DG!A:D,DG!$C$2,)</f>
        <v>Ximăng (PC40)</v>
      </c>
      <c r="G535" s="1048" t="str">
        <f>VLOOKUP($B535,DG!A:D,DG!$D$2,)</f>
        <v>kg</v>
      </c>
      <c r="H535" s="1823">
        <f t="shared" ref="H535:N537" si="96">H$534*$D535</f>
        <v>0</v>
      </c>
      <c r="I535" s="1823">
        <f t="shared" si="96"/>
        <v>0</v>
      </c>
      <c r="J535" s="1823">
        <f t="shared" si="96"/>
        <v>0</v>
      </c>
      <c r="K535" s="1823">
        <f t="shared" si="96"/>
        <v>0</v>
      </c>
      <c r="L535" s="1823">
        <f t="shared" si="96"/>
        <v>0</v>
      </c>
      <c r="M535" s="1823">
        <f t="shared" si="96"/>
        <v>0</v>
      </c>
      <c r="N535" s="1823">
        <f t="shared" si="96"/>
        <v>0</v>
      </c>
      <c r="O535" s="1823"/>
      <c r="P535" s="1823"/>
      <c r="Q535" s="1053"/>
      <c r="R535" s="1053"/>
      <c r="S535" s="1053"/>
      <c r="T535" s="2035">
        <f t="shared" si="94"/>
        <v>0</v>
      </c>
    </row>
    <row r="536" spans="1:20" ht="22.2" hidden="1" customHeight="1">
      <c r="A536" s="63"/>
      <c r="B536" s="1576" t="s">
        <v>4440</v>
      </c>
      <c r="C536" s="64" t="str">
        <f t="shared" si="95"/>
        <v xml:space="preserve"> </v>
      </c>
      <c r="D536" s="1536">
        <f>D548*Q548+D549*Q549</f>
        <v>0</v>
      </c>
      <c r="E536" s="1048"/>
      <c r="F536" s="1049" t="str">
        <f>VLOOKUP($B536,DG!A:D,DG!$C$2,)</f>
        <v>Cát vàng</v>
      </c>
      <c r="G536" s="1048" t="str">
        <f>VLOOKUP($B536,DG!A:D,DG!$D$2,)</f>
        <v>m3</v>
      </c>
      <c r="H536" s="1823">
        <f t="shared" si="96"/>
        <v>0</v>
      </c>
      <c r="I536" s="1823">
        <f t="shared" si="96"/>
        <v>0</v>
      </c>
      <c r="J536" s="1823">
        <f t="shared" si="96"/>
        <v>0</v>
      </c>
      <c r="K536" s="1823">
        <f t="shared" si="96"/>
        <v>0</v>
      </c>
      <c r="L536" s="1823">
        <f t="shared" si="96"/>
        <v>0</v>
      </c>
      <c r="M536" s="1823">
        <f t="shared" si="96"/>
        <v>0</v>
      </c>
      <c r="N536" s="1823">
        <f t="shared" si="96"/>
        <v>0</v>
      </c>
      <c r="O536" s="1823"/>
      <c r="P536" s="1823"/>
      <c r="Q536" s="1053"/>
      <c r="R536" s="1053"/>
      <c r="S536" s="1053"/>
      <c r="T536" s="2035">
        <f t="shared" si="94"/>
        <v>0</v>
      </c>
    </row>
    <row r="537" spans="1:20" ht="22.2" hidden="1" customHeight="1">
      <c r="A537" s="63"/>
      <c r="B537" s="1575" t="s">
        <v>867</v>
      </c>
      <c r="C537" s="64" t="str">
        <f t="shared" si="95"/>
        <v xml:space="preserve"> </v>
      </c>
      <c r="D537" s="1536">
        <f>D549*R549</f>
        <v>0</v>
      </c>
      <c r="E537" s="1048" t="s">
        <v>723</v>
      </c>
      <c r="F537" s="1049" t="str">
        <f>VLOOKUP($B537,DG!A:D,DG!$C$2,)</f>
        <v>Đá 1x2</v>
      </c>
      <c r="G537" s="1048" t="str">
        <f>VLOOKUP($B537,DG!A:D,DG!$D$2,)</f>
        <v>m3</v>
      </c>
      <c r="H537" s="1823">
        <f t="shared" si="96"/>
        <v>0</v>
      </c>
      <c r="I537" s="1823">
        <f t="shared" si="96"/>
        <v>0</v>
      </c>
      <c r="J537" s="1823">
        <f t="shared" si="96"/>
        <v>0</v>
      </c>
      <c r="K537" s="1823">
        <f t="shared" si="96"/>
        <v>0</v>
      </c>
      <c r="L537" s="1823">
        <f t="shared" si="96"/>
        <v>0</v>
      </c>
      <c r="M537" s="1823">
        <f t="shared" si="96"/>
        <v>0</v>
      </c>
      <c r="N537" s="1823">
        <f t="shared" si="96"/>
        <v>0</v>
      </c>
      <c r="O537" s="1823"/>
      <c r="P537" s="1823"/>
      <c r="Q537" s="1053"/>
      <c r="R537" s="1053"/>
      <c r="S537" s="1053"/>
      <c r="T537" s="2035">
        <f t="shared" si="94"/>
        <v>0</v>
      </c>
    </row>
    <row r="538" spans="1:20" ht="22.2" hidden="1" customHeight="1">
      <c r="A538" s="63"/>
      <c r="B538" s="1575" t="s">
        <v>1983</v>
      </c>
      <c r="C538" s="64" t="str">
        <f t="shared" si="95"/>
        <v xml:space="preserve"> </v>
      </c>
      <c r="D538" s="1536">
        <f>D548*R548</f>
        <v>0</v>
      </c>
      <c r="E538" s="1048" t="s">
        <v>723</v>
      </c>
      <c r="F538" s="1049" t="str">
        <f>VLOOKUP($B538,DG!A:D,DG!$C$2,)</f>
        <v>Đá 4x6</v>
      </c>
      <c r="G538" s="1048" t="str">
        <f>VLOOKUP($B538,DG!A:D,DG!$D$2,)</f>
        <v>m3</v>
      </c>
      <c r="H538" s="1823"/>
      <c r="I538" s="1823"/>
      <c r="J538" s="1823"/>
      <c r="K538" s="1823"/>
      <c r="L538" s="1823"/>
      <c r="M538" s="1823"/>
      <c r="N538" s="1823"/>
      <c r="O538" s="1823"/>
      <c r="P538" s="1823"/>
      <c r="Q538" s="1053"/>
      <c r="R538" s="1053"/>
      <c r="S538" s="1053"/>
      <c r="T538" s="2035">
        <f t="shared" si="94"/>
        <v>0</v>
      </c>
    </row>
    <row r="539" spans="1:20" ht="22.2" hidden="1" customHeight="1">
      <c r="A539" s="63"/>
      <c r="B539" s="1575" t="s">
        <v>1977</v>
      </c>
      <c r="C539" s="64" t="str">
        <f t="shared" si="95"/>
        <v xml:space="preserve"> </v>
      </c>
      <c r="D539" s="1536">
        <v>4.74</v>
      </c>
      <c r="E539" s="1048" t="s">
        <v>723</v>
      </c>
      <c r="F539" s="1054" t="str">
        <f>VLOOKUP($B539,DG!A:D,DG!$C$2,)</f>
        <v>Sắt Ø6</v>
      </c>
      <c r="G539" s="1048" t="str">
        <f>VLOOKUP($B539,DG!A:D,DG!$D$2,)</f>
        <v>kg</v>
      </c>
      <c r="H539" s="1823"/>
      <c r="I539" s="1823"/>
      <c r="J539" s="1823"/>
      <c r="K539" s="1823"/>
      <c r="L539" s="1823"/>
      <c r="M539" s="1823"/>
      <c r="N539" s="1823"/>
      <c r="O539" s="1823"/>
      <c r="P539" s="1823"/>
      <c r="Q539" s="1053"/>
      <c r="R539" s="1053"/>
      <c r="S539" s="1053"/>
      <c r="T539" s="2035">
        <f t="shared" si="94"/>
        <v>0</v>
      </c>
    </row>
    <row r="540" spans="1:20" ht="22.2" hidden="1" customHeight="1">
      <c r="A540" s="63"/>
      <c r="B540" s="1575" t="s">
        <v>857</v>
      </c>
      <c r="C540" s="64" t="str">
        <f t="shared" si="95"/>
        <v xml:space="preserve"> </v>
      </c>
      <c r="D540" s="1543">
        <f>S549*D549</f>
        <v>0</v>
      </c>
      <c r="E540" s="1048" t="s">
        <v>723</v>
      </c>
      <c r="F540" s="1054" t="str">
        <f>VLOOKUP($B540,DG!A:D,DG!$C$2,)</f>
        <v>Gỗ ván khuôn</v>
      </c>
      <c r="G540" s="1048" t="str">
        <f>VLOOKUP($B540,DG!A:D,DG!$D$2,)</f>
        <v>m3</v>
      </c>
      <c r="H540" s="1823"/>
      <c r="I540" s="1823"/>
      <c r="J540" s="1823"/>
      <c r="K540" s="1823"/>
      <c r="L540" s="1823"/>
      <c r="M540" s="1823"/>
      <c r="N540" s="1823"/>
      <c r="O540" s="1823"/>
      <c r="P540" s="1823"/>
      <c r="Q540" s="1053"/>
      <c r="R540" s="1053"/>
      <c r="S540" s="1053"/>
      <c r="T540" s="2035">
        <f t="shared" si="94"/>
        <v>0</v>
      </c>
    </row>
    <row r="541" spans="1:20" ht="22.2" hidden="1" customHeight="1">
      <c r="A541" s="63"/>
      <c r="B541" s="1575" t="s">
        <v>871</v>
      </c>
      <c r="C541" s="64" t="str">
        <f t="shared" si="95"/>
        <v xml:space="preserve"> </v>
      </c>
      <c r="D541" s="1540">
        <v>0.1</v>
      </c>
      <c r="E541" s="1048" t="s">
        <v>723</v>
      </c>
      <c r="F541" s="1054" t="str">
        <f>VLOOKUP($B541,DG!A:D,DG!$C$2,)</f>
        <v>Dây thép buộc A70</v>
      </c>
      <c r="G541" s="1048" t="str">
        <f>VLOOKUP($B541,DG!A:D,DG!$D$2,)</f>
        <v>kg</v>
      </c>
      <c r="H541" s="1823"/>
      <c r="I541" s="1823"/>
      <c r="J541" s="1823"/>
      <c r="K541" s="1823"/>
      <c r="L541" s="1823"/>
      <c r="M541" s="1823"/>
      <c r="N541" s="1823"/>
      <c r="O541" s="1823"/>
      <c r="P541" s="1823"/>
      <c r="Q541" s="1053"/>
      <c r="R541" s="1053"/>
      <c r="S541" s="1053"/>
      <c r="T541" s="2035">
        <f t="shared" si="94"/>
        <v>0</v>
      </c>
    </row>
    <row r="542" spans="1:20" ht="22.2" hidden="1" customHeight="1">
      <c r="A542" s="63"/>
      <c r="B542" s="1575" t="s">
        <v>639</v>
      </c>
      <c r="C542" s="64" t="str">
        <f t="shared" si="95"/>
        <v xml:space="preserve"> </v>
      </c>
      <c r="D542" s="1533">
        <v>0.29599999999999999</v>
      </c>
      <c r="E542" s="1048" t="s">
        <v>707</v>
      </c>
      <c r="F542" s="1049" t="str">
        <f>VLOOKUP($B542,DG!A:D,DG!$C$2,)</f>
        <v>Đào hố móng đất cấp 3 sâu &gt;1m</v>
      </c>
      <c r="G542" s="1048" t="str">
        <f>VLOOKUP($B542,DG!A:D,DG!$D$2,)</f>
        <v>m3</v>
      </c>
      <c r="H542" s="1823">
        <f t="shared" ref="H542:N543" si="97">H$534*$D542</f>
        <v>0</v>
      </c>
      <c r="I542" s="1823">
        <f t="shared" si="97"/>
        <v>0</v>
      </c>
      <c r="J542" s="1823">
        <f t="shared" si="97"/>
        <v>0</v>
      </c>
      <c r="K542" s="1823">
        <f t="shared" si="97"/>
        <v>0</v>
      </c>
      <c r="L542" s="1823">
        <f t="shared" si="97"/>
        <v>0</v>
      </c>
      <c r="M542" s="1823">
        <f t="shared" si="97"/>
        <v>0</v>
      </c>
      <c r="N542" s="1823">
        <f t="shared" si="97"/>
        <v>0</v>
      </c>
      <c r="O542" s="1823"/>
      <c r="P542" s="1823"/>
      <c r="Q542" s="1053"/>
      <c r="R542" s="1053"/>
      <c r="S542" s="1053"/>
      <c r="T542" s="2035">
        <f t="shared" si="94"/>
        <v>0</v>
      </c>
    </row>
    <row r="543" spans="1:20" ht="22.2" hidden="1" customHeight="1">
      <c r="A543" s="63"/>
      <c r="B543" s="1575" t="s">
        <v>21</v>
      </c>
      <c r="C543" s="64" t="str">
        <f t="shared" si="95"/>
        <v xml:space="preserve"> </v>
      </c>
      <c r="D543" s="1533">
        <v>0.218</v>
      </c>
      <c r="E543" s="1048" t="s">
        <v>22</v>
      </c>
      <c r="F543" s="1049" t="str">
        <f>VLOOKUP($B543,DG!A:D,DG!$C$2,)</f>
        <v>Đắp đất hố móng, độ chặt k=0,95</v>
      </c>
      <c r="G543" s="1048" t="str">
        <f>VLOOKUP($B543,DG!A:D,DG!$D$2,)</f>
        <v>m3</v>
      </c>
      <c r="H543" s="1823">
        <f t="shared" si="97"/>
        <v>0</v>
      </c>
      <c r="I543" s="1823">
        <f t="shared" si="97"/>
        <v>0</v>
      </c>
      <c r="J543" s="1823">
        <f t="shared" si="97"/>
        <v>0</v>
      </c>
      <c r="K543" s="1823">
        <f t="shared" si="97"/>
        <v>0</v>
      </c>
      <c r="L543" s="1823">
        <f t="shared" si="97"/>
        <v>0</v>
      </c>
      <c r="M543" s="1823">
        <f t="shared" si="97"/>
        <v>0</v>
      </c>
      <c r="N543" s="1823">
        <f t="shared" si="97"/>
        <v>0</v>
      </c>
      <c r="O543" s="1823"/>
      <c r="P543" s="1823"/>
      <c r="Q543" s="1053"/>
      <c r="R543" s="1053"/>
      <c r="S543" s="1053"/>
      <c r="T543" s="2035">
        <f t="shared" si="94"/>
        <v>0</v>
      </c>
    </row>
    <row r="544" spans="1:20" ht="22.2" hidden="1" customHeight="1">
      <c r="A544" s="59"/>
      <c r="B544" s="1575" t="s">
        <v>495</v>
      </c>
      <c r="C544" s="64" t="str">
        <f t="shared" si="95"/>
        <v xml:space="preserve"> </v>
      </c>
      <c r="D544" s="1533">
        <f>D535/1000</f>
        <v>0</v>
      </c>
      <c r="E544" s="1048" t="str">
        <f>VLOOKUP($B544,DG!A:D,DG!$B$2,)</f>
        <v>02.1211</v>
      </c>
      <c r="F544" s="1049" t="str">
        <f>VLOOKUP($B544,DG!A:D,DG!$C$2,)</f>
        <v>V/c xi măng ( cự ly &lt;=100m)</v>
      </c>
      <c r="G544" s="1048" t="str">
        <f>VLOOKUP($B544,DG!A:D,DG!$D$2,)</f>
        <v>tấn</v>
      </c>
      <c r="H544" s="1823"/>
      <c r="I544" s="1823"/>
      <c r="J544" s="1823"/>
      <c r="K544" s="1823"/>
      <c r="L544" s="1823"/>
      <c r="M544" s="1823"/>
      <c r="N544" s="1823"/>
      <c r="O544" s="1823"/>
      <c r="P544" s="1823"/>
      <c r="Q544" s="1053"/>
      <c r="R544" s="1053"/>
      <c r="S544" s="1053"/>
      <c r="T544" s="2035">
        <f t="shared" si="94"/>
        <v>0</v>
      </c>
    </row>
    <row r="545" spans="1:20" ht="22.2" hidden="1" customHeight="1">
      <c r="A545" s="59"/>
      <c r="B545" s="1575" t="s">
        <v>1614</v>
      </c>
      <c r="C545" s="64" t="str">
        <f t="shared" si="95"/>
        <v xml:space="preserve"> </v>
      </c>
      <c r="D545" s="1533">
        <f>D536</f>
        <v>0</v>
      </c>
      <c r="E545" s="1048" t="str">
        <f>VLOOKUP($B545,DG!A:D,DG!$B$2,)</f>
        <v>02.1231</v>
      </c>
      <c r="F545" s="1049" t="str">
        <f>VLOOKUP($B545,DG!A:D,DG!$C$2,)</f>
        <v>V/c cát vàng cự ly &lt;=100m</v>
      </c>
      <c r="G545" s="1048" t="str">
        <f>VLOOKUP($B545,DG!A:D,DG!$D$2,)</f>
        <v>m3</v>
      </c>
      <c r="H545" s="1823"/>
      <c r="I545" s="1823"/>
      <c r="J545" s="1823"/>
      <c r="K545" s="1823"/>
      <c r="L545" s="1823"/>
      <c r="M545" s="1823"/>
      <c r="N545" s="1823"/>
      <c r="O545" s="1823"/>
      <c r="P545" s="1823"/>
      <c r="Q545" s="1053"/>
      <c r="R545" s="1053"/>
      <c r="S545" s="1053"/>
      <c r="T545" s="2035">
        <f t="shared" si="94"/>
        <v>0</v>
      </c>
    </row>
    <row r="546" spans="1:20" ht="22.2" hidden="1" customHeight="1">
      <c r="A546" s="59"/>
      <c r="B546" s="1575" t="s">
        <v>521</v>
      </c>
      <c r="C546" s="64" t="str">
        <f t="shared" si="95"/>
        <v xml:space="preserve"> </v>
      </c>
      <c r="D546" s="1533">
        <f>D537</f>
        <v>0</v>
      </c>
      <c r="E546" s="1048" t="str">
        <f>VLOOKUP($B546,DG!A:D,DG!$B$2,)</f>
        <v>02.1241</v>
      </c>
      <c r="F546" s="1049" t="str">
        <f>VLOOKUP($B546,DG!A:D,DG!$C$2,)</f>
        <v>V/c đá dăm ( cự ly &lt;=100m)</v>
      </c>
      <c r="G546" s="1048" t="str">
        <f>VLOOKUP($B546,DG!A:D,DG!$D$2,)</f>
        <v>m3</v>
      </c>
      <c r="H546" s="1823"/>
      <c r="I546" s="1823"/>
      <c r="J546" s="1823"/>
      <c r="K546" s="1823"/>
      <c r="L546" s="1823"/>
      <c r="M546" s="1823"/>
      <c r="N546" s="1823"/>
      <c r="O546" s="1823"/>
      <c r="P546" s="1823"/>
      <c r="Q546" s="1053"/>
      <c r="R546" s="1053"/>
      <c r="S546" s="1053"/>
      <c r="T546" s="2035">
        <f t="shared" si="94"/>
        <v>0</v>
      </c>
    </row>
    <row r="547" spans="1:20" ht="22.2" hidden="1" customHeight="1">
      <c r="A547" s="59"/>
      <c r="B547" s="1575" t="s">
        <v>9</v>
      </c>
      <c r="C547" s="64" t="str">
        <f t="shared" si="95"/>
        <v xml:space="preserve"> </v>
      </c>
      <c r="D547" s="1533">
        <f>D539</f>
        <v>4.74</v>
      </c>
      <c r="E547" s="1048" t="str">
        <f>VLOOKUP($B547,DG!A:D,DG!$B$2,)</f>
        <v>04.5101</v>
      </c>
      <c r="F547" s="1049" t="str">
        <f>VLOOKUP($B547,DG!A:D,DG!$C$2,)</f>
        <v>Gia công và lắp dựng cốt thép D&lt;=10</v>
      </c>
      <c r="G547" s="1048" t="str">
        <f>VLOOKUP($B547,DG!A:D,DG!$D$2,)</f>
        <v>kg</v>
      </c>
      <c r="H547" s="1823"/>
      <c r="I547" s="1823"/>
      <c r="J547" s="1823"/>
      <c r="K547" s="1823"/>
      <c r="L547" s="1823"/>
      <c r="M547" s="1823"/>
      <c r="N547" s="1823"/>
      <c r="O547" s="1823"/>
      <c r="P547" s="1823"/>
      <c r="Q547" s="1053"/>
      <c r="R547" s="1053"/>
      <c r="S547" s="1053"/>
      <c r="T547" s="2035">
        <f t="shared" si="94"/>
        <v>0</v>
      </c>
    </row>
    <row r="548" spans="1:20" ht="22.2" hidden="1" customHeight="1">
      <c r="A548" s="59"/>
      <c r="B548" s="1575" t="s">
        <v>1959</v>
      </c>
      <c r="C548" s="64" t="str">
        <f t="shared" si="95"/>
        <v xml:space="preserve"> </v>
      </c>
      <c r="D548" s="1543">
        <v>3.5000000000000003E-2</v>
      </c>
      <c r="E548" s="1048" t="str">
        <f>VLOOKUP($B548,DG!A:D,DG!$B$2,)</f>
        <v>04.3112</v>
      </c>
      <c r="F548" s="1049" t="str">
        <f>VLOOKUP($B548,DG!A:D,DG!$C$2,)</f>
        <v>Đổ bê tông mác M100 đá 4x6</v>
      </c>
      <c r="G548" s="1048" t="str">
        <f>VLOOKUP($B548,DG!A:D,DG!$D$2,)</f>
        <v>m3</v>
      </c>
      <c r="H548" s="1824"/>
      <c r="I548" s="1824"/>
      <c r="J548" s="1824"/>
      <c r="K548" s="1824"/>
      <c r="L548" s="1824"/>
      <c r="M548" s="1824"/>
      <c r="N548" s="1824"/>
      <c r="O548" s="1824"/>
      <c r="P548" s="1824"/>
      <c r="Q548" s="1055"/>
      <c r="R548" s="1055"/>
      <c r="S548" s="1055"/>
      <c r="T548" s="2035">
        <f t="shared" si="94"/>
        <v>0</v>
      </c>
    </row>
    <row r="549" spans="1:20" ht="22.2" hidden="1" customHeight="1">
      <c r="A549" s="59"/>
      <c r="B549" s="1575" t="s">
        <v>1840</v>
      </c>
      <c r="C549" s="64" t="str">
        <f t="shared" si="95"/>
        <v xml:space="preserve"> </v>
      </c>
      <c r="D549" s="1543">
        <v>5.0500000000000003E-2</v>
      </c>
      <c r="E549" s="1048" t="str">
        <f>VLOOKUP($B549,DG!A:D,DG!$B$2,)</f>
        <v>04.1203c</v>
      </c>
      <c r="F549" s="1049" t="str">
        <f>VLOOKUP($B549,DG!A:D,DG!$C$2,)</f>
        <v>Đổ bê tông móng trụ &lt;=250cm-M200 đá 1x2</v>
      </c>
      <c r="G549" s="1048" t="str">
        <f>VLOOKUP($B549,DG!A:D,DG!$D$2,)</f>
        <v>m3</v>
      </c>
      <c r="H549" s="1824"/>
      <c r="I549" s="1824"/>
      <c r="J549" s="1824"/>
      <c r="K549" s="1824"/>
      <c r="L549" s="1824"/>
      <c r="M549" s="1824"/>
      <c r="N549" s="1824"/>
      <c r="O549" s="1824"/>
      <c r="P549" s="1824"/>
      <c r="Q549" s="1055"/>
      <c r="R549" s="1055"/>
      <c r="S549" s="1055"/>
      <c r="T549" s="2035">
        <f t="shared" si="94"/>
        <v>0</v>
      </c>
    </row>
    <row r="550" spans="1:20" ht="22.2" hidden="1" customHeight="1">
      <c r="A550" s="56" t="s">
        <v>549</v>
      </c>
      <c r="B550" s="1574" t="s">
        <v>549</v>
      </c>
      <c r="C550" s="62" t="str">
        <f t="shared" si="95"/>
        <v xml:space="preserve"> </v>
      </c>
      <c r="D550" s="1532"/>
      <c r="E550" s="1045"/>
      <c r="F550" s="1392" t="s">
        <v>2389</v>
      </c>
      <c r="G550" s="1046" t="s">
        <v>2388</v>
      </c>
      <c r="H550" s="1821">
        <f>SUM(I550:O550)</f>
        <v>0</v>
      </c>
      <c r="I550" s="1822"/>
      <c r="J550" s="1822"/>
      <c r="K550" s="1822">
        <f>IFERROR(HLOOKUP(B550,pp3p1m!$1:$3,3,0),0)</f>
        <v>0</v>
      </c>
      <c r="L550" s="1822">
        <f>IFERROR(HLOOKUP(chitiet!B550,pp1p!$1:$3,3,0),0)</f>
        <v>0</v>
      </c>
      <c r="M550" s="1822"/>
      <c r="N550" s="1822"/>
      <c r="O550" s="1822"/>
      <c r="P550" s="1822"/>
      <c r="Q550" s="1047"/>
      <c r="R550" s="1047"/>
      <c r="S550" s="1047"/>
      <c r="T550" s="2035">
        <f>IFERROR(HLOOKUP(B550,pp1p!$1:$3,3,0),0)+IFERROR(HLOOKUP(B550,pp3p1m!$1:$3,3,0),0)</f>
        <v>0</v>
      </c>
    </row>
    <row r="551" spans="1:20" ht="22.2" hidden="1" customHeight="1">
      <c r="A551" s="63"/>
      <c r="B551" s="1575" t="s">
        <v>751</v>
      </c>
      <c r="C551" s="64" t="str">
        <f t="shared" si="95"/>
        <v xml:space="preserve"> </v>
      </c>
      <c r="D551" s="1536">
        <f>D564*P564+D565*P565</f>
        <v>0</v>
      </c>
      <c r="E551" s="1044"/>
      <c r="F551" s="1049" t="str">
        <f>VLOOKUP($B551,DG!A:D,DG!$C$2,)</f>
        <v>Ximăng (PC40)</v>
      </c>
      <c r="G551" s="1048" t="str">
        <f>VLOOKUP($B551,DG!A:D,DG!$D$2,)</f>
        <v>kg</v>
      </c>
      <c r="H551" s="1823">
        <f>H$550*$D551</f>
        <v>0</v>
      </c>
      <c r="I551" s="1823"/>
      <c r="J551" s="1823"/>
      <c r="K551" s="1823"/>
      <c r="L551" s="1823"/>
      <c r="M551" s="1823"/>
      <c r="N551" s="1823"/>
      <c r="O551" s="1823"/>
      <c r="P551" s="1823"/>
      <c r="Q551" s="1057"/>
      <c r="R551" s="1057"/>
      <c r="S551" s="1057"/>
      <c r="T551" s="2035">
        <f t="shared" si="94"/>
        <v>0</v>
      </c>
    </row>
    <row r="552" spans="1:20" ht="22.2" hidden="1" customHeight="1">
      <c r="A552" s="63"/>
      <c r="B552" s="1576" t="s">
        <v>4440</v>
      </c>
      <c r="C552" s="64" t="str">
        <f t="shared" si="95"/>
        <v xml:space="preserve"> </v>
      </c>
      <c r="D552" s="1536">
        <f>D564*Q564+D565*Q565</f>
        <v>0</v>
      </c>
      <c r="E552" s="1048"/>
      <c r="F552" s="1049" t="str">
        <f>VLOOKUP($B552,DG!A:D,DG!$C$2,)</f>
        <v>Cát vàng</v>
      </c>
      <c r="G552" s="1048" t="str">
        <f>VLOOKUP($B552,DG!A:D,DG!$D$2,)</f>
        <v>m3</v>
      </c>
      <c r="H552" s="1823">
        <f>H$550*$D552</f>
        <v>0</v>
      </c>
      <c r="I552" s="1823"/>
      <c r="J552" s="1823"/>
      <c r="K552" s="1823"/>
      <c r="L552" s="1823"/>
      <c r="M552" s="1823"/>
      <c r="N552" s="1823"/>
      <c r="O552" s="1823"/>
      <c r="P552" s="1823"/>
      <c r="Q552" s="1057"/>
      <c r="R552" s="1057"/>
      <c r="S552" s="1057"/>
      <c r="T552" s="2035">
        <f t="shared" si="94"/>
        <v>0</v>
      </c>
    </row>
    <row r="553" spans="1:20" ht="22.2" hidden="1" customHeight="1">
      <c r="A553" s="63"/>
      <c r="B553" s="1575" t="s">
        <v>867</v>
      </c>
      <c r="C553" s="64" t="str">
        <f t="shared" si="95"/>
        <v xml:space="preserve"> </v>
      </c>
      <c r="D553" s="1536">
        <f>D565*R565</f>
        <v>0</v>
      </c>
      <c r="E553" s="1048" t="s">
        <v>723</v>
      </c>
      <c r="F553" s="1049" t="str">
        <f>VLOOKUP($B553,DG!A:D,DG!$C$2,)</f>
        <v>Đá 1x2</v>
      </c>
      <c r="G553" s="1048" t="str">
        <f>VLOOKUP($B553,DG!A:D,DG!$D$2,)</f>
        <v>m3</v>
      </c>
      <c r="H553" s="1823">
        <f>H$550*$D553</f>
        <v>0</v>
      </c>
      <c r="I553" s="1823"/>
      <c r="J553" s="1823"/>
      <c r="K553" s="1823"/>
      <c r="L553" s="1823"/>
      <c r="M553" s="1823"/>
      <c r="N553" s="1823"/>
      <c r="O553" s="1823"/>
      <c r="P553" s="1823"/>
      <c r="Q553" s="1057"/>
      <c r="R553" s="1057"/>
      <c r="S553" s="1057"/>
      <c r="T553" s="2035">
        <f t="shared" si="94"/>
        <v>0</v>
      </c>
    </row>
    <row r="554" spans="1:20" ht="22.2" hidden="1" customHeight="1">
      <c r="A554" s="63"/>
      <c r="B554" s="1575" t="s">
        <v>1983</v>
      </c>
      <c r="C554" s="64" t="str">
        <f t="shared" si="95"/>
        <v xml:space="preserve"> </v>
      </c>
      <c r="D554" s="1536">
        <f>D564*R564</f>
        <v>0</v>
      </c>
      <c r="E554" s="1048" t="s">
        <v>723</v>
      </c>
      <c r="F554" s="1049" t="str">
        <f>VLOOKUP($B554,DG!A:D,DG!$C$2,)</f>
        <v>Đá 4x6</v>
      </c>
      <c r="G554" s="1048" t="str">
        <f>VLOOKUP($B554,DG!A:D,DG!$D$2,)</f>
        <v>m3</v>
      </c>
      <c r="H554" s="1823">
        <f>H$550*$D554</f>
        <v>0</v>
      </c>
      <c r="I554" s="1823"/>
      <c r="J554" s="1823"/>
      <c r="K554" s="1823"/>
      <c r="L554" s="1823"/>
      <c r="M554" s="1823"/>
      <c r="N554" s="1823"/>
      <c r="O554" s="1823"/>
      <c r="P554" s="1823"/>
      <c r="Q554" s="1057"/>
      <c r="R554" s="1057"/>
      <c r="S554" s="1057"/>
      <c r="T554" s="2035">
        <f t="shared" si="94"/>
        <v>0</v>
      </c>
    </row>
    <row r="555" spans="1:20" ht="22.2" hidden="1" customHeight="1">
      <c r="A555" s="63"/>
      <c r="B555" s="1575" t="s">
        <v>1977</v>
      </c>
      <c r="C555" s="64" t="str">
        <f t="shared" si="95"/>
        <v xml:space="preserve"> </v>
      </c>
      <c r="D555" s="1536">
        <v>4.74</v>
      </c>
      <c r="E555" s="1048" t="s">
        <v>723</v>
      </c>
      <c r="F555" s="1054" t="str">
        <f>VLOOKUP($B555,DG!A:D,DG!$C$2,)</f>
        <v>Sắt Ø6</v>
      </c>
      <c r="G555" s="1048" t="str">
        <f>VLOOKUP($B555,DG!A:D,DG!$D$2,)</f>
        <v>kg</v>
      </c>
      <c r="H555" s="1823"/>
      <c r="I555" s="1823"/>
      <c r="J555" s="1823"/>
      <c r="K555" s="1823"/>
      <c r="L555" s="1823"/>
      <c r="M555" s="1823"/>
      <c r="N555" s="1823"/>
      <c r="O555" s="1823"/>
      <c r="P555" s="1823"/>
      <c r="Q555" s="1053"/>
      <c r="R555" s="1053"/>
      <c r="S555" s="1053"/>
      <c r="T555" s="2035">
        <f t="shared" si="94"/>
        <v>0</v>
      </c>
    </row>
    <row r="556" spans="1:20" ht="22.2" hidden="1" customHeight="1">
      <c r="A556" s="63"/>
      <c r="B556" s="1575" t="s">
        <v>857</v>
      </c>
      <c r="C556" s="64" t="str">
        <f t="shared" si="95"/>
        <v xml:space="preserve"> </v>
      </c>
      <c r="D556" s="1543">
        <f>S565*D565</f>
        <v>0</v>
      </c>
      <c r="E556" s="1048" t="s">
        <v>723</v>
      </c>
      <c r="F556" s="1054" t="str">
        <f>VLOOKUP($B556,DG!A:D,DG!$C$2,)</f>
        <v>Gỗ ván khuôn</v>
      </c>
      <c r="G556" s="1048" t="str">
        <f>VLOOKUP($B556,DG!A:D,DG!$D$2,)</f>
        <v>m3</v>
      </c>
      <c r="H556" s="1823">
        <f>H$550*$D556</f>
        <v>0</v>
      </c>
      <c r="I556" s="1823"/>
      <c r="J556" s="1823"/>
      <c r="K556" s="1823"/>
      <c r="L556" s="1823"/>
      <c r="M556" s="1823"/>
      <c r="N556" s="1823"/>
      <c r="O556" s="1823"/>
      <c r="P556" s="1823"/>
      <c r="Q556" s="1057"/>
      <c r="R556" s="1057"/>
      <c r="S556" s="1057"/>
      <c r="T556" s="2035">
        <f t="shared" si="94"/>
        <v>0</v>
      </c>
    </row>
    <row r="557" spans="1:20" ht="22.2" hidden="1" customHeight="1">
      <c r="A557" s="63"/>
      <c r="B557" s="1575" t="s">
        <v>871</v>
      </c>
      <c r="C557" s="64" t="str">
        <f t="shared" si="95"/>
        <v xml:space="preserve"> </v>
      </c>
      <c r="D557" s="1540">
        <v>0.1</v>
      </c>
      <c r="E557" s="1048" t="s">
        <v>723</v>
      </c>
      <c r="F557" s="1054" t="str">
        <f>VLOOKUP($B557,DG!A:D,DG!$C$2,)</f>
        <v>Dây thép buộc A70</v>
      </c>
      <c r="G557" s="1048" t="str">
        <f>VLOOKUP($B557,DG!A:D,DG!$D$2,)</f>
        <v>kg</v>
      </c>
      <c r="H557" s="1823"/>
      <c r="I557" s="1823"/>
      <c r="J557" s="1823"/>
      <c r="K557" s="1823"/>
      <c r="L557" s="1823"/>
      <c r="M557" s="1823"/>
      <c r="N557" s="1823"/>
      <c r="O557" s="1823"/>
      <c r="P557" s="1823"/>
      <c r="Q557" s="1053"/>
      <c r="R557" s="1053"/>
      <c r="S557" s="1053"/>
      <c r="T557" s="2035">
        <f t="shared" si="94"/>
        <v>0</v>
      </c>
    </row>
    <row r="558" spans="1:20" ht="22.2" hidden="1" customHeight="1">
      <c r="A558" s="63"/>
      <c r="B558" s="1575" t="s">
        <v>639</v>
      </c>
      <c r="C558" s="64" t="str">
        <f t="shared" si="95"/>
        <v xml:space="preserve"> </v>
      </c>
      <c r="D558" s="1533">
        <v>0.29599999999999999</v>
      </c>
      <c r="E558" s="1048" t="s">
        <v>707</v>
      </c>
      <c r="F558" s="1049" t="str">
        <f>VLOOKUP($B558,DG!A:D,DG!$C$2,)</f>
        <v>Đào hố móng đất cấp 3 sâu &gt;1m</v>
      </c>
      <c r="G558" s="1048" t="str">
        <f>VLOOKUP($B558,DG!A:D,DG!$D$2,)</f>
        <v>m3</v>
      </c>
      <c r="H558" s="1823">
        <f>H$534*$D558</f>
        <v>0</v>
      </c>
      <c r="I558" s="1823"/>
      <c r="J558" s="1823"/>
      <c r="K558" s="1823"/>
      <c r="L558" s="1823"/>
      <c r="M558" s="1823"/>
      <c r="N558" s="1823"/>
      <c r="O558" s="1823"/>
      <c r="P558" s="1823"/>
      <c r="Q558" s="1053"/>
      <c r="R558" s="1053"/>
      <c r="S558" s="1053"/>
      <c r="T558" s="2035">
        <f t="shared" si="94"/>
        <v>0</v>
      </c>
    </row>
    <row r="559" spans="1:20" ht="22.2" hidden="1" customHeight="1">
      <c r="A559" s="63"/>
      <c r="B559" s="1575" t="s">
        <v>21</v>
      </c>
      <c r="C559" s="64" t="str">
        <f t="shared" si="95"/>
        <v xml:space="preserve"> </v>
      </c>
      <c r="D559" s="1533">
        <v>0.218</v>
      </c>
      <c r="E559" s="1048" t="s">
        <v>22</v>
      </c>
      <c r="F559" s="1049" t="str">
        <f>VLOOKUP($B559,DG!A:D,DG!$C$2,)</f>
        <v>Đắp đất hố móng, độ chặt k=0,95</v>
      </c>
      <c r="G559" s="1048" t="str">
        <f>VLOOKUP($B559,DG!A:D,DG!$D$2,)</f>
        <v>m3</v>
      </c>
      <c r="H559" s="1823">
        <f>H$534*$D559</f>
        <v>0</v>
      </c>
      <c r="I559" s="1823"/>
      <c r="J559" s="1823"/>
      <c r="K559" s="1823"/>
      <c r="L559" s="1823"/>
      <c r="M559" s="1823"/>
      <c r="N559" s="1823"/>
      <c r="O559" s="1823"/>
      <c r="P559" s="1823"/>
      <c r="Q559" s="1053"/>
      <c r="R559" s="1053"/>
      <c r="S559" s="1053"/>
      <c r="T559" s="2035">
        <f t="shared" si="94"/>
        <v>0</v>
      </c>
    </row>
    <row r="560" spans="1:20" ht="22.2" hidden="1" customHeight="1">
      <c r="A560" s="59"/>
      <c r="B560" s="1575" t="s">
        <v>495</v>
      </c>
      <c r="C560" s="64" t="str">
        <f t="shared" si="95"/>
        <v xml:space="preserve"> </v>
      </c>
      <c r="D560" s="1533">
        <f>D551/1000</f>
        <v>0</v>
      </c>
      <c r="E560" s="1048" t="str">
        <f>VLOOKUP($B560,DG!A:D,DG!$B$2,)</f>
        <v>02.1211</v>
      </c>
      <c r="F560" s="1049" t="str">
        <f>VLOOKUP($B560,DG!A:D,DG!$C$2,)</f>
        <v>V/c xi măng ( cự ly &lt;=100m)</v>
      </c>
      <c r="G560" s="1048" t="str">
        <f>VLOOKUP($B560,DG!A:D,DG!$D$2,)</f>
        <v>tấn</v>
      </c>
      <c r="H560" s="1823"/>
      <c r="I560" s="1823"/>
      <c r="J560" s="1823"/>
      <c r="K560" s="1823"/>
      <c r="L560" s="1823"/>
      <c r="M560" s="1823"/>
      <c r="N560" s="1823"/>
      <c r="O560" s="1823"/>
      <c r="P560" s="1823"/>
      <c r="Q560" s="1053"/>
      <c r="R560" s="1053"/>
      <c r="S560" s="1053"/>
      <c r="T560" s="2035">
        <f t="shared" si="94"/>
        <v>0</v>
      </c>
    </row>
    <row r="561" spans="1:20" ht="22.2" hidden="1" customHeight="1">
      <c r="A561" s="59"/>
      <c r="B561" s="1575" t="s">
        <v>1614</v>
      </c>
      <c r="C561" s="64" t="str">
        <f t="shared" si="95"/>
        <v xml:space="preserve"> </v>
      </c>
      <c r="D561" s="1533">
        <f>D552</f>
        <v>0</v>
      </c>
      <c r="E561" s="1048" t="str">
        <f>VLOOKUP($B561,DG!A:D,DG!$B$2,)</f>
        <v>02.1231</v>
      </c>
      <c r="F561" s="1049" t="str">
        <f>VLOOKUP($B561,DG!A:D,DG!$C$2,)</f>
        <v>V/c cát vàng cự ly &lt;=100m</v>
      </c>
      <c r="G561" s="1048" t="str">
        <f>VLOOKUP($B561,DG!A:D,DG!$D$2,)</f>
        <v>m3</v>
      </c>
      <c r="H561" s="1823"/>
      <c r="I561" s="1823"/>
      <c r="J561" s="1823"/>
      <c r="K561" s="1823"/>
      <c r="L561" s="1823"/>
      <c r="M561" s="1823"/>
      <c r="N561" s="1823"/>
      <c r="O561" s="1823"/>
      <c r="P561" s="1823"/>
      <c r="Q561" s="1053"/>
      <c r="R561" s="1053"/>
      <c r="S561" s="1053"/>
      <c r="T561" s="2035">
        <f t="shared" si="94"/>
        <v>0</v>
      </c>
    </row>
    <row r="562" spans="1:20" ht="22.2" hidden="1" customHeight="1">
      <c r="A562" s="59"/>
      <c r="B562" s="1575" t="s">
        <v>521</v>
      </c>
      <c r="C562" s="64" t="str">
        <f t="shared" si="95"/>
        <v xml:space="preserve"> </v>
      </c>
      <c r="D562" s="1533">
        <f>D553</f>
        <v>0</v>
      </c>
      <c r="E562" s="1048" t="str">
        <f>VLOOKUP($B562,DG!A:D,DG!$B$2,)</f>
        <v>02.1241</v>
      </c>
      <c r="F562" s="1049" t="str">
        <f>VLOOKUP($B562,DG!A:D,DG!$C$2,)</f>
        <v>V/c đá dăm ( cự ly &lt;=100m)</v>
      </c>
      <c r="G562" s="1048" t="str">
        <f>VLOOKUP($B562,DG!A:D,DG!$D$2,)</f>
        <v>m3</v>
      </c>
      <c r="H562" s="1823"/>
      <c r="I562" s="1823"/>
      <c r="J562" s="1823"/>
      <c r="K562" s="1823"/>
      <c r="L562" s="1823"/>
      <c r="M562" s="1823"/>
      <c r="N562" s="1823"/>
      <c r="O562" s="1823"/>
      <c r="P562" s="1823"/>
      <c r="Q562" s="1053"/>
      <c r="R562" s="1053"/>
      <c r="S562" s="1053"/>
      <c r="T562" s="2035">
        <f t="shared" si="94"/>
        <v>0</v>
      </c>
    </row>
    <row r="563" spans="1:20" ht="22.2" hidden="1" customHeight="1">
      <c r="A563" s="59"/>
      <c r="B563" s="1575" t="s">
        <v>9</v>
      </c>
      <c r="C563" s="64" t="str">
        <f t="shared" si="95"/>
        <v xml:space="preserve"> </v>
      </c>
      <c r="D563" s="1533">
        <f>D555</f>
        <v>4.74</v>
      </c>
      <c r="E563" s="1048" t="str">
        <f>VLOOKUP($B563,DG!A:D,DG!$B$2,)</f>
        <v>04.5101</v>
      </c>
      <c r="F563" s="1049" t="str">
        <f>VLOOKUP($B563,DG!A:D,DG!$C$2,)</f>
        <v>Gia công và lắp dựng cốt thép D&lt;=10</v>
      </c>
      <c r="G563" s="1048" t="str">
        <f>VLOOKUP($B563,DG!A:D,DG!$D$2,)</f>
        <v>kg</v>
      </c>
      <c r="H563" s="1823"/>
      <c r="I563" s="1823"/>
      <c r="J563" s="1823"/>
      <c r="K563" s="1823"/>
      <c r="L563" s="1823"/>
      <c r="M563" s="1823"/>
      <c r="N563" s="1823"/>
      <c r="O563" s="1823"/>
      <c r="P563" s="1823"/>
      <c r="Q563" s="1053"/>
      <c r="R563" s="1053"/>
      <c r="S563" s="1053"/>
      <c r="T563" s="2035">
        <f t="shared" si="94"/>
        <v>0</v>
      </c>
    </row>
    <row r="564" spans="1:20" ht="22.2" hidden="1" customHeight="1">
      <c r="A564" s="59"/>
      <c r="B564" s="1575" t="s">
        <v>1959</v>
      </c>
      <c r="C564" s="64" t="str">
        <f t="shared" si="95"/>
        <v xml:space="preserve"> </v>
      </c>
      <c r="D564" s="1543">
        <v>3.5000000000000003E-2</v>
      </c>
      <c r="E564" s="1048" t="str">
        <f>VLOOKUP($B564,DG!A:D,DG!$B$2,)</f>
        <v>04.3112</v>
      </c>
      <c r="F564" s="1049" t="str">
        <f>VLOOKUP($B564,DG!A:D,DG!$C$2,)</f>
        <v>Đổ bê tông mác M100 đá 4x6</v>
      </c>
      <c r="G564" s="1048" t="str">
        <f>VLOOKUP($B564,DG!A:D,DG!$D$2,)</f>
        <v>m3</v>
      </c>
      <c r="H564" s="1824"/>
      <c r="I564" s="1824"/>
      <c r="J564" s="1824"/>
      <c r="K564" s="1824"/>
      <c r="L564" s="1824"/>
      <c r="M564" s="1824"/>
      <c r="N564" s="1824"/>
      <c r="O564" s="1824"/>
      <c r="P564" s="1824"/>
      <c r="Q564" s="1055"/>
      <c r="R564" s="1055"/>
      <c r="S564" s="1055"/>
      <c r="T564" s="2035">
        <f t="shared" si="94"/>
        <v>0</v>
      </c>
    </row>
    <row r="565" spans="1:20" ht="22.2" hidden="1" customHeight="1">
      <c r="A565" s="59"/>
      <c r="B565" s="1575" t="s">
        <v>1840</v>
      </c>
      <c r="C565" s="64" t="str">
        <f t="shared" si="95"/>
        <v xml:space="preserve"> </v>
      </c>
      <c r="D565" s="1543">
        <v>5.0500000000000003E-2</v>
      </c>
      <c r="E565" s="1048" t="str">
        <f>VLOOKUP($B565,DG!A:D,DG!$B$2,)</f>
        <v>04.1203c</v>
      </c>
      <c r="F565" s="1049" t="str">
        <f>VLOOKUP($B565,DG!A:D,DG!$C$2,)</f>
        <v>Đổ bê tông móng trụ &lt;=250cm-M200 đá 1x2</v>
      </c>
      <c r="G565" s="1048" t="str">
        <f>VLOOKUP($B565,DG!A:D,DG!$D$2,)</f>
        <v>m3</v>
      </c>
      <c r="H565" s="1824"/>
      <c r="I565" s="1824"/>
      <c r="J565" s="1824"/>
      <c r="K565" s="1824"/>
      <c r="L565" s="1824"/>
      <c r="M565" s="1824"/>
      <c r="N565" s="1824"/>
      <c r="O565" s="1824"/>
      <c r="P565" s="1824"/>
      <c r="Q565" s="1055"/>
      <c r="R565" s="1055"/>
      <c r="S565" s="1055"/>
      <c r="T565" s="2035">
        <f t="shared" si="94"/>
        <v>0</v>
      </c>
    </row>
    <row r="566" spans="1:20" ht="22.2" hidden="1" customHeight="1">
      <c r="A566" s="56" t="s">
        <v>1565</v>
      </c>
      <c r="B566" s="1574" t="s">
        <v>1565</v>
      </c>
      <c r="C566" s="62" t="str">
        <f t="shared" si="95"/>
        <v xml:space="preserve"> </v>
      </c>
      <c r="D566" s="1532"/>
      <c r="E566" s="1045"/>
      <c r="F566" s="1392" t="s">
        <v>2390</v>
      </c>
      <c r="G566" s="1046" t="s">
        <v>2391</v>
      </c>
      <c r="H566" s="1821">
        <f>SUM(I566:O566)</f>
        <v>0</v>
      </c>
      <c r="I566" s="1822"/>
      <c r="J566" s="1822"/>
      <c r="K566" s="1822">
        <f>IFERROR(HLOOKUP(B566,pp3p1m!$1:$3,3,0),0)</f>
        <v>0</v>
      </c>
      <c r="L566" s="1822">
        <f>IFERROR(HLOOKUP(chitiet!B566,pp1p!$1:$3,3,0),0)</f>
        <v>0</v>
      </c>
      <c r="M566" s="1822"/>
      <c r="N566" s="1822"/>
      <c r="O566" s="1822"/>
      <c r="P566" s="1822">
        <f>H566+Q566-R566</f>
        <v>0</v>
      </c>
      <c r="Q566" s="1047"/>
      <c r="R566" s="1047"/>
      <c r="S566" s="1047"/>
      <c r="T566" s="2035">
        <f>IFERROR(HLOOKUP(B566,pp1p!$1:$3,3,0),0)+IFERROR(HLOOKUP(B566,pp3p1m!$1:$3,3,0),0)</f>
        <v>0</v>
      </c>
    </row>
    <row r="567" spans="1:20" ht="22.2" hidden="1" customHeight="1">
      <c r="A567" s="59"/>
      <c r="B567" s="1577" t="s">
        <v>103</v>
      </c>
      <c r="C567" s="64" t="str">
        <f t="shared" si="95"/>
        <v xml:space="preserve"> </v>
      </c>
      <c r="D567" s="1534">
        <v>3.36</v>
      </c>
      <c r="E567" s="1044"/>
      <c r="F567" s="1056" t="str">
        <f>VLOOKUP($B567,DG!A:D,DG!$C$2,)</f>
        <v>Cáp đồng trần M25mm2</v>
      </c>
      <c r="G567" s="1044" t="str">
        <f>VLOOKUP($B567,DG!A:D,DG!$D$2,)</f>
        <v>kg</v>
      </c>
      <c r="H567" s="1823">
        <f>H$566*$D567</f>
        <v>0</v>
      </c>
      <c r="I567" s="1823"/>
      <c r="J567" s="1823"/>
      <c r="K567" s="1823"/>
      <c r="L567" s="1823"/>
      <c r="M567" s="1823">
        <f t="shared" ref="M567:O569" si="98">M$566*$D567</f>
        <v>0</v>
      </c>
      <c r="N567" s="1823">
        <f t="shared" si="98"/>
        <v>0</v>
      </c>
      <c r="O567" s="1823">
        <f t="shared" si="98"/>
        <v>0</v>
      </c>
      <c r="P567" s="1823">
        <f>$P$566*D567</f>
        <v>0</v>
      </c>
      <c r="Q567" s="1053"/>
      <c r="R567" s="1053"/>
      <c r="S567" s="1053"/>
      <c r="T567" s="2035">
        <f t="shared" si="94"/>
        <v>0</v>
      </c>
    </row>
    <row r="568" spans="1:20" ht="22.2" hidden="1" customHeight="1">
      <c r="A568" s="59"/>
      <c r="B568" s="1577" t="s">
        <v>1511</v>
      </c>
      <c r="C568" s="64" t="str">
        <f t="shared" si="95"/>
        <v xml:space="preserve"> </v>
      </c>
      <c r="D568" s="1535">
        <v>1</v>
      </c>
      <c r="E568" s="1044"/>
      <c r="F568" s="1056" t="str">
        <f>VLOOKUP($B568,DG!A:D,DG!$C$2,)</f>
        <v>Cọc tiếp đất Þ 16- 2,4m + kẹp cọc mạ đồng</v>
      </c>
      <c r="G568" s="1044" t="str">
        <f>VLOOKUP($B568,DG!A:D,DG!$D$2,)</f>
        <v>bộ</v>
      </c>
      <c r="H568" s="1823">
        <f>H$566*$D568</f>
        <v>0</v>
      </c>
      <c r="I568" s="1823"/>
      <c r="J568" s="1823"/>
      <c r="K568" s="1823"/>
      <c r="L568" s="1823"/>
      <c r="M568" s="1823">
        <f t="shared" si="98"/>
        <v>0</v>
      </c>
      <c r="N568" s="1823">
        <f t="shared" si="98"/>
        <v>0</v>
      </c>
      <c r="O568" s="1823">
        <f t="shared" si="98"/>
        <v>0</v>
      </c>
      <c r="P568" s="1823">
        <f>$P$566*D568</f>
        <v>0</v>
      </c>
      <c r="Q568" s="1053"/>
      <c r="R568" s="1053"/>
      <c r="S568" s="1053"/>
      <c r="T568" s="2035">
        <f t="shared" si="94"/>
        <v>0</v>
      </c>
    </row>
    <row r="569" spans="1:20" ht="22.2" hidden="1" customHeight="1">
      <c r="A569" s="59"/>
      <c r="B569" s="1577" t="s">
        <v>2207</v>
      </c>
      <c r="C569" s="64" t="str">
        <f t="shared" si="95"/>
        <v xml:space="preserve"> </v>
      </c>
      <c r="D569" s="1535">
        <v>0</v>
      </c>
      <c r="E569" s="1044"/>
      <c r="F569" s="1056" t="s">
        <v>2392</v>
      </c>
      <c r="G569" s="1044" t="str">
        <f>VLOOKUP($B569,DG!A:D,DG!$D$2,)</f>
        <v>cái</v>
      </c>
      <c r="H569" s="1823">
        <f>H$566*$D569</f>
        <v>0</v>
      </c>
      <c r="I569" s="1823"/>
      <c r="J569" s="1823"/>
      <c r="K569" s="1823"/>
      <c r="L569" s="1823"/>
      <c r="M569" s="1823">
        <f t="shared" si="98"/>
        <v>0</v>
      </c>
      <c r="N569" s="1823">
        <f t="shared" si="98"/>
        <v>0</v>
      </c>
      <c r="O569" s="1823">
        <f t="shared" si="98"/>
        <v>0</v>
      </c>
      <c r="P569" s="1823"/>
      <c r="Q569" s="1053"/>
      <c r="R569" s="1053"/>
      <c r="S569" s="1053"/>
      <c r="T569" s="2035">
        <f t="shared" si="94"/>
        <v>0</v>
      </c>
    </row>
    <row r="570" spans="1:20" ht="22.2" hidden="1" customHeight="1">
      <c r="A570" s="59"/>
      <c r="B570" s="1577" t="s">
        <v>1520</v>
      </c>
      <c r="C570" s="64" t="str">
        <f t="shared" si="95"/>
        <v xml:space="preserve"> </v>
      </c>
      <c r="D570" s="1534">
        <f>D567</f>
        <v>3.36</v>
      </c>
      <c r="E570" s="1044" t="str">
        <f>VLOOKUP($B570,DG!A:D,DG!$B$2,)</f>
        <v>05.7001</v>
      </c>
      <c r="F570" s="1049" t="str">
        <f>VLOOKUP($B570,DG!A:D,DG!$C$2,)</f>
        <v xml:space="preserve">Kéo dây tiếp địa </v>
      </c>
      <c r="G570" s="1044" t="str">
        <f>VLOOKUP($B570,DG!A:D,DG!$D$2,)</f>
        <v>mét</v>
      </c>
      <c r="H570" s="1823">
        <f>H$566*$D570</f>
        <v>0</v>
      </c>
      <c r="I570" s="1823"/>
      <c r="J570" s="1823"/>
      <c r="K570" s="1823"/>
      <c r="L570" s="1823"/>
      <c r="M570" s="1823"/>
      <c r="N570" s="1823"/>
      <c r="O570" s="1823"/>
      <c r="P570" s="1823">
        <f>$P$566*D570</f>
        <v>0</v>
      </c>
      <c r="Q570" s="1058"/>
      <c r="R570" s="1058"/>
      <c r="S570" s="1058"/>
      <c r="T570" s="2035">
        <f t="shared" si="94"/>
        <v>0</v>
      </c>
    </row>
    <row r="571" spans="1:20" ht="22.2" hidden="1" customHeight="1">
      <c r="A571" s="59"/>
      <c r="B571" s="1577" t="s">
        <v>1104</v>
      </c>
      <c r="C571" s="64" t="str">
        <f t="shared" si="95"/>
        <v xml:space="preserve"> </v>
      </c>
      <c r="D571" s="1535">
        <v>1</v>
      </c>
      <c r="E571" s="1044" t="str">
        <f>VLOOKUP($B571,DG!A:D,DG!$B$2,)</f>
        <v>05.8103</v>
      </c>
      <c r="F571" s="1049" t="str">
        <f>VLOOKUP($B571,DG!A:D,DG!$C$2,)</f>
        <v>Đóng cọc tiếp địa đất cấp 3</v>
      </c>
      <c r="G571" s="1044" t="str">
        <f>VLOOKUP($B571,DG!A:D,DG!$D$2,)</f>
        <v>cọc</v>
      </c>
      <c r="H571" s="1823">
        <f>H$566*$D571</f>
        <v>0</v>
      </c>
      <c r="I571" s="1823"/>
      <c r="J571" s="1823"/>
      <c r="K571" s="1823"/>
      <c r="L571" s="1823"/>
      <c r="M571" s="1823"/>
      <c r="N571" s="1823"/>
      <c r="O571" s="1823"/>
      <c r="P571" s="1823">
        <f>$P$566*D571</f>
        <v>0</v>
      </c>
      <c r="Q571" s="1053"/>
      <c r="R571" s="1053"/>
      <c r="S571" s="1053"/>
      <c r="T571" s="2035">
        <f t="shared" si="94"/>
        <v>0</v>
      </c>
    </row>
    <row r="572" spans="1:20" ht="22.2" hidden="1" customHeight="1">
      <c r="A572" s="59"/>
      <c r="B572" s="1577" t="s">
        <v>1906</v>
      </c>
      <c r="C572" s="64" t="str">
        <f t="shared" si="95"/>
        <v xml:space="preserve"> </v>
      </c>
      <c r="D572" s="1533"/>
      <c r="E572" s="1044" t="str">
        <f>VLOOKUP($B572,DG!A:D,DG!$B$2,)</f>
        <v>02.1120</v>
      </c>
      <c r="F572" s="1049" t="str">
        <f>VLOOKUP($B572,DG!A:D,DG!$C$2,)</f>
        <v>Bốc dỡ phụ kiện</v>
      </c>
      <c r="G572" s="1044" t="str">
        <f>VLOOKUP($B572,DG!A:D,DG!$D$2,)</f>
        <v>tấn</v>
      </c>
      <c r="H572" s="1823"/>
      <c r="I572" s="1823"/>
      <c r="J572" s="1823"/>
      <c r="K572" s="1823"/>
      <c r="L572" s="1823"/>
      <c r="M572" s="1823"/>
      <c r="N572" s="1823"/>
      <c r="O572" s="1823"/>
      <c r="P572" s="1823"/>
      <c r="Q572" s="1053"/>
      <c r="R572" s="1053"/>
      <c r="S572" s="1053"/>
      <c r="T572" s="2035">
        <f t="shared" si="94"/>
        <v>0</v>
      </c>
    </row>
    <row r="573" spans="1:20" ht="22.2" hidden="1" customHeight="1">
      <c r="A573" s="59"/>
      <c r="B573" s="1588" t="s">
        <v>1907</v>
      </c>
      <c r="C573" s="64" t="str">
        <f t="shared" si="95"/>
        <v xml:space="preserve"> </v>
      </c>
      <c r="D573" s="1533"/>
      <c r="E573" s="1044" t="str">
        <f>VLOOKUP($B573,DG!A:C,2,)</f>
        <v>02.1351</v>
      </c>
      <c r="F573" s="1049" t="str">
        <f>VLOOKUP($B573,DG!A:C,3,)</f>
        <v>V/c tiếp địa vào vị trí ( cự ly &lt;=100m)</v>
      </c>
      <c r="G573" s="1044" t="str">
        <f>VLOOKUP($B573,DG!A:D,4,0)</f>
        <v>tấn</v>
      </c>
      <c r="H573" s="1823"/>
      <c r="I573" s="1823"/>
      <c r="J573" s="1823"/>
      <c r="K573" s="1823"/>
      <c r="L573" s="1823"/>
      <c r="M573" s="1823"/>
      <c r="N573" s="1823"/>
      <c r="O573" s="1823"/>
      <c r="P573" s="1823"/>
      <c r="Q573" s="1058"/>
      <c r="R573" s="1058"/>
      <c r="S573" s="1058"/>
      <c r="T573" s="2035">
        <f t="shared" si="94"/>
        <v>0</v>
      </c>
    </row>
    <row r="574" spans="1:20" ht="22.2" hidden="1" customHeight="1">
      <c r="A574" s="56" t="s">
        <v>1566</v>
      </c>
      <c r="B574" s="1574" t="s">
        <v>1566</v>
      </c>
      <c r="C574" s="62" t="str">
        <f t="shared" si="95"/>
        <v xml:space="preserve"> </v>
      </c>
      <c r="D574" s="1532"/>
      <c r="E574" s="1045"/>
      <c r="F574" s="1392" t="s">
        <v>2393</v>
      </c>
      <c r="G574" s="1046" t="s">
        <v>2391</v>
      </c>
      <c r="H574" s="1821">
        <f>SUM(I574:O574)</f>
        <v>0</v>
      </c>
      <c r="I574" s="1822"/>
      <c r="J574" s="1822"/>
      <c r="K574" s="1822">
        <f>IFERROR(HLOOKUP(B574,pp3p1m!$1:$3,3,0),0)</f>
        <v>0</v>
      </c>
      <c r="L574" s="1822">
        <f>IFERROR(HLOOKUP(chitiet!B574,pp1p!$1:$3,3,0),0)</f>
        <v>0</v>
      </c>
      <c r="M574" s="1822"/>
      <c r="N574" s="1822"/>
      <c r="O574" s="1822"/>
      <c r="P574" s="1822"/>
      <c r="Q574" s="1047"/>
      <c r="R574" s="1047"/>
      <c r="S574" s="1047"/>
      <c r="T574" s="2035">
        <f>IFERROR(HLOOKUP(B574,pp1p!$1:$3,3,0),0)+IFERROR(HLOOKUP(B574,pp3p1m!$1:$3,3,0),0)</f>
        <v>0</v>
      </c>
    </row>
    <row r="575" spans="1:20" ht="22.2" hidden="1" customHeight="1">
      <c r="A575" s="59"/>
      <c r="B575" s="1577" t="s">
        <v>103</v>
      </c>
      <c r="C575" s="64" t="str">
        <f t="shared" si="95"/>
        <v xml:space="preserve"> </v>
      </c>
      <c r="D575" s="1534">
        <f>9*0.224</f>
        <v>2.016</v>
      </c>
      <c r="E575" s="1044"/>
      <c r="F575" s="1056" t="str">
        <f>VLOOKUP($B575,DG!A:D,DG!$C$2,)&amp;" : 9m"</f>
        <v>Cáp đồng trần M25mm2 : 9m</v>
      </c>
      <c r="G575" s="1044" t="str">
        <f>VLOOKUP($B575,DG!A:D,DG!$D$2,)</f>
        <v>kg</v>
      </c>
      <c r="H575" s="1823">
        <f>H$574*$D575</f>
        <v>0</v>
      </c>
      <c r="I575" s="1823"/>
      <c r="J575" s="1823"/>
      <c r="K575" s="1823"/>
      <c r="L575" s="1823"/>
      <c r="M575" s="1823">
        <f t="shared" ref="M575:O577" si="99">M$574*$D575</f>
        <v>0</v>
      </c>
      <c r="N575" s="1823">
        <f t="shared" si="99"/>
        <v>0</v>
      </c>
      <c r="O575" s="1823">
        <f t="shared" si="99"/>
        <v>0</v>
      </c>
      <c r="P575" s="1823"/>
      <c r="Q575" s="1053"/>
      <c r="R575" s="1053"/>
      <c r="S575" s="1053"/>
      <c r="T575" s="2035">
        <f t="shared" si="94"/>
        <v>0</v>
      </c>
    </row>
    <row r="576" spans="1:20" ht="22.2" hidden="1" customHeight="1">
      <c r="A576" s="59"/>
      <c r="B576" s="1577" t="s">
        <v>1511</v>
      </c>
      <c r="C576" s="64" t="str">
        <f t="shared" si="95"/>
        <v xml:space="preserve"> </v>
      </c>
      <c r="D576" s="1535">
        <v>1</v>
      </c>
      <c r="E576" s="1044"/>
      <c r="F576" s="1056" t="str">
        <f>VLOOKUP($B576,DG!A:D,DG!$C$2,)</f>
        <v>Cọc tiếp đất Þ 16- 2,4m + kẹp cọc mạ đồng</v>
      </c>
      <c r="G576" s="1044" t="str">
        <f>VLOOKUP($B576,DG!A:D,DG!$D$2,)</f>
        <v>bộ</v>
      </c>
      <c r="H576" s="1823">
        <f>H$574*$D576</f>
        <v>0</v>
      </c>
      <c r="I576" s="1823"/>
      <c r="J576" s="1823"/>
      <c r="K576" s="1823"/>
      <c r="L576" s="1823"/>
      <c r="M576" s="1823">
        <f t="shared" si="99"/>
        <v>0</v>
      </c>
      <c r="N576" s="1823">
        <f t="shared" si="99"/>
        <v>0</v>
      </c>
      <c r="O576" s="1823">
        <f t="shared" si="99"/>
        <v>0</v>
      </c>
      <c r="P576" s="1823"/>
      <c r="Q576" s="1053"/>
      <c r="R576" s="1053"/>
      <c r="S576" s="1053"/>
      <c r="T576" s="2035">
        <f t="shared" si="94"/>
        <v>0</v>
      </c>
    </row>
    <row r="577" spans="1:20" ht="22.2" hidden="1" customHeight="1">
      <c r="A577" s="59"/>
      <c r="B577" s="1577" t="s">
        <v>531</v>
      </c>
      <c r="C577" s="64" t="str">
        <f t="shared" si="95"/>
        <v xml:space="preserve"> </v>
      </c>
      <c r="D577" s="1535">
        <v>2</v>
      </c>
      <c r="E577" s="1044"/>
      <c r="F577" s="1056" t="str">
        <f>VLOOKUP($B577,DG!A:D,DG!$C$2,)</f>
        <v>Kẹp ép WR cỡ dây 50mm2</v>
      </c>
      <c r="G577" s="1044" t="str">
        <f>VLOOKUP($B577,DG!A:D,DG!$D$2,)</f>
        <v>cái</v>
      </c>
      <c r="H577" s="1823">
        <f>H$574*$D577</f>
        <v>0</v>
      </c>
      <c r="I577" s="1823"/>
      <c r="J577" s="1823"/>
      <c r="K577" s="1823"/>
      <c r="L577" s="1823"/>
      <c r="M577" s="1823">
        <f t="shared" si="99"/>
        <v>0</v>
      </c>
      <c r="N577" s="1823">
        <f t="shared" si="99"/>
        <v>0</v>
      </c>
      <c r="O577" s="1823">
        <f t="shared" si="99"/>
        <v>0</v>
      </c>
      <c r="P577" s="1823"/>
      <c r="Q577" s="1053"/>
      <c r="R577" s="1053"/>
      <c r="S577" s="1053"/>
      <c r="T577" s="2035">
        <f t="shared" si="94"/>
        <v>0</v>
      </c>
    </row>
    <row r="578" spans="1:20" ht="22.2" hidden="1" customHeight="1">
      <c r="A578" s="59"/>
      <c r="B578" s="1577" t="s">
        <v>1052</v>
      </c>
      <c r="C578" s="64" t="str">
        <f t="shared" si="95"/>
        <v xml:space="preserve"> </v>
      </c>
      <c r="D578" s="1535">
        <v>2</v>
      </c>
      <c r="E578" s="1044"/>
      <c r="F578" s="1056" t="str">
        <f>VLOOKUP($B578,DG!A:D,DG!$C$2,)</f>
        <v>Đầu cosse ép Cu 25mm2</v>
      </c>
      <c r="G578" s="1044" t="str">
        <f>VLOOKUP($B578,DG!A:D,DG!$D$2,)</f>
        <v>cái</v>
      </c>
      <c r="H578" s="1823"/>
      <c r="I578" s="1823"/>
      <c r="J578" s="1823"/>
      <c r="K578" s="1823"/>
      <c r="L578" s="1823"/>
      <c r="M578" s="1823"/>
      <c r="N578" s="1823"/>
      <c r="O578" s="1823"/>
      <c r="P578" s="1823"/>
      <c r="Q578" s="1053"/>
      <c r="R578" s="1053"/>
      <c r="S578" s="1053"/>
      <c r="T578" s="2035">
        <f t="shared" si="94"/>
        <v>0</v>
      </c>
    </row>
    <row r="579" spans="1:20" ht="22.2" hidden="1" customHeight="1">
      <c r="A579" s="59"/>
      <c r="B579" s="1577" t="s">
        <v>2023</v>
      </c>
      <c r="C579" s="64" t="str">
        <f t="shared" si="95"/>
        <v xml:space="preserve"> </v>
      </c>
      <c r="D579" s="1535">
        <v>1</v>
      </c>
      <c r="E579" s="1044"/>
      <c r="F579" s="1056" t="str">
        <f>VLOOKUP($B579,DG!A:D,DG!$C$2,)</f>
        <v>Boulon 12x40+ 2 long đền vuông D14-50x50x3/Zn</v>
      </c>
      <c r="G579" s="1044" t="str">
        <f>VLOOKUP($B579,DG!A:D,DG!$D$2,)</f>
        <v>bộ</v>
      </c>
      <c r="H579" s="1823"/>
      <c r="I579" s="1823"/>
      <c r="J579" s="1823"/>
      <c r="K579" s="1823"/>
      <c r="L579" s="1823"/>
      <c r="M579" s="1823"/>
      <c r="N579" s="1823"/>
      <c r="O579" s="1823"/>
      <c r="P579" s="1823"/>
      <c r="Q579" s="1053"/>
      <c r="R579" s="1053"/>
      <c r="S579" s="1053"/>
      <c r="T579" s="2035">
        <f t="shared" si="94"/>
        <v>0</v>
      </c>
    </row>
    <row r="580" spans="1:20" ht="22.2" hidden="1" customHeight="1">
      <c r="A580" s="59"/>
      <c r="B580" s="1577" t="s">
        <v>1520</v>
      </c>
      <c r="C580" s="64" t="str">
        <f t="shared" si="95"/>
        <v xml:space="preserve"> </v>
      </c>
      <c r="D580" s="1534">
        <f>D575</f>
        <v>2.016</v>
      </c>
      <c r="E580" s="1044" t="str">
        <f>VLOOKUP($B580,DG!A:D,DG!$B$2,)</f>
        <v>05.7001</v>
      </c>
      <c r="F580" s="1049" t="str">
        <f>VLOOKUP($B580,DG!A:D,DG!$C$2,)</f>
        <v xml:space="preserve">Kéo dây tiếp địa </v>
      </c>
      <c r="G580" s="1044" t="str">
        <f>VLOOKUP($B580,DG!A:D,DG!$D$2,)</f>
        <v>mét</v>
      </c>
      <c r="H580" s="1823"/>
      <c r="I580" s="1823"/>
      <c r="J580" s="1823"/>
      <c r="K580" s="1823"/>
      <c r="L580" s="1823"/>
      <c r="M580" s="1823"/>
      <c r="N580" s="1823"/>
      <c r="O580" s="1823"/>
      <c r="P580" s="1823"/>
      <c r="Q580" s="1058"/>
      <c r="R580" s="1058"/>
      <c r="S580" s="1058"/>
      <c r="T580" s="2035">
        <f t="shared" si="94"/>
        <v>0</v>
      </c>
    </row>
    <row r="581" spans="1:20" ht="22.2" hidden="1" customHeight="1">
      <c r="A581" s="59"/>
      <c r="B581" s="1577" t="s">
        <v>1104</v>
      </c>
      <c r="C581" s="64" t="str">
        <f t="shared" si="95"/>
        <v xml:space="preserve"> </v>
      </c>
      <c r="D581" s="1535">
        <v>1</v>
      </c>
      <c r="E581" s="1044" t="str">
        <f>VLOOKUP($B581,DG!A:D,DG!$B$2,)</f>
        <v>05.8103</v>
      </c>
      <c r="F581" s="1049" t="str">
        <f>VLOOKUP($B581,DG!A:D,DG!$C$2,)</f>
        <v>Đóng cọc tiếp địa đất cấp 3</v>
      </c>
      <c r="G581" s="1044" t="str">
        <f>VLOOKUP($B581,DG!A:D,DG!$D$2,)</f>
        <v>cọc</v>
      </c>
      <c r="H581" s="1823"/>
      <c r="I581" s="1823"/>
      <c r="J581" s="1823"/>
      <c r="K581" s="1823"/>
      <c r="L581" s="1823"/>
      <c r="M581" s="1823"/>
      <c r="N581" s="1823"/>
      <c r="O581" s="1823"/>
      <c r="P581" s="1823"/>
      <c r="Q581" s="1053"/>
      <c r="R581" s="1053"/>
      <c r="S581" s="1053"/>
      <c r="T581" s="2035">
        <f t="shared" si="94"/>
        <v>0</v>
      </c>
    </row>
    <row r="582" spans="1:20" ht="22.2" hidden="1" customHeight="1">
      <c r="A582" s="59"/>
      <c r="B582" s="1577" t="s">
        <v>1906</v>
      </c>
      <c r="C582" s="64" t="str">
        <f t="shared" si="95"/>
        <v xml:space="preserve"> </v>
      </c>
      <c r="D582" s="1533"/>
      <c r="E582" s="1044" t="str">
        <f>VLOOKUP($B582,DG!A:D,DG!$B$2,)</f>
        <v>02.1120</v>
      </c>
      <c r="F582" s="1049" t="str">
        <f>VLOOKUP($B582,DG!A:D,DG!$C$2,)</f>
        <v>Bốc dỡ phụ kiện</v>
      </c>
      <c r="G582" s="1044" t="str">
        <f>VLOOKUP($B582,DG!A:D,DG!$D$2,)</f>
        <v>tấn</v>
      </c>
      <c r="H582" s="1823"/>
      <c r="I582" s="1823"/>
      <c r="J582" s="1823"/>
      <c r="K582" s="1823"/>
      <c r="L582" s="1823"/>
      <c r="M582" s="1823"/>
      <c r="N582" s="1823"/>
      <c r="O582" s="1823"/>
      <c r="P582" s="1823"/>
      <c r="Q582" s="1053"/>
      <c r="R582" s="1053"/>
      <c r="S582" s="1053"/>
      <c r="T582" s="2035">
        <f t="shared" si="94"/>
        <v>0</v>
      </c>
    </row>
    <row r="583" spans="1:20" ht="22.2" hidden="1" customHeight="1">
      <c r="A583" s="59"/>
      <c r="B583" s="1588" t="s">
        <v>1907</v>
      </c>
      <c r="C583" s="64" t="str">
        <f t="shared" si="95"/>
        <v xml:space="preserve"> </v>
      </c>
      <c r="D583" s="1533"/>
      <c r="E583" s="1044" t="str">
        <f>VLOOKUP($B583,DG!A:C,2,)</f>
        <v>02.1351</v>
      </c>
      <c r="F583" s="1049" t="str">
        <f>VLOOKUP($B583,DG!A:C,3,)</f>
        <v>V/c tiếp địa vào vị trí ( cự ly &lt;=100m)</v>
      </c>
      <c r="G583" s="1044" t="str">
        <f>VLOOKUP($B583,DG!A:D,4,0)</f>
        <v>tấn</v>
      </c>
      <c r="H583" s="1823"/>
      <c r="I583" s="1823"/>
      <c r="J583" s="1823"/>
      <c r="K583" s="1823"/>
      <c r="L583" s="1823"/>
      <c r="M583" s="1823"/>
      <c r="N583" s="1823"/>
      <c r="O583" s="1823"/>
      <c r="P583" s="1823"/>
      <c r="Q583" s="1058"/>
      <c r="R583" s="1058"/>
      <c r="S583" s="1058"/>
      <c r="T583" s="2035">
        <f t="shared" si="94"/>
        <v>0</v>
      </c>
    </row>
    <row r="584" spans="1:20" ht="22.2" hidden="1" customHeight="1">
      <c r="A584" s="56" t="s">
        <v>5</v>
      </c>
      <c r="B584" s="1574" t="s">
        <v>5</v>
      </c>
      <c r="C584" s="62" t="str">
        <f t="shared" si="95"/>
        <v xml:space="preserve"> </v>
      </c>
      <c r="D584" s="1532"/>
      <c r="E584" s="1045"/>
      <c r="F584" s="1392" t="s">
        <v>4578</v>
      </c>
      <c r="G584" s="1046" t="s">
        <v>2391</v>
      </c>
      <c r="H584" s="1821">
        <f>SUM(I584:O584)</f>
        <v>0</v>
      </c>
      <c r="I584" s="1822"/>
      <c r="J584" s="1822"/>
      <c r="K584" s="1822">
        <f>IFERROR(HLOOKUP(B584,pp3p1m!$1:$3,3,0),0)</f>
        <v>0</v>
      </c>
      <c r="L584" s="1822">
        <f>IFERROR(HLOOKUP(chitiet!B584,pp1p!$1:$3,3,0),0)</f>
        <v>0</v>
      </c>
      <c r="M584" s="1822"/>
      <c r="N584" s="1822"/>
      <c r="O584" s="1822"/>
      <c r="P584" s="1822">
        <f>H584+Q584-R584</f>
        <v>0</v>
      </c>
      <c r="Q584" s="1047"/>
      <c r="R584" s="1047"/>
      <c r="S584" s="1047"/>
      <c r="T584" s="2035">
        <f>IFERROR(HLOOKUP(B584,pp1p!$1:$3,3,0),0)+IFERROR(HLOOKUP(B584,pp3p1m!$1:$3,3,0),0)</f>
        <v>0</v>
      </c>
    </row>
    <row r="585" spans="1:20" ht="22.2" hidden="1" customHeight="1">
      <c r="A585" s="59"/>
      <c r="B585" s="1577" t="s">
        <v>103</v>
      </c>
      <c r="C585" s="64" t="str">
        <f t="shared" si="95"/>
        <v xml:space="preserve"> </v>
      </c>
      <c r="D585" s="1534">
        <f>8*0.224</f>
        <v>1.792</v>
      </c>
      <c r="E585" s="1044"/>
      <c r="F585" s="1056" t="str">
        <f>VLOOKUP($B585,DG!A:D,DG!$C$2,)&amp;" : 8m"</f>
        <v>Cáp đồng trần M25mm2 : 8m</v>
      </c>
      <c r="G585" s="1044" t="str">
        <f>VLOOKUP($B585,DG!A:D,DG!$D$2,)</f>
        <v>kg</v>
      </c>
      <c r="H585" s="1823">
        <f t="shared" ref="H585:H591" si="100">H$584*$D585</f>
        <v>0</v>
      </c>
      <c r="I585" s="1823"/>
      <c r="J585" s="1823"/>
      <c r="K585" s="1823"/>
      <c r="L585" s="1823"/>
      <c r="M585" s="1823">
        <f t="shared" ref="M585:O587" si="101">M$574*$D585</f>
        <v>0</v>
      </c>
      <c r="N585" s="1823">
        <f t="shared" si="101"/>
        <v>0</v>
      </c>
      <c r="O585" s="1823">
        <f t="shared" si="101"/>
        <v>0</v>
      </c>
      <c r="P585" s="1822">
        <f>H585+Q585-R585</f>
        <v>0</v>
      </c>
      <c r="Q585" s="1059"/>
      <c r="R585" s="1059"/>
      <c r="S585" s="1059"/>
      <c r="T585" s="2035">
        <f t="shared" si="94"/>
        <v>0</v>
      </c>
    </row>
    <row r="586" spans="1:20" ht="22.2" hidden="1" customHeight="1">
      <c r="A586" s="59"/>
      <c r="B586" s="1577" t="s">
        <v>1511</v>
      </c>
      <c r="C586" s="64" t="str">
        <f t="shared" si="95"/>
        <v xml:space="preserve"> </v>
      </c>
      <c r="D586" s="1535">
        <v>1</v>
      </c>
      <c r="E586" s="1044"/>
      <c r="F586" s="1056" t="str">
        <f>VLOOKUP($B586,DG!A:D,DG!$C$2,)</f>
        <v>Cọc tiếp đất Þ 16- 2,4m + kẹp cọc mạ đồng</v>
      </c>
      <c r="G586" s="1044" t="str">
        <f>VLOOKUP($B586,DG!A:D,DG!$D$2,)</f>
        <v>bộ</v>
      </c>
      <c r="H586" s="1823">
        <f t="shared" si="100"/>
        <v>0</v>
      </c>
      <c r="I586" s="1823"/>
      <c r="J586" s="1823"/>
      <c r="K586" s="1823"/>
      <c r="L586" s="1823"/>
      <c r="M586" s="1823">
        <f t="shared" si="101"/>
        <v>0</v>
      </c>
      <c r="N586" s="1823">
        <f t="shared" si="101"/>
        <v>0</v>
      </c>
      <c r="O586" s="1823">
        <f t="shared" si="101"/>
        <v>0</v>
      </c>
      <c r="P586" s="1822">
        <f>H586+Q586-R586</f>
        <v>0</v>
      </c>
      <c r="Q586" s="1053"/>
      <c r="R586" s="1053"/>
      <c r="S586" s="1053"/>
      <c r="T586" s="2035">
        <f t="shared" si="94"/>
        <v>0</v>
      </c>
    </row>
    <row r="587" spans="1:20" ht="22.2" hidden="1" customHeight="1">
      <c r="A587" s="59"/>
      <c r="B587" s="1577" t="s">
        <v>2207</v>
      </c>
      <c r="C587" s="64" t="str">
        <f t="shared" si="95"/>
        <v xml:space="preserve"> </v>
      </c>
      <c r="D587" s="1535">
        <v>1</v>
      </c>
      <c r="E587" s="1044"/>
      <c r="F587" s="1056" t="s">
        <v>2392</v>
      </c>
      <c r="G587" s="1044" t="str">
        <f>VLOOKUP($B587,DG!A:D,DG!$D$2,)</f>
        <v>cái</v>
      </c>
      <c r="H587" s="1823">
        <f t="shared" si="100"/>
        <v>0</v>
      </c>
      <c r="I587" s="1823"/>
      <c r="J587" s="1823"/>
      <c r="K587" s="1823"/>
      <c r="L587" s="1823"/>
      <c r="M587" s="1823">
        <f t="shared" si="101"/>
        <v>0</v>
      </c>
      <c r="N587" s="1823">
        <f t="shared" si="101"/>
        <v>0</v>
      </c>
      <c r="O587" s="1823">
        <f t="shared" si="101"/>
        <v>0</v>
      </c>
      <c r="P587" s="1822">
        <f>H587+Q587-R587</f>
        <v>0</v>
      </c>
      <c r="Q587" s="1053"/>
      <c r="R587" s="1053"/>
      <c r="S587" s="1053"/>
      <c r="T587" s="2035">
        <f t="shared" si="94"/>
        <v>0</v>
      </c>
    </row>
    <row r="588" spans="1:20" ht="22.2" hidden="1" customHeight="1">
      <c r="A588" s="59"/>
      <c r="B588" s="1577" t="s">
        <v>1052</v>
      </c>
      <c r="C588" s="64" t="str">
        <f t="shared" si="95"/>
        <v xml:space="preserve"> </v>
      </c>
      <c r="D588" s="1535">
        <v>2</v>
      </c>
      <c r="E588" s="1044"/>
      <c r="F588" s="1056" t="str">
        <f>VLOOKUP($B588,DG!A:D,DG!C$2,)</f>
        <v>Đầu cosse ép Cu 25mm2</v>
      </c>
      <c r="G588" s="1044" t="str">
        <f>VLOOKUP($B588,DG!A:D,DG!$D$2,)</f>
        <v>cái</v>
      </c>
      <c r="H588" s="1823">
        <f t="shared" si="100"/>
        <v>0</v>
      </c>
      <c r="I588" s="1823">
        <f t="shared" ref="I588:O589" si="102">I$612*$D588</f>
        <v>0</v>
      </c>
      <c r="J588" s="1823">
        <f t="shared" si="102"/>
        <v>0</v>
      </c>
      <c r="K588" s="1823">
        <f t="shared" si="102"/>
        <v>2</v>
      </c>
      <c r="L588" s="1823">
        <f t="shared" si="102"/>
        <v>0</v>
      </c>
      <c r="M588" s="1823">
        <f t="shared" si="102"/>
        <v>0</v>
      </c>
      <c r="N588" s="1823">
        <f t="shared" si="102"/>
        <v>0</v>
      </c>
      <c r="O588" s="1823">
        <f t="shared" si="102"/>
        <v>0</v>
      </c>
      <c r="P588" s="1823">
        <f>$P$584*D588</f>
        <v>0</v>
      </c>
      <c r="Q588" s="1053"/>
      <c r="R588" s="1053"/>
      <c r="S588" s="1053"/>
      <c r="T588" s="2035">
        <f t="shared" si="94"/>
        <v>0</v>
      </c>
    </row>
    <row r="589" spans="1:20" ht="22.2" hidden="1" customHeight="1">
      <c r="A589" s="59"/>
      <c r="B589" s="1577" t="s">
        <v>2023</v>
      </c>
      <c r="C589" s="64" t="str">
        <f t="shared" si="95"/>
        <v xml:space="preserve"> </v>
      </c>
      <c r="D589" s="1535">
        <v>2</v>
      </c>
      <c r="E589" s="1044"/>
      <c r="F589" s="1056" t="str">
        <f>VLOOKUP($B589,DG!A:D,DG!C$2,)</f>
        <v>Boulon 12x40+ 2 long đền vuông D14-50x50x3/Zn</v>
      </c>
      <c r="G589" s="1044" t="str">
        <f>VLOOKUP($B589,DG!A:D,DG!$D$2,)</f>
        <v>bộ</v>
      </c>
      <c r="H589" s="1823">
        <f t="shared" si="100"/>
        <v>0</v>
      </c>
      <c r="I589" s="1823">
        <f t="shared" si="102"/>
        <v>0</v>
      </c>
      <c r="J589" s="1823">
        <f t="shared" si="102"/>
        <v>0</v>
      </c>
      <c r="K589" s="1823">
        <f t="shared" si="102"/>
        <v>2</v>
      </c>
      <c r="L589" s="1823">
        <f t="shared" si="102"/>
        <v>0</v>
      </c>
      <c r="M589" s="1823">
        <f t="shared" si="102"/>
        <v>0</v>
      </c>
      <c r="N589" s="1823">
        <f t="shared" si="102"/>
        <v>0</v>
      </c>
      <c r="O589" s="1823">
        <f t="shared" si="102"/>
        <v>0</v>
      </c>
      <c r="P589" s="1823">
        <f>$P$584*D589</f>
        <v>0</v>
      </c>
      <c r="Q589" s="1053"/>
      <c r="R589" s="1053"/>
      <c r="S589" s="1053"/>
      <c r="T589" s="2035">
        <f t="shared" si="94"/>
        <v>0</v>
      </c>
    </row>
    <row r="590" spans="1:20" ht="22.2" hidden="1" customHeight="1">
      <c r="A590" s="59"/>
      <c r="B590" s="1577" t="s">
        <v>1520</v>
      </c>
      <c r="C590" s="64" t="str">
        <f t="shared" si="95"/>
        <v xml:space="preserve"> </v>
      </c>
      <c r="D590" s="1534">
        <v>8</v>
      </c>
      <c r="E590" s="1044" t="str">
        <f>VLOOKUP($B590,DG!A:D,DG!$B$2,)</f>
        <v>05.7001</v>
      </c>
      <c r="F590" s="1049" t="str">
        <f>VLOOKUP($B590,DG!A:D,DG!$C$2,)</f>
        <v xml:space="preserve">Kéo dây tiếp địa </v>
      </c>
      <c r="G590" s="1044" t="str">
        <f>VLOOKUP($B590,DG!A:D,DG!$D$2,)</f>
        <v>mét</v>
      </c>
      <c r="H590" s="1823">
        <f t="shared" si="100"/>
        <v>0</v>
      </c>
      <c r="I590" s="1823"/>
      <c r="J590" s="1823"/>
      <c r="K590" s="1823"/>
      <c r="L590" s="1823"/>
      <c r="M590" s="1823"/>
      <c r="N590" s="1823"/>
      <c r="O590" s="1823"/>
      <c r="P590" s="1822">
        <f>H590+Q590-R590</f>
        <v>0</v>
      </c>
      <c r="Q590" s="1059"/>
      <c r="R590" s="1059"/>
      <c r="S590" s="1059"/>
      <c r="T590" s="2035">
        <f t="shared" si="94"/>
        <v>0</v>
      </c>
    </row>
    <row r="591" spans="1:20" ht="22.2" hidden="1" customHeight="1">
      <c r="A591" s="59"/>
      <c r="B591" s="1577" t="s">
        <v>1104</v>
      </c>
      <c r="C591" s="64" t="str">
        <f t="shared" si="95"/>
        <v xml:space="preserve"> </v>
      </c>
      <c r="D591" s="1535">
        <v>1</v>
      </c>
      <c r="E591" s="1044" t="str">
        <f>VLOOKUP($B591,DG!A:D,DG!$B$2,)</f>
        <v>05.8103</v>
      </c>
      <c r="F591" s="1049" t="str">
        <f>VLOOKUP($B591,DG!A:D,DG!$C$2,)</f>
        <v>Đóng cọc tiếp địa đất cấp 3</v>
      </c>
      <c r="G591" s="1044" t="str">
        <f>VLOOKUP($B591,DG!A:D,DG!$D$2,)</f>
        <v>cọc</v>
      </c>
      <c r="H591" s="1823">
        <f t="shared" si="100"/>
        <v>0</v>
      </c>
      <c r="I591" s="1823"/>
      <c r="J591" s="1823"/>
      <c r="K591" s="1823"/>
      <c r="L591" s="1823"/>
      <c r="M591" s="1823"/>
      <c r="N591" s="1823"/>
      <c r="O591" s="1823"/>
      <c r="P591" s="1822">
        <f>H591+Q591-R591</f>
        <v>0</v>
      </c>
      <c r="Q591" s="1053"/>
      <c r="R591" s="1053"/>
      <c r="S591" s="1053"/>
      <c r="T591" s="2035">
        <f t="shared" si="94"/>
        <v>0</v>
      </c>
    </row>
    <row r="592" spans="1:20" ht="22.2" hidden="1" customHeight="1">
      <c r="A592" s="59"/>
      <c r="B592" s="1577" t="s">
        <v>1906</v>
      </c>
      <c r="C592" s="64" t="str">
        <f t="shared" si="95"/>
        <v xml:space="preserve"> </v>
      </c>
      <c r="D592" s="1533"/>
      <c r="E592" s="1044" t="str">
        <f>VLOOKUP($B592,DG!A:D,DG!$B$2,)</f>
        <v>02.1120</v>
      </c>
      <c r="F592" s="1049" t="str">
        <f>VLOOKUP($B592,DG!A:D,DG!$C$2,)</f>
        <v>Bốc dỡ phụ kiện</v>
      </c>
      <c r="G592" s="1044" t="str">
        <f>VLOOKUP($B592,DG!A:D,DG!$D$2,)</f>
        <v>tấn</v>
      </c>
      <c r="H592" s="1823"/>
      <c r="I592" s="1823"/>
      <c r="J592" s="1823"/>
      <c r="K592" s="1823"/>
      <c r="L592" s="1823"/>
      <c r="M592" s="1823"/>
      <c r="N592" s="1823"/>
      <c r="O592" s="1823"/>
      <c r="P592" s="1823"/>
      <c r="Q592" s="1053"/>
      <c r="R592" s="1053"/>
      <c r="S592" s="1053"/>
      <c r="T592" s="2035">
        <f t="shared" si="94"/>
        <v>0</v>
      </c>
    </row>
    <row r="593" spans="1:20" ht="22.2" hidden="1" customHeight="1">
      <c r="A593" s="59"/>
      <c r="B593" s="1588" t="s">
        <v>1907</v>
      </c>
      <c r="C593" s="64" t="str">
        <f t="shared" si="95"/>
        <v xml:space="preserve"> </v>
      </c>
      <c r="D593" s="1533"/>
      <c r="E593" s="1044" t="str">
        <f>VLOOKUP($B593,DG!A:C,2,)</f>
        <v>02.1351</v>
      </c>
      <c r="F593" s="1049" t="str">
        <f>VLOOKUP($B593,DG!A:C,3,)</f>
        <v>V/c tiếp địa vào vị trí ( cự ly &lt;=100m)</v>
      </c>
      <c r="G593" s="1044" t="str">
        <f>VLOOKUP($B593,DG!A:D,4,0)</f>
        <v>tấn</v>
      </c>
      <c r="H593" s="1823"/>
      <c r="I593" s="1823"/>
      <c r="J593" s="1823"/>
      <c r="K593" s="1823"/>
      <c r="L593" s="1823"/>
      <c r="M593" s="1823"/>
      <c r="N593" s="1823"/>
      <c r="O593" s="1823"/>
      <c r="P593" s="1823"/>
      <c r="Q593" s="1058"/>
      <c r="R593" s="1058"/>
      <c r="S593" s="1058"/>
      <c r="T593" s="2035">
        <f t="shared" ref="T593:T669" si="103">IFERROR(HLOOKUP(B593,BangKeTru,3,0),0)</f>
        <v>0</v>
      </c>
    </row>
    <row r="594" spans="1:20" ht="22.2" hidden="1" customHeight="1">
      <c r="A594" s="56" t="s">
        <v>515</v>
      </c>
      <c r="B594" s="1574" t="s">
        <v>515</v>
      </c>
      <c r="C594" s="62" t="str">
        <f t="shared" ref="C594:C670" si="104">IF(OR(P594&lt;&gt;0,H594&lt;&gt;0),"x"," ")</f>
        <v xml:space="preserve"> </v>
      </c>
      <c r="D594" s="1532"/>
      <c r="E594" s="1045"/>
      <c r="F594" s="1392" t="s">
        <v>2395</v>
      </c>
      <c r="G594" s="1046" t="s">
        <v>2391</v>
      </c>
      <c r="H594" s="1821">
        <f>SUM(I594:O594)</f>
        <v>0</v>
      </c>
      <c r="I594" s="1822"/>
      <c r="J594" s="1822"/>
      <c r="K594" s="1822">
        <f>IFERROR(HLOOKUP(B594,pp3p1m!$1:$3,3,0),0)</f>
        <v>0</v>
      </c>
      <c r="L594" s="1822">
        <f>IFERROR(HLOOKUP(chitiet!B594,pp1p!$1:$3,3,0),0)</f>
        <v>0</v>
      </c>
      <c r="M594" s="1822"/>
      <c r="N594" s="1822"/>
      <c r="O594" s="1822"/>
      <c r="P594" s="1822"/>
      <c r="Q594" s="1047"/>
      <c r="R594" s="1047"/>
      <c r="S594" s="1047"/>
      <c r="T594" s="2035">
        <f>IFERROR(HLOOKUP(B594,pp1p!$1:$3,3,0),0)+IFERROR(HLOOKUP(B594,pp3p1m!$1:$3,3,0),0)</f>
        <v>0</v>
      </c>
    </row>
    <row r="595" spans="1:20" ht="22.2" hidden="1" customHeight="1">
      <c r="A595" s="59"/>
      <c r="B595" s="1577" t="s">
        <v>103</v>
      </c>
      <c r="C595" s="64" t="str">
        <f t="shared" si="104"/>
        <v xml:space="preserve"> </v>
      </c>
      <c r="D595" s="1534">
        <f>3*0.224</f>
        <v>0.67200000000000004</v>
      </c>
      <c r="E595" s="1044"/>
      <c r="F595" s="1056" t="str">
        <f>VLOOKUP($B595,DG!A:D,DG!$C$2,)&amp;" : 3m"</f>
        <v>Cáp đồng trần M25mm2 : 3m</v>
      </c>
      <c r="G595" s="1044" t="str">
        <f>VLOOKUP($B595,DG!A:D,DG!$D$2,)</f>
        <v>kg</v>
      </c>
      <c r="H595" s="1823">
        <f>H$574*$D595</f>
        <v>0</v>
      </c>
      <c r="I595" s="1823"/>
      <c r="J595" s="1823"/>
      <c r="K595" s="1823"/>
      <c r="L595" s="1823"/>
      <c r="M595" s="1823">
        <f t="shared" ref="M595:O597" si="105">M$574*$D595</f>
        <v>0</v>
      </c>
      <c r="N595" s="1823">
        <f t="shared" si="105"/>
        <v>0</v>
      </c>
      <c r="O595" s="1823">
        <f t="shared" si="105"/>
        <v>0</v>
      </c>
      <c r="P595" s="1823"/>
      <c r="Q595" s="1053"/>
      <c r="R595" s="1053"/>
      <c r="S595" s="1053"/>
      <c r="T595" s="2035">
        <f t="shared" si="103"/>
        <v>0</v>
      </c>
    </row>
    <row r="596" spans="1:20" ht="22.2" hidden="1" customHeight="1">
      <c r="A596" s="59"/>
      <c r="B596" s="1577" t="s">
        <v>1511</v>
      </c>
      <c r="C596" s="64" t="str">
        <f t="shared" si="104"/>
        <v xml:space="preserve"> </v>
      </c>
      <c r="D596" s="1535">
        <v>1</v>
      </c>
      <c r="E596" s="1044"/>
      <c r="F596" s="1056" t="str">
        <f>VLOOKUP($B596,DG!A:D,DG!$C$2,)</f>
        <v>Cọc tiếp đất Þ 16- 2,4m + kẹp cọc mạ đồng</v>
      </c>
      <c r="G596" s="1044" t="str">
        <f>VLOOKUP($B596,DG!A:D,DG!$D$2,)</f>
        <v>bộ</v>
      </c>
      <c r="H596" s="1823">
        <f>H$574*$D596</f>
        <v>0</v>
      </c>
      <c r="I596" s="1823"/>
      <c r="J596" s="1823"/>
      <c r="K596" s="1823"/>
      <c r="L596" s="1823"/>
      <c r="M596" s="1823">
        <f t="shared" si="105"/>
        <v>0</v>
      </c>
      <c r="N596" s="1823">
        <f t="shared" si="105"/>
        <v>0</v>
      </c>
      <c r="O596" s="1823">
        <f t="shared" si="105"/>
        <v>0</v>
      </c>
      <c r="P596" s="1823"/>
      <c r="Q596" s="1053"/>
      <c r="R596" s="1053"/>
      <c r="S596" s="1053"/>
      <c r="T596" s="2035">
        <f t="shared" si="103"/>
        <v>0</v>
      </c>
    </row>
    <row r="597" spans="1:20" ht="22.2" hidden="1" customHeight="1">
      <c r="A597" s="59"/>
      <c r="B597" s="1577" t="s">
        <v>2218</v>
      </c>
      <c r="C597" s="64" t="str">
        <f t="shared" si="104"/>
        <v xml:space="preserve"> </v>
      </c>
      <c r="D597" s="1535">
        <v>1</v>
      </c>
      <c r="E597" s="1044"/>
      <c r="F597" s="1056" t="str">
        <f>VLOOKUP($B597,DG!A:D,DG!$C$2,)</f>
        <v>Ghíp nối IPC 50-35</v>
      </c>
      <c r="G597" s="1044" t="str">
        <f>VLOOKUP($B597,DG!A:D,DG!$D$2,)</f>
        <v>cái</v>
      </c>
      <c r="H597" s="1823">
        <f>H$574*$D597</f>
        <v>0</v>
      </c>
      <c r="I597" s="1823"/>
      <c r="J597" s="1823"/>
      <c r="K597" s="1823"/>
      <c r="L597" s="1823"/>
      <c r="M597" s="1823">
        <f t="shared" si="105"/>
        <v>0</v>
      </c>
      <c r="N597" s="1823">
        <f t="shared" si="105"/>
        <v>0</v>
      </c>
      <c r="O597" s="1823">
        <f t="shared" si="105"/>
        <v>0</v>
      </c>
      <c r="P597" s="1823"/>
      <c r="Q597" s="1053"/>
      <c r="R597" s="1053"/>
      <c r="S597" s="1053"/>
      <c r="T597" s="2035">
        <f t="shared" si="103"/>
        <v>0</v>
      </c>
    </row>
    <row r="598" spans="1:20" ht="22.2" hidden="1" customHeight="1">
      <c r="A598" s="59"/>
      <c r="B598" s="1577" t="s">
        <v>1520</v>
      </c>
      <c r="C598" s="64" t="str">
        <f t="shared" si="104"/>
        <v xml:space="preserve"> </v>
      </c>
      <c r="D598" s="1534">
        <f>D595</f>
        <v>0.67200000000000004</v>
      </c>
      <c r="E598" s="1044" t="str">
        <f>VLOOKUP($B598,DG!A:D,DG!$B$2,)</f>
        <v>05.7001</v>
      </c>
      <c r="F598" s="1049" t="str">
        <f>VLOOKUP($B598,DG!A:D,DG!$C$2,)</f>
        <v xml:space="preserve">Kéo dây tiếp địa </v>
      </c>
      <c r="G598" s="1044" t="str">
        <f>VLOOKUP($B598,DG!A:D,DG!$D$2,)</f>
        <v>mét</v>
      </c>
      <c r="H598" s="1823"/>
      <c r="I598" s="1823"/>
      <c r="J598" s="1823"/>
      <c r="K598" s="1823"/>
      <c r="L598" s="1823"/>
      <c r="M598" s="1823"/>
      <c r="N598" s="1823"/>
      <c r="O598" s="1823"/>
      <c r="P598" s="1823"/>
      <c r="Q598" s="1058"/>
      <c r="R598" s="1058"/>
      <c r="S598" s="1058"/>
      <c r="T598" s="2035">
        <f t="shared" si="103"/>
        <v>0</v>
      </c>
    </row>
    <row r="599" spans="1:20" ht="22.2" hidden="1" customHeight="1">
      <c r="A599" s="59"/>
      <c r="B599" s="1577" t="s">
        <v>1104</v>
      </c>
      <c r="C599" s="64" t="str">
        <f t="shared" si="104"/>
        <v xml:space="preserve"> </v>
      </c>
      <c r="D599" s="1535">
        <v>1</v>
      </c>
      <c r="E599" s="1044" t="str">
        <f>VLOOKUP($B599,DG!A:D,DG!$B$2,)</f>
        <v>05.8103</v>
      </c>
      <c r="F599" s="1049" t="str">
        <f>VLOOKUP($B599,DG!A:D,DG!$C$2,)</f>
        <v>Đóng cọc tiếp địa đất cấp 3</v>
      </c>
      <c r="G599" s="1044" t="str">
        <f>VLOOKUP($B599,DG!A:D,DG!$D$2,)</f>
        <v>cọc</v>
      </c>
      <c r="H599" s="1823"/>
      <c r="I599" s="1823"/>
      <c r="J599" s="1823"/>
      <c r="K599" s="1823"/>
      <c r="L599" s="1823"/>
      <c r="M599" s="1823"/>
      <c r="N599" s="1823"/>
      <c r="O599" s="1823"/>
      <c r="P599" s="1823"/>
      <c r="Q599" s="1053"/>
      <c r="R599" s="1053"/>
      <c r="S599" s="1053"/>
      <c r="T599" s="2035">
        <f t="shared" si="103"/>
        <v>0</v>
      </c>
    </row>
    <row r="600" spans="1:20" ht="22.2" hidden="1" customHeight="1">
      <c r="A600" s="59"/>
      <c r="B600" s="1577" t="s">
        <v>1906</v>
      </c>
      <c r="C600" s="64" t="str">
        <f t="shared" si="104"/>
        <v xml:space="preserve"> </v>
      </c>
      <c r="D600" s="1533"/>
      <c r="E600" s="1044" t="str">
        <f>VLOOKUP($B600,DG!A:D,DG!$B$2,)</f>
        <v>02.1120</v>
      </c>
      <c r="F600" s="1049" t="str">
        <f>VLOOKUP($B600,DG!A:D,DG!$C$2,)</f>
        <v>Bốc dỡ phụ kiện</v>
      </c>
      <c r="G600" s="1044" t="str">
        <f>VLOOKUP($B600,DG!A:D,DG!$D$2,)</f>
        <v>tấn</v>
      </c>
      <c r="H600" s="1823"/>
      <c r="I600" s="1823"/>
      <c r="J600" s="1823"/>
      <c r="K600" s="1823"/>
      <c r="L600" s="1823"/>
      <c r="M600" s="1823"/>
      <c r="N600" s="1823"/>
      <c r="O600" s="1823"/>
      <c r="P600" s="1823"/>
      <c r="Q600" s="1053"/>
      <c r="R600" s="1053"/>
      <c r="S600" s="1053"/>
      <c r="T600" s="2035">
        <f t="shared" si="103"/>
        <v>0</v>
      </c>
    </row>
    <row r="601" spans="1:20" ht="22.2" hidden="1" customHeight="1">
      <c r="A601" s="59"/>
      <c r="B601" s="1588" t="s">
        <v>1907</v>
      </c>
      <c r="C601" s="64" t="str">
        <f t="shared" si="104"/>
        <v xml:space="preserve"> </v>
      </c>
      <c r="D601" s="1533"/>
      <c r="E601" s="1044" t="str">
        <f>VLOOKUP($B601,DG!A:C,2,)</f>
        <v>02.1351</v>
      </c>
      <c r="F601" s="1049" t="str">
        <f>VLOOKUP($B601,DG!A:C,3,)</f>
        <v>V/c tiếp địa vào vị trí ( cự ly &lt;=100m)</v>
      </c>
      <c r="G601" s="1044" t="str">
        <f>VLOOKUP($B601,DG!A:D,4,0)</f>
        <v>tấn</v>
      </c>
      <c r="H601" s="1823"/>
      <c r="I601" s="1823"/>
      <c r="J601" s="1823"/>
      <c r="K601" s="1823"/>
      <c r="L601" s="1823"/>
      <c r="M601" s="1823"/>
      <c r="N601" s="1823"/>
      <c r="O601" s="1823"/>
      <c r="P601" s="1823"/>
      <c r="Q601" s="1058"/>
      <c r="R601" s="1058"/>
      <c r="S601" s="1058"/>
      <c r="T601" s="2035">
        <f t="shared" si="103"/>
        <v>0</v>
      </c>
    </row>
    <row r="602" spans="1:20" ht="22.2" hidden="1" customHeight="1" collapsed="1">
      <c r="A602" s="56" t="s">
        <v>2148</v>
      </c>
      <c r="B602" s="1574" t="s">
        <v>2148</v>
      </c>
      <c r="C602" s="62" t="str">
        <f t="shared" si="104"/>
        <v xml:space="preserve"> </v>
      </c>
      <c r="D602" s="1532"/>
      <c r="E602" s="1045"/>
      <c r="F602" s="1392" t="s">
        <v>2396</v>
      </c>
      <c r="G602" s="1046" t="s">
        <v>2391</v>
      </c>
      <c r="H602" s="1821">
        <f>SUM(I602:O602)</f>
        <v>0</v>
      </c>
      <c r="I602" s="1822"/>
      <c r="J602" s="1822"/>
      <c r="K602" s="1822">
        <f>IFERROR(HLOOKUP(B602,pp3p1m!$1:$3,3,0),0)</f>
        <v>0</v>
      </c>
      <c r="L602" s="1822">
        <f>IFERROR(HLOOKUP(chitiet!B602,pp1p!$1:$3,3,0),0)</f>
        <v>0</v>
      </c>
      <c r="M602" s="1822"/>
      <c r="N602" s="1822"/>
      <c r="O602" s="1822"/>
      <c r="P602" s="1822"/>
      <c r="Q602" s="1047"/>
      <c r="R602" s="1047"/>
      <c r="S602" s="1047"/>
      <c r="T602" s="2035">
        <f>IFERROR(HLOOKUP(B602,pp1p!$1:$3,3,0),0)+IFERROR(HLOOKUP(B602,pp3p1m!$1:$3,3,0),0)</f>
        <v>0</v>
      </c>
    </row>
    <row r="603" spans="1:20" ht="22.2" hidden="1" customHeight="1">
      <c r="A603" s="59"/>
      <c r="B603" s="1577" t="s">
        <v>103</v>
      </c>
      <c r="C603" s="64" t="str">
        <f t="shared" si="104"/>
        <v xml:space="preserve"> </v>
      </c>
      <c r="D603" s="1534">
        <f>10*0.224</f>
        <v>2.2400000000000002</v>
      </c>
      <c r="E603" s="1044"/>
      <c r="F603" s="1056" t="str">
        <f>VLOOKUP($B603,DG!A:D,DG!C$2,)&amp;" : 10m"</f>
        <v>Cáp đồng trần M25mm2 : 10m</v>
      </c>
      <c r="G603" s="1044" t="str">
        <f>VLOOKUP($B603,DG!A:D,DG!$D$2,)</f>
        <v>kg</v>
      </c>
      <c r="H603" s="1823">
        <f t="shared" ref="H603:O605" si="106">H$602*$D603</f>
        <v>0</v>
      </c>
      <c r="I603" s="1823">
        <f t="shared" si="106"/>
        <v>0</v>
      </c>
      <c r="J603" s="1823">
        <f t="shared" si="106"/>
        <v>0</v>
      </c>
      <c r="K603" s="1823">
        <f t="shared" si="106"/>
        <v>0</v>
      </c>
      <c r="L603" s="1823">
        <f t="shared" si="106"/>
        <v>0</v>
      </c>
      <c r="M603" s="1823">
        <f t="shared" si="106"/>
        <v>0</v>
      </c>
      <c r="N603" s="1823">
        <f t="shared" si="106"/>
        <v>0</v>
      </c>
      <c r="O603" s="1823">
        <f t="shared" si="106"/>
        <v>0</v>
      </c>
      <c r="P603" s="1823"/>
      <c r="Q603" s="1053"/>
      <c r="R603" s="1053"/>
      <c r="S603" s="1053"/>
      <c r="T603" s="2035">
        <f t="shared" si="103"/>
        <v>0</v>
      </c>
    </row>
    <row r="604" spans="1:20" ht="22.2" hidden="1" customHeight="1">
      <c r="A604" s="59"/>
      <c r="B604" s="1577" t="s">
        <v>1511</v>
      </c>
      <c r="C604" s="64" t="str">
        <f t="shared" si="104"/>
        <v xml:space="preserve"> </v>
      </c>
      <c r="D604" s="1535">
        <v>1</v>
      </c>
      <c r="E604" s="1044"/>
      <c r="F604" s="1056" t="str">
        <f>VLOOKUP($B604,DG!A:D,DG!C$2,)</f>
        <v>Cọc tiếp đất Þ 16- 2,4m + kẹp cọc mạ đồng</v>
      </c>
      <c r="G604" s="1044" t="str">
        <f>VLOOKUP($B604,DG!A:D,DG!$D$2,)</f>
        <v>bộ</v>
      </c>
      <c r="H604" s="1823">
        <f t="shared" si="106"/>
        <v>0</v>
      </c>
      <c r="I604" s="1823">
        <f t="shared" si="106"/>
        <v>0</v>
      </c>
      <c r="J604" s="1823">
        <f t="shared" si="106"/>
        <v>0</v>
      </c>
      <c r="K604" s="1823">
        <f t="shared" si="106"/>
        <v>0</v>
      </c>
      <c r="L604" s="1823">
        <f t="shared" si="106"/>
        <v>0</v>
      </c>
      <c r="M604" s="1823">
        <f t="shared" si="106"/>
        <v>0</v>
      </c>
      <c r="N604" s="1823">
        <f t="shared" si="106"/>
        <v>0</v>
      </c>
      <c r="O604" s="1823">
        <f t="shared" si="106"/>
        <v>0</v>
      </c>
      <c r="P604" s="1823"/>
      <c r="Q604" s="1053"/>
      <c r="R604" s="1053"/>
      <c r="S604" s="1053"/>
      <c r="T604" s="2035">
        <f t="shared" si="103"/>
        <v>0</v>
      </c>
    </row>
    <row r="605" spans="1:20" ht="22.2" hidden="1" customHeight="1">
      <c r="A605" s="59"/>
      <c r="B605" s="1577" t="s">
        <v>1481</v>
      </c>
      <c r="C605" s="64" t="str">
        <f t="shared" si="104"/>
        <v xml:space="preserve"> </v>
      </c>
      <c r="D605" s="1535">
        <v>2</v>
      </c>
      <c r="E605" s="1044"/>
      <c r="F605" s="1056" t="str">
        <f>VLOOKUP($B605,DG!A:D,DG!C$2,)</f>
        <v>Kẹp nối đồng-nhôm</v>
      </c>
      <c r="G605" s="1044" t="str">
        <f>VLOOKUP($B605,DG!A:D,DG!$D$2,)</f>
        <v>cái</v>
      </c>
      <c r="H605" s="1823">
        <f t="shared" si="106"/>
        <v>0</v>
      </c>
      <c r="I605" s="1823">
        <f t="shared" si="106"/>
        <v>0</v>
      </c>
      <c r="J605" s="1823">
        <f t="shared" si="106"/>
        <v>0</v>
      </c>
      <c r="K605" s="1823">
        <f t="shared" si="106"/>
        <v>0</v>
      </c>
      <c r="L605" s="1823">
        <f t="shared" si="106"/>
        <v>0</v>
      </c>
      <c r="M605" s="1823">
        <f t="shared" si="106"/>
        <v>0</v>
      </c>
      <c r="N605" s="1823">
        <f t="shared" si="106"/>
        <v>0</v>
      </c>
      <c r="O605" s="1823">
        <f t="shared" si="106"/>
        <v>0</v>
      </c>
      <c r="P605" s="1823"/>
      <c r="Q605" s="1053"/>
      <c r="R605" s="1053"/>
      <c r="S605" s="1053"/>
      <c r="T605" s="2035">
        <f t="shared" si="103"/>
        <v>0</v>
      </c>
    </row>
    <row r="606" spans="1:20" ht="22.2" hidden="1" customHeight="1">
      <c r="A606" s="59"/>
      <c r="B606" s="1577" t="s">
        <v>1052</v>
      </c>
      <c r="C606" s="64" t="str">
        <f t="shared" si="104"/>
        <v xml:space="preserve"> </v>
      </c>
      <c r="D606" s="1535">
        <v>2</v>
      </c>
      <c r="E606" s="1044"/>
      <c r="F606" s="1056" t="str">
        <f>VLOOKUP($B606,DG!A:D,DG!C$2,)</f>
        <v>Đầu cosse ép Cu 25mm2</v>
      </c>
      <c r="G606" s="1044" t="str">
        <f>VLOOKUP($B606,DG!A:D,DG!$D$2,)</f>
        <v>cái</v>
      </c>
      <c r="H606" s="1823">
        <f t="shared" ref="H606:H611" si="107">H$602*$D606</f>
        <v>0</v>
      </c>
      <c r="I606" s="1823">
        <f t="shared" ref="I606:N607" si="108">I$612*$D606</f>
        <v>0</v>
      </c>
      <c r="J606" s="1823">
        <f t="shared" si="108"/>
        <v>0</v>
      </c>
      <c r="K606" s="1823">
        <f t="shared" si="108"/>
        <v>2</v>
      </c>
      <c r="L606" s="1823">
        <f t="shared" si="108"/>
        <v>0</v>
      </c>
      <c r="M606" s="1823">
        <f t="shared" si="108"/>
        <v>0</v>
      </c>
      <c r="N606" s="1823">
        <f t="shared" si="108"/>
        <v>0</v>
      </c>
      <c r="O606" s="1823"/>
      <c r="P606" s="1823"/>
      <c r="Q606" s="1053"/>
      <c r="R606" s="1053"/>
      <c r="S606" s="1053"/>
      <c r="T606" s="2035">
        <f t="shared" si="103"/>
        <v>0</v>
      </c>
    </row>
    <row r="607" spans="1:20" ht="22.2" hidden="1" customHeight="1">
      <c r="A607" s="59"/>
      <c r="B607" s="1577" t="s">
        <v>2023</v>
      </c>
      <c r="C607" s="64" t="str">
        <f t="shared" si="104"/>
        <v xml:space="preserve"> </v>
      </c>
      <c r="D607" s="1535">
        <v>1</v>
      </c>
      <c r="E607" s="1044"/>
      <c r="F607" s="1056" t="str">
        <f>VLOOKUP($B607,DG!A:D,DG!C$2,)</f>
        <v>Boulon 12x40+ 2 long đền vuông D14-50x50x3/Zn</v>
      </c>
      <c r="G607" s="1044" t="str">
        <f>VLOOKUP($B607,DG!A:D,DG!$D$2,)</f>
        <v>bộ</v>
      </c>
      <c r="H607" s="1823">
        <f t="shared" si="107"/>
        <v>0</v>
      </c>
      <c r="I607" s="1823">
        <f t="shared" si="108"/>
        <v>0</v>
      </c>
      <c r="J607" s="1823">
        <f t="shared" si="108"/>
        <v>0</v>
      </c>
      <c r="K607" s="1823">
        <f t="shared" si="108"/>
        <v>1</v>
      </c>
      <c r="L607" s="1823">
        <f t="shared" si="108"/>
        <v>0</v>
      </c>
      <c r="M607" s="1823">
        <f t="shared" si="108"/>
        <v>0</v>
      </c>
      <c r="N607" s="1823">
        <f t="shared" si="108"/>
        <v>0</v>
      </c>
      <c r="O607" s="1823"/>
      <c r="P607" s="1823"/>
      <c r="Q607" s="1053"/>
      <c r="R607" s="1053"/>
      <c r="S607" s="1053"/>
      <c r="T607" s="2035">
        <f t="shared" si="103"/>
        <v>0</v>
      </c>
    </row>
    <row r="608" spans="1:20" ht="22.2" hidden="1" customHeight="1">
      <c r="A608" s="59"/>
      <c r="B608" s="1577" t="s">
        <v>1520</v>
      </c>
      <c r="C608" s="64" t="str">
        <f t="shared" si="104"/>
        <v xml:space="preserve"> </v>
      </c>
      <c r="D608" s="1534">
        <f>D603</f>
        <v>2.2400000000000002</v>
      </c>
      <c r="E608" s="1044" t="str">
        <f>VLOOKUP($B608,DG!A:D,DG!$B$2,)</f>
        <v>05.7001</v>
      </c>
      <c r="F608" s="1049" t="str">
        <f>VLOOKUP($B608,DG!A:D,DG!C$2,)</f>
        <v xml:space="preserve">Kéo dây tiếp địa </v>
      </c>
      <c r="G608" s="1044" t="str">
        <f>VLOOKUP($B608,DG!A:D,DG!$D$2,)</f>
        <v>mét</v>
      </c>
      <c r="H608" s="1823">
        <f t="shared" si="107"/>
        <v>0</v>
      </c>
      <c r="I608" s="1823"/>
      <c r="J608" s="1823"/>
      <c r="K608" s="1823"/>
      <c r="L608" s="1823"/>
      <c r="M608" s="1823"/>
      <c r="N608" s="1823"/>
      <c r="O608" s="1823"/>
      <c r="P608" s="1823"/>
      <c r="Q608" s="1058"/>
      <c r="R608" s="1058"/>
      <c r="S608" s="1058"/>
      <c r="T608" s="2035">
        <f t="shared" si="103"/>
        <v>0</v>
      </c>
    </row>
    <row r="609" spans="1:20" ht="22.2" hidden="1" customHeight="1">
      <c r="A609" s="59"/>
      <c r="B609" s="1577" t="s">
        <v>1104</v>
      </c>
      <c r="C609" s="64" t="str">
        <f t="shared" si="104"/>
        <v xml:space="preserve"> </v>
      </c>
      <c r="D609" s="1535">
        <f>+D604</f>
        <v>1</v>
      </c>
      <c r="E609" s="1044" t="str">
        <f>VLOOKUP($B609,DG!A:D,DG!$B$2,)</f>
        <v>05.8103</v>
      </c>
      <c r="F609" s="1049" t="str">
        <f>VLOOKUP($B609,DG!A:D,DG!C$2,)</f>
        <v>Đóng cọc tiếp địa đất cấp 3</v>
      </c>
      <c r="G609" s="1044" t="str">
        <f>VLOOKUP($B609,DG!A:D,DG!$D$2,)</f>
        <v>cọc</v>
      </c>
      <c r="H609" s="1823">
        <f t="shared" si="107"/>
        <v>0</v>
      </c>
      <c r="I609" s="1823"/>
      <c r="J609" s="1823"/>
      <c r="K609" s="1823"/>
      <c r="L609" s="1823"/>
      <c r="M609" s="1823"/>
      <c r="N609" s="1823"/>
      <c r="O609" s="1823"/>
      <c r="P609" s="1823"/>
      <c r="Q609" s="1053"/>
      <c r="R609" s="1053"/>
      <c r="S609" s="1053"/>
      <c r="T609" s="2035">
        <f t="shared" si="103"/>
        <v>0</v>
      </c>
    </row>
    <row r="610" spans="1:20" ht="22.2" hidden="1" customHeight="1">
      <c r="A610" s="59"/>
      <c r="B610" s="1577" t="s">
        <v>1906</v>
      </c>
      <c r="C610" s="64" t="str">
        <f t="shared" si="104"/>
        <v xml:space="preserve"> </v>
      </c>
      <c r="D610" s="1533"/>
      <c r="E610" s="1044" t="str">
        <f>VLOOKUP($B610,DG!A:D,DG!$B$2,)</f>
        <v>02.1120</v>
      </c>
      <c r="F610" s="1049" t="str">
        <f>VLOOKUP($B610,DG!A:D,DG!C$2,)</f>
        <v>Bốc dỡ phụ kiện</v>
      </c>
      <c r="G610" s="1044" t="str">
        <f>VLOOKUP($B610,DG!A:D,DG!$D$2,)</f>
        <v>tấn</v>
      </c>
      <c r="H610" s="1823">
        <f t="shared" si="107"/>
        <v>0</v>
      </c>
      <c r="I610" s="1823"/>
      <c r="J610" s="1823"/>
      <c r="K610" s="1823"/>
      <c r="L610" s="1823"/>
      <c r="M610" s="1823"/>
      <c r="N610" s="1823"/>
      <c r="O610" s="1823"/>
      <c r="P610" s="1823"/>
      <c r="Q610" s="1053"/>
      <c r="R610" s="1053"/>
      <c r="S610" s="1053"/>
      <c r="T610" s="2035">
        <f t="shared" si="103"/>
        <v>0</v>
      </c>
    </row>
    <row r="611" spans="1:20" ht="22.2" hidden="1" customHeight="1">
      <c r="A611" s="59"/>
      <c r="B611" s="1588" t="s">
        <v>1907</v>
      </c>
      <c r="C611" s="64" t="str">
        <f t="shared" si="104"/>
        <v xml:space="preserve"> </v>
      </c>
      <c r="D611" s="1533"/>
      <c r="E611" s="1044" t="str">
        <f>VLOOKUP($B611,DG!A:C,2,)</f>
        <v>02.1351</v>
      </c>
      <c r="F611" s="1049" t="str">
        <f>VLOOKUP($B611,DG!A:C,3,)</f>
        <v>V/c tiếp địa vào vị trí ( cự ly &lt;=100m)</v>
      </c>
      <c r="G611" s="1044" t="str">
        <f>VLOOKUP($B611,DG!A:D,4,0)</f>
        <v>tấn</v>
      </c>
      <c r="H611" s="1823">
        <f t="shared" si="107"/>
        <v>0</v>
      </c>
      <c r="I611" s="1823"/>
      <c r="J611" s="1823"/>
      <c r="K611" s="1823"/>
      <c r="L611" s="1823"/>
      <c r="M611" s="1823"/>
      <c r="N611" s="1823"/>
      <c r="O611" s="1823"/>
      <c r="P611" s="1823"/>
      <c r="Q611" s="1058"/>
      <c r="R611" s="1058"/>
      <c r="S611" s="1058"/>
      <c r="T611" s="2035">
        <f t="shared" si="103"/>
        <v>0</v>
      </c>
    </row>
    <row r="612" spans="1:20" ht="22.2" customHeight="1">
      <c r="A612" s="1016" t="s">
        <v>1640</v>
      </c>
      <c r="B612" s="1574" t="s">
        <v>1640</v>
      </c>
      <c r="C612" s="1017" t="str">
        <f t="shared" si="104"/>
        <v>x</v>
      </c>
      <c r="D612" s="1544"/>
      <c r="E612" s="1045"/>
      <c r="F612" s="1392" t="s">
        <v>2397</v>
      </c>
      <c r="G612" s="1046" t="s">
        <v>2391</v>
      </c>
      <c r="H612" s="1821">
        <f>SUM(I612:O612)</f>
        <v>1</v>
      </c>
      <c r="I612" s="1822"/>
      <c r="J612" s="1822"/>
      <c r="K612" s="1822">
        <f>IFERROR(HLOOKUP(B612,pp3p1m!$1:$3,3,0),0)</f>
        <v>1</v>
      </c>
      <c r="L612" s="1822">
        <f>IFERROR(HLOOKUP(chitiet!B612,pp1p!$1:$3,3,0),0)</f>
        <v>0</v>
      </c>
      <c r="M612" s="1822"/>
      <c r="N612" s="1822"/>
      <c r="O612" s="1822"/>
      <c r="P612" s="1822">
        <f>H612+Q612-R612</f>
        <v>1</v>
      </c>
      <c r="Q612" s="1047"/>
      <c r="R612" s="1047"/>
      <c r="S612" s="1047"/>
      <c r="T612" s="2035">
        <f>IFERROR(HLOOKUP(B612,pp1p!$1:$3,3,0),0)+IFERROR(HLOOKUP(B612,pp3p1m!$1:$3,3,0),0)</f>
        <v>1</v>
      </c>
    </row>
    <row r="613" spans="1:20" ht="22.2" customHeight="1">
      <c r="A613" s="1015"/>
      <c r="B613" s="1571" t="s">
        <v>103</v>
      </c>
      <c r="C613" s="1018" t="str">
        <f t="shared" si="104"/>
        <v>x</v>
      </c>
      <c r="D613" s="1534">
        <v>2.2400000000000002</v>
      </c>
      <c r="E613" s="2062">
        <v>12</v>
      </c>
      <c r="F613" s="1056" t="str">
        <f>VLOOKUP($B613,DG!A:D,DG!C$2,)</f>
        <v>Cáp đồng trần M25mm2</v>
      </c>
      <c r="G613" s="1044" t="str">
        <f>VLOOKUP($B613,DG!A:D,DG!$D$2,)</f>
        <v>kg</v>
      </c>
      <c r="H613" s="1830">
        <f t="shared" ref="H613:N618" si="109">H$612*$D613</f>
        <v>2.2400000000000002</v>
      </c>
      <c r="I613" s="1823">
        <f t="shared" si="109"/>
        <v>0</v>
      </c>
      <c r="J613" s="1823">
        <f t="shared" si="109"/>
        <v>0</v>
      </c>
      <c r="K613" s="1823">
        <f t="shared" si="109"/>
        <v>2.2400000000000002</v>
      </c>
      <c r="L613" s="1823">
        <f t="shared" si="109"/>
        <v>0</v>
      </c>
      <c r="M613" s="1823">
        <f t="shared" si="109"/>
        <v>0</v>
      </c>
      <c r="N613" s="1823">
        <f t="shared" si="109"/>
        <v>0</v>
      </c>
      <c r="O613" s="1823"/>
      <c r="P613" s="1830">
        <f>D613*$P$612</f>
        <v>2.2400000000000002</v>
      </c>
      <c r="Q613" s="1053"/>
      <c r="R613" s="1053"/>
      <c r="S613" s="1053"/>
      <c r="T613" s="2035">
        <f t="shared" si="103"/>
        <v>0</v>
      </c>
    </row>
    <row r="614" spans="1:20" ht="22.2" customHeight="1">
      <c r="A614" s="1015"/>
      <c r="B614" s="1571" t="s">
        <v>1511</v>
      </c>
      <c r="C614" s="1018" t="str">
        <f t="shared" si="104"/>
        <v>x</v>
      </c>
      <c r="D614" s="1535">
        <v>1</v>
      </c>
      <c r="E614" s="1044"/>
      <c r="F614" s="1056" t="str">
        <f>VLOOKUP($B614,DG!A:D,DG!C$2,)</f>
        <v>Cọc tiếp đất Þ 16- 2,4m + kẹp cọc mạ đồng</v>
      </c>
      <c r="G614" s="1044" t="str">
        <f>VLOOKUP($B614,DG!A:D,DG!$D$2,)</f>
        <v>bộ</v>
      </c>
      <c r="H614" s="1823">
        <f t="shared" si="109"/>
        <v>1</v>
      </c>
      <c r="I614" s="1823">
        <f t="shared" si="109"/>
        <v>0</v>
      </c>
      <c r="J614" s="1823">
        <f t="shared" si="109"/>
        <v>0</v>
      </c>
      <c r="K614" s="1823">
        <f t="shared" si="109"/>
        <v>1</v>
      </c>
      <c r="L614" s="1823">
        <f t="shared" si="109"/>
        <v>0</v>
      </c>
      <c r="M614" s="1823">
        <f t="shared" si="109"/>
        <v>0</v>
      </c>
      <c r="N614" s="1823">
        <f t="shared" si="109"/>
        <v>0</v>
      </c>
      <c r="O614" s="1823"/>
      <c r="P614" s="1823">
        <f>D614*$P$612</f>
        <v>1</v>
      </c>
      <c r="Q614" s="1053"/>
      <c r="R614" s="1053"/>
      <c r="S614" s="1053"/>
      <c r="T614" s="2035">
        <f t="shared" si="103"/>
        <v>0</v>
      </c>
    </row>
    <row r="615" spans="1:20" ht="22.2" customHeight="1">
      <c r="A615" s="59"/>
      <c r="B615" s="1577" t="s">
        <v>1582</v>
      </c>
      <c r="C615" s="64" t="str">
        <f t="shared" ref="C615" si="110">IF(OR(P615&lt;&gt;0,H615&lt;&gt;0),"x"," ")</f>
        <v>x</v>
      </c>
      <c r="D615" s="1535">
        <f>2</f>
        <v>2</v>
      </c>
      <c r="E615" s="1044"/>
      <c r="F615" s="1056" t="str">
        <f>VLOOKUP($B615,DG!A:D,DG!C$2,)</f>
        <v>Kẹp ép WR cỡ dây 50mm2</v>
      </c>
      <c r="G615" s="1044" t="str">
        <f>VLOOKUP($B615,DG!A:D,DG!$D$2,)</f>
        <v>cái</v>
      </c>
      <c r="H615" s="1823">
        <f t="shared" si="109"/>
        <v>2</v>
      </c>
      <c r="I615" s="1823">
        <f t="shared" si="109"/>
        <v>0</v>
      </c>
      <c r="J615" s="1823">
        <f t="shared" si="109"/>
        <v>0</v>
      </c>
      <c r="K615" s="1823">
        <f t="shared" si="109"/>
        <v>2</v>
      </c>
      <c r="L615" s="1823">
        <f t="shared" si="109"/>
        <v>0</v>
      </c>
      <c r="M615" s="1823">
        <f t="shared" si="109"/>
        <v>0</v>
      </c>
      <c r="N615" s="1823">
        <f t="shared" si="109"/>
        <v>0</v>
      </c>
      <c r="O615" s="1823"/>
      <c r="P615" s="1823">
        <f>D615*$P$612</f>
        <v>2</v>
      </c>
      <c r="Q615" s="1053"/>
      <c r="R615" s="1053"/>
      <c r="S615" s="1053"/>
      <c r="T615" s="2035">
        <f t="shared" ref="T615" si="111">IFERROR(HLOOKUP(B615,BangKeTru,3,0),0)</f>
        <v>0</v>
      </c>
    </row>
    <row r="616" spans="1:20" ht="22.2" customHeight="1">
      <c r="A616" s="59"/>
      <c r="B616" s="1577" t="s">
        <v>1062</v>
      </c>
      <c r="C616" s="64" t="str">
        <f t="shared" si="104"/>
        <v>x</v>
      </c>
      <c r="D616" s="1535">
        <f>2</f>
        <v>2</v>
      </c>
      <c r="E616" s="1044"/>
      <c r="F616" s="1056" t="str">
        <f>VLOOKUP($B616,DG!A:D,DG!C$2,)</f>
        <v>Ốc siết cáp cỡ 25mm2</v>
      </c>
      <c r="G616" s="1044" t="str">
        <f>VLOOKUP($B616,DG!A:D,DG!$D$2,)</f>
        <v>cái</v>
      </c>
      <c r="H616" s="1823">
        <f t="shared" si="109"/>
        <v>2</v>
      </c>
      <c r="I616" s="1823">
        <f t="shared" si="109"/>
        <v>0</v>
      </c>
      <c r="J616" s="1823">
        <f t="shared" si="109"/>
        <v>0</v>
      </c>
      <c r="K616" s="1823">
        <f t="shared" si="109"/>
        <v>2</v>
      </c>
      <c r="L616" s="1823">
        <f t="shared" si="109"/>
        <v>0</v>
      </c>
      <c r="M616" s="1823">
        <f t="shared" si="109"/>
        <v>0</v>
      </c>
      <c r="N616" s="1823">
        <f t="shared" si="109"/>
        <v>0</v>
      </c>
      <c r="O616" s="1823"/>
      <c r="P616" s="1823">
        <f>D616*$P$612</f>
        <v>2</v>
      </c>
      <c r="Q616" s="1053"/>
      <c r="R616" s="1053"/>
      <c r="S616" s="1053"/>
      <c r="T616" s="2035">
        <f t="shared" si="103"/>
        <v>0</v>
      </c>
    </row>
    <row r="617" spans="1:20" ht="22.2" hidden="1" customHeight="1">
      <c r="A617" s="59"/>
      <c r="B617" s="1577" t="s">
        <v>1493</v>
      </c>
      <c r="C617" s="64" t="str">
        <f t="shared" si="104"/>
        <v xml:space="preserve"> </v>
      </c>
      <c r="D617" s="1535">
        <f>6-6</f>
        <v>0</v>
      </c>
      <c r="E617" s="1044"/>
      <c r="F617" s="1056" t="str">
        <f>VLOOKUP($B617,DG!A:D,DG!C$2,)</f>
        <v xml:space="preserve">Ống PVC D21x1,6mm </v>
      </c>
      <c r="G617" s="1044" t="str">
        <f>VLOOKUP($B617,DG!A:D,DG!$D$2,)</f>
        <v>m</v>
      </c>
      <c r="H617" s="1823">
        <f t="shared" si="109"/>
        <v>0</v>
      </c>
      <c r="I617" s="1823">
        <f t="shared" si="109"/>
        <v>0</v>
      </c>
      <c r="J617" s="1823">
        <f t="shared" si="109"/>
        <v>0</v>
      </c>
      <c r="K617" s="1823">
        <f t="shared" si="109"/>
        <v>0</v>
      </c>
      <c r="L617" s="1823">
        <f t="shared" si="109"/>
        <v>0</v>
      </c>
      <c r="M617" s="1823">
        <f t="shared" si="109"/>
        <v>0</v>
      </c>
      <c r="N617" s="1823">
        <f t="shared" si="109"/>
        <v>0</v>
      </c>
      <c r="O617" s="1823"/>
      <c r="P617" s="1823"/>
      <c r="Q617" s="1053"/>
      <c r="R617" s="1053"/>
      <c r="S617" s="1053"/>
      <c r="T617" s="2035">
        <f t="shared" si="103"/>
        <v>0</v>
      </c>
    </row>
    <row r="618" spans="1:20" ht="22.2" hidden="1" customHeight="1">
      <c r="A618" s="59"/>
      <c r="B618" s="1577" t="s">
        <v>2023</v>
      </c>
      <c r="C618" s="64" t="str">
        <f>IF(OR(P618&lt;&gt;0,H618&lt;&gt;0),"x"," ")</f>
        <v xml:space="preserve"> </v>
      </c>
      <c r="D618" s="1535"/>
      <c r="E618" s="1044"/>
      <c r="F618" s="1056" t="str">
        <f>VLOOKUP($B618,DG!A:D,DG!C$2,)</f>
        <v>Boulon 12x40+ 2 long đền vuông D14-50x50x3/Zn</v>
      </c>
      <c r="G618" s="1044" t="str">
        <f>VLOOKUP($B618,DG!A:D,DG!$D$2,)</f>
        <v>bộ</v>
      </c>
      <c r="H618" s="1823">
        <f t="shared" si="109"/>
        <v>0</v>
      </c>
      <c r="I618" s="1823">
        <f t="shared" si="109"/>
        <v>0</v>
      </c>
      <c r="J618" s="1823">
        <f t="shared" si="109"/>
        <v>0</v>
      </c>
      <c r="K618" s="1823">
        <f t="shared" si="109"/>
        <v>0</v>
      </c>
      <c r="L618" s="1823">
        <f t="shared" si="109"/>
        <v>0</v>
      </c>
      <c r="M618" s="1823">
        <f t="shared" si="109"/>
        <v>0</v>
      </c>
      <c r="N618" s="1823">
        <f t="shared" si="109"/>
        <v>0</v>
      </c>
      <c r="O618" s="1823"/>
      <c r="P618" s="1823">
        <f>D618*$P$612</f>
        <v>0</v>
      </c>
      <c r="Q618" s="1053"/>
      <c r="R618" s="1053"/>
      <c r="S618" s="1053"/>
      <c r="T618" s="2035">
        <f t="shared" si="103"/>
        <v>0</v>
      </c>
    </row>
    <row r="619" spans="1:20" ht="22.2" customHeight="1">
      <c r="A619" s="1015"/>
      <c r="B619" s="1571" t="s">
        <v>1520</v>
      </c>
      <c r="C619" s="1018" t="str">
        <f t="shared" si="104"/>
        <v>x</v>
      </c>
      <c r="D619" s="1534">
        <f>D613</f>
        <v>2.2400000000000002</v>
      </c>
      <c r="E619" s="1044" t="str">
        <f>VLOOKUP($B619,DG!A:D,DG!$B$2,)</f>
        <v>05.7001</v>
      </c>
      <c r="F619" s="1049" t="str">
        <f>VLOOKUP($B619,DG!A:D,DG!C$2,)</f>
        <v xml:space="preserve">Kéo dây tiếp địa </v>
      </c>
      <c r="G619" s="2110" t="str">
        <f>G613</f>
        <v>kg</v>
      </c>
      <c r="H619" s="2109">
        <f>H$612*$D619</f>
        <v>2.2400000000000002</v>
      </c>
      <c r="I619" s="1823"/>
      <c r="J619" s="1823"/>
      <c r="K619" s="1823"/>
      <c r="L619" s="1823"/>
      <c r="M619" s="1823"/>
      <c r="N619" s="1823"/>
      <c r="O619" s="1823"/>
      <c r="P619" s="1823">
        <f>D619*$P$612</f>
        <v>2.2400000000000002</v>
      </c>
      <c r="Q619" s="1058"/>
      <c r="R619" s="1058"/>
      <c r="S619" s="1058"/>
      <c r="T619" s="2035">
        <f t="shared" si="103"/>
        <v>0</v>
      </c>
    </row>
    <row r="620" spans="1:20" ht="22.2" customHeight="1">
      <c r="A620" s="1015"/>
      <c r="B620" s="1571" t="s">
        <v>1104</v>
      </c>
      <c r="C620" s="1018" t="str">
        <f t="shared" si="104"/>
        <v>x</v>
      </c>
      <c r="D620" s="1535">
        <f>D614</f>
        <v>1</v>
      </c>
      <c r="E620" s="1044" t="str">
        <f>VLOOKUP($B620,DG!A:D,DG!$B$2,)</f>
        <v>05.8103</v>
      </c>
      <c r="F620" s="1049" t="str">
        <f>VLOOKUP($B620,DG!A:D,DG!C$2,)</f>
        <v>Đóng cọc tiếp địa đất cấp 3</v>
      </c>
      <c r="G620" s="1044" t="str">
        <f>VLOOKUP($B620,DG!A:D,DG!$D$2,)</f>
        <v>cọc</v>
      </c>
      <c r="H620" s="1823">
        <f>H$612*$D620</f>
        <v>1</v>
      </c>
      <c r="I620" s="1823"/>
      <c r="J620" s="1823"/>
      <c r="K620" s="1823"/>
      <c r="L620" s="1823"/>
      <c r="M620" s="1823"/>
      <c r="N620" s="1823"/>
      <c r="O620" s="1823"/>
      <c r="P620" s="1823">
        <f>D620*$P$612</f>
        <v>1</v>
      </c>
      <c r="Q620" s="1053"/>
      <c r="R620" s="1053"/>
      <c r="S620" s="1053"/>
      <c r="T620" s="2035">
        <f t="shared" si="103"/>
        <v>0</v>
      </c>
    </row>
    <row r="621" spans="1:20" ht="22.2" hidden="1" customHeight="1">
      <c r="A621" s="59"/>
      <c r="B621" s="1577" t="s">
        <v>1906</v>
      </c>
      <c r="C621" s="64" t="str">
        <f t="shared" si="104"/>
        <v xml:space="preserve"> </v>
      </c>
      <c r="D621" s="1533">
        <f>0.008-0.008</f>
        <v>0</v>
      </c>
      <c r="E621" s="1044" t="str">
        <f>VLOOKUP($B621,DG!A:D,DG!$B$2,)</f>
        <v>02.1120</v>
      </c>
      <c r="F621" s="1049" t="str">
        <f>VLOOKUP($B621,DG!A:D,DG!C$2,)</f>
        <v>Bốc dỡ phụ kiện</v>
      </c>
      <c r="G621" s="1044" t="str">
        <f>VLOOKUP($B621,DG!A:D,DG!$D$2,)</f>
        <v>tấn</v>
      </c>
      <c r="H621" s="1823">
        <f>H$612*$D621</f>
        <v>0</v>
      </c>
      <c r="I621" s="1823"/>
      <c r="J621" s="1823"/>
      <c r="K621" s="1823"/>
      <c r="L621" s="1823"/>
      <c r="M621" s="1823"/>
      <c r="N621" s="1823"/>
      <c r="O621" s="1823"/>
      <c r="P621" s="1823"/>
      <c r="Q621" s="1053"/>
      <c r="R621" s="1053"/>
      <c r="S621" s="1053"/>
      <c r="T621" s="2035">
        <f t="shared" si="103"/>
        <v>0</v>
      </c>
    </row>
    <row r="622" spans="1:20" ht="22.2" hidden="1" customHeight="1">
      <c r="A622" s="59"/>
      <c r="B622" s="1588" t="s">
        <v>1907</v>
      </c>
      <c r="C622" s="64" t="str">
        <f>IF(OR(P622&lt;&gt;0,H622&lt;&gt;0),"x"," ")</f>
        <v xml:space="preserve"> </v>
      </c>
      <c r="D622" s="1533"/>
      <c r="E622" s="1044" t="str">
        <f>VLOOKUP($B622,DG!A:C,2,)</f>
        <v>02.1351</v>
      </c>
      <c r="F622" s="1049" t="str">
        <f>VLOOKUP($B622,DG!A:C,3,)</f>
        <v>V/c tiếp địa vào vị trí ( cự ly &lt;=100m)</v>
      </c>
      <c r="G622" s="1044" t="str">
        <f>VLOOKUP($B622,DG!A:D,4,0)</f>
        <v>tấn</v>
      </c>
      <c r="H622" s="1823">
        <f>H$612*$D622</f>
        <v>0</v>
      </c>
      <c r="I622" s="1823"/>
      <c r="J622" s="1823"/>
      <c r="K622" s="1823"/>
      <c r="L622" s="1823"/>
      <c r="M622" s="1823"/>
      <c r="N622" s="1823"/>
      <c r="O622" s="1823"/>
      <c r="P622" s="1823"/>
      <c r="Q622" s="1058"/>
      <c r="R622" s="1058"/>
      <c r="S622" s="1058"/>
      <c r="T622" s="2035">
        <f t="shared" si="103"/>
        <v>0</v>
      </c>
    </row>
    <row r="623" spans="1:20" ht="22.2" hidden="1" customHeight="1">
      <c r="A623" s="1572" t="s">
        <v>2241</v>
      </c>
      <c r="B623" s="1574" t="s">
        <v>2241</v>
      </c>
      <c r="C623" s="64" t="str">
        <f t="shared" si="104"/>
        <v xml:space="preserve"> </v>
      </c>
      <c r="D623" s="1544"/>
      <c r="E623" s="1045"/>
      <c r="F623" s="1392" t="s">
        <v>2398</v>
      </c>
      <c r="G623" s="1046" t="s">
        <v>2391</v>
      </c>
      <c r="H623" s="1821">
        <f>SUM(I623:O623)</f>
        <v>0</v>
      </c>
      <c r="I623" s="1822"/>
      <c r="J623" s="1822"/>
      <c r="K623" s="1822">
        <f>IFERROR(HLOOKUP(B623,pp3p1m!$1:$3,3,0),0)</f>
        <v>0</v>
      </c>
      <c r="L623" s="1822">
        <f>IFERROR(HLOOKUP(chitiet!B623,pp1p!$1:$3,3,0),0)</f>
        <v>0</v>
      </c>
      <c r="M623" s="1822"/>
      <c r="N623" s="1822"/>
      <c r="O623" s="1822"/>
      <c r="P623" s="1821">
        <f>H623+Q623-R623</f>
        <v>0</v>
      </c>
      <c r="Q623" s="1047"/>
      <c r="R623" s="1047"/>
      <c r="S623" s="1047"/>
      <c r="T623" s="2035">
        <f>IFERROR(HLOOKUP(B623,pp1p!$1:$3,3,0),0)+IFERROR(HLOOKUP(B623,pp3p1m!$1:$3,3,0),0)</f>
        <v>0</v>
      </c>
    </row>
    <row r="624" spans="1:20" ht="22.2" hidden="1" customHeight="1">
      <c r="B624" s="1577" t="s">
        <v>103</v>
      </c>
      <c r="C624" s="64" t="str">
        <f t="shared" si="104"/>
        <v xml:space="preserve"> </v>
      </c>
      <c r="D624" s="1534">
        <v>2.46</v>
      </c>
      <c r="E624" s="1044"/>
      <c r="F624" s="1056" t="str">
        <f>VLOOKUP($B624,DG!A:D,DG!C$2,)</f>
        <v>Cáp đồng trần M25mm2</v>
      </c>
      <c r="G624" s="1044" t="str">
        <f>VLOOKUP($B624,DG!A:D,DG!$D$2,)</f>
        <v>kg</v>
      </c>
      <c r="H624" s="1823">
        <f t="shared" ref="H624:H632" si="112">$H$623*$D624</f>
        <v>0</v>
      </c>
      <c r="I624" s="1823">
        <f t="shared" ref="I624:O629" si="113">I$623*$D624</f>
        <v>0</v>
      </c>
      <c r="J624" s="1823">
        <f t="shared" si="113"/>
        <v>0</v>
      </c>
      <c r="K624" s="1823">
        <f t="shared" si="113"/>
        <v>0</v>
      </c>
      <c r="L624" s="1823">
        <f t="shared" si="113"/>
        <v>0</v>
      </c>
      <c r="M624" s="1823">
        <f t="shared" si="113"/>
        <v>0</v>
      </c>
      <c r="N624" s="1823">
        <f t="shared" si="113"/>
        <v>0</v>
      </c>
      <c r="O624" s="1823">
        <f t="shared" si="113"/>
        <v>0</v>
      </c>
      <c r="P624" s="1824">
        <f>$P$623*D624</f>
        <v>0</v>
      </c>
      <c r="Q624" s="1053"/>
      <c r="R624" s="1053"/>
      <c r="S624" s="1053"/>
      <c r="T624" s="2035">
        <f t="shared" si="103"/>
        <v>0</v>
      </c>
    </row>
    <row r="625" spans="1:20" ht="22.2" hidden="1" customHeight="1">
      <c r="B625" s="1577" t="s">
        <v>1511</v>
      </c>
      <c r="C625" s="64" t="str">
        <f t="shared" si="104"/>
        <v xml:space="preserve"> </v>
      </c>
      <c r="D625" s="1535">
        <v>1</v>
      </c>
      <c r="E625" s="1044"/>
      <c r="F625" s="1056" t="str">
        <f>VLOOKUP($B625,DG!A:D,DG!C$2,)</f>
        <v>Cọc tiếp đất Þ 16- 2,4m + kẹp cọc mạ đồng</v>
      </c>
      <c r="G625" s="1044" t="str">
        <f>VLOOKUP($B625,DG!A:D,DG!$D$2,)</f>
        <v>bộ</v>
      </c>
      <c r="H625" s="1823">
        <f t="shared" si="112"/>
        <v>0</v>
      </c>
      <c r="I625" s="1823">
        <f t="shared" si="113"/>
        <v>0</v>
      </c>
      <c r="J625" s="1823">
        <f t="shared" si="113"/>
        <v>0</v>
      </c>
      <c r="K625" s="1823">
        <f t="shared" si="113"/>
        <v>0</v>
      </c>
      <c r="L625" s="1823">
        <f t="shared" si="113"/>
        <v>0</v>
      </c>
      <c r="M625" s="1823">
        <f t="shared" si="113"/>
        <v>0</v>
      </c>
      <c r="N625" s="1823">
        <f t="shared" si="113"/>
        <v>0</v>
      </c>
      <c r="O625" s="1823">
        <f t="shared" si="113"/>
        <v>0</v>
      </c>
      <c r="P625" s="1824">
        <f>$P$623*D625</f>
        <v>0</v>
      </c>
      <c r="Q625" s="1053"/>
      <c r="R625" s="1053"/>
      <c r="S625" s="1053"/>
      <c r="T625" s="2035">
        <f t="shared" si="103"/>
        <v>0</v>
      </c>
    </row>
    <row r="626" spans="1:20" ht="22.2" hidden="1" customHeight="1">
      <c r="B626" s="1577" t="s">
        <v>531</v>
      </c>
      <c r="C626" s="64" t="str">
        <f t="shared" si="104"/>
        <v xml:space="preserve"> </v>
      </c>
      <c r="D626" s="1535">
        <v>2</v>
      </c>
      <c r="E626" s="1044"/>
      <c r="F626" s="1056" t="str">
        <f>VLOOKUP($B626,DG!A:D,DG!C$2,)</f>
        <v>Kẹp ép WR cỡ dây 50mm2</v>
      </c>
      <c r="G626" s="1044" t="str">
        <f>VLOOKUP($B626,DG!A:D,DG!$D$2,)</f>
        <v>cái</v>
      </c>
      <c r="H626" s="1823">
        <f t="shared" si="112"/>
        <v>0</v>
      </c>
      <c r="I626" s="1823">
        <f t="shared" si="113"/>
        <v>0</v>
      </c>
      <c r="J626" s="1823">
        <f t="shared" si="113"/>
        <v>0</v>
      </c>
      <c r="K626" s="1823">
        <f t="shared" si="113"/>
        <v>0</v>
      </c>
      <c r="L626" s="1823">
        <f t="shared" si="113"/>
        <v>0</v>
      </c>
      <c r="M626" s="1823">
        <f t="shared" si="113"/>
        <v>0</v>
      </c>
      <c r="N626" s="1823">
        <f t="shared" si="113"/>
        <v>0</v>
      </c>
      <c r="O626" s="1823">
        <f t="shared" si="113"/>
        <v>0</v>
      </c>
      <c r="P626" s="1824">
        <f>$P$623*D626</f>
        <v>0</v>
      </c>
      <c r="Q626" s="1053"/>
      <c r="R626" s="1053"/>
      <c r="S626" s="1053"/>
      <c r="T626" s="2035">
        <f t="shared" si="103"/>
        <v>0</v>
      </c>
    </row>
    <row r="627" spans="1:20" ht="22.2" hidden="1" customHeight="1">
      <c r="A627" s="59"/>
      <c r="B627" s="1577" t="s">
        <v>1052</v>
      </c>
      <c r="C627" s="64" t="str">
        <f t="shared" si="104"/>
        <v xml:space="preserve"> </v>
      </c>
      <c r="D627" s="1535"/>
      <c r="E627" s="1044"/>
      <c r="F627" s="1056" t="str">
        <f>VLOOKUP($B627,DG!A:D,DG!C$2,)</f>
        <v>Đầu cosse ép Cu 25mm2</v>
      </c>
      <c r="G627" s="1044" t="str">
        <f>VLOOKUP($B627,DG!A:D,DG!$D$2,)</f>
        <v>cái</v>
      </c>
      <c r="H627" s="1823">
        <f t="shared" si="112"/>
        <v>0</v>
      </c>
      <c r="I627" s="1823">
        <f t="shared" si="113"/>
        <v>0</v>
      </c>
      <c r="J627" s="1823">
        <f t="shared" si="113"/>
        <v>0</v>
      </c>
      <c r="K627" s="1823">
        <f t="shared" si="113"/>
        <v>0</v>
      </c>
      <c r="L627" s="1823">
        <f t="shared" si="113"/>
        <v>0</v>
      </c>
      <c r="M627" s="1823">
        <f t="shared" si="113"/>
        <v>0</v>
      </c>
      <c r="N627" s="1823">
        <f t="shared" si="113"/>
        <v>0</v>
      </c>
      <c r="O627" s="1823">
        <f t="shared" si="113"/>
        <v>0</v>
      </c>
      <c r="P627" s="1823"/>
      <c r="Q627" s="1053"/>
      <c r="R627" s="1053"/>
      <c r="S627" s="1053"/>
      <c r="T627" s="2035">
        <f t="shared" si="103"/>
        <v>0</v>
      </c>
    </row>
    <row r="628" spans="1:20" ht="22.2" hidden="1" customHeight="1">
      <c r="A628" s="59"/>
      <c r="B628" s="1577" t="s">
        <v>2023</v>
      </c>
      <c r="C628" s="64" t="str">
        <f t="shared" ref="C628" si="114">IF(OR(P628&lt;&gt;0,H628&lt;&gt;0),"x"," ")</f>
        <v xml:space="preserve"> </v>
      </c>
      <c r="D628" s="1535"/>
      <c r="E628" s="1044"/>
      <c r="F628" s="1056" t="str">
        <f>VLOOKUP($B628,DG!A:D,DG!C$2,)</f>
        <v>Boulon 12x40+ 2 long đền vuông D14-50x50x3/Zn</v>
      </c>
      <c r="G628" s="1044" t="str">
        <f>VLOOKUP($B628,DG!A:D,DG!$D$2,)</f>
        <v>bộ</v>
      </c>
      <c r="H628" s="1823">
        <f t="shared" si="112"/>
        <v>0</v>
      </c>
      <c r="I628" s="1823">
        <f t="shared" si="113"/>
        <v>0</v>
      </c>
      <c r="J628" s="1823">
        <f t="shared" si="113"/>
        <v>0</v>
      </c>
      <c r="K628" s="1823">
        <f t="shared" si="113"/>
        <v>0</v>
      </c>
      <c r="L628" s="1823">
        <f t="shared" si="113"/>
        <v>0</v>
      </c>
      <c r="M628" s="1823">
        <f t="shared" si="113"/>
        <v>0</v>
      </c>
      <c r="N628" s="1823">
        <f t="shared" si="113"/>
        <v>0</v>
      </c>
      <c r="O628" s="1823">
        <f t="shared" si="113"/>
        <v>0</v>
      </c>
      <c r="P628" s="1823"/>
      <c r="Q628" s="1053"/>
      <c r="R628" s="1053"/>
      <c r="S628" s="1053"/>
      <c r="T628" s="2035">
        <f t="shared" ref="T628" si="115">IFERROR(HLOOKUP(B628,BangKeTru,3,0),0)</f>
        <v>0</v>
      </c>
    </row>
    <row r="629" spans="1:20" ht="22.2" hidden="1" customHeight="1">
      <c r="A629" s="59"/>
      <c r="B629" s="1577" t="s">
        <v>1062</v>
      </c>
      <c r="C629" s="64" t="str">
        <f t="shared" si="104"/>
        <v xml:space="preserve"> </v>
      </c>
      <c r="D629" s="1535">
        <v>2</v>
      </c>
      <c r="E629" s="1044"/>
      <c r="F629" s="1056" t="str">
        <f>VLOOKUP($B629,DG!A:D,DG!C$2,)</f>
        <v>Ốc siết cáp cỡ 25mm2</v>
      </c>
      <c r="G629" s="1044" t="str">
        <f>VLOOKUP($B629,DG!A:D,DG!$D$2,)</f>
        <v>cái</v>
      </c>
      <c r="H629" s="1823">
        <f t="shared" si="112"/>
        <v>0</v>
      </c>
      <c r="I629" s="1823">
        <f t="shared" si="113"/>
        <v>0</v>
      </c>
      <c r="J629" s="1823">
        <f t="shared" si="113"/>
        <v>0</v>
      </c>
      <c r="K629" s="1823">
        <f t="shared" si="113"/>
        <v>0</v>
      </c>
      <c r="L629" s="1823">
        <f t="shared" si="113"/>
        <v>0</v>
      </c>
      <c r="M629" s="1823">
        <f t="shared" si="113"/>
        <v>0</v>
      </c>
      <c r="N629" s="1823">
        <f t="shared" si="113"/>
        <v>0</v>
      </c>
      <c r="O629" s="1823">
        <f t="shared" si="113"/>
        <v>0</v>
      </c>
      <c r="P629" s="1824">
        <f t="shared" ref="P629:P633" si="116">$P$623*D629</f>
        <v>0</v>
      </c>
      <c r="Q629" s="1053"/>
      <c r="R629" s="1053"/>
      <c r="S629" s="1053"/>
      <c r="T629" s="2035">
        <f t="shared" si="103"/>
        <v>0</v>
      </c>
    </row>
    <row r="630" spans="1:20" ht="22.2" hidden="1" customHeight="1">
      <c r="B630" s="1577" t="s">
        <v>1520</v>
      </c>
      <c r="C630" s="64" t="str">
        <f t="shared" si="104"/>
        <v xml:space="preserve"> </v>
      </c>
      <c r="D630" s="1534">
        <f>D624</f>
        <v>2.46</v>
      </c>
      <c r="E630" s="1044" t="str">
        <f>VLOOKUP($B630,DG!A:D,DG!$B$2,)</f>
        <v>05.7001</v>
      </c>
      <c r="F630" s="1049" t="str">
        <f>VLOOKUP($B630,DG!A:D,DG!C$2,)</f>
        <v xml:space="preserve">Kéo dây tiếp địa </v>
      </c>
      <c r="G630" s="1044" t="str">
        <f>VLOOKUP($B630,DG!A:D,DG!$D$2,)</f>
        <v>mét</v>
      </c>
      <c r="H630" s="1823">
        <f t="shared" si="112"/>
        <v>0</v>
      </c>
      <c r="I630" s="1823"/>
      <c r="J630" s="1823"/>
      <c r="K630" s="1823"/>
      <c r="L630" s="1823"/>
      <c r="M630" s="1823"/>
      <c r="N630" s="1823"/>
      <c r="O630" s="1823"/>
      <c r="P630" s="1824">
        <f t="shared" si="116"/>
        <v>0</v>
      </c>
      <c r="Q630" s="1058"/>
      <c r="R630" s="1058"/>
      <c r="S630" s="1058"/>
      <c r="T630" s="2035">
        <f t="shared" si="103"/>
        <v>0</v>
      </c>
    </row>
    <row r="631" spans="1:20" ht="22.2" hidden="1" customHeight="1">
      <c r="B631" s="1577" t="s">
        <v>1104</v>
      </c>
      <c r="C631" s="64" t="str">
        <f t="shared" si="104"/>
        <v xml:space="preserve"> </v>
      </c>
      <c r="D631" s="1535">
        <f>D625</f>
        <v>1</v>
      </c>
      <c r="E631" s="1044" t="str">
        <f>VLOOKUP($B631,DG!A:D,DG!$B$2,)</f>
        <v>05.8103</v>
      </c>
      <c r="F631" s="1049" t="str">
        <f>VLOOKUP($B631,DG!A:D,DG!C$2,)</f>
        <v>Đóng cọc tiếp địa đất cấp 3</v>
      </c>
      <c r="G631" s="1044" t="str">
        <f>VLOOKUP($B631,DG!A:D,DG!$D$2,)</f>
        <v>cọc</v>
      </c>
      <c r="H631" s="1823">
        <f t="shared" si="112"/>
        <v>0</v>
      </c>
      <c r="I631" s="1823"/>
      <c r="J631" s="1823"/>
      <c r="K631" s="1823"/>
      <c r="L631" s="1823"/>
      <c r="M631" s="1823"/>
      <c r="N631" s="1823"/>
      <c r="O631" s="1823"/>
      <c r="P631" s="1824">
        <f t="shared" si="116"/>
        <v>0</v>
      </c>
      <c r="Q631" s="1053"/>
      <c r="R631" s="1053"/>
      <c r="S631" s="1053"/>
      <c r="T631" s="2035">
        <f t="shared" si="103"/>
        <v>0</v>
      </c>
    </row>
    <row r="632" spans="1:20" ht="22.2" hidden="1" customHeight="1">
      <c r="B632" s="1577" t="s">
        <v>794</v>
      </c>
      <c r="C632" s="64" t="str">
        <f t="shared" si="104"/>
        <v xml:space="preserve"> </v>
      </c>
      <c r="D632" s="1545">
        <v>0.08</v>
      </c>
      <c r="E632" s="1044" t="str">
        <f>VLOOKUP($B632,DG!A:D,DG!$B$2,)</f>
        <v>03.3123</v>
      </c>
      <c r="F632" s="1049" t="str">
        <f>VLOOKUP($B632,DG!A:D,DG!C$2,)</f>
        <v>Đào rãnh tiếp địa đất cấp 3</v>
      </c>
      <c r="G632" s="1044" t="str">
        <f>VLOOKUP($B632,DG!A:D,DG!$D$2,)</f>
        <v>m3</v>
      </c>
      <c r="H632" s="1823">
        <f t="shared" si="112"/>
        <v>0</v>
      </c>
      <c r="I632" s="1823"/>
      <c r="J632" s="1823"/>
      <c r="K632" s="1823"/>
      <c r="L632" s="1823"/>
      <c r="M632" s="1823"/>
      <c r="N632" s="1823"/>
      <c r="O632" s="1823"/>
      <c r="P632" s="1824">
        <f t="shared" si="116"/>
        <v>0</v>
      </c>
      <c r="Q632" s="1053"/>
      <c r="R632" s="1053"/>
      <c r="S632" s="1053"/>
      <c r="T632" s="2035">
        <f t="shared" si="103"/>
        <v>0</v>
      </c>
    </row>
    <row r="633" spans="1:20" ht="22.2" hidden="1" customHeight="1">
      <c r="A633" s="59"/>
      <c r="B633" s="1577" t="s">
        <v>798</v>
      </c>
      <c r="C633" s="64" t="str">
        <f t="shared" si="104"/>
        <v xml:space="preserve"> </v>
      </c>
      <c r="D633" s="1533">
        <v>0.08</v>
      </c>
      <c r="E633" s="1044" t="str">
        <f>VLOOKUP($B633,DG!A:D,DG!$B$2,)</f>
        <v>03.4123</v>
      </c>
      <c r="F633" s="1049" t="str">
        <f>VLOOKUP($B633,DG!A:D,DG!C$2,)</f>
        <v>Đắp đất rãnh tiếp độ chặt k=0,85</v>
      </c>
      <c r="G633" s="1044" t="str">
        <f>VLOOKUP($B633,DG!A:D,DG!$D$2,)</f>
        <v>m3</v>
      </c>
      <c r="H633" s="1823">
        <f>$H$623*$D633</f>
        <v>0</v>
      </c>
      <c r="I633" s="1823"/>
      <c r="J633" s="1823"/>
      <c r="K633" s="1823"/>
      <c r="L633" s="1823"/>
      <c r="M633" s="1823"/>
      <c r="N633" s="1823"/>
      <c r="O633" s="1823"/>
      <c r="P633" s="1824">
        <f t="shared" si="116"/>
        <v>0</v>
      </c>
      <c r="Q633" s="1053"/>
      <c r="R633" s="1053"/>
      <c r="S633" s="1053"/>
      <c r="T633" s="2035">
        <f t="shared" si="103"/>
        <v>0</v>
      </c>
    </row>
    <row r="634" spans="1:20" ht="22.2" hidden="1" customHeight="1">
      <c r="A634" s="59"/>
      <c r="B634" s="1588" t="s">
        <v>1907</v>
      </c>
      <c r="C634" s="64" t="str">
        <f t="shared" si="104"/>
        <v xml:space="preserve"> </v>
      </c>
      <c r="D634" s="1533"/>
      <c r="E634" s="1044" t="str">
        <f>VLOOKUP($B634,DG!A:C,2,)</f>
        <v>02.1351</v>
      </c>
      <c r="F634" s="1049" t="str">
        <f>VLOOKUP($B634,DG!A:C,3,)</f>
        <v>V/c tiếp địa vào vị trí ( cự ly &lt;=100m)</v>
      </c>
      <c r="G634" s="1044" t="str">
        <f>VLOOKUP($B634,DG!A:D,4,0)</f>
        <v>tấn</v>
      </c>
      <c r="H634" s="1823">
        <f>$H$623*$D634</f>
        <v>0</v>
      </c>
      <c r="I634" s="1823"/>
      <c r="J634" s="1823"/>
      <c r="K634" s="1823"/>
      <c r="L634" s="1823"/>
      <c r="M634" s="1823"/>
      <c r="N634" s="1823"/>
      <c r="O634" s="1823"/>
      <c r="P634" s="1823"/>
      <c r="Q634" s="1058"/>
      <c r="R634" s="1058"/>
      <c r="S634" s="1058"/>
      <c r="T634" s="2035">
        <f t="shared" si="103"/>
        <v>0</v>
      </c>
    </row>
    <row r="635" spans="1:20" ht="22.2" hidden="1" customHeight="1">
      <c r="A635" s="1572" t="s">
        <v>2241</v>
      </c>
      <c r="B635" s="1574" t="s">
        <v>4855</v>
      </c>
      <c r="C635" s="64" t="str">
        <f t="shared" ref="C635:C645" si="117">IF(OR(P635&lt;&gt;0,H635&lt;&gt;0),"x"," ")</f>
        <v xml:space="preserve"> </v>
      </c>
      <c r="D635" s="1544"/>
      <c r="E635" s="1045"/>
      <c r="F635" s="1392" t="s">
        <v>4853</v>
      </c>
      <c r="G635" s="1046" t="s">
        <v>2391</v>
      </c>
      <c r="H635" s="1821">
        <f>SUM(I635:O635)</f>
        <v>0</v>
      </c>
      <c r="I635" s="1822"/>
      <c r="J635" s="1822"/>
      <c r="K635" s="1822">
        <f>IFERROR(HLOOKUP(B635,pp3p1m!$1:$3,3,0),0)</f>
        <v>0</v>
      </c>
      <c r="L635" s="1822">
        <f>IFERROR(HLOOKUP(chitiet!B635,pp1p!$1:$3,3,0),0)</f>
        <v>0</v>
      </c>
      <c r="M635" s="1822"/>
      <c r="N635" s="1822"/>
      <c r="O635" s="1822"/>
      <c r="P635" s="1821">
        <f>H635+Q635-R635</f>
        <v>0</v>
      </c>
      <c r="Q635" s="1047"/>
      <c r="R635" s="1047"/>
      <c r="S635" s="1047"/>
      <c r="T635" s="2035">
        <f>IFERROR(HLOOKUP(B635,pp1p!$1:$3,3,0),0)+IFERROR(HLOOKUP(B635,pp3p1m!$1:$3,3,0),0)</f>
        <v>0</v>
      </c>
    </row>
    <row r="636" spans="1:20" ht="22.2" hidden="1" customHeight="1">
      <c r="B636" s="1577" t="s">
        <v>103</v>
      </c>
      <c r="C636" s="64" t="str">
        <f t="shared" si="117"/>
        <v xml:space="preserve"> </v>
      </c>
      <c r="D636" s="1534">
        <v>0.45</v>
      </c>
      <c r="E636" s="1044"/>
      <c r="F636" s="1056" t="str">
        <f>VLOOKUP($B636,DG!A:D,DG!C$2,)</f>
        <v>Cáp đồng trần M25mm2</v>
      </c>
      <c r="G636" s="1044" t="str">
        <f>VLOOKUP($B636,DG!A:D,DG!$D$2,)</f>
        <v>kg</v>
      </c>
      <c r="H636" s="1823">
        <f>H$635*$D636</f>
        <v>0</v>
      </c>
      <c r="I636" s="1823">
        <f t="shared" ref="I636:R636" si="118">I$635*$D636</f>
        <v>0</v>
      </c>
      <c r="J636" s="1823">
        <f t="shared" si="118"/>
        <v>0</v>
      </c>
      <c r="K636" s="1823">
        <f t="shared" si="118"/>
        <v>0</v>
      </c>
      <c r="L636" s="1823">
        <f t="shared" si="118"/>
        <v>0</v>
      </c>
      <c r="M636" s="1823">
        <f t="shared" si="118"/>
        <v>0</v>
      </c>
      <c r="N636" s="1823">
        <f t="shared" si="118"/>
        <v>0</v>
      </c>
      <c r="O636" s="1823">
        <f t="shared" si="118"/>
        <v>0</v>
      </c>
      <c r="P636" s="1823">
        <f t="shared" si="118"/>
        <v>0</v>
      </c>
      <c r="Q636" s="1823">
        <f t="shared" si="118"/>
        <v>0</v>
      </c>
      <c r="R636" s="1823">
        <f t="shared" si="118"/>
        <v>0</v>
      </c>
      <c r="S636" s="1053"/>
      <c r="T636" s="2035">
        <f t="shared" ref="T636:T645" si="119">IFERROR(HLOOKUP(B636,BangKeTru,3,0),0)</f>
        <v>0</v>
      </c>
    </row>
    <row r="637" spans="1:20" ht="22.2" hidden="1" customHeight="1">
      <c r="B637" s="1577" t="s">
        <v>1511</v>
      </c>
      <c r="C637" s="64" t="str">
        <f t="shared" si="117"/>
        <v xml:space="preserve"> </v>
      </c>
      <c r="D637" s="1535">
        <v>0</v>
      </c>
      <c r="E637" s="1044"/>
      <c r="F637" s="1056" t="str">
        <f>VLOOKUP($B637,DG!A:D,DG!C$2,)</f>
        <v>Cọc tiếp đất Þ 16- 2,4m + kẹp cọc mạ đồng</v>
      </c>
      <c r="G637" s="1044" t="str">
        <f>VLOOKUP($B637,DG!A:D,DG!$D$2,)</f>
        <v>bộ</v>
      </c>
      <c r="H637" s="1823">
        <f t="shared" ref="H637:R645" si="120">H$635*$D637</f>
        <v>0</v>
      </c>
      <c r="I637" s="1823">
        <f t="shared" si="120"/>
        <v>0</v>
      </c>
      <c r="J637" s="1823">
        <f t="shared" si="120"/>
        <v>0</v>
      </c>
      <c r="K637" s="1823">
        <f t="shared" si="120"/>
        <v>0</v>
      </c>
      <c r="L637" s="1823">
        <f t="shared" si="120"/>
        <v>0</v>
      </c>
      <c r="M637" s="1823">
        <f t="shared" si="120"/>
        <v>0</v>
      </c>
      <c r="N637" s="1823">
        <f t="shared" si="120"/>
        <v>0</v>
      </c>
      <c r="O637" s="1823">
        <f t="shared" si="120"/>
        <v>0</v>
      </c>
      <c r="P637" s="1823">
        <f t="shared" si="120"/>
        <v>0</v>
      </c>
      <c r="Q637" s="1823">
        <f t="shared" si="120"/>
        <v>0</v>
      </c>
      <c r="R637" s="1823">
        <f t="shared" si="120"/>
        <v>0</v>
      </c>
      <c r="S637" s="1053"/>
      <c r="T637" s="2035">
        <f t="shared" si="119"/>
        <v>0</v>
      </c>
    </row>
    <row r="638" spans="1:20" ht="22.2" hidden="1" customHeight="1">
      <c r="B638" s="1577" t="s">
        <v>4854</v>
      </c>
      <c r="C638" s="64" t="str">
        <f t="shared" si="117"/>
        <v xml:space="preserve"> </v>
      </c>
      <c r="D638" s="1535">
        <v>2</v>
      </c>
      <c r="E638" s="1044"/>
      <c r="F638" s="1056" t="str">
        <f>VLOOKUP($B638,DG!A:D,DG!C$2,)</f>
        <v>Kẹp ép WR cỡ dây 70mm2</v>
      </c>
      <c r="G638" s="1044" t="str">
        <f>VLOOKUP($B638,DG!A:D,DG!$D$2,)</f>
        <v>cái</v>
      </c>
      <c r="H638" s="1823">
        <f t="shared" si="120"/>
        <v>0</v>
      </c>
      <c r="I638" s="1823">
        <f t="shared" si="120"/>
        <v>0</v>
      </c>
      <c r="J638" s="1823">
        <f t="shared" si="120"/>
        <v>0</v>
      </c>
      <c r="K638" s="1823">
        <f t="shared" si="120"/>
        <v>0</v>
      </c>
      <c r="L638" s="1823">
        <f t="shared" si="120"/>
        <v>0</v>
      </c>
      <c r="M638" s="1823">
        <f t="shared" si="120"/>
        <v>0</v>
      </c>
      <c r="N638" s="1823">
        <f t="shared" si="120"/>
        <v>0</v>
      </c>
      <c r="O638" s="1823">
        <f t="shared" si="120"/>
        <v>0</v>
      </c>
      <c r="P638" s="1823">
        <f t="shared" si="120"/>
        <v>0</v>
      </c>
      <c r="Q638" s="1823">
        <f t="shared" si="120"/>
        <v>0</v>
      </c>
      <c r="R638" s="1823">
        <f t="shared" si="120"/>
        <v>0</v>
      </c>
      <c r="S638" s="1053"/>
      <c r="T638" s="2035">
        <f t="shared" si="119"/>
        <v>0</v>
      </c>
    </row>
    <row r="639" spans="1:20" ht="22.2" hidden="1" customHeight="1">
      <c r="A639" s="59"/>
      <c r="B639" s="1577" t="s">
        <v>1052</v>
      </c>
      <c r="C639" s="64" t="str">
        <f t="shared" si="117"/>
        <v xml:space="preserve"> </v>
      </c>
      <c r="D639" s="1535"/>
      <c r="E639" s="1044"/>
      <c r="F639" s="1056" t="str">
        <f>VLOOKUP($B639,DG!A:D,DG!C$2,)</f>
        <v>Đầu cosse ép Cu 25mm2</v>
      </c>
      <c r="G639" s="1044" t="str">
        <f>VLOOKUP($B639,DG!A:D,DG!$D$2,)</f>
        <v>cái</v>
      </c>
      <c r="H639" s="1823">
        <f t="shared" si="120"/>
        <v>0</v>
      </c>
      <c r="I639" s="1823">
        <f t="shared" si="120"/>
        <v>0</v>
      </c>
      <c r="J639" s="1823">
        <f t="shared" si="120"/>
        <v>0</v>
      </c>
      <c r="K639" s="1823">
        <f t="shared" si="120"/>
        <v>0</v>
      </c>
      <c r="L639" s="1823">
        <f t="shared" si="120"/>
        <v>0</v>
      </c>
      <c r="M639" s="1823">
        <f t="shared" si="120"/>
        <v>0</v>
      </c>
      <c r="N639" s="1823">
        <f t="shared" si="120"/>
        <v>0</v>
      </c>
      <c r="O639" s="1823">
        <f t="shared" si="120"/>
        <v>0</v>
      </c>
      <c r="P639" s="1823">
        <f t="shared" si="120"/>
        <v>0</v>
      </c>
      <c r="Q639" s="1823">
        <f t="shared" si="120"/>
        <v>0</v>
      </c>
      <c r="R639" s="1823">
        <f t="shared" si="120"/>
        <v>0</v>
      </c>
      <c r="S639" s="1053"/>
      <c r="T639" s="2035">
        <f t="shared" si="119"/>
        <v>0</v>
      </c>
    </row>
    <row r="640" spans="1:20" ht="22.2" hidden="1" customHeight="1">
      <c r="A640" s="59"/>
      <c r="B640" s="1577" t="s">
        <v>2023</v>
      </c>
      <c r="C640" s="64" t="str">
        <f t="shared" si="117"/>
        <v xml:space="preserve"> </v>
      </c>
      <c r="D640" s="1535"/>
      <c r="E640" s="1044"/>
      <c r="F640" s="1056" t="str">
        <f>VLOOKUP($B640,DG!A:D,DG!C$2,)</f>
        <v>Boulon 12x40+ 2 long đền vuông D14-50x50x3/Zn</v>
      </c>
      <c r="G640" s="1044" t="str">
        <f>VLOOKUP($B640,DG!A:D,DG!$D$2,)</f>
        <v>bộ</v>
      </c>
      <c r="H640" s="1823">
        <f t="shared" si="120"/>
        <v>0</v>
      </c>
      <c r="I640" s="1823">
        <f t="shared" si="120"/>
        <v>0</v>
      </c>
      <c r="J640" s="1823">
        <f t="shared" si="120"/>
        <v>0</v>
      </c>
      <c r="K640" s="1823">
        <f t="shared" si="120"/>
        <v>0</v>
      </c>
      <c r="L640" s="1823">
        <f t="shared" si="120"/>
        <v>0</v>
      </c>
      <c r="M640" s="1823">
        <f t="shared" si="120"/>
        <v>0</v>
      </c>
      <c r="N640" s="1823">
        <f t="shared" si="120"/>
        <v>0</v>
      </c>
      <c r="O640" s="1823">
        <f t="shared" si="120"/>
        <v>0</v>
      </c>
      <c r="P640" s="1823">
        <f t="shared" si="120"/>
        <v>0</v>
      </c>
      <c r="Q640" s="1823">
        <f t="shared" si="120"/>
        <v>0</v>
      </c>
      <c r="R640" s="1823">
        <f t="shared" si="120"/>
        <v>0</v>
      </c>
      <c r="S640" s="1053"/>
      <c r="T640" s="2035">
        <f t="shared" si="119"/>
        <v>0</v>
      </c>
    </row>
    <row r="641" spans="1:20" ht="22.2" hidden="1" customHeight="1">
      <c r="B641" s="1577" t="s">
        <v>1520</v>
      </c>
      <c r="C641" s="64" t="str">
        <f t="shared" si="117"/>
        <v xml:space="preserve"> </v>
      </c>
      <c r="D641" s="1534">
        <f>D636</f>
        <v>0.45</v>
      </c>
      <c r="E641" s="1044" t="str">
        <f>VLOOKUP($B641,DG!A:D,DG!$B$2,)</f>
        <v>05.7001</v>
      </c>
      <c r="F641" s="1049" t="str">
        <f>VLOOKUP($B641,DG!A:D,DG!C$2,)</f>
        <v xml:space="preserve">Kéo dây tiếp địa </v>
      </c>
      <c r="G641" s="1044" t="str">
        <f>VLOOKUP($B641,DG!A:D,DG!$D$2,)</f>
        <v>mét</v>
      </c>
      <c r="H641" s="1823">
        <f t="shared" si="120"/>
        <v>0</v>
      </c>
      <c r="I641" s="1823">
        <f t="shared" si="120"/>
        <v>0</v>
      </c>
      <c r="J641" s="1823">
        <f t="shared" si="120"/>
        <v>0</v>
      </c>
      <c r="K641" s="1823">
        <f t="shared" si="120"/>
        <v>0</v>
      </c>
      <c r="L641" s="1823">
        <f t="shared" si="120"/>
        <v>0</v>
      </c>
      <c r="M641" s="1823">
        <f t="shared" si="120"/>
        <v>0</v>
      </c>
      <c r="N641" s="1823">
        <f t="shared" si="120"/>
        <v>0</v>
      </c>
      <c r="O641" s="1823">
        <f t="shared" si="120"/>
        <v>0</v>
      </c>
      <c r="P641" s="1823">
        <f t="shared" si="120"/>
        <v>0</v>
      </c>
      <c r="Q641" s="1823">
        <f t="shared" si="120"/>
        <v>0</v>
      </c>
      <c r="R641" s="1823">
        <f t="shared" si="120"/>
        <v>0</v>
      </c>
      <c r="S641" s="1058"/>
      <c r="T641" s="2035">
        <f t="shared" si="119"/>
        <v>0</v>
      </c>
    </row>
    <row r="642" spans="1:20" ht="22.2" hidden="1" customHeight="1">
      <c r="B642" s="1577" t="s">
        <v>1104</v>
      </c>
      <c r="C642" s="64" t="str">
        <f t="shared" si="117"/>
        <v xml:space="preserve"> </v>
      </c>
      <c r="D642" s="1535">
        <f>D637</f>
        <v>0</v>
      </c>
      <c r="E642" s="1044" t="str">
        <f>VLOOKUP($B642,DG!A:D,DG!$B$2,)</f>
        <v>05.8103</v>
      </c>
      <c r="F642" s="1049" t="str">
        <f>VLOOKUP($B642,DG!A:D,DG!C$2,)</f>
        <v>Đóng cọc tiếp địa đất cấp 3</v>
      </c>
      <c r="G642" s="1044" t="str">
        <f>VLOOKUP($B642,DG!A:D,DG!$D$2,)</f>
        <v>cọc</v>
      </c>
      <c r="H642" s="1823">
        <f t="shared" si="120"/>
        <v>0</v>
      </c>
      <c r="I642" s="1823">
        <f t="shared" si="120"/>
        <v>0</v>
      </c>
      <c r="J642" s="1823">
        <f t="shared" si="120"/>
        <v>0</v>
      </c>
      <c r="K642" s="1823">
        <f t="shared" si="120"/>
        <v>0</v>
      </c>
      <c r="L642" s="1823">
        <f t="shared" si="120"/>
        <v>0</v>
      </c>
      <c r="M642" s="1823">
        <f t="shared" si="120"/>
        <v>0</v>
      </c>
      <c r="N642" s="1823">
        <f t="shared" si="120"/>
        <v>0</v>
      </c>
      <c r="O642" s="1823">
        <f t="shared" si="120"/>
        <v>0</v>
      </c>
      <c r="P642" s="1823">
        <f t="shared" si="120"/>
        <v>0</v>
      </c>
      <c r="Q642" s="1823">
        <f t="shared" si="120"/>
        <v>0</v>
      </c>
      <c r="R642" s="1823">
        <f t="shared" si="120"/>
        <v>0</v>
      </c>
      <c r="S642" s="1053"/>
      <c r="T642" s="2035">
        <f t="shared" si="119"/>
        <v>0</v>
      </c>
    </row>
    <row r="643" spans="1:20" ht="22.2" hidden="1" customHeight="1">
      <c r="B643" s="1577" t="s">
        <v>794</v>
      </c>
      <c r="C643" s="64" t="str">
        <f t="shared" si="117"/>
        <v xml:space="preserve"> </v>
      </c>
      <c r="D643" s="1545">
        <v>0.3</v>
      </c>
      <c r="E643" s="1044" t="str">
        <f>VLOOKUP($B643,DG!A:D,DG!$B$2,)</f>
        <v>03.3123</v>
      </c>
      <c r="F643" s="1049" t="str">
        <f>VLOOKUP($B643,DG!A:D,DG!C$2,)</f>
        <v>Đào rãnh tiếp địa đất cấp 3</v>
      </c>
      <c r="G643" s="1044" t="str">
        <f>VLOOKUP($B643,DG!A:D,DG!$D$2,)</f>
        <v>m3</v>
      </c>
      <c r="H643" s="1823">
        <f t="shared" si="120"/>
        <v>0</v>
      </c>
      <c r="I643" s="1823">
        <f t="shared" si="120"/>
        <v>0</v>
      </c>
      <c r="J643" s="1823">
        <f t="shared" si="120"/>
        <v>0</v>
      </c>
      <c r="K643" s="1823">
        <f t="shared" si="120"/>
        <v>0</v>
      </c>
      <c r="L643" s="1823">
        <f t="shared" si="120"/>
        <v>0</v>
      </c>
      <c r="M643" s="1823">
        <f t="shared" si="120"/>
        <v>0</v>
      </c>
      <c r="N643" s="1823">
        <f t="shared" si="120"/>
        <v>0</v>
      </c>
      <c r="O643" s="1823">
        <f t="shared" si="120"/>
        <v>0</v>
      </c>
      <c r="P643" s="1823">
        <f t="shared" si="120"/>
        <v>0</v>
      </c>
      <c r="Q643" s="1823">
        <f t="shared" si="120"/>
        <v>0</v>
      </c>
      <c r="R643" s="1823">
        <f t="shared" si="120"/>
        <v>0</v>
      </c>
      <c r="S643" s="1053"/>
      <c r="T643" s="2035">
        <f t="shared" si="119"/>
        <v>0</v>
      </c>
    </row>
    <row r="644" spans="1:20" ht="22.2" hidden="1" customHeight="1">
      <c r="A644" s="59"/>
      <c r="B644" s="1577" t="s">
        <v>1906</v>
      </c>
      <c r="C644" s="64" t="str">
        <f t="shared" si="117"/>
        <v xml:space="preserve"> </v>
      </c>
      <c r="D644" s="1533"/>
      <c r="E644" s="1044" t="str">
        <f>VLOOKUP($B644,DG!A:D,DG!$B$2,)</f>
        <v>02.1120</v>
      </c>
      <c r="F644" s="1049" t="str">
        <f>VLOOKUP($B644,DG!A:D,DG!C$2,)</f>
        <v>Bốc dỡ phụ kiện</v>
      </c>
      <c r="G644" s="1044" t="str">
        <f>VLOOKUP($B644,DG!A:D,DG!$D$2,)</f>
        <v>tấn</v>
      </c>
      <c r="H644" s="1823">
        <f t="shared" si="120"/>
        <v>0</v>
      </c>
      <c r="I644" s="1823">
        <f t="shared" si="120"/>
        <v>0</v>
      </c>
      <c r="J644" s="1823">
        <f t="shared" si="120"/>
        <v>0</v>
      </c>
      <c r="K644" s="1823">
        <f t="shared" si="120"/>
        <v>0</v>
      </c>
      <c r="L644" s="1823">
        <f t="shared" si="120"/>
        <v>0</v>
      </c>
      <c r="M644" s="1823">
        <f t="shared" si="120"/>
        <v>0</v>
      </c>
      <c r="N644" s="1823">
        <f t="shared" si="120"/>
        <v>0</v>
      </c>
      <c r="O644" s="1823">
        <f t="shared" si="120"/>
        <v>0</v>
      </c>
      <c r="P644" s="1823">
        <f t="shared" si="120"/>
        <v>0</v>
      </c>
      <c r="Q644" s="1823">
        <f t="shared" si="120"/>
        <v>0</v>
      </c>
      <c r="R644" s="1823">
        <f t="shared" si="120"/>
        <v>0</v>
      </c>
      <c r="S644" s="1053"/>
      <c r="T644" s="2035">
        <f t="shared" si="119"/>
        <v>0</v>
      </c>
    </row>
    <row r="645" spans="1:20" ht="22.2" hidden="1" customHeight="1">
      <c r="A645" s="59"/>
      <c r="B645" s="1588" t="s">
        <v>1907</v>
      </c>
      <c r="C645" s="64" t="str">
        <f t="shared" si="117"/>
        <v xml:space="preserve"> </v>
      </c>
      <c r="D645" s="1533"/>
      <c r="E645" s="1044" t="str">
        <f>VLOOKUP($B645,DG!A:C,2,)</f>
        <v>02.1351</v>
      </c>
      <c r="F645" s="1049" t="str">
        <f>VLOOKUP($B645,DG!A:C,3,)</f>
        <v>V/c tiếp địa vào vị trí ( cự ly &lt;=100m)</v>
      </c>
      <c r="G645" s="1044" t="str">
        <f>VLOOKUP($B645,DG!A:D,4,0)</f>
        <v>tấn</v>
      </c>
      <c r="H645" s="1823">
        <f t="shared" si="120"/>
        <v>0</v>
      </c>
      <c r="I645" s="1823">
        <f t="shared" si="120"/>
        <v>0</v>
      </c>
      <c r="J645" s="1823">
        <f t="shared" si="120"/>
        <v>0</v>
      </c>
      <c r="K645" s="1823">
        <f t="shared" si="120"/>
        <v>0</v>
      </c>
      <c r="L645" s="1823">
        <f t="shared" si="120"/>
        <v>0</v>
      </c>
      <c r="M645" s="1823">
        <f t="shared" si="120"/>
        <v>0</v>
      </c>
      <c r="N645" s="1823">
        <f t="shared" si="120"/>
        <v>0</v>
      </c>
      <c r="O645" s="1823">
        <f t="shared" si="120"/>
        <v>0</v>
      </c>
      <c r="P645" s="1823">
        <f t="shared" si="120"/>
        <v>0</v>
      </c>
      <c r="Q645" s="1823">
        <f t="shared" si="120"/>
        <v>0</v>
      </c>
      <c r="R645" s="1823">
        <f t="shared" si="120"/>
        <v>0</v>
      </c>
      <c r="S645" s="1058"/>
      <c r="T645" s="2035">
        <f t="shared" si="119"/>
        <v>0</v>
      </c>
    </row>
    <row r="646" spans="1:20" ht="22.2" hidden="1" customHeight="1">
      <c r="A646" s="56" t="s">
        <v>2054</v>
      </c>
      <c r="B646" s="1574" t="s">
        <v>2054</v>
      </c>
      <c r="C646" s="62" t="str">
        <f t="shared" si="104"/>
        <v xml:space="preserve"> </v>
      </c>
      <c r="D646" s="1544"/>
      <c r="E646" s="1045"/>
      <c r="F646" s="1392" t="s">
        <v>2399</v>
      </c>
      <c r="G646" s="1046" t="s">
        <v>2391</v>
      </c>
      <c r="H646" s="1821">
        <f>SUM(I646:O646)</f>
        <v>0</v>
      </c>
      <c r="I646" s="1822"/>
      <c r="J646" s="1822"/>
      <c r="K646" s="1822">
        <f>IFERROR(HLOOKUP(B646,pp3p1m!$1:$3,3,0),0)</f>
        <v>0</v>
      </c>
      <c r="L646" s="1822">
        <f>IFERROR(HLOOKUP(chitiet!B646,pp1p!$1:$3,3,0),0)</f>
        <v>0</v>
      </c>
      <c r="M646" s="1822"/>
      <c r="N646" s="1822"/>
      <c r="O646" s="1822"/>
      <c r="P646" s="1822"/>
      <c r="Q646" s="1047"/>
      <c r="R646" s="1047"/>
      <c r="S646" s="1047"/>
      <c r="T646" s="2035">
        <f>IFERROR(HLOOKUP(B646,pp1p!$1:$3,3,0),0)+IFERROR(HLOOKUP(B646,pp3p1m!$1:$3,3,0),0)</f>
        <v>0</v>
      </c>
    </row>
    <row r="647" spans="1:20" ht="22.2" hidden="1" customHeight="1">
      <c r="A647" s="59"/>
      <c r="B647" s="1577" t="s">
        <v>103</v>
      </c>
      <c r="C647" s="64" t="str">
        <f t="shared" si="104"/>
        <v xml:space="preserve"> </v>
      </c>
      <c r="D647" s="1534">
        <f>25*0.224</f>
        <v>5.6000000000000005</v>
      </c>
      <c r="E647" s="1044"/>
      <c r="F647" s="1056" t="str">
        <f>VLOOKUP($B647,DG!A:D,DG!C$2,)&amp;" : 25m"</f>
        <v>Cáp đồng trần M25mm2 : 25m</v>
      </c>
      <c r="G647" s="1044" t="str">
        <f>VLOOKUP($B647,DG!A:D,DG!$D$2,)</f>
        <v>kg</v>
      </c>
      <c r="H647" s="1823">
        <f t="shared" ref="H647:H655" si="121">H646*$D647</f>
        <v>0</v>
      </c>
      <c r="I647" s="1823">
        <f t="shared" ref="I647:N651" si="122">I$612*$D647</f>
        <v>0</v>
      </c>
      <c r="J647" s="1823">
        <f t="shared" si="122"/>
        <v>0</v>
      </c>
      <c r="K647" s="1823">
        <f t="shared" si="122"/>
        <v>5.6000000000000005</v>
      </c>
      <c r="L647" s="1823">
        <f t="shared" si="122"/>
        <v>0</v>
      </c>
      <c r="M647" s="1823">
        <f t="shared" si="122"/>
        <v>0</v>
      </c>
      <c r="N647" s="1823">
        <f t="shared" si="122"/>
        <v>0</v>
      </c>
      <c r="O647" s="1823"/>
      <c r="P647" s="1823"/>
      <c r="Q647" s="1053"/>
      <c r="R647" s="1053"/>
      <c r="S647" s="1053"/>
      <c r="T647" s="2035">
        <f t="shared" si="103"/>
        <v>0</v>
      </c>
    </row>
    <row r="648" spans="1:20" ht="22.2" hidden="1" customHeight="1">
      <c r="A648" s="59"/>
      <c r="B648" s="1577" t="s">
        <v>1511</v>
      </c>
      <c r="C648" s="64" t="str">
        <f t="shared" si="104"/>
        <v xml:space="preserve"> </v>
      </c>
      <c r="D648" s="1535">
        <v>4</v>
      </c>
      <c r="E648" s="1044"/>
      <c r="F648" s="1056" t="str">
        <f>VLOOKUP($B648,DG!A:D,DG!C$2,)</f>
        <v>Cọc tiếp đất Þ 16- 2,4m + kẹp cọc mạ đồng</v>
      </c>
      <c r="G648" s="1044" t="str">
        <f>VLOOKUP($B648,DG!A:D,DG!$D$2,)</f>
        <v>bộ</v>
      </c>
      <c r="H648" s="1823">
        <f t="shared" si="121"/>
        <v>0</v>
      </c>
      <c r="I648" s="1823">
        <f t="shared" si="122"/>
        <v>0</v>
      </c>
      <c r="J648" s="1823">
        <f t="shared" si="122"/>
        <v>0</v>
      </c>
      <c r="K648" s="1823">
        <f t="shared" si="122"/>
        <v>4</v>
      </c>
      <c r="L648" s="1823">
        <f t="shared" si="122"/>
        <v>0</v>
      </c>
      <c r="M648" s="1823">
        <f t="shared" si="122"/>
        <v>0</v>
      </c>
      <c r="N648" s="1823">
        <f t="shared" si="122"/>
        <v>0</v>
      </c>
      <c r="O648" s="1823"/>
      <c r="P648" s="1823"/>
      <c r="Q648" s="1053"/>
      <c r="R648" s="1053"/>
      <c r="S648" s="1053"/>
      <c r="T648" s="2035">
        <f t="shared" si="103"/>
        <v>0</v>
      </c>
    </row>
    <row r="649" spans="1:20" ht="22.2" hidden="1" customHeight="1">
      <c r="A649" s="59"/>
      <c r="B649" s="1577" t="s">
        <v>1481</v>
      </c>
      <c r="C649" s="64" t="str">
        <f t="shared" si="104"/>
        <v xml:space="preserve"> </v>
      </c>
      <c r="D649" s="1535">
        <v>5</v>
      </c>
      <c r="E649" s="1044"/>
      <c r="F649" s="1056" t="str">
        <f>VLOOKUP($B649,DG!A:D,DG!C$2,)</f>
        <v>Kẹp nối đồng-nhôm</v>
      </c>
      <c r="G649" s="1044" t="str">
        <f>VLOOKUP($B649,DG!A:D,DG!$D$2,)</f>
        <v>cái</v>
      </c>
      <c r="H649" s="1823">
        <f t="shared" si="121"/>
        <v>0</v>
      </c>
      <c r="I649" s="1823">
        <f t="shared" si="122"/>
        <v>0</v>
      </c>
      <c r="J649" s="1823">
        <f t="shared" si="122"/>
        <v>0</v>
      </c>
      <c r="K649" s="1823">
        <f t="shared" si="122"/>
        <v>5</v>
      </c>
      <c r="L649" s="1823">
        <f t="shared" si="122"/>
        <v>0</v>
      </c>
      <c r="M649" s="1823">
        <f t="shared" si="122"/>
        <v>0</v>
      </c>
      <c r="N649" s="1823">
        <f t="shared" si="122"/>
        <v>0</v>
      </c>
      <c r="O649" s="1823"/>
      <c r="P649" s="1823"/>
      <c r="Q649" s="1053"/>
      <c r="R649" s="1053"/>
      <c r="S649" s="1053"/>
      <c r="T649" s="2035">
        <f t="shared" si="103"/>
        <v>0</v>
      </c>
    </row>
    <row r="650" spans="1:20" ht="22.2" hidden="1" customHeight="1">
      <c r="A650" s="59"/>
      <c r="B650" s="1577" t="s">
        <v>1052</v>
      </c>
      <c r="C650" s="64" t="str">
        <f t="shared" si="104"/>
        <v xml:space="preserve"> </v>
      </c>
      <c r="D650" s="1535">
        <v>2</v>
      </c>
      <c r="E650" s="1044"/>
      <c r="F650" s="1056" t="str">
        <f>VLOOKUP($B650,DG!A:D,DG!C$2,)</f>
        <v>Đầu cosse ép Cu 25mm2</v>
      </c>
      <c r="G650" s="1044" t="str">
        <f>VLOOKUP($B650,DG!A:D,DG!$D$2,)</f>
        <v>cái</v>
      </c>
      <c r="H650" s="1823">
        <f t="shared" si="121"/>
        <v>0</v>
      </c>
      <c r="I650" s="1823">
        <f t="shared" si="122"/>
        <v>0</v>
      </c>
      <c r="J650" s="1823">
        <f t="shared" si="122"/>
        <v>0</v>
      </c>
      <c r="K650" s="1823">
        <f t="shared" si="122"/>
        <v>2</v>
      </c>
      <c r="L650" s="1823">
        <f t="shared" si="122"/>
        <v>0</v>
      </c>
      <c r="M650" s="1823">
        <f t="shared" si="122"/>
        <v>0</v>
      </c>
      <c r="N650" s="1823">
        <f t="shared" si="122"/>
        <v>0</v>
      </c>
      <c r="O650" s="1823"/>
      <c r="P650" s="1823"/>
      <c r="Q650" s="1053"/>
      <c r="R650" s="1053"/>
      <c r="S650" s="1053"/>
      <c r="T650" s="2035">
        <f t="shared" si="103"/>
        <v>0</v>
      </c>
    </row>
    <row r="651" spans="1:20" ht="22.2" hidden="1" customHeight="1">
      <c r="A651" s="59"/>
      <c r="B651" s="1577" t="s">
        <v>2023</v>
      </c>
      <c r="C651" s="64" t="str">
        <f t="shared" si="104"/>
        <v xml:space="preserve"> </v>
      </c>
      <c r="D651" s="1535">
        <v>1</v>
      </c>
      <c r="E651" s="1044"/>
      <c r="F651" s="1056" t="str">
        <f>VLOOKUP($B651,DG!A:D,DG!C$2,)</f>
        <v>Boulon 12x40+ 2 long đền vuông D14-50x50x3/Zn</v>
      </c>
      <c r="G651" s="1044" t="str">
        <f>VLOOKUP($B651,DG!A:D,DG!$D$2,)</f>
        <v>bộ</v>
      </c>
      <c r="H651" s="1823">
        <f t="shared" si="121"/>
        <v>0</v>
      </c>
      <c r="I651" s="1823">
        <f t="shared" si="122"/>
        <v>0</v>
      </c>
      <c r="J651" s="1823">
        <f t="shared" si="122"/>
        <v>0</v>
      </c>
      <c r="K651" s="1823">
        <f t="shared" si="122"/>
        <v>1</v>
      </c>
      <c r="L651" s="1823">
        <f t="shared" si="122"/>
        <v>0</v>
      </c>
      <c r="M651" s="1823">
        <f t="shared" si="122"/>
        <v>0</v>
      </c>
      <c r="N651" s="1823">
        <f t="shared" si="122"/>
        <v>0</v>
      </c>
      <c r="O651" s="1823"/>
      <c r="P651" s="1823"/>
      <c r="Q651" s="1053"/>
      <c r="R651" s="1053"/>
      <c r="S651" s="1053"/>
      <c r="T651" s="2035">
        <f t="shared" si="103"/>
        <v>0</v>
      </c>
    </row>
    <row r="652" spans="1:20" ht="22.2" hidden="1" customHeight="1">
      <c r="A652" s="59"/>
      <c r="B652" s="1577" t="s">
        <v>1520</v>
      </c>
      <c r="C652" s="64" t="str">
        <f t="shared" si="104"/>
        <v xml:space="preserve"> </v>
      </c>
      <c r="D652" s="1534">
        <f>D647</f>
        <v>5.6000000000000005</v>
      </c>
      <c r="E652" s="1044" t="str">
        <f>VLOOKUP($B652,DG!A:D,DG!$B$2,)</f>
        <v>05.7001</v>
      </c>
      <c r="F652" s="1049" t="str">
        <f>VLOOKUP($B652,DG!A:D,DG!C$2,)</f>
        <v xml:space="preserve">Kéo dây tiếp địa </v>
      </c>
      <c r="G652" s="1044" t="str">
        <f>VLOOKUP($B652,DG!A:D,DG!$D$2,)</f>
        <v>mét</v>
      </c>
      <c r="H652" s="1823">
        <f t="shared" si="121"/>
        <v>0</v>
      </c>
      <c r="I652" s="1823"/>
      <c r="J652" s="1823"/>
      <c r="K652" s="1823"/>
      <c r="L652" s="1823"/>
      <c r="M652" s="1823"/>
      <c r="N652" s="1823"/>
      <c r="O652" s="1823"/>
      <c r="P652" s="1823"/>
      <c r="Q652" s="1058"/>
      <c r="R652" s="1058"/>
      <c r="S652" s="1058"/>
      <c r="T652" s="2035">
        <f t="shared" si="103"/>
        <v>0</v>
      </c>
    </row>
    <row r="653" spans="1:20" ht="22.2" hidden="1" customHeight="1">
      <c r="A653" s="59"/>
      <c r="B653" s="1577" t="s">
        <v>1104</v>
      </c>
      <c r="C653" s="64" t="str">
        <f t="shared" si="104"/>
        <v xml:space="preserve"> </v>
      </c>
      <c r="D653" s="1535">
        <f>D648</f>
        <v>4</v>
      </c>
      <c r="E653" s="1044" t="str">
        <f>VLOOKUP($B653,DG!A:D,DG!$B$2,)</f>
        <v>05.8103</v>
      </c>
      <c r="F653" s="1049" t="str">
        <f>VLOOKUP($B653,DG!A:D,DG!C$2,)</f>
        <v>Đóng cọc tiếp địa đất cấp 3</v>
      </c>
      <c r="G653" s="1044" t="str">
        <f>VLOOKUP($B653,DG!A:D,DG!$D$2,)</f>
        <v>cọc</v>
      </c>
      <c r="H653" s="1823">
        <f t="shared" si="121"/>
        <v>0</v>
      </c>
      <c r="I653" s="1823"/>
      <c r="J653" s="1823"/>
      <c r="K653" s="1823"/>
      <c r="L653" s="1823"/>
      <c r="M653" s="1823"/>
      <c r="N653" s="1823"/>
      <c r="O653" s="1823"/>
      <c r="P653" s="1823"/>
      <c r="Q653" s="1053"/>
      <c r="R653" s="1053"/>
      <c r="S653" s="1053"/>
      <c r="T653" s="2035">
        <f t="shared" si="103"/>
        <v>0</v>
      </c>
    </row>
    <row r="654" spans="1:20" ht="22.2" hidden="1" customHeight="1">
      <c r="A654" s="59"/>
      <c r="B654" s="1577" t="s">
        <v>1906</v>
      </c>
      <c r="C654" s="64" t="str">
        <f t="shared" si="104"/>
        <v xml:space="preserve"> </v>
      </c>
      <c r="D654" s="1533">
        <v>8.0000000000000002E-3</v>
      </c>
      <c r="E654" s="1044" t="str">
        <f>VLOOKUP($B654,DG!A:D,DG!$B$2,)</f>
        <v>02.1120</v>
      </c>
      <c r="F654" s="1049" t="str">
        <f>VLOOKUP($B654,DG!A:D,DG!C$2,)</f>
        <v>Bốc dỡ phụ kiện</v>
      </c>
      <c r="G654" s="1044" t="str">
        <f>VLOOKUP($B654,DG!A:D,DG!$D$2,)</f>
        <v>tấn</v>
      </c>
      <c r="H654" s="1823">
        <f t="shared" si="121"/>
        <v>0</v>
      </c>
      <c r="I654" s="1823"/>
      <c r="J654" s="1823"/>
      <c r="K654" s="1823"/>
      <c r="L654" s="1823"/>
      <c r="M654" s="1823"/>
      <c r="N654" s="1823"/>
      <c r="O654" s="1823"/>
      <c r="P654" s="1823"/>
      <c r="Q654" s="1053"/>
      <c r="R654" s="1053"/>
      <c r="S654" s="1053"/>
      <c r="T654" s="2035">
        <f t="shared" si="103"/>
        <v>0</v>
      </c>
    </row>
    <row r="655" spans="1:20" ht="22.2" hidden="1" customHeight="1">
      <c r="A655" s="59"/>
      <c r="B655" s="1588" t="s">
        <v>1907</v>
      </c>
      <c r="C655" s="64" t="str">
        <f t="shared" si="104"/>
        <v xml:space="preserve"> </v>
      </c>
      <c r="D655" s="1533">
        <v>8.0000000000000002E-3</v>
      </c>
      <c r="E655" s="1044" t="str">
        <f>VLOOKUP($B655,DG!A:C,2,)</f>
        <v>02.1351</v>
      </c>
      <c r="F655" s="1049" t="str">
        <f>VLOOKUP($B655,DG!A:C,3,)</f>
        <v>V/c tiếp địa vào vị trí ( cự ly &lt;=100m)</v>
      </c>
      <c r="G655" s="1044" t="str">
        <f>VLOOKUP($B655,DG!A:D,4,0)</f>
        <v>tấn</v>
      </c>
      <c r="H655" s="1823">
        <f t="shared" si="121"/>
        <v>0</v>
      </c>
      <c r="I655" s="1823"/>
      <c r="J655" s="1823"/>
      <c r="K655" s="1823"/>
      <c r="L655" s="1823"/>
      <c r="M655" s="1823"/>
      <c r="N655" s="1823"/>
      <c r="O655" s="1823"/>
      <c r="P655" s="1823"/>
      <c r="Q655" s="1058"/>
      <c r="R655" s="1058"/>
      <c r="S655" s="1058"/>
      <c r="T655" s="2035">
        <f t="shared" si="103"/>
        <v>0</v>
      </c>
    </row>
    <row r="656" spans="1:20" ht="22.2" hidden="1" customHeight="1">
      <c r="A656" s="56" t="s">
        <v>1641</v>
      </c>
      <c r="B656" s="1574" t="s">
        <v>1641</v>
      </c>
      <c r="C656" s="62" t="str">
        <f t="shared" si="104"/>
        <v xml:space="preserve"> </v>
      </c>
      <c r="D656" s="1546"/>
      <c r="E656" s="1045"/>
      <c r="F656" s="1392" t="s">
        <v>2400</v>
      </c>
      <c r="G656" s="1046" t="s">
        <v>2391</v>
      </c>
      <c r="H656" s="1821">
        <f>SUM(I656:O656)</f>
        <v>0</v>
      </c>
      <c r="I656" s="1822"/>
      <c r="J656" s="1822"/>
      <c r="K656" s="1822">
        <f>IFERROR(HLOOKUP(B656,pp3p1m!$1:$3,3,0),0)</f>
        <v>0</v>
      </c>
      <c r="L656" s="1822">
        <f>IFERROR(HLOOKUP(chitiet!B656,pp1p!$1:$3,3,0),0)</f>
        <v>0</v>
      </c>
      <c r="M656" s="1822"/>
      <c r="N656" s="1822"/>
      <c r="O656" s="1822"/>
      <c r="P656" s="1822"/>
      <c r="Q656" s="1047"/>
      <c r="R656" s="1047"/>
      <c r="S656" s="1047"/>
      <c r="T656" s="2035">
        <f>IFERROR(HLOOKUP(B656,pp1p!$1:$3,3,0),0)+IFERROR(HLOOKUP(B656,pp3p1m!$1:$3,3,0),0)</f>
        <v>0</v>
      </c>
    </row>
    <row r="657" spans="1:20" ht="22.2" hidden="1" customHeight="1">
      <c r="A657" s="59"/>
      <c r="B657" s="1577" t="s">
        <v>103</v>
      </c>
      <c r="C657" s="64" t="str">
        <f t="shared" si="104"/>
        <v xml:space="preserve"> </v>
      </c>
      <c r="D657" s="1534">
        <f>14*0.224</f>
        <v>3.1360000000000001</v>
      </c>
      <c r="E657" s="1044"/>
      <c r="F657" s="1056" t="str">
        <f>VLOOKUP($B657,DG!A:D,DG!C$2,)&amp;" (14m)"</f>
        <v>Cáp đồng trần M25mm2 (14m)</v>
      </c>
      <c r="G657" s="1044" t="str">
        <f>VLOOKUP($B657,DG!A:D,DG!$D$2,)</f>
        <v>kg</v>
      </c>
      <c r="H657" s="1823">
        <f t="shared" ref="H657:N659" si="123">H$656*$D657</f>
        <v>0</v>
      </c>
      <c r="I657" s="1823">
        <f t="shared" si="123"/>
        <v>0</v>
      </c>
      <c r="J657" s="1823">
        <f t="shared" si="123"/>
        <v>0</v>
      </c>
      <c r="K657" s="1823">
        <f t="shared" si="123"/>
        <v>0</v>
      </c>
      <c r="L657" s="1823">
        <f t="shared" si="123"/>
        <v>0</v>
      </c>
      <c r="M657" s="1823">
        <f t="shared" si="123"/>
        <v>0</v>
      </c>
      <c r="N657" s="1823">
        <f t="shared" si="123"/>
        <v>0</v>
      </c>
      <c r="O657" s="1823"/>
      <c r="P657" s="1823"/>
      <c r="Q657" s="1053"/>
      <c r="R657" s="1053"/>
      <c r="S657" s="1053"/>
      <c r="T657" s="2035">
        <f t="shared" si="103"/>
        <v>0</v>
      </c>
    </row>
    <row r="658" spans="1:20" ht="22.2" hidden="1" customHeight="1">
      <c r="A658" s="59"/>
      <c r="B658" s="1577" t="s">
        <v>1511</v>
      </c>
      <c r="C658" s="64" t="str">
        <f t="shared" si="104"/>
        <v xml:space="preserve"> </v>
      </c>
      <c r="D658" s="1535">
        <v>1</v>
      </c>
      <c r="E658" s="1044"/>
      <c r="F658" s="1056" t="str">
        <f>VLOOKUP($B658,DG!A:D,DG!C$2,)</f>
        <v>Cọc tiếp đất Þ 16- 2,4m + kẹp cọc mạ đồng</v>
      </c>
      <c r="G658" s="1044" t="str">
        <f>VLOOKUP($B658,DG!A:D,DG!$D$2,)</f>
        <v>bộ</v>
      </c>
      <c r="H658" s="1823">
        <f t="shared" si="123"/>
        <v>0</v>
      </c>
      <c r="I658" s="1823">
        <f t="shared" si="123"/>
        <v>0</v>
      </c>
      <c r="J658" s="1823">
        <f t="shared" si="123"/>
        <v>0</v>
      </c>
      <c r="K658" s="1823">
        <f t="shared" si="123"/>
        <v>0</v>
      </c>
      <c r="L658" s="1823">
        <f t="shared" si="123"/>
        <v>0</v>
      </c>
      <c r="M658" s="1823">
        <f t="shared" si="123"/>
        <v>0</v>
      </c>
      <c r="N658" s="1823">
        <f t="shared" si="123"/>
        <v>0</v>
      </c>
      <c r="O658" s="1823"/>
      <c r="P658" s="1823"/>
      <c r="Q658" s="1053"/>
      <c r="R658" s="1053"/>
      <c r="S658" s="1053"/>
      <c r="T658" s="2035">
        <f t="shared" si="103"/>
        <v>0</v>
      </c>
    </row>
    <row r="659" spans="1:20" ht="22.2" hidden="1" customHeight="1">
      <c r="A659" s="59"/>
      <c r="B659" s="1577" t="s">
        <v>1481</v>
      </c>
      <c r="C659" s="64" t="str">
        <f t="shared" si="104"/>
        <v xml:space="preserve"> </v>
      </c>
      <c r="D659" s="1535">
        <v>2</v>
      </c>
      <c r="E659" s="1044"/>
      <c r="F659" s="1056" t="str">
        <f>VLOOKUP($B659,DG!A:D,DG!C$2,)</f>
        <v>Kẹp nối đồng-nhôm</v>
      </c>
      <c r="G659" s="1044" t="str">
        <f>VLOOKUP($B659,DG!A:D,DG!$D$2,)</f>
        <v>cái</v>
      </c>
      <c r="H659" s="1823">
        <f t="shared" si="123"/>
        <v>0</v>
      </c>
      <c r="I659" s="1823">
        <f t="shared" si="123"/>
        <v>0</v>
      </c>
      <c r="J659" s="1823">
        <f t="shared" si="123"/>
        <v>0</v>
      </c>
      <c r="K659" s="1823">
        <f t="shared" si="123"/>
        <v>0</v>
      </c>
      <c r="L659" s="1823">
        <f t="shared" si="123"/>
        <v>0</v>
      </c>
      <c r="M659" s="1823">
        <f t="shared" si="123"/>
        <v>0</v>
      </c>
      <c r="N659" s="1823">
        <f t="shared" si="123"/>
        <v>0</v>
      </c>
      <c r="O659" s="1823"/>
      <c r="P659" s="1823"/>
      <c r="Q659" s="1053"/>
      <c r="R659" s="1053"/>
      <c r="S659" s="1053"/>
      <c r="T659" s="2035">
        <f t="shared" si="103"/>
        <v>0</v>
      </c>
    </row>
    <row r="660" spans="1:20" ht="22.2" hidden="1" customHeight="1">
      <c r="A660" s="59"/>
      <c r="B660" s="1577" t="s">
        <v>1052</v>
      </c>
      <c r="C660" s="64" t="str">
        <f t="shared" si="104"/>
        <v xml:space="preserve"> </v>
      </c>
      <c r="D660" s="1535">
        <v>2</v>
      </c>
      <c r="E660" s="1044"/>
      <c r="F660" s="1056" t="str">
        <f>VLOOKUP($B660,DG!A:D,DG!C$2,)</f>
        <v>Đầu cosse ép Cu 25mm2</v>
      </c>
      <c r="G660" s="1044" t="str">
        <f>VLOOKUP($B660,DG!A:D,DG!$D$2,)</f>
        <v>cái</v>
      </c>
      <c r="H660" s="1823">
        <f t="shared" ref="H660:H665" si="124">H$656*$D660</f>
        <v>0</v>
      </c>
      <c r="I660" s="1823">
        <f t="shared" ref="I660:N661" si="125">I$612*$D660</f>
        <v>0</v>
      </c>
      <c r="J660" s="1823">
        <f t="shared" si="125"/>
        <v>0</v>
      </c>
      <c r="K660" s="1823">
        <f t="shared" si="125"/>
        <v>2</v>
      </c>
      <c r="L660" s="1823">
        <f t="shared" si="125"/>
        <v>0</v>
      </c>
      <c r="M660" s="1823">
        <f t="shared" si="125"/>
        <v>0</v>
      </c>
      <c r="N660" s="1823">
        <f t="shared" si="125"/>
        <v>0</v>
      </c>
      <c r="O660" s="1823"/>
      <c r="P660" s="1823"/>
      <c r="Q660" s="1053"/>
      <c r="R660" s="1053"/>
      <c r="S660" s="1053"/>
      <c r="T660" s="2035">
        <f t="shared" si="103"/>
        <v>0</v>
      </c>
    </row>
    <row r="661" spans="1:20" ht="22.2" hidden="1" customHeight="1">
      <c r="A661" s="59"/>
      <c r="B661" s="1577" t="s">
        <v>2023</v>
      </c>
      <c r="C661" s="64" t="str">
        <f t="shared" si="104"/>
        <v xml:space="preserve"> </v>
      </c>
      <c r="D661" s="1535">
        <v>1</v>
      </c>
      <c r="E661" s="1044"/>
      <c r="F661" s="1056" t="str">
        <f>VLOOKUP($B661,DG!A:D,DG!C$2,)</f>
        <v>Boulon 12x40+ 2 long đền vuông D14-50x50x3/Zn</v>
      </c>
      <c r="G661" s="1044" t="str">
        <f>VLOOKUP($B661,DG!A:D,DG!$D$2,)</f>
        <v>bộ</v>
      </c>
      <c r="H661" s="1823">
        <f t="shared" si="124"/>
        <v>0</v>
      </c>
      <c r="I661" s="1823">
        <f t="shared" si="125"/>
        <v>0</v>
      </c>
      <c r="J661" s="1823">
        <f t="shared" si="125"/>
        <v>0</v>
      </c>
      <c r="K661" s="1823">
        <f t="shared" si="125"/>
        <v>1</v>
      </c>
      <c r="L661" s="1823">
        <f t="shared" si="125"/>
        <v>0</v>
      </c>
      <c r="M661" s="1823">
        <f t="shared" si="125"/>
        <v>0</v>
      </c>
      <c r="N661" s="1823">
        <f t="shared" si="125"/>
        <v>0</v>
      </c>
      <c r="O661" s="1823"/>
      <c r="P661" s="1823"/>
      <c r="Q661" s="1053"/>
      <c r="R661" s="1053"/>
      <c r="S661" s="1053"/>
      <c r="T661" s="2035">
        <f t="shared" si="103"/>
        <v>0</v>
      </c>
    </row>
    <row r="662" spans="1:20" ht="22.2" hidden="1" customHeight="1">
      <c r="A662" s="59"/>
      <c r="B662" s="1577" t="s">
        <v>1520</v>
      </c>
      <c r="C662" s="64" t="str">
        <f t="shared" si="104"/>
        <v xml:space="preserve"> </v>
      </c>
      <c r="D662" s="1534">
        <f>D657</f>
        <v>3.1360000000000001</v>
      </c>
      <c r="E662" s="1044" t="str">
        <f>VLOOKUP($B662,DG!A:D,DG!$B$2,)</f>
        <v>05.7001</v>
      </c>
      <c r="F662" s="1049" t="str">
        <f>VLOOKUP($B662,DG!A:D,DG!C$2,)</f>
        <v xml:space="preserve">Kéo dây tiếp địa </v>
      </c>
      <c r="G662" s="1044" t="str">
        <f>VLOOKUP($B662,DG!A:D,DG!$D$2,)</f>
        <v>mét</v>
      </c>
      <c r="H662" s="1823">
        <f t="shared" si="124"/>
        <v>0</v>
      </c>
      <c r="I662" s="1823"/>
      <c r="J662" s="1823"/>
      <c r="K662" s="1823"/>
      <c r="L662" s="1823"/>
      <c r="M662" s="1823"/>
      <c r="N662" s="1823"/>
      <c r="O662" s="1823"/>
      <c r="P662" s="1823"/>
      <c r="Q662" s="1058"/>
      <c r="R662" s="1058"/>
      <c r="S662" s="1058"/>
      <c r="T662" s="2035">
        <f t="shared" si="103"/>
        <v>0</v>
      </c>
    </row>
    <row r="663" spans="1:20" ht="22.2" hidden="1" customHeight="1">
      <c r="A663" s="59"/>
      <c r="B663" s="1577" t="s">
        <v>1104</v>
      </c>
      <c r="C663" s="64" t="str">
        <f t="shared" si="104"/>
        <v xml:space="preserve"> </v>
      </c>
      <c r="D663" s="1535">
        <v>1</v>
      </c>
      <c r="E663" s="1044" t="str">
        <f>VLOOKUP($B663,DG!A:D,DG!$B$2,)</f>
        <v>05.8103</v>
      </c>
      <c r="F663" s="1049" t="str">
        <f>VLOOKUP($B663,DG!A:D,DG!C$2,)</f>
        <v>Đóng cọc tiếp địa đất cấp 3</v>
      </c>
      <c r="G663" s="1044" t="str">
        <f>VLOOKUP($B663,DG!A:D,DG!$D$2,)</f>
        <v>cọc</v>
      </c>
      <c r="H663" s="1823">
        <f t="shared" si="124"/>
        <v>0</v>
      </c>
      <c r="I663" s="1823"/>
      <c r="J663" s="1823"/>
      <c r="K663" s="1823"/>
      <c r="L663" s="1823"/>
      <c r="M663" s="1823"/>
      <c r="N663" s="1823"/>
      <c r="O663" s="1823"/>
      <c r="P663" s="1823"/>
      <c r="Q663" s="1053"/>
      <c r="R663" s="1053"/>
      <c r="S663" s="1053"/>
      <c r="T663" s="2035">
        <f t="shared" si="103"/>
        <v>0</v>
      </c>
    </row>
    <row r="664" spans="1:20" ht="22.2" hidden="1" customHeight="1">
      <c r="A664" s="59"/>
      <c r="B664" s="1577" t="s">
        <v>1906</v>
      </c>
      <c r="C664" s="64" t="str">
        <f t="shared" si="104"/>
        <v xml:space="preserve"> </v>
      </c>
      <c r="D664" s="1533"/>
      <c r="E664" s="1044" t="str">
        <f>VLOOKUP($B664,DG!A:D,DG!$B$2,)</f>
        <v>02.1120</v>
      </c>
      <c r="F664" s="1049" t="str">
        <f>VLOOKUP($B664,DG!A:D,DG!C$2,)</f>
        <v>Bốc dỡ phụ kiện</v>
      </c>
      <c r="G664" s="1044" t="str">
        <f>VLOOKUP($B664,DG!A:D,DG!$D$2,)</f>
        <v>tấn</v>
      </c>
      <c r="H664" s="1823">
        <f t="shared" si="124"/>
        <v>0</v>
      </c>
      <c r="I664" s="1823"/>
      <c r="J664" s="1823"/>
      <c r="K664" s="1823"/>
      <c r="L664" s="1823"/>
      <c r="M664" s="1823"/>
      <c r="N664" s="1823"/>
      <c r="O664" s="1823"/>
      <c r="P664" s="1823"/>
      <c r="Q664" s="1053"/>
      <c r="R664" s="1053"/>
      <c r="S664" s="1053"/>
      <c r="T664" s="2035">
        <f t="shared" si="103"/>
        <v>0</v>
      </c>
    </row>
    <row r="665" spans="1:20" ht="22.2" hidden="1" customHeight="1">
      <c r="A665" s="59"/>
      <c r="B665" s="1588" t="s">
        <v>1907</v>
      </c>
      <c r="C665" s="64" t="str">
        <f t="shared" si="104"/>
        <v xml:space="preserve"> </v>
      </c>
      <c r="D665" s="1533"/>
      <c r="E665" s="1044" t="str">
        <f>VLOOKUP($B665,DG!A:C,2,)</f>
        <v>02.1351</v>
      </c>
      <c r="F665" s="1049" t="str">
        <f>VLOOKUP($B665,DG!A:C,3,)</f>
        <v>V/c tiếp địa vào vị trí ( cự ly &lt;=100m)</v>
      </c>
      <c r="G665" s="1044" t="str">
        <f>VLOOKUP($B665,DG!A:D,4,0)</f>
        <v>tấn</v>
      </c>
      <c r="H665" s="1823">
        <f t="shared" si="124"/>
        <v>0</v>
      </c>
      <c r="I665" s="1823"/>
      <c r="J665" s="1823"/>
      <c r="K665" s="1823"/>
      <c r="L665" s="1823"/>
      <c r="M665" s="1823"/>
      <c r="N665" s="1823"/>
      <c r="O665" s="1823"/>
      <c r="P665" s="1823"/>
      <c r="Q665" s="1058"/>
      <c r="R665" s="1058"/>
      <c r="S665" s="1058"/>
      <c r="T665" s="2035">
        <f t="shared" si="103"/>
        <v>0</v>
      </c>
    </row>
    <row r="666" spans="1:20" ht="22.2" hidden="1" customHeight="1">
      <c r="A666" s="56" t="s">
        <v>1988</v>
      </c>
      <c r="B666" s="1574" t="s">
        <v>1988</v>
      </c>
      <c r="C666" s="62" t="str">
        <f t="shared" si="104"/>
        <v xml:space="preserve"> </v>
      </c>
      <c r="D666" s="1546"/>
      <c r="E666" s="1045"/>
      <c r="F666" s="1392" t="s">
        <v>2401</v>
      </c>
      <c r="G666" s="1046" t="s">
        <v>2391</v>
      </c>
      <c r="H666" s="1821">
        <f>SUM(I666:O666)</f>
        <v>0</v>
      </c>
      <c r="I666" s="1822"/>
      <c r="J666" s="1822"/>
      <c r="K666" s="1822">
        <f>IFERROR(HLOOKUP(B666,pp3p1m!$1:$3,3,0),0)</f>
        <v>0</v>
      </c>
      <c r="L666" s="1822">
        <f>IFERROR(HLOOKUP(chitiet!B666,pp1p!$1:$3,3,0),0)</f>
        <v>0</v>
      </c>
      <c r="M666" s="1822"/>
      <c r="N666" s="1822"/>
      <c r="O666" s="1822"/>
      <c r="P666" s="1822"/>
      <c r="Q666" s="1047"/>
      <c r="R666" s="1047"/>
      <c r="S666" s="1047"/>
      <c r="T666" s="2035">
        <f>IFERROR(HLOOKUP(B666,pp1p!$1:$3,3,0),0)+IFERROR(HLOOKUP(B666,pp3p1m!$1:$3,3,0),0)</f>
        <v>0</v>
      </c>
    </row>
    <row r="667" spans="1:20" ht="22.2" hidden="1" customHeight="1">
      <c r="A667" s="59"/>
      <c r="B667" s="1577" t="s">
        <v>103</v>
      </c>
      <c r="C667" s="64" t="str">
        <f t="shared" si="104"/>
        <v xml:space="preserve"> </v>
      </c>
      <c r="D667" s="1534">
        <f>22*0.224</f>
        <v>4.9279999999999999</v>
      </c>
      <c r="E667" s="1044"/>
      <c r="F667" s="1056" t="str">
        <f>VLOOKUP($B667,DG!A:D,DG!C$2,)&amp;" (22m)"</f>
        <v>Cáp đồng trần M25mm2 (22m)</v>
      </c>
      <c r="G667" s="1044" t="str">
        <f>VLOOKUP($B667,DG!A:D,DG!$D$2,)</f>
        <v>kg</v>
      </c>
      <c r="H667" s="1823">
        <f t="shared" ref="H667:N669" si="126">H$666*$D667</f>
        <v>0</v>
      </c>
      <c r="I667" s="1823">
        <f t="shared" si="126"/>
        <v>0</v>
      </c>
      <c r="J667" s="1823">
        <f t="shared" si="126"/>
        <v>0</v>
      </c>
      <c r="K667" s="1823">
        <f t="shared" si="126"/>
        <v>0</v>
      </c>
      <c r="L667" s="1823">
        <f t="shared" si="126"/>
        <v>0</v>
      </c>
      <c r="M667" s="1823">
        <f t="shared" si="126"/>
        <v>0</v>
      </c>
      <c r="N667" s="1823">
        <f t="shared" si="126"/>
        <v>0</v>
      </c>
      <c r="O667" s="1823"/>
      <c r="P667" s="1823"/>
      <c r="Q667" s="1053"/>
      <c r="R667" s="1053"/>
      <c r="S667" s="1053"/>
      <c r="T667" s="2035">
        <f t="shared" si="103"/>
        <v>0</v>
      </c>
    </row>
    <row r="668" spans="1:20" ht="22.2" hidden="1" customHeight="1">
      <c r="A668" s="59"/>
      <c r="B668" s="1577" t="s">
        <v>1511</v>
      </c>
      <c r="C668" s="64" t="str">
        <f t="shared" si="104"/>
        <v xml:space="preserve"> </v>
      </c>
      <c r="D668" s="1535">
        <v>1</v>
      </c>
      <c r="E668" s="1044"/>
      <c r="F668" s="1056" t="str">
        <f>VLOOKUP($B668,DG!A:D,DG!C$2,)</f>
        <v>Cọc tiếp đất Þ 16- 2,4m + kẹp cọc mạ đồng</v>
      </c>
      <c r="G668" s="1044" t="str">
        <f>VLOOKUP($B668,DG!A:D,DG!$D$2,)</f>
        <v>bộ</v>
      </c>
      <c r="H668" s="1823">
        <f t="shared" si="126"/>
        <v>0</v>
      </c>
      <c r="I668" s="1823">
        <f t="shared" si="126"/>
        <v>0</v>
      </c>
      <c r="J668" s="1823">
        <f t="shared" si="126"/>
        <v>0</v>
      </c>
      <c r="K668" s="1823">
        <f t="shared" si="126"/>
        <v>0</v>
      </c>
      <c r="L668" s="1823">
        <f t="shared" si="126"/>
        <v>0</v>
      </c>
      <c r="M668" s="1823">
        <f t="shared" si="126"/>
        <v>0</v>
      </c>
      <c r="N668" s="1823">
        <f t="shared" si="126"/>
        <v>0</v>
      </c>
      <c r="O668" s="1823"/>
      <c r="P668" s="1823"/>
      <c r="Q668" s="1053"/>
      <c r="R668" s="1053"/>
      <c r="S668" s="1053"/>
      <c r="T668" s="2035">
        <f t="shared" si="103"/>
        <v>0</v>
      </c>
    </row>
    <row r="669" spans="1:20" ht="22.2" hidden="1" customHeight="1">
      <c r="A669" s="59"/>
      <c r="B669" s="1577" t="s">
        <v>1481</v>
      </c>
      <c r="C669" s="64" t="str">
        <f t="shared" si="104"/>
        <v xml:space="preserve"> </v>
      </c>
      <c r="D669" s="1535">
        <v>2</v>
      </c>
      <c r="E669" s="1044"/>
      <c r="F669" s="1056" t="str">
        <f>VLOOKUP($B669,DG!A:D,DG!C$2,)</f>
        <v>Kẹp nối đồng-nhôm</v>
      </c>
      <c r="G669" s="1044" t="str">
        <f>VLOOKUP($B669,DG!A:D,DG!$D$2,)</f>
        <v>cái</v>
      </c>
      <c r="H669" s="1823">
        <f t="shared" si="126"/>
        <v>0</v>
      </c>
      <c r="I669" s="1823">
        <f t="shared" si="126"/>
        <v>0</v>
      </c>
      <c r="J669" s="1823">
        <f t="shared" si="126"/>
        <v>0</v>
      </c>
      <c r="K669" s="1823">
        <f t="shared" si="126"/>
        <v>0</v>
      </c>
      <c r="L669" s="1823">
        <f t="shared" si="126"/>
        <v>0</v>
      </c>
      <c r="M669" s="1823">
        <f t="shared" si="126"/>
        <v>0</v>
      </c>
      <c r="N669" s="1823">
        <f t="shared" si="126"/>
        <v>0</v>
      </c>
      <c r="O669" s="1823"/>
      <c r="P669" s="1823"/>
      <c r="Q669" s="1053"/>
      <c r="R669" s="1053"/>
      <c r="S669" s="1053"/>
      <c r="T669" s="2035">
        <f t="shared" si="103"/>
        <v>0</v>
      </c>
    </row>
    <row r="670" spans="1:20" ht="22.2" hidden="1" customHeight="1">
      <c r="A670" s="59"/>
      <c r="B670" s="1577" t="s">
        <v>1520</v>
      </c>
      <c r="C670" s="64" t="str">
        <f t="shared" si="104"/>
        <v xml:space="preserve"> </v>
      </c>
      <c r="D670" s="1534">
        <f>D667</f>
        <v>4.9279999999999999</v>
      </c>
      <c r="E670" s="1044" t="str">
        <f>VLOOKUP($B670,DG!A:D,DG!$B$2,)</f>
        <v>05.7001</v>
      </c>
      <c r="F670" s="1049" t="str">
        <f>VLOOKUP($B670,DG!A:D,DG!C$2,)</f>
        <v xml:space="preserve">Kéo dây tiếp địa </v>
      </c>
      <c r="G670" s="1044" t="str">
        <f>VLOOKUP($B670,DG!A:D,DG!$D$2,)</f>
        <v>mét</v>
      </c>
      <c r="H670" s="1823"/>
      <c r="I670" s="1823"/>
      <c r="J670" s="1823"/>
      <c r="K670" s="1823"/>
      <c r="L670" s="1823"/>
      <c r="M670" s="1823"/>
      <c r="N670" s="1823"/>
      <c r="O670" s="1823"/>
      <c r="P670" s="1823"/>
      <c r="Q670" s="1058"/>
      <c r="R670" s="1058"/>
      <c r="S670" s="1058"/>
      <c r="T670" s="2035">
        <f t="shared" ref="T670:T733" si="127">IFERROR(HLOOKUP(B670,BangKeTru,3,0),0)</f>
        <v>0</v>
      </c>
    </row>
    <row r="671" spans="1:20" ht="22.2" hidden="1" customHeight="1">
      <c r="A671" s="59"/>
      <c r="B671" s="1577" t="s">
        <v>1104</v>
      </c>
      <c r="C671" s="64" t="str">
        <f t="shared" ref="C671:C734" si="128">IF(OR(P671&lt;&gt;0,H671&lt;&gt;0),"x"," ")</f>
        <v xml:space="preserve"> </v>
      </c>
      <c r="D671" s="1535">
        <v>1</v>
      </c>
      <c r="E671" s="1044" t="str">
        <f>VLOOKUP($B671,DG!A:D,DG!$B$2,)</f>
        <v>05.8103</v>
      </c>
      <c r="F671" s="1049" t="str">
        <f>VLOOKUP($B671,DG!A:D,DG!C$2,)</f>
        <v>Đóng cọc tiếp địa đất cấp 3</v>
      </c>
      <c r="G671" s="1044" t="str">
        <f>VLOOKUP($B671,DG!A:D,DG!$D$2,)</f>
        <v>cọc</v>
      </c>
      <c r="H671" s="1823"/>
      <c r="I671" s="1823"/>
      <c r="J671" s="1823"/>
      <c r="K671" s="1823"/>
      <c r="L671" s="1823"/>
      <c r="M671" s="1823"/>
      <c r="N671" s="1823"/>
      <c r="O671" s="1823"/>
      <c r="P671" s="1823"/>
      <c r="Q671" s="1053"/>
      <c r="R671" s="1053"/>
      <c r="S671" s="1053"/>
      <c r="T671" s="2035">
        <f t="shared" si="127"/>
        <v>0</v>
      </c>
    </row>
    <row r="672" spans="1:20" ht="22.2" hidden="1" customHeight="1">
      <c r="A672" s="59"/>
      <c r="B672" s="1577" t="s">
        <v>1906</v>
      </c>
      <c r="C672" s="64" t="str">
        <f t="shared" si="128"/>
        <v xml:space="preserve"> </v>
      </c>
      <c r="D672" s="1533">
        <v>8.0000000000000002E-3</v>
      </c>
      <c r="E672" s="1044" t="str">
        <f>VLOOKUP($B672,DG!A:D,DG!$B$2,)</f>
        <v>02.1120</v>
      </c>
      <c r="F672" s="1049" t="str">
        <f>VLOOKUP($B672,DG!A:D,DG!C$2,)</f>
        <v>Bốc dỡ phụ kiện</v>
      </c>
      <c r="G672" s="1044" t="str">
        <f>VLOOKUP($B672,DG!A:D,DG!$D$2,)</f>
        <v>tấn</v>
      </c>
      <c r="H672" s="1823"/>
      <c r="I672" s="1823"/>
      <c r="J672" s="1823"/>
      <c r="K672" s="1823"/>
      <c r="L672" s="1823"/>
      <c r="M672" s="1823"/>
      <c r="N672" s="1823"/>
      <c r="O672" s="1823"/>
      <c r="P672" s="1823"/>
      <c r="Q672" s="1053"/>
      <c r="R672" s="1053"/>
      <c r="S672" s="1053"/>
      <c r="T672" s="2035">
        <f t="shared" si="127"/>
        <v>0</v>
      </c>
    </row>
    <row r="673" spans="1:20" ht="22.2" hidden="1" customHeight="1">
      <c r="A673" s="59"/>
      <c r="B673" s="1588" t="s">
        <v>1907</v>
      </c>
      <c r="C673" s="64" t="str">
        <f t="shared" si="128"/>
        <v xml:space="preserve"> </v>
      </c>
      <c r="D673" s="1533">
        <v>8.0000000000000002E-3</v>
      </c>
      <c r="E673" s="1044" t="str">
        <f>VLOOKUP($B673,DG!A:C,2,)</f>
        <v>02.1351</v>
      </c>
      <c r="F673" s="1049" t="str">
        <f>VLOOKUP($B673,DG!A:C,3,)</f>
        <v>V/c tiếp địa vào vị trí ( cự ly &lt;=100m)</v>
      </c>
      <c r="G673" s="1044" t="str">
        <f>VLOOKUP($B673,DG!A:D,4,0)</f>
        <v>tấn</v>
      </c>
      <c r="H673" s="1823"/>
      <c r="I673" s="1823"/>
      <c r="J673" s="1823"/>
      <c r="K673" s="1823"/>
      <c r="L673" s="1823"/>
      <c r="M673" s="1823"/>
      <c r="N673" s="1823"/>
      <c r="O673" s="1823"/>
      <c r="P673" s="1823"/>
      <c r="Q673" s="1058"/>
      <c r="R673" s="1058"/>
      <c r="S673" s="1058"/>
      <c r="T673" s="2035">
        <f t="shared" si="127"/>
        <v>0</v>
      </c>
    </row>
    <row r="674" spans="1:20" ht="22.2" hidden="1" customHeight="1">
      <c r="A674" s="56" t="s">
        <v>547</v>
      </c>
      <c r="B674" s="1574" t="s">
        <v>547</v>
      </c>
      <c r="C674" s="62" t="str">
        <f t="shared" si="128"/>
        <v xml:space="preserve"> </v>
      </c>
      <c r="D674" s="1546"/>
      <c r="E674" s="1045"/>
      <c r="F674" s="1392" t="s">
        <v>2402</v>
      </c>
      <c r="G674" s="1046" t="s">
        <v>2391</v>
      </c>
      <c r="H674" s="1821">
        <f>SUM(I674:O674)</f>
        <v>0</v>
      </c>
      <c r="I674" s="1822"/>
      <c r="J674" s="1822"/>
      <c r="K674" s="1822">
        <f>IFERROR(HLOOKUP(B674,pp3p1m!$1:$3,3,0),0)</f>
        <v>0</v>
      </c>
      <c r="L674" s="1822">
        <f>IFERROR(HLOOKUP(chitiet!B674,pp1p!$1:$3,3,0),0)</f>
        <v>0</v>
      </c>
      <c r="M674" s="1822"/>
      <c r="N674" s="1822"/>
      <c r="O674" s="1822"/>
      <c r="P674" s="1822"/>
      <c r="Q674" s="1047"/>
      <c r="R674" s="1047"/>
      <c r="S674" s="1047"/>
      <c r="T674" s="2035">
        <f>IFERROR(HLOOKUP(B674,pp1p!$1:$3,3,0),0)+IFERROR(HLOOKUP(B674,pp3p1m!$1:$3,3,0),0)</f>
        <v>0</v>
      </c>
    </row>
    <row r="675" spans="1:20" ht="22.2" hidden="1" customHeight="1">
      <c r="A675" s="59"/>
      <c r="B675" s="1577" t="s">
        <v>1033</v>
      </c>
      <c r="C675" s="64" t="str">
        <f t="shared" si="128"/>
        <v xml:space="preserve"> </v>
      </c>
      <c r="D675" s="1534">
        <f>6*0.224</f>
        <v>1.3440000000000001</v>
      </c>
      <c r="E675" s="1044"/>
      <c r="F675" s="1056" t="str">
        <f>VLOOKUP($B675,DG!A:D,DG!C$2,)&amp;" (6m)"</f>
        <v>Cáp đồng trần M25mm2 (6m)</v>
      </c>
      <c r="G675" s="1044" t="str">
        <f>VLOOKUP($B675,DG!A:D,DG!$D$2,)</f>
        <v>kg</v>
      </c>
      <c r="H675" s="1823">
        <f t="shared" ref="H675:N680" si="129">H$666*$D675</f>
        <v>0</v>
      </c>
      <c r="I675" s="1823">
        <f t="shared" si="129"/>
        <v>0</v>
      </c>
      <c r="J675" s="1823">
        <f t="shared" si="129"/>
        <v>0</v>
      </c>
      <c r="K675" s="1823">
        <f t="shared" si="129"/>
        <v>0</v>
      </c>
      <c r="L675" s="1823">
        <f t="shared" si="129"/>
        <v>0</v>
      </c>
      <c r="M675" s="1823">
        <f t="shared" si="129"/>
        <v>0</v>
      </c>
      <c r="N675" s="1823">
        <f t="shared" si="129"/>
        <v>0</v>
      </c>
      <c r="O675" s="1823"/>
      <c r="P675" s="1823"/>
      <c r="Q675" s="1053"/>
      <c r="R675" s="1053"/>
      <c r="S675" s="1053"/>
      <c r="T675" s="2035">
        <f t="shared" si="127"/>
        <v>0</v>
      </c>
    </row>
    <row r="676" spans="1:20" ht="22.2" hidden="1" customHeight="1">
      <c r="A676" s="59"/>
      <c r="B676" s="1577" t="s">
        <v>794</v>
      </c>
      <c r="C676" s="64" t="str">
        <f t="shared" si="128"/>
        <v xml:space="preserve"> </v>
      </c>
      <c r="D676" s="1545">
        <f>0.3*1*0.3</f>
        <v>0.09</v>
      </c>
      <c r="E676" s="1044"/>
      <c r="F676" s="1049" t="str">
        <f>VLOOKUP($B676,DG!A:D,DG!C$2,)&amp;": 0,3x0,3x1"</f>
        <v>Đào rãnh tiếp địa đất cấp 3: 0,3x0,3x1</v>
      </c>
      <c r="G676" s="1044" t="str">
        <f>VLOOKUP($B676,DG!A:D,DG!$D$2,)</f>
        <v>m3</v>
      </c>
      <c r="H676" s="1823">
        <f t="shared" si="129"/>
        <v>0</v>
      </c>
      <c r="I676" s="1823">
        <f t="shared" si="129"/>
        <v>0</v>
      </c>
      <c r="J676" s="1823">
        <f t="shared" si="129"/>
        <v>0</v>
      </c>
      <c r="K676" s="1823">
        <f t="shared" si="129"/>
        <v>0</v>
      </c>
      <c r="L676" s="1823">
        <f t="shared" si="129"/>
        <v>0</v>
      </c>
      <c r="M676" s="1823">
        <f t="shared" si="129"/>
        <v>0</v>
      </c>
      <c r="N676" s="1823">
        <f t="shared" si="129"/>
        <v>0</v>
      </c>
      <c r="O676" s="1823"/>
      <c r="P676" s="1823"/>
      <c r="Q676" s="1053"/>
      <c r="R676" s="1053"/>
      <c r="S676" s="1053"/>
      <c r="T676" s="2035">
        <f t="shared" si="127"/>
        <v>0</v>
      </c>
    </row>
    <row r="677" spans="1:20" ht="22.2" hidden="1" customHeight="1">
      <c r="A677" s="59"/>
      <c r="B677" s="1577" t="s">
        <v>798</v>
      </c>
      <c r="C677" s="64" t="str">
        <f t="shared" si="128"/>
        <v xml:space="preserve"> </v>
      </c>
      <c r="D677" s="1545">
        <f>D676</f>
        <v>0.09</v>
      </c>
      <c r="E677" s="1044"/>
      <c r="F677" s="1049" t="str">
        <f>VLOOKUP($B677,DG!A:D,DG!C$2,)&amp;": 0,3x0,3x1"</f>
        <v>Đắp đất rãnh tiếp độ chặt k=0,85: 0,3x0,3x1</v>
      </c>
      <c r="G677" s="1044" t="str">
        <f>VLOOKUP($B677,DG!A:D,DG!$D$2,)</f>
        <v>m3</v>
      </c>
      <c r="H677" s="1823">
        <f t="shared" si="129"/>
        <v>0</v>
      </c>
      <c r="I677" s="1823">
        <f t="shared" si="129"/>
        <v>0</v>
      </c>
      <c r="J677" s="1823">
        <f t="shared" si="129"/>
        <v>0</v>
      </c>
      <c r="K677" s="1823">
        <f t="shared" si="129"/>
        <v>0</v>
      </c>
      <c r="L677" s="1823">
        <f t="shared" si="129"/>
        <v>0</v>
      </c>
      <c r="M677" s="1823">
        <f t="shared" si="129"/>
        <v>0</v>
      </c>
      <c r="N677" s="1823">
        <f t="shared" si="129"/>
        <v>0</v>
      </c>
      <c r="O677" s="1823"/>
      <c r="P677" s="1823"/>
      <c r="Q677" s="1053"/>
      <c r="R677" s="1053"/>
      <c r="S677" s="1053"/>
      <c r="T677" s="2035">
        <f t="shared" si="127"/>
        <v>0</v>
      </c>
    </row>
    <row r="678" spans="1:20" ht="22.2" hidden="1" customHeight="1">
      <c r="A678" s="59"/>
      <c r="B678" s="1577" t="s">
        <v>104</v>
      </c>
      <c r="C678" s="64" t="str">
        <f t="shared" si="128"/>
        <v xml:space="preserve"> </v>
      </c>
      <c r="D678" s="1535">
        <v>1</v>
      </c>
      <c r="E678" s="1044"/>
      <c r="F678" s="1056" t="str">
        <f>VLOOKUP($B678,DG!A:D,DG!C$2,)</f>
        <v>Đầu cosse ép Cu 25mm2</v>
      </c>
      <c r="G678" s="1044" t="str">
        <f>VLOOKUP($B678,DG!A:D,DG!$D$2,)</f>
        <v>cái</v>
      </c>
      <c r="H678" s="1823">
        <f t="shared" si="129"/>
        <v>0</v>
      </c>
      <c r="I678" s="1823">
        <f t="shared" si="129"/>
        <v>0</v>
      </c>
      <c r="J678" s="1823">
        <f t="shared" si="129"/>
        <v>0</v>
      </c>
      <c r="K678" s="1823">
        <f t="shared" si="129"/>
        <v>0</v>
      </c>
      <c r="L678" s="1823">
        <f t="shared" si="129"/>
        <v>0</v>
      </c>
      <c r="M678" s="1823">
        <f t="shared" si="129"/>
        <v>0</v>
      </c>
      <c r="N678" s="1823">
        <f t="shared" si="129"/>
        <v>0</v>
      </c>
      <c r="O678" s="1823"/>
      <c r="P678" s="1823"/>
      <c r="Q678" s="1053"/>
      <c r="R678" s="1053"/>
      <c r="S678" s="1053"/>
      <c r="T678" s="2035">
        <f t="shared" si="127"/>
        <v>0</v>
      </c>
    </row>
    <row r="679" spans="1:20" ht="22.2" hidden="1" customHeight="1">
      <c r="A679" s="59"/>
      <c r="B679" s="1577" t="s">
        <v>138</v>
      </c>
      <c r="C679" s="64" t="str">
        <f t="shared" si="128"/>
        <v xml:space="preserve"> </v>
      </c>
      <c r="D679" s="1535">
        <v>1</v>
      </c>
      <c r="E679" s="1044"/>
      <c r="F679" s="1056" t="str">
        <f>VLOOKUP($B679,DG!A:D,DG!C$2,)</f>
        <v>Boulon 12x40+ 2 long đền vuông D14-50x50x3/Zn</v>
      </c>
      <c r="G679" s="1044" t="str">
        <f>VLOOKUP($B679,DG!A:D,DG!$D$2,)</f>
        <v>bộ</v>
      </c>
      <c r="H679" s="1823">
        <f t="shared" si="129"/>
        <v>0</v>
      </c>
      <c r="I679" s="1823">
        <f t="shared" si="129"/>
        <v>0</v>
      </c>
      <c r="J679" s="1823">
        <f t="shared" si="129"/>
        <v>0</v>
      </c>
      <c r="K679" s="1823">
        <f t="shared" si="129"/>
        <v>0</v>
      </c>
      <c r="L679" s="1823">
        <f t="shared" si="129"/>
        <v>0</v>
      </c>
      <c r="M679" s="1823">
        <f t="shared" si="129"/>
        <v>0</v>
      </c>
      <c r="N679" s="1823">
        <f t="shared" si="129"/>
        <v>0</v>
      </c>
      <c r="O679" s="1823"/>
      <c r="P679" s="1823"/>
      <c r="Q679" s="1053"/>
      <c r="R679" s="1053"/>
      <c r="S679" s="1053"/>
      <c r="T679" s="2035">
        <f t="shared" si="127"/>
        <v>0</v>
      </c>
    </row>
    <row r="680" spans="1:20" ht="22.2" hidden="1" customHeight="1">
      <c r="A680" s="59"/>
      <c r="B680" s="1577" t="s">
        <v>576</v>
      </c>
      <c r="C680" s="64" t="str">
        <f t="shared" si="128"/>
        <v xml:space="preserve"> </v>
      </c>
      <c r="D680" s="1535">
        <v>3</v>
      </c>
      <c r="E680" s="1044"/>
      <c r="F680" s="1056" t="str">
        <f>VLOOKUP($B680,DG!A:D,DG!C$2,)</f>
        <v xml:space="preserve">Ống PVC D21x1,6mm </v>
      </c>
      <c r="G680" s="1044" t="str">
        <f>VLOOKUP($B680,DG!A:D,DG!$D$2,)</f>
        <v>m</v>
      </c>
      <c r="H680" s="1823">
        <f t="shared" si="129"/>
        <v>0</v>
      </c>
      <c r="I680" s="1823">
        <f t="shared" si="129"/>
        <v>0</v>
      </c>
      <c r="J680" s="1823">
        <f t="shared" si="129"/>
        <v>0</v>
      </c>
      <c r="K680" s="1823">
        <f t="shared" si="129"/>
        <v>0</v>
      </c>
      <c r="L680" s="1823">
        <f t="shared" si="129"/>
        <v>0</v>
      </c>
      <c r="M680" s="1823">
        <f t="shared" si="129"/>
        <v>0</v>
      </c>
      <c r="N680" s="1823">
        <f t="shared" si="129"/>
        <v>0</v>
      </c>
      <c r="O680" s="1823"/>
      <c r="P680" s="1823"/>
      <c r="Q680" s="1053"/>
      <c r="R680" s="1053"/>
      <c r="S680" s="1053"/>
      <c r="T680" s="2035">
        <f t="shared" si="127"/>
        <v>0</v>
      </c>
    </row>
    <row r="681" spans="1:20" ht="22.2" hidden="1" customHeight="1">
      <c r="A681" s="59"/>
      <c r="B681" s="1577" t="s">
        <v>1520</v>
      </c>
      <c r="C681" s="64" t="str">
        <f t="shared" si="128"/>
        <v xml:space="preserve"> </v>
      </c>
      <c r="D681" s="1535">
        <v>1</v>
      </c>
      <c r="E681" s="1044" t="str">
        <f>VLOOKUP($B681,DG!A:D,DG!$B$2,)</f>
        <v>05.7001</v>
      </c>
      <c r="F681" s="1049" t="str">
        <f>VLOOKUP($B681,DG!A:D,DG!C$2,)</f>
        <v xml:space="preserve">Kéo dây tiếp địa </v>
      </c>
      <c r="G681" s="1044" t="str">
        <f>VLOOKUP($B681,DG!A:D,DG!$D$2,)</f>
        <v>mét</v>
      </c>
      <c r="H681" s="1823"/>
      <c r="I681" s="1823"/>
      <c r="J681" s="1823"/>
      <c r="K681" s="1823"/>
      <c r="L681" s="1823"/>
      <c r="M681" s="1823"/>
      <c r="N681" s="1823"/>
      <c r="O681" s="1823"/>
      <c r="P681" s="1823"/>
      <c r="Q681" s="1058"/>
      <c r="R681" s="1058"/>
      <c r="S681" s="1058"/>
      <c r="T681" s="2035">
        <f t="shared" si="127"/>
        <v>0</v>
      </c>
    </row>
    <row r="682" spans="1:20" ht="22.2" hidden="1" customHeight="1">
      <c r="A682" s="59"/>
      <c r="B682" s="1577" t="s">
        <v>1115</v>
      </c>
      <c r="C682" s="64" t="str">
        <f t="shared" si="128"/>
        <v xml:space="preserve"> </v>
      </c>
      <c r="D682" s="1535">
        <v>1</v>
      </c>
      <c r="E682" s="1044">
        <f>VLOOKUP($B682,DG!A:D,DG!$B$2,)</f>
        <v>0</v>
      </c>
      <c r="F682" s="1056" t="str">
        <f>VLOOKUP($B682,DG!A:D,DG!C$2,)</f>
        <v>Kẹp ép cỡ dây 25mm2</v>
      </c>
      <c r="G682" s="1044" t="str">
        <f>VLOOKUP($B682,DG!A:D,DG!$D$2,)</f>
        <v>cái</v>
      </c>
      <c r="H682" s="1823"/>
      <c r="I682" s="1823"/>
      <c r="J682" s="1823"/>
      <c r="K682" s="1823"/>
      <c r="L682" s="1823"/>
      <c r="M682" s="1823"/>
      <c r="N682" s="1823"/>
      <c r="O682" s="1823"/>
      <c r="P682" s="1823"/>
      <c r="Q682" s="1053"/>
      <c r="R682" s="1053"/>
      <c r="S682" s="1053"/>
      <c r="T682" s="2035">
        <f t="shared" si="127"/>
        <v>0</v>
      </c>
    </row>
    <row r="683" spans="1:20" ht="22.2" hidden="1" customHeight="1">
      <c r="A683" s="56" t="s">
        <v>1054</v>
      </c>
      <c r="B683" s="1574" t="s">
        <v>1054</v>
      </c>
      <c r="C683" s="62" t="str">
        <f t="shared" si="128"/>
        <v xml:space="preserve"> </v>
      </c>
      <c r="D683" s="1546"/>
      <c r="E683" s="1045"/>
      <c r="F683" s="1392" t="s">
        <v>2403</v>
      </c>
      <c r="G683" s="1046" t="s">
        <v>2391</v>
      </c>
      <c r="H683" s="1821">
        <f>SUM(I683:O683)</f>
        <v>0</v>
      </c>
      <c r="I683" s="1822"/>
      <c r="J683" s="1822"/>
      <c r="K683" s="1822">
        <f>IFERROR(HLOOKUP(B683,pp3p1m!$1:$3,3,0),0)</f>
        <v>0</v>
      </c>
      <c r="L683" s="1822">
        <f>IFERROR(HLOOKUP(chitiet!B683,pp1p!$1:$3,3,0),0)</f>
        <v>0</v>
      </c>
      <c r="M683" s="1822"/>
      <c r="N683" s="1822"/>
      <c r="O683" s="1822"/>
      <c r="P683" s="1822"/>
      <c r="Q683" s="1047"/>
      <c r="R683" s="1047"/>
      <c r="S683" s="1047"/>
      <c r="T683" s="2035">
        <f>IFERROR(HLOOKUP(B683,pp1p!$1:$3,3,0),0)+IFERROR(HLOOKUP(B683,pp3p1m!$1:$3,3,0),0)</f>
        <v>0</v>
      </c>
    </row>
    <row r="684" spans="1:20" ht="22.2" hidden="1" customHeight="1">
      <c r="A684" s="59"/>
      <c r="B684" s="1577" t="s">
        <v>103</v>
      </c>
      <c r="C684" s="64" t="str">
        <f t="shared" si="128"/>
        <v xml:space="preserve"> </v>
      </c>
      <c r="D684" s="1534">
        <f>53*0.224</f>
        <v>11.872</v>
      </c>
      <c r="E684" s="1044"/>
      <c r="F684" s="1056" t="str">
        <f>VLOOKUP($B684,DG!A:D,DG!C$2,)&amp;" (53m)"</f>
        <v>Cáp đồng trần M25mm2 (53m)</v>
      </c>
      <c r="G684" s="1044" t="str">
        <f>VLOOKUP($B684,DG!A:D,DG!$D$2,)</f>
        <v>kg</v>
      </c>
      <c r="H684" s="1823">
        <f t="shared" ref="H684:N691" si="130">H$666*$D684</f>
        <v>0</v>
      </c>
      <c r="I684" s="1823">
        <f t="shared" si="130"/>
        <v>0</v>
      </c>
      <c r="J684" s="1823">
        <f t="shared" si="130"/>
        <v>0</v>
      </c>
      <c r="K684" s="1823">
        <f t="shared" si="130"/>
        <v>0</v>
      </c>
      <c r="L684" s="1823">
        <f t="shared" si="130"/>
        <v>0</v>
      </c>
      <c r="M684" s="1823">
        <f t="shared" si="130"/>
        <v>0</v>
      </c>
      <c r="N684" s="1823">
        <f t="shared" si="130"/>
        <v>0</v>
      </c>
      <c r="O684" s="1823"/>
      <c r="P684" s="1823"/>
      <c r="Q684" s="1053"/>
      <c r="R684" s="1053"/>
      <c r="S684" s="1053"/>
      <c r="T684" s="2035">
        <f t="shared" si="127"/>
        <v>0</v>
      </c>
    </row>
    <row r="685" spans="1:20" ht="22.2" hidden="1" customHeight="1">
      <c r="A685" s="59"/>
      <c r="B685" s="1577" t="s">
        <v>1511</v>
      </c>
      <c r="C685" s="64" t="str">
        <f t="shared" si="128"/>
        <v xml:space="preserve"> </v>
      </c>
      <c r="D685" s="1535">
        <v>9</v>
      </c>
      <c r="E685" s="1044"/>
      <c r="F685" s="1056" t="str">
        <f>VLOOKUP($B685,DG!A:D,DG!C$2,)</f>
        <v>Cọc tiếp đất Þ 16- 2,4m + kẹp cọc mạ đồng</v>
      </c>
      <c r="G685" s="1044" t="str">
        <f>VLOOKUP($B685,DG!A:D,DG!$D$2,)</f>
        <v>bộ</v>
      </c>
      <c r="H685" s="1823">
        <f t="shared" si="130"/>
        <v>0</v>
      </c>
      <c r="I685" s="1823">
        <f t="shared" si="130"/>
        <v>0</v>
      </c>
      <c r="J685" s="1823">
        <f t="shared" si="130"/>
        <v>0</v>
      </c>
      <c r="K685" s="1823">
        <f t="shared" si="130"/>
        <v>0</v>
      </c>
      <c r="L685" s="1823">
        <f t="shared" si="130"/>
        <v>0</v>
      </c>
      <c r="M685" s="1823">
        <f t="shared" si="130"/>
        <v>0</v>
      </c>
      <c r="N685" s="1823">
        <f t="shared" si="130"/>
        <v>0</v>
      </c>
      <c r="O685" s="1823"/>
      <c r="P685" s="1823"/>
      <c r="Q685" s="1053"/>
      <c r="R685" s="1053"/>
      <c r="S685" s="1053"/>
      <c r="T685" s="2035">
        <f t="shared" si="127"/>
        <v>0</v>
      </c>
    </row>
    <row r="686" spans="1:20" ht="22.2" hidden="1" customHeight="1">
      <c r="A686" s="59"/>
      <c r="B686" s="1577" t="s">
        <v>905</v>
      </c>
      <c r="C686" s="64" t="str">
        <f t="shared" si="128"/>
        <v xml:space="preserve"> </v>
      </c>
      <c r="D686" s="1535">
        <v>2</v>
      </c>
      <c r="E686" s="1044"/>
      <c r="F686" s="1056" t="str">
        <f>VLOOKUP($B686,DG!A:D,DG!C$2,)</f>
        <v>Kẹp ép WR cỡ dây 50mm2</v>
      </c>
      <c r="G686" s="1044" t="str">
        <f>VLOOKUP($B686,DG!A:D,DG!$D$2,)</f>
        <v>cái</v>
      </c>
      <c r="H686" s="1823">
        <f t="shared" si="130"/>
        <v>0</v>
      </c>
      <c r="I686" s="1823">
        <f t="shared" si="130"/>
        <v>0</v>
      </c>
      <c r="J686" s="1823">
        <f t="shared" si="130"/>
        <v>0</v>
      </c>
      <c r="K686" s="1823">
        <f t="shared" si="130"/>
        <v>0</v>
      </c>
      <c r="L686" s="1823">
        <f t="shared" si="130"/>
        <v>0</v>
      </c>
      <c r="M686" s="1823">
        <f t="shared" si="130"/>
        <v>0</v>
      </c>
      <c r="N686" s="1823">
        <f t="shared" si="130"/>
        <v>0</v>
      </c>
      <c r="O686" s="1823"/>
      <c r="P686" s="1823"/>
      <c r="Q686" s="1053"/>
      <c r="R686" s="1053"/>
      <c r="S686" s="1053"/>
      <c r="T686" s="2035">
        <f t="shared" si="127"/>
        <v>0</v>
      </c>
    </row>
    <row r="687" spans="1:20" ht="22.2" hidden="1" customHeight="1">
      <c r="A687" s="59"/>
      <c r="B687" s="1577" t="s">
        <v>1114</v>
      </c>
      <c r="C687" s="64" t="str">
        <f t="shared" si="128"/>
        <v xml:space="preserve"> </v>
      </c>
      <c r="D687" s="1535">
        <v>11</v>
      </c>
      <c r="E687" s="1044"/>
      <c r="F687" s="1056" t="str">
        <f>VLOOKUP($B687,DG!A:D,DG!C$2,)</f>
        <v>Kẹp ép cỡ dây 25mm2</v>
      </c>
      <c r="G687" s="1044" t="str">
        <f>VLOOKUP($B687,DG!A:D,DG!$D$2,)</f>
        <v>cái</v>
      </c>
      <c r="H687" s="1823">
        <f t="shared" si="130"/>
        <v>0</v>
      </c>
      <c r="I687" s="1823">
        <f t="shared" si="130"/>
        <v>0</v>
      </c>
      <c r="J687" s="1823">
        <f t="shared" si="130"/>
        <v>0</v>
      </c>
      <c r="K687" s="1823">
        <f t="shared" si="130"/>
        <v>0</v>
      </c>
      <c r="L687" s="1823">
        <f t="shared" si="130"/>
        <v>0</v>
      </c>
      <c r="M687" s="1823">
        <f t="shared" si="130"/>
        <v>0</v>
      </c>
      <c r="N687" s="1823">
        <f t="shared" si="130"/>
        <v>0</v>
      </c>
      <c r="O687" s="1823"/>
      <c r="P687" s="1823"/>
      <c r="Q687" s="1053"/>
      <c r="R687" s="1053"/>
      <c r="S687" s="1053"/>
      <c r="T687" s="2035">
        <f t="shared" si="127"/>
        <v>0</v>
      </c>
    </row>
    <row r="688" spans="1:20" ht="22.2" hidden="1" customHeight="1">
      <c r="A688" s="59"/>
      <c r="B688" s="1577" t="s">
        <v>1493</v>
      </c>
      <c r="C688" s="64" t="str">
        <f t="shared" si="128"/>
        <v xml:space="preserve"> </v>
      </c>
      <c r="D688" s="1535">
        <v>6</v>
      </c>
      <c r="E688" s="1044"/>
      <c r="F688" s="1056" t="str">
        <f>VLOOKUP($B688,DG!A:D,DG!C$2,)</f>
        <v xml:space="preserve">Ống PVC D21x1,6mm </v>
      </c>
      <c r="G688" s="1044" t="str">
        <f>VLOOKUP($B688,DG!A:D,DG!$D$2,)</f>
        <v>m</v>
      </c>
      <c r="H688" s="1823">
        <f t="shared" si="130"/>
        <v>0</v>
      </c>
      <c r="I688" s="1823">
        <f t="shared" si="130"/>
        <v>0</v>
      </c>
      <c r="J688" s="1823">
        <f t="shared" si="130"/>
        <v>0</v>
      </c>
      <c r="K688" s="1823">
        <f t="shared" si="130"/>
        <v>0</v>
      </c>
      <c r="L688" s="1823">
        <f t="shared" si="130"/>
        <v>0</v>
      </c>
      <c r="M688" s="1823">
        <f t="shared" si="130"/>
        <v>0</v>
      </c>
      <c r="N688" s="1823">
        <f t="shared" si="130"/>
        <v>0</v>
      </c>
      <c r="O688" s="1823"/>
      <c r="P688" s="1823"/>
      <c r="Q688" s="1053"/>
      <c r="R688" s="1053"/>
      <c r="S688" s="1053"/>
      <c r="T688" s="2035">
        <f t="shared" si="127"/>
        <v>0</v>
      </c>
    </row>
    <row r="689" spans="1:20" ht="22.2" hidden="1" customHeight="1">
      <c r="A689" s="59"/>
      <c r="B689" s="1577" t="s">
        <v>525</v>
      </c>
      <c r="C689" s="64" t="str">
        <f t="shared" si="128"/>
        <v xml:space="preserve"> </v>
      </c>
      <c r="D689" s="1535">
        <v>3</v>
      </c>
      <c r="E689" s="1044"/>
      <c r="F689" s="1056" t="str">
        <f>VLOOKUP($B689,DG!A:D,DG!C$2,)</f>
        <v>Cổ dê kẹp ống PVC  21</v>
      </c>
      <c r="G689" s="1044" t="str">
        <f>VLOOKUP($B689,DG!A:D,DG!$D$2,)</f>
        <v>bộ</v>
      </c>
      <c r="H689" s="1823">
        <f t="shared" si="130"/>
        <v>0</v>
      </c>
      <c r="I689" s="1823">
        <f t="shared" si="130"/>
        <v>0</v>
      </c>
      <c r="J689" s="1823">
        <f t="shared" si="130"/>
        <v>0</v>
      </c>
      <c r="K689" s="1823">
        <f t="shared" si="130"/>
        <v>0</v>
      </c>
      <c r="L689" s="1823">
        <f t="shared" si="130"/>
        <v>0</v>
      </c>
      <c r="M689" s="1823">
        <f t="shared" si="130"/>
        <v>0</v>
      </c>
      <c r="N689" s="1823">
        <f t="shared" si="130"/>
        <v>0</v>
      </c>
      <c r="O689" s="1823"/>
      <c r="P689" s="1823"/>
      <c r="Q689" s="1053"/>
      <c r="R689" s="1053"/>
      <c r="S689" s="1053"/>
      <c r="T689" s="2035">
        <f t="shared" si="127"/>
        <v>0</v>
      </c>
    </row>
    <row r="690" spans="1:20" ht="22.2" hidden="1" customHeight="1">
      <c r="A690" s="59"/>
      <c r="B690" s="1577" t="s">
        <v>1052</v>
      </c>
      <c r="C690" s="64" t="str">
        <f t="shared" si="128"/>
        <v xml:space="preserve"> </v>
      </c>
      <c r="D690" s="1535">
        <v>2</v>
      </c>
      <c r="E690" s="1044"/>
      <c r="F690" s="1056" t="str">
        <f>VLOOKUP($B690,DG!A:D,DG!C$2,)</f>
        <v>Đầu cosse ép Cu 25mm2</v>
      </c>
      <c r="G690" s="1044" t="str">
        <f>VLOOKUP($B690,DG!A:D,DG!$D$2,)</f>
        <v>cái</v>
      </c>
      <c r="H690" s="1823">
        <f t="shared" si="130"/>
        <v>0</v>
      </c>
      <c r="I690" s="1823">
        <f t="shared" si="130"/>
        <v>0</v>
      </c>
      <c r="J690" s="1823">
        <f t="shared" si="130"/>
        <v>0</v>
      </c>
      <c r="K690" s="1823">
        <f t="shared" si="130"/>
        <v>0</v>
      </c>
      <c r="L690" s="1823">
        <f t="shared" si="130"/>
        <v>0</v>
      </c>
      <c r="M690" s="1823">
        <f t="shared" si="130"/>
        <v>0</v>
      </c>
      <c r="N690" s="1823">
        <f t="shared" si="130"/>
        <v>0</v>
      </c>
      <c r="O690" s="1823"/>
      <c r="P690" s="1823"/>
      <c r="Q690" s="1053"/>
      <c r="R690" s="1053"/>
      <c r="S690" s="1053"/>
      <c r="T690" s="2035">
        <f t="shared" si="127"/>
        <v>0</v>
      </c>
    </row>
    <row r="691" spans="1:20" ht="22.2" hidden="1" customHeight="1">
      <c r="A691" s="59"/>
      <c r="B691" s="1577" t="s">
        <v>2023</v>
      </c>
      <c r="C691" s="64" t="str">
        <f t="shared" si="128"/>
        <v xml:space="preserve"> </v>
      </c>
      <c r="D691" s="1535">
        <v>1</v>
      </c>
      <c r="E691" s="1044"/>
      <c r="F691" s="1056" t="str">
        <f>VLOOKUP($B691,DG!A:D,DG!C$2,)</f>
        <v>Boulon 12x40+ 2 long đền vuông D14-50x50x3/Zn</v>
      </c>
      <c r="G691" s="1044" t="str">
        <f>VLOOKUP($B691,DG!A:D,DG!$D$2,)</f>
        <v>bộ</v>
      </c>
      <c r="H691" s="1823">
        <f t="shared" si="130"/>
        <v>0</v>
      </c>
      <c r="I691" s="1823">
        <f t="shared" si="130"/>
        <v>0</v>
      </c>
      <c r="J691" s="1823">
        <f t="shared" si="130"/>
        <v>0</v>
      </c>
      <c r="K691" s="1823">
        <f t="shared" si="130"/>
        <v>0</v>
      </c>
      <c r="L691" s="1823">
        <f t="shared" si="130"/>
        <v>0</v>
      </c>
      <c r="M691" s="1823">
        <f t="shared" si="130"/>
        <v>0</v>
      </c>
      <c r="N691" s="1823">
        <f t="shared" si="130"/>
        <v>0</v>
      </c>
      <c r="O691" s="1823"/>
      <c r="P691" s="1823"/>
      <c r="Q691" s="1053"/>
      <c r="R691" s="1053"/>
      <c r="S691" s="1053"/>
      <c r="T691" s="2035">
        <f t="shared" si="127"/>
        <v>0</v>
      </c>
    </row>
    <row r="692" spans="1:20" ht="22.2" hidden="1" customHeight="1">
      <c r="A692" s="59"/>
      <c r="B692" s="1577" t="s">
        <v>1520</v>
      </c>
      <c r="C692" s="64" t="str">
        <f t="shared" si="128"/>
        <v xml:space="preserve"> </v>
      </c>
      <c r="D692" s="1545">
        <f>D684</f>
        <v>11.872</v>
      </c>
      <c r="E692" s="1044" t="str">
        <f>VLOOKUP($B692,DG!A:D,DG!$B$2,)</f>
        <v>05.7001</v>
      </c>
      <c r="F692" s="1049" t="str">
        <f>VLOOKUP($B692,DG!A:D,DG!C$2,)</f>
        <v xml:space="preserve">Kéo dây tiếp địa </v>
      </c>
      <c r="G692" s="1044" t="str">
        <f>VLOOKUP($B692,DG!A:D,DG!$D$2,)</f>
        <v>mét</v>
      </c>
      <c r="H692" s="1823"/>
      <c r="I692" s="1823"/>
      <c r="J692" s="1823"/>
      <c r="K692" s="1823"/>
      <c r="L692" s="1823"/>
      <c r="M692" s="1823"/>
      <c r="N692" s="1823"/>
      <c r="O692" s="1823"/>
      <c r="P692" s="1823"/>
      <c r="Q692" s="1058"/>
      <c r="R692" s="1058"/>
      <c r="S692" s="1058"/>
      <c r="T692" s="2035">
        <f t="shared" si="127"/>
        <v>0</v>
      </c>
    </row>
    <row r="693" spans="1:20" ht="22.2" hidden="1" customHeight="1">
      <c r="A693" s="59"/>
      <c r="B693" s="1577" t="s">
        <v>1104</v>
      </c>
      <c r="C693" s="64" t="str">
        <f t="shared" si="128"/>
        <v xml:space="preserve"> </v>
      </c>
      <c r="D693" s="1535">
        <f>D685</f>
        <v>9</v>
      </c>
      <c r="E693" s="1044" t="str">
        <f>VLOOKUP($B693,DG!A:D,DG!$B$2,)</f>
        <v>05.8103</v>
      </c>
      <c r="F693" s="1049" t="str">
        <f>VLOOKUP($B693,DG!A:D,DG!C$2,)</f>
        <v>Đóng cọc tiếp địa đất cấp 3</v>
      </c>
      <c r="G693" s="1044" t="str">
        <f>VLOOKUP($B693,DG!A:D,DG!$D$2,)</f>
        <v>cọc</v>
      </c>
      <c r="H693" s="1823"/>
      <c r="I693" s="1823"/>
      <c r="J693" s="1823"/>
      <c r="K693" s="1823"/>
      <c r="L693" s="1823"/>
      <c r="M693" s="1823"/>
      <c r="N693" s="1823"/>
      <c r="O693" s="1823"/>
      <c r="P693" s="1823"/>
      <c r="Q693" s="1053"/>
      <c r="R693" s="1053"/>
      <c r="S693" s="1053"/>
      <c r="T693" s="2035">
        <f t="shared" si="127"/>
        <v>0</v>
      </c>
    </row>
    <row r="694" spans="1:20" ht="22.2" hidden="1" customHeight="1">
      <c r="A694" s="59"/>
      <c r="B694" s="1577" t="s">
        <v>1055</v>
      </c>
      <c r="C694" s="64" t="str">
        <f t="shared" si="128"/>
        <v xml:space="preserve"> </v>
      </c>
      <c r="D694" s="1545">
        <v>13.2</v>
      </c>
      <c r="E694" s="1044" t="str">
        <f>VLOOKUP($B694,DG!A:D,DG!$B$2,)</f>
        <v>03.3123</v>
      </c>
      <c r="F694" s="1049" t="str">
        <f>VLOOKUP($B694,DG!A:D,DG!C$2,)</f>
        <v>Đào rãnh tiếp địa đất cấp 3</v>
      </c>
      <c r="G694" s="1044" t="str">
        <f>VLOOKUP($B694,DG!A:D,DG!$D$2,)</f>
        <v>m3</v>
      </c>
      <c r="H694" s="1823"/>
      <c r="I694" s="1823"/>
      <c r="J694" s="1823"/>
      <c r="K694" s="1823"/>
      <c r="L694" s="1823"/>
      <c r="M694" s="1823"/>
      <c r="N694" s="1823"/>
      <c r="O694" s="1823"/>
      <c r="P694" s="1823"/>
      <c r="Q694" s="1058"/>
      <c r="R694" s="1058"/>
      <c r="S694" s="1058"/>
      <c r="T694" s="2035">
        <f t="shared" si="127"/>
        <v>0</v>
      </c>
    </row>
    <row r="695" spans="1:20" ht="22.2" hidden="1" customHeight="1">
      <c r="A695" s="59"/>
      <c r="B695" s="1577" t="s">
        <v>1056</v>
      </c>
      <c r="C695" s="64" t="str">
        <f t="shared" si="128"/>
        <v xml:space="preserve"> </v>
      </c>
      <c r="D695" s="1545">
        <f>D694</f>
        <v>13.2</v>
      </c>
      <c r="E695" s="1044" t="str">
        <f>VLOOKUP($B695,DG!A:D,DG!$B$2,)</f>
        <v>03.4123</v>
      </c>
      <c r="F695" s="1049" t="str">
        <f>VLOOKUP($B695,DG!A:D,DG!C$2,)</f>
        <v>Đắp đất rãnh tiếp độ chặt k=0,85</v>
      </c>
      <c r="G695" s="1044" t="str">
        <f>VLOOKUP($B695,DG!A:D,DG!$D$2,)</f>
        <v>m3</v>
      </c>
      <c r="H695" s="1823"/>
      <c r="I695" s="1823"/>
      <c r="J695" s="1823"/>
      <c r="K695" s="1823"/>
      <c r="L695" s="1823"/>
      <c r="M695" s="1823"/>
      <c r="N695" s="1823"/>
      <c r="O695" s="1823"/>
      <c r="P695" s="1823"/>
      <c r="Q695" s="1053"/>
      <c r="R695" s="1053"/>
      <c r="S695" s="1053"/>
      <c r="T695" s="2035">
        <f t="shared" si="127"/>
        <v>0</v>
      </c>
    </row>
    <row r="696" spans="1:20" ht="22.2" hidden="1" customHeight="1">
      <c r="A696" s="59"/>
      <c r="B696" s="1577" t="s">
        <v>1906</v>
      </c>
      <c r="C696" s="64" t="str">
        <f t="shared" si="128"/>
        <v xml:space="preserve"> </v>
      </c>
      <c r="D696" s="1533"/>
      <c r="E696" s="1044" t="str">
        <f>VLOOKUP($B696,DG!A:D,DG!$B$2,)</f>
        <v>02.1120</v>
      </c>
      <c r="F696" s="1049" t="str">
        <f>VLOOKUP($B696,DG!A:D,DG!C$2,)</f>
        <v>Bốc dỡ phụ kiện</v>
      </c>
      <c r="G696" s="1044" t="str">
        <f>VLOOKUP($B696,DG!A:D,DG!$D$2,)</f>
        <v>tấn</v>
      </c>
      <c r="H696" s="1823"/>
      <c r="I696" s="1823"/>
      <c r="J696" s="1823"/>
      <c r="K696" s="1823"/>
      <c r="L696" s="1823"/>
      <c r="M696" s="1823"/>
      <c r="N696" s="1823"/>
      <c r="O696" s="1823"/>
      <c r="P696" s="1823"/>
      <c r="Q696" s="1053"/>
      <c r="R696" s="1053"/>
      <c r="S696" s="1053"/>
      <c r="T696" s="2035">
        <f t="shared" si="127"/>
        <v>0</v>
      </c>
    </row>
    <row r="697" spans="1:20" ht="22.2" hidden="1" customHeight="1">
      <c r="A697" s="59"/>
      <c r="B697" s="1588" t="s">
        <v>1907</v>
      </c>
      <c r="C697" s="64" t="str">
        <f t="shared" si="128"/>
        <v xml:space="preserve"> </v>
      </c>
      <c r="D697" s="1533"/>
      <c r="E697" s="1044" t="str">
        <f>VLOOKUP($B697,DG!A:C,2,)</f>
        <v>02.1351</v>
      </c>
      <c r="F697" s="1049" t="str">
        <f>VLOOKUP($B697,DG!A:C,3,)</f>
        <v>V/c tiếp địa vào vị trí ( cự ly &lt;=100m)</v>
      </c>
      <c r="G697" s="1044" t="str">
        <f>VLOOKUP($B697,DG!A:D,4,0)</f>
        <v>tấn</v>
      </c>
      <c r="H697" s="1823"/>
      <c r="I697" s="1823"/>
      <c r="J697" s="1823"/>
      <c r="K697" s="1823"/>
      <c r="L697" s="1823"/>
      <c r="M697" s="1823"/>
      <c r="N697" s="1823"/>
      <c r="O697" s="1823"/>
      <c r="P697" s="1823"/>
      <c r="Q697" s="1058"/>
      <c r="R697" s="1058"/>
      <c r="S697" s="1058"/>
      <c r="T697" s="2035">
        <f t="shared" si="127"/>
        <v>0</v>
      </c>
    </row>
    <row r="698" spans="1:20" ht="22.2" hidden="1" customHeight="1">
      <c r="A698" s="1573"/>
      <c r="B698" s="1578"/>
      <c r="C698" s="1832" t="str">
        <f>IF(OR(H698&lt;&gt;0,P698&lt;&gt;0),"x"," ")</f>
        <v xml:space="preserve"> </v>
      </c>
      <c r="D698" s="1547">
        <f>SUM(H698:N698)+S698</f>
        <v>0</v>
      </c>
      <c r="E698" s="1046" t="s">
        <v>939</v>
      </c>
      <c r="F698" s="1043" t="s">
        <v>2295</v>
      </c>
      <c r="G698" s="1045"/>
      <c r="H698" s="1821">
        <f t="shared" ref="H698:H699" si="131">SUM(I698:O698)</f>
        <v>0</v>
      </c>
      <c r="I698" s="1816"/>
      <c r="J698" s="1816"/>
      <c r="K698" s="1822">
        <f>IFERROR(HLOOKUP(B698,pp3p1m!$1:$3,3,0),0)</f>
        <v>0</v>
      </c>
      <c r="L698" s="1822">
        <f>IFERROR(HLOOKUP(chitiet!B698,pp1p!$1:$3,3,0),0)</f>
        <v>0</v>
      </c>
      <c r="M698" s="1816"/>
      <c r="N698" s="1816"/>
      <c r="O698" s="1816"/>
      <c r="P698" s="1821">
        <f t="shared" ref="P698" si="132">SUM(Q698:W698)</f>
        <v>0</v>
      </c>
      <c r="Q698" s="1045"/>
      <c r="R698" s="1045"/>
      <c r="S698" s="1045"/>
      <c r="T698" s="2035">
        <f>IFERROR(HLOOKUP(B698,pp1p!$1:$3,3,0),0)+IFERROR(HLOOKUP(B698,pp3p1m!$1:$3,3,0),0)</f>
        <v>0</v>
      </c>
    </row>
    <row r="699" spans="1:20" ht="22.2" hidden="1" customHeight="1">
      <c r="A699" s="54" t="s">
        <v>954</v>
      </c>
      <c r="B699" s="1580" t="s">
        <v>954</v>
      </c>
      <c r="C699" s="1013" t="str">
        <f t="shared" si="128"/>
        <v xml:space="preserve"> </v>
      </c>
      <c r="D699" s="1532"/>
      <c r="E699" s="1045"/>
      <c r="F699" s="1392" t="s">
        <v>2404</v>
      </c>
      <c r="G699" s="1046" t="s">
        <v>2283</v>
      </c>
      <c r="H699" s="1821">
        <f t="shared" si="131"/>
        <v>0</v>
      </c>
      <c r="I699" s="1822"/>
      <c r="J699" s="1822"/>
      <c r="K699" s="1822">
        <f>IFERROR(HLOOKUP(B699,pp3p1m!$1:$3,3,0),0)</f>
        <v>0</v>
      </c>
      <c r="L699" s="1822">
        <f>IFERROR(HLOOKUP(chitiet!B699,pp1p!$1:$3,3,0),0)</f>
        <v>0</v>
      </c>
      <c r="M699" s="1822"/>
      <c r="N699" s="1822"/>
      <c r="O699" s="1822"/>
      <c r="P699" s="1822"/>
      <c r="Q699" s="1047"/>
      <c r="R699" s="1047"/>
      <c r="S699" s="1047"/>
      <c r="T699" s="2035">
        <f>IFERROR(HLOOKUP(B699,pp1p!$1:$3,3,0),0)+IFERROR(HLOOKUP(B699,pp3p1m!$1:$3,3,0),0)</f>
        <v>0</v>
      </c>
    </row>
    <row r="700" spans="1:20" ht="22.2" hidden="1" customHeight="1">
      <c r="A700" s="56"/>
      <c r="B700" s="1577" t="s">
        <v>441</v>
      </c>
      <c r="C700" s="1013" t="str">
        <f t="shared" si="128"/>
        <v xml:space="preserve"> </v>
      </c>
      <c r="D700" s="1535">
        <v>1</v>
      </c>
      <c r="E700" s="1044"/>
      <c r="F700" s="1056" t="str">
        <f>VLOOKUP($B700,DG!A:D,DG!$C$2,)</f>
        <v>Trụ thép tròn cao 6 mét</v>
      </c>
      <c r="G700" s="1044" t="str">
        <f>VLOOKUP($B700,DG!A:D,DG!$D$2,)</f>
        <v>trụ</v>
      </c>
      <c r="H700" s="1823">
        <f t="shared" ref="H700:N701" si="133">H$706*$D700</f>
        <v>0</v>
      </c>
      <c r="I700" s="1823">
        <f t="shared" si="133"/>
        <v>0</v>
      </c>
      <c r="J700" s="1823">
        <f t="shared" si="133"/>
        <v>0</v>
      </c>
      <c r="K700" s="1823">
        <f t="shared" si="133"/>
        <v>0</v>
      </c>
      <c r="L700" s="1823">
        <f t="shared" si="133"/>
        <v>0</v>
      </c>
      <c r="M700" s="1823">
        <f t="shared" si="133"/>
        <v>0</v>
      </c>
      <c r="N700" s="1823">
        <f t="shared" si="133"/>
        <v>0</v>
      </c>
      <c r="O700" s="1823"/>
      <c r="P700" s="1823"/>
      <c r="Q700" s="1053"/>
      <c r="R700" s="1053"/>
      <c r="S700" s="1053"/>
      <c r="T700" s="2035">
        <f t="shared" si="127"/>
        <v>0</v>
      </c>
    </row>
    <row r="701" spans="1:20" ht="22.2" hidden="1" customHeight="1">
      <c r="A701" s="56"/>
      <c r="B701" s="1577" t="s">
        <v>1818</v>
      </c>
      <c r="C701" s="1013" t="str">
        <f t="shared" si="128"/>
        <v xml:space="preserve"> </v>
      </c>
      <c r="D701" s="1535">
        <v>1</v>
      </c>
      <c r="E701" s="1044"/>
      <c r="F701" s="1056" t="str">
        <f>VLOOKUP($B701,DG!A:D,DG!$C$2,)</f>
        <v>Vật liệu dựng trụ</v>
      </c>
      <c r="G701" s="1044" t="str">
        <f>VLOOKUP($B701,DG!A:D,DG!$D$2,)</f>
        <v>trụ</v>
      </c>
      <c r="H701" s="1823">
        <f t="shared" si="133"/>
        <v>0</v>
      </c>
      <c r="I701" s="1823">
        <f t="shared" si="133"/>
        <v>0</v>
      </c>
      <c r="J701" s="1823">
        <f t="shared" si="133"/>
        <v>0</v>
      </c>
      <c r="K701" s="1823">
        <f t="shared" si="133"/>
        <v>0</v>
      </c>
      <c r="L701" s="1823">
        <f t="shared" si="133"/>
        <v>0</v>
      </c>
      <c r="M701" s="1823">
        <f t="shared" si="133"/>
        <v>0</v>
      </c>
      <c r="N701" s="1823">
        <f t="shared" si="133"/>
        <v>0</v>
      </c>
      <c r="O701" s="1823"/>
      <c r="P701" s="1823"/>
      <c r="Q701" s="1053"/>
      <c r="R701" s="1053"/>
      <c r="S701" s="1053"/>
      <c r="T701" s="2035">
        <f t="shared" si="127"/>
        <v>0</v>
      </c>
    </row>
    <row r="702" spans="1:20" ht="22.2" hidden="1" customHeight="1">
      <c r="A702" s="56"/>
      <c r="B702" s="1577" t="s">
        <v>1439</v>
      </c>
      <c r="C702" s="1013" t="str">
        <f t="shared" si="128"/>
        <v xml:space="preserve"> </v>
      </c>
      <c r="D702" s="1535">
        <v>1</v>
      </c>
      <c r="E702" s="1044" t="str">
        <f>VLOOKUP($B702,DG!A:D,DG!$B$2,)</f>
        <v>CS3.01.013</v>
      </c>
      <c r="F702" s="1049" t="str">
        <f>VLOOKUP($B702,DG!A:D,DG!$C$2,)</f>
        <v>Lắp trụ thép ≤ 8m bằng thủ công</v>
      </c>
      <c r="G702" s="1044" t="str">
        <f>VLOOKUP($B702,DG!A:D,DG!$D$2,)</f>
        <v>trụ</v>
      </c>
      <c r="H702" s="1823"/>
      <c r="I702" s="1823"/>
      <c r="J702" s="1823"/>
      <c r="K702" s="1823"/>
      <c r="L702" s="1823"/>
      <c r="M702" s="1823"/>
      <c r="N702" s="1823"/>
      <c r="O702" s="1823"/>
      <c r="P702" s="1823"/>
      <c r="Q702" s="1058"/>
      <c r="R702" s="1058"/>
      <c r="S702" s="1058"/>
      <c r="T702" s="2035">
        <f t="shared" si="127"/>
        <v>0</v>
      </c>
    </row>
    <row r="703" spans="1:20" ht="22.2" hidden="1" customHeight="1">
      <c r="A703" s="56"/>
      <c r="B703" s="1577" t="s">
        <v>1198</v>
      </c>
      <c r="C703" s="1013" t="str">
        <f t="shared" si="128"/>
        <v xml:space="preserve"> </v>
      </c>
      <c r="D703" s="1534">
        <v>0.2</v>
      </c>
      <c r="E703" s="1044" t="str">
        <f>VLOOKUP($B703,DG!A:D,DG!$B$2,)</f>
        <v>02.1124</v>
      </c>
      <c r="F703" s="1049" t="str">
        <f>VLOOKUP($B703,DG!A:D,DG!$C$2,)</f>
        <v xml:space="preserve">Bốc dỡ trụ </v>
      </c>
      <c r="G703" s="1044" t="str">
        <f>VLOOKUP($B703,DG!A:D,DG!$D$2,)</f>
        <v>tấn</v>
      </c>
      <c r="H703" s="1823"/>
      <c r="I703" s="1823"/>
      <c r="J703" s="1823"/>
      <c r="K703" s="1823"/>
      <c r="L703" s="1823"/>
      <c r="M703" s="1823"/>
      <c r="N703" s="1823"/>
      <c r="O703" s="1823"/>
      <c r="P703" s="1823"/>
      <c r="Q703" s="1058"/>
      <c r="R703" s="1058"/>
      <c r="S703" s="1058"/>
      <c r="T703" s="2035">
        <f t="shared" si="127"/>
        <v>0</v>
      </c>
    </row>
    <row r="704" spans="1:20" ht="22.2" hidden="1" customHeight="1">
      <c r="A704" s="56"/>
      <c r="B704" s="1588" t="s">
        <v>1199</v>
      </c>
      <c r="C704" s="1013" t="str">
        <f t="shared" si="128"/>
        <v xml:space="preserve"> </v>
      </c>
      <c r="D704" s="1534">
        <f>D703</f>
        <v>0.2</v>
      </c>
      <c r="E704" s="1044" t="str">
        <f>VLOOKUP($B704,DG!A:C,2,)</f>
        <v>02.1461</v>
      </c>
      <c r="F704" s="1049" t="str">
        <f>VLOOKUP($B704,DG!A:C,3,)</f>
        <v>V/c cột vào vị trí (cự ly &lt;=100m)</v>
      </c>
      <c r="G704" s="1044" t="str">
        <f>VLOOKUP($B704,DG!A:D,4,0)</f>
        <v>tấn</v>
      </c>
      <c r="H704" s="1823"/>
      <c r="I704" s="1823"/>
      <c r="J704" s="1823"/>
      <c r="K704" s="1823"/>
      <c r="L704" s="1823"/>
      <c r="M704" s="1823"/>
      <c r="N704" s="1823"/>
      <c r="O704" s="1823"/>
      <c r="P704" s="1823"/>
      <c r="Q704" s="1058"/>
      <c r="R704" s="1058"/>
      <c r="S704" s="1058"/>
      <c r="T704" s="2035">
        <f t="shared" si="127"/>
        <v>0</v>
      </c>
    </row>
    <row r="705" spans="1:20" ht="22.2" hidden="1" customHeight="1">
      <c r="A705" s="56"/>
      <c r="B705" s="1588" t="s">
        <v>635</v>
      </c>
      <c r="C705" s="1013" t="str">
        <f t="shared" si="128"/>
        <v xml:space="preserve"> </v>
      </c>
      <c r="D705" s="1534">
        <v>0.25</v>
      </c>
      <c r="E705" s="1044" t="str">
        <f>VLOOKUP($B705,DG!A:C,2,)</f>
        <v>02.1482</v>
      </c>
      <c r="F705" s="1049" t="str">
        <f>VLOOKUP($B705,DG!A:C,3,)</f>
        <v>V/c dụng cụ thi công vào vị trí (cự ly &lt;=100m)</v>
      </c>
      <c r="G705" s="1044" t="str">
        <f>VLOOKUP($B705,DG!A:D,4,0)</f>
        <v>tấn</v>
      </c>
      <c r="H705" s="1823"/>
      <c r="I705" s="1823"/>
      <c r="J705" s="1823"/>
      <c r="K705" s="1823"/>
      <c r="L705" s="1823"/>
      <c r="M705" s="1823"/>
      <c r="N705" s="1823"/>
      <c r="O705" s="1823"/>
      <c r="P705" s="1823"/>
      <c r="Q705" s="1058"/>
      <c r="R705" s="1058"/>
      <c r="S705" s="1058"/>
      <c r="T705" s="2035">
        <f t="shared" si="127"/>
        <v>0</v>
      </c>
    </row>
    <row r="706" spans="1:20" ht="22.2" hidden="1" customHeight="1">
      <c r="A706" s="966" t="s">
        <v>233</v>
      </c>
      <c r="B706" s="1580" t="s">
        <v>233</v>
      </c>
      <c r="C706" s="1013" t="str">
        <f t="shared" si="128"/>
        <v xml:space="preserve"> </v>
      </c>
      <c r="D706" s="1532"/>
      <c r="E706" s="1045"/>
      <c r="F706" s="1392" t="s">
        <v>2405</v>
      </c>
      <c r="G706" s="1046" t="s">
        <v>2283</v>
      </c>
      <c r="H706" s="1821">
        <f>SUM(I706:O706)</f>
        <v>0</v>
      </c>
      <c r="I706" s="1822"/>
      <c r="J706" s="1822"/>
      <c r="K706" s="1822">
        <f>IFERROR(HLOOKUP(B706,pp3p1m!$1:$3,3,0),0)</f>
        <v>0</v>
      </c>
      <c r="L706" s="1822">
        <f>IFERROR(HLOOKUP(chitiet!B706,pp1p!$1:$3,3,0),0)</f>
        <v>0</v>
      </c>
      <c r="M706" s="1822"/>
      <c r="N706" s="1822"/>
      <c r="O706" s="1822"/>
      <c r="P706" s="1822">
        <f>H706+Q706-R706</f>
        <v>0</v>
      </c>
      <c r="Q706" s="1047"/>
      <c r="R706" s="1047"/>
      <c r="S706" s="1047"/>
      <c r="T706" s="2035">
        <f>IFERROR(HLOOKUP(B706,pp1p!$1:$3,3,0),0)+IFERROR(HLOOKUP(B706,pp3p1m!$1:$3,3,0),0)</f>
        <v>0</v>
      </c>
    </row>
    <row r="707" spans="1:20" ht="22.2" hidden="1" customHeight="1">
      <c r="A707" s="59"/>
      <c r="B707" s="1577" t="s">
        <v>1536</v>
      </c>
      <c r="C707" s="1013" t="str">
        <f t="shared" si="128"/>
        <v xml:space="preserve"> </v>
      </c>
      <c r="D707" s="1535">
        <v>1</v>
      </c>
      <c r="E707" s="1044"/>
      <c r="F707" s="1056" t="str">
        <f>VLOOKUP($B707,DG!A:D,DG!$C$2,)</f>
        <v>Trụ BTLT 7,5m F200 dự ứng lực</v>
      </c>
      <c r="G707" s="1044" t="str">
        <f>VLOOKUP($B707,DG!A:D,DG!$D$2,)</f>
        <v>trụ</v>
      </c>
      <c r="H707" s="1823">
        <f t="shared" ref="H707:O708" si="134">H$706*$D707</f>
        <v>0</v>
      </c>
      <c r="I707" s="1823">
        <f t="shared" si="134"/>
        <v>0</v>
      </c>
      <c r="J707" s="1823">
        <f t="shared" si="134"/>
        <v>0</v>
      </c>
      <c r="K707" s="1823">
        <f t="shared" si="134"/>
        <v>0</v>
      </c>
      <c r="L707" s="1823">
        <f t="shared" si="134"/>
        <v>0</v>
      </c>
      <c r="M707" s="1823">
        <f t="shared" si="134"/>
        <v>0</v>
      </c>
      <c r="N707" s="1823">
        <f t="shared" si="134"/>
        <v>0</v>
      </c>
      <c r="O707" s="1823">
        <f t="shared" si="134"/>
        <v>0</v>
      </c>
      <c r="P707" s="1824">
        <f>$P$706*D707</f>
        <v>0</v>
      </c>
      <c r="Q707" s="1053"/>
      <c r="R707" s="1053"/>
      <c r="S707" s="1053"/>
      <c r="T707" s="2035">
        <f t="shared" si="127"/>
        <v>0</v>
      </c>
    </row>
    <row r="708" spans="1:20" ht="22.2" hidden="1" customHeight="1">
      <c r="A708" s="59"/>
      <c r="B708" s="1577" t="s">
        <v>1818</v>
      </c>
      <c r="C708" s="1013" t="str">
        <f t="shared" si="128"/>
        <v xml:space="preserve"> </v>
      </c>
      <c r="D708" s="1535">
        <v>1</v>
      </c>
      <c r="E708" s="1044"/>
      <c r="F708" s="1056" t="str">
        <f>VLOOKUP($B708,DG!A:D,DG!$C$2,)</f>
        <v>Vật liệu dựng trụ</v>
      </c>
      <c r="G708" s="1044" t="str">
        <f>VLOOKUP($B708,DG!A:D,DG!$D$2,)</f>
        <v>trụ</v>
      </c>
      <c r="H708" s="1823">
        <f t="shared" si="134"/>
        <v>0</v>
      </c>
      <c r="I708" s="1823">
        <f t="shared" si="134"/>
        <v>0</v>
      </c>
      <c r="J708" s="1823">
        <f t="shared" si="134"/>
        <v>0</v>
      </c>
      <c r="K708" s="1823">
        <f t="shared" si="134"/>
        <v>0</v>
      </c>
      <c r="L708" s="1823">
        <f t="shared" si="134"/>
        <v>0</v>
      </c>
      <c r="M708" s="1823">
        <f t="shared" si="134"/>
        <v>0</v>
      </c>
      <c r="N708" s="1823">
        <f t="shared" si="134"/>
        <v>0</v>
      </c>
      <c r="O708" s="1823">
        <f t="shared" si="134"/>
        <v>0</v>
      </c>
      <c r="P708" s="1824">
        <f>$P$706*D708</f>
        <v>0</v>
      </c>
      <c r="Q708" s="1053"/>
      <c r="R708" s="1053"/>
      <c r="S708" s="1053"/>
      <c r="T708" s="2035">
        <f t="shared" si="127"/>
        <v>0</v>
      </c>
    </row>
    <row r="709" spans="1:20" ht="22.2" hidden="1" customHeight="1">
      <c r="A709" s="59"/>
      <c r="B709" s="1577" t="s">
        <v>1602</v>
      </c>
      <c r="C709" s="1013" t="str">
        <f t="shared" si="128"/>
        <v xml:space="preserve"> </v>
      </c>
      <c r="D709" s="1535">
        <v>1</v>
      </c>
      <c r="E709" s="1044" t="str">
        <f>VLOOKUP($B709,DG!A:D,DG!$B$2,)</f>
        <v>05.5202</v>
      </c>
      <c r="F709" s="1056" t="str">
        <f>VLOOKUP($B709,DG!A:D,DG!$C$2,)</f>
        <v>Dựng trụ BTLT &lt;8m thủ công +cơ giới</v>
      </c>
      <c r="G709" s="1044" t="str">
        <f>VLOOKUP($B709,DG!A:D,DG!$D$2,)</f>
        <v>trụ</v>
      </c>
      <c r="H709" s="1823">
        <f>H$706*$D709</f>
        <v>0</v>
      </c>
      <c r="I709" s="1823"/>
      <c r="J709" s="1823"/>
      <c r="K709" s="1823"/>
      <c r="L709" s="1823"/>
      <c r="M709" s="1823"/>
      <c r="N709" s="1823"/>
      <c r="O709" s="1823"/>
      <c r="P709" s="1824">
        <f>$P$706*D709</f>
        <v>0</v>
      </c>
      <c r="Q709" s="1053"/>
      <c r="R709" s="1053"/>
      <c r="S709" s="1053"/>
      <c r="T709" s="2035">
        <f t="shared" si="127"/>
        <v>0</v>
      </c>
    </row>
    <row r="710" spans="1:20" ht="22.2" hidden="1" customHeight="1">
      <c r="A710" s="59"/>
      <c r="B710" s="1577" t="s">
        <v>1198</v>
      </c>
      <c r="C710" s="1013" t="str">
        <f t="shared" si="128"/>
        <v xml:space="preserve"> </v>
      </c>
      <c r="D710" s="1534"/>
      <c r="E710" s="1044" t="str">
        <f>VLOOKUP($B710,DG!A:D,DG!$B$2,)</f>
        <v>02.1124</v>
      </c>
      <c r="F710" s="1049" t="str">
        <f>VLOOKUP($B710,DG!A:D,DG!$C$2,)</f>
        <v xml:space="preserve">Bốc dỡ trụ </v>
      </c>
      <c r="G710" s="1044" t="str">
        <f>VLOOKUP($B710,DG!A:D,DG!$D$2,)</f>
        <v>tấn</v>
      </c>
      <c r="H710" s="1823"/>
      <c r="I710" s="1823"/>
      <c r="J710" s="1823"/>
      <c r="K710" s="1823"/>
      <c r="L710" s="1823"/>
      <c r="M710" s="1823"/>
      <c r="N710" s="1823"/>
      <c r="O710" s="1823"/>
      <c r="P710" s="1823"/>
      <c r="Q710" s="1058"/>
      <c r="R710" s="1058"/>
      <c r="S710" s="1058"/>
      <c r="T710" s="2035">
        <f t="shared" si="127"/>
        <v>0</v>
      </c>
    </row>
    <row r="711" spans="1:20" ht="22.2" hidden="1" customHeight="1">
      <c r="A711" s="59"/>
      <c r="B711" s="1588" t="s">
        <v>1199</v>
      </c>
      <c r="C711" s="1013" t="str">
        <f t="shared" si="128"/>
        <v xml:space="preserve"> </v>
      </c>
      <c r="D711" s="1534"/>
      <c r="E711" s="1044" t="str">
        <f>VLOOKUP($B711,DG!A:C,2,)</f>
        <v>02.1461</v>
      </c>
      <c r="F711" s="1049" t="str">
        <f>VLOOKUP($B711,DG!A:C,3,)</f>
        <v>V/c cột vào vị trí (cự ly &lt;=100m)</v>
      </c>
      <c r="G711" s="1044" t="str">
        <f>VLOOKUP($B711,DG!A:D,4,0)</f>
        <v>tấn</v>
      </c>
      <c r="H711" s="1823"/>
      <c r="I711" s="1823"/>
      <c r="J711" s="1823"/>
      <c r="K711" s="1823"/>
      <c r="L711" s="1823"/>
      <c r="M711" s="1823"/>
      <c r="N711" s="1823"/>
      <c r="O711" s="1823"/>
      <c r="P711" s="1823"/>
      <c r="Q711" s="1058"/>
      <c r="R711" s="1058"/>
      <c r="S711" s="1058"/>
      <c r="T711" s="2035">
        <f t="shared" si="127"/>
        <v>0</v>
      </c>
    </row>
    <row r="712" spans="1:20" ht="22.2" hidden="1" customHeight="1">
      <c r="A712" s="59"/>
      <c r="B712" s="1588" t="s">
        <v>635</v>
      </c>
      <c r="C712" s="1013" t="str">
        <f t="shared" si="128"/>
        <v xml:space="preserve"> </v>
      </c>
      <c r="D712" s="1534"/>
      <c r="E712" s="1044" t="str">
        <f>VLOOKUP($B712,DG!A:C,2,)</f>
        <v>02.1482</v>
      </c>
      <c r="F712" s="1049" t="str">
        <f>VLOOKUP($B712,DG!A:C,3,)</f>
        <v>V/c dụng cụ thi công vào vị trí (cự ly &lt;=100m)</v>
      </c>
      <c r="G712" s="1044" t="str">
        <f>VLOOKUP($B712,DG!A:D,4,0)</f>
        <v>tấn</v>
      </c>
      <c r="H712" s="1823"/>
      <c r="I712" s="1823"/>
      <c r="J712" s="1823"/>
      <c r="K712" s="1823"/>
      <c r="L712" s="1823"/>
      <c r="M712" s="1823"/>
      <c r="N712" s="1823"/>
      <c r="O712" s="1823"/>
      <c r="P712" s="1823"/>
      <c r="Q712" s="1058"/>
      <c r="R712" s="1058"/>
      <c r="S712" s="1058"/>
      <c r="T712" s="2035">
        <f t="shared" si="127"/>
        <v>0</v>
      </c>
    </row>
    <row r="713" spans="1:20" ht="22.2" hidden="1" customHeight="1">
      <c r="A713" s="966" t="s">
        <v>232</v>
      </c>
      <c r="B713" s="1580" t="s">
        <v>232</v>
      </c>
      <c r="C713" s="1013" t="str">
        <f t="shared" si="128"/>
        <v xml:space="preserve"> </v>
      </c>
      <c r="D713" s="1532"/>
      <c r="E713" s="1045"/>
      <c r="F713" s="1392" t="s">
        <v>4579</v>
      </c>
      <c r="G713" s="1046" t="s">
        <v>2283</v>
      </c>
      <c r="H713" s="1821">
        <f>SUM(I713:O713)</f>
        <v>0</v>
      </c>
      <c r="I713" s="1822"/>
      <c r="J713" s="1822"/>
      <c r="K713" s="1822">
        <f>IFERROR(HLOOKUP(B713,pp3p1m!$1:$3,3,0),0)</f>
        <v>0</v>
      </c>
      <c r="L713" s="1822">
        <f>IFERROR(HLOOKUP(chitiet!B713,pp1p!$1:$3,3,0),0)</f>
        <v>0</v>
      </c>
      <c r="M713" s="1822"/>
      <c r="N713" s="1822"/>
      <c r="O713" s="1822"/>
      <c r="P713" s="1822">
        <f>H713+Q713-R713</f>
        <v>0</v>
      </c>
      <c r="Q713" s="1047"/>
      <c r="R713" s="1047"/>
      <c r="S713" s="1047"/>
      <c r="T713" s="2035">
        <f>IFERROR(HLOOKUP(B713,pp1p!$1:$3,3,0),0)+IFERROR(HLOOKUP(B713,pp3p1m!$1:$3,3,0),0)</f>
        <v>0</v>
      </c>
    </row>
    <row r="714" spans="1:20" ht="22.2" hidden="1" customHeight="1">
      <c r="A714" s="59"/>
      <c r="B714" s="1577" t="s">
        <v>874</v>
      </c>
      <c r="C714" s="1013" t="str">
        <f t="shared" si="128"/>
        <v xml:space="preserve"> </v>
      </c>
      <c r="D714" s="1535">
        <v>1</v>
      </c>
      <c r="E714" s="1044"/>
      <c r="F714" s="1056" t="str">
        <f>VLOOKUP($B714,DG!A:D,DG!$C$2,)</f>
        <v>Trụ BTLT 8,4m F200 dự ứng lực</v>
      </c>
      <c r="G714" s="1044" t="str">
        <f>VLOOKUP($B714,DG!A:D,DG!$D$2,)</f>
        <v>trụ</v>
      </c>
      <c r="H714" s="1823">
        <f t="shared" ref="H714:O715" si="135">H$713*$D714</f>
        <v>0</v>
      </c>
      <c r="I714" s="1823">
        <f t="shared" si="135"/>
        <v>0</v>
      </c>
      <c r="J714" s="1823">
        <f t="shared" si="135"/>
        <v>0</v>
      </c>
      <c r="K714" s="1823">
        <f t="shared" si="135"/>
        <v>0</v>
      </c>
      <c r="L714" s="1823">
        <f t="shared" si="135"/>
        <v>0</v>
      </c>
      <c r="M714" s="1823">
        <f t="shared" si="135"/>
        <v>0</v>
      </c>
      <c r="N714" s="1823">
        <f t="shared" si="135"/>
        <v>0</v>
      </c>
      <c r="O714" s="1823">
        <f t="shared" si="135"/>
        <v>0</v>
      </c>
      <c r="P714" s="1823">
        <f>$P$713*D714</f>
        <v>0</v>
      </c>
      <c r="Q714" s="1053"/>
      <c r="R714" s="1053"/>
      <c r="S714" s="1053"/>
      <c r="T714" s="2035">
        <f t="shared" si="127"/>
        <v>0</v>
      </c>
    </row>
    <row r="715" spans="1:20" ht="22.2" hidden="1" customHeight="1">
      <c r="A715" s="59"/>
      <c r="B715" s="1577" t="s">
        <v>1818</v>
      </c>
      <c r="C715" s="1013" t="str">
        <f t="shared" si="128"/>
        <v xml:space="preserve"> </v>
      </c>
      <c r="D715" s="1535">
        <v>1</v>
      </c>
      <c r="E715" s="1044"/>
      <c r="F715" s="1056" t="str">
        <f>VLOOKUP($B715,DG!A:D,DG!$C$2,)</f>
        <v>Vật liệu dựng trụ</v>
      </c>
      <c r="G715" s="1044" t="str">
        <f>VLOOKUP($B715,DG!A:D,DG!$D$2,)</f>
        <v>trụ</v>
      </c>
      <c r="H715" s="1823">
        <f t="shared" si="135"/>
        <v>0</v>
      </c>
      <c r="I715" s="1823">
        <f t="shared" si="135"/>
        <v>0</v>
      </c>
      <c r="J715" s="1823">
        <f t="shared" si="135"/>
        <v>0</v>
      </c>
      <c r="K715" s="1823">
        <f t="shared" si="135"/>
        <v>0</v>
      </c>
      <c r="L715" s="1823">
        <f t="shared" si="135"/>
        <v>0</v>
      </c>
      <c r="M715" s="1823">
        <f t="shared" si="135"/>
        <v>0</v>
      </c>
      <c r="N715" s="1823">
        <f t="shared" si="135"/>
        <v>0</v>
      </c>
      <c r="O715" s="1823">
        <f t="shared" si="135"/>
        <v>0</v>
      </c>
      <c r="P715" s="1823">
        <f>$P$713*D715</f>
        <v>0</v>
      </c>
      <c r="Q715" s="1053"/>
      <c r="R715" s="1053"/>
      <c r="S715" s="1053"/>
      <c r="T715" s="2035">
        <f t="shared" si="127"/>
        <v>0</v>
      </c>
    </row>
    <row r="716" spans="1:20" ht="22.2" hidden="1" customHeight="1">
      <c r="A716" s="59"/>
      <c r="B716" s="1577" t="s">
        <v>2258</v>
      </c>
      <c r="C716" s="1013" t="str">
        <f t="shared" si="128"/>
        <v xml:space="preserve"> </v>
      </c>
      <c r="D716" s="1535">
        <v>1</v>
      </c>
      <c r="E716" s="1044" t="str">
        <f>VLOOKUP($B716,DG!A:D,DG!$B$2,)</f>
        <v>05.5302</v>
      </c>
      <c r="F716" s="1056" t="str">
        <f>VLOOKUP($B716,DG!A:D,DG!$C$2,)</f>
        <v>Dựng trụ BTLT &lt;10m thủ công +cơ giới</v>
      </c>
      <c r="G716" s="1044" t="str">
        <f>VLOOKUP($B716,DG!A:D,DG!$D$2,)</f>
        <v>trụ</v>
      </c>
      <c r="H716" s="1823">
        <f>H$713*$D716</f>
        <v>0</v>
      </c>
      <c r="I716" s="1823"/>
      <c r="J716" s="1823"/>
      <c r="K716" s="1823"/>
      <c r="L716" s="1823"/>
      <c r="M716" s="1823"/>
      <c r="N716" s="1823"/>
      <c r="O716" s="1823"/>
      <c r="P716" s="1823">
        <f>$P$713*D716</f>
        <v>0</v>
      </c>
      <c r="Q716" s="1058"/>
      <c r="R716" s="1058"/>
      <c r="S716" s="1058"/>
      <c r="T716" s="2035">
        <f t="shared" si="127"/>
        <v>0</v>
      </c>
    </row>
    <row r="717" spans="1:20" ht="22.2" hidden="1" customHeight="1">
      <c r="A717" s="59"/>
      <c r="B717" s="1577" t="s">
        <v>1198</v>
      </c>
      <c r="C717" s="1013" t="str">
        <f t="shared" si="128"/>
        <v xml:space="preserve"> </v>
      </c>
      <c r="D717" s="1534"/>
      <c r="E717" s="1044" t="str">
        <f>VLOOKUP($B717,DG!A:D,DG!$B$2,)</f>
        <v>02.1124</v>
      </c>
      <c r="F717" s="1049" t="str">
        <f>VLOOKUP($B717,DG!A:D,DG!$C$2,)</f>
        <v xml:space="preserve">Bốc dỡ trụ </v>
      </c>
      <c r="G717" s="1044" t="str">
        <f>VLOOKUP($B717,DG!A:D,DG!$D$2,)</f>
        <v>tấn</v>
      </c>
      <c r="H717" s="1823"/>
      <c r="I717" s="1823"/>
      <c r="J717" s="1823"/>
      <c r="K717" s="1823"/>
      <c r="L717" s="1823"/>
      <c r="M717" s="1823"/>
      <c r="N717" s="1823"/>
      <c r="O717" s="1823"/>
      <c r="P717" s="1823"/>
      <c r="Q717" s="1058"/>
      <c r="R717" s="1058"/>
      <c r="S717" s="1058"/>
      <c r="T717" s="2035">
        <f t="shared" si="127"/>
        <v>0</v>
      </c>
    </row>
    <row r="718" spans="1:20" ht="22.2" hidden="1" customHeight="1">
      <c r="A718" s="59"/>
      <c r="B718" s="1588" t="s">
        <v>1199</v>
      </c>
      <c r="C718" s="1013" t="str">
        <f t="shared" si="128"/>
        <v xml:space="preserve"> </v>
      </c>
      <c r="D718" s="1534"/>
      <c r="E718" s="1044" t="str">
        <f>VLOOKUP($B718,DG!A:C,2,)</f>
        <v>02.1461</v>
      </c>
      <c r="F718" s="1049" t="str">
        <f>VLOOKUP($B718,DG!A:C,3,)</f>
        <v>V/c cột vào vị trí (cự ly &lt;=100m)</v>
      </c>
      <c r="G718" s="1044" t="str">
        <f>VLOOKUP($B718,DG!A:D,4,0)</f>
        <v>tấn</v>
      </c>
      <c r="H718" s="1823"/>
      <c r="I718" s="1823"/>
      <c r="J718" s="1823"/>
      <c r="K718" s="1823"/>
      <c r="L718" s="1823"/>
      <c r="M718" s="1823"/>
      <c r="N718" s="1823"/>
      <c r="O718" s="1823"/>
      <c r="P718" s="1823"/>
      <c r="Q718" s="1058"/>
      <c r="R718" s="1058"/>
      <c r="S718" s="1058"/>
      <c r="T718" s="2035">
        <f t="shared" si="127"/>
        <v>0</v>
      </c>
    </row>
    <row r="719" spans="1:20" ht="22.2" hidden="1" customHeight="1">
      <c r="A719" s="59"/>
      <c r="B719" s="1588" t="s">
        <v>635</v>
      </c>
      <c r="C719" s="1013" t="str">
        <f t="shared" si="128"/>
        <v xml:space="preserve"> </v>
      </c>
      <c r="D719" s="1534"/>
      <c r="E719" s="1044" t="str">
        <f>VLOOKUP($B719,DG!A:C,2,)</f>
        <v>02.1482</v>
      </c>
      <c r="F719" s="1049" t="str">
        <f>VLOOKUP($B719,DG!A:C,3,)</f>
        <v>V/c dụng cụ thi công vào vị trí (cự ly &lt;=100m)</v>
      </c>
      <c r="G719" s="1044" t="str">
        <f>VLOOKUP($B719,DG!A:D,4,0)</f>
        <v>tấn</v>
      </c>
      <c r="H719" s="1823"/>
      <c r="I719" s="1823"/>
      <c r="J719" s="1823"/>
      <c r="K719" s="1823"/>
      <c r="L719" s="1823"/>
      <c r="M719" s="1823"/>
      <c r="N719" s="1823"/>
      <c r="O719" s="1823"/>
      <c r="P719" s="1823"/>
      <c r="Q719" s="1058"/>
      <c r="R719" s="1058"/>
      <c r="S719" s="1058"/>
      <c r="T719" s="2035">
        <f t="shared" si="127"/>
        <v>0</v>
      </c>
    </row>
    <row r="720" spans="1:20" ht="22.2" hidden="1" customHeight="1">
      <c r="A720" s="966" t="s">
        <v>185</v>
      </c>
      <c r="B720" s="1580" t="s">
        <v>185</v>
      </c>
      <c r="C720" s="1013" t="str">
        <f t="shared" si="128"/>
        <v xml:space="preserve"> </v>
      </c>
      <c r="D720" s="1532"/>
      <c r="E720" s="1045"/>
      <c r="F720" s="1392" t="s">
        <v>2407</v>
      </c>
      <c r="G720" s="1046" t="s">
        <v>2283</v>
      </c>
      <c r="H720" s="1821">
        <f>SUM(I720:O720)</f>
        <v>0</v>
      </c>
      <c r="I720" s="1822"/>
      <c r="J720" s="1822"/>
      <c r="K720" s="1822">
        <f>IFERROR(HLOOKUP(B720,pp3p1m!$1:$3,3,0),0)</f>
        <v>0</v>
      </c>
      <c r="L720" s="1822">
        <f>IFERROR(HLOOKUP(chitiet!B720,pp1p!$1:$3,3,0),0)</f>
        <v>0</v>
      </c>
      <c r="M720" s="1822"/>
      <c r="N720" s="1822"/>
      <c r="O720" s="1822"/>
      <c r="P720" s="1822"/>
      <c r="Q720" s="1047"/>
      <c r="R720" s="1047"/>
      <c r="S720" s="1047"/>
      <c r="T720" s="2035">
        <f>IFERROR(HLOOKUP(B720,pp1p!$1:$3,3,0),0)+IFERROR(HLOOKUP(B720,pp3p1m!$1:$3,3,0),0)</f>
        <v>0</v>
      </c>
    </row>
    <row r="721" spans="1:20" ht="22.2" hidden="1" customHeight="1">
      <c r="A721" s="59"/>
      <c r="B721" s="1577" t="s">
        <v>186</v>
      </c>
      <c r="C721" s="1013" t="str">
        <f t="shared" si="128"/>
        <v xml:space="preserve"> </v>
      </c>
      <c r="D721" s="1535">
        <v>1</v>
      </c>
      <c r="E721" s="1044"/>
      <c r="F721" s="1056" t="str">
        <f>VLOOKUP($B721,DG!A:D,DG!$C$2,)</f>
        <v>Trụ BTLT 8,4m F200 dự ứng lực có dây tiếp địa</v>
      </c>
      <c r="G721" s="1044" t="str">
        <f>VLOOKUP($B721,DG!A:D,DG!$D$2,)</f>
        <v>trụ</v>
      </c>
      <c r="H721" s="1823">
        <f>H720*$D721</f>
        <v>0</v>
      </c>
      <c r="I721" s="1823">
        <f t="shared" ref="I721:O722" si="136">I$713*$D721</f>
        <v>0</v>
      </c>
      <c r="J721" s="1823">
        <f t="shared" si="136"/>
        <v>0</v>
      </c>
      <c r="K721" s="1823">
        <f t="shared" si="136"/>
        <v>0</v>
      </c>
      <c r="L721" s="1823">
        <f t="shared" si="136"/>
        <v>0</v>
      </c>
      <c r="M721" s="1823">
        <f t="shared" si="136"/>
        <v>0</v>
      </c>
      <c r="N721" s="1823">
        <f t="shared" si="136"/>
        <v>0</v>
      </c>
      <c r="O721" s="1823">
        <f t="shared" si="136"/>
        <v>0</v>
      </c>
      <c r="P721" s="1823"/>
      <c r="Q721" s="1053"/>
      <c r="R721" s="1053"/>
      <c r="S721" s="1053"/>
      <c r="T721" s="2035">
        <f t="shared" si="127"/>
        <v>0</v>
      </c>
    </row>
    <row r="722" spans="1:20" ht="22.2" hidden="1" customHeight="1">
      <c r="A722" s="59"/>
      <c r="B722" s="1577" t="s">
        <v>1818</v>
      </c>
      <c r="C722" s="1013" t="str">
        <f t="shared" si="128"/>
        <v xml:space="preserve"> </v>
      </c>
      <c r="D722" s="1535">
        <v>1</v>
      </c>
      <c r="E722" s="1044"/>
      <c r="F722" s="1056" t="str">
        <f>VLOOKUP($B722,DG!A:D,DG!$C$2,)</f>
        <v>Vật liệu dựng trụ</v>
      </c>
      <c r="G722" s="1044" t="str">
        <f>VLOOKUP($B722,DG!A:D,DG!$D$2,)</f>
        <v>trụ</v>
      </c>
      <c r="H722" s="1823">
        <f>H721*$D722</f>
        <v>0</v>
      </c>
      <c r="I722" s="1823">
        <f t="shared" si="136"/>
        <v>0</v>
      </c>
      <c r="J722" s="1823">
        <f t="shared" si="136"/>
        <v>0</v>
      </c>
      <c r="K722" s="1823">
        <f t="shared" si="136"/>
        <v>0</v>
      </c>
      <c r="L722" s="1823">
        <f t="shared" si="136"/>
        <v>0</v>
      </c>
      <c r="M722" s="1823">
        <f t="shared" si="136"/>
        <v>0</v>
      </c>
      <c r="N722" s="1823">
        <f t="shared" si="136"/>
        <v>0</v>
      </c>
      <c r="O722" s="1823">
        <f t="shared" si="136"/>
        <v>0</v>
      </c>
      <c r="P722" s="1823"/>
      <c r="Q722" s="1053"/>
      <c r="R722" s="1053"/>
      <c r="S722" s="1053"/>
      <c r="T722" s="2035">
        <f t="shared" si="127"/>
        <v>0</v>
      </c>
    </row>
    <row r="723" spans="1:20" ht="22.2" hidden="1" customHeight="1">
      <c r="A723" s="59"/>
      <c r="B723" s="1577" t="s">
        <v>2258</v>
      </c>
      <c r="C723" s="1013" t="str">
        <f t="shared" si="128"/>
        <v xml:space="preserve"> </v>
      </c>
      <c r="D723" s="1535">
        <v>1</v>
      </c>
      <c r="E723" s="1044" t="str">
        <f>VLOOKUP($B723,DG!A:D,DG!$B$2,)</f>
        <v>05.5302</v>
      </c>
      <c r="F723" s="1056" t="str">
        <f>VLOOKUP($B723,DG!A:D,DG!$C$2,)</f>
        <v>Dựng trụ BTLT &lt;10m thủ công +cơ giới</v>
      </c>
      <c r="G723" s="1044" t="str">
        <f>VLOOKUP($B723,DG!A:D,DG!$D$2,)</f>
        <v>trụ</v>
      </c>
      <c r="H723" s="1823">
        <f>H722*$D723</f>
        <v>0</v>
      </c>
      <c r="I723" s="1823"/>
      <c r="J723" s="1823"/>
      <c r="K723" s="1823"/>
      <c r="L723" s="1823"/>
      <c r="M723" s="1823"/>
      <c r="N723" s="1823"/>
      <c r="O723" s="1823"/>
      <c r="P723" s="1823"/>
      <c r="Q723" s="1058"/>
      <c r="R723" s="1058"/>
      <c r="S723" s="1058"/>
      <c r="T723" s="2035">
        <f t="shared" si="127"/>
        <v>0</v>
      </c>
    </row>
    <row r="724" spans="1:20" ht="22.2" hidden="1" customHeight="1">
      <c r="A724" s="59"/>
      <c r="B724" s="1577" t="s">
        <v>1198</v>
      </c>
      <c r="C724" s="1013" t="str">
        <f t="shared" si="128"/>
        <v xml:space="preserve"> </v>
      </c>
      <c r="D724" s="1534"/>
      <c r="E724" s="1044" t="str">
        <f>VLOOKUP($B724,DG!A:D,DG!$B$2,)</f>
        <v>02.1124</v>
      </c>
      <c r="F724" s="1049" t="str">
        <f>VLOOKUP($B724,DG!A:D,DG!$C$2,)</f>
        <v xml:space="preserve">Bốc dỡ trụ </v>
      </c>
      <c r="G724" s="1044" t="str">
        <f>VLOOKUP($B724,DG!A:D,DG!$D$2,)</f>
        <v>tấn</v>
      </c>
      <c r="H724" s="1823"/>
      <c r="I724" s="1823"/>
      <c r="J724" s="1823"/>
      <c r="K724" s="1823"/>
      <c r="L724" s="1823"/>
      <c r="M724" s="1823"/>
      <c r="N724" s="1823"/>
      <c r="O724" s="1823"/>
      <c r="P724" s="1823"/>
      <c r="Q724" s="1058"/>
      <c r="R724" s="1058"/>
      <c r="S724" s="1058"/>
      <c r="T724" s="2035">
        <f t="shared" si="127"/>
        <v>0</v>
      </c>
    </row>
    <row r="725" spans="1:20" ht="22.2" hidden="1" customHeight="1">
      <c r="A725" s="59"/>
      <c r="B725" s="1588" t="s">
        <v>1199</v>
      </c>
      <c r="C725" s="1013" t="str">
        <f t="shared" si="128"/>
        <v xml:space="preserve"> </v>
      </c>
      <c r="D725" s="1534"/>
      <c r="E725" s="1044" t="str">
        <f>VLOOKUP($B725,DG!A:C,2,)</f>
        <v>02.1461</v>
      </c>
      <c r="F725" s="1049" t="str">
        <f>VLOOKUP($B725,DG!A:C,3,)</f>
        <v>V/c cột vào vị trí (cự ly &lt;=100m)</v>
      </c>
      <c r="G725" s="1044" t="str">
        <f>VLOOKUP($B725,DG!A:D,4,0)</f>
        <v>tấn</v>
      </c>
      <c r="H725" s="1823"/>
      <c r="I725" s="1823"/>
      <c r="J725" s="1823"/>
      <c r="K725" s="1823"/>
      <c r="L725" s="1823"/>
      <c r="M725" s="1823"/>
      <c r="N725" s="1823"/>
      <c r="O725" s="1823"/>
      <c r="P725" s="1823"/>
      <c r="Q725" s="1058"/>
      <c r="R725" s="1058"/>
      <c r="S725" s="1058"/>
      <c r="T725" s="2035">
        <f t="shared" si="127"/>
        <v>0</v>
      </c>
    </row>
    <row r="726" spans="1:20" ht="22.2" hidden="1" customHeight="1">
      <c r="A726" s="59"/>
      <c r="B726" s="1588" t="s">
        <v>635</v>
      </c>
      <c r="C726" s="1013" t="str">
        <f t="shared" si="128"/>
        <v xml:space="preserve"> </v>
      </c>
      <c r="D726" s="1534"/>
      <c r="E726" s="1044" t="str">
        <f>VLOOKUP($B726,DG!A:C,2,)</f>
        <v>02.1482</v>
      </c>
      <c r="F726" s="1049" t="str">
        <f>VLOOKUP($B726,DG!A:C,3,)</f>
        <v>V/c dụng cụ thi công vào vị trí (cự ly &lt;=100m)</v>
      </c>
      <c r="G726" s="1044" t="str">
        <f>VLOOKUP($B726,DG!A:D,4,0)</f>
        <v>tấn</v>
      </c>
      <c r="H726" s="1823"/>
      <c r="I726" s="1823"/>
      <c r="J726" s="1823"/>
      <c r="K726" s="1823"/>
      <c r="L726" s="1823"/>
      <c r="M726" s="1823"/>
      <c r="N726" s="1823"/>
      <c r="O726" s="1823"/>
      <c r="P726" s="1823"/>
      <c r="Q726" s="1058"/>
      <c r="R726" s="1058"/>
      <c r="S726" s="1058"/>
      <c r="T726" s="2035">
        <f t="shared" si="127"/>
        <v>0</v>
      </c>
    </row>
    <row r="727" spans="1:20" ht="22.2" hidden="1" customHeight="1">
      <c r="A727" s="966" t="s">
        <v>1633</v>
      </c>
      <c r="B727" s="1580" t="s">
        <v>232</v>
      </c>
      <c r="C727" s="1013" t="str">
        <f t="shared" si="128"/>
        <v xml:space="preserve"> </v>
      </c>
      <c r="D727" s="1532"/>
      <c r="E727" s="1045"/>
      <c r="F727" s="1392" t="s">
        <v>2408</v>
      </c>
      <c r="G727" s="1046" t="s">
        <v>2283</v>
      </c>
      <c r="H727" s="1821">
        <f>SUM(I727:O727)</f>
        <v>0</v>
      </c>
      <c r="I727" s="1822"/>
      <c r="J727" s="1822"/>
      <c r="K727" s="1822">
        <f>IFERROR(HLOOKUP(B727,pp3p1m!$1:$3,3,0),0)</f>
        <v>0</v>
      </c>
      <c r="L727" s="1822">
        <f>IFERROR(HLOOKUP(chitiet!B727,pp1p!$1:$3,3,0),0)</f>
        <v>0</v>
      </c>
      <c r="M727" s="1822"/>
      <c r="N727" s="1822"/>
      <c r="O727" s="1822"/>
      <c r="P727" s="1822"/>
      <c r="Q727" s="1047"/>
      <c r="R727" s="1047"/>
      <c r="S727" s="1047"/>
      <c r="T727" s="2035">
        <f>IFERROR(HLOOKUP(B727,pp1p!$1:$3,3,0),0)+IFERROR(HLOOKUP(B727,pp3p1m!$1:$3,3,0),0)</f>
        <v>0</v>
      </c>
    </row>
    <row r="728" spans="1:20" ht="22.2" hidden="1" customHeight="1">
      <c r="A728" s="59"/>
      <c r="B728" s="1577" t="s">
        <v>1818</v>
      </c>
      <c r="C728" s="1013" t="str">
        <f t="shared" si="128"/>
        <v xml:space="preserve"> </v>
      </c>
      <c r="D728" s="1535">
        <v>1</v>
      </c>
      <c r="E728" s="1044"/>
      <c r="F728" s="1056" t="s">
        <v>2409</v>
      </c>
      <c r="G728" s="1044" t="str">
        <f>VLOOKUP($B728,DG!A:D,DG!$D$2,)</f>
        <v>trụ</v>
      </c>
      <c r="H728" s="1823">
        <f t="shared" ref="H728:O728" si="137">H$727*$D728</f>
        <v>0</v>
      </c>
      <c r="I728" s="1823">
        <f t="shared" si="137"/>
        <v>0</v>
      </c>
      <c r="J728" s="1823">
        <f t="shared" si="137"/>
        <v>0</v>
      </c>
      <c r="K728" s="1823">
        <f t="shared" si="137"/>
        <v>0</v>
      </c>
      <c r="L728" s="1823">
        <f t="shared" si="137"/>
        <v>0</v>
      </c>
      <c r="M728" s="1823">
        <f t="shared" si="137"/>
        <v>0</v>
      </c>
      <c r="N728" s="1823">
        <f t="shared" si="137"/>
        <v>0</v>
      </c>
      <c r="O728" s="1823">
        <f t="shared" si="137"/>
        <v>0</v>
      </c>
      <c r="P728" s="1823"/>
      <c r="Q728" s="1053"/>
      <c r="R728" s="1053"/>
      <c r="S728" s="1053"/>
      <c r="T728" s="2035">
        <f t="shared" si="127"/>
        <v>0</v>
      </c>
    </row>
    <row r="729" spans="1:20" ht="22.2" hidden="1" customHeight="1">
      <c r="A729" s="59"/>
      <c r="B729" s="1577" t="s">
        <v>2258</v>
      </c>
      <c r="C729" s="1013" t="str">
        <f t="shared" si="128"/>
        <v xml:space="preserve"> </v>
      </c>
      <c r="D729" s="1535">
        <v>1</v>
      </c>
      <c r="E729" s="1044" t="str">
        <f>VLOOKUP($B729,DG!A:D,DG!$B$2,)</f>
        <v>05.5302</v>
      </c>
      <c r="F729" s="1056" t="s">
        <v>2410</v>
      </c>
      <c r="G729" s="1044" t="str">
        <f>VLOOKUP($B729,DG!A:D,DG!$D$2,)</f>
        <v>trụ</v>
      </c>
      <c r="H729" s="1823"/>
      <c r="I729" s="1823"/>
      <c r="J729" s="1823"/>
      <c r="K729" s="1823"/>
      <c r="L729" s="1823"/>
      <c r="M729" s="1823"/>
      <c r="N729" s="1823"/>
      <c r="O729" s="1823"/>
      <c r="P729" s="1823"/>
      <c r="Q729" s="1058"/>
      <c r="R729" s="1058"/>
      <c r="S729" s="1058"/>
      <c r="T729" s="2035">
        <f t="shared" si="127"/>
        <v>0</v>
      </c>
    </row>
    <row r="730" spans="1:20" ht="22.2" hidden="1" customHeight="1">
      <c r="A730" s="59"/>
      <c r="B730" s="1588" t="s">
        <v>635</v>
      </c>
      <c r="C730" s="1013" t="str">
        <f t="shared" si="128"/>
        <v xml:space="preserve"> </v>
      </c>
      <c r="D730" s="1534">
        <v>0.25</v>
      </c>
      <c r="E730" s="1044" t="str">
        <f>VLOOKUP($B730,DG!A:C,2,)</f>
        <v>02.1482</v>
      </c>
      <c r="F730" s="1049" t="str">
        <f>VLOOKUP($B730,DG!A:C,3,)</f>
        <v>V/c dụng cụ thi công vào vị trí (cự ly &lt;=100m)</v>
      </c>
      <c r="G730" s="1044" t="str">
        <f>VLOOKUP($B730,DG!A:D,4,0)</f>
        <v>tấn</v>
      </c>
      <c r="H730" s="1823"/>
      <c r="I730" s="1823"/>
      <c r="J730" s="1823"/>
      <c r="K730" s="1823"/>
      <c r="L730" s="1823"/>
      <c r="M730" s="1823"/>
      <c r="N730" s="1823"/>
      <c r="O730" s="1823"/>
      <c r="P730" s="1823"/>
      <c r="Q730" s="1058"/>
      <c r="R730" s="1058"/>
      <c r="S730" s="1058"/>
      <c r="T730" s="2035">
        <f t="shared" si="127"/>
        <v>0</v>
      </c>
    </row>
    <row r="731" spans="1:20" ht="22.2" hidden="1" customHeight="1">
      <c r="A731" s="54" t="s">
        <v>510</v>
      </c>
      <c r="B731" s="1580" t="s">
        <v>510</v>
      </c>
      <c r="C731" s="1013" t="str">
        <f t="shared" si="128"/>
        <v xml:space="preserve"> </v>
      </c>
      <c r="D731" s="1532"/>
      <c r="E731" s="1045"/>
      <c r="F731" s="1392" t="s">
        <v>2411</v>
      </c>
      <c r="G731" s="1046" t="s">
        <v>2283</v>
      </c>
      <c r="H731" s="1821">
        <f>SUM(I731:O731)</f>
        <v>0</v>
      </c>
      <c r="I731" s="1822"/>
      <c r="J731" s="1822"/>
      <c r="K731" s="1822">
        <f>IFERROR(HLOOKUP(B731,pp3p1m!$1:$3,3,0),0)</f>
        <v>0</v>
      </c>
      <c r="L731" s="1822">
        <f>IFERROR(HLOOKUP(chitiet!B731,pp1p!$1:$3,3,0),0)</f>
        <v>0</v>
      </c>
      <c r="M731" s="1822"/>
      <c r="N731" s="1822"/>
      <c r="O731" s="1822"/>
      <c r="P731" s="1822"/>
      <c r="Q731" s="1047"/>
      <c r="R731" s="1047"/>
      <c r="S731" s="1047"/>
      <c r="T731" s="2035">
        <f>IFERROR(HLOOKUP(B731,pp1p!$1:$3,3,0),0)+IFERROR(HLOOKUP(B731,pp3p1m!$1:$3,3,0),0)</f>
        <v>0</v>
      </c>
    </row>
    <row r="732" spans="1:20" ht="22.2" hidden="1" customHeight="1">
      <c r="A732" s="59"/>
      <c r="B732" s="1577" t="s">
        <v>1818</v>
      </c>
      <c r="C732" s="1013" t="str">
        <f t="shared" si="128"/>
        <v xml:space="preserve"> </v>
      </c>
      <c r="D732" s="1535">
        <v>1</v>
      </c>
      <c r="E732" s="1044"/>
      <c r="F732" s="1056" t="s">
        <v>2409</v>
      </c>
      <c r="G732" s="1044" t="str">
        <f>VLOOKUP($B732,DG!A:D,DG!$D$2,)</f>
        <v>trụ</v>
      </c>
      <c r="H732" s="1823">
        <f t="shared" ref="H732:O735" si="138">H$731*$D732</f>
        <v>0</v>
      </c>
      <c r="I732" s="1823">
        <f t="shared" si="138"/>
        <v>0</v>
      </c>
      <c r="J732" s="1823">
        <f t="shared" si="138"/>
        <v>0</v>
      </c>
      <c r="K732" s="1823">
        <f t="shared" si="138"/>
        <v>0</v>
      </c>
      <c r="L732" s="1823">
        <f t="shared" si="138"/>
        <v>0</v>
      </c>
      <c r="M732" s="1823">
        <f t="shared" si="138"/>
        <v>0</v>
      </c>
      <c r="N732" s="1823">
        <f t="shared" si="138"/>
        <v>0</v>
      </c>
      <c r="O732" s="1823">
        <f t="shared" si="138"/>
        <v>0</v>
      </c>
      <c r="P732" s="1823"/>
      <c r="Q732" s="1053"/>
      <c r="R732" s="1053"/>
      <c r="S732" s="1053"/>
      <c r="T732" s="2035">
        <f t="shared" si="127"/>
        <v>0</v>
      </c>
    </row>
    <row r="733" spans="1:20" ht="22.2" hidden="1" customHeight="1">
      <c r="A733" s="59"/>
      <c r="B733" s="1577" t="s">
        <v>2258</v>
      </c>
      <c r="C733" s="1013" t="str">
        <f t="shared" si="128"/>
        <v xml:space="preserve"> </v>
      </c>
      <c r="D733" s="1535">
        <v>1</v>
      </c>
      <c r="E733" s="1044" t="str">
        <f>VLOOKUP($B733,DG!A:D,DG!$B$2,)</f>
        <v>05.5302</v>
      </c>
      <c r="F733" s="1056" t="s">
        <v>2410</v>
      </c>
      <c r="G733" s="1044" t="str">
        <f>VLOOKUP($B733,DG!A:D,DG!$D$2,)</f>
        <v>trụ</v>
      </c>
      <c r="H733" s="1823">
        <f t="shared" si="138"/>
        <v>0</v>
      </c>
      <c r="I733" s="1823">
        <f t="shared" si="138"/>
        <v>0</v>
      </c>
      <c r="J733" s="1823">
        <f t="shared" si="138"/>
        <v>0</v>
      </c>
      <c r="K733" s="1823">
        <f t="shared" si="138"/>
        <v>0</v>
      </c>
      <c r="L733" s="1823">
        <f t="shared" si="138"/>
        <v>0</v>
      </c>
      <c r="M733" s="1823">
        <f t="shared" si="138"/>
        <v>0</v>
      </c>
      <c r="N733" s="1823">
        <f t="shared" si="138"/>
        <v>0</v>
      </c>
      <c r="O733" s="1823">
        <f t="shared" si="138"/>
        <v>0</v>
      </c>
      <c r="P733" s="1823"/>
      <c r="Q733" s="1053"/>
      <c r="R733" s="1053"/>
      <c r="S733" s="1053"/>
      <c r="T733" s="2035">
        <f t="shared" si="127"/>
        <v>0</v>
      </c>
    </row>
    <row r="734" spans="1:20" ht="22.2" hidden="1" customHeight="1">
      <c r="A734" s="59"/>
      <c r="B734" s="1577" t="s">
        <v>1818</v>
      </c>
      <c r="C734" s="1013" t="str">
        <f t="shared" si="128"/>
        <v xml:space="preserve"> </v>
      </c>
      <c r="D734" s="1535">
        <v>1</v>
      </c>
      <c r="E734" s="1044">
        <f>VLOOKUP($B734,DG!A:D,DG!$B$2,)</f>
        <v>0</v>
      </c>
      <c r="F734" s="1056" t="str">
        <f>VLOOKUP($B734,DG!A:D,DG!$C$2,)</f>
        <v>Vật liệu dựng trụ</v>
      </c>
      <c r="G734" s="1044" t="str">
        <f>VLOOKUP($B734,DG!A:D,DG!$D$2,)</f>
        <v>trụ</v>
      </c>
      <c r="H734" s="1823">
        <f t="shared" si="138"/>
        <v>0</v>
      </c>
      <c r="I734" s="1823">
        <f t="shared" si="138"/>
        <v>0</v>
      </c>
      <c r="J734" s="1823">
        <f t="shared" si="138"/>
        <v>0</v>
      </c>
      <c r="K734" s="1823">
        <f t="shared" si="138"/>
        <v>0</v>
      </c>
      <c r="L734" s="1823">
        <f t="shared" si="138"/>
        <v>0</v>
      </c>
      <c r="M734" s="1823">
        <f t="shared" si="138"/>
        <v>0</v>
      </c>
      <c r="N734" s="1823">
        <f t="shared" si="138"/>
        <v>0</v>
      </c>
      <c r="O734" s="1823">
        <f t="shared" si="138"/>
        <v>0</v>
      </c>
      <c r="P734" s="1823"/>
      <c r="Q734" s="1053"/>
      <c r="R734" s="1053"/>
      <c r="S734" s="1053"/>
      <c r="T734" s="2035">
        <f t="shared" ref="T734:T797" si="139">IFERROR(HLOOKUP(B734,BangKeTru,3,0),0)</f>
        <v>0</v>
      </c>
    </row>
    <row r="735" spans="1:20" ht="22.2" hidden="1" customHeight="1">
      <c r="A735" s="59"/>
      <c r="B735" s="1577" t="s">
        <v>2258</v>
      </c>
      <c r="C735" s="1013" t="str">
        <f t="shared" ref="C735:C791" si="140">IF(OR(P735&lt;&gt;0,H735&lt;&gt;0),"x"," ")</f>
        <v xml:space="preserve"> </v>
      </c>
      <c r="D735" s="1535">
        <v>1</v>
      </c>
      <c r="E735" s="1044" t="str">
        <f>VLOOKUP($B735,DG!A:D,DG!$B$2,)</f>
        <v>05.5302</v>
      </c>
      <c r="F735" s="1056" t="str">
        <f>VLOOKUP($B735,DG!A:D,DG!$C$2,)</f>
        <v>Dựng trụ BTLT &lt;10m thủ công +cơ giới</v>
      </c>
      <c r="G735" s="1044" t="str">
        <f>VLOOKUP($B735,DG!A:D,DG!$D$2,)</f>
        <v>trụ</v>
      </c>
      <c r="H735" s="1823">
        <f t="shared" si="138"/>
        <v>0</v>
      </c>
      <c r="I735" s="1823">
        <f t="shared" si="138"/>
        <v>0</v>
      </c>
      <c r="J735" s="1823">
        <f t="shared" si="138"/>
        <v>0</v>
      </c>
      <c r="K735" s="1823">
        <f t="shared" si="138"/>
        <v>0</v>
      </c>
      <c r="L735" s="1823">
        <f t="shared" si="138"/>
        <v>0</v>
      </c>
      <c r="M735" s="1823">
        <f t="shared" si="138"/>
        <v>0</v>
      </c>
      <c r="N735" s="1823">
        <f t="shared" si="138"/>
        <v>0</v>
      </c>
      <c r="O735" s="1823">
        <f t="shared" si="138"/>
        <v>0</v>
      </c>
      <c r="P735" s="1823"/>
      <c r="Q735" s="1053"/>
      <c r="R735" s="1053"/>
      <c r="S735" s="1053"/>
      <c r="T735" s="2035">
        <f t="shared" si="139"/>
        <v>0</v>
      </c>
    </row>
    <row r="736" spans="1:20" ht="22.2" hidden="1" customHeight="1">
      <c r="A736" s="59"/>
      <c r="B736" s="1588" t="s">
        <v>635</v>
      </c>
      <c r="C736" s="1013" t="str">
        <f t="shared" si="140"/>
        <v xml:space="preserve"> </v>
      </c>
      <c r="D736" s="1534"/>
      <c r="E736" s="1044" t="str">
        <f>VLOOKUP($B736,DG!A:C,2,)</f>
        <v>02.1482</v>
      </c>
      <c r="F736" s="1049" t="str">
        <f>VLOOKUP($B736,DG!A:C,3,)</f>
        <v>V/c dụng cụ thi công vào vị trí (cự ly &lt;=100m)</v>
      </c>
      <c r="G736" s="1044" t="str">
        <f>VLOOKUP($B736,DG!A:D,4,0)</f>
        <v>tấn</v>
      </c>
      <c r="H736" s="1823"/>
      <c r="I736" s="1823"/>
      <c r="J736" s="1823"/>
      <c r="K736" s="1823"/>
      <c r="L736" s="1823"/>
      <c r="M736" s="1823"/>
      <c r="N736" s="1823"/>
      <c r="O736" s="1823"/>
      <c r="P736" s="1823"/>
      <c r="Q736" s="1058"/>
      <c r="R736" s="1058"/>
      <c r="S736" s="1058"/>
      <c r="T736" s="2035">
        <f t="shared" si="139"/>
        <v>0</v>
      </c>
    </row>
    <row r="737" spans="1:20" ht="22.2" hidden="1" customHeight="1">
      <c r="A737" s="54" t="s">
        <v>300</v>
      </c>
      <c r="B737" s="1580" t="s">
        <v>300</v>
      </c>
      <c r="C737" s="1013" t="str">
        <f t="shared" si="140"/>
        <v xml:space="preserve"> </v>
      </c>
      <c r="D737" s="1532"/>
      <c r="E737" s="1045"/>
      <c r="F737" s="1392" t="s">
        <v>2412</v>
      </c>
      <c r="G737" s="1046" t="s">
        <v>2283</v>
      </c>
      <c r="H737" s="1821">
        <f>SUM(I737:O737)</f>
        <v>0</v>
      </c>
      <c r="I737" s="1822"/>
      <c r="J737" s="1822"/>
      <c r="K737" s="1822">
        <f>IFERROR(HLOOKUP(B737,pp3p1m!$1:$3,3,0),0)</f>
        <v>0</v>
      </c>
      <c r="L737" s="1822">
        <f>IFERROR(HLOOKUP(chitiet!B737,pp1p!$1:$3,3,0),0)</f>
        <v>0</v>
      </c>
      <c r="M737" s="1822"/>
      <c r="N737" s="1822"/>
      <c r="O737" s="1822"/>
      <c r="P737" s="1822"/>
      <c r="Q737" s="1047"/>
      <c r="R737" s="1047"/>
      <c r="S737" s="1047"/>
      <c r="T737" s="2035">
        <f>IFERROR(HLOOKUP(B737,pp1p!$1:$3,3,0),0)+IFERROR(HLOOKUP(B737,pp3p1m!$1:$3,3,0),0)</f>
        <v>0</v>
      </c>
    </row>
    <row r="738" spans="1:20" ht="22.2" hidden="1" customHeight="1">
      <c r="A738" s="59"/>
      <c r="B738" s="1577" t="s">
        <v>114</v>
      </c>
      <c r="C738" s="1013" t="str">
        <f t="shared" si="140"/>
        <v xml:space="preserve"> </v>
      </c>
      <c r="D738" s="1535">
        <v>1</v>
      </c>
      <c r="E738" s="1044"/>
      <c r="F738" s="1056" t="str">
        <f>VLOOKUP($B738,DG!A:D,DG!$C$2,)</f>
        <v>Trụ BTLT 10,5m F350 dự ứng lực</v>
      </c>
      <c r="G738" s="1044" t="str">
        <f>VLOOKUP($B738,DG!A:D,DG!$D$2,)</f>
        <v>trụ</v>
      </c>
      <c r="H738" s="1823">
        <f t="shared" ref="H738:O739" si="141">H$737*$D738</f>
        <v>0</v>
      </c>
      <c r="I738" s="1823">
        <f t="shared" si="141"/>
        <v>0</v>
      </c>
      <c r="J738" s="1823">
        <f t="shared" si="141"/>
        <v>0</v>
      </c>
      <c r="K738" s="1823">
        <f t="shared" si="141"/>
        <v>0</v>
      </c>
      <c r="L738" s="1823">
        <f t="shared" si="141"/>
        <v>0</v>
      </c>
      <c r="M738" s="1823">
        <f t="shared" si="141"/>
        <v>0</v>
      </c>
      <c r="N738" s="1823">
        <f t="shared" si="141"/>
        <v>0</v>
      </c>
      <c r="O738" s="1823">
        <f t="shared" si="141"/>
        <v>0</v>
      </c>
      <c r="P738" s="1823"/>
      <c r="Q738" s="1053"/>
      <c r="R738" s="1053"/>
      <c r="S738" s="1053"/>
      <c r="T738" s="2035">
        <f t="shared" si="139"/>
        <v>0</v>
      </c>
    </row>
    <row r="739" spans="1:20" ht="22.2" hidden="1" customHeight="1">
      <c r="A739" s="59"/>
      <c r="B739" s="1577" t="s">
        <v>1818</v>
      </c>
      <c r="C739" s="1013" t="str">
        <f t="shared" si="140"/>
        <v xml:space="preserve"> </v>
      </c>
      <c r="D739" s="1535">
        <v>1</v>
      </c>
      <c r="E739" s="1044"/>
      <c r="F739" s="1056" t="str">
        <f>VLOOKUP($B739,DG!A:D,DG!$C$2,)</f>
        <v>Vật liệu dựng trụ</v>
      </c>
      <c r="G739" s="1044" t="str">
        <f>VLOOKUP($B739,DG!A:D,DG!$D$2,)</f>
        <v>trụ</v>
      </c>
      <c r="H739" s="1823">
        <f t="shared" si="141"/>
        <v>0</v>
      </c>
      <c r="I739" s="1823">
        <f t="shared" si="141"/>
        <v>0</v>
      </c>
      <c r="J739" s="1823">
        <f t="shared" si="141"/>
        <v>0</v>
      </c>
      <c r="K739" s="1823">
        <f t="shared" si="141"/>
        <v>0</v>
      </c>
      <c r="L739" s="1823">
        <f t="shared" si="141"/>
        <v>0</v>
      </c>
      <c r="M739" s="1823">
        <f t="shared" si="141"/>
        <v>0</v>
      </c>
      <c r="N739" s="1823">
        <f t="shared" si="141"/>
        <v>0</v>
      </c>
      <c r="O739" s="1823">
        <f t="shared" si="141"/>
        <v>0</v>
      </c>
      <c r="P739" s="1823"/>
      <c r="Q739" s="1053"/>
      <c r="R739" s="1053"/>
      <c r="S739" s="1053"/>
      <c r="T739" s="2035">
        <f t="shared" si="139"/>
        <v>0</v>
      </c>
    </row>
    <row r="740" spans="1:20" ht="22.2" hidden="1" customHeight="1">
      <c r="A740" s="59"/>
      <c r="B740" s="1577" t="s">
        <v>1615</v>
      </c>
      <c r="C740" s="1013" t="str">
        <f t="shared" si="140"/>
        <v xml:space="preserve"> </v>
      </c>
      <c r="D740" s="1535">
        <v>1</v>
      </c>
      <c r="E740" s="1044" t="str">
        <f>VLOOKUP($B740,DG!A:D,DG!$B$2,)</f>
        <v>05.5402</v>
      </c>
      <c r="F740" s="1056" t="str">
        <f>VLOOKUP($B740,DG!A:D,DG!$C$2,)</f>
        <v>Dựng trụ BTLT 10,5m thủ công + cơ giới</v>
      </c>
      <c r="G740" s="1044" t="str">
        <f>VLOOKUP($B740,DG!A:D,DG!$D$2,)</f>
        <v>trụ</v>
      </c>
      <c r="H740" s="1823"/>
      <c r="I740" s="1823"/>
      <c r="J740" s="1823"/>
      <c r="K740" s="1823"/>
      <c r="L740" s="1823"/>
      <c r="M740" s="1823"/>
      <c r="N740" s="1823"/>
      <c r="O740" s="1823"/>
      <c r="P740" s="1823"/>
      <c r="Q740" s="1058"/>
      <c r="R740" s="1058"/>
      <c r="S740" s="1058"/>
      <c r="T740" s="2035">
        <f t="shared" si="139"/>
        <v>0</v>
      </c>
    </row>
    <row r="741" spans="1:20" ht="22.2" hidden="1" customHeight="1">
      <c r="A741" s="59"/>
      <c r="B741" s="1577" t="s">
        <v>1198</v>
      </c>
      <c r="C741" s="1013" t="str">
        <f t="shared" si="140"/>
        <v xml:space="preserve"> </v>
      </c>
      <c r="D741" s="1534"/>
      <c r="E741" s="1044" t="str">
        <f>VLOOKUP($B741,DG!A:D,DG!$B$2,)</f>
        <v>02.1124</v>
      </c>
      <c r="F741" s="1049" t="str">
        <f>VLOOKUP($B741,DG!A:D,DG!$C$2,)</f>
        <v xml:space="preserve">Bốc dỡ trụ </v>
      </c>
      <c r="G741" s="1044" t="str">
        <f>VLOOKUP($B741,DG!A:D,DG!$D$2,)</f>
        <v>tấn</v>
      </c>
      <c r="H741" s="1823"/>
      <c r="I741" s="1823"/>
      <c r="J741" s="1823"/>
      <c r="K741" s="1823"/>
      <c r="L741" s="1823"/>
      <c r="M741" s="1823"/>
      <c r="N741" s="1823"/>
      <c r="O741" s="1823"/>
      <c r="P741" s="1823"/>
      <c r="Q741" s="1058"/>
      <c r="R741" s="1058"/>
      <c r="S741" s="1058"/>
      <c r="T741" s="2035">
        <f t="shared" si="139"/>
        <v>0</v>
      </c>
    </row>
    <row r="742" spans="1:20" ht="22.2" hidden="1" customHeight="1">
      <c r="A742" s="59"/>
      <c r="B742" s="1588" t="s">
        <v>1199</v>
      </c>
      <c r="C742" s="1013" t="str">
        <f t="shared" si="140"/>
        <v xml:space="preserve"> </v>
      </c>
      <c r="D742" s="1534"/>
      <c r="E742" s="1044" t="str">
        <f>VLOOKUP($B742,DG!A:C,2,)</f>
        <v>02.1461</v>
      </c>
      <c r="F742" s="1049" t="str">
        <f>VLOOKUP($B742,DG!A:C,3,)</f>
        <v>V/c cột vào vị trí (cự ly &lt;=100m)</v>
      </c>
      <c r="G742" s="1044" t="str">
        <f>VLOOKUP($B742,DG!A:D,4,0)</f>
        <v>tấn</v>
      </c>
      <c r="H742" s="1823"/>
      <c r="I742" s="1823"/>
      <c r="J742" s="1823"/>
      <c r="K742" s="1823"/>
      <c r="L742" s="1823"/>
      <c r="M742" s="1823"/>
      <c r="N742" s="1823"/>
      <c r="O742" s="1823"/>
      <c r="P742" s="1823"/>
      <c r="Q742" s="1058"/>
      <c r="R742" s="1058"/>
      <c r="S742" s="1058"/>
      <c r="T742" s="2035">
        <f t="shared" si="139"/>
        <v>0</v>
      </c>
    </row>
    <row r="743" spans="1:20" ht="22.2" hidden="1" customHeight="1">
      <c r="A743" s="59"/>
      <c r="B743" s="1588" t="s">
        <v>635</v>
      </c>
      <c r="C743" s="1013" t="str">
        <f t="shared" si="140"/>
        <v xml:space="preserve"> </v>
      </c>
      <c r="D743" s="1534"/>
      <c r="E743" s="1044" t="str">
        <f>VLOOKUP($B743,DG!A:C,2,)</f>
        <v>02.1482</v>
      </c>
      <c r="F743" s="1049" t="str">
        <f>VLOOKUP($B743,DG!A:C,3,)</f>
        <v>V/c dụng cụ thi công vào vị trí (cự ly &lt;=100m)</v>
      </c>
      <c r="G743" s="1044" t="str">
        <f>VLOOKUP($B743,DG!A:D,4,0)</f>
        <v>tấn</v>
      </c>
      <c r="H743" s="1823"/>
      <c r="I743" s="1823"/>
      <c r="J743" s="1823"/>
      <c r="K743" s="1823"/>
      <c r="L743" s="1823"/>
      <c r="M743" s="1823"/>
      <c r="N743" s="1823"/>
      <c r="O743" s="1823"/>
      <c r="P743" s="1823"/>
      <c r="Q743" s="1058"/>
      <c r="R743" s="1058"/>
      <c r="S743" s="1058"/>
      <c r="T743" s="2035">
        <f t="shared" si="139"/>
        <v>0</v>
      </c>
    </row>
    <row r="744" spans="1:20" ht="22.2" hidden="1" customHeight="1">
      <c r="A744" s="54" t="s">
        <v>370</v>
      </c>
      <c r="B744" s="1580" t="s">
        <v>370</v>
      </c>
      <c r="C744" s="1013" t="str">
        <f t="shared" si="140"/>
        <v xml:space="preserve"> </v>
      </c>
      <c r="D744" s="1532"/>
      <c r="E744" s="1045"/>
      <c r="F744" s="1392" t="s">
        <v>2413</v>
      </c>
      <c r="G744" s="1046" t="s">
        <v>2283</v>
      </c>
      <c r="H744" s="1821">
        <f>SUM(I744:O744)</f>
        <v>0</v>
      </c>
      <c r="I744" s="1822"/>
      <c r="J744" s="1822"/>
      <c r="K744" s="1822">
        <f>IFERROR(HLOOKUP(B744,pp3p1m!$1:$3,3,0),0)</f>
        <v>0</v>
      </c>
      <c r="L744" s="1822">
        <f>IFERROR(HLOOKUP(chitiet!B744,pp1p!$1:$3,3,0),0)</f>
        <v>0</v>
      </c>
      <c r="M744" s="1822"/>
      <c r="N744" s="1822"/>
      <c r="O744" s="1822"/>
      <c r="P744" s="1822"/>
      <c r="Q744" s="1047"/>
      <c r="R744" s="1047"/>
      <c r="S744" s="1047"/>
      <c r="T744" s="2035">
        <f>IFERROR(HLOOKUP(B744,pp1p!$1:$3,3,0),0)+IFERROR(HLOOKUP(B744,pp3p1m!$1:$3,3,0),0)</f>
        <v>0</v>
      </c>
    </row>
    <row r="745" spans="1:20" ht="22.2" hidden="1" customHeight="1">
      <c r="A745" s="59"/>
      <c r="B745" s="1577" t="s">
        <v>1615</v>
      </c>
      <c r="C745" s="1013" t="str">
        <f t="shared" si="140"/>
        <v xml:space="preserve"> </v>
      </c>
      <c r="D745" s="1535">
        <v>1</v>
      </c>
      <c r="E745" s="1044" t="str">
        <f>VLOOKUP($B745,DG!A:D,DG!$B$2,)</f>
        <v>05.5402</v>
      </c>
      <c r="F745" s="1056" t="s">
        <v>2414</v>
      </c>
      <c r="G745" s="1044" t="str">
        <f>VLOOKUP($B745,DG!A:D,DG!$D$2,)</f>
        <v>trụ</v>
      </c>
      <c r="H745" s="1823"/>
      <c r="I745" s="1823"/>
      <c r="J745" s="1823"/>
      <c r="K745" s="1823"/>
      <c r="L745" s="1823"/>
      <c r="M745" s="1823"/>
      <c r="N745" s="1823"/>
      <c r="O745" s="1823"/>
      <c r="P745" s="1823"/>
      <c r="Q745" s="1058"/>
      <c r="R745" s="1058"/>
      <c r="S745" s="1058"/>
      <c r="T745" s="2035">
        <f t="shared" si="139"/>
        <v>0</v>
      </c>
    </row>
    <row r="746" spans="1:20" ht="22.2" hidden="1" customHeight="1">
      <c r="A746" s="58" t="s">
        <v>1186</v>
      </c>
      <c r="B746" s="1580" t="s">
        <v>1186</v>
      </c>
      <c r="C746" s="1013" t="str">
        <f t="shared" si="140"/>
        <v xml:space="preserve"> </v>
      </c>
      <c r="D746" s="1532"/>
      <c r="E746" s="1045"/>
      <c r="F746" s="1392" t="s">
        <v>2415</v>
      </c>
      <c r="G746" s="1046" t="s">
        <v>2283</v>
      </c>
      <c r="H746" s="1821">
        <f>SUM(I746:O746)</f>
        <v>0</v>
      </c>
      <c r="I746" s="1822"/>
      <c r="J746" s="1822"/>
      <c r="K746" s="1822">
        <f>IFERROR(HLOOKUP(B746,pp3p1m!$1:$3,3,0),0)</f>
        <v>0</v>
      </c>
      <c r="L746" s="1822">
        <f>IFERROR(HLOOKUP(chitiet!B746,pp1p!$1:$3,3,0),0)</f>
        <v>0</v>
      </c>
      <c r="M746" s="1822"/>
      <c r="N746" s="1822"/>
      <c r="O746" s="1822"/>
      <c r="P746" s="1821">
        <f>T746</f>
        <v>0</v>
      </c>
      <c r="Q746" s="1047"/>
      <c r="R746" s="1047"/>
      <c r="S746" s="1047"/>
      <c r="T746" s="2035">
        <f>IFERROR(HLOOKUP(B746,pp1p!$1:$3,3,0),0)+IFERROR(HLOOKUP(B746,pp3p1m!$1:$3,3,0),0)</f>
        <v>0</v>
      </c>
    </row>
    <row r="747" spans="1:20" ht="22.2" hidden="1" customHeight="1">
      <c r="A747" s="59"/>
      <c r="B747" s="1577" t="s">
        <v>115</v>
      </c>
      <c r="C747" s="1013" t="str">
        <f t="shared" si="140"/>
        <v xml:space="preserve"> </v>
      </c>
      <c r="D747" s="1535">
        <v>1</v>
      </c>
      <c r="E747" s="1044"/>
      <c r="F747" s="1056" t="str">
        <f>VLOOKUP($B747,DG!A:D,DG!$C$2,)</f>
        <v>Trụ BTLT 12m F350 dự ứng lực</v>
      </c>
      <c r="G747" s="1044" t="str">
        <f>VLOOKUP($B747,DG!A:D,DG!$D$2,)</f>
        <v>trụ</v>
      </c>
      <c r="H747" s="1823">
        <f t="shared" ref="H747:R748" si="142">H$746*$D747</f>
        <v>0</v>
      </c>
      <c r="I747" s="1823">
        <f t="shared" si="142"/>
        <v>0</v>
      </c>
      <c r="J747" s="1823">
        <f t="shared" si="142"/>
        <v>0</v>
      </c>
      <c r="K747" s="1823">
        <f t="shared" si="142"/>
        <v>0</v>
      </c>
      <c r="L747" s="1823">
        <f t="shared" si="142"/>
        <v>0</v>
      </c>
      <c r="M747" s="1823">
        <f t="shared" si="142"/>
        <v>0</v>
      </c>
      <c r="N747" s="1823">
        <f t="shared" si="142"/>
        <v>0</v>
      </c>
      <c r="O747" s="1823">
        <f t="shared" si="142"/>
        <v>0</v>
      </c>
      <c r="P747" s="1823">
        <f t="shared" si="142"/>
        <v>0</v>
      </c>
      <c r="Q747" s="1823">
        <f t="shared" si="142"/>
        <v>0</v>
      </c>
      <c r="R747" s="1823">
        <f t="shared" si="142"/>
        <v>0</v>
      </c>
      <c r="S747" s="1053"/>
      <c r="T747" s="2035">
        <f t="shared" si="139"/>
        <v>0</v>
      </c>
    </row>
    <row r="748" spans="1:20" ht="22.2" hidden="1" customHeight="1">
      <c r="A748" s="59"/>
      <c r="B748" s="1577" t="s">
        <v>1818</v>
      </c>
      <c r="C748" s="1013" t="str">
        <f t="shared" si="140"/>
        <v xml:space="preserve"> </v>
      </c>
      <c r="D748" s="1535">
        <v>1</v>
      </c>
      <c r="E748" s="1044"/>
      <c r="F748" s="1056" t="str">
        <f>VLOOKUP($B748,DG!A:D,DG!$C$2,)</f>
        <v>Vật liệu dựng trụ</v>
      </c>
      <c r="G748" s="1044" t="str">
        <f>VLOOKUP($B748,DG!A:D,DG!$D$2,)</f>
        <v>trụ</v>
      </c>
      <c r="H748" s="1823">
        <f t="shared" si="142"/>
        <v>0</v>
      </c>
      <c r="I748" s="1823">
        <f t="shared" si="142"/>
        <v>0</v>
      </c>
      <c r="J748" s="1823">
        <f t="shared" si="142"/>
        <v>0</v>
      </c>
      <c r="K748" s="1823">
        <f t="shared" si="142"/>
        <v>0</v>
      </c>
      <c r="L748" s="1823">
        <f t="shared" si="142"/>
        <v>0</v>
      </c>
      <c r="M748" s="1823">
        <f t="shared" si="142"/>
        <v>0</v>
      </c>
      <c r="N748" s="1823">
        <f t="shared" si="142"/>
        <v>0</v>
      </c>
      <c r="O748" s="1823">
        <f t="shared" si="142"/>
        <v>0</v>
      </c>
      <c r="P748" s="1823">
        <f t="shared" si="142"/>
        <v>0</v>
      </c>
      <c r="Q748" s="1823">
        <f t="shared" si="142"/>
        <v>0</v>
      </c>
      <c r="R748" s="1823">
        <f t="shared" si="142"/>
        <v>0</v>
      </c>
      <c r="S748" s="1053"/>
      <c r="T748" s="2035">
        <f t="shared" si="139"/>
        <v>0</v>
      </c>
    </row>
    <row r="749" spans="1:20" ht="22.2" hidden="1" customHeight="1">
      <c r="A749" s="59"/>
      <c r="B749" s="1577" t="s">
        <v>1617</v>
      </c>
      <c r="C749" s="1013" t="str">
        <f t="shared" si="140"/>
        <v xml:space="preserve"> </v>
      </c>
      <c r="D749" s="1535">
        <v>1</v>
      </c>
      <c r="E749" s="1044" t="str">
        <f>VLOOKUP($B749,DG!A:D,DG!$B$2,)</f>
        <v>05.5213</v>
      </c>
      <c r="F749" s="1056" t="str">
        <f>VLOOKUP($B749,DG!A:D,DG!$C$2,)</f>
        <v>Dựng trụ BTLT 12m bằng thủ công</v>
      </c>
      <c r="G749" s="1044" t="str">
        <f>VLOOKUP($B749,DG!A:D,DG!$D$2,)</f>
        <v>trụ</v>
      </c>
      <c r="H749" s="1823"/>
      <c r="I749" s="1823"/>
      <c r="J749" s="1823"/>
      <c r="K749" s="1823"/>
      <c r="L749" s="1823"/>
      <c r="M749" s="1823"/>
      <c r="N749" s="1823"/>
      <c r="O749" s="1823"/>
      <c r="P749" s="1823"/>
      <c r="Q749" s="1058"/>
      <c r="R749" s="1058"/>
      <c r="S749" s="1058"/>
      <c r="T749" s="2035">
        <f t="shared" si="139"/>
        <v>0</v>
      </c>
    </row>
    <row r="750" spans="1:20" ht="22.2" hidden="1" customHeight="1">
      <c r="A750" s="59"/>
      <c r="B750" s="1577" t="s">
        <v>1198</v>
      </c>
      <c r="C750" s="1013" t="str">
        <f t="shared" si="140"/>
        <v xml:space="preserve"> </v>
      </c>
      <c r="D750" s="1534">
        <f>1.2*0</f>
        <v>0</v>
      </c>
      <c r="E750" s="1044" t="str">
        <f>VLOOKUP($B750,DG!A:D,DG!$B$2,)</f>
        <v>02.1124</v>
      </c>
      <c r="F750" s="1049" t="str">
        <f>VLOOKUP($B750,DG!A:D,DG!$C$2,)</f>
        <v xml:space="preserve">Bốc dỡ trụ </v>
      </c>
      <c r="G750" s="1044" t="str">
        <f>VLOOKUP($B750,DG!A:D,DG!$D$2,)</f>
        <v>tấn</v>
      </c>
      <c r="H750" s="1823"/>
      <c r="I750" s="1823"/>
      <c r="J750" s="1823"/>
      <c r="K750" s="1823"/>
      <c r="L750" s="1823"/>
      <c r="M750" s="1823"/>
      <c r="N750" s="1823"/>
      <c r="O750" s="1823"/>
      <c r="P750" s="1823"/>
      <c r="Q750" s="1058"/>
      <c r="R750" s="1058"/>
      <c r="S750" s="1058"/>
      <c r="T750" s="2035">
        <f t="shared" si="139"/>
        <v>0</v>
      </c>
    </row>
    <row r="751" spans="1:20" ht="22.2" hidden="1" customHeight="1">
      <c r="A751" s="59"/>
      <c r="B751" s="1588" t="s">
        <v>1199</v>
      </c>
      <c r="C751" s="1013" t="str">
        <f t="shared" si="140"/>
        <v xml:space="preserve"> </v>
      </c>
      <c r="D751" s="1534">
        <f>1.2*0</f>
        <v>0</v>
      </c>
      <c r="E751" s="1044" t="str">
        <f>VLOOKUP($B751,DG!A:C,2,)</f>
        <v>02.1461</v>
      </c>
      <c r="F751" s="1049" t="str">
        <f>VLOOKUP($B751,DG!A:C,3,)</f>
        <v>V/c cột vào vị trí (cự ly &lt;=100m)</v>
      </c>
      <c r="G751" s="1044" t="str">
        <f>VLOOKUP($B751,DG!A:D,4,0)</f>
        <v>tấn</v>
      </c>
      <c r="H751" s="1823"/>
      <c r="I751" s="1823"/>
      <c r="J751" s="1823"/>
      <c r="K751" s="1823"/>
      <c r="L751" s="1823"/>
      <c r="M751" s="1823"/>
      <c r="N751" s="1823"/>
      <c r="O751" s="1823"/>
      <c r="P751" s="1823"/>
      <c r="Q751" s="1058"/>
      <c r="R751" s="1058"/>
      <c r="S751" s="1058"/>
      <c r="T751" s="2035">
        <f t="shared" si="139"/>
        <v>0</v>
      </c>
    </row>
    <row r="752" spans="1:20" ht="22.2" hidden="1" customHeight="1">
      <c r="A752" s="59"/>
      <c r="B752" s="1588" t="s">
        <v>635</v>
      </c>
      <c r="C752" s="1013" t="str">
        <f t="shared" si="140"/>
        <v xml:space="preserve"> </v>
      </c>
      <c r="D752" s="1534">
        <f>0.25*0</f>
        <v>0</v>
      </c>
      <c r="E752" s="1044" t="str">
        <f>VLOOKUP($B752,DG!A:C,2,)</f>
        <v>02.1482</v>
      </c>
      <c r="F752" s="1049" t="str">
        <f>VLOOKUP($B752,DG!A:C,3,)</f>
        <v>V/c dụng cụ thi công vào vị trí (cự ly &lt;=100m)</v>
      </c>
      <c r="G752" s="1044" t="str">
        <f>VLOOKUP($B752,DG!A:D,4,0)</f>
        <v>tấn</v>
      </c>
      <c r="H752" s="1823"/>
      <c r="I752" s="1823"/>
      <c r="J752" s="1823"/>
      <c r="K752" s="1823"/>
      <c r="L752" s="1823"/>
      <c r="M752" s="1823"/>
      <c r="N752" s="1823"/>
      <c r="O752" s="1823"/>
      <c r="P752" s="1823"/>
      <c r="Q752" s="1058"/>
      <c r="R752" s="1058"/>
      <c r="S752" s="1058"/>
      <c r="T752" s="2035">
        <f t="shared" si="139"/>
        <v>0</v>
      </c>
    </row>
    <row r="753" spans="1:20" ht="22.2" customHeight="1">
      <c r="A753" s="1579" t="s">
        <v>301</v>
      </c>
      <c r="B753" s="1580" t="s">
        <v>301</v>
      </c>
      <c r="C753" s="1832" t="str">
        <f t="shared" si="140"/>
        <v>x</v>
      </c>
      <c r="D753" s="1532"/>
      <c r="E753" s="1045"/>
      <c r="F753" s="1392" t="s">
        <v>2416</v>
      </c>
      <c r="G753" s="1046" t="s">
        <v>2283</v>
      </c>
      <c r="H753" s="1821">
        <f>SUM(I753:O753)</f>
        <v>3</v>
      </c>
      <c r="I753" s="1822"/>
      <c r="J753" s="1822"/>
      <c r="K753" s="1822">
        <f>IFERROR(HLOOKUP(B753,pp3p1m!$1:$3,3,0),0)</f>
        <v>3</v>
      </c>
      <c r="L753" s="1822">
        <f>IFERROR(HLOOKUP(chitiet!B753,pp1p!$1:$3,3,0),0)</f>
        <v>0</v>
      </c>
      <c r="M753" s="1822"/>
      <c r="N753" s="1822"/>
      <c r="O753" s="1822"/>
      <c r="P753" s="1821">
        <f>H753+Q753-R753</f>
        <v>3</v>
      </c>
      <c r="Q753" s="1047"/>
      <c r="R753" s="1047"/>
      <c r="S753" s="1047"/>
      <c r="T753" s="2035">
        <f>IFERROR(HLOOKUP(B753,pp1p!$1:$3,3,0),0)+IFERROR(HLOOKUP(B753,pp3p1m!$1:$3,3,0),0)</f>
        <v>3</v>
      </c>
    </row>
    <row r="754" spans="1:20" ht="22.2" customHeight="1">
      <c r="B754" s="1571" t="s">
        <v>115</v>
      </c>
      <c r="C754" s="1832" t="str">
        <f t="shared" si="140"/>
        <v>x</v>
      </c>
      <c r="D754" s="1535">
        <v>1</v>
      </c>
      <c r="E754" s="1044"/>
      <c r="F754" s="1056" t="str">
        <f>VLOOKUP($B754,DG!A:D,DG!$C$2,)</f>
        <v>Trụ BTLT 12m F350 dự ứng lực</v>
      </c>
      <c r="G754" s="1044" t="str">
        <f>VLOOKUP($B754,DG!A:D,DG!$D$2,)</f>
        <v>trụ</v>
      </c>
      <c r="H754" s="1823">
        <f>H$753*$D754</f>
        <v>3</v>
      </c>
      <c r="I754" s="1823">
        <f>I$746*$D754</f>
        <v>0</v>
      </c>
      <c r="J754" s="1823">
        <f>J$746*$D754</f>
        <v>0</v>
      </c>
      <c r="K754" s="1823">
        <f>K$753*$D754</f>
        <v>3</v>
      </c>
      <c r="L754" s="1823">
        <f>L$753*$D754</f>
        <v>0</v>
      </c>
      <c r="M754" s="1823">
        <f t="shared" ref="M754:O755" si="143">M$746*$D754</f>
        <v>0</v>
      </c>
      <c r="N754" s="1823">
        <f t="shared" si="143"/>
        <v>0</v>
      </c>
      <c r="O754" s="1823">
        <f t="shared" si="143"/>
        <v>0</v>
      </c>
      <c r="P754" s="1823">
        <f>$P$753*D754</f>
        <v>3</v>
      </c>
      <c r="Q754" s="1053">
        <f>$Q$753*D754</f>
        <v>0</v>
      </c>
      <c r="R754" s="1053"/>
      <c r="S754" s="1053"/>
      <c r="T754" s="2035">
        <f t="shared" si="139"/>
        <v>0</v>
      </c>
    </row>
    <row r="755" spans="1:20" ht="22.2" customHeight="1">
      <c r="B755" s="1571" t="s">
        <v>1818</v>
      </c>
      <c r="C755" s="1832" t="str">
        <f t="shared" si="140"/>
        <v>x</v>
      </c>
      <c r="D755" s="1535">
        <v>1</v>
      </c>
      <c r="E755" s="1044"/>
      <c r="F755" s="1049" t="str">
        <f>VLOOKUP($B755,DG!A:D,DG!$C$2,)</f>
        <v>Vật liệu dựng trụ</v>
      </c>
      <c r="G755" s="1044" t="str">
        <f>VLOOKUP($B755,DG!A:D,DG!$D$2,)</f>
        <v>trụ</v>
      </c>
      <c r="H755" s="1823">
        <f>H$753*$D755</f>
        <v>3</v>
      </c>
      <c r="I755" s="1823">
        <f>I$746*$D755</f>
        <v>0</v>
      </c>
      <c r="J755" s="1823">
        <f>J$746*$D755</f>
        <v>0</v>
      </c>
      <c r="K755" s="1823">
        <f>K$753*$D755</f>
        <v>3</v>
      </c>
      <c r="L755" s="1823">
        <f>L$753*$D755</f>
        <v>0</v>
      </c>
      <c r="M755" s="1823">
        <f t="shared" si="143"/>
        <v>0</v>
      </c>
      <c r="N755" s="1823">
        <f t="shared" si="143"/>
        <v>0</v>
      </c>
      <c r="O755" s="1823">
        <f t="shared" si="143"/>
        <v>0</v>
      </c>
      <c r="P755" s="1823">
        <f>$P$753*D755</f>
        <v>3</v>
      </c>
      <c r="Q755" s="1053">
        <f>$Q$753*D755</f>
        <v>0</v>
      </c>
      <c r="R755" s="1053"/>
      <c r="S755" s="1053"/>
      <c r="T755" s="2035">
        <f t="shared" si="139"/>
        <v>0</v>
      </c>
    </row>
    <row r="756" spans="1:20" ht="22.2" customHeight="1">
      <c r="B756" s="1571" t="s">
        <v>2175</v>
      </c>
      <c r="C756" s="1832" t="str">
        <f t="shared" si="140"/>
        <v>x</v>
      </c>
      <c r="D756" s="1535">
        <v>1</v>
      </c>
      <c r="E756" s="1044" t="str">
        <f>VLOOKUP($B756,DG!A:D,DG!$B$2,)</f>
        <v>05.5402</v>
      </c>
      <c r="F756" s="1049" t="str">
        <f>VLOOKUP($B756,DG!A:D,DG!$C$2,)</f>
        <v>Dựng trụ BTLT 12m thủ công + cơ giới</v>
      </c>
      <c r="G756" s="1044" t="str">
        <f>VLOOKUP($B756,DG!A:D,DG!$D$2,)</f>
        <v>trụ</v>
      </c>
      <c r="H756" s="1823">
        <f>H$753*$D756</f>
        <v>3</v>
      </c>
      <c r="I756" s="1823"/>
      <c r="J756" s="1823"/>
      <c r="K756" s="1823"/>
      <c r="L756" s="1823"/>
      <c r="M756" s="1823"/>
      <c r="N756" s="1823"/>
      <c r="O756" s="1823"/>
      <c r="P756" s="1823">
        <f>$P$753*D756</f>
        <v>3</v>
      </c>
      <c r="Q756" s="1053">
        <f>$Q$753*D756</f>
        <v>0</v>
      </c>
      <c r="R756" s="1058"/>
      <c r="S756" s="1058"/>
      <c r="T756" s="2035">
        <f t="shared" si="139"/>
        <v>0</v>
      </c>
    </row>
    <row r="757" spans="1:20" ht="22.2" hidden="1" customHeight="1">
      <c r="A757" s="59"/>
      <c r="B757" s="1577" t="s">
        <v>1198</v>
      </c>
      <c r="C757" s="1013" t="str">
        <f t="shared" si="140"/>
        <v xml:space="preserve"> </v>
      </c>
      <c r="D757" s="1534">
        <f>1.2*0</f>
        <v>0</v>
      </c>
      <c r="E757" s="1044" t="str">
        <f>VLOOKUP($B757,DG!A:D,DG!$B$2,)</f>
        <v>02.1124</v>
      </c>
      <c r="F757" s="1049" t="str">
        <f>VLOOKUP($B757,DG!A:D,DG!$C$2,)</f>
        <v xml:space="preserve">Bốc dỡ trụ </v>
      </c>
      <c r="G757" s="1044" t="str">
        <f>VLOOKUP($B757,DG!A:D,DG!$D$2,)</f>
        <v>tấn</v>
      </c>
      <c r="H757" s="1823"/>
      <c r="I757" s="1823"/>
      <c r="J757" s="1823"/>
      <c r="K757" s="1823"/>
      <c r="L757" s="1823"/>
      <c r="M757" s="1823"/>
      <c r="N757" s="1823"/>
      <c r="O757" s="1823"/>
      <c r="P757" s="1823"/>
      <c r="Q757" s="1058"/>
      <c r="R757" s="1058"/>
      <c r="S757" s="1058"/>
      <c r="T757" s="2035">
        <f t="shared" si="139"/>
        <v>0</v>
      </c>
    </row>
    <row r="758" spans="1:20" ht="22.2" hidden="1" customHeight="1">
      <c r="A758" s="59"/>
      <c r="B758" s="1588" t="s">
        <v>1199</v>
      </c>
      <c r="C758" s="1013" t="str">
        <f t="shared" si="140"/>
        <v xml:space="preserve"> </v>
      </c>
      <c r="D758" s="1534">
        <f>1.2*0</f>
        <v>0</v>
      </c>
      <c r="E758" s="1044" t="str">
        <f>VLOOKUP($B758,DG!A:C,2,)</f>
        <v>02.1461</v>
      </c>
      <c r="F758" s="1049" t="str">
        <f>VLOOKUP($B758,DG!A:C,3,)</f>
        <v>V/c cột vào vị trí (cự ly &lt;=100m)</v>
      </c>
      <c r="G758" s="1044" t="str">
        <f>VLOOKUP($B758,DG!A:D,4,0)</f>
        <v>tấn</v>
      </c>
      <c r="H758" s="1823"/>
      <c r="I758" s="1823"/>
      <c r="J758" s="1823"/>
      <c r="K758" s="1823"/>
      <c r="L758" s="1823"/>
      <c r="M758" s="1823"/>
      <c r="N758" s="1823"/>
      <c r="O758" s="1823"/>
      <c r="P758" s="1823"/>
      <c r="Q758" s="1058"/>
      <c r="R758" s="1058"/>
      <c r="S758" s="1058"/>
      <c r="T758" s="2035">
        <f t="shared" si="139"/>
        <v>0</v>
      </c>
    </row>
    <row r="759" spans="1:20" ht="22.2" hidden="1" customHeight="1">
      <c r="A759" s="59"/>
      <c r="B759" s="1588" t="s">
        <v>635</v>
      </c>
      <c r="C759" s="1013" t="str">
        <f t="shared" si="140"/>
        <v xml:space="preserve"> </v>
      </c>
      <c r="D759" s="1534">
        <f>0.25*0</f>
        <v>0</v>
      </c>
      <c r="E759" s="1044" t="str">
        <f>VLOOKUP($B759,DG!A:C,2,)</f>
        <v>02.1482</v>
      </c>
      <c r="F759" s="1049" t="str">
        <f>VLOOKUP($B759,DG!A:C,3,)</f>
        <v>V/c dụng cụ thi công vào vị trí (cự ly &lt;=100m)</v>
      </c>
      <c r="G759" s="1044" t="str">
        <f>VLOOKUP($B759,DG!A:D,4,0)</f>
        <v>tấn</v>
      </c>
      <c r="H759" s="1823"/>
      <c r="I759" s="1823"/>
      <c r="J759" s="1823"/>
      <c r="K759" s="1823"/>
      <c r="L759" s="1823"/>
      <c r="M759" s="1823"/>
      <c r="N759" s="1823"/>
      <c r="O759" s="1823"/>
      <c r="P759" s="1823"/>
      <c r="Q759" s="1058"/>
      <c r="R759" s="1058"/>
      <c r="S759" s="1058"/>
      <c r="T759" s="2035">
        <f t="shared" si="139"/>
        <v>0</v>
      </c>
    </row>
    <row r="760" spans="1:20" ht="22.2" hidden="1" customHeight="1">
      <c r="A760" s="58" t="s">
        <v>2314</v>
      </c>
      <c r="B760" s="1580" t="s">
        <v>2314</v>
      </c>
      <c r="C760" s="1013" t="str">
        <f t="shared" si="140"/>
        <v xml:space="preserve"> </v>
      </c>
      <c r="D760" s="1532"/>
      <c r="E760" s="1045"/>
      <c r="F760" s="1392" t="s">
        <v>2417</v>
      </c>
      <c r="G760" s="1046" t="s">
        <v>2283</v>
      </c>
      <c r="H760" s="1821">
        <f>SUM(I760:O760)</f>
        <v>0</v>
      </c>
      <c r="I760" s="1822"/>
      <c r="J760" s="1822"/>
      <c r="K760" s="1822">
        <f>IFERROR(HLOOKUP(B760,pp3p1m!$1:$3,3,0),0)</f>
        <v>0</v>
      </c>
      <c r="L760" s="1822">
        <f>IFERROR(HLOOKUP(chitiet!B760,pp1p!$1:$3,3,0),0)</f>
        <v>0</v>
      </c>
      <c r="M760" s="1822"/>
      <c r="N760" s="1822"/>
      <c r="O760" s="1822"/>
      <c r="P760" s="1822"/>
      <c r="Q760" s="1047"/>
      <c r="R760" s="1047"/>
      <c r="S760" s="1047"/>
      <c r="T760" s="2035">
        <f>IFERROR(HLOOKUP(B760,pp1p!$1:$3,3,0),0)+IFERROR(HLOOKUP(B760,pp3p1m!$1:$3,3,0),0)</f>
        <v>0</v>
      </c>
    </row>
    <row r="761" spans="1:20" ht="22.2" hidden="1" customHeight="1">
      <c r="A761" s="59"/>
      <c r="B761" s="1577" t="s">
        <v>2418</v>
      </c>
      <c r="C761" s="1013" t="str">
        <f t="shared" si="140"/>
        <v xml:space="preserve"> </v>
      </c>
      <c r="D761" s="1535">
        <v>1</v>
      </c>
      <c r="E761" s="1044"/>
      <c r="F761" s="1056" t="str">
        <f>VLOOKUP($B761,DG!A:D,DG!$C$2,)</f>
        <v>Trụ BTLT 12m F350 dự ứng lực (tiếp địa có sẵn)</v>
      </c>
      <c r="G761" s="1044" t="str">
        <f>VLOOKUP($B761,DG!A:D,DG!$D$2,)</f>
        <v>trụ</v>
      </c>
      <c r="H761" s="1823">
        <f>H$760*$D761</f>
        <v>0</v>
      </c>
      <c r="I761" s="1823">
        <f>I$746*$D761</f>
        <v>0</v>
      </c>
      <c r="J761" s="1823">
        <f>J$746*$D761</f>
        <v>0</v>
      </c>
      <c r="K761" s="1823">
        <f>K$760*$D761</f>
        <v>0</v>
      </c>
      <c r="L761" s="1823">
        <f>L$760*$D761</f>
        <v>0</v>
      </c>
      <c r="M761" s="1823">
        <f t="shared" ref="M761:O762" si="144">M$746*$D761</f>
        <v>0</v>
      </c>
      <c r="N761" s="1823">
        <f t="shared" si="144"/>
        <v>0</v>
      </c>
      <c r="O761" s="1823">
        <f t="shared" si="144"/>
        <v>0</v>
      </c>
      <c r="P761" s="1823"/>
      <c r="Q761" s="1053"/>
      <c r="R761" s="1053"/>
      <c r="S761" s="1053"/>
      <c r="T761" s="2035">
        <f t="shared" si="139"/>
        <v>0</v>
      </c>
    </row>
    <row r="762" spans="1:20" ht="22.2" hidden="1" customHeight="1">
      <c r="A762" s="59"/>
      <c r="B762" s="1577" t="s">
        <v>1818</v>
      </c>
      <c r="C762" s="1013" t="str">
        <f t="shared" si="140"/>
        <v xml:space="preserve"> </v>
      </c>
      <c r="D762" s="1535">
        <v>1</v>
      </c>
      <c r="E762" s="1044"/>
      <c r="F762" s="1056" t="str">
        <f>VLOOKUP($B762,DG!A:D,DG!$C$2,)</f>
        <v>Vật liệu dựng trụ</v>
      </c>
      <c r="G762" s="1044" t="str">
        <f>VLOOKUP($B762,DG!A:D,DG!$D$2,)</f>
        <v>trụ</v>
      </c>
      <c r="H762" s="1823">
        <f>H$760*$D762</f>
        <v>0</v>
      </c>
      <c r="I762" s="1823">
        <f>I$746*$D762</f>
        <v>0</v>
      </c>
      <c r="J762" s="1823">
        <f>J$746*$D762</f>
        <v>0</v>
      </c>
      <c r="K762" s="1823">
        <f>K$760*$D762</f>
        <v>0</v>
      </c>
      <c r="L762" s="1823">
        <f>L$760*$D762</f>
        <v>0</v>
      </c>
      <c r="M762" s="1823">
        <f t="shared" si="144"/>
        <v>0</v>
      </c>
      <c r="N762" s="1823">
        <f t="shared" si="144"/>
        <v>0</v>
      </c>
      <c r="O762" s="1823">
        <f t="shared" si="144"/>
        <v>0</v>
      </c>
      <c r="P762" s="1823"/>
      <c r="Q762" s="1053"/>
      <c r="R762" s="1053"/>
      <c r="S762" s="1053"/>
      <c r="T762" s="2035">
        <f t="shared" si="139"/>
        <v>0</v>
      </c>
    </row>
    <row r="763" spans="1:20" ht="22.2" hidden="1" customHeight="1">
      <c r="A763" s="59"/>
      <c r="B763" s="1577" t="s">
        <v>2175</v>
      </c>
      <c r="C763" s="1013" t="str">
        <f t="shared" si="140"/>
        <v xml:space="preserve"> </v>
      </c>
      <c r="D763" s="1535">
        <v>1</v>
      </c>
      <c r="E763" s="1044" t="str">
        <f>VLOOKUP($B763,DG!A:D,DG!$B$2,)</f>
        <v>05.5402</v>
      </c>
      <c r="F763" s="1056" t="str">
        <f>VLOOKUP($B763,DG!A:D,DG!$C$2,)</f>
        <v>Dựng trụ BTLT 12m thủ công + cơ giới</v>
      </c>
      <c r="G763" s="1044" t="str">
        <f>VLOOKUP($B763,DG!A:D,DG!$D$2,)</f>
        <v>trụ</v>
      </c>
      <c r="H763" s="1823"/>
      <c r="I763" s="1823"/>
      <c r="J763" s="1823"/>
      <c r="K763" s="1823"/>
      <c r="L763" s="1823"/>
      <c r="M763" s="1823"/>
      <c r="N763" s="1823"/>
      <c r="O763" s="1823"/>
      <c r="P763" s="1823"/>
      <c r="Q763" s="1058"/>
      <c r="R763" s="1058"/>
      <c r="S763" s="1058"/>
      <c r="T763" s="2035">
        <f t="shared" si="139"/>
        <v>0</v>
      </c>
    </row>
    <row r="764" spans="1:20" ht="22.2" hidden="1" customHeight="1">
      <c r="A764" s="54" t="s">
        <v>302</v>
      </c>
      <c r="B764" s="1580" t="s">
        <v>302</v>
      </c>
      <c r="C764" s="1013" t="str">
        <f t="shared" si="140"/>
        <v xml:space="preserve"> </v>
      </c>
      <c r="D764" s="1532"/>
      <c r="E764" s="1045"/>
      <c r="F764" s="1392" t="s">
        <v>2419</v>
      </c>
      <c r="G764" s="1046" t="s">
        <v>2283</v>
      </c>
      <c r="H764" s="1821">
        <f>SUM(I764:O764)</f>
        <v>0</v>
      </c>
      <c r="I764" s="1822"/>
      <c r="J764" s="1822"/>
      <c r="K764" s="1822">
        <f>IFERROR(HLOOKUP(B764,pp3p1m!$1:$3,3,0),0)</f>
        <v>0</v>
      </c>
      <c r="L764" s="1822">
        <f>IFERROR(HLOOKUP(chitiet!B764,pp1p!$1:$3,3,0),0)</f>
        <v>0</v>
      </c>
      <c r="M764" s="1822"/>
      <c r="N764" s="1822"/>
      <c r="O764" s="1822"/>
      <c r="P764" s="1822"/>
      <c r="Q764" s="1047"/>
      <c r="R764" s="1047"/>
      <c r="S764" s="1047"/>
      <c r="T764" s="2035">
        <f>IFERROR(HLOOKUP(B764,pp1p!$1:$3,3,0),0)+IFERROR(HLOOKUP(B764,pp3p1m!$1:$3,3,0),0)</f>
        <v>0</v>
      </c>
    </row>
    <row r="765" spans="1:20" ht="22.2" hidden="1" customHeight="1">
      <c r="A765" s="59"/>
      <c r="B765" s="1577" t="s">
        <v>107</v>
      </c>
      <c r="C765" s="1013" t="str">
        <f t="shared" si="140"/>
        <v xml:space="preserve"> </v>
      </c>
      <c r="D765" s="1535">
        <v>1</v>
      </c>
      <c r="E765" s="1044"/>
      <c r="F765" s="1056" t="str">
        <f>VLOOKUP($B765,DG!A:D,DG!$C$2,)</f>
        <v>Trụ BTLT 14m F650 dự ứng lực</v>
      </c>
      <c r="G765" s="1044" t="str">
        <f>VLOOKUP($B765,DG!A:D,DG!$D$2,)</f>
        <v>trụ</v>
      </c>
      <c r="H765" s="1823">
        <f t="shared" ref="H765:N766" si="145">H$764*$D765</f>
        <v>0</v>
      </c>
      <c r="I765" s="1823">
        <f t="shared" si="145"/>
        <v>0</v>
      </c>
      <c r="J765" s="1823">
        <f t="shared" si="145"/>
        <v>0</v>
      </c>
      <c r="K765" s="1823">
        <f t="shared" si="145"/>
        <v>0</v>
      </c>
      <c r="L765" s="1823">
        <f t="shared" si="145"/>
        <v>0</v>
      </c>
      <c r="M765" s="1823">
        <f t="shared" si="145"/>
        <v>0</v>
      </c>
      <c r="N765" s="1823">
        <f t="shared" si="145"/>
        <v>0</v>
      </c>
      <c r="O765" s="1823"/>
      <c r="P765" s="1823"/>
      <c r="Q765" s="1053"/>
      <c r="R765" s="1053"/>
      <c r="S765" s="1053"/>
      <c r="T765" s="2035">
        <f t="shared" si="139"/>
        <v>0</v>
      </c>
    </row>
    <row r="766" spans="1:20" ht="22.2" hidden="1" customHeight="1">
      <c r="A766" s="59"/>
      <c r="B766" s="1577" t="s">
        <v>1818</v>
      </c>
      <c r="C766" s="1013" t="str">
        <f t="shared" si="140"/>
        <v xml:space="preserve"> </v>
      </c>
      <c r="D766" s="1535">
        <v>1</v>
      </c>
      <c r="E766" s="1044"/>
      <c r="F766" s="1056" t="str">
        <f>VLOOKUP($B766,DG!A:D,DG!$C$2,)</f>
        <v>Vật liệu dựng trụ</v>
      </c>
      <c r="G766" s="1044" t="str">
        <f>VLOOKUP($B766,DG!A:D,DG!$D$2,)</f>
        <v>trụ</v>
      </c>
      <c r="H766" s="1823">
        <f t="shared" si="145"/>
        <v>0</v>
      </c>
      <c r="I766" s="1823">
        <f t="shared" si="145"/>
        <v>0</v>
      </c>
      <c r="J766" s="1823">
        <f t="shared" si="145"/>
        <v>0</v>
      </c>
      <c r="K766" s="1823">
        <f t="shared" si="145"/>
        <v>0</v>
      </c>
      <c r="L766" s="1823">
        <f t="shared" si="145"/>
        <v>0</v>
      </c>
      <c r="M766" s="1823">
        <f t="shared" si="145"/>
        <v>0</v>
      </c>
      <c r="N766" s="1823">
        <f t="shared" si="145"/>
        <v>0</v>
      </c>
      <c r="O766" s="1823"/>
      <c r="P766" s="1823"/>
      <c r="Q766" s="1053"/>
      <c r="R766" s="1053"/>
      <c r="S766" s="1053"/>
      <c r="T766" s="2035">
        <f t="shared" si="139"/>
        <v>0</v>
      </c>
    </row>
    <row r="767" spans="1:20" ht="22.2" hidden="1" customHeight="1">
      <c r="A767" s="59"/>
      <c r="B767" s="1577" t="s">
        <v>1663</v>
      </c>
      <c r="C767" s="1013" t="str">
        <f t="shared" si="140"/>
        <v xml:space="preserve"> </v>
      </c>
      <c r="D767" s="1535">
        <v>1</v>
      </c>
      <c r="E767" s="1044" t="str">
        <f>VLOOKUP($B767,DG!A:D,DG!$B$2,)</f>
        <v>05.5224</v>
      </c>
      <c r="F767" s="1056" t="str">
        <f>VLOOKUP($B767,DG!A:D,DG!$C$2,)</f>
        <v>Dựng trụ BTLT 14m thủ công + cơ giới</v>
      </c>
      <c r="G767" s="1044" t="str">
        <f>VLOOKUP($B767,DG!A:D,DG!$D$2,)</f>
        <v>trụ</v>
      </c>
      <c r="H767" s="1823"/>
      <c r="I767" s="1823"/>
      <c r="J767" s="1823"/>
      <c r="K767" s="1823"/>
      <c r="L767" s="1823"/>
      <c r="M767" s="1823"/>
      <c r="N767" s="1823"/>
      <c r="O767" s="1823"/>
      <c r="P767" s="1823"/>
      <c r="Q767" s="1058"/>
      <c r="R767" s="1058"/>
      <c r="S767" s="1058"/>
      <c r="T767" s="2035">
        <f t="shared" si="139"/>
        <v>0</v>
      </c>
    </row>
    <row r="768" spans="1:20" ht="22.2" hidden="1" customHeight="1">
      <c r="A768" s="59"/>
      <c r="B768" s="1577" t="s">
        <v>1198</v>
      </c>
      <c r="C768" s="1013" t="str">
        <f t="shared" si="140"/>
        <v xml:space="preserve"> </v>
      </c>
      <c r="D768" s="1534"/>
      <c r="E768" s="1044" t="str">
        <f>VLOOKUP($B768,DG!A:D,DG!$B$2,)</f>
        <v>02.1124</v>
      </c>
      <c r="F768" s="1049" t="str">
        <f>VLOOKUP($B768,DG!A:D,DG!$C$2,)</f>
        <v xml:space="preserve">Bốc dỡ trụ </v>
      </c>
      <c r="G768" s="1044" t="str">
        <f>VLOOKUP($B768,DG!A:D,DG!$D$2,)</f>
        <v>tấn</v>
      </c>
      <c r="H768" s="1823"/>
      <c r="I768" s="1823"/>
      <c r="J768" s="1823"/>
      <c r="K768" s="1823"/>
      <c r="L768" s="1823"/>
      <c r="M768" s="1823"/>
      <c r="N768" s="1823"/>
      <c r="O768" s="1823"/>
      <c r="P768" s="1823"/>
      <c r="Q768" s="1058"/>
      <c r="R768" s="1058"/>
      <c r="S768" s="1058"/>
      <c r="T768" s="2035">
        <f t="shared" si="139"/>
        <v>0</v>
      </c>
    </row>
    <row r="769" spans="1:20" ht="22.2" hidden="1" customHeight="1">
      <c r="A769" s="59"/>
      <c r="B769" s="1588" t="s">
        <v>1199</v>
      </c>
      <c r="C769" s="1013" t="str">
        <f t="shared" si="140"/>
        <v xml:space="preserve"> </v>
      </c>
      <c r="D769" s="1534"/>
      <c r="E769" s="1044" t="str">
        <f>VLOOKUP($B769,DG!A:C,2,)</f>
        <v>02.1461</v>
      </c>
      <c r="F769" s="1049" t="str">
        <f>VLOOKUP($B769,DG!A:C,3,)</f>
        <v>V/c cột vào vị trí (cự ly &lt;=100m)</v>
      </c>
      <c r="G769" s="1044" t="str">
        <f>VLOOKUP($B769,DG!A:D,4,0)</f>
        <v>tấn</v>
      </c>
      <c r="H769" s="1823"/>
      <c r="I769" s="1823"/>
      <c r="J769" s="1823"/>
      <c r="K769" s="1823"/>
      <c r="L769" s="1823"/>
      <c r="M769" s="1823"/>
      <c r="N769" s="1823"/>
      <c r="O769" s="1823"/>
      <c r="P769" s="1823"/>
      <c r="Q769" s="1058"/>
      <c r="R769" s="1058"/>
      <c r="S769" s="1058"/>
      <c r="T769" s="2035">
        <f t="shared" si="139"/>
        <v>0</v>
      </c>
    </row>
    <row r="770" spans="1:20" ht="22.2" hidden="1" customHeight="1">
      <c r="A770" s="59"/>
      <c r="B770" s="1588" t="s">
        <v>635</v>
      </c>
      <c r="C770" s="1013" t="str">
        <f t="shared" si="140"/>
        <v xml:space="preserve"> </v>
      </c>
      <c r="D770" s="1534"/>
      <c r="E770" s="1044" t="str">
        <f>VLOOKUP($B770,DG!A:C,2,)</f>
        <v>02.1482</v>
      </c>
      <c r="F770" s="1049" t="str">
        <f>VLOOKUP($B770,DG!A:C,3,)</f>
        <v>V/c dụng cụ thi công vào vị trí (cự ly &lt;=100m)</v>
      </c>
      <c r="G770" s="1044" t="str">
        <f>VLOOKUP($B770,DG!A:D,4,0)</f>
        <v>tấn</v>
      </c>
      <c r="H770" s="1823"/>
      <c r="I770" s="1823"/>
      <c r="J770" s="1823"/>
      <c r="K770" s="1823"/>
      <c r="L770" s="1823"/>
      <c r="M770" s="1823"/>
      <c r="N770" s="1823"/>
      <c r="O770" s="1823"/>
      <c r="P770" s="1823"/>
      <c r="Q770" s="1058"/>
      <c r="R770" s="1058"/>
      <c r="S770" s="1058"/>
      <c r="T770" s="2035">
        <f t="shared" si="139"/>
        <v>0</v>
      </c>
    </row>
    <row r="771" spans="1:20" ht="22.2" hidden="1" customHeight="1">
      <c r="A771" s="54" t="s">
        <v>759</v>
      </c>
      <c r="B771" s="1580" t="s">
        <v>759</v>
      </c>
      <c r="C771" s="1013" t="str">
        <f t="shared" si="140"/>
        <v xml:space="preserve"> </v>
      </c>
      <c r="D771" s="1532"/>
      <c r="E771" s="1045"/>
      <c r="F771" s="1392" t="s">
        <v>2420</v>
      </c>
      <c r="G771" s="1046" t="s">
        <v>2283</v>
      </c>
      <c r="H771" s="1821">
        <f>SUM(I771:O771)</f>
        <v>0</v>
      </c>
      <c r="I771" s="1822"/>
      <c r="J771" s="1822"/>
      <c r="K771" s="1822">
        <f>IFERROR(HLOOKUP(B771,pp3p1m!$1:$3,3,0),0)</f>
        <v>0</v>
      </c>
      <c r="L771" s="1822">
        <f>IFERROR(HLOOKUP(chitiet!B771,pp1p!$1:$3,3,0),0)</f>
        <v>0</v>
      </c>
      <c r="M771" s="1822"/>
      <c r="N771" s="1822"/>
      <c r="O771" s="1822"/>
      <c r="P771" s="1822"/>
      <c r="Q771" s="1047"/>
      <c r="R771" s="1047"/>
      <c r="S771" s="1047"/>
      <c r="T771" s="2035">
        <f>IFERROR(HLOOKUP(B771,pp1p!$1:$3,3,0),0)+IFERROR(HLOOKUP(B771,pp3p1m!$1:$3,3,0),0)</f>
        <v>0</v>
      </c>
    </row>
    <row r="772" spans="1:20" ht="22.2" hidden="1" customHeight="1">
      <c r="A772" s="59"/>
      <c r="B772" s="1577" t="s">
        <v>2097</v>
      </c>
      <c r="C772" s="1013" t="str">
        <f t="shared" si="140"/>
        <v xml:space="preserve"> </v>
      </c>
      <c r="D772" s="1535">
        <v>1</v>
      </c>
      <c r="E772" s="1044"/>
      <c r="F772" s="1056" t="str">
        <f>VLOOKUP($B772,DG!A:D,DG!$C$2,)</f>
        <v>Trụ BTLT 20m F1000 dự ứng lực</v>
      </c>
      <c r="G772" s="1044" t="str">
        <f>VLOOKUP($B772,DG!A:D,DG!$D$2,)</f>
        <v>trụ</v>
      </c>
      <c r="H772" s="1823">
        <f t="shared" ref="H772:J773" si="146">H$771*$D772</f>
        <v>0</v>
      </c>
      <c r="I772" s="1823">
        <f t="shared" si="146"/>
        <v>0</v>
      </c>
      <c r="J772" s="1823">
        <f t="shared" si="146"/>
        <v>0</v>
      </c>
      <c r="K772" s="1823">
        <f>K$764*$D772</f>
        <v>0</v>
      </c>
      <c r="L772" s="1823">
        <f>L$764*$D772</f>
        <v>0</v>
      </c>
      <c r="M772" s="1823"/>
      <c r="N772" s="1823"/>
      <c r="O772" s="1823"/>
      <c r="P772" s="1823"/>
      <c r="Q772" s="1053"/>
      <c r="R772" s="1053"/>
      <c r="S772" s="1053"/>
      <c r="T772" s="2035">
        <f t="shared" si="139"/>
        <v>0</v>
      </c>
    </row>
    <row r="773" spans="1:20" ht="22.2" hidden="1" customHeight="1">
      <c r="A773" s="59"/>
      <c r="B773" s="1577" t="s">
        <v>1818</v>
      </c>
      <c r="C773" s="1013" t="str">
        <f t="shared" si="140"/>
        <v xml:space="preserve"> </v>
      </c>
      <c r="D773" s="1535">
        <v>1</v>
      </c>
      <c r="E773" s="1044"/>
      <c r="F773" s="1056" t="str">
        <f>VLOOKUP($B773,DG!A:D,DG!$C$2,)</f>
        <v>Vật liệu dựng trụ</v>
      </c>
      <c r="G773" s="1044" t="str">
        <f>VLOOKUP($B773,DG!A:D,DG!$D$2,)</f>
        <v>trụ</v>
      </c>
      <c r="H773" s="1823">
        <f t="shared" si="146"/>
        <v>0</v>
      </c>
      <c r="I773" s="1823">
        <f t="shared" si="146"/>
        <v>0</v>
      </c>
      <c r="J773" s="1823">
        <f t="shared" si="146"/>
        <v>0</v>
      </c>
      <c r="K773" s="1823">
        <f>K$764*$D773</f>
        <v>0</v>
      </c>
      <c r="L773" s="1823">
        <f>L$764*$D773</f>
        <v>0</v>
      </c>
      <c r="M773" s="1823"/>
      <c r="N773" s="1823"/>
      <c r="O773" s="1823"/>
      <c r="P773" s="1823"/>
      <c r="Q773" s="1053"/>
      <c r="R773" s="1053"/>
      <c r="S773" s="1053"/>
      <c r="T773" s="2035">
        <f t="shared" si="139"/>
        <v>0</v>
      </c>
    </row>
    <row r="774" spans="1:20" ht="22.2" hidden="1" customHeight="1">
      <c r="A774" s="59"/>
      <c r="B774" s="1577" t="s">
        <v>1665</v>
      </c>
      <c r="C774" s="1013" t="str">
        <f t="shared" si="140"/>
        <v xml:space="preserve"> </v>
      </c>
      <c r="D774" s="1535">
        <v>1</v>
      </c>
      <c r="E774" s="1044" t="str">
        <f>VLOOKUP($B774,DG!A:D,DG!$B$2,)</f>
        <v>05.5227</v>
      </c>
      <c r="F774" s="1056" t="str">
        <f>VLOOKUP($B774,DG!A:D,DG!$C$2,)</f>
        <v>Dựng trụ BTLT 20m thủ công + cơ giới</v>
      </c>
      <c r="G774" s="1044" t="str">
        <f>VLOOKUP($B774,DG!A:D,DG!$D$2,)</f>
        <v>trụ</v>
      </c>
      <c r="H774" s="1823"/>
      <c r="I774" s="1823"/>
      <c r="J774" s="1823"/>
      <c r="K774" s="1823"/>
      <c r="L774" s="1823"/>
      <c r="M774" s="1823"/>
      <c r="N774" s="1823"/>
      <c r="O774" s="1823"/>
      <c r="P774" s="1823"/>
      <c r="Q774" s="1058"/>
      <c r="R774" s="1058"/>
      <c r="S774" s="1058"/>
      <c r="T774" s="2035">
        <f t="shared" si="139"/>
        <v>0</v>
      </c>
    </row>
    <row r="775" spans="1:20" ht="22.2" hidden="1" customHeight="1">
      <c r="A775" s="59"/>
      <c r="B775" s="1577" t="s">
        <v>1198</v>
      </c>
      <c r="C775" s="1013" t="str">
        <f t="shared" si="140"/>
        <v xml:space="preserve"> </v>
      </c>
      <c r="D775" s="1534">
        <v>2.72</v>
      </c>
      <c r="E775" s="1044" t="str">
        <f>VLOOKUP($B775,DG!A:D,DG!$B$2,)</f>
        <v>02.1124</v>
      </c>
      <c r="F775" s="1049" t="str">
        <f>VLOOKUP($B775,DG!A:D,DG!$C$2,)</f>
        <v xml:space="preserve">Bốc dỡ trụ </v>
      </c>
      <c r="G775" s="1044" t="str">
        <f>VLOOKUP($B775,DG!A:D,DG!$D$2,)</f>
        <v>tấn</v>
      </c>
      <c r="H775" s="1823"/>
      <c r="I775" s="1823"/>
      <c r="J775" s="1823"/>
      <c r="K775" s="1823"/>
      <c r="L775" s="1823"/>
      <c r="M775" s="1823"/>
      <c r="N775" s="1823"/>
      <c r="O775" s="1823"/>
      <c r="P775" s="1823"/>
      <c r="Q775" s="1058"/>
      <c r="R775" s="1058"/>
      <c r="S775" s="1058"/>
      <c r="T775" s="2035">
        <f t="shared" si="139"/>
        <v>0</v>
      </c>
    </row>
    <row r="776" spans="1:20" ht="22.2" hidden="1" customHeight="1">
      <c r="A776" s="59"/>
      <c r="B776" s="1588" t="s">
        <v>1199</v>
      </c>
      <c r="C776" s="1013" t="str">
        <f t="shared" si="140"/>
        <v xml:space="preserve"> </v>
      </c>
      <c r="D776" s="1534">
        <v>2.72</v>
      </c>
      <c r="E776" s="1044" t="str">
        <f>VLOOKUP($B776,DG!A:C,2,)</f>
        <v>02.1461</v>
      </c>
      <c r="F776" s="1049" t="str">
        <f>VLOOKUP($B776,DG!A:C,3,)</f>
        <v>V/c cột vào vị trí (cự ly &lt;=100m)</v>
      </c>
      <c r="G776" s="1044" t="str">
        <f>VLOOKUP($B776,DG!A:D,4,0)</f>
        <v>tấn</v>
      </c>
      <c r="H776" s="1823"/>
      <c r="I776" s="1823"/>
      <c r="J776" s="1823"/>
      <c r="K776" s="1823"/>
      <c r="L776" s="1823"/>
      <c r="M776" s="1823"/>
      <c r="N776" s="1823"/>
      <c r="O776" s="1823"/>
      <c r="P776" s="1823"/>
      <c r="Q776" s="1058"/>
      <c r="R776" s="1058"/>
      <c r="S776" s="1058"/>
      <c r="T776" s="2035">
        <f t="shared" si="139"/>
        <v>0</v>
      </c>
    </row>
    <row r="777" spans="1:20" ht="22.2" hidden="1" customHeight="1">
      <c r="A777" s="59"/>
      <c r="B777" s="1588" t="s">
        <v>635</v>
      </c>
      <c r="C777" s="1013" t="str">
        <f t="shared" si="140"/>
        <v xml:space="preserve"> </v>
      </c>
      <c r="D777" s="1534">
        <v>0.25</v>
      </c>
      <c r="E777" s="1044" t="str">
        <f>VLOOKUP($B777,DG!A:C,2,)</f>
        <v>02.1482</v>
      </c>
      <c r="F777" s="1049" t="str">
        <f>VLOOKUP($B777,DG!A:C,3,)</f>
        <v>V/c dụng cụ thi công vào vị trí (cự ly &lt;=100m)</v>
      </c>
      <c r="G777" s="1044" t="str">
        <f>VLOOKUP($B777,DG!A:D,4,0)</f>
        <v>tấn</v>
      </c>
      <c r="H777" s="1823"/>
      <c r="I777" s="1823"/>
      <c r="J777" s="1823"/>
      <c r="K777" s="1823"/>
      <c r="L777" s="1823"/>
      <c r="M777" s="1823"/>
      <c r="N777" s="1823"/>
      <c r="O777" s="1823"/>
      <c r="P777" s="1823"/>
      <c r="Q777" s="1058"/>
      <c r="R777" s="1058"/>
      <c r="S777" s="1058"/>
      <c r="T777" s="2035">
        <f t="shared" si="139"/>
        <v>0</v>
      </c>
    </row>
    <row r="778" spans="1:20" ht="22.2" hidden="1" customHeight="1">
      <c r="A778" s="1572"/>
      <c r="B778" s="1574">
        <v>0</v>
      </c>
      <c r="C778" s="1013" t="str">
        <f>IF(SUM(I778:O778)&gt;0,"x"," ")</f>
        <v xml:space="preserve"> </v>
      </c>
      <c r="D778" s="1547">
        <f>SUM(H778:N778)+S778</f>
        <v>0</v>
      </c>
      <c r="E778" s="1046" t="s">
        <v>1618</v>
      </c>
      <c r="F778" s="1392" t="s">
        <v>2296</v>
      </c>
      <c r="G778" s="1045"/>
      <c r="H778" s="1821">
        <f t="shared" ref="H778:H779" si="147">SUM(I778:O778)</f>
        <v>0</v>
      </c>
      <c r="I778" s="1816"/>
      <c r="J778" s="1816"/>
      <c r="K778" s="1822">
        <f>IFERROR(HLOOKUP(B778,pp3p1m!$1:$3,3,0),0)</f>
        <v>0</v>
      </c>
      <c r="L778" s="1822">
        <f>IFERROR(HLOOKUP(chitiet!B778,pp1p!$1:$3,3,0),0)</f>
        <v>0</v>
      </c>
      <c r="M778" s="1816"/>
      <c r="N778" s="1816"/>
      <c r="O778" s="1816"/>
      <c r="P778" s="1821" t="str">
        <f>IF(SUM(P779:P1490)&gt;0," ","")</f>
        <v xml:space="preserve"> </v>
      </c>
      <c r="Q778" s="1045"/>
      <c r="R778" s="1045"/>
      <c r="S778" s="1045"/>
      <c r="T778" s="2035">
        <f>IFERROR(HLOOKUP(B778,pp1p!$1:$3,3,0),0)+IFERROR(HLOOKUP(B778,pp3p1m!$1:$3,3,0),0)</f>
        <v>0</v>
      </c>
    </row>
    <row r="779" spans="1:20" ht="22.2" hidden="1" customHeight="1">
      <c r="A779" s="56" t="s">
        <v>2315</v>
      </c>
      <c r="B779" s="1574" t="s">
        <v>2315</v>
      </c>
      <c r="C779" s="1013" t="str">
        <f t="shared" si="140"/>
        <v xml:space="preserve"> </v>
      </c>
      <c r="D779" s="1532"/>
      <c r="E779" s="1045"/>
      <c r="F779" s="1392" t="s">
        <v>2421</v>
      </c>
      <c r="G779" s="1046" t="s">
        <v>2391</v>
      </c>
      <c r="H779" s="1821">
        <f t="shared" si="147"/>
        <v>0</v>
      </c>
      <c r="I779" s="1822"/>
      <c r="J779" s="1822"/>
      <c r="K779" s="1822">
        <f>IFERROR(HLOOKUP(B779,pp3p1m!$1:$3,3,0),0)</f>
        <v>0</v>
      </c>
      <c r="L779" s="1822">
        <f>IFERROR(HLOOKUP(chitiet!B779,pp1p!$1:$3,3,0),0)</f>
        <v>0</v>
      </c>
      <c r="M779" s="1822"/>
      <c r="N779" s="1822"/>
      <c r="O779" s="1822"/>
      <c r="P779" s="1821">
        <f>T779</f>
        <v>0</v>
      </c>
      <c r="Q779" s="1047"/>
      <c r="R779" s="1047"/>
      <c r="S779" s="1047"/>
      <c r="T779" s="2035">
        <f>IFERROR(HLOOKUP(B779,pp1p!$1:$3,3,0),0)+IFERROR(HLOOKUP(B779,pp3p1m!$1:$3,3,0),0)</f>
        <v>0</v>
      </c>
    </row>
    <row r="780" spans="1:20" ht="22.2" hidden="1" customHeight="1">
      <c r="A780" s="59"/>
      <c r="B780" s="1577" t="s">
        <v>4721</v>
      </c>
      <c r="C780" s="1013" t="str">
        <f t="shared" si="140"/>
        <v xml:space="preserve"> </v>
      </c>
      <c r="D780" s="1534">
        <v>1</v>
      </c>
      <c r="E780" s="1044"/>
      <c r="F780" s="1056" t="str">
        <f>VLOOKUP($B780,DG!A:D,DG!$C$2,)</f>
        <v>Đà 1,66m X-16Đ</v>
      </c>
      <c r="G780" s="1044" t="str">
        <f>VLOOKUP($B780,DG!A:D,DG!$D$2,)</f>
        <v>Cái</v>
      </c>
      <c r="H780" s="1823">
        <f>H$779*$D780</f>
        <v>0</v>
      </c>
      <c r="I780" s="2109">
        <f t="shared" ref="I780:O780" si="148">I$779*$D780</f>
        <v>0</v>
      </c>
      <c r="J780" s="2109">
        <f t="shared" si="148"/>
        <v>0</v>
      </c>
      <c r="K780" s="2109">
        <f t="shared" si="148"/>
        <v>0</v>
      </c>
      <c r="L780" s="2109">
        <f t="shared" si="148"/>
        <v>0</v>
      </c>
      <c r="M780" s="2109">
        <f t="shared" si="148"/>
        <v>0</v>
      </c>
      <c r="N780" s="2109">
        <f t="shared" si="148"/>
        <v>0</v>
      </c>
      <c r="O780" s="2109">
        <f t="shared" si="148"/>
        <v>0</v>
      </c>
      <c r="P780" s="1823">
        <f>P$779*$D780</f>
        <v>0</v>
      </c>
      <c r="Q780" s="2109"/>
      <c r="R780" s="2109"/>
      <c r="S780" s="1053"/>
      <c r="T780" s="2035">
        <f t="shared" si="139"/>
        <v>0</v>
      </c>
    </row>
    <row r="781" spans="1:20" ht="22.2" hidden="1" customHeight="1">
      <c r="A781" s="59"/>
      <c r="B781" s="1577" t="s">
        <v>4717</v>
      </c>
      <c r="C781" s="1013" t="str">
        <f t="shared" si="140"/>
        <v xml:space="preserve"> </v>
      </c>
      <c r="D781" s="1534">
        <v>2</v>
      </c>
      <c r="E781" s="1044"/>
      <c r="F781" s="1056" t="str">
        <f>VLOOKUP($B781,DG!A:D,DG!$C$2,)</f>
        <v>Thanh chống đà  810</v>
      </c>
      <c r="G781" s="1044" t="str">
        <f>VLOOKUP($B781,DG!A:D,DG!$D$2,)</f>
        <v>cái</v>
      </c>
      <c r="H781" s="1823">
        <f t="shared" ref="H781:P788" si="149">H$779*$D781</f>
        <v>0</v>
      </c>
      <c r="I781" s="2109">
        <f t="shared" si="149"/>
        <v>0</v>
      </c>
      <c r="J781" s="2109">
        <f t="shared" si="149"/>
        <v>0</v>
      </c>
      <c r="K781" s="2109">
        <f t="shared" si="149"/>
        <v>0</v>
      </c>
      <c r="L781" s="2109">
        <f t="shared" si="149"/>
        <v>0</v>
      </c>
      <c r="M781" s="2109">
        <f t="shared" si="149"/>
        <v>0</v>
      </c>
      <c r="N781" s="2109">
        <f t="shared" si="149"/>
        <v>0</v>
      </c>
      <c r="O781" s="2109">
        <f t="shared" si="149"/>
        <v>0</v>
      </c>
      <c r="P781" s="1823">
        <f t="shared" si="149"/>
        <v>0</v>
      </c>
      <c r="Q781" s="2109"/>
      <c r="R781" s="2109"/>
      <c r="S781" s="1053"/>
      <c r="T781" s="2035">
        <f t="shared" si="139"/>
        <v>0</v>
      </c>
    </row>
    <row r="782" spans="1:20" ht="22.2" hidden="1" customHeight="1">
      <c r="A782" s="59"/>
      <c r="B782" s="1577" t="s">
        <v>1269</v>
      </c>
      <c r="C782" s="1013" t="str">
        <f t="shared" si="140"/>
        <v xml:space="preserve"> </v>
      </c>
      <c r="D782" s="1535">
        <v>1</v>
      </c>
      <c r="E782" s="1044"/>
      <c r="F782" s="1056" t="str">
        <f>VLOOKUP($B782,DG!A:D,DG!$C$2,)</f>
        <v>Chân sứ đỉnh thẳng dài 870mm</v>
      </c>
      <c r="G782" s="1044" t="str">
        <f>VLOOKUP($B782,DG!A:D,DG!$D$2,)</f>
        <v>cái</v>
      </c>
      <c r="H782" s="1823">
        <f t="shared" si="149"/>
        <v>0</v>
      </c>
      <c r="I782" s="2109">
        <f t="shared" si="149"/>
        <v>0</v>
      </c>
      <c r="J782" s="2109">
        <f t="shared" si="149"/>
        <v>0</v>
      </c>
      <c r="K782" s="2109">
        <f t="shared" si="149"/>
        <v>0</v>
      </c>
      <c r="L782" s="2109">
        <f t="shared" si="149"/>
        <v>0</v>
      </c>
      <c r="M782" s="2109">
        <f t="shared" si="149"/>
        <v>0</v>
      </c>
      <c r="N782" s="2109">
        <f t="shared" si="149"/>
        <v>0</v>
      </c>
      <c r="O782" s="2109">
        <f t="shared" si="149"/>
        <v>0</v>
      </c>
      <c r="P782" s="1823">
        <f t="shared" si="149"/>
        <v>0</v>
      </c>
      <c r="Q782" s="2109"/>
      <c r="R782" s="2109"/>
      <c r="S782" s="1053"/>
      <c r="T782" s="2035">
        <f t="shared" si="139"/>
        <v>0</v>
      </c>
    </row>
    <row r="783" spans="1:20" ht="22.2" hidden="1" customHeight="1">
      <c r="A783" s="59"/>
      <c r="B783" s="1577" t="s">
        <v>1612</v>
      </c>
      <c r="C783" s="1013" t="str">
        <f t="shared" si="140"/>
        <v xml:space="preserve"> </v>
      </c>
      <c r="D783" s="1535">
        <v>4</v>
      </c>
      <c r="E783" s="1044"/>
      <c r="F783" s="1056" t="str">
        <f>VLOOKUP($B783,DG!A:D,DG!$C$2,)</f>
        <v>Boulon 16x250+ 2 long đền vuông D18-50x50x3/Zn</v>
      </c>
      <c r="G783" s="1044" t="str">
        <f>VLOOKUP($B783,DG!A:D,DG!$D$2,)</f>
        <v>bộ</v>
      </c>
      <c r="H783" s="1823">
        <f t="shared" si="149"/>
        <v>0</v>
      </c>
      <c r="I783" s="2109">
        <f t="shared" si="149"/>
        <v>0</v>
      </c>
      <c r="J783" s="2109">
        <f t="shared" si="149"/>
        <v>0</v>
      </c>
      <c r="K783" s="2109">
        <f t="shared" si="149"/>
        <v>0</v>
      </c>
      <c r="L783" s="2109">
        <f t="shared" si="149"/>
        <v>0</v>
      </c>
      <c r="M783" s="2109">
        <f t="shared" si="149"/>
        <v>0</v>
      </c>
      <c r="N783" s="2109">
        <f t="shared" si="149"/>
        <v>0</v>
      </c>
      <c r="O783" s="2109">
        <f t="shared" si="149"/>
        <v>0</v>
      </c>
      <c r="P783" s="1823">
        <f t="shared" si="149"/>
        <v>0</v>
      </c>
      <c r="Q783" s="2109"/>
      <c r="R783" s="2109"/>
      <c r="S783" s="1053"/>
      <c r="T783" s="2035">
        <f t="shared" si="139"/>
        <v>0</v>
      </c>
    </row>
    <row r="784" spans="1:20" ht="22.2" hidden="1" customHeight="1">
      <c r="A784" s="59"/>
      <c r="B784" s="1577" t="s">
        <v>1790</v>
      </c>
      <c r="C784" s="1013" t="str">
        <f t="shared" si="140"/>
        <v xml:space="preserve"> </v>
      </c>
      <c r="D784" s="1535">
        <v>2</v>
      </c>
      <c r="E784" s="1044"/>
      <c r="F784" s="1056" t="str">
        <f>VLOOKUP($B784,DG!A:D,DG!$C$2,)</f>
        <v>Boulon 16x50+ 2 long đền vuông D18-50x50x3/Zn</v>
      </c>
      <c r="G784" s="1044" t="str">
        <f>VLOOKUP($B784,DG!A:D,DG!$D$2,)</f>
        <v>bộ</v>
      </c>
      <c r="H784" s="1823">
        <f t="shared" si="149"/>
        <v>0</v>
      </c>
      <c r="I784" s="2109">
        <f t="shared" si="149"/>
        <v>0</v>
      </c>
      <c r="J784" s="2109">
        <f t="shared" si="149"/>
        <v>0</v>
      </c>
      <c r="K784" s="2109">
        <f t="shared" si="149"/>
        <v>0</v>
      </c>
      <c r="L784" s="2109">
        <f t="shared" si="149"/>
        <v>0</v>
      </c>
      <c r="M784" s="2109">
        <f t="shared" si="149"/>
        <v>0</v>
      </c>
      <c r="N784" s="2109">
        <f t="shared" si="149"/>
        <v>0</v>
      </c>
      <c r="O784" s="2109">
        <f t="shared" si="149"/>
        <v>0</v>
      </c>
      <c r="P784" s="1823">
        <f t="shared" si="149"/>
        <v>0</v>
      </c>
      <c r="Q784" s="2109"/>
      <c r="R784" s="2109"/>
      <c r="S784" s="1053"/>
      <c r="T784" s="2035">
        <f t="shared" si="139"/>
        <v>0</v>
      </c>
    </row>
    <row r="785" spans="1:20" ht="22.2" hidden="1" customHeight="1">
      <c r="A785" s="59"/>
      <c r="B785" s="1577" t="s">
        <v>1999</v>
      </c>
      <c r="C785" s="1013" t="str">
        <f t="shared" si="140"/>
        <v xml:space="preserve"> </v>
      </c>
      <c r="D785" s="1535">
        <v>1</v>
      </c>
      <c r="E785" s="1048" t="str">
        <f>VLOOKUP($B785,DG!A:D,DG!$B$2,)</f>
        <v>05.6401</v>
      </c>
      <c r="F785" s="1049" t="str">
        <f>VLOOKUP($B785,DG!A:D,DG!$C$2,)</f>
        <v>Lắp xà đỡ ≤ 25kg</v>
      </c>
      <c r="G785" s="1044" t="str">
        <f>VLOOKUP($B785,DG!A:D,DG!$D$2,)</f>
        <v>bộ</v>
      </c>
      <c r="H785" s="1823">
        <f t="shared" si="149"/>
        <v>0</v>
      </c>
      <c r="I785" s="2109">
        <f t="shared" si="149"/>
        <v>0</v>
      </c>
      <c r="J785" s="2109">
        <f t="shared" si="149"/>
        <v>0</v>
      </c>
      <c r="K785" s="2109">
        <f t="shared" si="149"/>
        <v>0</v>
      </c>
      <c r="L785" s="2109">
        <f t="shared" si="149"/>
        <v>0</v>
      </c>
      <c r="M785" s="2109">
        <f t="shared" si="149"/>
        <v>0</v>
      </c>
      <c r="N785" s="2109">
        <f t="shared" si="149"/>
        <v>0</v>
      </c>
      <c r="O785" s="2109">
        <f t="shared" si="149"/>
        <v>0</v>
      </c>
      <c r="P785" s="1823">
        <f t="shared" si="149"/>
        <v>0</v>
      </c>
      <c r="Q785" s="2109"/>
      <c r="R785" s="2109"/>
      <c r="S785" s="1058"/>
      <c r="T785" s="2035">
        <f t="shared" si="139"/>
        <v>0</v>
      </c>
    </row>
    <row r="786" spans="1:20" ht="22.2" hidden="1" customHeight="1">
      <c r="A786" s="59"/>
      <c r="B786" s="1577" t="s">
        <v>2000</v>
      </c>
      <c r="C786" s="1013" t="str">
        <f t="shared" si="140"/>
        <v xml:space="preserve"> </v>
      </c>
      <c r="D786" s="1533"/>
      <c r="E786" s="1044" t="str">
        <f>VLOOKUP($B786,DG!A:D,DG!$B$2,)</f>
        <v>02.1115</v>
      </c>
      <c r="F786" s="1049" t="str">
        <f>VLOOKUP($B786,DG!A:D,DG!$C$2,)</f>
        <v>Bốc dỡ xà, thép thanh</v>
      </c>
      <c r="G786" s="1044" t="str">
        <f>VLOOKUP($B786,DG!A:D,DG!$D$2,)</f>
        <v>tấn</v>
      </c>
      <c r="H786" s="2109">
        <f t="shared" si="149"/>
        <v>0</v>
      </c>
      <c r="I786" s="2109">
        <f t="shared" si="149"/>
        <v>0</v>
      </c>
      <c r="J786" s="2109">
        <f t="shared" si="149"/>
        <v>0</v>
      </c>
      <c r="K786" s="2109">
        <f t="shared" si="149"/>
        <v>0</v>
      </c>
      <c r="L786" s="2109">
        <f t="shared" si="149"/>
        <v>0</v>
      </c>
      <c r="M786" s="2109">
        <f t="shared" si="149"/>
        <v>0</v>
      </c>
      <c r="N786" s="2109">
        <f t="shared" si="149"/>
        <v>0</v>
      </c>
      <c r="O786" s="2109">
        <f t="shared" si="149"/>
        <v>0</v>
      </c>
      <c r="P786" s="2109"/>
      <c r="Q786" s="2109"/>
      <c r="R786" s="2109"/>
      <c r="S786" s="1058"/>
      <c r="T786" s="2035">
        <f t="shared" si="139"/>
        <v>0</v>
      </c>
    </row>
    <row r="787" spans="1:20" ht="22.2" hidden="1" customHeight="1">
      <c r="A787" s="59"/>
      <c r="B787" s="1588" t="s">
        <v>2001</v>
      </c>
      <c r="C787" s="1013" t="str">
        <f t="shared" si="140"/>
        <v xml:space="preserve"> </v>
      </c>
      <c r="D787" s="1533"/>
      <c r="E787" s="1044" t="str">
        <f>VLOOKUP($B787,DG!A:C,2,)</f>
        <v>02.1361</v>
      </c>
      <c r="F787" s="1049" t="str">
        <f>VLOOKUP($B787,DG!A:C,3,)</f>
        <v>V/c xà vào vị trí (cư ly &lt;=100m)</v>
      </c>
      <c r="G787" s="1044" t="str">
        <f>VLOOKUP($B787,DG!A:D,4,0)</f>
        <v>tấn</v>
      </c>
      <c r="H787" s="2109">
        <f t="shared" si="149"/>
        <v>0</v>
      </c>
      <c r="I787" s="2109">
        <f t="shared" si="149"/>
        <v>0</v>
      </c>
      <c r="J787" s="2109">
        <f t="shared" si="149"/>
        <v>0</v>
      </c>
      <c r="K787" s="2109">
        <f t="shared" si="149"/>
        <v>0</v>
      </c>
      <c r="L787" s="2109">
        <f t="shared" si="149"/>
        <v>0</v>
      </c>
      <c r="M787" s="2109">
        <f t="shared" si="149"/>
        <v>0</v>
      </c>
      <c r="N787" s="2109">
        <f t="shared" si="149"/>
        <v>0</v>
      </c>
      <c r="O787" s="2109">
        <f t="shared" si="149"/>
        <v>0</v>
      </c>
      <c r="P787" s="2109"/>
      <c r="Q787" s="2109"/>
      <c r="R787" s="2109"/>
      <c r="S787" s="1058"/>
      <c r="T787" s="2035">
        <f t="shared" si="139"/>
        <v>0</v>
      </c>
    </row>
    <row r="788" spans="1:20" ht="22.2" hidden="1" customHeight="1">
      <c r="A788" s="59"/>
      <c r="B788" s="1588" t="s">
        <v>635</v>
      </c>
      <c r="C788" s="1013" t="str">
        <f t="shared" si="140"/>
        <v xml:space="preserve"> </v>
      </c>
      <c r="D788" s="1534"/>
      <c r="E788" s="1044" t="str">
        <f>VLOOKUP($B788,DG!A:C,2,)</f>
        <v>02.1482</v>
      </c>
      <c r="F788" s="1049" t="str">
        <f>VLOOKUP($B788,DG!A:C,3,)</f>
        <v>V/c dụng cụ thi công vào vị trí (cự ly &lt;=100m)</v>
      </c>
      <c r="G788" s="1044" t="str">
        <f>VLOOKUP($B788,DG!A:D,4,0)</f>
        <v>tấn</v>
      </c>
      <c r="H788" s="2109">
        <f t="shared" si="149"/>
        <v>0</v>
      </c>
      <c r="I788" s="2109">
        <f t="shared" si="149"/>
        <v>0</v>
      </c>
      <c r="J788" s="2109">
        <f t="shared" si="149"/>
        <v>0</v>
      </c>
      <c r="K788" s="2109">
        <f t="shared" si="149"/>
        <v>0</v>
      </c>
      <c r="L788" s="2109">
        <f t="shared" si="149"/>
        <v>0</v>
      </c>
      <c r="M788" s="2109">
        <f t="shared" si="149"/>
        <v>0</v>
      </c>
      <c r="N788" s="2109">
        <f t="shared" si="149"/>
        <v>0</v>
      </c>
      <c r="O788" s="2109">
        <f t="shared" si="149"/>
        <v>0</v>
      </c>
      <c r="P788" s="2109"/>
      <c r="Q788" s="2109"/>
      <c r="R788" s="2109"/>
      <c r="S788" s="1058"/>
      <c r="T788" s="2035">
        <f t="shared" si="139"/>
        <v>0</v>
      </c>
    </row>
    <row r="789" spans="1:20" ht="22.2" hidden="1" customHeight="1">
      <c r="A789" s="56" t="s">
        <v>1294</v>
      </c>
      <c r="B789" s="1574" t="s">
        <v>1294</v>
      </c>
      <c r="C789" s="1013" t="str">
        <f t="shared" si="140"/>
        <v xml:space="preserve"> </v>
      </c>
      <c r="D789" s="1532"/>
      <c r="E789" s="1045"/>
      <c r="F789" s="1392" t="s">
        <v>2422</v>
      </c>
      <c r="G789" s="1046" t="s">
        <v>2391</v>
      </c>
      <c r="H789" s="1821">
        <f>SUM(I789:O789)</f>
        <v>0</v>
      </c>
      <c r="I789" s="1822"/>
      <c r="J789" s="1822"/>
      <c r="K789" s="1822">
        <f>IFERROR(HLOOKUP(B789,pp3p1m!$1:$3,3,0),0)</f>
        <v>0</v>
      </c>
      <c r="L789" s="1822">
        <f>IFERROR(HLOOKUP(chitiet!B789,pp1p!$1:$3,3,0),0)</f>
        <v>0</v>
      </c>
      <c r="M789" s="1822"/>
      <c r="N789" s="1822"/>
      <c r="O789" s="1822"/>
      <c r="P789" s="1822"/>
      <c r="Q789" s="1047"/>
      <c r="R789" s="1047"/>
      <c r="S789" s="1047"/>
      <c r="T789" s="2035">
        <f>IFERROR(HLOOKUP(B789,pp1p!$1:$3,3,0),0)+IFERROR(HLOOKUP(B789,pp3p1m!$1:$3,3,0),0)</f>
        <v>0</v>
      </c>
    </row>
    <row r="790" spans="1:20" ht="22.2" hidden="1" customHeight="1">
      <c r="A790" s="59"/>
      <c r="B790" s="1577" t="s">
        <v>109</v>
      </c>
      <c r="C790" s="1013" t="str">
        <f t="shared" si="140"/>
        <v xml:space="preserve"> </v>
      </c>
      <c r="D790" s="1534">
        <f>9.02*(1.66+0.07*2)*2</f>
        <v>32.471999999999994</v>
      </c>
      <c r="E790" s="1044"/>
      <c r="F790" s="1056" t="str">
        <f>VLOOKUP($B790,DG!A:D,DG!$C$2,)</f>
        <v>Sắt góc L75 x75 x8</v>
      </c>
      <c r="G790" s="1044" t="str">
        <f>VLOOKUP($B790,DG!A:D,DG!$D$2,)</f>
        <v>kg</v>
      </c>
      <c r="H790" s="1823">
        <f>H$810*$D790</f>
        <v>0</v>
      </c>
      <c r="I790" s="1823">
        <f t="shared" ref="I790:O794" si="150">I$789*$D790</f>
        <v>0</v>
      </c>
      <c r="J790" s="1823">
        <f t="shared" si="150"/>
        <v>0</v>
      </c>
      <c r="K790" s="1823">
        <f t="shared" si="150"/>
        <v>0</v>
      </c>
      <c r="L790" s="1823">
        <f t="shared" si="150"/>
        <v>0</v>
      </c>
      <c r="M790" s="1823">
        <f t="shared" si="150"/>
        <v>0</v>
      </c>
      <c r="N790" s="1823">
        <f t="shared" si="150"/>
        <v>0</v>
      </c>
      <c r="O790" s="1823">
        <f t="shared" si="150"/>
        <v>0</v>
      </c>
      <c r="P790" s="1823"/>
      <c r="Q790" s="1053"/>
      <c r="R790" s="1053"/>
      <c r="S790" s="1053"/>
      <c r="T790" s="2035">
        <f t="shared" si="139"/>
        <v>0</v>
      </c>
    </row>
    <row r="791" spans="1:20" ht="22.2" hidden="1" customHeight="1">
      <c r="A791" s="59"/>
      <c r="B791" s="1577" t="s">
        <v>457</v>
      </c>
      <c r="C791" s="1013" t="str">
        <f t="shared" si="140"/>
        <v xml:space="preserve"> </v>
      </c>
      <c r="D791" s="1534">
        <f>3.77*0.81*4</f>
        <v>12.2148</v>
      </c>
      <c r="E791" s="1044"/>
      <c r="F791" s="1056" t="str">
        <f>VLOOKUP($B791,DG!A:D,DG!$C$2,)</f>
        <v>Sắt góc L50 x50 x5</v>
      </c>
      <c r="G791" s="1044" t="str">
        <f>VLOOKUP($B791,DG!A:D,DG!$D$2,)</f>
        <v>kg</v>
      </c>
      <c r="H791" s="1823">
        <f>H$810*$D791</f>
        <v>0</v>
      </c>
      <c r="I791" s="1823">
        <f t="shared" si="150"/>
        <v>0</v>
      </c>
      <c r="J791" s="1823">
        <f t="shared" si="150"/>
        <v>0</v>
      </c>
      <c r="K791" s="1823">
        <f t="shared" si="150"/>
        <v>0</v>
      </c>
      <c r="L791" s="1823">
        <f t="shared" si="150"/>
        <v>0</v>
      </c>
      <c r="M791" s="1823">
        <f t="shared" si="150"/>
        <v>0</v>
      </c>
      <c r="N791" s="1823">
        <f t="shared" si="150"/>
        <v>0</v>
      </c>
      <c r="O791" s="1823">
        <f t="shared" si="150"/>
        <v>0</v>
      </c>
      <c r="P791" s="1823"/>
      <c r="Q791" s="1053"/>
      <c r="R791" s="1053"/>
      <c r="S791" s="1053"/>
      <c r="T791" s="2035">
        <f t="shared" si="139"/>
        <v>0</v>
      </c>
    </row>
    <row r="792" spans="1:20" ht="22.2" hidden="1" customHeight="1">
      <c r="A792" s="59"/>
      <c r="B792" s="1577" t="s">
        <v>1612</v>
      </c>
      <c r="C792" s="1013" t="str">
        <f t="shared" ref="C792:C855" si="151">IF(OR(P792&lt;&gt;0,H792&lt;&gt;0),"x"," ")</f>
        <v xml:space="preserve"> </v>
      </c>
      <c r="D792" s="1535">
        <v>4</v>
      </c>
      <c r="E792" s="1044"/>
      <c r="F792" s="1056" t="str">
        <f>VLOOKUP($B792,DG!A:D,DG!$C$2,)</f>
        <v>Boulon 16x250+ 2 long đền vuông D18-50x50x3/Zn</v>
      </c>
      <c r="G792" s="1044" t="str">
        <f>VLOOKUP($B792,DG!A:D,DG!$D$2,)</f>
        <v>bộ</v>
      </c>
      <c r="H792" s="1823">
        <f>H$810*$D792</f>
        <v>0</v>
      </c>
      <c r="I792" s="1823">
        <f t="shared" si="150"/>
        <v>0</v>
      </c>
      <c r="J792" s="1823">
        <f t="shared" si="150"/>
        <v>0</v>
      </c>
      <c r="K792" s="1823">
        <f t="shared" si="150"/>
        <v>0</v>
      </c>
      <c r="L792" s="1823">
        <f t="shared" si="150"/>
        <v>0</v>
      </c>
      <c r="M792" s="1823">
        <f t="shared" si="150"/>
        <v>0</v>
      </c>
      <c r="N792" s="1823">
        <f t="shared" si="150"/>
        <v>0</v>
      </c>
      <c r="O792" s="1823">
        <f t="shared" si="150"/>
        <v>0</v>
      </c>
      <c r="P792" s="1823"/>
      <c r="Q792" s="1053"/>
      <c r="R792" s="1053"/>
      <c r="S792" s="1053"/>
      <c r="T792" s="2035">
        <f t="shared" si="139"/>
        <v>0</v>
      </c>
    </row>
    <row r="793" spans="1:20" ht="22.2" hidden="1" customHeight="1">
      <c r="A793" s="59"/>
      <c r="B793" s="1577" t="s">
        <v>1295</v>
      </c>
      <c r="C793" s="1013" t="str">
        <f t="shared" si="151"/>
        <v xml:space="preserve"> </v>
      </c>
      <c r="D793" s="1535">
        <v>2</v>
      </c>
      <c r="E793" s="1044"/>
      <c r="F793" s="1056" t="str">
        <f>VLOOKUP($B793,DG!A:D,DG!$C$2,)</f>
        <v>Boulon 16x250VRS+ 4 long đền vuông D18-50x50x3/Zn</v>
      </c>
      <c r="G793" s="1044" t="str">
        <f>VLOOKUP($B793,DG!A:D,DG!$D$2,)</f>
        <v>bộ</v>
      </c>
      <c r="H793" s="1823">
        <f>H$810*$D793</f>
        <v>0</v>
      </c>
      <c r="I793" s="1823">
        <f t="shared" si="150"/>
        <v>0</v>
      </c>
      <c r="J793" s="1823">
        <f t="shared" si="150"/>
        <v>0</v>
      </c>
      <c r="K793" s="1823">
        <f t="shared" si="150"/>
        <v>0</v>
      </c>
      <c r="L793" s="1823">
        <f t="shared" si="150"/>
        <v>0</v>
      </c>
      <c r="M793" s="1823">
        <f t="shared" si="150"/>
        <v>0</v>
      </c>
      <c r="N793" s="1823">
        <f t="shared" si="150"/>
        <v>0</v>
      </c>
      <c r="O793" s="1823">
        <f t="shared" si="150"/>
        <v>0</v>
      </c>
      <c r="P793" s="1823"/>
      <c r="Q793" s="1053"/>
      <c r="R793" s="1053"/>
      <c r="S793" s="1053"/>
      <c r="T793" s="2035">
        <f t="shared" si="139"/>
        <v>0</v>
      </c>
    </row>
    <row r="794" spans="1:20" ht="22.2" hidden="1" customHeight="1">
      <c r="A794" s="59"/>
      <c r="B794" s="1577" t="s">
        <v>1790</v>
      </c>
      <c r="C794" s="1013" t="str">
        <f t="shared" si="151"/>
        <v xml:space="preserve"> </v>
      </c>
      <c r="D794" s="1535">
        <v>4</v>
      </c>
      <c r="E794" s="1044"/>
      <c r="F794" s="1056" t="str">
        <f>VLOOKUP($B794,DG!A:D,DG!$C$2,)</f>
        <v>Boulon 16x50+ 2 long đền vuông D18-50x50x3/Zn</v>
      </c>
      <c r="G794" s="1044" t="str">
        <f>VLOOKUP($B794,DG!A:D,DG!$D$2,)</f>
        <v>bộ</v>
      </c>
      <c r="H794" s="1823">
        <f>H$810*$D794</f>
        <v>0</v>
      </c>
      <c r="I794" s="1823">
        <f t="shared" si="150"/>
        <v>0</v>
      </c>
      <c r="J794" s="1823">
        <f t="shared" si="150"/>
        <v>0</v>
      </c>
      <c r="K794" s="1823">
        <f t="shared" si="150"/>
        <v>0</v>
      </c>
      <c r="L794" s="1823">
        <f t="shared" si="150"/>
        <v>0</v>
      </c>
      <c r="M794" s="1823">
        <f t="shared" si="150"/>
        <v>0</v>
      </c>
      <c r="N794" s="1823">
        <f t="shared" si="150"/>
        <v>0</v>
      </c>
      <c r="O794" s="1823">
        <f t="shared" si="150"/>
        <v>0</v>
      </c>
      <c r="P794" s="1823"/>
      <c r="Q794" s="1053"/>
      <c r="R794" s="1053"/>
      <c r="S794" s="1053"/>
      <c r="T794" s="2035">
        <f t="shared" si="139"/>
        <v>0</v>
      </c>
    </row>
    <row r="795" spans="1:20" ht="22.2" hidden="1" customHeight="1">
      <c r="A795" s="59"/>
      <c r="B795" s="1577" t="s">
        <v>1783</v>
      </c>
      <c r="C795" s="1013" t="str">
        <f t="shared" si="151"/>
        <v xml:space="preserve"> </v>
      </c>
      <c r="D795" s="1535">
        <v>1</v>
      </c>
      <c r="E795" s="1060" t="str">
        <f>VLOOKUP($B795,DG!A:D,DG!$B$2,)</f>
        <v>05.6202</v>
      </c>
      <c r="F795" s="1049" t="str">
        <f>VLOOKUP($B795,DG!A:D,DG!$C$2,)</f>
        <v>Lắp xà néo ≤ 50kg</v>
      </c>
      <c r="G795" s="1044" t="str">
        <f>VLOOKUP($B795,DG!A:D,DG!$D$2,)</f>
        <v>bộ</v>
      </c>
      <c r="H795" s="1823"/>
      <c r="I795" s="1823"/>
      <c r="J795" s="1823"/>
      <c r="K795" s="1823"/>
      <c r="L795" s="1823"/>
      <c r="M795" s="1823"/>
      <c r="N795" s="1823"/>
      <c r="O795" s="1823"/>
      <c r="P795" s="1823"/>
      <c r="Q795" s="1058"/>
      <c r="R795" s="1058"/>
      <c r="S795" s="1058"/>
      <c r="T795" s="2035">
        <f t="shared" si="139"/>
        <v>0</v>
      </c>
    </row>
    <row r="796" spans="1:20" ht="22.2" hidden="1" customHeight="1">
      <c r="A796" s="59"/>
      <c r="B796" s="1577" t="s">
        <v>2000</v>
      </c>
      <c r="C796" s="1013" t="str">
        <f t="shared" si="151"/>
        <v xml:space="preserve"> </v>
      </c>
      <c r="D796" s="1533"/>
      <c r="E796" s="1044" t="str">
        <f>VLOOKUP($B796,DG!A:D,DG!$B$2,)</f>
        <v>02.1115</v>
      </c>
      <c r="F796" s="1049" t="str">
        <f>VLOOKUP($B796,DG!A:D,DG!$C$2,)</f>
        <v>Bốc dỡ xà, thép thanh</v>
      </c>
      <c r="G796" s="1044" t="str">
        <f>VLOOKUP($B796,DG!A:D,DG!$D$2,)</f>
        <v>tấn</v>
      </c>
      <c r="H796" s="1823"/>
      <c r="I796" s="1823"/>
      <c r="J796" s="1823"/>
      <c r="K796" s="1823"/>
      <c r="L796" s="1823"/>
      <c r="M796" s="1823"/>
      <c r="N796" s="1823"/>
      <c r="O796" s="1823"/>
      <c r="P796" s="1823"/>
      <c r="Q796" s="1058"/>
      <c r="R796" s="1058"/>
      <c r="S796" s="1058"/>
      <c r="T796" s="2035">
        <f t="shared" si="139"/>
        <v>0</v>
      </c>
    </row>
    <row r="797" spans="1:20" ht="22.2" hidden="1" customHeight="1">
      <c r="A797" s="59"/>
      <c r="B797" s="1588" t="s">
        <v>2001</v>
      </c>
      <c r="C797" s="1013" t="str">
        <f t="shared" si="151"/>
        <v xml:space="preserve"> </v>
      </c>
      <c r="D797" s="1533"/>
      <c r="E797" s="1044" t="str">
        <f>VLOOKUP($B797,DG!A:C,2,)</f>
        <v>02.1361</v>
      </c>
      <c r="F797" s="1049" t="str">
        <f>VLOOKUP($B797,DG!A:C,3,)</f>
        <v>V/c xà vào vị trí (cư ly &lt;=100m)</v>
      </c>
      <c r="G797" s="1044" t="str">
        <f>VLOOKUP($B797,DG!A:D,4,0)</f>
        <v>tấn</v>
      </c>
      <c r="H797" s="1823"/>
      <c r="I797" s="1823"/>
      <c r="J797" s="1823"/>
      <c r="K797" s="1823"/>
      <c r="L797" s="1823"/>
      <c r="M797" s="1823"/>
      <c r="N797" s="1823"/>
      <c r="O797" s="1823"/>
      <c r="P797" s="1823"/>
      <c r="Q797" s="1058"/>
      <c r="R797" s="1058"/>
      <c r="S797" s="1058"/>
      <c r="T797" s="2035">
        <f t="shared" si="139"/>
        <v>0</v>
      </c>
    </row>
    <row r="798" spans="1:20" ht="22.2" hidden="1" customHeight="1">
      <c r="A798" s="59"/>
      <c r="B798" s="1588" t="s">
        <v>635</v>
      </c>
      <c r="C798" s="1013" t="str">
        <f t="shared" si="151"/>
        <v xml:space="preserve"> </v>
      </c>
      <c r="D798" s="1534"/>
      <c r="E798" s="1044" t="str">
        <f>VLOOKUP($B798,DG!A:C,2,)</f>
        <v>02.1482</v>
      </c>
      <c r="F798" s="1049" t="str">
        <f>VLOOKUP($B798,DG!A:C,3,)</f>
        <v>V/c dụng cụ thi công vào vị trí (cự ly &lt;=100m)</v>
      </c>
      <c r="G798" s="1044" t="str">
        <f>VLOOKUP($B798,DG!A:D,4,0)</f>
        <v>tấn</v>
      </c>
      <c r="H798" s="1823"/>
      <c r="I798" s="1823"/>
      <c r="J798" s="1823"/>
      <c r="K798" s="1823"/>
      <c r="L798" s="1823"/>
      <c r="M798" s="1823"/>
      <c r="N798" s="1823"/>
      <c r="O798" s="1823"/>
      <c r="P798" s="1823"/>
      <c r="Q798" s="1058"/>
      <c r="R798" s="1058"/>
      <c r="S798" s="1058"/>
      <c r="T798" s="2035">
        <f t="shared" ref="T798:T861" si="152">IFERROR(HLOOKUP(B798,BangKeTru,3,0),0)</f>
        <v>0</v>
      </c>
    </row>
    <row r="799" spans="1:20" ht="22.2" customHeight="1">
      <c r="A799" s="1572" t="s">
        <v>2301</v>
      </c>
      <c r="B799" s="1574" t="s">
        <v>2301</v>
      </c>
      <c r="C799" s="1832" t="str">
        <f t="shared" si="151"/>
        <v>x</v>
      </c>
      <c r="D799" s="1532"/>
      <c r="E799" s="1045"/>
      <c r="F799" s="1392" t="s">
        <v>4353</v>
      </c>
      <c r="G799" s="1046" t="s">
        <v>2391</v>
      </c>
      <c r="H799" s="1821">
        <f>SUM(I799:O799)</f>
        <v>2</v>
      </c>
      <c r="I799" s="1822"/>
      <c r="J799" s="1822"/>
      <c r="K799" s="1822">
        <f>IFERROR(HLOOKUP(B799,pp3p1m!$1:$3,3,0),0)</f>
        <v>2</v>
      </c>
      <c r="L799" s="1822">
        <f>IFERROR(HLOOKUP(chitiet!B799,pp1p!$1:$3,3,0),0)</f>
        <v>0</v>
      </c>
      <c r="M799" s="1822"/>
      <c r="N799" s="1822"/>
      <c r="O799" s="1822"/>
      <c r="P799" s="1821">
        <f>H799+Q799-R799</f>
        <v>2</v>
      </c>
      <c r="Q799" s="1047"/>
      <c r="R799" s="1047"/>
      <c r="S799" s="1047"/>
      <c r="T799" s="2035">
        <f>IFERROR(HLOOKUP(B799,pp1p!$1:$3,3,0),0)+IFERROR(HLOOKUP(B799,pp3p1m!$1:$3,3,0),0)</f>
        <v>2</v>
      </c>
    </row>
    <row r="800" spans="1:20" ht="22.2" customHeight="1">
      <c r="B800" s="1571" t="s">
        <v>4858</v>
      </c>
      <c r="C800" s="1832" t="str">
        <f t="shared" si="151"/>
        <v>x</v>
      </c>
      <c r="D800" s="1535">
        <v>2</v>
      </c>
      <c r="E800" s="1044"/>
      <c r="F800" s="1056" t="str">
        <f>VLOOKUP($B800,DG!A:D,DG!$C$2,)</f>
        <v>Sắt góc L75 x75 x8 x2200</v>
      </c>
      <c r="G800" s="1044" t="str">
        <f>VLOOKUP($B800,DG!A:D,DG!$D$2,)</f>
        <v>cái</v>
      </c>
      <c r="H800" s="1823">
        <f t="shared" ref="H800:N805" si="153">H$799*$D800</f>
        <v>4</v>
      </c>
      <c r="I800" s="1823">
        <f t="shared" si="153"/>
        <v>0</v>
      </c>
      <c r="J800" s="1823">
        <f t="shared" si="153"/>
        <v>0</v>
      </c>
      <c r="K800" s="1823">
        <f t="shared" si="153"/>
        <v>4</v>
      </c>
      <c r="L800" s="1823">
        <f t="shared" si="153"/>
        <v>0</v>
      </c>
      <c r="M800" s="1823">
        <f t="shared" si="153"/>
        <v>0</v>
      </c>
      <c r="N800" s="1823">
        <f t="shared" si="153"/>
        <v>0</v>
      </c>
      <c r="O800" s="1823"/>
      <c r="P800" s="1823">
        <f t="shared" ref="P800:P806" si="154">$P$799*D800</f>
        <v>4</v>
      </c>
      <c r="Q800" s="1059">
        <f t="shared" ref="Q800:Q806" si="155">$Q$799*D800</f>
        <v>0</v>
      </c>
      <c r="R800" s="1059">
        <f t="shared" ref="R800:R809" si="156">$R$799*D800</f>
        <v>0</v>
      </c>
      <c r="S800" s="1053"/>
      <c r="T800" s="2035">
        <f t="shared" si="152"/>
        <v>0</v>
      </c>
    </row>
    <row r="801" spans="1:20" ht="22.2" customHeight="1">
      <c r="B801" s="1571" t="s">
        <v>4970</v>
      </c>
      <c r="C801" s="1832" t="str">
        <f t="shared" si="151"/>
        <v>x</v>
      </c>
      <c r="D801" s="1535">
        <v>4</v>
      </c>
      <c r="E801" s="1044"/>
      <c r="F801" s="1056" t="str">
        <f>VLOOKUP($B801,DG!A:D,DG!$C$2,)</f>
        <v>Sắt góc L50 x50 x5 - 810</v>
      </c>
      <c r="G801" s="1044" t="str">
        <f>VLOOKUP($B801,DG!A:D,DG!$D$2,)</f>
        <v>cái</v>
      </c>
      <c r="H801" s="1823">
        <f t="shared" si="153"/>
        <v>8</v>
      </c>
      <c r="I801" s="1823">
        <f t="shared" si="153"/>
        <v>0</v>
      </c>
      <c r="J801" s="1823">
        <f t="shared" si="153"/>
        <v>0</v>
      </c>
      <c r="K801" s="1823">
        <f t="shared" si="153"/>
        <v>8</v>
      </c>
      <c r="L801" s="1823">
        <f t="shared" si="153"/>
        <v>0</v>
      </c>
      <c r="M801" s="1823">
        <f t="shared" si="153"/>
        <v>0</v>
      </c>
      <c r="N801" s="1823">
        <f t="shared" si="153"/>
        <v>0</v>
      </c>
      <c r="O801" s="1823"/>
      <c r="P801" s="1823">
        <f t="shared" si="154"/>
        <v>8</v>
      </c>
      <c r="Q801" s="1059">
        <f t="shared" si="155"/>
        <v>0</v>
      </c>
      <c r="R801" s="1059">
        <f t="shared" si="156"/>
        <v>0</v>
      </c>
      <c r="S801" s="1053"/>
      <c r="T801" s="2035">
        <f t="shared" si="152"/>
        <v>0</v>
      </c>
    </row>
    <row r="802" spans="1:20" ht="22.2" hidden="1" customHeight="1">
      <c r="B802" s="1571" t="s">
        <v>1612</v>
      </c>
      <c r="C802" s="1832" t="str">
        <f t="shared" si="151"/>
        <v xml:space="preserve"> </v>
      </c>
      <c r="D802" s="1535"/>
      <c r="E802" s="1044"/>
      <c r="F802" s="1056" t="str">
        <f>VLOOKUP($B802,DG!A:D,DG!$C$2,)</f>
        <v>Boulon 16x250+ 2 long đền vuông D18-50x50x3/Zn</v>
      </c>
      <c r="G802" s="1044" t="str">
        <f>VLOOKUP($B802,DG!A:D,DG!$D$2,)</f>
        <v>bộ</v>
      </c>
      <c r="H802" s="1823">
        <f t="shared" si="153"/>
        <v>0</v>
      </c>
      <c r="I802" s="1823">
        <f t="shared" si="153"/>
        <v>0</v>
      </c>
      <c r="J802" s="1823">
        <f t="shared" si="153"/>
        <v>0</v>
      </c>
      <c r="K802" s="1823">
        <f t="shared" si="153"/>
        <v>0</v>
      </c>
      <c r="L802" s="1823">
        <f t="shared" si="153"/>
        <v>0</v>
      </c>
      <c r="M802" s="1823">
        <f t="shared" si="153"/>
        <v>0</v>
      </c>
      <c r="N802" s="1823">
        <f t="shared" si="153"/>
        <v>0</v>
      </c>
      <c r="O802" s="1823"/>
      <c r="P802" s="1823">
        <f t="shared" si="154"/>
        <v>0</v>
      </c>
      <c r="Q802" s="1053">
        <f t="shared" si="155"/>
        <v>0</v>
      </c>
      <c r="R802" s="1053">
        <f t="shared" si="156"/>
        <v>0</v>
      </c>
      <c r="S802" s="1053"/>
      <c r="T802" s="2035">
        <f t="shared" si="152"/>
        <v>0</v>
      </c>
    </row>
    <row r="803" spans="1:20" ht="22.2" customHeight="1">
      <c r="B803" s="1571" t="s">
        <v>1613</v>
      </c>
      <c r="C803" s="1832" t="str">
        <f t="shared" si="151"/>
        <v>x</v>
      </c>
      <c r="D803" s="1535">
        <v>2</v>
      </c>
      <c r="E803" s="1044"/>
      <c r="F803" s="1056" t="str">
        <f>VLOOKUP($B803,DG!A:D,DG!$C$2,)</f>
        <v>Boulon 16x300+ 2 long đền vuông D18-50x50x3/Zn</v>
      </c>
      <c r="G803" s="1044" t="str">
        <f>VLOOKUP($B803,DG!A:D,DG!$D$2,)</f>
        <v>bộ</v>
      </c>
      <c r="H803" s="1823">
        <f t="shared" si="153"/>
        <v>4</v>
      </c>
      <c r="I803" s="1823">
        <f t="shared" si="153"/>
        <v>0</v>
      </c>
      <c r="J803" s="1823">
        <f t="shared" si="153"/>
        <v>0</v>
      </c>
      <c r="K803" s="1823">
        <f t="shared" si="153"/>
        <v>4</v>
      </c>
      <c r="L803" s="1823">
        <f t="shared" si="153"/>
        <v>0</v>
      </c>
      <c r="M803" s="1823">
        <f t="shared" si="153"/>
        <v>0</v>
      </c>
      <c r="N803" s="1823">
        <f t="shared" si="153"/>
        <v>0</v>
      </c>
      <c r="O803" s="1823"/>
      <c r="P803" s="1823">
        <f t="shared" si="154"/>
        <v>4</v>
      </c>
      <c r="Q803" s="1053">
        <f t="shared" si="155"/>
        <v>0</v>
      </c>
      <c r="R803" s="1053">
        <f t="shared" si="156"/>
        <v>0</v>
      </c>
      <c r="S803" s="1053"/>
      <c r="T803" s="2035">
        <f t="shared" si="152"/>
        <v>0</v>
      </c>
    </row>
    <row r="804" spans="1:20" ht="22.2" customHeight="1">
      <c r="B804" s="1571" t="s">
        <v>415</v>
      </c>
      <c r="C804" s="1832" t="str">
        <f t="shared" si="151"/>
        <v>x</v>
      </c>
      <c r="D804" s="1535">
        <v>2</v>
      </c>
      <c r="E804" s="1044"/>
      <c r="F804" s="1056" t="str">
        <f>VLOOKUP($B804,DG!A:D,DG!$C$2,)</f>
        <v>Boulon 16x300VRS+ 4 long đền vuông D18-50x50x3/Zn</v>
      </c>
      <c r="G804" s="1044" t="str">
        <f>VLOOKUP($B804,DG!A:D,DG!$D$2,)</f>
        <v>bộ</v>
      </c>
      <c r="H804" s="1823">
        <f t="shared" si="153"/>
        <v>4</v>
      </c>
      <c r="I804" s="1823">
        <f t="shared" si="153"/>
        <v>0</v>
      </c>
      <c r="J804" s="1823">
        <f t="shared" si="153"/>
        <v>0</v>
      </c>
      <c r="K804" s="1823">
        <f t="shared" si="153"/>
        <v>4</v>
      </c>
      <c r="L804" s="1823">
        <f t="shared" si="153"/>
        <v>0</v>
      </c>
      <c r="M804" s="1823">
        <f t="shared" si="153"/>
        <v>0</v>
      </c>
      <c r="N804" s="1823">
        <f t="shared" si="153"/>
        <v>0</v>
      </c>
      <c r="O804" s="1823"/>
      <c r="P804" s="1823">
        <f t="shared" si="154"/>
        <v>4</v>
      </c>
      <c r="Q804" s="1053">
        <f t="shared" si="155"/>
        <v>0</v>
      </c>
      <c r="R804" s="1053">
        <f t="shared" si="156"/>
        <v>0</v>
      </c>
      <c r="S804" s="1053"/>
      <c r="T804" s="2035">
        <f t="shared" si="152"/>
        <v>0</v>
      </c>
    </row>
    <row r="805" spans="1:20" ht="22.2" customHeight="1">
      <c r="B805" s="1571" t="s">
        <v>1790</v>
      </c>
      <c r="C805" s="1832" t="str">
        <f t="shared" si="151"/>
        <v>x</v>
      </c>
      <c r="D805" s="1535">
        <v>4</v>
      </c>
      <c r="E805" s="1044"/>
      <c r="F805" s="1056" t="str">
        <f>VLOOKUP($B805,DG!A:D,DG!$C$2,)</f>
        <v>Boulon 16x50+ 2 long đền vuông D18-50x50x3/Zn</v>
      </c>
      <c r="G805" s="1044" t="str">
        <f>VLOOKUP($B805,DG!A:D,DG!$D$2,)</f>
        <v>bộ</v>
      </c>
      <c r="H805" s="1823">
        <f t="shared" si="153"/>
        <v>8</v>
      </c>
      <c r="I805" s="1823">
        <f t="shared" si="153"/>
        <v>0</v>
      </c>
      <c r="J805" s="1823">
        <f t="shared" si="153"/>
        <v>0</v>
      </c>
      <c r="K805" s="1823">
        <f t="shared" si="153"/>
        <v>8</v>
      </c>
      <c r="L805" s="1823">
        <f t="shared" si="153"/>
        <v>0</v>
      </c>
      <c r="M805" s="1823">
        <f t="shared" si="153"/>
        <v>0</v>
      </c>
      <c r="N805" s="1823">
        <f t="shared" si="153"/>
        <v>0</v>
      </c>
      <c r="O805" s="1823"/>
      <c r="P805" s="1823">
        <f t="shared" si="154"/>
        <v>8</v>
      </c>
      <c r="Q805" s="1053">
        <f t="shared" si="155"/>
        <v>0</v>
      </c>
      <c r="R805" s="1053">
        <f t="shared" si="156"/>
        <v>0</v>
      </c>
      <c r="S805" s="1053"/>
      <c r="T805" s="2035">
        <f t="shared" si="152"/>
        <v>0</v>
      </c>
    </row>
    <row r="806" spans="1:20" ht="22.2" customHeight="1">
      <c r="B806" s="1571" t="s">
        <v>517</v>
      </c>
      <c r="C806" s="1832" t="str">
        <f t="shared" si="151"/>
        <v>x</v>
      </c>
      <c r="D806" s="1535">
        <v>1</v>
      </c>
      <c r="E806" s="1048" t="str">
        <f>VLOOKUP($B806,DG!A:D,DG!$B$2,)</f>
        <v>05.6203</v>
      </c>
      <c r="F806" s="1049" t="str">
        <f>VLOOKUP($B806,DG!A:D,DG!$C$2,)</f>
        <v>Lắp xà néo ≤ 100kg</v>
      </c>
      <c r="G806" s="1044" t="str">
        <f>VLOOKUP($B806,DG!A:D,DG!$D$2,)</f>
        <v>bộ</v>
      </c>
      <c r="H806" s="1823">
        <f>H$799*$D806</f>
        <v>2</v>
      </c>
      <c r="I806" s="1823"/>
      <c r="J806" s="1823"/>
      <c r="K806" s="1823"/>
      <c r="L806" s="1823"/>
      <c r="M806" s="1823"/>
      <c r="N806" s="1823"/>
      <c r="O806" s="1823"/>
      <c r="P806" s="1823">
        <f t="shared" si="154"/>
        <v>2</v>
      </c>
      <c r="Q806" s="1053">
        <f t="shared" si="155"/>
        <v>0</v>
      </c>
      <c r="R806" s="1053">
        <f t="shared" si="156"/>
        <v>0</v>
      </c>
      <c r="S806" s="1058"/>
      <c r="T806" s="2035">
        <f t="shared" si="152"/>
        <v>0</v>
      </c>
    </row>
    <row r="807" spans="1:20" ht="22.2" hidden="1" customHeight="1">
      <c r="A807" s="59"/>
      <c r="B807" s="1577" t="s">
        <v>2000</v>
      </c>
      <c r="C807" s="1013" t="str">
        <f t="shared" si="151"/>
        <v xml:space="preserve"> </v>
      </c>
      <c r="D807" s="1533">
        <f>D808</f>
        <v>0</v>
      </c>
      <c r="E807" s="1044" t="str">
        <f>VLOOKUP($B807,DG!A:D,DG!$B$2,)</f>
        <v>02.1115</v>
      </c>
      <c r="F807" s="1049" t="str">
        <f>VLOOKUP($B807,DG!A:D,DG!$C$2,)</f>
        <v>Bốc dỡ xà, thép thanh</v>
      </c>
      <c r="G807" s="1044" t="str">
        <f>VLOOKUP($B807,DG!A:D,DG!$D$2,)</f>
        <v>tấn</v>
      </c>
      <c r="H807" s="1823"/>
      <c r="I807" s="1823"/>
      <c r="J807" s="1823"/>
      <c r="K807" s="1823"/>
      <c r="L807" s="1823"/>
      <c r="M807" s="1823"/>
      <c r="N807" s="1823"/>
      <c r="O807" s="1823"/>
      <c r="P807" s="1823"/>
      <c r="Q807" s="1058"/>
      <c r="R807" s="1053">
        <f t="shared" si="156"/>
        <v>0</v>
      </c>
      <c r="S807" s="1058"/>
      <c r="T807" s="2035">
        <f t="shared" si="152"/>
        <v>0</v>
      </c>
    </row>
    <row r="808" spans="1:20" ht="22.2" hidden="1" customHeight="1">
      <c r="A808" s="59"/>
      <c r="B808" s="1588" t="s">
        <v>2001</v>
      </c>
      <c r="C808" s="1013" t="str">
        <f t="shared" si="151"/>
        <v xml:space="preserve"> </v>
      </c>
      <c r="D808" s="1533">
        <f>ROUND(SUM(D800:D801)*1.05/1000,3)*0</f>
        <v>0</v>
      </c>
      <c r="E808" s="1044" t="str">
        <f>VLOOKUP($B808,DG!A:C,2,)</f>
        <v>02.1361</v>
      </c>
      <c r="F808" s="1049" t="str">
        <f>VLOOKUP($B808,DG!A:C,3,)</f>
        <v>V/c xà vào vị trí (cư ly &lt;=100m)</v>
      </c>
      <c r="G808" s="1044" t="str">
        <f>VLOOKUP($B808,DG!A:D,4,0)</f>
        <v>tấn</v>
      </c>
      <c r="H808" s="1823"/>
      <c r="I808" s="1823"/>
      <c r="J808" s="1823"/>
      <c r="K808" s="1823"/>
      <c r="L808" s="1823"/>
      <c r="M808" s="1823"/>
      <c r="N808" s="1823"/>
      <c r="O808" s="1823"/>
      <c r="P808" s="1823"/>
      <c r="Q808" s="1058"/>
      <c r="R808" s="1053">
        <f t="shared" si="156"/>
        <v>0</v>
      </c>
      <c r="S808" s="1058"/>
      <c r="T808" s="2035">
        <f t="shared" si="152"/>
        <v>0</v>
      </c>
    </row>
    <row r="809" spans="1:20" ht="22.2" hidden="1" customHeight="1">
      <c r="A809" s="59"/>
      <c r="B809" s="1588" t="s">
        <v>635</v>
      </c>
      <c r="C809" s="1013" t="str">
        <f t="shared" si="151"/>
        <v xml:space="preserve"> </v>
      </c>
      <c r="D809" s="1534">
        <f>0.05*0</f>
        <v>0</v>
      </c>
      <c r="E809" s="1044" t="str">
        <f>VLOOKUP($B809,DG!A:C,2,)</f>
        <v>02.1482</v>
      </c>
      <c r="F809" s="1049" t="str">
        <f>VLOOKUP($B809,DG!A:C,3,)</f>
        <v>V/c dụng cụ thi công vào vị trí (cự ly &lt;=100m)</v>
      </c>
      <c r="G809" s="1044" t="str">
        <f>VLOOKUP($B809,DG!A:D,4,0)</f>
        <v>tấn</v>
      </c>
      <c r="H809" s="1823"/>
      <c r="I809" s="1823"/>
      <c r="J809" s="1823"/>
      <c r="K809" s="1823"/>
      <c r="L809" s="1823"/>
      <c r="M809" s="1823"/>
      <c r="N809" s="1823"/>
      <c r="O809" s="1823"/>
      <c r="P809" s="1823"/>
      <c r="Q809" s="1058"/>
      <c r="R809" s="1053">
        <f t="shared" si="156"/>
        <v>0</v>
      </c>
      <c r="S809" s="1058"/>
      <c r="T809" s="2035">
        <f t="shared" si="152"/>
        <v>0</v>
      </c>
    </row>
    <row r="810" spans="1:20" ht="22.2" hidden="1" customHeight="1">
      <c r="A810" s="56" t="s">
        <v>2297</v>
      </c>
      <c r="B810" s="1574" t="s">
        <v>2297</v>
      </c>
      <c r="C810" s="1013" t="str">
        <f t="shared" si="151"/>
        <v xml:space="preserve"> </v>
      </c>
      <c r="D810" s="1532"/>
      <c r="E810" s="1045"/>
      <c r="F810" s="1392" t="s">
        <v>2423</v>
      </c>
      <c r="G810" s="1046" t="s">
        <v>2391</v>
      </c>
      <c r="H810" s="1821">
        <f>SUM(I810:O810)</f>
        <v>0</v>
      </c>
      <c r="I810" s="1822"/>
      <c r="J810" s="1822"/>
      <c r="K810" s="1822">
        <f>IFERROR(HLOOKUP(B810,pp3p1m!$1:$3,3,0),0)</f>
        <v>0</v>
      </c>
      <c r="L810" s="1822">
        <f>IFERROR(HLOOKUP(chitiet!B810,pp1p!$1:$3,3,0),0)</f>
        <v>0</v>
      </c>
      <c r="M810" s="1822"/>
      <c r="N810" s="1822"/>
      <c r="O810" s="1822"/>
      <c r="P810" s="1822">
        <f>H810+Q810-R810</f>
        <v>0</v>
      </c>
      <c r="Q810" s="1047"/>
      <c r="R810" s="1047"/>
      <c r="S810" s="1047"/>
      <c r="T810" s="2035">
        <f>IFERROR(HLOOKUP(B810,pp1p!$1:$3,3,0),0)+IFERROR(HLOOKUP(B810,pp3p1m!$1:$3,3,0),0)</f>
        <v>0</v>
      </c>
    </row>
    <row r="811" spans="1:20" ht="22.2" hidden="1" customHeight="1">
      <c r="A811" s="59"/>
      <c r="B811" s="1577" t="s">
        <v>109</v>
      </c>
      <c r="C811" s="1013" t="str">
        <f t="shared" si="151"/>
        <v xml:space="preserve"> </v>
      </c>
      <c r="D811" s="1534">
        <f>9.02*2.2</f>
        <v>19.844000000000001</v>
      </c>
      <c r="E811" s="1044"/>
      <c r="F811" s="1056" t="str">
        <f>VLOOKUP($B811,DG!A:D,DG!$C$2,)</f>
        <v>Sắt góc L75 x75 x8</v>
      </c>
      <c r="G811" s="1044" t="str">
        <f>VLOOKUP($B811,DG!A:D,DG!$D$2,)</f>
        <v>kg</v>
      </c>
      <c r="H811" s="1823">
        <f t="shared" ref="H811:N814" si="157">H$810*$D811</f>
        <v>0</v>
      </c>
      <c r="I811" s="1823">
        <f t="shared" si="157"/>
        <v>0</v>
      </c>
      <c r="J811" s="1823">
        <f t="shared" si="157"/>
        <v>0</v>
      </c>
      <c r="K811" s="1823">
        <f t="shared" si="157"/>
        <v>0</v>
      </c>
      <c r="L811" s="1823">
        <f t="shared" si="157"/>
        <v>0</v>
      </c>
      <c r="M811" s="1823">
        <f t="shared" si="157"/>
        <v>0</v>
      </c>
      <c r="N811" s="1823">
        <f t="shared" si="157"/>
        <v>0</v>
      </c>
      <c r="O811" s="1823"/>
      <c r="P811" s="1823"/>
      <c r="Q811" s="1053"/>
      <c r="R811" s="1053"/>
      <c r="S811" s="1053"/>
      <c r="T811" s="2035">
        <f t="shared" si="152"/>
        <v>0</v>
      </c>
    </row>
    <row r="812" spans="1:20" ht="22.2" hidden="1" customHeight="1">
      <c r="A812" s="59"/>
      <c r="B812" s="1577" t="s">
        <v>457</v>
      </c>
      <c r="C812" s="1013" t="str">
        <f t="shared" si="151"/>
        <v xml:space="preserve"> </v>
      </c>
      <c r="D812" s="1534">
        <f>3.77*0.72*2</f>
        <v>5.4287999999999998</v>
      </c>
      <c r="E812" s="1044"/>
      <c r="F812" s="1056" t="str">
        <f>VLOOKUP($B812,DG!A:D,DG!$C$2,)</f>
        <v>Sắt góc L50 x50 x5</v>
      </c>
      <c r="G812" s="1044" t="str">
        <f>VLOOKUP($B812,DG!A:D,DG!$D$2,)</f>
        <v>kg</v>
      </c>
      <c r="H812" s="1823">
        <f t="shared" si="157"/>
        <v>0</v>
      </c>
      <c r="I812" s="1823">
        <f t="shared" si="157"/>
        <v>0</v>
      </c>
      <c r="J812" s="1823">
        <f t="shared" si="157"/>
        <v>0</v>
      </c>
      <c r="K812" s="1823">
        <f t="shared" si="157"/>
        <v>0</v>
      </c>
      <c r="L812" s="1823">
        <f t="shared" si="157"/>
        <v>0</v>
      </c>
      <c r="M812" s="1823">
        <f t="shared" si="157"/>
        <v>0</v>
      </c>
      <c r="N812" s="1823">
        <f t="shared" si="157"/>
        <v>0</v>
      </c>
      <c r="O812" s="1823"/>
      <c r="P812" s="1823"/>
      <c r="Q812" s="1053"/>
      <c r="R812" s="1053"/>
      <c r="S812" s="1053"/>
      <c r="T812" s="2035">
        <f t="shared" si="152"/>
        <v>0</v>
      </c>
    </row>
    <row r="813" spans="1:20" ht="22.2" hidden="1" customHeight="1">
      <c r="A813" s="59"/>
      <c r="B813" s="1577" t="s">
        <v>1612</v>
      </c>
      <c r="C813" s="1013" t="str">
        <f t="shared" si="151"/>
        <v xml:space="preserve"> </v>
      </c>
      <c r="D813" s="1535">
        <v>2</v>
      </c>
      <c r="E813" s="1044"/>
      <c r="F813" s="1056" t="str">
        <f>VLOOKUP($B813,DG!A:D,DG!$C$2,)</f>
        <v>Boulon 16x250+ 2 long đền vuông D18-50x50x3/Zn</v>
      </c>
      <c r="G813" s="1044" t="str">
        <f>VLOOKUP($B813,DG!A:D,DG!$D$2,)</f>
        <v>bộ</v>
      </c>
      <c r="H813" s="1823">
        <f t="shared" si="157"/>
        <v>0</v>
      </c>
      <c r="I813" s="1823">
        <f t="shared" si="157"/>
        <v>0</v>
      </c>
      <c r="J813" s="1823">
        <f t="shared" si="157"/>
        <v>0</v>
      </c>
      <c r="K813" s="1823">
        <f t="shared" si="157"/>
        <v>0</v>
      </c>
      <c r="L813" s="1823">
        <f t="shared" si="157"/>
        <v>0</v>
      </c>
      <c r="M813" s="1823">
        <f t="shared" si="157"/>
        <v>0</v>
      </c>
      <c r="N813" s="1823">
        <f t="shared" si="157"/>
        <v>0</v>
      </c>
      <c r="O813" s="1823"/>
      <c r="P813" s="1823"/>
      <c r="Q813" s="1053"/>
      <c r="R813" s="1053"/>
      <c r="S813" s="1053"/>
      <c r="T813" s="2035">
        <f t="shared" si="152"/>
        <v>0</v>
      </c>
    </row>
    <row r="814" spans="1:20" ht="22.2" hidden="1" customHeight="1">
      <c r="A814" s="59"/>
      <c r="B814" s="1577" t="s">
        <v>1790</v>
      </c>
      <c r="C814" s="1013" t="str">
        <f t="shared" si="151"/>
        <v xml:space="preserve"> </v>
      </c>
      <c r="D814" s="1535">
        <v>1</v>
      </c>
      <c r="E814" s="1044"/>
      <c r="F814" s="1056" t="str">
        <f>VLOOKUP($B814,DG!A:D,DG!$C$2,)</f>
        <v>Boulon 16x50+ 2 long đền vuông D18-50x50x3/Zn</v>
      </c>
      <c r="G814" s="1044" t="str">
        <f>VLOOKUP($B814,DG!A:D,DG!$D$2,)</f>
        <v>bộ</v>
      </c>
      <c r="H814" s="1823">
        <f t="shared" si="157"/>
        <v>0</v>
      </c>
      <c r="I814" s="1823">
        <f t="shared" si="157"/>
        <v>0</v>
      </c>
      <c r="J814" s="1823">
        <f t="shared" si="157"/>
        <v>0</v>
      </c>
      <c r="K814" s="1823">
        <f t="shared" si="157"/>
        <v>0</v>
      </c>
      <c r="L814" s="1823">
        <f t="shared" si="157"/>
        <v>0</v>
      </c>
      <c r="M814" s="1823">
        <f t="shared" si="157"/>
        <v>0</v>
      </c>
      <c r="N814" s="1823">
        <f t="shared" si="157"/>
        <v>0</v>
      </c>
      <c r="O814" s="1823"/>
      <c r="P814" s="1823"/>
      <c r="Q814" s="1053"/>
      <c r="R814" s="1053"/>
      <c r="S814" s="1053"/>
      <c r="T814" s="2035">
        <f t="shared" si="152"/>
        <v>0</v>
      </c>
    </row>
    <row r="815" spans="1:20" ht="22.2" hidden="1" customHeight="1">
      <c r="A815" s="59"/>
      <c r="B815" s="1577" t="s">
        <v>1999</v>
      </c>
      <c r="C815" s="1013" t="str">
        <f t="shared" si="151"/>
        <v xml:space="preserve"> </v>
      </c>
      <c r="D815" s="1535">
        <v>1</v>
      </c>
      <c r="E815" s="1044" t="str">
        <f>VLOOKUP($B815,DG!A:D,DG!$B$2,)</f>
        <v>05.6401</v>
      </c>
      <c r="F815" s="1049" t="str">
        <f>VLOOKUP($B815,DG!A:D,DG!$C$2,)</f>
        <v>Lắp xà đỡ ≤ 25kg</v>
      </c>
      <c r="G815" s="1044" t="str">
        <f>VLOOKUP($B815,DG!A:D,DG!$D$2,)</f>
        <v>bộ</v>
      </c>
      <c r="H815" s="1823"/>
      <c r="I815" s="1823"/>
      <c r="J815" s="1823"/>
      <c r="K815" s="1823"/>
      <c r="L815" s="1823"/>
      <c r="M815" s="1823"/>
      <c r="N815" s="1823"/>
      <c r="O815" s="1823"/>
      <c r="P815" s="1823"/>
      <c r="Q815" s="1058"/>
      <c r="R815" s="1058"/>
      <c r="S815" s="1058"/>
      <c r="T815" s="2035">
        <f t="shared" si="152"/>
        <v>0</v>
      </c>
    </row>
    <row r="816" spans="1:20" ht="22.2" hidden="1" customHeight="1">
      <c r="A816" s="59"/>
      <c r="B816" s="1577" t="s">
        <v>2000</v>
      </c>
      <c r="C816" s="1013" t="str">
        <f t="shared" si="151"/>
        <v xml:space="preserve"> </v>
      </c>
      <c r="D816" s="1533"/>
      <c r="E816" s="1044" t="str">
        <f>VLOOKUP($B816,DG!A:D,DG!$B$2,)</f>
        <v>02.1115</v>
      </c>
      <c r="F816" s="1049" t="str">
        <f>VLOOKUP($B816,DG!A:D,DG!$C$2,)</f>
        <v>Bốc dỡ xà, thép thanh</v>
      </c>
      <c r="G816" s="1044" t="str">
        <f>VLOOKUP($B816,DG!A:D,DG!$D$2,)</f>
        <v>tấn</v>
      </c>
      <c r="H816" s="1823"/>
      <c r="I816" s="1823"/>
      <c r="J816" s="1823"/>
      <c r="K816" s="1823"/>
      <c r="L816" s="1823"/>
      <c r="M816" s="1823"/>
      <c r="N816" s="1823"/>
      <c r="O816" s="1823"/>
      <c r="P816" s="1823"/>
      <c r="Q816" s="1058"/>
      <c r="R816" s="1058"/>
      <c r="S816" s="1058"/>
      <c r="T816" s="2035">
        <f t="shared" si="152"/>
        <v>0</v>
      </c>
    </row>
    <row r="817" spans="1:20" ht="22.2" hidden="1" customHeight="1">
      <c r="A817" s="59"/>
      <c r="B817" s="1588" t="s">
        <v>2001</v>
      </c>
      <c r="C817" s="1013" t="str">
        <f t="shared" si="151"/>
        <v xml:space="preserve"> </v>
      </c>
      <c r="D817" s="1533"/>
      <c r="E817" s="1044" t="str">
        <f>VLOOKUP($B817,DG!A:C,2,)</f>
        <v>02.1361</v>
      </c>
      <c r="F817" s="1049" t="str">
        <f>VLOOKUP($B817,DG!A:C,3,)</f>
        <v>V/c xà vào vị trí (cư ly &lt;=100m)</v>
      </c>
      <c r="G817" s="1044" t="str">
        <f>VLOOKUP($B817,DG!A:D,4,0)</f>
        <v>tấn</v>
      </c>
      <c r="H817" s="1823"/>
      <c r="I817" s="1823"/>
      <c r="J817" s="1823"/>
      <c r="K817" s="1823"/>
      <c r="L817" s="1823"/>
      <c r="M817" s="1823"/>
      <c r="N817" s="1823"/>
      <c r="O817" s="1823"/>
      <c r="P817" s="1823"/>
      <c r="Q817" s="1058"/>
      <c r="R817" s="1058"/>
      <c r="S817" s="1058"/>
      <c r="T817" s="2035">
        <f t="shared" si="152"/>
        <v>0</v>
      </c>
    </row>
    <row r="818" spans="1:20" ht="22.2" hidden="1" customHeight="1">
      <c r="A818" s="59"/>
      <c r="B818" s="1588" t="s">
        <v>635</v>
      </c>
      <c r="C818" s="1013" t="str">
        <f t="shared" si="151"/>
        <v xml:space="preserve"> </v>
      </c>
      <c r="D818" s="1534"/>
      <c r="E818" s="1044" t="str">
        <f>VLOOKUP($B818,DG!A:C,2,)</f>
        <v>02.1482</v>
      </c>
      <c r="F818" s="1049" t="str">
        <f>VLOOKUP($B818,DG!A:C,3,)</f>
        <v>V/c dụng cụ thi công vào vị trí (cự ly &lt;=100m)</v>
      </c>
      <c r="G818" s="1044" t="str">
        <f>VLOOKUP($B818,DG!A:D,4,0)</f>
        <v>tấn</v>
      </c>
      <c r="H818" s="1823"/>
      <c r="I818" s="1823"/>
      <c r="J818" s="1823"/>
      <c r="K818" s="1823"/>
      <c r="L818" s="1823"/>
      <c r="M818" s="1823"/>
      <c r="N818" s="1823"/>
      <c r="O818" s="1823"/>
      <c r="P818" s="1823"/>
      <c r="Q818" s="1058"/>
      <c r="R818" s="1058"/>
      <c r="S818" s="1058"/>
      <c r="T818" s="2035">
        <f t="shared" si="152"/>
        <v>0</v>
      </c>
    </row>
    <row r="819" spans="1:20" ht="22.2" hidden="1" customHeight="1">
      <c r="A819" s="56" t="s">
        <v>909</v>
      </c>
      <c r="B819" s="1574" t="s">
        <v>909</v>
      </c>
      <c r="C819" s="1013" t="str">
        <f t="shared" si="151"/>
        <v xml:space="preserve"> </v>
      </c>
      <c r="D819" s="1532"/>
      <c r="E819" s="1045"/>
      <c r="F819" s="1392" t="s">
        <v>2424</v>
      </c>
      <c r="G819" s="1046" t="s">
        <v>2391</v>
      </c>
      <c r="H819" s="1821">
        <f>SUM(I819:O819)</f>
        <v>0</v>
      </c>
      <c r="I819" s="1822"/>
      <c r="J819" s="1822"/>
      <c r="K819" s="1822">
        <f>IFERROR(HLOOKUP(B819,pp3p1m!$1:$3,3,0),0)</f>
        <v>0</v>
      </c>
      <c r="L819" s="1822">
        <f>IFERROR(HLOOKUP(chitiet!B819,pp1p!$1:$3,3,0),0)</f>
        <v>0</v>
      </c>
      <c r="M819" s="1822"/>
      <c r="N819" s="1822"/>
      <c r="O819" s="1822"/>
      <c r="P819" s="1822">
        <f>H819+Q819-R819</f>
        <v>0</v>
      </c>
      <c r="Q819" s="1047"/>
      <c r="R819" s="1047"/>
      <c r="S819" s="1047"/>
      <c r="T819" s="2035">
        <f>IFERROR(HLOOKUP(B819,pp1p!$1:$3,3,0),0)+IFERROR(HLOOKUP(B819,pp3p1m!$1:$3,3,0),0)</f>
        <v>0</v>
      </c>
    </row>
    <row r="820" spans="1:20" ht="22.2" hidden="1" customHeight="1">
      <c r="A820" s="59"/>
      <c r="B820" s="1577" t="s">
        <v>4857</v>
      </c>
      <c r="C820" s="1013" t="str">
        <f t="shared" si="151"/>
        <v xml:space="preserve"> </v>
      </c>
      <c r="D820" s="1534">
        <f>9.02*2.2*2</f>
        <v>39.688000000000002</v>
      </c>
      <c r="E820" s="1044"/>
      <c r="F820" s="1056" t="str">
        <f>VLOOKUP($B820,DG!A:D,DG!$C$2,)</f>
        <v>Sắt góc L75 x75 x8-2.200</v>
      </c>
      <c r="G820" s="1044" t="str">
        <f>VLOOKUP($B820,DG!A:D,DG!$D$2,)</f>
        <v>cái</v>
      </c>
      <c r="H820" s="1823">
        <f t="shared" ref="H820:H825" si="158">H$819*$D820</f>
        <v>0</v>
      </c>
      <c r="I820" s="1823">
        <f t="shared" ref="I820:K823" si="159">I$810*$D820</f>
        <v>0</v>
      </c>
      <c r="J820" s="1823">
        <f t="shared" si="159"/>
        <v>0</v>
      </c>
      <c r="K820" s="1823">
        <f t="shared" si="159"/>
        <v>0</v>
      </c>
      <c r="L820" s="1823">
        <f t="shared" ref="L820:N825" si="160">L$819*$D820</f>
        <v>0</v>
      </c>
      <c r="M820" s="1823">
        <f t="shared" si="160"/>
        <v>0</v>
      </c>
      <c r="N820" s="1823">
        <f t="shared" si="160"/>
        <v>0</v>
      </c>
      <c r="O820" s="1823"/>
      <c r="P820" s="1823"/>
      <c r="Q820" s="1053"/>
      <c r="R820" s="1053"/>
      <c r="S820" s="1053"/>
      <c r="T820" s="2035">
        <f t="shared" si="152"/>
        <v>0</v>
      </c>
    </row>
    <row r="821" spans="1:20" ht="22.2" hidden="1" customHeight="1">
      <c r="A821" s="59"/>
      <c r="B821" s="1577" t="s">
        <v>457</v>
      </c>
      <c r="C821" s="1013" t="str">
        <f t="shared" si="151"/>
        <v xml:space="preserve"> </v>
      </c>
      <c r="D821" s="1534">
        <f>3.77*0.72*4</f>
        <v>10.8576</v>
      </c>
      <c r="E821" s="1044"/>
      <c r="F821" s="1056" t="str">
        <f>VLOOKUP($B821,DG!A:D,DG!$C$2,)</f>
        <v>Sắt góc L50 x50 x5</v>
      </c>
      <c r="G821" s="1044" t="str">
        <f>VLOOKUP($B821,DG!A:D,DG!$D$2,)</f>
        <v>kg</v>
      </c>
      <c r="H821" s="1823">
        <f t="shared" si="158"/>
        <v>0</v>
      </c>
      <c r="I821" s="1823">
        <f t="shared" si="159"/>
        <v>0</v>
      </c>
      <c r="J821" s="1823">
        <f t="shared" si="159"/>
        <v>0</v>
      </c>
      <c r="K821" s="1823">
        <f t="shared" si="159"/>
        <v>0</v>
      </c>
      <c r="L821" s="1823">
        <f t="shared" si="160"/>
        <v>0</v>
      </c>
      <c r="M821" s="1823">
        <f t="shared" si="160"/>
        <v>0</v>
      </c>
      <c r="N821" s="1823">
        <f t="shared" si="160"/>
        <v>0</v>
      </c>
      <c r="O821" s="1823"/>
      <c r="P821" s="1823"/>
      <c r="Q821" s="1053"/>
      <c r="R821" s="1053"/>
      <c r="S821" s="1053"/>
      <c r="T821" s="2035">
        <f t="shared" si="152"/>
        <v>0</v>
      </c>
    </row>
    <row r="822" spans="1:20" ht="22.2" hidden="1" customHeight="1">
      <c r="A822" s="59"/>
      <c r="B822" s="1577" t="s">
        <v>1790</v>
      </c>
      <c r="C822" s="1013" t="str">
        <f t="shared" si="151"/>
        <v xml:space="preserve"> </v>
      </c>
      <c r="D822" s="1535">
        <v>4</v>
      </c>
      <c r="E822" s="1044"/>
      <c r="F822" s="1056" t="str">
        <f>VLOOKUP($B822,DG!A:D,DG!$C$2,)</f>
        <v>Boulon 16x50+ 2 long đền vuông D18-50x50x3/Zn</v>
      </c>
      <c r="G822" s="1044" t="str">
        <f>VLOOKUP($B822,DG!A:D,DG!$D$2,)</f>
        <v>bộ</v>
      </c>
      <c r="H822" s="1823">
        <f t="shared" si="158"/>
        <v>0</v>
      </c>
      <c r="I822" s="1823">
        <f t="shared" si="159"/>
        <v>0</v>
      </c>
      <c r="J822" s="1823">
        <f t="shared" si="159"/>
        <v>0</v>
      </c>
      <c r="K822" s="1823">
        <f t="shared" si="159"/>
        <v>0</v>
      </c>
      <c r="L822" s="1823">
        <f t="shared" si="160"/>
        <v>0</v>
      </c>
      <c r="M822" s="1823">
        <f t="shared" si="160"/>
        <v>0</v>
      </c>
      <c r="N822" s="1823">
        <f t="shared" si="160"/>
        <v>0</v>
      </c>
      <c r="O822" s="1823"/>
      <c r="P822" s="1823"/>
      <c r="Q822" s="1053"/>
      <c r="R822" s="1053"/>
      <c r="S822" s="1053"/>
      <c r="T822" s="2035">
        <f t="shared" si="152"/>
        <v>0</v>
      </c>
    </row>
    <row r="823" spans="1:20" ht="22.2" hidden="1" customHeight="1">
      <c r="A823" s="59"/>
      <c r="B823" s="1577" t="s">
        <v>1612</v>
      </c>
      <c r="C823" s="1013" t="str">
        <f t="shared" si="151"/>
        <v xml:space="preserve"> </v>
      </c>
      <c r="D823" s="1535">
        <v>1</v>
      </c>
      <c r="E823" s="1044"/>
      <c r="F823" s="1056" t="str">
        <f>VLOOKUP($B823,DG!A:D,DG!$C$2,)</f>
        <v>Boulon 16x250+ 2 long đền vuông D18-50x50x3/Zn</v>
      </c>
      <c r="G823" s="1044" t="str">
        <f>VLOOKUP($B823,DG!A:D,DG!$D$2,)</f>
        <v>bộ</v>
      </c>
      <c r="H823" s="1823">
        <f t="shared" si="158"/>
        <v>0</v>
      </c>
      <c r="I823" s="1823">
        <f t="shared" si="159"/>
        <v>0</v>
      </c>
      <c r="J823" s="1823">
        <f t="shared" si="159"/>
        <v>0</v>
      </c>
      <c r="K823" s="1823">
        <f t="shared" si="159"/>
        <v>0</v>
      </c>
      <c r="L823" s="1823">
        <f t="shared" si="160"/>
        <v>0</v>
      </c>
      <c r="M823" s="1823">
        <f t="shared" si="160"/>
        <v>0</v>
      </c>
      <c r="N823" s="1823">
        <f t="shared" si="160"/>
        <v>0</v>
      </c>
      <c r="O823" s="1823"/>
      <c r="P823" s="1823"/>
      <c r="Q823" s="1053"/>
      <c r="R823" s="1053"/>
      <c r="S823" s="1053"/>
      <c r="T823" s="2035">
        <f t="shared" si="152"/>
        <v>0</v>
      </c>
    </row>
    <row r="824" spans="1:20" ht="22.2" hidden="1" customHeight="1">
      <c r="A824" s="59"/>
      <c r="B824" s="1577" t="s">
        <v>1613</v>
      </c>
      <c r="C824" s="1013" t="str">
        <f t="shared" si="151"/>
        <v xml:space="preserve"> </v>
      </c>
      <c r="D824" s="1535">
        <v>1</v>
      </c>
      <c r="E824" s="1044"/>
      <c r="F824" s="1056" t="str">
        <f>VLOOKUP($B824,DG!A:D,DG!$C$2,)</f>
        <v>Boulon 16x300+ 2 long đền vuông D18-50x50x3/Zn</v>
      </c>
      <c r="G824" s="1044" t="str">
        <f>VLOOKUP($B824,DG!A:D,DG!$D$2,)</f>
        <v>bộ</v>
      </c>
      <c r="H824" s="1823">
        <f t="shared" si="158"/>
        <v>0</v>
      </c>
      <c r="I824" s="1823">
        <f t="shared" ref="I824:K825" si="161">I$819*$D824</f>
        <v>0</v>
      </c>
      <c r="J824" s="1823">
        <f t="shared" si="161"/>
        <v>0</v>
      </c>
      <c r="K824" s="1823">
        <f t="shared" si="161"/>
        <v>0</v>
      </c>
      <c r="L824" s="1823">
        <f t="shared" si="160"/>
        <v>0</v>
      </c>
      <c r="M824" s="1823">
        <f t="shared" si="160"/>
        <v>0</v>
      </c>
      <c r="N824" s="1823">
        <f t="shared" si="160"/>
        <v>0</v>
      </c>
      <c r="O824" s="1823"/>
      <c r="P824" s="1823"/>
      <c r="Q824" s="1053"/>
      <c r="R824" s="1053"/>
      <c r="S824" s="1053"/>
      <c r="T824" s="2035">
        <f t="shared" si="152"/>
        <v>0</v>
      </c>
    </row>
    <row r="825" spans="1:20" ht="22.2" hidden="1" customHeight="1">
      <c r="A825" s="59"/>
      <c r="B825" s="1577" t="s">
        <v>415</v>
      </c>
      <c r="C825" s="1013" t="str">
        <f t="shared" si="151"/>
        <v xml:space="preserve"> </v>
      </c>
      <c r="D825" s="1535">
        <v>2</v>
      </c>
      <c r="E825" s="1044"/>
      <c r="F825" s="1056" t="str">
        <f>VLOOKUP($B825,DG!A:D,DG!$C$2,)</f>
        <v>Boulon 16x300VRS+ 4 long đền vuông D18-50x50x3/Zn</v>
      </c>
      <c r="G825" s="1044" t="str">
        <f>VLOOKUP($B825,DG!A:D,DG!$D$2,)</f>
        <v>bộ</v>
      </c>
      <c r="H825" s="1823">
        <f t="shared" si="158"/>
        <v>0</v>
      </c>
      <c r="I825" s="1823">
        <f t="shared" si="161"/>
        <v>0</v>
      </c>
      <c r="J825" s="1823">
        <f t="shared" si="161"/>
        <v>0</v>
      </c>
      <c r="K825" s="1823">
        <f t="shared" si="161"/>
        <v>0</v>
      </c>
      <c r="L825" s="1823">
        <f t="shared" si="160"/>
        <v>0</v>
      </c>
      <c r="M825" s="1823">
        <f t="shared" si="160"/>
        <v>0</v>
      </c>
      <c r="N825" s="1823">
        <f t="shared" si="160"/>
        <v>0</v>
      </c>
      <c r="O825" s="1823"/>
      <c r="P825" s="1823"/>
      <c r="Q825" s="1053"/>
      <c r="R825" s="1053"/>
      <c r="S825" s="1053"/>
      <c r="T825" s="2035">
        <f t="shared" si="152"/>
        <v>0</v>
      </c>
    </row>
    <row r="826" spans="1:20" ht="22.2" hidden="1" customHeight="1">
      <c r="A826" s="59"/>
      <c r="B826" s="1577" t="s">
        <v>2002</v>
      </c>
      <c r="C826" s="1013" t="str">
        <f t="shared" si="151"/>
        <v xml:space="preserve"> </v>
      </c>
      <c r="D826" s="1535">
        <v>1</v>
      </c>
      <c r="E826" s="1044" t="str">
        <f>VLOOKUP($B826,DG!A:D,DG!$B$2,)</f>
        <v>05.6202</v>
      </c>
      <c r="F826" s="1049" t="str">
        <f>VLOOKUP($B826,DG!A:D,DG!$C$2,)</f>
        <v>Lắp xà néo ≤ 50kg</v>
      </c>
      <c r="G826" s="1044" t="str">
        <f>VLOOKUP($B826,DG!A:D,DG!$D$2,)</f>
        <v>bộ</v>
      </c>
      <c r="H826" s="1823"/>
      <c r="I826" s="1823"/>
      <c r="J826" s="1823"/>
      <c r="K826" s="1823"/>
      <c r="L826" s="1823"/>
      <c r="M826" s="1823"/>
      <c r="N826" s="1823"/>
      <c r="O826" s="1823"/>
      <c r="P826" s="1823"/>
      <c r="Q826" s="1058"/>
      <c r="R826" s="1058"/>
      <c r="S826" s="1058"/>
      <c r="T826" s="2035">
        <f t="shared" si="152"/>
        <v>0</v>
      </c>
    </row>
    <row r="827" spans="1:20" ht="22.2" hidden="1" customHeight="1">
      <c r="A827" s="59"/>
      <c r="B827" s="1577" t="s">
        <v>2000</v>
      </c>
      <c r="C827" s="1013" t="str">
        <f t="shared" si="151"/>
        <v xml:space="preserve"> </v>
      </c>
      <c r="D827" s="1533"/>
      <c r="E827" s="1044" t="str">
        <f>VLOOKUP($B827,DG!A:D,DG!$B$2,)</f>
        <v>02.1115</v>
      </c>
      <c r="F827" s="1049" t="str">
        <f>VLOOKUP($B827,DG!A:D,DG!$C$2,)</f>
        <v>Bốc dỡ xà, thép thanh</v>
      </c>
      <c r="G827" s="1044" t="str">
        <f>VLOOKUP($B827,DG!A:D,DG!$D$2,)</f>
        <v>tấn</v>
      </c>
      <c r="H827" s="1823"/>
      <c r="I827" s="1823"/>
      <c r="J827" s="1823"/>
      <c r="K827" s="1823"/>
      <c r="L827" s="1823"/>
      <c r="M827" s="1823"/>
      <c r="N827" s="1823"/>
      <c r="O827" s="1823"/>
      <c r="P827" s="1823"/>
      <c r="Q827" s="1058"/>
      <c r="R827" s="1058"/>
      <c r="S827" s="1058"/>
      <c r="T827" s="2035">
        <f t="shared" si="152"/>
        <v>0</v>
      </c>
    </row>
    <row r="828" spans="1:20" ht="22.2" hidden="1" customHeight="1">
      <c r="A828" s="59"/>
      <c r="B828" s="1588" t="s">
        <v>2001</v>
      </c>
      <c r="C828" s="1013" t="str">
        <f t="shared" si="151"/>
        <v xml:space="preserve"> </v>
      </c>
      <c r="D828" s="1533"/>
      <c r="E828" s="1044" t="str">
        <f>VLOOKUP($B828,DG!A:C,2,)</f>
        <v>02.1361</v>
      </c>
      <c r="F828" s="1049" t="str">
        <f>VLOOKUP($B828,DG!A:C,3,)</f>
        <v>V/c xà vào vị trí (cư ly &lt;=100m)</v>
      </c>
      <c r="G828" s="1044" t="str">
        <f>VLOOKUP($B828,DG!A:D,4,0)</f>
        <v>tấn</v>
      </c>
      <c r="H828" s="1823"/>
      <c r="I828" s="1823"/>
      <c r="J828" s="1823"/>
      <c r="K828" s="1823"/>
      <c r="L828" s="1823"/>
      <c r="M828" s="1823"/>
      <c r="N828" s="1823"/>
      <c r="O828" s="1823"/>
      <c r="P828" s="1823"/>
      <c r="Q828" s="1058"/>
      <c r="R828" s="1058"/>
      <c r="S828" s="1058"/>
      <c r="T828" s="2035">
        <f t="shared" si="152"/>
        <v>0</v>
      </c>
    </row>
    <row r="829" spans="1:20" ht="22.2" hidden="1" customHeight="1">
      <c r="A829" s="59"/>
      <c r="B829" s="1588" t="s">
        <v>635</v>
      </c>
      <c r="C829" s="1013" t="str">
        <f t="shared" si="151"/>
        <v xml:space="preserve"> </v>
      </c>
      <c r="D829" s="1534"/>
      <c r="E829" s="1044" t="str">
        <f>VLOOKUP($B829,DG!A:C,2,)</f>
        <v>02.1482</v>
      </c>
      <c r="F829" s="1049" t="str">
        <f>VLOOKUP($B829,DG!A:C,3,)</f>
        <v>V/c dụng cụ thi công vào vị trí (cự ly &lt;=100m)</v>
      </c>
      <c r="G829" s="1044" t="str">
        <f>VLOOKUP($B829,DG!A:D,4,0)</f>
        <v>tấn</v>
      </c>
      <c r="H829" s="1823"/>
      <c r="I829" s="1823"/>
      <c r="J829" s="1823"/>
      <c r="K829" s="1823"/>
      <c r="L829" s="1823"/>
      <c r="M829" s="1823"/>
      <c r="N829" s="1823"/>
      <c r="O829" s="1823"/>
      <c r="P829" s="1823"/>
      <c r="Q829" s="1058"/>
      <c r="R829" s="1058"/>
      <c r="S829" s="1058"/>
      <c r="T829" s="2035">
        <f t="shared" si="152"/>
        <v>0</v>
      </c>
    </row>
    <row r="830" spans="1:20" ht="22.2" hidden="1" customHeight="1">
      <c r="A830" s="1572" t="s">
        <v>2300</v>
      </c>
      <c r="B830" s="1574" t="s">
        <v>2300</v>
      </c>
      <c r="C830" s="1832" t="str">
        <f t="shared" si="151"/>
        <v xml:space="preserve"> </v>
      </c>
      <c r="D830" s="1532"/>
      <c r="E830" s="1045"/>
      <c r="F830" s="1392" t="s">
        <v>2425</v>
      </c>
      <c r="G830" s="1046" t="s">
        <v>2391</v>
      </c>
      <c r="H830" s="1821">
        <f>SUM(I830:O830)</f>
        <v>0</v>
      </c>
      <c r="I830" s="1822"/>
      <c r="J830" s="1822"/>
      <c r="K830" s="1822">
        <f>IFERROR(HLOOKUP(B830,pp3p1m!$1:$3,3,0),0)</f>
        <v>0</v>
      </c>
      <c r="L830" s="1822">
        <f>IFERROR(HLOOKUP(chitiet!B830,pp1p!$1:$3,3,0),0)</f>
        <v>0</v>
      </c>
      <c r="M830" s="1822"/>
      <c r="N830" s="1822"/>
      <c r="O830" s="1822"/>
      <c r="P830" s="1821">
        <f>H830+Q830-R830</f>
        <v>0</v>
      </c>
      <c r="Q830" s="1047"/>
      <c r="R830" s="1047"/>
      <c r="S830" s="1047"/>
      <c r="T830" s="2035">
        <f>IFERROR(HLOOKUP(B830,pp1p!$1:$3,3,0),0)+IFERROR(HLOOKUP(B830,pp3p1m!$1:$3,3,0),0)</f>
        <v>0</v>
      </c>
    </row>
    <row r="831" spans="1:20" ht="22.2" hidden="1" customHeight="1">
      <c r="B831" s="1577" t="s">
        <v>109</v>
      </c>
      <c r="C831" s="1832" t="str">
        <f t="shared" si="151"/>
        <v xml:space="preserve"> </v>
      </c>
      <c r="D831" s="1534">
        <v>1</v>
      </c>
      <c r="E831" s="1044"/>
      <c r="F831" s="1056" t="str">
        <f>VLOOKUP($B831,DG!A:D,DG!$C$2,)</f>
        <v>Sắt góc L75 x75 x8</v>
      </c>
      <c r="G831" s="1044" t="str">
        <f>VLOOKUP($B831,DG!A:D,DG!$D$2,)</f>
        <v>kg</v>
      </c>
      <c r="H831" s="1823">
        <f t="shared" ref="H831:N832" si="162">H$830*$D831</f>
        <v>0</v>
      </c>
      <c r="I831" s="1823">
        <f t="shared" si="162"/>
        <v>0</v>
      </c>
      <c r="J831" s="1823">
        <f t="shared" si="162"/>
        <v>0</v>
      </c>
      <c r="K831" s="1823">
        <f t="shared" si="162"/>
        <v>0</v>
      </c>
      <c r="L831" s="1823">
        <f t="shared" si="162"/>
        <v>0</v>
      </c>
      <c r="M831" s="1823">
        <f t="shared" si="162"/>
        <v>0</v>
      </c>
      <c r="N831" s="1823">
        <f t="shared" si="162"/>
        <v>0</v>
      </c>
      <c r="O831" s="1823"/>
      <c r="P831" s="1823">
        <f>$P$830*D831</f>
        <v>0</v>
      </c>
      <c r="Q831" s="1057">
        <f>$Q$830*D831</f>
        <v>0</v>
      </c>
      <c r="R831" s="1053"/>
      <c r="S831" s="1053"/>
      <c r="T831" s="2035">
        <f t="shared" si="152"/>
        <v>0</v>
      </c>
    </row>
    <row r="832" spans="1:20" ht="22.2" hidden="1" customHeight="1">
      <c r="B832" s="1577" t="s">
        <v>457</v>
      </c>
      <c r="C832" s="1832" t="str">
        <f t="shared" si="151"/>
        <v xml:space="preserve"> </v>
      </c>
      <c r="D832" s="1534">
        <v>2</v>
      </c>
      <c r="E832" s="1044"/>
      <c r="F832" s="1056" t="str">
        <f>VLOOKUP($B832,DG!A:D,DG!$C$2,)&amp;": thanh chống 810"</f>
        <v>Sắt góc L50 x50 x5: thanh chống 810</v>
      </c>
      <c r="G832" s="1044" t="str">
        <f>VLOOKUP($B832,DG!A:D,DG!$D$2,)</f>
        <v>kg</v>
      </c>
      <c r="H832" s="1823">
        <f t="shared" si="162"/>
        <v>0</v>
      </c>
      <c r="I832" s="1823">
        <f t="shared" si="162"/>
        <v>0</v>
      </c>
      <c r="J832" s="1823">
        <f t="shared" si="162"/>
        <v>0</v>
      </c>
      <c r="K832" s="1823">
        <f t="shared" si="162"/>
        <v>0</v>
      </c>
      <c r="L832" s="1823">
        <f t="shared" si="162"/>
        <v>0</v>
      </c>
      <c r="M832" s="1823">
        <f t="shared" si="162"/>
        <v>0</v>
      </c>
      <c r="N832" s="1823">
        <f t="shared" si="162"/>
        <v>0</v>
      </c>
      <c r="O832" s="1823"/>
      <c r="P832" s="1823">
        <f>$P$830*D832</f>
        <v>0</v>
      </c>
      <c r="Q832" s="1053">
        <f>$Q$830*D832</f>
        <v>0</v>
      </c>
      <c r="R832" s="1053"/>
      <c r="S832" s="1053"/>
      <c r="T832" s="2035">
        <f t="shared" si="152"/>
        <v>0</v>
      </c>
    </row>
    <row r="833" spans="1:20" ht="22.2" hidden="1" customHeight="1">
      <c r="A833" s="59"/>
      <c r="B833" s="1577" t="s">
        <v>2426</v>
      </c>
      <c r="C833" s="1013" t="str">
        <f t="shared" si="151"/>
        <v xml:space="preserve"> </v>
      </c>
      <c r="D833" s="1534"/>
      <c r="E833" s="1044"/>
      <c r="F833" s="1056" t="str">
        <f>VLOOKUP($B833,DG!A:D,DG!$C$2,)&amp;": thanh chống 810"</f>
        <v>Cổ dê bắt xà + bulon: thanh chống 810</v>
      </c>
      <c r="G833" s="1044" t="str">
        <f>VLOOKUP($B833,DG!A:D,DG!$D$2,)</f>
        <v>bộ</v>
      </c>
      <c r="H833" s="1823"/>
      <c r="I833" s="1823"/>
      <c r="J833" s="1823"/>
      <c r="K833" s="1823"/>
      <c r="L833" s="1823"/>
      <c r="M833" s="1823"/>
      <c r="N833" s="1823"/>
      <c r="O833" s="1823"/>
      <c r="P833" s="1823"/>
      <c r="Q833" s="1053"/>
      <c r="R833" s="1053"/>
      <c r="S833" s="1053"/>
      <c r="T833" s="2035">
        <f t="shared" si="152"/>
        <v>0</v>
      </c>
    </row>
    <row r="834" spans="1:20" ht="22.2" hidden="1" customHeight="1">
      <c r="A834" s="59"/>
      <c r="B834" s="1577" t="s">
        <v>569</v>
      </c>
      <c r="C834" s="1013" t="str">
        <f t="shared" si="151"/>
        <v xml:space="preserve"> </v>
      </c>
      <c r="D834" s="1534"/>
      <c r="E834" s="1044"/>
      <c r="F834" s="1056" t="str">
        <f>VLOOKUP($B834,DG!A:D,DG!$C$2,)&amp;": thanh chống 810"</f>
        <v>Cổ dê chống lắc 8x80x800 : thanh chống 810</v>
      </c>
      <c r="G834" s="1044" t="str">
        <f>VLOOKUP($B834,DG!A:D,DG!$D$2,)</f>
        <v>bộ</v>
      </c>
      <c r="H834" s="1823"/>
      <c r="I834" s="1823"/>
      <c r="J834" s="1823"/>
      <c r="K834" s="1823"/>
      <c r="L834" s="1823"/>
      <c r="M834" s="1823"/>
      <c r="N834" s="1823"/>
      <c r="O834" s="1823"/>
      <c r="P834" s="1823"/>
      <c r="Q834" s="1053"/>
      <c r="R834" s="1053"/>
      <c r="S834" s="1053"/>
      <c r="T834" s="2035">
        <f t="shared" si="152"/>
        <v>0</v>
      </c>
    </row>
    <row r="835" spans="1:20" ht="22.2" hidden="1" customHeight="1">
      <c r="B835" s="1577" t="s">
        <v>1612</v>
      </c>
      <c r="C835" s="1832" t="str">
        <f t="shared" si="151"/>
        <v xml:space="preserve"> </v>
      </c>
      <c r="D835" s="1535">
        <v>2</v>
      </c>
      <c r="E835" s="1044"/>
      <c r="F835" s="1056" t="str">
        <f>VLOOKUP($B835,DG!A:D,DG!$C$2,)</f>
        <v>Boulon 16x250+ 2 long đền vuông D18-50x50x3/Zn</v>
      </c>
      <c r="G835" s="1044" t="str">
        <f>VLOOKUP($B835,DG!A:D,DG!$D$2,)</f>
        <v>bộ</v>
      </c>
      <c r="H835" s="1823">
        <f t="shared" ref="H835:N836" si="163">H$830*$D835</f>
        <v>0</v>
      </c>
      <c r="I835" s="1823">
        <f t="shared" si="163"/>
        <v>0</v>
      </c>
      <c r="J835" s="1823">
        <f t="shared" si="163"/>
        <v>0</v>
      </c>
      <c r="K835" s="1823">
        <f t="shared" si="163"/>
        <v>0</v>
      </c>
      <c r="L835" s="1823">
        <f t="shared" si="163"/>
        <v>0</v>
      </c>
      <c r="M835" s="1823">
        <f t="shared" si="163"/>
        <v>0</v>
      </c>
      <c r="N835" s="1823">
        <f t="shared" si="163"/>
        <v>0</v>
      </c>
      <c r="O835" s="1823"/>
      <c r="P835" s="1823">
        <f>$P$830*D835</f>
        <v>0</v>
      </c>
      <c r="Q835" s="1053">
        <f>$Q$830*D835</f>
        <v>0</v>
      </c>
      <c r="R835" s="1053"/>
      <c r="S835" s="1053"/>
      <c r="T835" s="2035">
        <f t="shared" si="152"/>
        <v>0</v>
      </c>
    </row>
    <row r="836" spans="1:20" ht="22.2" hidden="1" customHeight="1">
      <c r="B836" s="1577" t="s">
        <v>1790</v>
      </c>
      <c r="C836" s="1832" t="str">
        <f t="shared" si="151"/>
        <v xml:space="preserve"> </v>
      </c>
      <c r="D836" s="1535">
        <v>2</v>
      </c>
      <c r="E836" s="1044"/>
      <c r="F836" s="1056" t="str">
        <f>VLOOKUP($B836,DG!A:D,DG!$C$2,)</f>
        <v>Boulon 16x50+ 2 long đền vuông D18-50x50x3/Zn</v>
      </c>
      <c r="G836" s="1044" t="str">
        <f>VLOOKUP($B836,DG!A:D,DG!$D$2,)</f>
        <v>bộ</v>
      </c>
      <c r="H836" s="1823">
        <f t="shared" si="163"/>
        <v>0</v>
      </c>
      <c r="I836" s="1823">
        <f t="shared" si="163"/>
        <v>0</v>
      </c>
      <c r="J836" s="1823">
        <f t="shared" si="163"/>
        <v>0</v>
      </c>
      <c r="K836" s="1823">
        <f t="shared" si="163"/>
        <v>0</v>
      </c>
      <c r="L836" s="1823">
        <f t="shared" si="163"/>
        <v>0</v>
      </c>
      <c r="M836" s="1823">
        <f t="shared" si="163"/>
        <v>0</v>
      </c>
      <c r="N836" s="1823">
        <f t="shared" si="163"/>
        <v>0</v>
      </c>
      <c r="O836" s="1823"/>
      <c r="P836" s="1823">
        <f>$P$830*D836</f>
        <v>0</v>
      </c>
      <c r="Q836" s="1053">
        <f>$Q$830*D836</f>
        <v>0</v>
      </c>
      <c r="R836" s="1053"/>
      <c r="S836" s="1053"/>
      <c r="T836" s="2035">
        <f t="shared" si="152"/>
        <v>0</v>
      </c>
    </row>
    <row r="837" spans="1:20" ht="22.2" hidden="1" customHeight="1">
      <c r="B837" s="1577" t="s">
        <v>516</v>
      </c>
      <c r="C837" s="1832" t="str">
        <f t="shared" si="151"/>
        <v xml:space="preserve"> </v>
      </c>
      <c r="D837" s="1535">
        <v>1</v>
      </c>
      <c r="E837" s="1060" t="str">
        <f>VLOOKUP($B837,DG!A:D,DG!$B$2,)</f>
        <v>05.6102</v>
      </c>
      <c r="F837" s="1049" t="str">
        <f>VLOOKUP($B837,DG!A:D,DG!$C$2,)</f>
        <v>Lắp xà đỡ ≤ 50kg</v>
      </c>
      <c r="G837" s="1044" t="str">
        <f>VLOOKUP($B837,DG!A:D,DG!$D$2,)</f>
        <v>bộ</v>
      </c>
      <c r="H837" s="1823">
        <f>H$830*$D837</f>
        <v>0</v>
      </c>
      <c r="I837" s="1823"/>
      <c r="J837" s="1823"/>
      <c r="K837" s="1823"/>
      <c r="L837" s="1823"/>
      <c r="M837" s="1823"/>
      <c r="N837" s="1823"/>
      <c r="O837" s="1823"/>
      <c r="P837" s="1823">
        <f>$P$830*D837</f>
        <v>0</v>
      </c>
      <c r="Q837" s="1053">
        <f>$Q$830*D837</f>
        <v>0</v>
      </c>
      <c r="R837" s="1058"/>
      <c r="S837" s="1058"/>
      <c r="T837" s="2035">
        <f t="shared" si="152"/>
        <v>0</v>
      </c>
    </row>
    <row r="838" spans="1:20" ht="22.2" hidden="1" customHeight="1">
      <c r="A838" s="59"/>
      <c r="B838" s="1577" t="s">
        <v>2000</v>
      </c>
      <c r="C838" s="1013" t="str">
        <f t="shared" si="151"/>
        <v xml:space="preserve"> </v>
      </c>
      <c r="D838" s="1533">
        <f>D839</f>
        <v>0</v>
      </c>
      <c r="E838" s="1044" t="str">
        <f>VLOOKUP($B838,DG!A:D,DG!$B$2,)</f>
        <v>02.1115</v>
      </c>
      <c r="F838" s="1049" t="str">
        <f>VLOOKUP($B838,DG!A:D,DG!$C$2,)</f>
        <v>Bốc dỡ xà, thép thanh</v>
      </c>
      <c r="G838" s="1044" t="str">
        <f>VLOOKUP($B838,DG!A:D,DG!$D$2,)</f>
        <v>tấn</v>
      </c>
      <c r="H838" s="1823"/>
      <c r="I838" s="1823"/>
      <c r="J838" s="1823"/>
      <c r="K838" s="1823"/>
      <c r="L838" s="1823"/>
      <c r="M838" s="1823"/>
      <c r="N838" s="1823"/>
      <c r="O838" s="1823"/>
      <c r="P838" s="1823"/>
      <c r="Q838" s="1058"/>
      <c r="R838" s="1058"/>
      <c r="S838" s="1058"/>
      <c r="T838" s="2035">
        <f t="shared" si="152"/>
        <v>0</v>
      </c>
    </row>
    <row r="839" spans="1:20" ht="22.2" hidden="1" customHeight="1">
      <c r="A839" s="59"/>
      <c r="B839" s="1588" t="s">
        <v>2001</v>
      </c>
      <c r="C839" s="1013" t="str">
        <f t="shared" si="151"/>
        <v xml:space="preserve"> </v>
      </c>
      <c r="D839" s="1533">
        <f>ROUND(SUM(D831:D832)*1.05/1000,3)*0</f>
        <v>0</v>
      </c>
      <c r="E839" s="1044" t="str">
        <f>VLOOKUP($B839,DG!A:C,2,)</f>
        <v>02.1361</v>
      </c>
      <c r="F839" s="1049" t="str">
        <f>VLOOKUP($B839,DG!A:C,3,)</f>
        <v>V/c xà vào vị trí (cư ly &lt;=100m)</v>
      </c>
      <c r="G839" s="1044" t="str">
        <f>VLOOKUP($B839,DG!A:D,4,0)</f>
        <v>tấn</v>
      </c>
      <c r="H839" s="1823"/>
      <c r="I839" s="1823"/>
      <c r="J839" s="1823"/>
      <c r="K839" s="1823"/>
      <c r="L839" s="1823"/>
      <c r="M839" s="1823"/>
      <c r="N839" s="1823"/>
      <c r="O839" s="1823"/>
      <c r="P839" s="1823"/>
      <c r="Q839" s="1058"/>
      <c r="R839" s="1058"/>
      <c r="S839" s="1058"/>
      <c r="T839" s="2035">
        <f t="shared" si="152"/>
        <v>0</v>
      </c>
    </row>
    <row r="840" spans="1:20" ht="22.2" hidden="1" customHeight="1">
      <c r="A840" s="59"/>
      <c r="B840" s="1588" t="s">
        <v>635</v>
      </c>
      <c r="C840" s="1013" t="str">
        <f t="shared" si="151"/>
        <v xml:space="preserve"> </v>
      </c>
      <c r="D840" s="1534">
        <f>0.05*0</f>
        <v>0</v>
      </c>
      <c r="E840" s="1044" t="str">
        <f>VLOOKUP($B840,DG!A:C,2,)</f>
        <v>02.1482</v>
      </c>
      <c r="F840" s="1049" t="str">
        <f>VLOOKUP($B840,DG!A:C,3,)</f>
        <v>V/c dụng cụ thi công vào vị trí (cự ly &lt;=100m)</v>
      </c>
      <c r="G840" s="1044" t="str">
        <f>VLOOKUP($B840,DG!A:D,4,0)</f>
        <v>tấn</v>
      </c>
      <c r="H840" s="1823"/>
      <c r="I840" s="1823"/>
      <c r="J840" s="1823"/>
      <c r="K840" s="1823"/>
      <c r="L840" s="1823"/>
      <c r="M840" s="1823"/>
      <c r="N840" s="1823"/>
      <c r="O840" s="1823"/>
      <c r="P840" s="1823"/>
      <c r="Q840" s="1058"/>
      <c r="R840" s="1058"/>
      <c r="S840" s="1058"/>
      <c r="T840" s="2035">
        <f t="shared" si="152"/>
        <v>0</v>
      </c>
    </row>
    <row r="841" spans="1:20" ht="22.2" hidden="1" customHeight="1">
      <c r="A841" s="56" t="s">
        <v>2316</v>
      </c>
      <c r="B841" s="1574" t="s">
        <v>2316</v>
      </c>
      <c r="C841" s="1013" t="str">
        <f t="shared" si="151"/>
        <v xml:space="preserve"> </v>
      </c>
      <c r="D841" s="1532"/>
      <c r="E841" s="1045"/>
      <c r="F841" s="1392" t="s">
        <v>2427</v>
      </c>
      <c r="G841" s="1046" t="s">
        <v>2391</v>
      </c>
      <c r="H841" s="1821">
        <f>SUM(I841:O841)</f>
        <v>0</v>
      </c>
      <c r="I841" s="1822"/>
      <c r="J841" s="1822"/>
      <c r="K841" s="1822">
        <f>IFERROR(HLOOKUP(B841,pp3p1m!$1:$3,3,0),0)</f>
        <v>0</v>
      </c>
      <c r="L841" s="1822">
        <f>IFERROR(HLOOKUP(chitiet!B841,pp1p!$1:$3,3,0),0)</f>
        <v>0</v>
      </c>
      <c r="M841" s="1822"/>
      <c r="N841" s="1822"/>
      <c r="O841" s="1822"/>
      <c r="P841" s="1822">
        <f>H841+Q841-R841</f>
        <v>0</v>
      </c>
      <c r="Q841" s="1047"/>
      <c r="R841" s="1047"/>
      <c r="S841" s="1047"/>
      <c r="T841" s="2035">
        <f>IFERROR(HLOOKUP(B841,pp1p!$1:$3,3,0),0)+IFERROR(HLOOKUP(B841,pp3p1m!$1:$3,3,0),0)</f>
        <v>0</v>
      </c>
    </row>
    <row r="842" spans="1:20" ht="22.2" hidden="1" customHeight="1">
      <c r="A842" s="59"/>
      <c r="B842" s="1577" t="s">
        <v>109</v>
      </c>
      <c r="C842" s="1013" t="str">
        <f t="shared" si="151"/>
        <v xml:space="preserve"> </v>
      </c>
      <c r="D842" s="1534">
        <f>9.02*(2.2+4*0.07)</f>
        <v>22.369600000000002</v>
      </c>
      <c r="E842" s="1044"/>
      <c r="F842" s="1056" t="str">
        <f>VLOOKUP($B842,DG!A:D,DG!$C$2,)</f>
        <v>Sắt góc L75 x75 x8</v>
      </c>
      <c r="G842" s="1044" t="str">
        <f>VLOOKUP($B842,DG!A:D,DG!$D$2,)</f>
        <v>kg</v>
      </c>
      <c r="H842" s="1823">
        <f t="shared" ref="H842:H849" si="164">$H$841*$D842</f>
        <v>0</v>
      </c>
      <c r="I842" s="1823">
        <f t="shared" ref="I842:I849" si="165">$I$841*$D842</f>
        <v>0</v>
      </c>
      <c r="J842" s="1823">
        <f t="shared" ref="J842:N845" si="166">J$830*$D842</f>
        <v>0</v>
      </c>
      <c r="K842" s="1823">
        <f t="shared" si="166"/>
        <v>0</v>
      </c>
      <c r="L842" s="1823">
        <f t="shared" si="166"/>
        <v>0</v>
      </c>
      <c r="M842" s="1823">
        <f t="shared" si="166"/>
        <v>0</v>
      </c>
      <c r="N842" s="1823">
        <f t="shared" si="166"/>
        <v>0</v>
      </c>
      <c r="O842" s="1823"/>
      <c r="P842" s="1823"/>
      <c r="Q842" s="1053"/>
      <c r="R842" s="1053"/>
      <c r="S842" s="1053"/>
      <c r="T842" s="2035">
        <f t="shared" si="152"/>
        <v>0</v>
      </c>
    </row>
    <row r="843" spans="1:20" ht="22.2" hidden="1" customHeight="1">
      <c r="A843" s="59"/>
      <c r="B843" s="1577" t="s">
        <v>457</v>
      </c>
      <c r="C843" s="1013" t="str">
        <f t="shared" si="151"/>
        <v xml:space="preserve"> </v>
      </c>
      <c r="D843" s="1534">
        <f>3.77*0.92*2</f>
        <v>6.9368000000000007</v>
      </c>
      <c r="E843" s="1044"/>
      <c r="F843" s="1056" t="str">
        <f>VLOOKUP($B843,DG!A:D,DG!$C$2,)&amp;" thanh chống 920"</f>
        <v>Sắt góc L50 x50 x5 thanh chống 920</v>
      </c>
      <c r="G843" s="1044" t="str">
        <f>VLOOKUP($B843,DG!A:D,DG!$D$2,)</f>
        <v>kg</v>
      </c>
      <c r="H843" s="1823">
        <f t="shared" si="164"/>
        <v>0</v>
      </c>
      <c r="I843" s="1823">
        <f t="shared" si="165"/>
        <v>0</v>
      </c>
      <c r="J843" s="1823">
        <f t="shared" si="166"/>
        <v>0</v>
      </c>
      <c r="K843" s="1823">
        <f t="shared" si="166"/>
        <v>0</v>
      </c>
      <c r="L843" s="1823">
        <f t="shared" si="166"/>
        <v>0</v>
      </c>
      <c r="M843" s="1823">
        <f t="shared" si="166"/>
        <v>0</v>
      </c>
      <c r="N843" s="1823">
        <f t="shared" si="166"/>
        <v>0</v>
      </c>
      <c r="O843" s="1823"/>
      <c r="P843" s="1823"/>
      <c r="Q843" s="1053"/>
      <c r="R843" s="1053"/>
      <c r="S843" s="1053"/>
      <c r="T843" s="2035">
        <f t="shared" si="152"/>
        <v>0</v>
      </c>
    </row>
    <row r="844" spans="1:20" ht="22.2" hidden="1" customHeight="1">
      <c r="A844" s="59"/>
      <c r="B844" s="1577" t="s">
        <v>1612</v>
      </c>
      <c r="C844" s="1013" t="str">
        <f t="shared" si="151"/>
        <v xml:space="preserve"> </v>
      </c>
      <c r="D844" s="1535">
        <v>2</v>
      </c>
      <c r="E844" s="1044"/>
      <c r="F844" s="1056" t="str">
        <f>VLOOKUP($B844,DG!A:D,DG!$C$2,)</f>
        <v>Boulon 16x250+ 2 long đền vuông D18-50x50x3/Zn</v>
      </c>
      <c r="G844" s="1044" t="str">
        <f>VLOOKUP($B844,DG!A:D,DG!$D$2,)</f>
        <v>bộ</v>
      </c>
      <c r="H844" s="1823">
        <f t="shared" si="164"/>
        <v>0</v>
      </c>
      <c r="I844" s="1823">
        <f t="shared" si="165"/>
        <v>0</v>
      </c>
      <c r="J844" s="1823">
        <f t="shared" si="166"/>
        <v>0</v>
      </c>
      <c r="K844" s="1823">
        <f t="shared" si="166"/>
        <v>0</v>
      </c>
      <c r="L844" s="1823">
        <f t="shared" si="166"/>
        <v>0</v>
      </c>
      <c r="M844" s="1823">
        <f t="shared" si="166"/>
        <v>0</v>
      </c>
      <c r="N844" s="1823">
        <f t="shared" si="166"/>
        <v>0</v>
      </c>
      <c r="O844" s="1823"/>
      <c r="P844" s="1823"/>
      <c r="Q844" s="1053"/>
      <c r="R844" s="1053"/>
      <c r="S844" s="1053"/>
      <c r="T844" s="2035">
        <f t="shared" si="152"/>
        <v>0</v>
      </c>
    </row>
    <row r="845" spans="1:20" ht="22.2" hidden="1" customHeight="1">
      <c r="A845" s="59"/>
      <c r="B845" s="1577" t="s">
        <v>1790</v>
      </c>
      <c r="C845" s="1013" t="str">
        <f t="shared" si="151"/>
        <v xml:space="preserve"> </v>
      </c>
      <c r="D845" s="1535">
        <v>2</v>
      </c>
      <c r="E845" s="1044"/>
      <c r="F845" s="1056" t="str">
        <f>VLOOKUP($B845,DG!A:D,DG!$C$2,)</f>
        <v>Boulon 16x50+ 2 long đền vuông D18-50x50x3/Zn</v>
      </c>
      <c r="G845" s="1044" t="str">
        <f>VLOOKUP($B845,DG!A:D,DG!$D$2,)</f>
        <v>bộ</v>
      </c>
      <c r="H845" s="1823">
        <f t="shared" si="164"/>
        <v>0</v>
      </c>
      <c r="I845" s="1823">
        <f t="shared" si="165"/>
        <v>0</v>
      </c>
      <c r="J845" s="1823">
        <f t="shared" si="166"/>
        <v>0</v>
      </c>
      <c r="K845" s="1823">
        <f t="shared" si="166"/>
        <v>0</v>
      </c>
      <c r="L845" s="1823">
        <f t="shared" si="166"/>
        <v>0</v>
      </c>
      <c r="M845" s="1823">
        <f t="shared" si="166"/>
        <v>0</v>
      </c>
      <c r="N845" s="1823">
        <f t="shared" si="166"/>
        <v>0</v>
      </c>
      <c r="O845" s="1823"/>
      <c r="P845" s="1823"/>
      <c r="Q845" s="1053"/>
      <c r="R845" s="1053"/>
      <c r="S845" s="1053"/>
      <c r="T845" s="2035">
        <f t="shared" si="152"/>
        <v>0</v>
      </c>
    </row>
    <row r="846" spans="1:20" ht="22.2" hidden="1" customHeight="1">
      <c r="A846" s="59"/>
      <c r="B846" s="1577" t="s">
        <v>516</v>
      </c>
      <c r="C846" s="1013" t="str">
        <f t="shared" si="151"/>
        <v xml:space="preserve"> </v>
      </c>
      <c r="D846" s="1535">
        <v>1</v>
      </c>
      <c r="E846" s="1044" t="str">
        <f>VLOOKUP($B846,DG!A:D,DG!$B$2,)</f>
        <v>05.6102</v>
      </c>
      <c r="F846" s="1049" t="str">
        <f>VLOOKUP($B846,DG!A:D,DG!$C$2,)</f>
        <v>Lắp xà đỡ ≤ 50kg</v>
      </c>
      <c r="G846" s="1044" t="str">
        <f>VLOOKUP($B846,DG!A:D,DG!$D$2,)</f>
        <v>bộ</v>
      </c>
      <c r="H846" s="1823">
        <f t="shared" si="164"/>
        <v>0</v>
      </c>
      <c r="I846" s="1823">
        <f t="shared" si="165"/>
        <v>0</v>
      </c>
      <c r="J846" s="1823"/>
      <c r="K846" s="1823"/>
      <c r="L846" s="1823"/>
      <c r="M846" s="1823"/>
      <c r="N846" s="1823"/>
      <c r="O846" s="1823"/>
      <c r="P846" s="1823"/>
      <c r="Q846" s="1058"/>
      <c r="R846" s="1058"/>
      <c r="S846" s="1058"/>
      <c r="T846" s="2035">
        <f t="shared" si="152"/>
        <v>0</v>
      </c>
    </row>
    <row r="847" spans="1:20" ht="22.2" hidden="1" customHeight="1">
      <c r="A847" s="59"/>
      <c r="B847" s="1577" t="s">
        <v>2000</v>
      </c>
      <c r="C847" s="1013" t="str">
        <f t="shared" si="151"/>
        <v xml:space="preserve"> </v>
      </c>
      <c r="D847" s="1533">
        <f>D848</f>
        <v>0</v>
      </c>
      <c r="E847" s="1044" t="str">
        <f>VLOOKUP($B847,DG!A:D,DG!$B$2,)</f>
        <v>02.1115</v>
      </c>
      <c r="F847" s="1049" t="str">
        <f>VLOOKUP($B847,DG!A:D,DG!$C$2,)</f>
        <v>Bốc dỡ xà, thép thanh</v>
      </c>
      <c r="G847" s="1044" t="str">
        <f>VLOOKUP($B847,DG!A:D,DG!$D$2,)</f>
        <v>tấn</v>
      </c>
      <c r="H847" s="1823">
        <f t="shared" si="164"/>
        <v>0</v>
      </c>
      <c r="I847" s="1823">
        <f t="shared" si="165"/>
        <v>0</v>
      </c>
      <c r="J847" s="1823"/>
      <c r="K847" s="1823"/>
      <c r="L847" s="1823"/>
      <c r="M847" s="1823"/>
      <c r="N847" s="1823"/>
      <c r="O847" s="1823"/>
      <c r="P847" s="1823"/>
      <c r="Q847" s="1058"/>
      <c r="R847" s="1058"/>
      <c r="S847" s="1058"/>
      <c r="T847" s="2035">
        <f t="shared" si="152"/>
        <v>0</v>
      </c>
    </row>
    <row r="848" spans="1:20" ht="22.2" hidden="1" customHeight="1">
      <c r="A848" s="59"/>
      <c r="B848" s="1588" t="s">
        <v>2001</v>
      </c>
      <c r="C848" s="1013" t="str">
        <f t="shared" si="151"/>
        <v xml:space="preserve"> </v>
      </c>
      <c r="D848" s="1533">
        <f>ROUND(SUM(D842:D843)*1.05/1000,3)*0</f>
        <v>0</v>
      </c>
      <c r="E848" s="1044" t="str">
        <f>VLOOKUP($B848,DG!A:C,2,)</f>
        <v>02.1361</v>
      </c>
      <c r="F848" s="1049" t="str">
        <f>VLOOKUP($B848,DG!A:C,3,)</f>
        <v>V/c xà vào vị trí (cư ly &lt;=100m)</v>
      </c>
      <c r="G848" s="1044" t="str">
        <f>VLOOKUP($B848,DG!A:D,4,0)</f>
        <v>tấn</v>
      </c>
      <c r="H848" s="1823">
        <f t="shared" si="164"/>
        <v>0</v>
      </c>
      <c r="I848" s="1823">
        <f t="shared" si="165"/>
        <v>0</v>
      </c>
      <c r="J848" s="1823"/>
      <c r="K848" s="1823"/>
      <c r="L848" s="1823"/>
      <c r="M848" s="1823"/>
      <c r="N848" s="1823"/>
      <c r="O848" s="1823"/>
      <c r="P848" s="1823"/>
      <c r="Q848" s="1058"/>
      <c r="R848" s="1058"/>
      <c r="S848" s="1058"/>
      <c r="T848" s="2035">
        <f t="shared" si="152"/>
        <v>0</v>
      </c>
    </row>
    <row r="849" spans="1:20" ht="22.2" hidden="1" customHeight="1">
      <c r="A849" s="59"/>
      <c r="B849" s="1588" t="s">
        <v>635</v>
      </c>
      <c r="C849" s="1013" t="str">
        <f t="shared" si="151"/>
        <v xml:space="preserve"> </v>
      </c>
      <c r="D849" s="1534">
        <f>0.05*0</f>
        <v>0</v>
      </c>
      <c r="E849" s="1044" t="str">
        <f>VLOOKUP($B849,DG!A:C,2,)</f>
        <v>02.1482</v>
      </c>
      <c r="F849" s="1049" t="str">
        <f>VLOOKUP($B849,DG!A:C,3,)</f>
        <v>V/c dụng cụ thi công vào vị trí (cự ly &lt;=100m)</v>
      </c>
      <c r="G849" s="1044" t="str">
        <f>VLOOKUP($B849,DG!A:D,4,0)</f>
        <v>tấn</v>
      </c>
      <c r="H849" s="1823">
        <f t="shared" si="164"/>
        <v>0</v>
      </c>
      <c r="I849" s="1823">
        <f t="shared" si="165"/>
        <v>0</v>
      </c>
      <c r="J849" s="1823"/>
      <c r="K849" s="1823"/>
      <c r="L849" s="1823"/>
      <c r="M849" s="1823"/>
      <c r="N849" s="1823"/>
      <c r="O849" s="1823"/>
      <c r="P849" s="1823"/>
      <c r="Q849" s="1058"/>
      <c r="R849" s="1058"/>
      <c r="S849" s="1058"/>
      <c r="T849" s="2035">
        <f t="shared" si="152"/>
        <v>0</v>
      </c>
    </row>
    <row r="850" spans="1:20" ht="22.2" hidden="1" customHeight="1">
      <c r="A850" s="56" t="s">
        <v>1082</v>
      </c>
      <c r="B850" s="1574" t="s">
        <v>1082</v>
      </c>
      <c r="C850" s="1013" t="str">
        <f t="shared" si="151"/>
        <v xml:space="preserve"> </v>
      </c>
      <c r="D850" s="1532"/>
      <c r="E850" s="1045"/>
      <c r="F850" s="1392" t="s">
        <v>2428</v>
      </c>
      <c r="G850" s="1046" t="s">
        <v>2391</v>
      </c>
      <c r="H850" s="1821">
        <f>SUM(I850:O850)</f>
        <v>0</v>
      </c>
      <c r="I850" s="1822"/>
      <c r="J850" s="1822"/>
      <c r="K850" s="1822">
        <f>IFERROR(HLOOKUP(B850,pp3p1m!$1:$3,3,0),0)</f>
        <v>0</v>
      </c>
      <c r="L850" s="1822">
        <f>IFERROR(HLOOKUP(chitiet!B850,pp1p!$1:$3,3,0),0)</f>
        <v>0</v>
      </c>
      <c r="M850" s="1822"/>
      <c r="N850" s="1822"/>
      <c r="O850" s="1822"/>
      <c r="P850" s="1822">
        <f>H850+Q850-R850</f>
        <v>0</v>
      </c>
      <c r="Q850" s="1047"/>
      <c r="R850" s="1047"/>
      <c r="S850" s="1047"/>
      <c r="T850" s="2035">
        <f>IFERROR(HLOOKUP(B850,pp1p!$1:$3,3,0),0)+IFERROR(HLOOKUP(B850,pp3p1m!$1:$3,3,0),0)</f>
        <v>0</v>
      </c>
    </row>
    <row r="851" spans="1:20" ht="22.2" hidden="1" customHeight="1">
      <c r="A851" s="59"/>
      <c r="B851" s="1592" t="s">
        <v>1883</v>
      </c>
      <c r="C851" s="1013" t="str">
        <f t="shared" si="151"/>
        <v xml:space="preserve"> </v>
      </c>
      <c r="D851" s="1534">
        <v>1</v>
      </c>
      <c r="E851" s="1044"/>
      <c r="F851" s="1049" t="str">
        <f>VLOOKUP($B851,DG!A:D,DG!$C$2,)</f>
        <v>Lắp xà trụ ghép ≤ 140kg</v>
      </c>
      <c r="G851" s="1044" t="str">
        <f>VLOOKUP($B851,DG!A:D,DG!$D$2,)</f>
        <v>bộ</v>
      </c>
      <c r="H851" s="1823">
        <f>$H$8396*$D851</f>
        <v>0</v>
      </c>
      <c r="I851" s="1823">
        <f t="shared" ref="I851:N852" si="167">I$850*$D851</f>
        <v>0</v>
      </c>
      <c r="J851" s="1823">
        <f t="shared" si="167"/>
        <v>0</v>
      </c>
      <c r="K851" s="1823">
        <f t="shared" si="167"/>
        <v>0</v>
      </c>
      <c r="L851" s="1823">
        <f t="shared" si="167"/>
        <v>0</v>
      </c>
      <c r="M851" s="1823">
        <f t="shared" si="167"/>
        <v>0</v>
      </c>
      <c r="N851" s="1823">
        <f t="shared" si="167"/>
        <v>0</v>
      </c>
      <c r="O851" s="1823"/>
      <c r="P851" s="1823"/>
      <c r="Q851" s="1053"/>
      <c r="R851" s="1053"/>
      <c r="S851" s="1053"/>
      <c r="T851" s="2035">
        <f t="shared" si="152"/>
        <v>0</v>
      </c>
    </row>
    <row r="852" spans="1:20" ht="22.2" hidden="1" customHeight="1">
      <c r="A852" s="59"/>
      <c r="B852" s="1577" t="s">
        <v>2000</v>
      </c>
      <c r="C852" s="1013" t="str">
        <f t="shared" si="151"/>
        <v xml:space="preserve"> </v>
      </c>
      <c r="D852" s="1534">
        <f>D853</f>
        <v>0.06</v>
      </c>
      <c r="E852" s="1044"/>
      <c r="F852" s="1049" t="str">
        <f>VLOOKUP($B852,DG!A:D,DG!$C$2,)</f>
        <v>Bốc dỡ xà, thép thanh</v>
      </c>
      <c r="G852" s="1044" t="str">
        <f>VLOOKUP($B852,DG!A:D,DG!$D$2,)</f>
        <v>tấn</v>
      </c>
      <c r="H852" s="1823">
        <f>$H$8396*$D852</f>
        <v>0</v>
      </c>
      <c r="I852" s="1823">
        <f t="shared" si="167"/>
        <v>0</v>
      </c>
      <c r="J852" s="1823">
        <f t="shared" si="167"/>
        <v>0</v>
      </c>
      <c r="K852" s="1823">
        <f t="shared" si="167"/>
        <v>0</v>
      </c>
      <c r="L852" s="1823">
        <f t="shared" si="167"/>
        <v>0</v>
      </c>
      <c r="M852" s="1823">
        <f t="shared" si="167"/>
        <v>0</v>
      </c>
      <c r="N852" s="1823">
        <f t="shared" si="167"/>
        <v>0</v>
      </c>
      <c r="O852" s="1823"/>
      <c r="P852" s="1823"/>
      <c r="Q852" s="1053"/>
      <c r="R852" s="1053"/>
      <c r="S852" s="1053"/>
      <c r="T852" s="2035">
        <f t="shared" si="152"/>
        <v>0</v>
      </c>
    </row>
    <row r="853" spans="1:20" ht="22.2" hidden="1" customHeight="1">
      <c r="A853" s="59"/>
      <c r="B853" s="1588" t="s">
        <v>2001</v>
      </c>
      <c r="C853" s="1013" t="str">
        <f t="shared" si="151"/>
        <v xml:space="preserve"> </v>
      </c>
      <c r="D853" s="1533">
        <v>0.06</v>
      </c>
      <c r="E853" s="1044" t="str">
        <f>VLOOKUP($B853,DG!A:C,2,)</f>
        <v>02.1361</v>
      </c>
      <c r="F853" s="1049" t="str">
        <f>VLOOKUP($B853,DG!A:C,3,)</f>
        <v>V/c xà vào vị trí (cư ly &lt;=100m)</v>
      </c>
      <c r="G853" s="1044" t="str">
        <f>VLOOKUP($B853,DG!A:D,4,0)</f>
        <v>tấn</v>
      </c>
      <c r="H853" s="1823">
        <f>$H$8396*$D853</f>
        <v>0</v>
      </c>
      <c r="I853" s="1823"/>
      <c r="J853" s="1823"/>
      <c r="K853" s="1823"/>
      <c r="L853" s="1823"/>
      <c r="M853" s="1823"/>
      <c r="N853" s="1823"/>
      <c r="O853" s="1823"/>
      <c r="P853" s="1823"/>
      <c r="Q853" s="1058"/>
      <c r="R853" s="1058"/>
      <c r="S853" s="1058"/>
      <c r="T853" s="2035">
        <f t="shared" si="152"/>
        <v>0</v>
      </c>
    </row>
    <row r="854" spans="1:20" ht="22.2" hidden="1" customHeight="1">
      <c r="A854" s="59"/>
      <c r="B854" s="1588" t="s">
        <v>635</v>
      </c>
      <c r="C854" s="1013" t="str">
        <f t="shared" si="151"/>
        <v xml:space="preserve"> </v>
      </c>
      <c r="D854" s="1534">
        <v>0.05</v>
      </c>
      <c r="E854" s="1044" t="str">
        <f>VLOOKUP($B854,DG!A:C,2,)</f>
        <v>02.1482</v>
      </c>
      <c r="F854" s="1049" t="str">
        <f>VLOOKUP($B854,DG!A:C,3,)</f>
        <v>V/c dụng cụ thi công vào vị trí (cự ly &lt;=100m)</v>
      </c>
      <c r="G854" s="1044" t="str">
        <f>VLOOKUP($B854,DG!A:D,4,0)</f>
        <v>tấn</v>
      </c>
      <c r="H854" s="1823">
        <f>$H$8396*$D854</f>
        <v>0</v>
      </c>
      <c r="I854" s="1823"/>
      <c r="J854" s="1823"/>
      <c r="K854" s="1823"/>
      <c r="L854" s="1823"/>
      <c r="M854" s="1823"/>
      <c r="N854" s="1823"/>
      <c r="O854" s="1823"/>
      <c r="P854" s="1823"/>
      <c r="Q854" s="1058"/>
      <c r="R854" s="1058"/>
      <c r="S854" s="1058"/>
      <c r="T854" s="2035">
        <f t="shared" si="152"/>
        <v>0</v>
      </c>
    </row>
    <row r="855" spans="1:20" ht="22.2" hidden="1" customHeight="1">
      <c r="A855" s="1016" t="s">
        <v>533</v>
      </c>
      <c r="B855" s="1574" t="s">
        <v>533</v>
      </c>
      <c r="C855" s="1013" t="str">
        <f t="shared" si="151"/>
        <v xml:space="preserve"> </v>
      </c>
      <c r="D855" s="1532"/>
      <c r="E855" s="1045"/>
      <c r="F855" s="1500" t="s">
        <v>2429</v>
      </c>
      <c r="G855" s="1046" t="s">
        <v>2391</v>
      </c>
      <c r="H855" s="1821">
        <f>SUM(I855:O855)</f>
        <v>0</v>
      </c>
      <c r="I855" s="1822"/>
      <c r="J855" s="1822"/>
      <c r="K855" s="1822">
        <f>IFERROR(HLOOKUP(B855,pp3p1m!$1:$3,3,0),0)</f>
        <v>0</v>
      </c>
      <c r="L855" s="1822">
        <f>IFERROR(HLOOKUP(chitiet!B855,pp1p!$1:$3,3,0),0)</f>
        <v>0</v>
      </c>
      <c r="M855" s="1822"/>
      <c r="N855" s="1822"/>
      <c r="O855" s="1822"/>
      <c r="P855" s="1822">
        <f>H855+Q855-R855</f>
        <v>0</v>
      </c>
      <c r="Q855" s="1047"/>
      <c r="R855" s="1047"/>
      <c r="S855" s="1047"/>
      <c r="T855" s="2035">
        <f>IFERROR(HLOOKUP(B855,pp1p!$1:$3,3,0),0)+IFERROR(HLOOKUP(B855,pp3p1m!$1:$3,3,0),0)</f>
        <v>0</v>
      </c>
    </row>
    <row r="856" spans="1:20" ht="22.2" hidden="1" customHeight="1">
      <c r="A856" s="1015"/>
      <c r="B856" s="1571" t="s">
        <v>4858</v>
      </c>
      <c r="C856" s="1013" t="str">
        <f t="shared" ref="C856:C930" si="168">IF(OR(P856&lt;&gt;0,H856&lt;&gt;0),"x"," ")</f>
        <v xml:space="preserve"> </v>
      </c>
      <c r="D856" s="1534">
        <v>2</v>
      </c>
      <c r="E856" s="1044"/>
      <c r="F856" s="1056" t="str">
        <f>VLOOKUP($B856,DG!A:D,DG!$C$2,)</f>
        <v>Sắt góc L75 x75 x8 x2200</v>
      </c>
      <c r="G856" s="1044" t="str">
        <f>VLOOKUP($B856,DG!A:D,DG!$D$2,)</f>
        <v>cái</v>
      </c>
      <c r="H856" s="1823">
        <f t="shared" ref="H856:H862" si="169">$H$855*$D856</f>
        <v>0</v>
      </c>
      <c r="I856" s="1823">
        <f t="shared" ref="I856:J861" si="170">I$799*$D856</f>
        <v>0</v>
      </c>
      <c r="J856" s="1823">
        <f t="shared" si="170"/>
        <v>0</v>
      </c>
      <c r="K856" s="1823">
        <f t="shared" ref="K856:K861" si="171">K$855*$D856</f>
        <v>0</v>
      </c>
      <c r="L856" s="1823">
        <f t="shared" ref="L856:N861" si="172">L$799*$D856</f>
        <v>0</v>
      </c>
      <c r="M856" s="1823">
        <f t="shared" si="172"/>
        <v>0</v>
      </c>
      <c r="N856" s="1823">
        <f t="shared" si="172"/>
        <v>0</v>
      </c>
      <c r="O856" s="1823"/>
      <c r="P856" s="1823">
        <f t="shared" ref="P856:P862" si="173">$P$855*D856</f>
        <v>0</v>
      </c>
      <c r="Q856" s="1053">
        <f t="shared" ref="Q856:Q862" si="174">$Q$855*D856</f>
        <v>0</v>
      </c>
      <c r="R856" s="1053"/>
      <c r="S856" s="1053"/>
      <c r="T856" s="2035">
        <f t="shared" si="152"/>
        <v>0</v>
      </c>
    </row>
    <row r="857" spans="1:20" ht="22.2" hidden="1" customHeight="1">
      <c r="A857" s="1015"/>
      <c r="B857" s="1571" t="s">
        <v>4970</v>
      </c>
      <c r="C857" s="1013" t="str">
        <f t="shared" si="168"/>
        <v xml:space="preserve"> </v>
      </c>
      <c r="D857" s="1534">
        <v>4</v>
      </c>
      <c r="E857" s="1044"/>
      <c r="F857" s="1056" t="str">
        <f>VLOOKUP($B857,DG!A:D,DG!$C$2,)</f>
        <v>Sắt góc L50 x50 x5 - 810</v>
      </c>
      <c r="G857" s="1044" t="str">
        <f>VLOOKUP($B857,DG!A:D,DG!$D$2,)</f>
        <v>cái</v>
      </c>
      <c r="H857" s="1823">
        <f t="shared" si="169"/>
        <v>0</v>
      </c>
      <c r="I857" s="1823">
        <f t="shared" si="170"/>
        <v>0</v>
      </c>
      <c r="J857" s="1823">
        <f t="shared" si="170"/>
        <v>0</v>
      </c>
      <c r="K857" s="1823">
        <f t="shared" si="171"/>
        <v>0</v>
      </c>
      <c r="L857" s="1823">
        <f t="shared" si="172"/>
        <v>0</v>
      </c>
      <c r="M857" s="1823">
        <f t="shared" si="172"/>
        <v>0</v>
      </c>
      <c r="N857" s="1823">
        <f t="shared" si="172"/>
        <v>0</v>
      </c>
      <c r="O857" s="1823"/>
      <c r="P857" s="1823">
        <f t="shared" si="173"/>
        <v>0</v>
      </c>
      <c r="Q857" s="1053">
        <f t="shared" si="174"/>
        <v>0</v>
      </c>
      <c r="R857" s="1053"/>
      <c r="S857" s="1053"/>
      <c r="T857" s="2035">
        <f t="shared" si="152"/>
        <v>0</v>
      </c>
    </row>
    <row r="858" spans="1:20" ht="22.2" hidden="1" customHeight="1">
      <c r="A858" s="1015"/>
      <c r="B858" s="1571" t="s">
        <v>1542</v>
      </c>
      <c r="C858" s="1013" t="str">
        <f t="shared" si="168"/>
        <v xml:space="preserve"> </v>
      </c>
      <c r="D858" s="1535">
        <v>1</v>
      </c>
      <c r="E858" s="1044"/>
      <c r="F858" s="1056" t="str">
        <f>VLOOKUP($B858,DG!A:D,DG!$C$2,)</f>
        <v>Boulon 16x500+ 2 long đền vuông D18-50x50x3/Zn</v>
      </c>
      <c r="G858" s="1044" t="str">
        <f>VLOOKUP($B858,DG!A:D,DG!$D$2,)</f>
        <v>bộ</v>
      </c>
      <c r="H858" s="1823">
        <f t="shared" si="169"/>
        <v>0</v>
      </c>
      <c r="I858" s="1823">
        <f t="shared" si="170"/>
        <v>0</v>
      </c>
      <c r="J858" s="1823">
        <f t="shared" si="170"/>
        <v>0</v>
      </c>
      <c r="K858" s="1823">
        <f t="shared" si="171"/>
        <v>0</v>
      </c>
      <c r="L858" s="1823">
        <f t="shared" si="172"/>
        <v>0</v>
      </c>
      <c r="M858" s="1823">
        <f t="shared" si="172"/>
        <v>0</v>
      </c>
      <c r="N858" s="1823">
        <f t="shared" si="172"/>
        <v>0</v>
      </c>
      <c r="O858" s="1823"/>
      <c r="P858" s="1823">
        <f t="shared" si="173"/>
        <v>0</v>
      </c>
      <c r="Q858" s="1053">
        <f t="shared" si="174"/>
        <v>0</v>
      </c>
      <c r="R858" s="1053"/>
      <c r="S858" s="1053"/>
      <c r="T858" s="2035">
        <f t="shared" si="152"/>
        <v>0</v>
      </c>
    </row>
    <row r="859" spans="1:20" ht="22.2" hidden="1" customHeight="1">
      <c r="A859" s="1015"/>
      <c r="B859" s="1571" t="s">
        <v>1786</v>
      </c>
      <c r="C859" s="1013" t="str">
        <f t="shared" si="168"/>
        <v xml:space="preserve"> </v>
      </c>
      <c r="D859" s="1535">
        <v>1</v>
      </c>
      <c r="E859" s="1044"/>
      <c r="F859" s="1056" t="str">
        <f>VLOOKUP($B859,DG!A:D,DG!$C$2,)</f>
        <v>Boulon 16x600+ 2 long đền vuông D18-50x50x3/Zn</v>
      </c>
      <c r="G859" s="1044" t="str">
        <f>VLOOKUP($B859,DG!A:D,DG!$D$2,)</f>
        <v>bộ</v>
      </c>
      <c r="H859" s="1823">
        <f t="shared" si="169"/>
        <v>0</v>
      </c>
      <c r="I859" s="1823">
        <f t="shared" si="170"/>
        <v>0</v>
      </c>
      <c r="J859" s="1823">
        <f t="shared" si="170"/>
        <v>0</v>
      </c>
      <c r="K859" s="1823">
        <f t="shared" si="171"/>
        <v>0</v>
      </c>
      <c r="L859" s="1823">
        <f t="shared" si="172"/>
        <v>0</v>
      </c>
      <c r="M859" s="1823">
        <f t="shared" si="172"/>
        <v>0</v>
      </c>
      <c r="N859" s="1823">
        <f t="shared" si="172"/>
        <v>0</v>
      </c>
      <c r="O859" s="1823"/>
      <c r="P859" s="1823">
        <f t="shared" si="173"/>
        <v>0</v>
      </c>
      <c r="Q859" s="1053">
        <f t="shared" si="174"/>
        <v>0</v>
      </c>
      <c r="R859" s="1053"/>
      <c r="S859" s="1053"/>
      <c r="T859" s="2035">
        <f t="shared" si="152"/>
        <v>0</v>
      </c>
    </row>
    <row r="860" spans="1:20" ht="22.2" hidden="1" customHeight="1">
      <c r="A860" s="1015"/>
      <c r="B860" s="1571" t="s">
        <v>532</v>
      </c>
      <c r="C860" s="1013" t="str">
        <f t="shared" si="168"/>
        <v xml:space="preserve"> </v>
      </c>
      <c r="D860" s="1535">
        <v>2</v>
      </c>
      <c r="E860" s="1044"/>
      <c r="F860" s="1056" t="str">
        <f>VLOOKUP($B860,DG!A:D,DG!$C$2,)</f>
        <v>Boulon 16x550VRS+ 4 long đền vuông D18-50x50x3/Zn</v>
      </c>
      <c r="G860" s="1044" t="str">
        <f>VLOOKUP($B860,DG!A:D,DG!$D$2,)</f>
        <v>bộ</v>
      </c>
      <c r="H860" s="1823">
        <f t="shared" si="169"/>
        <v>0</v>
      </c>
      <c r="I860" s="1823">
        <f t="shared" si="170"/>
        <v>0</v>
      </c>
      <c r="J860" s="1823">
        <f t="shared" si="170"/>
        <v>0</v>
      </c>
      <c r="K860" s="1823">
        <f t="shared" si="171"/>
        <v>0</v>
      </c>
      <c r="L860" s="1823">
        <f t="shared" si="172"/>
        <v>0</v>
      </c>
      <c r="M860" s="1823">
        <f t="shared" si="172"/>
        <v>0</v>
      </c>
      <c r="N860" s="1823">
        <f t="shared" si="172"/>
        <v>0</v>
      </c>
      <c r="O860" s="1823"/>
      <c r="P860" s="1823">
        <f t="shared" si="173"/>
        <v>0</v>
      </c>
      <c r="Q860" s="1053">
        <f t="shared" si="174"/>
        <v>0</v>
      </c>
      <c r="R860" s="1053"/>
      <c r="S860" s="1053"/>
      <c r="T860" s="2035">
        <f t="shared" si="152"/>
        <v>0</v>
      </c>
    </row>
    <row r="861" spans="1:20" ht="22.2" hidden="1" customHeight="1">
      <c r="A861" s="1015"/>
      <c r="B861" s="1571" t="s">
        <v>1789</v>
      </c>
      <c r="C861" s="1013" t="str">
        <f t="shared" si="168"/>
        <v xml:space="preserve"> </v>
      </c>
      <c r="D861" s="1535">
        <v>4</v>
      </c>
      <c r="E861" s="1044"/>
      <c r="F861" s="1056" t="str">
        <f>VLOOKUP($B861,DG!A:D,DG!$C$2,)</f>
        <v>Boulon 16x35+ 2 long đền vuông D18-50x50x3/Zn</v>
      </c>
      <c r="G861" s="1044" t="str">
        <f>VLOOKUP($B861,DG!A:D,DG!$D$2,)</f>
        <v>bộ</v>
      </c>
      <c r="H861" s="1823">
        <f t="shared" si="169"/>
        <v>0</v>
      </c>
      <c r="I861" s="1823">
        <f t="shared" si="170"/>
        <v>0</v>
      </c>
      <c r="J861" s="1823">
        <f t="shared" si="170"/>
        <v>0</v>
      </c>
      <c r="K861" s="1823">
        <f t="shared" si="171"/>
        <v>0</v>
      </c>
      <c r="L861" s="1823">
        <f t="shared" si="172"/>
        <v>0</v>
      </c>
      <c r="M861" s="1823">
        <f t="shared" si="172"/>
        <v>0</v>
      </c>
      <c r="N861" s="1823">
        <f t="shared" si="172"/>
        <v>0</v>
      </c>
      <c r="O861" s="1823"/>
      <c r="P861" s="1823">
        <f t="shared" si="173"/>
        <v>0</v>
      </c>
      <c r="Q861" s="1053">
        <f t="shared" si="174"/>
        <v>0</v>
      </c>
      <c r="R861" s="1053"/>
      <c r="S861" s="1053"/>
      <c r="T861" s="2035">
        <f t="shared" si="152"/>
        <v>0</v>
      </c>
    </row>
    <row r="862" spans="1:20" ht="22.2" hidden="1" customHeight="1">
      <c r="A862" s="1015"/>
      <c r="B862" s="1571" t="s">
        <v>517</v>
      </c>
      <c r="C862" s="1013" t="str">
        <f t="shared" si="168"/>
        <v xml:space="preserve"> </v>
      </c>
      <c r="D862" s="1535">
        <v>1</v>
      </c>
      <c r="E862" s="1060" t="str">
        <f>VLOOKUP($B862,DG!A:D,DG!$B$2,)</f>
        <v>05.6203</v>
      </c>
      <c r="F862" s="1049" t="str">
        <f>VLOOKUP($B862,DG!A:D,DG!$C$2,)</f>
        <v>Lắp xà néo ≤ 100kg</v>
      </c>
      <c r="G862" s="1044" t="str">
        <f>VLOOKUP($B862,DG!A:D,DG!$D$2,)</f>
        <v>bộ</v>
      </c>
      <c r="H862" s="1823">
        <f t="shared" si="169"/>
        <v>0</v>
      </c>
      <c r="I862" s="1823"/>
      <c r="J862" s="1823"/>
      <c r="K862" s="1823"/>
      <c r="L862" s="1823"/>
      <c r="M862" s="1823"/>
      <c r="N862" s="1823"/>
      <c r="O862" s="1823"/>
      <c r="P862" s="1823">
        <f t="shared" si="173"/>
        <v>0</v>
      </c>
      <c r="Q862" s="1053">
        <f t="shared" si="174"/>
        <v>0</v>
      </c>
      <c r="R862" s="1058"/>
      <c r="S862" s="1058"/>
      <c r="T862" s="2035">
        <f t="shared" ref="T862:T936" si="175">IFERROR(HLOOKUP(B862,BangKeTru,3,0),0)</f>
        <v>0</v>
      </c>
    </row>
    <row r="863" spans="1:20" ht="22.2" hidden="1" customHeight="1">
      <c r="A863" s="59"/>
      <c r="B863" s="1577" t="s">
        <v>2000</v>
      </c>
      <c r="C863" s="1013" t="str">
        <f t="shared" si="168"/>
        <v xml:space="preserve"> </v>
      </c>
      <c r="D863" s="1533">
        <f>D864</f>
        <v>0</v>
      </c>
      <c r="E863" s="1044" t="str">
        <f>VLOOKUP($B863,DG!A:D,DG!$B$2,)</f>
        <v>02.1115</v>
      </c>
      <c r="F863" s="1049" t="str">
        <f>VLOOKUP($B863,DG!A:D,DG!$C$2,)</f>
        <v>Bốc dỡ xà, thép thanh</v>
      </c>
      <c r="G863" s="1044" t="str">
        <f>VLOOKUP($B863,DG!A:D,DG!$D$2,)</f>
        <v>tấn</v>
      </c>
      <c r="H863" s="1823"/>
      <c r="I863" s="1823"/>
      <c r="J863" s="1823"/>
      <c r="K863" s="1823"/>
      <c r="L863" s="1823"/>
      <c r="M863" s="1823"/>
      <c r="N863" s="1823"/>
      <c r="O863" s="1823"/>
      <c r="P863" s="1823"/>
      <c r="Q863" s="1058"/>
      <c r="R863" s="1058"/>
      <c r="S863" s="1058"/>
      <c r="T863" s="2035">
        <f t="shared" si="175"/>
        <v>0</v>
      </c>
    </row>
    <row r="864" spans="1:20" ht="22.2" hidden="1" customHeight="1">
      <c r="A864" s="59"/>
      <c r="B864" s="1588" t="s">
        <v>2001</v>
      </c>
      <c r="C864" s="1013" t="str">
        <f t="shared" si="168"/>
        <v xml:space="preserve"> </v>
      </c>
      <c r="D864" s="1533">
        <f>ROUND(SUM(D856:D857)*1.05/1000,3)*0</f>
        <v>0</v>
      </c>
      <c r="E864" s="1044" t="str">
        <f>VLOOKUP($B864,DG!A:C,2,)</f>
        <v>02.1361</v>
      </c>
      <c r="F864" s="1049" t="str">
        <f>VLOOKUP($B864,DG!A:C,3,)</f>
        <v>V/c xà vào vị trí (cư ly &lt;=100m)</v>
      </c>
      <c r="G864" s="1044" t="str">
        <f>VLOOKUP($B864,DG!A:D,4,0)</f>
        <v>tấn</v>
      </c>
      <c r="H864" s="1823"/>
      <c r="I864" s="1823"/>
      <c r="J864" s="1823"/>
      <c r="K864" s="1823"/>
      <c r="L864" s="1823"/>
      <c r="M864" s="1823"/>
      <c r="N864" s="1823"/>
      <c r="O864" s="1823"/>
      <c r="P864" s="1823"/>
      <c r="Q864" s="1058"/>
      <c r="R864" s="1058"/>
      <c r="S864" s="1058"/>
      <c r="T864" s="2035">
        <f t="shared" si="175"/>
        <v>0</v>
      </c>
    </row>
    <row r="865" spans="1:20" ht="22.2" hidden="1" customHeight="1">
      <c r="A865" s="59"/>
      <c r="B865" s="1588" t="s">
        <v>635</v>
      </c>
      <c r="C865" s="1013" t="str">
        <f t="shared" si="168"/>
        <v xml:space="preserve"> </v>
      </c>
      <c r="D865" s="1534">
        <f>0.05*0</f>
        <v>0</v>
      </c>
      <c r="E865" s="1044" t="str">
        <f>VLOOKUP($B865,DG!A:C,2,)</f>
        <v>02.1482</v>
      </c>
      <c r="F865" s="1049" t="str">
        <f>VLOOKUP($B865,DG!A:C,3,)</f>
        <v>V/c dụng cụ thi công vào vị trí (cự ly &lt;=100m)</v>
      </c>
      <c r="G865" s="1044" t="str">
        <f>VLOOKUP($B865,DG!A:D,4,0)</f>
        <v>tấn</v>
      </c>
      <c r="H865" s="1823"/>
      <c r="I865" s="1823"/>
      <c r="J865" s="1823"/>
      <c r="K865" s="1823"/>
      <c r="L865" s="1823"/>
      <c r="M865" s="1823"/>
      <c r="N865" s="1823"/>
      <c r="O865" s="1823"/>
      <c r="P865" s="1823"/>
      <c r="Q865" s="1058"/>
      <c r="R865" s="1058"/>
      <c r="S865" s="1058"/>
      <c r="T865" s="2035">
        <f t="shared" si="175"/>
        <v>0</v>
      </c>
    </row>
    <row r="866" spans="1:20" ht="22.2" hidden="1" customHeight="1">
      <c r="A866" s="59"/>
      <c r="B866" s="1588"/>
      <c r="C866" s="1013" t="str">
        <f t="shared" si="168"/>
        <v xml:space="preserve"> </v>
      </c>
      <c r="D866" s="1534"/>
      <c r="E866" s="1044"/>
      <c r="F866" s="1056"/>
      <c r="G866" s="1044"/>
      <c r="H866" s="1823"/>
      <c r="I866" s="1823"/>
      <c r="J866" s="1823"/>
      <c r="K866" s="1823"/>
      <c r="L866" s="1823"/>
      <c r="M866" s="1823"/>
      <c r="N866" s="1823"/>
      <c r="O866" s="1823"/>
      <c r="P866" s="1823"/>
      <c r="Q866" s="1058"/>
      <c r="R866" s="1058"/>
      <c r="S866" s="1058"/>
      <c r="T866" s="2035">
        <f t="shared" si="175"/>
        <v>0</v>
      </c>
    </row>
    <row r="867" spans="1:20" ht="22.2" hidden="1" customHeight="1">
      <c r="A867" s="59"/>
      <c r="B867" s="1588"/>
      <c r="C867" s="1013" t="str">
        <f t="shared" si="168"/>
        <v xml:space="preserve"> </v>
      </c>
      <c r="D867" s="1534"/>
      <c r="E867" s="1044"/>
      <c r="F867" s="1056"/>
      <c r="G867" s="1044"/>
      <c r="H867" s="1823"/>
      <c r="I867" s="1823"/>
      <c r="J867" s="1823"/>
      <c r="K867" s="1823"/>
      <c r="L867" s="1823"/>
      <c r="M867" s="1823"/>
      <c r="N867" s="1823"/>
      <c r="O867" s="1823"/>
      <c r="P867" s="1823"/>
      <c r="Q867" s="1058"/>
      <c r="R867" s="1058"/>
      <c r="S867" s="1058"/>
      <c r="T867" s="2035">
        <f t="shared" si="175"/>
        <v>0</v>
      </c>
    </row>
    <row r="868" spans="1:20" ht="22.2" hidden="1" customHeight="1">
      <c r="A868" s="56" t="s">
        <v>1112</v>
      </c>
      <c r="B868" s="1574" t="s">
        <v>4850</v>
      </c>
      <c r="C868" s="1013" t="str">
        <f t="shared" si="168"/>
        <v xml:space="preserve"> </v>
      </c>
      <c r="D868" s="1532"/>
      <c r="E868" s="1045"/>
      <c r="F868" s="1392" t="s">
        <v>4852</v>
      </c>
      <c r="G868" s="1046" t="s">
        <v>2391</v>
      </c>
      <c r="H868" s="1821">
        <f>SUM(I868:O868)</f>
        <v>0</v>
      </c>
      <c r="I868" s="1822"/>
      <c r="J868" s="1822"/>
      <c r="K868" s="1822">
        <f>IFERROR(HLOOKUP(B868,pp3p1m!$1:$3,3,0),0)</f>
        <v>0</v>
      </c>
      <c r="L868" s="1822">
        <f>IFERROR(HLOOKUP(chitiet!B868,pp1p!$1:$3,3,0),0)</f>
        <v>0</v>
      </c>
      <c r="M868" s="1822"/>
      <c r="N868" s="1822"/>
      <c r="O868" s="1822"/>
      <c r="P868" s="1822">
        <f>H868+Q868-R868</f>
        <v>0</v>
      </c>
      <c r="Q868" s="1047"/>
      <c r="R868" s="1047"/>
      <c r="S868" s="1047"/>
      <c r="T868" s="2035">
        <f>IFERROR(HLOOKUP(B868,pp1p!$1:$3,3,0),0)+IFERROR(HLOOKUP(B868,pp3p1m!$1:$3,3,0),0)</f>
        <v>0</v>
      </c>
    </row>
    <row r="869" spans="1:20" ht="22.2" hidden="1" customHeight="1">
      <c r="A869" s="59"/>
      <c r="B869" s="1577" t="s">
        <v>4858</v>
      </c>
      <c r="C869" s="1013" t="str">
        <f t="shared" si="168"/>
        <v xml:space="preserve"> </v>
      </c>
      <c r="D869" s="1534">
        <v>1</v>
      </c>
      <c r="E869" s="1044"/>
      <c r="F869" s="1056" t="str">
        <f>VLOOKUP($B869,DG!A:D,DG!$C$2,)</f>
        <v>Sắt góc L75 x75 x8 x2200</v>
      </c>
      <c r="G869" s="1044" t="str">
        <f>VLOOKUP($B869,DG!A:D,DG!$D$2,)</f>
        <v>cái</v>
      </c>
      <c r="H869" s="2191">
        <f t="shared" ref="H869:R874" si="176">H$868*$D869</f>
        <v>0</v>
      </c>
      <c r="I869" s="1823">
        <f t="shared" si="176"/>
        <v>0</v>
      </c>
      <c r="J869" s="1823">
        <f t="shared" si="176"/>
        <v>0</v>
      </c>
      <c r="K869" s="1823">
        <f t="shared" si="176"/>
        <v>0</v>
      </c>
      <c r="L869" s="1823">
        <f t="shared" si="176"/>
        <v>0</v>
      </c>
      <c r="M869" s="1823">
        <f t="shared" si="176"/>
        <v>0</v>
      </c>
      <c r="N869" s="1823">
        <f t="shared" si="176"/>
        <v>0</v>
      </c>
      <c r="O869" s="1823">
        <f t="shared" si="176"/>
        <v>0</v>
      </c>
      <c r="P869" s="2191">
        <f t="shared" si="176"/>
        <v>0</v>
      </c>
      <c r="Q869" s="1823">
        <f t="shared" si="176"/>
        <v>0</v>
      </c>
      <c r="R869" s="1823">
        <f t="shared" si="176"/>
        <v>0</v>
      </c>
      <c r="S869" s="1053"/>
      <c r="T869" s="2035">
        <f t="shared" si="175"/>
        <v>0</v>
      </c>
    </row>
    <row r="870" spans="1:20" ht="22.2" hidden="1" customHeight="1">
      <c r="A870" s="59"/>
      <c r="B870" s="1577" t="s">
        <v>4859</v>
      </c>
      <c r="C870" s="1013" t="str">
        <f t="shared" si="168"/>
        <v xml:space="preserve"> </v>
      </c>
      <c r="D870" s="1534">
        <v>2</v>
      </c>
      <c r="E870" s="1044"/>
      <c r="F870" s="1056" t="str">
        <f>VLOOKUP($B870,DG!A:D,DG!$C$2,)</f>
        <v>Sắt góc L50 x50 x5 x920</v>
      </c>
      <c r="G870" s="1044" t="str">
        <f>VLOOKUP($B870,DG!A:D,DG!$D$2,)</f>
        <v>cái</v>
      </c>
      <c r="H870" s="2191">
        <f t="shared" si="176"/>
        <v>0</v>
      </c>
      <c r="I870" s="1823">
        <f t="shared" ref="I870:J874" si="177">I$799*$D870</f>
        <v>0</v>
      </c>
      <c r="J870" s="1823">
        <f t="shared" si="177"/>
        <v>0</v>
      </c>
      <c r="K870" s="1823">
        <f t="shared" ref="K870:K874" si="178">K$868*$D870</f>
        <v>0</v>
      </c>
      <c r="L870" s="1823">
        <f t="shared" ref="L870:N874" si="179">L$799*$D870</f>
        <v>0</v>
      </c>
      <c r="M870" s="1823">
        <f t="shared" si="179"/>
        <v>0</v>
      </c>
      <c r="N870" s="1823">
        <f t="shared" si="179"/>
        <v>0</v>
      </c>
      <c r="O870" s="1823"/>
      <c r="P870" s="2191">
        <f t="shared" si="176"/>
        <v>0</v>
      </c>
      <c r="Q870" s="1823">
        <f t="shared" si="176"/>
        <v>0</v>
      </c>
      <c r="R870" s="1823">
        <f t="shared" si="176"/>
        <v>0</v>
      </c>
      <c r="S870" s="1053"/>
      <c r="T870" s="2035">
        <f t="shared" si="175"/>
        <v>0</v>
      </c>
    </row>
    <row r="871" spans="1:20" ht="22.2" hidden="1" customHeight="1">
      <c r="A871" s="59"/>
      <c r="B871" s="1577" t="s">
        <v>1612</v>
      </c>
      <c r="C871" s="1013" t="str">
        <f t="shared" si="168"/>
        <v xml:space="preserve"> </v>
      </c>
      <c r="D871" s="1535">
        <v>1</v>
      </c>
      <c r="E871" s="1044"/>
      <c r="F871" s="1056" t="str">
        <f>VLOOKUP($B871,DG!A:D,DG!$C$2,)</f>
        <v>Boulon 16x250+ 2 long đền vuông D18-50x50x3/Zn</v>
      </c>
      <c r="G871" s="1044" t="str">
        <f>VLOOKUP($B871,DG!A:D,DG!$D$2,)</f>
        <v>bộ</v>
      </c>
      <c r="H871" s="1823">
        <f t="shared" si="176"/>
        <v>0</v>
      </c>
      <c r="I871" s="1823">
        <f t="shared" si="177"/>
        <v>0</v>
      </c>
      <c r="J871" s="1823">
        <f t="shared" si="177"/>
        <v>0</v>
      </c>
      <c r="K871" s="1823">
        <f t="shared" si="178"/>
        <v>0</v>
      </c>
      <c r="L871" s="1823">
        <f t="shared" si="179"/>
        <v>0</v>
      </c>
      <c r="M871" s="1823">
        <f t="shared" si="179"/>
        <v>0</v>
      </c>
      <c r="N871" s="1823">
        <f t="shared" si="179"/>
        <v>0</v>
      </c>
      <c r="O871" s="1823"/>
      <c r="P871" s="1823">
        <f t="shared" si="176"/>
        <v>0</v>
      </c>
      <c r="Q871" s="1823">
        <f t="shared" si="176"/>
        <v>0</v>
      </c>
      <c r="R871" s="1823">
        <f t="shared" si="176"/>
        <v>0</v>
      </c>
      <c r="S871" s="1053"/>
      <c r="T871" s="2035">
        <f t="shared" si="175"/>
        <v>0</v>
      </c>
    </row>
    <row r="872" spans="1:20" ht="22.2" hidden="1" customHeight="1">
      <c r="A872" s="59"/>
      <c r="B872" s="1577" t="s">
        <v>1613</v>
      </c>
      <c r="C872" s="1013" t="str">
        <f t="shared" si="168"/>
        <v xml:space="preserve"> </v>
      </c>
      <c r="D872" s="1535">
        <v>1</v>
      </c>
      <c r="E872" s="1044"/>
      <c r="F872" s="1056" t="str">
        <f>VLOOKUP($B872,DG!A:D,DG!$C$2,)</f>
        <v>Boulon 16x300+ 2 long đền vuông D18-50x50x3/Zn</v>
      </c>
      <c r="G872" s="1044" t="str">
        <f>VLOOKUP($B872,DG!A:D,DG!$D$2,)</f>
        <v>bộ</v>
      </c>
      <c r="H872" s="1823">
        <f t="shared" si="176"/>
        <v>0</v>
      </c>
      <c r="I872" s="1823">
        <f t="shared" si="177"/>
        <v>0</v>
      </c>
      <c r="J872" s="1823">
        <f t="shared" si="177"/>
        <v>0</v>
      </c>
      <c r="K872" s="1823">
        <f t="shared" si="178"/>
        <v>0</v>
      </c>
      <c r="L872" s="1823">
        <f t="shared" si="179"/>
        <v>0</v>
      </c>
      <c r="M872" s="1823">
        <f t="shared" si="179"/>
        <v>0</v>
      </c>
      <c r="N872" s="1823">
        <f t="shared" si="179"/>
        <v>0</v>
      </c>
      <c r="O872" s="1823"/>
      <c r="P872" s="1823">
        <f t="shared" si="176"/>
        <v>0</v>
      </c>
      <c r="Q872" s="1823">
        <f t="shared" si="176"/>
        <v>0</v>
      </c>
      <c r="R872" s="1823">
        <f t="shared" si="176"/>
        <v>0</v>
      </c>
      <c r="S872" s="1053"/>
      <c r="T872" s="2035">
        <f t="shared" si="175"/>
        <v>0</v>
      </c>
    </row>
    <row r="873" spans="1:20" ht="22.2" hidden="1" customHeight="1">
      <c r="A873" s="59"/>
      <c r="B873" s="1577" t="s">
        <v>415</v>
      </c>
      <c r="C873" s="1013" t="str">
        <f t="shared" si="168"/>
        <v xml:space="preserve"> </v>
      </c>
      <c r="D873" s="1535">
        <v>4</v>
      </c>
      <c r="E873" s="1044"/>
      <c r="F873" s="1056" t="str">
        <f>VLOOKUP($B873,DG!A:D,DG!$C$2,)</f>
        <v>Boulon 16x300VRS+ 4 long đền vuông D18-50x50x3/Zn</v>
      </c>
      <c r="G873" s="1044" t="str">
        <f>VLOOKUP($B873,DG!A:D,DG!$D$2,)</f>
        <v>bộ</v>
      </c>
      <c r="H873" s="1823">
        <f t="shared" si="176"/>
        <v>0</v>
      </c>
      <c r="I873" s="1823">
        <f t="shared" si="177"/>
        <v>0</v>
      </c>
      <c r="J873" s="1823">
        <f t="shared" si="177"/>
        <v>0</v>
      </c>
      <c r="K873" s="1823">
        <f t="shared" si="178"/>
        <v>0</v>
      </c>
      <c r="L873" s="1823">
        <f t="shared" si="179"/>
        <v>0</v>
      </c>
      <c r="M873" s="1823">
        <f t="shared" si="179"/>
        <v>0</v>
      </c>
      <c r="N873" s="1823">
        <f t="shared" si="179"/>
        <v>0</v>
      </c>
      <c r="O873" s="1823"/>
      <c r="P873" s="1823">
        <f t="shared" si="176"/>
        <v>0</v>
      </c>
      <c r="Q873" s="1823">
        <f t="shared" si="176"/>
        <v>0</v>
      </c>
      <c r="R873" s="1823">
        <f t="shared" si="176"/>
        <v>0</v>
      </c>
      <c r="S873" s="1053"/>
      <c r="T873" s="2035">
        <f t="shared" si="175"/>
        <v>0</v>
      </c>
    </row>
    <row r="874" spans="1:20" ht="22.2" hidden="1" customHeight="1">
      <c r="A874" s="59"/>
      <c r="B874" s="1577" t="s">
        <v>1790</v>
      </c>
      <c r="C874" s="1013" t="str">
        <f t="shared" si="168"/>
        <v xml:space="preserve"> </v>
      </c>
      <c r="D874" s="1535">
        <v>4</v>
      </c>
      <c r="E874" s="1044"/>
      <c r="F874" s="1056" t="str">
        <f>VLOOKUP($B874,DG!A:D,DG!$C$2,)</f>
        <v>Boulon 16x50+ 2 long đền vuông D18-50x50x3/Zn</v>
      </c>
      <c r="G874" s="1044" t="str">
        <f>VLOOKUP($B874,DG!A:D,DG!$D$2,)</f>
        <v>bộ</v>
      </c>
      <c r="H874" s="1823">
        <f t="shared" si="176"/>
        <v>0</v>
      </c>
      <c r="I874" s="1823">
        <f t="shared" si="177"/>
        <v>0</v>
      </c>
      <c r="J874" s="1823">
        <f t="shared" si="177"/>
        <v>0</v>
      </c>
      <c r="K874" s="1823">
        <f t="shared" si="178"/>
        <v>0</v>
      </c>
      <c r="L874" s="1823">
        <f t="shared" si="179"/>
        <v>0</v>
      </c>
      <c r="M874" s="1823">
        <f t="shared" si="179"/>
        <v>0</v>
      </c>
      <c r="N874" s="1823">
        <f t="shared" si="179"/>
        <v>0</v>
      </c>
      <c r="O874" s="1823"/>
      <c r="P874" s="1823">
        <f t="shared" si="176"/>
        <v>0</v>
      </c>
      <c r="Q874" s="1823">
        <f t="shared" si="176"/>
        <v>0</v>
      </c>
      <c r="R874" s="1823">
        <f t="shared" si="176"/>
        <v>0</v>
      </c>
      <c r="S874" s="1053"/>
      <c r="T874" s="2035">
        <f t="shared" si="175"/>
        <v>0</v>
      </c>
    </row>
    <row r="875" spans="1:20" ht="22.2" hidden="1" customHeight="1">
      <c r="A875" s="59"/>
      <c r="B875" s="1577" t="s">
        <v>518</v>
      </c>
      <c r="C875" s="1013" t="str">
        <f t="shared" si="168"/>
        <v xml:space="preserve"> </v>
      </c>
      <c r="D875" s="1535">
        <v>1</v>
      </c>
      <c r="E875" s="1044" t="str">
        <f>VLOOKUP($B875,DG!A:D,DG!$B$2,)</f>
        <v>05.6203</v>
      </c>
      <c r="F875" s="1049" t="str">
        <f>VLOOKUP($B875,DG!A:D,DG!$C$2,)</f>
        <v>Lắp xà néo ≤ 100kg</v>
      </c>
      <c r="G875" s="1044" t="str">
        <f>VLOOKUP($B875,DG!A:D,DG!$D$2,)</f>
        <v>bộ</v>
      </c>
      <c r="H875" s="1823"/>
      <c r="I875" s="1823"/>
      <c r="J875" s="1823"/>
      <c r="K875" s="1823"/>
      <c r="L875" s="1823"/>
      <c r="M875" s="1823"/>
      <c r="N875" s="1823"/>
      <c r="O875" s="1823"/>
      <c r="P875" s="1823"/>
      <c r="Q875" s="1058"/>
      <c r="R875" s="1058"/>
      <c r="S875" s="1058"/>
      <c r="T875" s="2035">
        <f t="shared" si="175"/>
        <v>0</v>
      </c>
    </row>
    <row r="876" spans="1:20" ht="22.2" hidden="1" customHeight="1">
      <c r="A876" s="59"/>
      <c r="B876" s="1577" t="s">
        <v>2000</v>
      </c>
      <c r="C876" s="1013" t="str">
        <f t="shared" si="168"/>
        <v xml:space="preserve"> </v>
      </c>
      <c r="D876" s="1533">
        <f>D877</f>
        <v>0</v>
      </c>
      <c r="E876" s="1044" t="str">
        <f>VLOOKUP($B876,DG!A:D,DG!$B$2,)</f>
        <v>02.1115</v>
      </c>
      <c r="F876" s="1049" t="str">
        <f>VLOOKUP($B876,DG!A:D,DG!$C$2,)</f>
        <v>Bốc dỡ xà, thép thanh</v>
      </c>
      <c r="G876" s="1044" t="str">
        <f>VLOOKUP($B876,DG!A:D,DG!$D$2,)</f>
        <v>tấn</v>
      </c>
      <c r="H876" s="1823"/>
      <c r="I876" s="1823"/>
      <c r="J876" s="1823"/>
      <c r="K876" s="1823"/>
      <c r="L876" s="1823"/>
      <c r="M876" s="1823"/>
      <c r="N876" s="1823"/>
      <c r="O876" s="1823"/>
      <c r="P876" s="1823"/>
      <c r="Q876" s="1058"/>
      <c r="R876" s="1058"/>
      <c r="S876" s="1058"/>
      <c r="T876" s="2035">
        <f t="shared" si="175"/>
        <v>0</v>
      </c>
    </row>
    <row r="877" spans="1:20" ht="22.2" hidden="1" customHeight="1">
      <c r="A877" s="59"/>
      <c r="B877" s="1588" t="s">
        <v>2001</v>
      </c>
      <c r="C877" s="1013" t="str">
        <f t="shared" si="168"/>
        <v xml:space="preserve"> </v>
      </c>
      <c r="D877" s="1533">
        <f>ROUND(SUM(D869:D870)*1.05/1000,3)*0</f>
        <v>0</v>
      </c>
      <c r="E877" s="1044" t="str">
        <f>VLOOKUP($B877,DG!A:C,2,)</f>
        <v>02.1361</v>
      </c>
      <c r="F877" s="1049" t="str">
        <f>VLOOKUP($B877,DG!A:C,3,)</f>
        <v>V/c xà vào vị trí (cư ly &lt;=100m)</v>
      </c>
      <c r="G877" s="1044" t="str">
        <f>VLOOKUP($B877,DG!A:D,4,0)</f>
        <v>tấn</v>
      </c>
      <c r="H877" s="1823"/>
      <c r="I877" s="1823"/>
      <c r="J877" s="1823"/>
      <c r="K877" s="1823"/>
      <c r="L877" s="1823"/>
      <c r="M877" s="1823"/>
      <c r="N877" s="1823"/>
      <c r="O877" s="1823"/>
      <c r="P877" s="1823"/>
      <c r="Q877" s="1058"/>
      <c r="R877" s="1058"/>
      <c r="S877" s="1058"/>
      <c r="T877" s="2035">
        <f t="shared" si="175"/>
        <v>0</v>
      </c>
    </row>
    <row r="878" spans="1:20" ht="22.2" hidden="1" customHeight="1">
      <c r="A878" s="59"/>
      <c r="B878" s="1588" t="s">
        <v>635</v>
      </c>
      <c r="C878" s="1013" t="str">
        <f t="shared" si="168"/>
        <v xml:space="preserve"> </v>
      </c>
      <c r="D878" s="1534">
        <f>0.05*0</f>
        <v>0</v>
      </c>
      <c r="E878" s="1044" t="str">
        <f>VLOOKUP($B878,DG!A:C,2,)</f>
        <v>02.1482</v>
      </c>
      <c r="F878" s="1049" t="str">
        <f>VLOOKUP($B878,DG!A:C,3,)</f>
        <v>V/c dụng cụ thi công vào vị trí (cự ly &lt;=100m)</v>
      </c>
      <c r="G878" s="1044" t="str">
        <f>VLOOKUP($B878,DG!A:D,4,0)</f>
        <v>tấn</v>
      </c>
      <c r="H878" s="1823"/>
      <c r="I878" s="1823"/>
      <c r="J878" s="1823"/>
      <c r="K878" s="1823"/>
      <c r="L878" s="1823"/>
      <c r="M878" s="1823"/>
      <c r="N878" s="1823"/>
      <c r="O878" s="1823"/>
      <c r="P878" s="1823"/>
      <c r="Q878" s="1058"/>
      <c r="R878" s="1058"/>
      <c r="S878" s="1058"/>
      <c r="T878" s="2035">
        <f t="shared" si="175"/>
        <v>0</v>
      </c>
    </row>
    <row r="879" spans="1:20" ht="22.2" hidden="1" customHeight="1">
      <c r="A879" s="56" t="s">
        <v>1112</v>
      </c>
      <c r="B879" s="1574" t="s">
        <v>4851</v>
      </c>
      <c r="C879" s="1013" t="str">
        <f t="shared" ref="C879:C889" si="180">IF(OR(P879&lt;&gt;0,H879&lt;&gt;0),"x"," ")</f>
        <v xml:space="preserve"> </v>
      </c>
      <c r="D879" s="1532"/>
      <c r="E879" s="1045"/>
      <c r="F879" s="1392" t="s">
        <v>4856</v>
      </c>
      <c r="G879" s="1046" t="s">
        <v>2391</v>
      </c>
      <c r="H879" s="1821">
        <f>SUM(I879:O879)</f>
        <v>0</v>
      </c>
      <c r="I879" s="1822"/>
      <c r="J879" s="1822"/>
      <c r="K879" s="1822">
        <f>IFERROR(HLOOKUP(B879,pp3p1m!$1:$3,3,0),0)</f>
        <v>0</v>
      </c>
      <c r="L879" s="1822">
        <f>IFERROR(HLOOKUP(chitiet!B879,pp1p!$1:$3,3,0),0)</f>
        <v>0</v>
      </c>
      <c r="M879" s="1822"/>
      <c r="N879" s="1822"/>
      <c r="O879" s="1822"/>
      <c r="P879" s="1822">
        <f>H879+Q879-R879</f>
        <v>0</v>
      </c>
      <c r="Q879" s="1047"/>
      <c r="R879" s="1047"/>
      <c r="S879" s="1047"/>
      <c r="T879" s="2035">
        <f>IFERROR(HLOOKUP(B879,pp1p!$1:$3,3,0),0)+IFERROR(HLOOKUP(B879,pp3p1m!$1:$3,3,0),0)</f>
        <v>0</v>
      </c>
    </row>
    <row r="880" spans="1:20" ht="22.2" hidden="1" customHeight="1">
      <c r="A880" s="59"/>
      <c r="B880" s="1577" t="s">
        <v>4858</v>
      </c>
      <c r="C880" s="1013" t="str">
        <f t="shared" si="180"/>
        <v xml:space="preserve"> </v>
      </c>
      <c r="D880" s="1534">
        <v>2</v>
      </c>
      <c r="E880" s="1044"/>
      <c r="F880" s="1056" t="str">
        <f>VLOOKUP($B880,DG!A:D,DG!$C$2,)</f>
        <v>Sắt góc L75 x75 x8 x2200</v>
      </c>
      <c r="G880" s="1044" t="str">
        <f>VLOOKUP($B880,DG!A:D,DG!$D$2,)</f>
        <v>cái</v>
      </c>
      <c r="H880" s="2191">
        <f t="shared" ref="H880:H885" si="181">H$868*$D880</f>
        <v>0</v>
      </c>
      <c r="I880" s="1823">
        <f t="shared" ref="I880:J885" si="182">I$799*$D880</f>
        <v>0</v>
      </c>
      <c r="J880" s="1823">
        <f t="shared" si="182"/>
        <v>0</v>
      </c>
      <c r="K880" s="1823">
        <f t="shared" ref="K880:K885" si="183">K$868*$D880</f>
        <v>0</v>
      </c>
      <c r="L880" s="1823">
        <f t="shared" ref="L880:N885" si="184">L$799*$D880</f>
        <v>0</v>
      </c>
      <c r="M880" s="1823">
        <f t="shared" si="184"/>
        <v>0</v>
      </c>
      <c r="N880" s="1823">
        <f t="shared" si="184"/>
        <v>0</v>
      </c>
      <c r="O880" s="1823"/>
      <c r="P880" s="2191">
        <f t="shared" ref="P880:R885" si="185">P$868*$D880</f>
        <v>0</v>
      </c>
      <c r="Q880" s="2191">
        <f t="shared" si="185"/>
        <v>0</v>
      </c>
      <c r="R880" s="2191">
        <f t="shared" si="185"/>
        <v>0</v>
      </c>
      <c r="S880" s="1053"/>
      <c r="T880" s="2035">
        <f t="shared" ref="T880:T889" si="186">IFERROR(HLOOKUP(B880,BangKeTru,3,0),0)</f>
        <v>0</v>
      </c>
    </row>
    <row r="881" spans="1:20" ht="22.2" hidden="1" customHeight="1">
      <c r="A881" s="59"/>
      <c r="B881" s="1577" t="s">
        <v>4859</v>
      </c>
      <c r="C881" s="1013" t="str">
        <f t="shared" si="180"/>
        <v xml:space="preserve"> </v>
      </c>
      <c r="D881" s="1534">
        <v>4</v>
      </c>
      <c r="E881" s="1044"/>
      <c r="F881" s="1056" t="str">
        <f>VLOOKUP($B881,DG!A:D,DG!$C$2,)</f>
        <v>Sắt góc L50 x50 x5 x920</v>
      </c>
      <c r="G881" s="1044" t="str">
        <f>VLOOKUP($B881,DG!A:D,DG!$D$2,)</f>
        <v>cái</v>
      </c>
      <c r="H881" s="2191">
        <f t="shared" si="181"/>
        <v>0</v>
      </c>
      <c r="I881" s="1823">
        <f t="shared" si="182"/>
        <v>0</v>
      </c>
      <c r="J881" s="1823">
        <f t="shared" si="182"/>
        <v>0</v>
      </c>
      <c r="K881" s="1823">
        <f t="shared" si="183"/>
        <v>0</v>
      </c>
      <c r="L881" s="1823">
        <f t="shared" si="184"/>
        <v>0</v>
      </c>
      <c r="M881" s="1823">
        <f t="shared" si="184"/>
        <v>0</v>
      </c>
      <c r="N881" s="1823">
        <f t="shared" si="184"/>
        <v>0</v>
      </c>
      <c r="O881" s="1823"/>
      <c r="P881" s="2191">
        <f t="shared" si="185"/>
        <v>0</v>
      </c>
      <c r="Q881" s="2191">
        <f t="shared" si="185"/>
        <v>0</v>
      </c>
      <c r="R881" s="2191">
        <f t="shared" si="185"/>
        <v>0</v>
      </c>
      <c r="S881" s="1053"/>
      <c r="T881" s="2035">
        <f t="shared" si="186"/>
        <v>0</v>
      </c>
    </row>
    <row r="882" spans="1:20" ht="22.2" hidden="1" customHeight="1">
      <c r="A882" s="59"/>
      <c r="B882" s="1577" t="s">
        <v>1612</v>
      </c>
      <c r="C882" s="1013" t="str">
        <f t="shared" si="180"/>
        <v xml:space="preserve"> </v>
      </c>
      <c r="D882" s="1535">
        <v>2</v>
      </c>
      <c r="E882" s="1044"/>
      <c r="F882" s="1056" t="str">
        <f>VLOOKUP($B882,DG!A:D,DG!$C$2,)</f>
        <v>Boulon 16x250+ 2 long đền vuông D18-50x50x3/Zn</v>
      </c>
      <c r="G882" s="1044" t="str">
        <f>VLOOKUP($B882,DG!A:D,DG!$D$2,)</f>
        <v>bộ</v>
      </c>
      <c r="H882" s="1823">
        <f t="shared" si="181"/>
        <v>0</v>
      </c>
      <c r="I882" s="1823">
        <f t="shared" si="182"/>
        <v>0</v>
      </c>
      <c r="J882" s="1823">
        <f t="shared" si="182"/>
        <v>0</v>
      </c>
      <c r="K882" s="1823">
        <f t="shared" si="183"/>
        <v>0</v>
      </c>
      <c r="L882" s="1823">
        <f t="shared" si="184"/>
        <v>0</v>
      </c>
      <c r="M882" s="1823">
        <f t="shared" si="184"/>
        <v>0</v>
      </c>
      <c r="N882" s="1823">
        <f t="shared" si="184"/>
        <v>0</v>
      </c>
      <c r="O882" s="1823"/>
      <c r="P882" s="1823">
        <f t="shared" si="185"/>
        <v>0</v>
      </c>
      <c r="Q882" s="1823">
        <f t="shared" si="185"/>
        <v>0</v>
      </c>
      <c r="R882" s="1823">
        <f t="shared" si="185"/>
        <v>0</v>
      </c>
      <c r="S882" s="1053"/>
      <c r="T882" s="2035">
        <f t="shared" si="186"/>
        <v>0</v>
      </c>
    </row>
    <row r="883" spans="1:20" ht="22.2" hidden="1" customHeight="1">
      <c r="A883" s="59"/>
      <c r="B883" s="1577" t="s">
        <v>1613</v>
      </c>
      <c r="C883" s="1013" t="str">
        <f t="shared" si="180"/>
        <v xml:space="preserve"> </v>
      </c>
      <c r="D883" s="1535">
        <v>2</v>
      </c>
      <c r="E883" s="1044"/>
      <c r="F883" s="1056" t="str">
        <f>VLOOKUP($B883,DG!A:D,DG!$C$2,)</f>
        <v>Boulon 16x300+ 2 long đền vuông D18-50x50x3/Zn</v>
      </c>
      <c r="G883" s="1044" t="str">
        <f>VLOOKUP($B883,DG!A:D,DG!$D$2,)</f>
        <v>bộ</v>
      </c>
      <c r="H883" s="1823">
        <f t="shared" si="181"/>
        <v>0</v>
      </c>
      <c r="I883" s="1823">
        <f t="shared" si="182"/>
        <v>0</v>
      </c>
      <c r="J883" s="1823">
        <f t="shared" si="182"/>
        <v>0</v>
      </c>
      <c r="K883" s="1823">
        <f t="shared" si="183"/>
        <v>0</v>
      </c>
      <c r="L883" s="1823">
        <f t="shared" si="184"/>
        <v>0</v>
      </c>
      <c r="M883" s="1823">
        <f t="shared" si="184"/>
        <v>0</v>
      </c>
      <c r="N883" s="1823">
        <f t="shared" si="184"/>
        <v>0</v>
      </c>
      <c r="O883" s="1823"/>
      <c r="P883" s="1823">
        <f t="shared" si="185"/>
        <v>0</v>
      </c>
      <c r="Q883" s="1823">
        <f t="shared" si="185"/>
        <v>0</v>
      </c>
      <c r="R883" s="1823">
        <f t="shared" si="185"/>
        <v>0</v>
      </c>
      <c r="S883" s="1053"/>
      <c r="T883" s="2035">
        <f t="shared" si="186"/>
        <v>0</v>
      </c>
    </row>
    <row r="884" spans="1:20" ht="22.2" hidden="1" customHeight="1">
      <c r="A884" s="59"/>
      <c r="B884" s="1577" t="s">
        <v>415</v>
      </c>
      <c r="C884" s="1013" t="str">
        <f t="shared" si="180"/>
        <v xml:space="preserve"> </v>
      </c>
      <c r="D884" s="1535">
        <v>4</v>
      </c>
      <c r="E884" s="1044"/>
      <c r="F884" s="1056" t="str">
        <f>VLOOKUP($B884,DG!A:D,DG!$C$2,)</f>
        <v>Boulon 16x300VRS+ 4 long đền vuông D18-50x50x3/Zn</v>
      </c>
      <c r="G884" s="1044" t="str">
        <f>VLOOKUP($B884,DG!A:D,DG!$D$2,)</f>
        <v>bộ</v>
      </c>
      <c r="H884" s="1823">
        <f t="shared" si="181"/>
        <v>0</v>
      </c>
      <c r="I884" s="1823">
        <f t="shared" si="182"/>
        <v>0</v>
      </c>
      <c r="J884" s="1823">
        <f t="shared" si="182"/>
        <v>0</v>
      </c>
      <c r="K884" s="1823">
        <f t="shared" si="183"/>
        <v>0</v>
      </c>
      <c r="L884" s="1823">
        <f t="shared" si="184"/>
        <v>0</v>
      </c>
      <c r="M884" s="1823">
        <f t="shared" si="184"/>
        <v>0</v>
      </c>
      <c r="N884" s="1823">
        <f t="shared" si="184"/>
        <v>0</v>
      </c>
      <c r="O884" s="1823"/>
      <c r="P884" s="1823">
        <f t="shared" si="185"/>
        <v>0</v>
      </c>
      <c r="Q884" s="1823">
        <f t="shared" si="185"/>
        <v>0</v>
      </c>
      <c r="R884" s="1823">
        <f t="shared" si="185"/>
        <v>0</v>
      </c>
      <c r="S884" s="1053"/>
      <c r="T884" s="2035">
        <f t="shared" si="186"/>
        <v>0</v>
      </c>
    </row>
    <row r="885" spans="1:20" ht="22.2" hidden="1" customHeight="1">
      <c r="A885" s="59"/>
      <c r="B885" s="1577" t="s">
        <v>1790</v>
      </c>
      <c r="C885" s="1013" t="str">
        <f t="shared" si="180"/>
        <v xml:space="preserve"> </v>
      </c>
      <c r="D885" s="1535">
        <v>4</v>
      </c>
      <c r="E885" s="1044"/>
      <c r="F885" s="1056" t="str">
        <f>VLOOKUP($B885,DG!A:D,DG!$C$2,)</f>
        <v>Boulon 16x50+ 2 long đền vuông D18-50x50x3/Zn</v>
      </c>
      <c r="G885" s="1044" t="str">
        <f>VLOOKUP($B885,DG!A:D,DG!$D$2,)</f>
        <v>bộ</v>
      </c>
      <c r="H885" s="1823">
        <f t="shared" si="181"/>
        <v>0</v>
      </c>
      <c r="I885" s="1823">
        <f t="shared" si="182"/>
        <v>0</v>
      </c>
      <c r="J885" s="1823">
        <f t="shared" si="182"/>
        <v>0</v>
      </c>
      <c r="K885" s="1823">
        <f t="shared" si="183"/>
        <v>0</v>
      </c>
      <c r="L885" s="1823">
        <f t="shared" si="184"/>
        <v>0</v>
      </c>
      <c r="M885" s="1823">
        <f t="shared" si="184"/>
        <v>0</v>
      </c>
      <c r="N885" s="1823">
        <f t="shared" si="184"/>
        <v>0</v>
      </c>
      <c r="O885" s="1823"/>
      <c r="P885" s="1823">
        <f t="shared" si="185"/>
        <v>0</v>
      </c>
      <c r="Q885" s="1823">
        <f t="shared" si="185"/>
        <v>0</v>
      </c>
      <c r="R885" s="1823">
        <f t="shared" si="185"/>
        <v>0</v>
      </c>
      <c r="S885" s="1053"/>
      <c r="T885" s="2035">
        <f t="shared" si="186"/>
        <v>0</v>
      </c>
    </row>
    <row r="886" spans="1:20" ht="22.2" hidden="1" customHeight="1">
      <c r="A886" s="59"/>
      <c r="B886" s="1577" t="s">
        <v>518</v>
      </c>
      <c r="C886" s="1013" t="str">
        <f t="shared" si="180"/>
        <v xml:space="preserve"> </v>
      </c>
      <c r="D886" s="1535">
        <v>1</v>
      </c>
      <c r="E886" s="1044" t="str">
        <f>VLOOKUP($B886,DG!A:D,DG!$B$2,)</f>
        <v>05.6203</v>
      </c>
      <c r="F886" s="1049" t="str">
        <f>VLOOKUP($B886,DG!A:D,DG!$C$2,)</f>
        <v>Lắp xà néo ≤ 100kg</v>
      </c>
      <c r="G886" s="1044" t="str">
        <f>VLOOKUP($B886,DG!A:D,DG!$D$2,)</f>
        <v>bộ</v>
      </c>
      <c r="H886" s="1823"/>
      <c r="I886" s="1823"/>
      <c r="J886" s="1823"/>
      <c r="K886" s="1823"/>
      <c r="L886" s="1823"/>
      <c r="M886" s="1823"/>
      <c r="N886" s="1823"/>
      <c r="O886" s="1823"/>
      <c r="P886" s="1823"/>
      <c r="Q886" s="1058"/>
      <c r="R886" s="1058"/>
      <c r="S886" s="1058"/>
      <c r="T886" s="2035">
        <f t="shared" si="186"/>
        <v>0</v>
      </c>
    </row>
    <row r="887" spans="1:20" ht="22.2" hidden="1" customHeight="1">
      <c r="A887" s="59"/>
      <c r="B887" s="1577" t="s">
        <v>2000</v>
      </c>
      <c r="C887" s="1013" t="str">
        <f t="shared" si="180"/>
        <v xml:space="preserve"> </v>
      </c>
      <c r="D887" s="1533">
        <f>D888</f>
        <v>0</v>
      </c>
      <c r="E887" s="1044" t="str">
        <f>VLOOKUP($B887,DG!A:D,DG!$B$2,)</f>
        <v>02.1115</v>
      </c>
      <c r="F887" s="1049" t="str">
        <f>VLOOKUP($B887,DG!A:D,DG!$C$2,)</f>
        <v>Bốc dỡ xà, thép thanh</v>
      </c>
      <c r="G887" s="1044" t="str">
        <f>VLOOKUP($B887,DG!A:D,DG!$D$2,)</f>
        <v>tấn</v>
      </c>
      <c r="H887" s="1823"/>
      <c r="I887" s="1823"/>
      <c r="J887" s="1823"/>
      <c r="K887" s="1823"/>
      <c r="L887" s="1823"/>
      <c r="M887" s="1823"/>
      <c r="N887" s="1823"/>
      <c r="O887" s="1823"/>
      <c r="P887" s="1823"/>
      <c r="Q887" s="1058"/>
      <c r="R887" s="1058"/>
      <c r="S887" s="1058"/>
      <c r="T887" s="2035">
        <f t="shared" si="186"/>
        <v>0</v>
      </c>
    </row>
    <row r="888" spans="1:20" ht="22.2" hidden="1" customHeight="1">
      <c r="A888" s="59"/>
      <c r="B888" s="1588" t="s">
        <v>2001</v>
      </c>
      <c r="C888" s="1013" t="str">
        <f t="shared" si="180"/>
        <v xml:space="preserve"> </v>
      </c>
      <c r="D888" s="1533">
        <f>ROUND(SUM(D880:D881)*1.05/1000,3)*0</f>
        <v>0</v>
      </c>
      <c r="E888" s="1044" t="str">
        <f>VLOOKUP($B888,DG!A:C,2,)</f>
        <v>02.1361</v>
      </c>
      <c r="F888" s="1049" t="str">
        <f>VLOOKUP($B888,DG!A:C,3,)</f>
        <v>V/c xà vào vị trí (cư ly &lt;=100m)</v>
      </c>
      <c r="G888" s="1044" t="str">
        <f>VLOOKUP($B888,DG!A:D,4,0)</f>
        <v>tấn</v>
      </c>
      <c r="H888" s="1823"/>
      <c r="I888" s="1823"/>
      <c r="J888" s="1823"/>
      <c r="K888" s="1823"/>
      <c r="L888" s="1823"/>
      <c r="M888" s="1823"/>
      <c r="N888" s="1823"/>
      <c r="O888" s="1823"/>
      <c r="P888" s="1823"/>
      <c r="Q888" s="1058"/>
      <c r="R888" s="1058"/>
      <c r="S888" s="1058"/>
      <c r="T888" s="2035">
        <f t="shared" si="186"/>
        <v>0</v>
      </c>
    </row>
    <row r="889" spans="1:20" ht="22.2" hidden="1" customHeight="1">
      <c r="A889" s="59"/>
      <c r="B889" s="1588" t="s">
        <v>635</v>
      </c>
      <c r="C889" s="1013" t="str">
        <f t="shared" si="180"/>
        <v xml:space="preserve"> </v>
      </c>
      <c r="D889" s="1534">
        <f>0.05*0</f>
        <v>0</v>
      </c>
      <c r="E889" s="1044" t="str">
        <f>VLOOKUP($B889,DG!A:C,2,)</f>
        <v>02.1482</v>
      </c>
      <c r="F889" s="1049" t="str">
        <f>VLOOKUP($B889,DG!A:C,3,)</f>
        <v>V/c dụng cụ thi công vào vị trí (cự ly &lt;=100m)</v>
      </c>
      <c r="G889" s="1044" t="str">
        <f>VLOOKUP($B889,DG!A:D,4,0)</f>
        <v>tấn</v>
      </c>
      <c r="H889" s="1823"/>
      <c r="I889" s="1823"/>
      <c r="J889" s="1823"/>
      <c r="K889" s="1823"/>
      <c r="L889" s="1823"/>
      <c r="M889" s="1823"/>
      <c r="N889" s="1823"/>
      <c r="O889" s="1823"/>
      <c r="P889" s="1823"/>
      <c r="Q889" s="1058"/>
      <c r="R889" s="1058"/>
      <c r="S889" s="1058"/>
      <c r="T889" s="2035">
        <f t="shared" si="186"/>
        <v>0</v>
      </c>
    </row>
    <row r="890" spans="1:20" ht="22.2" hidden="1" customHeight="1">
      <c r="A890" s="56" t="s">
        <v>2302</v>
      </c>
      <c r="B890" s="1574" t="s">
        <v>2302</v>
      </c>
      <c r="C890" s="1013" t="str">
        <f t="shared" si="168"/>
        <v xml:space="preserve"> </v>
      </c>
      <c r="D890" s="1532"/>
      <c r="E890" s="1045"/>
      <c r="F890" s="1392" t="s">
        <v>2431</v>
      </c>
      <c r="G890" s="1046" t="s">
        <v>2391</v>
      </c>
      <c r="H890" s="1821">
        <f>SUM(I890:O890)</f>
        <v>0</v>
      </c>
      <c r="I890" s="1822"/>
      <c r="J890" s="1822"/>
      <c r="K890" s="1822">
        <f>IFERROR(HLOOKUP(B890,pp3p1m!$1:$3,3,0),0)</f>
        <v>0</v>
      </c>
      <c r="L890" s="1822">
        <f>IFERROR(HLOOKUP(chitiet!B890,pp1p!$1:$3,3,0),0)</f>
        <v>0</v>
      </c>
      <c r="M890" s="1822"/>
      <c r="N890" s="1822"/>
      <c r="O890" s="1822"/>
      <c r="P890" s="1822">
        <f>H890+Q890-R890</f>
        <v>0</v>
      </c>
      <c r="Q890" s="1047"/>
      <c r="R890" s="1047"/>
      <c r="S890" s="1047"/>
      <c r="T890" s="2035">
        <f>IFERROR(HLOOKUP(B890,pp1p!$1:$3,3,0),0)+IFERROR(HLOOKUP(B890,pp3p1m!$1:$3,3,0),0)</f>
        <v>0</v>
      </c>
    </row>
    <row r="891" spans="1:20" ht="22.2" hidden="1" customHeight="1">
      <c r="A891" s="59"/>
      <c r="B891" s="1577" t="s">
        <v>109</v>
      </c>
      <c r="C891" s="1013" t="str">
        <f t="shared" si="168"/>
        <v xml:space="preserve"> </v>
      </c>
      <c r="D891" s="1534">
        <f>9.02*(2.4+4*0.07)</f>
        <v>24.173599999999997</v>
      </c>
      <c r="E891" s="1044"/>
      <c r="F891" s="1056" t="str">
        <f>VLOOKUP($B891,DG!A:D,DG!$C$2,)</f>
        <v>Sắt góc L75 x75 x8</v>
      </c>
      <c r="G891" s="1044" t="str">
        <f>VLOOKUP($B891,DG!A:D,DG!$D$2,)</f>
        <v>kg</v>
      </c>
      <c r="H891" s="1823">
        <f t="shared" ref="H891:N894" si="187">H$890*$D891</f>
        <v>0</v>
      </c>
      <c r="I891" s="1823">
        <f t="shared" si="187"/>
        <v>0</v>
      </c>
      <c r="J891" s="1823">
        <f t="shared" si="187"/>
        <v>0</v>
      </c>
      <c r="K891" s="1823">
        <f t="shared" si="187"/>
        <v>0</v>
      </c>
      <c r="L891" s="1823">
        <f t="shared" si="187"/>
        <v>0</v>
      </c>
      <c r="M891" s="1823">
        <f t="shared" si="187"/>
        <v>0</v>
      </c>
      <c r="N891" s="1823">
        <f t="shared" si="187"/>
        <v>0</v>
      </c>
      <c r="O891" s="1823"/>
      <c r="P891" s="1823"/>
      <c r="Q891" s="1053"/>
      <c r="R891" s="1053"/>
      <c r="S891" s="1053"/>
      <c r="T891" s="2035">
        <f t="shared" si="175"/>
        <v>0</v>
      </c>
    </row>
    <row r="892" spans="1:20" ht="22.2" hidden="1" customHeight="1">
      <c r="A892" s="59"/>
      <c r="B892" s="1577" t="s">
        <v>457</v>
      </c>
      <c r="C892" s="1013" t="str">
        <f t="shared" si="168"/>
        <v xml:space="preserve"> </v>
      </c>
      <c r="D892" s="1534">
        <f>3.77*0.92*2</f>
        <v>6.9368000000000007</v>
      </c>
      <c r="E892" s="1044"/>
      <c r="F892" s="1056" t="str">
        <f>VLOOKUP($B892,DG!A:D,DG!$C$2,)&amp;" (chống 920)"</f>
        <v>Sắt góc L50 x50 x5 (chống 920)</v>
      </c>
      <c r="G892" s="1044" t="str">
        <f>VLOOKUP($B892,DG!A:D,DG!$D$2,)</f>
        <v>kg</v>
      </c>
      <c r="H892" s="1823">
        <f t="shared" si="187"/>
        <v>0</v>
      </c>
      <c r="I892" s="1823">
        <f t="shared" si="187"/>
        <v>0</v>
      </c>
      <c r="J892" s="1823">
        <f t="shared" si="187"/>
        <v>0</v>
      </c>
      <c r="K892" s="1823">
        <f t="shared" si="187"/>
        <v>0</v>
      </c>
      <c r="L892" s="1823">
        <f t="shared" si="187"/>
        <v>0</v>
      </c>
      <c r="M892" s="1823">
        <f t="shared" si="187"/>
        <v>0</v>
      </c>
      <c r="N892" s="1823">
        <f t="shared" si="187"/>
        <v>0</v>
      </c>
      <c r="O892" s="1823"/>
      <c r="P892" s="1823"/>
      <c r="Q892" s="1053"/>
      <c r="R892" s="1053"/>
      <c r="S892" s="1053"/>
      <c r="T892" s="2035">
        <f t="shared" si="175"/>
        <v>0</v>
      </c>
    </row>
    <row r="893" spans="1:20" ht="22.2" hidden="1" customHeight="1">
      <c r="A893" s="59"/>
      <c r="B893" s="1577" t="s">
        <v>1613</v>
      </c>
      <c r="C893" s="1013" t="str">
        <f t="shared" si="168"/>
        <v xml:space="preserve"> </v>
      </c>
      <c r="D893" s="1535">
        <v>2</v>
      </c>
      <c r="E893" s="1044"/>
      <c r="F893" s="1056" t="str">
        <f>VLOOKUP($B893,DG!A:D,DG!$C$2,)</f>
        <v>Boulon 16x300+ 2 long đền vuông D18-50x50x3/Zn</v>
      </c>
      <c r="G893" s="1044" t="str">
        <f>VLOOKUP($B893,DG!A:D,DG!$D$2,)</f>
        <v>bộ</v>
      </c>
      <c r="H893" s="1823">
        <f t="shared" si="187"/>
        <v>0</v>
      </c>
      <c r="I893" s="1823">
        <f t="shared" si="187"/>
        <v>0</v>
      </c>
      <c r="J893" s="1823">
        <f t="shared" si="187"/>
        <v>0</v>
      </c>
      <c r="K893" s="1823">
        <f t="shared" si="187"/>
        <v>0</v>
      </c>
      <c r="L893" s="1823">
        <f t="shared" si="187"/>
        <v>0</v>
      </c>
      <c r="M893" s="1823">
        <f t="shared" si="187"/>
        <v>0</v>
      </c>
      <c r="N893" s="1823">
        <f t="shared" si="187"/>
        <v>0</v>
      </c>
      <c r="O893" s="1823"/>
      <c r="P893" s="1823"/>
      <c r="Q893" s="1053"/>
      <c r="R893" s="1053"/>
      <c r="S893" s="1053"/>
      <c r="T893" s="2035">
        <f t="shared" si="175"/>
        <v>0</v>
      </c>
    </row>
    <row r="894" spans="1:20" ht="22.2" hidden="1" customHeight="1">
      <c r="A894" s="59"/>
      <c r="B894" s="1577" t="s">
        <v>1790</v>
      </c>
      <c r="C894" s="1013" t="str">
        <f t="shared" si="168"/>
        <v xml:space="preserve"> </v>
      </c>
      <c r="D894" s="1535">
        <v>2</v>
      </c>
      <c r="E894" s="1044"/>
      <c r="F894" s="1056" t="str">
        <f>VLOOKUP($B894,DG!A:D,DG!$C$2,)</f>
        <v>Boulon 16x50+ 2 long đền vuông D18-50x50x3/Zn</v>
      </c>
      <c r="G894" s="1044" t="str">
        <f>VLOOKUP($B894,DG!A:D,DG!$D$2,)</f>
        <v>bộ</v>
      </c>
      <c r="H894" s="1823">
        <f t="shared" si="187"/>
        <v>0</v>
      </c>
      <c r="I894" s="1823">
        <f t="shared" si="187"/>
        <v>0</v>
      </c>
      <c r="J894" s="1823">
        <f t="shared" si="187"/>
        <v>0</v>
      </c>
      <c r="K894" s="1823">
        <f t="shared" si="187"/>
        <v>0</v>
      </c>
      <c r="L894" s="1823">
        <f t="shared" si="187"/>
        <v>0</v>
      </c>
      <c r="M894" s="1823">
        <f t="shared" si="187"/>
        <v>0</v>
      </c>
      <c r="N894" s="1823">
        <f t="shared" si="187"/>
        <v>0</v>
      </c>
      <c r="O894" s="1823"/>
      <c r="P894" s="1823"/>
      <c r="Q894" s="1053"/>
      <c r="R894" s="1053"/>
      <c r="S894" s="1053"/>
      <c r="T894" s="2035">
        <f t="shared" si="175"/>
        <v>0</v>
      </c>
    </row>
    <row r="895" spans="1:20" ht="22.2" hidden="1" customHeight="1">
      <c r="A895" s="59"/>
      <c r="B895" s="1577" t="s">
        <v>516</v>
      </c>
      <c r="C895" s="1013" t="str">
        <f t="shared" si="168"/>
        <v xml:space="preserve"> </v>
      </c>
      <c r="D895" s="1535">
        <v>1</v>
      </c>
      <c r="E895" s="1044" t="str">
        <f>VLOOKUP($B895,DG!A:D,DG!$B$2,)</f>
        <v>05.6102</v>
      </c>
      <c r="F895" s="1049" t="str">
        <f>VLOOKUP($B895,DG!A:D,DG!$C$2,)</f>
        <v>Lắp xà đỡ ≤ 50kg</v>
      </c>
      <c r="G895" s="1044" t="str">
        <f>VLOOKUP($B895,DG!A:D,DG!$D$2,)</f>
        <v>bộ</v>
      </c>
      <c r="H895" s="1823"/>
      <c r="I895" s="1823"/>
      <c r="J895" s="1823"/>
      <c r="K895" s="1823"/>
      <c r="L895" s="1823"/>
      <c r="M895" s="1823"/>
      <c r="N895" s="1823"/>
      <c r="O895" s="1823"/>
      <c r="P895" s="1823"/>
      <c r="Q895" s="1058"/>
      <c r="R895" s="1058"/>
      <c r="S895" s="1058"/>
      <c r="T895" s="2035">
        <f t="shared" si="175"/>
        <v>0</v>
      </c>
    </row>
    <row r="896" spans="1:20" ht="22.2" hidden="1" customHeight="1">
      <c r="A896" s="59"/>
      <c r="B896" s="1577" t="s">
        <v>2000</v>
      </c>
      <c r="C896" s="1013" t="str">
        <f t="shared" si="168"/>
        <v xml:space="preserve"> </v>
      </c>
      <c r="D896" s="1533"/>
      <c r="E896" s="1044" t="str">
        <f>VLOOKUP($B896,DG!A:D,DG!$B$2,)</f>
        <v>02.1115</v>
      </c>
      <c r="F896" s="1049" t="str">
        <f>VLOOKUP($B896,DG!A:D,DG!$C$2,)</f>
        <v>Bốc dỡ xà, thép thanh</v>
      </c>
      <c r="G896" s="1044" t="str">
        <f>VLOOKUP($B896,DG!A:D,DG!$D$2,)</f>
        <v>tấn</v>
      </c>
      <c r="H896" s="1823"/>
      <c r="I896" s="1823"/>
      <c r="J896" s="1823"/>
      <c r="K896" s="1823"/>
      <c r="L896" s="1823"/>
      <c r="M896" s="1823"/>
      <c r="N896" s="1823"/>
      <c r="O896" s="1823"/>
      <c r="P896" s="1823"/>
      <c r="Q896" s="1058"/>
      <c r="R896" s="1058"/>
      <c r="S896" s="1058"/>
      <c r="T896" s="2035">
        <f t="shared" si="175"/>
        <v>0</v>
      </c>
    </row>
    <row r="897" spans="1:20" ht="22.2" hidden="1" customHeight="1">
      <c r="A897" s="59"/>
      <c r="B897" s="1588" t="s">
        <v>2001</v>
      </c>
      <c r="C897" s="1013" t="str">
        <f t="shared" si="168"/>
        <v xml:space="preserve"> </v>
      </c>
      <c r="D897" s="1533"/>
      <c r="E897" s="1044" t="str">
        <f>VLOOKUP($B897,DG!A:C,2,)</f>
        <v>02.1361</v>
      </c>
      <c r="F897" s="1049" t="str">
        <f>VLOOKUP($B897,DG!A:C,3,)</f>
        <v>V/c xà vào vị trí (cư ly &lt;=100m)</v>
      </c>
      <c r="G897" s="1044" t="str">
        <f>VLOOKUP($B897,DG!A:D,4,0)</f>
        <v>tấn</v>
      </c>
      <c r="H897" s="1823"/>
      <c r="I897" s="1823"/>
      <c r="J897" s="1823"/>
      <c r="K897" s="1823"/>
      <c r="L897" s="1823"/>
      <c r="M897" s="1823"/>
      <c r="N897" s="1823"/>
      <c r="O897" s="1823"/>
      <c r="P897" s="1823"/>
      <c r="Q897" s="1058"/>
      <c r="R897" s="1058"/>
      <c r="S897" s="1058"/>
      <c r="T897" s="2035">
        <f t="shared" si="175"/>
        <v>0</v>
      </c>
    </row>
    <row r="898" spans="1:20" ht="22.2" hidden="1" customHeight="1">
      <c r="A898" s="59"/>
      <c r="B898" s="1588" t="s">
        <v>635</v>
      </c>
      <c r="C898" s="1013" t="str">
        <f t="shared" si="168"/>
        <v xml:space="preserve"> </v>
      </c>
      <c r="D898" s="1534"/>
      <c r="E898" s="1044" t="str">
        <f>VLOOKUP($B898,DG!A:C,2,)</f>
        <v>02.1482</v>
      </c>
      <c r="F898" s="1049" t="str">
        <f>VLOOKUP($B898,DG!A:C,3,)</f>
        <v>V/c dụng cụ thi công vào vị trí (cự ly &lt;=100m)</v>
      </c>
      <c r="G898" s="1044" t="str">
        <f>VLOOKUP($B898,DG!A:D,4,0)</f>
        <v>tấn</v>
      </c>
      <c r="H898" s="1823"/>
      <c r="I898" s="1823"/>
      <c r="J898" s="1823"/>
      <c r="K898" s="1823"/>
      <c r="L898" s="1823"/>
      <c r="M898" s="1823"/>
      <c r="N898" s="1823"/>
      <c r="O898" s="1823"/>
      <c r="P898" s="1823"/>
      <c r="Q898" s="1058"/>
      <c r="R898" s="1058"/>
      <c r="S898" s="1058"/>
      <c r="T898" s="2035">
        <f t="shared" si="175"/>
        <v>0</v>
      </c>
    </row>
    <row r="899" spans="1:20" ht="22.2" hidden="1" customHeight="1">
      <c r="A899" s="56" t="s">
        <v>910</v>
      </c>
      <c r="B899" s="1574" t="s">
        <v>910</v>
      </c>
      <c r="C899" s="1013" t="str">
        <f t="shared" si="168"/>
        <v xml:space="preserve"> </v>
      </c>
      <c r="D899" s="1532"/>
      <c r="E899" s="1045"/>
      <c r="F899" s="1392" t="s">
        <v>2432</v>
      </c>
      <c r="G899" s="1046" t="s">
        <v>2391</v>
      </c>
      <c r="H899" s="1821">
        <f>SUM(I899:O899)</f>
        <v>0</v>
      </c>
      <c r="I899" s="1822"/>
      <c r="J899" s="1822"/>
      <c r="K899" s="1822">
        <f>IFERROR(HLOOKUP(B899,pp3p1m!$1:$3,3,0),0)</f>
        <v>0</v>
      </c>
      <c r="L899" s="1822">
        <f>IFERROR(HLOOKUP(chitiet!B899,pp1p!$1:$3,3,0),0)</f>
        <v>0</v>
      </c>
      <c r="M899" s="1822"/>
      <c r="N899" s="1822"/>
      <c r="O899" s="1822"/>
      <c r="P899" s="1822">
        <f>H899+Q899-R899</f>
        <v>0</v>
      </c>
      <c r="Q899" s="1047"/>
      <c r="R899" s="1047"/>
      <c r="S899" s="1047"/>
      <c r="T899" s="2035">
        <f>IFERROR(HLOOKUP(B899,pp1p!$1:$3,3,0),0)+IFERROR(HLOOKUP(B899,pp3p1m!$1:$3,3,0),0)</f>
        <v>0</v>
      </c>
    </row>
    <row r="900" spans="1:20" ht="22.2" hidden="1" customHeight="1">
      <c r="A900" s="59"/>
      <c r="B900" s="1577" t="s">
        <v>109</v>
      </c>
      <c r="C900" s="1013" t="str">
        <f t="shared" si="168"/>
        <v xml:space="preserve"> </v>
      </c>
      <c r="D900" s="1534">
        <f>9.02*(2.4+4*0.07)*2</f>
        <v>48.347199999999994</v>
      </c>
      <c r="E900" s="1044"/>
      <c r="F900" s="1056" t="str">
        <f>VLOOKUP($B900,DG!A:D,DG!$C$2,)</f>
        <v>Sắt góc L75 x75 x8</v>
      </c>
      <c r="G900" s="1044" t="str">
        <f>VLOOKUP($B900,DG!A:D,DG!$D$2,)</f>
        <v>kg</v>
      </c>
      <c r="H900" s="1823">
        <f t="shared" ref="H900:N904" si="188">H$899*$D900</f>
        <v>0</v>
      </c>
      <c r="I900" s="1823">
        <f t="shared" si="188"/>
        <v>0</v>
      </c>
      <c r="J900" s="1823">
        <f t="shared" si="188"/>
        <v>0</v>
      </c>
      <c r="K900" s="1823">
        <f t="shared" si="188"/>
        <v>0</v>
      </c>
      <c r="L900" s="1823">
        <f t="shared" si="188"/>
        <v>0</v>
      </c>
      <c r="M900" s="1823">
        <f t="shared" si="188"/>
        <v>0</v>
      </c>
      <c r="N900" s="1823">
        <f t="shared" si="188"/>
        <v>0</v>
      </c>
      <c r="O900" s="1823"/>
      <c r="P900" s="1823"/>
      <c r="Q900" s="1053"/>
      <c r="R900" s="1053"/>
      <c r="S900" s="1053"/>
      <c r="T900" s="2035">
        <f t="shared" si="175"/>
        <v>0</v>
      </c>
    </row>
    <row r="901" spans="1:20" ht="22.2" hidden="1" customHeight="1">
      <c r="A901" s="59"/>
      <c r="B901" s="1577" t="s">
        <v>457</v>
      </c>
      <c r="C901" s="1013" t="str">
        <f t="shared" si="168"/>
        <v xml:space="preserve"> </v>
      </c>
      <c r="D901" s="1534">
        <f>3.77*0.92*4</f>
        <v>13.873600000000001</v>
      </c>
      <c r="E901" s="1044"/>
      <c r="F901" s="1056" t="str">
        <f>VLOOKUP($B901,DG!A:D,DG!$C$2,)&amp;" (chống 920)"</f>
        <v>Sắt góc L50 x50 x5 (chống 920)</v>
      </c>
      <c r="G901" s="1044" t="str">
        <f>VLOOKUP($B901,DG!A:D,DG!$D$2,)</f>
        <v>kg</v>
      </c>
      <c r="H901" s="1823">
        <f t="shared" si="188"/>
        <v>0</v>
      </c>
      <c r="I901" s="1823">
        <f t="shared" si="188"/>
        <v>0</v>
      </c>
      <c r="J901" s="1823">
        <f t="shared" si="188"/>
        <v>0</v>
      </c>
      <c r="K901" s="1823">
        <f t="shared" si="188"/>
        <v>0</v>
      </c>
      <c r="L901" s="1823">
        <f t="shared" si="188"/>
        <v>0</v>
      </c>
      <c r="M901" s="1823">
        <f t="shared" si="188"/>
        <v>0</v>
      </c>
      <c r="N901" s="1823">
        <f t="shared" si="188"/>
        <v>0</v>
      </c>
      <c r="O901" s="1823"/>
      <c r="P901" s="1823"/>
      <c r="Q901" s="1053"/>
      <c r="R901" s="1053"/>
      <c r="S901" s="1053"/>
      <c r="T901" s="2035">
        <f t="shared" si="175"/>
        <v>0</v>
      </c>
    </row>
    <row r="902" spans="1:20" ht="22.2" hidden="1" customHeight="1">
      <c r="A902" s="59"/>
      <c r="B902" s="1577" t="s">
        <v>1612</v>
      </c>
      <c r="C902" s="1013" t="str">
        <f t="shared" si="168"/>
        <v xml:space="preserve"> </v>
      </c>
      <c r="D902" s="1535">
        <v>1</v>
      </c>
      <c r="E902" s="1044"/>
      <c r="F902" s="1056" t="str">
        <f>VLOOKUP($B902,DG!A:D,DG!$C$2,)</f>
        <v>Boulon 16x250+ 2 long đền vuông D18-50x50x3/Zn</v>
      </c>
      <c r="G902" s="1044" t="str">
        <f>VLOOKUP($B902,DG!A:D,DG!$D$2,)</f>
        <v>bộ</v>
      </c>
      <c r="H902" s="1823">
        <f t="shared" si="188"/>
        <v>0</v>
      </c>
      <c r="I902" s="1823">
        <f t="shared" si="188"/>
        <v>0</v>
      </c>
      <c r="J902" s="1823">
        <f t="shared" si="188"/>
        <v>0</v>
      </c>
      <c r="K902" s="1823">
        <f t="shared" si="188"/>
        <v>0</v>
      </c>
      <c r="L902" s="1823">
        <f t="shared" si="188"/>
        <v>0</v>
      </c>
      <c r="M902" s="1823">
        <f t="shared" si="188"/>
        <v>0</v>
      </c>
      <c r="N902" s="1823">
        <f t="shared" si="188"/>
        <v>0</v>
      </c>
      <c r="O902" s="1823"/>
      <c r="P902" s="1823"/>
      <c r="Q902" s="1053"/>
      <c r="R902" s="1053"/>
      <c r="S902" s="1053"/>
      <c r="T902" s="2035">
        <f t="shared" si="175"/>
        <v>0</v>
      </c>
    </row>
    <row r="903" spans="1:20" ht="22.2" hidden="1" customHeight="1">
      <c r="A903" s="59"/>
      <c r="B903" s="1577" t="s">
        <v>1613</v>
      </c>
      <c r="C903" s="1013" t="str">
        <f t="shared" si="168"/>
        <v xml:space="preserve"> </v>
      </c>
      <c r="D903" s="1535">
        <v>1</v>
      </c>
      <c r="E903" s="1044"/>
      <c r="F903" s="1056" t="str">
        <f>VLOOKUP($B903,DG!A:D,DG!$C$2,)</f>
        <v>Boulon 16x300+ 2 long đền vuông D18-50x50x3/Zn</v>
      </c>
      <c r="G903" s="1044" t="str">
        <f>VLOOKUP($B903,DG!A:D,DG!$D$2,)</f>
        <v>bộ</v>
      </c>
      <c r="H903" s="1823">
        <f t="shared" si="188"/>
        <v>0</v>
      </c>
      <c r="I903" s="1823">
        <f t="shared" si="188"/>
        <v>0</v>
      </c>
      <c r="J903" s="1823">
        <f t="shared" si="188"/>
        <v>0</v>
      </c>
      <c r="K903" s="1823">
        <f t="shared" si="188"/>
        <v>0</v>
      </c>
      <c r="L903" s="1823">
        <f t="shared" si="188"/>
        <v>0</v>
      </c>
      <c r="M903" s="1823">
        <f t="shared" si="188"/>
        <v>0</v>
      </c>
      <c r="N903" s="1823">
        <f t="shared" si="188"/>
        <v>0</v>
      </c>
      <c r="O903" s="1823"/>
      <c r="P903" s="1823"/>
      <c r="Q903" s="1053"/>
      <c r="R903" s="1053"/>
      <c r="S903" s="1053"/>
      <c r="T903" s="2035">
        <f t="shared" si="175"/>
        <v>0</v>
      </c>
    </row>
    <row r="904" spans="1:20" ht="22.2" hidden="1" customHeight="1">
      <c r="A904" s="59"/>
      <c r="B904" s="1577" t="s">
        <v>415</v>
      </c>
      <c r="C904" s="1013" t="str">
        <f t="shared" si="168"/>
        <v xml:space="preserve"> </v>
      </c>
      <c r="D904" s="1535">
        <v>4</v>
      </c>
      <c r="E904" s="1044"/>
      <c r="F904" s="1056" t="str">
        <f>VLOOKUP($B904,DG!A:D,DG!$C$2,)</f>
        <v>Boulon 16x300VRS+ 4 long đền vuông D18-50x50x3/Zn</v>
      </c>
      <c r="G904" s="1044" t="str">
        <f>VLOOKUP($B904,DG!A:D,DG!$D$2,)</f>
        <v>bộ</v>
      </c>
      <c r="H904" s="1823">
        <f t="shared" si="188"/>
        <v>0</v>
      </c>
      <c r="I904" s="1823">
        <f t="shared" si="188"/>
        <v>0</v>
      </c>
      <c r="J904" s="1823">
        <f t="shared" si="188"/>
        <v>0</v>
      </c>
      <c r="K904" s="1823">
        <f t="shared" si="188"/>
        <v>0</v>
      </c>
      <c r="L904" s="1823">
        <f t="shared" si="188"/>
        <v>0</v>
      </c>
      <c r="M904" s="1823">
        <f t="shared" si="188"/>
        <v>0</v>
      </c>
      <c r="N904" s="1823">
        <f t="shared" si="188"/>
        <v>0</v>
      </c>
      <c r="O904" s="1823"/>
      <c r="P904" s="1823"/>
      <c r="Q904" s="1053"/>
      <c r="R904" s="1053"/>
      <c r="S904" s="1053"/>
      <c r="T904" s="2035">
        <f t="shared" si="175"/>
        <v>0</v>
      </c>
    </row>
    <row r="905" spans="1:20" ht="22.2" hidden="1" customHeight="1">
      <c r="A905" s="59"/>
      <c r="B905" s="1577" t="s">
        <v>517</v>
      </c>
      <c r="C905" s="1013" t="str">
        <f t="shared" si="168"/>
        <v xml:space="preserve"> </v>
      </c>
      <c r="D905" s="1535">
        <v>1</v>
      </c>
      <c r="E905" s="1060" t="str">
        <f>VLOOKUP($B905,DG!A:D,DG!$B$2,)</f>
        <v>05.6203</v>
      </c>
      <c r="F905" s="1049" t="str">
        <f>VLOOKUP($B905,DG!A:D,DG!$C$2,)</f>
        <v>Lắp xà néo ≤ 100kg</v>
      </c>
      <c r="G905" s="1044" t="str">
        <f>VLOOKUP($B905,DG!A:D,DG!$D$2,)</f>
        <v>bộ</v>
      </c>
      <c r="H905" s="1823"/>
      <c r="I905" s="1823"/>
      <c r="J905" s="1823"/>
      <c r="K905" s="1823"/>
      <c r="L905" s="1823"/>
      <c r="M905" s="1823"/>
      <c r="N905" s="1823"/>
      <c r="O905" s="1823"/>
      <c r="P905" s="1823"/>
      <c r="Q905" s="1058"/>
      <c r="R905" s="1058"/>
      <c r="S905" s="1058"/>
      <c r="T905" s="2035">
        <f t="shared" si="175"/>
        <v>0</v>
      </c>
    </row>
    <row r="906" spans="1:20" ht="22.2" hidden="1" customHeight="1">
      <c r="A906" s="59"/>
      <c r="B906" s="1577" t="s">
        <v>2000</v>
      </c>
      <c r="C906" s="1013" t="str">
        <f t="shared" si="168"/>
        <v xml:space="preserve"> </v>
      </c>
      <c r="D906" s="1533">
        <f>D907</f>
        <v>0</v>
      </c>
      <c r="E906" s="1044" t="str">
        <f>VLOOKUP($B906,DG!A:D,DG!$B$2,)</f>
        <v>02.1115</v>
      </c>
      <c r="F906" s="1049" t="str">
        <f>VLOOKUP($B906,DG!A:D,DG!$C$2,)</f>
        <v>Bốc dỡ xà, thép thanh</v>
      </c>
      <c r="G906" s="1044" t="str">
        <f>VLOOKUP($B906,DG!A:D,DG!$D$2,)</f>
        <v>tấn</v>
      </c>
      <c r="H906" s="1823"/>
      <c r="I906" s="1823"/>
      <c r="J906" s="1823"/>
      <c r="K906" s="1823"/>
      <c r="L906" s="1823"/>
      <c r="M906" s="1823"/>
      <c r="N906" s="1823"/>
      <c r="O906" s="1823"/>
      <c r="P906" s="1823"/>
      <c r="Q906" s="1058"/>
      <c r="R906" s="1058"/>
      <c r="S906" s="1058"/>
      <c r="T906" s="2035">
        <f t="shared" si="175"/>
        <v>0</v>
      </c>
    </row>
    <row r="907" spans="1:20" ht="22.2" hidden="1" customHeight="1">
      <c r="A907" s="59"/>
      <c r="B907" s="1588" t="s">
        <v>2001</v>
      </c>
      <c r="C907" s="1013" t="str">
        <f t="shared" si="168"/>
        <v xml:space="preserve"> </v>
      </c>
      <c r="D907" s="1533">
        <f>ROUND(SUM(D900:D901)*1.05/1000,3)*0</f>
        <v>0</v>
      </c>
      <c r="E907" s="1044" t="str">
        <f>VLOOKUP($B907,DG!A:C,2,)</f>
        <v>02.1361</v>
      </c>
      <c r="F907" s="1049" t="str">
        <f>VLOOKUP($B907,DG!A:C,3,)</f>
        <v>V/c xà vào vị trí (cư ly &lt;=100m)</v>
      </c>
      <c r="G907" s="1044" t="str">
        <f>VLOOKUP($B907,DG!A:D,4,0)</f>
        <v>tấn</v>
      </c>
      <c r="H907" s="1823"/>
      <c r="I907" s="1823"/>
      <c r="J907" s="1823"/>
      <c r="K907" s="1823"/>
      <c r="L907" s="1823"/>
      <c r="M907" s="1823"/>
      <c r="N907" s="1823"/>
      <c r="O907" s="1823"/>
      <c r="P907" s="1823"/>
      <c r="Q907" s="1058"/>
      <c r="R907" s="1058"/>
      <c r="S907" s="1058"/>
      <c r="T907" s="2035">
        <f t="shared" si="175"/>
        <v>0</v>
      </c>
    </row>
    <row r="908" spans="1:20" ht="22.2" hidden="1" customHeight="1">
      <c r="A908" s="59"/>
      <c r="B908" s="1588" t="s">
        <v>635</v>
      </c>
      <c r="C908" s="1013" t="str">
        <f t="shared" si="168"/>
        <v xml:space="preserve"> </v>
      </c>
      <c r="D908" s="1534">
        <f>0.05*0</f>
        <v>0</v>
      </c>
      <c r="E908" s="1044" t="str">
        <f>VLOOKUP($B908,DG!A:C,2,)</f>
        <v>02.1482</v>
      </c>
      <c r="F908" s="1049" t="str">
        <f>VLOOKUP($B908,DG!A:C,3,)</f>
        <v>V/c dụng cụ thi công vào vị trí (cự ly &lt;=100m)</v>
      </c>
      <c r="G908" s="1044" t="str">
        <f>VLOOKUP($B908,DG!A:D,4,0)</f>
        <v>tấn</v>
      </c>
      <c r="H908" s="1823"/>
      <c r="I908" s="1823"/>
      <c r="J908" s="1823"/>
      <c r="K908" s="1823"/>
      <c r="L908" s="1823"/>
      <c r="M908" s="1823"/>
      <c r="N908" s="1823"/>
      <c r="O908" s="1823"/>
      <c r="P908" s="1823"/>
      <c r="Q908" s="1058"/>
      <c r="R908" s="1058"/>
      <c r="S908" s="1058"/>
      <c r="T908" s="2035">
        <f t="shared" si="175"/>
        <v>0</v>
      </c>
    </row>
    <row r="909" spans="1:20" ht="22.2" hidden="1" customHeight="1">
      <c r="A909" s="56" t="s">
        <v>713</v>
      </c>
      <c r="B909" s="1574" t="s">
        <v>713</v>
      </c>
      <c r="C909" s="1013" t="str">
        <f t="shared" si="168"/>
        <v xml:space="preserve"> </v>
      </c>
      <c r="D909" s="1532"/>
      <c r="E909" s="1045"/>
      <c r="F909" s="1392" t="s">
        <v>2433</v>
      </c>
      <c r="G909" s="1046" t="s">
        <v>2391</v>
      </c>
      <c r="H909" s="1821">
        <f>SUM(I909:O909)</f>
        <v>0</v>
      </c>
      <c r="I909" s="1822"/>
      <c r="J909" s="1822"/>
      <c r="K909" s="1822">
        <f>IFERROR(HLOOKUP(B909,pp3p1m!$1:$3,3,0),0)</f>
        <v>0</v>
      </c>
      <c r="L909" s="1822">
        <f>IFERROR(HLOOKUP(chitiet!B909,pp1p!$1:$3,3,0),0)</f>
        <v>0</v>
      </c>
      <c r="M909" s="1822"/>
      <c r="N909" s="1822"/>
      <c r="O909" s="1822"/>
      <c r="P909" s="1822">
        <f>H909+Q909-R909</f>
        <v>0</v>
      </c>
      <c r="Q909" s="1047"/>
      <c r="R909" s="1047"/>
      <c r="S909" s="1047"/>
      <c r="T909" s="2035">
        <f>IFERROR(HLOOKUP(B909,pp1p!$1:$3,3,0),0)+IFERROR(HLOOKUP(B909,pp3p1m!$1:$3,3,0),0)</f>
        <v>0</v>
      </c>
    </row>
    <row r="910" spans="1:20" ht="22.2" hidden="1" customHeight="1">
      <c r="A910" s="59"/>
      <c r="B910" s="1577" t="s">
        <v>518</v>
      </c>
      <c r="C910" s="1013" t="str">
        <f t="shared" si="168"/>
        <v xml:space="preserve"> </v>
      </c>
      <c r="D910" s="1535">
        <v>1</v>
      </c>
      <c r="E910" s="1044" t="str">
        <f>VLOOKUP($B910,DG!A:D,DG!$B$2,)</f>
        <v>05.6203</v>
      </c>
      <c r="F910" s="1049" t="str">
        <f>VLOOKUP($B910,DG!A:D,DG!$C$2,)</f>
        <v>Lắp xà néo ≤ 100kg</v>
      </c>
      <c r="G910" s="1044" t="str">
        <f>VLOOKUP($B910,DG!A:D,DG!$D$2,)</f>
        <v>bộ</v>
      </c>
      <c r="H910" s="1823"/>
      <c r="I910" s="1823"/>
      <c r="J910" s="1823"/>
      <c r="K910" s="1823"/>
      <c r="L910" s="1823"/>
      <c r="M910" s="1823"/>
      <c r="N910" s="1823"/>
      <c r="O910" s="1823"/>
      <c r="P910" s="1823"/>
      <c r="Q910" s="1058"/>
      <c r="R910" s="1058"/>
      <c r="S910" s="1058"/>
      <c r="T910" s="2035">
        <f t="shared" si="175"/>
        <v>0</v>
      </c>
    </row>
    <row r="911" spans="1:20" ht="22.2" hidden="1" customHeight="1">
      <c r="A911" s="59"/>
      <c r="B911" s="1577" t="s">
        <v>2000</v>
      </c>
      <c r="C911" s="1013" t="str">
        <f t="shared" si="168"/>
        <v xml:space="preserve"> </v>
      </c>
      <c r="D911" s="1533">
        <v>5.0999999999999997E-2</v>
      </c>
      <c r="E911" s="1044" t="str">
        <f>VLOOKUP($B911,DG!A:D,DG!$B$2,)</f>
        <v>02.1115</v>
      </c>
      <c r="F911" s="1049" t="str">
        <f>VLOOKUP($B911,DG!A:D,DG!$C$2,)</f>
        <v>Bốc dỡ xà, thép thanh</v>
      </c>
      <c r="G911" s="1044" t="str">
        <f>VLOOKUP($B911,DG!A:D,DG!$D$2,)</f>
        <v>tấn</v>
      </c>
      <c r="H911" s="1823"/>
      <c r="I911" s="1823"/>
      <c r="J911" s="1823"/>
      <c r="K911" s="1823"/>
      <c r="L911" s="1823"/>
      <c r="M911" s="1823"/>
      <c r="N911" s="1823"/>
      <c r="O911" s="1823"/>
      <c r="P911" s="1823"/>
      <c r="Q911" s="1058"/>
      <c r="R911" s="1058"/>
      <c r="S911" s="1058"/>
      <c r="T911" s="2035">
        <f t="shared" si="175"/>
        <v>0</v>
      </c>
    </row>
    <row r="912" spans="1:20" ht="22.2" hidden="1" customHeight="1">
      <c r="A912" s="59"/>
      <c r="B912" s="1588" t="s">
        <v>2001</v>
      </c>
      <c r="C912" s="1013" t="str">
        <f t="shared" si="168"/>
        <v xml:space="preserve"> </v>
      </c>
      <c r="D912" s="1533">
        <v>5.0999999999999997E-2</v>
      </c>
      <c r="E912" s="1044" t="str">
        <f>VLOOKUP($B912,DG!A:C,2,)</f>
        <v>02.1361</v>
      </c>
      <c r="F912" s="1049" t="str">
        <f>VLOOKUP($B912,DG!A:C,3,)</f>
        <v>V/c xà vào vị trí (cư ly &lt;=100m)</v>
      </c>
      <c r="G912" s="1044" t="str">
        <f>VLOOKUP($B912,DG!A:D,4,0)</f>
        <v>tấn</v>
      </c>
      <c r="H912" s="1823"/>
      <c r="I912" s="1823"/>
      <c r="J912" s="1823"/>
      <c r="K912" s="1823"/>
      <c r="L912" s="1823"/>
      <c r="M912" s="1823"/>
      <c r="N912" s="1823"/>
      <c r="O912" s="1823"/>
      <c r="P912" s="1823"/>
      <c r="Q912" s="1058"/>
      <c r="R912" s="1058"/>
      <c r="S912" s="1058"/>
      <c r="T912" s="2035">
        <f t="shared" si="175"/>
        <v>0</v>
      </c>
    </row>
    <row r="913" spans="1:20" ht="22.2" hidden="1" customHeight="1">
      <c r="A913" s="59"/>
      <c r="B913" s="1588" t="s">
        <v>635</v>
      </c>
      <c r="C913" s="1013" t="str">
        <f t="shared" si="168"/>
        <v xml:space="preserve"> </v>
      </c>
      <c r="D913" s="1534"/>
      <c r="E913" s="1044" t="str">
        <f>VLOOKUP($B913,DG!A:C,2,)</f>
        <v>02.1482</v>
      </c>
      <c r="F913" s="1049" t="str">
        <f>VLOOKUP($B913,DG!A:C,3,)</f>
        <v>V/c dụng cụ thi công vào vị trí (cự ly &lt;=100m)</v>
      </c>
      <c r="G913" s="1044" t="str">
        <f>VLOOKUP($B913,DG!A:D,4,0)</f>
        <v>tấn</v>
      </c>
      <c r="H913" s="1823"/>
      <c r="I913" s="1823"/>
      <c r="J913" s="1823"/>
      <c r="K913" s="1823"/>
      <c r="L913" s="1823"/>
      <c r="M913" s="1823"/>
      <c r="N913" s="1823"/>
      <c r="O913" s="1823"/>
      <c r="P913" s="1823"/>
      <c r="Q913" s="1058"/>
      <c r="R913" s="1058"/>
      <c r="S913" s="1058"/>
      <c r="T913" s="2035">
        <f t="shared" si="175"/>
        <v>0</v>
      </c>
    </row>
    <row r="914" spans="1:20" ht="22.2" hidden="1" customHeight="1">
      <c r="A914" s="56" t="s">
        <v>2303</v>
      </c>
      <c r="B914" s="1574" t="s">
        <v>2303</v>
      </c>
      <c r="C914" s="1013" t="str">
        <f t="shared" si="168"/>
        <v xml:space="preserve"> </v>
      </c>
      <c r="D914" s="1532"/>
      <c r="E914" s="1045"/>
      <c r="F914" s="1392" t="s">
        <v>2434</v>
      </c>
      <c r="G914" s="1046" t="s">
        <v>2391</v>
      </c>
      <c r="H914" s="1821">
        <f>SUM(I914:O914)</f>
        <v>0</v>
      </c>
      <c r="I914" s="1822"/>
      <c r="J914" s="1822"/>
      <c r="K914" s="1822">
        <f>IFERROR(HLOOKUP(B914,pp3p1m!$1:$3,3,0),0)</f>
        <v>0</v>
      </c>
      <c r="L914" s="1822">
        <f>IFERROR(HLOOKUP(chitiet!B914,pp1p!$1:$3,3,0),0)</f>
        <v>0</v>
      </c>
      <c r="M914" s="1822"/>
      <c r="N914" s="1822"/>
      <c r="O914" s="1822"/>
      <c r="P914" s="1822">
        <f>H914+Q914-R914</f>
        <v>0</v>
      </c>
      <c r="Q914" s="1047"/>
      <c r="R914" s="1047"/>
      <c r="S914" s="1047"/>
      <c r="T914" s="2035">
        <f>IFERROR(HLOOKUP(B914,pp1p!$1:$3,3,0),0)+IFERROR(HLOOKUP(B914,pp3p1m!$1:$3,3,0),0)</f>
        <v>0</v>
      </c>
    </row>
    <row r="915" spans="1:20" ht="22.2" hidden="1" customHeight="1">
      <c r="A915" s="59"/>
      <c r="B915" s="1577" t="s">
        <v>109</v>
      </c>
      <c r="C915" s="1013" t="str">
        <f t="shared" si="168"/>
        <v xml:space="preserve"> </v>
      </c>
      <c r="D915" s="1534">
        <f>9.42*(0.8+0.07)</f>
        <v>8.1954000000000011</v>
      </c>
      <c r="E915" s="1044"/>
      <c r="F915" s="1056" t="str">
        <f>VLOOKUP($B915,DG!A:D,DG!$C$2,)</f>
        <v>Sắt góc L75 x75 x8</v>
      </c>
      <c r="G915" s="1044" t="str">
        <f>VLOOKUP($B915,DG!A:D,DG!$D$2,)</f>
        <v>kg</v>
      </c>
      <c r="H915" s="1823">
        <f t="shared" ref="H915:N918" si="189">H$914*$D915</f>
        <v>0</v>
      </c>
      <c r="I915" s="1823">
        <f t="shared" si="189"/>
        <v>0</v>
      </c>
      <c r="J915" s="1823">
        <f t="shared" si="189"/>
        <v>0</v>
      </c>
      <c r="K915" s="1823">
        <f t="shared" si="189"/>
        <v>0</v>
      </c>
      <c r="L915" s="1823">
        <f t="shared" si="189"/>
        <v>0</v>
      </c>
      <c r="M915" s="1823">
        <f t="shared" si="189"/>
        <v>0</v>
      </c>
      <c r="N915" s="1823">
        <f t="shared" si="189"/>
        <v>0</v>
      </c>
      <c r="O915" s="1823"/>
      <c r="P915" s="1823"/>
      <c r="Q915" s="1053"/>
      <c r="R915" s="1053"/>
      <c r="S915" s="1053"/>
      <c r="T915" s="2035">
        <f t="shared" si="175"/>
        <v>0</v>
      </c>
    </row>
    <row r="916" spans="1:20" ht="22.2" hidden="1" customHeight="1">
      <c r="A916" s="59"/>
      <c r="B916" s="1577" t="s">
        <v>457</v>
      </c>
      <c r="C916" s="1013" t="str">
        <f t="shared" si="168"/>
        <v xml:space="preserve"> </v>
      </c>
      <c r="D916" s="1534">
        <f>3.77*0.81</f>
        <v>3.0537000000000001</v>
      </c>
      <c r="E916" s="1044"/>
      <c r="F916" s="1056" t="str">
        <f>VLOOKUP($B916,DG!A:D,DG!$C$2,)</f>
        <v>Sắt góc L50 x50 x5</v>
      </c>
      <c r="G916" s="1044" t="str">
        <f>VLOOKUP($B916,DG!A:D,DG!$D$2,)</f>
        <v>kg</v>
      </c>
      <c r="H916" s="1823">
        <f t="shared" si="189"/>
        <v>0</v>
      </c>
      <c r="I916" s="1823">
        <f t="shared" si="189"/>
        <v>0</v>
      </c>
      <c r="J916" s="1823">
        <f t="shared" si="189"/>
        <v>0</v>
      </c>
      <c r="K916" s="1823">
        <f t="shared" si="189"/>
        <v>0</v>
      </c>
      <c r="L916" s="1823">
        <f t="shared" si="189"/>
        <v>0</v>
      </c>
      <c r="M916" s="1823">
        <f t="shared" si="189"/>
        <v>0</v>
      </c>
      <c r="N916" s="1823">
        <f t="shared" si="189"/>
        <v>0</v>
      </c>
      <c r="O916" s="1823"/>
      <c r="P916" s="1823"/>
      <c r="Q916" s="1053"/>
      <c r="R916" s="1053"/>
      <c r="S916" s="1053"/>
      <c r="T916" s="2035">
        <f t="shared" si="175"/>
        <v>0</v>
      </c>
    </row>
    <row r="917" spans="1:20" ht="22.2" hidden="1" customHeight="1">
      <c r="A917" s="59"/>
      <c r="B917" s="1577" t="s">
        <v>1612</v>
      </c>
      <c r="C917" s="1013" t="str">
        <f t="shared" si="168"/>
        <v xml:space="preserve"> </v>
      </c>
      <c r="D917" s="1535">
        <v>2</v>
      </c>
      <c r="E917" s="1044"/>
      <c r="F917" s="1056" t="str">
        <f>VLOOKUP($B917,DG!A:D,DG!$C$2,)</f>
        <v>Boulon 16x250+ 2 long đền vuông D18-50x50x3/Zn</v>
      </c>
      <c r="G917" s="1044" t="str">
        <f>VLOOKUP($B917,DG!A:D,DG!$D$2,)</f>
        <v>bộ</v>
      </c>
      <c r="H917" s="1823">
        <f t="shared" si="189"/>
        <v>0</v>
      </c>
      <c r="I917" s="1823">
        <f t="shared" si="189"/>
        <v>0</v>
      </c>
      <c r="J917" s="1823">
        <f t="shared" si="189"/>
        <v>0</v>
      </c>
      <c r="K917" s="1823">
        <f t="shared" si="189"/>
        <v>0</v>
      </c>
      <c r="L917" s="1823">
        <f t="shared" si="189"/>
        <v>0</v>
      </c>
      <c r="M917" s="1823">
        <f t="shared" si="189"/>
        <v>0</v>
      </c>
      <c r="N917" s="1823">
        <f t="shared" si="189"/>
        <v>0</v>
      </c>
      <c r="O917" s="1823"/>
      <c r="P917" s="1823"/>
      <c r="Q917" s="1053"/>
      <c r="R917" s="1053"/>
      <c r="S917" s="1053"/>
      <c r="T917" s="2035">
        <f t="shared" si="175"/>
        <v>0</v>
      </c>
    </row>
    <row r="918" spans="1:20" ht="22.2" hidden="1" customHeight="1">
      <c r="A918" s="59"/>
      <c r="B918" s="1577" t="s">
        <v>1790</v>
      </c>
      <c r="C918" s="1013" t="str">
        <f t="shared" si="168"/>
        <v xml:space="preserve"> </v>
      </c>
      <c r="D918" s="1535">
        <v>1</v>
      </c>
      <c r="E918" s="1044"/>
      <c r="F918" s="1056" t="str">
        <f>VLOOKUP($B918,DG!A:D,DG!$C$2,)</f>
        <v>Boulon 16x50+ 2 long đền vuông D18-50x50x3/Zn</v>
      </c>
      <c r="G918" s="1044" t="str">
        <f>VLOOKUP($B918,DG!A:D,DG!$D$2,)</f>
        <v>bộ</v>
      </c>
      <c r="H918" s="1823">
        <f t="shared" si="189"/>
        <v>0</v>
      </c>
      <c r="I918" s="1823">
        <f t="shared" si="189"/>
        <v>0</v>
      </c>
      <c r="J918" s="1823">
        <f t="shared" si="189"/>
        <v>0</v>
      </c>
      <c r="K918" s="1823">
        <f t="shared" si="189"/>
        <v>0</v>
      </c>
      <c r="L918" s="1823">
        <f t="shared" si="189"/>
        <v>0</v>
      </c>
      <c r="M918" s="1823">
        <f t="shared" si="189"/>
        <v>0</v>
      </c>
      <c r="N918" s="1823">
        <f t="shared" si="189"/>
        <v>0</v>
      </c>
      <c r="O918" s="1823"/>
      <c r="P918" s="1823"/>
      <c r="Q918" s="1053"/>
      <c r="R918" s="1053"/>
      <c r="S918" s="1053"/>
      <c r="T918" s="2035">
        <f t="shared" si="175"/>
        <v>0</v>
      </c>
    </row>
    <row r="919" spans="1:20" ht="22.2" hidden="1" customHeight="1">
      <c r="A919" s="59"/>
      <c r="B919" s="1593" t="s">
        <v>1999</v>
      </c>
      <c r="C919" s="1013" t="str">
        <f t="shared" si="168"/>
        <v xml:space="preserve"> </v>
      </c>
      <c r="D919" s="1535">
        <v>1</v>
      </c>
      <c r="E919" s="1044" t="str">
        <f>VLOOKUP($B919,DG!A:D,DG!$B$2,)</f>
        <v>05.6401</v>
      </c>
      <c r="F919" s="1049" t="str">
        <f>VLOOKUP($B919,DG!A:D,DG!$C$2,)</f>
        <v>Lắp xà đỡ ≤ 25kg</v>
      </c>
      <c r="G919" s="1044" t="str">
        <f>VLOOKUP($B919,DG!A:D,DG!$D$2,)</f>
        <v>bộ</v>
      </c>
      <c r="H919" s="1823"/>
      <c r="I919" s="1823"/>
      <c r="J919" s="1823"/>
      <c r="K919" s="1823"/>
      <c r="L919" s="1823"/>
      <c r="M919" s="1823"/>
      <c r="N919" s="1823"/>
      <c r="O919" s="1823"/>
      <c r="P919" s="1823"/>
      <c r="Q919" s="1058"/>
      <c r="R919" s="1058"/>
      <c r="S919" s="1058"/>
      <c r="T919" s="2035">
        <f t="shared" si="175"/>
        <v>0</v>
      </c>
    </row>
    <row r="920" spans="1:20" ht="22.2" hidden="1" customHeight="1">
      <c r="A920" s="59"/>
      <c r="B920" s="1577" t="s">
        <v>2000</v>
      </c>
      <c r="C920" s="1013" t="str">
        <f t="shared" si="168"/>
        <v xml:space="preserve"> </v>
      </c>
      <c r="D920" s="1533"/>
      <c r="E920" s="1044" t="str">
        <f>VLOOKUP($B920,DG!A:D,DG!$B$2,)</f>
        <v>02.1115</v>
      </c>
      <c r="F920" s="1049" t="str">
        <f>VLOOKUP($B920,DG!A:D,DG!$C$2,)</f>
        <v>Bốc dỡ xà, thép thanh</v>
      </c>
      <c r="G920" s="1044" t="str">
        <f>VLOOKUP($B920,DG!A:D,DG!$D$2,)</f>
        <v>tấn</v>
      </c>
      <c r="H920" s="1823"/>
      <c r="I920" s="1823"/>
      <c r="J920" s="1823"/>
      <c r="K920" s="1823"/>
      <c r="L920" s="1823"/>
      <c r="M920" s="1823"/>
      <c r="N920" s="1823"/>
      <c r="O920" s="1823"/>
      <c r="P920" s="1823"/>
      <c r="Q920" s="1058"/>
      <c r="R920" s="1058"/>
      <c r="S920" s="1058"/>
      <c r="T920" s="2035">
        <f t="shared" si="175"/>
        <v>0</v>
      </c>
    </row>
    <row r="921" spans="1:20" ht="22.2" hidden="1" customHeight="1">
      <c r="A921" s="59"/>
      <c r="B921" s="1588" t="s">
        <v>2001</v>
      </c>
      <c r="C921" s="1013" t="str">
        <f t="shared" si="168"/>
        <v xml:space="preserve"> </v>
      </c>
      <c r="D921" s="1533"/>
      <c r="E921" s="1044" t="str">
        <f>VLOOKUP($B921,DG!A:C,2,)</f>
        <v>02.1361</v>
      </c>
      <c r="F921" s="1049" t="str">
        <f>VLOOKUP($B921,DG!A:C,3,)</f>
        <v>V/c xà vào vị trí (cư ly &lt;=100m)</v>
      </c>
      <c r="G921" s="1044" t="str">
        <f>VLOOKUP($B921,DG!A:D,4,0)</f>
        <v>tấn</v>
      </c>
      <c r="H921" s="1823"/>
      <c r="I921" s="1823"/>
      <c r="J921" s="1823"/>
      <c r="K921" s="1823"/>
      <c r="L921" s="1823"/>
      <c r="M921" s="1823"/>
      <c r="N921" s="1823"/>
      <c r="O921" s="1823"/>
      <c r="P921" s="1823"/>
      <c r="Q921" s="1058"/>
      <c r="R921" s="1058"/>
      <c r="S921" s="1058"/>
      <c r="T921" s="2035">
        <f t="shared" si="175"/>
        <v>0</v>
      </c>
    </row>
    <row r="922" spans="1:20" ht="22.2" hidden="1" customHeight="1">
      <c r="A922" s="59"/>
      <c r="B922" s="1588" t="s">
        <v>635</v>
      </c>
      <c r="C922" s="1013" t="str">
        <f t="shared" si="168"/>
        <v xml:space="preserve"> </v>
      </c>
      <c r="D922" s="1534"/>
      <c r="E922" s="1044" t="str">
        <f>VLOOKUP($B922,DG!A:C,2,)</f>
        <v>02.1482</v>
      </c>
      <c r="F922" s="1049" t="str">
        <f>VLOOKUP($B922,DG!A:C,3,)</f>
        <v>V/c dụng cụ thi công vào vị trí (cự ly &lt;=100m)</v>
      </c>
      <c r="G922" s="1044" t="str">
        <f>VLOOKUP($B922,DG!A:D,4,0)</f>
        <v>tấn</v>
      </c>
      <c r="H922" s="1823"/>
      <c r="I922" s="1823"/>
      <c r="J922" s="1823"/>
      <c r="K922" s="1823"/>
      <c r="L922" s="1823"/>
      <c r="M922" s="1823"/>
      <c r="N922" s="1823"/>
      <c r="O922" s="1823"/>
      <c r="P922" s="1823"/>
      <c r="Q922" s="1058"/>
      <c r="R922" s="1058"/>
      <c r="S922" s="1058"/>
      <c r="T922" s="2035">
        <f t="shared" si="175"/>
        <v>0</v>
      </c>
    </row>
    <row r="923" spans="1:20" ht="22.2" hidden="1" customHeight="1">
      <c r="A923" s="56" t="s">
        <v>344</v>
      </c>
      <c r="B923" s="1574" t="s">
        <v>344</v>
      </c>
      <c r="C923" s="1013" t="str">
        <f t="shared" si="168"/>
        <v xml:space="preserve"> </v>
      </c>
      <c r="D923" s="1532"/>
      <c r="E923" s="1045"/>
      <c r="F923" s="1392" t="s">
        <v>2435</v>
      </c>
      <c r="G923" s="1046" t="s">
        <v>2391</v>
      </c>
      <c r="H923" s="1821">
        <f>SUM(I923:O923)</f>
        <v>0</v>
      </c>
      <c r="I923" s="1822"/>
      <c r="J923" s="1822"/>
      <c r="K923" s="1822">
        <f>IFERROR(HLOOKUP(B923,pp3p1m!$1:$3,3,0),0)</f>
        <v>0</v>
      </c>
      <c r="L923" s="1822">
        <f>IFERROR(HLOOKUP(chitiet!B923,pp1p!$1:$3,3,0),0)</f>
        <v>0</v>
      </c>
      <c r="M923" s="1822"/>
      <c r="N923" s="1822"/>
      <c r="O923" s="1822"/>
      <c r="P923" s="1822">
        <f>H923+Q923-R923</f>
        <v>0</v>
      </c>
      <c r="Q923" s="1047"/>
      <c r="R923" s="1047"/>
      <c r="S923" s="1047"/>
      <c r="T923" s="2035">
        <f>IFERROR(HLOOKUP(B923,pp1p!$1:$3,3,0),0)+IFERROR(HLOOKUP(B923,pp3p1m!$1:$3,3,0),0)</f>
        <v>0</v>
      </c>
    </row>
    <row r="924" spans="1:20" ht="22.2" hidden="1" customHeight="1">
      <c r="A924" s="59"/>
      <c r="B924" s="1577" t="s">
        <v>109</v>
      </c>
      <c r="C924" s="1013" t="str">
        <f t="shared" si="168"/>
        <v xml:space="preserve"> </v>
      </c>
      <c r="D924" s="1534">
        <f>9.02*(0.8+0.07)*2</f>
        <v>15.694800000000001</v>
      </c>
      <c r="E924" s="1044"/>
      <c r="F924" s="1056" t="str">
        <f>VLOOKUP($B924,DG!A:D,DG!$C$2,)</f>
        <v>Sắt góc L75 x75 x8</v>
      </c>
      <c r="G924" s="1044" t="str">
        <f>VLOOKUP($B924,DG!A:D,DG!$D$2,)</f>
        <v>kg</v>
      </c>
      <c r="H924" s="1823">
        <f t="shared" ref="H924:N928" si="190">H$923*$D924</f>
        <v>0</v>
      </c>
      <c r="I924" s="1823">
        <f t="shared" si="190"/>
        <v>0</v>
      </c>
      <c r="J924" s="1823">
        <f t="shared" si="190"/>
        <v>0</v>
      </c>
      <c r="K924" s="1823">
        <f t="shared" si="190"/>
        <v>0</v>
      </c>
      <c r="L924" s="1823">
        <f t="shared" si="190"/>
        <v>0</v>
      </c>
      <c r="M924" s="1823">
        <f t="shared" si="190"/>
        <v>0</v>
      </c>
      <c r="N924" s="1823">
        <f t="shared" si="190"/>
        <v>0</v>
      </c>
      <c r="O924" s="1823"/>
      <c r="P924" s="1823"/>
      <c r="Q924" s="1053"/>
      <c r="R924" s="1053"/>
      <c r="S924" s="1053"/>
      <c r="T924" s="2035">
        <f t="shared" si="175"/>
        <v>0</v>
      </c>
    </row>
    <row r="925" spans="1:20" ht="22.2" hidden="1" customHeight="1">
      <c r="A925" s="59"/>
      <c r="B925" s="1577" t="s">
        <v>457</v>
      </c>
      <c r="C925" s="1013" t="str">
        <f t="shared" si="168"/>
        <v xml:space="preserve"> </v>
      </c>
      <c r="D925" s="1534">
        <f>3.77*0.81*2</f>
        <v>6.1074000000000002</v>
      </c>
      <c r="E925" s="1044"/>
      <c r="F925" s="1056" t="str">
        <f>VLOOKUP($B925,DG!A:D,DG!$C$2,)</f>
        <v>Sắt góc L50 x50 x5</v>
      </c>
      <c r="G925" s="1044" t="str">
        <f>VLOOKUP($B925,DG!A:D,DG!$D$2,)</f>
        <v>kg</v>
      </c>
      <c r="H925" s="1823">
        <f t="shared" si="190"/>
        <v>0</v>
      </c>
      <c r="I925" s="1823">
        <f t="shared" si="190"/>
        <v>0</v>
      </c>
      <c r="J925" s="1823">
        <f t="shared" si="190"/>
        <v>0</v>
      </c>
      <c r="K925" s="1823">
        <f t="shared" si="190"/>
        <v>0</v>
      </c>
      <c r="L925" s="1823">
        <f t="shared" si="190"/>
        <v>0</v>
      </c>
      <c r="M925" s="1823">
        <f t="shared" si="190"/>
        <v>0</v>
      </c>
      <c r="N925" s="1823">
        <f t="shared" si="190"/>
        <v>0</v>
      </c>
      <c r="O925" s="1823"/>
      <c r="P925" s="1823"/>
      <c r="Q925" s="1053"/>
      <c r="R925" s="1053"/>
      <c r="S925" s="1053"/>
      <c r="T925" s="2035">
        <f t="shared" si="175"/>
        <v>0</v>
      </c>
    </row>
    <row r="926" spans="1:20" ht="22.2" hidden="1" customHeight="1">
      <c r="A926" s="59"/>
      <c r="B926" s="1577" t="s">
        <v>1083</v>
      </c>
      <c r="C926" s="1013" t="str">
        <f t="shared" si="168"/>
        <v xml:space="preserve"> </v>
      </c>
      <c r="D926" s="1535">
        <v>2</v>
      </c>
      <c r="E926" s="1044"/>
      <c r="F926" s="1056" t="str">
        <f>VLOOKUP($B926,DG!A:D,DG!$C$2,)</f>
        <v>Boulon 16x400+ 2 long đền vuông D18-50x50x3/Zn</v>
      </c>
      <c r="G926" s="1044" t="str">
        <f>VLOOKUP($B926,DG!A:D,DG!$D$2,)</f>
        <v>bộ</v>
      </c>
      <c r="H926" s="1823">
        <f t="shared" si="190"/>
        <v>0</v>
      </c>
      <c r="I926" s="1823">
        <f t="shared" si="190"/>
        <v>0</v>
      </c>
      <c r="J926" s="1823">
        <f t="shared" si="190"/>
        <v>0</v>
      </c>
      <c r="K926" s="1823">
        <f t="shared" si="190"/>
        <v>0</v>
      </c>
      <c r="L926" s="1823">
        <f t="shared" si="190"/>
        <v>0</v>
      </c>
      <c r="M926" s="1823">
        <f t="shared" si="190"/>
        <v>0</v>
      </c>
      <c r="N926" s="1823">
        <f t="shared" si="190"/>
        <v>0</v>
      </c>
      <c r="O926" s="1823"/>
      <c r="P926" s="1823"/>
      <c r="Q926" s="1053"/>
      <c r="R926" s="1053"/>
      <c r="S926" s="1053"/>
      <c r="T926" s="2035">
        <f t="shared" si="175"/>
        <v>0</v>
      </c>
    </row>
    <row r="927" spans="1:20" ht="22.2" hidden="1" customHeight="1">
      <c r="A927" s="59"/>
      <c r="B927" s="1577" t="s">
        <v>1743</v>
      </c>
      <c r="C927" s="1013" t="str">
        <f t="shared" si="168"/>
        <v xml:space="preserve"> </v>
      </c>
      <c r="D927" s="1535">
        <v>1</v>
      </c>
      <c r="E927" s="1044"/>
      <c r="F927" s="1056" t="str">
        <f>VLOOKUP($B927,DG!A:D,DG!$C$2,)</f>
        <v>Boulon 16x400VRS+ 4 long đền vuông D18-50x50x3/Zn</v>
      </c>
      <c r="G927" s="1044" t="str">
        <f>VLOOKUP($B927,DG!A:D,DG!$D$2,)</f>
        <v>bộ</v>
      </c>
      <c r="H927" s="1823">
        <f t="shared" si="190"/>
        <v>0</v>
      </c>
      <c r="I927" s="1823">
        <f t="shared" si="190"/>
        <v>0</v>
      </c>
      <c r="J927" s="1823">
        <f t="shared" si="190"/>
        <v>0</v>
      </c>
      <c r="K927" s="1823">
        <f t="shared" si="190"/>
        <v>0</v>
      </c>
      <c r="L927" s="1823">
        <f t="shared" si="190"/>
        <v>0</v>
      </c>
      <c r="M927" s="1823">
        <f t="shared" si="190"/>
        <v>0</v>
      </c>
      <c r="N927" s="1823">
        <f t="shared" si="190"/>
        <v>0</v>
      </c>
      <c r="O927" s="1823"/>
      <c r="P927" s="1823"/>
      <c r="Q927" s="1053"/>
      <c r="R927" s="1053"/>
      <c r="S927" s="1053"/>
      <c r="T927" s="2035">
        <f t="shared" si="175"/>
        <v>0</v>
      </c>
    </row>
    <row r="928" spans="1:20" ht="22.2" hidden="1" customHeight="1">
      <c r="A928" s="59"/>
      <c r="B928" s="1577" t="s">
        <v>1790</v>
      </c>
      <c r="C928" s="1013" t="str">
        <f t="shared" si="168"/>
        <v xml:space="preserve"> </v>
      </c>
      <c r="D928" s="1535">
        <v>2</v>
      </c>
      <c r="E928" s="1044"/>
      <c r="F928" s="1056" t="str">
        <f>VLOOKUP($B928,DG!A:D,DG!$C$2,)</f>
        <v>Boulon 16x50+ 2 long đền vuông D18-50x50x3/Zn</v>
      </c>
      <c r="G928" s="1044" t="str">
        <f>VLOOKUP($B928,DG!A:D,DG!$D$2,)</f>
        <v>bộ</v>
      </c>
      <c r="H928" s="1823">
        <f t="shared" si="190"/>
        <v>0</v>
      </c>
      <c r="I928" s="1823">
        <f t="shared" si="190"/>
        <v>0</v>
      </c>
      <c r="J928" s="1823">
        <f t="shared" si="190"/>
        <v>0</v>
      </c>
      <c r="K928" s="1823">
        <f t="shared" si="190"/>
        <v>0</v>
      </c>
      <c r="L928" s="1823">
        <f t="shared" si="190"/>
        <v>0</v>
      </c>
      <c r="M928" s="1823">
        <f t="shared" si="190"/>
        <v>0</v>
      </c>
      <c r="N928" s="1823">
        <f t="shared" si="190"/>
        <v>0</v>
      </c>
      <c r="O928" s="1823"/>
      <c r="P928" s="1823"/>
      <c r="Q928" s="1053"/>
      <c r="R928" s="1053"/>
      <c r="S928" s="1053"/>
      <c r="T928" s="2035">
        <f t="shared" si="175"/>
        <v>0</v>
      </c>
    </row>
    <row r="929" spans="1:20" ht="22.2" hidden="1" customHeight="1">
      <c r="A929" s="59"/>
      <c r="B929" s="1593" t="s">
        <v>2011</v>
      </c>
      <c r="C929" s="1013" t="str">
        <f t="shared" si="168"/>
        <v xml:space="preserve"> </v>
      </c>
      <c r="D929" s="1535">
        <v>1</v>
      </c>
      <c r="E929" s="1044" t="str">
        <f>VLOOKUP($B929,DG!A:D,DG!$B$2,)</f>
        <v>05.6201</v>
      </c>
      <c r="F929" s="1049" t="str">
        <f>VLOOKUP($B929,DG!A:D,DG!$C$2,)</f>
        <v>Lắp xà néo ≤ 25kg</v>
      </c>
      <c r="G929" s="1044" t="str">
        <f>VLOOKUP($B929,DG!A:D,DG!$D$2,)</f>
        <v>bộ</v>
      </c>
      <c r="H929" s="1823"/>
      <c r="I929" s="1823"/>
      <c r="J929" s="1823"/>
      <c r="K929" s="1823"/>
      <c r="L929" s="1823"/>
      <c r="M929" s="1823"/>
      <c r="N929" s="1823"/>
      <c r="O929" s="1823"/>
      <c r="P929" s="1823"/>
      <c r="Q929" s="1058"/>
      <c r="R929" s="1058"/>
      <c r="S929" s="1058"/>
      <c r="T929" s="2035">
        <f t="shared" si="175"/>
        <v>0</v>
      </c>
    </row>
    <row r="930" spans="1:20" ht="22.2" hidden="1" customHeight="1">
      <c r="A930" s="59"/>
      <c r="B930" s="1577" t="s">
        <v>2000</v>
      </c>
      <c r="C930" s="1013" t="str">
        <f t="shared" si="168"/>
        <v xml:space="preserve"> </v>
      </c>
      <c r="D930" s="1533"/>
      <c r="E930" s="1044" t="str">
        <f>VLOOKUP($B930,DG!A:D,DG!$B$2,)</f>
        <v>02.1115</v>
      </c>
      <c r="F930" s="1049" t="str">
        <f>VLOOKUP($B930,DG!A:D,DG!$C$2,)</f>
        <v>Bốc dỡ xà, thép thanh</v>
      </c>
      <c r="G930" s="1044" t="str">
        <f>VLOOKUP($B930,DG!A:D,DG!$D$2,)</f>
        <v>tấn</v>
      </c>
      <c r="H930" s="1823"/>
      <c r="I930" s="1823"/>
      <c r="J930" s="1823"/>
      <c r="K930" s="1823"/>
      <c r="L930" s="1823"/>
      <c r="M930" s="1823"/>
      <c r="N930" s="1823"/>
      <c r="O930" s="1823"/>
      <c r="P930" s="1823"/>
      <c r="Q930" s="1058"/>
      <c r="R930" s="1058"/>
      <c r="S930" s="1058"/>
      <c r="T930" s="2035">
        <f t="shared" si="175"/>
        <v>0</v>
      </c>
    </row>
    <row r="931" spans="1:20" ht="22.2" hidden="1" customHeight="1">
      <c r="A931" s="59"/>
      <c r="B931" s="1588" t="s">
        <v>2001</v>
      </c>
      <c r="C931" s="1013" t="str">
        <f t="shared" ref="C931:C994" si="191">IF(OR(P931&lt;&gt;0,H931&lt;&gt;0),"x"," ")</f>
        <v xml:space="preserve"> </v>
      </c>
      <c r="D931" s="1533"/>
      <c r="E931" s="1044" t="str">
        <f>VLOOKUP($B931,DG!A:C,2,)</f>
        <v>02.1361</v>
      </c>
      <c r="F931" s="1049" t="str">
        <f>VLOOKUP($B931,DG!A:C,3,)</f>
        <v>V/c xà vào vị trí (cư ly &lt;=100m)</v>
      </c>
      <c r="G931" s="1044" t="str">
        <f>VLOOKUP($B931,DG!A:D,4,0)</f>
        <v>tấn</v>
      </c>
      <c r="H931" s="1823"/>
      <c r="I931" s="1823"/>
      <c r="J931" s="1823"/>
      <c r="K931" s="1823"/>
      <c r="L931" s="1823"/>
      <c r="M931" s="1823"/>
      <c r="N931" s="1823"/>
      <c r="O931" s="1823"/>
      <c r="P931" s="1823"/>
      <c r="Q931" s="1058"/>
      <c r="R931" s="1058"/>
      <c r="S931" s="1058"/>
      <c r="T931" s="2035">
        <f t="shared" si="175"/>
        <v>0</v>
      </c>
    </row>
    <row r="932" spans="1:20" ht="22.2" hidden="1" customHeight="1">
      <c r="A932" s="59"/>
      <c r="B932" s="1588" t="s">
        <v>635</v>
      </c>
      <c r="C932" s="1013" t="str">
        <f t="shared" si="191"/>
        <v xml:space="preserve"> </v>
      </c>
      <c r="D932" s="1534"/>
      <c r="E932" s="1044" t="str">
        <f>VLOOKUP($B932,DG!A:C,2,)</f>
        <v>02.1482</v>
      </c>
      <c r="F932" s="1049" t="str">
        <f>VLOOKUP($B932,DG!A:C,3,)</f>
        <v>V/c dụng cụ thi công vào vị trí (cự ly &lt;=100m)</v>
      </c>
      <c r="G932" s="1044" t="str">
        <f>VLOOKUP($B932,DG!A:D,4,0)</f>
        <v>tấn</v>
      </c>
      <c r="H932" s="1823"/>
      <c r="I932" s="1823"/>
      <c r="J932" s="1823"/>
      <c r="K932" s="1823"/>
      <c r="L932" s="1823"/>
      <c r="M932" s="1823"/>
      <c r="N932" s="1823"/>
      <c r="O932" s="1823"/>
      <c r="P932" s="1823"/>
      <c r="Q932" s="1058"/>
      <c r="R932" s="1058"/>
      <c r="S932" s="1058"/>
      <c r="T932" s="2035">
        <f t="shared" si="175"/>
        <v>0</v>
      </c>
    </row>
    <row r="933" spans="1:20" ht="22.2" hidden="1" customHeight="1">
      <c r="A933" s="56" t="s">
        <v>2298</v>
      </c>
      <c r="B933" s="1574" t="s">
        <v>2298</v>
      </c>
      <c r="C933" s="1013" t="str">
        <f t="shared" si="191"/>
        <v xml:space="preserve"> </v>
      </c>
      <c r="D933" s="1546"/>
      <c r="E933" s="1045"/>
      <c r="F933" s="1392" t="s">
        <v>2436</v>
      </c>
      <c r="G933" s="1046" t="s">
        <v>2391</v>
      </c>
      <c r="H933" s="1821">
        <f>SUM(I933:O933)</f>
        <v>0</v>
      </c>
      <c r="I933" s="1822"/>
      <c r="J933" s="1822"/>
      <c r="K933" s="1822">
        <f>IFERROR(HLOOKUP(B933,pp3p1m!$1:$3,3,0),0)</f>
        <v>0</v>
      </c>
      <c r="L933" s="1822">
        <f>IFERROR(HLOOKUP(chitiet!B933,pp1p!$1:$3,3,0),0)</f>
        <v>0</v>
      </c>
      <c r="M933" s="1822"/>
      <c r="N933" s="1822"/>
      <c r="O933" s="1822"/>
      <c r="P933" s="1821">
        <f>H933+Q933-R933</f>
        <v>0</v>
      </c>
      <c r="Q933" s="1047"/>
      <c r="R933" s="1047"/>
      <c r="S933" s="1047"/>
      <c r="T933" s="2035">
        <f>IFERROR(HLOOKUP(B933,pp1p!$1:$3,3,0),0)+IFERROR(HLOOKUP(B933,pp3p1m!$1:$3,3,0),0)</f>
        <v>0</v>
      </c>
    </row>
    <row r="934" spans="1:20" ht="22.2" hidden="1" customHeight="1">
      <c r="A934" s="59"/>
      <c r="B934" s="1577" t="s">
        <v>4860</v>
      </c>
      <c r="C934" s="1013" t="str">
        <f t="shared" si="191"/>
        <v xml:space="preserve"> </v>
      </c>
      <c r="D934" s="1534">
        <v>1</v>
      </c>
      <c r="E934" s="1044"/>
      <c r="F934" s="1056" t="str">
        <f>VLOOKUP($B934,DG!A:D,DG!$C$2,)</f>
        <v>Sắt góc L75 x75 x8-2100</v>
      </c>
      <c r="G934" s="1044" t="str">
        <f>VLOOKUP($B934,DG!A:D,DG!$D$2,)</f>
        <v>cái</v>
      </c>
      <c r="H934" s="1823">
        <f t="shared" ref="H934:R938" si="192">H$933*$D934</f>
        <v>0</v>
      </c>
      <c r="I934" s="1823">
        <f t="shared" si="192"/>
        <v>0</v>
      </c>
      <c r="J934" s="1823">
        <f t="shared" si="192"/>
        <v>0</v>
      </c>
      <c r="K934" s="1823">
        <f t="shared" si="192"/>
        <v>0</v>
      </c>
      <c r="L934" s="1823">
        <f t="shared" si="192"/>
        <v>0</v>
      </c>
      <c r="M934" s="1823">
        <f t="shared" si="192"/>
        <v>0</v>
      </c>
      <c r="N934" s="1823">
        <f t="shared" si="192"/>
        <v>0</v>
      </c>
      <c r="O934" s="1823">
        <f t="shared" si="192"/>
        <v>0</v>
      </c>
      <c r="P934" s="1823">
        <f t="shared" si="192"/>
        <v>0</v>
      </c>
      <c r="Q934" s="1823">
        <f t="shared" si="192"/>
        <v>0</v>
      </c>
      <c r="R934" s="1823">
        <f t="shared" si="192"/>
        <v>0</v>
      </c>
      <c r="S934" s="1053"/>
      <c r="T934" s="2035">
        <f t="shared" si="175"/>
        <v>0</v>
      </c>
    </row>
    <row r="935" spans="1:20" ht="22.2" hidden="1" customHeight="1">
      <c r="A935" s="59"/>
      <c r="B935" s="1577" t="s">
        <v>4861</v>
      </c>
      <c r="C935" s="1013" t="str">
        <f t="shared" si="191"/>
        <v xml:space="preserve"> </v>
      </c>
      <c r="D935" s="1534">
        <v>1</v>
      </c>
      <c r="E935" s="1044"/>
      <c r="F935" s="1056" t="str">
        <f>VLOOKUP($B935,DG!A:D,DG!$C$2,)</f>
        <v>Sắt góc L50 x50 x5 x1190</v>
      </c>
      <c r="G935" s="1044" t="str">
        <f>VLOOKUP($B935,DG!A:D,DG!$D$2,)</f>
        <v>cái</v>
      </c>
      <c r="H935" s="1823">
        <f t="shared" si="192"/>
        <v>0</v>
      </c>
      <c r="I935" s="1823">
        <f t="shared" si="192"/>
        <v>0</v>
      </c>
      <c r="J935" s="1823">
        <f t="shared" si="192"/>
        <v>0</v>
      </c>
      <c r="K935" s="1823">
        <f t="shared" si="192"/>
        <v>0</v>
      </c>
      <c r="L935" s="1823">
        <f t="shared" si="192"/>
        <v>0</v>
      </c>
      <c r="M935" s="1823">
        <f t="shared" si="192"/>
        <v>0</v>
      </c>
      <c r="N935" s="1823">
        <f t="shared" si="192"/>
        <v>0</v>
      </c>
      <c r="O935" s="1823"/>
      <c r="P935" s="1823">
        <f t="shared" si="192"/>
        <v>0</v>
      </c>
      <c r="Q935" s="1823">
        <f t="shared" si="192"/>
        <v>0</v>
      </c>
      <c r="R935" s="1823">
        <f t="shared" si="192"/>
        <v>0</v>
      </c>
      <c r="S935" s="1053"/>
      <c r="T935" s="2035">
        <f t="shared" si="175"/>
        <v>0</v>
      </c>
    </row>
    <row r="936" spans="1:20" ht="22.2" hidden="1" customHeight="1">
      <c r="A936" s="59"/>
      <c r="B936" s="1577" t="s">
        <v>2112</v>
      </c>
      <c r="C936" s="1013" t="str">
        <f t="shared" si="191"/>
        <v xml:space="preserve"> </v>
      </c>
      <c r="D936" s="1534"/>
      <c r="E936" s="1044"/>
      <c r="F936" s="1056" t="str">
        <f>VLOOKUP($B936,DG!A:D,DG!$C$2,)</f>
        <v>Sắt dẹt 50x5</v>
      </c>
      <c r="G936" s="1044" t="str">
        <f>VLOOKUP($B936,DG!A:D,DG!$D$2,)</f>
        <v>kg</v>
      </c>
      <c r="H936" s="1823">
        <f t="shared" si="192"/>
        <v>0</v>
      </c>
      <c r="I936" s="1823">
        <f t="shared" si="192"/>
        <v>0</v>
      </c>
      <c r="J936" s="1823">
        <f t="shared" si="192"/>
        <v>0</v>
      </c>
      <c r="K936" s="1823">
        <f t="shared" si="192"/>
        <v>0</v>
      </c>
      <c r="L936" s="1823">
        <f t="shared" si="192"/>
        <v>0</v>
      </c>
      <c r="M936" s="1823">
        <f t="shared" si="192"/>
        <v>0</v>
      </c>
      <c r="N936" s="1823">
        <f t="shared" si="192"/>
        <v>0</v>
      </c>
      <c r="O936" s="1823"/>
      <c r="P936" s="1823"/>
      <c r="Q936" s="1053"/>
      <c r="R936" s="1053"/>
      <c r="S936" s="1053"/>
      <c r="T936" s="2035">
        <f t="shared" si="175"/>
        <v>0</v>
      </c>
    </row>
    <row r="937" spans="1:20" ht="22.2" hidden="1" customHeight="1">
      <c r="A937" s="59"/>
      <c r="B937" s="1577" t="s">
        <v>1613</v>
      </c>
      <c r="C937" s="1013" t="str">
        <f t="shared" si="191"/>
        <v xml:space="preserve"> </v>
      </c>
      <c r="D937" s="1535">
        <v>2</v>
      </c>
      <c r="E937" s="1044"/>
      <c r="F937" s="1056" t="str">
        <f>VLOOKUP($B937,DG!A:D,DG!$C$2,)</f>
        <v>Boulon 16x300+ 2 long đền vuông D18-50x50x3/Zn</v>
      </c>
      <c r="G937" s="1044" t="str">
        <f>VLOOKUP($B937,DG!A:D,DG!$D$2,)</f>
        <v>bộ</v>
      </c>
      <c r="H937" s="1823">
        <f t="shared" si="192"/>
        <v>0</v>
      </c>
      <c r="I937" s="1823">
        <f t="shared" si="192"/>
        <v>0</v>
      </c>
      <c r="J937" s="1823">
        <f t="shared" si="192"/>
        <v>0</v>
      </c>
      <c r="K937" s="1823">
        <f t="shared" si="192"/>
        <v>0</v>
      </c>
      <c r="L937" s="1823">
        <f t="shared" si="192"/>
        <v>0</v>
      </c>
      <c r="M937" s="1823">
        <f t="shared" si="192"/>
        <v>0</v>
      </c>
      <c r="N937" s="1823">
        <f t="shared" si="192"/>
        <v>0</v>
      </c>
      <c r="O937" s="1823"/>
      <c r="P937" s="1823">
        <f t="shared" si="192"/>
        <v>0</v>
      </c>
      <c r="Q937" s="1823">
        <f t="shared" si="192"/>
        <v>0</v>
      </c>
      <c r="R937" s="1823">
        <f t="shared" si="192"/>
        <v>0</v>
      </c>
      <c r="S937" s="1053"/>
      <c r="T937" s="2035">
        <f t="shared" ref="T937:T1000" si="193">IFERROR(HLOOKUP(B937,BangKeTru,3,0),0)</f>
        <v>0</v>
      </c>
    </row>
    <row r="938" spans="1:20" ht="22.2" hidden="1" customHeight="1">
      <c r="A938" s="59"/>
      <c r="B938" s="1577" t="s">
        <v>1789</v>
      </c>
      <c r="C938" s="1013" t="str">
        <f t="shared" si="191"/>
        <v xml:space="preserve"> </v>
      </c>
      <c r="D938" s="1535">
        <v>1</v>
      </c>
      <c r="E938" s="1044"/>
      <c r="F938" s="1056" t="str">
        <f>VLOOKUP($B938,DG!A:D,DG!$C$2,)</f>
        <v>Boulon 16x35+ 2 long đền vuông D18-50x50x3/Zn</v>
      </c>
      <c r="G938" s="1044" t="str">
        <f>VLOOKUP($B938,DG!A:D,DG!$D$2,)</f>
        <v>bộ</v>
      </c>
      <c r="H938" s="1823">
        <f t="shared" si="192"/>
        <v>0</v>
      </c>
      <c r="I938" s="1823">
        <f t="shared" si="192"/>
        <v>0</v>
      </c>
      <c r="J938" s="1823">
        <f t="shared" si="192"/>
        <v>0</v>
      </c>
      <c r="K938" s="1823">
        <f t="shared" si="192"/>
        <v>0</v>
      </c>
      <c r="L938" s="1823">
        <f t="shared" si="192"/>
        <v>0</v>
      </c>
      <c r="M938" s="1823">
        <f t="shared" si="192"/>
        <v>0</v>
      </c>
      <c r="N938" s="1823">
        <f t="shared" si="192"/>
        <v>0</v>
      </c>
      <c r="O938" s="1823"/>
      <c r="P938" s="1823">
        <f t="shared" si="192"/>
        <v>0</v>
      </c>
      <c r="Q938" s="1823">
        <f t="shared" si="192"/>
        <v>0</v>
      </c>
      <c r="R938" s="1823">
        <f t="shared" si="192"/>
        <v>0</v>
      </c>
      <c r="S938" s="1053"/>
      <c r="T938" s="2035">
        <f t="shared" si="193"/>
        <v>0</v>
      </c>
    </row>
    <row r="939" spans="1:20" ht="22.2" hidden="1" customHeight="1">
      <c r="A939" s="59"/>
      <c r="B939" s="1589" t="s">
        <v>985</v>
      </c>
      <c r="C939" s="1013" t="str">
        <f t="shared" si="191"/>
        <v xml:space="preserve"> </v>
      </c>
      <c r="D939" s="1535">
        <v>1</v>
      </c>
      <c r="E939" s="1048" t="str">
        <f>VLOOKUP($B939,DG!A:D,DG!$B$2,)</f>
        <v>05.6102</v>
      </c>
      <c r="F939" s="1049" t="str">
        <f>VLOOKUP($B939,DG!A:D,DG!$C$2,)</f>
        <v>Lắp xà đỡ ≤ 50kg</v>
      </c>
      <c r="G939" s="1044" t="str">
        <f>VLOOKUP($B939,DG!A:D,DG!$D$2,)</f>
        <v>bộ</v>
      </c>
      <c r="H939" s="1823"/>
      <c r="I939" s="1823"/>
      <c r="J939" s="1823"/>
      <c r="K939" s="1823"/>
      <c r="L939" s="1823"/>
      <c r="M939" s="1823"/>
      <c r="N939" s="1823"/>
      <c r="O939" s="1823"/>
      <c r="P939" s="1823"/>
      <c r="Q939" s="1058"/>
      <c r="R939" s="1058"/>
      <c r="S939" s="1058"/>
      <c r="T939" s="2035">
        <f t="shared" si="193"/>
        <v>0</v>
      </c>
    </row>
    <row r="940" spans="1:20" ht="22.2" hidden="1" customHeight="1">
      <c r="A940" s="59"/>
      <c r="B940" s="1577" t="s">
        <v>2000</v>
      </c>
      <c r="C940" s="1013" t="str">
        <f t="shared" si="191"/>
        <v xml:space="preserve"> </v>
      </c>
      <c r="D940" s="1533"/>
      <c r="E940" s="1044" t="str">
        <f>VLOOKUP($B940,DG!A:D,DG!$B$2,)</f>
        <v>02.1115</v>
      </c>
      <c r="F940" s="1049" t="str">
        <f>VLOOKUP($B940,DG!A:D,DG!$C$2,)</f>
        <v>Bốc dỡ xà, thép thanh</v>
      </c>
      <c r="G940" s="1044" t="str">
        <f>VLOOKUP($B940,DG!A:D,DG!$D$2,)</f>
        <v>tấn</v>
      </c>
      <c r="H940" s="1823"/>
      <c r="I940" s="1823"/>
      <c r="J940" s="1823"/>
      <c r="K940" s="1823"/>
      <c r="L940" s="1823"/>
      <c r="M940" s="1823"/>
      <c r="N940" s="1823"/>
      <c r="O940" s="1823"/>
      <c r="P940" s="1823"/>
      <c r="Q940" s="1058"/>
      <c r="R940" s="1058"/>
      <c r="S940" s="1058"/>
      <c r="T940" s="2035">
        <f t="shared" si="193"/>
        <v>0</v>
      </c>
    </row>
    <row r="941" spans="1:20" ht="22.2" hidden="1" customHeight="1">
      <c r="A941" s="59"/>
      <c r="B941" s="1588" t="s">
        <v>2001</v>
      </c>
      <c r="C941" s="1013" t="str">
        <f t="shared" si="191"/>
        <v xml:space="preserve"> </v>
      </c>
      <c r="D941" s="1533"/>
      <c r="E941" s="1044" t="str">
        <f>VLOOKUP($B941,DG!A:C,2,)</f>
        <v>02.1361</v>
      </c>
      <c r="F941" s="1049" t="str">
        <f>VLOOKUP($B941,DG!A:C,3,)</f>
        <v>V/c xà vào vị trí (cư ly &lt;=100m)</v>
      </c>
      <c r="G941" s="1044" t="str">
        <f>VLOOKUP($B941,DG!A:D,4,0)</f>
        <v>tấn</v>
      </c>
      <c r="H941" s="1823"/>
      <c r="I941" s="1823"/>
      <c r="J941" s="1823"/>
      <c r="K941" s="1823"/>
      <c r="L941" s="1823"/>
      <c r="M941" s="1823"/>
      <c r="N941" s="1823"/>
      <c r="O941" s="1823"/>
      <c r="P941" s="1823"/>
      <c r="Q941" s="1058"/>
      <c r="R941" s="1058"/>
      <c r="S941" s="1058"/>
      <c r="T941" s="2035">
        <f t="shared" si="193"/>
        <v>0</v>
      </c>
    </row>
    <row r="942" spans="1:20" ht="22.2" hidden="1" customHeight="1">
      <c r="A942" s="59"/>
      <c r="B942" s="1588" t="s">
        <v>635</v>
      </c>
      <c r="C942" s="1013" t="str">
        <f t="shared" si="191"/>
        <v xml:space="preserve"> </v>
      </c>
      <c r="D942" s="1534"/>
      <c r="E942" s="1044" t="str">
        <f>VLOOKUP($B942,DG!A:C,2,)</f>
        <v>02.1482</v>
      </c>
      <c r="F942" s="1049" t="str">
        <f>VLOOKUP($B942,DG!A:C,3,)</f>
        <v>V/c dụng cụ thi công vào vị trí (cự ly &lt;=100m)</v>
      </c>
      <c r="G942" s="1044" t="str">
        <f>VLOOKUP($B942,DG!A:D,4,0)</f>
        <v>tấn</v>
      </c>
      <c r="H942" s="1823"/>
      <c r="I942" s="1823"/>
      <c r="J942" s="1823"/>
      <c r="K942" s="1823"/>
      <c r="L942" s="1823"/>
      <c r="M942" s="1823"/>
      <c r="N942" s="1823"/>
      <c r="O942" s="1823"/>
      <c r="P942" s="1823"/>
      <c r="Q942" s="1058"/>
      <c r="R942" s="1058"/>
      <c r="S942" s="1058"/>
      <c r="T942" s="2035">
        <f t="shared" si="193"/>
        <v>0</v>
      </c>
    </row>
    <row r="943" spans="1:20" ht="22.2" hidden="1" customHeight="1">
      <c r="A943" s="56" t="s">
        <v>893</v>
      </c>
      <c r="B943" s="1574" t="s">
        <v>893</v>
      </c>
      <c r="C943" s="1013" t="str">
        <f t="shared" si="191"/>
        <v xml:space="preserve"> </v>
      </c>
      <c r="D943" s="1544"/>
      <c r="E943" s="1045"/>
      <c r="F943" s="1392" t="s">
        <v>2437</v>
      </c>
      <c r="G943" s="1046" t="s">
        <v>2391</v>
      </c>
      <c r="H943" s="1821">
        <f>SUM(I943:O943)</f>
        <v>0</v>
      </c>
      <c r="I943" s="1822"/>
      <c r="J943" s="1822"/>
      <c r="K943" s="1822">
        <f>IFERROR(HLOOKUP(B943,pp3p1m!$1:$3,3,0),0)</f>
        <v>0</v>
      </c>
      <c r="L943" s="1822">
        <f>IFERROR(HLOOKUP(chitiet!B943,pp1p!$1:$3,3,0),0)</f>
        <v>0</v>
      </c>
      <c r="M943" s="1822"/>
      <c r="N943" s="1822"/>
      <c r="O943" s="1822"/>
      <c r="P943" s="1821">
        <f>H943+Q943-R943</f>
        <v>0</v>
      </c>
      <c r="Q943" s="1047"/>
      <c r="R943" s="1047"/>
      <c r="S943" s="1047"/>
      <c r="T943" s="2035">
        <f>IFERROR(HLOOKUP(B943,pp1p!$1:$3,3,0),0)+IFERROR(HLOOKUP(B943,pp3p1m!$1:$3,3,0),0)</f>
        <v>0</v>
      </c>
    </row>
    <row r="944" spans="1:20" ht="22.2" hidden="1" customHeight="1">
      <c r="A944" s="59"/>
      <c r="B944" s="1577" t="s">
        <v>4860</v>
      </c>
      <c r="C944" s="1013" t="str">
        <f t="shared" si="191"/>
        <v xml:space="preserve"> </v>
      </c>
      <c r="D944" s="1534">
        <v>2</v>
      </c>
      <c r="E944" s="1044"/>
      <c r="F944" s="1056" t="str">
        <f>VLOOKUP($B944,DG!A:D,DG!$C$2,)</f>
        <v>Sắt góc L75 x75 x8-2100</v>
      </c>
      <c r="G944" s="1044" t="str">
        <f>VLOOKUP($B944,DG!A:D,DG!$D$2,)</f>
        <v>cái</v>
      </c>
      <c r="H944" s="1823">
        <f t="shared" ref="H944:R949" si="194">H$943*$D944</f>
        <v>0</v>
      </c>
      <c r="I944" s="1823">
        <f t="shared" si="194"/>
        <v>0</v>
      </c>
      <c r="J944" s="1823">
        <f t="shared" si="194"/>
        <v>0</v>
      </c>
      <c r="K944" s="1823">
        <f t="shared" si="194"/>
        <v>0</v>
      </c>
      <c r="L944" s="1823">
        <f t="shared" si="194"/>
        <v>0</v>
      </c>
      <c r="M944" s="1823">
        <f t="shared" si="194"/>
        <v>0</v>
      </c>
      <c r="N944" s="1823">
        <f t="shared" si="194"/>
        <v>0</v>
      </c>
      <c r="O944" s="1823">
        <f t="shared" si="194"/>
        <v>0</v>
      </c>
      <c r="P944" s="1823">
        <f t="shared" si="194"/>
        <v>0</v>
      </c>
      <c r="Q944" s="1823">
        <f t="shared" si="194"/>
        <v>0</v>
      </c>
      <c r="R944" s="1823">
        <f t="shared" si="194"/>
        <v>0</v>
      </c>
      <c r="S944" s="1053"/>
      <c r="T944" s="2035">
        <f t="shared" si="193"/>
        <v>0</v>
      </c>
    </row>
    <row r="945" spans="1:20" ht="22.2" hidden="1" customHeight="1">
      <c r="A945" s="59"/>
      <c r="B945" s="1577" t="s">
        <v>4861</v>
      </c>
      <c r="C945" s="1013" t="str">
        <f t="shared" si="191"/>
        <v xml:space="preserve"> </v>
      </c>
      <c r="D945" s="1534">
        <v>2</v>
      </c>
      <c r="E945" s="1044"/>
      <c r="F945" s="1056" t="str">
        <f>VLOOKUP($B945,DG!A:D,DG!$C$2,)</f>
        <v>Sắt góc L50 x50 x5 x1190</v>
      </c>
      <c r="G945" s="1044" t="str">
        <f>VLOOKUP($B945,DG!A:D,DG!$D$2,)</f>
        <v>cái</v>
      </c>
      <c r="H945" s="1823">
        <f t="shared" si="194"/>
        <v>0</v>
      </c>
      <c r="I945" s="1823">
        <f t="shared" si="194"/>
        <v>0</v>
      </c>
      <c r="J945" s="1823">
        <f t="shared" si="194"/>
        <v>0</v>
      </c>
      <c r="K945" s="1823">
        <f t="shared" si="194"/>
        <v>0</v>
      </c>
      <c r="L945" s="1823">
        <f t="shared" si="194"/>
        <v>0</v>
      </c>
      <c r="M945" s="1823">
        <f t="shared" si="194"/>
        <v>0</v>
      </c>
      <c r="N945" s="1823">
        <f t="shared" si="194"/>
        <v>0</v>
      </c>
      <c r="O945" s="1823"/>
      <c r="P945" s="1823">
        <f t="shared" si="194"/>
        <v>0</v>
      </c>
      <c r="Q945" s="1823">
        <f t="shared" si="194"/>
        <v>0</v>
      </c>
      <c r="R945" s="1823">
        <f t="shared" si="194"/>
        <v>0</v>
      </c>
      <c r="S945" s="1053"/>
      <c r="T945" s="2035">
        <f t="shared" si="193"/>
        <v>0</v>
      </c>
    </row>
    <row r="946" spans="1:20" ht="22.2" hidden="1" customHeight="1">
      <c r="A946" s="59"/>
      <c r="B946" s="1577" t="s">
        <v>2112</v>
      </c>
      <c r="C946" s="1013" t="str">
        <f t="shared" si="191"/>
        <v xml:space="preserve"> </v>
      </c>
      <c r="D946" s="1534"/>
      <c r="E946" s="1044"/>
      <c r="F946" s="1056" t="str">
        <f>VLOOKUP($B946,DG!A:D,DG!$C$2,)</f>
        <v>Sắt dẹt 50x5</v>
      </c>
      <c r="G946" s="1044" t="str">
        <f>VLOOKUP($B946,DG!A:D,DG!$D$2,)</f>
        <v>kg</v>
      </c>
      <c r="H946" s="1823">
        <f t="shared" si="194"/>
        <v>0</v>
      </c>
      <c r="I946" s="1823">
        <f t="shared" si="194"/>
        <v>0</v>
      </c>
      <c r="J946" s="1823">
        <f t="shared" si="194"/>
        <v>0</v>
      </c>
      <c r="K946" s="1823">
        <f t="shared" si="194"/>
        <v>0</v>
      </c>
      <c r="L946" s="1823">
        <f t="shared" si="194"/>
        <v>0</v>
      </c>
      <c r="M946" s="1823">
        <f t="shared" si="194"/>
        <v>0</v>
      </c>
      <c r="N946" s="1823">
        <f t="shared" si="194"/>
        <v>0</v>
      </c>
      <c r="O946" s="1823"/>
      <c r="P946" s="1823"/>
      <c r="Q946" s="1053"/>
      <c r="R946" s="1053"/>
      <c r="S946" s="1053"/>
      <c r="T946" s="2035">
        <f t="shared" si="193"/>
        <v>0</v>
      </c>
    </row>
    <row r="947" spans="1:20" ht="22.2" hidden="1" customHeight="1">
      <c r="A947" s="59"/>
      <c r="B947" s="1577" t="s">
        <v>415</v>
      </c>
      <c r="C947" s="1013" t="str">
        <f t="shared" si="191"/>
        <v xml:space="preserve"> </v>
      </c>
      <c r="D947" s="1535">
        <v>3</v>
      </c>
      <c r="E947" s="1044"/>
      <c r="F947" s="1056" t="str">
        <f>VLOOKUP($B947,DG!A:D,DG!$C$2,)</f>
        <v>Boulon 16x300VRS+ 4 long đền vuông D18-50x50x3/Zn</v>
      </c>
      <c r="G947" s="1044" t="str">
        <f>VLOOKUP($B947,DG!A:D,DG!$D$2,)</f>
        <v>bộ</v>
      </c>
      <c r="H947" s="1823">
        <f t="shared" si="194"/>
        <v>0</v>
      </c>
      <c r="I947" s="1823">
        <f t="shared" si="194"/>
        <v>0</v>
      </c>
      <c r="J947" s="1823">
        <f t="shared" si="194"/>
        <v>0</v>
      </c>
      <c r="K947" s="1823">
        <f t="shared" si="194"/>
        <v>0</v>
      </c>
      <c r="L947" s="1823">
        <f t="shared" si="194"/>
        <v>0</v>
      </c>
      <c r="M947" s="1823">
        <f t="shared" si="194"/>
        <v>0</v>
      </c>
      <c r="N947" s="1823">
        <f t="shared" si="194"/>
        <v>0</v>
      </c>
      <c r="O947" s="1823"/>
      <c r="P947" s="1823">
        <f t="shared" si="194"/>
        <v>0</v>
      </c>
      <c r="Q947" s="1823">
        <f t="shared" si="194"/>
        <v>0</v>
      </c>
      <c r="R947" s="1823">
        <f t="shared" si="194"/>
        <v>0</v>
      </c>
      <c r="S947" s="1053"/>
      <c r="T947" s="2035">
        <f t="shared" si="193"/>
        <v>0</v>
      </c>
    </row>
    <row r="948" spans="1:20" ht="22.2" hidden="1" customHeight="1">
      <c r="A948" s="59"/>
      <c r="B948" s="1577" t="s">
        <v>1613</v>
      </c>
      <c r="C948" s="1013" t="str">
        <f t="shared" si="191"/>
        <v xml:space="preserve"> </v>
      </c>
      <c r="D948" s="1535">
        <v>2</v>
      </c>
      <c r="E948" s="1044"/>
      <c r="F948" s="1056" t="str">
        <f>VLOOKUP($B948,DG!A:D,DG!$C$2,)</f>
        <v>Boulon 16x300+ 2 long đền vuông D18-50x50x3/Zn</v>
      </c>
      <c r="G948" s="1044" t="str">
        <f>VLOOKUP($B948,DG!A:D,DG!$D$2,)</f>
        <v>bộ</v>
      </c>
      <c r="H948" s="1823">
        <f t="shared" si="194"/>
        <v>0</v>
      </c>
      <c r="I948" s="1823">
        <f t="shared" si="194"/>
        <v>0</v>
      </c>
      <c r="J948" s="1823">
        <f t="shared" si="194"/>
        <v>0</v>
      </c>
      <c r="K948" s="1823">
        <f t="shared" si="194"/>
        <v>0</v>
      </c>
      <c r="L948" s="1823">
        <f t="shared" si="194"/>
        <v>0</v>
      </c>
      <c r="M948" s="1823">
        <f t="shared" si="194"/>
        <v>0</v>
      </c>
      <c r="N948" s="1823">
        <f t="shared" si="194"/>
        <v>0</v>
      </c>
      <c r="O948" s="1823"/>
      <c r="P948" s="1823">
        <f t="shared" si="194"/>
        <v>0</v>
      </c>
      <c r="Q948" s="1823">
        <f t="shared" si="194"/>
        <v>0</v>
      </c>
      <c r="R948" s="1823">
        <f t="shared" si="194"/>
        <v>0</v>
      </c>
      <c r="S948" s="1053"/>
      <c r="T948" s="2035">
        <f t="shared" si="193"/>
        <v>0</v>
      </c>
    </row>
    <row r="949" spans="1:20" ht="22.2" hidden="1" customHeight="1">
      <c r="A949" s="59"/>
      <c r="B949" s="1577" t="s">
        <v>1789</v>
      </c>
      <c r="C949" s="1013" t="str">
        <f t="shared" si="191"/>
        <v xml:space="preserve"> </v>
      </c>
      <c r="D949" s="1535">
        <v>2</v>
      </c>
      <c r="E949" s="1044"/>
      <c r="F949" s="1056" t="str">
        <f>VLOOKUP($B949,DG!A:D,DG!$C$2,)</f>
        <v>Boulon 16x35+ 2 long đền vuông D18-50x50x3/Zn</v>
      </c>
      <c r="G949" s="1044" t="str">
        <f>VLOOKUP($B949,DG!A:D,DG!$D$2,)</f>
        <v>bộ</v>
      </c>
      <c r="H949" s="1823">
        <f t="shared" si="194"/>
        <v>0</v>
      </c>
      <c r="I949" s="1823">
        <f t="shared" si="194"/>
        <v>0</v>
      </c>
      <c r="J949" s="1823">
        <f t="shared" si="194"/>
        <v>0</v>
      </c>
      <c r="K949" s="1823">
        <f t="shared" si="194"/>
        <v>0</v>
      </c>
      <c r="L949" s="1823">
        <f t="shared" si="194"/>
        <v>0</v>
      </c>
      <c r="M949" s="1823">
        <f t="shared" si="194"/>
        <v>0</v>
      </c>
      <c r="N949" s="1823">
        <f t="shared" si="194"/>
        <v>0</v>
      </c>
      <c r="O949" s="1823"/>
      <c r="P949" s="1823">
        <f t="shared" si="194"/>
        <v>0</v>
      </c>
      <c r="Q949" s="1823">
        <f t="shared" si="194"/>
        <v>0</v>
      </c>
      <c r="R949" s="1823">
        <f t="shared" si="194"/>
        <v>0</v>
      </c>
      <c r="S949" s="1053"/>
      <c r="T949" s="2035">
        <f t="shared" si="193"/>
        <v>0</v>
      </c>
    </row>
    <row r="950" spans="1:20" ht="22.2" hidden="1" customHeight="1">
      <c r="A950" s="59"/>
      <c r="B950" s="1589" t="s">
        <v>517</v>
      </c>
      <c r="C950" s="1013" t="str">
        <f t="shared" si="191"/>
        <v xml:space="preserve"> </v>
      </c>
      <c r="D950" s="1535">
        <v>1</v>
      </c>
      <c r="E950" s="1048" t="str">
        <f>VLOOKUP($B950,DG!A:D,DG!$B$2,)</f>
        <v>05.6203</v>
      </c>
      <c r="F950" s="1049" t="str">
        <f>VLOOKUP($B950,DG!A:D,DG!$C$2,)</f>
        <v>Lắp xà néo ≤ 100kg</v>
      </c>
      <c r="G950" s="1044" t="str">
        <f>VLOOKUP($B950,DG!A:D,DG!$D$2,)</f>
        <v>bộ</v>
      </c>
      <c r="H950" s="1823"/>
      <c r="I950" s="1823"/>
      <c r="J950" s="1823"/>
      <c r="K950" s="1823"/>
      <c r="L950" s="1823"/>
      <c r="M950" s="1823"/>
      <c r="N950" s="1823"/>
      <c r="O950" s="1823"/>
      <c r="P950" s="1823"/>
      <c r="Q950" s="1058"/>
      <c r="R950" s="1058"/>
      <c r="S950" s="1058"/>
      <c r="T950" s="2035">
        <f t="shared" si="193"/>
        <v>0</v>
      </c>
    </row>
    <row r="951" spans="1:20" ht="22.2" hidden="1" customHeight="1">
      <c r="A951" s="59"/>
      <c r="B951" s="1577" t="s">
        <v>2000</v>
      </c>
      <c r="C951" s="1013" t="str">
        <f t="shared" si="191"/>
        <v xml:space="preserve"> </v>
      </c>
      <c r="D951" s="1533"/>
      <c r="E951" s="1044" t="str">
        <f>VLOOKUP($B951,DG!A:D,DG!$B$2,)</f>
        <v>02.1115</v>
      </c>
      <c r="F951" s="1049" t="str">
        <f>VLOOKUP($B951,DG!A:D,DG!$C$2,)</f>
        <v>Bốc dỡ xà, thép thanh</v>
      </c>
      <c r="G951" s="1044" t="str">
        <f>VLOOKUP($B951,DG!A:D,DG!$D$2,)</f>
        <v>tấn</v>
      </c>
      <c r="H951" s="1823"/>
      <c r="I951" s="1823"/>
      <c r="J951" s="1823"/>
      <c r="K951" s="1823"/>
      <c r="L951" s="1823"/>
      <c r="M951" s="1823"/>
      <c r="N951" s="1823"/>
      <c r="O951" s="1823"/>
      <c r="P951" s="1823"/>
      <c r="Q951" s="1058"/>
      <c r="R951" s="1058"/>
      <c r="S951" s="1058"/>
      <c r="T951" s="2035">
        <f t="shared" si="193"/>
        <v>0</v>
      </c>
    </row>
    <row r="952" spans="1:20" ht="22.2" hidden="1" customHeight="1">
      <c r="A952" s="59"/>
      <c r="B952" s="1588" t="s">
        <v>2001</v>
      </c>
      <c r="C952" s="1013" t="str">
        <f t="shared" si="191"/>
        <v xml:space="preserve"> </v>
      </c>
      <c r="D952" s="1533"/>
      <c r="E952" s="1044" t="str">
        <f>VLOOKUP($B952,DG!A:C,2,)</f>
        <v>02.1361</v>
      </c>
      <c r="F952" s="1049" t="str">
        <f>VLOOKUP($B952,DG!A:C,3,)</f>
        <v>V/c xà vào vị trí (cư ly &lt;=100m)</v>
      </c>
      <c r="G952" s="1044" t="str">
        <f>VLOOKUP($B952,DG!A:D,4,0)</f>
        <v>tấn</v>
      </c>
      <c r="H952" s="1823"/>
      <c r="I952" s="1823"/>
      <c r="J952" s="1823"/>
      <c r="K952" s="1823"/>
      <c r="L952" s="1823"/>
      <c r="M952" s="1823"/>
      <c r="N952" s="1823"/>
      <c r="O952" s="1823"/>
      <c r="P952" s="1823"/>
      <c r="Q952" s="1058"/>
      <c r="R952" s="1058"/>
      <c r="S952" s="1058"/>
      <c r="T952" s="2035">
        <f t="shared" si="193"/>
        <v>0</v>
      </c>
    </row>
    <row r="953" spans="1:20" ht="22.2" hidden="1" customHeight="1">
      <c r="A953" s="59"/>
      <c r="B953" s="1588" t="s">
        <v>635</v>
      </c>
      <c r="C953" s="1013" t="str">
        <f t="shared" si="191"/>
        <v xml:space="preserve"> </v>
      </c>
      <c r="D953" s="1534"/>
      <c r="E953" s="1044" t="str">
        <f>VLOOKUP($B953,DG!A:C,2,)</f>
        <v>02.1482</v>
      </c>
      <c r="F953" s="1049" t="str">
        <f>VLOOKUP($B953,DG!A:C,3,)</f>
        <v>V/c dụng cụ thi công vào vị trí (cự ly &lt;=100m)</v>
      </c>
      <c r="G953" s="1044" t="str">
        <f>VLOOKUP($B953,DG!A:D,4,0)</f>
        <v>tấn</v>
      </c>
      <c r="H953" s="1823"/>
      <c r="I953" s="1823"/>
      <c r="J953" s="1823"/>
      <c r="K953" s="1823"/>
      <c r="L953" s="1823"/>
      <c r="M953" s="1823"/>
      <c r="N953" s="1823"/>
      <c r="O953" s="1823"/>
      <c r="P953" s="1823"/>
      <c r="Q953" s="1058"/>
      <c r="R953" s="1058"/>
      <c r="S953" s="1058"/>
      <c r="T953" s="2035">
        <f t="shared" si="193"/>
        <v>0</v>
      </c>
    </row>
    <row r="954" spans="1:20" ht="22.2" customHeight="1">
      <c r="A954" s="1572" t="s">
        <v>2299</v>
      </c>
      <c r="B954" s="1574" t="s">
        <v>2299</v>
      </c>
      <c r="C954" s="1832" t="str">
        <f t="shared" si="191"/>
        <v>x</v>
      </c>
      <c r="D954" s="1532"/>
      <c r="E954" s="1045"/>
      <c r="F954" s="1392" t="s">
        <v>2438</v>
      </c>
      <c r="G954" s="1046" t="s">
        <v>2391</v>
      </c>
      <c r="H954" s="1821">
        <f>SUM(I954:O954)</f>
        <v>1</v>
      </c>
      <c r="I954" s="1822"/>
      <c r="J954" s="1822"/>
      <c r="K954" s="1822">
        <f>IFERROR(HLOOKUP(B954,pp3p1m!$1:$3,3,0),0)</f>
        <v>1</v>
      </c>
      <c r="L954" s="1822">
        <f>IFERROR(HLOOKUP(chitiet!B954,pp1p!$1:$3,3,0),0)</f>
        <v>0</v>
      </c>
      <c r="M954" s="1822"/>
      <c r="N954" s="1822"/>
      <c r="O954" s="1822"/>
      <c r="P954" s="1821">
        <f>H954+Q954-R954</f>
        <v>1</v>
      </c>
      <c r="Q954" s="1047"/>
      <c r="R954" s="1047"/>
      <c r="S954" s="1047"/>
      <c r="T954" s="2035">
        <f>IFERROR(HLOOKUP(B954,pp1p!$1:$3,3,0),0)+IFERROR(HLOOKUP(B954,pp3p1m!$1:$3,3,0),0)</f>
        <v>1</v>
      </c>
    </row>
    <row r="955" spans="1:20" ht="22.2" customHeight="1">
      <c r="B955" s="1571" t="s">
        <v>4857</v>
      </c>
      <c r="C955" s="1832" t="str">
        <f t="shared" si="191"/>
        <v>x</v>
      </c>
      <c r="D955" s="1534">
        <v>1</v>
      </c>
      <c r="E955" s="1044"/>
      <c r="F955" s="1056" t="str">
        <f>VLOOKUP($B955,DG!A:D,DG!$C$2,)</f>
        <v>Sắt góc L75 x75 x8-2.200</v>
      </c>
      <c r="G955" s="1044" t="str">
        <f>VLOOKUP($B955,DG!A:D,DG!$D$2,)</f>
        <v>cái</v>
      </c>
      <c r="H955" s="1823">
        <f t="shared" ref="H955:N958" si="195">H$954*$D955</f>
        <v>1</v>
      </c>
      <c r="I955" s="1823">
        <f t="shared" si="195"/>
        <v>0</v>
      </c>
      <c r="J955" s="1823">
        <f t="shared" si="195"/>
        <v>0</v>
      </c>
      <c r="K955" s="1823">
        <f t="shared" si="195"/>
        <v>1</v>
      </c>
      <c r="L955" s="1823">
        <f t="shared" si="195"/>
        <v>0</v>
      </c>
      <c r="M955" s="1823">
        <f t="shared" si="195"/>
        <v>0</v>
      </c>
      <c r="N955" s="1823">
        <f t="shared" si="195"/>
        <v>0</v>
      </c>
      <c r="O955" s="1823"/>
      <c r="P955" s="1830">
        <f>$P$954*D955</f>
        <v>1</v>
      </c>
      <c r="Q955" s="1059">
        <f>$Q$954*D955</f>
        <v>0</v>
      </c>
      <c r="R955" s="1053"/>
      <c r="S955" s="1053"/>
      <c r="T955" s="2035">
        <f t="shared" si="193"/>
        <v>0</v>
      </c>
    </row>
    <row r="956" spans="1:20" ht="22.2" customHeight="1">
      <c r="B956" s="1571" t="s">
        <v>6172</v>
      </c>
      <c r="C956" s="1832" t="str">
        <f t="shared" si="191"/>
        <v>x</v>
      </c>
      <c r="D956" s="1534">
        <v>1</v>
      </c>
      <c r="E956" s="1044"/>
      <c r="F956" s="1056" t="str">
        <f>VLOOKUP($B956,DG!A:D,DG!$C$2,)</f>
        <v>Sắt góc L50 x50 x5 x1150</v>
      </c>
      <c r="G956" s="1044" t="str">
        <f>VLOOKUP($B956,DG!A:D,DG!$D$2,)</f>
        <v>cái</v>
      </c>
      <c r="H956" s="1823">
        <f t="shared" si="195"/>
        <v>1</v>
      </c>
      <c r="I956" s="1823">
        <f t="shared" si="195"/>
        <v>0</v>
      </c>
      <c r="J956" s="1823">
        <f t="shared" si="195"/>
        <v>0</v>
      </c>
      <c r="K956" s="1823">
        <f t="shared" si="195"/>
        <v>1</v>
      </c>
      <c r="L956" s="1823">
        <f t="shared" si="195"/>
        <v>0</v>
      </c>
      <c r="M956" s="1823">
        <f t="shared" si="195"/>
        <v>0</v>
      </c>
      <c r="N956" s="1823">
        <f t="shared" si="195"/>
        <v>0</v>
      </c>
      <c r="O956" s="1823"/>
      <c r="P956" s="1823">
        <f>$P$954*D956</f>
        <v>1</v>
      </c>
      <c r="Q956" s="1059">
        <f>$Q$954*D956</f>
        <v>0</v>
      </c>
      <c r="R956" s="1053"/>
      <c r="S956" s="1053"/>
      <c r="T956" s="2035">
        <f t="shared" si="193"/>
        <v>0</v>
      </c>
    </row>
    <row r="957" spans="1:20" ht="22.2" customHeight="1">
      <c r="B957" s="1571" t="s">
        <v>1612</v>
      </c>
      <c r="C957" s="1832" t="str">
        <f t="shared" si="191"/>
        <v>x</v>
      </c>
      <c r="D957" s="1535">
        <v>2</v>
      </c>
      <c r="E957" s="1044"/>
      <c r="F957" s="1056" t="str">
        <f>VLOOKUP($B957,DG!A:D,DG!$C$2,)</f>
        <v>Boulon 16x250+ 2 long đền vuông D18-50x50x3/Zn</v>
      </c>
      <c r="G957" s="1044" t="str">
        <f>VLOOKUP($B957,DG!A:D,DG!$D$2,)</f>
        <v>bộ</v>
      </c>
      <c r="H957" s="1823">
        <f t="shared" si="195"/>
        <v>2</v>
      </c>
      <c r="I957" s="1823">
        <f t="shared" si="195"/>
        <v>0</v>
      </c>
      <c r="J957" s="1823">
        <f t="shared" si="195"/>
        <v>0</v>
      </c>
      <c r="K957" s="1823">
        <f t="shared" si="195"/>
        <v>2</v>
      </c>
      <c r="L957" s="1823">
        <f t="shared" si="195"/>
        <v>0</v>
      </c>
      <c r="M957" s="1823">
        <f t="shared" si="195"/>
        <v>0</v>
      </c>
      <c r="N957" s="1823">
        <f t="shared" si="195"/>
        <v>0</v>
      </c>
      <c r="O957" s="1823"/>
      <c r="P957" s="1823">
        <f>$P$954*D957</f>
        <v>2</v>
      </c>
      <c r="Q957" s="1053">
        <f>$Q$954*D957</f>
        <v>0</v>
      </c>
      <c r="R957" s="1053"/>
      <c r="S957" s="1053"/>
      <c r="T957" s="2035">
        <f t="shared" si="193"/>
        <v>0</v>
      </c>
    </row>
    <row r="958" spans="1:20" ht="22.2" customHeight="1">
      <c r="B958" s="1571" t="s">
        <v>1789</v>
      </c>
      <c r="C958" s="1832" t="str">
        <f t="shared" si="191"/>
        <v>x</v>
      </c>
      <c r="D958" s="1535">
        <v>1</v>
      </c>
      <c r="E958" s="1044"/>
      <c r="F958" s="1056" t="str">
        <f>VLOOKUP($B958,DG!A:D,DG!$C$2,)</f>
        <v>Boulon 16x35+ 2 long đền vuông D18-50x50x3/Zn</v>
      </c>
      <c r="G958" s="1044" t="str">
        <f>VLOOKUP($B958,DG!A:D,DG!$D$2,)</f>
        <v>bộ</v>
      </c>
      <c r="H958" s="1823">
        <f t="shared" si="195"/>
        <v>1</v>
      </c>
      <c r="I958" s="1823">
        <f t="shared" si="195"/>
        <v>0</v>
      </c>
      <c r="J958" s="1823">
        <f t="shared" si="195"/>
        <v>0</v>
      </c>
      <c r="K958" s="1823">
        <f t="shared" si="195"/>
        <v>1</v>
      </c>
      <c r="L958" s="1823">
        <f t="shared" si="195"/>
        <v>0</v>
      </c>
      <c r="M958" s="1823">
        <f t="shared" si="195"/>
        <v>0</v>
      </c>
      <c r="N958" s="1823">
        <f t="shared" si="195"/>
        <v>0</v>
      </c>
      <c r="O958" s="1823"/>
      <c r="P958" s="1823">
        <f>$P$954*D958</f>
        <v>1</v>
      </c>
      <c r="Q958" s="1053">
        <f>$Q$954*D958</f>
        <v>0</v>
      </c>
      <c r="R958" s="1053"/>
      <c r="S958" s="1053"/>
      <c r="T958" s="2035">
        <f t="shared" si="193"/>
        <v>0</v>
      </c>
    </row>
    <row r="959" spans="1:20" ht="22.2" customHeight="1">
      <c r="B959" s="1571" t="s">
        <v>1999</v>
      </c>
      <c r="C959" s="1832" t="str">
        <f t="shared" si="191"/>
        <v>x</v>
      </c>
      <c r="D959" s="1535">
        <v>1</v>
      </c>
      <c r="E959" s="1060" t="str">
        <f>VLOOKUP($B959,DG!A:D,DG!$B$2,)</f>
        <v>05.6401</v>
      </c>
      <c r="F959" s="1049" t="str">
        <f>VLOOKUP($B959,DG!A:D,DG!$C$2,)</f>
        <v>Lắp xà đỡ ≤ 25kg</v>
      </c>
      <c r="G959" s="1044" t="str">
        <f>VLOOKUP($B959,DG!A:D,DG!$D$2,)</f>
        <v>bộ</v>
      </c>
      <c r="H959" s="1823">
        <f>H$954*$D959</f>
        <v>1</v>
      </c>
      <c r="I959" s="1823"/>
      <c r="J959" s="1823"/>
      <c r="K959" s="1823"/>
      <c r="L959" s="1823"/>
      <c r="M959" s="1823"/>
      <c r="N959" s="1823"/>
      <c r="O959" s="1823"/>
      <c r="P959" s="1823">
        <f>$P$954*D959</f>
        <v>1</v>
      </c>
      <c r="Q959" s="1053">
        <f>$Q$954*D959</f>
        <v>0</v>
      </c>
      <c r="R959" s="1058"/>
      <c r="S959" s="1058"/>
      <c r="T959" s="2035">
        <f t="shared" si="193"/>
        <v>0</v>
      </c>
    </row>
    <row r="960" spans="1:20" ht="22.2" hidden="1" customHeight="1">
      <c r="A960" s="59"/>
      <c r="B960" s="1577" t="s">
        <v>2000</v>
      </c>
      <c r="C960" s="1013" t="str">
        <f t="shared" si="191"/>
        <v xml:space="preserve"> </v>
      </c>
      <c r="D960" s="1533"/>
      <c r="E960" s="1044" t="str">
        <f>VLOOKUP($B960,DG!A:D,DG!$B$2,)</f>
        <v>02.1115</v>
      </c>
      <c r="F960" s="1049" t="str">
        <f>VLOOKUP($B960,DG!A:D,DG!$C$2,)</f>
        <v>Bốc dỡ xà, thép thanh</v>
      </c>
      <c r="G960" s="1044" t="str">
        <f>VLOOKUP($B960,DG!A:D,DG!$D$2,)</f>
        <v>tấn</v>
      </c>
      <c r="H960" s="1823"/>
      <c r="I960" s="1823"/>
      <c r="J960" s="1823"/>
      <c r="K960" s="1823"/>
      <c r="L960" s="1823"/>
      <c r="M960" s="1823"/>
      <c r="N960" s="1823"/>
      <c r="O960" s="1823"/>
      <c r="P960" s="1823"/>
      <c r="Q960" s="1058"/>
      <c r="R960" s="1058"/>
      <c r="S960" s="1058"/>
      <c r="T960" s="2035">
        <f t="shared" si="193"/>
        <v>0</v>
      </c>
    </row>
    <row r="961" spans="1:20" ht="22.2" hidden="1" customHeight="1">
      <c r="A961" s="59"/>
      <c r="B961" s="1588" t="s">
        <v>2001</v>
      </c>
      <c r="C961" s="1013" t="str">
        <f t="shared" si="191"/>
        <v xml:space="preserve"> </v>
      </c>
      <c r="D961" s="1533"/>
      <c r="E961" s="1044" t="str">
        <f>VLOOKUP($B961,DG!A:C,2,)</f>
        <v>02.1361</v>
      </c>
      <c r="F961" s="1049" t="str">
        <f>VLOOKUP($B961,DG!A:C,3,)</f>
        <v>V/c xà vào vị trí (cư ly &lt;=100m)</v>
      </c>
      <c r="G961" s="1044" t="str">
        <f>VLOOKUP($B961,DG!A:D,4,0)</f>
        <v>tấn</v>
      </c>
      <c r="H961" s="1823"/>
      <c r="I961" s="1823"/>
      <c r="J961" s="1823"/>
      <c r="K961" s="1823"/>
      <c r="L961" s="1823"/>
      <c r="M961" s="1823"/>
      <c r="N961" s="1823"/>
      <c r="O961" s="1823"/>
      <c r="P961" s="1823"/>
      <c r="Q961" s="1058"/>
      <c r="R961" s="1058"/>
      <c r="S961" s="1058"/>
      <c r="T961" s="2035">
        <f t="shared" si="193"/>
        <v>0</v>
      </c>
    </row>
    <row r="962" spans="1:20" ht="22.2" hidden="1" customHeight="1">
      <c r="A962" s="59"/>
      <c r="B962" s="1588" t="s">
        <v>635</v>
      </c>
      <c r="C962" s="1013" t="str">
        <f t="shared" si="191"/>
        <v xml:space="preserve"> </v>
      </c>
      <c r="D962" s="1534"/>
      <c r="E962" s="1044" t="str">
        <f>VLOOKUP($B962,DG!A:C,2,)</f>
        <v>02.1482</v>
      </c>
      <c r="F962" s="1049" t="str">
        <f>VLOOKUP($B962,DG!A:C,3,)</f>
        <v>V/c dụng cụ thi công vào vị trí (cự ly &lt;=100m)</v>
      </c>
      <c r="G962" s="1044" t="str">
        <f>VLOOKUP($B962,DG!A:D,4,0)</f>
        <v>tấn</v>
      </c>
      <c r="H962" s="1823"/>
      <c r="I962" s="1823"/>
      <c r="J962" s="1823"/>
      <c r="K962" s="1823"/>
      <c r="L962" s="1823"/>
      <c r="M962" s="1823"/>
      <c r="N962" s="1823"/>
      <c r="O962" s="1823"/>
      <c r="P962" s="1823"/>
      <c r="Q962" s="1058"/>
      <c r="R962" s="1058"/>
      <c r="S962" s="1058"/>
      <c r="T962" s="2035">
        <f t="shared" si="193"/>
        <v>0</v>
      </c>
    </row>
    <row r="963" spans="1:20" ht="22.2" hidden="1" customHeight="1">
      <c r="A963" s="1572" t="s">
        <v>2125</v>
      </c>
      <c r="B963" s="1574" t="s">
        <v>2125</v>
      </c>
      <c r="C963" s="1013" t="str">
        <f t="shared" si="191"/>
        <v xml:space="preserve"> </v>
      </c>
      <c r="D963" s="1532"/>
      <c r="E963" s="1045"/>
      <c r="F963" s="1392" t="s">
        <v>2439</v>
      </c>
      <c r="G963" s="1046" t="s">
        <v>2391</v>
      </c>
      <c r="H963" s="1821">
        <f>SUM(I963:O963)</f>
        <v>0</v>
      </c>
      <c r="I963" s="1822"/>
      <c r="J963" s="1822"/>
      <c r="K963" s="1822">
        <f>IFERROR(HLOOKUP(B963,pp3p1m!$1:$3,3,0),0)</f>
        <v>0</v>
      </c>
      <c r="L963" s="1822">
        <f>IFERROR(HLOOKUP(chitiet!B963,pp1p!$1:$3,3,0),0)</f>
        <v>0</v>
      </c>
      <c r="M963" s="1822"/>
      <c r="N963" s="1822"/>
      <c r="O963" s="1822"/>
      <c r="P963" s="1822">
        <f>H963+Q963-R963</f>
        <v>0</v>
      </c>
      <c r="Q963" s="1047"/>
      <c r="R963" s="1047"/>
      <c r="S963" s="1047"/>
      <c r="T963" s="2035">
        <f>IFERROR(HLOOKUP(B963,pp1p!$1:$3,3,0),0)+IFERROR(HLOOKUP(B963,pp3p1m!$1:$3,3,0),0)</f>
        <v>0</v>
      </c>
    </row>
    <row r="964" spans="1:20" ht="22.2" hidden="1" customHeight="1">
      <c r="B964" s="1571" t="s">
        <v>109</v>
      </c>
      <c r="C964" s="1013" t="str">
        <f t="shared" si="191"/>
        <v xml:space="preserve"> </v>
      </c>
      <c r="D964" s="1534">
        <f>9.02*2*(2+3*0.07)</f>
        <v>39.868399999999994</v>
      </c>
      <c r="E964" s="1044"/>
      <c r="F964" s="1056" t="str">
        <f>VLOOKUP($B964,DG!A:D,DG!$C$2,)</f>
        <v>Sắt góc L75 x75 x8</v>
      </c>
      <c r="G964" s="1044" t="str">
        <f>VLOOKUP($B964,DG!A:D,DG!$D$2,)</f>
        <v>kg</v>
      </c>
      <c r="H964" s="1823">
        <f t="shared" ref="H964:N969" si="196">H$963*$D964</f>
        <v>0</v>
      </c>
      <c r="I964" s="1823">
        <f t="shared" si="196"/>
        <v>0</v>
      </c>
      <c r="J964" s="1823">
        <f t="shared" si="196"/>
        <v>0</v>
      </c>
      <c r="K964" s="1823">
        <f t="shared" si="196"/>
        <v>0</v>
      </c>
      <c r="L964" s="1823">
        <f t="shared" si="196"/>
        <v>0</v>
      </c>
      <c r="M964" s="1823">
        <f t="shared" si="196"/>
        <v>0</v>
      </c>
      <c r="N964" s="1823">
        <f t="shared" si="196"/>
        <v>0</v>
      </c>
      <c r="O964" s="1823"/>
      <c r="P964" s="1823">
        <f t="shared" ref="P964:P970" si="197">$P$963*D964</f>
        <v>0</v>
      </c>
      <c r="Q964" s="1053"/>
      <c r="R964" s="1053"/>
      <c r="S964" s="1053"/>
      <c r="T964" s="2035">
        <f t="shared" si="193"/>
        <v>0</v>
      </c>
    </row>
    <row r="965" spans="1:20" ht="22.2" hidden="1" customHeight="1">
      <c r="B965" s="1571" t="s">
        <v>457</v>
      </c>
      <c r="C965" s="1013" t="str">
        <f t="shared" si="191"/>
        <v xml:space="preserve"> </v>
      </c>
      <c r="D965" s="1534">
        <f>3.77*1.15*2</f>
        <v>8.6709999999999994</v>
      </c>
      <c r="E965" s="1044"/>
      <c r="F965" s="1056" t="str">
        <f>VLOOKUP($B965,DG!A:D,DG!$C$2,)</f>
        <v>Sắt góc L50 x50 x5</v>
      </c>
      <c r="G965" s="1044" t="str">
        <f>VLOOKUP($B965,DG!A:D,DG!$D$2,)</f>
        <v>kg</v>
      </c>
      <c r="H965" s="1823">
        <f t="shared" si="196"/>
        <v>0</v>
      </c>
      <c r="I965" s="1823">
        <f t="shared" si="196"/>
        <v>0</v>
      </c>
      <c r="J965" s="1823">
        <f t="shared" si="196"/>
        <v>0</v>
      </c>
      <c r="K965" s="1823">
        <f t="shared" si="196"/>
        <v>0</v>
      </c>
      <c r="L965" s="1823">
        <f t="shared" si="196"/>
        <v>0</v>
      </c>
      <c r="M965" s="1823">
        <f t="shared" si="196"/>
        <v>0</v>
      </c>
      <c r="N965" s="1823">
        <f t="shared" si="196"/>
        <v>0</v>
      </c>
      <c r="O965" s="1823"/>
      <c r="P965" s="1823">
        <f t="shared" si="197"/>
        <v>0</v>
      </c>
      <c r="Q965" s="1053"/>
      <c r="R965" s="1053"/>
      <c r="S965" s="1053"/>
      <c r="T965" s="2035">
        <f t="shared" si="193"/>
        <v>0</v>
      </c>
    </row>
    <row r="966" spans="1:20" ht="22.2" hidden="1" customHeight="1">
      <c r="B966" s="1571" t="s">
        <v>415</v>
      </c>
      <c r="C966" s="1013" t="str">
        <f t="shared" si="191"/>
        <v xml:space="preserve"> </v>
      </c>
      <c r="D966" s="1535">
        <v>1</v>
      </c>
      <c r="E966" s="1044"/>
      <c r="F966" s="1056" t="str">
        <f>VLOOKUP($B966,DG!A:D,DG!$C$2,)</f>
        <v>Boulon 16x300VRS+ 4 long đền vuông D18-50x50x3/Zn</v>
      </c>
      <c r="G966" s="1044" t="str">
        <f>VLOOKUP($B966,DG!A:D,DG!$D$2,)</f>
        <v>bộ</v>
      </c>
      <c r="H966" s="1823">
        <f t="shared" si="196"/>
        <v>0</v>
      </c>
      <c r="I966" s="1823">
        <f t="shared" si="196"/>
        <v>0</v>
      </c>
      <c r="J966" s="1823">
        <f t="shared" si="196"/>
        <v>0</v>
      </c>
      <c r="K966" s="1823">
        <f t="shared" si="196"/>
        <v>0</v>
      </c>
      <c r="L966" s="1823">
        <f t="shared" si="196"/>
        <v>0</v>
      </c>
      <c r="M966" s="1823">
        <f t="shared" si="196"/>
        <v>0</v>
      </c>
      <c r="N966" s="1823">
        <f t="shared" si="196"/>
        <v>0</v>
      </c>
      <c r="O966" s="1823"/>
      <c r="P966" s="1823">
        <f t="shared" si="197"/>
        <v>0</v>
      </c>
      <c r="Q966" s="1053"/>
      <c r="R966" s="1053"/>
      <c r="S966" s="1053"/>
      <c r="T966" s="2035">
        <f t="shared" si="193"/>
        <v>0</v>
      </c>
    </row>
    <row r="967" spans="1:20" ht="22.2" hidden="1" customHeight="1">
      <c r="B967" s="1571" t="s">
        <v>1613</v>
      </c>
      <c r="C967" s="1013" t="str">
        <f t="shared" si="191"/>
        <v xml:space="preserve"> </v>
      </c>
      <c r="D967" s="1535">
        <v>1</v>
      </c>
      <c r="E967" s="1044"/>
      <c r="F967" s="1056" t="str">
        <f>VLOOKUP($B967,DG!A:D,DG!$C$2,)</f>
        <v>Boulon 16x300+ 2 long đền vuông D18-50x50x3/Zn</v>
      </c>
      <c r="G967" s="1044" t="str">
        <f>VLOOKUP($B967,DG!A:D,DG!$D$2,)</f>
        <v>bộ</v>
      </c>
      <c r="H967" s="1823">
        <f t="shared" si="196"/>
        <v>0</v>
      </c>
      <c r="I967" s="1823">
        <f t="shared" si="196"/>
        <v>0</v>
      </c>
      <c r="J967" s="1823">
        <f t="shared" si="196"/>
        <v>0</v>
      </c>
      <c r="K967" s="1823">
        <f t="shared" si="196"/>
        <v>0</v>
      </c>
      <c r="L967" s="1823">
        <f t="shared" si="196"/>
        <v>0</v>
      </c>
      <c r="M967" s="1823">
        <f t="shared" si="196"/>
        <v>0</v>
      </c>
      <c r="N967" s="1823">
        <f t="shared" si="196"/>
        <v>0</v>
      </c>
      <c r="O967" s="1823"/>
      <c r="P967" s="1823">
        <f t="shared" si="197"/>
        <v>0</v>
      </c>
      <c r="Q967" s="1053"/>
      <c r="R967" s="1053"/>
      <c r="S967" s="1053"/>
      <c r="T967" s="2035">
        <f t="shared" si="193"/>
        <v>0</v>
      </c>
    </row>
    <row r="968" spans="1:20" ht="22.2" hidden="1" customHeight="1">
      <c r="B968" s="1571" t="s">
        <v>1612</v>
      </c>
      <c r="C968" s="1013" t="str">
        <f t="shared" si="191"/>
        <v xml:space="preserve"> </v>
      </c>
      <c r="D968" s="1535">
        <v>1</v>
      </c>
      <c r="E968" s="1044"/>
      <c r="F968" s="1056" t="str">
        <f>VLOOKUP($B968,DG!A:D,DG!$C$2,)</f>
        <v>Boulon 16x250+ 2 long đền vuông D18-50x50x3/Zn</v>
      </c>
      <c r="G968" s="1044" t="str">
        <f>VLOOKUP($B968,DG!A:D,DG!$D$2,)</f>
        <v>bộ</v>
      </c>
      <c r="H968" s="1823">
        <f t="shared" si="196"/>
        <v>0</v>
      </c>
      <c r="I968" s="1823">
        <f t="shared" si="196"/>
        <v>0</v>
      </c>
      <c r="J968" s="1823">
        <f t="shared" si="196"/>
        <v>0</v>
      </c>
      <c r="K968" s="1823">
        <f t="shared" si="196"/>
        <v>0</v>
      </c>
      <c r="L968" s="1823">
        <f t="shared" si="196"/>
        <v>0</v>
      </c>
      <c r="M968" s="1823">
        <f t="shared" si="196"/>
        <v>0</v>
      </c>
      <c r="N968" s="1823">
        <f t="shared" si="196"/>
        <v>0</v>
      </c>
      <c r="O968" s="1823"/>
      <c r="P968" s="1823">
        <f t="shared" si="197"/>
        <v>0</v>
      </c>
      <c r="Q968" s="1053"/>
      <c r="R968" s="1053"/>
      <c r="S968" s="1053"/>
      <c r="T968" s="2035">
        <f t="shared" si="193"/>
        <v>0</v>
      </c>
    </row>
    <row r="969" spans="1:20" ht="22.2" hidden="1" customHeight="1">
      <c r="B969" s="1571" t="s">
        <v>1790</v>
      </c>
      <c r="C969" s="1013" t="str">
        <f t="shared" si="191"/>
        <v xml:space="preserve"> </v>
      </c>
      <c r="D969" s="1535">
        <v>2</v>
      </c>
      <c r="E969" s="1044"/>
      <c r="F969" s="1056" t="str">
        <f>VLOOKUP($B969,DG!A:D,DG!$C$2,)</f>
        <v>Boulon 16x50+ 2 long đền vuông D18-50x50x3/Zn</v>
      </c>
      <c r="G969" s="1044" t="str">
        <f>VLOOKUP($B969,DG!A:D,DG!$D$2,)</f>
        <v>bộ</v>
      </c>
      <c r="H969" s="1823">
        <f t="shared" si="196"/>
        <v>0</v>
      </c>
      <c r="I969" s="1823">
        <f t="shared" si="196"/>
        <v>0</v>
      </c>
      <c r="J969" s="1823">
        <f t="shared" si="196"/>
        <v>0</v>
      </c>
      <c r="K969" s="1823">
        <f t="shared" si="196"/>
        <v>0</v>
      </c>
      <c r="L969" s="1823">
        <f t="shared" si="196"/>
        <v>0</v>
      </c>
      <c r="M969" s="1823">
        <f t="shared" si="196"/>
        <v>0</v>
      </c>
      <c r="N969" s="1823">
        <f t="shared" si="196"/>
        <v>0</v>
      </c>
      <c r="O969" s="1823"/>
      <c r="P969" s="1823">
        <f t="shared" si="197"/>
        <v>0</v>
      </c>
      <c r="Q969" s="1053"/>
      <c r="R969" s="1053"/>
      <c r="S969" s="1053"/>
      <c r="T969" s="2035">
        <f t="shared" si="193"/>
        <v>0</v>
      </c>
    </row>
    <row r="970" spans="1:20" ht="22.2" hidden="1" customHeight="1">
      <c r="B970" s="1571" t="s">
        <v>2002</v>
      </c>
      <c r="C970" s="1013" t="str">
        <f t="shared" si="191"/>
        <v xml:space="preserve"> </v>
      </c>
      <c r="D970" s="1535">
        <v>1</v>
      </c>
      <c r="E970" s="1060" t="str">
        <f>VLOOKUP($B970,DG!A:D,DG!$B$2,)</f>
        <v>05.6202</v>
      </c>
      <c r="F970" s="1049" t="str">
        <f>VLOOKUP($B970,DG!A:D,DG!$C$2,)</f>
        <v>Lắp xà néo ≤ 50kg</v>
      </c>
      <c r="G970" s="1044" t="str">
        <f>VLOOKUP($B970,DG!A:D,DG!$D$2,)</f>
        <v>bộ</v>
      </c>
      <c r="H970" s="1823">
        <f>H$963*$D970</f>
        <v>0</v>
      </c>
      <c r="I970" s="1823"/>
      <c r="J970" s="1823"/>
      <c r="K970" s="1823"/>
      <c r="L970" s="1823"/>
      <c r="M970" s="1823"/>
      <c r="N970" s="1823"/>
      <c r="O970" s="1823"/>
      <c r="P970" s="1823">
        <f t="shared" si="197"/>
        <v>0</v>
      </c>
      <c r="Q970" s="1058"/>
      <c r="R970" s="1058"/>
      <c r="S970" s="1058"/>
      <c r="T970" s="2035">
        <f t="shared" si="193"/>
        <v>0</v>
      </c>
    </row>
    <row r="971" spans="1:20" ht="22.2" hidden="1" customHeight="1">
      <c r="A971" s="59"/>
      <c r="B971" s="1577" t="s">
        <v>2000</v>
      </c>
      <c r="C971" s="1013" t="str">
        <f t="shared" si="191"/>
        <v xml:space="preserve"> </v>
      </c>
      <c r="D971" s="1533"/>
      <c r="E971" s="1044" t="str">
        <f>VLOOKUP($B971,DG!A:D,DG!$B$2,)</f>
        <v>02.1115</v>
      </c>
      <c r="F971" s="1049" t="str">
        <f>VLOOKUP($B971,DG!A:D,DG!$C$2,)</f>
        <v>Bốc dỡ xà, thép thanh</v>
      </c>
      <c r="G971" s="1044" t="str">
        <f>VLOOKUP($B971,DG!A:D,DG!$D$2,)</f>
        <v>tấn</v>
      </c>
      <c r="H971" s="1823"/>
      <c r="I971" s="1823"/>
      <c r="J971" s="1823"/>
      <c r="K971" s="1823"/>
      <c r="L971" s="1823"/>
      <c r="M971" s="1823"/>
      <c r="N971" s="1823"/>
      <c r="O971" s="1823"/>
      <c r="P971" s="1823"/>
      <c r="Q971" s="1058"/>
      <c r="R971" s="1058"/>
      <c r="S971" s="1058"/>
      <c r="T971" s="2035">
        <f t="shared" si="193"/>
        <v>0</v>
      </c>
    </row>
    <row r="972" spans="1:20" ht="22.2" hidden="1" customHeight="1">
      <c r="A972" s="59"/>
      <c r="B972" s="1588" t="s">
        <v>2001</v>
      </c>
      <c r="C972" s="1013" t="str">
        <f t="shared" si="191"/>
        <v xml:space="preserve"> </v>
      </c>
      <c r="D972" s="1533"/>
      <c r="E972" s="1044" t="str">
        <f>VLOOKUP($B972,DG!A:C,2,)</f>
        <v>02.1361</v>
      </c>
      <c r="F972" s="1049" t="str">
        <f>VLOOKUP($B972,DG!A:C,3,)</f>
        <v>V/c xà vào vị trí (cư ly &lt;=100m)</v>
      </c>
      <c r="G972" s="1044" t="str">
        <f>VLOOKUP($B972,DG!A:D,4,0)</f>
        <v>tấn</v>
      </c>
      <c r="H972" s="1823"/>
      <c r="I972" s="1823"/>
      <c r="J972" s="1823"/>
      <c r="K972" s="1823"/>
      <c r="L972" s="1823"/>
      <c r="M972" s="1823"/>
      <c r="N972" s="1823"/>
      <c r="O972" s="1823"/>
      <c r="P972" s="1823"/>
      <c r="Q972" s="1058"/>
      <c r="R972" s="1058"/>
      <c r="S972" s="1058"/>
      <c r="T972" s="2035">
        <f t="shared" si="193"/>
        <v>0</v>
      </c>
    </row>
    <row r="973" spans="1:20" ht="22.2" hidden="1" customHeight="1">
      <c r="A973" s="59"/>
      <c r="B973" s="1588" t="s">
        <v>635</v>
      </c>
      <c r="C973" s="1013" t="str">
        <f t="shared" si="191"/>
        <v xml:space="preserve"> </v>
      </c>
      <c r="D973" s="1534"/>
      <c r="E973" s="1044" t="str">
        <f>VLOOKUP($B973,DG!A:C,2,)</f>
        <v>02.1482</v>
      </c>
      <c r="F973" s="1049" t="str">
        <f>VLOOKUP($B973,DG!A:C,3,)</f>
        <v>V/c dụng cụ thi công vào vị trí (cự ly &lt;=100m)</v>
      </c>
      <c r="G973" s="1044" t="str">
        <f>VLOOKUP($B973,DG!A:D,4,0)</f>
        <v>tấn</v>
      </c>
      <c r="H973" s="1823"/>
      <c r="I973" s="1823"/>
      <c r="J973" s="1823"/>
      <c r="K973" s="1823"/>
      <c r="L973" s="1823"/>
      <c r="M973" s="1823"/>
      <c r="N973" s="1823"/>
      <c r="O973" s="1823"/>
      <c r="P973" s="1823"/>
      <c r="Q973" s="1058"/>
      <c r="R973" s="1058"/>
      <c r="S973" s="1058"/>
      <c r="T973" s="2035">
        <f t="shared" si="193"/>
        <v>0</v>
      </c>
    </row>
    <row r="974" spans="1:20" ht="22.2" hidden="1" customHeight="1">
      <c r="A974" s="56" t="s">
        <v>2304</v>
      </c>
      <c r="B974" s="1574" t="s">
        <v>2304</v>
      </c>
      <c r="C974" s="1013" t="str">
        <f t="shared" si="191"/>
        <v xml:space="preserve"> </v>
      </c>
      <c r="D974" s="1532"/>
      <c r="E974" s="1045"/>
      <c r="F974" s="1392" t="s">
        <v>2440</v>
      </c>
      <c r="G974" s="1046" t="s">
        <v>2391</v>
      </c>
      <c r="H974" s="1821">
        <f>SUM(I974:O974)</f>
        <v>0</v>
      </c>
      <c r="I974" s="1822"/>
      <c r="J974" s="1822"/>
      <c r="K974" s="1822">
        <f>IFERROR(HLOOKUP(B974,pp3p1m!$1:$3,3,0),0)</f>
        <v>0</v>
      </c>
      <c r="L974" s="1822">
        <f>IFERROR(HLOOKUP(chitiet!B974,pp1p!$1:$3,3,0),0)</f>
        <v>0</v>
      </c>
      <c r="M974" s="1822"/>
      <c r="N974" s="1822"/>
      <c r="O974" s="1822"/>
      <c r="P974" s="1822">
        <f>H974+Q974-R974</f>
        <v>0</v>
      </c>
      <c r="Q974" s="1047"/>
      <c r="R974" s="1047"/>
      <c r="S974" s="1047"/>
      <c r="T974" s="2035">
        <f>IFERROR(HLOOKUP(B974,pp1p!$1:$3,3,0),0)+IFERROR(HLOOKUP(B974,pp3p1m!$1:$3,3,0),0)</f>
        <v>0</v>
      </c>
    </row>
    <row r="975" spans="1:20" ht="22.2" hidden="1" customHeight="1">
      <c r="A975" s="59"/>
      <c r="B975" s="1577" t="s">
        <v>109</v>
      </c>
      <c r="C975" s="1013" t="str">
        <f t="shared" si="191"/>
        <v xml:space="preserve"> </v>
      </c>
      <c r="D975" s="1534">
        <f>9.02*(2.4+3*0.07)</f>
        <v>23.542199999999998</v>
      </c>
      <c r="E975" s="1044"/>
      <c r="F975" s="1056" t="str">
        <f>VLOOKUP($B975,DG!A:D,DG!$C$2,)</f>
        <v>Sắt góc L75 x75 x8</v>
      </c>
      <c r="G975" s="1044" t="str">
        <f>VLOOKUP($B975,DG!A:D,DG!$D$2,)</f>
        <v>kg</v>
      </c>
      <c r="H975" s="1823">
        <f t="shared" ref="H975:L978" si="198">H$974*$D975</f>
        <v>0</v>
      </c>
      <c r="I975" s="1823">
        <f t="shared" si="198"/>
        <v>0</v>
      </c>
      <c r="J975" s="1823">
        <f t="shared" si="198"/>
        <v>0</v>
      </c>
      <c r="K975" s="1823">
        <f t="shared" si="198"/>
        <v>0</v>
      </c>
      <c r="L975" s="1823">
        <f t="shared" si="198"/>
        <v>0</v>
      </c>
      <c r="M975" s="1823"/>
      <c r="N975" s="1823"/>
      <c r="O975" s="1823"/>
      <c r="P975" s="1823"/>
      <c r="Q975" s="1053"/>
      <c r="R975" s="1053"/>
      <c r="S975" s="1053"/>
      <c r="T975" s="2035">
        <f t="shared" si="193"/>
        <v>0</v>
      </c>
    </row>
    <row r="976" spans="1:20" ht="22.2" hidden="1" customHeight="1">
      <c r="A976" s="59"/>
      <c r="B976" s="1577" t="s">
        <v>1613</v>
      </c>
      <c r="C976" s="1013" t="str">
        <f t="shared" si="191"/>
        <v xml:space="preserve"> </v>
      </c>
      <c r="D976" s="1535">
        <v>2</v>
      </c>
      <c r="E976" s="1044"/>
      <c r="F976" s="1056" t="str">
        <f>VLOOKUP($B976,DG!A:D,DG!$C$2,)</f>
        <v>Boulon 16x300+ 2 long đền vuông D18-50x50x3/Zn</v>
      </c>
      <c r="G976" s="1044" t="str">
        <f>VLOOKUP($B976,DG!A:D,DG!$D$2,)</f>
        <v>bộ</v>
      </c>
      <c r="H976" s="1823">
        <f t="shared" si="198"/>
        <v>0</v>
      </c>
      <c r="I976" s="1823">
        <f t="shared" si="198"/>
        <v>0</v>
      </c>
      <c r="J976" s="1823">
        <f t="shared" si="198"/>
        <v>0</v>
      </c>
      <c r="K976" s="1823">
        <f t="shared" si="198"/>
        <v>0</v>
      </c>
      <c r="L976" s="1823">
        <f t="shared" si="198"/>
        <v>0</v>
      </c>
      <c r="M976" s="1823"/>
      <c r="N976" s="1823"/>
      <c r="O976" s="1823"/>
      <c r="P976" s="1823"/>
      <c r="Q976" s="1053"/>
      <c r="R976" s="1053"/>
      <c r="S976" s="1053"/>
      <c r="T976" s="2035">
        <f t="shared" si="193"/>
        <v>0</v>
      </c>
    </row>
    <row r="977" spans="1:20" ht="22.2" hidden="1" customHeight="1">
      <c r="A977" s="59"/>
      <c r="B977" s="1577" t="s">
        <v>2248</v>
      </c>
      <c r="C977" s="1013" t="str">
        <f t="shared" si="191"/>
        <v xml:space="preserve"> </v>
      </c>
      <c r="D977" s="1535">
        <v>1</v>
      </c>
      <c r="E977" s="1044"/>
      <c r="F977" s="1049" t="str">
        <f>VLOOKUP($B977,DG!A:D,DG!$C$2,)</f>
        <v>Lắp xà cột Pi loại ≤140kg/xà</v>
      </c>
      <c r="G977" s="1044" t="str">
        <f>VLOOKUP($B977,DG!A:D,DG!$D$2,)</f>
        <v>bộ</v>
      </c>
      <c r="H977" s="1823">
        <f t="shared" si="198"/>
        <v>0</v>
      </c>
      <c r="I977" s="1823">
        <f t="shared" si="198"/>
        <v>0</v>
      </c>
      <c r="J977" s="1823">
        <f t="shared" si="198"/>
        <v>0</v>
      </c>
      <c r="K977" s="1823">
        <f t="shared" si="198"/>
        <v>0</v>
      </c>
      <c r="L977" s="1823">
        <f t="shared" si="198"/>
        <v>0</v>
      </c>
      <c r="M977" s="1823"/>
      <c r="N977" s="1823"/>
      <c r="O977" s="1823"/>
      <c r="P977" s="1823"/>
      <c r="Q977" s="1053"/>
      <c r="R977" s="1053"/>
      <c r="S977" s="1053"/>
      <c r="T977" s="2035">
        <f t="shared" si="193"/>
        <v>0</v>
      </c>
    </row>
    <row r="978" spans="1:20" ht="22.2" hidden="1" customHeight="1">
      <c r="A978" s="59"/>
      <c r="B978" s="1577" t="s">
        <v>2000</v>
      </c>
      <c r="C978" s="1013" t="str">
        <f t="shared" si="191"/>
        <v xml:space="preserve"> </v>
      </c>
      <c r="D978" s="1533">
        <f>D979</f>
        <v>2.7E-2</v>
      </c>
      <c r="E978" s="1044"/>
      <c r="F978" s="1049" t="str">
        <f>VLOOKUP($B978,DG!A:D,DG!$C$2,)</f>
        <v>Bốc dỡ xà, thép thanh</v>
      </c>
      <c r="G978" s="1044" t="str">
        <f>VLOOKUP($B978,DG!A:D,DG!$D$2,)</f>
        <v>tấn</v>
      </c>
      <c r="H978" s="1823">
        <f t="shared" si="198"/>
        <v>0</v>
      </c>
      <c r="I978" s="1823">
        <f t="shared" si="198"/>
        <v>0</v>
      </c>
      <c r="J978" s="1823">
        <f t="shared" si="198"/>
        <v>0</v>
      </c>
      <c r="K978" s="1823">
        <f t="shared" si="198"/>
        <v>0</v>
      </c>
      <c r="L978" s="1823">
        <f t="shared" si="198"/>
        <v>0</v>
      </c>
      <c r="M978" s="1823"/>
      <c r="N978" s="1823"/>
      <c r="O978" s="1823"/>
      <c r="P978" s="1823"/>
      <c r="Q978" s="1053"/>
      <c r="R978" s="1053"/>
      <c r="S978" s="1053"/>
      <c r="T978" s="2035">
        <f t="shared" si="193"/>
        <v>0</v>
      </c>
    </row>
    <row r="979" spans="1:20" ht="22.2" hidden="1" customHeight="1">
      <c r="A979" s="59"/>
      <c r="B979" s="1588" t="s">
        <v>2001</v>
      </c>
      <c r="C979" s="1013" t="str">
        <f t="shared" si="191"/>
        <v xml:space="preserve"> </v>
      </c>
      <c r="D979" s="1533">
        <f>ROUND(SUM(D975:D976)*1.05/1000,3)</f>
        <v>2.7E-2</v>
      </c>
      <c r="E979" s="1044" t="str">
        <f>VLOOKUP($B979,DG!A:C,2,)</f>
        <v>02.1361</v>
      </c>
      <c r="F979" s="1049" t="str">
        <f>VLOOKUP($B979,DG!A:C,3,)</f>
        <v>V/c xà vào vị trí (cư ly &lt;=100m)</v>
      </c>
      <c r="G979" s="1044" t="str">
        <f>VLOOKUP($B979,DG!A:D,4,0)</f>
        <v>tấn</v>
      </c>
      <c r="H979" s="1823"/>
      <c r="I979" s="1823"/>
      <c r="J979" s="1823"/>
      <c r="K979" s="1823"/>
      <c r="L979" s="1823"/>
      <c r="M979" s="1823"/>
      <c r="N979" s="1823"/>
      <c r="O979" s="1823"/>
      <c r="P979" s="1823"/>
      <c r="Q979" s="1058"/>
      <c r="R979" s="1058"/>
      <c r="S979" s="1058"/>
      <c r="T979" s="2035">
        <f t="shared" si="193"/>
        <v>0</v>
      </c>
    </row>
    <row r="980" spans="1:20" ht="22.2" hidden="1" customHeight="1">
      <c r="A980" s="59"/>
      <c r="B980" s="1588" t="s">
        <v>635</v>
      </c>
      <c r="C980" s="1013" t="str">
        <f t="shared" si="191"/>
        <v xml:space="preserve"> </v>
      </c>
      <c r="D980" s="1534">
        <v>0.05</v>
      </c>
      <c r="E980" s="1044" t="str">
        <f>VLOOKUP($B980,DG!A:C,2,)</f>
        <v>02.1482</v>
      </c>
      <c r="F980" s="1049" t="str">
        <f>VLOOKUP($B980,DG!A:C,3,)</f>
        <v>V/c dụng cụ thi công vào vị trí (cự ly &lt;=100m)</v>
      </c>
      <c r="G980" s="1044" t="str">
        <f>VLOOKUP($B980,DG!A:D,4,0)</f>
        <v>tấn</v>
      </c>
      <c r="H980" s="1823"/>
      <c r="I980" s="1823"/>
      <c r="J980" s="1823"/>
      <c r="K980" s="1823"/>
      <c r="L980" s="1823"/>
      <c r="M980" s="1823"/>
      <c r="N980" s="1823"/>
      <c r="O980" s="1823"/>
      <c r="P980" s="1823"/>
      <c r="Q980" s="1058"/>
      <c r="R980" s="1058"/>
      <c r="S980" s="1058"/>
      <c r="T980" s="2035">
        <f t="shared" si="193"/>
        <v>0</v>
      </c>
    </row>
    <row r="981" spans="1:20" ht="22.2" hidden="1" customHeight="1">
      <c r="A981" s="56" t="s">
        <v>213</v>
      </c>
      <c r="B981" s="1574" t="s">
        <v>213</v>
      </c>
      <c r="C981" s="1013" t="str">
        <f t="shared" si="191"/>
        <v xml:space="preserve"> </v>
      </c>
      <c r="D981" s="1532"/>
      <c r="E981" s="1045"/>
      <c r="F981" s="1392" t="s">
        <v>2441</v>
      </c>
      <c r="G981" s="1046" t="s">
        <v>2391</v>
      </c>
      <c r="H981" s="1821">
        <f>SUM(I981:O981)</f>
        <v>0</v>
      </c>
      <c r="I981" s="1822"/>
      <c r="J981" s="1822"/>
      <c r="K981" s="1822">
        <f>IFERROR(HLOOKUP(B981,pp3p1m!$1:$3,3,0),0)</f>
        <v>0</v>
      </c>
      <c r="L981" s="1822">
        <f>IFERROR(HLOOKUP(chitiet!B981,pp1p!$1:$3,3,0),0)</f>
        <v>0</v>
      </c>
      <c r="M981" s="1822"/>
      <c r="N981" s="1822"/>
      <c r="O981" s="1822"/>
      <c r="P981" s="1822">
        <f>H981+Q981-R981</f>
        <v>0</v>
      </c>
      <c r="Q981" s="1047"/>
      <c r="R981" s="1047"/>
      <c r="S981" s="1047"/>
      <c r="T981" s="2035">
        <f>IFERROR(HLOOKUP(B981,pp1p!$1:$3,3,0),0)+IFERROR(HLOOKUP(B981,pp3p1m!$1:$3,3,0),0)</f>
        <v>0</v>
      </c>
    </row>
    <row r="982" spans="1:20" ht="22.2" hidden="1" customHeight="1">
      <c r="A982" s="59"/>
      <c r="B982" s="1577" t="s">
        <v>109</v>
      </c>
      <c r="C982" s="1013" t="str">
        <f t="shared" si="191"/>
        <v xml:space="preserve"> </v>
      </c>
      <c r="D982" s="1534">
        <f>9.02*(2.4+3*0.1)*2</f>
        <v>48.707999999999998</v>
      </c>
      <c r="E982" s="1044"/>
      <c r="F982" s="1056" t="str">
        <f>VLOOKUP($B982,DG!A:D,DG!$C$2,)</f>
        <v>Sắt góc L75 x75 x8</v>
      </c>
      <c r="G982" s="1044" t="str">
        <f>VLOOKUP($B982,DG!A:D,DG!$D$2,)</f>
        <v>kg</v>
      </c>
      <c r="H982" s="1823">
        <f t="shared" ref="H982:L986" si="199">H$981*$D982</f>
        <v>0</v>
      </c>
      <c r="I982" s="1823">
        <f t="shared" si="199"/>
        <v>0</v>
      </c>
      <c r="J982" s="1823">
        <f t="shared" si="199"/>
        <v>0</v>
      </c>
      <c r="K982" s="1823">
        <f t="shared" si="199"/>
        <v>0</v>
      </c>
      <c r="L982" s="1823">
        <f t="shared" si="199"/>
        <v>0</v>
      </c>
      <c r="M982" s="1823"/>
      <c r="N982" s="1823"/>
      <c r="O982" s="1823"/>
      <c r="P982" s="1823"/>
      <c r="Q982" s="1053"/>
      <c r="R982" s="1053"/>
      <c r="S982" s="1053"/>
      <c r="T982" s="2035">
        <f t="shared" si="193"/>
        <v>0</v>
      </c>
    </row>
    <row r="983" spans="1:20" ht="22.2" hidden="1" customHeight="1">
      <c r="A983" s="59"/>
      <c r="B983" s="1577" t="s">
        <v>1613</v>
      </c>
      <c r="C983" s="1013" t="str">
        <f t="shared" si="191"/>
        <v xml:space="preserve"> </v>
      </c>
      <c r="D983" s="1535">
        <v>2</v>
      </c>
      <c r="E983" s="1044"/>
      <c r="F983" s="1056" t="str">
        <f>VLOOKUP($B983,DG!A:D,DG!$C$2,)</f>
        <v>Boulon 16x300+ 2 long đền vuông D18-50x50x3/Zn</v>
      </c>
      <c r="G983" s="1044" t="str">
        <f>VLOOKUP($B983,DG!A:D,DG!$D$2,)</f>
        <v>bộ</v>
      </c>
      <c r="H983" s="1823">
        <f t="shared" si="199"/>
        <v>0</v>
      </c>
      <c r="I983" s="1823">
        <f t="shared" si="199"/>
        <v>0</v>
      </c>
      <c r="J983" s="1823">
        <f t="shared" si="199"/>
        <v>0</v>
      </c>
      <c r="K983" s="1823">
        <f t="shared" si="199"/>
        <v>0</v>
      </c>
      <c r="L983" s="1823">
        <f t="shared" si="199"/>
        <v>0</v>
      </c>
      <c r="M983" s="1823"/>
      <c r="N983" s="1823"/>
      <c r="O983" s="1823"/>
      <c r="P983" s="1823"/>
      <c r="Q983" s="1053"/>
      <c r="R983" s="1053"/>
      <c r="S983" s="1053"/>
      <c r="T983" s="2035">
        <f t="shared" si="193"/>
        <v>0</v>
      </c>
    </row>
    <row r="984" spans="1:20" ht="22.2" hidden="1" customHeight="1">
      <c r="A984" s="59"/>
      <c r="B984" s="1577" t="s">
        <v>1788</v>
      </c>
      <c r="C984" s="1013" t="str">
        <f t="shared" si="191"/>
        <v xml:space="preserve"> </v>
      </c>
      <c r="D984" s="1535">
        <v>4</v>
      </c>
      <c r="E984" s="1044"/>
      <c r="F984" s="1056" t="str">
        <f>VLOOKUP($B984,DG!A:D,DG!$C$2,)</f>
        <v>Boulon 16x300VRS+ 4 long đền vuông D18-50x50x3/Zn</v>
      </c>
      <c r="G984" s="1044" t="str">
        <f>VLOOKUP($B984,DG!A:D,DG!$D$2,)</f>
        <v>bộ</v>
      </c>
      <c r="H984" s="1823">
        <f t="shared" si="199"/>
        <v>0</v>
      </c>
      <c r="I984" s="1823">
        <f t="shared" si="199"/>
        <v>0</v>
      </c>
      <c r="J984" s="1823">
        <f t="shared" si="199"/>
        <v>0</v>
      </c>
      <c r="K984" s="1823">
        <f t="shared" si="199"/>
        <v>0</v>
      </c>
      <c r="L984" s="1823">
        <f t="shared" si="199"/>
        <v>0</v>
      </c>
      <c r="M984" s="1823"/>
      <c r="N984" s="1823"/>
      <c r="O984" s="1823"/>
      <c r="P984" s="1823"/>
      <c r="Q984" s="1053"/>
      <c r="R984" s="1053"/>
      <c r="S984" s="1053"/>
      <c r="T984" s="2035">
        <f t="shared" si="193"/>
        <v>0</v>
      </c>
    </row>
    <row r="985" spans="1:20" ht="22.2" hidden="1" customHeight="1">
      <c r="A985" s="59"/>
      <c r="B985" s="1577" t="s">
        <v>2248</v>
      </c>
      <c r="C985" s="1013" t="str">
        <f t="shared" si="191"/>
        <v xml:space="preserve"> </v>
      </c>
      <c r="D985" s="1535">
        <v>1</v>
      </c>
      <c r="E985" s="1044"/>
      <c r="F985" s="1049" t="str">
        <f>VLOOKUP($B985,DG!A:D,DG!$C$2,)</f>
        <v>Lắp xà cột Pi loại ≤140kg/xà</v>
      </c>
      <c r="G985" s="1044" t="str">
        <f>VLOOKUP($B985,DG!A:D,DG!$D$2,)</f>
        <v>bộ</v>
      </c>
      <c r="H985" s="1823">
        <f t="shared" si="199"/>
        <v>0</v>
      </c>
      <c r="I985" s="1823">
        <f t="shared" si="199"/>
        <v>0</v>
      </c>
      <c r="J985" s="1823">
        <f t="shared" si="199"/>
        <v>0</v>
      </c>
      <c r="K985" s="1823">
        <f t="shared" si="199"/>
        <v>0</v>
      </c>
      <c r="L985" s="1823">
        <f t="shared" si="199"/>
        <v>0</v>
      </c>
      <c r="M985" s="1823"/>
      <c r="N985" s="1823"/>
      <c r="O985" s="1823"/>
      <c r="P985" s="1823"/>
      <c r="Q985" s="1053"/>
      <c r="R985" s="1053"/>
      <c r="S985" s="1053"/>
      <c r="T985" s="2035">
        <f t="shared" si="193"/>
        <v>0</v>
      </c>
    </row>
    <row r="986" spans="1:20" ht="22.2" hidden="1" customHeight="1">
      <c r="A986" s="59"/>
      <c r="B986" s="1577" t="s">
        <v>2000</v>
      </c>
      <c r="C986" s="1013" t="str">
        <f t="shared" si="191"/>
        <v xml:space="preserve"> </v>
      </c>
      <c r="D986" s="1533">
        <f>D987*0</f>
        <v>0</v>
      </c>
      <c r="E986" s="1044"/>
      <c r="F986" s="1049" t="str">
        <f>VLOOKUP($B986,DG!A:D,DG!$C$2,)</f>
        <v>Bốc dỡ xà, thép thanh</v>
      </c>
      <c r="G986" s="1044" t="str">
        <f>VLOOKUP($B986,DG!A:D,DG!$D$2,)</f>
        <v>tấn</v>
      </c>
      <c r="H986" s="1823">
        <f t="shared" si="199"/>
        <v>0</v>
      </c>
      <c r="I986" s="1823">
        <f t="shared" si="199"/>
        <v>0</v>
      </c>
      <c r="J986" s="1823">
        <f t="shared" si="199"/>
        <v>0</v>
      </c>
      <c r="K986" s="1823">
        <f t="shared" si="199"/>
        <v>0</v>
      </c>
      <c r="L986" s="1823">
        <f t="shared" si="199"/>
        <v>0</v>
      </c>
      <c r="M986" s="1823"/>
      <c r="N986" s="1823"/>
      <c r="O986" s="1823"/>
      <c r="P986" s="1823"/>
      <c r="Q986" s="1053"/>
      <c r="R986" s="1053"/>
      <c r="S986" s="1053"/>
      <c r="T986" s="2035">
        <f t="shared" si="193"/>
        <v>0</v>
      </c>
    </row>
    <row r="987" spans="1:20" ht="22.2" hidden="1" customHeight="1">
      <c r="A987" s="59"/>
      <c r="B987" s="1588" t="s">
        <v>2001</v>
      </c>
      <c r="C987" s="1013" t="str">
        <f t="shared" si="191"/>
        <v xml:space="preserve"> </v>
      </c>
      <c r="D987" s="1533">
        <f>ROUND(SUM(D982:D982)*1.05/1000,3)*0</f>
        <v>0</v>
      </c>
      <c r="E987" s="1044" t="str">
        <f>VLOOKUP($B987,DG!A:C,2,)</f>
        <v>02.1361</v>
      </c>
      <c r="F987" s="1049" t="str">
        <f>VLOOKUP($B987,DG!A:C,3,)</f>
        <v>V/c xà vào vị trí (cư ly &lt;=100m)</v>
      </c>
      <c r="G987" s="1044" t="str">
        <f>VLOOKUP($B987,DG!A:D,4,0)</f>
        <v>tấn</v>
      </c>
      <c r="H987" s="1823"/>
      <c r="I987" s="1823"/>
      <c r="J987" s="1823"/>
      <c r="K987" s="1823"/>
      <c r="L987" s="1823"/>
      <c r="M987" s="1823"/>
      <c r="N987" s="1823"/>
      <c r="O987" s="1823"/>
      <c r="P987" s="1823"/>
      <c r="Q987" s="1058"/>
      <c r="R987" s="1058"/>
      <c r="S987" s="1058"/>
      <c r="T987" s="2035">
        <f t="shared" si="193"/>
        <v>0</v>
      </c>
    </row>
    <row r="988" spans="1:20" ht="22.2" hidden="1" customHeight="1">
      <c r="A988" s="59"/>
      <c r="B988" s="1588" t="s">
        <v>635</v>
      </c>
      <c r="C988" s="1013" t="str">
        <f t="shared" si="191"/>
        <v xml:space="preserve"> </v>
      </c>
      <c r="D988" s="1534">
        <f>0.05*0</f>
        <v>0</v>
      </c>
      <c r="E988" s="1044" t="str">
        <f>VLOOKUP($B988,DG!A:C,2,)</f>
        <v>02.1482</v>
      </c>
      <c r="F988" s="1049" t="str">
        <f>VLOOKUP($B988,DG!A:C,3,)</f>
        <v>V/c dụng cụ thi công vào vị trí (cự ly &lt;=100m)</v>
      </c>
      <c r="G988" s="1044" t="str">
        <f>VLOOKUP($B988,DG!A:D,4,0)</f>
        <v>tấn</v>
      </c>
      <c r="H988" s="1823"/>
      <c r="I988" s="1823"/>
      <c r="J988" s="1823"/>
      <c r="K988" s="1823"/>
      <c r="L988" s="1823"/>
      <c r="M988" s="1823"/>
      <c r="N988" s="1823"/>
      <c r="O988" s="1823"/>
      <c r="P988" s="1823"/>
      <c r="Q988" s="1058"/>
      <c r="R988" s="1058"/>
      <c r="S988" s="1058"/>
      <c r="T988" s="2035">
        <f t="shared" si="193"/>
        <v>0</v>
      </c>
    </row>
    <row r="989" spans="1:20" ht="22.2" hidden="1" customHeight="1">
      <c r="A989" s="59" t="s">
        <v>2317</v>
      </c>
      <c r="B989" s="1574" t="s">
        <v>2317</v>
      </c>
      <c r="C989" s="1013" t="str">
        <f t="shared" si="191"/>
        <v xml:space="preserve"> </v>
      </c>
      <c r="D989" s="1532"/>
      <c r="E989" s="1045"/>
      <c r="F989" s="1392" t="s">
        <v>2442</v>
      </c>
      <c r="G989" s="1046" t="s">
        <v>2391</v>
      </c>
      <c r="H989" s="1821">
        <f>SUM(I989:O989)</f>
        <v>0</v>
      </c>
      <c r="I989" s="1822"/>
      <c r="J989" s="1822"/>
      <c r="K989" s="1822">
        <f>IFERROR(HLOOKUP(B989,pp3p1m!$1:$3,3,0),0)</f>
        <v>0</v>
      </c>
      <c r="L989" s="1822">
        <f>IFERROR(HLOOKUP(chitiet!B989,pp1p!$1:$3,3,0),0)</f>
        <v>0</v>
      </c>
      <c r="M989" s="1822"/>
      <c r="N989" s="1822"/>
      <c r="O989" s="1822"/>
      <c r="P989" s="1822">
        <f>H989+Q989-R989</f>
        <v>0</v>
      </c>
      <c r="Q989" s="1047"/>
      <c r="R989" s="1047"/>
      <c r="S989" s="1047"/>
      <c r="T989" s="2035">
        <f>IFERROR(HLOOKUP(B989,pp1p!$1:$3,3,0),0)+IFERROR(HLOOKUP(B989,pp3p1m!$1:$3,3,0),0)</f>
        <v>0</v>
      </c>
    </row>
    <row r="990" spans="1:20" ht="22.2" hidden="1" customHeight="1">
      <c r="A990" s="59"/>
      <c r="B990" s="1577" t="s">
        <v>109</v>
      </c>
      <c r="C990" s="1013" t="str">
        <f t="shared" si="191"/>
        <v xml:space="preserve"> </v>
      </c>
      <c r="D990" s="1534">
        <f>9.02*(2.6+3*0.07)</f>
        <v>25.3462</v>
      </c>
      <c r="E990" s="1044"/>
      <c r="F990" s="1056" t="s">
        <v>2443</v>
      </c>
      <c r="G990" s="1044" t="s">
        <v>2254</v>
      </c>
      <c r="H990" s="1823">
        <f t="shared" ref="H990:L993" si="200">H$988*$D990</f>
        <v>0</v>
      </c>
      <c r="I990" s="1823">
        <f t="shared" si="200"/>
        <v>0</v>
      </c>
      <c r="J990" s="1823">
        <f t="shared" si="200"/>
        <v>0</v>
      </c>
      <c r="K990" s="1823">
        <f t="shared" si="200"/>
        <v>0</v>
      </c>
      <c r="L990" s="1823">
        <f t="shared" si="200"/>
        <v>0</v>
      </c>
      <c r="M990" s="1823"/>
      <c r="N990" s="1823"/>
      <c r="O990" s="1823"/>
      <c r="P990" s="1823">
        <f>$P$989*D990</f>
        <v>0</v>
      </c>
      <c r="Q990" s="1053"/>
      <c r="R990" s="1053">
        <f>$R$989*D990</f>
        <v>0</v>
      </c>
      <c r="S990" s="1053"/>
      <c r="T990" s="2035">
        <f t="shared" si="193"/>
        <v>0</v>
      </c>
    </row>
    <row r="991" spans="1:20" ht="22.2" hidden="1" customHeight="1">
      <c r="A991" s="59"/>
      <c r="B991" s="1577" t="s">
        <v>1612</v>
      </c>
      <c r="C991" s="1013" t="str">
        <f t="shared" si="191"/>
        <v xml:space="preserve"> </v>
      </c>
      <c r="D991" s="1535">
        <v>2</v>
      </c>
      <c r="E991" s="1044"/>
      <c r="F991" s="1056" t="s">
        <v>2444</v>
      </c>
      <c r="G991" s="1044" t="s">
        <v>2445</v>
      </c>
      <c r="H991" s="1823">
        <f t="shared" si="200"/>
        <v>0</v>
      </c>
      <c r="I991" s="1823">
        <f t="shared" si="200"/>
        <v>0</v>
      </c>
      <c r="J991" s="1823">
        <f t="shared" si="200"/>
        <v>0</v>
      </c>
      <c r="K991" s="1823">
        <f t="shared" si="200"/>
        <v>0</v>
      </c>
      <c r="L991" s="1823">
        <f t="shared" si="200"/>
        <v>0</v>
      </c>
      <c r="M991" s="1823"/>
      <c r="N991" s="1823"/>
      <c r="O991" s="1823"/>
      <c r="P991" s="1823">
        <f>$P$989*D991</f>
        <v>0</v>
      </c>
      <c r="Q991" s="1053"/>
      <c r="R991" s="1053">
        <f>$R$989*D991</f>
        <v>0</v>
      </c>
      <c r="S991" s="1053"/>
      <c r="T991" s="2035">
        <f t="shared" si="193"/>
        <v>0</v>
      </c>
    </row>
    <row r="992" spans="1:20" ht="22.2" hidden="1" customHeight="1">
      <c r="A992" s="59"/>
      <c r="B992" s="1577" t="s">
        <v>2248</v>
      </c>
      <c r="C992" s="1013" t="str">
        <f t="shared" si="191"/>
        <v xml:space="preserve"> </v>
      </c>
      <c r="D992" s="1534">
        <v>1</v>
      </c>
      <c r="E992" s="1044"/>
      <c r="F992" s="1049" t="s">
        <v>2446</v>
      </c>
      <c r="G992" s="1044" t="s">
        <v>2445</v>
      </c>
      <c r="H992" s="1823">
        <f t="shared" si="200"/>
        <v>0</v>
      </c>
      <c r="I992" s="1823">
        <f t="shared" si="200"/>
        <v>0</v>
      </c>
      <c r="J992" s="1823">
        <f t="shared" si="200"/>
        <v>0</v>
      </c>
      <c r="K992" s="1823">
        <f t="shared" si="200"/>
        <v>0</v>
      </c>
      <c r="L992" s="1823">
        <f t="shared" si="200"/>
        <v>0</v>
      </c>
      <c r="M992" s="1823"/>
      <c r="N992" s="1823"/>
      <c r="O992" s="1823"/>
      <c r="P992" s="1823">
        <f>$P$989*D992</f>
        <v>0</v>
      </c>
      <c r="Q992" s="1053"/>
      <c r="R992" s="1053">
        <f>$R$989*D992</f>
        <v>0</v>
      </c>
      <c r="S992" s="1053"/>
      <c r="T992" s="2035">
        <f t="shared" si="193"/>
        <v>0</v>
      </c>
    </row>
    <row r="993" spans="1:20" ht="22.2" hidden="1" customHeight="1">
      <c r="A993" s="59"/>
      <c r="B993" s="1577" t="s">
        <v>2000</v>
      </c>
      <c r="C993" s="1013" t="str">
        <f t="shared" si="191"/>
        <v xml:space="preserve"> </v>
      </c>
      <c r="D993" s="1533">
        <f>D994</f>
        <v>0</v>
      </c>
      <c r="E993" s="1044"/>
      <c r="F993" s="1049" t="s">
        <v>2447</v>
      </c>
      <c r="G993" s="1044" t="s">
        <v>2448</v>
      </c>
      <c r="H993" s="1823">
        <f t="shared" si="200"/>
        <v>0</v>
      </c>
      <c r="I993" s="1823">
        <f t="shared" si="200"/>
        <v>0</v>
      </c>
      <c r="J993" s="1823">
        <f t="shared" si="200"/>
        <v>0</v>
      </c>
      <c r="K993" s="1823">
        <f t="shared" si="200"/>
        <v>0</v>
      </c>
      <c r="L993" s="1823">
        <f t="shared" si="200"/>
        <v>0</v>
      </c>
      <c r="M993" s="1823"/>
      <c r="N993" s="1823"/>
      <c r="O993" s="1823"/>
      <c r="P993" s="1823">
        <f>$P$989*D993</f>
        <v>0</v>
      </c>
      <c r="Q993" s="1053"/>
      <c r="R993" s="1053">
        <f>$R$989*D993</f>
        <v>0</v>
      </c>
      <c r="S993" s="1053"/>
      <c r="T993" s="2035">
        <f t="shared" si="193"/>
        <v>0</v>
      </c>
    </row>
    <row r="994" spans="1:20" ht="22.2" hidden="1" customHeight="1">
      <c r="A994" s="59"/>
      <c r="B994" s="1588" t="s">
        <v>2001</v>
      </c>
      <c r="C994" s="1013" t="str">
        <f t="shared" si="191"/>
        <v xml:space="preserve"> </v>
      </c>
      <c r="D994" s="1533"/>
      <c r="E994" s="1044" t="s">
        <v>1610</v>
      </c>
      <c r="F994" s="1049" t="s">
        <v>2449</v>
      </c>
      <c r="G994" s="1044" t="s">
        <v>2448</v>
      </c>
      <c r="H994" s="1823"/>
      <c r="I994" s="1823"/>
      <c r="J994" s="1823"/>
      <c r="K994" s="1823"/>
      <c r="L994" s="1823"/>
      <c r="M994" s="1823"/>
      <c r="N994" s="1823"/>
      <c r="O994" s="1823"/>
      <c r="P994" s="1823"/>
      <c r="Q994" s="1058"/>
      <c r="R994" s="1058"/>
      <c r="S994" s="1058"/>
      <c r="T994" s="2035">
        <f t="shared" si="193"/>
        <v>0</v>
      </c>
    </row>
    <row r="995" spans="1:20" ht="22.2" hidden="1" customHeight="1">
      <c r="A995" s="59"/>
      <c r="B995" s="1588" t="s">
        <v>635</v>
      </c>
      <c r="C995" s="1013" t="str">
        <f t="shared" ref="C995:C1058" si="201">IF(OR(P995&lt;&gt;0,H995&lt;&gt;0),"x"," ")</f>
        <v xml:space="preserve"> </v>
      </c>
      <c r="D995" s="1534"/>
      <c r="E995" s="1044" t="s">
        <v>1695</v>
      </c>
      <c r="F995" s="1049" t="s">
        <v>2450</v>
      </c>
      <c r="G995" s="1044" t="s">
        <v>2448</v>
      </c>
      <c r="H995" s="1823"/>
      <c r="I995" s="1823"/>
      <c r="J995" s="1823"/>
      <c r="K995" s="1823"/>
      <c r="L995" s="1823"/>
      <c r="M995" s="1823"/>
      <c r="N995" s="1823"/>
      <c r="O995" s="1823"/>
      <c r="P995" s="1823"/>
      <c r="Q995" s="1058"/>
      <c r="R995" s="1058"/>
      <c r="S995" s="1058"/>
      <c r="T995" s="2035">
        <f t="shared" si="193"/>
        <v>0</v>
      </c>
    </row>
    <row r="996" spans="1:20" ht="22.2" hidden="1" customHeight="1">
      <c r="A996" s="1568" t="s">
        <v>1504</v>
      </c>
      <c r="B996" s="1574" t="s">
        <v>1504</v>
      </c>
      <c r="C996" s="1013" t="str">
        <f t="shared" si="201"/>
        <v xml:space="preserve"> </v>
      </c>
      <c r="D996" s="1532"/>
      <c r="E996" s="1045"/>
      <c r="F996" s="1392" t="s">
        <v>2451</v>
      </c>
      <c r="G996" s="1046" t="s">
        <v>2391</v>
      </c>
      <c r="H996" s="1821">
        <f>SUM(I996:O996)</f>
        <v>0</v>
      </c>
      <c r="I996" s="1822"/>
      <c r="J996" s="1822"/>
      <c r="K996" s="1822">
        <f>IFERROR(HLOOKUP(B996,pp3p1m!$1:$3,3,0),0)</f>
        <v>0</v>
      </c>
      <c r="L996" s="1822">
        <f>IFERROR(HLOOKUP(chitiet!B996,pp1p!$1:$3,3,0),0)</f>
        <v>0</v>
      </c>
      <c r="M996" s="1822"/>
      <c r="N996" s="1822"/>
      <c r="O996" s="1822"/>
      <c r="P996" s="1822">
        <f>H996+Q996-R996</f>
        <v>0</v>
      </c>
      <c r="Q996" s="1047"/>
      <c r="R996" s="1047"/>
      <c r="S996" s="1047"/>
      <c r="T996" s="2035">
        <f>IFERROR(HLOOKUP(B996,pp1p!$1:$3,3,0),0)+IFERROR(HLOOKUP(B996,pp3p1m!$1:$3,3,0),0)</f>
        <v>0</v>
      </c>
    </row>
    <row r="997" spans="1:20" ht="22.2" hidden="1" customHeight="1">
      <c r="B997" s="1577" t="s">
        <v>109</v>
      </c>
      <c r="C997" s="1013" t="str">
        <f t="shared" si="201"/>
        <v xml:space="preserve"> </v>
      </c>
      <c r="D997" s="1534">
        <f>9.02*(2.6+3*0.07)*2</f>
        <v>50.692399999999999</v>
      </c>
      <c r="E997" s="1044"/>
      <c r="F997" s="1056" t="s">
        <v>2443</v>
      </c>
      <c r="G997" s="1044" t="s">
        <v>2254</v>
      </c>
      <c r="H997" s="1823">
        <f>$H$996*$D997</f>
        <v>0</v>
      </c>
      <c r="I997" s="1823">
        <f t="shared" ref="I997:L1001" si="202">I$988*$D997</f>
        <v>0</v>
      </c>
      <c r="J997" s="1823">
        <f t="shared" si="202"/>
        <v>0</v>
      </c>
      <c r="K997" s="1823">
        <f t="shared" si="202"/>
        <v>0</v>
      </c>
      <c r="L997" s="1823">
        <f t="shared" si="202"/>
        <v>0</v>
      </c>
      <c r="M997" s="1823"/>
      <c r="N997" s="1823"/>
      <c r="O997" s="1823"/>
      <c r="P997" s="1823">
        <f>$P$996*D997</f>
        <v>0</v>
      </c>
      <c r="Q997" s="1053">
        <f>$Q$996*D997</f>
        <v>0</v>
      </c>
      <c r="R997" s="1057">
        <f>$R$996*D997</f>
        <v>0</v>
      </c>
      <c r="S997" s="1053"/>
      <c r="T997" s="2035">
        <f t="shared" si="193"/>
        <v>0</v>
      </c>
    </row>
    <row r="998" spans="1:20" ht="22.2" hidden="1" customHeight="1">
      <c r="B998" s="1577" t="s">
        <v>1612</v>
      </c>
      <c r="C998" s="1013" t="str">
        <f t="shared" si="201"/>
        <v xml:space="preserve"> </v>
      </c>
      <c r="D998" s="1535">
        <v>2</v>
      </c>
      <c r="E998" s="1044"/>
      <c r="F998" s="1056" t="s">
        <v>2444</v>
      </c>
      <c r="G998" s="1044" t="s">
        <v>2445</v>
      </c>
      <c r="H998" s="1823">
        <f>$H$996*$D998</f>
        <v>0</v>
      </c>
      <c r="I998" s="1823">
        <f t="shared" si="202"/>
        <v>0</v>
      </c>
      <c r="J998" s="1823">
        <f t="shared" si="202"/>
        <v>0</v>
      </c>
      <c r="K998" s="1823">
        <f t="shared" si="202"/>
        <v>0</v>
      </c>
      <c r="L998" s="1823">
        <f t="shared" si="202"/>
        <v>0</v>
      </c>
      <c r="M998" s="1823"/>
      <c r="N998" s="1823"/>
      <c r="O998" s="1823"/>
      <c r="P998" s="1823">
        <f>$P$996*D998</f>
        <v>0</v>
      </c>
      <c r="Q998" s="1053">
        <f>$Q$996*D998</f>
        <v>0</v>
      </c>
      <c r="R998" s="1053">
        <f>$R$996*D998</f>
        <v>0</v>
      </c>
      <c r="S998" s="1053"/>
      <c r="T998" s="2035">
        <f t="shared" si="193"/>
        <v>0</v>
      </c>
    </row>
    <row r="999" spans="1:20" ht="22.2" hidden="1" customHeight="1">
      <c r="B999" s="1577" t="s">
        <v>1788</v>
      </c>
      <c r="C999" s="1013" t="str">
        <f t="shared" si="201"/>
        <v xml:space="preserve"> </v>
      </c>
      <c r="D999" s="1535">
        <v>2</v>
      </c>
      <c r="E999" s="1044"/>
      <c r="F999" s="1056" t="s">
        <v>2452</v>
      </c>
      <c r="G999" s="1044" t="s">
        <v>2445</v>
      </c>
      <c r="H999" s="1823">
        <f>$H$996*$D999</f>
        <v>0</v>
      </c>
      <c r="I999" s="1823">
        <f t="shared" si="202"/>
        <v>0</v>
      </c>
      <c r="J999" s="1823">
        <f t="shared" si="202"/>
        <v>0</v>
      </c>
      <c r="K999" s="1823">
        <f t="shared" si="202"/>
        <v>0</v>
      </c>
      <c r="L999" s="1823">
        <f t="shared" si="202"/>
        <v>0</v>
      </c>
      <c r="M999" s="1823"/>
      <c r="N999" s="1823"/>
      <c r="O999" s="1823"/>
      <c r="P999" s="1823">
        <f>$P$996*D999</f>
        <v>0</v>
      </c>
      <c r="Q999" s="1053">
        <f>$Q$996*D999</f>
        <v>0</v>
      </c>
      <c r="R999" s="1053">
        <f>$R$996*D999</f>
        <v>0</v>
      </c>
      <c r="S999" s="1053"/>
      <c r="T999" s="2035">
        <f t="shared" si="193"/>
        <v>0</v>
      </c>
    </row>
    <row r="1000" spans="1:20" ht="22.2" hidden="1" customHeight="1">
      <c r="B1000" s="1577" t="s">
        <v>2248</v>
      </c>
      <c r="C1000" s="1013" t="str">
        <f t="shared" si="201"/>
        <v xml:space="preserve"> </v>
      </c>
      <c r="D1000" s="1534">
        <v>1</v>
      </c>
      <c r="E1000" s="1060"/>
      <c r="F1000" s="1049" t="s">
        <v>2446</v>
      </c>
      <c r="G1000" s="1044" t="s">
        <v>2445</v>
      </c>
      <c r="H1000" s="1823">
        <f>$H$996*$D1000</f>
        <v>0</v>
      </c>
      <c r="I1000" s="1823">
        <f t="shared" si="202"/>
        <v>0</v>
      </c>
      <c r="J1000" s="1823">
        <f t="shared" si="202"/>
        <v>0</v>
      </c>
      <c r="K1000" s="1823">
        <f t="shared" si="202"/>
        <v>0</v>
      </c>
      <c r="L1000" s="1823">
        <f t="shared" si="202"/>
        <v>0</v>
      </c>
      <c r="M1000" s="1823"/>
      <c r="N1000" s="1823"/>
      <c r="O1000" s="1823"/>
      <c r="P1000" s="1823">
        <f>$P$996*D1000</f>
        <v>0</v>
      </c>
      <c r="Q1000" s="1053">
        <f>$Q$996*D1000</f>
        <v>0</v>
      </c>
      <c r="R1000" s="1053">
        <f>$R$996*D1000</f>
        <v>0</v>
      </c>
      <c r="S1000" s="1053"/>
      <c r="T1000" s="2035">
        <f t="shared" si="193"/>
        <v>0</v>
      </c>
    </row>
    <row r="1001" spans="1:20" ht="22.2" hidden="1" customHeight="1">
      <c r="A1001" s="59"/>
      <c r="B1001" s="1577" t="s">
        <v>2000</v>
      </c>
      <c r="C1001" s="1013" t="str">
        <f t="shared" si="201"/>
        <v xml:space="preserve"> </v>
      </c>
      <c r="D1001" s="1533"/>
      <c r="E1001" s="1044"/>
      <c r="F1001" s="1049" t="s">
        <v>2447</v>
      </c>
      <c r="G1001" s="1044" t="s">
        <v>2448</v>
      </c>
      <c r="H1001" s="1823">
        <f>H$988*$D1001</f>
        <v>0</v>
      </c>
      <c r="I1001" s="1823">
        <f t="shared" si="202"/>
        <v>0</v>
      </c>
      <c r="J1001" s="1823">
        <f t="shared" si="202"/>
        <v>0</v>
      </c>
      <c r="K1001" s="1823">
        <f t="shared" si="202"/>
        <v>0</v>
      </c>
      <c r="L1001" s="1823">
        <f t="shared" si="202"/>
        <v>0</v>
      </c>
      <c r="M1001" s="1823"/>
      <c r="N1001" s="1823"/>
      <c r="O1001" s="1823"/>
      <c r="P1001" s="1823">
        <f>$P$996*D1001</f>
        <v>0</v>
      </c>
      <c r="Q1001" s="1053">
        <f>$Q$996*D1001</f>
        <v>0</v>
      </c>
      <c r="R1001" s="1053">
        <f>$R$996*D1001</f>
        <v>0</v>
      </c>
      <c r="S1001" s="1053"/>
      <c r="T1001" s="2035">
        <f t="shared" ref="T1001:T1064" si="203">IFERROR(HLOOKUP(B1001,BangKeTru,3,0),0)</f>
        <v>0</v>
      </c>
    </row>
    <row r="1002" spans="1:20" ht="22.2" hidden="1" customHeight="1">
      <c r="A1002" s="59"/>
      <c r="B1002" s="1588" t="s">
        <v>2001</v>
      </c>
      <c r="C1002" s="1013" t="str">
        <f t="shared" si="201"/>
        <v xml:space="preserve"> </v>
      </c>
      <c r="D1002" s="1533"/>
      <c r="E1002" s="1044" t="s">
        <v>1610</v>
      </c>
      <c r="F1002" s="1049" t="s">
        <v>2449</v>
      </c>
      <c r="G1002" s="1044" t="s">
        <v>2448</v>
      </c>
      <c r="H1002" s="1823"/>
      <c r="I1002" s="1823"/>
      <c r="J1002" s="1823"/>
      <c r="K1002" s="1823"/>
      <c r="L1002" s="1823"/>
      <c r="M1002" s="1823"/>
      <c r="N1002" s="1823"/>
      <c r="O1002" s="1823"/>
      <c r="P1002" s="1823"/>
      <c r="Q1002" s="1058"/>
      <c r="R1002" s="1058"/>
      <c r="S1002" s="1058"/>
      <c r="T1002" s="2035">
        <f t="shared" si="203"/>
        <v>0</v>
      </c>
    </row>
    <row r="1003" spans="1:20" ht="22.2" hidden="1" customHeight="1">
      <c r="A1003" s="59"/>
      <c r="B1003" s="1588" t="s">
        <v>635</v>
      </c>
      <c r="C1003" s="1013" t="str">
        <f t="shared" si="201"/>
        <v xml:space="preserve"> </v>
      </c>
      <c r="D1003" s="1534"/>
      <c r="E1003" s="1044" t="s">
        <v>1695</v>
      </c>
      <c r="F1003" s="1049" t="s">
        <v>2450</v>
      </c>
      <c r="G1003" s="1044" t="s">
        <v>2448</v>
      </c>
      <c r="H1003" s="1823"/>
      <c r="I1003" s="1823"/>
      <c r="J1003" s="1823"/>
      <c r="K1003" s="1823"/>
      <c r="L1003" s="1823"/>
      <c r="M1003" s="1823"/>
      <c r="N1003" s="1823"/>
      <c r="O1003" s="1823"/>
      <c r="P1003" s="1823"/>
      <c r="Q1003" s="1058"/>
      <c r="R1003" s="1058"/>
      <c r="S1003" s="1058"/>
      <c r="T1003" s="2035">
        <f t="shared" si="203"/>
        <v>0</v>
      </c>
    </row>
    <row r="1004" spans="1:20" ht="22.2" hidden="1" customHeight="1">
      <c r="A1004" s="56" t="s">
        <v>1577</v>
      </c>
      <c r="B1004" s="1574" t="s">
        <v>1577</v>
      </c>
      <c r="C1004" s="1013" t="str">
        <f t="shared" si="201"/>
        <v xml:space="preserve"> </v>
      </c>
      <c r="D1004" s="1532"/>
      <c r="E1004" s="1045"/>
      <c r="F1004" s="1392" t="s">
        <v>2453</v>
      </c>
      <c r="G1004" s="1046" t="s">
        <v>2391</v>
      </c>
      <c r="H1004" s="1821">
        <f>SUM(I1004:O1004)</f>
        <v>0</v>
      </c>
      <c r="I1004" s="1822"/>
      <c r="J1004" s="1822"/>
      <c r="K1004" s="1822">
        <f>IFERROR(HLOOKUP(B1004,pp3p1m!$1:$3,3,0),0)</f>
        <v>0</v>
      </c>
      <c r="L1004" s="1822">
        <f>IFERROR(HLOOKUP(chitiet!B1004,pp1p!$1:$3,3,0),0)</f>
        <v>0</v>
      </c>
      <c r="M1004" s="1822"/>
      <c r="N1004" s="1822"/>
      <c r="O1004" s="1822"/>
      <c r="P1004" s="1822">
        <f>H1004+Q1004-R1004</f>
        <v>0</v>
      </c>
      <c r="Q1004" s="1047"/>
      <c r="R1004" s="1047"/>
      <c r="S1004" s="1047"/>
      <c r="T1004" s="2035">
        <f>IFERROR(HLOOKUP(B1004,pp1p!$1:$3,3,0),0)+IFERROR(HLOOKUP(B1004,pp3p1m!$1:$3,3,0),0)</f>
        <v>0</v>
      </c>
    </row>
    <row r="1005" spans="1:20" ht="22.2" hidden="1" customHeight="1">
      <c r="A1005" s="59"/>
      <c r="B1005" s="1577" t="s">
        <v>109</v>
      </c>
      <c r="C1005" s="1013" t="str">
        <f t="shared" si="201"/>
        <v xml:space="preserve"> </v>
      </c>
      <c r="D1005" s="1534">
        <f>9.02*(2.8+3*0.1)*2</f>
        <v>55.923999999999992</v>
      </c>
      <c r="E1005" s="1044"/>
      <c r="F1005" s="1056" t="str">
        <f>VLOOKUP($B1005,DG!A:D,DG!$C$2,)</f>
        <v>Sắt góc L75 x75 x8</v>
      </c>
      <c r="G1005" s="1044" t="str">
        <f>VLOOKUP($B1005,DG!A:D,DG!$D$2,)</f>
        <v>kg</v>
      </c>
      <c r="H1005" s="1823">
        <f t="shared" ref="H1005:L1009" si="204">H$1004*$D1005</f>
        <v>0</v>
      </c>
      <c r="I1005" s="1823">
        <f t="shared" si="204"/>
        <v>0</v>
      </c>
      <c r="J1005" s="1823">
        <f t="shared" si="204"/>
        <v>0</v>
      </c>
      <c r="K1005" s="1823">
        <f t="shared" si="204"/>
        <v>0</v>
      </c>
      <c r="L1005" s="1823">
        <f t="shared" si="204"/>
        <v>0</v>
      </c>
      <c r="M1005" s="1823"/>
      <c r="N1005" s="1823"/>
      <c r="O1005" s="1823"/>
      <c r="P1005" s="1823"/>
      <c r="Q1005" s="1053"/>
      <c r="R1005" s="1053"/>
      <c r="S1005" s="1053"/>
      <c r="T1005" s="2035">
        <f t="shared" si="203"/>
        <v>0</v>
      </c>
    </row>
    <row r="1006" spans="1:20" ht="22.2" hidden="1" customHeight="1">
      <c r="A1006" s="59"/>
      <c r="B1006" s="1577" t="s">
        <v>457</v>
      </c>
      <c r="C1006" s="1013" t="str">
        <f t="shared" si="201"/>
        <v xml:space="preserve"> </v>
      </c>
      <c r="D1006" s="1534">
        <f>0.92*3.77*4</f>
        <v>13.873600000000001</v>
      </c>
      <c r="E1006" s="1044"/>
      <c r="F1006" s="1056" t="str">
        <f>VLOOKUP($B1006,DG!A:D,DG!$C$2,)</f>
        <v>Sắt góc L50 x50 x5</v>
      </c>
      <c r="G1006" s="1044" t="str">
        <f>VLOOKUP($B1006,DG!A:D,DG!$D$2,)</f>
        <v>kg</v>
      </c>
      <c r="H1006" s="1823">
        <f t="shared" si="204"/>
        <v>0</v>
      </c>
      <c r="I1006" s="1823">
        <f t="shared" si="204"/>
        <v>0</v>
      </c>
      <c r="J1006" s="1823">
        <f t="shared" si="204"/>
        <v>0</v>
      </c>
      <c r="K1006" s="1823">
        <f t="shared" si="204"/>
        <v>0</v>
      </c>
      <c r="L1006" s="1823">
        <f t="shared" si="204"/>
        <v>0</v>
      </c>
      <c r="M1006" s="1823"/>
      <c r="N1006" s="1823"/>
      <c r="O1006" s="1823"/>
      <c r="P1006" s="1823"/>
      <c r="Q1006" s="1053"/>
      <c r="R1006" s="1053"/>
      <c r="S1006" s="1053"/>
      <c r="T1006" s="2035">
        <f t="shared" si="203"/>
        <v>0</v>
      </c>
    </row>
    <row r="1007" spans="1:20" ht="22.2" hidden="1" customHeight="1">
      <c r="A1007" s="59"/>
      <c r="B1007" s="1577" t="s">
        <v>457</v>
      </c>
      <c r="C1007" s="1013" t="str">
        <f t="shared" si="201"/>
        <v xml:space="preserve"> </v>
      </c>
      <c r="D1007" s="1534">
        <f>2*0.45*6</f>
        <v>5.4</v>
      </c>
      <c r="E1007" s="1044"/>
      <c r="F1007" s="1056" t="s">
        <v>2454</v>
      </c>
      <c r="G1007" s="1044" t="str">
        <f>VLOOKUP($B1007,DG!A:D,DG!$D$2,)</f>
        <v>kg</v>
      </c>
      <c r="H1007" s="1823">
        <f t="shared" si="204"/>
        <v>0</v>
      </c>
      <c r="I1007" s="1823">
        <f t="shared" si="204"/>
        <v>0</v>
      </c>
      <c r="J1007" s="1823">
        <f t="shared" si="204"/>
        <v>0</v>
      </c>
      <c r="K1007" s="1823">
        <f t="shared" si="204"/>
        <v>0</v>
      </c>
      <c r="L1007" s="1823">
        <f t="shared" si="204"/>
        <v>0</v>
      </c>
      <c r="M1007" s="1823"/>
      <c r="N1007" s="1823"/>
      <c r="O1007" s="1823"/>
      <c r="P1007" s="1823"/>
      <c r="Q1007" s="1053"/>
      <c r="R1007" s="1053"/>
      <c r="S1007" s="1053"/>
      <c r="T1007" s="2035">
        <f t="shared" si="203"/>
        <v>0</v>
      </c>
    </row>
    <row r="1008" spans="1:20" ht="22.2" hidden="1" customHeight="1">
      <c r="A1008" s="59"/>
      <c r="B1008" s="1577" t="s">
        <v>1613</v>
      </c>
      <c r="C1008" s="1013" t="str">
        <f t="shared" si="201"/>
        <v xml:space="preserve"> </v>
      </c>
      <c r="D1008" s="1535">
        <v>4</v>
      </c>
      <c r="E1008" s="1044"/>
      <c r="F1008" s="1056" t="str">
        <f>VLOOKUP($B1008,DG!A:D,DG!$C$2,)</f>
        <v>Boulon 16x300+ 2 long đền vuông D18-50x50x3/Zn</v>
      </c>
      <c r="G1008" s="1044" t="str">
        <f>VLOOKUP($B1008,DG!A:D,DG!$D$2,)</f>
        <v>bộ</v>
      </c>
      <c r="H1008" s="1823">
        <f t="shared" si="204"/>
        <v>0</v>
      </c>
      <c r="I1008" s="1823">
        <f t="shared" si="204"/>
        <v>0</v>
      </c>
      <c r="J1008" s="1823">
        <f t="shared" si="204"/>
        <v>0</v>
      </c>
      <c r="K1008" s="1823">
        <f t="shared" si="204"/>
        <v>0</v>
      </c>
      <c r="L1008" s="1823">
        <f t="shared" si="204"/>
        <v>0</v>
      </c>
      <c r="M1008" s="1823"/>
      <c r="N1008" s="1823"/>
      <c r="O1008" s="1823"/>
      <c r="P1008" s="1823"/>
      <c r="Q1008" s="1053"/>
      <c r="R1008" s="1053"/>
      <c r="S1008" s="1053"/>
      <c r="T1008" s="2035">
        <f t="shared" si="203"/>
        <v>0</v>
      </c>
    </row>
    <row r="1009" spans="1:20" ht="22.2" hidden="1" customHeight="1">
      <c r="A1009" s="59"/>
      <c r="B1009" s="1577" t="s">
        <v>1788</v>
      </c>
      <c r="C1009" s="1013" t="str">
        <f t="shared" si="201"/>
        <v xml:space="preserve"> </v>
      </c>
      <c r="D1009" s="1535">
        <v>4</v>
      </c>
      <c r="E1009" s="1044"/>
      <c r="F1009" s="1056" t="str">
        <f>VLOOKUP($B1009,DG!A:D,DG!$C$2,)</f>
        <v>Boulon 16x300VRS+ 4 long đền vuông D18-50x50x3/Zn</v>
      </c>
      <c r="G1009" s="1044" t="str">
        <f>VLOOKUP($B1009,DG!A:D,DG!$D$2,)</f>
        <v>bộ</v>
      </c>
      <c r="H1009" s="1823">
        <f t="shared" si="204"/>
        <v>0</v>
      </c>
      <c r="I1009" s="1823">
        <f t="shared" si="204"/>
        <v>0</v>
      </c>
      <c r="J1009" s="1823">
        <f t="shared" si="204"/>
        <v>0</v>
      </c>
      <c r="K1009" s="1823">
        <f t="shared" si="204"/>
        <v>0</v>
      </c>
      <c r="L1009" s="1823">
        <f t="shared" si="204"/>
        <v>0</v>
      </c>
      <c r="M1009" s="1823"/>
      <c r="N1009" s="1823"/>
      <c r="O1009" s="1823"/>
      <c r="P1009" s="1823"/>
      <c r="Q1009" s="1053"/>
      <c r="R1009" s="1053"/>
      <c r="S1009" s="1053"/>
      <c r="T1009" s="2035">
        <f t="shared" si="203"/>
        <v>0</v>
      </c>
    </row>
    <row r="1010" spans="1:20" ht="22.2" hidden="1" customHeight="1">
      <c r="A1010" s="59"/>
      <c r="B1010" s="1577" t="s">
        <v>2248</v>
      </c>
      <c r="C1010" s="1013" t="str">
        <f t="shared" si="201"/>
        <v xml:space="preserve"> </v>
      </c>
      <c r="D1010" s="1535">
        <v>1</v>
      </c>
      <c r="E1010" s="1044"/>
      <c r="F1010" s="1049" t="str">
        <f>VLOOKUP($B1010,DG!A:D,DG!$C$2,)</f>
        <v>Lắp xà cột Pi loại ≤140kg/xà</v>
      </c>
      <c r="G1010" s="1044" t="str">
        <f>VLOOKUP($B1010,DG!A:D,DG!$D$2,)</f>
        <v>bộ</v>
      </c>
      <c r="H1010" s="1823"/>
      <c r="I1010" s="1823"/>
      <c r="J1010" s="1823"/>
      <c r="K1010" s="1823"/>
      <c r="L1010" s="1823"/>
      <c r="M1010" s="1823"/>
      <c r="N1010" s="1823"/>
      <c r="O1010" s="1823"/>
      <c r="P1010" s="1823"/>
      <c r="Q1010" s="1053"/>
      <c r="R1010" s="1053"/>
      <c r="S1010" s="1053"/>
      <c r="T1010" s="2035">
        <f t="shared" si="203"/>
        <v>0</v>
      </c>
    </row>
    <row r="1011" spans="1:20" ht="22.2" hidden="1" customHeight="1">
      <c r="A1011" s="59"/>
      <c r="B1011" s="1577" t="s">
        <v>2000</v>
      </c>
      <c r="C1011" s="1013" t="str">
        <f t="shared" si="201"/>
        <v xml:space="preserve"> </v>
      </c>
      <c r="D1011" s="1533">
        <f>D1012</f>
        <v>7.9000000000000001E-2</v>
      </c>
      <c r="E1011" s="1044"/>
      <c r="F1011" s="1049" t="str">
        <f>VLOOKUP($B1011,DG!A:D,DG!$C$2,)</f>
        <v>Bốc dỡ xà, thép thanh</v>
      </c>
      <c r="G1011" s="1044" t="str">
        <f>VLOOKUP($B1011,DG!A:D,DG!$D$2,)</f>
        <v>tấn</v>
      </c>
      <c r="H1011" s="1823"/>
      <c r="I1011" s="1823"/>
      <c r="J1011" s="1823"/>
      <c r="K1011" s="1823"/>
      <c r="L1011" s="1823"/>
      <c r="M1011" s="1823"/>
      <c r="N1011" s="1823"/>
      <c r="O1011" s="1823"/>
      <c r="P1011" s="1823"/>
      <c r="Q1011" s="1053"/>
      <c r="R1011" s="1053"/>
      <c r="S1011" s="1053"/>
      <c r="T1011" s="2035">
        <f t="shared" si="203"/>
        <v>0</v>
      </c>
    </row>
    <row r="1012" spans="1:20" ht="22.2" hidden="1" customHeight="1">
      <c r="A1012" s="59"/>
      <c r="B1012" s="1588" t="s">
        <v>2001</v>
      </c>
      <c r="C1012" s="1013" t="str">
        <f t="shared" si="201"/>
        <v xml:space="preserve"> </v>
      </c>
      <c r="D1012" s="1533">
        <f>ROUND(SUM(D1005:D1007)*1.05/1000,3)</f>
        <v>7.9000000000000001E-2</v>
      </c>
      <c r="E1012" s="1044" t="str">
        <f>VLOOKUP($B1012,DG!A:C,2,)</f>
        <v>02.1361</v>
      </c>
      <c r="F1012" s="1049" t="str">
        <f>VLOOKUP($B1012,DG!A:C,3,)</f>
        <v>V/c xà vào vị trí (cư ly &lt;=100m)</v>
      </c>
      <c r="G1012" s="1044" t="str">
        <f>VLOOKUP($B1012,DG!A:D,4,0)</f>
        <v>tấn</v>
      </c>
      <c r="H1012" s="1823"/>
      <c r="I1012" s="1823"/>
      <c r="J1012" s="1823"/>
      <c r="K1012" s="1823"/>
      <c r="L1012" s="1823"/>
      <c r="M1012" s="1823"/>
      <c r="N1012" s="1823"/>
      <c r="O1012" s="1823"/>
      <c r="P1012" s="1823"/>
      <c r="Q1012" s="1058"/>
      <c r="R1012" s="1058"/>
      <c r="S1012" s="1058"/>
      <c r="T1012" s="2035">
        <f t="shared" si="203"/>
        <v>0</v>
      </c>
    </row>
    <row r="1013" spans="1:20" ht="22.2" hidden="1" customHeight="1">
      <c r="A1013" s="59"/>
      <c r="B1013" s="1588" t="s">
        <v>635</v>
      </c>
      <c r="C1013" s="1013" t="str">
        <f t="shared" si="201"/>
        <v xml:space="preserve"> </v>
      </c>
      <c r="D1013" s="1534">
        <v>0.05</v>
      </c>
      <c r="E1013" s="1044" t="str">
        <f>VLOOKUP($B1013,DG!A:C,2,)</f>
        <v>02.1482</v>
      </c>
      <c r="F1013" s="1049" t="str">
        <f>VLOOKUP($B1013,DG!A:C,3,)</f>
        <v>V/c dụng cụ thi công vào vị trí (cự ly &lt;=100m)</v>
      </c>
      <c r="G1013" s="1044" t="str">
        <f>VLOOKUP($B1013,DG!A:D,4,0)</f>
        <v>tấn</v>
      </c>
      <c r="H1013" s="1823"/>
      <c r="I1013" s="1823"/>
      <c r="J1013" s="1823"/>
      <c r="K1013" s="1823"/>
      <c r="L1013" s="1823"/>
      <c r="M1013" s="1823"/>
      <c r="N1013" s="1823"/>
      <c r="O1013" s="1823"/>
      <c r="P1013" s="1823"/>
      <c r="Q1013" s="1058"/>
      <c r="R1013" s="1058"/>
      <c r="S1013" s="1058"/>
      <c r="T1013" s="2035">
        <f t="shared" si="203"/>
        <v>0</v>
      </c>
    </row>
    <row r="1014" spans="1:20" ht="22.2" hidden="1" customHeight="1">
      <c r="A1014" s="56" t="s">
        <v>105</v>
      </c>
      <c r="B1014" s="1574" t="s">
        <v>105</v>
      </c>
      <c r="C1014" s="1013" t="str">
        <f t="shared" si="201"/>
        <v xml:space="preserve"> </v>
      </c>
      <c r="D1014" s="1532"/>
      <c r="E1014" s="1045"/>
      <c r="F1014" s="1392" t="s">
        <v>2455</v>
      </c>
      <c r="G1014" s="1046" t="s">
        <v>2391</v>
      </c>
      <c r="H1014" s="1821">
        <f>SUM(I1014:O1014)</f>
        <v>0</v>
      </c>
      <c r="I1014" s="1822"/>
      <c r="J1014" s="1822"/>
      <c r="K1014" s="1822">
        <f>IFERROR(HLOOKUP(B1014,pp3p1m!$1:$3,3,0),0)</f>
        <v>0</v>
      </c>
      <c r="L1014" s="1822">
        <f>IFERROR(HLOOKUP(chitiet!B1014,pp1p!$1:$3,3,0),0)</f>
        <v>0</v>
      </c>
      <c r="M1014" s="1822"/>
      <c r="N1014" s="1822"/>
      <c r="O1014" s="1822"/>
      <c r="P1014" s="1822">
        <f>H1014+Q1014-R1014</f>
        <v>0</v>
      </c>
      <c r="Q1014" s="1047"/>
      <c r="R1014" s="1047"/>
      <c r="S1014" s="1047"/>
      <c r="T1014" s="2035">
        <f>IFERROR(HLOOKUP(B1014,pp1p!$1:$3,3,0),0)+IFERROR(HLOOKUP(B1014,pp3p1m!$1:$3,3,0),0)</f>
        <v>0</v>
      </c>
    </row>
    <row r="1015" spans="1:20" ht="22.2" hidden="1" customHeight="1">
      <c r="A1015" s="59"/>
      <c r="B1015" s="1577" t="s">
        <v>109</v>
      </c>
      <c r="C1015" s="1013" t="str">
        <f t="shared" si="201"/>
        <v xml:space="preserve"> </v>
      </c>
      <c r="D1015" s="1534">
        <f>9.02*(3+3*0.1)*2</f>
        <v>59.531999999999996</v>
      </c>
      <c r="E1015" s="1044"/>
      <c r="F1015" s="1056" t="str">
        <f>VLOOKUP($B1015,DG!A:D,DG!$C$2,)</f>
        <v>Sắt góc L75 x75 x8</v>
      </c>
      <c r="G1015" s="1044" t="str">
        <f>VLOOKUP($B1015,DG!A:D,DG!$D$2,)</f>
        <v>kg</v>
      </c>
      <c r="H1015" s="1823">
        <f t="shared" ref="H1015:L1019" si="205">H$1014*$D1015</f>
        <v>0</v>
      </c>
      <c r="I1015" s="1823">
        <f t="shared" si="205"/>
        <v>0</v>
      </c>
      <c r="J1015" s="1823">
        <f t="shared" si="205"/>
        <v>0</v>
      </c>
      <c r="K1015" s="1823">
        <f t="shared" si="205"/>
        <v>0</v>
      </c>
      <c r="L1015" s="1823">
        <f t="shared" si="205"/>
        <v>0</v>
      </c>
      <c r="M1015" s="1823"/>
      <c r="N1015" s="1823"/>
      <c r="O1015" s="1823"/>
      <c r="P1015" s="1823"/>
      <c r="Q1015" s="1053"/>
      <c r="R1015" s="1053"/>
      <c r="S1015" s="1053"/>
      <c r="T1015" s="2035">
        <f t="shared" si="203"/>
        <v>0</v>
      </c>
    </row>
    <row r="1016" spans="1:20" ht="22.2" hidden="1" customHeight="1">
      <c r="A1016" s="59"/>
      <c r="B1016" s="1577" t="s">
        <v>279</v>
      </c>
      <c r="C1016" s="1013" t="str">
        <f t="shared" si="201"/>
        <v xml:space="preserve"> </v>
      </c>
      <c r="D1016" s="1534">
        <f>0.92*2.826*4</f>
        <v>10.39968</v>
      </c>
      <c r="E1016" s="1044"/>
      <c r="F1016" s="1056" t="str">
        <f>VLOOKUP($B1016,DG!A:D,DG!$C$2,)</f>
        <v>Sắt dẹt 60 x 6</v>
      </c>
      <c r="G1016" s="1044" t="str">
        <f>VLOOKUP($B1016,DG!A:D,DG!$D$2,)</f>
        <v>kg</v>
      </c>
      <c r="H1016" s="1823">
        <f t="shared" si="205"/>
        <v>0</v>
      </c>
      <c r="I1016" s="1823">
        <f t="shared" si="205"/>
        <v>0</v>
      </c>
      <c r="J1016" s="1823">
        <f t="shared" si="205"/>
        <v>0</v>
      </c>
      <c r="K1016" s="1823">
        <f t="shared" si="205"/>
        <v>0</v>
      </c>
      <c r="L1016" s="1823">
        <f t="shared" si="205"/>
        <v>0</v>
      </c>
      <c r="M1016" s="1823"/>
      <c r="N1016" s="1823"/>
      <c r="O1016" s="1823"/>
      <c r="P1016" s="1823"/>
      <c r="Q1016" s="1053"/>
      <c r="R1016" s="1053"/>
      <c r="S1016" s="1053"/>
      <c r="T1016" s="2035">
        <f t="shared" si="203"/>
        <v>0</v>
      </c>
    </row>
    <row r="1017" spans="1:20" ht="22.2" hidden="1" customHeight="1">
      <c r="A1017" s="59"/>
      <c r="B1017" s="1577" t="s">
        <v>1790</v>
      </c>
      <c r="C1017" s="1013" t="str">
        <f t="shared" si="201"/>
        <v xml:space="preserve"> </v>
      </c>
      <c r="D1017" s="1535">
        <v>4</v>
      </c>
      <c r="E1017" s="1044"/>
      <c r="F1017" s="1056" t="str">
        <f>VLOOKUP($B1017,DG!A:D,DG!$C$2,)</f>
        <v>Boulon 16x50+ 2 long đền vuông D18-50x50x3/Zn</v>
      </c>
      <c r="G1017" s="1044" t="str">
        <f>VLOOKUP($B1017,DG!A:D,DG!$D$2,)</f>
        <v>bộ</v>
      </c>
      <c r="H1017" s="1823">
        <f t="shared" si="205"/>
        <v>0</v>
      </c>
      <c r="I1017" s="1823">
        <f t="shared" si="205"/>
        <v>0</v>
      </c>
      <c r="J1017" s="1823">
        <f t="shared" si="205"/>
        <v>0</v>
      </c>
      <c r="K1017" s="1823">
        <f t="shared" si="205"/>
        <v>0</v>
      </c>
      <c r="L1017" s="1823">
        <f t="shared" si="205"/>
        <v>0</v>
      </c>
      <c r="M1017" s="1823"/>
      <c r="N1017" s="1823"/>
      <c r="O1017" s="1823"/>
      <c r="P1017" s="1823"/>
      <c r="Q1017" s="1053"/>
      <c r="R1017" s="1053"/>
      <c r="S1017" s="1053"/>
      <c r="T1017" s="2035">
        <f t="shared" si="203"/>
        <v>0</v>
      </c>
    </row>
    <row r="1018" spans="1:20" ht="22.2" hidden="1" customHeight="1">
      <c r="A1018" s="59"/>
      <c r="B1018" s="1577" t="s">
        <v>1612</v>
      </c>
      <c r="C1018" s="1013" t="str">
        <f t="shared" si="201"/>
        <v xml:space="preserve"> </v>
      </c>
      <c r="D1018" s="1535">
        <v>4</v>
      </c>
      <c r="E1018" s="1044"/>
      <c r="F1018" s="1056" t="str">
        <f>VLOOKUP($B1018,DG!A:D,DG!$C$2,)</f>
        <v>Boulon 16x250+ 2 long đền vuông D18-50x50x3/Zn</v>
      </c>
      <c r="G1018" s="1044" t="str">
        <f>VLOOKUP($B1018,DG!A:D,DG!$D$2,)</f>
        <v>bộ</v>
      </c>
      <c r="H1018" s="1823">
        <f t="shared" si="205"/>
        <v>0</v>
      </c>
      <c r="I1018" s="1823">
        <f t="shared" si="205"/>
        <v>0</v>
      </c>
      <c r="J1018" s="1823">
        <f t="shared" si="205"/>
        <v>0</v>
      </c>
      <c r="K1018" s="1823">
        <f t="shared" si="205"/>
        <v>0</v>
      </c>
      <c r="L1018" s="1823">
        <f t="shared" si="205"/>
        <v>0</v>
      </c>
      <c r="M1018" s="1823"/>
      <c r="N1018" s="1823"/>
      <c r="O1018" s="1823"/>
      <c r="P1018" s="1823"/>
      <c r="Q1018" s="1053"/>
      <c r="R1018" s="1053"/>
      <c r="S1018" s="1053"/>
      <c r="T1018" s="2035">
        <f t="shared" si="203"/>
        <v>0</v>
      </c>
    </row>
    <row r="1019" spans="1:20" ht="22.2" hidden="1" customHeight="1">
      <c r="A1019" s="59"/>
      <c r="B1019" s="1577" t="s">
        <v>1788</v>
      </c>
      <c r="C1019" s="1013" t="str">
        <f t="shared" si="201"/>
        <v xml:space="preserve"> </v>
      </c>
      <c r="D1019" s="1535">
        <v>4</v>
      </c>
      <c r="E1019" s="1044"/>
      <c r="F1019" s="1056" t="str">
        <f>VLOOKUP($B1019,DG!A:D,DG!$C$2,)</f>
        <v>Boulon 16x300VRS+ 4 long đền vuông D18-50x50x3/Zn</v>
      </c>
      <c r="G1019" s="1044" t="str">
        <f>VLOOKUP($B1019,DG!A:D,DG!$D$2,)</f>
        <v>bộ</v>
      </c>
      <c r="H1019" s="1823">
        <f t="shared" si="205"/>
        <v>0</v>
      </c>
      <c r="I1019" s="1823">
        <f t="shared" si="205"/>
        <v>0</v>
      </c>
      <c r="J1019" s="1823">
        <f t="shared" si="205"/>
        <v>0</v>
      </c>
      <c r="K1019" s="1823">
        <f t="shared" si="205"/>
        <v>0</v>
      </c>
      <c r="L1019" s="1823">
        <f t="shared" si="205"/>
        <v>0</v>
      </c>
      <c r="M1019" s="1823"/>
      <c r="N1019" s="1823"/>
      <c r="O1019" s="1823"/>
      <c r="P1019" s="1823"/>
      <c r="Q1019" s="1053"/>
      <c r="R1019" s="1053"/>
      <c r="S1019" s="1053"/>
      <c r="T1019" s="2035">
        <f t="shared" si="203"/>
        <v>0</v>
      </c>
    </row>
    <row r="1020" spans="1:20" ht="22.2" hidden="1" customHeight="1">
      <c r="A1020" s="59"/>
      <c r="B1020" s="1577" t="s">
        <v>2248</v>
      </c>
      <c r="C1020" s="1013" t="str">
        <f t="shared" si="201"/>
        <v xml:space="preserve"> </v>
      </c>
      <c r="D1020" s="1535">
        <v>1</v>
      </c>
      <c r="E1020" s="1044"/>
      <c r="F1020" s="1049" t="str">
        <f>VLOOKUP($B1020,DG!A:D,DG!$C$2,)</f>
        <v>Lắp xà cột Pi loại ≤140kg/xà</v>
      </c>
      <c r="G1020" s="1044" t="str">
        <f>VLOOKUP($B1020,DG!A:D,DG!$D$2,)</f>
        <v>bộ</v>
      </c>
      <c r="H1020" s="1823"/>
      <c r="I1020" s="1823"/>
      <c r="J1020" s="1823"/>
      <c r="K1020" s="1823"/>
      <c r="L1020" s="1823"/>
      <c r="M1020" s="1823"/>
      <c r="N1020" s="1823"/>
      <c r="O1020" s="1823"/>
      <c r="P1020" s="1823"/>
      <c r="Q1020" s="1053"/>
      <c r="R1020" s="1053"/>
      <c r="S1020" s="1053"/>
      <c r="T1020" s="2035">
        <f t="shared" si="203"/>
        <v>0</v>
      </c>
    </row>
    <row r="1021" spans="1:20" ht="22.2" hidden="1" customHeight="1">
      <c r="A1021" s="59"/>
      <c r="B1021" s="1577" t="s">
        <v>2000</v>
      </c>
      <c r="C1021" s="1013" t="str">
        <f t="shared" si="201"/>
        <v xml:space="preserve"> </v>
      </c>
      <c r="D1021" s="1533">
        <f>D1022</f>
        <v>7.2999999999999995E-2</v>
      </c>
      <c r="E1021" s="1044"/>
      <c r="F1021" s="1049" t="str">
        <f>VLOOKUP($B1021,DG!A:D,DG!$C$2,)</f>
        <v>Bốc dỡ xà, thép thanh</v>
      </c>
      <c r="G1021" s="1044" t="str">
        <f>VLOOKUP($B1021,DG!A:D,DG!$D$2,)</f>
        <v>tấn</v>
      </c>
      <c r="H1021" s="1823"/>
      <c r="I1021" s="1823"/>
      <c r="J1021" s="1823"/>
      <c r="K1021" s="1823"/>
      <c r="L1021" s="1823"/>
      <c r="M1021" s="1823"/>
      <c r="N1021" s="1823"/>
      <c r="O1021" s="1823"/>
      <c r="P1021" s="1823"/>
      <c r="Q1021" s="1053"/>
      <c r="R1021" s="1053"/>
      <c r="S1021" s="1053"/>
      <c r="T1021" s="2035">
        <f t="shared" si="203"/>
        <v>0</v>
      </c>
    </row>
    <row r="1022" spans="1:20" ht="22.2" hidden="1" customHeight="1">
      <c r="A1022" s="59"/>
      <c r="B1022" s="1588" t="s">
        <v>2001</v>
      </c>
      <c r="C1022" s="1013" t="str">
        <f t="shared" si="201"/>
        <v xml:space="preserve"> </v>
      </c>
      <c r="D1022" s="1533">
        <f>ROUND(SUM(D1015:D1016)*1.05/1000,3)</f>
        <v>7.2999999999999995E-2</v>
      </c>
      <c r="E1022" s="1044" t="str">
        <f>VLOOKUP($B1022,DG!A:C,2,)</f>
        <v>02.1361</v>
      </c>
      <c r="F1022" s="1049" t="str">
        <f>VLOOKUP($B1022,DG!A:C,3,)</f>
        <v>V/c xà vào vị trí (cư ly &lt;=100m)</v>
      </c>
      <c r="G1022" s="1044" t="str">
        <f>VLOOKUP($B1022,DG!A:D,4,0)</f>
        <v>tấn</v>
      </c>
      <c r="H1022" s="1823"/>
      <c r="I1022" s="1823"/>
      <c r="J1022" s="1823"/>
      <c r="K1022" s="1823"/>
      <c r="L1022" s="1823"/>
      <c r="M1022" s="1823"/>
      <c r="N1022" s="1823"/>
      <c r="O1022" s="1823"/>
      <c r="P1022" s="1823"/>
      <c r="Q1022" s="1058"/>
      <c r="R1022" s="1058"/>
      <c r="S1022" s="1058"/>
      <c r="T1022" s="2035">
        <f t="shared" si="203"/>
        <v>0</v>
      </c>
    </row>
    <row r="1023" spans="1:20" ht="22.2" hidden="1" customHeight="1">
      <c r="A1023" s="59"/>
      <c r="B1023" s="1588" t="s">
        <v>635</v>
      </c>
      <c r="C1023" s="1013" t="str">
        <f t="shared" si="201"/>
        <v xml:space="preserve"> </v>
      </c>
      <c r="D1023" s="1534">
        <v>0.05</v>
      </c>
      <c r="E1023" s="1044" t="str">
        <f>VLOOKUP($B1023,DG!A:C,2,)</f>
        <v>02.1482</v>
      </c>
      <c r="F1023" s="1049" t="str">
        <f>VLOOKUP($B1023,DG!A:C,3,)</f>
        <v>V/c dụng cụ thi công vào vị trí (cự ly &lt;=100m)</v>
      </c>
      <c r="G1023" s="1044" t="str">
        <f>VLOOKUP($B1023,DG!A:D,4,0)</f>
        <v>tấn</v>
      </c>
      <c r="H1023" s="1823"/>
      <c r="I1023" s="1823"/>
      <c r="J1023" s="1823"/>
      <c r="K1023" s="1823"/>
      <c r="L1023" s="1823"/>
      <c r="M1023" s="1823"/>
      <c r="N1023" s="1823"/>
      <c r="O1023" s="1823"/>
      <c r="P1023" s="1823"/>
      <c r="Q1023" s="1058"/>
      <c r="R1023" s="1058"/>
      <c r="S1023" s="1058"/>
      <c r="T1023" s="2035">
        <f t="shared" si="203"/>
        <v>0</v>
      </c>
    </row>
    <row r="1024" spans="1:20" ht="22.2" hidden="1" customHeight="1">
      <c r="A1024" s="56" t="s">
        <v>2305</v>
      </c>
      <c r="B1024" s="1574" t="s">
        <v>2305</v>
      </c>
      <c r="C1024" s="1013" t="str">
        <f t="shared" si="201"/>
        <v xml:space="preserve"> </v>
      </c>
      <c r="D1024" s="1532"/>
      <c r="E1024" s="1045"/>
      <c r="F1024" s="1392" t="s">
        <v>2456</v>
      </c>
      <c r="G1024" s="1046" t="s">
        <v>2391</v>
      </c>
      <c r="H1024" s="1821">
        <f>SUM(I1024:O1024)</f>
        <v>0</v>
      </c>
      <c r="I1024" s="1822"/>
      <c r="J1024" s="1822"/>
      <c r="K1024" s="1822">
        <f>IFERROR(HLOOKUP(B1024,pp3p1m!$1:$3,3,0),0)</f>
        <v>0</v>
      </c>
      <c r="L1024" s="1822">
        <f>IFERROR(HLOOKUP(chitiet!B1024,pp1p!$1:$3,3,0),0)</f>
        <v>0</v>
      </c>
      <c r="M1024" s="1822"/>
      <c r="N1024" s="1822"/>
      <c r="O1024" s="1822"/>
      <c r="P1024" s="1822">
        <f>H1024+Q1024-R1024</f>
        <v>0</v>
      </c>
      <c r="Q1024" s="1047"/>
      <c r="R1024" s="1047"/>
      <c r="S1024" s="1047"/>
      <c r="T1024" s="2035">
        <f>IFERROR(HLOOKUP(B1024,pp1p!$1:$3,3,0),0)+IFERROR(HLOOKUP(B1024,pp3p1m!$1:$3,3,0),0)</f>
        <v>0</v>
      </c>
    </row>
    <row r="1025" spans="1:20" ht="22.2" hidden="1" customHeight="1">
      <c r="A1025" s="59"/>
      <c r="B1025" s="1577" t="s">
        <v>109</v>
      </c>
      <c r="C1025" s="1013" t="str">
        <f t="shared" si="201"/>
        <v xml:space="preserve"> </v>
      </c>
      <c r="D1025" s="1534">
        <f>9.02*(3.8+6*0.1)</f>
        <v>39.688000000000002</v>
      </c>
      <c r="E1025" s="1044"/>
      <c r="F1025" s="1056" t="str">
        <f>VLOOKUP($B1025,DG!A:D,DG!$C$2,)</f>
        <v>Sắt góc L75 x75 x8</v>
      </c>
      <c r="G1025" s="1044" t="str">
        <f>VLOOKUP($B1025,DG!A:D,DG!$D$2,)</f>
        <v>kg</v>
      </c>
      <c r="H1025" s="1823">
        <f t="shared" ref="H1025:L1029" si="206">H$1024*$D1025</f>
        <v>0</v>
      </c>
      <c r="I1025" s="1823">
        <f t="shared" si="206"/>
        <v>0</v>
      </c>
      <c r="J1025" s="1823">
        <f t="shared" si="206"/>
        <v>0</v>
      </c>
      <c r="K1025" s="1823">
        <f t="shared" si="206"/>
        <v>0</v>
      </c>
      <c r="L1025" s="1823">
        <f t="shared" si="206"/>
        <v>0</v>
      </c>
      <c r="M1025" s="1823"/>
      <c r="N1025" s="1823"/>
      <c r="O1025" s="1823"/>
      <c r="P1025" s="1823"/>
      <c r="Q1025" s="1053"/>
      <c r="R1025" s="1053"/>
      <c r="S1025" s="1053"/>
      <c r="T1025" s="2035">
        <f t="shared" si="203"/>
        <v>0</v>
      </c>
    </row>
    <row r="1026" spans="1:20" ht="22.2" hidden="1" customHeight="1">
      <c r="A1026" s="59"/>
      <c r="B1026" s="1577" t="s">
        <v>457</v>
      </c>
      <c r="C1026" s="1013" t="str">
        <f t="shared" si="201"/>
        <v xml:space="preserve"> </v>
      </c>
      <c r="D1026" s="1534">
        <f>3.77*2.05*2</f>
        <v>15.456999999999999</v>
      </c>
      <c r="E1026" s="1044"/>
      <c r="F1026" s="1056" t="str">
        <f>VLOOKUP($B1026,DG!A:D,DG!$C$2,)</f>
        <v>Sắt góc L50 x50 x5</v>
      </c>
      <c r="G1026" s="1044" t="str">
        <f>VLOOKUP($B1026,DG!A:D,DG!$D$2,)</f>
        <v>kg</v>
      </c>
      <c r="H1026" s="1823">
        <f t="shared" si="206"/>
        <v>0</v>
      </c>
      <c r="I1026" s="1823">
        <f t="shared" si="206"/>
        <v>0</v>
      </c>
      <c r="J1026" s="1823">
        <f t="shared" si="206"/>
        <v>0</v>
      </c>
      <c r="K1026" s="1823">
        <f t="shared" si="206"/>
        <v>0</v>
      </c>
      <c r="L1026" s="1823">
        <f t="shared" si="206"/>
        <v>0</v>
      </c>
      <c r="M1026" s="1823"/>
      <c r="N1026" s="1823"/>
      <c r="O1026" s="1823"/>
      <c r="P1026" s="1823"/>
      <c r="Q1026" s="1053"/>
      <c r="R1026" s="1053"/>
      <c r="S1026" s="1053"/>
      <c r="T1026" s="2035">
        <f t="shared" si="203"/>
        <v>0</v>
      </c>
    </row>
    <row r="1027" spans="1:20" ht="22.2" hidden="1" customHeight="1">
      <c r="A1027" s="59"/>
      <c r="B1027" s="1577" t="s">
        <v>2112</v>
      </c>
      <c r="C1027" s="1013" t="str">
        <f t="shared" si="201"/>
        <v xml:space="preserve"> </v>
      </c>
      <c r="D1027" s="1534">
        <f>1.963*0.4*2</f>
        <v>1.5704000000000002</v>
      </c>
      <c r="E1027" s="1044"/>
      <c r="F1027" s="1056" t="str">
        <f>VLOOKUP($B1027,DG!A:D,DG!$C$2,)</f>
        <v>Sắt dẹt 50x5</v>
      </c>
      <c r="G1027" s="1044" t="str">
        <f>VLOOKUP($B1027,DG!A:D,DG!$D$2,)</f>
        <v>kg</v>
      </c>
      <c r="H1027" s="1823">
        <f t="shared" si="206"/>
        <v>0</v>
      </c>
      <c r="I1027" s="1823">
        <f t="shared" si="206"/>
        <v>0</v>
      </c>
      <c r="J1027" s="1823">
        <f t="shared" si="206"/>
        <v>0</v>
      </c>
      <c r="K1027" s="1823">
        <f t="shared" si="206"/>
        <v>0</v>
      </c>
      <c r="L1027" s="1823">
        <f t="shared" si="206"/>
        <v>0</v>
      </c>
      <c r="M1027" s="1823"/>
      <c r="N1027" s="1823"/>
      <c r="O1027" s="1823"/>
      <c r="P1027" s="1823"/>
      <c r="Q1027" s="1053"/>
      <c r="R1027" s="1053"/>
      <c r="S1027" s="1053"/>
      <c r="T1027" s="2035">
        <f t="shared" si="203"/>
        <v>0</v>
      </c>
    </row>
    <row r="1028" spans="1:20" ht="22.2" hidden="1" customHeight="1">
      <c r="A1028" s="59"/>
      <c r="B1028" s="1577" t="s">
        <v>1612</v>
      </c>
      <c r="C1028" s="1013" t="str">
        <f t="shared" si="201"/>
        <v xml:space="preserve"> </v>
      </c>
      <c r="D1028" s="1535">
        <v>2</v>
      </c>
      <c r="E1028" s="1044"/>
      <c r="F1028" s="1056" t="str">
        <f>VLOOKUP($B1028,DG!A:D,DG!$C$2,)</f>
        <v>Boulon 16x250+ 2 long đền vuông D18-50x50x3/Zn</v>
      </c>
      <c r="G1028" s="1044" t="str">
        <f>VLOOKUP($B1028,DG!A:D,DG!$D$2,)</f>
        <v>bộ</v>
      </c>
      <c r="H1028" s="1823">
        <f t="shared" si="206"/>
        <v>0</v>
      </c>
      <c r="I1028" s="1823">
        <f t="shared" si="206"/>
        <v>0</v>
      </c>
      <c r="J1028" s="1823">
        <f t="shared" si="206"/>
        <v>0</v>
      </c>
      <c r="K1028" s="1823">
        <f t="shared" si="206"/>
        <v>0</v>
      </c>
      <c r="L1028" s="1823">
        <f t="shared" si="206"/>
        <v>0</v>
      </c>
      <c r="M1028" s="1823"/>
      <c r="N1028" s="1823"/>
      <c r="O1028" s="1823"/>
      <c r="P1028" s="1823"/>
      <c r="Q1028" s="1053"/>
      <c r="R1028" s="1053"/>
      <c r="S1028" s="1053"/>
      <c r="T1028" s="2035">
        <f t="shared" si="203"/>
        <v>0</v>
      </c>
    </row>
    <row r="1029" spans="1:20" ht="22.2" hidden="1" customHeight="1">
      <c r="A1029" s="59"/>
      <c r="B1029" s="1577" t="s">
        <v>1790</v>
      </c>
      <c r="C1029" s="1013" t="str">
        <f t="shared" si="201"/>
        <v xml:space="preserve"> </v>
      </c>
      <c r="D1029" s="1535">
        <v>2</v>
      </c>
      <c r="E1029" s="1044"/>
      <c r="F1029" s="1056" t="str">
        <f>VLOOKUP($B1029,DG!A:D,DG!$C$2,)</f>
        <v>Boulon 16x50+ 2 long đền vuông D18-50x50x3/Zn</v>
      </c>
      <c r="G1029" s="1044" t="str">
        <f>VLOOKUP($B1029,DG!A:D,DG!$D$2,)</f>
        <v>bộ</v>
      </c>
      <c r="H1029" s="1823">
        <f t="shared" si="206"/>
        <v>0</v>
      </c>
      <c r="I1029" s="1823">
        <f t="shared" si="206"/>
        <v>0</v>
      </c>
      <c r="J1029" s="1823">
        <f t="shared" si="206"/>
        <v>0</v>
      </c>
      <c r="K1029" s="1823">
        <f t="shared" si="206"/>
        <v>0</v>
      </c>
      <c r="L1029" s="1823">
        <f t="shared" si="206"/>
        <v>0</v>
      </c>
      <c r="M1029" s="1823"/>
      <c r="N1029" s="1823"/>
      <c r="O1029" s="1823"/>
      <c r="P1029" s="1823"/>
      <c r="Q1029" s="1053"/>
      <c r="R1029" s="1053"/>
      <c r="S1029" s="1053"/>
      <c r="T1029" s="2035">
        <f t="shared" si="203"/>
        <v>0</v>
      </c>
    </row>
    <row r="1030" spans="1:20" ht="22.2" hidden="1" customHeight="1">
      <c r="A1030" s="59"/>
      <c r="B1030" s="1577" t="s">
        <v>1999</v>
      </c>
      <c r="C1030" s="1013" t="str">
        <f t="shared" si="201"/>
        <v xml:space="preserve"> </v>
      </c>
      <c r="D1030" s="1535">
        <v>1</v>
      </c>
      <c r="E1030" s="1044" t="str">
        <f>VLOOKUP($B1030,DG!A:D,DG!$B$2,)</f>
        <v>05.6401</v>
      </c>
      <c r="F1030" s="1049" t="str">
        <f>VLOOKUP($B1030,DG!A:D,DG!$C$2,)</f>
        <v>Lắp xà đỡ ≤ 25kg</v>
      </c>
      <c r="G1030" s="1044" t="str">
        <f>VLOOKUP($B1030,DG!A:D,DG!$D$2,)</f>
        <v>bộ</v>
      </c>
      <c r="H1030" s="1823"/>
      <c r="I1030" s="1823"/>
      <c r="J1030" s="1823"/>
      <c r="K1030" s="1823"/>
      <c r="L1030" s="1823"/>
      <c r="M1030" s="1823"/>
      <c r="N1030" s="1823"/>
      <c r="O1030" s="1823"/>
      <c r="P1030" s="1823"/>
      <c r="Q1030" s="1058"/>
      <c r="R1030" s="1058"/>
      <c r="S1030" s="1058"/>
      <c r="T1030" s="2035">
        <f t="shared" si="203"/>
        <v>0</v>
      </c>
    </row>
    <row r="1031" spans="1:20" ht="22.2" hidden="1" customHeight="1">
      <c r="A1031" s="59"/>
      <c r="B1031" s="1577" t="s">
        <v>2000</v>
      </c>
      <c r="C1031" s="1013" t="str">
        <f t="shared" si="201"/>
        <v xml:space="preserve"> </v>
      </c>
      <c r="D1031" s="1533">
        <f>D1032</f>
        <v>0.06</v>
      </c>
      <c r="E1031" s="1044" t="str">
        <f>VLOOKUP($B1031,DG!A:D,DG!$B$2,)</f>
        <v>02.1115</v>
      </c>
      <c r="F1031" s="1049" t="str">
        <f>VLOOKUP($B1031,DG!A:D,DG!$C$2,)</f>
        <v>Bốc dỡ xà, thép thanh</v>
      </c>
      <c r="G1031" s="1044" t="str">
        <f>VLOOKUP($B1031,DG!A:D,DG!$D$2,)</f>
        <v>tấn</v>
      </c>
      <c r="H1031" s="1823"/>
      <c r="I1031" s="1823"/>
      <c r="J1031" s="1823"/>
      <c r="K1031" s="1823"/>
      <c r="L1031" s="1823"/>
      <c r="M1031" s="1823"/>
      <c r="N1031" s="1823"/>
      <c r="O1031" s="1823"/>
      <c r="P1031" s="1823"/>
      <c r="Q1031" s="1058"/>
      <c r="R1031" s="1058"/>
      <c r="S1031" s="1058"/>
      <c r="T1031" s="2035">
        <f t="shared" si="203"/>
        <v>0</v>
      </c>
    </row>
    <row r="1032" spans="1:20" ht="22.2" hidden="1" customHeight="1">
      <c r="A1032" s="59"/>
      <c r="B1032" s="1588" t="s">
        <v>2001</v>
      </c>
      <c r="C1032" s="1013" t="str">
        <f t="shared" si="201"/>
        <v xml:space="preserve"> </v>
      </c>
      <c r="D1032" s="1533">
        <f>ROUND(SUM(D1025:D1027)*1.05/1000,3)</f>
        <v>0.06</v>
      </c>
      <c r="E1032" s="1044" t="str">
        <f>VLOOKUP($B1032,DG!A:C,2,)</f>
        <v>02.1361</v>
      </c>
      <c r="F1032" s="1049" t="str">
        <f>VLOOKUP($B1032,DG!A:C,3,)</f>
        <v>V/c xà vào vị trí (cư ly &lt;=100m)</v>
      </c>
      <c r="G1032" s="1044" t="str">
        <f>VLOOKUP($B1032,DG!A:D,4,0)</f>
        <v>tấn</v>
      </c>
      <c r="H1032" s="1823"/>
      <c r="I1032" s="1823"/>
      <c r="J1032" s="1823"/>
      <c r="K1032" s="1823"/>
      <c r="L1032" s="1823"/>
      <c r="M1032" s="1823"/>
      <c r="N1032" s="1823"/>
      <c r="O1032" s="1823"/>
      <c r="P1032" s="1823"/>
      <c r="Q1032" s="1058"/>
      <c r="R1032" s="1058"/>
      <c r="S1032" s="1058"/>
      <c r="T1032" s="2035">
        <f t="shared" si="203"/>
        <v>0</v>
      </c>
    </row>
    <row r="1033" spans="1:20" ht="22.2" hidden="1" customHeight="1">
      <c r="A1033" s="59"/>
      <c r="B1033" s="1588" t="s">
        <v>635</v>
      </c>
      <c r="C1033" s="1013" t="str">
        <f t="shared" si="201"/>
        <v xml:space="preserve"> </v>
      </c>
      <c r="D1033" s="1534">
        <v>0.05</v>
      </c>
      <c r="E1033" s="1044" t="str">
        <f>VLOOKUP($B1033,DG!A:C,2,)</f>
        <v>02.1482</v>
      </c>
      <c r="F1033" s="1049" t="str">
        <f>VLOOKUP($B1033,DG!A:C,3,)</f>
        <v>V/c dụng cụ thi công vào vị trí (cự ly &lt;=100m)</v>
      </c>
      <c r="G1033" s="1044" t="str">
        <f>VLOOKUP($B1033,DG!A:D,4,0)</f>
        <v>tấn</v>
      </c>
      <c r="H1033" s="1823"/>
      <c r="I1033" s="1823"/>
      <c r="J1033" s="1823"/>
      <c r="K1033" s="1823"/>
      <c r="L1033" s="1823"/>
      <c r="M1033" s="1823"/>
      <c r="N1033" s="1823"/>
      <c r="O1033" s="1823"/>
      <c r="P1033" s="1823"/>
      <c r="Q1033" s="1058"/>
      <c r="R1033" s="1058"/>
      <c r="S1033" s="1058"/>
      <c r="T1033" s="2035">
        <f t="shared" si="203"/>
        <v>0</v>
      </c>
    </row>
    <row r="1034" spans="1:20" ht="22.2" hidden="1" customHeight="1">
      <c r="A1034" s="56" t="s">
        <v>807</v>
      </c>
      <c r="B1034" s="1574" t="s">
        <v>807</v>
      </c>
      <c r="C1034" s="1013" t="str">
        <f t="shared" si="201"/>
        <v xml:space="preserve"> </v>
      </c>
      <c r="D1034" s="1532"/>
      <c r="E1034" s="1045"/>
      <c r="F1034" s="1392" t="s">
        <v>2457</v>
      </c>
      <c r="G1034" s="1046" t="s">
        <v>2391</v>
      </c>
      <c r="H1034" s="1821">
        <f>SUM(I1034:O1034)</f>
        <v>0</v>
      </c>
      <c r="I1034" s="1822"/>
      <c r="J1034" s="1822"/>
      <c r="K1034" s="1822">
        <f>IFERROR(HLOOKUP(B1034,pp3p1m!$1:$3,3,0),0)</f>
        <v>0</v>
      </c>
      <c r="L1034" s="1822">
        <f>IFERROR(HLOOKUP(chitiet!B1034,pp1p!$1:$3,3,0),0)</f>
        <v>0</v>
      </c>
      <c r="M1034" s="1822"/>
      <c r="N1034" s="1822"/>
      <c r="O1034" s="1822"/>
      <c r="P1034" s="1822">
        <f>H1034+Q1034-R1034</f>
        <v>0</v>
      </c>
      <c r="Q1034" s="1047"/>
      <c r="R1034" s="1047"/>
      <c r="S1034" s="1047"/>
      <c r="T1034" s="2035">
        <f>IFERROR(HLOOKUP(B1034,pp1p!$1:$3,3,0),0)+IFERROR(HLOOKUP(B1034,pp3p1m!$1:$3,3,0),0)</f>
        <v>0</v>
      </c>
    </row>
    <row r="1035" spans="1:20" ht="22.2" hidden="1" customHeight="1">
      <c r="A1035" s="59"/>
      <c r="B1035" s="1577" t="s">
        <v>109</v>
      </c>
      <c r="C1035" s="1013" t="str">
        <f t="shared" si="201"/>
        <v xml:space="preserve"> </v>
      </c>
      <c r="D1035" s="1534">
        <f>9.02*(4.2+6*0.1)*2</f>
        <v>86.592000000000013</v>
      </c>
      <c r="E1035" s="1044"/>
      <c r="F1035" s="1056" t="str">
        <f>VLOOKUP($B1035,DG!A:D,DG!$C$2,)</f>
        <v>Sắt góc L75 x75 x8</v>
      </c>
      <c r="G1035" s="1044" t="str">
        <f>VLOOKUP($B1035,DG!A:D,DG!$D$2,)</f>
        <v>kg</v>
      </c>
      <c r="H1035" s="1823">
        <f t="shared" ref="H1035:L1038" si="207">H$1034*$D1035</f>
        <v>0</v>
      </c>
      <c r="I1035" s="1823">
        <f t="shared" si="207"/>
        <v>0</v>
      </c>
      <c r="J1035" s="1823">
        <f t="shared" si="207"/>
        <v>0</v>
      </c>
      <c r="K1035" s="1823">
        <f t="shared" si="207"/>
        <v>0</v>
      </c>
      <c r="L1035" s="1823">
        <f t="shared" si="207"/>
        <v>0</v>
      </c>
      <c r="M1035" s="1823"/>
      <c r="N1035" s="1823"/>
      <c r="O1035" s="1823"/>
      <c r="P1035" s="1823"/>
      <c r="Q1035" s="1053"/>
      <c r="R1035" s="1053"/>
      <c r="S1035" s="1053"/>
      <c r="T1035" s="2035">
        <f t="shared" si="203"/>
        <v>0</v>
      </c>
    </row>
    <row r="1036" spans="1:20" ht="22.2" hidden="1" customHeight="1">
      <c r="A1036" s="59"/>
      <c r="B1036" s="1577" t="s">
        <v>279</v>
      </c>
      <c r="C1036" s="1013" t="str">
        <f t="shared" si="201"/>
        <v xml:space="preserve"> </v>
      </c>
      <c r="D1036" s="1534">
        <f>2.826*0.92*8</f>
        <v>20.79936</v>
      </c>
      <c r="E1036" s="1044"/>
      <c r="F1036" s="1056" t="str">
        <f>VLOOKUP($B1036,DG!A:D,DG!$C$2,)</f>
        <v>Sắt dẹt 60 x 6</v>
      </c>
      <c r="G1036" s="1044" t="str">
        <f>VLOOKUP($B1036,DG!A:D,DG!$D$2,)</f>
        <v>kg</v>
      </c>
      <c r="H1036" s="1823">
        <f t="shared" si="207"/>
        <v>0</v>
      </c>
      <c r="I1036" s="1823">
        <f t="shared" si="207"/>
        <v>0</v>
      </c>
      <c r="J1036" s="1823">
        <f t="shared" si="207"/>
        <v>0</v>
      </c>
      <c r="K1036" s="1823">
        <f t="shared" si="207"/>
        <v>0</v>
      </c>
      <c r="L1036" s="1823">
        <f t="shared" si="207"/>
        <v>0</v>
      </c>
      <c r="M1036" s="1823"/>
      <c r="N1036" s="1823"/>
      <c r="O1036" s="1823"/>
      <c r="P1036" s="1823"/>
      <c r="Q1036" s="1053"/>
      <c r="R1036" s="1053"/>
      <c r="S1036" s="1053"/>
      <c r="T1036" s="2035">
        <f t="shared" si="203"/>
        <v>0</v>
      </c>
    </row>
    <row r="1037" spans="1:20" ht="22.2" hidden="1" customHeight="1">
      <c r="A1037" s="59"/>
      <c r="B1037" s="1577" t="s">
        <v>1612</v>
      </c>
      <c r="C1037" s="1013" t="str">
        <f t="shared" si="201"/>
        <v xml:space="preserve"> </v>
      </c>
      <c r="D1037" s="1535">
        <v>4</v>
      </c>
      <c r="E1037" s="1044"/>
      <c r="F1037" s="1056" t="str">
        <f>VLOOKUP($B1037,DG!A:D,DG!$C$2,)</f>
        <v>Boulon 16x250+ 2 long đền vuông D18-50x50x3/Zn</v>
      </c>
      <c r="G1037" s="1044" t="str">
        <f>VLOOKUP($B1037,DG!A:D,DG!$D$2,)</f>
        <v>bộ</v>
      </c>
      <c r="H1037" s="1823">
        <f t="shared" si="207"/>
        <v>0</v>
      </c>
      <c r="I1037" s="1823">
        <f t="shared" si="207"/>
        <v>0</v>
      </c>
      <c r="J1037" s="1823">
        <f t="shared" si="207"/>
        <v>0</v>
      </c>
      <c r="K1037" s="1823">
        <f t="shared" si="207"/>
        <v>0</v>
      </c>
      <c r="L1037" s="1823">
        <f t="shared" si="207"/>
        <v>0</v>
      </c>
      <c r="M1037" s="1823"/>
      <c r="N1037" s="1823"/>
      <c r="O1037" s="1823"/>
      <c r="P1037" s="1823"/>
      <c r="Q1037" s="1053"/>
      <c r="R1037" s="1053"/>
      <c r="S1037" s="1053"/>
      <c r="T1037" s="2035">
        <f t="shared" si="203"/>
        <v>0</v>
      </c>
    </row>
    <row r="1038" spans="1:20" ht="22.2" hidden="1" customHeight="1">
      <c r="A1038" s="59"/>
      <c r="B1038" s="1577" t="s">
        <v>1788</v>
      </c>
      <c r="C1038" s="1013" t="str">
        <f t="shared" si="201"/>
        <v xml:space="preserve"> </v>
      </c>
      <c r="D1038" s="1535">
        <v>6</v>
      </c>
      <c r="E1038" s="1044"/>
      <c r="F1038" s="1056" t="str">
        <f>VLOOKUP($B1038,DG!A:D,DG!$C$2,)</f>
        <v>Boulon 16x300VRS+ 4 long đền vuông D18-50x50x3/Zn</v>
      </c>
      <c r="G1038" s="1044" t="str">
        <f>VLOOKUP($B1038,DG!A:D,DG!$D$2,)</f>
        <v>bộ</v>
      </c>
      <c r="H1038" s="1823">
        <f t="shared" si="207"/>
        <v>0</v>
      </c>
      <c r="I1038" s="1823">
        <f t="shared" si="207"/>
        <v>0</v>
      </c>
      <c r="J1038" s="1823">
        <f t="shared" si="207"/>
        <v>0</v>
      </c>
      <c r="K1038" s="1823">
        <f t="shared" si="207"/>
        <v>0</v>
      </c>
      <c r="L1038" s="1823">
        <f t="shared" si="207"/>
        <v>0</v>
      </c>
      <c r="M1038" s="1823"/>
      <c r="N1038" s="1823"/>
      <c r="O1038" s="1823"/>
      <c r="P1038" s="1823"/>
      <c r="Q1038" s="1053"/>
      <c r="R1038" s="1053"/>
      <c r="S1038" s="1053"/>
      <c r="T1038" s="2035">
        <f t="shared" si="203"/>
        <v>0</v>
      </c>
    </row>
    <row r="1039" spans="1:20" ht="22.2" hidden="1" customHeight="1">
      <c r="A1039" s="59"/>
      <c r="B1039" s="1577" t="s">
        <v>2248</v>
      </c>
      <c r="C1039" s="1013" t="str">
        <f t="shared" si="201"/>
        <v xml:space="preserve"> </v>
      </c>
      <c r="D1039" s="1535">
        <v>1</v>
      </c>
      <c r="E1039" s="1044"/>
      <c r="F1039" s="1049" t="str">
        <f>VLOOKUP($B1039,DG!A:D,DG!$C$2,)</f>
        <v>Lắp xà cột Pi loại ≤140kg/xà</v>
      </c>
      <c r="G1039" s="1044" t="str">
        <f>VLOOKUP($B1039,DG!A:D,DG!$D$2,)</f>
        <v>bộ</v>
      </c>
      <c r="H1039" s="1823"/>
      <c r="I1039" s="1823"/>
      <c r="J1039" s="1823"/>
      <c r="K1039" s="1823"/>
      <c r="L1039" s="1823"/>
      <c r="M1039" s="1823"/>
      <c r="N1039" s="1823"/>
      <c r="O1039" s="1823"/>
      <c r="P1039" s="1823"/>
      <c r="Q1039" s="1053"/>
      <c r="R1039" s="1053"/>
      <c r="S1039" s="1053"/>
      <c r="T1039" s="2035">
        <f t="shared" si="203"/>
        <v>0</v>
      </c>
    </row>
    <row r="1040" spans="1:20" ht="22.2" hidden="1" customHeight="1">
      <c r="A1040" s="59"/>
      <c r="B1040" s="1577" t="s">
        <v>2000</v>
      </c>
      <c r="C1040" s="1013" t="str">
        <f t="shared" si="201"/>
        <v xml:space="preserve"> </v>
      </c>
      <c r="D1040" s="1533">
        <f>D1041</f>
        <v>0.113</v>
      </c>
      <c r="E1040" s="1044"/>
      <c r="F1040" s="1049" t="str">
        <f>VLOOKUP($B1040,DG!A:D,DG!$C$2,)</f>
        <v>Bốc dỡ xà, thép thanh</v>
      </c>
      <c r="G1040" s="1044" t="str">
        <f>VLOOKUP($B1040,DG!A:D,DG!$D$2,)</f>
        <v>tấn</v>
      </c>
      <c r="H1040" s="1823"/>
      <c r="I1040" s="1823"/>
      <c r="J1040" s="1823"/>
      <c r="K1040" s="1823"/>
      <c r="L1040" s="1823"/>
      <c r="M1040" s="1823"/>
      <c r="N1040" s="1823"/>
      <c r="O1040" s="1823"/>
      <c r="P1040" s="1823"/>
      <c r="Q1040" s="1053"/>
      <c r="R1040" s="1053"/>
      <c r="S1040" s="1053"/>
      <c r="T1040" s="2035">
        <f t="shared" si="203"/>
        <v>0</v>
      </c>
    </row>
    <row r="1041" spans="1:20" ht="22.2" hidden="1" customHeight="1">
      <c r="A1041" s="59"/>
      <c r="B1041" s="1588" t="s">
        <v>2001</v>
      </c>
      <c r="C1041" s="1013" t="str">
        <f t="shared" si="201"/>
        <v xml:space="preserve"> </v>
      </c>
      <c r="D1041" s="1533">
        <f>ROUND(SUM(D1035:D1036)*1.05/1000,3)</f>
        <v>0.113</v>
      </c>
      <c r="E1041" s="1044" t="str">
        <f>VLOOKUP($B1041,DG!A:C,2,)</f>
        <v>02.1361</v>
      </c>
      <c r="F1041" s="1049" t="str">
        <f>VLOOKUP($B1041,DG!A:C,3,)</f>
        <v>V/c xà vào vị trí (cư ly &lt;=100m)</v>
      </c>
      <c r="G1041" s="1044" t="str">
        <f>VLOOKUP($B1041,DG!A:D,4,0)</f>
        <v>tấn</v>
      </c>
      <c r="H1041" s="1823"/>
      <c r="I1041" s="1823"/>
      <c r="J1041" s="1823"/>
      <c r="K1041" s="1823"/>
      <c r="L1041" s="1823"/>
      <c r="M1041" s="1823"/>
      <c r="N1041" s="1823"/>
      <c r="O1041" s="1823"/>
      <c r="P1041" s="1823"/>
      <c r="Q1041" s="1058"/>
      <c r="R1041" s="1058"/>
      <c r="S1041" s="1058"/>
      <c r="T1041" s="2035">
        <f t="shared" si="203"/>
        <v>0</v>
      </c>
    </row>
    <row r="1042" spans="1:20" ht="22.2" hidden="1" customHeight="1">
      <c r="A1042" s="59"/>
      <c r="B1042" s="1588" t="s">
        <v>635</v>
      </c>
      <c r="C1042" s="1013" t="str">
        <f t="shared" si="201"/>
        <v xml:space="preserve"> </v>
      </c>
      <c r="D1042" s="1534">
        <v>0.05</v>
      </c>
      <c r="E1042" s="1044" t="str">
        <f>VLOOKUP($B1042,DG!A:C,2,)</f>
        <v>02.1482</v>
      </c>
      <c r="F1042" s="1049" t="str">
        <f>VLOOKUP($B1042,DG!A:C,3,)</f>
        <v>V/c dụng cụ thi công vào vị trí (cự ly &lt;=100m)</v>
      </c>
      <c r="G1042" s="1044" t="str">
        <f>VLOOKUP($B1042,DG!A:D,4,0)</f>
        <v>tấn</v>
      </c>
      <c r="H1042" s="1823"/>
      <c r="I1042" s="1823"/>
      <c r="J1042" s="1823"/>
      <c r="K1042" s="1823"/>
      <c r="L1042" s="1823"/>
      <c r="M1042" s="1823"/>
      <c r="N1042" s="1823"/>
      <c r="O1042" s="1823"/>
      <c r="P1042" s="1823"/>
      <c r="Q1042" s="1058"/>
      <c r="R1042" s="1058"/>
      <c r="S1042" s="1058"/>
      <c r="T1042" s="2035">
        <f t="shared" si="203"/>
        <v>0</v>
      </c>
    </row>
    <row r="1043" spans="1:20" ht="22.2" hidden="1" customHeight="1">
      <c r="A1043" s="56" t="s">
        <v>1872</v>
      </c>
      <c r="B1043" s="1574" t="s">
        <v>1872</v>
      </c>
      <c r="C1043" s="1013" t="str">
        <f t="shared" si="201"/>
        <v xml:space="preserve"> </v>
      </c>
      <c r="D1043" s="1532"/>
      <c r="E1043" s="1045"/>
      <c r="F1043" s="1392" t="s">
        <v>2458</v>
      </c>
      <c r="G1043" s="1046" t="s">
        <v>2391</v>
      </c>
      <c r="H1043" s="1821">
        <f>SUM(I1043:O1043)</f>
        <v>0</v>
      </c>
      <c r="I1043" s="1822"/>
      <c r="J1043" s="1822"/>
      <c r="K1043" s="1822">
        <f>IFERROR(HLOOKUP(B1043,pp3p1m!$1:$3,3,0),0)</f>
        <v>0</v>
      </c>
      <c r="L1043" s="1822">
        <f>IFERROR(HLOOKUP(chitiet!B1043,pp1p!$1:$3,3,0),0)</f>
        <v>0</v>
      </c>
      <c r="M1043" s="1822"/>
      <c r="N1043" s="1822"/>
      <c r="O1043" s="1822"/>
      <c r="P1043" s="1822">
        <f>H1043+Q1043-R1043</f>
        <v>0</v>
      </c>
      <c r="Q1043" s="1047"/>
      <c r="R1043" s="1047"/>
      <c r="S1043" s="1047"/>
      <c r="T1043" s="2035">
        <f>IFERROR(HLOOKUP(B1043,pp1p!$1:$3,3,0),0)+IFERROR(HLOOKUP(B1043,pp3p1m!$1:$3,3,0),0)</f>
        <v>0</v>
      </c>
    </row>
    <row r="1044" spans="1:20" ht="22.2" hidden="1" customHeight="1">
      <c r="A1044" s="59"/>
      <c r="B1044" s="1577" t="s">
        <v>109</v>
      </c>
      <c r="C1044" s="1013" t="str">
        <f t="shared" si="201"/>
        <v xml:space="preserve"> </v>
      </c>
      <c r="D1044" s="1534">
        <f>9.02*(2.4+4*0.1)*2</f>
        <v>50.511999999999993</v>
      </c>
      <c r="E1044" s="1044"/>
      <c r="F1044" s="1056" t="str">
        <f>VLOOKUP($B1044,DG!A:D,DG!$C$2,)</f>
        <v>Sắt góc L75 x75 x8</v>
      </c>
      <c r="G1044" s="1044" t="str">
        <f>VLOOKUP($B1044,DG!A:D,DG!$D$2,)</f>
        <v>kg</v>
      </c>
      <c r="H1044" s="1823">
        <f t="shared" ref="H1044:L1048" si="208">H$1043*$D1044</f>
        <v>0</v>
      </c>
      <c r="I1044" s="1823">
        <f t="shared" si="208"/>
        <v>0</v>
      </c>
      <c r="J1044" s="1823">
        <f t="shared" si="208"/>
        <v>0</v>
      </c>
      <c r="K1044" s="1823">
        <f t="shared" si="208"/>
        <v>0</v>
      </c>
      <c r="L1044" s="1823">
        <f t="shared" si="208"/>
        <v>0</v>
      </c>
      <c r="M1044" s="1823"/>
      <c r="N1044" s="1823"/>
      <c r="O1044" s="1823"/>
      <c r="P1044" s="1823"/>
      <c r="Q1044" s="1053"/>
      <c r="R1044" s="1053"/>
      <c r="S1044" s="1053"/>
      <c r="T1044" s="2035">
        <f t="shared" si="203"/>
        <v>0</v>
      </c>
    </row>
    <row r="1045" spans="1:20" ht="22.2" hidden="1" customHeight="1">
      <c r="A1045" s="59"/>
      <c r="B1045" s="1577" t="s">
        <v>1570</v>
      </c>
      <c r="C1045" s="1013" t="str">
        <f t="shared" si="201"/>
        <v xml:space="preserve"> </v>
      </c>
      <c r="D1045" s="1534">
        <f>3.77*0.81*4</f>
        <v>12.2148</v>
      </c>
      <c r="E1045" s="1044"/>
      <c r="F1045" s="1056" t="str">
        <f>VLOOKUP($B1045,DG!A:D,DG!$C$2,)</f>
        <v>Sắt góc L50 x50 x5</v>
      </c>
      <c r="G1045" s="1044" t="str">
        <f>VLOOKUP($B1045,DG!A:D,DG!$D$2,)</f>
        <v>kg</v>
      </c>
      <c r="H1045" s="1823">
        <f t="shared" si="208"/>
        <v>0</v>
      </c>
      <c r="I1045" s="1823">
        <f t="shared" si="208"/>
        <v>0</v>
      </c>
      <c r="J1045" s="1823">
        <f t="shared" si="208"/>
        <v>0</v>
      </c>
      <c r="K1045" s="1823">
        <f t="shared" si="208"/>
        <v>0</v>
      </c>
      <c r="L1045" s="1823">
        <f t="shared" si="208"/>
        <v>0</v>
      </c>
      <c r="M1045" s="1823"/>
      <c r="N1045" s="1823"/>
      <c r="O1045" s="1823"/>
      <c r="P1045" s="1823"/>
      <c r="Q1045" s="1053"/>
      <c r="R1045" s="1053"/>
      <c r="S1045" s="1053"/>
      <c r="T1045" s="2035">
        <f t="shared" si="203"/>
        <v>0</v>
      </c>
    </row>
    <row r="1046" spans="1:20" ht="22.2" hidden="1" customHeight="1">
      <c r="A1046" s="59"/>
      <c r="B1046" s="1577" t="s">
        <v>1612</v>
      </c>
      <c r="C1046" s="1013" t="str">
        <f t="shared" si="201"/>
        <v xml:space="preserve"> </v>
      </c>
      <c r="D1046" s="1535">
        <v>4</v>
      </c>
      <c r="E1046" s="1044"/>
      <c r="F1046" s="1056" t="str">
        <f>VLOOKUP($B1046,DG!A:D,DG!$C$2,)</f>
        <v>Boulon 16x250+ 2 long đền vuông D18-50x50x3/Zn</v>
      </c>
      <c r="G1046" s="1044" t="str">
        <f>VLOOKUP($B1046,DG!A:D,DG!$D$2,)</f>
        <v>bộ</v>
      </c>
      <c r="H1046" s="1823">
        <f t="shared" si="208"/>
        <v>0</v>
      </c>
      <c r="I1046" s="1823">
        <f t="shared" si="208"/>
        <v>0</v>
      </c>
      <c r="J1046" s="1823">
        <f t="shared" si="208"/>
        <v>0</v>
      </c>
      <c r="K1046" s="1823">
        <f t="shared" si="208"/>
        <v>0</v>
      </c>
      <c r="L1046" s="1823">
        <f t="shared" si="208"/>
        <v>0</v>
      </c>
      <c r="M1046" s="1823"/>
      <c r="N1046" s="1823"/>
      <c r="O1046" s="1823"/>
      <c r="P1046" s="1823"/>
      <c r="Q1046" s="1053"/>
      <c r="R1046" s="1053"/>
      <c r="S1046" s="1053"/>
      <c r="T1046" s="2035">
        <f t="shared" si="203"/>
        <v>0</v>
      </c>
    </row>
    <row r="1047" spans="1:20" ht="22.2" hidden="1" customHeight="1">
      <c r="A1047" s="59"/>
      <c r="B1047" s="1577" t="s">
        <v>1788</v>
      </c>
      <c r="C1047" s="1013" t="str">
        <f t="shared" si="201"/>
        <v xml:space="preserve"> </v>
      </c>
      <c r="D1047" s="1535">
        <v>2</v>
      </c>
      <c r="E1047" s="1044"/>
      <c r="F1047" s="1056" t="str">
        <f>VLOOKUP($B1047,DG!A:D,DG!$C$2,)</f>
        <v>Boulon 16x300VRS+ 4 long đền vuông D18-50x50x3/Zn</v>
      </c>
      <c r="G1047" s="1044" t="str">
        <f>VLOOKUP($B1047,DG!A:D,DG!$D$2,)</f>
        <v>bộ</v>
      </c>
      <c r="H1047" s="1823">
        <f t="shared" si="208"/>
        <v>0</v>
      </c>
      <c r="I1047" s="1823">
        <f t="shared" si="208"/>
        <v>0</v>
      </c>
      <c r="J1047" s="1823">
        <f t="shared" si="208"/>
        <v>0</v>
      </c>
      <c r="K1047" s="1823">
        <f t="shared" si="208"/>
        <v>0</v>
      </c>
      <c r="L1047" s="1823">
        <f t="shared" si="208"/>
        <v>0</v>
      </c>
      <c r="M1047" s="1823"/>
      <c r="N1047" s="1823"/>
      <c r="O1047" s="1823"/>
      <c r="P1047" s="1823"/>
      <c r="Q1047" s="1053"/>
      <c r="R1047" s="1053"/>
      <c r="S1047" s="1053"/>
      <c r="T1047" s="2035">
        <f t="shared" si="203"/>
        <v>0</v>
      </c>
    </row>
    <row r="1048" spans="1:20" ht="22.2" hidden="1" customHeight="1">
      <c r="A1048" s="59"/>
      <c r="B1048" s="1577" t="s">
        <v>1790</v>
      </c>
      <c r="C1048" s="1013" t="str">
        <f t="shared" si="201"/>
        <v xml:space="preserve"> </v>
      </c>
      <c r="D1048" s="1535">
        <v>4</v>
      </c>
      <c r="E1048" s="1044"/>
      <c r="F1048" s="1056" t="str">
        <f>VLOOKUP($B1048,DG!A:D,DG!$C$2,)</f>
        <v>Boulon 16x50+ 2 long đền vuông D18-50x50x3/Zn</v>
      </c>
      <c r="G1048" s="1044" t="str">
        <f>VLOOKUP($B1048,DG!A:D,DG!$D$2,)</f>
        <v>bộ</v>
      </c>
      <c r="H1048" s="1823">
        <f t="shared" si="208"/>
        <v>0</v>
      </c>
      <c r="I1048" s="1823">
        <f t="shared" si="208"/>
        <v>0</v>
      </c>
      <c r="J1048" s="1823">
        <f t="shared" si="208"/>
        <v>0</v>
      </c>
      <c r="K1048" s="1823">
        <f t="shared" si="208"/>
        <v>0</v>
      </c>
      <c r="L1048" s="1823">
        <f t="shared" si="208"/>
        <v>0</v>
      </c>
      <c r="M1048" s="1823"/>
      <c r="N1048" s="1823"/>
      <c r="O1048" s="1823"/>
      <c r="P1048" s="1823"/>
      <c r="Q1048" s="1053"/>
      <c r="R1048" s="1053"/>
      <c r="S1048" s="1053"/>
      <c r="T1048" s="2035">
        <f t="shared" si="203"/>
        <v>0</v>
      </c>
    </row>
    <row r="1049" spans="1:20" ht="22.2" hidden="1" customHeight="1">
      <c r="A1049" s="59"/>
      <c r="B1049" s="1577" t="s">
        <v>2248</v>
      </c>
      <c r="C1049" s="1013" t="str">
        <f t="shared" si="201"/>
        <v xml:space="preserve"> </v>
      </c>
      <c r="D1049" s="1535">
        <v>1</v>
      </c>
      <c r="E1049" s="1044"/>
      <c r="F1049" s="1049" t="str">
        <f>VLOOKUP($B1049,DG!A:D,DG!$C$2,)</f>
        <v>Lắp xà cột Pi loại ≤140kg/xà</v>
      </c>
      <c r="G1049" s="1044" t="str">
        <f>VLOOKUP($B1049,DG!A:D,DG!$D$2,)</f>
        <v>bộ</v>
      </c>
      <c r="H1049" s="1823"/>
      <c r="I1049" s="1823"/>
      <c r="J1049" s="1823"/>
      <c r="K1049" s="1823"/>
      <c r="L1049" s="1823"/>
      <c r="M1049" s="1823"/>
      <c r="N1049" s="1823"/>
      <c r="O1049" s="1823"/>
      <c r="P1049" s="1823"/>
      <c r="Q1049" s="1053"/>
      <c r="R1049" s="1053"/>
      <c r="S1049" s="1053"/>
      <c r="T1049" s="2035">
        <f t="shared" si="203"/>
        <v>0</v>
      </c>
    </row>
    <row r="1050" spans="1:20" ht="22.2" hidden="1" customHeight="1">
      <c r="A1050" s="59"/>
      <c r="B1050" s="1577" t="s">
        <v>2000</v>
      </c>
      <c r="C1050" s="1013" t="str">
        <f t="shared" si="201"/>
        <v xml:space="preserve"> </v>
      </c>
      <c r="D1050" s="1533"/>
      <c r="E1050" s="1044"/>
      <c r="F1050" s="1049" t="str">
        <f>VLOOKUP($B1050,DG!A:D,DG!$C$2,)</f>
        <v>Bốc dỡ xà, thép thanh</v>
      </c>
      <c r="G1050" s="1044" t="str">
        <f>VLOOKUP($B1050,DG!A:D,DG!$D$2,)</f>
        <v>tấn</v>
      </c>
      <c r="H1050" s="1823"/>
      <c r="I1050" s="1823"/>
      <c r="J1050" s="1823"/>
      <c r="K1050" s="1823"/>
      <c r="L1050" s="1823"/>
      <c r="M1050" s="1823"/>
      <c r="N1050" s="1823"/>
      <c r="O1050" s="1823"/>
      <c r="P1050" s="1823"/>
      <c r="Q1050" s="1053"/>
      <c r="R1050" s="1053"/>
      <c r="S1050" s="1053"/>
      <c r="T1050" s="2035">
        <f t="shared" si="203"/>
        <v>0</v>
      </c>
    </row>
    <row r="1051" spans="1:20" ht="22.2" hidden="1" customHeight="1">
      <c r="A1051" s="59"/>
      <c r="B1051" s="1588" t="s">
        <v>2001</v>
      </c>
      <c r="C1051" s="1013" t="str">
        <f t="shared" si="201"/>
        <v xml:space="preserve"> </v>
      </c>
      <c r="D1051" s="1533"/>
      <c r="E1051" s="1044" t="str">
        <f>VLOOKUP($B1051,DG!A:C,2,)</f>
        <v>02.1361</v>
      </c>
      <c r="F1051" s="1049" t="str">
        <f>VLOOKUP($B1051,DG!A:C,3,)</f>
        <v>V/c xà vào vị trí (cư ly &lt;=100m)</v>
      </c>
      <c r="G1051" s="1044" t="str">
        <f>VLOOKUP($B1051,DG!A:D,4,0)</f>
        <v>tấn</v>
      </c>
      <c r="H1051" s="1823"/>
      <c r="I1051" s="1823"/>
      <c r="J1051" s="1823"/>
      <c r="K1051" s="1823"/>
      <c r="L1051" s="1823"/>
      <c r="M1051" s="1823"/>
      <c r="N1051" s="1823"/>
      <c r="O1051" s="1823"/>
      <c r="P1051" s="1823"/>
      <c r="Q1051" s="1058"/>
      <c r="R1051" s="1058"/>
      <c r="S1051" s="1058"/>
      <c r="T1051" s="2035">
        <f t="shared" si="203"/>
        <v>0</v>
      </c>
    </row>
    <row r="1052" spans="1:20" ht="22.2" hidden="1" customHeight="1">
      <c r="A1052" s="59"/>
      <c r="B1052" s="1588" t="s">
        <v>635</v>
      </c>
      <c r="C1052" s="1013" t="str">
        <f t="shared" si="201"/>
        <v xml:space="preserve"> </v>
      </c>
      <c r="D1052" s="1534"/>
      <c r="E1052" s="1044" t="str">
        <f>VLOOKUP($B1052,DG!A:C,2,)</f>
        <v>02.1482</v>
      </c>
      <c r="F1052" s="1049" t="str">
        <f>VLOOKUP($B1052,DG!A:C,3,)</f>
        <v>V/c dụng cụ thi công vào vị trí (cự ly &lt;=100m)</v>
      </c>
      <c r="G1052" s="1044" t="str">
        <f>VLOOKUP($B1052,DG!A:D,4,0)</f>
        <v>tấn</v>
      </c>
      <c r="H1052" s="1823"/>
      <c r="I1052" s="1823"/>
      <c r="J1052" s="1823"/>
      <c r="K1052" s="1823"/>
      <c r="L1052" s="1823"/>
      <c r="M1052" s="1823"/>
      <c r="N1052" s="1823"/>
      <c r="O1052" s="1823"/>
      <c r="P1052" s="1823"/>
      <c r="Q1052" s="1058"/>
      <c r="R1052" s="1058"/>
      <c r="S1052" s="1058"/>
      <c r="T1052" s="2035">
        <f t="shared" si="203"/>
        <v>0</v>
      </c>
    </row>
    <row r="1053" spans="1:20" ht="22.2" hidden="1" customHeight="1">
      <c r="A1053" s="56" t="s">
        <v>806</v>
      </c>
      <c r="B1053" s="1574" t="s">
        <v>806</v>
      </c>
      <c r="C1053" s="1013" t="str">
        <f t="shared" si="201"/>
        <v xml:space="preserve"> </v>
      </c>
      <c r="D1053" s="1532"/>
      <c r="E1053" s="1045"/>
      <c r="F1053" s="1392" t="s">
        <v>2460</v>
      </c>
      <c r="G1053" s="1046" t="s">
        <v>2391</v>
      </c>
      <c r="H1053" s="1821">
        <f>SUM(I1053:O1053)</f>
        <v>0</v>
      </c>
      <c r="I1053" s="1822"/>
      <c r="J1053" s="1822"/>
      <c r="K1053" s="1822">
        <f>IFERROR(HLOOKUP(B1053,pp3p1m!$1:$3,3,0),0)</f>
        <v>0</v>
      </c>
      <c r="L1053" s="1822">
        <f>IFERROR(HLOOKUP(chitiet!B1053,pp1p!$1:$3,3,0),0)</f>
        <v>0</v>
      </c>
      <c r="M1053" s="1822"/>
      <c r="N1053" s="1822"/>
      <c r="O1053" s="1822"/>
      <c r="P1053" s="1822">
        <f>H1053+Q1053-R1053</f>
        <v>0</v>
      </c>
      <c r="Q1053" s="1047"/>
      <c r="R1053" s="1047"/>
      <c r="S1053" s="1047"/>
      <c r="T1053" s="2035">
        <f>IFERROR(HLOOKUP(B1053,pp1p!$1:$3,3,0),0)+IFERROR(HLOOKUP(B1053,pp3p1m!$1:$3,3,0),0)</f>
        <v>0</v>
      </c>
    </row>
    <row r="1054" spans="1:20" ht="22.2" hidden="1" customHeight="1">
      <c r="A1054" s="59"/>
      <c r="B1054" s="1577" t="s">
        <v>109</v>
      </c>
      <c r="C1054" s="1013" t="str">
        <f t="shared" si="201"/>
        <v xml:space="preserve"> </v>
      </c>
      <c r="D1054" s="1534">
        <f>9.02*2*2</f>
        <v>36.08</v>
      </c>
      <c r="E1054" s="1044"/>
      <c r="F1054" s="1056" t="str">
        <f>VLOOKUP($B1054,DG!A:D,DG!$C$2,)</f>
        <v>Sắt góc L75 x75 x8</v>
      </c>
      <c r="G1054" s="1044" t="str">
        <f>VLOOKUP($B1054,DG!A:D,DG!$D$2,)</f>
        <v>kg</v>
      </c>
      <c r="H1054" s="1823">
        <f t="shared" ref="H1054:L1058" si="209">H$1053*$D1054</f>
        <v>0</v>
      </c>
      <c r="I1054" s="1823">
        <f t="shared" si="209"/>
        <v>0</v>
      </c>
      <c r="J1054" s="1823">
        <f t="shared" si="209"/>
        <v>0</v>
      </c>
      <c r="K1054" s="1823">
        <f t="shared" si="209"/>
        <v>0</v>
      </c>
      <c r="L1054" s="1823">
        <f t="shared" si="209"/>
        <v>0</v>
      </c>
      <c r="M1054" s="1823"/>
      <c r="N1054" s="1823"/>
      <c r="O1054" s="1823"/>
      <c r="P1054" s="1823"/>
      <c r="Q1054" s="1053"/>
      <c r="R1054" s="1053"/>
      <c r="S1054" s="1053"/>
      <c r="T1054" s="2035">
        <f t="shared" si="203"/>
        <v>0</v>
      </c>
    </row>
    <row r="1055" spans="1:20" ht="22.2" hidden="1" customHeight="1">
      <c r="A1055" s="59"/>
      <c r="B1055" s="1577" t="s">
        <v>1742</v>
      </c>
      <c r="C1055" s="1013" t="str">
        <f t="shared" si="201"/>
        <v xml:space="preserve"> </v>
      </c>
      <c r="D1055" s="1534">
        <v>2</v>
      </c>
      <c r="E1055" s="1044"/>
      <c r="F1055" s="1056" t="str">
        <f>VLOOKUP($B1055,DG!A:D,DG!$C$2,)</f>
        <v>Cổ dê  Ø 240-Fe 8x100</v>
      </c>
      <c r="G1055" s="1044" t="str">
        <f>VLOOKUP($B1055,DG!A:D,DG!$D$2,)</f>
        <v>bộ</v>
      </c>
      <c r="H1055" s="1823">
        <f t="shared" si="209"/>
        <v>0</v>
      </c>
      <c r="I1055" s="1823">
        <f t="shared" si="209"/>
        <v>0</v>
      </c>
      <c r="J1055" s="1823">
        <f t="shared" si="209"/>
        <v>0</v>
      </c>
      <c r="K1055" s="1823">
        <f t="shared" si="209"/>
        <v>0</v>
      </c>
      <c r="L1055" s="1823">
        <f t="shared" si="209"/>
        <v>0</v>
      </c>
      <c r="M1055" s="1823"/>
      <c r="N1055" s="1823"/>
      <c r="O1055" s="1823"/>
      <c r="P1055" s="1823"/>
      <c r="Q1055" s="1053"/>
      <c r="R1055" s="1053"/>
      <c r="S1055" s="1053"/>
      <c r="T1055" s="2035">
        <f t="shared" si="203"/>
        <v>0</v>
      </c>
    </row>
    <row r="1056" spans="1:20" ht="22.2" hidden="1" customHeight="1">
      <c r="A1056" s="59"/>
      <c r="B1056" s="1577" t="s">
        <v>801</v>
      </c>
      <c r="C1056" s="1013" t="str">
        <f t="shared" si="201"/>
        <v xml:space="preserve"> </v>
      </c>
      <c r="D1056" s="1534">
        <v>2</v>
      </c>
      <c r="E1056" s="1044"/>
      <c r="F1056" s="1056" t="str">
        <f>VLOOKUP($B1056,DG!A:D,DG!$C$2,)</f>
        <v>Cổ dê Ø 250-Fe 8x100</v>
      </c>
      <c r="G1056" s="1044" t="str">
        <f>VLOOKUP($B1056,DG!A:D,DG!$D$2,)</f>
        <v>bộ</v>
      </c>
      <c r="H1056" s="1823">
        <f t="shared" si="209"/>
        <v>0</v>
      </c>
      <c r="I1056" s="1823">
        <f t="shared" si="209"/>
        <v>0</v>
      </c>
      <c r="J1056" s="1823">
        <f t="shared" si="209"/>
        <v>0</v>
      </c>
      <c r="K1056" s="1823">
        <f t="shared" si="209"/>
        <v>0</v>
      </c>
      <c r="L1056" s="1823">
        <f t="shared" si="209"/>
        <v>0</v>
      </c>
      <c r="M1056" s="1823"/>
      <c r="N1056" s="1823"/>
      <c r="O1056" s="1823"/>
      <c r="P1056" s="1823"/>
      <c r="Q1056" s="1053"/>
      <c r="R1056" s="1053"/>
      <c r="S1056" s="1053"/>
      <c r="T1056" s="2035">
        <f t="shared" si="203"/>
        <v>0</v>
      </c>
    </row>
    <row r="1057" spans="1:20" ht="22.2" hidden="1" customHeight="1">
      <c r="A1057" s="59"/>
      <c r="B1057" s="1577" t="s">
        <v>1790</v>
      </c>
      <c r="C1057" s="1013" t="str">
        <f t="shared" si="201"/>
        <v xml:space="preserve"> </v>
      </c>
      <c r="D1057" s="1535">
        <v>1</v>
      </c>
      <c r="E1057" s="1044"/>
      <c r="F1057" s="1056" t="str">
        <f>VLOOKUP($B1057,DG!A:D,DG!$C$2,)</f>
        <v>Boulon 16x50+ 2 long đền vuông D18-50x50x3/Zn</v>
      </c>
      <c r="G1057" s="1044" t="str">
        <f>VLOOKUP($B1057,DG!A:D,DG!$D$2,)</f>
        <v>bộ</v>
      </c>
      <c r="H1057" s="1823">
        <f t="shared" si="209"/>
        <v>0</v>
      </c>
      <c r="I1057" s="1823">
        <f t="shared" si="209"/>
        <v>0</v>
      </c>
      <c r="J1057" s="1823">
        <f t="shared" si="209"/>
        <v>0</v>
      </c>
      <c r="K1057" s="1823">
        <f t="shared" si="209"/>
        <v>0</v>
      </c>
      <c r="L1057" s="1823">
        <f t="shared" si="209"/>
        <v>0</v>
      </c>
      <c r="M1057" s="1823"/>
      <c r="N1057" s="1823"/>
      <c r="O1057" s="1823"/>
      <c r="P1057" s="1823"/>
      <c r="Q1057" s="1053"/>
      <c r="R1057" s="1053"/>
      <c r="S1057" s="1053"/>
      <c r="T1057" s="2035">
        <f t="shared" si="203"/>
        <v>0</v>
      </c>
    </row>
    <row r="1058" spans="1:20" ht="22.2" hidden="1" customHeight="1">
      <c r="A1058" s="59"/>
      <c r="B1058" s="1577" t="s">
        <v>802</v>
      </c>
      <c r="C1058" s="1013" t="str">
        <f t="shared" si="201"/>
        <v xml:space="preserve"> </v>
      </c>
      <c r="D1058" s="1535">
        <v>8</v>
      </c>
      <c r="E1058" s="1044"/>
      <c r="F1058" s="1056" t="str">
        <f>VLOOKUP($B1058,DG!A:D,DG!$C$2,)</f>
        <v>Boulon 16x100+ 2 long đền vuông D18-50x50x3/Zn</v>
      </c>
      <c r="G1058" s="1044" t="str">
        <f>VLOOKUP($B1058,DG!A:D,DG!$D$2,)</f>
        <v>bộ</v>
      </c>
      <c r="H1058" s="1823">
        <f t="shared" si="209"/>
        <v>0</v>
      </c>
      <c r="I1058" s="1823">
        <f t="shared" si="209"/>
        <v>0</v>
      </c>
      <c r="J1058" s="1823">
        <f t="shared" si="209"/>
        <v>0</v>
      </c>
      <c r="K1058" s="1823">
        <f t="shared" si="209"/>
        <v>0</v>
      </c>
      <c r="L1058" s="1823">
        <f t="shared" si="209"/>
        <v>0</v>
      </c>
      <c r="M1058" s="1823"/>
      <c r="N1058" s="1823"/>
      <c r="O1058" s="1823"/>
      <c r="P1058" s="1823"/>
      <c r="Q1058" s="1053"/>
      <c r="R1058" s="1053"/>
      <c r="S1058" s="1053"/>
      <c r="T1058" s="2035">
        <f t="shared" si="203"/>
        <v>0</v>
      </c>
    </row>
    <row r="1059" spans="1:20" ht="22.2" hidden="1" customHeight="1">
      <c r="A1059" s="59"/>
      <c r="B1059" s="1577" t="s">
        <v>2248</v>
      </c>
      <c r="C1059" s="1013" t="str">
        <f t="shared" ref="C1059:C1137" si="210">IF(OR(P1059&lt;&gt;0,H1059&lt;&gt;0),"x"," ")</f>
        <v xml:space="preserve"> </v>
      </c>
      <c r="D1059" s="1535">
        <v>1</v>
      </c>
      <c r="E1059" s="1044"/>
      <c r="F1059" s="1049" t="str">
        <f>VLOOKUP($B1059,DG!A:D,DG!$C$2,)</f>
        <v>Lắp xà cột Pi loại ≤140kg/xà</v>
      </c>
      <c r="G1059" s="1044" t="str">
        <f>VLOOKUP($B1059,DG!A:D,DG!$D$2,)</f>
        <v>bộ</v>
      </c>
      <c r="H1059" s="1823"/>
      <c r="I1059" s="1823"/>
      <c r="J1059" s="1823"/>
      <c r="K1059" s="1823"/>
      <c r="L1059" s="1823"/>
      <c r="M1059" s="1823"/>
      <c r="N1059" s="1823"/>
      <c r="O1059" s="1823"/>
      <c r="P1059" s="1823"/>
      <c r="Q1059" s="1053"/>
      <c r="R1059" s="1053"/>
      <c r="S1059" s="1053"/>
      <c r="T1059" s="2035">
        <f t="shared" si="203"/>
        <v>0</v>
      </c>
    </row>
    <row r="1060" spans="1:20" ht="22.2" hidden="1" customHeight="1">
      <c r="A1060" s="59"/>
      <c r="B1060" s="1577" t="s">
        <v>2000</v>
      </c>
      <c r="C1060" s="1013" t="str">
        <f t="shared" si="210"/>
        <v xml:space="preserve"> </v>
      </c>
      <c r="D1060" s="1533">
        <f>D1061</f>
        <v>6.8000000000000005E-2</v>
      </c>
      <c r="E1060" s="1044"/>
      <c r="F1060" s="1049" t="str">
        <f>VLOOKUP($B1060,DG!A:D,DG!$C$2,)</f>
        <v>Bốc dỡ xà, thép thanh</v>
      </c>
      <c r="G1060" s="1044" t="str">
        <f>VLOOKUP($B1060,DG!A:D,DG!$D$2,)</f>
        <v>tấn</v>
      </c>
      <c r="H1060" s="1823"/>
      <c r="I1060" s="1823"/>
      <c r="J1060" s="1823"/>
      <c r="K1060" s="1823"/>
      <c r="L1060" s="1823"/>
      <c r="M1060" s="1823"/>
      <c r="N1060" s="1823"/>
      <c r="O1060" s="1823"/>
      <c r="P1060" s="1823"/>
      <c r="Q1060" s="1053"/>
      <c r="R1060" s="1053"/>
      <c r="S1060" s="1053"/>
      <c r="T1060" s="2035">
        <f t="shared" si="203"/>
        <v>0</v>
      </c>
    </row>
    <row r="1061" spans="1:20" ht="22.2" hidden="1" customHeight="1">
      <c r="A1061" s="59"/>
      <c r="B1061" s="1588" t="s">
        <v>2001</v>
      </c>
      <c r="C1061" s="1013" t="str">
        <f t="shared" si="210"/>
        <v xml:space="preserve"> </v>
      </c>
      <c r="D1061" s="1533">
        <f>ROUND(SUM(D1054:D1054)*1.05/1000,3)+ROUND(2*15.14/1000,3)</f>
        <v>6.8000000000000005E-2</v>
      </c>
      <c r="E1061" s="1044" t="str">
        <f>VLOOKUP($B1061,DG!A:C,2,)</f>
        <v>02.1361</v>
      </c>
      <c r="F1061" s="1049" t="str">
        <f>VLOOKUP($B1061,DG!A:C,3,)</f>
        <v>V/c xà vào vị trí (cư ly &lt;=100m)</v>
      </c>
      <c r="G1061" s="1044" t="str">
        <f>VLOOKUP($B1061,DG!A:D,4,0)</f>
        <v>tấn</v>
      </c>
      <c r="H1061" s="1823"/>
      <c r="I1061" s="1823"/>
      <c r="J1061" s="1823"/>
      <c r="K1061" s="1823"/>
      <c r="L1061" s="1823"/>
      <c r="M1061" s="1823"/>
      <c r="N1061" s="1823"/>
      <c r="O1061" s="1823"/>
      <c r="P1061" s="1823"/>
      <c r="Q1061" s="1058"/>
      <c r="R1061" s="1058"/>
      <c r="S1061" s="1058"/>
      <c r="T1061" s="2035">
        <f t="shared" si="203"/>
        <v>0</v>
      </c>
    </row>
    <row r="1062" spans="1:20" ht="22.2" hidden="1" customHeight="1">
      <c r="A1062" s="59"/>
      <c r="B1062" s="1588" t="s">
        <v>635</v>
      </c>
      <c r="C1062" s="1013" t="str">
        <f t="shared" si="210"/>
        <v xml:space="preserve"> </v>
      </c>
      <c r="D1062" s="1534">
        <v>0.05</v>
      </c>
      <c r="E1062" s="1044" t="str">
        <f>VLOOKUP($B1062,DG!A:C,2,)</f>
        <v>02.1482</v>
      </c>
      <c r="F1062" s="1049" t="str">
        <f>VLOOKUP($B1062,DG!A:C,3,)</f>
        <v>V/c dụng cụ thi công vào vị trí (cự ly &lt;=100m)</v>
      </c>
      <c r="G1062" s="1044" t="str">
        <f>VLOOKUP($B1062,DG!A:D,4,0)</f>
        <v>tấn</v>
      </c>
      <c r="H1062" s="1823"/>
      <c r="I1062" s="1823"/>
      <c r="J1062" s="1823"/>
      <c r="K1062" s="1823"/>
      <c r="L1062" s="1823"/>
      <c r="M1062" s="1823"/>
      <c r="N1062" s="1823"/>
      <c r="O1062" s="1823"/>
      <c r="P1062" s="1823"/>
      <c r="Q1062" s="1058"/>
      <c r="R1062" s="1058"/>
      <c r="S1062" s="1058"/>
      <c r="T1062" s="2035">
        <f t="shared" si="203"/>
        <v>0</v>
      </c>
    </row>
    <row r="1063" spans="1:20" ht="22.2" hidden="1" customHeight="1">
      <c r="A1063" s="56" t="s">
        <v>805</v>
      </c>
      <c r="B1063" s="1574" t="s">
        <v>805</v>
      </c>
      <c r="C1063" s="1013" t="str">
        <f t="shared" si="210"/>
        <v xml:space="preserve"> </v>
      </c>
      <c r="D1063" s="1532"/>
      <c r="E1063" s="1045"/>
      <c r="F1063" s="1392" t="s">
        <v>2461</v>
      </c>
      <c r="G1063" s="1046" t="s">
        <v>2391</v>
      </c>
      <c r="H1063" s="1821">
        <f>SUM(I1063:O1063)</f>
        <v>0</v>
      </c>
      <c r="I1063" s="1822"/>
      <c r="J1063" s="1822"/>
      <c r="K1063" s="1822">
        <f>IFERROR(HLOOKUP(B1063,pp3p1m!$1:$3,3,0),0)</f>
        <v>0</v>
      </c>
      <c r="L1063" s="1822">
        <f>IFERROR(HLOOKUP(chitiet!B1063,pp1p!$1:$3,3,0),0)</f>
        <v>0</v>
      </c>
      <c r="M1063" s="1822"/>
      <c r="N1063" s="1822"/>
      <c r="O1063" s="1822"/>
      <c r="P1063" s="1822">
        <f>H1063+Q1063-R1063</f>
        <v>0</v>
      </c>
      <c r="Q1063" s="1047"/>
      <c r="R1063" s="1047"/>
      <c r="S1063" s="1047"/>
      <c r="T1063" s="2035">
        <f>IFERROR(HLOOKUP(B1063,pp1p!$1:$3,3,0),0)+IFERROR(HLOOKUP(B1063,pp3p1m!$1:$3,3,0),0)</f>
        <v>0</v>
      </c>
    </row>
    <row r="1064" spans="1:20" ht="22.2" hidden="1" customHeight="1">
      <c r="A1064" s="59"/>
      <c r="B1064" s="1577" t="s">
        <v>109</v>
      </c>
      <c r="C1064" s="1013" t="str">
        <f t="shared" si="210"/>
        <v xml:space="preserve"> </v>
      </c>
      <c r="D1064" s="1534">
        <f>9.02*2.3*2</f>
        <v>41.491999999999997</v>
      </c>
      <c r="E1064" s="1044"/>
      <c r="F1064" s="1056" t="str">
        <f>VLOOKUP($B1064,DG!A:D,DG!$C$2,)</f>
        <v>Sắt góc L75 x75 x8</v>
      </c>
      <c r="G1064" s="1044" t="str">
        <f>VLOOKUP($B1064,DG!A:D,DG!$D$2,)</f>
        <v>kg</v>
      </c>
      <c r="H1064" s="1823">
        <f t="shared" ref="H1064:L1068" si="211">H$1063*$D1064</f>
        <v>0</v>
      </c>
      <c r="I1064" s="1823">
        <f t="shared" si="211"/>
        <v>0</v>
      </c>
      <c r="J1064" s="1823">
        <f t="shared" si="211"/>
        <v>0</v>
      </c>
      <c r="K1064" s="1823">
        <f t="shared" si="211"/>
        <v>0</v>
      </c>
      <c r="L1064" s="1823">
        <f t="shared" si="211"/>
        <v>0</v>
      </c>
      <c r="M1064" s="1823"/>
      <c r="N1064" s="1823"/>
      <c r="O1064" s="1823"/>
      <c r="P1064" s="1823"/>
      <c r="Q1064" s="1053"/>
      <c r="R1064" s="1053"/>
      <c r="S1064" s="1053"/>
      <c r="T1064" s="2035">
        <f t="shared" si="203"/>
        <v>0</v>
      </c>
    </row>
    <row r="1065" spans="1:20" ht="22.2" hidden="1" customHeight="1">
      <c r="A1065" s="59"/>
      <c r="B1065" s="1577" t="s">
        <v>2232</v>
      </c>
      <c r="C1065" s="1013" t="str">
        <f t="shared" si="210"/>
        <v xml:space="preserve"> </v>
      </c>
      <c r="D1065" s="1534">
        <v>3.5</v>
      </c>
      <c r="E1065" s="1044"/>
      <c r="F1065" s="1056" t="str">
        <f>VLOOKUP($B1065,DG!A:D,DG!$C$2,)</f>
        <v>Ê KE 5x300x300\Zn</v>
      </c>
      <c r="G1065" s="1044" t="str">
        <f>VLOOKUP($B1065,DG!A:D,DG!$D$2,)</f>
        <v>kg</v>
      </c>
      <c r="H1065" s="1823">
        <f t="shared" si="211"/>
        <v>0</v>
      </c>
      <c r="I1065" s="1823">
        <f t="shared" si="211"/>
        <v>0</v>
      </c>
      <c r="J1065" s="1823">
        <f t="shared" si="211"/>
        <v>0</v>
      </c>
      <c r="K1065" s="1823">
        <f t="shared" si="211"/>
        <v>0</v>
      </c>
      <c r="L1065" s="1823">
        <f t="shared" si="211"/>
        <v>0</v>
      </c>
      <c r="M1065" s="1823"/>
      <c r="N1065" s="1823"/>
      <c r="O1065" s="1823"/>
      <c r="P1065" s="1823"/>
      <c r="Q1065" s="1053"/>
      <c r="R1065" s="1053"/>
      <c r="S1065" s="1053"/>
      <c r="T1065" s="2035">
        <f t="shared" ref="T1065:T1129" si="212">IFERROR(HLOOKUP(B1065,BangKeTru,3,0),0)</f>
        <v>0</v>
      </c>
    </row>
    <row r="1066" spans="1:20" ht="22.2" hidden="1" customHeight="1">
      <c r="A1066" s="59"/>
      <c r="B1066" s="1577" t="s">
        <v>801</v>
      </c>
      <c r="C1066" s="1013" t="str">
        <f t="shared" si="210"/>
        <v xml:space="preserve"> </v>
      </c>
      <c r="D1066" s="1535">
        <v>4</v>
      </c>
      <c r="E1066" s="1044"/>
      <c r="F1066" s="1056" t="str">
        <f>VLOOKUP($B1066,DG!A:D,DG!$C$2,)</f>
        <v>Cổ dê Ø 250-Fe 8x100</v>
      </c>
      <c r="G1066" s="1044" t="str">
        <f>VLOOKUP($B1066,DG!A:D,DG!$D$2,)</f>
        <v>bộ</v>
      </c>
      <c r="H1066" s="1823">
        <f t="shared" si="211"/>
        <v>0</v>
      </c>
      <c r="I1066" s="1823">
        <f t="shared" si="211"/>
        <v>0</v>
      </c>
      <c r="J1066" s="1823">
        <f t="shared" si="211"/>
        <v>0</v>
      </c>
      <c r="K1066" s="1823">
        <f t="shared" si="211"/>
        <v>0</v>
      </c>
      <c r="L1066" s="1823">
        <f t="shared" si="211"/>
        <v>0</v>
      </c>
      <c r="M1066" s="1823"/>
      <c r="N1066" s="1823"/>
      <c r="O1066" s="1823"/>
      <c r="P1066" s="1823"/>
      <c r="Q1066" s="1053"/>
      <c r="R1066" s="1053"/>
      <c r="S1066" s="1053"/>
      <c r="T1066" s="2035">
        <f t="shared" si="212"/>
        <v>0</v>
      </c>
    </row>
    <row r="1067" spans="1:20" ht="22.2" hidden="1" customHeight="1">
      <c r="A1067" s="59"/>
      <c r="B1067" s="1577" t="s">
        <v>1790</v>
      </c>
      <c r="C1067" s="1013" t="str">
        <f t="shared" si="210"/>
        <v xml:space="preserve"> </v>
      </c>
      <c r="D1067" s="1535">
        <v>5</v>
      </c>
      <c r="E1067" s="1044"/>
      <c r="F1067" s="1056" t="str">
        <f>VLOOKUP($B1067,DG!A:D,DG!$C$2,)</f>
        <v>Boulon 16x50+ 2 long đền vuông D18-50x50x3/Zn</v>
      </c>
      <c r="G1067" s="1044" t="str">
        <f>VLOOKUP($B1067,DG!A:D,DG!$D$2,)</f>
        <v>bộ</v>
      </c>
      <c r="H1067" s="1823">
        <f t="shared" si="211"/>
        <v>0</v>
      </c>
      <c r="I1067" s="1823">
        <f t="shared" si="211"/>
        <v>0</v>
      </c>
      <c r="J1067" s="1823">
        <f t="shared" si="211"/>
        <v>0</v>
      </c>
      <c r="K1067" s="1823">
        <f t="shared" si="211"/>
        <v>0</v>
      </c>
      <c r="L1067" s="1823">
        <f t="shared" si="211"/>
        <v>0</v>
      </c>
      <c r="M1067" s="1823"/>
      <c r="N1067" s="1823"/>
      <c r="O1067" s="1823"/>
      <c r="P1067" s="1823"/>
      <c r="Q1067" s="1053"/>
      <c r="R1067" s="1053"/>
      <c r="S1067" s="1053"/>
      <c r="T1067" s="2035">
        <f t="shared" si="212"/>
        <v>0</v>
      </c>
    </row>
    <row r="1068" spans="1:20" ht="22.2" hidden="1" customHeight="1">
      <c r="A1068" s="59"/>
      <c r="B1068" s="1577" t="s">
        <v>802</v>
      </c>
      <c r="C1068" s="1013" t="str">
        <f t="shared" si="210"/>
        <v xml:space="preserve"> </v>
      </c>
      <c r="D1068" s="1535">
        <v>8</v>
      </c>
      <c r="E1068" s="1044"/>
      <c r="F1068" s="1056" t="str">
        <f>VLOOKUP($B1068,DG!A:D,DG!$C$2,)</f>
        <v>Boulon 16x100+ 2 long đền vuông D18-50x50x3/Zn</v>
      </c>
      <c r="G1068" s="1044" t="str">
        <f>VLOOKUP($B1068,DG!A:D,DG!$D$2,)</f>
        <v>bộ</v>
      </c>
      <c r="H1068" s="1823">
        <f t="shared" si="211"/>
        <v>0</v>
      </c>
      <c r="I1068" s="1823">
        <f t="shared" si="211"/>
        <v>0</v>
      </c>
      <c r="J1068" s="1823">
        <f t="shared" si="211"/>
        <v>0</v>
      </c>
      <c r="K1068" s="1823">
        <f t="shared" si="211"/>
        <v>0</v>
      </c>
      <c r="L1068" s="1823">
        <f t="shared" si="211"/>
        <v>0</v>
      </c>
      <c r="M1068" s="1823"/>
      <c r="N1068" s="1823"/>
      <c r="O1068" s="1823"/>
      <c r="P1068" s="1823"/>
      <c r="Q1068" s="1053"/>
      <c r="R1068" s="1053"/>
      <c r="S1068" s="1053"/>
      <c r="T1068" s="2035">
        <f t="shared" si="212"/>
        <v>0</v>
      </c>
    </row>
    <row r="1069" spans="1:20" ht="22.2" hidden="1" customHeight="1">
      <c r="A1069" s="59"/>
      <c r="B1069" s="1577" t="s">
        <v>2248</v>
      </c>
      <c r="C1069" s="1013" t="str">
        <f t="shared" si="210"/>
        <v xml:space="preserve"> </v>
      </c>
      <c r="D1069" s="1535">
        <v>1</v>
      </c>
      <c r="E1069" s="1044"/>
      <c r="F1069" s="1049" t="str">
        <f>VLOOKUP($B1069,DG!A:D,DG!$C$2,)</f>
        <v>Lắp xà cột Pi loại ≤140kg/xà</v>
      </c>
      <c r="G1069" s="1044" t="str">
        <f>VLOOKUP($B1069,DG!A:D,DG!$D$2,)</f>
        <v>bộ</v>
      </c>
      <c r="H1069" s="1823"/>
      <c r="I1069" s="1823"/>
      <c r="J1069" s="1823"/>
      <c r="K1069" s="1823"/>
      <c r="L1069" s="1823"/>
      <c r="M1069" s="1823"/>
      <c r="N1069" s="1823"/>
      <c r="O1069" s="1823"/>
      <c r="P1069" s="1823"/>
      <c r="Q1069" s="1053"/>
      <c r="R1069" s="1053"/>
      <c r="S1069" s="1053"/>
      <c r="T1069" s="2035">
        <f t="shared" si="212"/>
        <v>0</v>
      </c>
    </row>
    <row r="1070" spans="1:20" ht="22.2" hidden="1" customHeight="1">
      <c r="A1070" s="59"/>
      <c r="B1070" s="1577" t="s">
        <v>2000</v>
      </c>
      <c r="C1070" s="1013" t="str">
        <f t="shared" si="210"/>
        <v xml:space="preserve"> </v>
      </c>
      <c r="D1070" s="1533">
        <f>D1071</f>
        <v>7.7499999999999999E-2</v>
      </c>
      <c r="E1070" s="1044"/>
      <c r="F1070" s="1049" t="str">
        <f>VLOOKUP($B1070,DG!A:D,DG!$C$2,)</f>
        <v>Bốc dỡ xà, thép thanh</v>
      </c>
      <c r="G1070" s="1044" t="str">
        <f>VLOOKUP($B1070,DG!A:D,DG!$D$2,)</f>
        <v>tấn</v>
      </c>
      <c r="H1070" s="1823"/>
      <c r="I1070" s="1823"/>
      <c r="J1070" s="1823"/>
      <c r="K1070" s="1823"/>
      <c r="L1070" s="1823"/>
      <c r="M1070" s="1823"/>
      <c r="N1070" s="1823"/>
      <c r="O1070" s="1823"/>
      <c r="P1070" s="1823"/>
      <c r="Q1070" s="1053"/>
      <c r="R1070" s="1053"/>
      <c r="S1070" s="1053"/>
      <c r="T1070" s="2035">
        <f t="shared" si="212"/>
        <v>0</v>
      </c>
    </row>
    <row r="1071" spans="1:20" ht="22.2" hidden="1" customHeight="1">
      <c r="A1071" s="59"/>
      <c r="B1071" s="1588" t="s">
        <v>2001</v>
      </c>
      <c r="C1071" s="1013" t="str">
        <f t="shared" si="210"/>
        <v xml:space="preserve"> </v>
      </c>
      <c r="D1071" s="1533">
        <f>ROUND(SUM(D1064:D1064)*1.05/1000,3)+ROUND(2*15.14/1000,3)+D1065/1000</f>
        <v>7.7499999999999999E-2</v>
      </c>
      <c r="E1071" s="1044" t="str">
        <f>VLOOKUP($B1071,DG!A:C,2,)</f>
        <v>02.1361</v>
      </c>
      <c r="F1071" s="1049" t="str">
        <f>VLOOKUP($B1071,DG!A:C,3,)</f>
        <v>V/c xà vào vị trí (cư ly &lt;=100m)</v>
      </c>
      <c r="G1071" s="1044" t="str">
        <f>VLOOKUP($B1071,DG!A:D,4,0)</f>
        <v>tấn</v>
      </c>
      <c r="H1071" s="1823"/>
      <c r="I1071" s="1823"/>
      <c r="J1071" s="1823"/>
      <c r="K1071" s="1823"/>
      <c r="L1071" s="1823"/>
      <c r="M1071" s="1823"/>
      <c r="N1071" s="1823"/>
      <c r="O1071" s="1823"/>
      <c r="P1071" s="1823"/>
      <c r="Q1071" s="1058"/>
      <c r="R1071" s="1058"/>
      <c r="S1071" s="1058"/>
      <c r="T1071" s="2035">
        <f t="shared" si="212"/>
        <v>0</v>
      </c>
    </row>
    <row r="1072" spans="1:20" ht="22.2" hidden="1" customHeight="1">
      <c r="A1072" s="59"/>
      <c r="B1072" s="1588" t="s">
        <v>635</v>
      </c>
      <c r="C1072" s="1013" t="str">
        <f t="shared" si="210"/>
        <v xml:space="preserve"> </v>
      </c>
      <c r="D1072" s="1534">
        <v>0.05</v>
      </c>
      <c r="E1072" s="1044" t="str">
        <f>VLOOKUP($B1072,DG!A:C,2,)</f>
        <v>02.1482</v>
      </c>
      <c r="F1072" s="1049" t="str">
        <f>VLOOKUP($B1072,DG!A:C,3,)</f>
        <v>V/c dụng cụ thi công vào vị trí (cự ly &lt;=100m)</v>
      </c>
      <c r="G1072" s="1044" t="str">
        <f>VLOOKUP($B1072,DG!A:D,4,0)</f>
        <v>tấn</v>
      </c>
      <c r="H1072" s="1823"/>
      <c r="I1072" s="1823"/>
      <c r="J1072" s="1823"/>
      <c r="K1072" s="1823"/>
      <c r="L1072" s="1823"/>
      <c r="M1072" s="1823"/>
      <c r="N1072" s="1823"/>
      <c r="O1072" s="1823"/>
      <c r="P1072" s="1823"/>
      <c r="Q1072" s="1058"/>
      <c r="R1072" s="1058"/>
      <c r="S1072" s="1058"/>
      <c r="T1072" s="2035">
        <f t="shared" si="212"/>
        <v>0</v>
      </c>
    </row>
    <row r="1073" spans="1:20" ht="22.2" hidden="1" customHeight="1">
      <c r="A1073" s="56" t="s">
        <v>1569</v>
      </c>
      <c r="B1073" s="1574" t="s">
        <v>1569</v>
      </c>
      <c r="C1073" s="1013" t="str">
        <f t="shared" si="210"/>
        <v xml:space="preserve"> </v>
      </c>
      <c r="D1073" s="1532"/>
      <c r="E1073" s="1045"/>
      <c r="F1073" s="1392" t="s">
        <v>2462</v>
      </c>
      <c r="G1073" s="1046" t="s">
        <v>2391</v>
      </c>
      <c r="H1073" s="1821">
        <f>SUM(I1073:O1073)</f>
        <v>0</v>
      </c>
      <c r="I1073" s="1822"/>
      <c r="J1073" s="1822"/>
      <c r="K1073" s="1822">
        <f>IFERROR(HLOOKUP(B1073,pp3p1m!$1:$3,3,0),0)</f>
        <v>0</v>
      </c>
      <c r="L1073" s="1822">
        <f>IFERROR(HLOOKUP(chitiet!B1073,pp1p!$1:$3,3,0),0)</f>
        <v>0</v>
      </c>
      <c r="M1073" s="1822"/>
      <c r="N1073" s="1822"/>
      <c r="O1073" s="1822"/>
      <c r="P1073" s="1822">
        <f>H1073+Q1073-R1073</f>
        <v>0</v>
      </c>
      <c r="Q1073" s="1047"/>
      <c r="R1073" s="1047"/>
      <c r="S1073" s="1047"/>
      <c r="T1073" s="2035">
        <f>IFERROR(HLOOKUP(B1073,pp1p!$1:$3,3,0),0)+IFERROR(HLOOKUP(B1073,pp3p1m!$1:$3,3,0),0)</f>
        <v>0</v>
      </c>
    </row>
    <row r="1074" spans="1:20" ht="22.2" hidden="1" customHeight="1">
      <c r="A1074" s="59"/>
      <c r="B1074" s="1577" t="s">
        <v>457</v>
      </c>
      <c r="C1074" s="1013" t="str">
        <f t="shared" si="210"/>
        <v xml:space="preserve"> </v>
      </c>
      <c r="D1074" s="1534">
        <f>3.77*(0.72)*4</f>
        <v>10.8576</v>
      </c>
      <c r="E1074" s="1044"/>
      <c r="F1074" s="1056" t="str">
        <f>VLOOKUP($B1074,DG!A:D,DG!$C$2,)</f>
        <v>Sắt góc L50 x50 x5</v>
      </c>
      <c r="G1074" s="1044" t="str">
        <f>VLOOKUP($B1074,DG!A:D,DG!$D$2,)</f>
        <v>kg</v>
      </c>
      <c r="H1074" s="1823">
        <f t="shared" ref="H1074:L1076" si="213">H$1073*$D1074</f>
        <v>0</v>
      </c>
      <c r="I1074" s="1823">
        <f t="shared" si="213"/>
        <v>0</v>
      </c>
      <c r="J1074" s="1823">
        <f t="shared" si="213"/>
        <v>0</v>
      </c>
      <c r="K1074" s="1823">
        <f t="shared" si="213"/>
        <v>0</v>
      </c>
      <c r="L1074" s="1823">
        <f t="shared" si="213"/>
        <v>0</v>
      </c>
      <c r="M1074" s="1823"/>
      <c r="N1074" s="1823"/>
      <c r="O1074" s="1823"/>
      <c r="P1074" s="1823"/>
      <c r="Q1074" s="1053"/>
      <c r="R1074" s="1053"/>
      <c r="S1074" s="1053"/>
      <c r="T1074" s="2035">
        <f t="shared" si="212"/>
        <v>0</v>
      </c>
    </row>
    <row r="1075" spans="1:20" ht="22.2" hidden="1" customHeight="1">
      <c r="A1075" s="59"/>
      <c r="B1075" s="1577" t="s">
        <v>1079</v>
      </c>
      <c r="C1075" s="1013" t="str">
        <f t="shared" si="210"/>
        <v xml:space="preserve"> </v>
      </c>
      <c r="D1075" s="1535">
        <v>4</v>
      </c>
      <c r="E1075" s="1044"/>
      <c r="F1075" s="1056" t="str">
        <f>VLOOKUP($B1075,DG!A:D,DG!$C$2,)</f>
        <v>Boulon 16x350+ 2 long đền vuông D18-50x50x3/Zn</v>
      </c>
      <c r="G1075" s="1044" t="str">
        <f>VLOOKUP($B1075,DG!A:D,DG!$D$2,)</f>
        <v>bộ</v>
      </c>
      <c r="H1075" s="1823">
        <f t="shared" si="213"/>
        <v>0</v>
      </c>
      <c r="I1075" s="1823">
        <f t="shared" si="213"/>
        <v>0</v>
      </c>
      <c r="J1075" s="1823">
        <f t="shared" si="213"/>
        <v>0</v>
      </c>
      <c r="K1075" s="1823">
        <f t="shared" si="213"/>
        <v>0</v>
      </c>
      <c r="L1075" s="1823">
        <f t="shared" si="213"/>
        <v>0</v>
      </c>
      <c r="M1075" s="1823"/>
      <c r="N1075" s="1823"/>
      <c r="O1075" s="1823"/>
      <c r="P1075" s="1823"/>
      <c r="Q1075" s="1053"/>
      <c r="R1075" s="1053"/>
      <c r="S1075" s="1053"/>
      <c r="T1075" s="2035">
        <f t="shared" si="212"/>
        <v>0</v>
      </c>
    </row>
    <row r="1076" spans="1:20" ht="22.2" hidden="1" customHeight="1">
      <c r="A1076" s="59"/>
      <c r="B1076" s="1577" t="s">
        <v>1790</v>
      </c>
      <c r="C1076" s="1013" t="str">
        <f t="shared" si="210"/>
        <v xml:space="preserve"> </v>
      </c>
      <c r="D1076" s="1535">
        <v>2</v>
      </c>
      <c r="E1076" s="1044"/>
      <c r="F1076" s="1056" t="str">
        <f>VLOOKUP($B1076,DG!A:D,DG!$C$2,)</f>
        <v>Boulon 16x50+ 2 long đền vuông D18-50x50x3/Zn</v>
      </c>
      <c r="G1076" s="1044" t="str">
        <f>VLOOKUP($B1076,DG!A:D,DG!$D$2,)</f>
        <v>bộ</v>
      </c>
      <c r="H1076" s="1823">
        <f t="shared" si="213"/>
        <v>0</v>
      </c>
      <c r="I1076" s="1823">
        <f t="shared" si="213"/>
        <v>0</v>
      </c>
      <c r="J1076" s="1823">
        <f t="shared" si="213"/>
        <v>0</v>
      </c>
      <c r="K1076" s="1823">
        <f t="shared" si="213"/>
        <v>0</v>
      </c>
      <c r="L1076" s="1823">
        <f t="shared" si="213"/>
        <v>0</v>
      </c>
      <c r="M1076" s="1823"/>
      <c r="N1076" s="1823"/>
      <c r="O1076" s="1823"/>
      <c r="P1076" s="1823"/>
      <c r="Q1076" s="1053"/>
      <c r="R1076" s="1053"/>
      <c r="S1076" s="1053"/>
      <c r="T1076" s="2035">
        <f t="shared" si="212"/>
        <v>0</v>
      </c>
    </row>
    <row r="1077" spans="1:20" ht="22.2" hidden="1" customHeight="1">
      <c r="A1077" s="59"/>
      <c r="B1077" s="1577" t="s">
        <v>1999</v>
      </c>
      <c r="C1077" s="1013" t="str">
        <f t="shared" si="210"/>
        <v xml:space="preserve"> </v>
      </c>
      <c r="D1077" s="1535">
        <v>1</v>
      </c>
      <c r="E1077" s="1044"/>
      <c r="F1077" s="1049" t="str">
        <f>VLOOKUP($B1077,DG!A:D,DG!$C$2,)</f>
        <v>Lắp xà đỡ ≤ 25kg</v>
      </c>
      <c r="G1077" s="1044" t="str">
        <f>VLOOKUP($B1077,DG!A:D,DG!$D$2,)</f>
        <v>bộ</v>
      </c>
      <c r="H1077" s="1823"/>
      <c r="I1077" s="1823"/>
      <c r="J1077" s="1823"/>
      <c r="K1077" s="1823"/>
      <c r="L1077" s="1823"/>
      <c r="M1077" s="1823"/>
      <c r="N1077" s="1823"/>
      <c r="O1077" s="1823"/>
      <c r="P1077" s="1823"/>
      <c r="Q1077" s="1053"/>
      <c r="R1077" s="1053"/>
      <c r="S1077" s="1053"/>
      <c r="T1077" s="2035">
        <f t="shared" si="212"/>
        <v>0</v>
      </c>
    </row>
    <row r="1078" spans="1:20" ht="22.2" hidden="1" customHeight="1">
      <c r="A1078" s="59"/>
      <c r="B1078" s="1577" t="s">
        <v>2000</v>
      </c>
      <c r="C1078" s="1013" t="str">
        <f t="shared" si="210"/>
        <v xml:space="preserve"> </v>
      </c>
      <c r="D1078" s="1533"/>
      <c r="E1078" s="1044"/>
      <c r="F1078" s="1049" t="str">
        <f>VLOOKUP($B1078,DG!A:D,DG!$C$2,)</f>
        <v>Bốc dỡ xà, thép thanh</v>
      </c>
      <c r="G1078" s="1044" t="str">
        <f>VLOOKUP($B1078,DG!A:D,DG!$D$2,)</f>
        <v>tấn</v>
      </c>
      <c r="H1078" s="1823"/>
      <c r="I1078" s="1823"/>
      <c r="J1078" s="1823"/>
      <c r="K1078" s="1823"/>
      <c r="L1078" s="1823"/>
      <c r="M1078" s="1823"/>
      <c r="N1078" s="1823"/>
      <c r="O1078" s="1823"/>
      <c r="P1078" s="1823"/>
      <c r="Q1078" s="1053"/>
      <c r="R1078" s="1053"/>
      <c r="S1078" s="1053"/>
      <c r="T1078" s="2035">
        <f t="shared" si="212"/>
        <v>0</v>
      </c>
    </row>
    <row r="1079" spans="1:20" ht="22.2" hidden="1" customHeight="1">
      <c r="A1079" s="59"/>
      <c r="B1079" s="1588" t="s">
        <v>2001</v>
      </c>
      <c r="C1079" s="1013" t="str">
        <f t="shared" si="210"/>
        <v xml:space="preserve"> </v>
      </c>
      <c r="D1079" s="1533"/>
      <c r="E1079" s="1044" t="str">
        <f>VLOOKUP($B1079,DG!A:C,2,)</f>
        <v>02.1361</v>
      </c>
      <c r="F1079" s="1049" t="str">
        <f>VLOOKUP($B1079,DG!A:C,3,)</f>
        <v>V/c xà vào vị trí (cư ly &lt;=100m)</v>
      </c>
      <c r="G1079" s="1044" t="str">
        <f>VLOOKUP($B1079,DG!A:D,4,0)</f>
        <v>tấn</v>
      </c>
      <c r="H1079" s="1823"/>
      <c r="I1079" s="1823"/>
      <c r="J1079" s="1823"/>
      <c r="K1079" s="1823"/>
      <c r="L1079" s="1823"/>
      <c r="M1079" s="1823"/>
      <c r="N1079" s="1823"/>
      <c r="O1079" s="1823"/>
      <c r="P1079" s="1823"/>
      <c r="Q1079" s="1058"/>
      <c r="R1079" s="1058"/>
      <c r="S1079" s="1058"/>
      <c r="T1079" s="2035">
        <f t="shared" si="212"/>
        <v>0</v>
      </c>
    </row>
    <row r="1080" spans="1:20" ht="22.2" hidden="1" customHeight="1">
      <c r="A1080" s="59"/>
      <c r="B1080" s="1588" t="s">
        <v>635</v>
      </c>
      <c r="C1080" s="1013" t="str">
        <f t="shared" si="210"/>
        <v xml:space="preserve"> </v>
      </c>
      <c r="D1080" s="1534"/>
      <c r="E1080" s="1044" t="str">
        <f>VLOOKUP($B1080,DG!A:C,2,)</f>
        <v>02.1482</v>
      </c>
      <c r="F1080" s="1049" t="str">
        <f>VLOOKUP($B1080,DG!A:C,3,)</f>
        <v>V/c dụng cụ thi công vào vị trí (cự ly &lt;=100m)</v>
      </c>
      <c r="G1080" s="1044" t="str">
        <f>VLOOKUP($B1080,DG!A:D,4,0)</f>
        <v>tấn</v>
      </c>
      <c r="H1080" s="1823"/>
      <c r="I1080" s="1823"/>
      <c r="J1080" s="1823"/>
      <c r="K1080" s="1823"/>
      <c r="L1080" s="1823"/>
      <c r="M1080" s="1823"/>
      <c r="N1080" s="1823"/>
      <c r="O1080" s="1823"/>
      <c r="P1080" s="1823"/>
      <c r="Q1080" s="1058"/>
      <c r="R1080" s="1058"/>
      <c r="S1080" s="1058"/>
      <c r="T1080" s="2035">
        <f t="shared" si="212"/>
        <v>0</v>
      </c>
    </row>
    <row r="1081" spans="1:20" ht="22.2" hidden="1" customHeight="1">
      <c r="A1081" s="56" t="s">
        <v>1195</v>
      </c>
      <c r="B1081" s="1574" t="s">
        <v>1195</v>
      </c>
      <c r="C1081" s="1013" t="str">
        <f t="shared" si="210"/>
        <v xml:space="preserve"> </v>
      </c>
      <c r="D1081" s="1532"/>
      <c r="E1081" s="1045"/>
      <c r="F1081" s="1392" t="s">
        <v>2463</v>
      </c>
      <c r="G1081" s="1046" t="s">
        <v>2391</v>
      </c>
      <c r="H1081" s="1821">
        <f>SUM(I1081:O1081)</f>
        <v>0</v>
      </c>
      <c r="I1081" s="1822"/>
      <c r="J1081" s="1822"/>
      <c r="K1081" s="1822">
        <f>IFERROR(HLOOKUP(B1081,pp3p1m!$1:$3,3,0),0)</f>
        <v>0</v>
      </c>
      <c r="L1081" s="1822">
        <f>IFERROR(HLOOKUP(chitiet!B1081,pp1p!$1:$3,3,0),0)</f>
        <v>0</v>
      </c>
      <c r="M1081" s="1822"/>
      <c r="N1081" s="1822"/>
      <c r="O1081" s="1822"/>
      <c r="P1081" s="1822">
        <f>H1081+Q1081-R1081</f>
        <v>0</v>
      </c>
      <c r="Q1081" s="1047"/>
      <c r="R1081" s="1047"/>
      <c r="S1081" s="1047"/>
      <c r="T1081" s="2035">
        <f>IFERROR(HLOOKUP(B1081,pp1p!$1:$3,3,0),0)+IFERROR(HLOOKUP(B1081,pp3p1m!$1:$3,3,0),0)</f>
        <v>0</v>
      </c>
    </row>
    <row r="1082" spans="1:20" ht="22.2" hidden="1" customHeight="1">
      <c r="A1082" s="59"/>
      <c r="B1082" s="1577" t="s">
        <v>1742</v>
      </c>
      <c r="C1082" s="1013" t="str">
        <f t="shared" si="210"/>
        <v xml:space="preserve"> </v>
      </c>
      <c r="D1082" s="1535">
        <v>2</v>
      </c>
      <c r="E1082" s="1044"/>
      <c r="F1082" s="1056" t="str">
        <f>VLOOKUP($B1082,DG!A:D,DG!$C$2,)</f>
        <v>Cổ dê  Ø 240-Fe 8x100</v>
      </c>
      <c r="G1082" s="1044" t="str">
        <f>VLOOKUP($B1082,DG!A:D,DG!$D$2,)</f>
        <v>bộ</v>
      </c>
      <c r="H1082" s="1823">
        <f t="shared" ref="H1082:L1083" si="214">H$1081*$D1082</f>
        <v>0</v>
      </c>
      <c r="I1082" s="1823">
        <f t="shared" si="214"/>
        <v>0</v>
      </c>
      <c r="J1082" s="1823">
        <f t="shared" si="214"/>
        <v>0</v>
      </c>
      <c r="K1082" s="1823">
        <f t="shared" si="214"/>
        <v>0</v>
      </c>
      <c r="L1082" s="1823">
        <f t="shared" si="214"/>
        <v>0</v>
      </c>
      <c r="M1082" s="1823"/>
      <c r="N1082" s="1823"/>
      <c r="O1082" s="1823"/>
      <c r="P1082" s="1823"/>
      <c r="Q1082" s="1053"/>
      <c r="R1082" s="1053"/>
      <c r="S1082" s="1053"/>
      <c r="T1082" s="2035">
        <f t="shared" si="212"/>
        <v>0</v>
      </c>
    </row>
    <row r="1083" spans="1:20" ht="22.2" hidden="1" customHeight="1">
      <c r="A1083" s="59"/>
      <c r="B1083" s="1577" t="s">
        <v>802</v>
      </c>
      <c r="C1083" s="1013" t="str">
        <f t="shared" si="210"/>
        <v xml:space="preserve"> </v>
      </c>
      <c r="D1083" s="1535">
        <v>2</v>
      </c>
      <c r="E1083" s="1044"/>
      <c r="F1083" s="1056" t="str">
        <f>VLOOKUP($B1083,DG!A:D,DG!$C$2,)</f>
        <v>Boulon 16x100+ 2 long đền vuông D18-50x50x3/Zn</v>
      </c>
      <c r="G1083" s="1044" t="str">
        <f>VLOOKUP($B1083,DG!A:D,DG!$D$2,)</f>
        <v>bộ</v>
      </c>
      <c r="H1083" s="1823">
        <f t="shared" si="214"/>
        <v>0</v>
      </c>
      <c r="I1083" s="1823">
        <f t="shared" si="214"/>
        <v>0</v>
      </c>
      <c r="J1083" s="1823">
        <f t="shared" si="214"/>
        <v>0</v>
      </c>
      <c r="K1083" s="1823">
        <f t="shared" si="214"/>
        <v>0</v>
      </c>
      <c r="L1083" s="1823">
        <f t="shared" si="214"/>
        <v>0</v>
      </c>
      <c r="M1083" s="1823"/>
      <c r="N1083" s="1823"/>
      <c r="O1083" s="1823"/>
      <c r="P1083" s="1823"/>
      <c r="Q1083" s="1053"/>
      <c r="R1083" s="1053"/>
      <c r="S1083" s="1053"/>
      <c r="T1083" s="2035">
        <f t="shared" si="212"/>
        <v>0</v>
      </c>
    </row>
    <row r="1084" spans="1:20" ht="22.2" hidden="1" customHeight="1">
      <c r="A1084" s="59"/>
      <c r="B1084" s="1577" t="s">
        <v>1999</v>
      </c>
      <c r="C1084" s="1013" t="str">
        <f t="shared" si="210"/>
        <v xml:space="preserve"> </v>
      </c>
      <c r="D1084" s="1535">
        <v>1</v>
      </c>
      <c r="E1084" s="1044"/>
      <c r="F1084" s="1049" t="str">
        <f>VLOOKUP($B1084,DG!A:D,DG!$C$2,)</f>
        <v>Lắp xà đỡ ≤ 25kg</v>
      </c>
      <c r="G1084" s="1044" t="str">
        <f>VLOOKUP($B1084,DG!A:D,DG!$D$2,)</f>
        <v>bộ</v>
      </c>
      <c r="H1084" s="1823"/>
      <c r="I1084" s="1823"/>
      <c r="J1084" s="1823"/>
      <c r="K1084" s="1823"/>
      <c r="L1084" s="1823"/>
      <c r="M1084" s="1823"/>
      <c r="N1084" s="1823"/>
      <c r="O1084" s="1823"/>
      <c r="P1084" s="1823"/>
      <c r="Q1084" s="1053"/>
      <c r="R1084" s="1053"/>
      <c r="S1084" s="1053"/>
      <c r="T1084" s="2035">
        <f t="shared" si="212"/>
        <v>0</v>
      </c>
    </row>
    <row r="1085" spans="1:20" ht="22.2" hidden="1" customHeight="1">
      <c r="A1085" s="59"/>
      <c r="B1085" s="1577" t="s">
        <v>2000</v>
      </c>
      <c r="C1085" s="1013" t="str">
        <f t="shared" si="210"/>
        <v xml:space="preserve"> </v>
      </c>
      <c r="D1085" s="1533">
        <f>D1086</f>
        <v>1.7000000000000001E-2</v>
      </c>
      <c r="E1085" s="1044"/>
      <c r="F1085" s="1049" t="str">
        <f>VLOOKUP($B1085,DG!A:D,DG!$C$2,)</f>
        <v>Bốc dỡ xà, thép thanh</v>
      </c>
      <c r="G1085" s="1044" t="str">
        <f>VLOOKUP($B1085,DG!A:D,DG!$D$2,)</f>
        <v>tấn</v>
      </c>
      <c r="H1085" s="1823"/>
      <c r="I1085" s="1823"/>
      <c r="J1085" s="1823"/>
      <c r="K1085" s="1823"/>
      <c r="L1085" s="1823"/>
      <c r="M1085" s="1823"/>
      <c r="N1085" s="1823"/>
      <c r="O1085" s="1823"/>
      <c r="P1085" s="1823"/>
      <c r="Q1085" s="1053"/>
      <c r="R1085" s="1053"/>
      <c r="S1085" s="1053"/>
      <c r="T1085" s="2035">
        <f t="shared" si="212"/>
        <v>0</v>
      </c>
    </row>
    <row r="1086" spans="1:20" ht="22.2" hidden="1" customHeight="1">
      <c r="A1086" s="59"/>
      <c r="B1086" s="1588" t="s">
        <v>2001</v>
      </c>
      <c r="C1086" s="1013" t="str">
        <f t="shared" si="210"/>
        <v xml:space="preserve"> </v>
      </c>
      <c r="D1086" s="1533">
        <f>ROUND((2*8+2*0.25)*1.05/1000,3)</f>
        <v>1.7000000000000001E-2</v>
      </c>
      <c r="E1086" s="1044" t="str">
        <f>VLOOKUP($B1086,DG!A:C,2,)</f>
        <v>02.1361</v>
      </c>
      <c r="F1086" s="1049" t="str">
        <f>VLOOKUP($B1086,DG!A:C,3,)</f>
        <v>V/c xà vào vị trí (cư ly &lt;=100m)</v>
      </c>
      <c r="G1086" s="1044" t="str">
        <f>VLOOKUP($B1086,DG!A:D,4,0)</f>
        <v>tấn</v>
      </c>
      <c r="H1086" s="1823"/>
      <c r="I1086" s="1823"/>
      <c r="J1086" s="1823"/>
      <c r="K1086" s="1823"/>
      <c r="L1086" s="1823"/>
      <c r="M1086" s="1823"/>
      <c r="N1086" s="1823"/>
      <c r="O1086" s="1823"/>
      <c r="P1086" s="1823"/>
      <c r="Q1086" s="1058"/>
      <c r="R1086" s="1058"/>
      <c r="S1086" s="1058"/>
      <c r="T1086" s="2035">
        <f t="shared" si="212"/>
        <v>0</v>
      </c>
    </row>
    <row r="1087" spans="1:20" ht="22.2" hidden="1" customHeight="1">
      <c r="A1087" s="59"/>
      <c r="B1087" s="1588" t="s">
        <v>635</v>
      </c>
      <c r="C1087" s="1013" t="str">
        <f t="shared" si="210"/>
        <v xml:space="preserve"> </v>
      </c>
      <c r="D1087" s="1534">
        <v>0.02</v>
      </c>
      <c r="E1087" s="1044" t="str">
        <f>VLOOKUP($B1087,DG!A:C,2,)</f>
        <v>02.1482</v>
      </c>
      <c r="F1087" s="1049" t="str">
        <f>VLOOKUP($B1087,DG!A:C,3,)</f>
        <v>V/c dụng cụ thi công vào vị trí (cự ly &lt;=100m)</v>
      </c>
      <c r="G1087" s="1044" t="str">
        <f>VLOOKUP($B1087,DG!A:D,4,0)</f>
        <v>tấn</v>
      </c>
      <c r="H1087" s="1823"/>
      <c r="I1087" s="1823"/>
      <c r="J1087" s="1823"/>
      <c r="K1087" s="1823"/>
      <c r="L1087" s="1823"/>
      <c r="M1087" s="1823"/>
      <c r="N1087" s="1823"/>
      <c r="O1087" s="1823"/>
      <c r="P1087" s="1823"/>
      <c r="Q1087" s="1058"/>
      <c r="R1087" s="1058"/>
      <c r="S1087" s="1058"/>
      <c r="T1087" s="2035">
        <f t="shared" si="212"/>
        <v>0</v>
      </c>
    </row>
    <row r="1088" spans="1:20" ht="22.2" hidden="1" customHeight="1">
      <c r="A1088" s="1572" t="s">
        <v>361</v>
      </c>
      <c r="B1088" s="1574" t="s">
        <v>4741</v>
      </c>
      <c r="C1088" s="1832" t="str">
        <f t="shared" si="210"/>
        <v xml:space="preserve"> </v>
      </c>
      <c r="D1088" s="1532"/>
      <c r="E1088" s="1045"/>
      <c r="F1088" s="1392" t="s">
        <v>4764</v>
      </c>
      <c r="G1088" s="1046" t="s">
        <v>2391</v>
      </c>
      <c r="H1088" s="1821">
        <f>SUM(I1088:O1088)</f>
        <v>0</v>
      </c>
      <c r="I1088" s="1822"/>
      <c r="J1088" s="1822"/>
      <c r="K1088" s="1822">
        <f>IFERROR(HLOOKUP(B1088,pp3p1m!$1:$3,3,0),0)</f>
        <v>0</v>
      </c>
      <c r="L1088" s="1822">
        <f>IFERROR(HLOOKUP(chitiet!B1088,pp1p!$1:$3,3,0),0)</f>
        <v>0</v>
      </c>
      <c r="M1088" s="1822"/>
      <c r="N1088" s="1822"/>
      <c r="O1088" s="1822"/>
      <c r="P1088" s="1821">
        <f>H1088+Q1088-R1088</f>
        <v>0</v>
      </c>
      <c r="Q1088" s="1047"/>
      <c r="R1088" s="1047"/>
      <c r="S1088" s="1047"/>
      <c r="T1088" s="2035">
        <f>IFERROR(HLOOKUP(B1088,pp1p!$1:$3,3,0),0)+IFERROR(HLOOKUP(B1088,pp3p1m!$1:$3,3,0),0)</f>
        <v>0</v>
      </c>
    </row>
    <row r="1089" spans="1:20" ht="22.2" hidden="1" customHeight="1">
      <c r="B1089" s="1571" t="s">
        <v>4727</v>
      </c>
      <c r="C1089" s="1013" t="str">
        <f t="shared" si="210"/>
        <v xml:space="preserve"> </v>
      </c>
      <c r="D1089" s="1535">
        <v>1</v>
      </c>
      <c r="E1089" s="1044"/>
      <c r="F1089" s="1056" t="str">
        <f>VLOOKUP($B1089,DG!A:D,DG!$C$2,)</f>
        <v>Đà composite 0,8m</v>
      </c>
      <c r="G1089" s="1044" t="str">
        <f>VLOOKUP($B1089,DG!A:D,DG!$D$2,)</f>
        <v>cây</v>
      </c>
      <c r="H1089" s="1823">
        <f>H$1088*$D1089</f>
        <v>0</v>
      </c>
      <c r="I1089" s="1823">
        <f t="shared" ref="I1089:R1089" si="215">I$1088*$D1089</f>
        <v>0</v>
      </c>
      <c r="J1089" s="1823">
        <f t="shared" si="215"/>
        <v>0</v>
      </c>
      <c r="K1089" s="1823">
        <f t="shared" si="215"/>
        <v>0</v>
      </c>
      <c r="L1089" s="1823">
        <f t="shared" si="215"/>
        <v>0</v>
      </c>
      <c r="M1089" s="1823">
        <f t="shared" si="215"/>
        <v>0</v>
      </c>
      <c r="N1089" s="1823">
        <f t="shared" si="215"/>
        <v>0</v>
      </c>
      <c r="O1089" s="1823">
        <f t="shared" si="215"/>
        <v>0</v>
      </c>
      <c r="P1089" s="1823">
        <f t="shared" si="215"/>
        <v>0</v>
      </c>
      <c r="Q1089" s="1823">
        <f t="shared" si="215"/>
        <v>0</v>
      </c>
      <c r="R1089" s="1823">
        <f t="shared" si="215"/>
        <v>0</v>
      </c>
      <c r="S1089" s="1053"/>
      <c r="T1089" s="2035">
        <f t="shared" si="212"/>
        <v>0</v>
      </c>
    </row>
    <row r="1090" spans="1:20" ht="22.2" hidden="1" customHeight="1">
      <c r="A1090" s="59"/>
      <c r="B1090" s="1571" t="s">
        <v>365</v>
      </c>
      <c r="C1090" s="1832" t="str">
        <f t="shared" si="210"/>
        <v xml:space="preserve"> </v>
      </c>
      <c r="D1090" s="1541">
        <v>2.4</v>
      </c>
      <c r="E1090" s="1044"/>
      <c r="F1090" s="1056" t="str">
        <f>VLOOKUP($B1090,DG!A:D,DG!$C$2,)</f>
        <v>Chống composite 40x10x920</v>
      </c>
      <c r="G1090" s="1044" t="str">
        <f>VLOOKUP($B1090,DG!A:D,DG!$D$2,)</f>
        <v>cái</v>
      </c>
      <c r="H1090" s="1823">
        <f t="shared" ref="H1090:R1094" si="216">H$1088*$D1090</f>
        <v>0</v>
      </c>
      <c r="I1090" s="1823">
        <f t="shared" si="216"/>
        <v>0</v>
      </c>
      <c r="J1090" s="1823">
        <f t="shared" si="216"/>
        <v>0</v>
      </c>
      <c r="K1090" s="1823">
        <f t="shared" si="216"/>
        <v>0</v>
      </c>
      <c r="L1090" s="1823">
        <f t="shared" si="216"/>
        <v>0</v>
      </c>
      <c r="M1090" s="1823">
        <f t="shared" si="216"/>
        <v>0</v>
      </c>
      <c r="N1090" s="1823">
        <f t="shared" si="216"/>
        <v>0</v>
      </c>
      <c r="O1090" s="1823">
        <f t="shared" si="216"/>
        <v>0</v>
      </c>
      <c r="P1090" s="1823">
        <f t="shared" si="216"/>
        <v>0</v>
      </c>
      <c r="Q1090" s="1823">
        <f t="shared" si="216"/>
        <v>0</v>
      </c>
      <c r="R1090" s="1823">
        <f t="shared" si="216"/>
        <v>0</v>
      </c>
      <c r="S1090" s="1053"/>
      <c r="T1090" s="2035">
        <f t="shared" si="212"/>
        <v>0</v>
      </c>
    </row>
    <row r="1091" spans="1:20" ht="22.2" hidden="1" customHeight="1">
      <c r="B1091" s="1571" t="s">
        <v>4765</v>
      </c>
      <c r="C1091" s="1832" t="str">
        <f t="shared" si="210"/>
        <v xml:space="preserve"> </v>
      </c>
      <c r="D1091" s="1535">
        <v>2</v>
      </c>
      <c r="E1091" s="1044"/>
      <c r="F1091" s="1056" t="str">
        <f>VLOOKUP($B1091,DG!A:D,DG!$C$2,)</f>
        <v>Thanh chống Composite 10x40x720</v>
      </c>
      <c r="G1091" s="1044" t="str">
        <f>VLOOKUP($B1091,DG!A:D,DG!$D$2,)</f>
        <v>cái</v>
      </c>
      <c r="H1091" s="1823">
        <f t="shared" si="216"/>
        <v>0</v>
      </c>
      <c r="I1091" s="1823">
        <f t="shared" si="216"/>
        <v>0</v>
      </c>
      <c r="J1091" s="1823">
        <f t="shared" si="216"/>
        <v>0</v>
      </c>
      <c r="K1091" s="1823">
        <f t="shared" si="216"/>
        <v>0</v>
      </c>
      <c r="L1091" s="1823">
        <f t="shared" si="216"/>
        <v>0</v>
      </c>
      <c r="M1091" s="1823">
        <f t="shared" si="216"/>
        <v>0</v>
      </c>
      <c r="N1091" s="1823">
        <f t="shared" si="216"/>
        <v>0</v>
      </c>
      <c r="O1091" s="1823">
        <f t="shared" si="216"/>
        <v>0</v>
      </c>
      <c r="P1091" s="1823">
        <f t="shared" si="216"/>
        <v>0</v>
      </c>
      <c r="Q1091" s="1823">
        <f t="shared" si="216"/>
        <v>0</v>
      </c>
      <c r="R1091" s="1823">
        <f t="shared" si="216"/>
        <v>0</v>
      </c>
      <c r="S1091" s="1053"/>
      <c r="T1091" s="2035">
        <f t="shared" si="212"/>
        <v>0</v>
      </c>
    </row>
    <row r="1092" spans="1:20" ht="22.2" hidden="1" customHeight="1">
      <c r="B1092" s="1571" t="s">
        <v>802</v>
      </c>
      <c r="C1092" s="1832" t="str">
        <f t="shared" si="210"/>
        <v xml:space="preserve"> </v>
      </c>
      <c r="D1092" s="1535">
        <v>2</v>
      </c>
      <c r="E1092" s="1044"/>
      <c r="F1092" s="1056" t="str">
        <f>VLOOKUP($B1092,DG!A:D,DG!$C$2,)</f>
        <v>Boulon 16x100+ 2 long đền vuông D18-50x50x3/Zn</v>
      </c>
      <c r="G1092" s="1044" t="str">
        <f>VLOOKUP($B1092,DG!A:D,DG!$D$2,)</f>
        <v>bộ</v>
      </c>
      <c r="H1092" s="1823">
        <f t="shared" si="216"/>
        <v>0</v>
      </c>
      <c r="I1092" s="1823">
        <f t="shared" si="216"/>
        <v>0</v>
      </c>
      <c r="J1092" s="1823">
        <f t="shared" si="216"/>
        <v>0</v>
      </c>
      <c r="K1092" s="1823">
        <f t="shared" si="216"/>
        <v>0</v>
      </c>
      <c r="L1092" s="1823">
        <f t="shared" si="216"/>
        <v>0</v>
      </c>
      <c r="M1092" s="1823">
        <f t="shared" si="216"/>
        <v>0</v>
      </c>
      <c r="N1092" s="1823">
        <f t="shared" si="216"/>
        <v>0</v>
      </c>
      <c r="O1092" s="1823">
        <f t="shared" si="216"/>
        <v>0</v>
      </c>
      <c r="P1092" s="1823">
        <f t="shared" si="216"/>
        <v>0</v>
      </c>
      <c r="Q1092" s="1823">
        <f t="shared" si="216"/>
        <v>0</v>
      </c>
      <c r="R1092" s="1823">
        <f t="shared" si="216"/>
        <v>0</v>
      </c>
      <c r="S1092" s="1053"/>
      <c r="T1092" s="2035">
        <f t="shared" si="212"/>
        <v>0</v>
      </c>
    </row>
    <row r="1093" spans="1:20" ht="22.2" hidden="1" customHeight="1">
      <c r="B1093" s="1571" t="s">
        <v>1083</v>
      </c>
      <c r="C1093" s="1832" t="str">
        <f t="shared" si="210"/>
        <v xml:space="preserve"> </v>
      </c>
      <c r="D1093" s="1535">
        <v>2</v>
      </c>
      <c r="E1093" s="1044"/>
      <c r="F1093" s="1056" t="str">
        <f>VLOOKUP($B1093,DG!A:D,DG!$C$2,)</f>
        <v>Boulon 16x400+ 2 long đền vuông D18-50x50x3/Zn</v>
      </c>
      <c r="G1093" s="1044" t="str">
        <f>VLOOKUP($B1093,DG!A:D,DG!$D$2,)</f>
        <v>bộ</v>
      </c>
      <c r="H1093" s="1823">
        <f t="shared" si="216"/>
        <v>0</v>
      </c>
      <c r="I1093" s="1823">
        <f t="shared" si="216"/>
        <v>0</v>
      </c>
      <c r="J1093" s="1823">
        <f t="shared" si="216"/>
        <v>0</v>
      </c>
      <c r="K1093" s="1823">
        <f t="shared" si="216"/>
        <v>0</v>
      </c>
      <c r="L1093" s="1823">
        <f t="shared" si="216"/>
        <v>0</v>
      </c>
      <c r="M1093" s="1823">
        <f t="shared" si="216"/>
        <v>0</v>
      </c>
      <c r="N1093" s="1823">
        <f t="shared" si="216"/>
        <v>0</v>
      </c>
      <c r="O1093" s="1823">
        <f t="shared" si="216"/>
        <v>0</v>
      </c>
      <c r="P1093" s="1823">
        <f t="shared" si="216"/>
        <v>0</v>
      </c>
      <c r="Q1093" s="1823">
        <f t="shared" si="216"/>
        <v>0</v>
      </c>
      <c r="R1093" s="1823">
        <f t="shared" si="216"/>
        <v>0</v>
      </c>
      <c r="S1093" s="1053"/>
      <c r="T1093" s="2035">
        <f t="shared" si="212"/>
        <v>0</v>
      </c>
    </row>
    <row r="1094" spans="1:20" ht="22.2" hidden="1" customHeight="1">
      <c r="B1094" s="1571" t="s">
        <v>1999</v>
      </c>
      <c r="C1094" s="1832" t="str">
        <f t="shared" si="210"/>
        <v xml:space="preserve"> </v>
      </c>
      <c r="D1094" s="1535">
        <v>1</v>
      </c>
      <c r="E1094" s="1044"/>
      <c r="F1094" s="1049" t="str">
        <f>VLOOKUP($B1094,DG!A:D,DG!$C$2,)</f>
        <v>Lắp xà đỡ ≤ 25kg</v>
      </c>
      <c r="G1094" s="1044" t="str">
        <f>VLOOKUP($B1094,DG!A:D,DG!$D$2,)</f>
        <v>bộ</v>
      </c>
      <c r="H1094" s="1823">
        <f t="shared" si="216"/>
        <v>0</v>
      </c>
      <c r="I1094" s="1823">
        <f t="shared" si="216"/>
        <v>0</v>
      </c>
      <c r="J1094" s="1823">
        <f t="shared" si="216"/>
        <v>0</v>
      </c>
      <c r="K1094" s="1823">
        <f t="shared" si="216"/>
        <v>0</v>
      </c>
      <c r="L1094" s="1823">
        <f t="shared" si="216"/>
        <v>0</v>
      </c>
      <c r="M1094" s="1823">
        <f t="shared" si="216"/>
        <v>0</v>
      </c>
      <c r="N1094" s="1823">
        <f t="shared" si="216"/>
        <v>0</v>
      </c>
      <c r="O1094" s="1823">
        <f t="shared" si="216"/>
        <v>0</v>
      </c>
      <c r="P1094" s="1823">
        <f t="shared" si="216"/>
        <v>0</v>
      </c>
      <c r="Q1094" s="1823">
        <f t="shared" si="216"/>
        <v>0</v>
      </c>
      <c r="R1094" s="1823">
        <f t="shared" si="216"/>
        <v>0</v>
      </c>
      <c r="S1094" s="1053"/>
      <c r="T1094" s="2035">
        <f t="shared" si="212"/>
        <v>0</v>
      </c>
    </row>
    <row r="1095" spans="1:20" ht="22.2" customHeight="1">
      <c r="A1095" s="1572" t="s">
        <v>361</v>
      </c>
      <c r="B1095" s="1574" t="s">
        <v>361</v>
      </c>
      <c r="C1095" s="1832" t="str">
        <f t="shared" ref="C1095:C1102" si="217">IF(OR(P1095&lt;&gt;0,H1095&lt;&gt;0),"x"," ")</f>
        <v>x</v>
      </c>
      <c r="D1095" s="1532"/>
      <c r="E1095" s="1045"/>
      <c r="F1095" s="1392" t="s">
        <v>2459</v>
      </c>
      <c r="G1095" s="1046" t="s">
        <v>2391</v>
      </c>
      <c r="H1095" s="1821">
        <f>SUM(I1095:O1095)</f>
        <v>1</v>
      </c>
      <c r="I1095" s="1822"/>
      <c r="J1095" s="1822"/>
      <c r="K1095" s="1822">
        <f>IFERROR(HLOOKUP(B1095,pp3p1m!$1:$3,3,0),0)</f>
        <v>1</v>
      </c>
      <c r="L1095" s="1822">
        <f>IFERROR(HLOOKUP(chitiet!B1095,pp1p!$1:$3,3,0),0)</f>
        <v>0</v>
      </c>
      <c r="M1095" s="1822"/>
      <c r="N1095" s="1822"/>
      <c r="O1095" s="1822"/>
      <c r="P1095" s="1821">
        <f>H1095+Q1095-R1095</f>
        <v>1</v>
      </c>
      <c r="Q1095" s="1047"/>
      <c r="R1095" s="1047"/>
      <c r="S1095" s="1047"/>
      <c r="T1095" s="2035">
        <f>IFERROR(HLOOKUP(B1095,pp1p!$1:$3,3,0),0)+IFERROR(HLOOKUP(B1095,pp3p1m!$1:$3,3,0),0)</f>
        <v>1</v>
      </c>
    </row>
    <row r="1096" spans="1:20" ht="22.2" customHeight="1">
      <c r="B1096" s="1571" t="s">
        <v>4354</v>
      </c>
      <c r="C1096" s="1013" t="str">
        <f t="shared" si="217"/>
        <v>x</v>
      </c>
      <c r="D1096" s="1535">
        <v>1</v>
      </c>
      <c r="E1096" s="1044"/>
      <c r="F1096" s="1056" t="str">
        <f>VLOOKUP($B1096,DG!A:D,DG!$C$2,)</f>
        <v>Xà composite 110x800x5 dài 2,4m</v>
      </c>
      <c r="G1096" s="1044" t="str">
        <f>VLOOKUP($B1096,DG!A:D,DG!$D$2,)</f>
        <v>cái</v>
      </c>
      <c r="H1096" s="1823">
        <f>$H$1095*$D1096</f>
        <v>1</v>
      </c>
      <c r="I1096" s="1823">
        <f t="shared" ref="I1096:J1101" si="218">I$1043*$D1096</f>
        <v>0</v>
      </c>
      <c r="J1096" s="1823">
        <f t="shared" si="218"/>
        <v>0</v>
      </c>
      <c r="K1096" s="1823">
        <f t="shared" ref="K1096:K1101" si="219">K$1095*$D1096</f>
        <v>1</v>
      </c>
      <c r="L1096" s="1823">
        <f t="shared" ref="L1096:L1101" si="220">L$1043*$D1096</f>
        <v>0</v>
      </c>
      <c r="M1096" s="1823"/>
      <c r="N1096" s="1823"/>
      <c r="O1096" s="1823"/>
      <c r="P1096" s="1823">
        <f t="shared" ref="P1096" si="221">$P$1095*D1096</f>
        <v>1</v>
      </c>
      <c r="Q1096" s="1053"/>
      <c r="R1096" s="1053"/>
      <c r="S1096" s="1053"/>
      <c r="T1096" s="2035">
        <f t="shared" si="212"/>
        <v>0</v>
      </c>
    </row>
    <row r="1097" spans="1:20" ht="22.2" hidden="1" customHeight="1">
      <c r="A1097" s="59"/>
      <c r="B1097" s="1577" t="s">
        <v>364</v>
      </c>
      <c r="C1097" s="1832" t="str">
        <f t="shared" si="217"/>
        <v xml:space="preserve"> </v>
      </c>
      <c r="D1097" s="1541">
        <v>2.4</v>
      </c>
      <c r="E1097" s="1044"/>
      <c r="F1097" s="1056" t="str">
        <f>VLOOKUP($B1097,DG!A:D,DG!$C$2,)</f>
        <v>Xà composite 110x800x5</v>
      </c>
      <c r="G1097" s="1044" t="str">
        <f>VLOOKUP($B1097,DG!A:D,DG!$D$2,)</f>
        <v>cái</v>
      </c>
      <c r="H1097" s="1823"/>
      <c r="I1097" s="1823">
        <f t="shared" si="218"/>
        <v>0</v>
      </c>
      <c r="J1097" s="1823">
        <f t="shared" si="218"/>
        <v>0</v>
      </c>
      <c r="K1097" s="1823">
        <f t="shared" si="219"/>
        <v>2.4</v>
      </c>
      <c r="L1097" s="1823">
        <f t="shared" si="220"/>
        <v>0</v>
      </c>
      <c r="M1097" s="1823"/>
      <c r="N1097" s="1823"/>
      <c r="O1097" s="1823"/>
      <c r="P1097" s="1823"/>
      <c r="Q1097" s="1053"/>
      <c r="R1097" s="1053"/>
      <c r="S1097" s="1053"/>
      <c r="T1097" s="2035">
        <f t="shared" si="212"/>
        <v>0</v>
      </c>
    </row>
    <row r="1098" spans="1:20" ht="22.2" customHeight="1">
      <c r="B1098" s="1571" t="s">
        <v>365</v>
      </c>
      <c r="C1098" s="1832" t="str">
        <f t="shared" si="217"/>
        <v>x</v>
      </c>
      <c r="D1098" s="1535">
        <v>2</v>
      </c>
      <c r="E1098" s="1044"/>
      <c r="F1098" s="1056" t="str">
        <f>VLOOKUP($B1098,DG!A:D,DG!$C$2,)</f>
        <v>Chống composite 40x10x920</v>
      </c>
      <c r="G1098" s="1044" t="str">
        <f>VLOOKUP($B1098,DG!A:D,DG!$D$2,)</f>
        <v>cái</v>
      </c>
      <c r="H1098" s="1823">
        <f>$H$1095*$D1098</f>
        <v>2</v>
      </c>
      <c r="I1098" s="1823">
        <f t="shared" si="218"/>
        <v>0</v>
      </c>
      <c r="J1098" s="1823">
        <f t="shared" si="218"/>
        <v>0</v>
      </c>
      <c r="K1098" s="1823">
        <f t="shared" si="219"/>
        <v>2</v>
      </c>
      <c r="L1098" s="1823">
        <f t="shared" si="220"/>
        <v>0</v>
      </c>
      <c r="M1098" s="1823"/>
      <c r="N1098" s="1823"/>
      <c r="O1098" s="1823"/>
      <c r="P1098" s="1823">
        <f t="shared" ref="P1098" si="222">$P$1095*D1098</f>
        <v>2</v>
      </c>
      <c r="Q1098" s="1053"/>
      <c r="R1098" s="1053"/>
      <c r="S1098" s="1053"/>
      <c r="T1098" s="2035">
        <f t="shared" si="212"/>
        <v>0</v>
      </c>
    </row>
    <row r="1099" spans="1:20" ht="22.2" customHeight="1">
      <c r="B1099" s="1571" t="s">
        <v>244</v>
      </c>
      <c r="C1099" s="1832" t="str">
        <f t="shared" ref="C1099" si="223">IF(OR(P1099&lt;&gt;0,H1099&lt;&gt;0),"x"," ")</f>
        <v>x</v>
      </c>
      <c r="D1099" s="1535">
        <v>2</v>
      </c>
      <c r="E1099" s="1044"/>
      <c r="F1099" s="1056" t="str">
        <f>VLOOKUP($B1099,DG!A:D,DG!$C$2,)</f>
        <v>Boulon 16x150+ 2 long đền vuông D18-50x50x3/Zn</v>
      </c>
      <c r="G1099" s="1044" t="str">
        <f>VLOOKUP($B1099,DG!A:D,DG!$D$2,)</f>
        <v>bộ</v>
      </c>
      <c r="H1099" s="1823">
        <f>$H$1095*$D1099</f>
        <v>2</v>
      </c>
      <c r="I1099" s="1823">
        <f t="shared" si="218"/>
        <v>0</v>
      </c>
      <c r="J1099" s="1823">
        <f t="shared" si="218"/>
        <v>0</v>
      </c>
      <c r="K1099" s="1823">
        <f t="shared" si="219"/>
        <v>2</v>
      </c>
      <c r="L1099" s="1823">
        <f t="shared" si="220"/>
        <v>0</v>
      </c>
      <c r="M1099" s="1823"/>
      <c r="N1099" s="1823"/>
      <c r="O1099" s="1823"/>
      <c r="P1099" s="1823">
        <f>$P$1095*D1099</f>
        <v>2</v>
      </c>
      <c r="Q1099" s="1053"/>
      <c r="R1099" s="1053"/>
      <c r="S1099" s="1053"/>
      <c r="T1099" s="2035">
        <f t="shared" ref="T1099" si="224">IFERROR(HLOOKUP(B1099,BangKeTru,3,0),0)</f>
        <v>0</v>
      </c>
    </row>
    <row r="1100" spans="1:20" ht="22.2" customHeight="1">
      <c r="B1100" s="1571" t="s">
        <v>1612</v>
      </c>
      <c r="C1100" s="1832" t="str">
        <f t="shared" si="217"/>
        <v>x</v>
      </c>
      <c r="D1100" s="1535">
        <v>1</v>
      </c>
      <c r="E1100" s="1044"/>
      <c r="F1100" s="1056" t="str">
        <f>VLOOKUP($B1100,DG!A:D,DG!$C$2,)</f>
        <v>Boulon 16x250+ 2 long đền vuông D18-50x50x3/Zn</v>
      </c>
      <c r="G1100" s="1044" t="str">
        <f>VLOOKUP($B1100,DG!A:D,DG!$D$2,)</f>
        <v>bộ</v>
      </c>
      <c r="H1100" s="1823">
        <f>$H$1095*$D1100</f>
        <v>1</v>
      </c>
      <c r="I1100" s="1823">
        <f t="shared" si="218"/>
        <v>0</v>
      </c>
      <c r="J1100" s="1823">
        <f t="shared" si="218"/>
        <v>0</v>
      </c>
      <c r="K1100" s="1823">
        <f t="shared" si="219"/>
        <v>1</v>
      </c>
      <c r="L1100" s="1823">
        <f t="shared" si="220"/>
        <v>0</v>
      </c>
      <c r="M1100" s="1823"/>
      <c r="N1100" s="1823"/>
      <c r="O1100" s="1823"/>
      <c r="P1100" s="1823">
        <f>$P$1095*D1100</f>
        <v>1</v>
      </c>
      <c r="Q1100" s="1053"/>
      <c r="R1100" s="1053"/>
      <c r="S1100" s="1053"/>
      <c r="T1100" s="2035">
        <f t="shared" si="212"/>
        <v>0</v>
      </c>
    </row>
    <row r="1101" spans="1:20" ht="22.2" customHeight="1">
      <c r="B1101" s="1571" t="s">
        <v>1079</v>
      </c>
      <c r="C1101" s="1832" t="str">
        <f t="shared" si="217"/>
        <v>x</v>
      </c>
      <c r="D1101" s="1535">
        <v>1</v>
      </c>
      <c r="E1101" s="1044"/>
      <c r="F1101" s="1056" t="str">
        <f>VLOOKUP($B1101,DG!A:D,DG!$C$2,)</f>
        <v>Boulon 16x350+ 2 long đền vuông D18-50x50x3/Zn</v>
      </c>
      <c r="G1101" s="1044" t="str">
        <f>VLOOKUP($B1101,DG!A:D,DG!$D$2,)</f>
        <v>bộ</v>
      </c>
      <c r="H1101" s="1823">
        <f>$H$1095*$D1101</f>
        <v>1</v>
      </c>
      <c r="I1101" s="1823">
        <f t="shared" si="218"/>
        <v>0</v>
      </c>
      <c r="J1101" s="1823">
        <f t="shared" si="218"/>
        <v>0</v>
      </c>
      <c r="K1101" s="1823">
        <f t="shared" si="219"/>
        <v>1</v>
      </c>
      <c r="L1101" s="1823">
        <f t="shared" si="220"/>
        <v>0</v>
      </c>
      <c r="M1101" s="1823"/>
      <c r="N1101" s="1823"/>
      <c r="O1101" s="1823"/>
      <c r="P1101" s="1823">
        <f>$P$1095*D1101</f>
        <v>1</v>
      </c>
      <c r="Q1101" s="1053"/>
      <c r="R1101" s="1053"/>
      <c r="S1101" s="1053"/>
      <c r="T1101" s="2035">
        <f t="shared" si="212"/>
        <v>0</v>
      </c>
    </row>
    <row r="1102" spans="1:20" ht="22.2" customHeight="1">
      <c r="B1102" s="1571" t="s">
        <v>1999</v>
      </c>
      <c r="C1102" s="1832" t="str">
        <f t="shared" si="217"/>
        <v>x</v>
      </c>
      <c r="D1102" s="1535">
        <v>1</v>
      </c>
      <c r="E1102" s="1044"/>
      <c r="F1102" s="1049" t="str">
        <f>VLOOKUP($B1102,DG!A:D,DG!$C$2,)</f>
        <v>Lắp xà đỡ ≤ 25kg</v>
      </c>
      <c r="G1102" s="1044" t="str">
        <f>VLOOKUP($B1102,DG!A:D,DG!$D$2,)</f>
        <v>bộ</v>
      </c>
      <c r="H1102" s="1823">
        <f>$H$1095*$D1102</f>
        <v>1</v>
      </c>
      <c r="I1102" s="1823"/>
      <c r="J1102" s="1823"/>
      <c r="K1102" s="1823"/>
      <c r="L1102" s="1823"/>
      <c r="M1102" s="1823"/>
      <c r="N1102" s="1823"/>
      <c r="O1102" s="1823"/>
      <c r="P1102" s="1823">
        <f>$P$1095*D1102</f>
        <v>1</v>
      </c>
      <c r="Q1102" s="1053"/>
      <c r="R1102" s="1053"/>
      <c r="S1102" s="1053"/>
      <c r="T1102" s="2035">
        <f t="shared" si="212"/>
        <v>0</v>
      </c>
    </row>
    <row r="1103" spans="1:20" ht="22.2" hidden="1" customHeight="1" collapsed="1">
      <c r="A1103" s="969" t="s">
        <v>633</v>
      </c>
      <c r="B1103" s="1574" t="s">
        <v>633</v>
      </c>
      <c r="C1103" s="1013" t="str">
        <f t="shared" si="210"/>
        <v xml:space="preserve"> </v>
      </c>
      <c r="D1103" s="1532"/>
      <c r="E1103" s="1045"/>
      <c r="F1103" s="1392" t="s">
        <v>2464</v>
      </c>
      <c r="G1103" s="1046" t="s">
        <v>2391</v>
      </c>
      <c r="H1103" s="1821">
        <f>SUM(I1103:O1103)</f>
        <v>0</v>
      </c>
      <c r="I1103" s="1822"/>
      <c r="J1103" s="1822"/>
      <c r="K1103" s="1822">
        <f>IFERROR(HLOOKUP(B1103,pp3p1m!$1:$3,3,0),0)</f>
        <v>0</v>
      </c>
      <c r="L1103" s="1822">
        <f>IFERROR(HLOOKUP(chitiet!B1103,pp1p!$1:$3,3,0),0)</f>
        <v>0</v>
      </c>
      <c r="M1103" s="1822"/>
      <c r="N1103" s="1822"/>
      <c r="O1103" s="1822"/>
      <c r="P1103" s="1822">
        <f>H1103+Q1103-R1103</f>
        <v>0</v>
      </c>
      <c r="Q1103" s="1047"/>
      <c r="R1103" s="1047"/>
      <c r="S1103" s="1047"/>
      <c r="T1103" s="2035">
        <f>IFERROR(HLOOKUP(B1103,pp1p!$1:$3,3,0),0)+IFERROR(HLOOKUP(B1103,pp3p1m!$1:$3,3,0),0)</f>
        <v>0</v>
      </c>
    </row>
    <row r="1104" spans="1:20" ht="22.2" hidden="1" customHeight="1">
      <c r="A1104" s="59"/>
      <c r="B1104" s="1577" t="s">
        <v>1061</v>
      </c>
      <c r="C1104" s="1013" t="str">
        <f t="shared" si="210"/>
        <v xml:space="preserve"> </v>
      </c>
      <c r="D1104" s="1535">
        <v>1</v>
      </c>
      <c r="E1104" s="1044"/>
      <c r="F1104" s="1056" t="str">
        <f>VLOOKUP($B1104,DG!A:D,DG!$C$2,)</f>
        <v>Boulon mắt 16x250+ 2 long đền vuông D18-50x50x3/Zn</v>
      </c>
      <c r="G1104" s="1044" t="str">
        <f>VLOOKUP($B1104,DG!A:D,DG!$D$2,)</f>
        <v>bộ</v>
      </c>
      <c r="H1104" s="1823">
        <f t="shared" ref="H1104:N1109" si="225">H$1103*$D1104</f>
        <v>0</v>
      </c>
      <c r="I1104" s="1823">
        <f t="shared" si="225"/>
        <v>0</v>
      </c>
      <c r="J1104" s="1823">
        <f t="shared" si="225"/>
        <v>0</v>
      </c>
      <c r="K1104" s="1823">
        <f t="shared" si="225"/>
        <v>0</v>
      </c>
      <c r="L1104" s="1823">
        <f t="shared" si="225"/>
        <v>0</v>
      </c>
      <c r="M1104" s="1823">
        <f t="shared" si="225"/>
        <v>0</v>
      </c>
      <c r="N1104" s="1823">
        <f t="shared" si="225"/>
        <v>0</v>
      </c>
      <c r="O1104" s="1823"/>
      <c r="P1104" s="1823">
        <f t="shared" ref="P1104:P1110" si="226">$P$1103*D1104</f>
        <v>0</v>
      </c>
      <c r="Q1104" s="1053"/>
      <c r="R1104" s="1053"/>
      <c r="S1104" s="1053"/>
      <c r="T1104" s="2035">
        <f t="shared" si="212"/>
        <v>0</v>
      </c>
    </row>
    <row r="1105" spans="1:20" ht="22.2" hidden="1" customHeight="1">
      <c r="A1105" s="59"/>
      <c r="B1105" s="1577" t="s">
        <v>111</v>
      </c>
      <c r="C1105" s="1013" t="str">
        <f t="shared" si="210"/>
        <v xml:space="preserve"> </v>
      </c>
      <c r="D1105" s="1535">
        <v>1</v>
      </c>
      <c r="E1105" s="1044"/>
      <c r="F1105" s="1056" t="str">
        <f>VLOOKUP($B1105,DG!A:D,DG!$C$2,)</f>
        <v>Sứ chằng</v>
      </c>
      <c r="G1105" s="1044" t="str">
        <f>VLOOKUP($B1105,DG!A:D,DG!$D$2,)</f>
        <v>cái</v>
      </c>
      <c r="H1105" s="1823">
        <f t="shared" si="225"/>
        <v>0</v>
      </c>
      <c r="I1105" s="1823">
        <f t="shared" si="225"/>
        <v>0</v>
      </c>
      <c r="J1105" s="1823">
        <f t="shared" si="225"/>
        <v>0</v>
      </c>
      <c r="K1105" s="1823">
        <f t="shared" si="225"/>
        <v>0</v>
      </c>
      <c r="L1105" s="1823">
        <f t="shared" si="225"/>
        <v>0</v>
      </c>
      <c r="M1105" s="1823">
        <f t="shared" si="225"/>
        <v>0</v>
      </c>
      <c r="N1105" s="1823">
        <f t="shared" si="225"/>
        <v>0</v>
      </c>
      <c r="O1105" s="1823"/>
      <c r="P1105" s="1823">
        <f t="shared" si="226"/>
        <v>0</v>
      </c>
      <c r="Q1105" s="1053"/>
      <c r="R1105" s="1053"/>
      <c r="S1105" s="1053"/>
      <c r="T1105" s="2035">
        <f t="shared" si="212"/>
        <v>0</v>
      </c>
    </row>
    <row r="1106" spans="1:20" ht="22.2" hidden="1" customHeight="1">
      <c r="A1106" s="59"/>
      <c r="B1106" s="1577" t="s">
        <v>1581</v>
      </c>
      <c r="C1106" s="1013" t="str">
        <f t="shared" si="210"/>
        <v xml:space="preserve"> </v>
      </c>
      <c r="D1106" s="1535">
        <v>4</v>
      </c>
      <c r="E1106" s="1044"/>
      <c r="F1106" s="1056" t="str">
        <f>VLOOKUP($B1106,DG!A:D,DG!$C$2,)</f>
        <v>Kẹp cáp 3 boulon</v>
      </c>
      <c r="G1106" s="1044" t="str">
        <f>VLOOKUP($B1106,DG!A:D,DG!$D$2,)</f>
        <v>cái</v>
      </c>
      <c r="H1106" s="1823">
        <f t="shared" si="225"/>
        <v>0</v>
      </c>
      <c r="I1106" s="1823">
        <f t="shared" si="225"/>
        <v>0</v>
      </c>
      <c r="J1106" s="1823">
        <f t="shared" si="225"/>
        <v>0</v>
      </c>
      <c r="K1106" s="1823">
        <f t="shared" si="225"/>
        <v>0</v>
      </c>
      <c r="L1106" s="1823">
        <f t="shared" si="225"/>
        <v>0</v>
      </c>
      <c r="M1106" s="1823">
        <f t="shared" si="225"/>
        <v>0</v>
      </c>
      <c r="N1106" s="1823">
        <f t="shared" si="225"/>
        <v>0</v>
      </c>
      <c r="O1106" s="1823"/>
      <c r="P1106" s="1823">
        <f t="shared" si="226"/>
        <v>0</v>
      </c>
      <c r="Q1106" s="1053"/>
      <c r="R1106" s="1053"/>
      <c r="S1106" s="1053"/>
      <c r="T1106" s="2035">
        <f t="shared" si="212"/>
        <v>0</v>
      </c>
    </row>
    <row r="1107" spans="1:20" ht="22.2" hidden="1" customHeight="1">
      <c r="A1107" s="59"/>
      <c r="B1107" s="1577" t="s">
        <v>275</v>
      </c>
      <c r="C1107" s="1013" t="str">
        <f t="shared" si="210"/>
        <v xml:space="preserve"> </v>
      </c>
      <c r="D1107" s="1545">
        <v>5.53</v>
      </c>
      <c r="E1107" s="1044"/>
      <c r="F1107" s="1056" t="str">
        <f>VLOOKUP($B1107,DG!A:D,DG!$C$2,)</f>
        <v>Cáp thép 3/8"</v>
      </c>
      <c r="G1107" s="1044" t="str">
        <f>VLOOKUP($B1107,DG!A:D,DG!$D$2,)</f>
        <v>kg</v>
      </c>
      <c r="H1107" s="1823">
        <f t="shared" si="225"/>
        <v>0</v>
      </c>
      <c r="I1107" s="1823">
        <f t="shared" si="225"/>
        <v>0</v>
      </c>
      <c r="J1107" s="1823">
        <f t="shared" si="225"/>
        <v>0</v>
      </c>
      <c r="K1107" s="1823">
        <f t="shared" si="225"/>
        <v>0</v>
      </c>
      <c r="L1107" s="1823">
        <f t="shared" si="225"/>
        <v>0</v>
      </c>
      <c r="M1107" s="1823">
        <f t="shared" si="225"/>
        <v>0</v>
      </c>
      <c r="N1107" s="1823">
        <f t="shared" si="225"/>
        <v>0</v>
      </c>
      <c r="O1107" s="1823"/>
      <c r="P1107" s="1823">
        <f t="shared" si="226"/>
        <v>0</v>
      </c>
      <c r="Q1107" s="1053"/>
      <c r="R1107" s="1053"/>
      <c r="S1107" s="1053"/>
      <c r="T1107" s="2035">
        <f t="shared" si="212"/>
        <v>0</v>
      </c>
    </row>
    <row r="1108" spans="1:20" ht="22.2" hidden="1" customHeight="1">
      <c r="A1108" s="59"/>
      <c r="B1108" s="1577" t="s">
        <v>2004</v>
      </c>
      <c r="C1108" s="1013" t="str">
        <f t="shared" si="210"/>
        <v xml:space="preserve"> </v>
      </c>
      <c r="D1108" s="1535">
        <v>2</v>
      </c>
      <c r="E1108" s="1044"/>
      <c r="F1108" s="1056" t="str">
        <f>VLOOKUP($B1108,DG!A:D,DG!$C$2,)</f>
        <v>Yếm cáp dày 2mm</v>
      </c>
      <c r="G1108" s="1044" t="str">
        <f>VLOOKUP($B1108,DG!A:D,DG!$D$2,)</f>
        <v>cái</v>
      </c>
      <c r="H1108" s="1823">
        <f t="shared" si="225"/>
        <v>0</v>
      </c>
      <c r="I1108" s="1823">
        <f t="shared" si="225"/>
        <v>0</v>
      </c>
      <c r="J1108" s="1823">
        <f t="shared" si="225"/>
        <v>0</v>
      </c>
      <c r="K1108" s="1823">
        <f t="shared" si="225"/>
        <v>0</v>
      </c>
      <c r="L1108" s="1823">
        <f t="shared" si="225"/>
        <v>0</v>
      </c>
      <c r="M1108" s="1823">
        <f t="shared" si="225"/>
        <v>0</v>
      </c>
      <c r="N1108" s="1823">
        <f t="shared" si="225"/>
        <v>0</v>
      </c>
      <c r="O1108" s="1823"/>
      <c r="P1108" s="1823">
        <f t="shared" si="226"/>
        <v>0</v>
      </c>
      <c r="Q1108" s="1053"/>
      <c r="R1108" s="1053"/>
      <c r="S1108" s="1053"/>
      <c r="T1108" s="2035">
        <f t="shared" si="212"/>
        <v>0</v>
      </c>
    </row>
    <row r="1109" spans="1:20" ht="22.2" hidden="1" customHeight="1">
      <c r="A1109" s="59"/>
      <c r="B1109" s="1577" t="s">
        <v>2005</v>
      </c>
      <c r="C1109" s="1013" t="str">
        <f t="shared" si="210"/>
        <v xml:space="preserve"> </v>
      </c>
      <c r="D1109" s="1535">
        <v>1</v>
      </c>
      <c r="E1109" s="1044"/>
      <c r="F1109" s="1056" t="str">
        <f>VLOOKUP($B1109,DG!A:D,DG!$C$2,)</f>
        <v>Máng che dây chằng dày 1,6mm</v>
      </c>
      <c r="G1109" s="1044" t="str">
        <f>VLOOKUP($B1109,DG!A:D,DG!$D$2,)</f>
        <v>cái</v>
      </c>
      <c r="H1109" s="1823">
        <f t="shared" si="225"/>
        <v>0</v>
      </c>
      <c r="I1109" s="1823">
        <f t="shared" si="225"/>
        <v>0</v>
      </c>
      <c r="J1109" s="1823">
        <f t="shared" si="225"/>
        <v>0</v>
      </c>
      <c r="K1109" s="1823">
        <f t="shared" si="225"/>
        <v>0</v>
      </c>
      <c r="L1109" s="1823">
        <f t="shared" si="225"/>
        <v>0</v>
      </c>
      <c r="M1109" s="1823">
        <f t="shared" si="225"/>
        <v>0</v>
      </c>
      <c r="N1109" s="1823">
        <f t="shared" si="225"/>
        <v>0</v>
      </c>
      <c r="O1109" s="1823"/>
      <c r="P1109" s="1823">
        <f t="shared" si="226"/>
        <v>0</v>
      </c>
      <c r="Q1109" s="1053"/>
      <c r="R1109" s="1053"/>
      <c r="S1109" s="1053"/>
      <c r="T1109" s="2035">
        <f t="shared" si="212"/>
        <v>0</v>
      </c>
    </row>
    <row r="1110" spans="1:20" ht="22.2" hidden="1" customHeight="1">
      <c r="A1110" s="59"/>
      <c r="B1110" s="1577" t="s">
        <v>1922</v>
      </c>
      <c r="C1110" s="1013" t="str">
        <f t="shared" si="210"/>
        <v xml:space="preserve"> </v>
      </c>
      <c r="D1110" s="1535">
        <f>D1104</f>
        <v>1</v>
      </c>
      <c r="E1110" s="1044" t="str">
        <f>VLOOKUP($B1110,DG!A:D,DG!$B$2,)</f>
        <v>06.3241</v>
      </c>
      <c r="F1110" s="1049" t="str">
        <f>VLOOKUP($B1110,DG!A:D,DG!$C$2,)</f>
        <v>Lắp bộ dây néo</v>
      </c>
      <c r="G1110" s="1044" t="str">
        <f>VLOOKUP($B1110,DG!A:D,DG!$D$2,)</f>
        <v>bộ</v>
      </c>
      <c r="H1110" s="1823">
        <f>H$1103*$D1110</f>
        <v>0</v>
      </c>
      <c r="I1110" s="1823"/>
      <c r="J1110" s="1823"/>
      <c r="K1110" s="1823"/>
      <c r="L1110" s="1823"/>
      <c r="M1110" s="1823"/>
      <c r="N1110" s="1823"/>
      <c r="O1110" s="1823"/>
      <c r="P1110" s="1823">
        <f t="shared" si="226"/>
        <v>0</v>
      </c>
      <c r="Q1110" s="1058"/>
      <c r="R1110" s="1058"/>
      <c r="S1110" s="1058"/>
      <c r="T1110" s="2035">
        <f t="shared" si="212"/>
        <v>0</v>
      </c>
    </row>
    <row r="1111" spans="1:20" ht="22.2" hidden="1" customHeight="1">
      <c r="A1111" s="59"/>
      <c r="B1111" s="1588" t="s">
        <v>356</v>
      </c>
      <c r="C1111" s="1013" t="str">
        <f t="shared" si="210"/>
        <v xml:space="preserve"> </v>
      </c>
      <c r="D1111" s="1534"/>
      <c r="E1111" s="1044" t="str">
        <f>VLOOKUP($B1111,DG!A:C,2,)</f>
        <v>02.1421</v>
      </c>
      <c r="F1111" s="1049" t="str">
        <f>VLOOKUP($B1111,DG!A:C,3,)</f>
        <v>V/c phụ kiện vào vị trí (cự ly &lt;=100m)</v>
      </c>
      <c r="G1111" s="1044" t="str">
        <f>VLOOKUP($B1111,DG!A:D,4,0)</f>
        <v>tấn</v>
      </c>
      <c r="H1111" s="1823"/>
      <c r="I1111" s="1823"/>
      <c r="J1111" s="1823"/>
      <c r="K1111" s="1823"/>
      <c r="L1111" s="1823"/>
      <c r="M1111" s="1823"/>
      <c r="N1111" s="1823"/>
      <c r="O1111" s="1823"/>
      <c r="P1111" s="1823"/>
      <c r="Q1111" s="1058"/>
      <c r="R1111" s="1058"/>
      <c r="S1111" s="1058"/>
      <c r="T1111" s="2035">
        <f t="shared" si="212"/>
        <v>0</v>
      </c>
    </row>
    <row r="1112" spans="1:20" ht="22.2" hidden="1" customHeight="1">
      <c r="A1112" s="969" t="s">
        <v>205</v>
      </c>
      <c r="B1112" s="1574" t="s">
        <v>205</v>
      </c>
      <c r="C1112" s="1013" t="str">
        <f t="shared" si="210"/>
        <v xml:space="preserve"> </v>
      </c>
      <c r="D1112" s="1532"/>
      <c r="E1112" s="1045"/>
      <c r="F1112" s="1392" t="s">
        <v>2465</v>
      </c>
      <c r="G1112" s="1046" t="s">
        <v>2391</v>
      </c>
      <c r="H1112" s="1821">
        <f>SUM(I1112:O1112)</f>
        <v>0</v>
      </c>
      <c r="I1112" s="1822"/>
      <c r="J1112" s="1822"/>
      <c r="K1112" s="1822">
        <f>IFERROR(HLOOKUP(B1112,pp3p1m!$1:$3,3,0),0)</f>
        <v>0</v>
      </c>
      <c r="L1112" s="1822">
        <f>IFERROR(HLOOKUP(chitiet!B1112,pp1p!$1:$3,3,0),0)</f>
        <v>0</v>
      </c>
      <c r="M1112" s="1822"/>
      <c r="N1112" s="1822"/>
      <c r="O1112" s="1822"/>
      <c r="P1112" s="1822">
        <f>H1112+Q1112-R1112</f>
        <v>0</v>
      </c>
      <c r="Q1112" s="1047"/>
      <c r="R1112" s="1047"/>
      <c r="S1112" s="1047"/>
      <c r="T1112" s="2035">
        <f>IFERROR(HLOOKUP(B1112,pp1p!$1:$3,3,0),0)+IFERROR(HLOOKUP(B1112,pp3p1m!$1:$3,3,0),0)</f>
        <v>0</v>
      </c>
    </row>
    <row r="1113" spans="1:20" ht="22.2" hidden="1" customHeight="1">
      <c r="A1113" s="59"/>
      <c r="B1113" s="1577" t="s">
        <v>1922</v>
      </c>
      <c r="C1113" s="1013" t="str">
        <f t="shared" si="210"/>
        <v xml:space="preserve"> </v>
      </c>
      <c r="D1113" s="1535">
        <v>1</v>
      </c>
      <c r="E1113" s="1044"/>
      <c r="F1113" s="1049" t="s">
        <v>2466</v>
      </c>
      <c r="G1113" s="1044" t="str">
        <f>VLOOKUP($B1113,DG!A:D,DG!$D$2,)</f>
        <v>bộ</v>
      </c>
      <c r="H1113" s="1823">
        <f t="shared" ref="H1113:N1115" si="227">H$1112*$D1113</f>
        <v>0</v>
      </c>
      <c r="I1113" s="1823">
        <f t="shared" si="227"/>
        <v>0</v>
      </c>
      <c r="J1113" s="1823">
        <f t="shared" si="227"/>
        <v>0</v>
      </c>
      <c r="K1113" s="1823">
        <f t="shared" si="227"/>
        <v>0</v>
      </c>
      <c r="L1113" s="1823">
        <f t="shared" si="227"/>
        <v>0</v>
      </c>
      <c r="M1113" s="1823">
        <f t="shared" si="227"/>
        <v>0</v>
      </c>
      <c r="N1113" s="1823">
        <f t="shared" si="227"/>
        <v>0</v>
      </c>
      <c r="O1113" s="1823"/>
      <c r="P1113" s="1823"/>
      <c r="Q1113" s="1053"/>
      <c r="R1113" s="1053"/>
      <c r="S1113" s="1053"/>
      <c r="T1113" s="2035">
        <f t="shared" si="212"/>
        <v>0</v>
      </c>
    </row>
    <row r="1114" spans="1:20" ht="22.2" hidden="1" customHeight="1">
      <c r="A1114" s="59"/>
      <c r="B1114" s="1577" t="s">
        <v>1910</v>
      </c>
      <c r="C1114" s="1013" t="str">
        <f t="shared" si="210"/>
        <v xml:space="preserve"> </v>
      </c>
      <c r="D1114" s="1535">
        <v>1</v>
      </c>
      <c r="E1114" s="1044"/>
      <c r="F1114" s="1049" t="s">
        <v>2467</v>
      </c>
      <c r="G1114" s="1044" t="str">
        <f>VLOOKUP($B1114,DG!A:D,DG!$D$2,)</f>
        <v>bộ</v>
      </c>
      <c r="H1114" s="1823">
        <f t="shared" si="227"/>
        <v>0</v>
      </c>
      <c r="I1114" s="1823">
        <f t="shared" si="227"/>
        <v>0</v>
      </c>
      <c r="J1114" s="1823">
        <f t="shared" si="227"/>
        <v>0</v>
      </c>
      <c r="K1114" s="1823">
        <f t="shared" si="227"/>
        <v>0</v>
      </c>
      <c r="L1114" s="1823">
        <f t="shared" si="227"/>
        <v>0</v>
      </c>
      <c r="M1114" s="1823">
        <f t="shared" si="227"/>
        <v>0</v>
      </c>
      <c r="N1114" s="1823">
        <f t="shared" si="227"/>
        <v>0</v>
      </c>
      <c r="O1114" s="1823"/>
      <c r="P1114" s="1823"/>
      <c r="Q1114" s="1053"/>
      <c r="R1114" s="1053"/>
      <c r="S1114" s="1053"/>
      <c r="T1114" s="2035">
        <f t="shared" si="212"/>
        <v>0</v>
      </c>
    </row>
    <row r="1115" spans="1:20" ht="22.2" hidden="1" customHeight="1">
      <c r="A1115" s="59"/>
      <c r="B1115" s="1588" t="s">
        <v>356</v>
      </c>
      <c r="C1115" s="1013" t="str">
        <f t="shared" si="210"/>
        <v xml:space="preserve"> </v>
      </c>
      <c r="D1115" s="1534">
        <v>0.01</v>
      </c>
      <c r="E1115" s="1044" t="str">
        <f>VLOOKUP($B1115,DG!A:C,2,)</f>
        <v>02.1421</v>
      </c>
      <c r="F1115" s="1049" t="str">
        <f>VLOOKUP($B1115,DG!A:C,3,)</f>
        <v>V/c phụ kiện vào vị trí (cự ly &lt;=100m)</v>
      </c>
      <c r="G1115" s="1044" t="str">
        <f>VLOOKUP($B1115,DG!A:D,4,0)</f>
        <v>tấn</v>
      </c>
      <c r="H1115" s="1823">
        <f t="shared" si="227"/>
        <v>0</v>
      </c>
      <c r="I1115" s="1823">
        <f t="shared" si="227"/>
        <v>0</v>
      </c>
      <c r="J1115" s="1823">
        <f t="shared" si="227"/>
        <v>0</v>
      </c>
      <c r="K1115" s="1823">
        <f t="shared" si="227"/>
        <v>0</v>
      </c>
      <c r="L1115" s="1823">
        <f t="shared" si="227"/>
        <v>0</v>
      </c>
      <c r="M1115" s="1823">
        <f t="shared" si="227"/>
        <v>0</v>
      </c>
      <c r="N1115" s="1823">
        <f t="shared" si="227"/>
        <v>0</v>
      </c>
      <c r="O1115" s="1823"/>
      <c r="P1115" s="1823"/>
      <c r="Q1115" s="1053"/>
      <c r="R1115" s="1053"/>
      <c r="S1115" s="1053"/>
      <c r="T1115" s="2035">
        <f t="shared" si="212"/>
        <v>0</v>
      </c>
    </row>
    <row r="1116" spans="1:20" ht="22.2" hidden="1" customHeight="1">
      <c r="A1116" s="969" t="s">
        <v>632</v>
      </c>
      <c r="B1116" s="1574" t="s">
        <v>632</v>
      </c>
      <c r="C1116" s="1013" t="str">
        <f t="shared" si="210"/>
        <v xml:space="preserve"> </v>
      </c>
      <c r="D1116" s="1532"/>
      <c r="E1116" s="1045"/>
      <c r="F1116" s="1392" t="s">
        <v>2468</v>
      </c>
      <c r="G1116" s="1046" t="s">
        <v>2391</v>
      </c>
      <c r="H1116" s="1821">
        <f>SUM(I1116:O1116)</f>
        <v>0</v>
      </c>
      <c r="I1116" s="1822"/>
      <c r="J1116" s="1822"/>
      <c r="K1116" s="1822">
        <f>IFERROR(HLOOKUP(B1116,pp3p1m!$1:$3,3,0),0)</f>
        <v>0</v>
      </c>
      <c r="L1116" s="1822">
        <f>IFERROR(HLOOKUP(chitiet!B1116,pp1p!$1:$3,3,0),0)</f>
        <v>0</v>
      </c>
      <c r="M1116" s="1822"/>
      <c r="N1116" s="1822"/>
      <c r="O1116" s="1822"/>
      <c r="P1116" s="1822">
        <f>H1116+Q1116-R1116</f>
        <v>0</v>
      </c>
      <c r="Q1116" s="1047"/>
      <c r="R1116" s="1047"/>
      <c r="S1116" s="1047"/>
      <c r="T1116" s="2035">
        <f>IFERROR(HLOOKUP(B1116,pp1p!$1:$3,3,0),0)+IFERROR(HLOOKUP(B1116,pp3p1m!$1:$3,3,0),0)</f>
        <v>0</v>
      </c>
    </row>
    <row r="1117" spans="1:20" ht="22.2" hidden="1" customHeight="1">
      <c r="A1117" s="59"/>
      <c r="B1117" s="1577" t="s">
        <v>1061</v>
      </c>
      <c r="C1117" s="1013" t="str">
        <f t="shared" si="210"/>
        <v xml:space="preserve"> </v>
      </c>
      <c r="D1117" s="1535">
        <v>1</v>
      </c>
      <c r="E1117" s="1044"/>
      <c r="F1117" s="1056" t="str">
        <f>VLOOKUP($B1117,DG!A:D,DG!$C$2,)</f>
        <v>Boulon mắt 16x250+ 2 long đền vuông D18-50x50x3/Zn</v>
      </c>
      <c r="G1117" s="1044" t="str">
        <f>VLOOKUP($B1117,DG!A:D,DG!$D$2,)</f>
        <v>bộ</v>
      </c>
      <c r="H1117" s="1823">
        <f t="shared" ref="H1117:N1123" si="228">H$1116*$D1117</f>
        <v>0</v>
      </c>
      <c r="I1117" s="1823">
        <f t="shared" si="228"/>
        <v>0</v>
      </c>
      <c r="J1117" s="1823">
        <f t="shared" si="228"/>
        <v>0</v>
      </c>
      <c r="K1117" s="1823">
        <f t="shared" si="228"/>
        <v>0</v>
      </c>
      <c r="L1117" s="1823">
        <f t="shared" si="228"/>
        <v>0</v>
      </c>
      <c r="M1117" s="1823">
        <f t="shared" si="228"/>
        <v>0</v>
      </c>
      <c r="N1117" s="1823">
        <f t="shared" si="228"/>
        <v>0</v>
      </c>
      <c r="O1117" s="1823"/>
      <c r="P1117" s="1823"/>
      <c r="Q1117" s="1053"/>
      <c r="R1117" s="1053"/>
      <c r="S1117" s="1053"/>
      <c r="T1117" s="2035">
        <f t="shared" si="212"/>
        <v>0</v>
      </c>
    </row>
    <row r="1118" spans="1:20" ht="22.2" hidden="1" customHeight="1">
      <c r="A1118" s="59"/>
      <c r="B1118" s="1577" t="s">
        <v>111</v>
      </c>
      <c r="C1118" s="1013" t="str">
        <f t="shared" si="210"/>
        <v xml:space="preserve"> </v>
      </c>
      <c r="D1118" s="1535">
        <v>1</v>
      </c>
      <c r="E1118" s="1044"/>
      <c r="F1118" s="1056" t="str">
        <f>VLOOKUP($B1118,DG!A:D,DG!$C$2,)</f>
        <v>Sứ chằng</v>
      </c>
      <c r="G1118" s="1044" t="str">
        <f>VLOOKUP($B1118,DG!A:D,DG!$D$2,)</f>
        <v>cái</v>
      </c>
      <c r="H1118" s="1823">
        <f t="shared" si="228"/>
        <v>0</v>
      </c>
      <c r="I1118" s="1823">
        <f t="shared" si="228"/>
        <v>0</v>
      </c>
      <c r="J1118" s="1823">
        <f t="shared" si="228"/>
        <v>0</v>
      </c>
      <c r="K1118" s="1823">
        <f t="shared" si="228"/>
        <v>0</v>
      </c>
      <c r="L1118" s="1823">
        <f t="shared" si="228"/>
        <v>0</v>
      </c>
      <c r="M1118" s="1823">
        <f t="shared" si="228"/>
        <v>0</v>
      </c>
      <c r="N1118" s="1823">
        <f t="shared" si="228"/>
        <v>0</v>
      </c>
      <c r="O1118" s="1823"/>
      <c r="P1118" s="1823"/>
      <c r="Q1118" s="1053"/>
      <c r="R1118" s="1053"/>
      <c r="S1118" s="1053"/>
      <c r="T1118" s="2035">
        <f t="shared" si="212"/>
        <v>0</v>
      </c>
    </row>
    <row r="1119" spans="1:20" ht="22.2" hidden="1" customHeight="1">
      <c r="A1119" s="59"/>
      <c r="B1119" s="1577" t="s">
        <v>1581</v>
      </c>
      <c r="C1119" s="1013" t="str">
        <f t="shared" si="210"/>
        <v xml:space="preserve"> </v>
      </c>
      <c r="D1119" s="1535">
        <v>4</v>
      </c>
      <c r="E1119" s="1044"/>
      <c r="F1119" s="1056" t="str">
        <f>VLOOKUP($B1119,DG!A:D,DG!$C$2,)</f>
        <v>Kẹp cáp 3 boulon</v>
      </c>
      <c r="G1119" s="1044" t="str">
        <f>VLOOKUP($B1119,DG!A:D,DG!$D$2,)</f>
        <v>cái</v>
      </c>
      <c r="H1119" s="1823">
        <f t="shared" si="228"/>
        <v>0</v>
      </c>
      <c r="I1119" s="1823">
        <f t="shared" si="228"/>
        <v>0</v>
      </c>
      <c r="J1119" s="1823">
        <f t="shared" si="228"/>
        <v>0</v>
      </c>
      <c r="K1119" s="1823">
        <f t="shared" si="228"/>
        <v>0</v>
      </c>
      <c r="L1119" s="1823">
        <f t="shared" si="228"/>
        <v>0</v>
      </c>
      <c r="M1119" s="1823">
        <f t="shared" si="228"/>
        <v>0</v>
      </c>
      <c r="N1119" s="1823">
        <f t="shared" si="228"/>
        <v>0</v>
      </c>
      <c r="O1119" s="1823"/>
      <c r="P1119" s="1823"/>
      <c r="Q1119" s="1053"/>
      <c r="R1119" s="1053"/>
      <c r="S1119" s="1053"/>
      <c r="T1119" s="2035">
        <f t="shared" si="212"/>
        <v>0</v>
      </c>
    </row>
    <row r="1120" spans="1:20" ht="22.2" hidden="1" customHeight="1">
      <c r="A1120" s="59"/>
      <c r="B1120" s="1577" t="s">
        <v>275</v>
      </c>
      <c r="C1120" s="1013" t="str">
        <f t="shared" si="210"/>
        <v xml:space="preserve"> </v>
      </c>
      <c r="D1120" s="1535">
        <f>15*0.38</f>
        <v>5.7</v>
      </c>
      <c r="E1120" s="1044"/>
      <c r="F1120" s="1056" t="str">
        <f>VLOOKUP($B1120,DG!A:D,DG!$C$2,)</f>
        <v>Cáp thép 3/8"</v>
      </c>
      <c r="G1120" s="1044" t="str">
        <f>VLOOKUP($B1120,DG!A:D,DG!$D$2,)</f>
        <v>kg</v>
      </c>
      <c r="H1120" s="1823">
        <f t="shared" si="228"/>
        <v>0</v>
      </c>
      <c r="I1120" s="1823">
        <f t="shared" si="228"/>
        <v>0</v>
      </c>
      <c r="J1120" s="1823">
        <f t="shared" si="228"/>
        <v>0</v>
      </c>
      <c r="K1120" s="1823">
        <f t="shared" si="228"/>
        <v>0</v>
      </c>
      <c r="L1120" s="1823">
        <f t="shared" si="228"/>
        <v>0</v>
      </c>
      <c r="M1120" s="1823">
        <f t="shared" si="228"/>
        <v>0</v>
      </c>
      <c r="N1120" s="1823">
        <f t="shared" si="228"/>
        <v>0</v>
      </c>
      <c r="O1120" s="1823"/>
      <c r="P1120" s="1823"/>
      <c r="Q1120" s="1053"/>
      <c r="R1120" s="1053"/>
      <c r="S1120" s="1053"/>
      <c r="T1120" s="2035">
        <f t="shared" si="212"/>
        <v>0</v>
      </c>
    </row>
    <row r="1121" spans="1:20" ht="22.2" hidden="1" customHeight="1">
      <c r="A1121" s="59"/>
      <c r="B1121" s="1577" t="s">
        <v>188</v>
      </c>
      <c r="C1121" s="1013" t="str">
        <f t="shared" si="210"/>
        <v xml:space="preserve"> </v>
      </c>
      <c r="D1121" s="1535">
        <v>1</v>
      </c>
      <c r="E1121" s="1044"/>
      <c r="F1121" s="1056" t="str">
        <f>VLOOKUP($B1121,DG!A:D,DG!$C$2,)</f>
        <v>Bộ chống chằng hẹp Ø60/50x1200+2BL12x40+BL16x200/50</v>
      </c>
      <c r="G1121" s="1044" t="str">
        <f>VLOOKUP($B1121,DG!A:D,DG!$D$2,)</f>
        <v>bộ</v>
      </c>
      <c r="H1121" s="1823">
        <f t="shared" si="228"/>
        <v>0</v>
      </c>
      <c r="I1121" s="1823">
        <f t="shared" si="228"/>
        <v>0</v>
      </c>
      <c r="J1121" s="1823">
        <f t="shared" si="228"/>
        <v>0</v>
      </c>
      <c r="K1121" s="1823">
        <f t="shared" si="228"/>
        <v>0</v>
      </c>
      <c r="L1121" s="1823">
        <f t="shared" si="228"/>
        <v>0</v>
      </c>
      <c r="M1121" s="1823">
        <f t="shared" si="228"/>
        <v>0</v>
      </c>
      <c r="N1121" s="1823">
        <f t="shared" si="228"/>
        <v>0</v>
      </c>
      <c r="O1121" s="1823"/>
      <c r="P1121" s="1823"/>
      <c r="Q1121" s="1053"/>
      <c r="R1121" s="1053"/>
      <c r="S1121" s="1053"/>
      <c r="T1121" s="2035">
        <f t="shared" si="212"/>
        <v>0</v>
      </c>
    </row>
    <row r="1122" spans="1:20" ht="22.2" hidden="1" customHeight="1">
      <c r="A1122" s="59"/>
      <c r="B1122" s="1577" t="s">
        <v>2004</v>
      </c>
      <c r="C1122" s="1013" t="str">
        <f t="shared" si="210"/>
        <v xml:space="preserve"> </v>
      </c>
      <c r="D1122" s="1535">
        <v>2</v>
      </c>
      <c r="E1122" s="1044"/>
      <c r="F1122" s="1056" t="str">
        <f>VLOOKUP($B1122,DG!A:D,DG!$C$2,)</f>
        <v>Yếm cáp dày 2mm</v>
      </c>
      <c r="G1122" s="1044" t="str">
        <f>VLOOKUP($B1122,DG!A:D,DG!$D$2,)</f>
        <v>cái</v>
      </c>
      <c r="H1122" s="1823">
        <f t="shared" si="228"/>
        <v>0</v>
      </c>
      <c r="I1122" s="1823">
        <f t="shared" si="228"/>
        <v>0</v>
      </c>
      <c r="J1122" s="1823">
        <f t="shared" si="228"/>
        <v>0</v>
      </c>
      <c r="K1122" s="1823">
        <f t="shared" si="228"/>
        <v>0</v>
      </c>
      <c r="L1122" s="1823">
        <f t="shared" si="228"/>
        <v>0</v>
      </c>
      <c r="M1122" s="1823">
        <f t="shared" si="228"/>
        <v>0</v>
      </c>
      <c r="N1122" s="1823">
        <f t="shared" si="228"/>
        <v>0</v>
      </c>
      <c r="O1122" s="1823"/>
      <c r="P1122" s="1823"/>
      <c r="Q1122" s="1053"/>
      <c r="R1122" s="1053"/>
      <c r="S1122" s="1053"/>
      <c r="T1122" s="2035">
        <f t="shared" si="212"/>
        <v>0</v>
      </c>
    </row>
    <row r="1123" spans="1:20" ht="22.2" hidden="1" customHeight="1">
      <c r="A1123" s="59"/>
      <c r="B1123" s="1577" t="s">
        <v>2005</v>
      </c>
      <c r="C1123" s="1013" t="str">
        <f t="shared" si="210"/>
        <v xml:space="preserve"> </v>
      </c>
      <c r="D1123" s="1535">
        <v>1</v>
      </c>
      <c r="E1123" s="1044"/>
      <c r="F1123" s="1056" t="str">
        <f>VLOOKUP($B1123,DG!A:D,DG!$C$2,)</f>
        <v>Máng che dây chằng dày 1,6mm</v>
      </c>
      <c r="G1123" s="1044" t="str">
        <f>VLOOKUP($B1123,DG!A:D,DG!$D$2,)</f>
        <v>cái</v>
      </c>
      <c r="H1123" s="1823">
        <f t="shared" si="228"/>
        <v>0</v>
      </c>
      <c r="I1123" s="1823">
        <f t="shared" si="228"/>
        <v>0</v>
      </c>
      <c r="J1123" s="1823">
        <f t="shared" si="228"/>
        <v>0</v>
      </c>
      <c r="K1123" s="1823">
        <f t="shared" si="228"/>
        <v>0</v>
      </c>
      <c r="L1123" s="1823">
        <f t="shared" si="228"/>
        <v>0</v>
      </c>
      <c r="M1123" s="1823">
        <f t="shared" si="228"/>
        <v>0</v>
      </c>
      <c r="N1123" s="1823">
        <f t="shared" si="228"/>
        <v>0</v>
      </c>
      <c r="O1123" s="1823"/>
      <c r="P1123" s="1823"/>
      <c r="Q1123" s="1053"/>
      <c r="R1123" s="1053"/>
      <c r="S1123" s="1053"/>
      <c r="T1123" s="2035">
        <f t="shared" si="212"/>
        <v>0</v>
      </c>
    </row>
    <row r="1124" spans="1:20" ht="22.2" hidden="1" customHeight="1">
      <c r="A1124" s="59"/>
      <c r="B1124" s="1577" t="s">
        <v>1922</v>
      </c>
      <c r="C1124" s="1013" t="str">
        <f t="shared" si="210"/>
        <v xml:space="preserve"> </v>
      </c>
      <c r="D1124" s="1535">
        <f>D1117</f>
        <v>1</v>
      </c>
      <c r="E1124" s="1044" t="str">
        <f>VLOOKUP($B1124,DG!A:D,DG!$B$2,)</f>
        <v>06.3241</v>
      </c>
      <c r="F1124" s="1049" t="str">
        <f>VLOOKUP($B1124,DG!A:D,DG!$C$2,)</f>
        <v>Lắp bộ dây néo</v>
      </c>
      <c r="G1124" s="1044" t="str">
        <f>VLOOKUP($B1124,DG!A:D,DG!$D$2,)</f>
        <v>bộ</v>
      </c>
      <c r="H1124" s="1823"/>
      <c r="I1124" s="1823"/>
      <c r="J1124" s="1823"/>
      <c r="K1124" s="1823"/>
      <c r="L1124" s="1823"/>
      <c r="M1124" s="1823"/>
      <c r="N1124" s="1823"/>
      <c r="O1124" s="1823"/>
      <c r="P1124" s="1823"/>
      <c r="Q1124" s="1058"/>
      <c r="R1124" s="1058"/>
      <c r="S1124" s="1058"/>
      <c r="T1124" s="2035">
        <f t="shared" si="212"/>
        <v>0</v>
      </c>
    </row>
    <row r="1125" spans="1:20" ht="22.2" hidden="1" customHeight="1">
      <c r="A1125" s="59"/>
      <c r="B1125" s="1577" t="s">
        <v>1910</v>
      </c>
      <c r="C1125" s="1013" t="str">
        <f t="shared" si="210"/>
        <v xml:space="preserve"> </v>
      </c>
      <c r="D1125" s="1535"/>
      <c r="E1125" s="1044" t="str">
        <f>VLOOKUP($B1125,DG!A:D,DG!$B$2,)</f>
        <v>05.6011</v>
      </c>
      <c r="F1125" s="1049" t="str">
        <f>VLOOKUP($B1125,DG!A:D,DG!$C$2,)</f>
        <v>Lắp bộ chống lệch</v>
      </c>
      <c r="G1125" s="1044" t="str">
        <f>VLOOKUP($B1125,DG!A:D,DG!$D$2,)</f>
        <v>bộ</v>
      </c>
      <c r="H1125" s="1823"/>
      <c r="I1125" s="1823"/>
      <c r="J1125" s="1823"/>
      <c r="K1125" s="1823"/>
      <c r="L1125" s="1823"/>
      <c r="M1125" s="1823"/>
      <c r="N1125" s="1823"/>
      <c r="O1125" s="1823"/>
      <c r="P1125" s="1823"/>
      <c r="Q1125" s="1058"/>
      <c r="R1125" s="1058"/>
      <c r="S1125" s="1058"/>
      <c r="T1125" s="2035">
        <f t="shared" si="212"/>
        <v>0</v>
      </c>
    </row>
    <row r="1126" spans="1:20" ht="22.2" hidden="1" customHeight="1">
      <c r="A1126" s="59"/>
      <c r="B1126" s="1588" t="s">
        <v>356</v>
      </c>
      <c r="C1126" s="1013" t="str">
        <f t="shared" si="210"/>
        <v xml:space="preserve"> </v>
      </c>
      <c r="D1126" s="1534"/>
      <c r="E1126" s="1044" t="str">
        <f>VLOOKUP($B1126,DG!A:C,2,)</f>
        <v>02.1421</v>
      </c>
      <c r="F1126" s="1049" t="str">
        <f>VLOOKUP($B1126,DG!A:C,3,)</f>
        <v>V/c phụ kiện vào vị trí (cự ly &lt;=100m)</v>
      </c>
      <c r="G1126" s="1044" t="str">
        <f>VLOOKUP($B1126,DG!A:D,4,0)</f>
        <v>tấn</v>
      </c>
      <c r="H1126" s="1823"/>
      <c r="I1126" s="1823"/>
      <c r="J1126" s="1823"/>
      <c r="K1126" s="1823"/>
      <c r="L1126" s="1823"/>
      <c r="M1126" s="1823"/>
      <c r="N1126" s="1823"/>
      <c r="O1126" s="1823"/>
      <c r="P1126" s="1823"/>
      <c r="Q1126" s="1058"/>
      <c r="R1126" s="1058"/>
      <c r="S1126" s="1058"/>
      <c r="T1126" s="2035">
        <f t="shared" si="212"/>
        <v>0</v>
      </c>
    </row>
    <row r="1127" spans="1:20" ht="22.2" hidden="1" customHeight="1">
      <c r="A1127" s="56" t="s">
        <v>835</v>
      </c>
      <c r="B1127" s="1574" t="s">
        <v>835</v>
      </c>
      <c r="C1127" s="1013" t="str">
        <f t="shared" si="210"/>
        <v xml:space="preserve"> </v>
      </c>
      <c r="D1127" s="1532"/>
      <c r="E1127" s="1045"/>
      <c r="F1127" s="1392" t="s">
        <v>2469</v>
      </c>
      <c r="G1127" s="1046" t="s">
        <v>2391</v>
      </c>
      <c r="H1127" s="1821">
        <f>SUM(I1127:O1127)</f>
        <v>0</v>
      </c>
      <c r="I1127" s="1822"/>
      <c r="J1127" s="1822"/>
      <c r="K1127" s="1822">
        <f>IFERROR(HLOOKUP(B1127,pp3p1m!$1:$3,3,0),0)</f>
        <v>0</v>
      </c>
      <c r="L1127" s="1822">
        <f>IFERROR(HLOOKUP(chitiet!B1127,pp1p!$1:$3,3,0),0)</f>
        <v>0</v>
      </c>
      <c r="M1127" s="1822"/>
      <c r="N1127" s="1822"/>
      <c r="O1127" s="1822"/>
      <c r="P1127" s="1822">
        <f>H1127+Q1127-R1127</f>
        <v>0</v>
      </c>
      <c r="Q1127" s="1047"/>
      <c r="R1127" s="1047"/>
      <c r="S1127" s="1047"/>
      <c r="T1127" s="2035">
        <f>IFERROR(HLOOKUP(B1127,pp1p!$1:$3,3,0),0)+IFERROR(HLOOKUP(B1127,pp3p1m!$1:$3,3,0),0)</f>
        <v>0</v>
      </c>
    </row>
    <row r="1128" spans="1:20" ht="22.2" hidden="1" customHeight="1">
      <c r="A1128" s="59"/>
      <c r="B1128" s="1577" t="s">
        <v>1061</v>
      </c>
      <c r="C1128" s="1013" t="str">
        <f t="shared" si="210"/>
        <v xml:space="preserve"> </v>
      </c>
      <c r="D1128" s="1535">
        <v>1</v>
      </c>
      <c r="E1128" s="1044"/>
      <c r="F1128" s="1056" t="str">
        <f>VLOOKUP($B1128,DG!A:D,DG!$C$2,)</f>
        <v>Boulon mắt 16x250+ 2 long đền vuông D18-50x50x3/Zn</v>
      </c>
      <c r="G1128" s="1044" t="str">
        <f>VLOOKUP($B1128,DG!A:D,DG!$D$2,)</f>
        <v>bộ</v>
      </c>
      <c r="H1128" s="1823">
        <f t="shared" ref="H1128:N1133" si="229">H$1127*$D1128</f>
        <v>0</v>
      </c>
      <c r="I1128" s="1823">
        <f t="shared" si="229"/>
        <v>0</v>
      </c>
      <c r="J1128" s="1823">
        <f t="shared" si="229"/>
        <v>0</v>
      </c>
      <c r="K1128" s="1823">
        <f t="shared" si="229"/>
        <v>0</v>
      </c>
      <c r="L1128" s="1823">
        <f t="shared" si="229"/>
        <v>0</v>
      </c>
      <c r="M1128" s="1823">
        <f t="shared" si="229"/>
        <v>0</v>
      </c>
      <c r="N1128" s="1823">
        <f t="shared" si="229"/>
        <v>0</v>
      </c>
      <c r="O1128" s="1823"/>
      <c r="P1128" s="1823"/>
      <c r="Q1128" s="1053"/>
      <c r="R1128" s="1053"/>
      <c r="S1128" s="1053"/>
      <c r="T1128" s="2035">
        <f t="shared" si="212"/>
        <v>0</v>
      </c>
    </row>
    <row r="1129" spans="1:20" ht="22.2" hidden="1" customHeight="1">
      <c r="A1129" s="59"/>
      <c r="B1129" s="1577" t="s">
        <v>111</v>
      </c>
      <c r="C1129" s="1013" t="str">
        <f t="shared" si="210"/>
        <v xml:space="preserve"> </v>
      </c>
      <c r="D1129" s="1535">
        <v>1</v>
      </c>
      <c r="E1129" s="1044"/>
      <c r="F1129" s="1056" t="str">
        <f>VLOOKUP($B1129,DG!A:D,DG!$C$2,)</f>
        <v>Sứ chằng</v>
      </c>
      <c r="G1129" s="1044" t="str">
        <f>VLOOKUP($B1129,DG!A:D,DG!$D$2,)</f>
        <v>cái</v>
      </c>
      <c r="H1129" s="1823">
        <f t="shared" si="229"/>
        <v>0</v>
      </c>
      <c r="I1129" s="1823">
        <f t="shared" si="229"/>
        <v>0</v>
      </c>
      <c r="J1129" s="1823">
        <f t="shared" si="229"/>
        <v>0</v>
      </c>
      <c r="K1129" s="1823">
        <f t="shared" si="229"/>
        <v>0</v>
      </c>
      <c r="L1129" s="1823">
        <f t="shared" si="229"/>
        <v>0</v>
      </c>
      <c r="M1129" s="1823">
        <f t="shared" si="229"/>
        <v>0</v>
      </c>
      <c r="N1129" s="1823">
        <f t="shared" si="229"/>
        <v>0</v>
      </c>
      <c r="O1129" s="1823"/>
      <c r="P1129" s="1823"/>
      <c r="Q1129" s="1053"/>
      <c r="R1129" s="1053"/>
      <c r="S1129" s="1053"/>
      <c r="T1129" s="2035">
        <f t="shared" si="212"/>
        <v>0</v>
      </c>
    </row>
    <row r="1130" spans="1:20" ht="22.2" hidden="1" customHeight="1">
      <c r="A1130" s="59"/>
      <c r="B1130" s="1577" t="s">
        <v>1581</v>
      </c>
      <c r="C1130" s="1013" t="str">
        <f t="shared" si="210"/>
        <v xml:space="preserve"> </v>
      </c>
      <c r="D1130" s="1535">
        <v>8</v>
      </c>
      <c r="E1130" s="1044"/>
      <c r="F1130" s="1056" t="str">
        <f>VLOOKUP($B1130,DG!A:D,DG!$C$2,)</f>
        <v>Kẹp cáp 3 boulon</v>
      </c>
      <c r="G1130" s="1044" t="str">
        <f>VLOOKUP($B1130,DG!A:D,DG!$D$2,)</f>
        <v>cái</v>
      </c>
      <c r="H1130" s="1823">
        <f t="shared" si="229"/>
        <v>0</v>
      </c>
      <c r="I1130" s="1823">
        <f t="shared" si="229"/>
        <v>0</v>
      </c>
      <c r="J1130" s="1823">
        <f t="shared" si="229"/>
        <v>0</v>
      </c>
      <c r="K1130" s="1823">
        <f t="shared" si="229"/>
        <v>0</v>
      </c>
      <c r="L1130" s="1823">
        <f t="shared" si="229"/>
        <v>0</v>
      </c>
      <c r="M1130" s="1823">
        <f t="shared" si="229"/>
        <v>0</v>
      </c>
      <c r="N1130" s="1823">
        <f t="shared" si="229"/>
        <v>0</v>
      </c>
      <c r="O1130" s="1823"/>
      <c r="P1130" s="1823"/>
      <c r="Q1130" s="1053"/>
      <c r="R1130" s="1053"/>
      <c r="S1130" s="1053"/>
      <c r="T1130" s="2035">
        <f t="shared" ref="T1130:T1195" si="230">IFERROR(HLOOKUP(B1130,BangKeTru,3,0),0)</f>
        <v>0</v>
      </c>
    </row>
    <row r="1131" spans="1:20" ht="22.2" hidden="1" customHeight="1">
      <c r="A1131" s="59"/>
      <c r="B1131" s="1577" t="s">
        <v>275</v>
      </c>
      <c r="C1131" s="1013" t="str">
        <f t="shared" si="210"/>
        <v xml:space="preserve"> </v>
      </c>
      <c r="D1131" s="1535">
        <v>16</v>
      </c>
      <c r="E1131" s="1044"/>
      <c r="F1131" s="1056" t="str">
        <f>VLOOKUP($B1131,DG!A:D,DG!$C$2,)</f>
        <v>Cáp thép 3/8"</v>
      </c>
      <c r="G1131" s="1044" t="str">
        <f>VLOOKUP($B1131,DG!A:D,DG!$D$2,)</f>
        <v>kg</v>
      </c>
      <c r="H1131" s="1823">
        <f t="shared" si="229"/>
        <v>0</v>
      </c>
      <c r="I1131" s="1823">
        <f t="shared" si="229"/>
        <v>0</v>
      </c>
      <c r="J1131" s="1823">
        <f t="shared" si="229"/>
        <v>0</v>
      </c>
      <c r="K1131" s="1823">
        <f t="shared" si="229"/>
        <v>0</v>
      </c>
      <c r="L1131" s="1823">
        <f t="shared" si="229"/>
        <v>0</v>
      </c>
      <c r="M1131" s="1823">
        <f t="shared" si="229"/>
        <v>0</v>
      </c>
      <c r="N1131" s="1823">
        <f t="shared" si="229"/>
        <v>0</v>
      </c>
      <c r="O1131" s="1823"/>
      <c r="P1131" s="1823"/>
      <c r="Q1131" s="1053"/>
      <c r="R1131" s="1053"/>
      <c r="S1131" s="1053"/>
      <c r="T1131" s="2035">
        <f t="shared" si="230"/>
        <v>0</v>
      </c>
    </row>
    <row r="1132" spans="1:20" ht="22.2" hidden="1" customHeight="1">
      <c r="A1132" s="59"/>
      <c r="B1132" s="1577" t="s">
        <v>2004</v>
      </c>
      <c r="C1132" s="1013" t="str">
        <f t="shared" si="210"/>
        <v xml:space="preserve"> </v>
      </c>
      <c r="D1132" s="1535">
        <v>2</v>
      </c>
      <c r="E1132" s="1044"/>
      <c r="F1132" s="1056" t="str">
        <f>VLOOKUP($B1132,DG!A:D,DG!$C$2,)</f>
        <v>Yếm cáp dày 2mm</v>
      </c>
      <c r="G1132" s="1044" t="str">
        <f>VLOOKUP($B1132,DG!A:D,DG!$D$2,)</f>
        <v>cái</v>
      </c>
      <c r="H1132" s="1823">
        <f t="shared" si="229"/>
        <v>0</v>
      </c>
      <c r="I1132" s="1823">
        <f t="shared" si="229"/>
        <v>0</v>
      </c>
      <c r="J1132" s="1823">
        <f t="shared" si="229"/>
        <v>0</v>
      </c>
      <c r="K1132" s="1823">
        <f t="shared" si="229"/>
        <v>0</v>
      </c>
      <c r="L1132" s="1823">
        <f t="shared" si="229"/>
        <v>0</v>
      </c>
      <c r="M1132" s="1823">
        <f t="shared" si="229"/>
        <v>0</v>
      </c>
      <c r="N1132" s="1823">
        <f t="shared" si="229"/>
        <v>0</v>
      </c>
      <c r="O1132" s="1823"/>
      <c r="P1132" s="1823"/>
      <c r="Q1132" s="1053"/>
      <c r="R1132" s="1053"/>
      <c r="S1132" s="1053"/>
      <c r="T1132" s="2035">
        <f t="shared" si="230"/>
        <v>0</v>
      </c>
    </row>
    <row r="1133" spans="1:20" ht="22.2" hidden="1" customHeight="1">
      <c r="A1133" s="59"/>
      <c r="B1133" s="1577" t="s">
        <v>2005</v>
      </c>
      <c r="C1133" s="1013" t="str">
        <f t="shared" si="210"/>
        <v xml:space="preserve"> </v>
      </c>
      <c r="D1133" s="1535">
        <v>1</v>
      </c>
      <c r="E1133" s="1044"/>
      <c r="F1133" s="1056" t="str">
        <f>VLOOKUP($B1133,DG!A:D,DG!$C$2,)</f>
        <v>Máng che dây chằng dày 1,6mm</v>
      </c>
      <c r="G1133" s="1044" t="str">
        <f>VLOOKUP($B1133,DG!A:D,DG!$D$2,)</f>
        <v>cái</v>
      </c>
      <c r="H1133" s="1823">
        <f t="shared" si="229"/>
        <v>0</v>
      </c>
      <c r="I1133" s="1823">
        <f t="shared" si="229"/>
        <v>0</v>
      </c>
      <c r="J1133" s="1823">
        <f t="shared" si="229"/>
        <v>0</v>
      </c>
      <c r="K1133" s="1823">
        <f t="shared" si="229"/>
        <v>0</v>
      </c>
      <c r="L1133" s="1823">
        <f t="shared" si="229"/>
        <v>0</v>
      </c>
      <c r="M1133" s="1823">
        <f t="shared" si="229"/>
        <v>0</v>
      </c>
      <c r="N1133" s="1823">
        <f t="shared" si="229"/>
        <v>0</v>
      </c>
      <c r="O1133" s="1823"/>
      <c r="P1133" s="1823"/>
      <c r="Q1133" s="1053"/>
      <c r="R1133" s="1053"/>
      <c r="S1133" s="1053"/>
      <c r="T1133" s="2035">
        <f t="shared" si="230"/>
        <v>0</v>
      </c>
    </row>
    <row r="1134" spans="1:20" ht="22.2" hidden="1" customHeight="1">
      <c r="A1134" s="59"/>
      <c r="B1134" s="1577" t="s">
        <v>1922</v>
      </c>
      <c r="C1134" s="1013" t="str">
        <f t="shared" si="210"/>
        <v xml:space="preserve"> </v>
      </c>
      <c r="D1134" s="1535">
        <f>D1128</f>
        <v>1</v>
      </c>
      <c r="E1134" s="1044" t="str">
        <f>VLOOKUP($B1134,DG!A:D,DG!$B$2,)</f>
        <v>06.3241</v>
      </c>
      <c r="F1134" s="1049" t="str">
        <f>VLOOKUP($B1134,DG!A:D,DG!$C$2,)</f>
        <v>Lắp bộ dây néo</v>
      </c>
      <c r="G1134" s="1044" t="str">
        <f>VLOOKUP($B1134,DG!A:D,DG!$D$2,)</f>
        <v>bộ</v>
      </c>
      <c r="H1134" s="1823"/>
      <c r="I1134" s="1823"/>
      <c r="J1134" s="1823"/>
      <c r="K1134" s="1823"/>
      <c r="L1134" s="1823"/>
      <c r="M1134" s="1823"/>
      <c r="N1134" s="1823"/>
      <c r="O1134" s="1823"/>
      <c r="P1134" s="1823"/>
      <c r="Q1134" s="1058"/>
      <c r="R1134" s="1058"/>
      <c r="S1134" s="1058"/>
      <c r="T1134" s="2035">
        <f t="shared" si="230"/>
        <v>0</v>
      </c>
    </row>
    <row r="1135" spans="1:20" ht="22.2" hidden="1" customHeight="1">
      <c r="A1135" s="59"/>
      <c r="B1135" s="1588" t="s">
        <v>356</v>
      </c>
      <c r="C1135" s="1013" t="str">
        <f t="shared" si="210"/>
        <v xml:space="preserve"> </v>
      </c>
      <c r="D1135" s="1534">
        <v>0.02</v>
      </c>
      <c r="E1135" s="1044" t="str">
        <f>VLOOKUP($B1135,DG!A:C,2,)</f>
        <v>02.1421</v>
      </c>
      <c r="F1135" s="1049" t="str">
        <f>VLOOKUP($B1135,DG!A:C,3,)</f>
        <v>V/c phụ kiện vào vị trí (cự ly &lt;=100m)</v>
      </c>
      <c r="G1135" s="1044" t="str">
        <f>VLOOKUP($B1135,DG!A:D,4,0)</f>
        <v>tấn</v>
      </c>
      <c r="H1135" s="1823"/>
      <c r="I1135" s="1823"/>
      <c r="J1135" s="1823"/>
      <c r="K1135" s="1823"/>
      <c r="L1135" s="1823"/>
      <c r="M1135" s="1823"/>
      <c r="N1135" s="1823"/>
      <c r="O1135" s="1823"/>
      <c r="P1135" s="1823"/>
      <c r="Q1135" s="1058"/>
      <c r="R1135" s="1058"/>
      <c r="S1135" s="1058"/>
      <c r="T1135" s="2035">
        <f t="shared" si="230"/>
        <v>0</v>
      </c>
    </row>
    <row r="1136" spans="1:20" ht="22.2" hidden="1" customHeight="1">
      <c r="A1136" s="56" t="s">
        <v>836</v>
      </c>
      <c r="B1136" s="1574" t="s">
        <v>836</v>
      </c>
      <c r="C1136" s="1013" t="str">
        <f t="shared" si="210"/>
        <v xml:space="preserve"> </v>
      </c>
      <c r="D1136" s="1532"/>
      <c r="E1136" s="1045"/>
      <c r="F1136" s="1392" t="s">
        <v>2470</v>
      </c>
      <c r="G1136" s="1046" t="s">
        <v>2391</v>
      </c>
      <c r="H1136" s="1821">
        <f>SUM(I1136:O1136)</f>
        <v>0</v>
      </c>
      <c r="I1136" s="1822"/>
      <c r="J1136" s="1822"/>
      <c r="K1136" s="1822">
        <f>IFERROR(HLOOKUP(B1136,pp3p1m!$1:$3,3,0),0)</f>
        <v>0</v>
      </c>
      <c r="L1136" s="1822">
        <f>IFERROR(HLOOKUP(chitiet!B1136,pp1p!$1:$3,3,0),0)</f>
        <v>0</v>
      </c>
      <c r="M1136" s="1822"/>
      <c r="N1136" s="1822"/>
      <c r="O1136" s="1822"/>
      <c r="P1136" s="1822">
        <f>H1136+Q1136-R1136</f>
        <v>0</v>
      </c>
      <c r="Q1136" s="1047"/>
      <c r="R1136" s="1047"/>
      <c r="S1136" s="1047"/>
      <c r="T1136" s="2035">
        <f>IFERROR(HLOOKUP(B1136,pp1p!$1:$3,3,0),0)+IFERROR(HLOOKUP(B1136,pp3p1m!$1:$3,3,0),0)</f>
        <v>0</v>
      </c>
    </row>
    <row r="1137" spans="1:20" ht="22.2" hidden="1" customHeight="1">
      <c r="A1137" s="59"/>
      <c r="B1137" s="1577" t="s">
        <v>417</v>
      </c>
      <c r="C1137" s="1013" t="str">
        <f t="shared" si="210"/>
        <v xml:space="preserve"> </v>
      </c>
      <c r="D1137" s="1535">
        <v>1</v>
      </c>
      <c r="E1137" s="1044"/>
      <c r="F1137" s="1056" t="str">
        <f>VLOOKUP($B1137,DG!A:D,DG!$C$2,)</f>
        <v>Boulon mắt 16x300+ 2 long đền vuông D18-50x50x3/Zn</v>
      </c>
      <c r="G1137" s="1044" t="str">
        <f>VLOOKUP($B1137,DG!A:D,DG!$D$2,)</f>
        <v>bộ</v>
      </c>
      <c r="H1137" s="1823">
        <f t="shared" ref="H1137:N1143" si="231">H$1136*$D1137</f>
        <v>0</v>
      </c>
      <c r="I1137" s="1823">
        <f t="shared" si="231"/>
        <v>0</v>
      </c>
      <c r="J1137" s="1823">
        <f t="shared" si="231"/>
        <v>0</v>
      </c>
      <c r="K1137" s="1823">
        <f t="shared" si="231"/>
        <v>0</v>
      </c>
      <c r="L1137" s="1823">
        <f t="shared" si="231"/>
        <v>0</v>
      </c>
      <c r="M1137" s="1823">
        <f t="shared" si="231"/>
        <v>0</v>
      </c>
      <c r="N1137" s="1823">
        <f t="shared" si="231"/>
        <v>0</v>
      </c>
      <c r="O1137" s="1823"/>
      <c r="P1137" s="1823"/>
      <c r="Q1137" s="1053"/>
      <c r="R1137" s="1053"/>
      <c r="S1137" s="1053"/>
      <c r="T1137" s="2035">
        <f t="shared" si="230"/>
        <v>0</v>
      </c>
    </row>
    <row r="1138" spans="1:20" ht="22.2" hidden="1" customHeight="1">
      <c r="A1138" s="59"/>
      <c r="B1138" s="1577" t="s">
        <v>111</v>
      </c>
      <c r="C1138" s="1013" t="str">
        <f t="shared" ref="C1138:C1203" si="232">IF(OR(P1138&lt;&gt;0,H1138&lt;&gt;0),"x"," ")</f>
        <v xml:space="preserve"> </v>
      </c>
      <c r="D1138" s="1535">
        <v>1</v>
      </c>
      <c r="E1138" s="1044"/>
      <c r="F1138" s="1056" t="str">
        <f>VLOOKUP($B1138,DG!A:D,DG!$C$2,)</f>
        <v>Sứ chằng</v>
      </c>
      <c r="G1138" s="1044" t="str">
        <f>VLOOKUP($B1138,DG!A:D,DG!$D$2,)</f>
        <v>cái</v>
      </c>
      <c r="H1138" s="1823">
        <f t="shared" si="231"/>
        <v>0</v>
      </c>
      <c r="I1138" s="1823">
        <f t="shared" si="231"/>
        <v>0</v>
      </c>
      <c r="J1138" s="1823">
        <f t="shared" si="231"/>
        <v>0</v>
      </c>
      <c r="K1138" s="1823">
        <f t="shared" si="231"/>
        <v>0</v>
      </c>
      <c r="L1138" s="1823">
        <f t="shared" si="231"/>
        <v>0</v>
      </c>
      <c r="M1138" s="1823">
        <f t="shared" si="231"/>
        <v>0</v>
      </c>
      <c r="N1138" s="1823">
        <f t="shared" si="231"/>
        <v>0</v>
      </c>
      <c r="O1138" s="1823"/>
      <c r="P1138" s="1823"/>
      <c r="Q1138" s="1053"/>
      <c r="R1138" s="1053"/>
      <c r="S1138" s="1053"/>
      <c r="T1138" s="2035">
        <f t="shared" si="230"/>
        <v>0</v>
      </c>
    </row>
    <row r="1139" spans="1:20" ht="22.2" hidden="1" customHeight="1">
      <c r="A1139" s="59"/>
      <c r="B1139" s="1577" t="s">
        <v>1581</v>
      </c>
      <c r="C1139" s="1013" t="str">
        <f t="shared" si="232"/>
        <v xml:space="preserve"> </v>
      </c>
      <c r="D1139" s="1535">
        <v>8</v>
      </c>
      <c r="E1139" s="1044"/>
      <c r="F1139" s="1056" t="str">
        <f>VLOOKUP($B1139,DG!A:D,DG!$C$2,)</f>
        <v>Kẹp cáp 3 boulon</v>
      </c>
      <c r="G1139" s="1044" t="str">
        <f>VLOOKUP($B1139,DG!A:D,DG!$D$2,)</f>
        <v>cái</v>
      </c>
      <c r="H1139" s="1823">
        <f t="shared" si="231"/>
        <v>0</v>
      </c>
      <c r="I1139" s="1823">
        <f t="shared" si="231"/>
        <v>0</v>
      </c>
      <c r="J1139" s="1823">
        <f t="shared" si="231"/>
        <v>0</v>
      </c>
      <c r="K1139" s="1823">
        <f t="shared" si="231"/>
        <v>0</v>
      </c>
      <c r="L1139" s="1823">
        <f t="shared" si="231"/>
        <v>0</v>
      </c>
      <c r="M1139" s="1823">
        <f t="shared" si="231"/>
        <v>0</v>
      </c>
      <c r="N1139" s="1823">
        <f t="shared" si="231"/>
        <v>0</v>
      </c>
      <c r="O1139" s="1823"/>
      <c r="P1139" s="1823"/>
      <c r="Q1139" s="1053"/>
      <c r="R1139" s="1053"/>
      <c r="S1139" s="1053"/>
      <c r="T1139" s="2035">
        <f t="shared" si="230"/>
        <v>0</v>
      </c>
    </row>
    <row r="1140" spans="1:20" ht="22.2" hidden="1" customHeight="1">
      <c r="A1140" s="59"/>
      <c r="B1140" s="1577" t="s">
        <v>275</v>
      </c>
      <c r="C1140" s="1013" t="str">
        <f t="shared" si="232"/>
        <v xml:space="preserve"> </v>
      </c>
      <c r="D1140" s="1535">
        <v>11</v>
      </c>
      <c r="E1140" s="1044"/>
      <c r="F1140" s="1056" t="str">
        <f>VLOOKUP($B1140,DG!A:D,DG!$C$2,)</f>
        <v>Cáp thép 3/8"</v>
      </c>
      <c r="G1140" s="1044" t="str">
        <f>VLOOKUP($B1140,DG!A:D,DG!$D$2,)</f>
        <v>kg</v>
      </c>
      <c r="H1140" s="1823">
        <f t="shared" si="231"/>
        <v>0</v>
      </c>
      <c r="I1140" s="1823">
        <f t="shared" si="231"/>
        <v>0</v>
      </c>
      <c r="J1140" s="1823">
        <f t="shared" si="231"/>
        <v>0</v>
      </c>
      <c r="K1140" s="1823">
        <f t="shared" si="231"/>
        <v>0</v>
      </c>
      <c r="L1140" s="1823">
        <f t="shared" si="231"/>
        <v>0</v>
      </c>
      <c r="M1140" s="1823">
        <f t="shared" si="231"/>
        <v>0</v>
      </c>
      <c r="N1140" s="1823">
        <f t="shared" si="231"/>
        <v>0</v>
      </c>
      <c r="O1140" s="1823"/>
      <c r="P1140" s="1823"/>
      <c r="Q1140" s="1053"/>
      <c r="R1140" s="1053"/>
      <c r="S1140" s="1053"/>
      <c r="T1140" s="2035">
        <f t="shared" si="230"/>
        <v>0</v>
      </c>
    </row>
    <row r="1141" spans="1:20" ht="22.2" hidden="1" customHeight="1">
      <c r="A1141" s="59"/>
      <c r="B1141" s="1577" t="s">
        <v>607</v>
      </c>
      <c r="C1141" s="1013" t="str">
        <f t="shared" si="232"/>
        <v xml:space="preserve"> </v>
      </c>
      <c r="D1141" s="1535">
        <v>1</v>
      </c>
      <c r="E1141" s="1044"/>
      <c r="F1141" s="1056" t="str">
        <f>VLOOKUP($B1141,DG!A:D,DG!$C$2,)</f>
        <v>Bộ chống chằng hẹp Ø60/50x1500+2BL12x40+BL16x250/80</v>
      </c>
      <c r="G1141" s="1044" t="str">
        <f>VLOOKUP($B1141,DG!A:D,DG!$D$2,)</f>
        <v>bộ</v>
      </c>
      <c r="H1141" s="1823">
        <f t="shared" si="231"/>
        <v>0</v>
      </c>
      <c r="I1141" s="1823">
        <f t="shared" si="231"/>
        <v>0</v>
      </c>
      <c r="J1141" s="1823">
        <f t="shared" si="231"/>
        <v>0</v>
      </c>
      <c r="K1141" s="1823">
        <f t="shared" si="231"/>
        <v>0</v>
      </c>
      <c r="L1141" s="1823">
        <f t="shared" si="231"/>
        <v>0</v>
      </c>
      <c r="M1141" s="1823">
        <f t="shared" si="231"/>
        <v>0</v>
      </c>
      <c r="N1141" s="1823">
        <f t="shared" si="231"/>
        <v>0</v>
      </c>
      <c r="O1141" s="1823"/>
      <c r="P1141" s="1823"/>
      <c r="Q1141" s="1053"/>
      <c r="R1141" s="1053"/>
      <c r="S1141" s="1053"/>
      <c r="T1141" s="2035">
        <f t="shared" si="230"/>
        <v>0</v>
      </c>
    </row>
    <row r="1142" spans="1:20" ht="22.2" hidden="1" customHeight="1">
      <c r="A1142" s="59"/>
      <c r="B1142" s="1577" t="s">
        <v>2004</v>
      </c>
      <c r="C1142" s="1013" t="str">
        <f t="shared" si="232"/>
        <v xml:space="preserve"> </v>
      </c>
      <c r="D1142" s="1535">
        <v>2</v>
      </c>
      <c r="E1142" s="1044"/>
      <c r="F1142" s="1056" t="str">
        <f>VLOOKUP($B1142,DG!A:D,DG!$C$2,)</f>
        <v>Yếm cáp dày 2mm</v>
      </c>
      <c r="G1142" s="1044" t="str">
        <f>VLOOKUP($B1142,DG!A:D,DG!$D$2,)</f>
        <v>cái</v>
      </c>
      <c r="H1142" s="1823">
        <f t="shared" si="231"/>
        <v>0</v>
      </c>
      <c r="I1142" s="1823">
        <f t="shared" si="231"/>
        <v>0</v>
      </c>
      <c r="J1142" s="1823">
        <f t="shared" si="231"/>
        <v>0</v>
      </c>
      <c r="K1142" s="1823">
        <f t="shared" si="231"/>
        <v>0</v>
      </c>
      <c r="L1142" s="1823">
        <f t="shared" si="231"/>
        <v>0</v>
      </c>
      <c r="M1142" s="1823">
        <f t="shared" si="231"/>
        <v>0</v>
      </c>
      <c r="N1142" s="1823">
        <f t="shared" si="231"/>
        <v>0</v>
      </c>
      <c r="O1142" s="1823"/>
      <c r="P1142" s="1823"/>
      <c r="Q1142" s="1053"/>
      <c r="R1142" s="1053"/>
      <c r="S1142" s="1053"/>
      <c r="T1142" s="2035">
        <f t="shared" si="230"/>
        <v>0</v>
      </c>
    </row>
    <row r="1143" spans="1:20" ht="22.2" hidden="1" customHeight="1">
      <c r="A1143" s="59"/>
      <c r="B1143" s="1577" t="s">
        <v>2005</v>
      </c>
      <c r="C1143" s="1013" t="str">
        <f t="shared" si="232"/>
        <v xml:space="preserve"> </v>
      </c>
      <c r="D1143" s="1535">
        <v>1</v>
      </c>
      <c r="E1143" s="1044"/>
      <c r="F1143" s="1056" t="str">
        <f>VLOOKUP($B1143,DG!A:D,DG!$C$2,)</f>
        <v>Máng che dây chằng dày 1,6mm</v>
      </c>
      <c r="G1143" s="1044" t="str">
        <f>VLOOKUP($B1143,DG!A:D,DG!$D$2,)</f>
        <v>cái</v>
      </c>
      <c r="H1143" s="1823">
        <f t="shared" si="231"/>
        <v>0</v>
      </c>
      <c r="I1143" s="1823">
        <f t="shared" si="231"/>
        <v>0</v>
      </c>
      <c r="J1143" s="1823">
        <f t="shared" si="231"/>
        <v>0</v>
      </c>
      <c r="K1143" s="1823">
        <f t="shared" si="231"/>
        <v>0</v>
      </c>
      <c r="L1143" s="1823">
        <f t="shared" si="231"/>
        <v>0</v>
      </c>
      <c r="M1143" s="1823">
        <f t="shared" si="231"/>
        <v>0</v>
      </c>
      <c r="N1143" s="1823">
        <f t="shared" si="231"/>
        <v>0</v>
      </c>
      <c r="O1143" s="1823"/>
      <c r="P1143" s="1823"/>
      <c r="Q1143" s="1053"/>
      <c r="R1143" s="1053"/>
      <c r="S1143" s="1053"/>
      <c r="T1143" s="2035">
        <f t="shared" si="230"/>
        <v>0</v>
      </c>
    </row>
    <row r="1144" spans="1:20" ht="22.2" hidden="1" customHeight="1">
      <c r="A1144" s="59"/>
      <c r="B1144" s="1577" t="s">
        <v>1922</v>
      </c>
      <c r="C1144" s="1013" t="str">
        <f t="shared" si="232"/>
        <v xml:space="preserve"> </v>
      </c>
      <c r="D1144" s="1535">
        <f>D1137</f>
        <v>1</v>
      </c>
      <c r="E1144" s="1044" t="str">
        <f>VLOOKUP($B1144,DG!A:D,DG!$B$2,)</f>
        <v>06.3241</v>
      </c>
      <c r="F1144" s="1049" t="str">
        <f>VLOOKUP($B1144,DG!A:D,DG!$C$2,)</f>
        <v>Lắp bộ dây néo</v>
      </c>
      <c r="G1144" s="1044" t="str">
        <f>VLOOKUP($B1144,DG!A:D,DG!$D$2,)</f>
        <v>bộ</v>
      </c>
      <c r="H1144" s="1823"/>
      <c r="I1144" s="1823"/>
      <c r="J1144" s="1823"/>
      <c r="K1144" s="1823"/>
      <c r="L1144" s="1823"/>
      <c r="M1144" s="1823"/>
      <c r="N1144" s="1823"/>
      <c r="O1144" s="1823"/>
      <c r="P1144" s="1823"/>
      <c r="Q1144" s="1058"/>
      <c r="R1144" s="1058"/>
      <c r="S1144" s="1058"/>
      <c r="T1144" s="2035">
        <f t="shared" si="230"/>
        <v>0</v>
      </c>
    </row>
    <row r="1145" spans="1:20" ht="22.2" hidden="1" customHeight="1">
      <c r="A1145" s="59"/>
      <c r="B1145" s="1577" t="s">
        <v>1910</v>
      </c>
      <c r="C1145" s="1013" t="str">
        <f t="shared" si="232"/>
        <v xml:space="preserve"> </v>
      </c>
      <c r="D1145" s="1535">
        <f>D1134</f>
        <v>1</v>
      </c>
      <c r="E1145" s="1044" t="str">
        <f>VLOOKUP($B1145,DG!A:D,DG!$B$2,)</f>
        <v>05.6011</v>
      </c>
      <c r="F1145" s="1049" t="str">
        <f>VLOOKUP($B1145,DG!A:D,DG!$C$2,)</f>
        <v>Lắp bộ chống lệch</v>
      </c>
      <c r="G1145" s="1044" t="str">
        <f>VLOOKUP($B1145,DG!A:D,DG!$D$2,)</f>
        <v>bộ</v>
      </c>
      <c r="H1145" s="1823"/>
      <c r="I1145" s="1823"/>
      <c r="J1145" s="1823"/>
      <c r="K1145" s="1823"/>
      <c r="L1145" s="1823"/>
      <c r="M1145" s="1823"/>
      <c r="N1145" s="1823"/>
      <c r="O1145" s="1823"/>
      <c r="P1145" s="1823"/>
      <c r="Q1145" s="1058"/>
      <c r="R1145" s="1058"/>
      <c r="S1145" s="1058"/>
      <c r="T1145" s="2035">
        <f t="shared" si="230"/>
        <v>0</v>
      </c>
    </row>
    <row r="1146" spans="1:20" ht="22.2" hidden="1" customHeight="1">
      <c r="A1146" s="59"/>
      <c r="B1146" s="1588" t="s">
        <v>356</v>
      </c>
      <c r="C1146" s="1013" t="str">
        <f t="shared" si="232"/>
        <v xml:space="preserve"> </v>
      </c>
      <c r="D1146" s="1534">
        <v>0.02</v>
      </c>
      <c r="E1146" s="1044" t="str">
        <f>VLOOKUP($B1146,DG!A:C,2,)</f>
        <v>02.1421</v>
      </c>
      <c r="F1146" s="1049" t="str">
        <f>VLOOKUP($B1146,DG!A:C,3,)</f>
        <v>V/c phụ kiện vào vị trí (cự ly &lt;=100m)</v>
      </c>
      <c r="G1146" s="1044" t="str">
        <f>VLOOKUP($B1146,DG!A:D,4,0)</f>
        <v>tấn</v>
      </c>
      <c r="H1146" s="1823"/>
      <c r="I1146" s="1823"/>
      <c r="J1146" s="1823"/>
      <c r="K1146" s="1823"/>
      <c r="L1146" s="1823"/>
      <c r="M1146" s="1823"/>
      <c r="N1146" s="1823"/>
      <c r="O1146" s="1823"/>
      <c r="P1146" s="1823"/>
      <c r="Q1146" s="1058"/>
      <c r="R1146" s="1058"/>
      <c r="S1146" s="1058"/>
      <c r="T1146" s="2035">
        <f t="shared" si="230"/>
        <v>0</v>
      </c>
    </row>
    <row r="1147" spans="1:20" ht="22.2" hidden="1" customHeight="1">
      <c r="A1147" s="56" t="s">
        <v>837</v>
      </c>
      <c r="B1147" s="1574" t="s">
        <v>837</v>
      </c>
      <c r="C1147" s="1013" t="str">
        <f t="shared" si="232"/>
        <v xml:space="preserve"> </v>
      </c>
      <c r="D1147" s="1532"/>
      <c r="E1147" s="1045"/>
      <c r="F1147" s="1392" t="s">
        <v>2471</v>
      </c>
      <c r="G1147" s="1046" t="s">
        <v>2391</v>
      </c>
      <c r="H1147" s="1821">
        <f>SUM(I1147:O1147)</f>
        <v>0</v>
      </c>
      <c r="I1147" s="1822"/>
      <c r="J1147" s="1822"/>
      <c r="K1147" s="1822">
        <f>IFERROR(HLOOKUP(B1147,pp3p1m!$1:$3,3,0),0)</f>
        <v>0</v>
      </c>
      <c r="L1147" s="1822">
        <f>IFERROR(HLOOKUP(chitiet!B1147,pp1p!$1:$3,3,0),0)</f>
        <v>0</v>
      </c>
      <c r="M1147" s="1822"/>
      <c r="N1147" s="1822"/>
      <c r="O1147" s="1822"/>
      <c r="P1147" s="1822">
        <f>H1147+Q1147-R1147</f>
        <v>0</v>
      </c>
      <c r="Q1147" s="1047"/>
      <c r="R1147" s="1047"/>
      <c r="S1147" s="1047"/>
      <c r="T1147" s="2035">
        <f>IFERROR(HLOOKUP(B1147,pp1p!$1:$3,3,0),0)+IFERROR(HLOOKUP(B1147,pp3p1m!$1:$3,3,0),0)</f>
        <v>0</v>
      </c>
    </row>
    <row r="1148" spans="1:20" ht="22.2" hidden="1" customHeight="1">
      <c r="A1148" s="59"/>
      <c r="B1148" s="1577" t="s">
        <v>1061</v>
      </c>
      <c r="C1148" s="1013" t="str">
        <f t="shared" si="232"/>
        <v xml:space="preserve"> </v>
      </c>
      <c r="D1148" s="1535">
        <v>2</v>
      </c>
      <c r="E1148" s="1044"/>
      <c r="F1148" s="1056" t="str">
        <f>VLOOKUP($B1148,DG!A:D,DG!$C$2,)</f>
        <v>Boulon mắt 16x250+ 2 long đền vuông D18-50x50x3/Zn</v>
      </c>
      <c r="G1148" s="1044" t="str">
        <f>VLOOKUP($B1148,DG!A:D,DG!$D$2,)</f>
        <v>bộ</v>
      </c>
      <c r="H1148" s="1823">
        <f t="shared" ref="H1148:N1153" si="233">H$1147*$D1148</f>
        <v>0</v>
      </c>
      <c r="I1148" s="1823">
        <f t="shared" si="233"/>
        <v>0</v>
      </c>
      <c r="J1148" s="1823">
        <f t="shared" si="233"/>
        <v>0</v>
      </c>
      <c r="K1148" s="1823">
        <f t="shared" si="233"/>
        <v>0</v>
      </c>
      <c r="L1148" s="1823">
        <f t="shared" si="233"/>
        <v>0</v>
      </c>
      <c r="M1148" s="1823">
        <f t="shared" si="233"/>
        <v>0</v>
      </c>
      <c r="N1148" s="1823">
        <f t="shared" si="233"/>
        <v>0</v>
      </c>
      <c r="O1148" s="1823"/>
      <c r="P1148" s="1823"/>
      <c r="Q1148" s="1053"/>
      <c r="R1148" s="1053"/>
      <c r="S1148" s="1053"/>
      <c r="T1148" s="2035">
        <f t="shared" si="230"/>
        <v>0</v>
      </c>
    </row>
    <row r="1149" spans="1:20" ht="22.2" hidden="1" customHeight="1">
      <c r="A1149" s="59"/>
      <c r="B1149" s="1577" t="s">
        <v>111</v>
      </c>
      <c r="C1149" s="1013" t="str">
        <f t="shared" si="232"/>
        <v xml:space="preserve"> </v>
      </c>
      <c r="D1149" s="1535">
        <v>2</v>
      </c>
      <c r="E1149" s="1044"/>
      <c r="F1149" s="1056" t="str">
        <f>VLOOKUP($B1149,DG!A:D,DG!$C$2,)</f>
        <v>Sứ chằng</v>
      </c>
      <c r="G1149" s="1044" t="str">
        <f>VLOOKUP($B1149,DG!A:D,DG!$D$2,)</f>
        <v>cái</v>
      </c>
      <c r="H1149" s="1823">
        <f t="shared" si="233"/>
        <v>0</v>
      </c>
      <c r="I1149" s="1823">
        <f t="shared" si="233"/>
        <v>0</v>
      </c>
      <c r="J1149" s="1823">
        <f t="shared" si="233"/>
        <v>0</v>
      </c>
      <c r="K1149" s="1823">
        <f t="shared" si="233"/>
        <v>0</v>
      </c>
      <c r="L1149" s="1823">
        <f t="shared" si="233"/>
        <v>0</v>
      </c>
      <c r="M1149" s="1823">
        <f t="shared" si="233"/>
        <v>0</v>
      </c>
      <c r="N1149" s="1823">
        <f t="shared" si="233"/>
        <v>0</v>
      </c>
      <c r="O1149" s="1823"/>
      <c r="P1149" s="1823"/>
      <c r="Q1149" s="1053"/>
      <c r="R1149" s="1053"/>
      <c r="S1149" s="1053"/>
      <c r="T1149" s="2035">
        <f t="shared" si="230"/>
        <v>0</v>
      </c>
    </row>
    <row r="1150" spans="1:20" ht="22.2" hidden="1" customHeight="1">
      <c r="A1150" s="59"/>
      <c r="B1150" s="1577" t="s">
        <v>1581</v>
      </c>
      <c r="C1150" s="1013" t="str">
        <f t="shared" si="232"/>
        <v xml:space="preserve"> </v>
      </c>
      <c r="D1150" s="1535">
        <v>16</v>
      </c>
      <c r="E1150" s="1044"/>
      <c r="F1150" s="1056" t="str">
        <f>VLOOKUP($B1150,DG!A:D,DG!$C$2,)</f>
        <v>Kẹp cáp 3 boulon</v>
      </c>
      <c r="G1150" s="1044" t="str">
        <f>VLOOKUP($B1150,DG!A:D,DG!$D$2,)</f>
        <v>cái</v>
      </c>
      <c r="H1150" s="1823">
        <f t="shared" si="233"/>
        <v>0</v>
      </c>
      <c r="I1150" s="1823">
        <f t="shared" si="233"/>
        <v>0</v>
      </c>
      <c r="J1150" s="1823">
        <f t="shared" si="233"/>
        <v>0</v>
      </c>
      <c r="K1150" s="1823">
        <f t="shared" si="233"/>
        <v>0</v>
      </c>
      <c r="L1150" s="1823">
        <f t="shared" si="233"/>
        <v>0</v>
      </c>
      <c r="M1150" s="1823">
        <f t="shared" si="233"/>
        <v>0</v>
      </c>
      <c r="N1150" s="1823">
        <f t="shared" si="233"/>
        <v>0</v>
      </c>
      <c r="O1150" s="1823"/>
      <c r="P1150" s="1823"/>
      <c r="Q1150" s="1053"/>
      <c r="R1150" s="1053"/>
      <c r="S1150" s="1053"/>
      <c r="T1150" s="2035">
        <f t="shared" si="230"/>
        <v>0</v>
      </c>
    </row>
    <row r="1151" spans="1:20" ht="22.2" hidden="1" customHeight="1">
      <c r="A1151" s="59"/>
      <c r="B1151" s="1577" t="s">
        <v>275</v>
      </c>
      <c r="C1151" s="1013" t="str">
        <f t="shared" si="232"/>
        <v xml:space="preserve"> </v>
      </c>
      <c r="D1151" s="1535">
        <v>31</v>
      </c>
      <c r="E1151" s="1044"/>
      <c r="F1151" s="1056" t="str">
        <f>VLOOKUP($B1151,DG!A:D,DG!$C$2,)</f>
        <v>Cáp thép 3/8"</v>
      </c>
      <c r="G1151" s="1044" t="str">
        <f>VLOOKUP($B1151,DG!A:D,DG!$D$2,)</f>
        <v>kg</v>
      </c>
      <c r="H1151" s="1823">
        <f t="shared" si="233"/>
        <v>0</v>
      </c>
      <c r="I1151" s="1823">
        <f t="shared" si="233"/>
        <v>0</v>
      </c>
      <c r="J1151" s="1823">
        <f t="shared" si="233"/>
        <v>0</v>
      </c>
      <c r="K1151" s="1823">
        <f t="shared" si="233"/>
        <v>0</v>
      </c>
      <c r="L1151" s="1823">
        <f t="shared" si="233"/>
        <v>0</v>
      </c>
      <c r="M1151" s="1823">
        <f t="shared" si="233"/>
        <v>0</v>
      </c>
      <c r="N1151" s="1823">
        <f t="shared" si="233"/>
        <v>0</v>
      </c>
      <c r="O1151" s="1823"/>
      <c r="P1151" s="1823"/>
      <c r="Q1151" s="1053"/>
      <c r="R1151" s="1053"/>
      <c r="S1151" s="1053"/>
      <c r="T1151" s="2035">
        <f t="shared" si="230"/>
        <v>0</v>
      </c>
    </row>
    <row r="1152" spans="1:20" ht="22.2" hidden="1" customHeight="1">
      <c r="A1152" s="59"/>
      <c r="B1152" s="1577" t="s">
        <v>2004</v>
      </c>
      <c r="C1152" s="1013" t="str">
        <f t="shared" si="232"/>
        <v xml:space="preserve"> </v>
      </c>
      <c r="D1152" s="1535">
        <v>4</v>
      </c>
      <c r="E1152" s="1044"/>
      <c r="F1152" s="1056" t="str">
        <f>VLOOKUP($B1152,DG!A:D,DG!$C$2,)</f>
        <v>Yếm cáp dày 2mm</v>
      </c>
      <c r="G1152" s="1044" t="str">
        <f>VLOOKUP($B1152,DG!A:D,DG!$D$2,)</f>
        <v>cái</v>
      </c>
      <c r="H1152" s="1823">
        <f t="shared" si="233"/>
        <v>0</v>
      </c>
      <c r="I1152" s="1823">
        <f t="shared" si="233"/>
        <v>0</v>
      </c>
      <c r="J1152" s="1823">
        <f t="shared" si="233"/>
        <v>0</v>
      </c>
      <c r="K1152" s="1823">
        <f t="shared" si="233"/>
        <v>0</v>
      </c>
      <c r="L1152" s="1823">
        <f t="shared" si="233"/>
        <v>0</v>
      </c>
      <c r="M1152" s="1823">
        <f t="shared" si="233"/>
        <v>0</v>
      </c>
      <c r="N1152" s="1823">
        <f t="shared" si="233"/>
        <v>0</v>
      </c>
      <c r="O1152" s="1823"/>
      <c r="P1152" s="1823"/>
      <c r="Q1152" s="1053"/>
      <c r="R1152" s="1053"/>
      <c r="S1152" s="1053"/>
      <c r="T1152" s="2035">
        <f t="shared" si="230"/>
        <v>0</v>
      </c>
    </row>
    <row r="1153" spans="1:20" ht="22.2" hidden="1" customHeight="1">
      <c r="A1153" s="59"/>
      <c r="B1153" s="1577" t="s">
        <v>2005</v>
      </c>
      <c r="C1153" s="1013" t="str">
        <f t="shared" si="232"/>
        <v xml:space="preserve"> </v>
      </c>
      <c r="D1153" s="1535">
        <v>2</v>
      </c>
      <c r="E1153" s="1044"/>
      <c r="F1153" s="1056" t="str">
        <f>VLOOKUP($B1153,DG!A:D,DG!$C$2,)</f>
        <v>Máng che dây chằng dày 1,6mm</v>
      </c>
      <c r="G1153" s="1044" t="str">
        <f>VLOOKUP($B1153,DG!A:D,DG!$D$2,)</f>
        <v>cái</v>
      </c>
      <c r="H1153" s="1823">
        <f t="shared" si="233"/>
        <v>0</v>
      </c>
      <c r="I1153" s="1823">
        <f t="shared" si="233"/>
        <v>0</v>
      </c>
      <c r="J1153" s="1823">
        <f t="shared" si="233"/>
        <v>0</v>
      </c>
      <c r="K1153" s="1823">
        <f t="shared" si="233"/>
        <v>0</v>
      </c>
      <c r="L1153" s="1823">
        <f t="shared" si="233"/>
        <v>0</v>
      </c>
      <c r="M1153" s="1823">
        <f t="shared" si="233"/>
        <v>0</v>
      </c>
      <c r="N1153" s="1823">
        <f t="shared" si="233"/>
        <v>0</v>
      </c>
      <c r="O1153" s="1823"/>
      <c r="P1153" s="1823"/>
      <c r="Q1153" s="1053"/>
      <c r="R1153" s="1053"/>
      <c r="S1153" s="1053"/>
      <c r="T1153" s="2035">
        <f t="shared" si="230"/>
        <v>0</v>
      </c>
    </row>
    <row r="1154" spans="1:20" ht="22.2" hidden="1" customHeight="1">
      <c r="A1154" s="59"/>
      <c r="B1154" s="1577" t="s">
        <v>1922</v>
      </c>
      <c r="C1154" s="1013" t="str">
        <f t="shared" si="232"/>
        <v xml:space="preserve"> </v>
      </c>
      <c r="D1154" s="1535">
        <f>D1148</f>
        <v>2</v>
      </c>
      <c r="E1154" s="1044" t="str">
        <f>VLOOKUP($B1154,DG!A:D,DG!$B$2,)</f>
        <v>06.3241</v>
      </c>
      <c r="F1154" s="1049" t="str">
        <f>VLOOKUP($B1154,DG!A:D,DG!$C$2,)</f>
        <v>Lắp bộ dây néo</v>
      </c>
      <c r="G1154" s="1044" t="str">
        <f>VLOOKUP($B1154,DG!A:D,DG!$D$2,)</f>
        <v>bộ</v>
      </c>
      <c r="H1154" s="1823"/>
      <c r="I1154" s="1823"/>
      <c r="J1154" s="1823"/>
      <c r="K1154" s="1823"/>
      <c r="L1154" s="1823"/>
      <c r="M1154" s="1823"/>
      <c r="N1154" s="1823"/>
      <c r="O1154" s="1823"/>
      <c r="P1154" s="1823"/>
      <c r="Q1154" s="1058"/>
      <c r="R1154" s="1058"/>
      <c r="S1154" s="1058"/>
      <c r="T1154" s="2035">
        <f t="shared" si="230"/>
        <v>0</v>
      </c>
    </row>
    <row r="1155" spans="1:20" ht="22.2" hidden="1" customHeight="1">
      <c r="A1155" s="59"/>
      <c r="B1155" s="1588" t="s">
        <v>356</v>
      </c>
      <c r="C1155" s="1013" t="str">
        <f t="shared" si="232"/>
        <v xml:space="preserve"> </v>
      </c>
      <c r="D1155" s="1534">
        <v>0.02</v>
      </c>
      <c r="E1155" s="1044" t="str">
        <f>VLOOKUP($B1155,DG!A:C,2,)</f>
        <v>02.1421</v>
      </c>
      <c r="F1155" s="1049" t="str">
        <f>VLOOKUP($B1155,DG!A:C,3,)</f>
        <v>V/c phụ kiện vào vị trí (cự ly &lt;=100m)</v>
      </c>
      <c r="G1155" s="1044" t="str">
        <f>VLOOKUP($B1155,DG!A:D,4,0)</f>
        <v>tấn</v>
      </c>
      <c r="H1155" s="1823"/>
      <c r="I1155" s="1823"/>
      <c r="J1155" s="1823"/>
      <c r="K1155" s="1823"/>
      <c r="L1155" s="1823"/>
      <c r="M1155" s="1823"/>
      <c r="N1155" s="1823"/>
      <c r="O1155" s="1823"/>
      <c r="P1155" s="1823"/>
      <c r="Q1155" s="1058"/>
      <c r="R1155" s="1058"/>
      <c r="S1155" s="1058"/>
      <c r="T1155" s="2035">
        <f t="shared" si="230"/>
        <v>0</v>
      </c>
    </row>
    <row r="1156" spans="1:20" ht="22.2" hidden="1" customHeight="1">
      <c r="A1156" s="56" t="s">
        <v>1273</v>
      </c>
      <c r="B1156" s="1574" t="s">
        <v>1273</v>
      </c>
      <c r="C1156" s="1013" t="str">
        <f t="shared" si="232"/>
        <v xml:space="preserve"> </v>
      </c>
      <c r="D1156" s="1532"/>
      <c r="E1156" s="1045"/>
      <c r="F1156" s="1392" t="s">
        <v>2472</v>
      </c>
      <c r="G1156" s="1046" t="s">
        <v>2391</v>
      </c>
      <c r="H1156" s="1821">
        <f>SUM(I1156:O1156)</f>
        <v>0</v>
      </c>
      <c r="I1156" s="1822"/>
      <c r="J1156" s="1822"/>
      <c r="K1156" s="1822">
        <f>IFERROR(HLOOKUP(B1156,pp3p1m!$1:$3,3,0),0)</f>
        <v>0</v>
      </c>
      <c r="L1156" s="1822">
        <f>IFERROR(HLOOKUP(chitiet!B1156,pp1p!$1:$3,3,0),0)</f>
        <v>0</v>
      </c>
      <c r="M1156" s="1822"/>
      <c r="N1156" s="1822"/>
      <c r="O1156" s="1822"/>
      <c r="P1156" s="1822">
        <f>H1156+Q1156-R1156</f>
        <v>0</v>
      </c>
      <c r="Q1156" s="1047"/>
      <c r="R1156" s="1047"/>
      <c r="S1156" s="1047"/>
      <c r="T1156" s="2035">
        <f>IFERROR(HLOOKUP(B1156,pp1p!$1:$3,3,0),0)+IFERROR(HLOOKUP(B1156,pp3p1m!$1:$3,3,0),0)</f>
        <v>0</v>
      </c>
    </row>
    <row r="1157" spans="1:20" ht="22.2" hidden="1" customHeight="1">
      <c r="A1157" s="59"/>
      <c r="B1157" s="1577" t="s">
        <v>1922</v>
      </c>
      <c r="C1157" s="1013" t="str">
        <f t="shared" si="232"/>
        <v xml:space="preserve"> </v>
      </c>
      <c r="D1157" s="1535">
        <v>1</v>
      </c>
      <c r="E1157" s="1044"/>
      <c r="F1157" s="1049" t="s">
        <v>2466</v>
      </c>
      <c r="G1157" s="1044" t="str">
        <f>VLOOKUP($B1157,DG!A:D,DG!$D$2,)</f>
        <v>bộ</v>
      </c>
      <c r="H1157" s="1823">
        <f t="shared" ref="H1157:N1158" si="234">H$1156*$D1157</f>
        <v>0</v>
      </c>
      <c r="I1157" s="1823">
        <f t="shared" si="234"/>
        <v>0</v>
      </c>
      <c r="J1157" s="1823">
        <f t="shared" si="234"/>
        <v>0</v>
      </c>
      <c r="K1157" s="1823">
        <f t="shared" si="234"/>
        <v>0</v>
      </c>
      <c r="L1157" s="1823">
        <f t="shared" si="234"/>
        <v>0</v>
      </c>
      <c r="M1157" s="1823">
        <f t="shared" si="234"/>
        <v>0</v>
      </c>
      <c r="N1157" s="1823">
        <f t="shared" si="234"/>
        <v>0</v>
      </c>
      <c r="O1157" s="1823"/>
      <c r="P1157" s="1823"/>
      <c r="Q1157" s="1053"/>
      <c r="R1157" s="1053"/>
      <c r="S1157" s="1053"/>
      <c r="T1157" s="2035">
        <f t="shared" si="230"/>
        <v>0</v>
      </c>
    </row>
    <row r="1158" spans="1:20" ht="22.2" hidden="1" customHeight="1">
      <c r="A1158" s="59"/>
      <c r="B1158" s="1588" t="s">
        <v>356</v>
      </c>
      <c r="C1158" s="1013" t="str">
        <f t="shared" si="232"/>
        <v xml:space="preserve"> </v>
      </c>
      <c r="D1158" s="1534">
        <v>0.02</v>
      </c>
      <c r="E1158" s="1044" t="str">
        <f>VLOOKUP($B1158,DG!A:C,2,)</f>
        <v>02.1421</v>
      </c>
      <c r="F1158" s="1049" t="str">
        <f>VLOOKUP($B1158,DG!A:C,3,)</f>
        <v>V/c phụ kiện vào vị trí (cự ly &lt;=100m)</v>
      </c>
      <c r="G1158" s="1044" t="str">
        <f>VLOOKUP($B1158,DG!A:D,4,0)</f>
        <v>tấn</v>
      </c>
      <c r="H1158" s="1823">
        <f t="shared" si="234"/>
        <v>0</v>
      </c>
      <c r="I1158" s="1823">
        <f t="shared" si="234"/>
        <v>0</v>
      </c>
      <c r="J1158" s="1823">
        <f t="shared" si="234"/>
        <v>0</v>
      </c>
      <c r="K1158" s="1823">
        <f t="shared" si="234"/>
        <v>0</v>
      </c>
      <c r="L1158" s="1823">
        <f t="shared" si="234"/>
        <v>0</v>
      </c>
      <c r="M1158" s="1823">
        <f t="shared" si="234"/>
        <v>0</v>
      </c>
      <c r="N1158" s="1823">
        <f t="shared" si="234"/>
        <v>0</v>
      </c>
      <c r="O1158" s="1823"/>
      <c r="P1158" s="1823"/>
      <c r="Q1158" s="1053"/>
      <c r="R1158" s="1053"/>
      <c r="S1158" s="1053"/>
      <c r="T1158" s="2035">
        <f t="shared" si="230"/>
        <v>0</v>
      </c>
    </row>
    <row r="1159" spans="1:20" ht="22.2" customHeight="1" collapsed="1">
      <c r="A1159" s="1572" t="s">
        <v>663</v>
      </c>
      <c r="B1159" s="1574" t="s">
        <v>663</v>
      </c>
      <c r="C1159" s="1832" t="str">
        <f t="shared" si="232"/>
        <v>x</v>
      </c>
      <c r="D1159" s="1532"/>
      <c r="E1159" s="1045"/>
      <c r="F1159" s="1392" t="s">
        <v>2473</v>
      </c>
      <c r="G1159" s="1046" t="s">
        <v>2391</v>
      </c>
      <c r="H1159" s="1821">
        <f>SUM(I1159:O1159)</f>
        <v>1</v>
      </c>
      <c r="I1159" s="1822"/>
      <c r="J1159" s="1822"/>
      <c r="K1159" s="1822">
        <f>IFERROR(HLOOKUP(B1159,pp3p1m!$1:$3,3,0),0)</f>
        <v>1</v>
      </c>
      <c r="L1159" s="1822">
        <f>IFERROR(HLOOKUP(chitiet!B1159,pp1p!$1:$3,3,0),0)</f>
        <v>0</v>
      </c>
      <c r="M1159" s="1822"/>
      <c r="N1159" s="1822"/>
      <c r="O1159" s="1822"/>
      <c r="P1159" s="1821">
        <f>H1159+Q1159-R1159</f>
        <v>1</v>
      </c>
      <c r="Q1159" s="1047"/>
      <c r="R1159" s="1047"/>
      <c r="S1159" s="1047"/>
      <c r="T1159" s="2035">
        <f>IFERROR(HLOOKUP(B1159,pp1p!$1:$3,3,0),0)+IFERROR(HLOOKUP(B1159,pp3p1m!$1:$3,3,0),0)</f>
        <v>1</v>
      </c>
    </row>
    <row r="1160" spans="1:20" ht="22.2" customHeight="1">
      <c r="B1160" s="1571" t="s">
        <v>1061</v>
      </c>
      <c r="C1160" s="1832" t="str">
        <f t="shared" si="232"/>
        <v>x</v>
      </c>
      <c r="D1160" s="1535">
        <v>1</v>
      </c>
      <c r="E1160" s="1044"/>
      <c r="F1160" s="1056" t="str">
        <f>VLOOKUP($B1160,DG!A:D,DG!$C$2,)</f>
        <v>Boulon mắt 16x250+ 2 long đền vuông D18-50x50x3/Zn</v>
      </c>
      <c r="G1160" s="1044" t="str">
        <f>VLOOKUP($B1160,DG!A:D,DG!$D$2,)</f>
        <v>bộ</v>
      </c>
      <c r="H1160" s="1823">
        <f t="shared" ref="H1160:N1166" si="235">H$1159*$D1160</f>
        <v>1</v>
      </c>
      <c r="I1160" s="1823">
        <f t="shared" si="235"/>
        <v>0</v>
      </c>
      <c r="J1160" s="1823">
        <f t="shared" si="235"/>
        <v>0</v>
      </c>
      <c r="K1160" s="1823">
        <f t="shared" si="235"/>
        <v>1</v>
      </c>
      <c r="L1160" s="1823">
        <f t="shared" si="235"/>
        <v>0</v>
      </c>
      <c r="M1160" s="1823">
        <f t="shared" si="235"/>
        <v>0</v>
      </c>
      <c r="N1160" s="1823">
        <f t="shared" si="235"/>
        <v>0</v>
      </c>
      <c r="O1160" s="1823"/>
      <c r="P1160" s="1823">
        <f t="shared" ref="P1160:P1167" si="236">$P$1159*D1160</f>
        <v>1</v>
      </c>
      <c r="Q1160" s="1053"/>
      <c r="R1160" s="1053">
        <f t="shared" ref="R1160:R1168" si="237">$R$1159*D1160</f>
        <v>0</v>
      </c>
      <c r="S1160" s="1053"/>
      <c r="T1160" s="2035">
        <f t="shared" si="230"/>
        <v>0</v>
      </c>
    </row>
    <row r="1161" spans="1:20" ht="22.2" customHeight="1">
      <c r="B1161" s="1571" t="s">
        <v>111</v>
      </c>
      <c r="C1161" s="1832" t="str">
        <f t="shared" si="232"/>
        <v>x</v>
      </c>
      <c r="D1161" s="1535">
        <v>1</v>
      </c>
      <c r="E1161" s="1044"/>
      <c r="F1161" s="1056" t="str">
        <f>VLOOKUP($B1161,DG!A:D,DG!$C$2,)</f>
        <v>Sứ chằng</v>
      </c>
      <c r="G1161" s="1044" t="str">
        <f>VLOOKUP($B1161,DG!A:D,DG!$D$2,)</f>
        <v>cái</v>
      </c>
      <c r="H1161" s="1823">
        <f t="shared" si="235"/>
        <v>1</v>
      </c>
      <c r="I1161" s="1823">
        <f t="shared" si="235"/>
        <v>0</v>
      </c>
      <c r="J1161" s="1823">
        <f t="shared" si="235"/>
        <v>0</v>
      </c>
      <c r="K1161" s="1823">
        <f t="shared" si="235"/>
        <v>1</v>
      </c>
      <c r="L1161" s="1823">
        <f t="shared" si="235"/>
        <v>0</v>
      </c>
      <c r="M1161" s="1823">
        <f t="shared" si="235"/>
        <v>0</v>
      </c>
      <c r="N1161" s="1823">
        <f t="shared" si="235"/>
        <v>0</v>
      </c>
      <c r="O1161" s="1823"/>
      <c r="P1161" s="1823">
        <f t="shared" si="236"/>
        <v>1</v>
      </c>
      <c r="Q1161" s="1053"/>
      <c r="R1161" s="1053">
        <f t="shared" si="237"/>
        <v>0</v>
      </c>
      <c r="S1161" s="1053"/>
      <c r="T1161" s="2035">
        <f t="shared" si="230"/>
        <v>0</v>
      </c>
    </row>
    <row r="1162" spans="1:20" ht="22.2" customHeight="1">
      <c r="B1162" s="1571" t="s">
        <v>1581</v>
      </c>
      <c r="C1162" s="1832" t="str">
        <f t="shared" si="232"/>
        <v>x</v>
      </c>
      <c r="D1162" s="1535">
        <v>8</v>
      </c>
      <c r="E1162" s="1044"/>
      <c r="F1162" s="1056" t="str">
        <f>VLOOKUP($B1162,DG!A:D,DG!$C$2,)</f>
        <v>Kẹp cáp 3 boulon</v>
      </c>
      <c r="G1162" s="1044" t="str">
        <f>VLOOKUP($B1162,DG!A:D,DG!$D$2,)</f>
        <v>cái</v>
      </c>
      <c r="H1162" s="1823">
        <f t="shared" si="235"/>
        <v>8</v>
      </c>
      <c r="I1162" s="1823">
        <f t="shared" si="235"/>
        <v>0</v>
      </c>
      <c r="J1162" s="1823">
        <f t="shared" si="235"/>
        <v>0</v>
      </c>
      <c r="K1162" s="1823">
        <f t="shared" si="235"/>
        <v>8</v>
      </c>
      <c r="L1162" s="1823">
        <f t="shared" si="235"/>
        <v>0</v>
      </c>
      <c r="M1162" s="1823">
        <f t="shared" si="235"/>
        <v>0</v>
      </c>
      <c r="N1162" s="1823">
        <f t="shared" si="235"/>
        <v>0</v>
      </c>
      <c r="O1162" s="1823"/>
      <c r="P1162" s="1823">
        <f t="shared" si="236"/>
        <v>8</v>
      </c>
      <c r="Q1162" s="1053"/>
      <c r="R1162" s="1053">
        <f t="shared" si="237"/>
        <v>0</v>
      </c>
      <c r="S1162" s="1053"/>
      <c r="T1162" s="2035">
        <f t="shared" si="230"/>
        <v>0</v>
      </c>
    </row>
    <row r="1163" spans="1:20" ht="22.2" customHeight="1">
      <c r="B1163" s="1571" t="s">
        <v>1362</v>
      </c>
      <c r="C1163" s="1013" t="str">
        <f t="shared" ref="C1163" si="238">IF(OR(P1163&lt;&gt;0,H1163&lt;&gt;0),"x"," ")</f>
        <v>x</v>
      </c>
      <c r="D1163" s="1545">
        <v>5.0999999999999996</v>
      </c>
      <c r="E1163" s="1044"/>
      <c r="F1163" s="1056" t="str">
        <f>VLOOKUP($B1163,DG!A:D,DG!$C$2,)</f>
        <v>Cáp thép 5/8"</v>
      </c>
      <c r="G1163" s="1044" t="str">
        <f>VLOOKUP($B1163,DG!A:D,DG!$D$2,)</f>
        <v>kg</v>
      </c>
      <c r="H1163" s="1823">
        <f t="shared" si="235"/>
        <v>5.0999999999999996</v>
      </c>
      <c r="I1163" s="1823">
        <f t="shared" si="235"/>
        <v>0</v>
      </c>
      <c r="J1163" s="1823">
        <f t="shared" si="235"/>
        <v>0</v>
      </c>
      <c r="K1163" s="1823">
        <f t="shared" si="235"/>
        <v>5.0999999999999996</v>
      </c>
      <c r="L1163" s="1823">
        <f t="shared" si="235"/>
        <v>0</v>
      </c>
      <c r="M1163" s="1823">
        <f t="shared" si="235"/>
        <v>0</v>
      </c>
      <c r="N1163" s="1823">
        <f t="shared" si="235"/>
        <v>0</v>
      </c>
      <c r="O1163" s="1823"/>
      <c r="P1163" s="1823">
        <f t="shared" ref="P1163" si="239">$P$1159*D1163</f>
        <v>5.0999999999999996</v>
      </c>
      <c r="Q1163" s="1057">
        <f t="shared" ref="Q1163" si="240">$Q$1173*D1163</f>
        <v>0</v>
      </c>
      <c r="R1163" s="1053"/>
      <c r="S1163" s="1053"/>
      <c r="T1163" s="2035">
        <f t="shared" ref="T1163" si="241">IFERROR(HLOOKUP(B1163,BangKeTru,3,0),0)</f>
        <v>0</v>
      </c>
    </row>
    <row r="1164" spans="1:20" ht="22.2" hidden="1" customHeight="1">
      <c r="B1164" s="1571" t="s">
        <v>4967</v>
      </c>
      <c r="C1164" s="1832" t="str">
        <f t="shared" si="232"/>
        <v xml:space="preserve"> </v>
      </c>
      <c r="D1164" s="1545">
        <v>14</v>
      </c>
      <c r="E1164" s="1044"/>
      <c r="F1164" s="1056" t="str">
        <f>VLOOKUP($B1164,DG!A:D,DG!$C$2,)</f>
        <v>Cáp thép 5/8"</v>
      </c>
      <c r="G1164" s="1044" t="str">
        <f>VLOOKUP($B1164,DG!A:D,DG!$D$2,)</f>
        <v>mét</v>
      </c>
      <c r="H1164" s="1823"/>
      <c r="I1164" s="1823"/>
      <c r="J1164" s="1823"/>
      <c r="K1164" s="1823"/>
      <c r="L1164" s="1823"/>
      <c r="M1164" s="1823"/>
      <c r="N1164" s="1823"/>
      <c r="O1164" s="1823"/>
      <c r="P1164" s="1823"/>
      <c r="Q1164" s="1057"/>
      <c r="R1164" s="1053">
        <f t="shared" si="237"/>
        <v>0</v>
      </c>
      <c r="S1164" s="1053"/>
      <c r="T1164" s="2035">
        <f t="shared" si="230"/>
        <v>0</v>
      </c>
    </row>
    <row r="1165" spans="1:20" ht="22.2" customHeight="1">
      <c r="B1165" s="1571" t="s">
        <v>2004</v>
      </c>
      <c r="C1165" s="1832" t="str">
        <f t="shared" si="232"/>
        <v>x</v>
      </c>
      <c r="D1165" s="1535">
        <v>2</v>
      </c>
      <c r="E1165" s="1044"/>
      <c r="F1165" s="1056" t="str">
        <f>VLOOKUP($B1165,DG!A:D,DG!$C$2,)</f>
        <v>Yếm cáp dày 2mm</v>
      </c>
      <c r="G1165" s="1044" t="str">
        <f>VLOOKUP($B1165,DG!A:D,DG!$D$2,)</f>
        <v>cái</v>
      </c>
      <c r="H1165" s="1823">
        <f t="shared" si="235"/>
        <v>2</v>
      </c>
      <c r="I1165" s="1823">
        <f t="shared" si="235"/>
        <v>0</v>
      </c>
      <c r="J1165" s="1823">
        <f t="shared" si="235"/>
        <v>0</v>
      </c>
      <c r="K1165" s="1823">
        <f t="shared" si="235"/>
        <v>2</v>
      </c>
      <c r="L1165" s="1823">
        <f t="shared" si="235"/>
        <v>0</v>
      </c>
      <c r="M1165" s="1823">
        <f t="shared" si="235"/>
        <v>0</v>
      </c>
      <c r="N1165" s="1823">
        <f t="shared" si="235"/>
        <v>0</v>
      </c>
      <c r="O1165" s="1823"/>
      <c r="P1165" s="1823">
        <f t="shared" si="236"/>
        <v>2</v>
      </c>
      <c r="Q1165" s="1053"/>
      <c r="R1165" s="1053">
        <f t="shared" si="237"/>
        <v>0</v>
      </c>
      <c r="S1165" s="1053"/>
      <c r="T1165" s="2035">
        <f t="shared" si="230"/>
        <v>0</v>
      </c>
    </row>
    <row r="1166" spans="1:20" ht="22.2" customHeight="1">
      <c r="B1166" s="1571" t="s">
        <v>2005</v>
      </c>
      <c r="C1166" s="1832" t="str">
        <f t="shared" si="232"/>
        <v>x</v>
      </c>
      <c r="D1166" s="1535">
        <v>1</v>
      </c>
      <c r="E1166" s="1044"/>
      <c r="F1166" s="1056" t="str">
        <f>VLOOKUP($B1166,DG!A:D,DG!$C$2,)</f>
        <v>Máng che dây chằng dày 1,6mm</v>
      </c>
      <c r="G1166" s="1044" t="str">
        <f>VLOOKUP($B1166,DG!A:D,DG!$D$2,)</f>
        <v>cái</v>
      </c>
      <c r="H1166" s="1823">
        <f t="shared" si="235"/>
        <v>1</v>
      </c>
      <c r="I1166" s="1823">
        <f t="shared" si="235"/>
        <v>0</v>
      </c>
      <c r="J1166" s="1823">
        <f t="shared" si="235"/>
        <v>0</v>
      </c>
      <c r="K1166" s="1823">
        <f t="shared" si="235"/>
        <v>1</v>
      </c>
      <c r="L1166" s="1823">
        <f t="shared" si="235"/>
        <v>0</v>
      </c>
      <c r="M1166" s="1823">
        <f t="shared" si="235"/>
        <v>0</v>
      </c>
      <c r="N1166" s="1823">
        <f t="shared" si="235"/>
        <v>0</v>
      </c>
      <c r="O1166" s="1823"/>
      <c r="P1166" s="1823">
        <f t="shared" si="236"/>
        <v>1</v>
      </c>
      <c r="Q1166" s="1053"/>
      <c r="R1166" s="1053">
        <f t="shared" si="237"/>
        <v>0</v>
      </c>
      <c r="S1166" s="1053"/>
      <c r="T1166" s="2035">
        <f t="shared" si="230"/>
        <v>0</v>
      </c>
    </row>
    <row r="1167" spans="1:20" ht="22.2" customHeight="1">
      <c r="B1167" s="1571" t="s">
        <v>1922</v>
      </c>
      <c r="C1167" s="1832" t="str">
        <f t="shared" si="232"/>
        <v>x</v>
      </c>
      <c r="D1167" s="1535">
        <f>D1160</f>
        <v>1</v>
      </c>
      <c r="E1167" s="1044" t="str">
        <f>VLOOKUP($B1167,DG!A:D,DG!$B$2,)</f>
        <v>06.3241</v>
      </c>
      <c r="F1167" s="1049" t="str">
        <f>VLOOKUP($B1167,DG!A:D,DG!$C$2,)</f>
        <v>Lắp bộ dây néo</v>
      </c>
      <c r="G1167" s="1044" t="str">
        <f>VLOOKUP($B1167,DG!A:D,DG!$D$2,)</f>
        <v>bộ</v>
      </c>
      <c r="H1167" s="1823">
        <f>H$1159*$D1167</f>
        <v>1</v>
      </c>
      <c r="I1167" s="1823"/>
      <c r="J1167" s="1823"/>
      <c r="K1167" s="1823"/>
      <c r="L1167" s="1823"/>
      <c r="M1167" s="1823"/>
      <c r="N1167" s="1823"/>
      <c r="O1167" s="1823"/>
      <c r="P1167" s="1823">
        <f t="shared" si="236"/>
        <v>1</v>
      </c>
      <c r="Q1167" s="1058"/>
      <c r="R1167" s="1053">
        <f t="shared" si="237"/>
        <v>0</v>
      </c>
      <c r="S1167" s="1058"/>
      <c r="T1167" s="2035">
        <f t="shared" si="230"/>
        <v>0</v>
      </c>
    </row>
    <row r="1168" spans="1:20" ht="22.2" hidden="1" customHeight="1">
      <c r="B1168" s="1577" t="s">
        <v>1922</v>
      </c>
      <c r="C1168" s="1013" t="str">
        <f t="shared" si="232"/>
        <v xml:space="preserve"> </v>
      </c>
      <c r="D1168" s="1535"/>
      <c r="E1168" s="1044" t="str">
        <f>VLOOKUP($B1168,DG!A:D,DG!$B$2,)</f>
        <v>06.3241</v>
      </c>
      <c r="F1168" s="1049" t="s">
        <v>2474</v>
      </c>
      <c r="G1168" s="1044" t="str">
        <f>VLOOKUP($B1168,DG!A:D,DG!$D$2,)</f>
        <v>bộ</v>
      </c>
      <c r="H1168" s="1823"/>
      <c r="I1168" s="1823"/>
      <c r="J1168" s="1823"/>
      <c r="K1168" s="1823"/>
      <c r="L1168" s="1823"/>
      <c r="M1168" s="1823"/>
      <c r="N1168" s="1823"/>
      <c r="O1168" s="1823"/>
      <c r="P1168" s="1823"/>
      <c r="Q1168" s="1058"/>
      <c r="R1168" s="1053">
        <f t="shared" si="237"/>
        <v>0</v>
      </c>
      <c r="S1168" s="1058"/>
      <c r="T1168" s="2035">
        <f t="shared" si="230"/>
        <v>0</v>
      </c>
    </row>
    <row r="1169" spans="1:20" ht="22.2" hidden="1" customHeight="1">
      <c r="A1169" s="56" t="s">
        <v>195</v>
      </c>
      <c r="B1169" s="1574" t="s">
        <v>195</v>
      </c>
      <c r="C1169" s="1013" t="str">
        <f t="shared" si="232"/>
        <v xml:space="preserve"> </v>
      </c>
      <c r="D1169" s="1532"/>
      <c r="E1169" s="1045"/>
      <c r="F1169" s="1392" t="s">
        <v>2475</v>
      </c>
      <c r="G1169" s="1046" t="s">
        <v>2391</v>
      </c>
      <c r="H1169" s="1821">
        <f>SUM(I1169:O1169)</f>
        <v>0</v>
      </c>
      <c r="I1169" s="1822"/>
      <c r="J1169" s="1822"/>
      <c r="K1169" s="1822">
        <f>IFERROR(HLOOKUP(B1169,pp3p1m!$1:$3,3,0),0)</f>
        <v>0</v>
      </c>
      <c r="L1169" s="1822">
        <f>IFERROR(HLOOKUP(chitiet!B1169,pp1p!$1:$3,3,0),0)</f>
        <v>0</v>
      </c>
      <c r="M1169" s="1822"/>
      <c r="N1169" s="1822"/>
      <c r="O1169" s="1822"/>
      <c r="P1169" s="1822">
        <f>H1169+Q1169-R1169</f>
        <v>0</v>
      </c>
      <c r="Q1169" s="1047"/>
      <c r="R1169" s="1047"/>
      <c r="S1169" s="1047"/>
      <c r="T1169" s="2035">
        <f>IFERROR(HLOOKUP(B1169,pp1p!$1:$3,3,0),0)+IFERROR(HLOOKUP(B1169,pp3p1m!$1:$3,3,0),0)</f>
        <v>0</v>
      </c>
    </row>
    <row r="1170" spans="1:20" ht="22.2" hidden="1" customHeight="1">
      <c r="A1170" s="59"/>
      <c r="B1170" s="1577" t="s">
        <v>1922</v>
      </c>
      <c r="C1170" s="1013" t="str">
        <f t="shared" si="232"/>
        <v xml:space="preserve"> </v>
      </c>
      <c r="D1170" s="1535">
        <v>1</v>
      </c>
      <c r="E1170" s="1044"/>
      <c r="F1170" s="1049" t="s">
        <v>2466</v>
      </c>
      <c r="G1170" s="1044" t="str">
        <f>VLOOKUP($B1170,DG!A:D,DG!$D$2,)</f>
        <v>bộ</v>
      </c>
      <c r="H1170" s="1823">
        <f t="shared" ref="H1170:N1172" si="242">H$1169*$D1170</f>
        <v>0</v>
      </c>
      <c r="I1170" s="1823">
        <f t="shared" si="242"/>
        <v>0</v>
      </c>
      <c r="J1170" s="1823">
        <f t="shared" si="242"/>
        <v>0</v>
      </c>
      <c r="K1170" s="1823">
        <f t="shared" si="242"/>
        <v>0</v>
      </c>
      <c r="L1170" s="1823">
        <f t="shared" si="242"/>
        <v>0</v>
      </c>
      <c r="M1170" s="1823">
        <f t="shared" si="242"/>
        <v>0</v>
      </c>
      <c r="N1170" s="1823">
        <f t="shared" si="242"/>
        <v>0</v>
      </c>
      <c r="O1170" s="1823"/>
      <c r="P1170" s="1823"/>
      <c r="Q1170" s="1053"/>
      <c r="R1170" s="1053"/>
      <c r="S1170" s="1053"/>
      <c r="T1170" s="2035">
        <f t="shared" si="230"/>
        <v>0</v>
      </c>
    </row>
    <row r="1171" spans="1:20" ht="22.2" hidden="1" customHeight="1">
      <c r="A1171" s="59"/>
      <c r="B1171" s="1577" t="s">
        <v>1910</v>
      </c>
      <c r="C1171" s="1013" t="str">
        <f t="shared" si="232"/>
        <v xml:space="preserve"> </v>
      </c>
      <c r="D1171" s="1535">
        <v>1</v>
      </c>
      <c r="E1171" s="1044"/>
      <c r="F1171" s="1049" t="s">
        <v>2467</v>
      </c>
      <c r="G1171" s="1044" t="str">
        <f>VLOOKUP($B1171,DG!A:D,DG!$D$2,)</f>
        <v>bộ</v>
      </c>
      <c r="H1171" s="1823">
        <f t="shared" si="242"/>
        <v>0</v>
      </c>
      <c r="I1171" s="1823">
        <f t="shared" si="242"/>
        <v>0</v>
      </c>
      <c r="J1171" s="1823">
        <f t="shared" si="242"/>
        <v>0</v>
      </c>
      <c r="K1171" s="1823">
        <f t="shared" si="242"/>
        <v>0</v>
      </c>
      <c r="L1171" s="1823">
        <f t="shared" si="242"/>
        <v>0</v>
      </c>
      <c r="M1171" s="1823">
        <f t="shared" si="242"/>
        <v>0</v>
      </c>
      <c r="N1171" s="1823">
        <f t="shared" si="242"/>
        <v>0</v>
      </c>
      <c r="O1171" s="1823"/>
      <c r="P1171" s="1823"/>
      <c r="Q1171" s="1053"/>
      <c r="R1171" s="1053"/>
      <c r="S1171" s="1053"/>
      <c r="T1171" s="2035">
        <f t="shared" si="230"/>
        <v>0</v>
      </c>
    </row>
    <row r="1172" spans="1:20" ht="22.2" hidden="1" customHeight="1">
      <c r="A1172" s="59"/>
      <c r="B1172" s="1588" t="s">
        <v>356</v>
      </c>
      <c r="C1172" s="1013" t="str">
        <f t="shared" si="232"/>
        <v xml:space="preserve"> </v>
      </c>
      <c r="D1172" s="1534">
        <v>0.02</v>
      </c>
      <c r="E1172" s="1044" t="str">
        <f>VLOOKUP($B1172,DG!A:C,2,)</f>
        <v>02.1421</v>
      </c>
      <c r="F1172" s="1049" t="str">
        <f>VLOOKUP($B1172,DG!A:C,3,)</f>
        <v>V/c phụ kiện vào vị trí (cự ly &lt;=100m)</v>
      </c>
      <c r="G1172" s="1044" t="str">
        <f>VLOOKUP($B1172,DG!A:D,4,0)</f>
        <v>tấn</v>
      </c>
      <c r="H1172" s="1823">
        <f t="shared" si="242"/>
        <v>0</v>
      </c>
      <c r="I1172" s="1823">
        <f t="shared" si="242"/>
        <v>0</v>
      </c>
      <c r="J1172" s="1823">
        <f t="shared" si="242"/>
        <v>0</v>
      </c>
      <c r="K1172" s="1823">
        <f t="shared" si="242"/>
        <v>0</v>
      </c>
      <c r="L1172" s="1823">
        <f t="shared" si="242"/>
        <v>0</v>
      </c>
      <c r="M1172" s="1823">
        <f t="shared" si="242"/>
        <v>0</v>
      </c>
      <c r="N1172" s="1823">
        <f t="shared" si="242"/>
        <v>0</v>
      </c>
      <c r="O1172" s="1823"/>
      <c r="P1172" s="1823"/>
      <c r="Q1172" s="1053"/>
      <c r="R1172" s="1053"/>
      <c r="S1172" s="1053"/>
      <c r="T1172" s="2035">
        <f t="shared" si="230"/>
        <v>0</v>
      </c>
    </row>
    <row r="1173" spans="1:20" ht="22.2" hidden="1" customHeight="1">
      <c r="A1173" s="1572" t="s">
        <v>664</v>
      </c>
      <c r="B1173" s="1574" t="s">
        <v>664</v>
      </c>
      <c r="C1173" s="1013" t="str">
        <f t="shared" si="232"/>
        <v xml:space="preserve"> </v>
      </c>
      <c r="D1173" s="1532"/>
      <c r="E1173" s="1045"/>
      <c r="F1173" s="1392" t="s">
        <v>2476</v>
      </c>
      <c r="G1173" s="1046" t="s">
        <v>2391</v>
      </c>
      <c r="H1173" s="1821">
        <f>SUM(I1173:O1173)</f>
        <v>0</v>
      </c>
      <c r="I1173" s="1822"/>
      <c r="J1173" s="1822"/>
      <c r="K1173" s="1822">
        <f>IFERROR(HLOOKUP(B1173,pp3p1m!$1:$3,3,0),0)</f>
        <v>0</v>
      </c>
      <c r="L1173" s="1822">
        <f>IFERROR(HLOOKUP(chitiet!B1173,pp1p!$1:$3,3,0),0)</f>
        <v>0</v>
      </c>
      <c r="M1173" s="1822"/>
      <c r="N1173" s="1822"/>
      <c r="O1173" s="1822"/>
      <c r="P1173" s="1822">
        <f>H1173+Q1173-R1173</f>
        <v>0</v>
      </c>
      <c r="Q1173" s="1047"/>
      <c r="R1173" s="1047"/>
      <c r="S1173" s="1047"/>
      <c r="T1173" s="2035">
        <f>IFERROR(HLOOKUP(B1173,pp1p!$1:$3,3,0),0)+IFERROR(HLOOKUP(B1173,pp3p1m!$1:$3,3,0),0)</f>
        <v>0</v>
      </c>
    </row>
    <row r="1174" spans="1:20" ht="22.2" hidden="1" customHeight="1">
      <c r="B1174" s="1571" t="s">
        <v>417</v>
      </c>
      <c r="C1174" s="1013" t="str">
        <f t="shared" si="232"/>
        <v xml:space="preserve"> </v>
      </c>
      <c r="D1174" s="1535">
        <v>1</v>
      </c>
      <c r="E1174" s="1044"/>
      <c r="F1174" s="1056" t="str">
        <f>VLOOKUP($B1174,DG!A:D,DG!$C$2,)</f>
        <v>Boulon mắt 16x300+ 2 long đền vuông D18-50x50x3/Zn</v>
      </c>
      <c r="G1174" s="1044" t="str">
        <f>VLOOKUP($B1174,DG!A:D,DG!$D$2,)</f>
        <v>bộ</v>
      </c>
      <c r="H1174" s="1823">
        <f t="shared" ref="H1174:N1181" si="243">H$1173*$D1174</f>
        <v>0</v>
      </c>
      <c r="I1174" s="1823">
        <f t="shared" si="243"/>
        <v>0</v>
      </c>
      <c r="J1174" s="1823">
        <f t="shared" si="243"/>
        <v>0</v>
      </c>
      <c r="K1174" s="1823">
        <f t="shared" si="243"/>
        <v>0</v>
      </c>
      <c r="L1174" s="1823">
        <f t="shared" si="243"/>
        <v>0</v>
      </c>
      <c r="M1174" s="1823">
        <f t="shared" si="243"/>
        <v>0</v>
      </c>
      <c r="N1174" s="1823">
        <f t="shared" si="243"/>
        <v>0</v>
      </c>
      <c r="O1174" s="1823"/>
      <c r="P1174" s="1823">
        <f t="shared" ref="P1174:P1182" si="244">$P$1173*D1174</f>
        <v>0</v>
      </c>
      <c r="Q1174" s="1053">
        <f t="shared" ref="Q1174:Q1183" si="245">$Q$1173*D1174</f>
        <v>0</v>
      </c>
      <c r="R1174" s="1053"/>
      <c r="S1174" s="1053"/>
      <c r="T1174" s="2035">
        <f t="shared" si="230"/>
        <v>0</v>
      </c>
    </row>
    <row r="1175" spans="1:20" ht="22.2" hidden="1" customHeight="1">
      <c r="B1175" s="1571" t="s">
        <v>111</v>
      </c>
      <c r="C1175" s="1013" t="str">
        <f t="shared" si="232"/>
        <v xml:space="preserve"> </v>
      </c>
      <c r="D1175" s="1535">
        <v>1</v>
      </c>
      <c r="E1175" s="1044"/>
      <c r="F1175" s="1056" t="str">
        <f>VLOOKUP($B1175,DG!A:D,DG!$C$2,)</f>
        <v>Sứ chằng</v>
      </c>
      <c r="G1175" s="1044" t="str">
        <f>VLOOKUP($B1175,DG!A:D,DG!$D$2,)</f>
        <v>cái</v>
      </c>
      <c r="H1175" s="1823">
        <f t="shared" si="243"/>
        <v>0</v>
      </c>
      <c r="I1175" s="1823">
        <f t="shared" si="243"/>
        <v>0</v>
      </c>
      <c r="J1175" s="1823">
        <f t="shared" si="243"/>
        <v>0</v>
      </c>
      <c r="K1175" s="1823">
        <f t="shared" si="243"/>
        <v>0</v>
      </c>
      <c r="L1175" s="1823">
        <f t="shared" si="243"/>
        <v>0</v>
      </c>
      <c r="M1175" s="1823">
        <f t="shared" si="243"/>
        <v>0</v>
      </c>
      <c r="N1175" s="1823">
        <f t="shared" si="243"/>
        <v>0</v>
      </c>
      <c r="O1175" s="1823"/>
      <c r="P1175" s="1823">
        <f t="shared" si="244"/>
        <v>0</v>
      </c>
      <c r="Q1175" s="1053">
        <f t="shared" si="245"/>
        <v>0</v>
      </c>
      <c r="R1175" s="1053"/>
      <c r="S1175" s="1053"/>
      <c r="T1175" s="2035">
        <f t="shared" si="230"/>
        <v>0</v>
      </c>
    </row>
    <row r="1176" spans="1:20" ht="22.2" hidden="1" customHeight="1">
      <c r="B1176" s="1571" t="s">
        <v>1581</v>
      </c>
      <c r="C1176" s="1013" t="str">
        <f t="shared" si="232"/>
        <v xml:space="preserve"> </v>
      </c>
      <c r="D1176" s="1535">
        <v>8</v>
      </c>
      <c r="E1176" s="1044"/>
      <c r="F1176" s="1056" t="str">
        <f>VLOOKUP($B1176,DG!A:D,DG!$C$2,)</f>
        <v>Kẹp cáp 3 boulon</v>
      </c>
      <c r="G1176" s="1044" t="str">
        <f>VLOOKUP($B1176,DG!A:D,DG!$D$2,)</f>
        <v>cái</v>
      </c>
      <c r="H1176" s="1823">
        <f t="shared" si="243"/>
        <v>0</v>
      </c>
      <c r="I1176" s="1823">
        <f t="shared" si="243"/>
        <v>0</v>
      </c>
      <c r="J1176" s="1823">
        <f t="shared" si="243"/>
        <v>0</v>
      </c>
      <c r="K1176" s="1823">
        <f t="shared" si="243"/>
        <v>0</v>
      </c>
      <c r="L1176" s="1823">
        <f t="shared" si="243"/>
        <v>0</v>
      </c>
      <c r="M1176" s="1823">
        <f t="shared" si="243"/>
        <v>0</v>
      </c>
      <c r="N1176" s="1823">
        <f t="shared" si="243"/>
        <v>0</v>
      </c>
      <c r="O1176" s="1823"/>
      <c r="P1176" s="1823">
        <f t="shared" si="244"/>
        <v>0</v>
      </c>
      <c r="Q1176" s="1053">
        <f t="shared" si="245"/>
        <v>0</v>
      </c>
      <c r="R1176" s="1053"/>
      <c r="S1176" s="1053"/>
      <c r="T1176" s="2035">
        <f t="shared" si="230"/>
        <v>0</v>
      </c>
    </row>
    <row r="1177" spans="1:20" ht="22.2" hidden="1" customHeight="1">
      <c r="B1177" s="1571" t="s">
        <v>1362</v>
      </c>
      <c r="C1177" s="1013" t="str">
        <f t="shared" ref="C1177" si="246">IF(OR(P1177&lt;&gt;0,H1177&lt;&gt;0),"x"," ")</f>
        <v xml:space="preserve"> </v>
      </c>
      <c r="D1177" s="1545"/>
      <c r="E1177" s="1044"/>
      <c r="F1177" s="1056" t="str">
        <f>VLOOKUP($B1177,DG!A:D,DG!$C$2,)</f>
        <v>Cáp thép 5/8"</v>
      </c>
      <c r="G1177" s="1044" t="str">
        <f>VLOOKUP($B1177,DG!A:D,DG!$D$2,)</f>
        <v>kg</v>
      </c>
      <c r="H1177" s="1823">
        <f t="shared" si="243"/>
        <v>0</v>
      </c>
      <c r="I1177" s="1823">
        <f t="shared" si="243"/>
        <v>0</v>
      </c>
      <c r="J1177" s="1823">
        <f t="shared" si="243"/>
        <v>0</v>
      </c>
      <c r="K1177" s="1823">
        <f t="shared" si="243"/>
        <v>0</v>
      </c>
      <c r="L1177" s="1823">
        <f t="shared" si="243"/>
        <v>0</v>
      </c>
      <c r="M1177" s="1823">
        <f t="shared" si="243"/>
        <v>0</v>
      </c>
      <c r="N1177" s="1823">
        <f t="shared" si="243"/>
        <v>0</v>
      </c>
      <c r="O1177" s="1823"/>
      <c r="P1177" s="1823">
        <f t="shared" ref="P1177" si="247">$P$1173*D1177</f>
        <v>0</v>
      </c>
      <c r="Q1177" s="1057">
        <f t="shared" ref="Q1177" si="248">$Q$1173*D1177</f>
        <v>0</v>
      </c>
      <c r="R1177" s="1053"/>
      <c r="S1177" s="1053"/>
      <c r="T1177" s="2035">
        <f t="shared" ref="T1177" si="249">IFERROR(HLOOKUP(B1177,BangKeTru,3,0),0)</f>
        <v>0</v>
      </c>
    </row>
    <row r="1178" spans="1:20" ht="22.2" hidden="1" customHeight="1">
      <c r="B1178" s="1571" t="s">
        <v>4967</v>
      </c>
      <c r="C1178" s="1013" t="str">
        <f t="shared" si="232"/>
        <v xml:space="preserve"> </v>
      </c>
      <c r="D1178" s="1545">
        <v>14</v>
      </c>
      <c r="E1178" s="1044"/>
      <c r="F1178" s="1056" t="str">
        <f>VLOOKUP($B1178,DG!A:D,DG!$C$2,)</f>
        <v>Cáp thép 5/8"</v>
      </c>
      <c r="G1178" s="1044" t="str">
        <f>VLOOKUP($B1178,DG!A:D,DG!$D$2,)</f>
        <v>mét</v>
      </c>
      <c r="H1178" s="1823">
        <f t="shared" si="243"/>
        <v>0</v>
      </c>
      <c r="I1178" s="1823">
        <f t="shared" si="243"/>
        <v>0</v>
      </c>
      <c r="J1178" s="1823">
        <f t="shared" si="243"/>
        <v>0</v>
      </c>
      <c r="K1178" s="1823">
        <f t="shared" si="243"/>
        <v>0</v>
      </c>
      <c r="L1178" s="1823">
        <f t="shared" si="243"/>
        <v>0</v>
      </c>
      <c r="M1178" s="1823">
        <f t="shared" si="243"/>
        <v>0</v>
      </c>
      <c r="N1178" s="1823">
        <f t="shared" si="243"/>
        <v>0</v>
      </c>
      <c r="O1178" s="1823"/>
      <c r="P1178" s="1823">
        <f t="shared" si="244"/>
        <v>0</v>
      </c>
      <c r="Q1178" s="1057">
        <f t="shared" si="245"/>
        <v>0</v>
      </c>
      <c r="R1178" s="1053"/>
      <c r="S1178" s="1053"/>
      <c r="T1178" s="2035">
        <f t="shared" si="230"/>
        <v>0</v>
      </c>
    </row>
    <row r="1179" spans="1:20" ht="22.2" hidden="1" customHeight="1">
      <c r="B1179" s="1571" t="s">
        <v>607</v>
      </c>
      <c r="C1179" s="1013" t="str">
        <f t="shared" si="232"/>
        <v xml:space="preserve"> </v>
      </c>
      <c r="D1179" s="1535">
        <v>1</v>
      </c>
      <c r="E1179" s="1044"/>
      <c r="F1179" s="1056" t="str">
        <f>VLOOKUP($B1179,DG!A:D,DG!$C$2,)</f>
        <v>Bộ chống chằng hẹp Ø60/50x1500+2BL12x40+BL16x250/80</v>
      </c>
      <c r="G1179" s="1044" t="str">
        <f>VLOOKUP($B1179,DG!A:D,DG!$D$2,)</f>
        <v>bộ</v>
      </c>
      <c r="H1179" s="1823">
        <f t="shared" si="243"/>
        <v>0</v>
      </c>
      <c r="I1179" s="1823">
        <f t="shared" si="243"/>
        <v>0</v>
      </c>
      <c r="J1179" s="1823">
        <f t="shared" si="243"/>
        <v>0</v>
      </c>
      <c r="K1179" s="1823">
        <f t="shared" si="243"/>
        <v>0</v>
      </c>
      <c r="L1179" s="1823">
        <f t="shared" si="243"/>
        <v>0</v>
      </c>
      <c r="M1179" s="1823">
        <f t="shared" si="243"/>
        <v>0</v>
      </c>
      <c r="N1179" s="1823">
        <f t="shared" si="243"/>
        <v>0</v>
      </c>
      <c r="O1179" s="1823"/>
      <c r="P1179" s="1823">
        <f t="shared" si="244"/>
        <v>0</v>
      </c>
      <c r="Q1179" s="1053">
        <f t="shared" si="245"/>
        <v>0</v>
      </c>
      <c r="R1179" s="1053"/>
      <c r="S1179" s="1053"/>
      <c r="T1179" s="2035">
        <f t="shared" si="230"/>
        <v>0</v>
      </c>
    </row>
    <row r="1180" spans="1:20" ht="22.2" hidden="1" customHeight="1">
      <c r="B1180" s="1571" t="s">
        <v>2004</v>
      </c>
      <c r="C1180" s="1013" t="str">
        <f t="shared" si="232"/>
        <v xml:space="preserve"> </v>
      </c>
      <c r="D1180" s="1535">
        <v>2</v>
      </c>
      <c r="E1180" s="1044"/>
      <c r="F1180" s="1056" t="str">
        <f>VLOOKUP($B1180,DG!A:D,DG!$C$2,)</f>
        <v>Yếm cáp dày 2mm</v>
      </c>
      <c r="G1180" s="1044" t="str">
        <f>VLOOKUP($B1180,DG!A:D,DG!$D$2,)</f>
        <v>cái</v>
      </c>
      <c r="H1180" s="1823">
        <f t="shared" si="243"/>
        <v>0</v>
      </c>
      <c r="I1180" s="1823">
        <f t="shared" si="243"/>
        <v>0</v>
      </c>
      <c r="J1180" s="1823">
        <f t="shared" si="243"/>
        <v>0</v>
      </c>
      <c r="K1180" s="1823">
        <f t="shared" si="243"/>
        <v>0</v>
      </c>
      <c r="L1180" s="1823">
        <f t="shared" si="243"/>
        <v>0</v>
      </c>
      <c r="M1180" s="1823">
        <f t="shared" si="243"/>
        <v>0</v>
      </c>
      <c r="N1180" s="1823">
        <f t="shared" si="243"/>
        <v>0</v>
      </c>
      <c r="O1180" s="1823"/>
      <c r="P1180" s="1823">
        <f t="shared" si="244"/>
        <v>0</v>
      </c>
      <c r="Q1180" s="1053">
        <f t="shared" si="245"/>
        <v>0</v>
      </c>
      <c r="R1180" s="1053"/>
      <c r="S1180" s="1053"/>
      <c r="T1180" s="2035">
        <f t="shared" si="230"/>
        <v>0</v>
      </c>
    </row>
    <row r="1181" spans="1:20" ht="22.2" hidden="1" customHeight="1">
      <c r="B1181" s="1571" t="s">
        <v>2005</v>
      </c>
      <c r="C1181" s="1013" t="str">
        <f t="shared" si="232"/>
        <v xml:space="preserve"> </v>
      </c>
      <c r="D1181" s="1535">
        <v>1</v>
      </c>
      <c r="E1181" s="1044"/>
      <c r="F1181" s="1056" t="str">
        <f>VLOOKUP($B1181,DG!A:D,DG!$C$2,)</f>
        <v>Máng che dây chằng dày 1,6mm</v>
      </c>
      <c r="G1181" s="1044" t="str">
        <f>VLOOKUP($B1181,DG!A:D,DG!$D$2,)</f>
        <v>cái</v>
      </c>
      <c r="H1181" s="1823">
        <f t="shared" si="243"/>
        <v>0</v>
      </c>
      <c r="I1181" s="1823">
        <f t="shared" si="243"/>
        <v>0</v>
      </c>
      <c r="J1181" s="1823">
        <f t="shared" si="243"/>
        <v>0</v>
      </c>
      <c r="K1181" s="1823">
        <f t="shared" si="243"/>
        <v>0</v>
      </c>
      <c r="L1181" s="1823">
        <f t="shared" si="243"/>
        <v>0</v>
      </c>
      <c r="M1181" s="1823">
        <f t="shared" si="243"/>
        <v>0</v>
      </c>
      <c r="N1181" s="1823">
        <f t="shared" si="243"/>
        <v>0</v>
      </c>
      <c r="O1181" s="1823"/>
      <c r="P1181" s="1823">
        <f t="shared" si="244"/>
        <v>0</v>
      </c>
      <c r="Q1181" s="1053">
        <f t="shared" si="245"/>
        <v>0</v>
      </c>
      <c r="R1181" s="1053"/>
      <c r="S1181" s="1053"/>
      <c r="T1181" s="2035">
        <f t="shared" si="230"/>
        <v>0</v>
      </c>
    </row>
    <row r="1182" spans="1:20" ht="22.2" hidden="1" customHeight="1">
      <c r="B1182" s="1571" t="s">
        <v>1922</v>
      </c>
      <c r="C1182" s="1013" t="str">
        <f t="shared" si="232"/>
        <v xml:space="preserve"> </v>
      </c>
      <c r="D1182" s="1535">
        <v>1</v>
      </c>
      <c r="E1182" s="1044" t="str">
        <f>VLOOKUP($B1182,DG!A:D,DG!$B$2,)</f>
        <v>06.3241</v>
      </c>
      <c r="F1182" s="1049" t="str">
        <f>VLOOKUP($B1182,DG!A:D,DG!$C$2,)</f>
        <v>Lắp bộ dây néo</v>
      </c>
      <c r="G1182" s="1044" t="str">
        <f>VLOOKUP($B1182,DG!A:D,DG!$D$2,)</f>
        <v>bộ</v>
      </c>
      <c r="H1182" s="1823">
        <f>H$1173*$D1182</f>
        <v>0</v>
      </c>
      <c r="I1182" s="1823"/>
      <c r="J1182" s="1823"/>
      <c r="K1182" s="1823"/>
      <c r="L1182" s="1823"/>
      <c r="M1182" s="1823"/>
      <c r="N1182" s="1823"/>
      <c r="O1182" s="1823"/>
      <c r="P1182" s="1823">
        <f t="shared" si="244"/>
        <v>0</v>
      </c>
      <c r="Q1182" s="1053">
        <f t="shared" si="245"/>
        <v>0</v>
      </c>
      <c r="R1182" s="1058"/>
      <c r="S1182" s="1058"/>
      <c r="T1182" s="2035">
        <f t="shared" si="230"/>
        <v>0</v>
      </c>
    </row>
    <row r="1183" spans="1:20" ht="22.2" hidden="1" customHeight="1">
      <c r="A1183" s="1015"/>
      <c r="B1183" s="1571" t="s">
        <v>1910</v>
      </c>
      <c r="C1183" s="1013" t="str">
        <f t="shared" si="232"/>
        <v xml:space="preserve"> </v>
      </c>
      <c r="D1183" s="1535">
        <v>1</v>
      </c>
      <c r="E1183" s="1044" t="str">
        <f>VLOOKUP($B1183,DG!A:D,DG!$B$2,)</f>
        <v>05.6011</v>
      </c>
      <c r="F1183" s="1049" t="str">
        <f>VLOOKUP($B1183,DG!A:D,DG!$C$2,)</f>
        <v>Lắp bộ chống lệch</v>
      </c>
      <c r="G1183" s="1044" t="str">
        <f>VLOOKUP($B1183,DG!A:D,DG!$D$2,)</f>
        <v>bộ</v>
      </c>
      <c r="H1183" s="1823"/>
      <c r="I1183" s="1823"/>
      <c r="J1183" s="1823"/>
      <c r="K1183" s="1823"/>
      <c r="L1183" s="1823"/>
      <c r="M1183" s="1823"/>
      <c r="N1183" s="1823"/>
      <c r="O1183" s="1823"/>
      <c r="P1183" s="1823"/>
      <c r="Q1183" s="1053">
        <f t="shared" si="245"/>
        <v>0</v>
      </c>
      <c r="R1183" s="1058"/>
      <c r="S1183" s="1058"/>
      <c r="T1183" s="2035">
        <f t="shared" si="230"/>
        <v>0</v>
      </c>
    </row>
    <row r="1184" spans="1:20" ht="22.2" hidden="1" customHeight="1">
      <c r="A1184" s="59"/>
      <c r="B1184" s="1588" t="s">
        <v>356</v>
      </c>
      <c r="C1184" s="1013" t="str">
        <f t="shared" si="232"/>
        <v xml:space="preserve"> </v>
      </c>
      <c r="D1184" s="1534"/>
      <c r="E1184" s="1044" t="str">
        <f>VLOOKUP($B1184,DG!A:C,2,)</f>
        <v>02.1421</v>
      </c>
      <c r="F1184" s="1049" t="str">
        <f>VLOOKUP($B1184,DG!A:C,3,)</f>
        <v>V/c phụ kiện vào vị trí (cự ly &lt;=100m)</v>
      </c>
      <c r="G1184" s="1044" t="str">
        <f>VLOOKUP($B1184,DG!A:D,4,0)</f>
        <v>tấn</v>
      </c>
      <c r="H1184" s="1823"/>
      <c r="I1184" s="1823"/>
      <c r="J1184" s="1823"/>
      <c r="K1184" s="1823"/>
      <c r="L1184" s="1823"/>
      <c r="M1184" s="1823"/>
      <c r="N1184" s="1823"/>
      <c r="O1184" s="1823"/>
      <c r="P1184" s="1823"/>
      <c r="Q1184" s="1058"/>
      <c r="R1184" s="1058"/>
      <c r="S1184" s="1058"/>
      <c r="T1184" s="2035">
        <f t="shared" si="230"/>
        <v>0</v>
      </c>
    </row>
    <row r="1185" spans="1:20" ht="22.2" hidden="1" customHeight="1">
      <c r="A1185" s="56" t="s">
        <v>665</v>
      </c>
      <c r="B1185" s="1574" t="s">
        <v>665</v>
      </c>
      <c r="C1185" s="1013" t="str">
        <f t="shared" si="232"/>
        <v xml:space="preserve"> </v>
      </c>
      <c r="D1185" s="1532"/>
      <c r="E1185" s="1045"/>
      <c r="F1185" s="1392" t="s">
        <v>2477</v>
      </c>
      <c r="G1185" s="1046" t="s">
        <v>2391</v>
      </c>
      <c r="H1185" s="1821">
        <f>SUM(I1185:O1185)</f>
        <v>0</v>
      </c>
      <c r="I1185" s="1822"/>
      <c r="J1185" s="1822"/>
      <c r="K1185" s="1822">
        <f>IFERROR(HLOOKUP(B1185,pp3p1m!$1:$3,3,0),0)</f>
        <v>0</v>
      </c>
      <c r="L1185" s="1822">
        <f>IFERROR(HLOOKUP(chitiet!B1185,pp1p!$1:$3,3,0),0)</f>
        <v>0</v>
      </c>
      <c r="M1185" s="1822"/>
      <c r="N1185" s="1822"/>
      <c r="O1185" s="1822"/>
      <c r="P1185" s="1822">
        <f>H1185+Q1185-R1185</f>
        <v>0</v>
      </c>
      <c r="Q1185" s="1047"/>
      <c r="R1185" s="1047"/>
      <c r="S1185" s="1047"/>
      <c r="T1185" s="2035">
        <f>IFERROR(HLOOKUP(B1185,pp1p!$1:$3,3,0),0)+IFERROR(HLOOKUP(B1185,pp3p1m!$1:$3,3,0),0)</f>
        <v>0</v>
      </c>
    </row>
    <row r="1186" spans="1:20" ht="22.2" hidden="1" customHeight="1">
      <c r="A1186" s="59"/>
      <c r="B1186" s="1577" t="s">
        <v>1061</v>
      </c>
      <c r="C1186" s="1013" t="str">
        <f t="shared" si="232"/>
        <v xml:space="preserve"> </v>
      </c>
      <c r="D1186" s="1535">
        <v>2</v>
      </c>
      <c r="E1186" s="1044"/>
      <c r="F1186" s="1056" t="str">
        <f>VLOOKUP($B1186,DG!A:D,DG!$C$2,)</f>
        <v>Boulon mắt 16x250+ 2 long đền vuông D18-50x50x3/Zn</v>
      </c>
      <c r="G1186" s="1044" t="str">
        <f>VLOOKUP($B1186,DG!A:D,DG!$D$2,)</f>
        <v>bộ</v>
      </c>
      <c r="H1186" s="1823">
        <f t="shared" ref="H1186:N1191" si="250">H$1185*$D1186</f>
        <v>0</v>
      </c>
      <c r="I1186" s="1823">
        <f t="shared" si="250"/>
        <v>0</v>
      </c>
      <c r="J1186" s="1823">
        <f t="shared" si="250"/>
        <v>0</v>
      </c>
      <c r="K1186" s="1823">
        <f t="shared" si="250"/>
        <v>0</v>
      </c>
      <c r="L1186" s="1823">
        <f t="shared" si="250"/>
        <v>0</v>
      </c>
      <c r="M1186" s="1823">
        <f t="shared" si="250"/>
        <v>0</v>
      </c>
      <c r="N1186" s="1823">
        <f t="shared" si="250"/>
        <v>0</v>
      </c>
      <c r="O1186" s="1823"/>
      <c r="P1186" s="1823"/>
      <c r="Q1186" s="1053"/>
      <c r="R1186" s="1053"/>
      <c r="S1186" s="1053"/>
      <c r="T1186" s="2035">
        <f t="shared" si="230"/>
        <v>0</v>
      </c>
    </row>
    <row r="1187" spans="1:20" ht="22.2" hidden="1" customHeight="1">
      <c r="A1187" s="59"/>
      <c r="B1187" s="1577" t="s">
        <v>111</v>
      </c>
      <c r="C1187" s="1013" t="str">
        <f t="shared" si="232"/>
        <v xml:space="preserve"> </v>
      </c>
      <c r="D1187" s="1535">
        <v>2</v>
      </c>
      <c r="E1187" s="1044"/>
      <c r="F1187" s="1056" t="str">
        <f>VLOOKUP($B1187,DG!A:D,DG!$C$2,)</f>
        <v>Sứ chằng</v>
      </c>
      <c r="G1187" s="1044" t="str">
        <f>VLOOKUP($B1187,DG!A:D,DG!$D$2,)</f>
        <v>cái</v>
      </c>
      <c r="H1187" s="1823">
        <f t="shared" si="250"/>
        <v>0</v>
      </c>
      <c r="I1187" s="1823">
        <f t="shared" si="250"/>
        <v>0</v>
      </c>
      <c r="J1187" s="1823">
        <f t="shared" si="250"/>
        <v>0</v>
      </c>
      <c r="K1187" s="1823">
        <f t="shared" si="250"/>
        <v>0</v>
      </c>
      <c r="L1187" s="1823">
        <f t="shared" si="250"/>
        <v>0</v>
      </c>
      <c r="M1187" s="1823">
        <f t="shared" si="250"/>
        <v>0</v>
      </c>
      <c r="N1187" s="1823">
        <f t="shared" si="250"/>
        <v>0</v>
      </c>
      <c r="O1187" s="1823"/>
      <c r="P1187" s="1823"/>
      <c r="Q1187" s="1053"/>
      <c r="R1187" s="1053"/>
      <c r="S1187" s="1053"/>
      <c r="T1187" s="2035">
        <f t="shared" si="230"/>
        <v>0</v>
      </c>
    </row>
    <row r="1188" spans="1:20" ht="22.2" hidden="1" customHeight="1">
      <c r="A1188" s="59"/>
      <c r="B1188" s="1577" t="s">
        <v>1581</v>
      </c>
      <c r="C1188" s="1013" t="str">
        <f t="shared" si="232"/>
        <v xml:space="preserve"> </v>
      </c>
      <c r="D1188" s="1535">
        <v>16</v>
      </c>
      <c r="E1188" s="1044"/>
      <c r="F1188" s="1056" t="str">
        <f>VLOOKUP($B1188,DG!A:D,DG!$C$2,)</f>
        <v>Kẹp cáp 3 boulon</v>
      </c>
      <c r="G1188" s="1044" t="str">
        <f>VLOOKUP($B1188,DG!A:D,DG!$D$2,)</f>
        <v>cái</v>
      </c>
      <c r="H1188" s="1823">
        <f t="shared" si="250"/>
        <v>0</v>
      </c>
      <c r="I1188" s="1823">
        <f t="shared" si="250"/>
        <v>0</v>
      </c>
      <c r="J1188" s="1823">
        <f t="shared" si="250"/>
        <v>0</v>
      </c>
      <c r="K1188" s="1823">
        <f t="shared" si="250"/>
        <v>0</v>
      </c>
      <c r="L1188" s="1823">
        <f t="shared" si="250"/>
        <v>0</v>
      </c>
      <c r="M1188" s="1823">
        <f t="shared" si="250"/>
        <v>0</v>
      </c>
      <c r="N1188" s="1823">
        <f t="shared" si="250"/>
        <v>0</v>
      </c>
      <c r="O1188" s="1823"/>
      <c r="P1188" s="1823"/>
      <c r="Q1188" s="1053"/>
      <c r="R1188" s="1053"/>
      <c r="S1188" s="1053"/>
      <c r="T1188" s="2035">
        <f t="shared" si="230"/>
        <v>0</v>
      </c>
    </row>
    <row r="1189" spans="1:20" ht="22.2" hidden="1" customHeight="1">
      <c r="A1189" s="59"/>
      <c r="B1189" s="1577" t="s">
        <v>1362</v>
      </c>
      <c r="C1189" s="1013" t="str">
        <f t="shared" si="232"/>
        <v xml:space="preserve"> </v>
      </c>
      <c r="D1189" s="1535">
        <v>35</v>
      </c>
      <c r="E1189" s="1044"/>
      <c r="F1189" s="1056" t="str">
        <f>VLOOKUP($B1189,DG!A:D,DG!$C$2,)</f>
        <v>Cáp thép 5/8"</v>
      </c>
      <c r="G1189" s="1044" t="str">
        <f>VLOOKUP($B1189,DG!A:D,DG!$D$2,)</f>
        <v>kg</v>
      </c>
      <c r="H1189" s="1823">
        <f t="shared" si="250"/>
        <v>0</v>
      </c>
      <c r="I1189" s="1823">
        <f t="shared" si="250"/>
        <v>0</v>
      </c>
      <c r="J1189" s="1823">
        <f t="shared" si="250"/>
        <v>0</v>
      </c>
      <c r="K1189" s="1823">
        <f t="shared" si="250"/>
        <v>0</v>
      </c>
      <c r="L1189" s="1823">
        <f t="shared" si="250"/>
        <v>0</v>
      </c>
      <c r="M1189" s="1823">
        <f t="shared" si="250"/>
        <v>0</v>
      </c>
      <c r="N1189" s="1823">
        <f t="shared" si="250"/>
        <v>0</v>
      </c>
      <c r="O1189" s="1823"/>
      <c r="P1189" s="1823"/>
      <c r="Q1189" s="1053"/>
      <c r="R1189" s="1053"/>
      <c r="S1189" s="1053"/>
      <c r="T1189" s="2035">
        <f t="shared" si="230"/>
        <v>0</v>
      </c>
    </row>
    <row r="1190" spans="1:20" ht="22.2" hidden="1" customHeight="1">
      <c r="A1190" s="59"/>
      <c r="B1190" s="1577" t="s">
        <v>2004</v>
      </c>
      <c r="C1190" s="1013" t="str">
        <f t="shared" si="232"/>
        <v xml:space="preserve"> </v>
      </c>
      <c r="D1190" s="1535">
        <v>4</v>
      </c>
      <c r="E1190" s="1044"/>
      <c r="F1190" s="1056" t="str">
        <f>VLOOKUP($B1190,DG!A:D,DG!$C$2,)</f>
        <v>Yếm cáp dày 2mm</v>
      </c>
      <c r="G1190" s="1044" t="str">
        <f>VLOOKUP($B1190,DG!A:D,DG!$D$2,)</f>
        <v>cái</v>
      </c>
      <c r="H1190" s="1823">
        <f t="shared" si="250"/>
        <v>0</v>
      </c>
      <c r="I1190" s="1823">
        <f t="shared" si="250"/>
        <v>0</v>
      </c>
      <c r="J1190" s="1823">
        <f t="shared" si="250"/>
        <v>0</v>
      </c>
      <c r="K1190" s="1823">
        <f t="shared" si="250"/>
        <v>0</v>
      </c>
      <c r="L1190" s="1823">
        <f t="shared" si="250"/>
        <v>0</v>
      </c>
      <c r="M1190" s="1823">
        <f t="shared" si="250"/>
        <v>0</v>
      </c>
      <c r="N1190" s="1823">
        <f t="shared" si="250"/>
        <v>0</v>
      </c>
      <c r="O1190" s="1823"/>
      <c r="P1190" s="1823"/>
      <c r="Q1190" s="1053"/>
      <c r="R1190" s="1053"/>
      <c r="S1190" s="1053"/>
      <c r="T1190" s="2035">
        <f t="shared" si="230"/>
        <v>0</v>
      </c>
    </row>
    <row r="1191" spans="1:20" ht="22.2" hidden="1" customHeight="1">
      <c r="A1191" s="59"/>
      <c r="B1191" s="1577" t="s">
        <v>2005</v>
      </c>
      <c r="C1191" s="1013" t="str">
        <f t="shared" si="232"/>
        <v xml:space="preserve"> </v>
      </c>
      <c r="D1191" s="1535">
        <v>2</v>
      </c>
      <c r="E1191" s="1044"/>
      <c r="F1191" s="1056" t="str">
        <f>VLOOKUP($B1191,DG!A:D,DG!$C$2,)</f>
        <v>Máng che dây chằng dày 1,6mm</v>
      </c>
      <c r="G1191" s="1044" t="str">
        <f>VLOOKUP($B1191,DG!A:D,DG!$D$2,)</f>
        <v>cái</v>
      </c>
      <c r="H1191" s="1823">
        <f t="shared" si="250"/>
        <v>0</v>
      </c>
      <c r="I1191" s="1823">
        <f t="shared" si="250"/>
        <v>0</v>
      </c>
      <c r="J1191" s="1823">
        <f t="shared" si="250"/>
        <v>0</v>
      </c>
      <c r="K1191" s="1823">
        <f t="shared" si="250"/>
        <v>0</v>
      </c>
      <c r="L1191" s="1823">
        <f t="shared" si="250"/>
        <v>0</v>
      </c>
      <c r="M1191" s="1823">
        <f t="shared" si="250"/>
        <v>0</v>
      </c>
      <c r="N1191" s="1823">
        <f t="shared" si="250"/>
        <v>0</v>
      </c>
      <c r="O1191" s="1823"/>
      <c r="P1191" s="1823"/>
      <c r="Q1191" s="1053"/>
      <c r="R1191" s="1053"/>
      <c r="S1191" s="1053"/>
      <c r="T1191" s="2035">
        <f t="shared" si="230"/>
        <v>0</v>
      </c>
    </row>
    <row r="1192" spans="1:20" ht="22.2" hidden="1" customHeight="1">
      <c r="A1192" s="59"/>
      <c r="B1192" s="1577" t="s">
        <v>1922</v>
      </c>
      <c r="C1192" s="1013" t="str">
        <f t="shared" si="232"/>
        <v xml:space="preserve"> </v>
      </c>
      <c r="D1192" s="1535">
        <v>2</v>
      </c>
      <c r="E1192" s="1044" t="str">
        <f>VLOOKUP($B1192,DG!A:D,DG!$B$2,)</f>
        <v>06.3241</v>
      </c>
      <c r="F1192" s="1049" t="str">
        <f>VLOOKUP($B1192,DG!A:D,DG!$C$2,)</f>
        <v>Lắp bộ dây néo</v>
      </c>
      <c r="G1192" s="1044" t="str">
        <f>VLOOKUP($B1192,DG!A:D,DG!$D$2,)</f>
        <v>bộ</v>
      </c>
      <c r="H1192" s="1823"/>
      <c r="I1192" s="1823"/>
      <c r="J1192" s="1823"/>
      <c r="K1192" s="1823"/>
      <c r="L1192" s="1823"/>
      <c r="M1192" s="1823"/>
      <c r="N1192" s="1823"/>
      <c r="O1192" s="1823"/>
      <c r="P1192" s="1823"/>
      <c r="Q1192" s="1058"/>
      <c r="R1192" s="1058"/>
      <c r="S1192" s="1058"/>
      <c r="T1192" s="2035">
        <f t="shared" si="230"/>
        <v>0</v>
      </c>
    </row>
    <row r="1193" spans="1:20" ht="22.2" hidden="1" customHeight="1">
      <c r="A1193" s="59"/>
      <c r="B1193" s="1588" t="s">
        <v>356</v>
      </c>
      <c r="C1193" s="1013" t="str">
        <f t="shared" si="232"/>
        <v xml:space="preserve"> </v>
      </c>
      <c r="D1193" s="1534">
        <v>0.02</v>
      </c>
      <c r="E1193" s="1044" t="str">
        <f>VLOOKUP($B1193,DG!A:C,2,)</f>
        <v>02.1421</v>
      </c>
      <c r="F1193" s="1049" t="str">
        <f>VLOOKUP($B1193,DG!A:C,3,)</f>
        <v>V/c phụ kiện vào vị trí (cự ly &lt;=100m)</v>
      </c>
      <c r="G1193" s="1044" t="str">
        <f>VLOOKUP($B1193,DG!A:D,4,0)</f>
        <v>tấn</v>
      </c>
      <c r="H1193" s="1823"/>
      <c r="I1193" s="1823"/>
      <c r="J1193" s="1823"/>
      <c r="K1193" s="1823"/>
      <c r="L1193" s="1823"/>
      <c r="M1193" s="1823"/>
      <c r="N1193" s="1823"/>
      <c r="O1193" s="1823"/>
      <c r="P1193" s="1823"/>
      <c r="Q1193" s="1058"/>
      <c r="R1193" s="1058"/>
      <c r="S1193" s="1058"/>
      <c r="T1193" s="2035">
        <f t="shared" si="230"/>
        <v>0</v>
      </c>
    </row>
    <row r="1194" spans="1:20" ht="22.2" hidden="1" customHeight="1">
      <c r="A1194" s="56" t="s">
        <v>666</v>
      </c>
      <c r="B1194" s="1574" t="s">
        <v>666</v>
      </c>
      <c r="C1194" s="1013" t="str">
        <f t="shared" si="232"/>
        <v xml:space="preserve"> </v>
      </c>
      <c r="D1194" s="1532"/>
      <c r="E1194" s="1045"/>
      <c r="F1194" s="1392" t="s">
        <v>2478</v>
      </c>
      <c r="G1194" s="1046" t="s">
        <v>2391</v>
      </c>
      <c r="H1194" s="1821">
        <f>SUM(I1194:O1194)</f>
        <v>0</v>
      </c>
      <c r="I1194" s="1822"/>
      <c r="J1194" s="1822"/>
      <c r="K1194" s="1822">
        <f>IFERROR(HLOOKUP(B1194,pp3p1m!$1:$3,3,0),0)</f>
        <v>0</v>
      </c>
      <c r="L1194" s="1822">
        <f>IFERROR(HLOOKUP(chitiet!B1194,pp1p!$1:$3,3,0),0)</f>
        <v>0</v>
      </c>
      <c r="M1194" s="1822"/>
      <c r="N1194" s="1822"/>
      <c r="O1194" s="1822"/>
      <c r="P1194" s="1822">
        <f>H1194+Q1194-R1194</f>
        <v>0</v>
      </c>
      <c r="Q1194" s="1047"/>
      <c r="R1194" s="1047"/>
      <c r="S1194" s="1047"/>
      <c r="T1194" s="2035">
        <f>IFERROR(HLOOKUP(B1194,pp1p!$1:$3,3,0),0)+IFERROR(HLOOKUP(B1194,pp3p1m!$1:$3,3,0),0)</f>
        <v>0</v>
      </c>
    </row>
    <row r="1195" spans="1:20" ht="22.2" hidden="1" customHeight="1">
      <c r="A1195" s="59"/>
      <c r="B1195" s="1577" t="s">
        <v>1061</v>
      </c>
      <c r="C1195" s="1013" t="str">
        <f t="shared" si="232"/>
        <v xml:space="preserve"> </v>
      </c>
      <c r="D1195" s="1535">
        <v>1</v>
      </c>
      <c r="E1195" s="1044"/>
      <c r="F1195" s="1056" t="str">
        <f>VLOOKUP($B1195,DG!A:D,DG!$C$2,)</f>
        <v>Boulon mắt 16x250+ 2 long đền vuông D18-50x50x3/Zn</v>
      </c>
      <c r="G1195" s="1044" t="str">
        <f>VLOOKUP($B1195,DG!A:D,DG!$D$2,)</f>
        <v>bộ</v>
      </c>
      <c r="H1195" s="1823">
        <f t="shared" ref="H1195:N1200" si="251">H$1194*$D1195</f>
        <v>0</v>
      </c>
      <c r="I1195" s="1823">
        <f t="shared" si="251"/>
        <v>0</v>
      </c>
      <c r="J1195" s="1823">
        <f t="shared" si="251"/>
        <v>0</v>
      </c>
      <c r="K1195" s="1823">
        <f t="shared" si="251"/>
        <v>0</v>
      </c>
      <c r="L1195" s="1823">
        <f t="shared" si="251"/>
        <v>0</v>
      </c>
      <c r="M1195" s="1823">
        <f t="shared" si="251"/>
        <v>0</v>
      </c>
      <c r="N1195" s="1823">
        <f t="shared" si="251"/>
        <v>0</v>
      </c>
      <c r="O1195" s="1823"/>
      <c r="P1195" s="1823"/>
      <c r="Q1195" s="1053"/>
      <c r="R1195" s="1053"/>
      <c r="S1195" s="1053"/>
      <c r="T1195" s="2035">
        <f t="shared" si="230"/>
        <v>0</v>
      </c>
    </row>
    <row r="1196" spans="1:20" ht="22.2" hidden="1" customHeight="1">
      <c r="A1196" s="59"/>
      <c r="B1196" s="1577" t="s">
        <v>111</v>
      </c>
      <c r="C1196" s="1013" t="str">
        <f t="shared" si="232"/>
        <v xml:space="preserve"> </v>
      </c>
      <c r="D1196" s="1535">
        <v>1</v>
      </c>
      <c r="E1196" s="1044"/>
      <c r="F1196" s="1056" t="str">
        <f>VLOOKUP($B1196,DG!A:D,DG!$C$2,)</f>
        <v>Sứ chằng</v>
      </c>
      <c r="G1196" s="1044" t="str">
        <f>VLOOKUP($B1196,DG!A:D,DG!$D$2,)</f>
        <v>cái</v>
      </c>
      <c r="H1196" s="1823">
        <f t="shared" si="251"/>
        <v>0</v>
      </c>
      <c r="I1196" s="1823">
        <f t="shared" si="251"/>
        <v>0</v>
      </c>
      <c r="J1196" s="1823">
        <f t="shared" si="251"/>
        <v>0</v>
      </c>
      <c r="K1196" s="1823">
        <f t="shared" si="251"/>
        <v>0</v>
      </c>
      <c r="L1196" s="1823">
        <f t="shared" si="251"/>
        <v>0</v>
      </c>
      <c r="M1196" s="1823">
        <f t="shared" si="251"/>
        <v>0</v>
      </c>
      <c r="N1196" s="1823">
        <f t="shared" si="251"/>
        <v>0</v>
      </c>
      <c r="O1196" s="1823"/>
      <c r="P1196" s="1823"/>
      <c r="Q1196" s="1053"/>
      <c r="R1196" s="1053"/>
      <c r="S1196" s="1053"/>
      <c r="T1196" s="2035">
        <f t="shared" ref="T1196:T1259" si="252">IFERROR(HLOOKUP(B1196,BangKeTru,3,0),0)</f>
        <v>0</v>
      </c>
    </row>
    <row r="1197" spans="1:20" ht="22.2" hidden="1" customHeight="1">
      <c r="A1197" s="59"/>
      <c r="B1197" s="1577" t="s">
        <v>1581</v>
      </c>
      <c r="C1197" s="1013" t="str">
        <f t="shared" si="232"/>
        <v xml:space="preserve"> </v>
      </c>
      <c r="D1197" s="1535">
        <v>8</v>
      </c>
      <c r="E1197" s="1044"/>
      <c r="F1197" s="1056" t="str">
        <f>VLOOKUP($B1197,DG!A:D,DG!$C$2,)</f>
        <v>Kẹp cáp 3 boulon</v>
      </c>
      <c r="G1197" s="1044" t="str">
        <f>VLOOKUP($B1197,DG!A:D,DG!$D$2,)</f>
        <v>cái</v>
      </c>
      <c r="H1197" s="1823">
        <f t="shared" si="251"/>
        <v>0</v>
      </c>
      <c r="I1197" s="1823">
        <f t="shared" si="251"/>
        <v>0</v>
      </c>
      <c r="J1197" s="1823">
        <f t="shared" si="251"/>
        <v>0</v>
      </c>
      <c r="K1197" s="1823">
        <f t="shared" si="251"/>
        <v>0</v>
      </c>
      <c r="L1197" s="1823">
        <f t="shared" si="251"/>
        <v>0</v>
      </c>
      <c r="M1197" s="1823">
        <f t="shared" si="251"/>
        <v>0</v>
      </c>
      <c r="N1197" s="1823">
        <f t="shared" si="251"/>
        <v>0</v>
      </c>
      <c r="O1197" s="1823"/>
      <c r="P1197" s="1823"/>
      <c r="Q1197" s="1053"/>
      <c r="R1197" s="1053"/>
      <c r="S1197" s="1053"/>
      <c r="T1197" s="2035">
        <f t="shared" si="252"/>
        <v>0</v>
      </c>
    </row>
    <row r="1198" spans="1:20" ht="22.2" hidden="1" customHeight="1">
      <c r="A1198" s="59"/>
      <c r="B1198" s="1577" t="s">
        <v>275</v>
      </c>
      <c r="C1198" s="1013" t="str">
        <f t="shared" si="232"/>
        <v xml:space="preserve"> </v>
      </c>
      <c r="D1198" s="1535">
        <v>20</v>
      </c>
      <c r="E1198" s="1044"/>
      <c r="F1198" s="1056" t="str">
        <f>VLOOKUP($B1198,DG!A:D,DG!$C$2,)</f>
        <v>Cáp thép 3/8"</v>
      </c>
      <c r="G1198" s="1044" t="str">
        <f>VLOOKUP($B1198,DG!A:D,DG!$D$2,)</f>
        <v>kg</v>
      </c>
      <c r="H1198" s="1823">
        <f t="shared" si="251"/>
        <v>0</v>
      </c>
      <c r="I1198" s="1823">
        <f t="shared" si="251"/>
        <v>0</v>
      </c>
      <c r="J1198" s="1823">
        <f t="shared" si="251"/>
        <v>0</v>
      </c>
      <c r="K1198" s="1823">
        <f t="shared" si="251"/>
        <v>0</v>
      </c>
      <c r="L1198" s="1823">
        <f t="shared" si="251"/>
        <v>0</v>
      </c>
      <c r="M1198" s="1823">
        <f t="shared" si="251"/>
        <v>0</v>
      </c>
      <c r="N1198" s="1823">
        <f t="shared" si="251"/>
        <v>0</v>
      </c>
      <c r="O1198" s="1823"/>
      <c r="P1198" s="1823"/>
      <c r="Q1198" s="1053"/>
      <c r="R1198" s="1053"/>
      <c r="S1198" s="1053"/>
      <c r="T1198" s="2035">
        <f t="shared" si="252"/>
        <v>0</v>
      </c>
    </row>
    <row r="1199" spans="1:20" ht="22.2" hidden="1" customHeight="1">
      <c r="A1199" s="59"/>
      <c r="B1199" s="1577" t="s">
        <v>2004</v>
      </c>
      <c r="C1199" s="1013" t="str">
        <f t="shared" si="232"/>
        <v xml:space="preserve"> </v>
      </c>
      <c r="D1199" s="1535">
        <v>2</v>
      </c>
      <c r="E1199" s="1044"/>
      <c r="F1199" s="1056" t="str">
        <f>VLOOKUP($B1199,DG!A:D,DG!$C$2,)</f>
        <v>Yếm cáp dày 2mm</v>
      </c>
      <c r="G1199" s="1044" t="str">
        <f>VLOOKUP($B1199,DG!A:D,DG!$D$2,)</f>
        <v>cái</v>
      </c>
      <c r="H1199" s="1823">
        <f t="shared" si="251"/>
        <v>0</v>
      </c>
      <c r="I1199" s="1823">
        <f t="shared" si="251"/>
        <v>0</v>
      </c>
      <c r="J1199" s="1823">
        <f t="shared" si="251"/>
        <v>0</v>
      </c>
      <c r="K1199" s="1823">
        <f t="shared" si="251"/>
        <v>0</v>
      </c>
      <c r="L1199" s="1823">
        <f t="shared" si="251"/>
        <v>0</v>
      </c>
      <c r="M1199" s="1823">
        <f t="shared" si="251"/>
        <v>0</v>
      </c>
      <c r="N1199" s="1823">
        <f t="shared" si="251"/>
        <v>0</v>
      </c>
      <c r="O1199" s="1823"/>
      <c r="P1199" s="1823"/>
      <c r="Q1199" s="1053"/>
      <c r="R1199" s="1053"/>
      <c r="S1199" s="1053"/>
      <c r="T1199" s="2035">
        <f t="shared" si="252"/>
        <v>0</v>
      </c>
    </row>
    <row r="1200" spans="1:20" ht="22.2" hidden="1" customHeight="1">
      <c r="A1200" s="59"/>
      <c r="B1200" s="1577" t="s">
        <v>2005</v>
      </c>
      <c r="C1200" s="1013" t="str">
        <f t="shared" si="232"/>
        <v xml:space="preserve"> </v>
      </c>
      <c r="D1200" s="1535">
        <v>1</v>
      </c>
      <c r="E1200" s="1044"/>
      <c r="F1200" s="1056" t="str">
        <f>VLOOKUP($B1200,DG!A:D,DG!$C$2,)</f>
        <v>Máng che dây chằng dày 1,6mm</v>
      </c>
      <c r="G1200" s="1044" t="str">
        <f>VLOOKUP($B1200,DG!A:D,DG!$D$2,)</f>
        <v>cái</v>
      </c>
      <c r="H1200" s="1823">
        <f t="shared" si="251"/>
        <v>0</v>
      </c>
      <c r="I1200" s="1823">
        <f t="shared" si="251"/>
        <v>0</v>
      </c>
      <c r="J1200" s="1823">
        <f t="shared" si="251"/>
        <v>0</v>
      </c>
      <c r="K1200" s="1823">
        <f t="shared" si="251"/>
        <v>0</v>
      </c>
      <c r="L1200" s="1823">
        <f t="shared" si="251"/>
        <v>0</v>
      </c>
      <c r="M1200" s="1823">
        <f t="shared" si="251"/>
        <v>0</v>
      </c>
      <c r="N1200" s="1823">
        <f t="shared" si="251"/>
        <v>0</v>
      </c>
      <c r="O1200" s="1823"/>
      <c r="P1200" s="1823"/>
      <c r="Q1200" s="1053"/>
      <c r="R1200" s="1053"/>
      <c r="S1200" s="1053"/>
      <c r="T1200" s="2035">
        <f t="shared" si="252"/>
        <v>0</v>
      </c>
    </row>
    <row r="1201" spans="1:20" ht="22.2" hidden="1" customHeight="1">
      <c r="A1201" s="59"/>
      <c r="B1201" s="1577" t="s">
        <v>1922</v>
      </c>
      <c r="C1201" s="1013" t="str">
        <f t="shared" si="232"/>
        <v xml:space="preserve"> </v>
      </c>
      <c r="D1201" s="1535">
        <f>D1195</f>
        <v>1</v>
      </c>
      <c r="E1201" s="1044" t="str">
        <f>VLOOKUP($B1201,DG!A:D,DG!$B$2,)</f>
        <v>06.3241</v>
      </c>
      <c r="F1201" s="1049" t="str">
        <f>VLOOKUP($B1201,DG!A:D,DG!$C$2,)</f>
        <v>Lắp bộ dây néo</v>
      </c>
      <c r="G1201" s="1044" t="str">
        <f>VLOOKUP($B1201,DG!A:D,DG!$D$2,)</f>
        <v>bộ</v>
      </c>
      <c r="H1201" s="1823"/>
      <c r="I1201" s="1823"/>
      <c r="J1201" s="1823"/>
      <c r="K1201" s="1823"/>
      <c r="L1201" s="1823"/>
      <c r="M1201" s="1823"/>
      <c r="N1201" s="1823"/>
      <c r="O1201" s="1823"/>
      <c r="P1201" s="1823"/>
      <c r="Q1201" s="1058"/>
      <c r="R1201" s="1058"/>
      <c r="S1201" s="1058"/>
      <c r="T1201" s="2035">
        <f t="shared" si="252"/>
        <v>0</v>
      </c>
    </row>
    <row r="1202" spans="1:20" ht="22.2" hidden="1" customHeight="1">
      <c r="A1202" s="59"/>
      <c r="B1202" s="1588" t="s">
        <v>356</v>
      </c>
      <c r="C1202" s="1013" t="str">
        <f t="shared" si="232"/>
        <v xml:space="preserve"> </v>
      </c>
      <c r="D1202" s="1534"/>
      <c r="E1202" s="1044" t="str">
        <f>VLOOKUP($B1202,DG!A:C,2,)</f>
        <v>02.1421</v>
      </c>
      <c r="F1202" s="1049" t="str">
        <f>VLOOKUP($B1202,DG!A:C,3,)</f>
        <v>V/c phụ kiện vào vị trí (cự ly &lt;=100m)</v>
      </c>
      <c r="G1202" s="1044" t="str">
        <f>VLOOKUP($B1202,DG!A:D,4,0)</f>
        <v>tấn</v>
      </c>
      <c r="H1202" s="1823"/>
      <c r="I1202" s="1823"/>
      <c r="J1202" s="1823"/>
      <c r="K1202" s="1823"/>
      <c r="L1202" s="1823"/>
      <c r="M1202" s="1823"/>
      <c r="N1202" s="1823"/>
      <c r="O1202" s="1823"/>
      <c r="P1202" s="1823"/>
      <c r="Q1202" s="1058"/>
      <c r="R1202" s="1058"/>
      <c r="S1202" s="1058"/>
      <c r="T1202" s="2035">
        <f t="shared" si="252"/>
        <v>0</v>
      </c>
    </row>
    <row r="1203" spans="1:20" ht="22.2" hidden="1" customHeight="1">
      <c r="A1203" s="56" t="s">
        <v>912</v>
      </c>
      <c r="B1203" s="1574" t="s">
        <v>912</v>
      </c>
      <c r="C1203" s="1013" t="str">
        <f t="shared" si="232"/>
        <v xml:space="preserve"> </v>
      </c>
      <c r="D1203" s="1532"/>
      <c r="E1203" s="1045"/>
      <c r="F1203" s="1392" t="s">
        <v>2479</v>
      </c>
      <c r="G1203" s="1046" t="s">
        <v>2391</v>
      </c>
      <c r="H1203" s="1821">
        <f>SUM(I1203:O1203)</f>
        <v>0</v>
      </c>
      <c r="I1203" s="1822"/>
      <c r="J1203" s="1822"/>
      <c r="K1203" s="1822">
        <f>IFERROR(HLOOKUP(B1203,pp3p1m!$1:$3,3,0),0)</f>
        <v>0</v>
      </c>
      <c r="L1203" s="1822">
        <f>IFERROR(HLOOKUP(chitiet!B1203,pp1p!$1:$3,3,0),0)</f>
        <v>0</v>
      </c>
      <c r="M1203" s="1822"/>
      <c r="N1203" s="1822"/>
      <c r="O1203" s="1822"/>
      <c r="P1203" s="1822">
        <f>H1203+Q1203-R1203</f>
        <v>0</v>
      </c>
      <c r="Q1203" s="1047"/>
      <c r="R1203" s="1047"/>
      <c r="S1203" s="1047"/>
      <c r="T1203" s="2035">
        <f>IFERROR(HLOOKUP(B1203,pp1p!$1:$3,3,0),0)+IFERROR(HLOOKUP(B1203,pp3p1m!$1:$3,3,0),0)</f>
        <v>0</v>
      </c>
    </row>
    <row r="1204" spans="1:20" ht="22.2" hidden="1" customHeight="1">
      <c r="A1204" s="59"/>
      <c r="B1204" s="1577" t="s">
        <v>1061</v>
      </c>
      <c r="C1204" s="1013" t="str">
        <f t="shared" ref="C1204:C1267" si="253">IF(OR(P1204&lt;&gt;0,H1204&lt;&gt;0),"x"," ")</f>
        <v xml:space="preserve"> </v>
      </c>
      <c r="D1204" s="1535">
        <v>1</v>
      </c>
      <c r="E1204" s="1044"/>
      <c r="F1204" s="1056" t="str">
        <f>VLOOKUP($B1204,DG!A:D,DG!$C$2,)</f>
        <v>Boulon mắt 16x250+ 2 long đền vuông D18-50x50x3/Zn</v>
      </c>
      <c r="G1204" s="1044" t="str">
        <f>VLOOKUP($B1204,DG!A:D,DG!$D$2,)</f>
        <v>bộ</v>
      </c>
      <c r="H1204" s="1823">
        <f t="shared" ref="H1204:N1210" si="254">H$1203*$D1204</f>
        <v>0</v>
      </c>
      <c r="I1204" s="1823">
        <f t="shared" si="254"/>
        <v>0</v>
      </c>
      <c r="J1204" s="1823">
        <f t="shared" si="254"/>
        <v>0</v>
      </c>
      <c r="K1204" s="1823">
        <f t="shared" si="254"/>
        <v>0</v>
      </c>
      <c r="L1204" s="1823">
        <f t="shared" si="254"/>
        <v>0</v>
      </c>
      <c r="M1204" s="1823">
        <f t="shared" si="254"/>
        <v>0</v>
      </c>
      <c r="N1204" s="1823">
        <f t="shared" si="254"/>
        <v>0</v>
      </c>
      <c r="O1204" s="1823"/>
      <c r="P1204" s="1823"/>
      <c r="Q1204" s="1053"/>
      <c r="R1204" s="1053"/>
      <c r="S1204" s="1053"/>
      <c r="T1204" s="2035">
        <f t="shared" si="252"/>
        <v>0</v>
      </c>
    </row>
    <row r="1205" spans="1:20" ht="22.2" hidden="1" customHeight="1">
      <c r="A1205" s="59"/>
      <c r="B1205" s="1577" t="s">
        <v>111</v>
      </c>
      <c r="C1205" s="1013" t="str">
        <f t="shared" si="253"/>
        <v xml:space="preserve"> </v>
      </c>
      <c r="D1205" s="1535">
        <v>1</v>
      </c>
      <c r="E1205" s="1044"/>
      <c r="F1205" s="1056" t="str">
        <f>VLOOKUP($B1205,DG!A:D,DG!$C$2,)</f>
        <v>Sứ chằng</v>
      </c>
      <c r="G1205" s="1044" t="str">
        <f>VLOOKUP($B1205,DG!A:D,DG!$D$2,)</f>
        <v>cái</v>
      </c>
      <c r="H1205" s="1823">
        <f t="shared" si="254"/>
        <v>0</v>
      </c>
      <c r="I1205" s="1823">
        <f t="shared" si="254"/>
        <v>0</v>
      </c>
      <c r="J1205" s="1823">
        <f t="shared" si="254"/>
        <v>0</v>
      </c>
      <c r="K1205" s="1823">
        <f t="shared" si="254"/>
        <v>0</v>
      </c>
      <c r="L1205" s="1823">
        <f t="shared" si="254"/>
        <v>0</v>
      </c>
      <c r="M1205" s="1823">
        <f t="shared" si="254"/>
        <v>0</v>
      </c>
      <c r="N1205" s="1823">
        <f t="shared" si="254"/>
        <v>0</v>
      </c>
      <c r="O1205" s="1823"/>
      <c r="P1205" s="1823"/>
      <c r="Q1205" s="1053"/>
      <c r="R1205" s="1053"/>
      <c r="S1205" s="1053"/>
      <c r="T1205" s="2035">
        <f t="shared" si="252"/>
        <v>0</v>
      </c>
    </row>
    <row r="1206" spans="1:20" ht="22.2" hidden="1" customHeight="1">
      <c r="A1206" s="59"/>
      <c r="B1206" s="1577" t="s">
        <v>1581</v>
      </c>
      <c r="C1206" s="1013" t="str">
        <f t="shared" si="253"/>
        <v xml:space="preserve"> </v>
      </c>
      <c r="D1206" s="1535">
        <v>8</v>
      </c>
      <c r="E1206" s="1044"/>
      <c r="F1206" s="1056" t="str">
        <f>VLOOKUP($B1206,DG!A:D,DG!$C$2,)</f>
        <v>Kẹp cáp 3 boulon</v>
      </c>
      <c r="G1206" s="1044" t="str">
        <f>VLOOKUP($B1206,DG!A:D,DG!$D$2,)</f>
        <v>cái</v>
      </c>
      <c r="H1206" s="1823">
        <f t="shared" si="254"/>
        <v>0</v>
      </c>
      <c r="I1206" s="1823">
        <f t="shared" si="254"/>
        <v>0</v>
      </c>
      <c r="J1206" s="1823">
        <f t="shared" si="254"/>
        <v>0</v>
      </c>
      <c r="K1206" s="1823">
        <f t="shared" si="254"/>
        <v>0</v>
      </c>
      <c r="L1206" s="1823">
        <f t="shared" si="254"/>
        <v>0</v>
      </c>
      <c r="M1206" s="1823">
        <f t="shared" si="254"/>
        <v>0</v>
      </c>
      <c r="N1206" s="1823">
        <f t="shared" si="254"/>
        <v>0</v>
      </c>
      <c r="O1206" s="1823"/>
      <c r="P1206" s="1823"/>
      <c r="Q1206" s="1053"/>
      <c r="R1206" s="1053"/>
      <c r="S1206" s="1053"/>
      <c r="T1206" s="2035">
        <f t="shared" si="252"/>
        <v>0</v>
      </c>
    </row>
    <row r="1207" spans="1:20" ht="22.2" hidden="1" customHeight="1">
      <c r="A1207" s="59"/>
      <c r="B1207" s="1577" t="s">
        <v>275</v>
      </c>
      <c r="C1207" s="1013" t="str">
        <f t="shared" si="253"/>
        <v xml:space="preserve"> </v>
      </c>
      <c r="D1207" s="1535">
        <v>15</v>
      </c>
      <c r="E1207" s="1044"/>
      <c r="F1207" s="1056" t="str">
        <f>VLOOKUP($B1207,DG!A:D,DG!$C$2,)</f>
        <v>Cáp thép 3/8"</v>
      </c>
      <c r="G1207" s="1044" t="str">
        <f>VLOOKUP($B1207,DG!A:D,DG!$D$2,)</f>
        <v>kg</v>
      </c>
      <c r="H1207" s="1823">
        <f t="shared" si="254"/>
        <v>0</v>
      </c>
      <c r="I1207" s="1823">
        <f t="shared" si="254"/>
        <v>0</v>
      </c>
      <c r="J1207" s="1823">
        <f t="shared" si="254"/>
        <v>0</v>
      </c>
      <c r="K1207" s="1823">
        <f t="shared" si="254"/>
        <v>0</v>
      </c>
      <c r="L1207" s="1823">
        <f t="shared" si="254"/>
        <v>0</v>
      </c>
      <c r="M1207" s="1823">
        <f t="shared" si="254"/>
        <v>0</v>
      </c>
      <c r="N1207" s="1823">
        <f t="shared" si="254"/>
        <v>0</v>
      </c>
      <c r="O1207" s="1823"/>
      <c r="P1207" s="1823"/>
      <c r="Q1207" s="1053"/>
      <c r="R1207" s="1053"/>
      <c r="S1207" s="1053"/>
      <c r="T1207" s="2035">
        <f t="shared" si="252"/>
        <v>0</v>
      </c>
    </row>
    <row r="1208" spans="1:20" ht="22.2" hidden="1" customHeight="1">
      <c r="A1208" s="59"/>
      <c r="B1208" s="1577" t="s">
        <v>607</v>
      </c>
      <c r="C1208" s="1013" t="str">
        <f t="shared" si="253"/>
        <v xml:space="preserve"> </v>
      </c>
      <c r="D1208" s="1535">
        <v>1</v>
      </c>
      <c r="E1208" s="1044"/>
      <c r="F1208" s="1056" t="str">
        <f>VLOOKUP($B1208,DG!A:D,DG!$C$2,)</f>
        <v>Bộ chống chằng hẹp Ø60/50x1500+2BL12x40+BL16x250/80</v>
      </c>
      <c r="G1208" s="1044" t="str">
        <f>VLOOKUP($B1208,DG!A:D,DG!$D$2,)</f>
        <v>bộ</v>
      </c>
      <c r="H1208" s="1823">
        <f t="shared" si="254"/>
        <v>0</v>
      </c>
      <c r="I1208" s="1823">
        <f t="shared" si="254"/>
        <v>0</v>
      </c>
      <c r="J1208" s="1823">
        <f t="shared" si="254"/>
        <v>0</v>
      </c>
      <c r="K1208" s="1823">
        <f t="shared" si="254"/>
        <v>0</v>
      </c>
      <c r="L1208" s="1823">
        <f t="shared" si="254"/>
        <v>0</v>
      </c>
      <c r="M1208" s="1823">
        <f t="shared" si="254"/>
        <v>0</v>
      </c>
      <c r="N1208" s="1823">
        <f t="shared" si="254"/>
        <v>0</v>
      </c>
      <c r="O1208" s="1823"/>
      <c r="P1208" s="1823"/>
      <c r="Q1208" s="1053"/>
      <c r="R1208" s="1053"/>
      <c r="S1208" s="1053"/>
      <c r="T1208" s="2035">
        <f t="shared" si="252"/>
        <v>0</v>
      </c>
    </row>
    <row r="1209" spans="1:20" ht="22.2" hidden="1" customHeight="1">
      <c r="A1209" s="59"/>
      <c r="B1209" s="1577" t="s">
        <v>2004</v>
      </c>
      <c r="C1209" s="1013" t="str">
        <f t="shared" si="253"/>
        <v xml:space="preserve"> </v>
      </c>
      <c r="D1209" s="1535">
        <v>2</v>
      </c>
      <c r="E1209" s="1044"/>
      <c r="F1209" s="1056" t="str">
        <f>VLOOKUP($B1209,DG!A:D,DG!$C$2,)</f>
        <v>Yếm cáp dày 2mm</v>
      </c>
      <c r="G1209" s="1044" t="str">
        <f>VLOOKUP($B1209,DG!A:D,DG!$D$2,)</f>
        <v>cái</v>
      </c>
      <c r="H1209" s="1823">
        <f t="shared" si="254"/>
        <v>0</v>
      </c>
      <c r="I1209" s="1823">
        <f t="shared" si="254"/>
        <v>0</v>
      </c>
      <c r="J1209" s="1823">
        <f t="shared" si="254"/>
        <v>0</v>
      </c>
      <c r="K1209" s="1823">
        <f t="shared" si="254"/>
        <v>0</v>
      </c>
      <c r="L1209" s="1823">
        <f t="shared" si="254"/>
        <v>0</v>
      </c>
      <c r="M1209" s="1823">
        <f t="shared" si="254"/>
        <v>0</v>
      </c>
      <c r="N1209" s="1823">
        <f t="shared" si="254"/>
        <v>0</v>
      </c>
      <c r="O1209" s="1823"/>
      <c r="P1209" s="1823"/>
      <c r="Q1209" s="1053"/>
      <c r="R1209" s="1053"/>
      <c r="S1209" s="1053"/>
      <c r="T1209" s="2035">
        <f t="shared" si="252"/>
        <v>0</v>
      </c>
    </row>
    <row r="1210" spans="1:20" ht="22.2" hidden="1" customHeight="1">
      <c r="A1210" s="59"/>
      <c r="B1210" s="1577" t="s">
        <v>2005</v>
      </c>
      <c r="C1210" s="1013" t="str">
        <f t="shared" si="253"/>
        <v xml:space="preserve"> </v>
      </c>
      <c r="D1210" s="1535">
        <v>1</v>
      </c>
      <c r="E1210" s="1044"/>
      <c r="F1210" s="1056" t="str">
        <f>VLOOKUP($B1210,DG!A:D,DG!$C$2,)</f>
        <v>Máng che dây chằng dày 1,6mm</v>
      </c>
      <c r="G1210" s="1044" t="str">
        <f>VLOOKUP($B1210,DG!A:D,DG!$D$2,)</f>
        <v>cái</v>
      </c>
      <c r="H1210" s="1823">
        <f t="shared" si="254"/>
        <v>0</v>
      </c>
      <c r="I1210" s="1823">
        <f t="shared" si="254"/>
        <v>0</v>
      </c>
      <c r="J1210" s="1823">
        <f t="shared" si="254"/>
        <v>0</v>
      </c>
      <c r="K1210" s="1823">
        <f t="shared" si="254"/>
        <v>0</v>
      </c>
      <c r="L1210" s="1823">
        <f t="shared" si="254"/>
        <v>0</v>
      </c>
      <c r="M1210" s="1823">
        <f t="shared" si="254"/>
        <v>0</v>
      </c>
      <c r="N1210" s="1823">
        <f t="shared" si="254"/>
        <v>0</v>
      </c>
      <c r="O1210" s="1823"/>
      <c r="P1210" s="1823"/>
      <c r="Q1210" s="1053"/>
      <c r="R1210" s="1053"/>
      <c r="S1210" s="1053"/>
      <c r="T1210" s="2035">
        <f t="shared" si="252"/>
        <v>0</v>
      </c>
    </row>
    <row r="1211" spans="1:20" ht="22.2" hidden="1" customHeight="1">
      <c r="A1211" s="59"/>
      <c r="B1211" s="1577" t="s">
        <v>1922</v>
      </c>
      <c r="C1211" s="1013" t="str">
        <f t="shared" si="253"/>
        <v xml:space="preserve"> </v>
      </c>
      <c r="D1211" s="1535">
        <v>1</v>
      </c>
      <c r="E1211" s="1044" t="str">
        <f>VLOOKUP($B1211,DG!A:D,DG!$B$2,)</f>
        <v>06.3241</v>
      </c>
      <c r="F1211" s="1049" t="str">
        <f>VLOOKUP($B1211,DG!A:D,DG!$C$2,)</f>
        <v>Lắp bộ dây néo</v>
      </c>
      <c r="G1211" s="1044" t="str">
        <f>VLOOKUP($B1211,DG!A:D,DG!$D$2,)</f>
        <v>bộ</v>
      </c>
      <c r="H1211" s="1823"/>
      <c r="I1211" s="1823"/>
      <c r="J1211" s="1823"/>
      <c r="K1211" s="1823"/>
      <c r="L1211" s="1823"/>
      <c r="M1211" s="1823"/>
      <c r="N1211" s="1823"/>
      <c r="O1211" s="1823"/>
      <c r="P1211" s="1823"/>
      <c r="Q1211" s="1058"/>
      <c r="R1211" s="1058"/>
      <c r="S1211" s="1058"/>
      <c r="T1211" s="2035">
        <f t="shared" si="252"/>
        <v>0</v>
      </c>
    </row>
    <row r="1212" spans="1:20" ht="22.2" hidden="1" customHeight="1">
      <c r="A1212" s="59"/>
      <c r="B1212" s="1577" t="s">
        <v>1910</v>
      </c>
      <c r="C1212" s="1013" t="str">
        <f t="shared" si="253"/>
        <v xml:space="preserve"> </v>
      </c>
      <c r="D1212" s="1535">
        <v>1</v>
      </c>
      <c r="E1212" s="1044" t="str">
        <f>VLOOKUP($B1212,DG!A:D,DG!$B$2,)</f>
        <v>05.6011</v>
      </c>
      <c r="F1212" s="1049" t="str">
        <f>VLOOKUP($B1212,DG!A:D,DG!$C$2,)</f>
        <v>Lắp bộ chống lệch</v>
      </c>
      <c r="G1212" s="1044" t="str">
        <f>VLOOKUP($B1212,DG!A:D,DG!$D$2,)</f>
        <v>bộ</v>
      </c>
      <c r="H1212" s="1823"/>
      <c r="I1212" s="1823"/>
      <c r="J1212" s="1823"/>
      <c r="K1212" s="1823"/>
      <c r="L1212" s="1823"/>
      <c r="M1212" s="1823"/>
      <c r="N1212" s="1823"/>
      <c r="O1212" s="1823"/>
      <c r="P1212" s="1823"/>
      <c r="Q1212" s="1058"/>
      <c r="R1212" s="1058"/>
      <c r="S1212" s="1058"/>
      <c r="T1212" s="2035">
        <f t="shared" si="252"/>
        <v>0</v>
      </c>
    </row>
    <row r="1213" spans="1:20" ht="22.2" hidden="1" customHeight="1">
      <c r="A1213" s="59"/>
      <c r="B1213" s="1588" t="s">
        <v>356</v>
      </c>
      <c r="C1213" s="1013" t="str">
        <f t="shared" si="253"/>
        <v xml:space="preserve"> </v>
      </c>
      <c r="D1213" s="1534">
        <v>0.02</v>
      </c>
      <c r="E1213" s="1044" t="str">
        <f>VLOOKUP($B1213,DG!A:C,2,)</f>
        <v>02.1421</v>
      </c>
      <c r="F1213" s="1049" t="str">
        <f>VLOOKUP($B1213,DG!A:C,3,)</f>
        <v>V/c phụ kiện vào vị trí (cự ly &lt;=100m)</v>
      </c>
      <c r="G1213" s="1044" t="str">
        <f>VLOOKUP($B1213,DG!A:D,4,0)</f>
        <v>tấn</v>
      </c>
      <c r="H1213" s="1823"/>
      <c r="I1213" s="1823"/>
      <c r="J1213" s="1823"/>
      <c r="K1213" s="1823"/>
      <c r="L1213" s="1823"/>
      <c r="M1213" s="1823"/>
      <c r="N1213" s="1823"/>
      <c r="O1213" s="1823"/>
      <c r="P1213" s="1823"/>
      <c r="Q1213" s="1058"/>
      <c r="R1213" s="1058"/>
      <c r="S1213" s="1058"/>
      <c r="T1213" s="2035">
        <f t="shared" si="252"/>
        <v>0</v>
      </c>
    </row>
    <row r="1214" spans="1:20" ht="22.2" hidden="1" customHeight="1">
      <c r="A1214" s="56" t="s">
        <v>913</v>
      </c>
      <c r="B1214" s="1574" t="s">
        <v>913</v>
      </c>
      <c r="C1214" s="1013" t="str">
        <f t="shared" si="253"/>
        <v xml:space="preserve"> </v>
      </c>
      <c r="D1214" s="1532"/>
      <c r="E1214" s="1045"/>
      <c r="F1214" s="1392" t="s">
        <v>2480</v>
      </c>
      <c r="G1214" s="1046" t="s">
        <v>2391</v>
      </c>
      <c r="H1214" s="1821">
        <f>SUM(I1214:O1214)</f>
        <v>0</v>
      </c>
      <c r="I1214" s="1822"/>
      <c r="J1214" s="1822"/>
      <c r="K1214" s="1822">
        <f>IFERROR(HLOOKUP(B1214,pp3p1m!$1:$3,3,0),0)</f>
        <v>0</v>
      </c>
      <c r="L1214" s="1822">
        <f>IFERROR(HLOOKUP(chitiet!B1214,pp1p!$1:$3,3,0),0)</f>
        <v>0</v>
      </c>
      <c r="M1214" s="1822"/>
      <c r="N1214" s="1822"/>
      <c r="O1214" s="1822"/>
      <c r="P1214" s="1822">
        <f>H1214+Q1214-R1214</f>
        <v>0</v>
      </c>
      <c r="Q1214" s="1047"/>
      <c r="R1214" s="1047"/>
      <c r="S1214" s="1047"/>
      <c r="T1214" s="2035">
        <f>IFERROR(HLOOKUP(B1214,pp1p!$1:$3,3,0),0)+IFERROR(HLOOKUP(B1214,pp3p1m!$1:$3,3,0),0)</f>
        <v>0</v>
      </c>
    </row>
    <row r="1215" spans="1:20" ht="22.2" hidden="1" customHeight="1">
      <c r="A1215" s="59"/>
      <c r="B1215" s="1577" t="s">
        <v>1061</v>
      </c>
      <c r="C1215" s="1013" t="str">
        <f t="shared" si="253"/>
        <v xml:space="preserve"> </v>
      </c>
      <c r="D1215" s="1535">
        <v>2</v>
      </c>
      <c r="E1215" s="1044"/>
      <c r="F1215" s="1056" t="str">
        <f>VLOOKUP($B1215,DG!A:D,DG!$C$2,)</f>
        <v>Boulon mắt 16x250+ 2 long đền vuông D18-50x50x3/Zn</v>
      </c>
      <c r="G1215" s="1044" t="str">
        <f>VLOOKUP($B1215,DG!A:D,DG!$D$2,)</f>
        <v>bộ</v>
      </c>
      <c r="H1215" s="1823">
        <f t="shared" ref="H1215:N1220" si="255">H$1214*$D1215</f>
        <v>0</v>
      </c>
      <c r="I1215" s="1823">
        <f t="shared" si="255"/>
        <v>0</v>
      </c>
      <c r="J1215" s="1823">
        <f t="shared" si="255"/>
        <v>0</v>
      </c>
      <c r="K1215" s="1823">
        <f t="shared" si="255"/>
        <v>0</v>
      </c>
      <c r="L1215" s="1823">
        <f t="shared" si="255"/>
        <v>0</v>
      </c>
      <c r="M1215" s="1823">
        <f t="shared" si="255"/>
        <v>0</v>
      </c>
      <c r="N1215" s="1823">
        <f t="shared" si="255"/>
        <v>0</v>
      </c>
      <c r="O1215" s="1823"/>
      <c r="P1215" s="1823"/>
      <c r="Q1215" s="1053"/>
      <c r="R1215" s="1053"/>
      <c r="S1215" s="1053"/>
      <c r="T1215" s="2035">
        <f t="shared" si="252"/>
        <v>0</v>
      </c>
    </row>
    <row r="1216" spans="1:20" ht="22.2" hidden="1" customHeight="1">
      <c r="A1216" s="59"/>
      <c r="B1216" s="1577" t="s">
        <v>111</v>
      </c>
      <c r="C1216" s="1013" t="str">
        <f t="shared" si="253"/>
        <v xml:space="preserve"> </v>
      </c>
      <c r="D1216" s="1535">
        <v>2</v>
      </c>
      <c r="E1216" s="1044"/>
      <c r="F1216" s="1056" t="str">
        <f>VLOOKUP($B1216,DG!A:D,DG!$C$2,)</f>
        <v>Sứ chằng</v>
      </c>
      <c r="G1216" s="1044" t="str">
        <f>VLOOKUP($B1216,DG!A:D,DG!$D$2,)</f>
        <v>cái</v>
      </c>
      <c r="H1216" s="1823">
        <f t="shared" si="255"/>
        <v>0</v>
      </c>
      <c r="I1216" s="1823">
        <f t="shared" si="255"/>
        <v>0</v>
      </c>
      <c r="J1216" s="1823">
        <f t="shared" si="255"/>
        <v>0</v>
      </c>
      <c r="K1216" s="1823">
        <f t="shared" si="255"/>
        <v>0</v>
      </c>
      <c r="L1216" s="1823">
        <f t="shared" si="255"/>
        <v>0</v>
      </c>
      <c r="M1216" s="1823">
        <f t="shared" si="255"/>
        <v>0</v>
      </c>
      <c r="N1216" s="1823">
        <f t="shared" si="255"/>
        <v>0</v>
      </c>
      <c r="O1216" s="1823"/>
      <c r="P1216" s="1823"/>
      <c r="Q1216" s="1053"/>
      <c r="R1216" s="1053"/>
      <c r="S1216" s="1053"/>
      <c r="T1216" s="2035">
        <f t="shared" si="252"/>
        <v>0</v>
      </c>
    </row>
    <row r="1217" spans="1:20" ht="22.2" hidden="1" customHeight="1">
      <c r="A1217" s="59"/>
      <c r="B1217" s="1577" t="s">
        <v>1581</v>
      </c>
      <c r="C1217" s="1013" t="str">
        <f t="shared" si="253"/>
        <v xml:space="preserve"> </v>
      </c>
      <c r="D1217" s="1535">
        <v>16</v>
      </c>
      <c r="E1217" s="1044"/>
      <c r="F1217" s="1056" t="str">
        <f>VLOOKUP($B1217,DG!A:D,DG!$C$2,)</f>
        <v>Kẹp cáp 3 boulon</v>
      </c>
      <c r="G1217" s="1044" t="str">
        <f>VLOOKUP($B1217,DG!A:D,DG!$D$2,)</f>
        <v>cái</v>
      </c>
      <c r="H1217" s="1823">
        <f t="shared" si="255"/>
        <v>0</v>
      </c>
      <c r="I1217" s="1823">
        <f t="shared" si="255"/>
        <v>0</v>
      </c>
      <c r="J1217" s="1823">
        <f t="shared" si="255"/>
        <v>0</v>
      </c>
      <c r="K1217" s="1823">
        <f t="shared" si="255"/>
        <v>0</v>
      </c>
      <c r="L1217" s="1823">
        <f t="shared" si="255"/>
        <v>0</v>
      </c>
      <c r="M1217" s="1823">
        <f t="shared" si="255"/>
        <v>0</v>
      </c>
      <c r="N1217" s="1823">
        <f t="shared" si="255"/>
        <v>0</v>
      </c>
      <c r="O1217" s="1823"/>
      <c r="P1217" s="1823"/>
      <c r="Q1217" s="1053"/>
      <c r="R1217" s="1053"/>
      <c r="S1217" s="1053"/>
      <c r="T1217" s="2035">
        <f t="shared" si="252"/>
        <v>0</v>
      </c>
    </row>
    <row r="1218" spans="1:20" ht="22.2" hidden="1" customHeight="1">
      <c r="A1218" s="59"/>
      <c r="B1218" s="1577" t="s">
        <v>1362</v>
      </c>
      <c r="C1218" s="1013" t="str">
        <f t="shared" si="253"/>
        <v xml:space="preserve"> </v>
      </c>
      <c r="D1218" s="1535">
        <v>39</v>
      </c>
      <c r="E1218" s="1044"/>
      <c r="F1218" s="1056" t="str">
        <f>VLOOKUP($B1218,DG!A:D,DG!$C$2,)</f>
        <v>Cáp thép 5/8"</v>
      </c>
      <c r="G1218" s="1044" t="str">
        <f>VLOOKUP($B1218,DG!A:D,DG!$D$2,)</f>
        <v>kg</v>
      </c>
      <c r="H1218" s="1823">
        <f t="shared" si="255"/>
        <v>0</v>
      </c>
      <c r="I1218" s="1823">
        <f t="shared" si="255"/>
        <v>0</v>
      </c>
      <c r="J1218" s="1823">
        <f t="shared" si="255"/>
        <v>0</v>
      </c>
      <c r="K1218" s="1823">
        <f t="shared" si="255"/>
        <v>0</v>
      </c>
      <c r="L1218" s="1823">
        <f t="shared" si="255"/>
        <v>0</v>
      </c>
      <c r="M1218" s="1823">
        <f t="shared" si="255"/>
        <v>0</v>
      </c>
      <c r="N1218" s="1823">
        <f t="shared" si="255"/>
        <v>0</v>
      </c>
      <c r="O1218" s="1823"/>
      <c r="P1218" s="1823"/>
      <c r="Q1218" s="1053"/>
      <c r="R1218" s="1053"/>
      <c r="S1218" s="1053"/>
      <c r="T1218" s="2035">
        <f t="shared" si="252"/>
        <v>0</v>
      </c>
    </row>
    <row r="1219" spans="1:20" ht="22.2" hidden="1" customHeight="1">
      <c r="A1219" s="59"/>
      <c r="B1219" s="1577" t="s">
        <v>2004</v>
      </c>
      <c r="C1219" s="1013" t="str">
        <f t="shared" si="253"/>
        <v xml:space="preserve"> </v>
      </c>
      <c r="D1219" s="1535">
        <v>4</v>
      </c>
      <c r="E1219" s="1044"/>
      <c r="F1219" s="1056" t="str">
        <f>VLOOKUP($B1219,DG!A:D,DG!$C$2,)</f>
        <v>Yếm cáp dày 2mm</v>
      </c>
      <c r="G1219" s="1044" t="str">
        <f>VLOOKUP($B1219,DG!A:D,DG!$D$2,)</f>
        <v>cái</v>
      </c>
      <c r="H1219" s="1823">
        <f t="shared" si="255"/>
        <v>0</v>
      </c>
      <c r="I1219" s="1823">
        <f t="shared" si="255"/>
        <v>0</v>
      </c>
      <c r="J1219" s="1823">
        <f t="shared" si="255"/>
        <v>0</v>
      </c>
      <c r="K1219" s="1823">
        <f t="shared" si="255"/>
        <v>0</v>
      </c>
      <c r="L1219" s="1823">
        <f t="shared" si="255"/>
        <v>0</v>
      </c>
      <c r="M1219" s="1823">
        <f t="shared" si="255"/>
        <v>0</v>
      </c>
      <c r="N1219" s="1823">
        <f t="shared" si="255"/>
        <v>0</v>
      </c>
      <c r="O1219" s="1823"/>
      <c r="P1219" s="1823"/>
      <c r="Q1219" s="1053"/>
      <c r="R1219" s="1053"/>
      <c r="S1219" s="1053"/>
      <c r="T1219" s="2035">
        <f t="shared" si="252"/>
        <v>0</v>
      </c>
    </row>
    <row r="1220" spans="1:20" ht="22.2" hidden="1" customHeight="1">
      <c r="A1220" s="59"/>
      <c r="B1220" s="1577" t="s">
        <v>2005</v>
      </c>
      <c r="C1220" s="1013" t="str">
        <f t="shared" si="253"/>
        <v xml:space="preserve"> </v>
      </c>
      <c r="D1220" s="1535">
        <v>2</v>
      </c>
      <c r="E1220" s="1044"/>
      <c r="F1220" s="1056" t="str">
        <f>VLOOKUP($B1220,DG!A:D,DG!$C$2,)</f>
        <v>Máng che dây chằng dày 1,6mm</v>
      </c>
      <c r="G1220" s="1044" t="str">
        <f>VLOOKUP($B1220,DG!A:D,DG!$D$2,)</f>
        <v>cái</v>
      </c>
      <c r="H1220" s="1823">
        <f t="shared" si="255"/>
        <v>0</v>
      </c>
      <c r="I1220" s="1823">
        <f t="shared" si="255"/>
        <v>0</v>
      </c>
      <c r="J1220" s="1823">
        <f t="shared" si="255"/>
        <v>0</v>
      </c>
      <c r="K1220" s="1823">
        <f t="shared" si="255"/>
        <v>0</v>
      </c>
      <c r="L1220" s="1823">
        <f t="shared" si="255"/>
        <v>0</v>
      </c>
      <c r="M1220" s="1823">
        <f t="shared" si="255"/>
        <v>0</v>
      </c>
      <c r="N1220" s="1823">
        <f t="shared" si="255"/>
        <v>0</v>
      </c>
      <c r="O1220" s="1823"/>
      <c r="P1220" s="1823"/>
      <c r="Q1220" s="1053"/>
      <c r="R1220" s="1053"/>
      <c r="S1220" s="1053"/>
      <c r="T1220" s="2035">
        <f t="shared" si="252"/>
        <v>0</v>
      </c>
    </row>
    <row r="1221" spans="1:20" ht="22.2" hidden="1" customHeight="1">
      <c r="A1221" s="59"/>
      <c r="B1221" s="1577" t="s">
        <v>1922</v>
      </c>
      <c r="C1221" s="1013" t="str">
        <f t="shared" si="253"/>
        <v xml:space="preserve"> </v>
      </c>
      <c r="D1221" s="1535">
        <v>2</v>
      </c>
      <c r="E1221" s="1044" t="str">
        <f>VLOOKUP($B1221,DG!A:D,DG!$B$2,)</f>
        <v>06.3241</v>
      </c>
      <c r="F1221" s="1049" t="str">
        <f>VLOOKUP($B1221,DG!A:D,DG!$C$2,)</f>
        <v>Lắp bộ dây néo</v>
      </c>
      <c r="G1221" s="1044" t="str">
        <f>VLOOKUP($B1221,DG!A:D,DG!$D$2,)</f>
        <v>bộ</v>
      </c>
      <c r="H1221" s="1823"/>
      <c r="I1221" s="1823"/>
      <c r="J1221" s="1823"/>
      <c r="K1221" s="1823"/>
      <c r="L1221" s="1823"/>
      <c r="M1221" s="1823"/>
      <c r="N1221" s="1823"/>
      <c r="O1221" s="1823"/>
      <c r="P1221" s="1823"/>
      <c r="Q1221" s="1058"/>
      <c r="R1221" s="1058"/>
      <c r="S1221" s="1058"/>
      <c r="T1221" s="2035">
        <f t="shared" si="252"/>
        <v>0</v>
      </c>
    </row>
    <row r="1222" spans="1:20" ht="22.2" hidden="1" customHeight="1">
      <c r="A1222" s="59"/>
      <c r="B1222" s="1588" t="s">
        <v>356</v>
      </c>
      <c r="C1222" s="1013" t="str">
        <f t="shared" si="253"/>
        <v xml:space="preserve"> </v>
      </c>
      <c r="D1222" s="1534">
        <v>0.02</v>
      </c>
      <c r="E1222" s="1044" t="str">
        <f>VLOOKUP($B1222,DG!A:C,2,)</f>
        <v>02.1421</v>
      </c>
      <c r="F1222" s="1049" t="str">
        <f>VLOOKUP($B1222,DG!A:C,3,)</f>
        <v>V/c phụ kiện vào vị trí (cự ly &lt;=100m)</v>
      </c>
      <c r="G1222" s="1044" t="str">
        <f>VLOOKUP($B1222,DG!A:D,4,0)</f>
        <v>tấn</v>
      </c>
      <c r="H1222" s="1823"/>
      <c r="I1222" s="1823"/>
      <c r="J1222" s="1823"/>
      <c r="K1222" s="1823"/>
      <c r="L1222" s="1823"/>
      <c r="M1222" s="1823"/>
      <c r="N1222" s="1823"/>
      <c r="O1222" s="1823"/>
      <c r="P1222" s="1823"/>
      <c r="Q1222" s="1058"/>
      <c r="R1222" s="1058"/>
      <c r="S1222" s="1058"/>
      <c r="T1222" s="2035">
        <f t="shared" si="252"/>
        <v>0</v>
      </c>
    </row>
    <row r="1223" spans="1:20" ht="22.2" hidden="1" customHeight="1">
      <c r="A1223" s="56" t="s">
        <v>749</v>
      </c>
      <c r="B1223" s="1574" t="s">
        <v>749</v>
      </c>
      <c r="C1223" s="1013" t="str">
        <f t="shared" si="253"/>
        <v xml:space="preserve"> </v>
      </c>
      <c r="D1223" s="1532"/>
      <c r="E1223" s="1045"/>
      <c r="F1223" s="1392" t="s">
        <v>2481</v>
      </c>
      <c r="G1223" s="1046" t="s">
        <v>2391</v>
      </c>
      <c r="H1223" s="1821">
        <f>SUM(I1223:O1223)</f>
        <v>0</v>
      </c>
      <c r="I1223" s="1822"/>
      <c r="J1223" s="1822"/>
      <c r="K1223" s="1822">
        <f>IFERROR(HLOOKUP(B1223,pp3p1m!$1:$3,3,0),0)</f>
        <v>0</v>
      </c>
      <c r="L1223" s="1822">
        <f>IFERROR(HLOOKUP(chitiet!B1223,pp1p!$1:$3,3,0),0)</f>
        <v>0</v>
      </c>
      <c r="M1223" s="1822"/>
      <c r="N1223" s="1822"/>
      <c r="O1223" s="1822"/>
      <c r="P1223" s="1822">
        <f>H1223+Q1223-R1223</f>
        <v>0</v>
      </c>
      <c r="Q1223" s="1047"/>
      <c r="R1223" s="1047"/>
      <c r="S1223" s="1047"/>
      <c r="T1223" s="2035">
        <f>IFERROR(HLOOKUP(B1223,pp1p!$1:$3,3,0),0)+IFERROR(HLOOKUP(B1223,pp3p1m!$1:$3,3,0),0)</f>
        <v>0</v>
      </c>
    </row>
    <row r="1224" spans="1:20" ht="22.2" hidden="1" customHeight="1">
      <c r="A1224" s="59"/>
      <c r="B1224" s="1577" t="s">
        <v>1061</v>
      </c>
      <c r="C1224" s="1013" t="str">
        <f t="shared" si="253"/>
        <v xml:space="preserve"> </v>
      </c>
      <c r="D1224" s="1535">
        <v>2</v>
      </c>
      <c r="E1224" s="1044"/>
      <c r="F1224" s="1056" t="str">
        <f>VLOOKUP($B1224,DG!A:D,DG!$C$2,)</f>
        <v>Boulon mắt 16x250+ 2 long đền vuông D18-50x50x3/Zn</v>
      </c>
      <c r="G1224" s="1044" t="str">
        <f>VLOOKUP($B1224,DG!A:D,DG!$D$2,)</f>
        <v>bộ</v>
      </c>
      <c r="H1224" s="1823">
        <f t="shared" ref="H1224:N1228" si="256">H$1223*$D1224</f>
        <v>0</v>
      </c>
      <c r="I1224" s="1823">
        <f t="shared" si="256"/>
        <v>0</v>
      </c>
      <c r="J1224" s="1823">
        <f t="shared" si="256"/>
        <v>0</v>
      </c>
      <c r="K1224" s="1823">
        <f t="shared" si="256"/>
        <v>0</v>
      </c>
      <c r="L1224" s="1823">
        <f t="shared" si="256"/>
        <v>0</v>
      </c>
      <c r="M1224" s="1823">
        <f t="shared" si="256"/>
        <v>0</v>
      </c>
      <c r="N1224" s="1823">
        <f t="shared" si="256"/>
        <v>0</v>
      </c>
      <c r="O1224" s="1823"/>
      <c r="P1224" s="1823"/>
      <c r="Q1224" s="1053"/>
      <c r="R1224" s="1053"/>
      <c r="S1224" s="1053"/>
      <c r="T1224" s="2035">
        <f t="shared" si="252"/>
        <v>0</v>
      </c>
    </row>
    <row r="1225" spans="1:20" ht="22.2" hidden="1" customHeight="1">
      <c r="A1225" s="59"/>
      <c r="B1225" s="1577" t="s">
        <v>111</v>
      </c>
      <c r="C1225" s="1013" t="str">
        <f t="shared" si="253"/>
        <v xml:space="preserve"> </v>
      </c>
      <c r="D1225" s="1535">
        <v>2</v>
      </c>
      <c r="E1225" s="1044"/>
      <c r="F1225" s="1056" t="str">
        <f>VLOOKUP($B1225,DG!A:D,DG!$C$2,)</f>
        <v>Sứ chằng</v>
      </c>
      <c r="G1225" s="1044" t="str">
        <f>VLOOKUP($B1225,DG!A:D,DG!$D$2,)</f>
        <v>cái</v>
      </c>
      <c r="H1225" s="1823">
        <f t="shared" si="256"/>
        <v>0</v>
      </c>
      <c r="I1225" s="1823">
        <f t="shared" si="256"/>
        <v>0</v>
      </c>
      <c r="J1225" s="1823">
        <f t="shared" si="256"/>
        <v>0</v>
      </c>
      <c r="K1225" s="1823">
        <f t="shared" si="256"/>
        <v>0</v>
      </c>
      <c r="L1225" s="1823">
        <f t="shared" si="256"/>
        <v>0</v>
      </c>
      <c r="M1225" s="1823">
        <f t="shared" si="256"/>
        <v>0</v>
      </c>
      <c r="N1225" s="1823">
        <f t="shared" si="256"/>
        <v>0</v>
      </c>
      <c r="O1225" s="1823"/>
      <c r="P1225" s="1823"/>
      <c r="Q1225" s="1053"/>
      <c r="R1225" s="1053"/>
      <c r="S1225" s="1053"/>
      <c r="T1225" s="2035">
        <f t="shared" si="252"/>
        <v>0</v>
      </c>
    </row>
    <row r="1226" spans="1:20" ht="22.2" hidden="1" customHeight="1">
      <c r="A1226" s="59"/>
      <c r="B1226" s="1577" t="s">
        <v>1581</v>
      </c>
      <c r="C1226" s="1013" t="str">
        <f t="shared" si="253"/>
        <v xml:space="preserve"> </v>
      </c>
      <c r="D1226" s="1535">
        <v>12</v>
      </c>
      <c r="E1226" s="1044"/>
      <c r="F1226" s="1056" t="str">
        <f>VLOOKUP($B1226,DG!A:D,DG!$C$2,)</f>
        <v>Kẹp cáp 3 boulon</v>
      </c>
      <c r="G1226" s="1044" t="str">
        <f>VLOOKUP($B1226,DG!A:D,DG!$D$2,)</f>
        <v>cái</v>
      </c>
      <c r="H1226" s="1823">
        <f t="shared" si="256"/>
        <v>0</v>
      </c>
      <c r="I1226" s="1823">
        <f t="shared" si="256"/>
        <v>0</v>
      </c>
      <c r="J1226" s="1823">
        <f t="shared" si="256"/>
        <v>0</v>
      </c>
      <c r="K1226" s="1823">
        <f t="shared" si="256"/>
        <v>0</v>
      </c>
      <c r="L1226" s="1823">
        <f t="shared" si="256"/>
        <v>0</v>
      </c>
      <c r="M1226" s="1823">
        <f t="shared" si="256"/>
        <v>0</v>
      </c>
      <c r="N1226" s="1823">
        <f t="shared" si="256"/>
        <v>0</v>
      </c>
      <c r="O1226" s="1823"/>
      <c r="P1226" s="1823"/>
      <c r="Q1226" s="1053"/>
      <c r="R1226" s="1053"/>
      <c r="S1226" s="1053"/>
      <c r="T1226" s="2035">
        <f t="shared" si="252"/>
        <v>0</v>
      </c>
    </row>
    <row r="1227" spans="1:20" ht="22.2" hidden="1" customHeight="1">
      <c r="A1227" s="59"/>
      <c r="B1227" s="1577" t="s">
        <v>1362</v>
      </c>
      <c r="C1227" s="1013" t="str">
        <f t="shared" si="253"/>
        <v xml:space="preserve"> </v>
      </c>
      <c r="D1227" s="1535">
        <v>12</v>
      </c>
      <c r="E1227" s="1044"/>
      <c r="F1227" s="1056" t="str">
        <f>VLOOKUP($B1227,DG!A:D,DG!$C$2,)</f>
        <v>Cáp thép 5/8"</v>
      </c>
      <c r="G1227" s="1044" t="str">
        <f>VLOOKUP($B1227,DG!A:D,DG!$D$2,)</f>
        <v>kg</v>
      </c>
      <c r="H1227" s="1823">
        <f t="shared" si="256"/>
        <v>0</v>
      </c>
      <c r="I1227" s="1823">
        <f t="shared" si="256"/>
        <v>0</v>
      </c>
      <c r="J1227" s="1823">
        <f t="shared" si="256"/>
        <v>0</v>
      </c>
      <c r="K1227" s="1823">
        <f t="shared" si="256"/>
        <v>0</v>
      </c>
      <c r="L1227" s="1823">
        <f t="shared" si="256"/>
        <v>0</v>
      </c>
      <c r="M1227" s="1823">
        <f t="shared" si="256"/>
        <v>0</v>
      </c>
      <c r="N1227" s="1823">
        <f t="shared" si="256"/>
        <v>0</v>
      </c>
      <c r="O1227" s="1823"/>
      <c r="P1227" s="1823"/>
      <c r="Q1227" s="1053"/>
      <c r="R1227" s="1053"/>
      <c r="S1227" s="1053"/>
      <c r="T1227" s="2035">
        <f t="shared" si="252"/>
        <v>0</v>
      </c>
    </row>
    <row r="1228" spans="1:20" ht="22.2" hidden="1" customHeight="1">
      <c r="A1228" s="59"/>
      <c r="B1228" s="1577" t="s">
        <v>2004</v>
      </c>
      <c r="C1228" s="1013" t="str">
        <f t="shared" si="253"/>
        <v xml:space="preserve"> </v>
      </c>
      <c r="D1228" s="1535">
        <v>2</v>
      </c>
      <c r="E1228" s="1044"/>
      <c r="F1228" s="1056" t="str">
        <f>VLOOKUP($B1228,DG!A:D,DG!$C$2,)</f>
        <v>Yếm cáp dày 2mm</v>
      </c>
      <c r="G1228" s="1044" t="str">
        <f>VLOOKUP($B1228,DG!A:D,DG!$D$2,)</f>
        <v>cái</v>
      </c>
      <c r="H1228" s="1823">
        <f t="shared" si="256"/>
        <v>0</v>
      </c>
      <c r="I1228" s="1823">
        <f t="shared" si="256"/>
        <v>0</v>
      </c>
      <c r="J1228" s="1823">
        <f t="shared" si="256"/>
        <v>0</v>
      </c>
      <c r="K1228" s="1823">
        <f t="shared" si="256"/>
        <v>0</v>
      </c>
      <c r="L1228" s="1823">
        <f t="shared" si="256"/>
        <v>0</v>
      </c>
      <c r="M1228" s="1823">
        <f t="shared" si="256"/>
        <v>0</v>
      </c>
      <c r="N1228" s="1823">
        <f t="shared" si="256"/>
        <v>0</v>
      </c>
      <c r="O1228" s="1823"/>
      <c r="P1228" s="1823"/>
      <c r="Q1228" s="1053"/>
      <c r="R1228" s="1053"/>
      <c r="S1228" s="1053"/>
      <c r="T1228" s="2035">
        <f t="shared" si="252"/>
        <v>0</v>
      </c>
    </row>
    <row r="1229" spans="1:20" ht="22.2" hidden="1" customHeight="1">
      <c r="A1229" s="59"/>
      <c r="B1229" s="1577" t="s">
        <v>1922</v>
      </c>
      <c r="C1229" s="1013" t="str">
        <f t="shared" si="253"/>
        <v xml:space="preserve"> </v>
      </c>
      <c r="D1229" s="1535">
        <v>2</v>
      </c>
      <c r="E1229" s="1044" t="str">
        <f>VLOOKUP($B1229,DG!A:D,DG!$B$2,)</f>
        <v>06.3241</v>
      </c>
      <c r="F1229" s="1049" t="str">
        <f>VLOOKUP($B1229,DG!A:D,DG!$C$2,)</f>
        <v>Lắp bộ dây néo</v>
      </c>
      <c r="G1229" s="1044" t="str">
        <f>VLOOKUP($B1229,DG!A:D,DG!$D$2,)</f>
        <v>bộ</v>
      </c>
      <c r="H1229" s="1823"/>
      <c r="I1229" s="1823"/>
      <c r="J1229" s="1823"/>
      <c r="K1229" s="1823"/>
      <c r="L1229" s="1823"/>
      <c r="M1229" s="1823"/>
      <c r="N1229" s="1823"/>
      <c r="O1229" s="1823"/>
      <c r="P1229" s="1823"/>
      <c r="Q1229" s="1058"/>
      <c r="R1229" s="1058"/>
      <c r="S1229" s="1058"/>
      <c r="T1229" s="2035">
        <f t="shared" si="252"/>
        <v>0</v>
      </c>
    </row>
    <row r="1230" spans="1:20" ht="22.2" hidden="1" customHeight="1">
      <c r="A1230" s="59"/>
      <c r="B1230" s="1588" t="s">
        <v>356</v>
      </c>
      <c r="C1230" s="1013" t="str">
        <f t="shared" si="253"/>
        <v xml:space="preserve"> </v>
      </c>
      <c r="D1230" s="1534">
        <v>0.02</v>
      </c>
      <c r="E1230" s="1044" t="str">
        <f>VLOOKUP($B1230,DG!A:C,2,)</f>
        <v>02.1421</v>
      </c>
      <c r="F1230" s="1049" t="str">
        <f>VLOOKUP($B1230,DG!A:C,3,)</f>
        <v>V/c phụ kiện vào vị trí (cự ly &lt;=100m)</v>
      </c>
      <c r="G1230" s="1044" t="str">
        <f>VLOOKUP($B1230,DG!A:D,4,0)</f>
        <v>tấn</v>
      </c>
      <c r="H1230" s="1823"/>
      <c r="I1230" s="1823"/>
      <c r="J1230" s="1823"/>
      <c r="K1230" s="1823"/>
      <c r="L1230" s="1823"/>
      <c r="M1230" s="1823"/>
      <c r="N1230" s="1823"/>
      <c r="O1230" s="1823"/>
      <c r="P1230" s="1823"/>
      <c r="Q1230" s="1058"/>
      <c r="R1230" s="1058"/>
      <c r="S1230" s="1058"/>
      <c r="T1230" s="2035">
        <f t="shared" si="252"/>
        <v>0</v>
      </c>
    </row>
    <row r="1231" spans="1:20" ht="22.2" hidden="1" customHeight="1">
      <c r="A1231" s="56" t="s">
        <v>748</v>
      </c>
      <c r="B1231" s="1574" t="s">
        <v>748</v>
      </c>
      <c r="C1231" s="1013" t="str">
        <f t="shared" si="253"/>
        <v xml:space="preserve"> </v>
      </c>
      <c r="D1231" s="1532"/>
      <c r="E1231" s="1045"/>
      <c r="F1231" s="1392" t="s">
        <v>2482</v>
      </c>
      <c r="G1231" s="1046" t="s">
        <v>2391</v>
      </c>
      <c r="H1231" s="1821">
        <f>SUM(I1231:O1231)</f>
        <v>0</v>
      </c>
      <c r="I1231" s="1822"/>
      <c r="J1231" s="1822"/>
      <c r="K1231" s="1822">
        <f>IFERROR(HLOOKUP(B1231,pp3p1m!$1:$3,3,0),0)</f>
        <v>0</v>
      </c>
      <c r="L1231" s="1822">
        <f>IFERROR(HLOOKUP(chitiet!B1231,pp1p!$1:$3,3,0),0)</f>
        <v>0</v>
      </c>
      <c r="M1231" s="1822"/>
      <c r="N1231" s="1822"/>
      <c r="O1231" s="1822"/>
      <c r="P1231" s="1822">
        <f>H1231+Q1231-R1231</f>
        <v>0</v>
      </c>
      <c r="Q1231" s="1047"/>
      <c r="R1231" s="1047"/>
      <c r="S1231" s="1047"/>
      <c r="T1231" s="2035">
        <f>IFERROR(HLOOKUP(B1231,pp1p!$1:$3,3,0),0)+IFERROR(HLOOKUP(B1231,pp3p1m!$1:$3,3,0),0)</f>
        <v>0</v>
      </c>
    </row>
    <row r="1232" spans="1:20" ht="22.2" hidden="1" customHeight="1">
      <c r="A1232" s="59"/>
      <c r="B1232" s="1577" t="s">
        <v>1061</v>
      </c>
      <c r="C1232" s="1013" t="str">
        <f t="shared" si="253"/>
        <v xml:space="preserve"> </v>
      </c>
      <c r="D1232" s="1535">
        <v>4</v>
      </c>
      <c r="E1232" s="1044"/>
      <c r="F1232" s="1056" t="str">
        <f>VLOOKUP($B1232,DG!A:D,DG!$C$2,)</f>
        <v>Boulon mắt 16x250+ 2 long đền vuông D18-50x50x3/Zn</v>
      </c>
      <c r="G1232" s="1044" t="str">
        <f>VLOOKUP($B1232,DG!A:D,DG!$D$2,)</f>
        <v>bộ</v>
      </c>
      <c r="H1232" s="1823">
        <f t="shared" ref="H1232:N1236" si="257">H$1231*$D1232</f>
        <v>0</v>
      </c>
      <c r="I1232" s="1823">
        <f t="shared" si="257"/>
        <v>0</v>
      </c>
      <c r="J1232" s="1823">
        <f t="shared" si="257"/>
        <v>0</v>
      </c>
      <c r="K1232" s="1823">
        <f t="shared" si="257"/>
        <v>0</v>
      </c>
      <c r="L1232" s="1823">
        <f t="shared" si="257"/>
        <v>0</v>
      </c>
      <c r="M1232" s="1823">
        <f t="shared" si="257"/>
        <v>0</v>
      </c>
      <c r="N1232" s="1823">
        <f t="shared" si="257"/>
        <v>0</v>
      </c>
      <c r="O1232" s="1823"/>
      <c r="P1232" s="1823"/>
      <c r="Q1232" s="1053"/>
      <c r="R1232" s="1053"/>
      <c r="S1232" s="1053"/>
      <c r="T1232" s="2035">
        <f t="shared" si="252"/>
        <v>0</v>
      </c>
    </row>
    <row r="1233" spans="1:20" ht="22.2" hidden="1" customHeight="1">
      <c r="A1233" s="59"/>
      <c r="B1233" s="1577" t="s">
        <v>111</v>
      </c>
      <c r="C1233" s="1013" t="str">
        <f t="shared" si="253"/>
        <v xml:space="preserve"> </v>
      </c>
      <c r="D1233" s="1535">
        <v>4</v>
      </c>
      <c r="E1233" s="1044"/>
      <c r="F1233" s="1056" t="str">
        <f>VLOOKUP($B1233,DG!A:D,DG!$C$2,)</f>
        <v>Sứ chằng</v>
      </c>
      <c r="G1233" s="1044" t="str">
        <f>VLOOKUP($B1233,DG!A:D,DG!$D$2,)</f>
        <v>cái</v>
      </c>
      <c r="H1233" s="1823">
        <f t="shared" si="257"/>
        <v>0</v>
      </c>
      <c r="I1233" s="1823">
        <f t="shared" si="257"/>
        <v>0</v>
      </c>
      <c r="J1233" s="1823">
        <f t="shared" si="257"/>
        <v>0</v>
      </c>
      <c r="K1233" s="1823">
        <f t="shared" si="257"/>
        <v>0</v>
      </c>
      <c r="L1233" s="1823">
        <f t="shared" si="257"/>
        <v>0</v>
      </c>
      <c r="M1233" s="1823">
        <f t="shared" si="257"/>
        <v>0</v>
      </c>
      <c r="N1233" s="1823">
        <f t="shared" si="257"/>
        <v>0</v>
      </c>
      <c r="O1233" s="1823"/>
      <c r="P1233" s="1823"/>
      <c r="Q1233" s="1053"/>
      <c r="R1233" s="1053"/>
      <c r="S1233" s="1053"/>
      <c r="T1233" s="2035">
        <f t="shared" si="252"/>
        <v>0</v>
      </c>
    </row>
    <row r="1234" spans="1:20" ht="22.2" hidden="1" customHeight="1">
      <c r="A1234" s="59"/>
      <c r="B1234" s="1577" t="s">
        <v>1581</v>
      </c>
      <c r="C1234" s="1013" t="str">
        <f t="shared" si="253"/>
        <v xml:space="preserve"> </v>
      </c>
      <c r="D1234" s="1535">
        <v>24</v>
      </c>
      <c r="E1234" s="1044"/>
      <c r="F1234" s="1056" t="str">
        <f>VLOOKUP($B1234,DG!A:D,DG!$C$2,)</f>
        <v>Kẹp cáp 3 boulon</v>
      </c>
      <c r="G1234" s="1044" t="str">
        <f>VLOOKUP($B1234,DG!A:D,DG!$D$2,)</f>
        <v>cái</v>
      </c>
      <c r="H1234" s="1823">
        <f t="shared" si="257"/>
        <v>0</v>
      </c>
      <c r="I1234" s="1823">
        <f t="shared" si="257"/>
        <v>0</v>
      </c>
      <c r="J1234" s="1823">
        <f t="shared" si="257"/>
        <v>0</v>
      </c>
      <c r="K1234" s="1823">
        <f t="shared" si="257"/>
        <v>0</v>
      </c>
      <c r="L1234" s="1823">
        <f t="shared" si="257"/>
        <v>0</v>
      </c>
      <c r="M1234" s="1823">
        <f t="shared" si="257"/>
        <v>0</v>
      </c>
      <c r="N1234" s="1823">
        <f t="shared" si="257"/>
        <v>0</v>
      </c>
      <c r="O1234" s="1823"/>
      <c r="P1234" s="1823"/>
      <c r="Q1234" s="1053"/>
      <c r="R1234" s="1053"/>
      <c r="S1234" s="1053"/>
      <c r="T1234" s="2035">
        <f t="shared" si="252"/>
        <v>0</v>
      </c>
    </row>
    <row r="1235" spans="1:20" ht="22.2" hidden="1" customHeight="1">
      <c r="A1235" s="59"/>
      <c r="B1235" s="1577" t="s">
        <v>1362</v>
      </c>
      <c r="C1235" s="1013" t="str">
        <f t="shared" si="253"/>
        <v xml:space="preserve"> </v>
      </c>
      <c r="D1235" s="1535">
        <v>12</v>
      </c>
      <c r="E1235" s="1044"/>
      <c r="F1235" s="1056" t="str">
        <f>VLOOKUP($B1235,DG!A:D,DG!$C$2,)</f>
        <v>Cáp thép 5/8"</v>
      </c>
      <c r="G1235" s="1044" t="str">
        <f>VLOOKUP($B1235,DG!A:D,DG!$D$2,)</f>
        <v>kg</v>
      </c>
      <c r="H1235" s="1823">
        <f t="shared" si="257"/>
        <v>0</v>
      </c>
      <c r="I1235" s="1823">
        <f t="shared" si="257"/>
        <v>0</v>
      </c>
      <c r="J1235" s="1823">
        <f t="shared" si="257"/>
        <v>0</v>
      </c>
      <c r="K1235" s="1823">
        <f t="shared" si="257"/>
        <v>0</v>
      </c>
      <c r="L1235" s="1823">
        <f t="shared" si="257"/>
        <v>0</v>
      </c>
      <c r="M1235" s="1823">
        <f t="shared" si="257"/>
        <v>0</v>
      </c>
      <c r="N1235" s="1823">
        <f t="shared" si="257"/>
        <v>0</v>
      </c>
      <c r="O1235" s="1823"/>
      <c r="P1235" s="1823"/>
      <c r="Q1235" s="1053"/>
      <c r="R1235" s="1053"/>
      <c r="S1235" s="1053"/>
      <c r="T1235" s="2035">
        <f t="shared" si="252"/>
        <v>0</v>
      </c>
    </row>
    <row r="1236" spans="1:20" ht="22.2" hidden="1" customHeight="1">
      <c r="A1236" s="59"/>
      <c r="B1236" s="1577" t="s">
        <v>2004</v>
      </c>
      <c r="C1236" s="1013" t="str">
        <f t="shared" si="253"/>
        <v xml:space="preserve"> </v>
      </c>
      <c r="D1236" s="1535">
        <v>4</v>
      </c>
      <c r="E1236" s="1044"/>
      <c r="F1236" s="1056" t="str">
        <f>VLOOKUP($B1236,DG!A:D,DG!$C$2,)</f>
        <v>Yếm cáp dày 2mm</v>
      </c>
      <c r="G1236" s="1044" t="str">
        <f>VLOOKUP($B1236,DG!A:D,DG!$D$2,)</f>
        <v>cái</v>
      </c>
      <c r="H1236" s="1823">
        <f t="shared" si="257"/>
        <v>0</v>
      </c>
      <c r="I1236" s="1823">
        <f t="shared" si="257"/>
        <v>0</v>
      </c>
      <c r="J1236" s="1823">
        <f t="shared" si="257"/>
        <v>0</v>
      </c>
      <c r="K1236" s="1823">
        <f t="shared" si="257"/>
        <v>0</v>
      </c>
      <c r="L1236" s="1823">
        <f t="shared" si="257"/>
        <v>0</v>
      </c>
      <c r="M1236" s="1823">
        <f t="shared" si="257"/>
        <v>0</v>
      </c>
      <c r="N1236" s="1823">
        <f t="shared" si="257"/>
        <v>0</v>
      </c>
      <c r="O1236" s="1823"/>
      <c r="P1236" s="1823"/>
      <c r="Q1236" s="1053"/>
      <c r="R1236" s="1053"/>
      <c r="S1236" s="1053"/>
      <c r="T1236" s="2035">
        <f t="shared" si="252"/>
        <v>0</v>
      </c>
    </row>
    <row r="1237" spans="1:20" ht="22.2" hidden="1" customHeight="1">
      <c r="A1237" s="59"/>
      <c r="B1237" s="1577" t="s">
        <v>1922</v>
      </c>
      <c r="C1237" s="1013" t="str">
        <f t="shared" si="253"/>
        <v xml:space="preserve"> </v>
      </c>
      <c r="D1237" s="1535">
        <v>2</v>
      </c>
      <c r="E1237" s="1044" t="str">
        <f>VLOOKUP($B1237,DG!A:D,DG!$B$2,)</f>
        <v>06.3241</v>
      </c>
      <c r="F1237" s="1049" t="str">
        <f>VLOOKUP($B1237,DG!A:D,DG!$C$2,)</f>
        <v>Lắp bộ dây néo</v>
      </c>
      <c r="G1237" s="1044" t="str">
        <f>VLOOKUP($B1237,DG!A:D,DG!$D$2,)</f>
        <v>bộ</v>
      </c>
      <c r="H1237" s="1823"/>
      <c r="I1237" s="1823"/>
      <c r="J1237" s="1823"/>
      <c r="K1237" s="1823"/>
      <c r="L1237" s="1823"/>
      <c r="M1237" s="1823"/>
      <c r="N1237" s="1823"/>
      <c r="O1237" s="1823"/>
      <c r="P1237" s="1823"/>
      <c r="Q1237" s="1058"/>
      <c r="R1237" s="1058"/>
      <c r="S1237" s="1058"/>
      <c r="T1237" s="2035">
        <f t="shared" si="252"/>
        <v>0</v>
      </c>
    </row>
    <row r="1238" spans="1:20" ht="22.2" hidden="1" customHeight="1">
      <c r="A1238" s="59"/>
      <c r="B1238" s="1588" t="s">
        <v>356</v>
      </c>
      <c r="C1238" s="1013" t="str">
        <f t="shared" si="253"/>
        <v xml:space="preserve"> </v>
      </c>
      <c r="D1238" s="1534">
        <v>0.02</v>
      </c>
      <c r="E1238" s="1044" t="str">
        <f>VLOOKUP($B1238,DG!A:C,2,)</f>
        <v>02.1421</v>
      </c>
      <c r="F1238" s="1049" t="str">
        <f>VLOOKUP($B1238,DG!A:C,3,)</f>
        <v>V/c phụ kiện vào vị trí (cự ly &lt;=100m)</v>
      </c>
      <c r="G1238" s="1044" t="str">
        <f>VLOOKUP($B1238,DG!A:D,4,0)</f>
        <v>tấn</v>
      </c>
      <c r="H1238" s="1823"/>
      <c r="I1238" s="1823"/>
      <c r="J1238" s="1823"/>
      <c r="K1238" s="1823"/>
      <c r="L1238" s="1823"/>
      <c r="M1238" s="1823"/>
      <c r="N1238" s="1823"/>
      <c r="O1238" s="1823"/>
      <c r="P1238" s="1823"/>
      <c r="Q1238" s="1058"/>
      <c r="R1238" s="1058"/>
      <c r="S1238" s="1058"/>
      <c r="T1238" s="2035">
        <f t="shared" si="252"/>
        <v>0</v>
      </c>
    </row>
    <row r="1239" spans="1:20" ht="22.2" hidden="1" customHeight="1">
      <c r="A1239" s="56" t="s">
        <v>345</v>
      </c>
      <c r="B1239" s="1574" t="s">
        <v>345</v>
      </c>
      <c r="C1239" s="1013" t="str">
        <f t="shared" si="253"/>
        <v xml:space="preserve"> </v>
      </c>
      <c r="D1239" s="1532"/>
      <c r="E1239" s="1045"/>
      <c r="F1239" s="1392" t="s">
        <v>2483</v>
      </c>
      <c r="G1239" s="1046" t="s">
        <v>2391</v>
      </c>
      <c r="H1239" s="1821">
        <f>SUM(I1239:O1239)</f>
        <v>0</v>
      </c>
      <c r="I1239" s="1822"/>
      <c r="J1239" s="1822"/>
      <c r="K1239" s="1822">
        <f>IFERROR(HLOOKUP(B1239,pp3p1m!$1:$3,3,0),0)</f>
        <v>0</v>
      </c>
      <c r="L1239" s="1822">
        <f>IFERROR(HLOOKUP(chitiet!B1239,pp1p!$1:$3,3,0),0)</f>
        <v>0</v>
      </c>
      <c r="M1239" s="1822"/>
      <c r="N1239" s="1822"/>
      <c r="O1239" s="1822"/>
      <c r="P1239" s="1822">
        <f>H1239+Q1239-R1239</f>
        <v>0</v>
      </c>
      <c r="Q1239" s="1047"/>
      <c r="R1239" s="1047"/>
      <c r="S1239" s="1047"/>
      <c r="T1239" s="2035">
        <f>IFERROR(HLOOKUP(B1239,pp1p!$1:$3,3,0),0)+IFERROR(HLOOKUP(B1239,pp3p1m!$1:$3,3,0),0)</f>
        <v>0</v>
      </c>
    </row>
    <row r="1240" spans="1:20" ht="22.2" hidden="1" customHeight="1">
      <c r="A1240" s="59"/>
      <c r="B1240" s="1577" t="s">
        <v>669</v>
      </c>
      <c r="C1240" s="1013" t="str">
        <f t="shared" si="253"/>
        <v xml:space="preserve"> </v>
      </c>
      <c r="D1240" s="1535">
        <v>1</v>
      </c>
      <c r="E1240" s="1044"/>
      <c r="F1240" s="1056" t="str">
        <f>VLOOKUP($B1240,DG!A:D,DG!$C$2,)&amp;"-Fe8x100 nhuùng keõm"</f>
        <v>Cổ dê Ø 195 nẹp trụ-Fe8x100 nhuùng keõm</v>
      </c>
      <c r="G1240" s="1044" t="str">
        <f>VLOOKUP($B1240,DG!A:D,DG!$D$2,)</f>
        <v>bộ</v>
      </c>
      <c r="H1240" s="1823">
        <f t="shared" ref="H1240:N1248" si="258">H$1239*$D1240</f>
        <v>0</v>
      </c>
      <c r="I1240" s="1823">
        <f t="shared" si="258"/>
        <v>0</v>
      </c>
      <c r="J1240" s="1823">
        <f t="shared" si="258"/>
        <v>0</v>
      </c>
      <c r="K1240" s="1823">
        <f t="shared" si="258"/>
        <v>0</v>
      </c>
      <c r="L1240" s="1823">
        <f t="shared" si="258"/>
        <v>0</v>
      </c>
      <c r="M1240" s="1823">
        <f t="shared" si="258"/>
        <v>0</v>
      </c>
      <c r="N1240" s="1823">
        <f t="shared" si="258"/>
        <v>0</v>
      </c>
      <c r="O1240" s="1823"/>
      <c r="P1240" s="1823"/>
      <c r="Q1240" s="1053"/>
      <c r="R1240" s="1053"/>
      <c r="S1240" s="1053"/>
      <c r="T1240" s="2035">
        <f t="shared" si="252"/>
        <v>0</v>
      </c>
    </row>
    <row r="1241" spans="1:20" ht="22.2" hidden="1" customHeight="1">
      <c r="A1241" s="59"/>
      <c r="B1241" s="1577" t="s">
        <v>111</v>
      </c>
      <c r="C1241" s="1013" t="str">
        <f t="shared" si="253"/>
        <v xml:space="preserve"> </v>
      </c>
      <c r="D1241" s="1535">
        <v>1</v>
      </c>
      <c r="E1241" s="1044"/>
      <c r="F1241" s="1056" t="str">
        <f>VLOOKUP($B1241,DG!A:D,DG!$C$2,)</f>
        <v>Sứ chằng</v>
      </c>
      <c r="G1241" s="1044" t="str">
        <f>VLOOKUP($B1241,DG!A:D,DG!$D$2,)</f>
        <v>cái</v>
      </c>
      <c r="H1241" s="1823">
        <f t="shared" si="258"/>
        <v>0</v>
      </c>
      <c r="I1241" s="1823">
        <f t="shared" si="258"/>
        <v>0</v>
      </c>
      <c r="J1241" s="1823">
        <f t="shared" si="258"/>
        <v>0</v>
      </c>
      <c r="K1241" s="1823">
        <f t="shared" si="258"/>
        <v>0</v>
      </c>
      <c r="L1241" s="1823">
        <f t="shared" si="258"/>
        <v>0</v>
      </c>
      <c r="M1241" s="1823">
        <f t="shared" si="258"/>
        <v>0</v>
      </c>
      <c r="N1241" s="1823">
        <f t="shared" si="258"/>
        <v>0</v>
      </c>
      <c r="O1241" s="1823"/>
      <c r="P1241" s="1823"/>
      <c r="Q1241" s="1053"/>
      <c r="R1241" s="1053"/>
      <c r="S1241" s="1053"/>
      <c r="T1241" s="2035">
        <f t="shared" si="252"/>
        <v>0</v>
      </c>
    </row>
    <row r="1242" spans="1:20" ht="22.2" hidden="1" customHeight="1">
      <c r="A1242" s="59"/>
      <c r="B1242" s="1577" t="s">
        <v>1581</v>
      </c>
      <c r="C1242" s="1013" t="str">
        <f t="shared" si="253"/>
        <v xml:space="preserve"> </v>
      </c>
      <c r="D1242" s="1535">
        <v>8</v>
      </c>
      <c r="E1242" s="1044"/>
      <c r="F1242" s="1056" t="str">
        <f>VLOOKUP($B1242,DG!A:D,DG!$C$2,)</f>
        <v>Kẹp cáp 3 boulon</v>
      </c>
      <c r="G1242" s="1044" t="str">
        <f>VLOOKUP($B1242,DG!A:D,DG!$D$2,)</f>
        <v>cái</v>
      </c>
      <c r="H1242" s="1823">
        <f t="shared" si="258"/>
        <v>0</v>
      </c>
      <c r="I1242" s="1823">
        <f t="shared" si="258"/>
        <v>0</v>
      </c>
      <c r="J1242" s="1823">
        <f t="shared" si="258"/>
        <v>0</v>
      </c>
      <c r="K1242" s="1823">
        <f t="shared" si="258"/>
        <v>0</v>
      </c>
      <c r="L1242" s="1823">
        <f t="shared" si="258"/>
        <v>0</v>
      </c>
      <c r="M1242" s="1823">
        <f t="shared" si="258"/>
        <v>0</v>
      </c>
      <c r="N1242" s="1823">
        <f t="shared" si="258"/>
        <v>0</v>
      </c>
      <c r="O1242" s="1823"/>
      <c r="P1242" s="1823"/>
      <c r="Q1242" s="1053"/>
      <c r="R1242" s="1053"/>
      <c r="S1242" s="1053"/>
      <c r="T1242" s="2035">
        <f t="shared" si="252"/>
        <v>0</v>
      </c>
    </row>
    <row r="1243" spans="1:20" ht="22.2" hidden="1" customHeight="1">
      <c r="A1243" s="59"/>
      <c r="B1243" s="1594" t="s">
        <v>1049</v>
      </c>
      <c r="C1243" s="1013" t="str">
        <f t="shared" si="253"/>
        <v xml:space="preserve"> </v>
      </c>
      <c r="D1243" s="1535">
        <v>15</v>
      </c>
      <c r="E1243" s="1044"/>
      <c r="F1243" s="1056" t="str">
        <f>VLOOKUP($B1243,DG!A:D,DG!$C$2,)</f>
        <v>Kẹp hotline 4/0</v>
      </c>
      <c r="G1243" s="1044" t="str">
        <f>VLOOKUP($B1243,DG!A:D,DG!$D$2,)</f>
        <v>cái</v>
      </c>
      <c r="H1243" s="1823">
        <f t="shared" si="258"/>
        <v>0</v>
      </c>
      <c r="I1243" s="1823">
        <f t="shared" si="258"/>
        <v>0</v>
      </c>
      <c r="J1243" s="1823">
        <f t="shared" si="258"/>
        <v>0</v>
      </c>
      <c r="K1243" s="1823">
        <f t="shared" si="258"/>
        <v>0</v>
      </c>
      <c r="L1243" s="1823">
        <f t="shared" si="258"/>
        <v>0</v>
      </c>
      <c r="M1243" s="1823">
        <f t="shared" si="258"/>
        <v>0</v>
      </c>
      <c r="N1243" s="1823">
        <f t="shared" si="258"/>
        <v>0</v>
      </c>
      <c r="O1243" s="1823"/>
      <c r="P1243" s="1823"/>
      <c r="Q1243" s="1053"/>
      <c r="R1243" s="1053"/>
      <c r="S1243" s="1053"/>
      <c r="T1243" s="2035">
        <f t="shared" si="252"/>
        <v>0</v>
      </c>
    </row>
    <row r="1244" spans="1:20" ht="22.2" hidden="1" customHeight="1">
      <c r="A1244" s="59"/>
      <c r="B1244" s="1577" t="s">
        <v>279</v>
      </c>
      <c r="C1244" s="1013" t="str">
        <f t="shared" si="253"/>
        <v xml:space="preserve"> </v>
      </c>
      <c r="D1244" s="1535">
        <v>2</v>
      </c>
      <c r="E1244" s="1044"/>
      <c r="F1244" s="1056" t="str">
        <f>VLOOKUP($B1244,DG!A:D,DG!$C$2,)</f>
        <v>Sắt dẹt 60 x 6</v>
      </c>
      <c r="G1244" s="1044" t="str">
        <f>VLOOKUP($B1244,DG!A:D,DG!$D$2,)</f>
        <v>kg</v>
      </c>
      <c r="H1244" s="1823">
        <f t="shared" si="258"/>
        <v>0</v>
      </c>
      <c r="I1244" s="1823">
        <f t="shared" si="258"/>
        <v>0</v>
      </c>
      <c r="J1244" s="1823">
        <f t="shared" si="258"/>
        <v>0</v>
      </c>
      <c r="K1244" s="1823">
        <f t="shared" si="258"/>
        <v>0</v>
      </c>
      <c r="L1244" s="1823">
        <f t="shared" si="258"/>
        <v>0</v>
      </c>
      <c r="M1244" s="1823">
        <f t="shared" si="258"/>
        <v>0</v>
      </c>
      <c r="N1244" s="1823">
        <f t="shared" si="258"/>
        <v>0</v>
      </c>
      <c r="O1244" s="1823"/>
      <c r="P1244" s="1823"/>
      <c r="Q1244" s="1053"/>
      <c r="R1244" s="1053"/>
      <c r="S1244" s="1053"/>
      <c r="T1244" s="2035">
        <f t="shared" si="252"/>
        <v>0</v>
      </c>
    </row>
    <row r="1245" spans="1:20" ht="22.2" hidden="1" customHeight="1">
      <c r="A1245" s="59"/>
      <c r="B1245" s="1577" t="s">
        <v>1374</v>
      </c>
      <c r="C1245" s="1013" t="str">
        <f t="shared" si="253"/>
        <v xml:space="preserve"> </v>
      </c>
      <c r="D1245" s="1535">
        <v>1</v>
      </c>
      <c r="E1245" s="1044"/>
      <c r="F1245" s="1056" t="str">
        <f>VLOOKUP($B1245,DG!A:D,DG!$C$2,)</f>
        <v xml:space="preserve">Móc treo chữ U </v>
      </c>
      <c r="G1245" s="1044" t="str">
        <f>VLOOKUP($B1245,DG!A:D,DG!$D$2,)</f>
        <v>cái</v>
      </c>
      <c r="H1245" s="1823">
        <f t="shared" si="258"/>
        <v>0</v>
      </c>
      <c r="I1245" s="1823">
        <f t="shared" si="258"/>
        <v>0</v>
      </c>
      <c r="J1245" s="1823">
        <f t="shared" si="258"/>
        <v>0</v>
      </c>
      <c r="K1245" s="1823">
        <f t="shared" si="258"/>
        <v>0</v>
      </c>
      <c r="L1245" s="1823">
        <f t="shared" si="258"/>
        <v>0</v>
      </c>
      <c r="M1245" s="1823">
        <f t="shared" si="258"/>
        <v>0</v>
      </c>
      <c r="N1245" s="1823">
        <f t="shared" si="258"/>
        <v>0</v>
      </c>
      <c r="O1245" s="1823"/>
      <c r="P1245" s="1823"/>
      <c r="Q1245" s="1053"/>
      <c r="R1245" s="1053"/>
      <c r="S1245" s="1053"/>
      <c r="T1245" s="2035">
        <f t="shared" si="252"/>
        <v>0</v>
      </c>
    </row>
    <row r="1246" spans="1:20" ht="22.2" hidden="1" customHeight="1">
      <c r="A1246" s="59"/>
      <c r="B1246" s="1595" t="s">
        <v>1895</v>
      </c>
      <c r="C1246" s="1013" t="str">
        <f t="shared" si="253"/>
        <v xml:space="preserve"> </v>
      </c>
      <c r="D1246" s="1535">
        <v>2</v>
      </c>
      <c r="E1246" s="1044"/>
      <c r="F1246" s="1056" t="str">
        <f>VLOOKUP($B1246,DG!A:D,DG!$C$2,)</f>
        <v>Boulon 16x100VRS+ 4 long đền vuông D18-50x50x3/Zn</v>
      </c>
      <c r="G1246" s="1044" t="str">
        <f>VLOOKUP($B1246,DG!A:D,DG!$D$2,)</f>
        <v>bộ</v>
      </c>
      <c r="H1246" s="1823">
        <f t="shared" si="258"/>
        <v>0</v>
      </c>
      <c r="I1246" s="1823">
        <f t="shared" si="258"/>
        <v>0</v>
      </c>
      <c r="J1246" s="1823">
        <f t="shared" si="258"/>
        <v>0</v>
      </c>
      <c r="K1246" s="1823">
        <f t="shared" si="258"/>
        <v>0</v>
      </c>
      <c r="L1246" s="1823">
        <f t="shared" si="258"/>
        <v>0</v>
      </c>
      <c r="M1246" s="1823">
        <f t="shared" si="258"/>
        <v>0</v>
      </c>
      <c r="N1246" s="1823">
        <f t="shared" si="258"/>
        <v>0</v>
      </c>
      <c r="O1246" s="1823"/>
      <c r="P1246" s="1823"/>
      <c r="Q1246" s="1053"/>
      <c r="R1246" s="1053"/>
      <c r="S1246" s="1053"/>
      <c r="T1246" s="2035">
        <f t="shared" si="252"/>
        <v>0</v>
      </c>
    </row>
    <row r="1247" spans="1:20" ht="22.2" hidden="1" customHeight="1">
      <c r="A1247" s="59"/>
      <c r="B1247" s="1577" t="s">
        <v>2004</v>
      </c>
      <c r="C1247" s="1013" t="str">
        <f t="shared" si="253"/>
        <v xml:space="preserve"> </v>
      </c>
      <c r="D1247" s="1535">
        <v>2</v>
      </c>
      <c r="E1247" s="1044"/>
      <c r="F1247" s="1056" t="str">
        <f>VLOOKUP($B1247,DG!A:D,DG!$C$2,)</f>
        <v>Yếm cáp dày 2mm</v>
      </c>
      <c r="G1247" s="1044" t="str">
        <f>VLOOKUP($B1247,DG!A:D,DG!$D$2,)</f>
        <v>cái</v>
      </c>
      <c r="H1247" s="1823">
        <f t="shared" si="258"/>
        <v>0</v>
      </c>
      <c r="I1247" s="1823">
        <f t="shared" si="258"/>
        <v>0</v>
      </c>
      <c r="J1247" s="1823">
        <f t="shared" si="258"/>
        <v>0</v>
      </c>
      <c r="K1247" s="1823">
        <f t="shared" si="258"/>
        <v>0</v>
      </c>
      <c r="L1247" s="1823">
        <f t="shared" si="258"/>
        <v>0</v>
      </c>
      <c r="M1247" s="1823">
        <f t="shared" si="258"/>
        <v>0</v>
      </c>
      <c r="N1247" s="1823">
        <f t="shared" si="258"/>
        <v>0</v>
      </c>
      <c r="O1247" s="1823"/>
      <c r="P1247" s="1823"/>
      <c r="Q1247" s="1053"/>
      <c r="R1247" s="1053"/>
      <c r="S1247" s="1053"/>
      <c r="T1247" s="2035">
        <f t="shared" si="252"/>
        <v>0</v>
      </c>
    </row>
    <row r="1248" spans="1:20" ht="22.2" hidden="1" customHeight="1">
      <c r="A1248" s="59"/>
      <c r="B1248" s="1577" t="s">
        <v>2005</v>
      </c>
      <c r="C1248" s="1013" t="str">
        <f t="shared" si="253"/>
        <v xml:space="preserve"> </v>
      </c>
      <c r="D1248" s="1535">
        <v>1</v>
      </c>
      <c r="E1248" s="1044"/>
      <c r="F1248" s="1056" t="str">
        <f>VLOOKUP($B1248,DG!A:D,DG!$C$2,)</f>
        <v>Máng che dây chằng dày 1,6mm</v>
      </c>
      <c r="G1248" s="1044" t="str">
        <f>VLOOKUP($B1248,DG!A:D,DG!$D$2,)</f>
        <v>cái</v>
      </c>
      <c r="H1248" s="1823">
        <f t="shared" si="258"/>
        <v>0</v>
      </c>
      <c r="I1248" s="1823">
        <f t="shared" si="258"/>
        <v>0</v>
      </c>
      <c r="J1248" s="1823">
        <f t="shared" si="258"/>
        <v>0</v>
      </c>
      <c r="K1248" s="1823">
        <f t="shared" si="258"/>
        <v>0</v>
      </c>
      <c r="L1248" s="1823">
        <f t="shared" si="258"/>
        <v>0</v>
      </c>
      <c r="M1248" s="1823">
        <f t="shared" si="258"/>
        <v>0</v>
      </c>
      <c r="N1248" s="1823">
        <f t="shared" si="258"/>
        <v>0</v>
      </c>
      <c r="O1248" s="1823"/>
      <c r="P1248" s="1823"/>
      <c r="Q1248" s="1053"/>
      <c r="R1248" s="1053"/>
      <c r="S1248" s="1053"/>
      <c r="T1248" s="2035">
        <f t="shared" si="252"/>
        <v>0</v>
      </c>
    </row>
    <row r="1249" spans="1:20" ht="22.2" hidden="1" customHeight="1">
      <c r="A1249" s="59"/>
      <c r="B1249" s="1577" t="s">
        <v>1922</v>
      </c>
      <c r="C1249" s="1013" t="str">
        <f t="shared" si="253"/>
        <v xml:space="preserve"> </v>
      </c>
      <c r="D1249" s="1535">
        <v>1</v>
      </c>
      <c r="E1249" s="1044" t="str">
        <f>VLOOKUP($B1249,DG!A:D,DG!$B$2,)</f>
        <v>06.3241</v>
      </c>
      <c r="F1249" s="1049" t="str">
        <f>VLOOKUP($B1249,DG!A:D,DG!$C$2,)</f>
        <v>Lắp bộ dây néo</v>
      </c>
      <c r="G1249" s="1044" t="str">
        <f>VLOOKUP($B1249,DG!A:D,DG!$D$2,)</f>
        <v>bộ</v>
      </c>
      <c r="H1249" s="1823"/>
      <c r="I1249" s="1823"/>
      <c r="J1249" s="1823"/>
      <c r="K1249" s="1823"/>
      <c r="L1249" s="1823"/>
      <c r="M1249" s="1823"/>
      <c r="N1249" s="1823"/>
      <c r="O1249" s="1823"/>
      <c r="P1249" s="1823"/>
      <c r="Q1249" s="1058"/>
      <c r="R1249" s="1058"/>
      <c r="S1249" s="1058"/>
      <c r="T1249" s="2035">
        <f t="shared" si="252"/>
        <v>0</v>
      </c>
    </row>
    <row r="1250" spans="1:20" ht="22.2" hidden="1" customHeight="1">
      <c r="A1250" s="59"/>
      <c r="B1250" s="1577" t="s">
        <v>681</v>
      </c>
      <c r="C1250" s="1013" t="str">
        <f t="shared" si="253"/>
        <v xml:space="preserve"> </v>
      </c>
      <c r="D1250" s="1535">
        <v>1</v>
      </c>
      <c r="E1250" s="1044" t="str">
        <f>VLOOKUP($B1250,DG!A:D,DG!$B$2,)</f>
        <v>06.2110</v>
      </c>
      <c r="F1250" s="1049" t="str">
        <f>VLOOKUP($B1250,DG!A:D,DG!$C$2,)</f>
        <v>Lắp cổ dề</v>
      </c>
      <c r="G1250" s="1044" t="str">
        <f>VLOOKUP($B1250,DG!A:D,DG!$D$2,)</f>
        <v>cái</v>
      </c>
      <c r="H1250" s="1823"/>
      <c r="I1250" s="1823"/>
      <c r="J1250" s="1823"/>
      <c r="K1250" s="1823"/>
      <c r="L1250" s="1823"/>
      <c r="M1250" s="1823"/>
      <c r="N1250" s="1823"/>
      <c r="O1250" s="1823"/>
      <c r="P1250" s="1823"/>
      <c r="Q1250" s="1058"/>
      <c r="R1250" s="1058"/>
      <c r="S1250" s="1058"/>
      <c r="T1250" s="2035">
        <f t="shared" si="252"/>
        <v>0</v>
      </c>
    </row>
    <row r="1251" spans="1:20" ht="22.2" hidden="1" customHeight="1">
      <c r="A1251" s="59"/>
      <c r="B1251" s="1588" t="s">
        <v>356</v>
      </c>
      <c r="C1251" s="1013" t="str">
        <f t="shared" si="253"/>
        <v xml:space="preserve"> </v>
      </c>
      <c r="D1251" s="1534">
        <v>0.02</v>
      </c>
      <c r="E1251" s="1044" t="str">
        <f>VLOOKUP($B1251,DG!A:C,2,)</f>
        <v>02.1421</v>
      </c>
      <c r="F1251" s="1049" t="str">
        <f>VLOOKUP($B1251,DG!A:C,3,)</f>
        <v>V/c phụ kiện vào vị trí (cự ly &lt;=100m)</v>
      </c>
      <c r="G1251" s="1044" t="str">
        <f>VLOOKUP($B1251,DG!A:D,4,0)</f>
        <v>tấn</v>
      </c>
      <c r="H1251" s="1823"/>
      <c r="I1251" s="1823"/>
      <c r="J1251" s="1823"/>
      <c r="K1251" s="1823"/>
      <c r="L1251" s="1823"/>
      <c r="M1251" s="1823"/>
      <c r="N1251" s="1823"/>
      <c r="O1251" s="1823"/>
      <c r="P1251" s="1823"/>
      <c r="Q1251" s="1058"/>
      <c r="R1251" s="1058"/>
      <c r="S1251" s="1058"/>
      <c r="T1251" s="2035">
        <f t="shared" si="252"/>
        <v>0</v>
      </c>
    </row>
    <row r="1252" spans="1:20" ht="22.2" hidden="1" customHeight="1">
      <c r="A1252" s="56" t="s">
        <v>1084</v>
      </c>
      <c r="B1252" s="1574" t="s">
        <v>1084</v>
      </c>
      <c r="C1252" s="1013" t="str">
        <f t="shared" si="253"/>
        <v xml:space="preserve"> </v>
      </c>
      <c r="D1252" s="1532"/>
      <c r="E1252" s="1045"/>
      <c r="F1252" s="1392" t="s">
        <v>2484</v>
      </c>
      <c r="G1252" s="1046" t="s">
        <v>2391</v>
      </c>
      <c r="H1252" s="1821">
        <f>SUM(I1252:O1252)</f>
        <v>0</v>
      </c>
      <c r="I1252" s="1822"/>
      <c r="J1252" s="1822"/>
      <c r="K1252" s="1822">
        <f>IFERROR(HLOOKUP(B1252,pp3p1m!$1:$3,3,0),0)</f>
        <v>0</v>
      </c>
      <c r="L1252" s="1822">
        <f>IFERROR(HLOOKUP(chitiet!B1252,pp1p!$1:$3,3,0),0)</f>
        <v>0</v>
      </c>
      <c r="M1252" s="1822"/>
      <c r="N1252" s="1822"/>
      <c r="O1252" s="1822"/>
      <c r="P1252" s="1822">
        <f>H1252+Q1252-R1252</f>
        <v>0</v>
      </c>
      <c r="Q1252" s="1047"/>
      <c r="R1252" s="1047"/>
      <c r="S1252" s="1047"/>
      <c r="T1252" s="2035">
        <f>IFERROR(HLOOKUP(B1252,pp1p!$1:$3,3,0),0)+IFERROR(HLOOKUP(B1252,pp3p1m!$1:$3,3,0),0)</f>
        <v>0</v>
      </c>
    </row>
    <row r="1253" spans="1:20" ht="22.2" hidden="1" customHeight="1">
      <c r="A1253" s="59"/>
      <c r="B1253" s="1577" t="s">
        <v>669</v>
      </c>
      <c r="C1253" s="1013" t="str">
        <f t="shared" si="253"/>
        <v xml:space="preserve"> </v>
      </c>
      <c r="D1253" s="1535">
        <v>1</v>
      </c>
      <c r="E1253" s="1044"/>
      <c r="F1253" s="1056" t="str">
        <f>VLOOKUP($B1253,DG!A:D,DG!$C$2,)&amp;"-Fe8x100 nhuùng keõm"</f>
        <v>Cổ dê Ø 195 nẹp trụ-Fe8x100 nhuùng keõm</v>
      </c>
      <c r="G1253" s="1044" t="str">
        <f>VLOOKUP($B1253,DG!A:D,DG!$D$2,)</f>
        <v>bộ</v>
      </c>
      <c r="H1253" s="1823">
        <f t="shared" ref="H1253:N1262" si="259">H$1252*$D1253</f>
        <v>0</v>
      </c>
      <c r="I1253" s="1823">
        <f t="shared" si="259"/>
        <v>0</v>
      </c>
      <c r="J1253" s="1823">
        <f t="shared" si="259"/>
        <v>0</v>
      </c>
      <c r="K1253" s="1823">
        <f t="shared" si="259"/>
        <v>0</v>
      </c>
      <c r="L1253" s="1823">
        <f t="shared" si="259"/>
        <v>0</v>
      </c>
      <c r="M1253" s="1823">
        <f t="shared" si="259"/>
        <v>0</v>
      </c>
      <c r="N1253" s="1823">
        <f t="shared" si="259"/>
        <v>0</v>
      </c>
      <c r="O1253" s="1823"/>
      <c r="P1253" s="1823"/>
      <c r="Q1253" s="1053"/>
      <c r="R1253" s="1053"/>
      <c r="S1253" s="1053"/>
      <c r="T1253" s="2035">
        <f t="shared" si="252"/>
        <v>0</v>
      </c>
    </row>
    <row r="1254" spans="1:20" ht="22.2" hidden="1" customHeight="1">
      <c r="A1254" s="59"/>
      <c r="B1254" s="1577" t="s">
        <v>111</v>
      </c>
      <c r="C1254" s="1013" t="str">
        <f t="shared" si="253"/>
        <v xml:space="preserve"> </v>
      </c>
      <c r="D1254" s="1535">
        <v>1</v>
      </c>
      <c r="E1254" s="1044"/>
      <c r="F1254" s="1056" t="str">
        <f>VLOOKUP($B1254,DG!A:D,DG!$C$2,)</f>
        <v>Sứ chằng</v>
      </c>
      <c r="G1254" s="1044" t="str">
        <f>VLOOKUP($B1254,DG!A:D,DG!$D$2,)</f>
        <v>cái</v>
      </c>
      <c r="H1254" s="1823">
        <f t="shared" si="259"/>
        <v>0</v>
      </c>
      <c r="I1254" s="1823">
        <f t="shared" si="259"/>
        <v>0</v>
      </c>
      <c r="J1254" s="1823">
        <f t="shared" si="259"/>
        <v>0</v>
      </c>
      <c r="K1254" s="1823">
        <f t="shared" si="259"/>
        <v>0</v>
      </c>
      <c r="L1254" s="1823">
        <f t="shared" si="259"/>
        <v>0</v>
      </c>
      <c r="M1254" s="1823">
        <f t="shared" si="259"/>
        <v>0</v>
      </c>
      <c r="N1254" s="1823">
        <f t="shared" si="259"/>
        <v>0</v>
      </c>
      <c r="O1254" s="1823"/>
      <c r="P1254" s="1823"/>
      <c r="Q1254" s="1053"/>
      <c r="R1254" s="1053"/>
      <c r="S1254" s="1053"/>
      <c r="T1254" s="2035">
        <f t="shared" si="252"/>
        <v>0</v>
      </c>
    </row>
    <row r="1255" spans="1:20" ht="22.2" hidden="1" customHeight="1">
      <c r="A1255" s="59"/>
      <c r="B1255" s="1577" t="s">
        <v>1581</v>
      </c>
      <c r="C1255" s="1013" t="str">
        <f t="shared" si="253"/>
        <v xml:space="preserve"> </v>
      </c>
      <c r="D1255" s="1535">
        <v>8</v>
      </c>
      <c r="E1255" s="1044"/>
      <c r="F1255" s="1056" t="str">
        <f>VLOOKUP($B1255,DG!A:D,DG!$C$2,)</f>
        <v>Kẹp cáp 3 boulon</v>
      </c>
      <c r="G1255" s="1044" t="str">
        <f>VLOOKUP($B1255,DG!A:D,DG!$D$2,)</f>
        <v>cái</v>
      </c>
      <c r="H1255" s="1823">
        <f t="shared" si="259"/>
        <v>0</v>
      </c>
      <c r="I1255" s="1823">
        <f t="shared" si="259"/>
        <v>0</v>
      </c>
      <c r="J1255" s="1823">
        <f t="shared" si="259"/>
        <v>0</v>
      </c>
      <c r="K1255" s="1823">
        <f t="shared" si="259"/>
        <v>0</v>
      </c>
      <c r="L1255" s="1823">
        <f t="shared" si="259"/>
        <v>0</v>
      </c>
      <c r="M1255" s="1823">
        <f t="shared" si="259"/>
        <v>0</v>
      </c>
      <c r="N1255" s="1823">
        <f t="shared" si="259"/>
        <v>0</v>
      </c>
      <c r="O1255" s="1823"/>
      <c r="P1255" s="1823"/>
      <c r="Q1255" s="1053"/>
      <c r="R1255" s="1053"/>
      <c r="S1255" s="1053"/>
      <c r="T1255" s="2035">
        <f t="shared" si="252"/>
        <v>0</v>
      </c>
    </row>
    <row r="1256" spans="1:20" ht="22.2" hidden="1" customHeight="1">
      <c r="A1256" s="59"/>
      <c r="B1256" s="1594" t="s">
        <v>1049</v>
      </c>
      <c r="C1256" s="1013" t="str">
        <f t="shared" si="253"/>
        <v xml:space="preserve"> </v>
      </c>
      <c r="D1256" s="1535">
        <v>11</v>
      </c>
      <c r="E1256" s="1044"/>
      <c r="F1256" s="1056" t="str">
        <f>VLOOKUP($B1256,DG!A:D,DG!$C$2,)</f>
        <v>Kẹp hotline 4/0</v>
      </c>
      <c r="G1256" s="1044" t="str">
        <f>VLOOKUP($B1256,DG!A:D,DG!$D$2,)</f>
        <v>cái</v>
      </c>
      <c r="H1256" s="1823">
        <f t="shared" si="259"/>
        <v>0</v>
      </c>
      <c r="I1256" s="1823">
        <f t="shared" si="259"/>
        <v>0</v>
      </c>
      <c r="J1256" s="1823">
        <f t="shared" si="259"/>
        <v>0</v>
      </c>
      <c r="K1256" s="1823">
        <f t="shared" si="259"/>
        <v>0</v>
      </c>
      <c r="L1256" s="1823">
        <f t="shared" si="259"/>
        <v>0</v>
      </c>
      <c r="M1256" s="1823">
        <f t="shared" si="259"/>
        <v>0</v>
      </c>
      <c r="N1256" s="1823">
        <f t="shared" si="259"/>
        <v>0</v>
      </c>
      <c r="O1256" s="1823"/>
      <c r="P1256" s="1823"/>
      <c r="Q1256" s="1053"/>
      <c r="R1256" s="1053"/>
      <c r="S1256" s="1053"/>
      <c r="T1256" s="2035">
        <f t="shared" si="252"/>
        <v>0</v>
      </c>
    </row>
    <row r="1257" spans="1:20" ht="22.2" hidden="1" customHeight="1">
      <c r="A1257" s="59"/>
      <c r="B1257" s="1577" t="s">
        <v>607</v>
      </c>
      <c r="C1257" s="1013" t="str">
        <f t="shared" si="253"/>
        <v xml:space="preserve"> </v>
      </c>
      <c r="D1257" s="1535">
        <v>1</v>
      </c>
      <c r="E1257" s="1044"/>
      <c r="F1257" s="1056" t="str">
        <f>VLOOKUP($B1257,DG!A:D,DG!$C$2,)</f>
        <v>Bộ chống chằng hẹp Ø60/50x1500+2BL12x40+BL16x250/80</v>
      </c>
      <c r="G1257" s="1044" t="str">
        <f>VLOOKUP($B1257,DG!A:D,DG!$D$2,)</f>
        <v>bộ</v>
      </c>
      <c r="H1257" s="1823">
        <f t="shared" si="259"/>
        <v>0</v>
      </c>
      <c r="I1257" s="1823">
        <f t="shared" si="259"/>
        <v>0</v>
      </c>
      <c r="J1257" s="1823">
        <f t="shared" si="259"/>
        <v>0</v>
      </c>
      <c r="K1257" s="1823">
        <f t="shared" si="259"/>
        <v>0</v>
      </c>
      <c r="L1257" s="1823">
        <f t="shared" si="259"/>
        <v>0</v>
      </c>
      <c r="M1257" s="1823">
        <f t="shared" si="259"/>
        <v>0</v>
      </c>
      <c r="N1257" s="1823">
        <f t="shared" si="259"/>
        <v>0</v>
      </c>
      <c r="O1257" s="1823"/>
      <c r="P1257" s="1823"/>
      <c r="Q1257" s="1053"/>
      <c r="R1257" s="1053"/>
      <c r="S1257" s="1053"/>
      <c r="T1257" s="2035">
        <f t="shared" si="252"/>
        <v>0</v>
      </c>
    </row>
    <row r="1258" spans="1:20" ht="22.2" hidden="1" customHeight="1">
      <c r="A1258" s="59"/>
      <c r="B1258" s="1577" t="s">
        <v>279</v>
      </c>
      <c r="C1258" s="1013" t="str">
        <f t="shared" si="253"/>
        <v xml:space="preserve"> </v>
      </c>
      <c r="D1258" s="1535">
        <v>2</v>
      </c>
      <c r="E1258" s="1044"/>
      <c r="F1258" s="1056" t="str">
        <f>VLOOKUP($B1258,DG!A:D,DG!$C$2,)</f>
        <v>Sắt dẹt 60 x 6</v>
      </c>
      <c r="G1258" s="1044" t="str">
        <f>VLOOKUP($B1258,DG!A:D,DG!$D$2,)</f>
        <v>kg</v>
      </c>
      <c r="H1258" s="1823">
        <f t="shared" si="259"/>
        <v>0</v>
      </c>
      <c r="I1258" s="1823">
        <f t="shared" si="259"/>
        <v>0</v>
      </c>
      <c r="J1258" s="1823">
        <f t="shared" si="259"/>
        <v>0</v>
      </c>
      <c r="K1258" s="1823">
        <f t="shared" si="259"/>
        <v>0</v>
      </c>
      <c r="L1258" s="1823">
        <f t="shared" si="259"/>
        <v>0</v>
      </c>
      <c r="M1258" s="1823">
        <f t="shared" si="259"/>
        <v>0</v>
      </c>
      <c r="N1258" s="1823">
        <f t="shared" si="259"/>
        <v>0</v>
      </c>
      <c r="O1258" s="1823"/>
      <c r="P1258" s="1823"/>
      <c r="Q1258" s="1053"/>
      <c r="R1258" s="1053"/>
      <c r="S1258" s="1053"/>
      <c r="T1258" s="2035">
        <f t="shared" si="252"/>
        <v>0</v>
      </c>
    </row>
    <row r="1259" spans="1:20" ht="22.2" hidden="1" customHeight="1">
      <c r="A1259" s="59"/>
      <c r="B1259" s="1577" t="s">
        <v>1374</v>
      </c>
      <c r="C1259" s="1013" t="str">
        <f t="shared" si="253"/>
        <v xml:space="preserve"> </v>
      </c>
      <c r="D1259" s="1535">
        <v>1</v>
      </c>
      <c r="E1259" s="1044"/>
      <c r="F1259" s="1056" t="str">
        <f>VLOOKUP($B1259,DG!A:D,DG!$C$2,)</f>
        <v xml:space="preserve">Móc treo chữ U </v>
      </c>
      <c r="G1259" s="1044" t="str">
        <f>VLOOKUP($B1259,DG!A:D,DG!$D$2,)</f>
        <v>cái</v>
      </c>
      <c r="H1259" s="1823">
        <f t="shared" si="259"/>
        <v>0</v>
      </c>
      <c r="I1259" s="1823">
        <f t="shared" si="259"/>
        <v>0</v>
      </c>
      <c r="J1259" s="1823">
        <f t="shared" si="259"/>
        <v>0</v>
      </c>
      <c r="K1259" s="1823">
        <f t="shared" si="259"/>
        <v>0</v>
      </c>
      <c r="L1259" s="1823">
        <f t="shared" si="259"/>
        <v>0</v>
      </c>
      <c r="M1259" s="1823">
        <f t="shared" si="259"/>
        <v>0</v>
      </c>
      <c r="N1259" s="1823">
        <f t="shared" si="259"/>
        <v>0</v>
      </c>
      <c r="O1259" s="1823"/>
      <c r="P1259" s="1823"/>
      <c r="Q1259" s="1053"/>
      <c r="R1259" s="1053"/>
      <c r="S1259" s="1053"/>
      <c r="T1259" s="2035">
        <f t="shared" si="252"/>
        <v>0</v>
      </c>
    </row>
    <row r="1260" spans="1:20" ht="22.2" hidden="1" customHeight="1">
      <c r="A1260" s="59"/>
      <c r="B1260" s="1595" t="s">
        <v>1895</v>
      </c>
      <c r="C1260" s="1013" t="str">
        <f t="shared" si="253"/>
        <v xml:space="preserve"> </v>
      </c>
      <c r="D1260" s="1535">
        <v>2</v>
      </c>
      <c r="E1260" s="1044"/>
      <c r="F1260" s="1056" t="str">
        <f>VLOOKUP($B1260,DG!A:D,DG!$C$2,)</f>
        <v>Boulon 16x100VRS+ 4 long đền vuông D18-50x50x3/Zn</v>
      </c>
      <c r="G1260" s="1044" t="str">
        <f>VLOOKUP($B1260,DG!A:D,DG!$D$2,)</f>
        <v>bộ</v>
      </c>
      <c r="H1260" s="1823">
        <f t="shared" si="259"/>
        <v>0</v>
      </c>
      <c r="I1260" s="1823">
        <f t="shared" si="259"/>
        <v>0</v>
      </c>
      <c r="J1260" s="1823">
        <f t="shared" si="259"/>
        <v>0</v>
      </c>
      <c r="K1260" s="1823">
        <f t="shared" si="259"/>
        <v>0</v>
      </c>
      <c r="L1260" s="1823">
        <f t="shared" si="259"/>
        <v>0</v>
      </c>
      <c r="M1260" s="1823">
        <f t="shared" si="259"/>
        <v>0</v>
      </c>
      <c r="N1260" s="1823">
        <f t="shared" si="259"/>
        <v>0</v>
      </c>
      <c r="O1260" s="1823"/>
      <c r="P1260" s="1823"/>
      <c r="Q1260" s="1053"/>
      <c r="R1260" s="1053"/>
      <c r="S1260" s="1053"/>
      <c r="T1260" s="2035">
        <f t="shared" ref="T1260:T1322" si="260">IFERROR(HLOOKUP(B1260,BangKeTru,3,0),0)</f>
        <v>0</v>
      </c>
    </row>
    <row r="1261" spans="1:20" ht="22.2" hidden="1" customHeight="1">
      <c r="A1261" s="59"/>
      <c r="B1261" s="1577" t="s">
        <v>2004</v>
      </c>
      <c r="C1261" s="1013" t="str">
        <f t="shared" si="253"/>
        <v xml:space="preserve"> </v>
      </c>
      <c r="D1261" s="1535">
        <v>2</v>
      </c>
      <c r="E1261" s="1044"/>
      <c r="F1261" s="1056" t="str">
        <f>VLOOKUP($B1261,DG!A:D,DG!$C$2,)</f>
        <v>Yếm cáp dày 2mm</v>
      </c>
      <c r="G1261" s="1044" t="str">
        <f>VLOOKUP($B1261,DG!A:D,DG!$D$2,)</f>
        <v>cái</v>
      </c>
      <c r="H1261" s="1823">
        <f t="shared" si="259"/>
        <v>0</v>
      </c>
      <c r="I1261" s="1823">
        <f t="shared" si="259"/>
        <v>0</v>
      </c>
      <c r="J1261" s="1823">
        <f t="shared" si="259"/>
        <v>0</v>
      </c>
      <c r="K1261" s="1823">
        <f t="shared" si="259"/>
        <v>0</v>
      </c>
      <c r="L1261" s="1823">
        <f t="shared" si="259"/>
        <v>0</v>
      </c>
      <c r="M1261" s="1823">
        <f t="shared" si="259"/>
        <v>0</v>
      </c>
      <c r="N1261" s="1823">
        <f t="shared" si="259"/>
        <v>0</v>
      </c>
      <c r="O1261" s="1823"/>
      <c r="P1261" s="1823"/>
      <c r="Q1261" s="1053"/>
      <c r="R1261" s="1053"/>
      <c r="S1261" s="1053"/>
      <c r="T1261" s="2035">
        <f t="shared" si="260"/>
        <v>0</v>
      </c>
    </row>
    <row r="1262" spans="1:20" ht="22.2" hidden="1" customHeight="1">
      <c r="A1262" s="59"/>
      <c r="B1262" s="1577" t="s">
        <v>2005</v>
      </c>
      <c r="C1262" s="1013" t="str">
        <f t="shared" si="253"/>
        <v xml:space="preserve"> </v>
      </c>
      <c r="D1262" s="1535">
        <v>1</v>
      </c>
      <c r="E1262" s="1044"/>
      <c r="F1262" s="1056" t="str">
        <f>VLOOKUP($B1262,DG!A:D,DG!$C$2,)</f>
        <v>Máng che dây chằng dày 1,6mm</v>
      </c>
      <c r="G1262" s="1044" t="str">
        <f>VLOOKUP($B1262,DG!A:D,DG!$D$2,)</f>
        <v>cái</v>
      </c>
      <c r="H1262" s="1823">
        <f t="shared" si="259"/>
        <v>0</v>
      </c>
      <c r="I1262" s="1823">
        <f t="shared" si="259"/>
        <v>0</v>
      </c>
      <c r="J1262" s="1823">
        <f t="shared" si="259"/>
        <v>0</v>
      </c>
      <c r="K1262" s="1823">
        <f t="shared" si="259"/>
        <v>0</v>
      </c>
      <c r="L1262" s="1823">
        <f t="shared" si="259"/>
        <v>0</v>
      </c>
      <c r="M1262" s="1823">
        <f t="shared" si="259"/>
        <v>0</v>
      </c>
      <c r="N1262" s="1823">
        <f t="shared" si="259"/>
        <v>0</v>
      </c>
      <c r="O1262" s="1823"/>
      <c r="P1262" s="1823"/>
      <c r="Q1262" s="1053"/>
      <c r="R1262" s="1053"/>
      <c r="S1262" s="1053"/>
      <c r="T1262" s="2035">
        <f t="shared" si="260"/>
        <v>0</v>
      </c>
    </row>
    <row r="1263" spans="1:20" ht="22.2" hidden="1" customHeight="1">
      <c r="A1263" s="59"/>
      <c r="B1263" s="1577" t="s">
        <v>1922</v>
      </c>
      <c r="C1263" s="1013" t="str">
        <f t="shared" si="253"/>
        <v xml:space="preserve"> </v>
      </c>
      <c r="D1263" s="1535">
        <v>1</v>
      </c>
      <c r="E1263" s="1044" t="str">
        <f>VLOOKUP($B1263,DG!A:D,DG!$B$2,)</f>
        <v>06.3241</v>
      </c>
      <c r="F1263" s="1049" t="str">
        <f>VLOOKUP($B1263,DG!A:D,DG!$C$2,)</f>
        <v>Lắp bộ dây néo</v>
      </c>
      <c r="G1263" s="1044" t="str">
        <f>VLOOKUP($B1263,DG!A:D,DG!$D$2,)</f>
        <v>bộ</v>
      </c>
      <c r="H1263" s="1823"/>
      <c r="I1263" s="1823"/>
      <c r="J1263" s="1823"/>
      <c r="K1263" s="1823"/>
      <c r="L1263" s="1823"/>
      <c r="M1263" s="1823"/>
      <c r="N1263" s="1823"/>
      <c r="O1263" s="1823"/>
      <c r="P1263" s="1823"/>
      <c r="Q1263" s="1058"/>
      <c r="R1263" s="1058"/>
      <c r="S1263" s="1058"/>
      <c r="T1263" s="2035">
        <f t="shared" si="260"/>
        <v>0</v>
      </c>
    </row>
    <row r="1264" spans="1:20" ht="22.2" hidden="1" customHeight="1">
      <c r="A1264" s="59"/>
      <c r="B1264" s="1577" t="s">
        <v>681</v>
      </c>
      <c r="C1264" s="1013" t="str">
        <f t="shared" si="253"/>
        <v xml:space="preserve"> </v>
      </c>
      <c r="D1264" s="1535">
        <v>1</v>
      </c>
      <c r="E1264" s="1044" t="str">
        <f>VLOOKUP($B1264,DG!A:D,DG!$B$2,)</f>
        <v>06.2110</v>
      </c>
      <c r="F1264" s="1049" t="str">
        <f>VLOOKUP($B1264,DG!A:D,DG!$C$2,)</f>
        <v>Lắp cổ dề</v>
      </c>
      <c r="G1264" s="1044" t="str">
        <f>VLOOKUP($B1264,DG!A:D,DG!$D$2,)</f>
        <v>cái</v>
      </c>
      <c r="H1264" s="1823"/>
      <c r="I1264" s="1823"/>
      <c r="J1264" s="1823"/>
      <c r="K1264" s="1823"/>
      <c r="L1264" s="1823"/>
      <c r="M1264" s="1823"/>
      <c r="N1264" s="1823"/>
      <c r="O1264" s="1823"/>
      <c r="P1264" s="1823"/>
      <c r="Q1264" s="1058"/>
      <c r="R1264" s="1058"/>
      <c r="S1264" s="1058"/>
      <c r="T1264" s="2035">
        <f t="shared" si="260"/>
        <v>0</v>
      </c>
    </row>
    <row r="1265" spans="1:20" ht="22.2" hidden="1" customHeight="1">
      <c r="A1265" s="59"/>
      <c r="B1265" s="1577" t="s">
        <v>1910</v>
      </c>
      <c r="C1265" s="1013" t="str">
        <f t="shared" si="253"/>
        <v xml:space="preserve"> </v>
      </c>
      <c r="D1265" s="1535">
        <v>1</v>
      </c>
      <c r="E1265" s="1044" t="str">
        <f>VLOOKUP($B1265,DG!A:D,DG!$B$2,)</f>
        <v>05.6011</v>
      </c>
      <c r="F1265" s="1049" t="str">
        <f>VLOOKUP($B1265,DG!A:D,DG!$C$2,)</f>
        <v>Lắp bộ chống lệch</v>
      </c>
      <c r="G1265" s="1044" t="str">
        <f>VLOOKUP($B1265,DG!A:D,DG!$D$2,)</f>
        <v>bộ</v>
      </c>
      <c r="H1265" s="1823"/>
      <c r="I1265" s="1823"/>
      <c r="J1265" s="1823"/>
      <c r="K1265" s="1823"/>
      <c r="L1265" s="1823"/>
      <c r="M1265" s="1823"/>
      <c r="N1265" s="1823"/>
      <c r="O1265" s="1823"/>
      <c r="P1265" s="1823"/>
      <c r="Q1265" s="1058"/>
      <c r="R1265" s="1058"/>
      <c r="S1265" s="1058"/>
      <c r="T1265" s="2035">
        <f t="shared" si="260"/>
        <v>0</v>
      </c>
    </row>
    <row r="1266" spans="1:20" ht="22.2" hidden="1" customHeight="1">
      <c r="A1266" s="59"/>
      <c r="B1266" s="1588" t="s">
        <v>356</v>
      </c>
      <c r="C1266" s="1013" t="str">
        <f t="shared" si="253"/>
        <v xml:space="preserve"> </v>
      </c>
      <c r="D1266" s="1534">
        <v>0.02</v>
      </c>
      <c r="E1266" s="1044" t="str">
        <f>VLOOKUP($B1266,DG!A:C,2,)</f>
        <v>02.1421</v>
      </c>
      <c r="F1266" s="1049" t="str">
        <f>VLOOKUP($B1266,DG!A:C,3,)</f>
        <v>V/c phụ kiện vào vị trí (cự ly &lt;=100m)</v>
      </c>
      <c r="G1266" s="1044" t="str">
        <f>VLOOKUP($B1266,DG!A:D,4,0)</f>
        <v>tấn</v>
      </c>
      <c r="H1266" s="1823"/>
      <c r="I1266" s="1823"/>
      <c r="J1266" s="1823"/>
      <c r="K1266" s="1823"/>
      <c r="L1266" s="1823"/>
      <c r="M1266" s="1823"/>
      <c r="N1266" s="1823"/>
      <c r="O1266" s="1823"/>
      <c r="P1266" s="1823"/>
      <c r="Q1266" s="1058"/>
      <c r="R1266" s="1058"/>
      <c r="S1266" s="1058"/>
      <c r="T1266" s="2035">
        <f t="shared" si="260"/>
        <v>0</v>
      </c>
    </row>
    <row r="1267" spans="1:20" ht="22.2" hidden="1" customHeight="1">
      <c r="A1267" s="63" t="s">
        <v>1085</v>
      </c>
      <c r="B1267" s="1574" t="s">
        <v>1085</v>
      </c>
      <c r="C1267" s="1013" t="str">
        <f t="shared" si="253"/>
        <v xml:space="preserve"> </v>
      </c>
      <c r="D1267" s="1532"/>
      <c r="E1267" s="1045"/>
      <c r="F1267" s="1392" t="s">
        <v>2485</v>
      </c>
      <c r="G1267" s="1046" t="s">
        <v>2391</v>
      </c>
      <c r="H1267" s="1821">
        <f>SUM(I1267:O1267)</f>
        <v>0</v>
      </c>
      <c r="I1267" s="1822"/>
      <c r="J1267" s="1822"/>
      <c r="K1267" s="1822">
        <f>IFERROR(HLOOKUP(B1267,pp3p1m!$1:$3,3,0),0)</f>
        <v>0</v>
      </c>
      <c r="L1267" s="1822">
        <f>IFERROR(HLOOKUP(chitiet!B1267,pp1p!$1:$3,3,0),0)</f>
        <v>0</v>
      </c>
      <c r="M1267" s="1822"/>
      <c r="N1267" s="1822"/>
      <c r="O1267" s="1822"/>
      <c r="P1267" s="1822">
        <f>H1267+Q1267-R1267</f>
        <v>0</v>
      </c>
      <c r="Q1267" s="1047"/>
      <c r="R1267" s="1047"/>
      <c r="S1267" s="1047"/>
      <c r="T1267" s="2035">
        <f>IFERROR(HLOOKUP(B1267,pp1p!$1:$3,3,0),0)+IFERROR(HLOOKUP(B1267,pp3p1m!$1:$3,3,0),0)</f>
        <v>0</v>
      </c>
    </row>
    <row r="1268" spans="1:20" ht="22.2" hidden="1" customHeight="1">
      <c r="A1268" s="59"/>
      <c r="B1268" s="1577" t="s">
        <v>669</v>
      </c>
      <c r="C1268" s="1013" t="str">
        <f t="shared" ref="C1268:C1331" si="261">IF(OR(P1268&lt;&gt;0,H1268&lt;&gt;0),"x"," ")</f>
        <v xml:space="preserve"> </v>
      </c>
      <c r="D1268" s="1535">
        <v>1</v>
      </c>
      <c r="E1268" s="1044"/>
      <c r="F1268" s="1056" t="str">
        <f>VLOOKUP($B1268,DG!A:D,DG!$C$2,)&amp;"-Fe8x100 nhuùng keõm"</f>
        <v>Cổ dê Ø 195 nẹp trụ-Fe8x100 nhuùng keõm</v>
      </c>
      <c r="G1268" s="1044" t="str">
        <f>VLOOKUP($B1268,DG!A:D,DG!$D$2,)</f>
        <v>bộ</v>
      </c>
      <c r="H1268" s="1823">
        <f t="shared" ref="H1268:N1268" si="262">H$1267*$D1268</f>
        <v>0</v>
      </c>
      <c r="I1268" s="1823">
        <f t="shared" si="262"/>
        <v>0</v>
      </c>
      <c r="J1268" s="1823">
        <f t="shared" si="262"/>
        <v>0</v>
      </c>
      <c r="K1268" s="1823">
        <f t="shared" si="262"/>
        <v>0</v>
      </c>
      <c r="L1268" s="1823">
        <f t="shared" si="262"/>
        <v>0</v>
      </c>
      <c r="M1268" s="1823">
        <f t="shared" si="262"/>
        <v>0</v>
      </c>
      <c r="N1268" s="1823">
        <f t="shared" si="262"/>
        <v>0</v>
      </c>
      <c r="O1268" s="1823"/>
      <c r="P1268" s="1823"/>
      <c r="Q1268" s="1053"/>
      <c r="R1268" s="1053"/>
      <c r="S1268" s="1053"/>
      <c r="T1268" s="2035">
        <f t="shared" si="260"/>
        <v>0</v>
      </c>
    </row>
    <row r="1269" spans="1:20" ht="22.2" hidden="1" customHeight="1">
      <c r="A1269" s="59"/>
      <c r="B1269" s="1577" t="s">
        <v>1469</v>
      </c>
      <c r="C1269" s="1013" t="str">
        <f t="shared" si="261"/>
        <v xml:space="preserve"> </v>
      </c>
      <c r="D1269" s="1535">
        <v>1</v>
      </c>
      <c r="E1269" s="1044"/>
      <c r="F1269" s="1056" t="str">
        <f>VLOOKUP($B1269,DG!A:D,DG!$C$2,)&amp;"-Fe8x100 nhuùng keõm"</f>
        <v>Cổ dê Ø 220 nẹp trụ-Fe8x100 nhuùng keõm</v>
      </c>
      <c r="G1269" s="1044" t="str">
        <f>VLOOKUP($B1269,DG!A:D,DG!$D$2,)</f>
        <v>bộ</v>
      </c>
      <c r="H1269" s="1823">
        <f t="shared" ref="H1269:N1269" si="263">H$1352*$D1269</f>
        <v>0</v>
      </c>
      <c r="I1269" s="1823">
        <f t="shared" si="263"/>
        <v>0</v>
      </c>
      <c r="J1269" s="1823">
        <f t="shared" si="263"/>
        <v>0</v>
      </c>
      <c r="K1269" s="1823">
        <f t="shared" si="263"/>
        <v>0</v>
      </c>
      <c r="L1269" s="1823">
        <f t="shared" si="263"/>
        <v>0</v>
      </c>
      <c r="M1269" s="1823">
        <f t="shared" si="263"/>
        <v>0</v>
      </c>
      <c r="N1269" s="1823">
        <f t="shared" si="263"/>
        <v>0</v>
      </c>
      <c r="O1269" s="1823"/>
      <c r="P1269" s="1823"/>
      <c r="Q1269" s="1053"/>
      <c r="R1269" s="1053"/>
      <c r="S1269" s="1053"/>
      <c r="T1269" s="2035">
        <f t="shared" si="260"/>
        <v>0</v>
      </c>
    </row>
    <row r="1270" spans="1:20" ht="22.2" hidden="1" customHeight="1">
      <c r="A1270" s="59"/>
      <c r="B1270" s="1577" t="s">
        <v>111</v>
      </c>
      <c r="C1270" s="1013" t="str">
        <f t="shared" si="261"/>
        <v xml:space="preserve"> </v>
      </c>
      <c r="D1270" s="1535">
        <v>2</v>
      </c>
      <c r="E1270" s="1044"/>
      <c r="F1270" s="1056" t="str">
        <f>VLOOKUP($B1270,DG!A:D,DG!$C$2,)</f>
        <v>Sứ chằng</v>
      </c>
      <c r="G1270" s="1044" t="str">
        <f>VLOOKUP($B1270,DG!A:D,DG!$D$2,)</f>
        <v>cái</v>
      </c>
      <c r="H1270" s="1823">
        <f t="shared" ref="H1270:N1277" si="264">H$1267*$D1270</f>
        <v>0</v>
      </c>
      <c r="I1270" s="1823">
        <f t="shared" si="264"/>
        <v>0</v>
      </c>
      <c r="J1270" s="1823">
        <f t="shared" si="264"/>
        <v>0</v>
      </c>
      <c r="K1270" s="1823">
        <f t="shared" si="264"/>
        <v>0</v>
      </c>
      <c r="L1270" s="1823">
        <f t="shared" si="264"/>
        <v>0</v>
      </c>
      <c r="M1270" s="1823">
        <f t="shared" si="264"/>
        <v>0</v>
      </c>
      <c r="N1270" s="1823">
        <f t="shared" si="264"/>
        <v>0</v>
      </c>
      <c r="O1270" s="1823"/>
      <c r="P1270" s="1823"/>
      <c r="Q1270" s="1053"/>
      <c r="R1270" s="1053"/>
      <c r="S1270" s="1053"/>
      <c r="T1270" s="2035">
        <f t="shared" si="260"/>
        <v>0</v>
      </c>
    </row>
    <row r="1271" spans="1:20" ht="22.2" hidden="1" customHeight="1">
      <c r="A1271" s="59"/>
      <c r="B1271" s="1577" t="s">
        <v>1581</v>
      </c>
      <c r="C1271" s="1013" t="str">
        <f t="shared" si="261"/>
        <v xml:space="preserve"> </v>
      </c>
      <c r="D1271" s="1535">
        <v>16</v>
      </c>
      <c r="E1271" s="1044"/>
      <c r="F1271" s="1056" t="str">
        <f>VLOOKUP($B1271,DG!A:D,DG!$C$2,)</f>
        <v>Kẹp cáp 3 boulon</v>
      </c>
      <c r="G1271" s="1044" t="str">
        <f>VLOOKUP($B1271,DG!A:D,DG!$D$2,)</f>
        <v>cái</v>
      </c>
      <c r="H1271" s="1823">
        <f t="shared" si="264"/>
        <v>0</v>
      </c>
      <c r="I1271" s="1823">
        <f t="shared" si="264"/>
        <v>0</v>
      </c>
      <c r="J1271" s="1823">
        <f t="shared" si="264"/>
        <v>0</v>
      </c>
      <c r="K1271" s="1823">
        <f t="shared" si="264"/>
        <v>0</v>
      </c>
      <c r="L1271" s="1823">
        <f t="shared" si="264"/>
        <v>0</v>
      </c>
      <c r="M1271" s="1823">
        <f t="shared" si="264"/>
        <v>0</v>
      </c>
      <c r="N1271" s="1823">
        <f t="shared" si="264"/>
        <v>0</v>
      </c>
      <c r="O1271" s="1823"/>
      <c r="P1271" s="1823"/>
      <c r="Q1271" s="1053"/>
      <c r="R1271" s="1053"/>
      <c r="S1271" s="1053"/>
      <c r="T1271" s="2035">
        <f t="shared" si="260"/>
        <v>0</v>
      </c>
    </row>
    <row r="1272" spans="1:20" ht="22.2" hidden="1" customHeight="1">
      <c r="A1272" s="59"/>
      <c r="B1272" s="1594" t="s">
        <v>1049</v>
      </c>
      <c r="C1272" s="1013" t="str">
        <f t="shared" si="261"/>
        <v xml:space="preserve"> </v>
      </c>
      <c r="D1272" s="1535">
        <v>26</v>
      </c>
      <c r="E1272" s="1044"/>
      <c r="F1272" s="1056" t="str">
        <f>VLOOKUP($B1272,DG!A:D,DG!$C$2,)</f>
        <v>Kẹp hotline 4/0</v>
      </c>
      <c r="G1272" s="1044" t="str">
        <f>VLOOKUP($B1272,DG!A:D,DG!$D$2,)</f>
        <v>cái</v>
      </c>
      <c r="H1272" s="1823">
        <f t="shared" si="264"/>
        <v>0</v>
      </c>
      <c r="I1272" s="1823">
        <f t="shared" si="264"/>
        <v>0</v>
      </c>
      <c r="J1272" s="1823">
        <f t="shared" si="264"/>
        <v>0</v>
      </c>
      <c r="K1272" s="1823">
        <f t="shared" si="264"/>
        <v>0</v>
      </c>
      <c r="L1272" s="1823">
        <f t="shared" si="264"/>
        <v>0</v>
      </c>
      <c r="M1272" s="1823">
        <f t="shared" si="264"/>
        <v>0</v>
      </c>
      <c r="N1272" s="1823">
        <f t="shared" si="264"/>
        <v>0</v>
      </c>
      <c r="O1272" s="1823"/>
      <c r="P1272" s="1823"/>
      <c r="Q1272" s="1053"/>
      <c r="R1272" s="1053"/>
      <c r="S1272" s="1053"/>
      <c r="T1272" s="2035">
        <f t="shared" si="260"/>
        <v>0</v>
      </c>
    </row>
    <row r="1273" spans="1:20" ht="22.2" hidden="1" customHeight="1">
      <c r="A1273" s="59"/>
      <c r="B1273" s="1577" t="s">
        <v>279</v>
      </c>
      <c r="C1273" s="1013" t="str">
        <f t="shared" si="261"/>
        <v xml:space="preserve"> </v>
      </c>
      <c r="D1273" s="1535">
        <v>4</v>
      </c>
      <c r="E1273" s="1044"/>
      <c r="F1273" s="1056" t="str">
        <f>VLOOKUP($B1273,DG!A:D,DG!$C$2,)</f>
        <v>Sắt dẹt 60 x 6</v>
      </c>
      <c r="G1273" s="1044" t="str">
        <f>VLOOKUP($B1273,DG!A:D,DG!$D$2,)</f>
        <v>kg</v>
      </c>
      <c r="H1273" s="1823">
        <f t="shared" si="264"/>
        <v>0</v>
      </c>
      <c r="I1273" s="1823">
        <f t="shared" si="264"/>
        <v>0</v>
      </c>
      <c r="J1273" s="1823">
        <f t="shared" si="264"/>
        <v>0</v>
      </c>
      <c r="K1273" s="1823">
        <f t="shared" si="264"/>
        <v>0</v>
      </c>
      <c r="L1273" s="1823">
        <f t="shared" si="264"/>
        <v>0</v>
      </c>
      <c r="M1273" s="1823">
        <f t="shared" si="264"/>
        <v>0</v>
      </c>
      <c r="N1273" s="1823">
        <f t="shared" si="264"/>
        <v>0</v>
      </c>
      <c r="O1273" s="1823"/>
      <c r="P1273" s="1823"/>
      <c r="Q1273" s="1053"/>
      <c r="R1273" s="1053"/>
      <c r="S1273" s="1053"/>
      <c r="T1273" s="2035">
        <f t="shared" si="260"/>
        <v>0</v>
      </c>
    </row>
    <row r="1274" spans="1:20" ht="22.2" hidden="1" customHeight="1">
      <c r="A1274" s="59"/>
      <c r="B1274" s="1577" t="s">
        <v>1374</v>
      </c>
      <c r="C1274" s="1013" t="str">
        <f t="shared" si="261"/>
        <v xml:space="preserve"> </v>
      </c>
      <c r="D1274" s="1535">
        <v>2</v>
      </c>
      <c r="E1274" s="1044"/>
      <c r="F1274" s="1056" t="str">
        <f>VLOOKUP($B1274,DG!A:D,DG!$C$2,)</f>
        <v xml:space="preserve">Móc treo chữ U </v>
      </c>
      <c r="G1274" s="1044" t="str">
        <f>VLOOKUP($B1274,DG!A:D,DG!$D$2,)</f>
        <v>cái</v>
      </c>
      <c r="H1274" s="1823">
        <f t="shared" si="264"/>
        <v>0</v>
      </c>
      <c r="I1274" s="1823">
        <f t="shared" si="264"/>
        <v>0</v>
      </c>
      <c r="J1274" s="1823">
        <f t="shared" si="264"/>
        <v>0</v>
      </c>
      <c r="K1274" s="1823">
        <f t="shared" si="264"/>
        <v>0</v>
      </c>
      <c r="L1274" s="1823">
        <f t="shared" si="264"/>
        <v>0</v>
      </c>
      <c r="M1274" s="1823">
        <f t="shared" si="264"/>
        <v>0</v>
      </c>
      <c r="N1274" s="1823">
        <f t="shared" si="264"/>
        <v>0</v>
      </c>
      <c r="O1274" s="1823"/>
      <c r="P1274" s="1823"/>
      <c r="Q1274" s="1053"/>
      <c r="R1274" s="1053"/>
      <c r="S1274" s="1053"/>
      <c r="T1274" s="2035">
        <f t="shared" si="260"/>
        <v>0</v>
      </c>
    </row>
    <row r="1275" spans="1:20" ht="22.2" hidden="1" customHeight="1">
      <c r="A1275" s="59"/>
      <c r="B1275" s="1595" t="s">
        <v>1895</v>
      </c>
      <c r="C1275" s="1013" t="str">
        <f t="shared" si="261"/>
        <v xml:space="preserve"> </v>
      </c>
      <c r="D1275" s="1535">
        <v>4</v>
      </c>
      <c r="E1275" s="1044"/>
      <c r="F1275" s="1056" t="str">
        <f>VLOOKUP($B1275,DG!A:D,DG!$C$2,)</f>
        <v>Boulon 16x100VRS+ 4 long đền vuông D18-50x50x3/Zn</v>
      </c>
      <c r="G1275" s="1044" t="str">
        <f>VLOOKUP($B1275,DG!A:D,DG!$D$2,)</f>
        <v>bộ</v>
      </c>
      <c r="H1275" s="1823">
        <f t="shared" si="264"/>
        <v>0</v>
      </c>
      <c r="I1275" s="1823">
        <f t="shared" si="264"/>
        <v>0</v>
      </c>
      <c r="J1275" s="1823">
        <f t="shared" si="264"/>
        <v>0</v>
      </c>
      <c r="K1275" s="1823">
        <f t="shared" si="264"/>
        <v>0</v>
      </c>
      <c r="L1275" s="1823">
        <f t="shared" si="264"/>
        <v>0</v>
      </c>
      <c r="M1275" s="1823">
        <f t="shared" si="264"/>
        <v>0</v>
      </c>
      <c r="N1275" s="1823">
        <f t="shared" si="264"/>
        <v>0</v>
      </c>
      <c r="O1275" s="1823"/>
      <c r="P1275" s="1823"/>
      <c r="Q1275" s="1053"/>
      <c r="R1275" s="1053"/>
      <c r="S1275" s="1053"/>
      <c r="T1275" s="2035">
        <f t="shared" si="260"/>
        <v>0</v>
      </c>
    </row>
    <row r="1276" spans="1:20" ht="22.2" hidden="1" customHeight="1">
      <c r="A1276" s="59"/>
      <c r="B1276" s="1577" t="s">
        <v>2004</v>
      </c>
      <c r="C1276" s="1013" t="str">
        <f t="shared" si="261"/>
        <v xml:space="preserve"> </v>
      </c>
      <c r="D1276" s="1535">
        <v>4</v>
      </c>
      <c r="E1276" s="1044"/>
      <c r="F1276" s="1056" t="str">
        <f>VLOOKUP($B1276,DG!A:D,DG!$C$2,)</f>
        <v>Yếm cáp dày 2mm</v>
      </c>
      <c r="G1276" s="1044" t="str">
        <f>VLOOKUP($B1276,DG!A:D,DG!$D$2,)</f>
        <v>cái</v>
      </c>
      <c r="H1276" s="1823">
        <f t="shared" si="264"/>
        <v>0</v>
      </c>
      <c r="I1276" s="1823">
        <f t="shared" si="264"/>
        <v>0</v>
      </c>
      <c r="J1276" s="1823">
        <f t="shared" si="264"/>
        <v>0</v>
      </c>
      <c r="K1276" s="1823">
        <f t="shared" si="264"/>
        <v>0</v>
      </c>
      <c r="L1276" s="1823">
        <f t="shared" si="264"/>
        <v>0</v>
      </c>
      <c r="M1276" s="1823">
        <f t="shared" si="264"/>
        <v>0</v>
      </c>
      <c r="N1276" s="1823">
        <f t="shared" si="264"/>
        <v>0</v>
      </c>
      <c r="O1276" s="1823"/>
      <c r="P1276" s="1823"/>
      <c r="Q1276" s="1053"/>
      <c r="R1276" s="1053"/>
      <c r="S1276" s="1053"/>
      <c r="T1276" s="2035">
        <f t="shared" si="260"/>
        <v>0</v>
      </c>
    </row>
    <row r="1277" spans="1:20" ht="22.2" hidden="1" customHeight="1">
      <c r="A1277" s="59"/>
      <c r="B1277" s="1577" t="s">
        <v>2005</v>
      </c>
      <c r="C1277" s="1013" t="str">
        <f t="shared" si="261"/>
        <v xml:space="preserve"> </v>
      </c>
      <c r="D1277" s="1535">
        <v>2</v>
      </c>
      <c r="E1277" s="1044"/>
      <c r="F1277" s="1056" t="str">
        <f>VLOOKUP($B1277,DG!A:D,DG!$C$2,)</f>
        <v>Máng che dây chằng dày 1,6mm</v>
      </c>
      <c r="G1277" s="1044" t="str">
        <f>VLOOKUP($B1277,DG!A:D,DG!$D$2,)</f>
        <v>cái</v>
      </c>
      <c r="H1277" s="1823">
        <f t="shared" si="264"/>
        <v>0</v>
      </c>
      <c r="I1277" s="1823">
        <f t="shared" si="264"/>
        <v>0</v>
      </c>
      <c r="J1277" s="1823">
        <f t="shared" si="264"/>
        <v>0</v>
      </c>
      <c r="K1277" s="1823">
        <f t="shared" si="264"/>
        <v>0</v>
      </c>
      <c r="L1277" s="1823">
        <f t="shared" si="264"/>
        <v>0</v>
      </c>
      <c r="M1277" s="1823">
        <f t="shared" si="264"/>
        <v>0</v>
      </c>
      <c r="N1277" s="1823">
        <f t="shared" si="264"/>
        <v>0</v>
      </c>
      <c r="O1277" s="1823"/>
      <c r="P1277" s="1823"/>
      <c r="Q1277" s="1053"/>
      <c r="R1277" s="1053"/>
      <c r="S1277" s="1053"/>
      <c r="T1277" s="2035">
        <f t="shared" si="260"/>
        <v>0</v>
      </c>
    </row>
    <row r="1278" spans="1:20" ht="22.2" hidden="1" customHeight="1">
      <c r="A1278" s="59"/>
      <c r="B1278" s="1577" t="s">
        <v>1922</v>
      </c>
      <c r="C1278" s="1013" t="str">
        <f t="shared" si="261"/>
        <v xml:space="preserve"> </v>
      </c>
      <c r="D1278" s="1535">
        <v>2</v>
      </c>
      <c r="E1278" s="1044" t="str">
        <f>VLOOKUP($B1278,DG!A:D,DG!$B$2,)</f>
        <v>06.3241</v>
      </c>
      <c r="F1278" s="1049" t="str">
        <f>VLOOKUP($B1278,DG!A:D,DG!$C$2,)</f>
        <v>Lắp bộ dây néo</v>
      </c>
      <c r="G1278" s="1044" t="str">
        <f>VLOOKUP($B1278,DG!A:D,DG!$D$2,)</f>
        <v>bộ</v>
      </c>
      <c r="H1278" s="1823"/>
      <c r="I1278" s="1823"/>
      <c r="J1278" s="1823"/>
      <c r="K1278" s="1823"/>
      <c r="L1278" s="1823"/>
      <c r="M1278" s="1823"/>
      <c r="N1278" s="1823"/>
      <c r="O1278" s="1823"/>
      <c r="P1278" s="1823"/>
      <c r="Q1278" s="1058"/>
      <c r="R1278" s="1058"/>
      <c r="S1278" s="1058"/>
      <c r="T1278" s="2035">
        <f t="shared" si="260"/>
        <v>0</v>
      </c>
    </row>
    <row r="1279" spans="1:20" ht="22.2" hidden="1" customHeight="1">
      <c r="A1279" s="59"/>
      <c r="B1279" s="1577" t="s">
        <v>681</v>
      </c>
      <c r="C1279" s="1013" t="str">
        <f t="shared" si="261"/>
        <v xml:space="preserve"> </v>
      </c>
      <c r="D1279" s="1535">
        <v>2</v>
      </c>
      <c r="E1279" s="1044" t="str">
        <f>VLOOKUP($B1279,DG!A:D,DG!$B$2,)</f>
        <v>06.2110</v>
      </c>
      <c r="F1279" s="1049" t="str">
        <f>VLOOKUP($B1279,DG!A:D,DG!$C$2,)</f>
        <v>Lắp cổ dề</v>
      </c>
      <c r="G1279" s="1044" t="str">
        <f>VLOOKUP($B1279,DG!A:D,DG!$D$2,)</f>
        <v>cái</v>
      </c>
      <c r="H1279" s="1823"/>
      <c r="I1279" s="1823"/>
      <c r="J1279" s="1823"/>
      <c r="K1279" s="1823"/>
      <c r="L1279" s="1823"/>
      <c r="M1279" s="1823"/>
      <c r="N1279" s="1823"/>
      <c r="O1279" s="1823"/>
      <c r="P1279" s="1823"/>
      <c r="Q1279" s="1058"/>
      <c r="R1279" s="1058"/>
      <c r="S1279" s="1058"/>
      <c r="T1279" s="2035">
        <f t="shared" si="260"/>
        <v>0</v>
      </c>
    </row>
    <row r="1280" spans="1:20" ht="22.2" hidden="1" customHeight="1">
      <c r="A1280" s="59"/>
      <c r="B1280" s="1588" t="s">
        <v>356</v>
      </c>
      <c r="C1280" s="1013" t="str">
        <f t="shared" si="261"/>
        <v xml:space="preserve"> </v>
      </c>
      <c r="D1280" s="1534">
        <v>0.02</v>
      </c>
      <c r="E1280" s="1044" t="str">
        <f>VLOOKUP($B1280,DG!A:C,2,)</f>
        <v>02.1421</v>
      </c>
      <c r="F1280" s="1049" t="str">
        <f>VLOOKUP($B1280,DG!A:C,3,)</f>
        <v>V/c phụ kiện vào vị trí (cự ly &lt;=100m)</v>
      </c>
      <c r="G1280" s="1044" t="str">
        <f>VLOOKUP($B1280,DG!A:D,4,0)</f>
        <v>tấn</v>
      </c>
      <c r="H1280" s="1823"/>
      <c r="I1280" s="1823"/>
      <c r="J1280" s="1823"/>
      <c r="K1280" s="1823"/>
      <c r="L1280" s="1823"/>
      <c r="M1280" s="1823"/>
      <c r="N1280" s="1823"/>
      <c r="O1280" s="1823"/>
      <c r="P1280" s="1823"/>
      <c r="Q1280" s="1058"/>
      <c r="R1280" s="1058"/>
      <c r="S1280" s="1058"/>
      <c r="T1280" s="2035">
        <f t="shared" si="260"/>
        <v>0</v>
      </c>
    </row>
    <row r="1281" spans="1:20" ht="22.2" hidden="1" customHeight="1">
      <c r="A1281" s="56" t="s">
        <v>1086</v>
      </c>
      <c r="B1281" s="1574" t="s">
        <v>1086</v>
      </c>
      <c r="C1281" s="1013" t="str">
        <f t="shared" si="261"/>
        <v xml:space="preserve"> </v>
      </c>
      <c r="D1281" s="1532"/>
      <c r="E1281" s="1045"/>
      <c r="F1281" s="1392" t="s">
        <v>2486</v>
      </c>
      <c r="G1281" s="1046" t="s">
        <v>2391</v>
      </c>
      <c r="H1281" s="1821">
        <f>SUM(I1281:O1281)</f>
        <v>0</v>
      </c>
      <c r="I1281" s="1822"/>
      <c r="J1281" s="1822"/>
      <c r="K1281" s="1822">
        <f>IFERROR(HLOOKUP(B1281,pp3p1m!$1:$3,3,0),0)</f>
        <v>0</v>
      </c>
      <c r="L1281" s="1822">
        <f>IFERROR(HLOOKUP(chitiet!B1281,pp1p!$1:$3,3,0),0)</f>
        <v>0</v>
      </c>
      <c r="M1281" s="1822"/>
      <c r="N1281" s="1822"/>
      <c r="O1281" s="1822"/>
      <c r="P1281" s="1822">
        <f>H1281+Q1281-R1281</f>
        <v>0</v>
      </c>
      <c r="Q1281" s="1047"/>
      <c r="R1281" s="1047"/>
      <c r="S1281" s="1047"/>
      <c r="T1281" s="2035">
        <f>IFERROR(HLOOKUP(B1281,pp1p!$1:$3,3,0),0)+IFERROR(HLOOKUP(B1281,pp3p1m!$1:$3,3,0),0)</f>
        <v>0</v>
      </c>
    </row>
    <row r="1282" spans="1:20" ht="22.2" hidden="1" customHeight="1">
      <c r="A1282" s="59"/>
      <c r="B1282" s="1577" t="s">
        <v>669</v>
      </c>
      <c r="C1282" s="1013" t="str">
        <f t="shared" si="261"/>
        <v xml:space="preserve"> </v>
      </c>
      <c r="D1282" s="1535">
        <v>1</v>
      </c>
      <c r="E1282" s="1044"/>
      <c r="F1282" s="1056" t="str">
        <f>VLOOKUP($B1282,DG!A:D,DG!$C$2,)&amp;"-Fe8x100 nhuùng keõm"</f>
        <v>Cổ dê Ø 195 nẹp trụ-Fe8x100 nhuùng keõm</v>
      </c>
      <c r="G1282" s="1044" t="str">
        <f>VLOOKUP($B1282,DG!A:D,DG!$D$2,)</f>
        <v>bộ</v>
      </c>
      <c r="H1282" s="1823">
        <f t="shared" ref="H1282:N1290" si="265">H$1281*$D1282</f>
        <v>0</v>
      </c>
      <c r="I1282" s="1823">
        <f t="shared" si="265"/>
        <v>0</v>
      </c>
      <c r="J1282" s="1823">
        <f t="shared" si="265"/>
        <v>0</v>
      </c>
      <c r="K1282" s="1823">
        <f t="shared" si="265"/>
        <v>0</v>
      </c>
      <c r="L1282" s="1823">
        <f t="shared" si="265"/>
        <v>0</v>
      </c>
      <c r="M1282" s="1823">
        <f t="shared" si="265"/>
        <v>0</v>
      </c>
      <c r="N1282" s="1823">
        <f t="shared" si="265"/>
        <v>0</v>
      </c>
      <c r="O1282" s="1823"/>
      <c r="P1282" s="1823"/>
      <c r="Q1282" s="1053"/>
      <c r="R1282" s="1053"/>
      <c r="S1282" s="1053"/>
      <c r="T1282" s="2035">
        <f t="shared" si="260"/>
        <v>0</v>
      </c>
    </row>
    <row r="1283" spans="1:20" ht="22.2" hidden="1" customHeight="1">
      <c r="A1283" s="59"/>
      <c r="B1283" s="1577" t="s">
        <v>111</v>
      </c>
      <c r="C1283" s="1013" t="str">
        <f t="shared" si="261"/>
        <v xml:space="preserve"> </v>
      </c>
      <c r="D1283" s="1535">
        <v>1</v>
      </c>
      <c r="E1283" s="1044"/>
      <c r="F1283" s="1056" t="str">
        <f>VLOOKUP($B1283,DG!A:D,DG!$C$2,)</f>
        <v>Sứ chằng</v>
      </c>
      <c r="G1283" s="1044" t="str">
        <f>VLOOKUP($B1283,DG!A:D,DG!$D$2,)</f>
        <v>cái</v>
      </c>
      <c r="H1283" s="1823">
        <f t="shared" si="265"/>
        <v>0</v>
      </c>
      <c r="I1283" s="1823">
        <f t="shared" si="265"/>
        <v>0</v>
      </c>
      <c r="J1283" s="1823">
        <f t="shared" si="265"/>
        <v>0</v>
      </c>
      <c r="K1283" s="1823">
        <f t="shared" si="265"/>
        <v>0</v>
      </c>
      <c r="L1283" s="1823">
        <f t="shared" si="265"/>
        <v>0</v>
      </c>
      <c r="M1283" s="1823">
        <f t="shared" si="265"/>
        <v>0</v>
      </c>
      <c r="N1283" s="1823">
        <f t="shared" si="265"/>
        <v>0</v>
      </c>
      <c r="O1283" s="1823"/>
      <c r="P1283" s="1823"/>
      <c r="Q1283" s="1053"/>
      <c r="R1283" s="1053"/>
      <c r="S1283" s="1053"/>
      <c r="T1283" s="2035">
        <f t="shared" si="260"/>
        <v>0</v>
      </c>
    </row>
    <row r="1284" spans="1:20" ht="22.2" hidden="1" customHeight="1">
      <c r="A1284" s="59"/>
      <c r="B1284" s="1577" t="s">
        <v>1581</v>
      </c>
      <c r="C1284" s="1013" t="str">
        <f t="shared" si="261"/>
        <v xml:space="preserve"> </v>
      </c>
      <c r="D1284" s="1535">
        <v>8</v>
      </c>
      <c r="E1284" s="1044"/>
      <c r="F1284" s="1056" t="str">
        <f>VLOOKUP($B1284,DG!A:D,DG!$C$2,)</f>
        <v>Kẹp cáp 3 boulon</v>
      </c>
      <c r="G1284" s="1044" t="str">
        <f>VLOOKUP($B1284,DG!A:D,DG!$D$2,)</f>
        <v>cái</v>
      </c>
      <c r="H1284" s="1823">
        <f t="shared" si="265"/>
        <v>0</v>
      </c>
      <c r="I1284" s="1823">
        <f t="shared" si="265"/>
        <v>0</v>
      </c>
      <c r="J1284" s="1823">
        <f t="shared" si="265"/>
        <v>0</v>
      </c>
      <c r="K1284" s="1823">
        <f t="shared" si="265"/>
        <v>0</v>
      </c>
      <c r="L1284" s="1823">
        <f t="shared" si="265"/>
        <v>0</v>
      </c>
      <c r="M1284" s="1823">
        <f t="shared" si="265"/>
        <v>0</v>
      </c>
      <c r="N1284" s="1823">
        <f t="shared" si="265"/>
        <v>0</v>
      </c>
      <c r="O1284" s="1823"/>
      <c r="P1284" s="1823"/>
      <c r="Q1284" s="1053"/>
      <c r="R1284" s="1053"/>
      <c r="S1284" s="1053"/>
      <c r="T1284" s="2035">
        <f t="shared" si="260"/>
        <v>0</v>
      </c>
    </row>
    <row r="1285" spans="1:20" ht="22.2" hidden="1" customHeight="1">
      <c r="A1285" s="59"/>
      <c r="B1285" s="1594" t="s">
        <v>1049</v>
      </c>
      <c r="C1285" s="1013" t="str">
        <f t="shared" si="261"/>
        <v xml:space="preserve"> </v>
      </c>
      <c r="D1285" s="1535">
        <v>17</v>
      </c>
      <c r="E1285" s="1044"/>
      <c r="F1285" s="1056" t="str">
        <f>VLOOKUP($B1285,DG!A:D,DG!$C$2,)</f>
        <v>Kẹp hotline 4/0</v>
      </c>
      <c r="G1285" s="1044" t="str">
        <f>VLOOKUP($B1285,DG!A:D,DG!$D$2,)</f>
        <v>cái</v>
      </c>
      <c r="H1285" s="1823">
        <f t="shared" si="265"/>
        <v>0</v>
      </c>
      <c r="I1285" s="1823">
        <f t="shared" si="265"/>
        <v>0</v>
      </c>
      <c r="J1285" s="1823">
        <f t="shared" si="265"/>
        <v>0</v>
      </c>
      <c r="K1285" s="1823">
        <f t="shared" si="265"/>
        <v>0</v>
      </c>
      <c r="L1285" s="1823">
        <f t="shared" si="265"/>
        <v>0</v>
      </c>
      <c r="M1285" s="1823">
        <f t="shared" si="265"/>
        <v>0</v>
      </c>
      <c r="N1285" s="1823">
        <f t="shared" si="265"/>
        <v>0</v>
      </c>
      <c r="O1285" s="1823"/>
      <c r="P1285" s="1823"/>
      <c r="Q1285" s="1053"/>
      <c r="R1285" s="1053"/>
      <c r="S1285" s="1053"/>
      <c r="T1285" s="2035">
        <f t="shared" si="260"/>
        <v>0</v>
      </c>
    </row>
    <row r="1286" spans="1:20" ht="22.2" hidden="1" customHeight="1">
      <c r="A1286" s="59"/>
      <c r="B1286" s="1577" t="s">
        <v>279</v>
      </c>
      <c r="C1286" s="1013" t="str">
        <f t="shared" si="261"/>
        <v xml:space="preserve"> </v>
      </c>
      <c r="D1286" s="1535">
        <v>2</v>
      </c>
      <c r="E1286" s="1044"/>
      <c r="F1286" s="1056" t="str">
        <f>VLOOKUP($B1286,DG!A:D,DG!$C$2,)</f>
        <v>Sắt dẹt 60 x 6</v>
      </c>
      <c r="G1286" s="1044" t="str">
        <f>VLOOKUP($B1286,DG!A:D,DG!$D$2,)</f>
        <v>kg</v>
      </c>
      <c r="H1286" s="1823">
        <f t="shared" si="265"/>
        <v>0</v>
      </c>
      <c r="I1286" s="1823">
        <f t="shared" si="265"/>
        <v>0</v>
      </c>
      <c r="J1286" s="1823">
        <f t="shared" si="265"/>
        <v>0</v>
      </c>
      <c r="K1286" s="1823">
        <f t="shared" si="265"/>
        <v>0</v>
      </c>
      <c r="L1286" s="1823">
        <f t="shared" si="265"/>
        <v>0</v>
      </c>
      <c r="M1286" s="1823">
        <f t="shared" si="265"/>
        <v>0</v>
      </c>
      <c r="N1286" s="1823">
        <f t="shared" si="265"/>
        <v>0</v>
      </c>
      <c r="O1286" s="1823"/>
      <c r="P1286" s="1823"/>
      <c r="Q1286" s="1053"/>
      <c r="R1286" s="1053"/>
      <c r="S1286" s="1053"/>
      <c r="T1286" s="2035">
        <f t="shared" si="260"/>
        <v>0</v>
      </c>
    </row>
    <row r="1287" spans="1:20" ht="22.2" hidden="1" customHeight="1">
      <c r="A1287" s="59"/>
      <c r="B1287" s="1577" t="s">
        <v>1374</v>
      </c>
      <c r="C1287" s="1013" t="str">
        <f t="shared" si="261"/>
        <v xml:space="preserve"> </v>
      </c>
      <c r="D1287" s="1535">
        <v>1</v>
      </c>
      <c r="E1287" s="1044"/>
      <c r="F1287" s="1056" t="str">
        <f>VLOOKUP($B1287,DG!A:D,DG!$C$2,)</f>
        <v xml:space="preserve">Móc treo chữ U </v>
      </c>
      <c r="G1287" s="1044" t="str">
        <f>VLOOKUP($B1287,DG!A:D,DG!$D$2,)</f>
        <v>cái</v>
      </c>
      <c r="H1287" s="1823">
        <f t="shared" si="265"/>
        <v>0</v>
      </c>
      <c r="I1287" s="1823">
        <f t="shared" si="265"/>
        <v>0</v>
      </c>
      <c r="J1287" s="1823">
        <f t="shared" si="265"/>
        <v>0</v>
      </c>
      <c r="K1287" s="1823">
        <f t="shared" si="265"/>
        <v>0</v>
      </c>
      <c r="L1287" s="1823">
        <f t="shared" si="265"/>
        <v>0</v>
      </c>
      <c r="M1287" s="1823">
        <f t="shared" si="265"/>
        <v>0</v>
      </c>
      <c r="N1287" s="1823">
        <f t="shared" si="265"/>
        <v>0</v>
      </c>
      <c r="O1287" s="1823"/>
      <c r="P1287" s="1823"/>
      <c r="Q1287" s="1053"/>
      <c r="R1287" s="1053"/>
      <c r="S1287" s="1053"/>
      <c r="T1287" s="2035">
        <f t="shared" si="260"/>
        <v>0</v>
      </c>
    </row>
    <row r="1288" spans="1:20" ht="22.2" hidden="1" customHeight="1">
      <c r="A1288" s="59"/>
      <c r="B1288" s="1595" t="s">
        <v>1895</v>
      </c>
      <c r="C1288" s="1013" t="str">
        <f t="shared" si="261"/>
        <v xml:space="preserve"> </v>
      </c>
      <c r="D1288" s="1535">
        <v>2</v>
      </c>
      <c r="E1288" s="1044"/>
      <c r="F1288" s="1056" t="str">
        <f>VLOOKUP($B1288,DG!A:D,DG!$C$2,)</f>
        <v>Boulon 16x100VRS+ 4 long đền vuông D18-50x50x3/Zn</v>
      </c>
      <c r="G1288" s="1044" t="str">
        <f>VLOOKUP($B1288,DG!A:D,DG!$D$2,)</f>
        <v>bộ</v>
      </c>
      <c r="H1288" s="1823">
        <f t="shared" si="265"/>
        <v>0</v>
      </c>
      <c r="I1288" s="1823">
        <f t="shared" si="265"/>
        <v>0</v>
      </c>
      <c r="J1288" s="1823">
        <f t="shared" si="265"/>
        <v>0</v>
      </c>
      <c r="K1288" s="1823">
        <f t="shared" si="265"/>
        <v>0</v>
      </c>
      <c r="L1288" s="1823">
        <f t="shared" si="265"/>
        <v>0</v>
      </c>
      <c r="M1288" s="1823">
        <f t="shared" si="265"/>
        <v>0</v>
      </c>
      <c r="N1288" s="1823">
        <f t="shared" si="265"/>
        <v>0</v>
      </c>
      <c r="O1288" s="1823"/>
      <c r="P1288" s="1823"/>
      <c r="Q1288" s="1053"/>
      <c r="R1288" s="1053"/>
      <c r="S1288" s="1053"/>
      <c r="T1288" s="2035">
        <f t="shared" si="260"/>
        <v>0</v>
      </c>
    </row>
    <row r="1289" spans="1:20" ht="22.2" hidden="1" customHeight="1">
      <c r="A1289" s="59"/>
      <c r="B1289" s="1577" t="s">
        <v>2004</v>
      </c>
      <c r="C1289" s="1013" t="str">
        <f t="shared" si="261"/>
        <v xml:space="preserve"> </v>
      </c>
      <c r="D1289" s="1535">
        <v>2</v>
      </c>
      <c r="E1289" s="1044"/>
      <c r="F1289" s="1056" t="str">
        <f>VLOOKUP($B1289,DG!A:D,DG!$C$2,)</f>
        <v>Yếm cáp dày 2mm</v>
      </c>
      <c r="G1289" s="1044" t="str">
        <f>VLOOKUP($B1289,DG!A:D,DG!$D$2,)</f>
        <v>cái</v>
      </c>
      <c r="H1289" s="1823">
        <f t="shared" si="265"/>
        <v>0</v>
      </c>
      <c r="I1289" s="1823">
        <f t="shared" si="265"/>
        <v>0</v>
      </c>
      <c r="J1289" s="1823">
        <f t="shared" si="265"/>
        <v>0</v>
      </c>
      <c r="K1289" s="1823">
        <f t="shared" si="265"/>
        <v>0</v>
      </c>
      <c r="L1289" s="1823">
        <f t="shared" si="265"/>
        <v>0</v>
      </c>
      <c r="M1289" s="1823">
        <f t="shared" si="265"/>
        <v>0</v>
      </c>
      <c r="N1289" s="1823">
        <f t="shared" si="265"/>
        <v>0</v>
      </c>
      <c r="O1289" s="1823"/>
      <c r="P1289" s="1823"/>
      <c r="Q1289" s="1053"/>
      <c r="R1289" s="1053"/>
      <c r="S1289" s="1053"/>
      <c r="T1289" s="2035">
        <f t="shared" si="260"/>
        <v>0</v>
      </c>
    </row>
    <row r="1290" spans="1:20" ht="22.2" hidden="1" customHeight="1">
      <c r="A1290" s="59"/>
      <c r="B1290" s="1577" t="s">
        <v>2005</v>
      </c>
      <c r="C1290" s="1013" t="str">
        <f t="shared" si="261"/>
        <v xml:space="preserve"> </v>
      </c>
      <c r="D1290" s="1535">
        <v>1</v>
      </c>
      <c r="E1290" s="1044"/>
      <c r="F1290" s="1056" t="str">
        <f>VLOOKUP($B1290,DG!A:D,DG!$C$2,)</f>
        <v>Máng che dây chằng dày 1,6mm</v>
      </c>
      <c r="G1290" s="1044" t="str">
        <f>VLOOKUP($B1290,DG!A:D,DG!$D$2,)</f>
        <v>cái</v>
      </c>
      <c r="H1290" s="1823">
        <f t="shared" si="265"/>
        <v>0</v>
      </c>
      <c r="I1290" s="1823">
        <f t="shared" si="265"/>
        <v>0</v>
      </c>
      <c r="J1290" s="1823">
        <f t="shared" si="265"/>
        <v>0</v>
      </c>
      <c r="K1290" s="1823">
        <f t="shared" si="265"/>
        <v>0</v>
      </c>
      <c r="L1290" s="1823">
        <f t="shared" si="265"/>
        <v>0</v>
      </c>
      <c r="M1290" s="1823">
        <f t="shared" si="265"/>
        <v>0</v>
      </c>
      <c r="N1290" s="1823">
        <f t="shared" si="265"/>
        <v>0</v>
      </c>
      <c r="O1290" s="1823"/>
      <c r="P1290" s="1823"/>
      <c r="Q1290" s="1053"/>
      <c r="R1290" s="1053"/>
      <c r="S1290" s="1053"/>
      <c r="T1290" s="2035">
        <f t="shared" si="260"/>
        <v>0</v>
      </c>
    </row>
    <row r="1291" spans="1:20" ht="22.2" hidden="1" customHeight="1">
      <c r="A1291" s="59"/>
      <c r="B1291" s="1577" t="s">
        <v>1922</v>
      </c>
      <c r="C1291" s="1013" t="str">
        <f t="shared" si="261"/>
        <v xml:space="preserve"> </v>
      </c>
      <c r="D1291" s="1535">
        <f>D1282</f>
        <v>1</v>
      </c>
      <c r="E1291" s="1044" t="str">
        <f>VLOOKUP($B1291,DG!A:D,DG!$B$2,)</f>
        <v>06.3241</v>
      </c>
      <c r="F1291" s="1049" t="str">
        <f>VLOOKUP($B1291,DG!A:D,DG!$C$2,)</f>
        <v>Lắp bộ dây néo</v>
      </c>
      <c r="G1291" s="1044" t="str">
        <f>VLOOKUP($B1291,DG!A:D,DG!$D$2,)</f>
        <v>bộ</v>
      </c>
      <c r="H1291" s="1823"/>
      <c r="I1291" s="1823"/>
      <c r="J1291" s="1823"/>
      <c r="K1291" s="1823"/>
      <c r="L1291" s="1823"/>
      <c r="M1291" s="1823"/>
      <c r="N1291" s="1823"/>
      <c r="O1291" s="1823"/>
      <c r="P1291" s="1823"/>
      <c r="Q1291" s="1058"/>
      <c r="R1291" s="1058"/>
      <c r="S1291" s="1058"/>
      <c r="T1291" s="2035">
        <f t="shared" si="260"/>
        <v>0</v>
      </c>
    </row>
    <row r="1292" spans="1:20" ht="22.2" hidden="1" customHeight="1">
      <c r="A1292" s="59"/>
      <c r="B1292" s="1577" t="s">
        <v>681</v>
      </c>
      <c r="C1292" s="1013" t="str">
        <f t="shared" si="261"/>
        <v xml:space="preserve"> </v>
      </c>
      <c r="D1292" s="1535">
        <v>1</v>
      </c>
      <c r="E1292" s="1044" t="str">
        <f>VLOOKUP($B1292,DG!A:D,DG!$B$2,)</f>
        <v>06.2110</v>
      </c>
      <c r="F1292" s="1049" t="str">
        <f>VLOOKUP($B1292,DG!A:D,DG!$C$2,)</f>
        <v>Lắp cổ dề</v>
      </c>
      <c r="G1292" s="1044" t="str">
        <f>VLOOKUP($B1292,DG!A:D,DG!$D$2,)</f>
        <v>cái</v>
      </c>
      <c r="H1292" s="1823"/>
      <c r="I1292" s="1823"/>
      <c r="J1292" s="1823"/>
      <c r="K1292" s="1823"/>
      <c r="L1292" s="1823"/>
      <c r="M1292" s="1823"/>
      <c r="N1292" s="1823"/>
      <c r="O1292" s="1823"/>
      <c r="P1292" s="1823"/>
      <c r="Q1292" s="1058"/>
      <c r="R1292" s="1058"/>
      <c r="S1292" s="1058"/>
      <c r="T1292" s="2035">
        <f t="shared" si="260"/>
        <v>0</v>
      </c>
    </row>
    <row r="1293" spans="1:20" ht="22.2" hidden="1" customHeight="1">
      <c r="A1293" s="59"/>
      <c r="B1293" s="1588" t="s">
        <v>356</v>
      </c>
      <c r="C1293" s="1013" t="str">
        <f t="shared" si="261"/>
        <v xml:space="preserve"> </v>
      </c>
      <c r="D1293" s="1534">
        <v>0.02</v>
      </c>
      <c r="E1293" s="1044" t="str">
        <f>VLOOKUP($B1293,DG!A:C,2,)</f>
        <v>02.1421</v>
      </c>
      <c r="F1293" s="1049" t="str">
        <f>VLOOKUP($B1293,DG!A:C,3,)</f>
        <v>V/c phụ kiện vào vị trí (cự ly &lt;=100m)</v>
      </c>
      <c r="G1293" s="1044" t="str">
        <f>VLOOKUP($B1293,DG!A:D,4,0)</f>
        <v>tấn</v>
      </c>
      <c r="H1293" s="1823"/>
      <c r="I1293" s="1823"/>
      <c r="J1293" s="1823"/>
      <c r="K1293" s="1823"/>
      <c r="L1293" s="1823"/>
      <c r="M1293" s="1823"/>
      <c r="N1293" s="1823"/>
      <c r="O1293" s="1823"/>
      <c r="P1293" s="1823"/>
      <c r="Q1293" s="1058"/>
      <c r="R1293" s="1058"/>
      <c r="S1293" s="1058"/>
      <c r="T1293" s="2035">
        <f t="shared" si="260"/>
        <v>0</v>
      </c>
    </row>
    <row r="1294" spans="1:20" ht="22.2" hidden="1" customHeight="1">
      <c r="A1294" s="56" t="s">
        <v>1087</v>
      </c>
      <c r="B1294" s="1574" t="s">
        <v>1087</v>
      </c>
      <c r="C1294" s="1013" t="str">
        <f t="shared" si="261"/>
        <v xml:space="preserve"> </v>
      </c>
      <c r="D1294" s="1532"/>
      <c r="E1294" s="1045"/>
      <c r="F1294" s="1392" t="s">
        <v>2487</v>
      </c>
      <c r="G1294" s="1046" t="s">
        <v>2391</v>
      </c>
      <c r="H1294" s="1821">
        <f>SUM(I1294:O1294)</f>
        <v>0</v>
      </c>
      <c r="I1294" s="1822"/>
      <c r="J1294" s="1822"/>
      <c r="K1294" s="1822">
        <f>IFERROR(HLOOKUP(B1294,pp3p1m!$1:$3,3,0),0)</f>
        <v>0</v>
      </c>
      <c r="L1294" s="1822">
        <f>IFERROR(HLOOKUP(chitiet!B1294,pp1p!$1:$3,3,0),0)</f>
        <v>0</v>
      </c>
      <c r="M1294" s="1822"/>
      <c r="N1294" s="1822"/>
      <c r="O1294" s="1822"/>
      <c r="P1294" s="1822">
        <f>H1294+Q1294-R1294</f>
        <v>0</v>
      </c>
      <c r="Q1294" s="1047"/>
      <c r="R1294" s="1047"/>
      <c r="S1294" s="1047"/>
      <c r="T1294" s="2035">
        <f>IFERROR(HLOOKUP(B1294,pp1p!$1:$3,3,0),0)+IFERROR(HLOOKUP(B1294,pp3p1m!$1:$3,3,0),0)</f>
        <v>0</v>
      </c>
    </row>
    <row r="1295" spans="1:20" ht="22.2" hidden="1" customHeight="1">
      <c r="A1295" s="59"/>
      <c r="B1295" s="1577" t="s">
        <v>669</v>
      </c>
      <c r="C1295" s="1013" t="str">
        <f t="shared" si="261"/>
        <v xml:space="preserve"> </v>
      </c>
      <c r="D1295" s="1535">
        <v>1</v>
      </c>
      <c r="E1295" s="1044"/>
      <c r="F1295" s="1056" t="str">
        <f>VLOOKUP($B1295,DG!A:D,DG!$C$2,)&amp;"-Fe8x100 nhuùng keõm"</f>
        <v>Cổ dê Ø 195 nẹp trụ-Fe8x100 nhuùng keõm</v>
      </c>
      <c r="G1295" s="1044" t="str">
        <f>VLOOKUP($B1295,DG!A:D,DG!$D$2,)</f>
        <v>bộ</v>
      </c>
      <c r="H1295" s="1823">
        <f t="shared" ref="H1295:N1304" si="266">H$1294*$D1295</f>
        <v>0</v>
      </c>
      <c r="I1295" s="1823">
        <f t="shared" si="266"/>
        <v>0</v>
      </c>
      <c r="J1295" s="1823">
        <f t="shared" si="266"/>
        <v>0</v>
      </c>
      <c r="K1295" s="1823">
        <f t="shared" si="266"/>
        <v>0</v>
      </c>
      <c r="L1295" s="1823">
        <f t="shared" si="266"/>
        <v>0</v>
      </c>
      <c r="M1295" s="1823">
        <f t="shared" si="266"/>
        <v>0</v>
      </c>
      <c r="N1295" s="1823">
        <f t="shared" si="266"/>
        <v>0</v>
      </c>
      <c r="O1295" s="1823"/>
      <c r="P1295" s="1823"/>
      <c r="Q1295" s="1053"/>
      <c r="R1295" s="1053"/>
      <c r="S1295" s="1053"/>
      <c r="T1295" s="2035">
        <f t="shared" si="260"/>
        <v>0</v>
      </c>
    </row>
    <row r="1296" spans="1:20" ht="22.2" hidden="1" customHeight="1">
      <c r="A1296" s="59"/>
      <c r="B1296" s="1577" t="s">
        <v>111</v>
      </c>
      <c r="C1296" s="1013" t="str">
        <f t="shared" si="261"/>
        <v xml:space="preserve"> </v>
      </c>
      <c r="D1296" s="1535">
        <v>1</v>
      </c>
      <c r="E1296" s="1044"/>
      <c r="F1296" s="1056" t="str">
        <f>VLOOKUP($B1296,DG!A:D,DG!$C$2,)</f>
        <v>Sứ chằng</v>
      </c>
      <c r="G1296" s="1044" t="str">
        <f>VLOOKUP($B1296,DG!A:D,DG!$D$2,)</f>
        <v>cái</v>
      </c>
      <c r="H1296" s="1823">
        <f t="shared" si="266"/>
        <v>0</v>
      </c>
      <c r="I1296" s="1823">
        <f t="shared" si="266"/>
        <v>0</v>
      </c>
      <c r="J1296" s="1823">
        <f t="shared" si="266"/>
        <v>0</v>
      </c>
      <c r="K1296" s="1823">
        <f t="shared" si="266"/>
        <v>0</v>
      </c>
      <c r="L1296" s="1823">
        <f t="shared" si="266"/>
        <v>0</v>
      </c>
      <c r="M1296" s="1823">
        <f t="shared" si="266"/>
        <v>0</v>
      </c>
      <c r="N1296" s="1823">
        <f t="shared" si="266"/>
        <v>0</v>
      </c>
      <c r="O1296" s="1823"/>
      <c r="P1296" s="1823"/>
      <c r="Q1296" s="1053"/>
      <c r="R1296" s="1053"/>
      <c r="S1296" s="1053"/>
      <c r="T1296" s="2035">
        <f t="shared" si="260"/>
        <v>0</v>
      </c>
    </row>
    <row r="1297" spans="1:20" ht="22.2" hidden="1" customHeight="1">
      <c r="A1297" s="59"/>
      <c r="B1297" s="1577" t="s">
        <v>1581</v>
      </c>
      <c r="C1297" s="1013" t="str">
        <f t="shared" si="261"/>
        <v xml:space="preserve"> </v>
      </c>
      <c r="D1297" s="1535">
        <v>8</v>
      </c>
      <c r="E1297" s="1044"/>
      <c r="F1297" s="1056" t="str">
        <f>VLOOKUP($B1297,DG!A:D,DG!$C$2,)</f>
        <v>Kẹp cáp 3 boulon</v>
      </c>
      <c r="G1297" s="1044" t="str">
        <f>VLOOKUP($B1297,DG!A:D,DG!$D$2,)</f>
        <v>cái</v>
      </c>
      <c r="H1297" s="1823">
        <f t="shared" si="266"/>
        <v>0</v>
      </c>
      <c r="I1297" s="1823">
        <f t="shared" si="266"/>
        <v>0</v>
      </c>
      <c r="J1297" s="1823">
        <f t="shared" si="266"/>
        <v>0</v>
      </c>
      <c r="K1297" s="1823">
        <f t="shared" si="266"/>
        <v>0</v>
      </c>
      <c r="L1297" s="1823">
        <f t="shared" si="266"/>
        <v>0</v>
      </c>
      <c r="M1297" s="1823">
        <f t="shared" si="266"/>
        <v>0</v>
      </c>
      <c r="N1297" s="1823">
        <f t="shared" si="266"/>
        <v>0</v>
      </c>
      <c r="O1297" s="1823"/>
      <c r="P1297" s="1823"/>
      <c r="Q1297" s="1053"/>
      <c r="R1297" s="1053"/>
      <c r="S1297" s="1053"/>
      <c r="T1297" s="2035">
        <f t="shared" si="260"/>
        <v>0</v>
      </c>
    </row>
    <row r="1298" spans="1:20" ht="22.2" hidden="1" customHeight="1">
      <c r="A1298" s="59"/>
      <c r="B1298" s="1594" t="s">
        <v>1049</v>
      </c>
      <c r="C1298" s="1013" t="str">
        <f t="shared" si="261"/>
        <v xml:space="preserve"> </v>
      </c>
      <c r="D1298" s="1535">
        <v>13</v>
      </c>
      <c r="E1298" s="1044"/>
      <c r="F1298" s="1056" t="str">
        <f>VLOOKUP($B1298,DG!A:D,DG!$C$2,)</f>
        <v>Kẹp hotline 4/0</v>
      </c>
      <c r="G1298" s="1044" t="str">
        <f>VLOOKUP($B1298,DG!A:D,DG!$D$2,)</f>
        <v>cái</v>
      </c>
      <c r="H1298" s="1823">
        <f t="shared" si="266"/>
        <v>0</v>
      </c>
      <c r="I1298" s="1823">
        <f t="shared" si="266"/>
        <v>0</v>
      </c>
      <c r="J1298" s="1823">
        <f t="shared" si="266"/>
        <v>0</v>
      </c>
      <c r="K1298" s="1823">
        <f t="shared" si="266"/>
        <v>0</v>
      </c>
      <c r="L1298" s="1823">
        <f t="shared" si="266"/>
        <v>0</v>
      </c>
      <c r="M1298" s="1823">
        <f t="shared" si="266"/>
        <v>0</v>
      </c>
      <c r="N1298" s="1823">
        <f t="shared" si="266"/>
        <v>0</v>
      </c>
      <c r="O1298" s="1823"/>
      <c r="P1298" s="1823"/>
      <c r="Q1298" s="1053"/>
      <c r="R1298" s="1053"/>
      <c r="S1298" s="1053"/>
      <c r="T1298" s="2035">
        <f t="shared" si="260"/>
        <v>0</v>
      </c>
    </row>
    <row r="1299" spans="1:20" ht="22.2" hidden="1" customHeight="1">
      <c r="A1299" s="59"/>
      <c r="B1299" s="1577" t="s">
        <v>607</v>
      </c>
      <c r="C1299" s="1013" t="str">
        <f t="shared" si="261"/>
        <v xml:space="preserve"> </v>
      </c>
      <c r="D1299" s="1535">
        <v>1</v>
      </c>
      <c r="E1299" s="1044"/>
      <c r="F1299" s="1056" t="str">
        <f>VLOOKUP($B1299,DG!A:D,DG!$C$2,)</f>
        <v>Bộ chống chằng hẹp Ø60/50x1500+2BL12x40+BL16x250/80</v>
      </c>
      <c r="G1299" s="1044" t="str">
        <f>VLOOKUP($B1299,DG!A:D,DG!$D$2,)</f>
        <v>bộ</v>
      </c>
      <c r="H1299" s="1823">
        <f t="shared" si="266"/>
        <v>0</v>
      </c>
      <c r="I1299" s="1823">
        <f t="shared" si="266"/>
        <v>0</v>
      </c>
      <c r="J1299" s="1823">
        <f t="shared" si="266"/>
        <v>0</v>
      </c>
      <c r="K1299" s="1823">
        <f t="shared" si="266"/>
        <v>0</v>
      </c>
      <c r="L1299" s="1823">
        <f t="shared" si="266"/>
        <v>0</v>
      </c>
      <c r="M1299" s="1823">
        <f t="shared" si="266"/>
        <v>0</v>
      </c>
      <c r="N1299" s="1823">
        <f t="shared" si="266"/>
        <v>0</v>
      </c>
      <c r="O1299" s="1823"/>
      <c r="P1299" s="1823"/>
      <c r="Q1299" s="1053"/>
      <c r="R1299" s="1053"/>
      <c r="S1299" s="1053"/>
      <c r="T1299" s="2035">
        <f t="shared" si="260"/>
        <v>0</v>
      </c>
    </row>
    <row r="1300" spans="1:20" ht="22.2" hidden="1" customHeight="1">
      <c r="A1300" s="59"/>
      <c r="B1300" s="1577" t="s">
        <v>279</v>
      </c>
      <c r="C1300" s="1013" t="str">
        <f t="shared" si="261"/>
        <v xml:space="preserve"> </v>
      </c>
      <c r="D1300" s="1535">
        <v>2</v>
      </c>
      <c r="E1300" s="1044"/>
      <c r="F1300" s="1056" t="str">
        <f>VLOOKUP($B1300,DG!A:D,DG!$C$2,)</f>
        <v>Sắt dẹt 60 x 6</v>
      </c>
      <c r="G1300" s="1044" t="str">
        <f>VLOOKUP($B1300,DG!A:D,DG!$D$2,)</f>
        <v>kg</v>
      </c>
      <c r="H1300" s="1823">
        <f t="shared" si="266"/>
        <v>0</v>
      </c>
      <c r="I1300" s="1823">
        <f t="shared" si="266"/>
        <v>0</v>
      </c>
      <c r="J1300" s="1823">
        <f t="shared" si="266"/>
        <v>0</v>
      </c>
      <c r="K1300" s="1823">
        <f t="shared" si="266"/>
        <v>0</v>
      </c>
      <c r="L1300" s="1823">
        <f t="shared" si="266"/>
        <v>0</v>
      </c>
      <c r="M1300" s="1823">
        <f t="shared" si="266"/>
        <v>0</v>
      </c>
      <c r="N1300" s="1823">
        <f t="shared" si="266"/>
        <v>0</v>
      </c>
      <c r="O1300" s="1823"/>
      <c r="P1300" s="1823"/>
      <c r="Q1300" s="1053"/>
      <c r="R1300" s="1053"/>
      <c r="S1300" s="1053"/>
      <c r="T1300" s="2035">
        <f t="shared" si="260"/>
        <v>0</v>
      </c>
    </row>
    <row r="1301" spans="1:20" ht="22.2" hidden="1" customHeight="1">
      <c r="A1301" s="59"/>
      <c r="B1301" s="1577" t="s">
        <v>1374</v>
      </c>
      <c r="C1301" s="1013" t="str">
        <f t="shared" si="261"/>
        <v xml:space="preserve"> </v>
      </c>
      <c r="D1301" s="1535">
        <v>1</v>
      </c>
      <c r="E1301" s="1044"/>
      <c r="F1301" s="1056" t="str">
        <f>VLOOKUP($B1301,DG!A:D,DG!$C$2,)</f>
        <v xml:space="preserve">Móc treo chữ U </v>
      </c>
      <c r="G1301" s="1044" t="str">
        <f>VLOOKUP($B1301,DG!A:D,DG!$D$2,)</f>
        <v>cái</v>
      </c>
      <c r="H1301" s="1823">
        <f t="shared" si="266"/>
        <v>0</v>
      </c>
      <c r="I1301" s="1823">
        <f t="shared" si="266"/>
        <v>0</v>
      </c>
      <c r="J1301" s="1823">
        <f t="shared" si="266"/>
        <v>0</v>
      </c>
      <c r="K1301" s="1823">
        <f t="shared" si="266"/>
        <v>0</v>
      </c>
      <c r="L1301" s="1823">
        <f t="shared" si="266"/>
        <v>0</v>
      </c>
      <c r="M1301" s="1823">
        <f t="shared" si="266"/>
        <v>0</v>
      </c>
      <c r="N1301" s="1823">
        <f t="shared" si="266"/>
        <v>0</v>
      </c>
      <c r="O1301" s="1823"/>
      <c r="P1301" s="1823"/>
      <c r="Q1301" s="1053"/>
      <c r="R1301" s="1053"/>
      <c r="S1301" s="1053"/>
      <c r="T1301" s="2035">
        <f t="shared" si="260"/>
        <v>0</v>
      </c>
    </row>
    <row r="1302" spans="1:20" ht="22.2" hidden="1" customHeight="1">
      <c r="A1302" s="59"/>
      <c r="B1302" s="1595" t="s">
        <v>1895</v>
      </c>
      <c r="C1302" s="1013" t="str">
        <f t="shared" si="261"/>
        <v xml:space="preserve"> </v>
      </c>
      <c r="D1302" s="1535">
        <v>2</v>
      </c>
      <c r="E1302" s="1044"/>
      <c r="F1302" s="1056" t="str">
        <f>VLOOKUP($B1302,DG!A:D,DG!$C$2,)</f>
        <v>Boulon 16x100VRS+ 4 long đền vuông D18-50x50x3/Zn</v>
      </c>
      <c r="G1302" s="1044" t="str">
        <f>VLOOKUP($B1302,DG!A:D,DG!$D$2,)</f>
        <v>bộ</v>
      </c>
      <c r="H1302" s="1823">
        <f t="shared" si="266"/>
        <v>0</v>
      </c>
      <c r="I1302" s="1823">
        <f t="shared" si="266"/>
        <v>0</v>
      </c>
      <c r="J1302" s="1823">
        <f t="shared" si="266"/>
        <v>0</v>
      </c>
      <c r="K1302" s="1823">
        <f t="shared" si="266"/>
        <v>0</v>
      </c>
      <c r="L1302" s="1823">
        <f t="shared" si="266"/>
        <v>0</v>
      </c>
      <c r="M1302" s="1823">
        <f t="shared" si="266"/>
        <v>0</v>
      </c>
      <c r="N1302" s="1823">
        <f t="shared" si="266"/>
        <v>0</v>
      </c>
      <c r="O1302" s="1823"/>
      <c r="P1302" s="1823"/>
      <c r="Q1302" s="1053"/>
      <c r="R1302" s="1053"/>
      <c r="S1302" s="1053"/>
      <c r="T1302" s="2035">
        <f t="shared" si="260"/>
        <v>0</v>
      </c>
    </row>
    <row r="1303" spans="1:20" ht="22.2" hidden="1" customHeight="1">
      <c r="A1303" s="59"/>
      <c r="B1303" s="1577" t="s">
        <v>2004</v>
      </c>
      <c r="C1303" s="1013" t="str">
        <f t="shared" si="261"/>
        <v xml:space="preserve"> </v>
      </c>
      <c r="D1303" s="1535">
        <v>2</v>
      </c>
      <c r="E1303" s="1044"/>
      <c r="F1303" s="1056" t="str">
        <f>VLOOKUP($B1303,DG!A:D,DG!$C$2,)</f>
        <v>Yếm cáp dày 2mm</v>
      </c>
      <c r="G1303" s="1044" t="str">
        <f>VLOOKUP($B1303,DG!A:D,DG!$D$2,)</f>
        <v>cái</v>
      </c>
      <c r="H1303" s="1823">
        <f t="shared" si="266"/>
        <v>0</v>
      </c>
      <c r="I1303" s="1823">
        <f t="shared" si="266"/>
        <v>0</v>
      </c>
      <c r="J1303" s="1823">
        <f t="shared" si="266"/>
        <v>0</v>
      </c>
      <c r="K1303" s="1823">
        <f t="shared" si="266"/>
        <v>0</v>
      </c>
      <c r="L1303" s="1823">
        <f t="shared" si="266"/>
        <v>0</v>
      </c>
      <c r="M1303" s="1823">
        <f t="shared" si="266"/>
        <v>0</v>
      </c>
      <c r="N1303" s="1823">
        <f t="shared" si="266"/>
        <v>0</v>
      </c>
      <c r="O1303" s="1823"/>
      <c r="P1303" s="1823"/>
      <c r="Q1303" s="1053"/>
      <c r="R1303" s="1053"/>
      <c r="S1303" s="1053"/>
      <c r="T1303" s="2035">
        <f t="shared" si="260"/>
        <v>0</v>
      </c>
    </row>
    <row r="1304" spans="1:20" ht="22.2" hidden="1" customHeight="1">
      <c r="A1304" s="59"/>
      <c r="B1304" s="1577" t="s">
        <v>2005</v>
      </c>
      <c r="C1304" s="1013" t="str">
        <f t="shared" si="261"/>
        <v xml:space="preserve"> </v>
      </c>
      <c r="D1304" s="1535">
        <v>1</v>
      </c>
      <c r="E1304" s="1044"/>
      <c r="F1304" s="1056" t="str">
        <f>VLOOKUP($B1304,DG!A:D,DG!$C$2,)</f>
        <v>Máng che dây chằng dày 1,6mm</v>
      </c>
      <c r="G1304" s="1044" t="str">
        <f>VLOOKUP($B1304,DG!A:D,DG!$D$2,)</f>
        <v>cái</v>
      </c>
      <c r="H1304" s="1823">
        <f t="shared" si="266"/>
        <v>0</v>
      </c>
      <c r="I1304" s="1823">
        <f t="shared" si="266"/>
        <v>0</v>
      </c>
      <c r="J1304" s="1823">
        <f t="shared" si="266"/>
        <v>0</v>
      </c>
      <c r="K1304" s="1823">
        <f t="shared" si="266"/>
        <v>0</v>
      </c>
      <c r="L1304" s="1823">
        <f t="shared" si="266"/>
        <v>0</v>
      </c>
      <c r="M1304" s="1823">
        <f t="shared" si="266"/>
        <v>0</v>
      </c>
      <c r="N1304" s="1823">
        <f t="shared" si="266"/>
        <v>0</v>
      </c>
      <c r="O1304" s="1823"/>
      <c r="P1304" s="1823"/>
      <c r="Q1304" s="1053"/>
      <c r="R1304" s="1053"/>
      <c r="S1304" s="1053"/>
      <c r="T1304" s="2035">
        <f t="shared" si="260"/>
        <v>0</v>
      </c>
    </row>
    <row r="1305" spans="1:20" ht="22.2" hidden="1" customHeight="1">
      <c r="A1305" s="59"/>
      <c r="B1305" s="1577" t="s">
        <v>1922</v>
      </c>
      <c r="C1305" s="1013" t="str">
        <f t="shared" si="261"/>
        <v xml:space="preserve"> </v>
      </c>
      <c r="D1305" s="1535">
        <f>D1295</f>
        <v>1</v>
      </c>
      <c r="E1305" s="1044" t="str">
        <f>VLOOKUP($B1305,DG!A:D,DG!$B$2,)</f>
        <v>06.3241</v>
      </c>
      <c r="F1305" s="1049" t="str">
        <f>VLOOKUP($B1305,DG!A:D,DG!$C$2,)</f>
        <v>Lắp bộ dây néo</v>
      </c>
      <c r="G1305" s="1044" t="str">
        <f>VLOOKUP($B1305,DG!A:D,DG!$D$2,)</f>
        <v>bộ</v>
      </c>
      <c r="H1305" s="1823"/>
      <c r="I1305" s="1823"/>
      <c r="J1305" s="1823"/>
      <c r="K1305" s="1823"/>
      <c r="L1305" s="1823"/>
      <c r="M1305" s="1823"/>
      <c r="N1305" s="1823"/>
      <c r="O1305" s="1823"/>
      <c r="P1305" s="1823"/>
      <c r="Q1305" s="1058"/>
      <c r="R1305" s="1058"/>
      <c r="S1305" s="1058"/>
      <c r="T1305" s="2035">
        <f t="shared" si="260"/>
        <v>0</v>
      </c>
    </row>
    <row r="1306" spans="1:20" ht="22.2" hidden="1" customHeight="1">
      <c r="A1306" s="59"/>
      <c r="B1306" s="1577" t="s">
        <v>681</v>
      </c>
      <c r="C1306" s="1013" t="str">
        <f t="shared" si="261"/>
        <v xml:space="preserve"> </v>
      </c>
      <c r="D1306" s="1535">
        <v>1</v>
      </c>
      <c r="E1306" s="1044" t="str">
        <f>VLOOKUP($B1306,DG!A:D,DG!$B$2,)</f>
        <v>06.2110</v>
      </c>
      <c r="F1306" s="1049" t="str">
        <f>VLOOKUP($B1306,DG!A:D,DG!$C$2,)</f>
        <v>Lắp cổ dề</v>
      </c>
      <c r="G1306" s="1044" t="str">
        <f>VLOOKUP($B1306,DG!A:D,DG!$D$2,)</f>
        <v>cái</v>
      </c>
      <c r="H1306" s="1823"/>
      <c r="I1306" s="1823"/>
      <c r="J1306" s="1823"/>
      <c r="K1306" s="1823"/>
      <c r="L1306" s="1823"/>
      <c r="M1306" s="1823"/>
      <c r="N1306" s="1823"/>
      <c r="O1306" s="1823"/>
      <c r="P1306" s="1823"/>
      <c r="Q1306" s="1058"/>
      <c r="R1306" s="1058"/>
      <c r="S1306" s="1058"/>
      <c r="T1306" s="2035">
        <f t="shared" si="260"/>
        <v>0</v>
      </c>
    </row>
    <row r="1307" spans="1:20" ht="22.2" hidden="1" customHeight="1">
      <c r="A1307" s="59"/>
      <c r="B1307" s="1577" t="s">
        <v>1910</v>
      </c>
      <c r="C1307" s="1013" t="str">
        <f t="shared" si="261"/>
        <v xml:space="preserve"> </v>
      </c>
      <c r="D1307" s="1535">
        <f>D1291</f>
        <v>1</v>
      </c>
      <c r="E1307" s="1044" t="str">
        <f>VLOOKUP($B1307,DG!A:D,DG!$B$2,)</f>
        <v>05.6011</v>
      </c>
      <c r="F1307" s="1049" t="str">
        <f>VLOOKUP($B1307,DG!A:D,DG!$C$2,)</f>
        <v>Lắp bộ chống lệch</v>
      </c>
      <c r="G1307" s="1044" t="str">
        <f>VLOOKUP($B1307,DG!A:D,DG!$D$2,)</f>
        <v>bộ</v>
      </c>
      <c r="H1307" s="1823"/>
      <c r="I1307" s="1823"/>
      <c r="J1307" s="1823"/>
      <c r="K1307" s="1823"/>
      <c r="L1307" s="1823"/>
      <c r="M1307" s="1823"/>
      <c r="N1307" s="1823"/>
      <c r="O1307" s="1823"/>
      <c r="P1307" s="1823"/>
      <c r="Q1307" s="1058"/>
      <c r="R1307" s="1058"/>
      <c r="S1307" s="1058"/>
      <c r="T1307" s="2035">
        <f t="shared" si="260"/>
        <v>0</v>
      </c>
    </row>
    <row r="1308" spans="1:20" ht="22.2" hidden="1" customHeight="1">
      <c r="A1308" s="59"/>
      <c r="B1308" s="1588" t="s">
        <v>356</v>
      </c>
      <c r="C1308" s="1013" t="str">
        <f t="shared" si="261"/>
        <v xml:space="preserve"> </v>
      </c>
      <c r="D1308" s="1534">
        <v>0.02</v>
      </c>
      <c r="E1308" s="1044" t="str">
        <f>VLOOKUP($B1308,DG!A:C,2,)</f>
        <v>02.1421</v>
      </c>
      <c r="F1308" s="1049" t="str">
        <f>VLOOKUP($B1308,DG!A:C,3,)</f>
        <v>V/c phụ kiện vào vị trí (cự ly &lt;=100m)</v>
      </c>
      <c r="G1308" s="1044" t="str">
        <f>VLOOKUP($B1308,DG!A:D,4,0)</f>
        <v>tấn</v>
      </c>
      <c r="H1308" s="1823"/>
      <c r="I1308" s="1823"/>
      <c r="J1308" s="1823"/>
      <c r="K1308" s="1823"/>
      <c r="L1308" s="1823"/>
      <c r="M1308" s="1823"/>
      <c r="N1308" s="1823"/>
      <c r="O1308" s="1823"/>
      <c r="P1308" s="1823"/>
      <c r="Q1308" s="1058"/>
      <c r="R1308" s="1058"/>
      <c r="S1308" s="1058"/>
      <c r="T1308" s="2035">
        <f t="shared" si="260"/>
        <v>0</v>
      </c>
    </row>
    <row r="1309" spans="1:20" ht="22.2" hidden="1" customHeight="1">
      <c r="A1309" s="56" t="s">
        <v>1088</v>
      </c>
      <c r="B1309" s="1574" t="s">
        <v>1088</v>
      </c>
      <c r="C1309" s="1013" t="str">
        <f t="shared" si="261"/>
        <v xml:space="preserve"> </v>
      </c>
      <c r="D1309" s="1532"/>
      <c r="E1309" s="1045"/>
      <c r="F1309" s="1392" t="s">
        <v>2488</v>
      </c>
      <c r="G1309" s="1046" t="s">
        <v>2391</v>
      </c>
      <c r="H1309" s="1821">
        <f>SUM(I1309:O1309)</f>
        <v>0</v>
      </c>
      <c r="I1309" s="1822"/>
      <c r="J1309" s="1822"/>
      <c r="K1309" s="1822">
        <f>IFERROR(HLOOKUP(B1309,pp3p1m!$1:$3,3,0),0)</f>
        <v>0</v>
      </c>
      <c r="L1309" s="1822">
        <f>IFERROR(HLOOKUP(chitiet!B1309,pp1p!$1:$3,3,0),0)</f>
        <v>0</v>
      </c>
      <c r="M1309" s="1822"/>
      <c r="N1309" s="1822"/>
      <c r="O1309" s="1822"/>
      <c r="P1309" s="1822">
        <f>H1309+Q1309-R1309</f>
        <v>0</v>
      </c>
      <c r="Q1309" s="1047"/>
      <c r="R1309" s="1047"/>
      <c r="S1309" s="1047"/>
      <c r="T1309" s="2035">
        <f>IFERROR(HLOOKUP(B1309,pp1p!$1:$3,3,0),0)+IFERROR(HLOOKUP(B1309,pp3p1m!$1:$3,3,0),0)</f>
        <v>0</v>
      </c>
    </row>
    <row r="1310" spans="1:20" ht="22.2" hidden="1" customHeight="1">
      <c r="A1310" s="59"/>
      <c r="B1310" s="1577" t="s">
        <v>669</v>
      </c>
      <c r="C1310" s="1013" t="str">
        <f t="shared" si="261"/>
        <v xml:space="preserve"> </v>
      </c>
      <c r="D1310" s="1535">
        <v>1</v>
      </c>
      <c r="E1310" s="1044"/>
      <c r="F1310" s="1056" t="str">
        <f>VLOOKUP($B1310,DG!A:D,DG!$C$2,)&amp;"-Fe8x100 nhuùng keõm"</f>
        <v>Cổ dê Ø 195 nẹp trụ-Fe8x100 nhuùng keõm</v>
      </c>
      <c r="G1310" s="1044" t="str">
        <f>VLOOKUP($B1310,DG!A:D,DG!$D$2,)</f>
        <v>bộ</v>
      </c>
      <c r="H1310" s="1823">
        <f t="shared" ref="H1310:N1310" si="267">H$1309*$D1310</f>
        <v>0</v>
      </c>
      <c r="I1310" s="1823">
        <f t="shared" si="267"/>
        <v>0</v>
      </c>
      <c r="J1310" s="1823">
        <f t="shared" si="267"/>
        <v>0</v>
      </c>
      <c r="K1310" s="1823">
        <f t="shared" si="267"/>
        <v>0</v>
      </c>
      <c r="L1310" s="1823">
        <f t="shared" si="267"/>
        <v>0</v>
      </c>
      <c r="M1310" s="1823">
        <f t="shared" si="267"/>
        <v>0</v>
      </c>
      <c r="N1310" s="1823">
        <f t="shared" si="267"/>
        <v>0</v>
      </c>
      <c r="O1310" s="1823"/>
      <c r="P1310" s="1823"/>
      <c r="Q1310" s="1053"/>
      <c r="R1310" s="1053"/>
      <c r="S1310" s="1053"/>
      <c r="T1310" s="2035">
        <f t="shared" si="260"/>
        <v>0</v>
      </c>
    </row>
    <row r="1311" spans="1:20" ht="22.2" hidden="1" customHeight="1">
      <c r="A1311" s="59"/>
      <c r="B1311" s="1577" t="s">
        <v>1469</v>
      </c>
      <c r="C1311" s="1013" t="str">
        <f t="shared" si="261"/>
        <v xml:space="preserve"> </v>
      </c>
      <c r="D1311" s="1535">
        <v>1</v>
      </c>
      <c r="E1311" s="1044"/>
      <c r="F1311" s="1056" t="str">
        <f>VLOOKUP($B1311,DG!A:D,DG!$C$2,)&amp;"-Fe8x100 nhuùng keõm"</f>
        <v>Cổ dê Ø 220 nẹp trụ-Fe8x100 nhuùng keõm</v>
      </c>
      <c r="G1311" s="1044" t="str">
        <f>VLOOKUP($B1311,DG!A:D,DG!$D$2,)</f>
        <v>bộ</v>
      </c>
      <c r="H1311" s="1823">
        <f t="shared" ref="H1311:N1311" si="268">H$1352*$D1311</f>
        <v>0</v>
      </c>
      <c r="I1311" s="1823">
        <f t="shared" si="268"/>
        <v>0</v>
      </c>
      <c r="J1311" s="1823">
        <f t="shared" si="268"/>
        <v>0</v>
      </c>
      <c r="K1311" s="1823">
        <f t="shared" si="268"/>
        <v>0</v>
      </c>
      <c r="L1311" s="1823">
        <f t="shared" si="268"/>
        <v>0</v>
      </c>
      <c r="M1311" s="1823">
        <f t="shared" si="268"/>
        <v>0</v>
      </c>
      <c r="N1311" s="1823">
        <f t="shared" si="268"/>
        <v>0</v>
      </c>
      <c r="O1311" s="1823"/>
      <c r="P1311" s="1823"/>
      <c r="Q1311" s="1053"/>
      <c r="R1311" s="1053"/>
      <c r="S1311" s="1053"/>
      <c r="T1311" s="2035">
        <f t="shared" si="260"/>
        <v>0</v>
      </c>
    </row>
    <row r="1312" spans="1:20" ht="22.2" hidden="1" customHeight="1">
      <c r="A1312" s="59"/>
      <c r="B1312" s="1577" t="s">
        <v>111</v>
      </c>
      <c r="C1312" s="1013" t="str">
        <f t="shared" si="261"/>
        <v xml:space="preserve"> </v>
      </c>
      <c r="D1312" s="1535">
        <v>2</v>
      </c>
      <c r="E1312" s="1044"/>
      <c r="F1312" s="1056" t="str">
        <f>VLOOKUP($B1312,DG!A:D,DG!$C$2,)</f>
        <v>Sứ chằng</v>
      </c>
      <c r="G1312" s="1044" t="str">
        <f>VLOOKUP($B1312,DG!A:D,DG!$D$2,)</f>
        <v>cái</v>
      </c>
      <c r="H1312" s="1823">
        <f t="shared" ref="H1312:N1319" si="269">H$1309*$D1312</f>
        <v>0</v>
      </c>
      <c r="I1312" s="1823">
        <f t="shared" si="269"/>
        <v>0</v>
      </c>
      <c r="J1312" s="1823">
        <f t="shared" si="269"/>
        <v>0</v>
      </c>
      <c r="K1312" s="1823">
        <f t="shared" si="269"/>
        <v>0</v>
      </c>
      <c r="L1312" s="1823">
        <f t="shared" si="269"/>
        <v>0</v>
      </c>
      <c r="M1312" s="1823">
        <f t="shared" si="269"/>
        <v>0</v>
      </c>
      <c r="N1312" s="1823">
        <f t="shared" si="269"/>
        <v>0</v>
      </c>
      <c r="O1312" s="1823"/>
      <c r="P1312" s="1823"/>
      <c r="Q1312" s="1053"/>
      <c r="R1312" s="1053"/>
      <c r="S1312" s="1053"/>
      <c r="T1312" s="2035">
        <f t="shared" si="260"/>
        <v>0</v>
      </c>
    </row>
    <row r="1313" spans="1:20" ht="22.2" hidden="1" customHeight="1">
      <c r="A1313" s="59"/>
      <c r="B1313" s="1577" t="s">
        <v>1581</v>
      </c>
      <c r="C1313" s="1013" t="str">
        <f t="shared" si="261"/>
        <v xml:space="preserve"> </v>
      </c>
      <c r="D1313" s="1535">
        <v>16</v>
      </c>
      <c r="E1313" s="1044"/>
      <c r="F1313" s="1056" t="str">
        <f>VLOOKUP($B1313,DG!A:D,DG!$C$2,)</f>
        <v>Kẹp cáp 3 boulon</v>
      </c>
      <c r="G1313" s="1044" t="str">
        <f>VLOOKUP($B1313,DG!A:D,DG!$D$2,)</f>
        <v>cái</v>
      </c>
      <c r="H1313" s="1823">
        <f t="shared" si="269"/>
        <v>0</v>
      </c>
      <c r="I1313" s="1823">
        <f t="shared" si="269"/>
        <v>0</v>
      </c>
      <c r="J1313" s="1823">
        <f t="shared" si="269"/>
        <v>0</v>
      </c>
      <c r="K1313" s="1823">
        <f t="shared" si="269"/>
        <v>0</v>
      </c>
      <c r="L1313" s="1823">
        <f t="shared" si="269"/>
        <v>0</v>
      </c>
      <c r="M1313" s="1823">
        <f t="shared" si="269"/>
        <v>0</v>
      </c>
      <c r="N1313" s="1823">
        <f t="shared" si="269"/>
        <v>0</v>
      </c>
      <c r="O1313" s="1823"/>
      <c r="P1313" s="1823"/>
      <c r="Q1313" s="1053"/>
      <c r="R1313" s="1053"/>
      <c r="S1313" s="1053"/>
      <c r="T1313" s="2035">
        <f t="shared" si="260"/>
        <v>0</v>
      </c>
    </row>
    <row r="1314" spans="1:20" ht="22.2" hidden="1" customHeight="1">
      <c r="A1314" s="59"/>
      <c r="B1314" s="1594" t="s">
        <v>1049</v>
      </c>
      <c r="C1314" s="1013" t="str">
        <f t="shared" si="261"/>
        <v xml:space="preserve"> </v>
      </c>
      <c r="D1314" s="1535">
        <v>30</v>
      </c>
      <c r="E1314" s="1044"/>
      <c r="F1314" s="1056" t="str">
        <f>VLOOKUP($B1314,DG!A:D,DG!$C$2,)</f>
        <v>Kẹp hotline 4/0</v>
      </c>
      <c r="G1314" s="1044" t="str">
        <f>VLOOKUP($B1314,DG!A:D,DG!$D$2,)</f>
        <v>cái</v>
      </c>
      <c r="H1314" s="1823">
        <f t="shared" si="269"/>
        <v>0</v>
      </c>
      <c r="I1314" s="1823">
        <f t="shared" si="269"/>
        <v>0</v>
      </c>
      <c r="J1314" s="1823">
        <f t="shared" si="269"/>
        <v>0</v>
      </c>
      <c r="K1314" s="1823">
        <f t="shared" si="269"/>
        <v>0</v>
      </c>
      <c r="L1314" s="1823">
        <f t="shared" si="269"/>
        <v>0</v>
      </c>
      <c r="M1314" s="1823">
        <f t="shared" si="269"/>
        <v>0</v>
      </c>
      <c r="N1314" s="1823">
        <f t="shared" si="269"/>
        <v>0</v>
      </c>
      <c r="O1314" s="1823"/>
      <c r="P1314" s="1823"/>
      <c r="Q1314" s="1053"/>
      <c r="R1314" s="1053"/>
      <c r="S1314" s="1053"/>
      <c r="T1314" s="2035">
        <f t="shared" si="260"/>
        <v>0</v>
      </c>
    </row>
    <row r="1315" spans="1:20" ht="22.2" hidden="1" customHeight="1">
      <c r="A1315" s="59"/>
      <c r="B1315" s="1577" t="s">
        <v>279</v>
      </c>
      <c r="C1315" s="1013" t="str">
        <f t="shared" si="261"/>
        <v xml:space="preserve"> </v>
      </c>
      <c r="D1315" s="1535">
        <v>4</v>
      </c>
      <c r="E1315" s="1044"/>
      <c r="F1315" s="1056" t="str">
        <f>VLOOKUP($B1315,DG!A:D,DG!$C$2,)</f>
        <v>Sắt dẹt 60 x 6</v>
      </c>
      <c r="G1315" s="1044" t="str">
        <f>VLOOKUP($B1315,DG!A:D,DG!$D$2,)</f>
        <v>kg</v>
      </c>
      <c r="H1315" s="1823">
        <f t="shared" si="269"/>
        <v>0</v>
      </c>
      <c r="I1315" s="1823">
        <f t="shared" si="269"/>
        <v>0</v>
      </c>
      <c r="J1315" s="1823">
        <f t="shared" si="269"/>
        <v>0</v>
      </c>
      <c r="K1315" s="1823">
        <f t="shared" si="269"/>
        <v>0</v>
      </c>
      <c r="L1315" s="1823">
        <f t="shared" si="269"/>
        <v>0</v>
      </c>
      <c r="M1315" s="1823">
        <f t="shared" si="269"/>
        <v>0</v>
      </c>
      <c r="N1315" s="1823">
        <f t="shared" si="269"/>
        <v>0</v>
      </c>
      <c r="O1315" s="1823"/>
      <c r="P1315" s="1823"/>
      <c r="Q1315" s="1053"/>
      <c r="R1315" s="1053"/>
      <c r="S1315" s="1053"/>
      <c r="T1315" s="2035">
        <f t="shared" si="260"/>
        <v>0</v>
      </c>
    </row>
    <row r="1316" spans="1:20" ht="22.2" hidden="1" customHeight="1">
      <c r="A1316" s="59"/>
      <c r="B1316" s="1577" t="s">
        <v>1374</v>
      </c>
      <c r="C1316" s="1013" t="str">
        <f t="shared" si="261"/>
        <v xml:space="preserve"> </v>
      </c>
      <c r="D1316" s="1535">
        <v>2</v>
      </c>
      <c r="E1316" s="1044"/>
      <c r="F1316" s="1056" t="str">
        <f>VLOOKUP($B1316,DG!A:D,DG!$C$2,)</f>
        <v xml:space="preserve">Móc treo chữ U </v>
      </c>
      <c r="G1316" s="1044" t="str">
        <f>VLOOKUP($B1316,DG!A:D,DG!$D$2,)</f>
        <v>cái</v>
      </c>
      <c r="H1316" s="1823">
        <f t="shared" si="269"/>
        <v>0</v>
      </c>
      <c r="I1316" s="1823">
        <f t="shared" si="269"/>
        <v>0</v>
      </c>
      <c r="J1316" s="1823">
        <f t="shared" si="269"/>
        <v>0</v>
      </c>
      <c r="K1316" s="1823">
        <f t="shared" si="269"/>
        <v>0</v>
      </c>
      <c r="L1316" s="1823">
        <f t="shared" si="269"/>
        <v>0</v>
      </c>
      <c r="M1316" s="1823">
        <f t="shared" si="269"/>
        <v>0</v>
      </c>
      <c r="N1316" s="1823">
        <f t="shared" si="269"/>
        <v>0</v>
      </c>
      <c r="O1316" s="1823"/>
      <c r="P1316" s="1823"/>
      <c r="Q1316" s="1053"/>
      <c r="R1316" s="1053"/>
      <c r="S1316" s="1053"/>
      <c r="T1316" s="2035">
        <f t="shared" si="260"/>
        <v>0</v>
      </c>
    </row>
    <row r="1317" spans="1:20" ht="22.2" hidden="1" customHeight="1">
      <c r="A1317" s="59"/>
      <c r="B1317" s="1595" t="s">
        <v>1895</v>
      </c>
      <c r="C1317" s="1013" t="str">
        <f t="shared" si="261"/>
        <v xml:space="preserve"> </v>
      </c>
      <c r="D1317" s="1535">
        <v>4</v>
      </c>
      <c r="E1317" s="1044"/>
      <c r="F1317" s="1056" t="str">
        <f>VLOOKUP($B1317,DG!A:D,DG!$C$2,)</f>
        <v>Boulon 16x100VRS+ 4 long đền vuông D18-50x50x3/Zn</v>
      </c>
      <c r="G1317" s="1044" t="str">
        <f>VLOOKUP($B1317,DG!A:D,DG!$D$2,)</f>
        <v>bộ</v>
      </c>
      <c r="H1317" s="1823">
        <f t="shared" si="269"/>
        <v>0</v>
      </c>
      <c r="I1317" s="1823">
        <f t="shared" si="269"/>
        <v>0</v>
      </c>
      <c r="J1317" s="1823">
        <f t="shared" si="269"/>
        <v>0</v>
      </c>
      <c r="K1317" s="1823">
        <f t="shared" si="269"/>
        <v>0</v>
      </c>
      <c r="L1317" s="1823">
        <f t="shared" si="269"/>
        <v>0</v>
      </c>
      <c r="M1317" s="1823">
        <f t="shared" si="269"/>
        <v>0</v>
      </c>
      <c r="N1317" s="1823">
        <f t="shared" si="269"/>
        <v>0</v>
      </c>
      <c r="O1317" s="1823"/>
      <c r="P1317" s="1823"/>
      <c r="Q1317" s="1053"/>
      <c r="R1317" s="1053"/>
      <c r="S1317" s="1053"/>
      <c r="T1317" s="2035">
        <f t="shared" si="260"/>
        <v>0</v>
      </c>
    </row>
    <row r="1318" spans="1:20" ht="22.2" hidden="1" customHeight="1">
      <c r="A1318" s="59"/>
      <c r="B1318" s="1577" t="s">
        <v>2004</v>
      </c>
      <c r="C1318" s="1013" t="str">
        <f t="shared" si="261"/>
        <v xml:space="preserve"> </v>
      </c>
      <c r="D1318" s="1535">
        <v>4</v>
      </c>
      <c r="E1318" s="1044"/>
      <c r="F1318" s="1056" t="str">
        <f>VLOOKUP($B1318,DG!A:D,DG!$C$2,)</f>
        <v>Yếm cáp dày 2mm</v>
      </c>
      <c r="G1318" s="1044" t="str">
        <f>VLOOKUP($B1318,DG!A:D,DG!$D$2,)</f>
        <v>cái</v>
      </c>
      <c r="H1318" s="1823">
        <f t="shared" si="269"/>
        <v>0</v>
      </c>
      <c r="I1318" s="1823">
        <f t="shared" si="269"/>
        <v>0</v>
      </c>
      <c r="J1318" s="1823">
        <f t="shared" si="269"/>
        <v>0</v>
      </c>
      <c r="K1318" s="1823">
        <f t="shared" si="269"/>
        <v>0</v>
      </c>
      <c r="L1318" s="1823">
        <f t="shared" si="269"/>
        <v>0</v>
      </c>
      <c r="M1318" s="1823">
        <f t="shared" si="269"/>
        <v>0</v>
      </c>
      <c r="N1318" s="1823">
        <f t="shared" si="269"/>
        <v>0</v>
      </c>
      <c r="O1318" s="1823"/>
      <c r="P1318" s="1823"/>
      <c r="Q1318" s="1053"/>
      <c r="R1318" s="1053"/>
      <c r="S1318" s="1053"/>
      <c r="T1318" s="2035">
        <f t="shared" si="260"/>
        <v>0</v>
      </c>
    </row>
    <row r="1319" spans="1:20" ht="22.2" hidden="1" customHeight="1">
      <c r="A1319" s="59"/>
      <c r="B1319" s="1577" t="s">
        <v>2005</v>
      </c>
      <c r="C1319" s="1013" t="str">
        <f t="shared" si="261"/>
        <v xml:space="preserve"> </v>
      </c>
      <c r="D1319" s="1535">
        <v>2</v>
      </c>
      <c r="E1319" s="1044"/>
      <c r="F1319" s="1056" t="str">
        <f>VLOOKUP($B1319,DG!A:D,DG!$C$2,)</f>
        <v>Máng che dây chằng dày 1,6mm</v>
      </c>
      <c r="G1319" s="1044" t="str">
        <f>VLOOKUP($B1319,DG!A:D,DG!$D$2,)</f>
        <v>cái</v>
      </c>
      <c r="H1319" s="1823">
        <f t="shared" si="269"/>
        <v>0</v>
      </c>
      <c r="I1319" s="1823">
        <f t="shared" si="269"/>
        <v>0</v>
      </c>
      <c r="J1319" s="1823">
        <f t="shared" si="269"/>
        <v>0</v>
      </c>
      <c r="K1319" s="1823">
        <f t="shared" si="269"/>
        <v>0</v>
      </c>
      <c r="L1319" s="1823">
        <f t="shared" si="269"/>
        <v>0</v>
      </c>
      <c r="M1319" s="1823">
        <f t="shared" si="269"/>
        <v>0</v>
      </c>
      <c r="N1319" s="1823">
        <f t="shared" si="269"/>
        <v>0</v>
      </c>
      <c r="O1319" s="1823"/>
      <c r="P1319" s="1823"/>
      <c r="Q1319" s="1053"/>
      <c r="R1319" s="1053"/>
      <c r="S1319" s="1053"/>
      <c r="T1319" s="2035">
        <f t="shared" si="260"/>
        <v>0</v>
      </c>
    </row>
    <row r="1320" spans="1:20" ht="22.2" hidden="1" customHeight="1">
      <c r="A1320" s="59"/>
      <c r="B1320" s="1577" t="s">
        <v>1922</v>
      </c>
      <c r="C1320" s="1013" t="str">
        <f t="shared" si="261"/>
        <v xml:space="preserve"> </v>
      </c>
      <c r="D1320" s="1535">
        <f>D1310</f>
        <v>1</v>
      </c>
      <c r="E1320" s="1044" t="str">
        <f>VLOOKUP($B1320,DG!A:D,DG!$B$2,)</f>
        <v>06.3241</v>
      </c>
      <c r="F1320" s="1049" t="str">
        <f>VLOOKUP($B1320,DG!A:D,DG!$C$2,)</f>
        <v>Lắp bộ dây néo</v>
      </c>
      <c r="G1320" s="1044" t="str">
        <f>VLOOKUP($B1320,DG!A:D,DG!$D$2,)</f>
        <v>bộ</v>
      </c>
      <c r="H1320" s="1823"/>
      <c r="I1320" s="1823"/>
      <c r="J1320" s="1823"/>
      <c r="K1320" s="1823"/>
      <c r="L1320" s="1823"/>
      <c r="M1320" s="1823"/>
      <c r="N1320" s="1823"/>
      <c r="O1320" s="1823"/>
      <c r="P1320" s="1823"/>
      <c r="Q1320" s="1058"/>
      <c r="R1320" s="1058"/>
      <c r="S1320" s="1058"/>
      <c r="T1320" s="2035">
        <f t="shared" si="260"/>
        <v>0</v>
      </c>
    </row>
    <row r="1321" spans="1:20" ht="22.2" hidden="1" customHeight="1">
      <c r="A1321" s="59"/>
      <c r="B1321" s="1577" t="s">
        <v>681</v>
      </c>
      <c r="C1321" s="1013" t="str">
        <f t="shared" si="261"/>
        <v xml:space="preserve"> </v>
      </c>
      <c r="D1321" s="1535">
        <v>2</v>
      </c>
      <c r="E1321" s="1044" t="str">
        <f>VLOOKUP($B1321,DG!A:D,DG!$B$2,)</f>
        <v>06.2110</v>
      </c>
      <c r="F1321" s="1049" t="str">
        <f>VLOOKUP($B1321,DG!A:D,DG!$C$2,)</f>
        <v>Lắp cổ dề</v>
      </c>
      <c r="G1321" s="1044" t="str">
        <f>VLOOKUP($B1321,DG!A:D,DG!$D$2,)</f>
        <v>cái</v>
      </c>
      <c r="H1321" s="1823"/>
      <c r="I1321" s="1823"/>
      <c r="J1321" s="1823"/>
      <c r="K1321" s="1823"/>
      <c r="L1321" s="1823"/>
      <c r="M1321" s="1823"/>
      <c r="N1321" s="1823"/>
      <c r="O1321" s="1823"/>
      <c r="P1321" s="1823"/>
      <c r="Q1321" s="1058"/>
      <c r="R1321" s="1058"/>
      <c r="S1321" s="1058"/>
      <c r="T1321" s="2035">
        <f t="shared" si="260"/>
        <v>0</v>
      </c>
    </row>
    <row r="1322" spans="1:20" ht="22.2" hidden="1" customHeight="1">
      <c r="A1322" s="59"/>
      <c r="B1322" s="1588" t="s">
        <v>356</v>
      </c>
      <c r="C1322" s="1013" t="str">
        <f t="shared" si="261"/>
        <v xml:space="preserve"> </v>
      </c>
      <c r="D1322" s="1534">
        <v>0.02</v>
      </c>
      <c r="E1322" s="1044" t="str">
        <f>VLOOKUP($B1322,DG!A:C,2,)</f>
        <v>02.1421</v>
      </c>
      <c r="F1322" s="1049" t="str">
        <f>VLOOKUP($B1322,DG!A:C,3,)</f>
        <v>V/c phụ kiện vào vị trí (cự ly &lt;=100m)</v>
      </c>
      <c r="G1322" s="1044" t="str">
        <f>VLOOKUP($B1322,DG!A:D,4,0)</f>
        <v>tấn</v>
      </c>
      <c r="H1322" s="1823"/>
      <c r="I1322" s="1823"/>
      <c r="J1322" s="1823"/>
      <c r="K1322" s="1823"/>
      <c r="L1322" s="1823"/>
      <c r="M1322" s="1823"/>
      <c r="N1322" s="1823"/>
      <c r="O1322" s="1823"/>
      <c r="P1322" s="1823"/>
      <c r="Q1322" s="1058"/>
      <c r="R1322" s="1058"/>
      <c r="S1322" s="1058"/>
      <c r="T1322" s="2035">
        <f t="shared" si="260"/>
        <v>0</v>
      </c>
    </row>
    <row r="1323" spans="1:20" ht="22.2" hidden="1" customHeight="1">
      <c r="A1323" s="56" t="s">
        <v>1813</v>
      </c>
      <c r="B1323" s="1574" t="s">
        <v>1813</v>
      </c>
      <c r="C1323" s="1013" t="str">
        <f t="shared" si="261"/>
        <v xml:space="preserve"> </v>
      </c>
      <c r="D1323" s="1532"/>
      <c r="E1323" s="1045"/>
      <c r="F1323" s="1392" t="s">
        <v>2489</v>
      </c>
      <c r="G1323" s="1046" t="s">
        <v>2391</v>
      </c>
      <c r="H1323" s="1821">
        <f>SUM(I1323:O1323)</f>
        <v>0</v>
      </c>
      <c r="I1323" s="1822"/>
      <c r="J1323" s="1822"/>
      <c r="K1323" s="1822">
        <f>IFERROR(HLOOKUP(B1323,pp3p1m!$1:$3,3,0),0)</f>
        <v>0</v>
      </c>
      <c r="L1323" s="1822">
        <f>IFERROR(HLOOKUP(chitiet!B1323,pp1p!$1:$3,3,0),0)</f>
        <v>0</v>
      </c>
      <c r="M1323" s="1822"/>
      <c r="N1323" s="1822"/>
      <c r="O1323" s="1822"/>
      <c r="P1323" s="1822">
        <f>H1323+Q1323-R1323</f>
        <v>0</v>
      </c>
      <c r="Q1323" s="1047"/>
      <c r="R1323" s="1047"/>
      <c r="S1323" s="1047"/>
      <c r="T1323" s="2035">
        <f>IFERROR(HLOOKUP(B1323,pp1p!$1:$3,3,0),0)+IFERROR(HLOOKUP(B1323,pp3p1m!$1:$3,3,0),0)</f>
        <v>0</v>
      </c>
    </row>
    <row r="1324" spans="1:20" ht="22.2" hidden="1" customHeight="1">
      <c r="A1324" s="59"/>
      <c r="B1324" s="1577" t="s">
        <v>669</v>
      </c>
      <c r="C1324" s="1013" t="str">
        <f t="shared" si="261"/>
        <v xml:space="preserve"> </v>
      </c>
      <c r="D1324" s="1535">
        <v>1</v>
      </c>
      <c r="E1324" s="1044"/>
      <c r="F1324" s="1056" t="str">
        <f>VLOOKUP($B1324,DG!A:D,DG!$C$2,)&amp;"-Fe8x100 nhuùng keõm"</f>
        <v>Cổ dê Ø 195 nẹp trụ-Fe8x100 nhuùng keõm</v>
      </c>
      <c r="G1324" s="1044" t="str">
        <f>VLOOKUP($B1324,DG!A:D,DG!$D$2,)</f>
        <v>bộ</v>
      </c>
      <c r="H1324" s="1823">
        <f t="shared" ref="H1324:N1332" si="270">H$1323*$D1324</f>
        <v>0</v>
      </c>
      <c r="I1324" s="1823">
        <f t="shared" si="270"/>
        <v>0</v>
      </c>
      <c r="J1324" s="1823">
        <f t="shared" si="270"/>
        <v>0</v>
      </c>
      <c r="K1324" s="1823">
        <f t="shared" si="270"/>
        <v>0</v>
      </c>
      <c r="L1324" s="1823">
        <f t="shared" si="270"/>
        <v>0</v>
      </c>
      <c r="M1324" s="1823">
        <f t="shared" si="270"/>
        <v>0</v>
      </c>
      <c r="N1324" s="1823">
        <f t="shared" si="270"/>
        <v>0</v>
      </c>
      <c r="O1324" s="1823"/>
      <c r="P1324" s="1823"/>
      <c r="Q1324" s="1053"/>
      <c r="R1324" s="1053"/>
      <c r="S1324" s="1053"/>
      <c r="T1324" s="2035">
        <f t="shared" ref="T1324:T1387" si="271">IFERROR(HLOOKUP(B1324,BangKeTru,3,0),0)</f>
        <v>0</v>
      </c>
    </row>
    <row r="1325" spans="1:20" ht="22.2" hidden="1" customHeight="1">
      <c r="A1325" s="59"/>
      <c r="B1325" s="1577" t="s">
        <v>111</v>
      </c>
      <c r="C1325" s="1013" t="str">
        <f t="shared" si="261"/>
        <v xml:space="preserve"> </v>
      </c>
      <c r="D1325" s="1535">
        <v>2</v>
      </c>
      <c r="E1325" s="1044"/>
      <c r="F1325" s="1056" t="str">
        <f>VLOOKUP($B1325,DG!A:D,DG!$C$2,)</f>
        <v>Sứ chằng</v>
      </c>
      <c r="G1325" s="1044" t="str">
        <f>VLOOKUP($B1325,DG!A:D,DG!$D$2,)</f>
        <v>cái</v>
      </c>
      <c r="H1325" s="1823">
        <f t="shared" si="270"/>
        <v>0</v>
      </c>
      <c r="I1325" s="1823">
        <f t="shared" si="270"/>
        <v>0</v>
      </c>
      <c r="J1325" s="1823">
        <f t="shared" si="270"/>
        <v>0</v>
      </c>
      <c r="K1325" s="1823">
        <f t="shared" si="270"/>
        <v>0</v>
      </c>
      <c r="L1325" s="1823">
        <f t="shared" si="270"/>
        <v>0</v>
      </c>
      <c r="M1325" s="1823">
        <f t="shared" si="270"/>
        <v>0</v>
      </c>
      <c r="N1325" s="1823">
        <f t="shared" si="270"/>
        <v>0</v>
      </c>
      <c r="O1325" s="1823"/>
      <c r="P1325" s="1823"/>
      <c r="Q1325" s="1053"/>
      <c r="R1325" s="1053"/>
      <c r="S1325" s="1053"/>
      <c r="T1325" s="2035">
        <f t="shared" si="271"/>
        <v>0</v>
      </c>
    </row>
    <row r="1326" spans="1:20" ht="22.2" hidden="1" customHeight="1">
      <c r="A1326" s="59"/>
      <c r="B1326" s="1577" t="s">
        <v>1581</v>
      </c>
      <c r="C1326" s="1013" t="str">
        <f t="shared" si="261"/>
        <v xml:space="preserve"> </v>
      </c>
      <c r="D1326" s="1535">
        <v>8</v>
      </c>
      <c r="E1326" s="1044"/>
      <c r="F1326" s="1056" t="str">
        <f>VLOOKUP($B1326,DG!A:D,DG!$C$2,)</f>
        <v>Kẹp cáp 3 boulon</v>
      </c>
      <c r="G1326" s="1044" t="str">
        <f>VLOOKUP($B1326,DG!A:D,DG!$D$2,)</f>
        <v>cái</v>
      </c>
      <c r="H1326" s="1823">
        <f t="shared" si="270"/>
        <v>0</v>
      </c>
      <c r="I1326" s="1823">
        <f t="shared" si="270"/>
        <v>0</v>
      </c>
      <c r="J1326" s="1823">
        <f t="shared" si="270"/>
        <v>0</v>
      </c>
      <c r="K1326" s="1823">
        <f t="shared" si="270"/>
        <v>0</v>
      </c>
      <c r="L1326" s="1823">
        <f t="shared" si="270"/>
        <v>0</v>
      </c>
      <c r="M1326" s="1823">
        <f t="shared" si="270"/>
        <v>0</v>
      </c>
      <c r="N1326" s="1823">
        <f t="shared" si="270"/>
        <v>0</v>
      </c>
      <c r="O1326" s="1823"/>
      <c r="P1326" s="1823"/>
      <c r="Q1326" s="1053"/>
      <c r="R1326" s="1053"/>
      <c r="S1326" s="1053"/>
      <c r="T1326" s="2035">
        <f t="shared" si="271"/>
        <v>0</v>
      </c>
    </row>
    <row r="1327" spans="1:20" ht="22.2" hidden="1" customHeight="1">
      <c r="A1327" s="59"/>
      <c r="B1327" s="1594" t="s">
        <v>1049</v>
      </c>
      <c r="C1327" s="1013" t="str">
        <f t="shared" si="261"/>
        <v xml:space="preserve"> </v>
      </c>
      <c r="D1327" s="1535">
        <v>19</v>
      </c>
      <c r="E1327" s="1044"/>
      <c r="F1327" s="1056" t="str">
        <f>VLOOKUP($B1327,DG!A:D,DG!$C$2,)</f>
        <v>Kẹp hotline 4/0</v>
      </c>
      <c r="G1327" s="1044" t="str">
        <f>VLOOKUP($B1327,DG!A:D,DG!$D$2,)</f>
        <v>cái</v>
      </c>
      <c r="H1327" s="1823">
        <f t="shared" si="270"/>
        <v>0</v>
      </c>
      <c r="I1327" s="1823">
        <f t="shared" si="270"/>
        <v>0</v>
      </c>
      <c r="J1327" s="1823">
        <f t="shared" si="270"/>
        <v>0</v>
      </c>
      <c r="K1327" s="1823">
        <f t="shared" si="270"/>
        <v>0</v>
      </c>
      <c r="L1327" s="1823">
        <f t="shared" si="270"/>
        <v>0</v>
      </c>
      <c r="M1327" s="1823">
        <f t="shared" si="270"/>
        <v>0</v>
      </c>
      <c r="N1327" s="1823">
        <f t="shared" si="270"/>
        <v>0</v>
      </c>
      <c r="O1327" s="1823"/>
      <c r="P1327" s="1823"/>
      <c r="Q1327" s="1053"/>
      <c r="R1327" s="1053"/>
      <c r="S1327" s="1053"/>
      <c r="T1327" s="2035">
        <f t="shared" si="271"/>
        <v>0</v>
      </c>
    </row>
    <row r="1328" spans="1:20" ht="22.2" hidden="1" customHeight="1">
      <c r="A1328" s="59"/>
      <c r="B1328" s="1577" t="s">
        <v>279</v>
      </c>
      <c r="C1328" s="1013" t="str">
        <f t="shared" si="261"/>
        <v xml:space="preserve"> </v>
      </c>
      <c r="D1328" s="1535">
        <v>2</v>
      </c>
      <c r="E1328" s="1044"/>
      <c r="F1328" s="1056" t="str">
        <f>VLOOKUP($B1328,DG!A:D,DG!$C$2,)</f>
        <v>Sắt dẹt 60 x 6</v>
      </c>
      <c r="G1328" s="1044" t="str">
        <f>VLOOKUP($B1328,DG!A:D,DG!$D$2,)</f>
        <v>kg</v>
      </c>
      <c r="H1328" s="1823">
        <f t="shared" si="270"/>
        <v>0</v>
      </c>
      <c r="I1328" s="1823">
        <f t="shared" si="270"/>
        <v>0</v>
      </c>
      <c r="J1328" s="1823">
        <f t="shared" si="270"/>
        <v>0</v>
      </c>
      <c r="K1328" s="1823">
        <f t="shared" si="270"/>
        <v>0</v>
      </c>
      <c r="L1328" s="1823">
        <f t="shared" si="270"/>
        <v>0</v>
      </c>
      <c r="M1328" s="1823">
        <f t="shared" si="270"/>
        <v>0</v>
      </c>
      <c r="N1328" s="1823">
        <f t="shared" si="270"/>
        <v>0</v>
      </c>
      <c r="O1328" s="1823"/>
      <c r="P1328" s="1823"/>
      <c r="Q1328" s="1053"/>
      <c r="R1328" s="1053"/>
      <c r="S1328" s="1053"/>
      <c r="T1328" s="2035">
        <f t="shared" si="271"/>
        <v>0</v>
      </c>
    </row>
    <row r="1329" spans="1:20" ht="22.2" hidden="1" customHeight="1">
      <c r="A1329" s="59"/>
      <c r="B1329" s="1577" t="s">
        <v>1374</v>
      </c>
      <c r="C1329" s="1013" t="str">
        <f t="shared" si="261"/>
        <v xml:space="preserve"> </v>
      </c>
      <c r="D1329" s="1535">
        <v>1</v>
      </c>
      <c r="E1329" s="1044"/>
      <c r="F1329" s="1056" t="str">
        <f>VLOOKUP($B1329,DG!A:D,DG!$C$2,)</f>
        <v xml:space="preserve">Móc treo chữ U </v>
      </c>
      <c r="G1329" s="1044" t="str">
        <f>VLOOKUP($B1329,DG!A:D,DG!$D$2,)</f>
        <v>cái</v>
      </c>
      <c r="H1329" s="1823">
        <f t="shared" si="270"/>
        <v>0</v>
      </c>
      <c r="I1329" s="1823">
        <f t="shared" si="270"/>
        <v>0</v>
      </c>
      <c r="J1329" s="1823">
        <f t="shared" si="270"/>
        <v>0</v>
      </c>
      <c r="K1329" s="1823">
        <f t="shared" si="270"/>
        <v>0</v>
      </c>
      <c r="L1329" s="1823">
        <f t="shared" si="270"/>
        <v>0</v>
      </c>
      <c r="M1329" s="1823">
        <f t="shared" si="270"/>
        <v>0</v>
      </c>
      <c r="N1329" s="1823">
        <f t="shared" si="270"/>
        <v>0</v>
      </c>
      <c r="O1329" s="1823"/>
      <c r="P1329" s="1823"/>
      <c r="Q1329" s="1053"/>
      <c r="R1329" s="1053"/>
      <c r="S1329" s="1053"/>
      <c r="T1329" s="2035">
        <f t="shared" si="271"/>
        <v>0</v>
      </c>
    </row>
    <row r="1330" spans="1:20" ht="22.2" hidden="1" customHeight="1">
      <c r="A1330" s="59"/>
      <c r="B1330" s="1595" t="s">
        <v>1895</v>
      </c>
      <c r="C1330" s="1013" t="str">
        <f t="shared" si="261"/>
        <v xml:space="preserve"> </v>
      </c>
      <c r="D1330" s="1535">
        <v>2</v>
      </c>
      <c r="E1330" s="1044"/>
      <c r="F1330" s="1056" t="str">
        <f>VLOOKUP($B1330,DG!A:D,DG!$C$2,)</f>
        <v>Boulon 16x100VRS+ 4 long đền vuông D18-50x50x3/Zn</v>
      </c>
      <c r="G1330" s="1044" t="str">
        <f>VLOOKUP($B1330,DG!A:D,DG!$D$2,)</f>
        <v>bộ</v>
      </c>
      <c r="H1330" s="1823">
        <f t="shared" si="270"/>
        <v>0</v>
      </c>
      <c r="I1330" s="1823">
        <f t="shared" si="270"/>
        <v>0</v>
      </c>
      <c r="J1330" s="1823">
        <f t="shared" si="270"/>
        <v>0</v>
      </c>
      <c r="K1330" s="1823">
        <f t="shared" si="270"/>
        <v>0</v>
      </c>
      <c r="L1330" s="1823">
        <f t="shared" si="270"/>
        <v>0</v>
      </c>
      <c r="M1330" s="1823">
        <f t="shared" si="270"/>
        <v>0</v>
      </c>
      <c r="N1330" s="1823">
        <f t="shared" si="270"/>
        <v>0</v>
      </c>
      <c r="O1330" s="1823"/>
      <c r="P1330" s="1823"/>
      <c r="Q1330" s="1053"/>
      <c r="R1330" s="1053"/>
      <c r="S1330" s="1053"/>
      <c r="T1330" s="2035">
        <f t="shared" si="271"/>
        <v>0</v>
      </c>
    </row>
    <row r="1331" spans="1:20" ht="22.2" hidden="1" customHeight="1">
      <c r="A1331" s="59"/>
      <c r="B1331" s="1577" t="s">
        <v>2004</v>
      </c>
      <c r="C1331" s="1013" t="str">
        <f t="shared" si="261"/>
        <v xml:space="preserve"> </v>
      </c>
      <c r="D1331" s="1535">
        <v>2</v>
      </c>
      <c r="E1331" s="1044"/>
      <c r="F1331" s="1056" t="str">
        <f>VLOOKUP($B1331,DG!A:D,DG!$C$2,)</f>
        <v>Yếm cáp dày 2mm</v>
      </c>
      <c r="G1331" s="1044" t="str">
        <f>VLOOKUP($B1331,DG!A:D,DG!$D$2,)</f>
        <v>cái</v>
      </c>
      <c r="H1331" s="1823">
        <f t="shared" si="270"/>
        <v>0</v>
      </c>
      <c r="I1331" s="1823">
        <f t="shared" si="270"/>
        <v>0</v>
      </c>
      <c r="J1331" s="1823">
        <f t="shared" si="270"/>
        <v>0</v>
      </c>
      <c r="K1331" s="1823">
        <f t="shared" si="270"/>
        <v>0</v>
      </c>
      <c r="L1331" s="1823">
        <f t="shared" si="270"/>
        <v>0</v>
      </c>
      <c r="M1331" s="1823">
        <f t="shared" si="270"/>
        <v>0</v>
      </c>
      <c r="N1331" s="1823">
        <f t="shared" si="270"/>
        <v>0</v>
      </c>
      <c r="O1331" s="1823"/>
      <c r="P1331" s="1823"/>
      <c r="Q1331" s="1053"/>
      <c r="R1331" s="1053"/>
      <c r="S1331" s="1053"/>
      <c r="T1331" s="2035">
        <f t="shared" si="271"/>
        <v>0</v>
      </c>
    </row>
    <row r="1332" spans="1:20" ht="22.2" hidden="1" customHeight="1">
      <c r="A1332" s="59"/>
      <c r="B1332" s="1577" t="s">
        <v>2005</v>
      </c>
      <c r="C1332" s="1013" t="str">
        <f t="shared" ref="C1332:C1395" si="272">IF(OR(P1332&lt;&gt;0,H1332&lt;&gt;0),"x"," ")</f>
        <v xml:space="preserve"> </v>
      </c>
      <c r="D1332" s="1535">
        <v>1</v>
      </c>
      <c r="E1332" s="1044"/>
      <c r="F1332" s="1056" t="str">
        <f>VLOOKUP($B1332,DG!A:D,DG!$C$2,)</f>
        <v>Máng che dây chằng dày 1,6mm</v>
      </c>
      <c r="G1332" s="1044" t="str">
        <f>VLOOKUP($B1332,DG!A:D,DG!$D$2,)</f>
        <v>cái</v>
      </c>
      <c r="H1332" s="1823">
        <f t="shared" si="270"/>
        <v>0</v>
      </c>
      <c r="I1332" s="1823">
        <f t="shared" si="270"/>
        <v>0</v>
      </c>
      <c r="J1332" s="1823">
        <f t="shared" si="270"/>
        <v>0</v>
      </c>
      <c r="K1332" s="1823">
        <f t="shared" si="270"/>
        <v>0</v>
      </c>
      <c r="L1332" s="1823">
        <f t="shared" si="270"/>
        <v>0</v>
      </c>
      <c r="M1332" s="1823">
        <f t="shared" si="270"/>
        <v>0</v>
      </c>
      <c r="N1332" s="1823">
        <f t="shared" si="270"/>
        <v>0</v>
      </c>
      <c r="O1332" s="1823"/>
      <c r="P1332" s="1823"/>
      <c r="Q1332" s="1053"/>
      <c r="R1332" s="1053"/>
      <c r="S1332" s="1053"/>
      <c r="T1332" s="2035">
        <f t="shared" si="271"/>
        <v>0</v>
      </c>
    </row>
    <row r="1333" spans="1:20" ht="22.2" hidden="1" customHeight="1">
      <c r="A1333" s="59"/>
      <c r="B1333" s="1577" t="s">
        <v>1922</v>
      </c>
      <c r="C1333" s="1013" t="str">
        <f t="shared" si="272"/>
        <v xml:space="preserve"> </v>
      </c>
      <c r="D1333" s="1535">
        <f>D1324</f>
        <v>1</v>
      </c>
      <c r="E1333" s="1044" t="str">
        <f>VLOOKUP($B1333,DG!A:D,DG!$B$2,)</f>
        <v>06.3241</v>
      </c>
      <c r="F1333" s="1049" t="str">
        <f>VLOOKUP($B1333,DG!A:D,DG!$C$2,)</f>
        <v>Lắp bộ dây néo</v>
      </c>
      <c r="G1333" s="1044" t="str">
        <f>VLOOKUP($B1333,DG!A:D,DG!$D$2,)</f>
        <v>bộ</v>
      </c>
      <c r="H1333" s="1823"/>
      <c r="I1333" s="1823"/>
      <c r="J1333" s="1823"/>
      <c r="K1333" s="1823"/>
      <c r="L1333" s="1823"/>
      <c r="M1333" s="1823"/>
      <c r="N1333" s="1823"/>
      <c r="O1333" s="1823"/>
      <c r="P1333" s="1823"/>
      <c r="Q1333" s="1058"/>
      <c r="R1333" s="1058"/>
      <c r="S1333" s="1058"/>
      <c r="T1333" s="2035">
        <f t="shared" si="271"/>
        <v>0</v>
      </c>
    </row>
    <row r="1334" spans="1:20" ht="22.2" hidden="1" customHeight="1">
      <c r="A1334" s="59"/>
      <c r="B1334" s="1577" t="s">
        <v>681</v>
      </c>
      <c r="C1334" s="1013" t="str">
        <f t="shared" si="272"/>
        <v xml:space="preserve"> </v>
      </c>
      <c r="D1334" s="1535">
        <v>1</v>
      </c>
      <c r="E1334" s="1044" t="str">
        <f>VLOOKUP($B1334,DG!A:D,DG!$B$2,)</f>
        <v>06.2110</v>
      </c>
      <c r="F1334" s="1049" t="str">
        <f>VLOOKUP($B1334,DG!A:D,DG!$C$2,)</f>
        <v>Lắp cổ dề</v>
      </c>
      <c r="G1334" s="1044" t="str">
        <f>VLOOKUP($B1334,DG!A:D,DG!$D$2,)</f>
        <v>cái</v>
      </c>
      <c r="H1334" s="1823"/>
      <c r="I1334" s="1823"/>
      <c r="J1334" s="1823"/>
      <c r="K1334" s="1823"/>
      <c r="L1334" s="1823"/>
      <c r="M1334" s="1823"/>
      <c r="N1334" s="1823"/>
      <c r="O1334" s="1823"/>
      <c r="P1334" s="1823"/>
      <c r="Q1334" s="1058"/>
      <c r="R1334" s="1058"/>
      <c r="S1334" s="1058"/>
      <c r="T1334" s="2035">
        <f t="shared" si="271"/>
        <v>0</v>
      </c>
    </row>
    <row r="1335" spans="1:20" ht="22.2" hidden="1" customHeight="1">
      <c r="A1335" s="59"/>
      <c r="B1335" s="1588" t="s">
        <v>356</v>
      </c>
      <c r="C1335" s="1013" t="str">
        <f t="shared" si="272"/>
        <v xml:space="preserve"> </v>
      </c>
      <c r="D1335" s="1534">
        <v>0.02</v>
      </c>
      <c r="E1335" s="1044" t="str">
        <f>VLOOKUP($B1335,DG!A:C,2,)</f>
        <v>02.1421</v>
      </c>
      <c r="F1335" s="1049" t="str">
        <f>VLOOKUP($B1335,DG!A:C,3,)</f>
        <v>V/c phụ kiện vào vị trí (cự ly &lt;=100m)</v>
      </c>
      <c r="G1335" s="1044" t="str">
        <f>VLOOKUP($B1335,DG!A:D,4,0)</f>
        <v>tấn</v>
      </c>
      <c r="H1335" s="1823"/>
      <c r="I1335" s="1823"/>
      <c r="J1335" s="1823"/>
      <c r="K1335" s="1823"/>
      <c r="L1335" s="1823"/>
      <c r="M1335" s="1823"/>
      <c r="N1335" s="1823"/>
      <c r="O1335" s="1823"/>
      <c r="P1335" s="1823"/>
      <c r="Q1335" s="1058"/>
      <c r="R1335" s="1058"/>
      <c r="S1335" s="1058"/>
      <c r="T1335" s="2035">
        <f t="shared" si="271"/>
        <v>0</v>
      </c>
    </row>
    <row r="1336" spans="1:20" ht="22.2" hidden="1" customHeight="1">
      <c r="A1336" s="56" t="s">
        <v>339</v>
      </c>
      <c r="B1336" s="1574" t="s">
        <v>339</v>
      </c>
      <c r="C1336" s="1013" t="str">
        <f t="shared" si="272"/>
        <v xml:space="preserve"> </v>
      </c>
      <c r="D1336" s="1532"/>
      <c r="E1336" s="1045"/>
      <c r="F1336" s="1392" t="s">
        <v>2490</v>
      </c>
      <c r="G1336" s="1046" t="s">
        <v>2391</v>
      </c>
      <c r="H1336" s="1821">
        <f>SUM(I1336:O1336)</f>
        <v>0</v>
      </c>
      <c r="I1336" s="1822"/>
      <c r="J1336" s="1822"/>
      <c r="K1336" s="1822">
        <f>IFERROR(HLOOKUP(B1336,pp3p1m!$1:$3,3,0),0)</f>
        <v>0</v>
      </c>
      <c r="L1336" s="1822">
        <f>IFERROR(HLOOKUP(chitiet!B1336,pp1p!$1:$3,3,0),0)</f>
        <v>0</v>
      </c>
      <c r="M1336" s="1822"/>
      <c r="N1336" s="1822"/>
      <c r="O1336" s="1822"/>
      <c r="P1336" s="1822">
        <f>H1336+Q1336-R1336</f>
        <v>0</v>
      </c>
      <c r="Q1336" s="1047"/>
      <c r="R1336" s="1047"/>
      <c r="S1336" s="1047"/>
      <c r="T1336" s="2035">
        <f>IFERROR(HLOOKUP(B1336,pp1p!$1:$3,3,0),0)+IFERROR(HLOOKUP(B1336,pp3p1m!$1:$3,3,0),0)</f>
        <v>0</v>
      </c>
    </row>
    <row r="1337" spans="1:20" ht="22.2" hidden="1" customHeight="1">
      <c r="A1337" s="59"/>
      <c r="B1337" s="1577" t="s">
        <v>669</v>
      </c>
      <c r="C1337" s="1013" t="str">
        <f t="shared" si="272"/>
        <v xml:space="preserve"> </v>
      </c>
      <c r="D1337" s="1535">
        <v>1</v>
      </c>
      <c r="E1337" s="1044"/>
      <c r="F1337" s="1056" t="str">
        <f>VLOOKUP($B1337,DG!A:D,DG!$C$2,)&amp;"-Fe8x100 nhuùng keõm"</f>
        <v>Cổ dê Ø 195 nẹp trụ-Fe8x100 nhuùng keõm</v>
      </c>
      <c r="G1337" s="1044" t="str">
        <f>VLOOKUP($B1337,DG!A:D,DG!$D$2,)</f>
        <v>bộ</v>
      </c>
      <c r="H1337" s="1823">
        <f t="shared" ref="H1337:N1347" si="273">H$1336*$D1337</f>
        <v>0</v>
      </c>
      <c r="I1337" s="1823">
        <f t="shared" si="273"/>
        <v>0</v>
      </c>
      <c r="J1337" s="1823">
        <f t="shared" si="273"/>
        <v>0</v>
      </c>
      <c r="K1337" s="1823">
        <f t="shared" si="273"/>
        <v>0</v>
      </c>
      <c r="L1337" s="1823">
        <f t="shared" si="273"/>
        <v>0</v>
      </c>
      <c r="M1337" s="1823">
        <f t="shared" si="273"/>
        <v>0</v>
      </c>
      <c r="N1337" s="1823">
        <f t="shared" si="273"/>
        <v>0</v>
      </c>
      <c r="O1337" s="1823"/>
      <c r="P1337" s="1823"/>
      <c r="Q1337" s="1053"/>
      <c r="R1337" s="1053"/>
      <c r="S1337" s="1053"/>
      <c r="T1337" s="2035">
        <f t="shared" si="271"/>
        <v>0</v>
      </c>
    </row>
    <row r="1338" spans="1:20" ht="22.2" hidden="1" customHeight="1">
      <c r="A1338" s="59"/>
      <c r="B1338" s="1577" t="s">
        <v>111</v>
      </c>
      <c r="C1338" s="1013" t="str">
        <f t="shared" si="272"/>
        <v xml:space="preserve"> </v>
      </c>
      <c r="D1338" s="1535">
        <v>1</v>
      </c>
      <c r="E1338" s="1044"/>
      <c r="F1338" s="1056" t="str">
        <f>VLOOKUP($B1338,DG!A:D,DG!$C$2,)</f>
        <v>Sứ chằng</v>
      </c>
      <c r="G1338" s="1044" t="str">
        <f>VLOOKUP($B1338,DG!A:D,DG!$D$2,)</f>
        <v>cái</v>
      </c>
      <c r="H1338" s="1823">
        <f t="shared" si="273"/>
        <v>0</v>
      </c>
      <c r="I1338" s="1823">
        <f t="shared" si="273"/>
        <v>0</v>
      </c>
      <c r="J1338" s="1823">
        <f t="shared" si="273"/>
        <v>0</v>
      </c>
      <c r="K1338" s="1823">
        <f t="shared" si="273"/>
        <v>0</v>
      </c>
      <c r="L1338" s="1823">
        <f t="shared" si="273"/>
        <v>0</v>
      </c>
      <c r="M1338" s="1823">
        <f t="shared" si="273"/>
        <v>0</v>
      </c>
      <c r="N1338" s="1823">
        <f t="shared" si="273"/>
        <v>0</v>
      </c>
      <c r="O1338" s="1823"/>
      <c r="P1338" s="1823"/>
      <c r="Q1338" s="1053"/>
      <c r="R1338" s="1053"/>
      <c r="S1338" s="1053"/>
      <c r="T1338" s="2035">
        <f t="shared" si="271"/>
        <v>0</v>
      </c>
    </row>
    <row r="1339" spans="1:20" ht="22.2" hidden="1" customHeight="1">
      <c r="A1339" s="59"/>
      <c r="B1339" s="1577" t="s">
        <v>1581</v>
      </c>
      <c r="C1339" s="1013" t="str">
        <f t="shared" si="272"/>
        <v xml:space="preserve"> </v>
      </c>
      <c r="D1339" s="1535">
        <v>8</v>
      </c>
      <c r="E1339" s="1044"/>
      <c r="F1339" s="1056" t="str">
        <f>VLOOKUP($B1339,DG!A:D,DG!$C$2,)</f>
        <v>Kẹp cáp 3 boulon</v>
      </c>
      <c r="G1339" s="1044" t="str">
        <f>VLOOKUP($B1339,DG!A:D,DG!$D$2,)</f>
        <v>cái</v>
      </c>
      <c r="H1339" s="1823">
        <f t="shared" si="273"/>
        <v>0</v>
      </c>
      <c r="I1339" s="1823">
        <f t="shared" si="273"/>
        <v>0</v>
      </c>
      <c r="J1339" s="1823">
        <f t="shared" si="273"/>
        <v>0</v>
      </c>
      <c r="K1339" s="1823">
        <f t="shared" si="273"/>
        <v>0</v>
      </c>
      <c r="L1339" s="1823">
        <f t="shared" si="273"/>
        <v>0</v>
      </c>
      <c r="M1339" s="1823">
        <f t="shared" si="273"/>
        <v>0</v>
      </c>
      <c r="N1339" s="1823">
        <f t="shared" si="273"/>
        <v>0</v>
      </c>
      <c r="O1339" s="1823"/>
      <c r="P1339" s="1823"/>
      <c r="Q1339" s="1053"/>
      <c r="R1339" s="1053"/>
      <c r="S1339" s="1053"/>
      <c r="T1339" s="2035">
        <f t="shared" si="271"/>
        <v>0</v>
      </c>
    </row>
    <row r="1340" spans="1:20" ht="22.2" hidden="1" customHeight="1">
      <c r="A1340" s="59"/>
      <c r="B1340" s="1594" t="s">
        <v>1049</v>
      </c>
      <c r="C1340" s="1013" t="str">
        <f t="shared" si="272"/>
        <v xml:space="preserve"> </v>
      </c>
      <c r="D1340" s="1535">
        <v>15</v>
      </c>
      <c r="E1340" s="1044"/>
      <c r="F1340" s="1056" t="str">
        <f>VLOOKUP($B1340,DG!A:D,DG!$C$2,)</f>
        <v>Kẹp hotline 4/0</v>
      </c>
      <c r="G1340" s="1044" t="str">
        <f>VLOOKUP($B1340,DG!A:D,DG!$D$2,)</f>
        <v>cái</v>
      </c>
      <c r="H1340" s="1823">
        <f t="shared" si="273"/>
        <v>0</v>
      </c>
      <c r="I1340" s="1823">
        <f t="shared" si="273"/>
        <v>0</v>
      </c>
      <c r="J1340" s="1823">
        <f t="shared" si="273"/>
        <v>0</v>
      </c>
      <c r="K1340" s="1823">
        <f t="shared" si="273"/>
        <v>0</v>
      </c>
      <c r="L1340" s="1823">
        <f t="shared" si="273"/>
        <v>0</v>
      </c>
      <c r="M1340" s="1823">
        <f t="shared" si="273"/>
        <v>0</v>
      </c>
      <c r="N1340" s="1823">
        <f t="shared" si="273"/>
        <v>0</v>
      </c>
      <c r="O1340" s="1823"/>
      <c r="P1340" s="1823"/>
      <c r="Q1340" s="1053"/>
      <c r="R1340" s="1053"/>
      <c r="S1340" s="1053"/>
      <c r="T1340" s="2035">
        <f t="shared" si="271"/>
        <v>0</v>
      </c>
    </row>
    <row r="1341" spans="1:20" ht="22.2" hidden="1" customHeight="1">
      <c r="A1341" s="59"/>
      <c r="B1341" s="1577" t="s">
        <v>607</v>
      </c>
      <c r="C1341" s="1013" t="str">
        <f t="shared" si="272"/>
        <v xml:space="preserve"> </v>
      </c>
      <c r="D1341" s="1535">
        <v>1</v>
      </c>
      <c r="E1341" s="1044"/>
      <c r="F1341" s="1056" t="str">
        <f>VLOOKUP($B1341,DG!A:D,DG!$C$2,)</f>
        <v>Bộ chống chằng hẹp Ø60/50x1500+2BL12x40+BL16x250/80</v>
      </c>
      <c r="G1341" s="1044" t="str">
        <f>VLOOKUP($B1341,DG!A:D,DG!$D$2,)</f>
        <v>bộ</v>
      </c>
      <c r="H1341" s="1823">
        <f t="shared" si="273"/>
        <v>0</v>
      </c>
      <c r="I1341" s="1823">
        <f t="shared" si="273"/>
        <v>0</v>
      </c>
      <c r="J1341" s="1823">
        <f t="shared" si="273"/>
        <v>0</v>
      </c>
      <c r="K1341" s="1823">
        <f t="shared" si="273"/>
        <v>0</v>
      </c>
      <c r="L1341" s="1823">
        <f t="shared" si="273"/>
        <v>0</v>
      </c>
      <c r="M1341" s="1823">
        <f t="shared" si="273"/>
        <v>0</v>
      </c>
      <c r="N1341" s="1823">
        <f t="shared" si="273"/>
        <v>0</v>
      </c>
      <c r="O1341" s="1823"/>
      <c r="P1341" s="1823"/>
      <c r="Q1341" s="1053"/>
      <c r="R1341" s="1053"/>
      <c r="S1341" s="1053"/>
      <c r="T1341" s="2035">
        <f t="shared" si="271"/>
        <v>0</v>
      </c>
    </row>
    <row r="1342" spans="1:20" ht="22.2" hidden="1" customHeight="1">
      <c r="A1342" s="59"/>
      <c r="B1342" s="1577" t="s">
        <v>279</v>
      </c>
      <c r="C1342" s="1013" t="str">
        <f t="shared" si="272"/>
        <v xml:space="preserve"> </v>
      </c>
      <c r="D1342" s="1535">
        <v>2</v>
      </c>
      <c r="E1342" s="1044"/>
      <c r="F1342" s="1056" t="str">
        <f>VLOOKUP($B1342,DG!A:D,DG!$C$2,)</f>
        <v>Sắt dẹt 60 x 6</v>
      </c>
      <c r="G1342" s="1044" t="str">
        <f>VLOOKUP($B1342,DG!A:D,DG!$D$2,)</f>
        <v>kg</v>
      </c>
      <c r="H1342" s="1823">
        <f t="shared" si="273"/>
        <v>0</v>
      </c>
      <c r="I1342" s="1823">
        <f t="shared" si="273"/>
        <v>0</v>
      </c>
      <c r="J1342" s="1823">
        <f t="shared" si="273"/>
        <v>0</v>
      </c>
      <c r="K1342" s="1823">
        <f t="shared" si="273"/>
        <v>0</v>
      </c>
      <c r="L1342" s="1823">
        <f t="shared" si="273"/>
        <v>0</v>
      </c>
      <c r="M1342" s="1823">
        <f t="shared" si="273"/>
        <v>0</v>
      </c>
      <c r="N1342" s="1823">
        <f t="shared" si="273"/>
        <v>0</v>
      </c>
      <c r="O1342" s="1823"/>
      <c r="P1342" s="1823"/>
      <c r="Q1342" s="1053"/>
      <c r="R1342" s="1053"/>
      <c r="S1342" s="1053"/>
      <c r="T1342" s="2035">
        <f t="shared" si="271"/>
        <v>0</v>
      </c>
    </row>
    <row r="1343" spans="1:20" ht="22.2" hidden="1" customHeight="1">
      <c r="A1343" s="59"/>
      <c r="B1343" s="1577" t="s">
        <v>1374</v>
      </c>
      <c r="C1343" s="1013" t="str">
        <f t="shared" si="272"/>
        <v xml:space="preserve"> </v>
      </c>
      <c r="D1343" s="1535">
        <v>1</v>
      </c>
      <c r="E1343" s="1044"/>
      <c r="F1343" s="1056" t="str">
        <f>VLOOKUP($B1343,DG!A:D,DG!$C$2,)</f>
        <v xml:space="preserve">Móc treo chữ U </v>
      </c>
      <c r="G1343" s="1044" t="str">
        <f>VLOOKUP($B1343,DG!A:D,DG!$D$2,)</f>
        <v>cái</v>
      </c>
      <c r="H1343" s="1823">
        <f t="shared" si="273"/>
        <v>0</v>
      </c>
      <c r="I1343" s="1823">
        <f t="shared" si="273"/>
        <v>0</v>
      </c>
      <c r="J1343" s="1823">
        <f t="shared" si="273"/>
        <v>0</v>
      </c>
      <c r="K1343" s="1823">
        <f t="shared" si="273"/>
        <v>0</v>
      </c>
      <c r="L1343" s="1823">
        <f t="shared" si="273"/>
        <v>0</v>
      </c>
      <c r="M1343" s="1823">
        <f t="shared" si="273"/>
        <v>0</v>
      </c>
      <c r="N1343" s="1823">
        <f t="shared" si="273"/>
        <v>0</v>
      </c>
      <c r="O1343" s="1823"/>
      <c r="P1343" s="1823"/>
      <c r="Q1343" s="1053"/>
      <c r="R1343" s="1053"/>
      <c r="S1343" s="1053"/>
      <c r="T1343" s="2035">
        <f t="shared" si="271"/>
        <v>0</v>
      </c>
    </row>
    <row r="1344" spans="1:20" ht="22.2" hidden="1" customHeight="1">
      <c r="A1344" s="59"/>
      <c r="B1344" s="1595" t="s">
        <v>1895</v>
      </c>
      <c r="C1344" s="1013" t="str">
        <f t="shared" si="272"/>
        <v xml:space="preserve"> </v>
      </c>
      <c r="D1344" s="1535">
        <v>2</v>
      </c>
      <c r="E1344" s="1044"/>
      <c r="F1344" s="1056" t="str">
        <f>VLOOKUP($B1344,DG!A:D,DG!$C$2,)</f>
        <v>Boulon 16x100VRS+ 4 long đền vuông D18-50x50x3/Zn</v>
      </c>
      <c r="G1344" s="1044" t="str">
        <f>VLOOKUP($B1344,DG!A:D,DG!$D$2,)</f>
        <v>bộ</v>
      </c>
      <c r="H1344" s="1823">
        <f t="shared" si="273"/>
        <v>0</v>
      </c>
      <c r="I1344" s="1823">
        <f t="shared" si="273"/>
        <v>0</v>
      </c>
      <c r="J1344" s="1823">
        <f t="shared" si="273"/>
        <v>0</v>
      </c>
      <c r="K1344" s="1823">
        <f t="shared" si="273"/>
        <v>0</v>
      </c>
      <c r="L1344" s="1823">
        <f t="shared" si="273"/>
        <v>0</v>
      </c>
      <c r="M1344" s="1823">
        <f t="shared" si="273"/>
        <v>0</v>
      </c>
      <c r="N1344" s="1823">
        <f t="shared" si="273"/>
        <v>0</v>
      </c>
      <c r="O1344" s="1823"/>
      <c r="P1344" s="1823"/>
      <c r="Q1344" s="1053"/>
      <c r="R1344" s="1053"/>
      <c r="S1344" s="1053"/>
      <c r="T1344" s="2035">
        <f t="shared" si="271"/>
        <v>0</v>
      </c>
    </row>
    <row r="1345" spans="1:20" ht="22.2" hidden="1" customHeight="1">
      <c r="A1345" s="59"/>
      <c r="B1345" s="1595" t="s">
        <v>340</v>
      </c>
      <c r="C1345" s="1013" t="str">
        <f t="shared" si="272"/>
        <v xml:space="preserve"> </v>
      </c>
      <c r="D1345" s="1535">
        <v>1</v>
      </c>
      <c r="E1345" s="1044"/>
      <c r="F1345" s="1056" t="str">
        <f>VLOOKUP($B1345,DG!A:D,DG!$C$2,)</f>
        <v>Boulon 16x270/80+ 2 long đền vuông D18-50x50x3/Zn</v>
      </c>
      <c r="G1345" s="1044" t="str">
        <f>VLOOKUP($B1345,DG!A:D,DG!$D$2,)</f>
        <v>bộ</v>
      </c>
      <c r="H1345" s="1823">
        <f t="shared" si="273"/>
        <v>0</v>
      </c>
      <c r="I1345" s="1823">
        <f t="shared" si="273"/>
        <v>0</v>
      </c>
      <c r="J1345" s="1823">
        <f t="shared" si="273"/>
        <v>0</v>
      </c>
      <c r="K1345" s="1823">
        <f t="shared" si="273"/>
        <v>0</v>
      </c>
      <c r="L1345" s="1823">
        <f t="shared" si="273"/>
        <v>0</v>
      </c>
      <c r="M1345" s="1823">
        <f t="shared" si="273"/>
        <v>0</v>
      </c>
      <c r="N1345" s="1823">
        <f t="shared" si="273"/>
        <v>0</v>
      </c>
      <c r="O1345" s="1823"/>
      <c r="P1345" s="1823"/>
      <c r="Q1345" s="1053"/>
      <c r="R1345" s="1053"/>
      <c r="S1345" s="1053"/>
      <c r="T1345" s="2035">
        <f t="shared" si="271"/>
        <v>0</v>
      </c>
    </row>
    <row r="1346" spans="1:20" ht="22.2" hidden="1" customHeight="1">
      <c r="A1346" s="59"/>
      <c r="B1346" s="1577" t="s">
        <v>2004</v>
      </c>
      <c r="C1346" s="1013" t="str">
        <f t="shared" si="272"/>
        <v xml:space="preserve"> </v>
      </c>
      <c r="D1346" s="1535">
        <v>2</v>
      </c>
      <c r="E1346" s="1044"/>
      <c r="F1346" s="1056" t="str">
        <f>VLOOKUP($B1346,DG!A:D,DG!$C$2,)</f>
        <v>Yếm cáp dày 2mm</v>
      </c>
      <c r="G1346" s="1044" t="str">
        <f>VLOOKUP($B1346,DG!A:D,DG!$D$2,)</f>
        <v>cái</v>
      </c>
      <c r="H1346" s="1823">
        <f t="shared" si="273"/>
        <v>0</v>
      </c>
      <c r="I1346" s="1823">
        <f t="shared" si="273"/>
        <v>0</v>
      </c>
      <c r="J1346" s="1823">
        <f t="shared" si="273"/>
        <v>0</v>
      </c>
      <c r="K1346" s="1823">
        <f t="shared" si="273"/>
        <v>0</v>
      </c>
      <c r="L1346" s="1823">
        <f t="shared" si="273"/>
        <v>0</v>
      </c>
      <c r="M1346" s="1823">
        <f t="shared" si="273"/>
        <v>0</v>
      </c>
      <c r="N1346" s="1823">
        <f t="shared" si="273"/>
        <v>0</v>
      </c>
      <c r="O1346" s="1823"/>
      <c r="P1346" s="1823"/>
      <c r="Q1346" s="1053"/>
      <c r="R1346" s="1053"/>
      <c r="S1346" s="1053"/>
      <c r="T1346" s="2035">
        <f t="shared" si="271"/>
        <v>0</v>
      </c>
    </row>
    <row r="1347" spans="1:20" ht="22.2" hidden="1" customHeight="1">
      <c r="A1347" s="59"/>
      <c r="B1347" s="1577" t="s">
        <v>2005</v>
      </c>
      <c r="C1347" s="1013" t="str">
        <f t="shared" si="272"/>
        <v xml:space="preserve"> </v>
      </c>
      <c r="D1347" s="1535">
        <v>1</v>
      </c>
      <c r="E1347" s="1044"/>
      <c r="F1347" s="1056" t="str">
        <f>VLOOKUP($B1347,DG!A:D,DG!$C$2,)</f>
        <v>Máng che dây chằng dày 1,6mm</v>
      </c>
      <c r="G1347" s="1044" t="str">
        <f>VLOOKUP($B1347,DG!A:D,DG!$D$2,)</f>
        <v>cái</v>
      </c>
      <c r="H1347" s="1823">
        <f t="shared" si="273"/>
        <v>0</v>
      </c>
      <c r="I1347" s="1823">
        <f t="shared" si="273"/>
        <v>0</v>
      </c>
      <c r="J1347" s="1823">
        <f t="shared" si="273"/>
        <v>0</v>
      </c>
      <c r="K1347" s="1823">
        <f t="shared" si="273"/>
        <v>0</v>
      </c>
      <c r="L1347" s="1823">
        <f t="shared" si="273"/>
        <v>0</v>
      </c>
      <c r="M1347" s="1823">
        <f t="shared" si="273"/>
        <v>0</v>
      </c>
      <c r="N1347" s="1823">
        <f t="shared" si="273"/>
        <v>0</v>
      </c>
      <c r="O1347" s="1823"/>
      <c r="P1347" s="1823"/>
      <c r="Q1347" s="1053"/>
      <c r="R1347" s="1053"/>
      <c r="S1347" s="1053"/>
      <c r="T1347" s="2035">
        <f t="shared" si="271"/>
        <v>0</v>
      </c>
    </row>
    <row r="1348" spans="1:20" ht="22.2" hidden="1" customHeight="1">
      <c r="A1348" s="59"/>
      <c r="B1348" s="1577" t="s">
        <v>1922</v>
      </c>
      <c r="C1348" s="1013" t="str">
        <f t="shared" si="272"/>
        <v xml:space="preserve"> </v>
      </c>
      <c r="D1348" s="1535">
        <f>D1337</f>
        <v>1</v>
      </c>
      <c r="E1348" s="1044" t="str">
        <f>VLOOKUP($B1348,DG!A:D,DG!$B$2,)</f>
        <v>06.3241</v>
      </c>
      <c r="F1348" s="1049" t="str">
        <f>VLOOKUP($B1348,DG!A:D,DG!$C$2,)</f>
        <v>Lắp bộ dây néo</v>
      </c>
      <c r="G1348" s="1044" t="str">
        <f>VLOOKUP($B1348,DG!A:D,DG!$D$2,)</f>
        <v>bộ</v>
      </c>
      <c r="H1348" s="1823"/>
      <c r="I1348" s="1823"/>
      <c r="J1348" s="1823"/>
      <c r="K1348" s="1823"/>
      <c r="L1348" s="1823"/>
      <c r="M1348" s="1823"/>
      <c r="N1348" s="1823"/>
      <c r="O1348" s="1823"/>
      <c r="P1348" s="1823"/>
      <c r="Q1348" s="1058"/>
      <c r="R1348" s="1058"/>
      <c r="S1348" s="1058"/>
      <c r="T1348" s="2035">
        <f t="shared" si="271"/>
        <v>0</v>
      </c>
    </row>
    <row r="1349" spans="1:20" ht="22.2" hidden="1" customHeight="1">
      <c r="A1349" s="59"/>
      <c r="B1349" s="1577" t="s">
        <v>681</v>
      </c>
      <c r="C1349" s="1013" t="str">
        <f t="shared" si="272"/>
        <v xml:space="preserve"> </v>
      </c>
      <c r="D1349" s="1535">
        <v>1</v>
      </c>
      <c r="E1349" s="1044" t="str">
        <f>VLOOKUP($B1349,DG!A:D,DG!$B$2,)</f>
        <v>06.2110</v>
      </c>
      <c r="F1349" s="1049" t="str">
        <f>VLOOKUP($B1349,DG!A:D,DG!$C$2,)</f>
        <v>Lắp cổ dề</v>
      </c>
      <c r="G1349" s="1044" t="str">
        <f>VLOOKUP($B1349,DG!A:D,DG!$D$2,)</f>
        <v>cái</v>
      </c>
      <c r="H1349" s="1823"/>
      <c r="I1349" s="1823"/>
      <c r="J1349" s="1823"/>
      <c r="K1349" s="1823"/>
      <c r="L1349" s="1823"/>
      <c r="M1349" s="1823"/>
      <c r="N1349" s="1823"/>
      <c r="O1349" s="1823"/>
      <c r="P1349" s="1823"/>
      <c r="Q1349" s="1058"/>
      <c r="R1349" s="1058"/>
      <c r="S1349" s="1058"/>
      <c r="T1349" s="2035">
        <f t="shared" si="271"/>
        <v>0</v>
      </c>
    </row>
    <row r="1350" spans="1:20" ht="22.2" hidden="1" customHeight="1">
      <c r="A1350" s="59"/>
      <c r="B1350" s="1577" t="s">
        <v>1910</v>
      </c>
      <c r="C1350" s="1013" t="str">
        <f t="shared" si="272"/>
        <v xml:space="preserve"> </v>
      </c>
      <c r="D1350" s="1535">
        <f>D1333</f>
        <v>1</v>
      </c>
      <c r="E1350" s="1044" t="str">
        <f>VLOOKUP($B1350,DG!A:D,DG!$B$2,)</f>
        <v>05.6011</v>
      </c>
      <c r="F1350" s="1049" t="str">
        <f>VLOOKUP($B1350,DG!A:D,DG!$C$2,)</f>
        <v>Lắp bộ chống lệch</v>
      </c>
      <c r="G1350" s="1044" t="str">
        <f>VLOOKUP($B1350,DG!A:D,DG!$D$2,)</f>
        <v>bộ</v>
      </c>
      <c r="H1350" s="1823"/>
      <c r="I1350" s="1823"/>
      <c r="J1350" s="1823"/>
      <c r="K1350" s="1823"/>
      <c r="L1350" s="1823"/>
      <c r="M1350" s="1823"/>
      <c r="N1350" s="1823"/>
      <c r="O1350" s="1823"/>
      <c r="P1350" s="1823"/>
      <c r="Q1350" s="1058"/>
      <c r="R1350" s="1058"/>
      <c r="S1350" s="1058"/>
      <c r="T1350" s="2035">
        <f t="shared" si="271"/>
        <v>0</v>
      </c>
    </row>
    <row r="1351" spans="1:20" ht="22.2" hidden="1" customHeight="1">
      <c r="A1351" s="59"/>
      <c r="B1351" s="1588" t="s">
        <v>356</v>
      </c>
      <c r="C1351" s="1013" t="str">
        <f t="shared" si="272"/>
        <v xml:space="preserve"> </v>
      </c>
      <c r="D1351" s="1534">
        <v>0.02</v>
      </c>
      <c r="E1351" s="1044" t="str">
        <f>VLOOKUP($B1351,DG!A:C,2,)</f>
        <v>02.1421</v>
      </c>
      <c r="F1351" s="1049" t="str">
        <f>VLOOKUP($B1351,DG!A:C,3,)</f>
        <v>V/c phụ kiện vào vị trí (cự ly &lt;=100m)</v>
      </c>
      <c r="G1351" s="1044" t="str">
        <f>VLOOKUP($B1351,DG!A:D,4,0)</f>
        <v>tấn</v>
      </c>
      <c r="H1351" s="1823"/>
      <c r="I1351" s="1823"/>
      <c r="J1351" s="1823"/>
      <c r="K1351" s="1823"/>
      <c r="L1351" s="1823"/>
      <c r="M1351" s="1823"/>
      <c r="N1351" s="1823"/>
      <c r="O1351" s="1823"/>
      <c r="P1351" s="1823"/>
      <c r="Q1351" s="1058"/>
      <c r="R1351" s="1058"/>
      <c r="S1351" s="1058"/>
      <c r="T1351" s="2035">
        <f t="shared" si="271"/>
        <v>0</v>
      </c>
    </row>
    <row r="1352" spans="1:20" ht="22.2" hidden="1" customHeight="1">
      <c r="A1352" s="56" t="s">
        <v>1243</v>
      </c>
      <c r="B1352" s="1574" t="s">
        <v>1243</v>
      </c>
      <c r="C1352" s="1013" t="str">
        <f t="shared" si="272"/>
        <v xml:space="preserve"> </v>
      </c>
      <c r="D1352" s="1532"/>
      <c r="E1352" s="1045"/>
      <c r="F1352" s="1392" t="s">
        <v>2491</v>
      </c>
      <c r="G1352" s="1046" t="s">
        <v>2391</v>
      </c>
      <c r="H1352" s="1821">
        <f>SUM(I1352:O1352)</f>
        <v>0</v>
      </c>
      <c r="I1352" s="1822"/>
      <c r="J1352" s="1822"/>
      <c r="K1352" s="1822">
        <f>IFERROR(HLOOKUP(B1352,pp3p1m!$1:$3,3,0),0)</f>
        <v>0</v>
      </c>
      <c r="L1352" s="1822">
        <f>IFERROR(HLOOKUP(chitiet!B1352,pp1p!$1:$3,3,0),0)</f>
        <v>0</v>
      </c>
      <c r="M1352" s="1822"/>
      <c r="N1352" s="1822"/>
      <c r="O1352" s="1822"/>
      <c r="P1352" s="1822">
        <f>H1352+Q1352-R1352</f>
        <v>0</v>
      </c>
      <c r="Q1352" s="1047"/>
      <c r="R1352" s="1047"/>
      <c r="S1352" s="1047"/>
      <c r="T1352" s="2035">
        <f>IFERROR(HLOOKUP(B1352,pp1p!$1:$3,3,0),0)+IFERROR(HLOOKUP(B1352,pp3p1m!$1:$3,3,0),0)</f>
        <v>0</v>
      </c>
    </row>
    <row r="1353" spans="1:20" ht="22.2" hidden="1" customHeight="1">
      <c r="A1353" s="59"/>
      <c r="B1353" s="1577" t="s">
        <v>669</v>
      </c>
      <c r="C1353" s="1013" t="str">
        <f t="shared" si="272"/>
        <v xml:space="preserve"> </v>
      </c>
      <c r="D1353" s="1535">
        <v>1</v>
      </c>
      <c r="E1353" s="1044"/>
      <c r="F1353" s="1056" t="str">
        <f>VLOOKUP($B1353,DG!A:D,DG!$C$2,)&amp;"-Fe8x100 nhuùng keõm"</f>
        <v>Cổ dê Ø 195 nẹp trụ-Fe8x100 nhuùng keõm</v>
      </c>
      <c r="G1353" s="1044" t="str">
        <f>VLOOKUP($B1353,DG!A:D,DG!$D$2,)</f>
        <v>bộ</v>
      </c>
      <c r="H1353" s="1823">
        <f t="shared" ref="H1353:N1362" si="274">H$1352*$D1353</f>
        <v>0</v>
      </c>
      <c r="I1353" s="1823">
        <f t="shared" si="274"/>
        <v>0</v>
      </c>
      <c r="J1353" s="1823">
        <f t="shared" si="274"/>
        <v>0</v>
      </c>
      <c r="K1353" s="1823">
        <f t="shared" si="274"/>
        <v>0</v>
      </c>
      <c r="L1353" s="1823">
        <f t="shared" si="274"/>
        <v>0</v>
      </c>
      <c r="M1353" s="1823">
        <f t="shared" si="274"/>
        <v>0</v>
      </c>
      <c r="N1353" s="1823">
        <f t="shared" si="274"/>
        <v>0</v>
      </c>
      <c r="O1353" s="1823"/>
      <c r="P1353" s="1823"/>
      <c r="Q1353" s="1053"/>
      <c r="R1353" s="1053"/>
      <c r="S1353" s="1053"/>
      <c r="T1353" s="2035">
        <f t="shared" si="271"/>
        <v>0</v>
      </c>
    </row>
    <row r="1354" spans="1:20" ht="22.2" hidden="1" customHeight="1">
      <c r="A1354" s="59"/>
      <c r="B1354" s="1577" t="s">
        <v>1469</v>
      </c>
      <c r="C1354" s="1013" t="str">
        <f t="shared" si="272"/>
        <v xml:space="preserve"> </v>
      </c>
      <c r="D1354" s="1535">
        <v>1</v>
      </c>
      <c r="E1354" s="1044"/>
      <c r="F1354" s="1056" t="str">
        <f>VLOOKUP($B1354,DG!A:D,DG!$C$2,)&amp;"-Fe8x100 nhuùng keõm"</f>
        <v>Cổ dê Ø 220 nẹp trụ-Fe8x100 nhuùng keõm</v>
      </c>
      <c r="G1354" s="1044" t="str">
        <f>VLOOKUP($B1354,DG!A:D,DG!$D$2,)</f>
        <v>bộ</v>
      </c>
      <c r="H1354" s="1823">
        <f t="shared" si="274"/>
        <v>0</v>
      </c>
      <c r="I1354" s="1823">
        <f t="shared" si="274"/>
        <v>0</v>
      </c>
      <c r="J1354" s="1823">
        <f t="shared" si="274"/>
        <v>0</v>
      </c>
      <c r="K1354" s="1823">
        <f t="shared" si="274"/>
        <v>0</v>
      </c>
      <c r="L1354" s="1823">
        <f t="shared" si="274"/>
        <v>0</v>
      </c>
      <c r="M1354" s="1823">
        <f t="shared" si="274"/>
        <v>0</v>
      </c>
      <c r="N1354" s="1823">
        <f t="shared" si="274"/>
        <v>0</v>
      </c>
      <c r="O1354" s="1823"/>
      <c r="P1354" s="1823"/>
      <c r="Q1354" s="1053"/>
      <c r="R1354" s="1053"/>
      <c r="S1354" s="1053"/>
      <c r="T1354" s="2035">
        <f t="shared" si="271"/>
        <v>0</v>
      </c>
    </row>
    <row r="1355" spans="1:20" ht="22.2" hidden="1" customHeight="1">
      <c r="A1355" s="59"/>
      <c r="B1355" s="1577" t="s">
        <v>111</v>
      </c>
      <c r="C1355" s="1013" t="str">
        <f t="shared" si="272"/>
        <v xml:space="preserve"> </v>
      </c>
      <c r="D1355" s="1535">
        <v>2</v>
      </c>
      <c r="E1355" s="1044"/>
      <c r="F1355" s="1056" t="str">
        <f>VLOOKUP($B1355,DG!A:D,DG!$C$2,)</f>
        <v>Sứ chằng</v>
      </c>
      <c r="G1355" s="1044" t="str">
        <f>VLOOKUP($B1355,DG!A:D,DG!$D$2,)</f>
        <v>cái</v>
      </c>
      <c r="H1355" s="1823">
        <f t="shared" si="274"/>
        <v>0</v>
      </c>
      <c r="I1355" s="1823">
        <f t="shared" si="274"/>
        <v>0</v>
      </c>
      <c r="J1355" s="1823">
        <f t="shared" si="274"/>
        <v>0</v>
      </c>
      <c r="K1355" s="1823">
        <f t="shared" si="274"/>
        <v>0</v>
      </c>
      <c r="L1355" s="1823">
        <f t="shared" si="274"/>
        <v>0</v>
      </c>
      <c r="M1355" s="1823">
        <f t="shared" si="274"/>
        <v>0</v>
      </c>
      <c r="N1355" s="1823">
        <f t="shared" si="274"/>
        <v>0</v>
      </c>
      <c r="O1355" s="1823"/>
      <c r="P1355" s="1823"/>
      <c r="Q1355" s="1053"/>
      <c r="R1355" s="1053"/>
      <c r="S1355" s="1053"/>
      <c r="T1355" s="2035">
        <f t="shared" si="271"/>
        <v>0</v>
      </c>
    </row>
    <row r="1356" spans="1:20" ht="22.2" hidden="1" customHeight="1">
      <c r="A1356" s="59"/>
      <c r="B1356" s="1577" t="s">
        <v>1581</v>
      </c>
      <c r="C1356" s="1013" t="str">
        <f t="shared" si="272"/>
        <v xml:space="preserve"> </v>
      </c>
      <c r="D1356" s="1535">
        <v>16</v>
      </c>
      <c r="E1356" s="1044"/>
      <c r="F1356" s="1056" t="str">
        <f>VLOOKUP($B1356,DG!A:D,DG!$C$2,)</f>
        <v>Kẹp cáp 3 boulon</v>
      </c>
      <c r="G1356" s="1044" t="str">
        <f>VLOOKUP($B1356,DG!A:D,DG!$D$2,)</f>
        <v>cái</v>
      </c>
      <c r="H1356" s="1823">
        <f t="shared" si="274"/>
        <v>0</v>
      </c>
      <c r="I1356" s="1823">
        <f t="shared" si="274"/>
        <v>0</v>
      </c>
      <c r="J1356" s="1823">
        <f t="shared" si="274"/>
        <v>0</v>
      </c>
      <c r="K1356" s="1823">
        <f t="shared" si="274"/>
        <v>0</v>
      </c>
      <c r="L1356" s="1823">
        <f t="shared" si="274"/>
        <v>0</v>
      </c>
      <c r="M1356" s="1823">
        <f t="shared" si="274"/>
        <v>0</v>
      </c>
      <c r="N1356" s="1823">
        <f t="shared" si="274"/>
        <v>0</v>
      </c>
      <c r="O1356" s="1823"/>
      <c r="P1356" s="1823"/>
      <c r="Q1356" s="1053"/>
      <c r="R1356" s="1053"/>
      <c r="S1356" s="1053"/>
      <c r="T1356" s="2035">
        <f t="shared" si="271"/>
        <v>0</v>
      </c>
    </row>
    <row r="1357" spans="1:20" ht="22.2" hidden="1" customHeight="1">
      <c r="A1357" s="59"/>
      <c r="B1357" s="1594" t="s">
        <v>1049</v>
      </c>
      <c r="C1357" s="1013" t="str">
        <f t="shared" si="272"/>
        <v xml:space="preserve"> </v>
      </c>
      <c r="D1357" s="1535">
        <v>36</v>
      </c>
      <c r="E1357" s="1044"/>
      <c r="F1357" s="1056" t="str">
        <f>VLOOKUP($B1357,DG!A:D,DG!$C$2,)</f>
        <v>Kẹp hotline 4/0</v>
      </c>
      <c r="G1357" s="1044" t="str">
        <f>VLOOKUP($B1357,DG!A:D,DG!$D$2,)</f>
        <v>cái</v>
      </c>
      <c r="H1357" s="1823">
        <f t="shared" si="274"/>
        <v>0</v>
      </c>
      <c r="I1357" s="1823">
        <f t="shared" si="274"/>
        <v>0</v>
      </c>
      <c r="J1357" s="1823">
        <f t="shared" si="274"/>
        <v>0</v>
      </c>
      <c r="K1357" s="1823">
        <f t="shared" si="274"/>
        <v>0</v>
      </c>
      <c r="L1357" s="1823">
        <f t="shared" si="274"/>
        <v>0</v>
      </c>
      <c r="M1357" s="1823">
        <f t="shared" si="274"/>
        <v>0</v>
      </c>
      <c r="N1357" s="1823">
        <f t="shared" si="274"/>
        <v>0</v>
      </c>
      <c r="O1357" s="1823"/>
      <c r="P1357" s="1823"/>
      <c r="Q1357" s="1053"/>
      <c r="R1357" s="1053"/>
      <c r="S1357" s="1053"/>
      <c r="T1357" s="2035">
        <f t="shared" si="271"/>
        <v>0</v>
      </c>
    </row>
    <row r="1358" spans="1:20" ht="22.2" hidden="1" customHeight="1">
      <c r="A1358" s="59"/>
      <c r="B1358" s="1577" t="s">
        <v>279</v>
      </c>
      <c r="C1358" s="1013" t="str">
        <f t="shared" si="272"/>
        <v xml:space="preserve"> </v>
      </c>
      <c r="D1358" s="1535">
        <v>4</v>
      </c>
      <c r="E1358" s="1044"/>
      <c r="F1358" s="1056" t="str">
        <f>VLOOKUP($B1358,DG!A:D,DG!$C$2,)</f>
        <v>Sắt dẹt 60 x 6</v>
      </c>
      <c r="G1358" s="1044" t="str">
        <f>VLOOKUP($B1358,DG!A:D,DG!$D$2,)</f>
        <v>kg</v>
      </c>
      <c r="H1358" s="1823">
        <f t="shared" si="274"/>
        <v>0</v>
      </c>
      <c r="I1358" s="1823">
        <f t="shared" si="274"/>
        <v>0</v>
      </c>
      <c r="J1358" s="1823">
        <f t="shared" si="274"/>
        <v>0</v>
      </c>
      <c r="K1358" s="1823">
        <f t="shared" si="274"/>
        <v>0</v>
      </c>
      <c r="L1358" s="1823">
        <f t="shared" si="274"/>
        <v>0</v>
      </c>
      <c r="M1358" s="1823">
        <f t="shared" si="274"/>
        <v>0</v>
      </c>
      <c r="N1358" s="1823">
        <f t="shared" si="274"/>
        <v>0</v>
      </c>
      <c r="O1358" s="1823"/>
      <c r="P1358" s="1823"/>
      <c r="Q1358" s="1053"/>
      <c r="R1358" s="1053"/>
      <c r="S1358" s="1053"/>
      <c r="T1358" s="2035">
        <f t="shared" si="271"/>
        <v>0</v>
      </c>
    </row>
    <row r="1359" spans="1:20" ht="22.2" hidden="1" customHeight="1">
      <c r="A1359" s="59"/>
      <c r="B1359" s="1577" t="s">
        <v>1374</v>
      </c>
      <c r="C1359" s="1013" t="str">
        <f t="shared" si="272"/>
        <v xml:space="preserve"> </v>
      </c>
      <c r="D1359" s="1535">
        <v>2</v>
      </c>
      <c r="E1359" s="1044"/>
      <c r="F1359" s="1056" t="str">
        <f>VLOOKUP($B1359,DG!A:D,DG!$C$2,)</f>
        <v xml:space="preserve">Móc treo chữ U </v>
      </c>
      <c r="G1359" s="1044" t="str">
        <f>VLOOKUP($B1359,DG!A:D,DG!$D$2,)</f>
        <v>cái</v>
      </c>
      <c r="H1359" s="1823">
        <f t="shared" si="274"/>
        <v>0</v>
      </c>
      <c r="I1359" s="1823">
        <f t="shared" si="274"/>
        <v>0</v>
      </c>
      <c r="J1359" s="1823">
        <f t="shared" si="274"/>
        <v>0</v>
      </c>
      <c r="K1359" s="1823">
        <f t="shared" si="274"/>
        <v>0</v>
      </c>
      <c r="L1359" s="1823">
        <f t="shared" si="274"/>
        <v>0</v>
      </c>
      <c r="M1359" s="1823">
        <f t="shared" si="274"/>
        <v>0</v>
      </c>
      <c r="N1359" s="1823">
        <f t="shared" si="274"/>
        <v>0</v>
      </c>
      <c r="O1359" s="1823"/>
      <c r="P1359" s="1823"/>
      <c r="Q1359" s="1053"/>
      <c r="R1359" s="1053"/>
      <c r="S1359" s="1053"/>
      <c r="T1359" s="2035">
        <f t="shared" si="271"/>
        <v>0</v>
      </c>
    </row>
    <row r="1360" spans="1:20" ht="22.2" hidden="1" customHeight="1">
      <c r="A1360" s="59"/>
      <c r="B1360" s="1595" t="s">
        <v>1895</v>
      </c>
      <c r="C1360" s="1013" t="str">
        <f t="shared" si="272"/>
        <v xml:space="preserve"> </v>
      </c>
      <c r="D1360" s="1535">
        <v>4</v>
      </c>
      <c r="E1360" s="1044"/>
      <c r="F1360" s="1056" t="str">
        <f>VLOOKUP($B1360,DG!A:D,DG!$C$2,)</f>
        <v>Boulon 16x100VRS+ 4 long đền vuông D18-50x50x3/Zn</v>
      </c>
      <c r="G1360" s="1044" t="str">
        <f>VLOOKUP($B1360,DG!A:D,DG!$D$2,)</f>
        <v>bộ</v>
      </c>
      <c r="H1360" s="1823">
        <f t="shared" si="274"/>
        <v>0</v>
      </c>
      <c r="I1360" s="1823">
        <f t="shared" si="274"/>
        <v>0</v>
      </c>
      <c r="J1360" s="1823">
        <f t="shared" si="274"/>
        <v>0</v>
      </c>
      <c r="K1360" s="1823">
        <f t="shared" si="274"/>
        <v>0</v>
      </c>
      <c r="L1360" s="1823">
        <f t="shared" si="274"/>
        <v>0</v>
      </c>
      <c r="M1360" s="1823">
        <f t="shared" si="274"/>
        <v>0</v>
      </c>
      <c r="N1360" s="1823">
        <f t="shared" si="274"/>
        <v>0</v>
      </c>
      <c r="O1360" s="1823"/>
      <c r="P1360" s="1823"/>
      <c r="Q1360" s="1053"/>
      <c r="R1360" s="1053"/>
      <c r="S1360" s="1053"/>
      <c r="T1360" s="2035">
        <f t="shared" si="271"/>
        <v>0</v>
      </c>
    </row>
    <row r="1361" spans="1:20" ht="22.2" hidden="1" customHeight="1">
      <c r="A1361" s="59"/>
      <c r="B1361" s="1577" t="s">
        <v>2004</v>
      </c>
      <c r="C1361" s="1013" t="str">
        <f t="shared" si="272"/>
        <v xml:space="preserve"> </v>
      </c>
      <c r="D1361" s="1535">
        <v>4</v>
      </c>
      <c r="E1361" s="1044"/>
      <c r="F1361" s="1056" t="str">
        <f>VLOOKUP($B1361,DG!A:D,DG!$C$2,)</f>
        <v>Yếm cáp dày 2mm</v>
      </c>
      <c r="G1361" s="1044" t="str">
        <f>VLOOKUP($B1361,DG!A:D,DG!$D$2,)</f>
        <v>cái</v>
      </c>
      <c r="H1361" s="1823">
        <f t="shared" si="274"/>
        <v>0</v>
      </c>
      <c r="I1361" s="1823">
        <f t="shared" si="274"/>
        <v>0</v>
      </c>
      <c r="J1361" s="1823">
        <f t="shared" si="274"/>
        <v>0</v>
      </c>
      <c r="K1361" s="1823">
        <f t="shared" si="274"/>
        <v>0</v>
      </c>
      <c r="L1361" s="1823">
        <f t="shared" si="274"/>
        <v>0</v>
      </c>
      <c r="M1361" s="1823">
        <f t="shared" si="274"/>
        <v>0</v>
      </c>
      <c r="N1361" s="1823">
        <f t="shared" si="274"/>
        <v>0</v>
      </c>
      <c r="O1361" s="1823"/>
      <c r="P1361" s="1823"/>
      <c r="Q1361" s="1053"/>
      <c r="R1361" s="1053"/>
      <c r="S1361" s="1053"/>
      <c r="T1361" s="2035">
        <f t="shared" si="271"/>
        <v>0</v>
      </c>
    </row>
    <row r="1362" spans="1:20" ht="22.2" hidden="1" customHeight="1">
      <c r="A1362" s="59"/>
      <c r="B1362" s="1577" t="s">
        <v>2005</v>
      </c>
      <c r="C1362" s="1013" t="str">
        <f t="shared" si="272"/>
        <v xml:space="preserve"> </v>
      </c>
      <c r="D1362" s="1535">
        <v>2</v>
      </c>
      <c r="E1362" s="1044"/>
      <c r="F1362" s="1056" t="str">
        <f>VLOOKUP($B1362,DG!A:D,DG!$C$2,)</f>
        <v>Máng che dây chằng dày 1,6mm</v>
      </c>
      <c r="G1362" s="1044" t="str">
        <f>VLOOKUP($B1362,DG!A:D,DG!$D$2,)</f>
        <v>cái</v>
      </c>
      <c r="H1362" s="1823">
        <f t="shared" si="274"/>
        <v>0</v>
      </c>
      <c r="I1362" s="1823">
        <f t="shared" si="274"/>
        <v>0</v>
      </c>
      <c r="J1362" s="1823">
        <f t="shared" si="274"/>
        <v>0</v>
      </c>
      <c r="K1362" s="1823">
        <f t="shared" si="274"/>
        <v>0</v>
      </c>
      <c r="L1362" s="1823">
        <f t="shared" si="274"/>
        <v>0</v>
      </c>
      <c r="M1362" s="1823">
        <f t="shared" si="274"/>
        <v>0</v>
      </c>
      <c r="N1362" s="1823">
        <f t="shared" si="274"/>
        <v>0</v>
      </c>
      <c r="O1362" s="1823"/>
      <c r="P1362" s="1823"/>
      <c r="Q1362" s="1053"/>
      <c r="R1362" s="1053"/>
      <c r="S1362" s="1053"/>
      <c r="T1362" s="2035">
        <f t="shared" si="271"/>
        <v>0</v>
      </c>
    </row>
    <row r="1363" spans="1:20" ht="22.2" hidden="1" customHeight="1">
      <c r="A1363" s="59"/>
      <c r="B1363" s="1577" t="s">
        <v>1922</v>
      </c>
      <c r="C1363" s="1013" t="str">
        <f t="shared" si="272"/>
        <v xml:space="preserve"> </v>
      </c>
      <c r="D1363" s="1535">
        <f>D1353</f>
        <v>1</v>
      </c>
      <c r="E1363" s="1044" t="str">
        <f>VLOOKUP($B1363,DG!A:D,DG!$B$2,)</f>
        <v>06.3241</v>
      </c>
      <c r="F1363" s="1049" t="str">
        <f>VLOOKUP($B1363,DG!A:D,DG!$C$2,)</f>
        <v>Lắp bộ dây néo</v>
      </c>
      <c r="G1363" s="1044" t="str">
        <f>VLOOKUP($B1363,DG!A:D,DG!$D$2,)</f>
        <v>bộ</v>
      </c>
      <c r="H1363" s="1823"/>
      <c r="I1363" s="1823"/>
      <c r="J1363" s="1823"/>
      <c r="K1363" s="1823"/>
      <c r="L1363" s="1823"/>
      <c r="M1363" s="1823"/>
      <c r="N1363" s="1823"/>
      <c r="O1363" s="1823"/>
      <c r="P1363" s="1823"/>
      <c r="Q1363" s="1058"/>
      <c r="R1363" s="1058"/>
      <c r="S1363" s="1058"/>
      <c r="T1363" s="2035">
        <f t="shared" si="271"/>
        <v>0</v>
      </c>
    </row>
    <row r="1364" spans="1:20" ht="22.2" hidden="1" customHeight="1">
      <c r="A1364" s="59"/>
      <c r="B1364" s="1577" t="s">
        <v>681</v>
      </c>
      <c r="C1364" s="1013" t="str">
        <f t="shared" si="272"/>
        <v xml:space="preserve"> </v>
      </c>
      <c r="D1364" s="1535">
        <v>2</v>
      </c>
      <c r="E1364" s="1044" t="str">
        <f>VLOOKUP($B1364,DG!A:D,DG!$B$2,)</f>
        <v>06.2110</v>
      </c>
      <c r="F1364" s="1049" t="str">
        <f>VLOOKUP($B1364,DG!A:D,DG!$C$2,)</f>
        <v>Lắp cổ dề</v>
      </c>
      <c r="G1364" s="1044" t="str">
        <f>VLOOKUP($B1364,DG!A:D,DG!$D$2,)</f>
        <v>cái</v>
      </c>
      <c r="H1364" s="1823"/>
      <c r="I1364" s="1823"/>
      <c r="J1364" s="1823"/>
      <c r="K1364" s="1823"/>
      <c r="L1364" s="1823"/>
      <c r="M1364" s="1823"/>
      <c r="N1364" s="1823"/>
      <c r="O1364" s="1823"/>
      <c r="P1364" s="1823"/>
      <c r="Q1364" s="1058"/>
      <c r="R1364" s="1058"/>
      <c r="S1364" s="1058"/>
      <c r="T1364" s="2035">
        <f t="shared" si="271"/>
        <v>0</v>
      </c>
    </row>
    <row r="1365" spans="1:20" ht="22.2" hidden="1" customHeight="1">
      <c r="A1365" s="59"/>
      <c r="B1365" s="1588" t="s">
        <v>356</v>
      </c>
      <c r="C1365" s="1013" t="str">
        <f t="shared" si="272"/>
        <v xml:space="preserve"> </v>
      </c>
      <c r="D1365" s="1534">
        <v>0.02</v>
      </c>
      <c r="E1365" s="1044" t="str">
        <f>VLOOKUP($B1365,DG!A:C,2,)</f>
        <v>02.1421</v>
      </c>
      <c r="F1365" s="1049" t="str">
        <f>VLOOKUP($B1365,DG!A:C,3,)</f>
        <v>V/c phụ kiện vào vị trí (cự ly &lt;=100m)</v>
      </c>
      <c r="G1365" s="1044" t="str">
        <f>VLOOKUP($B1365,DG!A:D,4,0)</f>
        <v>tấn</v>
      </c>
      <c r="H1365" s="1823"/>
      <c r="I1365" s="1823"/>
      <c r="J1365" s="1823"/>
      <c r="K1365" s="1823"/>
      <c r="L1365" s="1823"/>
      <c r="M1365" s="1823"/>
      <c r="N1365" s="1823"/>
      <c r="O1365" s="1823"/>
      <c r="P1365" s="1823"/>
      <c r="Q1365" s="1058"/>
      <c r="R1365" s="1058"/>
      <c r="S1365" s="1058"/>
      <c r="T1365" s="2035">
        <f t="shared" si="271"/>
        <v>0</v>
      </c>
    </row>
    <row r="1366" spans="1:20" ht="22.2" hidden="1" customHeight="1">
      <c r="A1366" s="56" t="s">
        <v>812</v>
      </c>
      <c r="B1366" s="1574" t="s">
        <v>812</v>
      </c>
      <c r="C1366" s="1013" t="str">
        <f t="shared" si="272"/>
        <v xml:space="preserve"> </v>
      </c>
      <c r="D1366" s="1532"/>
      <c r="E1366" s="1045"/>
      <c r="F1366" s="1392" t="s">
        <v>2492</v>
      </c>
      <c r="G1366" s="1046" t="s">
        <v>2391</v>
      </c>
      <c r="H1366" s="1821">
        <f>SUM(I1366:O1366)</f>
        <v>0</v>
      </c>
      <c r="I1366" s="1822"/>
      <c r="J1366" s="1822"/>
      <c r="K1366" s="1822">
        <f>IFERROR(HLOOKUP(B1366,pp3p1m!$1:$3,3,0),0)</f>
        <v>0</v>
      </c>
      <c r="L1366" s="1822">
        <f>IFERROR(HLOOKUP(chitiet!B1366,pp1p!$1:$3,3,0),0)</f>
        <v>0</v>
      </c>
      <c r="M1366" s="1822"/>
      <c r="N1366" s="1822"/>
      <c r="O1366" s="1822"/>
      <c r="P1366" s="1822">
        <f>H1366+Q1366-R1366</f>
        <v>0</v>
      </c>
      <c r="Q1366" s="1047"/>
      <c r="R1366" s="1047"/>
      <c r="S1366" s="1047"/>
      <c r="T1366" s="2035">
        <f>IFERROR(HLOOKUP(B1366,pp1p!$1:$3,3,0),0)+IFERROR(HLOOKUP(B1366,pp3p1m!$1:$3,3,0),0)</f>
        <v>0</v>
      </c>
    </row>
    <row r="1367" spans="1:20" ht="22.2" hidden="1" customHeight="1">
      <c r="A1367" s="59"/>
      <c r="B1367" s="1577" t="s">
        <v>669</v>
      </c>
      <c r="C1367" s="1013" t="str">
        <f t="shared" si="272"/>
        <v xml:space="preserve"> </v>
      </c>
      <c r="D1367" s="1538">
        <v>1</v>
      </c>
      <c r="E1367" s="1048"/>
      <c r="F1367" s="1054" t="str">
        <f>VLOOKUP($B1367,DG!A:D,DG!$C$2,)&amp;"-Fe8x100 nhuùng keõm"</f>
        <v>Cổ dê Ø 195 nẹp trụ-Fe8x100 nhuùng keõm</v>
      </c>
      <c r="G1367" s="1048" t="str">
        <f>VLOOKUP($B1367,DG!A:D,DG!$D$2,)</f>
        <v>bộ</v>
      </c>
      <c r="H1367" s="1824">
        <f t="shared" ref="H1367:J1375" si="275">H$1366*$D1367</f>
        <v>0</v>
      </c>
      <c r="I1367" s="1824">
        <f t="shared" si="275"/>
        <v>0</v>
      </c>
      <c r="J1367" s="1824">
        <f t="shared" si="275"/>
        <v>0</v>
      </c>
      <c r="K1367" s="1824"/>
      <c r="L1367" s="1824"/>
      <c r="M1367" s="1824"/>
      <c r="N1367" s="1824"/>
      <c r="O1367" s="1824"/>
      <c r="P1367" s="1824"/>
      <c r="Q1367" s="1052"/>
      <c r="R1367" s="1052"/>
      <c r="S1367" s="1052"/>
      <c r="T1367" s="2035">
        <f t="shared" si="271"/>
        <v>0</v>
      </c>
    </row>
    <row r="1368" spans="1:20" ht="22.2" hidden="1" customHeight="1">
      <c r="A1368" s="59"/>
      <c r="B1368" s="1577" t="s">
        <v>111</v>
      </c>
      <c r="C1368" s="1013" t="str">
        <f t="shared" si="272"/>
        <v xml:space="preserve"> </v>
      </c>
      <c r="D1368" s="1538">
        <v>2</v>
      </c>
      <c r="E1368" s="1048"/>
      <c r="F1368" s="1054" t="str">
        <f>VLOOKUP($B1368,DG!A:D,DG!$C$2,)</f>
        <v>Sứ chằng</v>
      </c>
      <c r="G1368" s="1048" t="str">
        <f>VLOOKUP($B1368,DG!A:D,DG!$D$2,)</f>
        <v>cái</v>
      </c>
      <c r="H1368" s="1824">
        <f t="shared" si="275"/>
        <v>0</v>
      </c>
      <c r="I1368" s="1824">
        <f t="shared" si="275"/>
        <v>0</v>
      </c>
      <c r="J1368" s="1824">
        <f t="shared" si="275"/>
        <v>0</v>
      </c>
      <c r="K1368" s="1824"/>
      <c r="L1368" s="1824"/>
      <c r="M1368" s="1824"/>
      <c r="N1368" s="1824"/>
      <c r="O1368" s="1824"/>
      <c r="P1368" s="1824"/>
      <c r="Q1368" s="1052"/>
      <c r="R1368" s="1052"/>
      <c r="S1368" s="1052"/>
      <c r="T1368" s="2035">
        <f t="shared" si="271"/>
        <v>0</v>
      </c>
    </row>
    <row r="1369" spans="1:20" ht="22.2" hidden="1" customHeight="1">
      <c r="A1369" s="59"/>
      <c r="B1369" s="1577" t="s">
        <v>1581</v>
      </c>
      <c r="C1369" s="1013" t="str">
        <f t="shared" si="272"/>
        <v xml:space="preserve"> </v>
      </c>
      <c r="D1369" s="1538">
        <v>8</v>
      </c>
      <c r="E1369" s="1048"/>
      <c r="F1369" s="1054" t="str">
        <f>VLOOKUP($B1369,DG!A:D,DG!$C$2,)</f>
        <v>Kẹp cáp 3 boulon</v>
      </c>
      <c r="G1369" s="1048" t="str">
        <f>VLOOKUP($B1369,DG!A:D,DG!$D$2,)</f>
        <v>cái</v>
      </c>
      <c r="H1369" s="1824">
        <f t="shared" si="275"/>
        <v>0</v>
      </c>
      <c r="I1369" s="1824">
        <f t="shared" si="275"/>
        <v>0</v>
      </c>
      <c r="J1369" s="1824">
        <f t="shared" si="275"/>
        <v>0</v>
      </c>
      <c r="K1369" s="1824"/>
      <c r="L1369" s="1824"/>
      <c r="M1369" s="1824"/>
      <c r="N1369" s="1824"/>
      <c r="O1369" s="1824"/>
      <c r="P1369" s="1824"/>
      <c r="Q1369" s="1052"/>
      <c r="R1369" s="1052"/>
      <c r="S1369" s="1052"/>
      <c r="T1369" s="2035">
        <f t="shared" si="271"/>
        <v>0</v>
      </c>
    </row>
    <row r="1370" spans="1:20" ht="22.2" hidden="1" customHeight="1">
      <c r="A1370" s="59"/>
      <c r="B1370" s="1577" t="s">
        <v>1362</v>
      </c>
      <c r="C1370" s="1013" t="str">
        <f t="shared" si="272"/>
        <v xml:space="preserve"> </v>
      </c>
      <c r="D1370" s="1538">
        <v>19</v>
      </c>
      <c r="E1370" s="1048"/>
      <c r="F1370" s="1054" t="str">
        <f>VLOOKUP($B1370,DG!A:D,DG!$C$2,)</f>
        <v>Cáp thép 5/8"</v>
      </c>
      <c r="G1370" s="1048" t="str">
        <f>VLOOKUP($B1370,DG!A:D,DG!$D$2,)</f>
        <v>kg</v>
      </c>
      <c r="H1370" s="1824">
        <f t="shared" si="275"/>
        <v>0</v>
      </c>
      <c r="I1370" s="1824">
        <f t="shared" si="275"/>
        <v>0</v>
      </c>
      <c r="J1370" s="1824">
        <f t="shared" si="275"/>
        <v>0</v>
      </c>
      <c r="K1370" s="1824"/>
      <c r="L1370" s="1824"/>
      <c r="M1370" s="1824"/>
      <c r="N1370" s="1824"/>
      <c r="O1370" s="1824"/>
      <c r="P1370" s="1824"/>
      <c r="Q1370" s="1052"/>
      <c r="R1370" s="1052"/>
      <c r="S1370" s="1052"/>
      <c r="T1370" s="2035">
        <f t="shared" si="271"/>
        <v>0</v>
      </c>
    </row>
    <row r="1371" spans="1:20" ht="22.2" hidden="1" customHeight="1">
      <c r="A1371" s="59"/>
      <c r="B1371" s="1577" t="s">
        <v>279</v>
      </c>
      <c r="C1371" s="1013" t="str">
        <f t="shared" si="272"/>
        <v xml:space="preserve"> </v>
      </c>
      <c r="D1371" s="1538">
        <v>2</v>
      </c>
      <c r="E1371" s="1048"/>
      <c r="F1371" s="1054" t="str">
        <f>VLOOKUP($B1371,DG!A:D,DG!$C$2,)</f>
        <v>Sắt dẹt 60 x 6</v>
      </c>
      <c r="G1371" s="1048" t="str">
        <f>VLOOKUP($B1371,DG!A:D,DG!$D$2,)</f>
        <v>kg</v>
      </c>
      <c r="H1371" s="1824">
        <f t="shared" si="275"/>
        <v>0</v>
      </c>
      <c r="I1371" s="1824">
        <f t="shared" si="275"/>
        <v>0</v>
      </c>
      <c r="J1371" s="1824">
        <f t="shared" si="275"/>
        <v>0</v>
      </c>
      <c r="K1371" s="1824"/>
      <c r="L1371" s="1824"/>
      <c r="M1371" s="1824"/>
      <c r="N1371" s="1824"/>
      <c r="O1371" s="1824"/>
      <c r="P1371" s="1824"/>
      <c r="Q1371" s="1052"/>
      <c r="R1371" s="1052"/>
      <c r="S1371" s="1052"/>
      <c r="T1371" s="2035">
        <f t="shared" si="271"/>
        <v>0</v>
      </c>
    </row>
    <row r="1372" spans="1:20" ht="22.2" hidden="1" customHeight="1">
      <c r="A1372" s="59"/>
      <c r="B1372" s="1577" t="s">
        <v>1374</v>
      </c>
      <c r="C1372" s="1013" t="str">
        <f t="shared" si="272"/>
        <v xml:space="preserve"> </v>
      </c>
      <c r="D1372" s="1538">
        <v>1</v>
      </c>
      <c r="E1372" s="1048"/>
      <c r="F1372" s="1054" t="str">
        <f>VLOOKUP($B1372,DG!A:D,DG!$C$2,)</f>
        <v xml:space="preserve">Móc treo chữ U </v>
      </c>
      <c r="G1372" s="1048" t="str">
        <f>VLOOKUP($B1372,DG!A:D,DG!$D$2,)</f>
        <v>cái</v>
      </c>
      <c r="H1372" s="1824">
        <f t="shared" si="275"/>
        <v>0</v>
      </c>
      <c r="I1372" s="1824">
        <f t="shared" si="275"/>
        <v>0</v>
      </c>
      <c r="J1372" s="1824">
        <f t="shared" si="275"/>
        <v>0</v>
      </c>
      <c r="K1372" s="1824"/>
      <c r="L1372" s="1824"/>
      <c r="M1372" s="1824"/>
      <c r="N1372" s="1824"/>
      <c r="O1372" s="1824"/>
      <c r="P1372" s="1824"/>
      <c r="Q1372" s="1052"/>
      <c r="R1372" s="1052"/>
      <c r="S1372" s="1052"/>
      <c r="T1372" s="2035">
        <f t="shared" si="271"/>
        <v>0</v>
      </c>
    </row>
    <row r="1373" spans="1:20" ht="22.2" hidden="1" customHeight="1">
      <c r="A1373" s="59"/>
      <c r="B1373" s="1595" t="s">
        <v>1895</v>
      </c>
      <c r="C1373" s="1013" t="str">
        <f t="shared" si="272"/>
        <v xml:space="preserve"> </v>
      </c>
      <c r="D1373" s="1538">
        <v>2</v>
      </c>
      <c r="E1373" s="1048"/>
      <c r="F1373" s="1054" t="str">
        <f>VLOOKUP($B1373,DG!A:D,DG!$C$2,)</f>
        <v>Boulon 16x100VRS+ 4 long đền vuông D18-50x50x3/Zn</v>
      </c>
      <c r="G1373" s="1048" t="str">
        <f>VLOOKUP($B1373,DG!A:D,DG!$D$2,)</f>
        <v>bộ</v>
      </c>
      <c r="H1373" s="1824">
        <f t="shared" si="275"/>
        <v>0</v>
      </c>
      <c r="I1373" s="1824">
        <f t="shared" si="275"/>
        <v>0</v>
      </c>
      <c r="J1373" s="1824">
        <f t="shared" si="275"/>
        <v>0</v>
      </c>
      <c r="K1373" s="1824"/>
      <c r="L1373" s="1824"/>
      <c r="M1373" s="1824"/>
      <c r="N1373" s="1824"/>
      <c r="O1373" s="1824"/>
      <c r="P1373" s="1824"/>
      <c r="Q1373" s="1052"/>
      <c r="R1373" s="1052"/>
      <c r="S1373" s="1052"/>
      <c r="T1373" s="2035">
        <f t="shared" si="271"/>
        <v>0</v>
      </c>
    </row>
    <row r="1374" spans="1:20" ht="22.2" hidden="1" customHeight="1">
      <c r="A1374" s="59"/>
      <c r="B1374" s="1577" t="s">
        <v>2004</v>
      </c>
      <c r="C1374" s="1013" t="str">
        <f t="shared" si="272"/>
        <v xml:space="preserve"> </v>
      </c>
      <c r="D1374" s="1538">
        <v>2</v>
      </c>
      <c r="E1374" s="1048"/>
      <c r="F1374" s="1054" t="str">
        <f>VLOOKUP($B1374,DG!A:D,DG!$C$2,)</f>
        <v>Yếm cáp dày 2mm</v>
      </c>
      <c r="G1374" s="1048" t="str">
        <f>VLOOKUP($B1374,DG!A:D,DG!$D$2,)</f>
        <v>cái</v>
      </c>
      <c r="H1374" s="1824">
        <f t="shared" si="275"/>
        <v>0</v>
      </c>
      <c r="I1374" s="1824">
        <f t="shared" si="275"/>
        <v>0</v>
      </c>
      <c r="J1374" s="1824">
        <f t="shared" si="275"/>
        <v>0</v>
      </c>
      <c r="K1374" s="1824"/>
      <c r="L1374" s="1824"/>
      <c r="M1374" s="1824"/>
      <c r="N1374" s="1824"/>
      <c r="O1374" s="1824"/>
      <c r="P1374" s="1824"/>
      <c r="Q1374" s="1052"/>
      <c r="R1374" s="1052"/>
      <c r="S1374" s="1052"/>
      <c r="T1374" s="2035">
        <f t="shared" si="271"/>
        <v>0</v>
      </c>
    </row>
    <row r="1375" spans="1:20" ht="22.2" hidden="1" customHeight="1">
      <c r="A1375" s="59"/>
      <c r="B1375" s="1577" t="s">
        <v>2005</v>
      </c>
      <c r="C1375" s="1013" t="str">
        <f t="shared" si="272"/>
        <v xml:space="preserve"> </v>
      </c>
      <c r="D1375" s="1538">
        <v>1</v>
      </c>
      <c r="E1375" s="1048"/>
      <c r="F1375" s="1054" t="str">
        <f>VLOOKUP($B1375,DG!A:D,DG!$C$2,)</f>
        <v>Máng che dây chằng dày 1,6mm</v>
      </c>
      <c r="G1375" s="1048" t="str">
        <f>VLOOKUP($B1375,DG!A:D,DG!$D$2,)</f>
        <v>cái</v>
      </c>
      <c r="H1375" s="1824">
        <f t="shared" si="275"/>
        <v>0</v>
      </c>
      <c r="I1375" s="1824">
        <f t="shared" si="275"/>
        <v>0</v>
      </c>
      <c r="J1375" s="1824">
        <f t="shared" si="275"/>
        <v>0</v>
      </c>
      <c r="K1375" s="1824"/>
      <c r="L1375" s="1824"/>
      <c r="M1375" s="1824"/>
      <c r="N1375" s="1824"/>
      <c r="O1375" s="1824"/>
      <c r="P1375" s="1824"/>
      <c r="Q1375" s="1052"/>
      <c r="R1375" s="1052"/>
      <c r="S1375" s="1052"/>
      <c r="T1375" s="2035">
        <f t="shared" si="271"/>
        <v>0</v>
      </c>
    </row>
    <row r="1376" spans="1:20" ht="22.2" hidden="1" customHeight="1">
      <c r="A1376" s="59"/>
      <c r="B1376" s="1577" t="s">
        <v>1922</v>
      </c>
      <c r="C1376" s="1013" t="str">
        <f t="shared" si="272"/>
        <v xml:space="preserve"> </v>
      </c>
      <c r="D1376" s="1538">
        <f>D1367</f>
        <v>1</v>
      </c>
      <c r="E1376" s="1048" t="str">
        <f>VLOOKUP($B1376,DG!A:D,DG!$B$2,)</f>
        <v>06.3241</v>
      </c>
      <c r="F1376" s="1049" t="str">
        <f>VLOOKUP($B1376,DG!A:D,DG!$C$2,)</f>
        <v>Lắp bộ dây néo</v>
      </c>
      <c r="G1376" s="1048" t="str">
        <f>VLOOKUP($B1376,DG!A:D,DG!$D$2,)</f>
        <v>bộ</v>
      </c>
      <c r="H1376" s="1824"/>
      <c r="I1376" s="1824"/>
      <c r="J1376" s="1824"/>
      <c r="K1376" s="1824"/>
      <c r="L1376" s="1824"/>
      <c r="M1376" s="1824"/>
      <c r="N1376" s="1824"/>
      <c r="O1376" s="1824"/>
      <c r="P1376" s="1824"/>
      <c r="Q1376" s="1055"/>
      <c r="R1376" s="1055"/>
      <c r="S1376" s="1055"/>
      <c r="T1376" s="2035">
        <f t="shared" si="271"/>
        <v>0</v>
      </c>
    </row>
    <row r="1377" spans="1:20" ht="22.2" hidden="1" customHeight="1">
      <c r="A1377" s="59"/>
      <c r="B1377" s="1577" t="s">
        <v>681</v>
      </c>
      <c r="C1377" s="1013" t="str">
        <f t="shared" si="272"/>
        <v xml:space="preserve"> </v>
      </c>
      <c r="D1377" s="1538">
        <v>1</v>
      </c>
      <c r="E1377" s="1048" t="str">
        <f>VLOOKUP($B1377,DG!A:D,DG!$B$2,)</f>
        <v>06.2110</v>
      </c>
      <c r="F1377" s="1049" t="str">
        <f>VLOOKUP($B1377,DG!A:D,DG!$C$2,)</f>
        <v>Lắp cổ dề</v>
      </c>
      <c r="G1377" s="1048" t="str">
        <f>VLOOKUP($B1377,DG!A:D,DG!$D$2,)</f>
        <v>cái</v>
      </c>
      <c r="H1377" s="1824"/>
      <c r="I1377" s="1824"/>
      <c r="J1377" s="1824"/>
      <c r="K1377" s="1824"/>
      <c r="L1377" s="1824"/>
      <c r="M1377" s="1824"/>
      <c r="N1377" s="1824"/>
      <c r="O1377" s="1824"/>
      <c r="P1377" s="1824"/>
      <c r="Q1377" s="1055"/>
      <c r="R1377" s="1055"/>
      <c r="S1377" s="1055"/>
      <c r="T1377" s="2035">
        <f t="shared" si="271"/>
        <v>0</v>
      </c>
    </row>
    <row r="1378" spans="1:20" ht="22.2" hidden="1" customHeight="1">
      <c r="A1378" s="59"/>
      <c r="B1378" s="1588" t="s">
        <v>356</v>
      </c>
      <c r="C1378" s="1013" t="str">
        <f t="shared" si="272"/>
        <v xml:space="preserve"> </v>
      </c>
      <c r="D1378" s="1537">
        <v>0.02</v>
      </c>
      <c r="E1378" s="1048" t="str">
        <f>VLOOKUP($B1378,DG!A:C,2,)</f>
        <v>02.1421</v>
      </c>
      <c r="F1378" s="1049" t="str">
        <f>VLOOKUP($B1378,DG!A:C,3,)</f>
        <v>V/c phụ kiện vào vị trí (cự ly &lt;=100m)</v>
      </c>
      <c r="G1378" s="1048" t="str">
        <f>VLOOKUP($B1378,DG!A:D,4,0)</f>
        <v>tấn</v>
      </c>
      <c r="H1378" s="1824"/>
      <c r="I1378" s="1824"/>
      <c r="J1378" s="1824"/>
      <c r="K1378" s="1824"/>
      <c r="L1378" s="1824"/>
      <c r="M1378" s="1824"/>
      <c r="N1378" s="1824"/>
      <c r="O1378" s="1824"/>
      <c r="P1378" s="1824"/>
      <c r="Q1378" s="1055"/>
      <c r="R1378" s="1055"/>
      <c r="S1378" s="1055"/>
      <c r="T1378" s="2035">
        <f t="shared" si="271"/>
        <v>0</v>
      </c>
    </row>
    <row r="1379" spans="1:20" ht="22.2" hidden="1" customHeight="1">
      <c r="A1379" s="56" t="s">
        <v>1089</v>
      </c>
      <c r="B1379" s="1574" t="s">
        <v>1089</v>
      </c>
      <c r="C1379" s="1013" t="str">
        <f t="shared" si="272"/>
        <v xml:space="preserve"> </v>
      </c>
      <c r="D1379" s="1532"/>
      <c r="E1379" s="1045"/>
      <c r="F1379" s="1392" t="s">
        <v>2493</v>
      </c>
      <c r="G1379" s="1046" t="s">
        <v>2391</v>
      </c>
      <c r="H1379" s="1821">
        <f>SUM(I1379:O1379)</f>
        <v>0</v>
      </c>
      <c r="I1379" s="1822"/>
      <c r="J1379" s="1822"/>
      <c r="K1379" s="1822">
        <f>IFERROR(HLOOKUP(B1379,pp3p1m!$1:$3,3,0),0)</f>
        <v>0</v>
      </c>
      <c r="L1379" s="1822">
        <f>IFERROR(HLOOKUP(chitiet!B1379,pp1p!$1:$3,3,0),0)</f>
        <v>0</v>
      </c>
      <c r="M1379" s="1822"/>
      <c r="N1379" s="1822"/>
      <c r="O1379" s="1822"/>
      <c r="P1379" s="1822">
        <f>H1379+Q1379-R1379</f>
        <v>0</v>
      </c>
      <c r="Q1379" s="1047"/>
      <c r="R1379" s="1047"/>
      <c r="S1379" s="1047"/>
      <c r="T1379" s="2035">
        <f>IFERROR(HLOOKUP(B1379,pp1p!$1:$3,3,0),0)+IFERROR(HLOOKUP(B1379,pp3p1m!$1:$3,3,0),0)</f>
        <v>0</v>
      </c>
    </row>
    <row r="1380" spans="1:20" ht="22.2" hidden="1" customHeight="1">
      <c r="A1380" s="59"/>
      <c r="B1380" s="1577" t="s">
        <v>669</v>
      </c>
      <c r="C1380" s="1013" t="str">
        <f t="shared" si="272"/>
        <v xml:space="preserve"> </v>
      </c>
      <c r="D1380" s="1535">
        <v>1</v>
      </c>
      <c r="E1380" s="1044"/>
      <c r="F1380" s="1056" t="str">
        <f>VLOOKUP($B1380,DG!A:D,DG!$C$2,)&amp;"-Fe8x100 nhuùng keõm"</f>
        <v>Cổ dê Ø 195 nẹp trụ-Fe8x100 nhuùng keõm</v>
      </c>
      <c r="G1380" s="1044" t="str">
        <f>VLOOKUP($B1380,DG!A:D,DG!$D$2,)</f>
        <v>bộ</v>
      </c>
      <c r="H1380" s="1823">
        <f t="shared" ref="H1380:N1387" si="276">H$1379*$D1380</f>
        <v>0</v>
      </c>
      <c r="I1380" s="1823">
        <f t="shared" si="276"/>
        <v>0</v>
      </c>
      <c r="J1380" s="1823">
        <f t="shared" si="276"/>
        <v>0</v>
      </c>
      <c r="K1380" s="1823">
        <f t="shared" si="276"/>
        <v>0</v>
      </c>
      <c r="L1380" s="1823">
        <f t="shared" si="276"/>
        <v>0</v>
      </c>
      <c r="M1380" s="1823">
        <f t="shared" si="276"/>
        <v>0</v>
      </c>
      <c r="N1380" s="1823">
        <f t="shared" si="276"/>
        <v>0</v>
      </c>
      <c r="O1380" s="1823"/>
      <c r="P1380" s="1823"/>
      <c r="Q1380" s="1053"/>
      <c r="R1380" s="1053"/>
      <c r="S1380" s="1053"/>
      <c r="T1380" s="2035">
        <f t="shared" si="271"/>
        <v>0</v>
      </c>
    </row>
    <row r="1381" spans="1:20" ht="22.2" hidden="1" customHeight="1">
      <c r="A1381" s="59"/>
      <c r="B1381" s="1577" t="s">
        <v>111</v>
      </c>
      <c r="C1381" s="1013" t="str">
        <f t="shared" si="272"/>
        <v xml:space="preserve"> </v>
      </c>
      <c r="D1381" s="1535">
        <v>2</v>
      </c>
      <c r="E1381" s="1044"/>
      <c r="F1381" s="1056" t="str">
        <f>VLOOKUP($B1381,DG!A:D,DG!$C$2,)</f>
        <v>Sứ chằng</v>
      </c>
      <c r="G1381" s="1044" t="str">
        <f>VLOOKUP($B1381,DG!A:D,DG!$D$2,)</f>
        <v>cái</v>
      </c>
      <c r="H1381" s="1823">
        <f t="shared" si="276"/>
        <v>0</v>
      </c>
      <c r="I1381" s="1823">
        <f t="shared" si="276"/>
        <v>0</v>
      </c>
      <c r="J1381" s="1823">
        <f t="shared" si="276"/>
        <v>0</v>
      </c>
      <c r="K1381" s="1823">
        <f t="shared" si="276"/>
        <v>0</v>
      </c>
      <c r="L1381" s="1823">
        <f t="shared" si="276"/>
        <v>0</v>
      </c>
      <c r="M1381" s="1823">
        <f t="shared" si="276"/>
        <v>0</v>
      </c>
      <c r="N1381" s="1823">
        <f t="shared" si="276"/>
        <v>0</v>
      </c>
      <c r="O1381" s="1823"/>
      <c r="P1381" s="1823"/>
      <c r="Q1381" s="1053"/>
      <c r="R1381" s="1053"/>
      <c r="S1381" s="1053"/>
      <c r="T1381" s="2035">
        <f t="shared" si="271"/>
        <v>0</v>
      </c>
    </row>
    <row r="1382" spans="1:20" ht="22.2" hidden="1" customHeight="1">
      <c r="A1382" s="59"/>
      <c r="B1382" s="1577" t="s">
        <v>1581</v>
      </c>
      <c r="C1382" s="1013" t="str">
        <f t="shared" si="272"/>
        <v xml:space="preserve"> </v>
      </c>
      <c r="D1382" s="1535">
        <v>12</v>
      </c>
      <c r="E1382" s="1044"/>
      <c r="F1382" s="1056" t="str">
        <f>VLOOKUP($B1382,DG!A:D,DG!$C$2,)</f>
        <v>Kẹp cáp 3 boulon</v>
      </c>
      <c r="G1382" s="1044" t="str">
        <f>VLOOKUP($B1382,DG!A:D,DG!$D$2,)</f>
        <v>cái</v>
      </c>
      <c r="H1382" s="1823">
        <f t="shared" si="276"/>
        <v>0</v>
      </c>
      <c r="I1382" s="1823">
        <f t="shared" si="276"/>
        <v>0</v>
      </c>
      <c r="J1382" s="1823">
        <f t="shared" si="276"/>
        <v>0</v>
      </c>
      <c r="K1382" s="1823">
        <f t="shared" si="276"/>
        <v>0</v>
      </c>
      <c r="L1382" s="1823">
        <f t="shared" si="276"/>
        <v>0</v>
      </c>
      <c r="M1382" s="1823">
        <f t="shared" si="276"/>
        <v>0</v>
      </c>
      <c r="N1382" s="1823">
        <f t="shared" si="276"/>
        <v>0</v>
      </c>
      <c r="O1382" s="1823"/>
      <c r="P1382" s="1823"/>
      <c r="Q1382" s="1053"/>
      <c r="R1382" s="1053"/>
      <c r="S1382" s="1053"/>
      <c r="T1382" s="2035">
        <f t="shared" si="271"/>
        <v>0</v>
      </c>
    </row>
    <row r="1383" spans="1:20" ht="22.2" hidden="1" customHeight="1">
      <c r="A1383" s="59"/>
      <c r="B1383" s="1594" t="s">
        <v>1049</v>
      </c>
      <c r="C1383" s="1013" t="str">
        <f t="shared" si="272"/>
        <v xml:space="preserve"> </v>
      </c>
      <c r="D1383" s="1535">
        <v>6</v>
      </c>
      <c r="E1383" s="1044"/>
      <c r="F1383" s="1056" t="str">
        <f>VLOOKUP($B1383,DG!A:D,DG!$C$2,)</f>
        <v>Kẹp hotline 4/0</v>
      </c>
      <c r="G1383" s="1044" t="str">
        <f>VLOOKUP($B1383,DG!A:D,DG!$D$2,)</f>
        <v>cái</v>
      </c>
      <c r="H1383" s="1823">
        <f t="shared" si="276"/>
        <v>0</v>
      </c>
      <c r="I1383" s="1823">
        <f t="shared" si="276"/>
        <v>0</v>
      </c>
      <c r="J1383" s="1823">
        <f t="shared" si="276"/>
        <v>0</v>
      </c>
      <c r="K1383" s="1823">
        <f t="shared" si="276"/>
        <v>0</v>
      </c>
      <c r="L1383" s="1823">
        <f t="shared" si="276"/>
        <v>0</v>
      </c>
      <c r="M1383" s="1823">
        <f t="shared" si="276"/>
        <v>0</v>
      </c>
      <c r="N1383" s="1823">
        <f t="shared" si="276"/>
        <v>0</v>
      </c>
      <c r="O1383" s="1823"/>
      <c r="P1383" s="1823"/>
      <c r="Q1383" s="1053"/>
      <c r="R1383" s="1053"/>
      <c r="S1383" s="1053"/>
      <c r="T1383" s="2035">
        <f t="shared" si="271"/>
        <v>0</v>
      </c>
    </row>
    <row r="1384" spans="1:20" ht="22.2" hidden="1" customHeight="1">
      <c r="A1384" s="59"/>
      <c r="B1384" s="1577" t="s">
        <v>279</v>
      </c>
      <c r="C1384" s="1013" t="str">
        <f t="shared" si="272"/>
        <v xml:space="preserve"> </v>
      </c>
      <c r="D1384" s="1535">
        <v>2</v>
      </c>
      <c r="E1384" s="1044"/>
      <c r="F1384" s="1056" t="str">
        <f>VLOOKUP($B1384,DG!A:D,DG!$C$2,)</f>
        <v>Sắt dẹt 60 x 6</v>
      </c>
      <c r="G1384" s="1044" t="str">
        <f>VLOOKUP($B1384,DG!A:D,DG!$D$2,)</f>
        <v>kg</v>
      </c>
      <c r="H1384" s="1823">
        <f t="shared" si="276"/>
        <v>0</v>
      </c>
      <c r="I1384" s="1823">
        <f t="shared" si="276"/>
        <v>0</v>
      </c>
      <c r="J1384" s="1823">
        <f t="shared" si="276"/>
        <v>0</v>
      </c>
      <c r="K1384" s="1823">
        <f t="shared" si="276"/>
        <v>0</v>
      </c>
      <c r="L1384" s="1823">
        <f t="shared" si="276"/>
        <v>0</v>
      </c>
      <c r="M1384" s="1823">
        <f t="shared" si="276"/>
        <v>0</v>
      </c>
      <c r="N1384" s="1823">
        <f t="shared" si="276"/>
        <v>0</v>
      </c>
      <c r="O1384" s="1823"/>
      <c r="P1384" s="1823"/>
      <c r="Q1384" s="1053"/>
      <c r="R1384" s="1053"/>
      <c r="S1384" s="1053"/>
      <c r="T1384" s="2035">
        <f t="shared" si="271"/>
        <v>0</v>
      </c>
    </row>
    <row r="1385" spans="1:20" ht="22.2" hidden="1" customHeight="1">
      <c r="A1385" s="59"/>
      <c r="B1385" s="1577" t="s">
        <v>1374</v>
      </c>
      <c r="C1385" s="1013" t="str">
        <f t="shared" si="272"/>
        <v xml:space="preserve"> </v>
      </c>
      <c r="D1385" s="1535">
        <v>2</v>
      </c>
      <c r="E1385" s="1044"/>
      <c r="F1385" s="1056" t="str">
        <f>VLOOKUP($B1385,DG!A:D,DG!$C$2,)</f>
        <v xml:space="preserve">Móc treo chữ U </v>
      </c>
      <c r="G1385" s="1044" t="str">
        <f>VLOOKUP($B1385,DG!A:D,DG!$D$2,)</f>
        <v>cái</v>
      </c>
      <c r="H1385" s="1823">
        <f t="shared" si="276"/>
        <v>0</v>
      </c>
      <c r="I1385" s="1823">
        <f t="shared" si="276"/>
        <v>0</v>
      </c>
      <c r="J1385" s="1823">
        <f t="shared" si="276"/>
        <v>0</v>
      </c>
      <c r="K1385" s="1823">
        <f t="shared" si="276"/>
        <v>0</v>
      </c>
      <c r="L1385" s="1823">
        <f t="shared" si="276"/>
        <v>0</v>
      </c>
      <c r="M1385" s="1823">
        <f t="shared" si="276"/>
        <v>0</v>
      </c>
      <c r="N1385" s="1823">
        <f t="shared" si="276"/>
        <v>0</v>
      </c>
      <c r="O1385" s="1823"/>
      <c r="P1385" s="1823"/>
      <c r="Q1385" s="1053"/>
      <c r="R1385" s="1053"/>
      <c r="S1385" s="1053"/>
      <c r="T1385" s="2035">
        <f t="shared" si="271"/>
        <v>0</v>
      </c>
    </row>
    <row r="1386" spans="1:20" ht="22.2" hidden="1" customHeight="1">
      <c r="A1386" s="59"/>
      <c r="B1386" s="1595" t="s">
        <v>1895</v>
      </c>
      <c r="C1386" s="1013" t="str">
        <f t="shared" si="272"/>
        <v xml:space="preserve"> </v>
      </c>
      <c r="D1386" s="1535">
        <v>2</v>
      </c>
      <c r="E1386" s="1044"/>
      <c r="F1386" s="1056" t="str">
        <f>VLOOKUP($B1386,DG!A:D,DG!$C$2,)</f>
        <v>Boulon 16x100VRS+ 4 long đền vuông D18-50x50x3/Zn</v>
      </c>
      <c r="G1386" s="1044" t="str">
        <f>VLOOKUP($B1386,DG!A:D,DG!$D$2,)</f>
        <v>bộ</v>
      </c>
      <c r="H1386" s="1823">
        <f t="shared" si="276"/>
        <v>0</v>
      </c>
      <c r="I1386" s="1823">
        <f t="shared" si="276"/>
        <v>0</v>
      </c>
      <c r="J1386" s="1823">
        <f t="shared" si="276"/>
        <v>0</v>
      </c>
      <c r="K1386" s="1823">
        <f t="shared" si="276"/>
        <v>0</v>
      </c>
      <c r="L1386" s="1823">
        <f t="shared" si="276"/>
        <v>0</v>
      </c>
      <c r="M1386" s="1823">
        <f t="shared" si="276"/>
        <v>0</v>
      </c>
      <c r="N1386" s="1823">
        <f t="shared" si="276"/>
        <v>0</v>
      </c>
      <c r="O1386" s="1823"/>
      <c r="P1386" s="1823"/>
      <c r="Q1386" s="1053"/>
      <c r="R1386" s="1053"/>
      <c r="S1386" s="1053"/>
      <c r="T1386" s="2035">
        <f t="shared" si="271"/>
        <v>0</v>
      </c>
    </row>
    <row r="1387" spans="1:20" ht="22.2" hidden="1" customHeight="1">
      <c r="A1387" s="59"/>
      <c r="B1387" s="1577" t="s">
        <v>2004</v>
      </c>
      <c r="C1387" s="1013" t="str">
        <f t="shared" si="272"/>
        <v xml:space="preserve"> </v>
      </c>
      <c r="D1387" s="1535">
        <v>2</v>
      </c>
      <c r="E1387" s="1044"/>
      <c r="F1387" s="1056" t="str">
        <f>VLOOKUP($B1387,DG!A:D,DG!$C$2,)</f>
        <v>Yếm cáp dày 2mm</v>
      </c>
      <c r="G1387" s="1044" t="str">
        <f>VLOOKUP($B1387,DG!A:D,DG!$D$2,)</f>
        <v>cái</v>
      </c>
      <c r="H1387" s="1823">
        <f t="shared" si="276"/>
        <v>0</v>
      </c>
      <c r="I1387" s="1823">
        <f t="shared" si="276"/>
        <v>0</v>
      </c>
      <c r="J1387" s="1823">
        <f t="shared" si="276"/>
        <v>0</v>
      </c>
      <c r="K1387" s="1823">
        <f t="shared" si="276"/>
        <v>0</v>
      </c>
      <c r="L1387" s="1823">
        <f t="shared" si="276"/>
        <v>0</v>
      </c>
      <c r="M1387" s="1823">
        <f t="shared" si="276"/>
        <v>0</v>
      </c>
      <c r="N1387" s="1823">
        <f t="shared" si="276"/>
        <v>0</v>
      </c>
      <c r="O1387" s="1823"/>
      <c r="P1387" s="1823"/>
      <c r="Q1387" s="1053"/>
      <c r="R1387" s="1053"/>
      <c r="S1387" s="1053"/>
      <c r="T1387" s="2035">
        <f t="shared" si="271"/>
        <v>0</v>
      </c>
    </row>
    <row r="1388" spans="1:20" ht="22.2" hidden="1" customHeight="1">
      <c r="A1388" s="59"/>
      <c r="B1388" s="1577" t="s">
        <v>1922</v>
      </c>
      <c r="C1388" s="1013" t="str">
        <f t="shared" si="272"/>
        <v xml:space="preserve"> </v>
      </c>
      <c r="D1388" s="1535">
        <f>D1380</f>
        <v>1</v>
      </c>
      <c r="E1388" s="1044" t="str">
        <f>VLOOKUP($B1388,DG!A:D,DG!$B$2,)</f>
        <v>06.3241</v>
      </c>
      <c r="F1388" s="1049" t="str">
        <f>VLOOKUP($B1388,DG!A:D,DG!$C$2,)</f>
        <v>Lắp bộ dây néo</v>
      </c>
      <c r="G1388" s="1044" t="str">
        <f>VLOOKUP($B1388,DG!A:D,DG!$D$2,)</f>
        <v>bộ</v>
      </c>
      <c r="H1388" s="1823"/>
      <c r="I1388" s="1823"/>
      <c r="J1388" s="1823"/>
      <c r="K1388" s="1823"/>
      <c r="L1388" s="1823"/>
      <c r="M1388" s="1823"/>
      <c r="N1388" s="1823"/>
      <c r="O1388" s="1823"/>
      <c r="P1388" s="1823"/>
      <c r="Q1388" s="1058"/>
      <c r="R1388" s="1058"/>
      <c r="S1388" s="1058"/>
      <c r="T1388" s="2035">
        <f t="shared" ref="T1388:T1451" si="277">IFERROR(HLOOKUP(B1388,BangKeTru,3,0),0)</f>
        <v>0</v>
      </c>
    </row>
    <row r="1389" spans="1:20" ht="22.2" hidden="1" customHeight="1">
      <c r="A1389" s="59"/>
      <c r="B1389" s="1577" t="s">
        <v>681</v>
      </c>
      <c r="C1389" s="1013" t="str">
        <f t="shared" si="272"/>
        <v xml:space="preserve"> </v>
      </c>
      <c r="D1389" s="1535">
        <v>1</v>
      </c>
      <c r="E1389" s="1044" t="str">
        <f>VLOOKUP($B1389,DG!A:D,DG!$B$2,)</f>
        <v>06.2110</v>
      </c>
      <c r="F1389" s="1049" t="str">
        <f>VLOOKUP($B1389,DG!A:D,DG!$C$2,)</f>
        <v>Lắp cổ dề</v>
      </c>
      <c r="G1389" s="1044" t="str">
        <f>VLOOKUP($B1389,DG!A:D,DG!$D$2,)</f>
        <v>cái</v>
      </c>
      <c r="H1389" s="1823"/>
      <c r="I1389" s="1823"/>
      <c r="J1389" s="1823"/>
      <c r="K1389" s="1823"/>
      <c r="L1389" s="1823"/>
      <c r="M1389" s="1823"/>
      <c r="N1389" s="1823"/>
      <c r="O1389" s="1823"/>
      <c r="P1389" s="1823"/>
      <c r="Q1389" s="1058"/>
      <c r="R1389" s="1058"/>
      <c r="S1389" s="1058"/>
      <c r="T1389" s="2035">
        <f t="shared" si="277"/>
        <v>0</v>
      </c>
    </row>
    <row r="1390" spans="1:20" ht="22.2" hidden="1" customHeight="1">
      <c r="A1390" s="59"/>
      <c r="B1390" s="1588" t="s">
        <v>356</v>
      </c>
      <c r="C1390" s="1013" t="str">
        <f t="shared" si="272"/>
        <v xml:space="preserve"> </v>
      </c>
      <c r="D1390" s="1534">
        <v>0.02</v>
      </c>
      <c r="E1390" s="1044" t="str">
        <f>VLOOKUP($B1390,DG!A:C,2,)</f>
        <v>02.1421</v>
      </c>
      <c r="F1390" s="1049" t="str">
        <f>VLOOKUP($B1390,DG!A:C,3,)</f>
        <v>V/c phụ kiện vào vị trí (cự ly &lt;=100m)</v>
      </c>
      <c r="G1390" s="1044" t="str">
        <f>VLOOKUP($B1390,DG!A:D,4,0)</f>
        <v>tấn</v>
      </c>
      <c r="H1390" s="1823"/>
      <c r="I1390" s="1823"/>
      <c r="J1390" s="1823"/>
      <c r="K1390" s="1823"/>
      <c r="L1390" s="1823"/>
      <c r="M1390" s="1823"/>
      <c r="N1390" s="1823"/>
      <c r="O1390" s="1823"/>
      <c r="P1390" s="1823"/>
      <c r="Q1390" s="1058"/>
      <c r="R1390" s="1058"/>
      <c r="S1390" s="1058"/>
      <c r="T1390" s="2035">
        <f t="shared" si="277"/>
        <v>0</v>
      </c>
    </row>
    <row r="1391" spans="1:20" ht="22.2" hidden="1" customHeight="1">
      <c r="A1391" s="56" t="s">
        <v>1090</v>
      </c>
      <c r="B1391" s="1574" t="s">
        <v>1090</v>
      </c>
      <c r="C1391" s="1013" t="str">
        <f t="shared" si="272"/>
        <v xml:space="preserve"> </v>
      </c>
      <c r="D1391" s="1532"/>
      <c r="E1391" s="1045"/>
      <c r="F1391" s="1392" t="s">
        <v>2494</v>
      </c>
      <c r="G1391" s="1046" t="s">
        <v>2391</v>
      </c>
      <c r="H1391" s="1821">
        <f>SUM(I1391:O1391)</f>
        <v>0</v>
      </c>
      <c r="I1391" s="1822"/>
      <c r="J1391" s="1822"/>
      <c r="K1391" s="1822">
        <f>IFERROR(HLOOKUP(B1391,pp3p1m!$1:$3,3,0),0)</f>
        <v>0</v>
      </c>
      <c r="L1391" s="1822">
        <f>IFERROR(HLOOKUP(chitiet!B1391,pp1p!$1:$3,3,0),0)</f>
        <v>0</v>
      </c>
      <c r="M1391" s="1822"/>
      <c r="N1391" s="1822"/>
      <c r="O1391" s="1822"/>
      <c r="P1391" s="1822">
        <f>H1391+Q1391-R1391</f>
        <v>0</v>
      </c>
      <c r="Q1391" s="1047"/>
      <c r="R1391" s="1047"/>
      <c r="S1391" s="1047"/>
      <c r="T1391" s="2035">
        <f>IFERROR(HLOOKUP(B1391,pp1p!$1:$3,3,0),0)+IFERROR(HLOOKUP(B1391,pp3p1m!$1:$3,3,0),0)</f>
        <v>0</v>
      </c>
    </row>
    <row r="1392" spans="1:20" ht="22.2" hidden="1" customHeight="1">
      <c r="A1392" s="59"/>
      <c r="B1392" s="1577" t="s">
        <v>669</v>
      </c>
      <c r="C1392" s="1013" t="str">
        <f t="shared" si="272"/>
        <v xml:space="preserve"> </v>
      </c>
      <c r="D1392" s="1535">
        <v>2</v>
      </c>
      <c r="E1392" s="1044"/>
      <c r="F1392" s="1056" t="str">
        <f>VLOOKUP($B1392,DG!A:D,DG!$C$2,)&amp;"-Fe8x100 nhuùng keõm"</f>
        <v>Cổ dê Ø 195 nẹp trụ-Fe8x100 nhuùng keõm</v>
      </c>
      <c r="G1392" s="1044" t="str">
        <f>VLOOKUP($B1392,DG!A:D,DG!$D$2,)</f>
        <v>bộ</v>
      </c>
      <c r="H1392" s="1823">
        <f t="shared" ref="H1392:N1399" si="278">H$1391*$D1392</f>
        <v>0</v>
      </c>
      <c r="I1392" s="1823">
        <f t="shared" si="278"/>
        <v>0</v>
      </c>
      <c r="J1392" s="1823">
        <f t="shared" si="278"/>
        <v>0</v>
      </c>
      <c r="K1392" s="1823">
        <f t="shared" si="278"/>
        <v>0</v>
      </c>
      <c r="L1392" s="1823">
        <f t="shared" si="278"/>
        <v>0</v>
      </c>
      <c r="M1392" s="1823">
        <f t="shared" si="278"/>
        <v>0</v>
      </c>
      <c r="N1392" s="1823">
        <f t="shared" si="278"/>
        <v>0</v>
      </c>
      <c r="O1392" s="1823"/>
      <c r="P1392" s="1823"/>
      <c r="Q1392" s="1053"/>
      <c r="R1392" s="1053"/>
      <c r="S1392" s="1053"/>
      <c r="T1392" s="2035">
        <f t="shared" si="277"/>
        <v>0</v>
      </c>
    </row>
    <row r="1393" spans="1:20" ht="22.2" hidden="1" customHeight="1">
      <c r="A1393" s="59"/>
      <c r="B1393" s="1577" t="s">
        <v>111</v>
      </c>
      <c r="C1393" s="1013" t="str">
        <f t="shared" si="272"/>
        <v xml:space="preserve"> </v>
      </c>
      <c r="D1393" s="1535">
        <v>4</v>
      </c>
      <c r="E1393" s="1044"/>
      <c r="F1393" s="1056" t="str">
        <f>VLOOKUP($B1393,DG!A:D,DG!$C$2,)</f>
        <v>Sứ chằng</v>
      </c>
      <c r="G1393" s="1044" t="str">
        <f>VLOOKUP($B1393,DG!A:D,DG!$D$2,)</f>
        <v>cái</v>
      </c>
      <c r="H1393" s="1823">
        <f t="shared" si="278"/>
        <v>0</v>
      </c>
      <c r="I1393" s="1823">
        <f t="shared" si="278"/>
        <v>0</v>
      </c>
      <c r="J1393" s="1823">
        <f t="shared" si="278"/>
        <v>0</v>
      </c>
      <c r="K1393" s="1823">
        <f t="shared" si="278"/>
        <v>0</v>
      </c>
      <c r="L1393" s="1823">
        <f t="shared" si="278"/>
        <v>0</v>
      </c>
      <c r="M1393" s="1823">
        <f t="shared" si="278"/>
        <v>0</v>
      </c>
      <c r="N1393" s="1823">
        <f t="shared" si="278"/>
        <v>0</v>
      </c>
      <c r="O1393" s="1823"/>
      <c r="P1393" s="1823"/>
      <c r="Q1393" s="1053"/>
      <c r="R1393" s="1053"/>
      <c r="S1393" s="1053"/>
      <c r="T1393" s="2035">
        <f t="shared" si="277"/>
        <v>0</v>
      </c>
    </row>
    <row r="1394" spans="1:20" ht="22.2" hidden="1" customHeight="1">
      <c r="A1394" s="59"/>
      <c r="B1394" s="1577" t="s">
        <v>1581</v>
      </c>
      <c r="C1394" s="1013" t="str">
        <f t="shared" si="272"/>
        <v xml:space="preserve"> </v>
      </c>
      <c r="D1394" s="1535">
        <v>24</v>
      </c>
      <c r="E1394" s="1044"/>
      <c r="F1394" s="1056" t="str">
        <f>VLOOKUP($B1394,DG!A:D,DG!$C$2,)</f>
        <v>Kẹp cáp 3 boulon</v>
      </c>
      <c r="G1394" s="1044" t="str">
        <f>VLOOKUP($B1394,DG!A:D,DG!$D$2,)</f>
        <v>cái</v>
      </c>
      <c r="H1394" s="1823">
        <f t="shared" si="278"/>
        <v>0</v>
      </c>
      <c r="I1394" s="1823">
        <f t="shared" si="278"/>
        <v>0</v>
      </c>
      <c r="J1394" s="1823">
        <f t="shared" si="278"/>
        <v>0</v>
      </c>
      <c r="K1394" s="1823">
        <f t="shared" si="278"/>
        <v>0</v>
      </c>
      <c r="L1394" s="1823">
        <f t="shared" si="278"/>
        <v>0</v>
      </c>
      <c r="M1394" s="1823">
        <f t="shared" si="278"/>
        <v>0</v>
      </c>
      <c r="N1394" s="1823">
        <f t="shared" si="278"/>
        <v>0</v>
      </c>
      <c r="O1394" s="1823"/>
      <c r="P1394" s="1823"/>
      <c r="Q1394" s="1053"/>
      <c r="R1394" s="1053"/>
      <c r="S1394" s="1053"/>
      <c r="T1394" s="2035">
        <f t="shared" si="277"/>
        <v>0</v>
      </c>
    </row>
    <row r="1395" spans="1:20" ht="22.2" hidden="1" customHeight="1">
      <c r="A1395" s="59"/>
      <c r="B1395" s="1594" t="s">
        <v>1049</v>
      </c>
      <c r="C1395" s="1013" t="str">
        <f t="shared" si="272"/>
        <v xml:space="preserve"> </v>
      </c>
      <c r="D1395" s="1535">
        <v>12</v>
      </c>
      <c r="E1395" s="1044"/>
      <c r="F1395" s="1056" t="str">
        <f>VLOOKUP($B1395,DG!A:D,DG!$C$2,)</f>
        <v>Kẹp hotline 4/0</v>
      </c>
      <c r="G1395" s="1044" t="str">
        <f>VLOOKUP($B1395,DG!A:D,DG!$D$2,)</f>
        <v>cái</v>
      </c>
      <c r="H1395" s="1823">
        <f t="shared" si="278"/>
        <v>0</v>
      </c>
      <c r="I1395" s="1823">
        <f t="shared" si="278"/>
        <v>0</v>
      </c>
      <c r="J1395" s="1823">
        <f t="shared" si="278"/>
        <v>0</v>
      </c>
      <c r="K1395" s="1823">
        <f t="shared" si="278"/>
        <v>0</v>
      </c>
      <c r="L1395" s="1823">
        <f t="shared" si="278"/>
        <v>0</v>
      </c>
      <c r="M1395" s="1823">
        <f t="shared" si="278"/>
        <v>0</v>
      </c>
      <c r="N1395" s="1823">
        <f t="shared" si="278"/>
        <v>0</v>
      </c>
      <c r="O1395" s="1823"/>
      <c r="P1395" s="1823"/>
      <c r="Q1395" s="1053"/>
      <c r="R1395" s="1053"/>
      <c r="S1395" s="1053"/>
      <c r="T1395" s="2035">
        <f t="shared" si="277"/>
        <v>0</v>
      </c>
    </row>
    <row r="1396" spans="1:20" ht="22.2" hidden="1" customHeight="1">
      <c r="A1396" s="59"/>
      <c r="B1396" s="1577" t="s">
        <v>279</v>
      </c>
      <c r="C1396" s="1013" t="str">
        <f t="shared" ref="C1396:C1459" si="279">IF(OR(P1396&lt;&gt;0,H1396&lt;&gt;0),"x"," ")</f>
        <v xml:space="preserve"> </v>
      </c>
      <c r="D1396" s="1535">
        <v>8</v>
      </c>
      <c r="E1396" s="1044"/>
      <c r="F1396" s="1056" t="str">
        <f>VLOOKUP($B1396,DG!A:D,DG!$C$2,)</f>
        <v>Sắt dẹt 60 x 6</v>
      </c>
      <c r="G1396" s="1044" t="str">
        <f>VLOOKUP($B1396,DG!A:D,DG!$D$2,)</f>
        <v>kg</v>
      </c>
      <c r="H1396" s="1823">
        <f t="shared" si="278"/>
        <v>0</v>
      </c>
      <c r="I1396" s="1823">
        <f t="shared" si="278"/>
        <v>0</v>
      </c>
      <c r="J1396" s="1823">
        <f t="shared" si="278"/>
        <v>0</v>
      </c>
      <c r="K1396" s="1823">
        <f t="shared" si="278"/>
        <v>0</v>
      </c>
      <c r="L1396" s="1823">
        <f t="shared" si="278"/>
        <v>0</v>
      </c>
      <c r="M1396" s="1823">
        <f t="shared" si="278"/>
        <v>0</v>
      </c>
      <c r="N1396" s="1823">
        <f t="shared" si="278"/>
        <v>0</v>
      </c>
      <c r="O1396" s="1823"/>
      <c r="P1396" s="1823"/>
      <c r="Q1396" s="1053"/>
      <c r="R1396" s="1053"/>
      <c r="S1396" s="1053"/>
      <c r="T1396" s="2035">
        <f t="shared" si="277"/>
        <v>0</v>
      </c>
    </row>
    <row r="1397" spans="1:20" ht="22.2" hidden="1" customHeight="1">
      <c r="A1397" s="59"/>
      <c r="B1397" s="1577" t="s">
        <v>1374</v>
      </c>
      <c r="C1397" s="1013" t="str">
        <f t="shared" si="279"/>
        <v xml:space="preserve"> </v>
      </c>
      <c r="D1397" s="1535">
        <v>6</v>
      </c>
      <c r="E1397" s="1044"/>
      <c r="F1397" s="1056" t="str">
        <f>VLOOKUP($B1397,DG!A:D,DG!$C$2,)</f>
        <v xml:space="preserve">Móc treo chữ U </v>
      </c>
      <c r="G1397" s="1044" t="str">
        <f>VLOOKUP($B1397,DG!A:D,DG!$D$2,)</f>
        <v>cái</v>
      </c>
      <c r="H1397" s="1823">
        <f t="shared" si="278"/>
        <v>0</v>
      </c>
      <c r="I1397" s="1823">
        <f t="shared" si="278"/>
        <v>0</v>
      </c>
      <c r="J1397" s="1823">
        <f t="shared" si="278"/>
        <v>0</v>
      </c>
      <c r="K1397" s="1823">
        <f t="shared" si="278"/>
        <v>0</v>
      </c>
      <c r="L1397" s="1823">
        <f t="shared" si="278"/>
        <v>0</v>
      </c>
      <c r="M1397" s="1823">
        <f t="shared" si="278"/>
        <v>0</v>
      </c>
      <c r="N1397" s="1823">
        <f t="shared" si="278"/>
        <v>0</v>
      </c>
      <c r="O1397" s="1823"/>
      <c r="P1397" s="1823"/>
      <c r="Q1397" s="1053"/>
      <c r="R1397" s="1053"/>
      <c r="S1397" s="1053"/>
      <c r="T1397" s="2035">
        <f t="shared" si="277"/>
        <v>0</v>
      </c>
    </row>
    <row r="1398" spans="1:20" ht="22.2" hidden="1" customHeight="1">
      <c r="A1398" s="59"/>
      <c r="B1398" s="1595" t="s">
        <v>1895</v>
      </c>
      <c r="C1398" s="1013" t="str">
        <f t="shared" si="279"/>
        <v xml:space="preserve"> </v>
      </c>
      <c r="D1398" s="1535">
        <v>4</v>
      </c>
      <c r="E1398" s="1044"/>
      <c r="F1398" s="1056" t="str">
        <f>VLOOKUP($B1398,DG!A:D,DG!$C$2,)</f>
        <v>Boulon 16x100VRS+ 4 long đền vuông D18-50x50x3/Zn</v>
      </c>
      <c r="G1398" s="1044" t="str">
        <f>VLOOKUP($B1398,DG!A:D,DG!$D$2,)</f>
        <v>bộ</v>
      </c>
      <c r="H1398" s="1823">
        <f t="shared" si="278"/>
        <v>0</v>
      </c>
      <c r="I1398" s="1823">
        <f t="shared" si="278"/>
        <v>0</v>
      </c>
      <c r="J1398" s="1823">
        <f t="shared" si="278"/>
        <v>0</v>
      </c>
      <c r="K1398" s="1823">
        <f t="shared" si="278"/>
        <v>0</v>
      </c>
      <c r="L1398" s="1823">
        <f t="shared" si="278"/>
        <v>0</v>
      </c>
      <c r="M1398" s="1823">
        <f t="shared" si="278"/>
        <v>0</v>
      </c>
      <c r="N1398" s="1823">
        <f t="shared" si="278"/>
        <v>0</v>
      </c>
      <c r="O1398" s="1823"/>
      <c r="P1398" s="1823"/>
      <c r="Q1398" s="1053"/>
      <c r="R1398" s="1053"/>
      <c r="S1398" s="1053"/>
      <c r="T1398" s="2035">
        <f t="shared" si="277"/>
        <v>0</v>
      </c>
    </row>
    <row r="1399" spans="1:20" ht="22.2" hidden="1" customHeight="1">
      <c r="A1399" s="59"/>
      <c r="B1399" s="1577" t="s">
        <v>2004</v>
      </c>
      <c r="C1399" s="1013" t="str">
        <f t="shared" si="279"/>
        <v xml:space="preserve"> </v>
      </c>
      <c r="D1399" s="1535">
        <v>4</v>
      </c>
      <c r="E1399" s="1044"/>
      <c r="F1399" s="1056" t="str">
        <f>VLOOKUP($B1399,DG!A:D,DG!$C$2,)</f>
        <v>Yếm cáp dày 2mm</v>
      </c>
      <c r="G1399" s="1044" t="str">
        <f>VLOOKUP($B1399,DG!A:D,DG!$D$2,)</f>
        <v>cái</v>
      </c>
      <c r="H1399" s="1823">
        <f t="shared" si="278"/>
        <v>0</v>
      </c>
      <c r="I1399" s="1823">
        <f t="shared" si="278"/>
        <v>0</v>
      </c>
      <c r="J1399" s="1823">
        <f t="shared" si="278"/>
        <v>0</v>
      </c>
      <c r="K1399" s="1823">
        <f t="shared" si="278"/>
        <v>0</v>
      </c>
      <c r="L1399" s="1823">
        <f t="shared" si="278"/>
        <v>0</v>
      </c>
      <c r="M1399" s="1823">
        <f t="shared" si="278"/>
        <v>0</v>
      </c>
      <c r="N1399" s="1823">
        <f t="shared" si="278"/>
        <v>0</v>
      </c>
      <c r="O1399" s="1823"/>
      <c r="P1399" s="1823"/>
      <c r="Q1399" s="1053"/>
      <c r="R1399" s="1053"/>
      <c r="S1399" s="1053"/>
      <c r="T1399" s="2035">
        <f t="shared" si="277"/>
        <v>0</v>
      </c>
    </row>
    <row r="1400" spans="1:20" ht="22.2" hidden="1" customHeight="1">
      <c r="A1400" s="59"/>
      <c r="B1400" s="1577" t="s">
        <v>1922</v>
      </c>
      <c r="C1400" s="1013" t="str">
        <f t="shared" si="279"/>
        <v xml:space="preserve"> </v>
      </c>
      <c r="D1400" s="1535">
        <v>2</v>
      </c>
      <c r="E1400" s="1044" t="str">
        <f>VLOOKUP($B1400,DG!A:D,DG!$B$2,)</f>
        <v>06.3241</v>
      </c>
      <c r="F1400" s="1049" t="str">
        <f>VLOOKUP($B1400,DG!A:D,DG!$C$2,)</f>
        <v>Lắp bộ dây néo</v>
      </c>
      <c r="G1400" s="1044" t="str">
        <f>VLOOKUP($B1400,DG!A:D,DG!$D$2,)</f>
        <v>bộ</v>
      </c>
      <c r="H1400" s="1823"/>
      <c r="I1400" s="1823"/>
      <c r="J1400" s="1823"/>
      <c r="K1400" s="1823"/>
      <c r="L1400" s="1823"/>
      <c r="M1400" s="1823"/>
      <c r="N1400" s="1823"/>
      <c r="O1400" s="1823"/>
      <c r="P1400" s="1823"/>
      <c r="Q1400" s="1058"/>
      <c r="R1400" s="1058"/>
      <c r="S1400" s="1058"/>
      <c r="T1400" s="2035">
        <f t="shared" si="277"/>
        <v>0</v>
      </c>
    </row>
    <row r="1401" spans="1:20" ht="22.2" hidden="1" customHeight="1">
      <c r="A1401" s="59"/>
      <c r="B1401" s="1577" t="s">
        <v>681</v>
      </c>
      <c r="C1401" s="1013" t="str">
        <f t="shared" si="279"/>
        <v xml:space="preserve"> </v>
      </c>
      <c r="D1401" s="1535">
        <v>2</v>
      </c>
      <c r="E1401" s="1044" t="str">
        <f>VLOOKUP($B1401,DG!A:D,DG!$B$2,)</f>
        <v>06.2110</v>
      </c>
      <c r="F1401" s="1049" t="str">
        <f>VLOOKUP($B1401,DG!A:D,DG!$C$2,)</f>
        <v>Lắp cổ dề</v>
      </c>
      <c r="G1401" s="1044" t="str">
        <f>VLOOKUP($B1401,DG!A:D,DG!$D$2,)</f>
        <v>cái</v>
      </c>
      <c r="H1401" s="1823"/>
      <c r="I1401" s="1823"/>
      <c r="J1401" s="1823"/>
      <c r="K1401" s="1823"/>
      <c r="L1401" s="1823"/>
      <c r="M1401" s="1823"/>
      <c r="N1401" s="1823"/>
      <c r="O1401" s="1823"/>
      <c r="P1401" s="1823"/>
      <c r="Q1401" s="1058"/>
      <c r="R1401" s="1058"/>
      <c r="S1401" s="1058"/>
      <c r="T1401" s="2035">
        <f t="shared" si="277"/>
        <v>0</v>
      </c>
    </row>
    <row r="1402" spans="1:20" ht="22.2" hidden="1" customHeight="1">
      <c r="A1402" s="59"/>
      <c r="B1402" s="1588" t="s">
        <v>356</v>
      </c>
      <c r="C1402" s="1013" t="str">
        <f t="shared" si="279"/>
        <v xml:space="preserve"> </v>
      </c>
      <c r="D1402" s="1534">
        <v>0.02</v>
      </c>
      <c r="E1402" s="1044" t="str">
        <f>VLOOKUP($B1402,DG!A:C,2,)</f>
        <v>02.1421</v>
      </c>
      <c r="F1402" s="1049" t="str">
        <f>VLOOKUP($B1402,DG!A:C,3,)</f>
        <v>V/c phụ kiện vào vị trí (cự ly &lt;=100m)</v>
      </c>
      <c r="G1402" s="1044" t="str">
        <f>VLOOKUP($B1402,DG!A:D,4,0)</f>
        <v>tấn</v>
      </c>
      <c r="H1402" s="1823"/>
      <c r="I1402" s="1823"/>
      <c r="J1402" s="1823"/>
      <c r="K1402" s="1823"/>
      <c r="L1402" s="1823"/>
      <c r="M1402" s="1823"/>
      <c r="N1402" s="1823"/>
      <c r="O1402" s="1823"/>
      <c r="P1402" s="1823"/>
      <c r="Q1402" s="1058"/>
      <c r="R1402" s="1058"/>
      <c r="S1402" s="1058"/>
      <c r="T1402" s="2035">
        <f t="shared" si="277"/>
        <v>0</v>
      </c>
    </row>
    <row r="1403" spans="1:20" ht="22.2" customHeight="1">
      <c r="A1403" s="1581" t="s">
        <v>1495</v>
      </c>
      <c r="B1403" s="1574" t="s">
        <v>1495</v>
      </c>
      <c r="C1403" s="1832" t="str">
        <f t="shared" si="279"/>
        <v>x</v>
      </c>
      <c r="D1403" s="1532"/>
      <c r="E1403" s="1045"/>
      <c r="F1403" s="1392" t="s">
        <v>2495</v>
      </c>
      <c r="G1403" s="1046" t="s">
        <v>2391</v>
      </c>
      <c r="H1403" s="1821">
        <f>SUM(I1403:O1403)</f>
        <v>1</v>
      </c>
      <c r="I1403" s="1822"/>
      <c r="J1403" s="1822"/>
      <c r="K1403" s="1822">
        <f>IFERROR(HLOOKUP(B1403,pp3p1m!$1:$3,3,0),0)</f>
        <v>1</v>
      </c>
      <c r="L1403" s="1822">
        <f>IFERROR(HLOOKUP(chitiet!B1403,pp1p!$1:$3,3,0),0)</f>
        <v>0</v>
      </c>
      <c r="M1403" s="1822"/>
      <c r="N1403" s="1822"/>
      <c r="O1403" s="1822"/>
      <c r="P1403" s="1821">
        <f>H1403+Q1403-R1403</f>
        <v>1</v>
      </c>
      <c r="Q1403" s="1047"/>
      <c r="R1403" s="1047"/>
      <c r="S1403" s="1047"/>
      <c r="T1403" s="2035">
        <f>IFERROR(HLOOKUP(B1403,pp1p!$1:$3,3,0),0)+IFERROR(HLOOKUP(B1403,pp3p1m!$1:$3,3,0),0)</f>
        <v>1</v>
      </c>
    </row>
    <row r="1404" spans="1:20" ht="22.2" customHeight="1">
      <c r="B1404" s="1571" t="s">
        <v>536</v>
      </c>
      <c r="C1404" s="1832" t="str">
        <f t="shared" si="279"/>
        <v>x</v>
      </c>
      <c r="D1404" s="1535">
        <v>1</v>
      </c>
      <c r="E1404" s="1044"/>
      <c r="F1404" s="1056" t="str">
        <f>VLOOKUP($B1404,DG!A:D,DG!$C$2,)</f>
        <v>Ty neo Ø22x2400</v>
      </c>
      <c r="G1404" s="1044" t="str">
        <f>VLOOKUP($B1404,DG!A:D,DG!$D$2,)</f>
        <v>cái</v>
      </c>
      <c r="H1404" s="1823">
        <f t="shared" ref="H1404:N1405" si="280">H$1403*$D1404</f>
        <v>1</v>
      </c>
      <c r="I1404" s="1823">
        <f t="shared" si="280"/>
        <v>0</v>
      </c>
      <c r="J1404" s="1823">
        <f t="shared" si="280"/>
        <v>0</v>
      </c>
      <c r="K1404" s="1823">
        <f t="shared" si="280"/>
        <v>1</v>
      </c>
      <c r="L1404" s="1823">
        <f t="shared" si="280"/>
        <v>0</v>
      </c>
      <c r="M1404" s="1823">
        <f t="shared" si="280"/>
        <v>0</v>
      </c>
      <c r="N1404" s="1823">
        <f t="shared" si="280"/>
        <v>0</v>
      </c>
      <c r="O1404" s="1823"/>
      <c r="P1404" s="1823">
        <f>$P$1403*D1404</f>
        <v>1</v>
      </c>
      <c r="Q1404" s="1053"/>
      <c r="R1404" s="1053">
        <f>$R$1403*D1404</f>
        <v>0</v>
      </c>
      <c r="S1404" s="1053"/>
      <c r="T1404" s="2035">
        <f t="shared" si="277"/>
        <v>0</v>
      </c>
    </row>
    <row r="1405" spans="1:20" ht="22.2" customHeight="1">
      <c r="B1405" s="1571" t="s">
        <v>1292</v>
      </c>
      <c r="C1405" s="1832" t="str">
        <f t="shared" si="279"/>
        <v>x</v>
      </c>
      <c r="D1405" s="1535">
        <v>1</v>
      </c>
      <c r="E1405" s="1044" t="str">
        <f>VLOOKUP($B1405,DG!A:D,DG!$B$2,)</f>
        <v>04.4001</v>
      </c>
      <c r="F1405" s="1056" t="str">
        <f>VLOOKUP($B1405,DG!A:D,DG!$C$2,)</f>
        <v>Neo xòe 8 hướng (dày 3,2mm)</v>
      </c>
      <c r="G1405" s="1044" t="str">
        <f>VLOOKUP($B1405,DG!A:D,DG!$D$2,)</f>
        <v>cái</v>
      </c>
      <c r="H1405" s="1823">
        <f t="shared" si="280"/>
        <v>1</v>
      </c>
      <c r="I1405" s="1823">
        <f t="shared" si="280"/>
        <v>0</v>
      </c>
      <c r="J1405" s="1823">
        <f t="shared" si="280"/>
        <v>0</v>
      </c>
      <c r="K1405" s="1823">
        <f t="shared" si="280"/>
        <v>1</v>
      </c>
      <c r="L1405" s="1823">
        <f t="shared" si="280"/>
        <v>0</v>
      </c>
      <c r="M1405" s="1823">
        <f t="shared" si="280"/>
        <v>0</v>
      </c>
      <c r="N1405" s="1823">
        <f t="shared" si="280"/>
        <v>0</v>
      </c>
      <c r="O1405" s="1823"/>
      <c r="P1405" s="1823">
        <f>$P$1403*D1405</f>
        <v>1</v>
      </c>
      <c r="Q1405" s="1053"/>
      <c r="R1405" s="1053">
        <f>$R$1403*D1405</f>
        <v>0</v>
      </c>
      <c r="S1405" s="1053"/>
      <c r="T1405" s="2035">
        <f t="shared" si="277"/>
        <v>0</v>
      </c>
    </row>
    <row r="1406" spans="1:20" ht="22.2" customHeight="1">
      <c r="B1406" s="1571" t="s">
        <v>639</v>
      </c>
      <c r="C1406" s="1832" t="str">
        <f t="shared" si="279"/>
        <v>x</v>
      </c>
      <c r="D1406" s="1534">
        <v>0.36</v>
      </c>
      <c r="E1406" s="1044" t="str">
        <f>VLOOKUP($B1406,DG!A:D,DG!$B$2,)</f>
        <v>03.1013</v>
      </c>
      <c r="F1406" s="1049" t="str">
        <f>VLOOKUP($B1406,DG!A:D,DG!$C$2,)</f>
        <v>Đào hố móng đất cấp 3 sâu &gt;1m</v>
      </c>
      <c r="G1406" s="1044" t="str">
        <f>VLOOKUP($B1406,DG!A:D,DG!$D$2,)</f>
        <v>m3</v>
      </c>
      <c r="H1406" s="1823">
        <f>H$1403*$D1406</f>
        <v>0.36</v>
      </c>
      <c r="I1406" s="1823"/>
      <c r="J1406" s="1823"/>
      <c r="K1406" s="1823"/>
      <c r="L1406" s="1823"/>
      <c r="M1406" s="1823"/>
      <c r="N1406" s="1823"/>
      <c r="O1406" s="1823"/>
      <c r="P1406" s="1823">
        <f>$P$1403*D1406</f>
        <v>0.36</v>
      </c>
      <c r="Q1406" s="1053"/>
      <c r="R1406" s="1057">
        <f>$R$1403*D1406</f>
        <v>0</v>
      </c>
      <c r="S1406" s="1053"/>
      <c r="T1406" s="2035">
        <f t="shared" si="277"/>
        <v>0</v>
      </c>
    </row>
    <row r="1407" spans="1:20" ht="22.2" customHeight="1">
      <c r="B1407" s="1571" t="s">
        <v>21</v>
      </c>
      <c r="C1407" s="1832" t="str">
        <f t="shared" si="279"/>
        <v>x</v>
      </c>
      <c r="D1407" s="1534">
        <v>0.36</v>
      </c>
      <c r="E1407" s="1044" t="str">
        <f>VLOOKUP($B1407,DG!A:D,DG!$B$2,)</f>
        <v>03.4113</v>
      </c>
      <c r="F1407" s="1049" t="str">
        <f>VLOOKUP($B1407,DG!A:D,DG!$C$2,)</f>
        <v>Đắp đất hố móng, độ chặt k=0,95</v>
      </c>
      <c r="G1407" s="1044" t="str">
        <f>VLOOKUP($B1407,DG!A:D,DG!$D$2,)</f>
        <v>m3</v>
      </c>
      <c r="H1407" s="1823">
        <f>H$1403*$D1407</f>
        <v>0.36</v>
      </c>
      <c r="I1407" s="1823"/>
      <c r="J1407" s="1823"/>
      <c r="K1407" s="1823"/>
      <c r="L1407" s="1823"/>
      <c r="M1407" s="1823"/>
      <c r="N1407" s="1823"/>
      <c r="O1407" s="1823"/>
      <c r="P1407" s="1823">
        <f>$P$1403*D1407</f>
        <v>0.36</v>
      </c>
      <c r="Q1407" s="1053"/>
      <c r="R1407" s="1057">
        <f>$R$1403*D1407</f>
        <v>0</v>
      </c>
      <c r="S1407" s="1053"/>
      <c r="T1407" s="2035">
        <f t="shared" si="277"/>
        <v>0</v>
      </c>
    </row>
    <row r="1408" spans="1:20" ht="22.2" hidden="1" customHeight="1">
      <c r="A1408" s="59"/>
      <c r="B1408" s="1577" t="s">
        <v>747</v>
      </c>
      <c r="C1408" s="1013" t="str">
        <f t="shared" si="279"/>
        <v xml:space="preserve"> </v>
      </c>
      <c r="D1408" s="1533"/>
      <c r="E1408" s="1044" t="str">
        <f>VLOOKUP($B1408,DG!A:D,DG!$B$2,)</f>
        <v>02.3111</v>
      </c>
      <c r="F1408" s="1049" t="str">
        <f>VLOOKUP($B1408,DG!A:D,DG!$C$2,)</f>
        <v>Bốc dỡ neo xèo</v>
      </c>
      <c r="G1408" s="1044" t="str">
        <f>VLOOKUP($B1408,DG!A:D,DG!$D$2,)</f>
        <v>tấn</v>
      </c>
      <c r="H1408" s="1823"/>
      <c r="I1408" s="1823"/>
      <c r="J1408" s="1823"/>
      <c r="K1408" s="1823"/>
      <c r="L1408" s="1823"/>
      <c r="M1408" s="1823"/>
      <c r="N1408" s="1823"/>
      <c r="O1408" s="1823"/>
      <c r="P1408" s="1823"/>
      <c r="Q1408" s="1053"/>
      <c r="R1408" s="1053"/>
      <c r="S1408" s="1053"/>
      <c r="T1408" s="2035">
        <f t="shared" si="277"/>
        <v>0</v>
      </c>
    </row>
    <row r="1409" spans="1:20" ht="22.2" hidden="1" customHeight="1">
      <c r="A1409" s="59"/>
      <c r="B1409" s="1577" t="s">
        <v>1292</v>
      </c>
      <c r="C1409" s="1013" t="str">
        <f t="shared" si="279"/>
        <v xml:space="preserve"> </v>
      </c>
      <c r="D1409" s="1533"/>
      <c r="E1409" s="1044" t="str">
        <f>VLOOKUP($B1409,DG!A:C,2,)</f>
        <v>04.4001</v>
      </c>
      <c r="F1409" s="1056" t="str">
        <f>VLOOKUP($B1409,DG!A:C,3,)</f>
        <v>Neo xòe 8 hướng (dày 3,2mm)</v>
      </c>
      <c r="G1409" s="1044" t="str">
        <f>VLOOKUP($B1409,DG!A:D,4,0)</f>
        <v>cái</v>
      </c>
      <c r="H1409" s="1823"/>
      <c r="I1409" s="1823"/>
      <c r="J1409" s="1823"/>
      <c r="K1409" s="1823"/>
      <c r="L1409" s="1823"/>
      <c r="M1409" s="1823"/>
      <c r="N1409" s="1823"/>
      <c r="O1409" s="1823"/>
      <c r="P1409" s="1823"/>
      <c r="Q1409" s="1058"/>
      <c r="R1409" s="1058"/>
      <c r="S1409" s="1058"/>
      <c r="T1409" s="2035">
        <f t="shared" si="277"/>
        <v>0</v>
      </c>
    </row>
    <row r="1410" spans="1:20" ht="22.2" hidden="1" customHeight="1">
      <c r="A1410" s="59"/>
      <c r="B1410" s="1588" t="s">
        <v>606</v>
      </c>
      <c r="C1410" s="1013" t="str">
        <f t="shared" si="279"/>
        <v xml:space="preserve"> </v>
      </c>
      <c r="D1410" s="1534"/>
      <c r="E1410" s="1044" t="str">
        <f>VLOOKUP($B1410,DG!A:C,2,)</f>
        <v>02.1482</v>
      </c>
      <c r="F1410" s="1049" t="str">
        <f>VLOOKUP($B1410,DG!A:C,3,)</f>
        <v>V/c dụng cụ thi công vào vị trí (cự ly &lt;=100m)</v>
      </c>
      <c r="G1410" s="1044" t="str">
        <f>VLOOKUP($B1410,DG!A:D,4,0)</f>
        <v>tấn</v>
      </c>
      <c r="H1410" s="1823"/>
      <c r="I1410" s="1823"/>
      <c r="J1410" s="1823"/>
      <c r="K1410" s="1823"/>
      <c r="L1410" s="1823"/>
      <c r="M1410" s="1823"/>
      <c r="N1410" s="1823"/>
      <c r="O1410" s="1823"/>
      <c r="P1410" s="1823"/>
      <c r="Q1410" s="1058"/>
      <c r="R1410" s="1058"/>
      <c r="S1410" s="1058"/>
      <c r="T1410" s="2035">
        <f t="shared" si="277"/>
        <v>0</v>
      </c>
    </row>
    <row r="1411" spans="1:20" ht="22.2" hidden="1" customHeight="1">
      <c r="A1411" s="1581" t="s">
        <v>1496</v>
      </c>
      <c r="B1411" s="1574" t="s">
        <v>1496</v>
      </c>
      <c r="C1411" s="1013" t="str">
        <f t="shared" si="279"/>
        <v xml:space="preserve"> </v>
      </c>
      <c r="D1411" s="1532"/>
      <c r="E1411" s="1045"/>
      <c r="F1411" s="1392" t="s">
        <v>2496</v>
      </c>
      <c r="G1411" s="1046" t="s">
        <v>2391</v>
      </c>
      <c r="H1411" s="1821">
        <f>SUM(I1411:O1411)</f>
        <v>0</v>
      </c>
      <c r="I1411" s="1822"/>
      <c r="J1411" s="1822"/>
      <c r="K1411" s="1822">
        <f>IFERROR(HLOOKUP(B1411,pp3p1m!$1:$3,3,0),0)</f>
        <v>0</v>
      </c>
      <c r="L1411" s="1822">
        <f>IFERROR(HLOOKUP(chitiet!B1411,pp1p!$1:$3,3,0),0)</f>
        <v>0</v>
      </c>
      <c r="M1411" s="1822"/>
      <c r="N1411" s="1822"/>
      <c r="O1411" s="1822"/>
      <c r="P1411" s="1822">
        <f>H1411+Q1411-R1411</f>
        <v>0</v>
      </c>
      <c r="Q1411" s="1047"/>
      <c r="R1411" s="1047"/>
      <c r="S1411" s="1047"/>
      <c r="T1411" s="2035">
        <f>IFERROR(HLOOKUP(B1411,pp1p!$1:$3,3,0),0)+IFERROR(HLOOKUP(B1411,pp3p1m!$1:$3,3,0),0)</f>
        <v>0</v>
      </c>
    </row>
    <row r="1412" spans="1:20" ht="22.2" hidden="1" customHeight="1">
      <c r="B1412" s="1571" t="s">
        <v>536</v>
      </c>
      <c r="C1412" s="1013" t="str">
        <f t="shared" si="279"/>
        <v xml:space="preserve"> </v>
      </c>
      <c r="D1412" s="1535">
        <v>1</v>
      </c>
      <c r="E1412" s="1044"/>
      <c r="F1412" s="1056" t="str">
        <f>VLOOKUP($B1412,DG!A:D,DG!$C$2,)</f>
        <v>Ty neo Ø22x2400</v>
      </c>
      <c r="G1412" s="1044" t="str">
        <f>VLOOKUP($B1412,DG!A:D,DG!$D$2,)</f>
        <v>cái</v>
      </c>
      <c r="H1412" s="1823">
        <f t="shared" ref="H1412:N1413" si="281">H$1411*$D1412</f>
        <v>0</v>
      </c>
      <c r="I1412" s="1823">
        <f t="shared" si="281"/>
        <v>0</v>
      </c>
      <c r="J1412" s="1823">
        <f t="shared" si="281"/>
        <v>0</v>
      </c>
      <c r="K1412" s="1823">
        <f t="shared" si="281"/>
        <v>0</v>
      </c>
      <c r="L1412" s="1823">
        <f t="shared" si="281"/>
        <v>0</v>
      </c>
      <c r="M1412" s="1823">
        <f t="shared" si="281"/>
        <v>0</v>
      </c>
      <c r="N1412" s="1823">
        <f t="shared" si="281"/>
        <v>0</v>
      </c>
      <c r="O1412" s="1823"/>
      <c r="P1412" s="1823">
        <f>$P$1411*D1412</f>
        <v>0</v>
      </c>
      <c r="Q1412" s="1053">
        <f>$Q$1411*D1412</f>
        <v>0</v>
      </c>
      <c r="R1412" s="1053"/>
      <c r="S1412" s="1053"/>
      <c r="T1412" s="2035">
        <f t="shared" si="277"/>
        <v>0</v>
      </c>
    </row>
    <row r="1413" spans="1:20" ht="22.2" hidden="1" customHeight="1">
      <c r="B1413" s="1571" t="s">
        <v>1292</v>
      </c>
      <c r="C1413" s="1013" t="str">
        <f t="shared" si="279"/>
        <v xml:space="preserve"> </v>
      </c>
      <c r="D1413" s="1535">
        <v>1</v>
      </c>
      <c r="E1413" s="1044" t="str">
        <f>VLOOKUP($B1413,DG!A:D,DG!$B$2,)</f>
        <v>04.4001</v>
      </c>
      <c r="F1413" s="1056" t="str">
        <f>VLOOKUP($B1413,DG!A:D,DG!$C$2,)</f>
        <v>Neo xòe 8 hướng (dày 3,2mm)</v>
      </c>
      <c r="G1413" s="1044" t="str">
        <f>VLOOKUP($B1413,DG!A:D,DG!$D$2,)</f>
        <v>cái</v>
      </c>
      <c r="H1413" s="1823">
        <f t="shared" si="281"/>
        <v>0</v>
      </c>
      <c r="I1413" s="1823">
        <f t="shared" si="281"/>
        <v>0</v>
      </c>
      <c r="J1413" s="1823">
        <f t="shared" si="281"/>
        <v>0</v>
      </c>
      <c r="K1413" s="1823">
        <f t="shared" si="281"/>
        <v>0</v>
      </c>
      <c r="L1413" s="1823">
        <f t="shared" si="281"/>
        <v>0</v>
      </c>
      <c r="M1413" s="1823">
        <f t="shared" si="281"/>
        <v>0</v>
      </c>
      <c r="N1413" s="1823">
        <f t="shared" si="281"/>
        <v>0</v>
      </c>
      <c r="O1413" s="1823"/>
      <c r="P1413" s="1823">
        <f>$P$1411*D1413</f>
        <v>0</v>
      </c>
      <c r="Q1413" s="1053">
        <f>$Q$1411*D1413</f>
        <v>0</v>
      </c>
      <c r="R1413" s="1053"/>
      <c r="S1413" s="1053"/>
      <c r="T1413" s="2035">
        <f t="shared" si="277"/>
        <v>0</v>
      </c>
    </row>
    <row r="1414" spans="1:20" ht="22.2" hidden="1" customHeight="1">
      <c r="B1414" s="1571" t="s">
        <v>639</v>
      </c>
      <c r="C1414" s="1013" t="str">
        <f t="shared" si="279"/>
        <v xml:space="preserve"> </v>
      </c>
      <c r="D1414" s="1534">
        <v>0.28999999999999998</v>
      </c>
      <c r="E1414" s="1044" t="str">
        <f>VLOOKUP($B1414,DG!A:D,DG!$B$2,)</f>
        <v>03.1013</v>
      </c>
      <c r="F1414" s="1049" t="str">
        <f>VLOOKUP($B1414,DG!A:D,DG!$C$2,)</f>
        <v>Đào hố móng đất cấp 3 sâu &gt;1m</v>
      </c>
      <c r="G1414" s="1044" t="str">
        <f>VLOOKUP($B1414,DG!A:D,DG!$D$2,)</f>
        <v>m3</v>
      </c>
      <c r="H1414" s="1823">
        <f>H$1411*$D1414</f>
        <v>0</v>
      </c>
      <c r="I1414" s="1823"/>
      <c r="J1414" s="1823"/>
      <c r="K1414" s="1823"/>
      <c r="L1414" s="1823"/>
      <c r="M1414" s="1823"/>
      <c r="N1414" s="1823"/>
      <c r="O1414" s="1823"/>
      <c r="P1414" s="1823">
        <f>$P$1411*D1414</f>
        <v>0</v>
      </c>
      <c r="Q1414" s="1057">
        <f>$Q$1411*D1414</f>
        <v>0</v>
      </c>
      <c r="R1414" s="1057"/>
      <c r="S1414" s="1053"/>
      <c r="T1414" s="2035">
        <f t="shared" si="277"/>
        <v>0</v>
      </c>
    </row>
    <row r="1415" spans="1:20" ht="22.2" hidden="1" customHeight="1">
      <c r="B1415" s="1571" t="s">
        <v>21</v>
      </c>
      <c r="C1415" s="1013" t="str">
        <f t="shared" si="279"/>
        <v xml:space="preserve"> </v>
      </c>
      <c r="D1415" s="1534">
        <v>0.28999999999999998</v>
      </c>
      <c r="E1415" s="1044" t="str">
        <f>VLOOKUP($B1415,DG!A:D,DG!$B$2,)</f>
        <v>03.4113</v>
      </c>
      <c r="F1415" s="1049" t="str">
        <f>VLOOKUP($B1415,DG!A:D,DG!$C$2,)</f>
        <v>Đắp đất hố móng, độ chặt k=0,95</v>
      </c>
      <c r="G1415" s="1044" t="str">
        <f>VLOOKUP($B1415,DG!A:D,DG!$D$2,)</f>
        <v>m3</v>
      </c>
      <c r="H1415" s="1823">
        <f>H$1411*$D1415</f>
        <v>0</v>
      </c>
      <c r="I1415" s="1823"/>
      <c r="J1415" s="1823"/>
      <c r="K1415" s="1823"/>
      <c r="L1415" s="1823"/>
      <c r="M1415" s="1823"/>
      <c r="N1415" s="1823"/>
      <c r="O1415" s="1823"/>
      <c r="P1415" s="1823">
        <f>$P$1411*D1415</f>
        <v>0</v>
      </c>
      <c r="Q1415" s="1057">
        <f>$Q$1411*D1415</f>
        <v>0</v>
      </c>
      <c r="R1415" s="1057"/>
      <c r="S1415" s="1053"/>
      <c r="T1415" s="2035">
        <f t="shared" si="277"/>
        <v>0</v>
      </c>
    </row>
    <row r="1416" spans="1:20" ht="22.2" hidden="1" customHeight="1">
      <c r="A1416" s="59"/>
      <c r="B1416" s="1577" t="s">
        <v>747</v>
      </c>
      <c r="C1416" s="1013" t="str">
        <f t="shared" si="279"/>
        <v xml:space="preserve"> </v>
      </c>
      <c r="D1416" s="1534"/>
      <c r="E1416" s="1044" t="str">
        <f>VLOOKUP($B1416,DG!A:D,DG!$B$2,)</f>
        <v>02.3111</v>
      </c>
      <c r="F1416" s="1049" t="str">
        <f>VLOOKUP($B1416,DG!A:D,DG!$C$2,)</f>
        <v>Bốc dỡ neo xèo</v>
      </c>
      <c r="G1416" s="1044" t="str">
        <f>VLOOKUP($B1416,DG!A:D,DG!$D$2,)</f>
        <v>tấn</v>
      </c>
      <c r="H1416" s="1823"/>
      <c r="I1416" s="1823"/>
      <c r="J1416" s="1823"/>
      <c r="K1416" s="1823"/>
      <c r="L1416" s="1823"/>
      <c r="M1416" s="1823"/>
      <c r="N1416" s="1823"/>
      <c r="O1416" s="1823"/>
      <c r="P1416" s="1823"/>
      <c r="Q1416" s="1053"/>
      <c r="R1416" s="1053"/>
      <c r="S1416" s="1053"/>
      <c r="T1416" s="2035">
        <f t="shared" si="277"/>
        <v>0</v>
      </c>
    </row>
    <row r="1417" spans="1:20" ht="22.2" hidden="1" customHeight="1">
      <c r="A1417" s="59"/>
      <c r="B1417" s="1577" t="s">
        <v>1292</v>
      </c>
      <c r="C1417" s="1013" t="str">
        <f t="shared" si="279"/>
        <v xml:space="preserve"> </v>
      </c>
      <c r="D1417" s="1534"/>
      <c r="E1417" s="1044" t="str">
        <f>VLOOKUP($B1417,DG!A:C,2,)</f>
        <v>04.4001</v>
      </c>
      <c r="F1417" s="1056" t="str">
        <f>VLOOKUP($B1417,DG!A:C,3,)</f>
        <v>Neo xòe 8 hướng (dày 3,2mm)</v>
      </c>
      <c r="G1417" s="1044" t="str">
        <f>VLOOKUP($B1417,DG!A:D,4,0)</f>
        <v>cái</v>
      </c>
      <c r="H1417" s="1823"/>
      <c r="I1417" s="1823"/>
      <c r="J1417" s="1823"/>
      <c r="K1417" s="1823"/>
      <c r="L1417" s="1823"/>
      <c r="M1417" s="1823"/>
      <c r="N1417" s="1823"/>
      <c r="O1417" s="1823"/>
      <c r="P1417" s="1823"/>
      <c r="Q1417" s="1058"/>
      <c r="R1417" s="1058"/>
      <c r="S1417" s="1058"/>
      <c r="T1417" s="2035">
        <f t="shared" si="277"/>
        <v>0</v>
      </c>
    </row>
    <row r="1418" spans="1:20" ht="22.2" hidden="1" customHeight="1">
      <c r="A1418" s="59"/>
      <c r="B1418" s="1588" t="s">
        <v>606</v>
      </c>
      <c r="C1418" s="1013" t="str">
        <f t="shared" si="279"/>
        <v xml:space="preserve"> </v>
      </c>
      <c r="D1418" s="1534"/>
      <c r="E1418" s="1044" t="str">
        <f>VLOOKUP($B1418,DG!A:C,2,)</f>
        <v>02.1482</v>
      </c>
      <c r="F1418" s="1049" t="str">
        <f>VLOOKUP($B1418,DG!A:C,3,)</f>
        <v>V/c dụng cụ thi công vào vị trí (cự ly &lt;=100m)</v>
      </c>
      <c r="G1418" s="1044" t="str">
        <f>VLOOKUP($B1418,DG!A:D,4,0)</f>
        <v>tấn</v>
      </c>
      <c r="H1418" s="1823"/>
      <c r="I1418" s="1823"/>
      <c r="J1418" s="1823"/>
      <c r="K1418" s="1823"/>
      <c r="L1418" s="1823"/>
      <c r="M1418" s="1823"/>
      <c r="N1418" s="1823"/>
      <c r="O1418" s="1823"/>
      <c r="P1418" s="1823"/>
      <c r="Q1418" s="1058"/>
      <c r="R1418" s="1058"/>
      <c r="S1418" s="1058"/>
      <c r="T1418" s="2035">
        <f t="shared" si="277"/>
        <v>0</v>
      </c>
    </row>
    <row r="1419" spans="1:20" ht="22.2" hidden="1" customHeight="1">
      <c r="A1419" s="65" t="s">
        <v>1575</v>
      </c>
      <c r="B1419" s="1574" t="s">
        <v>1575</v>
      </c>
      <c r="C1419" s="1013" t="str">
        <f t="shared" si="279"/>
        <v xml:space="preserve"> </v>
      </c>
      <c r="D1419" s="1532"/>
      <c r="E1419" s="1045"/>
      <c r="F1419" s="1392" t="s">
        <v>2497</v>
      </c>
      <c r="G1419" s="1046" t="s">
        <v>2391</v>
      </c>
      <c r="H1419" s="1821">
        <f>SUM(I1419:O1419)</f>
        <v>0</v>
      </c>
      <c r="I1419" s="1822"/>
      <c r="J1419" s="1822"/>
      <c r="K1419" s="1822">
        <f>IFERROR(HLOOKUP(B1419,pp3p1m!$1:$3,3,0),0)</f>
        <v>0</v>
      </c>
      <c r="L1419" s="1822">
        <f>IFERROR(HLOOKUP(chitiet!B1419,pp1p!$1:$3,3,0),0)</f>
        <v>0</v>
      </c>
      <c r="M1419" s="1822"/>
      <c r="N1419" s="1822"/>
      <c r="O1419" s="1822"/>
      <c r="P1419" s="1822">
        <f>H1419+Q1419-R1419</f>
        <v>0</v>
      </c>
      <c r="Q1419" s="1047"/>
      <c r="R1419" s="1047"/>
      <c r="S1419" s="1047"/>
      <c r="T1419" s="2035">
        <f>IFERROR(HLOOKUP(B1419,pp1p!$1:$3,3,0),0)+IFERROR(HLOOKUP(B1419,pp3p1m!$1:$3,3,0),0)</f>
        <v>0</v>
      </c>
    </row>
    <row r="1420" spans="1:20" ht="22.2" hidden="1" customHeight="1">
      <c r="A1420" s="59"/>
      <c r="B1420" s="1577" t="s">
        <v>2003</v>
      </c>
      <c r="C1420" s="1013" t="str">
        <f t="shared" si="279"/>
        <v xml:space="preserve"> </v>
      </c>
      <c r="D1420" s="1535">
        <v>1</v>
      </c>
      <c r="E1420" s="1044"/>
      <c r="F1420" s="1056" t="str">
        <f>VLOOKUP($B1420,DG!A:D,DG!$C$2,)</f>
        <v>Ty neo Ø22x3000</v>
      </c>
      <c r="G1420" s="1044" t="str">
        <f>VLOOKUP($B1420,DG!A:D,DG!$D$2,)</f>
        <v>cái</v>
      </c>
      <c r="H1420" s="1823">
        <f t="shared" ref="H1420:N1422" si="282">H$1419*$D1420</f>
        <v>0</v>
      </c>
      <c r="I1420" s="1823">
        <f t="shared" si="282"/>
        <v>0</v>
      </c>
      <c r="J1420" s="1823">
        <f t="shared" si="282"/>
        <v>0</v>
      </c>
      <c r="K1420" s="1823">
        <f t="shared" si="282"/>
        <v>0</v>
      </c>
      <c r="L1420" s="1823">
        <f t="shared" si="282"/>
        <v>0</v>
      </c>
      <c r="M1420" s="1823">
        <f t="shared" si="282"/>
        <v>0</v>
      </c>
      <c r="N1420" s="1823">
        <f t="shared" si="282"/>
        <v>0</v>
      </c>
      <c r="O1420" s="1823"/>
      <c r="P1420" s="1823"/>
      <c r="Q1420" s="1053"/>
      <c r="R1420" s="1053"/>
      <c r="S1420" s="1053"/>
      <c r="T1420" s="2035">
        <f t="shared" si="277"/>
        <v>0</v>
      </c>
    </row>
    <row r="1421" spans="1:20" ht="22.2" hidden="1" customHeight="1">
      <c r="A1421" s="59"/>
      <c r="B1421" s="1577" t="s">
        <v>1261</v>
      </c>
      <c r="C1421" s="1013" t="str">
        <f t="shared" si="279"/>
        <v xml:space="preserve"> </v>
      </c>
      <c r="D1421" s="1535">
        <v>1</v>
      </c>
      <c r="E1421" s="1044" t="str">
        <f>VLOOKUP($B1421,DG!A:D,DG!$B$2,)</f>
        <v>04.3801</v>
      </c>
      <c r="F1421" s="1056" t="str">
        <f>VLOOKUP($B1421,DG!A:D,DG!$C$2,)</f>
        <v>Đế neo BTCT 200x1200</v>
      </c>
      <c r="G1421" s="1044" t="str">
        <f>VLOOKUP($B1421,DG!A:D,DG!$D$2,)</f>
        <v>cái</v>
      </c>
      <c r="H1421" s="1823">
        <f t="shared" si="282"/>
        <v>0</v>
      </c>
      <c r="I1421" s="1823">
        <f t="shared" si="282"/>
        <v>0</v>
      </c>
      <c r="J1421" s="1823">
        <f t="shared" si="282"/>
        <v>0</v>
      </c>
      <c r="K1421" s="1823">
        <f t="shared" si="282"/>
        <v>0</v>
      </c>
      <c r="L1421" s="1823">
        <f t="shared" si="282"/>
        <v>0</v>
      </c>
      <c r="M1421" s="1823">
        <f t="shared" si="282"/>
        <v>0</v>
      </c>
      <c r="N1421" s="1823">
        <f t="shared" si="282"/>
        <v>0</v>
      </c>
      <c r="O1421" s="1823"/>
      <c r="P1421" s="1823"/>
      <c r="Q1421" s="1053"/>
      <c r="R1421" s="1053"/>
      <c r="S1421" s="1053"/>
      <c r="T1421" s="2035">
        <f t="shared" si="277"/>
        <v>0</v>
      </c>
    </row>
    <row r="1422" spans="1:20" ht="22.2" hidden="1" customHeight="1">
      <c r="A1422" s="59"/>
      <c r="B1422" s="1577" t="s">
        <v>1064</v>
      </c>
      <c r="C1422" s="1013" t="str">
        <f t="shared" si="279"/>
        <v xml:space="preserve"> </v>
      </c>
      <c r="D1422" s="1545">
        <v>1.34</v>
      </c>
      <c r="E1422" s="1044" t="str">
        <f>VLOOKUP($B1422,DG!A:D,DG!$B$2,)</f>
        <v>04.9001</v>
      </c>
      <c r="F1422" s="1056" t="str">
        <f>VLOOKUP($B1422,DG!A:D,DG!$C$2,)</f>
        <v>Bitum</v>
      </c>
      <c r="G1422" s="1044" t="str">
        <f>VLOOKUP($B1422,DG!A:D,DG!$D$2,)</f>
        <v>m2</v>
      </c>
      <c r="H1422" s="1823">
        <f t="shared" si="282"/>
        <v>0</v>
      </c>
      <c r="I1422" s="1823">
        <f t="shared" si="282"/>
        <v>0</v>
      </c>
      <c r="J1422" s="1823">
        <f t="shared" si="282"/>
        <v>0</v>
      </c>
      <c r="K1422" s="1823">
        <f t="shared" si="282"/>
        <v>0</v>
      </c>
      <c r="L1422" s="1823">
        <f t="shared" si="282"/>
        <v>0</v>
      </c>
      <c r="M1422" s="1823">
        <f t="shared" si="282"/>
        <v>0</v>
      </c>
      <c r="N1422" s="1823">
        <f t="shared" si="282"/>
        <v>0</v>
      </c>
      <c r="O1422" s="1823"/>
      <c r="P1422" s="1823"/>
      <c r="Q1422" s="1053"/>
      <c r="R1422" s="1053"/>
      <c r="S1422" s="1053"/>
      <c r="T1422" s="2035">
        <f t="shared" si="277"/>
        <v>0</v>
      </c>
    </row>
    <row r="1423" spans="1:20" ht="22.2" hidden="1" customHeight="1">
      <c r="A1423" s="59"/>
      <c r="B1423" s="1577" t="s">
        <v>639</v>
      </c>
      <c r="C1423" s="1013" t="str">
        <f t="shared" si="279"/>
        <v xml:space="preserve"> </v>
      </c>
      <c r="D1423" s="1534">
        <v>2.71</v>
      </c>
      <c r="E1423" s="1044" t="str">
        <f>VLOOKUP($B1423,DG!A:D,DG!$B$2,)</f>
        <v>03.1013</v>
      </c>
      <c r="F1423" s="1049" t="str">
        <f>VLOOKUP($B1423,DG!A:D,DG!$C$2,)</f>
        <v>Đào hố móng đất cấp 3 sâu &gt;1m</v>
      </c>
      <c r="G1423" s="1044" t="str">
        <f>VLOOKUP($B1423,DG!A:D,DG!$D$2,)</f>
        <v>m3</v>
      </c>
      <c r="H1423" s="1823"/>
      <c r="I1423" s="1823"/>
      <c r="J1423" s="1823"/>
      <c r="K1423" s="1823"/>
      <c r="L1423" s="1823"/>
      <c r="M1423" s="1823"/>
      <c r="N1423" s="1823"/>
      <c r="O1423" s="1823"/>
      <c r="P1423" s="1823"/>
      <c r="Q1423" s="1053"/>
      <c r="R1423" s="1053"/>
      <c r="S1423" s="1053"/>
      <c r="T1423" s="2035">
        <f t="shared" si="277"/>
        <v>0</v>
      </c>
    </row>
    <row r="1424" spans="1:20" ht="22.2" hidden="1" customHeight="1">
      <c r="A1424" s="59"/>
      <c r="B1424" s="1577" t="s">
        <v>21</v>
      </c>
      <c r="C1424" s="1013" t="str">
        <f t="shared" si="279"/>
        <v xml:space="preserve"> </v>
      </c>
      <c r="D1424" s="1534">
        <v>3.23</v>
      </c>
      <c r="E1424" s="1044" t="str">
        <f>VLOOKUP($B1424,DG!A:D,DG!$B$2,)</f>
        <v>03.4113</v>
      </c>
      <c r="F1424" s="1049" t="str">
        <f>VLOOKUP($B1424,DG!A:D,DG!$C$2,)</f>
        <v>Đắp đất hố móng, độ chặt k=0,95</v>
      </c>
      <c r="G1424" s="1044" t="str">
        <f>VLOOKUP($B1424,DG!A:D,DG!$D$2,)</f>
        <v>m3</v>
      </c>
      <c r="H1424" s="1823"/>
      <c r="I1424" s="1823"/>
      <c r="J1424" s="1823"/>
      <c r="K1424" s="1823"/>
      <c r="L1424" s="1823"/>
      <c r="M1424" s="1823"/>
      <c r="N1424" s="1823"/>
      <c r="O1424" s="1823"/>
      <c r="P1424" s="1823"/>
      <c r="Q1424" s="1053"/>
      <c r="R1424" s="1053"/>
      <c r="S1424" s="1053"/>
      <c r="T1424" s="2035">
        <f t="shared" si="277"/>
        <v>0</v>
      </c>
    </row>
    <row r="1425" spans="1:20" ht="22.2" hidden="1" customHeight="1">
      <c r="A1425" s="59"/>
      <c r="B1425" s="1577" t="s">
        <v>637</v>
      </c>
      <c r="C1425" s="1013" t="str">
        <f t="shared" si="279"/>
        <v xml:space="preserve"> </v>
      </c>
      <c r="D1425" s="1534">
        <f>D1426</f>
        <v>8.6999999999999994E-2</v>
      </c>
      <c r="E1425" s="1044" t="str">
        <f>VLOOKUP($B1425,DG!A:D,DG!$B$2,)</f>
        <v>02.1123</v>
      </c>
      <c r="F1425" s="1049" t="str">
        <f>VLOOKUP($B1425,DG!A:D,DG!$C$2,)</f>
        <v>Bốc dỡ đà cản, đế néo</v>
      </c>
      <c r="G1425" s="1044" t="str">
        <f>VLOOKUP($B1425,DG!A:D,DG!$D$2,)</f>
        <v>tấn</v>
      </c>
      <c r="H1425" s="1823"/>
      <c r="I1425" s="1823"/>
      <c r="J1425" s="1823"/>
      <c r="K1425" s="1823"/>
      <c r="L1425" s="1823"/>
      <c r="M1425" s="1823"/>
      <c r="N1425" s="1823"/>
      <c r="O1425" s="1823"/>
      <c r="P1425" s="1823"/>
      <c r="Q1425" s="1053"/>
      <c r="R1425" s="1053"/>
      <c r="S1425" s="1053"/>
      <c r="T1425" s="2035">
        <f t="shared" si="277"/>
        <v>0</v>
      </c>
    </row>
    <row r="1426" spans="1:20" ht="22.2" hidden="1" customHeight="1">
      <c r="A1426" s="59"/>
      <c r="B1426" s="1588" t="s">
        <v>605</v>
      </c>
      <c r="C1426" s="1013" t="str">
        <f t="shared" si="279"/>
        <v xml:space="preserve"> </v>
      </c>
      <c r="D1426" s="1534">
        <v>8.6999999999999994E-2</v>
      </c>
      <c r="E1426" s="1044" t="str">
        <f>VLOOKUP($B1426,DG!A:C,2,)</f>
        <v>02.1451</v>
      </c>
      <c r="F1426" s="1049" t="str">
        <f>VLOOKUP($B1426,DG!A:C,3,)</f>
        <v>V/c đế néo vào vị trí (cự ly &lt;=100m)</v>
      </c>
      <c r="G1426" s="1044" t="str">
        <f>VLOOKUP($B1426,DG!A:D,4,0)</f>
        <v>tấn</v>
      </c>
      <c r="H1426" s="1823"/>
      <c r="I1426" s="1823"/>
      <c r="J1426" s="1823"/>
      <c r="K1426" s="1823"/>
      <c r="L1426" s="1823"/>
      <c r="M1426" s="1823"/>
      <c r="N1426" s="1823"/>
      <c r="O1426" s="1823"/>
      <c r="P1426" s="1823"/>
      <c r="Q1426" s="1058"/>
      <c r="R1426" s="1058"/>
      <c r="S1426" s="1058"/>
      <c r="T1426" s="2035">
        <f t="shared" si="277"/>
        <v>0</v>
      </c>
    </row>
    <row r="1427" spans="1:20" ht="22.2" hidden="1" customHeight="1">
      <c r="A1427" s="59"/>
      <c r="B1427" s="1588" t="s">
        <v>606</v>
      </c>
      <c r="C1427" s="1013" t="str">
        <f t="shared" si="279"/>
        <v xml:space="preserve"> </v>
      </c>
      <c r="D1427" s="1534">
        <v>0.05</v>
      </c>
      <c r="E1427" s="1044" t="str">
        <f>VLOOKUP($B1427,DG!A:C,2,)</f>
        <v>02.1482</v>
      </c>
      <c r="F1427" s="1049" t="str">
        <f>VLOOKUP($B1427,DG!A:C,3,)</f>
        <v>V/c dụng cụ thi công vào vị trí (cự ly &lt;=100m)</v>
      </c>
      <c r="G1427" s="1044" t="str">
        <f>VLOOKUP($B1427,DG!A:D,4,0)</f>
        <v>tấn</v>
      </c>
      <c r="H1427" s="1823"/>
      <c r="I1427" s="1823"/>
      <c r="J1427" s="1823"/>
      <c r="K1427" s="1823"/>
      <c r="L1427" s="1823"/>
      <c r="M1427" s="1823"/>
      <c r="N1427" s="1823"/>
      <c r="O1427" s="1823"/>
      <c r="P1427" s="1823"/>
      <c r="Q1427" s="1058"/>
      <c r="R1427" s="1058"/>
      <c r="S1427" s="1058"/>
      <c r="T1427" s="2035">
        <f t="shared" si="277"/>
        <v>0</v>
      </c>
    </row>
    <row r="1428" spans="1:20" ht="22.2" hidden="1" customHeight="1">
      <c r="A1428" s="56" t="s">
        <v>1091</v>
      </c>
      <c r="B1428" s="1574" t="s">
        <v>1091</v>
      </c>
      <c r="C1428" s="1013" t="str">
        <f t="shared" si="279"/>
        <v xml:space="preserve"> </v>
      </c>
      <c r="D1428" s="1532"/>
      <c r="E1428" s="1045"/>
      <c r="F1428" s="1392" t="s">
        <v>2498</v>
      </c>
      <c r="G1428" s="1046" t="s">
        <v>2391</v>
      </c>
      <c r="H1428" s="1821">
        <f>SUM(I1428:O1428)</f>
        <v>0</v>
      </c>
      <c r="I1428" s="1822"/>
      <c r="J1428" s="1822"/>
      <c r="K1428" s="1822">
        <f>IFERROR(HLOOKUP(B1428,pp3p1m!$1:$3,3,0),0)</f>
        <v>0</v>
      </c>
      <c r="L1428" s="1822">
        <f>IFERROR(HLOOKUP(chitiet!B1428,pp1p!$1:$3,3,0),0)</f>
        <v>0</v>
      </c>
      <c r="M1428" s="1822"/>
      <c r="N1428" s="1822"/>
      <c r="O1428" s="1822"/>
      <c r="P1428" s="1822">
        <f>H1428+Q1428-R1428</f>
        <v>0</v>
      </c>
      <c r="Q1428" s="1047"/>
      <c r="R1428" s="1047"/>
      <c r="S1428" s="1047"/>
      <c r="T1428" s="2035">
        <f>IFERROR(HLOOKUP(B1428,pp1p!$1:$3,3,0),0)+IFERROR(HLOOKUP(B1428,pp3p1m!$1:$3,3,0),0)</f>
        <v>0</v>
      </c>
    </row>
    <row r="1429" spans="1:20" ht="22.2" hidden="1" customHeight="1">
      <c r="A1429" s="59"/>
      <c r="B1429" s="1577" t="s">
        <v>2052</v>
      </c>
      <c r="C1429" s="1013" t="str">
        <f t="shared" si="279"/>
        <v xml:space="preserve"> </v>
      </c>
      <c r="D1429" s="1535">
        <v>1</v>
      </c>
      <c r="E1429" s="1044"/>
      <c r="F1429" s="1056" t="str">
        <f>VLOOKUP($B1429,DG!A:D,DG!$C$2,)</f>
        <v>Ty neo Ø16x1800</v>
      </c>
      <c r="G1429" s="1044" t="str">
        <f>VLOOKUP($B1429,DG!A:D,DG!$D$2,)</f>
        <v>cái</v>
      </c>
      <c r="H1429" s="1823">
        <f t="shared" ref="H1429:N1431" si="283">H$1428*$D1429</f>
        <v>0</v>
      </c>
      <c r="I1429" s="1823">
        <f t="shared" si="283"/>
        <v>0</v>
      </c>
      <c r="J1429" s="1823">
        <f t="shared" si="283"/>
        <v>0</v>
      </c>
      <c r="K1429" s="1823">
        <f t="shared" si="283"/>
        <v>0</v>
      </c>
      <c r="L1429" s="1823">
        <f t="shared" si="283"/>
        <v>0</v>
      </c>
      <c r="M1429" s="1823">
        <f t="shared" si="283"/>
        <v>0</v>
      </c>
      <c r="N1429" s="1823">
        <f t="shared" si="283"/>
        <v>0</v>
      </c>
      <c r="O1429" s="1823"/>
      <c r="P1429" s="1823"/>
      <c r="Q1429" s="1053"/>
      <c r="R1429" s="1053"/>
      <c r="S1429" s="1053"/>
      <c r="T1429" s="2035">
        <f t="shared" si="277"/>
        <v>0</v>
      </c>
    </row>
    <row r="1430" spans="1:20" ht="22.2" hidden="1" customHeight="1">
      <c r="A1430" s="59"/>
      <c r="B1430" s="1577" t="s">
        <v>1261</v>
      </c>
      <c r="C1430" s="1013" t="str">
        <f t="shared" si="279"/>
        <v xml:space="preserve"> </v>
      </c>
      <c r="D1430" s="1535">
        <v>1</v>
      </c>
      <c r="E1430" s="1044" t="str">
        <f>VLOOKUP($B1430,DG!A:D,DG!$B$2,)</f>
        <v>04.3801</v>
      </c>
      <c r="F1430" s="1056" t="str">
        <f>VLOOKUP($B1430,DG!A:D,DG!$C$2,)</f>
        <v>Đế neo BTCT 200x1200</v>
      </c>
      <c r="G1430" s="1044" t="str">
        <f>VLOOKUP($B1430,DG!A:D,DG!$D$2,)</f>
        <v>cái</v>
      </c>
      <c r="H1430" s="1823">
        <f t="shared" si="283"/>
        <v>0</v>
      </c>
      <c r="I1430" s="1823">
        <f t="shared" si="283"/>
        <v>0</v>
      </c>
      <c r="J1430" s="1823">
        <f t="shared" si="283"/>
        <v>0</v>
      </c>
      <c r="K1430" s="1823">
        <f t="shared" si="283"/>
        <v>0</v>
      </c>
      <c r="L1430" s="1823">
        <f t="shared" si="283"/>
        <v>0</v>
      </c>
      <c r="M1430" s="1823">
        <f t="shared" si="283"/>
        <v>0</v>
      </c>
      <c r="N1430" s="1823">
        <f t="shared" si="283"/>
        <v>0</v>
      </c>
      <c r="O1430" s="1823"/>
      <c r="P1430" s="1823"/>
      <c r="Q1430" s="1053"/>
      <c r="R1430" s="1053"/>
      <c r="S1430" s="1053"/>
      <c r="T1430" s="2035">
        <f t="shared" si="277"/>
        <v>0</v>
      </c>
    </row>
    <row r="1431" spans="1:20" ht="22.2" hidden="1" customHeight="1">
      <c r="A1431" s="59"/>
      <c r="B1431" s="1577" t="s">
        <v>1064</v>
      </c>
      <c r="C1431" s="1013" t="str">
        <f t="shared" si="279"/>
        <v xml:space="preserve"> </v>
      </c>
      <c r="D1431" s="1545">
        <v>1.34</v>
      </c>
      <c r="E1431" s="1044" t="str">
        <f>VLOOKUP($B1431,DG!A:D,DG!$B$2,)</f>
        <v>04.9001</v>
      </c>
      <c r="F1431" s="1056" t="str">
        <f>VLOOKUP($B1431,DG!A:D,DG!$C$2,)</f>
        <v>Bitum</v>
      </c>
      <c r="G1431" s="1044" t="str">
        <f>VLOOKUP($B1431,DG!A:D,DG!$D$2,)</f>
        <v>m2</v>
      </c>
      <c r="H1431" s="1823">
        <f t="shared" si="283"/>
        <v>0</v>
      </c>
      <c r="I1431" s="1823">
        <f t="shared" si="283"/>
        <v>0</v>
      </c>
      <c r="J1431" s="1823">
        <f t="shared" si="283"/>
        <v>0</v>
      </c>
      <c r="K1431" s="1823">
        <f t="shared" si="283"/>
        <v>0</v>
      </c>
      <c r="L1431" s="1823">
        <f t="shared" si="283"/>
        <v>0</v>
      </c>
      <c r="M1431" s="1823">
        <f t="shared" si="283"/>
        <v>0</v>
      </c>
      <c r="N1431" s="1823">
        <f t="shared" si="283"/>
        <v>0</v>
      </c>
      <c r="O1431" s="1823"/>
      <c r="P1431" s="1823"/>
      <c r="Q1431" s="1053"/>
      <c r="R1431" s="1053"/>
      <c r="S1431" s="1053"/>
      <c r="T1431" s="2035">
        <f t="shared" si="277"/>
        <v>0</v>
      </c>
    </row>
    <row r="1432" spans="1:20" ht="22.2" hidden="1" customHeight="1">
      <c r="A1432" s="59"/>
      <c r="B1432" s="1577" t="s">
        <v>639</v>
      </c>
      <c r="C1432" s="1013" t="str">
        <f t="shared" si="279"/>
        <v xml:space="preserve"> </v>
      </c>
      <c r="D1432" s="1534">
        <v>2.69</v>
      </c>
      <c r="E1432" s="1044" t="str">
        <f>VLOOKUP($B1432,DG!A:D,DG!$B$2,)</f>
        <v>03.1013</v>
      </c>
      <c r="F1432" s="1049" t="str">
        <f>VLOOKUP($B1432,DG!A:D,DG!$C$2,)</f>
        <v>Đào hố móng đất cấp 3 sâu &gt;1m</v>
      </c>
      <c r="G1432" s="1044" t="str">
        <f>VLOOKUP($B1432,DG!A:D,DG!$D$2,)</f>
        <v>m3</v>
      </c>
      <c r="H1432" s="1823"/>
      <c r="I1432" s="1823"/>
      <c r="J1432" s="1823"/>
      <c r="K1432" s="1823"/>
      <c r="L1432" s="1823"/>
      <c r="M1432" s="1823"/>
      <c r="N1432" s="1823"/>
      <c r="O1432" s="1823"/>
      <c r="P1432" s="1823"/>
      <c r="Q1432" s="1053"/>
      <c r="R1432" s="1053"/>
      <c r="S1432" s="1053"/>
      <c r="T1432" s="2035">
        <f t="shared" si="277"/>
        <v>0</v>
      </c>
    </row>
    <row r="1433" spans="1:20" ht="22.2" hidden="1" customHeight="1">
      <c r="A1433" s="59"/>
      <c r="B1433" s="1577" t="s">
        <v>21</v>
      </c>
      <c r="C1433" s="1013" t="str">
        <f t="shared" si="279"/>
        <v xml:space="preserve"> </v>
      </c>
      <c r="D1433" s="1534">
        <v>3.19</v>
      </c>
      <c r="E1433" s="1044" t="str">
        <f>VLOOKUP($B1433,DG!A:D,DG!$B$2,)</f>
        <v>03.4113</v>
      </c>
      <c r="F1433" s="1049" t="str">
        <f>VLOOKUP($B1433,DG!A:D,DG!$C$2,)</f>
        <v>Đắp đất hố móng, độ chặt k=0,95</v>
      </c>
      <c r="G1433" s="1044" t="str">
        <f>VLOOKUP($B1433,DG!A:D,DG!$D$2,)</f>
        <v>m3</v>
      </c>
      <c r="H1433" s="1823"/>
      <c r="I1433" s="1823"/>
      <c r="J1433" s="1823"/>
      <c r="K1433" s="1823"/>
      <c r="L1433" s="1823"/>
      <c r="M1433" s="1823"/>
      <c r="N1433" s="1823"/>
      <c r="O1433" s="1823"/>
      <c r="P1433" s="1823"/>
      <c r="Q1433" s="1053"/>
      <c r="R1433" s="1053"/>
      <c r="S1433" s="1053"/>
      <c r="T1433" s="2035">
        <f t="shared" si="277"/>
        <v>0</v>
      </c>
    </row>
    <row r="1434" spans="1:20" ht="22.2" hidden="1" customHeight="1">
      <c r="A1434" s="59"/>
      <c r="B1434" s="1577" t="s">
        <v>637</v>
      </c>
      <c r="C1434" s="1013" t="str">
        <f t="shared" si="279"/>
        <v xml:space="preserve"> </v>
      </c>
      <c r="D1434" s="1534">
        <f>D1435</f>
        <v>8.6999999999999994E-2</v>
      </c>
      <c r="E1434" s="1044" t="str">
        <f>VLOOKUP($B1434,DG!A:D,DG!$B$2,)</f>
        <v>02.1123</v>
      </c>
      <c r="F1434" s="1049" t="str">
        <f>VLOOKUP($B1434,DG!A:D,DG!$C$2,)</f>
        <v>Bốc dỡ đà cản, đế néo</v>
      </c>
      <c r="G1434" s="1044" t="str">
        <f>VLOOKUP($B1434,DG!A:D,DG!$D$2,)</f>
        <v>tấn</v>
      </c>
      <c r="H1434" s="1823"/>
      <c r="I1434" s="1823"/>
      <c r="J1434" s="1823"/>
      <c r="K1434" s="1823"/>
      <c r="L1434" s="1823"/>
      <c r="M1434" s="1823"/>
      <c r="N1434" s="1823"/>
      <c r="O1434" s="1823"/>
      <c r="P1434" s="1823"/>
      <c r="Q1434" s="1053"/>
      <c r="R1434" s="1053"/>
      <c r="S1434" s="1053"/>
      <c r="T1434" s="2035">
        <f t="shared" si="277"/>
        <v>0</v>
      </c>
    </row>
    <row r="1435" spans="1:20" ht="22.2" hidden="1" customHeight="1">
      <c r="A1435" s="59"/>
      <c r="B1435" s="1588" t="s">
        <v>605</v>
      </c>
      <c r="C1435" s="1013" t="str">
        <f t="shared" si="279"/>
        <v xml:space="preserve"> </v>
      </c>
      <c r="D1435" s="1534">
        <v>8.6999999999999994E-2</v>
      </c>
      <c r="E1435" s="1044" t="str">
        <f>VLOOKUP($B1435,DG!A:C,2,)</f>
        <v>02.1451</v>
      </c>
      <c r="F1435" s="1049" t="str">
        <f>VLOOKUP($B1435,DG!A:C,3,)</f>
        <v>V/c đế néo vào vị trí (cự ly &lt;=100m)</v>
      </c>
      <c r="G1435" s="1044" t="str">
        <f>VLOOKUP($B1435,DG!A:D,4,0)</f>
        <v>tấn</v>
      </c>
      <c r="H1435" s="1823"/>
      <c r="I1435" s="1823"/>
      <c r="J1435" s="1823"/>
      <c r="K1435" s="1823"/>
      <c r="L1435" s="1823"/>
      <c r="M1435" s="1823"/>
      <c r="N1435" s="1823"/>
      <c r="O1435" s="1823"/>
      <c r="P1435" s="1823"/>
      <c r="Q1435" s="1058"/>
      <c r="R1435" s="1058"/>
      <c r="S1435" s="1058"/>
      <c r="T1435" s="2035">
        <f t="shared" si="277"/>
        <v>0</v>
      </c>
    </row>
    <row r="1436" spans="1:20" ht="22.2" hidden="1" customHeight="1">
      <c r="A1436" s="59"/>
      <c r="B1436" s="1588" t="s">
        <v>606</v>
      </c>
      <c r="C1436" s="1013" t="str">
        <f t="shared" si="279"/>
        <v xml:space="preserve"> </v>
      </c>
      <c r="D1436" s="1534">
        <v>0.05</v>
      </c>
      <c r="E1436" s="1044" t="str">
        <f>VLOOKUP($B1436,DG!A:C,2,)</f>
        <v>02.1482</v>
      </c>
      <c r="F1436" s="1049" t="str">
        <f>VLOOKUP($B1436,DG!A:C,3,)</f>
        <v>V/c dụng cụ thi công vào vị trí (cự ly &lt;=100m)</v>
      </c>
      <c r="G1436" s="1044" t="str">
        <f>VLOOKUP($B1436,DG!A:D,4,0)</f>
        <v>tấn</v>
      </c>
      <c r="H1436" s="1823"/>
      <c r="I1436" s="1823"/>
      <c r="J1436" s="1823"/>
      <c r="K1436" s="1823"/>
      <c r="L1436" s="1823"/>
      <c r="M1436" s="1823"/>
      <c r="N1436" s="1823"/>
      <c r="O1436" s="1823"/>
      <c r="P1436" s="1823"/>
      <c r="Q1436" s="1058"/>
      <c r="R1436" s="1058"/>
      <c r="S1436" s="1058"/>
      <c r="T1436" s="2035">
        <f t="shared" si="277"/>
        <v>0</v>
      </c>
    </row>
    <row r="1437" spans="1:20" ht="22.2" hidden="1" customHeight="1">
      <c r="A1437" s="965" t="s">
        <v>2152</v>
      </c>
      <c r="B1437" s="1574" t="s">
        <v>2152</v>
      </c>
      <c r="C1437" s="1013" t="str">
        <f t="shared" si="279"/>
        <v xml:space="preserve"> </v>
      </c>
      <c r="D1437" s="1532"/>
      <c r="E1437" s="1045"/>
      <c r="F1437" s="1392" t="s">
        <v>2499</v>
      </c>
      <c r="G1437" s="1046" t="s">
        <v>2391</v>
      </c>
      <c r="H1437" s="1821">
        <f>SUM(I1437:O1437)</f>
        <v>0</v>
      </c>
      <c r="I1437" s="1822"/>
      <c r="J1437" s="1822"/>
      <c r="K1437" s="1822">
        <f>IFERROR(HLOOKUP(B1437,pp3p1m!$1:$3,3,0),0)</f>
        <v>0</v>
      </c>
      <c r="L1437" s="1822">
        <f>IFERROR(HLOOKUP(chitiet!B1437,pp1p!$1:$3,3,0),0)</f>
        <v>0</v>
      </c>
      <c r="M1437" s="1822"/>
      <c r="N1437" s="1822"/>
      <c r="O1437" s="1822"/>
      <c r="P1437" s="1822">
        <f>H1437+Q1437-R1437</f>
        <v>0</v>
      </c>
      <c r="Q1437" s="1047"/>
      <c r="R1437" s="1047"/>
      <c r="S1437" s="1047"/>
      <c r="T1437" s="2035">
        <f>IFERROR(HLOOKUP(B1437,pp1p!$1:$3,3,0),0)+IFERROR(HLOOKUP(B1437,pp3p1m!$1:$3,3,0),0)</f>
        <v>0</v>
      </c>
    </row>
    <row r="1438" spans="1:20" ht="22.2" hidden="1" customHeight="1">
      <c r="A1438" s="59"/>
      <c r="B1438" s="1577" t="s">
        <v>113</v>
      </c>
      <c r="C1438" s="1013" t="str">
        <f t="shared" si="279"/>
        <v xml:space="preserve"> </v>
      </c>
      <c r="D1438" s="1535">
        <v>1</v>
      </c>
      <c r="E1438" s="1044"/>
      <c r="F1438" s="1056" t="str">
        <f>VLOOKUP($B1438,DG!A:D,DG!$C$2,)</f>
        <v>Ty neo Ø22x3700</v>
      </c>
      <c r="G1438" s="1044" t="str">
        <f>VLOOKUP($B1438,DG!A:D,DG!$D$2,)</f>
        <v>cái</v>
      </c>
      <c r="H1438" s="1823">
        <f t="shared" ref="H1438:N1440" si="284">H$1437*$D1438</f>
        <v>0</v>
      </c>
      <c r="I1438" s="1823">
        <f t="shared" si="284"/>
        <v>0</v>
      </c>
      <c r="J1438" s="1823">
        <f t="shared" si="284"/>
        <v>0</v>
      </c>
      <c r="K1438" s="1823">
        <f t="shared" si="284"/>
        <v>0</v>
      </c>
      <c r="L1438" s="1823">
        <f t="shared" si="284"/>
        <v>0</v>
      </c>
      <c r="M1438" s="1823">
        <f t="shared" si="284"/>
        <v>0</v>
      </c>
      <c r="N1438" s="1823">
        <f t="shared" si="284"/>
        <v>0</v>
      </c>
      <c r="O1438" s="1823"/>
      <c r="P1438" s="1823"/>
      <c r="Q1438" s="1053"/>
      <c r="R1438" s="1053"/>
      <c r="S1438" s="1053"/>
      <c r="T1438" s="2035">
        <f t="shared" si="277"/>
        <v>0</v>
      </c>
    </row>
    <row r="1439" spans="1:20" ht="22.2" hidden="1" customHeight="1">
      <c r="A1439" s="59"/>
      <c r="B1439" s="1577" t="s">
        <v>342</v>
      </c>
      <c r="C1439" s="1013" t="str">
        <f t="shared" si="279"/>
        <v xml:space="preserve"> </v>
      </c>
      <c r="D1439" s="1535">
        <v>1</v>
      </c>
      <c r="E1439" s="1044" t="str">
        <f>VLOOKUP($B1439,DG!A:D,DG!$B$2,)</f>
        <v>04.3801</v>
      </c>
      <c r="F1439" s="1056" t="str">
        <f>VLOOKUP($B1439,DG!A:D,DG!$C$2,)</f>
        <v>Đế neo BTCT 400x1200</v>
      </c>
      <c r="G1439" s="1044" t="str">
        <f>VLOOKUP($B1439,DG!A:D,DG!$D$2,)</f>
        <v>cái</v>
      </c>
      <c r="H1439" s="1823">
        <f t="shared" si="284"/>
        <v>0</v>
      </c>
      <c r="I1439" s="1823">
        <f t="shared" si="284"/>
        <v>0</v>
      </c>
      <c r="J1439" s="1823">
        <f t="shared" si="284"/>
        <v>0</v>
      </c>
      <c r="K1439" s="1823">
        <f t="shared" si="284"/>
        <v>0</v>
      </c>
      <c r="L1439" s="1823">
        <f t="shared" si="284"/>
        <v>0</v>
      </c>
      <c r="M1439" s="1823">
        <f t="shared" si="284"/>
        <v>0</v>
      </c>
      <c r="N1439" s="1823">
        <f t="shared" si="284"/>
        <v>0</v>
      </c>
      <c r="O1439" s="1823"/>
      <c r="P1439" s="1823"/>
      <c r="Q1439" s="1053"/>
      <c r="R1439" s="1053"/>
      <c r="S1439" s="1053"/>
      <c r="T1439" s="2035">
        <f t="shared" si="277"/>
        <v>0</v>
      </c>
    </row>
    <row r="1440" spans="1:20" ht="22.2" hidden="1" customHeight="1">
      <c r="A1440" s="59"/>
      <c r="B1440" s="1577" t="s">
        <v>1064</v>
      </c>
      <c r="C1440" s="1013" t="str">
        <f t="shared" si="279"/>
        <v xml:space="preserve"> </v>
      </c>
      <c r="D1440" s="1545">
        <v>1.58</v>
      </c>
      <c r="E1440" s="1044" t="str">
        <f>VLOOKUP($B1440,DG!A:D,DG!$B$2,)</f>
        <v>04.9001</v>
      </c>
      <c r="F1440" s="1056" t="str">
        <f>VLOOKUP($B1440,DG!A:D,DG!$C$2,)</f>
        <v>Bitum</v>
      </c>
      <c r="G1440" s="1044" t="str">
        <f>VLOOKUP($B1440,DG!A:D,DG!$D$2,)</f>
        <v>m2</v>
      </c>
      <c r="H1440" s="1823">
        <f t="shared" si="284"/>
        <v>0</v>
      </c>
      <c r="I1440" s="1823">
        <f t="shared" si="284"/>
        <v>0</v>
      </c>
      <c r="J1440" s="1823">
        <f t="shared" si="284"/>
        <v>0</v>
      </c>
      <c r="K1440" s="1823">
        <f t="shared" si="284"/>
        <v>0</v>
      </c>
      <c r="L1440" s="1823">
        <f t="shared" si="284"/>
        <v>0</v>
      </c>
      <c r="M1440" s="1823">
        <f t="shared" si="284"/>
        <v>0</v>
      </c>
      <c r="N1440" s="1823">
        <f t="shared" si="284"/>
        <v>0</v>
      </c>
      <c r="O1440" s="1823"/>
      <c r="P1440" s="1823"/>
      <c r="Q1440" s="1053"/>
      <c r="R1440" s="1053"/>
      <c r="S1440" s="1053"/>
      <c r="T1440" s="2035">
        <f t="shared" si="277"/>
        <v>0</v>
      </c>
    </row>
    <row r="1441" spans="1:20" ht="22.2" hidden="1" customHeight="1">
      <c r="A1441" s="59"/>
      <c r="B1441" s="1577" t="s">
        <v>639</v>
      </c>
      <c r="C1441" s="1013" t="str">
        <f t="shared" si="279"/>
        <v xml:space="preserve"> </v>
      </c>
      <c r="D1441" s="1534">
        <v>9.39</v>
      </c>
      <c r="E1441" s="1044" t="str">
        <f>VLOOKUP($B1441,DG!A:D,DG!$B$2,)</f>
        <v>03.1013</v>
      </c>
      <c r="F1441" s="1049" t="str">
        <f>VLOOKUP($B1441,DG!A:D,DG!$C$2,)</f>
        <v>Đào hố móng đất cấp 3 sâu &gt;1m</v>
      </c>
      <c r="G1441" s="1044" t="str">
        <f>VLOOKUP($B1441,DG!A:D,DG!$D$2,)</f>
        <v>m3</v>
      </c>
      <c r="H1441" s="1823"/>
      <c r="I1441" s="1823"/>
      <c r="J1441" s="1823"/>
      <c r="K1441" s="1823"/>
      <c r="L1441" s="1823"/>
      <c r="M1441" s="1823"/>
      <c r="N1441" s="1823"/>
      <c r="O1441" s="1823"/>
      <c r="P1441" s="1823"/>
      <c r="Q1441" s="1053"/>
      <c r="R1441" s="1053"/>
      <c r="S1441" s="1053"/>
      <c r="T1441" s="2035">
        <f t="shared" si="277"/>
        <v>0</v>
      </c>
    </row>
    <row r="1442" spans="1:20" ht="22.2" hidden="1" customHeight="1">
      <c r="A1442" s="59"/>
      <c r="B1442" s="1577" t="s">
        <v>21</v>
      </c>
      <c r="C1442" s="1013" t="str">
        <f t="shared" si="279"/>
        <v xml:space="preserve"> </v>
      </c>
      <c r="D1442" s="1534">
        <v>10.7</v>
      </c>
      <c r="E1442" s="1044" t="str">
        <f>VLOOKUP($B1442,DG!A:D,DG!$B$2,)</f>
        <v>03.4113</v>
      </c>
      <c r="F1442" s="1049" t="str">
        <f>VLOOKUP($B1442,DG!A:D,DG!$C$2,)</f>
        <v>Đắp đất hố móng, độ chặt k=0,95</v>
      </c>
      <c r="G1442" s="1044" t="str">
        <f>VLOOKUP($B1442,DG!A:D,DG!$D$2,)</f>
        <v>m3</v>
      </c>
      <c r="H1442" s="1823"/>
      <c r="I1442" s="1823"/>
      <c r="J1442" s="1823"/>
      <c r="K1442" s="1823"/>
      <c r="L1442" s="1823"/>
      <c r="M1442" s="1823"/>
      <c r="N1442" s="1823"/>
      <c r="O1442" s="1823"/>
      <c r="P1442" s="1823"/>
      <c r="Q1442" s="1053"/>
      <c r="R1442" s="1053"/>
      <c r="S1442" s="1053"/>
      <c r="T1442" s="2035">
        <f t="shared" si="277"/>
        <v>0</v>
      </c>
    </row>
    <row r="1443" spans="1:20" ht="22.2" hidden="1" customHeight="1">
      <c r="A1443" s="59"/>
      <c r="B1443" s="1577" t="s">
        <v>637</v>
      </c>
      <c r="C1443" s="1013" t="str">
        <f t="shared" si="279"/>
        <v xml:space="preserve"> </v>
      </c>
      <c r="D1443" s="1534">
        <f>D1444</f>
        <v>0.17399999999999999</v>
      </c>
      <c r="E1443" s="1044" t="str">
        <f>VLOOKUP($B1443,DG!A:D,DG!$B$2,)</f>
        <v>02.1123</v>
      </c>
      <c r="F1443" s="1049" t="str">
        <f>VLOOKUP($B1443,DG!A:D,DG!$C$2,)</f>
        <v>Bốc dỡ đà cản, đế néo</v>
      </c>
      <c r="G1443" s="1044" t="str">
        <f>VLOOKUP($B1443,DG!A:D,DG!$D$2,)</f>
        <v>tấn</v>
      </c>
      <c r="H1443" s="1823"/>
      <c r="I1443" s="1823"/>
      <c r="J1443" s="1823"/>
      <c r="K1443" s="1823"/>
      <c r="L1443" s="1823"/>
      <c r="M1443" s="1823"/>
      <c r="N1443" s="1823"/>
      <c r="O1443" s="1823"/>
      <c r="P1443" s="1823"/>
      <c r="Q1443" s="1053"/>
      <c r="R1443" s="1053"/>
      <c r="S1443" s="1053"/>
      <c r="T1443" s="2035">
        <f t="shared" si="277"/>
        <v>0</v>
      </c>
    </row>
    <row r="1444" spans="1:20" ht="22.2" hidden="1" customHeight="1">
      <c r="A1444" s="59"/>
      <c r="B1444" s="1588" t="s">
        <v>605</v>
      </c>
      <c r="C1444" s="1013" t="str">
        <f t="shared" si="279"/>
        <v xml:space="preserve"> </v>
      </c>
      <c r="D1444" s="1534">
        <v>0.17399999999999999</v>
      </c>
      <c r="E1444" s="1044" t="str">
        <f>VLOOKUP($B1444,DG!A:C,2,)</f>
        <v>02.1451</v>
      </c>
      <c r="F1444" s="1049" t="str">
        <f>VLOOKUP($B1444,DG!A:C,3,)</f>
        <v>V/c đế néo vào vị trí (cự ly &lt;=100m)</v>
      </c>
      <c r="G1444" s="1044" t="str">
        <f>VLOOKUP($B1444,DG!A:D,4,0)</f>
        <v>tấn</v>
      </c>
      <c r="H1444" s="1823"/>
      <c r="I1444" s="1823"/>
      <c r="J1444" s="1823"/>
      <c r="K1444" s="1823"/>
      <c r="L1444" s="1823"/>
      <c r="M1444" s="1823"/>
      <c r="N1444" s="1823"/>
      <c r="O1444" s="1823"/>
      <c r="P1444" s="1823"/>
      <c r="Q1444" s="1058"/>
      <c r="R1444" s="1058"/>
      <c r="S1444" s="1058"/>
      <c r="T1444" s="2035">
        <f t="shared" si="277"/>
        <v>0</v>
      </c>
    </row>
    <row r="1445" spans="1:20" ht="22.2" hidden="1" customHeight="1">
      <c r="A1445" s="59"/>
      <c r="B1445" s="1588" t="s">
        <v>606</v>
      </c>
      <c r="C1445" s="1013" t="str">
        <f t="shared" si="279"/>
        <v xml:space="preserve"> </v>
      </c>
      <c r="D1445" s="1534">
        <v>0.05</v>
      </c>
      <c r="E1445" s="1044" t="str">
        <f>VLOOKUP($B1445,DG!A:C,2,)</f>
        <v>02.1482</v>
      </c>
      <c r="F1445" s="1049" t="str">
        <f>VLOOKUP($B1445,DG!A:C,3,)</f>
        <v>V/c dụng cụ thi công vào vị trí (cự ly &lt;=100m)</v>
      </c>
      <c r="G1445" s="1044" t="str">
        <f>VLOOKUP($B1445,DG!A:D,4,0)</f>
        <v>tấn</v>
      </c>
      <c r="H1445" s="1823"/>
      <c r="I1445" s="1823"/>
      <c r="J1445" s="1823"/>
      <c r="K1445" s="1823"/>
      <c r="L1445" s="1823"/>
      <c r="M1445" s="1823"/>
      <c r="N1445" s="1823"/>
      <c r="O1445" s="1823"/>
      <c r="P1445" s="1823"/>
      <c r="Q1445" s="1058"/>
      <c r="R1445" s="1058"/>
      <c r="S1445" s="1058"/>
      <c r="T1445" s="2035">
        <f t="shared" si="277"/>
        <v>0</v>
      </c>
    </row>
    <row r="1446" spans="1:20" ht="22.2" hidden="1" customHeight="1">
      <c r="A1446" s="965" t="s">
        <v>1092</v>
      </c>
      <c r="B1446" s="1574" t="s">
        <v>1092</v>
      </c>
      <c r="C1446" s="1013" t="str">
        <f t="shared" si="279"/>
        <v xml:space="preserve"> </v>
      </c>
      <c r="D1446" s="1532"/>
      <c r="E1446" s="1045"/>
      <c r="F1446" s="1392" t="s">
        <v>2500</v>
      </c>
      <c r="G1446" s="1046" t="s">
        <v>2391</v>
      </c>
      <c r="H1446" s="1821">
        <f>SUM(I1446:O1446)</f>
        <v>0</v>
      </c>
      <c r="I1446" s="1822"/>
      <c r="J1446" s="1822"/>
      <c r="K1446" s="1822">
        <f>IFERROR(HLOOKUP(B1446,pp3p1m!$1:$3,3,0),0)</f>
        <v>0</v>
      </c>
      <c r="L1446" s="1822">
        <f>IFERROR(HLOOKUP(chitiet!B1446,pp1p!$1:$3,3,0),0)</f>
        <v>0</v>
      </c>
      <c r="M1446" s="1822"/>
      <c r="N1446" s="1822"/>
      <c r="O1446" s="1822"/>
      <c r="P1446" s="1822">
        <f>H1446+Q1446-R1446</f>
        <v>0</v>
      </c>
      <c r="Q1446" s="1047"/>
      <c r="R1446" s="1047"/>
      <c r="S1446" s="1047"/>
      <c r="T1446" s="2035">
        <f>IFERROR(HLOOKUP(B1446,pp1p!$1:$3,3,0),0)+IFERROR(HLOOKUP(B1446,pp3p1m!$1:$3,3,0),0)</f>
        <v>0</v>
      </c>
    </row>
    <row r="1447" spans="1:20" ht="22.2" hidden="1" customHeight="1">
      <c r="A1447" s="59"/>
      <c r="B1447" s="1577" t="s">
        <v>2003</v>
      </c>
      <c r="C1447" s="1013" t="str">
        <f t="shared" si="279"/>
        <v xml:space="preserve"> </v>
      </c>
      <c r="D1447" s="1535">
        <v>1</v>
      </c>
      <c r="E1447" s="1044"/>
      <c r="F1447" s="1056" t="str">
        <f>VLOOKUP($B1447,DG!A:D,DG!$C$2,)</f>
        <v>Ty neo Ø22x3000</v>
      </c>
      <c r="G1447" s="1044" t="str">
        <f>VLOOKUP($B1447,DG!A:D,DG!$D$2,)</f>
        <v>cái</v>
      </c>
      <c r="H1447" s="1823">
        <f t="shared" ref="H1447:N1449" si="285">H$1446*$D1447</f>
        <v>0</v>
      </c>
      <c r="I1447" s="1823">
        <f t="shared" si="285"/>
        <v>0</v>
      </c>
      <c r="J1447" s="1823">
        <f t="shared" si="285"/>
        <v>0</v>
      </c>
      <c r="K1447" s="1823">
        <f t="shared" si="285"/>
        <v>0</v>
      </c>
      <c r="L1447" s="1823">
        <f t="shared" si="285"/>
        <v>0</v>
      </c>
      <c r="M1447" s="1823">
        <f t="shared" si="285"/>
        <v>0</v>
      </c>
      <c r="N1447" s="1823">
        <f t="shared" si="285"/>
        <v>0</v>
      </c>
      <c r="O1447" s="1823"/>
      <c r="P1447" s="1823"/>
      <c r="Q1447" s="1053"/>
      <c r="R1447" s="1053"/>
      <c r="S1447" s="1053"/>
      <c r="T1447" s="2035">
        <f t="shared" si="277"/>
        <v>0</v>
      </c>
    </row>
    <row r="1448" spans="1:20" ht="22.2" hidden="1" customHeight="1">
      <c r="A1448" s="59"/>
      <c r="B1448" s="1577" t="s">
        <v>342</v>
      </c>
      <c r="C1448" s="1013" t="str">
        <f t="shared" si="279"/>
        <v xml:space="preserve"> </v>
      </c>
      <c r="D1448" s="1535">
        <v>1</v>
      </c>
      <c r="E1448" s="1044" t="str">
        <f>VLOOKUP($B1448,DG!A:D,DG!$B$2,)</f>
        <v>04.3801</v>
      </c>
      <c r="F1448" s="1056" t="str">
        <f>VLOOKUP($B1448,DG!A:D,DG!$C$2,)</f>
        <v>Đế neo BTCT 400x1200</v>
      </c>
      <c r="G1448" s="1044" t="str">
        <f>VLOOKUP($B1448,DG!A:D,DG!$D$2,)</f>
        <v>cái</v>
      </c>
      <c r="H1448" s="1823">
        <f t="shared" si="285"/>
        <v>0</v>
      </c>
      <c r="I1448" s="1823">
        <f t="shared" si="285"/>
        <v>0</v>
      </c>
      <c r="J1448" s="1823">
        <f t="shared" si="285"/>
        <v>0</v>
      </c>
      <c r="K1448" s="1823">
        <f t="shared" si="285"/>
        <v>0</v>
      </c>
      <c r="L1448" s="1823">
        <f t="shared" si="285"/>
        <v>0</v>
      </c>
      <c r="M1448" s="1823">
        <f t="shared" si="285"/>
        <v>0</v>
      </c>
      <c r="N1448" s="1823">
        <f t="shared" si="285"/>
        <v>0</v>
      </c>
      <c r="O1448" s="1823"/>
      <c r="P1448" s="1823"/>
      <c r="Q1448" s="1053"/>
      <c r="R1448" s="1053"/>
      <c r="S1448" s="1053"/>
      <c r="T1448" s="2035">
        <f t="shared" si="277"/>
        <v>0</v>
      </c>
    </row>
    <row r="1449" spans="1:20" ht="22.2" hidden="1" customHeight="1">
      <c r="A1449" s="59"/>
      <c r="B1449" s="1577" t="s">
        <v>1064</v>
      </c>
      <c r="C1449" s="1013" t="str">
        <f t="shared" si="279"/>
        <v xml:space="preserve"> </v>
      </c>
      <c r="D1449" s="1545">
        <v>1.58</v>
      </c>
      <c r="E1449" s="1044" t="str">
        <f>VLOOKUP($B1449,DG!A:D,DG!$B$2,)</f>
        <v>04.9001</v>
      </c>
      <c r="F1449" s="1056" t="str">
        <f>VLOOKUP($B1449,DG!A:D,DG!$C$2,)</f>
        <v>Bitum</v>
      </c>
      <c r="G1449" s="1044" t="str">
        <f>VLOOKUP($B1449,DG!A:D,DG!$D$2,)</f>
        <v>m2</v>
      </c>
      <c r="H1449" s="1823">
        <f t="shared" si="285"/>
        <v>0</v>
      </c>
      <c r="I1449" s="1823">
        <f t="shared" si="285"/>
        <v>0</v>
      </c>
      <c r="J1449" s="1823">
        <f t="shared" si="285"/>
        <v>0</v>
      </c>
      <c r="K1449" s="1823">
        <f t="shared" si="285"/>
        <v>0</v>
      </c>
      <c r="L1449" s="1823">
        <f t="shared" si="285"/>
        <v>0</v>
      </c>
      <c r="M1449" s="1823">
        <f t="shared" si="285"/>
        <v>0</v>
      </c>
      <c r="N1449" s="1823">
        <f t="shared" si="285"/>
        <v>0</v>
      </c>
      <c r="O1449" s="1823"/>
      <c r="P1449" s="1823"/>
      <c r="Q1449" s="1053"/>
      <c r="R1449" s="1053"/>
      <c r="S1449" s="1053"/>
      <c r="T1449" s="2035">
        <f t="shared" si="277"/>
        <v>0</v>
      </c>
    </row>
    <row r="1450" spans="1:20" ht="22.2" hidden="1" customHeight="1">
      <c r="A1450" s="59"/>
      <c r="B1450" s="1577" t="s">
        <v>639</v>
      </c>
      <c r="C1450" s="1013" t="str">
        <f t="shared" si="279"/>
        <v xml:space="preserve"> </v>
      </c>
      <c r="D1450" s="1534">
        <v>8.23</v>
      </c>
      <c r="E1450" s="1044" t="str">
        <f>VLOOKUP($B1450,DG!A:D,DG!$B$2,)</f>
        <v>03.1013</v>
      </c>
      <c r="F1450" s="1049" t="str">
        <f>VLOOKUP($B1450,DG!A:D,DG!$C$2,)</f>
        <v>Đào hố móng đất cấp 3 sâu &gt;1m</v>
      </c>
      <c r="G1450" s="1044" t="str">
        <f>VLOOKUP($B1450,DG!A:D,DG!$D$2,)</f>
        <v>m3</v>
      </c>
      <c r="H1450" s="1823"/>
      <c r="I1450" s="1823"/>
      <c r="J1450" s="1823"/>
      <c r="K1450" s="1823"/>
      <c r="L1450" s="1823"/>
      <c r="M1450" s="1823"/>
      <c r="N1450" s="1823"/>
      <c r="O1450" s="1823"/>
      <c r="P1450" s="1823"/>
      <c r="Q1450" s="1053"/>
      <c r="R1450" s="1053"/>
      <c r="S1450" s="1053"/>
      <c r="T1450" s="2035">
        <f t="shared" si="277"/>
        <v>0</v>
      </c>
    </row>
    <row r="1451" spans="1:20" ht="22.2" hidden="1" customHeight="1">
      <c r="A1451" s="59"/>
      <c r="B1451" s="1577" t="s">
        <v>21</v>
      </c>
      <c r="C1451" s="1013" t="str">
        <f t="shared" si="279"/>
        <v xml:space="preserve"> </v>
      </c>
      <c r="D1451" s="1534">
        <v>9.2899999999999991</v>
      </c>
      <c r="E1451" s="1044" t="str">
        <f>VLOOKUP($B1451,DG!A:D,DG!$B$2,)</f>
        <v>03.4113</v>
      </c>
      <c r="F1451" s="1049" t="str">
        <f>VLOOKUP($B1451,DG!A:D,DG!$C$2,)</f>
        <v>Đắp đất hố móng, độ chặt k=0,95</v>
      </c>
      <c r="G1451" s="1044" t="str">
        <f>VLOOKUP($B1451,DG!A:D,DG!$D$2,)</f>
        <v>m3</v>
      </c>
      <c r="H1451" s="1823"/>
      <c r="I1451" s="1823"/>
      <c r="J1451" s="1823"/>
      <c r="K1451" s="1823"/>
      <c r="L1451" s="1823"/>
      <c r="M1451" s="1823"/>
      <c r="N1451" s="1823"/>
      <c r="O1451" s="1823"/>
      <c r="P1451" s="1823"/>
      <c r="Q1451" s="1053"/>
      <c r="R1451" s="1053"/>
      <c r="S1451" s="1053"/>
      <c r="T1451" s="2035">
        <f t="shared" si="277"/>
        <v>0</v>
      </c>
    </row>
    <row r="1452" spans="1:20" ht="22.2" hidden="1" customHeight="1">
      <c r="A1452" s="59"/>
      <c r="B1452" s="1577" t="s">
        <v>637</v>
      </c>
      <c r="C1452" s="1013" t="str">
        <f t="shared" si="279"/>
        <v xml:space="preserve"> </v>
      </c>
      <c r="D1452" s="1534">
        <f>D1453</f>
        <v>0.17399999999999999</v>
      </c>
      <c r="E1452" s="1044" t="str">
        <f>VLOOKUP($B1452,DG!A:D,DG!$B$2,)</f>
        <v>02.1123</v>
      </c>
      <c r="F1452" s="1049" t="str">
        <f>VLOOKUP($B1452,DG!A:D,DG!$C$2,)</f>
        <v>Bốc dỡ đà cản, đế néo</v>
      </c>
      <c r="G1452" s="1044" t="str">
        <f>VLOOKUP($B1452,DG!A:D,DG!$D$2,)</f>
        <v>tấn</v>
      </c>
      <c r="H1452" s="1823"/>
      <c r="I1452" s="1823"/>
      <c r="J1452" s="1823"/>
      <c r="K1452" s="1823"/>
      <c r="L1452" s="1823"/>
      <c r="M1452" s="1823"/>
      <c r="N1452" s="1823"/>
      <c r="O1452" s="1823"/>
      <c r="P1452" s="1823"/>
      <c r="Q1452" s="1053"/>
      <c r="R1452" s="1053"/>
      <c r="S1452" s="1053"/>
      <c r="T1452" s="2035">
        <f t="shared" ref="T1452:T1515" si="286">IFERROR(HLOOKUP(B1452,BangKeTru,3,0),0)</f>
        <v>0</v>
      </c>
    </row>
    <row r="1453" spans="1:20" ht="22.2" hidden="1" customHeight="1">
      <c r="A1453" s="59"/>
      <c r="B1453" s="1588" t="s">
        <v>605</v>
      </c>
      <c r="C1453" s="1013" t="str">
        <f t="shared" si="279"/>
        <v xml:space="preserve"> </v>
      </c>
      <c r="D1453" s="1534">
        <v>0.17399999999999999</v>
      </c>
      <c r="E1453" s="1044" t="str">
        <f>VLOOKUP($B1453,DG!A:C,2,)</f>
        <v>02.1451</v>
      </c>
      <c r="F1453" s="1049" t="str">
        <f>VLOOKUP($B1453,DG!A:C,3,)</f>
        <v>V/c đế néo vào vị trí (cự ly &lt;=100m)</v>
      </c>
      <c r="G1453" s="1044" t="str">
        <f>VLOOKUP($B1453,DG!A:D,4,0)</f>
        <v>tấn</v>
      </c>
      <c r="H1453" s="1823"/>
      <c r="I1453" s="1823"/>
      <c r="J1453" s="1823"/>
      <c r="K1453" s="1823"/>
      <c r="L1453" s="1823"/>
      <c r="M1453" s="1823"/>
      <c r="N1453" s="1823"/>
      <c r="O1453" s="1823"/>
      <c r="P1453" s="1823"/>
      <c r="Q1453" s="1058"/>
      <c r="R1453" s="1058"/>
      <c r="S1453" s="1058"/>
      <c r="T1453" s="2035">
        <f t="shared" si="286"/>
        <v>0</v>
      </c>
    </row>
    <row r="1454" spans="1:20" ht="22.2" hidden="1" customHeight="1">
      <c r="A1454" s="59"/>
      <c r="B1454" s="1588" t="s">
        <v>606</v>
      </c>
      <c r="C1454" s="1013" t="str">
        <f t="shared" si="279"/>
        <v xml:space="preserve"> </v>
      </c>
      <c r="D1454" s="1534">
        <v>0.05</v>
      </c>
      <c r="E1454" s="1044" t="str">
        <f>VLOOKUP($B1454,DG!A:C,2,)</f>
        <v>02.1482</v>
      </c>
      <c r="F1454" s="1049" t="str">
        <f>VLOOKUP($B1454,DG!A:C,3,)</f>
        <v>V/c dụng cụ thi công vào vị trí (cự ly &lt;=100m)</v>
      </c>
      <c r="G1454" s="1044" t="str">
        <f>VLOOKUP($B1454,DG!A:D,4,0)</f>
        <v>tấn</v>
      </c>
      <c r="H1454" s="1823"/>
      <c r="I1454" s="1823"/>
      <c r="J1454" s="1823"/>
      <c r="K1454" s="1823"/>
      <c r="L1454" s="1823"/>
      <c r="M1454" s="1823"/>
      <c r="N1454" s="1823"/>
      <c r="O1454" s="1823"/>
      <c r="P1454" s="1823"/>
      <c r="Q1454" s="1058"/>
      <c r="R1454" s="1058"/>
      <c r="S1454" s="1058"/>
      <c r="T1454" s="2035">
        <f t="shared" si="286"/>
        <v>0</v>
      </c>
    </row>
    <row r="1455" spans="1:20" ht="22.2" hidden="1" customHeight="1">
      <c r="A1455" s="620" t="s">
        <v>2153</v>
      </c>
      <c r="B1455" s="1574" t="s">
        <v>2153</v>
      </c>
      <c r="C1455" s="1013" t="str">
        <f t="shared" si="279"/>
        <v xml:space="preserve"> </v>
      </c>
      <c r="D1455" s="1532"/>
      <c r="E1455" s="1045"/>
      <c r="F1455" s="1392" t="s">
        <v>2501</v>
      </c>
      <c r="G1455" s="1046" t="s">
        <v>2391</v>
      </c>
      <c r="H1455" s="1821">
        <f>SUM(I1455:O1455)</f>
        <v>0</v>
      </c>
      <c r="I1455" s="1822"/>
      <c r="J1455" s="1822"/>
      <c r="K1455" s="1822">
        <f>IFERROR(HLOOKUP(B1455,pp3p1m!$1:$3,3,0),0)</f>
        <v>0</v>
      </c>
      <c r="L1455" s="1822">
        <f>IFERROR(HLOOKUP(chitiet!B1455,pp1p!$1:$3,3,0),0)</f>
        <v>0</v>
      </c>
      <c r="M1455" s="1822"/>
      <c r="N1455" s="1822"/>
      <c r="O1455" s="1822"/>
      <c r="P1455" s="1822">
        <f>H1455+Q1455-R1455</f>
        <v>0</v>
      </c>
      <c r="Q1455" s="1047"/>
      <c r="R1455" s="1047"/>
      <c r="S1455" s="1047"/>
      <c r="T1455" s="2035">
        <f>IFERROR(HLOOKUP(B1455,pp1p!$1:$3,3,0),0)+IFERROR(HLOOKUP(B1455,pp3p1m!$1:$3,3,0),0)</f>
        <v>0</v>
      </c>
    </row>
    <row r="1456" spans="1:20" ht="22.2" hidden="1" customHeight="1">
      <c r="A1456" s="59"/>
      <c r="B1456" s="1577" t="s">
        <v>113</v>
      </c>
      <c r="C1456" s="1013" t="str">
        <f t="shared" si="279"/>
        <v xml:space="preserve"> </v>
      </c>
      <c r="D1456" s="1535">
        <v>1</v>
      </c>
      <c r="E1456" s="1044"/>
      <c r="F1456" s="1056" t="str">
        <f>VLOOKUP($B1456,DG!A:D,DG!$C$2,)</f>
        <v>Ty neo Ø22x3700</v>
      </c>
      <c r="G1456" s="1044" t="str">
        <f>VLOOKUP($B1456,DG!A:D,DG!$D$2,)</f>
        <v>cái</v>
      </c>
      <c r="H1456" s="1823">
        <f t="shared" ref="H1456:N1458" si="287">H$1455*$D1456</f>
        <v>0</v>
      </c>
      <c r="I1456" s="1823">
        <f t="shared" si="287"/>
        <v>0</v>
      </c>
      <c r="J1456" s="1823">
        <f t="shared" si="287"/>
        <v>0</v>
      </c>
      <c r="K1456" s="1823">
        <f t="shared" si="287"/>
        <v>0</v>
      </c>
      <c r="L1456" s="1823">
        <f t="shared" si="287"/>
        <v>0</v>
      </c>
      <c r="M1456" s="1823">
        <f t="shared" si="287"/>
        <v>0</v>
      </c>
      <c r="N1456" s="1823">
        <f t="shared" si="287"/>
        <v>0</v>
      </c>
      <c r="O1456" s="1823"/>
      <c r="P1456" s="1823"/>
      <c r="Q1456" s="1053"/>
      <c r="R1456" s="1053"/>
      <c r="S1456" s="1053"/>
      <c r="T1456" s="2035">
        <f t="shared" si="286"/>
        <v>0</v>
      </c>
    </row>
    <row r="1457" spans="1:20" ht="22.2" hidden="1" customHeight="1">
      <c r="A1457" s="59"/>
      <c r="B1457" s="1577" t="s">
        <v>2136</v>
      </c>
      <c r="C1457" s="1013" t="str">
        <f t="shared" si="279"/>
        <v xml:space="preserve"> </v>
      </c>
      <c r="D1457" s="1535">
        <v>1</v>
      </c>
      <c r="E1457" s="1044" t="str">
        <f>VLOOKUP($B1457,DG!A:D,DG!$B$2,)</f>
        <v>04.3802</v>
      </c>
      <c r="F1457" s="1056" t="str">
        <f>VLOOKUP($B1457,DG!A:D,DG!$C$2,)</f>
        <v>Đế neo BTCT 400x1500</v>
      </c>
      <c r="G1457" s="1044" t="str">
        <f>VLOOKUP($B1457,DG!A:D,DG!$D$2,)</f>
        <v>cái</v>
      </c>
      <c r="H1457" s="1823">
        <f t="shared" si="287"/>
        <v>0</v>
      </c>
      <c r="I1457" s="1823">
        <f t="shared" si="287"/>
        <v>0</v>
      </c>
      <c r="J1457" s="1823">
        <f t="shared" si="287"/>
        <v>0</v>
      </c>
      <c r="K1457" s="1823">
        <f t="shared" si="287"/>
        <v>0</v>
      </c>
      <c r="L1457" s="1823">
        <f t="shared" si="287"/>
        <v>0</v>
      </c>
      <c r="M1457" s="1823">
        <f t="shared" si="287"/>
        <v>0</v>
      </c>
      <c r="N1457" s="1823">
        <f t="shared" si="287"/>
        <v>0</v>
      </c>
      <c r="O1457" s="1823"/>
      <c r="P1457" s="1823"/>
      <c r="Q1457" s="1053"/>
      <c r="R1457" s="1053"/>
      <c r="S1457" s="1053"/>
      <c r="T1457" s="2035">
        <f t="shared" si="286"/>
        <v>0</v>
      </c>
    </row>
    <row r="1458" spans="1:20" ht="22.2" hidden="1" customHeight="1">
      <c r="A1458" s="59"/>
      <c r="B1458" s="1577" t="s">
        <v>1064</v>
      </c>
      <c r="C1458" s="1013" t="str">
        <f t="shared" si="279"/>
        <v xml:space="preserve"> </v>
      </c>
      <c r="D1458" s="1545">
        <v>1.7</v>
      </c>
      <c r="E1458" s="1044" t="str">
        <f>VLOOKUP($B1458,DG!A:D,DG!$B$2,)</f>
        <v>04.9001</v>
      </c>
      <c r="F1458" s="1056" t="str">
        <f>VLOOKUP($B1458,DG!A:D,DG!$C$2,)</f>
        <v>Bitum</v>
      </c>
      <c r="G1458" s="1044" t="str">
        <f>VLOOKUP($B1458,DG!A:D,DG!$D$2,)</f>
        <v>m2</v>
      </c>
      <c r="H1458" s="1823">
        <f t="shared" si="287"/>
        <v>0</v>
      </c>
      <c r="I1458" s="1823">
        <f t="shared" si="287"/>
        <v>0</v>
      </c>
      <c r="J1458" s="1823">
        <f t="shared" si="287"/>
        <v>0</v>
      </c>
      <c r="K1458" s="1823">
        <f t="shared" si="287"/>
        <v>0</v>
      </c>
      <c r="L1458" s="1823">
        <f t="shared" si="287"/>
        <v>0</v>
      </c>
      <c r="M1458" s="1823">
        <f t="shared" si="287"/>
        <v>0</v>
      </c>
      <c r="N1458" s="1823">
        <f t="shared" si="287"/>
        <v>0</v>
      </c>
      <c r="O1458" s="1823"/>
      <c r="P1458" s="1823"/>
      <c r="Q1458" s="1053"/>
      <c r="R1458" s="1053"/>
      <c r="S1458" s="1053"/>
      <c r="T1458" s="2035">
        <f t="shared" si="286"/>
        <v>0</v>
      </c>
    </row>
    <row r="1459" spans="1:20" ht="22.2" hidden="1" customHeight="1">
      <c r="A1459" s="59"/>
      <c r="B1459" s="1577" t="s">
        <v>639</v>
      </c>
      <c r="C1459" s="1013" t="str">
        <f t="shared" si="279"/>
        <v xml:space="preserve"> </v>
      </c>
      <c r="D1459" s="1534">
        <v>10.5</v>
      </c>
      <c r="E1459" s="1044" t="str">
        <f>VLOOKUP($B1459,DG!A:D,DG!$B$2,)</f>
        <v>03.1013</v>
      </c>
      <c r="F1459" s="1049" t="str">
        <f>VLOOKUP($B1459,DG!A:D,DG!$C$2,)</f>
        <v>Đào hố móng đất cấp 3 sâu &gt;1m</v>
      </c>
      <c r="G1459" s="1044" t="str">
        <f>VLOOKUP($B1459,DG!A:D,DG!$D$2,)</f>
        <v>m3</v>
      </c>
      <c r="H1459" s="1823"/>
      <c r="I1459" s="1823"/>
      <c r="J1459" s="1823"/>
      <c r="K1459" s="1823"/>
      <c r="L1459" s="1823"/>
      <c r="M1459" s="1823"/>
      <c r="N1459" s="1823"/>
      <c r="O1459" s="1823"/>
      <c r="P1459" s="1823"/>
      <c r="Q1459" s="1053"/>
      <c r="R1459" s="1053"/>
      <c r="S1459" s="1053"/>
      <c r="T1459" s="2035">
        <f t="shared" si="286"/>
        <v>0</v>
      </c>
    </row>
    <row r="1460" spans="1:20" ht="22.2" hidden="1" customHeight="1">
      <c r="A1460" s="59"/>
      <c r="B1460" s="1577" t="s">
        <v>21</v>
      </c>
      <c r="C1460" s="1013" t="str">
        <f t="shared" ref="C1460:C1523" si="288">IF(OR(P1460&lt;&gt;0,H1460&lt;&gt;0),"x"," ")</f>
        <v xml:space="preserve"> </v>
      </c>
      <c r="D1460" s="1534">
        <v>11.95</v>
      </c>
      <c r="E1460" s="1044" t="str">
        <f>VLOOKUP($B1460,DG!A:D,DG!$B$2,)</f>
        <v>03.4113</v>
      </c>
      <c r="F1460" s="1049" t="str">
        <f>VLOOKUP($B1460,DG!A:D,DG!$C$2,)</f>
        <v>Đắp đất hố móng, độ chặt k=0,95</v>
      </c>
      <c r="G1460" s="1044" t="str">
        <f>VLOOKUP($B1460,DG!A:D,DG!$D$2,)</f>
        <v>m3</v>
      </c>
      <c r="H1460" s="1823"/>
      <c r="I1460" s="1823"/>
      <c r="J1460" s="1823"/>
      <c r="K1460" s="1823"/>
      <c r="L1460" s="1823"/>
      <c r="M1460" s="1823"/>
      <c r="N1460" s="1823"/>
      <c r="O1460" s="1823"/>
      <c r="P1460" s="1823"/>
      <c r="Q1460" s="1053"/>
      <c r="R1460" s="1053"/>
      <c r="S1460" s="1053"/>
      <c r="T1460" s="2035">
        <f t="shared" si="286"/>
        <v>0</v>
      </c>
    </row>
    <row r="1461" spans="1:20" ht="22.2" hidden="1" customHeight="1">
      <c r="A1461" s="59"/>
      <c r="B1461" s="1577" t="s">
        <v>637</v>
      </c>
      <c r="C1461" s="1013" t="str">
        <f t="shared" si="288"/>
        <v xml:space="preserve"> </v>
      </c>
      <c r="D1461" s="1534">
        <f>D1462</f>
        <v>0.193</v>
      </c>
      <c r="E1461" s="1044" t="str">
        <f>VLOOKUP($B1461,DG!A:D,DG!$B$2,)</f>
        <v>02.1123</v>
      </c>
      <c r="F1461" s="1049" t="str">
        <f>VLOOKUP($B1461,DG!A:D,DG!$C$2,)</f>
        <v>Bốc dỡ đà cản, đế néo</v>
      </c>
      <c r="G1461" s="1044" t="str">
        <f>VLOOKUP($B1461,DG!A:D,DG!$D$2,)</f>
        <v>tấn</v>
      </c>
      <c r="H1461" s="1823"/>
      <c r="I1461" s="1823"/>
      <c r="J1461" s="1823"/>
      <c r="K1461" s="1823"/>
      <c r="L1461" s="1823"/>
      <c r="M1461" s="1823"/>
      <c r="N1461" s="1823"/>
      <c r="O1461" s="1823"/>
      <c r="P1461" s="1823"/>
      <c r="Q1461" s="1053"/>
      <c r="R1461" s="1053"/>
      <c r="S1461" s="1053"/>
      <c r="T1461" s="2035">
        <f t="shared" si="286"/>
        <v>0</v>
      </c>
    </row>
    <row r="1462" spans="1:20" ht="22.2" hidden="1" customHeight="1">
      <c r="A1462" s="59"/>
      <c r="B1462" s="1588" t="s">
        <v>605</v>
      </c>
      <c r="C1462" s="1013" t="str">
        <f t="shared" si="288"/>
        <v xml:space="preserve"> </v>
      </c>
      <c r="D1462" s="1534">
        <v>0.193</v>
      </c>
      <c r="E1462" s="1044" t="str">
        <f>VLOOKUP($B1462,DG!A:C,2,)</f>
        <v>02.1451</v>
      </c>
      <c r="F1462" s="1049" t="str">
        <f>VLOOKUP($B1462,DG!A:C,3,)</f>
        <v>V/c đế néo vào vị trí (cự ly &lt;=100m)</v>
      </c>
      <c r="G1462" s="1044" t="str">
        <f>VLOOKUP($B1462,DG!A:D,4,0)</f>
        <v>tấn</v>
      </c>
      <c r="H1462" s="1823"/>
      <c r="I1462" s="1823"/>
      <c r="J1462" s="1823"/>
      <c r="K1462" s="1823"/>
      <c r="L1462" s="1823"/>
      <c r="M1462" s="1823"/>
      <c r="N1462" s="1823"/>
      <c r="O1462" s="1823"/>
      <c r="P1462" s="1823"/>
      <c r="Q1462" s="1058"/>
      <c r="R1462" s="1058"/>
      <c r="S1462" s="1058"/>
      <c r="T1462" s="2035">
        <f t="shared" si="286"/>
        <v>0</v>
      </c>
    </row>
    <row r="1463" spans="1:20" ht="22.2" hidden="1" customHeight="1">
      <c r="A1463" s="59"/>
      <c r="B1463" s="1588" t="s">
        <v>606</v>
      </c>
      <c r="C1463" s="1013" t="str">
        <f t="shared" si="288"/>
        <v xml:space="preserve"> </v>
      </c>
      <c r="D1463" s="1534">
        <v>0.05</v>
      </c>
      <c r="E1463" s="1044" t="str">
        <f>VLOOKUP($B1463,DG!A:C,2,)</f>
        <v>02.1482</v>
      </c>
      <c r="F1463" s="1049" t="str">
        <f>VLOOKUP($B1463,DG!A:C,3,)</f>
        <v>V/c dụng cụ thi công vào vị trí (cự ly &lt;=100m)</v>
      </c>
      <c r="G1463" s="1044" t="str">
        <f>VLOOKUP($B1463,DG!A:D,4,0)</f>
        <v>tấn</v>
      </c>
      <c r="H1463" s="1823"/>
      <c r="I1463" s="1823"/>
      <c r="J1463" s="1823"/>
      <c r="K1463" s="1823"/>
      <c r="L1463" s="1823"/>
      <c r="M1463" s="1823"/>
      <c r="N1463" s="1823"/>
      <c r="O1463" s="1823"/>
      <c r="P1463" s="1823"/>
      <c r="Q1463" s="1058"/>
      <c r="R1463" s="1058"/>
      <c r="S1463" s="1058"/>
      <c r="T1463" s="2035">
        <f t="shared" si="286"/>
        <v>0</v>
      </c>
    </row>
    <row r="1464" spans="1:20" ht="22.2" hidden="1" customHeight="1">
      <c r="A1464" s="56" t="s">
        <v>1093</v>
      </c>
      <c r="B1464" s="1574" t="s">
        <v>1093</v>
      </c>
      <c r="C1464" s="1013" t="str">
        <f t="shared" si="288"/>
        <v xml:space="preserve"> </v>
      </c>
      <c r="D1464" s="1532"/>
      <c r="E1464" s="1045"/>
      <c r="F1464" s="1392" t="s">
        <v>2502</v>
      </c>
      <c r="G1464" s="1046" t="s">
        <v>2391</v>
      </c>
      <c r="H1464" s="1821">
        <f>SUM(I1464:O1464)</f>
        <v>0</v>
      </c>
      <c r="I1464" s="1822"/>
      <c r="J1464" s="1822"/>
      <c r="K1464" s="1822">
        <f>IFERROR(HLOOKUP(B1464,pp3p1m!$1:$3,3,0),0)</f>
        <v>0</v>
      </c>
      <c r="L1464" s="1822">
        <f>IFERROR(HLOOKUP(chitiet!B1464,pp1p!$1:$3,3,0),0)</f>
        <v>0</v>
      </c>
      <c r="M1464" s="1822"/>
      <c r="N1464" s="1822"/>
      <c r="O1464" s="1822"/>
      <c r="P1464" s="1822">
        <f>H1464+Q1464-R1464</f>
        <v>0</v>
      </c>
      <c r="Q1464" s="1047"/>
      <c r="R1464" s="1047"/>
      <c r="S1464" s="1047"/>
      <c r="T1464" s="2035">
        <f>IFERROR(HLOOKUP(B1464,pp1p!$1:$3,3,0),0)+IFERROR(HLOOKUP(B1464,pp3p1m!$1:$3,3,0),0)</f>
        <v>0</v>
      </c>
    </row>
    <row r="1465" spans="1:20" ht="22.2" hidden="1" customHeight="1">
      <c r="A1465" s="59"/>
      <c r="B1465" s="1577" t="s">
        <v>2003</v>
      </c>
      <c r="C1465" s="1013" t="str">
        <f t="shared" si="288"/>
        <v xml:space="preserve"> </v>
      </c>
      <c r="D1465" s="1535">
        <v>1</v>
      </c>
      <c r="E1465" s="1044"/>
      <c r="F1465" s="1056" t="str">
        <f>VLOOKUP($B1465,DG!A:D,DG!$C$2,)</f>
        <v>Ty neo Ø22x3000</v>
      </c>
      <c r="G1465" s="1044" t="str">
        <f>VLOOKUP($B1465,DG!A:D,DG!$D$2,)</f>
        <v>cái</v>
      </c>
      <c r="H1465" s="1823">
        <f t="shared" ref="H1465:N1467" si="289">H$1464*$D1465</f>
        <v>0</v>
      </c>
      <c r="I1465" s="1823">
        <f t="shared" si="289"/>
        <v>0</v>
      </c>
      <c r="J1465" s="1823">
        <f t="shared" si="289"/>
        <v>0</v>
      </c>
      <c r="K1465" s="1823">
        <f t="shared" si="289"/>
        <v>0</v>
      </c>
      <c r="L1465" s="1823">
        <f t="shared" si="289"/>
        <v>0</v>
      </c>
      <c r="M1465" s="1823">
        <f t="shared" si="289"/>
        <v>0</v>
      </c>
      <c r="N1465" s="1823">
        <f t="shared" si="289"/>
        <v>0</v>
      </c>
      <c r="O1465" s="1823"/>
      <c r="P1465" s="1823"/>
      <c r="Q1465" s="1053"/>
      <c r="R1465" s="1053"/>
      <c r="S1465" s="1053"/>
      <c r="T1465" s="2035">
        <f t="shared" si="286"/>
        <v>0</v>
      </c>
    </row>
    <row r="1466" spans="1:20" ht="22.2" hidden="1" customHeight="1">
      <c r="A1466" s="59"/>
      <c r="B1466" s="1577" t="s">
        <v>2136</v>
      </c>
      <c r="C1466" s="1013" t="str">
        <f t="shared" si="288"/>
        <v xml:space="preserve"> </v>
      </c>
      <c r="D1466" s="1535">
        <v>1</v>
      </c>
      <c r="E1466" s="1044" t="str">
        <f>VLOOKUP($B1466,DG!A:D,DG!$B$2,)</f>
        <v>04.3802</v>
      </c>
      <c r="F1466" s="1056" t="str">
        <f>VLOOKUP($B1466,DG!A:D,DG!$C$2,)</f>
        <v>Đế neo BTCT 400x1500</v>
      </c>
      <c r="G1466" s="1044" t="str">
        <f>VLOOKUP($B1466,DG!A:D,DG!$D$2,)</f>
        <v>cái</v>
      </c>
      <c r="H1466" s="1823">
        <f t="shared" si="289"/>
        <v>0</v>
      </c>
      <c r="I1466" s="1823">
        <f t="shared" si="289"/>
        <v>0</v>
      </c>
      <c r="J1466" s="1823">
        <f t="shared" si="289"/>
        <v>0</v>
      </c>
      <c r="K1466" s="1823">
        <f t="shared" si="289"/>
        <v>0</v>
      </c>
      <c r="L1466" s="1823">
        <f t="shared" si="289"/>
        <v>0</v>
      </c>
      <c r="M1466" s="1823">
        <f t="shared" si="289"/>
        <v>0</v>
      </c>
      <c r="N1466" s="1823">
        <f t="shared" si="289"/>
        <v>0</v>
      </c>
      <c r="O1466" s="1823"/>
      <c r="P1466" s="1823"/>
      <c r="Q1466" s="1053"/>
      <c r="R1466" s="1053"/>
      <c r="S1466" s="1053"/>
      <c r="T1466" s="2035">
        <f t="shared" si="286"/>
        <v>0</v>
      </c>
    </row>
    <row r="1467" spans="1:20" ht="22.2" hidden="1" customHeight="1">
      <c r="A1467" s="59"/>
      <c r="B1467" s="1577" t="s">
        <v>1064</v>
      </c>
      <c r="C1467" s="1013" t="str">
        <f t="shared" si="288"/>
        <v xml:space="preserve"> </v>
      </c>
      <c r="D1467" s="1545">
        <v>1.7</v>
      </c>
      <c r="E1467" s="1044" t="str">
        <f>VLOOKUP($B1467,DG!A:D,DG!$B$2,)</f>
        <v>04.9001</v>
      </c>
      <c r="F1467" s="1056" t="str">
        <f>VLOOKUP($B1467,DG!A:D,DG!$C$2,)</f>
        <v>Bitum</v>
      </c>
      <c r="G1467" s="1044" t="str">
        <f>VLOOKUP($B1467,DG!A:D,DG!$D$2,)</f>
        <v>m2</v>
      </c>
      <c r="H1467" s="1823">
        <f t="shared" si="289"/>
        <v>0</v>
      </c>
      <c r="I1467" s="1823">
        <f t="shared" si="289"/>
        <v>0</v>
      </c>
      <c r="J1467" s="1823">
        <f t="shared" si="289"/>
        <v>0</v>
      </c>
      <c r="K1467" s="1823">
        <f t="shared" si="289"/>
        <v>0</v>
      </c>
      <c r="L1467" s="1823">
        <f t="shared" si="289"/>
        <v>0</v>
      </c>
      <c r="M1467" s="1823">
        <f t="shared" si="289"/>
        <v>0</v>
      </c>
      <c r="N1467" s="1823">
        <f t="shared" si="289"/>
        <v>0</v>
      </c>
      <c r="O1467" s="1823"/>
      <c r="P1467" s="1823"/>
      <c r="Q1467" s="1053"/>
      <c r="R1467" s="1053"/>
      <c r="S1467" s="1053"/>
      <c r="T1467" s="2035">
        <f t="shared" si="286"/>
        <v>0</v>
      </c>
    </row>
    <row r="1468" spans="1:20" ht="22.2" hidden="1" customHeight="1">
      <c r="A1468" s="59"/>
      <c r="B1468" s="1577" t="s">
        <v>639</v>
      </c>
      <c r="C1468" s="1013" t="str">
        <f t="shared" si="288"/>
        <v xml:space="preserve"> </v>
      </c>
      <c r="D1468" s="1534">
        <v>9.2799999999999994</v>
      </c>
      <c r="E1468" s="1044" t="str">
        <f>VLOOKUP($B1468,DG!A:D,DG!$B$2,)</f>
        <v>03.1013</v>
      </c>
      <c r="F1468" s="1049" t="str">
        <f>VLOOKUP($B1468,DG!A:D,DG!$C$2,)</f>
        <v>Đào hố móng đất cấp 3 sâu &gt;1m</v>
      </c>
      <c r="G1468" s="1044" t="str">
        <f>VLOOKUP($B1468,DG!A:D,DG!$D$2,)</f>
        <v>m3</v>
      </c>
      <c r="H1468" s="1823"/>
      <c r="I1468" s="1823"/>
      <c r="J1468" s="1823"/>
      <c r="K1468" s="1823"/>
      <c r="L1468" s="1823"/>
      <c r="M1468" s="1823"/>
      <c r="N1468" s="1823"/>
      <c r="O1468" s="1823"/>
      <c r="P1468" s="1823"/>
      <c r="Q1468" s="1053"/>
      <c r="R1468" s="1053"/>
      <c r="S1468" s="1053"/>
      <c r="T1468" s="2035">
        <f t="shared" si="286"/>
        <v>0</v>
      </c>
    </row>
    <row r="1469" spans="1:20" ht="22.2" hidden="1" customHeight="1">
      <c r="A1469" s="59"/>
      <c r="B1469" s="1577" t="s">
        <v>21</v>
      </c>
      <c r="C1469" s="1013" t="str">
        <f t="shared" si="288"/>
        <v xml:space="preserve"> </v>
      </c>
      <c r="D1469" s="1534">
        <v>9.76</v>
      </c>
      <c r="E1469" s="1044" t="str">
        <f>VLOOKUP($B1469,DG!A:D,DG!$B$2,)</f>
        <v>03.4113</v>
      </c>
      <c r="F1469" s="1049" t="str">
        <f>VLOOKUP($B1469,DG!A:D,DG!$C$2,)</f>
        <v>Đắp đất hố móng, độ chặt k=0,95</v>
      </c>
      <c r="G1469" s="1044" t="str">
        <f>VLOOKUP($B1469,DG!A:D,DG!$D$2,)</f>
        <v>m3</v>
      </c>
      <c r="H1469" s="1823"/>
      <c r="I1469" s="1823"/>
      <c r="J1469" s="1823"/>
      <c r="K1469" s="1823"/>
      <c r="L1469" s="1823"/>
      <c r="M1469" s="1823"/>
      <c r="N1469" s="1823"/>
      <c r="O1469" s="1823"/>
      <c r="P1469" s="1823"/>
      <c r="Q1469" s="1053"/>
      <c r="R1469" s="1053"/>
      <c r="S1469" s="1053"/>
      <c r="T1469" s="2035">
        <f t="shared" si="286"/>
        <v>0</v>
      </c>
    </row>
    <row r="1470" spans="1:20" ht="22.2" hidden="1" customHeight="1">
      <c r="A1470" s="59"/>
      <c r="B1470" s="1577" t="s">
        <v>637</v>
      </c>
      <c r="C1470" s="1013" t="str">
        <f t="shared" si="288"/>
        <v xml:space="preserve"> </v>
      </c>
      <c r="D1470" s="1534">
        <f>D1471</f>
        <v>0.193</v>
      </c>
      <c r="E1470" s="1044" t="str">
        <f>VLOOKUP($B1470,DG!A:D,DG!$B$2,)</f>
        <v>02.1123</v>
      </c>
      <c r="F1470" s="1049" t="str">
        <f>VLOOKUP($B1470,DG!A:D,DG!$C$2,)</f>
        <v>Bốc dỡ đà cản, đế néo</v>
      </c>
      <c r="G1470" s="1044" t="str">
        <f>VLOOKUP($B1470,DG!A:D,DG!$D$2,)</f>
        <v>tấn</v>
      </c>
      <c r="H1470" s="1823"/>
      <c r="I1470" s="1823"/>
      <c r="J1470" s="1823"/>
      <c r="K1470" s="1823"/>
      <c r="L1470" s="1823"/>
      <c r="M1470" s="1823"/>
      <c r="N1470" s="1823"/>
      <c r="O1470" s="1823"/>
      <c r="P1470" s="1823"/>
      <c r="Q1470" s="1053"/>
      <c r="R1470" s="1053"/>
      <c r="S1470" s="1053"/>
      <c r="T1470" s="2035">
        <f t="shared" si="286"/>
        <v>0</v>
      </c>
    </row>
    <row r="1471" spans="1:20" ht="22.2" hidden="1" customHeight="1">
      <c r="A1471" s="59"/>
      <c r="B1471" s="1588" t="s">
        <v>605</v>
      </c>
      <c r="C1471" s="1013" t="str">
        <f t="shared" si="288"/>
        <v xml:space="preserve"> </v>
      </c>
      <c r="D1471" s="1534">
        <v>0.193</v>
      </c>
      <c r="E1471" s="1044" t="str">
        <f>VLOOKUP($B1471,DG!A:C,2,)</f>
        <v>02.1451</v>
      </c>
      <c r="F1471" s="1049" t="str">
        <f>VLOOKUP($B1471,DG!A:C,3,)</f>
        <v>V/c đế néo vào vị trí (cự ly &lt;=100m)</v>
      </c>
      <c r="G1471" s="1044" t="str">
        <f>VLOOKUP($B1471,DG!A:D,4,0)</f>
        <v>tấn</v>
      </c>
      <c r="H1471" s="1823"/>
      <c r="I1471" s="1823"/>
      <c r="J1471" s="1823"/>
      <c r="K1471" s="1823"/>
      <c r="L1471" s="1823"/>
      <c r="M1471" s="1823"/>
      <c r="N1471" s="1823"/>
      <c r="O1471" s="1823"/>
      <c r="P1471" s="1823"/>
      <c r="Q1471" s="1058"/>
      <c r="R1471" s="1058"/>
      <c r="S1471" s="1058"/>
      <c r="T1471" s="2035">
        <f t="shared" si="286"/>
        <v>0</v>
      </c>
    </row>
    <row r="1472" spans="1:20" ht="22.2" hidden="1" customHeight="1">
      <c r="A1472" s="59"/>
      <c r="B1472" s="1588" t="s">
        <v>606</v>
      </c>
      <c r="C1472" s="1013" t="str">
        <f t="shared" si="288"/>
        <v xml:space="preserve"> </v>
      </c>
      <c r="D1472" s="1534">
        <v>0.05</v>
      </c>
      <c r="E1472" s="1044" t="str">
        <f>VLOOKUP($B1472,DG!A:C,2,)</f>
        <v>02.1482</v>
      </c>
      <c r="F1472" s="1049" t="str">
        <f>VLOOKUP($B1472,DG!A:C,3,)</f>
        <v>V/c dụng cụ thi công vào vị trí (cự ly &lt;=100m)</v>
      </c>
      <c r="G1472" s="1044" t="str">
        <f>VLOOKUP($B1472,DG!A:D,4,0)</f>
        <v>tấn</v>
      </c>
      <c r="H1472" s="1823"/>
      <c r="I1472" s="1823"/>
      <c r="J1472" s="1823"/>
      <c r="K1472" s="1823"/>
      <c r="L1472" s="1823"/>
      <c r="M1472" s="1823"/>
      <c r="N1472" s="1823"/>
      <c r="O1472" s="1823"/>
      <c r="P1472" s="1823"/>
      <c r="Q1472" s="1058"/>
      <c r="R1472" s="1058"/>
      <c r="S1472" s="1058"/>
      <c r="T1472" s="2035">
        <f t="shared" si="286"/>
        <v>0</v>
      </c>
    </row>
    <row r="1473" spans="1:20" ht="22.2" hidden="1" customHeight="1">
      <c r="A1473" s="970" t="s">
        <v>2050</v>
      </c>
      <c r="B1473" s="1574" t="s">
        <v>2050</v>
      </c>
      <c r="C1473" s="1013" t="str">
        <f t="shared" si="288"/>
        <v xml:space="preserve"> </v>
      </c>
      <c r="D1473" s="1532"/>
      <c r="E1473" s="1045"/>
      <c r="F1473" s="1392" t="s">
        <v>2503</v>
      </c>
      <c r="G1473" s="1046" t="s">
        <v>2391</v>
      </c>
      <c r="H1473" s="1821">
        <f>SUM(I1473:O1473)</f>
        <v>0</v>
      </c>
      <c r="I1473" s="1822"/>
      <c r="J1473" s="1822"/>
      <c r="K1473" s="1822">
        <f>IFERROR(HLOOKUP(B1473,pp3p1m!$1:$3,3,0),0)</f>
        <v>0</v>
      </c>
      <c r="L1473" s="1822">
        <f>IFERROR(HLOOKUP(chitiet!B1473,pp1p!$1:$3,3,0),0)</f>
        <v>0</v>
      </c>
      <c r="M1473" s="1822"/>
      <c r="N1473" s="1822"/>
      <c r="O1473" s="1822"/>
      <c r="P1473" s="1822">
        <f>H1473+Q1473-R1473</f>
        <v>0</v>
      </c>
      <c r="Q1473" s="1047"/>
      <c r="R1473" s="1047"/>
      <c r="S1473" s="1047"/>
      <c r="T1473" s="2035">
        <f>IFERROR(HLOOKUP(B1473,pp1p!$1:$3,3,0),0)+IFERROR(HLOOKUP(B1473,pp3p1m!$1:$3,3,0),0)</f>
        <v>0</v>
      </c>
    </row>
    <row r="1474" spans="1:20" ht="22.2" hidden="1" customHeight="1">
      <c r="A1474" s="59"/>
      <c r="B1474" s="1577" t="s">
        <v>113</v>
      </c>
      <c r="C1474" s="1013" t="str">
        <f t="shared" si="288"/>
        <v xml:space="preserve"> </v>
      </c>
      <c r="D1474" s="1535">
        <v>1</v>
      </c>
      <c r="E1474" s="1044"/>
      <c r="F1474" s="1056" t="str">
        <f>VLOOKUP($B1474,DG!A:D,DG!$C$2,)</f>
        <v>Ty neo Ø22x3700</v>
      </c>
      <c r="G1474" s="1044" t="str">
        <f>VLOOKUP($B1474,DG!A:D,DG!$D$2,)</f>
        <v>cái</v>
      </c>
      <c r="H1474" s="1823">
        <f t="shared" ref="H1474:N1476" si="290">H$1473*$D1474</f>
        <v>0</v>
      </c>
      <c r="I1474" s="1823">
        <f t="shared" si="290"/>
        <v>0</v>
      </c>
      <c r="J1474" s="1823">
        <f t="shared" si="290"/>
        <v>0</v>
      </c>
      <c r="K1474" s="1823">
        <f t="shared" si="290"/>
        <v>0</v>
      </c>
      <c r="L1474" s="1823">
        <f t="shared" si="290"/>
        <v>0</v>
      </c>
      <c r="M1474" s="1823">
        <f t="shared" si="290"/>
        <v>0</v>
      </c>
      <c r="N1474" s="1823">
        <f t="shared" si="290"/>
        <v>0</v>
      </c>
      <c r="O1474" s="1823"/>
      <c r="P1474" s="1823"/>
      <c r="Q1474" s="1053"/>
      <c r="R1474" s="1053"/>
      <c r="S1474" s="1053"/>
      <c r="T1474" s="2035">
        <f t="shared" si="286"/>
        <v>0</v>
      </c>
    </row>
    <row r="1475" spans="1:20" ht="22.2" hidden="1" customHeight="1">
      <c r="A1475" s="59"/>
      <c r="B1475" s="1577" t="s">
        <v>2137</v>
      </c>
      <c r="C1475" s="1013" t="str">
        <f t="shared" si="288"/>
        <v xml:space="preserve"> </v>
      </c>
      <c r="D1475" s="1535">
        <v>1</v>
      </c>
      <c r="E1475" s="1044" t="str">
        <f>VLOOKUP($B1475,DG!A:D,DG!$B$2,)</f>
        <v>04.3802</v>
      </c>
      <c r="F1475" s="1056" t="str">
        <f>VLOOKUP($B1475,DG!A:D,DG!$C$2,)</f>
        <v>Đế neo BTCT 600x1500</v>
      </c>
      <c r="G1475" s="1044" t="str">
        <f>VLOOKUP($B1475,DG!A:D,DG!$D$2,)</f>
        <v>cái</v>
      </c>
      <c r="H1475" s="1823">
        <f t="shared" si="290"/>
        <v>0</v>
      </c>
      <c r="I1475" s="1823">
        <f t="shared" si="290"/>
        <v>0</v>
      </c>
      <c r="J1475" s="1823">
        <f t="shared" si="290"/>
        <v>0</v>
      </c>
      <c r="K1475" s="1823">
        <f t="shared" si="290"/>
        <v>0</v>
      </c>
      <c r="L1475" s="1823">
        <f t="shared" si="290"/>
        <v>0</v>
      </c>
      <c r="M1475" s="1823">
        <f t="shared" si="290"/>
        <v>0</v>
      </c>
      <c r="N1475" s="1823">
        <f t="shared" si="290"/>
        <v>0</v>
      </c>
      <c r="O1475" s="1823"/>
      <c r="P1475" s="1823"/>
      <c r="Q1475" s="1053"/>
      <c r="R1475" s="1053"/>
      <c r="S1475" s="1053"/>
      <c r="T1475" s="2035">
        <f t="shared" si="286"/>
        <v>0</v>
      </c>
    </row>
    <row r="1476" spans="1:20" ht="22.2" hidden="1" customHeight="1">
      <c r="A1476" s="59"/>
      <c r="B1476" s="1577" t="s">
        <v>1064</v>
      </c>
      <c r="C1476" s="1013" t="str">
        <f t="shared" si="288"/>
        <v xml:space="preserve"> </v>
      </c>
      <c r="D1476" s="1545">
        <v>2</v>
      </c>
      <c r="E1476" s="1044" t="str">
        <f>VLOOKUP($B1476,DG!A:D,DG!$B$2,)</f>
        <v>04.9001</v>
      </c>
      <c r="F1476" s="1056" t="str">
        <f>VLOOKUP($B1476,DG!A:D,DG!$C$2,)</f>
        <v>Bitum</v>
      </c>
      <c r="G1476" s="1044" t="str">
        <f>VLOOKUP($B1476,DG!A:D,DG!$D$2,)</f>
        <v>m2</v>
      </c>
      <c r="H1476" s="1823">
        <f t="shared" si="290"/>
        <v>0</v>
      </c>
      <c r="I1476" s="1823">
        <f t="shared" si="290"/>
        <v>0</v>
      </c>
      <c r="J1476" s="1823">
        <f t="shared" si="290"/>
        <v>0</v>
      </c>
      <c r="K1476" s="1823">
        <f t="shared" si="290"/>
        <v>0</v>
      </c>
      <c r="L1476" s="1823">
        <f t="shared" si="290"/>
        <v>0</v>
      </c>
      <c r="M1476" s="1823">
        <f t="shared" si="290"/>
        <v>0</v>
      </c>
      <c r="N1476" s="1823">
        <f t="shared" si="290"/>
        <v>0</v>
      </c>
      <c r="O1476" s="1823"/>
      <c r="P1476" s="1823"/>
      <c r="Q1476" s="1053"/>
      <c r="R1476" s="1053"/>
      <c r="S1476" s="1053"/>
      <c r="T1476" s="2035">
        <f t="shared" si="286"/>
        <v>0</v>
      </c>
    </row>
    <row r="1477" spans="1:20" ht="22.2" hidden="1" customHeight="1">
      <c r="A1477" s="59"/>
      <c r="B1477" s="1577" t="s">
        <v>639</v>
      </c>
      <c r="C1477" s="1013" t="str">
        <f t="shared" si="288"/>
        <v xml:space="preserve"> </v>
      </c>
      <c r="D1477" s="1534">
        <v>11.01</v>
      </c>
      <c r="E1477" s="1044" t="str">
        <f>VLOOKUP($B1477,DG!A:D,DG!$B$2,)</f>
        <v>03.1013</v>
      </c>
      <c r="F1477" s="1049" t="str">
        <f>VLOOKUP($B1477,DG!A:D,DG!$C$2,)</f>
        <v>Đào hố móng đất cấp 3 sâu &gt;1m</v>
      </c>
      <c r="G1477" s="1044" t="str">
        <f>VLOOKUP($B1477,DG!A:D,DG!$D$2,)</f>
        <v>m3</v>
      </c>
      <c r="H1477" s="1823"/>
      <c r="I1477" s="1823"/>
      <c r="J1477" s="1823"/>
      <c r="K1477" s="1823"/>
      <c r="L1477" s="1823"/>
      <c r="M1477" s="1823"/>
      <c r="N1477" s="1823"/>
      <c r="O1477" s="1823"/>
      <c r="P1477" s="1823"/>
      <c r="Q1477" s="1053"/>
      <c r="R1477" s="1053"/>
      <c r="S1477" s="1053"/>
      <c r="T1477" s="2035">
        <f t="shared" si="286"/>
        <v>0</v>
      </c>
    </row>
    <row r="1478" spans="1:20" ht="22.2" hidden="1" customHeight="1">
      <c r="A1478" s="59"/>
      <c r="B1478" s="1577" t="s">
        <v>21</v>
      </c>
      <c r="C1478" s="1013" t="str">
        <f t="shared" si="288"/>
        <v xml:space="preserve"> </v>
      </c>
      <c r="D1478" s="1534">
        <v>12.48</v>
      </c>
      <c r="E1478" s="1044" t="str">
        <f>VLOOKUP($B1478,DG!A:D,DG!$B$2,)</f>
        <v>03.4113</v>
      </c>
      <c r="F1478" s="1049" t="str">
        <f>VLOOKUP($B1478,DG!A:D,DG!$C$2,)</f>
        <v>Đắp đất hố móng, độ chặt k=0,95</v>
      </c>
      <c r="G1478" s="1044" t="str">
        <f>VLOOKUP($B1478,DG!A:D,DG!$D$2,)</f>
        <v>m3</v>
      </c>
      <c r="H1478" s="1823"/>
      <c r="I1478" s="1823"/>
      <c r="J1478" s="1823"/>
      <c r="K1478" s="1823"/>
      <c r="L1478" s="1823"/>
      <c r="M1478" s="1823"/>
      <c r="N1478" s="1823"/>
      <c r="O1478" s="1823"/>
      <c r="P1478" s="1823"/>
      <c r="Q1478" s="1053"/>
      <c r="R1478" s="1053"/>
      <c r="S1478" s="1053"/>
      <c r="T1478" s="2035">
        <f t="shared" si="286"/>
        <v>0</v>
      </c>
    </row>
    <row r="1479" spans="1:20" ht="22.2" hidden="1" customHeight="1">
      <c r="A1479" s="59"/>
      <c r="B1479" s="1577" t="s">
        <v>637</v>
      </c>
      <c r="C1479" s="1013" t="str">
        <f t="shared" si="288"/>
        <v xml:space="preserve"> </v>
      </c>
      <c r="D1479" s="1534">
        <f>D1480</f>
        <v>0.28899999999999998</v>
      </c>
      <c r="E1479" s="1044" t="str">
        <f>VLOOKUP($B1479,DG!A:D,DG!$B$2,)</f>
        <v>02.1123</v>
      </c>
      <c r="F1479" s="1049" t="str">
        <f>VLOOKUP($B1479,DG!A:D,DG!$C$2,)</f>
        <v>Bốc dỡ đà cản, đế néo</v>
      </c>
      <c r="G1479" s="1044" t="str">
        <f>VLOOKUP($B1479,DG!A:D,DG!$D$2,)</f>
        <v>tấn</v>
      </c>
      <c r="H1479" s="1823"/>
      <c r="I1479" s="1823"/>
      <c r="J1479" s="1823"/>
      <c r="K1479" s="1823"/>
      <c r="L1479" s="1823"/>
      <c r="M1479" s="1823"/>
      <c r="N1479" s="1823"/>
      <c r="O1479" s="1823"/>
      <c r="P1479" s="1823"/>
      <c r="Q1479" s="1053"/>
      <c r="R1479" s="1053"/>
      <c r="S1479" s="1053"/>
      <c r="T1479" s="2035">
        <f t="shared" si="286"/>
        <v>0</v>
      </c>
    </row>
    <row r="1480" spans="1:20" ht="22.2" hidden="1" customHeight="1">
      <c r="A1480" s="59"/>
      <c r="B1480" s="1588" t="s">
        <v>605</v>
      </c>
      <c r="C1480" s="1013" t="str">
        <f t="shared" si="288"/>
        <v xml:space="preserve"> </v>
      </c>
      <c r="D1480" s="1534">
        <v>0.28899999999999998</v>
      </c>
      <c r="E1480" s="1044" t="str">
        <f>VLOOKUP($B1480,DG!A:C,2,)</f>
        <v>02.1451</v>
      </c>
      <c r="F1480" s="1049" t="str">
        <f>VLOOKUP($B1480,DG!A:C,3,)</f>
        <v>V/c đế néo vào vị trí (cự ly &lt;=100m)</v>
      </c>
      <c r="G1480" s="1044" t="str">
        <f>VLOOKUP($B1480,DG!A:D,4,0)</f>
        <v>tấn</v>
      </c>
      <c r="H1480" s="1823"/>
      <c r="I1480" s="1823"/>
      <c r="J1480" s="1823"/>
      <c r="K1480" s="1823"/>
      <c r="L1480" s="1823"/>
      <c r="M1480" s="1823"/>
      <c r="N1480" s="1823"/>
      <c r="O1480" s="1823"/>
      <c r="P1480" s="1823"/>
      <c r="Q1480" s="1058"/>
      <c r="R1480" s="1058"/>
      <c r="S1480" s="1058"/>
      <c r="T1480" s="2035">
        <f t="shared" si="286"/>
        <v>0</v>
      </c>
    </row>
    <row r="1481" spans="1:20" ht="22.2" hidden="1" customHeight="1">
      <c r="A1481" s="59"/>
      <c r="B1481" s="1588" t="s">
        <v>606</v>
      </c>
      <c r="C1481" s="1013" t="str">
        <f t="shared" si="288"/>
        <v xml:space="preserve"> </v>
      </c>
      <c r="D1481" s="1534">
        <v>0.05</v>
      </c>
      <c r="E1481" s="1044" t="str">
        <f>VLOOKUP($B1481,DG!A:C,2,)</f>
        <v>02.1482</v>
      </c>
      <c r="F1481" s="1049" t="str">
        <f>VLOOKUP($B1481,DG!A:C,3,)</f>
        <v>V/c dụng cụ thi công vào vị trí (cự ly &lt;=100m)</v>
      </c>
      <c r="G1481" s="1044" t="str">
        <f>VLOOKUP($B1481,DG!A:D,4,0)</f>
        <v>tấn</v>
      </c>
      <c r="H1481" s="1823"/>
      <c r="I1481" s="1823"/>
      <c r="J1481" s="1823"/>
      <c r="K1481" s="1823"/>
      <c r="L1481" s="1823"/>
      <c r="M1481" s="1823"/>
      <c r="N1481" s="1823"/>
      <c r="O1481" s="1823"/>
      <c r="P1481" s="1823"/>
      <c r="Q1481" s="1058"/>
      <c r="R1481" s="1058"/>
      <c r="S1481" s="1058"/>
      <c r="T1481" s="2035">
        <f t="shared" si="286"/>
        <v>0</v>
      </c>
    </row>
    <row r="1482" spans="1:20" ht="22.2" hidden="1" customHeight="1">
      <c r="A1482" s="970" t="s">
        <v>1094</v>
      </c>
      <c r="B1482" s="1574" t="s">
        <v>1094</v>
      </c>
      <c r="C1482" s="1013" t="str">
        <f t="shared" si="288"/>
        <v xml:space="preserve"> </v>
      </c>
      <c r="D1482" s="1532"/>
      <c r="E1482" s="1045"/>
      <c r="F1482" s="1392" t="s">
        <v>2504</v>
      </c>
      <c r="G1482" s="1046" t="s">
        <v>2391</v>
      </c>
      <c r="H1482" s="1821">
        <f>SUM(I1482:O1482)</f>
        <v>0</v>
      </c>
      <c r="I1482" s="1822"/>
      <c r="J1482" s="1822"/>
      <c r="K1482" s="1822">
        <f>IFERROR(HLOOKUP(B1482,pp3p1m!$1:$3,3,0),0)</f>
        <v>0</v>
      </c>
      <c r="L1482" s="1822">
        <f>IFERROR(HLOOKUP(chitiet!B1482,pp1p!$1:$3,3,0),0)</f>
        <v>0</v>
      </c>
      <c r="M1482" s="1822"/>
      <c r="N1482" s="1822"/>
      <c r="O1482" s="1822"/>
      <c r="P1482" s="1822">
        <f>H1482+Q1482-R1482</f>
        <v>0</v>
      </c>
      <c r="Q1482" s="1047"/>
      <c r="R1482" s="1047"/>
      <c r="S1482" s="1047"/>
      <c r="T1482" s="2035">
        <f>IFERROR(HLOOKUP(B1482,pp1p!$1:$3,3,0),0)+IFERROR(HLOOKUP(B1482,pp3p1m!$1:$3,3,0),0)</f>
        <v>0</v>
      </c>
    </row>
    <row r="1483" spans="1:20" ht="22.2" hidden="1" customHeight="1">
      <c r="A1483" s="59"/>
      <c r="B1483" s="1577" t="s">
        <v>2003</v>
      </c>
      <c r="C1483" s="1013" t="str">
        <f t="shared" si="288"/>
        <v xml:space="preserve"> </v>
      </c>
      <c r="D1483" s="1535">
        <v>1</v>
      </c>
      <c r="E1483" s="1044"/>
      <c r="F1483" s="1056" t="str">
        <f>VLOOKUP($B1483,DG!A:D,DG!$C$2,)</f>
        <v>Ty neo Ø22x3000</v>
      </c>
      <c r="G1483" s="1044" t="str">
        <f>VLOOKUP($B1483,DG!A:D,DG!$D$2,)</f>
        <v>cái</v>
      </c>
      <c r="H1483" s="1823">
        <f t="shared" ref="H1483:N1485" si="291">H$1482*$D1483</f>
        <v>0</v>
      </c>
      <c r="I1483" s="1823">
        <f t="shared" si="291"/>
        <v>0</v>
      </c>
      <c r="J1483" s="1823">
        <f t="shared" si="291"/>
        <v>0</v>
      </c>
      <c r="K1483" s="1823">
        <f t="shared" si="291"/>
        <v>0</v>
      </c>
      <c r="L1483" s="1823">
        <f t="shared" si="291"/>
        <v>0</v>
      </c>
      <c r="M1483" s="1823">
        <f t="shared" si="291"/>
        <v>0</v>
      </c>
      <c r="N1483" s="1823">
        <f t="shared" si="291"/>
        <v>0</v>
      </c>
      <c r="O1483" s="1823"/>
      <c r="P1483" s="1823"/>
      <c r="Q1483" s="1053"/>
      <c r="R1483" s="1053"/>
      <c r="S1483" s="1053"/>
      <c r="T1483" s="2035">
        <f t="shared" si="286"/>
        <v>0</v>
      </c>
    </row>
    <row r="1484" spans="1:20" ht="22.2" hidden="1" customHeight="1">
      <c r="A1484" s="59"/>
      <c r="B1484" s="1577" t="s">
        <v>2137</v>
      </c>
      <c r="C1484" s="1013" t="str">
        <f t="shared" si="288"/>
        <v xml:space="preserve"> </v>
      </c>
      <c r="D1484" s="1535">
        <v>1</v>
      </c>
      <c r="E1484" s="1044" t="str">
        <f>VLOOKUP($B1484,DG!A:D,DG!$B$2,)</f>
        <v>04.3802</v>
      </c>
      <c r="F1484" s="1056" t="str">
        <f>VLOOKUP($B1484,DG!A:D,DG!$C$2,)</f>
        <v>Đế neo BTCT 600x1500</v>
      </c>
      <c r="G1484" s="1044" t="str">
        <f>VLOOKUP($B1484,DG!A:D,DG!$D$2,)</f>
        <v>cái</v>
      </c>
      <c r="H1484" s="1823">
        <f t="shared" si="291"/>
        <v>0</v>
      </c>
      <c r="I1484" s="1823">
        <f t="shared" si="291"/>
        <v>0</v>
      </c>
      <c r="J1484" s="1823">
        <f t="shared" si="291"/>
        <v>0</v>
      </c>
      <c r="K1484" s="1823">
        <f t="shared" si="291"/>
        <v>0</v>
      </c>
      <c r="L1484" s="1823">
        <f t="shared" si="291"/>
        <v>0</v>
      </c>
      <c r="M1484" s="1823">
        <f t="shared" si="291"/>
        <v>0</v>
      </c>
      <c r="N1484" s="1823">
        <f t="shared" si="291"/>
        <v>0</v>
      </c>
      <c r="O1484" s="1823"/>
      <c r="P1484" s="1823"/>
      <c r="Q1484" s="1053"/>
      <c r="R1484" s="1053"/>
      <c r="S1484" s="1053"/>
      <c r="T1484" s="2035">
        <f t="shared" si="286"/>
        <v>0</v>
      </c>
    </row>
    <row r="1485" spans="1:20" ht="22.2" hidden="1" customHeight="1">
      <c r="A1485" s="59"/>
      <c r="B1485" s="1577" t="s">
        <v>1064</v>
      </c>
      <c r="C1485" s="1013" t="str">
        <f t="shared" si="288"/>
        <v xml:space="preserve"> </v>
      </c>
      <c r="D1485" s="1545">
        <v>2</v>
      </c>
      <c r="E1485" s="1044" t="str">
        <f>VLOOKUP($B1485,DG!A:D,DG!$B$2,)</f>
        <v>04.9001</v>
      </c>
      <c r="F1485" s="1056" t="str">
        <f>VLOOKUP($B1485,DG!A:D,DG!$C$2,)</f>
        <v>Bitum</v>
      </c>
      <c r="G1485" s="1044" t="str">
        <f>VLOOKUP($B1485,DG!A:D,DG!$D$2,)</f>
        <v>m2</v>
      </c>
      <c r="H1485" s="1823">
        <f t="shared" si="291"/>
        <v>0</v>
      </c>
      <c r="I1485" s="1823">
        <f t="shared" si="291"/>
        <v>0</v>
      </c>
      <c r="J1485" s="1823">
        <f t="shared" si="291"/>
        <v>0</v>
      </c>
      <c r="K1485" s="1823">
        <f t="shared" si="291"/>
        <v>0</v>
      </c>
      <c r="L1485" s="1823">
        <f t="shared" si="291"/>
        <v>0</v>
      </c>
      <c r="M1485" s="1823">
        <f t="shared" si="291"/>
        <v>0</v>
      </c>
      <c r="N1485" s="1823">
        <f t="shared" si="291"/>
        <v>0</v>
      </c>
      <c r="O1485" s="1823"/>
      <c r="P1485" s="1823"/>
      <c r="Q1485" s="1053"/>
      <c r="R1485" s="1053"/>
      <c r="S1485" s="1053"/>
      <c r="T1485" s="2035">
        <f t="shared" si="286"/>
        <v>0</v>
      </c>
    </row>
    <row r="1486" spans="1:20" ht="22.2" hidden="1" customHeight="1">
      <c r="A1486" s="59"/>
      <c r="B1486" s="1577" t="s">
        <v>639</v>
      </c>
      <c r="C1486" s="1013" t="str">
        <f t="shared" si="288"/>
        <v xml:space="preserve"> </v>
      </c>
      <c r="D1486" s="1534">
        <v>10.56</v>
      </c>
      <c r="E1486" s="1044" t="str">
        <f>VLOOKUP($B1486,DG!A:D,DG!$B$2,)</f>
        <v>03.1013</v>
      </c>
      <c r="F1486" s="1049" t="str">
        <f>VLOOKUP($B1486,DG!A:D,DG!$C$2,)</f>
        <v>Đào hố móng đất cấp 3 sâu &gt;1m</v>
      </c>
      <c r="G1486" s="1044" t="str">
        <f>VLOOKUP($B1486,DG!A:D,DG!$D$2,)</f>
        <v>m3</v>
      </c>
      <c r="H1486" s="1823"/>
      <c r="I1486" s="1823"/>
      <c r="J1486" s="1823"/>
      <c r="K1486" s="1823"/>
      <c r="L1486" s="1823"/>
      <c r="M1486" s="1823"/>
      <c r="N1486" s="1823"/>
      <c r="O1486" s="1823"/>
      <c r="P1486" s="1823"/>
      <c r="Q1486" s="1053"/>
      <c r="R1486" s="1053"/>
      <c r="S1486" s="1053"/>
      <c r="T1486" s="2035">
        <f t="shared" si="286"/>
        <v>0</v>
      </c>
    </row>
    <row r="1487" spans="1:20" ht="22.2" hidden="1" customHeight="1">
      <c r="A1487" s="59"/>
      <c r="B1487" s="1577" t="s">
        <v>21</v>
      </c>
      <c r="C1487" s="1013" t="str">
        <f t="shared" si="288"/>
        <v xml:space="preserve"> </v>
      </c>
      <c r="D1487" s="1534">
        <v>11.78</v>
      </c>
      <c r="E1487" s="1044" t="str">
        <f>VLOOKUP($B1487,DG!A:D,DG!$B$2,)</f>
        <v>03.4113</v>
      </c>
      <c r="F1487" s="1049" t="str">
        <f>VLOOKUP($B1487,DG!A:D,DG!$C$2,)</f>
        <v>Đắp đất hố móng, độ chặt k=0,95</v>
      </c>
      <c r="G1487" s="1044" t="str">
        <f>VLOOKUP($B1487,DG!A:D,DG!$D$2,)</f>
        <v>m3</v>
      </c>
      <c r="H1487" s="1823"/>
      <c r="I1487" s="1823"/>
      <c r="J1487" s="1823"/>
      <c r="K1487" s="1823"/>
      <c r="L1487" s="1823"/>
      <c r="M1487" s="1823"/>
      <c r="N1487" s="1823"/>
      <c r="O1487" s="1823"/>
      <c r="P1487" s="1823"/>
      <c r="Q1487" s="1053"/>
      <c r="R1487" s="1053"/>
      <c r="S1487" s="1053"/>
      <c r="T1487" s="2035">
        <f t="shared" si="286"/>
        <v>0</v>
      </c>
    </row>
    <row r="1488" spans="1:20" ht="22.2" hidden="1" customHeight="1">
      <c r="A1488" s="59"/>
      <c r="B1488" s="1577" t="s">
        <v>637</v>
      </c>
      <c r="C1488" s="1013" t="str">
        <f t="shared" si="288"/>
        <v xml:space="preserve"> </v>
      </c>
      <c r="D1488" s="1534">
        <f>D1489</f>
        <v>0.28899999999999998</v>
      </c>
      <c r="E1488" s="1044" t="str">
        <f>VLOOKUP($B1488,DG!A:D,DG!$B$2,)</f>
        <v>02.1123</v>
      </c>
      <c r="F1488" s="1049" t="str">
        <f>VLOOKUP($B1488,DG!A:D,DG!$C$2,)</f>
        <v>Bốc dỡ đà cản, đế néo</v>
      </c>
      <c r="G1488" s="1044" t="str">
        <f>VLOOKUP($B1488,DG!A:D,DG!$D$2,)</f>
        <v>tấn</v>
      </c>
      <c r="H1488" s="1823"/>
      <c r="I1488" s="1823"/>
      <c r="J1488" s="1823"/>
      <c r="K1488" s="1823"/>
      <c r="L1488" s="1823"/>
      <c r="M1488" s="1823"/>
      <c r="N1488" s="1823"/>
      <c r="O1488" s="1823"/>
      <c r="P1488" s="1823"/>
      <c r="Q1488" s="1053"/>
      <c r="R1488" s="1053"/>
      <c r="S1488" s="1053"/>
      <c r="T1488" s="2035">
        <f t="shared" si="286"/>
        <v>0</v>
      </c>
    </row>
    <row r="1489" spans="1:20" ht="22.2" hidden="1" customHeight="1">
      <c r="A1489" s="59"/>
      <c r="B1489" s="1588" t="s">
        <v>605</v>
      </c>
      <c r="C1489" s="1013" t="str">
        <f t="shared" si="288"/>
        <v xml:space="preserve"> </v>
      </c>
      <c r="D1489" s="1534">
        <v>0.28899999999999998</v>
      </c>
      <c r="E1489" s="1044" t="str">
        <f>VLOOKUP($B1489,DG!A:C,2,)</f>
        <v>02.1451</v>
      </c>
      <c r="F1489" s="1049" t="str">
        <f>VLOOKUP($B1489,DG!A:C,3,)</f>
        <v>V/c đế néo vào vị trí (cự ly &lt;=100m)</v>
      </c>
      <c r="G1489" s="1044" t="str">
        <f>VLOOKUP($B1489,DG!A:D,4,0)</f>
        <v>tấn</v>
      </c>
      <c r="H1489" s="1823"/>
      <c r="I1489" s="1823"/>
      <c r="J1489" s="1823"/>
      <c r="K1489" s="1823"/>
      <c r="L1489" s="1823"/>
      <c r="M1489" s="1823"/>
      <c r="N1489" s="1823"/>
      <c r="O1489" s="1823"/>
      <c r="P1489" s="1823"/>
      <c r="Q1489" s="1058"/>
      <c r="R1489" s="1058"/>
      <c r="S1489" s="1058"/>
      <c r="T1489" s="2035">
        <f t="shared" si="286"/>
        <v>0</v>
      </c>
    </row>
    <row r="1490" spans="1:20" ht="22.2" hidden="1" customHeight="1">
      <c r="A1490" s="59"/>
      <c r="B1490" s="1588" t="s">
        <v>606</v>
      </c>
      <c r="C1490" s="1013" t="str">
        <f t="shared" si="288"/>
        <v xml:space="preserve"> </v>
      </c>
      <c r="D1490" s="1534">
        <v>0.05</v>
      </c>
      <c r="E1490" s="1044" t="str">
        <f>VLOOKUP($B1490,DG!A:C,2,)</f>
        <v>02.1482</v>
      </c>
      <c r="F1490" s="1049" t="str">
        <f>VLOOKUP($B1490,DG!A:C,3,)</f>
        <v>V/c dụng cụ thi công vào vị trí (cự ly &lt;=100m)</v>
      </c>
      <c r="G1490" s="1044" t="str">
        <f>VLOOKUP($B1490,DG!A:D,4,0)</f>
        <v>tấn</v>
      </c>
      <c r="H1490" s="1823"/>
      <c r="I1490" s="1823"/>
      <c r="J1490" s="1823"/>
      <c r="K1490" s="1823"/>
      <c r="L1490" s="1823"/>
      <c r="M1490" s="1823"/>
      <c r="N1490" s="1823"/>
      <c r="O1490" s="1823"/>
      <c r="P1490" s="1823"/>
      <c r="Q1490" s="1058"/>
      <c r="R1490" s="1058"/>
      <c r="S1490" s="1058"/>
      <c r="T1490" s="2035">
        <f t="shared" si="286"/>
        <v>0</v>
      </c>
    </row>
    <row r="1491" spans="1:20" ht="22.2" customHeight="1">
      <c r="A1491" s="1572"/>
      <c r="B1491" s="1574">
        <v>0</v>
      </c>
      <c r="C1491" s="1832" t="s">
        <v>1960</v>
      </c>
      <c r="D1491" s="1547">
        <f>SUM(H1491:N1491)+S1491</f>
        <v>0</v>
      </c>
      <c r="E1491" s="1046" t="s">
        <v>1912</v>
      </c>
      <c r="F1491" s="1046" t="s">
        <v>2306</v>
      </c>
      <c r="G1491" s="1045"/>
      <c r="H1491" s="1821">
        <f t="shared" ref="H1491:H1492" si="292">SUM(I1491:O1491)</f>
        <v>0</v>
      </c>
      <c r="I1491" s="1816"/>
      <c r="J1491" s="1816"/>
      <c r="K1491" s="1816"/>
      <c r="L1491" s="1822">
        <f>IFERROR(HLOOKUP(chitiet!B1491,pp1p!$1:$3,3,0),0)</f>
        <v>0</v>
      </c>
      <c r="M1491" s="1816"/>
      <c r="N1491" s="1816"/>
      <c r="O1491" s="1816"/>
      <c r="P1491" s="1821">
        <f>H1491+Q1491-R1491</f>
        <v>0</v>
      </c>
      <c r="Q1491" s="1045"/>
      <c r="R1491" s="1045"/>
      <c r="S1491" s="1045"/>
      <c r="T1491" s="2035">
        <f t="shared" si="286"/>
        <v>0</v>
      </c>
    </row>
    <row r="1492" spans="1:20" ht="22.2" hidden="1" customHeight="1">
      <c r="A1492" s="1016" t="s">
        <v>28</v>
      </c>
      <c r="B1492" s="1574" t="s">
        <v>28</v>
      </c>
      <c r="C1492" s="1013" t="str">
        <f>IF(D1492&lt;&gt;0,"x"," ")</f>
        <v xml:space="preserve"> </v>
      </c>
      <c r="D1492" s="1532">
        <f>IF(SUM(D1493:D1511)&lt;&gt;0,1,0)</f>
        <v>0</v>
      </c>
      <c r="E1492" s="1046" t="s">
        <v>2176</v>
      </c>
      <c r="F1492" s="1392" t="s">
        <v>4433</v>
      </c>
      <c r="G1492" s="1046" t="s">
        <v>2307</v>
      </c>
      <c r="H1492" s="1821">
        <f t="shared" si="292"/>
        <v>0</v>
      </c>
      <c r="I1492" s="1822"/>
      <c r="J1492" s="1822"/>
      <c r="K1492" s="1822"/>
      <c r="L1492" s="1822">
        <f>IFERROR(HLOOKUP(chitiet!B1492,pp1p!$1:$3,3,0),0)</f>
        <v>0</v>
      </c>
      <c r="M1492" s="1822"/>
      <c r="N1492" s="1822"/>
      <c r="O1492" s="1822"/>
      <c r="P1492" s="1822">
        <f>H1492+Q1492-R1492</f>
        <v>0</v>
      </c>
      <c r="Q1492" s="1047"/>
      <c r="R1492" s="1047"/>
      <c r="S1492" s="1047"/>
      <c r="T1492" s="2035">
        <f t="shared" si="286"/>
        <v>0</v>
      </c>
    </row>
    <row r="1493" spans="1:20" ht="22.2" hidden="1" customHeight="1">
      <c r="A1493" s="59"/>
      <c r="B1493" s="1577" t="s">
        <v>728</v>
      </c>
      <c r="C1493" s="1013" t="str">
        <f t="shared" si="288"/>
        <v xml:space="preserve"> </v>
      </c>
      <c r="D1493" s="1545">
        <f>ROUND(E1493*1.02*0.952,2)</f>
        <v>0</v>
      </c>
      <c r="E1493" s="1061">
        <f>pp_NC!D186</f>
        <v>0</v>
      </c>
      <c r="F1493" s="1056" t="str">
        <f>VLOOKUP($B1493,DG!A:D,DG!$C$2,)</f>
        <v>Cáp nhôm lõi thép AC-240/39</v>
      </c>
      <c r="G1493" s="1044" t="str">
        <f>VLOOKUP($B1493,DG!A:D,DG!$D$2,)</f>
        <v>kg</v>
      </c>
      <c r="H1493" s="1823">
        <f t="shared" ref="H1493:H1524" si="293">$D1493</f>
        <v>0</v>
      </c>
      <c r="I1493" s="1823"/>
      <c r="J1493" s="1823">
        <f t="shared" ref="J1493:J1524" si="294">D1493</f>
        <v>0</v>
      </c>
      <c r="K1493" s="1823"/>
      <c r="L1493" s="1823"/>
      <c r="M1493" s="1823"/>
      <c r="N1493" s="1823"/>
      <c r="O1493" s="1823"/>
      <c r="P1493" s="1823">
        <f>H1493+Q1493-R1493</f>
        <v>0</v>
      </c>
      <c r="Q1493" s="1053"/>
      <c r="R1493" s="1053"/>
      <c r="S1493" s="1053"/>
      <c r="T1493" s="2035">
        <f t="shared" si="286"/>
        <v>0</v>
      </c>
    </row>
    <row r="1494" spans="1:20" ht="22.2" hidden="1" customHeight="1">
      <c r="A1494" s="59"/>
      <c r="B1494" s="1577" t="s">
        <v>729</v>
      </c>
      <c r="C1494" s="1013" t="str">
        <f t="shared" si="288"/>
        <v xml:space="preserve"> </v>
      </c>
      <c r="D1494" s="1545">
        <f>ROUND(E1494*1.02*0.727,2)</f>
        <v>0</v>
      </c>
      <c r="E1494" s="1061">
        <f>pp_NC!D187</f>
        <v>0</v>
      </c>
      <c r="F1494" s="1056" t="str">
        <f>VLOOKUP($B1494,DG!A:D,DG!$C$2,)</f>
        <v>Cáp nhôm lõi thép AC-185/29</v>
      </c>
      <c r="G1494" s="1044" t="str">
        <f>VLOOKUP($B1494,DG!A:D,DG!$D$2,)</f>
        <v>kg</v>
      </c>
      <c r="H1494" s="1823">
        <f t="shared" si="293"/>
        <v>0</v>
      </c>
      <c r="I1494" s="1823"/>
      <c r="J1494" s="1823">
        <f t="shared" si="294"/>
        <v>0</v>
      </c>
      <c r="K1494" s="1823"/>
      <c r="L1494" s="1823"/>
      <c r="M1494" s="1823"/>
      <c r="N1494" s="1823"/>
      <c r="O1494" s="1823"/>
      <c r="P1494" s="1823">
        <f t="shared" ref="P1494:P1557" si="295">H1494+Q1494-R1494</f>
        <v>0</v>
      </c>
      <c r="Q1494" s="1053"/>
      <c r="R1494" s="1053"/>
      <c r="S1494" s="1053"/>
      <c r="T1494" s="2035">
        <f t="shared" si="286"/>
        <v>0</v>
      </c>
    </row>
    <row r="1495" spans="1:20" ht="22.2" hidden="1" customHeight="1">
      <c r="A1495" s="59"/>
      <c r="B1495" s="1577" t="s">
        <v>841</v>
      </c>
      <c r="C1495" s="1013" t="str">
        <f t="shared" si="288"/>
        <v xml:space="preserve"> </v>
      </c>
      <c r="D1495" s="1545">
        <f>ROUND(E1495*1.02*0.6,2)</f>
        <v>0</v>
      </c>
      <c r="E1495" s="1061">
        <f>pp_NC!D188</f>
        <v>0</v>
      </c>
      <c r="F1495" s="1056" t="str">
        <f>VLOOKUP($B1495,DG!A:D,DG!$C$2,)</f>
        <v>Cáp nhôm lõi thép AC-150/24</v>
      </c>
      <c r="G1495" s="1044" t="str">
        <f>VLOOKUP($B1495,DG!A:D,DG!$D$2,)</f>
        <v>kg</v>
      </c>
      <c r="H1495" s="1823">
        <f t="shared" si="293"/>
        <v>0</v>
      </c>
      <c r="I1495" s="1823"/>
      <c r="J1495" s="1823">
        <f t="shared" si="294"/>
        <v>0</v>
      </c>
      <c r="K1495" s="1823"/>
      <c r="L1495" s="1823"/>
      <c r="M1495" s="1823"/>
      <c r="N1495" s="1823"/>
      <c r="O1495" s="1823"/>
      <c r="P1495" s="1823">
        <f t="shared" si="295"/>
        <v>0</v>
      </c>
      <c r="Q1495" s="1053"/>
      <c r="R1495" s="1053"/>
      <c r="S1495" s="1053"/>
      <c r="T1495" s="2035">
        <f t="shared" si="286"/>
        <v>0</v>
      </c>
    </row>
    <row r="1496" spans="1:20" ht="22.2" hidden="1" customHeight="1">
      <c r="A1496" s="59"/>
      <c r="B1496" s="1577" t="s">
        <v>539</v>
      </c>
      <c r="C1496" s="1013" t="str">
        <f t="shared" si="288"/>
        <v xml:space="preserve"> </v>
      </c>
      <c r="D1496" s="1545">
        <f>ROUND(E1496*1.02*0.471,2)</f>
        <v>0</v>
      </c>
      <c r="E1496" s="1061"/>
      <c r="F1496" s="1056" t="str">
        <f>VLOOKUP($B1496,DG!A:D,DG!$C$2,)</f>
        <v>Cáp nhôm lõi thép AC-120/19</v>
      </c>
      <c r="G1496" s="1044" t="str">
        <f>VLOOKUP($B1496,DG!A:D,DG!$D$2,)</f>
        <v>kg</v>
      </c>
      <c r="H1496" s="1823">
        <f t="shared" si="293"/>
        <v>0</v>
      </c>
      <c r="I1496" s="1823"/>
      <c r="J1496" s="1823">
        <f t="shared" si="294"/>
        <v>0</v>
      </c>
      <c r="K1496" s="1823"/>
      <c r="L1496" s="1823"/>
      <c r="M1496" s="1823"/>
      <c r="N1496" s="1823"/>
      <c r="O1496" s="1823"/>
      <c r="P1496" s="1823">
        <f t="shared" si="295"/>
        <v>0</v>
      </c>
      <c r="Q1496" s="1053"/>
      <c r="R1496" s="1053"/>
      <c r="S1496" s="1053"/>
      <c r="T1496" s="2035">
        <f t="shared" si="286"/>
        <v>0</v>
      </c>
    </row>
    <row r="1497" spans="1:20" ht="22.2" hidden="1" customHeight="1">
      <c r="A1497" s="59"/>
      <c r="B1497" s="1577" t="s">
        <v>269</v>
      </c>
      <c r="C1497" s="1013" t="str">
        <f t="shared" si="288"/>
        <v xml:space="preserve"> </v>
      </c>
      <c r="D1497" s="1545">
        <f>ROUND(E1497*1.02*0.384,2)</f>
        <v>0</v>
      </c>
      <c r="E1497" s="1061">
        <f>pp_NC!D190</f>
        <v>0</v>
      </c>
      <c r="F1497" s="1056" t="str">
        <f>VLOOKUP($B1497,DG!A:D,DG!$C$2,)</f>
        <v>Cáp nhôm lõi thép AC-95/16</v>
      </c>
      <c r="G1497" s="1044" t="str">
        <f>VLOOKUP($B1497,DG!A:D,DG!$D$2,)</f>
        <v>kg</v>
      </c>
      <c r="H1497" s="1823">
        <f t="shared" si="293"/>
        <v>0</v>
      </c>
      <c r="I1497" s="1823"/>
      <c r="J1497" s="1823">
        <f t="shared" si="294"/>
        <v>0</v>
      </c>
      <c r="K1497" s="1823"/>
      <c r="L1497" s="1823"/>
      <c r="M1497" s="1823"/>
      <c r="N1497" s="1823"/>
      <c r="O1497" s="1823"/>
      <c r="P1497" s="1823">
        <f t="shared" si="295"/>
        <v>0</v>
      </c>
      <c r="Q1497" s="1053"/>
      <c r="R1497" s="1053"/>
      <c r="S1497" s="1053"/>
      <c r="T1497" s="2035">
        <f t="shared" si="286"/>
        <v>0</v>
      </c>
    </row>
    <row r="1498" spans="1:20" ht="22.2" hidden="1" customHeight="1">
      <c r="A1498" s="59"/>
      <c r="B1498" s="1577" t="s">
        <v>1242</v>
      </c>
      <c r="C1498" s="1013" t="str">
        <f t="shared" si="288"/>
        <v xml:space="preserve"> </v>
      </c>
      <c r="D1498" s="1545">
        <f>ROUND(E1498*1.02*0.274,2)</f>
        <v>0</v>
      </c>
      <c r="E1498" s="1061">
        <f>pp_NC!D191</f>
        <v>0</v>
      </c>
      <c r="F1498" s="1056" t="str">
        <f>VLOOKUP($B1498,DG!A:D,DG!$C$2,)</f>
        <v>Cáp nhôm lõi thép AC-70/11</v>
      </c>
      <c r="G1498" s="1044" t="str">
        <f>VLOOKUP($B1498,DG!A:D,DG!$D$2,)</f>
        <v>kg</v>
      </c>
      <c r="H1498" s="1823">
        <f t="shared" si="293"/>
        <v>0</v>
      </c>
      <c r="I1498" s="1823"/>
      <c r="J1498" s="1823">
        <f t="shared" si="294"/>
        <v>0</v>
      </c>
      <c r="K1498" s="1823"/>
      <c r="L1498" s="1823"/>
      <c r="M1498" s="1823"/>
      <c r="N1498" s="1823"/>
      <c r="O1498" s="1823"/>
      <c r="P1498" s="1823">
        <f t="shared" si="295"/>
        <v>0</v>
      </c>
      <c r="Q1498" s="1053"/>
      <c r="R1498" s="1053"/>
      <c r="S1498" s="1053"/>
      <c r="T1498" s="2035">
        <f t="shared" si="286"/>
        <v>0</v>
      </c>
    </row>
    <row r="1499" spans="1:20" ht="22.2" hidden="1" customHeight="1">
      <c r="A1499" s="59"/>
      <c r="B1499" s="1577" t="s">
        <v>88</v>
      </c>
      <c r="C1499" s="1013" t="str">
        <f t="shared" si="288"/>
        <v xml:space="preserve"> </v>
      </c>
      <c r="D1499" s="1545">
        <f>ROUND(E1499*1.02*0.195,2)</f>
        <v>0</v>
      </c>
      <c r="E1499" s="1061"/>
      <c r="F1499" s="1056" t="str">
        <f>VLOOKUP($B1499,DG!A:D,DG!$C$2,)</f>
        <v>Cáp nhôm lõi thép AC-50/8</v>
      </c>
      <c r="G1499" s="1044" t="str">
        <f>VLOOKUP($B1499,DG!A:D,DG!$D$2,)</f>
        <v>kg</v>
      </c>
      <c r="H1499" s="1823">
        <f t="shared" si="293"/>
        <v>0</v>
      </c>
      <c r="I1499" s="1823"/>
      <c r="J1499" s="1823">
        <f t="shared" si="294"/>
        <v>0</v>
      </c>
      <c r="K1499" s="1823"/>
      <c r="L1499" s="1823"/>
      <c r="M1499" s="1823"/>
      <c r="N1499" s="1823"/>
      <c r="O1499" s="1823"/>
      <c r="P1499" s="1823">
        <f t="shared" si="295"/>
        <v>0</v>
      </c>
      <c r="Q1499" s="1053"/>
      <c r="R1499" s="1053"/>
      <c r="S1499" s="1053"/>
      <c r="T1499" s="2035">
        <f t="shared" si="286"/>
        <v>0</v>
      </c>
    </row>
    <row r="1500" spans="1:20" ht="22.2" hidden="1" customHeight="1">
      <c r="A1500" s="1015"/>
      <c r="B1500" s="1571" t="s">
        <v>360</v>
      </c>
      <c r="C1500" s="1013" t="str">
        <f t="shared" si="288"/>
        <v xml:space="preserve"> </v>
      </c>
      <c r="D1500" s="1545">
        <f>E1500*2.04</f>
        <v>0</v>
      </c>
      <c r="E1500" s="1061">
        <f>pp_NC!C199</f>
        <v>0</v>
      </c>
      <c r="F1500" s="1056" t="str">
        <f>VLOOKUP($B1500,DG!A:D,DG!$C$2,)</f>
        <v>Cáp 24KV ACX 50mm2</v>
      </c>
      <c r="G1500" s="1044" t="str">
        <f>VLOOKUP($B1500,DG!A:D,DG!$D$2,)</f>
        <v>mét</v>
      </c>
      <c r="H1500" s="1823">
        <f t="shared" si="293"/>
        <v>0</v>
      </c>
      <c r="I1500" s="1823"/>
      <c r="J1500" s="1823">
        <f t="shared" si="294"/>
        <v>0</v>
      </c>
      <c r="K1500" s="1823"/>
      <c r="L1500" s="1823"/>
      <c r="M1500" s="1823"/>
      <c r="N1500" s="1823"/>
      <c r="O1500" s="1823"/>
      <c r="P1500" s="1823">
        <f t="shared" si="295"/>
        <v>0</v>
      </c>
      <c r="Q1500" s="1053"/>
      <c r="R1500" s="1053"/>
      <c r="S1500" s="1053"/>
      <c r="T1500" s="2035">
        <f t="shared" si="286"/>
        <v>0</v>
      </c>
    </row>
    <row r="1501" spans="1:20" ht="22.2" hidden="1" customHeight="1">
      <c r="A1501" s="59"/>
      <c r="B1501" s="1577" t="s">
        <v>1798</v>
      </c>
      <c r="C1501" s="1013" t="str">
        <f t="shared" si="288"/>
        <v xml:space="preserve"> </v>
      </c>
      <c r="D1501" s="1535">
        <f t="shared" ref="D1501:D1506" si="296">ROUND(E1501*1.03,2)</f>
        <v>0</v>
      </c>
      <c r="E1501" s="1061">
        <f>pp_NC!D193</f>
        <v>0</v>
      </c>
      <c r="F1501" s="1056" t="str">
        <f>VLOOKUP($B1501,DG!A:D,DG!$C$2,)</f>
        <v>Cáp 24KV A/XLPE/PVC 240mm2</v>
      </c>
      <c r="G1501" s="1044" t="str">
        <f>VLOOKUP($B1501,DG!A:D,DG!$D$2,)</f>
        <v>mét</v>
      </c>
      <c r="H1501" s="1823">
        <f t="shared" si="293"/>
        <v>0</v>
      </c>
      <c r="I1501" s="1823"/>
      <c r="J1501" s="1823">
        <f t="shared" si="294"/>
        <v>0</v>
      </c>
      <c r="K1501" s="1823"/>
      <c r="L1501" s="1823"/>
      <c r="M1501" s="1823"/>
      <c r="N1501" s="1823"/>
      <c r="O1501" s="1823"/>
      <c r="P1501" s="1823">
        <f t="shared" si="295"/>
        <v>0</v>
      </c>
      <c r="Q1501" s="1053"/>
      <c r="R1501" s="1053"/>
      <c r="S1501" s="1053"/>
      <c r="T1501" s="2035">
        <f t="shared" si="286"/>
        <v>0</v>
      </c>
    </row>
    <row r="1502" spans="1:20" ht="22.2" hidden="1" customHeight="1">
      <c r="A1502" s="59"/>
      <c r="B1502" s="1577" t="s">
        <v>1031</v>
      </c>
      <c r="C1502" s="1013" t="str">
        <f t="shared" si="288"/>
        <v xml:space="preserve"> </v>
      </c>
      <c r="D1502" s="1535">
        <f t="shared" si="296"/>
        <v>0</v>
      </c>
      <c r="E1502" s="1061">
        <f>pp_NC!D194</f>
        <v>0</v>
      </c>
      <c r="F1502" s="1056" t="str">
        <f>VLOOKUP($B1502,DG!A:D,DG!$C$2,)</f>
        <v>Cáp 24KV A/XLPE/PVC 185mm2</v>
      </c>
      <c r="G1502" s="1044" t="str">
        <f>VLOOKUP($B1502,DG!A:D,DG!$D$2,)</f>
        <v>mét</v>
      </c>
      <c r="H1502" s="1823">
        <f t="shared" si="293"/>
        <v>0</v>
      </c>
      <c r="I1502" s="1823"/>
      <c r="J1502" s="1823">
        <f t="shared" si="294"/>
        <v>0</v>
      </c>
      <c r="K1502" s="1823"/>
      <c r="L1502" s="1823"/>
      <c r="M1502" s="1823"/>
      <c r="N1502" s="1823"/>
      <c r="O1502" s="1823"/>
      <c r="P1502" s="1823">
        <f t="shared" si="295"/>
        <v>0</v>
      </c>
      <c r="Q1502" s="1053"/>
      <c r="R1502" s="1053"/>
      <c r="S1502" s="1053"/>
      <c r="T1502" s="2035">
        <f t="shared" si="286"/>
        <v>0</v>
      </c>
    </row>
    <row r="1503" spans="1:20" ht="22.2" hidden="1" customHeight="1">
      <c r="A1503" s="59"/>
      <c r="B1503" s="1577" t="s">
        <v>1032</v>
      </c>
      <c r="C1503" s="1013" t="str">
        <f t="shared" si="288"/>
        <v xml:space="preserve"> </v>
      </c>
      <c r="D1503" s="1535">
        <f t="shared" si="296"/>
        <v>0</v>
      </c>
      <c r="E1503" s="1061">
        <f>pp_NC!D195</f>
        <v>0</v>
      </c>
      <c r="F1503" s="1056" t="str">
        <f>VLOOKUP($B1503,DG!A:D,DG!$C$2,)</f>
        <v>Cáp 24KV A/XLPE/PVC 150mm2</v>
      </c>
      <c r="G1503" s="1044" t="str">
        <f>VLOOKUP($B1503,DG!A:D,DG!$D$2,)</f>
        <v>mét</v>
      </c>
      <c r="H1503" s="1823">
        <f t="shared" si="293"/>
        <v>0</v>
      </c>
      <c r="I1503" s="1823"/>
      <c r="J1503" s="1823">
        <f t="shared" si="294"/>
        <v>0</v>
      </c>
      <c r="K1503" s="1823"/>
      <c r="L1503" s="1823"/>
      <c r="M1503" s="1823"/>
      <c r="N1503" s="1823"/>
      <c r="O1503" s="1823"/>
      <c r="P1503" s="1823">
        <f t="shared" si="295"/>
        <v>0</v>
      </c>
      <c r="Q1503" s="1053"/>
      <c r="R1503" s="1053"/>
      <c r="S1503" s="1053"/>
      <c r="T1503" s="2035">
        <f t="shared" si="286"/>
        <v>0</v>
      </c>
    </row>
    <row r="1504" spans="1:20" ht="22.2" hidden="1" customHeight="1">
      <c r="A1504" s="59"/>
      <c r="B1504" s="1577" t="s">
        <v>657</v>
      </c>
      <c r="C1504" s="1013" t="str">
        <f t="shared" si="288"/>
        <v xml:space="preserve"> </v>
      </c>
      <c r="D1504" s="1535">
        <f t="shared" si="296"/>
        <v>0</v>
      </c>
      <c r="E1504" s="1061">
        <f>pp_NC!D196</f>
        <v>0</v>
      </c>
      <c r="F1504" s="1056" t="str">
        <f>VLOOKUP($B1504,DG!A:D,DG!$C$2,)</f>
        <v>Cáp 24KV A/XLPE/PVC 120mm2</v>
      </c>
      <c r="G1504" s="1044" t="str">
        <f>VLOOKUP($B1504,DG!A:D,DG!$D$2,)</f>
        <v>mét</v>
      </c>
      <c r="H1504" s="1823">
        <f t="shared" si="293"/>
        <v>0</v>
      </c>
      <c r="I1504" s="1823"/>
      <c r="J1504" s="1823">
        <f t="shared" si="294"/>
        <v>0</v>
      </c>
      <c r="K1504" s="1823"/>
      <c r="L1504" s="1823"/>
      <c r="M1504" s="1823"/>
      <c r="N1504" s="1823"/>
      <c r="O1504" s="1823"/>
      <c r="P1504" s="1823">
        <f t="shared" si="295"/>
        <v>0</v>
      </c>
      <c r="Q1504" s="1053"/>
      <c r="R1504" s="1053"/>
      <c r="S1504" s="1053"/>
      <c r="T1504" s="2035">
        <f t="shared" si="286"/>
        <v>0</v>
      </c>
    </row>
    <row r="1505" spans="1:20" ht="22.2" hidden="1" customHeight="1">
      <c r="A1505" s="59"/>
      <c r="B1505" s="1577" t="s">
        <v>57</v>
      </c>
      <c r="C1505" s="1013" t="str">
        <f t="shared" si="288"/>
        <v xml:space="preserve"> </v>
      </c>
      <c r="D1505" s="1535">
        <f t="shared" si="296"/>
        <v>0</v>
      </c>
      <c r="E1505" s="1061">
        <f>pp_NC!D197</f>
        <v>0</v>
      </c>
      <c r="F1505" s="1056" t="str">
        <f>VLOOKUP($B1505,DG!A:D,DG!$C$2,)</f>
        <v>Cáp 24KV A/XLPE/PVC 95mm2</v>
      </c>
      <c r="G1505" s="1044" t="str">
        <f>VLOOKUP($B1505,DG!A:D,DG!$D$2,)</f>
        <v>mét</v>
      </c>
      <c r="H1505" s="1823">
        <f t="shared" si="293"/>
        <v>0</v>
      </c>
      <c r="I1505" s="1823"/>
      <c r="J1505" s="1823">
        <f t="shared" si="294"/>
        <v>0</v>
      </c>
      <c r="K1505" s="1823"/>
      <c r="L1505" s="1823"/>
      <c r="M1505" s="1823"/>
      <c r="N1505" s="1823"/>
      <c r="O1505" s="1823"/>
      <c r="P1505" s="1823">
        <f t="shared" si="295"/>
        <v>0</v>
      </c>
      <c r="Q1505" s="1053"/>
      <c r="R1505" s="1053"/>
      <c r="S1505" s="1053"/>
      <c r="T1505" s="2035">
        <f t="shared" si="286"/>
        <v>0</v>
      </c>
    </row>
    <row r="1506" spans="1:20" ht="22.2" hidden="1" customHeight="1">
      <c r="A1506" s="59"/>
      <c r="B1506" s="1577" t="s">
        <v>56</v>
      </c>
      <c r="C1506" s="1013" t="str">
        <f t="shared" si="288"/>
        <v xml:space="preserve"> </v>
      </c>
      <c r="D1506" s="1535">
        <f t="shared" si="296"/>
        <v>0</v>
      </c>
      <c r="E1506" s="1061">
        <f>pp_NC!D198</f>
        <v>0</v>
      </c>
      <c r="F1506" s="1056" t="str">
        <f>VLOOKUP($B1506,DG!A:D,DG!$C$2,)</f>
        <v>Cáp 24KV A/XLPE/PVC 70mm2</v>
      </c>
      <c r="G1506" s="1044" t="str">
        <f>VLOOKUP($B1506,DG!A:D,DG!$D$2,)</f>
        <v>mét</v>
      </c>
      <c r="H1506" s="1823">
        <f t="shared" si="293"/>
        <v>0</v>
      </c>
      <c r="I1506" s="1823"/>
      <c r="J1506" s="1823">
        <f t="shared" si="294"/>
        <v>0</v>
      </c>
      <c r="K1506" s="1823"/>
      <c r="L1506" s="1823"/>
      <c r="M1506" s="1823"/>
      <c r="N1506" s="1823"/>
      <c r="O1506" s="1823"/>
      <c r="P1506" s="1823">
        <f t="shared" si="295"/>
        <v>0</v>
      </c>
      <c r="Q1506" s="1053"/>
      <c r="R1506" s="1053"/>
      <c r="S1506" s="1053"/>
      <c r="T1506" s="2035">
        <f t="shared" si="286"/>
        <v>0</v>
      </c>
    </row>
    <row r="1507" spans="1:20" ht="22.2" hidden="1" customHeight="1">
      <c r="A1507" s="59"/>
      <c r="B1507" s="1596" t="s">
        <v>2505</v>
      </c>
      <c r="C1507" s="1013" t="str">
        <f t="shared" si="288"/>
        <v xml:space="preserve"> </v>
      </c>
      <c r="D1507" s="1535">
        <f>pp_NC!DK184</f>
        <v>0</v>
      </c>
      <c r="E1507" s="1044"/>
      <c r="F1507" s="1062" t="s">
        <v>2506</v>
      </c>
      <c r="G1507" s="1063" t="s">
        <v>2445</v>
      </c>
      <c r="H1507" s="1823">
        <f t="shared" si="293"/>
        <v>0</v>
      </c>
      <c r="I1507" s="1823"/>
      <c r="J1507" s="1823">
        <f t="shared" si="294"/>
        <v>0</v>
      </c>
      <c r="K1507" s="1823"/>
      <c r="L1507" s="1823"/>
      <c r="M1507" s="1823"/>
      <c r="N1507" s="1823"/>
      <c r="O1507" s="1823"/>
      <c r="P1507" s="1823">
        <f t="shared" si="295"/>
        <v>0</v>
      </c>
      <c r="Q1507" s="1053"/>
      <c r="R1507" s="1053"/>
      <c r="S1507" s="1053"/>
      <c r="T1507" s="2035">
        <f t="shared" si="286"/>
        <v>0</v>
      </c>
    </row>
    <row r="1508" spans="1:20" ht="22.2" hidden="1" customHeight="1">
      <c r="A1508" s="59"/>
      <c r="B1508" s="1577" t="s">
        <v>1913</v>
      </c>
      <c r="C1508" s="1013" t="str">
        <f t="shared" si="288"/>
        <v xml:space="preserve"> </v>
      </c>
      <c r="D1508" s="1535">
        <f>D1507</f>
        <v>0</v>
      </c>
      <c r="E1508" s="1044"/>
      <c r="F1508" s="1056" t="str">
        <f>VLOOKUP($B1508,DG!A:D,DG!$C$2,)</f>
        <v>Uclevis + sứ ống chỉ</v>
      </c>
      <c r="G1508" s="1044" t="str">
        <f>VLOOKUP($B1508,DG!A:D,DG!$D$2,)</f>
        <v>bộ</v>
      </c>
      <c r="H1508" s="1823">
        <f t="shared" si="293"/>
        <v>0</v>
      </c>
      <c r="I1508" s="1823"/>
      <c r="J1508" s="1823">
        <f t="shared" si="294"/>
        <v>0</v>
      </c>
      <c r="K1508" s="1823"/>
      <c r="L1508" s="1823"/>
      <c r="M1508" s="1823"/>
      <c r="N1508" s="1823"/>
      <c r="O1508" s="1823"/>
      <c r="P1508" s="1823">
        <f t="shared" si="295"/>
        <v>0</v>
      </c>
      <c r="Q1508" s="1053"/>
      <c r="R1508" s="1053"/>
      <c r="S1508" s="1053"/>
      <c r="T1508" s="2035">
        <f t="shared" si="286"/>
        <v>0</v>
      </c>
    </row>
    <row r="1509" spans="1:20" ht="22.2" hidden="1" customHeight="1">
      <c r="A1509" s="59"/>
      <c r="B1509" s="1577" t="s">
        <v>1613</v>
      </c>
      <c r="C1509" s="1013" t="str">
        <f t="shared" si="288"/>
        <v xml:space="preserve"> </v>
      </c>
      <c r="D1509" s="1535">
        <f>D1507</f>
        <v>0</v>
      </c>
      <c r="E1509" s="1044"/>
      <c r="F1509" s="1056" t="str">
        <f>VLOOKUP($B1509,DG!A:D,DG!$C$2,)</f>
        <v>Boulon 16x300+ 2 long đền vuông D18-50x50x3/Zn</v>
      </c>
      <c r="G1509" s="1044" t="str">
        <f>VLOOKUP($B1509,DG!A:D,DG!$D$2,)</f>
        <v>bộ</v>
      </c>
      <c r="H1509" s="1823">
        <f t="shared" si="293"/>
        <v>0</v>
      </c>
      <c r="I1509" s="1823"/>
      <c r="J1509" s="1823">
        <f t="shared" si="294"/>
        <v>0</v>
      </c>
      <c r="K1509" s="1823"/>
      <c r="L1509" s="1823"/>
      <c r="M1509" s="1823"/>
      <c r="N1509" s="1823"/>
      <c r="O1509" s="1823"/>
      <c r="P1509" s="1823">
        <f t="shared" si="295"/>
        <v>0</v>
      </c>
      <c r="Q1509" s="1053"/>
      <c r="R1509" s="1053"/>
      <c r="S1509" s="1053"/>
      <c r="T1509" s="2035">
        <f t="shared" si="286"/>
        <v>0</v>
      </c>
    </row>
    <row r="1510" spans="1:20" ht="22.2" hidden="1" customHeight="1">
      <c r="A1510" s="59"/>
      <c r="B1510" s="1596" t="s">
        <v>1624</v>
      </c>
      <c r="C1510" s="1013" t="str">
        <f t="shared" si="288"/>
        <v xml:space="preserve"> </v>
      </c>
      <c r="D1510" s="1535">
        <f>pp_NC!DM184</f>
        <v>0</v>
      </c>
      <c r="E1510" s="1044"/>
      <c r="F1510" s="1062" t="s">
        <v>2507</v>
      </c>
      <c r="G1510" s="1063" t="s">
        <v>2445</v>
      </c>
      <c r="H1510" s="1823">
        <f t="shared" si="293"/>
        <v>0</v>
      </c>
      <c r="I1510" s="1823"/>
      <c r="J1510" s="1823">
        <f t="shared" si="294"/>
        <v>0</v>
      </c>
      <c r="K1510" s="1823"/>
      <c r="L1510" s="1823"/>
      <c r="M1510" s="1823"/>
      <c r="N1510" s="1823"/>
      <c r="O1510" s="1823"/>
      <c r="P1510" s="1823">
        <f t="shared" si="295"/>
        <v>0</v>
      </c>
      <c r="Q1510" s="1053"/>
      <c r="R1510" s="1053"/>
      <c r="S1510" s="1053"/>
      <c r="T1510" s="2035">
        <f t="shared" si="286"/>
        <v>0</v>
      </c>
    </row>
    <row r="1511" spans="1:20" ht="22.2" hidden="1" customHeight="1">
      <c r="A1511" s="59"/>
      <c r="B1511" s="1577" t="s">
        <v>1913</v>
      </c>
      <c r="C1511" s="1013" t="str">
        <f t="shared" si="288"/>
        <v xml:space="preserve"> </v>
      </c>
      <c r="D1511" s="1535">
        <f>D1510</f>
        <v>0</v>
      </c>
      <c r="E1511" s="1044"/>
      <c r="F1511" s="1056" t="str">
        <f>VLOOKUP($B1511,DG!A:D,DG!$C$2,)</f>
        <v>Uclevis + sứ ống chỉ</v>
      </c>
      <c r="G1511" s="1044" t="str">
        <f>VLOOKUP($B1511,DG!A:D,DG!$D$2,)</f>
        <v>bộ</v>
      </c>
      <c r="H1511" s="1823">
        <f t="shared" si="293"/>
        <v>0</v>
      </c>
      <c r="I1511" s="1823"/>
      <c r="J1511" s="1823">
        <f t="shared" si="294"/>
        <v>0</v>
      </c>
      <c r="K1511" s="1823"/>
      <c r="L1511" s="1823"/>
      <c r="M1511" s="1823"/>
      <c r="N1511" s="1823"/>
      <c r="O1511" s="1823"/>
      <c r="P1511" s="1823">
        <f t="shared" si="295"/>
        <v>0</v>
      </c>
      <c r="Q1511" s="1053"/>
      <c r="R1511" s="1053"/>
      <c r="S1511" s="1053"/>
      <c r="T1511" s="2035">
        <f t="shared" si="286"/>
        <v>0</v>
      </c>
    </row>
    <row r="1512" spans="1:20" ht="22.2" hidden="1" customHeight="1">
      <c r="A1512" s="59"/>
      <c r="B1512" s="1577" t="s">
        <v>1613</v>
      </c>
      <c r="C1512" s="1013" t="str">
        <f t="shared" si="288"/>
        <v xml:space="preserve"> </v>
      </c>
      <c r="D1512" s="1535">
        <f>D1510</f>
        <v>0</v>
      </c>
      <c r="E1512" s="1044"/>
      <c r="F1512" s="1056" t="str">
        <f>VLOOKUP($B1512,DG!A:D,DG!$C$2,)</f>
        <v>Boulon 16x300+ 2 long đền vuông D18-50x50x3/Zn</v>
      </c>
      <c r="G1512" s="1044" t="str">
        <f>VLOOKUP($B1512,DG!A:D,DG!$D$2,)</f>
        <v>bộ</v>
      </c>
      <c r="H1512" s="1823">
        <f t="shared" si="293"/>
        <v>0</v>
      </c>
      <c r="I1512" s="1823"/>
      <c r="J1512" s="1823">
        <f t="shared" si="294"/>
        <v>0</v>
      </c>
      <c r="K1512" s="1823"/>
      <c r="L1512" s="1823"/>
      <c r="M1512" s="1823"/>
      <c r="N1512" s="1823"/>
      <c r="O1512" s="1823"/>
      <c r="P1512" s="1823">
        <f t="shared" si="295"/>
        <v>0</v>
      </c>
      <c r="Q1512" s="1053"/>
      <c r="R1512" s="1053"/>
      <c r="S1512" s="1053"/>
      <c r="T1512" s="2035">
        <f t="shared" si="286"/>
        <v>0</v>
      </c>
    </row>
    <row r="1513" spans="1:20" ht="22.2" hidden="1" customHeight="1">
      <c r="A1513" s="59"/>
      <c r="B1513" s="1577" t="s">
        <v>1855</v>
      </c>
      <c r="C1513" s="1013" t="str">
        <f t="shared" si="288"/>
        <v xml:space="preserve"> </v>
      </c>
      <c r="D1513" s="1535">
        <f>D1510*3</f>
        <v>0</v>
      </c>
      <c r="E1513" s="1044"/>
      <c r="F1513" s="1056" t="str">
        <f>VLOOKUP($B1513,DG!A:D,DG!$C$2,)</f>
        <v>Kẹp 2 rãnh (APC) cỡ dây 50mm2</v>
      </c>
      <c r="G1513" s="1044" t="str">
        <f>VLOOKUP($B1513,DG!A:D,DG!$D$2,)</f>
        <v>cái</v>
      </c>
      <c r="H1513" s="1823">
        <f t="shared" si="293"/>
        <v>0</v>
      </c>
      <c r="I1513" s="1823"/>
      <c r="J1513" s="1823">
        <f t="shared" si="294"/>
        <v>0</v>
      </c>
      <c r="K1513" s="1823"/>
      <c r="L1513" s="1823"/>
      <c r="M1513" s="1823"/>
      <c r="N1513" s="1823"/>
      <c r="O1513" s="1823"/>
      <c r="P1513" s="1823">
        <f t="shared" si="295"/>
        <v>0</v>
      </c>
      <c r="Q1513" s="1053"/>
      <c r="R1513" s="1053"/>
      <c r="S1513" s="1053"/>
      <c r="T1513" s="2035">
        <f t="shared" si="286"/>
        <v>0</v>
      </c>
    </row>
    <row r="1514" spans="1:20" ht="22.2" hidden="1" customHeight="1">
      <c r="A1514" s="59"/>
      <c r="B1514" s="1596" t="s">
        <v>1625</v>
      </c>
      <c r="C1514" s="1013" t="str">
        <f t="shared" si="288"/>
        <v xml:space="preserve"> </v>
      </c>
      <c r="D1514" s="1535">
        <f>pp_NC!DN184</f>
        <v>0</v>
      </c>
      <c r="E1514" s="1044"/>
      <c r="F1514" s="1062" t="s">
        <v>2508</v>
      </c>
      <c r="G1514" s="1063" t="s">
        <v>2445</v>
      </c>
      <c r="H1514" s="1823">
        <f t="shared" si="293"/>
        <v>0</v>
      </c>
      <c r="I1514" s="1823"/>
      <c r="J1514" s="1823">
        <f t="shared" si="294"/>
        <v>0</v>
      </c>
      <c r="K1514" s="1823"/>
      <c r="L1514" s="1823"/>
      <c r="M1514" s="1823"/>
      <c r="N1514" s="1823"/>
      <c r="O1514" s="1823"/>
      <c r="P1514" s="1823">
        <f t="shared" si="295"/>
        <v>0</v>
      </c>
      <c r="Q1514" s="1053"/>
      <c r="R1514" s="1053"/>
      <c r="S1514" s="1053"/>
      <c r="T1514" s="2035">
        <f t="shared" si="286"/>
        <v>0</v>
      </c>
    </row>
    <row r="1515" spans="1:20" ht="22.2" hidden="1" customHeight="1">
      <c r="A1515" s="59"/>
      <c r="B1515" s="1597" t="s">
        <v>904</v>
      </c>
      <c r="C1515" s="1013" t="str">
        <f t="shared" si="288"/>
        <v xml:space="preserve"> </v>
      </c>
      <c r="D1515" s="1535">
        <f>D1514</f>
        <v>0</v>
      </c>
      <c r="E1515" s="1044"/>
      <c r="F1515" s="1056" t="str">
        <f>VLOOKUP($B1515,DG!A:D,DG!$C$2,)</f>
        <v>Khóa néo dây cỡ dây 50</v>
      </c>
      <c r="G1515" s="1044" t="str">
        <f>VLOOKUP($B1515,DG!A:D,DG!$D$2,)</f>
        <v>cái</v>
      </c>
      <c r="H1515" s="1823">
        <f t="shared" si="293"/>
        <v>0</v>
      </c>
      <c r="I1515" s="1823"/>
      <c r="J1515" s="1823">
        <f t="shared" si="294"/>
        <v>0</v>
      </c>
      <c r="K1515" s="1823"/>
      <c r="L1515" s="1823"/>
      <c r="M1515" s="1823"/>
      <c r="N1515" s="1823"/>
      <c r="O1515" s="1823"/>
      <c r="P1515" s="1823">
        <f t="shared" si="295"/>
        <v>0</v>
      </c>
      <c r="Q1515" s="1053"/>
      <c r="R1515" s="1053"/>
      <c r="S1515" s="1053"/>
      <c r="T1515" s="2035">
        <f t="shared" si="286"/>
        <v>0</v>
      </c>
    </row>
    <row r="1516" spans="1:20" ht="22.2" hidden="1" customHeight="1">
      <c r="A1516" s="59"/>
      <c r="B1516" s="1577" t="s">
        <v>1489</v>
      </c>
      <c r="C1516" s="1013" t="str">
        <f t="shared" si="288"/>
        <v xml:space="preserve"> </v>
      </c>
      <c r="D1516" s="1535">
        <f>D1514*2</f>
        <v>0</v>
      </c>
      <c r="E1516" s="1044"/>
      <c r="F1516" s="1056" t="str">
        <f>VLOOKUP($B1516,DG!A:D,DG!$C$2,)</f>
        <v xml:space="preserve">Móc treo chữ U </v>
      </c>
      <c r="G1516" s="1044" t="str">
        <f>VLOOKUP($B1516,DG!A:D,DG!$D$2,)</f>
        <v>cái</v>
      </c>
      <c r="H1516" s="1823">
        <f t="shared" si="293"/>
        <v>0</v>
      </c>
      <c r="I1516" s="1823"/>
      <c r="J1516" s="1823">
        <f t="shared" si="294"/>
        <v>0</v>
      </c>
      <c r="K1516" s="1823"/>
      <c r="L1516" s="1823"/>
      <c r="M1516" s="1823"/>
      <c r="N1516" s="1823"/>
      <c r="O1516" s="1823"/>
      <c r="P1516" s="1823">
        <f t="shared" si="295"/>
        <v>0</v>
      </c>
      <c r="Q1516" s="1053"/>
      <c r="R1516" s="1053"/>
      <c r="S1516" s="1053"/>
      <c r="T1516" s="2035">
        <f t="shared" ref="T1516:T1579" si="297">IFERROR(HLOOKUP(B1516,BangKeTru,3,0),0)</f>
        <v>0</v>
      </c>
    </row>
    <row r="1517" spans="1:20" ht="22.2" hidden="1" customHeight="1">
      <c r="A1517" s="59"/>
      <c r="B1517" s="1577" t="s">
        <v>417</v>
      </c>
      <c r="C1517" s="1013" t="str">
        <f t="shared" si="288"/>
        <v xml:space="preserve"> </v>
      </c>
      <c r="D1517" s="1535">
        <f>D1515</f>
        <v>0</v>
      </c>
      <c r="E1517" s="1044"/>
      <c r="F1517" s="1056" t="str">
        <f>VLOOKUP($B1517,DG!A:D,DG!$C$2,)</f>
        <v>Boulon mắt 16x300+ 2 long đền vuông D18-50x50x3/Zn</v>
      </c>
      <c r="G1517" s="1044" t="str">
        <f>VLOOKUP($B1517,DG!A:D,DG!$D$2,)</f>
        <v>bộ</v>
      </c>
      <c r="H1517" s="1823">
        <f t="shared" si="293"/>
        <v>0</v>
      </c>
      <c r="I1517" s="1823"/>
      <c r="J1517" s="1823">
        <f t="shared" si="294"/>
        <v>0</v>
      </c>
      <c r="K1517" s="1823"/>
      <c r="L1517" s="1823"/>
      <c r="M1517" s="1823"/>
      <c r="N1517" s="1823"/>
      <c r="O1517" s="1823"/>
      <c r="P1517" s="1823">
        <f t="shared" si="295"/>
        <v>0</v>
      </c>
      <c r="Q1517" s="1053"/>
      <c r="R1517" s="1053"/>
      <c r="S1517" s="1053"/>
      <c r="T1517" s="2035">
        <f t="shared" si="297"/>
        <v>0</v>
      </c>
    </row>
    <row r="1518" spans="1:20" ht="22.2" hidden="1" customHeight="1">
      <c r="A1518" s="59"/>
      <c r="B1518" s="1577" t="s">
        <v>1582</v>
      </c>
      <c r="C1518" s="1013" t="str">
        <f t="shared" si="288"/>
        <v xml:space="preserve"> </v>
      </c>
      <c r="D1518" s="1535">
        <f>D1514</f>
        <v>0</v>
      </c>
      <c r="E1518" s="1044"/>
      <c r="F1518" s="1056" t="str">
        <f>VLOOKUP($B1518,DG!A:D,DG!$C$2,)</f>
        <v>Kẹp ép WR cỡ dây 50mm2</v>
      </c>
      <c r="G1518" s="1044" t="str">
        <f>VLOOKUP($B1518,DG!A:D,DG!$D$2,)</f>
        <v>cái</v>
      </c>
      <c r="H1518" s="1823">
        <f t="shared" si="293"/>
        <v>0</v>
      </c>
      <c r="I1518" s="1823"/>
      <c r="J1518" s="1823">
        <f t="shared" si="294"/>
        <v>0</v>
      </c>
      <c r="K1518" s="1823"/>
      <c r="L1518" s="1823"/>
      <c r="M1518" s="1823"/>
      <c r="N1518" s="1823"/>
      <c r="O1518" s="1823"/>
      <c r="P1518" s="1823">
        <f t="shared" si="295"/>
        <v>0</v>
      </c>
      <c r="Q1518" s="1053"/>
      <c r="R1518" s="1053"/>
      <c r="S1518" s="1053"/>
      <c r="T1518" s="2035">
        <f t="shared" si="297"/>
        <v>0</v>
      </c>
    </row>
    <row r="1519" spans="1:20" ht="22.2" hidden="1" customHeight="1">
      <c r="A1519" s="59"/>
      <c r="B1519" s="1596" t="s">
        <v>2166</v>
      </c>
      <c r="C1519" s="1013" t="str">
        <f t="shared" si="288"/>
        <v xml:space="preserve"> </v>
      </c>
      <c r="D1519" s="1535">
        <f>pp_NC!DO95</f>
        <v>0</v>
      </c>
      <c r="E1519" s="1044"/>
      <c r="F1519" s="1062" t="s">
        <v>2509</v>
      </c>
      <c r="G1519" s="1063" t="s">
        <v>2445</v>
      </c>
      <c r="H1519" s="1823">
        <f t="shared" si="293"/>
        <v>0</v>
      </c>
      <c r="I1519" s="1823"/>
      <c r="J1519" s="1823">
        <f t="shared" si="294"/>
        <v>0</v>
      </c>
      <c r="K1519" s="1823"/>
      <c r="L1519" s="1823"/>
      <c r="M1519" s="1823"/>
      <c r="N1519" s="1823"/>
      <c r="O1519" s="1823"/>
      <c r="P1519" s="1823">
        <f t="shared" si="295"/>
        <v>0</v>
      </c>
      <c r="Q1519" s="1053"/>
      <c r="R1519" s="1053"/>
      <c r="S1519" s="1053"/>
      <c r="T1519" s="2035">
        <f t="shared" si="297"/>
        <v>0</v>
      </c>
    </row>
    <row r="1520" spans="1:20" ht="22.2" hidden="1" customHeight="1">
      <c r="A1520" s="59"/>
      <c r="B1520" s="1597" t="s">
        <v>904</v>
      </c>
      <c r="C1520" s="1013" t="str">
        <f t="shared" si="288"/>
        <v xml:space="preserve"> </v>
      </c>
      <c r="D1520" s="1535">
        <f>D1519</f>
        <v>0</v>
      </c>
      <c r="E1520" s="1044"/>
      <c r="F1520" s="1056" t="str">
        <f>VLOOKUP($B1520,DG!A:D,DG!$C$2,)</f>
        <v>Khóa néo dây cỡ dây 50</v>
      </c>
      <c r="G1520" s="1044" t="str">
        <f>VLOOKUP($B1520,DG!A:D,DG!$D$2,)</f>
        <v>cái</v>
      </c>
      <c r="H1520" s="1823">
        <f t="shared" si="293"/>
        <v>0</v>
      </c>
      <c r="I1520" s="1823"/>
      <c r="J1520" s="1823">
        <f t="shared" si="294"/>
        <v>0</v>
      </c>
      <c r="K1520" s="1823"/>
      <c r="L1520" s="1823"/>
      <c r="M1520" s="1823"/>
      <c r="N1520" s="1823"/>
      <c r="O1520" s="1823"/>
      <c r="P1520" s="1823">
        <f t="shared" si="295"/>
        <v>0</v>
      </c>
      <c r="Q1520" s="1053"/>
      <c r="R1520" s="1053"/>
      <c r="S1520" s="1053"/>
      <c r="T1520" s="2035">
        <f t="shared" si="297"/>
        <v>0</v>
      </c>
    </row>
    <row r="1521" spans="1:20" ht="22.2" hidden="1" customHeight="1">
      <c r="A1521" s="59"/>
      <c r="B1521" s="1577" t="s">
        <v>1489</v>
      </c>
      <c r="C1521" s="1013" t="str">
        <f t="shared" si="288"/>
        <v xml:space="preserve"> </v>
      </c>
      <c r="D1521" s="1535">
        <f>D1519*2</f>
        <v>0</v>
      </c>
      <c r="E1521" s="1044"/>
      <c r="F1521" s="1056" t="str">
        <f>VLOOKUP($B1521,DG!A:D,DG!$C$2,)</f>
        <v xml:space="preserve">Móc treo chữ U </v>
      </c>
      <c r="G1521" s="1044" t="str">
        <f>VLOOKUP($B1521,DG!A:D,DG!$D$2,)</f>
        <v>cái</v>
      </c>
      <c r="H1521" s="1823">
        <f t="shared" si="293"/>
        <v>0</v>
      </c>
      <c r="I1521" s="1823"/>
      <c r="J1521" s="1823">
        <f t="shared" si="294"/>
        <v>0</v>
      </c>
      <c r="K1521" s="1823"/>
      <c r="L1521" s="1823"/>
      <c r="M1521" s="1823"/>
      <c r="N1521" s="1823"/>
      <c r="O1521" s="1823"/>
      <c r="P1521" s="1823">
        <f t="shared" si="295"/>
        <v>0</v>
      </c>
      <c r="Q1521" s="1053"/>
      <c r="R1521" s="1053"/>
      <c r="S1521" s="1053"/>
      <c r="T1521" s="2035">
        <f t="shared" si="297"/>
        <v>0</v>
      </c>
    </row>
    <row r="1522" spans="1:20" ht="22.2" hidden="1" customHeight="1">
      <c r="A1522" s="59"/>
      <c r="B1522" s="1577" t="s">
        <v>1582</v>
      </c>
      <c r="C1522" s="1013" t="str">
        <f t="shared" si="288"/>
        <v xml:space="preserve"> </v>
      </c>
      <c r="D1522" s="1535">
        <f>D1519*2</f>
        <v>0</v>
      </c>
      <c r="E1522" s="1044"/>
      <c r="F1522" s="1056" t="str">
        <f>VLOOKUP($B1522,DG!A:D,DG!$C$2,)</f>
        <v>Kẹp ép WR cỡ dây 50mm2</v>
      </c>
      <c r="G1522" s="1044" t="str">
        <f>VLOOKUP($B1522,DG!A:D,DG!$D$2,)</f>
        <v>cái</v>
      </c>
      <c r="H1522" s="1823">
        <f t="shared" si="293"/>
        <v>0</v>
      </c>
      <c r="I1522" s="1823"/>
      <c r="J1522" s="1823">
        <f t="shared" si="294"/>
        <v>0</v>
      </c>
      <c r="K1522" s="1823"/>
      <c r="L1522" s="1823"/>
      <c r="M1522" s="1823"/>
      <c r="N1522" s="1823"/>
      <c r="O1522" s="1823"/>
      <c r="P1522" s="1823">
        <f t="shared" si="295"/>
        <v>0</v>
      </c>
      <c r="Q1522" s="1053"/>
      <c r="R1522" s="1053"/>
      <c r="S1522" s="1053"/>
      <c r="T1522" s="2035">
        <f t="shared" si="297"/>
        <v>0</v>
      </c>
    </row>
    <row r="1523" spans="1:20" ht="22.2" hidden="1" customHeight="1">
      <c r="A1523" s="1015"/>
      <c r="B1523" s="1582" t="s">
        <v>2510</v>
      </c>
      <c r="C1523" s="1013" t="str">
        <f t="shared" si="288"/>
        <v xml:space="preserve"> </v>
      </c>
      <c r="D1523" s="1535">
        <f>pp_NC!DH184</f>
        <v>0</v>
      </c>
      <c r="E1523" s="1044"/>
      <c r="F1523" s="1062" t="s">
        <v>2511</v>
      </c>
      <c r="G1523" s="1063" t="s">
        <v>2445</v>
      </c>
      <c r="H1523" s="1823">
        <f t="shared" si="293"/>
        <v>0</v>
      </c>
      <c r="I1523" s="1823"/>
      <c r="J1523" s="1823">
        <f t="shared" si="294"/>
        <v>0</v>
      </c>
      <c r="K1523" s="1823"/>
      <c r="L1523" s="1823"/>
      <c r="M1523" s="1823"/>
      <c r="N1523" s="1823"/>
      <c r="O1523" s="1823"/>
      <c r="P1523" s="1823">
        <f t="shared" si="295"/>
        <v>0</v>
      </c>
      <c r="Q1523" s="1053"/>
      <c r="R1523" s="1053"/>
      <c r="S1523" s="1053"/>
      <c r="T1523" s="2035">
        <f t="shared" si="297"/>
        <v>0</v>
      </c>
    </row>
    <row r="1524" spans="1:20" ht="22.2" hidden="1" customHeight="1">
      <c r="A1524" s="1015"/>
      <c r="B1524" s="1571" t="s">
        <v>696</v>
      </c>
      <c r="C1524" s="1013" t="str">
        <f t="shared" ref="C1524:C1587" si="298">IF(OR(P1524&lt;&gt;0,H1524&lt;&gt;0),"x"," ")</f>
        <v xml:space="preserve"> </v>
      </c>
      <c r="D1524" s="1535">
        <f>D1523</f>
        <v>0</v>
      </c>
      <c r="E1524" s="1044"/>
      <c r="F1524" s="1056" t="str">
        <f>VLOOKUP($B1524,DG!A:D,DG!$C$2,)</f>
        <v xml:space="preserve">Sứ đứng 24KV </v>
      </c>
      <c r="G1524" s="1044" t="str">
        <f>VLOOKUP($B1524,DG!A:D,DG!$D$2,)</f>
        <v>cái</v>
      </c>
      <c r="H1524" s="1823">
        <f t="shared" si="293"/>
        <v>0</v>
      </c>
      <c r="I1524" s="1823"/>
      <c r="J1524" s="1823">
        <f t="shared" si="294"/>
        <v>0</v>
      </c>
      <c r="K1524" s="1823"/>
      <c r="L1524" s="1823"/>
      <c r="M1524" s="1823"/>
      <c r="N1524" s="1823"/>
      <c r="O1524" s="1823"/>
      <c r="P1524" s="1823">
        <f t="shared" si="295"/>
        <v>0</v>
      </c>
      <c r="Q1524" s="1053"/>
      <c r="R1524" s="1053"/>
      <c r="S1524" s="1053"/>
      <c r="T1524" s="2035">
        <f t="shared" si="297"/>
        <v>0</v>
      </c>
    </row>
    <row r="1525" spans="1:20" ht="22.2" hidden="1" customHeight="1">
      <c r="A1525" s="1015"/>
      <c r="B1525" s="1571" t="s">
        <v>1268</v>
      </c>
      <c r="C1525" s="1013" t="str">
        <f t="shared" si="298"/>
        <v xml:space="preserve"> </v>
      </c>
      <c r="D1525" s="1535">
        <f>D1523</f>
        <v>0</v>
      </c>
      <c r="E1525" s="1044"/>
      <c r="F1525" s="1056" t="str">
        <f>VLOOKUP($B1525,DG!A:D,DG!$C$2,)</f>
        <v>Chân sứ đứng D20</v>
      </c>
      <c r="G1525" s="1044" t="str">
        <f>VLOOKUP($B1525,DG!A:D,DG!$D$2,)</f>
        <v>cái</v>
      </c>
      <c r="H1525" s="1823">
        <f t="shared" ref="H1525:H1556" si="299">$D1525</f>
        <v>0</v>
      </c>
      <c r="I1525" s="1823"/>
      <c r="J1525" s="1823">
        <f t="shared" ref="J1525:J1556" si="300">D1525</f>
        <v>0</v>
      </c>
      <c r="K1525" s="1823"/>
      <c r="L1525" s="1823"/>
      <c r="M1525" s="1823"/>
      <c r="N1525" s="1823"/>
      <c r="O1525" s="1823"/>
      <c r="P1525" s="1823">
        <f t="shared" si="295"/>
        <v>0</v>
      </c>
      <c r="Q1525" s="1053"/>
      <c r="R1525" s="1053"/>
      <c r="S1525" s="1053"/>
      <c r="T1525" s="2035">
        <f t="shared" si="297"/>
        <v>0</v>
      </c>
    </row>
    <row r="1526" spans="1:20" ht="22.2" hidden="1" customHeight="1">
      <c r="A1526" s="59"/>
      <c r="B1526" s="1596" t="s">
        <v>2512</v>
      </c>
      <c r="C1526" s="1013" t="str">
        <f t="shared" si="298"/>
        <v xml:space="preserve"> </v>
      </c>
      <c r="D1526" s="1535">
        <f>pp_NC!DF184</f>
        <v>0</v>
      </c>
      <c r="E1526" s="1044"/>
      <c r="F1526" s="1062" t="s">
        <v>2513</v>
      </c>
      <c r="G1526" s="1063" t="s">
        <v>2445</v>
      </c>
      <c r="H1526" s="1823">
        <f t="shared" si="299"/>
        <v>0</v>
      </c>
      <c r="I1526" s="1823"/>
      <c r="J1526" s="1823">
        <f t="shared" si="300"/>
        <v>0</v>
      </c>
      <c r="K1526" s="1823"/>
      <c r="L1526" s="1823"/>
      <c r="M1526" s="1823"/>
      <c r="N1526" s="1823"/>
      <c r="O1526" s="1823"/>
      <c r="P1526" s="1823">
        <f t="shared" si="295"/>
        <v>0</v>
      </c>
      <c r="Q1526" s="1053"/>
      <c r="R1526" s="1053"/>
      <c r="S1526" s="1053"/>
      <c r="T1526" s="2035">
        <f t="shared" si="297"/>
        <v>0</v>
      </c>
    </row>
    <row r="1527" spans="1:20" ht="22.2" hidden="1" customHeight="1">
      <c r="A1527" s="59"/>
      <c r="B1527" s="1577" t="s">
        <v>696</v>
      </c>
      <c r="C1527" s="1013" t="str">
        <f t="shared" si="298"/>
        <v xml:space="preserve"> </v>
      </c>
      <c r="D1527" s="1535">
        <f>D1526</f>
        <v>0</v>
      </c>
      <c r="E1527" s="1044"/>
      <c r="F1527" s="1056" t="str">
        <f>VLOOKUP($B1527,DG!A:D,DG!$C$2,)</f>
        <v xml:space="preserve">Sứ đứng 24KV </v>
      </c>
      <c r="G1527" s="1044" t="str">
        <f>VLOOKUP($B1527,DG!A:D,DG!$D$2,)</f>
        <v>cái</v>
      </c>
      <c r="H1527" s="1823">
        <f t="shared" si="299"/>
        <v>0</v>
      </c>
      <c r="I1527" s="1823"/>
      <c r="J1527" s="1823">
        <f t="shared" si="300"/>
        <v>0</v>
      </c>
      <c r="K1527" s="1823"/>
      <c r="L1527" s="1823"/>
      <c r="M1527" s="1823"/>
      <c r="N1527" s="1823"/>
      <c r="O1527" s="1823"/>
      <c r="P1527" s="1823">
        <f t="shared" si="295"/>
        <v>0</v>
      </c>
      <c r="Q1527" s="1053"/>
      <c r="R1527" s="1053"/>
      <c r="S1527" s="1053"/>
      <c r="T1527" s="2035">
        <f t="shared" si="297"/>
        <v>0</v>
      </c>
    </row>
    <row r="1528" spans="1:20" ht="22.2" hidden="1" customHeight="1">
      <c r="A1528" s="59"/>
      <c r="B1528" s="1577" t="s">
        <v>1269</v>
      </c>
      <c r="C1528" s="1013" t="str">
        <f t="shared" si="298"/>
        <v xml:space="preserve"> </v>
      </c>
      <c r="D1528" s="1535">
        <f>D1526</f>
        <v>0</v>
      </c>
      <c r="E1528" s="1044"/>
      <c r="F1528" s="1056" t="str">
        <f>VLOOKUP($B1528,DG!A:D,DG!$C$2,)</f>
        <v>Chân sứ đỉnh thẳng dài 870mm</v>
      </c>
      <c r="G1528" s="1044" t="str">
        <f>VLOOKUP($B1528,DG!A:D,DG!$D$2,)</f>
        <v>cái</v>
      </c>
      <c r="H1528" s="1823">
        <f t="shared" si="299"/>
        <v>0</v>
      </c>
      <c r="I1528" s="1823"/>
      <c r="J1528" s="1823">
        <f t="shared" si="300"/>
        <v>0</v>
      </c>
      <c r="K1528" s="1823"/>
      <c r="L1528" s="1823"/>
      <c r="M1528" s="1823"/>
      <c r="N1528" s="1823"/>
      <c r="O1528" s="1823"/>
      <c r="P1528" s="1823">
        <f t="shared" si="295"/>
        <v>0</v>
      </c>
      <c r="Q1528" s="1053"/>
      <c r="R1528" s="1053"/>
      <c r="S1528" s="1053"/>
      <c r="T1528" s="2035">
        <f t="shared" si="297"/>
        <v>0</v>
      </c>
    </row>
    <row r="1529" spans="1:20" ht="22.2" hidden="1" customHeight="1">
      <c r="A1529" s="59"/>
      <c r="B1529" s="1577" t="s">
        <v>1613</v>
      </c>
      <c r="C1529" s="1013" t="str">
        <f t="shared" si="298"/>
        <v xml:space="preserve"> </v>
      </c>
      <c r="D1529" s="1535">
        <f>D1526*2</f>
        <v>0</v>
      </c>
      <c r="E1529" s="1044"/>
      <c r="F1529" s="1056" t="str">
        <f>VLOOKUP($B1529,DG!A:D,DG!$C$2,)</f>
        <v>Boulon 16x300+ 2 long đền vuông D18-50x50x3/Zn</v>
      </c>
      <c r="G1529" s="1044" t="str">
        <f>VLOOKUP($B1529,DG!A:D,DG!$D$2,)</f>
        <v>bộ</v>
      </c>
      <c r="H1529" s="1823">
        <f t="shared" si="299"/>
        <v>0</v>
      </c>
      <c r="I1529" s="1823"/>
      <c r="J1529" s="1823">
        <f t="shared" si="300"/>
        <v>0</v>
      </c>
      <c r="K1529" s="1823"/>
      <c r="L1529" s="1823"/>
      <c r="M1529" s="1823"/>
      <c r="N1529" s="1823"/>
      <c r="O1529" s="1823"/>
      <c r="P1529" s="1823">
        <f t="shared" si="295"/>
        <v>0</v>
      </c>
      <c r="Q1529" s="1053"/>
      <c r="R1529" s="1053"/>
      <c r="S1529" s="1053"/>
      <c r="T1529" s="2035">
        <f t="shared" si="297"/>
        <v>0</v>
      </c>
    </row>
    <row r="1530" spans="1:20" ht="22.2" hidden="1" customHeight="1">
      <c r="A1530" s="63"/>
      <c r="B1530" s="1598" t="s">
        <v>2514</v>
      </c>
      <c r="C1530" s="1013" t="str">
        <f t="shared" si="298"/>
        <v xml:space="preserve"> </v>
      </c>
      <c r="D1530" s="1538">
        <f>pp_NC!DG184</f>
        <v>0</v>
      </c>
      <c r="E1530" s="1048"/>
      <c r="F1530" s="1062" t="s">
        <v>2515</v>
      </c>
      <c r="G1530" s="1283" t="s">
        <v>2445</v>
      </c>
      <c r="H1530" s="1823">
        <f t="shared" si="299"/>
        <v>0</v>
      </c>
      <c r="I1530" s="1824"/>
      <c r="J1530" s="1823">
        <f t="shared" si="300"/>
        <v>0</v>
      </c>
      <c r="K1530" s="1824"/>
      <c r="L1530" s="1824"/>
      <c r="M1530" s="1824"/>
      <c r="N1530" s="1824"/>
      <c r="O1530" s="1824"/>
      <c r="P1530" s="1823">
        <f t="shared" si="295"/>
        <v>0</v>
      </c>
      <c r="Q1530" s="1053"/>
      <c r="R1530" s="1053"/>
      <c r="S1530" s="1053"/>
      <c r="T1530" s="2035">
        <f t="shared" si="297"/>
        <v>0</v>
      </c>
    </row>
    <row r="1531" spans="1:20" ht="22.2" hidden="1" customHeight="1">
      <c r="A1531" s="63"/>
      <c r="B1531" s="1577" t="s">
        <v>696</v>
      </c>
      <c r="C1531" s="1013" t="str">
        <f t="shared" si="298"/>
        <v xml:space="preserve"> </v>
      </c>
      <c r="D1531" s="1538">
        <f>D1530*2</f>
        <v>0</v>
      </c>
      <c r="E1531" s="1048"/>
      <c r="F1531" s="1056" t="str">
        <f>VLOOKUP($B1531,DG!A:D,DG!$C$2,)</f>
        <v xml:space="preserve">Sứ đứng 24KV </v>
      </c>
      <c r="G1531" s="1044" t="str">
        <f>VLOOKUP($B1531,DG!A:D,DG!$D$2,)</f>
        <v>cái</v>
      </c>
      <c r="H1531" s="1823">
        <f t="shared" si="299"/>
        <v>0</v>
      </c>
      <c r="I1531" s="1824"/>
      <c r="J1531" s="1823">
        <f t="shared" si="300"/>
        <v>0</v>
      </c>
      <c r="K1531" s="1824"/>
      <c r="L1531" s="1824"/>
      <c r="M1531" s="1824"/>
      <c r="N1531" s="1824"/>
      <c r="O1531" s="1824"/>
      <c r="P1531" s="1823">
        <f t="shared" si="295"/>
        <v>0</v>
      </c>
      <c r="Q1531" s="1053"/>
      <c r="R1531" s="1053"/>
      <c r="S1531" s="1053"/>
      <c r="T1531" s="2035">
        <f t="shared" si="297"/>
        <v>0</v>
      </c>
    </row>
    <row r="1532" spans="1:20" ht="22.2" hidden="1" customHeight="1">
      <c r="A1532" s="63"/>
      <c r="B1532" s="1577" t="s">
        <v>590</v>
      </c>
      <c r="C1532" s="1013" t="str">
        <f t="shared" si="298"/>
        <v xml:space="preserve"> </v>
      </c>
      <c r="D1532" s="1538">
        <f>D1530*2</f>
        <v>0</v>
      </c>
      <c r="E1532" s="1048"/>
      <c r="F1532" s="1056" t="str">
        <f>VLOOKUP($B1532,DG!A:D,DG!$C$2,)</f>
        <v>Chân sứ đỉnh đỡ góc dài 870mm</v>
      </c>
      <c r="G1532" s="1044" t="str">
        <f>VLOOKUP($B1532,DG!A:D,DG!$D$2,)</f>
        <v>cái</v>
      </c>
      <c r="H1532" s="1823">
        <f t="shared" si="299"/>
        <v>0</v>
      </c>
      <c r="I1532" s="1824"/>
      <c r="J1532" s="1823">
        <f t="shared" si="300"/>
        <v>0</v>
      </c>
      <c r="K1532" s="1824"/>
      <c r="L1532" s="1824"/>
      <c r="M1532" s="1824"/>
      <c r="N1532" s="1824"/>
      <c r="O1532" s="1824"/>
      <c r="P1532" s="1823">
        <f t="shared" si="295"/>
        <v>0</v>
      </c>
      <c r="Q1532" s="1053"/>
      <c r="R1532" s="1053"/>
      <c r="S1532" s="1053"/>
      <c r="T1532" s="2035">
        <f t="shared" si="297"/>
        <v>0</v>
      </c>
    </row>
    <row r="1533" spans="1:20" ht="22.2" hidden="1" customHeight="1">
      <c r="A1533" s="63"/>
      <c r="B1533" s="1577" t="s">
        <v>1613</v>
      </c>
      <c r="C1533" s="1013" t="str">
        <f t="shared" si="298"/>
        <v xml:space="preserve"> </v>
      </c>
      <c r="D1533" s="1538">
        <f>D1530*2</f>
        <v>0</v>
      </c>
      <c r="E1533" s="1048"/>
      <c r="F1533" s="1056" t="str">
        <f>VLOOKUP($B1533,DG!A:D,DG!$C$2,)</f>
        <v>Boulon 16x300+ 2 long đền vuông D18-50x50x3/Zn</v>
      </c>
      <c r="G1533" s="1044" t="str">
        <f>VLOOKUP($B1533,DG!A:D,DG!$D$2,)</f>
        <v>bộ</v>
      </c>
      <c r="H1533" s="1823">
        <f t="shared" si="299"/>
        <v>0</v>
      </c>
      <c r="I1533" s="1824"/>
      <c r="J1533" s="1823">
        <f t="shared" si="300"/>
        <v>0</v>
      </c>
      <c r="K1533" s="1824"/>
      <c r="L1533" s="1824"/>
      <c r="M1533" s="1824"/>
      <c r="N1533" s="1824"/>
      <c r="O1533" s="1824"/>
      <c r="P1533" s="1823">
        <f t="shared" si="295"/>
        <v>0</v>
      </c>
      <c r="Q1533" s="1053"/>
      <c r="R1533" s="1053"/>
      <c r="S1533" s="1053"/>
      <c r="T1533" s="2035">
        <f t="shared" si="297"/>
        <v>0</v>
      </c>
    </row>
    <row r="1534" spans="1:20" ht="22.2" hidden="1" customHeight="1">
      <c r="A1534" s="59"/>
      <c r="B1534" s="1596" t="s">
        <v>2516</v>
      </c>
      <c r="C1534" s="1013" t="str">
        <f t="shared" si="298"/>
        <v xml:space="preserve"> </v>
      </c>
      <c r="D1534" s="1535"/>
      <c r="E1534" s="1044"/>
      <c r="F1534" s="1062" t="s">
        <v>2517</v>
      </c>
      <c r="G1534" s="1063" t="s">
        <v>2518</v>
      </c>
      <c r="H1534" s="1823">
        <f t="shared" si="299"/>
        <v>0</v>
      </c>
      <c r="I1534" s="1823"/>
      <c r="J1534" s="1823">
        <f t="shared" si="300"/>
        <v>0</v>
      </c>
      <c r="K1534" s="1823"/>
      <c r="L1534" s="1823"/>
      <c r="M1534" s="1823"/>
      <c r="N1534" s="1823"/>
      <c r="O1534" s="1823"/>
      <c r="P1534" s="1823">
        <f t="shared" si="295"/>
        <v>0</v>
      </c>
      <c r="Q1534" s="1053"/>
      <c r="R1534" s="1053"/>
      <c r="S1534" s="1053"/>
      <c r="T1534" s="2035">
        <f t="shared" si="297"/>
        <v>0</v>
      </c>
    </row>
    <row r="1535" spans="1:20" ht="22.2" hidden="1" customHeight="1">
      <c r="A1535" s="59"/>
      <c r="B1535" s="1577" t="s">
        <v>1270</v>
      </c>
      <c r="C1535" s="1013" t="str">
        <f t="shared" si="298"/>
        <v xml:space="preserve"> </v>
      </c>
      <c r="D1535" s="1535">
        <f>D1534*2</f>
        <v>0</v>
      </c>
      <c r="E1535" s="1044"/>
      <c r="F1535" s="1056" t="str">
        <f>VLOOKUP($B1535,DG!A:D,DG!$C$2,)</f>
        <v>Sứ treo loại 70kN</v>
      </c>
      <c r="G1535" s="1044" t="str">
        <f>VLOOKUP($B1535,DG!A:D,DG!$D$2,)</f>
        <v>bát</v>
      </c>
      <c r="H1535" s="1823">
        <f t="shared" si="299"/>
        <v>0</v>
      </c>
      <c r="I1535" s="1823"/>
      <c r="J1535" s="1823">
        <f t="shared" si="300"/>
        <v>0</v>
      </c>
      <c r="K1535" s="1823"/>
      <c r="L1535" s="1823"/>
      <c r="M1535" s="1823"/>
      <c r="N1535" s="1823"/>
      <c r="O1535" s="1823"/>
      <c r="P1535" s="1823">
        <f t="shared" si="295"/>
        <v>0</v>
      </c>
      <c r="Q1535" s="1053"/>
      <c r="R1535" s="1053"/>
      <c r="S1535" s="1053"/>
      <c r="T1535" s="2035">
        <f t="shared" si="297"/>
        <v>0</v>
      </c>
    </row>
    <row r="1536" spans="1:20" ht="22.2" hidden="1" customHeight="1">
      <c r="A1536" s="59"/>
      <c r="B1536" s="1577" t="s">
        <v>1489</v>
      </c>
      <c r="C1536" s="1013" t="str">
        <f t="shared" si="298"/>
        <v xml:space="preserve"> </v>
      </c>
      <c r="D1536" s="1535">
        <f>D1534*2</f>
        <v>0</v>
      </c>
      <c r="E1536" s="1044"/>
      <c r="F1536" s="1056" t="str">
        <f>VLOOKUP($B1536,DG!A:D,DG!$C$2,)</f>
        <v xml:space="preserve">Móc treo chữ U </v>
      </c>
      <c r="G1536" s="1044" t="str">
        <f>VLOOKUP($B1536,DG!A:D,DG!$D$2,)</f>
        <v>cái</v>
      </c>
      <c r="H1536" s="1823">
        <f t="shared" si="299"/>
        <v>0</v>
      </c>
      <c r="I1536" s="1823"/>
      <c r="J1536" s="1823">
        <f t="shared" si="300"/>
        <v>0</v>
      </c>
      <c r="K1536" s="1823"/>
      <c r="L1536" s="1823"/>
      <c r="M1536" s="1823"/>
      <c r="N1536" s="1823"/>
      <c r="O1536" s="1823"/>
      <c r="P1536" s="1823">
        <f t="shared" si="295"/>
        <v>0</v>
      </c>
      <c r="Q1536" s="1053"/>
      <c r="R1536" s="1053"/>
      <c r="S1536" s="1053"/>
      <c r="T1536" s="2035">
        <f t="shared" si="297"/>
        <v>0</v>
      </c>
    </row>
    <row r="1537" spans="1:20" ht="22.2" hidden="1" customHeight="1">
      <c r="A1537" s="59"/>
      <c r="B1537" s="1577" t="s">
        <v>1572</v>
      </c>
      <c r="C1537" s="1013" t="str">
        <f t="shared" si="298"/>
        <v xml:space="preserve"> </v>
      </c>
      <c r="D1537" s="1535">
        <f>D1534</f>
        <v>0</v>
      </c>
      <c r="E1537" s="1044"/>
      <c r="F1537" s="1056" t="str">
        <f>VLOOKUP($B1537,DG!A:D,DG!$C$2,)</f>
        <v>Vòng treo đầu tròn</v>
      </c>
      <c r="G1537" s="1044" t="str">
        <f>VLOOKUP($B1537,DG!A:D,DG!$D$2,)</f>
        <v>cái</v>
      </c>
      <c r="H1537" s="1823">
        <f t="shared" si="299"/>
        <v>0</v>
      </c>
      <c r="I1537" s="1823"/>
      <c r="J1537" s="1823">
        <f t="shared" si="300"/>
        <v>0</v>
      </c>
      <c r="K1537" s="1823"/>
      <c r="L1537" s="1823"/>
      <c r="M1537" s="1823"/>
      <c r="N1537" s="1823"/>
      <c r="O1537" s="1823"/>
      <c r="P1537" s="1823">
        <f t="shared" si="295"/>
        <v>0</v>
      </c>
      <c r="Q1537" s="1053"/>
      <c r="R1537" s="1053"/>
      <c r="S1537" s="1053"/>
      <c r="T1537" s="2035">
        <f t="shared" si="297"/>
        <v>0</v>
      </c>
    </row>
    <row r="1538" spans="1:20" ht="22.2" hidden="1" customHeight="1">
      <c r="A1538" s="59"/>
      <c r="B1538" s="1577" t="s">
        <v>1487</v>
      </c>
      <c r="C1538" s="1013" t="str">
        <f t="shared" si="298"/>
        <v xml:space="preserve"> </v>
      </c>
      <c r="D1538" s="1535">
        <f>D1534</f>
        <v>0</v>
      </c>
      <c r="E1538" s="1044"/>
      <c r="F1538" s="1056" t="str">
        <f>VLOOKUP($B1538,DG!A:D,DG!$C$2,)</f>
        <v>Mắt nối đơn</v>
      </c>
      <c r="G1538" s="1044" t="str">
        <f>VLOOKUP($B1538,DG!A:D,DG!$D$2,)</f>
        <v>cái</v>
      </c>
      <c r="H1538" s="1823">
        <f t="shared" si="299"/>
        <v>0</v>
      </c>
      <c r="I1538" s="1823"/>
      <c r="J1538" s="1823">
        <f t="shared" si="300"/>
        <v>0</v>
      </c>
      <c r="K1538" s="1823"/>
      <c r="L1538" s="1823"/>
      <c r="M1538" s="1823"/>
      <c r="N1538" s="1823"/>
      <c r="O1538" s="1823"/>
      <c r="P1538" s="1823">
        <f t="shared" si="295"/>
        <v>0</v>
      </c>
      <c r="Q1538" s="1053"/>
      <c r="R1538" s="1053"/>
      <c r="S1538" s="1053"/>
      <c r="T1538" s="2035">
        <f t="shared" si="297"/>
        <v>0</v>
      </c>
    </row>
    <row r="1539" spans="1:20" ht="22.2" hidden="1" customHeight="1">
      <c r="A1539" s="59"/>
      <c r="B1539" s="1577" t="s">
        <v>1271</v>
      </c>
      <c r="C1539" s="1013" t="str">
        <f t="shared" si="298"/>
        <v xml:space="preserve"> </v>
      </c>
      <c r="D1539" s="1535">
        <f>D1534</f>
        <v>0</v>
      </c>
      <c r="E1539" s="1044"/>
      <c r="F1539" s="1056" t="str">
        <f>VLOOKUP($B1539,DG!A:D,DG!$C$2,)</f>
        <v>Boulon mắt 16x300+ 2 long đền vuông D18-50x50x3/Zn</v>
      </c>
      <c r="G1539" s="1044" t="str">
        <f>VLOOKUP($B1539,DG!A:D,DG!$D$2,)</f>
        <v>bộ</v>
      </c>
      <c r="H1539" s="1823">
        <f t="shared" si="299"/>
        <v>0</v>
      </c>
      <c r="I1539" s="1823"/>
      <c r="J1539" s="1823">
        <f t="shared" si="300"/>
        <v>0</v>
      </c>
      <c r="K1539" s="1823"/>
      <c r="L1539" s="1823"/>
      <c r="M1539" s="1823"/>
      <c r="N1539" s="1823"/>
      <c r="O1539" s="1823"/>
      <c r="P1539" s="1823">
        <f t="shared" si="295"/>
        <v>0</v>
      </c>
      <c r="Q1539" s="1053"/>
      <c r="R1539" s="1053"/>
      <c r="S1539" s="1053"/>
      <c r="T1539" s="2035">
        <f t="shared" si="297"/>
        <v>0</v>
      </c>
    </row>
    <row r="1540" spans="1:20" ht="22.2" hidden="1" customHeight="1">
      <c r="A1540" s="59"/>
      <c r="B1540" s="1596" t="s">
        <v>2519</v>
      </c>
      <c r="C1540" s="1013" t="str">
        <f t="shared" si="298"/>
        <v xml:space="preserve"> </v>
      </c>
      <c r="D1540" s="1535"/>
      <c r="E1540" s="1044"/>
      <c r="F1540" s="1403" t="s">
        <v>2520</v>
      </c>
      <c r="G1540" s="1063" t="s">
        <v>2518</v>
      </c>
      <c r="H1540" s="1823">
        <f t="shared" si="299"/>
        <v>0</v>
      </c>
      <c r="I1540" s="1823"/>
      <c r="J1540" s="1823">
        <f t="shared" si="300"/>
        <v>0</v>
      </c>
      <c r="K1540" s="1823"/>
      <c r="L1540" s="1823"/>
      <c r="M1540" s="1823"/>
      <c r="N1540" s="1823"/>
      <c r="O1540" s="1823"/>
      <c r="P1540" s="1823">
        <f t="shared" si="295"/>
        <v>0</v>
      </c>
      <c r="Q1540" s="1053"/>
      <c r="R1540" s="1053"/>
      <c r="S1540" s="1053"/>
      <c r="T1540" s="2035">
        <f t="shared" si="297"/>
        <v>0</v>
      </c>
    </row>
    <row r="1541" spans="1:20" ht="22.2" hidden="1" customHeight="1">
      <c r="A1541" s="59"/>
      <c r="B1541" s="1577" t="s">
        <v>112</v>
      </c>
      <c r="C1541" s="1013" t="str">
        <f t="shared" si="298"/>
        <v xml:space="preserve"> </v>
      </c>
      <c r="D1541" s="1535">
        <f>D1540*0</f>
        <v>0</v>
      </c>
      <c r="E1541" s="1044"/>
      <c r="F1541" s="1056" t="str">
        <f>VLOOKUP($B1541,DG!A:D,DG!$C$2,)</f>
        <v>Sứ treo loại 70kN</v>
      </c>
      <c r="G1541" s="1044" t="str">
        <f>VLOOKUP($B1541,DG!A:D,DG!$D$2,)</f>
        <v>bát</v>
      </c>
      <c r="H1541" s="1823">
        <f t="shared" si="299"/>
        <v>0</v>
      </c>
      <c r="I1541" s="1823"/>
      <c r="J1541" s="1823">
        <f t="shared" si="300"/>
        <v>0</v>
      </c>
      <c r="K1541" s="1823"/>
      <c r="L1541" s="1823"/>
      <c r="M1541" s="1823"/>
      <c r="N1541" s="1823"/>
      <c r="O1541" s="1823"/>
      <c r="P1541" s="1823">
        <f t="shared" si="295"/>
        <v>0</v>
      </c>
      <c r="Q1541" s="1053"/>
      <c r="R1541" s="1053"/>
      <c r="S1541" s="1053"/>
      <c r="T1541" s="2035">
        <f t="shared" si="297"/>
        <v>0</v>
      </c>
    </row>
    <row r="1542" spans="1:20" ht="22.2" hidden="1" customHeight="1">
      <c r="A1542" s="59"/>
      <c r="B1542" s="1577" t="s">
        <v>1489</v>
      </c>
      <c r="C1542" s="1013" t="str">
        <f t="shared" si="298"/>
        <v xml:space="preserve"> </v>
      </c>
      <c r="D1542" s="1535">
        <f>D1540*2</f>
        <v>0</v>
      </c>
      <c r="E1542" s="1044"/>
      <c r="F1542" s="1056" t="str">
        <f>VLOOKUP($B1542,DG!A:D,DG!$C$2,)</f>
        <v xml:space="preserve">Móc treo chữ U </v>
      </c>
      <c r="G1542" s="1044" t="str">
        <f>VLOOKUP($B1542,DG!A:D,DG!$D$2,)</f>
        <v>cái</v>
      </c>
      <c r="H1542" s="1823">
        <f t="shared" si="299"/>
        <v>0</v>
      </c>
      <c r="I1542" s="1823"/>
      <c r="J1542" s="1823">
        <f t="shared" si="300"/>
        <v>0</v>
      </c>
      <c r="K1542" s="1823"/>
      <c r="L1542" s="1823"/>
      <c r="M1542" s="1823"/>
      <c r="N1542" s="1823"/>
      <c r="O1542" s="1823"/>
      <c r="P1542" s="1823">
        <f t="shared" si="295"/>
        <v>0</v>
      </c>
      <c r="Q1542" s="1053"/>
      <c r="R1542" s="1053"/>
      <c r="S1542" s="1053"/>
      <c r="T1542" s="2035">
        <f t="shared" si="297"/>
        <v>0</v>
      </c>
    </row>
    <row r="1543" spans="1:20" ht="22.2" hidden="1" customHeight="1">
      <c r="A1543" s="59"/>
      <c r="B1543" s="1577" t="s">
        <v>1572</v>
      </c>
      <c r="C1543" s="1013" t="str">
        <f t="shared" si="298"/>
        <v xml:space="preserve"> </v>
      </c>
      <c r="D1543" s="1535">
        <f>D1540</f>
        <v>0</v>
      </c>
      <c r="E1543" s="1044"/>
      <c r="F1543" s="1056" t="str">
        <f>VLOOKUP($B1543,DG!A:D,DG!$C$2,)</f>
        <v>Vòng treo đầu tròn</v>
      </c>
      <c r="G1543" s="1044" t="str">
        <f>VLOOKUP($B1543,DG!A:D,DG!$D$2,)</f>
        <v>cái</v>
      </c>
      <c r="H1543" s="1823">
        <f t="shared" si="299"/>
        <v>0</v>
      </c>
      <c r="I1543" s="1823"/>
      <c r="J1543" s="1823">
        <f t="shared" si="300"/>
        <v>0</v>
      </c>
      <c r="K1543" s="1823"/>
      <c r="L1543" s="1823"/>
      <c r="M1543" s="1823"/>
      <c r="N1543" s="1823"/>
      <c r="O1543" s="1823"/>
      <c r="P1543" s="1823">
        <f t="shared" si="295"/>
        <v>0</v>
      </c>
      <c r="Q1543" s="1053"/>
      <c r="R1543" s="1053"/>
      <c r="S1543" s="1053"/>
      <c r="T1543" s="2035">
        <f t="shared" si="297"/>
        <v>0</v>
      </c>
    </row>
    <row r="1544" spans="1:20" ht="22.2" hidden="1" customHeight="1">
      <c r="A1544" s="59"/>
      <c r="B1544" s="1577" t="s">
        <v>1487</v>
      </c>
      <c r="C1544" s="1013" t="str">
        <f t="shared" si="298"/>
        <v xml:space="preserve"> </v>
      </c>
      <c r="D1544" s="1535">
        <f>D1540</f>
        <v>0</v>
      </c>
      <c r="E1544" s="1044"/>
      <c r="F1544" s="1056" t="str">
        <f>VLOOKUP($B1544,DG!A:D,DG!$C$2,)</f>
        <v>Mắt nối đơn</v>
      </c>
      <c r="G1544" s="1044" t="str">
        <f>VLOOKUP($B1544,DG!A:D,DG!$D$2,)</f>
        <v>cái</v>
      </c>
      <c r="H1544" s="1823">
        <f t="shared" si="299"/>
        <v>0</v>
      </c>
      <c r="I1544" s="1823"/>
      <c r="J1544" s="1823">
        <f t="shared" si="300"/>
        <v>0</v>
      </c>
      <c r="K1544" s="1823"/>
      <c r="L1544" s="1823"/>
      <c r="M1544" s="1823"/>
      <c r="N1544" s="1823"/>
      <c r="O1544" s="1823"/>
      <c r="P1544" s="1823">
        <f t="shared" si="295"/>
        <v>0</v>
      </c>
      <c r="Q1544" s="1053"/>
      <c r="R1544" s="1053"/>
      <c r="S1544" s="1053"/>
      <c r="T1544" s="2035">
        <f t="shared" si="297"/>
        <v>0</v>
      </c>
    </row>
    <row r="1545" spans="1:20" ht="22.2" hidden="1" customHeight="1">
      <c r="A1545" s="1015"/>
      <c r="B1545" s="1582" t="s">
        <v>2521</v>
      </c>
      <c r="C1545" s="1013" t="str">
        <f t="shared" si="298"/>
        <v xml:space="preserve"> </v>
      </c>
      <c r="D1545" s="1535">
        <f>pp_NC!DJ95</f>
        <v>0</v>
      </c>
      <c r="E1545" s="1044"/>
      <c r="F1545" s="1062" t="s">
        <v>2522</v>
      </c>
      <c r="G1545" s="1063" t="s">
        <v>2518</v>
      </c>
      <c r="H1545" s="1823">
        <f t="shared" si="299"/>
        <v>0</v>
      </c>
      <c r="I1545" s="1823"/>
      <c r="J1545" s="1823">
        <f t="shared" si="300"/>
        <v>0</v>
      </c>
      <c r="K1545" s="1823"/>
      <c r="L1545" s="1823"/>
      <c r="M1545" s="1823"/>
      <c r="N1545" s="1823"/>
      <c r="O1545" s="1823"/>
      <c r="P1545" s="1823">
        <f t="shared" si="295"/>
        <v>0</v>
      </c>
      <c r="Q1545" s="1053"/>
      <c r="R1545" s="1053"/>
      <c r="S1545" s="1053"/>
      <c r="T1545" s="2035">
        <f t="shared" si="297"/>
        <v>0</v>
      </c>
    </row>
    <row r="1546" spans="1:20" ht="22.2" hidden="1" customHeight="1">
      <c r="A1546" s="1015"/>
      <c r="B1546" s="1571" t="s">
        <v>1509</v>
      </c>
      <c r="C1546" s="1013" t="str">
        <f t="shared" si="298"/>
        <v xml:space="preserve"> </v>
      </c>
      <c r="D1546" s="1535">
        <f>D1545</f>
        <v>0</v>
      </c>
      <c r="E1546" s="1044"/>
      <c r="F1546" s="1056" t="str">
        <f>VLOOKUP($B1546,DG!A:D,DG!$C$2,)</f>
        <v>Sứ treo polymer</v>
      </c>
      <c r="G1546" s="1044" t="str">
        <f>VLOOKUP($B1546,DG!A:D,DG!$D$2,)</f>
        <v>chuỗi</v>
      </c>
      <c r="H1546" s="1823">
        <f t="shared" si="299"/>
        <v>0</v>
      </c>
      <c r="I1546" s="1823"/>
      <c r="J1546" s="1823">
        <f t="shared" si="300"/>
        <v>0</v>
      </c>
      <c r="K1546" s="1823"/>
      <c r="L1546" s="1823"/>
      <c r="M1546" s="1823"/>
      <c r="N1546" s="1823"/>
      <c r="O1546" s="1823"/>
      <c r="P1546" s="1823">
        <f t="shared" si="295"/>
        <v>0</v>
      </c>
      <c r="Q1546" s="1053"/>
      <c r="R1546" s="1053"/>
      <c r="S1546" s="1053"/>
      <c r="T1546" s="2035">
        <f t="shared" si="297"/>
        <v>0</v>
      </c>
    </row>
    <row r="1547" spans="1:20" ht="22.2" hidden="1" customHeight="1">
      <c r="A1547" s="1015"/>
      <c r="B1547" s="1571" t="s">
        <v>1489</v>
      </c>
      <c r="C1547" s="1013" t="str">
        <f t="shared" si="298"/>
        <v xml:space="preserve"> </v>
      </c>
      <c r="D1547" s="1535">
        <f>D1545*2</f>
        <v>0</v>
      </c>
      <c r="E1547" s="1044"/>
      <c r="F1547" s="1056" t="str">
        <f>VLOOKUP($B1547,DG!A:D,DG!$C$2,)</f>
        <v xml:space="preserve">Móc treo chữ U </v>
      </c>
      <c r="G1547" s="1044" t="str">
        <f>VLOOKUP($B1547,DG!A:D,DG!$D$2,)</f>
        <v>cái</v>
      </c>
      <c r="H1547" s="1823">
        <f t="shared" si="299"/>
        <v>0</v>
      </c>
      <c r="I1547" s="1823"/>
      <c r="J1547" s="1823">
        <f t="shared" si="300"/>
        <v>0</v>
      </c>
      <c r="K1547" s="1823"/>
      <c r="L1547" s="1823"/>
      <c r="M1547" s="1823"/>
      <c r="N1547" s="1823"/>
      <c r="O1547" s="1823"/>
      <c r="P1547" s="1823">
        <f t="shared" si="295"/>
        <v>0</v>
      </c>
      <c r="Q1547" s="1053"/>
      <c r="R1547" s="1053"/>
      <c r="S1547" s="1053"/>
      <c r="T1547" s="2035">
        <f t="shared" si="297"/>
        <v>0</v>
      </c>
    </row>
    <row r="1548" spans="1:20" ht="22.2" hidden="1" customHeight="1">
      <c r="A1548" s="1015"/>
      <c r="B1548" s="1571" t="s">
        <v>904</v>
      </c>
      <c r="C1548" s="1013" t="str">
        <f t="shared" si="298"/>
        <v xml:space="preserve"> </v>
      </c>
      <c r="D1548" s="1535">
        <f>D1545</f>
        <v>0</v>
      </c>
      <c r="E1548" s="1044"/>
      <c r="F1548" s="1056" t="str">
        <f>VLOOKUP($B1548,DG!A:D,DG!$C$2,)</f>
        <v>Khóa néo dây cỡ dây 50</v>
      </c>
      <c r="G1548" s="1044" t="str">
        <f>VLOOKUP($B1548,DG!A:D,DG!$D$2,)</f>
        <v>cái</v>
      </c>
      <c r="H1548" s="1823">
        <f t="shared" si="299"/>
        <v>0</v>
      </c>
      <c r="I1548" s="1823"/>
      <c r="J1548" s="1823">
        <f t="shared" si="300"/>
        <v>0</v>
      </c>
      <c r="K1548" s="1823"/>
      <c r="L1548" s="1823"/>
      <c r="M1548" s="1823"/>
      <c r="N1548" s="1823"/>
      <c r="O1548" s="1823"/>
      <c r="P1548" s="1823">
        <f t="shared" si="295"/>
        <v>0</v>
      </c>
      <c r="Q1548" s="1053"/>
      <c r="R1548" s="1053"/>
      <c r="S1548" s="1053"/>
      <c r="T1548" s="2035">
        <f t="shared" si="297"/>
        <v>0</v>
      </c>
    </row>
    <row r="1549" spans="1:20" ht="22.2" hidden="1" customHeight="1">
      <c r="A1549" s="59"/>
      <c r="B1549" s="1577" t="s">
        <v>1572</v>
      </c>
      <c r="C1549" s="1013" t="str">
        <f t="shared" si="298"/>
        <v xml:space="preserve"> </v>
      </c>
      <c r="D1549" s="1535"/>
      <c r="E1549" s="1044"/>
      <c r="F1549" s="1056" t="str">
        <f>VLOOKUP($B1549,DG!A:D,DG!$C$2,)</f>
        <v>Vòng treo đầu tròn</v>
      </c>
      <c r="G1549" s="1044" t="str">
        <f>VLOOKUP($B1549,DG!A:D,DG!$D$2,)</f>
        <v>cái</v>
      </c>
      <c r="H1549" s="1823">
        <f t="shared" si="299"/>
        <v>0</v>
      </c>
      <c r="I1549" s="1823"/>
      <c r="J1549" s="1823">
        <f t="shared" si="300"/>
        <v>0</v>
      </c>
      <c r="K1549" s="1823"/>
      <c r="L1549" s="1823"/>
      <c r="M1549" s="1823"/>
      <c r="N1549" s="1823"/>
      <c r="O1549" s="1823"/>
      <c r="P1549" s="1823">
        <f t="shared" si="295"/>
        <v>0</v>
      </c>
      <c r="Q1549" s="1053"/>
      <c r="R1549" s="1053"/>
      <c r="S1549" s="1053"/>
      <c r="T1549" s="2035">
        <f t="shared" si="297"/>
        <v>0</v>
      </c>
    </row>
    <row r="1550" spans="1:20" ht="22.2" hidden="1" customHeight="1">
      <c r="A1550" s="59"/>
      <c r="B1550" s="1577" t="s">
        <v>1487</v>
      </c>
      <c r="C1550" s="1013" t="str">
        <f t="shared" si="298"/>
        <v xml:space="preserve"> </v>
      </c>
      <c r="D1550" s="1535"/>
      <c r="E1550" s="1044"/>
      <c r="F1550" s="1056" t="str">
        <f>VLOOKUP($B1550,DG!A:D,DG!$C$2,)</f>
        <v>Mắt nối đơn</v>
      </c>
      <c r="G1550" s="1044" t="str">
        <f>VLOOKUP($B1550,DG!A:D,DG!$D$2,)</f>
        <v>cái</v>
      </c>
      <c r="H1550" s="1823">
        <f t="shared" si="299"/>
        <v>0</v>
      </c>
      <c r="I1550" s="1823"/>
      <c r="J1550" s="1823">
        <f t="shared" si="300"/>
        <v>0</v>
      </c>
      <c r="K1550" s="1823"/>
      <c r="L1550" s="1823"/>
      <c r="M1550" s="1823"/>
      <c r="N1550" s="1823"/>
      <c r="O1550" s="1823"/>
      <c r="P1550" s="1823">
        <f t="shared" si="295"/>
        <v>0</v>
      </c>
      <c r="Q1550" s="1053"/>
      <c r="R1550" s="1053"/>
      <c r="S1550" s="1053"/>
      <c r="T1550" s="2035">
        <f t="shared" si="297"/>
        <v>0</v>
      </c>
    </row>
    <row r="1551" spans="1:20" ht="22.2" hidden="1" customHeight="1">
      <c r="A1551" s="59"/>
      <c r="B1551" s="1584"/>
      <c r="C1551" s="1013" t="str">
        <f t="shared" si="298"/>
        <v xml:space="preserve"> </v>
      </c>
      <c r="D1551" s="1535"/>
      <c r="E1551" s="1044"/>
      <c r="F1551" s="1393" t="s">
        <v>2523</v>
      </c>
      <c r="G1551" s="1044"/>
      <c r="H1551" s="1823">
        <f t="shared" si="299"/>
        <v>0</v>
      </c>
      <c r="I1551" s="1823"/>
      <c r="J1551" s="1823">
        <f t="shared" si="300"/>
        <v>0</v>
      </c>
      <c r="K1551" s="1823"/>
      <c r="L1551" s="1823"/>
      <c r="M1551" s="1823"/>
      <c r="N1551" s="1823"/>
      <c r="O1551" s="1823"/>
      <c r="P1551" s="1823">
        <f t="shared" si="295"/>
        <v>0</v>
      </c>
      <c r="Q1551" s="1053"/>
      <c r="R1551" s="1053"/>
      <c r="S1551" s="1053"/>
      <c r="T1551" s="2035">
        <f t="shared" si="297"/>
        <v>0</v>
      </c>
    </row>
    <row r="1552" spans="1:20" ht="22.2" hidden="1" customHeight="1">
      <c r="A1552" s="971"/>
      <c r="B1552" s="1584" t="s">
        <v>1144</v>
      </c>
      <c r="C1552" s="1013" t="str">
        <f t="shared" si="298"/>
        <v xml:space="preserve"> </v>
      </c>
      <c r="D1552" s="1548"/>
      <c r="E1552" s="1044"/>
      <c r="F1552" s="1056" t="str">
        <f>VLOOKUP($B1552,DG!A:D,DG!$C$2,)</f>
        <v>Khóa đỡ dây cỡ dây 240</v>
      </c>
      <c r="G1552" s="1044" t="str">
        <f>VLOOKUP($B1552,DG!A:D,DG!$D$2,)</f>
        <v>cái</v>
      </c>
      <c r="H1552" s="1823">
        <f t="shared" si="299"/>
        <v>0</v>
      </c>
      <c r="I1552" s="1823"/>
      <c r="J1552" s="1823">
        <f t="shared" si="300"/>
        <v>0</v>
      </c>
      <c r="K1552" s="1823"/>
      <c r="L1552" s="1823"/>
      <c r="M1552" s="1823"/>
      <c r="N1552" s="1823"/>
      <c r="O1552" s="1823"/>
      <c r="P1552" s="1823">
        <f t="shared" si="295"/>
        <v>0</v>
      </c>
      <c r="Q1552" s="1053"/>
      <c r="R1552" s="1053"/>
      <c r="S1552" s="1053"/>
      <c r="T1552" s="2035">
        <f t="shared" si="297"/>
        <v>0</v>
      </c>
    </row>
    <row r="1553" spans="1:20" ht="22.2" hidden="1" customHeight="1">
      <c r="A1553" s="59"/>
      <c r="B1553" s="1584" t="s">
        <v>1143</v>
      </c>
      <c r="C1553" s="1013" t="str">
        <f t="shared" si="298"/>
        <v xml:space="preserve"> </v>
      </c>
      <c r="D1553" s="1548"/>
      <c r="E1553" s="1044"/>
      <c r="F1553" s="1056" t="str">
        <f>VLOOKUP($B1553,DG!A:D,DG!$C$2,)</f>
        <v>Khóa đỡ dây cỡ dây 185</v>
      </c>
      <c r="G1553" s="1044" t="str">
        <f>VLOOKUP($B1553,DG!A:D,DG!$D$2,)</f>
        <v>cái</v>
      </c>
      <c r="H1553" s="1823">
        <f t="shared" si="299"/>
        <v>0</v>
      </c>
      <c r="I1553" s="1823"/>
      <c r="J1553" s="1823">
        <f t="shared" si="300"/>
        <v>0</v>
      </c>
      <c r="K1553" s="1823"/>
      <c r="L1553" s="1823"/>
      <c r="M1553" s="1823"/>
      <c r="N1553" s="1823"/>
      <c r="O1553" s="1823"/>
      <c r="P1553" s="1823">
        <f t="shared" si="295"/>
        <v>0</v>
      </c>
      <c r="Q1553" s="1053"/>
      <c r="R1553" s="1053"/>
      <c r="S1553" s="1053"/>
      <c r="T1553" s="2035">
        <f t="shared" si="297"/>
        <v>0</v>
      </c>
    </row>
    <row r="1554" spans="1:20" ht="22.2" hidden="1" customHeight="1">
      <c r="A1554" s="59"/>
      <c r="B1554" s="1584" t="s">
        <v>1142</v>
      </c>
      <c r="C1554" s="1013" t="str">
        <f t="shared" si="298"/>
        <v xml:space="preserve"> </v>
      </c>
      <c r="D1554" s="1548"/>
      <c r="E1554" s="1044"/>
      <c r="F1554" s="1056" t="str">
        <f>VLOOKUP($B1554,DG!A:D,DG!$C$2,)</f>
        <v>Khóa đỡ dây cỡ dây 150</v>
      </c>
      <c r="G1554" s="1044" t="str">
        <f>VLOOKUP($B1554,DG!A:D,DG!$D$2,)</f>
        <v>cái</v>
      </c>
      <c r="H1554" s="1823">
        <f t="shared" si="299"/>
        <v>0</v>
      </c>
      <c r="I1554" s="1823"/>
      <c r="J1554" s="1823">
        <f t="shared" si="300"/>
        <v>0</v>
      </c>
      <c r="K1554" s="1823"/>
      <c r="L1554" s="1823"/>
      <c r="M1554" s="1823"/>
      <c r="N1554" s="1823"/>
      <c r="O1554" s="1823"/>
      <c r="P1554" s="1823">
        <f t="shared" si="295"/>
        <v>0</v>
      </c>
      <c r="Q1554" s="1053"/>
      <c r="R1554" s="1053"/>
      <c r="S1554" s="1053"/>
      <c r="T1554" s="2035">
        <f t="shared" si="297"/>
        <v>0</v>
      </c>
    </row>
    <row r="1555" spans="1:20" ht="22.2" hidden="1" customHeight="1">
      <c r="A1555" s="59"/>
      <c r="B1555" s="1584" t="s">
        <v>1141</v>
      </c>
      <c r="C1555" s="1013" t="str">
        <f t="shared" si="298"/>
        <v xml:space="preserve"> </v>
      </c>
      <c r="D1555" s="1548"/>
      <c r="E1555" s="1044"/>
      <c r="F1555" s="1056" t="str">
        <f>VLOOKUP($B1555,DG!A:D,DG!$C$2,)</f>
        <v>Khóa đỡ dây cỡ dây 120</v>
      </c>
      <c r="G1555" s="1044" t="str">
        <f>VLOOKUP($B1555,DG!A:D,DG!$D$2,)</f>
        <v>cái</v>
      </c>
      <c r="H1555" s="1823">
        <f t="shared" si="299"/>
        <v>0</v>
      </c>
      <c r="I1555" s="1823"/>
      <c r="J1555" s="1823">
        <f t="shared" si="300"/>
        <v>0</v>
      </c>
      <c r="K1555" s="1823"/>
      <c r="L1555" s="1823"/>
      <c r="M1555" s="1823"/>
      <c r="N1555" s="1823"/>
      <c r="O1555" s="1823"/>
      <c r="P1555" s="1823">
        <f t="shared" si="295"/>
        <v>0</v>
      </c>
      <c r="Q1555" s="1053"/>
      <c r="R1555" s="1053"/>
      <c r="S1555" s="1053"/>
      <c r="T1555" s="2035">
        <f t="shared" si="297"/>
        <v>0</v>
      </c>
    </row>
    <row r="1556" spans="1:20" ht="22.2" hidden="1" customHeight="1">
      <c r="A1556" s="59"/>
      <c r="B1556" s="1584" t="s">
        <v>101</v>
      </c>
      <c r="C1556" s="1013" t="str">
        <f t="shared" si="298"/>
        <v xml:space="preserve"> </v>
      </c>
      <c r="D1556" s="1548"/>
      <c r="E1556" s="1044"/>
      <c r="F1556" s="1056" t="str">
        <f>VLOOKUP($B1556,DG!A:D,DG!$C$2,)</f>
        <v>Khóa đỡ dây cỡ dây 95</v>
      </c>
      <c r="G1556" s="1044" t="str">
        <f>VLOOKUP($B1556,DG!A:D,DG!$D$2,)</f>
        <v>cái</v>
      </c>
      <c r="H1556" s="1823">
        <f t="shared" si="299"/>
        <v>0</v>
      </c>
      <c r="I1556" s="1823"/>
      <c r="J1556" s="1823">
        <f t="shared" si="300"/>
        <v>0</v>
      </c>
      <c r="K1556" s="1823"/>
      <c r="L1556" s="1823"/>
      <c r="M1556" s="1823"/>
      <c r="N1556" s="1823"/>
      <c r="O1556" s="1823"/>
      <c r="P1556" s="1823">
        <f t="shared" si="295"/>
        <v>0</v>
      </c>
      <c r="Q1556" s="1053"/>
      <c r="R1556" s="1053"/>
      <c r="S1556" s="1053"/>
      <c r="T1556" s="2035">
        <f t="shared" si="297"/>
        <v>0</v>
      </c>
    </row>
    <row r="1557" spans="1:20" ht="22.2" hidden="1" customHeight="1">
      <c r="A1557" s="59"/>
      <c r="B1557" s="1584" t="s">
        <v>1484</v>
      </c>
      <c r="C1557" s="1013" t="str">
        <f t="shared" si="298"/>
        <v xml:space="preserve"> </v>
      </c>
      <c r="D1557" s="1548"/>
      <c r="E1557" s="1044"/>
      <c r="F1557" s="1056" t="str">
        <f>VLOOKUP($B1557,DG!A:D,DG!$C$2,)</f>
        <v>Khóa đỡ dây cỡ dây 70</v>
      </c>
      <c r="G1557" s="1044" t="str">
        <f>VLOOKUP($B1557,DG!A:D,DG!$D$2,)</f>
        <v>cái</v>
      </c>
      <c r="H1557" s="1823">
        <f t="shared" ref="H1557:H1588" si="301">$D1557</f>
        <v>0</v>
      </c>
      <c r="I1557" s="1823"/>
      <c r="J1557" s="1823">
        <f t="shared" ref="J1557:J1588" si="302">D1557</f>
        <v>0</v>
      </c>
      <c r="K1557" s="1823"/>
      <c r="L1557" s="1823"/>
      <c r="M1557" s="1823"/>
      <c r="N1557" s="1823"/>
      <c r="O1557" s="1823"/>
      <c r="P1557" s="1823">
        <f t="shared" si="295"/>
        <v>0</v>
      </c>
      <c r="Q1557" s="1053"/>
      <c r="R1557" s="1053"/>
      <c r="S1557" s="1053"/>
      <c r="T1557" s="2035">
        <f t="shared" si="297"/>
        <v>0</v>
      </c>
    </row>
    <row r="1558" spans="1:20" ht="22.2" hidden="1" customHeight="1">
      <c r="A1558" s="59"/>
      <c r="B1558" s="1584" t="s">
        <v>1175</v>
      </c>
      <c r="C1558" s="1013" t="str">
        <f t="shared" si="298"/>
        <v xml:space="preserve"> </v>
      </c>
      <c r="D1558" s="1548"/>
      <c r="E1558" s="1044"/>
      <c r="F1558" s="1056" t="str">
        <f>VLOOKUP($B1558,DG!A:D,DG!$C$2,)</f>
        <v>Khóa đỡ dây cỡ dây 50</v>
      </c>
      <c r="G1558" s="1044" t="str">
        <f>VLOOKUP($B1558,DG!A:D,DG!$D$2,)</f>
        <v>cái</v>
      </c>
      <c r="H1558" s="1823">
        <f t="shared" si="301"/>
        <v>0</v>
      </c>
      <c r="I1558" s="1823"/>
      <c r="J1558" s="1823">
        <f t="shared" si="302"/>
        <v>0</v>
      </c>
      <c r="K1558" s="1823"/>
      <c r="L1558" s="1823"/>
      <c r="M1558" s="1823"/>
      <c r="N1558" s="1823"/>
      <c r="O1558" s="1823"/>
      <c r="P1558" s="1823">
        <f t="shared" ref="P1558:P1621" si="303">H1558+Q1558-R1558</f>
        <v>0</v>
      </c>
      <c r="Q1558" s="1053"/>
      <c r="R1558" s="1053"/>
      <c r="S1558" s="1053"/>
      <c r="T1558" s="2035">
        <f t="shared" si="297"/>
        <v>0</v>
      </c>
    </row>
    <row r="1559" spans="1:20" ht="22.2" hidden="1" customHeight="1">
      <c r="A1559" s="59"/>
      <c r="B1559" s="1584" t="s">
        <v>1745</v>
      </c>
      <c r="C1559" s="1013" t="str">
        <f t="shared" si="298"/>
        <v xml:space="preserve"> </v>
      </c>
      <c r="D1559" s="1532"/>
      <c r="E1559" s="1044"/>
      <c r="F1559" s="1056" t="str">
        <f>VLOOKUP($B1559,DG!A:D,DG!$C$2,)</f>
        <v>Khóa néo dây cỡ dây 240</v>
      </c>
      <c r="G1559" s="1044" t="str">
        <f>VLOOKUP($B1559,DG!A:D,DG!$D$2,)</f>
        <v>cái</v>
      </c>
      <c r="H1559" s="1823">
        <f t="shared" si="301"/>
        <v>0</v>
      </c>
      <c r="I1559" s="1823"/>
      <c r="J1559" s="1823">
        <f t="shared" si="302"/>
        <v>0</v>
      </c>
      <c r="K1559" s="1823"/>
      <c r="L1559" s="1823"/>
      <c r="M1559" s="1823"/>
      <c r="N1559" s="1823"/>
      <c r="O1559" s="1823"/>
      <c r="P1559" s="1823">
        <f t="shared" si="303"/>
        <v>0</v>
      </c>
      <c r="Q1559" s="1053"/>
      <c r="R1559" s="1053"/>
      <c r="S1559" s="1053"/>
      <c r="T1559" s="2035">
        <f t="shared" si="297"/>
        <v>0</v>
      </c>
    </row>
    <row r="1560" spans="1:20" ht="22.2" hidden="1" customHeight="1">
      <c r="A1560" s="59"/>
      <c r="B1560" s="1585" t="s">
        <v>1746</v>
      </c>
      <c r="C1560" s="1013" t="str">
        <f t="shared" si="298"/>
        <v xml:space="preserve"> </v>
      </c>
      <c r="D1560" s="1532"/>
      <c r="E1560" s="1044"/>
      <c r="F1560" s="1056" t="str">
        <f>VLOOKUP($B1560,DG!A:D,DG!$C$2,)</f>
        <v>Khóa néo dây cỡ dây 185</v>
      </c>
      <c r="G1560" s="1044" t="str">
        <f>VLOOKUP($B1560,DG!A:D,DG!$D$2,)</f>
        <v>cái</v>
      </c>
      <c r="H1560" s="1823">
        <f t="shared" si="301"/>
        <v>0</v>
      </c>
      <c r="I1560" s="1823"/>
      <c r="J1560" s="1823">
        <f t="shared" si="302"/>
        <v>0</v>
      </c>
      <c r="K1560" s="1823"/>
      <c r="L1560" s="1823"/>
      <c r="M1560" s="1823"/>
      <c r="N1560" s="1823"/>
      <c r="O1560" s="1823"/>
      <c r="P1560" s="1823">
        <f t="shared" si="303"/>
        <v>0</v>
      </c>
      <c r="Q1560" s="1053"/>
      <c r="R1560" s="1053"/>
      <c r="S1560" s="1053"/>
      <c r="T1560" s="2035">
        <f t="shared" si="297"/>
        <v>0</v>
      </c>
    </row>
    <row r="1561" spans="1:20" ht="22.2" hidden="1" customHeight="1">
      <c r="A1561" s="59"/>
      <c r="B1561" s="1584" t="s">
        <v>2115</v>
      </c>
      <c r="C1561" s="1013" t="str">
        <f t="shared" si="298"/>
        <v xml:space="preserve"> </v>
      </c>
      <c r="D1561" s="1532"/>
      <c r="E1561" s="1044"/>
      <c r="F1561" s="1056" t="str">
        <f>VLOOKUP($B1561,DG!A:D,DG!$C$2,)</f>
        <v>Khóa néo dây cỡ dây 150</v>
      </c>
      <c r="G1561" s="1044" t="str">
        <f>VLOOKUP($B1561,DG!A:D,DG!$D$2,)</f>
        <v>cái</v>
      </c>
      <c r="H1561" s="1823">
        <f t="shared" si="301"/>
        <v>0</v>
      </c>
      <c r="I1561" s="1823"/>
      <c r="J1561" s="1823">
        <f t="shared" si="302"/>
        <v>0</v>
      </c>
      <c r="K1561" s="1823"/>
      <c r="L1561" s="1823"/>
      <c r="M1561" s="1823"/>
      <c r="N1561" s="1823"/>
      <c r="O1561" s="1823"/>
      <c r="P1561" s="1823">
        <f t="shared" si="303"/>
        <v>0</v>
      </c>
      <c r="Q1561" s="1053"/>
      <c r="R1561" s="1053"/>
      <c r="S1561" s="1053"/>
      <c r="T1561" s="2035">
        <f t="shared" si="297"/>
        <v>0</v>
      </c>
    </row>
    <row r="1562" spans="1:20" ht="22.2" hidden="1" customHeight="1">
      <c r="A1562" s="59"/>
      <c r="B1562" s="1585" t="s">
        <v>431</v>
      </c>
      <c r="C1562" s="1013" t="str">
        <f t="shared" si="298"/>
        <v xml:space="preserve"> </v>
      </c>
      <c r="D1562" s="1532"/>
      <c r="E1562" s="1044"/>
      <c r="F1562" s="1056" t="str">
        <f>VLOOKUP($B1562,DG!A:D,DG!$C$2,)</f>
        <v>Khóa néo dây cỡ dây 120</v>
      </c>
      <c r="G1562" s="1044" t="str">
        <f>VLOOKUP($B1562,DG!A:D,DG!$D$2,)</f>
        <v>cái</v>
      </c>
      <c r="H1562" s="1823">
        <f t="shared" si="301"/>
        <v>0</v>
      </c>
      <c r="I1562" s="1823"/>
      <c r="J1562" s="1823">
        <f t="shared" si="302"/>
        <v>0</v>
      </c>
      <c r="K1562" s="1823"/>
      <c r="L1562" s="1823"/>
      <c r="M1562" s="1823"/>
      <c r="N1562" s="1823"/>
      <c r="O1562" s="1823"/>
      <c r="P1562" s="1823">
        <f t="shared" si="303"/>
        <v>0</v>
      </c>
      <c r="Q1562" s="1053"/>
      <c r="R1562" s="1053"/>
      <c r="S1562" s="1053"/>
      <c r="T1562" s="2035">
        <f t="shared" si="297"/>
        <v>0</v>
      </c>
    </row>
    <row r="1563" spans="1:20" ht="22.2" hidden="1" customHeight="1">
      <c r="A1563" s="59"/>
      <c r="B1563" s="1584" t="s">
        <v>1260</v>
      </c>
      <c r="C1563" s="1013" t="str">
        <f t="shared" si="298"/>
        <v xml:space="preserve"> </v>
      </c>
      <c r="D1563" s="1535"/>
      <c r="E1563" s="1044"/>
      <c r="F1563" s="1056" t="str">
        <f>VLOOKUP($B1563,DG!A:D,DG!$C$2,)</f>
        <v>Khóa néo dây cỡ dây 95</v>
      </c>
      <c r="G1563" s="1044" t="str">
        <f>VLOOKUP($B1563,DG!A:D,DG!$D$2,)</f>
        <v>cái</v>
      </c>
      <c r="H1563" s="1823">
        <f t="shared" si="301"/>
        <v>0</v>
      </c>
      <c r="I1563" s="1823"/>
      <c r="J1563" s="1823">
        <f t="shared" si="302"/>
        <v>0</v>
      </c>
      <c r="K1563" s="1823"/>
      <c r="L1563" s="1823"/>
      <c r="M1563" s="1823"/>
      <c r="N1563" s="1823"/>
      <c r="O1563" s="1823"/>
      <c r="P1563" s="1823">
        <f t="shared" si="303"/>
        <v>0</v>
      </c>
      <c r="Q1563" s="1053"/>
      <c r="R1563" s="1053"/>
      <c r="S1563" s="1053"/>
      <c r="T1563" s="2035">
        <f t="shared" si="297"/>
        <v>0</v>
      </c>
    </row>
    <row r="1564" spans="1:20" ht="22.2" hidden="1" customHeight="1">
      <c r="A1564" s="59"/>
      <c r="B1564" s="1585" t="s">
        <v>2237</v>
      </c>
      <c r="C1564" s="1013" t="str">
        <f t="shared" si="298"/>
        <v xml:space="preserve"> </v>
      </c>
      <c r="D1564" s="1532"/>
      <c r="E1564" s="1044"/>
      <c r="F1564" s="1056" t="str">
        <f>VLOOKUP($B1564,DG!A:D,DG!$C$2,)</f>
        <v>Khóa néo dây cỡ dây 70</v>
      </c>
      <c r="G1564" s="1044" t="str">
        <f>VLOOKUP($B1564,DG!A:D,DG!$D$2,)</f>
        <v>cái</v>
      </c>
      <c r="H1564" s="1823">
        <f t="shared" si="301"/>
        <v>0</v>
      </c>
      <c r="I1564" s="1823"/>
      <c r="J1564" s="1823">
        <f t="shared" si="302"/>
        <v>0</v>
      </c>
      <c r="K1564" s="1823"/>
      <c r="L1564" s="1823"/>
      <c r="M1564" s="1823"/>
      <c r="N1564" s="1823"/>
      <c r="O1564" s="1823"/>
      <c r="P1564" s="1823">
        <f t="shared" si="303"/>
        <v>0</v>
      </c>
      <c r="Q1564" s="1053"/>
      <c r="R1564" s="1053"/>
      <c r="S1564" s="1053"/>
      <c r="T1564" s="2035">
        <f t="shared" si="297"/>
        <v>0</v>
      </c>
    </row>
    <row r="1565" spans="1:20" ht="22.2" hidden="1" customHeight="1">
      <c r="A1565" s="59"/>
      <c r="B1565" s="1585" t="s">
        <v>1485</v>
      </c>
      <c r="C1565" s="1013" t="str">
        <f t="shared" si="298"/>
        <v xml:space="preserve"> </v>
      </c>
      <c r="D1565" s="1532"/>
      <c r="E1565" s="1044"/>
      <c r="F1565" s="1056" t="str">
        <f>VLOOKUP($B1565,DG!A:D,DG!$C$2,)</f>
        <v>Khóa néo dây cỡ dây 50</v>
      </c>
      <c r="G1565" s="1044" t="str">
        <f>VLOOKUP($B1565,DG!A:D,DG!$D$2,)</f>
        <v>cái</v>
      </c>
      <c r="H1565" s="1823">
        <f t="shared" si="301"/>
        <v>0</v>
      </c>
      <c r="I1565" s="1823"/>
      <c r="J1565" s="1823">
        <f t="shared" si="302"/>
        <v>0</v>
      </c>
      <c r="K1565" s="1823"/>
      <c r="L1565" s="1823"/>
      <c r="M1565" s="1823"/>
      <c r="N1565" s="1823"/>
      <c r="O1565" s="1823"/>
      <c r="P1565" s="1823">
        <f t="shared" si="303"/>
        <v>0</v>
      </c>
      <c r="Q1565" s="1053"/>
      <c r="R1565" s="1053"/>
      <c r="S1565" s="1053"/>
      <c r="T1565" s="2035">
        <f t="shared" si="297"/>
        <v>0</v>
      </c>
    </row>
    <row r="1566" spans="1:20" ht="22.2" hidden="1" customHeight="1">
      <c r="A1566" s="59"/>
      <c r="B1566" s="1584" t="s">
        <v>1585</v>
      </c>
      <c r="C1566" s="1013" t="str">
        <f t="shared" si="298"/>
        <v xml:space="preserve"> </v>
      </c>
      <c r="D1566" s="1548"/>
      <c r="E1566" s="1044"/>
      <c r="F1566" s="1056" t="str">
        <f>VLOOKUP($B1566,DG!A:D,DG!$C$2,)</f>
        <v>Kẹp 2 rãnh (APC) cỡ dây 50mm2</v>
      </c>
      <c r="G1566" s="1044" t="str">
        <f>VLOOKUP($B1566,DG!A:D,DG!$D$2,)</f>
        <v>cái</v>
      </c>
      <c r="H1566" s="1823">
        <f t="shared" si="301"/>
        <v>0</v>
      </c>
      <c r="I1566" s="1823"/>
      <c r="J1566" s="1823">
        <f t="shared" si="302"/>
        <v>0</v>
      </c>
      <c r="K1566" s="1823"/>
      <c r="L1566" s="1823"/>
      <c r="M1566" s="1823"/>
      <c r="N1566" s="1823"/>
      <c r="O1566" s="1823"/>
      <c r="P1566" s="1823">
        <f t="shared" si="303"/>
        <v>0</v>
      </c>
      <c r="Q1566" s="1053"/>
      <c r="R1566" s="1053"/>
      <c r="S1566" s="1053"/>
      <c r="T1566" s="2035">
        <f t="shared" si="297"/>
        <v>0</v>
      </c>
    </row>
    <row r="1567" spans="1:20" ht="22.2" hidden="1" customHeight="1">
      <c r="A1567" s="59"/>
      <c r="B1567" s="1584" t="s">
        <v>1584</v>
      </c>
      <c r="C1567" s="1013" t="str">
        <f t="shared" si="298"/>
        <v xml:space="preserve"> </v>
      </c>
      <c r="D1567" s="1548"/>
      <c r="E1567" s="1044"/>
      <c r="F1567" s="1056" t="str">
        <f>VLOOKUP($B1567,DG!A:D,DG!$C$2,)</f>
        <v>Kẹp 2 rãnh (APC) cỡ dây 70mm2</v>
      </c>
      <c r="G1567" s="1044" t="str">
        <f>VLOOKUP($B1567,DG!A:D,DG!$D$2,)</f>
        <v>cái</v>
      </c>
      <c r="H1567" s="1823">
        <f t="shared" si="301"/>
        <v>0</v>
      </c>
      <c r="I1567" s="1823"/>
      <c r="J1567" s="1823">
        <f t="shared" si="302"/>
        <v>0</v>
      </c>
      <c r="K1567" s="1823"/>
      <c r="L1567" s="1823"/>
      <c r="M1567" s="1823"/>
      <c r="N1567" s="1823"/>
      <c r="O1567" s="1823"/>
      <c r="P1567" s="1823">
        <f t="shared" si="303"/>
        <v>0</v>
      </c>
      <c r="Q1567" s="1053"/>
      <c r="R1567" s="1053"/>
      <c r="S1567" s="1053"/>
      <c r="T1567" s="2035">
        <f t="shared" si="297"/>
        <v>0</v>
      </c>
    </row>
    <row r="1568" spans="1:20" ht="22.2" hidden="1" customHeight="1">
      <c r="A1568" s="59"/>
      <c r="B1568" s="1584" t="s">
        <v>1022</v>
      </c>
      <c r="C1568" s="1013" t="str">
        <f t="shared" si="298"/>
        <v xml:space="preserve"> </v>
      </c>
      <c r="D1568" s="1548"/>
      <c r="E1568" s="1044"/>
      <c r="F1568" s="1056" t="str">
        <f>VLOOKUP($B1568,DG!A:D,DG!$C$2,)</f>
        <v>Kẹp 2 rãnh (APC) cỡ dây 95mm2</v>
      </c>
      <c r="G1568" s="1044" t="str">
        <f>VLOOKUP($B1568,DG!A:D,DG!$D$2,)</f>
        <v>cái</v>
      </c>
      <c r="H1568" s="1823">
        <f t="shared" si="301"/>
        <v>0</v>
      </c>
      <c r="I1568" s="1823"/>
      <c r="J1568" s="1823">
        <f t="shared" si="302"/>
        <v>0</v>
      </c>
      <c r="K1568" s="1823"/>
      <c r="L1568" s="1823"/>
      <c r="M1568" s="1823"/>
      <c r="N1568" s="1823"/>
      <c r="O1568" s="1823"/>
      <c r="P1568" s="1823">
        <f t="shared" si="303"/>
        <v>0</v>
      </c>
      <c r="Q1568" s="1053"/>
      <c r="R1568" s="1053"/>
      <c r="S1568" s="1053"/>
      <c r="T1568" s="2035">
        <f t="shared" si="297"/>
        <v>0</v>
      </c>
    </row>
    <row r="1569" spans="1:20" ht="22.2" hidden="1" customHeight="1">
      <c r="A1569" s="1015"/>
      <c r="B1569" s="1583" t="s">
        <v>1482</v>
      </c>
      <c r="C1569" s="1013" t="str">
        <f t="shared" si="298"/>
        <v xml:space="preserve"> </v>
      </c>
      <c r="D1569" s="1548">
        <f>pp_NC!DP95</f>
        <v>0</v>
      </c>
      <c r="E1569" s="1044"/>
      <c r="F1569" s="1056" t="str">
        <f>VLOOKUP($B1569,DG!A:D,DG!$C$2,)</f>
        <v>Kẹp quai 2/0</v>
      </c>
      <c r="G1569" s="1044" t="str">
        <f>VLOOKUP($B1569,DG!A:D,DG!$D$2,)</f>
        <v>cái</v>
      </c>
      <c r="H1569" s="1823">
        <f t="shared" si="301"/>
        <v>0</v>
      </c>
      <c r="I1569" s="1823"/>
      <c r="J1569" s="1823">
        <f t="shared" si="302"/>
        <v>0</v>
      </c>
      <c r="K1569" s="1823"/>
      <c r="L1569" s="1823"/>
      <c r="M1569" s="1823"/>
      <c r="N1569" s="1823"/>
      <c r="O1569" s="1823"/>
      <c r="P1569" s="1823">
        <f t="shared" si="303"/>
        <v>0</v>
      </c>
      <c r="Q1569" s="1053"/>
      <c r="R1569" s="1053"/>
      <c r="S1569" s="1053"/>
      <c r="T1569" s="2035">
        <f t="shared" si="297"/>
        <v>0</v>
      </c>
    </row>
    <row r="1570" spans="1:20" ht="22.2" hidden="1" customHeight="1">
      <c r="A1570" s="1015"/>
      <c r="B1570" s="1583" t="s">
        <v>1480</v>
      </c>
      <c r="C1570" s="1013" t="str">
        <f t="shared" si="298"/>
        <v xml:space="preserve"> </v>
      </c>
      <c r="D1570" s="1548">
        <f>pp_NC!DQ95</f>
        <v>0</v>
      </c>
      <c r="E1570" s="1044"/>
      <c r="F1570" s="1056" t="str">
        <f>VLOOKUP($B1570,DG!A:D,DG!$C$2,)</f>
        <v>Kẹp hotline 2/0</v>
      </c>
      <c r="G1570" s="1044" t="str">
        <f>VLOOKUP($B1570,DG!A:D,DG!$D$2,)</f>
        <v>cái</v>
      </c>
      <c r="H1570" s="1823">
        <f t="shared" si="301"/>
        <v>0</v>
      </c>
      <c r="I1570" s="1823"/>
      <c r="J1570" s="1823">
        <f t="shared" si="302"/>
        <v>0</v>
      </c>
      <c r="K1570" s="1823"/>
      <c r="L1570" s="1823"/>
      <c r="M1570" s="1823"/>
      <c r="N1570" s="1823"/>
      <c r="O1570" s="1823"/>
      <c r="P1570" s="1823">
        <f t="shared" si="303"/>
        <v>0</v>
      </c>
      <c r="Q1570" s="1053"/>
      <c r="R1570" s="1053"/>
      <c r="S1570" s="1053"/>
      <c r="T1570" s="2035">
        <f t="shared" si="297"/>
        <v>0</v>
      </c>
    </row>
    <row r="1571" spans="1:20" ht="22.2" hidden="1" customHeight="1">
      <c r="A1571" s="1015"/>
      <c r="B1571" s="1583" t="s">
        <v>905</v>
      </c>
      <c r="C1571" s="1013" t="str">
        <f t="shared" si="298"/>
        <v xml:space="preserve"> </v>
      </c>
      <c r="D1571" s="1548">
        <f>pp_NC!DR95</f>
        <v>0</v>
      </c>
      <c r="E1571" s="1044"/>
      <c r="F1571" s="1056" t="str">
        <f>VLOOKUP($B1571,DG!A:D,DG!$C$2,)</f>
        <v>Kẹp ép WR cỡ dây 50mm2</v>
      </c>
      <c r="G1571" s="1044" t="str">
        <f>VLOOKUP($B1571,DG!A:D,DG!$D$2,)</f>
        <v>cái</v>
      </c>
      <c r="H1571" s="1823">
        <f t="shared" si="301"/>
        <v>0</v>
      </c>
      <c r="I1571" s="1823"/>
      <c r="J1571" s="1823">
        <f t="shared" si="302"/>
        <v>0</v>
      </c>
      <c r="K1571" s="1823"/>
      <c r="L1571" s="1823"/>
      <c r="M1571" s="1823"/>
      <c r="N1571" s="1823"/>
      <c r="O1571" s="1823"/>
      <c r="P1571" s="1823">
        <f t="shared" si="303"/>
        <v>0</v>
      </c>
      <c r="Q1571" s="1053"/>
      <c r="R1571" s="1053"/>
      <c r="S1571" s="1053"/>
      <c r="T1571" s="2035">
        <f t="shared" si="297"/>
        <v>0</v>
      </c>
    </row>
    <row r="1572" spans="1:20" ht="22.2" hidden="1" customHeight="1">
      <c r="A1572" s="1015"/>
      <c r="B1572" s="1583" t="s">
        <v>36</v>
      </c>
      <c r="C1572" s="1013" t="str">
        <f t="shared" si="298"/>
        <v xml:space="preserve"> </v>
      </c>
      <c r="D1572" s="1548">
        <f>pp_NC!DS95</f>
        <v>0</v>
      </c>
      <c r="E1572" s="1044"/>
      <c r="F1572" s="1056" t="str">
        <f>VLOOKUP($B1572,DG!A:D,DG!$C$2,)</f>
        <v>Kẹp ép WR cỡ dây 95mm2</v>
      </c>
      <c r="G1572" s="1044" t="str">
        <f>VLOOKUP($B1572,DG!A:D,DG!$D$2,)</f>
        <v>cái</v>
      </c>
      <c r="H1572" s="1823">
        <f t="shared" si="301"/>
        <v>0</v>
      </c>
      <c r="I1572" s="1823"/>
      <c r="J1572" s="1823">
        <f t="shared" si="302"/>
        <v>0</v>
      </c>
      <c r="K1572" s="1823"/>
      <c r="L1572" s="1823"/>
      <c r="M1572" s="1823"/>
      <c r="N1572" s="1823"/>
      <c r="O1572" s="1823"/>
      <c r="P1572" s="1823">
        <f t="shared" si="303"/>
        <v>0</v>
      </c>
      <c r="Q1572" s="1053"/>
      <c r="R1572" s="1053"/>
      <c r="S1572" s="1053"/>
      <c r="T1572" s="2035">
        <f t="shared" si="297"/>
        <v>0</v>
      </c>
    </row>
    <row r="1573" spans="1:20" ht="22.2" hidden="1" customHeight="1">
      <c r="A1573" s="59"/>
      <c r="B1573" s="1584" t="s">
        <v>1067</v>
      </c>
      <c r="C1573" s="1013" t="str">
        <f t="shared" si="298"/>
        <v xml:space="preserve"> </v>
      </c>
      <c r="D1573" s="1548">
        <f>pp_NC!DU95</f>
        <v>0</v>
      </c>
      <c r="E1573" s="1044"/>
      <c r="F1573" s="1056" t="str">
        <f>VLOOKUP($B1573,DG!A:D,DG!$C$2,)</f>
        <v>Kẹp ép WR cỡ dây 150mm2</v>
      </c>
      <c r="G1573" s="1044" t="str">
        <f>VLOOKUP($B1573,DG!A:D,DG!$D$2,)</f>
        <v>cái</v>
      </c>
      <c r="H1573" s="1823">
        <f t="shared" si="301"/>
        <v>0</v>
      </c>
      <c r="I1573" s="1823"/>
      <c r="J1573" s="1823">
        <f t="shared" si="302"/>
        <v>0</v>
      </c>
      <c r="K1573" s="1823"/>
      <c r="L1573" s="1823"/>
      <c r="M1573" s="1823"/>
      <c r="N1573" s="1823"/>
      <c r="O1573" s="1823"/>
      <c r="P1573" s="1823">
        <f t="shared" si="303"/>
        <v>0</v>
      </c>
      <c r="Q1573" s="1053"/>
      <c r="R1573" s="1053"/>
      <c r="S1573" s="1053"/>
      <c r="T1573" s="2035">
        <f t="shared" si="297"/>
        <v>0</v>
      </c>
    </row>
    <row r="1574" spans="1:20" ht="22.2" hidden="1" customHeight="1">
      <c r="A1574" s="59"/>
      <c r="B1574" s="1584" t="s">
        <v>14</v>
      </c>
      <c r="C1574" s="1013" t="str">
        <f t="shared" si="298"/>
        <v xml:space="preserve"> </v>
      </c>
      <c r="D1574" s="1548"/>
      <c r="E1574" s="1044"/>
      <c r="F1574" s="1056" t="str">
        <f>VLOOKUP($B1574,DG!A:D,DG!$C$2,)</f>
        <v>Kẹp ép WR cỡ dây 185mm2</v>
      </c>
      <c r="G1574" s="1044" t="str">
        <f>VLOOKUP($B1574,DG!A:D,DG!$D$2,)</f>
        <v>cái</v>
      </c>
      <c r="H1574" s="1823">
        <f t="shared" si="301"/>
        <v>0</v>
      </c>
      <c r="I1574" s="1823"/>
      <c r="J1574" s="1823">
        <f t="shared" si="302"/>
        <v>0</v>
      </c>
      <c r="K1574" s="1823"/>
      <c r="L1574" s="1823"/>
      <c r="M1574" s="1823"/>
      <c r="N1574" s="1823"/>
      <c r="O1574" s="1823"/>
      <c r="P1574" s="1823">
        <f t="shared" si="303"/>
        <v>0</v>
      </c>
      <c r="Q1574" s="1053"/>
      <c r="R1574" s="1053"/>
      <c r="S1574" s="1053"/>
      <c r="T1574" s="2035">
        <f t="shared" si="297"/>
        <v>0</v>
      </c>
    </row>
    <row r="1575" spans="1:20" ht="22.2" hidden="1" customHeight="1">
      <c r="A1575" s="59"/>
      <c r="B1575" s="1584" t="s">
        <v>1068</v>
      </c>
      <c r="C1575" s="1013" t="str">
        <f t="shared" si="298"/>
        <v xml:space="preserve"> </v>
      </c>
      <c r="D1575" s="1548">
        <f>pp_NC!DV95</f>
        <v>0</v>
      </c>
      <c r="E1575" s="1044"/>
      <c r="F1575" s="1056" t="str">
        <f>VLOOKUP($B1575,DG!A:D,DG!$C$2,)</f>
        <v>Kẹp ép WR cỡ dây 240mm2</v>
      </c>
      <c r="G1575" s="1044" t="str">
        <f>VLOOKUP($B1575,DG!A:D,DG!$D$2,)</f>
        <v>cái</v>
      </c>
      <c r="H1575" s="1823">
        <f t="shared" si="301"/>
        <v>0</v>
      </c>
      <c r="I1575" s="1823"/>
      <c r="J1575" s="1823">
        <f t="shared" si="302"/>
        <v>0</v>
      </c>
      <c r="K1575" s="1823"/>
      <c r="L1575" s="1823"/>
      <c r="M1575" s="1823"/>
      <c r="N1575" s="1823"/>
      <c r="O1575" s="1823"/>
      <c r="P1575" s="1823">
        <f t="shared" si="303"/>
        <v>0</v>
      </c>
      <c r="Q1575" s="1053"/>
      <c r="R1575" s="1053"/>
      <c r="S1575" s="1053"/>
      <c r="T1575" s="2035">
        <f t="shared" si="297"/>
        <v>0</v>
      </c>
    </row>
    <row r="1576" spans="1:20" ht="22.2" hidden="1" customHeight="1">
      <c r="A1576" s="59"/>
      <c r="B1576" s="1584" t="s">
        <v>1891</v>
      </c>
      <c r="C1576" s="1013" t="str">
        <f t="shared" si="298"/>
        <v xml:space="preserve"> </v>
      </c>
      <c r="D1576" s="1548">
        <f>pp_NC!DW184</f>
        <v>0</v>
      </c>
      <c r="E1576" s="1044" t="str">
        <f>VLOOKUP($B1576,DG!A:D,DG!$B$2,)</f>
        <v>03.4003</v>
      </c>
      <c r="F1576" s="1056" t="str">
        <f>VLOOKUP($B1576,DG!A:D,DG!$C$2,)</f>
        <v>Đầu cosse ép Cu-Al 70mm2</v>
      </c>
      <c r="G1576" s="1044" t="str">
        <f>VLOOKUP($B1576,DG!A:D,DG!$D$2,)</f>
        <v>cái</v>
      </c>
      <c r="H1576" s="1823">
        <f t="shared" si="301"/>
        <v>0</v>
      </c>
      <c r="I1576" s="1823"/>
      <c r="J1576" s="1823">
        <f t="shared" si="302"/>
        <v>0</v>
      </c>
      <c r="K1576" s="1823"/>
      <c r="L1576" s="1823"/>
      <c r="M1576" s="1823"/>
      <c r="N1576" s="1823"/>
      <c r="O1576" s="1823"/>
      <c r="P1576" s="1823">
        <f t="shared" si="303"/>
        <v>0</v>
      </c>
      <c r="Q1576" s="1053"/>
      <c r="R1576" s="1053"/>
      <c r="S1576" s="1053"/>
      <c r="T1576" s="2035">
        <f t="shared" si="297"/>
        <v>0</v>
      </c>
    </row>
    <row r="1577" spans="1:20" ht="22.2" hidden="1" customHeight="1">
      <c r="A1577" s="59"/>
      <c r="B1577" s="1584" t="s">
        <v>1892</v>
      </c>
      <c r="C1577" s="1013" t="str">
        <f t="shared" si="298"/>
        <v xml:space="preserve"> </v>
      </c>
      <c r="D1577" s="1548">
        <f>pp_NC!DY184</f>
        <v>0</v>
      </c>
      <c r="E1577" s="1044" t="str">
        <f>VLOOKUP($B1577,DG!A:D,DG!$B$2,)</f>
        <v>03.4004</v>
      </c>
      <c r="F1577" s="1056" t="str">
        <f>VLOOKUP($B1577,DG!A:D,DG!$C$2,)</f>
        <v>Đầu cosse ép Cu-Al 95mm2</v>
      </c>
      <c r="G1577" s="1044" t="str">
        <f>VLOOKUP($B1577,DG!A:D,DG!$D$2,)</f>
        <v>cái</v>
      </c>
      <c r="H1577" s="1823">
        <f t="shared" si="301"/>
        <v>0</v>
      </c>
      <c r="I1577" s="1823"/>
      <c r="J1577" s="1823">
        <f t="shared" si="302"/>
        <v>0</v>
      </c>
      <c r="K1577" s="1823"/>
      <c r="L1577" s="1823"/>
      <c r="M1577" s="1823"/>
      <c r="N1577" s="1823"/>
      <c r="O1577" s="1823"/>
      <c r="P1577" s="1823">
        <f t="shared" si="303"/>
        <v>0</v>
      </c>
      <c r="Q1577" s="1053"/>
      <c r="R1577" s="1053"/>
      <c r="S1577" s="1053"/>
      <c r="T1577" s="2035">
        <f t="shared" si="297"/>
        <v>0</v>
      </c>
    </row>
    <row r="1578" spans="1:20" ht="22.2" hidden="1" customHeight="1">
      <c r="A1578" s="59"/>
      <c r="B1578" s="1584" t="s">
        <v>1893</v>
      </c>
      <c r="C1578" s="1013" t="str">
        <f t="shared" si="298"/>
        <v xml:space="preserve"> </v>
      </c>
      <c r="D1578" s="1548">
        <f>pp_NC!DZ184</f>
        <v>0</v>
      </c>
      <c r="E1578" s="1044" t="str">
        <f>VLOOKUP($B1578,DG!A:D,DG!$B$2,)</f>
        <v>03.4005</v>
      </c>
      <c r="F1578" s="1056" t="str">
        <f>VLOOKUP($B1578,DG!A:D,DG!$C$2,)</f>
        <v>Đầu cosse ép Cu-Al 120mm2</v>
      </c>
      <c r="G1578" s="1044" t="str">
        <f>VLOOKUP($B1578,DG!A:D,DG!$D$2,)</f>
        <v>cái</v>
      </c>
      <c r="H1578" s="1823">
        <f t="shared" si="301"/>
        <v>0</v>
      </c>
      <c r="I1578" s="1823"/>
      <c r="J1578" s="1823">
        <f t="shared" si="302"/>
        <v>0</v>
      </c>
      <c r="K1578" s="1823"/>
      <c r="L1578" s="1823"/>
      <c r="M1578" s="1823"/>
      <c r="N1578" s="1823"/>
      <c r="O1578" s="1823"/>
      <c r="P1578" s="1823">
        <f t="shared" si="303"/>
        <v>0</v>
      </c>
      <c r="Q1578" s="1053"/>
      <c r="R1578" s="1053"/>
      <c r="S1578" s="1053"/>
      <c r="T1578" s="2035">
        <f t="shared" si="297"/>
        <v>0</v>
      </c>
    </row>
    <row r="1579" spans="1:20" ht="22.2" hidden="1" customHeight="1">
      <c r="A1579" s="59"/>
      <c r="B1579" s="1584" t="s">
        <v>1019</v>
      </c>
      <c r="C1579" s="1013" t="str">
        <f t="shared" si="298"/>
        <v xml:space="preserve"> </v>
      </c>
      <c r="D1579" s="1548">
        <f>pp_NC!EA184</f>
        <v>0</v>
      </c>
      <c r="E1579" s="1044" t="str">
        <f>VLOOKUP($B1579,DG!A:D,DG!$B$2,)</f>
        <v>03.4006</v>
      </c>
      <c r="F1579" s="1056" t="str">
        <f>VLOOKUP($B1579,DG!A:D,DG!$C$2,)</f>
        <v>Đầu cosse ép Cu-Al 150mm2</v>
      </c>
      <c r="G1579" s="1044" t="str">
        <f>VLOOKUP($B1579,DG!A:D,DG!$D$2,)</f>
        <v>cái</v>
      </c>
      <c r="H1579" s="1823">
        <f t="shared" si="301"/>
        <v>0</v>
      </c>
      <c r="I1579" s="1823"/>
      <c r="J1579" s="1823">
        <f t="shared" si="302"/>
        <v>0</v>
      </c>
      <c r="K1579" s="1823"/>
      <c r="L1579" s="1823"/>
      <c r="M1579" s="1823"/>
      <c r="N1579" s="1823"/>
      <c r="O1579" s="1823"/>
      <c r="P1579" s="1823">
        <f t="shared" si="303"/>
        <v>0</v>
      </c>
      <c r="Q1579" s="1053"/>
      <c r="R1579" s="1053"/>
      <c r="S1579" s="1053"/>
      <c r="T1579" s="2035">
        <f t="shared" si="297"/>
        <v>0</v>
      </c>
    </row>
    <row r="1580" spans="1:20" ht="22.2" hidden="1" customHeight="1">
      <c r="A1580" s="59"/>
      <c r="B1580" s="1584" t="s">
        <v>1020</v>
      </c>
      <c r="C1580" s="1013" t="str">
        <f t="shared" si="298"/>
        <v xml:space="preserve"> </v>
      </c>
      <c r="D1580" s="1548"/>
      <c r="E1580" s="1044" t="str">
        <f>VLOOKUP($B1580,DG!A:D,DG!$B$2,)</f>
        <v>03.4007</v>
      </c>
      <c r="F1580" s="1056" t="str">
        <f>VLOOKUP($B1580,DG!A:D,DG!$C$2,)</f>
        <v>Đầu cosse ép Cu-Al 185mm2</v>
      </c>
      <c r="G1580" s="1044" t="str">
        <f>VLOOKUP($B1580,DG!A:D,DG!$D$2,)</f>
        <v>cái</v>
      </c>
      <c r="H1580" s="1823">
        <f t="shared" si="301"/>
        <v>0</v>
      </c>
      <c r="I1580" s="1823"/>
      <c r="J1580" s="1823">
        <f t="shared" si="302"/>
        <v>0</v>
      </c>
      <c r="K1580" s="1823"/>
      <c r="L1580" s="1823"/>
      <c r="M1580" s="1823"/>
      <c r="N1580" s="1823"/>
      <c r="O1580" s="1823"/>
      <c r="P1580" s="1823">
        <f t="shared" si="303"/>
        <v>0</v>
      </c>
      <c r="Q1580" s="1053"/>
      <c r="R1580" s="1053"/>
      <c r="S1580" s="1053"/>
      <c r="T1580" s="2035">
        <f t="shared" ref="T1580:T1643" si="304">IFERROR(HLOOKUP(B1580,BangKeTru,3,0),0)</f>
        <v>0</v>
      </c>
    </row>
    <row r="1581" spans="1:20" ht="22.2" hidden="1" customHeight="1">
      <c r="A1581" s="59"/>
      <c r="B1581" s="1584" t="s">
        <v>1835</v>
      </c>
      <c r="C1581" s="1013" t="str">
        <f t="shared" si="298"/>
        <v xml:space="preserve"> </v>
      </c>
      <c r="D1581" s="1548">
        <f>pp_NC!EC95</f>
        <v>0</v>
      </c>
      <c r="E1581" s="1044" t="str">
        <f>VLOOKUP($B1581,DG!A:D,DG!$B$2,)</f>
        <v>03.4008</v>
      </c>
      <c r="F1581" s="1056" t="str">
        <f>VLOOKUP($B1581,DG!A:D,DG!$C$2,)</f>
        <v>Đầu cosse ép Cu-Al 240mm2</v>
      </c>
      <c r="G1581" s="1044" t="str">
        <f>VLOOKUP($B1581,DG!A:D,DG!$D$2,)</f>
        <v>cái</v>
      </c>
      <c r="H1581" s="1823">
        <f t="shared" si="301"/>
        <v>0</v>
      </c>
      <c r="I1581" s="1823"/>
      <c r="J1581" s="1823">
        <f t="shared" si="302"/>
        <v>0</v>
      </c>
      <c r="K1581" s="1823"/>
      <c r="L1581" s="1823"/>
      <c r="M1581" s="1823"/>
      <c r="N1581" s="1823"/>
      <c r="O1581" s="1823"/>
      <c r="P1581" s="1823">
        <f t="shared" si="303"/>
        <v>0</v>
      </c>
      <c r="Q1581" s="1053"/>
      <c r="R1581" s="1053"/>
      <c r="S1581" s="1053"/>
      <c r="T1581" s="2035">
        <f t="shared" si="304"/>
        <v>0</v>
      </c>
    </row>
    <row r="1582" spans="1:20" ht="22.2" hidden="1" customHeight="1">
      <c r="A1582" s="59"/>
      <c r="B1582" s="1584" t="s">
        <v>437</v>
      </c>
      <c r="C1582" s="1013" t="str">
        <f t="shared" si="298"/>
        <v xml:space="preserve"> </v>
      </c>
      <c r="D1582" s="1548">
        <f>SUM(D1576:D1581)*2</f>
        <v>0</v>
      </c>
      <c r="E1582" s="1044">
        <f>VLOOKUP($B1582,DG!A:D,DG!$B$2,)</f>
        <v>0</v>
      </c>
      <c r="F1582" s="1056" t="str">
        <f>VLOOKUP($B1582,DG!A:D,DG!$C$2,)</f>
        <v>Boulon 12x30+ 2 long đền vuông D14-50x50x3/Zn</v>
      </c>
      <c r="G1582" s="1044" t="str">
        <f>VLOOKUP($B1582,DG!A:D,DG!$D$2,)</f>
        <v>bộ</v>
      </c>
      <c r="H1582" s="1823">
        <f t="shared" si="301"/>
        <v>0</v>
      </c>
      <c r="I1582" s="1823"/>
      <c r="J1582" s="1823">
        <f t="shared" si="302"/>
        <v>0</v>
      </c>
      <c r="K1582" s="1823"/>
      <c r="L1582" s="1823"/>
      <c r="M1582" s="1823"/>
      <c r="N1582" s="1823"/>
      <c r="O1582" s="1823"/>
      <c r="P1582" s="1823">
        <f t="shared" si="303"/>
        <v>0</v>
      </c>
      <c r="Q1582" s="1053"/>
      <c r="R1582" s="1053"/>
      <c r="S1582" s="1053"/>
      <c r="T1582" s="2035">
        <f t="shared" si="304"/>
        <v>0</v>
      </c>
    </row>
    <row r="1583" spans="1:20" ht="22.2" hidden="1" customHeight="1">
      <c r="A1583" s="59"/>
      <c r="B1583" s="1584" t="s">
        <v>1482</v>
      </c>
      <c r="C1583" s="1013" t="str">
        <f t="shared" si="298"/>
        <v xml:space="preserve"> </v>
      </c>
      <c r="D1583" s="1548"/>
      <c r="E1583" s="1044" t="str">
        <f>VLOOKUP($B1583,DG!A:D,DG!$B$2,)</f>
        <v>04.3007</v>
      </c>
      <c r="F1583" s="1056" t="str">
        <f>VLOOKUP($B1583,DG!A:D,DG!$C$2,)</f>
        <v>Kẹp quai 2/0</v>
      </c>
      <c r="G1583" s="1044" t="str">
        <f>VLOOKUP($B1583,DG!A:D,DG!$D$2,)</f>
        <v>cái</v>
      </c>
      <c r="H1583" s="1823">
        <f t="shared" si="301"/>
        <v>0</v>
      </c>
      <c r="I1583" s="1823"/>
      <c r="J1583" s="1823">
        <f t="shared" si="302"/>
        <v>0</v>
      </c>
      <c r="K1583" s="1823"/>
      <c r="L1583" s="1823"/>
      <c r="M1583" s="1823"/>
      <c r="N1583" s="1823"/>
      <c r="O1583" s="1823"/>
      <c r="P1583" s="1823">
        <f t="shared" si="303"/>
        <v>0</v>
      </c>
      <c r="Q1583" s="1053"/>
      <c r="R1583" s="1053"/>
      <c r="S1583" s="1053"/>
      <c r="T1583" s="2035">
        <f t="shared" si="304"/>
        <v>0</v>
      </c>
    </row>
    <row r="1584" spans="1:20" ht="22.2" hidden="1" customHeight="1">
      <c r="A1584" s="59"/>
      <c r="B1584" s="1584" t="s">
        <v>236</v>
      </c>
      <c r="C1584" s="1013" t="str">
        <f t="shared" si="298"/>
        <v xml:space="preserve"> </v>
      </c>
      <c r="D1584" s="1535">
        <f>D1583</f>
        <v>0</v>
      </c>
      <c r="E1584" s="1044" t="str">
        <f>VLOOKUP($B1584,DG!A:D,DG!$B$2,)</f>
        <v>04.3007</v>
      </c>
      <c r="F1584" s="1056" t="str">
        <f>VLOOKUP($B1584,DG!A:D,DG!$C$2,)</f>
        <v>Kẹp quai 4/0</v>
      </c>
      <c r="G1584" s="1044" t="str">
        <f>VLOOKUP($B1584,DG!A:D,DG!$D$2,)</f>
        <v>cái</v>
      </c>
      <c r="H1584" s="1823">
        <f t="shared" si="301"/>
        <v>0</v>
      </c>
      <c r="I1584" s="1823"/>
      <c r="J1584" s="1823">
        <f t="shared" si="302"/>
        <v>0</v>
      </c>
      <c r="K1584" s="1823"/>
      <c r="L1584" s="1823"/>
      <c r="M1584" s="1823"/>
      <c r="N1584" s="1823"/>
      <c r="O1584" s="1823"/>
      <c r="P1584" s="1823">
        <f t="shared" si="303"/>
        <v>0</v>
      </c>
      <c r="Q1584" s="1053"/>
      <c r="R1584" s="1053"/>
      <c r="S1584" s="1053"/>
      <c r="T1584" s="2035">
        <f t="shared" si="304"/>
        <v>0</v>
      </c>
    </row>
    <row r="1585" spans="1:20" ht="22.2" hidden="1" customHeight="1">
      <c r="A1585" s="59"/>
      <c r="B1585" s="1599" t="s">
        <v>1480</v>
      </c>
      <c r="C1585" s="1013" t="str">
        <f t="shared" si="298"/>
        <v xml:space="preserve"> </v>
      </c>
      <c r="D1585" s="1535">
        <f>D1583*3/2</f>
        <v>0</v>
      </c>
      <c r="E1585" s="1044"/>
      <c r="F1585" s="1056" t="str">
        <f>VLOOKUP($B1585,DG!A:D,DG!$C$2,)</f>
        <v>Kẹp hotline 2/0</v>
      </c>
      <c r="G1585" s="1044" t="str">
        <f>VLOOKUP($B1585,DG!A:D,DG!$D$2,)</f>
        <v>cái</v>
      </c>
      <c r="H1585" s="1823">
        <f t="shared" si="301"/>
        <v>0</v>
      </c>
      <c r="I1585" s="1823"/>
      <c r="J1585" s="1823">
        <f t="shared" si="302"/>
        <v>0</v>
      </c>
      <c r="K1585" s="1823"/>
      <c r="L1585" s="1823"/>
      <c r="M1585" s="1823"/>
      <c r="N1585" s="1823"/>
      <c r="O1585" s="1823"/>
      <c r="P1585" s="1823">
        <f t="shared" si="303"/>
        <v>0</v>
      </c>
      <c r="Q1585" s="1053"/>
      <c r="R1585" s="1053"/>
      <c r="S1585" s="1053"/>
      <c r="T1585" s="2035">
        <f t="shared" si="304"/>
        <v>0</v>
      </c>
    </row>
    <row r="1586" spans="1:20" ht="22.2" hidden="1" customHeight="1">
      <c r="A1586" s="59"/>
      <c r="B1586" s="1599" t="s">
        <v>1049</v>
      </c>
      <c r="C1586" s="1013" t="str">
        <f t="shared" si="298"/>
        <v xml:space="preserve"> </v>
      </c>
      <c r="D1586" s="1548">
        <f>pp_NC!BP184</f>
        <v>0</v>
      </c>
      <c r="E1586" s="1044"/>
      <c r="F1586" s="1056" t="str">
        <f>VLOOKUP($B1586,DG!A:D,DG!$C$2,)</f>
        <v>Kẹp hotline 4/0</v>
      </c>
      <c r="G1586" s="1044" t="str">
        <f>VLOOKUP($B1586,DG!A:D,DG!$D$2,)</f>
        <v>cái</v>
      </c>
      <c r="H1586" s="1823">
        <f t="shared" si="301"/>
        <v>0</v>
      </c>
      <c r="I1586" s="1823"/>
      <c r="J1586" s="1823">
        <f t="shared" si="302"/>
        <v>0</v>
      </c>
      <c r="K1586" s="1823"/>
      <c r="L1586" s="1823"/>
      <c r="M1586" s="1823"/>
      <c r="N1586" s="1823"/>
      <c r="O1586" s="1823"/>
      <c r="P1586" s="1823">
        <f t="shared" si="303"/>
        <v>0</v>
      </c>
      <c r="Q1586" s="1053"/>
      <c r="R1586" s="1053"/>
      <c r="S1586" s="1053"/>
      <c r="T1586" s="2035">
        <f t="shared" si="304"/>
        <v>0</v>
      </c>
    </row>
    <row r="1587" spans="1:20" ht="22.2" hidden="1" customHeight="1">
      <c r="A1587" s="59"/>
      <c r="B1587" s="1584" t="s">
        <v>1490</v>
      </c>
      <c r="C1587" s="1013" t="str">
        <f t="shared" si="298"/>
        <v xml:space="preserve"> </v>
      </c>
      <c r="D1587" s="1535">
        <f>ROUND((E1499)*1.03/1500,0)</f>
        <v>0</v>
      </c>
      <c r="E1587" s="1044"/>
      <c r="F1587" s="1056" t="str">
        <f>VLOOKUP($B1587,DG!A:D,DG!$C$2,)</f>
        <v>Ống nối dây cỡ 50mm2</v>
      </c>
      <c r="G1587" s="1044" t="str">
        <f>VLOOKUP($B1587,DG!A:D,DG!$D$2,)</f>
        <v>cái</v>
      </c>
      <c r="H1587" s="1823">
        <f t="shared" si="301"/>
        <v>0</v>
      </c>
      <c r="I1587" s="1823"/>
      <c r="J1587" s="1823">
        <f t="shared" si="302"/>
        <v>0</v>
      </c>
      <c r="K1587" s="1823"/>
      <c r="L1587" s="1823"/>
      <c r="M1587" s="1823"/>
      <c r="N1587" s="1823"/>
      <c r="O1587" s="1823"/>
      <c r="P1587" s="1823">
        <f t="shared" si="303"/>
        <v>0</v>
      </c>
      <c r="Q1587" s="1053"/>
      <c r="R1587" s="1053"/>
      <c r="S1587" s="1053"/>
      <c r="T1587" s="2035">
        <f t="shared" si="304"/>
        <v>0</v>
      </c>
    </row>
    <row r="1588" spans="1:20" ht="22.2" hidden="1" customHeight="1">
      <c r="A1588" s="59"/>
      <c r="B1588" s="1584" t="s">
        <v>1491</v>
      </c>
      <c r="C1588" s="1013" t="str">
        <f t="shared" ref="C1588:C1651" si="305">IF(OR(P1588&lt;&gt;0,H1588&lt;&gt;0),"x"," ")</f>
        <v xml:space="preserve"> </v>
      </c>
      <c r="D1588" s="1535">
        <f>ROUND((E1498+E1506)*1.03/1400,0)</f>
        <v>0</v>
      </c>
      <c r="E1588" s="1044"/>
      <c r="F1588" s="1056" t="str">
        <f>VLOOKUP($B1588,DG!A:D,DG!$C$2,)</f>
        <v>Ống nối dây cỡ 70mm2</v>
      </c>
      <c r="G1588" s="1044" t="str">
        <f>VLOOKUP($B1588,DG!A:D,DG!$D$2,)</f>
        <v>cái</v>
      </c>
      <c r="H1588" s="1823">
        <f t="shared" si="301"/>
        <v>0</v>
      </c>
      <c r="I1588" s="1823"/>
      <c r="J1588" s="1823">
        <f t="shared" si="302"/>
        <v>0</v>
      </c>
      <c r="K1588" s="1823"/>
      <c r="L1588" s="1823"/>
      <c r="M1588" s="1823"/>
      <c r="N1588" s="1823"/>
      <c r="O1588" s="1823"/>
      <c r="P1588" s="1823">
        <f t="shared" si="303"/>
        <v>0</v>
      </c>
      <c r="Q1588" s="1053"/>
      <c r="R1588" s="1053"/>
      <c r="S1588" s="1053"/>
      <c r="T1588" s="2035">
        <f t="shared" si="304"/>
        <v>0</v>
      </c>
    </row>
    <row r="1589" spans="1:20" ht="22.2" hidden="1" customHeight="1">
      <c r="A1589" s="59"/>
      <c r="B1589" s="1584" t="s">
        <v>432</v>
      </c>
      <c r="C1589" s="1013" t="str">
        <f t="shared" si="305"/>
        <v xml:space="preserve"> </v>
      </c>
      <c r="D1589" s="1535">
        <f>ROUND((E1497+E1505)*1.03/1200,0)</f>
        <v>0</v>
      </c>
      <c r="E1589" s="1044"/>
      <c r="F1589" s="1056" t="str">
        <f>VLOOKUP($B1589,DG!A:D,DG!$C$2,)</f>
        <v>Ống nối dây cỡ 95mm2</v>
      </c>
      <c r="G1589" s="1044" t="str">
        <f>VLOOKUP($B1589,DG!A:D,DG!$D$2,)</f>
        <v>cái</v>
      </c>
      <c r="H1589" s="1823">
        <f t="shared" ref="H1589:H1595" si="306">$D1589</f>
        <v>0</v>
      </c>
      <c r="I1589" s="1823"/>
      <c r="J1589" s="1823">
        <f t="shared" ref="J1589:J1595" si="307">D1589</f>
        <v>0</v>
      </c>
      <c r="K1589" s="1823"/>
      <c r="L1589" s="1823"/>
      <c r="M1589" s="1823"/>
      <c r="N1589" s="1823"/>
      <c r="O1589" s="1823"/>
      <c r="P1589" s="1823">
        <f t="shared" si="303"/>
        <v>0</v>
      </c>
      <c r="Q1589" s="1053"/>
      <c r="R1589" s="1053"/>
      <c r="S1589" s="1053"/>
      <c r="T1589" s="2035">
        <f t="shared" si="304"/>
        <v>0</v>
      </c>
    </row>
    <row r="1590" spans="1:20" ht="22.2" hidden="1" customHeight="1">
      <c r="A1590" s="59"/>
      <c r="B1590" s="1584" t="s">
        <v>573</v>
      </c>
      <c r="C1590" s="1013" t="str">
        <f t="shared" si="305"/>
        <v xml:space="preserve"> </v>
      </c>
      <c r="D1590" s="1535">
        <f>ROUND((E1496+E1504)*1.03/1200,0)</f>
        <v>0</v>
      </c>
      <c r="E1590" s="1044"/>
      <c r="F1590" s="1056" t="str">
        <f>VLOOKUP($B1590,DG!A:D,DG!$C$2,)</f>
        <v>Ống nối dây cỡ 120mm2</v>
      </c>
      <c r="G1590" s="1044" t="str">
        <f>VLOOKUP($B1590,DG!A:D,DG!$D$2,)</f>
        <v>cái</v>
      </c>
      <c r="H1590" s="1823">
        <f t="shared" si="306"/>
        <v>0</v>
      </c>
      <c r="I1590" s="1823"/>
      <c r="J1590" s="1823">
        <f t="shared" si="307"/>
        <v>0</v>
      </c>
      <c r="K1590" s="1823"/>
      <c r="L1590" s="1823"/>
      <c r="M1590" s="1823"/>
      <c r="N1590" s="1823"/>
      <c r="O1590" s="1823"/>
      <c r="P1590" s="1823">
        <f t="shared" si="303"/>
        <v>0</v>
      </c>
      <c r="Q1590" s="1053"/>
      <c r="R1590" s="1053"/>
      <c r="S1590" s="1053"/>
      <c r="T1590" s="2035">
        <f t="shared" si="304"/>
        <v>0</v>
      </c>
    </row>
    <row r="1591" spans="1:20" ht="22.2" hidden="1" customHeight="1">
      <c r="A1591" s="59"/>
      <c r="B1591" s="1584" t="s">
        <v>937</v>
      </c>
      <c r="C1591" s="1013" t="str">
        <f t="shared" si="305"/>
        <v xml:space="preserve"> </v>
      </c>
      <c r="D1591" s="1535">
        <f>ROUND((E1495+E1503)*1.03/1200,0)</f>
        <v>0</v>
      </c>
      <c r="E1591" s="1044"/>
      <c r="F1591" s="1056" t="str">
        <f>VLOOKUP($B1591,DG!A:D,DG!$C$2,)</f>
        <v>Ống nối dây cỡ 150mm2</v>
      </c>
      <c r="G1591" s="1044" t="str">
        <f>VLOOKUP($B1591,DG!A:D,DG!$D$2,)</f>
        <v>cái</v>
      </c>
      <c r="H1591" s="1823">
        <f t="shared" si="306"/>
        <v>0</v>
      </c>
      <c r="I1591" s="1823"/>
      <c r="J1591" s="1823">
        <f t="shared" si="307"/>
        <v>0</v>
      </c>
      <c r="K1591" s="1823"/>
      <c r="L1591" s="1823"/>
      <c r="M1591" s="1823"/>
      <c r="N1591" s="1823"/>
      <c r="O1591" s="1823"/>
      <c r="P1591" s="1823">
        <f t="shared" si="303"/>
        <v>0</v>
      </c>
      <c r="Q1591" s="1053"/>
      <c r="R1591" s="1053"/>
      <c r="S1591" s="1053"/>
      <c r="T1591" s="2035">
        <f t="shared" si="304"/>
        <v>0</v>
      </c>
    </row>
    <row r="1592" spans="1:20" ht="22.2" hidden="1" customHeight="1">
      <c r="A1592" s="59"/>
      <c r="B1592" s="1584" t="s">
        <v>572</v>
      </c>
      <c r="C1592" s="1013" t="str">
        <f t="shared" si="305"/>
        <v xml:space="preserve"> </v>
      </c>
      <c r="D1592" s="1535">
        <f>ROUND((E1494+E1502)*1.03/1200,0)</f>
        <v>0</v>
      </c>
      <c r="E1592" s="1044"/>
      <c r="F1592" s="1056" t="str">
        <f>VLOOKUP($B1592,DG!A:D,DG!$C$2,)</f>
        <v>Ống nối dây cỡ 185mm2</v>
      </c>
      <c r="G1592" s="1044" t="str">
        <f>VLOOKUP($B1592,DG!A:D,DG!$D$2,)</f>
        <v>cái</v>
      </c>
      <c r="H1592" s="1823">
        <f t="shared" si="306"/>
        <v>0</v>
      </c>
      <c r="I1592" s="1823"/>
      <c r="J1592" s="1823">
        <f t="shared" si="307"/>
        <v>0</v>
      </c>
      <c r="K1592" s="1823"/>
      <c r="L1592" s="1823"/>
      <c r="M1592" s="1823"/>
      <c r="N1592" s="1823"/>
      <c r="O1592" s="1823"/>
      <c r="P1592" s="1823">
        <f t="shared" si="303"/>
        <v>0</v>
      </c>
      <c r="Q1592" s="1053"/>
      <c r="R1592" s="1053"/>
      <c r="S1592" s="1053"/>
      <c r="T1592" s="2035">
        <f t="shared" si="304"/>
        <v>0</v>
      </c>
    </row>
    <row r="1593" spans="1:20" ht="22.2" hidden="1" customHeight="1">
      <c r="A1593" s="59"/>
      <c r="B1593" s="1584" t="s">
        <v>571</v>
      </c>
      <c r="C1593" s="1013" t="str">
        <f t="shared" si="305"/>
        <v xml:space="preserve"> </v>
      </c>
      <c r="D1593" s="1535">
        <f>ROUND((E1493+E1501)*1.03/1200,0)</f>
        <v>0</v>
      </c>
      <c r="E1593" s="1044"/>
      <c r="F1593" s="1056" t="str">
        <f>VLOOKUP($B1593,DG!A:D,DG!$C$2,)</f>
        <v>Ống nối dây cỡ 240mm2</v>
      </c>
      <c r="G1593" s="1044" t="str">
        <f>VLOOKUP($B1593,DG!A:D,DG!$D$2,)</f>
        <v>cái</v>
      </c>
      <c r="H1593" s="1823">
        <f t="shared" si="306"/>
        <v>0</v>
      </c>
      <c r="I1593" s="1823"/>
      <c r="J1593" s="1823">
        <f t="shared" si="307"/>
        <v>0</v>
      </c>
      <c r="K1593" s="1823"/>
      <c r="L1593" s="1823"/>
      <c r="M1593" s="1823"/>
      <c r="N1593" s="1823"/>
      <c r="O1593" s="1823"/>
      <c r="P1593" s="1823">
        <f t="shared" si="303"/>
        <v>0</v>
      </c>
      <c r="Q1593" s="1053"/>
      <c r="R1593" s="1053"/>
      <c r="S1593" s="1053"/>
      <c r="T1593" s="2035">
        <f t="shared" si="304"/>
        <v>0</v>
      </c>
    </row>
    <row r="1594" spans="1:20" ht="22.2" hidden="1" customHeight="1">
      <c r="A1594" s="1015"/>
      <c r="B1594" s="1583" t="s">
        <v>229</v>
      </c>
      <c r="C1594" s="1013" t="str">
        <f t="shared" si="305"/>
        <v xml:space="preserve"> </v>
      </c>
      <c r="D1594" s="1535"/>
      <c r="E1594" s="1044"/>
      <c r="F1594" s="1056" t="str">
        <f>VLOOKUP($B1594,DG!A:D,DG!$C$2,)</f>
        <v xml:space="preserve">Dây nhôm buộc </v>
      </c>
      <c r="G1594" s="1044" t="str">
        <f>VLOOKUP($B1594,DG!A:D,DG!$D$2,)</f>
        <v>kg</v>
      </c>
      <c r="H1594" s="1823">
        <f t="shared" si="306"/>
        <v>0</v>
      </c>
      <c r="I1594" s="1823"/>
      <c r="J1594" s="1823">
        <f t="shared" si="307"/>
        <v>0</v>
      </c>
      <c r="K1594" s="1823"/>
      <c r="L1594" s="1823"/>
      <c r="M1594" s="1823"/>
      <c r="N1594" s="1823"/>
      <c r="O1594" s="1823"/>
      <c r="P1594" s="1823">
        <f>H1594+Q1594-R1594</f>
        <v>0</v>
      </c>
      <c r="Q1594" s="1053"/>
      <c r="R1594" s="1053"/>
      <c r="S1594" s="1053"/>
      <c r="T1594" s="2035">
        <f t="shared" si="304"/>
        <v>0</v>
      </c>
    </row>
    <row r="1595" spans="1:20" ht="22.2" hidden="1" customHeight="1">
      <c r="A1595" s="59"/>
      <c r="B1595" s="1584" t="s">
        <v>1573</v>
      </c>
      <c r="C1595" s="1013" t="str">
        <f t="shared" si="305"/>
        <v xml:space="preserve"> </v>
      </c>
      <c r="D1595" s="1535"/>
      <c r="E1595" s="1044"/>
      <c r="F1595" s="1056" t="str">
        <f>VLOOKUP($B1595,DG!A:D,DG!$C$2,)</f>
        <v>Biển số - Bảng nguy hiểm</v>
      </c>
      <c r="G1595" s="1044" t="str">
        <f>VLOOKUP($B1595,DG!A:D,DG!$D$2,)</f>
        <v>cái</v>
      </c>
      <c r="H1595" s="1823">
        <f t="shared" si="306"/>
        <v>0</v>
      </c>
      <c r="I1595" s="1823"/>
      <c r="J1595" s="1823">
        <f t="shared" si="307"/>
        <v>0</v>
      </c>
      <c r="K1595" s="1823"/>
      <c r="L1595" s="1823"/>
      <c r="M1595" s="1823"/>
      <c r="N1595" s="1823"/>
      <c r="O1595" s="1823"/>
      <c r="P1595" s="1823">
        <f t="shared" si="303"/>
        <v>0</v>
      </c>
      <c r="Q1595" s="1053"/>
      <c r="R1595" s="1053"/>
      <c r="S1595" s="1053"/>
      <c r="T1595" s="2035">
        <f t="shared" si="304"/>
        <v>0</v>
      </c>
    </row>
    <row r="1596" spans="1:20" ht="22.2" hidden="1" customHeight="1">
      <c r="A1596" s="59"/>
      <c r="B1596" s="1584" t="s">
        <v>1272</v>
      </c>
      <c r="C1596" s="1013" t="str">
        <f t="shared" si="305"/>
        <v xml:space="preserve"> </v>
      </c>
      <c r="D1596" s="1533"/>
      <c r="E1596" s="1044" t="str">
        <f>VLOOKUP($B1596,DG!A:D,DG!$B$2,)</f>
        <v>06.6114</v>
      </c>
      <c r="F1596" s="1056" t="s">
        <v>2524</v>
      </c>
      <c r="G1596" s="1044" t="str">
        <f>VLOOKUP($B1596,DG!A:D,DG!$D$2,)</f>
        <v>km</v>
      </c>
      <c r="H1596" s="1823"/>
      <c r="I1596" s="1823"/>
      <c r="J1596" s="1823"/>
      <c r="K1596" s="1823"/>
      <c r="L1596" s="1823"/>
      <c r="M1596" s="1823"/>
      <c r="N1596" s="1823"/>
      <c r="O1596" s="1823"/>
      <c r="P1596" s="1823">
        <f t="shared" si="303"/>
        <v>0</v>
      </c>
      <c r="Q1596" s="1053"/>
      <c r="R1596" s="1053"/>
      <c r="S1596" s="1053"/>
      <c r="T1596" s="2035">
        <f t="shared" si="304"/>
        <v>0</v>
      </c>
    </row>
    <row r="1597" spans="1:20" ht="22.2" hidden="1" customHeight="1">
      <c r="A1597" s="59"/>
      <c r="B1597" s="1584" t="s">
        <v>1417</v>
      </c>
      <c r="C1597" s="1013" t="str">
        <f t="shared" si="305"/>
        <v xml:space="preserve"> </v>
      </c>
      <c r="D1597" s="1533">
        <f>(E1498)/1000</f>
        <v>0</v>
      </c>
      <c r="E1597" s="1044" t="str">
        <f>VLOOKUP($B1597,DG!A:D,DG!$B$2,)</f>
        <v>06.6105</v>
      </c>
      <c r="F1597" s="1049" t="str">
        <f>VLOOKUP($B1597,DG!A:D,DG!$C$2,)</f>
        <v>Kéo dây nhôm lõi thép cỡ dây 70mm2</v>
      </c>
      <c r="G1597" s="1044" t="str">
        <f>VLOOKUP($B1597,DG!A:D,DG!$D$2,)</f>
        <v>km</v>
      </c>
      <c r="H1597" s="1823"/>
      <c r="I1597" s="1823"/>
      <c r="J1597" s="1823"/>
      <c r="K1597" s="1823"/>
      <c r="L1597" s="1823"/>
      <c r="M1597" s="1823"/>
      <c r="N1597" s="1823"/>
      <c r="O1597" s="1823"/>
      <c r="P1597" s="1823">
        <f t="shared" si="303"/>
        <v>0</v>
      </c>
      <c r="Q1597" s="1053"/>
      <c r="R1597" s="1053"/>
      <c r="S1597" s="1053"/>
      <c r="T1597" s="2035">
        <f t="shared" si="304"/>
        <v>0</v>
      </c>
    </row>
    <row r="1598" spans="1:20" ht="22.2" hidden="1" customHeight="1">
      <c r="A1598" s="59"/>
      <c r="B1598" s="1584" t="s">
        <v>1527</v>
      </c>
      <c r="C1598" s="1013" t="str">
        <f t="shared" si="305"/>
        <v xml:space="preserve"> </v>
      </c>
      <c r="D1598" s="1533">
        <f>(E1497)/1000</f>
        <v>0</v>
      </c>
      <c r="E1598" s="1044" t="str">
        <f>VLOOKUP($B1598,DG!A:D,DG!$B$2,)</f>
        <v>06.6106</v>
      </c>
      <c r="F1598" s="1049" t="str">
        <f>VLOOKUP($B1598,DG!A:D,DG!$C$2,)</f>
        <v>Kéo dây nhôm lõi thép cỡ dây 95mm2</v>
      </c>
      <c r="G1598" s="1044" t="str">
        <f>VLOOKUP($B1598,DG!A:D,DG!$D$2,)</f>
        <v>km</v>
      </c>
      <c r="H1598" s="1823"/>
      <c r="I1598" s="1823"/>
      <c r="J1598" s="1823"/>
      <c r="K1598" s="1823"/>
      <c r="L1598" s="1823"/>
      <c r="M1598" s="1823"/>
      <c r="N1598" s="1823"/>
      <c r="O1598" s="1823"/>
      <c r="P1598" s="1823">
        <f t="shared" si="303"/>
        <v>0</v>
      </c>
      <c r="Q1598" s="1053"/>
      <c r="R1598" s="1053"/>
      <c r="S1598" s="1053"/>
      <c r="T1598" s="2035">
        <f t="shared" si="304"/>
        <v>0</v>
      </c>
    </row>
    <row r="1599" spans="1:20" ht="22.2" hidden="1" customHeight="1">
      <c r="A1599" s="59"/>
      <c r="B1599" s="1584" t="s">
        <v>139</v>
      </c>
      <c r="C1599" s="1013" t="str">
        <f t="shared" si="305"/>
        <v xml:space="preserve"> </v>
      </c>
      <c r="D1599" s="1533">
        <f>(E1496)/1000</f>
        <v>0</v>
      </c>
      <c r="E1599" s="1044" t="str">
        <f>VLOOKUP($B1599,DG!A:D,DG!$B$2,)</f>
        <v>06.6107</v>
      </c>
      <c r="F1599" s="1049" t="str">
        <f>VLOOKUP($B1599,DG!A:D,DG!$C$2,)</f>
        <v>Kéo dây nhôm lõi thép cỡ dây 120mm2</v>
      </c>
      <c r="G1599" s="1044" t="str">
        <f>VLOOKUP($B1599,DG!A:D,DG!$D$2,)</f>
        <v>km</v>
      </c>
      <c r="H1599" s="1823"/>
      <c r="I1599" s="1823"/>
      <c r="J1599" s="1823"/>
      <c r="K1599" s="1823"/>
      <c r="L1599" s="1823"/>
      <c r="M1599" s="1823"/>
      <c r="N1599" s="1823"/>
      <c r="O1599" s="1823"/>
      <c r="P1599" s="1823">
        <f t="shared" si="303"/>
        <v>0</v>
      </c>
      <c r="Q1599" s="1053"/>
      <c r="R1599" s="1053"/>
      <c r="S1599" s="1053"/>
      <c r="T1599" s="2035">
        <f t="shared" si="304"/>
        <v>0</v>
      </c>
    </row>
    <row r="1600" spans="1:20" ht="22.2" hidden="1" customHeight="1">
      <c r="A1600" s="59"/>
      <c r="B1600" s="1584" t="s">
        <v>791</v>
      </c>
      <c r="C1600" s="1013" t="str">
        <f t="shared" si="305"/>
        <v xml:space="preserve"> </v>
      </c>
      <c r="D1600" s="1533">
        <f>(E1495)/1000</f>
        <v>0</v>
      </c>
      <c r="E1600" s="1044" t="str">
        <f>VLOOKUP($B1600,DG!A:D,DG!$B$2,)</f>
        <v>06.6108</v>
      </c>
      <c r="F1600" s="1049" t="str">
        <f>VLOOKUP($B1600,DG!A:D,DG!$C$2,)</f>
        <v>Kéo dây nhôm lõi thép cỡ dây 150mm2</v>
      </c>
      <c r="G1600" s="1044" t="str">
        <f>VLOOKUP($B1600,DG!A:D,DG!$D$2,)</f>
        <v>km</v>
      </c>
      <c r="H1600" s="1823"/>
      <c r="I1600" s="1823"/>
      <c r="J1600" s="1823"/>
      <c r="K1600" s="1823"/>
      <c r="L1600" s="1823"/>
      <c r="M1600" s="1823"/>
      <c r="N1600" s="1823"/>
      <c r="O1600" s="1823"/>
      <c r="P1600" s="1823">
        <f t="shared" si="303"/>
        <v>0</v>
      </c>
      <c r="Q1600" s="1053"/>
      <c r="R1600" s="1053"/>
      <c r="S1600" s="1053"/>
      <c r="T1600" s="2035">
        <f t="shared" si="304"/>
        <v>0</v>
      </c>
    </row>
    <row r="1601" spans="1:20" ht="22.2" hidden="1" customHeight="1">
      <c r="A1601" s="1015"/>
      <c r="B1601" s="1583" t="s">
        <v>366</v>
      </c>
      <c r="C1601" s="1013" t="str">
        <f t="shared" si="305"/>
        <v xml:space="preserve"> </v>
      </c>
      <c r="D1601" s="1533"/>
      <c r="E1601" s="1044" t="str">
        <f>VLOOKUP($B1601,DG!A:D,DG!$B$2,)</f>
        <v>06.6114</v>
      </c>
      <c r="F1601" s="1049" t="str">
        <f>VLOOKUP($B1601,DG!A:D,DG!$C$2,)</f>
        <v>Kéo dây nhôm bọc cỡ dây 50mm2</v>
      </c>
      <c r="G1601" s="1044" t="str">
        <f>VLOOKUP($B1601,DG!A:D,DG!$D$2,)</f>
        <v>km</v>
      </c>
      <c r="H1601" s="1823">
        <f>$D1601</f>
        <v>0</v>
      </c>
      <c r="I1601" s="1823"/>
      <c r="J1601" s="1823"/>
      <c r="K1601" s="1823"/>
      <c r="L1601" s="1823"/>
      <c r="M1601" s="1823"/>
      <c r="N1601" s="1823"/>
      <c r="O1601" s="1823"/>
      <c r="P1601" s="1823">
        <f t="shared" si="303"/>
        <v>0</v>
      </c>
      <c r="Q1601" s="1053"/>
      <c r="R1601" s="1053"/>
      <c r="S1601" s="1053"/>
      <c r="T1601" s="2035">
        <f t="shared" si="304"/>
        <v>0</v>
      </c>
    </row>
    <row r="1602" spans="1:20" ht="22.2" hidden="1" customHeight="1">
      <c r="A1602" s="59"/>
      <c r="B1602" s="1584" t="s">
        <v>140</v>
      </c>
      <c r="C1602" s="1013" t="str">
        <f t="shared" si="305"/>
        <v xml:space="preserve"> </v>
      </c>
      <c r="D1602" s="1533">
        <f>(E1494)/1000</f>
        <v>0</v>
      </c>
      <c r="E1602" s="1044" t="str">
        <f>VLOOKUP($B1602,DG!A:D,DG!$B$2,)</f>
        <v>06.6109</v>
      </c>
      <c r="F1602" s="1049" t="str">
        <f>VLOOKUP($B1602,DG!A:D,DG!$C$2,)</f>
        <v>Kéo dây nhôm lõi thép cỡ dây 185mm2</v>
      </c>
      <c r="G1602" s="1044" t="str">
        <f>VLOOKUP($B1602,DG!A:D,DG!$D$2,)</f>
        <v>km</v>
      </c>
      <c r="H1602" s="1823"/>
      <c r="I1602" s="1823"/>
      <c r="J1602" s="1823"/>
      <c r="K1602" s="1823"/>
      <c r="L1602" s="1823"/>
      <c r="M1602" s="1823"/>
      <c r="N1602" s="1823"/>
      <c r="O1602" s="1823"/>
      <c r="P1602" s="1823">
        <f t="shared" si="303"/>
        <v>0</v>
      </c>
      <c r="Q1602" s="1053"/>
      <c r="R1602" s="1053"/>
      <c r="S1602" s="1053"/>
      <c r="T1602" s="2035">
        <f t="shared" si="304"/>
        <v>0</v>
      </c>
    </row>
    <row r="1603" spans="1:20" ht="22.2" hidden="1" customHeight="1">
      <c r="A1603" s="59"/>
      <c r="B1603" s="1584" t="s">
        <v>711</v>
      </c>
      <c r="C1603" s="1013" t="str">
        <f t="shared" si="305"/>
        <v xml:space="preserve"> </v>
      </c>
      <c r="D1603" s="1533">
        <f>(E1493)/1000</f>
        <v>0</v>
      </c>
      <c r="E1603" s="1044" t="str">
        <f>VLOOKUP($B1603,DG!A:D,DG!$B$2,)</f>
        <v>06.6110</v>
      </c>
      <c r="F1603" s="1049" t="str">
        <f>VLOOKUP($B1603,DG!A:D,DG!$C$2,)</f>
        <v>Kéo dây nhôm lõi thép cỡ dây 240mm2</v>
      </c>
      <c r="G1603" s="1044" t="str">
        <f>VLOOKUP($B1603,DG!A:D,DG!$D$2,)</f>
        <v>km</v>
      </c>
      <c r="H1603" s="1823"/>
      <c r="I1603" s="1823"/>
      <c r="J1603" s="1823"/>
      <c r="K1603" s="1823"/>
      <c r="L1603" s="1823"/>
      <c r="M1603" s="1823"/>
      <c r="N1603" s="1823"/>
      <c r="O1603" s="1823"/>
      <c r="P1603" s="1823">
        <f t="shared" si="303"/>
        <v>0</v>
      </c>
      <c r="Q1603" s="1053"/>
      <c r="R1603" s="1053"/>
      <c r="S1603" s="1053"/>
      <c r="T1603" s="2035">
        <f t="shared" si="304"/>
        <v>0</v>
      </c>
    </row>
    <row r="1604" spans="1:20" ht="22.2" hidden="1" customHeight="1">
      <c r="A1604" s="59"/>
      <c r="B1604" s="1584" t="s">
        <v>79</v>
      </c>
      <c r="C1604" s="1013" t="str">
        <f t="shared" si="305"/>
        <v xml:space="preserve"> </v>
      </c>
      <c r="D1604" s="1533">
        <f>E1506/1000</f>
        <v>0</v>
      </c>
      <c r="E1604" s="1044" t="str">
        <f>VLOOKUP($B1604,DG!A:D,DG!$B$2,)</f>
        <v>06.6105</v>
      </c>
      <c r="F1604" s="1049" t="str">
        <f>VLOOKUP($B1604,DG!A:D,DG!$C$2,)</f>
        <v>Kéo dây nhôm bọc 70mm2</v>
      </c>
      <c r="G1604" s="1044" t="str">
        <f>VLOOKUP($B1604,DG!A:D,DG!$D$2,)</f>
        <v>km</v>
      </c>
      <c r="H1604" s="1823"/>
      <c r="I1604" s="1823"/>
      <c r="J1604" s="1823"/>
      <c r="K1604" s="1823"/>
      <c r="L1604" s="1823"/>
      <c r="M1604" s="1823"/>
      <c r="N1604" s="1823"/>
      <c r="O1604" s="1823"/>
      <c r="P1604" s="1823">
        <f t="shared" si="303"/>
        <v>0</v>
      </c>
      <c r="Q1604" s="1053"/>
      <c r="R1604" s="1053"/>
      <c r="S1604" s="1053"/>
      <c r="T1604" s="2035">
        <f t="shared" si="304"/>
        <v>0</v>
      </c>
    </row>
    <row r="1605" spans="1:20" ht="22.2" hidden="1" customHeight="1">
      <c r="A1605" s="59"/>
      <c r="B1605" s="1584" t="s">
        <v>1512</v>
      </c>
      <c r="C1605" s="1013" t="str">
        <f t="shared" si="305"/>
        <v xml:space="preserve"> </v>
      </c>
      <c r="D1605" s="1533">
        <f>E1505/1000</f>
        <v>0</v>
      </c>
      <c r="E1605" s="1044" t="str">
        <f>VLOOKUP($B1605,DG!A:D,DG!$B$2,)</f>
        <v>06.6106</v>
      </c>
      <c r="F1605" s="1049" t="str">
        <f>VLOOKUP($B1605,DG!A:D,DG!$C$2,)</f>
        <v>Kéo dây nhôm bọc 95mm2</v>
      </c>
      <c r="G1605" s="1044" t="str">
        <f>VLOOKUP($B1605,DG!A:D,DG!$D$2,)</f>
        <v>km</v>
      </c>
      <c r="H1605" s="1823"/>
      <c r="I1605" s="1823"/>
      <c r="J1605" s="1823"/>
      <c r="K1605" s="1823"/>
      <c r="L1605" s="1823"/>
      <c r="M1605" s="1823"/>
      <c r="N1605" s="1823"/>
      <c r="O1605" s="1823"/>
      <c r="P1605" s="1823">
        <f t="shared" si="303"/>
        <v>0</v>
      </c>
      <c r="Q1605" s="1053"/>
      <c r="R1605" s="1053"/>
      <c r="S1605" s="1053"/>
      <c r="T1605" s="2035">
        <f t="shared" si="304"/>
        <v>0</v>
      </c>
    </row>
    <row r="1606" spans="1:20" ht="22.2" hidden="1" customHeight="1">
      <c r="A1606" s="59"/>
      <c r="B1606" s="1584" t="s">
        <v>1174</v>
      </c>
      <c r="C1606" s="1013" t="str">
        <f t="shared" si="305"/>
        <v xml:space="preserve"> </v>
      </c>
      <c r="D1606" s="1533">
        <f>E1504/1000</f>
        <v>0</v>
      </c>
      <c r="E1606" s="1044" t="str">
        <f>VLOOKUP($B1606,DG!A:D,DG!$B$2,)</f>
        <v>06.6107</v>
      </c>
      <c r="F1606" s="1049" t="str">
        <f>VLOOKUP($B1606,DG!A:D,DG!$C$2,)</f>
        <v>Kéo dây nhôm bọc 120mm2</v>
      </c>
      <c r="G1606" s="1044" t="str">
        <f>VLOOKUP($B1606,DG!A:D,DG!$D$2,)</f>
        <v>km</v>
      </c>
      <c r="H1606" s="1823"/>
      <c r="I1606" s="1823"/>
      <c r="J1606" s="1823"/>
      <c r="K1606" s="1823"/>
      <c r="L1606" s="1823"/>
      <c r="M1606" s="1823"/>
      <c r="N1606" s="1823"/>
      <c r="O1606" s="1823"/>
      <c r="P1606" s="1823">
        <f t="shared" si="303"/>
        <v>0</v>
      </c>
      <c r="Q1606" s="1053"/>
      <c r="R1606" s="1053"/>
      <c r="S1606" s="1053"/>
      <c r="T1606" s="2035">
        <f t="shared" si="304"/>
        <v>0</v>
      </c>
    </row>
    <row r="1607" spans="1:20" ht="22.2" hidden="1" customHeight="1">
      <c r="A1607" s="59"/>
      <c r="B1607" s="1584" t="s">
        <v>924</v>
      </c>
      <c r="C1607" s="1013" t="str">
        <f t="shared" si="305"/>
        <v xml:space="preserve"> </v>
      </c>
      <c r="D1607" s="1533">
        <f>E1503/1000</f>
        <v>0</v>
      </c>
      <c r="E1607" s="1044" t="str">
        <f>VLOOKUP($B1607,DG!A:D,DG!$B$2,)</f>
        <v>06.6108</v>
      </c>
      <c r="F1607" s="1049" t="str">
        <f>VLOOKUP($B1607,DG!A:D,DG!$C$2,)</f>
        <v>Kéo dây nhôm bọc 150mm2</v>
      </c>
      <c r="G1607" s="1044" t="str">
        <f>VLOOKUP($B1607,DG!A:D,DG!$D$2,)</f>
        <v>km</v>
      </c>
      <c r="H1607" s="1823"/>
      <c r="I1607" s="1823"/>
      <c r="J1607" s="1823"/>
      <c r="K1607" s="1823"/>
      <c r="L1607" s="1823"/>
      <c r="M1607" s="1823"/>
      <c r="N1607" s="1823"/>
      <c r="O1607" s="1823"/>
      <c r="P1607" s="1823">
        <f t="shared" si="303"/>
        <v>0</v>
      </c>
      <c r="Q1607" s="1053"/>
      <c r="R1607" s="1053"/>
      <c r="S1607" s="1053"/>
      <c r="T1607" s="2035">
        <f t="shared" si="304"/>
        <v>0</v>
      </c>
    </row>
    <row r="1608" spans="1:20" ht="22.2" hidden="1" customHeight="1">
      <c r="A1608" s="59"/>
      <c r="B1608" s="1584" t="s">
        <v>925</v>
      </c>
      <c r="C1608" s="1013" t="str">
        <f t="shared" si="305"/>
        <v xml:space="preserve"> </v>
      </c>
      <c r="D1608" s="1533">
        <f>E1502/1000</f>
        <v>0</v>
      </c>
      <c r="E1608" s="1044" t="str">
        <f>VLOOKUP($B1608,DG!A:D,DG!$B$2,)</f>
        <v>06.6109</v>
      </c>
      <c r="F1608" s="1049" t="str">
        <f>VLOOKUP($B1608,DG!A:D,DG!$C$2,)</f>
        <v>Kéo dây nhôm bọc 185mm2</v>
      </c>
      <c r="G1608" s="1044" t="str">
        <f>VLOOKUP($B1608,DG!A:D,DG!$D$2,)</f>
        <v>km</v>
      </c>
      <c r="H1608" s="1823"/>
      <c r="I1608" s="1823"/>
      <c r="J1608" s="1823"/>
      <c r="K1608" s="1823"/>
      <c r="L1608" s="1823"/>
      <c r="M1608" s="1823"/>
      <c r="N1608" s="1823"/>
      <c r="O1608" s="1823"/>
      <c r="P1608" s="1823">
        <f t="shared" si="303"/>
        <v>0</v>
      </c>
      <c r="Q1608" s="1053"/>
      <c r="R1608" s="1053"/>
      <c r="S1608" s="1053"/>
      <c r="T1608" s="2035">
        <f t="shared" si="304"/>
        <v>0</v>
      </c>
    </row>
    <row r="1609" spans="1:20" ht="22.2" hidden="1" customHeight="1">
      <c r="A1609" s="59"/>
      <c r="B1609" s="1584" t="s">
        <v>1444</v>
      </c>
      <c r="C1609" s="1013" t="str">
        <f t="shared" si="305"/>
        <v xml:space="preserve"> </v>
      </c>
      <c r="D1609" s="1533">
        <f>E1501/1000</f>
        <v>0</v>
      </c>
      <c r="E1609" s="1044" t="str">
        <f>VLOOKUP($B1609,DG!A:D,DG!$B$2,)</f>
        <v>06.6110</v>
      </c>
      <c r="F1609" s="1049" t="str">
        <f>VLOOKUP($B1609,DG!A:D,DG!$C$2,)</f>
        <v>Kéo dây nhôm bọc 240mm2</v>
      </c>
      <c r="G1609" s="1044" t="str">
        <f>VLOOKUP($B1609,DG!A:D,DG!$D$2,)</f>
        <v>km</v>
      </c>
      <c r="H1609" s="1823"/>
      <c r="I1609" s="1823"/>
      <c r="J1609" s="1823"/>
      <c r="K1609" s="1823"/>
      <c r="L1609" s="1823"/>
      <c r="M1609" s="1823"/>
      <c r="N1609" s="1823"/>
      <c r="O1609" s="1823"/>
      <c r="P1609" s="1823">
        <f t="shared" si="303"/>
        <v>0</v>
      </c>
      <c r="Q1609" s="1053"/>
      <c r="R1609" s="1053"/>
      <c r="S1609" s="1053"/>
      <c r="T1609" s="2035">
        <f t="shared" si="304"/>
        <v>0</v>
      </c>
    </row>
    <row r="1610" spans="1:20" ht="22.2" hidden="1" customHeight="1">
      <c r="A1610" s="59"/>
      <c r="B1610" s="1584" t="s">
        <v>349</v>
      </c>
      <c r="C1610" s="1013" t="str">
        <f t="shared" si="305"/>
        <v xml:space="preserve"> </v>
      </c>
      <c r="D1610" s="1535">
        <f>SUM(D1552:D1553)</f>
        <v>0</v>
      </c>
      <c r="E1610" s="1044" t="str">
        <f>VLOOKUP($B1610,DG!A:D,DG!$B$2,)</f>
        <v>06.1410</v>
      </c>
      <c r="F1610" s="1049" t="str">
        <f>VLOOKUP($B1610,DG!A:D,DG!$C$2,)</f>
        <v>Lắp chuỗi sứ đỡ 2 bát/chuỗi</v>
      </c>
      <c r="G1610" s="1044" t="str">
        <f>VLOOKUP($B1610,DG!A:D,DG!$D$2,)</f>
        <v>chuỗi</v>
      </c>
      <c r="H1610" s="1823"/>
      <c r="I1610" s="1823"/>
      <c r="J1610" s="1823"/>
      <c r="K1610" s="1823"/>
      <c r="L1610" s="1823"/>
      <c r="M1610" s="1823"/>
      <c r="N1610" s="1823"/>
      <c r="O1610" s="1823"/>
      <c r="P1610" s="1823">
        <f t="shared" si="303"/>
        <v>0</v>
      </c>
      <c r="Q1610" s="1058"/>
      <c r="R1610" s="1058"/>
      <c r="S1610" s="1058"/>
      <c r="T1610" s="2035">
        <f t="shared" si="304"/>
        <v>0</v>
      </c>
    </row>
    <row r="1611" spans="1:20" ht="22.2" hidden="1" customHeight="1">
      <c r="A1611" s="59"/>
      <c r="B1611" s="1584" t="s">
        <v>350</v>
      </c>
      <c r="C1611" s="1013" t="str">
        <f t="shared" si="305"/>
        <v xml:space="preserve"> </v>
      </c>
      <c r="D1611" s="1535">
        <f>+D1534+D1540-D1610</f>
        <v>0</v>
      </c>
      <c r="E1611" s="1044" t="str">
        <f>VLOOKUP($B1611,DG!A:D,DG!$B$2,)</f>
        <v>06.1511</v>
      </c>
      <c r="F1611" s="1049" t="str">
        <f>VLOOKUP($B1611,DG!A:D,DG!$C$2,)</f>
        <v>Lắp chuỗi sứ néo 2 bát/chuỗi</v>
      </c>
      <c r="G1611" s="1044" t="str">
        <f>VLOOKUP($B1611,DG!A:D,DG!$D$2,)</f>
        <v>chuỗi</v>
      </c>
      <c r="H1611" s="1823"/>
      <c r="I1611" s="1823"/>
      <c r="J1611" s="1823"/>
      <c r="K1611" s="1823"/>
      <c r="L1611" s="1823"/>
      <c r="M1611" s="1823"/>
      <c r="N1611" s="1823"/>
      <c r="O1611" s="1823"/>
      <c r="P1611" s="1823">
        <f t="shared" si="303"/>
        <v>0</v>
      </c>
      <c r="Q1611" s="1058"/>
      <c r="R1611" s="1058"/>
      <c r="S1611" s="1058"/>
      <c r="T1611" s="2035">
        <f t="shared" si="304"/>
        <v>0</v>
      </c>
    </row>
    <row r="1612" spans="1:20" ht="22.2" hidden="1" customHeight="1">
      <c r="A1612" s="59"/>
      <c r="B1612" s="1584" t="s">
        <v>1510</v>
      </c>
      <c r="C1612" s="1013" t="str">
        <f t="shared" si="305"/>
        <v xml:space="preserve"> </v>
      </c>
      <c r="D1612" s="1535"/>
      <c r="E1612" s="1044" t="str">
        <f>VLOOKUP($B1612,DG!A:D,DG!$B$2,)</f>
        <v>06.2201</v>
      </c>
      <c r="F1612" s="1049" t="s">
        <v>2525</v>
      </c>
      <c r="G1612" s="1044" t="str">
        <f>VLOOKUP($B1612,DG!A:D,DG!$D$2,)</f>
        <v>chuỗi</v>
      </c>
      <c r="H1612" s="1823"/>
      <c r="I1612" s="1823"/>
      <c r="J1612" s="1823"/>
      <c r="K1612" s="1823"/>
      <c r="L1612" s="1823"/>
      <c r="M1612" s="1823"/>
      <c r="N1612" s="1823"/>
      <c r="O1612" s="1823"/>
      <c r="P1612" s="1823">
        <f t="shared" si="303"/>
        <v>0</v>
      </c>
      <c r="Q1612" s="1058"/>
      <c r="R1612" s="1058"/>
      <c r="S1612" s="1058"/>
      <c r="T1612" s="2035">
        <f t="shared" si="304"/>
        <v>0</v>
      </c>
    </row>
    <row r="1613" spans="1:20" ht="22.2" hidden="1" customHeight="1">
      <c r="A1613" s="1015"/>
      <c r="B1613" s="1583" t="s">
        <v>1510</v>
      </c>
      <c r="C1613" s="1013" t="str">
        <f t="shared" si="305"/>
        <v xml:space="preserve"> </v>
      </c>
      <c r="D1613" s="1535">
        <f>SUM(I1613:O1613)</f>
        <v>0</v>
      </c>
      <c r="E1613" s="1044" t="str">
        <f>VLOOKUP($B1613,DG!A:D,DG!$B$2,)</f>
        <v>06.2201</v>
      </c>
      <c r="F1613" s="1049" t="str">
        <f>VLOOKUP($B1613,DG!A:D,DG!$C$2,)</f>
        <v>Lắp chuỗi sứ néo Polymer</v>
      </c>
      <c r="G1613" s="1044" t="str">
        <f>VLOOKUP($B1613,DG!A:D,DG!$D$2,)</f>
        <v>chuỗi</v>
      </c>
      <c r="H1613" s="1823">
        <f>$D1613</f>
        <v>0</v>
      </c>
      <c r="I1613" s="1823"/>
      <c r="J1613" s="1823"/>
      <c r="K1613" s="1823">
        <f>pp_NC!DJ184</f>
        <v>0</v>
      </c>
      <c r="L1613" s="1823"/>
      <c r="M1613" s="1823"/>
      <c r="N1613" s="1823"/>
      <c r="O1613" s="1823"/>
      <c r="P1613" s="1823">
        <f t="shared" si="303"/>
        <v>0</v>
      </c>
      <c r="Q1613" s="1058"/>
      <c r="R1613" s="1058"/>
      <c r="S1613" s="1058"/>
      <c r="T1613" s="2035">
        <f t="shared" si="304"/>
        <v>0</v>
      </c>
    </row>
    <row r="1614" spans="1:20" ht="22.2" hidden="1" customHeight="1">
      <c r="A1614" s="1015"/>
      <c r="B1614" s="1583" t="s">
        <v>1568</v>
      </c>
      <c r="C1614" s="1013" t="str">
        <f t="shared" si="305"/>
        <v xml:space="preserve"> </v>
      </c>
      <c r="D1614" s="1535">
        <f>D1523</f>
        <v>0</v>
      </c>
      <c r="E1614" s="1044" t="str">
        <f>VLOOKUP($B1614,DG!A:D,DG!$B$2,)</f>
        <v>06.1115</v>
      </c>
      <c r="F1614" s="1049" t="s">
        <v>3289</v>
      </c>
      <c r="G1614" s="1044" t="str">
        <f>VLOOKUP($B1614,DG!A:D,DG!$D$2,)</f>
        <v>bộ</v>
      </c>
      <c r="H1614" s="1823">
        <f>$D1614</f>
        <v>0</v>
      </c>
      <c r="I1614" s="1823"/>
      <c r="J1614" s="1823"/>
      <c r="K1614" s="1823"/>
      <c r="L1614" s="1823"/>
      <c r="M1614" s="1823"/>
      <c r="N1614" s="1823"/>
      <c r="O1614" s="1823"/>
      <c r="P1614" s="1823">
        <f t="shared" si="303"/>
        <v>0</v>
      </c>
      <c r="Q1614" s="1058"/>
      <c r="R1614" s="1058"/>
      <c r="S1614" s="1058"/>
      <c r="T1614" s="2035">
        <f t="shared" si="304"/>
        <v>0</v>
      </c>
    </row>
    <row r="1615" spans="1:20" ht="22.2" hidden="1" customHeight="1">
      <c r="A1615" s="59"/>
      <c r="B1615" s="1584" t="s">
        <v>351</v>
      </c>
      <c r="C1615" s="1013" t="str">
        <f t="shared" si="305"/>
        <v xml:space="preserve"> </v>
      </c>
      <c r="D1615" s="1535"/>
      <c r="E1615" s="1044" t="str">
        <f>VLOOKUP($B1615,DG!A:D,DG!$B$2,)</f>
        <v>06.1211</v>
      </c>
      <c r="F1615" s="1049" t="s">
        <v>2526</v>
      </c>
      <c r="G1615" s="1044" t="str">
        <f>VLOOKUP($B1615,DG!A:D,DG!$D$2,)</f>
        <v>bộ</v>
      </c>
      <c r="H1615" s="1823"/>
      <c r="I1615" s="1823"/>
      <c r="J1615" s="1823"/>
      <c r="K1615" s="1823"/>
      <c r="L1615" s="1823"/>
      <c r="M1615" s="1823"/>
      <c r="N1615" s="1823"/>
      <c r="O1615" s="1823"/>
      <c r="P1615" s="1823">
        <f t="shared" si="303"/>
        <v>0</v>
      </c>
      <c r="Q1615" s="1053"/>
      <c r="R1615" s="1053"/>
      <c r="S1615" s="1053"/>
      <c r="T1615" s="2035">
        <f t="shared" si="304"/>
        <v>0</v>
      </c>
    </row>
    <row r="1616" spans="1:20" ht="22.2" hidden="1" customHeight="1">
      <c r="A1616" s="59"/>
      <c r="B1616" s="1584" t="s">
        <v>452</v>
      </c>
      <c r="C1616" s="1013" t="str">
        <f t="shared" si="305"/>
        <v xml:space="preserve"> </v>
      </c>
      <c r="D1616" s="1535"/>
      <c r="E1616" s="1044" t="str">
        <f>VLOOKUP($B1616,DG!A:D,DG!$B$2,)</f>
        <v>06.1214</v>
      </c>
      <c r="F1616" s="1049" t="s">
        <v>2527</v>
      </c>
      <c r="G1616" s="1044" t="str">
        <f>VLOOKUP($B1616,DG!A:D,DG!$D$2,)</f>
        <v>bộ</v>
      </c>
      <c r="H1616" s="1823"/>
      <c r="I1616" s="1823"/>
      <c r="J1616" s="1823"/>
      <c r="K1616" s="1823"/>
      <c r="L1616" s="1823"/>
      <c r="M1616" s="1823"/>
      <c r="N1616" s="1823"/>
      <c r="O1616" s="1823"/>
      <c r="P1616" s="1823">
        <f t="shared" si="303"/>
        <v>0</v>
      </c>
      <c r="Q1616" s="1053"/>
      <c r="R1616" s="1053"/>
      <c r="S1616" s="1053"/>
      <c r="T1616" s="2035">
        <f t="shared" si="304"/>
        <v>0</v>
      </c>
    </row>
    <row r="1617" spans="1:20" ht="22.2" hidden="1" customHeight="1">
      <c r="A1617" s="59"/>
      <c r="B1617" s="1584" t="s">
        <v>831</v>
      </c>
      <c r="C1617" s="1013" t="str">
        <f t="shared" si="305"/>
        <v xml:space="preserve"> </v>
      </c>
      <c r="D1617" s="1535"/>
      <c r="E1617" s="1044" t="str">
        <f>VLOOKUP($B1617,DG!A:D,DG!$B$2,)</f>
        <v>02.3505</v>
      </c>
      <c r="F1617" s="1049" t="s">
        <v>2528</v>
      </c>
      <c r="G1617" s="1044" t="str">
        <f>VLOOKUP($B1617,DG!A:D,DG!$D$2,)</f>
        <v>cái</v>
      </c>
      <c r="H1617" s="1823"/>
      <c r="I1617" s="1823"/>
      <c r="J1617" s="1823"/>
      <c r="K1617" s="1823"/>
      <c r="L1617" s="1823"/>
      <c r="M1617" s="1823"/>
      <c r="N1617" s="1823"/>
      <c r="O1617" s="1823"/>
      <c r="P1617" s="1823">
        <f t="shared" si="303"/>
        <v>0</v>
      </c>
      <c r="Q1617" s="1053"/>
      <c r="R1617" s="1053"/>
      <c r="S1617" s="1053"/>
      <c r="T1617" s="2035">
        <f t="shared" si="304"/>
        <v>0</v>
      </c>
    </row>
    <row r="1618" spans="1:20" ht="22.2" hidden="1" customHeight="1">
      <c r="A1618" s="59"/>
      <c r="B1618" s="1584" t="s">
        <v>831</v>
      </c>
      <c r="C1618" s="1013" t="str">
        <f t="shared" si="305"/>
        <v xml:space="preserve"> </v>
      </c>
      <c r="D1618" s="1535"/>
      <c r="E1618" s="1044" t="str">
        <f>VLOOKUP($B1618,DG!A:D,DG!$B$2,)</f>
        <v>02.3505</v>
      </c>
      <c r="F1618" s="1049" t="str">
        <f>VLOOKUP($B1618,DG!A:D,DG!$C$2,)</f>
        <v>Lắp FCO 24KV</v>
      </c>
      <c r="G1618" s="1044" t="str">
        <f>VLOOKUP($B1618,DG!A:D,DG!$D$2,)</f>
        <v>cái</v>
      </c>
      <c r="H1618" s="1823"/>
      <c r="I1618" s="1823"/>
      <c r="J1618" s="1823"/>
      <c r="K1618" s="1823"/>
      <c r="L1618" s="1823"/>
      <c r="M1618" s="1823"/>
      <c r="N1618" s="1823"/>
      <c r="O1618" s="1823"/>
      <c r="P1618" s="1823">
        <f t="shared" si="303"/>
        <v>0</v>
      </c>
      <c r="Q1618" s="1053"/>
      <c r="R1618" s="1053"/>
      <c r="S1618" s="1053"/>
      <c r="T1618" s="2035">
        <f t="shared" si="304"/>
        <v>0</v>
      </c>
    </row>
    <row r="1619" spans="1:20" ht="22.2" hidden="1" customHeight="1">
      <c r="A1619" s="59"/>
      <c r="B1619" s="1584" t="s">
        <v>1376</v>
      </c>
      <c r="C1619" s="1013" t="str">
        <f t="shared" si="305"/>
        <v xml:space="preserve"> </v>
      </c>
      <c r="D1619" s="1535"/>
      <c r="E1619" s="1044" t="str">
        <f>VLOOKUP($B1619,DG!A:D,DG!$B$2,)</f>
        <v>02.5114</v>
      </c>
      <c r="F1619" s="1049" t="s">
        <v>2529</v>
      </c>
      <c r="G1619" s="1044" t="str">
        <f>VLOOKUP($B1619,DG!A:D,DG!$D$2,)</f>
        <v>cái</v>
      </c>
      <c r="H1619" s="1823"/>
      <c r="I1619" s="1823"/>
      <c r="J1619" s="1823"/>
      <c r="K1619" s="1823"/>
      <c r="L1619" s="1823"/>
      <c r="M1619" s="1823"/>
      <c r="N1619" s="1823"/>
      <c r="O1619" s="1823"/>
      <c r="P1619" s="1823">
        <f t="shared" si="303"/>
        <v>0</v>
      </c>
      <c r="Q1619" s="1053"/>
      <c r="R1619" s="1053"/>
      <c r="S1619" s="1053"/>
      <c r="T1619" s="2035">
        <f t="shared" si="304"/>
        <v>0</v>
      </c>
    </row>
    <row r="1620" spans="1:20" ht="22.2" hidden="1" customHeight="1">
      <c r="A1620" s="59"/>
      <c r="B1620" s="1584" t="s">
        <v>1376</v>
      </c>
      <c r="C1620" s="1013" t="str">
        <f t="shared" si="305"/>
        <v xml:space="preserve"> </v>
      </c>
      <c r="D1620" s="1535"/>
      <c r="E1620" s="1044" t="str">
        <f>VLOOKUP($B1620,DG!A:D,DG!$B$2,)</f>
        <v>02.5114</v>
      </c>
      <c r="F1620" s="1049" t="s">
        <v>2530</v>
      </c>
      <c r="G1620" s="1044" t="str">
        <f>VLOOKUP($B1620,DG!A:D,DG!$D$2,)</f>
        <v>cái</v>
      </c>
      <c r="H1620" s="1823"/>
      <c r="I1620" s="1823"/>
      <c r="J1620" s="1823"/>
      <c r="K1620" s="1823"/>
      <c r="L1620" s="1823"/>
      <c r="M1620" s="1823"/>
      <c r="N1620" s="1823"/>
      <c r="O1620" s="1823"/>
      <c r="P1620" s="1823">
        <f t="shared" si="303"/>
        <v>0</v>
      </c>
      <c r="Q1620" s="1053"/>
      <c r="R1620" s="1053"/>
      <c r="S1620" s="1053"/>
      <c r="T1620" s="2035">
        <f t="shared" si="304"/>
        <v>0</v>
      </c>
    </row>
    <row r="1621" spans="1:20" ht="22.2" hidden="1" customHeight="1">
      <c r="A1621" s="59"/>
      <c r="B1621" s="1584" t="s">
        <v>1402</v>
      </c>
      <c r="C1621" s="1013" t="str">
        <f t="shared" si="305"/>
        <v xml:space="preserve"> </v>
      </c>
      <c r="D1621" s="1535"/>
      <c r="E1621" s="1044" t="str">
        <f>VLOOKUP($B1621,DG!A:D,DG!$B$2,)</f>
        <v>06.2110</v>
      </c>
      <c r="F1621" s="1049" t="s">
        <v>2531</v>
      </c>
      <c r="G1621" s="1044" t="str">
        <f>VLOOKUP($B1621,DG!A:D,DG!$D$2,)</f>
        <v>bộ</v>
      </c>
      <c r="H1621" s="1823"/>
      <c r="I1621" s="1823"/>
      <c r="J1621" s="1823"/>
      <c r="K1621" s="1823"/>
      <c r="L1621" s="1823"/>
      <c r="M1621" s="1823"/>
      <c r="N1621" s="1823"/>
      <c r="O1621" s="1823"/>
      <c r="P1621" s="1823">
        <f t="shared" si="303"/>
        <v>0</v>
      </c>
      <c r="Q1621" s="1053"/>
      <c r="R1621" s="1053"/>
      <c r="S1621" s="1053"/>
      <c r="T1621" s="2035">
        <f t="shared" si="304"/>
        <v>0</v>
      </c>
    </row>
    <row r="1622" spans="1:20" ht="22.2" hidden="1" customHeight="1">
      <c r="A1622" s="59"/>
      <c r="B1622" s="1584" t="s">
        <v>1402</v>
      </c>
      <c r="C1622" s="1013" t="str">
        <f t="shared" si="305"/>
        <v xml:space="preserve"> </v>
      </c>
      <c r="D1622" s="1535"/>
      <c r="E1622" s="1044" t="str">
        <f>VLOOKUP($B1622,DG!A:D,DG!$B$2,)</f>
        <v>06.2110</v>
      </c>
      <c r="F1622" s="1049" t="s">
        <v>2532</v>
      </c>
      <c r="G1622" s="1044" t="str">
        <f>VLOOKUP($B1622,DG!A:D,DG!$D$2,)</f>
        <v>bộ</v>
      </c>
      <c r="H1622" s="1823"/>
      <c r="I1622" s="1823"/>
      <c r="J1622" s="1823"/>
      <c r="K1622" s="1823"/>
      <c r="L1622" s="1823"/>
      <c r="M1622" s="1823"/>
      <c r="N1622" s="1823"/>
      <c r="O1622" s="1823"/>
      <c r="P1622" s="1823">
        <f t="shared" ref="P1622:P1685" si="308">H1622+Q1622-R1622</f>
        <v>0</v>
      </c>
      <c r="Q1622" s="1053"/>
      <c r="R1622" s="1053"/>
      <c r="S1622" s="1053"/>
      <c r="T1622" s="2035">
        <f t="shared" si="304"/>
        <v>0</v>
      </c>
    </row>
    <row r="1623" spans="1:20" ht="22.2" hidden="1" customHeight="1">
      <c r="A1623" s="59"/>
      <c r="B1623" s="1584" t="s">
        <v>353</v>
      </c>
      <c r="C1623" s="1013" t="str">
        <f t="shared" si="305"/>
        <v xml:space="preserve"> </v>
      </c>
      <c r="D1623" s="1535">
        <f>P1623</f>
        <v>0</v>
      </c>
      <c r="E1623" s="1044" t="str">
        <f>VLOOKUP($B1623,DG!A:D,DG!$B$2,)</f>
        <v>06.5072</v>
      </c>
      <c r="F1623" s="1049" t="str">
        <f>VLOOKUP($B1623,DG!A:D,DG!$C$2,)</f>
        <v xml:space="preserve">Kéo dây qua vị trí bẻ góc dây </v>
      </c>
      <c r="G1623" s="1044" t="str">
        <f>VLOOKUP($B1623,DG!A:D,DG!$D$2,)</f>
        <v>vị trí</v>
      </c>
      <c r="H1623" s="1823"/>
      <c r="I1623" s="1823"/>
      <c r="J1623" s="1823"/>
      <c r="K1623" s="1823"/>
      <c r="L1623" s="1823"/>
      <c r="M1623" s="1823"/>
      <c r="N1623" s="1823"/>
      <c r="O1623" s="1823"/>
      <c r="P1623" s="1823">
        <f t="shared" si="308"/>
        <v>0</v>
      </c>
      <c r="Q1623" s="1058"/>
      <c r="R1623" s="1058"/>
      <c r="S1623" s="1058"/>
      <c r="T1623" s="2035">
        <f t="shared" si="304"/>
        <v>0</v>
      </c>
    </row>
    <row r="1624" spans="1:20" ht="22.2" hidden="1" customHeight="1">
      <c r="A1624" s="59"/>
      <c r="B1624" s="1584" t="s">
        <v>354</v>
      </c>
      <c r="C1624" s="1013" t="str">
        <f t="shared" si="305"/>
        <v xml:space="preserve"> </v>
      </c>
      <c r="D1624" s="1532">
        <f>pp_NC!GT184</f>
        <v>0</v>
      </c>
      <c r="E1624" s="1044" t="str">
        <f>VLOOKUP($B1624,DG!A:D,DG!$B$2,)</f>
        <v>06.5082</v>
      </c>
      <c r="F1624" s="1049" t="str">
        <f>VLOOKUP($B1624,DG!A:D,DG!$C$2,)</f>
        <v>Kéo dây qua sông ( S&lt;=300)</v>
      </c>
      <c r="G1624" s="1044" t="str">
        <f>VLOOKUP($B1624,DG!A:D,DG!$D$2,)</f>
        <v>vị trí</v>
      </c>
      <c r="H1624" s="1823"/>
      <c r="I1624" s="1823"/>
      <c r="J1624" s="1823"/>
      <c r="K1624" s="1823"/>
      <c r="L1624" s="1823"/>
      <c r="M1624" s="1823"/>
      <c r="N1624" s="1823"/>
      <c r="O1624" s="1823"/>
      <c r="P1624" s="1823">
        <f t="shared" si="308"/>
        <v>0</v>
      </c>
      <c r="Q1624" s="1058"/>
      <c r="R1624" s="1058"/>
      <c r="S1624" s="1058"/>
      <c r="T1624" s="2035">
        <f t="shared" si="304"/>
        <v>0</v>
      </c>
    </row>
    <row r="1625" spans="1:20" ht="22.2" hidden="1" customHeight="1">
      <c r="A1625" s="1015"/>
      <c r="B1625" s="1583" t="s">
        <v>355</v>
      </c>
      <c r="C1625" s="1013" t="str">
        <f t="shared" si="305"/>
        <v xml:space="preserve"> </v>
      </c>
      <c r="D1625" s="1534"/>
      <c r="E1625" s="1044" t="str">
        <f>VLOOKUP($B1625,DG!A:D,DG!$B$2,)</f>
        <v>02.1122</v>
      </c>
      <c r="F1625" s="1049" t="str">
        <f>VLOOKUP($B1625,DG!A:D,DG!$C$2,)</f>
        <v>Bốc dỡ dây</v>
      </c>
      <c r="G1625" s="1044" t="str">
        <f>VLOOKUP($B1625,DG!A:D,DG!$D$2,)</f>
        <v>tấn</v>
      </c>
      <c r="H1625" s="1823">
        <f>D1625</f>
        <v>0</v>
      </c>
      <c r="I1625" s="1823"/>
      <c r="J1625" s="1823"/>
      <c r="K1625" s="1823"/>
      <c r="L1625" s="1823"/>
      <c r="M1625" s="1823"/>
      <c r="N1625" s="1823"/>
      <c r="O1625" s="1823"/>
      <c r="P1625" s="1823">
        <f t="shared" si="308"/>
        <v>0</v>
      </c>
      <c r="Q1625" s="1058"/>
      <c r="R1625" s="1058"/>
      <c r="S1625" s="1058"/>
      <c r="T1625" s="2035">
        <f t="shared" si="304"/>
        <v>0</v>
      </c>
    </row>
    <row r="1626" spans="1:20" ht="22.2" hidden="1" customHeight="1">
      <c r="A1626" s="1015"/>
      <c r="B1626" s="1583" t="s">
        <v>1906</v>
      </c>
      <c r="C1626" s="1013" t="str">
        <f t="shared" si="305"/>
        <v xml:space="preserve"> </v>
      </c>
      <c r="D1626" s="1534"/>
      <c r="E1626" s="1044" t="str">
        <f>VLOOKUP($B1626,DG!A:D,DG!$B$2,)</f>
        <v>02.1120</v>
      </c>
      <c r="F1626" s="1049" t="str">
        <f>VLOOKUP($B1626,DG!A:D,DG!$C$2,)</f>
        <v>Bốc dỡ phụ kiện</v>
      </c>
      <c r="G1626" s="1044" t="str">
        <f>VLOOKUP($B1626,DG!A:D,DG!$D$2,)</f>
        <v>tấn</v>
      </c>
      <c r="H1626" s="1823">
        <f>D1626</f>
        <v>0</v>
      </c>
      <c r="I1626" s="1823"/>
      <c r="J1626" s="1823"/>
      <c r="K1626" s="1823"/>
      <c r="L1626" s="1823"/>
      <c r="M1626" s="1823"/>
      <c r="N1626" s="1823"/>
      <c r="O1626" s="1823"/>
      <c r="P1626" s="1823">
        <f t="shared" si="308"/>
        <v>0</v>
      </c>
      <c r="Q1626" s="1058"/>
      <c r="R1626" s="1058"/>
      <c r="S1626" s="1058"/>
      <c r="T1626" s="2035">
        <f t="shared" si="304"/>
        <v>0</v>
      </c>
    </row>
    <row r="1627" spans="1:20" ht="22.2" hidden="1" customHeight="1">
      <c r="A1627" s="1015"/>
      <c r="B1627" s="1583" t="s">
        <v>356</v>
      </c>
      <c r="C1627" s="1013" t="str">
        <f t="shared" si="305"/>
        <v xml:space="preserve"> </v>
      </c>
      <c r="D1627" s="1534"/>
      <c r="E1627" s="1044" t="str">
        <f>VLOOKUP($B1627,DG!A:D,DG!$B$2,)</f>
        <v>02.1421</v>
      </c>
      <c r="F1627" s="1049" t="str">
        <f>VLOOKUP($B1627,DG!A:D,DG!$C$2,)</f>
        <v>V/c phụ kiện vào vị trí (cự ly &lt;=100m)</v>
      </c>
      <c r="G1627" s="1044" t="str">
        <f>VLOOKUP($B1627,DG!A:D,DG!$D$2,)</f>
        <v>tấn</v>
      </c>
      <c r="H1627" s="1823">
        <f>D1627</f>
        <v>0</v>
      </c>
      <c r="I1627" s="1823"/>
      <c r="J1627" s="1823"/>
      <c r="K1627" s="1823"/>
      <c r="L1627" s="1823"/>
      <c r="M1627" s="1823"/>
      <c r="N1627" s="1823"/>
      <c r="O1627" s="1823"/>
      <c r="P1627" s="1823">
        <f t="shared" si="308"/>
        <v>0</v>
      </c>
      <c r="Q1627" s="1058"/>
      <c r="R1627" s="1058"/>
      <c r="S1627" s="1058"/>
      <c r="T1627" s="2035">
        <f t="shared" si="304"/>
        <v>0</v>
      </c>
    </row>
    <row r="1628" spans="1:20" ht="22.2" hidden="1" customHeight="1">
      <c r="A1628" s="1015"/>
      <c r="B1628" s="1583" t="s">
        <v>357</v>
      </c>
      <c r="C1628" s="1013" t="str">
        <f t="shared" si="305"/>
        <v xml:space="preserve"> </v>
      </c>
      <c r="D1628" s="1534"/>
      <c r="E1628" s="1044" t="str">
        <f>VLOOKUP($B1628,DG!A:D,DG!$B$2,)</f>
        <v>02.1441</v>
      </c>
      <c r="F1628" s="1049" t="str">
        <f>VLOOKUP($B1628,DG!A:D,DG!$C$2,)</f>
        <v>V/c dây vào vị trí (cự ly &lt;=100m)</v>
      </c>
      <c r="G1628" s="1044" t="str">
        <f>VLOOKUP($B1628,DG!A:D,DG!$D$2,)</f>
        <v>tấn</v>
      </c>
      <c r="H1628" s="1823">
        <f>D1628</f>
        <v>0</v>
      </c>
      <c r="I1628" s="1823"/>
      <c r="J1628" s="1823"/>
      <c r="K1628" s="1823"/>
      <c r="L1628" s="1823"/>
      <c r="M1628" s="1823"/>
      <c r="N1628" s="1823"/>
      <c r="O1628" s="1823"/>
      <c r="P1628" s="1823">
        <f t="shared" si="308"/>
        <v>0</v>
      </c>
      <c r="Q1628" s="1058"/>
      <c r="R1628" s="1058"/>
      <c r="S1628" s="1058"/>
      <c r="T1628" s="2035">
        <f t="shared" si="304"/>
        <v>0</v>
      </c>
    </row>
    <row r="1629" spans="1:20" ht="22.2" hidden="1" customHeight="1">
      <c r="A1629" s="1015"/>
      <c r="B1629" s="1600" t="s">
        <v>606</v>
      </c>
      <c r="C1629" s="1013" t="str">
        <f t="shared" si="305"/>
        <v xml:space="preserve"> </v>
      </c>
      <c r="D1629" s="1534"/>
      <c r="E1629" s="1044" t="str">
        <f>VLOOKUP($B1629,DG!A:D,DG!$B$2,)</f>
        <v>02.1482</v>
      </c>
      <c r="F1629" s="1049" t="str">
        <f>VLOOKUP($B1629,DG!A:D,DG!$C$2,)</f>
        <v>V/c dụng cụ thi công vào vị trí (cự ly &lt;=100m)</v>
      </c>
      <c r="G1629" s="1044" t="str">
        <f>VLOOKUP($B1629,DG!A:D,DG!$D$2,)</f>
        <v>tấn</v>
      </c>
      <c r="H1629" s="1823">
        <f>D1629</f>
        <v>0</v>
      </c>
      <c r="I1629" s="1823"/>
      <c r="J1629" s="1823"/>
      <c r="K1629" s="1823"/>
      <c r="L1629" s="1823"/>
      <c r="M1629" s="1823"/>
      <c r="N1629" s="1823"/>
      <c r="O1629" s="1823"/>
      <c r="P1629" s="1823">
        <f t="shared" si="308"/>
        <v>0</v>
      </c>
      <c r="Q1629" s="1058"/>
      <c r="R1629" s="1058"/>
      <c r="S1629" s="1058"/>
      <c r="T1629" s="2035">
        <f t="shared" si="304"/>
        <v>0</v>
      </c>
    </row>
    <row r="1630" spans="1:20" ht="22.2" hidden="1" customHeight="1">
      <c r="A1630" s="56" t="s">
        <v>742</v>
      </c>
      <c r="B1630" s="1574" t="s">
        <v>742</v>
      </c>
      <c r="C1630" s="1013" t="str">
        <f>IF(D1630&lt;&gt;0,"x"," ")</f>
        <v xml:space="preserve"> </v>
      </c>
      <c r="D1630" s="1532"/>
      <c r="E1630" s="1046" t="s">
        <v>358</v>
      </c>
      <c r="F1630" s="1392" t="s">
        <v>2533</v>
      </c>
      <c r="G1630" s="1046" t="s">
        <v>2307</v>
      </c>
      <c r="H1630" s="1821">
        <f>SUM(I1630:O1630)</f>
        <v>0</v>
      </c>
      <c r="I1630" s="1822"/>
      <c r="J1630" s="1822"/>
      <c r="K1630" s="1822"/>
      <c r="L1630" s="1822">
        <f>IFERROR(HLOOKUP(chitiet!B1630,pp1p!$1:$3,3,0),0)</f>
        <v>0</v>
      </c>
      <c r="M1630" s="1822"/>
      <c r="N1630" s="1822"/>
      <c r="O1630" s="1822"/>
      <c r="P1630" s="1822"/>
      <c r="Q1630" s="1047"/>
      <c r="R1630" s="1047"/>
      <c r="S1630" s="1047"/>
      <c r="T1630" s="2035">
        <f t="shared" si="304"/>
        <v>0</v>
      </c>
    </row>
    <row r="1631" spans="1:20" ht="22.2" hidden="1" customHeight="1">
      <c r="A1631" s="59"/>
      <c r="B1631" s="1577" t="s">
        <v>88</v>
      </c>
      <c r="C1631" s="1013" t="str">
        <f t="shared" si="305"/>
        <v xml:space="preserve"> </v>
      </c>
      <c r="D1631" s="1538">
        <f>ROUND(E1631*1.02*0.195,2)</f>
        <v>0</v>
      </c>
      <c r="E1631" s="1061">
        <f>'pp3p2m '!C90</f>
        <v>0</v>
      </c>
      <c r="F1631" s="1056" t="str">
        <f>VLOOKUP($B1631,DG!A:D,DG!$C$2,)</f>
        <v>Cáp nhôm lõi thép AC-50/8</v>
      </c>
      <c r="G1631" s="1044" t="str">
        <f>VLOOKUP($B1631,DG!A:D,DG!$D$2,)</f>
        <v>kg</v>
      </c>
      <c r="H1631" s="1823">
        <f t="shared" ref="H1631:H1662" si="309">$D1631</f>
        <v>0</v>
      </c>
      <c r="I1631" s="1823">
        <f t="shared" ref="I1631:I1662" si="310">D1631</f>
        <v>0</v>
      </c>
      <c r="J1631" s="1823"/>
      <c r="K1631" s="1823"/>
      <c r="L1631" s="1823"/>
      <c r="M1631" s="1823"/>
      <c r="N1631" s="1823"/>
      <c r="O1631" s="1823"/>
      <c r="P1631" s="1823">
        <f t="shared" si="308"/>
        <v>0</v>
      </c>
      <c r="Q1631" s="1053"/>
      <c r="R1631" s="1053"/>
      <c r="S1631" s="1053"/>
      <c r="T1631" s="2035">
        <f t="shared" si="304"/>
        <v>0</v>
      </c>
    </row>
    <row r="1632" spans="1:20" ht="22.2" hidden="1" customHeight="1">
      <c r="A1632" s="59"/>
      <c r="B1632" s="1577" t="s">
        <v>1242</v>
      </c>
      <c r="C1632" s="1013" t="str">
        <f t="shared" si="305"/>
        <v xml:space="preserve"> </v>
      </c>
      <c r="D1632" s="1538">
        <f>ROUND(E1632*1.02*0.276,2)</f>
        <v>0</v>
      </c>
      <c r="E1632" s="1061">
        <f>'pp3p2m '!C89</f>
        <v>0</v>
      </c>
      <c r="F1632" s="1056" t="str">
        <f>VLOOKUP($B1632,DG!A:D,DG!$C$2,)</f>
        <v>Cáp nhôm lõi thép AC-70/11</v>
      </c>
      <c r="G1632" s="1044" t="str">
        <f>VLOOKUP($B1632,DG!A:D,DG!$D$2,)</f>
        <v>kg</v>
      </c>
      <c r="H1632" s="1823">
        <f t="shared" si="309"/>
        <v>0</v>
      </c>
      <c r="I1632" s="1823">
        <f t="shared" si="310"/>
        <v>0</v>
      </c>
      <c r="J1632" s="1823"/>
      <c r="K1632" s="1823"/>
      <c r="L1632" s="1823"/>
      <c r="M1632" s="1823"/>
      <c r="N1632" s="1823"/>
      <c r="O1632" s="1823"/>
      <c r="P1632" s="1823">
        <f t="shared" si="308"/>
        <v>0</v>
      </c>
      <c r="Q1632" s="1053"/>
      <c r="R1632" s="1053"/>
      <c r="S1632" s="1053"/>
      <c r="T1632" s="2035">
        <f t="shared" si="304"/>
        <v>0</v>
      </c>
    </row>
    <row r="1633" spans="1:20" ht="22.2" hidden="1" customHeight="1">
      <c r="A1633" s="59"/>
      <c r="B1633" s="1577" t="s">
        <v>269</v>
      </c>
      <c r="C1633" s="1013" t="str">
        <f t="shared" si="305"/>
        <v xml:space="preserve"> </v>
      </c>
      <c r="D1633" s="1538">
        <f>ROUND(E1633*1.02*0.385,2)</f>
        <v>0</v>
      </c>
      <c r="E1633" s="1061">
        <f>'pp3p2m '!C88</f>
        <v>0</v>
      </c>
      <c r="F1633" s="1056" t="str">
        <f>VLOOKUP($B1633,DG!A:D,DG!$C$2,)</f>
        <v>Cáp nhôm lõi thép AC-95/16</v>
      </c>
      <c r="G1633" s="1044" t="str">
        <f>VLOOKUP($B1633,DG!A:D,DG!$D$2,)</f>
        <v>kg</v>
      </c>
      <c r="H1633" s="1823">
        <f t="shared" si="309"/>
        <v>0</v>
      </c>
      <c r="I1633" s="1823">
        <f t="shared" si="310"/>
        <v>0</v>
      </c>
      <c r="J1633" s="1823"/>
      <c r="K1633" s="1823"/>
      <c r="L1633" s="1823"/>
      <c r="M1633" s="1823"/>
      <c r="N1633" s="1823"/>
      <c r="O1633" s="1823"/>
      <c r="P1633" s="1823">
        <f t="shared" si="308"/>
        <v>0</v>
      </c>
      <c r="Q1633" s="1053"/>
      <c r="R1633" s="1053"/>
      <c r="S1633" s="1053"/>
      <c r="T1633" s="2035">
        <f t="shared" si="304"/>
        <v>0</v>
      </c>
    </row>
    <row r="1634" spans="1:20" ht="22.2" hidden="1" customHeight="1">
      <c r="A1634" s="59"/>
      <c r="B1634" s="1577" t="s">
        <v>539</v>
      </c>
      <c r="C1634" s="1013" t="str">
        <f t="shared" si="305"/>
        <v xml:space="preserve"> </v>
      </c>
      <c r="D1634" s="1538">
        <f>ROUND(E1634*1.02*0.471,2)</f>
        <v>0</v>
      </c>
      <c r="E1634" s="1061">
        <f>'pp3p2m '!C87</f>
        <v>0</v>
      </c>
      <c r="F1634" s="1056" t="str">
        <f>VLOOKUP($B1634,DG!A:D,DG!$C$2,)</f>
        <v>Cáp nhôm lõi thép AC-120/19</v>
      </c>
      <c r="G1634" s="1044" t="str">
        <f>VLOOKUP($B1634,DG!A:D,DG!$D$2,)</f>
        <v>kg</v>
      </c>
      <c r="H1634" s="1823">
        <f t="shared" si="309"/>
        <v>0</v>
      </c>
      <c r="I1634" s="1823">
        <f t="shared" si="310"/>
        <v>0</v>
      </c>
      <c r="J1634" s="1823"/>
      <c r="K1634" s="1823"/>
      <c r="L1634" s="1823"/>
      <c r="M1634" s="1823"/>
      <c r="N1634" s="1823"/>
      <c r="O1634" s="1823"/>
      <c r="P1634" s="1823">
        <f t="shared" si="308"/>
        <v>0</v>
      </c>
      <c r="Q1634" s="1053"/>
      <c r="R1634" s="1053"/>
      <c r="S1634" s="1053"/>
      <c r="T1634" s="2035">
        <f t="shared" si="304"/>
        <v>0</v>
      </c>
    </row>
    <row r="1635" spans="1:20" ht="22.2" hidden="1" customHeight="1">
      <c r="A1635" s="59"/>
      <c r="B1635" s="1577" t="s">
        <v>841</v>
      </c>
      <c r="C1635" s="1013" t="str">
        <f t="shared" si="305"/>
        <v xml:space="preserve"> </v>
      </c>
      <c r="D1635" s="1538">
        <f>ROUND(E1635*1.02*0.599,2)</f>
        <v>0</v>
      </c>
      <c r="E1635" s="1061">
        <f>'pp3p2m '!C86</f>
        <v>0</v>
      </c>
      <c r="F1635" s="1056" t="str">
        <f>VLOOKUP($B1635,DG!A:D,DG!$C$2,)</f>
        <v>Cáp nhôm lõi thép AC-150/24</v>
      </c>
      <c r="G1635" s="1044" t="str">
        <f>VLOOKUP($B1635,DG!A:D,DG!$D$2,)</f>
        <v>kg</v>
      </c>
      <c r="H1635" s="1823">
        <f t="shared" si="309"/>
        <v>0</v>
      </c>
      <c r="I1635" s="1823">
        <f t="shared" si="310"/>
        <v>0</v>
      </c>
      <c r="J1635" s="1823"/>
      <c r="K1635" s="1823"/>
      <c r="L1635" s="1823"/>
      <c r="M1635" s="1823"/>
      <c r="N1635" s="1823"/>
      <c r="O1635" s="1823"/>
      <c r="P1635" s="1823">
        <f t="shared" si="308"/>
        <v>0</v>
      </c>
      <c r="Q1635" s="1053"/>
      <c r="R1635" s="1053"/>
      <c r="S1635" s="1053"/>
      <c r="T1635" s="2035">
        <f t="shared" si="304"/>
        <v>0</v>
      </c>
    </row>
    <row r="1636" spans="1:20" ht="22.2" hidden="1" customHeight="1">
      <c r="A1636" s="59"/>
      <c r="B1636" s="1577" t="s">
        <v>729</v>
      </c>
      <c r="C1636" s="1013" t="str">
        <f t="shared" si="305"/>
        <v xml:space="preserve"> </v>
      </c>
      <c r="D1636" s="1538">
        <f>ROUND(E1636*1.02*0.728,2)</f>
        <v>0</v>
      </c>
      <c r="E1636" s="1061">
        <f>'pp3p2m '!C85</f>
        <v>0</v>
      </c>
      <c r="F1636" s="1056" t="str">
        <f>VLOOKUP($B1636,DG!A:D,DG!$C$2,)</f>
        <v>Cáp nhôm lõi thép AC-185/29</v>
      </c>
      <c r="G1636" s="1044" t="str">
        <f>VLOOKUP($B1636,DG!A:D,DG!$D$2,)</f>
        <v>kg</v>
      </c>
      <c r="H1636" s="1823">
        <f t="shared" si="309"/>
        <v>0</v>
      </c>
      <c r="I1636" s="1823">
        <f t="shared" si="310"/>
        <v>0</v>
      </c>
      <c r="J1636" s="1823"/>
      <c r="K1636" s="1823"/>
      <c r="L1636" s="1823"/>
      <c r="M1636" s="1823"/>
      <c r="N1636" s="1823"/>
      <c r="O1636" s="1823"/>
      <c r="P1636" s="1823">
        <f t="shared" si="308"/>
        <v>0</v>
      </c>
      <c r="Q1636" s="1053"/>
      <c r="R1636" s="1053"/>
      <c r="S1636" s="1053"/>
      <c r="T1636" s="2035">
        <f t="shared" si="304"/>
        <v>0</v>
      </c>
    </row>
    <row r="1637" spans="1:20" ht="22.2" hidden="1" customHeight="1">
      <c r="A1637" s="59"/>
      <c r="B1637" s="1577" t="s">
        <v>728</v>
      </c>
      <c r="C1637" s="1013" t="str">
        <f t="shared" si="305"/>
        <v xml:space="preserve"> </v>
      </c>
      <c r="D1637" s="1538">
        <f>ROUND(E1637*1.02*0.921,2)</f>
        <v>0</v>
      </c>
      <c r="E1637" s="1061">
        <f>'pp3p2m '!C84</f>
        <v>0</v>
      </c>
      <c r="F1637" s="1056" t="str">
        <f>VLOOKUP($B1637,DG!A:D,DG!$C$2,)</f>
        <v>Cáp nhôm lõi thép AC-240/39</v>
      </c>
      <c r="G1637" s="1044" t="str">
        <f>VLOOKUP($B1637,DG!A:D,DG!$D$2,)</f>
        <v>kg</v>
      </c>
      <c r="H1637" s="1823">
        <f t="shared" si="309"/>
        <v>0</v>
      </c>
      <c r="I1637" s="1823">
        <f t="shared" si="310"/>
        <v>0</v>
      </c>
      <c r="J1637" s="1823"/>
      <c r="K1637" s="1823"/>
      <c r="L1637" s="1823"/>
      <c r="M1637" s="1823"/>
      <c r="N1637" s="1823"/>
      <c r="O1637" s="1823"/>
      <c r="P1637" s="1823">
        <f t="shared" si="308"/>
        <v>0</v>
      </c>
      <c r="Q1637" s="1053"/>
      <c r="R1637" s="1053"/>
      <c r="S1637" s="1053"/>
      <c r="T1637" s="2035">
        <f t="shared" si="304"/>
        <v>0</v>
      </c>
    </row>
    <row r="1638" spans="1:20" ht="22.2" hidden="1" customHeight="1">
      <c r="A1638" s="59"/>
      <c r="B1638" s="1577" t="s">
        <v>1798</v>
      </c>
      <c r="C1638" s="1013" t="str">
        <f t="shared" si="305"/>
        <v xml:space="preserve"> </v>
      </c>
      <c r="D1638" s="1535">
        <f>ROUND(E1638*1.03,2)</f>
        <v>0</v>
      </c>
      <c r="E1638" s="1061">
        <f>'pp3p2m '!C98</f>
        <v>0</v>
      </c>
      <c r="F1638" s="1056" t="str">
        <f>VLOOKUP($B1638,DG!A:D,DG!$C$2,)</f>
        <v>Cáp 24KV A/XLPE/PVC 240mm2</v>
      </c>
      <c r="G1638" s="1044" t="str">
        <f>VLOOKUP($B1638,DG!A:D,DG!$D$2,)</f>
        <v>mét</v>
      </c>
      <c r="H1638" s="1823">
        <f t="shared" si="309"/>
        <v>0</v>
      </c>
      <c r="I1638" s="1823">
        <f t="shared" si="310"/>
        <v>0</v>
      </c>
      <c r="J1638" s="1823"/>
      <c r="K1638" s="1823"/>
      <c r="L1638" s="1823"/>
      <c r="M1638" s="1823"/>
      <c r="N1638" s="1823"/>
      <c r="O1638" s="1823"/>
      <c r="P1638" s="1823">
        <f t="shared" si="308"/>
        <v>0</v>
      </c>
      <c r="Q1638" s="1053"/>
      <c r="R1638" s="1053"/>
      <c r="S1638" s="1053"/>
      <c r="T1638" s="2035">
        <f t="shared" si="304"/>
        <v>0</v>
      </c>
    </row>
    <row r="1639" spans="1:20" ht="22.2" hidden="1" customHeight="1">
      <c r="A1639" s="59"/>
      <c r="B1639" s="1577" t="s">
        <v>1031</v>
      </c>
      <c r="C1639" s="1013" t="str">
        <f t="shared" si="305"/>
        <v xml:space="preserve"> </v>
      </c>
      <c r="D1639" s="1535">
        <f>ROUND(E1639*1.02,2)</f>
        <v>0</v>
      </c>
      <c r="E1639" s="1061"/>
      <c r="F1639" s="1056" t="str">
        <f>VLOOKUP($B1639,DG!A:D,DG!$C$2,)</f>
        <v>Cáp 24KV A/XLPE/PVC 185mm2</v>
      </c>
      <c r="G1639" s="1044" t="str">
        <f>VLOOKUP($B1639,DG!A:D,DG!$D$2,)</f>
        <v>mét</v>
      </c>
      <c r="H1639" s="1823">
        <f t="shared" si="309"/>
        <v>0</v>
      </c>
      <c r="I1639" s="1823">
        <f t="shared" si="310"/>
        <v>0</v>
      </c>
      <c r="J1639" s="1823"/>
      <c r="K1639" s="1823"/>
      <c r="L1639" s="1823"/>
      <c r="M1639" s="1823"/>
      <c r="N1639" s="1823"/>
      <c r="O1639" s="1823"/>
      <c r="P1639" s="1823">
        <f t="shared" si="308"/>
        <v>0</v>
      </c>
      <c r="Q1639" s="1053"/>
      <c r="R1639" s="1053"/>
      <c r="S1639" s="1053"/>
      <c r="T1639" s="2035">
        <f t="shared" si="304"/>
        <v>0</v>
      </c>
    </row>
    <row r="1640" spans="1:20" ht="22.2" hidden="1" customHeight="1">
      <c r="A1640" s="59"/>
      <c r="B1640" s="1577" t="s">
        <v>1032</v>
      </c>
      <c r="C1640" s="1013" t="str">
        <f t="shared" si="305"/>
        <v xml:space="preserve"> </v>
      </c>
      <c r="D1640" s="1535">
        <f>ROUND(E1640*1.03,2)</f>
        <v>0</v>
      </c>
      <c r="E1640" s="1061">
        <f>'pp3p2m '!C100</f>
        <v>0</v>
      </c>
      <c r="F1640" s="1056" t="str">
        <f>VLOOKUP($B1640,DG!A:D,DG!$C$2,)</f>
        <v>Cáp 24KV A/XLPE/PVC 150mm2</v>
      </c>
      <c r="G1640" s="1044" t="str">
        <f>VLOOKUP($B1640,DG!A:D,DG!$D$2,)</f>
        <v>mét</v>
      </c>
      <c r="H1640" s="1823">
        <f t="shared" si="309"/>
        <v>0</v>
      </c>
      <c r="I1640" s="1823">
        <f t="shared" si="310"/>
        <v>0</v>
      </c>
      <c r="J1640" s="1823"/>
      <c r="K1640" s="1823"/>
      <c r="L1640" s="1823"/>
      <c r="M1640" s="1823"/>
      <c r="N1640" s="1823"/>
      <c r="O1640" s="1823"/>
      <c r="P1640" s="1823">
        <f t="shared" si="308"/>
        <v>0</v>
      </c>
      <c r="Q1640" s="1053"/>
      <c r="R1640" s="1053"/>
      <c r="S1640" s="1053"/>
      <c r="T1640" s="2035">
        <f t="shared" si="304"/>
        <v>0</v>
      </c>
    </row>
    <row r="1641" spans="1:20" ht="22.2" hidden="1" customHeight="1">
      <c r="A1641" s="59"/>
      <c r="B1641" s="1577" t="s">
        <v>657</v>
      </c>
      <c r="C1641" s="1013" t="str">
        <f t="shared" si="305"/>
        <v xml:space="preserve"> </v>
      </c>
      <c r="D1641" s="1535">
        <f>ROUND(E1641*1.03,2)</f>
        <v>0</v>
      </c>
      <c r="E1641" s="1061">
        <f>'pp3p2m '!C101</f>
        <v>0</v>
      </c>
      <c r="F1641" s="1056" t="str">
        <f>VLOOKUP($B1641,DG!A:D,DG!$C$2,)</f>
        <v>Cáp 24KV A/XLPE/PVC 120mm2</v>
      </c>
      <c r="G1641" s="1044" t="str">
        <f>VLOOKUP($B1641,DG!A:D,DG!$D$2,)</f>
        <v>mét</v>
      </c>
      <c r="H1641" s="1823">
        <f t="shared" si="309"/>
        <v>0</v>
      </c>
      <c r="I1641" s="1823">
        <f t="shared" si="310"/>
        <v>0</v>
      </c>
      <c r="J1641" s="1823"/>
      <c r="K1641" s="1823"/>
      <c r="L1641" s="1823"/>
      <c r="M1641" s="1823"/>
      <c r="N1641" s="1823"/>
      <c r="O1641" s="1823"/>
      <c r="P1641" s="1823">
        <f t="shared" si="308"/>
        <v>0</v>
      </c>
      <c r="Q1641" s="1053"/>
      <c r="R1641" s="1053"/>
      <c r="S1641" s="1053"/>
      <c r="T1641" s="2035">
        <f t="shared" si="304"/>
        <v>0</v>
      </c>
    </row>
    <row r="1642" spans="1:20" ht="22.2" hidden="1" customHeight="1">
      <c r="A1642" s="59"/>
      <c r="B1642" s="1577" t="s">
        <v>57</v>
      </c>
      <c r="C1642" s="1013" t="str">
        <f t="shared" si="305"/>
        <v xml:space="preserve"> </v>
      </c>
      <c r="D1642" s="1535">
        <f>ROUND(E1642*1.03,2)</f>
        <v>0</v>
      </c>
      <c r="E1642" s="1061">
        <f>'pp3p2m '!C102</f>
        <v>0</v>
      </c>
      <c r="F1642" s="1056" t="str">
        <f>VLOOKUP($B1642,DG!A:D,DG!$C$2,)</f>
        <v>Cáp 24KV A/XLPE/PVC 95mm2</v>
      </c>
      <c r="G1642" s="1044" t="str">
        <f>VLOOKUP($B1642,DG!A:D,DG!$D$2,)</f>
        <v>mét</v>
      </c>
      <c r="H1642" s="1823">
        <f t="shared" si="309"/>
        <v>0</v>
      </c>
      <c r="I1642" s="1823">
        <f t="shared" si="310"/>
        <v>0</v>
      </c>
      <c r="J1642" s="1823"/>
      <c r="K1642" s="1823"/>
      <c r="L1642" s="1823"/>
      <c r="M1642" s="1823"/>
      <c r="N1642" s="1823"/>
      <c r="O1642" s="1823"/>
      <c r="P1642" s="1823">
        <f t="shared" si="308"/>
        <v>0</v>
      </c>
      <c r="Q1642" s="1053"/>
      <c r="R1642" s="1053"/>
      <c r="S1642" s="1053"/>
      <c r="T1642" s="2035">
        <f t="shared" si="304"/>
        <v>0</v>
      </c>
    </row>
    <row r="1643" spans="1:20" ht="22.2" hidden="1" customHeight="1">
      <c r="A1643" s="59"/>
      <c r="B1643" s="1577" t="s">
        <v>56</v>
      </c>
      <c r="C1643" s="1013" t="str">
        <f t="shared" si="305"/>
        <v xml:space="preserve"> </v>
      </c>
      <c r="D1643" s="1535">
        <f>ROUND(E1643*1.03,2)</f>
        <v>0</v>
      </c>
      <c r="E1643" s="1061">
        <f>'pp3p2m '!C103</f>
        <v>0</v>
      </c>
      <c r="F1643" s="1056" t="str">
        <f>VLOOKUP($B1643,DG!A:D,DG!$C$2,)</f>
        <v>Cáp 24KV A/XLPE/PVC 70mm2</v>
      </c>
      <c r="G1643" s="1044" t="str">
        <f>VLOOKUP($B1643,DG!A:D,DG!$D$2,)</f>
        <v>mét</v>
      </c>
      <c r="H1643" s="1823">
        <f t="shared" si="309"/>
        <v>0</v>
      </c>
      <c r="I1643" s="1823">
        <f t="shared" si="310"/>
        <v>0</v>
      </c>
      <c r="J1643" s="1823"/>
      <c r="K1643" s="1823"/>
      <c r="L1643" s="1823"/>
      <c r="M1643" s="1823"/>
      <c r="N1643" s="1823"/>
      <c r="O1643" s="1823"/>
      <c r="P1643" s="1823">
        <f t="shared" si="308"/>
        <v>0</v>
      </c>
      <c r="Q1643" s="1053"/>
      <c r="R1643" s="1053"/>
      <c r="S1643" s="1053"/>
      <c r="T1643" s="2035">
        <f t="shared" si="304"/>
        <v>0</v>
      </c>
    </row>
    <row r="1644" spans="1:20" ht="22.2" hidden="1" customHeight="1">
      <c r="A1644" s="59"/>
      <c r="B1644" s="1596" t="s">
        <v>2505</v>
      </c>
      <c r="C1644" s="1013" t="str">
        <f t="shared" si="305"/>
        <v xml:space="preserve"> </v>
      </c>
      <c r="D1644" s="1548">
        <f>'pp3p2m '!CU82</f>
        <v>0</v>
      </c>
      <c r="E1644" s="1044"/>
      <c r="F1644" s="1062" t="s">
        <v>2506</v>
      </c>
      <c r="G1644" s="1063" t="s">
        <v>2445</v>
      </c>
      <c r="H1644" s="1823">
        <f t="shared" si="309"/>
        <v>0</v>
      </c>
      <c r="I1644" s="1823">
        <f t="shared" si="310"/>
        <v>0</v>
      </c>
      <c r="J1644" s="1823"/>
      <c r="K1644" s="1823"/>
      <c r="L1644" s="1823"/>
      <c r="M1644" s="1823"/>
      <c r="N1644" s="1823"/>
      <c r="O1644" s="1823"/>
      <c r="P1644" s="1823">
        <f t="shared" si="308"/>
        <v>0</v>
      </c>
      <c r="Q1644" s="1053"/>
      <c r="R1644" s="1053"/>
      <c r="S1644" s="1053"/>
      <c r="T1644" s="2035">
        <f t="shared" ref="T1644:T1707" si="311">IFERROR(HLOOKUP(B1644,BangKeTru,3,0),0)</f>
        <v>0</v>
      </c>
    </row>
    <row r="1645" spans="1:20" ht="22.2" hidden="1" customHeight="1">
      <c r="A1645" s="59"/>
      <c r="B1645" s="1577" t="s">
        <v>1913</v>
      </c>
      <c r="C1645" s="1013" t="str">
        <f t="shared" si="305"/>
        <v xml:space="preserve"> </v>
      </c>
      <c r="D1645" s="1535">
        <f>D1644</f>
        <v>0</v>
      </c>
      <c r="E1645" s="1044"/>
      <c r="F1645" s="1056" t="str">
        <f>VLOOKUP($B1645,DG!A:D,DG!$C$2,)</f>
        <v>Uclevis + sứ ống chỉ</v>
      </c>
      <c r="G1645" s="1044" t="str">
        <f>VLOOKUP($B1645,DG!A:D,DG!$D$2,)</f>
        <v>bộ</v>
      </c>
      <c r="H1645" s="1823">
        <f t="shared" si="309"/>
        <v>0</v>
      </c>
      <c r="I1645" s="1823">
        <f t="shared" si="310"/>
        <v>0</v>
      </c>
      <c r="J1645" s="1823"/>
      <c r="K1645" s="1823"/>
      <c r="L1645" s="1823"/>
      <c r="M1645" s="1823"/>
      <c r="N1645" s="1823"/>
      <c r="O1645" s="1823"/>
      <c r="P1645" s="1823">
        <f t="shared" si="308"/>
        <v>0</v>
      </c>
      <c r="Q1645" s="1053"/>
      <c r="R1645" s="1053"/>
      <c r="S1645" s="1053"/>
      <c r="T1645" s="2035">
        <f t="shared" si="311"/>
        <v>0</v>
      </c>
    </row>
    <row r="1646" spans="1:20" ht="22.2" hidden="1" customHeight="1">
      <c r="A1646" s="59"/>
      <c r="B1646" s="1577" t="s">
        <v>1613</v>
      </c>
      <c r="C1646" s="1013" t="str">
        <f t="shared" si="305"/>
        <v xml:space="preserve"> </v>
      </c>
      <c r="D1646" s="1535">
        <f>D1644</f>
        <v>0</v>
      </c>
      <c r="E1646" s="1044"/>
      <c r="F1646" s="1056" t="str">
        <f>VLOOKUP($B1646,DG!A:D,DG!$C$2,)</f>
        <v>Boulon 16x300+ 2 long đền vuông D18-50x50x3/Zn</v>
      </c>
      <c r="G1646" s="1044" t="str">
        <f>VLOOKUP($B1646,DG!A:D,DG!$D$2,)</f>
        <v>bộ</v>
      </c>
      <c r="H1646" s="1823">
        <f t="shared" si="309"/>
        <v>0</v>
      </c>
      <c r="I1646" s="1823">
        <f t="shared" si="310"/>
        <v>0</v>
      </c>
      <c r="J1646" s="1823"/>
      <c r="K1646" s="1823"/>
      <c r="L1646" s="1823"/>
      <c r="M1646" s="1823"/>
      <c r="N1646" s="1823"/>
      <c r="O1646" s="1823"/>
      <c r="P1646" s="1823">
        <f t="shared" si="308"/>
        <v>0</v>
      </c>
      <c r="Q1646" s="1053"/>
      <c r="R1646" s="1053"/>
      <c r="S1646" s="1053"/>
      <c r="T1646" s="2035">
        <f t="shared" si="311"/>
        <v>0</v>
      </c>
    </row>
    <row r="1647" spans="1:20" ht="22.2" hidden="1" customHeight="1">
      <c r="A1647" s="59"/>
      <c r="B1647" s="1596" t="s">
        <v>1624</v>
      </c>
      <c r="C1647" s="1013" t="str">
        <f t="shared" si="305"/>
        <v xml:space="preserve"> </v>
      </c>
      <c r="D1647" s="1548">
        <f>'pp3p2m '!CW82</f>
        <v>0</v>
      </c>
      <c r="E1647" s="1044"/>
      <c r="F1647" s="1062" t="s">
        <v>2507</v>
      </c>
      <c r="G1647" s="1063" t="s">
        <v>2445</v>
      </c>
      <c r="H1647" s="1823">
        <f t="shared" si="309"/>
        <v>0</v>
      </c>
      <c r="I1647" s="1823">
        <f t="shared" si="310"/>
        <v>0</v>
      </c>
      <c r="J1647" s="1823"/>
      <c r="K1647" s="1823"/>
      <c r="L1647" s="1823"/>
      <c r="M1647" s="1823"/>
      <c r="N1647" s="1823"/>
      <c r="O1647" s="1823"/>
      <c r="P1647" s="1823">
        <f t="shared" si="308"/>
        <v>0</v>
      </c>
      <c r="Q1647" s="1053"/>
      <c r="R1647" s="1053"/>
      <c r="S1647" s="1053"/>
      <c r="T1647" s="2035">
        <f t="shared" si="311"/>
        <v>0</v>
      </c>
    </row>
    <row r="1648" spans="1:20" ht="22.2" hidden="1" customHeight="1">
      <c r="A1648" s="59"/>
      <c r="B1648" s="1577" t="s">
        <v>1913</v>
      </c>
      <c r="C1648" s="1013" t="str">
        <f t="shared" si="305"/>
        <v xml:space="preserve"> </v>
      </c>
      <c r="D1648" s="1535">
        <f>D1647</f>
        <v>0</v>
      </c>
      <c r="E1648" s="1044"/>
      <c r="F1648" s="1056" t="str">
        <f>VLOOKUP($B1648,DG!A:D,DG!$C$2,)</f>
        <v>Uclevis + sứ ống chỉ</v>
      </c>
      <c r="G1648" s="1044" t="str">
        <f>VLOOKUP($B1648,DG!A:D,DG!$D$2,)</f>
        <v>bộ</v>
      </c>
      <c r="H1648" s="1823">
        <f t="shared" si="309"/>
        <v>0</v>
      </c>
      <c r="I1648" s="1823">
        <f t="shared" si="310"/>
        <v>0</v>
      </c>
      <c r="J1648" s="1823"/>
      <c r="K1648" s="1823"/>
      <c r="L1648" s="1823"/>
      <c r="M1648" s="1823"/>
      <c r="N1648" s="1823"/>
      <c r="O1648" s="1823"/>
      <c r="P1648" s="1823">
        <f t="shared" si="308"/>
        <v>0</v>
      </c>
      <c r="Q1648" s="1053"/>
      <c r="R1648" s="1053"/>
      <c r="S1648" s="1053"/>
      <c r="T1648" s="2035">
        <f t="shared" si="311"/>
        <v>0</v>
      </c>
    </row>
    <row r="1649" spans="1:20" ht="22.2" hidden="1" customHeight="1">
      <c r="A1649" s="59"/>
      <c r="B1649" s="1577" t="s">
        <v>1613</v>
      </c>
      <c r="C1649" s="1013" t="str">
        <f t="shared" si="305"/>
        <v xml:space="preserve"> </v>
      </c>
      <c r="D1649" s="1535">
        <f>D1647</f>
        <v>0</v>
      </c>
      <c r="E1649" s="1044"/>
      <c r="F1649" s="1056" t="str">
        <f>VLOOKUP($B1649,DG!A:D,DG!$C$2,)</f>
        <v>Boulon 16x300+ 2 long đền vuông D18-50x50x3/Zn</v>
      </c>
      <c r="G1649" s="1044" t="str">
        <f>VLOOKUP($B1649,DG!A:D,DG!$D$2,)</f>
        <v>bộ</v>
      </c>
      <c r="H1649" s="1823">
        <f t="shared" si="309"/>
        <v>0</v>
      </c>
      <c r="I1649" s="1823">
        <f t="shared" si="310"/>
        <v>0</v>
      </c>
      <c r="J1649" s="1823"/>
      <c r="K1649" s="1823"/>
      <c r="L1649" s="1823"/>
      <c r="M1649" s="1823"/>
      <c r="N1649" s="1823"/>
      <c r="O1649" s="1823"/>
      <c r="P1649" s="1823">
        <f t="shared" si="308"/>
        <v>0</v>
      </c>
      <c r="Q1649" s="1053"/>
      <c r="R1649" s="1053"/>
      <c r="S1649" s="1053"/>
      <c r="T1649" s="2035">
        <f t="shared" si="311"/>
        <v>0</v>
      </c>
    </row>
    <row r="1650" spans="1:20" ht="22.2" hidden="1" customHeight="1">
      <c r="A1650" s="59"/>
      <c r="B1650" s="1577" t="s">
        <v>1855</v>
      </c>
      <c r="C1650" s="1013" t="str">
        <f t="shared" si="305"/>
        <v xml:space="preserve"> </v>
      </c>
      <c r="D1650" s="1535">
        <f>D1647*6</f>
        <v>0</v>
      </c>
      <c r="E1650" s="1044"/>
      <c r="F1650" s="1056" t="str">
        <f>VLOOKUP($B1650,DG!A:D,DG!$C$2,)</f>
        <v>Kẹp 2 rãnh (APC) cỡ dây 50mm2</v>
      </c>
      <c r="G1650" s="1044" t="str">
        <f>VLOOKUP($B1650,DG!A:D,DG!$D$2,)</f>
        <v>cái</v>
      </c>
      <c r="H1650" s="1823">
        <f t="shared" si="309"/>
        <v>0</v>
      </c>
      <c r="I1650" s="1823">
        <f t="shared" si="310"/>
        <v>0</v>
      </c>
      <c r="J1650" s="1823"/>
      <c r="K1650" s="1823"/>
      <c r="L1650" s="1823"/>
      <c r="M1650" s="1823"/>
      <c r="N1650" s="1823"/>
      <c r="O1650" s="1823"/>
      <c r="P1650" s="1823">
        <f t="shared" si="308"/>
        <v>0</v>
      </c>
      <c r="Q1650" s="1053"/>
      <c r="R1650" s="1053"/>
      <c r="S1650" s="1053"/>
      <c r="T1650" s="2035">
        <f t="shared" si="311"/>
        <v>0</v>
      </c>
    </row>
    <row r="1651" spans="1:20" ht="22.2" hidden="1" customHeight="1">
      <c r="A1651" s="59"/>
      <c r="B1651" s="1596" t="s">
        <v>1625</v>
      </c>
      <c r="C1651" s="1013" t="str">
        <f t="shared" si="305"/>
        <v xml:space="preserve"> </v>
      </c>
      <c r="D1651" s="1548">
        <f>'pp3p2m '!CX82</f>
        <v>0</v>
      </c>
      <c r="E1651" s="1044"/>
      <c r="F1651" s="1062" t="s">
        <v>2508</v>
      </c>
      <c r="G1651" s="1063" t="s">
        <v>2445</v>
      </c>
      <c r="H1651" s="1823">
        <f t="shared" si="309"/>
        <v>0</v>
      </c>
      <c r="I1651" s="1823">
        <f t="shared" si="310"/>
        <v>0</v>
      </c>
      <c r="J1651" s="1823"/>
      <c r="K1651" s="1823"/>
      <c r="L1651" s="1823"/>
      <c r="M1651" s="1823"/>
      <c r="N1651" s="1823"/>
      <c r="O1651" s="1823"/>
      <c r="P1651" s="1823">
        <f t="shared" si="308"/>
        <v>0</v>
      </c>
      <c r="Q1651" s="1053"/>
      <c r="R1651" s="1053"/>
      <c r="S1651" s="1053"/>
      <c r="T1651" s="2035">
        <f t="shared" si="311"/>
        <v>0</v>
      </c>
    </row>
    <row r="1652" spans="1:20" ht="22.2" hidden="1" customHeight="1">
      <c r="A1652" s="59"/>
      <c r="B1652" s="1597" t="s">
        <v>1924</v>
      </c>
      <c r="C1652" s="1013" t="str">
        <f t="shared" ref="C1652:C1715" si="312">IF(OR(P1652&lt;&gt;0,H1652&lt;&gt;0),"x"," ")</f>
        <v xml:space="preserve"> </v>
      </c>
      <c r="D1652" s="1535">
        <f>D1651</f>
        <v>0</v>
      </c>
      <c r="E1652" s="1044"/>
      <c r="F1652" s="1054" t="str">
        <f>VLOOKUP($B1652,DG!A:D,DG!$C$2,)</f>
        <v>Khóa néo dây cỡ dây 120</v>
      </c>
      <c r="G1652" s="1044" t="str">
        <f>VLOOKUP($B1652,DG!A:D,DG!$D$2,)</f>
        <v>cái</v>
      </c>
      <c r="H1652" s="1823">
        <f t="shared" si="309"/>
        <v>0</v>
      </c>
      <c r="I1652" s="1823">
        <f t="shared" si="310"/>
        <v>0</v>
      </c>
      <c r="J1652" s="1823"/>
      <c r="K1652" s="1823"/>
      <c r="L1652" s="1823"/>
      <c r="M1652" s="1823"/>
      <c r="N1652" s="1823"/>
      <c r="O1652" s="1823"/>
      <c r="P1652" s="1823">
        <f t="shared" si="308"/>
        <v>0</v>
      </c>
      <c r="Q1652" s="1053"/>
      <c r="R1652" s="1053"/>
      <c r="S1652" s="1053"/>
      <c r="T1652" s="2035">
        <f t="shared" si="311"/>
        <v>0</v>
      </c>
    </row>
    <row r="1653" spans="1:20" ht="22.2" hidden="1" customHeight="1">
      <c r="A1653" s="59"/>
      <c r="B1653" s="1577" t="s">
        <v>1489</v>
      </c>
      <c r="C1653" s="1013" t="str">
        <f t="shared" si="312"/>
        <v xml:space="preserve"> </v>
      </c>
      <c r="D1653" s="1535">
        <f>D1651*2</f>
        <v>0</v>
      </c>
      <c r="E1653" s="1044"/>
      <c r="F1653" s="1054" t="str">
        <f>VLOOKUP($B1653,DG!A:D,DG!$C$2,)</f>
        <v xml:space="preserve">Móc treo chữ U </v>
      </c>
      <c r="G1653" s="1044" t="str">
        <f>VLOOKUP($B1653,DG!A:D,DG!$D$2,)</f>
        <v>cái</v>
      </c>
      <c r="H1653" s="1823">
        <f t="shared" si="309"/>
        <v>0</v>
      </c>
      <c r="I1653" s="1823">
        <f t="shared" si="310"/>
        <v>0</v>
      </c>
      <c r="J1653" s="1823"/>
      <c r="K1653" s="1823"/>
      <c r="L1653" s="1823"/>
      <c r="M1653" s="1823"/>
      <c r="N1653" s="1823"/>
      <c r="O1653" s="1823"/>
      <c r="P1653" s="1823">
        <f t="shared" si="308"/>
        <v>0</v>
      </c>
      <c r="Q1653" s="1053"/>
      <c r="R1653" s="1053"/>
      <c r="S1653" s="1053"/>
      <c r="T1653" s="2035">
        <f t="shared" si="311"/>
        <v>0</v>
      </c>
    </row>
    <row r="1654" spans="1:20" ht="22.2" hidden="1" customHeight="1">
      <c r="A1654" s="59"/>
      <c r="B1654" s="1577" t="s">
        <v>417</v>
      </c>
      <c r="C1654" s="1013" t="str">
        <f t="shared" si="312"/>
        <v xml:space="preserve"> </v>
      </c>
      <c r="D1654" s="1535">
        <f>D1652</f>
        <v>0</v>
      </c>
      <c r="E1654" s="1044"/>
      <c r="F1654" s="1054" t="str">
        <f>VLOOKUP($B1654,DG!A:D,DG!$C$2,)</f>
        <v>Boulon mắt 16x300+ 2 long đền vuông D18-50x50x3/Zn</v>
      </c>
      <c r="G1654" s="1044" t="str">
        <f>VLOOKUP($B1654,DG!A:D,DG!$D$2,)</f>
        <v>bộ</v>
      </c>
      <c r="H1654" s="1823">
        <f t="shared" si="309"/>
        <v>0</v>
      </c>
      <c r="I1654" s="1823">
        <f t="shared" si="310"/>
        <v>0</v>
      </c>
      <c r="J1654" s="1823"/>
      <c r="K1654" s="1823"/>
      <c r="L1654" s="1823"/>
      <c r="M1654" s="1823"/>
      <c r="N1654" s="1823"/>
      <c r="O1654" s="1823"/>
      <c r="P1654" s="1823">
        <f t="shared" si="308"/>
        <v>0</v>
      </c>
      <c r="Q1654" s="1053"/>
      <c r="R1654" s="1053"/>
      <c r="S1654" s="1053"/>
      <c r="T1654" s="2035">
        <f t="shared" si="311"/>
        <v>0</v>
      </c>
    </row>
    <row r="1655" spans="1:20" ht="22.2" hidden="1" customHeight="1">
      <c r="A1655" s="59"/>
      <c r="B1655" s="1577" t="s">
        <v>241</v>
      </c>
      <c r="C1655" s="1013" t="str">
        <f t="shared" si="312"/>
        <v xml:space="preserve"> </v>
      </c>
      <c r="D1655" s="1535">
        <f>D1651</f>
        <v>0</v>
      </c>
      <c r="E1655" s="1044"/>
      <c r="F1655" s="1054" t="str">
        <f>VLOOKUP($B1655,DG!A:D,DG!$C$2,)</f>
        <v>Kẹp ép WR cỡ dây 120mm2</v>
      </c>
      <c r="G1655" s="1044" t="str">
        <f>VLOOKUP($B1655,DG!A:D,DG!$D$2,)</f>
        <v>cái</v>
      </c>
      <c r="H1655" s="1823">
        <f t="shared" si="309"/>
        <v>0</v>
      </c>
      <c r="I1655" s="1823">
        <f t="shared" si="310"/>
        <v>0</v>
      </c>
      <c r="J1655" s="1823"/>
      <c r="K1655" s="1823"/>
      <c r="L1655" s="1823"/>
      <c r="M1655" s="1823"/>
      <c r="N1655" s="1823"/>
      <c r="O1655" s="1823"/>
      <c r="P1655" s="1823">
        <f t="shared" si="308"/>
        <v>0</v>
      </c>
      <c r="Q1655" s="1053"/>
      <c r="R1655" s="1053"/>
      <c r="S1655" s="1053"/>
      <c r="T1655" s="2035">
        <f t="shared" si="311"/>
        <v>0</v>
      </c>
    </row>
    <row r="1656" spans="1:20" ht="22.2" hidden="1" customHeight="1">
      <c r="A1656" s="59"/>
      <c r="B1656" s="1596" t="s">
        <v>2510</v>
      </c>
      <c r="C1656" s="1013" t="str">
        <f t="shared" si="312"/>
        <v xml:space="preserve"> </v>
      </c>
      <c r="D1656" s="1548">
        <f>'pp3p2m '!CP82</f>
        <v>0</v>
      </c>
      <c r="E1656" s="1044"/>
      <c r="F1656" s="1062" t="s">
        <v>2511</v>
      </c>
      <c r="G1656" s="1063" t="s">
        <v>2445</v>
      </c>
      <c r="H1656" s="1823">
        <f t="shared" si="309"/>
        <v>0</v>
      </c>
      <c r="I1656" s="1823">
        <f t="shared" si="310"/>
        <v>0</v>
      </c>
      <c r="J1656" s="1823"/>
      <c r="K1656" s="1823"/>
      <c r="L1656" s="1823"/>
      <c r="M1656" s="1823"/>
      <c r="N1656" s="1823"/>
      <c r="O1656" s="1823"/>
      <c r="P1656" s="1823">
        <f t="shared" si="308"/>
        <v>0</v>
      </c>
      <c r="Q1656" s="1053"/>
      <c r="R1656" s="1053"/>
      <c r="S1656" s="1053"/>
      <c r="T1656" s="2035">
        <f t="shared" si="311"/>
        <v>0</v>
      </c>
    </row>
    <row r="1657" spans="1:20" ht="22.2" hidden="1" customHeight="1">
      <c r="A1657" s="59"/>
      <c r="B1657" s="1577" t="s">
        <v>696</v>
      </c>
      <c r="C1657" s="1013" t="str">
        <f t="shared" si="312"/>
        <v xml:space="preserve"> </v>
      </c>
      <c r="D1657" s="1535">
        <f>D1656</f>
        <v>0</v>
      </c>
      <c r="E1657" s="1044"/>
      <c r="F1657" s="1056" t="str">
        <f>VLOOKUP($B1657,DG!A:D,DG!$C$2,)</f>
        <v xml:space="preserve">Sứ đứng 24KV </v>
      </c>
      <c r="G1657" s="1044" t="str">
        <f>VLOOKUP($B1657,DG!A:D,DG!$D$2,)</f>
        <v>cái</v>
      </c>
      <c r="H1657" s="1823">
        <f t="shared" si="309"/>
        <v>0</v>
      </c>
      <c r="I1657" s="1823">
        <f t="shared" si="310"/>
        <v>0</v>
      </c>
      <c r="J1657" s="1823"/>
      <c r="K1657" s="1823"/>
      <c r="L1657" s="1823"/>
      <c r="M1657" s="1823"/>
      <c r="N1657" s="1823"/>
      <c r="O1657" s="1823"/>
      <c r="P1657" s="1823">
        <f t="shared" si="308"/>
        <v>0</v>
      </c>
      <c r="Q1657" s="1053"/>
      <c r="R1657" s="1053"/>
      <c r="S1657" s="1053"/>
      <c r="T1657" s="2035">
        <f t="shared" si="311"/>
        <v>0</v>
      </c>
    </row>
    <row r="1658" spans="1:20" ht="22.2" hidden="1" customHeight="1">
      <c r="A1658" s="59"/>
      <c r="B1658" s="1577" t="s">
        <v>1268</v>
      </c>
      <c r="C1658" s="1013" t="str">
        <f t="shared" si="312"/>
        <v xml:space="preserve"> </v>
      </c>
      <c r="D1658" s="1535">
        <f>D1656</f>
        <v>0</v>
      </c>
      <c r="E1658" s="1044"/>
      <c r="F1658" s="1056" t="str">
        <f>VLOOKUP($B1658,DG!A:D,DG!$C$2,)</f>
        <v>Chân sứ đứng D20</v>
      </c>
      <c r="G1658" s="1044" t="str">
        <f>VLOOKUP($B1658,DG!A:D,DG!$D$2,)</f>
        <v>cái</v>
      </c>
      <c r="H1658" s="1823">
        <f t="shared" si="309"/>
        <v>0</v>
      </c>
      <c r="I1658" s="1823">
        <f t="shared" si="310"/>
        <v>0</v>
      </c>
      <c r="J1658" s="1823"/>
      <c r="K1658" s="1823"/>
      <c r="L1658" s="1823"/>
      <c r="M1658" s="1823"/>
      <c r="N1658" s="1823"/>
      <c r="O1658" s="1823"/>
      <c r="P1658" s="1823">
        <f t="shared" si="308"/>
        <v>0</v>
      </c>
      <c r="Q1658" s="1053"/>
      <c r="R1658" s="1053"/>
      <c r="S1658" s="1053"/>
      <c r="T1658" s="2035">
        <f t="shared" si="311"/>
        <v>0</v>
      </c>
    </row>
    <row r="1659" spans="1:20" ht="22.2" hidden="1" customHeight="1">
      <c r="A1659" s="59"/>
      <c r="B1659" s="1596" t="s">
        <v>2512</v>
      </c>
      <c r="C1659" s="1013" t="str">
        <f t="shared" si="312"/>
        <v xml:space="preserve"> </v>
      </c>
      <c r="D1659" s="1548">
        <f>'pp3p2m '!CN82</f>
        <v>0</v>
      </c>
      <c r="E1659" s="1044"/>
      <c r="F1659" s="1062" t="s">
        <v>2513</v>
      </c>
      <c r="G1659" s="1063" t="s">
        <v>2445</v>
      </c>
      <c r="H1659" s="1823">
        <f t="shared" si="309"/>
        <v>0</v>
      </c>
      <c r="I1659" s="1823">
        <f t="shared" si="310"/>
        <v>0</v>
      </c>
      <c r="J1659" s="1823"/>
      <c r="K1659" s="1823"/>
      <c r="L1659" s="1823"/>
      <c r="M1659" s="1823"/>
      <c r="N1659" s="1823"/>
      <c r="O1659" s="1823"/>
      <c r="P1659" s="1823">
        <f t="shared" si="308"/>
        <v>0</v>
      </c>
      <c r="Q1659" s="1053"/>
      <c r="R1659" s="1053"/>
      <c r="S1659" s="1053"/>
      <c r="T1659" s="2035">
        <f t="shared" si="311"/>
        <v>0</v>
      </c>
    </row>
    <row r="1660" spans="1:20" ht="22.2" hidden="1" customHeight="1">
      <c r="A1660" s="59"/>
      <c r="B1660" s="1577" t="s">
        <v>696</v>
      </c>
      <c r="C1660" s="1013" t="str">
        <f t="shared" si="312"/>
        <v xml:space="preserve"> </v>
      </c>
      <c r="D1660" s="1535">
        <f>D1659</f>
        <v>0</v>
      </c>
      <c r="E1660" s="1044"/>
      <c r="F1660" s="1056" t="str">
        <f>VLOOKUP($B1660,DG!A:D,DG!$C$2,)</f>
        <v xml:space="preserve">Sứ đứng 24KV </v>
      </c>
      <c r="G1660" s="1044" t="str">
        <f>VLOOKUP($B1660,DG!A:D,DG!$D$2,)</f>
        <v>cái</v>
      </c>
      <c r="H1660" s="1823">
        <f t="shared" si="309"/>
        <v>0</v>
      </c>
      <c r="I1660" s="1823">
        <f t="shared" si="310"/>
        <v>0</v>
      </c>
      <c r="J1660" s="1823"/>
      <c r="K1660" s="1823"/>
      <c r="L1660" s="1823"/>
      <c r="M1660" s="1823"/>
      <c r="N1660" s="1823"/>
      <c r="O1660" s="1823"/>
      <c r="P1660" s="1823">
        <f t="shared" si="308"/>
        <v>0</v>
      </c>
      <c r="Q1660" s="1053"/>
      <c r="R1660" s="1053"/>
      <c r="S1660" s="1053"/>
      <c r="T1660" s="2035">
        <f t="shared" si="311"/>
        <v>0</v>
      </c>
    </row>
    <row r="1661" spans="1:20" ht="22.2" hidden="1" customHeight="1">
      <c r="A1661" s="59"/>
      <c r="B1661" s="1577" t="s">
        <v>1269</v>
      </c>
      <c r="C1661" s="1013" t="str">
        <f t="shared" si="312"/>
        <v xml:space="preserve"> </v>
      </c>
      <c r="D1661" s="1535">
        <f>D1659</f>
        <v>0</v>
      </c>
      <c r="E1661" s="1044"/>
      <c r="F1661" s="1056" t="str">
        <f>VLOOKUP($B1661,DG!A:D,DG!$C$2,)</f>
        <v>Chân sứ đỉnh thẳng dài 870mm</v>
      </c>
      <c r="G1661" s="1044" t="str">
        <f>VLOOKUP($B1661,DG!A:D,DG!$D$2,)</f>
        <v>cái</v>
      </c>
      <c r="H1661" s="1823">
        <f t="shared" si="309"/>
        <v>0</v>
      </c>
      <c r="I1661" s="1823">
        <f t="shared" si="310"/>
        <v>0</v>
      </c>
      <c r="J1661" s="1823"/>
      <c r="K1661" s="1823"/>
      <c r="L1661" s="1823"/>
      <c r="M1661" s="1823"/>
      <c r="N1661" s="1823"/>
      <c r="O1661" s="1823"/>
      <c r="P1661" s="1823">
        <f t="shared" si="308"/>
        <v>0</v>
      </c>
      <c r="Q1661" s="1053"/>
      <c r="R1661" s="1053"/>
      <c r="S1661" s="1053"/>
      <c r="T1661" s="2035">
        <f t="shared" si="311"/>
        <v>0</v>
      </c>
    </row>
    <row r="1662" spans="1:20" ht="22.2" hidden="1" customHeight="1">
      <c r="A1662" s="59"/>
      <c r="B1662" s="1577" t="s">
        <v>1613</v>
      </c>
      <c r="C1662" s="1013" t="str">
        <f t="shared" si="312"/>
        <v xml:space="preserve"> </v>
      </c>
      <c r="D1662" s="1535">
        <f>D1659*2</f>
        <v>0</v>
      </c>
      <c r="E1662" s="1044"/>
      <c r="F1662" s="1056" t="str">
        <f>VLOOKUP($B1662,DG!A:D,DG!$C$2,)</f>
        <v>Boulon 16x300+ 2 long đền vuông D18-50x50x3/Zn</v>
      </c>
      <c r="G1662" s="1044" t="str">
        <f>VLOOKUP($B1662,DG!A:D,DG!$D$2,)</f>
        <v>bộ</v>
      </c>
      <c r="H1662" s="1823">
        <f t="shared" si="309"/>
        <v>0</v>
      </c>
      <c r="I1662" s="1823">
        <f t="shared" si="310"/>
        <v>0</v>
      </c>
      <c r="J1662" s="1823"/>
      <c r="K1662" s="1823"/>
      <c r="L1662" s="1823"/>
      <c r="M1662" s="1823"/>
      <c r="N1662" s="1823"/>
      <c r="O1662" s="1823"/>
      <c r="P1662" s="1823">
        <f t="shared" si="308"/>
        <v>0</v>
      </c>
      <c r="Q1662" s="1053"/>
      <c r="R1662" s="1053"/>
      <c r="S1662" s="1053"/>
      <c r="T1662" s="2035">
        <f t="shared" si="311"/>
        <v>0</v>
      </c>
    </row>
    <row r="1663" spans="1:20" ht="22.2" hidden="1" customHeight="1">
      <c r="A1663" s="63"/>
      <c r="B1663" s="1598" t="s">
        <v>2514</v>
      </c>
      <c r="C1663" s="1013" t="str">
        <f t="shared" si="312"/>
        <v xml:space="preserve"> </v>
      </c>
      <c r="D1663" s="1549">
        <f>'pp3p2m '!CO82</f>
        <v>0</v>
      </c>
      <c r="E1663" s="1048"/>
      <c r="F1663" s="1062" t="s">
        <v>2515</v>
      </c>
      <c r="G1663" s="1283" t="s">
        <v>2445</v>
      </c>
      <c r="H1663" s="1823">
        <f t="shared" ref="H1663:H1694" si="313">$D1663</f>
        <v>0</v>
      </c>
      <c r="I1663" s="1824">
        <f t="shared" ref="I1663:I1694" si="314">D1663</f>
        <v>0</v>
      </c>
      <c r="J1663" s="1824"/>
      <c r="K1663" s="1824"/>
      <c r="L1663" s="1824"/>
      <c r="M1663" s="1824"/>
      <c r="N1663" s="1824"/>
      <c r="O1663" s="1824"/>
      <c r="P1663" s="1823">
        <f t="shared" si="308"/>
        <v>0</v>
      </c>
      <c r="Q1663" s="1053"/>
      <c r="R1663" s="1053"/>
      <c r="S1663" s="1053"/>
      <c r="T1663" s="2035">
        <f t="shared" si="311"/>
        <v>0</v>
      </c>
    </row>
    <row r="1664" spans="1:20" ht="22.2" hidden="1" customHeight="1">
      <c r="A1664" s="63"/>
      <c r="B1664" s="1577" t="s">
        <v>696</v>
      </c>
      <c r="C1664" s="1013" t="str">
        <f t="shared" si="312"/>
        <v xml:space="preserve"> </v>
      </c>
      <c r="D1664" s="1538">
        <f>D1663*2</f>
        <v>0</v>
      </c>
      <c r="E1664" s="1048"/>
      <c r="F1664" s="1056" t="str">
        <f>VLOOKUP($B1664,DG!A:D,DG!$C$2,)</f>
        <v xml:space="preserve">Sứ đứng 24KV </v>
      </c>
      <c r="G1664" s="1044" t="str">
        <f>VLOOKUP($B1664,DG!A:D,DG!$D$2,)</f>
        <v>cái</v>
      </c>
      <c r="H1664" s="1823">
        <f t="shared" si="313"/>
        <v>0</v>
      </c>
      <c r="I1664" s="1824">
        <f t="shared" si="314"/>
        <v>0</v>
      </c>
      <c r="J1664" s="1824"/>
      <c r="K1664" s="1824"/>
      <c r="L1664" s="1824"/>
      <c r="M1664" s="1824"/>
      <c r="N1664" s="1824"/>
      <c r="O1664" s="1824"/>
      <c r="P1664" s="1823">
        <f t="shared" si="308"/>
        <v>0</v>
      </c>
      <c r="Q1664" s="1053"/>
      <c r="R1664" s="1053"/>
      <c r="S1664" s="1053"/>
      <c r="T1664" s="2035">
        <f t="shared" si="311"/>
        <v>0</v>
      </c>
    </row>
    <row r="1665" spans="1:20" ht="22.2" hidden="1" customHeight="1">
      <c r="A1665" s="63"/>
      <c r="B1665" s="1577" t="s">
        <v>590</v>
      </c>
      <c r="C1665" s="1013" t="str">
        <f t="shared" si="312"/>
        <v xml:space="preserve"> </v>
      </c>
      <c r="D1665" s="1538">
        <f>D1663*2</f>
        <v>0</v>
      </c>
      <c r="E1665" s="1048"/>
      <c r="F1665" s="1056" t="str">
        <f>VLOOKUP($B1665,DG!A:D,DG!$C$2,)</f>
        <v>Chân sứ đỉnh đỡ góc dài 870mm</v>
      </c>
      <c r="G1665" s="1044" t="str">
        <f>VLOOKUP($B1665,DG!A:D,DG!$D$2,)</f>
        <v>cái</v>
      </c>
      <c r="H1665" s="1823">
        <f t="shared" si="313"/>
        <v>0</v>
      </c>
      <c r="I1665" s="1824">
        <f t="shared" si="314"/>
        <v>0</v>
      </c>
      <c r="J1665" s="1824"/>
      <c r="K1665" s="1824"/>
      <c r="L1665" s="1824"/>
      <c r="M1665" s="1824"/>
      <c r="N1665" s="1824"/>
      <c r="O1665" s="1824"/>
      <c r="P1665" s="1823">
        <f t="shared" si="308"/>
        <v>0</v>
      </c>
      <c r="Q1665" s="1053"/>
      <c r="R1665" s="1053"/>
      <c r="S1665" s="1053"/>
      <c r="T1665" s="2035">
        <f t="shared" si="311"/>
        <v>0</v>
      </c>
    </row>
    <row r="1666" spans="1:20" ht="22.2" hidden="1" customHeight="1">
      <c r="A1666" s="63"/>
      <c r="B1666" s="1577" t="s">
        <v>1613</v>
      </c>
      <c r="C1666" s="1013" t="str">
        <f t="shared" si="312"/>
        <v xml:space="preserve"> </v>
      </c>
      <c r="D1666" s="1538">
        <f>D1663*2</f>
        <v>0</v>
      </c>
      <c r="E1666" s="1048"/>
      <c r="F1666" s="1056" t="str">
        <f>VLOOKUP($B1666,DG!A:D,DG!$C$2,)</f>
        <v>Boulon 16x300+ 2 long đền vuông D18-50x50x3/Zn</v>
      </c>
      <c r="G1666" s="1044" t="str">
        <f>VLOOKUP($B1666,DG!A:D,DG!$D$2,)</f>
        <v>bộ</v>
      </c>
      <c r="H1666" s="1823">
        <f t="shared" si="313"/>
        <v>0</v>
      </c>
      <c r="I1666" s="1824">
        <f t="shared" si="314"/>
        <v>0</v>
      </c>
      <c r="J1666" s="1824"/>
      <c r="K1666" s="1824"/>
      <c r="L1666" s="1824"/>
      <c r="M1666" s="1824"/>
      <c r="N1666" s="1824"/>
      <c r="O1666" s="1824"/>
      <c r="P1666" s="1823">
        <f t="shared" si="308"/>
        <v>0</v>
      </c>
      <c r="Q1666" s="1053"/>
      <c r="R1666" s="1053"/>
      <c r="S1666" s="1053"/>
      <c r="T1666" s="2035">
        <f t="shared" si="311"/>
        <v>0</v>
      </c>
    </row>
    <row r="1667" spans="1:20" ht="22.2" hidden="1" customHeight="1">
      <c r="A1667" s="59"/>
      <c r="B1667" s="1596" t="s">
        <v>2516</v>
      </c>
      <c r="C1667" s="1013" t="str">
        <f t="shared" si="312"/>
        <v xml:space="preserve"> </v>
      </c>
      <c r="D1667" s="1548"/>
      <c r="E1667" s="1044"/>
      <c r="F1667" s="1062" t="s">
        <v>2534</v>
      </c>
      <c r="G1667" s="1063" t="s">
        <v>2518</v>
      </c>
      <c r="H1667" s="1823">
        <f t="shared" si="313"/>
        <v>0</v>
      </c>
      <c r="I1667" s="1823">
        <f t="shared" si="314"/>
        <v>0</v>
      </c>
      <c r="J1667" s="1823"/>
      <c r="K1667" s="1823"/>
      <c r="L1667" s="1823"/>
      <c r="M1667" s="1823"/>
      <c r="N1667" s="1823"/>
      <c r="O1667" s="1823"/>
      <c r="P1667" s="1823">
        <f t="shared" si="308"/>
        <v>0</v>
      </c>
      <c r="Q1667" s="1053"/>
      <c r="R1667" s="1053"/>
      <c r="S1667" s="1053"/>
      <c r="T1667" s="2035">
        <f t="shared" si="311"/>
        <v>0</v>
      </c>
    </row>
    <row r="1668" spans="1:20" ht="22.2" hidden="1" customHeight="1">
      <c r="A1668" s="59"/>
      <c r="B1668" s="1577" t="s">
        <v>1270</v>
      </c>
      <c r="C1668" s="1013" t="str">
        <f t="shared" si="312"/>
        <v xml:space="preserve"> </v>
      </c>
      <c r="D1668" s="1535">
        <f>D1667*2</f>
        <v>0</v>
      </c>
      <c r="E1668" s="1044"/>
      <c r="F1668" s="1056" t="str">
        <f>VLOOKUP($B1668,DG!A:D,DG!$C$2,)</f>
        <v>Sứ treo loại 70kN</v>
      </c>
      <c r="G1668" s="1044" t="str">
        <f>VLOOKUP($B1668,DG!A:D,DG!$D$2,)</f>
        <v>bát</v>
      </c>
      <c r="H1668" s="1823">
        <f t="shared" si="313"/>
        <v>0</v>
      </c>
      <c r="I1668" s="1823">
        <f t="shared" si="314"/>
        <v>0</v>
      </c>
      <c r="J1668" s="1823"/>
      <c r="K1668" s="1823"/>
      <c r="L1668" s="1823"/>
      <c r="M1668" s="1823"/>
      <c r="N1668" s="1823"/>
      <c r="O1668" s="1823"/>
      <c r="P1668" s="1823">
        <f t="shared" si="308"/>
        <v>0</v>
      </c>
      <c r="Q1668" s="1053"/>
      <c r="R1668" s="1053"/>
      <c r="S1668" s="1053"/>
      <c r="T1668" s="2035">
        <f t="shared" si="311"/>
        <v>0</v>
      </c>
    </row>
    <row r="1669" spans="1:20" ht="22.2" hidden="1" customHeight="1">
      <c r="A1669" s="59"/>
      <c r="B1669" s="1577" t="s">
        <v>1489</v>
      </c>
      <c r="C1669" s="1013" t="str">
        <f t="shared" si="312"/>
        <v xml:space="preserve"> </v>
      </c>
      <c r="D1669" s="1535">
        <f>D1667*2</f>
        <v>0</v>
      </c>
      <c r="E1669" s="1044"/>
      <c r="F1669" s="1056" t="str">
        <f>VLOOKUP($B1669,DG!A:D,DG!$C$2,)</f>
        <v xml:space="preserve">Móc treo chữ U </v>
      </c>
      <c r="G1669" s="1044" t="str">
        <f>VLOOKUP($B1669,DG!A:D,DG!$D$2,)</f>
        <v>cái</v>
      </c>
      <c r="H1669" s="1823">
        <f t="shared" si="313"/>
        <v>0</v>
      </c>
      <c r="I1669" s="1823">
        <f t="shared" si="314"/>
        <v>0</v>
      </c>
      <c r="J1669" s="1823"/>
      <c r="K1669" s="1823"/>
      <c r="L1669" s="1823"/>
      <c r="M1669" s="1823"/>
      <c r="N1669" s="1823"/>
      <c r="O1669" s="1823"/>
      <c r="P1669" s="1823">
        <f t="shared" si="308"/>
        <v>0</v>
      </c>
      <c r="Q1669" s="1053"/>
      <c r="R1669" s="1053"/>
      <c r="S1669" s="1053"/>
      <c r="T1669" s="2035">
        <f t="shared" si="311"/>
        <v>0</v>
      </c>
    </row>
    <row r="1670" spans="1:20" ht="22.2" hidden="1" customHeight="1">
      <c r="A1670" s="59"/>
      <c r="B1670" s="1577" t="s">
        <v>1572</v>
      </c>
      <c r="C1670" s="1013" t="str">
        <f t="shared" si="312"/>
        <v xml:space="preserve"> </v>
      </c>
      <c r="D1670" s="1535">
        <f>D1667</f>
        <v>0</v>
      </c>
      <c r="E1670" s="1044"/>
      <c r="F1670" s="1056" t="str">
        <f>VLOOKUP($B1670,DG!A:D,DG!$C$2,)</f>
        <v>Vòng treo đầu tròn</v>
      </c>
      <c r="G1670" s="1044" t="str">
        <f>VLOOKUP($B1670,DG!A:D,DG!$D$2,)</f>
        <v>cái</v>
      </c>
      <c r="H1670" s="1823">
        <f t="shared" si="313"/>
        <v>0</v>
      </c>
      <c r="I1670" s="1823">
        <f t="shared" si="314"/>
        <v>0</v>
      </c>
      <c r="J1670" s="1823"/>
      <c r="K1670" s="1823"/>
      <c r="L1670" s="1823"/>
      <c r="M1670" s="1823"/>
      <c r="N1670" s="1823"/>
      <c r="O1670" s="1823"/>
      <c r="P1670" s="1823">
        <f t="shared" si="308"/>
        <v>0</v>
      </c>
      <c r="Q1670" s="1053"/>
      <c r="R1670" s="1053"/>
      <c r="S1670" s="1053"/>
      <c r="T1670" s="2035">
        <f t="shared" si="311"/>
        <v>0</v>
      </c>
    </row>
    <row r="1671" spans="1:20" ht="22.2" hidden="1" customHeight="1">
      <c r="A1671" s="59"/>
      <c r="B1671" s="1577" t="s">
        <v>1487</v>
      </c>
      <c r="C1671" s="1013" t="str">
        <f t="shared" si="312"/>
        <v xml:space="preserve"> </v>
      </c>
      <c r="D1671" s="1535">
        <f>D1667</f>
        <v>0</v>
      </c>
      <c r="E1671" s="1044"/>
      <c r="F1671" s="1056" t="str">
        <f>VLOOKUP($B1671,DG!A:D,DG!$C$2,)</f>
        <v>Mắt nối đơn</v>
      </c>
      <c r="G1671" s="1044" t="str">
        <f>VLOOKUP($B1671,DG!A:D,DG!$D$2,)</f>
        <v>cái</v>
      </c>
      <c r="H1671" s="1823">
        <f t="shared" si="313"/>
        <v>0</v>
      </c>
      <c r="I1671" s="1823">
        <f t="shared" si="314"/>
        <v>0</v>
      </c>
      <c r="J1671" s="1823"/>
      <c r="K1671" s="1823"/>
      <c r="L1671" s="1823"/>
      <c r="M1671" s="1823"/>
      <c r="N1671" s="1823"/>
      <c r="O1671" s="1823"/>
      <c r="P1671" s="1823">
        <f t="shared" si="308"/>
        <v>0</v>
      </c>
      <c r="Q1671" s="1053"/>
      <c r="R1671" s="1053"/>
      <c r="S1671" s="1053"/>
      <c r="T1671" s="2035">
        <f t="shared" si="311"/>
        <v>0</v>
      </c>
    </row>
    <row r="1672" spans="1:20" ht="22.2" hidden="1" customHeight="1">
      <c r="A1672" s="59"/>
      <c r="B1672" s="1577" t="s">
        <v>1271</v>
      </c>
      <c r="C1672" s="1013" t="str">
        <f t="shared" si="312"/>
        <v xml:space="preserve"> </v>
      </c>
      <c r="D1672" s="1535">
        <f>D1667</f>
        <v>0</v>
      </c>
      <c r="E1672" s="1044"/>
      <c r="F1672" s="1056" t="str">
        <f>VLOOKUP($B1672,DG!A:D,DG!$C$2,)</f>
        <v>Boulon mắt 16x300+ 2 long đền vuông D18-50x50x3/Zn</v>
      </c>
      <c r="G1672" s="1044" t="str">
        <f>VLOOKUP($B1672,DG!A:D,DG!$D$2,)</f>
        <v>bộ</v>
      </c>
      <c r="H1672" s="1823">
        <f t="shared" si="313"/>
        <v>0</v>
      </c>
      <c r="I1672" s="1823">
        <f t="shared" si="314"/>
        <v>0</v>
      </c>
      <c r="J1672" s="1823"/>
      <c r="K1672" s="1823"/>
      <c r="L1672" s="1823"/>
      <c r="M1672" s="1823"/>
      <c r="N1672" s="1823"/>
      <c r="O1672" s="1823"/>
      <c r="P1672" s="1823">
        <f t="shared" si="308"/>
        <v>0</v>
      </c>
      <c r="Q1672" s="1053"/>
      <c r="R1672" s="1053"/>
      <c r="S1672" s="1053"/>
      <c r="T1672" s="2035">
        <f t="shared" si="311"/>
        <v>0</v>
      </c>
    </row>
    <row r="1673" spans="1:20" ht="22.2" hidden="1" customHeight="1">
      <c r="A1673" s="59"/>
      <c r="B1673" s="1596" t="s">
        <v>2535</v>
      </c>
      <c r="C1673" s="1013" t="str">
        <f t="shared" si="312"/>
        <v xml:space="preserve"> </v>
      </c>
      <c r="D1673" s="1548"/>
      <c r="E1673" s="1404"/>
      <c r="F1673" s="1062" t="s">
        <v>2536</v>
      </c>
      <c r="G1673" s="1063" t="s">
        <v>2518</v>
      </c>
      <c r="H1673" s="1823">
        <f t="shared" si="313"/>
        <v>0</v>
      </c>
      <c r="I1673" s="1823">
        <f t="shared" si="314"/>
        <v>0</v>
      </c>
      <c r="J1673" s="1823"/>
      <c r="K1673" s="1823"/>
      <c r="L1673" s="1823"/>
      <c r="M1673" s="1823"/>
      <c r="N1673" s="1823"/>
      <c r="O1673" s="1823"/>
      <c r="P1673" s="1823">
        <f t="shared" si="308"/>
        <v>0</v>
      </c>
      <c r="Q1673" s="1053"/>
      <c r="R1673" s="1053"/>
      <c r="S1673" s="1053"/>
      <c r="T1673" s="2035">
        <f t="shared" si="311"/>
        <v>0</v>
      </c>
    </row>
    <row r="1674" spans="1:20" ht="22.2" hidden="1" customHeight="1">
      <c r="A1674" s="59"/>
      <c r="B1674" s="1577" t="s">
        <v>112</v>
      </c>
      <c r="C1674" s="1013" t="str">
        <f t="shared" si="312"/>
        <v xml:space="preserve"> </v>
      </c>
      <c r="D1674" s="1535">
        <f>D1673*2</f>
        <v>0</v>
      </c>
      <c r="E1674" s="1044"/>
      <c r="F1674" s="1056" t="str">
        <f>VLOOKUP($B1674,DG!A:D,DG!$C$2,)</f>
        <v>Sứ treo loại 70kN</v>
      </c>
      <c r="G1674" s="1044" t="str">
        <f>VLOOKUP($B1674,DG!A:D,DG!$D$2,)</f>
        <v>bát</v>
      </c>
      <c r="H1674" s="1823">
        <f t="shared" si="313"/>
        <v>0</v>
      </c>
      <c r="I1674" s="1823">
        <f t="shared" si="314"/>
        <v>0</v>
      </c>
      <c r="J1674" s="1823"/>
      <c r="K1674" s="1823"/>
      <c r="L1674" s="1823"/>
      <c r="M1674" s="1823"/>
      <c r="N1674" s="1823"/>
      <c r="O1674" s="1823"/>
      <c r="P1674" s="1823">
        <f t="shared" si="308"/>
        <v>0</v>
      </c>
      <c r="Q1674" s="1053"/>
      <c r="R1674" s="1053"/>
      <c r="S1674" s="1053"/>
      <c r="T1674" s="2035">
        <f t="shared" si="311"/>
        <v>0</v>
      </c>
    </row>
    <row r="1675" spans="1:20" ht="22.2" hidden="1" customHeight="1">
      <c r="A1675" s="59"/>
      <c r="B1675" s="1577" t="s">
        <v>1489</v>
      </c>
      <c r="C1675" s="1013" t="str">
        <f t="shared" si="312"/>
        <v xml:space="preserve"> </v>
      </c>
      <c r="D1675" s="1535">
        <f>D1673*2</f>
        <v>0</v>
      </c>
      <c r="E1675" s="1044"/>
      <c r="F1675" s="1056" t="str">
        <f>VLOOKUP($B1675,DG!A:D,DG!$C$2,)</f>
        <v xml:space="preserve">Móc treo chữ U </v>
      </c>
      <c r="G1675" s="1044" t="str">
        <f>VLOOKUP($B1675,DG!A:D,DG!$D$2,)</f>
        <v>cái</v>
      </c>
      <c r="H1675" s="1823">
        <f t="shared" si="313"/>
        <v>0</v>
      </c>
      <c r="I1675" s="1823">
        <f t="shared" si="314"/>
        <v>0</v>
      </c>
      <c r="J1675" s="1823"/>
      <c r="K1675" s="1823"/>
      <c r="L1675" s="1823"/>
      <c r="M1675" s="1823"/>
      <c r="N1675" s="1823"/>
      <c r="O1675" s="1823"/>
      <c r="P1675" s="1823">
        <f t="shared" si="308"/>
        <v>0</v>
      </c>
      <c r="Q1675" s="1053"/>
      <c r="R1675" s="1053"/>
      <c r="S1675" s="1053"/>
      <c r="T1675" s="2035">
        <f t="shared" si="311"/>
        <v>0</v>
      </c>
    </row>
    <row r="1676" spans="1:20" ht="22.2" hidden="1" customHeight="1">
      <c r="A1676" s="59"/>
      <c r="B1676" s="1596" t="s">
        <v>2519</v>
      </c>
      <c r="C1676" s="1013" t="str">
        <f t="shared" si="312"/>
        <v xml:space="preserve"> </v>
      </c>
      <c r="D1676" s="1548">
        <f>'pp3p2m '!CQ82</f>
        <v>0</v>
      </c>
      <c r="E1676" s="1044"/>
      <c r="F1676" s="1062" t="s">
        <v>2537</v>
      </c>
      <c r="G1676" s="1063" t="s">
        <v>2518</v>
      </c>
      <c r="H1676" s="1823">
        <f t="shared" si="313"/>
        <v>0</v>
      </c>
      <c r="I1676" s="1823">
        <f t="shared" si="314"/>
        <v>0</v>
      </c>
      <c r="J1676" s="1823"/>
      <c r="K1676" s="1823"/>
      <c r="L1676" s="1823"/>
      <c r="M1676" s="1823"/>
      <c r="N1676" s="1823"/>
      <c r="O1676" s="1823"/>
      <c r="P1676" s="1823">
        <f t="shared" si="308"/>
        <v>0</v>
      </c>
      <c r="Q1676" s="1053"/>
      <c r="R1676" s="1053"/>
      <c r="S1676" s="1053"/>
      <c r="T1676" s="2035">
        <f t="shared" si="311"/>
        <v>0</v>
      </c>
    </row>
    <row r="1677" spans="1:20" ht="22.2" hidden="1" customHeight="1">
      <c r="A1677" s="59"/>
      <c r="B1677" s="1577" t="s">
        <v>1509</v>
      </c>
      <c r="C1677" s="1013" t="str">
        <f t="shared" si="312"/>
        <v xml:space="preserve"> </v>
      </c>
      <c r="D1677" s="1535">
        <f>D1676</f>
        <v>0</v>
      </c>
      <c r="E1677" s="1044"/>
      <c r="F1677" s="1056" t="str">
        <f>VLOOKUP($B1677,DG!A:D,DG!$C$2,)</f>
        <v>Sứ treo polymer</v>
      </c>
      <c r="G1677" s="1044" t="str">
        <f>VLOOKUP($B1677,DG!A:D,DG!$D$2,)</f>
        <v>chuỗi</v>
      </c>
      <c r="H1677" s="1823">
        <f t="shared" si="313"/>
        <v>0</v>
      </c>
      <c r="I1677" s="1823">
        <f t="shared" si="314"/>
        <v>0</v>
      </c>
      <c r="J1677" s="1823"/>
      <c r="K1677" s="1823"/>
      <c r="L1677" s="1823"/>
      <c r="M1677" s="1823"/>
      <c r="N1677" s="1823"/>
      <c r="O1677" s="1823"/>
      <c r="P1677" s="1823">
        <f t="shared" si="308"/>
        <v>0</v>
      </c>
      <c r="Q1677" s="1053"/>
      <c r="R1677" s="1053"/>
      <c r="S1677" s="1053"/>
      <c r="T1677" s="2035">
        <f t="shared" si="311"/>
        <v>0</v>
      </c>
    </row>
    <row r="1678" spans="1:20" ht="22.2" hidden="1" customHeight="1">
      <c r="A1678" s="59"/>
      <c r="B1678" s="1577" t="s">
        <v>1489</v>
      </c>
      <c r="C1678" s="1013" t="str">
        <f t="shared" si="312"/>
        <v xml:space="preserve"> </v>
      </c>
      <c r="D1678" s="1535">
        <f>D1676*2</f>
        <v>0</v>
      </c>
      <c r="E1678" s="1044"/>
      <c r="F1678" s="1056" t="str">
        <f>VLOOKUP($B1678,DG!A:D,DG!$C$2,)</f>
        <v xml:space="preserve">Móc treo chữ U </v>
      </c>
      <c r="G1678" s="1044" t="str">
        <f>VLOOKUP($B1678,DG!A:D,DG!$D$2,)</f>
        <v>cái</v>
      </c>
      <c r="H1678" s="1823">
        <f t="shared" si="313"/>
        <v>0</v>
      </c>
      <c r="I1678" s="1823">
        <f t="shared" si="314"/>
        <v>0</v>
      </c>
      <c r="J1678" s="1823"/>
      <c r="K1678" s="1823"/>
      <c r="L1678" s="1823"/>
      <c r="M1678" s="1823"/>
      <c r="N1678" s="1823"/>
      <c r="O1678" s="1823"/>
      <c r="P1678" s="1823">
        <f t="shared" si="308"/>
        <v>0</v>
      </c>
      <c r="Q1678" s="1053"/>
      <c r="R1678" s="1053"/>
      <c r="S1678" s="1053"/>
      <c r="T1678" s="2035">
        <f t="shared" si="311"/>
        <v>0</v>
      </c>
    </row>
    <row r="1679" spans="1:20" ht="22.2" hidden="1" customHeight="1">
      <c r="A1679" s="59"/>
      <c r="B1679" s="1577" t="s">
        <v>1572</v>
      </c>
      <c r="C1679" s="1013" t="str">
        <f t="shared" si="312"/>
        <v xml:space="preserve"> </v>
      </c>
      <c r="D1679" s="1535">
        <f>D1676</f>
        <v>0</v>
      </c>
      <c r="E1679" s="1044"/>
      <c r="F1679" s="1056" t="str">
        <f>VLOOKUP($B1679,DG!A:D,DG!$C$2,)</f>
        <v>Vòng treo đầu tròn</v>
      </c>
      <c r="G1679" s="1044" t="str">
        <f>VLOOKUP($B1679,DG!A:D,DG!$D$2,)</f>
        <v>cái</v>
      </c>
      <c r="H1679" s="1823">
        <f t="shared" si="313"/>
        <v>0</v>
      </c>
      <c r="I1679" s="1823">
        <f t="shared" si="314"/>
        <v>0</v>
      </c>
      <c r="J1679" s="1823"/>
      <c r="K1679" s="1823"/>
      <c r="L1679" s="1823"/>
      <c r="M1679" s="1823"/>
      <c r="N1679" s="1823"/>
      <c r="O1679" s="1823"/>
      <c r="P1679" s="1823">
        <f t="shared" si="308"/>
        <v>0</v>
      </c>
      <c r="Q1679" s="1053"/>
      <c r="R1679" s="1053"/>
      <c r="S1679" s="1053"/>
      <c r="T1679" s="2035">
        <f t="shared" si="311"/>
        <v>0</v>
      </c>
    </row>
    <row r="1680" spans="1:20" ht="22.2" hidden="1" customHeight="1">
      <c r="A1680" s="59"/>
      <c r="B1680" s="1577" t="s">
        <v>1487</v>
      </c>
      <c r="C1680" s="1013" t="str">
        <f t="shared" si="312"/>
        <v xml:space="preserve"> </v>
      </c>
      <c r="D1680" s="1535">
        <f>D1676</f>
        <v>0</v>
      </c>
      <c r="E1680" s="1044"/>
      <c r="F1680" s="1056" t="str">
        <f>VLOOKUP($B1680,DG!A:D,DG!$C$2,)</f>
        <v>Mắt nối đơn</v>
      </c>
      <c r="G1680" s="1044" t="str">
        <f>VLOOKUP($B1680,DG!A:D,DG!$D$2,)</f>
        <v>cái</v>
      </c>
      <c r="H1680" s="1823">
        <f t="shared" si="313"/>
        <v>0</v>
      </c>
      <c r="I1680" s="1823">
        <f t="shared" si="314"/>
        <v>0</v>
      </c>
      <c r="J1680" s="1823"/>
      <c r="K1680" s="1823"/>
      <c r="L1680" s="1823"/>
      <c r="M1680" s="1823"/>
      <c r="N1680" s="1823"/>
      <c r="O1680" s="1823"/>
      <c r="P1680" s="1823">
        <f t="shared" si="308"/>
        <v>0</v>
      </c>
      <c r="Q1680" s="1053"/>
      <c r="R1680" s="1053"/>
      <c r="S1680" s="1053"/>
      <c r="T1680" s="2035">
        <f t="shared" si="311"/>
        <v>0</v>
      </c>
    </row>
    <row r="1681" spans="1:20" ht="22.2" hidden="1" customHeight="1">
      <c r="A1681" s="59"/>
      <c r="B1681" s="1601" t="s">
        <v>544</v>
      </c>
      <c r="C1681" s="1013" t="str">
        <f t="shared" si="312"/>
        <v xml:space="preserve"> </v>
      </c>
      <c r="D1681" s="1535">
        <f>'pp3p2m '!EB82</f>
        <v>0</v>
      </c>
      <c r="E1681" s="1044"/>
      <c r="F1681" s="1056" t="str">
        <f>VLOOKUP($B1681,DG!A:D,DG!$C$2,)</f>
        <v>Giáp níu dừng dây bọc ACX50</v>
      </c>
      <c r="G1681" s="1044" t="str">
        <f>VLOOKUP($B1681,DG!A:D,DG!$D$2,)</f>
        <v>cái</v>
      </c>
      <c r="H1681" s="1823">
        <f t="shared" si="313"/>
        <v>0</v>
      </c>
      <c r="I1681" s="1823">
        <f t="shared" si="314"/>
        <v>0</v>
      </c>
      <c r="J1681" s="1823"/>
      <c r="K1681" s="1823"/>
      <c r="L1681" s="1823"/>
      <c r="M1681" s="1823"/>
      <c r="N1681" s="1823"/>
      <c r="O1681" s="1823"/>
      <c r="P1681" s="1823">
        <f t="shared" si="308"/>
        <v>0</v>
      </c>
      <c r="Q1681" s="1053"/>
      <c r="R1681" s="1053"/>
      <c r="S1681" s="1053"/>
      <c r="T1681" s="2035">
        <f t="shared" si="311"/>
        <v>0</v>
      </c>
    </row>
    <row r="1682" spans="1:20" ht="22.2" hidden="1" customHeight="1">
      <c r="A1682" s="59"/>
      <c r="B1682" s="1584" t="s">
        <v>1144</v>
      </c>
      <c r="C1682" s="1013" t="str">
        <f t="shared" si="312"/>
        <v xml:space="preserve"> </v>
      </c>
      <c r="D1682" s="1548">
        <f>HLOOKUP(B1682,'pp3p2m '!$EE$81:$EK$82,2,)</f>
        <v>0</v>
      </c>
      <c r="E1682" s="1044"/>
      <c r="F1682" s="1056" t="str">
        <f>VLOOKUP($B1682,DG!A:D,DG!$C$2,)</f>
        <v>Khóa đỡ dây cỡ dây 240</v>
      </c>
      <c r="G1682" s="1044" t="str">
        <f>VLOOKUP($B1682,DG!A:D,DG!$D$2,)</f>
        <v>cái</v>
      </c>
      <c r="H1682" s="1823">
        <f t="shared" si="313"/>
        <v>0</v>
      </c>
      <c r="I1682" s="1823">
        <f t="shared" si="314"/>
        <v>0</v>
      </c>
      <c r="J1682" s="1823"/>
      <c r="K1682" s="1823"/>
      <c r="L1682" s="1823"/>
      <c r="M1682" s="1823"/>
      <c r="N1682" s="1823"/>
      <c r="O1682" s="1823"/>
      <c r="P1682" s="1823">
        <f t="shared" si="308"/>
        <v>0</v>
      </c>
      <c r="Q1682" s="1053"/>
      <c r="R1682" s="1053"/>
      <c r="S1682" s="1053"/>
      <c r="T1682" s="2035">
        <f t="shared" si="311"/>
        <v>0</v>
      </c>
    </row>
    <row r="1683" spans="1:20" ht="22.2" hidden="1" customHeight="1">
      <c r="A1683" s="59"/>
      <c r="B1683" s="1584" t="s">
        <v>1143</v>
      </c>
      <c r="C1683" s="1013" t="str">
        <f t="shared" si="312"/>
        <v xml:space="preserve"> </v>
      </c>
      <c r="D1683" s="1548">
        <f>HLOOKUP(B1683,'pp3p2m '!$EE$81:$EK$82,2,)</f>
        <v>0</v>
      </c>
      <c r="E1683" s="1044"/>
      <c r="F1683" s="1056" t="str">
        <f>VLOOKUP($B1683,DG!A:D,DG!$C$2,)</f>
        <v>Khóa đỡ dây cỡ dây 185</v>
      </c>
      <c r="G1683" s="1044" t="str">
        <f>VLOOKUP($B1683,DG!A:D,DG!$D$2,)</f>
        <v>cái</v>
      </c>
      <c r="H1683" s="1823">
        <f t="shared" si="313"/>
        <v>0</v>
      </c>
      <c r="I1683" s="1823">
        <f t="shared" si="314"/>
        <v>0</v>
      </c>
      <c r="J1683" s="1823"/>
      <c r="K1683" s="1823"/>
      <c r="L1683" s="1823"/>
      <c r="M1683" s="1823"/>
      <c r="N1683" s="1823"/>
      <c r="O1683" s="1823"/>
      <c r="P1683" s="1823">
        <f t="shared" si="308"/>
        <v>0</v>
      </c>
      <c r="Q1683" s="1053"/>
      <c r="R1683" s="1053"/>
      <c r="S1683" s="1053"/>
      <c r="T1683" s="2035">
        <f t="shared" si="311"/>
        <v>0</v>
      </c>
    </row>
    <row r="1684" spans="1:20" ht="22.2" hidden="1" customHeight="1">
      <c r="A1684" s="59"/>
      <c r="B1684" s="1584" t="s">
        <v>1142</v>
      </c>
      <c r="C1684" s="1013" t="str">
        <f t="shared" si="312"/>
        <v xml:space="preserve"> </v>
      </c>
      <c r="D1684" s="1548">
        <f>HLOOKUP(B1684,'pp3p2m '!$EE$81:$EK$82,2,)</f>
        <v>0</v>
      </c>
      <c r="E1684" s="1044"/>
      <c r="F1684" s="1056" t="str">
        <f>VLOOKUP($B1684,DG!A:D,DG!$C$2,)</f>
        <v>Khóa đỡ dây cỡ dây 150</v>
      </c>
      <c r="G1684" s="1044" t="str">
        <f>VLOOKUP($B1684,DG!A:D,DG!$D$2,)</f>
        <v>cái</v>
      </c>
      <c r="H1684" s="1823">
        <f t="shared" si="313"/>
        <v>0</v>
      </c>
      <c r="I1684" s="1823">
        <f t="shared" si="314"/>
        <v>0</v>
      </c>
      <c r="J1684" s="1823"/>
      <c r="K1684" s="1823"/>
      <c r="L1684" s="1823"/>
      <c r="M1684" s="1823"/>
      <c r="N1684" s="1823"/>
      <c r="O1684" s="1823"/>
      <c r="P1684" s="1823">
        <f t="shared" si="308"/>
        <v>0</v>
      </c>
      <c r="Q1684" s="1053"/>
      <c r="R1684" s="1053"/>
      <c r="S1684" s="1053"/>
      <c r="T1684" s="2035">
        <f t="shared" si="311"/>
        <v>0</v>
      </c>
    </row>
    <row r="1685" spans="1:20" ht="22.2" hidden="1" customHeight="1">
      <c r="A1685" s="59"/>
      <c r="B1685" s="1584" t="s">
        <v>1141</v>
      </c>
      <c r="C1685" s="1013" t="str">
        <f t="shared" si="312"/>
        <v xml:space="preserve"> </v>
      </c>
      <c r="D1685" s="1548">
        <f>HLOOKUP(B1685,'pp3p2m '!$EE$81:$EK$82,2,)</f>
        <v>0</v>
      </c>
      <c r="E1685" s="1044"/>
      <c r="F1685" s="1056" t="str">
        <f>VLOOKUP($B1685,DG!A:D,DG!$C$2,)</f>
        <v>Khóa đỡ dây cỡ dây 120</v>
      </c>
      <c r="G1685" s="1044" t="str">
        <f>VLOOKUP($B1685,DG!A:D,DG!$D$2,)</f>
        <v>cái</v>
      </c>
      <c r="H1685" s="1823">
        <f t="shared" si="313"/>
        <v>0</v>
      </c>
      <c r="I1685" s="1823">
        <f t="shared" si="314"/>
        <v>0</v>
      </c>
      <c r="J1685" s="1823"/>
      <c r="K1685" s="1823"/>
      <c r="L1685" s="1823"/>
      <c r="M1685" s="1823"/>
      <c r="N1685" s="1823"/>
      <c r="O1685" s="1823"/>
      <c r="P1685" s="1823">
        <f t="shared" si="308"/>
        <v>0</v>
      </c>
      <c r="Q1685" s="1053"/>
      <c r="R1685" s="1053"/>
      <c r="S1685" s="1053"/>
      <c r="T1685" s="2035">
        <f t="shared" si="311"/>
        <v>0</v>
      </c>
    </row>
    <row r="1686" spans="1:20" ht="22.2" hidden="1" customHeight="1">
      <c r="A1686" s="59"/>
      <c r="B1686" s="1584" t="s">
        <v>101</v>
      </c>
      <c r="C1686" s="1013" t="str">
        <f t="shared" si="312"/>
        <v xml:space="preserve"> </v>
      </c>
      <c r="D1686" s="1548">
        <f>HLOOKUP(B1686,'pp3p2m '!$EE$81:$EK$82,2,)</f>
        <v>0</v>
      </c>
      <c r="E1686" s="1044"/>
      <c r="F1686" s="1056" t="str">
        <f>VLOOKUP($B1686,DG!A:D,DG!$C$2,)</f>
        <v>Khóa đỡ dây cỡ dây 95</v>
      </c>
      <c r="G1686" s="1044" t="str">
        <f>VLOOKUP($B1686,DG!A:D,DG!$D$2,)</f>
        <v>cái</v>
      </c>
      <c r="H1686" s="1823">
        <f t="shared" si="313"/>
        <v>0</v>
      </c>
      <c r="I1686" s="1823">
        <f t="shared" si="314"/>
        <v>0</v>
      </c>
      <c r="J1686" s="1823"/>
      <c r="K1686" s="1823"/>
      <c r="L1686" s="1823"/>
      <c r="M1686" s="1823"/>
      <c r="N1686" s="1823"/>
      <c r="O1686" s="1823"/>
      <c r="P1686" s="1823">
        <f t="shared" ref="P1686:P1752" si="315">H1686+Q1686-R1686</f>
        <v>0</v>
      </c>
      <c r="Q1686" s="1053"/>
      <c r="R1686" s="1053"/>
      <c r="S1686" s="1053"/>
      <c r="T1686" s="2035">
        <f t="shared" si="311"/>
        <v>0</v>
      </c>
    </row>
    <row r="1687" spans="1:20" ht="22.2" hidden="1" customHeight="1">
      <c r="A1687" s="59"/>
      <c r="B1687" s="1584" t="s">
        <v>1484</v>
      </c>
      <c r="C1687" s="1013" t="str">
        <f t="shared" si="312"/>
        <v xml:space="preserve"> </v>
      </c>
      <c r="D1687" s="1548">
        <f>HLOOKUP(B1687,'pp3p2m '!$EE$81:$EK$82,2,)</f>
        <v>0</v>
      </c>
      <c r="E1687" s="1044"/>
      <c r="F1687" s="1056" t="str">
        <f>VLOOKUP($B1687,DG!A:D,DG!$C$2,)</f>
        <v>Khóa đỡ dây cỡ dây 70</v>
      </c>
      <c r="G1687" s="1044" t="str">
        <f>VLOOKUP($B1687,DG!A:D,DG!$D$2,)</f>
        <v>cái</v>
      </c>
      <c r="H1687" s="1823">
        <f t="shared" si="313"/>
        <v>0</v>
      </c>
      <c r="I1687" s="1823">
        <f t="shared" si="314"/>
        <v>0</v>
      </c>
      <c r="J1687" s="1823"/>
      <c r="K1687" s="1823"/>
      <c r="L1687" s="1823"/>
      <c r="M1687" s="1823"/>
      <c r="N1687" s="1823"/>
      <c r="O1687" s="1823"/>
      <c r="P1687" s="1823">
        <f t="shared" si="315"/>
        <v>0</v>
      </c>
      <c r="Q1687" s="1053"/>
      <c r="R1687" s="1053"/>
      <c r="S1687" s="1053"/>
      <c r="T1687" s="2035">
        <f t="shared" si="311"/>
        <v>0</v>
      </c>
    </row>
    <row r="1688" spans="1:20" ht="22.2" hidden="1" customHeight="1">
      <c r="A1688" s="59"/>
      <c r="B1688" s="1584" t="s">
        <v>1175</v>
      </c>
      <c r="C1688" s="1013" t="str">
        <f t="shared" si="312"/>
        <v xml:space="preserve"> </v>
      </c>
      <c r="D1688" s="1548">
        <f>HLOOKUP(B1688,'pp3p2m '!$EE$81:$EK$82,2,)</f>
        <v>0</v>
      </c>
      <c r="E1688" s="1044"/>
      <c r="F1688" s="1056" t="str">
        <f>VLOOKUP($B1688,DG!A:D,DG!$C$2,)</f>
        <v>Khóa đỡ dây cỡ dây 50</v>
      </c>
      <c r="G1688" s="1044" t="str">
        <f>VLOOKUP($B1688,DG!A:D,DG!$D$2,)</f>
        <v>cái</v>
      </c>
      <c r="H1688" s="1823">
        <f t="shared" si="313"/>
        <v>0</v>
      </c>
      <c r="I1688" s="1823">
        <f t="shared" si="314"/>
        <v>0</v>
      </c>
      <c r="J1688" s="1823"/>
      <c r="K1688" s="1823"/>
      <c r="L1688" s="1823"/>
      <c r="M1688" s="1823"/>
      <c r="N1688" s="1823"/>
      <c r="O1688" s="1823"/>
      <c r="P1688" s="1823">
        <f t="shared" si="315"/>
        <v>0</v>
      </c>
      <c r="Q1688" s="1053"/>
      <c r="R1688" s="1053"/>
      <c r="S1688" s="1053"/>
      <c r="T1688" s="2035">
        <f t="shared" si="311"/>
        <v>0</v>
      </c>
    </row>
    <row r="1689" spans="1:20" ht="22.2" hidden="1" customHeight="1">
      <c r="A1689" s="59"/>
      <c r="B1689" s="1584" t="s">
        <v>1745</v>
      </c>
      <c r="C1689" s="1013" t="str">
        <f t="shared" si="312"/>
        <v xml:space="preserve"> </v>
      </c>
      <c r="D1689" s="1535">
        <f>'pp3p2m '!CT82</f>
        <v>0</v>
      </c>
      <c r="E1689" s="1044"/>
      <c r="F1689" s="1056" t="str">
        <f>VLOOKUP($B1689,DG!A:D,DG!$C$2,)</f>
        <v>Khóa néo dây cỡ dây 240</v>
      </c>
      <c r="G1689" s="1044" t="str">
        <f>VLOOKUP($B1689,DG!A:D,DG!$D$2,)</f>
        <v>cái</v>
      </c>
      <c r="H1689" s="1823">
        <f t="shared" si="313"/>
        <v>0</v>
      </c>
      <c r="I1689" s="1823">
        <f t="shared" si="314"/>
        <v>0</v>
      </c>
      <c r="J1689" s="1823"/>
      <c r="K1689" s="1823"/>
      <c r="L1689" s="1823"/>
      <c r="M1689" s="1823"/>
      <c r="N1689" s="1823"/>
      <c r="O1689" s="1823"/>
      <c r="P1689" s="1823">
        <f t="shared" si="315"/>
        <v>0</v>
      </c>
      <c r="Q1689" s="1053"/>
      <c r="R1689" s="1053"/>
      <c r="S1689" s="1053"/>
      <c r="T1689" s="2035">
        <f t="shared" si="311"/>
        <v>0</v>
      </c>
    </row>
    <row r="1690" spans="1:20" ht="22.2" hidden="1" customHeight="1">
      <c r="A1690" s="59"/>
      <c r="B1690" s="1584" t="s">
        <v>1746</v>
      </c>
      <c r="C1690" s="1013" t="str">
        <f t="shared" si="312"/>
        <v xml:space="preserve"> </v>
      </c>
      <c r="D1690" s="1535">
        <f>+D1667+D1673-D1682</f>
        <v>0</v>
      </c>
      <c r="E1690" s="1044"/>
      <c r="F1690" s="1056" t="str">
        <f>VLOOKUP($B1690,DG!A:D,DG!$C$2,)</f>
        <v>Khóa néo dây cỡ dây 185</v>
      </c>
      <c r="G1690" s="1044" t="str">
        <f>VLOOKUP($B1690,DG!A:D,DG!$D$2,)</f>
        <v>cái</v>
      </c>
      <c r="H1690" s="1823">
        <f t="shared" si="313"/>
        <v>0</v>
      </c>
      <c r="I1690" s="1823">
        <f t="shared" si="314"/>
        <v>0</v>
      </c>
      <c r="J1690" s="1823"/>
      <c r="K1690" s="1823"/>
      <c r="L1690" s="1823"/>
      <c r="M1690" s="1823"/>
      <c r="N1690" s="1823"/>
      <c r="O1690" s="1823"/>
      <c r="P1690" s="1823">
        <f t="shared" si="315"/>
        <v>0</v>
      </c>
      <c r="Q1690" s="1053"/>
      <c r="R1690" s="1053"/>
      <c r="S1690" s="1053"/>
      <c r="T1690" s="2035">
        <f t="shared" si="311"/>
        <v>0</v>
      </c>
    </row>
    <row r="1691" spans="1:20" ht="22.2" hidden="1" customHeight="1">
      <c r="A1691" s="59"/>
      <c r="B1691" s="1584" t="s">
        <v>2115</v>
      </c>
      <c r="C1691" s="1013" t="str">
        <f t="shared" si="312"/>
        <v xml:space="preserve"> </v>
      </c>
      <c r="D1691" s="1535">
        <f>'pp3p2m '!CS82</f>
        <v>0</v>
      </c>
      <c r="E1691" s="1044"/>
      <c r="F1691" s="1056" t="str">
        <f>VLOOKUP($B1691,DG!A:D,DG!$C$2,)</f>
        <v>Khóa néo dây cỡ dây 150</v>
      </c>
      <c r="G1691" s="1044" t="str">
        <f>VLOOKUP($B1691,DG!A:D,DG!$D$2,)</f>
        <v>cái</v>
      </c>
      <c r="H1691" s="1823">
        <f t="shared" si="313"/>
        <v>0</v>
      </c>
      <c r="I1691" s="1823">
        <f t="shared" si="314"/>
        <v>0</v>
      </c>
      <c r="J1691" s="1823"/>
      <c r="K1691" s="1823"/>
      <c r="L1691" s="1823"/>
      <c r="M1691" s="1823"/>
      <c r="N1691" s="1823"/>
      <c r="O1691" s="1823"/>
      <c r="P1691" s="1823">
        <f t="shared" si="315"/>
        <v>0</v>
      </c>
      <c r="Q1691" s="1053"/>
      <c r="R1691" s="1053"/>
      <c r="S1691" s="1053"/>
      <c r="T1691" s="2035">
        <f t="shared" si="311"/>
        <v>0</v>
      </c>
    </row>
    <row r="1692" spans="1:20" ht="22.2" hidden="1" customHeight="1">
      <c r="A1692" s="59"/>
      <c r="B1692" s="1584" t="s">
        <v>431</v>
      </c>
      <c r="C1692" s="1013" t="str">
        <f t="shared" si="312"/>
        <v xml:space="preserve"> </v>
      </c>
      <c r="D1692" s="1535"/>
      <c r="E1692" s="1044"/>
      <c r="F1692" s="1056" t="str">
        <f>VLOOKUP($B1692,DG!A:D,DG!$C$2,)</f>
        <v>Khóa néo dây cỡ dây 120</v>
      </c>
      <c r="G1692" s="1044" t="str">
        <f>VLOOKUP($B1692,DG!A:D,DG!$D$2,)</f>
        <v>cái</v>
      </c>
      <c r="H1692" s="1823">
        <f t="shared" si="313"/>
        <v>0</v>
      </c>
      <c r="I1692" s="1823">
        <f t="shared" si="314"/>
        <v>0</v>
      </c>
      <c r="J1692" s="1823"/>
      <c r="K1692" s="1823"/>
      <c r="L1692" s="1823"/>
      <c r="M1692" s="1823"/>
      <c r="N1692" s="1823"/>
      <c r="O1692" s="1823"/>
      <c r="P1692" s="1823">
        <f t="shared" si="315"/>
        <v>0</v>
      </c>
      <c r="Q1692" s="1053"/>
      <c r="R1692" s="1053"/>
      <c r="S1692" s="1053"/>
      <c r="T1692" s="2035">
        <f t="shared" si="311"/>
        <v>0</v>
      </c>
    </row>
    <row r="1693" spans="1:20" ht="22.2" hidden="1" customHeight="1">
      <c r="A1693" s="59"/>
      <c r="B1693" s="1584" t="s">
        <v>1260</v>
      </c>
      <c r="C1693" s="1013" t="str">
        <f t="shared" si="312"/>
        <v xml:space="preserve"> </v>
      </c>
      <c r="D1693" s="1535"/>
      <c r="E1693" s="1044"/>
      <c r="F1693" s="1056" t="str">
        <f>VLOOKUP($B1693,DG!A:D,DG!$C$2,)</f>
        <v>Khóa néo dây cỡ dây 95</v>
      </c>
      <c r="G1693" s="1044" t="str">
        <f>VLOOKUP($B1693,DG!A:D,DG!$D$2,)</f>
        <v>cái</v>
      </c>
      <c r="H1693" s="1823">
        <f t="shared" si="313"/>
        <v>0</v>
      </c>
      <c r="I1693" s="1823">
        <f t="shared" si="314"/>
        <v>0</v>
      </c>
      <c r="J1693" s="1823"/>
      <c r="K1693" s="1823"/>
      <c r="L1693" s="1823"/>
      <c r="M1693" s="1823"/>
      <c r="N1693" s="1823"/>
      <c r="O1693" s="1823"/>
      <c r="P1693" s="1823">
        <f t="shared" si="315"/>
        <v>0</v>
      </c>
      <c r="Q1693" s="1053"/>
      <c r="R1693" s="1053"/>
      <c r="S1693" s="1053"/>
      <c r="T1693" s="2035">
        <f t="shared" si="311"/>
        <v>0</v>
      </c>
    </row>
    <row r="1694" spans="1:20" ht="22.2" hidden="1" customHeight="1">
      <c r="A1694" s="59"/>
      <c r="B1694" s="1584" t="s">
        <v>2237</v>
      </c>
      <c r="C1694" s="1013" t="str">
        <f t="shared" si="312"/>
        <v xml:space="preserve"> </v>
      </c>
      <c r="D1694" s="1535"/>
      <c r="E1694" s="1044"/>
      <c r="F1694" s="1056" t="str">
        <f>VLOOKUP($B1694,DG!A:D,DG!$C$2,)</f>
        <v>Khóa néo dây cỡ dây 70</v>
      </c>
      <c r="G1694" s="1044" t="str">
        <f>VLOOKUP($B1694,DG!A:D,DG!$D$2,)</f>
        <v>cái</v>
      </c>
      <c r="H1694" s="1823">
        <f t="shared" si="313"/>
        <v>0</v>
      </c>
      <c r="I1694" s="1823">
        <f t="shared" si="314"/>
        <v>0</v>
      </c>
      <c r="J1694" s="1823"/>
      <c r="K1694" s="1823"/>
      <c r="L1694" s="1823"/>
      <c r="M1694" s="1823"/>
      <c r="N1694" s="1823"/>
      <c r="O1694" s="1823"/>
      <c r="P1694" s="1823">
        <f t="shared" si="315"/>
        <v>0</v>
      </c>
      <c r="Q1694" s="1053"/>
      <c r="R1694" s="1053"/>
      <c r="S1694" s="1053"/>
      <c r="T1694" s="2035">
        <f t="shared" si="311"/>
        <v>0</v>
      </c>
    </row>
    <row r="1695" spans="1:20" ht="22.2" hidden="1" customHeight="1">
      <c r="A1695" s="59"/>
      <c r="B1695" s="1584" t="s">
        <v>1485</v>
      </c>
      <c r="C1695" s="1013" t="str">
        <f t="shared" si="312"/>
        <v xml:space="preserve"> </v>
      </c>
      <c r="D1695" s="1535"/>
      <c r="E1695" s="1044"/>
      <c r="F1695" s="1056" t="str">
        <f>VLOOKUP($B1695,DG!A:D,DG!$C$2,)</f>
        <v>Khóa néo dây cỡ dây 50</v>
      </c>
      <c r="G1695" s="1044" t="str">
        <f>VLOOKUP($B1695,DG!A:D,DG!$D$2,)</f>
        <v>cái</v>
      </c>
      <c r="H1695" s="1823">
        <f t="shared" ref="H1695:H1702" si="316">$D1695</f>
        <v>0</v>
      </c>
      <c r="I1695" s="1823">
        <f t="shared" ref="I1695:I1702" si="317">D1695</f>
        <v>0</v>
      </c>
      <c r="J1695" s="1823"/>
      <c r="K1695" s="1823"/>
      <c r="L1695" s="1823"/>
      <c r="M1695" s="1823"/>
      <c r="N1695" s="1823"/>
      <c r="O1695" s="1823"/>
      <c r="P1695" s="1823">
        <f t="shared" si="315"/>
        <v>0</v>
      </c>
      <c r="Q1695" s="1053"/>
      <c r="R1695" s="1053"/>
      <c r="S1695" s="1053"/>
      <c r="T1695" s="2035">
        <f t="shared" si="311"/>
        <v>0</v>
      </c>
    </row>
    <row r="1696" spans="1:20" ht="22.2" hidden="1" customHeight="1">
      <c r="A1696" s="59"/>
      <c r="B1696" s="1584" t="s">
        <v>1585</v>
      </c>
      <c r="C1696" s="1013" t="str">
        <f t="shared" si="312"/>
        <v xml:space="preserve"> </v>
      </c>
      <c r="D1696" s="1548">
        <f>'pp3p2m '!CY82</f>
        <v>0</v>
      </c>
      <c r="E1696" s="1044"/>
      <c r="F1696" s="1056" t="str">
        <f>VLOOKUP($B1696,DG!A:D,DG!$C$2,)</f>
        <v>Kẹp 2 rãnh (APC) cỡ dây 50mm2</v>
      </c>
      <c r="G1696" s="1044" t="str">
        <f>VLOOKUP($B1696,DG!A:D,DG!$D$2,)</f>
        <v>cái</v>
      </c>
      <c r="H1696" s="1823">
        <f t="shared" si="316"/>
        <v>0</v>
      </c>
      <c r="I1696" s="1823">
        <f t="shared" si="317"/>
        <v>0</v>
      </c>
      <c r="J1696" s="1823"/>
      <c r="K1696" s="1823"/>
      <c r="L1696" s="1823"/>
      <c r="M1696" s="1823"/>
      <c r="N1696" s="1823"/>
      <c r="O1696" s="1823"/>
      <c r="P1696" s="1823">
        <f t="shared" si="315"/>
        <v>0</v>
      </c>
      <c r="Q1696" s="1053"/>
      <c r="R1696" s="1053"/>
      <c r="S1696" s="1053"/>
      <c r="T1696" s="2035">
        <f t="shared" si="311"/>
        <v>0</v>
      </c>
    </row>
    <row r="1697" spans="1:20" ht="22.2" hidden="1" customHeight="1">
      <c r="A1697" s="59"/>
      <c r="B1697" s="1584" t="s">
        <v>1584</v>
      </c>
      <c r="C1697" s="1013" t="str">
        <f t="shared" si="312"/>
        <v xml:space="preserve"> </v>
      </c>
      <c r="D1697" s="1548">
        <f>'pp3p2m '!CZ82</f>
        <v>0</v>
      </c>
      <c r="E1697" s="1044"/>
      <c r="F1697" s="1056" t="str">
        <f>VLOOKUP($B1697,DG!A:D,DG!$C$2,)</f>
        <v>Kẹp 2 rãnh (APC) cỡ dây 70mm2</v>
      </c>
      <c r="G1697" s="1044" t="str">
        <f>VLOOKUP($B1697,DG!A:D,DG!$D$2,)</f>
        <v>cái</v>
      </c>
      <c r="H1697" s="1823">
        <f t="shared" si="316"/>
        <v>0</v>
      </c>
      <c r="I1697" s="1823">
        <f t="shared" si="317"/>
        <v>0</v>
      </c>
      <c r="J1697" s="1823"/>
      <c r="K1697" s="1823"/>
      <c r="L1697" s="1823"/>
      <c r="M1697" s="1823"/>
      <c r="N1697" s="1823"/>
      <c r="O1697" s="1823"/>
      <c r="P1697" s="1823">
        <f t="shared" si="315"/>
        <v>0</v>
      </c>
      <c r="Q1697" s="1053"/>
      <c r="R1697" s="1053"/>
      <c r="S1697" s="1053"/>
      <c r="T1697" s="2035">
        <f t="shared" si="311"/>
        <v>0</v>
      </c>
    </row>
    <row r="1698" spans="1:20" ht="22.2" hidden="1" customHeight="1">
      <c r="A1698" s="59"/>
      <c r="B1698" s="1584" t="s">
        <v>1022</v>
      </c>
      <c r="C1698" s="1013" t="str">
        <f t="shared" si="312"/>
        <v xml:space="preserve"> </v>
      </c>
      <c r="D1698" s="1548">
        <f>'pp3p2m '!DA82</f>
        <v>0</v>
      </c>
      <c r="E1698" s="1044"/>
      <c r="F1698" s="1056" t="str">
        <f>VLOOKUP($B1698,DG!A:D,DG!$C$2,)</f>
        <v>Kẹp 2 rãnh (APC) cỡ dây 95mm2</v>
      </c>
      <c r="G1698" s="1044" t="str">
        <f>VLOOKUP($B1698,DG!A:D,DG!$D$2,)</f>
        <v>cái</v>
      </c>
      <c r="H1698" s="1823">
        <f t="shared" si="316"/>
        <v>0</v>
      </c>
      <c r="I1698" s="1823">
        <f t="shared" si="317"/>
        <v>0</v>
      </c>
      <c r="J1698" s="1823"/>
      <c r="K1698" s="1823"/>
      <c r="L1698" s="1823"/>
      <c r="M1698" s="1823"/>
      <c r="N1698" s="1823"/>
      <c r="O1698" s="1823"/>
      <c r="P1698" s="1823">
        <f t="shared" si="315"/>
        <v>0</v>
      </c>
      <c r="Q1698" s="1053"/>
      <c r="R1698" s="1053"/>
      <c r="S1698" s="1053"/>
      <c r="T1698" s="2035">
        <f t="shared" si="311"/>
        <v>0</v>
      </c>
    </row>
    <row r="1699" spans="1:20" ht="22.2" hidden="1" customHeight="1">
      <c r="A1699" s="59"/>
      <c r="B1699" s="1584" t="s">
        <v>13</v>
      </c>
      <c r="C1699" s="1013" t="str">
        <f t="shared" si="312"/>
        <v xml:space="preserve"> </v>
      </c>
      <c r="D1699" s="1548"/>
      <c r="E1699" s="1044"/>
      <c r="F1699" s="1056" t="str">
        <f>VLOOKUP($B1699,DG!A:D,DG!$C$2,)</f>
        <v>Kẹp ép WR cỡ dây 120mm2</v>
      </c>
      <c r="G1699" s="1044" t="str">
        <f>VLOOKUP($B1699,DG!A:D,DG!$D$2,)</f>
        <v>cái</v>
      </c>
      <c r="H1699" s="1823">
        <f t="shared" si="316"/>
        <v>0</v>
      </c>
      <c r="I1699" s="1823">
        <f t="shared" si="317"/>
        <v>0</v>
      </c>
      <c r="J1699" s="1823"/>
      <c r="K1699" s="1823"/>
      <c r="L1699" s="1823"/>
      <c r="M1699" s="1823"/>
      <c r="N1699" s="1823"/>
      <c r="O1699" s="1823"/>
      <c r="P1699" s="1823">
        <f t="shared" si="315"/>
        <v>0</v>
      </c>
      <c r="Q1699" s="1053"/>
      <c r="R1699" s="1053"/>
      <c r="S1699" s="1053"/>
      <c r="T1699" s="2035">
        <f t="shared" si="311"/>
        <v>0</v>
      </c>
    </row>
    <row r="1700" spans="1:20" ht="22.2" hidden="1" customHeight="1">
      <c r="A1700" s="59"/>
      <c r="B1700" s="1584" t="s">
        <v>1067</v>
      </c>
      <c r="C1700" s="1013" t="str">
        <f t="shared" si="312"/>
        <v xml:space="preserve"> </v>
      </c>
      <c r="D1700" s="1548">
        <f>'pp3p2m '!DB82</f>
        <v>0</v>
      </c>
      <c r="E1700" s="1044"/>
      <c r="F1700" s="1056" t="str">
        <f>VLOOKUP($B1700,DG!A:D,DG!$C$2,)</f>
        <v>Kẹp ép WR cỡ dây 150mm2</v>
      </c>
      <c r="G1700" s="1044" t="str">
        <f>VLOOKUP($B1700,DG!A:D,DG!$D$2,)</f>
        <v>cái</v>
      </c>
      <c r="H1700" s="1823">
        <f t="shared" si="316"/>
        <v>0</v>
      </c>
      <c r="I1700" s="1823">
        <f t="shared" si="317"/>
        <v>0</v>
      </c>
      <c r="J1700" s="1823"/>
      <c r="K1700" s="1823"/>
      <c r="L1700" s="1823"/>
      <c r="M1700" s="1823"/>
      <c r="N1700" s="1823"/>
      <c r="O1700" s="1823"/>
      <c r="P1700" s="1823">
        <f t="shared" si="315"/>
        <v>0</v>
      </c>
      <c r="Q1700" s="1053"/>
      <c r="R1700" s="1053"/>
      <c r="S1700" s="1053"/>
      <c r="T1700" s="2035">
        <f t="shared" si="311"/>
        <v>0</v>
      </c>
    </row>
    <row r="1701" spans="1:20" ht="22.2" hidden="1" customHeight="1">
      <c r="A1701" s="59"/>
      <c r="B1701" s="1584" t="s">
        <v>15</v>
      </c>
      <c r="C1701" s="1013" t="str">
        <f t="shared" si="312"/>
        <v xml:space="preserve"> </v>
      </c>
      <c r="D1701" s="1548">
        <f>'pp3p2m '!DD82</f>
        <v>0</v>
      </c>
      <c r="E1701" s="1044"/>
      <c r="F1701" s="1056" t="str">
        <f>VLOOKUP($B1701,DG!A:D,DG!$C$2,)</f>
        <v>Kẹp ép WR cỡ dây 240mm2</v>
      </c>
      <c r="G1701" s="1044" t="str">
        <f>VLOOKUP($B1701,DG!A:D,DG!$D$2,)</f>
        <v>cái</v>
      </c>
      <c r="H1701" s="1823">
        <f t="shared" si="316"/>
        <v>0</v>
      </c>
      <c r="I1701" s="1823">
        <f t="shared" si="317"/>
        <v>0</v>
      </c>
      <c r="J1701" s="1823"/>
      <c r="K1701" s="1823"/>
      <c r="L1701" s="1823"/>
      <c r="M1701" s="1823"/>
      <c r="N1701" s="1823"/>
      <c r="O1701" s="1823"/>
      <c r="P1701" s="1823">
        <f t="shared" si="315"/>
        <v>0</v>
      </c>
      <c r="Q1701" s="1053"/>
      <c r="R1701" s="1053"/>
      <c r="S1701" s="1053"/>
      <c r="T1701" s="2035">
        <f t="shared" si="311"/>
        <v>0</v>
      </c>
    </row>
    <row r="1702" spans="1:20" ht="22.2" hidden="1" customHeight="1">
      <c r="A1702" s="59"/>
      <c r="B1702" s="1584" t="s">
        <v>1799</v>
      </c>
      <c r="C1702" s="1013" t="str">
        <f t="shared" si="312"/>
        <v xml:space="preserve"> </v>
      </c>
      <c r="D1702" s="1548">
        <f>'pp3p2m '!DE82</f>
        <v>0</v>
      </c>
      <c r="E1702" s="1044"/>
      <c r="F1702" s="1056" t="str">
        <f>VLOOKUP($B1702,DG!A:D,DG!$C$2,)</f>
        <v>Kẹp 2 rãnh (APC) cỡ dây 240 mm2</v>
      </c>
      <c r="G1702" s="1044" t="str">
        <f>VLOOKUP($B1702,DG!A:D,DG!$D$2,)</f>
        <v>cái</v>
      </c>
      <c r="H1702" s="1823">
        <f t="shared" si="316"/>
        <v>0</v>
      </c>
      <c r="I1702" s="1823">
        <f t="shared" si="317"/>
        <v>0</v>
      </c>
      <c r="J1702" s="1823"/>
      <c r="K1702" s="1823"/>
      <c r="L1702" s="1823"/>
      <c r="M1702" s="1823"/>
      <c r="N1702" s="1823"/>
      <c r="O1702" s="1823"/>
      <c r="P1702" s="1823">
        <f t="shared" si="315"/>
        <v>0</v>
      </c>
      <c r="Q1702" s="1053"/>
      <c r="R1702" s="1053"/>
      <c r="S1702" s="1053"/>
      <c r="T1702" s="2035">
        <f t="shared" si="311"/>
        <v>0</v>
      </c>
    </row>
    <row r="1703" spans="1:20" ht="22.2" hidden="1" customHeight="1">
      <c r="A1703" s="59"/>
      <c r="B1703" s="1584" t="s">
        <v>1891</v>
      </c>
      <c r="C1703" s="1013" t="str">
        <f t="shared" si="312"/>
        <v xml:space="preserve"> </v>
      </c>
      <c r="D1703" s="1548"/>
      <c r="E1703" s="1044" t="str">
        <f>VLOOKUP($B1703,DG!A:D,DG!$B$2,)</f>
        <v>03.4003</v>
      </c>
      <c r="F1703" s="1056" t="str">
        <f>VLOOKUP($B1703,DG!A:D,DG!$C$2,)</f>
        <v>Đầu cosse ép Cu-Al 70mm2</v>
      </c>
      <c r="G1703" s="1044" t="str">
        <f>VLOOKUP($B1703,DG!A:D,DG!$D$2,)</f>
        <v>cái</v>
      </c>
      <c r="H1703" s="1823">
        <f>$D1703*0</f>
        <v>0</v>
      </c>
      <c r="I1703" s="1823">
        <f>D1703*0</f>
        <v>0</v>
      </c>
      <c r="J1703" s="1823"/>
      <c r="K1703" s="1823"/>
      <c r="L1703" s="1823"/>
      <c r="M1703" s="1823"/>
      <c r="N1703" s="1823"/>
      <c r="O1703" s="1823"/>
      <c r="P1703" s="1823">
        <f t="shared" si="315"/>
        <v>0</v>
      </c>
      <c r="Q1703" s="1053"/>
      <c r="R1703" s="1053"/>
      <c r="S1703" s="1053"/>
      <c r="T1703" s="2035">
        <f t="shared" si="311"/>
        <v>0</v>
      </c>
    </row>
    <row r="1704" spans="1:20" ht="22.2" hidden="1" customHeight="1">
      <c r="A1704" s="59"/>
      <c r="B1704" s="1584" t="s">
        <v>1892</v>
      </c>
      <c r="C1704" s="1013" t="str">
        <f t="shared" si="312"/>
        <v xml:space="preserve"> </v>
      </c>
      <c r="D1704" s="1548">
        <f>'pp3p2m '!DF82</f>
        <v>0</v>
      </c>
      <c r="E1704" s="1044" t="str">
        <f>VLOOKUP($B1704,DG!A:D,DG!$B$2,)</f>
        <v>03.4004</v>
      </c>
      <c r="F1704" s="1056" t="str">
        <f>VLOOKUP($B1704,DG!A:D,DG!$C$2,)</f>
        <v>Đầu cosse ép Cu-Al 95mm2</v>
      </c>
      <c r="G1704" s="1044" t="str">
        <f>VLOOKUP($B1704,DG!A:D,DG!$D$2,)</f>
        <v>cái</v>
      </c>
      <c r="H1704" s="1823">
        <f t="shared" ref="H1704:H1723" si="318">$D1704</f>
        <v>0</v>
      </c>
      <c r="I1704" s="1823">
        <f t="shared" ref="I1704:I1720" si="319">D1704</f>
        <v>0</v>
      </c>
      <c r="J1704" s="1823"/>
      <c r="K1704" s="1823"/>
      <c r="L1704" s="1823"/>
      <c r="M1704" s="1823"/>
      <c r="N1704" s="1823"/>
      <c r="O1704" s="1823"/>
      <c r="P1704" s="1823">
        <f t="shared" si="315"/>
        <v>0</v>
      </c>
      <c r="Q1704" s="1053"/>
      <c r="R1704" s="1053"/>
      <c r="S1704" s="1053"/>
      <c r="T1704" s="2035">
        <f t="shared" si="311"/>
        <v>0</v>
      </c>
    </row>
    <row r="1705" spans="1:20" ht="22.2" hidden="1" customHeight="1">
      <c r="A1705" s="59"/>
      <c r="B1705" s="1584" t="s">
        <v>1893</v>
      </c>
      <c r="C1705" s="1013" t="str">
        <f t="shared" si="312"/>
        <v xml:space="preserve"> </v>
      </c>
      <c r="D1705" s="1548">
        <f>'pp3p2m '!DI82</f>
        <v>0</v>
      </c>
      <c r="E1705" s="1044" t="str">
        <f>VLOOKUP($B1705,DG!A:D,DG!$B$2,)</f>
        <v>03.4005</v>
      </c>
      <c r="F1705" s="1056" t="str">
        <f>VLOOKUP($B1705,DG!A:D,DG!$C$2,)</f>
        <v>Đầu cosse ép Cu-Al 120mm2</v>
      </c>
      <c r="G1705" s="1044" t="str">
        <f>VLOOKUP($B1705,DG!A:D,DG!$D$2,)</f>
        <v>cái</v>
      </c>
      <c r="H1705" s="1823">
        <f t="shared" si="318"/>
        <v>0</v>
      </c>
      <c r="I1705" s="1823">
        <f t="shared" si="319"/>
        <v>0</v>
      </c>
      <c r="J1705" s="1823"/>
      <c r="K1705" s="1823"/>
      <c r="L1705" s="1823"/>
      <c r="M1705" s="1823"/>
      <c r="N1705" s="1823"/>
      <c r="O1705" s="1823"/>
      <c r="P1705" s="1823">
        <f t="shared" si="315"/>
        <v>0</v>
      </c>
      <c r="Q1705" s="1053"/>
      <c r="R1705" s="1053"/>
      <c r="S1705" s="1053"/>
      <c r="T1705" s="2035">
        <f t="shared" si="311"/>
        <v>0</v>
      </c>
    </row>
    <row r="1706" spans="1:20" ht="22.2" hidden="1" customHeight="1">
      <c r="A1706" s="59"/>
      <c r="B1706" s="1584" t="s">
        <v>1019</v>
      </c>
      <c r="C1706" s="1013" t="str">
        <f t="shared" si="312"/>
        <v xml:space="preserve"> </v>
      </c>
      <c r="D1706" s="1548">
        <f>'pp3p2m '!DJ82</f>
        <v>0</v>
      </c>
      <c r="E1706" s="1044" t="str">
        <f>VLOOKUP($B1706,DG!A:D,DG!$B$2,)</f>
        <v>03.4006</v>
      </c>
      <c r="F1706" s="1056" t="str">
        <f>VLOOKUP($B1706,DG!A:D,DG!$C$2,)</f>
        <v>Đầu cosse ép Cu-Al 150mm2</v>
      </c>
      <c r="G1706" s="1044" t="str">
        <f>VLOOKUP($B1706,DG!A:D,DG!$D$2,)</f>
        <v>cái</v>
      </c>
      <c r="H1706" s="1823">
        <f t="shared" si="318"/>
        <v>0</v>
      </c>
      <c r="I1706" s="1823">
        <f t="shared" si="319"/>
        <v>0</v>
      </c>
      <c r="J1706" s="1823"/>
      <c r="K1706" s="1823"/>
      <c r="L1706" s="1823"/>
      <c r="M1706" s="1823"/>
      <c r="N1706" s="1823"/>
      <c r="O1706" s="1823"/>
      <c r="P1706" s="1823">
        <f t="shared" si="315"/>
        <v>0</v>
      </c>
      <c r="Q1706" s="1053"/>
      <c r="R1706" s="1053"/>
      <c r="S1706" s="1053"/>
      <c r="T1706" s="2035">
        <f t="shared" si="311"/>
        <v>0</v>
      </c>
    </row>
    <row r="1707" spans="1:20" ht="22.2" hidden="1" customHeight="1">
      <c r="A1707" s="59"/>
      <c r="B1707" s="1584" t="s">
        <v>1020</v>
      </c>
      <c r="C1707" s="1013" t="str">
        <f t="shared" si="312"/>
        <v xml:space="preserve"> </v>
      </c>
      <c r="D1707" s="1548"/>
      <c r="E1707" s="1044" t="str">
        <f>VLOOKUP($B1707,DG!A:D,DG!$B$2,)</f>
        <v>03.4007</v>
      </c>
      <c r="F1707" s="1056" t="str">
        <f>VLOOKUP($B1707,DG!A:D,DG!$C$2,)</f>
        <v>Đầu cosse ép Cu-Al 185mm2</v>
      </c>
      <c r="G1707" s="1044" t="str">
        <f>VLOOKUP($B1707,DG!A:D,DG!$D$2,)</f>
        <v>cái</v>
      </c>
      <c r="H1707" s="1823">
        <f t="shared" si="318"/>
        <v>0</v>
      </c>
      <c r="I1707" s="1823">
        <f t="shared" si="319"/>
        <v>0</v>
      </c>
      <c r="J1707" s="1823"/>
      <c r="K1707" s="1823"/>
      <c r="L1707" s="1823"/>
      <c r="M1707" s="1823"/>
      <c r="N1707" s="1823"/>
      <c r="O1707" s="1823"/>
      <c r="P1707" s="1823">
        <f t="shared" si="315"/>
        <v>0</v>
      </c>
      <c r="Q1707" s="1053"/>
      <c r="R1707" s="1053"/>
      <c r="S1707" s="1053"/>
      <c r="T1707" s="2035">
        <f t="shared" si="311"/>
        <v>0</v>
      </c>
    </row>
    <row r="1708" spans="1:20" ht="22.2" hidden="1" customHeight="1">
      <c r="A1708" s="59"/>
      <c r="B1708" s="1584" t="s">
        <v>1835</v>
      </c>
      <c r="C1708" s="1013" t="str">
        <f t="shared" si="312"/>
        <v xml:space="preserve"> </v>
      </c>
      <c r="D1708" s="1548">
        <f>'pp3p2m '!DK82</f>
        <v>0</v>
      </c>
      <c r="E1708" s="1044" t="str">
        <f>VLOOKUP($B1708,DG!A:D,DG!$B$2,)</f>
        <v>03.4008</v>
      </c>
      <c r="F1708" s="1056" t="str">
        <f>VLOOKUP($B1708,DG!A:D,DG!$C$2,)</f>
        <v>Đầu cosse ép Cu-Al 240mm2</v>
      </c>
      <c r="G1708" s="1044" t="str">
        <f>VLOOKUP($B1708,DG!A:D,DG!$D$2,)</f>
        <v>cái</v>
      </c>
      <c r="H1708" s="1823">
        <f t="shared" si="318"/>
        <v>0</v>
      </c>
      <c r="I1708" s="1823">
        <f t="shared" si="319"/>
        <v>0</v>
      </c>
      <c r="J1708" s="1823"/>
      <c r="K1708" s="1823"/>
      <c r="L1708" s="1823"/>
      <c r="M1708" s="1823"/>
      <c r="N1708" s="1823"/>
      <c r="O1708" s="1823"/>
      <c r="P1708" s="1823">
        <f t="shared" si="315"/>
        <v>0</v>
      </c>
      <c r="Q1708" s="1053"/>
      <c r="R1708" s="1053"/>
      <c r="S1708" s="1053"/>
      <c r="T1708" s="2035">
        <f t="shared" ref="T1708:T1749" si="320">IFERROR(HLOOKUP(B1708,BangKeTru,3,0),0)</f>
        <v>0</v>
      </c>
    </row>
    <row r="1709" spans="1:20" ht="22.2" hidden="1" customHeight="1">
      <c r="A1709" s="59"/>
      <c r="B1709" s="1584" t="s">
        <v>437</v>
      </c>
      <c r="C1709" s="1013" t="str">
        <f t="shared" si="312"/>
        <v xml:space="preserve"> </v>
      </c>
      <c r="D1709" s="1548">
        <f>SUM(D1703:D1708)/2</f>
        <v>0</v>
      </c>
      <c r="E1709" s="1044">
        <f>VLOOKUP($B1709,DG!A:D,DG!$B$2,)</f>
        <v>0</v>
      </c>
      <c r="F1709" s="1056" t="str">
        <f>VLOOKUP($B1709,DG!A:D,DG!$C$2,)</f>
        <v>Boulon 12x30+ 2 long đền vuông D14-50x50x3/Zn</v>
      </c>
      <c r="G1709" s="1044" t="str">
        <f>VLOOKUP($B1709,DG!A:D,DG!$D$2,)</f>
        <v>bộ</v>
      </c>
      <c r="H1709" s="1823">
        <f t="shared" si="318"/>
        <v>0</v>
      </c>
      <c r="I1709" s="1823">
        <f t="shared" si="319"/>
        <v>0</v>
      </c>
      <c r="J1709" s="1823"/>
      <c r="K1709" s="1823"/>
      <c r="L1709" s="1823"/>
      <c r="M1709" s="1823"/>
      <c r="N1709" s="1823"/>
      <c r="O1709" s="1823"/>
      <c r="P1709" s="1823">
        <f t="shared" si="315"/>
        <v>0</v>
      </c>
      <c r="Q1709" s="1053"/>
      <c r="R1709" s="1053"/>
      <c r="S1709" s="1053"/>
      <c r="T1709" s="2035">
        <f t="shared" si="320"/>
        <v>0</v>
      </c>
    </row>
    <row r="1710" spans="1:20" ht="22.2" hidden="1" customHeight="1">
      <c r="A1710" s="59"/>
      <c r="B1710" s="1584" t="s">
        <v>1482</v>
      </c>
      <c r="C1710" s="1013" t="str">
        <f t="shared" si="312"/>
        <v xml:space="preserve"> </v>
      </c>
      <c r="D1710" s="1548">
        <f>'pp3p2m '!DM82*2</f>
        <v>0</v>
      </c>
      <c r="E1710" s="1044" t="str">
        <f>VLOOKUP($B1710,DG!A:D,DG!$B$2,)</f>
        <v>04.3007</v>
      </c>
      <c r="F1710" s="1056" t="str">
        <f>VLOOKUP($B1710,DG!A:D,DG!$C$2,)</f>
        <v>Kẹp quai 2/0</v>
      </c>
      <c r="G1710" s="1044" t="str">
        <f>VLOOKUP($B1710,DG!A:D,DG!$D$2,)</f>
        <v>cái</v>
      </c>
      <c r="H1710" s="1823">
        <f t="shared" si="318"/>
        <v>0</v>
      </c>
      <c r="I1710" s="1823">
        <f t="shared" si="319"/>
        <v>0</v>
      </c>
      <c r="J1710" s="1823"/>
      <c r="K1710" s="1823"/>
      <c r="L1710" s="1823"/>
      <c r="M1710" s="1823"/>
      <c r="N1710" s="1823"/>
      <c r="O1710" s="1823"/>
      <c r="P1710" s="1823">
        <f t="shared" si="315"/>
        <v>0</v>
      </c>
      <c r="Q1710" s="1053"/>
      <c r="R1710" s="1053"/>
      <c r="S1710" s="1053"/>
      <c r="T1710" s="2035">
        <f t="shared" si="320"/>
        <v>0</v>
      </c>
    </row>
    <row r="1711" spans="1:20" ht="22.2" hidden="1" customHeight="1">
      <c r="A1711" s="59"/>
      <c r="B1711" s="1584" t="s">
        <v>236</v>
      </c>
      <c r="C1711" s="1013" t="str">
        <f t="shared" si="312"/>
        <v xml:space="preserve"> </v>
      </c>
      <c r="D1711" s="1535">
        <f>D1710</f>
        <v>0</v>
      </c>
      <c r="E1711" s="1044" t="str">
        <f>VLOOKUP($B1711,DG!A:D,DG!$B$2,)</f>
        <v>04.3007</v>
      </c>
      <c r="F1711" s="1056" t="str">
        <f>VLOOKUP($B1711,DG!A:D,DG!$C$2,)</f>
        <v>Kẹp quai 4/0</v>
      </c>
      <c r="G1711" s="1044" t="str">
        <f>VLOOKUP($B1711,DG!A:D,DG!$D$2,)</f>
        <v>cái</v>
      </c>
      <c r="H1711" s="1823">
        <f t="shared" si="318"/>
        <v>0</v>
      </c>
      <c r="I1711" s="1823">
        <f t="shared" si="319"/>
        <v>0</v>
      </c>
      <c r="J1711" s="1823"/>
      <c r="K1711" s="1823"/>
      <c r="L1711" s="1823"/>
      <c r="M1711" s="1823"/>
      <c r="N1711" s="1823"/>
      <c r="O1711" s="1823"/>
      <c r="P1711" s="1823">
        <f t="shared" si="315"/>
        <v>0</v>
      </c>
      <c r="Q1711" s="1053"/>
      <c r="R1711" s="1053"/>
      <c r="S1711" s="1053"/>
      <c r="T1711" s="2035">
        <f t="shared" si="320"/>
        <v>0</v>
      </c>
    </row>
    <row r="1712" spans="1:20" ht="22.2" hidden="1" customHeight="1">
      <c r="A1712" s="59"/>
      <c r="B1712" s="1599" t="s">
        <v>1480</v>
      </c>
      <c r="C1712" s="1013" t="str">
        <f t="shared" si="312"/>
        <v xml:space="preserve"> </v>
      </c>
      <c r="D1712" s="1535">
        <f>D1710</f>
        <v>0</v>
      </c>
      <c r="E1712" s="1044"/>
      <c r="F1712" s="1394" t="str">
        <f>VLOOKUP($B1712,DG!A:D,DG!$C$2,)</f>
        <v>Kẹp hotline 2/0</v>
      </c>
      <c r="G1712" s="1044" t="str">
        <f>VLOOKUP($B1712,DG!A:D,DG!$D$2,)</f>
        <v>cái</v>
      </c>
      <c r="H1712" s="1823">
        <f t="shared" si="318"/>
        <v>0</v>
      </c>
      <c r="I1712" s="1823">
        <f t="shared" si="319"/>
        <v>0</v>
      </c>
      <c r="J1712" s="1823"/>
      <c r="K1712" s="1823"/>
      <c r="L1712" s="1823"/>
      <c r="M1712" s="1823"/>
      <c r="N1712" s="1823"/>
      <c r="O1712" s="1823"/>
      <c r="P1712" s="1823">
        <f t="shared" si="315"/>
        <v>0</v>
      </c>
      <c r="Q1712" s="1053"/>
      <c r="R1712" s="1053"/>
      <c r="S1712" s="1053"/>
      <c r="T1712" s="2035">
        <f t="shared" si="320"/>
        <v>0</v>
      </c>
    </row>
    <row r="1713" spans="1:20" ht="22.2" hidden="1" customHeight="1">
      <c r="A1713" s="59"/>
      <c r="B1713" s="1599" t="s">
        <v>1049</v>
      </c>
      <c r="C1713" s="1013" t="str">
        <f t="shared" si="312"/>
        <v xml:space="preserve"> </v>
      </c>
      <c r="D1713" s="1548">
        <f>D1711</f>
        <v>0</v>
      </c>
      <c r="E1713" s="1044"/>
      <c r="F1713" s="1056" t="str">
        <f>VLOOKUP($B1713,DG!A:D,DG!$C$2,)</f>
        <v>Kẹp hotline 4/0</v>
      </c>
      <c r="G1713" s="1044" t="str">
        <f>VLOOKUP($B1713,DG!A:D,DG!$D$2,)</f>
        <v>cái</v>
      </c>
      <c r="H1713" s="1823">
        <f t="shared" si="318"/>
        <v>0</v>
      </c>
      <c r="I1713" s="1823">
        <f t="shared" si="319"/>
        <v>0</v>
      </c>
      <c r="J1713" s="1823"/>
      <c r="K1713" s="1823"/>
      <c r="L1713" s="1823"/>
      <c r="M1713" s="1823"/>
      <c r="N1713" s="1823"/>
      <c r="O1713" s="1823"/>
      <c r="P1713" s="1823">
        <f t="shared" si="315"/>
        <v>0</v>
      </c>
      <c r="Q1713" s="1053"/>
      <c r="R1713" s="1053"/>
      <c r="S1713" s="1053"/>
      <c r="T1713" s="2035">
        <f t="shared" si="320"/>
        <v>0</v>
      </c>
    </row>
    <row r="1714" spans="1:20" ht="22.2" hidden="1" customHeight="1">
      <c r="A1714" s="59"/>
      <c r="B1714" s="1584" t="s">
        <v>1490</v>
      </c>
      <c r="C1714" s="1013" t="str">
        <f t="shared" si="312"/>
        <v xml:space="preserve"> </v>
      </c>
      <c r="D1714" s="1535">
        <f>ROUND((E1631)*1.03/1500,0)</f>
        <v>0</v>
      </c>
      <c r="E1714" s="1044"/>
      <c r="F1714" s="1056" t="str">
        <f>VLOOKUP($B1714,DG!A:D,DG!$C$2,)</f>
        <v>Ống nối dây cỡ 50mm2</v>
      </c>
      <c r="G1714" s="1044" t="str">
        <f>VLOOKUP($B1714,DG!A:D,DG!$D$2,)</f>
        <v>cái</v>
      </c>
      <c r="H1714" s="1823">
        <f t="shared" si="318"/>
        <v>0</v>
      </c>
      <c r="I1714" s="1823">
        <f t="shared" si="319"/>
        <v>0</v>
      </c>
      <c r="J1714" s="1823"/>
      <c r="K1714" s="1823"/>
      <c r="L1714" s="1823"/>
      <c r="M1714" s="1823"/>
      <c r="N1714" s="1823"/>
      <c r="O1714" s="1823"/>
      <c r="P1714" s="1823">
        <f t="shared" si="315"/>
        <v>0</v>
      </c>
      <c r="Q1714" s="1053"/>
      <c r="R1714" s="1053"/>
      <c r="S1714" s="1053"/>
      <c r="T1714" s="2035">
        <f t="shared" si="320"/>
        <v>0</v>
      </c>
    </row>
    <row r="1715" spans="1:20" ht="22.2" hidden="1" customHeight="1">
      <c r="A1715" s="59"/>
      <c r="B1715" s="1584" t="s">
        <v>1491</v>
      </c>
      <c r="C1715" s="1013" t="str">
        <f t="shared" si="312"/>
        <v xml:space="preserve"> </v>
      </c>
      <c r="D1715" s="1535">
        <f>ROUND((E1632+E1643)*1.03/1400,0)</f>
        <v>0</v>
      </c>
      <c r="E1715" s="1044"/>
      <c r="F1715" s="1056" t="str">
        <f>VLOOKUP($B1715,DG!A:D,DG!$C$2,)</f>
        <v>Ống nối dây cỡ 70mm2</v>
      </c>
      <c r="G1715" s="1044" t="str">
        <f>VLOOKUP($B1715,DG!A:D,DG!$D$2,)</f>
        <v>cái</v>
      </c>
      <c r="H1715" s="1823">
        <f t="shared" si="318"/>
        <v>0</v>
      </c>
      <c r="I1715" s="1823">
        <f t="shared" si="319"/>
        <v>0</v>
      </c>
      <c r="J1715" s="1823"/>
      <c r="K1715" s="1823"/>
      <c r="L1715" s="1823"/>
      <c r="M1715" s="1823"/>
      <c r="N1715" s="1823"/>
      <c r="O1715" s="1823"/>
      <c r="P1715" s="1823">
        <f t="shared" si="315"/>
        <v>0</v>
      </c>
      <c r="Q1715" s="1053"/>
      <c r="R1715" s="1053"/>
      <c r="S1715" s="1053"/>
      <c r="T1715" s="2035">
        <f t="shared" si="320"/>
        <v>0</v>
      </c>
    </row>
    <row r="1716" spans="1:20" ht="22.2" hidden="1" customHeight="1">
      <c r="A1716" s="59"/>
      <c r="B1716" s="1584" t="s">
        <v>432</v>
      </c>
      <c r="C1716" s="1013" t="str">
        <f t="shared" ref="C1716:C1779" si="321">IF(OR(P1716&lt;&gt;0,H1716&lt;&gt;0),"x"," ")</f>
        <v xml:space="preserve"> </v>
      </c>
      <c r="D1716" s="1535">
        <f>ROUND((E1633+E1642)*1.03/1200,0)</f>
        <v>0</v>
      </c>
      <c r="E1716" s="1044"/>
      <c r="F1716" s="1056" t="str">
        <f>VLOOKUP($B1716,DG!A:D,DG!$C$2,)</f>
        <v>Ống nối dây cỡ 95mm2</v>
      </c>
      <c r="G1716" s="1044" t="str">
        <f>VLOOKUP($B1716,DG!A:D,DG!$D$2,)</f>
        <v>cái</v>
      </c>
      <c r="H1716" s="1823">
        <f t="shared" si="318"/>
        <v>0</v>
      </c>
      <c r="I1716" s="1823">
        <f t="shared" si="319"/>
        <v>0</v>
      </c>
      <c r="J1716" s="1823"/>
      <c r="K1716" s="1823"/>
      <c r="L1716" s="1823"/>
      <c r="M1716" s="1823"/>
      <c r="N1716" s="1823"/>
      <c r="O1716" s="1823"/>
      <c r="P1716" s="1823">
        <f t="shared" si="315"/>
        <v>0</v>
      </c>
      <c r="Q1716" s="1053"/>
      <c r="R1716" s="1053"/>
      <c r="S1716" s="1053"/>
      <c r="T1716" s="2035">
        <f t="shared" si="320"/>
        <v>0</v>
      </c>
    </row>
    <row r="1717" spans="1:20" ht="22.2" hidden="1" customHeight="1">
      <c r="A1717" s="59"/>
      <c r="B1717" s="1584" t="s">
        <v>573</v>
      </c>
      <c r="C1717" s="1013" t="str">
        <f t="shared" si="321"/>
        <v xml:space="preserve"> </v>
      </c>
      <c r="D1717" s="1535">
        <f>ROUND((E1634+E1641)*1.03/1200,0)</f>
        <v>0</v>
      </c>
      <c r="E1717" s="1044"/>
      <c r="F1717" s="1056" t="str">
        <f>VLOOKUP($B1717,DG!A:D,DG!$C$2,)</f>
        <v>Ống nối dây cỡ 120mm2</v>
      </c>
      <c r="G1717" s="1044" t="str">
        <f>VLOOKUP($B1717,DG!A:D,DG!$D$2,)</f>
        <v>cái</v>
      </c>
      <c r="H1717" s="1823">
        <f t="shared" si="318"/>
        <v>0</v>
      </c>
      <c r="I1717" s="1823">
        <f t="shared" si="319"/>
        <v>0</v>
      </c>
      <c r="J1717" s="1823"/>
      <c r="K1717" s="1823"/>
      <c r="L1717" s="1823"/>
      <c r="M1717" s="1823"/>
      <c r="N1717" s="1823"/>
      <c r="O1717" s="1823"/>
      <c r="P1717" s="1823">
        <f t="shared" si="315"/>
        <v>0</v>
      </c>
      <c r="Q1717" s="1053"/>
      <c r="R1717" s="1053"/>
      <c r="S1717" s="1053"/>
      <c r="T1717" s="2035">
        <f t="shared" si="320"/>
        <v>0</v>
      </c>
    </row>
    <row r="1718" spans="1:20" ht="22.2" hidden="1" customHeight="1">
      <c r="A1718" s="59"/>
      <c r="B1718" s="1584" t="s">
        <v>937</v>
      </c>
      <c r="C1718" s="1013" t="str">
        <f t="shared" si="321"/>
        <v xml:space="preserve"> </v>
      </c>
      <c r="D1718" s="1535">
        <f>ROUND((E1635+E1640)*1.03/1200,0)</f>
        <v>0</v>
      </c>
      <c r="E1718" s="1044"/>
      <c r="F1718" s="1056" t="str">
        <f>VLOOKUP($B1718,DG!A:D,DG!$C$2,)</f>
        <v>Ống nối dây cỡ 150mm2</v>
      </c>
      <c r="G1718" s="1044" t="str">
        <f>VLOOKUP($B1718,DG!A:D,DG!$D$2,)</f>
        <v>cái</v>
      </c>
      <c r="H1718" s="1823">
        <f t="shared" si="318"/>
        <v>0</v>
      </c>
      <c r="I1718" s="1823">
        <f t="shared" si="319"/>
        <v>0</v>
      </c>
      <c r="J1718" s="1823"/>
      <c r="K1718" s="1823"/>
      <c r="L1718" s="1823"/>
      <c r="M1718" s="1823"/>
      <c r="N1718" s="1823"/>
      <c r="O1718" s="1823"/>
      <c r="P1718" s="1823">
        <f t="shared" si="315"/>
        <v>0</v>
      </c>
      <c r="Q1718" s="1053"/>
      <c r="R1718" s="1053"/>
      <c r="S1718" s="1053"/>
      <c r="T1718" s="2035">
        <f t="shared" si="320"/>
        <v>0</v>
      </c>
    </row>
    <row r="1719" spans="1:20" ht="22.2" hidden="1" customHeight="1">
      <c r="A1719" s="59"/>
      <c r="B1719" s="1584" t="s">
        <v>572</v>
      </c>
      <c r="C1719" s="1013" t="str">
        <f t="shared" si="321"/>
        <v xml:space="preserve"> </v>
      </c>
      <c r="D1719" s="1535">
        <f>ROUND((E1636+E1639)*1.03/1200,0)</f>
        <v>0</v>
      </c>
      <c r="E1719" s="1044"/>
      <c r="F1719" s="1056" t="str">
        <f>VLOOKUP($B1719,DG!A:D,DG!$C$2,)</f>
        <v>Ống nối dây cỡ 185mm2</v>
      </c>
      <c r="G1719" s="1044" t="str">
        <f>VLOOKUP($B1719,DG!A:D,DG!$D$2,)</f>
        <v>cái</v>
      </c>
      <c r="H1719" s="1823">
        <f t="shared" si="318"/>
        <v>0</v>
      </c>
      <c r="I1719" s="1823">
        <f t="shared" si="319"/>
        <v>0</v>
      </c>
      <c r="J1719" s="1823"/>
      <c r="K1719" s="1823"/>
      <c r="L1719" s="1823"/>
      <c r="M1719" s="1823"/>
      <c r="N1719" s="1823"/>
      <c r="O1719" s="1823"/>
      <c r="P1719" s="1823">
        <f t="shared" si="315"/>
        <v>0</v>
      </c>
      <c r="Q1719" s="1053"/>
      <c r="R1719" s="1053"/>
      <c r="S1719" s="1053"/>
      <c r="T1719" s="2035">
        <f t="shared" si="320"/>
        <v>0</v>
      </c>
    </row>
    <row r="1720" spans="1:20" ht="22.2" hidden="1" customHeight="1">
      <c r="A1720" s="59"/>
      <c r="B1720" s="1584" t="s">
        <v>571</v>
      </c>
      <c r="C1720" s="1013" t="str">
        <f t="shared" si="321"/>
        <v xml:space="preserve"> </v>
      </c>
      <c r="D1720" s="1535">
        <f>ROUND((E1637+E1638)*1.03/1200,0)</f>
        <v>0</v>
      </c>
      <c r="E1720" s="1044"/>
      <c r="F1720" s="1056" t="str">
        <f>VLOOKUP($B1720,DG!A:D,DG!$C$2,)</f>
        <v>Ống nối dây cỡ 240mm2</v>
      </c>
      <c r="G1720" s="1044" t="str">
        <f>VLOOKUP($B1720,DG!A:D,DG!$D$2,)</f>
        <v>cái</v>
      </c>
      <c r="H1720" s="1823">
        <f t="shared" si="318"/>
        <v>0</v>
      </c>
      <c r="I1720" s="1823">
        <f t="shared" si="319"/>
        <v>0</v>
      </c>
      <c r="J1720" s="1823"/>
      <c r="K1720" s="1823"/>
      <c r="L1720" s="1823"/>
      <c r="M1720" s="1823"/>
      <c r="N1720" s="1823"/>
      <c r="O1720" s="1823"/>
      <c r="P1720" s="1823">
        <f t="shared" si="315"/>
        <v>0</v>
      </c>
      <c r="Q1720" s="1053"/>
      <c r="R1720" s="1053"/>
      <c r="S1720" s="1053"/>
      <c r="T1720" s="2035">
        <f t="shared" si="320"/>
        <v>0</v>
      </c>
    </row>
    <row r="1721" spans="1:20" ht="22.2" hidden="1" customHeight="1">
      <c r="A1721" s="59"/>
      <c r="B1721" s="1584" t="s">
        <v>1613</v>
      </c>
      <c r="C1721" s="1013" t="str">
        <f t="shared" si="321"/>
        <v xml:space="preserve"> </v>
      </c>
      <c r="D1721" s="1548">
        <f>'pp3p2m '!DF82</f>
        <v>0</v>
      </c>
      <c r="E1721" s="1044"/>
      <c r="F1721" s="1056" t="str">
        <f>VLOOKUP($B1721,DG!A:D,DG!$C$2,)</f>
        <v>Boulon 16x300+ 2 long đền vuông D18-50x50x3/Zn</v>
      </c>
      <c r="G1721" s="1044" t="str">
        <f>VLOOKUP($B1721,DG!A:D,DG!$D$2,)</f>
        <v>bộ</v>
      </c>
      <c r="H1721" s="1823">
        <f t="shared" si="318"/>
        <v>0</v>
      </c>
      <c r="I1721" s="1823">
        <f>H1721</f>
        <v>0</v>
      </c>
      <c r="J1721" s="1823"/>
      <c r="K1721" s="1823"/>
      <c r="L1721" s="1823"/>
      <c r="M1721" s="1823"/>
      <c r="N1721" s="1823"/>
      <c r="O1721" s="1823"/>
      <c r="P1721" s="1823">
        <f t="shared" si="315"/>
        <v>0</v>
      </c>
      <c r="Q1721" s="1053"/>
      <c r="R1721" s="1053"/>
      <c r="S1721" s="1053"/>
      <c r="T1721" s="2035">
        <f t="shared" si="320"/>
        <v>0</v>
      </c>
    </row>
    <row r="1722" spans="1:20" ht="22.2" hidden="1" customHeight="1">
      <c r="A1722" s="59"/>
      <c r="B1722" s="1584" t="s">
        <v>229</v>
      </c>
      <c r="C1722" s="1013" t="str">
        <f t="shared" si="321"/>
        <v xml:space="preserve"> </v>
      </c>
      <c r="D1722" s="1535">
        <f>SUM(D1724:D1736)*5/1.4</f>
        <v>0</v>
      </c>
      <c r="E1722" s="1044"/>
      <c r="F1722" s="1056" t="str">
        <f>VLOOKUP($B1722,DG!A:D,DG!$C$2,)</f>
        <v xml:space="preserve">Dây nhôm buộc </v>
      </c>
      <c r="G1722" s="1044" t="str">
        <f>VLOOKUP($B1722,DG!A:D,DG!$D$2,)</f>
        <v>kg</v>
      </c>
      <c r="H1722" s="1823">
        <f t="shared" si="318"/>
        <v>0</v>
      </c>
      <c r="I1722" s="1823">
        <f>D1722</f>
        <v>0</v>
      </c>
      <c r="J1722" s="1823"/>
      <c r="K1722" s="1823"/>
      <c r="L1722" s="1823"/>
      <c r="M1722" s="1823"/>
      <c r="N1722" s="1823"/>
      <c r="O1722" s="1823"/>
      <c r="P1722" s="1823">
        <f t="shared" si="315"/>
        <v>0</v>
      </c>
      <c r="Q1722" s="1053"/>
      <c r="R1722" s="1053"/>
      <c r="S1722" s="1053"/>
      <c r="T1722" s="2035">
        <f t="shared" si="320"/>
        <v>0</v>
      </c>
    </row>
    <row r="1723" spans="1:20" ht="22.2" hidden="1" customHeight="1">
      <c r="A1723" s="59"/>
      <c r="B1723" s="1584" t="s">
        <v>1573</v>
      </c>
      <c r="C1723" s="1013" t="str">
        <f t="shared" si="321"/>
        <v xml:space="preserve"> </v>
      </c>
      <c r="D1723" s="1535">
        <f>SUM(G142:G145)</f>
        <v>0</v>
      </c>
      <c r="E1723" s="1044"/>
      <c r="F1723" s="1056" t="str">
        <f>VLOOKUP($B1723,DG!A:D,DG!$C$2,)</f>
        <v>Biển số - Bảng nguy hiểm</v>
      </c>
      <c r="G1723" s="1044" t="str">
        <f>VLOOKUP($B1723,DG!A:D,DG!$D$2,)</f>
        <v>cái</v>
      </c>
      <c r="H1723" s="1823">
        <f t="shared" si="318"/>
        <v>0</v>
      </c>
      <c r="I1723" s="1823">
        <f>D1723</f>
        <v>0</v>
      </c>
      <c r="J1723" s="1823"/>
      <c r="K1723" s="1823"/>
      <c r="L1723" s="1823"/>
      <c r="M1723" s="1823"/>
      <c r="N1723" s="1823"/>
      <c r="O1723" s="1823"/>
      <c r="P1723" s="1823">
        <f t="shared" si="315"/>
        <v>0</v>
      </c>
      <c r="Q1723" s="1053"/>
      <c r="R1723" s="1053"/>
      <c r="S1723" s="1053"/>
      <c r="T1723" s="2035">
        <f t="shared" si="320"/>
        <v>0</v>
      </c>
    </row>
    <row r="1724" spans="1:20" ht="22.2" hidden="1" customHeight="1">
      <c r="A1724" s="59"/>
      <c r="B1724" s="1584" t="s">
        <v>1272</v>
      </c>
      <c r="C1724" s="1013" t="str">
        <f t="shared" si="321"/>
        <v xml:space="preserve"> </v>
      </c>
      <c r="D1724" s="1533"/>
      <c r="E1724" s="1044" t="str">
        <f>VLOOKUP($B1724,DG!A:D,DG!$B$2,)</f>
        <v>06.6114</v>
      </c>
      <c r="F1724" s="1049" t="str">
        <f>VLOOKUP($B1724,DG!A:D,DG!$C$2,)</f>
        <v>Kéo dây nhôm lõi thép cỡ dây 50mm2</v>
      </c>
      <c r="G1724" s="1044" t="str">
        <f>VLOOKUP($B1724,DG!A:D,DG!$D$2,)</f>
        <v>km</v>
      </c>
      <c r="H1724" s="1823"/>
      <c r="I1724" s="1823"/>
      <c r="J1724" s="1823"/>
      <c r="K1724" s="1823"/>
      <c r="L1724" s="1823"/>
      <c r="M1724" s="1823"/>
      <c r="N1724" s="1823"/>
      <c r="O1724" s="1823"/>
      <c r="P1724" s="1823">
        <f t="shared" si="315"/>
        <v>0</v>
      </c>
      <c r="Q1724" s="1053"/>
      <c r="R1724" s="1053"/>
      <c r="S1724" s="1053"/>
      <c r="T1724" s="2035">
        <f t="shared" si="320"/>
        <v>0</v>
      </c>
    </row>
    <row r="1725" spans="1:20" ht="22.2" hidden="1" customHeight="1">
      <c r="A1725" s="59"/>
      <c r="B1725" s="1584" t="s">
        <v>1417</v>
      </c>
      <c r="C1725" s="1013" t="str">
        <f t="shared" si="321"/>
        <v xml:space="preserve"> </v>
      </c>
      <c r="D1725" s="1533">
        <f t="shared" ref="D1725:D1730" si="322">(E1632)/1000</f>
        <v>0</v>
      </c>
      <c r="E1725" s="1044" t="str">
        <f>VLOOKUP($B1725,DG!A:D,DG!$B$2,)</f>
        <v>06.6105</v>
      </c>
      <c r="F1725" s="1049" t="str">
        <f>VLOOKUP($B1725,DG!A:D,DG!$C$2,)</f>
        <v>Kéo dây nhôm lõi thép cỡ dây 70mm2</v>
      </c>
      <c r="G1725" s="1044" t="str">
        <f>VLOOKUP($B1725,DG!A:D,DG!$D$2,)</f>
        <v>km</v>
      </c>
      <c r="H1725" s="1823"/>
      <c r="I1725" s="1823"/>
      <c r="J1725" s="1823"/>
      <c r="K1725" s="1823"/>
      <c r="L1725" s="1823"/>
      <c r="M1725" s="1823"/>
      <c r="N1725" s="1823"/>
      <c r="O1725" s="1823"/>
      <c r="P1725" s="1823">
        <f t="shared" si="315"/>
        <v>0</v>
      </c>
      <c r="Q1725" s="1053"/>
      <c r="R1725" s="1053"/>
      <c r="S1725" s="1053"/>
      <c r="T1725" s="2035">
        <f t="shared" si="320"/>
        <v>0</v>
      </c>
    </row>
    <row r="1726" spans="1:20" ht="22.2" hidden="1" customHeight="1">
      <c r="A1726" s="59"/>
      <c r="B1726" s="1584" t="s">
        <v>1527</v>
      </c>
      <c r="C1726" s="1013" t="str">
        <f t="shared" si="321"/>
        <v xml:space="preserve"> </v>
      </c>
      <c r="D1726" s="1533">
        <f t="shared" si="322"/>
        <v>0</v>
      </c>
      <c r="E1726" s="1044" t="str">
        <f>VLOOKUP($B1726,DG!A:D,DG!$B$2,)</f>
        <v>06.6106</v>
      </c>
      <c r="F1726" s="1049" t="str">
        <f>VLOOKUP($B1726,DG!A:D,DG!$C$2,)</f>
        <v>Kéo dây nhôm lõi thép cỡ dây 95mm2</v>
      </c>
      <c r="G1726" s="1044" t="str">
        <f>VLOOKUP($B1726,DG!A:D,DG!$D$2,)</f>
        <v>km</v>
      </c>
      <c r="H1726" s="1823"/>
      <c r="I1726" s="1823"/>
      <c r="J1726" s="1823"/>
      <c r="K1726" s="1823"/>
      <c r="L1726" s="1823"/>
      <c r="M1726" s="1823"/>
      <c r="N1726" s="1823"/>
      <c r="O1726" s="1823"/>
      <c r="P1726" s="1823">
        <f t="shared" si="315"/>
        <v>0</v>
      </c>
      <c r="Q1726" s="1053"/>
      <c r="R1726" s="1053"/>
      <c r="S1726" s="1053"/>
      <c r="T1726" s="2035">
        <f t="shared" si="320"/>
        <v>0</v>
      </c>
    </row>
    <row r="1727" spans="1:20" ht="22.2" hidden="1" customHeight="1">
      <c r="A1727" s="59"/>
      <c r="B1727" s="1584" t="s">
        <v>139</v>
      </c>
      <c r="C1727" s="1013" t="str">
        <f t="shared" si="321"/>
        <v xml:space="preserve"> </v>
      </c>
      <c r="D1727" s="1533">
        <f t="shared" si="322"/>
        <v>0</v>
      </c>
      <c r="E1727" s="1044" t="str">
        <f>VLOOKUP($B1727,DG!A:D,DG!$B$2,)</f>
        <v>06.6107</v>
      </c>
      <c r="F1727" s="1049" t="str">
        <f>VLOOKUP($B1727,DG!A:D,DG!$C$2,)</f>
        <v>Kéo dây nhôm lõi thép cỡ dây 120mm2</v>
      </c>
      <c r="G1727" s="1044" t="str">
        <f>VLOOKUP($B1727,DG!A:D,DG!$D$2,)</f>
        <v>km</v>
      </c>
      <c r="H1727" s="1823"/>
      <c r="I1727" s="1823"/>
      <c r="J1727" s="1823"/>
      <c r="K1727" s="1823"/>
      <c r="L1727" s="1823"/>
      <c r="M1727" s="1823"/>
      <c r="N1727" s="1823"/>
      <c r="O1727" s="1823"/>
      <c r="P1727" s="1823">
        <f t="shared" si="315"/>
        <v>0</v>
      </c>
      <c r="Q1727" s="1053"/>
      <c r="R1727" s="1053"/>
      <c r="S1727" s="1053"/>
      <c r="T1727" s="2035">
        <f t="shared" si="320"/>
        <v>0</v>
      </c>
    </row>
    <row r="1728" spans="1:20" ht="22.2" hidden="1" customHeight="1">
      <c r="A1728" s="59"/>
      <c r="B1728" s="1584" t="s">
        <v>791</v>
      </c>
      <c r="C1728" s="1013" t="str">
        <f t="shared" si="321"/>
        <v xml:space="preserve"> </v>
      </c>
      <c r="D1728" s="1533">
        <f t="shared" si="322"/>
        <v>0</v>
      </c>
      <c r="E1728" s="1044" t="str">
        <f>VLOOKUP($B1728,DG!A:D,DG!$B$2,)</f>
        <v>06.6108</v>
      </c>
      <c r="F1728" s="1049" t="str">
        <f>VLOOKUP($B1728,DG!A:D,DG!$C$2,)</f>
        <v>Kéo dây nhôm lõi thép cỡ dây 150mm2</v>
      </c>
      <c r="G1728" s="1044" t="str">
        <f>VLOOKUP($B1728,DG!A:D,DG!$D$2,)</f>
        <v>km</v>
      </c>
      <c r="H1728" s="1823"/>
      <c r="I1728" s="1823"/>
      <c r="J1728" s="1823"/>
      <c r="K1728" s="1823"/>
      <c r="L1728" s="1823"/>
      <c r="M1728" s="1823"/>
      <c r="N1728" s="1823"/>
      <c r="O1728" s="1823"/>
      <c r="P1728" s="1823">
        <f t="shared" si="315"/>
        <v>0</v>
      </c>
      <c r="Q1728" s="1053"/>
      <c r="R1728" s="1053"/>
      <c r="S1728" s="1053"/>
      <c r="T1728" s="2035">
        <f t="shared" si="320"/>
        <v>0</v>
      </c>
    </row>
    <row r="1729" spans="1:20" ht="22.2" hidden="1" customHeight="1">
      <c r="A1729" s="59"/>
      <c r="B1729" s="1584" t="s">
        <v>140</v>
      </c>
      <c r="C1729" s="1013" t="str">
        <f t="shared" si="321"/>
        <v xml:space="preserve"> </v>
      </c>
      <c r="D1729" s="1533">
        <f t="shared" si="322"/>
        <v>0</v>
      </c>
      <c r="E1729" s="1044" t="str">
        <f>VLOOKUP($B1729,DG!A:D,DG!$B$2,)</f>
        <v>06.6109</v>
      </c>
      <c r="F1729" s="1049" t="str">
        <f>VLOOKUP($B1729,DG!A:D,DG!$C$2,)</f>
        <v>Kéo dây nhôm lõi thép cỡ dây 185mm2</v>
      </c>
      <c r="G1729" s="1044" t="str">
        <f>VLOOKUP($B1729,DG!A:D,DG!$D$2,)</f>
        <v>km</v>
      </c>
      <c r="H1729" s="1823"/>
      <c r="I1729" s="1823"/>
      <c r="J1729" s="1823"/>
      <c r="K1729" s="1823"/>
      <c r="L1729" s="1823"/>
      <c r="M1729" s="1823"/>
      <c r="N1729" s="1823"/>
      <c r="O1729" s="1823"/>
      <c r="P1729" s="1823">
        <f t="shared" si="315"/>
        <v>0</v>
      </c>
      <c r="Q1729" s="1053"/>
      <c r="R1729" s="1053"/>
      <c r="S1729" s="1053"/>
      <c r="T1729" s="2035">
        <f t="shared" si="320"/>
        <v>0</v>
      </c>
    </row>
    <row r="1730" spans="1:20" ht="22.2" hidden="1" customHeight="1">
      <c r="A1730" s="59"/>
      <c r="B1730" s="1584" t="s">
        <v>711</v>
      </c>
      <c r="C1730" s="1013" t="str">
        <f t="shared" si="321"/>
        <v xml:space="preserve"> </v>
      </c>
      <c r="D1730" s="1533">
        <f t="shared" si="322"/>
        <v>0</v>
      </c>
      <c r="E1730" s="1044" t="str">
        <f>VLOOKUP($B1730,DG!A:D,DG!$B$2,)</f>
        <v>06.6110</v>
      </c>
      <c r="F1730" s="1049" t="str">
        <f>VLOOKUP($B1730,DG!A:D,DG!$C$2,)</f>
        <v>Kéo dây nhôm lõi thép cỡ dây 240mm2</v>
      </c>
      <c r="G1730" s="1044" t="str">
        <f>VLOOKUP($B1730,DG!A:D,DG!$D$2,)</f>
        <v>km</v>
      </c>
      <c r="H1730" s="1823"/>
      <c r="I1730" s="1823"/>
      <c r="J1730" s="1823"/>
      <c r="K1730" s="1823"/>
      <c r="L1730" s="1823"/>
      <c r="M1730" s="1823"/>
      <c r="N1730" s="1823"/>
      <c r="O1730" s="1823"/>
      <c r="P1730" s="1823">
        <f t="shared" si="315"/>
        <v>0</v>
      </c>
      <c r="Q1730" s="1053"/>
      <c r="R1730" s="1053"/>
      <c r="S1730" s="1053"/>
      <c r="T1730" s="2035">
        <f t="shared" si="320"/>
        <v>0</v>
      </c>
    </row>
    <row r="1731" spans="1:20" ht="22.2" hidden="1" customHeight="1">
      <c r="A1731" s="59"/>
      <c r="B1731" s="1584" t="s">
        <v>79</v>
      </c>
      <c r="C1731" s="1013" t="str">
        <f t="shared" si="321"/>
        <v xml:space="preserve"> </v>
      </c>
      <c r="D1731" s="1533">
        <f>E1643/1000</f>
        <v>0</v>
      </c>
      <c r="E1731" s="1044" t="str">
        <f>VLOOKUP($B1731,DG!A:D,DG!$B$2,)</f>
        <v>06.6105</v>
      </c>
      <c r="F1731" s="1049" t="str">
        <f>VLOOKUP($B1731,DG!A:D,DG!$C$2,)</f>
        <v>Kéo dây nhôm bọc 70mm2</v>
      </c>
      <c r="G1731" s="1044" t="str">
        <f>VLOOKUP($B1731,DG!A:D,DG!$D$2,)</f>
        <v>km</v>
      </c>
      <c r="H1731" s="1823"/>
      <c r="I1731" s="1823"/>
      <c r="J1731" s="1823"/>
      <c r="K1731" s="1823"/>
      <c r="L1731" s="1823"/>
      <c r="M1731" s="1823"/>
      <c r="N1731" s="1823"/>
      <c r="O1731" s="1823"/>
      <c r="P1731" s="1823">
        <f t="shared" si="315"/>
        <v>0</v>
      </c>
      <c r="Q1731" s="1053"/>
      <c r="R1731" s="1053"/>
      <c r="S1731" s="1053"/>
      <c r="T1731" s="2035">
        <f t="shared" si="320"/>
        <v>0</v>
      </c>
    </row>
    <row r="1732" spans="1:20" ht="22.2" hidden="1" customHeight="1">
      <c r="A1732" s="59"/>
      <c r="B1732" s="1584" t="s">
        <v>1512</v>
      </c>
      <c r="C1732" s="1013" t="str">
        <f t="shared" si="321"/>
        <v xml:space="preserve"> </v>
      </c>
      <c r="D1732" s="1533">
        <f>E1642/1000</f>
        <v>0</v>
      </c>
      <c r="E1732" s="1044" t="str">
        <f>VLOOKUP($B1732,DG!A:D,DG!$B$2,)</f>
        <v>06.6106</v>
      </c>
      <c r="F1732" s="1049" t="str">
        <f>VLOOKUP($B1732,DG!A:D,DG!$C$2,)</f>
        <v>Kéo dây nhôm bọc 95mm2</v>
      </c>
      <c r="G1732" s="1044" t="str">
        <f>VLOOKUP($B1732,DG!A:D,DG!$D$2,)</f>
        <v>km</v>
      </c>
      <c r="H1732" s="1823"/>
      <c r="I1732" s="1823"/>
      <c r="J1732" s="1823"/>
      <c r="K1732" s="1823"/>
      <c r="L1732" s="1823"/>
      <c r="M1732" s="1823"/>
      <c r="N1732" s="1823"/>
      <c r="O1732" s="1823"/>
      <c r="P1732" s="1823">
        <f t="shared" si="315"/>
        <v>0</v>
      </c>
      <c r="Q1732" s="1053"/>
      <c r="R1732" s="1053"/>
      <c r="S1732" s="1053"/>
      <c r="T1732" s="2035">
        <f t="shared" si="320"/>
        <v>0</v>
      </c>
    </row>
    <row r="1733" spans="1:20" ht="22.2" hidden="1" customHeight="1">
      <c r="A1733" s="59"/>
      <c r="B1733" s="1584" t="s">
        <v>1174</v>
      </c>
      <c r="C1733" s="1013" t="str">
        <f t="shared" si="321"/>
        <v xml:space="preserve"> </v>
      </c>
      <c r="D1733" s="1533">
        <f>E1641/1000</f>
        <v>0</v>
      </c>
      <c r="E1733" s="1044" t="str">
        <f>VLOOKUP($B1733,DG!A:D,DG!$B$2,)</f>
        <v>06.6107</v>
      </c>
      <c r="F1733" s="1049" t="str">
        <f>VLOOKUP($B1733,DG!A:D,DG!$C$2,)</f>
        <v>Kéo dây nhôm bọc 120mm2</v>
      </c>
      <c r="G1733" s="1044" t="str">
        <f>VLOOKUP($B1733,DG!A:D,DG!$D$2,)</f>
        <v>km</v>
      </c>
      <c r="H1733" s="1823"/>
      <c r="I1733" s="1823"/>
      <c r="J1733" s="1823"/>
      <c r="K1733" s="1823"/>
      <c r="L1733" s="1823"/>
      <c r="M1733" s="1823"/>
      <c r="N1733" s="1823"/>
      <c r="O1733" s="1823"/>
      <c r="P1733" s="1823">
        <f t="shared" si="315"/>
        <v>0</v>
      </c>
      <c r="Q1733" s="1053"/>
      <c r="R1733" s="1053"/>
      <c r="S1733" s="1053"/>
      <c r="T1733" s="2035">
        <f t="shared" si="320"/>
        <v>0</v>
      </c>
    </row>
    <row r="1734" spans="1:20" ht="22.2" hidden="1" customHeight="1">
      <c r="A1734" s="59"/>
      <c r="B1734" s="1584" t="s">
        <v>924</v>
      </c>
      <c r="C1734" s="1013" t="str">
        <f t="shared" si="321"/>
        <v xml:space="preserve"> </v>
      </c>
      <c r="D1734" s="1533">
        <f>E1640/1000</f>
        <v>0</v>
      </c>
      <c r="E1734" s="1044" t="str">
        <f>VLOOKUP($B1734,DG!A:D,DG!$B$2,)</f>
        <v>06.6108</v>
      </c>
      <c r="F1734" s="1049" t="str">
        <f>VLOOKUP($B1734,DG!A:D,DG!$C$2,)</f>
        <v>Kéo dây nhôm bọc 150mm2</v>
      </c>
      <c r="G1734" s="1044" t="str">
        <f>VLOOKUP($B1734,DG!A:D,DG!$D$2,)</f>
        <v>km</v>
      </c>
      <c r="H1734" s="1823"/>
      <c r="I1734" s="1823"/>
      <c r="J1734" s="1823"/>
      <c r="K1734" s="1823"/>
      <c r="L1734" s="1823"/>
      <c r="M1734" s="1823"/>
      <c r="N1734" s="1823"/>
      <c r="O1734" s="1823"/>
      <c r="P1734" s="1823">
        <f t="shared" si="315"/>
        <v>0</v>
      </c>
      <c r="Q1734" s="1053"/>
      <c r="R1734" s="1053"/>
      <c r="S1734" s="1053"/>
      <c r="T1734" s="2035">
        <f t="shared" si="320"/>
        <v>0</v>
      </c>
    </row>
    <row r="1735" spans="1:20" ht="22.2" hidden="1" customHeight="1">
      <c r="A1735" s="59"/>
      <c r="B1735" s="1584" t="s">
        <v>925</v>
      </c>
      <c r="C1735" s="1013" t="str">
        <f t="shared" si="321"/>
        <v xml:space="preserve"> </v>
      </c>
      <c r="D1735" s="1533">
        <f>E1639/1000</f>
        <v>0</v>
      </c>
      <c r="E1735" s="1044" t="str">
        <f>VLOOKUP($B1735,DG!A:D,DG!$B$2,)</f>
        <v>06.6109</v>
      </c>
      <c r="F1735" s="1049" t="str">
        <f>VLOOKUP($B1735,DG!A:D,DG!$C$2,)</f>
        <v>Kéo dây nhôm bọc 185mm2</v>
      </c>
      <c r="G1735" s="1044" t="str">
        <f>VLOOKUP($B1735,DG!A:D,DG!$D$2,)</f>
        <v>km</v>
      </c>
      <c r="H1735" s="1823"/>
      <c r="I1735" s="1823"/>
      <c r="J1735" s="1823"/>
      <c r="K1735" s="1823"/>
      <c r="L1735" s="1823"/>
      <c r="M1735" s="1823"/>
      <c r="N1735" s="1823"/>
      <c r="O1735" s="1823"/>
      <c r="P1735" s="1823">
        <f t="shared" si="315"/>
        <v>0</v>
      </c>
      <c r="Q1735" s="1053"/>
      <c r="R1735" s="1053"/>
      <c r="S1735" s="1053"/>
      <c r="T1735" s="2035">
        <f t="shared" si="320"/>
        <v>0</v>
      </c>
    </row>
    <row r="1736" spans="1:20" ht="22.2" hidden="1" customHeight="1">
      <c r="A1736" s="59"/>
      <c r="B1736" s="1584" t="s">
        <v>1444</v>
      </c>
      <c r="C1736" s="1013" t="str">
        <f t="shared" si="321"/>
        <v xml:space="preserve"> </v>
      </c>
      <c r="D1736" s="1533">
        <f>E1638/1000</f>
        <v>0</v>
      </c>
      <c r="E1736" s="1044" t="str">
        <f>VLOOKUP($B1736,DG!A:D,DG!$B$2,)</f>
        <v>06.6110</v>
      </c>
      <c r="F1736" s="1049" t="str">
        <f>VLOOKUP($B1736,DG!A:D,DG!$C$2,)</f>
        <v>Kéo dây nhôm bọc 240mm2</v>
      </c>
      <c r="G1736" s="1044" t="str">
        <f>VLOOKUP($B1736,DG!A:D,DG!$D$2,)</f>
        <v>km</v>
      </c>
      <c r="H1736" s="1823"/>
      <c r="I1736" s="1823"/>
      <c r="J1736" s="1823"/>
      <c r="K1736" s="1823"/>
      <c r="L1736" s="1823"/>
      <c r="M1736" s="1823"/>
      <c r="N1736" s="1823"/>
      <c r="O1736" s="1823"/>
      <c r="P1736" s="1823">
        <f t="shared" si="315"/>
        <v>0</v>
      </c>
      <c r="Q1736" s="1053"/>
      <c r="R1736" s="1053"/>
      <c r="S1736" s="1053"/>
      <c r="T1736" s="2035">
        <f t="shared" si="320"/>
        <v>0</v>
      </c>
    </row>
    <row r="1737" spans="1:20" ht="22.2" hidden="1" customHeight="1">
      <c r="A1737" s="59"/>
      <c r="B1737" s="1577" t="s">
        <v>347</v>
      </c>
      <c r="C1737" s="1013" t="str">
        <f t="shared" si="321"/>
        <v xml:space="preserve"> </v>
      </c>
      <c r="D1737" s="1535">
        <f>D1656+D1659+D1663*2</f>
        <v>0</v>
      </c>
      <c r="E1737" s="1044" t="str">
        <f>VLOOKUP($B1737,DG!A:D,DG!$B$2,)</f>
        <v>06.1115</v>
      </c>
      <c r="F1737" s="1049" t="str">
        <f>VLOOKUP($B1737,DG!A:D,DG!$C$2,)</f>
        <v>Lắp sứ đứng 24KV</v>
      </c>
      <c r="G1737" s="1044" t="str">
        <f>VLOOKUP($B1737,DG!A:D,DG!$D$2,)</f>
        <v>bộ</v>
      </c>
      <c r="H1737" s="1823"/>
      <c r="I1737" s="1823"/>
      <c r="J1737" s="1823"/>
      <c r="K1737" s="1823"/>
      <c r="L1737" s="1823"/>
      <c r="M1737" s="1823"/>
      <c r="N1737" s="1823"/>
      <c r="O1737" s="1823"/>
      <c r="P1737" s="1823">
        <f t="shared" si="315"/>
        <v>0</v>
      </c>
      <c r="Q1737" s="1053"/>
      <c r="R1737" s="1053"/>
      <c r="S1737" s="1053"/>
      <c r="T1737" s="2035">
        <f t="shared" si="320"/>
        <v>0</v>
      </c>
    </row>
    <row r="1738" spans="1:20" ht="22.2" hidden="1" customHeight="1">
      <c r="A1738" s="59"/>
      <c r="B1738" s="1577" t="s">
        <v>348</v>
      </c>
      <c r="C1738" s="1013" t="str">
        <f t="shared" si="321"/>
        <v xml:space="preserve"> </v>
      </c>
      <c r="D1738" s="1535">
        <f>D1659+D1663*2</f>
        <v>0</v>
      </c>
      <c r="E1738" s="1044" t="str">
        <f>VLOOKUP($B1738,DG!A:D,DG!$B$2,)</f>
        <v>06.3231</v>
      </c>
      <c r="F1738" s="1049" t="str">
        <f>VLOOKUP($B1738,DG!A:D,DG!$C$2,)</f>
        <v>Lắp chân sứ đỉnh</v>
      </c>
      <c r="G1738" s="1044" t="str">
        <f>VLOOKUP($B1738,DG!A:D,DG!$D$2,)</f>
        <v>cái</v>
      </c>
      <c r="H1738" s="1823"/>
      <c r="I1738" s="1823"/>
      <c r="J1738" s="1823"/>
      <c r="K1738" s="1823"/>
      <c r="L1738" s="1823"/>
      <c r="M1738" s="1823"/>
      <c r="N1738" s="1823"/>
      <c r="O1738" s="1823"/>
      <c r="P1738" s="1823">
        <f t="shared" si="315"/>
        <v>0</v>
      </c>
      <c r="Q1738" s="1053"/>
      <c r="R1738" s="1053"/>
      <c r="S1738" s="1053"/>
      <c r="T1738" s="2035">
        <f t="shared" si="320"/>
        <v>0</v>
      </c>
    </row>
    <row r="1739" spans="1:20" ht="22.2" hidden="1" customHeight="1">
      <c r="A1739" s="59"/>
      <c r="B1739" s="1577" t="s">
        <v>349</v>
      </c>
      <c r="C1739" s="1013" t="str">
        <f t="shared" si="321"/>
        <v xml:space="preserve"> </v>
      </c>
      <c r="D1739" s="1535">
        <f>-SUM(D1682:D1683)</f>
        <v>0</v>
      </c>
      <c r="E1739" s="1044" t="str">
        <f>VLOOKUP($B1739,DG!A:D,DG!$B$2,)</f>
        <v>06.1410</v>
      </c>
      <c r="F1739" s="1049" t="str">
        <f>VLOOKUP($B1739,DG!A:D,DG!$C$2,)</f>
        <v>Lắp chuỗi sứ đỡ 2 bát/chuỗi</v>
      </c>
      <c r="G1739" s="1044" t="str">
        <f>VLOOKUP($B1739,DG!A:D,DG!$D$2,)</f>
        <v>chuỗi</v>
      </c>
      <c r="H1739" s="1823"/>
      <c r="I1739" s="1823"/>
      <c r="J1739" s="1823"/>
      <c r="K1739" s="1823"/>
      <c r="L1739" s="1823"/>
      <c r="M1739" s="1823"/>
      <c r="N1739" s="1823"/>
      <c r="O1739" s="1823"/>
      <c r="P1739" s="1823">
        <f t="shared" si="315"/>
        <v>0</v>
      </c>
      <c r="Q1739" s="1053"/>
      <c r="R1739" s="1053"/>
      <c r="S1739" s="1053"/>
      <c r="T1739" s="2035">
        <f t="shared" si="320"/>
        <v>0</v>
      </c>
    </row>
    <row r="1740" spans="1:20" ht="22.2" hidden="1" customHeight="1">
      <c r="A1740" s="59"/>
      <c r="B1740" s="1577" t="s">
        <v>350</v>
      </c>
      <c r="C1740" s="1013" t="str">
        <f t="shared" si="321"/>
        <v xml:space="preserve"> </v>
      </c>
      <c r="D1740" s="1535">
        <f>D1673+D1667-D1739</f>
        <v>0</v>
      </c>
      <c r="E1740" s="1044" t="str">
        <f>VLOOKUP($B1740,DG!A:D,DG!$B$2,)</f>
        <v>06.1511</v>
      </c>
      <c r="F1740" s="1049" t="str">
        <f>VLOOKUP($B1740,DG!A:D,DG!$C$2,)</f>
        <v>Lắp chuỗi sứ néo 2 bát/chuỗi</v>
      </c>
      <c r="G1740" s="1044" t="str">
        <f>VLOOKUP($B1740,DG!A:D,DG!$D$2,)</f>
        <v>chuỗi</v>
      </c>
      <c r="H1740" s="1823"/>
      <c r="I1740" s="1823"/>
      <c r="J1740" s="1823"/>
      <c r="K1740" s="1823"/>
      <c r="L1740" s="1823"/>
      <c r="M1740" s="1823"/>
      <c r="N1740" s="1823"/>
      <c r="O1740" s="1823"/>
      <c r="P1740" s="1823">
        <f t="shared" si="315"/>
        <v>0</v>
      </c>
      <c r="Q1740" s="1058"/>
      <c r="R1740" s="1058"/>
      <c r="S1740" s="1058"/>
      <c r="T1740" s="2035">
        <f t="shared" si="320"/>
        <v>0</v>
      </c>
    </row>
    <row r="1741" spans="1:20" ht="22.2" hidden="1" customHeight="1">
      <c r="A1741" s="59"/>
      <c r="B1741" s="1577" t="s">
        <v>1510</v>
      </c>
      <c r="C1741" s="1013" t="str">
        <f t="shared" si="321"/>
        <v xml:space="preserve"> </v>
      </c>
      <c r="D1741" s="1535">
        <f>D1674+D1668-D1740</f>
        <v>0</v>
      </c>
      <c r="E1741" s="1044" t="str">
        <f>VLOOKUP($B1741,DG!A:D,DG!$B$2,)</f>
        <v>06.2201</v>
      </c>
      <c r="F1741" s="1049" t="str">
        <f>VLOOKUP($B1741,DG!A:D,DG!$C$2,)</f>
        <v>Lắp chuỗi sứ néo Polymer</v>
      </c>
      <c r="G1741" s="1044" t="str">
        <f>VLOOKUP($B1741,DG!A:D,DG!$D$2,)</f>
        <v>chuỗi</v>
      </c>
      <c r="H1741" s="1823"/>
      <c r="I1741" s="1823"/>
      <c r="J1741" s="1823"/>
      <c r="K1741" s="1823"/>
      <c r="L1741" s="1823"/>
      <c r="M1741" s="1823"/>
      <c r="N1741" s="1823"/>
      <c r="O1741" s="1823"/>
      <c r="P1741" s="1823">
        <f t="shared" si="315"/>
        <v>0</v>
      </c>
      <c r="Q1741" s="1058"/>
      <c r="R1741" s="1058"/>
      <c r="S1741" s="1058"/>
      <c r="T1741" s="2035">
        <f t="shared" si="320"/>
        <v>0</v>
      </c>
    </row>
    <row r="1742" spans="1:20" ht="22.2" hidden="1" customHeight="1">
      <c r="A1742" s="59"/>
      <c r="B1742" s="1577" t="s">
        <v>351</v>
      </c>
      <c r="C1742" s="1013" t="str">
        <f t="shared" si="321"/>
        <v xml:space="preserve"> </v>
      </c>
      <c r="D1742" s="1535">
        <f>D1644+D1647</f>
        <v>0</v>
      </c>
      <c r="E1742" s="1044" t="str">
        <f>VLOOKUP($B1742,DG!A:D,DG!$B$2,)</f>
        <v>06.1211</v>
      </c>
      <c r="F1742" s="1049" t="str">
        <f>VLOOKUP($B1742,DG!A:D,DG!$C$2,)</f>
        <v>Lắp rack sứ + sứ ống chỉ</v>
      </c>
      <c r="G1742" s="1044" t="str">
        <f>VLOOKUP($B1742,DG!A:D,DG!$D$2,)</f>
        <v>bộ</v>
      </c>
      <c r="H1742" s="1823"/>
      <c r="I1742" s="1823"/>
      <c r="J1742" s="1823"/>
      <c r="K1742" s="1823"/>
      <c r="L1742" s="1823"/>
      <c r="M1742" s="1823"/>
      <c r="N1742" s="1823"/>
      <c r="O1742" s="1823"/>
      <c r="P1742" s="1823">
        <f t="shared" si="315"/>
        <v>0</v>
      </c>
      <c r="Q1742" s="1053"/>
      <c r="R1742" s="1053"/>
      <c r="S1742" s="1053"/>
      <c r="T1742" s="2035">
        <f t="shared" si="320"/>
        <v>0</v>
      </c>
    </row>
    <row r="1743" spans="1:20" ht="22.2" hidden="1" customHeight="1">
      <c r="A1743" s="59"/>
      <c r="B1743" s="1577" t="s">
        <v>353</v>
      </c>
      <c r="C1743" s="1013" t="str">
        <f t="shared" si="321"/>
        <v xml:space="preserve"> </v>
      </c>
      <c r="D1743" s="1535">
        <f>P1743</f>
        <v>0</v>
      </c>
      <c r="E1743" s="1044" t="str">
        <f>VLOOKUP($B1743,DG!A:D,DG!$B$2,)</f>
        <v>06.5072</v>
      </c>
      <c r="F1743" s="1049" t="str">
        <f>VLOOKUP($B1743,DG!A:D,DG!$C$2,)</f>
        <v xml:space="preserve">Kéo dây qua vị trí bẻ góc dây </v>
      </c>
      <c r="G1743" s="1044" t="str">
        <f>VLOOKUP($B1743,DG!A:D,DG!$D$2,)</f>
        <v>vị trí</v>
      </c>
      <c r="H1743" s="1823"/>
      <c r="I1743" s="1823"/>
      <c r="J1743" s="1823"/>
      <c r="K1743" s="1823"/>
      <c r="L1743" s="1823"/>
      <c r="M1743" s="1823"/>
      <c r="N1743" s="1823"/>
      <c r="O1743" s="1823"/>
      <c r="P1743" s="1823">
        <f t="shared" si="315"/>
        <v>0</v>
      </c>
      <c r="Q1743" s="1058"/>
      <c r="R1743" s="1058"/>
      <c r="S1743" s="1058"/>
      <c r="T1743" s="2035">
        <f t="shared" si="320"/>
        <v>0</v>
      </c>
    </row>
    <row r="1744" spans="1:20" ht="22.2" hidden="1" customHeight="1">
      <c r="A1744" s="59"/>
      <c r="B1744" s="1577" t="s">
        <v>354</v>
      </c>
      <c r="C1744" s="1013" t="str">
        <f t="shared" si="321"/>
        <v xml:space="preserve"> </v>
      </c>
      <c r="D1744" s="1532">
        <f>'pp3p2m '!EA82</f>
        <v>0</v>
      </c>
      <c r="E1744" s="1044" t="str">
        <f>VLOOKUP($B1744,DG!A:D,DG!$B$2,)</f>
        <v>06.5082</v>
      </c>
      <c r="F1744" s="1049" t="str">
        <f>VLOOKUP($B1744,DG!A:D,DG!$C$2,)</f>
        <v>Kéo dây qua sông ( S&lt;=300)</v>
      </c>
      <c r="G1744" s="1044" t="str">
        <f>VLOOKUP($B1744,DG!A:D,DG!$D$2,)</f>
        <v>vị trí</v>
      </c>
      <c r="H1744" s="1823"/>
      <c r="I1744" s="1823"/>
      <c r="J1744" s="1823"/>
      <c r="K1744" s="1823"/>
      <c r="L1744" s="1823"/>
      <c r="M1744" s="1823"/>
      <c r="N1744" s="1823"/>
      <c r="O1744" s="1823"/>
      <c r="P1744" s="1823">
        <f t="shared" si="315"/>
        <v>0</v>
      </c>
      <c r="Q1744" s="1058"/>
      <c r="R1744" s="1058"/>
      <c r="S1744" s="1058"/>
      <c r="T1744" s="2035">
        <f t="shared" si="320"/>
        <v>0</v>
      </c>
    </row>
    <row r="1745" spans="1:20" ht="22.2" hidden="1" customHeight="1">
      <c r="A1745" s="59"/>
      <c r="B1745" s="1577" t="s">
        <v>355</v>
      </c>
      <c r="C1745" s="1013" t="str">
        <f t="shared" si="321"/>
        <v xml:space="preserve"> </v>
      </c>
      <c r="D1745" s="1534">
        <f>D1628</f>
        <v>0</v>
      </c>
      <c r="E1745" s="1044" t="str">
        <f>VLOOKUP($B1745,DG!A:D,DG!$B$2,)</f>
        <v>02.1122</v>
      </c>
      <c r="F1745" s="1049" t="str">
        <f>VLOOKUP($B1745,DG!A:D,DG!$C$2,)</f>
        <v>Bốc dỡ dây</v>
      </c>
      <c r="G1745" s="1044" t="str">
        <f>VLOOKUP($B1745,DG!A:D,DG!$D$2,)</f>
        <v>tấn</v>
      </c>
      <c r="H1745" s="1823"/>
      <c r="I1745" s="1823"/>
      <c r="J1745" s="1823"/>
      <c r="K1745" s="1823"/>
      <c r="L1745" s="1823"/>
      <c r="M1745" s="1823"/>
      <c r="N1745" s="1823"/>
      <c r="O1745" s="1823"/>
      <c r="P1745" s="1823">
        <f t="shared" si="315"/>
        <v>0</v>
      </c>
      <c r="Q1745" s="1058"/>
      <c r="R1745" s="1058"/>
      <c r="S1745" s="1058"/>
      <c r="T1745" s="2035">
        <f t="shared" si="320"/>
        <v>0</v>
      </c>
    </row>
    <row r="1746" spans="1:20" ht="22.2" hidden="1" customHeight="1">
      <c r="A1746" s="59"/>
      <c r="B1746" s="1577" t="s">
        <v>1906</v>
      </c>
      <c r="C1746" s="1013" t="str">
        <f t="shared" si="321"/>
        <v xml:space="preserve"> </v>
      </c>
      <c r="D1746" s="1534">
        <f>D1627</f>
        <v>0</v>
      </c>
      <c r="E1746" s="1044" t="str">
        <f>VLOOKUP($B1746,DG!A:D,DG!$B$2,)</f>
        <v>02.1120</v>
      </c>
      <c r="F1746" s="1049" t="str">
        <f>VLOOKUP($B1746,DG!A:D,DG!$C$2,)</f>
        <v>Bốc dỡ phụ kiện</v>
      </c>
      <c r="G1746" s="1044" t="str">
        <f>VLOOKUP($B1746,DG!A:D,DG!$D$2,)</f>
        <v>tấn</v>
      </c>
      <c r="H1746" s="1823"/>
      <c r="I1746" s="1823"/>
      <c r="J1746" s="1823"/>
      <c r="K1746" s="1823"/>
      <c r="L1746" s="1823"/>
      <c r="M1746" s="1823"/>
      <c r="N1746" s="1823"/>
      <c r="O1746" s="1823"/>
      <c r="P1746" s="1823">
        <f t="shared" si="315"/>
        <v>0</v>
      </c>
      <c r="Q1746" s="1058"/>
      <c r="R1746" s="1058"/>
      <c r="S1746" s="1058"/>
      <c r="T1746" s="2035">
        <f t="shared" si="320"/>
        <v>0</v>
      </c>
    </row>
    <row r="1747" spans="1:20" ht="22.2" hidden="1" customHeight="1">
      <c r="A1747" s="59"/>
      <c r="B1747" s="1590" t="s">
        <v>356</v>
      </c>
      <c r="C1747" s="1013" t="str">
        <f t="shared" si="321"/>
        <v xml:space="preserve"> </v>
      </c>
      <c r="D1747" s="1550"/>
      <c r="E1747" s="1044" t="str">
        <f>VLOOKUP($B1747,DG!A:D,DG!$B$2,)</f>
        <v>02.1421</v>
      </c>
      <c r="F1747" s="1049" t="str">
        <f>VLOOKUP($B1747,DG!A:D,DG!$C$2,)</f>
        <v>V/c phụ kiện vào vị trí (cự ly &lt;=100m)</v>
      </c>
      <c r="G1747" s="1044" t="str">
        <f>VLOOKUP($B1747,DG!A:D,DG!$D$2,)</f>
        <v>tấn</v>
      </c>
      <c r="H1747" s="1823"/>
      <c r="I1747" s="1823"/>
      <c r="J1747" s="1823"/>
      <c r="K1747" s="1823"/>
      <c r="L1747" s="1823"/>
      <c r="M1747" s="1823"/>
      <c r="N1747" s="1823"/>
      <c r="O1747" s="1823"/>
      <c r="P1747" s="1823">
        <f t="shared" si="315"/>
        <v>0</v>
      </c>
      <c r="Q1747" s="1058"/>
      <c r="R1747" s="1058"/>
      <c r="S1747" s="1058"/>
      <c r="T1747" s="2035">
        <f t="shared" si="320"/>
        <v>0</v>
      </c>
    </row>
    <row r="1748" spans="1:20" ht="22.2" hidden="1" customHeight="1">
      <c r="A1748" s="59"/>
      <c r="B1748" s="1590" t="s">
        <v>357</v>
      </c>
      <c r="C1748" s="1013" t="str">
        <f t="shared" si="321"/>
        <v xml:space="preserve"> </v>
      </c>
      <c r="D1748" s="1550"/>
      <c r="E1748" s="1044" t="str">
        <f>VLOOKUP($B1748,DG!A:D,DG!$B$2,)</f>
        <v>02.1441</v>
      </c>
      <c r="F1748" s="1049" t="str">
        <f>VLOOKUP($B1748,DG!A:D,DG!$C$2,)</f>
        <v>V/c dây vào vị trí (cự ly &lt;=100m)</v>
      </c>
      <c r="G1748" s="1044" t="str">
        <f>VLOOKUP($B1748,DG!A:D,DG!$D$2,)</f>
        <v>tấn</v>
      </c>
      <c r="H1748" s="1823"/>
      <c r="I1748" s="1823"/>
      <c r="J1748" s="1823"/>
      <c r="K1748" s="1823"/>
      <c r="L1748" s="1823"/>
      <c r="M1748" s="1823"/>
      <c r="N1748" s="1823"/>
      <c r="O1748" s="1823"/>
      <c r="P1748" s="1823">
        <f t="shared" si="315"/>
        <v>0</v>
      </c>
      <c r="Q1748" s="1058"/>
      <c r="R1748" s="1058"/>
      <c r="S1748" s="1058"/>
      <c r="T1748" s="2035">
        <f t="shared" si="320"/>
        <v>0</v>
      </c>
    </row>
    <row r="1749" spans="1:20" ht="22.2" hidden="1" customHeight="1">
      <c r="A1749" s="59"/>
      <c r="B1749" s="1588" t="s">
        <v>606</v>
      </c>
      <c r="C1749" s="1013" t="str">
        <f t="shared" si="321"/>
        <v xml:space="preserve"> </v>
      </c>
      <c r="D1749" s="1550"/>
      <c r="E1749" s="1044" t="str">
        <f>VLOOKUP($B1749,DG!A:D,DG!$B$2,)</f>
        <v>02.1482</v>
      </c>
      <c r="F1749" s="1049" t="str">
        <f>VLOOKUP($B1749,DG!A:D,DG!$C$2,)</f>
        <v>V/c dụng cụ thi công vào vị trí (cự ly &lt;=100m)</v>
      </c>
      <c r="G1749" s="1044" t="str">
        <f>VLOOKUP($B1749,DG!A:D,DG!$D$2,)</f>
        <v>tấn</v>
      </c>
      <c r="H1749" s="1823"/>
      <c r="I1749" s="1823"/>
      <c r="J1749" s="1823"/>
      <c r="K1749" s="1823"/>
      <c r="L1749" s="1823"/>
      <c r="M1749" s="1823"/>
      <c r="N1749" s="1823"/>
      <c r="O1749" s="1823"/>
      <c r="P1749" s="1823">
        <f t="shared" si="315"/>
        <v>0</v>
      </c>
      <c r="Q1749" s="1058"/>
      <c r="R1749" s="1058"/>
      <c r="S1749" s="1058"/>
      <c r="T1749" s="2035">
        <f t="shared" si="320"/>
        <v>0</v>
      </c>
    </row>
    <row r="1750" spans="1:20" ht="22.2" customHeight="1">
      <c r="A1750" s="1572" t="s">
        <v>1923</v>
      </c>
      <c r="B1750" s="1574" t="s">
        <v>1923</v>
      </c>
      <c r="C1750" s="1832" t="str">
        <f>IF(K1750&lt;&gt;0,"x"," ")</f>
        <v>x</v>
      </c>
      <c r="D1750" s="1532">
        <f>IF(SUM(D1751:D1769)&lt;&gt;0,1,0)</f>
        <v>1</v>
      </c>
      <c r="E1750" s="1046">
        <v>1</v>
      </c>
      <c r="F1750" s="1392" t="s">
        <v>4494</v>
      </c>
      <c r="G1750" s="1046" t="s">
        <v>2307</v>
      </c>
      <c r="H1750" s="1821">
        <f>SUM(I1750:O1750)</f>
        <v>1</v>
      </c>
      <c r="I1750" s="1822"/>
      <c r="J1750" s="1822"/>
      <c r="K1750" s="1822">
        <f>IF(SUM(K1751:K1769)&gt;0,1,0)</f>
        <v>1</v>
      </c>
      <c r="L1750" s="1822">
        <f>IFERROR(HLOOKUP(chitiet!B1750,pp1p!$1:$3,3,0),0)</f>
        <v>0</v>
      </c>
      <c r="M1750" s="1822"/>
      <c r="N1750" s="1822"/>
      <c r="O1750" s="1822"/>
      <c r="P1750" s="1821">
        <f>H1750</f>
        <v>1</v>
      </c>
      <c r="Q1750" s="1047"/>
      <c r="R1750" s="1047"/>
      <c r="S1750" s="1047"/>
      <c r="T1750" s="2035">
        <f>IFERROR(HLOOKUP(B1750,pp3p1m!1:3,3,0),0)</f>
        <v>0</v>
      </c>
    </row>
    <row r="1751" spans="1:20" ht="22.2" hidden="1" customHeight="1">
      <c r="A1751" s="59"/>
      <c r="B1751" s="1577" t="s">
        <v>728</v>
      </c>
      <c r="C1751" s="1013" t="str">
        <f t="shared" si="321"/>
        <v xml:space="preserve"> </v>
      </c>
      <c r="D1751" s="1538">
        <f>ROUND(E1751*1.02*0.921,2)</f>
        <v>0</v>
      </c>
      <c r="E1751" s="1061"/>
      <c r="F1751" s="1056" t="str">
        <f>VLOOKUP($B1751,DG!A:D,DG!$C$2,)</f>
        <v>Cáp nhôm lõi thép AC-240/39</v>
      </c>
      <c r="G1751" s="1044" t="str">
        <f>VLOOKUP($B1751,DG!A:D,DG!$D$2,)</f>
        <v>kg</v>
      </c>
      <c r="H1751" s="1823">
        <f t="shared" ref="H1751:H1769" si="323">$D1751</f>
        <v>0</v>
      </c>
      <c r="I1751" s="1823"/>
      <c r="J1751" s="1823"/>
      <c r="K1751" s="1823">
        <f t="shared" ref="K1751:K1769" si="324">D1751</f>
        <v>0</v>
      </c>
      <c r="L1751" s="1823"/>
      <c r="M1751" s="1823"/>
      <c r="N1751" s="1823"/>
      <c r="O1751" s="1823"/>
      <c r="P1751" s="1823">
        <f t="shared" si="315"/>
        <v>0</v>
      </c>
      <c r="Q1751" s="1053"/>
      <c r="R1751" s="1053"/>
      <c r="S1751" s="1053"/>
      <c r="T1751" s="2035">
        <f>IFERROR(HLOOKUP(B1751,pp3p1m!2:4,3,0),0)</f>
        <v>0</v>
      </c>
    </row>
    <row r="1752" spans="1:20" ht="22.2" hidden="1" customHeight="1">
      <c r="A1752" s="59"/>
      <c r="B1752" s="1577" t="s">
        <v>729</v>
      </c>
      <c r="C1752" s="1013" t="str">
        <f t="shared" si="321"/>
        <v xml:space="preserve"> </v>
      </c>
      <c r="D1752" s="1540">
        <f>ROUND(E1752*1.02*0.728,2)</f>
        <v>0</v>
      </c>
      <c r="E1752" s="1061"/>
      <c r="F1752" s="1056" t="str">
        <f>VLOOKUP($B1752,DG!A:D,DG!$C$2,)</f>
        <v>Cáp nhôm lõi thép AC-185/29</v>
      </c>
      <c r="G1752" s="1044" t="str">
        <f>VLOOKUP($B1752,DG!A:D,DG!$D$2,)</f>
        <v>kg</v>
      </c>
      <c r="H1752" s="1823">
        <f t="shared" si="323"/>
        <v>0</v>
      </c>
      <c r="I1752" s="1823"/>
      <c r="J1752" s="1823"/>
      <c r="K1752" s="1823">
        <f t="shared" si="324"/>
        <v>0</v>
      </c>
      <c r="L1752" s="1823"/>
      <c r="M1752" s="1823"/>
      <c r="N1752" s="1823"/>
      <c r="O1752" s="1823"/>
      <c r="P1752" s="1823">
        <f t="shared" si="315"/>
        <v>0</v>
      </c>
      <c r="Q1752" s="1053"/>
      <c r="R1752" s="1053"/>
      <c r="S1752" s="1053"/>
      <c r="T1752" s="2035">
        <f>IFERROR(HLOOKUP(B1752,pp3p1m!3:5,3,0),0)</f>
        <v>0</v>
      </c>
    </row>
    <row r="1753" spans="1:20" ht="22.2" hidden="1" customHeight="1">
      <c r="A1753" s="59"/>
      <c r="B1753" s="1577" t="s">
        <v>841</v>
      </c>
      <c r="C1753" s="1013" t="str">
        <f t="shared" si="321"/>
        <v xml:space="preserve"> </v>
      </c>
      <c r="D1753" s="1538">
        <f>ROUND(E1753*1.02*0.599,2)</f>
        <v>0</v>
      </c>
      <c r="E1753" s="1061"/>
      <c r="F1753" s="1056" t="str">
        <f>VLOOKUP($B1753,DG!A:D,DG!$C$2,)</f>
        <v>Cáp nhôm lõi thép AC-150/24</v>
      </c>
      <c r="G1753" s="1044" t="str">
        <f>VLOOKUP($B1753,DG!A:D,DG!$D$2,)</f>
        <v>kg</v>
      </c>
      <c r="H1753" s="1823">
        <f t="shared" si="323"/>
        <v>0</v>
      </c>
      <c r="I1753" s="1823"/>
      <c r="J1753" s="1823"/>
      <c r="K1753" s="1823">
        <f t="shared" si="324"/>
        <v>0</v>
      </c>
      <c r="L1753" s="1823"/>
      <c r="M1753" s="1823"/>
      <c r="N1753" s="1823"/>
      <c r="O1753" s="1823"/>
      <c r="P1753" s="1823">
        <f t="shared" ref="P1753:P1815" si="325">H1753+Q1753-R1753</f>
        <v>0</v>
      </c>
      <c r="Q1753" s="1053"/>
      <c r="R1753" s="1053"/>
      <c r="S1753" s="1053"/>
      <c r="T1753" s="2035">
        <f>IFERROR(HLOOKUP(B1753,pp3p1m!4:6,3,0),0)</f>
        <v>0</v>
      </c>
    </row>
    <row r="1754" spans="1:20" ht="22.2" hidden="1" customHeight="1">
      <c r="A1754" s="59"/>
      <c r="B1754" s="1577" t="s">
        <v>539</v>
      </c>
      <c r="C1754" s="1013" t="str">
        <f t="shared" si="321"/>
        <v xml:space="preserve"> </v>
      </c>
      <c r="D1754" s="1540">
        <f>ROUND(E1754*1.02*0.471,2)</f>
        <v>0</v>
      </c>
      <c r="E1754" s="1061"/>
      <c r="F1754" s="1056" t="str">
        <f>VLOOKUP($B1754,DG!A:D,DG!$C$2,)</f>
        <v>Cáp nhôm lõi thép AC-120/19</v>
      </c>
      <c r="G1754" s="1044" t="str">
        <f>VLOOKUP($B1754,DG!A:D,DG!$D$2,)</f>
        <v>kg</v>
      </c>
      <c r="H1754" s="1823">
        <f t="shared" si="323"/>
        <v>0</v>
      </c>
      <c r="I1754" s="1823"/>
      <c r="J1754" s="1823"/>
      <c r="K1754" s="1823">
        <f t="shared" si="324"/>
        <v>0</v>
      </c>
      <c r="L1754" s="1823"/>
      <c r="M1754" s="1823"/>
      <c r="N1754" s="1823"/>
      <c r="O1754" s="1823"/>
      <c r="P1754" s="1823">
        <f t="shared" si="325"/>
        <v>0</v>
      </c>
      <c r="Q1754" s="1053"/>
      <c r="R1754" s="1053"/>
      <c r="S1754" s="1053"/>
      <c r="T1754" s="2035">
        <f>IFERROR(HLOOKUP(B1754,pp3p1m!5:7,3,0),0)</f>
        <v>0</v>
      </c>
    </row>
    <row r="1755" spans="1:20" ht="22.2" hidden="1" customHeight="1">
      <c r="A1755" s="59"/>
      <c r="B1755" s="1577" t="s">
        <v>269</v>
      </c>
      <c r="C1755" s="1013" t="str">
        <f t="shared" si="321"/>
        <v xml:space="preserve"> </v>
      </c>
      <c r="D1755" s="1535">
        <f>ROUND(E1755*1.02*0.385,2)</f>
        <v>0</v>
      </c>
      <c r="E1755" s="1061"/>
      <c r="F1755" s="1056" t="str">
        <f>VLOOKUP($B1755,DG!A:D,DG!$C$2,)</f>
        <v>Cáp nhôm lõi thép AC-95/16</v>
      </c>
      <c r="G1755" s="1044" t="str">
        <f>VLOOKUP($B1755,DG!A:D,DG!$D$2,)</f>
        <v>kg</v>
      </c>
      <c r="H1755" s="1823">
        <f t="shared" si="323"/>
        <v>0</v>
      </c>
      <c r="I1755" s="1823"/>
      <c r="J1755" s="1823"/>
      <c r="K1755" s="1823">
        <f t="shared" si="324"/>
        <v>0</v>
      </c>
      <c r="L1755" s="1823"/>
      <c r="M1755" s="1823"/>
      <c r="N1755" s="1823"/>
      <c r="O1755" s="1823"/>
      <c r="P1755" s="1823">
        <f t="shared" si="325"/>
        <v>0</v>
      </c>
      <c r="Q1755" s="1053"/>
      <c r="R1755" s="1053"/>
      <c r="S1755" s="1053"/>
      <c r="T1755" s="2035">
        <f>IFERROR(HLOOKUP(B1755,pp3p1m!6:8,3,0),0)</f>
        <v>0</v>
      </c>
    </row>
    <row r="1756" spans="1:20" ht="22.2" hidden="1" customHeight="1">
      <c r="A1756" s="59"/>
      <c r="B1756" s="1577" t="s">
        <v>1242</v>
      </c>
      <c r="C1756" s="1013" t="str">
        <f t="shared" si="321"/>
        <v xml:space="preserve"> </v>
      </c>
      <c r="D1756" s="1545">
        <f>ROUND(E1756*1.02*0.276,2)</f>
        <v>0</v>
      </c>
      <c r="E1756" s="1061"/>
      <c r="F1756" s="1056" t="str">
        <f>VLOOKUP($B1756,DG!A:D,DG!$C$2,)</f>
        <v>Cáp nhôm lõi thép AC-70/11</v>
      </c>
      <c r="G1756" s="1044" t="str">
        <f>VLOOKUP($B1756,DG!A:D,DG!$D$2,)</f>
        <v>kg</v>
      </c>
      <c r="H1756" s="1823">
        <f t="shared" si="323"/>
        <v>0</v>
      </c>
      <c r="I1756" s="1823"/>
      <c r="J1756" s="1823"/>
      <c r="K1756" s="1823">
        <f t="shared" si="324"/>
        <v>0</v>
      </c>
      <c r="L1756" s="1823"/>
      <c r="M1756" s="1823"/>
      <c r="N1756" s="1823"/>
      <c r="O1756" s="1823"/>
      <c r="P1756" s="1823">
        <f t="shared" si="325"/>
        <v>0</v>
      </c>
      <c r="Q1756" s="1053"/>
      <c r="R1756" s="1053"/>
      <c r="S1756" s="1053"/>
      <c r="T1756" s="2035">
        <f>IFERROR(HLOOKUP(B1756,pp3p1m!7:9,3,0),0)</f>
        <v>0</v>
      </c>
    </row>
    <row r="1757" spans="1:20" ht="22.2" customHeight="1">
      <c r="B1757" s="1571" t="s">
        <v>88</v>
      </c>
      <c r="C1757" s="1832" t="str">
        <f t="shared" si="321"/>
        <v>x</v>
      </c>
      <c r="D1757" s="1533">
        <f>E1757*0.202</f>
        <v>12.726000000000001</v>
      </c>
      <c r="E1757" s="1061">
        <f>K1757</f>
        <v>63</v>
      </c>
      <c r="F1757" s="1056" t="str">
        <f>VLOOKUP($B1757,DG!A:D,DG!$C$2,)</f>
        <v>Cáp nhôm lõi thép AC-50/8</v>
      </c>
      <c r="G1757" s="1044" t="str">
        <f>VLOOKUP($B1757,DG!A:D,DG!$D$2,)</f>
        <v>kg</v>
      </c>
      <c r="H1757" s="2191">
        <f>D1757</f>
        <v>12.726000000000001</v>
      </c>
      <c r="I1757" s="1823"/>
      <c r="J1757" s="1823"/>
      <c r="K1757" s="1823">
        <f>IFERROR(HLOOKUP(B1757,pp3p1m!1:3,3,0),0)</f>
        <v>63</v>
      </c>
      <c r="L1757" s="1823"/>
      <c r="M1757" s="1823"/>
      <c r="N1757" s="1823"/>
      <c r="O1757" s="1823"/>
      <c r="P1757" s="2191">
        <f t="shared" si="325"/>
        <v>12.726000000000001</v>
      </c>
      <c r="Q1757" s="1053"/>
      <c r="R1757" s="1053"/>
      <c r="S1757" s="1053"/>
      <c r="T1757" s="2035">
        <f>IFERROR(HLOOKUP(B1757,pp3p1m!8:10,3,0),0)</f>
        <v>0</v>
      </c>
    </row>
    <row r="1758" spans="1:20" ht="22.2" customHeight="1">
      <c r="B1758" s="1571" t="s">
        <v>5144</v>
      </c>
      <c r="C1758" s="1832" t="str">
        <f t="shared" si="321"/>
        <v>x</v>
      </c>
      <c r="D1758" s="1545">
        <f>ROUND(T1757*1.02,2)</f>
        <v>0</v>
      </c>
      <c r="E1758" s="1061">
        <f>ROUND(pp3p1m!B96,0)*3</f>
        <v>189</v>
      </c>
      <c r="F1758" s="1056" t="str">
        <f>VLOOKUP($B1758,DG!A:D,DG!$C$2,)</f>
        <v>Cáp 24KV ACXH 95mm2</v>
      </c>
      <c r="G1758" s="1044" t="str">
        <f>VLOOKUP($B1758,DG!A:D,DG!$D$2,)</f>
        <v>mét</v>
      </c>
      <c r="H1758" s="2191">
        <f>E1758*1.02</f>
        <v>192.78</v>
      </c>
      <c r="I1758" s="1823"/>
      <c r="J1758" s="1823"/>
      <c r="K1758" s="1823">
        <f t="shared" si="324"/>
        <v>0</v>
      </c>
      <c r="L1758" s="1823"/>
      <c r="M1758" s="1823"/>
      <c r="N1758" s="1823"/>
      <c r="O1758" s="1823"/>
      <c r="P1758" s="2191">
        <f t="shared" si="325"/>
        <v>192.78</v>
      </c>
      <c r="Q1758" s="1053"/>
      <c r="R1758" s="1053"/>
      <c r="S1758" s="1053"/>
      <c r="T1758" s="2035">
        <f>IFERROR(HLOOKUP(B1758,pp3p1m!9:11,3,0),0)</f>
        <v>0</v>
      </c>
    </row>
    <row r="1759" spans="1:20" ht="22.2" hidden="1" customHeight="1">
      <c r="A1759" s="59"/>
      <c r="B1759" s="1577" t="s">
        <v>1798</v>
      </c>
      <c r="C1759" s="1013" t="str">
        <f t="shared" si="321"/>
        <v xml:space="preserve"> </v>
      </c>
      <c r="D1759" s="1535">
        <f t="shared" ref="D1759:D1767" si="326">ROUND(E1759*1.02,2)</f>
        <v>0</v>
      </c>
      <c r="E1759" s="1061"/>
      <c r="F1759" s="1056" t="str">
        <f>VLOOKUP($B1759,DG!A:D,DG!$C$2,)</f>
        <v>Cáp 24KV A/XLPE/PVC 240mm2</v>
      </c>
      <c r="G1759" s="1044" t="str">
        <f>VLOOKUP($B1759,DG!A:D,DG!$D$2,)</f>
        <v>mét</v>
      </c>
      <c r="H1759" s="1823">
        <f t="shared" si="323"/>
        <v>0</v>
      </c>
      <c r="I1759" s="1823"/>
      <c r="J1759" s="1823"/>
      <c r="K1759" s="1823">
        <f t="shared" si="324"/>
        <v>0</v>
      </c>
      <c r="L1759" s="1823"/>
      <c r="M1759" s="1823"/>
      <c r="N1759" s="1823"/>
      <c r="O1759" s="1823"/>
      <c r="P1759" s="1823">
        <f t="shared" si="325"/>
        <v>0</v>
      </c>
      <c r="Q1759" s="1053"/>
      <c r="R1759" s="1053"/>
      <c r="S1759" s="1053"/>
      <c r="T1759" s="2035">
        <f>IFERROR(HLOOKUP(B1759,pp3p1m!10:12,3,0),0)</f>
        <v>0</v>
      </c>
    </row>
    <row r="1760" spans="1:20" ht="22.2" hidden="1" customHeight="1">
      <c r="A1760" s="59"/>
      <c r="B1760" s="1577" t="s">
        <v>1031</v>
      </c>
      <c r="C1760" s="1013" t="str">
        <f t="shared" si="321"/>
        <v xml:space="preserve"> </v>
      </c>
      <c r="D1760" s="1535">
        <f t="shared" si="326"/>
        <v>0</v>
      </c>
      <c r="E1760" s="1061"/>
      <c r="F1760" s="1056" t="str">
        <f>VLOOKUP($B1760,DG!A:D,DG!$C$2,)</f>
        <v>Cáp 24KV A/XLPE/PVC 185mm2</v>
      </c>
      <c r="G1760" s="1044" t="str">
        <f>VLOOKUP($B1760,DG!A:D,DG!$D$2,)</f>
        <v>mét</v>
      </c>
      <c r="H1760" s="1823">
        <f t="shared" si="323"/>
        <v>0</v>
      </c>
      <c r="I1760" s="1823"/>
      <c r="J1760" s="1823"/>
      <c r="K1760" s="1823">
        <f t="shared" si="324"/>
        <v>0</v>
      </c>
      <c r="L1760" s="1823"/>
      <c r="M1760" s="1823"/>
      <c r="N1760" s="1823"/>
      <c r="O1760" s="1823"/>
      <c r="P1760" s="1823">
        <f t="shared" si="325"/>
        <v>0</v>
      </c>
      <c r="Q1760" s="1053"/>
      <c r="R1760" s="1053"/>
      <c r="S1760" s="1053"/>
      <c r="T1760" s="2035">
        <f>IFERROR(HLOOKUP(B1760,pp3p1m!11:13,3,0),0)</f>
        <v>0</v>
      </c>
    </row>
    <row r="1761" spans="1:20" ht="22.2" hidden="1" customHeight="1">
      <c r="A1761" s="59"/>
      <c r="B1761" s="1577" t="s">
        <v>1032</v>
      </c>
      <c r="C1761" s="1013" t="str">
        <f t="shared" si="321"/>
        <v xml:space="preserve"> </v>
      </c>
      <c r="D1761" s="1535">
        <f t="shared" si="326"/>
        <v>0</v>
      </c>
      <c r="E1761" s="1061"/>
      <c r="F1761" s="1056" t="str">
        <f>VLOOKUP($B1761,DG!A:D,DG!$C$2,)</f>
        <v>Cáp 24KV A/XLPE/PVC 150mm2</v>
      </c>
      <c r="G1761" s="1044" t="str">
        <f>VLOOKUP($B1761,DG!A:D,DG!$D$2,)</f>
        <v>mét</v>
      </c>
      <c r="H1761" s="1823">
        <f t="shared" si="323"/>
        <v>0</v>
      </c>
      <c r="I1761" s="1823"/>
      <c r="J1761" s="1823"/>
      <c r="K1761" s="1823">
        <f t="shared" si="324"/>
        <v>0</v>
      </c>
      <c r="L1761" s="1823"/>
      <c r="M1761" s="1823"/>
      <c r="N1761" s="1823"/>
      <c r="O1761" s="1823"/>
      <c r="P1761" s="1823">
        <f t="shared" si="325"/>
        <v>0</v>
      </c>
      <c r="Q1761" s="1053"/>
      <c r="R1761" s="1053"/>
      <c r="S1761" s="1053"/>
      <c r="T1761" s="2035">
        <f>IFERROR(HLOOKUP(B1761,pp3p1m!12:13,3,0),0)</f>
        <v>0</v>
      </c>
    </row>
    <row r="1762" spans="1:20" ht="22.2" hidden="1" customHeight="1">
      <c r="A1762" s="59"/>
      <c r="B1762" s="1577" t="s">
        <v>657</v>
      </c>
      <c r="C1762" s="1013" t="str">
        <f t="shared" si="321"/>
        <v xml:space="preserve"> </v>
      </c>
      <c r="D1762" s="1535">
        <f t="shared" si="326"/>
        <v>0</v>
      </c>
      <c r="E1762" s="1061"/>
      <c r="F1762" s="1056" t="str">
        <f>VLOOKUP($B1762,DG!A:D,DG!$C$2,)</f>
        <v>Cáp 24KV A/XLPE/PVC 120mm2</v>
      </c>
      <c r="G1762" s="1044" t="str">
        <f>VLOOKUP($B1762,DG!A:D,DG!$D$2,)</f>
        <v>mét</v>
      </c>
      <c r="H1762" s="1823">
        <f t="shared" si="323"/>
        <v>0</v>
      </c>
      <c r="I1762" s="1823"/>
      <c r="J1762" s="1823"/>
      <c r="K1762" s="1823">
        <f t="shared" si="324"/>
        <v>0</v>
      </c>
      <c r="L1762" s="1823"/>
      <c r="M1762" s="1823"/>
      <c r="N1762" s="1823"/>
      <c r="O1762" s="1823"/>
      <c r="P1762" s="1823">
        <f t="shared" si="325"/>
        <v>0</v>
      </c>
      <c r="Q1762" s="1053"/>
      <c r="R1762" s="1053"/>
      <c r="S1762" s="1053"/>
      <c r="T1762" s="2035">
        <f>IFERROR(HLOOKUP(B1762,pp3p1m!13:13,3,0),0)</f>
        <v>0</v>
      </c>
    </row>
    <row r="1763" spans="1:20" ht="22.2" hidden="1" customHeight="1">
      <c r="A1763" s="59"/>
      <c r="B1763" s="1577" t="s">
        <v>57</v>
      </c>
      <c r="C1763" s="1013" t="str">
        <f t="shared" si="321"/>
        <v xml:space="preserve"> </v>
      </c>
      <c r="D1763" s="1535">
        <f t="shared" si="326"/>
        <v>0</v>
      </c>
      <c r="E1763" s="1061"/>
      <c r="F1763" s="1056" t="str">
        <f>VLOOKUP($B1763,DG!A:D,DG!$C$2,)</f>
        <v>Cáp 24KV A/XLPE/PVC 95mm2</v>
      </c>
      <c r="G1763" s="1044" t="str">
        <f>VLOOKUP($B1763,DG!A:D,DG!$D$2,)</f>
        <v>mét</v>
      </c>
      <c r="H1763" s="1823">
        <f t="shared" si="323"/>
        <v>0</v>
      </c>
      <c r="I1763" s="1823"/>
      <c r="J1763" s="1823"/>
      <c r="K1763" s="1823">
        <f t="shared" si="324"/>
        <v>0</v>
      </c>
      <c r="L1763" s="1823"/>
      <c r="M1763" s="1823"/>
      <c r="N1763" s="1823"/>
      <c r="O1763" s="1823"/>
      <c r="P1763" s="1823">
        <f t="shared" si="325"/>
        <v>0</v>
      </c>
      <c r="Q1763" s="1053"/>
      <c r="R1763" s="1053"/>
      <c r="S1763" s="1053"/>
      <c r="T1763" s="2035">
        <f>IFERROR(HLOOKUP(B1763,pp3p1m!#REF!,3,0),0)</f>
        <v>0</v>
      </c>
    </row>
    <row r="1764" spans="1:20" ht="22.2" hidden="1" customHeight="1">
      <c r="A1764" s="59"/>
      <c r="B1764" s="1577" t="s">
        <v>56</v>
      </c>
      <c r="C1764" s="1013" t="str">
        <f t="shared" si="321"/>
        <v xml:space="preserve"> </v>
      </c>
      <c r="D1764" s="1535">
        <f t="shared" si="326"/>
        <v>0</v>
      </c>
      <c r="E1764" s="1061"/>
      <c r="F1764" s="1056" t="str">
        <f>VLOOKUP($B1764,DG!A:D,DG!$C$2,)</f>
        <v>Cáp 24KV A/XLPE/PVC 70mm2</v>
      </c>
      <c r="G1764" s="1044" t="str">
        <f>VLOOKUP($B1764,DG!A:D,DG!$D$2,)</f>
        <v>mét</v>
      </c>
      <c r="H1764" s="1823">
        <f t="shared" si="323"/>
        <v>0</v>
      </c>
      <c r="I1764" s="1823"/>
      <c r="J1764" s="1823"/>
      <c r="K1764" s="1823">
        <f t="shared" si="324"/>
        <v>0</v>
      </c>
      <c r="L1764" s="1823"/>
      <c r="M1764" s="1823"/>
      <c r="N1764" s="1823"/>
      <c r="O1764" s="1823"/>
      <c r="P1764" s="1823">
        <f t="shared" si="325"/>
        <v>0</v>
      </c>
      <c r="Q1764" s="1053"/>
      <c r="R1764" s="1053"/>
      <c r="S1764" s="1053"/>
      <c r="T1764" s="2035">
        <f>IFERROR(HLOOKUP(B1764,pp3p1m!#REF!,3,0),0)</f>
        <v>0</v>
      </c>
    </row>
    <row r="1765" spans="1:20" ht="22.2" hidden="1" customHeight="1">
      <c r="A1765" s="59"/>
      <c r="B1765" s="1577" t="s">
        <v>55</v>
      </c>
      <c r="C1765" s="1013" t="str">
        <f t="shared" si="321"/>
        <v xml:space="preserve"> </v>
      </c>
      <c r="D1765" s="1545">
        <f t="shared" si="326"/>
        <v>0</v>
      </c>
      <c r="E1765" s="1061"/>
      <c r="F1765" s="1056" t="str">
        <f>VLOOKUP($B1765,DG!A:D,DG!$C$2,)</f>
        <v>Cáp 24KV A/XLPE/PVC 50mm2</v>
      </c>
      <c r="G1765" s="1044" t="str">
        <f>VLOOKUP($B1765,DG!A:D,DG!$D$2,)</f>
        <v>mét</v>
      </c>
      <c r="H1765" s="1823">
        <f t="shared" si="323"/>
        <v>0</v>
      </c>
      <c r="I1765" s="1823"/>
      <c r="J1765" s="1823"/>
      <c r="K1765" s="1823">
        <f t="shared" si="324"/>
        <v>0</v>
      </c>
      <c r="L1765" s="1823"/>
      <c r="M1765" s="1823"/>
      <c r="N1765" s="1823"/>
      <c r="O1765" s="1823"/>
      <c r="P1765" s="1823">
        <f t="shared" si="325"/>
        <v>0</v>
      </c>
      <c r="Q1765" s="1053"/>
      <c r="R1765" s="1053"/>
      <c r="S1765" s="1053"/>
      <c r="T1765" s="2035">
        <f>IFERROR(HLOOKUP(B1765,pp3p1m!#REF!,3,0),0)</f>
        <v>0</v>
      </c>
    </row>
    <row r="1766" spans="1:20" ht="22.2" hidden="1" customHeight="1">
      <c r="A1766" s="59"/>
      <c r="B1766" s="1602" t="s">
        <v>55</v>
      </c>
      <c r="C1766" s="1013" t="str">
        <f t="shared" si="321"/>
        <v xml:space="preserve"> </v>
      </c>
      <c r="D1766" s="1545">
        <f t="shared" si="326"/>
        <v>0</v>
      </c>
      <c r="E1766" s="1405"/>
      <c r="F1766" s="1056" t="str">
        <f>VLOOKUP($B1766,DG!A:D,DG!$C$2,)</f>
        <v>Cáp 24KV A/XLPE/PVC 50mm2</v>
      </c>
      <c r="G1766" s="1044" t="s">
        <v>2538</v>
      </c>
      <c r="H1766" s="1823">
        <f t="shared" si="323"/>
        <v>0</v>
      </c>
      <c r="I1766" s="1823"/>
      <c r="J1766" s="1823"/>
      <c r="K1766" s="1823">
        <f t="shared" si="324"/>
        <v>0</v>
      </c>
      <c r="L1766" s="1823"/>
      <c r="M1766" s="1823"/>
      <c r="N1766" s="1823"/>
      <c r="O1766" s="1825"/>
      <c r="P1766" s="1823">
        <f t="shared" si="325"/>
        <v>0</v>
      </c>
      <c r="Q1766" s="1059"/>
      <c r="R1766" s="1059"/>
      <c r="S1766" s="1059"/>
      <c r="T1766" s="2035">
        <f>IFERROR(HLOOKUP(B1766,pp3p1m!#REF!,3,0),0)</f>
        <v>0</v>
      </c>
    </row>
    <row r="1767" spans="1:20" ht="22.2" hidden="1" customHeight="1">
      <c r="A1767" s="59"/>
      <c r="B1767" s="1577" t="s">
        <v>271</v>
      </c>
      <c r="C1767" s="1013" t="str">
        <f t="shared" si="321"/>
        <v xml:space="preserve"> </v>
      </c>
      <c r="D1767" s="1541">
        <f t="shared" si="326"/>
        <v>0</v>
      </c>
      <c r="E1767" s="1061"/>
      <c r="F1767" s="1056" t="str">
        <f>VLOOKUP($B1767,DG!A:D,DG!$C$2,)</f>
        <v>Cáp 24KV C/XLPE/PVC 50mm2</v>
      </c>
      <c r="G1767" s="1044" t="s">
        <v>2538</v>
      </c>
      <c r="H1767" s="1823">
        <f t="shared" si="323"/>
        <v>0</v>
      </c>
      <c r="I1767" s="1823"/>
      <c r="J1767" s="1823"/>
      <c r="K1767" s="1823">
        <f t="shared" si="324"/>
        <v>0</v>
      </c>
      <c r="L1767" s="1823"/>
      <c r="M1767" s="1823"/>
      <c r="N1767" s="1823"/>
      <c r="O1767" s="1823"/>
      <c r="P1767" s="1823">
        <f t="shared" si="325"/>
        <v>0</v>
      </c>
      <c r="Q1767" s="1059"/>
      <c r="R1767" s="1059"/>
      <c r="S1767" s="1059"/>
      <c r="T1767" s="2035">
        <f>IFERROR(HLOOKUP(B1767,pp3p1m!#REF!,3,0),0)</f>
        <v>0</v>
      </c>
    </row>
    <row r="1768" spans="1:20" ht="22.2" hidden="1" customHeight="1">
      <c r="A1768" s="59"/>
      <c r="B1768" s="1577" t="s">
        <v>1033</v>
      </c>
      <c r="C1768" s="1013" t="str">
        <f t="shared" si="321"/>
        <v xml:space="preserve"> </v>
      </c>
      <c r="D1768" s="1545">
        <f>ROUND(E1768*1.02*0.224,2)</f>
        <v>0</v>
      </c>
      <c r="E1768" s="1405"/>
      <c r="F1768" s="1056" t="str">
        <f>VLOOKUP($B1768,DG!A:D,DG!$C$2,)</f>
        <v>Cáp đồng trần M25mm2</v>
      </c>
      <c r="G1768" s="1044" t="str">
        <f>VLOOKUP($B1768,DG!A:D,DG!$D$2,)</f>
        <v>kg</v>
      </c>
      <c r="H1768" s="1823">
        <f t="shared" si="323"/>
        <v>0</v>
      </c>
      <c r="I1768" s="1823"/>
      <c r="J1768" s="1823"/>
      <c r="K1768" s="1823">
        <f t="shared" si="324"/>
        <v>0</v>
      </c>
      <c r="L1768" s="1823"/>
      <c r="M1768" s="1823"/>
      <c r="N1768" s="1823"/>
      <c r="O1768" s="1825"/>
      <c r="P1768" s="1823">
        <f t="shared" si="325"/>
        <v>0</v>
      </c>
      <c r="Q1768" s="1059"/>
      <c r="R1768" s="1059"/>
      <c r="S1768" s="1059"/>
      <c r="T1768" s="2035">
        <f>IFERROR(HLOOKUP(B1768,pp3p1m!#REF!,3,0),0)</f>
        <v>0</v>
      </c>
    </row>
    <row r="1769" spans="1:20" ht="22.2" hidden="1" customHeight="1">
      <c r="A1769" s="59"/>
      <c r="B1769" s="1577" t="s">
        <v>612</v>
      </c>
      <c r="C1769" s="1013" t="str">
        <f t="shared" si="321"/>
        <v xml:space="preserve"> </v>
      </c>
      <c r="D1769" s="1541">
        <f>ROUND(E1769*1.02*0.224,2)</f>
        <v>0</v>
      </c>
      <c r="E1769" s="1389"/>
      <c r="F1769" s="1056" t="str">
        <f>VLOOKUP($B1769,DG!A:D,DG!$C$2,)</f>
        <v>Cáp đồng trần M38mm2</v>
      </c>
      <c r="G1769" s="1044" t="str">
        <f>VLOOKUP($B1769,DG!A:D,DG!$D$2,)</f>
        <v>kg</v>
      </c>
      <c r="H1769" s="1823">
        <f t="shared" si="323"/>
        <v>0</v>
      </c>
      <c r="I1769" s="1823"/>
      <c r="J1769" s="1823"/>
      <c r="K1769" s="1823">
        <f t="shared" si="324"/>
        <v>0</v>
      </c>
      <c r="L1769" s="1823"/>
      <c r="M1769" s="1823"/>
      <c r="N1769" s="1823"/>
      <c r="O1769" s="1823"/>
      <c r="P1769" s="1823">
        <f t="shared" si="325"/>
        <v>0</v>
      </c>
      <c r="Q1769" s="1059"/>
      <c r="R1769" s="1059"/>
      <c r="S1769" s="1059"/>
      <c r="T1769" s="2035">
        <f>IFERROR(HLOOKUP(B1769,pp3p1m!#REF!,3,0),0)</f>
        <v>0</v>
      </c>
    </row>
    <row r="1770" spans="1:20" ht="22.2" customHeight="1">
      <c r="B1770" s="1582" t="s">
        <v>2505</v>
      </c>
      <c r="C1770" s="1832" t="str">
        <f t="shared" si="321"/>
        <v>x</v>
      </c>
      <c r="D1770" s="1548">
        <f>pp3p1m!DJ96-T1770</f>
        <v>1</v>
      </c>
      <c r="E1770" s="1044"/>
      <c r="F1770" s="1062" t="s">
        <v>2539</v>
      </c>
      <c r="G1770" s="1063" t="s">
        <v>2445</v>
      </c>
      <c r="H1770" s="1821">
        <f>SUM(I1770:O1770)</f>
        <v>1</v>
      </c>
      <c r="I1770" s="1821"/>
      <c r="J1770" s="1821"/>
      <c r="K1770" s="1821">
        <f>IFERROR(HLOOKUP(B1770,pp3p1m!$1:$3,3,0),0)</f>
        <v>1</v>
      </c>
      <c r="L1770" s="1821"/>
      <c r="M1770" s="1821"/>
      <c r="N1770" s="1821"/>
      <c r="O1770" s="1821"/>
      <c r="P1770" s="1821">
        <f t="shared" si="325"/>
        <v>1</v>
      </c>
      <c r="Q1770" s="1821"/>
      <c r="R1770" s="1821"/>
      <c r="S1770" s="1053"/>
      <c r="T1770" s="2035">
        <f>IFERROR(HLOOKUP(B1770,pp3p1m!#REF!,3,0),0)</f>
        <v>0</v>
      </c>
    </row>
    <row r="1771" spans="1:20" ht="22.2" customHeight="1">
      <c r="B1771" s="1571" t="s">
        <v>1913</v>
      </c>
      <c r="C1771" s="1832" t="str">
        <f t="shared" si="321"/>
        <v>x</v>
      </c>
      <c r="D1771" s="1535">
        <v>1</v>
      </c>
      <c r="E1771" s="1044"/>
      <c r="F1771" s="1056" t="str">
        <f>VLOOKUP($B1771,DG!A:D,DG!$C$2,)</f>
        <v>Uclevis + sứ ống chỉ</v>
      </c>
      <c r="G1771" s="1044" t="str">
        <f>VLOOKUP($B1771,DG!A:D,DG!$D$2,)</f>
        <v>bộ</v>
      </c>
      <c r="H1771" s="1823">
        <f>H$1770*$D1771</f>
        <v>1</v>
      </c>
      <c r="I1771" s="1823"/>
      <c r="J1771" s="1823"/>
      <c r="K1771" s="1823">
        <f>D1771</f>
        <v>1</v>
      </c>
      <c r="L1771" s="1823"/>
      <c r="M1771" s="1823"/>
      <c r="N1771" s="1823"/>
      <c r="O1771" s="1825"/>
      <c r="P1771" s="1823">
        <f>P$1770*$D1771</f>
        <v>1</v>
      </c>
      <c r="Q1771" s="1053"/>
      <c r="R1771" s="1053"/>
      <c r="S1771" s="1053"/>
      <c r="T1771" s="2035">
        <f>IFERROR(HLOOKUP(B1771,pp3p1m!#REF!,3,0),0)</f>
        <v>0</v>
      </c>
    </row>
    <row r="1772" spans="1:20" ht="22.2" customHeight="1">
      <c r="B1772" s="1571" t="s">
        <v>1613</v>
      </c>
      <c r="C1772" s="1832" t="str">
        <f t="shared" si="321"/>
        <v>x</v>
      </c>
      <c r="D1772" s="1535">
        <v>1</v>
      </c>
      <c r="E1772" s="1044"/>
      <c r="F1772" s="1056" t="str">
        <f>VLOOKUP($B1772,DG!A:D,DG!$C$2,)</f>
        <v>Boulon 16x300+ 2 long đền vuông D18-50x50x3/Zn</v>
      </c>
      <c r="G1772" s="1044" t="str">
        <f>VLOOKUP($B1772,DG!A:D,DG!$D$2,)</f>
        <v>bộ</v>
      </c>
      <c r="H1772" s="1823">
        <f>H$1770*$D1772</f>
        <v>1</v>
      </c>
      <c r="I1772" s="1823"/>
      <c r="J1772" s="1823"/>
      <c r="K1772" s="1823">
        <f>D1772</f>
        <v>1</v>
      </c>
      <c r="L1772" s="1823"/>
      <c r="M1772" s="1823"/>
      <c r="N1772" s="1823"/>
      <c r="O1772" s="1825"/>
      <c r="P1772" s="1823">
        <f>P$1770*$D1772</f>
        <v>1</v>
      </c>
      <c r="Q1772" s="1053"/>
      <c r="R1772" s="1053"/>
      <c r="S1772" s="1053"/>
      <c r="T1772" s="2035">
        <f>IFERROR(HLOOKUP(B1772,pp3p1m!#REF!,3,0),0)</f>
        <v>0</v>
      </c>
    </row>
    <row r="1773" spans="1:20" ht="22.2" hidden="1" customHeight="1">
      <c r="A1773" s="59"/>
      <c r="B1773" s="1596" t="s">
        <v>2540</v>
      </c>
      <c r="C1773" s="1013" t="str">
        <f t="shared" si="321"/>
        <v xml:space="preserve"> </v>
      </c>
      <c r="D1773" s="1548"/>
      <c r="E1773" s="1044"/>
      <c r="F1773" s="1062" t="s">
        <v>2541</v>
      </c>
      <c r="G1773" s="1063" t="s">
        <v>2445</v>
      </c>
      <c r="H1773" s="1821">
        <f>SUM(I1773:O1773)</f>
        <v>0</v>
      </c>
      <c r="I1773" s="1821">
        <f t="shared" ref="I1773:R1773" si="327">SUM(J1773:P1773)</f>
        <v>0</v>
      </c>
      <c r="J1773" s="1821">
        <f t="shared" si="327"/>
        <v>0</v>
      </c>
      <c r="K1773" s="1821">
        <f t="shared" si="327"/>
        <v>0</v>
      </c>
      <c r="L1773" s="1821">
        <f t="shared" si="327"/>
        <v>0</v>
      </c>
      <c r="M1773" s="1821">
        <f t="shared" si="327"/>
        <v>0</v>
      </c>
      <c r="N1773" s="1821">
        <f t="shared" si="327"/>
        <v>0</v>
      </c>
      <c r="O1773" s="1821">
        <f t="shared" si="327"/>
        <v>0</v>
      </c>
      <c r="P1773" s="1821">
        <f t="shared" si="327"/>
        <v>0</v>
      </c>
      <c r="Q1773" s="1821">
        <f t="shared" si="327"/>
        <v>0</v>
      </c>
      <c r="R1773" s="1821">
        <f t="shared" si="327"/>
        <v>0</v>
      </c>
      <c r="S1773" s="1053"/>
      <c r="T1773" s="2035">
        <f>IFERROR(HLOOKUP(B1773,pp3p1m!#REF!,3,0),0)</f>
        <v>0</v>
      </c>
    </row>
    <row r="1774" spans="1:20" ht="22.2" hidden="1" customHeight="1">
      <c r="A1774" s="59"/>
      <c r="B1774" s="1577" t="s">
        <v>1913</v>
      </c>
      <c r="C1774" s="1013" t="str">
        <f t="shared" si="321"/>
        <v xml:space="preserve"> </v>
      </c>
      <c r="D1774" s="1535">
        <f>D1773</f>
        <v>0</v>
      </c>
      <c r="E1774" s="1044"/>
      <c r="F1774" s="1056" t="str">
        <f>VLOOKUP($B1774,DG!A:D,DG!$C$2,)</f>
        <v>Uclevis + sứ ống chỉ</v>
      </c>
      <c r="G1774" s="1044" t="str">
        <f>VLOOKUP($B1774,DG!A:D,DG!$D$2,)</f>
        <v>bộ</v>
      </c>
      <c r="H1774" s="1823">
        <f>H$1770*$D1774</f>
        <v>0</v>
      </c>
      <c r="I1774" s="1823"/>
      <c r="J1774" s="1823"/>
      <c r="K1774" s="1823">
        <f>D1774</f>
        <v>0</v>
      </c>
      <c r="L1774" s="1823"/>
      <c r="M1774" s="1823"/>
      <c r="N1774" s="1823"/>
      <c r="O1774" s="1823"/>
      <c r="P1774" s="1823">
        <f t="shared" si="325"/>
        <v>0</v>
      </c>
      <c r="Q1774" s="1053"/>
      <c r="R1774" s="1053"/>
      <c r="S1774" s="1053"/>
      <c r="T1774" s="2035">
        <f>IFERROR(HLOOKUP(B1774,pp3p1m!#REF!,3,0),0)</f>
        <v>0</v>
      </c>
    </row>
    <row r="1775" spans="1:20" ht="22.2" hidden="1" customHeight="1">
      <c r="A1775" s="59"/>
      <c r="B1775" s="1577" t="s">
        <v>1385</v>
      </c>
      <c r="C1775" s="1013" t="str">
        <f t="shared" si="321"/>
        <v xml:space="preserve"> </v>
      </c>
      <c r="D1775" s="1535">
        <f>D1773</f>
        <v>0</v>
      </c>
      <c r="E1775" s="1044"/>
      <c r="F1775" s="1056" t="str">
        <f>VLOOKUP($B1775,DG!A:D,DG!$C$2,)</f>
        <v>Boulon 16x600VRS+ 4 long đền vuông D18-50x50x3/Zn</v>
      </c>
      <c r="G1775" s="1044" t="str">
        <f>VLOOKUP($B1775,DG!A:D,DG!$D$2,)</f>
        <v>bộ</v>
      </c>
      <c r="H1775" s="1823">
        <f>$D1775</f>
        <v>0</v>
      </c>
      <c r="I1775" s="1823"/>
      <c r="J1775" s="1823"/>
      <c r="K1775" s="1823">
        <f>D1775</f>
        <v>0</v>
      </c>
      <c r="L1775" s="1823"/>
      <c r="M1775" s="1823"/>
      <c r="N1775" s="1823"/>
      <c r="O1775" s="1823"/>
      <c r="P1775" s="1823">
        <f t="shared" si="325"/>
        <v>0</v>
      </c>
      <c r="Q1775" s="1053"/>
      <c r="R1775" s="1053"/>
      <c r="S1775" s="1053"/>
      <c r="T1775" s="2035">
        <f>IFERROR(HLOOKUP(B1775,pp3p1m!#REF!,3,0),0)</f>
        <v>0</v>
      </c>
    </row>
    <row r="1776" spans="1:20" ht="22.2" hidden="1" customHeight="1">
      <c r="A1776" s="59"/>
      <c r="B1776" s="1596" t="s">
        <v>2542</v>
      </c>
      <c r="C1776" s="1013" t="str">
        <f t="shared" si="321"/>
        <v xml:space="preserve"> </v>
      </c>
      <c r="D1776" s="1548"/>
      <c r="E1776" s="1044"/>
      <c r="F1776" s="1062" t="s">
        <v>2543</v>
      </c>
      <c r="G1776" s="1063" t="s">
        <v>2445</v>
      </c>
      <c r="H1776" s="1821">
        <f>SUM(I1776:O1776)</f>
        <v>0</v>
      </c>
      <c r="I1776" s="1823"/>
      <c r="J1776" s="1823"/>
      <c r="K1776" s="1822">
        <f>IFERROR(HLOOKUP(B1776,pp3p1m!$1:$3,3,0),0)</f>
        <v>0</v>
      </c>
      <c r="L1776" s="1823"/>
      <c r="M1776" s="1823"/>
      <c r="N1776" s="1823"/>
      <c r="O1776" s="1823"/>
      <c r="P1776" s="1823">
        <f t="shared" si="325"/>
        <v>0</v>
      </c>
      <c r="Q1776" s="1053"/>
      <c r="R1776" s="1053"/>
      <c r="S1776" s="1053"/>
      <c r="T1776" s="2035">
        <f>IFERROR(HLOOKUP(B1776,pp3p1m!#REF!,3,0),0)</f>
        <v>0</v>
      </c>
    </row>
    <row r="1777" spans="1:20" ht="22.2" hidden="1" customHeight="1">
      <c r="A1777" s="59"/>
      <c r="B1777" s="1577" t="s">
        <v>1913</v>
      </c>
      <c r="C1777" s="1013" t="str">
        <f t="shared" si="321"/>
        <v xml:space="preserve"> </v>
      </c>
      <c r="D1777" s="1535">
        <f>D1776</f>
        <v>0</v>
      </c>
      <c r="E1777" s="1044"/>
      <c r="F1777" s="1056" t="str">
        <f>VLOOKUP($B1777,DG!A:D,DG!$C$2,)</f>
        <v>Uclevis + sứ ống chỉ</v>
      </c>
      <c r="G1777" s="1044" t="str">
        <f>VLOOKUP($B1777,DG!A:D,DG!$D$2,)</f>
        <v>bộ</v>
      </c>
      <c r="H1777" s="1823">
        <f>$D1777</f>
        <v>0</v>
      </c>
      <c r="I1777" s="1823"/>
      <c r="J1777" s="1823"/>
      <c r="K1777" s="1823">
        <f>D1777</f>
        <v>0</v>
      </c>
      <c r="L1777" s="1823"/>
      <c r="M1777" s="1823"/>
      <c r="N1777" s="1823"/>
      <c r="O1777" s="1823"/>
      <c r="P1777" s="1823">
        <f t="shared" si="325"/>
        <v>0</v>
      </c>
      <c r="Q1777" s="1053"/>
      <c r="R1777" s="1053"/>
      <c r="S1777" s="1053"/>
      <c r="T1777" s="2035">
        <f>IFERROR(HLOOKUP(B1777,pp3p1m!#REF!,3,0),0)</f>
        <v>0</v>
      </c>
    </row>
    <row r="1778" spans="1:20" ht="22.2" hidden="1" customHeight="1">
      <c r="A1778" s="59"/>
      <c r="B1778" s="1577" t="s">
        <v>802</v>
      </c>
      <c r="C1778" s="1013" t="str">
        <f t="shared" si="321"/>
        <v xml:space="preserve"> </v>
      </c>
      <c r="D1778" s="1535">
        <f>D1776</f>
        <v>0</v>
      </c>
      <c r="E1778" s="1044"/>
      <c r="F1778" s="1056" t="str">
        <f>VLOOKUP($B1778,DG!A:D,DG!$C$2,)</f>
        <v>Boulon 16x100+ 2 long đền vuông D18-50x50x3/Zn</v>
      </c>
      <c r="G1778" s="1044" t="str">
        <f>VLOOKUP($B1778,DG!A:D,DG!$D$2,)</f>
        <v>bộ</v>
      </c>
      <c r="H1778" s="1823">
        <f>$D1778</f>
        <v>0</v>
      </c>
      <c r="I1778" s="1823"/>
      <c r="J1778" s="1823"/>
      <c r="K1778" s="1823">
        <f>D1778</f>
        <v>0</v>
      </c>
      <c r="L1778" s="1823"/>
      <c r="M1778" s="1823"/>
      <c r="N1778" s="1823"/>
      <c r="O1778" s="1823"/>
      <c r="P1778" s="1823">
        <f t="shared" si="325"/>
        <v>0</v>
      </c>
      <c r="Q1778" s="1053"/>
      <c r="R1778" s="1053"/>
      <c r="S1778" s="1053"/>
      <c r="T1778" s="2035">
        <f>IFERROR(HLOOKUP(B1778,pp3p1m!#REF!,3,0),0)</f>
        <v>0</v>
      </c>
    </row>
    <row r="1779" spans="1:20" ht="22.2" hidden="1" customHeight="1">
      <c r="A1779" s="59"/>
      <c r="B1779" s="1596" t="s">
        <v>1624</v>
      </c>
      <c r="C1779" s="1013" t="str">
        <f t="shared" si="321"/>
        <v xml:space="preserve"> </v>
      </c>
      <c r="D1779" s="1548"/>
      <c r="E1779" s="1044"/>
      <c r="F1779" s="1062" t="s">
        <v>2507</v>
      </c>
      <c r="G1779" s="1063" t="s">
        <v>2445</v>
      </c>
      <c r="H1779" s="1821">
        <f>SUM(I1779:O1779)</f>
        <v>0</v>
      </c>
      <c r="I1779" s="1823"/>
      <c r="J1779" s="1823"/>
      <c r="K1779" s="1822">
        <f>IFERROR(HLOOKUP(B1779,pp3p1m!$1:$3,3,0),0)</f>
        <v>0</v>
      </c>
      <c r="L1779" s="1823"/>
      <c r="M1779" s="1823"/>
      <c r="N1779" s="1823"/>
      <c r="O1779" s="1823"/>
      <c r="P1779" s="1823">
        <f t="shared" si="325"/>
        <v>0</v>
      </c>
      <c r="Q1779" s="1053"/>
      <c r="R1779" s="1053"/>
      <c r="S1779" s="1053"/>
      <c r="T1779" s="2035">
        <f>IFERROR(HLOOKUP(B1779,pp3p1m!14:14,3,0),0)</f>
        <v>0</v>
      </c>
    </row>
    <row r="1780" spans="1:20" ht="22.2" hidden="1" customHeight="1">
      <c r="A1780" s="59"/>
      <c r="B1780" s="1577" t="s">
        <v>1913</v>
      </c>
      <c r="C1780" s="1013" t="str">
        <f t="shared" ref="C1780:C1844" si="328">IF(OR(P1780&lt;&gt;0,H1780&lt;&gt;0),"x"," ")</f>
        <v xml:space="preserve"> </v>
      </c>
      <c r="D1780" s="1535">
        <f>D1779</f>
        <v>0</v>
      </c>
      <c r="E1780" s="1044"/>
      <c r="F1780" s="1056" t="str">
        <f>VLOOKUP($B1780,DG!A:D,DG!$C$2,)</f>
        <v>Uclevis + sứ ống chỉ</v>
      </c>
      <c r="G1780" s="1044" t="str">
        <f>VLOOKUP($B1780,DG!A:D,DG!$D$2,)</f>
        <v>bộ</v>
      </c>
      <c r="H1780" s="1823">
        <f>$D1780</f>
        <v>0</v>
      </c>
      <c r="I1780" s="1823"/>
      <c r="J1780" s="1823"/>
      <c r="K1780" s="1823">
        <f>D1780</f>
        <v>0</v>
      </c>
      <c r="L1780" s="1823"/>
      <c r="M1780" s="1823"/>
      <c r="N1780" s="1823"/>
      <c r="O1780" s="1823"/>
      <c r="P1780" s="1823">
        <f t="shared" si="325"/>
        <v>0</v>
      </c>
      <c r="Q1780" s="1053"/>
      <c r="R1780" s="1053"/>
      <c r="S1780" s="1053"/>
      <c r="T1780" s="2035">
        <f>IFERROR(HLOOKUP(B1780,pp3p1m!14:15,3,0),0)</f>
        <v>0</v>
      </c>
    </row>
    <row r="1781" spans="1:20" ht="22.2" hidden="1" customHeight="1">
      <c r="A1781" s="59"/>
      <c r="B1781" s="1577" t="s">
        <v>1613</v>
      </c>
      <c r="C1781" s="1013" t="str">
        <f t="shared" si="328"/>
        <v xml:space="preserve"> </v>
      </c>
      <c r="D1781" s="1535">
        <f>D1779</f>
        <v>0</v>
      </c>
      <c r="E1781" s="1044"/>
      <c r="F1781" s="1056" t="str">
        <f>VLOOKUP($B1781,DG!A:D,DG!$C$2,)</f>
        <v>Boulon 16x300+ 2 long đền vuông D18-50x50x3/Zn</v>
      </c>
      <c r="G1781" s="1044" t="str">
        <f>VLOOKUP($B1781,DG!A:D,DG!$D$2,)</f>
        <v>bộ</v>
      </c>
      <c r="H1781" s="1823">
        <f>$D1781</f>
        <v>0</v>
      </c>
      <c r="I1781" s="1823"/>
      <c r="J1781" s="1823"/>
      <c r="K1781" s="1823">
        <f>D1781</f>
        <v>0</v>
      </c>
      <c r="L1781" s="1823"/>
      <c r="M1781" s="1823"/>
      <c r="N1781" s="1823"/>
      <c r="O1781" s="1823"/>
      <c r="P1781" s="1823">
        <f t="shared" si="325"/>
        <v>0</v>
      </c>
      <c r="Q1781" s="1053"/>
      <c r="R1781" s="1053"/>
      <c r="S1781" s="1053"/>
      <c r="T1781" s="2035">
        <f>IFERROR(HLOOKUP(B1781,pp3p1m!14:16,3,0),0)</f>
        <v>0</v>
      </c>
    </row>
    <row r="1782" spans="1:20" ht="22.2" hidden="1" customHeight="1">
      <c r="A1782" s="59"/>
      <c r="B1782" s="1577" t="s">
        <v>905</v>
      </c>
      <c r="C1782" s="1013" t="str">
        <f t="shared" si="328"/>
        <v xml:space="preserve"> </v>
      </c>
      <c r="D1782" s="1535">
        <f>D1779*2</f>
        <v>0</v>
      </c>
      <c r="E1782" s="1044"/>
      <c r="F1782" s="1056" t="str">
        <f>VLOOKUP($B1782,DG!A:D,DG!$C$2,)</f>
        <v>Kẹp ép WR cỡ dây 50mm2</v>
      </c>
      <c r="G1782" s="1044" t="str">
        <f>VLOOKUP($B1782,DG!A:D,DG!$D$2,)</f>
        <v>cái</v>
      </c>
      <c r="H1782" s="1823">
        <f>$D1782</f>
        <v>0</v>
      </c>
      <c r="I1782" s="1823"/>
      <c r="J1782" s="1823"/>
      <c r="K1782" s="1823">
        <f>D1782</f>
        <v>0</v>
      </c>
      <c r="L1782" s="1823"/>
      <c r="M1782" s="1823"/>
      <c r="N1782" s="1823"/>
      <c r="O1782" s="1823"/>
      <c r="P1782" s="1823">
        <f t="shared" si="325"/>
        <v>0</v>
      </c>
      <c r="Q1782" s="1053"/>
      <c r="R1782" s="1053"/>
      <c r="S1782" s="1053"/>
      <c r="T1782" s="2035">
        <f>IFERROR(HLOOKUP(B1782,pp3p1m!15:17,3,0),0)</f>
        <v>0</v>
      </c>
    </row>
    <row r="1783" spans="1:20" ht="22.2" customHeight="1">
      <c r="B1783" s="1582" t="s">
        <v>1625</v>
      </c>
      <c r="C1783" s="1832" t="str">
        <f t="shared" si="328"/>
        <v>x</v>
      </c>
      <c r="D1783" s="1548">
        <f>pp3p1m!DQ96</f>
        <v>0</v>
      </c>
      <c r="E1783" s="1044"/>
      <c r="F1783" s="1062" t="s">
        <v>2508</v>
      </c>
      <c r="G1783" s="1063" t="s">
        <v>2445</v>
      </c>
      <c r="H1783" s="1821">
        <f>SUM(I1783:O1783)</f>
        <v>2</v>
      </c>
      <c r="I1783" s="1823"/>
      <c r="J1783" s="1823"/>
      <c r="K1783" s="1822">
        <f>IFERROR(HLOOKUP(B1783,pp3p1m!$1:$3,3,0),0)</f>
        <v>2</v>
      </c>
      <c r="L1783" s="1823"/>
      <c r="M1783" s="1823"/>
      <c r="N1783" s="1823"/>
      <c r="O1783" s="1825"/>
      <c r="P1783" s="1821">
        <f t="shared" si="325"/>
        <v>2</v>
      </c>
      <c r="Q1783" s="1821"/>
      <c r="R1783" s="1821"/>
      <c r="S1783" s="1053"/>
      <c r="T1783" s="2035">
        <f>IFERROR(HLOOKUP(B1783,pp3p1m!16:18,3,0),0)</f>
        <v>0</v>
      </c>
    </row>
    <row r="1784" spans="1:20" ht="22.2" customHeight="1">
      <c r="B1784" s="1578" t="s">
        <v>904</v>
      </c>
      <c r="C1784" s="1832" t="str">
        <f t="shared" si="328"/>
        <v>x</v>
      </c>
      <c r="D1784" s="1535">
        <v>1</v>
      </c>
      <c r="E1784" s="1044"/>
      <c r="F1784" s="1056" t="str">
        <f>VLOOKUP($B1784,DG!A:D,DG!$C$2,)</f>
        <v>Khóa néo dây cỡ dây 50</v>
      </c>
      <c r="G1784" s="1044" t="str">
        <f>VLOOKUP($B1784,DG!A:D,DG!$D$2,)</f>
        <v>cái</v>
      </c>
      <c r="H1784" s="1823">
        <f>$H$1783*D1784</f>
        <v>2</v>
      </c>
      <c r="I1784" s="1823"/>
      <c r="J1784" s="1823"/>
      <c r="K1784" s="1823"/>
      <c r="L1784" s="1823"/>
      <c r="M1784" s="1823"/>
      <c r="N1784" s="1823"/>
      <c r="O1784" s="1825"/>
      <c r="P1784" s="1823">
        <f t="shared" si="325"/>
        <v>2</v>
      </c>
      <c r="Q1784" s="1053"/>
      <c r="R1784" s="1053"/>
      <c r="S1784" s="1053"/>
      <c r="T1784" s="2035">
        <f>IFERROR(HLOOKUP(B1784,pp3p1m!17:19,3,0),0)</f>
        <v>0</v>
      </c>
    </row>
    <row r="1785" spans="1:20" ht="22.2" customHeight="1">
      <c r="B1785" s="1571" t="s">
        <v>417</v>
      </c>
      <c r="C1785" s="1832" t="str">
        <f t="shared" si="328"/>
        <v>x</v>
      </c>
      <c r="D1785" s="1535">
        <v>1</v>
      </c>
      <c r="E1785" s="1044"/>
      <c r="F1785" s="1056" t="str">
        <f>VLOOKUP($B1785,DG!A:D,DG!$C$2,)</f>
        <v>Boulon mắt 16x300+ 2 long đền vuông D18-50x50x3/Zn</v>
      </c>
      <c r="G1785" s="1044" t="str">
        <f>VLOOKUP($B1785,DG!A:D,DG!$D$2,)</f>
        <v>bộ</v>
      </c>
      <c r="H1785" s="1823">
        <f>$H$1783*D1785</f>
        <v>2</v>
      </c>
      <c r="I1785" s="1823"/>
      <c r="J1785" s="1823"/>
      <c r="K1785" s="1823"/>
      <c r="L1785" s="1823"/>
      <c r="M1785" s="1823"/>
      <c r="N1785" s="1823"/>
      <c r="O1785" s="1825"/>
      <c r="P1785" s="1823">
        <f t="shared" si="325"/>
        <v>2</v>
      </c>
      <c r="Q1785" s="1053"/>
      <c r="R1785" s="1053"/>
      <c r="S1785" s="1053"/>
      <c r="T1785" s="2035">
        <f>IFERROR(HLOOKUP(B1785,pp3p1m!18:20,3,0),0)</f>
        <v>0</v>
      </c>
    </row>
    <row r="1786" spans="1:20" ht="22.2" hidden="1" customHeight="1">
      <c r="A1786" s="59"/>
      <c r="B1786" s="1577" t="s">
        <v>905</v>
      </c>
      <c r="C1786" s="1013" t="str">
        <f t="shared" si="328"/>
        <v xml:space="preserve"> </v>
      </c>
      <c r="D1786" s="1535"/>
      <c r="E1786" s="1044"/>
      <c r="F1786" s="1056" t="str">
        <f>VLOOKUP($B1786,DG!A:D,DG!$C$2,)</f>
        <v>Kẹp ép WR cỡ dây 50mm2</v>
      </c>
      <c r="G1786" s="1044" t="str">
        <f>VLOOKUP($B1786,DG!A:D,DG!$D$2,)</f>
        <v>cái</v>
      </c>
      <c r="H1786" s="1823">
        <f>$D1786</f>
        <v>0</v>
      </c>
      <c r="I1786" s="1823"/>
      <c r="J1786" s="1823"/>
      <c r="K1786" s="1823">
        <f>D1786</f>
        <v>0</v>
      </c>
      <c r="L1786" s="1823"/>
      <c r="M1786" s="1823"/>
      <c r="N1786" s="1823"/>
      <c r="O1786" s="1823"/>
      <c r="P1786" s="1823">
        <f t="shared" si="325"/>
        <v>0</v>
      </c>
      <c r="Q1786" s="1053"/>
      <c r="R1786" s="1053"/>
      <c r="S1786" s="1053"/>
      <c r="T1786" s="2035">
        <f>IFERROR(HLOOKUP(B1786,pp3p1m!19:21,3,0),0)</f>
        <v>0</v>
      </c>
    </row>
    <row r="1787" spans="1:20" ht="22.2" hidden="1" customHeight="1">
      <c r="A1787" s="59"/>
      <c r="B1787" s="1596" t="s">
        <v>534</v>
      </c>
      <c r="C1787" s="1013" t="str">
        <f t="shared" si="328"/>
        <v xml:space="preserve"> </v>
      </c>
      <c r="D1787" s="1548"/>
      <c r="E1787" s="1044"/>
      <c r="F1787" s="1062" t="s">
        <v>2544</v>
      </c>
      <c r="G1787" s="1063" t="s">
        <v>2445</v>
      </c>
      <c r="H1787" s="1821">
        <f>SUM(I1787:O1787)</f>
        <v>0</v>
      </c>
      <c r="I1787" s="1823"/>
      <c r="J1787" s="1823"/>
      <c r="K1787" s="1822">
        <f>IFERROR(HLOOKUP(B1787,pp3p1m!$1:$3,3,0),0)</f>
        <v>0</v>
      </c>
      <c r="L1787" s="1823"/>
      <c r="M1787" s="1823"/>
      <c r="N1787" s="1823"/>
      <c r="O1787" s="1823"/>
      <c r="P1787" s="1823">
        <f t="shared" si="325"/>
        <v>0</v>
      </c>
      <c r="Q1787" s="1053"/>
      <c r="R1787" s="1053"/>
      <c r="S1787" s="1053"/>
      <c r="T1787" s="2035">
        <f>IFERROR(HLOOKUP(B1787,pp3p1m!20:22,3,0),0)</f>
        <v>0</v>
      </c>
    </row>
    <row r="1788" spans="1:20" ht="22.2" hidden="1" customHeight="1">
      <c r="A1788" s="59"/>
      <c r="B1788" s="1597" t="s">
        <v>904</v>
      </c>
      <c r="C1788" s="1013" t="str">
        <f t="shared" si="328"/>
        <v xml:space="preserve"> </v>
      </c>
      <c r="D1788" s="1535">
        <f>D1787</f>
        <v>0</v>
      </c>
      <c r="E1788" s="1044"/>
      <c r="F1788" s="1056" t="str">
        <f>VLOOKUP($B1788,DG!A:D,DG!$C$2,)</f>
        <v>Khóa néo dây cỡ dây 50</v>
      </c>
      <c r="G1788" s="1044" t="str">
        <f>VLOOKUP($B1788,DG!A:D,DG!$D$2,)</f>
        <v>cái</v>
      </c>
      <c r="H1788" s="1823">
        <f>$D1788</f>
        <v>0</v>
      </c>
      <c r="I1788" s="1823"/>
      <c r="J1788" s="1823"/>
      <c r="K1788" s="1823">
        <f>D1788</f>
        <v>0</v>
      </c>
      <c r="L1788" s="1823"/>
      <c r="M1788" s="1823"/>
      <c r="N1788" s="1823"/>
      <c r="O1788" s="1823"/>
      <c r="P1788" s="1823">
        <f t="shared" si="325"/>
        <v>0</v>
      </c>
      <c r="Q1788" s="1053"/>
      <c r="R1788" s="1053"/>
      <c r="S1788" s="1053"/>
      <c r="T1788" s="2035">
        <f>IFERROR(HLOOKUP(B1788,pp3p1m!21:23,3,0),0)</f>
        <v>0</v>
      </c>
    </row>
    <row r="1789" spans="1:20" ht="22.2" hidden="1" customHeight="1">
      <c r="A1789" s="59"/>
      <c r="B1789" s="1603" t="s">
        <v>2545</v>
      </c>
      <c r="C1789" s="1013" t="str">
        <f t="shared" si="328"/>
        <v xml:space="preserve"> </v>
      </c>
      <c r="D1789" s="1535">
        <f>D1787</f>
        <v>0</v>
      </c>
      <c r="E1789" s="1044"/>
      <c r="F1789" s="1056" t="str">
        <f>VLOOKUP($B1789,DG!A:D,DG!$C$2,)</f>
        <v>Boulon 16x500VRS + đai ốc mắt + 2 long đền vuông D18-50x50x3/Zn</v>
      </c>
      <c r="G1789" s="1044" t="str">
        <f>VLOOKUP($B1789,DG!A:D,DG!$D$2,)</f>
        <v>bộ</v>
      </c>
      <c r="H1789" s="1823">
        <f>$D1789</f>
        <v>0</v>
      </c>
      <c r="I1789" s="1823"/>
      <c r="J1789" s="1823"/>
      <c r="K1789" s="1823">
        <f>D1789</f>
        <v>0</v>
      </c>
      <c r="L1789" s="1823"/>
      <c r="M1789" s="1823"/>
      <c r="N1789" s="1823"/>
      <c r="O1789" s="1823"/>
      <c r="P1789" s="1823">
        <f t="shared" si="325"/>
        <v>0</v>
      </c>
      <c r="Q1789" s="1053"/>
      <c r="R1789" s="1053"/>
      <c r="S1789" s="1053"/>
      <c r="T1789" s="2035">
        <f>IFERROR(HLOOKUP(B1789,pp3p1m!22:24,3,0),0)</f>
        <v>0</v>
      </c>
    </row>
    <row r="1790" spans="1:20" ht="22.2" hidden="1" customHeight="1">
      <c r="A1790" s="59"/>
      <c r="B1790" s="1577" t="s">
        <v>905</v>
      </c>
      <c r="C1790" s="1013" t="str">
        <f t="shared" si="328"/>
        <v xml:space="preserve"> </v>
      </c>
      <c r="D1790" s="1535">
        <f>D1787*2</f>
        <v>0</v>
      </c>
      <c r="E1790" s="1044"/>
      <c r="F1790" s="1056" t="str">
        <f>VLOOKUP($B1790,DG!A:D,DG!$C$2,)</f>
        <v>Kẹp ép WR cỡ dây 50mm2</v>
      </c>
      <c r="G1790" s="1044" t="str">
        <f>VLOOKUP($B1790,DG!A:D,DG!$D$2,)</f>
        <v>cái</v>
      </c>
      <c r="H1790" s="1823">
        <f>$D1790</f>
        <v>0</v>
      </c>
      <c r="I1790" s="1823"/>
      <c r="J1790" s="1823"/>
      <c r="K1790" s="1823">
        <f>D1790</f>
        <v>0</v>
      </c>
      <c r="L1790" s="1823"/>
      <c r="M1790" s="1823"/>
      <c r="N1790" s="1823"/>
      <c r="O1790" s="1823"/>
      <c r="P1790" s="1823">
        <f t="shared" si="325"/>
        <v>0</v>
      </c>
      <c r="Q1790" s="1053"/>
      <c r="R1790" s="1053"/>
      <c r="S1790" s="1053"/>
      <c r="T1790" s="2035">
        <f>IFERROR(HLOOKUP(B1790,pp3p1m!23:25,3,0),0)</f>
        <v>0</v>
      </c>
    </row>
    <row r="1791" spans="1:20" ht="22.2" hidden="1" customHeight="1">
      <c r="A1791" s="59"/>
      <c r="B1791" s="1596" t="s">
        <v>2166</v>
      </c>
      <c r="C1791" s="1013" t="str">
        <f t="shared" si="328"/>
        <v xml:space="preserve"> </v>
      </c>
      <c r="D1791" s="1548"/>
      <c r="E1791" s="1044"/>
      <c r="F1791" s="1062" t="s">
        <v>2546</v>
      </c>
      <c r="G1791" s="1063" t="s">
        <v>2445</v>
      </c>
      <c r="H1791" s="1821">
        <f>SUM(I1791:O1791)</f>
        <v>0</v>
      </c>
      <c r="I1791" s="1823"/>
      <c r="J1791" s="1823"/>
      <c r="K1791" s="1822">
        <f>IFERROR(HLOOKUP(B1791,pp3p1m!$1:$3,3,0),0)</f>
        <v>0</v>
      </c>
      <c r="L1791" s="1823"/>
      <c r="M1791" s="1823"/>
      <c r="N1791" s="1823"/>
      <c r="O1791" s="1823"/>
      <c r="P1791" s="1823">
        <f t="shared" si="325"/>
        <v>0</v>
      </c>
      <c r="Q1791" s="1053"/>
      <c r="R1791" s="1053"/>
      <c r="S1791" s="1053"/>
      <c r="T1791" s="2035">
        <f>IFERROR(HLOOKUP(B1791,pp3p1m!24:26,3,0),0)</f>
        <v>0</v>
      </c>
    </row>
    <row r="1792" spans="1:20" ht="22.2" hidden="1" customHeight="1">
      <c r="A1792" s="59"/>
      <c r="B1792" s="1597" t="s">
        <v>904</v>
      </c>
      <c r="C1792" s="1013" t="str">
        <f t="shared" si="328"/>
        <v xml:space="preserve"> </v>
      </c>
      <c r="D1792" s="1535">
        <f>D1791</f>
        <v>0</v>
      </c>
      <c r="E1792" s="1044"/>
      <c r="F1792" s="1056" t="str">
        <f>VLOOKUP($B1792,DG!A:D,DG!$C$2,)</f>
        <v>Khóa néo dây cỡ dây 50</v>
      </c>
      <c r="G1792" s="1044" t="str">
        <f>VLOOKUP($B1792,DG!A:D,DG!$D$2,)</f>
        <v>cái</v>
      </c>
      <c r="H1792" s="1823">
        <f>$D1792</f>
        <v>0</v>
      </c>
      <c r="I1792" s="1823"/>
      <c r="J1792" s="1823"/>
      <c r="K1792" s="1823">
        <f>D1792</f>
        <v>0</v>
      </c>
      <c r="L1792" s="1823"/>
      <c r="M1792" s="1823"/>
      <c r="N1792" s="1823"/>
      <c r="O1792" s="1823"/>
      <c r="P1792" s="1823">
        <f t="shared" si="325"/>
        <v>0</v>
      </c>
      <c r="Q1792" s="1053"/>
      <c r="R1792" s="1053"/>
      <c r="S1792" s="1053"/>
      <c r="T1792" s="2035">
        <f>IFERROR(HLOOKUP(B1792,pp3p1m!25:27,3,0),0)</f>
        <v>0</v>
      </c>
    </row>
    <row r="1793" spans="1:20" ht="22.2" hidden="1" customHeight="1">
      <c r="A1793" s="59"/>
      <c r="B1793" s="1577" t="s">
        <v>1489</v>
      </c>
      <c r="C1793" s="1013" t="str">
        <f t="shared" si="328"/>
        <v xml:space="preserve"> </v>
      </c>
      <c r="D1793" s="1535">
        <f>D1791*2</f>
        <v>0</v>
      </c>
      <c r="E1793" s="1044"/>
      <c r="F1793" s="1056" t="str">
        <f>VLOOKUP($B1793,DG!A:D,DG!$C$2,)</f>
        <v xml:space="preserve">Móc treo chữ U </v>
      </c>
      <c r="G1793" s="1044" t="str">
        <f>VLOOKUP($B1793,DG!A:D,DG!$D$2,)</f>
        <v>cái</v>
      </c>
      <c r="H1793" s="1823">
        <f>$D1793</f>
        <v>0</v>
      </c>
      <c r="I1793" s="1823"/>
      <c r="J1793" s="1823"/>
      <c r="K1793" s="1823">
        <f>D1793</f>
        <v>0</v>
      </c>
      <c r="L1793" s="1823"/>
      <c r="M1793" s="1823"/>
      <c r="N1793" s="1823"/>
      <c r="O1793" s="1823"/>
      <c r="P1793" s="1823">
        <f t="shared" si="325"/>
        <v>0</v>
      </c>
      <c r="Q1793" s="1053"/>
      <c r="R1793" s="1053"/>
      <c r="S1793" s="1053"/>
      <c r="T1793" s="2035">
        <f>IFERROR(HLOOKUP(B1793,pp3p1m!26:28,3,0),0)</f>
        <v>0</v>
      </c>
    </row>
    <row r="1794" spans="1:20" ht="22.2" hidden="1" customHeight="1">
      <c r="A1794" s="59"/>
      <c r="B1794" s="1577" t="s">
        <v>1582</v>
      </c>
      <c r="C1794" s="1013" t="str">
        <f t="shared" si="328"/>
        <v xml:space="preserve"> </v>
      </c>
      <c r="D1794" s="1535">
        <f>D1791*2</f>
        <v>0</v>
      </c>
      <c r="E1794" s="1044"/>
      <c r="F1794" s="1056" t="str">
        <f>VLOOKUP($B1794,DG!A:D,DG!$C$2,)</f>
        <v>Kẹp ép WR cỡ dây 50mm2</v>
      </c>
      <c r="G1794" s="1044" t="str">
        <f>VLOOKUP($B1794,DG!A:D,DG!$D$2,)</f>
        <v>cái</v>
      </c>
      <c r="H1794" s="1823">
        <f>$D1794</f>
        <v>0</v>
      </c>
      <c r="I1794" s="1823"/>
      <c r="J1794" s="1823"/>
      <c r="K1794" s="1823">
        <f>D1794</f>
        <v>0</v>
      </c>
      <c r="L1794" s="1823"/>
      <c r="M1794" s="1823"/>
      <c r="N1794" s="1823"/>
      <c r="O1794" s="1823"/>
      <c r="P1794" s="1823">
        <f t="shared" si="325"/>
        <v>0</v>
      </c>
      <c r="Q1794" s="1053"/>
      <c r="R1794" s="1053"/>
      <c r="S1794" s="1053"/>
      <c r="T1794" s="2035">
        <f>IFERROR(HLOOKUP(B1794,pp3p1m!27:29,3,0),0)</f>
        <v>0</v>
      </c>
    </row>
    <row r="1795" spans="1:20" ht="22.2" customHeight="1">
      <c r="B1795" s="1582" t="s">
        <v>2510</v>
      </c>
      <c r="C1795" s="1832" t="str">
        <f t="shared" si="328"/>
        <v>x</v>
      </c>
      <c r="D1795" s="1548">
        <f>pp3p1m!DE96-T1795</f>
        <v>8</v>
      </c>
      <c r="E1795" s="1044"/>
      <c r="F1795" s="1062" t="s">
        <v>2511</v>
      </c>
      <c r="G1795" s="1044" t="s">
        <v>2445</v>
      </c>
      <c r="H1795" s="1821">
        <f>SUM(I1795:O1795)</f>
        <v>8</v>
      </c>
      <c r="I1795" s="1823"/>
      <c r="J1795" s="1823"/>
      <c r="K1795" s="1822">
        <f>IFERROR(HLOOKUP(B1795,pp3p1m!$1:$3,3,0),0)</f>
        <v>8</v>
      </c>
      <c r="L1795" s="1823"/>
      <c r="M1795" s="1823"/>
      <c r="N1795" s="1823"/>
      <c r="O1795" s="1825"/>
      <c r="P1795" s="1821">
        <f>H1795+Q1795-R1795</f>
        <v>8</v>
      </c>
      <c r="Q1795" s="1821"/>
      <c r="R1795" s="1821"/>
      <c r="S1795" s="1053"/>
      <c r="T1795" s="2035">
        <f>IFERROR(HLOOKUP(B1795,pp3p1m!28:30,3,0),0)</f>
        <v>0</v>
      </c>
    </row>
    <row r="1796" spans="1:20" ht="22.2" customHeight="1">
      <c r="B1796" s="1571" t="s">
        <v>696</v>
      </c>
      <c r="C1796" s="1832" t="str">
        <f t="shared" si="328"/>
        <v>x</v>
      </c>
      <c r="D1796" s="1535">
        <v>1</v>
      </c>
      <c r="E1796" s="1044"/>
      <c r="F1796" s="1056" t="str">
        <f>VLOOKUP($B1796,DG!A:D,DG!$C$2,)</f>
        <v xml:space="preserve">Sứ đứng 24KV </v>
      </c>
      <c r="G1796" s="1044" t="str">
        <f>VLOOKUP($B1796,DG!A:D,DG!$D$2,)</f>
        <v>cái</v>
      </c>
      <c r="H1796" s="1823">
        <f>H$1795*$D1796</f>
        <v>8</v>
      </c>
      <c r="I1796" s="1946"/>
      <c r="J1796" s="1946"/>
      <c r="K1796" s="1946"/>
      <c r="L1796" s="1946">
        <f t="shared" ref="L1796:L1797" si="329">L$1795*H1796</f>
        <v>0</v>
      </c>
      <c r="M1796" s="1946">
        <f t="shared" ref="M1796:M1797" si="330">M$1795*I1796</f>
        <v>0</v>
      </c>
      <c r="N1796" s="1946">
        <f t="shared" ref="N1796:N1797" si="331">N$1795*J1796</f>
        <v>0</v>
      </c>
      <c r="O1796" s="1946">
        <f t="shared" ref="O1796:O1797" si="332">O$1795*K1796</f>
        <v>0</v>
      </c>
      <c r="P1796" s="1823">
        <f>P$1795*$D1796</f>
        <v>8</v>
      </c>
      <c r="Q1796" s="1053"/>
      <c r="R1796" s="1053"/>
      <c r="S1796" s="1053"/>
      <c r="T1796" s="2035">
        <f>IFERROR(HLOOKUP(B1796,pp3p1m!29:31,3,0),0)</f>
        <v>0</v>
      </c>
    </row>
    <row r="1797" spans="1:20" ht="22.2" customHeight="1">
      <c r="B1797" s="1571" t="s">
        <v>1268</v>
      </c>
      <c r="C1797" s="1832" t="str">
        <f t="shared" si="328"/>
        <v>x</v>
      </c>
      <c r="D1797" s="1535">
        <v>1</v>
      </c>
      <c r="E1797" s="1044"/>
      <c r="F1797" s="1056" t="str">
        <f>VLOOKUP($B1797,DG!A:D,DG!$C$2,)</f>
        <v>Chân sứ đứng D20</v>
      </c>
      <c r="G1797" s="1044" t="str">
        <f>VLOOKUP($B1797,DG!A:D,DG!$D$2,)</f>
        <v>cái</v>
      </c>
      <c r="H1797" s="1823">
        <f t="shared" ref="H1797" si="333">H$1795*D1797</f>
        <v>8</v>
      </c>
      <c r="I1797" s="1946"/>
      <c r="J1797" s="1946"/>
      <c r="K1797" s="1946"/>
      <c r="L1797" s="1946">
        <f t="shared" si="329"/>
        <v>0</v>
      </c>
      <c r="M1797" s="1946">
        <f t="shared" si="330"/>
        <v>0</v>
      </c>
      <c r="N1797" s="1946">
        <f t="shared" si="331"/>
        <v>0</v>
      </c>
      <c r="O1797" s="1946">
        <f t="shared" si="332"/>
        <v>0</v>
      </c>
      <c r="P1797" s="1823">
        <f>P$1795*$D1797</f>
        <v>8</v>
      </c>
      <c r="Q1797" s="1053"/>
      <c r="R1797" s="1053"/>
      <c r="S1797" s="1053"/>
      <c r="T1797" s="2035">
        <f>IFERROR(HLOOKUP(B1797,pp3p1m!30:32,3,0),0)</f>
        <v>0</v>
      </c>
    </row>
    <row r="1798" spans="1:20" ht="22.2" hidden="1" customHeight="1">
      <c r="A1798" s="59"/>
      <c r="B1798" s="1596" t="s">
        <v>2512</v>
      </c>
      <c r="C1798" s="1013" t="str">
        <f t="shared" si="328"/>
        <v xml:space="preserve"> </v>
      </c>
      <c r="D1798" s="1548">
        <f>pp3p1m!DC96</f>
        <v>0</v>
      </c>
      <c r="E1798" s="1044"/>
      <c r="F1798" s="1062" t="s">
        <v>2513</v>
      </c>
      <c r="G1798" s="1063" t="s">
        <v>2445</v>
      </c>
      <c r="H1798" s="1821">
        <f>SUM(I1798:O1798)</f>
        <v>0</v>
      </c>
      <c r="I1798" s="1823"/>
      <c r="J1798" s="1823"/>
      <c r="K1798" s="1822">
        <f>IFERROR(HLOOKUP(B1798,pp3p1m!$1:$3,3,0),0)</f>
        <v>0</v>
      </c>
      <c r="L1798" s="1823"/>
      <c r="M1798" s="1823"/>
      <c r="N1798" s="1823"/>
      <c r="O1798" s="1823"/>
      <c r="P1798" s="1821">
        <f t="shared" si="325"/>
        <v>0</v>
      </c>
      <c r="Q1798" s="1821"/>
      <c r="R1798" s="1821"/>
      <c r="S1798" s="1053"/>
      <c r="T1798" s="2035">
        <f>IFERROR(HLOOKUP(B1798,pp3p1m!31:33,3,0),0)</f>
        <v>0</v>
      </c>
    </row>
    <row r="1799" spans="1:20" ht="22.2" hidden="1" customHeight="1">
      <c r="A1799" s="59"/>
      <c r="B1799" s="1577" t="s">
        <v>696</v>
      </c>
      <c r="C1799" s="1013" t="str">
        <f t="shared" si="328"/>
        <v xml:space="preserve"> </v>
      </c>
      <c r="D1799" s="1535">
        <f>D1798</f>
        <v>0</v>
      </c>
      <c r="E1799" s="1044"/>
      <c r="F1799" s="1056" t="str">
        <f>VLOOKUP($B1799,DG!A:D,DG!$C$2,)</f>
        <v xml:space="preserve">Sứ đứng 24KV </v>
      </c>
      <c r="G1799" s="1044" t="str">
        <f>VLOOKUP($B1799,DG!A:D,DG!$D$2,)</f>
        <v>cái</v>
      </c>
      <c r="H1799" s="1823">
        <f>$D1799</f>
        <v>0</v>
      </c>
      <c r="I1799" s="1823"/>
      <c r="J1799" s="1823"/>
      <c r="K1799" s="1823">
        <f>D1799</f>
        <v>0</v>
      </c>
      <c r="L1799" s="1823"/>
      <c r="M1799" s="1823"/>
      <c r="N1799" s="1823"/>
      <c r="O1799" s="1823"/>
      <c r="P1799" s="1823">
        <f t="shared" si="325"/>
        <v>0</v>
      </c>
      <c r="Q1799" s="1053"/>
      <c r="R1799" s="1053"/>
      <c r="S1799" s="1053"/>
      <c r="T1799" s="2035">
        <f>IFERROR(HLOOKUP(B1799,pp3p1m!32:34,3,0),0)</f>
        <v>0</v>
      </c>
    </row>
    <row r="1800" spans="1:20" ht="22.2" hidden="1" customHeight="1">
      <c r="A1800" s="59"/>
      <c r="B1800" s="1577" t="s">
        <v>1269</v>
      </c>
      <c r="C1800" s="1013" t="str">
        <f t="shared" si="328"/>
        <v xml:space="preserve"> </v>
      </c>
      <c r="D1800" s="1535">
        <f>D1798</f>
        <v>0</v>
      </c>
      <c r="E1800" s="1044"/>
      <c r="F1800" s="1056" t="str">
        <f>VLOOKUP($B1800,DG!A:D,DG!$C$2,)</f>
        <v>Chân sứ đỉnh thẳng dài 870mm</v>
      </c>
      <c r="G1800" s="1044" t="str">
        <f>VLOOKUP($B1800,DG!A:D,DG!$D$2,)</f>
        <v>cái</v>
      </c>
      <c r="H1800" s="1823">
        <f>$D1800</f>
        <v>0</v>
      </c>
      <c r="I1800" s="1823"/>
      <c r="J1800" s="1823"/>
      <c r="K1800" s="1823">
        <f>D1800</f>
        <v>0</v>
      </c>
      <c r="L1800" s="1823"/>
      <c r="M1800" s="1823"/>
      <c r="N1800" s="1823"/>
      <c r="O1800" s="1823"/>
      <c r="P1800" s="1823">
        <f t="shared" si="325"/>
        <v>0</v>
      </c>
      <c r="Q1800" s="1053"/>
      <c r="R1800" s="1053"/>
      <c r="S1800" s="1053"/>
      <c r="T1800" s="2035">
        <f>IFERROR(HLOOKUP(B1800,pp3p1m!33:35,3,0),0)</f>
        <v>0</v>
      </c>
    </row>
    <row r="1801" spans="1:20" ht="22.2" hidden="1" customHeight="1">
      <c r="A1801" s="59"/>
      <c r="B1801" s="1577" t="s">
        <v>1612</v>
      </c>
      <c r="C1801" s="1013" t="str">
        <f t="shared" si="328"/>
        <v xml:space="preserve"> </v>
      </c>
      <c r="D1801" s="1535">
        <f>D1798*2</f>
        <v>0</v>
      </c>
      <c r="E1801" s="1044"/>
      <c r="F1801" s="1056" t="str">
        <f>VLOOKUP($B1801,DG!A:D,DG!$C$2,)</f>
        <v>Boulon 16x250+ 2 long đền vuông D18-50x50x3/Zn</v>
      </c>
      <c r="G1801" s="1044" t="str">
        <f>VLOOKUP($B1801,DG!A:D,DG!$D$2,)</f>
        <v>bộ</v>
      </c>
      <c r="H1801" s="1823">
        <f>$D1801</f>
        <v>0</v>
      </c>
      <c r="I1801" s="1823"/>
      <c r="J1801" s="1823"/>
      <c r="K1801" s="1823">
        <f>D1801</f>
        <v>0</v>
      </c>
      <c r="L1801" s="1823"/>
      <c r="M1801" s="1823"/>
      <c r="N1801" s="1823"/>
      <c r="O1801" s="1823"/>
      <c r="P1801" s="1823">
        <f t="shared" si="325"/>
        <v>0</v>
      </c>
      <c r="Q1801" s="1053"/>
      <c r="R1801" s="1053"/>
      <c r="S1801" s="1053"/>
      <c r="T1801" s="2035">
        <f>IFERROR(HLOOKUP(B1801,pp3p1m!34:36,3,0),0)</f>
        <v>0</v>
      </c>
    </row>
    <row r="1802" spans="1:20" ht="22.2" hidden="1" customHeight="1">
      <c r="A1802" s="63"/>
      <c r="B1802" s="1598" t="s">
        <v>2514</v>
      </c>
      <c r="C1802" s="1013" t="str">
        <f t="shared" si="328"/>
        <v xml:space="preserve"> </v>
      </c>
      <c r="D1802" s="1549"/>
      <c r="E1802" s="1048"/>
      <c r="F1802" s="1062" t="s">
        <v>2515</v>
      </c>
      <c r="G1802" s="1283" t="s">
        <v>2445</v>
      </c>
      <c r="H1802" s="1821">
        <f>SUM(I1802:O1802)</f>
        <v>0</v>
      </c>
      <c r="I1802" s="1824"/>
      <c r="J1802" s="1824"/>
      <c r="K1802" s="1822">
        <f>IFERROR(HLOOKUP(B1802,pp3p1m!$1:$3,3,0),0)</f>
        <v>0</v>
      </c>
      <c r="L1802" s="1824"/>
      <c r="M1802" s="1824"/>
      <c r="N1802" s="1824"/>
      <c r="O1802" s="1824"/>
      <c r="P1802" s="1823">
        <f t="shared" si="325"/>
        <v>0</v>
      </c>
      <c r="Q1802" s="1053"/>
      <c r="R1802" s="1053"/>
      <c r="S1802" s="1053"/>
      <c r="T1802" s="2035">
        <f>IFERROR(HLOOKUP(B1802,pp3p1m!35:37,3,0),0)</f>
        <v>0</v>
      </c>
    </row>
    <row r="1803" spans="1:20" ht="22.2" hidden="1" customHeight="1">
      <c r="A1803" s="63"/>
      <c r="B1803" s="1577" t="s">
        <v>696</v>
      </c>
      <c r="C1803" s="1013" t="str">
        <f t="shared" si="328"/>
        <v xml:space="preserve"> </v>
      </c>
      <c r="D1803" s="1538">
        <f>D1802*2</f>
        <v>0</v>
      </c>
      <c r="E1803" s="1048"/>
      <c r="F1803" s="1056" t="str">
        <f>VLOOKUP($B1803,DG!A:D,DG!$C$2,)</f>
        <v xml:space="preserve">Sứ đứng 24KV </v>
      </c>
      <c r="G1803" s="1044" t="str">
        <f>VLOOKUP($B1803,DG!A:D,DG!$D$2,)</f>
        <v>cái</v>
      </c>
      <c r="H1803" s="1823">
        <f>$D1803</f>
        <v>0</v>
      </c>
      <c r="I1803" s="1824"/>
      <c r="J1803" s="1824"/>
      <c r="K1803" s="1823">
        <f>D1803</f>
        <v>0</v>
      </c>
      <c r="L1803" s="1824"/>
      <c r="M1803" s="1824"/>
      <c r="N1803" s="1824"/>
      <c r="O1803" s="1824"/>
      <c r="P1803" s="1823">
        <f t="shared" si="325"/>
        <v>0</v>
      </c>
      <c r="Q1803" s="1053"/>
      <c r="R1803" s="1053"/>
      <c r="S1803" s="1053"/>
      <c r="T1803" s="2035">
        <f>IFERROR(HLOOKUP(B1803,pp3p1m!36:38,3,0),0)</f>
        <v>0</v>
      </c>
    </row>
    <row r="1804" spans="1:20" ht="22.2" hidden="1" customHeight="1">
      <c r="A1804" s="63"/>
      <c r="B1804" s="1577" t="s">
        <v>590</v>
      </c>
      <c r="C1804" s="1013" t="str">
        <f t="shared" si="328"/>
        <v xml:space="preserve"> </v>
      </c>
      <c r="D1804" s="1538">
        <f>D1802*2</f>
        <v>0</v>
      </c>
      <c r="E1804" s="1048"/>
      <c r="F1804" s="1056" t="str">
        <f>VLOOKUP($B1804,DG!A:D,DG!$C$2,)</f>
        <v>Chân sứ đỉnh đỡ góc dài 870mm</v>
      </c>
      <c r="G1804" s="1044" t="str">
        <f>VLOOKUP($B1804,DG!A:D,DG!$D$2,)</f>
        <v>cái</v>
      </c>
      <c r="H1804" s="1823">
        <f>$D1804</f>
        <v>0</v>
      </c>
      <c r="I1804" s="1824"/>
      <c r="J1804" s="1824"/>
      <c r="K1804" s="1823">
        <f>D1804</f>
        <v>0</v>
      </c>
      <c r="L1804" s="1824"/>
      <c r="M1804" s="1824"/>
      <c r="N1804" s="1824"/>
      <c r="O1804" s="1824"/>
      <c r="P1804" s="1823">
        <f t="shared" si="325"/>
        <v>0</v>
      </c>
      <c r="Q1804" s="1053"/>
      <c r="R1804" s="1053"/>
      <c r="S1804" s="1053"/>
      <c r="T1804" s="2035">
        <f>IFERROR(HLOOKUP(B1804,pp3p1m!37:39,3,0),0)</f>
        <v>0</v>
      </c>
    </row>
    <row r="1805" spans="1:20" ht="22.2" hidden="1" customHeight="1">
      <c r="A1805" s="63"/>
      <c r="B1805" s="1577" t="s">
        <v>1612</v>
      </c>
      <c r="C1805" s="1013" t="str">
        <f t="shared" si="328"/>
        <v xml:space="preserve"> </v>
      </c>
      <c r="D1805" s="1538"/>
      <c r="E1805" s="1048"/>
      <c r="F1805" s="1056" t="str">
        <f>VLOOKUP($B1805,DG!A:D,DG!$C$2,)</f>
        <v>Boulon 16x250+ 2 long đền vuông D18-50x50x3/Zn</v>
      </c>
      <c r="G1805" s="1044" t="str">
        <f>VLOOKUP($B1805,DG!A:D,DG!$D$2,)</f>
        <v>bộ</v>
      </c>
      <c r="H1805" s="1823">
        <f>$D1805</f>
        <v>0</v>
      </c>
      <c r="I1805" s="1824"/>
      <c r="J1805" s="1824"/>
      <c r="K1805" s="1823">
        <f>D1805</f>
        <v>0</v>
      </c>
      <c r="L1805" s="1824"/>
      <c r="M1805" s="1824"/>
      <c r="N1805" s="1824"/>
      <c r="O1805" s="1824"/>
      <c r="P1805" s="1823">
        <f t="shared" si="325"/>
        <v>0</v>
      </c>
      <c r="Q1805" s="1053"/>
      <c r="R1805" s="1053"/>
      <c r="S1805" s="1053"/>
      <c r="T1805" s="2035">
        <f>IFERROR(HLOOKUP(B1805,pp3p1m!38:40,3,0),0)</f>
        <v>0</v>
      </c>
    </row>
    <row r="1806" spans="1:20" ht="22.2" hidden="1" customHeight="1">
      <c r="A1806" s="59"/>
      <c r="B1806" s="1596" t="s">
        <v>2516</v>
      </c>
      <c r="C1806" s="1013" t="str">
        <f t="shared" si="328"/>
        <v xml:space="preserve"> </v>
      </c>
      <c r="D1806" s="1548"/>
      <c r="E1806" s="1044"/>
      <c r="F1806" s="1062" t="s">
        <v>2534</v>
      </c>
      <c r="G1806" s="1063" t="s">
        <v>2518</v>
      </c>
      <c r="H1806" s="1821">
        <f>SUM(I1806:O1806)</f>
        <v>0</v>
      </c>
      <c r="I1806" s="1823"/>
      <c r="J1806" s="1823"/>
      <c r="K1806" s="1822">
        <f>IFERROR(HLOOKUP(B1806,pp3p1m!$1:$3,3,0),0)</f>
        <v>0</v>
      </c>
      <c r="L1806" s="1823"/>
      <c r="M1806" s="1823"/>
      <c r="N1806" s="1823"/>
      <c r="O1806" s="1823"/>
      <c r="P1806" s="1823">
        <f t="shared" si="325"/>
        <v>0</v>
      </c>
      <c r="Q1806" s="1053"/>
      <c r="R1806" s="1053"/>
      <c r="S1806" s="1053"/>
      <c r="T1806" s="2035">
        <f>IFERROR(HLOOKUP(B1806,pp3p1m!39:41,3,0),0)</f>
        <v>0</v>
      </c>
    </row>
    <row r="1807" spans="1:20" ht="22.2" hidden="1" customHeight="1">
      <c r="A1807" s="59"/>
      <c r="B1807" s="1577" t="s">
        <v>1270</v>
      </c>
      <c r="C1807" s="1013" t="str">
        <f t="shared" si="328"/>
        <v xml:space="preserve"> </v>
      </c>
      <c r="D1807" s="1535">
        <f>D1806*2</f>
        <v>0</v>
      </c>
      <c r="E1807" s="1044"/>
      <c r="F1807" s="1056" t="str">
        <f>VLOOKUP($B1807,DG!A:D,DG!$C$2,)</f>
        <v>Sứ treo loại 70kN</v>
      </c>
      <c r="G1807" s="1044" t="str">
        <f>VLOOKUP($B1807,DG!A:D,DG!$D$2,)</f>
        <v>bát</v>
      </c>
      <c r="H1807" s="1823">
        <f>$D1807</f>
        <v>0</v>
      </c>
      <c r="I1807" s="1823"/>
      <c r="J1807" s="1823"/>
      <c r="K1807" s="1823">
        <f>D1807</f>
        <v>0</v>
      </c>
      <c r="L1807" s="1823"/>
      <c r="M1807" s="1823"/>
      <c r="N1807" s="1823"/>
      <c r="O1807" s="1823"/>
      <c r="P1807" s="1823">
        <f t="shared" si="325"/>
        <v>0</v>
      </c>
      <c r="Q1807" s="1053"/>
      <c r="R1807" s="1053"/>
      <c r="S1807" s="1053"/>
      <c r="T1807" s="2035">
        <f>IFERROR(HLOOKUP(B1807,pp3p1m!40:42,3,0),0)</f>
        <v>0</v>
      </c>
    </row>
    <row r="1808" spans="1:20" ht="22.2" hidden="1" customHeight="1">
      <c r="A1808" s="59"/>
      <c r="B1808" s="1577" t="s">
        <v>1489</v>
      </c>
      <c r="C1808" s="1013" t="str">
        <f t="shared" si="328"/>
        <v xml:space="preserve"> </v>
      </c>
      <c r="D1808" s="1535">
        <f>D1806*2</f>
        <v>0</v>
      </c>
      <c r="E1808" s="1044"/>
      <c r="F1808" s="1056" t="str">
        <f>VLOOKUP($B1808,DG!A:D,DG!$C$2,)</f>
        <v xml:space="preserve">Móc treo chữ U </v>
      </c>
      <c r="G1808" s="1044" t="str">
        <f>VLOOKUP($B1808,DG!A:D,DG!$D$2,)</f>
        <v>cái</v>
      </c>
      <c r="H1808" s="1823">
        <f>$D1808</f>
        <v>0</v>
      </c>
      <c r="I1808" s="1823"/>
      <c r="J1808" s="1823"/>
      <c r="K1808" s="1823">
        <f>D1808</f>
        <v>0</v>
      </c>
      <c r="L1808" s="1823"/>
      <c r="M1808" s="1823"/>
      <c r="N1808" s="1823"/>
      <c r="O1808" s="1823"/>
      <c r="P1808" s="1823">
        <f t="shared" si="325"/>
        <v>0</v>
      </c>
      <c r="Q1808" s="1053"/>
      <c r="R1808" s="1053"/>
      <c r="S1808" s="1053"/>
      <c r="T1808" s="2035">
        <f>IFERROR(HLOOKUP(B1808,pp3p1m!41:43,3,0),0)</f>
        <v>0</v>
      </c>
    </row>
    <row r="1809" spans="1:20" ht="22.2" hidden="1" customHeight="1">
      <c r="A1809" s="59"/>
      <c r="B1809" s="1577" t="s">
        <v>1572</v>
      </c>
      <c r="C1809" s="1013" t="str">
        <f t="shared" si="328"/>
        <v xml:space="preserve"> </v>
      </c>
      <c r="D1809" s="1535">
        <f>D1806</f>
        <v>0</v>
      </c>
      <c r="E1809" s="1044"/>
      <c r="F1809" s="1056" t="str">
        <f>VLOOKUP($B1809,DG!A:D,DG!$C$2,)</f>
        <v>Vòng treo đầu tròn</v>
      </c>
      <c r="G1809" s="1044" t="str">
        <f>VLOOKUP($B1809,DG!A:D,DG!$D$2,)</f>
        <v>cái</v>
      </c>
      <c r="H1809" s="1823">
        <f>$D1809</f>
        <v>0</v>
      </c>
      <c r="I1809" s="1823"/>
      <c r="J1809" s="1823"/>
      <c r="K1809" s="1823">
        <f>D1809</f>
        <v>0</v>
      </c>
      <c r="L1809" s="1823"/>
      <c r="M1809" s="1823"/>
      <c r="N1809" s="1823"/>
      <c r="O1809" s="1823"/>
      <c r="P1809" s="1823">
        <f t="shared" si="325"/>
        <v>0</v>
      </c>
      <c r="Q1809" s="1053"/>
      <c r="R1809" s="1053"/>
      <c r="S1809" s="1053"/>
      <c r="T1809" s="2035">
        <f>IFERROR(HLOOKUP(B1809,pp3p1m!42:44,3,0),0)</f>
        <v>0</v>
      </c>
    </row>
    <row r="1810" spans="1:20" ht="22.2" hidden="1" customHeight="1">
      <c r="A1810" s="59"/>
      <c r="B1810" s="1577" t="s">
        <v>1487</v>
      </c>
      <c r="C1810" s="1013" t="str">
        <f t="shared" si="328"/>
        <v xml:space="preserve"> </v>
      </c>
      <c r="D1810" s="1535">
        <f>D1806</f>
        <v>0</v>
      </c>
      <c r="E1810" s="1044"/>
      <c r="F1810" s="1056" t="str">
        <f>VLOOKUP($B1810,DG!A:D,DG!$C$2,)</f>
        <v>Mắt nối đơn</v>
      </c>
      <c r="G1810" s="1044" t="str">
        <f>VLOOKUP($B1810,DG!A:D,DG!$D$2,)</f>
        <v>cái</v>
      </c>
      <c r="H1810" s="1823">
        <f>$D1810</f>
        <v>0</v>
      </c>
      <c r="I1810" s="1823"/>
      <c r="J1810" s="1823"/>
      <c r="K1810" s="1823">
        <f>D1810</f>
        <v>0</v>
      </c>
      <c r="L1810" s="1823"/>
      <c r="M1810" s="1823"/>
      <c r="N1810" s="1823"/>
      <c r="O1810" s="1823"/>
      <c r="P1810" s="1823">
        <f t="shared" si="325"/>
        <v>0</v>
      </c>
      <c r="Q1810" s="1053"/>
      <c r="R1810" s="1053"/>
      <c r="S1810" s="1053"/>
      <c r="T1810" s="2035">
        <f>IFERROR(HLOOKUP(B1810,pp3p1m!43:45,3,0),0)</f>
        <v>0</v>
      </c>
    </row>
    <row r="1811" spans="1:20" ht="22.2" hidden="1" customHeight="1">
      <c r="A1811" s="59"/>
      <c r="B1811" s="1577" t="s">
        <v>1271</v>
      </c>
      <c r="C1811" s="1013" t="str">
        <f t="shared" si="328"/>
        <v xml:space="preserve"> </v>
      </c>
      <c r="D1811" s="1535">
        <f>D1806</f>
        <v>0</v>
      </c>
      <c r="E1811" s="1044"/>
      <c r="F1811" s="1056" t="str">
        <f>VLOOKUP($B1811,DG!A:D,DG!$C$2,)</f>
        <v>Boulon mắt 16x300+ 2 long đền vuông D18-50x50x3/Zn</v>
      </c>
      <c r="G1811" s="1044" t="str">
        <f>VLOOKUP($B1811,DG!A:D,DG!$D$2,)</f>
        <v>bộ</v>
      </c>
      <c r="H1811" s="1823">
        <f>$D1811</f>
        <v>0</v>
      </c>
      <c r="I1811" s="1823"/>
      <c r="J1811" s="1823"/>
      <c r="K1811" s="1823">
        <f>D1811</f>
        <v>0</v>
      </c>
      <c r="L1811" s="1823"/>
      <c r="M1811" s="1823"/>
      <c r="N1811" s="1823"/>
      <c r="O1811" s="1823"/>
      <c r="P1811" s="1823">
        <f t="shared" si="325"/>
        <v>0</v>
      </c>
      <c r="Q1811" s="1053"/>
      <c r="R1811" s="1053"/>
      <c r="S1811" s="1053"/>
      <c r="T1811" s="2035">
        <f>IFERROR(HLOOKUP(B1811,pp3p1m!44:46,3,0),0)</f>
        <v>0</v>
      </c>
    </row>
    <row r="1812" spans="1:20" ht="22.2" hidden="1" customHeight="1">
      <c r="A1812" s="59"/>
      <c r="B1812" s="1596" t="s">
        <v>2519</v>
      </c>
      <c r="C1812" s="1013" t="str">
        <f t="shared" si="328"/>
        <v xml:space="preserve"> </v>
      </c>
      <c r="D1812" s="1548"/>
      <c r="E1812" s="1044"/>
      <c r="F1812" s="1062" t="s">
        <v>2547</v>
      </c>
      <c r="G1812" s="1063" t="s">
        <v>2518</v>
      </c>
      <c r="H1812" s="1821">
        <f>SUM(I1812:O1812)</f>
        <v>0</v>
      </c>
      <c r="I1812" s="1823"/>
      <c r="J1812" s="1823"/>
      <c r="K1812" s="1822">
        <f>IFERROR(HLOOKUP(B1812,pp3p1m!$1:$3,3,0),0)</f>
        <v>0</v>
      </c>
      <c r="L1812" s="1823"/>
      <c r="M1812" s="1823"/>
      <c r="N1812" s="1823"/>
      <c r="O1812" s="1823"/>
      <c r="P1812" s="1823">
        <f t="shared" si="325"/>
        <v>0</v>
      </c>
      <c r="Q1812" s="1053"/>
      <c r="R1812" s="1053"/>
      <c r="S1812" s="1053"/>
      <c r="T1812" s="2035">
        <f>IFERROR(HLOOKUP(B1812,pp3p1m!45:47,3,0),0)</f>
        <v>0</v>
      </c>
    </row>
    <row r="1813" spans="1:20" ht="22.2" hidden="1" customHeight="1">
      <c r="A1813" s="59"/>
      <c r="B1813" s="1577" t="s">
        <v>112</v>
      </c>
      <c r="C1813" s="1013" t="str">
        <f t="shared" si="328"/>
        <v xml:space="preserve"> </v>
      </c>
      <c r="D1813" s="1535"/>
      <c r="E1813" s="1044"/>
      <c r="F1813" s="1056" t="str">
        <f>VLOOKUP($B1813,DG!A:D,DG!$C$2,)</f>
        <v>Sứ treo loại 70kN</v>
      </c>
      <c r="G1813" s="1044" t="str">
        <f>VLOOKUP($B1813,DG!A:D,DG!$D$2,)</f>
        <v>bát</v>
      </c>
      <c r="H1813" s="1823">
        <f>$D1813</f>
        <v>0</v>
      </c>
      <c r="I1813" s="1823"/>
      <c r="J1813" s="1823"/>
      <c r="K1813" s="1823">
        <f>D1813</f>
        <v>0</v>
      </c>
      <c r="L1813" s="1823"/>
      <c r="M1813" s="1823"/>
      <c r="N1813" s="1823"/>
      <c r="O1813" s="1823"/>
      <c r="P1813" s="1823">
        <f t="shared" si="325"/>
        <v>0</v>
      </c>
      <c r="Q1813" s="1053"/>
      <c r="R1813" s="1053"/>
      <c r="S1813" s="1053"/>
      <c r="T1813" s="2035">
        <f>IFERROR(HLOOKUP(B1813,pp3p1m!46:48,3,0),0)</f>
        <v>0</v>
      </c>
    </row>
    <row r="1814" spans="1:20" ht="22.2" hidden="1" customHeight="1">
      <c r="A1814" s="59"/>
      <c r="B1814" s="1577" t="s">
        <v>1489</v>
      </c>
      <c r="C1814" s="1013" t="str">
        <f t="shared" si="328"/>
        <v xml:space="preserve"> </v>
      </c>
      <c r="D1814" s="1535">
        <f>D1812*2</f>
        <v>0</v>
      </c>
      <c r="E1814" s="1044"/>
      <c r="F1814" s="1056" t="str">
        <f>VLOOKUP($B1814,DG!A:D,DG!$C$2,)</f>
        <v xml:space="preserve">Móc treo chữ U </v>
      </c>
      <c r="G1814" s="1044" t="str">
        <f>VLOOKUP($B1814,DG!A:D,DG!$D$2,)</f>
        <v>cái</v>
      </c>
      <c r="H1814" s="1823">
        <f>$D1814</f>
        <v>0</v>
      </c>
      <c r="I1814" s="1823"/>
      <c r="J1814" s="1823"/>
      <c r="K1814" s="1823">
        <f>D1814</f>
        <v>0</v>
      </c>
      <c r="L1814" s="1823"/>
      <c r="M1814" s="1823"/>
      <c r="N1814" s="1823"/>
      <c r="O1814" s="1823"/>
      <c r="P1814" s="1823">
        <f t="shared" si="325"/>
        <v>0</v>
      </c>
      <c r="Q1814" s="1053"/>
      <c r="R1814" s="1053"/>
      <c r="S1814" s="1053"/>
      <c r="T1814" s="2035">
        <f>IFERROR(HLOOKUP(B1814,pp3p1m!47:49,3,0),0)</f>
        <v>0</v>
      </c>
    </row>
    <row r="1815" spans="1:20" ht="22.2" customHeight="1">
      <c r="B1815" s="1582" t="s">
        <v>2548</v>
      </c>
      <c r="C1815" s="1832" t="str">
        <f t="shared" si="328"/>
        <v>x</v>
      </c>
      <c r="D1815" s="1548">
        <f>H1815</f>
        <v>6</v>
      </c>
      <c r="E1815" s="1044"/>
      <c r="F1815" s="1062" t="s">
        <v>2522</v>
      </c>
      <c r="G1815" s="1044" t="s">
        <v>2518</v>
      </c>
      <c r="H1815" s="1821">
        <f>SUM(I1815:O1815)</f>
        <v>6</v>
      </c>
      <c r="I1815" s="1823"/>
      <c r="J1815" s="1823"/>
      <c r="K1815" s="1822">
        <f>IFERROR(HLOOKUP(B1815,pp3p1m!$1:$3,3,0),0)</f>
        <v>6</v>
      </c>
      <c r="L1815" s="1823"/>
      <c r="M1815" s="1823"/>
      <c r="N1815" s="1823"/>
      <c r="O1815" s="1825"/>
      <c r="P1815" s="2232">
        <f t="shared" si="325"/>
        <v>6</v>
      </c>
      <c r="Q1815" s="1053"/>
      <c r="R1815" s="1053"/>
      <c r="S1815" s="1053"/>
      <c r="T1815" s="2035">
        <f>IFERROR(HLOOKUP(B1815,pp3p1m!48:50,3,0),0)</f>
        <v>0</v>
      </c>
    </row>
    <row r="1816" spans="1:20" ht="22.2" customHeight="1">
      <c r="B1816" s="1571" t="s">
        <v>1509</v>
      </c>
      <c r="C1816" s="1832" t="str">
        <f t="shared" si="328"/>
        <v>x</v>
      </c>
      <c r="D1816" s="1535">
        <v>1</v>
      </c>
      <c r="E1816" s="1044"/>
      <c r="F1816" s="1056" t="str">
        <f>VLOOKUP($B1816,DG!A:D,DG!$C$2,)</f>
        <v>Sứ treo polymer</v>
      </c>
      <c r="G1816" s="1044" t="str">
        <f>VLOOKUP($B1816,DG!A:D,DG!$D$2,)</f>
        <v>chuỗi</v>
      </c>
      <c r="H1816" s="1823">
        <f>H$1815*$D1816</f>
        <v>6</v>
      </c>
      <c r="I1816" s="1823">
        <f t="shared" ref="I1816:R1818" si="334">I$1815*$D1816</f>
        <v>0</v>
      </c>
      <c r="J1816" s="1823">
        <f t="shared" si="334"/>
        <v>0</v>
      </c>
      <c r="K1816" s="1823">
        <f t="shared" si="334"/>
        <v>6</v>
      </c>
      <c r="L1816" s="1823">
        <f t="shared" si="334"/>
        <v>0</v>
      </c>
      <c r="M1816" s="1823">
        <f t="shared" si="334"/>
        <v>0</v>
      </c>
      <c r="N1816" s="1823">
        <f t="shared" si="334"/>
        <v>0</v>
      </c>
      <c r="O1816" s="1823">
        <f t="shared" si="334"/>
        <v>0</v>
      </c>
      <c r="P1816" s="1823">
        <f t="shared" si="334"/>
        <v>6</v>
      </c>
      <c r="Q1816" s="1823">
        <f t="shared" si="334"/>
        <v>0</v>
      </c>
      <c r="R1816" s="1823">
        <f t="shared" si="334"/>
        <v>0</v>
      </c>
      <c r="S1816" s="1053"/>
      <c r="T1816" s="2035">
        <f>IFERROR(HLOOKUP(B1816,pp3p1m!49:51,3,0),0)</f>
        <v>0</v>
      </c>
    </row>
    <row r="1817" spans="1:20" ht="22.2" customHeight="1">
      <c r="B1817" s="1571" t="s">
        <v>1489</v>
      </c>
      <c r="C1817" s="1832" t="str">
        <f t="shared" si="328"/>
        <v>x</v>
      </c>
      <c r="D1817" s="1535">
        <v>2</v>
      </c>
      <c r="E1817" s="1044"/>
      <c r="F1817" s="1056" t="str">
        <f>VLOOKUP($B1817,DG!A:D,DG!$C$2,)&amp;""</f>
        <v xml:space="preserve">Móc treo chữ U </v>
      </c>
      <c r="G1817" s="1044" t="str">
        <f>VLOOKUP($B1817,DG!A:D,DG!$D$2,)</f>
        <v>cái</v>
      </c>
      <c r="H1817" s="1823">
        <f t="shared" ref="H1817:H1821" si="335">H$1815*$D1817</f>
        <v>12</v>
      </c>
      <c r="I1817" s="1823">
        <f t="shared" si="334"/>
        <v>0</v>
      </c>
      <c r="J1817" s="1823">
        <f t="shared" si="334"/>
        <v>0</v>
      </c>
      <c r="K1817" s="1823">
        <f t="shared" si="334"/>
        <v>12</v>
      </c>
      <c r="L1817" s="1823">
        <f t="shared" si="334"/>
        <v>0</v>
      </c>
      <c r="M1817" s="1823">
        <f t="shared" si="334"/>
        <v>0</v>
      </c>
      <c r="N1817" s="1823">
        <f t="shared" si="334"/>
        <v>0</v>
      </c>
      <c r="O1817" s="1823">
        <f t="shared" si="334"/>
        <v>0</v>
      </c>
      <c r="P1817" s="1823">
        <f t="shared" si="334"/>
        <v>12</v>
      </c>
      <c r="Q1817" s="1823">
        <f t="shared" si="334"/>
        <v>0</v>
      </c>
      <c r="R1817" s="1823">
        <f t="shared" si="334"/>
        <v>0</v>
      </c>
      <c r="S1817" s="1053"/>
      <c r="T1817" s="2035">
        <f>IFERROR(HLOOKUP(B1817,pp3p1m!50:52,3,0),0)</f>
        <v>0</v>
      </c>
    </row>
    <row r="1818" spans="1:20" ht="22.2" hidden="1" customHeight="1">
      <c r="B1818" s="1571" t="s">
        <v>385</v>
      </c>
      <c r="C1818" s="1832" t="str">
        <f t="shared" ref="C1818" si="336">IF(OR(P1818&lt;&gt;0,H1818&lt;&gt;0),"x"," ")</f>
        <v xml:space="preserve"> </v>
      </c>
      <c r="D1818" s="1535"/>
      <c r="E1818" s="1044"/>
      <c r="F1818" s="1056" t="str">
        <f>VLOOKUP($B1818,DG!A:D,DG!$C$2,)</f>
        <v>Khóa néo dây cỡ dây 185</v>
      </c>
      <c r="G1818" s="1044" t="str">
        <f>VLOOKUP($B1818,DG!A:D,DG!$D$2,)</f>
        <v>cái</v>
      </c>
      <c r="H1818" s="1823">
        <f t="shared" si="335"/>
        <v>0</v>
      </c>
      <c r="I1818" s="1823"/>
      <c r="J1818" s="1823"/>
      <c r="K1818" s="1823">
        <f t="shared" si="334"/>
        <v>0</v>
      </c>
      <c r="L1818" s="1823"/>
      <c r="M1818" s="1823"/>
      <c r="N1818" s="1823"/>
      <c r="O1818" s="1825"/>
      <c r="P1818" s="1823">
        <f t="shared" ref="P1818" si="337">H1818+Q1818-R1818</f>
        <v>0</v>
      </c>
      <c r="Q1818" s="1053"/>
      <c r="R1818" s="1053"/>
      <c r="S1818" s="1053"/>
      <c r="T1818" s="2035">
        <f>IFERROR(HLOOKUP(B1818,pp3p1m!51:53,3,0),0)</f>
        <v>0</v>
      </c>
    </row>
    <row r="1819" spans="1:20" ht="22.2" hidden="1" customHeight="1">
      <c r="B1819" s="1571" t="s">
        <v>4751</v>
      </c>
      <c r="C1819" s="1832" t="str">
        <f t="shared" si="328"/>
        <v xml:space="preserve"> </v>
      </c>
      <c r="D1819" s="1541">
        <f>K1819</f>
        <v>0</v>
      </c>
      <c r="E1819" s="1044"/>
      <c r="F1819" s="1056" t="str">
        <f>VLOOKUP($B1819,DG!A:D,DG!$C$2,)</f>
        <v>Khánh lắp chuỗi sứ polymer kép</v>
      </c>
      <c r="G1819" s="1044" t="str">
        <f>VLOOKUP($B1819,DG!A:D,DG!$D$2,)</f>
        <v>cái</v>
      </c>
      <c r="H1819" s="1947">
        <f>K1819</f>
        <v>0</v>
      </c>
      <c r="I1819" s="1823"/>
      <c r="J1819" s="1823"/>
      <c r="K1819" s="1822">
        <f>IFERROR(HLOOKUP(B1819,pp3p1m!$1:$3,3,0),0)</f>
        <v>0</v>
      </c>
      <c r="L1819" s="1823"/>
      <c r="M1819" s="1823"/>
      <c r="N1819" s="1823"/>
      <c r="O1819" s="1825"/>
      <c r="P1819" s="1947"/>
      <c r="Q1819" s="1053"/>
      <c r="R1819" s="1053"/>
      <c r="S1819" s="1053"/>
      <c r="T1819" s="2035">
        <f>IFERROR(HLOOKUP(B1819,pp3p1m!52:54,3,0),0)</f>
        <v>0</v>
      </c>
    </row>
    <row r="1820" spans="1:20" ht="22.2" customHeight="1">
      <c r="A1820" s="59"/>
      <c r="B1820" s="1577" t="s">
        <v>5278</v>
      </c>
      <c r="C1820" s="1013" t="str">
        <f t="shared" si="328"/>
        <v>x</v>
      </c>
      <c r="D1820" s="1535">
        <v>1</v>
      </c>
      <c r="E1820" s="1044"/>
      <c r="F1820" s="1056" t="str">
        <f>VLOOKUP($B1820,DG!A:D,DG!$C$2,)</f>
        <v>Giáp níu dừng dây bọc (70-95mm2)</v>
      </c>
      <c r="G1820" s="1044" t="str">
        <f>VLOOKUP($B1820,DG!A:D,DG!$D$2,)</f>
        <v>cái</v>
      </c>
      <c r="H1820" s="1823">
        <f t="shared" si="335"/>
        <v>6</v>
      </c>
      <c r="I1820" s="1823"/>
      <c r="J1820" s="1823"/>
      <c r="K1820" s="1823"/>
      <c r="L1820" s="1823"/>
      <c r="M1820" s="1823"/>
      <c r="N1820" s="1823"/>
      <c r="O1820" s="1823"/>
      <c r="P1820" s="1823">
        <f t="shared" ref="P1820:P1831" si="338">H1820+Q1820-R1820</f>
        <v>6</v>
      </c>
      <c r="Q1820" s="1053"/>
      <c r="R1820" s="1053"/>
      <c r="S1820" s="1053"/>
      <c r="T1820" s="2035">
        <f>IFERROR(HLOOKUP(B1820,pp3p1m!53:55,3,0),0)</f>
        <v>0</v>
      </c>
    </row>
    <row r="1821" spans="1:20" ht="22.2" hidden="1" customHeight="1">
      <c r="A1821" s="59"/>
      <c r="B1821" s="1593" t="s">
        <v>1799</v>
      </c>
      <c r="C1821" s="1013" t="str">
        <f t="shared" si="328"/>
        <v xml:space="preserve"> </v>
      </c>
      <c r="D1821" s="1535"/>
      <c r="E1821" s="1044"/>
      <c r="F1821" s="1056" t="str">
        <f>VLOOKUP($B1821,DG!A:D,DG!$C$2,)</f>
        <v>Kẹp 2 rãnh (APC) cỡ dây 240 mm2</v>
      </c>
      <c r="G1821" s="1044" t="str">
        <f>VLOOKUP($B1821,DG!A:D,DG!$D$2,)</f>
        <v>cái</v>
      </c>
      <c r="H1821" s="1823">
        <f t="shared" si="335"/>
        <v>0</v>
      </c>
      <c r="I1821" s="1823"/>
      <c r="J1821" s="1823"/>
      <c r="K1821" s="1823">
        <f>D1821</f>
        <v>0</v>
      </c>
      <c r="L1821" s="1823"/>
      <c r="M1821" s="1823"/>
      <c r="N1821" s="1823"/>
      <c r="O1821" s="1823"/>
      <c r="P1821" s="1823">
        <f t="shared" si="338"/>
        <v>0</v>
      </c>
      <c r="Q1821" s="1053"/>
      <c r="R1821" s="1053"/>
      <c r="S1821" s="1053"/>
      <c r="T1821" s="2035">
        <f>IFERROR(HLOOKUP(B1821,pp3p1m!54:56,3,0),0)</f>
        <v>0</v>
      </c>
    </row>
    <row r="1822" spans="1:20" ht="22.2" hidden="1" customHeight="1">
      <c r="A1822" s="59"/>
      <c r="B1822" s="1596" t="s">
        <v>2549</v>
      </c>
      <c r="C1822" s="1013" t="str">
        <f t="shared" si="328"/>
        <v xml:space="preserve"> </v>
      </c>
      <c r="D1822" s="1548"/>
      <c r="E1822" s="1044"/>
      <c r="F1822" s="1062" t="s">
        <v>2550</v>
      </c>
      <c r="G1822" s="1044" t="s">
        <v>2518</v>
      </c>
      <c r="H1822" s="1821">
        <f>SUM(I1822:O1822)</f>
        <v>0</v>
      </c>
      <c r="I1822" s="1823"/>
      <c r="J1822" s="1823"/>
      <c r="K1822" s="1822">
        <f>IFERROR(HLOOKUP(B1822,pp3p1m!$1:$3,3,0),0)</f>
        <v>0</v>
      </c>
      <c r="L1822" s="1823"/>
      <c r="M1822" s="1823"/>
      <c r="N1822" s="1823"/>
      <c r="O1822" s="1823"/>
      <c r="P1822" s="1823">
        <f t="shared" si="338"/>
        <v>0</v>
      </c>
      <c r="Q1822" s="1053"/>
      <c r="R1822" s="1053"/>
      <c r="S1822" s="1053"/>
      <c r="T1822" s="2035">
        <f>IFERROR(HLOOKUP(B1822,pp3p1m!55:57,3,0),0)</f>
        <v>0</v>
      </c>
    </row>
    <row r="1823" spans="1:20" ht="22.2" hidden="1" customHeight="1">
      <c r="A1823" s="59"/>
      <c r="B1823" s="1577" t="s">
        <v>1509</v>
      </c>
      <c r="C1823" s="1013" t="str">
        <f t="shared" si="328"/>
        <v xml:space="preserve"> </v>
      </c>
      <c r="D1823" s="1535">
        <f>D1822</f>
        <v>0</v>
      </c>
      <c r="E1823" s="1044"/>
      <c r="F1823" s="1056" t="str">
        <f>VLOOKUP($B1823,DG!A:D,DG!$C$2,)&amp;" "</f>
        <v xml:space="preserve">Sứ treo polymer </v>
      </c>
      <c r="G1823" s="1044" t="str">
        <f>VLOOKUP($B1823,DG!A:D,DG!$D$2,)</f>
        <v>chuỗi</v>
      </c>
      <c r="H1823" s="1823">
        <f t="shared" ref="H1823:H1828" si="339">$D1823</f>
        <v>0</v>
      </c>
      <c r="I1823" s="1823"/>
      <c r="J1823" s="1823"/>
      <c r="K1823" s="1823">
        <f t="shared" ref="K1823:K1828" si="340">D1823</f>
        <v>0</v>
      </c>
      <c r="L1823" s="1823"/>
      <c r="M1823" s="1823"/>
      <c r="N1823" s="1823"/>
      <c r="O1823" s="1823"/>
      <c r="P1823" s="1823">
        <f t="shared" si="338"/>
        <v>0</v>
      </c>
      <c r="Q1823" s="1053"/>
      <c r="R1823" s="1053"/>
      <c r="S1823" s="1053"/>
      <c r="T1823" s="2035">
        <f>IFERROR(HLOOKUP(B1823,pp3p1m!56:58,3,0),0)</f>
        <v>0</v>
      </c>
    </row>
    <row r="1824" spans="1:20" ht="22.2" hidden="1" customHeight="1">
      <c r="A1824" s="59"/>
      <c r="B1824" s="1577" t="s">
        <v>1489</v>
      </c>
      <c r="C1824" s="1013" t="str">
        <f t="shared" si="328"/>
        <v xml:space="preserve"> </v>
      </c>
      <c r="D1824" s="1535">
        <f>D1822*2</f>
        <v>0</v>
      </c>
      <c r="E1824" s="1044"/>
      <c r="F1824" s="1056" t="str">
        <f>VLOOKUP($B1824,DG!A:D,DG!$C$2,)&amp;""</f>
        <v xml:space="preserve">Móc treo chữ U </v>
      </c>
      <c r="G1824" s="1044" t="str">
        <f>VLOOKUP($B1824,DG!A:D,DG!$D$2,)</f>
        <v>cái</v>
      </c>
      <c r="H1824" s="1823">
        <f t="shared" si="339"/>
        <v>0</v>
      </c>
      <c r="I1824" s="1823"/>
      <c r="J1824" s="1823"/>
      <c r="K1824" s="1823">
        <f t="shared" si="340"/>
        <v>0</v>
      </c>
      <c r="L1824" s="1823"/>
      <c r="M1824" s="1823"/>
      <c r="N1824" s="1823"/>
      <c r="O1824" s="1823"/>
      <c r="P1824" s="1823">
        <f t="shared" si="338"/>
        <v>0</v>
      </c>
      <c r="Q1824" s="1053"/>
      <c r="R1824" s="1053"/>
      <c r="S1824" s="1053"/>
      <c r="T1824" s="2035">
        <f>IFERROR(HLOOKUP(B1824,pp3p1m!57:59,3,0),0)</f>
        <v>0</v>
      </c>
    </row>
    <row r="1825" spans="1:20" ht="22.2" hidden="1" customHeight="1">
      <c r="A1825" s="59"/>
      <c r="B1825" s="1577" t="s">
        <v>1746</v>
      </c>
      <c r="C1825" s="1013" t="str">
        <f t="shared" si="328"/>
        <v xml:space="preserve"> </v>
      </c>
      <c r="D1825" s="1535">
        <f>D1822</f>
        <v>0</v>
      </c>
      <c r="E1825" s="1044"/>
      <c r="F1825" s="1056" t="str">
        <f>VLOOKUP($B1825,DG!A:D,DG!$C$2,)</f>
        <v>Khóa néo dây cỡ dây 185</v>
      </c>
      <c r="G1825" s="1044" t="str">
        <f>VLOOKUP($B1825,DG!A:D,DG!$D$2,)</f>
        <v>cái</v>
      </c>
      <c r="H1825" s="1823">
        <f t="shared" si="339"/>
        <v>0</v>
      </c>
      <c r="I1825" s="1823"/>
      <c r="J1825" s="1823"/>
      <c r="K1825" s="1823">
        <f t="shared" si="340"/>
        <v>0</v>
      </c>
      <c r="L1825" s="1823"/>
      <c r="M1825" s="1823"/>
      <c r="N1825" s="1823"/>
      <c r="O1825" s="1823"/>
      <c r="P1825" s="1823">
        <f t="shared" si="338"/>
        <v>0</v>
      </c>
      <c r="Q1825" s="1053"/>
      <c r="R1825" s="1053"/>
      <c r="S1825" s="1053"/>
      <c r="T1825" s="2035">
        <f>IFERROR(HLOOKUP(B1825,pp3p1m!58:60,3,0),0)</f>
        <v>0</v>
      </c>
    </row>
    <row r="1826" spans="1:20" ht="22.2" hidden="1" customHeight="1">
      <c r="A1826" s="59"/>
      <c r="B1826" s="1577" t="s">
        <v>417</v>
      </c>
      <c r="C1826" s="1013" t="str">
        <f t="shared" si="328"/>
        <v xml:space="preserve"> </v>
      </c>
      <c r="D1826" s="1535">
        <f>D1822</f>
        <v>0</v>
      </c>
      <c r="E1826" s="1044"/>
      <c r="F1826" s="1056" t="str">
        <f>VLOOKUP($B1826,DG!A:D,DG!$C$2,)</f>
        <v>Boulon mắt 16x300+ 2 long đền vuông D18-50x50x3/Zn</v>
      </c>
      <c r="G1826" s="1044" t="str">
        <f>VLOOKUP($B1826,DG!A:D,DG!$D$2,)</f>
        <v>bộ</v>
      </c>
      <c r="H1826" s="1823">
        <f t="shared" si="339"/>
        <v>0</v>
      </c>
      <c r="I1826" s="1823"/>
      <c r="J1826" s="1823"/>
      <c r="K1826" s="1823">
        <f t="shared" si="340"/>
        <v>0</v>
      </c>
      <c r="L1826" s="1823"/>
      <c r="M1826" s="1823"/>
      <c r="N1826" s="1823"/>
      <c r="O1826" s="1823"/>
      <c r="P1826" s="1823">
        <f t="shared" si="338"/>
        <v>0</v>
      </c>
      <c r="Q1826" s="1053"/>
      <c r="R1826" s="1053"/>
      <c r="S1826" s="1053"/>
      <c r="T1826" s="2035">
        <f>IFERROR(HLOOKUP(B1826,pp3p1m!59:61,3,0),0)</f>
        <v>0</v>
      </c>
    </row>
    <row r="1827" spans="1:20" ht="22.2" hidden="1" customHeight="1">
      <c r="A1827" s="59"/>
      <c r="B1827" s="1590" t="s">
        <v>2426</v>
      </c>
      <c r="C1827" s="1013" t="str">
        <f t="shared" si="328"/>
        <v xml:space="preserve"> </v>
      </c>
      <c r="D1827" s="1551"/>
      <c r="E1827" s="1044"/>
      <c r="F1827" s="1056" t="str">
        <f>VLOOKUP($B1827,DG!A:D,DG!$C$2,)&amp;""</f>
        <v>Cổ dê bắt xà + bulon</v>
      </c>
      <c r="G1827" s="1044" t="s">
        <v>2445</v>
      </c>
      <c r="H1827" s="1823">
        <f t="shared" si="339"/>
        <v>0</v>
      </c>
      <c r="I1827" s="1823"/>
      <c r="J1827" s="1823"/>
      <c r="K1827" s="1823">
        <f t="shared" si="340"/>
        <v>0</v>
      </c>
      <c r="L1827" s="1823"/>
      <c r="M1827" s="1823"/>
      <c r="N1827" s="1823"/>
      <c r="O1827" s="1823"/>
      <c r="P1827" s="1823">
        <f t="shared" si="338"/>
        <v>0</v>
      </c>
      <c r="Q1827" s="1053"/>
      <c r="R1827" s="1053"/>
      <c r="S1827" s="1053"/>
      <c r="T1827" s="2035">
        <f>IFERROR(HLOOKUP(B1827,pp3p1m!60:62,3,0),0)</f>
        <v>0</v>
      </c>
    </row>
    <row r="1828" spans="1:20" ht="22.2" hidden="1" customHeight="1">
      <c r="A1828" s="59"/>
      <c r="B1828" s="1590" t="s">
        <v>1275</v>
      </c>
      <c r="C1828" s="1013" t="str">
        <f t="shared" si="328"/>
        <v xml:space="preserve"> </v>
      </c>
      <c r="D1828" s="1551"/>
      <c r="E1828" s="1044"/>
      <c r="F1828" s="1056" t="str">
        <f>VLOOKUP($B1828,DG!A:D,DG!$C$2,)&amp;""</f>
        <v xml:space="preserve">Cổ dê giữ ống D140 vào trụ + Bulon </v>
      </c>
      <c r="G1828" s="1044" t="s">
        <v>2445</v>
      </c>
      <c r="H1828" s="1823">
        <f t="shared" si="339"/>
        <v>0</v>
      </c>
      <c r="I1828" s="1823"/>
      <c r="J1828" s="1823"/>
      <c r="K1828" s="1823">
        <f t="shared" si="340"/>
        <v>0</v>
      </c>
      <c r="L1828" s="1823"/>
      <c r="M1828" s="1823"/>
      <c r="N1828" s="1823"/>
      <c r="O1828" s="1823"/>
      <c r="P1828" s="1823">
        <f t="shared" si="338"/>
        <v>0</v>
      </c>
      <c r="Q1828" s="1053"/>
      <c r="R1828" s="1053"/>
      <c r="S1828" s="1053"/>
      <c r="T1828" s="2035">
        <f>IFERROR(HLOOKUP(B1828,pp3p1m!61:63,3,0),0)</f>
        <v>0</v>
      </c>
    </row>
    <row r="1829" spans="1:20" ht="22.2" hidden="1" customHeight="1">
      <c r="A1829" s="59"/>
      <c r="B1829" s="1596" t="s">
        <v>2519</v>
      </c>
      <c r="C1829" s="1013" t="str">
        <f t="shared" si="328"/>
        <v xml:space="preserve"> </v>
      </c>
      <c r="D1829" s="1548"/>
      <c r="E1829" s="1044"/>
      <c r="F1829" s="1062" t="s">
        <v>2551</v>
      </c>
      <c r="G1829" s="1044" t="s">
        <v>2445</v>
      </c>
      <c r="H1829" s="1821">
        <f>SUM(I1829:O1829)</f>
        <v>0</v>
      </c>
      <c r="I1829" s="1823"/>
      <c r="J1829" s="1823"/>
      <c r="K1829" s="1822">
        <f>IFERROR(HLOOKUP(B1829,pp3p1m!$1:$3,3,0),0)</f>
        <v>0</v>
      </c>
      <c r="L1829" s="1823"/>
      <c r="M1829" s="1823"/>
      <c r="N1829" s="1823"/>
      <c r="O1829" s="1823"/>
      <c r="P1829" s="1823">
        <f t="shared" si="338"/>
        <v>0</v>
      </c>
      <c r="Q1829" s="1053"/>
      <c r="R1829" s="1053"/>
      <c r="S1829" s="1053"/>
      <c r="T1829" s="2035">
        <f>IFERROR(HLOOKUP(B1829,pp3p1m!62:64,3,0),0)</f>
        <v>0</v>
      </c>
    </row>
    <row r="1830" spans="1:20" ht="22.2" hidden="1" customHeight="1">
      <c r="A1830" s="59"/>
      <c r="B1830" s="1577" t="s">
        <v>2112</v>
      </c>
      <c r="C1830" s="1013" t="str">
        <f t="shared" si="328"/>
        <v xml:space="preserve"> </v>
      </c>
      <c r="D1830" s="1545">
        <f>2.826*(3.14159*0.225+0.06*4)*D1829</f>
        <v>0</v>
      </c>
      <c r="E1830" s="1044"/>
      <c r="F1830" s="1056" t="str">
        <f>VLOOKUP($B1830,DG!A:D,DG!$C$2,)&amp;""</f>
        <v>Sắt dẹt 50x5</v>
      </c>
      <c r="G1830" s="1044" t="str">
        <f>VLOOKUP($B1830,DG!A:D,DG!$D$2,)</f>
        <v>kg</v>
      </c>
      <c r="H1830" s="1823"/>
      <c r="I1830" s="1823"/>
      <c r="J1830" s="1823"/>
      <c r="K1830" s="1823"/>
      <c r="L1830" s="1823"/>
      <c r="M1830" s="1823"/>
      <c r="N1830" s="1823"/>
      <c r="O1830" s="1823"/>
      <c r="P1830" s="1823">
        <f t="shared" si="338"/>
        <v>0</v>
      </c>
      <c r="Q1830" s="1053"/>
      <c r="R1830" s="1053"/>
      <c r="S1830" s="1053"/>
      <c r="T1830" s="2035">
        <f>IFERROR(HLOOKUP(B1830,pp3p1m!63:65,3,0),0)</f>
        <v>0</v>
      </c>
    </row>
    <row r="1831" spans="1:20" ht="22.2" hidden="1" customHeight="1">
      <c r="A1831" s="59"/>
      <c r="B1831" s="1577" t="s">
        <v>1801</v>
      </c>
      <c r="C1831" s="1013" t="str">
        <f t="shared" si="328"/>
        <v xml:space="preserve"> </v>
      </c>
      <c r="D1831" s="1548">
        <f t="shared" ref="D1831:D1871" si="341">K1831</f>
        <v>0</v>
      </c>
      <c r="E1831" s="1044"/>
      <c r="F1831" s="1056" t="str">
        <f>VLOOKUP($B1831,DG!A:D,DG!$C$2,)&amp;""</f>
        <v>Boulon 10x40+ 2 long đền vuông D12-50x50x3/Zn</v>
      </c>
      <c r="G1831" s="1044" t="str">
        <f>VLOOKUP($B1831,DG!A:D,DG!$D$2,)</f>
        <v>bộ</v>
      </c>
      <c r="H1831" s="1823"/>
      <c r="I1831" s="1823"/>
      <c r="J1831" s="1823"/>
      <c r="K1831" s="1823"/>
      <c r="L1831" s="1823"/>
      <c r="M1831" s="1823"/>
      <c r="N1831" s="1823"/>
      <c r="O1831" s="1823"/>
      <c r="P1831" s="1823">
        <f t="shared" si="338"/>
        <v>0</v>
      </c>
      <c r="Q1831" s="1053"/>
      <c r="R1831" s="1053"/>
      <c r="S1831" s="1053"/>
      <c r="T1831" s="2035">
        <f>IFERROR(HLOOKUP(B1831,pp3p1m!64:66,3,0),0)</f>
        <v>0</v>
      </c>
    </row>
    <row r="1832" spans="1:20" ht="22.2" customHeight="1">
      <c r="A1832" s="66"/>
      <c r="B1832" s="1604"/>
      <c r="C1832" s="1013" t="str">
        <f>IF(SUM(I1832:O1832)&gt;0,"x","")</f>
        <v>x</v>
      </c>
      <c r="D1832" s="1548">
        <f t="shared" si="341"/>
        <v>60</v>
      </c>
      <c r="E1832" s="1406"/>
      <c r="F1832" s="1062" t="s">
        <v>2552</v>
      </c>
      <c r="G1832" s="1406"/>
      <c r="H1832" s="1821"/>
      <c r="I1832" s="1822">
        <f>SUM(I1833:I1927)</f>
        <v>0</v>
      </c>
      <c r="J1832" s="1822">
        <f t="shared" ref="J1832:O1832" si="342">SUM(J1833:J1927)</f>
        <v>0</v>
      </c>
      <c r="K1832" s="1822">
        <f t="shared" si="342"/>
        <v>60</v>
      </c>
      <c r="L1832" s="1822">
        <f>IFERROR(HLOOKUP(chitiet!B1832,pp1p!$1:$3,3,0),0)</f>
        <v>0</v>
      </c>
      <c r="M1832" s="1822">
        <f t="shared" si="342"/>
        <v>0</v>
      </c>
      <c r="N1832" s="1822">
        <f t="shared" si="342"/>
        <v>0</v>
      </c>
      <c r="O1832" s="1822">
        <f t="shared" si="342"/>
        <v>0</v>
      </c>
      <c r="P1832" s="1826">
        <f>H1832</f>
        <v>0</v>
      </c>
      <c r="Q1832" s="1407"/>
      <c r="R1832" s="1407"/>
      <c r="S1832" s="1407"/>
      <c r="T1832" s="2035">
        <f>IFERROR(HLOOKUP(B1832,pp3p1m!65:67,3,0),0)</f>
        <v>0</v>
      </c>
    </row>
    <row r="1833" spans="1:20" ht="22.2" hidden="1" customHeight="1">
      <c r="A1833" s="59"/>
      <c r="B1833" s="1584" t="s">
        <v>1144</v>
      </c>
      <c r="C1833" s="1013" t="str">
        <f>IF(OR(P1833&lt;&gt;0,H1833&lt;&gt;0),"x","")</f>
        <v/>
      </c>
      <c r="D1833" s="1548">
        <f t="shared" si="341"/>
        <v>0</v>
      </c>
      <c r="E1833" s="1044"/>
      <c r="F1833" s="1056" t="str">
        <f>VLOOKUP($B1833,DG!A:D,DG!$C$2,)</f>
        <v>Khóa đỡ dây cỡ dây 240</v>
      </c>
      <c r="G1833" s="1044" t="str">
        <f>VLOOKUP($B1833,DG!A:D,DG!$D$2,)</f>
        <v>cái</v>
      </c>
      <c r="H1833" s="1823">
        <f>K1833</f>
        <v>0</v>
      </c>
      <c r="I1833" s="1823"/>
      <c r="J1833" s="1823"/>
      <c r="K1833" s="1822">
        <f>IFERROR(HLOOKUP(B1833,pp3p1m!$1:$3,3,0),0)</f>
        <v>0</v>
      </c>
      <c r="L1833" s="1823"/>
      <c r="M1833" s="1823"/>
      <c r="N1833" s="1946"/>
      <c r="O1833" s="1823"/>
      <c r="P1833" s="1823">
        <f t="shared" ref="P1833:P1848" si="343">P$1832*$D1833</f>
        <v>0</v>
      </c>
      <c r="Q1833" s="1823"/>
      <c r="R1833" s="1823"/>
      <c r="S1833" s="1053"/>
      <c r="T1833" s="2035">
        <f>IFERROR(HLOOKUP(B1833,pp3p1m!66:68,3,0),0)</f>
        <v>0</v>
      </c>
    </row>
    <row r="1834" spans="1:20" ht="22.2" hidden="1" customHeight="1">
      <c r="A1834" s="59"/>
      <c r="B1834" s="1584" t="s">
        <v>1143</v>
      </c>
      <c r="C1834" s="1013" t="str">
        <f t="shared" si="328"/>
        <v xml:space="preserve"> </v>
      </c>
      <c r="D1834" s="1548">
        <f t="shared" si="341"/>
        <v>0</v>
      </c>
      <c r="E1834" s="1044"/>
      <c r="F1834" s="1056" t="str">
        <f>VLOOKUP($B1834,DG!A:D,DG!$C$2,)</f>
        <v>Khóa đỡ dây cỡ dây 185</v>
      </c>
      <c r="G1834" s="1044" t="str">
        <f>VLOOKUP($B1834,DG!A:D,DG!$D$2,)</f>
        <v>cái</v>
      </c>
      <c r="H1834" s="1823">
        <f t="shared" ref="H1834:H1898" si="344">K1834</f>
        <v>0</v>
      </c>
      <c r="I1834" s="1823"/>
      <c r="J1834" s="1823"/>
      <c r="K1834" s="1822">
        <f>IFERROR(HLOOKUP(B1834,pp3p1m!$1:$3,3,0),0)</f>
        <v>0</v>
      </c>
      <c r="L1834" s="1823"/>
      <c r="M1834" s="1823"/>
      <c r="N1834" s="1823"/>
      <c r="O1834" s="1823"/>
      <c r="P1834" s="1823">
        <f t="shared" si="343"/>
        <v>0</v>
      </c>
      <c r="Q1834" s="1053"/>
      <c r="R1834" s="1053"/>
      <c r="S1834" s="1053"/>
      <c r="T1834" s="2035">
        <f>IFERROR(HLOOKUP(B1834,pp3p1m!67:69,3,0),0)</f>
        <v>0</v>
      </c>
    </row>
    <row r="1835" spans="1:20" ht="22.2" hidden="1" customHeight="1">
      <c r="A1835" s="59"/>
      <c r="B1835" s="1584" t="s">
        <v>1142</v>
      </c>
      <c r="C1835" s="1013" t="str">
        <f t="shared" si="328"/>
        <v xml:space="preserve"> </v>
      </c>
      <c r="D1835" s="1548">
        <f t="shared" si="341"/>
        <v>0</v>
      </c>
      <c r="E1835" s="1044"/>
      <c r="F1835" s="1056" t="str">
        <f>VLOOKUP($B1835,DG!A:D,DG!$C$2,)</f>
        <v>Khóa đỡ dây cỡ dây 150</v>
      </c>
      <c r="G1835" s="1044" t="str">
        <f>VLOOKUP($B1835,DG!A:D,DG!$D$2,)</f>
        <v>cái</v>
      </c>
      <c r="H1835" s="1823">
        <f t="shared" si="344"/>
        <v>0</v>
      </c>
      <c r="I1835" s="1823"/>
      <c r="J1835" s="1823"/>
      <c r="K1835" s="1822">
        <f>IFERROR(HLOOKUP(B1835,pp3p1m!$1:$3,3,0),0)</f>
        <v>0</v>
      </c>
      <c r="L1835" s="1823"/>
      <c r="M1835" s="1823"/>
      <c r="N1835" s="1823"/>
      <c r="O1835" s="1823"/>
      <c r="P1835" s="1823">
        <f t="shared" si="343"/>
        <v>0</v>
      </c>
      <c r="Q1835" s="1053"/>
      <c r="R1835" s="1053"/>
      <c r="S1835" s="1053"/>
      <c r="T1835" s="2035">
        <f>IFERROR(HLOOKUP(B1835,pp3p1m!68:70,3,0),0)</f>
        <v>0</v>
      </c>
    </row>
    <row r="1836" spans="1:20" ht="22.2" hidden="1" customHeight="1">
      <c r="A1836" s="59"/>
      <c r="B1836" s="1584" t="s">
        <v>1141</v>
      </c>
      <c r="C1836" s="1013" t="str">
        <f t="shared" si="328"/>
        <v xml:space="preserve"> </v>
      </c>
      <c r="D1836" s="1548">
        <f t="shared" si="341"/>
        <v>0</v>
      </c>
      <c r="E1836" s="1044"/>
      <c r="F1836" s="1056" t="str">
        <f>VLOOKUP($B1836,DG!A:D,DG!$C$2,)</f>
        <v>Khóa đỡ dây cỡ dây 120</v>
      </c>
      <c r="G1836" s="1044" t="str">
        <f>VLOOKUP($B1836,DG!A:D,DG!$D$2,)</f>
        <v>cái</v>
      </c>
      <c r="H1836" s="1823">
        <f t="shared" si="344"/>
        <v>0</v>
      </c>
      <c r="I1836" s="1823"/>
      <c r="J1836" s="1823"/>
      <c r="K1836" s="1822">
        <f>IFERROR(HLOOKUP(B1836,pp3p1m!$1:$3,3,0),0)</f>
        <v>0</v>
      </c>
      <c r="L1836" s="1823"/>
      <c r="M1836" s="1823"/>
      <c r="N1836" s="1823"/>
      <c r="O1836" s="1823"/>
      <c r="P1836" s="1823">
        <f t="shared" si="343"/>
        <v>0</v>
      </c>
      <c r="Q1836" s="1053"/>
      <c r="R1836" s="1053"/>
      <c r="S1836" s="1053"/>
      <c r="T1836" s="2035">
        <f>IFERROR(HLOOKUP(B1836,pp3p1m!69:71,3,0),0)</f>
        <v>0</v>
      </c>
    </row>
    <row r="1837" spans="1:20" ht="22.2" hidden="1" customHeight="1">
      <c r="A1837" s="59"/>
      <c r="B1837" s="1584" t="s">
        <v>101</v>
      </c>
      <c r="C1837" s="1013" t="str">
        <f t="shared" si="328"/>
        <v xml:space="preserve"> </v>
      </c>
      <c r="D1837" s="1548">
        <f t="shared" si="341"/>
        <v>0</v>
      </c>
      <c r="E1837" s="1044"/>
      <c r="F1837" s="1056" t="str">
        <f>VLOOKUP($B1837,DG!A:D,DG!$C$2,)</f>
        <v>Khóa đỡ dây cỡ dây 95</v>
      </c>
      <c r="G1837" s="1044" t="str">
        <f>VLOOKUP($B1837,DG!A:D,DG!$D$2,)</f>
        <v>cái</v>
      </c>
      <c r="H1837" s="1823">
        <f t="shared" si="344"/>
        <v>0</v>
      </c>
      <c r="I1837" s="1823"/>
      <c r="J1837" s="1823"/>
      <c r="K1837" s="1822">
        <f>IFERROR(HLOOKUP(B1837,pp3p1m!$1:$3,3,0),0)</f>
        <v>0</v>
      </c>
      <c r="L1837" s="1823"/>
      <c r="M1837" s="1823"/>
      <c r="N1837" s="1823"/>
      <c r="O1837" s="1823"/>
      <c r="P1837" s="1823">
        <f t="shared" si="343"/>
        <v>0</v>
      </c>
      <c r="Q1837" s="1053"/>
      <c r="R1837" s="1053"/>
      <c r="S1837" s="1053"/>
      <c r="T1837" s="2035">
        <f>IFERROR(HLOOKUP(B1837,pp3p1m!70:72,3,0),0)</f>
        <v>0</v>
      </c>
    </row>
    <row r="1838" spans="1:20" ht="22.2" hidden="1" customHeight="1">
      <c r="A1838" s="59"/>
      <c r="B1838" s="1584" t="s">
        <v>1484</v>
      </c>
      <c r="C1838" s="1013" t="str">
        <f t="shared" si="328"/>
        <v xml:space="preserve"> </v>
      </c>
      <c r="D1838" s="1548">
        <f t="shared" si="341"/>
        <v>0</v>
      </c>
      <c r="E1838" s="1044"/>
      <c r="F1838" s="1056" t="str">
        <f>VLOOKUP($B1838,DG!A:D,DG!$C$2,)</f>
        <v>Khóa đỡ dây cỡ dây 70</v>
      </c>
      <c r="G1838" s="1044" t="str">
        <f>VLOOKUP($B1838,DG!A:D,DG!$D$2,)</f>
        <v>cái</v>
      </c>
      <c r="H1838" s="1823">
        <f t="shared" si="344"/>
        <v>0</v>
      </c>
      <c r="I1838" s="1823"/>
      <c r="J1838" s="1823"/>
      <c r="K1838" s="1822">
        <f>IFERROR(HLOOKUP(B1838,pp3p1m!$1:$3,3,0),0)</f>
        <v>0</v>
      </c>
      <c r="L1838" s="1823"/>
      <c r="M1838" s="1823"/>
      <c r="N1838" s="1823"/>
      <c r="O1838" s="1823"/>
      <c r="P1838" s="1823">
        <f t="shared" si="343"/>
        <v>0</v>
      </c>
      <c r="Q1838" s="1053"/>
      <c r="R1838" s="1053"/>
      <c r="S1838" s="1053"/>
      <c r="T1838" s="2035">
        <f>IFERROR(HLOOKUP(B1838,pp3p1m!71:73,3,0),0)</f>
        <v>0</v>
      </c>
    </row>
    <row r="1839" spans="1:20" ht="22.2" hidden="1" customHeight="1">
      <c r="A1839" s="59"/>
      <c r="B1839" s="1584" t="s">
        <v>1175</v>
      </c>
      <c r="C1839" s="1013" t="str">
        <f t="shared" si="328"/>
        <v xml:space="preserve"> </v>
      </c>
      <c r="D1839" s="1548">
        <f t="shared" si="341"/>
        <v>0</v>
      </c>
      <c r="E1839" s="1044"/>
      <c r="F1839" s="1056" t="str">
        <f>VLOOKUP($B1839,DG!A:D,DG!$C$2,)</f>
        <v>Khóa đỡ dây cỡ dây 50</v>
      </c>
      <c r="G1839" s="1044" t="str">
        <f>VLOOKUP($B1839,DG!A:D,DG!$D$2,)</f>
        <v>cái</v>
      </c>
      <c r="H1839" s="1823">
        <f t="shared" si="344"/>
        <v>0</v>
      </c>
      <c r="I1839" s="1823"/>
      <c r="J1839" s="1823"/>
      <c r="K1839" s="1822">
        <f>IFERROR(HLOOKUP(B1839,pp3p1m!$1:$3,3,0),0)</f>
        <v>0</v>
      </c>
      <c r="L1839" s="1823"/>
      <c r="M1839" s="1823"/>
      <c r="N1839" s="1823"/>
      <c r="O1839" s="1823"/>
      <c r="P1839" s="1823">
        <f t="shared" si="343"/>
        <v>0</v>
      </c>
      <c r="Q1839" s="1053"/>
      <c r="R1839" s="1053"/>
      <c r="S1839" s="1053"/>
      <c r="T1839" s="2035">
        <f>IFERROR(HLOOKUP(B1839,pp3p1m!72:74,3,0),0)</f>
        <v>0</v>
      </c>
    </row>
    <row r="1840" spans="1:20" ht="22.2" hidden="1" customHeight="1">
      <c r="A1840" s="59"/>
      <c r="B1840" s="1584" t="s">
        <v>1745</v>
      </c>
      <c r="C1840" s="1013" t="str">
        <f t="shared" si="328"/>
        <v xml:space="preserve"> </v>
      </c>
      <c r="D1840" s="1548">
        <f t="shared" si="341"/>
        <v>0</v>
      </c>
      <c r="E1840" s="1044"/>
      <c r="F1840" s="1056" t="str">
        <f>VLOOKUP($B1840,DG!A:D,DG!$C$2,)</f>
        <v>Khóa néo dây cỡ dây 240</v>
      </c>
      <c r="G1840" s="1044" t="str">
        <f>VLOOKUP($B1840,DG!A:D,DG!$D$2,)</f>
        <v>cái</v>
      </c>
      <c r="H1840" s="1823">
        <f t="shared" si="344"/>
        <v>0</v>
      </c>
      <c r="I1840" s="1823"/>
      <c r="J1840" s="1823"/>
      <c r="K1840" s="1822">
        <f>IFERROR(HLOOKUP(B1840,pp3p1m!$1:$3,3,0),0)</f>
        <v>0</v>
      </c>
      <c r="L1840" s="1823"/>
      <c r="M1840" s="1823"/>
      <c r="N1840" s="1823"/>
      <c r="O1840" s="1823"/>
      <c r="P1840" s="1823">
        <f t="shared" si="343"/>
        <v>0</v>
      </c>
      <c r="Q1840" s="1053"/>
      <c r="R1840" s="1053"/>
      <c r="S1840" s="1053"/>
      <c r="T1840" s="2035">
        <f>IFERROR(HLOOKUP(B1840,pp3p1m!73:75,3,0),0)</f>
        <v>0</v>
      </c>
    </row>
    <row r="1841" spans="1:20" ht="22.2" hidden="1" customHeight="1">
      <c r="A1841" s="59"/>
      <c r="B1841" s="1584" t="s">
        <v>904</v>
      </c>
      <c r="C1841" s="1013" t="str">
        <f t="shared" si="328"/>
        <v xml:space="preserve"> </v>
      </c>
      <c r="D1841" s="1548">
        <f t="shared" si="341"/>
        <v>0</v>
      </c>
      <c r="E1841" s="1044"/>
      <c r="F1841" s="1056" t="str">
        <f>VLOOKUP($B1841,DG!A:D,DG!$C$2,)</f>
        <v>Khóa néo dây cỡ dây 50</v>
      </c>
      <c r="G1841" s="1044" t="str">
        <f>VLOOKUP($B1841,DG!A:D,DG!$D$2,)</f>
        <v>cái</v>
      </c>
      <c r="H1841" s="1823">
        <f t="shared" si="344"/>
        <v>0</v>
      </c>
      <c r="I1841" s="1823"/>
      <c r="J1841" s="1823"/>
      <c r="K1841" s="1822">
        <f>IFERROR(HLOOKUP(B1841,pp3p1m!$1:$3,3,0),0)</f>
        <v>0</v>
      </c>
      <c r="L1841" s="1823"/>
      <c r="M1841" s="1823"/>
      <c r="N1841" s="1823"/>
      <c r="O1841" s="1823"/>
      <c r="P1841" s="1823">
        <f t="shared" si="343"/>
        <v>0</v>
      </c>
      <c r="Q1841" s="1053"/>
      <c r="R1841" s="1053"/>
      <c r="S1841" s="1053"/>
      <c r="T1841" s="2035">
        <f>IFERROR(HLOOKUP(B1841,pp3p1m!74:76,3,0),0)</f>
        <v>0</v>
      </c>
    </row>
    <row r="1842" spans="1:20" ht="22.2" hidden="1" customHeight="1">
      <c r="A1842" s="59"/>
      <c r="B1842" s="1584" t="s">
        <v>2115</v>
      </c>
      <c r="C1842" s="1013" t="str">
        <f t="shared" si="328"/>
        <v xml:space="preserve"> </v>
      </c>
      <c r="D1842" s="1548">
        <f t="shared" si="341"/>
        <v>0</v>
      </c>
      <c r="E1842" s="1044"/>
      <c r="F1842" s="1056" t="str">
        <f>VLOOKUP($B1842,DG!A:D,DG!$C$2,)</f>
        <v>Khóa néo dây cỡ dây 150</v>
      </c>
      <c r="G1842" s="1044" t="str">
        <f>VLOOKUP($B1842,DG!A:D,DG!$D$2,)</f>
        <v>cái</v>
      </c>
      <c r="H1842" s="1823">
        <f t="shared" si="344"/>
        <v>0</v>
      </c>
      <c r="I1842" s="1823"/>
      <c r="J1842" s="1823"/>
      <c r="K1842" s="1822">
        <f>IFERROR(HLOOKUP(B1842,pp3p1m!$1:$3,3,0),0)</f>
        <v>0</v>
      </c>
      <c r="L1842" s="1823"/>
      <c r="M1842" s="1823"/>
      <c r="N1842" s="1823"/>
      <c r="O1842" s="1823"/>
      <c r="P1842" s="1823">
        <f t="shared" si="343"/>
        <v>0</v>
      </c>
      <c r="Q1842" s="1053"/>
      <c r="R1842" s="1053"/>
      <c r="S1842" s="1053"/>
      <c r="T1842" s="2035">
        <f>IFERROR(HLOOKUP(B1842,pp3p1m!75:77,3,0),0)</f>
        <v>0</v>
      </c>
    </row>
    <row r="1843" spans="1:20" ht="22.2" hidden="1" customHeight="1">
      <c r="A1843" s="59"/>
      <c r="B1843" s="1584" t="s">
        <v>431</v>
      </c>
      <c r="C1843" s="1013" t="str">
        <f t="shared" si="328"/>
        <v xml:space="preserve"> </v>
      </c>
      <c r="D1843" s="1548">
        <f t="shared" si="341"/>
        <v>0</v>
      </c>
      <c r="E1843" s="1044"/>
      <c r="F1843" s="1056" t="str">
        <f>VLOOKUP($B1843,DG!A:D,DG!$C$2,)</f>
        <v>Khóa néo dây cỡ dây 120</v>
      </c>
      <c r="G1843" s="1044" t="str">
        <f>VLOOKUP($B1843,DG!A:D,DG!$D$2,)</f>
        <v>cái</v>
      </c>
      <c r="H1843" s="1823">
        <f t="shared" si="344"/>
        <v>0</v>
      </c>
      <c r="I1843" s="1823"/>
      <c r="J1843" s="1823"/>
      <c r="K1843" s="1822">
        <f>IFERROR(HLOOKUP(B1843,pp3p1m!$1:$3,3,0),0)</f>
        <v>0</v>
      </c>
      <c r="L1843" s="1823"/>
      <c r="M1843" s="1823"/>
      <c r="N1843" s="1823"/>
      <c r="O1843" s="1823"/>
      <c r="P1843" s="1823">
        <f t="shared" si="343"/>
        <v>0</v>
      </c>
      <c r="Q1843" s="1053"/>
      <c r="R1843" s="1053"/>
      <c r="S1843" s="1053"/>
      <c r="T1843" s="2035">
        <f>IFERROR(HLOOKUP(B1843,pp3p1m!76:78,3,0),0)</f>
        <v>0</v>
      </c>
    </row>
    <row r="1844" spans="1:20" ht="22.2" hidden="1" customHeight="1">
      <c r="A1844" s="59"/>
      <c r="B1844" s="1584" t="s">
        <v>1260</v>
      </c>
      <c r="C1844" s="1013" t="str">
        <f t="shared" si="328"/>
        <v xml:space="preserve"> </v>
      </c>
      <c r="D1844" s="1548">
        <f t="shared" si="341"/>
        <v>0</v>
      </c>
      <c r="E1844" s="1044"/>
      <c r="F1844" s="1056" t="str">
        <f>VLOOKUP($B1844,DG!A:D,DG!$C$2,)</f>
        <v>Khóa néo dây cỡ dây 95</v>
      </c>
      <c r="G1844" s="1044" t="str">
        <f>VLOOKUP($B1844,DG!A:D,DG!$D$2,)</f>
        <v>cái</v>
      </c>
      <c r="H1844" s="1823">
        <f t="shared" si="344"/>
        <v>0</v>
      </c>
      <c r="I1844" s="1823"/>
      <c r="J1844" s="1823"/>
      <c r="K1844" s="1822">
        <f>IFERROR(HLOOKUP(B1844,pp3p1m!$1:$3,3,0),0)</f>
        <v>0</v>
      </c>
      <c r="L1844" s="1823"/>
      <c r="M1844" s="1823"/>
      <c r="N1844" s="1823"/>
      <c r="O1844" s="1823"/>
      <c r="P1844" s="1823">
        <f t="shared" si="343"/>
        <v>0</v>
      </c>
      <c r="Q1844" s="1053"/>
      <c r="R1844" s="1053"/>
      <c r="S1844" s="1053"/>
      <c r="T1844" s="2035">
        <f>IFERROR(HLOOKUP(B1844,pp3p1m!77:79,3,0),0)</f>
        <v>0</v>
      </c>
    </row>
    <row r="1845" spans="1:20" ht="22.2" hidden="1" customHeight="1">
      <c r="A1845" s="59"/>
      <c r="B1845" s="1584" t="s">
        <v>2237</v>
      </c>
      <c r="C1845" s="1013" t="str">
        <f t="shared" ref="C1845:C1915" si="345">IF(OR(P1845&lt;&gt;0,H1845&lt;&gt;0),"x"," ")</f>
        <v xml:space="preserve"> </v>
      </c>
      <c r="D1845" s="1548">
        <f t="shared" si="341"/>
        <v>0</v>
      </c>
      <c r="E1845" s="1044"/>
      <c r="F1845" s="1056" t="str">
        <f>VLOOKUP($B1845,DG!A:D,DG!$C$2,)</f>
        <v>Khóa néo dây cỡ dây 70</v>
      </c>
      <c r="G1845" s="1044" t="str">
        <f>VLOOKUP($B1845,DG!A:D,DG!$D$2,)</f>
        <v>cái</v>
      </c>
      <c r="H1845" s="1823">
        <f t="shared" si="344"/>
        <v>0</v>
      </c>
      <c r="I1845" s="1823"/>
      <c r="J1845" s="1823"/>
      <c r="K1845" s="1822">
        <f>IFERROR(HLOOKUP(B1845,pp3p1m!$1:$3,3,0),0)</f>
        <v>0</v>
      </c>
      <c r="L1845" s="1823"/>
      <c r="M1845" s="1823"/>
      <c r="N1845" s="1823"/>
      <c r="O1845" s="1823"/>
      <c r="P1845" s="1823">
        <f t="shared" si="343"/>
        <v>0</v>
      </c>
      <c r="Q1845" s="1053"/>
      <c r="R1845" s="1053"/>
      <c r="S1845" s="1053"/>
      <c r="T1845" s="2035">
        <f>IFERROR(HLOOKUP(B1845,pp3p1m!78:80,3,0),0)</f>
        <v>0</v>
      </c>
    </row>
    <row r="1846" spans="1:20" ht="22.2" hidden="1" customHeight="1">
      <c r="A1846" s="59"/>
      <c r="B1846" s="1605" t="s">
        <v>1485</v>
      </c>
      <c r="C1846" s="1013" t="str">
        <f t="shared" si="345"/>
        <v xml:space="preserve"> </v>
      </c>
      <c r="D1846" s="1548">
        <f t="shared" si="341"/>
        <v>0</v>
      </c>
      <c r="E1846" s="1044"/>
      <c r="F1846" s="1056" t="str">
        <f>VLOOKUP($B1846,DG!A:D,DG!$C$2,)</f>
        <v>Khóa néo dây cỡ dây 50</v>
      </c>
      <c r="G1846" s="1044" t="str">
        <f>VLOOKUP($B1846,DG!A:D,DG!$D$2,)</f>
        <v>cái</v>
      </c>
      <c r="H1846" s="1823">
        <f t="shared" si="344"/>
        <v>0</v>
      </c>
      <c r="I1846" s="1823"/>
      <c r="J1846" s="1823"/>
      <c r="K1846" s="1822">
        <f>IFERROR(HLOOKUP(B1846,pp3p1m!$1:$3,3,0),0)</f>
        <v>0</v>
      </c>
      <c r="L1846" s="1823"/>
      <c r="M1846" s="1823"/>
      <c r="N1846" s="1823"/>
      <c r="O1846" s="1823"/>
      <c r="P1846" s="1823">
        <f t="shared" si="343"/>
        <v>0</v>
      </c>
      <c r="Q1846" s="1053"/>
      <c r="R1846" s="1053"/>
      <c r="S1846" s="1053"/>
      <c r="T1846" s="2035">
        <f>IFERROR(HLOOKUP(B1846,pp3p1m!79:81,3,0),0)</f>
        <v>0</v>
      </c>
    </row>
    <row r="1847" spans="1:20" ht="22.2" hidden="1" customHeight="1">
      <c r="A1847" s="59"/>
      <c r="B1847" s="1584" t="s">
        <v>816</v>
      </c>
      <c r="C1847" s="1013" t="str">
        <f t="shared" si="345"/>
        <v xml:space="preserve"> </v>
      </c>
      <c r="D1847" s="1548">
        <f t="shared" si="341"/>
        <v>0</v>
      </c>
      <c r="E1847" s="1044"/>
      <c r="F1847" s="1056" t="str">
        <f>VLOOKUP($B1847,DG!A:D,DG!$C$2,)</f>
        <v>Ốc siết cáp cỡ 25mm2</v>
      </c>
      <c r="G1847" s="1044" t="str">
        <f>VLOOKUP($B1847,DG!A:D,DG!$D$2,)</f>
        <v>cái</v>
      </c>
      <c r="H1847" s="1823">
        <f t="shared" si="344"/>
        <v>0</v>
      </c>
      <c r="I1847" s="1823"/>
      <c r="J1847" s="1823"/>
      <c r="K1847" s="1822">
        <f>IFERROR(HLOOKUP(B1847,pp3p1m!$1:$3,3,0),0)</f>
        <v>0</v>
      </c>
      <c r="L1847" s="1823"/>
      <c r="M1847" s="1823"/>
      <c r="N1847" s="1823"/>
      <c r="O1847" s="1823"/>
      <c r="P1847" s="1823">
        <f t="shared" si="343"/>
        <v>0</v>
      </c>
      <c r="Q1847" s="1053"/>
      <c r="R1847" s="1053"/>
      <c r="S1847" s="1053"/>
      <c r="T1847" s="2035">
        <f>IFERROR(HLOOKUP(B1847,pp3p1m!80:82,3,0),0)</f>
        <v>0</v>
      </c>
    </row>
    <row r="1848" spans="1:20" ht="22.2" hidden="1" customHeight="1">
      <c r="A1848" s="59"/>
      <c r="B1848" s="1584" t="s">
        <v>1361</v>
      </c>
      <c r="C1848" s="1013" t="str">
        <f t="shared" si="345"/>
        <v xml:space="preserve"> </v>
      </c>
      <c r="D1848" s="1548">
        <f t="shared" si="341"/>
        <v>0</v>
      </c>
      <c r="E1848" s="1044"/>
      <c r="F1848" s="1056" t="str">
        <f>VLOOKUP($B1848,DG!A:D,DG!$C$2,)</f>
        <v xml:space="preserve">Ốc siết cáp cỡ 50mm2 </v>
      </c>
      <c r="G1848" s="1044" t="str">
        <f>VLOOKUP($B1848,DG!A:D,DG!$D$2,)</f>
        <v>cái</v>
      </c>
      <c r="H1848" s="1823">
        <f t="shared" si="344"/>
        <v>0</v>
      </c>
      <c r="I1848" s="1823"/>
      <c r="J1848" s="1823"/>
      <c r="K1848" s="1822">
        <f>IFERROR(HLOOKUP(B1848,pp3p1m!$1:$3,3,0),0)</f>
        <v>0</v>
      </c>
      <c r="L1848" s="1823"/>
      <c r="M1848" s="1823"/>
      <c r="N1848" s="1823"/>
      <c r="O1848" s="1823"/>
      <c r="P1848" s="1823">
        <f t="shared" si="343"/>
        <v>0</v>
      </c>
      <c r="Q1848" s="1053"/>
      <c r="R1848" s="1053"/>
      <c r="S1848" s="1053"/>
      <c r="T1848" s="2035">
        <f>IFERROR(HLOOKUP(B1848,pp3p1m!81:83,3,0),0)</f>
        <v>0</v>
      </c>
    </row>
    <row r="1849" spans="1:20" ht="22.2" hidden="1" customHeight="1">
      <c r="A1849" s="59"/>
      <c r="B1849" s="1584" t="s">
        <v>1967</v>
      </c>
      <c r="C1849" s="1013" t="str">
        <f t="shared" si="345"/>
        <v xml:space="preserve"> </v>
      </c>
      <c r="D1849" s="1548">
        <f t="shared" si="341"/>
        <v>0</v>
      </c>
      <c r="E1849" s="1044"/>
      <c r="F1849" s="1056" t="str">
        <f>VLOOKUP($B1849,DG!A:D,DG!$C$2,)</f>
        <v>Kẹp ép WR cỡ dây 35mm2</v>
      </c>
      <c r="G1849" s="1044" t="str">
        <f>VLOOKUP($B1849,DG!A:D,DG!$D$2,)</f>
        <v>cái</v>
      </c>
      <c r="H1849" s="1823">
        <f t="shared" si="344"/>
        <v>0</v>
      </c>
      <c r="I1849" s="1823"/>
      <c r="J1849" s="1823"/>
      <c r="K1849" s="1822">
        <f>IFERROR(HLOOKUP(B1849,pp3p1m!$1:$3,3,0),0)</f>
        <v>0</v>
      </c>
      <c r="L1849" s="1823"/>
      <c r="M1849" s="1823"/>
      <c r="N1849" s="1823"/>
      <c r="O1849" s="1823"/>
      <c r="P1849" s="1823">
        <f t="shared" ref="P1849:P1865" si="346">P$1832*$D1849</f>
        <v>0</v>
      </c>
      <c r="Q1849" s="1053"/>
      <c r="R1849" s="1053"/>
      <c r="S1849" s="1053"/>
      <c r="T1849" s="2035">
        <f>IFERROR(HLOOKUP(B1849,pp3p1m!82:84,3,0),0)</f>
        <v>0</v>
      </c>
    </row>
    <row r="1850" spans="1:20" ht="22.2" customHeight="1">
      <c r="B1850" s="1583" t="s">
        <v>905</v>
      </c>
      <c r="C1850" s="1832" t="str">
        <f t="shared" si="345"/>
        <v>x</v>
      </c>
      <c r="D1850" s="1548">
        <f t="shared" si="341"/>
        <v>2</v>
      </c>
      <c r="E1850" s="1044"/>
      <c r="F1850" s="1056" t="str">
        <f>VLOOKUP($B1850,DG!A:D,DG!$C$2,)</f>
        <v>Kẹp ép WR cỡ dây 50mm2</v>
      </c>
      <c r="G1850" s="1044" t="str">
        <f>VLOOKUP($B1850,DG!A:D,DG!$D$2,)</f>
        <v>cái</v>
      </c>
      <c r="H1850" s="1823">
        <f t="shared" si="344"/>
        <v>2</v>
      </c>
      <c r="I1850" s="1823"/>
      <c r="J1850" s="1823"/>
      <c r="K1850" s="1822">
        <f>IFERROR(HLOOKUP(B1850,pp3p1m!$1:$3,3,0),0)</f>
        <v>2</v>
      </c>
      <c r="L1850" s="1823"/>
      <c r="M1850" s="1823"/>
      <c r="N1850" s="1823"/>
      <c r="O1850" s="1823"/>
      <c r="P1850" s="1823">
        <f>T1850</f>
        <v>2</v>
      </c>
      <c r="Q1850" s="1053"/>
      <c r="R1850" s="1053"/>
      <c r="S1850" s="1053"/>
      <c r="T1850" s="2035">
        <f>IFERROR(HLOOKUP(B1850,pp3p1m!$1:$3,3,0),0)</f>
        <v>2</v>
      </c>
    </row>
    <row r="1851" spans="1:20" ht="22.2" hidden="1" customHeight="1">
      <c r="A1851" s="59"/>
      <c r="B1851" s="1584" t="s">
        <v>35</v>
      </c>
      <c r="C1851" s="1013" t="str">
        <f t="shared" si="345"/>
        <v xml:space="preserve"> </v>
      </c>
      <c r="D1851" s="1548">
        <f t="shared" si="341"/>
        <v>0</v>
      </c>
      <c r="E1851" s="1044"/>
      <c r="F1851" s="1056" t="str">
        <f>VLOOKUP($B1851,DG!A:D,DG!$C$2,)</f>
        <v>Kẹp ép WR cỡ dây 70mm2</v>
      </c>
      <c r="G1851" s="1044" t="str">
        <f>VLOOKUP($B1851,DG!A:D,DG!$D$2,)</f>
        <v>cái</v>
      </c>
      <c r="H1851" s="1823">
        <f t="shared" si="344"/>
        <v>0</v>
      </c>
      <c r="I1851" s="1823"/>
      <c r="J1851" s="1823"/>
      <c r="K1851" s="1822">
        <f>IFERROR(HLOOKUP(B1851,pp3p1m!$1:$3,3,0),0)</f>
        <v>0</v>
      </c>
      <c r="L1851" s="1823"/>
      <c r="M1851" s="1823"/>
      <c r="N1851" s="1823"/>
      <c r="O1851" s="1823"/>
      <c r="P1851" s="1823">
        <f t="shared" si="346"/>
        <v>0</v>
      </c>
      <c r="Q1851" s="1053"/>
      <c r="R1851" s="1053"/>
      <c r="S1851" s="1053"/>
      <c r="T1851" s="2035">
        <f>IFERROR(HLOOKUP(B1851,pp3p1m!84:86,3,0),0)</f>
        <v>0</v>
      </c>
    </row>
    <row r="1852" spans="1:20" ht="22.2" customHeight="1">
      <c r="A1852" s="59"/>
      <c r="B1852" s="1584" t="s">
        <v>36</v>
      </c>
      <c r="C1852" s="1013" t="str">
        <f t="shared" si="345"/>
        <v>x</v>
      </c>
      <c r="D1852" s="1548">
        <f t="shared" si="341"/>
        <v>6</v>
      </c>
      <c r="E1852" s="1044"/>
      <c r="F1852" s="1056" t="str">
        <f>VLOOKUP($B1852,DG!A:D,DG!$C$2,)</f>
        <v>Kẹp ép WR cỡ dây 95mm2</v>
      </c>
      <c r="G1852" s="1044" t="str">
        <f>VLOOKUP($B1852,DG!A:D,DG!$D$2,)</f>
        <v>cái</v>
      </c>
      <c r="H1852" s="1823">
        <f t="shared" si="344"/>
        <v>6</v>
      </c>
      <c r="I1852" s="1823"/>
      <c r="J1852" s="1823"/>
      <c r="K1852" s="1822">
        <f>IFERROR(HLOOKUP(B1852,pp3p1m!$1:$3,3,0),0)</f>
        <v>6</v>
      </c>
      <c r="L1852" s="1823"/>
      <c r="M1852" s="1823"/>
      <c r="N1852" s="1823"/>
      <c r="O1852" s="1823"/>
      <c r="P1852" s="1823">
        <f>T1852</f>
        <v>6</v>
      </c>
      <c r="Q1852" s="1053"/>
      <c r="R1852" s="1053"/>
      <c r="S1852" s="1053"/>
      <c r="T1852" s="2035">
        <f>IFERROR(HLOOKUP(B1852,pp3p1m!$1:$3,3,0),0)</f>
        <v>6</v>
      </c>
    </row>
    <row r="1853" spans="1:20" ht="22.2" hidden="1" customHeight="1">
      <c r="A1853" s="59"/>
      <c r="B1853" s="1584" t="s">
        <v>13</v>
      </c>
      <c r="C1853" s="1013" t="str">
        <f t="shared" si="345"/>
        <v xml:space="preserve"> </v>
      </c>
      <c r="D1853" s="1548">
        <f t="shared" si="341"/>
        <v>0</v>
      </c>
      <c r="E1853" s="1044"/>
      <c r="F1853" s="1056" t="str">
        <f>VLOOKUP($B1853,DG!A:D,DG!$C$2,)</f>
        <v>Kẹp ép WR cỡ dây 120mm2</v>
      </c>
      <c r="G1853" s="1044" t="str">
        <f>VLOOKUP($B1853,DG!A:D,DG!$D$2,)</f>
        <v>cái</v>
      </c>
      <c r="H1853" s="1823">
        <f t="shared" si="344"/>
        <v>0</v>
      </c>
      <c r="I1853" s="1823">
        <f>H1853</f>
        <v>0</v>
      </c>
      <c r="J1853" s="1823"/>
      <c r="K1853" s="1822">
        <f>IFERROR(HLOOKUP(B1853,pp3p1m!$1:$3,3,0),0)</f>
        <v>0</v>
      </c>
      <c r="L1853" s="1823"/>
      <c r="M1853" s="1823"/>
      <c r="N1853" s="1823"/>
      <c r="O1853" s="1823"/>
      <c r="P1853" s="1823">
        <f>H1853</f>
        <v>0</v>
      </c>
      <c r="Q1853" s="1053"/>
      <c r="R1853" s="1053"/>
      <c r="S1853" s="1053"/>
      <c r="T1853" s="2035">
        <f>IFERROR(HLOOKUP(B1853,pp3p1m!86:88,3,0),0)</f>
        <v>0</v>
      </c>
    </row>
    <row r="1854" spans="1:20" ht="22.2" hidden="1" customHeight="1">
      <c r="A1854" s="59"/>
      <c r="B1854" s="1584" t="s">
        <v>142</v>
      </c>
      <c r="C1854" s="1013" t="str">
        <f t="shared" si="345"/>
        <v xml:space="preserve"> </v>
      </c>
      <c r="D1854" s="1548">
        <f t="shared" si="341"/>
        <v>0</v>
      </c>
      <c r="E1854" s="1044"/>
      <c r="F1854" s="1056" t="str">
        <f>VLOOKUP($B1854,DG!A:D,DG!$C$2,)</f>
        <v>Kẹp ép WR cỡ dây 150mm2</v>
      </c>
      <c r="G1854" s="1044" t="str">
        <f>VLOOKUP($B1854,DG!A:D,DG!$D$2,)</f>
        <v>cái</v>
      </c>
      <c r="H1854" s="1823">
        <f t="shared" si="344"/>
        <v>0</v>
      </c>
      <c r="I1854" s="1823"/>
      <c r="J1854" s="1823"/>
      <c r="K1854" s="1822">
        <f>IFERROR(HLOOKUP(B1854,pp3p1m!$1:$3,3,0),0)</f>
        <v>0</v>
      </c>
      <c r="L1854" s="1823"/>
      <c r="M1854" s="1823"/>
      <c r="N1854" s="1823"/>
      <c r="O1854" s="1823"/>
      <c r="P1854" s="1823">
        <f t="shared" si="346"/>
        <v>0</v>
      </c>
      <c r="Q1854" s="1053"/>
      <c r="R1854" s="1053"/>
      <c r="S1854" s="1053"/>
      <c r="T1854" s="2035">
        <f>IFERROR(HLOOKUP(B1854,pp3p1m!87:89,3,0),0)</f>
        <v>0</v>
      </c>
    </row>
    <row r="1855" spans="1:20" ht="22.2" hidden="1" customHeight="1">
      <c r="A1855" s="59"/>
      <c r="B1855" s="1584" t="s">
        <v>14</v>
      </c>
      <c r="C1855" s="1013" t="str">
        <f t="shared" si="345"/>
        <v xml:space="preserve"> </v>
      </c>
      <c r="D1855" s="1548">
        <f t="shared" si="341"/>
        <v>0</v>
      </c>
      <c r="E1855" s="1044"/>
      <c r="F1855" s="1056" t="str">
        <f>VLOOKUP($B1855,DG!A:D,DG!$C$2,)</f>
        <v>Kẹp ép WR cỡ dây 185mm2</v>
      </c>
      <c r="G1855" s="1044" t="str">
        <f>VLOOKUP($B1855,DG!A:D,DG!$D$2,)</f>
        <v>cái</v>
      </c>
      <c r="H1855" s="1823">
        <f t="shared" si="344"/>
        <v>0</v>
      </c>
      <c r="I1855" s="1823"/>
      <c r="J1855" s="1823"/>
      <c r="K1855" s="1822">
        <f>IFERROR(HLOOKUP(B1855,pp3p1m!$1:$3,3,0),0)</f>
        <v>0</v>
      </c>
      <c r="L1855" s="1823"/>
      <c r="M1855" s="1823"/>
      <c r="N1855" s="1823"/>
      <c r="O1855" s="1823"/>
      <c r="P1855" s="1823">
        <f t="shared" si="346"/>
        <v>0</v>
      </c>
      <c r="Q1855" s="1053"/>
      <c r="R1855" s="1053"/>
      <c r="S1855" s="1053"/>
      <c r="T1855" s="2035">
        <f>IFERROR(HLOOKUP(B1855,pp3p1m!88:90,3,0),0)</f>
        <v>0</v>
      </c>
    </row>
    <row r="1856" spans="1:20" ht="22.2" hidden="1" customHeight="1">
      <c r="A1856" s="59"/>
      <c r="B1856" s="1584" t="s">
        <v>15</v>
      </c>
      <c r="C1856" s="1013" t="str">
        <f t="shared" si="345"/>
        <v xml:space="preserve"> </v>
      </c>
      <c r="D1856" s="1548">
        <f t="shared" si="341"/>
        <v>0</v>
      </c>
      <c r="E1856" s="1044"/>
      <c r="F1856" s="1056" t="str">
        <f>VLOOKUP($B1856,DG!A:D,DG!$C$2,)</f>
        <v>Kẹp ép WR cỡ dây 240mm2</v>
      </c>
      <c r="G1856" s="1044" t="str">
        <f>VLOOKUP($B1856,DG!A:D,DG!$D$2,)</f>
        <v>cái</v>
      </c>
      <c r="H1856" s="1823">
        <f t="shared" si="344"/>
        <v>0</v>
      </c>
      <c r="I1856" s="1823"/>
      <c r="J1856" s="1823"/>
      <c r="K1856" s="1822">
        <f>IFERROR(HLOOKUP(B1856,pp3p1m!$1:$3,3,0),0)</f>
        <v>0</v>
      </c>
      <c r="L1856" s="1823"/>
      <c r="M1856" s="1823"/>
      <c r="N1856" s="1823"/>
      <c r="O1856" s="1823"/>
      <c r="P1856" s="1823">
        <f t="shared" si="346"/>
        <v>0</v>
      </c>
      <c r="Q1856" s="1053"/>
      <c r="R1856" s="1053"/>
      <c r="S1856" s="1053"/>
      <c r="T1856" s="2035">
        <f>IFERROR(HLOOKUP(B1856,pp3p1m!89:91,3,0),0)</f>
        <v>0</v>
      </c>
    </row>
    <row r="1857" spans="1:20" ht="22.2" hidden="1" customHeight="1">
      <c r="A1857" s="59"/>
      <c r="B1857" s="1584" t="s">
        <v>1585</v>
      </c>
      <c r="C1857" s="1013" t="str">
        <f t="shared" si="345"/>
        <v xml:space="preserve"> </v>
      </c>
      <c r="D1857" s="1548">
        <f t="shared" si="341"/>
        <v>0</v>
      </c>
      <c r="E1857" s="1044"/>
      <c r="F1857" s="1056" t="str">
        <f>VLOOKUP($B1857,DG!A:D,DG!$C$2,)</f>
        <v>Kẹp 2 rãnh (APC) cỡ dây 50mm2</v>
      </c>
      <c r="G1857" s="1044" t="str">
        <f>VLOOKUP($B1857,DG!A:D,DG!$D$2,)</f>
        <v>cái</v>
      </c>
      <c r="H1857" s="1823">
        <f t="shared" si="344"/>
        <v>0</v>
      </c>
      <c r="I1857" s="1823"/>
      <c r="J1857" s="1823"/>
      <c r="K1857" s="1822">
        <f>IFERROR(HLOOKUP(B1857,pp3p1m!$1:$3,3,0),0)</f>
        <v>0</v>
      </c>
      <c r="L1857" s="1823"/>
      <c r="M1857" s="1823"/>
      <c r="N1857" s="1823"/>
      <c r="O1857" s="1823"/>
      <c r="P1857" s="1823">
        <f t="shared" si="346"/>
        <v>0</v>
      </c>
      <c r="Q1857" s="1053"/>
      <c r="R1857" s="1053"/>
      <c r="S1857" s="1053"/>
      <c r="T1857" s="2035">
        <f>IFERROR(HLOOKUP(B1857,pp3p1m!90:92,3,0),0)</f>
        <v>0</v>
      </c>
    </row>
    <row r="1858" spans="1:20" ht="22.2" hidden="1" customHeight="1">
      <c r="A1858" s="59"/>
      <c r="B1858" s="1584" t="s">
        <v>1584</v>
      </c>
      <c r="C1858" s="1013" t="str">
        <f t="shared" si="345"/>
        <v xml:space="preserve"> </v>
      </c>
      <c r="D1858" s="1548">
        <f t="shared" si="341"/>
        <v>0</v>
      </c>
      <c r="E1858" s="1044"/>
      <c r="F1858" s="1056" t="str">
        <f>VLOOKUP($B1858,DG!A:D,DG!$C$2,)</f>
        <v>Kẹp 2 rãnh (APC) cỡ dây 70mm2</v>
      </c>
      <c r="G1858" s="1044" t="str">
        <f>VLOOKUP($B1858,DG!A:D,DG!$D$2,)</f>
        <v>cái</v>
      </c>
      <c r="H1858" s="1823">
        <f t="shared" si="344"/>
        <v>0</v>
      </c>
      <c r="I1858" s="1823"/>
      <c r="J1858" s="1823"/>
      <c r="K1858" s="1822">
        <f>IFERROR(HLOOKUP(B1858,pp3p1m!$1:$3,3,0),0)</f>
        <v>0</v>
      </c>
      <c r="L1858" s="1823"/>
      <c r="M1858" s="1823"/>
      <c r="N1858" s="1823"/>
      <c r="O1858" s="1823"/>
      <c r="P1858" s="1823">
        <f t="shared" si="346"/>
        <v>0</v>
      </c>
      <c r="Q1858" s="1053"/>
      <c r="R1858" s="1053"/>
      <c r="S1858" s="1053"/>
      <c r="T1858" s="2035">
        <f>IFERROR(HLOOKUP(B1858,pp3p1m!91:93,3,0),0)</f>
        <v>0</v>
      </c>
    </row>
    <row r="1859" spans="1:20" ht="22.2" hidden="1" customHeight="1">
      <c r="A1859" s="59"/>
      <c r="B1859" s="1584" t="s">
        <v>1022</v>
      </c>
      <c r="C1859" s="1013" t="str">
        <f t="shared" si="345"/>
        <v xml:space="preserve"> </v>
      </c>
      <c r="D1859" s="1548">
        <f t="shared" si="341"/>
        <v>0</v>
      </c>
      <c r="E1859" s="1044"/>
      <c r="F1859" s="1056" t="str">
        <f>VLOOKUP($B1859,DG!A:D,DG!$C$2,)</f>
        <v>Kẹp 2 rãnh (APC) cỡ dây 95mm2</v>
      </c>
      <c r="G1859" s="1044" t="str">
        <f>VLOOKUP($B1859,DG!A:D,DG!$D$2,)</f>
        <v>cái</v>
      </c>
      <c r="H1859" s="1823">
        <f t="shared" si="344"/>
        <v>0</v>
      </c>
      <c r="I1859" s="1823"/>
      <c r="J1859" s="1823"/>
      <c r="K1859" s="1822">
        <f>IFERROR(HLOOKUP(B1859,pp3p1m!$1:$3,3,0),0)</f>
        <v>0</v>
      </c>
      <c r="L1859" s="1823"/>
      <c r="M1859" s="1823"/>
      <c r="N1859" s="1823"/>
      <c r="O1859" s="1823"/>
      <c r="P1859" s="1823">
        <f t="shared" si="346"/>
        <v>0</v>
      </c>
      <c r="Q1859" s="1053"/>
      <c r="R1859" s="1053"/>
      <c r="S1859" s="1053"/>
      <c r="T1859" s="2035">
        <f>IFERROR(HLOOKUP(B1859,pp3p1m!92:94,3,0),0)</f>
        <v>0</v>
      </c>
    </row>
    <row r="1860" spans="1:20" ht="22.2" hidden="1" customHeight="1">
      <c r="A1860" s="59"/>
      <c r="B1860" s="1584" t="s">
        <v>1253</v>
      </c>
      <c r="C1860" s="1013" t="str">
        <f t="shared" si="345"/>
        <v xml:space="preserve"> </v>
      </c>
      <c r="D1860" s="1548">
        <f t="shared" si="341"/>
        <v>0</v>
      </c>
      <c r="E1860" s="1044"/>
      <c r="F1860" s="1056" t="str">
        <f>VLOOKUP($B1860,DG!A:D,DG!$C$2,)</f>
        <v>Kẹp 2 rãnh (APC) cỡ dây 150mm2</v>
      </c>
      <c r="G1860" s="1044" t="str">
        <f>VLOOKUP($B1860,DG!A:D,DG!$D$2,)</f>
        <v>cái</v>
      </c>
      <c r="H1860" s="1823">
        <f t="shared" si="344"/>
        <v>0</v>
      </c>
      <c r="I1860" s="1823"/>
      <c r="J1860" s="1823"/>
      <c r="K1860" s="1822">
        <f>IFERROR(HLOOKUP(B1860,pp3p1m!$1:$3,3,0),0)</f>
        <v>0</v>
      </c>
      <c r="L1860" s="1823"/>
      <c r="M1860" s="1823"/>
      <c r="N1860" s="1823"/>
      <c r="O1860" s="1823"/>
      <c r="P1860" s="1823">
        <f t="shared" si="346"/>
        <v>0</v>
      </c>
      <c r="Q1860" s="1053"/>
      <c r="R1860" s="1053"/>
      <c r="S1860" s="1053"/>
      <c r="T1860" s="2035">
        <f>IFERROR(HLOOKUP(B1860,pp3p1m!93:95,3,0),0)</f>
        <v>0</v>
      </c>
    </row>
    <row r="1861" spans="1:20" ht="22.2" hidden="1" customHeight="1">
      <c r="A1861" s="59"/>
      <c r="B1861" s="1584" t="s">
        <v>778</v>
      </c>
      <c r="C1861" s="1013" t="str">
        <f t="shared" si="345"/>
        <v xml:space="preserve"> </v>
      </c>
      <c r="D1861" s="1548">
        <f t="shared" si="341"/>
        <v>0</v>
      </c>
      <c r="E1861" s="1044"/>
      <c r="F1861" s="1056" t="str">
        <f>VLOOKUP($B1861,DG!A:D,DG!$C$2,)</f>
        <v>Kẹp 2 rãnh (APC) cỡ dây 185mm2</v>
      </c>
      <c r="G1861" s="1044" t="str">
        <f>VLOOKUP($B1861,DG!A:D,DG!$D$2,)</f>
        <v>cái</v>
      </c>
      <c r="H1861" s="1823">
        <f t="shared" si="344"/>
        <v>0</v>
      </c>
      <c r="I1861" s="1823"/>
      <c r="J1861" s="1823"/>
      <c r="K1861" s="1822">
        <f>IFERROR(HLOOKUP(B1861,pp3p1m!$1:$3,3,0),0)</f>
        <v>0</v>
      </c>
      <c r="L1861" s="1823"/>
      <c r="M1861" s="1823"/>
      <c r="N1861" s="1823"/>
      <c r="O1861" s="1823"/>
      <c r="P1861" s="1823">
        <f t="shared" si="346"/>
        <v>0</v>
      </c>
      <c r="Q1861" s="1053"/>
      <c r="R1861" s="1053"/>
      <c r="S1861" s="1053"/>
      <c r="T1861" s="2035">
        <f>IFERROR(HLOOKUP(B1861,pp3p1m!94:96,3,0),0)</f>
        <v>0</v>
      </c>
    </row>
    <row r="1862" spans="1:20" ht="22.2" hidden="1" customHeight="1">
      <c r="A1862" s="59"/>
      <c r="B1862" s="1584" t="s">
        <v>1585</v>
      </c>
      <c r="C1862" s="1013" t="str">
        <f t="shared" si="345"/>
        <v xml:space="preserve"> </v>
      </c>
      <c r="D1862" s="1548">
        <f t="shared" si="341"/>
        <v>0</v>
      </c>
      <c r="E1862" s="1044"/>
      <c r="F1862" s="1056" t="str">
        <f>VLOOKUP($B1862,DG!A:D,DG!$C$2,)</f>
        <v>Kẹp 2 rãnh (APC) cỡ dây 50mm2</v>
      </c>
      <c r="G1862" s="1044" t="str">
        <f>VLOOKUP($B1862,DG!A:D,DG!$D$2,)</f>
        <v>cái</v>
      </c>
      <c r="H1862" s="1823">
        <f t="shared" si="344"/>
        <v>0</v>
      </c>
      <c r="I1862" s="1823"/>
      <c r="J1862" s="1823"/>
      <c r="K1862" s="1822">
        <f>IFERROR(HLOOKUP(B1862,pp3p1m!$1:$3,3,0),0)</f>
        <v>0</v>
      </c>
      <c r="L1862" s="1823"/>
      <c r="M1862" s="1823"/>
      <c r="N1862" s="1823"/>
      <c r="O1862" s="1823"/>
      <c r="P1862" s="1823">
        <f t="shared" si="346"/>
        <v>0</v>
      </c>
      <c r="Q1862" s="1053"/>
      <c r="R1862" s="1053"/>
      <c r="S1862" s="1053"/>
      <c r="T1862" s="2035">
        <f>IFERROR(HLOOKUP(B1862,pp3p1m!95:97,3,0),0)</f>
        <v>0</v>
      </c>
    </row>
    <row r="1863" spans="1:20" ht="22.2" customHeight="1">
      <c r="A1863" s="59"/>
      <c r="B1863" s="1584" t="s">
        <v>906</v>
      </c>
      <c r="C1863" s="1013" t="str">
        <f t="shared" si="345"/>
        <v>x</v>
      </c>
      <c r="D1863" s="1548">
        <f t="shared" si="341"/>
        <v>6</v>
      </c>
      <c r="E1863" s="1044" t="str">
        <f>VLOOKUP($B1863,DG!A:D,DG!$B$2,)</f>
        <v>03.4002</v>
      </c>
      <c r="F1863" s="1056" t="str">
        <f>VLOOKUP($B1863,DG!A:D,DG!$C$2,)</f>
        <v>Đầu cosse ép Cu-Al 50mm2</v>
      </c>
      <c r="G1863" s="1044" t="str">
        <f>VLOOKUP($B1863,DG!A:D,DG!$D$2,)</f>
        <v>cái</v>
      </c>
      <c r="H1863" s="1823">
        <f t="shared" si="344"/>
        <v>6</v>
      </c>
      <c r="I1863" s="1823"/>
      <c r="J1863" s="1823"/>
      <c r="K1863" s="1822">
        <f>IFERROR(HLOOKUP(B1863,pp3p1m!$1:$3,3,0),0)</f>
        <v>6</v>
      </c>
      <c r="L1863" s="1823"/>
      <c r="M1863" s="1823"/>
      <c r="N1863" s="1823"/>
      <c r="O1863" s="1823"/>
      <c r="P1863" s="1823">
        <f>T1863</f>
        <v>6</v>
      </c>
      <c r="Q1863" s="1053"/>
      <c r="R1863" s="1053"/>
      <c r="S1863" s="1053"/>
      <c r="T1863" s="2035">
        <f>IFERROR(HLOOKUP(B1863,pp3p1m!$1:$3,3,0),0)</f>
        <v>6</v>
      </c>
    </row>
    <row r="1864" spans="1:20" ht="22.2" hidden="1" customHeight="1">
      <c r="A1864" s="59"/>
      <c r="B1864" s="1584" t="s">
        <v>1075</v>
      </c>
      <c r="C1864" s="1013" t="str">
        <f t="shared" si="345"/>
        <v xml:space="preserve"> </v>
      </c>
      <c r="D1864" s="1548">
        <f t="shared" si="341"/>
        <v>0</v>
      </c>
      <c r="E1864" s="1044" t="str">
        <f>VLOOKUP($B1864,DG!A:D,DG!$B$2,)</f>
        <v>03.4004</v>
      </c>
      <c r="F1864" s="1056" t="str">
        <f>VLOOKUP($B1864,DG!A:D,DG!$C$2,)</f>
        <v>Đầu cosse ép Cu 95mm2</v>
      </c>
      <c r="G1864" s="1044" t="str">
        <f>VLOOKUP($B1864,DG!A:D,DG!$D$2,)</f>
        <v>cái</v>
      </c>
      <c r="H1864" s="1823">
        <f t="shared" si="344"/>
        <v>0</v>
      </c>
      <c r="I1864" s="1823"/>
      <c r="J1864" s="1823"/>
      <c r="K1864" s="1822">
        <f>IFERROR(HLOOKUP(B1864,pp3p1m!$1:$3,3,0),0)</f>
        <v>0</v>
      </c>
      <c r="L1864" s="1823"/>
      <c r="M1864" s="1823"/>
      <c r="N1864" s="1823"/>
      <c r="O1864" s="1823"/>
      <c r="P1864" s="1823">
        <f t="shared" si="346"/>
        <v>0</v>
      </c>
      <c r="Q1864" s="1053"/>
      <c r="R1864" s="1053"/>
      <c r="S1864" s="1053"/>
      <c r="T1864" s="2035">
        <f>IFERROR(HLOOKUP(B1864,pp3p1m!97:99,3,0),0)</f>
        <v>0</v>
      </c>
    </row>
    <row r="1865" spans="1:20" ht="22.2" hidden="1" customHeight="1">
      <c r="A1865" s="59"/>
      <c r="B1865" s="1584" t="s">
        <v>50</v>
      </c>
      <c r="C1865" s="1013" t="str">
        <f t="shared" si="345"/>
        <v xml:space="preserve"> </v>
      </c>
      <c r="D1865" s="1548">
        <f t="shared" si="341"/>
        <v>0</v>
      </c>
      <c r="E1865" s="1044" t="str">
        <f>VLOOKUP($B1865,DG!A:D,DG!$B$2,)</f>
        <v>03.4005</v>
      </c>
      <c r="F1865" s="1056" t="str">
        <f>VLOOKUP($B1865,DG!A:D,DG!$C$2,)</f>
        <v>Đầu cosse ép Cu 120mm2</v>
      </c>
      <c r="G1865" s="1044" t="str">
        <f>VLOOKUP($B1865,DG!A:D,DG!$D$2,)</f>
        <v>cái</v>
      </c>
      <c r="H1865" s="1823">
        <f t="shared" si="344"/>
        <v>0</v>
      </c>
      <c r="I1865" s="1823"/>
      <c r="J1865" s="1823"/>
      <c r="K1865" s="1822">
        <f>IFERROR(HLOOKUP(B1865,pp3p1m!$1:$3,3,0),0)</f>
        <v>0</v>
      </c>
      <c r="L1865" s="1823"/>
      <c r="M1865" s="1823"/>
      <c r="N1865" s="1823"/>
      <c r="O1865" s="1823"/>
      <c r="P1865" s="1823">
        <f t="shared" si="346"/>
        <v>0</v>
      </c>
      <c r="Q1865" s="1053"/>
      <c r="R1865" s="1053"/>
      <c r="S1865" s="1053"/>
      <c r="T1865" s="2035">
        <f>IFERROR(HLOOKUP(B1865,pp3p1m!98:100,3,0),0)</f>
        <v>0</v>
      </c>
    </row>
    <row r="1866" spans="1:20" ht="22.2" hidden="1" customHeight="1">
      <c r="A1866" s="59"/>
      <c r="B1866" s="1584" t="s">
        <v>0</v>
      </c>
      <c r="C1866" s="1013" t="str">
        <f t="shared" si="345"/>
        <v xml:space="preserve"> </v>
      </c>
      <c r="D1866" s="1548">
        <f t="shared" si="341"/>
        <v>0</v>
      </c>
      <c r="E1866" s="1044" t="str">
        <f>VLOOKUP($B1866,DG!A:D,DG!$B$2,)</f>
        <v>03.4006</v>
      </c>
      <c r="F1866" s="1056" t="str">
        <f>VLOOKUP($B1866,DG!A:D,DG!$C$2,)</f>
        <v>Đầu cosse ép Cu 150mm2</v>
      </c>
      <c r="G1866" s="1044" t="str">
        <f>VLOOKUP($B1866,DG!A:D,DG!$D$2,)</f>
        <v>cái</v>
      </c>
      <c r="H1866" s="1823">
        <f t="shared" si="344"/>
        <v>0</v>
      </c>
      <c r="I1866" s="1823"/>
      <c r="J1866" s="1823"/>
      <c r="K1866" s="1822">
        <f>IFERROR(HLOOKUP(B1866,pp3p1m!$1:$3,3,0),0)</f>
        <v>0</v>
      </c>
      <c r="L1866" s="1823"/>
      <c r="M1866" s="1823"/>
      <c r="N1866" s="1823"/>
      <c r="O1866" s="1823"/>
      <c r="P1866" s="1823">
        <f t="shared" ref="P1866:P1897" si="347">P$1832*$D1866</f>
        <v>0</v>
      </c>
      <c r="Q1866" s="1053"/>
      <c r="R1866" s="1053"/>
      <c r="S1866" s="1053"/>
      <c r="T1866" s="2035">
        <f>IFERROR(HLOOKUP(B1866,pp3p1m!99:101,3,0),0)</f>
        <v>0</v>
      </c>
    </row>
    <row r="1867" spans="1:20" ht="22.2" hidden="1" customHeight="1">
      <c r="A1867" s="59"/>
      <c r="B1867" s="1584" t="s">
        <v>1020</v>
      </c>
      <c r="C1867" s="1013" t="str">
        <f t="shared" ref="C1867:C1868" si="348">IF(OR(P1867&lt;&gt;0,H1867&lt;&gt;0),"x"," ")</f>
        <v xml:space="preserve"> </v>
      </c>
      <c r="D1867" s="1548">
        <f t="shared" si="341"/>
        <v>0</v>
      </c>
      <c r="E1867" s="1044" t="str">
        <f>VLOOKUP($B1867,DG!A:D,DG!$B$2,)</f>
        <v>03.4007</v>
      </c>
      <c r="F1867" s="1056" t="str">
        <f>VLOOKUP($B1867,DG!A:D,DG!$C$2,)</f>
        <v>Đầu cosse ép Cu-Al 185mm2</v>
      </c>
      <c r="G1867" s="1044" t="str">
        <f>VLOOKUP($B1867,DG!A:D,DG!$D$2,)</f>
        <v>cái</v>
      </c>
      <c r="H1867" s="1823">
        <f t="shared" si="344"/>
        <v>0</v>
      </c>
      <c r="I1867" s="1823"/>
      <c r="J1867" s="1823"/>
      <c r="K1867" s="1822">
        <f>IFERROR(HLOOKUP(B1867,pp3p1m!$1:$3,3,0),0)</f>
        <v>0</v>
      </c>
      <c r="L1867" s="1823"/>
      <c r="M1867" s="1823"/>
      <c r="N1867" s="1823"/>
      <c r="O1867" s="1823"/>
      <c r="P1867" s="1823">
        <f t="shared" ref="P1867:P1868" si="349">P$1832*$D1867</f>
        <v>0</v>
      </c>
      <c r="Q1867" s="1053"/>
      <c r="R1867" s="1053"/>
      <c r="S1867" s="1053"/>
      <c r="T1867" s="2035">
        <f>IFERROR(HLOOKUP(B1867,pp3p1m!100:102,3,0),0)</f>
        <v>0</v>
      </c>
    </row>
    <row r="1868" spans="1:20" ht="22.2" hidden="1" customHeight="1">
      <c r="A1868" s="59"/>
      <c r="B1868" s="1584" t="s">
        <v>1835</v>
      </c>
      <c r="C1868" s="1013" t="str">
        <f t="shared" si="348"/>
        <v xml:space="preserve"> </v>
      </c>
      <c r="D1868" s="1548">
        <f t="shared" si="341"/>
        <v>0</v>
      </c>
      <c r="E1868" s="1044" t="str">
        <f>VLOOKUP($B1868,DG!A:D,DG!$B$2,)</f>
        <v>03.4008</v>
      </c>
      <c r="F1868" s="1056" t="str">
        <f>VLOOKUP($B1868,DG!A:D,DG!$C$2,)</f>
        <v>Đầu cosse ép Cu-Al 240mm2</v>
      </c>
      <c r="G1868" s="1044" t="str">
        <f>VLOOKUP($B1868,DG!A:D,DG!$D$2,)</f>
        <v>cái</v>
      </c>
      <c r="H1868" s="1823">
        <f t="shared" si="344"/>
        <v>0</v>
      </c>
      <c r="I1868" s="1823"/>
      <c r="J1868" s="1823"/>
      <c r="K1868" s="1822">
        <f>IFERROR(HLOOKUP(B1868,pp3p1m!$1:$3,3,0),0)</f>
        <v>0</v>
      </c>
      <c r="L1868" s="1823"/>
      <c r="M1868" s="1823"/>
      <c r="N1868" s="1823"/>
      <c r="O1868" s="1823"/>
      <c r="P1868" s="1823">
        <f t="shared" si="349"/>
        <v>0</v>
      </c>
      <c r="Q1868" s="1053"/>
      <c r="R1868" s="1053"/>
      <c r="S1868" s="1053"/>
      <c r="T1868" s="2035">
        <f>IFERROR(HLOOKUP(B1868,pp3p1m!101:103,3,0),0)</f>
        <v>0</v>
      </c>
    </row>
    <row r="1869" spans="1:20" ht="22.2" customHeight="1">
      <c r="A1869" s="59"/>
      <c r="B1869" s="1584" t="s">
        <v>5198</v>
      </c>
      <c r="C1869" s="1013" t="str">
        <f t="shared" si="345"/>
        <v>x</v>
      </c>
      <c r="D1869" s="1548">
        <f t="shared" si="341"/>
        <v>2</v>
      </c>
      <c r="E1869" s="1044">
        <f>VLOOKUP($B1869,DG!A:D,DG!$B$2,)</f>
        <v>0</v>
      </c>
      <c r="F1869" s="1056" t="str">
        <f>VLOOKUP($B1869,DG!A:D,DG!$C$2,)</f>
        <v xml:space="preserve">Dây buộc cổ sứ đỡ thẳng TTF </v>
      </c>
      <c r="G1869" s="1044" t="str">
        <f>VLOOKUP($B1869,DG!A:D,DG!$D$2,)</f>
        <v>cái</v>
      </c>
      <c r="H1869" s="1823">
        <f t="shared" si="344"/>
        <v>2</v>
      </c>
      <c r="I1869" s="1823"/>
      <c r="J1869" s="1823"/>
      <c r="K1869" s="1822">
        <f>IFERROR(HLOOKUP(B1869,pp3p1m!$1:$3,3,0),0)</f>
        <v>2</v>
      </c>
      <c r="L1869" s="1823"/>
      <c r="M1869" s="1823"/>
      <c r="N1869" s="1823"/>
      <c r="O1869" s="1823"/>
      <c r="P1869" s="1823">
        <f t="shared" ref="P1869:P1870" si="350">T1869</f>
        <v>2</v>
      </c>
      <c r="Q1869" s="1053"/>
      <c r="R1869" s="1053"/>
      <c r="S1869" s="1053"/>
      <c r="T1869" s="2035">
        <f>IFERROR(HLOOKUP(B1869,pp3p1m!$1:$3,3,0),0)</f>
        <v>2</v>
      </c>
    </row>
    <row r="1870" spans="1:20" ht="22.2" customHeight="1">
      <c r="A1870" s="59"/>
      <c r="B1870" s="1584" t="s">
        <v>5199</v>
      </c>
      <c r="C1870" s="1013" t="str">
        <f t="shared" si="345"/>
        <v>x</v>
      </c>
      <c r="D1870" s="1548">
        <f t="shared" si="341"/>
        <v>6</v>
      </c>
      <c r="E1870" s="1044">
        <f>VLOOKUP($B1870,DG!A:D,DG!$B$2,)</f>
        <v>0</v>
      </c>
      <c r="F1870" s="1056" t="str">
        <f>VLOOKUP($B1870,DG!A:D,DG!$C$2,)</f>
        <v>Dây buộc cổ sứ đỡ góc SSF</v>
      </c>
      <c r="G1870" s="1044" t="str">
        <f>VLOOKUP($B1870,DG!A:D,DG!$D$2,)</f>
        <v>cái</v>
      </c>
      <c r="H1870" s="1823">
        <f t="shared" si="344"/>
        <v>6</v>
      </c>
      <c r="I1870" s="1823"/>
      <c r="J1870" s="1823"/>
      <c r="K1870" s="1822">
        <f>IFERROR(HLOOKUP(B1870,pp3p1m!$1:$3,3,0),0)</f>
        <v>6</v>
      </c>
      <c r="L1870" s="1823"/>
      <c r="M1870" s="1823"/>
      <c r="N1870" s="1823"/>
      <c r="O1870" s="1823"/>
      <c r="P1870" s="1823">
        <f t="shared" si="350"/>
        <v>6</v>
      </c>
      <c r="Q1870" s="1053"/>
      <c r="R1870" s="1053"/>
      <c r="S1870" s="1053"/>
      <c r="T1870" s="2035">
        <f>IFERROR(HLOOKUP(B1870,pp3p1m!$1:$3,3,0),0)</f>
        <v>6</v>
      </c>
    </row>
    <row r="1871" spans="1:20" ht="22.2" hidden="1" customHeight="1">
      <c r="A1871" s="59"/>
      <c r="B1871" s="1584" t="s">
        <v>437</v>
      </c>
      <c r="C1871" s="1013" t="str">
        <f t="shared" si="345"/>
        <v xml:space="preserve"> </v>
      </c>
      <c r="D1871" s="1548">
        <f t="shared" si="341"/>
        <v>0</v>
      </c>
      <c r="E1871" s="1044">
        <f>VLOOKUP($B1871,DG!A:D,DG!$B$2,)</f>
        <v>0</v>
      </c>
      <c r="F1871" s="1056" t="str">
        <f>VLOOKUP($B1871,DG!A:D,DG!$C$2,)</f>
        <v>Boulon 12x30+ 2 long đền vuông D14-50x50x3/Zn</v>
      </c>
      <c r="G1871" s="1044" t="str">
        <f>VLOOKUP($B1871,DG!A:D,DG!$D$2,)</f>
        <v>bộ</v>
      </c>
      <c r="H1871" s="1823">
        <f t="shared" si="344"/>
        <v>0</v>
      </c>
      <c r="I1871" s="1823"/>
      <c r="J1871" s="1823"/>
      <c r="K1871" s="1822">
        <f>IFERROR(HLOOKUP(B1871,pp3p1m!$1:$3,3,0),0)</f>
        <v>0</v>
      </c>
      <c r="L1871" s="1823"/>
      <c r="M1871" s="1823"/>
      <c r="N1871" s="1823"/>
      <c r="O1871" s="1823"/>
      <c r="P1871" s="1823">
        <f t="shared" si="347"/>
        <v>0</v>
      </c>
      <c r="Q1871" s="1053"/>
      <c r="R1871" s="1053"/>
      <c r="S1871" s="1053"/>
      <c r="T1871" s="2035">
        <f>IFERROR(HLOOKUP(B1871,pp3p1m!104:106,3,0),0)</f>
        <v>0</v>
      </c>
    </row>
    <row r="1872" spans="1:20" ht="22.2" hidden="1" customHeight="1">
      <c r="B1872" s="1577" t="s">
        <v>4487</v>
      </c>
      <c r="C1872" s="1832" t="str">
        <f t="shared" si="345"/>
        <v xml:space="preserve"> </v>
      </c>
      <c r="D1872" s="1548">
        <f>K1872</f>
        <v>0</v>
      </c>
      <c r="E1872" s="1044" t="str">
        <f>VLOOKUP($B1872,DG!A:D,DG!$B$2,)</f>
        <v>04.3007</v>
      </c>
      <c r="F1872" s="1056" t="str">
        <f>VLOOKUP($B1872,DG!A:D,DG!$C$2,)</f>
        <v>Kẹp quai 2/0 + chụp cách điện</v>
      </c>
      <c r="G1872" s="1044" t="str">
        <f>VLOOKUP($B1872,DG!A:D,DG!$D$2,)</f>
        <v>bộ</v>
      </c>
      <c r="H1872" s="1823">
        <f>D1872</f>
        <v>0</v>
      </c>
      <c r="I1872" s="1823"/>
      <c r="J1872" s="1823"/>
      <c r="K1872" s="1822">
        <f>IFERROR(HLOOKUP(B1872,pp3p1m!$1:$3,3,0),0)</f>
        <v>0</v>
      </c>
      <c r="L1872" s="1823"/>
      <c r="M1872" s="1823"/>
      <c r="N1872" s="1823"/>
      <c r="O1872" s="1823"/>
      <c r="P1872" s="1823">
        <f>H1872</f>
        <v>0</v>
      </c>
      <c r="Q1872" s="1053"/>
      <c r="R1872" s="1053"/>
      <c r="S1872" s="1053"/>
      <c r="T1872" s="2035">
        <f>IFERROR(HLOOKUP(B1872,pp3p1m!$1:$3,3,0),0)</f>
        <v>0</v>
      </c>
    </row>
    <row r="1873" spans="1:20" ht="22.2" hidden="1" customHeight="1">
      <c r="A1873" s="59"/>
      <c r="B1873" s="1577" t="s">
        <v>236</v>
      </c>
      <c r="C1873" s="1013" t="str">
        <f t="shared" si="345"/>
        <v xml:space="preserve"> </v>
      </c>
      <c r="D1873" s="1548">
        <f t="shared" ref="D1873:D1876" si="351">K1873</f>
        <v>0</v>
      </c>
      <c r="E1873" s="1044" t="str">
        <f>VLOOKUP($B1873,DG!A:D,DG!$B$2,)</f>
        <v>04.3007</v>
      </c>
      <c r="F1873" s="1056" t="str">
        <f>VLOOKUP($B1873,DG!A:D,DG!$C$2,)</f>
        <v>Kẹp quai 4/0</v>
      </c>
      <c r="G1873" s="1044" t="str">
        <f>VLOOKUP($B1873,DG!A:D,DG!$D$2,)</f>
        <v>cái</v>
      </c>
      <c r="H1873" s="1823">
        <f t="shared" ref="H1873:H1874" si="352">D1873</f>
        <v>0</v>
      </c>
      <c r="I1873" s="1823"/>
      <c r="J1873" s="1823"/>
      <c r="K1873" s="1822">
        <f>IFERROR(HLOOKUP(B1873,pp3p1m!$1:$3,3,0),0)</f>
        <v>0</v>
      </c>
      <c r="L1873" s="1823"/>
      <c r="M1873" s="1823"/>
      <c r="N1873" s="1823"/>
      <c r="O1873" s="1823"/>
      <c r="P1873" s="1823">
        <f t="shared" si="347"/>
        <v>0</v>
      </c>
      <c r="Q1873" s="1053"/>
      <c r="R1873" s="1053"/>
      <c r="S1873" s="1053"/>
      <c r="T1873" s="2035">
        <f>IFERROR(HLOOKUP(B1873,pp3p1m!106:108,3,0),0)</f>
        <v>0</v>
      </c>
    </row>
    <row r="1874" spans="1:20" ht="22.2" hidden="1" customHeight="1">
      <c r="B1874" s="1577" t="s">
        <v>1480</v>
      </c>
      <c r="C1874" s="1832" t="str">
        <f t="shared" si="345"/>
        <v xml:space="preserve"> </v>
      </c>
      <c r="D1874" s="1548">
        <f t="shared" si="351"/>
        <v>0</v>
      </c>
      <c r="E1874" s="1044" t="str">
        <f>VLOOKUP($B1874,DG!A:D,DG!$B$2,)</f>
        <v>04.3007</v>
      </c>
      <c r="F1874" s="1056" t="str">
        <f>VLOOKUP($B1874,DG!A:D,DG!$C$2,)</f>
        <v>Kẹp hotline 2/0</v>
      </c>
      <c r="G1874" s="1044" t="str">
        <f>VLOOKUP($B1874,DG!A:D,DG!$D$2,)</f>
        <v>cái</v>
      </c>
      <c r="H1874" s="1823">
        <f t="shared" si="352"/>
        <v>0</v>
      </c>
      <c r="I1874" s="1823"/>
      <c r="J1874" s="1823"/>
      <c r="K1874" s="1822">
        <f>IFERROR(HLOOKUP(B1874,pp3p1m!$1:$3,3,0),0)</f>
        <v>0</v>
      </c>
      <c r="L1874" s="1823"/>
      <c r="M1874" s="1823"/>
      <c r="N1874" s="1823"/>
      <c r="O1874" s="1823"/>
      <c r="P1874" s="1823">
        <f>H1874</f>
        <v>0</v>
      </c>
      <c r="Q1874" s="1053"/>
      <c r="R1874" s="1053"/>
      <c r="S1874" s="1053"/>
      <c r="T1874" s="2035">
        <f>IFERROR(HLOOKUP(B1874,pp3p1m!$1:$3,3,0),0)</f>
        <v>0</v>
      </c>
    </row>
    <row r="1875" spans="1:20" ht="22.2" hidden="1" customHeight="1">
      <c r="A1875" s="59"/>
      <c r="B1875" s="1577" t="s">
        <v>1049</v>
      </c>
      <c r="C1875" s="1832" t="str">
        <f t="shared" si="345"/>
        <v xml:space="preserve"> </v>
      </c>
      <c r="D1875" s="1548">
        <f t="shared" si="351"/>
        <v>0</v>
      </c>
      <c r="E1875" s="1044" t="str">
        <f>VLOOKUP($B1875,DG!A:D,DG!$B$2,)</f>
        <v>04.3007</v>
      </c>
      <c r="F1875" s="1056" t="str">
        <f>VLOOKUP($B1875,DG!A:D,DG!$C$2,)</f>
        <v>Kẹp hotline 4/0</v>
      </c>
      <c r="G1875" s="1044" t="str">
        <f>VLOOKUP($B1875,DG!A:D,DG!$D$2,)</f>
        <v>cái</v>
      </c>
      <c r="H1875" s="1823">
        <f t="shared" si="344"/>
        <v>0</v>
      </c>
      <c r="I1875" s="1823"/>
      <c r="J1875" s="1823"/>
      <c r="K1875" s="1822">
        <f>IFERROR(HLOOKUP(B1875,pp3p1m!$1:$3,3,0),0)</f>
        <v>0</v>
      </c>
      <c r="L1875" s="1823"/>
      <c r="M1875" s="1823"/>
      <c r="N1875" s="1823"/>
      <c r="O1875" s="1823"/>
      <c r="P1875" s="1823">
        <f t="shared" si="347"/>
        <v>0</v>
      </c>
      <c r="Q1875" s="1053"/>
      <c r="R1875" s="1053"/>
      <c r="S1875" s="1053"/>
      <c r="T1875" s="2035">
        <f>IFERROR(HLOOKUP(B1875,pp3p1m!108:110,3,0),0)</f>
        <v>0</v>
      </c>
    </row>
    <row r="1876" spans="1:20" ht="22.2" hidden="1" customHeight="1">
      <c r="A1876" s="59"/>
      <c r="B1876" s="1577" t="s">
        <v>778</v>
      </c>
      <c r="C1876" s="1832" t="str">
        <f t="shared" si="345"/>
        <v xml:space="preserve"> </v>
      </c>
      <c r="D1876" s="1548">
        <f t="shared" si="351"/>
        <v>0</v>
      </c>
      <c r="E1876" s="1044"/>
      <c r="F1876" s="1056" t="str">
        <f>VLOOKUP($B1876,DG!A:D,DG!$C$2,)</f>
        <v>Kẹp 2 rãnh (APC) cỡ dây 185mm2</v>
      </c>
      <c r="G1876" s="1044" t="str">
        <f>VLOOKUP($B1876,DG!A:D,DG!$D$2,)</f>
        <v>cái</v>
      </c>
      <c r="H1876" s="1823">
        <f t="shared" si="344"/>
        <v>0</v>
      </c>
      <c r="I1876" s="1823"/>
      <c r="J1876" s="1823"/>
      <c r="K1876" s="1822">
        <f>IFERROR(HLOOKUP(B1876,pp3p1m!$1:$3,3,0),0)</f>
        <v>0</v>
      </c>
      <c r="L1876" s="1823"/>
      <c r="M1876" s="1823"/>
      <c r="N1876" s="1823"/>
      <c r="O1876" s="1823"/>
      <c r="P1876" s="1823">
        <f t="shared" si="347"/>
        <v>0</v>
      </c>
      <c r="Q1876" s="1053"/>
      <c r="R1876" s="1053"/>
      <c r="S1876" s="1053"/>
      <c r="T1876" s="2035">
        <f>IFERROR(HLOOKUP(B1876,pp3p1m!109:111,3,0),0)</f>
        <v>0</v>
      </c>
    </row>
    <row r="1877" spans="1:20" ht="22.2" customHeight="1">
      <c r="A1877" s="59"/>
      <c r="B1877" s="1577" t="s">
        <v>697</v>
      </c>
      <c r="C1877" s="1832" t="str">
        <f t="shared" si="345"/>
        <v>x</v>
      </c>
      <c r="D1877" s="1541">
        <v>9</v>
      </c>
      <c r="E1877" s="1408"/>
      <c r="F1877" s="1394" t="str">
        <f>VLOOKUP($B1877,DG!A:D,DG!$C$2,)</f>
        <v>Cáp 24KV C/XLPE/PVC 25mm2</v>
      </c>
      <c r="G1877" s="1044" t="str">
        <f>VLOOKUP($B1877,DG!A:D,DG!$D$2,)</f>
        <v>mét</v>
      </c>
      <c r="H1877" s="1823">
        <f t="shared" si="344"/>
        <v>9</v>
      </c>
      <c r="I1877" s="1823"/>
      <c r="J1877" s="1823"/>
      <c r="K1877" s="1822">
        <f>IFERROR(HLOOKUP(B1877,pp3p1m!$1:$3,3,0),0)</f>
        <v>9</v>
      </c>
      <c r="L1877" s="1823"/>
      <c r="M1877" s="1823"/>
      <c r="N1877" s="1823"/>
      <c r="O1877" s="1823"/>
      <c r="P1877" s="1823">
        <f>T1877</f>
        <v>9</v>
      </c>
      <c r="Q1877" s="1053"/>
      <c r="R1877" s="1053"/>
      <c r="S1877" s="1053"/>
      <c r="T1877" s="2035">
        <f>IFERROR(HLOOKUP(B1877,pp3p1m!$1:$3,3,0),0)</f>
        <v>9</v>
      </c>
    </row>
    <row r="1878" spans="1:20" ht="22.2" hidden="1" customHeight="1">
      <c r="B1878" s="1577" t="s">
        <v>697</v>
      </c>
      <c r="C1878" s="1832" t="str">
        <f t="shared" si="345"/>
        <v xml:space="preserve"> </v>
      </c>
      <c r="D1878" s="1535"/>
      <c r="E1878" s="1408"/>
      <c r="F1878" s="1056" t="str">
        <f>VLOOKUP($B1878,DG!A:D,DG!$C$2,)&amp;" : đấu nối FCO"</f>
        <v>Cáp 24KV C/XLPE/PVC 25mm2 : đấu nối FCO</v>
      </c>
      <c r="G1878" s="1044" t="str">
        <f>VLOOKUP($B1878,DG!A:D,DG!$D$2,)</f>
        <v>mét</v>
      </c>
      <c r="H1878" s="1823"/>
      <c r="I1878" s="1823">
        <f>H1878</f>
        <v>0</v>
      </c>
      <c r="J1878" s="1823"/>
      <c r="K1878" s="1822">
        <f>IFERROR(HLOOKUP(B1878,pp3p1m!$1:$3,3,0),0)</f>
        <v>9</v>
      </c>
      <c r="L1878" s="1823"/>
      <c r="M1878" s="1823"/>
      <c r="N1878" s="1823"/>
      <c r="O1878" s="1823"/>
      <c r="P1878" s="1823">
        <f>H1878</f>
        <v>0</v>
      </c>
      <c r="Q1878" s="1053"/>
      <c r="R1878" s="1053"/>
      <c r="S1878" s="1053"/>
      <c r="T1878" s="2035">
        <f>IFERROR(HLOOKUP(B1878,pp3p1m!111:113,3,0),0)</f>
        <v>0</v>
      </c>
    </row>
    <row r="1879" spans="1:20" ht="22.2" customHeight="1">
      <c r="B1879" s="1577" t="s">
        <v>906</v>
      </c>
      <c r="C1879" s="1832" t="str">
        <f t="shared" ref="C1879:C1880" si="353">IF(OR(P1879&lt;&gt;0,H1879&lt;&gt;0),"x"," ")</f>
        <v>x</v>
      </c>
      <c r="D1879" s="1535">
        <v>3</v>
      </c>
      <c r="E1879" s="1408"/>
      <c r="F1879" s="1056" t="str">
        <f>VLOOKUP($B1879,DG!A:D,DG!$C$2,)</f>
        <v>Đầu cosse ép Cu-Al 50mm2</v>
      </c>
      <c r="G1879" s="1044" t="str">
        <f>VLOOKUP($B1879,DG!A:D,DG!$D$2,)</f>
        <v>cái</v>
      </c>
      <c r="H1879" s="1823">
        <f t="shared" ref="H1879" si="354">K1879</f>
        <v>6</v>
      </c>
      <c r="I1879" s="1823"/>
      <c r="J1879" s="1823"/>
      <c r="K1879" s="1822">
        <f>IFERROR(HLOOKUP(B1879,pp3p1m!$1:$3,3,0),0)</f>
        <v>6</v>
      </c>
      <c r="L1879" s="1823"/>
      <c r="M1879" s="1823"/>
      <c r="N1879" s="1823"/>
      <c r="O1879" s="1823"/>
      <c r="P1879" s="1823">
        <f>T1879</f>
        <v>6</v>
      </c>
      <c r="Q1879" s="1053"/>
      <c r="R1879" s="1053"/>
      <c r="S1879" s="1053"/>
      <c r="T1879" s="2035">
        <f>IFERROR(HLOOKUP(B1879,pp3p1m!$1:$3,3,0),0)</f>
        <v>6</v>
      </c>
    </row>
    <row r="1880" spans="1:20" ht="22.2" hidden="1" customHeight="1">
      <c r="B1880" s="1577" t="s">
        <v>381</v>
      </c>
      <c r="C1880" s="1832" t="str">
        <f t="shared" si="353"/>
        <v xml:space="preserve"> </v>
      </c>
      <c r="D1880" s="1535"/>
      <c r="E1880" s="1408"/>
      <c r="F1880" s="1056" t="str">
        <f>VLOOKUP($B1880,DG!A:D,DG!$C$2,)</f>
        <v>Chụp đầu cực FCO (bộ 2 cái)</v>
      </c>
      <c r="G1880" s="1044" t="str">
        <f>VLOOKUP($B1880,DG!A:D,DG!$D$2,)</f>
        <v>bộ</v>
      </c>
      <c r="H1880" s="1823">
        <f>D1880</f>
        <v>0</v>
      </c>
      <c r="I1880" s="1823"/>
      <c r="J1880" s="1823"/>
      <c r="K1880" s="1822">
        <f>IFERROR(HLOOKUP(B1880,pp3p1m!$1:$3,3,0),0)</f>
        <v>0</v>
      </c>
      <c r="L1880" s="1823"/>
      <c r="M1880" s="1823"/>
      <c r="N1880" s="1823"/>
      <c r="O1880" s="1823"/>
      <c r="P1880" s="1823">
        <f t="shared" si="347"/>
        <v>0</v>
      </c>
      <c r="Q1880" s="1053"/>
      <c r="R1880" s="1053"/>
      <c r="S1880" s="1053"/>
      <c r="T1880" s="2035">
        <f>IFERROR(HLOOKUP(B1880,pp3p1m!111:113,3,0),0)</f>
        <v>0</v>
      </c>
    </row>
    <row r="1881" spans="1:20" ht="22.2" hidden="1" customHeight="1">
      <c r="B1881" s="1577" t="s">
        <v>4488</v>
      </c>
      <c r="C1881" s="1832" t="str">
        <f t="shared" si="345"/>
        <v xml:space="preserve"> </v>
      </c>
      <c r="D1881" s="1535"/>
      <c r="E1881" s="1408"/>
      <c r="F1881" s="1056" t="str">
        <f>VLOOKUP($B1881,DG!A:D,DG!$C$2,)</f>
        <v>Nắp chụp kẹp quai + hotline</v>
      </c>
      <c r="G1881" s="1044" t="str">
        <f>VLOOKUP($B1881,DG!A:D,DG!$D$2,)</f>
        <v>bộ</v>
      </c>
      <c r="H1881" s="1823">
        <f t="shared" si="344"/>
        <v>0</v>
      </c>
      <c r="I1881" s="1823"/>
      <c r="J1881" s="1823"/>
      <c r="K1881" s="1822">
        <f>IFERROR(HLOOKUP(B1881,pp3p1m!$1:$3,3,0),0)</f>
        <v>0</v>
      </c>
      <c r="L1881" s="1823"/>
      <c r="M1881" s="1823"/>
      <c r="N1881" s="1823"/>
      <c r="O1881" s="1823"/>
      <c r="P1881" s="1823">
        <f t="shared" si="347"/>
        <v>0</v>
      </c>
      <c r="Q1881" s="1053"/>
      <c r="R1881" s="1053"/>
      <c r="S1881" s="1053"/>
      <c r="T1881" s="2035">
        <f>IFERROR(HLOOKUP(B1881,pp3p1m!112:114,3,0),0)</f>
        <v>0</v>
      </c>
    </row>
    <row r="1882" spans="1:20" ht="22.2" hidden="1" customHeight="1">
      <c r="A1882" s="59"/>
      <c r="B1882" s="1577" t="s">
        <v>1490</v>
      </c>
      <c r="C1882" s="1013" t="str">
        <f t="shared" si="345"/>
        <v xml:space="preserve"> </v>
      </c>
      <c r="D1882" s="1535">
        <f>ROUND((E1757)*1.02/2000,0)*12</f>
        <v>0</v>
      </c>
      <c r="E1882" s="1044"/>
      <c r="F1882" s="1056" t="str">
        <f>VLOOKUP($B1882,DG!A:D,DG!$C$2,)</f>
        <v>Ống nối dây cỡ 50mm2</v>
      </c>
      <c r="G1882" s="1044" t="str">
        <f>VLOOKUP($B1882,DG!A:D,DG!$D$2,)</f>
        <v>cái</v>
      </c>
      <c r="H1882" s="1823">
        <f>D1882</f>
        <v>0</v>
      </c>
      <c r="I1882" s="1823"/>
      <c r="J1882" s="1823"/>
      <c r="K1882" s="1822">
        <f>IFERROR(HLOOKUP(B1882,pp3p1m!$1:$3,3,0),0)</f>
        <v>0</v>
      </c>
      <c r="L1882" s="1823"/>
      <c r="M1882" s="1823"/>
      <c r="N1882" s="1823"/>
      <c r="O1882" s="1823"/>
      <c r="P1882" s="1823">
        <f t="shared" si="347"/>
        <v>0</v>
      </c>
      <c r="Q1882" s="1053"/>
      <c r="R1882" s="1053"/>
      <c r="S1882" s="1053"/>
      <c r="T1882" s="2035">
        <f>IFERROR(HLOOKUP(B1882,pp3p1m!$1:$3,3,0),0)</f>
        <v>0</v>
      </c>
    </row>
    <row r="1883" spans="1:20" ht="22.2" hidden="1" customHeight="1">
      <c r="A1883" s="59"/>
      <c r="B1883" s="1577" t="s">
        <v>1491</v>
      </c>
      <c r="C1883" s="1013" t="str">
        <f t="shared" si="345"/>
        <v xml:space="preserve"> </v>
      </c>
      <c r="D1883" s="1535">
        <f>ROUND((E1756+E1768)*1.03/1400,0)</f>
        <v>0</v>
      </c>
      <c r="E1883" s="1044"/>
      <c r="F1883" s="1056" t="str">
        <f>VLOOKUP($B1883,DG!A:D,DG!$C$2,)</f>
        <v>Ống nối dây cỡ 70mm2</v>
      </c>
      <c r="G1883" s="1044" t="str">
        <f>VLOOKUP($B1883,DG!A:D,DG!$D$2,)</f>
        <v>cái</v>
      </c>
      <c r="H1883" s="1823">
        <f t="shared" si="344"/>
        <v>0</v>
      </c>
      <c r="I1883" s="1823"/>
      <c r="J1883" s="1823"/>
      <c r="K1883" s="1822">
        <f>IFERROR(HLOOKUP(B1883,pp3p1m!$1:$3,3,0),0)</f>
        <v>0</v>
      </c>
      <c r="L1883" s="1823"/>
      <c r="M1883" s="1823"/>
      <c r="N1883" s="1823"/>
      <c r="O1883" s="1823"/>
      <c r="P1883" s="1823">
        <f t="shared" si="347"/>
        <v>0</v>
      </c>
      <c r="Q1883" s="1053"/>
      <c r="R1883" s="1053"/>
      <c r="S1883" s="1053"/>
      <c r="T1883" s="2035">
        <f>IFERROR(HLOOKUP(B1883,pp3p1m!114:116,3,0),0)</f>
        <v>0</v>
      </c>
    </row>
    <row r="1884" spans="1:20" ht="22.2" hidden="1" customHeight="1">
      <c r="A1884" s="59"/>
      <c r="B1884" s="1577" t="s">
        <v>432</v>
      </c>
      <c r="C1884" s="1013" t="str">
        <f t="shared" si="345"/>
        <v xml:space="preserve"> </v>
      </c>
      <c r="D1884" s="1535">
        <f>ROUND((E1755+E1763)*1.03/1200,0)</f>
        <v>0</v>
      </c>
      <c r="E1884" s="1044"/>
      <c r="F1884" s="1056" t="str">
        <f>VLOOKUP($B1884,DG!A:D,DG!$C$2,)</f>
        <v>Ống nối dây cỡ 95mm2</v>
      </c>
      <c r="G1884" s="1044" t="str">
        <f>VLOOKUP($B1884,DG!A:D,DG!$D$2,)</f>
        <v>cái</v>
      </c>
      <c r="H1884" s="1823">
        <f t="shared" si="344"/>
        <v>0</v>
      </c>
      <c r="I1884" s="1823"/>
      <c r="J1884" s="1823"/>
      <c r="K1884" s="1822">
        <f>IFERROR(HLOOKUP(B1884,pp3p1m!$1:$3,3,0),0)</f>
        <v>0</v>
      </c>
      <c r="L1884" s="1823"/>
      <c r="M1884" s="1823"/>
      <c r="N1884" s="1823"/>
      <c r="O1884" s="1823"/>
      <c r="P1884" s="1823">
        <f t="shared" si="347"/>
        <v>0</v>
      </c>
      <c r="Q1884" s="1053"/>
      <c r="R1884" s="1053"/>
      <c r="S1884" s="1053"/>
      <c r="T1884" s="2035">
        <f>IFERROR(HLOOKUP(B1884,pp3p1m!115:117,3,0),0)</f>
        <v>0</v>
      </c>
    </row>
    <row r="1885" spans="1:20" ht="22.2" hidden="1" customHeight="1">
      <c r="A1885" s="59"/>
      <c r="B1885" s="1577" t="s">
        <v>573</v>
      </c>
      <c r="C1885" s="1013" t="str">
        <f t="shared" si="345"/>
        <v xml:space="preserve"> </v>
      </c>
      <c r="D1885" s="1535">
        <f>ROUND((E1754+E1762)*1.03/1200,0)</f>
        <v>0</v>
      </c>
      <c r="E1885" s="1044"/>
      <c r="F1885" s="1056" t="str">
        <f>VLOOKUP($B1885,DG!A:D,DG!$C$2,)</f>
        <v>Ống nối dây cỡ 120mm2</v>
      </c>
      <c r="G1885" s="1044" t="str">
        <f>VLOOKUP($B1885,DG!A:D,DG!$D$2,)</f>
        <v>cái</v>
      </c>
      <c r="H1885" s="1823">
        <f t="shared" si="344"/>
        <v>0</v>
      </c>
      <c r="I1885" s="1823"/>
      <c r="J1885" s="1823"/>
      <c r="K1885" s="1822">
        <f>IFERROR(HLOOKUP(B1885,pp3p1m!$1:$3,3,0),0)</f>
        <v>0</v>
      </c>
      <c r="L1885" s="1823"/>
      <c r="M1885" s="1823"/>
      <c r="N1885" s="1823"/>
      <c r="O1885" s="1823"/>
      <c r="P1885" s="1823">
        <f t="shared" si="347"/>
        <v>0</v>
      </c>
      <c r="Q1885" s="1053"/>
      <c r="R1885" s="1053"/>
      <c r="S1885" s="1053"/>
      <c r="T1885" s="2035">
        <f>IFERROR(HLOOKUP(B1885,pp3p1m!116:118,3,0),0)</f>
        <v>0</v>
      </c>
    </row>
    <row r="1886" spans="1:20" ht="22.2" hidden="1" customHeight="1">
      <c r="A1886" s="59"/>
      <c r="B1886" s="1577" t="s">
        <v>937</v>
      </c>
      <c r="C1886" s="1013" t="str">
        <f t="shared" si="345"/>
        <v xml:space="preserve"> </v>
      </c>
      <c r="D1886" s="1535">
        <f>ROUND((E1753+E1761)*1.03/1200,0)</f>
        <v>0</v>
      </c>
      <c r="E1886" s="1044"/>
      <c r="F1886" s="1056" t="str">
        <f>VLOOKUP($B1886,DG!A:D,DG!$C$2,)</f>
        <v>Ống nối dây cỡ 150mm2</v>
      </c>
      <c r="G1886" s="1044" t="str">
        <f>VLOOKUP($B1886,DG!A:D,DG!$D$2,)</f>
        <v>cái</v>
      </c>
      <c r="H1886" s="1823">
        <f t="shared" si="344"/>
        <v>0</v>
      </c>
      <c r="I1886" s="1823"/>
      <c r="J1886" s="1823"/>
      <c r="K1886" s="1822">
        <f>IFERROR(HLOOKUP(B1886,pp3p1m!$1:$3,3,0),0)</f>
        <v>0</v>
      </c>
      <c r="L1886" s="1823"/>
      <c r="M1886" s="1823"/>
      <c r="N1886" s="1823"/>
      <c r="O1886" s="1823"/>
      <c r="P1886" s="1823">
        <f t="shared" si="347"/>
        <v>0</v>
      </c>
      <c r="Q1886" s="1053"/>
      <c r="R1886" s="1053"/>
      <c r="S1886" s="1053"/>
      <c r="T1886" s="2035">
        <f>IFERROR(HLOOKUP(B1886,pp3p1m!117:119,3,0),0)</f>
        <v>0</v>
      </c>
    </row>
    <row r="1887" spans="1:20" ht="22.2" hidden="1" customHeight="1">
      <c r="A1887" s="59"/>
      <c r="B1887" s="1577" t="s">
        <v>572</v>
      </c>
      <c r="C1887" s="1013" t="str">
        <f t="shared" si="345"/>
        <v xml:space="preserve"> </v>
      </c>
      <c r="D1887" s="1535">
        <f>ROUND((E1752+E1760)*1.03/1200,0)</f>
        <v>0</v>
      </c>
      <c r="E1887" s="1044"/>
      <c r="F1887" s="1056" t="str">
        <f>VLOOKUP($B1887,DG!A:D,DG!$C$2,)</f>
        <v>Ống nối dây cỡ 185mm2</v>
      </c>
      <c r="G1887" s="1044" t="str">
        <f>VLOOKUP($B1887,DG!A:D,DG!$D$2,)</f>
        <v>cái</v>
      </c>
      <c r="H1887" s="1823">
        <f t="shared" si="344"/>
        <v>0</v>
      </c>
      <c r="I1887" s="1823"/>
      <c r="J1887" s="1823"/>
      <c r="K1887" s="1822">
        <f>IFERROR(HLOOKUP(B1887,pp3p1m!$1:$3,3,0),0)</f>
        <v>0</v>
      </c>
      <c r="L1887" s="1823"/>
      <c r="M1887" s="1823"/>
      <c r="N1887" s="1823"/>
      <c r="O1887" s="1823"/>
      <c r="P1887" s="1823">
        <f t="shared" si="347"/>
        <v>0</v>
      </c>
      <c r="Q1887" s="1053"/>
      <c r="R1887" s="1053"/>
      <c r="S1887" s="1053"/>
      <c r="T1887" s="2035">
        <f>IFERROR(HLOOKUP(B1887,pp3p1m!118:120,3,0),0)</f>
        <v>0</v>
      </c>
    </row>
    <row r="1888" spans="1:20" ht="22.2" hidden="1" customHeight="1">
      <c r="A1888" s="59"/>
      <c r="B1888" s="1577" t="s">
        <v>571</v>
      </c>
      <c r="C1888" s="1013" t="str">
        <f t="shared" si="345"/>
        <v xml:space="preserve"> </v>
      </c>
      <c r="D1888" s="1535">
        <f>ROUND((E1751+E1759)*1.03/1200,0)</f>
        <v>0</v>
      </c>
      <c r="E1888" s="1044"/>
      <c r="F1888" s="1056" t="str">
        <f>VLOOKUP($B1888,DG!A:D,DG!$C$2,)</f>
        <v>Ống nối dây cỡ 240mm2</v>
      </c>
      <c r="G1888" s="1044" t="str">
        <f>VLOOKUP($B1888,DG!A:D,DG!$D$2,)</f>
        <v>cái</v>
      </c>
      <c r="H1888" s="1823">
        <f t="shared" si="344"/>
        <v>0</v>
      </c>
      <c r="I1888" s="1823"/>
      <c r="J1888" s="1823"/>
      <c r="K1888" s="1822">
        <f>IFERROR(HLOOKUP(B1888,pp3p1m!$1:$3,3,0),0)</f>
        <v>0</v>
      </c>
      <c r="L1888" s="1823"/>
      <c r="M1888" s="1823"/>
      <c r="N1888" s="1823"/>
      <c r="O1888" s="1823"/>
      <c r="P1888" s="1823">
        <f t="shared" si="347"/>
        <v>0</v>
      </c>
      <c r="Q1888" s="1053"/>
      <c r="R1888" s="1053"/>
      <c r="S1888" s="1053"/>
      <c r="T1888" s="2035">
        <f>IFERROR(HLOOKUP(B1888,pp3p1m!119:121,3,0),0)</f>
        <v>0</v>
      </c>
    </row>
    <row r="1889" spans="1:20" ht="22.2" hidden="1" customHeight="1">
      <c r="A1889" s="59"/>
      <c r="B1889" s="1577" t="s">
        <v>1880</v>
      </c>
      <c r="C1889" s="1013" t="str">
        <f t="shared" si="345"/>
        <v xml:space="preserve"> </v>
      </c>
      <c r="D1889" s="1552"/>
      <c r="E1889" s="1044"/>
      <c r="F1889" s="1056" t="str">
        <f>VLOOKUP($B1889,DG!A:D,DG!$C$2,)</f>
        <v>Cổ dê trụ đôi bắt sứ treo</v>
      </c>
      <c r="G1889" s="1044" t="str">
        <f>VLOOKUP($B1889,DG!A:D,DG!$D$2,)</f>
        <v>bộ</v>
      </c>
      <c r="H1889" s="1823">
        <f t="shared" si="344"/>
        <v>0</v>
      </c>
      <c r="I1889" s="1823"/>
      <c r="J1889" s="1823"/>
      <c r="K1889" s="1822">
        <f>IFERROR(HLOOKUP(B1889,pp3p1m!$1:$3,3,0),0)</f>
        <v>0</v>
      </c>
      <c r="L1889" s="1823"/>
      <c r="M1889" s="1823"/>
      <c r="N1889" s="1823"/>
      <c r="O1889" s="1823"/>
      <c r="P1889" s="1823">
        <f t="shared" si="347"/>
        <v>0</v>
      </c>
      <c r="Q1889" s="1053"/>
      <c r="R1889" s="1053"/>
      <c r="S1889" s="1053"/>
      <c r="T1889" s="2035">
        <f>IFERROR(HLOOKUP(B1889,pp3p1m!120:122,3,0),0)</f>
        <v>0</v>
      </c>
    </row>
    <row r="1890" spans="1:20" ht="22.2" hidden="1" customHeight="1">
      <c r="A1890" s="59"/>
      <c r="B1890" s="1577" t="s">
        <v>1385</v>
      </c>
      <c r="C1890" s="1013" t="str">
        <f t="shared" si="345"/>
        <v xml:space="preserve"> </v>
      </c>
      <c r="D1890" s="1552"/>
      <c r="E1890" s="1044"/>
      <c r="F1890" s="1056" t="str">
        <f>VLOOKUP($B1890,DG!A:D,DG!$C$2,)&amp;": bắt xà trụ ghép"</f>
        <v>Boulon 16x600VRS+ 4 long đền vuông D18-50x50x3/Zn: bắt xà trụ ghép</v>
      </c>
      <c r="G1890" s="1044" t="str">
        <f>VLOOKUP($B1890,DG!A:D,DG!$D$2,)</f>
        <v>bộ</v>
      </c>
      <c r="H1890" s="1823">
        <f t="shared" si="344"/>
        <v>0</v>
      </c>
      <c r="I1890" s="1823"/>
      <c r="J1890" s="1823"/>
      <c r="K1890" s="1822">
        <f>IFERROR(HLOOKUP(B1890,pp3p1m!$1:$3,3,0),0)</f>
        <v>0</v>
      </c>
      <c r="L1890" s="1823"/>
      <c r="M1890" s="1823"/>
      <c r="N1890" s="1823"/>
      <c r="O1890" s="1823"/>
      <c r="P1890" s="1823">
        <f t="shared" si="347"/>
        <v>0</v>
      </c>
      <c r="Q1890" s="1053"/>
      <c r="R1890" s="1053"/>
      <c r="S1890" s="1053"/>
      <c r="T1890" s="2035">
        <f>IFERROR(HLOOKUP(B1890,pp3p1m!121:123,3,0),0)</f>
        <v>0</v>
      </c>
    </row>
    <row r="1891" spans="1:20" ht="22.2" hidden="1" customHeight="1">
      <c r="A1891" s="59"/>
      <c r="B1891" s="1577" t="s">
        <v>4862</v>
      </c>
      <c r="C1891" s="1013" t="str">
        <f t="shared" si="345"/>
        <v xml:space="preserve"> </v>
      </c>
      <c r="D1891" s="1548"/>
      <c r="E1891" s="1044"/>
      <c r="F1891" s="2237" t="str">
        <f>VLOOKUP($B1891,DG!A:D,DG!$C$2,)&amp;": bắt trụ đôi"</f>
        <v>Boulon 16x450VRS+ 4 long đền vuông D18-50x50x3/Zn: bắt trụ đôi</v>
      </c>
      <c r="G1891" s="1044" t="str">
        <f>VLOOKUP($B1891,DG!A:D,DG!$D$2,)</f>
        <v>bộ</v>
      </c>
      <c r="H1891" s="1823">
        <f>D1891</f>
        <v>0</v>
      </c>
      <c r="I1891" s="1823"/>
      <c r="J1891" s="1823"/>
      <c r="K1891" s="1822">
        <f>IFERROR(HLOOKUP(B1891,pp3p1m!$1:$3,3,0),0)</f>
        <v>0</v>
      </c>
      <c r="L1891" s="1823"/>
      <c r="M1891" s="1823"/>
      <c r="N1891" s="1823"/>
      <c r="O1891" s="1823"/>
      <c r="P1891" s="1823">
        <f t="shared" si="347"/>
        <v>0</v>
      </c>
      <c r="Q1891" s="1053"/>
      <c r="R1891" s="1053"/>
      <c r="S1891" s="1053"/>
      <c r="T1891" s="2035">
        <f>IFERROR(HLOOKUP(B1891,pp3p1m!122:124,3,0),0)</f>
        <v>0</v>
      </c>
    </row>
    <row r="1892" spans="1:20" ht="22.2" hidden="1" customHeight="1">
      <c r="A1892" s="59"/>
      <c r="B1892" s="1577" t="s">
        <v>532</v>
      </c>
      <c r="C1892" s="1013" t="str">
        <f t="shared" si="345"/>
        <v xml:space="preserve"> </v>
      </c>
      <c r="D1892" s="1548"/>
      <c r="E1892" s="1044"/>
      <c r="F1892" s="2237" t="str">
        <f>VLOOKUP($B1892,DG!A:D,DG!$C$2,)&amp;": bắt trụ đôi"</f>
        <v>Boulon 16x550VRS+ 4 long đền vuông D18-50x50x3/Zn: bắt trụ đôi</v>
      </c>
      <c r="G1892" s="1044" t="str">
        <f>VLOOKUP($B1892,DG!A:D,DG!$D$2,)</f>
        <v>bộ</v>
      </c>
      <c r="H1892" s="1823">
        <f t="shared" ref="H1892:H1893" si="355">D1892</f>
        <v>0</v>
      </c>
      <c r="I1892" s="1823"/>
      <c r="J1892" s="1823"/>
      <c r="K1892" s="1822">
        <f>IFERROR(HLOOKUP(B1892,pp3p1m!$1:$3,3,0),0)</f>
        <v>0</v>
      </c>
      <c r="L1892" s="1823"/>
      <c r="M1892" s="1823"/>
      <c r="N1892" s="1823"/>
      <c r="O1892" s="1823"/>
      <c r="P1892" s="1823">
        <f t="shared" si="347"/>
        <v>0</v>
      </c>
      <c r="Q1892" s="1053"/>
      <c r="R1892" s="1053"/>
      <c r="S1892" s="1053"/>
      <c r="T1892" s="2035">
        <f>IFERROR(HLOOKUP(B1892,pp3p1m!123:125,3,0),0)</f>
        <v>0</v>
      </c>
    </row>
    <row r="1893" spans="1:20" ht="22.2" hidden="1" customHeight="1">
      <c r="A1893" s="59"/>
      <c r="B1893" s="1577" t="s">
        <v>1385</v>
      </c>
      <c r="C1893" s="1013" t="str">
        <f t="shared" si="345"/>
        <v xml:space="preserve"> </v>
      </c>
      <c r="D1893" s="1548"/>
      <c r="E1893" s="1044"/>
      <c r="F1893" s="2237" t="str">
        <f>VLOOKUP($B1893,DG!A:D,DG!$C$2,)&amp;": bắt trụ đôi"</f>
        <v>Boulon 16x600VRS+ 4 long đền vuông D18-50x50x3/Zn: bắt trụ đôi</v>
      </c>
      <c r="G1893" s="1044" t="str">
        <f>VLOOKUP($B1893,DG!A:D,DG!$D$2,)</f>
        <v>bộ</v>
      </c>
      <c r="H1893" s="1823">
        <f t="shared" si="355"/>
        <v>0</v>
      </c>
      <c r="I1893" s="1823"/>
      <c r="J1893" s="1823"/>
      <c r="K1893" s="1822">
        <f>IFERROR(HLOOKUP(B1893,pp3p1m!$1:$3,3,0),0)</f>
        <v>0</v>
      </c>
      <c r="L1893" s="1823"/>
      <c r="M1893" s="1823"/>
      <c r="N1893" s="1823"/>
      <c r="O1893" s="1823"/>
      <c r="P1893" s="1823">
        <f t="shared" si="347"/>
        <v>0</v>
      </c>
      <c r="Q1893" s="1053"/>
      <c r="R1893" s="1053"/>
      <c r="S1893" s="1053"/>
      <c r="T1893" s="2035">
        <f>IFERROR(HLOOKUP(B1893,pp3p1m!124:126,3,0),0)</f>
        <v>0</v>
      </c>
    </row>
    <row r="1894" spans="1:20" ht="22.2" hidden="1" customHeight="1">
      <c r="A1894" s="59"/>
      <c r="B1894" s="1577" t="s">
        <v>1061</v>
      </c>
      <c r="C1894" s="1013" t="str">
        <f t="shared" si="345"/>
        <v xml:space="preserve"> </v>
      </c>
      <c r="D1894" s="1548"/>
      <c r="E1894" s="1044"/>
      <c r="F1894" s="2237" t="str">
        <f>VLOOKUP($B1894,DG!A:D,DG!$C$2,)&amp;": baét söù treo Polymer truï TBA 11"</f>
        <v>Boulon mắt 16x250+ 2 long đền vuông D18-50x50x3/Zn: baét söù treo Polymer truï TBA 11</v>
      </c>
      <c r="G1894" s="1044" t="str">
        <f>VLOOKUP($B1894,DG!A:D,DG!$D$2,)</f>
        <v>bộ</v>
      </c>
      <c r="H1894" s="1823">
        <f t="shared" si="344"/>
        <v>0</v>
      </c>
      <c r="I1894" s="1823"/>
      <c r="J1894" s="1823"/>
      <c r="K1894" s="1822">
        <f>IFERROR(HLOOKUP(B1894,pp3p1m!$1:$3,3,0),0)</f>
        <v>0</v>
      </c>
      <c r="L1894" s="1823"/>
      <c r="M1894" s="1823"/>
      <c r="N1894" s="1823"/>
      <c r="O1894" s="1823"/>
      <c r="P1894" s="1823">
        <f t="shared" si="347"/>
        <v>0</v>
      </c>
      <c r="Q1894" s="1053"/>
      <c r="R1894" s="1053"/>
      <c r="S1894" s="1053"/>
      <c r="T1894" s="2035">
        <f>IFERROR(HLOOKUP(B1894,pp3p1m!125:127,3,0),0)</f>
        <v>0</v>
      </c>
    </row>
    <row r="1895" spans="1:20" ht="22.2" hidden="1" customHeight="1">
      <c r="A1895" s="59"/>
      <c r="B1895" s="1577" t="s">
        <v>2265</v>
      </c>
      <c r="C1895" s="1013" t="str">
        <f t="shared" si="345"/>
        <v xml:space="preserve"> </v>
      </c>
      <c r="D1895" s="1545"/>
      <c r="E1895" s="1044"/>
      <c r="F1895" s="1056" t="str">
        <f>VLOOKUP($B1895,DG!A:D,DG!$C$2,)&amp;" + bulon"</f>
        <v>Rack 2 sứ + sứ ống chỉ + bulon</v>
      </c>
      <c r="G1895" s="1044" t="str">
        <f>VLOOKUP($B1895,DG!A:D,DG!$D$2,)</f>
        <v>bộ</v>
      </c>
      <c r="H1895" s="1823">
        <f t="shared" si="344"/>
        <v>0</v>
      </c>
      <c r="I1895" s="1823"/>
      <c r="J1895" s="1823"/>
      <c r="K1895" s="1822">
        <f>IFERROR(HLOOKUP(B1895,pp3p1m!$1:$3,3,0),0)</f>
        <v>0</v>
      </c>
      <c r="L1895" s="1823"/>
      <c r="M1895" s="1823"/>
      <c r="N1895" s="1823"/>
      <c r="O1895" s="1823"/>
      <c r="P1895" s="1823">
        <f t="shared" si="347"/>
        <v>0</v>
      </c>
      <c r="Q1895" s="1059"/>
      <c r="R1895" s="1059"/>
      <c r="S1895" s="1059"/>
      <c r="T1895" s="2035">
        <f>IFERROR(HLOOKUP(B1895,pp3p1m!126:128,3,0),0)</f>
        <v>0</v>
      </c>
    </row>
    <row r="1896" spans="1:20" ht="22.2" hidden="1" customHeight="1">
      <c r="A1896" s="59"/>
      <c r="B1896" s="1577" t="s">
        <v>667</v>
      </c>
      <c r="C1896" s="1013" t="str">
        <f t="shared" si="345"/>
        <v xml:space="preserve"> </v>
      </c>
      <c r="D1896" s="1545"/>
      <c r="E1896" s="1044"/>
      <c r="F1896" s="1056" t="str">
        <f>VLOOKUP($B1896,DG!A:D,DG!$C$2,)&amp;" + bulon"</f>
        <v>Rack 3 sứ + sứ ống chỉ + bulon</v>
      </c>
      <c r="G1896" s="1044" t="str">
        <f>VLOOKUP($B1896,DG!A:D,DG!$D$2,)</f>
        <v>bộ</v>
      </c>
      <c r="H1896" s="1823">
        <f t="shared" si="344"/>
        <v>0</v>
      </c>
      <c r="I1896" s="1823"/>
      <c r="J1896" s="1823"/>
      <c r="K1896" s="1822">
        <f>IFERROR(HLOOKUP(B1896,pp3p1m!$1:$3,3,0),0)</f>
        <v>0</v>
      </c>
      <c r="L1896" s="1823"/>
      <c r="M1896" s="1823"/>
      <c r="N1896" s="1823"/>
      <c r="O1896" s="1823"/>
      <c r="P1896" s="1823">
        <f t="shared" si="347"/>
        <v>0</v>
      </c>
      <c r="Q1896" s="1059"/>
      <c r="R1896" s="1059"/>
      <c r="S1896" s="1059"/>
      <c r="T1896" s="2035">
        <f>IFERROR(HLOOKUP(B1896,pp3p1m!127:129,3,0),0)</f>
        <v>0</v>
      </c>
    </row>
    <row r="1897" spans="1:20" ht="22.2" hidden="1" customHeight="1">
      <c r="A1897" s="59"/>
      <c r="B1897" s="1577" t="s">
        <v>51</v>
      </c>
      <c r="C1897" s="1013" t="str">
        <f t="shared" si="345"/>
        <v xml:space="preserve"> </v>
      </c>
      <c r="D1897" s="1545"/>
      <c r="E1897" s="1044"/>
      <c r="F1897" s="1056" t="str">
        <f>VLOOKUP($B1897,DG!A:D,DG!$C$2,)&amp;" + bulon"</f>
        <v>Rack 4 + bulon</v>
      </c>
      <c r="G1897" s="1044" t="str">
        <f>VLOOKUP($B1897,DG!A:D,DG!$D$2,)</f>
        <v>cái</v>
      </c>
      <c r="H1897" s="1823">
        <f t="shared" si="344"/>
        <v>0</v>
      </c>
      <c r="I1897" s="1823"/>
      <c r="J1897" s="1823"/>
      <c r="K1897" s="1822">
        <f>IFERROR(HLOOKUP(B1897,pp3p1m!$1:$3,3,0),0)</f>
        <v>0</v>
      </c>
      <c r="L1897" s="1823"/>
      <c r="M1897" s="1823"/>
      <c r="N1897" s="1823"/>
      <c r="O1897" s="1823"/>
      <c r="P1897" s="1823">
        <f t="shared" si="347"/>
        <v>0</v>
      </c>
      <c r="Q1897" s="1059"/>
      <c r="R1897" s="1059"/>
      <c r="S1897" s="1059"/>
      <c r="T1897" s="2035">
        <f>IFERROR(HLOOKUP(B1897,pp3p1m!128:130,3,0),0)</f>
        <v>0</v>
      </c>
    </row>
    <row r="1898" spans="1:20" ht="22.2" hidden="1" customHeight="1">
      <c r="A1898" s="59"/>
      <c r="B1898" s="1577" t="s">
        <v>1185</v>
      </c>
      <c r="C1898" s="1013" t="str">
        <f t="shared" si="345"/>
        <v xml:space="preserve"> </v>
      </c>
      <c r="D1898" s="1545"/>
      <c r="E1898" s="1044"/>
      <c r="F1898" s="1056" t="str">
        <f>VLOOKUP($B1898,DG!A:D,DG!$C$2,)</f>
        <v>Boulon 16x350+ 2 long đền vuông D18-50x50x3/Zn</v>
      </c>
      <c r="G1898" s="1044" t="str">
        <f>VLOOKUP($B1898,DG!A:D,DG!$D$2,)</f>
        <v>bộ</v>
      </c>
      <c r="H1898" s="1823">
        <f t="shared" si="344"/>
        <v>0</v>
      </c>
      <c r="I1898" s="1823"/>
      <c r="J1898" s="1823"/>
      <c r="K1898" s="1822">
        <f>IFERROR(HLOOKUP(B1898,pp3p1m!$1:$3,3,0),0)</f>
        <v>0</v>
      </c>
      <c r="L1898" s="1823"/>
      <c r="M1898" s="1823"/>
      <c r="N1898" s="1823"/>
      <c r="O1898" s="1823"/>
      <c r="P1898" s="1823">
        <f t="shared" ref="P1898:P1932" si="356">P$1832*$D1898</f>
        <v>0</v>
      </c>
      <c r="Q1898" s="1059"/>
      <c r="R1898" s="1059"/>
      <c r="S1898" s="1059"/>
      <c r="T1898" s="2035">
        <f>IFERROR(HLOOKUP(B1898,pp3p1m!129:131,3,0),0)</f>
        <v>0</v>
      </c>
    </row>
    <row r="1899" spans="1:20" ht="22.2" customHeight="1">
      <c r="A1899" s="59"/>
      <c r="B1899" s="1577" t="s">
        <v>550</v>
      </c>
      <c r="C1899" s="1832" t="str">
        <f t="shared" si="345"/>
        <v>x</v>
      </c>
      <c r="D1899" s="1545"/>
      <c r="E1899" s="1044"/>
      <c r="F1899" s="1056" t="str">
        <f>VLOOKUP($B1899,DG!A:D,DG!$C$2,)</f>
        <v>Bass LI bắt FCO</v>
      </c>
      <c r="G1899" s="1044" t="str">
        <f>VLOOKUP($B1899,DG!A:D,DG!$D$2,)</f>
        <v>Bộ</v>
      </c>
      <c r="H1899" s="1823">
        <f t="shared" ref="H1899:H1957" si="357">K1899</f>
        <v>3</v>
      </c>
      <c r="I1899" s="1823"/>
      <c r="J1899" s="1823"/>
      <c r="K1899" s="1822">
        <f>IFERROR(HLOOKUP(B1899,pp3p1m!$1:$3,3,0),0)</f>
        <v>3</v>
      </c>
      <c r="L1899" s="1823"/>
      <c r="M1899" s="1823"/>
      <c r="N1899" s="1823"/>
      <c r="O1899" s="1823"/>
      <c r="P1899" s="1823">
        <f>T1899</f>
        <v>3</v>
      </c>
      <c r="Q1899" s="1053"/>
      <c r="R1899" s="1053"/>
      <c r="S1899" s="1053"/>
      <c r="T1899" s="2035">
        <f>IFERROR(HLOOKUP(B1899,pp3p1m!$1:$3,3,0),0)</f>
        <v>3</v>
      </c>
    </row>
    <row r="1900" spans="1:20" ht="22.2" customHeight="1">
      <c r="A1900" s="59"/>
      <c r="B1900" s="1577" t="s">
        <v>6177</v>
      </c>
      <c r="C1900" s="1013" t="str">
        <f t="shared" si="345"/>
        <v>x</v>
      </c>
      <c r="D1900" s="1545"/>
      <c r="E1900" s="1044"/>
      <c r="F1900" s="1056" t="str">
        <f>VLOOKUP($B1900,DG!A:D,DG!$C$2,)</f>
        <v>Bass LI bắt LA</v>
      </c>
      <c r="G1900" s="1044" t="str">
        <f>VLOOKUP($B1900,DG!A:D,DG!$D$2,)</f>
        <v>Bộ</v>
      </c>
      <c r="H1900" s="1823">
        <f t="shared" si="357"/>
        <v>3</v>
      </c>
      <c r="I1900" s="1823"/>
      <c r="J1900" s="1823"/>
      <c r="K1900" s="1822">
        <f>IFERROR(HLOOKUP(B1900,pp3p1m!$1:$3,3,0),0)</f>
        <v>3</v>
      </c>
      <c r="L1900" s="1823"/>
      <c r="M1900" s="1823"/>
      <c r="N1900" s="1823"/>
      <c r="O1900" s="1823"/>
      <c r="P1900" s="1823">
        <f>T1900</f>
        <v>3</v>
      </c>
      <c r="Q1900" s="1059"/>
      <c r="R1900" s="1059"/>
      <c r="S1900" s="1059"/>
      <c r="T1900" s="2035">
        <f>IFERROR(HLOOKUP(B1900,pp3p1m!$1:$3,3,0),0)</f>
        <v>3</v>
      </c>
    </row>
    <row r="1901" spans="1:20" ht="22.2" hidden="1" customHeight="1">
      <c r="B1901" s="1571" t="s">
        <v>4490</v>
      </c>
      <c r="C1901" s="1832" t="str">
        <f t="shared" si="345"/>
        <v xml:space="preserve"> </v>
      </c>
      <c r="D1901" s="1545"/>
      <c r="E1901" s="1044"/>
      <c r="F1901" s="1056" t="str">
        <f>VLOOKUP($B1901,DG!A:D,DG!$C$2,)</f>
        <v>Cáp nhôm A-70: buộc cổ sứ</v>
      </c>
      <c r="G1901" s="1044" t="str">
        <f>VLOOKUP($B1901,DG!A:D,DG!$D$2,)</f>
        <v>kg</v>
      </c>
      <c r="H1901" s="1823">
        <f t="shared" si="357"/>
        <v>0</v>
      </c>
      <c r="I1901" s="1823"/>
      <c r="J1901" s="1823"/>
      <c r="K1901" s="1822">
        <f>IFERROR(HLOOKUP(B1901,pp3p1m!$1:$3,3,0),0)</f>
        <v>0</v>
      </c>
      <c r="L1901" s="1823"/>
      <c r="M1901" s="1823"/>
      <c r="N1901" s="1823"/>
      <c r="O1901" s="1823"/>
      <c r="P1901" s="1823">
        <f t="shared" si="356"/>
        <v>0</v>
      </c>
      <c r="Q1901" s="1059"/>
      <c r="R1901" s="1059"/>
      <c r="S1901" s="1059"/>
      <c r="T1901" s="2035">
        <f>IFERROR(HLOOKUP(B1901,pp3p1m!132:134,3,0),0)</f>
        <v>0</v>
      </c>
    </row>
    <row r="1902" spans="1:20" ht="22.2" customHeight="1">
      <c r="A1902" s="59"/>
      <c r="B1902" s="1577" t="s">
        <v>4368</v>
      </c>
      <c r="C1902" s="1832" t="str">
        <f t="shared" ref="C1902:C1904" si="358">IF(OR(P1902&lt;&gt;0,H1902&lt;&gt;0),"x"," ")</f>
        <v>x</v>
      </c>
      <c r="D1902" s="1535"/>
      <c r="E1902" s="1044"/>
      <c r="F1902" s="1056" t="str">
        <f>VLOOKUP($B1902,DG!A:D,DG!$C$2,)</f>
        <v>Chụp cách điện đầu cực FCO (trên + dưới)</v>
      </c>
      <c r="G1902" s="1044" t="str">
        <f>VLOOKUP($B1902,DG!A:D,DG!$D$2,)</f>
        <v>bộ</v>
      </c>
      <c r="H1902" s="1823">
        <f t="shared" si="357"/>
        <v>3</v>
      </c>
      <c r="I1902" s="1823"/>
      <c r="J1902" s="1823"/>
      <c r="K1902" s="1822">
        <f>IFERROR(HLOOKUP(B1902,pp3p1m!$1:$3,3,0),0)</f>
        <v>3</v>
      </c>
      <c r="L1902" s="1823"/>
      <c r="M1902" s="1823"/>
      <c r="N1902" s="1823"/>
      <c r="O1902" s="1823"/>
      <c r="P1902" s="1823">
        <f>T1902</f>
        <v>3</v>
      </c>
      <c r="Q1902" s="1053"/>
      <c r="R1902" s="1059"/>
      <c r="S1902" s="1059"/>
      <c r="T1902" s="2035">
        <f>IFERROR(HLOOKUP(B1902,pp3p1m!$1:$3,3,0),0)</f>
        <v>3</v>
      </c>
    </row>
    <row r="1903" spans="1:20" ht="22.2" customHeight="1">
      <c r="A1903" s="59"/>
      <c r="B1903" s="1577" t="s">
        <v>6180</v>
      </c>
      <c r="C1903" s="1832" t="str">
        <f t="shared" si="358"/>
        <v>x</v>
      </c>
      <c r="D1903" s="1535"/>
      <c r="E1903" s="1044"/>
      <c r="F1903" s="1056" t="str">
        <f>VLOOKUP($B1903,DG!A:D,DG!$C$2,)</f>
        <v>Chụp cách điện đầu cực LA</v>
      </c>
      <c r="G1903" s="1044" t="str">
        <f>VLOOKUP($B1903,DG!A:D,DG!$D$2,)</f>
        <v>cái</v>
      </c>
      <c r="H1903" s="1823">
        <f t="shared" si="357"/>
        <v>3</v>
      </c>
      <c r="I1903" s="1823"/>
      <c r="J1903" s="1823"/>
      <c r="K1903" s="1822">
        <f>IFERROR(HLOOKUP(B1903,pp3p1m!$1:$3,3,0),0)</f>
        <v>3</v>
      </c>
      <c r="L1903" s="1823"/>
      <c r="M1903" s="1823"/>
      <c r="N1903" s="1823"/>
      <c r="O1903" s="1823"/>
      <c r="P1903" s="1823">
        <f t="shared" ref="P1903:P1904" si="359">T1903</f>
        <v>3</v>
      </c>
      <c r="Q1903" s="1053"/>
      <c r="R1903" s="1059"/>
      <c r="S1903" s="1059"/>
      <c r="T1903" s="2035">
        <f>IFERROR(HLOOKUP(B1903,pp3p1m!$1:$3,3,0),0)</f>
        <v>3</v>
      </c>
    </row>
    <row r="1904" spans="1:20" ht="22.2" customHeight="1">
      <c r="A1904" s="59"/>
      <c r="B1904" s="1577" t="s">
        <v>6168</v>
      </c>
      <c r="C1904" s="1832" t="str">
        <f t="shared" si="358"/>
        <v>x</v>
      </c>
      <c r="D1904" s="1535"/>
      <c r="E1904" s="1044"/>
      <c r="F1904" s="1056" t="str">
        <f>VLOOKUP($B1904,DG!A:D,DG!$C$2,)</f>
        <v>Ong co nhiệt</v>
      </c>
      <c r="G1904" s="1044" t="str">
        <f>VLOOKUP($B1904,DG!A:D,DG!$D$2,)</f>
        <v>m</v>
      </c>
      <c r="H1904" s="1823">
        <f t="shared" si="357"/>
        <v>1</v>
      </c>
      <c r="I1904" s="1823"/>
      <c r="J1904" s="1823"/>
      <c r="K1904" s="1822">
        <f>IFERROR(HLOOKUP(B1904,pp3p1m!$1:$3,3,0),0)</f>
        <v>1</v>
      </c>
      <c r="L1904" s="1823"/>
      <c r="M1904" s="1823"/>
      <c r="N1904" s="1823"/>
      <c r="O1904" s="1823"/>
      <c r="P1904" s="1823">
        <f t="shared" si="359"/>
        <v>1</v>
      </c>
      <c r="Q1904" s="1053"/>
      <c r="R1904" s="1059"/>
      <c r="S1904" s="1059"/>
      <c r="T1904" s="2035">
        <f>IFERROR(HLOOKUP(B1904,pp3p1m!$1:$3,3,0),0)</f>
        <v>1</v>
      </c>
    </row>
    <row r="1905" spans="1:20" ht="22.2" customHeight="1">
      <c r="A1905" s="59"/>
      <c r="B1905" s="1577" t="s">
        <v>6181</v>
      </c>
      <c r="C1905" s="1832" t="str">
        <f t="shared" si="345"/>
        <v>x</v>
      </c>
      <c r="D1905" s="1535"/>
      <c r="E1905" s="1044"/>
      <c r="F1905" s="1056" t="str">
        <f>VLOOKUP($B1905,DG!A:D,DG!$C$2,)</f>
        <v>Băng keo cách điện trung thế</v>
      </c>
      <c r="G1905" s="1044" t="str">
        <f>VLOOKUP($B1905,DG!A:D,DG!$D$2,)</f>
        <v>cuộn</v>
      </c>
      <c r="H1905" s="1823">
        <f t="shared" si="357"/>
        <v>1</v>
      </c>
      <c r="I1905" s="1823"/>
      <c r="J1905" s="1823"/>
      <c r="K1905" s="1822">
        <f>IFERROR(HLOOKUP(B1905,pp3p1m!$1:$3,3,0),0)</f>
        <v>1</v>
      </c>
      <c r="L1905" s="1823"/>
      <c r="M1905" s="1823"/>
      <c r="N1905" s="1823"/>
      <c r="O1905" s="1823"/>
      <c r="P1905" s="1823">
        <f>T1905</f>
        <v>1</v>
      </c>
      <c r="Q1905" s="1053"/>
      <c r="R1905" s="1059"/>
      <c r="S1905" s="1059"/>
      <c r="T1905" s="2035">
        <f>IFERROR(HLOOKUP(B1905,pp3p1m!$1:$3,3,0),0)</f>
        <v>1</v>
      </c>
    </row>
    <row r="1906" spans="1:20" ht="22.2" hidden="1" customHeight="1">
      <c r="A1906" s="1015"/>
      <c r="B1906" s="1571" t="s">
        <v>1573</v>
      </c>
      <c r="C1906" s="1013" t="str">
        <f t="shared" si="345"/>
        <v xml:space="preserve"> </v>
      </c>
      <c r="D1906" s="1535"/>
      <c r="E1906" s="1044"/>
      <c r="F1906" s="1056" t="str">
        <f>VLOOKUP($B1906,DG!A:D,DG!$C$2,)</f>
        <v>Biển số - Bảng nguy hiểm</v>
      </c>
      <c r="G1906" s="1044" t="str">
        <f>VLOOKUP($B1906,DG!A:D,DG!$D$2,)</f>
        <v>cái</v>
      </c>
      <c r="H1906" s="1823">
        <f>D1906</f>
        <v>0</v>
      </c>
      <c r="I1906" s="1823"/>
      <c r="J1906" s="1823"/>
      <c r="K1906" s="1822">
        <f>IFERROR(HLOOKUP(B1906,pp3p1m!$1:$3,3,0),0)</f>
        <v>0</v>
      </c>
      <c r="L1906" s="1823"/>
      <c r="M1906" s="1823"/>
      <c r="N1906" s="1823"/>
      <c r="O1906" s="1823"/>
      <c r="P1906" s="1823">
        <f t="shared" si="356"/>
        <v>0</v>
      </c>
      <c r="Q1906" s="1053"/>
      <c r="R1906" s="1053"/>
      <c r="S1906" s="1053"/>
      <c r="T1906" s="2035">
        <f>IFERROR(HLOOKUP(B1906,pp3p1m!$1:$3,3,0),0)</f>
        <v>0</v>
      </c>
    </row>
    <row r="1907" spans="1:20" ht="22.2" customHeight="1">
      <c r="A1907" s="1015"/>
      <c r="B1907" s="1571" t="s">
        <v>1272</v>
      </c>
      <c r="C1907" s="1832" t="str">
        <f t="shared" si="345"/>
        <v>x</v>
      </c>
      <c r="D1907" s="1533">
        <f>(E1757)/1000</f>
        <v>6.3E-2</v>
      </c>
      <c r="E1907" s="1044" t="str">
        <f>VLOOKUP($B1907,DG!A:D,DG!$B$2,)</f>
        <v>06.6114</v>
      </c>
      <c r="F1907" s="1049" t="str">
        <f>VLOOKUP($B1907,DG!A:D,DG!$C$2,)</f>
        <v>Kéo dây nhôm lõi thép cỡ dây 50mm2</v>
      </c>
      <c r="G1907" s="1044" t="str">
        <f>VLOOKUP($B1907,DG!A:D,DG!$D$2,)</f>
        <v>km</v>
      </c>
      <c r="H1907" s="1823">
        <f>D1907</f>
        <v>6.3E-2</v>
      </c>
      <c r="I1907" s="1823"/>
      <c r="J1907" s="1823"/>
      <c r="K1907" s="1822">
        <f>IFERROR(HLOOKUP(B1907,pp3p1m!$1:$3,3,0),0)</f>
        <v>0</v>
      </c>
      <c r="L1907" s="1823"/>
      <c r="M1907" s="1823"/>
      <c r="N1907" s="1823"/>
      <c r="O1907" s="1823"/>
      <c r="P1907" s="1823">
        <f>H1907</f>
        <v>6.3E-2</v>
      </c>
      <c r="Q1907" s="1053"/>
      <c r="R1907" s="1053"/>
      <c r="S1907" s="1053"/>
      <c r="T1907" s="2035">
        <f>IFERROR(HLOOKUP(B1907,pp3p1m!$1:$3,3,0),0)</f>
        <v>0</v>
      </c>
    </row>
    <row r="1908" spans="1:20" ht="22.2" hidden="1" customHeight="1">
      <c r="A1908" s="59"/>
      <c r="B1908" s="1577" t="s">
        <v>1417</v>
      </c>
      <c r="C1908" s="1013" t="str">
        <f t="shared" si="345"/>
        <v xml:space="preserve"> </v>
      </c>
      <c r="D1908" s="1533">
        <f>(E1756)/1000</f>
        <v>0</v>
      </c>
      <c r="E1908" s="1044" t="str">
        <f>VLOOKUP($B1908,DG!A:D,DG!$B$2,)</f>
        <v>06.6105</v>
      </c>
      <c r="F1908" s="1049" t="str">
        <f>VLOOKUP($B1908,DG!A:D,DG!$C$2,)</f>
        <v>Kéo dây nhôm lõi thép cỡ dây 70mm2</v>
      </c>
      <c r="G1908" s="1044" t="str">
        <f>VLOOKUP($B1908,DG!A:D,DG!$D$2,)</f>
        <v>km</v>
      </c>
      <c r="H1908" s="2132">
        <f t="shared" ref="H1908:H1934" si="360">D1908</f>
        <v>0</v>
      </c>
      <c r="I1908" s="1823"/>
      <c r="J1908" s="1823"/>
      <c r="K1908" s="1822">
        <f>IFERROR(HLOOKUP(B1908,pp3p1m!$1:$3,3,0),0)</f>
        <v>0</v>
      </c>
      <c r="L1908" s="1823"/>
      <c r="M1908" s="1823"/>
      <c r="N1908" s="1823"/>
      <c r="O1908" s="1823"/>
      <c r="P1908" s="1823">
        <f t="shared" si="356"/>
        <v>0</v>
      </c>
      <c r="Q1908" s="1053"/>
      <c r="R1908" s="1053"/>
      <c r="S1908" s="1053"/>
      <c r="T1908" s="2035">
        <f>IFERROR(HLOOKUP(B1908,pp3p1m!136:138,3,0),0)</f>
        <v>0</v>
      </c>
    </row>
    <row r="1909" spans="1:20" ht="22.2" hidden="1" customHeight="1">
      <c r="A1909" s="59"/>
      <c r="B1909" s="1577" t="s">
        <v>1527</v>
      </c>
      <c r="C1909" s="1013" t="str">
        <f t="shared" si="345"/>
        <v xml:space="preserve"> </v>
      </c>
      <c r="D1909" s="1533">
        <f>(E1755)/1000</f>
        <v>0</v>
      </c>
      <c r="E1909" s="1044" t="str">
        <f>VLOOKUP($B1909,DG!A:D,DG!$B$2,)</f>
        <v>06.6106</v>
      </c>
      <c r="F1909" s="1049" t="str">
        <f>VLOOKUP($B1909,DG!A:D,DG!$C$2,)</f>
        <v>Kéo dây nhôm lõi thép cỡ dây 95mm2</v>
      </c>
      <c r="G1909" s="1044" t="str">
        <f>VLOOKUP($B1909,DG!A:D,DG!$D$2,)</f>
        <v>km</v>
      </c>
      <c r="H1909" s="2132">
        <f t="shared" si="360"/>
        <v>0</v>
      </c>
      <c r="I1909" s="1823"/>
      <c r="J1909" s="1823"/>
      <c r="K1909" s="1822">
        <f>IFERROR(HLOOKUP(B1909,pp3p1m!$1:$3,3,0),0)</f>
        <v>0</v>
      </c>
      <c r="L1909" s="1823"/>
      <c r="M1909" s="1823"/>
      <c r="N1909" s="1823"/>
      <c r="O1909" s="1823"/>
      <c r="P1909" s="1823">
        <f t="shared" si="356"/>
        <v>0</v>
      </c>
      <c r="Q1909" s="1053"/>
      <c r="R1909" s="1053"/>
      <c r="S1909" s="1053"/>
      <c r="T1909" s="2035">
        <f>IFERROR(HLOOKUP(B1909,pp3p1m!137:139,3,0),0)</f>
        <v>0</v>
      </c>
    </row>
    <row r="1910" spans="1:20" ht="22.2" hidden="1" customHeight="1">
      <c r="A1910" s="59"/>
      <c r="B1910" s="1577" t="s">
        <v>139</v>
      </c>
      <c r="C1910" s="1013" t="str">
        <f t="shared" si="345"/>
        <v xml:space="preserve"> </v>
      </c>
      <c r="D1910" s="1533">
        <f>(E1754)/1000</f>
        <v>0</v>
      </c>
      <c r="E1910" s="1044" t="str">
        <f>VLOOKUP($B1910,DG!A:D,DG!$B$2,)</f>
        <v>06.6107</v>
      </c>
      <c r="F1910" s="1049" t="str">
        <f>VLOOKUP($B1910,DG!A:D,DG!$C$2,)</f>
        <v>Kéo dây nhôm lõi thép cỡ dây 120mm2</v>
      </c>
      <c r="G1910" s="1044" t="str">
        <f>VLOOKUP($B1910,DG!A:D,DG!$D$2,)</f>
        <v>km</v>
      </c>
      <c r="H1910" s="2132">
        <f t="shared" si="360"/>
        <v>0</v>
      </c>
      <c r="I1910" s="1823"/>
      <c r="J1910" s="1823"/>
      <c r="K1910" s="1822">
        <f>IFERROR(HLOOKUP(B1910,pp3p1m!$1:$3,3,0),0)</f>
        <v>0</v>
      </c>
      <c r="L1910" s="1823"/>
      <c r="M1910" s="1823"/>
      <c r="N1910" s="1823"/>
      <c r="O1910" s="1823"/>
      <c r="P1910" s="1823">
        <f t="shared" si="356"/>
        <v>0</v>
      </c>
      <c r="Q1910" s="1053"/>
      <c r="R1910" s="1053"/>
      <c r="S1910" s="1053"/>
      <c r="T1910" s="2035">
        <f>IFERROR(HLOOKUP(B1910,pp3p1m!138:140,3,0),0)</f>
        <v>0</v>
      </c>
    </row>
    <row r="1911" spans="1:20" ht="22.2" hidden="1" customHeight="1">
      <c r="A1911" s="59"/>
      <c r="B1911" s="1577" t="s">
        <v>791</v>
      </c>
      <c r="C1911" s="1013" t="str">
        <f t="shared" si="345"/>
        <v xml:space="preserve"> </v>
      </c>
      <c r="D1911" s="1533">
        <f>(E1753)/1000</f>
        <v>0</v>
      </c>
      <c r="E1911" s="1044" t="str">
        <f>VLOOKUP($B1911,DG!A:D,DG!$B$2,)</f>
        <v>06.6108</v>
      </c>
      <c r="F1911" s="1049" t="str">
        <f>VLOOKUP($B1911,DG!A:D,DG!$C$2,)</f>
        <v>Kéo dây nhôm lõi thép cỡ dây 150mm2</v>
      </c>
      <c r="G1911" s="1044" t="str">
        <f>VLOOKUP($B1911,DG!A:D,DG!$D$2,)</f>
        <v>km</v>
      </c>
      <c r="H1911" s="2132">
        <f t="shared" si="360"/>
        <v>0</v>
      </c>
      <c r="I1911" s="1823"/>
      <c r="J1911" s="1823"/>
      <c r="K1911" s="1822">
        <f>IFERROR(HLOOKUP(B1911,pp3p1m!$1:$3,3,0),0)</f>
        <v>0</v>
      </c>
      <c r="L1911" s="1823"/>
      <c r="M1911" s="1823"/>
      <c r="N1911" s="1823"/>
      <c r="O1911" s="1823"/>
      <c r="P1911" s="1823">
        <f t="shared" si="356"/>
        <v>0</v>
      </c>
      <c r="Q1911" s="1053"/>
      <c r="R1911" s="1053"/>
      <c r="S1911" s="1053"/>
      <c r="T1911" s="2035">
        <f>IFERROR(HLOOKUP(B1911,pp3p1m!139:141,3,0),0)</f>
        <v>0</v>
      </c>
    </row>
    <row r="1912" spans="1:20" ht="22.2" hidden="1" customHeight="1">
      <c r="A1912" s="59"/>
      <c r="B1912" s="1577" t="s">
        <v>140</v>
      </c>
      <c r="C1912" s="1013" t="str">
        <f t="shared" si="345"/>
        <v xml:space="preserve"> </v>
      </c>
      <c r="D1912" s="1533">
        <f>(E1752)/1000</f>
        <v>0</v>
      </c>
      <c r="E1912" s="1044" t="str">
        <f>VLOOKUP($B1912,DG!A:D,DG!$B$2,)</f>
        <v>06.6109</v>
      </c>
      <c r="F1912" s="1049" t="str">
        <f>VLOOKUP($B1912,DG!A:D,DG!$C$2,)</f>
        <v>Kéo dây nhôm lõi thép cỡ dây 185mm2</v>
      </c>
      <c r="G1912" s="1044" t="str">
        <f>VLOOKUP($B1912,DG!A:D,DG!$D$2,)</f>
        <v>km</v>
      </c>
      <c r="H1912" s="2132">
        <f t="shared" si="360"/>
        <v>0</v>
      </c>
      <c r="I1912" s="1823"/>
      <c r="J1912" s="1823"/>
      <c r="K1912" s="1822">
        <f>IFERROR(HLOOKUP(B1912,pp3p1m!$1:$3,3,0),0)</f>
        <v>0</v>
      </c>
      <c r="L1912" s="1823"/>
      <c r="M1912" s="1823"/>
      <c r="N1912" s="1823"/>
      <c r="O1912" s="1823"/>
      <c r="P1912" s="1823">
        <f t="shared" si="356"/>
        <v>0</v>
      </c>
      <c r="Q1912" s="1053"/>
      <c r="R1912" s="1053"/>
      <c r="S1912" s="1053"/>
      <c r="T1912" s="2035">
        <f>IFERROR(HLOOKUP(B1912,pp3p1m!140:142,3,0),0)</f>
        <v>0</v>
      </c>
    </row>
    <row r="1913" spans="1:20" ht="22.2" hidden="1" customHeight="1">
      <c r="A1913" s="59"/>
      <c r="B1913" s="1577" t="s">
        <v>711</v>
      </c>
      <c r="C1913" s="1013" t="str">
        <f t="shared" si="345"/>
        <v xml:space="preserve"> </v>
      </c>
      <c r="D1913" s="1533">
        <f>(E1751)/1000</f>
        <v>0</v>
      </c>
      <c r="E1913" s="1044" t="str">
        <f>VLOOKUP($B1913,DG!A:D,DG!$B$2,)</f>
        <v>06.6110</v>
      </c>
      <c r="F1913" s="1049" t="str">
        <f>VLOOKUP($B1913,DG!A:D,DG!$C$2,)</f>
        <v>Kéo dây nhôm lõi thép cỡ dây 240mm2</v>
      </c>
      <c r="G1913" s="1044" t="str">
        <f>VLOOKUP($B1913,DG!A:D,DG!$D$2,)</f>
        <v>km</v>
      </c>
      <c r="H1913" s="2132">
        <f t="shared" si="360"/>
        <v>0</v>
      </c>
      <c r="I1913" s="1823"/>
      <c r="J1913" s="1823"/>
      <c r="K1913" s="1822">
        <f>IFERROR(HLOOKUP(B1913,pp3p1m!$1:$3,3,0),0)</f>
        <v>0</v>
      </c>
      <c r="L1913" s="1823"/>
      <c r="M1913" s="1823"/>
      <c r="N1913" s="1823"/>
      <c r="O1913" s="1823"/>
      <c r="P1913" s="1823">
        <f t="shared" si="356"/>
        <v>0</v>
      </c>
      <c r="Q1913" s="1053"/>
      <c r="R1913" s="1053"/>
      <c r="S1913" s="1053"/>
      <c r="T1913" s="2035">
        <f>IFERROR(HLOOKUP(B1913,pp3p1m!141:143,3,0),0)</f>
        <v>0</v>
      </c>
    </row>
    <row r="1914" spans="1:20" ht="22.2" customHeight="1">
      <c r="A1914" s="1015"/>
      <c r="B1914" s="1571" t="s">
        <v>366</v>
      </c>
      <c r="C1914" s="1832" t="str">
        <f t="shared" si="345"/>
        <v>x</v>
      </c>
      <c r="D1914" s="1533">
        <f>E1758/1000</f>
        <v>0.189</v>
      </c>
      <c r="E1914" s="1044" t="str">
        <f>VLOOKUP($B1914,DG!A:D,DG!$B$2,)</f>
        <v>06.6114</v>
      </c>
      <c r="F1914" s="1049" t="str">
        <f>VLOOKUP($B1914,DG!A:D,DG!$C$2,)</f>
        <v>Kéo dây nhôm bọc cỡ dây 50mm2</v>
      </c>
      <c r="G1914" s="1044" t="str">
        <f>VLOOKUP($B1914,DG!A:D,DG!$D$2,)</f>
        <v>km</v>
      </c>
      <c r="H1914" s="1823">
        <f t="shared" si="360"/>
        <v>0.189</v>
      </c>
      <c r="I1914" s="1823"/>
      <c r="J1914" s="1823"/>
      <c r="K1914" s="1822">
        <f>IFERROR(HLOOKUP(B1914,pp3p1m!$1:$3,3,0),0)</f>
        <v>0</v>
      </c>
      <c r="L1914" s="1823"/>
      <c r="M1914" s="1823"/>
      <c r="N1914" s="1823"/>
      <c r="O1914" s="1823"/>
      <c r="P1914" s="1823">
        <f>H1914</f>
        <v>0.189</v>
      </c>
      <c r="Q1914" s="1053"/>
      <c r="R1914" s="1053"/>
      <c r="S1914" s="1053"/>
      <c r="T1914" s="2035">
        <f>IFERROR(HLOOKUP(B1914,pp3p1m!$1:$3,3,0),0)</f>
        <v>0</v>
      </c>
    </row>
    <row r="1915" spans="1:20" ht="22.2" hidden="1" customHeight="1">
      <c r="A1915" s="59"/>
      <c r="B1915" s="1577" t="s">
        <v>679</v>
      </c>
      <c r="C1915" s="1013" t="str">
        <f t="shared" si="345"/>
        <v xml:space="preserve"> </v>
      </c>
      <c r="D1915" s="1533">
        <f>E1768/1000</f>
        <v>0</v>
      </c>
      <c r="E1915" s="1044" t="str">
        <f>VLOOKUP($B1915,DG!A:D,DG!$B$2,)</f>
        <v>06.6142</v>
      </c>
      <c r="F1915" s="1049" t="str">
        <f>VLOOKUP($B1915,DG!A:D,DG!$C$2,)</f>
        <v>Kéo dây đồng trần 25mm2</v>
      </c>
      <c r="G1915" s="1044" t="str">
        <f>VLOOKUP($B1915,DG!A:D,DG!$D$2,)</f>
        <v>km</v>
      </c>
      <c r="H1915" s="2132">
        <f t="shared" si="360"/>
        <v>0</v>
      </c>
      <c r="I1915" s="1823"/>
      <c r="J1915" s="1823"/>
      <c r="K1915" s="1822">
        <f>IFERROR(HLOOKUP(B1915,pp3p1m!$1:$3,3,0),0)</f>
        <v>0</v>
      </c>
      <c r="L1915" s="1823"/>
      <c r="M1915" s="1823"/>
      <c r="N1915" s="1823"/>
      <c r="O1915" s="1823"/>
      <c r="P1915" s="1823">
        <f t="shared" si="356"/>
        <v>0</v>
      </c>
      <c r="Q1915" s="1064"/>
      <c r="R1915" s="1064"/>
      <c r="S1915" s="1064"/>
      <c r="T1915" s="2035">
        <f>IFERROR(HLOOKUP(B1915,pp3p1m!143:145,3,0),0)</f>
        <v>0</v>
      </c>
    </row>
    <row r="1916" spans="1:20" ht="22.2" hidden="1" customHeight="1">
      <c r="A1916" s="59"/>
      <c r="B1916" s="1577" t="s">
        <v>97</v>
      </c>
      <c r="C1916" s="1013" t="str">
        <f t="shared" ref="C1916:C1981" si="361">IF(OR(P1916&lt;&gt;0,H1916&lt;&gt;0),"x"," ")</f>
        <v xml:space="preserve"> </v>
      </c>
      <c r="D1916" s="1533">
        <f>E1766/1000</f>
        <v>0</v>
      </c>
      <c r="E1916" s="1044" t="str">
        <f>VLOOKUP($B1916,DG!A:D,DG!$B$2,)</f>
        <v>06.6142</v>
      </c>
      <c r="F1916" s="1049" t="str">
        <f>VLOOKUP($B1916,DG!A:D,DG!$C$2,)</f>
        <v>Kéo dây đồng bọc 25mm2</v>
      </c>
      <c r="G1916" s="1044" t="str">
        <f>VLOOKUP($B1916,DG!A:D,DG!$D$2,)</f>
        <v>km</v>
      </c>
      <c r="H1916" s="2132">
        <f t="shared" si="360"/>
        <v>0</v>
      </c>
      <c r="I1916" s="1823"/>
      <c r="J1916" s="1823"/>
      <c r="K1916" s="1822">
        <f>IFERROR(HLOOKUP(B1916,pp3p1m!$1:$3,3,0),0)</f>
        <v>0</v>
      </c>
      <c r="L1916" s="1823"/>
      <c r="M1916" s="1823"/>
      <c r="N1916" s="1823"/>
      <c r="O1916" s="1823"/>
      <c r="P1916" s="1823">
        <f t="shared" si="356"/>
        <v>0</v>
      </c>
      <c r="Q1916" s="1064"/>
      <c r="R1916" s="1064"/>
      <c r="S1916" s="1064"/>
      <c r="T1916" s="2035">
        <f>IFERROR(HLOOKUP(B1916,pp3p1m!144:146,3,0),0)</f>
        <v>0</v>
      </c>
    </row>
    <row r="1917" spans="1:20" ht="22.2" hidden="1" customHeight="1">
      <c r="A1917" s="59"/>
      <c r="B1917" s="1577" t="s">
        <v>252</v>
      </c>
      <c r="C1917" s="1013" t="str">
        <f t="shared" si="361"/>
        <v xml:space="preserve"> </v>
      </c>
      <c r="D1917" s="1533">
        <f>E1767/1000</f>
        <v>0</v>
      </c>
      <c r="E1917" s="1044" t="str">
        <f>VLOOKUP($B1917,DG!A:D,DG!$B$2,)</f>
        <v>06.6144</v>
      </c>
      <c r="F1917" s="1049" t="str">
        <f>VLOOKUP($B1917,DG!A:D,DG!$C$2,)</f>
        <v>Kéo dây đồng bọc 50mm3</v>
      </c>
      <c r="G1917" s="1044" t="str">
        <f>VLOOKUP($B1917,DG!A:D,DG!$D$2,)</f>
        <v>km</v>
      </c>
      <c r="H1917" s="2132">
        <f t="shared" si="360"/>
        <v>0</v>
      </c>
      <c r="I1917" s="1823"/>
      <c r="J1917" s="1823"/>
      <c r="K1917" s="1822">
        <f>IFERROR(HLOOKUP(B1917,pp3p1m!$1:$3,3,0),0)</f>
        <v>0</v>
      </c>
      <c r="L1917" s="1823"/>
      <c r="M1917" s="1823"/>
      <c r="N1917" s="1823"/>
      <c r="O1917" s="1823"/>
      <c r="P1917" s="1823">
        <f t="shared" si="356"/>
        <v>0</v>
      </c>
      <c r="Q1917" s="1064"/>
      <c r="R1917" s="1064"/>
      <c r="S1917" s="1064"/>
      <c r="T1917" s="2035">
        <f>IFERROR(HLOOKUP(B1917,pp3p1m!145:147,3,0),0)</f>
        <v>0</v>
      </c>
    </row>
    <row r="1918" spans="1:20" ht="22.2" hidden="1" customHeight="1">
      <c r="A1918" s="59"/>
      <c r="B1918" s="1584" t="s">
        <v>451</v>
      </c>
      <c r="C1918" s="1013" t="str">
        <f t="shared" si="361"/>
        <v xml:space="preserve"> </v>
      </c>
      <c r="D1918" s="1533">
        <f>E1765/1000</f>
        <v>0</v>
      </c>
      <c r="E1918" s="1044" t="str">
        <f>VLOOKUP($B1918,DG!A:D,DG!$B$2,)</f>
        <v>06.6124</v>
      </c>
      <c r="F1918" s="1049" t="str">
        <f>VLOOKUP($B1918,DG!A:D,DG!$C$2,)</f>
        <v>Kéo dây nhôm bọc 50mm2</v>
      </c>
      <c r="G1918" s="1044" t="str">
        <f>VLOOKUP($B1918,DG!A:D,DG!$D$2,)</f>
        <v>km</v>
      </c>
      <c r="H1918" s="2132">
        <f t="shared" si="360"/>
        <v>0</v>
      </c>
      <c r="I1918" s="1823"/>
      <c r="J1918" s="1823"/>
      <c r="K1918" s="1822">
        <f>IFERROR(HLOOKUP(B1918,pp3p1m!$1:$3,3,0),0)</f>
        <v>0</v>
      </c>
      <c r="L1918" s="1823"/>
      <c r="M1918" s="1823"/>
      <c r="N1918" s="1823"/>
      <c r="O1918" s="1823"/>
      <c r="P1918" s="1823">
        <f t="shared" si="356"/>
        <v>0</v>
      </c>
      <c r="Q1918" s="1064"/>
      <c r="R1918" s="1064"/>
      <c r="S1918" s="1064"/>
      <c r="T1918" s="2035">
        <f>IFERROR(HLOOKUP(B1918,pp3p1m!146:148,3,0),0)</f>
        <v>0</v>
      </c>
    </row>
    <row r="1919" spans="1:20" ht="22.2" hidden="1" customHeight="1">
      <c r="A1919" s="59"/>
      <c r="B1919" s="1584" t="s">
        <v>79</v>
      </c>
      <c r="C1919" s="1013" t="str">
        <f t="shared" si="361"/>
        <v xml:space="preserve"> </v>
      </c>
      <c r="D1919" s="1533">
        <f>E1764/1000</f>
        <v>0</v>
      </c>
      <c r="E1919" s="1044" t="str">
        <f>VLOOKUP($B1919,DG!A:D,DG!$B$2,)</f>
        <v>06.6105</v>
      </c>
      <c r="F1919" s="1049" t="str">
        <f>VLOOKUP($B1919,DG!A:D,DG!$C$2,)</f>
        <v>Kéo dây nhôm bọc 70mm2</v>
      </c>
      <c r="G1919" s="1044" t="str">
        <f>VLOOKUP($B1919,DG!A:D,DG!$D$2,)</f>
        <v>km</v>
      </c>
      <c r="H1919" s="2132">
        <f t="shared" si="360"/>
        <v>0</v>
      </c>
      <c r="I1919" s="1823"/>
      <c r="J1919" s="1823"/>
      <c r="K1919" s="1822">
        <f>IFERROR(HLOOKUP(B1919,pp3p1m!$1:$3,3,0),0)</f>
        <v>0</v>
      </c>
      <c r="L1919" s="1823"/>
      <c r="M1919" s="1823"/>
      <c r="N1919" s="1823"/>
      <c r="O1919" s="1823"/>
      <c r="P1919" s="1823">
        <f t="shared" si="356"/>
        <v>0</v>
      </c>
      <c r="Q1919" s="1053"/>
      <c r="R1919" s="1053"/>
      <c r="S1919" s="1053"/>
      <c r="T1919" s="2035">
        <f>IFERROR(HLOOKUP(B1919,pp3p1m!147:149,3,0),0)</f>
        <v>0</v>
      </c>
    </row>
    <row r="1920" spans="1:20" ht="22.2" hidden="1" customHeight="1">
      <c r="A1920" s="59"/>
      <c r="B1920" s="1584" t="s">
        <v>1512</v>
      </c>
      <c r="C1920" s="1013" t="str">
        <f t="shared" si="361"/>
        <v xml:space="preserve"> </v>
      </c>
      <c r="D1920" s="1533">
        <f>E1763/1000</f>
        <v>0</v>
      </c>
      <c r="E1920" s="1044" t="str">
        <f>VLOOKUP($B1920,DG!A:D,DG!$B$2,)</f>
        <v>06.6106</v>
      </c>
      <c r="F1920" s="1049" t="str">
        <f>VLOOKUP($B1920,DG!A:D,DG!$C$2,)</f>
        <v>Kéo dây nhôm bọc 95mm2</v>
      </c>
      <c r="G1920" s="1044" t="str">
        <f>VLOOKUP($B1920,DG!A:D,DG!$D$2,)</f>
        <v>km</v>
      </c>
      <c r="H1920" s="2132">
        <f t="shared" si="360"/>
        <v>0</v>
      </c>
      <c r="I1920" s="1823"/>
      <c r="J1920" s="1823"/>
      <c r="K1920" s="1822">
        <f>IFERROR(HLOOKUP(B1920,pp3p1m!$1:$3,3,0),0)</f>
        <v>0</v>
      </c>
      <c r="L1920" s="1823"/>
      <c r="M1920" s="1823"/>
      <c r="N1920" s="1823"/>
      <c r="O1920" s="1823"/>
      <c r="P1920" s="1823">
        <f t="shared" si="356"/>
        <v>0</v>
      </c>
      <c r="Q1920" s="1053"/>
      <c r="R1920" s="1053"/>
      <c r="S1920" s="1053"/>
      <c r="T1920" s="2035">
        <f>IFERROR(HLOOKUP(B1920,pp3p1m!148:150,3,0),0)</f>
        <v>0</v>
      </c>
    </row>
    <row r="1921" spans="1:20" ht="22.2" hidden="1" customHeight="1">
      <c r="A1921" s="59"/>
      <c r="B1921" s="1584" t="s">
        <v>1174</v>
      </c>
      <c r="C1921" s="1013" t="str">
        <f t="shared" si="361"/>
        <v xml:space="preserve"> </v>
      </c>
      <c r="D1921" s="1533">
        <f>E1762/1000</f>
        <v>0</v>
      </c>
      <c r="E1921" s="1044" t="str">
        <f>VLOOKUP($B1921,DG!A:D,DG!$B$2,)</f>
        <v>06.6107</v>
      </c>
      <c r="F1921" s="1049" t="str">
        <f>VLOOKUP($B1921,DG!A:D,DG!$C$2,)</f>
        <v>Kéo dây nhôm bọc 120mm2</v>
      </c>
      <c r="G1921" s="1044" t="str">
        <f>VLOOKUP($B1921,DG!A:D,DG!$D$2,)</f>
        <v>km</v>
      </c>
      <c r="H1921" s="2132">
        <f t="shared" si="360"/>
        <v>0</v>
      </c>
      <c r="I1921" s="1823"/>
      <c r="J1921" s="1823"/>
      <c r="K1921" s="1822">
        <f>IFERROR(HLOOKUP(B1921,pp3p1m!$1:$3,3,0),0)</f>
        <v>0</v>
      </c>
      <c r="L1921" s="1823"/>
      <c r="M1921" s="1823"/>
      <c r="N1921" s="1823"/>
      <c r="O1921" s="1823"/>
      <c r="P1921" s="1823">
        <f t="shared" si="356"/>
        <v>0</v>
      </c>
      <c r="Q1921" s="1053"/>
      <c r="R1921" s="1053"/>
      <c r="S1921" s="1053"/>
      <c r="T1921" s="2035">
        <f>IFERROR(HLOOKUP(B1921,pp3p1m!149:151,3,0),0)</f>
        <v>0</v>
      </c>
    </row>
    <row r="1922" spans="1:20" ht="22.2" hidden="1" customHeight="1">
      <c r="A1922" s="59"/>
      <c r="B1922" s="1584" t="s">
        <v>924</v>
      </c>
      <c r="C1922" s="1013" t="str">
        <f t="shared" si="361"/>
        <v xml:space="preserve"> </v>
      </c>
      <c r="D1922" s="1533">
        <f>E1761/1000</f>
        <v>0</v>
      </c>
      <c r="E1922" s="1044" t="str">
        <f>VLOOKUP($B1922,DG!A:D,DG!$B$2,)</f>
        <v>06.6108</v>
      </c>
      <c r="F1922" s="1049" t="str">
        <f>VLOOKUP($B1922,DG!A:D,DG!$C$2,)</f>
        <v>Kéo dây nhôm bọc 150mm2</v>
      </c>
      <c r="G1922" s="1044" t="str">
        <f>VLOOKUP($B1922,DG!A:D,DG!$D$2,)</f>
        <v>km</v>
      </c>
      <c r="H1922" s="2132">
        <f t="shared" si="360"/>
        <v>0</v>
      </c>
      <c r="I1922" s="1823"/>
      <c r="J1922" s="1823"/>
      <c r="K1922" s="1822">
        <f>IFERROR(HLOOKUP(B1922,pp3p1m!$1:$3,3,0),0)</f>
        <v>0</v>
      </c>
      <c r="L1922" s="1823"/>
      <c r="M1922" s="1823"/>
      <c r="N1922" s="1823"/>
      <c r="O1922" s="1823"/>
      <c r="P1922" s="1823">
        <f t="shared" si="356"/>
        <v>0</v>
      </c>
      <c r="Q1922" s="1053"/>
      <c r="R1922" s="1053"/>
      <c r="S1922" s="1053"/>
      <c r="T1922" s="2035">
        <f>IFERROR(HLOOKUP(B1922,pp3p1m!150:152,3,0),0)</f>
        <v>0</v>
      </c>
    </row>
    <row r="1923" spans="1:20" ht="22.2" hidden="1" customHeight="1">
      <c r="A1923" s="59"/>
      <c r="B1923" s="1584" t="s">
        <v>925</v>
      </c>
      <c r="C1923" s="1013" t="str">
        <f t="shared" si="361"/>
        <v xml:space="preserve"> </v>
      </c>
      <c r="D1923" s="1533">
        <f>E1760/1000</f>
        <v>0</v>
      </c>
      <c r="E1923" s="1044" t="str">
        <f>VLOOKUP($B1923,DG!A:D,DG!$B$2,)</f>
        <v>06.6109</v>
      </c>
      <c r="F1923" s="1049" t="str">
        <f>VLOOKUP($B1923,DG!A:D,DG!$C$2,)</f>
        <v>Kéo dây nhôm bọc 185mm2</v>
      </c>
      <c r="G1923" s="1044" t="str">
        <f>VLOOKUP($B1923,DG!A:D,DG!$D$2,)</f>
        <v>km</v>
      </c>
      <c r="H1923" s="2132">
        <f t="shared" si="360"/>
        <v>0</v>
      </c>
      <c r="I1923" s="1823"/>
      <c r="J1923" s="1823"/>
      <c r="K1923" s="1822">
        <f>IFERROR(HLOOKUP(B1923,pp3p1m!$1:$3,3,0),0)</f>
        <v>0</v>
      </c>
      <c r="L1923" s="1823"/>
      <c r="M1923" s="1823"/>
      <c r="N1923" s="1823"/>
      <c r="O1923" s="1823"/>
      <c r="P1923" s="1823">
        <f t="shared" si="356"/>
        <v>0</v>
      </c>
      <c r="Q1923" s="1053"/>
      <c r="R1923" s="1053"/>
      <c r="S1923" s="1053"/>
      <c r="T1923" s="2035">
        <f>IFERROR(HLOOKUP(B1923,pp3p1m!151:153,3,0),0)</f>
        <v>0</v>
      </c>
    </row>
    <row r="1924" spans="1:20" ht="22.2" hidden="1" customHeight="1">
      <c r="A1924" s="59"/>
      <c r="B1924" s="1584" t="s">
        <v>1444</v>
      </c>
      <c r="C1924" s="1013" t="str">
        <f t="shared" si="361"/>
        <v xml:space="preserve"> </v>
      </c>
      <c r="D1924" s="1533">
        <f>E1759/1000</f>
        <v>0</v>
      </c>
      <c r="E1924" s="1044" t="str">
        <f>VLOOKUP($B1924,DG!A:D,DG!$B$2,)</f>
        <v>06.6110</v>
      </c>
      <c r="F1924" s="1049" t="str">
        <f>VLOOKUP($B1924,DG!A:D,DG!$C$2,)</f>
        <v>Kéo dây nhôm bọc 240mm2</v>
      </c>
      <c r="G1924" s="1044" t="str">
        <f>VLOOKUP($B1924,DG!A:D,DG!$D$2,)</f>
        <v>km</v>
      </c>
      <c r="H1924" s="2132">
        <f t="shared" si="360"/>
        <v>0</v>
      </c>
      <c r="I1924" s="1823"/>
      <c r="J1924" s="1823"/>
      <c r="K1924" s="1822">
        <f>IFERROR(HLOOKUP(B1924,pp3p1m!$1:$3,3,0),0)</f>
        <v>0</v>
      </c>
      <c r="L1924" s="1823"/>
      <c r="M1924" s="1823"/>
      <c r="N1924" s="1823"/>
      <c r="O1924" s="1823"/>
      <c r="P1924" s="1823">
        <f t="shared" si="356"/>
        <v>0</v>
      </c>
      <c r="Q1924" s="1053"/>
      <c r="R1924" s="1053"/>
      <c r="S1924" s="1053"/>
      <c r="T1924" s="2035">
        <f>IFERROR(HLOOKUP(B1924,pp3p1m!152:154,3,0),0)</f>
        <v>0</v>
      </c>
    </row>
    <row r="1925" spans="1:20" ht="22.2" hidden="1" customHeight="1">
      <c r="A1925" s="59"/>
      <c r="B1925" s="1577" t="s">
        <v>1510</v>
      </c>
      <c r="C1925" s="1013" t="str">
        <f t="shared" si="361"/>
        <v xml:space="preserve"> </v>
      </c>
      <c r="D1925" s="1535"/>
      <c r="E1925" s="1044" t="str">
        <f>VLOOKUP($B1925,DG!A:D,DG!$B$2,)</f>
        <v>06.2201</v>
      </c>
      <c r="F1925" s="1049" t="s">
        <v>2553</v>
      </c>
      <c r="G1925" s="1044" t="str">
        <f>VLOOKUP($B1925,DG!A:D,DG!$D$2,)</f>
        <v>chuỗi</v>
      </c>
      <c r="H1925" s="2132">
        <f t="shared" si="360"/>
        <v>0</v>
      </c>
      <c r="I1925" s="1823"/>
      <c r="J1925" s="1823"/>
      <c r="K1925" s="1822">
        <f>IFERROR(HLOOKUP(B1925,pp3p1m!$1:$3,3,0),0)</f>
        <v>0</v>
      </c>
      <c r="L1925" s="1823"/>
      <c r="M1925" s="1823"/>
      <c r="N1925" s="1823"/>
      <c r="O1925" s="1823"/>
      <c r="P1925" s="1823">
        <f t="shared" si="356"/>
        <v>0</v>
      </c>
      <c r="Q1925" s="1058"/>
      <c r="R1925" s="1058"/>
      <c r="S1925" s="1058"/>
      <c r="T1925" s="2035">
        <f>IFERROR(HLOOKUP(B1925,pp3p1m!153:155,3,0),0)</f>
        <v>0</v>
      </c>
    </row>
    <row r="1926" spans="1:20" ht="22.2" hidden="1" customHeight="1">
      <c r="A1926" s="59"/>
      <c r="B1926" s="1577" t="s">
        <v>347</v>
      </c>
      <c r="C1926" s="1013" t="str">
        <f t="shared" si="361"/>
        <v xml:space="preserve"> </v>
      </c>
      <c r="D1926" s="1535"/>
      <c r="E1926" s="1044" t="str">
        <f>VLOOKUP($B1926,DG!A:D,DG!$B$2,)</f>
        <v>06.1115</v>
      </c>
      <c r="F1926" s="1049" t="s">
        <v>2554</v>
      </c>
      <c r="G1926" s="1044" t="str">
        <f>VLOOKUP($B1926,DG!A:D,DG!$D$2,)</f>
        <v>bộ</v>
      </c>
      <c r="H1926" s="2132">
        <f t="shared" si="360"/>
        <v>0</v>
      </c>
      <c r="I1926" s="1823"/>
      <c r="J1926" s="1823"/>
      <c r="K1926" s="1822">
        <f>IFERROR(HLOOKUP(B1926,pp3p1m!$1:$3,3,0),0)</f>
        <v>0</v>
      </c>
      <c r="L1926" s="1823"/>
      <c r="M1926" s="1823"/>
      <c r="N1926" s="1823"/>
      <c r="O1926" s="1823"/>
      <c r="P1926" s="1823">
        <f t="shared" si="356"/>
        <v>0</v>
      </c>
      <c r="Q1926" s="1053"/>
      <c r="R1926" s="1053"/>
      <c r="S1926" s="1053"/>
      <c r="T1926" s="2035">
        <f>IFERROR(HLOOKUP(B1926,pp3p1m!154:156,3,0),0)</f>
        <v>0</v>
      </c>
    </row>
    <row r="1927" spans="1:20" ht="22.2" customHeight="1">
      <c r="A1927" s="1015"/>
      <c r="B1927" s="1571" t="s">
        <v>347</v>
      </c>
      <c r="C1927" s="1832" t="str">
        <f t="shared" ca="1" si="361"/>
        <v>x</v>
      </c>
      <c r="D1927" s="1535">
        <f ca="1">SUMIF(pp3p1m!1:3,pp3p1m!DE1,pp3p1m!3:3)</f>
        <v>8</v>
      </c>
      <c r="E1927" s="1044" t="str">
        <f>VLOOKUP($B1927,DG!A:D,DG!$B$2,)</f>
        <v>06.1115</v>
      </c>
      <c r="F1927" s="1049" t="str">
        <f>VLOOKUP($B1927,DG!A:D,DG!$C$2,)</f>
        <v>Lắp sứ đứng 24KV</v>
      </c>
      <c r="G1927" s="1044" t="str">
        <f>VLOOKUP($B1927,DG!A:D,DG!$D$2,)</f>
        <v>bộ</v>
      </c>
      <c r="H1927" s="1823">
        <f t="shared" ca="1" si="360"/>
        <v>8</v>
      </c>
      <c r="I1927" s="1823"/>
      <c r="J1927" s="1823"/>
      <c r="K1927" s="1822">
        <f>IFERROR(HLOOKUP(B1927,pp3p1m!$1:$3,3,0),0)</f>
        <v>0</v>
      </c>
      <c r="L1927" s="1823"/>
      <c r="M1927" s="1823"/>
      <c r="N1927" s="1823"/>
      <c r="O1927" s="1823"/>
      <c r="P1927" s="1823">
        <f ca="1">H1927</f>
        <v>8</v>
      </c>
      <c r="Q1927" s="1053"/>
      <c r="R1927" s="1053"/>
      <c r="S1927" s="1053"/>
      <c r="T1927" s="2035">
        <f>IFERROR(HLOOKUP(B1927,pp3p1m!$1:$3,3,0),0)</f>
        <v>0</v>
      </c>
    </row>
    <row r="1928" spans="1:20" ht="22.2" hidden="1" customHeight="1">
      <c r="A1928" s="59"/>
      <c r="B1928" s="1577" t="s">
        <v>1230</v>
      </c>
      <c r="C1928" s="1013" t="str">
        <f t="shared" si="361"/>
        <v xml:space="preserve"> </v>
      </c>
      <c r="D1928" s="1535">
        <f>D1796*0</f>
        <v>0</v>
      </c>
      <c r="E1928" s="1044" t="str">
        <f>VLOOKUP($B1928,DG!A:D,DG!$B$2,)</f>
        <v>06.1115</v>
      </c>
      <c r="F1928" s="1049" t="str">
        <f>VLOOKUP($B1928,DG!A:D,DG!$C$2,)</f>
        <v>Tháo sứ đứng 24KV</v>
      </c>
      <c r="G1928" s="1044" t="str">
        <f>VLOOKUP($B1928,DG!A:D,DG!$D$2,)</f>
        <v>bộ</v>
      </c>
      <c r="H1928" s="2132">
        <f t="shared" si="360"/>
        <v>0</v>
      </c>
      <c r="I1928" s="1823"/>
      <c r="J1928" s="1823"/>
      <c r="K1928" s="1822">
        <f>IFERROR(HLOOKUP(B1928,pp3p1m!$1:$3,3,0),0)</f>
        <v>0</v>
      </c>
      <c r="L1928" s="1823"/>
      <c r="M1928" s="1823"/>
      <c r="N1928" s="1823"/>
      <c r="O1928" s="1823"/>
      <c r="P1928" s="1823">
        <f t="shared" si="356"/>
        <v>0</v>
      </c>
      <c r="Q1928" s="1053"/>
      <c r="R1928" s="1053"/>
      <c r="S1928" s="1053"/>
      <c r="T1928" s="2035">
        <f>IFERROR(HLOOKUP(B1928,pp3p1m!156:158,3,0),0)</f>
        <v>0</v>
      </c>
    </row>
    <row r="1929" spans="1:20" ht="22.2" hidden="1" customHeight="1">
      <c r="A1929" s="59"/>
      <c r="B1929" s="1577" t="s">
        <v>348</v>
      </c>
      <c r="C1929" s="1013" t="str">
        <f t="shared" si="361"/>
        <v xml:space="preserve"> </v>
      </c>
      <c r="D1929" s="1535">
        <f>D1798+D1802*2</f>
        <v>0</v>
      </c>
      <c r="E1929" s="1044" t="str">
        <f>VLOOKUP($B1929,DG!A:D,DG!$B$2,)</f>
        <v>06.3231</v>
      </c>
      <c r="F1929" s="1049" t="str">
        <f>VLOOKUP($B1929,DG!A:D,DG!$C$2,)</f>
        <v>Lắp chân sứ đỉnh</v>
      </c>
      <c r="G1929" s="1044" t="str">
        <f>VLOOKUP($B1929,DG!A:D,DG!$D$2,)</f>
        <v>cái</v>
      </c>
      <c r="H1929" s="1823">
        <f t="shared" si="360"/>
        <v>0</v>
      </c>
      <c r="I1929" s="1823"/>
      <c r="J1929" s="1823"/>
      <c r="K1929" s="1822">
        <f>IFERROR(HLOOKUP(B1929,pp3p1m!$1:$3,3,0),0)</f>
        <v>0</v>
      </c>
      <c r="L1929" s="1823"/>
      <c r="M1929" s="1823"/>
      <c r="N1929" s="1823"/>
      <c r="O1929" s="1823"/>
      <c r="P1929" s="1823">
        <f>H1929</f>
        <v>0</v>
      </c>
      <c r="Q1929" s="1053"/>
      <c r="R1929" s="1053"/>
      <c r="S1929" s="1053"/>
      <c r="T1929" s="2035">
        <f>IFERROR(HLOOKUP(B1929,pp3p1m!157:159,3,0),0)</f>
        <v>0</v>
      </c>
    </row>
    <row r="1930" spans="1:20" ht="22.2" hidden="1" customHeight="1">
      <c r="A1930" s="59"/>
      <c r="B1930" s="1577" t="s">
        <v>349</v>
      </c>
      <c r="C1930" s="1013" t="str">
        <f t="shared" si="361"/>
        <v xml:space="preserve"> </v>
      </c>
      <c r="D1930" s="1535">
        <f>-SUM(D1833:D1833)</f>
        <v>0</v>
      </c>
      <c r="E1930" s="1044" t="str">
        <f>VLOOKUP($B1930,DG!A:D,DG!$B$2,)</f>
        <v>06.1410</v>
      </c>
      <c r="F1930" s="1049" t="str">
        <f>VLOOKUP($B1930,DG!A:D,DG!$C$2,)</f>
        <v>Lắp chuỗi sứ đỡ 2 bát/chuỗi</v>
      </c>
      <c r="G1930" s="1044" t="str">
        <f>VLOOKUP($B1930,DG!A:D,DG!$D$2,)</f>
        <v>chuỗi</v>
      </c>
      <c r="H1930" s="2132">
        <f t="shared" si="360"/>
        <v>0</v>
      </c>
      <c r="I1930" s="1823"/>
      <c r="J1930" s="1823"/>
      <c r="K1930" s="1822">
        <f>IFERROR(HLOOKUP(B1930,pp3p1m!$1:$3,3,0),0)</f>
        <v>0</v>
      </c>
      <c r="L1930" s="1823"/>
      <c r="M1930" s="1823"/>
      <c r="N1930" s="1823"/>
      <c r="O1930" s="1823"/>
      <c r="P1930" s="1823">
        <f t="shared" si="356"/>
        <v>0</v>
      </c>
      <c r="Q1930" s="1053"/>
      <c r="R1930" s="1053"/>
      <c r="S1930" s="1053"/>
      <c r="T1930" s="2035">
        <f>IFERROR(HLOOKUP(B1930,pp3p1m!158:160,3,0),0)</f>
        <v>0</v>
      </c>
    </row>
    <row r="1931" spans="1:20" ht="22.2" hidden="1" customHeight="1">
      <c r="A1931" s="59"/>
      <c r="B1931" s="1577" t="s">
        <v>350</v>
      </c>
      <c r="C1931" s="1013" t="str">
        <f t="shared" si="361"/>
        <v xml:space="preserve"> </v>
      </c>
      <c r="D1931" s="1535"/>
      <c r="E1931" s="1044" t="str">
        <f>VLOOKUP($B1931,DG!A:D,DG!$B$2,)</f>
        <v>06.1511</v>
      </c>
      <c r="F1931" s="1049" t="s">
        <v>2555</v>
      </c>
      <c r="G1931" s="1044" t="str">
        <f>VLOOKUP($B1931,DG!A:D,DG!$D$2,)</f>
        <v>chuỗi</v>
      </c>
      <c r="H1931" s="2132">
        <f t="shared" si="360"/>
        <v>0</v>
      </c>
      <c r="I1931" s="1823"/>
      <c r="J1931" s="1823"/>
      <c r="K1931" s="1822">
        <f>IFERROR(HLOOKUP(B1931,pp3p1m!$1:$3,3,0),0)</f>
        <v>0</v>
      </c>
      <c r="L1931" s="1823"/>
      <c r="M1931" s="1823"/>
      <c r="N1931" s="1823"/>
      <c r="O1931" s="1823"/>
      <c r="P1931" s="1823">
        <f t="shared" si="356"/>
        <v>0</v>
      </c>
      <c r="Q1931" s="1053"/>
      <c r="R1931" s="1053"/>
      <c r="S1931" s="1053"/>
      <c r="T1931" s="2035">
        <f>IFERROR(HLOOKUP(B1931,pp3p1m!159:161,3,0),0)</f>
        <v>0</v>
      </c>
    </row>
    <row r="1932" spans="1:20" ht="22.2" hidden="1" customHeight="1">
      <c r="A1932" s="59"/>
      <c r="B1932" s="1577" t="s">
        <v>350</v>
      </c>
      <c r="C1932" s="1013" t="str">
        <f t="shared" si="361"/>
        <v xml:space="preserve"> </v>
      </c>
      <c r="D1932" s="1535"/>
      <c r="E1932" s="1044" t="str">
        <f>VLOOKUP($B1932,DG!A:D,DG!$B$2,)</f>
        <v>06.1511</v>
      </c>
      <c r="F1932" s="1049" t="str">
        <f>VLOOKUP($B1932,DG!A:D,DG!$C$2,)</f>
        <v>Lắp chuỗi sứ néo 2 bát/chuỗi</v>
      </c>
      <c r="G1932" s="1044" t="str">
        <f>VLOOKUP($B1932,DG!A:D,DG!$D$2,)</f>
        <v>chuỗi</v>
      </c>
      <c r="H1932" s="2132">
        <f t="shared" si="360"/>
        <v>0</v>
      </c>
      <c r="I1932" s="1823"/>
      <c r="J1932" s="1823"/>
      <c r="K1932" s="1822">
        <f>IFERROR(HLOOKUP(B1932,pp3p1m!$1:$3,3,0),0)</f>
        <v>0</v>
      </c>
      <c r="L1932" s="1823"/>
      <c r="M1932" s="1823"/>
      <c r="N1932" s="1823"/>
      <c r="O1932" s="1823"/>
      <c r="P1932" s="1823">
        <f t="shared" si="356"/>
        <v>0</v>
      </c>
      <c r="Q1932" s="1058"/>
      <c r="R1932" s="1058"/>
      <c r="S1932" s="1058"/>
      <c r="T1932" s="2035">
        <f>IFERROR(HLOOKUP(B1932,pp3p1m!160:162,3,0),0)</f>
        <v>0</v>
      </c>
    </row>
    <row r="1933" spans="1:20" ht="22.2" customHeight="1">
      <c r="A1933" s="1015"/>
      <c r="B1933" s="1571" t="s">
        <v>1510</v>
      </c>
      <c r="C1933" s="1832" t="str">
        <f t="shared" si="361"/>
        <v>x</v>
      </c>
      <c r="D1933" s="1535">
        <f>+D1815+D1925-D2239*3+D1822</f>
        <v>6</v>
      </c>
      <c r="E1933" s="1044" t="str">
        <f>VLOOKUP($B1933,DG!A:D,DG!$B$2,)</f>
        <v>06.2201</v>
      </c>
      <c r="F1933" s="1049" t="str">
        <f>VLOOKUP($B1933,DG!A:D,DG!$C$2,)</f>
        <v>Lắp chuỗi sứ néo Polymer</v>
      </c>
      <c r="G1933" s="1044" t="str">
        <f>VLOOKUP($B1933,DG!A:D,DG!$D$2,)</f>
        <v>chuỗi</v>
      </c>
      <c r="H1933" s="1823">
        <f t="shared" si="360"/>
        <v>6</v>
      </c>
      <c r="I1933" s="1823"/>
      <c r="J1933" s="1823"/>
      <c r="K1933" s="1822">
        <f>IFERROR(HLOOKUP(B1933,pp3p1m!$1:$3,3,0),0)</f>
        <v>0</v>
      </c>
      <c r="L1933" s="1823"/>
      <c r="M1933" s="1823"/>
      <c r="N1933" s="1823"/>
      <c r="O1933" s="1823"/>
      <c r="P1933" s="1823">
        <f>H1933</f>
        <v>6</v>
      </c>
      <c r="Q1933" s="1058"/>
      <c r="R1933" s="1058"/>
      <c r="S1933" s="1058"/>
      <c r="T1933" s="2035">
        <f>IFERROR(HLOOKUP(B1933,pp3p1m!$1:$3,3,0),0)</f>
        <v>0</v>
      </c>
    </row>
    <row r="1934" spans="1:20" ht="22.2" hidden="1" customHeight="1">
      <c r="A1934" s="59"/>
      <c r="B1934" s="1577" t="s">
        <v>1655</v>
      </c>
      <c r="C1934" s="1013" t="str">
        <f t="shared" si="361"/>
        <v xml:space="preserve"> </v>
      </c>
      <c r="D1934" s="1535"/>
      <c r="E1934" s="1044" t="str">
        <f>VLOOKUP($B1934,DG!A:D,DG!$B$2,)</f>
        <v>02.3155</v>
      </c>
      <c r="F1934" s="1056" t="str">
        <f>"Tháo "&amp;VLOOKUP($B1934,DG!A:D,DG!$C$2,)&amp;" hiện hữu sử dụng lại"</f>
        <v>Tháo FCO 27kV - 100A hiện hữu sử dụng lại</v>
      </c>
      <c r="G1934" s="1044" t="str">
        <f>VLOOKUP($B1934,DG!A:D,DG!$D$2,)</f>
        <v>cái</v>
      </c>
      <c r="H1934" s="2132">
        <f t="shared" si="360"/>
        <v>0</v>
      </c>
      <c r="I1934" s="1823"/>
      <c r="J1934" s="1823"/>
      <c r="K1934" s="1822">
        <f>IFERROR(HLOOKUP(B1934,pp3p1m!$1:$3,3,0),0)</f>
        <v>3</v>
      </c>
      <c r="L1934" s="1823"/>
      <c r="M1934" s="1823"/>
      <c r="N1934" s="1823"/>
      <c r="O1934" s="1823"/>
      <c r="P1934" s="1823">
        <f t="shared" ref="P1934:P1957" si="362">P$1832*$D1934</f>
        <v>0</v>
      </c>
      <c r="Q1934" s="1058"/>
      <c r="R1934" s="1058"/>
      <c r="S1934" s="1058"/>
      <c r="T1934" s="2035">
        <f>IFERROR(HLOOKUP(B1934,pp3p1m!162:164,3,0),0)</f>
        <v>0</v>
      </c>
    </row>
    <row r="1935" spans="1:20" ht="22.2" hidden="1" customHeight="1">
      <c r="A1935" s="59"/>
      <c r="B1935" s="1577"/>
      <c r="C1935" s="1013" t="str">
        <f t="shared" si="361"/>
        <v xml:space="preserve"> </v>
      </c>
      <c r="D1935" s="1535"/>
      <c r="E1935" s="1044" t="e">
        <f>VLOOKUP($B1935,DG!A:D,DG!$B$2,)</f>
        <v>#N/A</v>
      </c>
      <c r="F1935" s="1056" t="e">
        <f>"Thaùo "&amp;VLOOKUP($B1935,DG!A:D,DG!$C$2,)</f>
        <v>#N/A</v>
      </c>
      <c r="G1935" s="1044" t="e">
        <f>VLOOKUP($B1935,DG!A:D,DG!$D$2,)</f>
        <v>#N/A</v>
      </c>
      <c r="H1935" s="1823">
        <f t="shared" si="357"/>
        <v>0</v>
      </c>
      <c r="I1935" s="1823"/>
      <c r="J1935" s="1823"/>
      <c r="K1935" s="1822">
        <f>IFERROR(HLOOKUP(B1935,pp3p1m!$1:$3,3,0),0)</f>
        <v>0</v>
      </c>
      <c r="L1935" s="1823"/>
      <c r="M1935" s="1823"/>
      <c r="N1935" s="1823"/>
      <c r="O1935" s="1823"/>
      <c r="P1935" s="1823">
        <f>T1935</f>
        <v>0</v>
      </c>
      <c r="Q1935" s="1058"/>
      <c r="R1935" s="1058"/>
      <c r="S1935" s="1058"/>
      <c r="T1935" s="2035">
        <f>IFERROR(HLOOKUP(B1935,pp3p1m!$1:$3,3,0),0)</f>
        <v>0</v>
      </c>
    </row>
    <row r="1936" spans="1:20" ht="22.2" hidden="1" customHeight="1">
      <c r="A1936" s="59"/>
      <c r="B1936" s="1577" t="s">
        <v>1655</v>
      </c>
      <c r="C1936" s="1013" t="str">
        <f t="shared" si="361"/>
        <v xml:space="preserve"> </v>
      </c>
      <c r="D1936" s="1535"/>
      <c r="E1936" s="1044" t="str">
        <f>VLOOKUP($B1936,DG!A:D,DG!$B$2,)</f>
        <v>02.3155</v>
      </c>
      <c r="F1936" s="1056" t="str">
        <f>"Lắp "&amp;VLOOKUP($B1936,DG!A:D,DG!$C$2,)</f>
        <v>Lắp FCO 27kV - 100A</v>
      </c>
      <c r="G1936" s="1044" t="str">
        <f>VLOOKUP($B1936,DG!A:D,DG!$D$2,)</f>
        <v>cái</v>
      </c>
      <c r="H1936" s="1823"/>
      <c r="I1936" s="1823"/>
      <c r="J1936" s="1823"/>
      <c r="K1936" s="1822">
        <f>IFERROR(HLOOKUP(B1936,pp3p1m!$1:$3,3,0),0)</f>
        <v>3</v>
      </c>
      <c r="L1936" s="1823"/>
      <c r="M1936" s="1823"/>
      <c r="N1936" s="1823"/>
      <c r="O1936" s="1823"/>
      <c r="P1936" s="1823">
        <f t="shared" si="362"/>
        <v>0</v>
      </c>
      <c r="Q1936" s="1058"/>
      <c r="R1936" s="1058"/>
      <c r="S1936" s="1058"/>
      <c r="T1936" s="2035">
        <f>IFERROR(HLOOKUP(B1936,pp3p1m!164:166,3,0),0)</f>
        <v>0</v>
      </c>
    </row>
    <row r="1937" spans="1:20" ht="22.2" hidden="1" customHeight="1">
      <c r="A1937" s="59"/>
      <c r="B1937" s="1577" t="s">
        <v>1432</v>
      </c>
      <c r="C1937" s="1013" t="str">
        <f t="shared" ref="C1937:C1938" si="363">IF(OR(P1937&lt;&gt;0,H1937&lt;&gt;0),"x"," ")</f>
        <v xml:space="preserve"> </v>
      </c>
      <c r="D1937" s="1535"/>
      <c r="E1937" s="1044">
        <f>VLOOKUP($B1937,DG!A:D,DG!$B$2,)</f>
        <v>0</v>
      </c>
      <c r="F1937" s="1056" t="str">
        <f>"Lắp "&amp;VLOOKUP($B1937,DG!A:D,DG!$C$2,)</f>
        <v>Lắp Kẹp ngừng cáp ABC4x95mm2</v>
      </c>
      <c r="G1937" s="1044" t="str">
        <f>VLOOKUP($B1937,DG!A:D,DG!$D$2,)</f>
        <v>cái</v>
      </c>
      <c r="H1937" s="1823">
        <f t="shared" si="357"/>
        <v>0</v>
      </c>
      <c r="I1937" s="1823"/>
      <c r="J1937" s="1823"/>
      <c r="K1937" s="1822">
        <f>IFERROR(HLOOKUP(B1937,pp3p1m!$1:$3,3,0),0)</f>
        <v>0</v>
      </c>
      <c r="L1937" s="1823"/>
      <c r="M1937" s="1823"/>
      <c r="N1937" s="1823"/>
      <c r="O1937" s="1823"/>
      <c r="P1937" s="1823">
        <f>H1937</f>
        <v>0</v>
      </c>
      <c r="Q1937" s="1058"/>
      <c r="R1937" s="1058"/>
      <c r="S1937" s="1058"/>
      <c r="T1937" s="2035">
        <f>IFERROR(HLOOKUP(B1937,pp3p1m!165:167,3,0),0)</f>
        <v>0</v>
      </c>
    </row>
    <row r="1938" spans="1:20" ht="22.2" hidden="1" customHeight="1">
      <c r="A1938" s="59"/>
      <c r="B1938" s="1577" t="s">
        <v>852</v>
      </c>
      <c r="C1938" s="1013" t="str">
        <f t="shared" si="363"/>
        <v xml:space="preserve"> </v>
      </c>
      <c r="D1938" s="1535"/>
      <c r="E1938" s="1044">
        <f>VLOOKUP($B1938,DG!A:D,DG!$B$2,)</f>
        <v>0</v>
      </c>
      <c r="F1938" s="1056" t="str">
        <f>"Lắp "&amp;VLOOKUP($B1938,DG!A:D,DG!$C$2,)</f>
        <v>Lắp Boulon móc 16x300+ long đền vuông D18-50x50x3/Zn</v>
      </c>
      <c r="G1938" s="1044" t="str">
        <f>VLOOKUP($B1938,DG!A:D,DG!$D$2,)</f>
        <v>bộ</v>
      </c>
      <c r="H1938" s="1823">
        <f t="shared" si="357"/>
        <v>0</v>
      </c>
      <c r="I1938" s="1823"/>
      <c r="J1938" s="1823"/>
      <c r="K1938" s="1822">
        <f>IFERROR(HLOOKUP(B1938,pp3p1m!$1:$3,3,0),0)</f>
        <v>0</v>
      </c>
      <c r="L1938" s="1823"/>
      <c r="M1938" s="1823"/>
      <c r="N1938" s="1823"/>
      <c r="O1938" s="1823"/>
      <c r="P1938" s="1823">
        <f>H1938</f>
        <v>0</v>
      </c>
      <c r="Q1938" s="1058"/>
      <c r="R1938" s="1058"/>
      <c r="S1938" s="1058"/>
      <c r="T1938" s="2035">
        <f>IFERROR(HLOOKUP(B1938,pp3p1m!166:168,3,0),0)</f>
        <v>0</v>
      </c>
    </row>
    <row r="1939" spans="1:20" ht="22.2" hidden="1" customHeight="1">
      <c r="A1939" s="59"/>
      <c r="B1939" s="1577"/>
      <c r="C1939" s="1013" t="str">
        <f t="shared" si="361"/>
        <v xml:space="preserve"> </v>
      </c>
      <c r="D1939" s="1535"/>
      <c r="E1939" s="1044" t="e">
        <f>VLOOKUP($B1939,DG!A:D,DG!$B$2,)</f>
        <v>#N/A</v>
      </c>
      <c r="F1939" s="1056" t="e">
        <f>"Lắp "&amp;VLOOKUP($B1939,DG!A:D,DG!$C$2,)</f>
        <v>#N/A</v>
      </c>
      <c r="G1939" s="1044" t="e">
        <f>VLOOKUP($B1939,DG!A:D,DG!$D$2,)</f>
        <v>#N/A</v>
      </c>
      <c r="H1939" s="1823">
        <f t="shared" si="357"/>
        <v>0</v>
      </c>
      <c r="I1939" s="1823"/>
      <c r="J1939" s="1823"/>
      <c r="K1939" s="1822">
        <f>IFERROR(HLOOKUP(B1939,pp3p1m!$1:$3,3,0),0)</f>
        <v>0</v>
      </c>
      <c r="L1939" s="1823"/>
      <c r="M1939" s="1823"/>
      <c r="N1939" s="1823"/>
      <c r="O1939" s="1823"/>
      <c r="P1939" s="1823">
        <f>T1939</f>
        <v>0</v>
      </c>
      <c r="Q1939" s="1058"/>
      <c r="R1939" s="1058"/>
      <c r="S1939" s="1058"/>
      <c r="T1939" s="2035">
        <f>IFERROR(HLOOKUP(B1939,pp3p1m!$1:$3,3,0),0)</f>
        <v>0</v>
      </c>
    </row>
    <row r="1940" spans="1:20" ht="22.2" hidden="1" customHeight="1">
      <c r="A1940" s="59"/>
      <c r="B1940" s="1577" t="s">
        <v>147</v>
      </c>
      <c r="C1940" s="1013" t="str">
        <f t="shared" si="361"/>
        <v xml:space="preserve"> </v>
      </c>
      <c r="D1940" s="1535"/>
      <c r="E1940" s="1044" t="str">
        <f>VLOOKUP($B1940,DG!A:D,DG!$B$2,)</f>
        <v>05.6001</v>
      </c>
      <c r="F1940" s="1049" t="s">
        <v>2556</v>
      </c>
      <c r="G1940" s="1044" t="str">
        <f>VLOOKUP($B1940,DG!A:D,DG!$D$2,)</f>
        <v>Kg</v>
      </c>
      <c r="H1940" s="1823">
        <f t="shared" si="357"/>
        <v>0</v>
      </c>
      <c r="I1940" s="1823"/>
      <c r="J1940" s="1823"/>
      <c r="K1940" s="1822">
        <f>IFERROR(HLOOKUP(B1940,pp3p1m!$1:$3,3,0),0)</f>
        <v>0</v>
      </c>
      <c r="L1940" s="1823"/>
      <c r="M1940" s="1823"/>
      <c r="N1940" s="1823"/>
      <c r="O1940" s="1823"/>
      <c r="P1940" s="1823">
        <f t="shared" si="362"/>
        <v>0</v>
      </c>
      <c r="Q1940" s="1053"/>
      <c r="R1940" s="1053"/>
      <c r="S1940" s="1053"/>
      <c r="T1940" s="2035">
        <f>IFERROR(HLOOKUP(B1940,pp3p1m!168:170,3,0),0)</f>
        <v>0</v>
      </c>
    </row>
    <row r="1941" spans="1:20" ht="22.2" hidden="1" customHeight="1">
      <c r="A1941" s="59"/>
      <c r="B1941" s="1577" t="s">
        <v>1648</v>
      </c>
      <c r="C1941" s="1013" t="str">
        <f t="shared" si="361"/>
        <v xml:space="preserve"> </v>
      </c>
      <c r="D1941" s="1535"/>
      <c r="E1941" s="1044" t="str">
        <f>VLOOKUP($B1941,DG!A:D,DG!$B$2,)</f>
        <v>05.6100</v>
      </c>
      <c r="F1941" s="1049" t="str">
        <f>"Lắp "&amp;VLOOKUP($B1941,DG!A:D,DG!$C$2,)</f>
        <v>Lắp Giá U 80x600 lắp FCO</v>
      </c>
      <c r="G1941" s="1044" t="str">
        <f>VLOOKUP($B1941,DG!A:D,DG!$D$2,)</f>
        <v>bộ</v>
      </c>
      <c r="H1941" s="1823">
        <f t="shared" si="357"/>
        <v>0</v>
      </c>
      <c r="I1941" s="1823"/>
      <c r="J1941" s="1823"/>
      <c r="K1941" s="1822">
        <f>IFERROR(HLOOKUP(B1941,pp3p1m!$1:$3,3,0),0)</f>
        <v>0</v>
      </c>
      <c r="L1941" s="1823"/>
      <c r="M1941" s="1823"/>
      <c r="N1941" s="1823"/>
      <c r="O1941" s="1823"/>
      <c r="P1941" s="1823">
        <f t="shared" si="362"/>
        <v>0</v>
      </c>
      <c r="Q1941" s="1053"/>
      <c r="R1941" s="1053"/>
      <c r="S1941" s="1053"/>
      <c r="T1941" s="2035">
        <f>IFERROR(HLOOKUP(B1941,pp3p1m!169:171,3,0),0)</f>
        <v>0</v>
      </c>
    </row>
    <row r="1942" spans="1:20" ht="22.2" hidden="1" customHeight="1">
      <c r="A1942" s="59"/>
      <c r="B1942" s="1577" t="s">
        <v>348</v>
      </c>
      <c r="C1942" s="1013" t="str">
        <f t="shared" si="361"/>
        <v xml:space="preserve"> </v>
      </c>
      <c r="D1942" s="1535"/>
      <c r="E1942" s="1044" t="str">
        <f>VLOOKUP($B1942,DG!A:D,DG!$B$2,)</f>
        <v>06.3231</v>
      </c>
      <c r="F1942" s="1049" t="s">
        <v>2557</v>
      </c>
      <c r="G1942" s="1044" t="str">
        <f>VLOOKUP($B1942,DG!A:D,DG!$D$2,)</f>
        <v>cái</v>
      </c>
      <c r="H1942" s="1823">
        <f t="shared" si="357"/>
        <v>0</v>
      </c>
      <c r="I1942" s="1823"/>
      <c r="J1942" s="1823"/>
      <c r="K1942" s="1822">
        <f>IFERROR(HLOOKUP(B1942,pp3p1m!$1:$3,3,0),0)</f>
        <v>0</v>
      </c>
      <c r="L1942" s="1823"/>
      <c r="M1942" s="1823"/>
      <c r="N1942" s="1823"/>
      <c r="O1942" s="1823"/>
      <c r="P1942" s="1823">
        <f t="shared" si="362"/>
        <v>0</v>
      </c>
      <c r="Q1942" s="1053"/>
      <c r="R1942" s="1053"/>
      <c r="S1942" s="1053"/>
      <c r="T1942" s="2035">
        <f>IFERROR(HLOOKUP(B1942,pp3p1m!170:172,3,0),0)</f>
        <v>0</v>
      </c>
    </row>
    <row r="1943" spans="1:20" ht="22.2" hidden="1" customHeight="1">
      <c r="A1943" s="59"/>
      <c r="B1943" s="1577" t="s">
        <v>1910</v>
      </c>
      <c r="C1943" s="1013" t="str">
        <f t="shared" si="361"/>
        <v xml:space="preserve"> </v>
      </c>
      <c r="D1943" s="1535"/>
      <c r="E1943" s="1044" t="str">
        <f>VLOOKUP($B1943,DG!A:D,DG!$B$2,)</f>
        <v>05.6011</v>
      </c>
      <c r="F1943" s="1049" t="s">
        <v>2558</v>
      </c>
      <c r="G1943" s="1044" t="str">
        <f>VLOOKUP($B1943,DG!A:D,DG!$D$2,)</f>
        <v>bộ</v>
      </c>
      <c r="H1943" s="1823">
        <f t="shared" si="357"/>
        <v>0</v>
      </c>
      <c r="I1943" s="1823"/>
      <c r="J1943" s="1823"/>
      <c r="K1943" s="1822">
        <f>IFERROR(HLOOKUP(B1943,pp3p1m!$1:$3,3,0),0)</f>
        <v>0</v>
      </c>
      <c r="L1943" s="1823"/>
      <c r="M1943" s="1823"/>
      <c r="N1943" s="1823"/>
      <c r="O1943" s="1823"/>
      <c r="P1943" s="1823">
        <f t="shared" si="362"/>
        <v>0</v>
      </c>
      <c r="Q1943" s="1053"/>
      <c r="R1943" s="1053"/>
      <c r="S1943" s="1053"/>
      <c r="T1943" s="2035">
        <f>IFERROR(HLOOKUP(B1943,pp3p1m!171:173,3,0),0)</f>
        <v>0</v>
      </c>
    </row>
    <row r="1944" spans="1:20" ht="22.2" hidden="1" customHeight="1">
      <c r="A1944" s="59"/>
      <c r="B1944" s="1577" t="s">
        <v>351</v>
      </c>
      <c r="C1944" s="1013" t="str">
        <f t="shared" si="361"/>
        <v xml:space="preserve"> </v>
      </c>
      <c r="D1944" s="1535"/>
      <c r="E1944" s="1044" t="str">
        <f>VLOOKUP($B1944,DG!A:D,DG!$B$2,)</f>
        <v>06.1211</v>
      </c>
      <c r="F1944" s="1049" t="s">
        <v>2559</v>
      </c>
      <c r="G1944" s="1044" t="str">
        <f>VLOOKUP($B1944,DG!A:D,DG!$D$2,)</f>
        <v>bộ</v>
      </c>
      <c r="H1944" s="1823">
        <f t="shared" si="357"/>
        <v>0</v>
      </c>
      <c r="I1944" s="1823"/>
      <c r="J1944" s="1823"/>
      <c r="K1944" s="1822">
        <f>IFERROR(HLOOKUP(B1944,pp3p1m!$1:$3,3,0),0)</f>
        <v>0</v>
      </c>
      <c r="L1944" s="1823"/>
      <c r="M1944" s="1823"/>
      <c r="N1944" s="1823"/>
      <c r="O1944" s="1823"/>
      <c r="P1944" s="1823">
        <f t="shared" si="362"/>
        <v>0</v>
      </c>
      <c r="Q1944" s="1053"/>
      <c r="R1944" s="1053"/>
      <c r="S1944" s="1053"/>
      <c r="T1944" s="2035">
        <f>IFERROR(HLOOKUP(B1944,pp3p1m!172:174,3,0),0)</f>
        <v>0</v>
      </c>
    </row>
    <row r="1945" spans="1:20" ht="22.2" customHeight="1">
      <c r="A1945" s="1015"/>
      <c r="B1945" s="1571" t="s">
        <v>351</v>
      </c>
      <c r="C1945" s="1013" t="str">
        <f t="shared" si="361"/>
        <v>x</v>
      </c>
      <c r="D1945" s="2283">
        <v>17</v>
      </c>
      <c r="E1945" s="1044" t="str">
        <f>VLOOKUP($B1945,DG!A:D,DG!$B$2,)</f>
        <v>06.1211</v>
      </c>
      <c r="F1945" s="1049" t="str">
        <f>VLOOKUP($B1945,DG!A:D,DG!$C$2,)</f>
        <v>Lắp rack sứ + sứ ống chỉ</v>
      </c>
      <c r="G1945" s="1044" t="str">
        <f>VLOOKUP($B1945,DG!A:D,DG!$D$2,)</f>
        <v>bộ</v>
      </c>
      <c r="H1945" s="1823">
        <f>D1945</f>
        <v>17</v>
      </c>
      <c r="I1945" s="1823"/>
      <c r="J1945" s="1823"/>
      <c r="K1945" s="1822">
        <f>IFERROR(HLOOKUP(B1945,pp3p1m!$1:$3,3,0),0)</f>
        <v>0</v>
      </c>
      <c r="L1945" s="1823"/>
      <c r="M1945" s="1823"/>
      <c r="N1945" s="1823"/>
      <c r="O1945" s="1823"/>
      <c r="P1945" s="1823">
        <f>H1945</f>
        <v>17</v>
      </c>
      <c r="Q1945" s="1053"/>
      <c r="R1945" s="1053"/>
      <c r="S1945" s="1053"/>
      <c r="T1945" s="2035">
        <f>IFERROR(HLOOKUP(B1945,pp3p1m!$1:$3,3,0),0)</f>
        <v>0</v>
      </c>
    </row>
    <row r="1946" spans="1:20" ht="22.2" hidden="1" customHeight="1">
      <c r="A1946" s="59"/>
      <c r="B1946" s="1577" t="s">
        <v>324</v>
      </c>
      <c r="C1946" s="1013" t="str">
        <f t="shared" si="361"/>
        <v xml:space="preserve"> </v>
      </c>
      <c r="D1946" s="1535">
        <f>D1895</f>
        <v>0</v>
      </c>
      <c r="E1946" s="1044" t="str">
        <f>VLOOKUP($B1946,DG!A:D,DG!$B$2,)</f>
        <v>06.1213</v>
      </c>
      <c r="F1946" s="1049" t="str">
        <f>VLOOKUP($B1946,DG!A:D,DG!$C$2,)</f>
        <v>Lắp rack 2 sứ + sứ ống chỉ</v>
      </c>
      <c r="G1946" s="1044" t="str">
        <f>VLOOKUP($B1946,DG!A:D,DG!$D$2,)</f>
        <v>bộ</v>
      </c>
      <c r="H1946" s="1823">
        <f t="shared" si="357"/>
        <v>0</v>
      </c>
      <c r="I1946" s="1823"/>
      <c r="J1946" s="1823"/>
      <c r="K1946" s="1822">
        <f>IFERROR(HLOOKUP(B1946,pp3p1m!$1:$3,3,0),0)</f>
        <v>0</v>
      </c>
      <c r="L1946" s="1823"/>
      <c r="M1946" s="1823"/>
      <c r="N1946" s="1823"/>
      <c r="O1946" s="1823"/>
      <c r="P1946" s="1823">
        <f t="shared" si="362"/>
        <v>0</v>
      </c>
      <c r="Q1946" s="1053"/>
      <c r="R1946" s="1053"/>
      <c r="S1946" s="1053"/>
      <c r="T1946" s="2035">
        <f>IFERROR(HLOOKUP(B1946,pp3p1m!174:176,3,0),0)</f>
        <v>0</v>
      </c>
    </row>
    <row r="1947" spans="1:20" ht="22.2" hidden="1" customHeight="1">
      <c r="A1947" s="59"/>
      <c r="B1947" s="1577" t="s">
        <v>41</v>
      </c>
      <c r="C1947" s="1013" t="str">
        <f t="shared" si="361"/>
        <v xml:space="preserve"> </v>
      </c>
      <c r="D1947" s="1535"/>
      <c r="E1947" s="1044" t="str">
        <f>VLOOKUP($B1947,DG!A:D,DG!$B$2,)</f>
        <v>06.1214</v>
      </c>
      <c r="F1947" s="1049" t="s">
        <v>2560</v>
      </c>
      <c r="G1947" s="1044" t="str">
        <f>VLOOKUP($B1947,DG!A:D,DG!$D$2,)</f>
        <v>bộ</v>
      </c>
      <c r="H1947" s="1823">
        <f t="shared" si="357"/>
        <v>0</v>
      </c>
      <c r="I1947" s="1823"/>
      <c r="J1947" s="1823"/>
      <c r="K1947" s="1822">
        <f>IFERROR(HLOOKUP(B1947,pp3p1m!$1:$3,3,0),0)</f>
        <v>0</v>
      </c>
      <c r="L1947" s="1823"/>
      <c r="M1947" s="1823"/>
      <c r="N1947" s="1823"/>
      <c r="O1947" s="1823"/>
      <c r="P1947" s="1823">
        <f t="shared" si="362"/>
        <v>0</v>
      </c>
      <c r="Q1947" s="1053"/>
      <c r="R1947" s="1053"/>
      <c r="S1947" s="1053"/>
      <c r="T1947" s="2035">
        <f>IFERROR(HLOOKUP(B1947,pp3p1m!175:177,3,0),0)</f>
        <v>0</v>
      </c>
    </row>
    <row r="1948" spans="1:20" ht="22.2" hidden="1" customHeight="1">
      <c r="A1948" s="59"/>
      <c r="B1948" s="1577" t="s">
        <v>42</v>
      </c>
      <c r="C1948" s="1013" t="str">
        <f t="shared" si="361"/>
        <v xml:space="preserve"> </v>
      </c>
      <c r="D1948" s="1535"/>
      <c r="E1948" s="1044" t="str">
        <f>VLOOKUP($B1948,DG!A:D,DG!$B$2,)</f>
        <v>06.1214</v>
      </c>
      <c r="F1948" s="1049" t="str">
        <f>VLOOKUP($B1948,DG!A:D,DG!$C$2,)</f>
        <v>Lắp rack 3 sứ + sứ ống chỉ</v>
      </c>
      <c r="G1948" s="1044" t="str">
        <f>VLOOKUP($B1948,DG!A:D,DG!$D$2,)</f>
        <v>bộ</v>
      </c>
      <c r="H1948" s="1823">
        <f t="shared" si="357"/>
        <v>0</v>
      </c>
      <c r="I1948" s="1823"/>
      <c r="J1948" s="1823"/>
      <c r="K1948" s="1822">
        <f>IFERROR(HLOOKUP(B1948,pp3p1m!$1:$3,3,0),0)</f>
        <v>0</v>
      </c>
      <c r="L1948" s="1823"/>
      <c r="M1948" s="1823"/>
      <c r="N1948" s="1823"/>
      <c r="O1948" s="1823"/>
      <c r="P1948" s="1823">
        <f t="shared" si="362"/>
        <v>0</v>
      </c>
      <c r="Q1948" s="1053"/>
      <c r="R1948" s="1053"/>
      <c r="S1948" s="1053"/>
      <c r="T1948" s="2035">
        <f>IFERROR(HLOOKUP(B1948,pp3p1m!176:178,3,0),0)</f>
        <v>0</v>
      </c>
    </row>
    <row r="1949" spans="1:20" ht="22.2" hidden="1" customHeight="1">
      <c r="A1949" s="59"/>
      <c r="B1949" s="1577" t="s">
        <v>509</v>
      </c>
      <c r="C1949" s="1013" t="str">
        <f t="shared" si="361"/>
        <v xml:space="preserve"> </v>
      </c>
      <c r="D1949" s="1535"/>
      <c r="E1949" s="1044" t="str">
        <f>VLOOKUP($B1949,DG!A:D,DG!$B$2,)</f>
        <v>06.1215</v>
      </c>
      <c r="F1949" s="1049" t="s">
        <v>2561</v>
      </c>
      <c r="G1949" s="1044" t="str">
        <f>VLOOKUP($B1949,DG!A:D,DG!$D$2,)</f>
        <v>bộ</v>
      </c>
      <c r="H1949" s="1823">
        <f t="shared" si="357"/>
        <v>0</v>
      </c>
      <c r="I1949" s="1823"/>
      <c r="J1949" s="1823"/>
      <c r="K1949" s="1822">
        <f>IFERROR(HLOOKUP(B1949,pp3p1m!$1:$3,3,0),0)</f>
        <v>0</v>
      </c>
      <c r="L1949" s="1823"/>
      <c r="M1949" s="1823"/>
      <c r="N1949" s="1823"/>
      <c r="O1949" s="1823"/>
      <c r="P1949" s="1823">
        <f t="shared" si="362"/>
        <v>0</v>
      </c>
      <c r="Q1949" s="1053"/>
      <c r="R1949" s="1053"/>
      <c r="S1949" s="1053"/>
      <c r="T1949" s="2035">
        <f>IFERROR(HLOOKUP(B1949,pp3p1m!177:179,3,0),0)</f>
        <v>0</v>
      </c>
    </row>
    <row r="1950" spans="1:20" ht="22.2" hidden="1" customHeight="1">
      <c r="A1950" s="59"/>
      <c r="B1950" s="1577" t="s">
        <v>1784</v>
      </c>
      <c r="C1950" s="1013" t="str">
        <f t="shared" si="361"/>
        <v xml:space="preserve"> </v>
      </c>
      <c r="D1950" s="1535"/>
      <c r="E1950" s="1044" t="str">
        <f>VLOOKUP($B1950,DG!A:D,DG!$B$2,)</f>
        <v>06.1215</v>
      </c>
      <c r="F1950" s="1049" t="str">
        <f>VLOOKUP($B1950,DG!A:D,DG!$C$2,)</f>
        <v>Lắp rack 4 sứ + sứ ống chỉ</v>
      </c>
      <c r="G1950" s="1044" t="str">
        <f>VLOOKUP($B1950,DG!A:D,DG!$D$2,)</f>
        <v>bộ</v>
      </c>
      <c r="H1950" s="1823">
        <f t="shared" si="357"/>
        <v>0</v>
      </c>
      <c r="I1950" s="1823"/>
      <c r="J1950" s="1823"/>
      <c r="K1950" s="1822">
        <f>IFERROR(HLOOKUP(B1950,pp3p1m!$1:$3,3,0),0)</f>
        <v>0</v>
      </c>
      <c r="L1950" s="1823"/>
      <c r="M1950" s="1823"/>
      <c r="N1950" s="1823"/>
      <c r="O1950" s="1823"/>
      <c r="P1950" s="1823">
        <f t="shared" si="362"/>
        <v>0</v>
      </c>
      <c r="Q1950" s="1053"/>
      <c r="R1950" s="1053"/>
      <c r="S1950" s="1053"/>
      <c r="T1950" s="2035">
        <f>IFERROR(HLOOKUP(B1950,pp3p1m!178:180,3,0),0)</f>
        <v>0</v>
      </c>
    </row>
    <row r="1951" spans="1:20" ht="22.2" hidden="1" customHeight="1">
      <c r="A1951" s="59"/>
      <c r="B1951" s="1577" t="s">
        <v>353</v>
      </c>
      <c r="C1951" s="1013" t="str">
        <f t="shared" si="361"/>
        <v xml:space="preserve"> </v>
      </c>
      <c r="D1951" s="1553"/>
      <c r="E1951" s="1060" t="str">
        <f>VLOOKUP($B1951,DG!A:D,DG!$B$2,)</f>
        <v>06.5072</v>
      </c>
      <c r="F1951" s="1049" t="str">
        <f>VLOOKUP($B1951,DG!A:D,DG!$C$2,)</f>
        <v xml:space="preserve">Kéo dây qua vị trí bẻ góc dây </v>
      </c>
      <c r="G1951" s="1060" t="str">
        <f>VLOOKUP($B1951,DG!A:D,DG!$D$2,)</f>
        <v>vị trí</v>
      </c>
      <c r="H1951" s="1823">
        <f t="shared" si="357"/>
        <v>0</v>
      </c>
      <c r="I1951" s="1823"/>
      <c r="J1951" s="1823"/>
      <c r="K1951" s="1822">
        <f>IFERROR(HLOOKUP(B1951,pp3p1m!$1:$3,3,0),0)</f>
        <v>0</v>
      </c>
      <c r="L1951" s="1823"/>
      <c r="M1951" s="1823"/>
      <c r="N1951" s="1823"/>
      <c r="O1951" s="1823"/>
      <c r="P1951" s="1823">
        <f t="shared" si="362"/>
        <v>0</v>
      </c>
      <c r="Q1951" s="1058"/>
      <c r="R1951" s="1058"/>
      <c r="S1951" s="1058"/>
      <c r="T1951" s="2035">
        <f>IFERROR(HLOOKUP(B1951,pp3p1m!179:181,3,0),0)</f>
        <v>0</v>
      </c>
    </row>
    <row r="1952" spans="1:20" ht="22.2" hidden="1" customHeight="1">
      <c r="A1952" s="59"/>
      <c r="B1952" s="1577" t="s">
        <v>354</v>
      </c>
      <c r="C1952" s="1013" t="str">
        <f t="shared" si="361"/>
        <v xml:space="preserve"> </v>
      </c>
      <c r="D1952" s="1532"/>
      <c r="E1952" s="1044" t="str">
        <f>VLOOKUP($B1952,DG!A:D,DG!$B$2,)</f>
        <v>06.5082</v>
      </c>
      <c r="F1952" s="1049" t="str">
        <f>VLOOKUP($B1952,DG!A:D,DG!$C$2,)</f>
        <v>Kéo dây qua sông ( S&lt;=300)</v>
      </c>
      <c r="G1952" s="1044" t="str">
        <f>VLOOKUP($B1952,DG!A:D,DG!$D$2,)</f>
        <v>vị trí</v>
      </c>
      <c r="H1952" s="1823">
        <f t="shared" si="357"/>
        <v>0</v>
      </c>
      <c r="I1952" s="1823"/>
      <c r="J1952" s="1823"/>
      <c r="K1952" s="1822">
        <f>IFERROR(HLOOKUP(B1952,pp3p1m!$1:$3,3,0),0)</f>
        <v>0</v>
      </c>
      <c r="L1952" s="1823"/>
      <c r="M1952" s="1823"/>
      <c r="N1952" s="1823"/>
      <c r="O1952" s="1823"/>
      <c r="P1952" s="1823">
        <f t="shared" si="362"/>
        <v>0</v>
      </c>
      <c r="Q1952" s="1058"/>
      <c r="R1952" s="1058"/>
      <c r="S1952" s="1058"/>
      <c r="T1952" s="2035">
        <f>IFERROR(HLOOKUP(B1952,pp3p1m!180:182,3,0),0)</f>
        <v>0</v>
      </c>
    </row>
    <row r="1953" spans="1:20" ht="22.2" hidden="1" customHeight="1">
      <c r="A1953" s="59"/>
      <c r="B1953" s="1577" t="s">
        <v>355</v>
      </c>
      <c r="C1953" s="1013" t="str">
        <f t="shared" si="361"/>
        <v xml:space="preserve"> </v>
      </c>
      <c r="D1953" s="1534"/>
      <c r="E1953" s="1044" t="str">
        <f>VLOOKUP($B1953,DG!A:D,DG!$B$2,)</f>
        <v>02.1122</v>
      </c>
      <c r="F1953" s="1049" t="str">
        <f>VLOOKUP($B1953,DG!A:D,DG!$C$2,)</f>
        <v>Bốc dỡ dây</v>
      </c>
      <c r="G1953" s="1044" t="str">
        <f>VLOOKUP($B1953,DG!A:D,DG!$D$2,)</f>
        <v>tấn</v>
      </c>
      <c r="H1953" s="1823">
        <f t="shared" si="357"/>
        <v>0</v>
      </c>
      <c r="I1953" s="1823"/>
      <c r="J1953" s="1823"/>
      <c r="K1953" s="1822">
        <f>IFERROR(HLOOKUP(B1953,pp3p1m!$1:$3,3,0),0)</f>
        <v>0</v>
      </c>
      <c r="L1953" s="1823"/>
      <c r="M1953" s="1823"/>
      <c r="N1953" s="1823"/>
      <c r="O1953" s="1823"/>
      <c r="P1953" s="1823">
        <f t="shared" si="362"/>
        <v>0</v>
      </c>
      <c r="Q1953" s="1058"/>
      <c r="R1953" s="1058"/>
      <c r="S1953" s="1058"/>
      <c r="T1953" s="2035">
        <f>IFERROR(HLOOKUP(B1953,pp3p1m!181:183,3,0),0)</f>
        <v>0</v>
      </c>
    </row>
    <row r="1954" spans="1:20" ht="22.2" hidden="1" customHeight="1">
      <c r="A1954" s="59"/>
      <c r="B1954" s="1577" t="s">
        <v>1906</v>
      </c>
      <c r="C1954" s="1013" t="str">
        <f t="shared" si="361"/>
        <v xml:space="preserve"> </v>
      </c>
      <c r="D1954" s="1534"/>
      <c r="E1954" s="1044" t="str">
        <f>VLOOKUP($B1954,DG!A:D,DG!$B$2,)</f>
        <v>02.1120</v>
      </c>
      <c r="F1954" s="1049" t="str">
        <f>VLOOKUP($B1954,DG!A:D,DG!$C$2,)</f>
        <v>Bốc dỡ phụ kiện</v>
      </c>
      <c r="G1954" s="1044" t="str">
        <f>VLOOKUP($B1954,DG!A:D,DG!$D$2,)</f>
        <v>tấn</v>
      </c>
      <c r="H1954" s="1823">
        <f t="shared" si="357"/>
        <v>0</v>
      </c>
      <c r="I1954" s="1823"/>
      <c r="J1954" s="1823"/>
      <c r="K1954" s="1822">
        <f>IFERROR(HLOOKUP(B1954,pp3p1m!$1:$3,3,0),0)</f>
        <v>0</v>
      </c>
      <c r="L1954" s="1823"/>
      <c r="M1954" s="1823"/>
      <c r="N1954" s="1823"/>
      <c r="O1954" s="1823"/>
      <c r="P1954" s="1823">
        <f t="shared" si="362"/>
        <v>0</v>
      </c>
      <c r="Q1954" s="1058"/>
      <c r="R1954" s="1058"/>
      <c r="S1954" s="1058"/>
      <c r="T1954" s="2035">
        <f>IFERROR(HLOOKUP(B1954,pp3p1m!182:184,3,0),0)</f>
        <v>0</v>
      </c>
    </row>
    <row r="1955" spans="1:20" ht="22.2" hidden="1" customHeight="1">
      <c r="A1955" s="59"/>
      <c r="B1955" s="1590" t="s">
        <v>356</v>
      </c>
      <c r="C1955" s="1013" t="str">
        <f t="shared" si="361"/>
        <v xml:space="preserve"> </v>
      </c>
      <c r="D1955" s="1550"/>
      <c r="E1955" s="1044" t="str">
        <f>VLOOKUP($B1955,DG!A:D,DG!$B$2,)</f>
        <v>02.1421</v>
      </c>
      <c r="F1955" s="1049" t="str">
        <f>VLOOKUP($B1955,DG!A:D,DG!$C$2,)</f>
        <v>V/c phụ kiện vào vị trí (cự ly &lt;=100m)</v>
      </c>
      <c r="G1955" s="1044" t="str">
        <f>VLOOKUP($B1955,DG!A:D,DG!$D$2,)</f>
        <v>tấn</v>
      </c>
      <c r="H1955" s="1823">
        <f t="shared" si="357"/>
        <v>0</v>
      </c>
      <c r="I1955" s="1823"/>
      <c r="J1955" s="1823"/>
      <c r="K1955" s="1822">
        <f>IFERROR(HLOOKUP(B1955,pp3p1m!$1:$3,3,0),0)</f>
        <v>0</v>
      </c>
      <c r="L1955" s="1823"/>
      <c r="M1955" s="1823"/>
      <c r="N1955" s="1823"/>
      <c r="O1955" s="1823"/>
      <c r="P1955" s="1823">
        <f t="shared" si="362"/>
        <v>0</v>
      </c>
      <c r="Q1955" s="1058"/>
      <c r="R1955" s="1058"/>
      <c r="S1955" s="1058"/>
      <c r="T1955" s="2035">
        <f>IFERROR(HLOOKUP(B1955,pp3p1m!183:185,3,0),0)</f>
        <v>0</v>
      </c>
    </row>
    <row r="1956" spans="1:20" ht="22.2" hidden="1" customHeight="1">
      <c r="A1956" s="59"/>
      <c r="B1956" s="1590" t="s">
        <v>357</v>
      </c>
      <c r="C1956" s="1013" t="str">
        <f t="shared" si="361"/>
        <v xml:space="preserve"> </v>
      </c>
      <c r="D1956" s="1550"/>
      <c r="E1956" s="1044" t="str">
        <f>VLOOKUP($B1956,DG!A:D,DG!$B$2,)</f>
        <v>02.1441</v>
      </c>
      <c r="F1956" s="1049" t="str">
        <f>VLOOKUP($B1956,DG!A:D,DG!$C$2,)</f>
        <v>V/c dây vào vị trí (cự ly &lt;=100m)</v>
      </c>
      <c r="G1956" s="1044" t="str">
        <f>VLOOKUP($B1956,DG!A:D,DG!$D$2,)</f>
        <v>tấn</v>
      </c>
      <c r="H1956" s="1823">
        <f t="shared" si="357"/>
        <v>0</v>
      </c>
      <c r="I1956" s="1823"/>
      <c r="J1956" s="1823"/>
      <c r="K1956" s="1822">
        <f>IFERROR(HLOOKUP(B1956,pp3p1m!$1:$3,3,0),0)</f>
        <v>0</v>
      </c>
      <c r="L1956" s="1823"/>
      <c r="M1956" s="1823"/>
      <c r="N1956" s="1823"/>
      <c r="O1956" s="1823"/>
      <c r="P1956" s="1823">
        <f t="shared" si="362"/>
        <v>0</v>
      </c>
      <c r="Q1956" s="1058"/>
      <c r="R1956" s="1058"/>
      <c r="S1956" s="1058"/>
      <c r="T1956" s="2035">
        <f>IFERROR(HLOOKUP(B1956,pp3p1m!184:186,3,0),0)</f>
        <v>0</v>
      </c>
    </row>
    <row r="1957" spans="1:20" ht="22.2" hidden="1" customHeight="1">
      <c r="A1957" s="59"/>
      <c r="B1957" s="1588" t="s">
        <v>606</v>
      </c>
      <c r="C1957" s="1013" t="str">
        <f t="shared" si="361"/>
        <v xml:space="preserve"> </v>
      </c>
      <c r="D1957" s="1550"/>
      <c r="E1957" s="1044" t="str">
        <f>VLOOKUP($B1957,DG!A:D,DG!$B$2,)</f>
        <v>02.1482</v>
      </c>
      <c r="F1957" s="1049" t="str">
        <f>VLOOKUP($B1957,DG!A:D,DG!$C$2,)</f>
        <v>V/c dụng cụ thi công vào vị trí (cự ly &lt;=100m)</v>
      </c>
      <c r="G1957" s="1044" t="str">
        <f>VLOOKUP($B1957,DG!A:D,DG!$D$2,)</f>
        <v>tấn</v>
      </c>
      <c r="H1957" s="1823">
        <f t="shared" si="357"/>
        <v>0</v>
      </c>
      <c r="I1957" s="1823"/>
      <c r="J1957" s="1823"/>
      <c r="K1957" s="1822">
        <f>IFERROR(HLOOKUP(B1957,pp3p1m!$1:$3,3,0),0)</f>
        <v>0</v>
      </c>
      <c r="L1957" s="1823"/>
      <c r="M1957" s="1823"/>
      <c r="N1957" s="1823"/>
      <c r="O1957" s="1823"/>
      <c r="P1957" s="1823">
        <f t="shared" si="362"/>
        <v>0</v>
      </c>
      <c r="Q1957" s="1058"/>
      <c r="R1957" s="1058"/>
      <c r="S1957" s="1058"/>
      <c r="T1957" s="2035">
        <f>IFERROR(HLOOKUP(B1957,pp3p1m!185:187,3,0),0)</f>
        <v>0</v>
      </c>
    </row>
    <row r="1958" spans="1:20" ht="22.2" hidden="1" customHeight="1">
      <c r="A1958" s="56" t="s">
        <v>1982</v>
      </c>
      <c r="B1958" s="1574" t="s">
        <v>1982</v>
      </c>
      <c r="C1958" s="1013" t="str">
        <f t="shared" si="361"/>
        <v xml:space="preserve"> </v>
      </c>
      <c r="D1958" s="1532"/>
      <c r="E1958" s="1046" t="s">
        <v>2176</v>
      </c>
      <c r="F1958" s="1392" t="s">
        <v>4567</v>
      </c>
      <c r="G1958" s="1046" t="s">
        <v>2307</v>
      </c>
      <c r="H1958" s="1821">
        <f>SUM(I1958:O1958)</f>
        <v>0</v>
      </c>
      <c r="I1958" s="1822"/>
      <c r="J1958" s="1822"/>
      <c r="K1958" s="1822"/>
      <c r="L1958" s="1822">
        <f>IF(SUM(L1959:L1961)&gt;0,1,0)</f>
        <v>0</v>
      </c>
      <c r="M1958" s="1822"/>
      <c r="N1958" s="1822"/>
      <c r="O1958" s="1822"/>
      <c r="P1958" s="1822"/>
      <c r="Q1958" s="1047"/>
      <c r="R1958" s="1047"/>
      <c r="S1958" s="1047"/>
      <c r="T1958" s="2035">
        <f>IFERROR(HLOOKUP(B1958,pp1p!$1:$3,3,0),0)</f>
        <v>0</v>
      </c>
    </row>
    <row r="1959" spans="1:20" ht="22.2" hidden="1" customHeight="1">
      <c r="A1959" s="59"/>
      <c r="B1959" s="1577" t="s">
        <v>1242</v>
      </c>
      <c r="C1959" s="1013" t="str">
        <f t="shared" si="361"/>
        <v xml:space="preserve"> </v>
      </c>
      <c r="D1959" s="1535">
        <f>ROUND(E1959*1.03*0.276,2)</f>
        <v>0</v>
      </c>
      <c r="E1959" s="1061">
        <f>pp1p!C97</f>
        <v>0</v>
      </c>
      <c r="F1959" s="1056" t="str">
        <f>VLOOKUP($B1959,DG!A:D,DG!$C$2,)</f>
        <v>Cáp nhôm lõi thép AC-70/11</v>
      </c>
      <c r="G1959" s="1044" t="str">
        <f>VLOOKUP($B1959,DG!A:D,DG!$D$2,)</f>
        <v>kg</v>
      </c>
      <c r="H1959" s="1823">
        <f>L1959</f>
        <v>0</v>
      </c>
      <c r="I1959" s="1823"/>
      <c r="J1959" s="1823"/>
      <c r="K1959" s="1823">
        <f>D1959</f>
        <v>0</v>
      </c>
      <c r="L1959" s="1822">
        <f>IFERROR(HLOOKUP(chitiet!B1959,pp1p!$1:$3,3,0),0)</f>
        <v>0</v>
      </c>
      <c r="M1959" s="1823"/>
      <c r="N1959" s="1823"/>
      <c r="O1959" s="1823"/>
      <c r="P1959" s="1823">
        <f t="shared" ref="P1959:P2018" si="364">H1959+Q1959-R1959</f>
        <v>0</v>
      </c>
      <c r="Q1959" s="1053"/>
      <c r="R1959" s="1053"/>
      <c r="S1959" s="1053"/>
      <c r="T1959" s="2035">
        <f>IFERROR(HLOOKUP(B1959,pp1p!$1:$3,3,0),0)</f>
        <v>0</v>
      </c>
    </row>
    <row r="1960" spans="1:20" ht="22.2" hidden="1" customHeight="1">
      <c r="A1960" s="59"/>
      <c r="B1960" s="1577" t="s">
        <v>88</v>
      </c>
      <c r="C1960" s="1013" t="str">
        <f t="shared" si="361"/>
        <v xml:space="preserve"> </v>
      </c>
      <c r="D1960" s="1541">
        <f>ROUND(E1960*1.02*0.195,2)</f>
        <v>0</v>
      </c>
      <c r="E1960" s="1061">
        <f>pp1p!C98</f>
        <v>0</v>
      </c>
      <c r="F1960" s="1056" t="str">
        <f>VLOOKUP($B1960,DG!A:D,DG!$C$2,)</f>
        <v>Cáp nhôm lõi thép AC-50/8</v>
      </c>
      <c r="G1960" s="1044" t="str">
        <f>VLOOKUP($B1960,DG!A:D,DG!$D$2,)</f>
        <v>kg</v>
      </c>
      <c r="H1960" s="1947">
        <f>D1960</f>
        <v>0</v>
      </c>
      <c r="I1960" s="1946"/>
      <c r="J1960" s="1946"/>
      <c r="K1960" s="1946"/>
      <c r="L1960" s="2144">
        <f>IFERROR(HLOOKUP(chitiet!B1960,pp1p!$1:$3,3,0),0)</f>
        <v>0</v>
      </c>
      <c r="M1960" s="1946"/>
      <c r="N1960" s="1946"/>
      <c r="O1960" s="1946"/>
      <c r="P1960" s="1947">
        <f t="shared" si="364"/>
        <v>0</v>
      </c>
      <c r="Q1960" s="1053"/>
      <c r="R1960" s="1053"/>
      <c r="S1960" s="1053"/>
      <c r="T1960" s="2035">
        <f>IFERROR(HLOOKUP(B1960,pp1p!$1:$3,3,0),0)</f>
        <v>0</v>
      </c>
    </row>
    <row r="1961" spans="1:20" ht="22.2" hidden="1" customHeight="1">
      <c r="A1961" s="59"/>
      <c r="B1961" s="1577" t="s">
        <v>360</v>
      </c>
      <c r="C1961" s="1013" t="str">
        <f t="shared" si="361"/>
        <v xml:space="preserve"> </v>
      </c>
      <c r="D1961" s="1535">
        <f>ROUND(E1961*1.03,2)</f>
        <v>0</v>
      </c>
      <c r="E1961" s="1061">
        <f>pp1p!C101</f>
        <v>0</v>
      </c>
      <c r="F1961" s="1056" t="str">
        <f>VLOOKUP($B1961,DG!A:D,DG!$C$2,)</f>
        <v>Cáp 24KV ACX 50mm2</v>
      </c>
      <c r="G1961" s="1044" t="str">
        <f>VLOOKUP($B1961,DG!A:D,DG!$D$2,)</f>
        <v>mét</v>
      </c>
      <c r="H1961" s="1947">
        <f>D1961</f>
        <v>0</v>
      </c>
      <c r="I1961" s="1946"/>
      <c r="J1961" s="1946"/>
      <c r="K1961" s="1946"/>
      <c r="L1961" s="2144">
        <f>IFERROR(HLOOKUP(chitiet!B1961,pp1p!$1:$3,3,0),0)</f>
        <v>0</v>
      </c>
      <c r="M1961" s="1946"/>
      <c r="N1961" s="1946"/>
      <c r="O1961" s="1946"/>
      <c r="P1961" s="1947">
        <f t="shared" si="364"/>
        <v>0</v>
      </c>
      <c r="Q1961" s="1053"/>
      <c r="R1961" s="1053"/>
      <c r="S1961" s="1053"/>
      <c r="T1961" s="2035">
        <f>IFERROR(HLOOKUP(B1961,pp1p!$1:$3,3,0),0)</f>
        <v>0</v>
      </c>
    </row>
    <row r="1962" spans="1:20" ht="22.2" hidden="1" customHeight="1">
      <c r="A1962" s="59"/>
      <c r="B1962" s="1596" t="s">
        <v>2505</v>
      </c>
      <c r="C1962" s="1013" t="str">
        <f t="shared" si="361"/>
        <v xml:space="preserve"> </v>
      </c>
      <c r="D1962" s="1548">
        <f>pp1p!BX94</f>
        <v>0</v>
      </c>
      <c r="E1962" s="1044"/>
      <c r="F1962" s="1062" t="s">
        <v>2506</v>
      </c>
      <c r="G1962" s="1063" t="s">
        <v>2445</v>
      </c>
      <c r="H1962" s="1823">
        <f t="shared" ref="H1962:H1968" si="365">D1962</f>
        <v>0</v>
      </c>
      <c r="I1962" s="1823"/>
      <c r="J1962" s="1823"/>
      <c r="K1962" s="1823"/>
      <c r="L1962" s="1822">
        <f>IFERROR(HLOOKUP(chitiet!B1962,pp1p!$1:$3,3,0),0)</f>
        <v>0</v>
      </c>
      <c r="M1962" s="1823"/>
      <c r="N1962" s="1823"/>
      <c r="O1962" s="1823"/>
      <c r="P1962" s="1823">
        <f t="shared" si="364"/>
        <v>0</v>
      </c>
      <c r="Q1962" s="1053"/>
      <c r="R1962" s="1053"/>
      <c r="S1962" s="1053"/>
      <c r="T1962" s="2035">
        <f>IFERROR(HLOOKUP(B1962,pp1p!$1:$3,3,0),0)</f>
        <v>0</v>
      </c>
    </row>
    <row r="1963" spans="1:20" ht="22.2" hidden="1" customHeight="1">
      <c r="A1963" s="59"/>
      <c r="B1963" s="1577" t="s">
        <v>1913</v>
      </c>
      <c r="C1963" s="1013" t="str">
        <f t="shared" si="361"/>
        <v xml:space="preserve"> </v>
      </c>
      <c r="D1963" s="1535">
        <f>D1962</f>
        <v>0</v>
      </c>
      <c r="E1963" s="1044"/>
      <c r="F1963" s="1056" t="str">
        <f>VLOOKUP($B1963,DG!A:D,DG!$C$2,)</f>
        <v>Uclevis + sứ ống chỉ</v>
      </c>
      <c r="G1963" s="1044" t="str">
        <f>VLOOKUP($B1963,DG!A:D,DG!$D$2,)</f>
        <v>bộ</v>
      </c>
      <c r="H1963" s="1823">
        <f t="shared" si="365"/>
        <v>0</v>
      </c>
      <c r="I1963" s="1823"/>
      <c r="J1963" s="1823"/>
      <c r="K1963" s="1823"/>
      <c r="L1963" s="1823">
        <f t="shared" ref="L1963:L2006" si="366">H1963</f>
        <v>0</v>
      </c>
      <c r="M1963" s="1823"/>
      <c r="N1963" s="1823"/>
      <c r="O1963" s="1823"/>
      <c r="P1963" s="1823">
        <f t="shared" si="364"/>
        <v>0</v>
      </c>
      <c r="Q1963" s="1053"/>
      <c r="R1963" s="1053"/>
      <c r="S1963" s="1053"/>
      <c r="T1963" s="2035">
        <f>IFERROR(HLOOKUP(B1963,pp1p!$1:$3,3,0),0)</f>
        <v>0</v>
      </c>
    </row>
    <row r="1964" spans="1:20" ht="22.2" hidden="1" customHeight="1">
      <c r="A1964" s="59"/>
      <c r="B1964" s="1577" t="s">
        <v>1613</v>
      </c>
      <c r="C1964" s="1013" t="str">
        <f t="shared" si="361"/>
        <v xml:space="preserve"> </v>
      </c>
      <c r="D1964" s="1535">
        <f>D1962</f>
        <v>0</v>
      </c>
      <c r="E1964" s="1044"/>
      <c r="F1964" s="1056" t="str">
        <f>VLOOKUP($B1964,DG!A:D,DG!$C$2,)</f>
        <v>Boulon 16x300+ 2 long đền vuông D18-50x50x3/Zn</v>
      </c>
      <c r="G1964" s="1044" t="str">
        <f>VLOOKUP($B1964,DG!A:D,DG!$D$2,)</f>
        <v>bộ</v>
      </c>
      <c r="H1964" s="1823">
        <f t="shared" si="365"/>
        <v>0</v>
      </c>
      <c r="I1964" s="1823"/>
      <c r="J1964" s="1823"/>
      <c r="K1964" s="1823"/>
      <c r="L1964" s="1823">
        <f t="shared" si="366"/>
        <v>0</v>
      </c>
      <c r="M1964" s="1823"/>
      <c r="N1964" s="1823"/>
      <c r="O1964" s="1823"/>
      <c r="P1964" s="1823">
        <f t="shared" si="364"/>
        <v>0</v>
      </c>
      <c r="Q1964" s="1053"/>
      <c r="R1964" s="1053"/>
      <c r="S1964" s="1053"/>
      <c r="T1964" s="2035">
        <f>IFERROR(HLOOKUP(B1964,pp1p!$1:$3,3,0),0)</f>
        <v>0</v>
      </c>
    </row>
    <row r="1965" spans="1:20" ht="22.2" hidden="1" customHeight="1">
      <c r="A1965" s="59"/>
      <c r="B1965" s="1596" t="s">
        <v>1624</v>
      </c>
      <c r="C1965" s="1013" t="str">
        <f t="shared" si="361"/>
        <v xml:space="preserve"> </v>
      </c>
      <c r="D1965" s="1548">
        <f>pp1p!BY94</f>
        <v>0</v>
      </c>
      <c r="E1965" s="1044"/>
      <c r="F1965" s="1062" t="s">
        <v>2507</v>
      </c>
      <c r="G1965" s="1063" t="s">
        <v>2445</v>
      </c>
      <c r="H1965" s="1823">
        <f t="shared" si="365"/>
        <v>0</v>
      </c>
      <c r="I1965" s="1823"/>
      <c r="J1965" s="1823"/>
      <c r="K1965" s="1823"/>
      <c r="L1965" s="1822">
        <f>IFERROR(HLOOKUP(chitiet!B1965,pp1p!$1:$3,3,0),0)</f>
        <v>0</v>
      </c>
      <c r="M1965" s="1823"/>
      <c r="N1965" s="1823"/>
      <c r="O1965" s="1823"/>
      <c r="P1965" s="1823">
        <f t="shared" si="364"/>
        <v>0</v>
      </c>
      <c r="Q1965" s="1053"/>
      <c r="R1965" s="1053"/>
      <c r="S1965" s="1053"/>
      <c r="T1965" s="2035">
        <f>IFERROR(HLOOKUP(B1965,pp1p!$1:$3,3,0),0)</f>
        <v>0</v>
      </c>
    </row>
    <row r="1966" spans="1:20" ht="22.2" hidden="1" customHeight="1">
      <c r="A1966" s="59"/>
      <c r="B1966" s="1577" t="s">
        <v>1913</v>
      </c>
      <c r="C1966" s="1013" t="str">
        <f t="shared" si="361"/>
        <v xml:space="preserve"> </v>
      </c>
      <c r="D1966" s="1535">
        <f>D1965</f>
        <v>0</v>
      </c>
      <c r="E1966" s="1044"/>
      <c r="F1966" s="1056" t="str">
        <f>VLOOKUP($B1966,DG!A:D,DG!$C$2,)</f>
        <v>Uclevis + sứ ống chỉ</v>
      </c>
      <c r="G1966" s="1044" t="str">
        <f>VLOOKUP($B1966,DG!A:D,DG!$D$2,)</f>
        <v>bộ</v>
      </c>
      <c r="H1966" s="1823">
        <f t="shared" si="365"/>
        <v>0</v>
      </c>
      <c r="I1966" s="1823"/>
      <c r="J1966" s="1823"/>
      <c r="K1966" s="1823"/>
      <c r="L1966" s="1823">
        <f t="shared" si="366"/>
        <v>0</v>
      </c>
      <c r="M1966" s="1823"/>
      <c r="N1966" s="1823"/>
      <c r="O1966" s="1823"/>
      <c r="P1966" s="1823">
        <f t="shared" si="364"/>
        <v>0</v>
      </c>
      <c r="Q1966" s="1053"/>
      <c r="R1966" s="1053"/>
      <c r="S1966" s="1053"/>
      <c r="T1966" s="2035">
        <f>IFERROR(HLOOKUP(B1966,pp1p!$1:$3,3,0),0)</f>
        <v>0</v>
      </c>
    </row>
    <row r="1967" spans="1:20" ht="22.2" hidden="1" customHeight="1">
      <c r="A1967" s="59"/>
      <c r="B1967" s="1577" t="s">
        <v>1613</v>
      </c>
      <c r="C1967" s="1013" t="str">
        <f t="shared" si="361"/>
        <v xml:space="preserve"> </v>
      </c>
      <c r="D1967" s="1535">
        <f>D1965</f>
        <v>0</v>
      </c>
      <c r="E1967" s="1044"/>
      <c r="F1967" s="1056" t="str">
        <f>VLOOKUP($B1967,DG!A:D,DG!$C$2,)</f>
        <v>Boulon 16x300+ 2 long đền vuông D18-50x50x3/Zn</v>
      </c>
      <c r="G1967" s="1044" t="str">
        <f>VLOOKUP($B1967,DG!A:D,DG!$D$2,)</f>
        <v>bộ</v>
      </c>
      <c r="H1967" s="1823">
        <f t="shared" si="365"/>
        <v>0</v>
      </c>
      <c r="I1967" s="1823"/>
      <c r="J1967" s="1823"/>
      <c r="K1967" s="1823"/>
      <c r="L1967" s="1823">
        <f t="shared" si="366"/>
        <v>0</v>
      </c>
      <c r="M1967" s="1823"/>
      <c r="N1967" s="1823"/>
      <c r="O1967" s="1823"/>
      <c r="P1967" s="1823">
        <f t="shared" si="364"/>
        <v>0</v>
      </c>
      <c r="Q1967" s="1053"/>
      <c r="R1967" s="1053"/>
      <c r="S1967" s="1053"/>
      <c r="T1967" s="2035">
        <f>IFERROR(HLOOKUP(B1967,pp1p!$1:$3,3,0),0)</f>
        <v>0</v>
      </c>
    </row>
    <row r="1968" spans="1:20" ht="22.2" hidden="1" customHeight="1">
      <c r="A1968" s="59"/>
      <c r="B1968" s="1577" t="s">
        <v>1855</v>
      </c>
      <c r="C1968" s="1013" t="str">
        <f t="shared" si="361"/>
        <v xml:space="preserve"> </v>
      </c>
      <c r="D1968" s="1535">
        <f>D1965*6</f>
        <v>0</v>
      </c>
      <c r="E1968" s="1044"/>
      <c r="F1968" s="1056" t="str">
        <f>VLOOKUP($B1968,DG!A:D,DG!$C$2,)</f>
        <v>Kẹp 2 rãnh (APC) cỡ dây 50mm2</v>
      </c>
      <c r="G1968" s="1044" t="str">
        <f>VLOOKUP($B1968,DG!A:D,DG!$D$2,)</f>
        <v>cái</v>
      </c>
      <c r="H1968" s="1823">
        <f t="shared" si="365"/>
        <v>0</v>
      </c>
      <c r="I1968" s="1823"/>
      <c r="J1968" s="1823"/>
      <c r="K1968" s="1823"/>
      <c r="L1968" s="1823">
        <f t="shared" si="366"/>
        <v>0</v>
      </c>
      <c r="M1968" s="1823"/>
      <c r="N1968" s="1823"/>
      <c r="O1968" s="1823"/>
      <c r="P1968" s="1823">
        <f t="shared" si="364"/>
        <v>0</v>
      </c>
      <c r="Q1968" s="1053"/>
      <c r="R1968" s="1053"/>
      <c r="S1968" s="1053"/>
      <c r="T1968" s="2035">
        <f>IFERROR(HLOOKUP(B1968,pp1p!$1:$3,3,0),0)</f>
        <v>0</v>
      </c>
    </row>
    <row r="1969" spans="1:20" ht="22.2" hidden="1" customHeight="1">
      <c r="A1969" s="59"/>
      <c r="B1969" s="1596" t="s">
        <v>1625</v>
      </c>
      <c r="C1969" s="1013" t="str">
        <f t="shared" si="361"/>
        <v xml:space="preserve"> </v>
      </c>
      <c r="D1969" s="1548">
        <f>pp1p!BZ94</f>
        <v>0</v>
      </c>
      <c r="E1969" s="1044"/>
      <c r="F1969" s="1062" t="s">
        <v>2508</v>
      </c>
      <c r="G1969" s="1063" t="s">
        <v>2445</v>
      </c>
      <c r="H1969" s="1823">
        <f>$D1969</f>
        <v>0</v>
      </c>
      <c r="I1969" s="1823"/>
      <c r="J1969" s="1823"/>
      <c r="K1969" s="1823">
        <f>D1969*0</f>
        <v>0</v>
      </c>
      <c r="L1969" s="1822">
        <f>IFERROR(HLOOKUP(chitiet!B1969,pp1p!$1:$3,3,0),0)</f>
        <v>0</v>
      </c>
      <c r="M1969" s="1823"/>
      <c r="N1969" s="1823"/>
      <c r="O1969" s="1823"/>
      <c r="P1969" s="1823">
        <f t="shared" si="364"/>
        <v>0</v>
      </c>
      <c r="Q1969" s="1053"/>
      <c r="R1969" s="1053"/>
      <c r="S1969" s="1053"/>
      <c r="T1969" s="2035">
        <f>IFERROR(HLOOKUP(B1969,pp1p!$1:$3,3,0),0)</f>
        <v>0</v>
      </c>
    </row>
    <row r="1970" spans="1:20" ht="22.2" hidden="1" customHeight="1">
      <c r="A1970" s="59"/>
      <c r="B1970" s="1597" t="s">
        <v>904</v>
      </c>
      <c r="C1970" s="1013" t="str">
        <f t="shared" si="361"/>
        <v xml:space="preserve"> </v>
      </c>
      <c r="D1970" s="1535">
        <f>D1969</f>
        <v>0</v>
      </c>
      <c r="E1970" s="1044"/>
      <c r="F1970" s="1056" t="str">
        <f>VLOOKUP($B1970,DG!A:D,DG!$C$2,)</f>
        <v>Khóa néo dây cỡ dây 50</v>
      </c>
      <c r="G1970" s="1044" t="s">
        <v>2563</v>
      </c>
      <c r="H1970" s="1823">
        <f>$D1970</f>
        <v>0</v>
      </c>
      <c r="I1970" s="1823"/>
      <c r="J1970" s="1823"/>
      <c r="K1970" s="1823">
        <f>D1970*0</f>
        <v>0</v>
      </c>
      <c r="L1970" s="1823"/>
      <c r="M1970" s="1823"/>
      <c r="N1970" s="1823"/>
      <c r="O1970" s="1823"/>
      <c r="P1970" s="1823">
        <f t="shared" si="364"/>
        <v>0</v>
      </c>
      <c r="Q1970" s="1053"/>
      <c r="R1970" s="1053"/>
      <c r="S1970" s="1053"/>
      <c r="T1970" s="2035">
        <f>IFERROR(HLOOKUP(B1970,pp1p!$1:$3,3,0),0)</f>
        <v>0</v>
      </c>
    </row>
    <row r="1971" spans="1:20" ht="22.2" hidden="1" customHeight="1">
      <c r="A1971" s="59"/>
      <c r="B1971" s="1577" t="s">
        <v>1489</v>
      </c>
      <c r="C1971" s="1013" t="str">
        <f t="shared" si="361"/>
        <v xml:space="preserve"> </v>
      </c>
      <c r="D1971" s="1535">
        <f>D1969*2</f>
        <v>0</v>
      </c>
      <c r="E1971" s="1044"/>
      <c r="F1971" s="1056" t="str">
        <f>VLOOKUP($B1971,DG!A:D,DG!$C$2,)</f>
        <v xml:space="preserve">Móc treo chữ U </v>
      </c>
      <c r="G1971" s="1044" t="s">
        <v>2563</v>
      </c>
      <c r="H1971" s="1823">
        <f>$D1971</f>
        <v>0</v>
      </c>
      <c r="I1971" s="1823"/>
      <c r="J1971" s="1823"/>
      <c r="K1971" s="1823">
        <f>D1971*0</f>
        <v>0</v>
      </c>
      <c r="L1971" s="1823"/>
      <c r="M1971" s="1823"/>
      <c r="N1971" s="1823"/>
      <c r="O1971" s="1823"/>
      <c r="P1971" s="1823">
        <f t="shared" si="364"/>
        <v>0</v>
      </c>
      <c r="Q1971" s="1053"/>
      <c r="R1971" s="1053"/>
      <c r="S1971" s="1053"/>
      <c r="T1971" s="2035">
        <f>IFERROR(HLOOKUP(B1971,pp1p!$1:$3,3,0),0)</f>
        <v>0</v>
      </c>
    </row>
    <row r="1972" spans="1:20" ht="22.2" hidden="1" customHeight="1">
      <c r="A1972" s="59"/>
      <c r="B1972" s="1577" t="s">
        <v>417</v>
      </c>
      <c r="C1972" s="1013" t="str">
        <f t="shared" si="361"/>
        <v xml:space="preserve"> </v>
      </c>
      <c r="D1972" s="1535">
        <f>D1970</f>
        <v>0</v>
      </c>
      <c r="E1972" s="1044"/>
      <c r="F1972" s="1056" t="str">
        <f>VLOOKUP($B1972,DG!A:D,DG!$C$2,)</f>
        <v>Boulon mắt 16x300+ 2 long đền vuông D18-50x50x3/Zn</v>
      </c>
      <c r="G1972" s="1044" t="s">
        <v>2445</v>
      </c>
      <c r="H1972" s="1823">
        <f>$D1972</f>
        <v>0</v>
      </c>
      <c r="I1972" s="1823"/>
      <c r="J1972" s="1823"/>
      <c r="K1972" s="1823">
        <f>D1972*0</f>
        <v>0</v>
      </c>
      <c r="L1972" s="1823"/>
      <c r="M1972" s="1823"/>
      <c r="N1972" s="1823"/>
      <c r="O1972" s="1823"/>
      <c r="P1972" s="1823">
        <f t="shared" si="364"/>
        <v>0</v>
      </c>
      <c r="Q1972" s="1053"/>
      <c r="R1972" s="1053"/>
      <c r="S1972" s="1053"/>
      <c r="T1972" s="2035">
        <f>IFERROR(HLOOKUP(B1972,pp1p!$1:$3,3,0),0)</f>
        <v>0</v>
      </c>
    </row>
    <row r="1973" spans="1:20" ht="22.2" hidden="1" customHeight="1">
      <c r="A1973" s="59"/>
      <c r="B1973" s="1577" t="s">
        <v>1582</v>
      </c>
      <c r="C1973" s="1013" t="str">
        <f t="shared" si="361"/>
        <v xml:space="preserve"> </v>
      </c>
      <c r="D1973" s="1535">
        <f>D1969</f>
        <v>0</v>
      </c>
      <c r="E1973" s="1044"/>
      <c r="F1973" s="1056" t="str">
        <f>VLOOKUP($B1973,DG!A:D,DG!$C$2,)</f>
        <v>Kẹp ép WR cỡ dây 50mm2</v>
      </c>
      <c r="G1973" s="1044" t="s">
        <v>2563</v>
      </c>
      <c r="H1973" s="1823">
        <f>$D1973</f>
        <v>0</v>
      </c>
      <c r="I1973" s="1823"/>
      <c r="J1973" s="1823"/>
      <c r="K1973" s="1823">
        <f>D1973*0</f>
        <v>0</v>
      </c>
      <c r="L1973" s="1823"/>
      <c r="M1973" s="1823"/>
      <c r="N1973" s="1823"/>
      <c r="O1973" s="1823"/>
      <c r="P1973" s="1823">
        <f t="shared" si="364"/>
        <v>0</v>
      </c>
      <c r="Q1973" s="1053"/>
      <c r="R1973" s="1053"/>
      <c r="S1973" s="1053"/>
      <c r="T1973" s="2035">
        <f>IFERROR(HLOOKUP(B1973,pp1p!$1:$3,3,0),0)</f>
        <v>0</v>
      </c>
    </row>
    <row r="1974" spans="1:20" ht="22.2" hidden="1" customHeight="1">
      <c r="A1974" s="59"/>
      <c r="B1974" s="1596" t="s">
        <v>2510</v>
      </c>
      <c r="C1974" s="1013" t="str">
        <f t="shared" si="361"/>
        <v xml:space="preserve"> </v>
      </c>
      <c r="D1974" s="1548">
        <f>pp1p!BS94</f>
        <v>0</v>
      </c>
      <c r="E1974" s="1044"/>
      <c r="F1974" s="1062" t="s">
        <v>2511</v>
      </c>
      <c r="G1974" s="1063" t="s">
        <v>2445</v>
      </c>
      <c r="H1974" s="1823">
        <f t="shared" ref="H1974:H1990" si="367">D1974</f>
        <v>0</v>
      </c>
      <c r="I1974" s="1823"/>
      <c r="J1974" s="1823"/>
      <c r="K1974" s="1823"/>
      <c r="L1974" s="1822">
        <f>IFERROR(HLOOKUP(chitiet!B1974,pp1p!$1:$3,3,0),0)</f>
        <v>0</v>
      </c>
      <c r="M1974" s="1823"/>
      <c r="N1974" s="1823"/>
      <c r="O1974" s="1823"/>
      <c r="P1974" s="1823">
        <f t="shared" si="364"/>
        <v>0</v>
      </c>
      <c r="Q1974" s="1053"/>
      <c r="R1974" s="1053"/>
      <c r="S1974" s="1053"/>
      <c r="T1974" s="2035">
        <f>IFERROR(HLOOKUP(B1974,pp1p!$1:$3,3,0),0)</f>
        <v>0</v>
      </c>
    </row>
    <row r="1975" spans="1:20" ht="22.2" hidden="1" customHeight="1">
      <c r="A1975" s="59"/>
      <c r="B1975" s="1577" t="s">
        <v>696</v>
      </c>
      <c r="C1975" s="1013" t="str">
        <f t="shared" si="361"/>
        <v xml:space="preserve"> </v>
      </c>
      <c r="D1975" s="1535">
        <f>D1974</f>
        <v>0</v>
      </c>
      <c r="E1975" s="1044"/>
      <c r="F1975" s="1056" t="str">
        <f>VLOOKUP($B1975,DG!A:D,DG!$C$2,)</f>
        <v xml:space="preserve">Sứ đứng 24KV </v>
      </c>
      <c r="G1975" s="1044" t="str">
        <f>VLOOKUP($B1975,DG!A:D,DG!$D$2,)</f>
        <v>cái</v>
      </c>
      <c r="H1975" s="1823">
        <f t="shared" si="367"/>
        <v>0</v>
      </c>
      <c r="I1975" s="1823"/>
      <c r="J1975" s="1823"/>
      <c r="K1975" s="1823"/>
      <c r="L1975" s="1823">
        <f t="shared" si="366"/>
        <v>0</v>
      </c>
      <c r="M1975" s="1823"/>
      <c r="N1975" s="1823"/>
      <c r="O1975" s="1823"/>
      <c r="P1975" s="1823">
        <f t="shared" si="364"/>
        <v>0</v>
      </c>
      <c r="Q1975" s="1053"/>
      <c r="R1975" s="1053"/>
      <c r="S1975" s="1053"/>
      <c r="T1975" s="2035">
        <f>IFERROR(HLOOKUP(B1975,pp1p!$1:$3,3,0),0)</f>
        <v>0</v>
      </c>
    </row>
    <row r="1976" spans="1:20" ht="22.2" hidden="1" customHeight="1">
      <c r="A1976" s="59"/>
      <c r="B1976" s="1577" t="s">
        <v>1268</v>
      </c>
      <c r="C1976" s="1013" t="str">
        <f t="shared" si="361"/>
        <v xml:space="preserve"> </v>
      </c>
      <c r="D1976" s="1535">
        <f>D1974</f>
        <v>0</v>
      </c>
      <c r="E1976" s="1044"/>
      <c r="F1976" s="1056" t="str">
        <f>VLOOKUP($B1976,DG!A:D,DG!$C$2,)</f>
        <v>Chân sứ đứng D20</v>
      </c>
      <c r="G1976" s="1044" t="str">
        <f>VLOOKUP($B1976,DG!A:D,DG!$D$2,)</f>
        <v>cái</v>
      </c>
      <c r="H1976" s="1823">
        <f t="shared" si="367"/>
        <v>0</v>
      </c>
      <c r="I1976" s="1823"/>
      <c r="J1976" s="1823"/>
      <c r="K1976" s="1823"/>
      <c r="L1976" s="1823">
        <f t="shared" si="366"/>
        <v>0</v>
      </c>
      <c r="M1976" s="1823"/>
      <c r="N1976" s="1823"/>
      <c r="O1976" s="1823"/>
      <c r="P1976" s="1823">
        <f t="shared" si="364"/>
        <v>0</v>
      </c>
      <c r="Q1976" s="1053"/>
      <c r="R1976" s="1053"/>
      <c r="S1976" s="1053"/>
      <c r="T1976" s="2035">
        <f>IFERROR(HLOOKUP(B1976,pp1p!$1:$3,3,0),0)</f>
        <v>0</v>
      </c>
    </row>
    <row r="1977" spans="1:20" ht="22.2" hidden="1" customHeight="1">
      <c r="A1977" s="59"/>
      <c r="B1977" s="1596" t="s">
        <v>2512</v>
      </c>
      <c r="C1977" s="1013" t="str">
        <f t="shared" si="361"/>
        <v xml:space="preserve"> </v>
      </c>
      <c r="D1977" s="1548">
        <f>pp1p!BO94</f>
        <v>0</v>
      </c>
      <c r="E1977" s="1044"/>
      <c r="F1977" s="1062" t="s">
        <v>2513</v>
      </c>
      <c r="G1977" s="1063" t="s">
        <v>2445</v>
      </c>
      <c r="H1977" s="1823">
        <f t="shared" si="367"/>
        <v>0</v>
      </c>
      <c r="I1977" s="1823"/>
      <c r="J1977" s="1823"/>
      <c r="K1977" s="1823"/>
      <c r="L1977" s="1822">
        <f>IFERROR(HLOOKUP(chitiet!B1977,pp1p!$1:$3,3,0),0)</f>
        <v>0</v>
      </c>
      <c r="M1977" s="1823"/>
      <c r="N1977" s="1823"/>
      <c r="O1977" s="1823"/>
      <c r="P1977" s="1823">
        <f t="shared" si="364"/>
        <v>0</v>
      </c>
      <c r="Q1977" s="1053"/>
      <c r="R1977" s="1053"/>
      <c r="S1977" s="1053"/>
      <c r="T1977" s="2035">
        <f>IFERROR(HLOOKUP(B1977,pp1p!$1:$3,3,0),0)</f>
        <v>0</v>
      </c>
    </row>
    <row r="1978" spans="1:20" ht="22.2" hidden="1" customHeight="1">
      <c r="A1978" s="59"/>
      <c r="B1978" s="1577" t="s">
        <v>696</v>
      </c>
      <c r="C1978" s="1013" t="str">
        <f t="shared" si="361"/>
        <v xml:space="preserve"> </v>
      </c>
      <c r="D1978" s="1535">
        <f>D1977</f>
        <v>0</v>
      </c>
      <c r="E1978" s="1044"/>
      <c r="F1978" s="1056" t="str">
        <f>VLOOKUP($B1978,DG!A:D,DG!$C$2,)</f>
        <v xml:space="preserve">Sứ đứng 24KV </v>
      </c>
      <c r="G1978" s="1044" t="str">
        <f>VLOOKUP($B1978,DG!A:D,DG!$D$2,)</f>
        <v>cái</v>
      </c>
      <c r="H1978" s="1823">
        <f t="shared" si="367"/>
        <v>0</v>
      </c>
      <c r="I1978" s="1823"/>
      <c r="J1978" s="1823"/>
      <c r="K1978" s="1823"/>
      <c r="L1978" s="1823">
        <f t="shared" si="366"/>
        <v>0</v>
      </c>
      <c r="M1978" s="1823"/>
      <c r="N1978" s="1823"/>
      <c r="O1978" s="1823"/>
      <c r="P1978" s="1823">
        <f t="shared" si="364"/>
        <v>0</v>
      </c>
      <c r="Q1978" s="1053"/>
      <c r="R1978" s="1053"/>
      <c r="S1978" s="1053"/>
      <c r="T1978" s="2035">
        <f>IFERROR(HLOOKUP(B1978,pp1p!$1:$3,3,0),0)</f>
        <v>0</v>
      </c>
    </row>
    <row r="1979" spans="1:20" ht="22.2" hidden="1" customHeight="1">
      <c r="A1979" s="59"/>
      <c r="B1979" s="1577" t="s">
        <v>1269</v>
      </c>
      <c r="C1979" s="1013" t="str">
        <f t="shared" si="361"/>
        <v xml:space="preserve"> </v>
      </c>
      <c r="D1979" s="1535">
        <f>D1977</f>
        <v>0</v>
      </c>
      <c r="E1979" s="1044"/>
      <c r="F1979" s="1056" t="str">
        <f>VLOOKUP($B1979,DG!A:D,DG!$C$2,)</f>
        <v>Chân sứ đỉnh thẳng dài 870mm</v>
      </c>
      <c r="G1979" s="1044" t="str">
        <f>VLOOKUP($B1979,DG!A:D,DG!$D$2,)</f>
        <v>cái</v>
      </c>
      <c r="H1979" s="1823">
        <f t="shared" si="367"/>
        <v>0</v>
      </c>
      <c r="I1979" s="1823"/>
      <c r="J1979" s="1823"/>
      <c r="K1979" s="1823"/>
      <c r="L1979" s="1823">
        <f t="shared" si="366"/>
        <v>0</v>
      </c>
      <c r="M1979" s="1823"/>
      <c r="N1979" s="1823"/>
      <c r="O1979" s="1823"/>
      <c r="P1979" s="1823">
        <f t="shared" si="364"/>
        <v>0</v>
      </c>
      <c r="Q1979" s="1053"/>
      <c r="R1979" s="1053"/>
      <c r="S1979" s="1053"/>
      <c r="T1979" s="2035">
        <f>IFERROR(HLOOKUP(B1979,pp1p!$1:$3,3,0),0)</f>
        <v>0</v>
      </c>
    </row>
    <row r="1980" spans="1:20" ht="22.2" hidden="1" customHeight="1">
      <c r="A1980" s="59"/>
      <c r="B1980" s="1577" t="s">
        <v>1613</v>
      </c>
      <c r="C1980" s="1013" t="str">
        <f t="shared" si="361"/>
        <v xml:space="preserve"> </v>
      </c>
      <c r="D1980" s="1535">
        <f>D1977*2</f>
        <v>0</v>
      </c>
      <c r="E1980" s="1044"/>
      <c r="F1980" s="1056" t="str">
        <f>VLOOKUP($B1980,DG!A:D,DG!$C$2,)</f>
        <v>Boulon 16x300+ 2 long đền vuông D18-50x50x3/Zn</v>
      </c>
      <c r="G1980" s="1044" t="str">
        <f>VLOOKUP($B1980,DG!A:D,DG!$D$2,)</f>
        <v>bộ</v>
      </c>
      <c r="H1980" s="1823">
        <f t="shared" si="367"/>
        <v>0</v>
      </c>
      <c r="I1980" s="1823"/>
      <c r="J1980" s="1823"/>
      <c r="K1980" s="1823"/>
      <c r="L1980" s="1823">
        <f t="shared" si="366"/>
        <v>0</v>
      </c>
      <c r="M1980" s="1823"/>
      <c r="N1980" s="1823"/>
      <c r="O1980" s="1823"/>
      <c r="P1980" s="1823">
        <f t="shared" si="364"/>
        <v>0</v>
      </c>
      <c r="Q1980" s="1053"/>
      <c r="R1980" s="1053"/>
      <c r="S1980" s="1053"/>
      <c r="T1980" s="2035">
        <f>IFERROR(HLOOKUP(B1980,pp1p!$1:$3,3,0),0)</f>
        <v>0</v>
      </c>
    </row>
    <row r="1981" spans="1:20" ht="22.2" hidden="1" customHeight="1">
      <c r="A1981" s="63"/>
      <c r="B1981" s="1598" t="s">
        <v>2514</v>
      </c>
      <c r="C1981" s="1013" t="str">
        <f t="shared" si="361"/>
        <v xml:space="preserve"> </v>
      </c>
      <c r="D1981" s="1549">
        <f>pp1p!BP94</f>
        <v>0</v>
      </c>
      <c r="E1981" s="1048"/>
      <c r="F1981" s="1062" t="s">
        <v>2515</v>
      </c>
      <c r="G1981" s="1283" t="s">
        <v>2445</v>
      </c>
      <c r="H1981" s="1824">
        <f t="shared" si="367"/>
        <v>0</v>
      </c>
      <c r="I1981" s="1824"/>
      <c r="J1981" s="1824"/>
      <c r="K1981" s="1823"/>
      <c r="L1981" s="1822">
        <f>IFERROR(HLOOKUP(chitiet!B1981,pp1p!$1:$3,3,0),0)</f>
        <v>0</v>
      </c>
      <c r="M1981" s="1824"/>
      <c r="N1981" s="1824"/>
      <c r="O1981" s="1824"/>
      <c r="P1981" s="1823">
        <f t="shared" si="364"/>
        <v>0</v>
      </c>
      <c r="Q1981" s="1052"/>
      <c r="R1981" s="1052"/>
      <c r="S1981" s="1052"/>
      <c r="T1981" s="2035">
        <f>IFERROR(HLOOKUP(B1981,pp1p!$1:$3,3,0),0)</f>
        <v>0</v>
      </c>
    </row>
    <row r="1982" spans="1:20" ht="22.2" hidden="1" customHeight="1">
      <c r="A1982" s="63"/>
      <c r="B1982" s="1577" t="s">
        <v>696</v>
      </c>
      <c r="C1982" s="1013" t="str">
        <f t="shared" ref="C1982:C2047" si="368">IF(OR(P1982&lt;&gt;0,H1982&lt;&gt;0),"x"," ")</f>
        <v xml:space="preserve"> </v>
      </c>
      <c r="D1982" s="1538">
        <f>D1981*2</f>
        <v>0</v>
      </c>
      <c r="E1982" s="1048"/>
      <c r="F1982" s="1056" t="str">
        <f>VLOOKUP($B1982,DG!A:D,DG!$C$2,)</f>
        <v xml:space="preserve">Sứ đứng 24KV </v>
      </c>
      <c r="G1982" s="1044" t="str">
        <f>VLOOKUP($B1982,DG!A:D,DG!$D$2,)</f>
        <v>cái</v>
      </c>
      <c r="H1982" s="1824">
        <f t="shared" si="367"/>
        <v>0</v>
      </c>
      <c r="I1982" s="1824"/>
      <c r="J1982" s="1824"/>
      <c r="K1982" s="1823"/>
      <c r="L1982" s="1823">
        <f t="shared" si="366"/>
        <v>0</v>
      </c>
      <c r="M1982" s="1824"/>
      <c r="N1982" s="1824"/>
      <c r="O1982" s="1824"/>
      <c r="P1982" s="1823">
        <f t="shared" si="364"/>
        <v>0</v>
      </c>
      <c r="Q1982" s="1052"/>
      <c r="R1982" s="1052"/>
      <c r="S1982" s="1052"/>
      <c r="T1982" s="2035">
        <f>IFERROR(HLOOKUP(B1982,pp1p!$1:$3,3,0),0)</f>
        <v>0</v>
      </c>
    </row>
    <row r="1983" spans="1:20" ht="22.2" hidden="1" customHeight="1">
      <c r="A1983" s="63"/>
      <c r="B1983" s="1577" t="s">
        <v>590</v>
      </c>
      <c r="C1983" s="1013" t="str">
        <f t="shared" si="368"/>
        <v xml:space="preserve"> </v>
      </c>
      <c r="D1983" s="1538">
        <f>D1981*2</f>
        <v>0</v>
      </c>
      <c r="E1983" s="1048"/>
      <c r="F1983" s="1056" t="str">
        <f>VLOOKUP($B1983,DG!A:D,DG!$C$2,)</f>
        <v>Chân sứ đỉnh đỡ góc dài 870mm</v>
      </c>
      <c r="G1983" s="1044" t="str">
        <f>VLOOKUP($B1983,DG!A:D,DG!$D$2,)</f>
        <v>cái</v>
      </c>
      <c r="H1983" s="1824">
        <f t="shared" si="367"/>
        <v>0</v>
      </c>
      <c r="I1983" s="1824"/>
      <c r="J1983" s="1824"/>
      <c r="K1983" s="1823"/>
      <c r="L1983" s="1823">
        <f t="shared" si="366"/>
        <v>0</v>
      </c>
      <c r="M1983" s="1824"/>
      <c r="N1983" s="1824"/>
      <c r="O1983" s="1824"/>
      <c r="P1983" s="1823">
        <f t="shared" si="364"/>
        <v>0</v>
      </c>
      <c r="Q1983" s="1052"/>
      <c r="R1983" s="1052"/>
      <c r="S1983" s="1052"/>
      <c r="T1983" s="2035">
        <f>IFERROR(HLOOKUP(B1983,pp1p!$1:$3,3,0),0)</f>
        <v>0</v>
      </c>
    </row>
    <row r="1984" spans="1:20" ht="22.2" hidden="1" customHeight="1">
      <c r="A1984" s="63"/>
      <c r="B1984" s="1577" t="s">
        <v>1613</v>
      </c>
      <c r="C1984" s="1013" t="str">
        <f t="shared" si="368"/>
        <v xml:space="preserve"> </v>
      </c>
      <c r="D1984" s="1538">
        <f>D1981*2</f>
        <v>0</v>
      </c>
      <c r="E1984" s="1048"/>
      <c r="F1984" s="1056" t="str">
        <f>VLOOKUP($B1984,DG!A:D,DG!$C$2,)</f>
        <v>Boulon 16x300+ 2 long đền vuông D18-50x50x3/Zn</v>
      </c>
      <c r="G1984" s="1044" t="str">
        <f>VLOOKUP($B1984,DG!A:D,DG!$D$2,)</f>
        <v>bộ</v>
      </c>
      <c r="H1984" s="1824">
        <f t="shared" si="367"/>
        <v>0</v>
      </c>
      <c r="I1984" s="1824"/>
      <c r="J1984" s="1824"/>
      <c r="K1984" s="1823"/>
      <c r="L1984" s="1823">
        <f t="shared" si="366"/>
        <v>0</v>
      </c>
      <c r="M1984" s="1824"/>
      <c r="N1984" s="1824"/>
      <c r="O1984" s="1824"/>
      <c r="P1984" s="1823">
        <f t="shared" si="364"/>
        <v>0</v>
      </c>
      <c r="Q1984" s="1052"/>
      <c r="R1984" s="1052"/>
      <c r="S1984" s="1052"/>
      <c r="T1984" s="2035">
        <f>IFERROR(HLOOKUP(B1984,pp1p!$1:$3,3,0),0)</f>
        <v>0</v>
      </c>
    </row>
    <row r="1985" spans="1:20" ht="22.2" hidden="1" customHeight="1">
      <c r="A1985" s="59"/>
      <c r="B1985" s="1596" t="s">
        <v>2516</v>
      </c>
      <c r="C1985" s="1013" t="str">
        <f t="shared" si="368"/>
        <v xml:space="preserve"> </v>
      </c>
      <c r="D1985" s="1548">
        <f>pp1p!BV94</f>
        <v>0</v>
      </c>
      <c r="E1985" s="1044"/>
      <c r="F1985" s="1062" t="s">
        <v>2517</v>
      </c>
      <c r="G1985" s="1063" t="s">
        <v>2518</v>
      </c>
      <c r="H1985" s="1823">
        <f t="shared" si="367"/>
        <v>0</v>
      </c>
      <c r="I1985" s="1823"/>
      <c r="J1985" s="1823"/>
      <c r="K1985" s="1823"/>
      <c r="L1985" s="1822">
        <f>IFERROR(HLOOKUP(chitiet!B1985,pp1p!$1:$3,3,0),0)</f>
        <v>0</v>
      </c>
      <c r="M1985" s="1823"/>
      <c r="N1985" s="1823"/>
      <c r="O1985" s="1823"/>
      <c r="P1985" s="1823">
        <f t="shared" si="364"/>
        <v>0</v>
      </c>
      <c r="Q1985" s="1053"/>
      <c r="R1985" s="1053"/>
      <c r="S1985" s="1053"/>
      <c r="T1985" s="2035">
        <f>IFERROR(HLOOKUP(B1985,pp1p!$1:$3,3,0),0)</f>
        <v>0</v>
      </c>
    </row>
    <row r="1986" spans="1:20" ht="22.2" hidden="1" customHeight="1">
      <c r="A1986" s="59"/>
      <c r="B1986" s="1577" t="s">
        <v>1270</v>
      </c>
      <c r="C1986" s="1013" t="str">
        <f t="shared" si="368"/>
        <v xml:space="preserve"> </v>
      </c>
      <c r="D1986" s="1535">
        <f>D1985*2</f>
        <v>0</v>
      </c>
      <c r="E1986" s="1044"/>
      <c r="F1986" s="1056" t="str">
        <f>VLOOKUP($B1986,DG!A:D,DG!$C$2,)</f>
        <v>Sứ treo loại 70kN</v>
      </c>
      <c r="G1986" s="1044" t="str">
        <f>VLOOKUP($B1986,DG!A:D,DG!$D$2,)</f>
        <v>bát</v>
      </c>
      <c r="H1986" s="1823">
        <f t="shared" si="367"/>
        <v>0</v>
      </c>
      <c r="I1986" s="1823"/>
      <c r="J1986" s="1823"/>
      <c r="K1986" s="1823"/>
      <c r="L1986" s="1823">
        <f t="shared" si="366"/>
        <v>0</v>
      </c>
      <c r="M1986" s="1823"/>
      <c r="N1986" s="1823"/>
      <c r="O1986" s="1823"/>
      <c r="P1986" s="1823">
        <f t="shared" si="364"/>
        <v>0</v>
      </c>
      <c r="Q1986" s="1053"/>
      <c r="R1986" s="1053"/>
      <c r="S1986" s="1053"/>
      <c r="T1986" s="2035">
        <f>IFERROR(HLOOKUP(B1986,pp1p!$1:$3,3,0),0)</f>
        <v>0</v>
      </c>
    </row>
    <row r="1987" spans="1:20" ht="22.2" hidden="1" customHeight="1">
      <c r="A1987" s="59"/>
      <c r="B1987" s="1577" t="s">
        <v>1489</v>
      </c>
      <c r="C1987" s="1013" t="str">
        <f t="shared" si="368"/>
        <v xml:space="preserve"> </v>
      </c>
      <c r="D1987" s="1535">
        <f>D1985*2</f>
        <v>0</v>
      </c>
      <c r="E1987" s="1044"/>
      <c r="F1987" s="1056" t="str">
        <f>VLOOKUP($B1987,DG!A:D,DG!$C$2,)</f>
        <v xml:space="preserve">Móc treo chữ U </v>
      </c>
      <c r="G1987" s="1044" t="str">
        <f>VLOOKUP($B1987,DG!A:D,DG!$D$2,)</f>
        <v>cái</v>
      </c>
      <c r="H1987" s="1823">
        <f t="shared" si="367"/>
        <v>0</v>
      </c>
      <c r="I1987" s="1823"/>
      <c r="J1987" s="1823"/>
      <c r="K1987" s="1823"/>
      <c r="L1987" s="1823">
        <f t="shared" si="366"/>
        <v>0</v>
      </c>
      <c r="M1987" s="1823"/>
      <c r="N1987" s="1823"/>
      <c r="O1987" s="1823"/>
      <c r="P1987" s="1823">
        <f t="shared" si="364"/>
        <v>0</v>
      </c>
      <c r="Q1987" s="1053"/>
      <c r="R1987" s="1053"/>
      <c r="S1987" s="1053"/>
      <c r="T1987" s="2035">
        <f>IFERROR(HLOOKUP(B1987,pp1p!$1:$3,3,0),0)</f>
        <v>0</v>
      </c>
    </row>
    <row r="1988" spans="1:20" ht="22.2" hidden="1" customHeight="1">
      <c r="A1988" s="59"/>
      <c r="B1988" s="1577" t="s">
        <v>1572</v>
      </c>
      <c r="C1988" s="1013" t="str">
        <f t="shared" si="368"/>
        <v xml:space="preserve"> </v>
      </c>
      <c r="D1988" s="1535">
        <f>D1985</f>
        <v>0</v>
      </c>
      <c r="E1988" s="1044"/>
      <c r="F1988" s="1056" t="str">
        <f>VLOOKUP($B1988,DG!A:D,DG!$C$2,)</f>
        <v>Vòng treo đầu tròn</v>
      </c>
      <c r="G1988" s="1044" t="str">
        <f>VLOOKUP($B1988,DG!A:D,DG!$D$2,)</f>
        <v>cái</v>
      </c>
      <c r="H1988" s="1823">
        <f t="shared" si="367"/>
        <v>0</v>
      </c>
      <c r="I1988" s="1823"/>
      <c r="J1988" s="1823"/>
      <c r="K1988" s="1823"/>
      <c r="L1988" s="1823">
        <f t="shared" si="366"/>
        <v>0</v>
      </c>
      <c r="M1988" s="1823"/>
      <c r="N1988" s="1823"/>
      <c r="O1988" s="1823"/>
      <c r="P1988" s="1823">
        <f t="shared" si="364"/>
        <v>0</v>
      </c>
      <c r="Q1988" s="1053"/>
      <c r="R1988" s="1053"/>
      <c r="S1988" s="1053"/>
      <c r="T1988" s="2035">
        <f>IFERROR(HLOOKUP(B1988,pp1p!$1:$3,3,0),0)</f>
        <v>0</v>
      </c>
    </row>
    <row r="1989" spans="1:20" ht="22.2" hidden="1" customHeight="1">
      <c r="A1989" s="59"/>
      <c r="B1989" s="1577" t="s">
        <v>1487</v>
      </c>
      <c r="C1989" s="1013" t="str">
        <f t="shared" si="368"/>
        <v xml:space="preserve"> </v>
      </c>
      <c r="D1989" s="1535">
        <f>D1985</f>
        <v>0</v>
      </c>
      <c r="E1989" s="1044"/>
      <c r="F1989" s="1056" t="str">
        <f>VLOOKUP($B1989,DG!A:D,DG!$C$2,)</f>
        <v>Mắt nối đơn</v>
      </c>
      <c r="G1989" s="1044" t="str">
        <f>VLOOKUP($B1989,DG!A:D,DG!$D$2,)</f>
        <v>cái</v>
      </c>
      <c r="H1989" s="1823">
        <f t="shared" si="367"/>
        <v>0</v>
      </c>
      <c r="I1989" s="1823"/>
      <c r="J1989" s="1823"/>
      <c r="K1989" s="1823"/>
      <c r="L1989" s="1823">
        <f t="shared" si="366"/>
        <v>0</v>
      </c>
      <c r="M1989" s="1823"/>
      <c r="N1989" s="1823"/>
      <c r="O1989" s="1823"/>
      <c r="P1989" s="1823">
        <f t="shared" si="364"/>
        <v>0</v>
      </c>
      <c r="Q1989" s="1053"/>
      <c r="R1989" s="1053"/>
      <c r="S1989" s="1053"/>
      <c r="T1989" s="2035">
        <f>IFERROR(HLOOKUP(B1989,pp1p!$1:$3,3,0),0)</f>
        <v>0</v>
      </c>
    </row>
    <row r="1990" spans="1:20" ht="22.2" hidden="1" customHeight="1">
      <c r="A1990" s="59"/>
      <c r="B1990" s="1577" t="s">
        <v>1271</v>
      </c>
      <c r="C1990" s="1013" t="str">
        <f t="shared" si="368"/>
        <v xml:space="preserve"> </v>
      </c>
      <c r="D1990" s="1535">
        <f>D1985</f>
        <v>0</v>
      </c>
      <c r="E1990" s="1044"/>
      <c r="F1990" s="1056" t="str">
        <f>VLOOKUP($B1990,DG!A:D,DG!$C$2,)</f>
        <v>Boulon mắt 16x300+ 2 long đền vuông D18-50x50x3/Zn</v>
      </c>
      <c r="G1990" s="1044" t="str">
        <f>VLOOKUP($B1990,DG!A:D,DG!$D$2,)</f>
        <v>bộ</v>
      </c>
      <c r="H1990" s="1823">
        <f t="shared" si="367"/>
        <v>0</v>
      </c>
      <c r="I1990" s="1823"/>
      <c r="J1990" s="1823"/>
      <c r="K1990" s="1823"/>
      <c r="L1990" s="1823">
        <f t="shared" si="366"/>
        <v>0</v>
      </c>
      <c r="M1990" s="1823"/>
      <c r="N1990" s="1823"/>
      <c r="O1990" s="1823"/>
      <c r="P1990" s="1823">
        <f t="shared" si="364"/>
        <v>0</v>
      </c>
      <c r="Q1990" s="1053"/>
      <c r="R1990" s="1053"/>
      <c r="S1990" s="1053"/>
      <c r="T1990" s="2035">
        <f>IFERROR(HLOOKUP(B1990,pp1p!$1:$3,3,0),0)</f>
        <v>0</v>
      </c>
    </row>
    <row r="1991" spans="1:20" ht="22.2" hidden="1" customHeight="1">
      <c r="A1991" s="59"/>
      <c r="B1991" s="1596" t="s">
        <v>2548</v>
      </c>
      <c r="C1991" s="1013" t="str">
        <f t="shared" si="368"/>
        <v xml:space="preserve"> </v>
      </c>
      <c r="D1991" s="1548">
        <f>pp1p!BT94</f>
        <v>0</v>
      </c>
      <c r="E1991" s="1044"/>
      <c r="F1991" s="1062" t="s">
        <v>2522</v>
      </c>
      <c r="G1991" s="1044" t="s">
        <v>2518</v>
      </c>
      <c r="H1991" s="1823">
        <f>$D1991</f>
        <v>0</v>
      </c>
      <c r="I1991" s="1823"/>
      <c r="J1991" s="1823"/>
      <c r="K1991" s="1823">
        <f>D1991*0</f>
        <v>0</v>
      </c>
      <c r="L1991" s="1822">
        <f>IFERROR(HLOOKUP(chitiet!B1991,pp1p!$1:$3,3,0),0)</f>
        <v>0</v>
      </c>
      <c r="M1991" s="1823"/>
      <c r="N1991" s="1823"/>
      <c r="O1991" s="1823"/>
      <c r="P1991" s="1823">
        <f t="shared" si="364"/>
        <v>0</v>
      </c>
      <c r="Q1991" s="1053"/>
      <c r="R1991" s="1053"/>
      <c r="S1991" s="1053"/>
      <c r="T1991" s="2035">
        <f>IFERROR(HLOOKUP(B1991,pp1p!$1:$3,3,0),0)</f>
        <v>0</v>
      </c>
    </row>
    <row r="1992" spans="1:20" ht="22.2" hidden="1" customHeight="1">
      <c r="A1992" s="59"/>
      <c r="B1992" s="1577" t="s">
        <v>1509</v>
      </c>
      <c r="C1992" s="1013" t="str">
        <f t="shared" si="368"/>
        <v xml:space="preserve"> </v>
      </c>
      <c r="D1992" s="1535">
        <f>D1991</f>
        <v>0</v>
      </c>
      <c r="E1992" s="1044"/>
      <c r="F1992" s="1056" t="str">
        <f>VLOOKUP($B1992,DG!A:D,DG!$C$2,)</f>
        <v>Sứ treo polymer</v>
      </c>
      <c r="G1992" s="1044" t="s">
        <v>2518</v>
      </c>
      <c r="H1992" s="1823">
        <f>$D1992</f>
        <v>0</v>
      </c>
      <c r="I1992" s="1823"/>
      <c r="J1992" s="1823"/>
      <c r="K1992" s="1823">
        <f>D1992*0</f>
        <v>0</v>
      </c>
      <c r="L1992" s="1823">
        <f t="shared" si="366"/>
        <v>0</v>
      </c>
      <c r="M1992" s="1823"/>
      <c r="N1992" s="1823"/>
      <c r="O1992" s="1823"/>
      <c r="P1992" s="1823">
        <f t="shared" si="364"/>
        <v>0</v>
      </c>
      <c r="Q1992" s="1053"/>
      <c r="R1992" s="1053"/>
      <c r="S1992" s="1053"/>
      <c r="T1992" s="2035">
        <f>IFERROR(HLOOKUP(B1992,pp1p!$1:$3,3,0),0)</f>
        <v>0</v>
      </c>
    </row>
    <row r="1993" spans="1:20" ht="22.2" hidden="1" customHeight="1">
      <c r="A1993" s="59"/>
      <c r="B1993" s="1577" t="s">
        <v>1489</v>
      </c>
      <c r="C1993" s="1013" t="str">
        <f t="shared" si="368"/>
        <v xml:space="preserve"> </v>
      </c>
      <c r="D1993" s="1535">
        <f>D1991*2</f>
        <v>0</v>
      </c>
      <c r="E1993" s="1044"/>
      <c r="F1993" s="1056" t="str">
        <f>VLOOKUP($B1993,DG!A:D,DG!$C$2,)</f>
        <v xml:space="preserve">Móc treo chữ U </v>
      </c>
      <c r="G1993" s="1044" t="s">
        <v>2563</v>
      </c>
      <c r="H1993" s="1823">
        <f>$D1993</f>
        <v>0</v>
      </c>
      <c r="I1993" s="1823"/>
      <c r="J1993" s="1823"/>
      <c r="K1993" s="1823">
        <f>D1993*0</f>
        <v>0</v>
      </c>
      <c r="L1993" s="1823">
        <f t="shared" si="366"/>
        <v>0</v>
      </c>
      <c r="M1993" s="1823"/>
      <c r="N1993" s="1823"/>
      <c r="O1993" s="1823"/>
      <c r="P1993" s="1823">
        <f t="shared" si="364"/>
        <v>0</v>
      </c>
      <c r="Q1993" s="1053"/>
      <c r="R1993" s="1053"/>
      <c r="S1993" s="1053"/>
      <c r="T1993" s="2035">
        <f>IFERROR(HLOOKUP(B1993,pp1p!$1:$3,3,0),0)</f>
        <v>0</v>
      </c>
    </row>
    <row r="1994" spans="1:20" ht="22.2" hidden="1" customHeight="1">
      <c r="A1994" s="59"/>
      <c r="B1994" s="1577" t="s">
        <v>385</v>
      </c>
      <c r="C1994" s="1013" t="str">
        <f t="shared" si="368"/>
        <v xml:space="preserve"> </v>
      </c>
      <c r="D1994" s="1535">
        <f>D1991</f>
        <v>0</v>
      </c>
      <c r="E1994" s="1044"/>
      <c r="F1994" s="1056" t="str">
        <f>VLOOKUP($B1994,DG!A:D,DG!$C$2,)</f>
        <v>Khóa néo dây cỡ dây 185</v>
      </c>
      <c r="G1994" s="1044" t="str">
        <f>VLOOKUP($B1994,DG!A:D,DG!$D$2,)</f>
        <v>cái</v>
      </c>
      <c r="H1994" s="1823">
        <f>D1994</f>
        <v>0</v>
      </c>
      <c r="I1994" s="1823"/>
      <c r="J1994" s="1823"/>
      <c r="K1994" s="1823"/>
      <c r="L1994" s="1823">
        <f t="shared" si="366"/>
        <v>0</v>
      </c>
      <c r="M1994" s="1823"/>
      <c r="N1994" s="1823"/>
      <c r="O1994" s="1823"/>
      <c r="P1994" s="1823">
        <f t="shared" si="364"/>
        <v>0</v>
      </c>
      <c r="Q1994" s="1053"/>
      <c r="R1994" s="1053"/>
      <c r="S1994" s="1053"/>
      <c r="T1994" s="2035">
        <f>IFERROR(HLOOKUP(B1994,pp1p!$1:$3,3,0),0)</f>
        <v>0</v>
      </c>
    </row>
    <row r="1995" spans="1:20" ht="22.2" hidden="1" customHeight="1">
      <c r="A1995" s="59"/>
      <c r="B1995" s="1596" t="s">
        <v>2549</v>
      </c>
      <c r="C1995" s="1013" t="str">
        <f t="shared" si="368"/>
        <v xml:space="preserve"> </v>
      </c>
      <c r="D1995" s="1548">
        <f>pp1p!BU94</f>
        <v>0</v>
      </c>
      <c r="E1995" s="1044"/>
      <c r="F1995" s="1062" t="s">
        <v>2564</v>
      </c>
      <c r="G1995" s="1044" t="s">
        <v>2518</v>
      </c>
      <c r="H1995" s="1823">
        <f>$D1995</f>
        <v>0</v>
      </c>
      <c r="I1995" s="1823"/>
      <c r="J1995" s="1823"/>
      <c r="K1995" s="1823"/>
      <c r="L1995" s="1822">
        <f>IFERROR(HLOOKUP(chitiet!B1995,pp1p!$1:$3,3,0),0)</f>
        <v>0</v>
      </c>
      <c r="M1995" s="1823"/>
      <c r="N1995" s="1823"/>
      <c r="O1995" s="1823"/>
      <c r="P1995" s="1823">
        <f t="shared" si="364"/>
        <v>0</v>
      </c>
      <c r="Q1995" s="1053"/>
      <c r="R1995" s="1053"/>
      <c r="S1995" s="1053"/>
      <c r="T1995" s="2035">
        <f>IFERROR(HLOOKUP(B1995,pp1p!$1:$3,3,0),0)</f>
        <v>0</v>
      </c>
    </row>
    <row r="1996" spans="1:20" ht="22.2" hidden="1" customHeight="1">
      <c r="A1996" s="59"/>
      <c r="B1996" s="1577" t="s">
        <v>1509</v>
      </c>
      <c r="C1996" s="1013" t="str">
        <f t="shared" si="368"/>
        <v xml:space="preserve"> </v>
      </c>
      <c r="D1996" s="1535">
        <f>D1995</f>
        <v>0</v>
      </c>
      <c r="E1996" s="1044"/>
      <c r="F1996" s="1056" t="str">
        <f>VLOOKUP($B1996,DG!A:D,DG!$C$2,)</f>
        <v>Sứ treo polymer</v>
      </c>
      <c r="G1996" s="1044" t="s">
        <v>2518</v>
      </c>
      <c r="H1996" s="1823">
        <f>$D1996</f>
        <v>0</v>
      </c>
      <c r="I1996" s="1823"/>
      <c r="J1996" s="1823"/>
      <c r="K1996" s="1823"/>
      <c r="L1996" s="1823">
        <f t="shared" si="366"/>
        <v>0</v>
      </c>
      <c r="M1996" s="1823"/>
      <c r="N1996" s="1823"/>
      <c r="O1996" s="1823"/>
      <c r="P1996" s="1823">
        <f t="shared" si="364"/>
        <v>0</v>
      </c>
      <c r="Q1996" s="1053"/>
      <c r="R1996" s="1053"/>
      <c r="S1996" s="1053"/>
      <c r="T1996" s="2035">
        <f>IFERROR(HLOOKUP(B1996,pp1p!$1:$3,3,0),0)</f>
        <v>0</v>
      </c>
    </row>
    <row r="1997" spans="1:20" ht="22.2" hidden="1" customHeight="1">
      <c r="A1997" s="59"/>
      <c r="B1997" s="1577" t="s">
        <v>1485</v>
      </c>
      <c r="C1997" s="1013" t="str">
        <f t="shared" si="368"/>
        <v xml:space="preserve"> </v>
      </c>
      <c r="D1997" s="1535">
        <f>D1996</f>
        <v>0</v>
      </c>
      <c r="E1997" s="1044"/>
      <c r="F1997" s="1056" t="str">
        <f>VLOOKUP($B1997,DG!A:D,DG!$C$2,)</f>
        <v>Khóa néo dây cỡ dây 50</v>
      </c>
      <c r="G1997" s="1044" t="s">
        <v>2518</v>
      </c>
      <c r="H1997" s="1823">
        <f>$D1997</f>
        <v>0</v>
      </c>
      <c r="I1997" s="1823"/>
      <c r="J1997" s="1823"/>
      <c r="K1997" s="1823"/>
      <c r="L1997" s="1823">
        <f t="shared" si="366"/>
        <v>0</v>
      </c>
      <c r="M1997" s="1823"/>
      <c r="N1997" s="1823"/>
      <c r="O1997" s="1823"/>
      <c r="P1997" s="1823">
        <f t="shared" si="364"/>
        <v>0</v>
      </c>
      <c r="Q1997" s="1053"/>
      <c r="R1997" s="1053"/>
      <c r="S1997" s="1053"/>
      <c r="T1997" s="2035">
        <f>IFERROR(HLOOKUP(B1997,pp1p!$1:$3,3,0),0)</f>
        <v>0</v>
      </c>
    </row>
    <row r="1998" spans="1:20" ht="22.2" hidden="1" customHeight="1">
      <c r="A1998" s="59"/>
      <c r="B1998" s="1577" t="s">
        <v>1489</v>
      </c>
      <c r="C1998" s="1013" t="str">
        <f t="shared" si="368"/>
        <v xml:space="preserve"> </v>
      </c>
      <c r="D1998" s="1535">
        <f>D1997*2</f>
        <v>0</v>
      </c>
      <c r="E1998" s="1044"/>
      <c r="F1998" s="1056" t="str">
        <f>VLOOKUP($B1998,DG!A:D,DG!$C$2,)</f>
        <v xml:space="preserve">Móc treo chữ U </v>
      </c>
      <c r="G1998" s="1044" t="s">
        <v>2563</v>
      </c>
      <c r="H1998" s="1823">
        <f>$D1998</f>
        <v>0</v>
      </c>
      <c r="I1998" s="1823"/>
      <c r="J1998" s="1823"/>
      <c r="K1998" s="1823"/>
      <c r="L1998" s="1823">
        <f t="shared" si="366"/>
        <v>0</v>
      </c>
      <c r="M1998" s="1823"/>
      <c r="N1998" s="1823"/>
      <c r="O1998" s="1823"/>
      <c r="P1998" s="1823">
        <f t="shared" si="364"/>
        <v>0</v>
      </c>
      <c r="Q1998" s="1053"/>
      <c r="R1998" s="1053"/>
      <c r="S1998" s="1053"/>
      <c r="T1998" s="2035">
        <f>IFERROR(HLOOKUP(B1998,pp1p!$1:$3,3,0),0)</f>
        <v>0</v>
      </c>
    </row>
    <row r="1999" spans="1:20" ht="22.2" hidden="1" customHeight="1">
      <c r="A1999" s="59"/>
      <c r="B1999" s="1577" t="s">
        <v>4522</v>
      </c>
      <c r="C1999" s="1013" t="str">
        <f t="shared" si="368"/>
        <v xml:space="preserve"> </v>
      </c>
      <c r="D1999" s="1535">
        <f>D1995/2</f>
        <v>0</v>
      </c>
      <c r="E1999" s="1044"/>
      <c r="F1999" s="1056" t="str">
        <f>VLOOKUP($B1999,DG!A:D,DG!$C$2,)</f>
        <v>Khánh bắt sứ kép polymer</v>
      </c>
      <c r="G1999" s="1044" t="s">
        <v>2563</v>
      </c>
      <c r="H1999" s="1823">
        <f>$D1999</f>
        <v>0</v>
      </c>
      <c r="I1999" s="1823"/>
      <c r="J1999" s="1823"/>
      <c r="K1999" s="1823"/>
      <c r="L1999" s="1823">
        <f>H1999</f>
        <v>0</v>
      </c>
      <c r="M1999" s="1823"/>
      <c r="N1999" s="1823"/>
      <c r="O1999" s="1823"/>
      <c r="P1999" s="1823">
        <f t="shared" si="364"/>
        <v>0</v>
      </c>
      <c r="Q1999" s="1053"/>
      <c r="R1999" s="1053"/>
      <c r="S1999" s="1053"/>
      <c r="T1999" s="2035">
        <f>IFERROR(HLOOKUP(B1999,pp1p!$1:$3,3,0),0)</f>
        <v>0</v>
      </c>
    </row>
    <row r="2000" spans="1:20" ht="22.2" hidden="1" customHeight="1">
      <c r="A2000" s="59"/>
      <c r="B2000" s="1577" t="s">
        <v>1271</v>
      </c>
      <c r="C2000" s="1013" t="str">
        <f t="shared" si="368"/>
        <v xml:space="preserve"> </v>
      </c>
      <c r="D2000" s="1535">
        <f>D1997</f>
        <v>0</v>
      </c>
      <c r="E2000" s="1044"/>
      <c r="F2000" s="1056" t="str">
        <f>VLOOKUP($B2000,DG!A:D,DG!$C$2,)</f>
        <v>Boulon mắt 16x300+ 2 long đền vuông D18-50x50x3/Zn</v>
      </c>
      <c r="G2000" s="1044" t="str">
        <f>VLOOKUP($B2000,DG!A:D,DG!$D$2,)</f>
        <v>bộ</v>
      </c>
      <c r="H2000" s="1823">
        <f t="shared" ref="H2000:H2005" si="369">D2000</f>
        <v>0</v>
      </c>
      <c r="I2000" s="1823"/>
      <c r="J2000" s="1823"/>
      <c r="K2000" s="1823"/>
      <c r="L2000" s="1823">
        <f t="shared" si="366"/>
        <v>0</v>
      </c>
      <c r="M2000" s="1823"/>
      <c r="N2000" s="1823"/>
      <c r="O2000" s="1823"/>
      <c r="P2000" s="1823">
        <f t="shared" si="364"/>
        <v>0</v>
      </c>
      <c r="Q2000" s="1053"/>
      <c r="R2000" s="1053"/>
      <c r="S2000" s="1053"/>
      <c r="T2000" s="2035">
        <f>IFERROR(HLOOKUP(B2000,pp1p!$1:$3,3,0),0)</f>
        <v>0</v>
      </c>
    </row>
    <row r="2001" spans="1:20" ht="22.2" hidden="1" customHeight="1">
      <c r="A2001" s="59"/>
      <c r="B2001" s="1596" t="s">
        <v>2519</v>
      </c>
      <c r="C2001" s="1013" t="str">
        <f t="shared" si="368"/>
        <v xml:space="preserve"> </v>
      </c>
      <c r="D2001" s="1548">
        <f>pp1p!BW94</f>
        <v>0</v>
      </c>
      <c r="E2001" s="1044"/>
      <c r="F2001" s="1062" t="s">
        <v>2565</v>
      </c>
      <c r="G2001" s="1063" t="s">
        <v>2518</v>
      </c>
      <c r="H2001" s="1823">
        <f t="shared" si="369"/>
        <v>0</v>
      </c>
      <c r="I2001" s="1823"/>
      <c r="J2001" s="1823"/>
      <c r="K2001" s="1823"/>
      <c r="L2001" s="1822">
        <f>IFERROR(HLOOKUP(chitiet!B2001,pp1p!$1:$3,3,0),0)</f>
        <v>0</v>
      </c>
      <c r="M2001" s="1823"/>
      <c r="N2001" s="1823"/>
      <c r="O2001" s="1823"/>
      <c r="P2001" s="1823">
        <f t="shared" si="364"/>
        <v>0</v>
      </c>
      <c r="Q2001" s="1053"/>
      <c r="R2001" s="1053"/>
      <c r="S2001" s="1053"/>
      <c r="T2001" s="2035">
        <f>IFERROR(HLOOKUP(B2001,pp1p!$1:$3,3,0),0)</f>
        <v>0</v>
      </c>
    </row>
    <row r="2002" spans="1:20" ht="22.2" hidden="1" customHeight="1">
      <c r="A2002" s="59"/>
      <c r="B2002" s="1577" t="s">
        <v>112</v>
      </c>
      <c r="C2002" s="1013" t="str">
        <f t="shared" si="368"/>
        <v xml:space="preserve"> </v>
      </c>
      <c r="D2002" s="1535">
        <f>D2001*2</f>
        <v>0</v>
      </c>
      <c r="E2002" s="1044"/>
      <c r="F2002" s="1056" t="str">
        <f>VLOOKUP($B2002,DG!A:D,DG!$C$2,)</f>
        <v>Sứ treo loại 70kN</v>
      </c>
      <c r="G2002" s="1044" t="str">
        <f>VLOOKUP($B2002,DG!A:D,DG!$D$2,)</f>
        <v>bát</v>
      </c>
      <c r="H2002" s="1823">
        <f t="shared" si="369"/>
        <v>0</v>
      </c>
      <c r="I2002" s="1823"/>
      <c r="J2002" s="1823"/>
      <c r="K2002" s="1823"/>
      <c r="L2002" s="1823">
        <f t="shared" si="366"/>
        <v>0</v>
      </c>
      <c r="M2002" s="1823"/>
      <c r="N2002" s="1823"/>
      <c r="O2002" s="1823"/>
      <c r="P2002" s="1823">
        <f t="shared" si="364"/>
        <v>0</v>
      </c>
      <c r="Q2002" s="1053"/>
      <c r="R2002" s="1053"/>
      <c r="S2002" s="1053"/>
      <c r="T2002" s="2035">
        <f>IFERROR(HLOOKUP(B2002,pp1p!$1:$3,3,0),0)</f>
        <v>0</v>
      </c>
    </row>
    <row r="2003" spans="1:20" ht="22.2" hidden="1" customHeight="1">
      <c r="A2003" s="59"/>
      <c r="B2003" s="1577" t="s">
        <v>1489</v>
      </c>
      <c r="C2003" s="1013" t="str">
        <f t="shared" si="368"/>
        <v xml:space="preserve"> </v>
      </c>
      <c r="D2003" s="1535">
        <f>D2001*2</f>
        <v>0</v>
      </c>
      <c r="E2003" s="1044"/>
      <c r="F2003" s="1056" t="str">
        <f>VLOOKUP($B2003,DG!A:D,DG!$C$2,)</f>
        <v xml:space="preserve">Móc treo chữ U </v>
      </c>
      <c r="G2003" s="1044" t="str">
        <f>VLOOKUP($B2003,DG!A:D,DG!$D$2,)</f>
        <v>cái</v>
      </c>
      <c r="H2003" s="1823">
        <f t="shared" si="369"/>
        <v>0</v>
      </c>
      <c r="I2003" s="1823"/>
      <c r="J2003" s="1823"/>
      <c r="K2003" s="1823"/>
      <c r="L2003" s="1823">
        <f t="shared" si="366"/>
        <v>0</v>
      </c>
      <c r="M2003" s="1823"/>
      <c r="N2003" s="1823"/>
      <c r="O2003" s="1823"/>
      <c r="P2003" s="1823">
        <f t="shared" si="364"/>
        <v>0</v>
      </c>
      <c r="Q2003" s="1053"/>
      <c r="R2003" s="1053"/>
      <c r="S2003" s="1053"/>
      <c r="T2003" s="2035">
        <f>IFERROR(HLOOKUP(B2003,pp1p!$1:$3,3,0),0)</f>
        <v>0</v>
      </c>
    </row>
    <row r="2004" spans="1:20" ht="22.2" hidden="1" customHeight="1">
      <c r="A2004" s="59"/>
      <c r="B2004" s="1577" t="s">
        <v>1572</v>
      </c>
      <c r="C2004" s="1013" t="str">
        <f t="shared" si="368"/>
        <v xml:space="preserve"> </v>
      </c>
      <c r="D2004" s="1535">
        <f>D2001</f>
        <v>0</v>
      </c>
      <c r="E2004" s="1044"/>
      <c r="F2004" s="1056" t="str">
        <f>VLOOKUP($B2004,DG!A:D,DG!$C$2,)</f>
        <v>Vòng treo đầu tròn</v>
      </c>
      <c r="G2004" s="1044" t="str">
        <f>VLOOKUP($B2004,DG!A:D,DG!$D$2,)</f>
        <v>cái</v>
      </c>
      <c r="H2004" s="1823">
        <f t="shared" si="369"/>
        <v>0</v>
      </c>
      <c r="I2004" s="1823"/>
      <c r="J2004" s="1823"/>
      <c r="K2004" s="1823"/>
      <c r="L2004" s="1823">
        <f t="shared" si="366"/>
        <v>0</v>
      </c>
      <c r="M2004" s="1823"/>
      <c r="N2004" s="1823"/>
      <c r="O2004" s="1823"/>
      <c r="P2004" s="1823">
        <f t="shared" si="364"/>
        <v>0</v>
      </c>
      <c r="Q2004" s="1053"/>
      <c r="R2004" s="1053"/>
      <c r="S2004" s="1053"/>
      <c r="T2004" s="2035">
        <f>IFERROR(HLOOKUP(B2004,pp1p!$1:$3,3,0),0)</f>
        <v>0</v>
      </c>
    </row>
    <row r="2005" spans="1:20" ht="22.2" hidden="1" customHeight="1">
      <c r="A2005" s="59"/>
      <c r="B2005" s="1577" t="s">
        <v>1487</v>
      </c>
      <c r="C2005" s="1013" t="str">
        <f t="shared" si="368"/>
        <v xml:space="preserve"> </v>
      </c>
      <c r="D2005" s="1535">
        <f>D2001</f>
        <v>0</v>
      </c>
      <c r="E2005" s="1044"/>
      <c r="F2005" s="1056" t="str">
        <f>VLOOKUP($B2005,DG!A:D,DG!$C$2,)</f>
        <v>Mắt nối đơn</v>
      </c>
      <c r="G2005" s="1044" t="str">
        <f>VLOOKUP($B2005,DG!A:D,DG!$D$2,)</f>
        <v>cái</v>
      </c>
      <c r="H2005" s="1823">
        <f t="shared" si="369"/>
        <v>0</v>
      </c>
      <c r="I2005" s="1823"/>
      <c r="J2005" s="1823"/>
      <c r="K2005" s="1823"/>
      <c r="L2005" s="1823">
        <f t="shared" si="366"/>
        <v>0</v>
      </c>
      <c r="M2005" s="1823"/>
      <c r="N2005" s="1823"/>
      <c r="O2005" s="1823"/>
      <c r="P2005" s="1823">
        <f t="shared" si="364"/>
        <v>0</v>
      </c>
      <c r="Q2005" s="1053"/>
      <c r="R2005" s="1053"/>
      <c r="S2005" s="1053"/>
      <c r="T2005" s="2035">
        <f>IFERROR(HLOOKUP(B2005,pp1p!$1:$3,3,0),0)</f>
        <v>0</v>
      </c>
    </row>
    <row r="2006" spans="1:20" ht="22.2" hidden="1" customHeight="1">
      <c r="B2006" s="1584"/>
      <c r="C2006" s="1013" t="str">
        <f>IF(OR(D2006&gt;0),"x","")</f>
        <v/>
      </c>
      <c r="D2006" s="1655"/>
      <c r="E2006" s="1044"/>
      <c r="F2006" s="1499" t="s">
        <v>2552</v>
      </c>
      <c r="G2006" s="1044"/>
      <c r="H2006" s="1823"/>
      <c r="I2006" s="1823"/>
      <c r="J2006" s="1823"/>
      <c r="K2006" s="1823"/>
      <c r="L2006" s="1823">
        <f t="shared" si="366"/>
        <v>0</v>
      </c>
      <c r="M2006" s="1823"/>
      <c r="N2006" s="1823"/>
      <c r="O2006" s="1823"/>
      <c r="P2006" s="1823">
        <f t="shared" si="364"/>
        <v>0</v>
      </c>
      <c r="Q2006" s="1053"/>
      <c r="R2006" s="1053"/>
      <c r="S2006" s="1053"/>
      <c r="T2006" s="2035">
        <f>IFERROR(HLOOKUP(B2006,pp1p!$1:$3,3,0),0)</f>
        <v>0</v>
      </c>
    </row>
    <row r="2007" spans="1:20" ht="22.2" hidden="1" customHeight="1">
      <c r="A2007" s="59"/>
      <c r="B2007" s="1584" t="s">
        <v>1175</v>
      </c>
      <c r="C2007" s="1013" t="str">
        <f t="shared" si="368"/>
        <v xml:space="preserve"> </v>
      </c>
      <c r="D2007" s="1548">
        <f>pp1p!CZ94</f>
        <v>0</v>
      </c>
      <c r="E2007" s="1044"/>
      <c r="F2007" s="1056" t="str">
        <f>VLOOKUP($B2007,DG!A:D,DG!$C$2,)</f>
        <v>Khóa đỡ dây cỡ dây 50</v>
      </c>
      <c r="G2007" s="1044" t="str">
        <f>VLOOKUP($B2007,DG!A:D,DG!$D$2,)</f>
        <v>cái</v>
      </c>
      <c r="H2007" s="1823">
        <f>L2007</f>
        <v>0</v>
      </c>
      <c r="I2007" s="1823"/>
      <c r="J2007" s="1823"/>
      <c r="K2007" s="1823">
        <f>D2007</f>
        <v>0</v>
      </c>
      <c r="L2007" s="1822">
        <f>IFERROR(HLOOKUP(chitiet!B2007,pp1p!$1:$3,3,0),0)</f>
        <v>0</v>
      </c>
      <c r="M2007" s="1823"/>
      <c r="N2007" s="1823"/>
      <c r="O2007" s="1823"/>
      <c r="P2007" s="1823">
        <f t="shared" si="364"/>
        <v>0</v>
      </c>
      <c r="Q2007" s="1053"/>
      <c r="R2007" s="1053"/>
      <c r="S2007" s="1053"/>
      <c r="T2007" s="2035">
        <f>IFERROR(HLOOKUP(B2007,pp1p!$1:$3,3,0),0)</f>
        <v>0</v>
      </c>
    </row>
    <row r="2008" spans="1:20" ht="22.2" hidden="1" customHeight="1">
      <c r="A2008" s="59"/>
      <c r="B2008" s="1584" t="s">
        <v>1485</v>
      </c>
      <c r="C2008" s="1013" t="str">
        <f t="shared" si="368"/>
        <v xml:space="preserve"> </v>
      </c>
      <c r="D2008" s="1535">
        <f>(D1985+D2001)-D2007-D2009</f>
        <v>0</v>
      </c>
      <c r="E2008" s="1044"/>
      <c r="F2008" s="1056" t="str">
        <f>VLOOKUP($B2008,DG!A:D,DG!$C$2,)</f>
        <v>Khóa néo dây cỡ dây 50</v>
      </c>
      <c r="G2008" s="1044" t="str">
        <f>VLOOKUP($B2008,DG!A:D,DG!$D$2,)</f>
        <v>cái</v>
      </c>
      <c r="H2008" s="1823">
        <f t="shared" ref="H2008:H2045" si="370">D2008</f>
        <v>0</v>
      </c>
      <c r="I2008" s="1823"/>
      <c r="J2008" s="1823"/>
      <c r="K2008" s="1823"/>
      <c r="L2008" s="1822">
        <f>IFERROR(HLOOKUP(chitiet!B2008,pp1p!$1:$3,3,0),0)</f>
        <v>0</v>
      </c>
      <c r="M2008" s="1823"/>
      <c r="N2008" s="1823"/>
      <c r="O2008" s="1823"/>
      <c r="P2008" s="1823">
        <f t="shared" si="364"/>
        <v>0</v>
      </c>
      <c r="Q2008" s="1053"/>
      <c r="R2008" s="1053"/>
      <c r="S2008" s="1053"/>
      <c r="T2008" s="2035">
        <f>IFERROR(HLOOKUP(B2008,pp1p!$1:$3,3,0),0)</f>
        <v>0</v>
      </c>
    </row>
    <row r="2009" spans="1:20" ht="22.2" hidden="1" customHeight="1">
      <c r="A2009" s="59"/>
      <c r="B2009" s="1599" t="s">
        <v>1145</v>
      </c>
      <c r="C2009" s="1013" t="str">
        <f t="shared" si="368"/>
        <v xml:space="preserve"> </v>
      </c>
      <c r="D2009" s="1532"/>
      <c r="E2009" s="1044"/>
      <c r="F2009" s="1056" t="str">
        <f>VLOOKUP($B2009,DG!A:D,DG!$C$2,)</f>
        <v>Khóa néo dây cỡ dây 70</v>
      </c>
      <c r="G2009" s="1044" t="str">
        <f>VLOOKUP($B2009,DG!A:D,DG!$D$2,)</f>
        <v>cái</v>
      </c>
      <c r="H2009" s="1823">
        <f t="shared" si="370"/>
        <v>0</v>
      </c>
      <c r="I2009" s="1823"/>
      <c r="J2009" s="1823"/>
      <c r="K2009" s="1823">
        <f>D2009</f>
        <v>0</v>
      </c>
      <c r="L2009" s="1822">
        <f>IFERROR(HLOOKUP(chitiet!B2009,pp1p!$1:$3,3,0),0)</f>
        <v>0</v>
      </c>
      <c r="M2009" s="1823"/>
      <c r="N2009" s="1823"/>
      <c r="O2009" s="1823"/>
      <c r="P2009" s="1823">
        <f t="shared" si="364"/>
        <v>0</v>
      </c>
      <c r="Q2009" s="1053"/>
      <c r="R2009" s="1053"/>
      <c r="S2009" s="1053"/>
      <c r="T2009" s="2035">
        <f>IFERROR(HLOOKUP(B2009,pp1p!$1:$3,3,0),0)</f>
        <v>0</v>
      </c>
    </row>
    <row r="2010" spans="1:20" ht="22.2" hidden="1" customHeight="1">
      <c r="A2010" s="59"/>
      <c r="B2010" s="1584" t="s">
        <v>992</v>
      </c>
      <c r="C2010" s="1013" t="str">
        <f t="shared" si="368"/>
        <v xml:space="preserve"> </v>
      </c>
      <c r="D2010" s="1548">
        <f>pp1p!CC94</f>
        <v>0</v>
      </c>
      <c r="E2010" s="1044"/>
      <c r="F2010" s="1056" t="str">
        <f>VLOOKUP($B2010,DG!A:D,DG!$C$2,)</f>
        <v>Kẹp ép WR cỡ dây 50mm2</v>
      </c>
      <c r="G2010" s="1044" t="str">
        <f>VLOOKUP($B2010,DG!A:D,DG!$D$2,)</f>
        <v>cái</v>
      </c>
      <c r="H2010" s="1823">
        <f t="shared" si="370"/>
        <v>0</v>
      </c>
      <c r="I2010" s="1823"/>
      <c r="J2010" s="1823"/>
      <c r="K2010" s="1823"/>
      <c r="L2010" s="1822">
        <f>IFERROR(HLOOKUP(chitiet!B2010,pp1p!$1:$3,3,0),0)</f>
        <v>0</v>
      </c>
      <c r="M2010" s="1823"/>
      <c r="N2010" s="1823"/>
      <c r="O2010" s="1823"/>
      <c r="P2010" s="1823">
        <f t="shared" si="364"/>
        <v>0</v>
      </c>
      <c r="Q2010" s="1053"/>
      <c r="R2010" s="1053"/>
      <c r="S2010" s="1053"/>
      <c r="T2010" s="2035">
        <f>IFERROR(HLOOKUP(B2010,pp1p!$1:$3,3,0),0)</f>
        <v>0</v>
      </c>
    </row>
    <row r="2011" spans="1:20" ht="22.2" hidden="1" customHeight="1">
      <c r="A2011" s="59"/>
      <c r="B2011" s="1584" t="s">
        <v>35</v>
      </c>
      <c r="C2011" s="1013" t="str">
        <f t="shared" si="368"/>
        <v xml:space="preserve"> </v>
      </c>
      <c r="D2011" s="1548">
        <f>pp1p!CD94</f>
        <v>0</v>
      </c>
      <c r="E2011" s="1044"/>
      <c r="F2011" s="1056" t="str">
        <f>VLOOKUP($B2011,DG!A:D,DG!$C$2,)</f>
        <v>Kẹp ép WR cỡ dây 70mm2</v>
      </c>
      <c r="G2011" s="1044" t="str">
        <f>VLOOKUP($B2011,DG!A:D,DG!$D$2,)</f>
        <v>cái</v>
      </c>
      <c r="H2011" s="1823">
        <f t="shared" si="370"/>
        <v>0</v>
      </c>
      <c r="I2011" s="1823"/>
      <c r="J2011" s="1823"/>
      <c r="K2011" s="1823"/>
      <c r="L2011" s="1822">
        <f>IFERROR(HLOOKUP(chitiet!B2011,pp1p!$1:$3,3,0),0)</f>
        <v>0</v>
      </c>
      <c r="M2011" s="1823"/>
      <c r="N2011" s="1823"/>
      <c r="O2011" s="1823"/>
      <c r="P2011" s="1823">
        <f t="shared" si="364"/>
        <v>0</v>
      </c>
      <c r="Q2011" s="1053"/>
      <c r="R2011" s="1053"/>
      <c r="S2011" s="1053"/>
      <c r="T2011" s="2035">
        <f>IFERROR(HLOOKUP(B2011,pp1p!$1:$3,3,0),0)</f>
        <v>0</v>
      </c>
    </row>
    <row r="2012" spans="1:20" ht="22.2" hidden="1" customHeight="1">
      <c r="A2012" s="59"/>
      <c r="B2012" s="1584" t="s">
        <v>36</v>
      </c>
      <c r="C2012" s="1013" t="str">
        <f t="shared" si="368"/>
        <v xml:space="preserve"> </v>
      </c>
      <c r="D2012" s="1548">
        <f>pp1p!CE94</f>
        <v>0</v>
      </c>
      <c r="E2012" s="1044"/>
      <c r="F2012" s="1056" t="str">
        <f>VLOOKUP($B2012,DG!A:D,DG!$C$2,)</f>
        <v>Kẹp ép WR cỡ dây 95mm2</v>
      </c>
      <c r="G2012" s="1044" t="str">
        <f>VLOOKUP($B2012,DG!A:D,DG!$D$2,)</f>
        <v>cái</v>
      </c>
      <c r="H2012" s="1823">
        <f t="shared" si="370"/>
        <v>0</v>
      </c>
      <c r="I2012" s="1823"/>
      <c r="J2012" s="1823"/>
      <c r="K2012" s="1823"/>
      <c r="L2012" s="1822">
        <f>IFERROR(HLOOKUP(chitiet!B2012,pp1p!$1:$3,3,0),0)</f>
        <v>0</v>
      </c>
      <c r="M2012" s="1823"/>
      <c r="N2012" s="1823"/>
      <c r="O2012" s="1823"/>
      <c r="P2012" s="1823">
        <f t="shared" si="364"/>
        <v>0</v>
      </c>
      <c r="Q2012" s="1053"/>
      <c r="R2012" s="1053"/>
      <c r="S2012" s="1053"/>
      <c r="T2012" s="2035">
        <f>IFERROR(HLOOKUP(B2012,pp1p!$1:$3,3,0),0)</f>
        <v>0</v>
      </c>
    </row>
    <row r="2013" spans="1:20" ht="22.2" hidden="1" customHeight="1">
      <c r="A2013" s="59"/>
      <c r="B2013" s="1584" t="s">
        <v>13</v>
      </c>
      <c r="C2013" s="1013" t="str">
        <f t="shared" si="368"/>
        <v xml:space="preserve"> </v>
      </c>
      <c r="D2013" s="1548">
        <f>pp1p!CF94</f>
        <v>0</v>
      </c>
      <c r="E2013" s="1044"/>
      <c r="F2013" s="1056" t="str">
        <f>VLOOKUP($B2013,DG!A:D,DG!$C$2,)</f>
        <v>Kẹp ép WR cỡ dây 120mm2</v>
      </c>
      <c r="G2013" s="1044" t="str">
        <f>VLOOKUP($B2013,DG!A:D,DG!$D$2,)</f>
        <v>cái</v>
      </c>
      <c r="H2013" s="1823">
        <f t="shared" si="370"/>
        <v>0</v>
      </c>
      <c r="I2013" s="1823"/>
      <c r="J2013" s="1823"/>
      <c r="K2013" s="1823"/>
      <c r="L2013" s="1822">
        <f>IFERROR(HLOOKUP(chitiet!B2013,pp1p!$1:$3,3,0),0)</f>
        <v>0</v>
      </c>
      <c r="M2013" s="1823"/>
      <c r="N2013" s="1823"/>
      <c r="O2013" s="1823"/>
      <c r="P2013" s="1823">
        <f t="shared" si="364"/>
        <v>0</v>
      </c>
      <c r="Q2013" s="1053"/>
      <c r="R2013" s="1053"/>
      <c r="S2013" s="1053"/>
      <c r="T2013" s="2035">
        <f>IFERROR(HLOOKUP(B2013,pp1p!$1:$3,3,0),0)</f>
        <v>0</v>
      </c>
    </row>
    <row r="2014" spans="1:20" ht="22.2" hidden="1" customHeight="1">
      <c r="A2014" s="59"/>
      <c r="B2014" s="1584" t="s">
        <v>142</v>
      </c>
      <c r="C2014" s="1013" t="str">
        <f t="shared" si="368"/>
        <v xml:space="preserve"> </v>
      </c>
      <c r="D2014" s="1548">
        <f>pp1p!CG94</f>
        <v>0</v>
      </c>
      <c r="E2014" s="1044"/>
      <c r="F2014" s="1056" t="str">
        <f>VLOOKUP($B2014,DG!A:D,DG!$C$2,)</f>
        <v>Kẹp ép WR cỡ dây 150mm2</v>
      </c>
      <c r="G2014" s="1044" t="str">
        <f>VLOOKUP($B2014,DG!A:D,DG!$D$2,)</f>
        <v>cái</v>
      </c>
      <c r="H2014" s="1823">
        <f t="shared" si="370"/>
        <v>0</v>
      </c>
      <c r="I2014" s="1823"/>
      <c r="J2014" s="1823"/>
      <c r="K2014" s="1823"/>
      <c r="L2014" s="1822">
        <f>IFERROR(HLOOKUP(chitiet!B2014,pp1p!$1:$3,3,0),0)</f>
        <v>0</v>
      </c>
      <c r="M2014" s="1823"/>
      <c r="N2014" s="1823"/>
      <c r="O2014" s="1823"/>
      <c r="P2014" s="1823">
        <f t="shared" si="364"/>
        <v>0</v>
      </c>
      <c r="Q2014" s="1053"/>
      <c r="R2014" s="1053"/>
      <c r="S2014" s="1053"/>
      <c r="T2014" s="2035">
        <f>IFERROR(HLOOKUP(B2014,pp1p!$1:$3,3,0),0)</f>
        <v>0</v>
      </c>
    </row>
    <row r="2015" spans="1:20" ht="22.2" hidden="1" customHeight="1">
      <c r="A2015" s="59"/>
      <c r="B2015" s="1584" t="s">
        <v>14</v>
      </c>
      <c r="C2015" s="1013" t="str">
        <f t="shared" si="368"/>
        <v xml:space="preserve"> </v>
      </c>
      <c r="D2015" s="1548">
        <f>pp1p!CH94</f>
        <v>0</v>
      </c>
      <c r="E2015" s="1044"/>
      <c r="F2015" s="1056" t="str">
        <f>VLOOKUP($B2015,DG!A:D,DG!$C$2,)</f>
        <v>Kẹp ép WR cỡ dây 185mm2</v>
      </c>
      <c r="G2015" s="1044" t="str">
        <f>VLOOKUP($B2015,DG!A:D,DG!$D$2,)</f>
        <v>cái</v>
      </c>
      <c r="H2015" s="1823">
        <f t="shared" si="370"/>
        <v>0</v>
      </c>
      <c r="I2015" s="1823"/>
      <c r="J2015" s="1823"/>
      <c r="K2015" s="1823"/>
      <c r="L2015" s="1822">
        <f>IFERROR(HLOOKUP(chitiet!B2015,pp1p!$1:$3,3,0),0)</f>
        <v>0</v>
      </c>
      <c r="M2015" s="1823"/>
      <c r="N2015" s="1823"/>
      <c r="O2015" s="1823"/>
      <c r="P2015" s="1823">
        <f t="shared" si="364"/>
        <v>0</v>
      </c>
      <c r="Q2015" s="1053"/>
      <c r="R2015" s="1053"/>
      <c r="S2015" s="1053"/>
      <c r="T2015" s="2035">
        <f>IFERROR(HLOOKUP(B2015,pp1p!$1:$3,3,0),0)</f>
        <v>0</v>
      </c>
    </row>
    <row r="2016" spans="1:20" ht="22.2" hidden="1" customHeight="1">
      <c r="A2016" s="59"/>
      <c r="B2016" s="1584" t="s">
        <v>15</v>
      </c>
      <c r="C2016" s="1013" t="str">
        <f t="shared" si="368"/>
        <v xml:space="preserve"> </v>
      </c>
      <c r="D2016" s="1548">
        <f>pp1p!CI94</f>
        <v>0</v>
      </c>
      <c r="E2016" s="1044"/>
      <c r="F2016" s="1056" t="str">
        <f>VLOOKUP($B2016,DG!A:D,DG!$C$2,)</f>
        <v>Kẹp ép WR cỡ dây 240mm2</v>
      </c>
      <c r="G2016" s="1044" t="str">
        <f>VLOOKUP($B2016,DG!A:D,DG!$D$2,)</f>
        <v>cái</v>
      </c>
      <c r="H2016" s="1823">
        <f t="shared" si="370"/>
        <v>0</v>
      </c>
      <c r="I2016" s="1823"/>
      <c r="J2016" s="1823"/>
      <c r="K2016" s="1823"/>
      <c r="L2016" s="1822">
        <f>IFERROR(HLOOKUP(chitiet!B2016,pp1p!$1:$3,3,0),0)</f>
        <v>0</v>
      </c>
      <c r="M2016" s="1823"/>
      <c r="N2016" s="1823"/>
      <c r="O2016" s="1823"/>
      <c r="P2016" s="1823">
        <f t="shared" si="364"/>
        <v>0</v>
      </c>
      <c r="Q2016" s="1053"/>
      <c r="R2016" s="1053"/>
      <c r="S2016" s="1053"/>
      <c r="T2016" s="2035">
        <f>IFERROR(HLOOKUP(B2016,pp1p!$1:$3,3,0),0)</f>
        <v>0</v>
      </c>
    </row>
    <row r="2017" spans="1:20" ht="22.2" hidden="1" customHeight="1">
      <c r="A2017" s="59"/>
      <c r="B2017" s="1584" t="s">
        <v>1891</v>
      </c>
      <c r="C2017" s="1013" t="str">
        <f t="shared" si="368"/>
        <v xml:space="preserve"> </v>
      </c>
      <c r="D2017" s="1548">
        <f>pp1p!CJ94</f>
        <v>0</v>
      </c>
      <c r="E2017" s="1044" t="str">
        <f>VLOOKUP($B2017,DG!A:D,DG!$B$2,)</f>
        <v>03.4003</v>
      </c>
      <c r="F2017" s="1056" t="str">
        <f>VLOOKUP($B2017,DG!A:D,DG!$C$2,)</f>
        <v>Đầu cosse ép Cu-Al 70mm2</v>
      </c>
      <c r="G2017" s="1044" t="str">
        <f>VLOOKUP($B2017,DG!A:D,DG!$D$2,)</f>
        <v>cái</v>
      </c>
      <c r="H2017" s="1823">
        <f t="shared" si="370"/>
        <v>0</v>
      </c>
      <c r="I2017" s="1823"/>
      <c r="J2017" s="1823"/>
      <c r="K2017" s="1823"/>
      <c r="L2017" s="1822">
        <f>IFERROR(HLOOKUP(chitiet!B2017,pp1p!$1:$3,3,0),0)</f>
        <v>0</v>
      </c>
      <c r="M2017" s="1823"/>
      <c r="N2017" s="1823"/>
      <c r="O2017" s="1823"/>
      <c r="P2017" s="1823">
        <f t="shared" si="364"/>
        <v>0</v>
      </c>
      <c r="Q2017" s="1053"/>
      <c r="R2017" s="1053"/>
      <c r="S2017" s="1053"/>
      <c r="T2017" s="2035">
        <f>IFERROR(HLOOKUP(B2017,pp1p!$1:$3,3,0),0)</f>
        <v>0</v>
      </c>
    </row>
    <row r="2018" spans="1:20" ht="22.2" hidden="1" customHeight="1">
      <c r="A2018" s="59"/>
      <c r="B2018" s="1584" t="s">
        <v>1892</v>
      </c>
      <c r="C2018" s="1013" t="str">
        <f t="shared" si="368"/>
        <v xml:space="preserve"> </v>
      </c>
      <c r="D2018" s="1548">
        <f>pp1p!CK94</f>
        <v>0</v>
      </c>
      <c r="E2018" s="1044" t="str">
        <f>VLOOKUP($B2018,DG!A:D,DG!$B$2,)</f>
        <v>03.4004</v>
      </c>
      <c r="F2018" s="1056" t="str">
        <f>VLOOKUP($B2018,DG!A:D,DG!$C$2,)</f>
        <v>Đầu cosse ép Cu-Al 95mm2</v>
      </c>
      <c r="G2018" s="1044" t="str">
        <f>VLOOKUP($B2018,DG!A:D,DG!$D$2,)</f>
        <v>cái</v>
      </c>
      <c r="H2018" s="1823">
        <f t="shared" si="370"/>
        <v>0</v>
      </c>
      <c r="I2018" s="1823"/>
      <c r="J2018" s="1823"/>
      <c r="K2018" s="1823"/>
      <c r="L2018" s="1822">
        <f>IFERROR(HLOOKUP(chitiet!B2018,pp1p!$1:$3,3,0),0)</f>
        <v>0</v>
      </c>
      <c r="M2018" s="1823"/>
      <c r="N2018" s="1823"/>
      <c r="O2018" s="1823"/>
      <c r="P2018" s="1823">
        <f t="shared" si="364"/>
        <v>0</v>
      </c>
      <c r="Q2018" s="1053"/>
      <c r="R2018" s="1053"/>
      <c r="S2018" s="1053"/>
      <c r="T2018" s="2035">
        <f>IFERROR(HLOOKUP(B2018,pp1p!$1:$3,3,0),0)</f>
        <v>0</v>
      </c>
    </row>
    <row r="2019" spans="1:20" ht="22.2" hidden="1" customHeight="1">
      <c r="A2019" s="59"/>
      <c r="B2019" s="1584" t="s">
        <v>1893</v>
      </c>
      <c r="C2019" s="1013" t="str">
        <f t="shared" si="368"/>
        <v xml:space="preserve"> </v>
      </c>
      <c r="D2019" s="1548">
        <f>pp1p!CL94</f>
        <v>0</v>
      </c>
      <c r="E2019" s="1044" t="str">
        <f>VLOOKUP($B2019,DG!A:D,DG!$B$2,)</f>
        <v>03.4005</v>
      </c>
      <c r="F2019" s="1056" t="str">
        <f>VLOOKUP($B2019,DG!A:D,DG!$C$2,)</f>
        <v>Đầu cosse ép Cu-Al 120mm2</v>
      </c>
      <c r="G2019" s="1044" t="str">
        <f>VLOOKUP($B2019,DG!A:D,DG!$D$2,)</f>
        <v>cái</v>
      </c>
      <c r="H2019" s="1823">
        <f t="shared" si="370"/>
        <v>0</v>
      </c>
      <c r="I2019" s="1823"/>
      <c r="J2019" s="1823"/>
      <c r="K2019" s="1823"/>
      <c r="L2019" s="1822">
        <f>IFERROR(HLOOKUP(chitiet!B2019,pp1p!$1:$3,3,0),0)</f>
        <v>0</v>
      </c>
      <c r="M2019" s="1823"/>
      <c r="N2019" s="1823"/>
      <c r="O2019" s="1823"/>
      <c r="P2019" s="1823">
        <f t="shared" ref="P2019:P2082" si="371">H2019+Q2019-R2019</f>
        <v>0</v>
      </c>
      <c r="Q2019" s="1053"/>
      <c r="R2019" s="1053"/>
      <c r="S2019" s="1053"/>
      <c r="T2019" s="2035">
        <f>IFERROR(HLOOKUP(B2019,pp1p!$1:$3,3,0),0)</f>
        <v>0</v>
      </c>
    </row>
    <row r="2020" spans="1:20" ht="22.2" hidden="1" customHeight="1">
      <c r="A2020" s="59"/>
      <c r="B2020" s="1584" t="s">
        <v>1019</v>
      </c>
      <c r="C2020" s="1013" t="str">
        <f t="shared" si="368"/>
        <v xml:space="preserve"> </v>
      </c>
      <c r="D2020" s="1548">
        <f>pp1p!CM94</f>
        <v>0</v>
      </c>
      <c r="E2020" s="1044" t="str">
        <f>VLOOKUP($B2020,DG!A:D,DG!$B$2,)</f>
        <v>03.4006</v>
      </c>
      <c r="F2020" s="1056" t="str">
        <f>VLOOKUP($B2020,DG!A:D,DG!$C$2,)</f>
        <v>Đầu cosse ép Cu-Al 150mm2</v>
      </c>
      <c r="G2020" s="1044" t="str">
        <f>VLOOKUP($B2020,DG!A:D,DG!$D$2,)</f>
        <v>cái</v>
      </c>
      <c r="H2020" s="1823">
        <f t="shared" si="370"/>
        <v>0</v>
      </c>
      <c r="I2020" s="1823"/>
      <c r="J2020" s="1823"/>
      <c r="K2020" s="1823"/>
      <c r="L2020" s="1822">
        <f>IFERROR(HLOOKUP(chitiet!B2020,pp1p!$1:$3,3,0),0)</f>
        <v>0</v>
      </c>
      <c r="M2020" s="1823"/>
      <c r="N2020" s="1823"/>
      <c r="O2020" s="1823"/>
      <c r="P2020" s="1823">
        <f t="shared" si="371"/>
        <v>0</v>
      </c>
      <c r="Q2020" s="1053"/>
      <c r="R2020" s="1053"/>
      <c r="S2020" s="1053"/>
      <c r="T2020" s="2035">
        <f>IFERROR(HLOOKUP(B2020,pp1p!$1:$3,3,0),0)</f>
        <v>0</v>
      </c>
    </row>
    <row r="2021" spans="1:20" ht="22.2" hidden="1" customHeight="1">
      <c r="A2021" s="59"/>
      <c r="B2021" s="1584" t="s">
        <v>1020</v>
      </c>
      <c r="C2021" s="1013" t="str">
        <f t="shared" si="368"/>
        <v xml:space="preserve"> </v>
      </c>
      <c r="D2021" s="1548">
        <f>pp1p!CN94</f>
        <v>0</v>
      </c>
      <c r="E2021" s="1044" t="str">
        <f>VLOOKUP($B2021,DG!A:D,DG!$B$2,)</f>
        <v>03.4007</v>
      </c>
      <c r="F2021" s="1056" t="str">
        <f>VLOOKUP($B2021,DG!A:D,DG!$C$2,)</f>
        <v>Đầu cosse ép Cu-Al 185mm2</v>
      </c>
      <c r="G2021" s="1044" t="str">
        <f>VLOOKUP($B2021,DG!A:D,DG!$D$2,)</f>
        <v>cái</v>
      </c>
      <c r="H2021" s="1823">
        <f t="shared" si="370"/>
        <v>0</v>
      </c>
      <c r="I2021" s="1823"/>
      <c r="J2021" s="1823"/>
      <c r="K2021" s="1823"/>
      <c r="L2021" s="1822">
        <f>IFERROR(HLOOKUP(chitiet!B2021,pp1p!$1:$3,3,0),0)</f>
        <v>0</v>
      </c>
      <c r="M2021" s="1823"/>
      <c r="N2021" s="1823"/>
      <c r="O2021" s="1823"/>
      <c r="P2021" s="1823">
        <f t="shared" si="371"/>
        <v>0</v>
      </c>
      <c r="Q2021" s="1053"/>
      <c r="R2021" s="1053"/>
      <c r="S2021" s="1053"/>
      <c r="T2021" s="2035">
        <f>IFERROR(HLOOKUP(B2021,pp1p!$1:$3,3,0),0)</f>
        <v>0</v>
      </c>
    </row>
    <row r="2022" spans="1:20" ht="22.2" hidden="1" customHeight="1">
      <c r="A2022" s="59"/>
      <c r="B2022" s="1584" t="s">
        <v>1835</v>
      </c>
      <c r="C2022" s="1013" t="str">
        <f t="shared" si="368"/>
        <v xml:space="preserve"> </v>
      </c>
      <c r="D2022" s="1548">
        <f>pp1p!CO94</f>
        <v>0</v>
      </c>
      <c r="E2022" s="1044" t="str">
        <f>VLOOKUP($B2022,DG!A:D,DG!$B$2,)</f>
        <v>03.4008</v>
      </c>
      <c r="F2022" s="1056" t="str">
        <f>VLOOKUP($B2022,DG!A:D,DG!$C$2,)</f>
        <v>Đầu cosse ép Cu-Al 240mm2</v>
      </c>
      <c r="G2022" s="1044" t="str">
        <f>VLOOKUP($B2022,DG!A:D,DG!$D$2,)</f>
        <v>cái</v>
      </c>
      <c r="H2022" s="1823">
        <f t="shared" si="370"/>
        <v>0</v>
      </c>
      <c r="I2022" s="1823"/>
      <c r="J2022" s="1823"/>
      <c r="K2022" s="1823"/>
      <c r="L2022" s="1822">
        <f>IFERROR(HLOOKUP(chitiet!B2022,pp1p!$1:$3,3,0),0)</f>
        <v>0</v>
      </c>
      <c r="M2022" s="1823"/>
      <c r="N2022" s="1823"/>
      <c r="O2022" s="1823"/>
      <c r="P2022" s="1823">
        <f t="shared" si="371"/>
        <v>0</v>
      </c>
      <c r="Q2022" s="1053"/>
      <c r="R2022" s="1053"/>
      <c r="S2022" s="1053"/>
      <c r="T2022" s="2035">
        <f>IFERROR(HLOOKUP(B2022,pp1p!$1:$3,3,0),0)</f>
        <v>0</v>
      </c>
    </row>
    <row r="2023" spans="1:20" ht="22.2" hidden="1" customHeight="1">
      <c r="A2023" s="59"/>
      <c r="B2023" s="1584" t="s">
        <v>437</v>
      </c>
      <c r="C2023" s="1013" t="str">
        <f t="shared" si="368"/>
        <v xml:space="preserve"> </v>
      </c>
      <c r="D2023" s="1548">
        <f>SUM(D2017:D2022)/2</f>
        <v>0</v>
      </c>
      <c r="E2023" s="1044">
        <f>VLOOKUP($B2023,DG!A:D,DG!$B$2,)</f>
        <v>0</v>
      </c>
      <c r="F2023" s="1056" t="str">
        <f>VLOOKUP($B2023,DG!A:D,DG!$C$2,)</f>
        <v>Boulon 12x30+ 2 long đền vuông D14-50x50x3/Zn</v>
      </c>
      <c r="G2023" s="1044" t="str">
        <f>VLOOKUP($B2023,DG!A:D,DG!$D$2,)</f>
        <v>bộ</v>
      </c>
      <c r="H2023" s="1823">
        <f t="shared" si="370"/>
        <v>0</v>
      </c>
      <c r="I2023" s="1823"/>
      <c r="J2023" s="1823"/>
      <c r="K2023" s="1823"/>
      <c r="L2023" s="1822">
        <f>IFERROR(HLOOKUP(chitiet!B2023,pp1p!$1:$3,3,0),0)</f>
        <v>0</v>
      </c>
      <c r="M2023" s="1823"/>
      <c r="N2023" s="1823"/>
      <c r="O2023" s="1823"/>
      <c r="P2023" s="1823">
        <f t="shared" si="371"/>
        <v>0</v>
      </c>
      <c r="Q2023" s="1053"/>
      <c r="R2023" s="1053"/>
      <c r="S2023" s="1053"/>
      <c r="T2023" s="2035">
        <f>IFERROR(HLOOKUP(B2023,pp1p!$1:$3,3,0),0)</f>
        <v>0</v>
      </c>
    </row>
    <row r="2024" spans="1:20" ht="22.2" hidden="1" customHeight="1">
      <c r="A2024" s="59"/>
      <c r="B2024" s="1584" t="s">
        <v>1482</v>
      </c>
      <c r="C2024" s="1013" t="str">
        <f t="shared" si="368"/>
        <v xml:space="preserve"> </v>
      </c>
      <c r="D2024" s="1548">
        <f>T2024</f>
        <v>0</v>
      </c>
      <c r="E2024" s="1044" t="str">
        <f>VLOOKUP($B2024,DG!A:D,DG!$B$2,)</f>
        <v>04.3007</v>
      </c>
      <c r="F2024" s="1056" t="str">
        <f>VLOOKUP($B2024,DG!A:D,DG!$C$2,)</f>
        <v>Kẹp quai 2/0</v>
      </c>
      <c r="G2024" s="1044" t="str">
        <f>VLOOKUP($B2024,DG!A:D,DG!$D$2,)</f>
        <v>cái</v>
      </c>
      <c r="H2024" s="1823">
        <f t="shared" si="370"/>
        <v>0</v>
      </c>
      <c r="I2024" s="1823"/>
      <c r="J2024" s="1823"/>
      <c r="K2024" s="1823"/>
      <c r="L2024" s="1822">
        <f>IFERROR(HLOOKUP(chitiet!B2024,pp1p!$1:$3,3,0),0)</f>
        <v>0</v>
      </c>
      <c r="M2024" s="1823"/>
      <c r="N2024" s="1823"/>
      <c r="O2024" s="1823"/>
      <c r="P2024" s="1823">
        <f t="shared" si="371"/>
        <v>0</v>
      </c>
      <c r="Q2024" s="1053"/>
      <c r="R2024" s="1053"/>
      <c r="S2024" s="1053"/>
      <c r="T2024" s="2035">
        <f>IFERROR(HLOOKUP(B2024,pp1p!$1:$3,3,0),0)</f>
        <v>0</v>
      </c>
    </row>
    <row r="2025" spans="1:20" ht="22.2" hidden="1" customHeight="1">
      <c r="A2025" s="59"/>
      <c r="B2025" s="1584" t="s">
        <v>1480</v>
      </c>
      <c r="C2025" s="1013" t="str">
        <f t="shared" ref="C2025" si="372">IF(OR(P2025&lt;&gt;0,H2025&lt;&gt;0),"x"," ")</f>
        <v xml:space="preserve"> </v>
      </c>
      <c r="D2025" s="1548">
        <f>T2025</f>
        <v>0</v>
      </c>
      <c r="E2025" s="1044" t="str">
        <f>VLOOKUP($B2025,DG!A:D,DG!$B$2,)</f>
        <v>04.3007</v>
      </c>
      <c r="F2025" s="1056" t="str">
        <f>VLOOKUP($B2025,DG!A:D,DG!$C$2,)</f>
        <v>Kẹp hotline 2/0</v>
      </c>
      <c r="G2025" s="1044" t="str">
        <f>VLOOKUP($B2025,DG!A:D,DG!$D$2,)</f>
        <v>cái</v>
      </c>
      <c r="H2025" s="1823">
        <f t="shared" si="370"/>
        <v>0</v>
      </c>
      <c r="I2025" s="1823"/>
      <c r="J2025" s="1823"/>
      <c r="K2025" s="1823"/>
      <c r="L2025" s="1822">
        <f>IFERROR(HLOOKUP(chitiet!B2025,pp1p!$1:$3,3,0),0)</f>
        <v>0</v>
      </c>
      <c r="M2025" s="1823"/>
      <c r="N2025" s="1823"/>
      <c r="O2025" s="1823"/>
      <c r="P2025" s="1823">
        <f t="shared" ref="P2025" si="373">H2025+Q2025-R2025</f>
        <v>0</v>
      </c>
      <c r="Q2025" s="1053"/>
      <c r="R2025" s="1053"/>
      <c r="S2025" s="1053"/>
      <c r="T2025" s="2035">
        <f>IFERROR(HLOOKUP(B2025,pp1p!$1:$3,3,0),0)</f>
        <v>0</v>
      </c>
    </row>
    <row r="2026" spans="1:20" ht="22.2" hidden="1" customHeight="1">
      <c r="A2026" s="59"/>
      <c r="B2026" s="1584" t="s">
        <v>4566</v>
      </c>
      <c r="C2026" s="1013" t="str">
        <f t="shared" si="368"/>
        <v xml:space="preserve"> </v>
      </c>
      <c r="D2026" s="1535">
        <f>D2024</f>
        <v>0</v>
      </c>
      <c r="E2026" s="1044">
        <f>VLOOKUP($B2026,DG!A:D,DG!$B$2,)</f>
        <v>0</v>
      </c>
      <c r="F2026" s="1056" t="str">
        <f>VLOOKUP($B2026,DG!A:D,DG!$C$2,)</f>
        <v>Chụp cách điện kẹp quai</v>
      </c>
      <c r="G2026" s="1044" t="str">
        <f>VLOOKUP($B2026,DG!A:D,DG!$D$2,)</f>
        <v>cái</v>
      </c>
      <c r="H2026" s="1823">
        <f t="shared" si="370"/>
        <v>0</v>
      </c>
      <c r="I2026" s="1823"/>
      <c r="J2026" s="1823"/>
      <c r="K2026" s="1823"/>
      <c r="L2026" s="1822">
        <f>IFERROR(HLOOKUP(chitiet!B2026,pp1p!$1:$3,3,0),0)</f>
        <v>0</v>
      </c>
      <c r="M2026" s="1823"/>
      <c r="N2026" s="1823"/>
      <c r="O2026" s="1823"/>
      <c r="P2026" s="1823">
        <f t="shared" si="371"/>
        <v>0</v>
      </c>
      <c r="Q2026" s="1053"/>
      <c r="R2026" s="1053"/>
      <c r="S2026" s="1053"/>
      <c r="T2026" s="2035">
        <f>IFERROR(HLOOKUP(B2026,pp1p!$1:$3,3,0),0)</f>
        <v>0</v>
      </c>
    </row>
    <row r="2027" spans="1:20" ht="22.2" hidden="1" customHeight="1">
      <c r="B2027" s="1585" t="s">
        <v>697</v>
      </c>
      <c r="C2027" s="1013" t="str">
        <f t="shared" si="368"/>
        <v xml:space="preserve"> </v>
      </c>
      <c r="D2027" s="1535">
        <f>pp1p!CR94*3</f>
        <v>0</v>
      </c>
      <c r="E2027" s="1044"/>
      <c r="F2027" s="1056" t="str">
        <f>VLOOKUP($B2027,DG!A:D,DG!$C$2,)</f>
        <v>Cáp 24KV C/XLPE/PVC 25mm2</v>
      </c>
      <c r="G2027" s="1044" t="str">
        <f>VLOOKUP($B2027,DG!A:D,DG!$D$2,)</f>
        <v>mét</v>
      </c>
      <c r="H2027" s="1823">
        <f t="shared" si="370"/>
        <v>0</v>
      </c>
      <c r="I2027" s="1823"/>
      <c r="J2027" s="1823"/>
      <c r="K2027" s="1823"/>
      <c r="L2027" s="1822">
        <f>IFERROR(HLOOKUP(chitiet!B2027,pp1p!$1:$3,3,0),0)</f>
        <v>0</v>
      </c>
      <c r="M2027" s="1823"/>
      <c r="N2027" s="1823"/>
      <c r="O2027" s="1823"/>
      <c r="P2027" s="1823">
        <f t="shared" si="371"/>
        <v>0</v>
      </c>
      <c r="Q2027" s="1059"/>
      <c r="R2027" s="1059"/>
      <c r="S2027" s="1059"/>
      <c r="T2027" s="2035">
        <f>IFERROR(HLOOKUP(B2027,pp1p!$1:$3,3,0),0)</f>
        <v>0</v>
      </c>
    </row>
    <row r="2028" spans="1:20" ht="22.2" hidden="1" customHeight="1">
      <c r="A2028" s="59"/>
      <c r="B2028" s="1584" t="s">
        <v>1023</v>
      </c>
      <c r="C2028" s="1013" t="str">
        <f t="shared" si="368"/>
        <v xml:space="preserve"> </v>
      </c>
      <c r="D2028" s="1548">
        <f>pp1p!AV94</f>
        <v>0</v>
      </c>
      <c r="E2028" s="1044"/>
      <c r="F2028" s="1056" t="str">
        <f>VLOOKUP($B2028,DG!A:D,DG!$C$2,)</f>
        <v>Cáp thép 3/8"</v>
      </c>
      <c r="G2028" s="1044" t="str">
        <f>VLOOKUP($B2028,DG!A:D,DG!$D$2,)</f>
        <v>kg</v>
      </c>
      <c r="H2028" s="1823">
        <f t="shared" si="370"/>
        <v>0</v>
      </c>
      <c r="I2028" s="1823"/>
      <c r="J2028" s="1823"/>
      <c r="K2028" s="1823"/>
      <c r="L2028" s="1822">
        <f>IFERROR(HLOOKUP(chitiet!B2028,pp1p!$1:$3,3,0),0)</f>
        <v>0</v>
      </c>
      <c r="M2028" s="1823"/>
      <c r="N2028" s="1823"/>
      <c r="O2028" s="1823"/>
      <c r="P2028" s="1823">
        <f t="shared" si="371"/>
        <v>0</v>
      </c>
      <c r="Q2028" s="1053"/>
      <c r="R2028" s="1053"/>
      <c r="S2028" s="1053"/>
      <c r="T2028" s="2035">
        <f>IFERROR(HLOOKUP(B2028,pp1p!$1:$3,3,0),0)</f>
        <v>0</v>
      </c>
    </row>
    <row r="2029" spans="1:20" ht="22.2" hidden="1" customHeight="1">
      <c r="A2029" s="59"/>
      <c r="B2029" s="1584" t="s">
        <v>378</v>
      </c>
      <c r="C2029" s="1013" t="str">
        <f t="shared" si="368"/>
        <v xml:space="preserve"> </v>
      </c>
      <c r="D2029" s="1548">
        <f>pp1p!CW94</f>
        <v>0</v>
      </c>
      <c r="E2029" s="1044"/>
      <c r="F2029" s="1056" t="str">
        <f>VLOOKUP($B2029,DG!A:D,DG!$C$2,)</f>
        <v>Biển báo độ cao</v>
      </c>
      <c r="G2029" s="1044" t="str">
        <f>VLOOKUP($B2029,DG!A:D,DG!$D$2,)</f>
        <v>cái</v>
      </c>
      <c r="H2029" s="1823">
        <f t="shared" si="370"/>
        <v>0</v>
      </c>
      <c r="I2029" s="1823"/>
      <c r="J2029" s="1823"/>
      <c r="K2029" s="1823"/>
      <c r="L2029" s="1822">
        <f>IFERROR(HLOOKUP(chitiet!B2029,pp1p!$1:$3,3,0),0)</f>
        <v>0</v>
      </c>
      <c r="M2029" s="1823"/>
      <c r="N2029" s="1823"/>
      <c r="O2029" s="1823"/>
      <c r="P2029" s="1823">
        <f t="shared" si="371"/>
        <v>0</v>
      </c>
      <c r="Q2029" s="1053"/>
      <c r="R2029" s="1053"/>
      <c r="S2029" s="1053"/>
      <c r="T2029" s="2035">
        <f>IFERROR(HLOOKUP(B2029,pp1p!$1:$3,3,0),0)</f>
        <v>0</v>
      </c>
    </row>
    <row r="2030" spans="1:20" ht="22.2" hidden="1" customHeight="1">
      <c r="A2030" s="59"/>
      <c r="B2030" s="1584" t="s">
        <v>1490</v>
      </c>
      <c r="C2030" s="1013" t="str">
        <f t="shared" si="368"/>
        <v xml:space="preserve"> </v>
      </c>
      <c r="D2030" s="1535">
        <f>ROUND((D1960/0.195/0.198)/1500,0)</f>
        <v>0</v>
      </c>
      <c r="E2030" s="1044"/>
      <c r="F2030" s="1056" t="str">
        <f>VLOOKUP($B2030,DG!A:D,DG!$C$2,)</f>
        <v>Ống nối dây cỡ 50mm2</v>
      </c>
      <c r="G2030" s="1044" t="str">
        <f>VLOOKUP($B2030,DG!A:D,DG!$D$2,)</f>
        <v>cái</v>
      </c>
      <c r="H2030" s="1823">
        <f t="shared" si="370"/>
        <v>0</v>
      </c>
      <c r="I2030" s="1823"/>
      <c r="J2030" s="1823"/>
      <c r="K2030" s="1823"/>
      <c r="L2030" s="1822">
        <f>IFERROR(HLOOKUP(chitiet!B2030,pp1p!$1:$3,3,0),0)</f>
        <v>0</v>
      </c>
      <c r="M2030" s="1823"/>
      <c r="N2030" s="1823"/>
      <c r="O2030" s="1823"/>
      <c r="P2030" s="1823">
        <f t="shared" si="371"/>
        <v>0</v>
      </c>
      <c r="Q2030" s="1053"/>
      <c r="R2030" s="1053"/>
      <c r="S2030" s="1053"/>
      <c r="T2030" s="2035">
        <f>IFERROR(HLOOKUP(B2030,pp1p!$1:$3,3,0),0)</f>
        <v>0</v>
      </c>
    </row>
    <row r="2031" spans="1:20" ht="22.2" hidden="1" customHeight="1">
      <c r="A2031" s="59"/>
      <c r="B2031" s="1584" t="s">
        <v>1491</v>
      </c>
      <c r="C2031" s="1013" t="str">
        <f t="shared" si="368"/>
        <v xml:space="preserve"> </v>
      </c>
      <c r="D2031" s="1535">
        <f>ROUND((D1959/0.276/(0.276+0.0045)+D1961)/1400,0)</f>
        <v>0</v>
      </c>
      <c r="E2031" s="1044"/>
      <c r="F2031" s="1056" t="str">
        <f>VLOOKUP($B2031,DG!A:D,DG!$C$2,)</f>
        <v>Ống nối dây cỡ 70mm2</v>
      </c>
      <c r="G2031" s="1044" t="str">
        <f>VLOOKUP($B2031,DG!A:D,DG!$D$2,)</f>
        <v>cái</v>
      </c>
      <c r="H2031" s="1823">
        <f t="shared" si="370"/>
        <v>0</v>
      </c>
      <c r="I2031" s="1823"/>
      <c r="J2031" s="1823"/>
      <c r="K2031" s="1823"/>
      <c r="L2031" s="1822">
        <f>IFERROR(HLOOKUP(chitiet!B2031,pp1p!$1:$3,3,0),0)</f>
        <v>0</v>
      </c>
      <c r="M2031" s="1823"/>
      <c r="N2031" s="1823"/>
      <c r="O2031" s="1823"/>
      <c r="P2031" s="1823">
        <f t="shared" si="371"/>
        <v>0</v>
      </c>
      <c r="Q2031" s="1053"/>
      <c r="R2031" s="1053"/>
      <c r="S2031" s="1053"/>
      <c r="T2031" s="2035">
        <f>IFERROR(HLOOKUP(B2031,pp1p!$1:$3,3,0),0)</f>
        <v>0</v>
      </c>
    </row>
    <row r="2032" spans="1:20" ht="22.2" hidden="1" customHeight="1">
      <c r="A2032" s="59"/>
      <c r="B2032" s="1584" t="s">
        <v>229</v>
      </c>
      <c r="C2032" s="1013" t="str">
        <f t="shared" si="368"/>
        <v xml:space="preserve"> </v>
      </c>
      <c r="D2032" s="1545">
        <f>SUM(D2037:D2038)*5/1.4</f>
        <v>0</v>
      </c>
      <c r="E2032" s="1044"/>
      <c r="F2032" s="1056" t="str">
        <f>VLOOKUP($B2032,DG!A:D,DG!$C$2,)</f>
        <v xml:space="preserve">Dây nhôm buộc </v>
      </c>
      <c r="G2032" s="1044" t="str">
        <f>VLOOKUP($B2032,DG!A:D,DG!$D$2,)</f>
        <v>kg</v>
      </c>
      <c r="H2032" s="1830">
        <f t="shared" si="370"/>
        <v>0</v>
      </c>
      <c r="I2032" s="1823"/>
      <c r="J2032" s="1823"/>
      <c r="K2032" s="1823"/>
      <c r="L2032" s="1822">
        <f>IFERROR(HLOOKUP(chitiet!B2032,pp1p!$1:$3,3,0),0)</f>
        <v>0</v>
      </c>
      <c r="M2032" s="1823"/>
      <c r="N2032" s="1823"/>
      <c r="O2032" s="1823"/>
      <c r="P2032" s="1830">
        <f t="shared" si="371"/>
        <v>0</v>
      </c>
      <c r="Q2032" s="1053"/>
      <c r="R2032" s="1053"/>
      <c r="S2032" s="1053"/>
      <c r="T2032" s="2035">
        <f>IFERROR(HLOOKUP(B2032,pp1p!$1:$3,3,0),0)</f>
        <v>0</v>
      </c>
    </row>
    <row r="2033" spans="1:20" ht="22.2" hidden="1" customHeight="1">
      <c r="A2033" s="59"/>
      <c r="B2033" s="1584" t="s">
        <v>362</v>
      </c>
      <c r="C2033" s="1013" t="str">
        <f t="shared" ref="C2033" si="374">IF(OR(P2033&lt;&gt;0,H2033&lt;&gt;0),"x"," ")</f>
        <v xml:space="preserve"> </v>
      </c>
      <c r="D2033" s="1535">
        <v>1</v>
      </c>
      <c r="E2033" s="1044"/>
      <c r="F2033" s="1056" t="str">
        <f>VLOOKUP($B2033,DG!A:D,DG!$C$2,)</f>
        <v>Xà composite 110x800x5</v>
      </c>
      <c r="G2033" s="1044" t="str">
        <f>VLOOKUP($B2033,DG!A:D,DG!$D$2,)</f>
        <v>cái</v>
      </c>
      <c r="H2033" s="1946"/>
      <c r="I2033" s="1823"/>
      <c r="J2033" s="1823"/>
      <c r="K2033" s="1823"/>
      <c r="L2033" s="1822">
        <f>IFERROR(HLOOKUP(chitiet!B2033,pp1p!$1:$3,3,0),0)</f>
        <v>0</v>
      </c>
      <c r="M2033" s="1823"/>
      <c r="N2033" s="1823"/>
      <c r="O2033" s="1823"/>
      <c r="P2033" s="1823">
        <f t="shared" ref="P2033" si="375">H2033+Q2033-R2033</f>
        <v>0</v>
      </c>
      <c r="Q2033" s="1053"/>
      <c r="R2033" s="1053"/>
      <c r="S2033" s="1053"/>
      <c r="T2033" s="2035">
        <f>IFERROR(HLOOKUP(B2033,pp1p!$1:$3,3,0),0)</f>
        <v>0</v>
      </c>
    </row>
    <row r="2034" spans="1:20" ht="22.2" hidden="1" customHeight="1">
      <c r="A2034" s="59"/>
      <c r="B2034" s="1584" t="s">
        <v>4765</v>
      </c>
      <c r="C2034" s="1013" t="str">
        <f t="shared" si="368"/>
        <v xml:space="preserve"> </v>
      </c>
      <c r="D2034" s="1535">
        <v>1</v>
      </c>
      <c r="E2034" s="1044"/>
      <c r="F2034" s="1056" t="str">
        <f>VLOOKUP($B2034,DG!A:D,DG!$C$2,)</f>
        <v>Thanh chống Composite 10x40x720</v>
      </c>
      <c r="G2034" s="1044" t="str">
        <f>VLOOKUP($B2034,DG!A:D,DG!$D$2,)</f>
        <v>cái</v>
      </c>
      <c r="H2034" s="1823"/>
      <c r="I2034" s="1823"/>
      <c r="J2034" s="1823"/>
      <c r="K2034" s="1823"/>
      <c r="L2034" s="1822">
        <f>IFERROR(HLOOKUP(chitiet!B2034,pp1p!$1:$3,3,0),0)</f>
        <v>0</v>
      </c>
      <c r="M2034" s="1823"/>
      <c r="N2034" s="1823"/>
      <c r="O2034" s="1823"/>
      <c r="P2034" s="1823">
        <f t="shared" si="371"/>
        <v>0</v>
      </c>
      <c r="Q2034" s="1053"/>
      <c r="R2034" s="1053"/>
      <c r="S2034" s="1053"/>
      <c r="T2034" s="2035">
        <f>IFERROR(HLOOKUP(B2034,pp1p!$1:$3,3,0),0)</f>
        <v>0</v>
      </c>
    </row>
    <row r="2035" spans="1:20" ht="22.2" hidden="1" customHeight="1">
      <c r="A2035" s="59"/>
      <c r="B2035" s="1584" t="s">
        <v>1573</v>
      </c>
      <c r="C2035" s="1013" t="str">
        <f t="shared" si="368"/>
        <v xml:space="preserve"> </v>
      </c>
      <c r="D2035" s="1535"/>
      <c r="E2035" s="1044"/>
      <c r="F2035" s="1056" t="str">
        <f>VLOOKUP($B2035,DG!A:D,DG!$C$2,)</f>
        <v>Biển số - Bảng nguy hiểm</v>
      </c>
      <c r="G2035" s="1044" t="str">
        <f>VLOOKUP($B2035,DG!A:D,DG!$D$2,)</f>
        <v>cái</v>
      </c>
      <c r="H2035" s="1823">
        <f t="shared" si="370"/>
        <v>0</v>
      </c>
      <c r="I2035" s="1823"/>
      <c r="J2035" s="1823"/>
      <c r="K2035" s="1823"/>
      <c r="L2035" s="1822">
        <f>IFERROR(HLOOKUP(chitiet!B2035,pp1p!$1:$3,3,0),0)</f>
        <v>0</v>
      </c>
      <c r="M2035" s="1823"/>
      <c r="N2035" s="1823"/>
      <c r="O2035" s="1823"/>
      <c r="P2035" s="1823">
        <f t="shared" si="371"/>
        <v>0</v>
      </c>
      <c r="Q2035" s="1053"/>
      <c r="R2035" s="1053"/>
      <c r="S2035" s="1053"/>
      <c r="T2035" s="2035">
        <f>IFERROR(HLOOKUP(B2035,pp1p!$1:$3,3,0),0)</f>
        <v>0</v>
      </c>
    </row>
    <row r="2036" spans="1:20" ht="22.2" hidden="1" customHeight="1">
      <c r="A2036" s="59"/>
      <c r="B2036" s="1584" t="s">
        <v>382</v>
      </c>
      <c r="C2036" s="1013" t="str">
        <f t="shared" si="368"/>
        <v xml:space="preserve"> </v>
      </c>
      <c r="D2036" s="1535">
        <f>D2315</f>
        <v>0</v>
      </c>
      <c r="E2036" s="1044"/>
      <c r="F2036" s="1056" t="str">
        <f>VLOOKUP($B2036,DG!A:D,DG!$C$2,)</f>
        <v>Chụp đầu cực FCO (bộ 2 cái)</v>
      </c>
      <c r="G2036" s="1044" t="str">
        <f>VLOOKUP($B2036,DG!A:D,DG!$D$2,)</f>
        <v>bộ</v>
      </c>
      <c r="H2036" s="1823">
        <f t="shared" si="370"/>
        <v>0</v>
      </c>
      <c r="I2036" s="1823"/>
      <c r="J2036" s="1823"/>
      <c r="K2036" s="1823"/>
      <c r="L2036" s="1822">
        <f>IFERROR(HLOOKUP(chitiet!B2036,pp1p!$1:$3,3,0),0)</f>
        <v>0</v>
      </c>
      <c r="M2036" s="1823"/>
      <c r="N2036" s="1823"/>
      <c r="O2036" s="1823"/>
      <c r="P2036" s="1823">
        <f t="shared" si="371"/>
        <v>0</v>
      </c>
      <c r="Q2036" s="1053"/>
      <c r="R2036" s="1053"/>
      <c r="S2036" s="1053"/>
      <c r="T2036" s="2035">
        <f>IFERROR(HLOOKUP(B2036,pp1p!$1:$3,3,0),0)</f>
        <v>0</v>
      </c>
    </row>
    <row r="2037" spans="1:20" ht="22.2" hidden="1" customHeight="1">
      <c r="A2037" s="59"/>
      <c r="B2037" s="1584" t="s">
        <v>1272</v>
      </c>
      <c r="C2037" s="1013" t="str">
        <f t="shared" si="368"/>
        <v xml:space="preserve"> </v>
      </c>
      <c r="D2037" s="1534">
        <f>(E1960)/1000</f>
        <v>0</v>
      </c>
      <c r="E2037" s="1044" t="str">
        <f>VLOOKUP($B2037,DG!A:D,DG!$B$2,)</f>
        <v>06.6114</v>
      </c>
      <c r="F2037" s="1049" t="str">
        <f>VLOOKUP($B2037,DG!A:D,DG!$C$2,)</f>
        <v>Kéo dây nhôm lõi thép cỡ dây 50mm2</v>
      </c>
      <c r="G2037" s="1044" t="str">
        <f>VLOOKUP($B2037,DG!A:D,DG!$D$2,)</f>
        <v>km</v>
      </c>
      <c r="H2037" s="1830">
        <f t="shared" si="370"/>
        <v>0</v>
      </c>
      <c r="I2037" s="1823"/>
      <c r="J2037" s="1823"/>
      <c r="K2037" s="1823"/>
      <c r="L2037" s="1822">
        <f>IFERROR(HLOOKUP(chitiet!B2037,pp1p!$1:$3,3,0),0)</f>
        <v>0</v>
      </c>
      <c r="M2037" s="1823"/>
      <c r="N2037" s="1823"/>
      <c r="O2037" s="1823"/>
      <c r="P2037" s="1830">
        <f t="shared" si="371"/>
        <v>0</v>
      </c>
      <c r="Q2037" s="1053"/>
      <c r="R2037" s="1053"/>
      <c r="S2037" s="1053"/>
      <c r="T2037" s="2035">
        <f>IFERROR(HLOOKUP(B2037,pp1p!$1:$3,3,0),0)</f>
        <v>0</v>
      </c>
    </row>
    <row r="2038" spans="1:20" ht="22.2" hidden="1" customHeight="1">
      <c r="A2038" s="59"/>
      <c r="B2038" s="1584" t="s">
        <v>1417</v>
      </c>
      <c r="C2038" s="1013" t="str">
        <f t="shared" si="368"/>
        <v xml:space="preserve"> </v>
      </c>
      <c r="D2038" s="1534">
        <f>(E1959)/1000</f>
        <v>0</v>
      </c>
      <c r="E2038" s="1044" t="str">
        <f>VLOOKUP($B2038,DG!A:D,DG!$B$2,)</f>
        <v>06.6105</v>
      </c>
      <c r="F2038" s="1049" t="str">
        <f>VLOOKUP($B2038,DG!A:D,DG!$C$2,)</f>
        <v>Kéo dây nhôm lõi thép cỡ dây 70mm2</v>
      </c>
      <c r="G2038" s="1044" t="str">
        <f>VLOOKUP($B2038,DG!A:D,DG!$D$2,)</f>
        <v>km</v>
      </c>
      <c r="H2038" s="1823">
        <f t="shared" si="370"/>
        <v>0</v>
      </c>
      <c r="I2038" s="1823"/>
      <c r="J2038" s="1823"/>
      <c r="K2038" s="1823"/>
      <c r="L2038" s="1822">
        <f>IFERROR(HLOOKUP(chitiet!B2038,pp1p!$1:$3,3,0),0)</f>
        <v>0</v>
      </c>
      <c r="M2038" s="1823"/>
      <c r="N2038" s="1823"/>
      <c r="O2038" s="1823"/>
      <c r="P2038" s="1823">
        <f t="shared" si="371"/>
        <v>0</v>
      </c>
      <c r="Q2038" s="1053"/>
      <c r="R2038" s="1053"/>
      <c r="S2038" s="1053"/>
      <c r="T2038" s="2035">
        <f>IFERROR(HLOOKUP(B2038,pp1p!$1:$3,3,0),0)</f>
        <v>0</v>
      </c>
    </row>
    <row r="2039" spans="1:20" ht="22.2" hidden="1" customHeight="1">
      <c r="A2039" s="59"/>
      <c r="B2039" s="1584" t="s">
        <v>366</v>
      </c>
      <c r="C2039" s="1013" t="str">
        <f t="shared" si="368"/>
        <v xml:space="preserve"> </v>
      </c>
      <c r="D2039" s="1534">
        <f>E1961/1000</f>
        <v>0</v>
      </c>
      <c r="E2039" s="1044" t="str">
        <f>VLOOKUP($B2039,DG!A:D,DG!$B$2,)</f>
        <v>06.6114</v>
      </c>
      <c r="F2039" s="1049" t="str">
        <f>VLOOKUP($B2039,DG!A:D,DG!$C$2,)</f>
        <v>Kéo dây nhôm bọc cỡ dây 50mm2</v>
      </c>
      <c r="G2039" s="1044" t="str">
        <f>VLOOKUP($B2039,DG!A:D,DG!$D$2,)</f>
        <v>km</v>
      </c>
      <c r="H2039" s="1830">
        <f t="shared" si="370"/>
        <v>0</v>
      </c>
      <c r="I2039" s="1823"/>
      <c r="J2039" s="1823"/>
      <c r="K2039" s="1823"/>
      <c r="L2039" s="1822">
        <f>IFERROR(HLOOKUP(chitiet!B2039,pp1p!$1:$3,3,0),0)</f>
        <v>0</v>
      </c>
      <c r="M2039" s="1823"/>
      <c r="N2039" s="1823"/>
      <c r="O2039" s="1823"/>
      <c r="P2039" s="1830">
        <f t="shared" si="371"/>
        <v>0</v>
      </c>
      <c r="Q2039" s="1053"/>
      <c r="R2039" s="1053"/>
      <c r="S2039" s="1053"/>
      <c r="T2039" s="2035">
        <f>IFERROR(HLOOKUP(B2039,pp1p!$1:$3,3,0),0)</f>
        <v>0</v>
      </c>
    </row>
    <row r="2040" spans="1:20" ht="22.2" hidden="1" customHeight="1">
      <c r="A2040" s="59"/>
      <c r="B2040" s="1577" t="s">
        <v>347</v>
      </c>
      <c r="C2040" s="1013" t="str">
        <f t="shared" si="368"/>
        <v xml:space="preserve"> </v>
      </c>
      <c r="D2040" s="1535">
        <f>D1975+D1978+D1982</f>
        <v>0</v>
      </c>
      <c r="E2040" s="1044" t="str">
        <f>VLOOKUP($B2040,DG!A:D,DG!$B$2,)</f>
        <v>06.1115</v>
      </c>
      <c r="F2040" s="1049" t="str">
        <f>VLOOKUP($B2040,DG!A:D,DG!$C$2,)</f>
        <v>Lắp sứ đứng 24KV</v>
      </c>
      <c r="G2040" s="1044" t="str">
        <f>VLOOKUP($B2040,DG!A:D,DG!$D$2,)</f>
        <v>bộ</v>
      </c>
      <c r="H2040" s="1823">
        <f t="shared" si="370"/>
        <v>0</v>
      </c>
      <c r="I2040" s="1823"/>
      <c r="J2040" s="1823"/>
      <c r="K2040" s="1823"/>
      <c r="L2040" s="1822">
        <f>IFERROR(HLOOKUP(chitiet!B2040,pp1p!$1:$3,3,0),0)</f>
        <v>0</v>
      </c>
      <c r="M2040" s="1823"/>
      <c r="N2040" s="1823"/>
      <c r="O2040" s="1823"/>
      <c r="P2040" s="1823">
        <f t="shared" si="371"/>
        <v>0</v>
      </c>
      <c r="Q2040" s="1053"/>
      <c r="R2040" s="1053"/>
      <c r="S2040" s="1053"/>
      <c r="T2040" s="2035">
        <f>IFERROR(HLOOKUP(B2040,pp1p!$1:$3,3,0),0)</f>
        <v>0</v>
      </c>
    </row>
    <row r="2041" spans="1:20" ht="22.2" hidden="1" customHeight="1">
      <c r="A2041" s="59"/>
      <c r="B2041" s="1577" t="s">
        <v>348</v>
      </c>
      <c r="C2041" s="1013" t="str">
        <f t="shared" si="368"/>
        <v xml:space="preserve"> </v>
      </c>
      <c r="D2041" s="1535">
        <f>D1979+D1983</f>
        <v>0</v>
      </c>
      <c r="E2041" s="1044" t="str">
        <f>VLOOKUP($B2041,DG!A:D,DG!$B$2,)</f>
        <v>06.3231</v>
      </c>
      <c r="F2041" s="1049" t="str">
        <f>VLOOKUP($B2041,DG!A:D,DG!$C$2,)</f>
        <v>Lắp chân sứ đỉnh</v>
      </c>
      <c r="G2041" s="1044" t="str">
        <f>VLOOKUP($B2041,DG!A:D,DG!$D$2,)</f>
        <v>cái</v>
      </c>
      <c r="H2041" s="1823">
        <f t="shared" si="370"/>
        <v>0</v>
      </c>
      <c r="I2041" s="1823"/>
      <c r="J2041" s="1823"/>
      <c r="K2041" s="1823"/>
      <c r="L2041" s="1822">
        <f>IFERROR(HLOOKUP(chitiet!B2041,pp1p!$1:$3,3,0),0)</f>
        <v>0</v>
      </c>
      <c r="M2041" s="1823"/>
      <c r="N2041" s="1823"/>
      <c r="O2041" s="1823"/>
      <c r="P2041" s="1823">
        <f t="shared" si="371"/>
        <v>0</v>
      </c>
      <c r="Q2041" s="1053"/>
      <c r="R2041" s="1053"/>
      <c r="S2041" s="1053"/>
      <c r="T2041" s="2035">
        <f>IFERROR(HLOOKUP(B2041,pp1p!$1:$3,3,0),0)</f>
        <v>0</v>
      </c>
    </row>
    <row r="2042" spans="1:20" ht="22.2" hidden="1" customHeight="1">
      <c r="A2042" s="59"/>
      <c r="B2042" s="1577" t="s">
        <v>349</v>
      </c>
      <c r="C2042" s="1013" t="str">
        <f t="shared" si="368"/>
        <v xml:space="preserve"> </v>
      </c>
      <c r="D2042" s="1535">
        <f>D2007</f>
        <v>0</v>
      </c>
      <c r="E2042" s="1044" t="str">
        <f>VLOOKUP($B2042,DG!A:D,DG!$B$2,)</f>
        <v>06.1410</v>
      </c>
      <c r="F2042" s="1049" t="str">
        <f>VLOOKUP($B2042,DG!A:D,DG!$C$2,)</f>
        <v>Lắp chuỗi sứ đỡ 2 bát/chuỗi</v>
      </c>
      <c r="G2042" s="1044" t="str">
        <f>VLOOKUP($B2042,DG!A:D,DG!$D$2,)</f>
        <v>chuỗi</v>
      </c>
      <c r="H2042" s="1823">
        <f t="shared" si="370"/>
        <v>0</v>
      </c>
      <c r="I2042" s="1823"/>
      <c r="J2042" s="1823"/>
      <c r="K2042" s="1823"/>
      <c r="L2042" s="1822">
        <f>IFERROR(HLOOKUP(chitiet!B2042,pp1p!$1:$3,3,0),0)</f>
        <v>0</v>
      </c>
      <c r="M2042" s="1823"/>
      <c r="N2042" s="1823"/>
      <c r="O2042" s="1823"/>
      <c r="P2042" s="1823">
        <f t="shared" si="371"/>
        <v>0</v>
      </c>
      <c r="Q2042" s="1053"/>
      <c r="R2042" s="1053"/>
      <c r="S2042" s="1053"/>
      <c r="T2042" s="2035">
        <f>IFERROR(HLOOKUP(B2042,pp1p!$1:$3,3,0),0)</f>
        <v>0</v>
      </c>
    </row>
    <row r="2043" spans="1:20" ht="22.2" hidden="1" customHeight="1">
      <c r="A2043" s="59"/>
      <c r="B2043" s="1577" t="s">
        <v>350</v>
      </c>
      <c r="C2043" s="1013" t="str">
        <f t="shared" si="368"/>
        <v xml:space="preserve"> </v>
      </c>
      <c r="D2043" s="1535">
        <f>SUM(D2008:D2009)</f>
        <v>0</v>
      </c>
      <c r="E2043" s="1044" t="str">
        <f>VLOOKUP($B2043,DG!A:D,DG!$B$2,)</f>
        <v>06.1511</v>
      </c>
      <c r="F2043" s="1049" t="str">
        <f>VLOOKUP($B2043,DG!A:D,DG!$C$2,)</f>
        <v>Lắp chuỗi sứ néo 2 bát/chuỗi</v>
      </c>
      <c r="G2043" s="1044" t="str">
        <f>VLOOKUP($B2043,DG!A:D,DG!$D$2,)</f>
        <v>chuỗi</v>
      </c>
      <c r="H2043" s="1823">
        <f t="shared" si="370"/>
        <v>0</v>
      </c>
      <c r="I2043" s="1823"/>
      <c r="J2043" s="1823"/>
      <c r="K2043" s="1823"/>
      <c r="L2043" s="1822">
        <f>IFERROR(HLOOKUP(chitiet!B2043,pp1p!$1:$3,3,0),0)</f>
        <v>0</v>
      </c>
      <c r="M2043" s="1823"/>
      <c r="N2043" s="1823"/>
      <c r="O2043" s="1823"/>
      <c r="P2043" s="1823">
        <f t="shared" si="371"/>
        <v>0</v>
      </c>
      <c r="Q2043" s="1058"/>
      <c r="R2043" s="1058"/>
      <c r="S2043" s="1058"/>
      <c r="T2043" s="2035">
        <f>IFERROR(HLOOKUP(B2043,pp1p!$1:$3,3,0),0)</f>
        <v>0</v>
      </c>
    </row>
    <row r="2044" spans="1:20" ht="22.2" hidden="1" customHeight="1">
      <c r="A2044" s="59"/>
      <c r="B2044" s="1577" t="s">
        <v>1510</v>
      </c>
      <c r="C2044" s="1013" t="str">
        <f t="shared" si="368"/>
        <v xml:space="preserve"> </v>
      </c>
      <c r="D2044" s="1535">
        <f>D1995+D1991</f>
        <v>0</v>
      </c>
      <c r="E2044" s="1044" t="str">
        <f>VLOOKUP($B2044,DG!A:D,DG!$B$2,)</f>
        <v>06.2201</v>
      </c>
      <c r="F2044" s="1049" t="str">
        <f>VLOOKUP($B2044,DG!A:D,DG!$C$2,)</f>
        <v>Lắp chuỗi sứ néo Polymer</v>
      </c>
      <c r="G2044" s="1044" t="str">
        <f>VLOOKUP($B2044,DG!A:D,DG!$D$2,)</f>
        <v>chuỗi</v>
      </c>
      <c r="H2044" s="1823">
        <f t="shared" si="370"/>
        <v>0</v>
      </c>
      <c r="I2044" s="1823"/>
      <c r="J2044" s="1823"/>
      <c r="K2044" s="1823"/>
      <c r="L2044" s="1822">
        <f>IFERROR(HLOOKUP(chitiet!B2044,pp1p!$1:$3,3,0),0)</f>
        <v>0</v>
      </c>
      <c r="M2044" s="1823"/>
      <c r="N2044" s="1823"/>
      <c r="O2044" s="1823"/>
      <c r="P2044" s="1823">
        <f t="shared" si="371"/>
        <v>0</v>
      </c>
      <c r="Q2044" s="1058"/>
      <c r="R2044" s="1058"/>
      <c r="S2044" s="1058"/>
      <c r="T2044" s="2035">
        <f>IFERROR(HLOOKUP(B2044,pp1p!$1:$3,3,0),0)</f>
        <v>0</v>
      </c>
    </row>
    <row r="2045" spans="1:20" ht="22.2" hidden="1" customHeight="1">
      <c r="A2045" s="59"/>
      <c r="B2045" s="1577" t="s">
        <v>351</v>
      </c>
      <c r="C2045" s="1013" t="str">
        <f t="shared" si="368"/>
        <v xml:space="preserve"> </v>
      </c>
      <c r="D2045" s="1535">
        <f>D1963+D1966</f>
        <v>0</v>
      </c>
      <c r="E2045" s="1044" t="str">
        <f>VLOOKUP($B2045,DG!A:D,DG!$B$2,)</f>
        <v>06.1211</v>
      </c>
      <c r="F2045" s="1049" t="str">
        <f>VLOOKUP($B2045,DG!A:D,DG!$C$2,)</f>
        <v>Lắp rack sứ + sứ ống chỉ</v>
      </c>
      <c r="G2045" s="1044" t="str">
        <f>VLOOKUP($B2045,DG!A:D,DG!$D$2,)</f>
        <v>bộ</v>
      </c>
      <c r="H2045" s="1823">
        <f t="shared" si="370"/>
        <v>0</v>
      </c>
      <c r="I2045" s="1823"/>
      <c r="J2045" s="1823"/>
      <c r="K2045" s="1823"/>
      <c r="L2045" s="1822">
        <f>IFERROR(HLOOKUP(chitiet!B2045,pp1p!$1:$3,3,0),0)</f>
        <v>0</v>
      </c>
      <c r="M2045" s="1823"/>
      <c r="N2045" s="1823"/>
      <c r="O2045" s="1823"/>
      <c r="P2045" s="1823">
        <f t="shared" si="371"/>
        <v>0</v>
      </c>
      <c r="Q2045" s="1053"/>
      <c r="R2045" s="1053"/>
      <c r="S2045" s="1053"/>
      <c r="T2045" s="2035">
        <f>IFERROR(HLOOKUP(B2045,pp1p!$1:$3,3,0),0)</f>
        <v>0</v>
      </c>
    </row>
    <row r="2046" spans="1:20" ht="22.2" hidden="1" customHeight="1">
      <c r="A2046" s="59"/>
      <c r="B2046" s="1577" t="s">
        <v>353</v>
      </c>
      <c r="C2046" s="1013" t="str">
        <f t="shared" si="368"/>
        <v xml:space="preserve"> </v>
      </c>
      <c r="D2046" s="1535">
        <f>P2046</f>
        <v>0</v>
      </c>
      <c r="E2046" s="1044" t="str">
        <f>VLOOKUP($B2046,DG!A:D,DG!$B$2,)</f>
        <v>06.5072</v>
      </c>
      <c r="F2046" s="1049" t="str">
        <f>VLOOKUP($B2046,DG!A:D,DG!$C$2,)</f>
        <v xml:space="preserve">Kéo dây qua vị trí bẻ góc dây </v>
      </c>
      <c r="G2046" s="1044" t="str">
        <f>VLOOKUP($B2046,DG!A:D,DG!$D$2,)</f>
        <v>vị trí</v>
      </c>
      <c r="H2046" s="1823"/>
      <c r="I2046" s="1823"/>
      <c r="J2046" s="1823"/>
      <c r="K2046" s="1823"/>
      <c r="L2046" s="1822">
        <f>IFERROR(HLOOKUP(chitiet!B2046,pp1p!$1:$3,3,0),0)</f>
        <v>0</v>
      </c>
      <c r="M2046" s="1823"/>
      <c r="N2046" s="1823"/>
      <c r="O2046" s="1823"/>
      <c r="P2046" s="1823">
        <f t="shared" si="371"/>
        <v>0</v>
      </c>
      <c r="Q2046" s="1058"/>
      <c r="R2046" s="1058"/>
      <c r="S2046" s="1058"/>
      <c r="T2046" s="2035">
        <f>IFERROR(HLOOKUP(B2046,pp1p!$1:$3,3,0),0)</f>
        <v>0</v>
      </c>
    </row>
    <row r="2047" spans="1:20" ht="22.2" hidden="1" customHeight="1">
      <c r="A2047" s="59"/>
      <c r="B2047" s="1577" t="s">
        <v>354</v>
      </c>
      <c r="C2047" s="1013" t="str">
        <f t="shared" si="368"/>
        <v xml:space="preserve"> </v>
      </c>
      <c r="D2047" s="1532">
        <f>pp1p!CW94*0</f>
        <v>0</v>
      </c>
      <c r="E2047" s="1044" t="str">
        <f>VLOOKUP($B2047,DG!A:D,DG!$B$2,)</f>
        <v>06.5082</v>
      </c>
      <c r="F2047" s="1049" t="s">
        <v>2566</v>
      </c>
      <c r="G2047" s="1044" t="str">
        <f>VLOOKUP($B2047,DG!A:D,DG!$D$2,)</f>
        <v>vị trí</v>
      </c>
      <c r="H2047" s="1823">
        <f t="shared" ref="H2047:H2052" si="376">D2047</f>
        <v>0</v>
      </c>
      <c r="I2047" s="1823"/>
      <c r="J2047" s="1823"/>
      <c r="K2047" s="1823"/>
      <c r="L2047" s="1822">
        <f>IFERROR(HLOOKUP(chitiet!B2047,pp1p!$1:$3,3,0),0)</f>
        <v>0</v>
      </c>
      <c r="M2047" s="1823"/>
      <c r="N2047" s="1823"/>
      <c r="O2047" s="1823"/>
      <c r="P2047" s="1823">
        <f t="shared" si="371"/>
        <v>0</v>
      </c>
      <c r="Q2047" s="1058"/>
      <c r="R2047" s="1058"/>
      <c r="S2047" s="1058"/>
      <c r="T2047" s="2035">
        <f>IFERROR(HLOOKUP(B2047,pp1p!$1:$3,3,0),0)</f>
        <v>0</v>
      </c>
    </row>
    <row r="2048" spans="1:20" ht="22.2" hidden="1" customHeight="1">
      <c r="A2048" s="59"/>
      <c r="B2048" s="1577" t="s">
        <v>355</v>
      </c>
      <c r="C2048" s="1013" t="str">
        <f t="shared" ref="C2048:C2114" si="377">IF(OR(P2048&lt;&gt;0,H2048&lt;&gt;0),"x"," ")</f>
        <v xml:space="preserve"> </v>
      </c>
      <c r="D2048" s="1534">
        <f>D2051</f>
        <v>0</v>
      </c>
      <c r="E2048" s="1044" t="str">
        <f>VLOOKUP($B2048,DG!A:D,DG!$B$2,)</f>
        <v>02.1122</v>
      </c>
      <c r="F2048" s="1049" t="str">
        <f>VLOOKUP($B2048,DG!A:D,DG!$C$2,)</f>
        <v>Bốc dỡ dây</v>
      </c>
      <c r="G2048" s="1044" t="str">
        <f>VLOOKUP($B2048,DG!A:D,DG!$D$2,)</f>
        <v>tấn</v>
      </c>
      <c r="H2048" s="1823">
        <f t="shared" si="376"/>
        <v>0</v>
      </c>
      <c r="I2048" s="1823"/>
      <c r="J2048" s="1823"/>
      <c r="K2048" s="1823"/>
      <c r="L2048" s="1822">
        <f>IFERROR(HLOOKUP(chitiet!B2048,pp1p!$1:$3,3,0),0)</f>
        <v>0</v>
      </c>
      <c r="M2048" s="1823"/>
      <c r="N2048" s="1823"/>
      <c r="O2048" s="1823"/>
      <c r="P2048" s="1823">
        <f t="shared" si="371"/>
        <v>0</v>
      </c>
      <c r="Q2048" s="1058"/>
      <c r="R2048" s="1058"/>
      <c r="S2048" s="1058"/>
      <c r="T2048" s="2035">
        <f>IFERROR(HLOOKUP(B2048,pp1p!$1:$3,3,0),0)</f>
        <v>0</v>
      </c>
    </row>
    <row r="2049" spans="1:20" ht="22.2" hidden="1" customHeight="1">
      <c r="A2049" s="59"/>
      <c r="B2049" s="1577" t="s">
        <v>1906</v>
      </c>
      <c r="C2049" s="1013" t="str">
        <f t="shared" si="377"/>
        <v xml:space="preserve"> </v>
      </c>
      <c r="D2049" s="1534">
        <f>D2050</f>
        <v>0</v>
      </c>
      <c r="E2049" s="1044" t="str">
        <f>VLOOKUP($B2049,DG!A:D,DG!$B$2,)</f>
        <v>02.1120</v>
      </c>
      <c r="F2049" s="1049" t="str">
        <f>VLOOKUP($B2049,DG!A:D,DG!$C$2,)</f>
        <v>Bốc dỡ phụ kiện</v>
      </c>
      <c r="G2049" s="1044" t="str">
        <f>VLOOKUP($B2049,DG!A:D,DG!$D$2,)</f>
        <v>tấn</v>
      </c>
      <c r="H2049" s="1823">
        <f t="shared" si="376"/>
        <v>0</v>
      </c>
      <c r="I2049" s="1823"/>
      <c r="J2049" s="1823"/>
      <c r="K2049" s="1823"/>
      <c r="L2049" s="1822">
        <f>IFERROR(HLOOKUP(chitiet!B2049,pp1p!$1:$3,3,0),0)</f>
        <v>0</v>
      </c>
      <c r="M2049" s="1823"/>
      <c r="N2049" s="1823"/>
      <c r="O2049" s="1823"/>
      <c r="P2049" s="1823">
        <f t="shared" si="371"/>
        <v>0</v>
      </c>
      <c r="Q2049" s="1058"/>
      <c r="R2049" s="1058"/>
      <c r="S2049" s="1058"/>
      <c r="T2049" s="2035">
        <f>IFERROR(HLOOKUP(B2049,pp1p!$1:$3,3,0),0)</f>
        <v>0</v>
      </c>
    </row>
    <row r="2050" spans="1:20" ht="22.2" hidden="1" customHeight="1">
      <c r="A2050" s="59"/>
      <c r="B2050" s="1590" t="s">
        <v>356</v>
      </c>
      <c r="C2050" s="1013" t="str">
        <f t="shared" si="377"/>
        <v xml:space="preserve"> </v>
      </c>
      <c r="D2050" s="1534">
        <f>ROUND((D1962*2++D1965*5+D1974*7+D1977*15+D1981*25+D1985*15+D1995*15+D2001*15)/1000,2)*0</f>
        <v>0</v>
      </c>
      <c r="E2050" s="1044" t="str">
        <f>VLOOKUP($B2050,DG!A:C,2,)</f>
        <v>02.1421</v>
      </c>
      <c r="F2050" s="1049" t="str">
        <f>VLOOKUP($B2050,DG!A:C,3,)</f>
        <v>V/c phụ kiện vào vị trí (cự ly &lt;=100m)</v>
      </c>
      <c r="G2050" s="1044" t="str">
        <f>VLOOKUP($B2050,DG!A:D,4,0)</f>
        <v>tấn</v>
      </c>
      <c r="H2050" s="1823">
        <f t="shared" si="376"/>
        <v>0</v>
      </c>
      <c r="I2050" s="1823"/>
      <c r="J2050" s="1823"/>
      <c r="K2050" s="1823"/>
      <c r="L2050" s="1822">
        <f>IFERROR(HLOOKUP(chitiet!B2050,pp1p!$1:$3,3,0),0)</f>
        <v>0</v>
      </c>
      <c r="M2050" s="1823"/>
      <c r="N2050" s="1823"/>
      <c r="O2050" s="1823"/>
      <c r="P2050" s="1823">
        <f t="shared" si="371"/>
        <v>0</v>
      </c>
      <c r="Q2050" s="1058"/>
      <c r="R2050" s="1058"/>
      <c r="S2050" s="1058"/>
      <c r="T2050" s="2035">
        <f>IFERROR(HLOOKUP(B2050,pp1p!$1:$3,3,0),0)</f>
        <v>0</v>
      </c>
    </row>
    <row r="2051" spans="1:20" ht="22.2" hidden="1" customHeight="1">
      <c r="A2051" s="59"/>
      <c r="B2051" s="1590" t="s">
        <v>357</v>
      </c>
      <c r="C2051" s="1013" t="str">
        <f t="shared" si="377"/>
        <v xml:space="preserve"> </v>
      </c>
      <c r="D2051" s="1534">
        <f>ROUND(SUM(D1959:D1960)*1.05/1000+D1961*0.189*1.1/1000+D2027*0.35/1000,2)*0</f>
        <v>0</v>
      </c>
      <c r="E2051" s="1044" t="str">
        <f>VLOOKUP($B2051,DG!A:C,2,)</f>
        <v>02.1441</v>
      </c>
      <c r="F2051" s="1049" t="str">
        <f>VLOOKUP($B2051,DG!A:C,3,)</f>
        <v>V/c dây vào vị trí (cự ly &lt;=100m)</v>
      </c>
      <c r="G2051" s="1044" t="str">
        <f>VLOOKUP($B2051,DG!A:D,4,0)</f>
        <v>tấn</v>
      </c>
      <c r="H2051" s="1823">
        <f t="shared" si="376"/>
        <v>0</v>
      </c>
      <c r="I2051" s="1823"/>
      <c r="J2051" s="1823"/>
      <c r="K2051" s="1823"/>
      <c r="L2051" s="1822">
        <f>IFERROR(HLOOKUP(chitiet!B2051,pp1p!$1:$3,3,0),0)</f>
        <v>0</v>
      </c>
      <c r="M2051" s="1823"/>
      <c r="N2051" s="1823"/>
      <c r="O2051" s="1823"/>
      <c r="P2051" s="1823">
        <f t="shared" si="371"/>
        <v>0</v>
      </c>
      <c r="Q2051" s="1058"/>
      <c r="R2051" s="1058"/>
      <c r="S2051" s="1058"/>
      <c r="T2051" s="2035">
        <f>IFERROR(HLOOKUP(B2051,pp1p!$1:$3,3,0),0)</f>
        <v>0</v>
      </c>
    </row>
    <row r="2052" spans="1:20" ht="22.2" hidden="1" customHeight="1">
      <c r="A2052" s="59"/>
      <c r="B2052" s="1588" t="s">
        <v>606</v>
      </c>
      <c r="C2052" s="1013" t="str">
        <f t="shared" si="377"/>
        <v xml:space="preserve"> </v>
      </c>
      <c r="D2052" s="1534">
        <f>IF(D2051&lt;&gt;0,5,0)</f>
        <v>0</v>
      </c>
      <c r="E2052" s="1044" t="str">
        <f>VLOOKUP($B2052,DG!A:C,2,)</f>
        <v>02.1482</v>
      </c>
      <c r="F2052" s="1049" t="str">
        <f>VLOOKUP($B2052,DG!A:C,3,)</f>
        <v>V/c dụng cụ thi công vào vị trí (cự ly &lt;=100m)</v>
      </c>
      <c r="G2052" s="1044" t="str">
        <f>VLOOKUP($B2052,DG!A:D,4,0)</f>
        <v>tấn</v>
      </c>
      <c r="H2052" s="1823">
        <f t="shared" si="376"/>
        <v>0</v>
      </c>
      <c r="I2052" s="1823"/>
      <c r="J2052" s="1823"/>
      <c r="K2052" s="1823"/>
      <c r="L2052" s="1822">
        <f>IFERROR(HLOOKUP(chitiet!B2052,pp1p!$1:$3,3,0),0)</f>
        <v>0</v>
      </c>
      <c r="M2052" s="1823"/>
      <c r="N2052" s="1823"/>
      <c r="O2052" s="1823"/>
      <c r="P2052" s="1823">
        <f t="shared" si="371"/>
        <v>0</v>
      </c>
      <c r="Q2052" s="1058"/>
      <c r="R2052" s="1058"/>
      <c r="S2052" s="1058"/>
      <c r="T2052" s="2035">
        <f>IFERROR(HLOOKUP(B2052,pp1p!$1:$3,3,0),0)</f>
        <v>0</v>
      </c>
    </row>
    <row r="2053" spans="1:20" ht="22.2" hidden="1" customHeight="1" collapsed="1">
      <c r="A2053" s="56" t="s">
        <v>284</v>
      </c>
      <c r="B2053" s="1574" t="s">
        <v>284</v>
      </c>
      <c r="C2053" s="1013" t="str">
        <f>IF(D2053&lt;&gt;0,"x"," ")</f>
        <v xml:space="preserve"> </v>
      </c>
      <c r="D2053" s="1532">
        <f>IF(SUM(D2054:D2076)=0,0,1)</f>
        <v>0</v>
      </c>
      <c r="E2053" s="1046" t="s">
        <v>2176</v>
      </c>
      <c r="F2053" s="1392" t="s">
        <v>2567</v>
      </c>
      <c r="G2053" s="1046" t="s">
        <v>2307</v>
      </c>
      <c r="H2053" s="1821">
        <f>SUM(I2053:O2053)</f>
        <v>0</v>
      </c>
      <c r="I2053" s="1822"/>
      <c r="J2053" s="1822"/>
      <c r="K2053" s="1822"/>
      <c r="L2053" s="1822">
        <f>IFERROR(HLOOKUP(chitiet!B2053,pp1p!$1:$3,3,0),0)</f>
        <v>0</v>
      </c>
      <c r="M2053" s="1822"/>
      <c r="N2053" s="1822"/>
      <c r="O2053" s="1822"/>
      <c r="P2053" s="1823">
        <f t="shared" si="371"/>
        <v>0</v>
      </c>
      <c r="Q2053" s="1047"/>
      <c r="R2053" s="1047"/>
      <c r="S2053" s="1047"/>
      <c r="T2053" s="2035">
        <f t="shared" ref="T2053:T2096" si="378">IFERROR(HLOOKUP(B2053,BangKeTru,3,0),0)</f>
        <v>0</v>
      </c>
    </row>
    <row r="2054" spans="1:20" ht="22.2" hidden="1" customHeight="1">
      <c r="A2054" s="59"/>
      <c r="B2054" s="1577" t="s">
        <v>1346</v>
      </c>
      <c r="C2054" s="1013" t="str">
        <f t="shared" si="377"/>
        <v xml:space="preserve"> </v>
      </c>
      <c r="D2054" s="1535">
        <f>ROUND(E2054*1.02,0)</f>
        <v>0</v>
      </c>
      <c r="E2054" s="1061">
        <f>ppht!C344</f>
        <v>0</v>
      </c>
      <c r="F2054" s="1056" t="str">
        <f>VLOOKUP($B2054,DG!A:D,DG!$C$2,)</f>
        <v>Cáp nhôm bọc AV95</v>
      </c>
      <c r="G2054" s="1044" t="str">
        <f>VLOOKUP($B2054,DG!A:D,DG!$D$2,)</f>
        <v>mét</v>
      </c>
      <c r="H2054" s="1823">
        <f>$D2054</f>
        <v>0</v>
      </c>
      <c r="I2054" s="1823"/>
      <c r="J2054" s="1823"/>
      <c r="K2054" s="1823"/>
      <c r="L2054" s="1823"/>
      <c r="M2054" s="1823"/>
      <c r="N2054" s="1823">
        <f t="shared" ref="N2054:N2082" si="379">D2054</f>
        <v>0</v>
      </c>
      <c r="O2054" s="1823"/>
      <c r="P2054" s="1823">
        <f t="shared" si="371"/>
        <v>0</v>
      </c>
      <c r="Q2054" s="1053"/>
      <c r="R2054" s="1053"/>
      <c r="S2054" s="1053"/>
      <c r="T2054" s="2035">
        <f t="shared" si="378"/>
        <v>0</v>
      </c>
    </row>
    <row r="2055" spans="1:20" ht="22.2" hidden="1" customHeight="1">
      <c r="A2055" s="59"/>
      <c r="B2055" s="1577" t="s">
        <v>1034</v>
      </c>
      <c r="C2055" s="1013" t="str">
        <f t="shared" si="377"/>
        <v xml:space="preserve"> </v>
      </c>
      <c r="D2055" s="1535">
        <f>ROUND(E2055*1.02,0)</f>
        <v>0</v>
      </c>
      <c r="E2055" s="1409">
        <f>ppht!C343</f>
        <v>0</v>
      </c>
      <c r="F2055" s="1394" t="str">
        <f>VLOOKUP($B2055,DG!A:D,DG!$C$2,)</f>
        <v>Cáp nhôm bọc AV50</v>
      </c>
      <c r="G2055" s="1410" t="str">
        <f>VLOOKUP($B2055,DG!A:D,DG!$D$2,)</f>
        <v>mét</v>
      </c>
      <c r="H2055" s="1827">
        <f>$D2055</f>
        <v>0</v>
      </c>
      <c r="I2055" s="1827"/>
      <c r="J2055" s="1827"/>
      <c r="K2055" s="1827"/>
      <c r="L2055" s="1827"/>
      <c r="M2055" s="1827"/>
      <c r="N2055" s="1827">
        <f t="shared" si="379"/>
        <v>0</v>
      </c>
      <c r="O2055" s="1827"/>
      <c r="P2055" s="1823">
        <f t="shared" si="371"/>
        <v>0</v>
      </c>
      <c r="Q2055" s="1411"/>
      <c r="R2055" s="1411"/>
      <c r="S2055" s="1411"/>
      <c r="T2055" s="2035">
        <f t="shared" si="378"/>
        <v>0</v>
      </c>
    </row>
    <row r="2056" spans="1:20" ht="22.2" hidden="1" customHeight="1">
      <c r="A2056" s="59"/>
      <c r="B2056" s="1577" t="s">
        <v>88</v>
      </c>
      <c r="C2056" s="1013" t="str">
        <f t="shared" si="377"/>
        <v xml:space="preserve"> </v>
      </c>
      <c r="D2056" s="1535">
        <f>ROUND(E2056*1.02*0.195,0)</f>
        <v>0</v>
      </c>
      <c r="E2056" s="1409"/>
      <c r="F2056" s="1394" t="str">
        <f>VLOOKUP($B2056,DG!A:D,DG!$C$2,)</f>
        <v>Cáp nhôm lõi thép AC-50/8</v>
      </c>
      <c r="G2056" s="1410" t="str">
        <f>VLOOKUP($B2056,DG!A:D,DG!$D$2,)</f>
        <v>kg</v>
      </c>
      <c r="H2056" s="1827">
        <f t="shared" ref="H2056:H2075" si="380">D2056</f>
        <v>0</v>
      </c>
      <c r="I2056" s="1827"/>
      <c r="J2056" s="1827"/>
      <c r="K2056" s="1827"/>
      <c r="L2056" s="1827"/>
      <c r="M2056" s="1827"/>
      <c r="N2056" s="1827">
        <f t="shared" si="379"/>
        <v>0</v>
      </c>
      <c r="O2056" s="1827"/>
      <c r="P2056" s="1823">
        <f t="shared" si="371"/>
        <v>0</v>
      </c>
      <c r="Q2056" s="1411"/>
      <c r="R2056" s="1411"/>
      <c r="S2056" s="1411"/>
      <c r="T2056" s="2035">
        <f t="shared" si="378"/>
        <v>0</v>
      </c>
    </row>
    <row r="2057" spans="1:20" ht="22.2" hidden="1" customHeight="1">
      <c r="A2057" s="59"/>
      <c r="B2057" s="1577" t="s">
        <v>2266</v>
      </c>
      <c r="C2057" s="1013" t="str">
        <f t="shared" si="377"/>
        <v xml:space="preserve"> </v>
      </c>
      <c r="D2057" s="1535">
        <f t="shared" ref="D2057:D2063" si="381">ROUND(E2057*1.02,0)</f>
        <v>0</v>
      </c>
      <c r="E2057" s="1061">
        <f>ppht!C350</f>
        <v>0</v>
      </c>
      <c r="F2057" s="1056" t="str">
        <f>VLOOKUP($B2057,DG!A:D,DG!$C$2,)</f>
        <v>Cáp nhôm ABC 3x50mm2</v>
      </c>
      <c r="G2057" s="1044" t="str">
        <f>VLOOKUP($B2057,DG!A:D,DG!$D$2,)</f>
        <v>mét</v>
      </c>
      <c r="H2057" s="1823">
        <f t="shared" si="380"/>
        <v>0</v>
      </c>
      <c r="I2057" s="1823"/>
      <c r="J2057" s="1823"/>
      <c r="K2057" s="1823"/>
      <c r="L2057" s="1823"/>
      <c r="M2057" s="1823"/>
      <c r="N2057" s="1823">
        <f t="shared" si="379"/>
        <v>0</v>
      </c>
      <c r="O2057" s="1823"/>
      <c r="P2057" s="1823">
        <f t="shared" si="371"/>
        <v>0</v>
      </c>
      <c r="Q2057" s="1053"/>
      <c r="R2057" s="1053"/>
      <c r="S2057" s="1053"/>
      <c r="T2057" s="2035">
        <f t="shared" si="378"/>
        <v>0</v>
      </c>
    </row>
    <row r="2058" spans="1:20" ht="22.2" hidden="1" customHeight="1">
      <c r="A2058" s="59"/>
      <c r="B2058" s="1577" t="s">
        <v>2267</v>
      </c>
      <c r="C2058" s="1013" t="str">
        <f t="shared" si="377"/>
        <v xml:space="preserve"> </v>
      </c>
      <c r="D2058" s="1535">
        <f t="shared" si="381"/>
        <v>0</v>
      </c>
      <c r="E2058" s="1061">
        <f>ppht!C349</f>
        <v>0</v>
      </c>
      <c r="F2058" s="1056" t="str">
        <f>VLOOKUP($B2058,DG!A:D,DG!$C$2,)</f>
        <v>Cáp nhôm ABC 3x70mm2</v>
      </c>
      <c r="G2058" s="1044" t="str">
        <f>VLOOKUP($B2058,DG!A:D,DG!$D$2,)</f>
        <v>mét</v>
      </c>
      <c r="H2058" s="1823">
        <f t="shared" si="380"/>
        <v>0</v>
      </c>
      <c r="I2058" s="1823"/>
      <c r="J2058" s="1823"/>
      <c r="K2058" s="1823"/>
      <c r="L2058" s="1823"/>
      <c r="M2058" s="1823"/>
      <c r="N2058" s="1823">
        <f t="shared" si="379"/>
        <v>0</v>
      </c>
      <c r="O2058" s="1823"/>
      <c r="P2058" s="1823">
        <f t="shared" si="371"/>
        <v>0</v>
      </c>
      <c r="Q2058" s="1053"/>
      <c r="R2058" s="1053"/>
      <c r="S2058" s="1053"/>
      <c r="T2058" s="2035">
        <f t="shared" si="378"/>
        <v>0</v>
      </c>
    </row>
    <row r="2059" spans="1:20" ht="22.2" hidden="1" customHeight="1">
      <c r="A2059" s="59"/>
      <c r="B2059" s="1577" t="s">
        <v>1149</v>
      </c>
      <c r="C2059" s="1013" t="str">
        <f t="shared" si="377"/>
        <v xml:space="preserve"> </v>
      </c>
      <c r="D2059" s="1535">
        <f t="shared" si="381"/>
        <v>0</v>
      </c>
      <c r="E2059" s="1061">
        <f>ppht!C348</f>
        <v>0</v>
      </c>
      <c r="F2059" s="1056" t="str">
        <f>VLOOKUP($B2059,DG!A:D,DG!$C$2,)</f>
        <v>Cáp nhôm ABC 4x50mm2</v>
      </c>
      <c r="G2059" s="1044" t="str">
        <f>VLOOKUP($B2059,DG!A:D,DG!$D$2,)</f>
        <v>mét</v>
      </c>
      <c r="H2059" s="1823">
        <f t="shared" si="380"/>
        <v>0</v>
      </c>
      <c r="I2059" s="1823"/>
      <c r="J2059" s="1823"/>
      <c r="K2059" s="1823"/>
      <c r="L2059" s="1823"/>
      <c r="M2059" s="1823"/>
      <c r="N2059" s="1823">
        <f t="shared" si="379"/>
        <v>0</v>
      </c>
      <c r="O2059" s="1823"/>
      <c r="P2059" s="1823">
        <f t="shared" si="371"/>
        <v>0</v>
      </c>
      <c r="Q2059" s="1053"/>
      <c r="R2059" s="1053"/>
      <c r="S2059" s="1053"/>
      <c r="T2059" s="2035">
        <f t="shared" si="378"/>
        <v>0</v>
      </c>
    </row>
    <row r="2060" spans="1:20" ht="22.2" hidden="1" customHeight="1">
      <c r="A2060" s="59"/>
      <c r="B2060" s="1577" t="s">
        <v>1150</v>
      </c>
      <c r="C2060" s="1013" t="str">
        <f t="shared" si="377"/>
        <v xml:space="preserve"> </v>
      </c>
      <c r="D2060" s="1535">
        <f t="shared" si="381"/>
        <v>0</v>
      </c>
      <c r="E2060" s="1412">
        <f>ppht!C347</f>
        <v>0</v>
      </c>
      <c r="F2060" s="1413" t="str">
        <f>VLOOKUP($B2060,DG!A:D,DG!$C$2,)</f>
        <v>Cáp nhôm ABC 4x70mm2</v>
      </c>
      <c r="G2060" s="1044" t="str">
        <f>VLOOKUP($B2060,DG!A:D,DG!$D$2,)</f>
        <v>mét</v>
      </c>
      <c r="H2060" s="1823">
        <f t="shared" si="380"/>
        <v>0</v>
      </c>
      <c r="I2060" s="1823"/>
      <c r="J2060" s="1823"/>
      <c r="K2060" s="1823"/>
      <c r="L2060" s="1823"/>
      <c r="M2060" s="1823"/>
      <c r="N2060" s="1823">
        <f t="shared" si="379"/>
        <v>0</v>
      </c>
      <c r="O2060" s="1823"/>
      <c r="P2060" s="1823">
        <f t="shared" si="371"/>
        <v>0</v>
      </c>
      <c r="Q2060" s="1053"/>
      <c r="R2060" s="1053"/>
      <c r="S2060" s="1053"/>
      <c r="T2060" s="2035">
        <f t="shared" si="378"/>
        <v>0</v>
      </c>
    </row>
    <row r="2061" spans="1:20" ht="22.2" hidden="1" customHeight="1">
      <c r="A2061" s="59"/>
      <c r="B2061" s="1577" t="s">
        <v>1151</v>
      </c>
      <c r="C2061" s="1013" t="str">
        <f t="shared" si="377"/>
        <v xml:space="preserve"> </v>
      </c>
      <c r="D2061" s="1535">
        <f t="shared" si="381"/>
        <v>0</v>
      </c>
      <c r="E2061" s="1061">
        <f>ppht!C346</f>
        <v>0</v>
      </c>
      <c r="F2061" s="1056" t="str">
        <f>VLOOKUP($B2061,DG!A:D,DG!$C$2,)</f>
        <v>Cáp nhôm ABC 4x95mm2</v>
      </c>
      <c r="G2061" s="1044" t="str">
        <f>VLOOKUP($B2061,DG!A:D,DG!$D$2,)</f>
        <v>mét</v>
      </c>
      <c r="H2061" s="1823">
        <f t="shared" si="380"/>
        <v>0</v>
      </c>
      <c r="I2061" s="1823"/>
      <c r="J2061" s="1823"/>
      <c r="K2061" s="1823"/>
      <c r="L2061" s="1823"/>
      <c r="M2061" s="1823"/>
      <c r="N2061" s="1823">
        <f t="shared" si="379"/>
        <v>0</v>
      </c>
      <c r="O2061" s="1823"/>
      <c r="P2061" s="1823">
        <f t="shared" si="371"/>
        <v>0</v>
      </c>
      <c r="Q2061" s="1053"/>
      <c r="R2061" s="1053"/>
      <c r="S2061" s="1053"/>
      <c r="T2061" s="2035">
        <f t="shared" si="378"/>
        <v>0</v>
      </c>
    </row>
    <row r="2062" spans="1:20" ht="22.2" hidden="1" customHeight="1">
      <c r="A2062" s="59"/>
      <c r="B2062" s="1577" t="s">
        <v>116</v>
      </c>
      <c r="C2062" s="1013" t="str">
        <f t="shared" si="377"/>
        <v xml:space="preserve"> </v>
      </c>
      <c r="D2062" s="1535">
        <f t="shared" si="381"/>
        <v>0</v>
      </c>
      <c r="E2062" s="1061">
        <f>ppht!C345</f>
        <v>0</v>
      </c>
      <c r="F2062" s="1056" t="str">
        <f>VLOOKUP($B2062,DG!A:D,DG!$C$2,)</f>
        <v>Cáp nhôm ABC 4x150mm2</v>
      </c>
      <c r="G2062" s="1044" t="str">
        <f>VLOOKUP($B2062,DG!A:D,DG!$D$2,)</f>
        <v>mét</v>
      </c>
      <c r="H2062" s="1823">
        <f t="shared" si="380"/>
        <v>0</v>
      </c>
      <c r="I2062" s="1823"/>
      <c r="J2062" s="1823"/>
      <c r="K2062" s="1823"/>
      <c r="L2062" s="1823"/>
      <c r="M2062" s="1823"/>
      <c r="N2062" s="1823">
        <f t="shared" si="379"/>
        <v>0</v>
      </c>
      <c r="O2062" s="1823"/>
      <c r="P2062" s="1823">
        <f t="shared" si="371"/>
        <v>0</v>
      </c>
      <c r="Q2062" s="1053"/>
      <c r="R2062" s="1053"/>
      <c r="S2062" s="1053"/>
      <c r="T2062" s="2035">
        <f t="shared" si="378"/>
        <v>0</v>
      </c>
    </row>
    <row r="2063" spans="1:20" ht="22.2" hidden="1" customHeight="1">
      <c r="A2063" s="59"/>
      <c r="B2063" s="1577" t="s">
        <v>1368</v>
      </c>
      <c r="C2063" s="1013" t="str">
        <f t="shared" si="377"/>
        <v xml:space="preserve"> </v>
      </c>
      <c r="D2063" s="1535">
        <f t="shared" si="381"/>
        <v>0</v>
      </c>
      <c r="E2063" s="1061"/>
      <c r="F2063" s="1056" t="str">
        <f>VLOOKUP($B2063,DG!A:D,DG!$C$2,)&amp;": 9m/tủ phân phối"</f>
        <v>Cáp C/XLPE/DSTA/PVC -0.6/1kV-3x50+35mm2: 9m/tủ phân phối</v>
      </c>
      <c r="G2063" s="1044" t="str">
        <f>VLOOKUP($B2063,DG!A:D,DG!$D$2,)</f>
        <v>mét</v>
      </c>
      <c r="H2063" s="1823">
        <f t="shared" si="380"/>
        <v>0</v>
      </c>
      <c r="I2063" s="1823"/>
      <c r="J2063" s="1823"/>
      <c r="K2063" s="1823"/>
      <c r="L2063" s="1823"/>
      <c r="M2063" s="1823"/>
      <c r="N2063" s="1823">
        <f t="shared" si="379"/>
        <v>0</v>
      </c>
      <c r="O2063" s="1823"/>
      <c r="P2063" s="1823">
        <f t="shared" si="371"/>
        <v>0</v>
      </c>
      <c r="Q2063" s="1053"/>
      <c r="R2063" s="1053"/>
      <c r="S2063" s="1053"/>
      <c r="T2063" s="2035">
        <f t="shared" si="378"/>
        <v>0</v>
      </c>
    </row>
    <row r="2064" spans="1:20" ht="22.2" hidden="1" customHeight="1">
      <c r="A2064" s="59"/>
      <c r="B2064" s="1577" t="s">
        <v>1529</v>
      </c>
      <c r="C2064" s="1013" t="str">
        <f t="shared" ref="C2064" si="382">IF(OR(P2064&lt;&gt;0,H2064&lt;&gt;0),"x"," ")</f>
        <v xml:space="preserve"> </v>
      </c>
      <c r="D2064" s="1535">
        <f>ppht!DK341</f>
        <v>0</v>
      </c>
      <c r="E2064" s="1061"/>
      <c r="F2064" s="1056" t="str">
        <f>VLOOKUP($B2064,DG!A:D,DG!$C$2,)</f>
        <v>Cáp đồng bọc CV25</v>
      </c>
      <c r="G2064" s="1044" t="str">
        <f>VLOOKUP($B2064,DG!A:D,DG!$D$2,)</f>
        <v>mét</v>
      </c>
      <c r="H2064" s="1823">
        <f t="shared" si="380"/>
        <v>0</v>
      </c>
      <c r="I2064" s="1823"/>
      <c r="J2064" s="1823"/>
      <c r="K2064" s="1823"/>
      <c r="L2064" s="1823"/>
      <c r="M2064" s="1823"/>
      <c r="N2064" s="1823">
        <f t="shared" si="379"/>
        <v>0</v>
      </c>
      <c r="O2064" s="1823"/>
      <c r="P2064" s="1823">
        <f t="shared" ref="P2064" si="383">H2064+Q2064-R2064</f>
        <v>0</v>
      </c>
      <c r="Q2064" s="1053"/>
      <c r="R2064" s="1053"/>
      <c r="S2064" s="1053"/>
      <c r="T2064" s="2035">
        <f t="shared" si="378"/>
        <v>0</v>
      </c>
    </row>
    <row r="2065" spans="1:20" ht="22.2" hidden="1" customHeight="1">
      <c r="A2065" s="59"/>
      <c r="B2065" s="1606" t="s">
        <v>432</v>
      </c>
      <c r="C2065" s="1013" t="str">
        <f t="shared" si="377"/>
        <v xml:space="preserve"> </v>
      </c>
      <c r="D2065" s="1535"/>
      <c r="E2065" s="1044"/>
      <c r="F2065" s="1056" t="str">
        <f>VLOOKUP($B2065,DG!A:D,DG!$C$2,)</f>
        <v>Ống nối dây cỡ 95mm2</v>
      </c>
      <c r="G2065" s="1044" t="str">
        <f>VLOOKUP($B2065,DG!A:D,DG!$D$2,)</f>
        <v>cái</v>
      </c>
      <c r="H2065" s="1823">
        <f t="shared" si="380"/>
        <v>0</v>
      </c>
      <c r="I2065" s="1823"/>
      <c r="J2065" s="1823"/>
      <c r="K2065" s="1823"/>
      <c r="L2065" s="1823"/>
      <c r="M2065" s="1823"/>
      <c r="N2065" s="1823">
        <f t="shared" si="379"/>
        <v>0</v>
      </c>
      <c r="O2065" s="1823"/>
      <c r="P2065" s="1823">
        <f t="shared" si="371"/>
        <v>0</v>
      </c>
      <c r="Q2065" s="1053"/>
      <c r="R2065" s="1053"/>
      <c r="S2065" s="1053"/>
      <c r="T2065" s="2035">
        <f t="shared" si="378"/>
        <v>0</v>
      </c>
    </row>
    <row r="2066" spans="1:20" ht="22.2" hidden="1" customHeight="1">
      <c r="A2066" s="59"/>
      <c r="B2066" s="1577" t="s">
        <v>1449</v>
      </c>
      <c r="C2066" s="1013" t="str">
        <f t="shared" si="377"/>
        <v xml:space="preserve"> </v>
      </c>
      <c r="D2066" s="1535"/>
      <c r="E2066" s="1044"/>
      <c r="F2066" s="1056" t="str">
        <f>VLOOKUP($B2066,DG!A:D,DG!$C$2,)</f>
        <v>Đầu cosse ép Cu-Al 50mm2</v>
      </c>
      <c r="G2066" s="1044" t="str">
        <f>VLOOKUP($B2066,DG!A:D,DG!$D$2,)</f>
        <v>cái</v>
      </c>
      <c r="H2066" s="1823">
        <f t="shared" si="380"/>
        <v>0</v>
      </c>
      <c r="I2066" s="1823"/>
      <c r="J2066" s="1823"/>
      <c r="K2066" s="1823"/>
      <c r="L2066" s="1823"/>
      <c r="M2066" s="1823"/>
      <c r="N2066" s="1823">
        <f t="shared" si="379"/>
        <v>0</v>
      </c>
      <c r="O2066" s="1823"/>
      <c r="P2066" s="1823">
        <f t="shared" si="371"/>
        <v>0</v>
      </c>
      <c r="Q2066" s="1053"/>
      <c r="R2066" s="1053"/>
      <c r="S2066" s="1053"/>
      <c r="T2066" s="2035">
        <f t="shared" si="378"/>
        <v>0</v>
      </c>
    </row>
    <row r="2067" spans="1:20" ht="22.2" hidden="1" customHeight="1">
      <c r="A2067" s="59"/>
      <c r="B2067" s="1577" t="s">
        <v>915</v>
      </c>
      <c r="C2067" s="1013" t="str">
        <f t="shared" si="377"/>
        <v xml:space="preserve"> </v>
      </c>
      <c r="D2067" s="1535"/>
      <c r="E2067" s="1044"/>
      <c r="F2067" s="1056" t="str">
        <f>VLOOKUP($B2067,DG!A:D,DG!$C$2,)</f>
        <v>Đầu cosse ép Cu-Al 70mm2</v>
      </c>
      <c r="G2067" s="1044" t="str">
        <f>VLOOKUP($B2067,DG!A:D,DG!$D$2,)</f>
        <v>cái</v>
      </c>
      <c r="H2067" s="1823">
        <f t="shared" si="380"/>
        <v>0</v>
      </c>
      <c r="I2067" s="1823"/>
      <c r="J2067" s="1823"/>
      <c r="K2067" s="1823"/>
      <c r="L2067" s="1823"/>
      <c r="M2067" s="1823"/>
      <c r="N2067" s="1823">
        <f t="shared" si="379"/>
        <v>0</v>
      </c>
      <c r="O2067" s="1823"/>
      <c r="P2067" s="1823">
        <f t="shared" si="371"/>
        <v>0</v>
      </c>
      <c r="Q2067" s="1053"/>
      <c r="R2067" s="1053"/>
      <c r="S2067" s="1053"/>
      <c r="T2067" s="2035">
        <f t="shared" si="378"/>
        <v>0</v>
      </c>
    </row>
    <row r="2068" spans="1:20" ht="22.2" hidden="1" customHeight="1">
      <c r="A2068" s="59"/>
      <c r="B2068" s="1577" t="s">
        <v>916</v>
      </c>
      <c r="C2068" s="1013" t="str">
        <f t="shared" si="377"/>
        <v xml:space="preserve"> </v>
      </c>
      <c r="D2068" s="1535"/>
      <c r="E2068" s="1044"/>
      <c r="F2068" s="1056" t="str">
        <f>VLOOKUP($B2068,DG!A:D,DG!$C$2,)</f>
        <v>Boulon thau 12x50 + 2 long đền vuông D14-50x50x3/Zn</v>
      </c>
      <c r="G2068" s="1044" t="str">
        <f>VLOOKUP($B2068,DG!A:D,DG!$D$2,)</f>
        <v>bộ</v>
      </c>
      <c r="H2068" s="1823">
        <f t="shared" si="380"/>
        <v>0</v>
      </c>
      <c r="I2068" s="1823"/>
      <c r="J2068" s="1823"/>
      <c r="K2068" s="1823"/>
      <c r="L2068" s="1823"/>
      <c r="M2068" s="1823"/>
      <c r="N2068" s="1823">
        <f t="shared" si="379"/>
        <v>0</v>
      </c>
      <c r="O2068" s="1823"/>
      <c r="P2068" s="1823">
        <f t="shared" si="371"/>
        <v>0</v>
      </c>
      <c r="Q2068" s="1053"/>
      <c r="R2068" s="1053"/>
      <c r="S2068" s="1053"/>
      <c r="T2068" s="2035">
        <f t="shared" si="378"/>
        <v>0</v>
      </c>
    </row>
    <row r="2069" spans="1:20" ht="22.2" hidden="1" customHeight="1">
      <c r="A2069" s="59"/>
      <c r="B2069" s="1577" t="s">
        <v>1511</v>
      </c>
      <c r="C2069" s="1013" t="str">
        <f t="shared" si="377"/>
        <v xml:space="preserve"> </v>
      </c>
      <c r="D2069" s="1535"/>
      <c r="E2069" s="1044"/>
      <c r="F2069" s="1056" t="str">
        <f>VLOOKUP($B2069,DG!A:D,DG!$C$2,)</f>
        <v>Cọc tiếp đất Þ 16- 2,4m + kẹp cọc mạ đồng</v>
      </c>
      <c r="G2069" s="1044" t="str">
        <f>VLOOKUP($B2069,DG!A:D,DG!$D$2,)</f>
        <v>bộ</v>
      </c>
      <c r="H2069" s="1823">
        <f t="shared" si="380"/>
        <v>0</v>
      </c>
      <c r="I2069" s="1823"/>
      <c r="J2069" s="1823"/>
      <c r="K2069" s="1823"/>
      <c r="L2069" s="1823"/>
      <c r="M2069" s="1823"/>
      <c r="N2069" s="1823">
        <f t="shared" si="379"/>
        <v>0</v>
      </c>
      <c r="O2069" s="1823"/>
      <c r="P2069" s="1823">
        <f t="shared" si="371"/>
        <v>0</v>
      </c>
      <c r="Q2069" s="1053"/>
      <c r="R2069" s="1053"/>
      <c r="S2069" s="1053"/>
      <c r="T2069" s="2035">
        <f t="shared" si="378"/>
        <v>0</v>
      </c>
    </row>
    <row r="2070" spans="1:20" ht="22.2" hidden="1" customHeight="1">
      <c r="A2070" s="59"/>
      <c r="B2070" s="1577" t="s">
        <v>1033</v>
      </c>
      <c r="C2070" s="1013" t="str">
        <f t="shared" si="377"/>
        <v xml:space="preserve"> </v>
      </c>
      <c r="D2070" s="1535"/>
      <c r="E2070" s="1044"/>
      <c r="F2070" s="1056" t="str">
        <f>VLOOKUP($B2070,DG!A:D,DG!$C$2,)</f>
        <v>Cáp đồng trần M25mm2</v>
      </c>
      <c r="G2070" s="1044" t="str">
        <f>VLOOKUP($B2070,DG!A:D,DG!$D$2,)</f>
        <v>kg</v>
      </c>
      <c r="H2070" s="1823">
        <f t="shared" si="380"/>
        <v>0</v>
      </c>
      <c r="I2070" s="1823"/>
      <c r="J2070" s="1823"/>
      <c r="K2070" s="1823"/>
      <c r="L2070" s="1823"/>
      <c r="M2070" s="1823"/>
      <c r="N2070" s="1823">
        <f t="shared" si="379"/>
        <v>0</v>
      </c>
      <c r="O2070" s="1823"/>
      <c r="P2070" s="1823">
        <f t="shared" si="371"/>
        <v>0</v>
      </c>
      <c r="Q2070" s="1053"/>
      <c r="R2070" s="1053"/>
      <c r="S2070" s="1053"/>
      <c r="T2070" s="2035">
        <f t="shared" si="378"/>
        <v>0</v>
      </c>
    </row>
    <row r="2071" spans="1:20" ht="22.2" hidden="1" customHeight="1">
      <c r="A2071" s="59"/>
      <c r="B2071" s="1577" t="s">
        <v>1442</v>
      </c>
      <c r="C2071" s="1013" t="str">
        <f t="shared" si="377"/>
        <v xml:space="preserve"> </v>
      </c>
      <c r="D2071" s="1535">
        <f>ppht!CS341</f>
        <v>0</v>
      </c>
      <c r="E2071" s="1044"/>
      <c r="F2071" s="1056" t="str">
        <f>VLOOKUP($B2071,DG!A:D,DG!$C$2,)</f>
        <v>Ghíp nối IPC 50-25 1 bulong</v>
      </c>
      <c r="G2071" s="1044" t="str">
        <f>VLOOKUP($B2071,DG!A:D,DG!$D$2,)</f>
        <v>cái</v>
      </c>
      <c r="H2071" s="1823">
        <f t="shared" si="380"/>
        <v>0</v>
      </c>
      <c r="I2071" s="1823"/>
      <c r="J2071" s="1823"/>
      <c r="K2071" s="1823"/>
      <c r="L2071" s="1823"/>
      <c r="M2071" s="1823"/>
      <c r="N2071" s="1823">
        <f t="shared" si="379"/>
        <v>0</v>
      </c>
      <c r="O2071" s="1823"/>
      <c r="P2071" s="1823">
        <f t="shared" si="371"/>
        <v>0</v>
      </c>
      <c r="Q2071" s="1053"/>
      <c r="R2071" s="1053"/>
      <c r="S2071" s="1053"/>
      <c r="T2071" s="2035">
        <f t="shared" si="378"/>
        <v>0</v>
      </c>
    </row>
    <row r="2072" spans="1:20" ht="22.2" hidden="1" customHeight="1">
      <c r="A2072" s="59"/>
      <c r="B2072" s="1577" t="s">
        <v>2027</v>
      </c>
      <c r="C2072" s="1013" t="str">
        <f t="shared" si="377"/>
        <v xml:space="preserve"> </v>
      </c>
      <c r="D2072" s="1535">
        <f>ppht!CR341</f>
        <v>0</v>
      </c>
      <c r="E2072" s="1044"/>
      <c r="F2072" s="1056" t="str">
        <f>VLOOKUP($B2072,DG!A:D,DG!$C$2,)</f>
        <v>Ghíp nối IPC 50-50 1 bulong</v>
      </c>
      <c r="G2072" s="1044" t="str">
        <f>VLOOKUP($B2072,DG!A:D,DG!$D$2,)</f>
        <v>cái</v>
      </c>
      <c r="H2072" s="1823">
        <f t="shared" si="380"/>
        <v>0</v>
      </c>
      <c r="I2072" s="1823"/>
      <c r="J2072" s="1823"/>
      <c r="K2072" s="1823"/>
      <c r="L2072" s="1823"/>
      <c r="M2072" s="1823"/>
      <c r="N2072" s="1823">
        <f t="shared" si="379"/>
        <v>0</v>
      </c>
      <c r="O2072" s="1823"/>
      <c r="P2072" s="1823">
        <f t="shared" si="371"/>
        <v>0</v>
      </c>
      <c r="Q2072" s="1053"/>
      <c r="R2072" s="1053"/>
      <c r="S2072" s="1053"/>
      <c r="T2072" s="2035">
        <f t="shared" si="378"/>
        <v>0</v>
      </c>
    </row>
    <row r="2073" spans="1:20" ht="22.2" hidden="1" customHeight="1">
      <c r="A2073" s="59"/>
      <c r="B2073" s="1577" t="s">
        <v>2207</v>
      </c>
      <c r="C2073" s="1013" t="str">
        <f t="shared" si="377"/>
        <v xml:space="preserve"> </v>
      </c>
      <c r="D2073" s="1548">
        <f>+ppht!CU341</f>
        <v>0</v>
      </c>
      <c r="E2073" s="1044"/>
      <c r="F2073" s="1056" t="s">
        <v>2568</v>
      </c>
      <c r="G2073" s="1044" t="str">
        <f>VLOOKUP($B2073,DG!A:D,DG!$D$2,)</f>
        <v>cái</v>
      </c>
      <c r="H2073" s="1823">
        <f t="shared" si="380"/>
        <v>0</v>
      </c>
      <c r="I2073" s="1823"/>
      <c r="J2073" s="1823"/>
      <c r="K2073" s="1823"/>
      <c r="L2073" s="1823"/>
      <c r="M2073" s="1823"/>
      <c r="N2073" s="1823">
        <f t="shared" si="379"/>
        <v>0</v>
      </c>
      <c r="O2073" s="1823"/>
      <c r="P2073" s="1823">
        <f t="shared" si="371"/>
        <v>0</v>
      </c>
      <c r="Q2073" s="1053"/>
      <c r="R2073" s="1053"/>
      <c r="S2073" s="1053"/>
      <c r="T2073" s="2035">
        <f t="shared" si="378"/>
        <v>0</v>
      </c>
    </row>
    <row r="2074" spans="1:20" ht="22.2" hidden="1" customHeight="1">
      <c r="A2074" s="59"/>
      <c r="B2074" s="1577" t="s">
        <v>1109</v>
      </c>
      <c r="C2074" s="1013" t="str">
        <f t="shared" si="377"/>
        <v xml:space="preserve"> </v>
      </c>
      <c r="D2074" s="1548">
        <f>ppht!CQ337</f>
        <v>0</v>
      </c>
      <c r="E2074" s="1044"/>
      <c r="F2074" s="1056" t="str">
        <f>VLOOKUP($B2074,DG!A:D,DG!$C$2,)&amp;" 2 bulong"</f>
        <v>Ghíp nối IPC 70-70 2 bulong</v>
      </c>
      <c r="G2074" s="1044" t="str">
        <f>VLOOKUP($B2074,DG!A:D,DG!$D$2,)</f>
        <v>cái</v>
      </c>
      <c r="H2074" s="1823">
        <f t="shared" si="380"/>
        <v>0</v>
      </c>
      <c r="I2074" s="1823"/>
      <c r="J2074" s="1823"/>
      <c r="K2074" s="1823"/>
      <c r="L2074" s="1823"/>
      <c r="M2074" s="1823"/>
      <c r="N2074" s="1823">
        <f t="shared" si="379"/>
        <v>0</v>
      </c>
      <c r="O2074" s="1823"/>
      <c r="P2074" s="1823">
        <f t="shared" si="371"/>
        <v>0</v>
      </c>
      <c r="Q2074" s="1053"/>
      <c r="R2074" s="1053"/>
      <c r="S2074" s="1053"/>
      <c r="T2074" s="2035">
        <f t="shared" si="378"/>
        <v>0</v>
      </c>
    </row>
    <row r="2075" spans="1:20" ht="22.2" hidden="1" customHeight="1">
      <c r="A2075" s="59"/>
      <c r="B2075" s="1577" t="s">
        <v>2036</v>
      </c>
      <c r="C2075" s="1013" t="str">
        <f t="shared" si="377"/>
        <v xml:space="preserve"> </v>
      </c>
      <c r="D2075" s="1548">
        <f>ppht!CO337</f>
        <v>0</v>
      </c>
      <c r="E2075" s="1044"/>
      <c r="F2075" s="1056" t="str">
        <f>VLOOKUP($B2075,DG!A:D,DG!$C$2,)</f>
        <v>Ghíp nối IPC 95-70</v>
      </c>
      <c r="G2075" s="1044" t="str">
        <f>VLOOKUP($B2075,DG!A:D,DG!$D$2,)</f>
        <v>cái</v>
      </c>
      <c r="H2075" s="1823">
        <f t="shared" si="380"/>
        <v>0</v>
      </c>
      <c r="I2075" s="1823"/>
      <c r="J2075" s="1823"/>
      <c r="K2075" s="1823"/>
      <c r="L2075" s="1823"/>
      <c r="M2075" s="1823"/>
      <c r="N2075" s="1823">
        <f t="shared" si="379"/>
        <v>0</v>
      </c>
      <c r="O2075" s="1823"/>
      <c r="P2075" s="1823">
        <f t="shared" si="371"/>
        <v>0</v>
      </c>
      <c r="Q2075" s="1053"/>
      <c r="R2075" s="1053"/>
      <c r="S2075" s="1053"/>
      <c r="T2075" s="2035">
        <f t="shared" si="378"/>
        <v>0</v>
      </c>
    </row>
    <row r="2076" spans="1:20" ht="22.2" hidden="1" customHeight="1">
      <c r="A2076" s="59"/>
      <c r="B2076" s="1577" t="s">
        <v>1348</v>
      </c>
      <c r="C2076" s="1013" t="str">
        <f t="shared" si="377"/>
        <v xml:space="preserve"> </v>
      </c>
      <c r="D2076" s="1548">
        <f>ppht!CK337*0</f>
        <v>0</v>
      </c>
      <c r="E2076" s="1044"/>
      <c r="F2076" s="1056" t="str">
        <f>VLOOKUP($B2076,DG!A:D,DG!$C$2,)</f>
        <v>Ghíp nối IPC 150-70</v>
      </c>
      <c r="G2076" s="1044" t="str">
        <f>VLOOKUP($B2076,DG!A:D,DG!$D$2,)</f>
        <v>cái</v>
      </c>
      <c r="H2076" s="1823">
        <f>D2076+T2076</f>
        <v>0</v>
      </c>
      <c r="I2076" s="1823"/>
      <c r="J2076" s="1823"/>
      <c r="K2076" s="1823"/>
      <c r="L2076" s="1823"/>
      <c r="M2076" s="1823"/>
      <c r="N2076" s="1823">
        <f t="shared" si="379"/>
        <v>0</v>
      </c>
      <c r="O2076" s="1823"/>
      <c r="P2076" s="1823">
        <f>H2076+Q2076-R2076</f>
        <v>0</v>
      </c>
      <c r="Q2076" s="1053"/>
      <c r="R2076" s="1053"/>
      <c r="S2076" s="1053"/>
      <c r="T2076" s="2035">
        <f t="shared" si="378"/>
        <v>0</v>
      </c>
    </row>
    <row r="2077" spans="1:20" ht="22.2" hidden="1" customHeight="1">
      <c r="A2077" s="59"/>
      <c r="B2077" s="1577" t="s">
        <v>1347</v>
      </c>
      <c r="C2077" s="1013" t="str">
        <f t="shared" si="377"/>
        <v xml:space="preserve"> </v>
      </c>
      <c r="D2077" s="1548">
        <f>ppht!CL337</f>
        <v>0</v>
      </c>
      <c r="E2077" s="1044"/>
      <c r="F2077" s="1056" t="str">
        <f>VLOOKUP($B2077,DG!A:D,DG!$C$2,)</f>
        <v>Ghíp nối IPC 95-150</v>
      </c>
      <c r="G2077" s="1044" t="str">
        <f>VLOOKUP($B2077,DG!A:D,DG!$D$2,)</f>
        <v>cái</v>
      </c>
      <c r="H2077" s="1823">
        <f>D2077</f>
        <v>0</v>
      </c>
      <c r="I2077" s="1823"/>
      <c r="J2077" s="1823"/>
      <c r="K2077" s="1823"/>
      <c r="L2077" s="1823"/>
      <c r="M2077" s="1823"/>
      <c r="N2077" s="1823">
        <f t="shared" si="379"/>
        <v>0</v>
      </c>
      <c r="O2077" s="1823"/>
      <c r="P2077" s="1823">
        <f>H2077+Q2077-R2077</f>
        <v>0</v>
      </c>
      <c r="Q2077" s="1053"/>
      <c r="R2077" s="1053"/>
      <c r="S2077" s="1053"/>
      <c r="T2077" s="2035">
        <f t="shared" si="378"/>
        <v>0</v>
      </c>
    </row>
    <row r="2078" spans="1:20" ht="22.2" hidden="1" customHeight="1">
      <c r="A2078" s="59"/>
      <c r="B2078" s="1577" t="s">
        <v>4347</v>
      </c>
      <c r="C2078" s="1013" t="str">
        <f t="shared" si="377"/>
        <v xml:space="preserve"> </v>
      </c>
      <c r="D2078" s="1548">
        <f>ppht!CM337</f>
        <v>0</v>
      </c>
      <c r="E2078" s="1044"/>
      <c r="F2078" s="1056" t="str">
        <f>VLOOKUP($B2078,DG!A:D,DG!$C$2,)&amp;" (2 boulon)"</f>
        <v>Ghíp nối IPC 95-25 (2 bulong) (2 boulon)</v>
      </c>
      <c r="G2078" s="1044" t="str">
        <f>VLOOKUP($B2078,DG!A:D,DG!$D$2,)</f>
        <v>cái</v>
      </c>
      <c r="H2078" s="1823">
        <f>D2078</f>
        <v>0</v>
      </c>
      <c r="I2078" s="1823"/>
      <c r="J2078" s="1823"/>
      <c r="K2078" s="1823"/>
      <c r="L2078" s="1823"/>
      <c r="M2078" s="1823"/>
      <c r="N2078" s="1823">
        <f t="shared" si="379"/>
        <v>0</v>
      </c>
      <c r="O2078" s="1823"/>
      <c r="P2078" s="1823">
        <f t="shared" si="371"/>
        <v>0</v>
      </c>
      <c r="Q2078" s="1053"/>
      <c r="R2078" s="1053"/>
      <c r="S2078" s="1053"/>
      <c r="T2078" s="2035">
        <f t="shared" si="378"/>
        <v>0</v>
      </c>
    </row>
    <row r="2079" spans="1:20" ht="22.2" hidden="1" customHeight="1">
      <c r="A2079" s="59"/>
      <c r="B2079" s="1577" t="s">
        <v>1108</v>
      </c>
      <c r="C2079" s="1013" t="str">
        <f t="shared" si="377"/>
        <v xml:space="preserve"> </v>
      </c>
      <c r="D2079" s="1548">
        <f>ppht!CP337</f>
        <v>0</v>
      </c>
      <c r="E2079" s="1044"/>
      <c r="F2079" s="1056" t="str">
        <f>VLOOKUP($B2079,DG!A:D,DG!$C$2,)&amp;" (2 boulon)"</f>
        <v>Ghíp nối IPC 95-95 (2 boulon)</v>
      </c>
      <c r="G2079" s="1044" t="str">
        <f>VLOOKUP($B2079,DG!A:D,DG!$D$2,)</f>
        <v>cái</v>
      </c>
      <c r="H2079" s="1823">
        <f>D2079</f>
        <v>0</v>
      </c>
      <c r="I2079" s="1823"/>
      <c r="J2079" s="1823"/>
      <c r="K2079" s="1823"/>
      <c r="L2079" s="1823"/>
      <c r="M2079" s="1823"/>
      <c r="N2079" s="1823">
        <f t="shared" si="379"/>
        <v>0</v>
      </c>
      <c r="O2079" s="1823"/>
      <c r="P2079" s="1823">
        <f t="shared" si="371"/>
        <v>0</v>
      </c>
      <c r="Q2079" s="1053"/>
      <c r="R2079" s="1053"/>
      <c r="S2079" s="1053"/>
      <c r="T2079" s="2035">
        <f t="shared" si="378"/>
        <v>0</v>
      </c>
    </row>
    <row r="2080" spans="1:20" ht="22.2" hidden="1" customHeight="1">
      <c r="A2080" s="59"/>
      <c r="B2080" s="1577" t="s">
        <v>1154</v>
      </c>
      <c r="C2080" s="1013" t="str">
        <f t="shared" si="377"/>
        <v xml:space="preserve"> </v>
      </c>
      <c r="D2080" s="1548">
        <f>ppht!CN337</f>
        <v>0</v>
      </c>
      <c r="E2080" s="1044"/>
      <c r="F2080" s="1056" t="str">
        <f>VLOOKUP($B2080,DG!A:D,DG!$C$2,)</f>
        <v>Ghíp nối IPC 95-50 1 bulong</v>
      </c>
      <c r="G2080" s="1044" t="str">
        <f>VLOOKUP($B2080,DG!A:D,DG!$D$2,)</f>
        <v>cái</v>
      </c>
      <c r="H2080" s="1823">
        <f>D2080</f>
        <v>0</v>
      </c>
      <c r="I2080" s="1823"/>
      <c r="J2080" s="1823"/>
      <c r="K2080" s="1823"/>
      <c r="L2080" s="1823"/>
      <c r="M2080" s="1823"/>
      <c r="N2080" s="1823">
        <f t="shared" si="379"/>
        <v>0</v>
      </c>
      <c r="O2080" s="1823"/>
      <c r="P2080" s="1823">
        <f t="shared" si="371"/>
        <v>0</v>
      </c>
      <c r="Q2080" s="1053"/>
      <c r="R2080" s="1053"/>
      <c r="S2080" s="1053"/>
      <c r="T2080" s="2035">
        <f t="shared" si="378"/>
        <v>0</v>
      </c>
    </row>
    <row r="2081" spans="1:20" ht="22.2" hidden="1" customHeight="1">
      <c r="A2081" s="59"/>
      <c r="B2081" s="1577" t="s">
        <v>36</v>
      </c>
      <c r="C2081" s="1013" t="str">
        <f t="shared" si="377"/>
        <v xml:space="preserve"> </v>
      </c>
      <c r="D2081" s="1548"/>
      <c r="E2081" s="1044"/>
      <c r="F2081" s="1056" t="str">
        <f>VLOOKUP($B2081,DG!A:D,DG!$C$2,)</f>
        <v>Kẹp ép WR cỡ dây 95mm2</v>
      </c>
      <c r="G2081" s="1044" t="str">
        <f>VLOOKUP($B2081,DG!A:D,DG!$D$2,)</f>
        <v>cái</v>
      </c>
      <c r="H2081" s="1823">
        <f>D2081+T2081</f>
        <v>0</v>
      </c>
      <c r="I2081" s="1823"/>
      <c r="J2081" s="1823"/>
      <c r="K2081" s="1823"/>
      <c r="L2081" s="1823"/>
      <c r="M2081" s="1823"/>
      <c r="N2081" s="1823">
        <f t="shared" si="379"/>
        <v>0</v>
      </c>
      <c r="O2081" s="1823"/>
      <c r="P2081" s="1823">
        <f t="shared" si="371"/>
        <v>0</v>
      </c>
      <c r="Q2081" s="1053"/>
      <c r="R2081" s="1053"/>
      <c r="S2081" s="1053"/>
      <c r="T2081" s="2035">
        <f t="shared" si="378"/>
        <v>0</v>
      </c>
    </row>
    <row r="2082" spans="1:20" ht="22.2" hidden="1" customHeight="1">
      <c r="A2082" s="59"/>
      <c r="B2082" s="1577" t="s">
        <v>2218</v>
      </c>
      <c r="C2082" s="1013" t="str">
        <f t="shared" si="377"/>
        <v xml:space="preserve"> </v>
      </c>
      <c r="D2082" s="1548">
        <f>ppht!CH337</f>
        <v>0</v>
      </c>
      <c r="E2082" s="1044"/>
      <c r="F2082" s="1056" t="str">
        <f>VLOOKUP($B2082,DG!A:D,DG!$C$2,)</f>
        <v>Ghíp nối IPC 50-35</v>
      </c>
      <c r="G2082" s="1044" t="str">
        <f>VLOOKUP($B2082,DG!A:D,DG!$D$2,)</f>
        <v>cái</v>
      </c>
      <c r="H2082" s="1823">
        <f t="shared" ref="H2082:H2113" si="384">D2082</f>
        <v>0</v>
      </c>
      <c r="I2082" s="1823"/>
      <c r="J2082" s="1823"/>
      <c r="K2082" s="1823"/>
      <c r="L2082" s="1823"/>
      <c r="M2082" s="1823"/>
      <c r="N2082" s="1823">
        <f t="shared" si="379"/>
        <v>0</v>
      </c>
      <c r="O2082" s="1823"/>
      <c r="P2082" s="1823">
        <f t="shared" si="371"/>
        <v>0</v>
      </c>
      <c r="Q2082" s="1053"/>
      <c r="R2082" s="1053"/>
      <c r="S2082" s="1053"/>
      <c r="T2082" s="2035">
        <f t="shared" si="378"/>
        <v>0</v>
      </c>
    </row>
    <row r="2083" spans="1:20" ht="22.2" hidden="1" customHeight="1">
      <c r="A2083" s="59"/>
      <c r="B2083" s="1577" t="s">
        <v>1306</v>
      </c>
      <c r="C2083" s="1013" t="str">
        <f t="shared" si="377"/>
        <v xml:space="preserve"> </v>
      </c>
      <c r="D2083" s="1535"/>
      <c r="E2083" s="1044"/>
      <c r="F2083" s="1056" t="str">
        <f>VLOOKUP($B2083,DG!A:D,DG!$C$2,)</f>
        <v>Đầu cosse ép Cu 70mm2</v>
      </c>
      <c r="G2083" s="1044" t="str">
        <f>VLOOKUP($B2083,DG!A:D,DG!$D$2,)</f>
        <v>cái</v>
      </c>
      <c r="H2083" s="1823">
        <f t="shared" si="384"/>
        <v>0</v>
      </c>
      <c r="I2083" s="1823"/>
      <c r="J2083" s="1823"/>
      <c r="K2083" s="1823"/>
      <c r="L2083" s="1823"/>
      <c r="M2083" s="1823"/>
      <c r="N2083" s="1823"/>
      <c r="O2083" s="1823"/>
      <c r="P2083" s="1823">
        <f t="shared" ref="P2083:P2149" si="385">H2083+Q2083-R2083</f>
        <v>0</v>
      </c>
      <c r="Q2083" s="1058"/>
      <c r="R2083" s="1058"/>
      <c r="S2083" s="1058"/>
      <c r="T2083" s="2035">
        <f t="shared" si="378"/>
        <v>0</v>
      </c>
    </row>
    <row r="2084" spans="1:20" ht="22.2" hidden="1" customHeight="1">
      <c r="A2084" s="59"/>
      <c r="B2084" s="1577" t="s">
        <v>4349</v>
      </c>
      <c r="C2084" s="1013" t="str">
        <f t="shared" si="377"/>
        <v xml:space="preserve"> </v>
      </c>
      <c r="D2084" s="1535"/>
      <c r="E2084" s="1044"/>
      <c r="F2084" s="1056" t="str">
        <f>VLOOKUP($B2084,DG!A:D,DG!$C$2,)</f>
        <v>Kẹp ép WR 399</v>
      </c>
      <c r="G2084" s="1044" t="str">
        <f>VLOOKUP($B2084,DG!A:D,DG!$D$2,)</f>
        <v>cái</v>
      </c>
      <c r="H2084" s="1823">
        <f t="shared" si="384"/>
        <v>0</v>
      </c>
      <c r="I2084" s="1823"/>
      <c r="J2084" s="1823"/>
      <c r="K2084" s="1823"/>
      <c r="L2084" s="1823"/>
      <c r="M2084" s="1823"/>
      <c r="N2084" s="1823"/>
      <c r="O2084" s="1823"/>
      <c r="P2084" s="1823">
        <f t="shared" si="385"/>
        <v>0</v>
      </c>
      <c r="Q2084" s="1058"/>
      <c r="R2084" s="1058"/>
      <c r="S2084" s="1058"/>
      <c r="T2084" s="2035">
        <f t="shared" si="378"/>
        <v>0</v>
      </c>
    </row>
    <row r="2085" spans="1:20" ht="22.2" hidden="1" customHeight="1">
      <c r="A2085" s="59"/>
      <c r="B2085" s="1607" t="s">
        <v>1157</v>
      </c>
      <c r="C2085" s="1013" t="str">
        <f t="shared" si="377"/>
        <v xml:space="preserve"> </v>
      </c>
      <c r="D2085" s="1548">
        <f>ppht!DJ337+T2085</f>
        <v>0</v>
      </c>
      <c r="E2085" s="1044"/>
      <c r="F2085" s="1413" t="str">
        <f>VLOOKUP($B2085,DG!A:D,DG!$C$2,)</f>
        <v>Hộp phân phối (hộp rỗng)</v>
      </c>
      <c r="G2085" s="1044" t="str">
        <f>VLOOKUP($B2085,DG!A:D,DG!$D$2,)</f>
        <v>cái</v>
      </c>
      <c r="H2085" s="1823">
        <f t="shared" si="384"/>
        <v>0</v>
      </c>
      <c r="I2085" s="1823"/>
      <c r="J2085" s="1823"/>
      <c r="K2085" s="1823"/>
      <c r="L2085" s="1823"/>
      <c r="M2085" s="1823"/>
      <c r="N2085" s="1823">
        <f t="shared" ref="N2085:N2101" si="386">D2085</f>
        <v>0</v>
      </c>
      <c r="O2085" s="1823"/>
      <c r="P2085" s="1823">
        <f t="shared" si="385"/>
        <v>0</v>
      </c>
      <c r="Q2085" s="1053"/>
      <c r="R2085" s="1053"/>
      <c r="S2085" s="1053"/>
      <c r="T2085" s="2035">
        <f t="shared" si="378"/>
        <v>0</v>
      </c>
    </row>
    <row r="2086" spans="1:20" ht="22.2" hidden="1" customHeight="1">
      <c r="A2086" s="59"/>
      <c r="B2086" s="1577" t="s">
        <v>1409</v>
      </c>
      <c r="C2086" s="1013" t="str">
        <f t="shared" si="377"/>
        <v xml:space="preserve"> </v>
      </c>
      <c r="D2086" s="1535"/>
      <c r="E2086" s="1044"/>
      <c r="F2086" s="1056" t="str">
        <f>VLOOKUP($B2086,DG!A:D,DG!$C$2,)</f>
        <v>Cáp đồng bọc CV25</v>
      </c>
      <c r="G2086" s="1044" t="str">
        <f>VLOOKUP($B2086,DG!A:D,DG!$D$2,)</f>
        <v>mét</v>
      </c>
      <c r="H2086" s="1823">
        <f t="shared" si="384"/>
        <v>0</v>
      </c>
      <c r="I2086" s="1823"/>
      <c r="J2086" s="1823"/>
      <c r="K2086" s="1823"/>
      <c r="L2086" s="1823"/>
      <c r="M2086" s="1823"/>
      <c r="N2086" s="1823">
        <f t="shared" si="386"/>
        <v>0</v>
      </c>
      <c r="O2086" s="1823"/>
      <c r="P2086" s="1823">
        <f t="shared" si="385"/>
        <v>0</v>
      </c>
      <c r="Q2086" s="1053"/>
      <c r="R2086" s="1053"/>
      <c r="S2086" s="1053"/>
      <c r="T2086" s="2035">
        <f t="shared" si="378"/>
        <v>0</v>
      </c>
    </row>
    <row r="2087" spans="1:20" ht="22.2" hidden="1" customHeight="1">
      <c r="A2087" s="59"/>
      <c r="B2087" s="1577" t="s">
        <v>1156</v>
      </c>
      <c r="C2087" s="1013" t="str">
        <f t="shared" si="377"/>
        <v xml:space="preserve"> </v>
      </c>
      <c r="D2087" s="1548">
        <f>ppht!DI337</f>
        <v>0</v>
      </c>
      <c r="E2087" s="1044" t="str">
        <f>VLOOKUP($B2087,DG!A:D,DG!$B$2,)</f>
        <v>06.1201</v>
      </c>
      <c r="F2087" s="1056" t="s">
        <v>2569</v>
      </c>
      <c r="G2087" s="1044" t="str">
        <f>VLOOKUP($B2087,DG!A:D,DG!$D$2,)</f>
        <v>cái</v>
      </c>
      <c r="H2087" s="1823">
        <f t="shared" si="384"/>
        <v>0</v>
      </c>
      <c r="I2087" s="1823"/>
      <c r="J2087" s="1823"/>
      <c r="K2087" s="1823"/>
      <c r="L2087" s="1823"/>
      <c r="M2087" s="1823"/>
      <c r="N2087" s="1823">
        <f t="shared" si="386"/>
        <v>0</v>
      </c>
      <c r="O2087" s="1823"/>
      <c r="P2087" s="1823">
        <f t="shared" si="385"/>
        <v>0</v>
      </c>
      <c r="Q2087" s="1053"/>
      <c r="R2087" s="1053"/>
      <c r="S2087" s="1053"/>
      <c r="T2087" s="2035">
        <f t="shared" si="378"/>
        <v>0</v>
      </c>
    </row>
    <row r="2088" spans="1:20" ht="22.2" hidden="1" customHeight="1">
      <c r="A2088" s="59"/>
      <c r="B2088" s="1577" t="s">
        <v>1158</v>
      </c>
      <c r="C2088" s="1013" t="str">
        <f t="shared" si="377"/>
        <v xml:space="preserve"> </v>
      </c>
      <c r="D2088" s="1548">
        <f>ppht!DA337</f>
        <v>0</v>
      </c>
      <c r="E2088" s="1044"/>
      <c r="F2088" s="1056" t="str">
        <f>VLOOKUP($B2088,DG!A:D,DG!$C$2,)</f>
        <v>Kẹp treo cáp ABC4x120mm2</v>
      </c>
      <c r="G2088" s="1044" t="str">
        <f>VLOOKUP($B2088,DG!A:D,DG!$D$2,)</f>
        <v>cái</v>
      </c>
      <c r="H2088" s="1823">
        <f t="shared" si="384"/>
        <v>0</v>
      </c>
      <c r="I2088" s="1823"/>
      <c r="J2088" s="1823"/>
      <c r="K2088" s="1823"/>
      <c r="L2088" s="1823"/>
      <c r="M2088" s="1823"/>
      <c r="N2088" s="1823">
        <f t="shared" si="386"/>
        <v>0</v>
      </c>
      <c r="O2088" s="1823"/>
      <c r="P2088" s="1823">
        <f t="shared" si="385"/>
        <v>0</v>
      </c>
      <c r="Q2088" s="1053"/>
      <c r="R2088" s="1053"/>
      <c r="S2088" s="1053"/>
      <c r="T2088" s="2035">
        <f t="shared" si="378"/>
        <v>0</v>
      </c>
    </row>
    <row r="2089" spans="1:20" ht="22.2" hidden="1" customHeight="1">
      <c r="A2089" s="59"/>
      <c r="B2089" s="1607" t="s">
        <v>1159</v>
      </c>
      <c r="C2089" s="1013" t="str">
        <f t="shared" si="377"/>
        <v xml:space="preserve"> </v>
      </c>
      <c r="D2089" s="1548">
        <f>ppht!DB337*0</f>
        <v>0</v>
      </c>
      <c r="E2089" s="1044"/>
      <c r="F2089" s="1056" t="str">
        <f>VLOOKUP($B2089,DG!A:D,DG!$C$2,)</f>
        <v>Kẹp treo cáp ABC4x95mm2</v>
      </c>
      <c r="G2089" s="1044" t="str">
        <f>VLOOKUP($B2089,DG!A:D,DG!$D$2,)</f>
        <v>cái</v>
      </c>
      <c r="H2089" s="1823">
        <f t="shared" si="384"/>
        <v>0</v>
      </c>
      <c r="I2089" s="1823"/>
      <c r="J2089" s="1823"/>
      <c r="K2089" s="1823"/>
      <c r="L2089" s="1823"/>
      <c r="M2089" s="1823"/>
      <c r="N2089" s="1823">
        <f t="shared" si="386"/>
        <v>0</v>
      </c>
      <c r="O2089" s="1823"/>
      <c r="P2089" s="1823">
        <f t="shared" si="385"/>
        <v>0</v>
      </c>
      <c r="Q2089" s="1053"/>
      <c r="R2089" s="1053"/>
      <c r="S2089" s="1053"/>
      <c r="T2089" s="2035">
        <f t="shared" si="378"/>
        <v>0</v>
      </c>
    </row>
    <row r="2090" spans="1:20" ht="22.2" hidden="1" customHeight="1">
      <c r="A2090" s="59"/>
      <c r="B2090" s="1577" t="s">
        <v>1696</v>
      </c>
      <c r="C2090" s="1013" t="str">
        <f t="shared" si="377"/>
        <v xml:space="preserve"> </v>
      </c>
      <c r="D2090" s="1548">
        <f>ppht!DC337</f>
        <v>0</v>
      </c>
      <c r="E2090" s="1044" t="str">
        <f>VLOOKUP($B2090,DG!A:D,DG!$B$2,)</f>
        <v>06.1201</v>
      </c>
      <c r="F2090" s="1056" t="str">
        <f>VLOOKUP($B2090,DG!A:D,DG!$C$2,)</f>
        <v>Kẹp treo cáp ABC4x70mm2</v>
      </c>
      <c r="G2090" s="1044" t="str">
        <f>VLOOKUP($B2090,DG!A:D,DG!$D$2,)</f>
        <v>cái</v>
      </c>
      <c r="H2090" s="1823">
        <f t="shared" si="384"/>
        <v>0</v>
      </c>
      <c r="I2090" s="1823"/>
      <c r="J2090" s="1823"/>
      <c r="K2090" s="1823"/>
      <c r="L2090" s="1823"/>
      <c r="M2090" s="1823"/>
      <c r="N2090" s="1823">
        <f t="shared" si="386"/>
        <v>0</v>
      </c>
      <c r="O2090" s="1823"/>
      <c r="P2090" s="1823">
        <f t="shared" si="385"/>
        <v>0</v>
      </c>
      <c r="Q2090" s="1053"/>
      <c r="R2090" s="1053"/>
      <c r="S2090" s="1053"/>
      <c r="T2090" s="2035">
        <f t="shared" si="378"/>
        <v>0</v>
      </c>
    </row>
    <row r="2091" spans="1:20" ht="22.2" hidden="1" customHeight="1">
      <c r="A2091" s="59"/>
      <c r="B2091" s="1577" t="s">
        <v>1697</v>
      </c>
      <c r="C2091" s="1013" t="str">
        <f t="shared" si="377"/>
        <v xml:space="preserve"> </v>
      </c>
      <c r="D2091" s="1548">
        <f>ppht!DD337</f>
        <v>0</v>
      </c>
      <c r="E2091" s="1044"/>
      <c r="F2091" s="1056" t="str">
        <f>VLOOKUP($B2091,DG!A:D,DG!$C$2,)</f>
        <v>Kẹp treo cáp ABC4x50mm2</v>
      </c>
      <c r="G2091" s="1044" t="str">
        <f>VLOOKUP($B2091,DG!A:D,DG!$D$2,)</f>
        <v>cái</v>
      </c>
      <c r="H2091" s="1823">
        <f t="shared" si="384"/>
        <v>0</v>
      </c>
      <c r="I2091" s="1823"/>
      <c r="J2091" s="1823"/>
      <c r="K2091" s="1823"/>
      <c r="L2091" s="1823"/>
      <c r="M2091" s="1823"/>
      <c r="N2091" s="1823">
        <f t="shared" si="386"/>
        <v>0</v>
      </c>
      <c r="O2091" s="1823"/>
      <c r="P2091" s="1823">
        <f t="shared" si="385"/>
        <v>0</v>
      </c>
      <c r="Q2091" s="1053"/>
      <c r="R2091" s="1053"/>
      <c r="S2091" s="1053"/>
      <c r="T2091" s="2035">
        <f t="shared" si="378"/>
        <v>0</v>
      </c>
    </row>
    <row r="2092" spans="1:20" ht="22.2" hidden="1" customHeight="1">
      <c r="A2092" s="59"/>
      <c r="B2092" s="1607" t="s">
        <v>1738</v>
      </c>
      <c r="C2092" s="1013" t="str">
        <f t="shared" si="377"/>
        <v xml:space="preserve"> </v>
      </c>
      <c r="D2092" s="1535">
        <f>ppht!DO337</f>
        <v>0</v>
      </c>
      <c r="E2092" s="1044"/>
      <c r="F2092" s="1056" t="str">
        <f>VLOOKUP($B2092,DG!A:D,DG!$C$2,)</f>
        <v>Móc treo chữ A</v>
      </c>
      <c r="G2092" s="1044" t="str">
        <f>VLOOKUP($B2092,DG!A:D,DG!$D$2,)</f>
        <v>cái</v>
      </c>
      <c r="H2092" s="1823">
        <f t="shared" si="384"/>
        <v>0</v>
      </c>
      <c r="I2092" s="1823"/>
      <c r="J2092" s="1823"/>
      <c r="K2092" s="1823"/>
      <c r="L2092" s="1823"/>
      <c r="M2092" s="1823"/>
      <c r="N2092" s="1823">
        <f t="shared" si="386"/>
        <v>0</v>
      </c>
      <c r="O2092" s="1823"/>
      <c r="P2092" s="1823">
        <f t="shared" si="385"/>
        <v>0</v>
      </c>
      <c r="Q2092" s="1053"/>
      <c r="R2092" s="1053"/>
      <c r="S2092" s="1053"/>
      <c r="T2092" s="2035">
        <f t="shared" si="378"/>
        <v>0</v>
      </c>
    </row>
    <row r="2093" spans="1:20" ht="22.2" hidden="1" customHeight="1">
      <c r="A2093" s="59"/>
      <c r="B2093" s="1577" t="s">
        <v>2225</v>
      </c>
      <c r="C2093" s="1013" t="str">
        <f t="shared" si="377"/>
        <v xml:space="preserve"> </v>
      </c>
      <c r="D2093" s="1535">
        <f>ppht!DE337</f>
        <v>0</v>
      </c>
      <c r="E2093" s="1044"/>
      <c r="F2093" s="1056" t="str">
        <f>VLOOKUP($B2093,DG!A:D,DG!$C$2,)</f>
        <v>Kẹp ngừng cáp ABC4x150mm2</v>
      </c>
      <c r="G2093" s="1044" t="str">
        <f>VLOOKUP($B2093,DG!A:D,DG!$D$2,)</f>
        <v>cái</v>
      </c>
      <c r="H2093" s="1823">
        <f t="shared" si="384"/>
        <v>0</v>
      </c>
      <c r="I2093" s="1823"/>
      <c r="J2093" s="1823"/>
      <c r="K2093" s="1823"/>
      <c r="L2093" s="1823"/>
      <c r="M2093" s="1823"/>
      <c r="N2093" s="1823">
        <f t="shared" si="386"/>
        <v>0</v>
      </c>
      <c r="O2093" s="1823"/>
      <c r="P2093" s="1823">
        <f t="shared" si="385"/>
        <v>0</v>
      </c>
      <c r="Q2093" s="1053"/>
      <c r="R2093" s="1053"/>
      <c r="S2093" s="1053"/>
      <c r="T2093" s="2035">
        <f t="shared" si="378"/>
        <v>0</v>
      </c>
    </row>
    <row r="2094" spans="1:20" ht="22.2" hidden="1" customHeight="1">
      <c r="A2094" s="59"/>
      <c r="B2094" s="1607" t="s">
        <v>1432</v>
      </c>
      <c r="C2094" s="1013" t="str">
        <f t="shared" si="377"/>
        <v xml:space="preserve"> </v>
      </c>
      <c r="D2094" s="1535">
        <f>ppht!DF337</f>
        <v>0</v>
      </c>
      <c r="E2094" s="1044"/>
      <c r="F2094" s="1056" t="str">
        <f>VLOOKUP($B2094,DG!A:D,DG!$C$2,)</f>
        <v>Kẹp ngừng cáp ABC4x95mm2</v>
      </c>
      <c r="G2094" s="1044" t="str">
        <f>VLOOKUP($B2094,DG!A:D,DG!$D$2,)</f>
        <v>cái</v>
      </c>
      <c r="H2094" s="1823">
        <f t="shared" si="384"/>
        <v>0</v>
      </c>
      <c r="I2094" s="1823"/>
      <c r="J2094" s="1823"/>
      <c r="K2094" s="1823"/>
      <c r="L2094" s="1823"/>
      <c r="M2094" s="1823"/>
      <c r="N2094" s="1823">
        <f t="shared" si="386"/>
        <v>0</v>
      </c>
      <c r="O2094" s="1823"/>
      <c r="P2094" s="1823">
        <f t="shared" si="385"/>
        <v>0</v>
      </c>
      <c r="Q2094" s="1053"/>
      <c r="R2094" s="1053"/>
      <c r="S2094" s="1053"/>
      <c r="T2094" s="2035">
        <f t="shared" si="378"/>
        <v>0</v>
      </c>
    </row>
    <row r="2095" spans="1:20" ht="22.2" hidden="1" customHeight="1">
      <c r="A2095" s="59"/>
      <c r="B2095" s="1577" t="s">
        <v>2264</v>
      </c>
      <c r="C2095" s="1013" t="str">
        <f t="shared" si="377"/>
        <v xml:space="preserve"> </v>
      </c>
      <c r="D2095" s="1535">
        <f>ppht!DG337</f>
        <v>0</v>
      </c>
      <c r="E2095" s="1044" t="str">
        <f>VLOOKUP($B2095,DG!A:D,DG!$B$2,)</f>
        <v>06.1201</v>
      </c>
      <c r="F2095" s="1056" t="str">
        <f>VLOOKUP($B2095,DG!A:D,DG!$C$2,)</f>
        <v>Kẹp ngừng cáp ABC4x70mm2</v>
      </c>
      <c r="G2095" s="1044" t="str">
        <f>VLOOKUP($B2095,DG!A:D,DG!$D$2,)</f>
        <v>cái</v>
      </c>
      <c r="H2095" s="1823">
        <f t="shared" si="384"/>
        <v>0</v>
      </c>
      <c r="I2095" s="1823"/>
      <c r="J2095" s="1823"/>
      <c r="K2095" s="1823"/>
      <c r="L2095" s="1823"/>
      <c r="M2095" s="1823"/>
      <c r="N2095" s="1823">
        <f t="shared" si="386"/>
        <v>0</v>
      </c>
      <c r="O2095" s="1823"/>
      <c r="P2095" s="1823">
        <f t="shared" si="385"/>
        <v>0</v>
      </c>
      <c r="Q2095" s="1053"/>
      <c r="R2095" s="1053"/>
      <c r="S2095" s="1053"/>
      <c r="T2095" s="2035">
        <f t="shared" si="378"/>
        <v>0</v>
      </c>
    </row>
    <row r="2096" spans="1:20" ht="22.2" hidden="1" customHeight="1">
      <c r="A2096" s="59"/>
      <c r="B2096" s="1577" t="s">
        <v>313</v>
      </c>
      <c r="C2096" s="1013" t="str">
        <f t="shared" si="377"/>
        <v xml:space="preserve"> </v>
      </c>
      <c r="D2096" s="1535">
        <f>ppht!DH337</f>
        <v>0</v>
      </c>
      <c r="E2096" s="1044"/>
      <c r="F2096" s="1056" t="str">
        <f>VLOOKUP($B2096,DG!A:D,DG!$C$2,)</f>
        <v>Kẹp ngừng cáp ABC4x50mm2</v>
      </c>
      <c r="G2096" s="1044" t="str">
        <f>VLOOKUP($B2096,DG!A:D,DG!$D$2,)</f>
        <v>cái</v>
      </c>
      <c r="H2096" s="1823">
        <f t="shared" si="384"/>
        <v>0</v>
      </c>
      <c r="I2096" s="1823"/>
      <c r="J2096" s="1823"/>
      <c r="K2096" s="1823"/>
      <c r="L2096" s="1823"/>
      <c r="M2096" s="1823"/>
      <c r="N2096" s="1823">
        <f t="shared" si="386"/>
        <v>0</v>
      </c>
      <c r="O2096" s="1823"/>
      <c r="P2096" s="1823">
        <f t="shared" si="385"/>
        <v>0</v>
      </c>
      <c r="Q2096" s="1053"/>
      <c r="R2096" s="1053"/>
      <c r="S2096" s="1053"/>
      <c r="T2096" s="2035">
        <f t="shared" si="378"/>
        <v>0</v>
      </c>
    </row>
    <row r="2097" spans="1:20" ht="22.2" hidden="1" customHeight="1">
      <c r="A2097" s="59"/>
      <c r="B2097" s="1577" t="s">
        <v>2226</v>
      </c>
      <c r="C2097" s="1013" t="str">
        <f t="shared" si="377"/>
        <v xml:space="preserve"> </v>
      </c>
      <c r="D2097" s="1535">
        <f>ppht!CV337</f>
        <v>0</v>
      </c>
      <c r="E2097" s="1044"/>
      <c r="F2097" s="1056" t="str">
        <f>VLOOKUP($B2097,DG!A:D,DG!$C$2,)</f>
        <v>Nắp bịt đầu cáp ABC150mm2</v>
      </c>
      <c r="G2097" s="1044" t="str">
        <f>VLOOKUP($B2097,DG!A:D,DG!$D$2,)</f>
        <v>cái</v>
      </c>
      <c r="H2097" s="1823">
        <f t="shared" si="384"/>
        <v>0</v>
      </c>
      <c r="I2097" s="1823"/>
      <c r="J2097" s="1823"/>
      <c r="K2097" s="1823"/>
      <c r="L2097" s="1823"/>
      <c r="M2097" s="1823"/>
      <c r="N2097" s="1823">
        <f t="shared" si="386"/>
        <v>0</v>
      </c>
      <c r="O2097" s="1823"/>
      <c r="P2097" s="1823">
        <f t="shared" si="385"/>
        <v>0</v>
      </c>
      <c r="Q2097" s="1053"/>
      <c r="R2097" s="1053"/>
      <c r="S2097" s="1053"/>
      <c r="T2097" s="2035">
        <f t="shared" ref="T2097:T2160" si="387">IFERROR(HLOOKUP(B2097,BangKeTru,3,0),0)</f>
        <v>0</v>
      </c>
    </row>
    <row r="2098" spans="1:20" ht="22.2" hidden="1" customHeight="1">
      <c r="A2098" s="59"/>
      <c r="B2098" s="1577" t="s">
        <v>858</v>
      </c>
      <c r="C2098" s="1013" t="str">
        <f t="shared" si="377"/>
        <v xml:space="preserve"> </v>
      </c>
      <c r="D2098" s="1535">
        <f>ppht!CW337</f>
        <v>0</v>
      </c>
      <c r="E2098" s="1044"/>
      <c r="F2098" s="1056" t="str">
        <f>VLOOKUP($B2098,DG!A:D,DG!$C$2,)</f>
        <v>Nắp bịt đầu cáp ABC95mm2</v>
      </c>
      <c r="G2098" s="1044" t="str">
        <f>VLOOKUP($B2098,DG!A:D,DG!$D$2,)</f>
        <v>cái</v>
      </c>
      <c r="H2098" s="1823">
        <f t="shared" si="384"/>
        <v>0</v>
      </c>
      <c r="I2098" s="1823"/>
      <c r="J2098" s="1823"/>
      <c r="K2098" s="1823"/>
      <c r="L2098" s="1823"/>
      <c r="M2098" s="1823"/>
      <c r="N2098" s="1823">
        <f t="shared" si="386"/>
        <v>0</v>
      </c>
      <c r="O2098" s="1823"/>
      <c r="P2098" s="1823">
        <f t="shared" si="385"/>
        <v>0</v>
      </c>
      <c r="Q2098" s="1053"/>
      <c r="R2098" s="1053"/>
      <c r="S2098" s="1053"/>
      <c r="T2098" s="2035">
        <f t="shared" si="387"/>
        <v>0</v>
      </c>
    </row>
    <row r="2099" spans="1:20" ht="22.2" hidden="1" customHeight="1">
      <c r="A2099" s="59"/>
      <c r="B2099" s="1577" t="s">
        <v>859</v>
      </c>
      <c r="C2099" s="1013" t="str">
        <f t="shared" si="377"/>
        <v xml:space="preserve"> </v>
      </c>
      <c r="D2099" s="1535">
        <f>ppht!CX337</f>
        <v>0</v>
      </c>
      <c r="E2099" s="1044"/>
      <c r="F2099" s="1056" t="str">
        <f>VLOOKUP($B2099,DG!A:D,DG!$C$2,)</f>
        <v>Nắp bịt đầu cáp ABC70mm2</v>
      </c>
      <c r="G2099" s="1044" t="str">
        <f>VLOOKUP($B2099,DG!A:D,DG!$D$2,)</f>
        <v>cái</v>
      </c>
      <c r="H2099" s="1823">
        <f t="shared" si="384"/>
        <v>0</v>
      </c>
      <c r="I2099" s="1823"/>
      <c r="J2099" s="1823"/>
      <c r="K2099" s="1823"/>
      <c r="L2099" s="1823"/>
      <c r="M2099" s="1823"/>
      <c r="N2099" s="1823">
        <f t="shared" si="386"/>
        <v>0</v>
      </c>
      <c r="O2099" s="1823"/>
      <c r="P2099" s="1823">
        <f t="shared" si="385"/>
        <v>0</v>
      </c>
      <c r="Q2099" s="1053"/>
      <c r="R2099" s="1053"/>
      <c r="S2099" s="1053"/>
      <c r="T2099" s="2035">
        <f t="shared" si="387"/>
        <v>0</v>
      </c>
    </row>
    <row r="2100" spans="1:20" ht="22.2" hidden="1" customHeight="1">
      <c r="A2100" s="59"/>
      <c r="B2100" s="1577" t="s">
        <v>860</v>
      </c>
      <c r="C2100" s="1013" t="str">
        <f t="shared" si="377"/>
        <v xml:space="preserve"> </v>
      </c>
      <c r="D2100" s="1535">
        <f>ppht!CZ341</f>
        <v>0</v>
      </c>
      <c r="E2100" s="1044"/>
      <c r="F2100" s="1056" t="str">
        <f>VLOOKUP($B2100,DG!A:D,DG!$C$2,)</f>
        <v>Nắp bịt đầu cáp ABC50mm2</v>
      </c>
      <c r="G2100" s="1044" t="str">
        <f>VLOOKUP($B2100,DG!A:D,DG!$D$2,)</f>
        <v>cái</v>
      </c>
      <c r="H2100" s="1823">
        <f t="shared" si="384"/>
        <v>0</v>
      </c>
      <c r="I2100" s="1823"/>
      <c r="J2100" s="1823"/>
      <c r="K2100" s="1823"/>
      <c r="L2100" s="1823"/>
      <c r="M2100" s="1823"/>
      <c r="N2100" s="1823">
        <f t="shared" si="386"/>
        <v>0</v>
      </c>
      <c r="O2100" s="1823"/>
      <c r="P2100" s="1823">
        <f t="shared" si="385"/>
        <v>0</v>
      </c>
      <c r="Q2100" s="1053"/>
      <c r="R2100" s="1053"/>
      <c r="S2100" s="1053"/>
      <c r="T2100" s="2035">
        <f t="shared" si="387"/>
        <v>0</v>
      </c>
    </row>
    <row r="2101" spans="1:20" ht="22.2" hidden="1" customHeight="1">
      <c r="A2101" s="59"/>
      <c r="B2101" s="1577" t="s">
        <v>4317</v>
      </c>
      <c r="C2101" s="1013" t="str">
        <f t="shared" si="377"/>
        <v xml:space="preserve"> </v>
      </c>
      <c r="D2101" s="1535">
        <f>+ppht!CY341</f>
        <v>0</v>
      </c>
      <c r="E2101" s="1044"/>
      <c r="F2101" s="1056" t="str">
        <f>VLOOKUP($B2101,DG!A:D,DG!$C$2,)</f>
        <v>Nắp bịt đầu cáp 35mm2</v>
      </c>
      <c r="G2101" s="1044" t="str">
        <f>VLOOKUP($B2101,DG!A:D,DG!$D$2,)</f>
        <v>cái</v>
      </c>
      <c r="H2101" s="1823">
        <f t="shared" si="384"/>
        <v>0</v>
      </c>
      <c r="I2101" s="1823"/>
      <c r="J2101" s="1823"/>
      <c r="K2101" s="1823"/>
      <c r="L2101" s="1823"/>
      <c r="M2101" s="1823"/>
      <c r="N2101" s="1823">
        <f t="shared" si="386"/>
        <v>0</v>
      </c>
      <c r="O2101" s="1823"/>
      <c r="P2101" s="1823">
        <f t="shared" si="385"/>
        <v>0</v>
      </c>
      <c r="Q2101" s="1053"/>
      <c r="R2101" s="1053"/>
      <c r="S2101" s="1053"/>
      <c r="T2101" s="2035">
        <f t="shared" si="387"/>
        <v>0</v>
      </c>
    </row>
    <row r="2102" spans="1:20" ht="22.2" hidden="1" customHeight="1">
      <c r="A2102" s="59"/>
      <c r="B2102" s="1590" t="s">
        <v>905</v>
      </c>
      <c r="C2102" s="1013" t="str">
        <f t="shared" si="377"/>
        <v xml:space="preserve"> </v>
      </c>
      <c r="D2102" s="1535"/>
      <c r="E2102" s="1044"/>
      <c r="F2102" s="1056" t="str">
        <f>VLOOKUP($B2102,DG!A:D,DG!$C$2,)</f>
        <v>Kẹp ép WR cỡ dây 50mm2</v>
      </c>
      <c r="G2102" s="1044" t="str">
        <f>VLOOKUP($B2102,DG!A:D,DG!$D$2,)</f>
        <v>cái</v>
      </c>
      <c r="H2102" s="1823">
        <f t="shared" si="384"/>
        <v>0</v>
      </c>
      <c r="I2102" s="1823"/>
      <c r="J2102" s="1823"/>
      <c r="K2102" s="1823"/>
      <c r="L2102" s="1823"/>
      <c r="M2102" s="1823"/>
      <c r="N2102" s="1823"/>
      <c r="O2102" s="1823"/>
      <c r="P2102" s="1823">
        <f t="shared" si="385"/>
        <v>0</v>
      </c>
      <c r="Q2102" s="1058"/>
      <c r="R2102" s="1058"/>
      <c r="S2102" s="1058"/>
      <c r="T2102" s="2035">
        <f t="shared" si="387"/>
        <v>0</v>
      </c>
    </row>
    <row r="2103" spans="1:20" ht="22.2" hidden="1" customHeight="1">
      <c r="A2103" s="59"/>
      <c r="B2103" s="1608" t="s">
        <v>4316</v>
      </c>
      <c r="C2103" s="1013" t="str">
        <f t="shared" si="377"/>
        <v xml:space="preserve"> </v>
      </c>
      <c r="D2103" s="1535"/>
      <c r="E2103" s="1044"/>
      <c r="F2103" s="1413" t="str">
        <f>VLOOKUP($B2103,DG!A:D,DG!$C$2,)</f>
        <v>Bộ tiếp địa cố định cáp ABC</v>
      </c>
      <c r="G2103" s="1044" t="str">
        <f>VLOOKUP($B2103,DG!A:D,DG!$D$2,)</f>
        <v>bộ</v>
      </c>
      <c r="H2103" s="1823">
        <f t="shared" si="384"/>
        <v>0</v>
      </c>
      <c r="I2103" s="1823"/>
      <c r="J2103" s="1823"/>
      <c r="K2103" s="1823"/>
      <c r="L2103" s="1823"/>
      <c r="M2103" s="1823"/>
      <c r="N2103" s="1823"/>
      <c r="O2103" s="1823"/>
      <c r="P2103" s="1823">
        <f t="shared" si="385"/>
        <v>0</v>
      </c>
      <c r="Q2103" s="1053"/>
      <c r="R2103" s="1053"/>
      <c r="S2103" s="1053"/>
      <c r="T2103" s="2035">
        <f t="shared" si="387"/>
        <v>0</v>
      </c>
    </row>
    <row r="2104" spans="1:20" ht="22.2" hidden="1" customHeight="1">
      <c r="A2104" s="59"/>
      <c r="B2104" s="1577" t="s">
        <v>1626</v>
      </c>
      <c r="C2104" s="1013" t="str">
        <f>IF(OR(P2104&lt;&gt;0,H2104&lt;&gt;0),"x"," ")</f>
        <v xml:space="preserve"> </v>
      </c>
      <c r="D2104" s="1535"/>
      <c r="E2104" s="1044"/>
      <c r="F2104" s="1413" t="str">
        <f>VLOOKUP($B2104,DG!A:D,DG!$C$2,)</f>
        <v>Cáp đồng bọc CV70</v>
      </c>
      <c r="G2104" s="1044" t="str">
        <f>VLOOKUP($B2104,DG!A:D,DG!$D$2,)</f>
        <v>mét</v>
      </c>
      <c r="H2104" s="1823">
        <f t="shared" si="384"/>
        <v>0</v>
      </c>
      <c r="I2104" s="1823"/>
      <c r="J2104" s="1823"/>
      <c r="K2104" s="1823"/>
      <c r="L2104" s="1823"/>
      <c r="M2104" s="1823"/>
      <c r="N2104" s="1823"/>
      <c r="O2104" s="1823"/>
      <c r="P2104" s="1823">
        <f>H2104+Q2104-R2104</f>
        <v>0</v>
      </c>
      <c r="Q2104" s="1053"/>
      <c r="R2104" s="1053"/>
      <c r="S2104" s="1053"/>
      <c r="T2104" s="2035">
        <f t="shared" si="387"/>
        <v>0</v>
      </c>
    </row>
    <row r="2105" spans="1:20" ht="22.2" hidden="1" customHeight="1">
      <c r="A2105" s="59"/>
      <c r="B2105" s="1577" t="s">
        <v>4165</v>
      </c>
      <c r="C2105" s="1013" t="str">
        <f>IF(OR(P2105&lt;&gt;0,H2105&lt;&gt;0),"x"," ")</f>
        <v xml:space="preserve"> </v>
      </c>
      <c r="D2105" s="1535"/>
      <c r="E2105" s="1044"/>
      <c r="F2105" s="1413" t="str">
        <f>VLOOKUP($B2105,DG!A:D,DG!$C$2,)</f>
        <v>Hộp phân đoạn MCCB 3 cực 400V-125A - 30KA</v>
      </c>
      <c r="G2105" s="1044" t="str">
        <f>VLOOKUP($B2105,DG!A:D,DG!$D$2,)</f>
        <v>hộp</v>
      </c>
      <c r="H2105" s="1823">
        <f t="shared" si="384"/>
        <v>0</v>
      </c>
      <c r="I2105" s="1823"/>
      <c r="J2105" s="1823"/>
      <c r="K2105" s="1823"/>
      <c r="L2105" s="1823"/>
      <c r="M2105" s="1823"/>
      <c r="N2105" s="1823"/>
      <c r="O2105" s="1823"/>
      <c r="P2105" s="1823">
        <f>H2105+Q2105-R2105</f>
        <v>0</v>
      </c>
      <c r="Q2105" s="1053"/>
      <c r="R2105" s="1053"/>
      <c r="S2105" s="1053"/>
      <c r="T2105" s="2035">
        <f t="shared" si="387"/>
        <v>0</v>
      </c>
    </row>
    <row r="2106" spans="1:20" ht="22.2" hidden="1" customHeight="1">
      <c r="A2106" s="59"/>
      <c r="B2106" s="1577" t="s">
        <v>1422</v>
      </c>
      <c r="C2106" s="1013" t="str">
        <f>IF(OR(P2106&lt;&gt;0,H2106&lt;&gt;0),"x"," ")</f>
        <v xml:space="preserve"> </v>
      </c>
      <c r="D2106" s="1535"/>
      <c r="E2106" s="1044"/>
      <c r="F2106" s="1413" t="str">
        <f>VLOOKUP($B2106,DG!A:D,DG!$C$2,)</f>
        <v>MCCB 3 cực 400V -125A - 30KA</v>
      </c>
      <c r="G2106" s="1044" t="str">
        <f>VLOOKUP($B2106,DG!A:D,DG!$D$2,)</f>
        <v>cái</v>
      </c>
      <c r="H2106" s="1823">
        <f t="shared" si="384"/>
        <v>0</v>
      </c>
      <c r="I2106" s="1823"/>
      <c r="J2106" s="1823"/>
      <c r="K2106" s="1823"/>
      <c r="L2106" s="1823"/>
      <c r="M2106" s="1823"/>
      <c r="N2106" s="1823"/>
      <c r="O2106" s="1823"/>
      <c r="P2106" s="1823">
        <f>H2106+Q2106-R2106</f>
        <v>0</v>
      </c>
      <c r="Q2106" s="1053"/>
      <c r="R2106" s="1053"/>
      <c r="S2106" s="1053"/>
      <c r="T2106" s="2035">
        <f t="shared" si="387"/>
        <v>0</v>
      </c>
    </row>
    <row r="2107" spans="1:20" ht="22.2" hidden="1" customHeight="1">
      <c r="A2107" s="59"/>
      <c r="B2107" s="1577" t="s">
        <v>1470</v>
      </c>
      <c r="C2107" s="1013" t="str">
        <f>IF(OR(P2107&lt;&gt;0,H2107&lt;&gt;0),"x"," ")</f>
        <v xml:space="preserve"> </v>
      </c>
      <c r="D2107" s="1548">
        <f>ppht!DM337</f>
        <v>0</v>
      </c>
      <c r="E2107" s="1044"/>
      <c r="F2107" s="1056" t="str">
        <f>VLOOKUP($B2107,DG!A:D,DG!$C$2,)</f>
        <v xml:space="preserve">Móc dừng </v>
      </c>
      <c r="G2107" s="1044" t="str">
        <f>VLOOKUP($B2107,DG!A:D,DG!$D$2,)</f>
        <v>cái</v>
      </c>
      <c r="H2107" s="1823">
        <f t="shared" si="384"/>
        <v>0</v>
      </c>
      <c r="I2107" s="1823"/>
      <c r="J2107" s="1823"/>
      <c r="K2107" s="1823"/>
      <c r="L2107" s="1823"/>
      <c r="M2107" s="1823"/>
      <c r="N2107" s="1823">
        <f t="shared" ref="N2107:N2133" si="388">D2107</f>
        <v>0</v>
      </c>
      <c r="O2107" s="1823"/>
      <c r="P2107" s="1823">
        <f>H2107+Q2107-R2107</f>
        <v>0</v>
      </c>
      <c r="Q2107" s="1053"/>
      <c r="R2107" s="1053"/>
      <c r="S2107" s="1053"/>
      <c r="T2107" s="2035">
        <f t="shared" si="387"/>
        <v>0</v>
      </c>
    </row>
    <row r="2108" spans="1:20" ht="22.2" hidden="1" customHeight="1">
      <c r="A2108" s="59"/>
      <c r="B2108" s="1577" t="s">
        <v>2028</v>
      </c>
      <c r="C2108" s="1013" t="str">
        <f>IF(OR(P2108&lt;&gt;0,H2108&lt;&gt;0),"x"," ")</f>
        <v xml:space="preserve"> </v>
      </c>
      <c r="D2108" s="1548"/>
      <c r="E2108" s="1044"/>
      <c r="F2108" s="1056" t="str">
        <f>VLOOKUP($B2108,DG!A:D,DG!$C$2,)</f>
        <v xml:space="preserve">Móc đơn treo cáp </v>
      </c>
      <c r="G2108" s="1044" t="str">
        <f>VLOOKUP($B2108,DG!A:D,DG!$D$2,)</f>
        <v>cái</v>
      </c>
      <c r="H2108" s="1823">
        <f t="shared" si="384"/>
        <v>0</v>
      </c>
      <c r="I2108" s="1823"/>
      <c r="J2108" s="1823"/>
      <c r="K2108" s="1823"/>
      <c r="L2108" s="1823"/>
      <c r="M2108" s="1823"/>
      <c r="N2108" s="1823">
        <f t="shared" si="388"/>
        <v>0</v>
      </c>
      <c r="O2108" s="1823"/>
      <c r="P2108" s="1823">
        <f>H2108+Q2108-R2108</f>
        <v>0</v>
      </c>
      <c r="Q2108" s="1053"/>
      <c r="R2108" s="1053"/>
      <c r="S2108" s="1053"/>
      <c r="T2108" s="2035">
        <f t="shared" si="387"/>
        <v>0</v>
      </c>
    </row>
    <row r="2109" spans="1:20" ht="22.2" hidden="1" customHeight="1">
      <c r="A2109" s="59"/>
      <c r="B2109" s="1577" t="s">
        <v>1494</v>
      </c>
      <c r="C2109" s="1013" t="str">
        <f t="shared" si="377"/>
        <v xml:space="preserve"> </v>
      </c>
      <c r="D2109" s="1548">
        <f>ppht!BY337</f>
        <v>0</v>
      </c>
      <c r="E2109" s="1044"/>
      <c r="F2109" s="1056" t="str">
        <f>VLOOKUP($B2109,DG!A:D,DG!$C$2,)</f>
        <v>Rack 2 sứ + sứ ống chỉ</v>
      </c>
      <c r="G2109" s="1044" t="str">
        <f>VLOOKUP($B2109,DG!A:D,DG!$D$2,)</f>
        <v>bộ</v>
      </c>
      <c r="H2109" s="1823">
        <f t="shared" si="384"/>
        <v>0</v>
      </c>
      <c r="I2109" s="1823"/>
      <c r="J2109" s="1823"/>
      <c r="K2109" s="1823"/>
      <c r="L2109" s="1823"/>
      <c r="M2109" s="1823"/>
      <c r="N2109" s="1823">
        <f t="shared" si="388"/>
        <v>0</v>
      </c>
      <c r="O2109" s="1823"/>
      <c r="P2109" s="1823">
        <f t="shared" si="385"/>
        <v>0</v>
      </c>
      <c r="Q2109" s="1053"/>
      <c r="R2109" s="1053"/>
      <c r="S2109" s="1053"/>
      <c r="T2109" s="2035">
        <f t="shared" si="387"/>
        <v>0</v>
      </c>
    </row>
    <row r="2110" spans="1:20" ht="22.2" hidden="1" customHeight="1">
      <c r="A2110" s="59"/>
      <c r="B2110" s="1577" t="s">
        <v>278</v>
      </c>
      <c r="C2110" s="1013" t="str">
        <f t="shared" si="377"/>
        <v xml:space="preserve"> </v>
      </c>
      <c r="D2110" s="1548">
        <f>ppht!BZ337</f>
        <v>0</v>
      </c>
      <c r="E2110" s="1044"/>
      <c r="F2110" s="1056" t="str">
        <f>VLOOKUP($B2110,DG!A:D,DG!$C$2,)</f>
        <v>Rack 3 sứ + sứ ống chỉ</v>
      </c>
      <c r="G2110" s="1044" t="str">
        <f>VLOOKUP($B2110,DG!A:D,DG!$D$2,)</f>
        <v>bộ</v>
      </c>
      <c r="H2110" s="1823">
        <f t="shared" si="384"/>
        <v>0</v>
      </c>
      <c r="I2110" s="1823"/>
      <c r="J2110" s="1823"/>
      <c r="K2110" s="1823"/>
      <c r="L2110" s="1823"/>
      <c r="M2110" s="1823"/>
      <c r="N2110" s="1823">
        <f t="shared" si="388"/>
        <v>0</v>
      </c>
      <c r="O2110" s="1823"/>
      <c r="P2110" s="1823">
        <f t="shared" si="385"/>
        <v>0</v>
      </c>
      <c r="Q2110" s="1053"/>
      <c r="R2110" s="1053"/>
      <c r="S2110" s="1053"/>
      <c r="T2110" s="2035">
        <f t="shared" si="387"/>
        <v>0</v>
      </c>
    </row>
    <row r="2111" spans="1:20" ht="22.2" hidden="1" customHeight="1">
      <c r="A2111" s="59"/>
      <c r="B2111" s="1577" t="s">
        <v>1453</v>
      </c>
      <c r="C2111" s="1013" t="str">
        <f t="shared" si="377"/>
        <v xml:space="preserve"> </v>
      </c>
      <c r="D2111" s="1548">
        <f>ppht!CA337</f>
        <v>0</v>
      </c>
      <c r="E2111" s="1044"/>
      <c r="F2111" s="1056" t="str">
        <f>VLOOKUP($B2111,DG!A:D,DG!$C$2,)</f>
        <v>Rack 4 sứ + sứ ống chỉ</v>
      </c>
      <c r="G2111" s="1044" t="str">
        <f>VLOOKUP($B2111,DG!A:D,DG!$D$2,)</f>
        <v>bộ</v>
      </c>
      <c r="H2111" s="1823">
        <f t="shared" si="384"/>
        <v>0</v>
      </c>
      <c r="I2111" s="1823"/>
      <c r="J2111" s="1823"/>
      <c r="K2111" s="1823"/>
      <c r="L2111" s="1823"/>
      <c r="M2111" s="1823"/>
      <c r="N2111" s="1823">
        <f t="shared" si="388"/>
        <v>0</v>
      </c>
      <c r="O2111" s="1823"/>
      <c r="P2111" s="1823">
        <f t="shared" si="385"/>
        <v>0</v>
      </c>
      <c r="Q2111" s="1053"/>
      <c r="R2111" s="1053"/>
      <c r="S2111" s="1053"/>
      <c r="T2111" s="2035">
        <f t="shared" si="387"/>
        <v>0</v>
      </c>
    </row>
    <row r="2112" spans="1:20" ht="22.2" hidden="1" customHeight="1">
      <c r="A2112" s="59"/>
      <c r="B2112" s="1577" t="s">
        <v>917</v>
      </c>
      <c r="C2112" s="1013" t="str">
        <f t="shared" si="377"/>
        <v xml:space="preserve"> </v>
      </c>
      <c r="D2112" s="1551"/>
      <c r="E2112" s="1044" t="str">
        <f>VLOOKUP($B2112,DG!A:D,DG!$B$2,)</f>
        <v>05.1101</v>
      </c>
      <c r="F2112" s="1395" t="str">
        <f>VLOOKUP($B2112,DG!A:D,DG!$C$2,)</f>
        <v>Tủ phân phối hạ thế</v>
      </c>
      <c r="G2112" s="1044" t="str">
        <f>VLOOKUP($B2112,DG!A:D,DG!$D$2,)</f>
        <v>cái</v>
      </c>
      <c r="H2112" s="1823">
        <f t="shared" si="384"/>
        <v>0</v>
      </c>
      <c r="I2112" s="1823"/>
      <c r="J2112" s="1823"/>
      <c r="K2112" s="1823"/>
      <c r="L2112" s="1823"/>
      <c r="M2112" s="1823"/>
      <c r="N2112" s="1823">
        <f t="shared" si="388"/>
        <v>0</v>
      </c>
      <c r="O2112" s="1823"/>
      <c r="P2112" s="1823">
        <f t="shared" si="385"/>
        <v>0</v>
      </c>
      <c r="Q2112" s="1053"/>
      <c r="R2112" s="1053"/>
      <c r="S2112" s="1053"/>
      <c r="T2112" s="2035">
        <f t="shared" si="387"/>
        <v>0</v>
      </c>
    </row>
    <row r="2113" spans="1:20" ht="22.2" hidden="1" customHeight="1">
      <c r="A2113" s="59"/>
      <c r="B2113" s="1577" t="s">
        <v>2013</v>
      </c>
      <c r="C2113" s="1013" t="str">
        <f t="shared" si="377"/>
        <v xml:space="preserve"> </v>
      </c>
      <c r="D2113" s="1551"/>
      <c r="E2113" s="1044" t="str">
        <f>VLOOKUP($B2113,DG!A:D,DG!$B$2,)</f>
        <v>07.2404</v>
      </c>
      <c r="F2113" s="1395" t="str">
        <f>VLOOKUP($B2113,DG!A:D,DG!$C$2,)&amp;": 6m/tuû"</f>
        <v>Ống PVC D60x2,8mm: 6m/tuû</v>
      </c>
      <c r="G2113" s="1044" t="str">
        <f>VLOOKUP($B2113,DG!A:D,DG!$D$2,)</f>
        <v>m</v>
      </c>
      <c r="H2113" s="1823">
        <f t="shared" si="384"/>
        <v>0</v>
      </c>
      <c r="I2113" s="1823"/>
      <c r="J2113" s="1823"/>
      <c r="K2113" s="1823"/>
      <c r="L2113" s="1823"/>
      <c r="M2113" s="1823"/>
      <c r="N2113" s="1823">
        <f t="shared" si="388"/>
        <v>0</v>
      </c>
      <c r="O2113" s="1823"/>
      <c r="P2113" s="1823">
        <f t="shared" si="385"/>
        <v>0</v>
      </c>
      <c r="Q2113" s="1053"/>
      <c r="R2113" s="1053"/>
      <c r="S2113" s="1053"/>
      <c r="T2113" s="2035">
        <f t="shared" si="387"/>
        <v>0</v>
      </c>
    </row>
    <row r="2114" spans="1:20" ht="22.2" hidden="1" customHeight="1">
      <c r="A2114" s="59"/>
      <c r="B2114" s="1577" t="s">
        <v>1995</v>
      </c>
      <c r="C2114" s="1013" t="str">
        <f t="shared" si="377"/>
        <v xml:space="preserve"> </v>
      </c>
      <c r="D2114" s="1551"/>
      <c r="E2114" s="1044" t="str">
        <f>VLOOKUP($B2114,DG!A:D,DG!$B$2,)</f>
        <v>06.3231</v>
      </c>
      <c r="F2114" s="1395" t="str">
        <f>VLOOKUP($B2114,DG!A:D,DG!$C$2,)</f>
        <v>Cổ dê kẹp ống PVC Ø 60</v>
      </c>
      <c r="G2114" s="1044" t="str">
        <f>VLOOKUP($B2114,DG!A:D,DG!$D$2,)</f>
        <v>bộ</v>
      </c>
      <c r="H2114" s="1823">
        <f t="shared" ref="H2114:H2135" si="389">D2114</f>
        <v>0</v>
      </c>
      <c r="I2114" s="1823"/>
      <c r="J2114" s="1823"/>
      <c r="K2114" s="1823"/>
      <c r="L2114" s="1823"/>
      <c r="M2114" s="1823"/>
      <c r="N2114" s="1823">
        <f t="shared" si="388"/>
        <v>0</v>
      </c>
      <c r="O2114" s="1823"/>
      <c r="P2114" s="1823">
        <f t="shared" si="385"/>
        <v>0</v>
      </c>
      <c r="Q2114" s="1053"/>
      <c r="R2114" s="1053"/>
      <c r="S2114" s="1053"/>
      <c r="T2114" s="2035">
        <f t="shared" si="387"/>
        <v>0</v>
      </c>
    </row>
    <row r="2115" spans="1:20" ht="22.2" hidden="1" customHeight="1">
      <c r="A2115" s="59"/>
      <c r="B2115" s="1577" t="s">
        <v>1105</v>
      </c>
      <c r="C2115" s="1013" t="str">
        <f t="shared" ref="C2115:C2176" si="390">IF(OR(P2115&lt;&gt;0,H2115&lt;&gt;0),"x"," ")</f>
        <v xml:space="preserve"> </v>
      </c>
      <c r="D2115" s="1551"/>
      <c r="E2115" s="1044"/>
      <c r="F2115" s="1395" t="str">
        <f>VLOOKUP($B2115,DG!A:D,DG!$C$2,)&amp;": 3 caùi / tuû"</f>
        <v>Co 90 độ PVC 60: 3 caùi / tuû</v>
      </c>
      <c r="G2115" s="1044" t="str">
        <f>VLOOKUP($B2115,DG!A:D,DG!$D$2,)</f>
        <v>cái</v>
      </c>
      <c r="H2115" s="1823">
        <f t="shared" si="389"/>
        <v>0</v>
      </c>
      <c r="I2115" s="1823"/>
      <c r="J2115" s="1823"/>
      <c r="K2115" s="1823"/>
      <c r="L2115" s="1823"/>
      <c r="M2115" s="1823"/>
      <c r="N2115" s="1823">
        <f t="shared" si="388"/>
        <v>0</v>
      </c>
      <c r="O2115" s="1823"/>
      <c r="P2115" s="1823">
        <f t="shared" si="385"/>
        <v>0</v>
      </c>
      <c r="Q2115" s="1053"/>
      <c r="R2115" s="1053"/>
      <c r="S2115" s="1053"/>
      <c r="T2115" s="2035">
        <f t="shared" si="387"/>
        <v>0</v>
      </c>
    </row>
    <row r="2116" spans="1:20" ht="22.2" hidden="1" customHeight="1">
      <c r="A2116" s="59"/>
      <c r="B2116" s="1577" t="s">
        <v>1619</v>
      </c>
      <c r="C2116" s="1013" t="str">
        <f t="shared" si="390"/>
        <v xml:space="preserve"> </v>
      </c>
      <c r="D2116" s="1551"/>
      <c r="E2116" s="1044"/>
      <c r="F2116" s="1395" t="str">
        <f>VLOOKUP($B2116,DG!A:D,DG!$C$2,)&amp;": 6 caùi / tuû"</f>
        <v>Co 90 độ PVC 42: 6 caùi / tuû</v>
      </c>
      <c r="G2116" s="1044" t="str">
        <f>VLOOKUP($B2116,DG!A:D,DG!$D$2,)</f>
        <v>cái</v>
      </c>
      <c r="H2116" s="1823">
        <f t="shared" si="389"/>
        <v>0</v>
      </c>
      <c r="I2116" s="1823"/>
      <c r="J2116" s="1823"/>
      <c r="K2116" s="1823"/>
      <c r="L2116" s="1823"/>
      <c r="M2116" s="1823"/>
      <c r="N2116" s="1823">
        <f t="shared" si="388"/>
        <v>0</v>
      </c>
      <c r="O2116" s="1823"/>
      <c r="P2116" s="1823">
        <f t="shared" si="385"/>
        <v>0</v>
      </c>
      <c r="Q2116" s="1053"/>
      <c r="R2116" s="1053"/>
      <c r="S2116" s="1053"/>
      <c r="T2116" s="2035">
        <f t="shared" si="387"/>
        <v>0</v>
      </c>
    </row>
    <row r="2117" spans="1:20" ht="22.2" hidden="1" customHeight="1">
      <c r="A2117" s="59"/>
      <c r="B2117" s="1577" t="s">
        <v>2227</v>
      </c>
      <c r="C2117" s="1013" t="str">
        <f t="shared" si="390"/>
        <v xml:space="preserve"> </v>
      </c>
      <c r="D2117" s="1554"/>
      <c r="E2117" s="1044">
        <f>VLOOKUP($B2117,DG!A:D,DG!$B$2,)</f>
        <v>0</v>
      </c>
      <c r="F2117" s="1396" t="str">
        <f>VLOOKUP($B2117,DG!A:D,DG!$C$2,)&amp;": 8m töø CB ñaáu noái leân löôùi"</f>
        <v>Cáp nhôm ABC 4x150mm2: 8m töø CB ñaáu noái leân löôùi</v>
      </c>
      <c r="G2117" s="1044" t="str">
        <f>VLOOKUP($B2117,DG!A:D,DG!$D$2,)</f>
        <v>mét</v>
      </c>
      <c r="H2117" s="1823">
        <f t="shared" si="389"/>
        <v>0</v>
      </c>
      <c r="I2117" s="1823"/>
      <c r="J2117" s="1823"/>
      <c r="K2117" s="1823"/>
      <c r="L2117" s="1823"/>
      <c r="M2117" s="1823"/>
      <c r="N2117" s="1823">
        <f t="shared" si="388"/>
        <v>0</v>
      </c>
      <c r="O2117" s="1823"/>
      <c r="P2117" s="1823">
        <f t="shared" si="385"/>
        <v>0</v>
      </c>
      <c r="Q2117" s="1053"/>
      <c r="R2117" s="1053"/>
      <c r="S2117" s="1053"/>
      <c r="T2117" s="2035">
        <f t="shared" si="387"/>
        <v>0</v>
      </c>
    </row>
    <row r="2118" spans="1:20" ht="22.2" hidden="1" customHeight="1">
      <c r="A2118" s="59"/>
      <c r="B2118" s="1577" t="s">
        <v>584</v>
      </c>
      <c r="C2118" s="1013" t="str">
        <f t="shared" si="390"/>
        <v xml:space="preserve"> </v>
      </c>
      <c r="D2118" s="1554"/>
      <c r="E2118" s="1044">
        <f>VLOOKUP($B2118,DG!A:D,DG!$B$2,)</f>
        <v>0</v>
      </c>
      <c r="F2118" s="1396" t="str">
        <f>VLOOKUP($B2118,DG!A:D,DG!$C$2,)</f>
        <v xml:space="preserve">Ống PVC D114x4,9mm </v>
      </c>
      <c r="G2118" s="1044" t="str">
        <f>VLOOKUP($B2118,DG!A:D,DG!$D$2,)</f>
        <v>m</v>
      </c>
      <c r="H2118" s="1823">
        <f t="shared" si="389"/>
        <v>0</v>
      </c>
      <c r="I2118" s="1823"/>
      <c r="J2118" s="1823"/>
      <c r="K2118" s="1823"/>
      <c r="L2118" s="1823"/>
      <c r="M2118" s="1823"/>
      <c r="N2118" s="1823">
        <f t="shared" si="388"/>
        <v>0</v>
      </c>
      <c r="O2118" s="1823"/>
      <c r="P2118" s="1823">
        <f t="shared" si="385"/>
        <v>0</v>
      </c>
      <c r="Q2118" s="1053"/>
      <c r="R2118" s="1053"/>
      <c r="S2118" s="1053"/>
      <c r="T2118" s="2035">
        <f t="shared" si="387"/>
        <v>0</v>
      </c>
    </row>
    <row r="2119" spans="1:20" ht="22.2" hidden="1" customHeight="1">
      <c r="A2119" s="59"/>
      <c r="B2119" s="1577" t="s">
        <v>1349</v>
      </c>
      <c r="C2119" s="1013" t="str">
        <f t="shared" si="390"/>
        <v xml:space="preserve"> </v>
      </c>
      <c r="D2119" s="1554"/>
      <c r="E2119" s="1044">
        <f>VLOOKUP($B2119,DG!A:D,DG!$B$2,)</f>
        <v>0</v>
      </c>
      <c r="F2119" s="1396" t="str">
        <f>VLOOKUP($B2119,DG!A:D,DG!$C$2,)</f>
        <v>Co  90 độ PVC 114</v>
      </c>
      <c r="G2119" s="1044" t="str">
        <f>VLOOKUP($B2119,DG!A:D,DG!$D$2,)</f>
        <v>cái</v>
      </c>
      <c r="H2119" s="1823">
        <f t="shared" si="389"/>
        <v>0</v>
      </c>
      <c r="I2119" s="1823"/>
      <c r="J2119" s="1823"/>
      <c r="K2119" s="1823"/>
      <c r="L2119" s="1823"/>
      <c r="M2119" s="1823"/>
      <c r="N2119" s="1823">
        <f t="shared" si="388"/>
        <v>0</v>
      </c>
      <c r="O2119" s="1823"/>
      <c r="P2119" s="1823">
        <f t="shared" si="385"/>
        <v>0</v>
      </c>
      <c r="Q2119" s="1053"/>
      <c r="R2119" s="1053"/>
      <c r="S2119" s="1053"/>
      <c r="T2119" s="2035">
        <f t="shared" si="387"/>
        <v>0</v>
      </c>
    </row>
    <row r="2120" spans="1:20" ht="22.2" hidden="1" customHeight="1">
      <c r="A2120" s="59"/>
      <c r="B2120" s="1577" t="s">
        <v>731</v>
      </c>
      <c r="C2120" s="1013" t="str">
        <f t="shared" si="390"/>
        <v xml:space="preserve"> </v>
      </c>
      <c r="D2120" s="1554"/>
      <c r="E2120" s="1044" t="str">
        <f>VLOOKUP($B2120,DG!A:D,DG!$B$2,)</f>
        <v>06.3231</v>
      </c>
      <c r="F2120" s="1396" t="str">
        <f>VLOOKUP($B2120,DG!A:D,DG!$C$2,)</f>
        <v>Cổ dê kẹp ống PVC Ø 114</v>
      </c>
      <c r="G2120" s="1044" t="str">
        <f>VLOOKUP($B2120,DG!A:D,DG!$D$2,)</f>
        <v>bộ</v>
      </c>
      <c r="H2120" s="1823">
        <f t="shared" si="389"/>
        <v>0</v>
      </c>
      <c r="I2120" s="1823"/>
      <c r="J2120" s="1823"/>
      <c r="K2120" s="1823"/>
      <c r="L2120" s="1823"/>
      <c r="M2120" s="1823"/>
      <c r="N2120" s="1823">
        <f t="shared" si="388"/>
        <v>0</v>
      </c>
      <c r="O2120" s="1823"/>
      <c r="P2120" s="1823">
        <f t="shared" si="385"/>
        <v>0</v>
      </c>
      <c r="Q2120" s="1053"/>
      <c r="R2120" s="1053"/>
      <c r="S2120" s="1053"/>
      <c r="T2120" s="2035">
        <f t="shared" si="387"/>
        <v>0</v>
      </c>
    </row>
    <row r="2121" spans="1:20" ht="22.2" hidden="1" customHeight="1">
      <c r="A2121" s="59"/>
      <c r="B2121" s="1577" t="s">
        <v>1790</v>
      </c>
      <c r="C2121" s="1013" t="str">
        <f t="shared" si="390"/>
        <v xml:space="preserve"> </v>
      </c>
      <c r="D2121" s="1548"/>
      <c r="E2121" s="1044"/>
      <c r="F2121" s="1056" t="str">
        <f>VLOOKUP($B2121,DG!A:D,DG!$C$2,)</f>
        <v>Boulon 16x50+ 2 long đền vuông D18-50x50x3/Zn</v>
      </c>
      <c r="G2121" s="1044" t="str">
        <f>VLOOKUP($B2121,DG!A:D,DG!$D$2,)</f>
        <v>bộ</v>
      </c>
      <c r="H2121" s="1823">
        <f t="shared" si="389"/>
        <v>0</v>
      </c>
      <c r="I2121" s="1823"/>
      <c r="J2121" s="1823"/>
      <c r="K2121" s="1823"/>
      <c r="L2121" s="1823"/>
      <c r="M2121" s="1823"/>
      <c r="N2121" s="1823">
        <f t="shared" si="388"/>
        <v>0</v>
      </c>
      <c r="O2121" s="1823"/>
      <c r="P2121" s="1823">
        <f t="shared" si="385"/>
        <v>0</v>
      </c>
      <c r="Q2121" s="1053"/>
      <c r="R2121" s="1053"/>
      <c r="S2121" s="1053"/>
      <c r="T2121" s="2035">
        <f t="shared" si="387"/>
        <v>0</v>
      </c>
    </row>
    <row r="2122" spans="1:20" ht="22.2" hidden="1" customHeight="1">
      <c r="A2122" s="59"/>
      <c r="B2122" s="1577" t="s">
        <v>1612</v>
      </c>
      <c r="C2122" s="1013" t="str">
        <f t="shared" si="390"/>
        <v xml:space="preserve"> </v>
      </c>
      <c r="D2122" s="1548">
        <f>ppht!CB337</f>
        <v>0</v>
      </c>
      <c r="E2122" s="1044"/>
      <c r="F2122" s="1056" t="str">
        <f>VLOOKUP($B2122,DG!A:D,DG!$C$2,)</f>
        <v>Boulon 16x250+ 2 long đền vuông D18-50x50x3/Zn</v>
      </c>
      <c r="G2122" s="1044" t="str">
        <f>VLOOKUP($B2122,DG!A:D,DG!$D$2,)</f>
        <v>bộ</v>
      </c>
      <c r="H2122" s="1823">
        <f t="shared" si="389"/>
        <v>0</v>
      </c>
      <c r="I2122" s="1823"/>
      <c r="J2122" s="1823"/>
      <c r="K2122" s="1823"/>
      <c r="L2122" s="1823"/>
      <c r="M2122" s="1823"/>
      <c r="N2122" s="1823">
        <f t="shared" si="388"/>
        <v>0</v>
      </c>
      <c r="O2122" s="1823"/>
      <c r="P2122" s="1823">
        <f t="shared" si="385"/>
        <v>0</v>
      </c>
      <c r="Q2122" s="1053"/>
      <c r="R2122" s="1053"/>
      <c r="S2122" s="1053"/>
      <c r="T2122" s="2035">
        <f t="shared" si="387"/>
        <v>0</v>
      </c>
    </row>
    <row r="2123" spans="1:20" ht="22.2" hidden="1" customHeight="1">
      <c r="A2123" s="59"/>
      <c r="B2123" s="1577" t="s">
        <v>1613</v>
      </c>
      <c r="C2123" s="1013" t="str">
        <f t="shared" si="390"/>
        <v xml:space="preserve"> </v>
      </c>
      <c r="D2123" s="1548">
        <f>ppht!CC337</f>
        <v>0</v>
      </c>
      <c r="E2123" s="1044"/>
      <c r="F2123" s="1056" t="str">
        <f>VLOOKUP($B2123,DG!A:D,DG!$C$2,)</f>
        <v>Boulon 16x300+ 2 long đền vuông D18-50x50x3/Zn</v>
      </c>
      <c r="G2123" s="1044" t="str">
        <f>VLOOKUP($B2123,DG!A:D,DG!$D$2,)</f>
        <v>bộ</v>
      </c>
      <c r="H2123" s="1823">
        <f t="shared" si="389"/>
        <v>0</v>
      </c>
      <c r="I2123" s="1823"/>
      <c r="J2123" s="1823"/>
      <c r="K2123" s="1823"/>
      <c r="L2123" s="1823"/>
      <c r="M2123" s="1823"/>
      <c r="N2123" s="1823">
        <f t="shared" si="388"/>
        <v>0</v>
      </c>
      <c r="O2123" s="1823"/>
      <c r="P2123" s="1823">
        <f t="shared" si="385"/>
        <v>0</v>
      </c>
      <c r="Q2123" s="1053"/>
      <c r="R2123" s="1053"/>
      <c r="S2123" s="1053"/>
      <c r="T2123" s="2035">
        <f t="shared" si="387"/>
        <v>0</v>
      </c>
    </row>
    <row r="2124" spans="1:20" ht="22.2" hidden="1" customHeight="1">
      <c r="A2124" s="59"/>
      <c r="B2124" s="1577" t="s">
        <v>1079</v>
      </c>
      <c r="C2124" s="1013" t="str">
        <f t="shared" si="390"/>
        <v xml:space="preserve"> </v>
      </c>
      <c r="D2124" s="1548">
        <f>ppht!CD337</f>
        <v>0</v>
      </c>
      <c r="E2124" s="1044"/>
      <c r="F2124" s="1056" t="str">
        <f>VLOOKUP($B2124,DG!A:D,DG!$C$2,)</f>
        <v>Boulon 16x350+ 2 long đền vuông D18-50x50x3/Zn</v>
      </c>
      <c r="G2124" s="1044" t="str">
        <f>VLOOKUP($B2124,DG!A:D,DG!$D$2,)</f>
        <v>bộ</v>
      </c>
      <c r="H2124" s="1823">
        <f t="shared" si="389"/>
        <v>0</v>
      </c>
      <c r="I2124" s="1823"/>
      <c r="J2124" s="1823"/>
      <c r="K2124" s="1823"/>
      <c r="L2124" s="1823"/>
      <c r="M2124" s="1823"/>
      <c r="N2124" s="1823">
        <f t="shared" si="388"/>
        <v>0</v>
      </c>
      <c r="O2124" s="1823"/>
      <c r="P2124" s="1823">
        <f t="shared" si="385"/>
        <v>0</v>
      </c>
      <c r="Q2124" s="1053"/>
      <c r="R2124" s="1053"/>
      <c r="S2124" s="1053"/>
      <c r="T2124" s="2035">
        <f t="shared" si="387"/>
        <v>0</v>
      </c>
    </row>
    <row r="2125" spans="1:20" ht="22.2" hidden="1" customHeight="1">
      <c r="A2125" s="59"/>
      <c r="B2125" s="1577" t="s">
        <v>828</v>
      </c>
      <c r="C2125" s="1013" t="str">
        <f t="shared" si="390"/>
        <v xml:space="preserve"> </v>
      </c>
      <c r="D2125" s="1548">
        <f>ppht!CE337</f>
        <v>0</v>
      </c>
      <c r="E2125" s="1044"/>
      <c r="F2125" s="1056" t="str">
        <f>VLOOKUP($B2125,DG!A:D,DG!$C$2,)</f>
        <v>Boulon móc 16x250+ long đền vuông D18-50x50x3/Zn</v>
      </c>
      <c r="G2125" s="1044" t="str">
        <f>VLOOKUP($B2125,DG!A:D,DG!$D$2,)</f>
        <v>bộ</v>
      </c>
      <c r="H2125" s="1823">
        <f t="shared" si="389"/>
        <v>0</v>
      </c>
      <c r="I2125" s="1823"/>
      <c r="J2125" s="1823"/>
      <c r="K2125" s="1823"/>
      <c r="L2125" s="1823"/>
      <c r="M2125" s="1823"/>
      <c r="N2125" s="1823">
        <f t="shared" si="388"/>
        <v>0</v>
      </c>
      <c r="O2125" s="1823"/>
      <c r="P2125" s="1823">
        <f t="shared" si="385"/>
        <v>0</v>
      </c>
      <c r="Q2125" s="1053"/>
      <c r="R2125" s="1053"/>
      <c r="S2125" s="1053"/>
      <c r="T2125" s="2035">
        <f t="shared" si="387"/>
        <v>0</v>
      </c>
    </row>
    <row r="2126" spans="1:20" ht="22.2" hidden="1" customHeight="1">
      <c r="A2126" s="59"/>
      <c r="B2126" s="1577" t="s">
        <v>829</v>
      </c>
      <c r="C2126" s="1013" t="str">
        <f t="shared" si="390"/>
        <v xml:space="preserve"> </v>
      </c>
      <c r="D2126" s="1548">
        <f>ppht!CF337</f>
        <v>0</v>
      </c>
      <c r="E2126" s="1044"/>
      <c r="F2126" s="1056" t="str">
        <f>VLOOKUP($B2126,DG!A:D,DG!$C$2,)</f>
        <v>Boulon móc 16x300+ long đền vuông D18-50x50x3/Zn</v>
      </c>
      <c r="G2126" s="1044" t="str">
        <f>VLOOKUP($B2126,DG!A:D,DG!$D$2,)</f>
        <v>bộ</v>
      </c>
      <c r="H2126" s="1823">
        <f t="shared" si="389"/>
        <v>0</v>
      </c>
      <c r="I2126" s="1823"/>
      <c r="J2126" s="1823"/>
      <c r="K2126" s="1823"/>
      <c r="L2126" s="1823"/>
      <c r="M2126" s="1823"/>
      <c r="N2126" s="1823">
        <f t="shared" si="388"/>
        <v>0</v>
      </c>
      <c r="O2126" s="1823"/>
      <c r="P2126" s="1823">
        <f t="shared" si="385"/>
        <v>0</v>
      </c>
      <c r="Q2126" s="1053"/>
      <c r="R2126" s="1053"/>
      <c r="S2126" s="1053"/>
      <c r="T2126" s="2035">
        <f t="shared" si="387"/>
        <v>0</v>
      </c>
    </row>
    <row r="2127" spans="1:20" ht="22.2" hidden="1" customHeight="1">
      <c r="A2127" s="59"/>
      <c r="B2127" s="1577" t="s">
        <v>1168</v>
      </c>
      <c r="C2127" s="1013" t="str">
        <f t="shared" si="390"/>
        <v xml:space="preserve"> </v>
      </c>
      <c r="D2127" s="1548">
        <f>+ppht!AD341*2*0</f>
        <v>0</v>
      </c>
      <c r="E2127" s="1044"/>
      <c r="F2127" s="1056" t="str">
        <f>VLOOKUP($B2127,DG!A:D,DG!$C$2,)&amp;" bắt trụ đôi"</f>
        <v>Boulon 16x500VRS+ 4 long đền vuông D18-50x50x3/Zn bắt trụ đôi</v>
      </c>
      <c r="G2127" s="1044" t="str">
        <f>VLOOKUP($B2127,DG!A:D,DG!$D$2,)</f>
        <v>bộ</v>
      </c>
      <c r="H2127" s="1823">
        <f t="shared" si="389"/>
        <v>0</v>
      </c>
      <c r="I2127" s="1823"/>
      <c r="J2127" s="1823"/>
      <c r="K2127" s="1823"/>
      <c r="L2127" s="1823"/>
      <c r="M2127" s="1823"/>
      <c r="N2127" s="1823">
        <f t="shared" si="388"/>
        <v>0</v>
      </c>
      <c r="O2127" s="1823"/>
      <c r="P2127" s="1823">
        <f t="shared" si="385"/>
        <v>0</v>
      </c>
      <c r="Q2127" s="1053"/>
      <c r="R2127" s="1053"/>
      <c r="S2127" s="1053"/>
      <c r="T2127" s="2035">
        <f t="shared" si="387"/>
        <v>0</v>
      </c>
    </row>
    <row r="2128" spans="1:20" ht="22.2" hidden="1" customHeight="1">
      <c r="A2128" s="59"/>
      <c r="B2128" s="1577" t="s">
        <v>2206</v>
      </c>
      <c r="C2128" s="1013" t="str">
        <f t="shared" si="390"/>
        <v xml:space="preserve"> </v>
      </c>
      <c r="D2128" s="1548">
        <f>ppht!DL337</f>
        <v>0</v>
      </c>
      <c r="E2128" s="1044"/>
      <c r="F2128" s="1056" t="str">
        <f>VLOOKUP($B2128,DG!A:D,DG!$C$2,)&amp;" (Coå deâ 310)"</f>
        <v>Cổ dê trụ đôi 8,4m bắt móc dừng  (Coå deâ 310)</v>
      </c>
      <c r="G2128" s="1044" t="str">
        <f>VLOOKUP($B2128,DG!A:D,DG!$D$2,)</f>
        <v>bộ</v>
      </c>
      <c r="H2128" s="1823">
        <f t="shared" si="389"/>
        <v>0</v>
      </c>
      <c r="I2128" s="1823"/>
      <c r="J2128" s="1823"/>
      <c r="K2128" s="1823"/>
      <c r="L2128" s="1823"/>
      <c r="M2128" s="1823"/>
      <c r="N2128" s="1823">
        <f t="shared" si="388"/>
        <v>0</v>
      </c>
      <c r="O2128" s="1823"/>
      <c r="P2128" s="1823">
        <f t="shared" si="385"/>
        <v>0</v>
      </c>
      <c r="Q2128" s="1053"/>
      <c r="R2128" s="1053"/>
      <c r="S2128" s="1053"/>
      <c r="T2128" s="2035">
        <f t="shared" si="387"/>
        <v>0</v>
      </c>
    </row>
    <row r="2129" spans="1:20" ht="22.2" hidden="1" customHeight="1">
      <c r="A2129" s="59"/>
      <c r="B2129" s="1577" t="s">
        <v>1023</v>
      </c>
      <c r="C2129" s="1013" t="str">
        <f t="shared" si="390"/>
        <v xml:space="preserve"> </v>
      </c>
      <c r="D2129" s="1548">
        <f>ppht!BF337</f>
        <v>0</v>
      </c>
      <c r="E2129" s="1044"/>
      <c r="F2129" s="1056" t="str">
        <f>VLOOKUP($B2129,DG!A:D,DG!$C$2,)</f>
        <v>Cáp thép 3/8"</v>
      </c>
      <c r="G2129" s="1044" t="str">
        <f>VLOOKUP($B2129,DG!A:D,DG!$D$2,)</f>
        <v>kg</v>
      </c>
      <c r="H2129" s="1823">
        <f t="shared" si="389"/>
        <v>0</v>
      </c>
      <c r="I2129" s="1823"/>
      <c r="J2129" s="1823"/>
      <c r="K2129" s="1823"/>
      <c r="L2129" s="1823"/>
      <c r="M2129" s="1823"/>
      <c r="N2129" s="1823">
        <f t="shared" si="388"/>
        <v>0</v>
      </c>
      <c r="O2129" s="1823"/>
      <c r="P2129" s="1823">
        <f t="shared" si="385"/>
        <v>0</v>
      </c>
      <c r="Q2129" s="1053"/>
      <c r="R2129" s="1053"/>
      <c r="S2129" s="1053"/>
      <c r="T2129" s="2035">
        <f t="shared" si="387"/>
        <v>0</v>
      </c>
    </row>
    <row r="2130" spans="1:20" ht="22.2" hidden="1" customHeight="1">
      <c r="A2130" s="59"/>
      <c r="B2130" s="1577" t="s">
        <v>1490</v>
      </c>
      <c r="C2130" s="1013" t="str">
        <f t="shared" si="390"/>
        <v xml:space="preserve"> </v>
      </c>
      <c r="D2130" s="1535">
        <f>ROUND(D2055/2000+D2056/0.195/1500,0)</f>
        <v>0</v>
      </c>
      <c r="E2130" s="1044"/>
      <c r="F2130" s="1056" t="str">
        <f>VLOOKUP($B2130,DG!A:D,DG!$C$2,)</f>
        <v>Ống nối dây cỡ 50mm2</v>
      </c>
      <c r="G2130" s="1044" t="str">
        <f>VLOOKUP($B2130,DG!A:D,DG!$D$2,)</f>
        <v>cái</v>
      </c>
      <c r="H2130" s="1823">
        <f t="shared" si="389"/>
        <v>0</v>
      </c>
      <c r="I2130" s="1823"/>
      <c r="J2130" s="1823"/>
      <c r="K2130" s="1823"/>
      <c r="L2130" s="1823"/>
      <c r="M2130" s="1823"/>
      <c r="N2130" s="1823">
        <f t="shared" si="388"/>
        <v>0</v>
      </c>
      <c r="O2130" s="1823"/>
      <c r="P2130" s="1823">
        <f t="shared" si="385"/>
        <v>0</v>
      </c>
      <c r="Q2130" s="1053"/>
      <c r="R2130" s="1053"/>
      <c r="S2130" s="1053"/>
      <c r="T2130" s="2035">
        <f t="shared" si="387"/>
        <v>0</v>
      </c>
    </row>
    <row r="2131" spans="1:20" ht="22.2" hidden="1" customHeight="1">
      <c r="A2131" s="59"/>
      <c r="B2131" s="1577" t="s">
        <v>1491</v>
      </c>
      <c r="C2131" s="1013" t="str">
        <f t="shared" si="390"/>
        <v xml:space="preserve"> </v>
      </c>
      <c r="D2131" s="1535">
        <f>ROUND(D2054/2000,0)</f>
        <v>0</v>
      </c>
      <c r="E2131" s="1044"/>
      <c r="F2131" s="1056" t="str">
        <f>VLOOKUP($B2131,DG!A:D,DG!$C$2,)</f>
        <v>Ống nối dây cỡ 70mm2</v>
      </c>
      <c r="G2131" s="1044" t="str">
        <f>VLOOKUP($B2131,DG!A:D,DG!$D$2,)</f>
        <v>cái</v>
      </c>
      <c r="H2131" s="1823">
        <f t="shared" si="389"/>
        <v>0</v>
      </c>
      <c r="I2131" s="1823"/>
      <c r="J2131" s="1823"/>
      <c r="K2131" s="1823"/>
      <c r="L2131" s="1823"/>
      <c r="M2131" s="1823"/>
      <c r="N2131" s="1823">
        <f t="shared" si="388"/>
        <v>0</v>
      </c>
      <c r="O2131" s="1823"/>
      <c r="P2131" s="1823">
        <f t="shared" si="385"/>
        <v>0</v>
      </c>
      <c r="Q2131" s="1053"/>
      <c r="R2131" s="1053"/>
      <c r="S2131" s="1053"/>
      <c r="T2131" s="2035">
        <f t="shared" si="387"/>
        <v>0</v>
      </c>
    </row>
    <row r="2132" spans="1:20" ht="22.2" hidden="1" customHeight="1">
      <c r="A2132" s="59"/>
      <c r="B2132" s="1577" t="s">
        <v>1573</v>
      </c>
      <c r="C2132" s="1013" t="str">
        <f t="shared" si="390"/>
        <v xml:space="preserve"> </v>
      </c>
      <c r="D2132" s="1535"/>
      <c r="E2132" s="1044"/>
      <c r="F2132" s="1056" t="str">
        <f>VLOOKUP($B2132,DG!A:D,DG!$C$2,)</f>
        <v>Biển số - Bảng nguy hiểm</v>
      </c>
      <c r="G2132" s="1044" t="str">
        <f>VLOOKUP($B2132,DG!A:D,DG!$D$2,)</f>
        <v>cái</v>
      </c>
      <c r="H2132" s="1823">
        <f t="shared" si="389"/>
        <v>0</v>
      </c>
      <c r="I2132" s="1823"/>
      <c r="J2132" s="1823"/>
      <c r="K2132" s="1823"/>
      <c r="L2132" s="1823"/>
      <c r="M2132" s="1823"/>
      <c r="N2132" s="1823">
        <f t="shared" si="388"/>
        <v>0</v>
      </c>
      <c r="O2132" s="1823"/>
      <c r="P2132" s="1823">
        <f t="shared" si="385"/>
        <v>0</v>
      </c>
      <c r="Q2132" s="1053"/>
      <c r="R2132" s="1053"/>
      <c r="S2132" s="1053"/>
      <c r="T2132" s="2035">
        <f t="shared" si="387"/>
        <v>0</v>
      </c>
    </row>
    <row r="2133" spans="1:20" ht="22.2" hidden="1" customHeight="1">
      <c r="A2133" s="59"/>
      <c r="B2133" s="1577" t="s">
        <v>229</v>
      </c>
      <c r="C2133" s="1013" t="str">
        <f t="shared" si="390"/>
        <v xml:space="preserve"> </v>
      </c>
      <c r="D2133" s="1535">
        <f>SUM(D2136:D2138)*5/1.4</f>
        <v>0</v>
      </c>
      <c r="E2133" s="1044"/>
      <c r="F2133" s="1056" t="str">
        <f>VLOOKUP($B2133,DG!A:D,DG!$C$2,)</f>
        <v xml:space="preserve">Dây nhôm buộc </v>
      </c>
      <c r="G2133" s="1044" t="str">
        <f>VLOOKUP($B2133,DG!A:D,DG!$D$2,)</f>
        <v>kg</v>
      </c>
      <c r="H2133" s="1823">
        <f t="shared" si="389"/>
        <v>0</v>
      </c>
      <c r="I2133" s="1823"/>
      <c r="J2133" s="1823"/>
      <c r="K2133" s="1823"/>
      <c r="L2133" s="1823"/>
      <c r="M2133" s="1823"/>
      <c r="N2133" s="1823">
        <f t="shared" si="388"/>
        <v>0</v>
      </c>
      <c r="O2133" s="1823"/>
      <c r="P2133" s="1823">
        <f t="shared" si="385"/>
        <v>0</v>
      </c>
      <c r="Q2133" s="1053"/>
      <c r="R2133" s="1053"/>
      <c r="S2133" s="1053"/>
      <c r="T2133" s="2035">
        <f t="shared" si="387"/>
        <v>0</v>
      </c>
    </row>
    <row r="2134" spans="1:20" ht="22.2" hidden="1" customHeight="1">
      <c r="A2134" s="59"/>
      <c r="B2134" s="1609" t="s">
        <v>672</v>
      </c>
      <c r="C2134" s="1013" t="str">
        <f t="shared" si="390"/>
        <v xml:space="preserve"> </v>
      </c>
      <c r="D2134" s="1535"/>
      <c r="E2134" s="1044"/>
      <c r="F2134" s="1056" t="str">
        <f>VLOOKUP($B2134,DG!A:D,DG!$C$2,)</f>
        <v>Băng keo cách điện</v>
      </c>
      <c r="G2134" s="1044" t="str">
        <f>VLOOKUP($B2134,DG!A:D,DG!$D$2,)</f>
        <v>cuộn</v>
      </c>
      <c r="H2134" s="1823">
        <f t="shared" si="389"/>
        <v>0</v>
      </c>
      <c r="I2134" s="1823"/>
      <c r="J2134" s="1823"/>
      <c r="K2134" s="1823"/>
      <c r="L2134" s="1823"/>
      <c r="M2134" s="1823"/>
      <c r="N2134" s="1823"/>
      <c r="O2134" s="1823"/>
      <c r="P2134" s="1823">
        <f t="shared" si="385"/>
        <v>0</v>
      </c>
      <c r="Q2134" s="1058"/>
      <c r="R2134" s="1058"/>
      <c r="S2134" s="1058"/>
      <c r="T2134" s="2035">
        <f t="shared" si="387"/>
        <v>0</v>
      </c>
    </row>
    <row r="2135" spans="1:20" ht="22.2" hidden="1" customHeight="1">
      <c r="A2135" s="59"/>
      <c r="B2135" s="1577" t="s">
        <v>838</v>
      </c>
      <c r="C2135" s="1013" t="str">
        <f t="shared" si="390"/>
        <v xml:space="preserve"> </v>
      </c>
      <c r="D2135" s="1535"/>
      <c r="E2135" s="1044"/>
      <c r="F2135" s="1056" t="str">
        <f>VLOOKUP($B2135,DG!A:D,DG!$C$2,)</f>
        <v>Tủ điện kế 1 pha</v>
      </c>
      <c r="G2135" s="1044" t="str">
        <f>VLOOKUP($B2135,DG!A:D,DG!$D$2,)</f>
        <v>cái</v>
      </c>
      <c r="H2135" s="1823">
        <f t="shared" si="389"/>
        <v>0</v>
      </c>
      <c r="I2135" s="1823"/>
      <c r="J2135" s="1823"/>
      <c r="K2135" s="1823"/>
      <c r="L2135" s="1823"/>
      <c r="M2135" s="1823"/>
      <c r="N2135" s="1823">
        <f>D2135</f>
        <v>0</v>
      </c>
      <c r="O2135" s="1823"/>
      <c r="P2135" s="1823">
        <f t="shared" si="385"/>
        <v>0</v>
      </c>
      <c r="Q2135" s="1053"/>
      <c r="R2135" s="1053"/>
      <c r="S2135" s="1053"/>
      <c r="T2135" s="2035">
        <f t="shared" si="387"/>
        <v>0</v>
      </c>
    </row>
    <row r="2136" spans="1:20" ht="22.2" hidden="1" customHeight="1">
      <c r="A2136" s="59"/>
      <c r="B2136" s="1577" t="s">
        <v>79</v>
      </c>
      <c r="C2136" s="1013" t="str">
        <f t="shared" si="390"/>
        <v xml:space="preserve"> </v>
      </c>
      <c r="D2136" s="1534">
        <f>ROUND(E2054/1000,2)</f>
        <v>0</v>
      </c>
      <c r="E2136" s="1044" t="str">
        <f>VLOOKUP($B2136,DG!A:D,DG!$B$2,)</f>
        <v>06.6105</v>
      </c>
      <c r="F2136" s="1049" t="str">
        <f>VLOOKUP($B2136,DG!A:D,DG!$C$2,)</f>
        <v>Kéo dây nhôm bọc 70mm2</v>
      </c>
      <c r="G2136" s="1044" t="str">
        <f>VLOOKUP($B2136,DG!A:D,DG!$D$2,)</f>
        <v>km</v>
      </c>
      <c r="H2136" s="1823"/>
      <c r="I2136" s="1823"/>
      <c r="J2136" s="1823"/>
      <c r="K2136" s="1823"/>
      <c r="L2136" s="1823"/>
      <c r="M2136" s="1823"/>
      <c r="N2136" s="1823"/>
      <c r="O2136" s="1823"/>
      <c r="P2136" s="1823">
        <f t="shared" si="385"/>
        <v>0</v>
      </c>
      <c r="Q2136" s="1053"/>
      <c r="R2136" s="1053"/>
      <c r="S2136" s="1053"/>
      <c r="T2136" s="2035">
        <f t="shared" si="387"/>
        <v>0</v>
      </c>
    </row>
    <row r="2137" spans="1:20" ht="22.2" hidden="1" customHeight="1">
      <c r="A2137" s="59"/>
      <c r="B2137" s="1577" t="s">
        <v>451</v>
      </c>
      <c r="C2137" s="1013" t="str">
        <f t="shared" si="390"/>
        <v xml:space="preserve"> </v>
      </c>
      <c r="D2137" s="1534">
        <f>ROUND(E2055/1000,2)</f>
        <v>0</v>
      </c>
      <c r="E2137" s="1044" t="str">
        <f>VLOOKUP($B2137,DG!A:D,DG!$B$2,)</f>
        <v>06.6124</v>
      </c>
      <c r="F2137" s="1049" t="str">
        <f>VLOOKUP($B2137,DG!A:D,DG!$C$2,)</f>
        <v>Kéo dây nhôm bọc 50mm2</v>
      </c>
      <c r="G2137" s="1044" t="str">
        <f>VLOOKUP($B2137,DG!A:D,DG!$D$2,)</f>
        <v>km</v>
      </c>
      <c r="H2137" s="1823"/>
      <c r="I2137" s="1823"/>
      <c r="J2137" s="1823"/>
      <c r="K2137" s="1823"/>
      <c r="L2137" s="1823"/>
      <c r="M2137" s="1823"/>
      <c r="N2137" s="1823"/>
      <c r="O2137" s="1823"/>
      <c r="P2137" s="1823">
        <f t="shared" si="385"/>
        <v>0</v>
      </c>
      <c r="Q2137" s="1053"/>
      <c r="R2137" s="1053"/>
      <c r="S2137" s="1053"/>
      <c r="T2137" s="2035">
        <f t="shared" si="387"/>
        <v>0</v>
      </c>
    </row>
    <row r="2138" spans="1:20" ht="22.2" hidden="1" customHeight="1">
      <c r="A2138" s="59"/>
      <c r="B2138" s="1577" t="s">
        <v>1272</v>
      </c>
      <c r="C2138" s="1013" t="str">
        <f t="shared" si="390"/>
        <v xml:space="preserve"> </v>
      </c>
      <c r="D2138" s="1534">
        <f>ROUND(E2056/1000,2)</f>
        <v>0</v>
      </c>
      <c r="E2138" s="1044" t="str">
        <f>VLOOKUP($B2138,DG!A:D,DG!$B$2,)</f>
        <v>06.6114</v>
      </c>
      <c r="F2138" s="1049" t="str">
        <f>VLOOKUP($B2138,DG!A:D,DG!$C$2,)</f>
        <v>Kéo dây nhôm lõi thép cỡ dây 50mm2</v>
      </c>
      <c r="G2138" s="1044" t="str">
        <f>VLOOKUP($B2138,DG!A:D,DG!$D$2,)</f>
        <v>km</v>
      </c>
      <c r="H2138" s="1823"/>
      <c r="I2138" s="1823"/>
      <c r="J2138" s="1823"/>
      <c r="K2138" s="1823"/>
      <c r="L2138" s="1823"/>
      <c r="M2138" s="1823"/>
      <c r="N2138" s="1823"/>
      <c r="O2138" s="1823"/>
      <c r="P2138" s="1823">
        <f t="shared" si="385"/>
        <v>0</v>
      </c>
      <c r="Q2138" s="1053"/>
      <c r="R2138" s="1053"/>
      <c r="S2138" s="1053"/>
      <c r="T2138" s="2035">
        <f t="shared" si="387"/>
        <v>0</v>
      </c>
    </row>
    <row r="2139" spans="1:20" ht="22.2" hidden="1" customHeight="1">
      <c r="A2139" s="59"/>
      <c r="B2139" s="1577" t="s">
        <v>1650</v>
      </c>
      <c r="C2139" s="1013" t="str">
        <f t="shared" si="390"/>
        <v xml:space="preserve"> </v>
      </c>
      <c r="D2139" s="1537"/>
      <c r="E2139" s="1048" t="str">
        <f>VLOOKUP($B2139,DG!A:D,DG!$B$2,)</f>
        <v>07.3404</v>
      </c>
      <c r="F2139" s="1049" t="str">
        <f>VLOOKUP($B2139,DG!A:D,DG!$C$2,)</f>
        <v>Lắp cáp trong ống bảo vệ loại &lt;=4.5kg</v>
      </c>
      <c r="G2139" s="1048" t="str">
        <f>VLOOKUP($B2139,DG!A:D,DG!$D$2,)</f>
        <v>mét</v>
      </c>
      <c r="H2139" s="1824"/>
      <c r="I2139" s="1824"/>
      <c r="J2139" s="1824"/>
      <c r="K2139" s="1824"/>
      <c r="L2139" s="1824"/>
      <c r="M2139" s="1824"/>
      <c r="N2139" s="1824"/>
      <c r="O2139" s="1824"/>
      <c r="P2139" s="1823">
        <f t="shared" si="385"/>
        <v>0</v>
      </c>
      <c r="Q2139" s="1055"/>
      <c r="R2139" s="1055"/>
      <c r="S2139" s="1055"/>
      <c r="T2139" s="2035">
        <f t="shared" si="387"/>
        <v>0</v>
      </c>
    </row>
    <row r="2140" spans="1:20" ht="22.2" hidden="1" customHeight="1">
      <c r="A2140" s="59"/>
      <c r="B2140" s="1577" t="s">
        <v>1651</v>
      </c>
      <c r="C2140" s="1013" t="str">
        <f t="shared" si="390"/>
        <v xml:space="preserve"> </v>
      </c>
      <c r="D2140" s="1537"/>
      <c r="E2140" s="1048" t="str">
        <f>VLOOKUP($B2140,DG!A:D,DG!$B$2,)</f>
        <v>07.3403</v>
      </c>
      <c r="F2140" s="1049" t="str">
        <f>VLOOKUP($B2140,DG!A:D,DG!$C$2,)</f>
        <v>Lắp cáp trong ống bảo vệ loại &lt;=3kg</v>
      </c>
      <c r="G2140" s="1048" t="str">
        <f>VLOOKUP($B2140,DG!A:D,DG!$D$2,)</f>
        <v>mét</v>
      </c>
      <c r="H2140" s="1824"/>
      <c r="I2140" s="1824"/>
      <c r="J2140" s="1824"/>
      <c r="K2140" s="1824"/>
      <c r="L2140" s="1824"/>
      <c r="M2140" s="1824"/>
      <c r="N2140" s="1824"/>
      <c r="O2140" s="1824"/>
      <c r="P2140" s="1823">
        <f t="shared" si="385"/>
        <v>0</v>
      </c>
      <c r="Q2140" s="1055"/>
      <c r="R2140" s="1055"/>
      <c r="S2140" s="1055"/>
      <c r="T2140" s="2035">
        <f t="shared" si="387"/>
        <v>0</v>
      </c>
    </row>
    <row r="2141" spans="1:20" ht="22.2" hidden="1" customHeight="1">
      <c r="A2141" s="59"/>
      <c r="B2141" s="1577" t="s">
        <v>2228</v>
      </c>
      <c r="C2141" s="1013" t="str">
        <f t="shared" si="390"/>
        <v xml:space="preserve"> </v>
      </c>
      <c r="D2141" s="1533">
        <f>(E2062+D2117)/1000</f>
        <v>0</v>
      </c>
      <c r="E2141" s="1044" t="str">
        <f>VLOOKUP($B2141,DG!A:D,DG!$B$2,)</f>
        <v>06.7007</v>
      </c>
      <c r="F2141" s="1049" t="str">
        <f>VLOOKUP($B2141,DG!A:D,DG!$C$2,)</f>
        <v>Kéo dây ABC 4x150mm2</v>
      </c>
      <c r="G2141" s="1044" t="str">
        <f>VLOOKUP($B2141,DG!A:D,DG!$D$2,)</f>
        <v>km</v>
      </c>
      <c r="H2141" s="1823"/>
      <c r="I2141" s="1823"/>
      <c r="J2141" s="1823"/>
      <c r="K2141" s="1823"/>
      <c r="L2141" s="1823"/>
      <c r="M2141" s="1823"/>
      <c r="N2141" s="1823"/>
      <c r="O2141" s="1823"/>
      <c r="P2141" s="1823">
        <f t="shared" si="385"/>
        <v>0</v>
      </c>
      <c r="Q2141" s="1053"/>
      <c r="R2141" s="1053"/>
      <c r="S2141" s="1053"/>
      <c r="T2141" s="2035">
        <f t="shared" si="387"/>
        <v>0</v>
      </c>
    </row>
    <row r="2142" spans="1:20" ht="22.2" hidden="1" customHeight="1">
      <c r="A2142" s="59"/>
      <c r="B2142" s="1577" t="s">
        <v>864</v>
      </c>
      <c r="C2142" s="1013" t="str">
        <f t="shared" si="390"/>
        <v xml:space="preserve"> </v>
      </c>
      <c r="D2142" s="1533">
        <f>(E2058)/1000</f>
        <v>0</v>
      </c>
      <c r="E2142" s="1044" t="str">
        <f>VLOOKUP($B2142,DG!A:D,DG!$B$2,)</f>
        <v>06.7006</v>
      </c>
      <c r="F2142" s="1049" t="str">
        <f>VLOOKUP($B2142,DG!A:D,DG!$C$2,)</f>
        <v>Kéo dây ABC 3x95mm2</v>
      </c>
      <c r="G2142" s="1044" t="str">
        <f>VLOOKUP($B2142,DG!A:D,DG!$D$2,)</f>
        <v>km</v>
      </c>
      <c r="H2142" s="1823">
        <f>D2142</f>
        <v>0</v>
      </c>
      <c r="I2142" s="1823"/>
      <c r="J2142" s="1823"/>
      <c r="K2142" s="1823"/>
      <c r="L2142" s="1823"/>
      <c r="M2142" s="1823"/>
      <c r="N2142" s="1823"/>
      <c r="O2142" s="1823"/>
      <c r="P2142" s="1823">
        <f t="shared" si="385"/>
        <v>0</v>
      </c>
      <c r="Q2142" s="1053"/>
      <c r="R2142" s="1053"/>
      <c r="S2142" s="1053"/>
      <c r="T2142" s="2035">
        <f t="shared" si="387"/>
        <v>0</v>
      </c>
    </row>
    <row r="2143" spans="1:20" ht="22.2" hidden="1" customHeight="1">
      <c r="A2143" s="59"/>
      <c r="B2143" s="1577" t="s">
        <v>865</v>
      </c>
      <c r="C2143" s="1013" t="str">
        <f t="shared" si="390"/>
        <v xml:space="preserve"> </v>
      </c>
      <c r="D2143" s="1533">
        <f>(E2060+E2058)/1000</f>
        <v>0</v>
      </c>
      <c r="E2143" s="1044" t="str">
        <f>VLOOKUP($B2143,DG!A:D,DG!$B$2,)</f>
        <v>06.6505</v>
      </c>
      <c r="F2143" s="1049" t="str">
        <f>VLOOKUP($B2143,DG!A:D,DG!$C$2,)</f>
        <v>Kéo dây ABC 4x70mm2</v>
      </c>
      <c r="G2143" s="1044" t="str">
        <f>VLOOKUP($B2143,DG!A:D,DG!$D$2,)</f>
        <v>km</v>
      </c>
      <c r="H2143" s="1823">
        <f>H2060/1000</f>
        <v>0</v>
      </c>
      <c r="I2143" s="1823"/>
      <c r="J2143" s="1823"/>
      <c r="K2143" s="1823"/>
      <c r="L2143" s="1823"/>
      <c r="M2143" s="1823"/>
      <c r="N2143" s="1823"/>
      <c r="O2143" s="1823"/>
      <c r="P2143" s="1823">
        <f t="shared" si="385"/>
        <v>0</v>
      </c>
      <c r="Q2143" s="1053"/>
      <c r="R2143" s="1053"/>
      <c r="S2143" s="1053"/>
      <c r="T2143" s="2035">
        <f t="shared" si="387"/>
        <v>0</v>
      </c>
    </row>
    <row r="2144" spans="1:20" ht="22.2" hidden="1" customHeight="1">
      <c r="A2144" s="59"/>
      <c r="B2144" s="1577" t="s">
        <v>866</v>
      </c>
      <c r="C2144" s="1013" t="str">
        <f t="shared" si="390"/>
        <v xml:space="preserve"> </v>
      </c>
      <c r="D2144" s="1533">
        <f>E2059/1000</f>
        <v>0</v>
      </c>
      <c r="E2144" s="1044" t="str">
        <f>VLOOKUP($B2144,DG!A:D,DG!$B$2,)</f>
        <v>06.6504</v>
      </c>
      <c r="F2144" s="1049" t="str">
        <f>VLOOKUP($B2144,DG!A:D,DG!$C$2,)</f>
        <v>Kéo dây ABC 4x50mm2</v>
      </c>
      <c r="G2144" s="1044" t="str">
        <f>VLOOKUP($B2144,DG!A:D,DG!$D$2,)</f>
        <v>km</v>
      </c>
      <c r="H2144" s="1823"/>
      <c r="I2144" s="1823"/>
      <c r="J2144" s="1823"/>
      <c r="K2144" s="1823"/>
      <c r="L2144" s="1823"/>
      <c r="M2144" s="1823"/>
      <c r="N2144" s="1823"/>
      <c r="O2144" s="1823"/>
      <c r="P2144" s="1823">
        <f t="shared" si="385"/>
        <v>0</v>
      </c>
      <c r="Q2144" s="1053"/>
      <c r="R2144" s="1053"/>
      <c r="S2144" s="1053"/>
      <c r="T2144" s="2035">
        <f t="shared" si="387"/>
        <v>0</v>
      </c>
    </row>
    <row r="2145" spans="1:20" ht="22.2" hidden="1" customHeight="1">
      <c r="A2145" s="59"/>
      <c r="B2145" s="1577" t="s">
        <v>866</v>
      </c>
      <c r="C2145" s="1013" t="str">
        <f t="shared" si="390"/>
        <v xml:space="preserve"> </v>
      </c>
      <c r="D2145" s="1533">
        <f>E2057/1000</f>
        <v>0</v>
      </c>
      <c r="E2145" s="1044" t="str">
        <f>VLOOKUP($B2145,DG!A:D,DG!$B$2,)</f>
        <v>06.6504</v>
      </c>
      <c r="F2145" s="1049" t="s">
        <v>2571</v>
      </c>
      <c r="G2145" s="1044" t="str">
        <f>VLOOKUP($B2145,DG!A:D,DG!$D$2,)</f>
        <v>km</v>
      </c>
      <c r="H2145" s="1823"/>
      <c r="I2145" s="1823"/>
      <c r="J2145" s="1823"/>
      <c r="K2145" s="1823"/>
      <c r="L2145" s="1823"/>
      <c r="M2145" s="1823"/>
      <c r="N2145" s="1823"/>
      <c r="O2145" s="1823"/>
      <c r="P2145" s="1823">
        <f t="shared" si="385"/>
        <v>0</v>
      </c>
      <c r="Q2145" s="1053"/>
      <c r="R2145" s="1053"/>
      <c r="S2145" s="1053"/>
      <c r="T2145" s="2035">
        <f t="shared" si="387"/>
        <v>0</v>
      </c>
    </row>
    <row r="2146" spans="1:20" ht="22.2" hidden="1" customHeight="1">
      <c r="A2146" s="59"/>
      <c r="B2146" s="1577" t="s">
        <v>1651</v>
      </c>
      <c r="C2146" s="1013" t="str">
        <f t="shared" si="390"/>
        <v xml:space="preserve"> </v>
      </c>
      <c r="D2146" s="1533">
        <f>D2063/1000</f>
        <v>0</v>
      </c>
      <c r="E2146" s="1044" t="str">
        <f>VLOOKUP($B2146,DG!A:D,DG!$B$2,)</f>
        <v>07.3403</v>
      </c>
      <c r="F2146" s="1049" t="str">
        <f>VLOOKUP($B2146,DG!A:D,DG!$C$2,)</f>
        <v>Lắp cáp trong ống bảo vệ loại &lt;=3kg</v>
      </c>
      <c r="G2146" s="1044" t="str">
        <f>VLOOKUP($B2146,DG!A:D,DG!$D$2,)</f>
        <v>mét</v>
      </c>
      <c r="H2146" s="1823"/>
      <c r="I2146" s="1823"/>
      <c r="J2146" s="1823"/>
      <c r="K2146" s="1823"/>
      <c r="L2146" s="1823"/>
      <c r="M2146" s="1823"/>
      <c r="N2146" s="1823"/>
      <c r="O2146" s="1823"/>
      <c r="P2146" s="1823">
        <f t="shared" si="385"/>
        <v>0</v>
      </c>
      <c r="Q2146" s="1053"/>
      <c r="R2146" s="1053"/>
      <c r="S2146" s="1053"/>
      <c r="T2146" s="2035">
        <f t="shared" si="387"/>
        <v>0</v>
      </c>
    </row>
    <row r="2147" spans="1:20" ht="22.2" hidden="1" customHeight="1">
      <c r="A2147" s="59"/>
      <c r="B2147" s="1577" t="s">
        <v>125</v>
      </c>
      <c r="C2147" s="1013" t="str">
        <f t="shared" si="390"/>
        <v xml:space="preserve"> </v>
      </c>
      <c r="D2147" s="1535">
        <f>D2109</f>
        <v>0</v>
      </c>
      <c r="E2147" s="1044" t="str">
        <f>VLOOKUP($B2147,DG!A:D,DG!$B$2,)</f>
        <v>06.1213</v>
      </c>
      <c r="F2147" s="1049" t="str">
        <f>VLOOKUP($B2147,DG!A:D,DG!$C$2,)</f>
        <v>Lắp rack 2 sứ + sứ ống chỉ</v>
      </c>
      <c r="G2147" s="1044" t="str">
        <f>VLOOKUP($B2147,DG!A:D,DG!$D$2,)</f>
        <v>bộ</v>
      </c>
      <c r="H2147" s="1823"/>
      <c r="I2147" s="1823"/>
      <c r="J2147" s="1823"/>
      <c r="K2147" s="1823"/>
      <c r="L2147" s="1823"/>
      <c r="M2147" s="1823"/>
      <c r="N2147" s="1823"/>
      <c r="O2147" s="1823"/>
      <c r="P2147" s="1823">
        <f t="shared" si="385"/>
        <v>0</v>
      </c>
      <c r="Q2147" s="1053"/>
      <c r="R2147" s="1053"/>
      <c r="S2147" s="1053"/>
      <c r="T2147" s="2035">
        <f t="shared" si="387"/>
        <v>0</v>
      </c>
    </row>
    <row r="2148" spans="1:20" ht="22.2" hidden="1" customHeight="1">
      <c r="A2148" s="59"/>
      <c r="B2148" s="1577" t="s">
        <v>452</v>
      </c>
      <c r="C2148" s="1013" t="str">
        <f t="shared" si="390"/>
        <v xml:space="preserve"> </v>
      </c>
      <c r="D2148" s="1535">
        <f>D2110</f>
        <v>0</v>
      </c>
      <c r="E2148" s="1044" t="str">
        <f>VLOOKUP($B2148,DG!A:D,DG!$B$2,)</f>
        <v>06.1214</v>
      </c>
      <c r="F2148" s="1049" t="str">
        <f>VLOOKUP($B2148,DG!A:D,DG!$C$2,)</f>
        <v>Lắp rack 3 sứ + sứ ống chỉ</v>
      </c>
      <c r="G2148" s="1044" t="str">
        <f>VLOOKUP($B2148,DG!A:D,DG!$D$2,)</f>
        <v>bộ</v>
      </c>
      <c r="H2148" s="1823"/>
      <c r="I2148" s="1823"/>
      <c r="J2148" s="1823"/>
      <c r="K2148" s="1823"/>
      <c r="L2148" s="1823"/>
      <c r="M2148" s="1823"/>
      <c r="N2148" s="1823"/>
      <c r="O2148" s="1823"/>
      <c r="P2148" s="1823">
        <f t="shared" si="385"/>
        <v>0</v>
      </c>
      <c r="Q2148" s="1058"/>
      <c r="R2148" s="1058"/>
      <c r="S2148" s="1058"/>
      <c r="T2148" s="2035">
        <f t="shared" si="387"/>
        <v>0</v>
      </c>
    </row>
    <row r="2149" spans="1:20" ht="22.2" hidden="1" customHeight="1">
      <c r="A2149" s="59"/>
      <c r="B2149" s="1577" t="s">
        <v>689</v>
      </c>
      <c r="C2149" s="1013" t="str">
        <f t="shared" si="390"/>
        <v xml:space="preserve"> </v>
      </c>
      <c r="D2149" s="1535">
        <f>D2111</f>
        <v>0</v>
      </c>
      <c r="E2149" s="1044" t="str">
        <f>VLOOKUP($B2149,DG!A:D,DG!$B$2,)</f>
        <v>06.1215</v>
      </c>
      <c r="F2149" s="1049" t="str">
        <f>VLOOKUP($B2149,DG!A:D,DG!$C$2,)</f>
        <v>Lắp rack 4 sứ + sứ ống chỉ</v>
      </c>
      <c r="G2149" s="1044" t="str">
        <f>VLOOKUP($B2149,DG!A:D,DG!$D$2,)</f>
        <v>bộ</v>
      </c>
      <c r="H2149" s="1823"/>
      <c r="I2149" s="1823"/>
      <c r="J2149" s="1823"/>
      <c r="K2149" s="1823"/>
      <c r="L2149" s="1823"/>
      <c r="M2149" s="1823"/>
      <c r="N2149" s="1823"/>
      <c r="O2149" s="1823"/>
      <c r="P2149" s="1823">
        <f t="shared" si="385"/>
        <v>0</v>
      </c>
      <c r="Q2149" s="1053"/>
      <c r="R2149" s="1053"/>
      <c r="S2149" s="1053"/>
      <c r="T2149" s="2035">
        <f t="shared" si="387"/>
        <v>0</v>
      </c>
    </row>
    <row r="2150" spans="1:20" ht="22.2" hidden="1" customHeight="1">
      <c r="A2150" s="59"/>
      <c r="B2150" s="1577" t="s">
        <v>352</v>
      </c>
      <c r="C2150" s="1013" t="str">
        <f t="shared" si="390"/>
        <v xml:space="preserve"> </v>
      </c>
      <c r="D2150" s="1535">
        <f>ppht!S337*0</f>
        <v>0</v>
      </c>
      <c r="E2150" s="1044" t="str">
        <f>VLOOKUP($B2150,DG!A:D,DG!$B$2,)</f>
        <v>06.2070</v>
      </c>
      <c r="F2150" s="1056" t="str">
        <f>VLOOKUP($B2150,DG!A:D,DG!$C$2,)</f>
        <v>Sơn biển số- bảng nguy hiểm</v>
      </c>
      <c r="G2150" s="1044" t="str">
        <f>VLOOKUP($B2150,DG!A:D,DG!$D$2,)</f>
        <v>cái</v>
      </c>
      <c r="H2150" s="1823"/>
      <c r="I2150" s="1823"/>
      <c r="J2150" s="1823"/>
      <c r="K2150" s="1823"/>
      <c r="L2150" s="1823"/>
      <c r="M2150" s="1823"/>
      <c r="N2150" s="1823"/>
      <c r="O2150" s="1823"/>
      <c r="P2150" s="1823">
        <f t="shared" ref="P2150:P2213" si="391">H2150+Q2150-R2150</f>
        <v>0</v>
      </c>
      <c r="Q2150" s="1053"/>
      <c r="R2150" s="1053"/>
      <c r="S2150" s="1053"/>
      <c r="T2150" s="2035">
        <f t="shared" si="387"/>
        <v>0</v>
      </c>
    </row>
    <row r="2151" spans="1:20" ht="22.2" hidden="1" customHeight="1">
      <c r="A2151" s="59"/>
      <c r="B2151" s="1577" t="s">
        <v>355</v>
      </c>
      <c r="C2151" s="1013" t="str">
        <f t="shared" si="390"/>
        <v xml:space="preserve"> </v>
      </c>
      <c r="D2151" s="1534">
        <f>D2154</f>
        <v>0</v>
      </c>
      <c r="E2151" s="1044" t="str">
        <f>VLOOKUP($B2151,DG!A:D,DG!$B$2,)</f>
        <v>02.1122</v>
      </c>
      <c r="F2151" s="1049" t="str">
        <f>VLOOKUP($B2151,DG!A:D,DG!$C$2,)</f>
        <v>Bốc dỡ dây</v>
      </c>
      <c r="G2151" s="1044" t="str">
        <f>VLOOKUP($B2151,DG!A:D,DG!$D$2,)</f>
        <v>tấn</v>
      </c>
      <c r="H2151" s="1823"/>
      <c r="I2151" s="1823"/>
      <c r="J2151" s="1823"/>
      <c r="K2151" s="1823"/>
      <c r="L2151" s="1823"/>
      <c r="M2151" s="1823"/>
      <c r="N2151" s="1823"/>
      <c r="O2151" s="1823"/>
      <c r="P2151" s="1823">
        <f t="shared" si="391"/>
        <v>0</v>
      </c>
      <c r="Q2151" s="1058"/>
      <c r="R2151" s="1058"/>
      <c r="S2151" s="1058"/>
      <c r="T2151" s="2035">
        <f t="shared" si="387"/>
        <v>0</v>
      </c>
    </row>
    <row r="2152" spans="1:20" ht="22.2" hidden="1" customHeight="1">
      <c r="A2152" s="59"/>
      <c r="B2152" s="1577" t="s">
        <v>1906</v>
      </c>
      <c r="C2152" s="1013" t="str">
        <f t="shared" si="390"/>
        <v xml:space="preserve"> </v>
      </c>
      <c r="D2152" s="1534">
        <f>D2153</f>
        <v>0</v>
      </c>
      <c r="E2152" s="1044" t="str">
        <f>VLOOKUP($B2152,DG!A:D,DG!$B$2,)</f>
        <v>02.1120</v>
      </c>
      <c r="F2152" s="1049" t="str">
        <f>VLOOKUP($B2152,DG!A:D,DG!$C$2,)</f>
        <v>Bốc dỡ phụ kiện</v>
      </c>
      <c r="G2152" s="1044" t="str">
        <f>VLOOKUP($B2152,DG!A:D,DG!$D$2,)</f>
        <v>tấn</v>
      </c>
      <c r="H2152" s="1823"/>
      <c r="I2152" s="1823"/>
      <c r="J2152" s="1823"/>
      <c r="K2152" s="1823"/>
      <c r="L2152" s="1823"/>
      <c r="M2152" s="1823"/>
      <c r="N2152" s="1823"/>
      <c r="O2152" s="1823"/>
      <c r="P2152" s="1823">
        <f t="shared" si="391"/>
        <v>0</v>
      </c>
      <c r="Q2152" s="1058"/>
      <c r="R2152" s="1058"/>
      <c r="S2152" s="1058"/>
      <c r="T2152" s="2035">
        <f t="shared" si="387"/>
        <v>0</v>
      </c>
    </row>
    <row r="2153" spans="1:20" ht="22.2" hidden="1" customHeight="1">
      <c r="A2153" s="59"/>
      <c r="B2153" s="1590"/>
      <c r="C2153" s="1013" t="str">
        <f t="shared" si="390"/>
        <v xml:space="preserve"> </v>
      </c>
      <c r="D2153" s="1534"/>
      <c r="E2153" s="1044"/>
      <c r="F2153" s="1056"/>
      <c r="G2153" s="1044"/>
      <c r="H2153" s="1823"/>
      <c r="I2153" s="1823"/>
      <c r="J2153" s="1823"/>
      <c r="K2153" s="1823"/>
      <c r="L2153" s="1823"/>
      <c r="M2153" s="1823"/>
      <c r="N2153" s="1823"/>
      <c r="O2153" s="1823"/>
      <c r="P2153" s="1823">
        <f t="shared" si="391"/>
        <v>0</v>
      </c>
      <c r="Q2153" s="1058"/>
      <c r="R2153" s="1058"/>
      <c r="S2153" s="1058"/>
      <c r="T2153" s="2035">
        <f t="shared" si="387"/>
        <v>0</v>
      </c>
    </row>
    <row r="2154" spans="1:20" ht="22.2" hidden="1" customHeight="1">
      <c r="A2154" s="59"/>
      <c r="B2154" s="1590"/>
      <c r="C2154" s="1013" t="str">
        <f t="shared" si="390"/>
        <v xml:space="preserve"> </v>
      </c>
      <c r="D2154" s="1534"/>
      <c r="E2154" s="1044"/>
      <c r="F2154" s="1056"/>
      <c r="G2154" s="1044"/>
      <c r="H2154" s="1823"/>
      <c r="I2154" s="1823"/>
      <c r="J2154" s="1823"/>
      <c r="K2154" s="1823"/>
      <c r="L2154" s="1823"/>
      <c r="M2154" s="1823"/>
      <c r="N2154" s="1823"/>
      <c r="O2154" s="1823"/>
      <c r="P2154" s="1823">
        <f t="shared" si="391"/>
        <v>0</v>
      </c>
      <c r="Q2154" s="1058"/>
      <c r="R2154" s="1058"/>
      <c r="S2154" s="1058"/>
      <c r="T2154" s="2035">
        <f t="shared" si="387"/>
        <v>0</v>
      </c>
    </row>
    <row r="2155" spans="1:20" ht="22.2" hidden="1" customHeight="1">
      <c r="A2155" s="59"/>
      <c r="B2155" s="1588"/>
      <c r="C2155" s="1013" t="str">
        <f t="shared" si="390"/>
        <v xml:space="preserve"> </v>
      </c>
      <c r="D2155" s="1534"/>
      <c r="E2155" s="1044"/>
      <c r="F2155" s="1056"/>
      <c r="G2155" s="1044"/>
      <c r="H2155" s="1823"/>
      <c r="I2155" s="1823"/>
      <c r="J2155" s="1823"/>
      <c r="K2155" s="1823"/>
      <c r="L2155" s="1823"/>
      <c r="M2155" s="1823"/>
      <c r="N2155" s="1823"/>
      <c r="O2155" s="1823"/>
      <c r="P2155" s="1823">
        <f t="shared" si="391"/>
        <v>0</v>
      </c>
      <c r="Q2155" s="1058"/>
      <c r="R2155" s="1058"/>
      <c r="S2155" s="1058"/>
      <c r="T2155" s="2035">
        <f t="shared" si="387"/>
        <v>0</v>
      </c>
    </row>
    <row r="2156" spans="1:20" ht="22.2" hidden="1" customHeight="1">
      <c r="A2156" s="56" t="s">
        <v>31</v>
      </c>
      <c r="B2156" s="1574" t="s">
        <v>31</v>
      </c>
      <c r="C2156" s="1013" t="str">
        <f>IF(D2156&lt;&gt;0,"x"," ")</f>
        <v xml:space="preserve"> </v>
      </c>
      <c r="D2156" s="1532">
        <f>IF(SUM(D2157:D2179)=0,0,1)</f>
        <v>0</v>
      </c>
      <c r="E2156" s="1046" t="s">
        <v>1662</v>
      </c>
      <c r="F2156" s="1392" t="s">
        <v>2572</v>
      </c>
      <c r="G2156" s="1046" t="s">
        <v>2307</v>
      </c>
      <c r="H2156" s="1821">
        <f>SUM(I2156:O2156)</f>
        <v>0</v>
      </c>
      <c r="I2156" s="1822"/>
      <c r="J2156" s="1822"/>
      <c r="K2156" s="1822"/>
      <c r="L2156" s="1822">
        <f>IFERROR(HLOOKUP(chitiet!B2156,pp1p!$1:$3,3,0),0)</f>
        <v>0</v>
      </c>
      <c r="M2156" s="1822"/>
      <c r="N2156" s="1822"/>
      <c r="O2156" s="1822"/>
      <c r="P2156" s="1823">
        <f t="shared" si="391"/>
        <v>0</v>
      </c>
      <c r="Q2156" s="1047"/>
      <c r="R2156" s="1047"/>
      <c r="S2156" s="1047"/>
      <c r="T2156" s="2035">
        <f t="shared" si="387"/>
        <v>0</v>
      </c>
    </row>
    <row r="2157" spans="1:20" ht="22.2" hidden="1" customHeight="1">
      <c r="A2157" s="59"/>
      <c r="B2157" s="1577" t="s">
        <v>1346</v>
      </c>
      <c r="C2157" s="1013" t="str">
        <f t="shared" si="390"/>
        <v xml:space="preserve"> </v>
      </c>
      <c r="D2157" s="1535">
        <f>ROUND(E2157*1.03,0)</f>
        <v>0</v>
      </c>
      <c r="E2157" s="1061">
        <f>+'ppht NC'!E310</f>
        <v>0</v>
      </c>
      <c r="F2157" s="1056" t="str">
        <f>VLOOKUP($B2157,DG!A:D,DG!$C$2,)</f>
        <v>Cáp nhôm bọc AV95</v>
      </c>
      <c r="G2157" s="1044" t="str">
        <f>VLOOKUP($B2157,DG!A:D,DG!$D$2,)</f>
        <v>mét</v>
      </c>
      <c r="H2157" s="1823">
        <f>$D2157</f>
        <v>0</v>
      </c>
      <c r="I2157" s="1823"/>
      <c r="J2157" s="1823"/>
      <c r="K2157" s="1823"/>
      <c r="L2157" s="1823"/>
      <c r="M2157" s="1823">
        <f t="shared" ref="M2157:M2162" si="392">H2157</f>
        <v>0</v>
      </c>
      <c r="N2157" s="1823"/>
      <c r="O2157" s="1823"/>
      <c r="P2157" s="1823">
        <f t="shared" si="391"/>
        <v>0</v>
      </c>
      <c r="Q2157" s="1053"/>
      <c r="R2157" s="1053"/>
      <c r="S2157" s="1053"/>
      <c r="T2157" s="2035">
        <f t="shared" si="387"/>
        <v>0</v>
      </c>
    </row>
    <row r="2158" spans="1:20" ht="22.2" hidden="1" customHeight="1">
      <c r="A2158" s="59"/>
      <c r="B2158" s="1577" t="s">
        <v>1034</v>
      </c>
      <c r="C2158" s="1013" t="str">
        <f t="shared" si="390"/>
        <v xml:space="preserve"> </v>
      </c>
      <c r="D2158" s="1535">
        <f>ROUND(E2158*1.03,0)</f>
        <v>0</v>
      </c>
      <c r="E2158" s="1061">
        <f>+'ppht NC'!D310</f>
        <v>0</v>
      </c>
      <c r="F2158" s="1056" t="str">
        <f>VLOOKUP($B2158,DG!A:D,DG!$C$2,)</f>
        <v>Cáp nhôm bọc AV50</v>
      </c>
      <c r="G2158" s="1044" t="str">
        <f>VLOOKUP($B2158,DG!A:D,DG!$D$2,)</f>
        <v>mét</v>
      </c>
      <c r="H2158" s="1823">
        <f>$D2158</f>
        <v>0</v>
      </c>
      <c r="I2158" s="1823"/>
      <c r="J2158" s="1823"/>
      <c r="K2158" s="1823"/>
      <c r="L2158" s="1823"/>
      <c r="M2158" s="1823">
        <f t="shared" si="392"/>
        <v>0</v>
      </c>
      <c r="N2158" s="1823"/>
      <c r="O2158" s="1823"/>
      <c r="P2158" s="1823">
        <f t="shared" si="391"/>
        <v>0</v>
      </c>
      <c r="Q2158" s="1053"/>
      <c r="R2158" s="1053"/>
      <c r="S2158" s="1053"/>
      <c r="T2158" s="2035">
        <f t="shared" si="387"/>
        <v>0</v>
      </c>
    </row>
    <row r="2159" spans="1:20" ht="22.2" hidden="1" customHeight="1">
      <c r="A2159" s="59"/>
      <c r="B2159" s="1577" t="s">
        <v>88</v>
      </c>
      <c r="C2159" s="1013" t="str">
        <f t="shared" si="390"/>
        <v xml:space="preserve"> </v>
      </c>
      <c r="D2159" s="1535">
        <f>ROUND(E2159*1.03,0)</f>
        <v>0</v>
      </c>
      <c r="E2159" s="1061"/>
      <c r="F2159" s="1056" t="str">
        <f>VLOOKUP($B2159,DG!A:D,DG!$C$2,)</f>
        <v>Cáp nhôm lõi thép AC-50/8</v>
      </c>
      <c r="G2159" s="1044" t="str">
        <f>VLOOKUP($B2159,DG!A:D,DG!$D$2,)</f>
        <v>kg</v>
      </c>
      <c r="H2159" s="1823">
        <f>$D2159</f>
        <v>0</v>
      </c>
      <c r="I2159" s="1823"/>
      <c r="J2159" s="1823"/>
      <c r="K2159" s="1823"/>
      <c r="L2159" s="1823"/>
      <c r="M2159" s="1823">
        <f t="shared" si="392"/>
        <v>0</v>
      </c>
      <c r="N2159" s="1823"/>
      <c r="O2159" s="1823"/>
      <c r="P2159" s="1823">
        <f t="shared" si="391"/>
        <v>0</v>
      </c>
      <c r="Q2159" s="1053"/>
      <c r="R2159" s="1053"/>
      <c r="S2159" s="1053"/>
      <c r="T2159" s="2035">
        <f t="shared" si="387"/>
        <v>0</v>
      </c>
    </row>
    <row r="2160" spans="1:20" ht="22.2" hidden="1" customHeight="1">
      <c r="A2160" s="59"/>
      <c r="B2160" s="1577" t="s">
        <v>1686</v>
      </c>
      <c r="C2160" s="1013" t="str">
        <f t="shared" si="390"/>
        <v xml:space="preserve"> </v>
      </c>
      <c r="D2160" s="1535">
        <f>ROUND(E2160*1.02,0)</f>
        <v>0</v>
      </c>
      <c r="E2160" s="1061">
        <f>pp_NC!P200</f>
        <v>0</v>
      </c>
      <c r="F2160" s="1056" t="str">
        <f>VLOOKUP($B2160,DG!A:D,DG!$C$2,)</f>
        <v>Cáp Duplex 2x11</v>
      </c>
      <c r="G2160" s="1044" t="str">
        <f>VLOOKUP($B2160,DG!A:D,DG!$D$2,)</f>
        <v>m</v>
      </c>
      <c r="H2160" s="1823">
        <f>$D2160</f>
        <v>0</v>
      </c>
      <c r="I2160" s="1823"/>
      <c r="J2160" s="1823"/>
      <c r="K2160" s="1823"/>
      <c r="L2160" s="1823"/>
      <c r="M2160" s="1823">
        <f t="shared" si="392"/>
        <v>0</v>
      </c>
      <c r="N2160" s="1823"/>
      <c r="O2160" s="1823"/>
      <c r="P2160" s="1823">
        <f t="shared" si="391"/>
        <v>0</v>
      </c>
      <c r="Q2160" s="1053"/>
      <c r="R2160" s="1053"/>
      <c r="S2160" s="1053"/>
      <c r="T2160" s="2035">
        <f t="shared" si="387"/>
        <v>0</v>
      </c>
    </row>
    <row r="2161" spans="1:20" ht="22.2" hidden="1" customHeight="1">
      <c r="A2161" s="59"/>
      <c r="B2161" s="1577" t="s">
        <v>1585</v>
      </c>
      <c r="C2161" s="1013" t="str">
        <f t="shared" si="390"/>
        <v xml:space="preserve"> </v>
      </c>
      <c r="D2161" s="1548">
        <f>ppht!DS339</f>
        <v>0</v>
      </c>
      <c r="E2161" s="1044"/>
      <c r="F2161" s="1056" t="str">
        <f>VLOOKUP($B2161,DG!A:D,DG!$C$2,)</f>
        <v>Kẹp 2 rãnh (APC) cỡ dây 50mm2</v>
      </c>
      <c r="G2161" s="1044" t="str">
        <f>VLOOKUP($B2161,DG!A:D,DG!$D$2,)</f>
        <v>cái</v>
      </c>
      <c r="H2161" s="1823">
        <f t="shared" ref="H2161:H2175" si="393">D2161</f>
        <v>0</v>
      </c>
      <c r="I2161" s="1823"/>
      <c r="J2161" s="1823"/>
      <c r="K2161" s="1823"/>
      <c r="L2161" s="1823"/>
      <c r="M2161" s="1823">
        <f t="shared" si="392"/>
        <v>0</v>
      </c>
      <c r="N2161" s="1823"/>
      <c r="O2161" s="1823"/>
      <c r="P2161" s="1823">
        <f t="shared" si="391"/>
        <v>0</v>
      </c>
      <c r="Q2161" s="1053"/>
      <c r="R2161" s="1053"/>
      <c r="S2161" s="1053"/>
      <c r="T2161" s="2035">
        <f t="shared" ref="T2161:T2224" si="394">IFERROR(HLOOKUP(B2161,BangKeTru,3,0),0)</f>
        <v>0</v>
      </c>
    </row>
    <row r="2162" spans="1:20" ht="22.2" hidden="1" customHeight="1">
      <c r="A2162" s="59"/>
      <c r="B2162" s="1577" t="s">
        <v>1584</v>
      </c>
      <c r="C2162" s="1013" t="str">
        <f t="shared" si="390"/>
        <v xml:space="preserve"> </v>
      </c>
      <c r="D2162" s="1548">
        <f>ppht!DT339</f>
        <v>0</v>
      </c>
      <c r="E2162" s="1044"/>
      <c r="F2162" s="1056" t="str">
        <f>VLOOKUP($B2162,DG!A:D,DG!$C$2,)</f>
        <v>Kẹp 2 rãnh (APC) cỡ dây 70mm2</v>
      </c>
      <c r="G2162" s="1044" t="str">
        <f>VLOOKUP($B2162,DG!A:D,DG!$D$2,)</f>
        <v>cái</v>
      </c>
      <c r="H2162" s="1823">
        <f t="shared" si="393"/>
        <v>0</v>
      </c>
      <c r="I2162" s="1823"/>
      <c r="J2162" s="1823"/>
      <c r="K2162" s="1823"/>
      <c r="L2162" s="1823"/>
      <c r="M2162" s="1823">
        <f t="shared" si="392"/>
        <v>0</v>
      </c>
      <c r="N2162" s="1823"/>
      <c r="O2162" s="1823"/>
      <c r="P2162" s="1823">
        <f t="shared" si="391"/>
        <v>0</v>
      </c>
      <c r="Q2162" s="1053"/>
      <c r="R2162" s="1053"/>
      <c r="S2162" s="1053"/>
      <c r="T2162" s="2035">
        <f t="shared" si="394"/>
        <v>0</v>
      </c>
    </row>
    <row r="2163" spans="1:20" ht="22.2" hidden="1" customHeight="1">
      <c r="A2163" s="59"/>
      <c r="B2163" s="1577" t="s">
        <v>1571</v>
      </c>
      <c r="C2163" s="1013" t="str">
        <f t="shared" si="390"/>
        <v xml:space="preserve"> </v>
      </c>
      <c r="D2163" s="1548">
        <f>+'ppht NC'!BW310</f>
        <v>0</v>
      </c>
      <c r="E2163" s="1044"/>
      <c r="F2163" s="1056" t="str">
        <f>VLOOKUP($B2163,DG!A:D,DG!$C$2,)</f>
        <v>Uclevis + sứ ống chỉ</v>
      </c>
      <c r="G2163" s="1044" t="str">
        <f>VLOOKUP($B2163,DG!A:D,DG!$D$2,)</f>
        <v>bộ</v>
      </c>
      <c r="H2163" s="1823">
        <f t="shared" si="393"/>
        <v>0</v>
      </c>
      <c r="I2163" s="1823"/>
      <c r="J2163" s="1823"/>
      <c r="K2163" s="1823"/>
      <c r="L2163" s="1823"/>
      <c r="M2163" s="1823">
        <f t="shared" ref="M2163:M2171" si="395">H2163</f>
        <v>0</v>
      </c>
      <c r="N2163" s="1823"/>
      <c r="O2163" s="1823"/>
      <c r="P2163" s="1823">
        <f t="shared" si="391"/>
        <v>0</v>
      </c>
      <c r="Q2163" s="1053"/>
      <c r="R2163" s="1053"/>
      <c r="S2163" s="1053"/>
      <c r="T2163" s="2035">
        <f t="shared" si="394"/>
        <v>0</v>
      </c>
    </row>
    <row r="2164" spans="1:20" ht="22.2" hidden="1" customHeight="1">
      <c r="A2164" s="59"/>
      <c r="B2164" s="1577" t="s">
        <v>1494</v>
      </c>
      <c r="C2164" s="1013" t="str">
        <f t="shared" si="390"/>
        <v xml:space="preserve"> </v>
      </c>
      <c r="D2164" s="1548">
        <f>ppht!BY339+pp_NC!EM182</f>
        <v>0</v>
      </c>
      <c r="E2164" s="1044"/>
      <c r="F2164" s="1056" t="str">
        <f>VLOOKUP($B2164,DG!A:D,DG!$C$2,)</f>
        <v>Rack 2 sứ + sứ ống chỉ</v>
      </c>
      <c r="G2164" s="1044" t="str">
        <f>VLOOKUP($B2164,DG!A:D,DG!$D$2,)</f>
        <v>bộ</v>
      </c>
      <c r="H2164" s="1823">
        <f t="shared" si="393"/>
        <v>0</v>
      </c>
      <c r="I2164" s="1823"/>
      <c r="J2164" s="1823"/>
      <c r="K2164" s="1823"/>
      <c r="L2164" s="1823"/>
      <c r="M2164" s="1823">
        <f t="shared" si="395"/>
        <v>0</v>
      </c>
      <c r="N2164" s="1823"/>
      <c r="O2164" s="1823"/>
      <c r="P2164" s="1823">
        <f t="shared" si="391"/>
        <v>0</v>
      </c>
      <c r="Q2164" s="1053"/>
      <c r="R2164" s="1053"/>
      <c r="S2164" s="1053"/>
      <c r="T2164" s="2035">
        <f t="shared" si="394"/>
        <v>0</v>
      </c>
    </row>
    <row r="2165" spans="1:20" ht="22.2" hidden="1" customHeight="1">
      <c r="A2165" s="59"/>
      <c r="B2165" s="1577" t="s">
        <v>278</v>
      </c>
      <c r="C2165" s="1013" t="str">
        <f t="shared" si="390"/>
        <v xml:space="preserve"> </v>
      </c>
      <c r="D2165" s="1548">
        <f>ppht!BZ339+pp_NC!EN182</f>
        <v>0</v>
      </c>
      <c r="E2165" s="1044"/>
      <c r="F2165" s="1056" t="str">
        <f>VLOOKUP($B2165,DG!A:D,DG!$C$2,)</f>
        <v>Rack 3 sứ + sứ ống chỉ</v>
      </c>
      <c r="G2165" s="1044" t="str">
        <f>VLOOKUP($B2165,DG!A:D,DG!$D$2,)</f>
        <v>bộ</v>
      </c>
      <c r="H2165" s="1823">
        <f t="shared" si="393"/>
        <v>0</v>
      </c>
      <c r="I2165" s="1823"/>
      <c r="J2165" s="1823"/>
      <c r="K2165" s="1823"/>
      <c r="L2165" s="1823"/>
      <c r="M2165" s="1823">
        <f t="shared" si="395"/>
        <v>0</v>
      </c>
      <c r="N2165" s="1823"/>
      <c r="O2165" s="1823"/>
      <c r="P2165" s="1823">
        <f t="shared" si="391"/>
        <v>0</v>
      </c>
      <c r="Q2165" s="1053"/>
      <c r="R2165" s="1053"/>
      <c r="S2165" s="1053"/>
      <c r="T2165" s="2035">
        <f t="shared" si="394"/>
        <v>0</v>
      </c>
    </row>
    <row r="2166" spans="1:20" ht="22.2" hidden="1" customHeight="1">
      <c r="A2166" s="59"/>
      <c r="B2166" s="1577" t="s">
        <v>698</v>
      </c>
      <c r="C2166" s="1013" t="str">
        <f t="shared" si="390"/>
        <v xml:space="preserve"> </v>
      </c>
      <c r="D2166" s="1548">
        <f>+'ppht NC'!BZ310</f>
        <v>0</v>
      </c>
      <c r="E2166" s="1044"/>
      <c r="F2166" s="1056" t="str">
        <f>VLOOKUP($B2166,DG!A:D,DG!$C$2,)</f>
        <v>Rack 4</v>
      </c>
      <c r="G2166" s="1044" t="str">
        <f>VLOOKUP($B2166,DG!A:D,DG!$D$2,)</f>
        <v>cái</v>
      </c>
      <c r="H2166" s="1823">
        <f t="shared" si="393"/>
        <v>0</v>
      </c>
      <c r="I2166" s="1823"/>
      <c r="J2166" s="1823"/>
      <c r="K2166" s="1823"/>
      <c r="L2166" s="1823"/>
      <c r="M2166" s="1823">
        <f t="shared" si="395"/>
        <v>0</v>
      </c>
      <c r="N2166" s="1823"/>
      <c r="O2166" s="1823"/>
      <c r="P2166" s="1823">
        <f t="shared" si="391"/>
        <v>0</v>
      </c>
      <c r="Q2166" s="1053"/>
      <c r="R2166" s="1053"/>
      <c r="S2166" s="1053"/>
      <c r="T2166" s="2035">
        <f t="shared" si="394"/>
        <v>0</v>
      </c>
    </row>
    <row r="2167" spans="1:20" ht="22.2" hidden="1" customHeight="1">
      <c r="A2167" s="59"/>
      <c r="B2167" s="1577" t="s">
        <v>1451</v>
      </c>
      <c r="C2167" s="1013" t="str">
        <f t="shared" si="390"/>
        <v xml:space="preserve"> </v>
      </c>
      <c r="D2167" s="1548">
        <f>+'ppht NC'!BV310</f>
        <v>0</v>
      </c>
      <c r="E2167" s="1044"/>
      <c r="F2167" s="1056" t="str">
        <f>VLOOKUP($B2167,DG!A:D,DG!$C$2,)</f>
        <v xml:space="preserve">Sứ ống chỉ </v>
      </c>
      <c r="G2167" s="1044" t="str">
        <f>VLOOKUP($B2167,DG!A:D,DG!$D$2,)</f>
        <v>cái</v>
      </c>
      <c r="H2167" s="1823">
        <f t="shared" si="393"/>
        <v>0</v>
      </c>
      <c r="I2167" s="1823"/>
      <c r="J2167" s="1823"/>
      <c r="K2167" s="1823"/>
      <c r="L2167" s="1823"/>
      <c r="M2167" s="1823">
        <f>H2167</f>
        <v>0</v>
      </c>
      <c r="N2167" s="1823"/>
      <c r="O2167" s="1823"/>
      <c r="P2167" s="1823">
        <f t="shared" si="391"/>
        <v>0</v>
      </c>
      <c r="Q2167" s="1053"/>
      <c r="R2167" s="1053"/>
      <c r="S2167" s="1053"/>
      <c r="T2167" s="2035">
        <f t="shared" si="394"/>
        <v>0</v>
      </c>
    </row>
    <row r="2168" spans="1:20" ht="22.2" hidden="1" customHeight="1">
      <c r="A2168" s="59"/>
      <c r="B2168" s="1584" t="s">
        <v>1612</v>
      </c>
      <c r="C2168" s="1013" t="str">
        <f t="shared" si="390"/>
        <v xml:space="preserve"> </v>
      </c>
      <c r="D2168" s="1548">
        <f>+'ppht NC'!CA310</f>
        <v>0</v>
      </c>
      <c r="E2168" s="1044"/>
      <c r="F2168" s="1056" t="str">
        <f>VLOOKUP($B2168,DG!A:D,DG!$C$2,)</f>
        <v>Boulon 16x250+ 2 long đền vuông D18-50x50x3/Zn</v>
      </c>
      <c r="G2168" s="1044" t="str">
        <f>VLOOKUP($B2168,DG!A:D,DG!$D$2,)</f>
        <v>bộ</v>
      </c>
      <c r="H2168" s="1823">
        <f t="shared" si="393"/>
        <v>0</v>
      </c>
      <c r="I2168" s="1823"/>
      <c r="J2168" s="1823"/>
      <c r="K2168" s="1823"/>
      <c r="L2168" s="1823"/>
      <c r="M2168" s="1823">
        <f t="shared" si="395"/>
        <v>0</v>
      </c>
      <c r="N2168" s="1823"/>
      <c r="O2168" s="1823"/>
      <c r="P2168" s="1823">
        <f t="shared" si="391"/>
        <v>0</v>
      </c>
      <c r="Q2168" s="1053"/>
      <c r="R2168" s="1053"/>
      <c r="S2168" s="1053"/>
      <c r="T2168" s="2035">
        <f t="shared" si="394"/>
        <v>0</v>
      </c>
    </row>
    <row r="2169" spans="1:20" ht="22.2" hidden="1" customHeight="1">
      <c r="A2169" s="59"/>
      <c r="B2169" s="1584" t="s">
        <v>1613</v>
      </c>
      <c r="C2169" s="1013" t="str">
        <f t="shared" si="390"/>
        <v xml:space="preserve"> </v>
      </c>
      <c r="D2169" s="1548">
        <f>+'ppht NC'!CB310</f>
        <v>0</v>
      </c>
      <c r="E2169" s="1044"/>
      <c r="F2169" s="1056" t="str">
        <f>VLOOKUP($B2169,DG!A:D,DG!$C$2,)</f>
        <v>Boulon 16x300+ 2 long đền vuông D18-50x50x3/Zn</v>
      </c>
      <c r="G2169" s="1044" t="str">
        <f>VLOOKUP($B2169,DG!A:D,DG!$D$2,)</f>
        <v>bộ</v>
      </c>
      <c r="H2169" s="1823">
        <f t="shared" si="393"/>
        <v>0</v>
      </c>
      <c r="I2169" s="1823"/>
      <c r="J2169" s="1823"/>
      <c r="K2169" s="1823"/>
      <c r="L2169" s="1823"/>
      <c r="M2169" s="1823">
        <f t="shared" si="395"/>
        <v>0</v>
      </c>
      <c r="N2169" s="1823"/>
      <c r="O2169" s="1823"/>
      <c r="P2169" s="1823">
        <f t="shared" si="391"/>
        <v>0</v>
      </c>
      <c r="Q2169" s="1053"/>
      <c r="R2169" s="1053"/>
      <c r="S2169" s="1053"/>
      <c r="T2169" s="2035">
        <f t="shared" si="394"/>
        <v>0</v>
      </c>
    </row>
    <row r="2170" spans="1:20" ht="22.2" hidden="1" customHeight="1">
      <c r="A2170" s="59"/>
      <c r="B2170" s="1584" t="s">
        <v>1185</v>
      </c>
      <c r="C2170" s="1013" t="str">
        <f t="shared" si="390"/>
        <v xml:space="preserve"> </v>
      </c>
      <c r="D2170" s="1548">
        <f>ppht!CD339</f>
        <v>0</v>
      </c>
      <c r="E2170" s="1044"/>
      <c r="F2170" s="1056" t="str">
        <f>VLOOKUP($B2170,DG!A:D,DG!$C$2,)</f>
        <v>Boulon 16x350+ 2 long đền vuông D18-50x50x3/Zn</v>
      </c>
      <c r="G2170" s="1044" t="str">
        <f>VLOOKUP($B2170,DG!A:D,DG!$D$2,)</f>
        <v>bộ</v>
      </c>
      <c r="H2170" s="1823">
        <f t="shared" si="393"/>
        <v>0</v>
      </c>
      <c r="I2170" s="1823"/>
      <c r="J2170" s="1823"/>
      <c r="K2170" s="1823"/>
      <c r="L2170" s="1823"/>
      <c r="M2170" s="1823">
        <f t="shared" si="395"/>
        <v>0</v>
      </c>
      <c r="N2170" s="1823"/>
      <c r="O2170" s="1823"/>
      <c r="P2170" s="1823">
        <f t="shared" si="391"/>
        <v>0</v>
      </c>
      <c r="Q2170" s="1053"/>
      <c r="R2170" s="1053"/>
      <c r="S2170" s="1053"/>
      <c r="T2170" s="2035">
        <f t="shared" si="394"/>
        <v>0</v>
      </c>
    </row>
    <row r="2171" spans="1:20" ht="22.2" hidden="1" customHeight="1">
      <c r="A2171" s="59"/>
      <c r="B2171" s="1584" t="s">
        <v>1023</v>
      </c>
      <c r="C2171" s="1013" t="str">
        <f t="shared" si="390"/>
        <v xml:space="preserve"> </v>
      </c>
      <c r="D2171" s="1548">
        <f>ppht!BF339</f>
        <v>0</v>
      </c>
      <c r="E2171" s="1044"/>
      <c r="F2171" s="1056" t="str">
        <f>VLOOKUP($B2171,DG!A:D,DG!$C$2,)</f>
        <v>Cáp thép 3/8"</v>
      </c>
      <c r="G2171" s="1044" t="str">
        <f>VLOOKUP($B2171,DG!A:D,DG!$D$2,)</f>
        <v>kg</v>
      </c>
      <c r="H2171" s="1823">
        <f t="shared" si="393"/>
        <v>0</v>
      </c>
      <c r="I2171" s="1823"/>
      <c r="J2171" s="1823"/>
      <c r="K2171" s="1823"/>
      <c r="L2171" s="1823"/>
      <c r="M2171" s="1823">
        <f t="shared" si="395"/>
        <v>0</v>
      </c>
      <c r="N2171" s="1823"/>
      <c r="O2171" s="1823"/>
      <c r="P2171" s="1823">
        <f t="shared" si="391"/>
        <v>0</v>
      </c>
      <c r="Q2171" s="1053"/>
      <c r="R2171" s="1053"/>
      <c r="S2171" s="1053"/>
      <c r="T2171" s="2035">
        <f t="shared" si="394"/>
        <v>0</v>
      </c>
    </row>
    <row r="2172" spans="1:20" ht="22.2" hidden="1" customHeight="1">
      <c r="A2172" s="59"/>
      <c r="B2172" s="1584" t="s">
        <v>1490</v>
      </c>
      <c r="C2172" s="1013" t="str">
        <f t="shared" si="390"/>
        <v xml:space="preserve"> </v>
      </c>
      <c r="D2172" s="1535"/>
      <c r="E2172" s="1044"/>
      <c r="F2172" s="1056" t="str">
        <f>VLOOKUP($B2172,DG!A:D,DG!$C$2,)</f>
        <v>Ống nối dây cỡ 50mm2</v>
      </c>
      <c r="G2172" s="1044" t="str">
        <f>VLOOKUP($B2172,DG!A:D,DG!$D$2,)</f>
        <v>cái</v>
      </c>
      <c r="H2172" s="1823">
        <f t="shared" si="393"/>
        <v>0</v>
      </c>
      <c r="I2172" s="1823"/>
      <c r="J2172" s="1823"/>
      <c r="K2172" s="1823"/>
      <c r="L2172" s="1823"/>
      <c r="M2172" s="1823">
        <f>H2172</f>
        <v>0</v>
      </c>
      <c r="N2172" s="1823"/>
      <c r="O2172" s="1823"/>
      <c r="P2172" s="1823">
        <f t="shared" si="391"/>
        <v>0</v>
      </c>
      <c r="Q2172" s="1053"/>
      <c r="R2172" s="1053"/>
      <c r="S2172" s="1053"/>
      <c r="T2172" s="2035">
        <f t="shared" si="394"/>
        <v>0</v>
      </c>
    </row>
    <row r="2173" spans="1:20" ht="22.2" hidden="1" customHeight="1">
      <c r="A2173" s="59"/>
      <c r="B2173" s="1584" t="s">
        <v>1491</v>
      </c>
      <c r="C2173" s="1013" t="str">
        <f t="shared" si="390"/>
        <v xml:space="preserve"> </v>
      </c>
      <c r="D2173" s="1535">
        <f>ROUND(D2157/2000,0)</f>
        <v>0</v>
      </c>
      <c r="E2173" s="1044"/>
      <c r="F2173" s="1056" t="str">
        <f>VLOOKUP($B2173,DG!A:D,DG!$C$2,)</f>
        <v>Ống nối dây cỡ 70mm2</v>
      </c>
      <c r="G2173" s="1044" t="str">
        <f>VLOOKUP($B2173,DG!A:D,DG!$D$2,)</f>
        <v>cái</v>
      </c>
      <c r="H2173" s="1823">
        <f t="shared" si="393"/>
        <v>0</v>
      </c>
      <c r="I2173" s="1823"/>
      <c r="J2173" s="1823"/>
      <c r="K2173" s="1823"/>
      <c r="L2173" s="1823"/>
      <c r="M2173" s="1823">
        <f>H2173</f>
        <v>0</v>
      </c>
      <c r="N2173" s="1823"/>
      <c r="O2173" s="1823"/>
      <c r="P2173" s="1823">
        <f t="shared" si="391"/>
        <v>0</v>
      </c>
      <c r="Q2173" s="1053"/>
      <c r="R2173" s="1053"/>
      <c r="S2173" s="1053"/>
      <c r="T2173" s="2035">
        <f t="shared" si="394"/>
        <v>0</v>
      </c>
    </row>
    <row r="2174" spans="1:20" ht="22.2" hidden="1" customHeight="1">
      <c r="A2174" s="59"/>
      <c r="B2174" s="1584" t="s">
        <v>1573</v>
      </c>
      <c r="C2174" s="1013" t="str">
        <f t="shared" si="390"/>
        <v xml:space="preserve"> </v>
      </c>
      <c r="D2174" s="1535"/>
      <c r="E2174" s="1044"/>
      <c r="F2174" s="1056" t="str">
        <f>VLOOKUP($B2174,DG!A:D,DG!$C$2,)</f>
        <v>Biển số - Bảng nguy hiểm</v>
      </c>
      <c r="G2174" s="1044" t="str">
        <f>VLOOKUP($B2174,DG!A:D,DG!$D$2,)</f>
        <v>cái</v>
      </c>
      <c r="H2174" s="1823">
        <f t="shared" si="393"/>
        <v>0</v>
      </c>
      <c r="I2174" s="1823"/>
      <c r="J2174" s="1823"/>
      <c r="K2174" s="1823"/>
      <c r="L2174" s="1823"/>
      <c r="M2174" s="1823">
        <f>H2174</f>
        <v>0</v>
      </c>
      <c r="N2174" s="1823"/>
      <c r="O2174" s="1823"/>
      <c r="P2174" s="1823">
        <f t="shared" si="391"/>
        <v>0</v>
      </c>
      <c r="Q2174" s="1053"/>
      <c r="R2174" s="1053"/>
      <c r="S2174" s="1053"/>
      <c r="T2174" s="2035">
        <f t="shared" si="394"/>
        <v>0</v>
      </c>
    </row>
    <row r="2175" spans="1:20" ht="22.2" hidden="1" customHeight="1">
      <c r="A2175" s="59"/>
      <c r="B2175" s="1584" t="s">
        <v>229</v>
      </c>
      <c r="C2175" s="1013" t="str">
        <f t="shared" si="390"/>
        <v xml:space="preserve"> </v>
      </c>
      <c r="D2175" s="1535">
        <f>SUM(D2177:D2177)*5/1.4</f>
        <v>0</v>
      </c>
      <c r="E2175" s="1044"/>
      <c r="F2175" s="1056" t="str">
        <f>VLOOKUP($B2175,DG!A:D,DG!$C$2,)</f>
        <v xml:space="preserve">Dây nhôm buộc </v>
      </c>
      <c r="G2175" s="1044" t="str">
        <f>VLOOKUP($B2175,DG!A:D,DG!$D$2,)</f>
        <v>kg</v>
      </c>
      <c r="H2175" s="1823">
        <f t="shared" si="393"/>
        <v>0</v>
      </c>
      <c r="I2175" s="1823"/>
      <c r="J2175" s="1823"/>
      <c r="K2175" s="1823"/>
      <c r="L2175" s="1823"/>
      <c r="M2175" s="1823">
        <f>H2175</f>
        <v>0</v>
      </c>
      <c r="N2175" s="1823"/>
      <c r="O2175" s="1823"/>
      <c r="P2175" s="1823">
        <f t="shared" si="391"/>
        <v>0</v>
      </c>
      <c r="Q2175" s="1053"/>
      <c r="R2175" s="1053"/>
      <c r="S2175" s="1053"/>
      <c r="T2175" s="2035">
        <f t="shared" si="394"/>
        <v>0</v>
      </c>
    </row>
    <row r="2176" spans="1:20" ht="22.2" hidden="1" customHeight="1">
      <c r="A2176" s="59"/>
      <c r="B2176" s="1584" t="s">
        <v>451</v>
      </c>
      <c r="C2176" s="1013" t="str">
        <f t="shared" si="390"/>
        <v xml:space="preserve"> </v>
      </c>
      <c r="D2176" s="1534">
        <f>ROUND(E2158/1000,2)</f>
        <v>0</v>
      </c>
      <c r="E2176" s="1044" t="str">
        <f>VLOOKUP($B2176,DG!A:D,DG!$B$2,)</f>
        <v>06.6124</v>
      </c>
      <c r="F2176" s="1049" t="str">
        <f>VLOOKUP($B2176,DG!A:D,DG!$C$2,)</f>
        <v>Kéo dây nhôm bọc 50mm2</v>
      </c>
      <c r="G2176" s="1044" t="str">
        <f>VLOOKUP($B2176,DG!A:D,DG!$D$2,)</f>
        <v>km</v>
      </c>
      <c r="H2176" s="1823"/>
      <c r="I2176" s="1823"/>
      <c r="J2176" s="1823"/>
      <c r="K2176" s="1823"/>
      <c r="L2176" s="1823"/>
      <c r="M2176" s="1823"/>
      <c r="N2176" s="1823"/>
      <c r="O2176" s="1823"/>
      <c r="P2176" s="1823">
        <f t="shared" si="391"/>
        <v>0</v>
      </c>
      <c r="Q2176" s="1053"/>
      <c r="R2176" s="1053"/>
      <c r="S2176" s="1053"/>
      <c r="T2176" s="2035">
        <f t="shared" si="394"/>
        <v>0</v>
      </c>
    </row>
    <row r="2177" spans="1:20" ht="22.2" hidden="1" customHeight="1">
      <c r="A2177" s="59"/>
      <c r="B2177" s="1584" t="s">
        <v>79</v>
      </c>
      <c r="C2177" s="1013" t="str">
        <f t="shared" ref="C2177:C2240" si="396">IF(OR(P2177&lt;&gt;0,H2177&lt;&gt;0),"x"," ")</f>
        <v xml:space="preserve"> </v>
      </c>
      <c r="D2177" s="1534">
        <f>ROUND(E2157/1000,2)</f>
        <v>0</v>
      </c>
      <c r="E2177" s="1044" t="str">
        <f>VLOOKUP($B2177,DG!A:D,DG!$B$2,)</f>
        <v>06.6105</v>
      </c>
      <c r="F2177" s="1049" t="str">
        <f>VLOOKUP($B2177,DG!A:D,DG!$C$2,)</f>
        <v>Kéo dây nhôm bọc 70mm2</v>
      </c>
      <c r="G2177" s="1044" t="str">
        <f>VLOOKUP($B2177,DG!A:D,DG!$D$2,)</f>
        <v>km</v>
      </c>
      <c r="H2177" s="1823"/>
      <c r="I2177" s="1823"/>
      <c r="J2177" s="1823"/>
      <c r="K2177" s="1823"/>
      <c r="L2177" s="1823"/>
      <c r="M2177" s="1823"/>
      <c r="N2177" s="1823"/>
      <c r="O2177" s="1823"/>
      <c r="P2177" s="1823">
        <f t="shared" si="391"/>
        <v>0</v>
      </c>
      <c r="Q2177" s="1053"/>
      <c r="R2177" s="1053"/>
      <c r="S2177" s="1053"/>
      <c r="T2177" s="2035">
        <f t="shared" si="394"/>
        <v>0</v>
      </c>
    </row>
    <row r="2178" spans="1:20" ht="22.2" hidden="1" customHeight="1">
      <c r="A2178" s="59"/>
      <c r="B2178" s="1584" t="s">
        <v>1272</v>
      </c>
      <c r="C2178" s="1013" t="str">
        <f t="shared" si="396"/>
        <v xml:space="preserve"> </v>
      </c>
      <c r="D2178" s="1534">
        <f>ROUND(E2159/1000,2)</f>
        <v>0</v>
      </c>
      <c r="E2178" s="1044" t="str">
        <f>VLOOKUP($B2178,DG!A:D,DG!$B$2,)</f>
        <v>06.6114</v>
      </c>
      <c r="F2178" s="1049" t="str">
        <f>VLOOKUP($B2178,DG!A:D,DG!$C$2,)</f>
        <v>Kéo dây nhôm lõi thép cỡ dây 50mm2</v>
      </c>
      <c r="G2178" s="1044" t="str">
        <f>VLOOKUP($B2178,DG!A:D,DG!$D$2,)</f>
        <v>km</v>
      </c>
      <c r="H2178" s="1823"/>
      <c r="I2178" s="1823"/>
      <c r="J2178" s="1823"/>
      <c r="K2178" s="1823"/>
      <c r="L2178" s="1823"/>
      <c r="M2178" s="1823"/>
      <c r="N2178" s="1823"/>
      <c r="O2178" s="1823"/>
      <c r="P2178" s="1823">
        <f t="shared" si="391"/>
        <v>0</v>
      </c>
      <c r="Q2178" s="1053"/>
      <c r="R2178" s="1053"/>
      <c r="S2178" s="1053"/>
      <c r="T2178" s="2035">
        <f t="shared" si="394"/>
        <v>0</v>
      </c>
    </row>
    <row r="2179" spans="1:20" ht="22.2" hidden="1" customHeight="1">
      <c r="A2179" s="59"/>
      <c r="B2179" s="1577" t="s">
        <v>1899</v>
      </c>
      <c r="C2179" s="1013" t="str">
        <f t="shared" si="396"/>
        <v xml:space="preserve"> </v>
      </c>
      <c r="D2179" s="1535">
        <f>D2163</f>
        <v>0</v>
      </c>
      <c r="E2179" s="1044" t="str">
        <f>VLOOKUP($B2179,DG!A:D,DG!$B$2,)</f>
        <v>06.1211</v>
      </c>
      <c r="F2179" s="1049" t="str">
        <f>VLOOKUP($B2179,DG!A:D,DG!$C$2,)</f>
        <v>Lắp rack sứ + sứ ống chỉ</v>
      </c>
      <c r="G2179" s="1044" t="str">
        <f>VLOOKUP($B2179,DG!A:D,DG!$D$2,)</f>
        <v>bộ</v>
      </c>
      <c r="H2179" s="1823"/>
      <c r="I2179" s="1823"/>
      <c r="J2179" s="1823"/>
      <c r="K2179" s="1823"/>
      <c r="L2179" s="1823"/>
      <c r="M2179" s="1823"/>
      <c r="N2179" s="1823"/>
      <c r="O2179" s="1823"/>
      <c r="P2179" s="1823">
        <f t="shared" si="391"/>
        <v>0</v>
      </c>
      <c r="Q2179" s="1053"/>
      <c r="R2179" s="1053"/>
      <c r="S2179" s="1053"/>
      <c r="T2179" s="2035">
        <f t="shared" si="394"/>
        <v>0</v>
      </c>
    </row>
    <row r="2180" spans="1:20" ht="22.2" hidden="1" customHeight="1">
      <c r="A2180" s="59"/>
      <c r="B2180" s="1577" t="s">
        <v>125</v>
      </c>
      <c r="C2180" s="1013" t="str">
        <f t="shared" si="396"/>
        <v xml:space="preserve"> </v>
      </c>
      <c r="D2180" s="1535">
        <f>D2164</f>
        <v>0</v>
      </c>
      <c r="E2180" s="1044" t="str">
        <f>VLOOKUP($B2180,DG!A:D,DG!$B$2,)</f>
        <v>06.1213</v>
      </c>
      <c r="F2180" s="1049" t="str">
        <f>VLOOKUP($B2180,DG!A:D,DG!$C$2,)</f>
        <v>Lắp rack 2 sứ + sứ ống chỉ</v>
      </c>
      <c r="G2180" s="1044" t="str">
        <f>VLOOKUP($B2180,DG!A:D,DG!$D$2,)</f>
        <v>bộ</v>
      </c>
      <c r="H2180" s="1823"/>
      <c r="I2180" s="1823"/>
      <c r="J2180" s="1823"/>
      <c r="K2180" s="1823"/>
      <c r="L2180" s="1823"/>
      <c r="M2180" s="1823"/>
      <c r="N2180" s="1823"/>
      <c r="O2180" s="1823"/>
      <c r="P2180" s="1823">
        <f t="shared" si="391"/>
        <v>0</v>
      </c>
      <c r="Q2180" s="1053"/>
      <c r="R2180" s="1053"/>
      <c r="S2180" s="1053"/>
      <c r="T2180" s="2035">
        <f t="shared" si="394"/>
        <v>0</v>
      </c>
    </row>
    <row r="2181" spans="1:20" ht="22.2" hidden="1" customHeight="1">
      <c r="A2181" s="59"/>
      <c r="B2181" s="1577" t="s">
        <v>452</v>
      </c>
      <c r="C2181" s="1013" t="str">
        <f t="shared" si="396"/>
        <v xml:space="preserve"> </v>
      </c>
      <c r="D2181" s="1535">
        <f>D2165</f>
        <v>0</v>
      </c>
      <c r="E2181" s="1044" t="str">
        <f>VLOOKUP($B2181,DG!A:D,DG!$B$2,)</f>
        <v>06.1214</v>
      </c>
      <c r="F2181" s="1049" t="str">
        <f>VLOOKUP($B2181,DG!A:D,DG!$C$2,)</f>
        <v>Lắp rack 3 sứ + sứ ống chỉ</v>
      </c>
      <c r="G2181" s="1044" t="str">
        <f>VLOOKUP($B2181,DG!A:D,DG!$D$2,)</f>
        <v>bộ</v>
      </c>
      <c r="H2181" s="1823"/>
      <c r="I2181" s="1823"/>
      <c r="J2181" s="1823"/>
      <c r="K2181" s="1823"/>
      <c r="L2181" s="1823"/>
      <c r="M2181" s="1823"/>
      <c r="N2181" s="1823"/>
      <c r="O2181" s="1823"/>
      <c r="P2181" s="1823">
        <f t="shared" si="391"/>
        <v>0</v>
      </c>
      <c r="Q2181" s="1058"/>
      <c r="R2181" s="1058"/>
      <c r="S2181" s="1058"/>
      <c r="T2181" s="2035">
        <f t="shared" si="394"/>
        <v>0</v>
      </c>
    </row>
    <row r="2182" spans="1:20" ht="22.2" hidden="1" customHeight="1">
      <c r="A2182" s="59"/>
      <c r="B2182" s="1577" t="s">
        <v>689</v>
      </c>
      <c r="C2182" s="1013" t="str">
        <f t="shared" si="396"/>
        <v xml:space="preserve"> </v>
      </c>
      <c r="D2182" s="1535">
        <f>D2166</f>
        <v>0</v>
      </c>
      <c r="E2182" s="1044" t="str">
        <f>VLOOKUP($B2182,DG!A:D,DG!$B$2,)</f>
        <v>06.1215</v>
      </c>
      <c r="F2182" s="1049" t="str">
        <f>VLOOKUP($B2182,DG!A:D,DG!$C$2,)</f>
        <v>Lắp rack 4 sứ + sứ ống chỉ</v>
      </c>
      <c r="G2182" s="1044" t="str">
        <f>VLOOKUP($B2182,DG!A:D,DG!$D$2,)</f>
        <v>bộ</v>
      </c>
      <c r="H2182" s="1823"/>
      <c r="I2182" s="1823"/>
      <c r="J2182" s="1823"/>
      <c r="K2182" s="1823"/>
      <c r="L2182" s="1823"/>
      <c r="M2182" s="1823"/>
      <c r="N2182" s="1823"/>
      <c r="O2182" s="1823"/>
      <c r="P2182" s="1823">
        <f t="shared" si="391"/>
        <v>0</v>
      </c>
      <c r="Q2182" s="1053"/>
      <c r="R2182" s="1053"/>
      <c r="S2182" s="1053"/>
      <c r="T2182" s="2035">
        <f t="shared" si="394"/>
        <v>0</v>
      </c>
    </row>
    <row r="2183" spans="1:20" ht="22.2" hidden="1" customHeight="1">
      <c r="A2183" s="59"/>
      <c r="B2183" s="1577" t="s">
        <v>352</v>
      </c>
      <c r="C2183" s="1013" t="str">
        <f t="shared" si="396"/>
        <v xml:space="preserve"> </v>
      </c>
      <c r="D2183" s="1535">
        <f>D2174</f>
        <v>0</v>
      </c>
      <c r="E2183" s="1044" t="str">
        <f>VLOOKUP($B2183,DG!A:D,DG!$B$2,)</f>
        <v>06.2070</v>
      </c>
      <c r="F2183" s="1056" t="str">
        <f>VLOOKUP($B2183,DG!A:D,DG!$C$2,)</f>
        <v>Sơn biển số- bảng nguy hiểm</v>
      </c>
      <c r="G2183" s="1044" t="str">
        <f>VLOOKUP($B2183,DG!A:D,DG!$D$2,)</f>
        <v>cái</v>
      </c>
      <c r="H2183" s="1823"/>
      <c r="I2183" s="1823"/>
      <c r="J2183" s="1823"/>
      <c r="K2183" s="1823"/>
      <c r="L2183" s="1823"/>
      <c r="M2183" s="1823"/>
      <c r="N2183" s="1823"/>
      <c r="O2183" s="1823"/>
      <c r="P2183" s="1823">
        <f t="shared" si="391"/>
        <v>0</v>
      </c>
      <c r="Q2183" s="1053"/>
      <c r="R2183" s="1053"/>
      <c r="S2183" s="1053"/>
      <c r="T2183" s="2035">
        <f t="shared" si="394"/>
        <v>0</v>
      </c>
    </row>
    <row r="2184" spans="1:20" ht="22.2" hidden="1" customHeight="1">
      <c r="A2184" s="59"/>
      <c r="B2184" s="1577" t="s">
        <v>355</v>
      </c>
      <c r="C2184" s="1013" t="str">
        <f t="shared" si="396"/>
        <v xml:space="preserve"> </v>
      </c>
      <c r="D2184" s="1534">
        <f>D2187</f>
        <v>0</v>
      </c>
      <c r="E2184" s="1044" t="str">
        <f>VLOOKUP($B2184,DG!A:D,DG!$B$2,)</f>
        <v>02.1122</v>
      </c>
      <c r="F2184" s="1049" t="str">
        <f>VLOOKUP($B2184,DG!A:D,DG!$C$2,)</f>
        <v>Bốc dỡ dây</v>
      </c>
      <c r="G2184" s="1044" t="str">
        <f>VLOOKUP($B2184,DG!A:D,DG!$D$2,)</f>
        <v>tấn</v>
      </c>
      <c r="H2184" s="1823"/>
      <c r="I2184" s="1823"/>
      <c r="J2184" s="1823"/>
      <c r="K2184" s="1823"/>
      <c r="L2184" s="1823"/>
      <c r="M2184" s="1823"/>
      <c r="N2184" s="1823"/>
      <c r="O2184" s="1823"/>
      <c r="P2184" s="1823">
        <f t="shared" si="391"/>
        <v>0</v>
      </c>
      <c r="Q2184" s="1058"/>
      <c r="R2184" s="1058"/>
      <c r="S2184" s="1058"/>
      <c r="T2184" s="2035">
        <f t="shared" si="394"/>
        <v>0</v>
      </c>
    </row>
    <row r="2185" spans="1:20" ht="22.2" hidden="1" customHeight="1">
      <c r="A2185" s="59"/>
      <c r="B2185" s="1577" t="s">
        <v>1906</v>
      </c>
      <c r="C2185" s="1013" t="str">
        <f t="shared" si="396"/>
        <v xml:space="preserve"> </v>
      </c>
      <c r="D2185" s="1534">
        <f>D2186</f>
        <v>0</v>
      </c>
      <c r="E2185" s="1044" t="str">
        <f>VLOOKUP($B2185,DG!A:D,DG!$B$2,)</f>
        <v>02.1120</v>
      </c>
      <c r="F2185" s="1049" t="str">
        <f>VLOOKUP($B2185,DG!A:D,DG!$C$2,)</f>
        <v>Bốc dỡ phụ kiện</v>
      </c>
      <c r="G2185" s="1044" t="str">
        <f>VLOOKUP($B2185,DG!A:D,DG!$D$2,)</f>
        <v>tấn</v>
      </c>
      <c r="H2185" s="1823"/>
      <c r="I2185" s="1823"/>
      <c r="J2185" s="1823"/>
      <c r="K2185" s="1823"/>
      <c r="L2185" s="1823"/>
      <c r="M2185" s="1823"/>
      <c r="N2185" s="1823"/>
      <c r="O2185" s="1823"/>
      <c r="P2185" s="1823">
        <f t="shared" si="391"/>
        <v>0</v>
      </c>
      <c r="Q2185" s="1058"/>
      <c r="R2185" s="1058"/>
      <c r="S2185" s="1058"/>
      <c r="T2185" s="2035">
        <f t="shared" si="394"/>
        <v>0</v>
      </c>
    </row>
    <row r="2186" spans="1:20" ht="22.2" hidden="1" customHeight="1">
      <c r="A2186" s="59"/>
      <c r="B2186" s="1590" t="s">
        <v>356</v>
      </c>
      <c r="C2186" s="1013" t="str">
        <f t="shared" si="396"/>
        <v xml:space="preserve"> </v>
      </c>
      <c r="D2186" s="1534">
        <f>(D2163*1+D2164*2+D2165*3+D2166*4)/1000</f>
        <v>0</v>
      </c>
      <c r="E2186" s="1044" t="str">
        <f>VLOOKUP($B2186,DG!A:C,2,)</f>
        <v>02.1421</v>
      </c>
      <c r="F2186" s="1049" t="str">
        <f>VLOOKUP($B2186,DG!A:C,3,)</f>
        <v>V/c phụ kiện vào vị trí (cự ly &lt;=100m)</v>
      </c>
      <c r="G2186" s="1044" t="str">
        <f>VLOOKUP($B2186,DG!A:D,4,0)</f>
        <v>tấn</v>
      </c>
      <c r="H2186" s="1823"/>
      <c r="I2186" s="1823"/>
      <c r="J2186" s="1823"/>
      <c r="K2186" s="1823"/>
      <c r="L2186" s="1823"/>
      <c r="M2186" s="1823"/>
      <c r="N2186" s="1823"/>
      <c r="O2186" s="1823"/>
      <c r="P2186" s="1823">
        <f t="shared" si="391"/>
        <v>0</v>
      </c>
      <c r="Q2186" s="1058"/>
      <c r="R2186" s="1058"/>
      <c r="S2186" s="1058"/>
      <c r="T2186" s="2035">
        <f t="shared" si="394"/>
        <v>0</v>
      </c>
    </row>
    <row r="2187" spans="1:20" ht="22.2" hidden="1" customHeight="1">
      <c r="A2187" s="59"/>
      <c r="B2187" s="1590" t="s">
        <v>357</v>
      </c>
      <c r="C2187" s="1013" t="str">
        <f t="shared" si="396"/>
        <v xml:space="preserve"> </v>
      </c>
      <c r="D2187" s="1534">
        <f>ROUND((D2157*0.308+D2158*0.229)*1.05/1000,2)</f>
        <v>0</v>
      </c>
      <c r="E2187" s="1044" t="str">
        <f>VLOOKUP($B2187,DG!A:C,2,)</f>
        <v>02.1441</v>
      </c>
      <c r="F2187" s="1049" t="str">
        <f>VLOOKUP($B2187,DG!A:C,3,)</f>
        <v>V/c dây vào vị trí (cự ly &lt;=100m)</v>
      </c>
      <c r="G2187" s="1044" t="str">
        <f>VLOOKUP($B2187,DG!A:D,4,0)</f>
        <v>tấn</v>
      </c>
      <c r="H2187" s="1823"/>
      <c r="I2187" s="1823"/>
      <c r="J2187" s="1823"/>
      <c r="K2187" s="1823"/>
      <c r="L2187" s="1823"/>
      <c r="M2187" s="1823"/>
      <c r="N2187" s="1823"/>
      <c r="O2187" s="1823"/>
      <c r="P2187" s="1823">
        <f t="shared" si="391"/>
        <v>0</v>
      </c>
      <c r="Q2187" s="1058"/>
      <c r="R2187" s="1058"/>
      <c r="S2187" s="1058"/>
      <c r="T2187" s="2035">
        <f t="shared" si="394"/>
        <v>0</v>
      </c>
    </row>
    <row r="2188" spans="1:20" ht="22.2" hidden="1" customHeight="1">
      <c r="A2188" s="59"/>
      <c r="B2188" s="1588" t="s">
        <v>606</v>
      </c>
      <c r="C2188" s="1013" t="str">
        <f t="shared" si="396"/>
        <v xml:space="preserve"> </v>
      </c>
      <c r="D2188" s="1534">
        <f>IF(D2187&lt;&gt;0,2,0)</f>
        <v>0</v>
      </c>
      <c r="E2188" s="1044" t="str">
        <f>VLOOKUP($B2188,DG!A:C,2,)</f>
        <v>02.1482</v>
      </c>
      <c r="F2188" s="1049" t="str">
        <f>VLOOKUP($B2188,DG!A:C,3,)</f>
        <v>V/c dụng cụ thi công vào vị trí (cự ly &lt;=100m)</v>
      </c>
      <c r="G2188" s="1044" t="str">
        <f>VLOOKUP($B2188,DG!A:D,4,0)</f>
        <v>tấn</v>
      </c>
      <c r="H2188" s="1823"/>
      <c r="I2188" s="1823"/>
      <c r="J2188" s="1823"/>
      <c r="K2188" s="1823"/>
      <c r="L2188" s="1823"/>
      <c r="M2188" s="1823"/>
      <c r="N2188" s="1823"/>
      <c r="O2188" s="1823"/>
      <c r="P2188" s="1823">
        <f t="shared" si="391"/>
        <v>0</v>
      </c>
      <c r="Q2188" s="1058"/>
      <c r="R2188" s="1058"/>
      <c r="S2188" s="1058"/>
      <c r="T2188" s="2035">
        <f t="shared" si="394"/>
        <v>0</v>
      </c>
    </row>
    <row r="2189" spans="1:20" ht="22.2" hidden="1" customHeight="1">
      <c r="A2189" s="56" t="s">
        <v>162</v>
      </c>
      <c r="B2189" s="1574" t="s">
        <v>162</v>
      </c>
      <c r="C2189" s="1013" t="str">
        <f t="shared" si="396"/>
        <v xml:space="preserve"> </v>
      </c>
      <c r="D2189" s="1532"/>
      <c r="E2189" s="1046" t="s">
        <v>741</v>
      </c>
      <c r="F2189" s="1392" t="s">
        <v>2573</v>
      </c>
      <c r="G2189" s="1046" t="s">
        <v>2307</v>
      </c>
      <c r="H2189" s="1821">
        <f>SUM(I2189:O2189)</f>
        <v>0</v>
      </c>
      <c r="I2189" s="1822"/>
      <c r="J2189" s="1822"/>
      <c r="K2189" s="1822"/>
      <c r="L2189" s="1822">
        <f>IFERROR(HLOOKUP(chitiet!B2189,pp1p!$1:$3,3,0),0)</f>
        <v>0</v>
      </c>
      <c r="M2189" s="1822"/>
      <c r="N2189" s="1822"/>
      <c r="O2189" s="1822"/>
      <c r="P2189" s="1823">
        <f t="shared" si="391"/>
        <v>0</v>
      </c>
      <c r="Q2189" s="1047"/>
      <c r="R2189" s="1047"/>
      <c r="S2189" s="1047"/>
      <c r="T2189" s="2035">
        <f t="shared" si="394"/>
        <v>0</v>
      </c>
    </row>
    <row r="2190" spans="1:20" ht="22.2" hidden="1" customHeight="1">
      <c r="A2190" s="59"/>
      <c r="B2190" s="1577" t="s">
        <v>928</v>
      </c>
      <c r="C2190" s="1013" t="str">
        <f t="shared" si="396"/>
        <v xml:space="preserve"> </v>
      </c>
      <c r="D2190" s="1541">
        <f>ROUND(E2190*1.02,0)</f>
        <v>0</v>
      </c>
      <c r="E2190" s="1061">
        <f>PPHTCS!C74</f>
        <v>0</v>
      </c>
      <c r="F2190" s="1056" t="str">
        <f>VLOOKUP($B2190,DG!A:D,DG!$C$2,)</f>
        <v>Cáp Triplex 3x16</v>
      </c>
      <c r="G2190" s="1044" t="str">
        <f>VLOOKUP($B2190,DG!A:D,DG!$D$2,)</f>
        <v>m</v>
      </c>
      <c r="H2190" s="1823">
        <f t="shared" ref="H2190:H2236" si="397">D2190</f>
        <v>0</v>
      </c>
      <c r="I2190" s="1823"/>
      <c r="J2190" s="1823"/>
      <c r="K2190" s="1823"/>
      <c r="L2190" s="1823"/>
      <c r="M2190" s="1823"/>
      <c r="N2190" s="1823"/>
      <c r="O2190" s="1823"/>
      <c r="P2190" s="1823">
        <f t="shared" si="391"/>
        <v>0</v>
      </c>
      <c r="Q2190" s="1053"/>
      <c r="R2190" s="1053"/>
      <c r="S2190" s="1053"/>
      <c r="T2190" s="2035">
        <f t="shared" si="394"/>
        <v>0</v>
      </c>
    </row>
    <row r="2191" spans="1:20" ht="22.2" hidden="1" customHeight="1">
      <c r="A2191" s="59"/>
      <c r="B2191" s="1577" t="s">
        <v>1687</v>
      </c>
      <c r="C2191" s="1013" t="str">
        <f t="shared" si="396"/>
        <v xml:space="preserve"> </v>
      </c>
      <c r="D2191" s="1541">
        <f>ROUND(E2191*1.02,0)</f>
        <v>0</v>
      </c>
      <c r="E2191" s="1061">
        <f>PPHTCS!C75</f>
        <v>0</v>
      </c>
      <c r="F2191" s="1056" t="str">
        <f>VLOOKUP($B2191,DG!A:D,DG!$C$2,)</f>
        <v>Cáp Quadruplex 4x11</v>
      </c>
      <c r="G2191" s="1044" t="str">
        <f>VLOOKUP($B2191,DG!A:D,DG!$D$2,)</f>
        <v>m</v>
      </c>
      <c r="H2191" s="1823">
        <f t="shared" si="397"/>
        <v>0</v>
      </c>
      <c r="I2191" s="1823"/>
      <c r="J2191" s="1823"/>
      <c r="K2191" s="1823"/>
      <c r="L2191" s="1823"/>
      <c r="M2191" s="1823"/>
      <c r="N2191" s="1823"/>
      <c r="O2191" s="1823"/>
      <c r="P2191" s="1823">
        <f t="shared" si="391"/>
        <v>0</v>
      </c>
      <c r="Q2191" s="1053"/>
      <c r="R2191" s="1053"/>
      <c r="S2191" s="1053"/>
      <c r="T2191" s="2035">
        <f t="shared" si="394"/>
        <v>0</v>
      </c>
    </row>
    <row r="2192" spans="1:20" ht="22.2" hidden="1" customHeight="1">
      <c r="A2192" s="59"/>
      <c r="B2192" s="1577" t="s">
        <v>4</v>
      </c>
      <c r="C2192" s="1013" t="str">
        <f t="shared" si="396"/>
        <v xml:space="preserve"> </v>
      </c>
      <c r="D2192" s="1541">
        <f>ROUND(E2192*1.02,0)</f>
        <v>0</v>
      </c>
      <c r="E2192" s="1061">
        <f>PPHTCS!C76</f>
        <v>0</v>
      </c>
      <c r="F2192" s="1056" t="str">
        <f>VLOOKUP($B2192,DG!A:D,DG!$C$2,)</f>
        <v>Cáp Quadruplex 4x16</v>
      </c>
      <c r="G2192" s="1044" t="str">
        <f>VLOOKUP($B2192,DG!A:D,DG!$D$2,)</f>
        <v>m</v>
      </c>
      <c r="H2192" s="1823">
        <f t="shared" si="397"/>
        <v>0</v>
      </c>
      <c r="I2192" s="1823"/>
      <c r="J2192" s="1823"/>
      <c r="K2192" s="1823"/>
      <c r="L2192" s="1823"/>
      <c r="M2192" s="1823"/>
      <c r="N2192" s="1823"/>
      <c r="O2192" s="1823"/>
      <c r="P2192" s="1823">
        <f t="shared" si="391"/>
        <v>0</v>
      </c>
      <c r="Q2192" s="1053"/>
      <c r="R2192" s="1053"/>
      <c r="S2192" s="1053"/>
      <c r="T2192" s="2035">
        <f t="shared" si="394"/>
        <v>0</v>
      </c>
    </row>
    <row r="2193" spans="1:20" ht="22.2" hidden="1" customHeight="1">
      <c r="A2193" s="59"/>
      <c r="B2193" s="1577" t="s">
        <v>2140</v>
      </c>
      <c r="C2193" s="1013" t="str">
        <f t="shared" si="396"/>
        <v xml:space="preserve"> </v>
      </c>
      <c r="D2193" s="1541">
        <f>ROUND(E2193*1.02,0)</f>
        <v>0</v>
      </c>
      <c r="E2193" s="1061">
        <f>PPHTCS!C77</f>
        <v>0</v>
      </c>
      <c r="F2193" s="1056" t="str">
        <f>VLOOKUP($B2193,DG!A:D,DG!$C$2,)</f>
        <v>Cáp nhôm ABC 4x50mm2</v>
      </c>
      <c r="G2193" s="1044" t="str">
        <f>VLOOKUP($B2193,DG!A:D,DG!$D$2,)</f>
        <v>mét</v>
      </c>
      <c r="H2193" s="1823">
        <f t="shared" si="397"/>
        <v>0</v>
      </c>
      <c r="I2193" s="1823"/>
      <c r="J2193" s="1823"/>
      <c r="K2193" s="1823"/>
      <c r="L2193" s="1823"/>
      <c r="M2193" s="1823"/>
      <c r="N2193" s="1823"/>
      <c r="O2193" s="1823"/>
      <c r="P2193" s="1823">
        <f t="shared" si="391"/>
        <v>0</v>
      </c>
      <c r="Q2193" s="1053"/>
      <c r="R2193" s="1053"/>
      <c r="S2193" s="1053"/>
      <c r="T2193" s="2035">
        <f t="shared" si="394"/>
        <v>0</v>
      </c>
    </row>
    <row r="2194" spans="1:20" ht="22.2" hidden="1" customHeight="1">
      <c r="A2194" s="59"/>
      <c r="B2194" s="1577" t="s">
        <v>579</v>
      </c>
      <c r="C2194" s="1013" t="str">
        <f t="shared" si="396"/>
        <v xml:space="preserve"> </v>
      </c>
      <c r="D2194" s="1541">
        <f>ROUND(E2194*1.05,0)</f>
        <v>0</v>
      </c>
      <c r="E2194" s="1061"/>
      <c r="F2194" s="1056" t="str">
        <f>VLOOKUP($B2194,DG!A:D,DG!$C$2,)</f>
        <v>Cáp đồng bọc CV16</v>
      </c>
      <c r="G2194" s="1044" t="str">
        <f>VLOOKUP($B2194,DG!A:D,DG!$D$2,)</f>
        <v>mét</v>
      </c>
      <c r="H2194" s="1823">
        <f t="shared" si="397"/>
        <v>0</v>
      </c>
      <c r="I2194" s="1823"/>
      <c r="J2194" s="1823"/>
      <c r="K2194" s="1823"/>
      <c r="L2194" s="1823"/>
      <c r="M2194" s="1823"/>
      <c r="N2194" s="1823"/>
      <c r="O2194" s="1823"/>
      <c r="P2194" s="1823">
        <f t="shared" si="391"/>
        <v>0</v>
      </c>
      <c r="Q2194" s="1053"/>
      <c r="R2194" s="1053"/>
      <c r="S2194" s="1053"/>
      <c r="T2194" s="2035">
        <f t="shared" si="394"/>
        <v>0</v>
      </c>
    </row>
    <row r="2195" spans="1:20" ht="22.2" hidden="1" customHeight="1">
      <c r="A2195" s="59"/>
      <c r="B2195" s="1577" t="s">
        <v>1371</v>
      </c>
      <c r="C2195" s="1013" t="str">
        <f t="shared" si="396"/>
        <v xml:space="preserve"> </v>
      </c>
      <c r="D2195" s="1541">
        <f>ROUND((D2198+D2197*2)*8*1.02,0)</f>
        <v>0</v>
      </c>
      <c r="E2195" s="1061"/>
      <c r="F2195" s="1056" t="str">
        <f>VLOOKUP($B2195,DG!A:D,DG!$C$2,)&amp;": 8m/ñeøn"</f>
        <v>Cáp đồng mềm CV2,5: 8m/ñeøn</v>
      </c>
      <c r="G2195" s="1044" t="str">
        <f>VLOOKUP($B2195,DG!A:D,DG!$D$2,)</f>
        <v>mét</v>
      </c>
      <c r="H2195" s="1823">
        <f t="shared" si="397"/>
        <v>0</v>
      </c>
      <c r="I2195" s="1823"/>
      <c r="J2195" s="1823"/>
      <c r="K2195" s="1823"/>
      <c r="L2195" s="1823"/>
      <c r="M2195" s="1823"/>
      <c r="N2195" s="1823"/>
      <c r="O2195" s="1823"/>
      <c r="P2195" s="1823">
        <f t="shared" si="391"/>
        <v>0</v>
      </c>
      <c r="Q2195" s="1053"/>
      <c r="R2195" s="1053"/>
      <c r="S2195" s="1053"/>
      <c r="T2195" s="2035">
        <f t="shared" si="394"/>
        <v>0</v>
      </c>
    </row>
    <row r="2196" spans="1:20" ht="22.2" hidden="1" customHeight="1">
      <c r="A2196" s="59"/>
      <c r="B2196" s="1577" t="s">
        <v>8</v>
      </c>
      <c r="C2196" s="1013" t="str">
        <f t="shared" si="396"/>
        <v xml:space="preserve"> </v>
      </c>
      <c r="D2196" s="1541">
        <f>ROUND(D2199*5*1.02,0)</f>
        <v>0</v>
      </c>
      <c r="E2196" s="1061"/>
      <c r="F2196" s="1056" t="str">
        <f>VLOOKUP($B2196,DG!A:D,DG!$C$2,)&amp;": 5m/ñeøn"</f>
        <v>Cáp CVV 2x2,5mm2  : 5m/ñeøn</v>
      </c>
      <c r="G2196" s="1044" t="str">
        <f>VLOOKUP($B2196,DG!A:D,DG!$D$2,)</f>
        <v>mét</v>
      </c>
      <c r="H2196" s="1823">
        <f t="shared" si="397"/>
        <v>0</v>
      </c>
      <c r="I2196" s="1823"/>
      <c r="J2196" s="1823"/>
      <c r="K2196" s="1823"/>
      <c r="L2196" s="1823"/>
      <c r="M2196" s="1823"/>
      <c r="N2196" s="1823"/>
      <c r="O2196" s="1823"/>
      <c r="P2196" s="1823">
        <f t="shared" si="391"/>
        <v>0</v>
      </c>
      <c r="Q2196" s="1053"/>
      <c r="R2196" s="1053"/>
      <c r="S2196" s="1053"/>
      <c r="T2196" s="2035">
        <f t="shared" si="394"/>
        <v>0</v>
      </c>
    </row>
    <row r="2197" spans="1:20" ht="22.2" hidden="1" customHeight="1">
      <c r="A2197" s="59"/>
      <c r="B2197" s="1577" t="s">
        <v>1248</v>
      </c>
      <c r="C2197" s="1013" t="str">
        <f t="shared" si="396"/>
        <v xml:space="preserve"> </v>
      </c>
      <c r="D2197" s="1535">
        <f>PPHTCS!Z69</f>
        <v>0</v>
      </c>
      <c r="E2197" s="1061"/>
      <c r="F2197" s="1394" t="str">
        <f>VLOOKUP($B2197,DG!A:D,DG!$C$2,)</f>
        <v>Cần đèn STK D60 đôi cao 2m vươn 1,5m nghiêng 15 độ</v>
      </c>
      <c r="G2197" s="1410" t="str">
        <f>VLOOKUP($B2197,DG!A:D,DG!$D$2,)</f>
        <v>cần</v>
      </c>
      <c r="H2197" s="1827">
        <f t="shared" si="397"/>
        <v>0</v>
      </c>
      <c r="I2197" s="1827"/>
      <c r="J2197" s="1827"/>
      <c r="K2197" s="1827"/>
      <c r="L2197" s="1827"/>
      <c r="M2197" s="1827"/>
      <c r="N2197" s="1827"/>
      <c r="O2197" s="1827"/>
      <c r="P2197" s="1823">
        <f t="shared" si="391"/>
        <v>0</v>
      </c>
      <c r="Q2197" s="1411"/>
      <c r="R2197" s="1411"/>
      <c r="S2197" s="1411"/>
      <c r="T2197" s="2035">
        <f t="shared" si="394"/>
        <v>0</v>
      </c>
    </row>
    <row r="2198" spans="1:20" ht="22.2" hidden="1" customHeight="1">
      <c r="A2198" s="59"/>
      <c r="B2198" s="1577" t="s">
        <v>839</v>
      </c>
      <c r="C2198" s="1013" t="str">
        <f t="shared" si="396"/>
        <v xml:space="preserve"> </v>
      </c>
      <c r="D2198" s="1535">
        <f>PPHTCS!AA69</f>
        <v>0</v>
      </c>
      <c r="E2198" s="1044"/>
      <c r="F2198" s="1056" t="str">
        <f>VLOOKUP($B2198,DG!A:D,DG!$C$2,)</f>
        <v>Cần đèn STK D60 đơn cao 1m vươn 1,8m nghiêng 15 độ + chụp đầu trụ</v>
      </c>
      <c r="G2198" s="1044" t="str">
        <f>VLOOKUP($B2198,DG!A:D,DG!$D$2,)</f>
        <v>cần</v>
      </c>
      <c r="H2198" s="1827">
        <f t="shared" si="397"/>
        <v>0</v>
      </c>
      <c r="I2198" s="1827"/>
      <c r="J2198" s="1827"/>
      <c r="K2198" s="1827"/>
      <c r="L2198" s="1827"/>
      <c r="M2198" s="1827"/>
      <c r="N2198" s="1827"/>
      <c r="O2198" s="1827"/>
      <c r="P2198" s="1823">
        <f t="shared" si="391"/>
        <v>0</v>
      </c>
      <c r="Q2198" s="1411"/>
      <c r="R2198" s="1411"/>
      <c r="S2198" s="1411"/>
      <c r="T2198" s="2035">
        <f t="shared" si="394"/>
        <v>0</v>
      </c>
    </row>
    <row r="2199" spans="1:20" ht="22.2" hidden="1" customHeight="1">
      <c r="A2199" s="59"/>
      <c r="B2199" s="1577" t="s">
        <v>2142</v>
      </c>
      <c r="C2199" s="1013" t="str">
        <f t="shared" si="396"/>
        <v xml:space="preserve"> </v>
      </c>
      <c r="D2199" s="1535">
        <f>PPHTCS!AB69</f>
        <v>0</v>
      </c>
      <c r="E2199" s="1044"/>
      <c r="F2199" s="1056" t="str">
        <f>VLOOKUP($B2199,DG!A:D,DG!$C$2,)</f>
        <v>Cần đèn STK D60 đơn cao 1,7m vươn 2,8m (CĐT cung cấp)</v>
      </c>
      <c r="G2199" s="1044" t="str">
        <f>VLOOKUP($B2199,DG!A:D,DG!$D$2,)</f>
        <v>cần</v>
      </c>
      <c r="H2199" s="1827">
        <f t="shared" si="397"/>
        <v>0</v>
      </c>
      <c r="I2199" s="1827"/>
      <c r="J2199" s="1827"/>
      <c r="K2199" s="1827"/>
      <c r="L2199" s="1827"/>
      <c r="M2199" s="1827"/>
      <c r="N2199" s="1827"/>
      <c r="O2199" s="1827"/>
      <c r="P2199" s="1823">
        <f t="shared" si="391"/>
        <v>0</v>
      </c>
      <c r="Q2199" s="1411"/>
      <c r="R2199" s="1411"/>
      <c r="S2199" s="1411"/>
      <c r="T2199" s="2035">
        <f t="shared" si="394"/>
        <v>0</v>
      </c>
    </row>
    <row r="2200" spans="1:20" ht="22.2" hidden="1" customHeight="1">
      <c r="A2200" s="59"/>
      <c r="B2200" s="1577" t="s">
        <v>320</v>
      </c>
      <c r="C2200" s="1013" t="str">
        <f t="shared" si="396"/>
        <v xml:space="preserve"> </v>
      </c>
      <c r="D2200" s="1535">
        <f>PPHTCS!AD69</f>
        <v>0</v>
      </c>
      <c r="E2200" s="1044"/>
      <c r="F2200" s="1056" t="str">
        <f>VLOOKUP($B2200,DG!A:D,DG!$C$2,)</f>
        <v>Choá đèn 73FS 10 + bóng OSAM-250W + tụ điện + ballast</v>
      </c>
      <c r="G2200" s="1044" t="str">
        <f>VLOOKUP($B2200,DG!A:D,DG!$D$2,)</f>
        <v>bộ</v>
      </c>
      <c r="H2200" s="1827">
        <f t="shared" si="397"/>
        <v>0</v>
      </c>
      <c r="I2200" s="1827"/>
      <c r="J2200" s="1827"/>
      <c r="K2200" s="1827"/>
      <c r="L2200" s="1827"/>
      <c r="M2200" s="1827"/>
      <c r="N2200" s="1827"/>
      <c r="O2200" s="1827"/>
      <c r="P2200" s="1823">
        <f t="shared" si="391"/>
        <v>0</v>
      </c>
      <c r="Q2200" s="1411"/>
      <c r="R2200" s="1411"/>
      <c r="S2200" s="1411"/>
      <c r="T2200" s="2035">
        <f t="shared" si="394"/>
        <v>0</v>
      </c>
    </row>
    <row r="2201" spans="1:20" ht="22.2" hidden="1" customHeight="1">
      <c r="A2201" s="59"/>
      <c r="B2201" s="1577" t="s">
        <v>2065</v>
      </c>
      <c r="C2201" s="1013" t="str">
        <f t="shared" si="396"/>
        <v xml:space="preserve"> </v>
      </c>
      <c r="D2201" s="1555"/>
      <c r="E2201" s="1414" t="str">
        <f>VLOOKUP($B2201,DG!A:D,DG!$B$2,)</f>
        <v>CS4.09.021</v>
      </c>
      <c r="F2201" s="1396" t="str">
        <f>VLOOKUP($B2201,DG!A:D,DG!$C$2,)</f>
        <v>Tủ điều khiển chiếu sáng</v>
      </c>
      <c r="G2201" s="1414" t="str">
        <f>VLOOKUP($B2201,DG!A:D,DG!$D$2,)</f>
        <v>cái</v>
      </c>
      <c r="H2201" s="1827">
        <f t="shared" si="397"/>
        <v>0</v>
      </c>
      <c r="I2201" s="1827"/>
      <c r="J2201" s="1827"/>
      <c r="K2201" s="1827"/>
      <c r="L2201" s="1827"/>
      <c r="M2201" s="1827"/>
      <c r="N2201" s="1827"/>
      <c r="O2201" s="1827"/>
      <c r="P2201" s="1823">
        <f t="shared" si="391"/>
        <v>0</v>
      </c>
      <c r="Q2201" s="1411"/>
      <c r="R2201" s="1411"/>
      <c r="S2201" s="1411"/>
      <c r="T2201" s="2035">
        <f t="shared" si="394"/>
        <v>0</v>
      </c>
    </row>
    <row r="2202" spans="1:20" ht="22.2" hidden="1" customHeight="1">
      <c r="A2202" s="59"/>
      <c r="B2202" s="1577" t="s">
        <v>2013</v>
      </c>
      <c r="C2202" s="1013" t="str">
        <f t="shared" si="396"/>
        <v xml:space="preserve"> </v>
      </c>
      <c r="D2202" s="1555">
        <f>D2201*12</f>
        <v>0</v>
      </c>
      <c r="E2202" s="1414"/>
      <c r="F2202" s="1396" t="str">
        <f>VLOOKUP($B2202,DG!A:D,DG!$C$2,)</f>
        <v>Ống PVC D60x2,8mm</v>
      </c>
      <c r="G2202" s="1414" t="str">
        <f>VLOOKUP($B2202,DG!A:D,DG!$D$2,)</f>
        <v>m</v>
      </c>
      <c r="H2202" s="1827">
        <f t="shared" si="397"/>
        <v>0</v>
      </c>
      <c r="I2202" s="1827"/>
      <c r="J2202" s="1827"/>
      <c r="K2202" s="1827"/>
      <c r="L2202" s="1827"/>
      <c r="M2202" s="1827"/>
      <c r="N2202" s="1827"/>
      <c r="O2202" s="1827"/>
      <c r="P2202" s="1823">
        <f t="shared" si="391"/>
        <v>0</v>
      </c>
      <c r="Q2202" s="1411"/>
      <c r="R2202" s="1411"/>
      <c r="S2202" s="1411"/>
      <c r="T2202" s="2035">
        <f t="shared" si="394"/>
        <v>0</v>
      </c>
    </row>
    <row r="2203" spans="1:20" ht="22.2" hidden="1" customHeight="1">
      <c r="A2203" s="59"/>
      <c r="B2203" s="1577" t="s">
        <v>1468</v>
      </c>
      <c r="C2203" s="1013" t="str">
        <f t="shared" si="396"/>
        <v xml:space="preserve"> </v>
      </c>
      <c r="D2203" s="1555">
        <f>D2201*6</f>
        <v>0</v>
      </c>
      <c r="E2203" s="1414">
        <f>VLOOKUP($B2203,DG!A:D,DG!$B$2,)</f>
        <v>0</v>
      </c>
      <c r="F2203" s="1396" t="str">
        <f>VLOOKUP($B2203,DG!A:D,DG!$C$2,)</f>
        <v>Co 90 độ PVC 60</v>
      </c>
      <c r="G2203" s="1414" t="str">
        <f>VLOOKUP($B2203,DG!A:D,DG!$D$2,)</f>
        <v>cái</v>
      </c>
      <c r="H2203" s="1827">
        <f t="shared" si="397"/>
        <v>0</v>
      </c>
      <c r="I2203" s="1827"/>
      <c r="J2203" s="1827"/>
      <c r="K2203" s="1827"/>
      <c r="L2203" s="1827"/>
      <c r="M2203" s="1827"/>
      <c r="N2203" s="1827"/>
      <c r="O2203" s="1827"/>
      <c r="P2203" s="1823">
        <f t="shared" si="391"/>
        <v>0</v>
      </c>
      <c r="Q2203" s="1411"/>
      <c r="R2203" s="1411"/>
      <c r="S2203" s="1411"/>
      <c r="T2203" s="2035">
        <f t="shared" si="394"/>
        <v>0</v>
      </c>
    </row>
    <row r="2204" spans="1:20" ht="22.2" hidden="1" customHeight="1">
      <c r="A2204" s="59"/>
      <c r="B2204" s="1577" t="s">
        <v>1368</v>
      </c>
      <c r="C2204" s="1013" t="str">
        <f t="shared" si="396"/>
        <v xml:space="preserve"> </v>
      </c>
      <c r="D2204" s="1555">
        <f>D2201*18</f>
        <v>0</v>
      </c>
      <c r="E2204" s="1414">
        <f>VLOOKUP($B2204,DG!A:D,DG!$B$2,)</f>
        <v>0</v>
      </c>
      <c r="F2204" s="1396" t="str">
        <f>VLOOKUP($B2204,DG!A:D,DG!$C$2,)</f>
        <v>Cáp C/XLPE/DSTA/PVC -0.6/1kV-3x50+35mm2</v>
      </c>
      <c r="G2204" s="1414" t="str">
        <f>VLOOKUP($B2204,DG!A:D,DG!$D$2,)</f>
        <v>mét</v>
      </c>
      <c r="H2204" s="1827">
        <f t="shared" si="397"/>
        <v>0</v>
      </c>
      <c r="I2204" s="1827"/>
      <c r="J2204" s="1827"/>
      <c r="K2204" s="1827"/>
      <c r="L2204" s="1827"/>
      <c r="M2204" s="1827"/>
      <c r="N2204" s="1827"/>
      <c r="O2204" s="1827"/>
      <c r="P2204" s="1823">
        <f t="shared" si="391"/>
        <v>0</v>
      </c>
      <c r="Q2204" s="1411"/>
      <c r="R2204" s="1411"/>
      <c r="S2204" s="1411"/>
      <c r="T2204" s="2035">
        <f t="shared" si="394"/>
        <v>0</v>
      </c>
    </row>
    <row r="2205" spans="1:20" ht="22.2" hidden="1" customHeight="1">
      <c r="A2205" s="59"/>
      <c r="B2205" s="1577" t="s">
        <v>1850</v>
      </c>
      <c r="C2205" s="1013" t="str">
        <f t="shared" si="396"/>
        <v xml:space="preserve"> </v>
      </c>
      <c r="D2205" s="1555">
        <f>D2201*4</f>
        <v>0</v>
      </c>
      <c r="E2205" s="1414">
        <f>VLOOKUP($B2205,DG!A:D,DG!$B$2,)</f>
        <v>0</v>
      </c>
      <c r="F2205" s="1396" t="str">
        <f>VLOOKUP($B2205,DG!A:D,DG!$C$2,)</f>
        <v>Đầu cáp ngầm hạ thế 3x50</v>
      </c>
      <c r="G2205" s="1414" t="str">
        <f>VLOOKUP($B2205,DG!A:D,DG!$D$2,)</f>
        <v>cái</v>
      </c>
      <c r="H2205" s="1827">
        <f t="shared" si="397"/>
        <v>0</v>
      </c>
      <c r="I2205" s="1827"/>
      <c r="J2205" s="1827"/>
      <c r="K2205" s="1827"/>
      <c r="L2205" s="1827"/>
      <c r="M2205" s="1827"/>
      <c r="N2205" s="1827"/>
      <c r="O2205" s="1827"/>
      <c r="P2205" s="1823">
        <f t="shared" si="391"/>
        <v>0</v>
      </c>
      <c r="Q2205" s="1411"/>
      <c r="R2205" s="1411"/>
      <c r="S2205" s="1411"/>
      <c r="T2205" s="2035">
        <f t="shared" si="394"/>
        <v>0</v>
      </c>
    </row>
    <row r="2206" spans="1:20" ht="22.2" hidden="1" customHeight="1">
      <c r="A2206" s="59"/>
      <c r="B2206" s="1577" t="s">
        <v>1350</v>
      </c>
      <c r="C2206" s="1013" t="str">
        <f t="shared" si="396"/>
        <v xml:space="preserve"> </v>
      </c>
      <c r="D2206" s="1555">
        <f>D2201*4</f>
        <v>0</v>
      </c>
      <c r="E2206" s="1414"/>
      <c r="F2206" s="1396" t="str">
        <f>VLOOKUP($B2206,DG!A:D,DG!$C$2,)&amp;": ñaáu noái töø löôùi ABC vaøo tuû"</f>
        <v>Ghíp nối IPC 150-50: ñaáu noái töø löôùi ABC vaøo tuû</v>
      </c>
      <c r="G2206" s="1414" t="str">
        <f>VLOOKUP($B2206,DG!A:D,DG!$D$2,)</f>
        <v>cái</v>
      </c>
      <c r="H2206" s="1823">
        <f t="shared" si="397"/>
        <v>0</v>
      </c>
      <c r="I2206" s="1823"/>
      <c r="J2206" s="1823"/>
      <c r="K2206" s="1823"/>
      <c r="L2206" s="1823"/>
      <c r="M2206" s="1823"/>
      <c r="N2206" s="1823"/>
      <c r="O2206" s="1823"/>
      <c r="P2206" s="1823">
        <f t="shared" si="391"/>
        <v>0</v>
      </c>
      <c r="Q2206" s="1053"/>
      <c r="R2206" s="1053"/>
      <c r="S2206" s="1053"/>
      <c r="T2206" s="2035">
        <f t="shared" si="394"/>
        <v>0</v>
      </c>
    </row>
    <row r="2207" spans="1:20" ht="22.2" hidden="1" customHeight="1">
      <c r="A2207" s="59"/>
      <c r="B2207" s="1577" t="s">
        <v>2218</v>
      </c>
      <c r="C2207" s="1013" t="str">
        <f t="shared" si="396"/>
        <v xml:space="preserve"> </v>
      </c>
      <c r="D2207" s="1555">
        <f>D2206</f>
        <v>0</v>
      </c>
      <c r="E2207" s="1414"/>
      <c r="F2207" s="1396" t="str">
        <f>VLOOKUP($B2207,DG!A:D,DG!$C$2,)&amp;": ñaáu noái töø tuû leân löôùi chieáu saùng"</f>
        <v>Ghíp nối IPC 50-35: ñaáu noái töø tuû leân löôùi chieáu saùng</v>
      </c>
      <c r="G2207" s="1414" t="str">
        <f>VLOOKUP($B2207,DG!A:D,DG!$D$2,)</f>
        <v>cái</v>
      </c>
      <c r="H2207" s="1823">
        <f t="shared" si="397"/>
        <v>0</v>
      </c>
      <c r="I2207" s="1823"/>
      <c r="J2207" s="1823"/>
      <c r="K2207" s="1823"/>
      <c r="L2207" s="1823"/>
      <c r="M2207" s="1823"/>
      <c r="N2207" s="1823"/>
      <c r="O2207" s="1823"/>
      <c r="P2207" s="1823">
        <f t="shared" si="391"/>
        <v>0</v>
      </c>
      <c r="Q2207" s="1053"/>
      <c r="R2207" s="1053"/>
      <c r="S2207" s="1053"/>
      <c r="T2207" s="2035">
        <f t="shared" si="394"/>
        <v>0</v>
      </c>
    </row>
    <row r="2208" spans="1:20" ht="22.2" hidden="1" customHeight="1">
      <c r="A2208" s="59"/>
      <c r="B2208" s="1577" t="s">
        <v>819</v>
      </c>
      <c r="C2208" s="1013" t="str">
        <f t="shared" si="396"/>
        <v xml:space="preserve"> </v>
      </c>
      <c r="D2208" s="1535">
        <f>D2207*6</f>
        <v>0</v>
      </c>
      <c r="E2208" s="1044" t="str">
        <f>VLOOKUP($B2208,DG!A:D,DG!$B$2,)</f>
        <v>03.4001</v>
      </c>
      <c r="F2208" s="1056" t="str">
        <f>VLOOKUP($B2208,DG!A:D,DG!$C$2,)</f>
        <v>Đầu cosse ép Cu-Al 16mm2</v>
      </c>
      <c r="G2208" s="1044" t="str">
        <f>VLOOKUP($B2208,DG!A:D,DG!$D$2,)</f>
        <v>cái</v>
      </c>
      <c r="H2208" s="1823">
        <f t="shared" si="397"/>
        <v>0</v>
      </c>
      <c r="I2208" s="1823"/>
      <c r="J2208" s="1823"/>
      <c r="K2208" s="1823"/>
      <c r="L2208" s="1823"/>
      <c r="M2208" s="1823"/>
      <c r="N2208" s="1823"/>
      <c r="O2208" s="1823"/>
      <c r="P2208" s="1823">
        <f t="shared" si="391"/>
        <v>0</v>
      </c>
      <c r="Q2208" s="1053"/>
      <c r="R2208" s="1053"/>
      <c r="S2208" s="1053"/>
      <c r="T2208" s="2035">
        <f t="shared" si="394"/>
        <v>0</v>
      </c>
    </row>
    <row r="2209" spans="1:20" ht="22.2" hidden="1" customHeight="1">
      <c r="A2209" s="59"/>
      <c r="B2209" s="1577" t="s">
        <v>1869</v>
      </c>
      <c r="C2209" s="1013" t="str">
        <f t="shared" si="396"/>
        <v xml:space="preserve"> </v>
      </c>
      <c r="D2209" s="1535">
        <f>4*D2197+D2198*2+D2199*2</f>
        <v>0</v>
      </c>
      <c r="E2209" s="1044"/>
      <c r="F2209" s="1056" t="str">
        <f>VLOOKUP($B2209,DG!A:D,DG!$C$2,)</f>
        <v xml:space="preserve">Đầu cosse ép Cu 2,5mm2 + bao PVC </v>
      </c>
      <c r="G2209" s="1044" t="str">
        <f>VLOOKUP($B2209,DG!A:D,DG!$D$2,)</f>
        <v>cái</v>
      </c>
      <c r="H2209" s="1823">
        <f t="shared" si="397"/>
        <v>0</v>
      </c>
      <c r="I2209" s="1823"/>
      <c r="J2209" s="1823"/>
      <c r="K2209" s="1823"/>
      <c r="L2209" s="1823"/>
      <c r="M2209" s="1823"/>
      <c r="N2209" s="1823"/>
      <c r="O2209" s="1823"/>
      <c r="P2209" s="1823">
        <f t="shared" si="391"/>
        <v>0</v>
      </c>
      <c r="Q2209" s="1053"/>
      <c r="R2209" s="1053"/>
      <c r="S2209" s="1053"/>
      <c r="T2209" s="2035">
        <f t="shared" si="394"/>
        <v>0</v>
      </c>
    </row>
    <row r="2210" spans="1:20" ht="22.2" hidden="1" customHeight="1">
      <c r="A2210" s="59"/>
      <c r="B2210" s="1577" t="s">
        <v>969</v>
      </c>
      <c r="C2210" s="1013" t="str">
        <f t="shared" si="396"/>
        <v xml:space="preserve"> </v>
      </c>
      <c r="D2210" s="1535">
        <f>D2197*2+D2198</f>
        <v>0</v>
      </c>
      <c r="E2210" s="1044">
        <f>VLOOKUP($B2210,DG!A:D,DG!$B$2,)</f>
        <v>0</v>
      </c>
      <c r="F2210" s="1056" t="str">
        <f>VLOOKUP($B2210,DG!A:D,DG!$C$2,)</f>
        <v>Cầu chì nhựa trong nhà 5A+ chì 5A</v>
      </c>
      <c r="G2210" s="1044" t="str">
        <f>VLOOKUP($B2210,DG!A:D,DG!$D$2,)</f>
        <v>cái</v>
      </c>
      <c r="H2210" s="1823">
        <f t="shared" si="397"/>
        <v>0</v>
      </c>
      <c r="I2210" s="1823"/>
      <c r="J2210" s="1823"/>
      <c r="K2210" s="1823"/>
      <c r="L2210" s="1823"/>
      <c r="M2210" s="1823"/>
      <c r="N2210" s="1823"/>
      <c r="O2210" s="1823"/>
      <c r="P2210" s="1823">
        <f t="shared" si="391"/>
        <v>0</v>
      </c>
      <c r="Q2210" s="1053"/>
      <c r="R2210" s="1053"/>
      <c r="S2210" s="1053"/>
      <c r="T2210" s="2035">
        <f t="shared" si="394"/>
        <v>0</v>
      </c>
    </row>
    <row r="2211" spans="1:20" ht="22.2" hidden="1" customHeight="1">
      <c r="A2211" s="59"/>
      <c r="B2211" s="1577" t="s">
        <v>622</v>
      </c>
      <c r="C2211" s="1013" t="str">
        <f t="shared" si="396"/>
        <v xml:space="preserve"> </v>
      </c>
      <c r="D2211" s="1535">
        <f>D2213</f>
        <v>0</v>
      </c>
      <c r="E2211" s="1044">
        <f>VLOOKUP($B2211,DG!A:D,DG!$B$2,)</f>
        <v>0</v>
      </c>
      <c r="F2211" s="1056" t="str">
        <f>VLOOKUP($B2211,DG!A:D,DG!$C$2,)</f>
        <v>Tấm bakelit hay nhựa cách điện 600V (200x60x6)</v>
      </c>
      <c r="G2211" s="1044" t="str">
        <f>VLOOKUP($B2211,DG!A:D,DG!$D$2,)</f>
        <v>cái</v>
      </c>
      <c r="H2211" s="1823">
        <f t="shared" si="397"/>
        <v>0</v>
      </c>
      <c r="I2211" s="1823"/>
      <c r="J2211" s="1823"/>
      <c r="K2211" s="1823"/>
      <c r="L2211" s="1823"/>
      <c r="M2211" s="1823"/>
      <c r="N2211" s="1823"/>
      <c r="O2211" s="1823"/>
      <c r="P2211" s="1823">
        <f t="shared" si="391"/>
        <v>0</v>
      </c>
      <c r="Q2211" s="1053"/>
      <c r="R2211" s="1053"/>
      <c r="S2211" s="1053"/>
      <c r="T2211" s="2035">
        <f t="shared" si="394"/>
        <v>0</v>
      </c>
    </row>
    <row r="2212" spans="1:20" ht="22.2" hidden="1" customHeight="1">
      <c r="A2212" s="59"/>
      <c r="B2212" s="1577" t="s">
        <v>916</v>
      </c>
      <c r="C2212" s="1013" t="str">
        <f t="shared" si="396"/>
        <v xml:space="preserve"> </v>
      </c>
      <c r="D2212" s="1535">
        <f>D2211*4</f>
        <v>0</v>
      </c>
      <c r="E2212" s="1044">
        <f>VLOOKUP($B2212,DG!A:D,DG!$B$2,)</f>
        <v>0</v>
      </c>
      <c r="F2212" s="1056" t="str">
        <f>VLOOKUP($B2212,DG!A:D,DG!$C$2,)</f>
        <v>Boulon thau 12x50 + 2 long đền vuông D14-50x50x3/Zn</v>
      </c>
      <c r="G2212" s="1044" t="str">
        <f>VLOOKUP($B2212,DG!A:D,DG!$D$2,)</f>
        <v>bộ</v>
      </c>
      <c r="H2212" s="1823">
        <f t="shared" si="397"/>
        <v>0</v>
      </c>
      <c r="I2212" s="1823"/>
      <c r="J2212" s="1823"/>
      <c r="K2212" s="1823"/>
      <c r="L2212" s="1823"/>
      <c r="M2212" s="1823"/>
      <c r="N2212" s="1823"/>
      <c r="O2212" s="1823"/>
      <c r="P2212" s="1823">
        <f t="shared" si="391"/>
        <v>0</v>
      </c>
      <c r="Q2212" s="1053"/>
      <c r="R2212" s="1053"/>
      <c r="S2212" s="1053"/>
      <c r="T2212" s="2035">
        <f t="shared" si="394"/>
        <v>0</v>
      </c>
    </row>
    <row r="2213" spans="1:20" ht="22.2" hidden="1" customHeight="1">
      <c r="A2213" s="59"/>
      <c r="B2213" s="1577" t="s">
        <v>1511</v>
      </c>
      <c r="C2213" s="1013" t="str">
        <f t="shared" si="396"/>
        <v xml:space="preserve"> </v>
      </c>
      <c r="D2213" s="1535"/>
      <c r="E2213" s="1044">
        <f>VLOOKUP($B2213,DG!A:D,DG!$B$2,)</f>
        <v>0</v>
      </c>
      <c r="F2213" s="1056" t="str">
        <f>VLOOKUP($B2213,DG!A:D,DG!$C$2,)</f>
        <v>Cọc tiếp đất Þ 16- 2,4m + kẹp cọc mạ đồng</v>
      </c>
      <c r="G2213" s="1044" t="str">
        <f>VLOOKUP($B2213,DG!A:D,DG!$D$2,)</f>
        <v>bộ</v>
      </c>
      <c r="H2213" s="1823">
        <f t="shared" si="397"/>
        <v>0</v>
      </c>
      <c r="I2213" s="1823"/>
      <c r="J2213" s="1823"/>
      <c r="K2213" s="1823"/>
      <c r="L2213" s="1823"/>
      <c r="M2213" s="1823"/>
      <c r="N2213" s="1823"/>
      <c r="O2213" s="1823"/>
      <c r="P2213" s="1823">
        <f t="shared" si="391"/>
        <v>0</v>
      </c>
      <c r="Q2213" s="1053"/>
      <c r="R2213" s="1053"/>
      <c r="S2213" s="1053"/>
      <c r="T2213" s="2035">
        <f t="shared" si="394"/>
        <v>0</v>
      </c>
    </row>
    <row r="2214" spans="1:20" ht="22.2" hidden="1" customHeight="1">
      <c r="A2214" s="59"/>
      <c r="B2214" s="1577" t="s">
        <v>2066</v>
      </c>
      <c r="C2214" s="1013" t="str">
        <f t="shared" si="396"/>
        <v xml:space="preserve"> </v>
      </c>
      <c r="D2214" s="1535">
        <f>PPHTCS!BB69</f>
        <v>0</v>
      </c>
      <c r="E2214" s="1044">
        <f>VLOOKUP($B2214,DG!A:D,DG!$B$2,)</f>
        <v>0</v>
      </c>
      <c r="F2214" s="1056" t="str">
        <f>VLOOKUP($B2214,DG!A:D,DG!$C$2,)</f>
        <v>Kẹp treo cáp ABC4x35mm2</v>
      </c>
      <c r="G2214" s="1044" t="str">
        <f>VLOOKUP($B2214,DG!A:D,DG!$D$2,)</f>
        <v>cái</v>
      </c>
      <c r="H2214" s="1823">
        <f t="shared" si="397"/>
        <v>0</v>
      </c>
      <c r="I2214" s="1823"/>
      <c r="J2214" s="1823"/>
      <c r="K2214" s="1823"/>
      <c r="L2214" s="1823"/>
      <c r="M2214" s="1823"/>
      <c r="N2214" s="1823"/>
      <c r="O2214" s="1823"/>
      <c r="P2214" s="1823">
        <f t="shared" ref="P2214:P2278" si="398">H2214+Q2214-R2214</f>
        <v>0</v>
      </c>
      <c r="Q2214" s="1053"/>
      <c r="R2214" s="1053"/>
      <c r="S2214" s="1053"/>
      <c r="T2214" s="2035">
        <f t="shared" si="394"/>
        <v>0</v>
      </c>
    </row>
    <row r="2215" spans="1:20" ht="22.2" hidden="1" customHeight="1">
      <c r="A2215" s="59"/>
      <c r="B2215" s="1577" t="s">
        <v>2067</v>
      </c>
      <c r="C2215" s="1013" t="str">
        <f t="shared" si="396"/>
        <v xml:space="preserve"> </v>
      </c>
      <c r="D2215" s="1535">
        <f>PPHTCS!BE69</f>
        <v>0</v>
      </c>
      <c r="E2215" s="1044">
        <f>VLOOKUP($B2215,DG!A:D,DG!$B$2,)</f>
        <v>0</v>
      </c>
      <c r="F2215" s="1056" t="str">
        <f>VLOOKUP($B2215,DG!A:D,DG!$C$2,)</f>
        <v>Kẹp ngừng cáp ABC4x35mm2</v>
      </c>
      <c r="G2215" s="1044" t="str">
        <f>VLOOKUP($B2215,DG!A:D,DG!$D$2,)</f>
        <v>cái</v>
      </c>
      <c r="H2215" s="1823">
        <f t="shared" si="397"/>
        <v>0</v>
      </c>
      <c r="I2215" s="1823"/>
      <c r="J2215" s="1823"/>
      <c r="K2215" s="1823"/>
      <c r="L2215" s="1823"/>
      <c r="M2215" s="1823"/>
      <c r="N2215" s="1823"/>
      <c r="O2215" s="1823"/>
      <c r="P2215" s="1823">
        <f t="shared" si="398"/>
        <v>0</v>
      </c>
      <c r="Q2215" s="1053"/>
      <c r="R2215" s="1053"/>
      <c r="S2215" s="1053"/>
      <c r="T2215" s="2035">
        <f t="shared" si="394"/>
        <v>0</v>
      </c>
    </row>
    <row r="2216" spans="1:20" ht="22.2" hidden="1" customHeight="1">
      <c r="A2216" s="59"/>
      <c r="B2216" s="1577" t="s">
        <v>1066</v>
      </c>
      <c r="C2216" s="1013" t="str">
        <f t="shared" si="396"/>
        <v xml:space="preserve"> </v>
      </c>
      <c r="D2216" s="1555"/>
      <c r="E2216" s="1414"/>
      <c r="F2216" s="1396" t="str">
        <f>VLOOKUP($B2216,DG!A:D,DG!$C$2,)&amp;": ñaáu reõ nhaùnh truï 15"</f>
        <v>Ghíp nối IPC 35-35: ñaáu reõ nhaùnh truï 15</v>
      </c>
      <c r="G2216" s="1414" t="str">
        <f>VLOOKUP($B2216,DG!A:D,DG!$D$2,)</f>
        <v>cái</v>
      </c>
      <c r="H2216" s="1823">
        <f t="shared" si="397"/>
        <v>0</v>
      </c>
      <c r="I2216" s="1823"/>
      <c r="J2216" s="1823"/>
      <c r="K2216" s="1823"/>
      <c r="L2216" s="1823"/>
      <c r="M2216" s="1823"/>
      <c r="N2216" s="1823"/>
      <c r="O2216" s="1823"/>
      <c r="P2216" s="1823">
        <f t="shared" si="398"/>
        <v>0</v>
      </c>
      <c r="Q2216" s="1053"/>
      <c r="R2216" s="1053"/>
      <c r="S2216" s="1053"/>
      <c r="T2216" s="2035">
        <f t="shared" si="394"/>
        <v>0</v>
      </c>
    </row>
    <row r="2217" spans="1:20" ht="22.2" hidden="1" customHeight="1">
      <c r="A2217" s="59"/>
      <c r="B2217" s="1577" t="s">
        <v>1738</v>
      </c>
      <c r="C2217" s="1013" t="str">
        <f t="shared" si="396"/>
        <v xml:space="preserve"> </v>
      </c>
      <c r="D2217" s="1535">
        <f>PPHTCS!BK69</f>
        <v>0</v>
      </c>
      <c r="E2217" s="1044">
        <f>VLOOKUP($B2217,DG!A:D,DG!$B$2,)</f>
        <v>0</v>
      </c>
      <c r="F2217" s="1056" t="str">
        <f>VLOOKUP($B2217,DG!A:D,DG!$C$2,)</f>
        <v>Móc treo chữ A</v>
      </c>
      <c r="G2217" s="1044" t="str">
        <f>VLOOKUP($B2217,DG!A:D,DG!$D$2,)</f>
        <v>cái</v>
      </c>
      <c r="H2217" s="1823">
        <f t="shared" si="397"/>
        <v>0</v>
      </c>
      <c r="I2217" s="1823"/>
      <c r="J2217" s="1823"/>
      <c r="K2217" s="1823"/>
      <c r="L2217" s="1823"/>
      <c r="M2217" s="1823"/>
      <c r="N2217" s="1823"/>
      <c r="O2217" s="1823"/>
      <c r="P2217" s="1823">
        <f t="shared" si="398"/>
        <v>0</v>
      </c>
      <c r="Q2217" s="1053"/>
      <c r="R2217" s="1053"/>
      <c r="S2217" s="1053"/>
      <c r="T2217" s="2035">
        <f t="shared" si="394"/>
        <v>0</v>
      </c>
    </row>
    <row r="2218" spans="1:20" ht="22.2" hidden="1" customHeight="1">
      <c r="A2218" s="59"/>
      <c r="B2218" s="1577" t="s">
        <v>2028</v>
      </c>
      <c r="C2218" s="1013" t="str">
        <f t="shared" si="396"/>
        <v xml:space="preserve"> </v>
      </c>
      <c r="D2218" s="1535">
        <f>PPHTCS!BJ69</f>
        <v>0</v>
      </c>
      <c r="E2218" s="1044">
        <f>VLOOKUP($B2218,DG!A:D,DG!$B$2,)</f>
        <v>0</v>
      </c>
      <c r="F2218" s="1056" t="str">
        <f>VLOOKUP($B2218,DG!A:D,DG!$C$2,)</f>
        <v xml:space="preserve">Móc đơn treo cáp </v>
      </c>
      <c r="G2218" s="1044" t="str">
        <f>VLOOKUP($B2218,DG!A:D,DG!$D$2,)</f>
        <v>cái</v>
      </c>
      <c r="H2218" s="1823">
        <f t="shared" si="397"/>
        <v>0</v>
      </c>
      <c r="I2218" s="1823"/>
      <c r="J2218" s="1823"/>
      <c r="K2218" s="1823"/>
      <c r="L2218" s="1823"/>
      <c r="M2218" s="1823"/>
      <c r="N2218" s="1823"/>
      <c r="O2218" s="1823"/>
      <c r="P2218" s="1823">
        <f t="shared" si="398"/>
        <v>0</v>
      </c>
      <c r="Q2218" s="1053"/>
      <c r="R2218" s="1053"/>
      <c r="S2218" s="1053"/>
      <c r="T2218" s="2035">
        <f t="shared" si="394"/>
        <v>0</v>
      </c>
    </row>
    <row r="2219" spans="1:20" ht="22.2" hidden="1" customHeight="1">
      <c r="A2219" s="59"/>
      <c r="B2219" s="1577" t="s">
        <v>851</v>
      </c>
      <c r="C2219" s="1013" t="str">
        <f t="shared" si="396"/>
        <v xml:space="preserve"> </v>
      </c>
      <c r="D2219" s="1535">
        <f>PPHTCS!AO69</f>
        <v>0</v>
      </c>
      <c r="E2219" s="1044">
        <f>VLOOKUP($B2219,DG!A:D,DG!$B$2,)</f>
        <v>0</v>
      </c>
      <c r="F2219" s="1056" t="str">
        <f>VLOOKUP($B2219,DG!A:D,DG!$C$2,)</f>
        <v>Boulon móc 16x250+ long đền vuông D18-50x50x3/Zn</v>
      </c>
      <c r="G2219" s="1044" t="str">
        <f>VLOOKUP($B2219,DG!A:D,DG!$D$2,)</f>
        <v>bộ</v>
      </c>
      <c r="H2219" s="1823">
        <f t="shared" si="397"/>
        <v>0</v>
      </c>
      <c r="I2219" s="1823"/>
      <c r="J2219" s="1823"/>
      <c r="K2219" s="1823"/>
      <c r="L2219" s="1823"/>
      <c r="M2219" s="1823"/>
      <c r="N2219" s="1823"/>
      <c r="O2219" s="1823"/>
      <c r="P2219" s="1823">
        <f t="shared" si="398"/>
        <v>0</v>
      </c>
      <c r="Q2219" s="1053"/>
      <c r="R2219" s="1053"/>
      <c r="S2219" s="1053"/>
      <c r="T2219" s="2035">
        <f t="shared" si="394"/>
        <v>0</v>
      </c>
    </row>
    <row r="2220" spans="1:20" ht="22.2" hidden="1" customHeight="1">
      <c r="A2220" s="59"/>
      <c r="B2220" s="1577" t="s">
        <v>852</v>
      </c>
      <c r="C2220" s="1013" t="str">
        <f t="shared" si="396"/>
        <v xml:space="preserve"> </v>
      </c>
      <c r="D2220" s="1535">
        <f>PPHTCS!AP69</f>
        <v>0</v>
      </c>
      <c r="E2220" s="1044">
        <f>VLOOKUP($B2220,DG!A:D,DG!$B$2,)</f>
        <v>0</v>
      </c>
      <c r="F2220" s="1056" t="str">
        <f>VLOOKUP($B2220,DG!A:D,DG!$C$2,)</f>
        <v>Boulon móc 16x300+ long đền vuông D18-50x50x3/Zn</v>
      </c>
      <c r="G2220" s="1044" t="str">
        <f>VLOOKUP($B2220,DG!A:D,DG!$D$2,)</f>
        <v>bộ</v>
      </c>
      <c r="H2220" s="1823">
        <f t="shared" si="397"/>
        <v>0</v>
      </c>
      <c r="I2220" s="1823"/>
      <c r="J2220" s="1823"/>
      <c r="K2220" s="1823"/>
      <c r="L2220" s="1823"/>
      <c r="M2220" s="1823"/>
      <c r="N2220" s="1823"/>
      <c r="O2220" s="1823"/>
      <c r="P2220" s="1823">
        <f t="shared" si="398"/>
        <v>0</v>
      </c>
      <c r="Q2220" s="1053"/>
      <c r="R2220" s="1053"/>
      <c r="S2220" s="1053"/>
      <c r="T2220" s="2035">
        <f t="shared" si="394"/>
        <v>0</v>
      </c>
    </row>
    <row r="2221" spans="1:20" ht="22.2" hidden="1" customHeight="1">
      <c r="A2221" s="59"/>
      <c r="B2221" s="1577" t="s">
        <v>2206</v>
      </c>
      <c r="C2221" s="1013" t="str">
        <f t="shared" si="396"/>
        <v xml:space="preserve"> </v>
      </c>
      <c r="D2221" s="1532">
        <f>PPHTCS!BH69</f>
        <v>0</v>
      </c>
      <c r="E2221" s="1044"/>
      <c r="F2221" s="1056" t="str">
        <f>VLOOKUP($B2221,DG!A:D,DG!$C$2,)</f>
        <v xml:space="preserve">Cổ dê trụ đôi 8,4m bắt móc dừng </v>
      </c>
      <c r="G2221" s="1044" t="str">
        <f>VLOOKUP($B2221,DG!A:D,DG!$D$2,)</f>
        <v>bộ</v>
      </c>
      <c r="H2221" s="1823">
        <f t="shared" si="397"/>
        <v>0</v>
      </c>
      <c r="I2221" s="1823"/>
      <c r="J2221" s="1823"/>
      <c r="K2221" s="1823"/>
      <c r="L2221" s="1823"/>
      <c r="M2221" s="1823"/>
      <c r="N2221" s="1823"/>
      <c r="O2221" s="1823"/>
      <c r="P2221" s="1823">
        <f t="shared" si="398"/>
        <v>0</v>
      </c>
      <c r="Q2221" s="1053"/>
      <c r="R2221" s="1053"/>
      <c r="S2221" s="1053"/>
      <c r="T2221" s="2035">
        <f t="shared" si="394"/>
        <v>0</v>
      </c>
    </row>
    <row r="2222" spans="1:20" ht="22.2" hidden="1" customHeight="1">
      <c r="A2222" s="59"/>
      <c r="B2222" s="1577" t="s">
        <v>1470</v>
      </c>
      <c r="C2222" s="1013" t="str">
        <f t="shared" si="396"/>
        <v xml:space="preserve"> </v>
      </c>
      <c r="D2222" s="1532">
        <f>PPHTCS!BI69</f>
        <v>0</v>
      </c>
      <c r="E2222" s="1044">
        <f>VLOOKUP($B2222,DG!A:D,DG!$B$2,)</f>
        <v>0</v>
      </c>
      <c r="F2222" s="1056" t="str">
        <f>VLOOKUP($B2222,DG!A:D,DG!$C$2,)</f>
        <v xml:space="preserve">Móc dừng </v>
      </c>
      <c r="G2222" s="1044" t="str">
        <f>VLOOKUP($B2222,DG!A:D,DG!$D$2,)</f>
        <v>cái</v>
      </c>
      <c r="H2222" s="1823">
        <f t="shared" si="397"/>
        <v>0</v>
      </c>
      <c r="I2222" s="1823"/>
      <c r="J2222" s="1823"/>
      <c r="K2222" s="1823"/>
      <c r="L2222" s="1823"/>
      <c r="M2222" s="1823"/>
      <c r="N2222" s="1823"/>
      <c r="O2222" s="1823"/>
      <c r="P2222" s="1823">
        <f t="shared" si="398"/>
        <v>0</v>
      </c>
      <c r="Q2222" s="1053"/>
      <c r="R2222" s="1053"/>
      <c r="S2222" s="1053"/>
      <c r="T2222" s="2035">
        <f t="shared" si="394"/>
        <v>0</v>
      </c>
    </row>
    <row r="2223" spans="1:20" ht="22.2" hidden="1" customHeight="1">
      <c r="A2223" s="59"/>
      <c r="B2223" s="1577" t="s">
        <v>194</v>
      </c>
      <c r="C2223" s="1013" t="str">
        <f t="shared" si="396"/>
        <v xml:space="preserve"> </v>
      </c>
      <c r="D2223" s="1538">
        <f>PPHTCS!BL69</f>
        <v>0</v>
      </c>
      <c r="E2223" s="1044">
        <f>VLOOKUP($B2223,DG!A:D,DG!$B$2,)</f>
        <v>0</v>
      </c>
      <c r="F2223" s="1056" t="str">
        <f>VLOOKUP($B2223,DG!A:D,DG!$C$2,)&amp;": ñaáu noái löôùi hieän höõu"</f>
        <v>Kẹp U bolt dây 50mm2: ñaáu noái löôùi hieän höõu</v>
      </c>
      <c r="G2223" s="1044" t="str">
        <f>VLOOKUP($B2223,DG!A:D,DG!$D$2,)</f>
        <v>cái</v>
      </c>
      <c r="H2223" s="1823">
        <f t="shared" si="397"/>
        <v>0</v>
      </c>
      <c r="I2223" s="1823"/>
      <c r="J2223" s="1823"/>
      <c r="K2223" s="1823"/>
      <c r="L2223" s="1823"/>
      <c r="M2223" s="1823"/>
      <c r="N2223" s="1823"/>
      <c r="O2223" s="1823"/>
      <c r="P2223" s="1823">
        <f t="shared" si="398"/>
        <v>0</v>
      </c>
      <c r="Q2223" s="1053"/>
      <c r="R2223" s="1053"/>
      <c r="S2223" s="1053"/>
      <c r="T2223" s="2035">
        <f t="shared" si="394"/>
        <v>0</v>
      </c>
    </row>
    <row r="2224" spans="1:20" ht="22.2" hidden="1" customHeight="1">
      <c r="A2224" s="59"/>
      <c r="B2224" s="1577" t="s">
        <v>71</v>
      </c>
      <c r="C2224" s="1013" t="str">
        <f t="shared" si="396"/>
        <v xml:space="preserve"> </v>
      </c>
      <c r="D2224" s="1535"/>
      <c r="E2224" s="1044">
        <f>VLOOKUP($B2224,DG!A:D,DG!$B$2,)</f>
        <v>0</v>
      </c>
      <c r="F2224" s="1056" t="str">
        <f>VLOOKUP($B2224,DG!A:D,DG!$C$2,)</f>
        <v>ÔÁng sắt tráng kẽm D60</v>
      </c>
      <c r="G2224" s="1044" t="str">
        <f>VLOOKUP($B2224,DG!A:D,DG!$D$2,)</f>
        <v>mét</v>
      </c>
      <c r="H2224" s="1823">
        <f t="shared" si="397"/>
        <v>0</v>
      </c>
      <c r="I2224" s="1823"/>
      <c r="J2224" s="1823"/>
      <c r="K2224" s="1823"/>
      <c r="L2224" s="1823"/>
      <c r="M2224" s="1823"/>
      <c r="N2224" s="1823"/>
      <c r="O2224" s="1823"/>
      <c r="P2224" s="1823">
        <f t="shared" si="398"/>
        <v>0</v>
      </c>
      <c r="Q2224" s="1053"/>
      <c r="R2224" s="1053"/>
      <c r="S2224" s="1053"/>
      <c r="T2224" s="2035">
        <f t="shared" si="394"/>
        <v>0</v>
      </c>
    </row>
    <row r="2225" spans="1:20" ht="22.2" hidden="1" customHeight="1">
      <c r="A2225" s="59"/>
      <c r="B2225" s="1577" t="s">
        <v>2107</v>
      </c>
      <c r="C2225" s="1013" t="str">
        <f t="shared" si="396"/>
        <v xml:space="preserve"> </v>
      </c>
      <c r="D2225" s="1535"/>
      <c r="E2225" s="1044">
        <f>VLOOKUP($B2225,DG!A:D,DG!$B$2,)</f>
        <v>0</v>
      </c>
      <c r="F2225" s="1056" t="str">
        <f>VLOOKUP($B2225,DG!A:D,DG!$C$2,)</f>
        <v>ÔÁng sắt tráng kẽm D42</v>
      </c>
      <c r="G2225" s="1044" t="str">
        <f>VLOOKUP($B2225,DG!A:D,DG!$D$2,)</f>
        <v>mét</v>
      </c>
      <c r="H2225" s="1823">
        <f t="shared" si="397"/>
        <v>0</v>
      </c>
      <c r="I2225" s="1823"/>
      <c r="J2225" s="1823"/>
      <c r="K2225" s="1823"/>
      <c r="L2225" s="1823"/>
      <c r="M2225" s="1823"/>
      <c r="N2225" s="1823"/>
      <c r="O2225" s="1823"/>
      <c r="P2225" s="1823">
        <f t="shared" si="398"/>
        <v>0</v>
      </c>
      <c r="Q2225" s="1053"/>
      <c r="R2225" s="1053"/>
      <c r="S2225" s="1053"/>
      <c r="T2225" s="2035">
        <f t="shared" ref="T2225:T2289" si="399">IFERROR(HLOOKUP(B2225,BangKeTru,3,0),0)</f>
        <v>0</v>
      </c>
    </row>
    <row r="2226" spans="1:20" ht="22.2" hidden="1" customHeight="1">
      <c r="A2226" s="59"/>
      <c r="B2226" s="1577" t="s">
        <v>2013</v>
      </c>
      <c r="C2226" s="1013" t="str">
        <f t="shared" si="396"/>
        <v xml:space="preserve"> </v>
      </c>
      <c r="D2226" s="1535"/>
      <c r="E2226" s="1044" t="str">
        <f>VLOOKUP($B2226,DG!A:D,DG!$B$2,)</f>
        <v>07.2404</v>
      </c>
      <c r="F2226" s="1056" t="str">
        <f>VLOOKUP($B2226,DG!A:D,DG!$C$2,)</f>
        <v>Ống PVC D60x2,8mm</v>
      </c>
      <c r="G2226" s="1044" t="str">
        <f>VLOOKUP($B2226,DG!A:D,DG!$D$2,)</f>
        <v>m</v>
      </c>
      <c r="H2226" s="1823">
        <f t="shared" si="397"/>
        <v>0</v>
      </c>
      <c r="I2226" s="1823"/>
      <c r="J2226" s="1823"/>
      <c r="K2226" s="1823"/>
      <c r="L2226" s="1823"/>
      <c r="M2226" s="1823"/>
      <c r="N2226" s="1823"/>
      <c r="O2226" s="1823"/>
      <c r="P2226" s="1823">
        <f t="shared" si="398"/>
        <v>0</v>
      </c>
      <c r="Q2226" s="1053"/>
      <c r="R2226" s="1053"/>
      <c r="S2226" s="1053"/>
      <c r="T2226" s="2035">
        <f t="shared" si="399"/>
        <v>0</v>
      </c>
    </row>
    <row r="2227" spans="1:20" ht="22.2" hidden="1" customHeight="1">
      <c r="A2227" s="59"/>
      <c r="B2227" s="1577" t="s">
        <v>2147</v>
      </c>
      <c r="C2227" s="1013" t="str">
        <f t="shared" si="396"/>
        <v xml:space="preserve"> </v>
      </c>
      <c r="D2227" s="1535">
        <f>D2226</f>
        <v>0</v>
      </c>
      <c r="E2227" s="1044" t="str">
        <f>VLOOKUP($B2227,DG!A:D,DG!$B$2,)</f>
        <v>07.2403</v>
      </c>
      <c r="F2227" s="1056" t="str">
        <f>VLOOKUP($B2227,DG!A:D,DG!$C$2,)</f>
        <v>Ống PVC D42x2,1mm</v>
      </c>
      <c r="G2227" s="1044" t="str">
        <f>VLOOKUP($B2227,DG!A:D,DG!$D$2,)</f>
        <v>m</v>
      </c>
      <c r="H2227" s="1823">
        <f t="shared" si="397"/>
        <v>0</v>
      </c>
      <c r="I2227" s="1823"/>
      <c r="J2227" s="1823"/>
      <c r="K2227" s="1823"/>
      <c r="L2227" s="1823"/>
      <c r="M2227" s="1823"/>
      <c r="N2227" s="1823"/>
      <c r="O2227" s="1823"/>
      <c r="P2227" s="1823">
        <f t="shared" si="398"/>
        <v>0</v>
      </c>
      <c r="Q2227" s="1053"/>
      <c r="R2227" s="1053"/>
      <c r="S2227" s="1053"/>
      <c r="T2227" s="2035">
        <f t="shared" si="399"/>
        <v>0</v>
      </c>
    </row>
    <row r="2228" spans="1:20" ht="22.2" hidden="1" customHeight="1">
      <c r="A2228" s="59"/>
      <c r="B2228" s="1610" t="s">
        <v>1278</v>
      </c>
      <c r="C2228" s="1013" t="str">
        <f t="shared" si="396"/>
        <v xml:space="preserve"> </v>
      </c>
      <c r="D2228" s="1535">
        <f>D2226+D2202</f>
        <v>0</v>
      </c>
      <c r="E2228" s="1044" t="str">
        <f>VLOOKUP($B2228,DG!A:D,DG!$B$2,)</f>
        <v>07,2404</v>
      </c>
      <c r="F2228" s="1049" t="str">
        <f>VLOOKUP($B2228,DG!A:D,DG!$C$2,)</f>
        <v>Lắp ống PVC D60 (Nhân công đã qui đổi về ĐG chiếu sáng)</v>
      </c>
      <c r="G2228" s="1044" t="str">
        <f>VLOOKUP($B2228,DG!A:D,DG!$D$2,)</f>
        <v>mét</v>
      </c>
      <c r="H2228" s="1823">
        <f t="shared" si="397"/>
        <v>0</v>
      </c>
      <c r="I2228" s="1823"/>
      <c r="J2228" s="1823"/>
      <c r="K2228" s="1823"/>
      <c r="L2228" s="1823"/>
      <c r="M2228" s="1823"/>
      <c r="N2228" s="1823"/>
      <c r="O2228" s="1823"/>
      <c r="P2228" s="1823">
        <f t="shared" si="398"/>
        <v>0</v>
      </c>
      <c r="Q2228" s="1053"/>
      <c r="R2228" s="1053"/>
      <c r="S2228" s="1053"/>
      <c r="T2228" s="2035">
        <f t="shared" si="399"/>
        <v>0</v>
      </c>
    </row>
    <row r="2229" spans="1:20" ht="22.2" hidden="1" customHeight="1">
      <c r="A2229" s="59"/>
      <c r="B2229" s="1610" t="s">
        <v>1280</v>
      </c>
      <c r="C2229" s="1013" t="str">
        <f t="shared" si="396"/>
        <v xml:space="preserve"> </v>
      </c>
      <c r="D2229" s="1535">
        <f>D2224+D2225</f>
        <v>0</v>
      </c>
      <c r="E2229" s="1044" t="str">
        <f>VLOOKUP($B2229,DG!A:D,DG!$B$2,)</f>
        <v>07.2301</v>
      </c>
      <c r="F2229" s="1049" t="str">
        <f>VLOOKUP($B2229,DG!A:D,DG!$C$2,)</f>
        <v>Lắp ống sắt d&lt;120mm (Nhân công đã qui đổi về ĐG chiếu sáng)</v>
      </c>
      <c r="G2229" s="1044" t="str">
        <f>VLOOKUP($B2229,DG!A:D,DG!$D$2,)</f>
        <v>mét</v>
      </c>
      <c r="H2229" s="1823">
        <f t="shared" si="397"/>
        <v>0</v>
      </c>
      <c r="I2229" s="1823"/>
      <c r="J2229" s="1823"/>
      <c r="K2229" s="1823"/>
      <c r="L2229" s="1823"/>
      <c r="M2229" s="1823"/>
      <c r="N2229" s="1823"/>
      <c r="O2229" s="1823"/>
      <c r="P2229" s="1823">
        <f t="shared" si="398"/>
        <v>0</v>
      </c>
      <c r="Q2229" s="1053"/>
      <c r="R2229" s="1053"/>
      <c r="S2229" s="1053"/>
      <c r="T2229" s="2035">
        <f t="shared" si="399"/>
        <v>0</v>
      </c>
    </row>
    <row r="2230" spans="1:20" ht="22.2" hidden="1" customHeight="1">
      <c r="A2230" s="59"/>
      <c r="B2230" s="1610" t="s">
        <v>592</v>
      </c>
      <c r="C2230" s="1013" t="str">
        <f t="shared" si="396"/>
        <v xml:space="preserve"> </v>
      </c>
      <c r="D2230" s="1533">
        <f>(D2192+D2191+D2190)</f>
        <v>0</v>
      </c>
      <c r="E2230" s="1044" t="str">
        <f>VLOOKUP($B2230,DG!A:D,DG!$B$2,)</f>
        <v>CS4.02.011</v>
      </c>
      <c r="F2230" s="1049" t="str">
        <f>VLOOKUP($B2230,DG!A:D,DG!$C$2,)</f>
        <v>Kéo rải cáp chiếu sáng D&lt;25</v>
      </c>
      <c r="G2230" s="1044" t="str">
        <f>VLOOKUP($B2230,DG!A:D,DG!$D$2,)</f>
        <v>mét</v>
      </c>
      <c r="H2230" s="1823">
        <f t="shared" si="397"/>
        <v>0</v>
      </c>
      <c r="I2230" s="1823"/>
      <c r="J2230" s="1823"/>
      <c r="K2230" s="1823"/>
      <c r="L2230" s="1823"/>
      <c r="M2230" s="1823"/>
      <c r="N2230" s="1823"/>
      <c r="O2230" s="1823"/>
      <c r="P2230" s="1823">
        <f t="shared" si="398"/>
        <v>0</v>
      </c>
      <c r="Q2230" s="1053"/>
      <c r="R2230" s="1053"/>
      <c r="S2230" s="1053"/>
      <c r="T2230" s="2035">
        <f t="shared" si="399"/>
        <v>0</v>
      </c>
    </row>
    <row r="2231" spans="1:20" ht="22.2" hidden="1" customHeight="1">
      <c r="A2231" s="59"/>
      <c r="B2231" s="1610" t="s">
        <v>596</v>
      </c>
      <c r="C2231" s="1013" t="str">
        <f t="shared" si="396"/>
        <v xml:space="preserve"> </v>
      </c>
      <c r="D2231" s="1538">
        <f>D2205</f>
        <v>0</v>
      </c>
      <c r="E2231" s="1044" t="str">
        <f>VLOOKUP($B2231,DG!A:D,DG!$B$2,)</f>
        <v>CS4.03.010</v>
      </c>
      <c r="F2231" s="1049" t="str">
        <f>VLOOKUP($B2231,DG!A:D,DG!$C$2,)</f>
        <v>Lắp đầu cáp ngầm chiếu sáng</v>
      </c>
      <c r="G2231" s="1044" t="str">
        <f>VLOOKUP($B2231,DG!A:D,DG!$D$2,)</f>
        <v>bộ</v>
      </c>
      <c r="H2231" s="1823">
        <f t="shared" si="397"/>
        <v>0</v>
      </c>
      <c r="I2231" s="1823"/>
      <c r="J2231" s="1823"/>
      <c r="K2231" s="1823"/>
      <c r="L2231" s="1823"/>
      <c r="M2231" s="1823"/>
      <c r="N2231" s="1823"/>
      <c r="O2231" s="1823"/>
      <c r="P2231" s="1823">
        <f t="shared" si="398"/>
        <v>0</v>
      </c>
      <c r="Q2231" s="1053"/>
      <c r="R2231" s="1053"/>
      <c r="S2231" s="1053"/>
      <c r="T2231" s="2035">
        <f t="shared" si="399"/>
        <v>0</v>
      </c>
    </row>
    <row r="2232" spans="1:20" ht="22.2" hidden="1" customHeight="1">
      <c r="A2232" s="59"/>
      <c r="B2232" s="1610" t="s">
        <v>1849</v>
      </c>
      <c r="C2232" s="1013" t="str">
        <f t="shared" si="396"/>
        <v xml:space="preserve"> </v>
      </c>
      <c r="D2232" s="1538">
        <f>D2198+D2197</f>
        <v>0</v>
      </c>
      <c r="E2232" s="1044" t="str">
        <f>VLOOKUP($B2232,DG!A:D,DG!$B$2,)</f>
        <v>CS3.02.011</v>
      </c>
      <c r="F2232" s="1049" t="str">
        <f>VLOOKUP($B2232,DG!A:D,DG!$C$2,)</f>
        <v>Lắp cần đèn +  chụp đầu cột hạ thế ≤ 10,5m</v>
      </c>
      <c r="G2232" s="1044" t="str">
        <f>VLOOKUP($B2232,DG!A:D,DG!$D$2,)</f>
        <v>cái</v>
      </c>
      <c r="H2232" s="1823">
        <f t="shared" si="397"/>
        <v>0</v>
      </c>
      <c r="I2232" s="1823"/>
      <c r="J2232" s="1823"/>
      <c r="K2232" s="1823"/>
      <c r="L2232" s="1823"/>
      <c r="M2232" s="1823"/>
      <c r="N2232" s="1823"/>
      <c r="O2232" s="1823"/>
      <c r="P2232" s="1823">
        <f t="shared" si="398"/>
        <v>0</v>
      </c>
      <c r="Q2232" s="1053"/>
      <c r="R2232" s="1053"/>
      <c r="S2232" s="1053"/>
      <c r="T2232" s="2035">
        <f t="shared" si="399"/>
        <v>0</v>
      </c>
    </row>
    <row r="2233" spans="1:20" ht="22.2" hidden="1" customHeight="1">
      <c r="A2233" s="59"/>
      <c r="B2233" s="1610" t="s">
        <v>1172</v>
      </c>
      <c r="C2233" s="1013" t="str">
        <f t="shared" si="396"/>
        <v xml:space="preserve"> </v>
      </c>
      <c r="D2233" s="1538">
        <f>D2200</f>
        <v>0</v>
      </c>
      <c r="E2233" s="1044" t="str">
        <f>VLOOKUP($B2233,DG!A:D,DG!$B$2,)</f>
        <v>CS3.05.001</v>
      </c>
      <c r="F2233" s="1049" t="str">
        <f>VLOOKUP($B2233,DG!A:D,DG!$C$2,)</f>
        <v>Lắp chóa đèn chiếu sáng ≤ 12m</v>
      </c>
      <c r="G2233" s="1044" t="str">
        <f>VLOOKUP($B2233,DG!A:D,DG!$D$2,)</f>
        <v>bộ</v>
      </c>
      <c r="H2233" s="1823">
        <f t="shared" si="397"/>
        <v>0</v>
      </c>
      <c r="I2233" s="1823"/>
      <c r="J2233" s="1823"/>
      <c r="K2233" s="1823"/>
      <c r="L2233" s="1823"/>
      <c r="M2233" s="1823"/>
      <c r="N2233" s="1823"/>
      <c r="O2233" s="1823"/>
      <c r="P2233" s="1823">
        <f t="shared" si="398"/>
        <v>0</v>
      </c>
      <c r="Q2233" s="1053"/>
      <c r="R2233" s="1053"/>
      <c r="S2233" s="1053"/>
      <c r="T2233" s="2035">
        <f t="shared" si="399"/>
        <v>0</v>
      </c>
    </row>
    <row r="2234" spans="1:20" ht="22.2" hidden="1" customHeight="1">
      <c r="A2234" s="59"/>
      <c r="B2234" s="1610" t="s">
        <v>1688</v>
      </c>
      <c r="C2234" s="1013" t="str">
        <f t="shared" si="396"/>
        <v xml:space="preserve"> </v>
      </c>
      <c r="D2234" s="1535">
        <f>D2196+D2195</f>
        <v>0</v>
      </c>
      <c r="E2234" s="1044" t="str">
        <f>VLOOKUP($B2234,DG!A:D,DG!$B$2,)</f>
        <v>CS4.08.010</v>
      </c>
      <c r="F2234" s="1056" t="str">
        <f>VLOOKUP($B2234,DG!A:D,DG!$C$2,)</f>
        <v>Luồn dây lên đèn</v>
      </c>
      <c r="G2234" s="1044" t="str">
        <f>VLOOKUP($B2234,DG!A:D,DG!$D$2,)</f>
        <v>mét</v>
      </c>
      <c r="H2234" s="1823">
        <f t="shared" si="397"/>
        <v>0</v>
      </c>
      <c r="I2234" s="1823"/>
      <c r="J2234" s="1823"/>
      <c r="K2234" s="1823"/>
      <c r="L2234" s="1823"/>
      <c r="M2234" s="1823"/>
      <c r="N2234" s="1823"/>
      <c r="O2234" s="1823"/>
      <c r="P2234" s="1823">
        <f t="shared" si="398"/>
        <v>0</v>
      </c>
      <c r="Q2234" s="1053"/>
      <c r="R2234" s="1053"/>
      <c r="S2234" s="1053"/>
      <c r="T2234" s="2035">
        <f t="shared" si="399"/>
        <v>0</v>
      </c>
    </row>
    <row r="2235" spans="1:20" ht="22.2" hidden="1" customHeight="1">
      <c r="A2235" s="59"/>
      <c r="B2235" s="1610" t="s">
        <v>1123</v>
      </c>
      <c r="C2235" s="1013" t="str">
        <f t="shared" si="396"/>
        <v xml:space="preserve"> </v>
      </c>
      <c r="D2235" s="1535">
        <f>D2210</f>
        <v>0</v>
      </c>
      <c r="E2235" s="1044" t="str">
        <f>VLOOKUP($B2235,DG!A:D,DG!$B$2,)</f>
        <v>CS4.03.020</v>
      </c>
      <c r="F2235" s="1049" t="str">
        <f>VLOOKUP($B2235,DG!A:D,DG!$C$2,)</f>
        <v>Lắp cầu chì đuôi cá</v>
      </c>
      <c r="G2235" s="1044" t="str">
        <f>VLOOKUP($B2235,DG!A:D,DG!$D$2,)</f>
        <v>cái</v>
      </c>
      <c r="H2235" s="1823">
        <f t="shared" si="397"/>
        <v>0</v>
      </c>
      <c r="I2235" s="1823"/>
      <c r="J2235" s="1823"/>
      <c r="K2235" s="1823"/>
      <c r="L2235" s="1823"/>
      <c r="M2235" s="1823"/>
      <c r="N2235" s="1823"/>
      <c r="O2235" s="1823"/>
      <c r="P2235" s="1823">
        <f t="shared" si="398"/>
        <v>0</v>
      </c>
      <c r="Q2235" s="1053"/>
      <c r="R2235" s="1053"/>
      <c r="S2235" s="1053"/>
      <c r="T2235" s="2035">
        <f t="shared" si="399"/>
        <v>0</v>
      </c>
    </row>
    <row r="2236" spans="1:20" ht="22.2" hidden="1" customHeight="1">
      <c r="A2236" s="59"/>
      <c r="B2236" s="1610" t="s">
        <v>971</v>
      </c>
      <c r="C2236" s="1013" t="str">
        <f t="shared" si="396"/>
        <v xml:space="preserve"> </v>
      </c>
      <c r="D2236" s="1535">
        <f>D2211</f>
        <v>0</v>
      </c>
      <c r="E2236" s="1044">
        <f>VLOOKUP($B2236,DG!A:D,DG!$B$2,)</f>
        <v>0</v>
      </c>
      <c r="F2236" s="1049" t="str">
        <f>VLOOKUP($B2236,DG!A:D,DG!$C$2,)</f>
        <v>Lắp tấm bakelit</v>
      </c>
      <c r="G2236" s="1044">
        <f>VLOOKUP($B2236,DG!A:D,DG!$D$2,)</f>
        <v>0</v>
      </c>
      <c r="H2236" s="1823">
        <f t="shared" si="397"/>
        <v>0</v>
      </c>
      <c r="I2236" s="1823"/>
      <c r="J2236" s="1823"/>
      <c r="K2236" s="1823"/>
      <c r="L2236" s="1823"/>
      <c r="M2236" s="1823"/>
      <c r="N2236" s="1823"/>
      <c r="O2236" s="1823"/>
      <c r="P2236" s="1823">
        <f t="shared" si="398"/>
        <v>0</v>
      </c>
      <c r="Q2236" s="1053"/>
      <c r="R2236" s="1053"/>
      <c r="S2236" s="1053"/>
      <c r="T2236" s="2035">
        <f t="shared" si="399"/>
        <v>0</v>
      </c>
    </row>
    <row r="2237" spans="1:20" ht="22.2" hidden="1" customHeight="1">
      <c r="A2237" s="56" t="s">
        <v>1501</v>
      </c>
      <c r="B2237" s="1574" t="s">
        <v>1501</v>
      </c>
      <c r="C2237" s="1013" t="str">
        <f>IF(D2237&lt;&gt;0,"x"," ")</f>
        <v xml:space="preserve"> </v>
      </c>
      <c r="D2237" s="1556"/>
      <c r="E2237" s="1046" t="s">
        <v>1901</v>
      </c>
      <c r="F2237" s="1392" t="s">
        <v>2574</v>
      </c>
      <c r="G2237" s="1046"/>
      <c r="H2237" s="1821">
        <f>SUM(I2237:O2237)</f>
        <v>0</v>
      </c>
      <c r="I2237" s="1822"/>
      <c r="J2237" s="1822"/>
      <c r="K2237" s="1822"/>
      <c r="L2237" s="1822">
        <f>IFERROR(HLOOKUP(chitiet!B2237,pp1p!$1:$3,3,0),0)</f>
        <v>0</v>
      </c>
      <c r="M2237" s="1822"/>
      <c r="N2237" s="1822"/>
      <c r="O2237" s="1822"/>
      <c r="P2237" s="1823">
        <f t="shared" si="398"/>
        <v>0</v>
      </c>
      <c r="Q2237" s="1065"/>
      <c r="R2237" s="1065"/>
      <c r="S2237" s="1065"/>
      <c r="T2237" s="2035">
        <f t="shared" si="399"/>
        <v>0</v>
      </c>
    </row>
    <row r="2238" spans="1:20" ht="22.2" hidden="1" customHeight="1">
      <c r="A2238" s="59"/>
      <c r="B2238" s="1574">
        <v>0</v>
      </c>
      <c r="C2238" s="1013" t="str">
        <f t="shared" si="396"/>
        <v xml:space="preserve"> </v>
      </c>
      <c r="D2238" s="1548"/>
      <c r="E2238" s="1044" t="e">
        <f>VLOOKUP($B2238,DG!A:D,DG!$B$2,)</f>
        <v>#N/A</v>
      </c>
      <c r="F2238" s="1049" t="e">
        <f>VLOOKUP($B2238,DG!A:D,DG!$C$2,)</f>
        <v>#N/A</v>
      </c>
      <c r="G2238" s="1044" t="e">
        <f>VLOOKUP($B2238,DG!A:D,DG!$D$2,)</f>
        <v>#N/A</v>
      </c>
      <c r="H2238" s="1823">
        <f t="shared" ref="H2238:H2244" si="400">D2238</f>
        <v>0</v>
      </c>
      <c r="I2238" s="1823"/>
      <c r="J2238" s="1823">
        <f t="shared" ref="J2238:J2244" si="401">D2238</f>
        <v>0</v>
      </c>
      <c r="K2238" s="1823"/>
      <c r="L2238" s="1823"/>
      <c r="M2238" s="1823"/>
      <c r="N2238" s="1823"/>
      <c r="O2238" s="1823"/>
      <c r="P2238" s="1823">
        <f t="shared" si="398"/>
        <v>0</v>
      </c>
      <c r="Q2238" s="1053"/>
      <c r="R2238" s="1053"/>
      <c r="S2238" s="1053"/>
      <c r="T2238" s="2035">
        <f t="shared" si="399"/>
        <v>0</v>
      </c>
    </row>
    <row r="2239" spans="1:20" ht="22.2" hidden="1" customHeight="1">
      <c r="A2239" s="59"/>
      <c r="B2239" s="1574">
        <v>0</v>
      </c>
      <c r="C2239" s="1013" t="str">
        <f t="shared" si="396"/>
        <v xml:space="preserve"> </v>
      </c>
      <c r="D2239" s="1548"/>
      <c r="E2239" s="1044" t="e">
        <f>VLOOKUP($B2239,DG!A:D,DG!$B$2,)</f>
        <v>#N/A</v>
      </c>
      <c r="F2239" s="1049" t="e">
        <f>VLOOKUP($B2239,DG!A:D,DG!$C$2,)</f>
        <v>#N/A</v>
      </c>
      <c r="G2239" s="1044" t="e">
        <f>VLOOKUP($B2239,DG!A:D,DG!$D$2,)</f>
        <v>#N/A</v>
      </c>
      <c r="H2239" s="1823">
        <f t="shared" si="400"/>
        <v>0</v>
      </c>
      <c r="I2239" s="1823"/>
      <c r="J2239" s="1823">
        <f t="shared" si="401"/>
        <v>0</v>
      </c>
      <c r="K2239" s="1823"/>
      <c r="L2239" s="1823"/>
      <c r="M2239" s="1823"/>
      <c r="N2239" s="1823"/>
      <c r="O2239" s="1823"/>
      <c r="P2239" s="1823">
        <f t="shared" si="398"/>
        <v>0</v>
      </c>
      <c r="Q2239" s="1053"/>
      <c r="R2239" s="1053"/>
      <c r="S2239" s="1053"/>
      <c r="T2239" s="2035">
        <f t="shared" si="399"/>
        <v>0</v>
      </c>
    </row>
    <row r="2240" spans="1:20" ht="22.2" hidden="1" customHeight="1">
      <c r="A2240" s="59"/>
      <c r="B2240" s="1574">
        <v>0</v>
      </c>
      <c r="C2240" s="1013" t="str">
        <f t="shared" si="396"/>
        <v xml:space="preserve"> </v>
      </c>
      <c r="D2240" s="1548"/>
      <c r="E2240" s="1044" t="e">
        <f>VLOOKUP($B2240,DG!A:D,DG!$B$2,)</f>
        <v>#N/A</v>
      </c>
      <c r="F2240" s="1056" t="e">
        <f>VLOOKUP($B2240,DG!A:D,DG!$C$2,)</f>
        <v>#N/A</v>
      </c>
      <c r="G2240" s="1044" t="e">
        <f>VLOOKUP($B2240,DG!A:D,DG!$D$2,)</f>
        <v>#N/A</v>
      </c>
      <c r="H2240" s="1823">
        <f t="shared" si="400"/>
        <v>0</v>
      </c>
      <c r="I2240" s="1823"/>
      <c r="J2240" s="1823">
        <f t="shared" si="401"/>
        <v>0</v>
      </c>
      <c r="K2240" s="1823"/>
      <c r="L2240" s="1823"/>
      <c r="M2240" s="1823"/>
      <c r="N2240" s="1823"/>
      <c r="O2240" s="1823"/>
      <c r="P2240" s="1823">
        <f t="shared" si="398"/>
        <v>0</v>
      </c>
      <c r="Q2240" s="1053"/>
      <c r="R2240" s="1053"/>
      <c r="S2240" s="1053"/>
      <c r="T2240" s="2035">
        <f t="shared" si="399"/>
        <v>0</v>
      </c>
    </row>
    <row r="2241" spans="1:20" ht="22.2" hidden="1" customHeight="1">
      <c r="A2241" s="59"/>
      <c r="B2241" s="1574">
        <v>0</v>
      </c>
      <c r="C2241" s="1013" t="str">
        <f t="shared" ref="C2241:C2307" si="402">IF(OR(P2241&lt;&gt;0,H2241&lt;&gt;0),"x"," ")</f>
        <v xml:space="preserve"> </v>
      </c>
      <c r="D2241" s="1548"/>
      <c r="E2241" s="1044" t="e">
        <f>VLOOKUP($B2241,DG!A:D,DG!$B$2,)</f>
        <v>#N/A</v>
      </c>
      <c r="F2241" s="1049" t="e">
        <f>VLOOKUP($B2241,DG!A:D,DG!$C$2,)</f>
        <v>#N/A</v>
      </c>
      <c r="G2241" s="1044" t="e">
        <f>VLOOKUP($B2241,DG!A:D,DG!$D$2,)</f>
        <v>#N/A</v>
      </c>
      <c r="H2241" s="1823">
        <f t="shared" si="400"/>
        <v>0</v>
      </c>
      <c r="I2241" s="1823"/>
      <c r="J2241" s="1823">
        <f t="shared" si="401"/>
        <v>0</v>
      </c>
      <c r="K2241" s="1823"/>
      <c r="L2241" s="1823"/>
      <c r="M2241" s="1823"/>
      <c r="N2241" s="1823"/>
      <c r="O2241" s="1823"/>
      <c r="P2241" s="1823">
        <f t="shared" si="398"/>
        <v>0</v>
      </c>
      <c r="Q2241" s="1053"/>
      <c r="R2241" s="1053"/>
      <c r="S2241" s="1053"/>
      <c r="T2241" s="2035">
        <f t="shared" si="399"/>
        <v>0</v>
      </c>
    </row>
    <row r="2242" spans="1:20" ht="22.2" hidden="1" customHeight="1">
      <c r="A2242" s="59"/>
      <c r="B2242" s="1574">
        <v>0</v>
      </c>
      <c r="C2242" s="1013" t="str">
        <f t="shared" si="402"/>
        <v xml:space="preserve"> </v>
      </c>
      <c r="D2242" s="1548"/>
      <c r="E2242" s="1044" t="e">
        <f>VLOOKUP($B2242,DG!A:D,DG!$B$2,)</f>
        <v>#N/A</v>
      </c>
      <c r="F2242" s="1049" t="e">
        <f>VLOOKUP($B2242,DG!A:D,DG!$C$2,)</f>
        <v>#N/A</v>
      </c>
      <c r="G2242" s="1044" t="e">
        <f>VLOOKUP($B2242,DG!A:D,DG!$D$2,)</f>
        <v>#N/A</v>
      </c>
      <c r="H2242" s="1823">
        <f t="shared" si="400"/>
        <v>0</v>
      </c>
      <c r="I2242" s="1823"/>
      <c r="J2242" s="1823">
        <f t="shared" si="401"/>
        <v>0</v>
      </c>
      <c r="K2242" s="1823"/>
      <c r="L2242" s="1823"/>
      <c r="M2242" s="1823"/>
      <c r="N2242" s="1823"/>
      <c r="O2242" s="1823"/>
      <c r="P2242" s="1823">
        <f t="shared" si="398"/>
        <v>0</v>
      </c>
      <c r="Q2242" s="1053"/>
      <c r="R2242" s="1053"/>
      <c r="S2242" s="1053"/>
      <c r="T2242" s="2035">
        <f t="shared" si="399"/>
        <v>0</v>
      </c>
    </row>
    <row r="2243" spans="1:20" ht="22.2" hidden="1" customHeight="1">
      <c r="A2243" s="59"/>
      <c r="B2243" s="1574">
        <v>0</v>
      </c>
      <c r="C2243" s="1013" t="str">
        <f t="shared" si="402"/>
        <v xml:space="preserve"> </v>
      </c>
      <c r="D2243" s="1548"/>
      <c r="E2243" s="1044" t="e">
        <f>VLOOKUP($B2243,DG!A:D,DG!$B$2,)</f>
        <v>#N/A</v>
      </c>
      <c r="F2243" s="1049" t="e">
        <f>VLOOKUP($B2243,DG!A:D,DG!$C$2,)</f>
        <v>#N/A</v>
      </c>
      <c r="G2243" s="1044" t="e">
        <f>VLOOKUP($B2243,DG!A:D,DG!$D$2,)</f>
        <v>#N/A</v>
      </c>
      <c r="H2243" s="1823">
        <f t="shared" si="400"/>
        <v>0</v>
      </c>
      <c r="I2243" s="1823"/>
      <c r="J2243" s="1823">
        <f t="shared" si="401"/>
        <v>0</v>
      </c>
      <c r="K2243" s="1823"/>
      <c r="L2243" s="1823"/>
      <c r="M2243" s="1823"/>
      <c r="N2243" s="1823"/>
      <c r="O2243" s="1823"/>
      <c r="P2243" s="1823">
        <f t="shared" si="398"/>
        <v>0</v>
      </c>
      <c r="Q2243" s="1053"/>
      <c r="R2243" s="1053"/>
      <c r="S2243" s="1053"/>
      <c r="T2243" s="2035">
        <f t="shared" si="399"/>
        <v>0</v>
      </c>
    </row>
    <row r="2244" spans="1:20" ht="22.2" hidden="1" customHeight="1">
      <c r="A2244" s="59"/>
      <c r="B2244" s="1574">
        <v>0</v>
      </c>
      <c r="C2244" s="1013" t="str">
        <f t="shared" si="402"/>
        <v xml:space="preserve"> </v>
      </c>
      <c r="D2244" s="1548"/>
      <c r="E2244" s="1044" t="e">
        <f>VLOOKUP($B2244,DG!A:D,DG!$B$2,)</f>
        <v>#N/A</v>
      </c>
      <c r="F2244" s="1049" t="e">
        <f>VLOOKUP($B2244,DG!A:D,DG!$C$2,)</f>
        <v>#N/A</v>
      </c>
      <c r="G2244" s="1044" t="e">
        <f>VLOOKUP($B2244,DG!A:D,DG!$D$2,)</f>
        <v>#N/A</v>
      </c>
      <c r="H2244" s="1823">
        <f t="shared" si="400"/>
        <v>0</v>
      </c>
      <c r="I2244" s="1823"/>
      <c r="J2244" s="1823">
        <f t="shared" si="401"/>
        <v>0</v>
      </c>
      <c r="K2244" s="1823"/>
      <c r="L2244" s="1823"/>
      <c r="M2244" s="1823"/>
      <c r="N2244" s="1823"/>
      <c r="O2244" s="1823"/>
      <c r="P2244" s="1823">
        <f t="shared" si="398"/>
        <v>0</v>
      </c>
      <c r="Q2244" s="1053"/>
      <c r="R2244" s="1053"/>
      <c r="S2244" s="1053"/>
      <c r="T2244" s="2035">
        <f t="shared" si="399"/>
        <v>0</v>
      </c>
    </row>
    <row r="2245" spans="1:20" ht="22.2" hidden="1" customHeight="1">
      <c r="A2245" s="1016" t="s">
        <v>589</v>
      </c>
      <c r="B2245" s="1574" t="s">
        <v>589</v>
      </c>
      <c r="C2245" s="1013"/>
      <c r="D2245" s="1532">
        <f>IF(SUM(D2246:D2255)=0,0,1)</f>
        <v>0</v>
      </c>
      <c r="E2245" s="1046" t="s">
        <v>1904</v>
      </c>
      <c r="F2245" s="1392" t="s">
        <v>2575</v>
      </c>
      <c r="G2245" s="1046"/>
      <c r="H2245" s="1821">
        <f>SUM(I2245:O2245)</f>
        <v>0</v>
      </c>
      <c r="I2245" s="1822"/>
      <c r="J2245" s="1822"/>
      <c r="K2245" s="1822"/>
      <c r="L2245" s="1822">
        <f>IFERROR(HLOOKUP(chitiet!B2245,pp1p!$1:$3,3,0),0)</f>
        <v>0</v>
      </c>
      <c r="M2245" s="1822"/>
      <c r="N2245" s="1822"/>
      <c r="O2245" s="1822"/>
      <c r="P2245" s="1823">
        <f t="shared" si="398"/>
        <v>0</v>
      </c>
      <c r="Q2245" s="1065"/>
      <c r="R2245" s="1065"/>
      <c r="S2245" s="1065"/>
      <c r="T2245" s="2035">
        <f t="shared" si="399"/>
        <v>0</v>
      </c>
    </row>
    <row r="2246" spans="1:20" ht="22.2" hidden="1" customHeight="1">
      <c r="A2246" s="59"/>
      <c r="B2246" s="1584" t="s">
        <v>788</v>
      </c>
      <c r="C2246" s="1013" t="str">
        <f t="shared" si="402"/>
        <v xml:space="preserve"> </v>
      </c>
      <c r="D2246" s="1548">
        <f>+pp_NC!ED184</f>
        <v>0</v>
      </c>
      <c r="E2246" s="1044" t="str">
        <f>VLOOKUP($B2246,DG!A:D,DG!$B$2,)</f>
        <v>02.3104</v>
      </c>
      <c r="F2246" s="1056" t="str">
        <f>VLOOKUP($B2246,DG!A:D,DG!$C$2,)</f>
        <v>LTD 1P 24KV - 800A</v>
      </c>
      <c r="G2246" s="1044" t="str">
        <f>VLOOKUP($B2246,DG!A:D,DG!$D$2,)</f>
        <v>cái</v>
      </c>
      <c r="H2246" s="1823">
        <f t="shared" ref="H2246:H2255" si="403">D2246</f>
        <v>0</v>
      </c>
      <c r="I2246" s="1823"/>
      <c r="J2246" s="1823">
        <f t="shared" ref="J2246:J2255" si="404">D2246</f>
        <v>0</v>
      </c>
      <c r="K2246" s="1823"/>
      <c r="L2246" s="1823"/>
      <c r="M2246" s="1823"/>
      <c r="N2246" s="1823"/>
      <c r="O2246" s="1823"/>
      <c r="P2246" s="1823">
        <f t="shared" si="398"/>
        <v>0</v>
      </c>
      <c r="Q2246" s="1053"/>
      <c r="R2246" s="1053"/>
      <c r="S2246" s="1053"/>
      <c r="T2246" s="2035">
        <f t="shared" si="399"/>
        <v>0</v>
      </c>
    </row>
    <row r="2247" spans="1:20" ht="22.2" hidden="1" customHeight="1">
      <c r="A2247" s="59"/>
      <c r="B2247" s="1584" t="s">
        <v>4624</v>
      </c>
      <c r="C2247" s="1013" t="str">
        <f t="shared" si="402"/>
        <v xml:space="preserve"> </v>
      </c>
      <c r="D2247" s="1548">
        <f>pp_NC!EF184</f>
        <v>0</v>
      </c>
      <c r="E2247" s="1044" t="str">
        <f>VLOOKUP($B2247,DG!A:D,DG!$B$2,)</f>
        <v>02.3505</v>
      </c>
      <c r="F2247" s="1056" t="str">
        <f>VLOOKUP($B2247,DG!A:D,DG!$C$2,)</f>
        <v>LBFCO-24KV-200A</v>
      </c>
      <c r="G2247" s="1044" t="str">
        <f>VLOOKUP($B2247,DG!A:D,DG!$D$2,)</f>
        <v>cái</v>
      </c>
      <c r="H2247" s="1823">
        <f t="shared" si="403"/>
        <v>0</v>
      </c>
      <c r="I2247" s="1823"/>
      <c r="J2247" s="1823">
        <f t="shared" si="404"/>
        <v>0</v>
      </c>
      <c r="K2247" s="1823"/>
      <c r="L2247" s="1823"/>
      <c r="M2247" s="1823"/>
      <c r="N2247" s="1823"/>
      <c r="O2247" s="1823"/>
      <c r="P2247" s="1823">
        <f t="shared" si="398"/>
        <v>0</v>
      </c>
      <c r="Q2247" s="1053"/>
      <c r="R2247" s="1053"/>
      <c r="S2247" s="1053"/>
      <c r="T2247" s="2035">
        <f t="shared" si="399"/>
        <v>0</v>
      </c>
    </row>
    <row r="2248" spans="1:20" ht="22.2" hidden="1" customHeight="1">
      <c r="A2248" s="59"/>
      <c r="B2248" s="1584" t="s">
        <v>1656</v>
      </c>
      <c r="C2248" s="1013" t="str">
        <f t="shared" si="402"/>
        <v xml:space="preserve"> </v>
      </c>
      <c r="D2248" s="1548">
        <f>pp_NC!EG184</f>
        <v>0</v>
      </c>
      <c r="E2248" s="1044" t="str">
        <f>VLOOKUP($B2248,DG!A:D,DG!$B$2,)</f>
        <v>02.3505</v>
      </c>
      <c r="F2248" s="1056" t="str">
        <f>VLOOKUP($B2248,DG!A:D,DG!$C$2,)</f>
        <v xml:space="preserve">FCO 24KV - 200A </v>
      </c>
      <c r="G2248" s="1044" t="str">
        <f>VLOOKUP($B2248,DG!A:D,DG!$D$2,)</f>
        <v>cái</v>
      </c>
      <c r="H2248" s="1823">
        <f t="shared" si="403"/>
        <v>0</v>
      </c>
      <c r="I2248" s="1823"/>
      <c r="J2248" s="1823">
        <f t="shared" si="404"/>
        <v>0</v>
      </c>
      <c r="K2248" s="1823"/>
      <c r="L2248" s="1823"/>
      <c r="M2248" s="1823"/>
      <c r="N2248" s="1823"/>
      <c r="O2248" s="1823"/>
      <c r="P2248" s="1823">
        <f t="shared" si="398"/>
        <v>0</v>
      </c>
      <c r="Q2248" s="1053"/>
      <c r="R2248" s="1053"/>
      <c r="S2248" s="1053"/>
      <c r="T2248" s="2035">
        <f t="shared" si="399"/>
        <v>0</v>
      </c>
    </row>
    <row r="2249" spans="1:20" ht="22.2" hidden="1" customHeight="1">
      <c r="A2249" s="1015"/>
      <c r="B2249" s="1569" t="s">
        <v>1655</v>
      </c>
      <c r="C2249" s="1013" t="str">
        <f t="shared" si="402"/>
        <v xml:space="preserve"> </v>
      </c>
      <c r="D2249" s="1548">
        <f>pp_NC!EH184</f>
        <v>0</v>
      </c>
      <c r="E2249" s="1044" t="str">
        <f>VLOOKUP($B2249,DG!A:D,DG!$B$2,)</f>
        <v>02.3155</v>
      </c>
      <c r="F2249" s="1056" t="str">
        <f>VLOOKUP($B2249,DG!A:D,DG!$C$2,)</f>
        <v>FCO 27kV - 100A</v>
      </c>
      <c r="G2249" s="1044" t="str">
        <f>VLOOKUP($B2249,DG!A:D,DG!$D$2,)</f>
        <v>cái</v>
      </c>
      <c r="H2249" s="1823">
        <f t="shared" si="403"/>
        <v>0</v>
      </c>
      <c r="I2249" s="1823"/>
      <c r="J2249" s="1823">
        <f t="shared" si="404"/>
        <v>0</v>
      </c>
      <c r="K2249" s="1823"/>
      <c r="L2249" s="1823"/>
      <c r="M2249" s="1823"/>
      <c r="N2249" s="1823"/>
      <c r="O2249" s="1823"/>
      <c r="P2249" s="1823">
        <f t="shared" si="398"/>
        <v>0</v>
      </c>
      <c r="Q2249" s="1053"/>
      <c r="R2249" s="1053"/>
      <c r="S2249" s="1053"/>
      <c r="T2249" s="2035">
        <f t="shared" si="399"/>
        <v>0</v>
      </c>
    </row>
    <row r="2250" spans="1:20" ht="22.2" hidden="1" customHeight="1">
      <c r="A2250" s="1015"/>
      <c r="B2250" s="1583" t="s">
        <v>386</v>
      </c>
      <c r="C2250" s="1013" t="str">
        <f t="shared" si="402"/>
        <v xml:space="preserve"> </v>
      </c>
      <c r="D2250" s="1548"/>
      <c r="E2250" s="1044">
        <f>VLOOKUP($B2250,DG!A:D,DG!$B$2,)</f>
        <v>0</v>
      </c>
      <c r="F2250" s="1056" t="str">
        <f>VLOOKUP($B2250,DG!A:D,DG!$C$2,)</f>
        <v>Dây chảy 12K</v>
      </c>
      <c r="G2250" s="1044" t="str">
        <f>VLOOKUP($B2250,DG!A:D,DG!$D$2,)</f>
        <v>Sợi</v>
      </c>
      <c r="H2250" s="1823">
        <f t="shared" si="403"/>
        <v>0</v>
      </c>
      <c r="I2250" s="1823"/>
      <c r="J2250" s="1823">
        <f t="shared" si="404"/>
        <v>0</v>
      </c>
      <c r="K2250" s="1823"/>
      <c r="L2250" s="1823"/>
      <c r="M2250" s="1823"/>
      <c r="N2250" s="1823"/>
      <c r="O2250" s="1823"/>
      <c r="P2250" s="1823">
        <f t="shared" si="398"/>
        <v>0</v>
      </c>
      <c r="Q2250" s="1053"/>
      <c r="R2250" s="1053"/>
      <c r="S2250" s="1053"/>
      <c r="T2250" s="2035">
        <f t="shared" si="399"/>
        <v>0</v>
      </c>
    </row>
    <row r="2251" spans="1:20" ht="22.2" hidden="1" customHeight="1">
      <c r="A2251" s="1015"/>
      <c r="B2251" s="1583" t="s">
        <v>4369</v>
      </c>
      <c r="C2251" s="1013" t="str">
        <f t="shared" si="402"/>
        <v xml:space="preserve"> </v>
      </c>
      <c r="D2251" s="1548"/>
      <c r="E2251" s="1044">
        <f>VLOOKUP($B2251,DG!A:D,DG!$B$2,)</f>
        <v>0</v>
      </c>
      <c r="F2251" s="1056" t="str">
        <f>VLOOKUP($B2251,DG!A:D,DG!$C$2,)</f>
        <v>Chụp cách điện đầu cực FCO (trên + dưới)</v>
      </c>
      <c r="G2251" s="1044" t="str">
        <f>VLOOKUP($B2251,DG!A:D,DG!$D$2,)</f>
        <v>bộ</v>
      </c>
      <c r="H2251" s="1823">
        <f t="shared" si="403"/>
        <v>0</v>
      </c>
      <c r="I2251" s="1823"/>
      <c r="J2251" s="1823">
        <f t="shared" si="404"/>
        <v>0</v>
      </c>
      <c r="K2251" s="1823"/>
      <c r="L2251" s="1823"/>
      <c r="M2251" s="1823"/>
      <c r="N2251" s="1823"/>
      <c r="O2251" s="1823"/>
      <c r="P2251" s="1823">
        <f>H2251+Q2251-R2251</f>
        <v>0</v>
      </c>
      <c r="Q2251" s="1053"/>
      <c r="R2251" s="1053"/>
      <c r="S2251" s="1053"/>
      <c r="T2251" s="2035">
        <f t="shared" si="399"/>
        <v>0</v>
      </c>
    </row>
    <row r="2252" spans="1:20" ht="22.2" hidden="1" customHeight="1">
      <c r="A2252" s="59"/>
      <c r="B2252" s="1584" t="s">
        <v>446</v>
      </c>
      <c r="C2252" s="1013" t="str">
        <f t="shared" si="402"/>
        <v xml:space="preserve"> </v>
      </c>
      <c r="D2252" s="1548"/>
      <c r="E2252" s="1044" t="str">
        <f>VLOOKUP($B2252,DG!A:D,DG!$B$2,)</f>
        <v>02.3302</v>
      </c>
      <c r="F2252" s="1056" t="str">
        <f>VLOOKUP($B2252,DG!A:D,DG!$C$2,)</f>
        <v xml:space="preserve">DS 1P - 24KV - 600A </v>
      </c>
      <c r="G2252" s="1044" t="str">
        <f>VLOOKUP($B2252,DG!A:D,DG!$D$2,)</f>
        <v>bộ</v>
      </c>
      <c r="H2252" s="1823">
        <f t="shared" si="403"/>
        <v>0</v>
      </c>
      <c r="I2252" s="1823"/>
      <c r="J2252" s="1823">
        <f t="shared" si="404"/>
        <v>0</v>
      </c>
      <c r="K2252" s="1823"/>
      <c r="L2252" s="1823"/>
      <c r="M2252" s="1823"/>
      <c r="N2252" s="1823"/>
      <c r="O2252" s="1823"/>
      <c r="P2252" s="1823">
        <f t="shared" si="398"/>
        <v>0</v>
      </c>
      <c r="Q2252" s="1053"/>
      <c r="R2252" s="1053"/>
      <c r="S2252" s="1053"/>
      <c r="T2252" s="2035">
        <f t="shared" si="399"/>
        <v>0</v>
      </c>
    </row>
    <row r="2253" spans="1:20" ht="22.2" hidden="1" customHeight="1">
      <c r="A2253" s="59"/>
      <c r="B2253" s="1584" t="s">
        <v>1925</v>
      </c>
      <c r="C2253" s="1013" t="str">
        <f t="shared" si="402"/>
        <v xml:space="preserve"> </v>
      </c>
      <c r="D2253" s="1548">
        <f>pp_NC!EJ184</f>
        <v>0</v>
      </c>
      <c r="E2253" s="1044" t="str">
        <f>VLOOKUP($B2253,DG!A:D,DG!$B$2,)</f>
        <v>02.3302</v>
      </c>
      <c r="F2253" s="1056" t="str">
        <f>VLOOKUP($B2253,DG!A:D,DG!$C$2,)</f>
        <v xml:space="preserve">DS 3P - 24KV - 630A </v>
      </c>
      <c r="G2253" s="1044" t="str">
        <f>VLOOKUP($B2253,DG!A:D,DG!$D$2,)</f>
        <v>bộ</v>
      </c>
      <c r="H2253" s="1823">
        <f t="shared" si="403"/>
        <v>0</v>
      </c>
      <c r="I2253" s="1823"/>
      <c r="J2253" s="1823">
        <f t="shared" si="404"/>
        <v>0</v>
      </c>
      <c r="K2253" s="1823"/>
      <c r="L2253" s="1823"/>
      <c r="M2253" s="1823"/>
      <c r="N2253" s="1823"/>
      <c r="O2253" s="1823"/>
      <c r="P2253" s="1823">
        <f t="shared" si="398"/>
        <v>0</v>
      </c>
      <c r="Q2253" s="1053"/>
      <c r="R2253" s="1053"/>
      <c r="S2253" s="1053"/>
      <c r="T2253" s="2035">
        <f t="shared" si="399"/>
        <v>0</v>
      </c>
    </row>
    <row r="2254" spans="1:20" ht="22.2" hidden="1" customHeight="1">
      <c r="A2254" s="59"/>
      <c r="B2254" s="1584" t="s">
        <v>602</v>
      </c>
      <c r="C2254" s="1013" t="str">
        <f t="shared" si="402"/>
        <v xml:space="preserve"> </v>
      </c>
      <c r="D2254" s="1548"/>
      <c r="E2254" s="1044" t="str">
        <f>VLOOKUP($B2254,DG!A:D,DG!$B$2,)</f>
        <v>02.2124</v>
      </c>
      <c r="F2254" s="1056" t="str">
        <f>VLOOKUP($B2254,DG!A:D,DG!$C$2,)</f>
        <v>LBS SF6 3pha 24kV 630A - 16kA</v>
      </c>
      <c r="G2254" s="1044" t="str">
        <f>VLOOKUP($B2254,DG!A:D,DG!$D$2,)</f>
        <v>bộ</v>
      </c>
      <c r="H2254" s="1823">
        <f t="shared" si="403"/>
        <v>0</v>
      </c>
      <c r="I2254" s="1823"/>
      <c r="J2254" s="1823">
        <f t="shared" si="404"/>
        <v>0</v>
      </c>
      <c r="K2254" s="1823"/>
      <c r="L2254" s="1823"/>
      <c r="M2254" s="1823"/>
      <c r="N2254" s="1823"/>
      <c r="O2254" s="1823"/>
      <c r="P2254" s="1823">
        <f t="shared" si="398"/>
        <v>0</v>
      </c>
      <c r="Q2254" s="1053"/>
      <c r="R2254" s="1053"/>
      <c r="S2254" s="1053"/>
      <c r="T2254" s="2035">
        <f t="shared" si="399"/>
        <v>0</v>
      </c>
    </row>
    <row r="2255" spans="1:20" ht="22.2" hidden="1" customHeight="1">
      <c r="A2255" s="59"/>
      <c r="B2255" s="1584" t="s">
        <v>1916</v>
      </c>
      <c r="C2255" s="1013" t="str">
        <f t="shared" si="402"/>
        <v xml:space="preserve"> </v>
      </c>
      <c r="D2255" s="1548"/>
      <c r="E2255" s="1044" t="str">
        <f>VLOOKUP($B2255,DG!A:D,DG!$B$2,)</f>
        <v>02.2124</v>
      </c>
      <c r="F2255" s="1056" t="str">
        <f>VLOOKUP($B2255,DG!A:D,DG!$C$2,)</f>
        <v>Recloser 24kV 630-800A</v>
      </c>
      <c r="G2255" s="1044" t="str">
        <f>VLOOKUP($B2255,DG!A:D,DG!$D$2,)</f>
        <v>bộ</v>
      </c>
      <c r="H2255" s="1823">
        <f t="shared" si="403"/>
        <v>0</v>
      </c>
      <c r="I2255" s="1823"/>
      <c r="J2255" s="1823">
        <f t="shared" si="404"/>
        <v>0</v>
      </c>
      <c r="K2255" s="1823"/>
      <c r="L2255" s="1823"/>
      <c r="M2255" s="1823"/>
      <c r="N2255" s="1823"/>
      <c r="O2255" s="1823"/>
      <c r="P2255" s="1823">
        <f t="shared" si="398"/>
        <v>0</v>
      </c>
      <c r="Q2255" s="1053"/>
      <c r="R2255" s="1053"/>
      <c r="S2255" s="1053"/>
      <c r="T2255" s="2035">
        <f t="shared" si="399"/>
        <v>0</v>
      </c>
    </row>
    <row r="2256" spans="1:20" ht="22.2" hidden="1" customHeight="1">
      <c r="A2256" s="56" t="s">
        <v>1926</v>
      </c>
      <c r="B2256" s="1574" t="s">
        <v>1926</v>
      </c>
      <c r="C2256" s="1013" t="str">
        <f>IF(D2256&lt;&gt;0,"x"," ")</f>
        <v xml:space="preserve"> </v>
      </c>
      <c r="D2256" s="1532">
        <f>IF(SUM(D2257:D2266)=0,0,1)</f>
        <v>0</v>
      </c>
      <c r="E2256" s="1046" t="s">
        <v>1904</v>
      </c>
      <c r="F2256" s="1392" t="s">
        <v>2576</v>
      </c>
      <c r="G2256" s="1046"/>
      <c r="H2256" s="1821">
        <f>SUM(I2256:O2256)</f>
        <v>0</v>
      </c>
      <c r="I2256" s="1822"/>
      <c r="J2256" s="1822"/>
      <c r="K2256" s="1822"/>
      <c r="L2256" s="1822">
        <f>IFERROR(HLOOKUP(chitiet!B2256,pp1p!$1:$3,3,0),0)</f>
        <v>0</v>
      </c>
      <c r="M2256" s="1822"/>
      <c r="N2256" s="1822"/>
      <c r="O2256" s="1822"/>
      <c r="P2256" s="1823">
        <f t="shared" si="398"/>
        <v>0</v>
      </c>
      <c r="Q2256" s="1065"/>
      <c r="R2256" s="1065"/>
      <c r="S2256" s="1065"/>
      <c r="T2256" s="2035">
        <f t="shared" si="399"/>
        <v>0</v>
      </c>
    </row>
    <row r="2257" spans="1:20" ht="22.2" hidden="1" customHeight="1">
      <c r="A2257" s="59"/>
      <c r="B2257" s="1584" t="s">
        <v>788</v>
      </c>
      <c r="C2257" s="1013" t="str">
        <f t="shared" si="402"/>
        <v xml:space="preserve"> </v>
      </c>
      <c r="D2257" s="1549">
        <f>+'pp3p2m '!DM82</f>
        <v>0</v>
      </c>
      <c r="E2257" s="1044" t="str">
        <f>VLOOKUP($B2257,DG!A:D,DG!$B$2,)</f>
        <v>02.3104</v>
      </c>
      <c r="F2257" s="1056" t="str">
        <f>VLOOKUP($B2257,DG!A:D,DG!$C$2,)</f>
        <v>LTD 1P 24KV - 800A</v>
      </c>
      <c r="G2257" s="1044" t="str">
        <f>VLOOKUP($B2257,DG!A:D,DG!$D$2,)</f>
        <v>cái</v>
      </c>
      <c r="H2257" s="1824">
        <f t="shared" ref="H2257:H2266" si="405">D2257</f>
        <v>0</v>
      </c>
      <c r="I2257" s="1824">
        <f t="shared" ref="I2257:I2266" si="406">D2257</f>
        <v>0</v>
      </c>
      <c r="J2257" s="1824"/>
      <c r="K2257" s="1824"/>
      <c r="L2257" s="1824"/>
      <c r="M2257" s="1824"/>
      <c r="N2257" s="1824"/>
      <c r="O2257" s="1824"/>
      <c r="P2257" s="1823">
        <f t="shared" si="398"/>
        <v>0</v>
      </c>
      <c r="Q2257" s="1052"/>
      <c r="R2257" s="1052"/>
      <c r="S2257" s="1052"/>
      <c r="T2257" s="2035">
        <f t="shared" si="399"/>
        <v>0</v>
      </c>
    </row>
    <row r="2258" spans="1:20" ht="22.2" hidden="1" customHeight="1">
      <c r="A2258" s="59"/>
      <c r="B2258" s="1584" t="s">
        <v>2131</v>
      </c>
      <c r="C2258" s="1013" t="str">
        <f t="shared" si="402"/>
        <v xml:space="preserve"> </v>
      </c>
      <c r="D2258" s="1549"/>
      <c r="E2258" s="1044" t="str">
        <f>VLOOKUP($B2258,DG!A:D,DG!$B$2,)</f>
        <v>02.3505</v>
      </c>
      <c r="F2258" s="1056" t="str">
        <f>VLOOKUP($B2258,DG!A:D,DG!$C$2,)</f>
        <v>LBFCO-24KV-100A</v>
      </c>
      <c r="G2258" s="1044" t="str">
        <f>VLOOKUP($B2258,DG!A:D,DG!$D$2,)</f>
        <v>cái</v>
      </c>
      <c r="H2258" s="1824">
        <f t="shared" si="405"/>
        <v>0</v>
      </c>
      <c r="I2258" s="1824">
        <f t="shared" si="406"/>
        <v>0</v>
      </c>
      <c r="J2258" s="1824"/>
      <c r="K2258" s="1824"/>
      <c r="L2258" s="1824"/>
      <c r="M2258" s="1824"/>
      <c r="N2258" s="1824"/>
      <c r="O2258" s="1824"/>
      <c r="P2258" s="1823">
        <f t="shared" si="398"/>
        <v>0</v>
      </c>
      <c r="Q2258" s="1052"/>
      <c r="R2258" s="1052"/>
      <c r="S2258" s="1052"/>
      <c r="T2258" s="2035">
        <f t="shared" si="399"/>
        <v>0</v>
      </c>
    </row>
    <row r="2259" spans="1:20" ht="22.2" hidden="1" customHeight="1">
      <c r="A2259" s="59"/>
      <c r="B2259" s="1584" t="s">
        <v>1656</v>
      </c>
      <c r="C2259" s="1013" t="str">
        <f t="shared" si="402"/>
        <v xml:space="preserve"> </v>
      </c>
      <c r="D2259" s="1549"/>
      <c r="E2259" s="1044" t="str">
        <f>VLOOKUP($B2259,DG!A:D,DG!$B$2,)</f>
        <v>02.3505</v>
      </c>
      <c r="F2259" s="1056" t="str">
        <f>VLOOKUP($B2259,DG!A:D,DG!$C$2,)</f>
        <v xml:space="preserve">FCO 24KV - 200A </v>
      </c>
      <c r="G2259" s="1044" t="str">
        <f>VLOOKUP($B2259,DG!A:D,DG!$D$2,)</f>
        <v>cái</v>
      </c>
      <c r="H2259" s="1824">
        <f t="shared" si="405"/>
        <v>0</v>
      </c>
      <c r="I2259" s="1824">
        <f t="shared" si="406"/>
        <v>0</v>
      </c>
      <c r="J2259" s="1824"/>
      <c r="K2259" s="1824"/>
      <c r="L2259" s="1824"/>
      <c r="M2259" s="1824"/>
      <c r="N2259" s="1824"/>
      <c r="O2259" s="1824"/>
      <c r="P2259" s="1823">
        <f t="shared" si="398"/>
        <v>0</v>
      </c>
      <c r="Q2259" s="1052"/>
      <c r="R2259" s="1052"/>
      <c r="S2259" s="1052"/>
      <c r="T2259" s="2035">
        <f t="shared" si="399"/>
        <v>0</v>
      </c>
    </row>
    <row r="2260" spans="1:20" ht="22.2" hidden="1" customHeight="1">
      <c r="A2260" s="59"/>
      <c r="B2260" s="1569" t="s">
        <v>1655</v>
      </c>
      <c r="C2260" s="1013" t="str">
        <f t="shared" si="402"/>
        <v xml:space="preserve"> </v>
      </c>
      <c r="D2260" s="1549"/>
      <c r="E2260" s="1044" t="str">
        <f>VLOOKUP($B2260,DG!A:D,DG!$B$2,)</f>
        <v>02.3155</v>
      </c>
      <c r="F2260" s="1056" t="str">
        <f>VLOOKUP($B2260,DG!A:D,DG!$C$2,)</f>
        <v>FCO 27kV - 100A</v>
      </c>
      <c r="G2260" s="1044" t="str">
        <f>VLOOKUP($B2260,DG!A:D,DG!$D$2,)</f>
        <v>cái</v>
      </c>
      <c r="H2260" s="1824">
        <f t="shared" si="405"/>
        <v>0</v>
      </c>
      <c r="I2260" s="1824">
        <f t="shared" si="406"/>
        <v>0</v>
      </c>
      <c r="J2260" s="1824"/>
      <c r="K2260" s="1824"/>
      <c r="L2260" s="1824"/>
      <c r="M2260" s="1824"/>
      <c r="N2260" s="1824"/>
      <c r="O2260" s="1824"/>
      <c r="P2260" s="1823">
        <f t="shared" si="398"/>
        <v>0</v>
      </c>
      <c r="Q2260" s="1052"/>
      <c r="R2260" s="1052"/>
      <c r="S2260" s="1052"/>
      <c r="T2260" s="2035">
        <f t="shared" si="399"/>
        <v>0</v>
      </c>
    </row>
    <row r="2261" spans="1:20" ht="22.2" hidden="1" customHeight="1">
      <c r="A2261" s="59"/>
      <c r="B2261" s="1584" t="s">
        <v>446</v>
      </c>
      <c r="C2261" s="1013" t="str">
        <f t="shared" si="402"/>
        <v xml:space="preserve"> </v>
      </c>
      <c r="D2261" s="1549"/>
      <c r="E2261" s="1044" t="str">
        <f>VLOOKUP($B2261,DG!A:D,DG!$B$2,)</f>
        <v>02.3302</v>
      </c>
      <c r="F2261" s="1056" t="str">
        <f>VLOOKUP($B2261,DG!A:D,DG!$C$2,)</f>
        <v xml:space="preserve">DS 1P - 24KV - 600A </v>
      </c>
      <c r="G2261" s="1044" t="str">
        <f>VLOOKUP($B2261,DG!A:D,DG!$D$2,)</f>
        <v>bộ</v>
      </c>
      <c r="H2261" s="1824">
        <f t="shared" si="405"/>
        <v>0</v>
      </c>
      <c r="I2261" s="1824">
        <f t="shared" si="406"/>
        <v>0</v>
      </c>
      <c r="J2261" s="1824"/>
      <c r="K2261" s="1824"/>
      <c r="L2261" s="1824"/>
      <c r="M2261" s="1824"/>
      <c r="N2261" s="1824"/>
      <c r="O2261" s="1824"/>
      <c r="P2261" s="1823">
        <f t="shared" si="398"/>
        <v>0</v>
      </c>
      <c r="Q2261" s="1052"/>
      <c r="R2261" s="1052"/>
      <c r="S2261" s="1052"/>
      <c r="T2261" s="2035">
        <f t="shared" si="399"/>
        <v>0</v>
      </c>
    </row>
    <row r="2262" spans="1:20" ht="22.2" hidden="1" customHeight="1">
      <c r="A2262" s="59"/>
      <c r="B2262" s="1584" t="s">
        <v>393</v>
      </c>
      <c r="C2262" s="1013" t="str">
        <f t="shared" si="402"/>
        <v xml:space="preserve"> </v>
      </c>
      <c r="D2262" s="1549">
        <f>'pp3p2m '!DQ82</f>
        <v>0</v>
      </c>
      <c r="E2262" s="1044" t="str">
        <f>VLOOKUP($B2262,DG!A:D,DG!$B$2,)</f>
        <v>02.3302</v>
      </c>
      <c r="F2262" s="1056" t="str">
        <f>VLOOKUP($B2262,DG!A:D,DG!$C$2,)</f>
        <v xml:space="preserve">DS 3P - 24KV - 630A </v>
      </c>
      <c r="G2262" s="1044" t="str">
        <f>VLOOKUP($B2262,DG!A:D,DG!$D$2,)</f>
        <v>bộ</v>
      </c>
      <c r="H2262" s="1824">
        <f t="shared" si="405"/>
        <v>0</v>
      </c>
      <c r="I2262" s="1824">
        <f t="shared" si="406"/>
        <v>0</v>
      </c>
      <c r="J2262" s="1824"/>
      <c r="K2262" s="1824"/>
      <c r="L2262" s="1824"/>
      <c r="M2262" s="1824"/>
      <c r="N2262" s="1824"/>
      <c r="O2262" s="1824"/>
      <c r="P2262" s="1823">
        <f t="shared" si="398"/>
        <v>0</v>
      </c>
      <c r="Q2262" s="1052"/>
      <c r="R2262" s="1052"/>
      <c r="S2262" s="1052"/>
      <c r="T2262" s="2035">
        <f t="shared" si="399"/>
        <v>0</v>
      </c>
    </row>
    <row r="2263" spans="1:20" ht="22.2" hidden="1" customHeight="1">
      <c r="A2263" s="59"/>
      <c r="B2263" s="1584" t="s">
        <v>602</v>
      </c>
      <c r="C2263" s="1013" t="str">
        <f t="shared" si="402"/>
        <v xml:space="preserve"> </v>
      </c>
      <c r="D2263" s="1549"/>
      <c r="E2263" s="1044" t="str">
        <f>VLOOKUP($B2263,DG!A:D,DG!$B$2,)</f>
        <v>02.2124</v>
      </c>
      <c r="F2263" s="1056" t="str">
        <f>VLOOKUP($B2263,DG!A:D,DG!$C$2,)</f>
        <v>LBS SF6 3pha 24kV 630A - 16kA</v>
      </c>
      <c r="G2263" s="1044" t="str">
        <f>VLOOKUP($B2263,DG!A:D,DG!$D$2,)</f>
        <v>bộ</v>
      </c>
      <c r="H2263" s="1824">
        <f t="shared" si="405"/>
        <v>0</v>
      </c>
      <c r="I2263" s="1824">
        <f t="shared" si="406"/>
        <v>0</v>
      </c>
      <c r="J2263" s="1824"/>
      <c r="K2263" s="1824"/>
      <c r="L2263" s="1824"/>
      <c r="M2263" s="1824"/>
      <c r="N2263" s="1824"/>
      <c r="O2263" s="1824"/>
      <c r="P2263" s="1823">
        <f t="shared" si="398"/>
        <v>0</v>
      </c>
      <c r="Q2263" s="1052"/>
      <c r="R2263" s="1052"/>
      <c r="S2263" s="1052"/>
      <c r="T2263" s="2035">
        <f t="shared" si="399"/>
        <v>0</v>
      </c>
    </row>
    <row r="2264" spans="1:20" ht="22.2" hidden="1" customHeight="1">
      <c r="A2264" s="59"/>
      <c r="B2264" s="1584" t="s">
        <v>1916</v>
      </c>
      <c r="C2264" s="1013" t="str">
        <f t="shared" si="402"/>
        <v xml:space="preserve"> </v>
      </c>
      <c r="D2264" s="1549"/>
      <c r="E2264" s="1044" t="str">
        <f>VLOOKUP($B2264,DG!A:D,DG!$B$2,)</f>
        <v>02.2124</v>
      </c>
      <c r="F2264" s="1056" t="str">
        <f>VLOOKUP($B2264,DG!A:D,DG!$C$2,)</f>
        <v>Recloser 24kV 630-800A</v>
      </c>
      <c r="G2264" s="1044" t="str">
        <f>VLOOKUP($B2264,DG!A:D,DG!$D$2,)</f>
        <v>bộ</v>
      </c>
      <c r="H2264" s="1824">
        <f t="shared" si="405"/>
        <v>0</v>
      </c>
      <c r="I2264" s="1824">
        <f t="shared" si="406"/>
        <v>0</v>
      </c>
      <c r="J2264" s="1824"/>
      <c r="K2264" s="1824"/>
      <c r="L2264" s="1824"/>
      <c r="M2264" s="1824"/>
      <c r="N2264" s="1824"/>
      <c r="O2264" s="1824"/>
      <c r="P2264" s="1823">
        <f t="shared" si="398"/>
        <v>0</v>
      </c>
      <c r="Q2264" s="1052"/>
      <c r="R2264" s="1052"/>
      <c r="S2264" s="1052"/>
      <c r="T2264" s="2035">
        <f t="shared" si="399"/>
        <v>0</v>
      </c>
    </row>
    <row r="2265" spans="1:20" ht="22.2" hidden="1" customHeight="1">
      <c r="A2265" s="59"/>
      <c r="B2265" s="1584" t="s">
        <v>1376</v>
      </c>
      <c r="C2265" s="1013" t="str">
        <f t="shared" si="402"/>
        <v xml:space="preserve"> </v>
      </c>
      <c r="D2265" s="1549"/>
      <c r="E2265" s="1044" t="str">
        <f>VLOOKUP($B2265,DG!A:D,DG!$B$2,)</f>
        <v>02.5114</v>
      </c>
      <c r="F2265" s="1056" t="str">
        <f>VLOOKUP($B2265,DG!A:D,DG!$C$2,)</f>
        <v>Chống sét van LA-18KV-10KA</v>
      </c>
      <c r="G2265" s="1044" t="str">
        <f>VLOOKUP($B2265,DG!A:D,DG!$D$2,)</f>
        <v>cái</v>
      </c>
      <c r="H2265" s="1824">
        <f t="shared" si="405"/>
        <v>0</v>
      </c>
      <c r="I2265" s="1824">
        <f t="shared" si="406"/>
        <v>0</v>
      </c>
      <c r="J2265" s="1824"/>
      <c r="K2265" s="1824"/>
      <c r="L2265" s="1824"/>
      <c r="M2265" s="1824"/>
      <c r="N2265" s="1824"/>
      <c r="O2265" s="1824"/>
      <c r="P2265" s="1823">
        <f t="shared" si="398"/>
        <v>0</v>
      </c>
      <c r="Q2265" s="1052"/>
      <c r="R2265" s="1052"/>
      <c r="S2265" s="1052"/>
      <c r="T2265" s="2035">
        <f t="shared" si="399"/>
        <v>0</v>
      </c>
    </row>
    <row r="2266" spans="1:20" ht="22.2" hidden="1" customHeight="1">
      <c r="A2266" s="59"/>
      <c r="B2266" s="1584" t="s">
        <v>966</v>
      </c>
      <c r="C2266" s="1013" t="str">
        <f t="shared" si="402"/>
        <v xml:space="preserve"> </v>
      </c>
      <c r="D2266" s="1549"/>
      <c r="E2266" s="1044" t="str">
        <f>VLOOKUP($B2266,DG!A:D,DG!$B$2,)</f>
        <v>02.5114</v>
      </c>
      <c r="F2266" s="1056" t="str">
        <f>VLOOKUP($B2266,DG!A:D,DG!$C$2,)</f>
        <v>LA 12kV 10kA</v>
      </c>
      <c r="G2266" s="1044" t="str">
        <f>VLOOKUP($B2266,DG!A:D,DG!$D$2,)</f>
        <v>cái</v>
      </c>
      <c r="H2266" s="1824">
        <f t="shared" si="405"/>
        <v>0</v>
      </c>
      <c r="I2266" s="1824">
        <f t="shared" si="406"/>
        <v>0</v>
      </c>
      <c r="J2266" s="1824"/>
      <c r="K2266" s="1824"/>
      <c r="L2266" s="1824"/>
      <c r="M2266" s="1824"/>
      <c r="N2266" s="1824"/>
      <c r="O2266" s="1824"/>
      <c r="P2266" s="1823">
        <f t="shared" si="398"/>
        <v>0</v>
      </c>
      <c r="Q2266" s="1052"/>
      <c r="R2266" s="1052"/>
      <c r="S2266" s="1052"/>
      <c r="T2266" s="2035">
        <f t="shared" si="399"/>
        <v>0</v>
      </c>
    </row>
    <row r="2267" spans="1:20" ht="22.2" customHeight="1">
      <c r="A2267" s="1572" t="s">
        <v>1139</v>
      </c>
      <c r="B2267" s="1574" t="s">
        <v>1139</v>
      </c>
      <c r="C2267" s="1832" t="str">
        <f>IF(D2267&lt;&gt;0,"x"," ")</f>
        <v>x</v>
      </c>
      <c r="D2267" s="1532">
        <f>IF(SUM(D2268:D2288)=0,0,1)</f>
        <v>1</v>
      </c>
      <c r="E2267" s="1046" t="s">
        <v>1901</v>
      </c>
      <c r="F2267" s="1392" t="s">
        <v>2577</v>
      </c>
      <c r="G2267" s="1046"/>
      <c r="H2267" s="1821">
        <f>SUM(I2267:O2267)</f>
        <v>0</v>
      </c>
      <c r="I2267" s="1822"/>
      <c r="J2267" s="1822"/>
      <c r="K2267" s="1822"/>
      <c r="L2267" s="1822">
        <f>IFERROR(HLOOKUP(chitiet!B2267,pp1p!$1:$3,3,0),0)</f>
        <v>0</v>
      </c>
      <c r="M2267" s="1822"/>
      <c r="N2267" s="1822"/>
      <c r="O2267" s="1822"/>
      <c r="P2267" s="1823">
        <f t="shared" si="398"/>
        <v>0</v>
      </c>
      <c r="Q2267" s="1065"/>
      <c r="R2267" s="1065"/>
      <c r="S2267" s="1065"/>
      <c r="T2267" s="2035">
        <f t="shared" si="399"/>
        <v>0</v>
      </c>
    </row>
    <row r="2268" spans="1:20" ht="22.2" hidden="1" customHeight="1">
      <c r="A2268" s="59"/>
      <c r="B2268" s="1584" t="s">
        <v>788</v>
      </c>
      <c r="C2268" s="1013" t="str">
        <f t="shared" si="402"/>
        <v xml:space="preserve"> </v>
      </c>
      <c r="D2268" s="1557"/>
      <c r="E2268" s="1044" t="str">
        <f>VLOOKUP($B2268,DG!A:D,DG!$B$2,)</f>
        <v>02.3104</v>
      </c>
      <c r="F2268" s="1056" t="str">
        <f>VLOOKUP($B2268,DG!A:D,DG!$C$2,)</f>
        <v>LTD 1P 24KV - 800A</v>
      </c>
      <c r="G2268" s="1044" t="str">
        <f>VLOOKUP($B2268,DG!A:D,DG!$D$2,)</f>
        <v>cái</v>
      </c>
      <c r="H2268" s="1824">
        <f t="shared" ref="H2268:H2273" si="407">D2268</f>
        <v>0</v>
      </c>
      <c r="I2268" s="1824"/>
      <c r="J2268" s="1824"/>
      <c r="K2268" s="1824">
        <f>IFERROR(HLOOKUP(B2268,pp3p1m!$1:$3,2,0),0)</f>
        <v>0</v>
      </c>
      <c r="L2268" s="1824"/>
      <c r="M2268" s="1824"/>
      <c r="N2268" s="1824"/>
      <c r="O2268" s="1824"/>
      <c r="P2268" s="1823">
        <f t="shared" si="398"/>
        <v>0</v>
      </c>
      <c r="Q2268" s="1052"/>
      <c r="R2268" s="1052"/>
      <c r="S2268" s="1052"/>
      <c r="T2268" s="2035">
        <f>IFERROR(HLOOKUP(B2268,pp3p1m!$1:$3,3,0),0)</f>
        <v>0</v>
      </c>
    </row>
    <row r="2269" spans="1:20" ht="22.2" hidden="1" customHeight="1">
      <c r="A2269" s="59"/>
      <c r="B2269" s="1584" t="s">
        <v>2131</v>
      </c>
      <c r="C2269" s="1013" t="str">
        <f t="shared" si="402"/>
        <v xml:space="preserve"> </v>
      </c>
      <c r="D2269" s="1557"/>
      <c r="E2269" s="1044" t="str">
        <f>VLOOKUP($B2269,DG!A:D,DG!$B$2,)</f>
        <v>02.3505</v>
      </c>
      <c r="F2269" s="1056" t="str">
        <f>VLOOKUP($B2269,DG!A:D,DG!$C$2,)&amp;" : lắp trụ đo đếm"</f>
        <v>LBFCO-24KV-100A : lắp trụ đo đếm</v>
      </c>
      <c r="G2269" s="1044" t="str">
        <f>VLOOKUP($B2269,DG!A:D,DG!$D$2,)</f>
        <v>cái</v>
      </c>
      <c r="H2269" s="1824">
        <f t="shared" si="407"/>
        <v>0</v>
      </c>
      <c r="I2269" s="1824"/>
      <c r="J2269" s="1824"/>
      <c r="K2269" s="1824">
        <f>IFERROR(HLOOKUP(B2269,pp3p1m!$1:$3,2,0),0)</f>
        <v>0</v>
      </c>
      <c r="L2269" s="1824"/>
      <c r="M2269" s="1824"/>
      <c r="N2269" s="1824"/>
      <c r="O2269" s="1824"/>
      <c r="P2269" s="1823">
        <f t="shared" si="398"/>
        <v>0</v>
      </c>
      <c r="Q2269" s="1052"/>
      <c r="R2269" s="1052"/>
      <c r="S2269" s="1052"/>
      <c r="T2269" s="2035">
        <f>IFERROR(HLOOKUP(B2269,pp3p1m!$1:$3,3,0),0)</f>
        <v>0</v>
      </c>
    </row>
    <row r="2270" spans="1:20" ht="22.2" hidden="1" customHeight="1">
      <c r="A2270" s="59"/>
      <c r="B2270" s="1584" t="s">
        <v>591</v>
      </c>
      <c r="C2270" s="1013" t="str">
        <f t="shared" si="402"/>
        <v xml:space="preserve"> </v>
      </c>
      <c r="D2270" s="1557"/>
      <c r="E2270" s="1044">
        <f>VLOOKUP($B2270,DG!A:D,DG!$B$2,)</f>
        <v>0</v>
      </c>
      <c r="F2270" s="1056" t="str">
        <f>VLOOKUP($B2270,DG!A:D,DG!$C$2,)</f>
        <v>Dây chảy 80K</v>
      </c>
      <c r="G2270" s="1044" t="str">
        <f>VLOOKUP($B2270,DG!A:D,DG!$D$2,)</f>
        <v>Sợi</v>
      </c>
      <c r="H2270" s="1824">
        <f t="shared" si="407"/>
        <v>0</v>
      </c>
      <c r="I2270" s="1824"/>
      <c r="J2270" s="1824"/>
      <c r="K2270" s="1824">
        <f>IFERROR(HLOOKUP(B2270,pp3p1m!$1:$3,2,0),0)</f>
        <v>0</v>
      </c>
      <c r="L2270" s="1824"/>
      <c r="M2270" s="1824"/>
      <c r="N2270" s="1824"/>
      <c r="O2270" s="1824"/>
      <c r="P2270" s="1823">
        <f t="shared" si="398"/>
        <v>0</v>
      </c>
      <c r="Q2270" s="1052"/>
      <c r="R2270" s="1052"/>
      <c r="S2270" s="1052"/>
      <c r="T2270" s="2035">
        <f>IFERROR(HLOOKUP(B2270,pp3p1m!$1:$3,3,0),0)</f>
        <v>0</v>
      </c>
    </row>
    <row r="2271" spans="1:20" ht="22.2" hidden="1" customHeight="1">
      <c r="A2271" s="59"/>
      <c r="B2271" s="1584" t="s">
        <v>4624</v>
      </c>
      <c r="C2271" s="1013" t="str">
        <f t="shared" si="402"/>
        <v xml:space="preserve"> </v>
      </c>
      <c r="D2271" s="1557"/>
      <c r="E2271" s="1044" t="str">
        <f>VLOOKUP($B2271,DG!A:D,DG!$B$2,)</f>
        <v>02.3505</v>
      </c>
      <c r="F2271" s="1056" t="str">
        <f>VLOOKUP($B2271,DG!A:D,DG!$C$2,)&amp;" : lắp trụ đầu nhánh"</f>
        <v>LBFCO-24KV-200A : lắp trụ đầu nhánh</v>
      </c>
      <c r="G2271" s="1044" t="str">
        <f>VLOOKUP($B2271,DG!A:D,DG!$D$2,)</f>
        <v>cái</v>
      </c>
      <c r="H2271" s="1824">
        <f t="shared" si="407"/>
        <v>0</v>
      </c>
      <c r="I2271" s="1824"/>
      <c r="J2271" s="1824"/>
      <c r="K2271" s="1824">
        <f>IFERROR(HLOOKUP(B2271,pp3p1m!$1:$3,2,0),0)</f>
        <v>0</v>
      </c>
      <c r="L2271" s="1824"/>
      <c r="M2271" s="1824"/>
      <c r="N2271" s="1824"/>
      <c r="O2271" s="1824"/>
      <c r="P2271" s="1823">
        <f t="shared" si="398"/>
        <v>0</v>
      </c>
      <c r="Q2271" s="1052"/>
      <c r="R2271" s="1052"/>
      <c r="S2271" s="1052"/>
      <c r="T2271" s="2035">
        <f>IFERROR(HLOOKUP(B2271,pp3p1m!$1:$3,3,0),0)</f>
        <v>0</v>
      </c>
    </row>
    <row r="2272" spans="1:20" ht="22.2" hidden="1" customHeight="1">
      <c r="A2272" s="59"/>
      <c r="B2272" s="1584" t="s">
        <v>885</v>
      </c>
      <c r="C2272" s="1013" t="str">
        <f t="shared" si="402"/>
        <v xml:space="preserve"> </v>
      </c>
      <c r="D2272" s="1549"/>
      <c r="E2272" s="1044">
        <f>VLOOKUP($B2272,DG!A:D,DG!$B$2,)</f>
        <v>0</v>
      </c>
      <c r="F2272" s="1056" t="str">
        <f>VLOOKUP($B2272,DG!A:D,DG!$C$2,)</f>
        <v>Dây chảy 100K</v>
      </c>
      <c r="G2272" s="1044" t="str">
        <f>VLOOKUP($B2272,DG!A:D,DG!$D$2,)</f>
        <v>Sợi</v>
      </c>
      <c r="H2272" s="1824">
        <f t="shared" si="407"/>
        <v>0</v>
      </c>
      <c r="I2272" s="1824"/>
      <c r="J2272" s="1824"/>
      <c r="K2272" s="1824">
        <f>IFERROR(HLOOKUP(B2272,pp3p1m!$1:$3,2,0),0)</f>
        <v>0</v>
      </c>
      <c r="L2272" s="1824"/>
      <c r="M2272" s="1824"/>
      <c r="N2272" s="1824"/>
      <c r="O2272" s="1824"/>
      <c r="P2272" s="1823">
        <f t="shared" si="398"/>
        <v>0</v>
      </c>
      <c r="Q2272" s="1052"/>
      <c r="R2272" s="1052"/>
      <c r="S2272" s="1052"/>
      <c r="T2272" s="2035">
        <f>IFERROR(HLOOKUP(B2272,pp3p1m!$1:$3,3,0),0)</f>
        <v>0</v>
      </c>
    </row>
    <row r="2273" spans="1:20" ht="22.2" hidden="1" customHeight="1">
      <c r="A2273" s="59"/>
      <c r="B2273" s="1584" t="s">
        <v>1656</v>
      </c>
      <c r="C2273" s="1013" t="str">
        <f t="shared" si="402"/>
        <v xml:space="preserve"> </v>
      </c>
      <c r="D2273" s="1557"/>
      <c r="E2273" s="1044" t="str">
        <f>VLOOKUP($B2273,DG!A:D,DG!$B$2,)</f>
        <v>02.3505</v>
      </c>
      <c r="F2273" s="1056" t="str">
        <f>VLOOKUP($B2273,DG!A:D,DG!$C$2,)</f>
        <v xml:space="preserve">FCO 24KV - 200A </v>
      </c>
      <c r="G2273" s="1044" t="str">
        <f>VLOOKUP($B2273,DG!A:D,DG!$D$2,)</f>
        <v>cái</v>
      </c>
      <c r="H2273" s="1824">
        <f t="shared" si="407"/>
        <v>0</v>
      </c>
      <c r="I2273" s="1824"/>
      <c r="J2273" s="1824"/>
      <c r="K2273" s="1824">
        <f>IFERROR(HLOOKUP(B2273,pp3p1m!$1:$3,2,0),0)</f>
        <v>0</v>
      </c>
      <c r="L2273" s="1824"/>
      <c r="M2273" s="1824"/>
      <c r="N2273" s="1824"/>
      <c r="O2273" s="1824"/>
      <c r="P2273" s="1823">
        <f t="shared" si="398"/>
        <v>0</v>
      </c>
      <c r="Q2273" s="1052"/>
      <c r="R2273" s="1052"/>
      <c r="S2273" s="1052"/>
      <c r="T2273" s="2035">
        <f>IFERROR(HLOOKUP(B2273,pp3p1m!$1:$3,3,0),0)</f>
        <v>0</v>
      </c>
    </row>
    <row r="2274" spans="1:20" ht="22.2" customHeight="1">
      <c r="B2274" s="1570" t="s">
        <v>1655</v>
      </c>
      <c r="C2274" s="1832" t="str">
        <f t="shared" si="402"/>
        <v>x</v>
      </c>
      <c r="D2274" s="1557">
        <f>H2274</f>
        <v>3</v>
      </c>
      <c r="E2274" s="1044" t="str">
        <f>VLOOKUP($B2274,DG!A:D,DG!$B$2,)</f>
        <v>02.3155</v>
      </c>
      <c r="F2274" s="1056" t="str">
        <f>VLOOKUP($B2274,DG!A:D,DG!$C$2,)</f>
        <v>FCO 27kV - 100A</v>
      </c>
      <c r="G2274" s="1044" t="str">
        <f>VLOOKUP($B2274,DG!A:D,DG!$D$2,)</f>
        <v>cái</v>
      </c>
      <c r="H2274" s="1824">
        <f>K2274</f>
        <v>3</v>
      </c>
      <c r="I2274" s="1824"/>
      <c r="J2274" s="1824"/>
      <c r="K2274" s="1824">
        <f>IFERROR(HLOOKUP(B2274,pp3p1m!$1:$3,2,0),0)</f>
        <v>3</v>
      </c>
      <c r="L2274" s="1824"/>
      <c r="M2274" s="1824"/>
      <c r="N2274" s="1824"/>
      <c r="O2274" s="1824"/>
      <c r="P2274" s="1823">
        <f>T2274</f>
        <v>3</v>
      </c>
      <c r="Q2274" s="1052"/>
      <c r="R2274" s="1052"/>
      <c r="S2274" s="1052"/>
      <c r="T2274" s="2035">
        <f>IFERROR(HLOOKUP(B2274,pp3p1m!$1:$3,3,0),0)</f>
        <v>3</v>
      </c>
    </row>
    <row r="2275" spans="1:20" ht="22.2" hidden="1" customHeight="1">
      <c r="A2275" s="59"/>
      <c r="B2275" s="1584" t="s">
        <v>4753</v>
      </c>
      <c r="C2275" s="1832" t="str">
        <f t="shared" si="402"/>
        <v xml:space="preserve"> </v>
      </c>
      <c r="D2275" s="1557"/>
      <c r="E2275" s="1044">
        <f>VLOOKUP($B2275,DG!A:D,DG!$B$2,)</f>
        <v>0</v>
      </c>
      <c r="F2275" s="1056" t="str">
        <f>VLOOKUP($B2275,DG!A:D,DG!$C$2,)</f>
        <v>Dây chảy 8K</v>
      </c>
      <c r="G2275" s="1044" t="str">
        <f>VLOOKUP($B2275,DG!A:D,DG!$D$2,)</f>
        <v>Sợi</v>
      </c>
      <c r="H2275" s="1824">
        <f>K2275</f>
        <v>0</v>
      </c>
      <c r="I2275" s="1824"/>
      <c r="J2275" s="1824"/>
      <c r="K2275" s="1824">
        <f>IFERROR(HLOOKUP(B2275,pp3p1m!$1:$3,2,0),0)</f>
        <v>0</v>
      </c>
      <c r="L2275" s="1824"/>
      <c r="M2275" s="1824"/>
      <c r="N2275" s="1824"/>
      <c r="O2275" s="1824"/>
      <c r="P2275" s="1823">
        <f t="shared" ref="P2275:P2276" si="408">H2275+Q2275-R2275</f>
        <v>0</v>
      </c>
      <c r="Q2275" s="1052"/>
      <c r="R2275" s="1052"/>
      <c r="S2275" s="1052"/>
      <c r="T2275" s="2035">
        <f>IFERROR(HLOOKUP(B2275,pp3p1m!$1:$3,3,0),0)</f>
        <v>0</v>
      </c>
    </row>
    <row r="2276" spans="1:20" ht="22.2" hidden="1" customHeight="1">
      <c r="A2276" s="59"/>
      <c r="B2276" s="1584" t="s">
        <v>386</v>
      </c>
      <c r="C2276" s="1013" t="str">
        <f t="shared" ref="C2276" si="409">IF(OR(P2276&lt;&gt;0,H2276&lt;&gt;0),"x"," ")</f>
        <v xml:space="preserve"> </v>
      </c>
      <c r="D2276" s="1557">
        <f>H2276</f>
        <v>0</v>
      </c>
      <c r="E2276" s="1044">
        <f>VLOOKUP($B2276,DG!A:D,DG!$B$2,)</f>
        <v>0</v>
      </c>
      <c r="F2276" s="1056" t="str">
        <f>VLOOKUP($B2276,DG!A:D,DG!$C$2,)</f>
        <v>Dây chảy 12K</v>
      </c>
      <c r="G2276" s="1044" t="str">
        <f>VLOOKUP($B2276,DG!A:D,DG!$D$2,)</f>
        <v>Sợi</v>
      </c>
      <c r="H2276" s="1824">
        <f>K2276</f>
        <v>0</v>
      </c>
      <c r="I2276" s="1824"/>
      <c r="J2276" s="1824"/>
      <c r="K2276" s="1824">
        <f>IFERROR(HLOOKUP(B2276,pp3p1m!$1:$3,2,0),0)</f>
        <v>0</v>
      </c>
      <c r="L2276" s="1824"/>
      <c r="M2276" s="1824"/>
      <c r="N2276" s="1824"/>
      <c r="O2276" s="1824"/>
      <c r="P2276" s="1823">
        <f t="shared" si="408"/>
        <v>0</v>
      </c>
      <c r="Q2276" s="1052"/>
      <c r="R2276" s="1052"/>
      <c r="S2276" s="1052"/>
      <c r="T2276" s="2035">
        <f>IFERROR(HLOOKUP(B2276,pp3p1m!$1:$3,3,0),0)</f>
        <v>0</v>
      </c>
    </row>
    <row r="2277" spans="1:20" ht="22.2" customHeight="1">
      <c r="A2277" s="59"/>
      <c r="B2277" s="1584" t="s">
        <v>6182</v>
      </c>
      <c r="C2277" s="1013" t="str">
        <f t="shared" si="402"/>
        <v>x</v>
      </c>
      <c r="D2277" s="1557">
        <f>H2277</f>
        <v>3</v>
      </c>
      <c r="E2277" s="1044">
        <f>VLOOKUP($B2277,DG!A:D,DG!$B$2,)</f>
        <v>0</v>
      </c>
      <c r="F2277" s="1056" t="str">
        <f>VLOOKUP($B2277,DG!A:D,DG!$C$2,)</f>
        <v>Dây chảy 50K</v>
      </c>
      <c r="G2277" s="1044" t="str">
        <f>VLOOKUP($B2277,DG!A:D,DG!$D$2,)</f>
        <v>Sợi</v>
      </c>
      <c r="H2277" s="1824">
        <f>K2277</f>
        <v>3</v>
      </c>
      <c r="I2277" s="1824"/>
      <c r="J2277" s="1824"/>
      <c r="K2277" s="1824">
        <f>IFERROR(HLOOKUP(B2277,pp3p1m!$1:$3,2,0),0)</f>
        <v>3</v>
      </c>
      <c r="L2277" s="1824"/>
      <c r="M2277" s="1824"/>
      <c r="N2277" s="1824"/>
      <c r="O2277" s="1824"/>
      <c r="P2277" s="1823">
        <f t="shared" ref="P2277" si="410">H2277+Q2277-R2277</f>
        <v>3</v>
      </c>
      <c r="Q2277" s="1052"/>
      <c r="R2277" s="1052"/>
      <c r="S2277" s="1052"/>
      <c r="T2277" s="2035">
        <f>IFERROR(HLOOKUP(B2277,pp3p1m!$1:$3,3,0),0)</f>
        <v>3</v>
      </c>
    </row>
    <row r="2278" spans="1:20" ht="22.2" hidden="1" customHeight="1">
      <c r="A2278" s="59"/>
      <c r="B2278" s="1584" t="s">
        <v>4529</v>
      </c>
      <c r="C2278" s="1013" t="str">
        <f t="shared" si="402"/>
        <v xml:space="preserve"> </v>
      </c>
      <c r="D2278" s="1549">
        <f>D2289*3</f>
        <v>0</v>
      </c>
      <c r="E2278" s="1044" t="str">
        <f>VLOOKUP($B2278,DG!A:D,DG!$B$2,)</f>
        <v>02.1114</v>
      </c>
      <c r="F2278" s="1056" t="str">
        <f>VLOOKUP($B2278,DG!A:D,DG!$C$2,)</f>
        <v>Biến điện áp 12000/120(60)V</v>
      </c>
      <c r="G2278" s="1044" t="str">
        <f>VLOOKUP($B2278,DG!A:D,DG!$D$2,)</f>
        <v>cái</v>
      </c>
      <c r="H2278" s="1824">
        <f t="shared" ref="H2278:H2288" si="411">K2278</f>
        <v>0</v>
      </c>
      <c r="I2278" s="1824"/>
      <c r="J2278" s="1824"/>
      <c r="K2278" s="1824">
        <f>IFERROR(HLOOKUP(B2278,pp3p1m!$1:$3,2,0),0)</f>
        <v>0</v>
      </c>
      <c r="L2278" s="1824"/>
      <c r="M2278" s="1824"/>
      <c r="N2278" s="1824"/>
      <c r="O2278" s="1824"/>
      <c r="P2278" s="1823">
        <f t="shared" si="398"/>
        <v>0</v>
      </c>
      <c r="Q2278" s="1052"/>
      <c r="R2278" s="1052"/>
      <c r="S2278" s="1052"/>
      <c r="T2278" s="2035">
        <f>IFERROR(HLOOKUP(B2278,pp3p1m!$1:$3,3,0),0)</f>
        <v>0</v>
      </c>
    </row>
    <row r="2279" spans="1:20" ht="22.2" hidden="1" customHeight="1">
      <c r="A2279" s="59"/>
      <c r="B2279" s="1584" t="s">
        <v>78</v>
      </c>
      <c r="C2279" s="1013" t="str">
        <f t="shared" si="402"/>
        <v xml:space="preserve"> </v>
      </c>
      <c r="D2279" s="1557">
        <f>D2278</f>
        <v>0</v>
      </c>
      <c r="E2279" s="1044" t="str">
        <f>VLOOKUP($B2279,DG!A:D,DG!$B$2,)</f>
        <v>02.1124</v>
      </c>
      <c r="F2279" s="1056" t="str">
        <f>VLOOKUP($B2279,DG!A:D,DG!$C$2,)</f>
        <v>Biến dòng 24kV  20/5A</v>
      </c>
      <c r="G2279" s="1044" t="str">
        <f>VLOOKUP($B2279,DG!A:D,DG!$D$2,)</f>
        <v>cái</v>
      </c>
      <c r="H2279" s="1824">
        <f t="shared" si="411"/>
        <v>0</v>
      </c>
      <c r="I2279" s="1824"/>
      <c r="J2279" s="1824"/>
      <c r="K2279" s="1824">
        <f>IFERROR(HLOOKUP(B2279,pp3p1m!$1:$3,2,0),0)</f>
        <v>0</v>
      </c>
      <c r="L2279" s="1824"/>
      <c r="M2279" s="1824"/>
      <c r="N2279" s="1824"/>
      <c r="O2279" s="1824"/>
      <c r="P2279" s="1823">
        <f t="shared" ref="P2279:P2346" si="412">H2279+Q2279-R2279</f>
        <v>0</v>
      </c>
      <c r="Q2279" s="1052"/>
      <c r="R2279" s="1052"/>
      <c r="S2279" s="1052"/>
      <c r="T2279" s="2035">
        <f>IFERROR(HLOOKUP(B2279,pp3p1m!$1:$3,3,0),0)</f>
        <v>0</v>
      </c>
    </row>
    <row r="2280" spans="1:20" ht="22.2" hidden="1" customHeight="1">
      <c r="A2280" s="59"/>
      <c r="B2280" s="1584" t="s">
        <v>2</v>
      </c>
      <c r="C2280" s="1013" t="str">
        <f t="shared" si="402"/>
        <v xml:space="preserve"> </v>
      </c>
      <c r="D2280" s="1557">
        <f>D2289</f>
        <v>0</v>
      </c>
      <c r="E2280" s="1044">
        <f>VLOOKUP($B2280,DG!A:D,DG!$B$2,)</f>
        <v>0</v>
      </c>
      <c r="F2280" s="1056" t="str">
        <f>VLOOKUP($B2280,DG!A:D,DG!$C$2,)</f>
        <v>Điện kế 3 pha điện tử 600V-5A</v>
      </c>
      <c r="G2280" s="1044" t="str">
        <f>VLOOKUP($B2280,DG!A:D,DG!$D$2,)</f>
        <v>cái</v>
      </c>
      <c r="H2280" s="1824">
        <f t="shared" si="411"/>
        <v>0</v>
      </c>
      <c r="I2280" s="1824"/>
      <c r="J2280" s="1824"/>
      <c r="K2280" s="1824">
        <f>IFERROR(HLOOKUP(B2280,pp3p1m!$1:$3,2,0),0)</f>
        <v>0</v>
      </c>
      <c r="L2280" s="1824"/>
      <c r="M2280" s="1824"/>
      <c r="N2280" s="1824"/>
      <c r="O2280" s="1824"/>
      <c r="P2280" s="1823">
        <f t="shared" si="412"/>
        <v>0</v>
      </c>
      <c r="Q2280" s="1052"/>
      <c r="R2280" s="1052"/>
      <c r="S2280" s="1052"/>
      <c r="T2280" s="2035">
        <f>IFERROR(HLOOKUP(B2280,pp3p1m!$1:$3,3,0),0)</f>
        <v>0</v>
      </c>
    </row>
    <row r="2281" spans="1:20" ht="22.2" hidden="1" customHeight="1">
      <c r="A2281" s="59"/>
      <c r="B2281" s="1584" t="s">
        <v>446</v>
      </c>
      <c r="C2281" s="1013" t="str">
        <f t="shared" si="402"/>
        <v xml:space="preserve"> </v>
      </c>
      <c r="D2281" s="1557"/>
      <c r="E2281" s="1044" t="str">
        <f>VLOOKUP($B2281,DG!A:D,DG!$B$2,)</f>
        <v>02.3302</v>
      </c>
      <c r="F2281" s="1056" t="str">
        <f>VLOOKUP($B2281,DG!A:D,DG!$C$2,)</f>
        <v xml:space="preserve">DS 1P - 24KV - 600A </v>
      </c>
      <c r="G2281" s="1044" t="str">
        <f>VLOOKUP($B2281,DG!A:D,DG!$D$2,)</f>
        <v>bộ</v>
      </c>
      <c r="H2281" s="1824">
        <f t="shared" si="411"/>
        <v>0</v>
      </c>
      <c r="I2281" s="1824"/>
      <c r="J2281" s="1824"/>
      <c r="K2281" s="1824">
        <f>IFERROR(HLOOKUP(B2281,pp3p1m!$1:$3,2,0),0)</f>
        <v>0</v>
      </c>
      <c r="L2281" s="1824"/>
      <c r="M2281" s="1824"/>
      <c r="N2281" s="1824"/>
      <c r="O2281" s="1824"/>
      <c r="P2281" s="1823">
        <f t="shared" si="412"/>
        <v>0</v>
      </c>
      <c r="Q2281" s="1052"/>
      <c r="R2281" s="1052"/>
      <c r="S2281" s="1052"/>
      <c r="T2281" s="2035">
        <f>IFERROR(HLOOKUP(B2281,pp3p1m!$1:$3,3,0),0)</f>
        <v>0</v>
      </c>
    </row>
    <row r="2282" spans="1:20" ht="22.2" hidden="1" customHeight="1">
      <c r="A2282" s="59"/>
      <c r="B2282" s="1584" t="s">
        <v>393</v>
      </c>
      <c r="C2282" s="1013" t="str">
        <f t="shared" si="402"/>
        <v xml:space="preserve"> </v>
      </c>
      <c r="D2282" s="1557"/>
      <c r="E2282" s="1044" t="str">
        <f>VLOOKUP($B2282,DG!A:D,DG!$B$2,)</f>
        <v>02.3302</v>
      </c>
      <c r="F2282" s="1056" t="str">
        <f>VLOOKUP($B2282,DG!A:D,DG!$C$2,)</f>
        <v xml:space="preserve">DS 3P - 24KV - 630A </v>
      </c>
      <c r="G2282" s="1044" t="str">
        <f>VLOOKUP($B2282,DG!A:D,DG!$D$2,)</f>
        <v>bộ</v>
      </c>
      <c r="H2282" s="1824">
        <f t="shared" si="411"/>
        <v>0</v>
      </c>
      <c r="I2282" s="1824"/>
      <c r="J2282" s="1824"/>
      <c r="K2282" s="1824">
        <f>IFERROR(HLOOKUP(B2282,pp3p1m!$1:$3,2,0),0)</f>
        <v>0</v>
      </c>
      <c r="L2282" s="1824"/>
      <c r="M2282" s="1824"/>
      <c r="N2282" s="1824"/>
      <c r="O2282" s="1824"/>
      <c r="P2282" s="1823">
        <f t="shared" si="412"/>
        <v>0</v>
      </c>
      <c r="Q2282" s="1052"/>
      <c r="R2282" s="1052"/>
      <c r="S2282" s="1052"/>
      <c r="T2282" s="2035">
        <f>IFERROR(HLOOKUP(B2282,pp3p1m!$1:$3,3,0),0)</f>
        <v>0</v>
      </c>
    </row>
    <row r="2283" spans="1:20" ht="22.2" hidden="1" customHeight="1">
      <c r="A2283" s="59"/>
      <c r="B2283" s="1584" t="s">
        <v>602</v>
      </c>
      <c r="C2283" s="1013" t="str">
        <f t="shared" si="402"/>
        <v xml:space="preserve"> </v>
      </c>
      <c r="D2283" s="1557"/>
      <c r="E2283" s="1044" t="str">
        <f>VLOOKUP($B2283,DG!A:D,DG!$B$2,)</f>
        <v>02.2124</v>
      </c>
      <c r="F2283" s="1056" t="str">
        <f>VLOOKUP($B2283,DG!A:D,DG!$C$2,)</f>
        <v>LBS SF6 3pha 24kV 630A - 16kA</v>
      </c>
      <c r="G2283" s="1044" t="str">
        <f>VLOOKUP($B2283,DG!A:D,DG!$D$2,)</f>
        <v>bộ</v>
      </c>
      <c r="H2283" s="1824">
        <f t="shared" si="411"/>
        <v>0</v>
      </c>
      <c r="I2283" s="1824"/>
      <c r="J2283" s="1824"/>
      <c r="K2283" s="1824">
        <f>IFERROR(HLOOKUP(B2283,pp3p1m!$1:$3,2,0),0)</f>
        <v>0</v>
      </c>
      <c r="L2283" s="1824"/>
      <c r="M2283" s="1824"/>
      <c r="N2283" s="1824"/>
      <c r="O2283" s="1824"/>
      <c r="P2283" s="1823">
        <f t="shared" si="412"/>
        <v>0</v>
      </c>
      <c r="Q2283" s="1052"/>
      <c r="R2283" s="1052"/>
      <c r="S2283" s="1052"/>
      <c r="T2283" s="2035">
        <f>IFERROR(HLOOKUP(B2283,pp3p1m!$1:$3,3,0),0)</f>
        <v>0</v>
      </c>
    </row>
    <row r="2284" spans="1:20" ht="22.2" hidden="1" customHeight="1">
      <c r="A2284" s="59"/>
      <c r="B2284" s="1584" t="s">
        <v>1916</v>
      </c>
      <c r="C2284" s="1013" t="str">
        <f t="shared" si="402"/>
        <v xml:space="preserve"> </v>
      </c>
      <c r="D2284" s="1557"/>
      <c r="E2284" s="1044" t="str">
        <f>VLOOKUP($B2284,DG!A:D,DG!$B$2,)</f>
        <v>02.2124</v>
      </c>
      <c r="F2284" s="1056" t="str">
        <f>VLOOKUP($B2284,DG!A:D,DG!$C$2,)</f>
        <v>Recloser 24kV 630-800A</v>
      </c>
      <c r="G2284" s="1044" t="str">
        <f>VLOOKUP($B2284,DG!A:D,DG!$D$2,)</f>
        <v>bộ</v>
      </c>
      <c r="H2284" s="1824">
        <f t="shared" si="411"/>
        <v>0</v>
      </c>
      <c r="I2284" s="1824"/>
      <c r="J2284" s="1824"/>
      <c r="K2284" s="1824">
        <f>IFERROR(HLOOKUP(B2284,pp3p1m!$1:$3,2,0),0)</f>
        <v>0</v>
      </c>
      <c r="L2284" s="1824"/>
      <c r="M2284" s="1824"/>
      <c r="N2284" s="1824"/>
      <c r="O2284" s="1824"/>
      <c r="P2284" s="1823">
        <f t="shared" si="412"/>
        <v>0</v>
      </c>
      <c r="Q2284" s="1052"/>
      <c r="R2284" s="1052"/>
      <c r="S2284" s="1052"/>
      <c r="T2284" s="2035">
        <f>IFERROR(HLOOKUP(B2284,pp3p1m!$1:$3,3,0),0)</f>
        <v>0</v>
      </c>
    </row>
    <row r="2285" spans="1:20" ht="22.2" customHeight="1">
      <c r="A2285" s="59"/>
      <c r="B2285" s="1584" t="s">
        <v>1376</v>
      </c>
      <c r="C2285" s="1013" t="str">
        <f t="shared" ref="C2285:C2286" si="413">IF(OR(P2285&lt;&gt;0,H2285&lt;&gt;0),"x"," ")</f>
        <v>x</v>
      </c>
      <c r="D2285" s="1557"/>
      <c r="E2285" s="1044" t="str">
        <f>VLOOKUP($B2285,DG!A:D,DG!$B$2,)</f>
        <v>02.5114</v>
      </c>
      <c r="F2285" s="1056" t="str">
        <f>VLOOKUP($B2285,DG!A:D,DG!$C$2,)</f>
        <v>Chống sét van LA-18KV-10KA</v>
      </c>
      <c r="G2285" s="1044" t="str">
        <f>VLOOKUP($B2285,DG!A:D,DG!$D$2,)</f>
        <v>cái</v>
      </c>
      <c r="H2285" s="1824">
        <f t="shared" si="411"/>
        <v>3</v>
      </c>
      <c r="I2285" s="1824"/>
      <c r="J2285" s="1824"/>
      <c r="K2285" s="1824">
        <f>IFERROR(HLOOKUP(B2285,pp3p1m!$1:$3,2,0),0)</f>
        <v>3</v>
      </c>
      <c r="L2285" s="1824"/>
      <c r="M2285" s="1824"/>
      <c r="N2285" s="1824"/>
      <c r="O2285" s="1824"/>
      <c r="P2285" s="1823">
        <f t="shared" ref="P2285:P2286" si="414">H2285+Q2285-R2285</f>
        <v>3</v>
      </c>
      <c r="Q2285" s="1052"/>
      <c r="R2285" s="1052"/>
      <c r="S2285" s="1052"/>
      <c r="T2285" s="2035">
        <f>IFERROR(HLOOKUP(B2285,pp3p1m!$1:$3,3,0),0)</f>
        <v>3</v>
      </c>
    </row>
    <row r="2286" spans="1:20" ht="22.2" hidden="1" customHeight="1">
      <c r="A2286" s="59"/>
      <c r="B2286" s="1584" t="s">
        <v>966</v>
      </c>
      <c r="C2286" s="1013" t="str">
        <f t="shared" si="413"/>
        <v xml:space="preserve"> </v>
      </c>
      <c r="D2286" s="1557"/>
      <c r="E2286" s="1044" t="str">
        <f>VLOOKUP($B2286,DG!A:D,DG!$B$2,)</f>
        <v>02.5114</v>
      </c>
      <c r="F2286" s="1056" t="str">
        <f>VLOOKUP($B2286,DG!A:D,DG!$C$2,)</f>
        <v>LA 12kV 10kA</v>
      </c>
      <c r="G2286" s="1044" t="str">
        <f>VLOOKUP($B2286,DG!A:D,DG!$D$2,)</f>
        <v>cái</v>
      </c>
      <c r="H2286" s="1824">
        <f t="shared" si="411"/>
        <v>0</v>
      </c>
      <c r="I2286" s="1824"/>
      <c r="J2286" s="1824"/>
      <c r="K2286" s="1824">
        <f>IFERROR(HLOOKUP(B2286,pp3p1m!$1:$3,2,0),0)</f>
        <v>0</v>
      </c>
      <c r="L2286" s="1824"/>
      <c r="M2286" s="1824"/>
      <c r="N2286" s="1824"/>
      <c r="O2286" s="1824"/>
      <c r="P2286" s="1823">
        <f t="shared" si="414"/>
        <v>0</v>
      </c>
      <c r="Q2286" s="1052"/>
      <c r="R2286" s="1052"/>
      <c r="S2286" s="1052"/>
      <c r="T2286" s="2035">
        <f>IFERROR(HLOOKUP(B2286,pp3p1m!$1:$3,3,0),0)</f>
        <v>0</v>
      </c>
    </row>
    <row r="2287" spans="1:20" ht="22.2" hidden="1" customHeight="1">
      <c r="A2287" s="59"/>
      <c r="B2287" s="1584" t="s">
        <v>2055</v>
      </c>
      <c r="C2287" s="1832" t="str">
        <f t="shared" si="402"/>
        <v xml:space="preserve"> </v>
      </c>
      <c r="D2287" s="1557"/>
      <c r="E2287" s="1044">
        <f>VLOOKUP($B2287,DG!A:D,DG!$B$2,)</f>
        <v>0</v>
      </c>
      <c r="F2287" s="1056" t="str">
        <f>VLOOKUP($B2287,DG!A:D,DG!$C$2,)</f>
        <v>Bass LI bắt FCO</v>
      </c>
      <c r="G2287" s="1044" t="str">
        <f>VLOOKUP($B2287,DG!A:D,DG!$D$2,)</f>
        <v>Bộ</v>
      </c>
      <c r="H2287" s="1824">
        <f t="shared" si="411"/>
        <v>0</v>
      </c>
      <c r="I2287" s="1824"/>
      <c r="J2287" s="1824"/>
      <c r="K2287" s="1824"/>
      <c r="L2287" s="1824"/>
      <c r="M2287" s="1824"/>
      <c r="N2287" s="1824"/>
      <c r="O2287" s="1824"/>
      <c r="P2287" s="1823">
        <f t="shared" si="412"/>
        <v>0</v>
      </c>
      <c r="Q2287" s="1052"/>
      <c r="R2287" s="1052"/>
      <c r="S2287" s="1052"/>
      <c r="T2287" s="2035">
        <f>IFERROR(HLOOKUP(B2287,pp3p1m!$1:$3,3,0),0)</f>
        <v>3</v>
      </c>
    </row>
    <row r="2288" spans="1:20" ht="22.2" hidden="1" customHeight="1">
      <c r="A2288" s="59"/>
      <c r="B2288" s="1584" t="s">
        <v>382</v>
      </c>
      <c r="C2288" s="1832" t="str">
        <f t="shared" si="402"/>
        <v xml:space="preserve"> </v>
      </c>
      <c r="D2288" s="1557"/>
      <c r="E2288" s="1044">
        <f>VLOOKUP($B2288,DG!A:D,DG!$B$2,)</f>
        <v>0</v>
      </c>
      <c r="F2288" s="1056" t="str">
        <f>VLOOKUP($B2288,DG!A:D,DG!$C$2,)</f>
        <v>Chụp đầu cực FCO (bộ 2 cái)</v>
      </c>
      <c r="G2288" s="1044" t="str">
        <f>VLOOKUP($B2288,DG!A:D,DG!$D$2,)</f>
        <v>bộ</v>
      </c>
      <c r="H2288" s="1824">
        <f t="shared" si="411"/>
        <v>0</v>
      </c>
      <c r="I2288" s="1824"/>
      <c r="J2288" s="1824"/>
      <c r="K2288" s="1824">
        <f>IFERROR(HLOOKUP(B2288,pp3p1m!$1:$3,2,0),0)</f>
        <v>0</v>
      </c>
      <c r="L2288" s="1824"/>
      <c r="M2288" s="1824"/>
      <c r="N2288" s="1824"/>
      <c r="O2288" s="1824"/>
      <c r="P2288" s="1823">
        <f t="shared" si="412"/>
        <v>0</v>
      </c>
      <c r="Q2288" s="1052"/>
      <c r="R2288" s="1052"/>
      <c r="S2288" s="1052"/>
      <c r="T2288" s="2035">
        <f>IFERROR(HLOOKUP(B2288,pp3p1m!$1:$3,3,0),0)</f>
        <v>0</v>
      </c>
    </row>
    <row r="2289" spans="1:20" ht="22.2" hidden="1" customHeight="1">
      <c r="A2289" s="56" t="s">
        <v>2318</v>
      </c>
      <c r="B2289" s="1574" t="s">
        <v>2318</v>
      </c>
      <c r="C2289" s="1013" t="str">
        <f>IF(D2289&lt;&gt;0,"x"," ")</f>
        <v xml:space="preserve"> </v>
      </c>
      <c r="D2289" s="1532"/>
      <c r="E2289" s="1046" t="s">
        <v>1668</v>
      </c>
      <c r="F2289" s="1392" t="s">
        <v>2578</v>
      </c>
      <c r="G2289" s="1046"/>
      <c r="H2289" s="1821">
        <f>SUM(I2289:O2289)</f>
        <v>0</v>
      </c>
      <c r="I2289" s="1822"/>
      <c r="J2289" s="1822"/>
      <c r="K2289" s="1824">
        <f>IFERROR(HLOOKUP(B2289,pp3p1m!$1:$3,2,0),0)</f>
        <v>0</v>
      </c>
      <c r="L2289" s="1822">
        <f>IFERROR(HLOOKUP(chitiet!B2289,pp1p!$1:$3,3,0),0)</f>
        <v>0</v>
      </c>
      <c r="M2289" s="1822"/>
      <c r="N2289" s="1822"/>
      <c r="O2289" s="1822"/>
      <c r="P2289" s="1823">
        <f t="shared" si="412"/>
        <v>0</v>
      </c>
      <c r="Q2289" s="1065"/>
      <c r="R2289" s="1065"/>
      <c r="S2289" s="1065"/>
      <c r="T2289" s="2035">
        <f t="shared" si="399"/>
        <v>0</v>
      </c>
    </row>
    <row r="2290" spans="1:20" ht="22.2" hidden="1" customHeight="1">
      <c r="A2290" s="59"/>
      <c r="B2290" s="1611" t="s">
        <v>1826</v>
      </c>
      <c r="C2290" s="1013" t="str">
        <f t="shared" si="402"/>
        <v xml:space="preserve"> </v>
      </c>
      <c r="D2290" s="1558">
        <f>D2289*26</f>
        <v>0</v>
      </c>
      <c r="E2290" s="1044" t="str">
        <f>VLOOKUP($B2290,DG!A:D,DG!$B$2,)</f>
        <v>03.1401</v>
      </c>
      <c r="F2290" s="1056" t="str">
        <f>VLOOKUP($B2290,DG!A:D,DG!$C$2,)</f>
        <v xml:space="preserve">Cáp CVV 4x2,5mm2  </v>
      </c>
      <c r="G2290" s="1044" t="str">
        <f>VLOOKUP($B2290,DG!A:D,DG!$D$2,)</f>
        <v>mét</v>
      </c>
      <c r="H2290" s="1824">
        <f t="shared" ref="H2290:H2313" si="415">D2290</f>
        <v>0</v>
      </c>
      <c r="I2290" s="1824"/>
      <c r="J2290" s="1824"/>
      <c r="K2290" s="1824">
        <f>IFERROR(HLOOKUP(B2290,pp3p1m!$1:$3,2,0),0)</f>
        <v>0</v>
      </c>
      <c r="L2290" s="1824"/>
      <c r="M2290" s="1824"/>
      <c r="N2290" s="1824"/>
      <c r="O2290" s="1824"/>
      <c r="P2290" s="1823">
        <f t="shared" si="412"/>
        <v>0</v>
      </c>
      <c r="Q2290" s="1052"/>
      <c r="R2290" s="1052"/>
      <c r="S2290" s="1052"/>
      <c r="T2290" s="2035">
        <f t="shared" ref="T2290:T2353" si="416">IFERROR(HLOOKUP(B2290,BangKeTru,3,0),0)</f>
        <v>0</v>
      </c>
    </row>
    <row r="2291" spans="1:20" ht="22.2" hidden="1" customHeight="1">
      <c r="A2291" s="59"/>
      <c r="B2291" s="1611" t="s">
        <v>246</v>
      </c>
      <c r="C2291" s="1013" t="str">
        <f t="shared" si="402"/>
        <v xml:space="preserve"> </v>
      </c>
      <c r="D2291" s="1558">
        <f>D2289*24</f>
        <v>0</v>
      </c>
      <c r="E2291" s="1044" t="str">
        <f>VLOOKUP($B2291,DG!A:D,DG!$B$2,)</f>
        <v>05.6101</v>
      </c>
      <c r="F2291" s="1056" t="str">
        <f>VLOOKUP($B2291,DG!A:D,DG!$C$2,)</f>
        <v>Xà kẹp TU, TI U50x32x4 350</v>
      </c>
      <c r="G2291" s="1044" t="str">
        <f>VLOOKUP($B2291,DG!A:D,DG!$D$2,)</f>
        <v>Bộ</v>
      </c>
      <c r="H2291" s="1824">
        <f t="shared" si="415"/>
        <v>0</v>
      </c>
      <c r="I2291" s="1824"/>
      <c r="J2291" s="1824"/>
      <c r="K2291" s="1824">
        <f>IFERROR(HLOOKUP(B2291,pp3p1m!$1:$3,2,0),0)</f>
        <v>0</v>
      </c>
      <c r="L2291" s="1824"/>
      <c r="M2291" s="1824"/>
      <c r="N2291" s="1824"/>
      <c r="O2291" s="1824"/>
      <c r="P2291" s="1823">
        <f t="shared" si="412"/>
        <v>0</v>
      </c>
      <c r="Q2291" s="1052"/>
      <c r="R2291" s="1052"/>
      <c r="S2291" s="1052"/>
      <c r="T2291" s="2035">
        <f t="shared" si="416"/>
        <v>0</v>
      </c>
    </row>
    <row r="2292" spans="1:20" ht="22.2" hidden="1" customHeight="1">
      <c r="A2292" s="59"/>
      <c r="B2292" s="1611" t="s">
        <v>2055</v>
      </c>
      <c r="C2292" s="1013" t="str">
        <f t="shared" si="402"/>
        <v xml:space="preserve"> </v>
      </c>
      <c r="D2292" s="1558">
        <f>D2289*6*0</f>
        <v>0</v>
      </c>
      <c r="E2292" s="1044">
        <f>VLOOKUP($B2292,DG!A:D,DG!$B$2,)</f>
        <v>0</v>
      </c>
      <c r="F2292" s="1056" t="str">
        <f>VLOOKUP($B2292,DG!A:D,DG!$C$2,)</f>
        <v>Bass LI bắt FCO</v>
      </c>
      <c r="G2292" s="1044" t="str">
        <f>VLOOKUP($B2292,DG!A:D,DG!$D$2,)</f>
        <v>Bộ</v>
      </c>
      <c r="H2292" s="1824">
        <f t="shared" si="415"/>
        <v>0</v>
      </c>
      <c r="I2292" s="1824"/>
      <c r="J2292" s="1824"/>
      <c r="K2292" s="1824">
        <f>IFERROR(HLOOKUP(B2292,pp3p1m!$1:$3,2,0),0)</f>
        <v>3</v>
      </c>
      <c r="L2292" s="1824"/>
      <c r="M2292" s="1824"/>
      <c r="N2292" s="1824"/>
      <c r="O2292" s="1824"/>
      <c r="P2292" s="1823">
        <f t="shared" si="412"/>
        <v>0</v>
      </c>
      <c r="Q2292" s="1052"/>
      <c r="R2292" s="1052"/>
      <c r="S2292" s="1052"/>
      <c r="T2292" s="2035">
        <f t="shared" si="416"/>
        <v>0</v>
      </c>
    </row>
    <row r="2293" spans="1:20" ht="22.2" hidden="1" customHeight="1">
      <c r="A2293" s="59"/>
      <c r="B2293" s="1611" t="s">
        <v>1869</v>
      </c>
      <c r="C2293" s="1013" t="str">
        <f t="shared" si="402"/>
        <v xml:space="preserve"> </v>
      </c>
      <c r="D2293" s="1558">
        <f>D2289*16</f>
        <v>0</v>
      </c>
      <c r="E2293" s="1044" t="str">
        <f>VLOOKUP($B2293,DG!A:D,DG!$B$2,)</f>
        <v>03.4001</v>
      </c>
      <c r="F2293" s="1056" t="str">
        <f>VLOOKUP($B2293,DG!A:D,DG!$C$2,)</f>
        <v xml:space="preserve">Đầu cosse ép Cu 2,5mm2 + bao PVC </v>
      </c>
      <c r="G2293" s="1044" t="str">
        <f>VLOOKUP($B2293,DG!A:D,DG!$D$2,)</f>
        <v>cái</v>
      </c>
      <c r="H2293" s="1824">
        <f t="shared" si="415"/>
        <v>0</v>
      </c>
      <c r="I2293" s="1824"/>
      <c r="J2293" s="1824"/>
      <c r="K2293" s="1824">
        <f>IFERROR(HLOOKUP(B2293,pp3p1m!$1:$3,2,0),0)</f>
        <v>0</v>
      </c>
      <c r="L2293" s="1824"/>
      <c r="M2293" s="1824"/>
      <c r="N2293" s="1824"/>
      <c r="O2293" s="1824"/>
      <c r="P2293" s="1823">
        <f t="shared" si="412"/>
        <v>0</v>
      </c>
      <c r="Q2293" s="1052"/>
      <c r="R2293" s="1052"/>
      <c r="S2293" s="1052"/>
      <c r="T2293" s="2035">
        <f t="shared" si="416"/>
        <v>0</v>
      </c>
    </row>
    <row r="2294" spans="1:20" ht="22.2" hidden="1" customHeight="1">
      <c r="A2294" s="59"/>
      <c r="B2294" s="1611" t="s">
        <v>1513</v>
      </c>
      <c r="C2294" s="1013" t="str">
        <f t="shared" si="402"/>
        <v xml:space="preserve"> </v>
      </c>
      <c r="D2294" s="1558">
        <f>6*D2289</f>
        <v>0</v>
      </c>
      <c r="E2294" s="1044">
        <f>VLOOKUP($B2294,DG!A:D,DG!$B$2,)</f>
        <v>0</v>
      </c>
      <c r="F2294" s="1056" t="str">
        <f>VLOOKUP($B2294,DG!A:D,DG!$C$2,)</f>
        <v>Dây điện đôi 16/10</v>
      </c>
      <c r="G2294" s="1044" t="str">
        <f>VLOOKUP($B2294,DG!A:D,DG!$D$2,)</f>
        <v>mét</v>
      </c>
      <c r="H2294" s="1824">
        <f t="shared" si="415"/>
        <v>0</v>
      </c>
      <c r="I2294" s="1824"/>
      <c r="J2294" s="1824"/>
      <c r="K2294" s="1824">
        <f>IFERROR(HLOOKUP(B2294,pp3p1m!$1:$3,2,0),0)</f>
        <v>0</v>
      </c>
      <c r="L2294" s="1824"/>
      <c r="M2294" s="1824"/>
      <c r="N2294" s="1824"/>
      <c r="O2294" s="1824"/>
      <c r="P2294" s="1823">
        <f t="shared" si="412"/>
        <v>0</v>
      </c>
      <c r="Q2294" s="1052"/>
      <c r="R2294" s="1052"/>
      <c r="S2294" s="1052"/>
      <c r="T2294" s="2035">
        <f t="shared" si="416"/>
        <v>0</v>
      </c>
    </row>
    <row r="2295" spans="1:20" ht="22.2" hidden="1" customHeight="1">
      <c r="A2295" s="59"/>
      <c r="B2295" s="1611" t="s">
        <v>816</v>
      </c>
      <c r="C2295" s="1013" t="str">
        <f t="shared" si="402"/>
        <v xml:space="preserve"> </v>
      </c>
      <c r="D2295" s="1558">
        <f>+D2289*3</f>
        <v>0</v>
      </c>
      <c r="E2295" s="1044" t="str">
        <f>VLOOKUP($B2295,DG!A:D,DG!$B$2,)</f>
        <v>04.3107</v>
      </c>
      <c r="F2295" s="1056" t="str">
        <f>VLOOKUP($B2295,DG!A:D,DG!$C$2,)</f>
        <v>Ốc siết cáp cỡ 25mm2</v>
      </c>
      <c r="G2295" s="1044" t="str">
        <f>VLOOKUP($B2295,DG!A:D,DG!$D$2,)</f>
        <v>cái</v>
      </c>
      <c r="H2295" s="1824">
        <f t="shared" si="415"/>
        <v>0</v>
      </c>
      <c r="I2295" s="1824"/>
      <c r="J2295" s="1824"/>
      <c r="K2295" s="1824">
        <f>IFERROR(HLOOKUP(B2295,pp3p1m!$1:$3,2,0),0)</f>
        <v>0</v>
      </c>
      <c r="L2295" s="1824"/>
      <c r="M2295" s="1824"/>
      <c r="N2295" s="1824"/>
      <c r="O2295" s="1824"/>
      <c r="P2295" s="1823">
        <f t="shared" si="412"/>
        <v>0</v>
      </c>
      <c r="Q2295" s="1052"/>
      <c r="R2295" s="1052"/>
      <c r="S2295" s="1052"/>
      <c r="T2295" s="2035">
        <f t="shared" si="416"/>
        <v>0</v>
      </c>
    </row>
    <row r="2296" spans="1:20" ht="22.2" hidden="1" customHeight="1">
      <c r="A2296" s="59"/>
      <c r="B2296" s="1611" t="s">
        <v>2147</v>
      </c>
      <c r="C2296" s="1013" t="str">
        <f t="shared" si="402"/>
        <v xml:space="preserve"> </v>
      </c>
      <c r="D2296" s="1558">
        <f>D2307*18</f>
        <v>0</v>
      </c>
      <c r="E2296" s="1044" t="str">
        <f>VLOOKUP($B2296,DG!A:D,DG!$B$2,)</f>
        <v>07.2403</v>
      </c>
      <c r="F2296" s="1056" t="str">
        <f>VLOOKUP($B2296,DG!A:D,DG!$C$2,)</f>
        <v>Ống PVC D42x2,1mm</v>
      </c>
      <c r="G2296" s="1044" t="str">
        <f>VLOOKUP($B2296,DG!A:D,DG!$D$2,)</f>
        <v>m</v>
      </c>
      <c r="H2296" s="1824">
        <f t="shared" si="415"/>
        <v>0</v>
      </c>
      <c r="I2296" s="1824"/>
      <c r="J2296" s="1824"/>
      <c r="K2296" s="1824">
        <f>IFERROR(HLOOKUP(B2296,pp3p1m!$1:$3,2,0),0)</f>
        <v>0</v>
      </c>
      <c r="L2296" s="1824"/>
      <c r="M2296" s="1824"/>
      <c r="N2296" s="1824"/>
      <c r="O2296" s="1824"/>
      <c r="P2296" s="1823">
        <f t="shared" si="412"/>
        <v>0</v>
      </c>
      <c r="Q2296" s="1052"/>
      <c r="R2296" s="1052"/>
      <c r="S2296" s="1052"/>
      <c r="T2296" s="2035">
        <f t="shared" si="416"/>
        <v>0</v>
      </c>
    </row>
    <row r="2297" spans="1:20" ht="22.2" hidden="1" customHeight="1">
      <c r="A2297" s="59"/>
      <c r="B2297" s="1611" t="s">
        <v>227</v>
      </c>
      <c r="C2297" s="1013" t="str">
        <f t="shared" si="402"/>
        <v xml:space="preserve"> </v>
      </c>
      <c r="D2297" s="1558">
        <f>D2289*4</f>
        <v>0</v>
      </c>
      <c r="E2297" s="1044" t="str">
        <f>VLOOKUP($B2297,DG!A:D,DG!$B$2,)</f>
        <v>06.3231</v>
      </c>
      <c r="F2297" s="1056" t="str">
        <f>VLOOKUP($B2297,DG!A:D,DG!$C$2,)</f>
        <v>Côllier 25x2</v>
      </c>
      <c r="G2297" s="1044" t="str">
        <f>VLOOKUP($B2297,DG!A:D,DG!$D$2,)</f>
        <v>bộ</v>
      </c>
      <c r="H2297" s="1824">
        <f t="shared" si="415"/>
        <v>0</v>
      </c>
      <c r="I2297" s="1824"/>
      <c r="J2297" s="1824"/>
      <c r="K2297" s="1824">
        <f>IFERROR(HLOOKUP(B2297,pp3p1m!$1:$3,2,0),0)</f>
        <v>0</v>
      </c>
      <c r="L2297" s="1824"/>
      <c r="M2297" s="1824"/>
      <c r="N2297" s="1824"/>
      <c r="O2297" s="1824"/>
      <c r="P2297" s="1823">
        <f t="shared" si="412"/>
        <v>0</v>
      </c>
      <c r="Q2297" s="1052"/>
      <c r="R2297" s="1052"/>
      <c r="S2297" s="1052"/>
      <c r="T2297" s="2035">
        <f t="shared" si="416"/>
        <v>0</v>
      </c>
    </row>
    <row r="2298" spans="1:20" ht="22.2" hidden="1" customHeight="1">
      <c r="A2298" s="59"/>
      <c r="B2298" s="1611" t="s">
        <v>1619</v>
      </c>
      <c r="C2298" s="1013" t="str">
        <f t="shared" si="402"/>
        <v xml:space="preserve"> </v>
      </c>
      <c r="D2298" s="1558">
        <f>D2289*8</f>
        <v>0</v>
      </c>
      <c r="E2298" s="1044">
        <f>VLOOKUP($B2298,DG!A:D,DG!$B$2,)</f>
        <v>0</v>
      </c>
      <c r="F2298" s="1056" t="str">
        <f>VLOOKUP($B2298,DG!A:D,DG!$C$2,)</f>
        <v>Co 90 độ PVC 42</v>
      </c>
      <c r="G2298" s="1044" t="str">
        <f>VLOOKUP($B2298,DG!A:D,DG!$D$2,)</f>
        <v>cái</v>
      </c>
      <c r="H2298" s="1824">
        <f t="shared" si="415"/>
        <v>0</v>
      </c>
      <c r="I2298" s="1824"/>
      <c r="J2298" s="1824"/>
      <c r="K2298" s="1824">
        <f>IFERROR(HLOOKUP(B2298,pp3p1m!$1:$3,2,0),0)</f>
        <v>0</v>
      </c>
      <c r="L2298" s="1824"/>
      <c r="M2298" s="1824"/>
      <c r="N2298" s="1824"/>
      <c r="O2298" s="1824"/>
      <c r="P2298" s="1823">
        <f t="shared" si="412"/>
        <v>0</v>
      </c>
      <c r="Q2298" s="1052"/>
      <c r="R2298" s="1052"/>
      <c r="S2298" s="1052"/>
      <c r="T2298" s="2035">
        <f t="shared" si="416"/>
        <v>0</v>
      </c>
    </row>
    <row r="2299" spans="1:20" ht="22.2" hidden="1" customHeight="1">
      <c r="A2299" s="59"/>
      <c r="B2299" s="1611" t="s">
        <v>1050</v>
      </c>
      <c r="C2299" s="1013" t="str">
        <f t="shared" si="402"/>
        <v xml:space="preserve"> </v>
      </c>
      <c r="D2299" s="1558">
        <f>D2289*4</f>
        <v>0</v>
      </c>
      <c r="E2299" s="1044">
        <f>VLOOKUP($B2299,DG!A:D,DG!$B$2,)</f>
        <v>0</v>
      </c>
      <c r="F2299" s="1056" t="str">
        <f>VLOOKUP($B2299,DG!A:D,DG!$C$2,)</f>
        <v>Co chữ T ống PVC 42</v>
      </c>
      <c r="G2299" s="1044" t="str">
        <f>VLOOKUP($B2299,DG!A:D,DG!$D$2,)</f>
        <v>cái</v>
      </c>
      <c r="H2299" s="1824">
        <f t="shared" si="415"/>
        <v>0</v>
      </c>
      <c r="I2299" s="1824"/>
      <c r="J2299" s="1824"/>
      <c r="K2299" s="1824">
        <f>IFERROR(HLOOKUP(B2299,pp3p1m!$1:$3,2,0),0)</f>
        <v>0</v>
      </c>
      <c r="L2299" s="1824"/>
      <c r="M2299" s="1824"/>
      <c r="N2299" s="1824"/>
      <c r="O2299" s="1824"/>
      <c r="P2299" s="1823">
        <f t="shared" si="412"/>
        <v>0</v>
      </c>
      <c r="Q2299" s="1052"/>
      <c r="R2299" s="1052"/>
      <c r="S2299" s="1052"/>
      <c r="T2299" s="2035">
        <f t="shared" si="416"/>
        <v>0</v>
      </c>
    </row>
    <row r="2300" spans="1:20" ht="22.2" hidden="1" customHeight="1">
      <c r="A2300" s="59"/>
      <c r="B2300" s="1611" t="s">
        <v>1917</v>
      </c>
      <c r="C2300" s="1013" t="str">
        <f t="shared" si="402"/>
        <v xml:space="preserve"> </v>
      </c>
      <c r="D2300" s="1558">
        <f>D2289*2</f>
        <v>0</v>
      </c>
      <c r="E2300" s="1044">
        <f>VLOOKUP($B2300,DG!A:D,DG!$B$2,)</f>
        <v>0</v>
      </c>
      <c r="F2300" s="1056" t="str">
        <f>VLOOKUP($B2300,DG!A:D,DG!$C$2,)</f>
        <v>Nối thẳng ống PVC 42</v>
      </c>
      <c r="G2300" s="1044" t="str">
        <f>VLOOKUP($B2300,DG!A:D,DG!$D$2,)</f>
        <v>cái</v>
      </c>
      <c r="H2300" s="1824">
        <f t="shared" si="415"/>
        <v>0</v>
      </c>
      <c r="I2300" s="1824"/>
      <c r="J2300" s="1824"/>
      <c r="K2300" s="1824">
        <f>IFERROR(HLOOKUP(B2300,pp3p1m!$1:$3,2,0),0)</f>
        <v>0</v>
      </c>
      <c r="L2300" s="1824"/>
      <c r="M2300" s="1824"/>
      <c r="N2300" s="1824"/>
      <c r="O2300" s="1824"/>
      <c r="P2300" s="1823">
        <f t="shared" si="412"/>
        <v>0</v>
      </c>
      <c r="Q2300" s="1052"/>
      <c r="R2300" s="1052"/>
      <c r="S2300" s="1052"/>
      <c r="T2300" s="2035">
        <f t="shared" si="416"/>
        <v>0</v>
      </c>
    </row>
    <row r="2301" spans="1:20" ht="22.2" hidden="1" customHeight="1">
      <c r="A2301" s="59"/>
      <c r="B2301" s="1497" t="s">
        <v>697</v>
      </c>
      <c r="C2301" s="1013" t="str">
        <f t="shared" si="402"/>
        <v xml:space="preserve"> </v>
      </c>
      <c r="D2301" s="1559">
        <f>D2289*(2)*3</f>
        <v>0</v>
      </c>
      <c r="E2301" s="1044">
        <f>VLOOKUP($B2301,DG!A:D,DG!$B$2,)</f>
        <v>0</v>
      </c>
      <c r="F2301" s="1056" t="str">
        <f>VLOOKUP($B2301,DG!A:D,DG!$C$2,)</f>
        <v>Cáp 24KV C/XLPE/PVC 25mm2</v>
      </c>
      <c r="G2301" s="1044" t="str">
        <f>VLOOKUP($B2301,DG!A:D,DG!$D$2,)</f>
        <v>mét</v>
      </c>
      <c r="H2301" s="1824">
        <f t="shared" si="415"/>
        <v>0</v>
      </c>
      <c r="I2301" s="1824"/>
      <c r="J2301" s="1824"/>
      <c r="K2301" s="1824">
        <f>IFERROR(HLOOKUP(B2301,pp3p1m!$1:$3,2,0),0)</f>
        <v>9</v>
      </c>
      <c r="L2301" s="1824"/>
      <c r="M2301" s="1824"/>
      <c r="N2301" s="1824"/>
      <c r="O2301" s="1824"/>
      <c r="P2301" s="1823">
        <f t="shared" si="412"/>
        <v>0</v>
      </c>
      <c r="Q2301" s="1052"/>
      <c r="R2301" s="1052"/>
      <c r="S2301" s="1052"/>
      <c r="T2301" s="2035">
        <f t="shared" si="416"/>
        <v>0</v>
      </c>
    </row>
    <row r="2302" spans="1:20" ht="22.2" hidden="1" customHeight="1">
      <c r="A2302" s="59"/>
      <c r="B2302" s="1611" t="s">
        <v>726</v>
      </c>
      <c r="C2302" s="1013" t="str">
        <f t="shared" si="402"/>
        <v xml:space="preserve"> </v>
      </c>
      <c r="D2302" s="1558">
        <f>D2289*2</f>
        <v>0</v>
      </c>
      <c r="E2302" s="1044">
        <f>VLOOKUP($B2302,DG!A:D,DG!$B$2,)</f>
        <v>0</v>
      </c>
      <c r="F2302" s="1056" t="str">
        <f>VLOOKUP($B2302,DG!A:D,DG!$C$2,)</f>
        <v>Keo dán ống PVC (500gr)</v>
      </c>
      <c r="G2302" s="1044" t="str">
        <f>VLOOKUP($B2302,DG!A:D,DG!$D$2,)</f>
        <v>lon</v>
      </c>
      <c r="H2302" s="1824">
        <f t="shared" si="415"/>
        <v>0</v>
      </c>
      <c r="I2302" s="1824"/>
      <c r="J2302" s="1824"/>
      <c r="K2302" s="1824">
        <f>IFERROR(HLOOKUP(B2302,pp3p1m!$1:$3,2,0),0)</f>
        <v>0</v>
      </c>
      <c r="L2302" s="1824"/>
      <c r="M2302" s="1824"/>
      <c r="N2302" s="1824"/>
      <c r="O2302" s="1824"/>
      <c r="P2302" s="1823">
        <f t="shared" si="412"/>
        <v>0</v>
      </c>
      <c r="Q2302" s="1052"/>
      <c r="R2302" s="1052"/>
      <c r="S2302" s="1052"/>
      <c r="T2302" s="2035">
        <f t="shared" si="416"/>
        <v>0</v>
      </c>
    </row>
    <row r="2303" spans="1:20" ht="22.2" hidden="1" customHeight="1">
      <c r="A2303" s="59"/>
      <c r="B2303" s="1611" t="s">
        <v>672</v>
      </c>
      <c r="C2303" s="1013" t="str">
        <f t="shared" si="402"/>
        <v xml:space="preserve"> </v>
      </c>
      <c r="D2303" s="1558">
        <f>D2289*2</f>
        <v>0</v>
      </c>
      <c r="E2303" s="1044">
        <f>VLOOKUP($B2303,DG!A:D,DG!$B$2,)</f>
        <v>0</v>
      </c>
      <c r="F2303" s="1056" t="str">
        <f>VLOOKUP($B2303,DG!A:D,DG!$C$2,)</f>
        <v>Băng keo cách điện</v>
      </c>
      <c r="G2303" s="1044" t="str">
        <f>VLOOKUP($B2303,DG!A:D,DG!$D$2,)</f>
        <v>cuộn</v>
      </c>
      <c r="H2303" s="1824">
        <f t="shared" si="415"/>
        <v>0</v>
      </c>
      <c r="I2303" s="1824"/>
      <c r="J2303" s="1824"/>
      <c r="K2303" s="1824">
        <f>IFERROR(HLOOKUP(B2303,pp3p1m!$1:$3,2,0),0)</f>
        <v>0</v>
      </c>
      <c r="L2303" s="1824"/>
      <c r="M2303" s="1824"/>
      <c r="N2303" s="1824"/>
      <c r="O2303" s="1824"/>
      <c r="P2303" s="1823">
        <f t="shared" si="412"/>
        <v>0</v>
      </c>
      <c r="Q2303" s="1052"/>
      <c r="R2303" s="1052"/>
      <c r="S2303" s="1052"/>
      <c r="T2303" s="2035">
        <f t="shared" si="416"/>
        <v>0</v>
      </c>
    </row>
    <row r="2304" spans="1:20" ht="22.2" hidden="1" customHeight="1">
      <c r="A2304" s="59"/>
      <c r="B2304" s="1611" t="s">
        <v>2126</v>
      </c>
      <c r="C2304" s="1013" t="str">
        <f t="shared" si="402"/>
        <v xml:space="preserve"> </v>
      </c>
      <c r="D2304" s="1558">
        <f>D2289*4</f>
        <v>0</v>
      </c>
      <c r="E2304" s="1044">
        <f>VLOOKUP($B2304,DG!A:D,DG!$B$2,)</f>
        <v>0</v>
      </c>
      <c r="F2304" s="1056" t="str">
        <f>VLOOKUP($B2304,DG!A:D,DG!$C$2,)</f>
        <v>Khâu ven răng trong D42</v>
      </c>
      <c r="G2304" s="1044" t="str">
        <f>VLOOKUP($B2304,DG!A:D,DG!$D$2,)</f>
        <v>cái</v>
      </c>
      <c r="H2304" s="1824">
        <f t="shared" si="415"/>
        <v>0</v>
      </c>
      <c r="I2304" s="1824"/>
      <c r="J2304" s="1824"/>
      <c r="K2304" s="1824">
        <f>IFERROR(HLOOKUP(B2304,pp3p1m!$1:$3,2,0),0)</f>
        <v>0</v>
      </c>
      <c r="L2304" s="1824"/>
      <c r="M2304" s="1824"/>
      <c r="N2304" s="1824"/>
      <c r="O2304" s="1824"/>
      <c r="P2304" s="1823">
        <f t="shared" si="412"/>
        <v>0</v>
      </c>
      <c r="Q2304" s="1052"/>
      <c r="R2304" s="1052"/>
      <c r="S2304" s="1052"/>
      <c r="T2304" s="2035">
        <f t="shared" si="416"/>
        <v>0</v>
      </c>
    </row>
    <row r="2305" spans="1:20" ht="22.2" hidden="1" customHeight="1">
      <c r="A2305" s="59"/>
      <c r="B2305" s="1611" t="s">
        <v>959</v>
      </c>
      <c r="C2305" s="1013" t="str">
        <f t="shared" si="402"/>
        <v xml:space="preserve"> </v>
      </c>
      <c r="D2305" s="1558">
        <f>D2304</f>
        <v>0</v>
      </c>
      <c r="E2305" s="1044">
        <f>VLOOKUP($B2305,DG!A:D,DG!$B$2,)</f>
        <v>0</v>
      </c>
      <c r="F2305" s="1056" t="str">
        <f>VLOOKUP($B2305,DG!A:D,DG!$C$2,)</f>
        <v>Khâu ven răng ngoài D42</v>
      </c>
      <c r="G2305" s="1044" t="str">
        <f>VLOOKUP($B2305,DG!A:D,DG!$D$2,)</f>
        <v>cái</v>
      </c>
      <c r="H2305" s="1824">
        <f t="shared" si="415"/>
        <v>0</v>
      </c>
      <c r="I2305" s="1824"/>
      <c r="J2305" s="1824"/>
      <c r="K2305" s="1824">
        <f>IFERROR(HLOOKUP(B2305,pp3p1m!$1:$3,2,0),0)</f>
        <v>0</v>
      </c>
      <c r="L2305" s="1824"/>
      <c r="M2305" s="1824"/>
      <c r="N2305" s="1824"/>
      <c r="O2305" s="1824"/>
      <c r="P2305" s="1823">
        <f t="shared" si="412"/>
        <v>0</v>
      </c>
      <c r="Q2305" s="1052"/>
      <c r="R2305" s="1052"/>
      <c r="S2305" s="1052"/>
      <c r="T2305" s="2035">
        <f t="shared" si="416"/>
        <v>0</v>
      </c>
    </row>
    <row r="2306" spans="1:20" ht="22.2" hidden="1" customHeight="1">
      <c r="A2306" s="59"/>
      <c r="B2306" s="1611" t="s">
        <v>455</v>
      </c>
      <c r="C2306" s="1013" t="str">
        <f t="shared" si="402"/>
        <v xml:space="preserve"> </v>
      </c>
      <c r="D2306" s="1558">
        <f>D2289*2</f>
        <v>0</v>
      </c>
      <c r="E2306" s="1044">
        <f>VLOOKUP($B2306,DG!A:D,DG!$B$2,)</f>
        <v>0</v>
      </c>
      <c r="F2306" s="1056" t="str">
        <f>VLOOKUP($B2306,DG!A:D,DG!$C$2,)</f>
        <v>Bảng nhựa gắn tủ điện kế điện tử</v>
      </c>
      <c r="G2306" s="1044" t="str">
        <f>VLOOKUP($B2306,DG!A:D,DG!$D$2,)</f>
        <v>cái</v>
      </c>
      <c r="H2306" s="1824">
        <f t="shared" si="415"/>
        <v>0</v>
      </c>
      <c r="I2306" s="1824"/>
      <c r="J2306" s="1824"/>
      <c r="K2306" s="1824">
        <f>IFERROR(HLOOKUP(B2306,pp3p1m!$1:$3,2,0),0)</f>
        <v>0</v>
      </c>
      <c r="L2306" s="1824"/>
      <c r="M2306" s="1824"/>
      <c r="N2306" s="1824"/>
      <c r="O2306" s="1824"/>
      <c r="P2306" s="1823">
        <f t="shared" si="412"/>
        <v>0</v>
      </c>
      <c r="Q2306" s="1052"/>
      <c r="R2306" s="1052"/>
      <c r="S2306" s="1052"/>
      <c r="T2306" s="2035">
        <f t="shared" si="416"/>
        <v>0</v>
      </c>
    </row>
    <row r="2307" spans="1:20" ht="22.2" hidden="1" customHeight="1">
      <c r="A2307" s="59"/>
      <c r="B2307" s="1611" t="s">
        <v>1919</v>
      </c>
      <c r="C2307" s="1013" t="str">
        <f t="shared" si="402"/>
        <v xml:space="preserve"> </v>
      </c>
      <c r="D2307" s="1558">
        <f>D2289</f>
        <v>0</v>
      </c>
      <c r="E2307" s="1044" t="str">
        <f>VLOOKUP($B2307,DG!A:D,DG!$B$2,)</f>
        <v>05.1101</v>
      </c>
      <c r="F2307" s="1056" t="str">
        <f>VLOOKUP($B2307,DG!A:D,DG!$C$2,)</f>
        <v>Thùng điện kế 450x300x200mm đo đếm trung thế</v>
      </c>
      <c r="G2307" s="1044" t="str">
        <f>VLOOKUP($B2307,DG!A:D,DG!$D$2,)</f>
        <v>cái</v>
      </c>
      <c r="H2307" s="1824">
        <f t="shared" si="415"/>
        <v>0</v>
      </c>
      <c r="I2307" s="1824"/>
      <c r="J2307" s="1824"/>
      <c r="K2307" s="1824">
        <f>IFERROR(HLOOKUP(B2307,pp3p1m!$1:$3,2,0),0)</f>
        <v>0</v>
      </c>
      <c r="L2307" s="1824"/>
      <c r="M2307" s="1824"/>
      <c r="N2307" s="1824"/>
      <c r="O2307" s="1824"/>
      <c r="P2307" s="1823">
        <f t="shared" si="412"/>
        <v>0</v>
      </c>
      <c r="Q2307" s="1052"/>
      <c r="R2307" s="1052"/>
      <c r="S2307" s="1052"/>
      <c r="T2307" s="2035">
        <f t="shared" si="416"/>
        <v>0</v>
      </c>
    </row>
    <row r="2308" spans="1:20" ht="22.2" hidden="1" customHeight="1">
      <c r="A2308" s="59"/>
      <c r="B2308" s="1611" t="s">
        <v>938</v>
      </c>
      <c r="C2308" s="1013" t="str">
        <f t="shared" ref="C2308:C2372" si="417">IF(OR(P2308&lt;&gt;0,H2308&lt;&gt;0),"x"," ")</f>
        <v xml:space="preserve"> </v>
      </c>
      <c r="D2308" s="1560">
        <f>D2307*2</f>
        <v>0</v>
      </c>
      <c r="E2308" s="1044" t="str">
        <f>VLOOKUP($B2308,DG!A:D,DG!$B$2,)</f>
        <v>06.3231</v>
      </c>
      <c r="F2308" s="1395" t="str">
        <f>VLOOKUP($B2308,DG!A:D,DG!$C$2,)</f>
        <v>Cổ dê CDĐKĐT( bắt thùng điện kế)</v>
      </c>
      <c r="G2308" s="1415" t="str">
        <f>VLOOKUP($B2308,DG!A:D,DG!$D$2,)</f>
        <v>bộ</v>
      </c>
      <c r="H2308" s="1824">
        <f t="shared" si="415"/>
        <v>0</v>
      </c>
      <c r="I2308" s="1824"/>
      <c r="J2308" s="1824"/>
      <c r="K2308" s="1824">
        <f>IFERROR(HLOOKUP(B2308,pp3p1m!$1:$3,2,0),0)</f>
        <v>0</v>
      </c>
      <c r="L2308" s="1824"/>
      <c r="M2308" s="1824"/>
      <c r="N2308" s="1824"/>
      <c r="O2308" s="1824"/>
      <c r="P2308" s="1823">
        <f t="shared" si="412"/>
        <v>0</v>
      </c>
      <c r="Q2308" s="1052"/>
      <c r="R2308" s="1052"/>
      <c r="S2308" s="1052"/>
      <c r="T2308" s="2035">
        <f t="shared" si="416"/>
        <v>0</v>
      </c>
    </row>
    <row r="2309" spans="1:20" ht="22.2" hidden="1" customHeight="1">
      <c r="A2309" s="59"/>
      <c r="B2309" s="1611" t="s">
        <v>6</v>
      </c>
      <c r="C2309" s="1013" t="str">
        <f t="shared" si="417"/>
        <v xml:space="preserve"> </v>
      </c>
      <c r="D2309" s="1558">
        <f>D2289*4</f>
        <v>0</v>
      </c>
      <c r="E2309" s="1044">
        <f>VLOOKUP($B2309,DG!A:D,DG!$B$2,)</f>
        <v>0</v>
      </c>
      <c r="F2309" s="1056" t="str">
        <f>VLOOKUP($B2309,DG!A:D,DG!$C$2,)</f>
        <v>Keo silicon bít miệng ống</v>
      </c>
      <c r="G2309" s="1044" t="str">
        <f>VLOOKUP($B2309,DG!A:D,DG!$D$2,)</f>
        <v>ống</v>
      </c>
      <c r="H2309" s="1824">
        <f t="shared" si="415"/>
        <v>0</v>
      </c>
      <c r="I2309" s="1824"/>
      <c r="J2309" s="1824"/>
      <c r="K2309" s="1824">
        <f>IFERROR(HLOOKUP(B2309,pp3p1m!$1:$3,2,0),0)</f>
        <v>0</v>
      </c>
      <c r="L2309" s="1824"/>
      <c r="M2309" s="1824"/>
      <c r="N2309" s="1824"/>
      <c r="O2309" s="1824"/>
      <c r="P2309" s="1823">
        <f t="shared" si="412"/>
        <v>0</v>
      </c>
      <c r="Q2309" s="1052"/>
      <c r="R2309" s="1052"/>
      <c r="S2309" s="1052"/>
      <c r="T2309" s="2035">
        <f t="shared" si="416"/>
        <v>0</v>
      </c>
    </row>
    <row r="2310" spans="1:20" ht="22.2" hidden="1" customHeight="1">
      <c r="A2310" s="59"/>
      <c r="B2310" s="1611" t="s">
        <v>2145</v>
      </c>
      <c r="C2310" s="1013" t="str">
        <f t="shared" si="417"/>
        <v xml:space="preserve"> </v>
      </c>
      <c r="D2310" s="1558">
        <f>D2289*4</f>
        <v>0</v>
      </c>
      <c r="E2310" s="1044">
        <f>VLOOKUP($B2310,DG!A:D,DG!$B$2,)</f>
        <v>0</v>
      </c>
      <c r="F2310" s="1056" t="str">
        <f>VLOOKUP($B2310,DG!A:D,DG!$C$2,)</f>
        <v>Dây đồng trần mềm dẹt</v>
      </c>
      <c r="G2310" s="1044" t="str">
        <f>VLOOKUP($B2310,DG!A:D,DG!$D$2,)</f>
        <v>mét</v>
      </c>
      <c r="H2310" s="1824">
        <f t="shared" si="415"/>
        <v>0</v>
      </c>
      <c r="I2310" s="1824"/>
      <c r="J2310" s="1824"/>
      <c r="K2310" s="1824">
        <f>IFERROR(HLOOKUP(B2310,pp3p1m!$1:$3,2,0),0)</f>
        <v>0</v>
      </c>
      <c r="L2310" s="1824"/>
      <c r="M2310" s="1824"/>
      <c r="N2310" s="1824"/>
      <c r="O2310" s="1824"/>
      <c r="P2310" s="1823">
        <f t="shared" si="412"/>
        <v>0</v>
      </c>
      <c r="Q2310" s="1052"/>
      <c r="R2310" s="1052"/>
      <c r="S2310" s="1052"/>
      <c r="T2310" s="2035">
        <f t="shared" si="416"/>
        <v>0</v>
      </c>
    </row>
    <row r="2311" spans="1:20" ht="22.2" hidden="1" customHeight="1">
      <c r="A2311" s="59"/>
      <c r="B2311" s="1611" t="s">
        <v>251</v>
      </c>
      <c r="C2311" s="1013" t="str">
        <f t="shared" si="417"/>
        <v xml:space="preserve"> </v>
      </c>
      <c r="D2311" s="1558">
        <f>2*D2291</f>
        <v>0</v>
      </c>
      <c r="E2311" s="1044">
        <f>VLOOKUP($B2311,DG!A:D,DG!$B$2,)</f>
        <v>0</v>
      </c>
      <c r="F2311" s="1056" t="str">
        <f>VLOOKUP($B2311,DG!A:D,DG!$C$2,)</f>
        <v>Boulon 12x150+ 2 long đền vuông D14-50x50x3/Zn</v>
      </c>
      <c r="G2311" s="1044" t="str">
        <f>VLOOKUP($B2311,DG!A:D,DG!$D$2,)</f>
        <v>bộ</v>
      </c>
      <c r="H2311" s="1824">
        <f t="shared" si="415"/>
        <v>0</v>
      </c>
      <c r="I2311" s="1824"/>
      <c r="J2311" s="1824"/>
      <c r="K2311" s="1824">
        <f>IFERROR(HLOOKUP(B2311,pp3p1m!$1:$3,2,0),0)</f>
        <v>0</v>
      </c>
      <c r="L2311" s="1824"/>
      <c r="M2311" s="1824"/>
      <c r="N2311" s="1824"/>
      <c r="O2311" s="1824"/>
      <c r="P2311" s="1823">
        <f t="shared" si="412"/>
        <v>0</v>
      </c>
      <c r="Q2311" s="1052"/>
      <c r="R2311" s="1052"/>
      <c r="S2311" s="1052"/>
      <c r="T2311" s="2035">
        <f t="shared" si="416"/>
        <v>0</v>
      </c>
    </row>
    <row r="2312" spans="1:20" ht="22.2" hidden="1" customHeight="1">
      <c r="A2312" s="59"/>
      <c r="B2312" s="1611" t="s">
        <v>1035</v>
      </c>
      <c r="C2312" s="1013" t="str">
        <f t="shared" si="417"/>
        <v xml:space="preserve"> </v>
      </c>
      <c r="D2312" s="1561">
        <f>3.77*D2289*0</f>
        <v>0</v>
      </c>
      <c r="E2312" s="1044">
        <f>VLOOKUP($B2312,DG!A:D,DG!$B$2,)</f>
        <v>0</v>
      </c>
      <c r="F2312" s="1056" t="str">
        <f>VLOOKUP($B2312,DG!A:D,DG!$C$2,)&amp;" : 2 thanh daøi 0,5m"</f>
        <v>Sắt góc L50 x50 x5 : 2 thanh daøi 0,5m</v>
      </c>
      <c r="G2312" s="1044" t="str">
        <f>VLOOKUP($B2312,DG!A:D,DG!$D$2,)</f>
        <v>kg</v>
      </c>
      <c r="H2312" s="1824">
        <f t="shared" si="415"/>
        <v>0</v>
      </c>
      <c r="I2312" s="1824"/>
      <c r="J2312" s="1824"/>
      <c r="K2312" s="1824">
        <f>IFERROR(HLOOKUP(B2312,pp3p1m!$1:$3,2,0),0)</f>
        <v>0</v>
      </c>
      <c r="L2312" s="1824"/>
      <c r="M2312" s="1824"/>
      <c r="N2312" s="1824"/>
      <c r="O2312" s="1824"/>
      <c r="P2312" s="1823">
        <f t="shared" si="412"/>
        <v>0</v>
      </c>
      <c r="Q2312" s="1052"/>
      <c r="R2312" s="1052"/>
      <c r="S2312" s="1052"/>
      <c r="T2312" s="2035">
        <f t="shared" si="416"/>
        <v>0</v>
      </c>
    </row>
    <row r="2313" spans="1:20" ht="22.2" hidden="1" customHeight="1">
      <c r="A2313" s="59"/>
      <c r="B2313" s="1611" t="s">
        <v>1353</v>
      </c>
      <c r="C2313" s="1013" t="str">
        <f t="shared" si="417"/>
        <v xml:space="preserve"> </v>
      </c>
      <c r="D2313" s="1558">
        <f>4*D2289*0</f>
        <v>0</v>
      </c>
      <c r="E2313" s="1044">
        <f>VLOOKUP($B2313,DG!A:D,DG!$B$2,)</f>
        <v>0</v>
      </c>
      <c r="F2313" s="1056" t="str">
        <f>VLOOKUP($B2313,DG!A:D,DG!$C$2,)</f>
        <v>Boulon 12x60+ 2 long đền vuông D14-50x50x3/Zn</v>
      </c>
      <c r="G2313" s="1044" t="str">
        <f>VLOOKUP($B2313,DG!A:D,DG!$D$2,)</f>
        <v>bộ</v>
      </c>
      <c r="H2313" s="1824">
        <f t="shared" si="415"/>
        <v>0</v>
      </c>
      <c r="I2313" s="1824"/>
      <c r="J2313" s="1824"/>
      <c r="K2313" s="1824">
        <f>IFERROR(HLOOKUP(B2313,pp3p1m!$1:$3,2,0),0)</f>
        <v>0</v>
      </c>
      <c r="L2313" s="1824"/>
      <c r="M2313" s="1824"/>
      <c r="N2313" s="1824"/>
      <c r="O2313" s="1824"/>
      <c r="P2313" s="1823">
        <f t="shared" si="412"/>
        <v>0</v>
      </c>
      <c r="Q2313" s="1052"/>
      <c r="R2313" s="1052"/>
      <c r="S2313" s="1052"/>
      <c r="T2313" s="2035">
        <f t="shared" si="416"/>
        <v>0</v>
      </c>
    </row>
    <row r="2314" spans="1:20" ht="22.2" hidden="1" customHeight="1">
      <c r="A2314" s="1016" t="s">
        <v>1903</v>
      </c>
      <c r="B2314" s="1574" t="s">
        <v>1903</v>
      </c>
      <c r="C2314" s="1013" t="str">
        <f>IF(L2314&gt;0,"x","")</f>
        <v/>
      </c>
      <c r="D2314" s="1532">
        <f>IF(SUM(D2315:D2319)=0,0,1)</f>
        <v>0</v>
      </c>
      <c r="E2314" s="1046" t="s">
        <v>1901</v>
      </c>
      <c r="F2314" s="1392" t="s">
        <v>2579</v>
      </c>
      <c r="G2314" s="1046"/>
      <c r="H2314" s="1821"/>
      <c r="I2314" s="1822"/>
      <c r="J2314" s="1822"/>
      <c r="K2314" s="1822"/>
      <c r="L2314" s="1822">
        <f>SUM(L2315:L2319)</f>
        <v>0</v>
      </c>
      <c r="M2314" s="1822"/>
      <c r="N2314" s="1822"/>
      <c r="O2314" s="1822"/>
      <c r="P2314" s="1823">
        <f t="shared" si="412"/>
        <v>0</v>
      </c>
      <c r="Q2314" s="1047"/>
      <c r="R2314" s="1047"/>
      <c r="S2314" s="1047"/>
      <c r="T2314" s="2035">
        <f t="shared" si="416"/>
        <v>0</v>
      </c>
    </row>
    <row r="2315" spans="1:20" ht="22.2" hidden="1" customHeight="1">
      <c r="A2315" s="59"/>
      <c r="B2315" s="1569" t="s">
        <v>1655</v>
      </c>
      <c r="C2315" s="1013" t="str">
        <f t="shared" si="417"/>
        <v xml:space="preserve"> </v>
      </c>
      <c r="D2315" s="1548"/>
      <c r="E2315" s="1044" t="str">
        <f>VLOOKUP($B2315,DG!A:D,DG!$B$2,)</f>
        <v>02.3155</v>
      </c>
      <c r="F2315" s="1056" t="str">
        <f>VLOOKUP($B2315,DG!A:D,DG!$C$2,)</f>
        <v>FCO 27kV - 100A</v>
      </c>
      <c r="G2315" s="1044" t="str">
        <f>VLOOKUP($B2315,DG!A:D,DG!$D$2,)</f>
        <v>cái</v>
      </c>
      <c r="H2315" s="1823">
        <f>L2315</f>
        <v>0</v>
      </c>
      <c r="I2315" s="1823"/>
      <c r="J2315" s="1823"/>
      <c r="K2315" s="1823"/>
      <c r="L2315" s="1822">
        <f>IFERROR(HLOOKUP(chitiet!B2315,pp1p!$1:$3,3,0),0)</f>
        <v>0</v>
      </c>
      <c r="M2315" s="1823"/>
      <c r="N2315" s="1823"/>
      <c r="O2315" s="1823"/>
      <c r="P2315" s="1823">
        <f t="shared" si="412"/>
        <v>0</v>
      </c>
      <c r="Q2315" s="1053"/>
      <c r="R2315" s="1053"/>
      <c r="S2315" s="1053"/>
      <c r="T2315" s="2035">
        <f t="shared" si="416"/>
        <v>0</v>
      </c>
    </row>
    <row r="2316" spans="1:20" ht="22.2" hidden="1" customHeight="1">
      <c r="A2316" s="59"/>
      <c r="B2316" s="1584" t="s">
        <v>382</v>
      </c>
      <c r="C2316" s="1832" t="str">
        <f t="shared" si="417"/>
        <v xml:space="preserve"> </v>
      </c>
      <c r="D2316" s="1557"/>
      <c r="E2316" s="1044">
        <f>VLOOKUP($B2316,DG!A:D,DG!$B$2,)</f>
        <v>0</v>
      </c>
      <c r="F2316" s="1056" t="str">
        <f>VLOOKUP($B2316,DG!A:D,DG!$C$2,)</f>
        <v>Chụp đầu cực FCO (bộ 2 cái)</v>
      </c>
      <c r="G2316" s="1044" t="str">
        <f>VLOOKUP($B2316,DG!A:D,DG!$D$2,)</f>
        <v>bộ</v>
      </c>
      <c r="H2316" s="1823">
        <f t="shared" ref="H2316:H2319" si="418">L2316</f>
        <v>0</v>
      </c>
      <c r="I2316" s="1824"/>
      <c r="J2316" s="1824"/>
      <c r="K2316" s="1824">
        <f t="shared" ref="K2316" si="419">D2316</f>
        <v>0</v>
      </c>
      <c r="L2316" s="1822">
        <f>IFERROR(HLOOKUP(chitiet!B2316,pp1p!$1:$3,3,0),0)</f>
        <v>0</v>
      </c>
      <c r="M2316" s="1824"/>
      <c r="N2316" s="1824"/>
      <c r="O2316" s="1824"/>
      <c r="P2316" s="1823">
        <f t="shared" si="412"/>
        <v>0</v>
      </c>
      <c r="Q2316" s="1052"/>
      <c r="R2316" s="1052"/>
      <c r="S2316" s="1052"/>
      <c r="T2316" s="2035">
        <f t="shared" si="416"/>
        <v>0</v>
      </c>
    </row>
    <row r="2317" spans="1:20" ht="22.2" hidden="1" customHeight="1">
      <c r="A2317" s="59"/>
      <c r="B2317" s="1569" t="s">
        <v>368</v>
      </c>
      <c r="C2317" s="1013" t="str">
        <f t="shared" si="417"/>
        <v xml:space="preserve"> </v>
      </c>
      <c r="D2317" s="1548"/>
      <c r="E2317" s="1044">
        <f>VLOOKUP($B2317,DG!A:D,DG!$B$2,)</f>
        <v>0</v>
      </c>
      <c r="F2317" s="1056" t="str">
        <f>VLOOKUP($B2317,DG!A:D,DG!$C$2,)</f>
        <v>Dây chảy 8K</v>
      </c>
      <c r="G2317" s="1044" t="str">
        <f>VLOOKUP($B2317,DG!A:D,DG!$D$2,)</f>
        <v>Sợi</v>
      </c>
      <c r="H2317" s="1823">
        <f t="shared" si="418"/>
        <v>0</v>
      </c>
      <c r="I2317" s="1823"/>
      <c r="J2317" s="1823"/>
      <c r="K2317" s="1823"/>
      <c r="L2317" s="1822">
        <f>IFERROR(HLOOKUP(chitiet!B2317,pp1p!$1:$3,3,0),0)</f>
        <v>0</v>
      </c>
      <c r="M2317" s="1823"/>
      <c r="N2317" s="1823"/>
      <c r="O2317" s="1823"/>
      <c r="P2317" s="1823">
        <f t="shared" si="412"/>
        <v>0</v>
      </c>
      <c r="Q2317" s="1053"/>
      <c r="R2317" s="1053"/>
      <c r="S2317" s="1053"/>
      <c r="T2317" s="2035">
        <f t="shared" si="416"/>
        <v>0</v>
      </c>
    </row>
    <row r="2318" spans="1:20" ht="22.2" hidden="1" customHeight="1">
      <c r="A2318" s="1015"/>
      <c r="B2318" s="1569" t="s">
        <v>369</v>
      </c>
      <c r="C2318" s="1013" t="str">
        <f t="shared" ref="C2318" si="420">IF(OR(P2318&lt;&gt;0,H2318&lt;&gt;0),"x"," ")</f>
        <v xml:space="preserve"> </v>
      </c>
      <c r="D2318" s="1548"/>
      <c r="E2318" s="1044">
        <f>VLOOKUP($B2318,DG!A:D,DG!$B$2,)</f>
        <v>0</v>
      </c>
      <c r="F2318" s="1056" t="str">
        <f>VLOOKUP($B2318,DG!A:D,DG!$C$2,)</f>
        <v>Dây chảy 10K</v>
      </c>
      <c r="G2318" s="1044" t="str">
        <f>VLOOKUP($B2318,DG!A:D,DG!$D$2,)</f>
        <v>Sợi</v>
      </c>
      <c r="H2318" s="1823">
        <f t="shared" si="418"/>
        <v>0</v>
      </c>
      <c r="I2318" s="1823"/>
      <c r="J2318" s="1823"/>
      <c r="K2318" s="1823"/>
      <c r="L2318" s="1822">
        <f>IFERROR(HLOOKUP(chitiet!B2318,pp1p!$1:$3,3,0),0)</f>
        <v>0</v>
      </c>
      <c r="M2318" s="1823"/>
      <c r="N2318" s="1823"/>
      <c r="O2318" s="1823"/>
      <c r="P2318" s="1823">
        <f t="shared" si="412"/>
        <v>0</v>
      </c>
      <c r="Q2318" s="1053"/>
      <c r="R2318" s="1053"/>
      <c r="S2318" s="1053"/>
      <c r="T2318" s="2035">
        <f t="shared" si="416"/>
        <v>0</v>
      </c>
    </row>
    <row r="2319" spans="1:20" ht="22.2" hidden="1" customHeight="1">
      <c r="A2319" s="1015"/>
      <c r="B2319" s="1569" t="s">
        <v>4766</v>
      </c>
      <c r="C2319" s="1013" t="str">
        <f t="shared" si="417"/>
        <v xml:space="preserve"> </v>
      </c>
      <c r="D2319" s="1548"/>
      <c r="E2319" s="1044">
        <f>VLOOKUP($B2319,DG!A:D,DG!$B$2,)</f>
        <v>0</v>
      </c>
      <c r="F2319" s="1056" t="str">
        <f>VLOOKUP($B2319,DG!A:D,DG!$C$2,)</f>
        <v>Dây chảy 12K</v>
      </c>
      <c r="G2319" s="1044" t="str">
        <f>VLOOKUP($B2319,DG!A:D,DG!$D$2,)</f>
        <v>Sợi</v>
      </c>
      <c r="H2319" s="1823">
        <f t="shared" si="418"/>
        <v>0</v>
      </c>
      <c r="I2319" s="1823"/>
      <c r="J2319" s="1823"/>
      <c r="K2319" s="1823"/>
      <c r="L2319" s="1822">
        <f>IFERROR(HLOOKUP(chitiet!B2319,pp1p!$1:$3,3,0),0)</f>
        <v>0</v>
      </c>
      <c r="M2319" s="1823"/>
      <c r="N2319" s="1823"/>
      <c r="O2319" s="1823"/>
      <c r="P2319" s="1823">
        <f t="shared" si="412"/>
        <v>0</v>
      </c>
      <c r="Q2319" s="1053"/>
      <c r="R2319" s="1053"/>
      <c r="S2319" s="1053"/>
      <c r="T2319" s="2035">
        <f t="shared" si="416"/>
        <v>0</v>
      </c>
    </row>
    <row r="2320" spans="1:20" ht="22.2" hidden="1" customHeight="1">
      <c r="A2320" s="56" t="s">
        <v>947</v>
      </c>
      <c r="B2320" s="1574" t="s">
        <v>947</v>
      </c>
      <c r="C2320" s="1013" t="str">
        <f>IF(D2320&lt;&gt;0,"x"," ")</f>
        <v xml:space="preserve"> </v>
      </c>
      <c r="D2320" s="1532">
        <f>IF(SUM(D2321:D2324)=0,0,1)</f>
        <v>0</v>
      </c>
      <c r="E2320" s="1046" t="s">
        <v>1960</v>
      </c>
      <c r="F2320" s="1392" t="s">
        <v>2580</v>
      </c>
      <c r="G2320" s="1046"/>
      <c r="H2320" s="1821">
        <f>SUM(I2320:O2320)</f>
        <v>0</v>
      </c>
      <c r="I2320" s="1822"/>
      <c r="J2320" s="1822"/>
      <c r="K2320" s="1822"/>
      <c r="L2320" s="1822">
        <f>IFERROR(HLOOKUP(chitiet!B2320,pp1p!$1:$3,3,0),0)</f>
        <v>0</v>
      </c>
      <c r="M2320" s="1822"/>
      <c r="N2320" s="1822"/>
      <c r="O2320" s="1822"/>
      <c r="P2320" s="1823">
        <f t="shared" si="412"/>
        <v>0</v>
      </c>
      <c r="Q2320" s="1065"/>
      <c r="R2320" s="1065"/>
      <c r="S2320" s="1065"/>
      <c r="T2320" s="2035">
        <f t="shared" si="416"/>
        <v>0</v>
      </c>
    </row>
    <row r="2321" spans="1:20" ht="22.2" hidden="1" customHeight="1">
      <c r="A2321" s="59"/>
      <c r="B2321" s="1584" t="s">
        <v>943</v>
      </c>
      <c r="C2321" s="1013" t="str">
        <f t="shared" si="417"/>
        <v xml:space="preserve"> </v>
      </c>
      <c r="D2321" s="1548"/>
      <c r="E2321" s="1044" t="str">
        <f>VLOOKUP($B2321,DG!A:D,DG!$B$2,)</f>
        <v>05.5104</v>
      </c>
      <c r="F2321" s="1056" t="str">
        <f>VLOOKUP($B2321,DG!A:D,DG!$C$2,)</f>
        <v>Điện năng kế 3 pha 380V-5A</v>
      </c>
      <c r="G2321" s="1044" t="str">
        <f>VLOOKUP($B2321,DG!A:D,DG!$D$2,)</f>
        <v>cái</v>
      </c>
      <c r="H2321" s="1823">
        <f>D2321</f>
        <v>0</v>
      </c>
      <c r="I2321" s="1823"/>
      <c r="J2321" s="1823"/>
      <c r="K2321" s="1823"/>
      <c r="L2321" s="1823">
        <f>D2321</f>
        <v>0</v>
      </c>
      <c r="M2321" s="1823"/>
      <c r="N2321" s="1823"/>
      <c r="O2321" s="1823"/>
      <c r="P2321" s="1823">
        <f t="shared" si="412"/>
        <v>0</v>
      </c>
      <c r="Q2321" s="1053"/>
      <c r="R2321" s="1053"/>
      <c r="S2321" s="1053"/>
      <c r="T2321" s="2035">
        <f t="shared" si="416"/>
        <v>0</v>
      </c>
    </row>
    <row r="2322" spans="1:20" ht="22.2" hidden="1" customHeight="1">
      <c r="A2322" s="59"/>
      <c r="B2322" s="1584" t="s">
        <v>2048</v>
      </c>
      <c r="C2322" s="1013" t="str">
        <f t="shared" si="417"/>
        <v xml:space="preserve"> </v>
      </c>
      <c r="D2322" s="1548"/>
      <c r="E2322" s="1044">
        <f>VLOOKUP($B2322,DG!A:D,DG!$B$2,)</f>
        <v>0</v>
      </c>
      <c r="F2322" s="1056" t="str">
        <f>VLOOKUP($B2322,DG!A:D,DG!$C$2,)</f>
        <v>Biến dòng 600V - 100/5A</v>
      </c>
      <c r="G2322" s="1044" t="str">
        <f>VLOOKUP($B2322,DG!A:D,DG!$D$2,)</f>
        <v>cái</v>
      </c>
      <c r="H2322" s="1823">
        <f>D2322</f>
        <v>0</v>
      </c>
      <c r="I2322" s="1823"/>
      <c r="J2322" s="1823"/>
      <c r="K2322" s="1823"/>
      <c r="L2322" s="1823">
        <f>D2322</f>
        <v>0</v>
      </c>
      <c r="M2322" s="1823"/>
      <c r="N2322" s="1823"/>
      <c r="O2322" s="1823"/>
      <c r="P2322" s="1823">
        <f t="shared" si="412"/>
        <v>0</v>
      </c>
      <c r="Q2322" s="1053"/>
      <c r="R2322" s="1053"/>
      <c r="S2322" s="1053"/>
      <c r="T2322" s="2035">
        <f t="shared" si="416"/>
        <v>0</v>
      </c>
    </row>
    <row r="2323" spans="1:20" ht="22.2" hidden="1" customHeight="1">
      <c r="A2323" s="59"/>
      <c r="B2323" s="1584" t="s">
        <v>793</v>
      </c>
      <c r="C2323" s="1013" t="str">
        <f t="shared" si="417"/>
        <v xml:space="preserve"> </v>
      </c>
      <c r="D2323" s="1548"/>
      <c r="E2323" s="1044" t="str">
        <f>VLOOKUP($B2323,DG!A:D,DG!$B$2,)</f>
        <v>02.8401</v>
      </c>
      <c r="F2323" s="1056" t="str">
        <f>VLOOKUP($B2323,DG!A:D,DG!$C$2,)</f>
        <v>MCCB 3 cực 400V-100A - 30KA</v>
      </c>
      <c r="G2323" s="1044" t="str">
        <f>VLOOKUP($B2323,DG!A:D,DG!$D$2,)</f>
        <v>cái</v>
      </c>
      <c r="H2323" s="1823">
        <f>D2323</f>
        <v>0</v>
      </c>
      <c r="I2323" s="1823"/>
      <c r="J2323" s="1823"/>
      <c r="K2323" s="1823"/>
      <c r="L2323" s="1823">
        <f>D2323</f>
        <v>0</v>
      </c>
      <c r="M2323" s="1823"/>
      <c r="N2323" s="1823"/>
      <c r="O2323" s="1823"/>
      <c r="P2323" s="1823">
        <f t="shared" si="412"/>
        <v>0</v>
      </c>
      <c r="Q2323" s="1053"/>
      <c r="R2323" s="1053"/>
      <c r="S2323" s="1053"/>
      <c r="T2323" s="2035">
        <f t="shared" si="416"/>
        <v>0</v>
      </c>
    </row>
    <row r="2324" spans="1:20" ht="22.2" hidden="1" customHeight="1">
      <c r="A2324" s="59"/>
      <c r="B2324" s="1584" t="s">
        <v>1800</v>
      </c>
      <c r="C2324" s="1013" t="str">
        <f t="shared" si="417"/>
        <v xml:space="preserve"> </v>
      </c>
      <c r="D2324" s="1548"/>
      <c r="E2324" s="1044">
        <f>VLOOKUP($B2324,DG!A:D,DG!$B$2,)</f>
        <v>0</v>
      </c>
      <c r="F2324" s="1056" t="str">
        <f>VLOOKUP($B2324,DG!A:D,DG!$C$2,)</f>
        <v>Contactor 3P-50A</v>
      </c>
      <c r="G2324" s="1044" t="str">
        <f>VLOOKUP($B2324,DG!A:D,DG!$D$2,)</f>
        <v>cái</v>
      </c>
      <c r="H2324" s="1823">
        <f>D2324</f>
        <v>0</v>
      </c>
      <c r="I2324" s="1823"/>
      <c r="J2324" s="1823"/>
      <c r="K2324" s="1823"/>
      <c r="L2324" s="1823">
        <f>D2324</f>
        <v>0</v>
      </c>
      <c r="M2324" s="1823"/>
      <c r="N2324" s="1823"/>
      <c r="O2324" s="1823"/>
      <c r="P2324" s="1823">
        <f t="shared" si="412"/>
        <v>0</v>
      </c>
      <c r="Q2324" s="1053"/>
      <c r="R2324" s="1053"/>
      <c r="S2324" s="1053"/>
      <c r="T2324" s="2035">
        <f t="shared" si="416"/>
        <v>0</v>
      </c>
    </row>
    <row r="2325" spans="1:20" ht="22.2" hidden="1" customHeight="1">
      <c r="A2325" s="56" t="s">
        <v>1044</v>
      </c>
      <c r="B2325" s="1574" t="s">
        <v>1044</v>
      </c>
      <c r="C2325" s="1013" t="str">
        <f>IF(D2325&lt;&gt;0,"x"," ")</f>
        <v xml:space="preserve"> </v>
      </c>
      <c r="D2325" s="1562"/>
      <c r="E2325" s="1416" t="s">
        <v>400</v>
      </c>
      <c r="F2325" s="1501" t="s">
        <v>2581</v>
      </c>
      <c r="G2325" s="1416"/>
      <c r="H2325" s="1821">
        <f t="shared" ref="H2325:H2326" si="421">SUM(I2325:O2325)</f>
        <v>0</v>
      </c>
      <c r="I2325" s="1822"/>
      <c r="J2325" s="1822"/>
      <c r="K2325" s="1822"/>
      <c r="L2325" s="1822">
        <f>IFERROR(HLOOKUP(chitiet!B2325,pp1p!$1:$3,3,0),0)</f>
        <v>0</v>
      </c>
      <c r="M2325" s="1822"/>
      <c r="N2325" s="1822"/>
      <c r="O2325" s="1828"/>
      <c r="P2325" s="1823">
        <f t="shared" si="412"/>
        <v>0</v>
      </c>
      <c r="Q2325" s="1047"/>
      <c r="R2325" s="1047"/>
      <c r="S2325" s="1047"/>
      <c r="T2325" s="2035">
        <f t="shared" si="416"/>
        <v>0</v>
      </c>
    </row>
    <row r="2326" spans="1:20" ht="22.2" hidden="1" customHeight="1">
      <c r="A2326" s="56" t="s">
        <v>1045</v>
      </c>
      <c r="B2326" s="1574" t="s">
        <v>1045</v>
      </c>
      <c r="C2326" s="62" t="str">
        <f t="shared" si="417"/>
        <v xml:space="preserve"> </v>
      </c>
      <c r="D2326" s="1532"/>
      <c r="E2326" s="1046"/>
      <c r="F2326" s="1392" t="s">
        <v>2582</v>
      </c>
      <c r="G2326" s="1046" t="s">
        <v>2583</v>
      </c>
      <c r="H2326" s="1821">
        <f t="shared" si="421"/>
        <v>0</v>
      </c>
      <c r="I2326" s="1822"/>
      <c r="J2326" s="1822"/>
      <c r="K2326" s="1822"/>
      <c r="L2326" s="1822">
        <f>IFERROR(HLOOKUP(chitiet!B2326,pp1p!$1:$3,3,0),0)</f>
        <v>0</v>
      </c>
      <c r="M2326" s="1822"/>
      <c r="N2326" s="1822"/>
      <c r="O2326" s="1822"/>
      <c r="P2326" s="1823">
        <f t="shared" si="412"/>
        <v>0</v>
      </c>
      <c r="Q2326" s="1047"/>
      <c r="R2326" s="1047"/>
      <c r="S2326" s="1047"/>
      <c r="T2326" s="2035">
        <f t="shared" si="416"/>
        <v>0</v>
      </c>
    </row>
    <row r="2327" spans="1:20" ht="22.2" hidden="1" customHeight="1">
      <c r="A2327" s="63"/>
      <c r="B2327" s="1585" t="s">
        <v>2012</v>
      </c>
      <c r="C2327" s="64" t="str">
        <f t="shared" si="417"/>
        <v xml:space="preserve"> </v>
      </c>
      <c r="D2327" s="1539">
        <v>3.2</v>
      </c>
      <c r="E2327" s="1048"/>
      <c r="F2327" s="1056" t="str">
        <f>VLOOKUP($B2327,DG!A:D,DG!$C$2,)</f>
        <v>Sắt Ø10</v>
      </c>
      <c r="G2327" s="1044" t="str">
        <f>VLOOKUP($B2327,DG!A:D,DG!$D$2,)</f>
        <v>kg</v>
      </c>
      <c r="H2327" s="1824">
        <f t="shared" ref="H2327:H2339" si="422">IF($H$2325&lt;&gt;0,D2327,)</f>
        <v>0</v>
      </c>
      <c r="I2327" s="1824">
        <f t="shared" ref="I2327:I2336" si="423">$I$2325*D2327</f>
        <v>0</v>
      </c>
      <c r="J2327" s="1824">
        <f t="shared" ref="J2327:J2336" si="424">$J$2325*D2327</f>
        <v>0</v>
      </c>
      <c r="K2327" s="1824">
        <f t="shared" ref="K2327:K2336" si="425">$K$2325*D2327</f>
        <v>0</v>
      </c>
      <c r="L2327" s="1824">
        <f t="shared" ref="L2327:L2362" si="426">$K$2325*H2327</f>
        <v>0</v>
      </c>
      <c r="M2327" s="1824"/>
      <c r="N2327" s="1824"/>
      <c r="O2327" s="1824"/>
      <c r="P2327" s="1823">
        <f t="shared" si="412"/>
        <v>0</v>
      </c>
      <c r="Q2327" s="1052"/>
      <c r="R2327" s="1052"/>
      <c r="S2327" s="1052"/>
      <c r="T2327" s="2035">
        <f t="shared" si="416"/>
        <v>0</v>
      </c>
    </row>
    <row r="2328" spans="1:20" ht="22.2" hidden="1" customHeight="1">
      <c r="A2328" s="63"/>
      <c r="B2328" s="1585" t="s">
        <v>1519</v>
      </c>
      <c r="C2328" s="64" t="str">
        <f t="shared" si="417"/>
        <v xml:space="preserve"> </v>
      </c>
      <c r="D2328" s="1563"/>
      <c r="E2328" s="1048"/>
      <c r="F2328" s="1394" t="str">
        <f>VLOOKUP($B2328,DG!A:D,DG!$C$2,)</f>
        <v>Sắt Ø12</v>
      </c>
      <c r="G2328" s="1044" t="str">
        <f>VLOOKUP($B2328,DG!A:D,DG!$D$2,)</f>
        <v>kg</v>
      </c>
      <c r="H2328" s="1824">
        <f t="shared" si="422"/>
        <v>0</v>
      </c>
      <c r="I2328" s="1824">
        <f t="shared" si="423"/>
        <v>0</v>
      </c>
      <c r="J2328" s="1824">
        <f t="shared" si="424"/>
        <v>0</v>
      </c>
      <c r="K2328" s="1824">
        <f t="shared" si="425"/>
        <v>0</v>
      </c>
      <c r="L2328" s="1824">
        <f t="shared" si="426"/>
        <v>0</v>
      </c>
      <c r="M2328" s="1824"/>
      <c r="N2328" s="1824"/>
      <c r="O2328" s="1824"/>
      <c r="P2328" s="1823">
        <f t="shared" si="412"/>
        <v>0</v>
      </c>
      <c r="Q2328" s="1052"/>
      <c r="R2328" s="1052"/>
      <c r="S2328" s="1052"/>
      <c r="T2328" s="2035">
        <f t="shared" si="416"/>
        <v>0</v>
      </c>
    </row>
    <row r="2329" spans="1:20" ht="22.2" hidden="1" customHeight="1">
      <c r="A2329" s="63"/>
      <c r="B2329" s="1585" t="s">
        <v>52</v>
      </c>
      <c r="C2329" s="64" t="str">
        <f t="shared" si="417"/>
        <v xml:space="preserve"> </v>
      </c>
      <c r="D2329" s="1563">
        <v>2.92</v>
      </c>
      <c r="E2329" s="1048"/>
      <c r="F2329" s="1056" t="str">
        <f>VLOOKUP($B2329,DG!A:D,DG!$C$2,)</f>
        <v>Thép tấm 6mm</v>
      </c>
      <c r="G2329" s="1044" t="str">
        <f>VLOOKUP($B2329,DG!A:D,DG!$D$2,)</f>
        <v>kg</v>
      </c>
      <c r="H2329" s="1824">
        <f t="shared" si="422"/>
        <v>0</v>
      </c>
      <c r="I2329" s="1824">
        <f t="shared" si="423"/>
        <v>0</v>
      </c>
      <c r="J2329" s="1824">
        <f t="shared" si="424"/>
        <v>0</v>
      </c>
      <c r="K2329" s="1824">
        <f t="shared" si="425"/>
        <v>0</v>
      </c>
      <c r="L2329" s="1824">
        <f t="shared" si="426"/>
        <v>0</v>
      </c>
      <c r="M2329" s="1824"/>
      <c r="N2329" s="1824"/>
      <c r="O2329" s="1824"/>
      <c r="P2329" s="1823">
        <f t="shared" si="412"/>
        <v>0</v>
      </c>
      <c r="Q2329" s="1052"/>
      <c r="R2329" s="1052"/>
      <c r="S2329" s="1052"/>
      <c r="T2329" s="2035">
        <f t="shared" si="416"/>
        <v>0</v>
      </c>
    </row>
    <row r="2330" spans="1:20" ht="22.2" hidden="1" customHeight="1">
      <c r="A2330" s="63"/>
      <c r="B2330" s="1585" t="s">
        <v>701</v>
      </c>
      <c r="C2330" s="64" t="str">
        <f t="shared" si="417"/>
        <v xml:space="preserve"> </v>
      </c>
      <c r="D2330" s="1563">
        <v>4</v>
      </c>
      <c r="E2330" s="1048"/>
      <c r="F2330" s="1056" t="str">
        <f>VLOOKUP($B2330,DG!A:D,DG!$C$2,)</f>
        <v>Boulon 12x50+ 2 long đền vuông D14-50x50x3/Zn</v>
      </c>
      <c r="G2330" s="1044" t="str">
        <f>VLOOKUP($B2330,DG!A:D,DG!$D$2,)</f>
        <v>bộ</v>
      </c>
      <c r="H2330" s="1824">
        <f t="shared" si="422"/>
        <v>0</v>
      </c>
      <c r="I2330" s="1824">
        <f t="shared" si="423"/>
        <v>0</v>
      </c>
      <c r="J2330" s="1824">
        <f t="shared" si="424"/>
        <v>0</v>
      </c>
      <c r="K2330" s="1824">
        <f t="shared" si="425"/>
        <v>0</v>
      </c>
      <c r="L2330" s="1824">
        <f t="shared" si="426"/>
        <v>0</v>
      </c>
      <c r="M2330" s="1824"/>
      <c r="N2330" s="1824"/>
      <c r="O2330" s="1824"/>
      <c r="P2330" s="1823">
        <f t="shared" si="412"/>
        <v>0</v>
      </c>
      <c r="Q2330" s="1052"/>
      <c r="R2330" s="1052"/>
      <c r="S2330" s="1052"/>
      <c r="T2330" s="2035">
        <f t="shared" si="416"/>
        <v>0</v>
      </c>
    </row>
    <row r="2331" spans="1:20" ht="22.2" hidden="1" customHeight="1">
      <c r="A2331" s="63"/>
      <c r="B2331" s="1585" t="s">
        <v>702</v>
      </c>
      <c r="C2331" s="64" t="str">
        <f t="shared" si="417"/>
        <v xml:space="preserve"> </v>
      </c>
      <c r="D2331" s="1563">
        <v>2.5</v>
      </c>
      <c r="E2331" s="1048"/>
      <c r="F2331" s="1056" t="str">
        <f>VLOOKUP($B2331,DG!A:D,DG!$C$2,)</f>
        <v>Que hàn điện</v>
      </c>
      <c r="G2331" s="1044" t="str">
        <f>VLOOKUP($B2331,DG!A:D,DG!$D$2,)</f>
        <v>kg</v>
      </c>
      <c r="H2331" s="1824">
        <f t="shared" si="422"/>
        <v>0</v>
      </c>
      <c r="I2331" s="1824">
        <f t="shared" si="423"/>
        <v>0</v>
      </c>
      <c r="J2331" s="1824">
        <f t="shared" si="424"/>
        <v>0</v>
      </c>
      <c r="K2331" s="1824">
        <f t="shared" si="425"/>
        <v>0</v>
      </c>
      <c r="L2331" s="1824">
        <f t="shared" si="426"/>
        <v>0</v>
      </c>
      <c r="M2331" s="1824"/>
      <c r="N2331" s="1824"/>
      <c r="O2331" s="1824"/>
      <c r="P2331" s="1823">
        <f t="shared" si="412"/>
        <v>0</v>
      </c>
      <c r="Q2331" s="1052"/>
      <c r="R2331" s="1052"/>
      <c r="S2331" s="1052"/>
      <c r="T2331" s="2035">
        <f t="shared" si="416"/>
        <v>0</v>
      </c>
    </row>
    <row r="2332" spans="1:20" ht="22.2" hidden="1" customHeight="1">
      <c r="A2332" s="63"/>
      <c r="B2332" s="1585" t="s">
        <v>703</v>
      </c>
      <c r="C2332" s="64" t="str">
        <f t="shared" si="417"/>
        <v xml:space="preserve"> </v>
      </c>
      <c r="D2332" s="1563">
        <v>1.5</v>
      </c>
      <c r="E2332" s="1048"/>
      <c r="F2332" s="1056" t="str">
        <f>VLOOKUP($B2332,DG!A:D,DG!$C$2,)</f>
        <v>Sơn chống rỉ</v>
      </c>
      <c r="G2332" s="1044" t="str">
        <f>VLOOKUP($B2332,DG!A:D,DG!$D$2,)</f>
        <v>kg</v>
      </c>
      <c r="H2332" s="1824">
        <f t="shared" si="422"/>
        <v>0</v>
      </c>
      <c r="I2332" s="1824">
        <f t="shared" si="423"/>
        <v>0</v>
      </c>
      <c r="J2332" s="1824">
        <f t="shared" si="424"/>
        <v>0</v>
      </c>
      <c r="K2332" s="1824">
        <f t="shared" si="425"/>
        <v>0</v>
      </c>
      <c r="L2332" s="1824">
        <f t="shared" si="426"/>
        <v>0</v>
      </c>
      <c r="M2332" s="1824"/>
      <c r="N2332" s="1824"/>
      <c r="O2332" s="1824"/>
      <c r="P2332" s="1823">
        <f t="shared" si="412"/>
        <v>0</v>
      </c>
      <c r="Q2332" s="1052"/>
      <c r="R2332" s="1052"/>
      <c r="S2332" s="1052"/>
      <c r="T2332" s="2035">
        <f t="shared" si="416"/>
        <v>0</v>
      </c>
    </row>
    <row r="2333" spans="1:20" ht="22.2" hidden="1" customHeight="1">
      <c r="A2333" s="63"/>
      <c r="B2333" s="1585" t="s">
        <v>704</v>
      </c>
      <c r="C2333" s="64" t="str">
        <f t="shared" si="417"/>
        <v xml:space="preserve"> </v>
      </c>
      <c r="D2333" s="1563">
        <v>1</v>
      </c>
      <c r="E2333" s="1048"/>
      <c r="F2333" s="1056" t="str">
        <f>VLOOKUP($B2333,DG!A:D,DG!$C$2,)</f>
        <v>Sơn màu</v>
      </c>
      <c r="G2333" s="1044" t="str">
        <f>VLOOKUP($B2333,DG!A:D,DG!$D$2,)</f>
        <v>kg</v>
      </c>
      <c r="H2333" s="1824">
        <f t="shared" si="422"/>
        <v>0</v>
      </c>
      <c r="I2333" s="1824">
        <f t="shared" si="423"/>
        <v>0</v>
      </c>
      <c r="J2333" s="1824">
        <f t="shared" si="424"/>
        <v>0</v>
      </c>
      <c r="K2333" s="1824">
        <f t="shared" si="425"/>
        <v>0</v>
      </c>
      <c r="L2333" s="1824">
        <f t="shared" si="426"/>
        <v>0</v>
      </c>
      <c r="M2333" s="1824"/>
      <c r="N2333" s="1824"/>
      <c r="O2333" s="1824"/>
      <c r="P2333" s="1823">
        <f t="shared" si="412"/>
        <v>0</v>
      </c>
      <c r="Q2333" s="1052"/>
      <c r="R2333" s="1052"/>
      <c r="S2333" s="1052"/>
      <c r="T2333" s="2035">
        <f t="shared" si="416"/>
        <v>0</v>
      </c>
    </row>
    <row r="2334" spans="1:20" ht="22.2" hidden="1" customHeight="1">
      <c r="A2334" s="63"/>
      <c r="B2334" s="1585" t="s">
        <v>438</v>
      </c>
      <c r="C2334" s="64" t="str">
        <f t="shared" si="417"/>
        <v xml:space="preserve"> </v>
      </c>
      <c r="D2334" s="1563">
        <v>0.9</v>
      </c>
      <c r="E2334" s="1048"/>
      <c r="F2334" s="1056" t="str">
        <f>VLOOKUP($B2334,DG!A:D,DG!$C$2,)</f>
        <v>Ô xy gió</v>
      </c>
      <c r="G2334" s="1044" t="str">
        <f>VLOOKUP($B2334,DG!A:D,DG!$D$2,)</f>
        <v>m3</v>
      </c>
      <c r="H2334" s="1824">
        <f t="shared" si="422"/>
        <v>0</v>
      </c>
      <c r="I2334" s="1824">
        <f t="shared" si="423"/>
        <v>0</v>
      </c>
      <c r="J2334" s="1824">
        <f t="shared" si="424"/>
        <v>0</v>
      </c>
      <c r="K2334" s="1824">
        <f t="shared" si="425"/>
        <v>0</v>
      </c>
      <c r="L2334" s="1824">
        <f t="shared" si="426"/>
        <v>0</v>
      </c>
      <c r="M2334" s="1824"/>
      <c r="N2334" s="1824"/>
      <c r="O2334" s="1824"/>
      <c r="P2334" s="1823">
        <f t="shared" si="412"/>
        <v>0</v>
      </c>
      <c r="Q2334" s="1052"/>
      <c r="R2334" s="1052"/>
      <c r="S2334" s="1052"/>
      <c r="T2334" s="2035">
        <f t="shared" si="416"/>
        <v>0</v>
      </c>
    </row>
    <row r="2335" spans="1:20" ht="22.2" hidden="1" customHeight="1">
      <c r="A2335" s="63"/>
      <c r="B2335" s="1585" t="s">
        <v>1567</v>
      </c>
      <c r="C2335" s="64" t="str">
        <f t="shared" si="417"/>
        <v xml:space="preserve"> </v>
      </c>
      <c r="D2335" s="1563">
        <v>0.3</v>
      </c>
      <c r="E2335" s="1048"/>
      <c r="F2335" s="1056" t="str">
        <f>VLOOKUP($B2335,DG!A:D,DG!$C$2,)</f>
        <v>Hơi Axetylen</v>
      </c>
      <c r="G2335" s="1044" t="str">
        <f>VLOOKUP($B2335,DG!A:D,DG!$D$2,)</f>
        <v>m3</v>
      </c>
      <c r="H2335" s="1824">
        <f t="shared" si="422"/>
        <v>0</v>
      </c>
      <c r="I2335" s="1824">
        <f t="shared" si="423"/>
        <v>0</v>
      </c>
      <c r="J2335" s="1824">
        <f t="shared" si="424"/>
        <v>0</v>
      </c>
      <c r="K2335" s="1824">
        <f t="shared" si="425"/>
        <v>0</v>
      </c>
      <c r="L2335" s="1824">
        <f>$K$2325*H2335</f>
        <v>0</v>
      </c>
      <c r="M2335" s="1824"/>
      <c r="N2335" s="1824"/>
      <c r="O2335" s="1824"/>
      <c r="P2335" s="1823">
        <f t="shared" si="412"/>
        <v>0</v>
      </c>
      <c r="Q2335" s="1052"/>
      <c r="R2335" s="1052"/>
      <c r="S2335" s="1052"/>
      <c r="T2335" s="2035">
        <f t="shared" si="416"/>
        <v>0</v>
      </c>
    </row>
    <row r="2336" spans="1:20" ht="22.2" hidden="1" customHeight="1">
      <c r="A2336" s="63"/>
      <c r="B2336" s="1585" t="s">
        <v>869</v>
      </c>
      <c r="C2336" s="64" t="str">
        <f t="shared" si="417"/>
        <v xml:space="preserve"> </v>
      </c>
      <c r="D2336" s="1563">
        <v>6</v>
      </c>
      <c r="E2336" s="1048"/>
      <c r="F2336" s="1056" t="str">
        <f>VLOOKUP($B2336,DG!A:D,DG!$C$2,)</f>
        <v>Cọ sơn</v>
      </c>
      <c r="G2336" s="1044" t="str">
        <f>VLOOKUP($B2336,DG!A:D,DG!$D$2,)</f>
        <v>cái</v>
      </c>
      <c r="H2336" s="1824">
        <f t="shared" si="422"/>
        <v>0</v>
      </c>
      <c r="I2336" s="1824">
        <f t="shared" si="423"/>
        <v>0</v>
      </c>
      <c r="J2336" s="1824">
        <f t="shared" si="424"/>
        <v>0</v>
      </c>
      <c r="K2336" s="1824">
        <f t="shared" si="425"/>
        <v>0</v>
      </c>
      <c r="L2336" s="1824">
        <f>$K$2325*H2336</f>
        <v>0</v>
      </c>
      <c r="M2336" s="1824"/>
      <c r="N2336" s="1824"/>
      <c r="O2336" s="1824"/>
      <c r="P2336" s="1823">
        <f t="shared" si="412"/>
        <v>0</v>
      </c>
      <c r="Q2336" s="1052"/>
      <c r="R2336" s="1052"/>
      <c r="S2336" s="1052"/>
      <c r="T2336" s="2035">
        <f t="shared" si="416"/>
        <v>0</v>
      </c>
    </row>
    <row r="2337" spans="1:20" ht="22.2" hidden="1" customHeight="1">
      <c r="A2337" s="63"/>
      <c r="B2337" s="1585" t="s">
        <v>870</v>
      </c>
      <c r="C2337" s="64" t="str">
        <f t="shared" si="417"/>
        <v xml:space="preserve"> </v>
      </c>
      <c r="D2337" s="1563">
        <v>0.19</v>
      </c>
      <c r="E2337" s="1044" t="str">
        <f>VLOOKUP($B2337,DG!A:D,DG!$B$2,)</f>
        <v>NB.1110</v>
      </c>
      <c r="F2337" s="1049" t="str">
        <f>VLOOKUP($B2337,DG!A:D,DG!$C$2,)</f>
        <v>Gia công và lắp dựng cột báo hiệu cao 9m</v>
      </c>
      <c r="G2337" s="1044" t="str">
        <f>VLOOKUP($B2337,DG!A:D,DG!$D$2,)</f>
        <v>Tấn</v>
      </c>
      <c r="H2337" s="1824">
        <f t="shared" si="422"/>
        <v>0</v>
      </c>
      <c r="I2337" s="1824"/>
      <c r="J2337" s="1824"/>
      <c r="K2337" s="1824"/>
      <c r="L2337" s="1824"/>
      <c r="M2337" s="1824"/>
      <c r="N2337" s="1824"/>
      <c r="O2337" s="1824"/>
      <c r="P2337" s="1823">
        <f t="shared" si="412"/>
        <v>0</v>
      </c>
      <c r="Q2337" s="1052"/>
      <c r="R2337" s="1052"/>
      <c r="S2337" s="1052"/>
      <c r="T2337" s="2035">
        <f t="shared" si="416"/>
        <v>0</v>
      </c>
    </row>
    <row r="2338" spans="1:20" ht="22.2" hidden="1" customHeight="1">
      <c r="A2338" s="63"/>
      <c r="B2338" s="1585" t="s">
        <v>1643</v>
      </c>
      <c r="C2338" s="64" t="str">
        <f t="shared" si="417"/>
        <v xml:space="preserve"> </v>
      </c>
      <c r="D2338" s="1563">
        <v>3.98</v>
      </c>
      <c r="E2338" s="1044" t="str">
        <f>VLOOKUP($B2338,DG!A:D,DG!$B$2,)</f>
        <v>S2.118</v>
      </c>
      <c r="F2338" s="1056" t="str">
        <f>VLOOKUP($B2338,DG!A:D,DG!$C$2,)</f>
        <v>Sơn cột báo hiệu</v>
      </c>
      <c r="G2338" s="1044" t="str">
        <f>VLOOKUP($B2338,DG!A:D,DG!$D$2,)</f>
        <v>m2</v>
      </c>
      <c r="H2338" s="1824">
        <f t="shared" si="422"/>
        <v>0</v>
      </c>
      <c r="I2338" s="1824">
        <f>$I$2325*D2338</f>
        <v>0</v>
      </c>
      <c r="J2338" s="1824">
        <f>$J$2325*D2338</f>
        <v>0</v>
      </c>
      <c r="K2338" s="1824">
        <f>$K$2325*D2338</f>
        <v>0</v>
      </c>
      <c r="L2338" s="1824">
        <f t="shared" si="426"/>
        <v>0</v>
      </c>
      <c r="M2338" s="1824"/>
      <c r="N2338" s="1824"/>
      <c r="O2338" s="1824"/>
      <c r="P2338" s="1823">
        <f t="shared" si="412"/>
        <v>0</v>
      </c>
      <c r="Q2338" s="1052"/>
      <c r="R2338" s="1052"/>
      <c r="S2338" s="1052"/>
      <c r="T2338" s="2035">
        <f t="shared" si="416"/>
        <v>0</v>
      </c>
    </row>
    <row r="2339" spans="1:20" ht="22.2" hidden="1" customHeight="1">
      <c r="A2339" s="63"/>
      <c r="B2339" s="1585" t="s">
        <v>1644</v>
      </c>
      <c r="C2339" s="64" t="str">
        <f t="shared" si="417"/>
        <v xml:space="preserve"> </v>
      </c>
      <c r="D2339" s="1563">
        <v>0.19</v>
      </c>
      <c r="E2339" s="1044" t="str">
        <f>VLOOKUP($B2339,DG!A:D,DG!$B$2,)</f>
        <v>021351</v>
      </c>
      <c r="F2339" s="1056" t="str">
        <f>VLOOKUP($B2339,DG!A:D,DG!$C$2,)</f>
        <v>Vận Chuyển thép</v>
      </c>
      <c r="G2339" s="1044" t="str">
        <f>VLOOKUP($B2339,DG!A:D,DG!$D$2,)</f>
        <v>Tấn</v>
      </c>
      <c r="H2339" s="1824">
        <f t="shared" si="422"/>
        <v>0</v>
      </c>
      <c r="I2339" s="1824"/>
      <c r="J2339" s="1824"/>
      <c r="K2339" s="1824"/>
      <c r="L2339" s="1824"/>
      <c r="M2339" s="1824"/>
      <c r="N2339" s="1824"/>
      <c r="O2339" s="1824"/>
      <c r="P2339" s="1823">
        <f t="shared" si="412"/>
        <v>0</v>
      </c>
      <c r="Q2339" s="1052"/>
      <c r="R2339" s="1052"/>
      <c r="S2339" s="1052"/>
      <c r="T2339" s="2035">
        <f t="shared" si="416"/>
        <v>0</v>
      </c>
    </row>
    <row r="2340" spans="1:20" ht="22.2" hidden="1" customHeight="1">
      <c r="A2340" s="56" t="s">
        <v>1046</v>
      </c>
      <c r="B2340" s="1574" t="s">
        <v>1046</v>
      </c>
      <c r="C2340" s="62" t="str">
        <f t="shared" si="417"/>
        <v xml:space="preserve"> </v>
      </c>
      <c r="D2340" s="1532"/>
      <c r="E2340" s="1046"/>
      <c r="F2340" s="1392" t="s">
        <v>2584</v>
      </c>
      <c r="G2340" s="1046" t="s">
        <v>2585</v>
      </c>
      <c r="H2340" s="1821">
        <f>SUM(I2340:O2340)</f>
        <v>0</v>
      </c>
      <c r="I2340" s="1822"/>
      <c r="J2340" s="1822"/>
      <c r="K2340" s="1822"/>
      <c r="L2340" s="1822">
        <f>IFERROR(HLOOKUP(chitiet!B2340,pp1p!$1:$3,3,0),0)</f>
        <v>0</v>
      </c>
      <c r="M2340" s="1822"/>
      <c r="N2340" s="1822"/>
      <c r="O2340" s="1822"/>
      <c r="P2340" s="1823">
        <f t="shared" si="412"/>
        <v>0</v>
      </c>
      <c r="Q2340" s="1047"/>
      <c r="R2340" s="1047"/>
      <c r="S2340" s="1047"/>
      <c r="T2340" s="2035">
        <f t="shared" si="416"/>
        <v>0</v>
      </c>
    </row>
    <row r="2341" spans="1:20" ht="22.2" hidden="1" customHeight="1">
      <c r="A2341" s="63"/>
      <c r="B2341" s="1585" t="s">
        <v>1518</v>
      </c>
      <c r="C2341" s="64" t="str">
        <f t="shared" si="417"/>
        <v xml:space="preserve"> </v>
      </c>
      <c r="D2341" s="1563">
        <v>26.3</v>
      </c>
      <c r="E2341" s="1048"/>
      <c r="F2341" s="1056" t="str">
        <f>VLOOKUP($B2341,DG!A:D,DG!$C$2,)</f>
        <v>Sắt góc L45 x45 x 4</v>
      </c>
      <c r="G2341" s="1044" t="str">
        <f>VLOOKUP($B2341,DG!A:D,DG!$D$2,)</f>
        <v>kg</v>
      </c>
      <c r="H2341" s="1824">
        <f t="shared" ref="H2341:H2353" si="427">IF($H$2325&lt;&gt;0,D2341,)</f>
        <v>0</v>
      </c>
      <c r="I2341" s="1824">
        <f t="shared" ref="I2341:I2350" si="428">$I$2325*D2341</f>
        <v>0</v>
      </c>
      <c r="J2341" s="1824">
        <f t="shared" ref="J2341:J2350" si="429">$J$2325*D2341</f>
        <v>0</v>
      </c>
      <c r="K2341" s="1824">
        <f t="shared" ref="K2341:K2350" si="430">$K$2325*D2341</f>
        <v>0</v>
      </c>
      <c r="L2341" s="1824">
        <f t="shared" si="426"/>
        <v>0</v>
      </c>
      <c r="M2341" s="1824"/>
      <c r="N2341" s="1824"/>
      <c r="O2341" s="1824"/>
      <c r="P2341" s="1823">
        <f t="shared" si="412"/>
        <v>0</v>
      </c>
      <c r="Q2341" s="1052"/>
      <c r="R2341" s="1052"/>
      <c r="S2341" s="1052"/>
      <c r="T2341" s="2035">
        <f t="shared" si="416"/>
        <v>0</v>
      </c>
    </row>
    <row r="2342" spans="1:20" ht="22.2" hidden="1" customHeight="1">
      <c r="A2342" s="63"/>
      <c r="B2342" s="1585" t="s">
        <v>842</v>
      </c>
      <c r="C2342" s="64" t="str">
        <f t="shared" si="417"/>
        <v xml:space="preserve"> </v>
      </c>
      <c r="D2342" s="1563">
        <v>3.14</v>
      </c>
      <c r="E2342" s="1048"/>
      <c r="F2342" s="1056" t="str">
        <f>VLOOKUP($B2342,DG!A:D,DG!$C$2,)</f>
        <v>Thép tấm 4mm</v>
      </c>
      <c r="G2342" s="1044" t="str">
        <f>VLOOKUP($B2342,DG!A:D,DG!$D$2,)</f>
        <v>kg</v>
      </c>
      <c r="H2342" s="1824">
        <f t="shared" si="427"/>
        <v>0</v>
      </c>
      <c r="I2342" s="1824">
        <f t="shared" si="428"/>
        <v>0</v>
      </c>
      <c r="J2342" s="1824">
        <f t="shared" si="429"/>
        <v>0</v>
      </c>
      <c r="K2342" s="1824">
        <f t="shared" si="430"/>
        <v>0</v>
      </c>
      <c r="L2342" s="1824">
        <f t="shared" si="426"/>
        <v>0</v>
      </c>
      <c r="M2342" s="1824"/>
      <c r="N2342" s="1824"/>
      <c r="O2342" s="1824"/>
      <c r="P2342" s="1823">
        <f t="shared" si="412"/>
        <v>0</v>
      </c>
      <c r="Q2342" s="1052"/>
      <c r="R2342" s="1052"/>
      <c r="S2342" s="1052"/>
      <c r="T2342" s="2035">
        <f t="shared" si="416"/>
        <v>0</v>
      </c>
    </row>
    <row r="2343" spans="1:20" ht="22.2" hidden="1" customHeight="1">
      <c r="A2343" s="63"/>
      <c r="B2343" s="1585" t="s">
        <v>310</v>
      </c>
      <c r="C2343" s="64" t="str">
        <f t="shared" si="417"/>
        <v xml:space="preserve"> </v>
      </c>
      <c r="D2343" s="1563">
        <v>45.22</v>
      </c>
      <c r="E2343" s="1048"/>
      <c r="F2343" s="1056" t="str">
        <f>VLOOKUP($B2343,DG!A:D,DG!$C$2,)</f>
        <v>Thép tấm 2mm</v>
      </c>
      <c r="G2343" s="1044" t="str">
        <f>VLOOKUP($B2343,DG!A:D,DG!$D$2,)</f>
        <v>kg</v>
      </c>
      <c r="H2343" s="1824">
        <f t="shared" si="427"/>
        <v>0</v>
      </c>
      <c r="I2343" s="1824">
        <f t="shared" si="428"/>
        <v>0</v>
      </c>
      <c r="J2343" s="1824">
        <f t="shared" si="429"/>
        <v>0</v>
      </c>
      <c r="K2343" s="1824">
        <f t="shared" si="430"/>
        <v>0</v>
      </c>
      <c r="L2343" s="1824">
        <f t="shared" si="426"/>
        <v>0</v>
      </c>
      <c r="M2343" s="1824"/>
      <c r="N2343" s="1824"/>
      <c r="O2343" s="1824"/>
      <c r="P2343" s="1823">
        <f t="shared" si="412"/>
        <v>0</v>
      </c>
      <c r="Q2343" s="1052"/>
      <c r="R2343" s="1052"/>
      <c r="S2343" s="1052"/>
      <c r="T2343" s="2035">
        <f t="shared" si="416"/>
        <v>0</v>
      </c>
    </row>
    <row r="2344" spans="1:20" ht="22.2" hidden="1" customHeight="1">
      <c r="A2344" s="63"/>
      <c r="B2344" s="1585" t="s">
        <v>701</v>
      </c>
      <c r="C2344" s="64" t="str">
        <f t="shared" si="417"/>
        <v xml:space="preserve"> </v>
      </c>
      <c r="D2344" s="1563">
        <v>2</v>
      </c>
      <c r="E2344" s="1048"/>
      <c r="F2344" s="1056" t="str">
        <f>VLOOKUP($B2344,DG!A:D,DG!$C$2,)</f>
        <v>Boulon 12x50+ 2 long đền vuông D14-50x50x3/Zn</v>
      </c>
      <c r="G2344" s="1044" t="str">
        <f>VLOOKUP($B2344,DG!A:D,DG!$D$2,)</f>
        <v>bộ</v>
      </c>
      <c r="H2344" s="1824">
        <f t="shared" si="427"/>
        <v>0</v>
      </c>
      <c r="I2344" s="1824">
        <f t="shared" si="428"/>
        <v>0</v>
      </c>
      <c r="J2344" s="1824">
        <f t="shared" si="429"/>
        <v>0</v>
      </c>
      <c r="K2344" s="1824">
        <f t="shared" si="430"/>
        <v>0</v>
      </c>
      <c r="L2344" s="1824">
        <f>$K$2325*H2344</f>
        <v>0</v>
      </c>
      <c r="M2344" s="1824"/>
      <c r="N2344" s="1824"/>
      <c r="O2344" s="1824"/>
      <c r="P2344" s="1823">
        <f t="shared" si="412"/>
        <v>0</v>
      </c>
      <c r="Q2344" s="1052"/>
      <c r="R2344" s="1052"/>
      <c r="S2344" s="1052"/>
      <c r="T2344" s="2035">
        <f t="shared" si="416"/>
        <v>0</v>
      </c>
    </row>
    <row r="2345" spans="1:20" ht="22.2" hidden="1" customHeight="1">
      <c r="A2345" s="63"/>
      <c r="B2345" s="1585" t="s">
        <v>702</v>
      </c>
      <c r="C2345" s="64" t="str">
        <f t="shared" si="417"/>
        <v xml:space="preserve"> </v>
      </c>
      <c r="D2345" s="1563">
        <v>3</v>
      </c>
      <c r="E2345" s="1048"/>
      <c r="F2345" s="1056" t="str">
        <f>VLOOKUP($B2345,DG!A:D,DG!$C$2,)</f>
        <v>Que hàn điện</v>
      </c>
      <c r="G2345" s="1044" t="str">
        <f>VLOOKUP($B2345,DG!A:D,DG!$D$2,)</f>
        <v>kg</v>
      </c>
      <c r="H2345" s="1824">
        <f t="shared" si="427"/>
        <v>0</v>
      </c>
      <c r="I2345" s="1824">
        <f t="shared" si="428"/>
        <v>0</v>
      </c>
      <c r="J2345" s="1824">
        <f t="shared" si="429"/>
        <v>0</v>
      </c>
      <c r="K2345" s="1824">
        <f t="shared" si="430"/>
        <v>0</v>
      </c>
      <c r="L2345" s="1824">
        <f t="shared" si="426"/>
        <v>0</v>
      </c>
      <c r="M2345" s="1824"/>
      <c r="N2345" s="1824"/>
      <c r="O2345" s="1824"/>
      <c r="P2345" s="1823">
        <f t="shared" si="412"/>
        <v>0</v>
      </c>
      <c r="Q2345" s="1052"/>
      <c r="R2345" s="1052"/>
      <c r="S2345" s="1052"/>
      <c r="T2345" s="2035">
        <f t="shared" si="416"/>
        <v>0</v>
      </c>
    </row>
    <row r="2346" spans="1:20" ht="22.2" hidden="1" customHeight="1">
      <c r="A2346" s="63"/>
      <c r="B2346" s="1585" t="s">
        <v>703</v>
      </c>
      <c r="C2346" s="64" t="str">
        <f t="shared" si="417"/>
        <v xml:space="preserve"> </v>
      </c>
      <c r="D2346" s="1563">
        <v>1.8</v>
      </c>
      <c r="E2346" s="1048"/>
      <c r="F2346" s="1056" t="str">
        <f>VLOOKUP($B2346,DG!A:D,DG!$C$2,)</f>
        <v>Sơn chống rỉ</v>
      </c>
      <c r="G2346" s="1044" t="str">
        <f>VLOOKUP($B2346,DG!A:D,DG!$D$2,)</f>
        <v>kg</v>
      </c>
      <c r="H2346" s="1824">
        <f t="shared" si="427"/>
        <v>0</v>
      </c>
      <c r="I2346" s="1824">
        <f t="shared" si="428"/>
        <v>0</v>
      </c>
      <c r="J2346" s="1824">
        <f t="shared" si="429"/>
        <v>0</v>
      </c>
      <c r="K2346" s="1824">
        <f t="shared" si="430"/>
        <v>0</v>
      </c>
      <c r="L2346" s="1824">
        <f t="shared" si="426"/>
        <v>0</v>
      </c>
      <c r="M2346" s="1824"/>
      <c r="N2346" s="1824"/>
      <c r="O2346" s="1824"/>
      <c r="P2346" s="1823">
        <f t="shared" si="412"/>
        <v>0</v>
      </c>
      <c r="Q2346" s="1052"/>
      <c r="R2346" s="1052"/>
      <c r="S2346" s="1052"/>
      <c r="T2346" s="2035">
        <f t="shared" si="416"/>
        <v>0</v>
      </c>
    </row>
    <row r="2347" spans="1:20" ht="22.2" hidden="1" customHeight="1">
      <c r="A2347" s="63"/>
      <c r="B2347" s="1585" t="s">
        <v>704</v>
      </c>
      <c r="C2347" s="64" t="str">
        <f t="shared" si="417"/>
        <v xml:space="preserve"> </v>
      </c>
      <c r="D2347" s="1563">
        <v>1</v>
      </c>
      <c r="E2347" s="1048"/>
      <c r="F2347" s="1056" t="str">
        <f>VLOOKUP($B2347,DG!A:D,DG!$C$2,)</f>
        <v>Sơn màu</v>
      </c>
      <c r="G2347" s="1044" t="str">
        <f>VLOOKUP($B2347,DG!A:D,DG!$D$2,)</f>
        <v>kg</v>
      </c>
      <c r="H2347" s="1824">
        <f t="shared" si="427"/>
        <v>0</v>
      </c>
      <c r="I2347" s="1824">
        <f t="shared" si="428"/>
        <v>0</v>
      </c>
      <c r="J2347" s="1824">
        <f t="shared" si="429"/>
        <v>0</v>
      </c>
      <c r="K2347" s="1824">
        <f t="shared" si="430"/>
        <v>0</v>
      </c>
      <c r="L2347" s="1824">
        <f t="shared" si="426"/>
        <v>0</v>
      </c>
      <c r="M2347" s="1824"/>
      <c r="N2347" s="1824"/>
      <c r="O2347" s="1824"/>
      <c r="P2347" s="1823">
        <f t="shared" ref="P2347:P2372" si="431">H2347+Q2347-R2347</f>
        <v>0</v>
      </c>
      <c r="Q2347" s="1052"/>
      <c r="R2347" s="1052"/>
      <c r="S2347" s="1052"/>
      <c r="T2347" s="2035">
        <f t="shared" si="416"/>
        <v>0</v>
      </c>
    </row>
    <row r="2348" spans="1:20" ht="22.2" hidden="1" customHeight="1">
      <c r="A2348" s="63"/>
      <c r="B2348" s="1585" t="s">
        <v>438</v>
      </c>
      <c r="C2348" s="64" t="str">
        <f t="shared" si="417"/>
        <v xml:space="preserve"> </v>
      </c>
      <c r="D2348" s="1563">
        <v>1.8</v>
      </c>
      <c r="E2348" s="1048"/>
      <c r="F2348" s="1056" t="str">
        <f>VLOOKUP($B2348,DG!A:D,DG!$C$2,)</f>
        <v>Ô xy gió</v>
      </c>
      <c r="G2348" s="1044" t="str">
        <f>VLOOKUP($B2348,DG!A:D,DG!$D$2,)</f>
        <v>m3</v>
      </c>
      <c r="H2348" s="1824">
        <f t="shared" si="427"/>
        <v>0</v>
      </c>
      <c r="I2348" s="1824">
        <f t="shared" si="428"/>
        <v>0</v>
      </c>
      <c r="J2348" s="1824">
        <f t="shared" si="429"/>
        <v>0</v>
      </c>
      <c r="K2348" s="1824">
        <f t="shared" si="430"/>
        <v>0</v>
      </c>
      <c r="L2348" s="1824">
        <f t="shared" si="426"/>
        <v>0</v>
      </c>
      <c r="M2348" s="1824"/>
      <c r="N2348" s="1824"/>
      <c r="O2348" s="1824"/>
      <c r="P2348" s="1823">
        <f t="shared" si="431"/>
        <v>0</v>
      </c>
      <c r="Q2348" s="1052"/>
      <c r="R2348" s="1052"/>
      <c r="S2348" s="1052"/>
      <c r="T2348" s="2035">
        <f t="shared" si="416"/>
        <v>0</v>
      </c>
    </row>
    <row r="2349" spans="1:20" ht="22.2" hidden="1" customHeight="1">
      <c r="A2349" s="63"/>
      <c r="B2349" s="1585" t="s">
        <v>1567</v>
      </c>
      <c r="C2349" s="64" t="str">
        <f t="shared" si="417"/>
        <v xml:space="preserve"> </v>
      </c>
      <c r="D2349" s="1563">
        <v>0.6</v>
      </c>
      <c r="E2349" s="1048"/>
      <c r="F2349" s="1056" t="str">
        <f>VLOOKUP($B2349,DG!A:D,DG!$C$2,)</f>
        <v>Hơi Axetylen</v>
      </c>
      <c r="G2349" s="1044" t="str">
        <f>VLOOKUP($B2349,DG!A:D,DG!$D$2,)</f>
        <v>m3</v>
      </c>
      <c r="H2349" s="1824">
        <f t="shared" si="427"/>
        <v>0</v>
      </c>
      <c r="I2349" s="1824">
        <f t="shared" si="428"/>
        <v>0</v>
      </c>
      <c r="J2349" s="1824">
        <f t="shared" si="429"/>
        <v>0</v>
      </c>
      <c r="K2349" s="1824">
        <f t="shared" si="430"/>
        <v>0</v>
      </c>
      <c r="L2349" s="1824">
        <f t="shared" si="426"/>
        <v>0</v>
      </c>
      <c r="M2349" s="1824"/>
      <c r="N2349" s="1824"/>
      <c r="O2349" s="1824"/>
      <c r="P2349" s="1823">
        <f t="shared" si="431"/>
        <v>0</v>
      </c>
      <c r="Q2349" s="1052"/>
      <c r="R2349" s="1052"/>
      <c r="S2349" s="1052"/>
      <c r="T2349" s="2035">
        <f t="shared" si="416"/>
        <v>0</v>
      </c>
    </row>
    <row r="2350" spans="1:20" ht="22.2" hidden="1" customHeight="1">
      <c r="A2350" s="63"/>
      <c r="B2350" s="1585" t="s">
        <v>869</v>
      </c>
      <c r="C2350" s="64" t="str">
        <f t="shared" si="417"/>
        <v xml:space="preserve"> </v>
      </c>
      <c r="D2350" s="1563">
        <v>4</v>
      </c>
      <c r="E2350" s="1048"/>
      <c r="F2350" s="1056" t="str">
        <f>VLOOKUP($B2350,DG!A:D,DG!$C$2,)</f>
        <v>Cọ sơn</v>
      </c>
      <c r="G2350" s="1044" t="str">
        <f>VLOOKUP($B2350,DG!A:D,DG!$D$2,)</f>
        <v>cái</v>
      </c>
      <c r="H2350" s="1824">
        <f t="shared" si="427"/>
        <v>0</v>
      </c>
      <c r="I2350" s="1824">
        <f t="shared" si="428"/>
        <v>0</v>
      </c>
      <c r="J2350" s="1824">
        <f t="shared" si="429"/>
        <v>0</v>
      </c>
      <c r="K2350" s="1824">
        <f t="shared" si="430"/>
        <v>0</v>
      </c>
      <c r="L2350" s="1824">
        <f t="shared" si="426"/>
        <v>0</v>
      </c>
      <c r="M2350" s="1824"/>
      <c r="N2350" s="1824"/>
      <c r="O2350" s="1824"/>
      <c r="P2350" s="1823">
        <f t="shared" si="431"/>
        <v>0</v>
      </c>
      <c r="Q2350" s="1052"/>
      <c r="R2350" s="1052"/>
      <c r="S2350" s="1052"/>
      <c r="T2350" s="2035">
        <f t="shared" si="416"/>
        <v>0</v>
      </c>
    </row>
    <row r="2351" spans="1:20" ht="22.2" hidden="1" customHeight="1">
      <c r="A2351" s="63"/>
      <c r="B2351" s="1585" t="s">
        <v>1642</v>
      </c>
      <c r="C2351" s="64" t="str">
        <f t="shared" si="417"/>
        <v xml:space="preserve"> </v>
      </c>
      <c r="D2351" s="1563">
        <v>0.08</v>
      </c>
      <c r="E2351" s="1044" t="str">
        <f>VLOOKUP($B2351,DG!A:D,DG!$B$2,)</f>
        <v>NB.1710</v>
      </c>
      <c r="F2351" s="1049" t="str">
        <f>VLOOKUP($B2351,DG!A:D,DG!$C$2,)</f>
        <v>Gia công và lắp dựng bảng báo hiệu</v>
      </c>
      <c r="G2351" s="1044" t="str">
        <f>VLOOKUP($B2351,DG!A:D,DG!$D$2,)</f>
        <v>Tấn</v>
      </c>
      <c r="H2351" s="1824">
        <f t="shared" si="427"/>
        <v>0</v>
      </c>
      <c r="I2351" s="1824"/>
      <c r="J2351" s="1824"/>
      <c r="K2351" s="1824"/>
      <c r="L2351" s="1824"/>
      <c r="M2351" s="1824"/>
      <c r="N2351" s="1824"/>
      <c r="O2351" s="1824"/>
      <c r="P2351" s="1823">
        <f t="shared" si="431"/>
        <v>0</v>
      </c>
      <c r="Q2351" s="1052"/>
      <c r="R2351" s="1052"/>
      <c r="S2351" s="1052"/>
      <c r="T2351" s="2035">
        <f t="shared" si="416"/>
        <v>0</v>
      </c>
    </row>
    <row r="2352" spans="1:20" ht="22.2" hidden="1" customHeight="1">
      <c r="A2352" s="63"/>
      <c r="B2352" s="1585" t="s">
        <v>311</v>
      </c>
      <c r="C2352" s="64" t="str">
        <f t="shared" si="417"/>
        <v xml:space="preserve"> </v>
      </c>
      <c r="D2352" s="1563">
        <v>5.76</v>
      </c>
      <c r="E2352" s="1044" t="str">
        <f>VLOOKUP($B2352,DG!A:D,DG!$B$2,)</f>
        <v>S2.118</v>
      </c>
      <c r="F2352" s="1056" t="str">
        <f>VLOOKUP($B2352,DG!A:D,DG!$C$2,)</f>
        <v>Sơn biển báo hiệu</v>
      </c>
      <c r="G2352" s="1044" t="str">
        <f>VLOOKUP($B2352,DG!A:D,DG!$D$2,)</f>
        <v>m2</v>
      </c>
      <c r="H2352" s="1824">
        <f t="shared" si="427"/>
        <v>0</v>
      </c>
      <c r="I2352" s="1824">
        <f>$I$2325*D2352</f>
        <v>0</v>
      </c>
      <c r="J2352" s="1824">
        <f>$J$2325*D2352</f>
        <v>0</v>
      </c>
      <c r="K2352" s="1824">
        <f>$K$2325*D2352</f>
        <v>0</v>
      </c>
      <c r="L2352" s="1824">
        <f t="shared" si="426"/>
        <v>0</v>
      </c>
      <c r="M2352" s="1824"/>
      <c r="N2352" s="1824"/>
      <c r="O2352" s="1824"/>
      <c r="P2352" s="1823">
        <f t="shared" si="431"/>
        <v>0</v>
      </c>
      <c r="Q2352" s="1052"/>
      <c r="R2352" s="1052"/>
      <c r="S2352" s="1052"/>
      <c r="T2352" s="2035">
        <f t="shared" si="416"/>
        <v>0</v>
      </c>
    </row>
    <row r="2353" spans="1:20" ht="22.2" hidden="1" customHeight="1">
      <c r="A2353" s="63"/>
      <c r="B2353" s="1585" t="s">
        <v>1644</v>
      </c>
      <c r="C2353" s="64" t="str">
        <f t="shared" si="417"/>
        <v xml:space="preserve"> </v>
      </c>
      <c r="D2353" s="1563">
        <v>0.08</v>
      </c>
      <c r="E2353" s="1044" t="str">
        <f>VLOOKUP($B2353,DG!A:D,DG!$B$2,)</f>
        <v>021351</v>
      </c>
      <c r="F2353" s="1056" t="str">
        <f>VLOOKUP($B2353,DG!A:D,DG!$C$2,)</f>
        <v>Vận Chuyển thép</v>
      </c>
      <c r="G2353" s="1044" t="str">
        <f>VLOOKUP($B2353,DG!A:D,DG!$D$2,)</f>
        <v>Tấn</v>
      </c>
      <c r="H2353" s="1824">
        <f t="shared" si="427"/>
        <v>0</v>
      </c>
      <c r="I2353" s="1824"/>
      <c r="J2353" s="1824"/>
      <c r="K2353" s="1824"/>
      <c r="L2353" s="1824"/>
      <c r="M2353" s="1824"/>
      <c r="N2353" s="1824"/>
      <c r="O2353" s="1824"/>
      <c r="P2353" s="1823">
        <f t="shared" si="431"/>
        <v>0</v>
      </c>
      <c r="Q2353" s="1052"/>
      <c r="R2353" s="1052"/>
      <c r="S2353" s="1052"/>
      <c r="T2353" s="2035">
        <f t="shared" si="416"/>
        <v>0</v>
      </c>
    </row>
    <row r="2354" spans="1:20" ht="22.2" hidden="1" customHeight="1">
      <c r="A2354" s="56" t="s">
        <v>1047</v>
      </c>
      <c r="B2354" s="1574" t="s">
        <v>1047</v>
      </c>
      <c r="C2354" s="62" t="str">
        <f t="shared" si="417"/>
        <v xml:space="preserve"> </v>
      </c>
      <c r="D2354" s="1532"/>
      <c r="E2354" s="1046"/>
      <c r="F2354" s="1392" t="s">
        <v>2586</v>
      </c>
      <c r="G2354" s="1046" t="s">
        <v>2333</v>
      </c>
      <c r="H2354" s="1821">
        <f>SUM(I2354:O2354)</f>
        <v>0</v>
      </c>
      <c r="I2354" s="1822"/>
      <c r="J2354" s="1822"/>
      <c r="K2354" s="1822"/>
      <c r="L2354" s="1822">
        <f>IFERROR(HLOOKUP(chitiet!B2354,pp1p!$1:$3,3,0),0)</f>
        <v>0</v>
      </c>
      <c r="M2354" s="1822"/>
      <c r="N2354" s="1822"/>
      <c r="O2354" s="1822"/>
      <c r="P2354" s="1823">
        <f t="shared" si="431"/>
        <v>0</v>
      </c>
      <c r="Q2354" s="1047"/>
      <c r="R2354" s="1047"/>
      <c r="S2354" s="1047"/>
      <c r="T2354" s="2035">
        <f t="shared" ref="T2354:T2373" si="432">IFERROR(HLOOKUP(B2354,BangKeTru,3,0),0)</f>
        <v>0</v>
      </c>
    </row>
    <row r="2355" spans="1:20" ht="22.2" hidden="1" customHeight="1">
      <c r="A2355" s="63"/>
      <c r="B2355" s="1585" t="s">
        <v>751</v>
      </c>
      <c r="C2355" s="64" t="str">
        <f t="shared" si="417"/>
        <v xml:space="preserve"> </v>
      </c>
      <c r="D2355" s="1563">
        <v>398</v>
      </c>
      <c r="E2355" s="1048"/>
      <c r="F2355" s="1049" t="str">
        <f>VLOOKUP($B2355,DG!A:D,DG!$C$2,)</f>
        <v>Ximăng (PC40)</v>
      </c>
      <c r="G2355" s="1044" t="str">
        <f>VLOOKUP($B2355,DG!A:D,DG!$D$2,)</f>
        <v>kg</v>
      </c>
      <c r="H2355" s="1824">
        <f t="shared" ref="H2355:H2365" si="433">IF($H$2325&lt;&gt;0,D2355,)</f>
        <v>0</v>
      </c>
      <c r="I2355" s="1824">
        <f t="shared" ref="I2355:I2362" si="434">$I$2325*D2355</f>
        <v>0</v>
      </c>
      <c r="J2355" s="1824">
        <f t="shared" ref="J2355:J2362" si="435">$J$2325*D2355</f>
        <v>0</v>
      </c>
      <c r="K2355" s="1824">
        <f t="shared" ref="K2355:K2362" si="436">$K$2325*D2355</f>
        <v>0</v>
      </c>
      <c r="L2355" s="1824">
        <f t="shared" si="426"/>
        <v>0</v>
      </c>
      <c r="M2355" s="1824"/>
      <c r="N2355" s="1824"/>
      <c r="O2355" s="1824"/>
      <c r="P2355" s="1823">
        <f t="shared" si="431"/>
        <v>0</v>
      </c>
      <c r="Q2355" s="1052"/>
      <c r="R2355" s="1052"/>
      <c r="S2355" s="1052"/>
      <c r="T2355" s="2035">
        <f t="shared" si="432"/>
        <v>0</v>
      </c>
    </row>
    <row r="2356" spans="1:20" ht="22.2" hidden="1" customHeight="1">
      <c r="A2356" s="63"/>
      <c r="B2356" s="1576" t="s">
        <v>4440</v>
      </c>
      <c r="C2356" s="64" t="str">
        <f t="shared" si="417"/>
        <v xml:space="preserve"> </v>
      </c>
      <c r="D2356" s="1563">
        <v>0.81</v>
      </c>
      <c r="E2356" s="1048"/>
      <c r="F2356" s="1049" t="str">
        <f>VLOOKUP($B2356,DG!A:D,DG!$C$2,)</f>
        <v>Cát vàng</v>
      </c>
      <c r="G2356" s="1044" t="str">
        <f>VLOOKUP($B2356,DG!A:D,DG!$D$2,)</f>
        <v>m3</v>
      </c>
      <c r="H2356" s="1824">
        <f t="shared" si="433"/>
        <v>0</v>
      </c>
      <c r="I2356" s="1824">
        <f t="shared" si="434"/>
        <v>0</v>
      </c>
      <c r="J2356" s="1824">
        <f t="shared" si="435"/>
        <v>0</v>
      </c>
      <c r="K2356" s="1824">
        <f t="shared" si="436"/>
        <v>0</v>
      </c>
      <c r="L2356" s="1824">
        <f t="shared" si="426"/>
        <v>0</v>
      </c>
      <c r="M2356" s="1824"/>
      <c r="N2356" s="1824"/>
      <c r="O2356" s="1824"/>
      <c r="P2356" s="1823">
        <f t="shared" si="431"/>
        <v>0</v>
      </c>
      <c r="Q2356" s="1052"/>
      <c r="R2356" s="1052"/>
      <c r="S2356" s="1052"/>
      <c r="T2356" s="2035">
        <f t="shared" si="432"/>
        <v>0</v>
      </c>
    </row>
    <row r="2357" spans="1:20" ht="22.2" hidden="1" customHeight="1">
      <c r="A2357" s="63"/>
      <c r="B2357" s="1585" t="s">
        <v>753</v>
      </c>
      <c r="C2357" s="64" t="str">
        <f t="shared" si="417"/>
        <v xml:space="preserve"> </v>
      </c>
      <c r="D2357" s="1563">
        <v>0.85</v>
      </c>
      <c r="E2357" s="1048"/>
      <c r="F2357" s="1049" t="str">
        <f>VLOOKUP($B2357,DG!A:D,DG!$C$2,)</f>
        <v>Đá 1x2</v>
      </c>
      <c r="G2357" s="1044" t="str">
        <f>VLOOKUP($B2357,DG!A:D,DG!$D$2,)</f>
        <v>m3</v>
      </c>
      <c r="H2357" s="1824">
        <f t="shared" si="433"/>
        <v>0</v>
      </c>
      <c r="I2357" s="1824">
        <f t="shared" si="434"/>
        <v>0</v>
      </c>
      <c r="J2357" s="1824">
        <f t="shared" si="435"/>
        <v>0</v>
      </c>
      <c r="K2357" s="1824">
        <f t="shared" si="436"/>
        <v>0</v>
      </c>
      <c r="L2357" s="1824">
        <f t="shared" si="426"/>
        <v>0</v>
      </c>
      <c r="M2357" s="1824"/>
      <c r="N2357" s="1824"/>
      <c r="O2357" s="1824"/>
      <c r="P2357" s="1823">
        <f t="shared" si="431"/>
        <v>0</v>
      </c>
      <c r="Q2357" s="1052"/>
      <c r="R2357" s="1052"/>
      <c r="S2357" s="1052"/>
      <c r="T2357" s="2035">
        <f t="shared" si="432"/>
        <v>0</v>
      </c>
    </row>
    <row r="2358" spans="1:20" ht="22.2" hidden="1" customHeight="1">
      <c r="A2358" s="63"/>
      <c r="B2358" s="1585" t="s">
        <v>754</v>
      </c>
      <c r="C2358" s="64" t="str">
        <f t="shared" si="417"/>
        <v xml:space="preserve"> </v>
      </c>
      <c r="D2358" s="1563">
        <v>0.13</v>
      </c>
      <c r="E2358" s="1048"/>
      <c r="F2358" s="1049" t="str">
        <f>VLOOKUP($B2358,DG!A:D,DG!$C$2,)</f>
        <v>Đá 4x6</v>
      </c>
      <c r="G2358" s="1044" t="str">
        <f>VLOOKUP($B2358,DG!A:D,DG!$D$2,)</f>
        <v>m3</v>
      </c>
      <c r="H2358" s="1824">
        <f t="shared" si="433"/>
        <v>0</v>
      </c>
      <c r="I2358" s="1824">
        <f t="shared" si="434"/>
        <v>0</v>
      </c>
      <c r="J2358" s="1824">
        <f t="shared" si="435"/>
        <v>0</v>
      </c>
      <c r="K2358" s="1824">
        <f t="shared" si="436"/>
        <v>0</v>
      </c>
      <c r="L2358" s="1824">
        <f t="shared" si="426"/>
        <v>0</v>
      </c>
      <c r="M2358" s="1824"/>
      <c r="N2358" s="1824"/>
      <c r="O2358" s="1824"/>
      <c r="P2358" s="1823">
        <f t="shared" si="431"/>
        <v>0</v>
      </c>
      <c r="Q2358" s="1052"/>
      <c r="R2358" s="1052"/>
      <c r="S2358" s="1052"/>
      <c r="T2358" s="2035">
        <f t="shared" si="432"/>
        <v>0</v>
      </c>
    </row>
    <row r="2359" spans="1:20" ht="22.2" hidden="1" customHeight="1">
      <c r="A2359" s="63"/>
      <c r="B2359" s="1585" t="s">
        <v>755</v>
      </c>
      <c r="C2359" s="64" t="str">
        <f t="shared" si="417"/>
        <v xml:space="preserve"> </v>
      </c>
      <c r="D2359" s="1563">
        <v>0.5</v>
      </c>
      <c r="E2359" s="1048"/>
      <c r="F2359" s="1049" t="str">
        <f>VLOOKUP($B2359,DG!A:D,DG!$C$2,)</f>
        <v>Nước đổ bê tông</v>
      </c>
      <c r="G2359" s="1044" t="str">
        <f>VLOOKUP($B2359,DG!A:D,DG!$D$2,)</f>
        <v>m3</v>
      </c>
      <c r="H2359" s="1824">
        <f t="shared" si="433"/>
        <v>0</v>
      </c>
      <c r="I2359" s="1824">
        <f t="shared" si="434"/>
        <v>0</v>
      </c>
      <c r="J2359" s="1824">
        <f t="shared" si="435"/>
        <v>0</v>
      </c>
      <c r="K2359" s="1824">
        <f t="shared" si="436"/>
        <v>0</v>
      </c>
      <c r="L2359" s="1824">
        <f t="shared" si="426"/>
        <v>0</v>
      </c>
      <c r="M2359" s="1824"/>
      <c r="N2359" s="1824"/>
      <c r="O2359" s="1824"/>
      <c r="P2359" s="1823">
        <f t="shared" si="431"/>
        <v>0</v>
      </c>
      <c r="Q2359" s="1052"/>
      <c r="R2359" s="1052"/>
      <c r="S2359" s="1052"/>
      <c r="T2359" s="2035">
        <f t="shared" si="432"/>
        <v>0</v>
      </c>
    </row>
    <row r="2360" spans="1:20" ht="22.2" hidden="1" customHeight="1">
      <c r="A2360" s="63"/>
      <c r="B2360" s="1585" t="s">
        <v>756</v>
      </c>
      <c r="C2360" s="64" t="str">
        <f t="shared" si="417"/>
        <v xml:space="preserve"> </v>
      </c>
      <c r="D2360" s="1563">
        <v>0.14000000000000001</v>
      </c>
      <c r="E2360" s="1048"/>
      <c r="F2360" s="1056" t="str">
        <f>VLOOKUP($B2360,DG!A:D,DG!$C$2,)</f>
        <v>Dây thép buộc A70</v>
      </c>
      <c r="G2360" s="1044" t="str">
        <f>VLOOKUP($B2360,DG!A:D,DG!$D$2,)</f>
        <v>kg</v>
      </c>
      <c r="H2360" s="1824">
        <f t="shared" si="433"/>
        <v>0</v>
      </c>
      <c r="I2360" s="1824">
        <f t="shared" si="434"/>
        <v>0</v>
      </c>
      <c r="J2360" s="1824">
        <f t="shared" si="435"/>
        <v>0</v>
      </c>
      <c r="K2360" s="1824">
        <f t="shared" si="436"/>
        <v>0</v>
      </c>
      <c r="L2360" s="1824">
        <f t="shared" si="426"/>
        <v>0</v>
      </c>
      <c r="M2360" s="1824"/>
      <c r="N2360" s="1824"/>
      <c r="O2360" s="1824"/>
      <c r="P2360" s="1823">
        <f t="shared" si="431"/>
        <v>0</v>
      </c>
      <c r="Q2360" s="1052"/>
      <c r="R2360" s="1052"/>
      <c r="S2360" s="1052"/>
      <c r="T2360" s="2035">
        <f t="shared" si="432"/>
        <v>0</v>
      </c>
    </row>
    <row r="2361" spans="1:20" ht="22.2" hidden="1" customHeight="1">
      <c r="A2361" s="63"/>
      <c r="B2361" s="1585" t="s">
        <v>1427</v>
      </c>
      <c r="C2361" s="64" t="str">
        <f t="shared" si="417"/>
        <v xml:space="preserve"> </v>
      </c>
      <c r="D2361" s="1563">
        <v>16</v>
      </c>
      <c r="E2361" s="1048"/>
      <c r="F2361" s="1056" t="str">
        <f>VLOOKUP($B2361,DG!A:D,DG!$C$2,)</f>
        <v>Sắt Ø8</v>
      </c>
      <c r="G2361" s="1044" t="str">
        <f>VLOOKUP($B2361,DG!A:D,DG!$D$2,)</f>
        <v>kg</v>
      </c>
      <c r="H2361" s="1824">
        <f t="shared" si="433"/>
        <v>0</v>
      </c>
      <c r="I2361" s="1824">
        <f t="shared" si="434"/>
        <v>0</v>
      </c>
      <c r="J2361" s="1824">
        <f t="shared" si="435"/>
        <v>0</v>
      </c>
      <c r="K2361" s="1824">
        <f t="shared" si="436"/>
        <v>0</v>
      </c>
      <c r="L2361" s="1824">
        <f t="shared" si="426"/>
        <v>0</v>
      </c>
      <c r="M2361" s="1824"/>
      <c r="N2361" s="1824"/>
      <c r="O2361" s="1824"/>
      <c r="P2361" s="1823">
        <f t="shared" si="431"/>
        <v>0</v>
      </c>
      <c r="Q2361" s="1052"/>
      <c r="R2361" s="1052"/>
      <c r="S2361" s="1052"/>
      <c r="T2361" s="2035">
        <f t="shared" si="432"/>
        <v>0</v>
      </c>
    </row>
    <row r="2362" spans="1:20" ht="22.2" hidden="1" customHeight="1">
      <c r="A2362" s="63"/>
      <c r="B2362" s="1585" t="s">
        <v>757</v>
      </c>
      <c r="C2362" s="64" t="str">
        <f t="shared" si="417"/>
        <v xml:space="preserve"> </v>
      </c>
      <c r="D2362" s="1563">
        <v>36</v>
      </c>
      <c r="E2362" s="1044" t="str">
        <f>VLOOKUP($B2362,DG!A:D,DG!$B$2,)</f>
        <v>04.5142</v>
      </c>
      <c r="F2362" s="1056" t="str">
        <f>VLOOKUP($B2362,DG!A:D,DG!$C$2,)</f>
        <v>Cừ tràm 2,5m</v>
      </c>
      <c r="G2362" s="1044" t="str">
        <f>VLOOKUP($B2362,DG!A:D,DG!$D$2,)</f>
        <v>cây</v>
      </c>
      <c r="H2362" s="1824">
        <f t="shared" si="433"/>
        <v>0</v>
      </c>
      <c r="I2362" s="1824">
        <f t="shared" si="434"/>
        <v>0</v>
      </c>
      <c r="J2362" s="1824">
        <f t="shared" si="435"/>
        <v>0</v>
      </c>
      <c r="K2362" s="1824">
        <f t="shared" si="436"/>
        <v>0</v>
      </c>
      <c r="L2362" s="1824">
        <f t="shared" si="426"/>
        <v>0</v>
      </c>
      <c r="M2362" s="1824"/>
      <c r="N2362" s="1824"/>
      <c r="O2362" s="1824"/>
      <c r="P2362" s="1823">
        <f t="shared" si="431"/>
        <v>0</v>
      </c>
      <c r="Q2362" s="1052"/>
      <c r="R2362" s="1052"/>
      <c r="S2362" s="1052"/>
      <c r="T2362" s="2035">
        <f t="shared" si="432"/>
        <v>0</v>
      </c>
    </row>
    <row r="2363" spans="1:20" ht="22.2" hidden="1" customHeight="1">
      <c r="A2363" s="63"/>
      <c r="B2363" s="1585" t="s">
        <v>976</v>
      </c>
      <c r="C2363" s="64" t="str">
        <f t="shared" si="417"/>
        <v xml:space="preserve"> </v>
      </c>
      <c r="D2363" s="1563">
        <v>15</v>
      </c>
      <c r="E2363" s="1044" t="str">
        <f>VLOOKUP($B2363,DG!A:D,DG!$B$2,)</f>
        <v>03.1112</v>
      </c>
      <c r="F2363" s="1049" t="str">
        <f>VLOOKUP($B2363,DG!A:D,DG!$C$2,)</f>
        <v>Đào hố móng đất cấp 2 sâu &gt;1m</v>
      </c>
      <c r="G2363" s="1044" t="str">
        <f>VLOOKUP($B2363,DG!A:D,DG!$D$2,)</f>
        <v>m3</v>
      </c>
      <c r="H2363" s="1824">
        <f t="shared" si="433"/>
        <v>0</v>
      </c>
      <c r="I2363" s="1824"/>
      <c r="J2363" s="1824"/>
      <c r="K2363" s="1824"/>
      <c r="L2363" s="1824"/>
      <c r="M2363" s="1824"/>
      <c r="N2363" s="1824"/>
      <c r="O2363" s="1824"/>
      <c r="P2363" s="1823">
        <f t="shared" si="431"/>
        <v>0</v>
      </c>
      <c r="Q2363" s="1052"/>
      <c r="R2363" s="1052"/>
      <c r="S2363" s="1052"/>
      <c r="T2363" s="2035">
        <f t="shared" si="432"/>
        <v>0</v>
      </c>
    </row>
    <row r="2364" spans="1:20" ht="22.2" hidden="1" customHeight="1">
      <c r="A2364" s="63"/>
      <c r="B2364" s="1585" t="s">
        <v>977</v>
      </c>
      <c r="C2364" s="64" t="str">
        <f t="shared" si="417"/>
        <v xml:space="preserve"> </v>
      </c>
      <c r="D2364" s="1563">
        <v>15</v>
      </c>
      <c r="E2364" s="1044" t="str">
        <f>VLOOKUP($B2364,DG!A:D,DG!$B$2,)</f>
        <v>03.2202</v>
      </c>
      <c r="F2364" s="1049" t="str">
        <f>VLOOKUP($B2364,DG!A:D,DG!$C$2,)</f>
        <v>Đắp đất hố móng, đất cấp 2</v>
      </c>
      <c r="G2364" s="1044" t="str">
        <f>VLOOKUP($B2364,DG!A:D,DG!$D$2,)</f>
        <v>m3</v>
      </c>
      <c r="H2364" s="1824">
        <f t="shared" si="433"/>
        <v>0</v>
      </c>
      <c r="I2364" s="1824"/>
      <c r="J2364" s="1824"/>
      <c r="K2364" s="1824"/>
      <c r="L2364" s="1824"/>
      <c r="M2364" s="1824"/>
      <c r="N2364" s="1824"/>
      <c r="O2364" s="1824"/>
      <c r="P2364" s="1823">
        <f t="shared" si="431"/>
        <v>0</v>
      </c>
      <c r="Q2364" s="1052"/>
      <c r="R2364" s="1052"/>
      <c r="S2364" s="1052"/>
      <c r="T2364" s="2035">
        <f t="shared" si="432"/>
        <v>0</v>
      </c>
    </row>
    <row r="2365" spans="1:20" ht="22.2" hidden="1" customHeight="1">
      <c r="A2365" s="63"/>
      <c r="B2365" s="1585" t="s">
        <v>1959</v>
      </c>
      <c r="C2365" s="64" t="str">
        <f t="shared" si="417"/>
        <v xml:space="preserve"> </v>
      </c>
      <c r="D2365" s="1563">
        <v>0.14399999999999999</v>
      </c>
      <c r="E2365" s="1044" t="str">
        <f>VLOOKUP($B2365,DG!A:D,DG!$B$2,)</f>
        <v>04.3112</v>
      </c>
      <c r="F2365" s="1049" t="str">
        <f>VLOOKUP($B2365,DG!A:D,DG!$C$2,)</f>
        <v>Đổ bê tông mác M100 đá 4x6</v>
      </c>
      <c r="G2365" s="1044" t="str">
        <f>VLOOKUP($B2365,DG!A:D,DG!$D$2,)</f>
        <v>m3</v>
      </c>
      <c r="H2365" s="1824">
        <f t="shared" si="433"/>
        <v>0</v>
      </c>
      <c r="I2365" s="1824"/>
      <c r="J2365" s="1824"/>
      <c r="K2365" s="1824"/>
      <c r="L2365" s="1824"/>
      <c r="M2365" s="1824"/>
      <c r="N2365" s="1824"/>
      <c r="O2365" s="1824"/>
      <c r="P2365" s="1823">
        <f t="shared" si="431"/>
        <v>0</v>
      </c>
      <c r="Q2365" s="1052"/>
      <c r="R2365" s="1052"/>
      <c r="S2365" s="1052"/>
      <c r="T2365" s="2035">
        <f t="shared" si="432"/>
        <v>0</v>
      </c>
    </row>
    <row r="2366" spans="1:20" ht="22.2" hidden="1" customHeight="1">
      <c r="A2366" s="63"/>
      <c r="B2366" s="1585" t="s">
        <v>1840</v>
      </c>
      <c r="C2366" s="64" t="str">
        <f t="shared" si="417"/>
        <v xml:space="preserve"> </v>
      </c>
      <c r="D2366" s="1563">
        <v>1</v>
      </c>
      <c r="E2366" s="1044" t="str">
        <f>VLOOKUP($B2366,DG!A:D,DG!$B$2,)</f>
        <v>04.1203c</v>
      </c>
      <c r="F2366" s="1049" t="str">
        <f>VLOOKUP($B2366,DG!A:D,DG!$C$2,)</f>
        <v>Đổ bê tông móng trụ &lt;=250cm-M200 đá 1x2</v>
      </c>
      <c r="G2366" s="1044" t="str">
        <f>VLOOKUP($B2366,DG!A:D,DG!$D$2,)</f>
        <v>m3</v>
      </c>
      <c r="H2366" s="1824"/>
      <c r="I2366" s="1824"/>
      <c r="J2366" s="1824"/>
      <c r="K2366" s="1824"/>
      <c r="L2366" s="1824"/>
      <c r="M2366" s="1824"/>
      <c r="N2366" s="1824"/>
      <c r="O2366" s="1824"/>
      <c r="P2366" s="1823">
        <f t="shared" si="431"/>
        <v>0</v>
      </c>
      <c r="Q2366" s="1052"/>
      <c r="R2366" s="1052"/>
      <c r="S2366" s="1052"/>
      <c r="T2366" s="2035">
        <f t="shared" si="432"/>
        <v>0</v>
      </c>
    </row>
    <row r="2367" spans="1:20" ht="22.2" hidden="1" customHeight="1">
      <c r="A2367" s="63"/>
      <c r="B2367" s="1585" t="s">
        <v>9</v>
      </c>
      <c r="C2367" s="64" t="str">
        <f t="shared" si="417"/>
        <v xml:space="preserve"> </v>
      </c>
      <c r="D2367" s="1563">
        <v>17</v>
      </c>
      <c r="E2367" s="1044" t="str">
        <f>VLOOKUP($B2367,DG!A:D,DG!$B$2,)</f>
        <v>04.5101</v>
      </c>
      <c r="F2367" s="1049" t="str">
        <f>VLOOKUP($B2367,DG!A:D,DG!$C$2,)</f>
        <v>Gia công và lắp dựng cốt thép D&lt;=10</v>
      </c>
      <c r="G2367" s="1044" t="str">
        <f>VLOOKUP($B2367,DG!A:D,DG!$D$2,)</f>
        <v>kg</v>
      </c>
      <c r="H2367" s="1824"/>
      <c r="I2367" s="1824"/>
      <c r="J2367" s="1824"/>
      <c r="K2367" s="1824"/>
      <c r="L2367" s="1824"/>
      <c r="M2367" s="1824"/>
      <c r="N2367" s="1824"/>
      <c r="O2367" s="1824"/>
      <c r="P2367" s="1823">
        <f t="shared" si="431"/>
        <v>0</v>
      </c>
      <c r="Q2367" s="1052"/>
      <c r="R2367" s="1052"/>
      <c r="S2367" s="1052"/>
      <c r="T2367" s="2035">
        <f t="shared" si="432"/>
        <v>0</v>
      </c>
    </row>
    <row r="2368" spans="1:20" ht="22.2" hidden="1" customHeight="1">
      <c r="A2368" s="63"/>
      <c r="B2368" s="1585" t="s">
        <v>10</v>
      </c>
      <c r="C2368" s="64" t="str">
        <f t="shared" si="417"/>
        <v xml:space="preserve"> </v>
      </c>
      <c r="D2368" s="1563">
        <v>0.14399999999999999</v>
      </c>
      <c r="E2368" s="1044" t="str">
        <f>VLOOKUP($B2368,DG!A:D,DG!$B$2,)</f>
        <v>04.2001</v>
      </c>
      <c r="F2368" s="1049" t="str">
        <f>VLOOKUP($B2368,DG!A:D,DG!$C$2,)</f>
        <v>Gia công và lắp dựng ván khuôn</v>
      </c>
      <c r="G2368" s="1044" t="str">
        <f>VLOOKUP($B2368,DG!A:D,DG!$D$2,)</f>
        <v>m2</v>
      </c>
      <c r="H2368" s="1824"/>
      <c r="I2368" s="1824"/>
      <c r="J2368" s="1824"/>
      <c r="K2368" s="1824"/>
      <c r="L2368" s="1824"/>
      <c r="M2368" s="1824"/>
      <c r="N2368" s="1824"/>
      <c r="O2368" s="1824"/>
      <c r="P2368" s="1823">
        <f t="shared" si="431"/>
        <v>0</v>
      </c>
      <c r="Q2368" s="1052"/>
      <c r="R2368" s="1052"/>
      <c r="S2368" s="1052"/>
      <c r="T2368" s="2035">
        <f t="shared" si="432"/>
        <v>0</v>
      </c>
    </row>
    <row r="2369" spans="1:20" ht="22.2" hidden="1" customHeight="1">
      <c r="A2369" s="63"/>
      <c r="B2369" s="1585" t="s">
        <v>18</v>
      </c>
      <c r="C2369" s="64" t="str">
        <f t="shared" si="417"/>
        <v xml:space="preserve"> </v>
      </c>
      <c r="D2369" s="1537">
        <v>0.4</v>
      </c>
      <c r="E2369" s="1048" t="str">
        <f>VLOOKUP($B2369,DG!A:C,2,)</f>
        <v>02.1211</v>
      </c>
      <c r="F2369" s="1049" t="str">
        <f>VLOOKUP($B2369,DG!A:C,3,)</f>
        <v>V/c xi măng ( cự ly &lt;=100m)</v>
      </c>
      <c r="G2369" s="1048" t="str">
        <f>VLOOKUP($B2369,DG!A:D,4,0)</f>
        <v>tấn</v>
      </c>
      <c r="H2369" s="1824"/>
      <c r="I2369" s="1824"/>
      <c r="J2369" s="1824"/>
      <c r="K2369" s="1824"/>
      <c r="L2369" s="1824"/>
      <c r="M2369" s="1824"/>
      <c r="N2369" s="1824"/>
      <c r="O2369" s="1824"/>
      <c r="P2369" s="1823">
        <f t="shared" si="431"/>
        <v>0</v>
      </c>
      <c r="Q2369" s="1055"/>
      <c r="R2369" s="1055"/>
      <c r="S2369" s="1055"/>
      <c r="T2369" s="2035">
        <f t="shared" si="432"/>
        <v>0</v>
      </c>
    </row>
    <row r="2370" spans="1:20" ht="22.2" hidden="1" customHeight="1">
      <c r="A2370" s="63"/>
      <c r="B2370" s="1585" t="s">
        <v>19</v>
      </c>
      <c r="C2370" s="64" t="str">
        <f t="shared" si="417"/>
        <v xml:space="preserve"> </v>
      </c>
      <c r="D2370" s="1537">
        <v>0.81</v>
      </c>
      <c r="E2370" s="1048">
        <f>VLOOKUP($B2370,DG!A:C,2,)</f>
        <v>0</v>
      </c>
      <c r="F2370" s="1049" t="str">
        <f>VLOOKUP($B2370,DG!A:C,3,)</f>
        <v>Cát vàng</v>
      </c>
      <c r="G2370" s="1048" t="str">
        <f>VLOOKUP($B2370,DG!A:D,4,0)</f>
        <v>m3</v>
      </c>
      <c r="H2370" s="1824"/>
      <c r="I2370" s="1824"/>
      <c r="J2370" s="1824"/>
      <c r="K2370" s="1824"/>
      <c r="L2370" s="1824"/>
      <c r="M2370" s="1824"/>
      <c r="N2370" s="1824"/>
      <c r="O2370" s="1824"/>
      <c r="P2370" s="1823">
        <f t="shared" si="431"/>
        <v>0</v>
      </c>
      <c r="Q2370" s="1055"/>
      <c r="R2370" s="1055"/>
      <c r="S2370" s="1055"/>
      <c r="T2370" s="2035">
        <f t="shared" si="432"/>
        <v>0</v>
      </c>
    </row>
    <row r="2371" spans="1:20" ht="22.2" hidden="1" customHeight="1">
      <c r="A2371" s="63"/>
      <c r="B2371" s="1585" t="s">
        <v>17</v>
      </c>
      <c r="C2371" s="64" t="str">
        <f t="shared" si="417"/>
        <v xml:space="preserve"> </v>
      </c>
      <c r="D2371" s="1537">
        <v>0.02</v>
      </c>
      <c r="E2371" s="1048" t="str">
        <f>VLOOKUP($B2371,DG!A:C,2,)</f>
        <v>02.1351</v>
      </c>
      <c r="F2371" s="1049" t="str">
        <f>VLOOKUP($B2371,DG!A:C,3,)</f>
        <v>V/c cốt thép ( cự ly &lt;=100m)</v>
      </c>
      <c r="G2371" s="1048" t="str">
        <f>VLOOKUP($B2371,DG!A:D,4,0)</f>
        <v>tấn</v>
      </c>
      <c r="H2371" s="1824"/>
      <c r="I2371" s="1824"/>
      <c r="J2371" s="1824"/>
      <c r="K2371" s="1824"/>
      <c r="L2371" s="1824"/>
      <c r="M2371" s="1824"/>
      <c r="N2371" s="1824"/>
      <c r="O2371" s="1824"/>
      <c r="P2371" s="1823">
        <f t="shared" si="431"/>
        <v>0</v>
      </c>
      <c r="Q2371" s="1055"/>
      <c r="R2371" s="1055"/>
      <c r="S2371" s="1055"/>
      <c r="T2371" s="2035">
        <f t="shared" si="432"/>
        <v>0</v>
      </c>
    </row>
    <row r="2372" spans="1:20" ht="22.2" hidden="1" customHeight="1">
      <c r="A2372" s="63"/>
      <c r="B2372" s="1585" t="s">
        <v>20</v>
      </c>
      <c r="C2372" s="64" t="str">
        <f t="shared" si="417"/>
        <v xml:space="preserve"> </v>
      </c>
      <c r="D2372" s="1564">
        <v>0.98</v>
      </c>
      <c r="E2372" s="1417" t="str">
        <f>VLOOKUP($B2372,DG!A:C,2,)</f>
        <v>02.1241</v>
      </c>
      <c r="F2372" s="1418" t="str">
        <f>VLOOKUP($B2372,DG!A:C,3,)</f>
        <v>V/c đá dăm ( cự ly &lt;=100m)</v>
      </c>
      <c r="G2372" s="1397" t="str">
        <f>VLOOKUP($B2372,DG!A:D,4,0)</f>
        <v>m3</v>
      </c>
      <c r="H2372" s="1829"/>
      <c r="I2372" s="1829"/>
      <c r="J2372" s="1829"/>
      <c r="K2372" s="1829"/>
      <c r="L2372" s="1829"/>
      <c r="M2372" s="1829"/>
      <c r="N2372" s="1829"/>
      <c r="O2372" s="1829"/>
      <c r="P2372" s="1823">
        <f t="shared" si="431"/>
        <v>0</v>
      </c>
      <c r="Q2372" s="1419"/>
      <c r="R2372" s="1419"/>
      <c r="S2372" s="1419"/>
      <c r="T2372" s="2035">
        <f t="shared" si="432"/>
        <v>0</v>
      </c>
    </row>
    <row r="2373" spans="1:20" ht="16.2">
      <c r="B2373" s="1586"/>
      <c r="C2373" s="1833" t="s">
        <v>512</v>
      </c>
      <c r="D2373" s="1529"/>
      <c r="E2373" s="1398"/>
      <c r="F2373" s="1399"/>
      <c r="G2373" s="1398"/>
      <c r="H2373" s="1817"/>
      <c r="I2373" s="1817"/>
      <c r="J2373" s="1817"/>
      <c r="K2373" s="1817"/>
      <c r="L2373" s="1817"/>
      <c r="M2373" s="1817"/>
      <c r="N2373" s="1817"/>
      <c r="O2373" s="1817"/>
      <c r="P2373" s="1817"/>
      <c r="Q2373" s="1398"/>
      <c r="R2373" s="1398"/>
      <c r="S2373" s="1398"/>
      <c r="T2373" s="2035">
        <f t="shared" si="432"/>
        <v>0</v>
      </c>
    </row>
    <row r="2374" spans="1:20" ht="16.2" hidden="1">
      <c r="A2374" s="59"/>
      <c r="C2374" s="1014"/>
      <c r="D2374" s="1565"/>
      <c r="T2374" s="53"/>
    </row>
    <row r="2375" spans="1:20" ht="16.2">
      <c r="D2375" s="1565"/>
    </row>
    <row r="2376" spans="1:20" ht="16.2">
      <c r="D2376" s="1565"/>
    </row>
    <row r="2377" spans="1:20" ht="16.2">
      <c r="D2377" s="1565"/>
    </row>
    <row r="2378" spans="1:20" ht="16.2">
      <c r="D2378" s="1565"/>
    </row>
    <row r="2379" spans="1:20" ht="16.2">
      <c r="D2379" s="1565"/>
      <c r="F2379" s="999"/>
    </row>
    <row r="2380" spans="1:20" ht="16.8">
      <c r="D2380" s="1565"/>
      <c r="F2380" s="1000"/>
    </row>
    <row r="2381" spans="1:20" ht="16.2">
      <c r="D2381" s="1565"/>
    </row>
    <row r="2382" spans="1:20" ht="16.2">
      <c r="D2382" s="1565"/>
    </row>
    <row r="2383" spans="1:20" ht="16.2">
      <c r="D2383" s="1565"/>
    </row>
    <row r="2384" spans="1:20" ht="16.2">
      <c r="D2384" s="1565"/>
    </row>
    <row r="2385" spans="4:4" ht="16.2">
      <c r="D2385" s="1565"/>
    </row>
    <row r="2386" spans="4:4" ht="16.2">
      <c r="D2386" s="1565"/>
    </row>
    <row r="2387" spans="4:4" ht="16.2">
      <c r="D2387" s="1565"/>
    </row>
    <row r="2388" spans="4:4" ht="16.2">
      <c r="D2388" s="1565"/>
    </row>
    <row r="2389" spans="4:4" ht="16.2">
      <c r="D2389" s="1565"/>
    </row>
    <row r="2390" spans="4:4" ht="16.2">
      <c r="D2390" s="1565"/>
    </row>
    <row r="2391" spans="4:4" ht="16.2">
      <c r="D2391" s="1565"/>
    </row>
    <row r="2392" spans="4:4" ht="16.2">
      <c r="D2392" s="1565"/>
    </row>
    <row r="2393" spans="4:4" ht="16.2">
      <c r="D2393" s="1565"/>
    </row>
    <row r="2394" spans="4:4" ht="16.2">
      <c r="D2394" s="1565"/>
    </row>
    <row r="2395" spans="4:4" ht="16.2">
      <c r="D2395" s="1565"/>
    </row>
    <row r="2396" spans="4:4" ht="16.2">
      <c r="D2396" s="1565"/>
    </row>
    <row r="2397" spans="4:4" ht="16.2">
      <c r="D2397" s="1565"/>
    </row>
    <row r="2398" spans="4:4" ht="16.2">
      <c r="D2398" s="1565"/>
    </row>
    <row r="2399" spans="4:4" ht="16.2">
      <c r="D2399" s="1565"/>
    </row>
    <row r="2400" spans="4:4" ht="16.2">
      <c r="D2400" s="1565"/>
    </row>
    <row r="2401" spans="4:4" ht="16.2">
      <c r="D2401" s="1565"/>
    </row>
    <row r="2402" spans="4:4" ht="16.2">
      <c r="D2402" s="1565"/>
    </row>
    <row r="2403" spans="4:4" ht="16.2">
      <c r="D2403" s="1565"/>
    </row>
    <row r="2404" spans="4:4" ht="16.2">
      <c r="D2404" s="1565"/>
    </row>
    <row r="2405" spans="4:4" ht="16.2">
      <c r="D2405" s="1565"/>
    </row>
    <row r="2406" spans="4:4" ht="16.2">
      <c r="D2406" s="1565"/>
    </row>
    <row r="2407" spans="4:4" ht="16.2">
      <c r="D2407" s="1565"/>
    </row>
    <row r="2408" spans="4:4" ht="16.2">
      <c r="D2408" s="1565"/>
    </row>
    <row r="2409" spans="4:4" ht="16.2">
      <c r="D2409" s="1565"/>
    </row>
    <row r="2410" spans="4:4" ht="16.2">
      <c r="D2410" s="1565"/>
    </row>
    <row r="2411" spans="4:4" ht="16.2">
      <c r="D2411" s="1565"/>
    </row>
    <row r="2412" spans="4:4" ht="16.2">
      <c r="D2412" s="1565"/>
    </row>
    <row r="2413" spans="4:4" ht="16.2">
      <c r="D2413" s="1565"/>
    </row>
    <row r="2414" spans="4:4" ht="16.2">
      <c r="D2414" s="1565"/>
    </row>
    <row r="2415" spans="4:4" ht="16.2">
      <c r="D2415" s="1565"/>
    </row>
    <row r="2416" spans="4:4" ht="16.2">
      <c r="D2416" s="1565"/>
    </row>
    <row r="2417" spans="4:4" ht="16.2">
      <c r="D2417" s="1565"/>
    </row>
    <row r="2418" spans="4:4" ht="16.2">
      <c r="D2418" s="1565"/>
    </row>
    <row r="2419" spans="4:4" ht="16.2">
      <c r="D2419" s="1565"/>
    </row>
    <row r="2420" spans="4:4" ht="16.2">
      <c r="D2420" s="1565"/>
    </row>
    <row r="2421" spans="4:4" ht="16.2">
      <c r="D2421" s="1565"/>
    </row>
    <row r="2422" spans="4:4" ht="16.2">
      <c r="D2422" s="1565"/>
    </row>
    <row r="2423" spans="4:4" ht="16.2">
      <c r="D2423" s="1565"/>
    </row>
    <row r="2424" spans="4:4" ht="16.2">
      <c r="D2424" s="1565"/>
    </row>
    <row r="2425" spans="4:4" ht="16.2">
      <c r="D2425" s="1565"/>
    </row>
    <row r="2426" spans="4:4" ht="16.2">
      <c r="D2426" s="1565"/>
    </row>
    <row r="2427" spans="4:4" ht="16.2">
      <c r="D2427" s="1565"/>
    </row>
    <row r="2428" spans="4:4" ht="16.2">
      <c r="D2428" s="1565"/>
    </row>
    <row r="2429" spans="4:4" ht="16.2">
      <c r="D2429" s="1565"/>
    </row>
    <row r="2430" spans="4:4" ht="16.2">
      <c r="D2430" s="1565"/>
    </row>
    <row r="2431" spans="4:4" ht="16.2">
      <c r="D2431" s="1565"/>
    </row>
    <row r="2432" spans="4:4" ht="16.2">
      <c r="D2432" s="1565"/>
    </row>
    <row r="2433" spans="4:4" ht="16.2">
      <c r="D2433" s="1565"/>
    </row>
    <row r="2434" spans="4:4" ht="16.2">
      <c r="D2434" s="1565"/>
    </row>
    <row r="2435" spans="4:4" ht="16.2">
      <c r="D2435" s="1565"/>
    </row>
    <row r="2436" spans="4:4" ht="16.2">
      <c r="D2436" s="1565"/>
    </row>
    <row r="2437" spans="4:4" ht="16.2">
      <c r="D2437" s="1565"/>
    </row>
    <row r="2438" spans="4:4" ht="16.2">
      <c r="D2438" s="1565"/>
    </row>
    <row r="2439" spans="4:4" ht="16.2">
      <c r="D2439" s="1565"/>
    </row>
    <row r="2440" spans="4:4" ht="16.2">
      <c r="D2440" s="1565"/>
    </row>
    <row r="2441" spans="4:4" ht="16.2">
      <c r="D2441" s="1565"/>
    </row>
    <row r="2442" spans="4:4" ht="16.2">
      <c r="D2442" s="1565"/>
    </row>
    <row r="2443" spans="4:4" ht="16.2">
      <c r="D2443" s="1565"/>
    </row>
    <row r="2444" spans="4:4" ht="16.2">
      <c r="D2444" s="1565"/>
    </row>
    <row r="2445" spans="4:4" ht="16.2">
      <c r="D2445" s="1565"/>
    </row>
    <row r="2446" spans="4:4" ht="16.2">
      <c r="D2446" s="1565"/>
    </row>
    <row r="2447" spans="4:4" ht="16.2">
      <c r="D2447" s="1565"/>
    </row>
    <row r="2448" spans="4:4" ht="16.2">
      <c r="D2448" s="1565"/>
    </row>
    <row r="2449" spans="4:4" ht="16.2">
      <c r="D2449" s="1565"/>
    </row>
    <row r="2450" spans="4:4" ht="16.2">
      <c r="D2450" s="1565"/>
    </row>
    <row r="2451" spans="4:4" ht="16.2">
      <c r="D2451" s="1565"/>
    </row>
    <row r="2452" spans="4:4" ht="16.2">
      <c r="D2452" s="1565"/>
    </row>
    <row r="2453" spans="4:4" ht="16.2">
      <c r="D2453" s="1565"/>
    </row>
    <row r="2454" spans="4:4" ht="16.2">
      <c r="D2454" s="1565"/>
    </row>
    <row r="2455" spans="4:4" ht="16.2">
      <c r="D2455" s="1565"/>
    </row>
    <row r="2456" spans="4:4" ht="16.2">
      <c r="D2456" s="1565"/>
    </row>
    <row r="2457" spans="4:4" ht="16.2">
      <c r="D2457" s="1565"/>
    </row>
    <row r="2458" spans="4:4" ht="16.2">
      <c r="D2458" s="1565"/>
    </row>
    <row r="2459" spans="4:4" ht="16.2">
      <c r="D2459" s="1565"/>
    </row>
    <row r="2460" spans="4:4" ht="16.2">
      <c r="D2460" s="1565"/>
    </row>
    <row r="2461" spans="4:4" ht="16.2">
      <c r="D2461" s="1565"/>
    </row>
    <row r="2462" spans="4:4" ht="16.2">
      <c r="D2462" s="1565"/>
    </row>
    <row r="2463" spans="4:4" ht="16.2">
      <c r="D2463" s="1565"/>
    </row>
    <row r="2464" spans="4:4" ht="16.2">
      <c r="D2464" s="1565"/>
    </row>
    <row r="2465" spans="4:4" ht="16.2">
      <c r="D2465" s="1565"/>
    </row>
    <row r="2466" spans="4:4" ht="16.2">
      <c r="D2466" s="1565"/>
    </row>
    <row r="2467" spans="4:4" ht="16.2">
      <c r="D2467" s="1565"/>
    </row>
    <row r="2468" spans="4:4" ht="16.2">
      <c r="D2468" s="1565"/>
    </row>
    <row r="2469" spans="4:4" ht="16.2">
      <c r="D2469" s="1565"/>
    </row>
    <row r="2470" spans="4:4" ht="16.2">
      <c r="D2470" s="1565"/>
    </row>
    <row r="2471" spans="4:4" ht="16.2">
      <c r="D2471" s="1565"/>
    </row>
    <row r="2472" spans="4:4" ht="16.2">
      <c r="D2472" s="1565"/>
    </row>
    <row r="2473" spans="4:4" ht="16.2">
      <c r="D2473" s="1565"/>
    </row>
    <row r="2474" spans="4:4" ht="16.2">
      <c r="D2474" s="1565"/>
    </row>
    <row r="2475" spans="4:4" ht="16.2">
      <c r="D2475" s="1565"/>
    </row>
    <row r="2476" spans="4:4" ht="16.2">
      <c r="D2476" s="1565"/>
    </row>
    <row r="2477" spans="4:4" ht="16.2">
      <c r="D2477" s="1565"/>
    </row>
    <row r="2478" spans="4:4" ht="16.2">
      <c r="D2478" s="1565"/>
    </row>
    <row r="2479" spans="4:4" ht="16.2">
      <c r="D2479" s="1565"/>
    </row>
    <row r="2480" spans="4:4" ht="16.2">
      <c r="D2480" s="1565"/>
    </row>
    <row r="2481" spans="4:4" ht="16.2">
      <c r="D2481" s="1565"/>
    </row>
    <row r="2482" spans="4:4" ht="16.2">
      <c r="D2482" s="1565"/>
    </row>
    <row r="2483" spans="4:4" ht="16.2">
      <c r="D2483" s="1565"/>
    </row>
    <row r="2484" spans="4:4" ht="16.2">
      <c r="D2484" s="1565"/>
    </row>
    <row r="2485" spans="4:4" ht="16.2">
      <c r="D2485" s="1565"/>
    </row>
    <row r="2486" spans="4:4" ht="16.2">
      <c r="D2486" s="1565"/>
    </row>
    <row r="2487" spans="4:4" ht="16.2">
      <c r="D2487" s="1565"/>
    </row>
    <row r="2488" spans="4:4" ht="16.2">
      <c r="D2488" s="1565"/>
    </row>
    <row r="2489" spans="4:4" ht="16.2">
      <c r="D2489" s="1565"/>
    </row>
    <row r="2490" spans="4:4" ht="16.2">
      <c r="D2490" s="1565"/>
    </row>
    <row r="2491" spans="4:4" ht="16.2">
      <c r="D2491" s="1565"/>
    </row>
    <row r="2492" spans="4:4" ht="16.2">
      <c r="D2492" s="1565"/>
    </row>
    <row r="2493" spans="4:4" ht="16.2">
      <c r="D2493" s="1565"/>
    </row>
    <row r="2494" spans="4:4" ht="16.2">
      <c r="D2494" s="1565"/>
    </row>
    <row r="2495" spans="4:4" ht="16.2">
      <c r="D2495" s="1565"/>
    </row>
    <row r="2496" spans="4:4" ht="16.2">
      <c r="D2496" s="1565"/>
    </row>
    <row r="2497" spans="4:4" ht="16.2">
      <c r="D2497" s="1565"/>
    </row>
    <row r="2498" spans="4:4" ht="16.2">
      <c r="D2498" s="1565"/>
    </row>
    <row r="2499" spans="4:4" ht="16.2">
      <c r="D2499" s="1565"/>
    </row>
    <row r="2500" spans="4:4" ht="16.2">
      <c r="D2500" s="1565"/>
    </row>
    <row r="2501" spans="4:4" ht="16.2">
      <c r="D2501" s="1565"/>
    </row>
    <row r="2502" spans="4:4" ht="16.2">
      <c r="D2502" s="1565"/>
    </row>
    <row r="2503" spans="4:4" ht="16.2">
      <c r="D2503" s="1565"/>
    </row>
    <row r="2504" spans="4:4" ht="16.2">
      <c r="D2504" s="1565"/>
    </row>
    <row r="2505" spans="4:4" ht="16.2">
      <c r="D2505" s="1565"/>
    </row>
    <row r="2506" spans="4:4" ht="16.2">
      <c r="D2506" s="1565"/>
    </row>
    <row r="2507" spans="4:4" ht="16.2">
      <c r="D2507" s="1565"/>
    </row>
    <row r="2508" spans="4:4" ht="16.2">
      <c r="D2508" s="1565"/>
    </row>
    <row r="2509" spans="4:4" ht="16.2">
      <c r="D2509" s="1565"/>
    </row>
    <row r="2510" spans="4:4" ht="16.2">
      <c r="D2510" s="1565"/>
    </row>
    <row r="2511" spans="4:4" ht="16.2">
      <c r="D2511" s="1565"/>
    </row>
    <row r="2512" spans="4:4" ht="16.2">
      <c r="D2512" s="1565"/>
    </row>
    <row r="2513" spans="4:4" ht="16.2">
      <c r="D2513" s="1565"/>
    </row>
    <row r="2514" spans="4:4" ht="16.2">
      <c r="D2514" s="1565"/>
    </row>
    <row r="2515" spans="4:4" ht="16.2">
      <c r="D2515" s="1565"/>
    </row>
    <row r="2516" spans="4:4" ht="16.2">
      <c r="D2516" s="1565"/>
    </row>
    <row r="2517" spans="4:4" ht="16.2">
      <c r="D2517" s="1565"/>
    </row>
    <row r="2518" spans="4:4" ht="16.2">
      <c r="D2518" s="1565"/>
    </row>
    <row r="2519" spans="4:4" ht="16.2">
      <c r="D2519" s="1565"/>
    </row>
    <row r="2520" spans="4:4" ht="16.2">
      <c r="D2520" s="1565"/>
    </row>
    <row r="2521" spans="4:4" ht="16.2">
      <c r="D2521" s="1565"/>
    </row>
    <row r="2522" spans="4:4" ht="16.2">
      <c r="D2522" s="1565"/>
    </row>
    <row r="2523" spans="4:4" ht="16.2">
      <c r="D2523" s="1565"/>
    </row>
    <row r="2524" spans="4:4" ht="16.2">
      <c r="D2524" s="1565"/>
    </row>
    <row r="2525" spans="4:4" ht="16.2">
      <c r="D2525" s="1565"/>
    </row>
    <row r="2526" spans="4:4" ht="16.2">
      <c r="D2526" s="1565"/>
    </row>
    <row r="2527" spans="4:4" ht="16.2">
      <c r="D2527" s="1565"/>
    </row>
    <row r="2528" spans="4:4" ht="16.2">
      <c r="D2528" s="1565"/>
    </row>
    <row r="2529" spans="4:4" ht="16.2">
      <c r="D2529" s="1565"/>
    </row>
    <row r="2530" spans="4:4" ht="16.2">
      <c r="D2530" s="1565"/>
    </row>
    <row r="2531" spans="4:4" ht="16.2">
      <c r="D2531" s="1565"/>
    </row>
    <row r="2532" spans="4:4" ht="16.2">
      <c r="D2532" s="1565"/>
    </row>
    <row r="2533" spans="4:4" ht="16.2">
      <c r="D2533" s="1565"/>
    </row>
    <row r="2534" spans="4:4" ht="16.2">
      <c r="D2534" s="1565"/>
    </row>
    <row r="2535" spans="4:4" ht="16.2">
      <c r="D2535" s="1565"/>
    </row>
    <row r="2536" spans="4:4" ht="16.2">
      <c r="D2536" s="1565"/>
    </row>
    <row r="2537" spans="4:4" ht="16.2">
      <c r="D2537" s="1565"/>
    </row>
    <row r="2538" spans="4:4" ht="16.2">
      <c r="D2538" s="1565"/>
    </row>
    <row r="2539" spans="4:4" ht="16.2">
      <c r="D2539" s="1565"/>
    </row>
    <row r="2540" spans="4:4" ht="16.2">
      <c r="D2540" s="1565"/>
    </row>
    <row r="2541" spans="4:4" ht="16.2">
      <c r="D2541" s="1565"/>
    </row>
    <row r="2542" spans="4:4" ht="16.2">
      <c r="D2542" s="1565"/>
    </row>
    <row r="2543" spans="4:4" ht="16.2">
      <c r="D2543" s="1565"/>
    </row>
    <row r="2544" spans="4:4" ht="16.2">
      <c r="D2544" s="1565"/>
    </row>
    <row r="2545" spans="4:4" ht="16.2">
      <c r="D2545" s="1565"/>
    </row>
    <row r="2546" spans="4:4" ht="16.2">
      <c r="D2546" s="1565"/>
    </row>
    <row r="2547" spans="4:4" ht="16.2">
      <c r="D2547" s="1565"/>
    </row>
    <row r="2548" spans="4:4" ht="16.2">
      <c r="D2548" s="1565"/>
    </row>
    <row r="2549" spans="4:4" ht="16.2">
      <c r="D2549" s="1565"/>
    </row>
    <row r="2550" spans="4:4" ht="16.2">
      <c r="D2550" s="1565"/>
    </row>
    <row r="2551" spans="4:4" ht="16.2">
      <c r="D2551" s="1565"/>
    </row>
    <row r="2552" spans="4:4" ht="16.2">
      <c r="D2552" s="1565"/>
    </row>
    <row r="2553" spans="4:4" ht="16.2">
      <c r="D2553" s="1565"/>
    </row>
    <row r="2554" spans="4:4" ht="16.2">
      <c r="D2554" s="1565"/>
    </row>
    <row r="2555" spans="4:4" ht="16.2">
      <c r="D2555" s="1565"/>
    </row>
    <row r="2556" spans="4:4" ht="16.2">
      <c r="D2556" s="1565"/>
    </row>
    <row r="2557" spans="4:4" ht="16.2">
      <c r="D2557" s="1565"/>
    </row>
    <row r="2558" spans="4:4" ht="16.2">
      <c r="D2558" s="1565"/>
    </row>
    <row r="2559" spans="4:4" ht="16.2">
      <c r="D2559" s="1565"/>
    </row>
    <row r="2560" spans="4:4" ht="16.2">
      <c r="D2560" s="1565"/>
    </row>
    <row r="2561" spans="4:4" ht="16.2">
      <c r="D2561" s="1565"/>
    </row>
    <row r="2562" spans="4:4" ht="16.2">
      <c r="D2562" s="1565"/>
    </row>
    <row r="2563" spans="4:4" ht="16.2">
      <c r="D2563" s="1565"/>
    </row>
    <row r="2564" spans="4:4" ht="16.2">
      <c r="D2564" s="1565"/>
    </row>
    <row r="2565" spans="4:4" ht="16.2">
      <c r="D2565" s="1565"/>
    </row>
    <row r="2566" spans="4:4" ht="16.2">
      <c r="D2566" s="1565"/>
    </row>
    <row r="2567" spans="4:4" ht="16.2">
      <c r="D2567" s="1565"/>
    </row>
    <row r="2568" spans="4:4" ht="16.2">
      <c r="D2568" s="1565"/>
    </row>
    <row r="2569" spans="4:4" ht="16.2">
      <c r="D2569" s="1565"/>
    </row>
    <row r="2570" spans="4:4" ht="16.2">
      <c r="D2570" s="1565"/>
    </row>
    <row r="2571" spans="4:4" ht="16.2">
      <c r="D2571" s="1565"/>
    </row>
    <row r="2572" spans="4:4" ht="16.2">
      <c r="D2572" s="1565"/>
    </row>
    <row r="2573" spans="4:4" ht="16.2">
      <c r="D2573" s="1565"/>
    </row>
    <row r="2574" spans="4:4" ht="16.2">
      <c r="D2574" s="1565"/>
    </row>
    <row r="2575" spans="4:4" ht="16.2">
      <c r="D2575" s="1565"/>
    </row>
    <row r="2576" spans="4:4" ht="16.2">
      <c r="D2576" s="1565"/>
    </row>
    <row r="2577" spans="4:4" ht="16.2">
      <c r="D2577" s="1565"/>
    </row>
    <row r="2578" spans="4:4" ht="16.2">
      <c r="D2578" s="1565"/>
    </row>
    <row r="2579" spans="4:4" ht="16.2">
      <c r="D2579" s="1565"/>
    </row>
    <row r="2580" spans="4:4" ht="16.2">
      <c r="D2580" s="1565"/>
    </row>
    <row r="2581" spans="4:4" ht="16.2">
      <c r="D2581" s="1565"/>
    </row>
    <row r="2582" spans="4:4" ht="16.2">
      <c r="D2582" s="1565"/>
    </row>
    <row r="2583" spans="4:4" ht="16.2">
      <c r="D2583" s="1565"/>
    </row>
    <row r="2584" spans="4:4" ht="16.2">
      <c r="D2584" s="1565"/>
    </row>
    <row r="2585" spans="4:4" ht="16.2">
      <c r="D2585" s="1565"/>
    </row>
    <row r="2586" spans="4:4" ht="16.2">
      <c r="D2586" s="1565"/>
    </row>
    <row r="2587" spans="4:4" ht="16.2">
      <c r="D2587" s="1565"/>
    </row>
    <row r="2588" spans="4:4" ht="16.2">
      <c r="D2588" s="1565"/>
    </row>
    <row r="2589" spans="4:4" ht="16.2">
      <c r="D2589" s="1565"/>
    </row>
    <row r="2590" spans="4:4" ht="16.2">
      <c r="D2590" s="1565"/>
    </row>
    <row r="2591" spans="4:4" ht="16.2">
      <c r="D2591" s="1565"/>
    </row>
    <row r="2592" spans="4:4" ht="16.2">
      <c r="D2592" s="1565"/>
    </row>
    <row r="2593" spans="4:4" ht="16.2">
      <c r="D2593" s="1565"/>
    </row>
    <row r="2594" spans="4:4" ht="16.2">
      <c r="D2594" s="1565"/>
    </row>
    <row r="2595" spans="4:4" ht="16.2">
      <c r="D2595" s="1565"/>
    </row>
    <row r="2596" spans="4:4" ht="16.2">
      <c r="D2596" s="1565"/>
    </row>
    <row r="2597" spans="4:4" ht="16.2">
      <c r="D2597" s="1565"/>
    </row>
    <row r="2598" spans="4:4" ht="16.2">
      <c r="D2598" s="1565"/>
    </row>
    <row r="2599" spans="4:4" ht="16.2">
      <c r="D2599" s="1565"/>
    </row>
    <row r="2600" spans="4:4" ht="16.2">
      <c r="D2600" s="1565"/>
    </row>
    <row r="2601" spans="4:4" ht="16.2">
      <c r="D2601" s="1565"/>
    </row>
    <row r="2602" spans="4:4" ht="16.2">
      <c r="D2602" s="1565"/>
    </row>
    <row r="2603" spans="4:4" ht="16.2">
      <c r="D2603" s="1565"/>
    </row>
    <row r="2604" spans="4:4" ht="16.2">
      <c r="D2604" s="1565"/>
    </row>
    <row r="2605" spans="4:4" ht="16.2">
      <c r="D2605" s="1565"/>
    </row>
    <row r="2606" spans="4:4" ht="16.2">
      <c r="D2606" s="1565"/>
    </row>
    <row r="2607" spans="4:4" ht="16.2">
      <c r="D2607" s="1565"/>
    </row>
    <row r="2608" spans="4:4" ht="16.2">
      <c r="D2608" s="1565"/>
    </row>
    <row r="2609" spans="4:4" ht="16.2">
      <c r="D2609" s="1565"/>
    </row>
    <row r="2610" spans="4:4" ht="16.2">
      <c r="D2610" s="1565"/>
    </row>
    <row r="2611" spans="4:4" ht="16.2">
      <c r="D2611" s="1565"/>
    </row>
    <row r="2612" spans="4:4" ht="16.2">
      <c r="D2612" s="1565"/>
    </row>
    <row r="2613" spans="4:4" ht="16.2">
      <c r="D2613" s="1565"/>
    </row>
    <row r="2614" spans="4:4" ht="16.2">
      <c r="D2614" s="1565"/>
    </row>
    <row r="2615" spans="4:4" ht="16.2">
      <c r="D2615" s="1565"/>
    </row>
    <row r="2616" spans="4:4" ht="16.2">
      <c r="D2616" s="1565"/>
    </row>
    <row r="2617" spans="4:4" ht="16.2">
      <c r="D2617" s="1565"/>
    </row>
    <row r="2618" spans="4:4" ht="16.2">
      <c r="D2618" s="1565"/>
    </row>
    <row r="2619" spans="4:4" ht="16.2">
      <c r="D2619" s="1565"/>
    </row>
    <row r="2620" spans="4:4" ht="16.2">
      <c r="D2620" s="1565"/>
    </row>
    <row r="2621" spans="4:4" ht="16.2">
      <c r="D2621" s="1565"/>
    </row>
    <row r="2622" spans="4:4" ht="16.2">
      <c r="D2622" s="1565"/>
    </row>
    <row r="2623" spans="4:4" ht="16.2">
      <c r="D2623" s="1565"/>
    </row>
    <row r="2624" spans="4:4" ht="16.2">
      <c r="D2624" s="1565"/>
    </row>
    <row r="2625" spans="4:4" ht="16.2">
      <c r="D2625" s="1565"/>
    </row>
    <row r="2626" spans="4:4" ht="16.2">
      <c r="D2626" s="1565"/>
    </row>
    <row r="2627" spans="4:4" ht="16.2">
      <c r="D2627" s="1565"/>
    </row>
    <row r="2628" spans="4:4" ht="16.2">
      <c r="D2628" s="1565"/>
    </row>
    <row r="2629" spans="4:4" ht="16.2">
      <c r="D2629" s="1565"/>
    </row>
    <row r="2630" spans="4:4" ht="16.2">
      <c r="D2630" s="1565"/>
    </row>
    <row r="2631" spans="4:4" ht="16.2">
      <c r="D2631" s="1565"/>
    </row>
    <row r="2632" spans="4:4" ht="16.2">
      <c r="D2632" s="1565"/>
    </row>
    <row r="2633" spans="4:4" ht="16.2">
      <c r="D2633" s="1565"/>
    </row>
    <row r="2634" spans="4:4" ht="16.2">
      <c r="D2634" s="1565"/>
    </row>
    <row r="2635" spans="4:4" ht="16.2">
      <c r="D2635" s="1565"/>
    </row>
    <row r="2636" spans="4:4" ht="16.2">
      <c r="D2636" s="1565"/>
    </row>
    <row r="2637" spans="4:4" ht="16.2">
      <c r="D2637" s="1565"/>
    </row>
    <row r="2638" spans="4:4" ht="16.2">
      <c r="D2638" s="1565"/>
    </row>
    <row r="2639" spans="4:4" ht="16.2">
      <c r="D2639" s="1565"/>
    </row>
    <row r="2640" spans="4:4" ht="16.2">
      <c r="D2640" s="1565"/>
    </row>
    <row r="2641" spans="4:4" ht="16.2">
      <c r="D2641" s="1565"/>
    </row>
    <row r="2642" spans="4:4" ht="16.2">
      <c r="D2642" s="1565"/>
    </row>
    <row r="2643" spans="4:4" ht="16.2">
      <c r="D2643" s="1565"/>
    </row>
    <row r="2644" spans="4:4" ht="16.2">
      <c r="D2644" s="1565"/>
    </row>
    <row r="2645" spans="4:4" ht="16.2">
      <c r="D2645" s="1565"/>
    </row>
    <row r="2646" spans="4:4" ht="16.2">
      <c r="D2646" s="1565"/>
    </row>
    <row r="2647" spans="4:4" ht="16.2">
      <c r="D2647" s="1565"/>
    </row>
    <row r="2648" spans="4:4" ht="16.2">
      <c r="D2648" s="1565"/>
    </row>
    <row r="2649" spans="4:4" ht="16.2">
      <c r="D2649" s="1565"/>
    </row>
    <row r="2650" spans="4:4" ht="16.2">
      <c r="D2650" s="1565"/>
    </row>
    <row r="2651" spans="4:4" ht="16.2">
      <c r="D2651" s="1565"/>
    </row>
    <row r="2652" spans="4:4" ht="16.2">
      <c r="D2652" s="1565"/>
    </row>
    <row r="2653" spans="4:4" ht="16.2">
      <c r="D2653" s="1565"/>
    </row>
    <row r="2654" spans="4:4" ht="16.2">
      <c r="D2654" s="1565"/>
    </row>
    <row r="2655" spans="4:4" ht="16.2">
      <c r="D2655" s="1565"/>
    </row>
    <row r="2656" spans="4:4" ht="16.2">
      <c r="D2656" s="1565"/>
    </row>
    <row r="2657" spans="4:4" ht="16.2">
      <c r="D2657" s="1565"/>
    </row>
    <row r="2658" spans="4:4" ht="16.2">
      <c r="D2658" s="1565"/>
    </row>
    <row r="2659" spans="4:4" ht="16.2">
      <c r="D2659" s="1565"/>
    </row>
    <row r="2660" spans="4:4" ht="16.2">
      <c r="D2660" s="1565"/>
    </row>
    <row r="2661" spans="4:4" ht="16.2">
      <c r="D2661" s="1565"/>
    </row>
    <row r="2662" spans="4:4" ht="16.2">
      <c r="D2662" s="1565"/>
    </row>
    <row r="2663" spans="4:4" ht="16.2">
      <c r="D2663" s="1565"/>
    </row>
    <row r="2664" spans="4:4" ht="16.2">
      <c r="D2664" s="1565"/>
    </row>
    <row r="2665" spans="4:4" ht="16.2">
      <c r="D2665" s="1565"/>
    </row>
    <row r="2666" spans="4:4" ht="16.2">
      <c r="D2666" s="1565"/>
    </row>
    <row r="2667" spans="4:4" ht="16.2">
      <c r="D2667" s="1565"/>
    </row>
    <row r="2668" spans="4:4" ht="16.2">
      <c r="D2668" s="1565"/>
    </row>
    <row r="2669" spans="4:4" ht="16.2">
      <c r="D2669" s="1565"/>
    </row>
    <row r="2670" spans="4:4" ht="16.2">
      <c r="D2670" s="1565"/>
    </row>
    <row r="2671" spans="4:4" ht="16.2">
      <c r="D2671" s="1565"/>
    </row>
    <row r="2672" spans="4:4" ht="16.2">
      <c r="D2672" s="1565"/>
    </row>
    <row r="2673" spans="4:4" ht="16.2">
      <c r="D2673" s="1565"/>
    </row>
    <row r="2674" spans="4:4" ht="16.2">
      <c r="D2674" s="1565"/>
    </row>
    <row r="2675" spans="4:4" ht="16.2">
      <c r="D2675" s="1565"/>
    </row>
    <row r="2676" spans="4:4" ht="16.2">
      <c r="D2676" s="1565"/>
    </row>
    <row r="2677" spans="4:4" ht="16.2">
      <c r="D2677" s="1565"/>
    </row>
    <row r="2678" spans="4:4" ht="16.2">
      <c r="D2678" s="1565"/>
    </row>
    <row r="2679" spans="4:4" ht="16.2">
      <c r="D2679" s="1565"/>
    </row>
    <row r="2680" spans="4:4" ht="16.2">
      <c r="D2680" s="1565"/>
    </row>
    <row r="2681" spans="4:4" ht="16.2">
      <c r="D2681" s="1565"/>
    </row>
    <row r="2682" spans="4:4" ht="16.2">
      <c r="D2682" s="1565"/>
    </row>
    <row r="2683" spans="4:4" ht="16.2">
      <c r="D2683" s="1565"/>
    </row>
    <row r="2684" spans="4:4" ht="16.2">
      <c r="D2684" s="1565"/>
    </row>
    <row r="2685" spans="4:4" ht="16.2">
      <c r="D2685" s="1565"/>
    </row>
    <row r="2686" spans="4:4" ht="16.2">
      <c r="D2686" s="1565"/>
    </row>
    <row r="2687" spans="4:4" ht="16.2">
      <c r="D2687" s="1565"/>
    </row>
    <row r="2688" spans="4:4" ht="16.2">
      <c r="D2688" s="1565"/>
    </row>
    <row r="2689" spans="4:4" ht="16.2">
      <c r="D2689" s="1565"/>
    </row>
    <row r="2690" spans="4:4" ht="16.2">
      <c r="D2690" s="1565"/>
    </row>
    <row r="2691" spans="4:4" ht="16.2">
      <c r="D2691" s="1565"/>
    </row>
    <row r="2692" spans="4:4" ht="16.2">
      <c r="D2692" s="1565"/>
    </row>
    <row r="2693" spans="4:4" ht="16.2">
      <c r="D2693" s="1565"/>
    </row>
    <row r="2694" spans="4:4" ht="16.2">
      <c r="D2694" s="1565"/>
    </row>
    <row r="2695" spans="4:4" ht="16.2">
      <c r="D2695" s="1565"/>
    </row>
    <row r="2696" spans="4:4" ht="16.2">
      <c r="D2696" s="1565"/>
    </row>
    <row r="2697" spans="4:4" ht="16.2">
      <c r="D2697" s="1565"/>
    </row>
    <row r="2698" spans="4:4" ht="16.2">
      <c r="D2698" s="1565"/>
    </row>
    <row r="2699" spans="4:4" ht="16.2">
      <c r="D2699" s="1565"/>
    </row>
    <row r="2700" spans="4:4" ht="16.2">
      <c r="D2700" s="1565"/>
    </row>
    <row r="2701" spans="4:4" ht="16.2">
      <c r="D2701" s="1565"/>
    </row>
    <row r="2702" spans="4:4" ht="16.2">
      <c r="D2702" s="1565"/>
    </row>
    <row r="2703" spans="4:4" ht="16.2">
      <c r="D2703" s="1565"/>
    </row>
    <row r="2704" spans="4:4" ht="16.2">
      <c r="D2704" s="1565"/>
    </row>
    <row r="2705" spans="4:4" ht="16.2">
      <c r="D2705" s="1565"/>
    </row>
    <row r="2706" spans="4:4" ht="16.2">
      <c r="D2706" s="1565"/>
    </row>
    <row r="2707" spans="4:4" ht="16.2">
      <c r="D2707" s="1565"/>
    </row>
    <row r="2708" spans="4:4" ht="16.2">
      <c r="D2708" s="1565"/>
    </row>
    <row r="2709" spans="4:4" ht="16.2">
      <c r="D2709" s="1565"/>
    </row>
    <row r="2710" spans="4:4" ht="16.2">
      <c r="D2710" s="1565"/>
    </row>
    <row r="2711" spans="4:4" ht="16.2">
      <c r="D2711" s="1565"/>
    </row>
    <row r="2712" spans="4:4" ht="16.2">
      <c r="D2712" s="1565"/>
    </row>
    <row r="2713" spans="4:4" ht="16.2">
      <c r="D2713" s="1565"/>
    </row>
    <row r="2714" spans="4:4" ht="16.2">
      <c r="D2714" s="1565"/>
    </row>
    <row r="2715" spans="4:4" ht="16.2">
      <c r="D2715" s="1565"/>
    </row>
    <row r="2716" spans="4:4" ht="16.2">
      <c r="D2716" s="1565"/>
    </row>
    <row r="2717" spans="4:4" ht="16.2">
      <c r="D2717" s="1565"/>
    </row>
    <row r="2718" spans="4:4" ht="16.2">
      <c r="D2718" s="1565"/>
    </row>
    <row r="2719" spans="4:4" ht="16.2">
      <c r="D2719" s="1565"/>
    </row>
    <row r="2720" spans="4:4" ht="16.2">
      <c r="D2720" s="1565"/>
    </row>
    <row r="2721" spans="4:4" ht="16.2">
      <c r="D2721" s="1565"/>
    </row>
    <row r="2722" spans="4:4" ht="16.2">
      <c r="D2722" s="1565"/>
    </row>
    <row r="2723" spans="4:4" ht="16.2">
      <c r="D2723" s="1565"/>
    </row>
    <row r="2724" spans="4:4" ht="16.2">
      <c r="D2724" s="1565"/>
    </row>
    <row r="2725" spans="4:4" ht="16.2">
      <c r="D2725" s="1565"/>
    </row>
    <row r="2726" spans="4:4" ht="16.2">
      <c r="D2726" s="1565"/>
    </row>
    <row r="2727" spans="4:4" ht="16.2">
      <c r="D2727" s="1565"/>
    </row>
    <row r="2728" spans="4:4" ht="16.2">
      <c r="D2728" s="1565"/>
    </row>
    <row r="2729" spans="4:4" ht="16.2">
      <c r="D2729" s="1565"/>
    </row>
    <row r="2730" spans="4:4" ht="16.2">
      <c r="D2730" s="1565"/>
    </row>
    <row r="2731" spans="4:4" ht="16.2">
      <c r="D2731" s="1565"/>
    </row>
    <row r="2732" spans="4:4" ht="16.2">
      <c r="D2732" s="1565"/>
    </row>
    <row r="2733" spans="4:4" ht="16.2">
      <c r="D2733" s="1565"/>
    </row>
    <row r="2734" spans="4:4" ht="16.2">
      <c r="D2734" s="1565"/>
    </row>
    <row r="2735" spans="4:4" ht="16.2">
      <c r="D2735" s="1565"/>
    </row>
    <row r="2736" spans="4:4" ht="16.2">
      <c r="D2736" s="1565"/>
    </row>
    <row r="2737" spans="4:4" ht="16.2">
      <c r="D2737" s="1565"/>
    </row>
    <row r="2738" spans="4:4" ht="16.2">
      <c r="D2738" s="1565"/>
    </row>
    <row r="2739" spans="4:4" ht="16.2">
      <c r="D2739" s="1565"/>
    </row>
    <row r="2740" spans="4:4" ht="16.2">
      <c r="D2740" s="1565"/>
    </row>
    <row r="2741" spans="4:4" ht="16.2">
      <c r="D2741" s="1565"/>
    </row>
    <row r="2742" spans="4:4" ht="16.2">
      <c r="D2742" s="1565"/>
    </row>
    <row r="2743" spans="4:4" ht="16.2">
      <c r="D2743" s="1565"/>
    </row>
    <row r="2744" spans="4:4" ht="16.2">
      <c r="D2744" s="1565"/>
    </row>
    <row r="2745" spans="4:4" ht="16.2">
      <c r="D2745" s="1565"/>
    </row>
    <row r="2746" spans="4:4" ht="16.2">
      <c r="D2746" s="1565"/>
    </row>
    <row r="2747" spans="4:4" ht="16.2">
      <c r="D2747" s="1565"/>
    </row>
    <row r="2748" spans="4:4" ht="16.2">
      <c r="D2748" s="1565"/>
    </row>
    <row r="2749" spans="4:4" ht="16.2">
      <c r="D2749" s="1565"/>
    </row>
    <row r="2750" spans="4:4" ht="16.2">
      <c r="D2750" s="1565"/>
    </row>
    <row r="2751" spans="4:4" ht="16.2">
      <c r="D2751" s="1565"/>
    </row>
    <row r="2752" spans="4:4" ht="16.2">
      <c r="D2752" s="1565"/>
    </row>
    <row r="2753" spans="4:4" ht="16.2">
      <c r="D2753" s="1565"/>
    </row>
    <row r="2754" spans="4:4" ht="16.2">
      <c r="D2754" s="1565"/>
    </row>
    <row r="2755" spans="4:4" ht="16.2">
      <c r="D2755" s="1565"/>
    </row>
    <row r="2756" spans="4:4" ht="16.2">
      <c r="D2756" s="1565"/>
    </row>
    <row r="2757" spans="4:4" ht="16.2">
      <c r="D2757" s="1565"/>
    </row>
    <row r="2758" spans="4:4" ht="16.2">
      <c r="D2758" s="1565"/>
    </row>
    <row r="2759" spans="4:4" ht="16.2">
      <c r="D2759" s="1565"/>
    </row>
    <row r="2760" spans="4:4" ht="16.2">
      <c r="D2760" s="1565"/>
    </row>
    <row r="2761" spans="4:4" ht="16.2">
      <c r="D2761" s="1565"/>
    </row>
    <row r="2762" spans="4:4" ht="16.2">
      <c r="D2762" s="1565"/>
    </row>
    <row r="2763" spans="4:4" ht="16.2">
      <c r="D2763" s="1565"/>
    </row>
    <row r="2764" spans="4:4" ht="16.2">
      <c r="D2764" s="1565"/>
    </row>
    <row r="2765" spans="4:4" ht="16.2">
      <c r="D2765" s="1565"/>
    </row>
    <row r="2766" spans="4:4" ht="16.2">
      <c r="D2766" s="1565"/>
    </row>
    <row r="2767" spans="4:4" ht="16.2">
      <c r="D2767" s="1565"/>
    </row>
    <row r="2768" spans="4:4" ht="16.2">
      <c r="D2768" s="1565"/>
    </row>
    <row r="2769" spans="4:4" ht="16.2">
      <c r="D2769" s="1565"/>
    </row>
    <row r="2770" spans="4:4" ht="16.2">
      <c r="D2770" s="1565"/>
    </row>
    <row r="2771" spans="4:4" ht="16.2">
      <c r="D2771" s="1565"/>
    </row>
    <row r="2772" spans="4:4" ht="16.2">
      <c r="D2772" s="1565"/>
    </row>
    <row r="2773" spans="4:4" ht="16.2">
      <c r="D2773" s="1565"/>
    </row>
    <row r="2774" spans="4:4" ht="16.2">
      <c r="D2774" s="1565"/>
    </row>
    <row r="2775" spans="4:4" ht="16.2">
      <c r="D2775" s="1565"/>
    </row>
    <row r="2776" spans="4:4" ht="16.2">
      <c r="D2776" s="1565"/>
    </row>
    <row r="2777" spans="4:4" ht="16.2">
      <c r="D2777" s="1565"/>
    </row>
    <row r="2778" spans="4:4" ht="16.2">
      <c r="D2778" s="1565"/>
    </row>
    <row r="2779" spans="4:4" ht="16.2">
      <c r="D2779" s="1565"/>
    </row>
    <row r="2780" spans="4:4" ht="16.2">
      <c r="D2780" s="1565"/>
    </row>
    <row r="2781" spans="4:4" ht="16.2">
      <c r="D2781" s="1565"/>
    </row>
    <row r="2782" spans="4:4" ht="16.2">
      <c r="D2782" s="1565"/>
    </row>
    <row r="2783" spans="4:4" ht="16.2">
      <c r="D2783" s="1565"/>
    </row>
    <row r="2784" spans="4:4" ht="16.2">
      <c r="D2784" s="1565"/>
    </row>
    <row r="2785" spans="4:4" ht="16.2">
      <c r="D2785" s="1565"/>
    </row>
    <row r="2786" spans="4:4" ht="16.2">
      <c r="D2786" s="1565"/>
    </row>
    <row r="2787" spans="4:4" ht="16.2">
      <c r="D2787" s="1565"/>
    </row>
    <row r="2788" spans="4:4" ht="16.2">
      <c r="D2788" s="1565"/>
    </row>
    <row r="2789" spans="4:4" ht="16.2">
      <c r="D2789" s="1565"/>
    </row>
    <row r="2790" spans="4:4" ht="16.2">
      <c r="D2790" s="1565"/>
    </row>
    <row r="2791" spans="4:4" ht="16.2">
      <c r="D2791" s="1565"/>
    </row>
    <row r="2792" spans="4:4" ht="16.2">
      <c r="D2792" s="1565"/>
    </row>
    <row r="2793" spans="4:4" ht="16.2">
      <c r="D2793" s="1565"/>
    </row>
    <row r="2794" spans="4:4" ht="16.2">
      <c r="D2794" s="1565"/>
    </row>
    <row r="2795" spans="4:4" ht="16.2">
      <c r="D2795" s="1565"/>
    </row>
    <row r="2796" spans="4:4" ht="16.2">
      <c r="D2796" s="1565"/>
    </row>
    <row r="2797" spans="4:4" ht="16.2">
      <c r="D2797" s="1565"/>
    </row>
    <row r="2798" spans="4:4" ht="16.2">
      <c r="D2798" s="1565"/>
    </row>
    <row r="2799" spans="4:4" ht="16.2">
      <c r="D2799" s="1565"/>
    </row>
    <row r="2800" spans="4:4" ht="16.2">
      <c r="D2800" s="1565"/>
    </row>
    <row r="2801" spans="4:4" ht="16.2">
      <c r="D2801" s="1565"/>
    </row>
    <row r="2802" spans="4:4" ht="16.2">
      <c r="D2802" s="1565"/>
    </row>
    <row r="2803" spans="4:4" ht="16.2">
      <c r="D2803" s="1565"/>
    </row>
    <row r="2804" spans="4:4" ht="16.2">
      <c r="D2804" s="1565"/>
    </row>
    <row r="2805" spans="4:4" ht="16.2">
      <c r="D2805" s="1565"/>
    </row>
    <row r="2806" spans="4:4" ht="16.2">
      <c r="D2806" s="1565"/>
    </row>
    <row r="2807" spans="4:4" ht="16.2">
      <c r="D2807" s="1565"/>
    </row>
    <row r="2808" spans="4:4" ht="16.2">
      <c r="D2808" s="1565"/>
    </row>
    <row r="2809" spans="4:4" ht="16.2">
      <c r="D2809" s="1565"/>
    </row>
    <row r="2810" spans="4:4" ht="16.2">
      <c r="D2810" s="1565"/>
    </row>
    <row r="2811" spans="4:4" ht="16.2">
      <c r="D2811" s="1565"/>
    </row>
    <row r="2812" spans="4:4" ht="16.2">
      <c r="D2812" s="1565"/>
    </row>
    <row r="2813" spans="4:4" ht="16.2">
      <c r="D2813" s="1565"/>
    </row>
  </sheetData>
  <autoFilter ref="A10:S2374" xr:uid="{00000000-0009-0000-0000-000016000000}">
    <filterColumn colId="2">
      <customFilters>
        <customFilter operator="notEqual" val=" "/>
      </customFilters>
    </filterColumn>
  </autoFilter>
  <mergeCells count="4">
    <mergeCell ref="S9:S10"/>
    <mergeCell ref="F9:F10"/>
    <mergeCell ref="G9:G10"/>
    <mergeCell ref="E9:E10"/>
  </mergeCells>
  <phoneticPr fontId="0" type="noConversion"/>
  <conditionalFormatting sqref="T1:T8 T10:T359 T890:T1098 T646:T878 T362 T364:T614 T629:T634 T1100:T1162 T1164:T1176 T616:T627 T2277:T1048576 T1881:T1901 T1178:T1879 T1905:T2275">
    <cfRule type="timePeriod" dxfId="93" priority="69" timePeriod="today">
      <formula>FLOOR(T1,1)=TODAY()</formula>
    </cfRule>
  </conditionalFormatting>
  <conditionalFormatting sqref="B2356 B77 B94 B176 B341 B378 B398 B433 B516 B536 B552">
    <cfRule type="duplicateValues" dxfId="92" priority="68"/>
  </conditionalFormatting>
  <conditionalFormatting sqref="C1:C359 C1819:C1866 C1095:C1098 C2319:C1048576 C2317 C2034:C2275 C1939:C2032 C1869:C1878 C890:C1087 C646:C878 C1881:C1901 C362 C364:C614 C629:C634 C1100:C1162 C1178:C1817 C1164:C1176 C616:C627 C1905:C1936 C2277:C2315">
    <cfRule type="containsText" dxfId="91" priority="64" operator="containsText" text="x">
      <formula>NOT(ISERROR(SEARCH("x",C1)))</formula>
    </cfRule>
  </conditionalFormatting>
  <conditionalFormatting sqref="C1818">
    <cfRule type="containsText" dxfId="90" priority="62" operator="containsText" text="x">
      <formula>NOT(ISERROR(SEARCH("x",C1818)))</formula>
    </cfRule>
  </conditionalFormatting>
  <conditionalFormatting sqref="C1867:C1868">
    <cfRule type="containsText" dxfId="89" priority="60" operator="containsText" text="x">
      <formula>NOT(ISERROR(SEARCH("x",C1867)))</formula>
    </cfRule>
  </conditionalFormatting>
  <conditionalFormatting sqref="C1088:C1094">
    <cfRule type="containsText" dxfId="88" priority="58" operator="containsText" text="x">
      <formula>NOT(ISERROR(SEARCH("x",C1088)))</formula>
    </cfRule>
  </conditionalFormatting>
  <conditionalFormatting sqref="T1:T359 T890:T1098 T646:T878 T362 T364:T614 T629:T634 T1100:T1162 T1164:T1176 T616:T627 T2277:T1048576 T1881:T1901 T1178:T1879 T1905:T2275">
    <cfRule type="cellIs" dxfId="87" priority="57" operator="greaterThan">
      <formula>0</formula>
    </cfRule>
  </conditionalFormatting>
  <conditionalFormatting sqref="C2318">
    <cfRule type="containsText" dxfId="86" priority="55" operator="containsText" text="x">
      <formula>NOT(ISERROR(SEARCH("x",C2318)))</formula>
    </cfRule>
  </conditionalFormatting>
  <conditionalFormatting sqref="C2316">
    <cfRule type="containsText" dxfId="85" priority="52" operator="containsText" text="x">
      <formula>NOT(ISERROR(SEARCH("x",C2316)))</formula>
    </cfRule>
  </conditionalFormatting>
  <conditionalFormatting sqref="C2033">
    <cfRule type="containsText" dxfId="84" priority="47" operator="containsText" text="x">
      <formula>NOT(ISERROR(SEARCH("x",C2033)))</formula>
    </cfRule>
  </conditionalFormatting>
  <conditionalFormatting sqref="C1937:C1938">
    <cfRule type="containsText" dxfId="83" priority="44" operator="containsText" text="x">
      <formula>NOT(ISERROR(SEARCH("x",C1937)))</formula>
    </cfRule>
  </conditionalFormatting>
  <conditionalFormatting sqref="T879:T889">
    <cfRule type="timePeriod" dxfId="82" priority="42" timePeriod="today">
      <formula>FLOOR(T879,1)=TODAY()</formula>
    </cfRule>
  </conditionalFormatting>
  <conditionalFormatting sqref="C879:C889">
    <cfRule type="containsText" dxfId="81" priority="41" operator="containsText" text="x">
      <formula>NOT(ISERROR(SEARCH("x",C879)))</formula>
    </cfRule>
  </conditionalFormatting>
  <conditionalFormatting sqref="T879:T889">
    <cfRule type="cellIs" dxfId="80" priority="40" operator="greaterThan">
      <formula>0</formula>
    </cfRule>
  </conditionalFormatting>
  <conditionalFormatting sqref="T635:T645">
    <cfRule type="timePeriod" dxfId="79" priority="39" timePeriod="today">
      <formula>FLOOR(T635,1)=TODAY()</formula>
    </cfRule>
  </conditionalFormatting>
  <conditionalFormatting sqref="C635:C645">
    <cfRule type="containsText" dxfId="78" priority="38" operator="containsText" text="x">
      <formula>NOT(ISERROR(SEARCH("x",C635)))</formula>
    </cfRule>
  </conditionalFormatting>
  <conditionalFormatting sqref="T635:T645">
    <cfRule type="cellIs" dxfId="77" priority="37" operator="greaterThan">
      <formula>0</formula>
    </cfRule>
  </conditionalFormatting>
  <conditionalFormatting sqref="C1879">
    <cfRule type="containsText" dxfId="76" priority="35" operator="containsText" text="x">
      <formula>NOT(ISERROR(SEARCH("x",C1879)))</formula>
    </cfRule>
  </conditionalFormatting>
  <conditionalFormatting sqref="T1880">
    <cfRule type="timePeriod" dxfId="75" priority="33" timePeriod="today">
      <formula>FLOOR(T1880,1)=TODAY()</formula>
    </cfRule>
  </conditionalFormatting>
  <conditionalFormatting sqref="C1880">
    <cfRule type="containsText" dxfId="74" priority="32" operator="containsText" text="x">
      <formula>NOT(ISERROR(SEARCH("x",C1880)))</formula>
    </cfRule>
  </conditionalFormatting>
  <conditionalFormatting sqref="T1880">
    <cfRule type="cellIs" dxfId="73" priority="31" operator="greaterThan">
      <formula>0</formula>
    </cfRule>
  </conditionalFormatting>
  <conditionalFormatting sqref="T360:T361">
    <cfRule type="timePeriod" dxfId="72" priority="30" timePeriod="today">
      <formula>FLOOR(T360,1)=TODAY()</formula>
    </cfRule>
  </conditionalFormatting>
  <conditionalFormatting sqref="C360:C361">
    <cfRule type="containsText" dxfId="71" priority="29" operator="containsText" text="x">
      <formula>NOT(ISERROR(SEARCH("x",C360)))</formula>
    </cfRule>
  </conditionalFormatting>
  <conditionalFormatting sqref="T360:T361">
    <cfRule type="cellIs" dxfId="70" priority="28" operator="greaterThan">
      <formula>0</formula>
    </cfRule>
  </conditionalFormatting>
  <conditionalFormatting sqref="T363">
    <cfRule type="timePeriod" dxfId="69" priority="27" timePeriod="today">
      <formula>FLOOR(T363,1)=TODAY()</formula>
    </cfRule>
  </conditionalFormatting>
  <conditionalFormatting sqref="C363">
    <cfRule type="containsText" dxfId="68" priority="26" operator="containsText" text="x">
      <formula>NOT(ISERROR(SEARCH("x",C363)))</formula>
    </cfRule>
  </conditionalFormatting>
  <conditionalFormatting sqref="T363">
    <cfRule type="cellIs" dxfId="67" priority="25" operator="greaterThan">
      <formula>0</formula>
    </cfRule>
  </conditionalFormatting>
  <conditionalFormatting sqref="T628">
    <cfRule type="timePeriod" dxfId="66" priority="24" timePeriod="today">
      <formula>FLOOR(T628,1)=TODAY()</formula>
    </cfRule>
  </conditionalFormatting>
  <conditionalFormatting sqref="C628">
    <cfRule type="containsText" dxfId="65" priority="23" operator="containsText" text="x">
      <formula>NOT(ISERROR(SEARCH("x",C628)))</formula>
    </cfRule>
  </conditionalFormatting>
  <conditionalFormatting sqref="T628">
    <cfRule type="cellIs" dxfId="64" priority="22" operator="greaterThan">
      <formula>0</formula>
    </cfRule>
  </conditionalFormatting>
  <conditionalFormatting sqref="T1099">
    <cfRule type="timePeriod" dxfId="63" priority="21" timePeriod="today">
      <formula>FLOOR(T1099,1)=TODAY()</formula>
    </cfRule>
  </conditionalFormatting>
  <conditionalFormatting sqref="C1099">
    <cfRule type="containsText" dxfId="62" priority="20" operator="containsText" text="x">
      <formula>NOT(ISERROR(SEARCH("x",C1099)))</formula>
    </cfRule>
  </conditionalFormatting>
  <conditionalFormatting sqref="T1099">
    <cfRule type="cellIs" dxfId="61" priority="19" operator="greaterThan">
      <formula>0</formula>
    </cfRule>
  </conditionalFormatting>
  <conditionalFormatting sqref="T1177">
    <cfRule type="timePeriod" dxfId="60" priority="18" timePeriod="today">
      <formula>FLOOR(T1177,1)=TODAY()</formula>
    </cfRule>
  </conditionalFormatting>
  <conditionalFormatting sqref="C1177">
    <cfRule type="containsText" dxfId="59" priority="17" operator="containsText" text="x">
      <formula>NOT(ISERROR(SEARCH("x",C1177)))</formula>
    </cfRule>
  </conditionalFormatting>
  <conditionalFormatting sqref="T1177">
    <cfRule type="cellIs" dxfId="58" priority="16" operator="greaterThan">
      <formula>0</formula>
    </cfRule>
  </conditionalFormatting>
  <conditionalFormatting sqref="T1163">
    <cfRule type="timePeriod" dxfId="57" priority="15" timePeriod="today">
      <formula>FLOOR(T1163,1)=TODAY()</formula>
    </cfRule>
  </conditionalFormatting>
  <conditionalFormatting sqref="C1163">
    <cfRule type="containsText" dxfId="56" priority="14" operator="containsText" text="x">
      <formula>NOT(ISERROR(SEARCH("x",C1163)))</formula>
    </cfRule>
  </conditionalFormatting>
  <conditionalFormatting sqref="T1163">
    <cfRule type="cellIs" dxfId="55" priority="13" operator="greaterThan">
      <formula>0</formula>
    </cfRule>
  </conditionalFormatting>
  <conditionalFormatting sqref="T615">
    <cfRule type="timePeriod" dxfId="54" priority="12" timePeriod="today">
      <formula>FLOOR(T615,1)=TODAY()</formula>
    </cfRule>
  </conditionalFormatting>
  <conditionalFormatting sqref="C615">
    <cfRule type="containsText" dxfId="53" priority="11" operator="containsText" text="x">
      <formula>NOT(ISERROR(SEARCH("x",C615)))</formula>
    </cfRule>
  </conditionalFormatting>
  <conditionalFormatting sqref="T615">
    <cfRule type="cellIs" dxfId="52" priority="10" operator="greaterThan">
      <formula>0</formula>
    </cfRule>
  </conditionalFormatting>
  <conditionalFormatting sqref="T1902">
    <cfRule type="timePeriod" dxfId="51" priority="9" timePeriod="today">
      <formula>FLOOR(T1902,1)=TODAY()</formula>
    </cfRule>
  </conditionalFormatting>
  <conditionalFormatting sqref="C1902">
    <cfRule type="containsText" dxfId="50" priority="8" operator="containsText" text="x">
      <formula>NOT(ISERROR(SEARCH("x",C1902)))</formula>
    </cfRule>
  </conditionalFormatting>
  <conditionalFormatting sqref="T1902">
    <cfRule type="cellIs" dxfId="49" priority="7" operator="greaterThan">
      <formula>0</formula>
    </cfRule>
  </conditionalFormatting>
  <conditionalFormatting sqref="T1903:T1904">
    <cfRule type="timePeriod" dxfId="48" priority="6" timePeriod="today">
      <formula>FLOOR(T1903,1)=TODAY()</formula>
    </cfRule>
  </conditionalFormatting>
  <conditionalFormatting sqref="C1903:C1904">
    <cfRule type="containsText" dxfId="47" priority="5" operator="containsText" text="x">
      <formula>NOT(ISERROR(SEARCH("x",C1903)))</formula>
    </cfRule>
  </conditionalFormatting>
  <conditionalFormatting sqref="T1903:T1904">
    <cfRule type="cellIs" dxfId="46" priority="4" operator="greaterThan">
      <formula>0</formula>
    </cfRule>
  </conditionalFormatting>
  <conditionalFormatting sqref="T2276">
    <cfRule type="timePeriod" dxfId="45" priority="3" timePeriod="today">
      <formula>FLOOR(T2276,1)=TODAY()</formula>
    </cfRule>
  </conditionalFormatting>
  <conditionalFormatting sqref="C2276">
    <cfRule type="containsText" dxfId="44" priority="2" operator="containsText" text="x">
      <formula>NOT(ISERROR(SEARCH("x",C2276)))</formula>
    </cfRule>
  </conditionalFormatting>
  <conditionalFormatting sqref="T2276">
    <cfRule type="cellIs" dxfId="43" priority="1" operator="greaterThan">
      <formula>0</formula>
    </cfRule>
  </conditionalFormatting>
  <pageMargins left="0.43" right="0.23" top="0.55000000000000004" bottom="0.17"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46" customWidth="1"/>
    <col min="2" max="3" width="8.36328125" style="846" customWidth="1"/>
    <col min="4" max="4" width="7.90625" style="846" customWidth="1"/>
    <col min="5" max="6" width="7.1796875" style="846" customWidth="1"/>
    <col min="7" max="7" width="9.08984375" style="846" customWidth="1"/>
    <col min="8" max="10" width="8.1796875" style="846" customWidth="1"/>
    <col min="11" max="16" width="10.08984375" style="846" customWidth="1"/>
    <col min="17" max="17" width="8.90625" style="846"/>
    <col min="18" max="19" width="3.36328125" style="846" customWidth="1"/>
    <col min="20" max="20" width="3.6328125" style="846" customWidth="1"/>
    <col min="21" max="21" width="4.6328125" style="846" customWidth="1"/>
    <col min="22" max="22" width="7.36328125" style="846" customWidth="1"/>
    <col min="23" max="24" width="3.36328125" style="846" customWidth="1"/>
    <col min="25" max="16384" width="8.90625" style="846"/>
  </cols>
  <sheetData>
    <row r="1" spans="1:24" ht="27.75" customHeight="1">
      <c r="A1" s="3162" t="s">
        <v>4236</v>
      </c>
      <c r="B1" s="3162"/>
      <c r="C1" s="3162"/>
      <c r="D1" s="3162"/>
      <c r="E1" s="3162"/>
      <c r="F1" s="3162"/>
      <c r="G1" s="3162"/>
      <c r="H1" s="3162"/>
      <c r="I1" s="3162"/>
      <c r="J1" s="3162"/>
      <c r="K1" s="3162"/>
      <c r="L1" s="3162"/>
      <c r="M1" s="3162"/>
      <c r="N1" s="3162"/>
      <c r="O1" s="3162"/>
      <c r="P1" s="3162"/>
      <c r="R1" s="848"/>
    </row>
    <row r="2" spans="1:24" ht="35.25" customHeight="1">
      <c r="A2" s="3161" t="str">
        <f>"Tên công trình: "&amp;Solieu!C6</f>
        <v>Tên công trình: 00</v>
      </c>
      <c r="B2" s="3161"/>
      <c r="C2" s="3161"/>
      <c r="D2" s="3161"/>
      <c r="E2" s="3161"/>
      <c r="F2" s="3161"/>
      <c r="G2" s="3161"/>
      <c r="H2" s="3161"/>
      <c r="I2" s="3161"/>
      <c r="J2" s="3161"/>
      <c r="K2" s="3156" t="str">
        <f>"Đơn vị thi công: "&amp;Solieu!C10</f>
        <v>Đơn vị thi công: 06</v>
      </c>
      <c r="L2" s="3156"/>
      <c r="M2" s="3156"/>
      <c r="N2" s="3156"/>
      <c r="O2" s="3156"/>
      <c r="P2" s="3156"/>
    </row>
    <row r="3" spans="1:24" ht="26.25" customHeight="1" thickBot="1">
      <c r="A3" s="3161" t="s">
        <v>4237</v>
      </c>
      <c r="B3" s="3161"/>
      <c r="C3" s="3161"/>
      <c r="D3" s="3161"/>
      <c r="E3" s="3161"/>
      <c r="F3" s="3161"/>
      <c r="G3" s="3161"/>
      <c r="H3" s="3161"/>
      <c r="I3" s="3161"/>
      <c r="J3" s="3161"/>
      <c r="K3" s="3163" t="s">
        <v>4238</v>
      </c>
      <c r="L3" s="3164"/>
      <c r="M3" s="3164"/>
      <c r="N3" s="3164"/>
      <c r="O3" s="3164"/>
      <c r="P3" s="3165"/>
    </row>
    <row r="4" spans="1:24" ht="26.25" customHeight="1" thickTop="1">
      <c r="A4" s="3161" t="s">
        <v>4239</v>
      </c>
      <c r="B4" s="3161"/>
      <c r="C4" s="3161"/>
      <c r="D4" s="3161"/>
      <c r="E4" s="3161"/>
      <c r="F4" s="3161"/>
      <c r="G4" s="3161"/>
      <c r="H4" s="3161"/>
      <c r="I4" s="3161"/>
      <c r="J4" s="3161"/>
      <c r="K4" s="3161"/>
      <c r="L4" s="3161"/>
      <c r="M4" s="3161"/>
      <c r="N4" s="3161"/>
      <c r="O4" s="3161"/>
      <c r="P4" s="3161"/>
      <c r="R4" s="938"/>
      <c r="S4" s="752"/>
      <c r="T4" s="753"/>
      <c r="U4" s="948"/>
      <c r="V4" s="937"/>
      <c r="W4" s="949"/>
      <c r="X4" s="950"/>
    </row>
    <row r="5" spans="1:24" ht="28.5" customHeight="1">
      <c r="A5" s="3156" t="s">
        <v>4240</v>
      </c>
      <c r="B5" s="3156" t="s">
        <v>4241</v>
      </c>
      <c r="C5" s="3156"/>
      <c r="D5" s="3156" t="s">
        <v>4242</v>
      </c>
      <c r="E5" s="891" t="s">
        <v>4243</v>
      </c>
      <c r="F5" s="891"/>
      <c r="G5" s="891"/>
      <c r="H5" s="891"/>
      <c r="I5" s="891"/>
      <c r="J5" s="891"/>
      <c r="K5" s="891"/>
      <c r="L5" s="891"/>
      <c r="M5" s="891"/>
      <c r="N5" s="3157" t="s">
        <v>4244</v>
      </c>
      <c r="O5" s="3156" t="s">
        <v>4245</v>
      </c>
      <c r="P5" s="3156"/>
      <c r="R5" s="938"/>
      <c r="S5" s="752"/>
      <c r="T5" s="753"/>
      <c r="U5" s="951"/>
      <c r="V5" s="936"/>
      <c r="W5" s="935"/>
      <c r="X5" s="936"/>
    </row>
    <row r="6" spans="1:24" ht="28.5" customHeight="1">
      <c r="A6" s="3156"/>
      <c r="B6" s="3156" t="s">
        <v>4246</v>
      </c>
      <c r="C6" s="3156" t="s">
        <v>4247</v>
      </c>
      <c r="D6" s="3156"/>
      <c r="E6" s="3156" t="s">
        <v>4248</v>
      </c>
      <c r="F6" s="3156" t="s">
        <v>4249</v>
      </c>
      <c r="G6" s="3156" t="s">
        <v>4250</v>
      </c>
      <c r="H6" s="3156" t="s">
        <v>4251</v>
      </c>
      <c r="I6" s="3156"/>
      <c r="J6" s="3156" t="s">
        <v>4252</v>
      </c>
      <c r="K6" s="3156"/>
      <c r="L6" s="3156"/>
      <c r="M6" s="3156"/>
      <c r="N6" s="3158"/>
      <c r="O6" s="3156" t="s">
        <v>4253</v>
      </c>
      <c r="P6" s="3156" t="s">
        <v>4254</v>
      </c>
      <c r="R6" s="938"/>
      <c r="S6" s="752"/>
      <c r="T6" s="753"/>
      <c r="U6" s="947"/>
      <c r="V6" s="947"/>
      <c r="W6" s="947"/>
      <c r="X6" s="947"/>
    </row>
    <row r="7" spans="1:24" ht="48" customHeight="1">
      <c r="A7" s="3156"/>
      <c r="B7" s="3156"/>
      <c r="C7" s="3156"/>
      <c r="D7" s="3156"/>
      <c r="E7" s="3156"/>
      <c r="F7" s="3156"/>
      <c r="G7" s="3156"/>
      <c r="H7" s="856" t="s">
        <v>4255</v>
      </c>
      <c r="I7" s="856" t="s">
        <v>4256</v>
      </c>
      <c r="J7" s="856" t="s">
        <v>4257</v>
      </c>
      <c r="K7" s="856" t="s">
        <v>4258</v>
      </c>
      <c r="L7" s="856" t="s">
        <v>4255</v>
      </c>
      <c r="M7" s="856" t="s">
        <v>4259</v>
      </c>
      <c r="N7" s="3159"/>
      <c r="O7" s="3156"/>
      <c r="P7" s="3156"/>
      <c r="Q7" s="846" t="s">
        <v>512</v>
      </c>
      <c r="R7" s="938"/>
      <c r="S7" s="751"/>
      <c r="T7" s="751"/>
      <c r="U7" s="752"/>
      <c r="V7" s="753"/>
      <c r="W7" s="753"/>
      <c r="X7" s="753"/>
    </row>
    <row r="8" spans="1:24" ht="23.25" customHeight="1">
      <c r="A8" s="897"/>
      <c r="B8" s="952" t="s">
        <v>4325</v>
      </c>
      <c r="C8" s="893" t="str">
        <f t="shared" ref="C8:C26" si="0">B8</f>
        <v>01/13</v>
      </c>
      <c r="D8" s="752">
        <v>25</v>
      </c>
      <c r="E8" s="894" t="s">
        <v>4323</v>
      </c>
      <c r="F8" s="895">
        <v>1.2</v>
      </c>
      <c r="G8" s="896" t="s">
        <v>87</v>
      </c>
      <c r="H8" s="894"/>
      <c r="I8" s="894"/>
      <c r="J8" s="894"/>
      <c r="K8" s="894"/>
      <c r="L8" s="894"/>
      <c r="M8" s="894"/>
      <c r="N8" s="894"/>
      <c r="O8" s="894"/>
      <c r="P8" s="894"/>
      <c r="Q8" s="846" t="str">
        <f t="shared" ref="Q8:Q50" si="1">IF(B8&lt;&gt;0,"x","")</f>
        <v>x</v>
      </c>
      <c r="R8" s="938"/>
      <c r="S8" s="751"/>
      <c r="T8" s="751"/>
      <c r="U8" s="752"/>
      <c r="V8" s="753"/>
      <c r="W8" s="753"/>
      <c r="X8" s="753"/>
    </row>
    <row r="9" spans="1:24" ht="23.25" customHeight="1">
      <c r="A9" s="897"/>
      <c r="B9" s="952" t="s">
        <v>4326</v>
      </c>
      <c r="C9" s="893" t="str">
        <f t="shared" si="0"/>
        <v>01/14</v>
      </c>
      <c r="D9" s="752">
        <v>38</v>
      </c>
      <c r="E9" s="894" t="s">
        <v>4323</v>
      </c>
      <c r="F9" s="895">
        <v>1.2</v>
      </c>
      <c r="G9" s="896" t="s">
        <v>87</v>
      </c>
      <c r="H9" s="894"/>
      <c r="I9" s="894"/>
      <c r="J9" s="894"/>
      <c r="K9" s="894"/>
      <c r="L9" s="894"/>
      <c r="M9" s="894"/>
      <c r="N9" s="894"/>
      <c r="O9" s="894"/>
      <c r="P9" s="894"/>
      <c r="Q9" s="846" t="str">
        <f t="shared" si="1"/>
        <v>x</v>
      </c>
      <c r="R9" s="938"/>
      <c r="S9" s="751"/>
      <c r="T9" s="751"/>
      <c r="U9" s="752"/>
      <c r="V9" s="753"/>
      <c r="W9" s="753"/>
      <c r="X9" s="753"/>
    </row>
    <row r="10" spans="1:24" ht="23.25" customHeight="1">
      <c r="A10" s="897"/>
      <c r="B10" s="952" t="s">
        <v>4327</v>
      </c>
      <c r="C10" s="893" t="str">
        <f t="shared" si="0"/>
        <v>01/15</v>
      </c>
      <c r="D10" s="751">
        <v>40</v>
      </c>
      <c r="E10" s="894" t="s">
        <v>4323</v>
      </c>
      <c r="F10" s="895">
        <v>1.2</v>
      </c>
      <c r="G10" s="896" t="s">
        <v>87</v>
      </c>
      <c r="H10" s="894"/>
      <c r="I10" s="894"/>
      <c r="J10" s="894"/>
      <c r="K10" s="894"/>
      <c r="L10" s="894"/>
      <c r="M10" s="894"/>
      <c r="N10" s="894"/>
      <c r="O10" s="894"/>
      <c r="P10" s="894"/>
      <c r="Q10" s="846" t="str">
        <f t="shared" si="1"/>
        <v>x</v>
      </c>
      <c r="R10" s="938"/>
      <c r="S10" s="751"/>
      <c r="T10" s="751"/>
      <c r="U10" s="752"/>
      <c r="V10" s="753"/>
      <c r="W10" s="753"/>
      <c r="X10" s="753"/>
    </row>
    <row r="11" spans="1:24" ht="23.25" customHeight="1">
      <c r="A11" s="897"/>
      <c r="B11" s="952" t="s">
        <v>4328</v>
      </c>
      <c r="C11" s="893" t="str">
        <f t="shared" si="0"/>
        <v>01/16</v>
      </c>
      <c r="D11" s="751">
        <v>40</v>
      </c>
      <c r="E11" s="894" t="s">
        <v>4323</v>
      </c>
      <c r="F11" s="895">
        <v>1.2</v>
      </c>
      <c r="G11" s="896" t="s">
        <v>87</v>
      </c>
      <c r="H11" s="894"/>
      <c r="I11" s="894"/>
      <c r="J11" s="894"/>
      <c r="K11" s="894"/>
      <c r="L11" s="894"/>
      <c r="M11" s="894"/>
      <c r="N11" s="894"/>
      <c r="O11" s="894"/>
      <c r="P11" s="894"/>
      <c r="Q11" s="846" t="str">
        <f t="shared" si="1"/>
        <v>x</v>
      </c>
      <c r="R11" s="938"/>
      <c r="S11" s="751"/>
      <c r="T11" s="751"/>
      <c r="U11" s="752"/>
      <c r="V11" s="753"/>
      <c r="W11" s="753"/>
      <c r="X11" s="753"/>
    </row>
    <row r="12" spans="1:24" ht="23.25" customHeight="1">
      <c r="A12" s="897"/>
      <c r="B12" s="952" t="s">
        <v>4329</v>
      </c>
      <c r="C12" s="893" t="str">
        <f t="shared" si="0"/>
        <v>01/17</v>
      </c>
      <c r="D12" s="751">
        <v>38</v>
      </c>
      <c r="E12" s="894" t="s">
        <v>4323</v>
      </c>
      <c r="F12" s="895">
        <v>1.2</v>
      </c>
      <c r="G12" s="896" t="s">
        <v>87</v>
      </c>
      <c r="H12" s="894"/>
      <c r="I12" s="894"/>
      <c r="J12" s="894"/>
      <c r="K12" s="894"/>
      <c r="L12" s="894"/>
      <c r="M12" s="894"/>
      <c r="N12" s="894"/>
      <c r="O12" s="894"/>
      <c r="P12" s="894"/>
      <c r="Q12" s="846" t="str">
        <f t="shared" si="1"/>
        <v>x</v>
      </c>
      <c r="R12" s="938"/>
      <c r="S12" s="751"/>
      <c r="T12" s="751"/>
      <c r="U12" s="752"/>
      <c r="V12" s="753"/>
      <c r="W12" s="753"/>
      <c r="X12" s="753"/>
    </row>
    <row r="13" spans="1:24" ht="23.25" customHeight="1">
      <c r="A13" s="897"/>
      <c r="B13" s="952" t="s">
        <v>4330</v>
      </c>
      <c r="C13" s="893" t="str">
        <f t="shared" si="0"/>
        <v>01/18</v>
      </c>
      <c r="D13" s="751">
        <v>40</v>
      </c>
      <c r="E13" s="894" t="s">
        <v>4323</v>
      </c>
      <c r="F13" s="895">
        <v>1.2</v>
      </c>
      <c r="G13" s="896" t="s">
        <v>87</v>
      </c>
      <c r="H13" s="894"/>
      <c r="I13" s="894"/>
      <c r="J13" s="894"/>
      <c r="K13" s="894"/>
      <c r="L13" s="894"/>
      <c r="M13" s="894"/>
      <c r="N13" s="894"/>
      <c r="O13" s="894"/>
      <c r="P13" s="894"/>
      <c r="Q13" s="846" t="str">
        <f t="shared" si="1"/>
        <v>x</v>
      </c>
      <c r="R13" s="938"/>
      <c r="S13" s="751"/>
      <c r="T13" s="751"/>
      <c r="U13" s="752"/>
      <c r="V13" s="753"/>
      <c r="W13" s="753"/>
      <c r="X13" s="753"/>
    </row>
    <row r="14" spans="1:24" ht="23.25" customHeight="1">
      <c r="A14" s="897"/>
      <c r="B14" s="952" t="s">
        <v>4331</v>
      </c>
      <c r="C14" s="893" t="str">
        <f t="shared" si="0"/>
        <v>01/19</v>
      </c>
      <c r="D14" s="751">
        <v>40</v>
      </c>
      <c r="E14" s="894" t="s">
        <v>4323</v>
      </c>
      <c r="F14" s="895">
        <v>1.2</v>
      </c>
      <c r="G14" s="896" t="s">
        <v>87</v>
      </c>
      <c r="H14" s="894"/>
      <c r="I14" s="894"/>
      <c r="J14" s="894"/>
      <c r="K14" s="894"/>
      <c r="L14" s="894"/>
      <c r="M14" s="894"/>
      <c r="N14" s="894"/>
      <c r="O14" s="894"/>
      <c r="P14" s="894"/>
      <c r="Q14" s="846" t="str">
        <f t="shared" si="1"/>
        <v>x</v>
      </c>
      <c r="R14" s="938"/>
      <c r="S14" s="751"/>
      <c r="T14" s="751"/>
      <c r="U14" s="752"/>
      <c r="V14" s="753"/>
      <c r="W14" s="753"/>
      <c r="X14" s="753"/>
    </row>
    <row r="15" spans="1:24" ht="28.5" customHeight="1">
      <c r="A15" s="897"/>
      <c r="B15" s="952" t="s">
        <v>4332</v>
      </c>
      <c r="C15" s="893" t="str">
        <f t="shared" si="0"/>
        <v>01/20</v>
      </c>
      <c r="D15" s="751">
        <v>38</v>
      </c>
      <c r="E15" s="894" t="s">
        <v>4323</v>
      </c>
      <c r="F15" s="895">
        <v>1.2</v>
      </c>
      <c r="G15" s="896" t="s">
        <v>87</v>
      </c>
      <c r="H15" s="894"/>
      <c r="I15" s="894"/>
      <c r="J15" s="894"/>
      <c r="K15" s="894"/>
      <c r="L15" s="894"/>
      <c r="M15" s="894"/>
      <c r="N15" s="894"/>
      <c r="O15" s="894"/>
      <c r="P15" s="894"/>
      <c r="Q15" s="846" t="str">
        <f t="shared" si="1"/>
        <v>x</v>
      </c>
      <c r="R15" s="938"/>
      <c r="S15" s="939"/>
      <c r="T15" s="751"/>
    </row>
    <row r="16" spans="1:24" ht="28.5" customHeight="1">
      <c r="A16" s="897"/>
      <c r="B16" s="952" t="s">
        <v>4333</v>
      </c>
      <c r="C16" s="893" t="str">
        <f t="shared" si="0"/>
        <v>01/21</v>
      </c>
      <c r="D16" s="751">
        <v>40</v>
      </c>
      <c r="E16" s="894" t="s">
        <v>4323</v>
      </c>
      <c r="F16" s="895">
        <v>1.2</v>
      </c>
      <c r="G16" s="896" t="s">
        <v>87</v>
      </c>
      <c r="H16" s="894"/>
      <c r="I16" s="894"/>
      <c r="J16" s="894"/>
      <c r="K16" s="894"/>
      <c r="L16" s="894"/>
      <c r="M16" s="894"/>
      <c r="N16" s="894"/>
      <c r="O16" s="894"/>
      <c r="P16" s="894"/>
      <c r="Q16" s="846" t="str">
        <f t="shared" si="1"/>
        <v>x</v>
      </c>
      <c r="R16" s="938"/>
      <c r="S16" s="940"/>
      <c r="T16" s="751"/>
    </row>
    <row r="17" spans="1:20" ht="28.5" customHeight="1">
      <c r="A17" s="897"/>
      <c r="B17" s="952" t="s">
        <v>4334</v>
      </c>
      <c r="C17" s="893" t="str">
        <f t="shared" si="0"/>
        <v>01/22</v>
      </c>
      <c r="D17" s="751">
        <v>40</v>
      </c>
      <c r="E17" s="894" t="s">
        <v>4323</v>
      </c>
      <c r="F17" s="895">
        <v>1.2</v>
      </c>
      <c r="G17" s="896" t="s">
        <v>87</v>
      </c>
      <c r="H17" s="894"/>
      <c r="I17" s="894"/>
      <c r="J17" s="894"/>
      <c r="K17" s="894"/>
      <c r="L17" s="894"/>
      <c r="M17" s="894"/>
      <c r="N17" s="894"/>
      <c r="O17" s="894"/>
      <c r="P17" s="894"/>
      <c r="Q17" s="846" t="str">
        <f t="shared" si="1"/>
        <v>x</v>
      </c>
      <c r="R17" s="938"/>
      <c r="S17" s="940"/>
      <c r="T17" s="751"/>
    </row>
    <row r="18" spans="1:20" ht="28.5" customHeight="1">
      <c r="A18" s="897"/>
      <c r="B18" s="952" t="s">
        <v>4335</v>
      </c>
      <c r="C18" s="893" t="str">
        <f t="shared" si="0"/>
        <v>01/23</v>
      </c>
      <c r="D18" s="751">
        <v>40</v>
      </c>
      <c r="E18" s="894" t="s">
        <v>4323</v>
      </c>
      <c r="F18" s="895">
        <v>1.2</v>
      </c>
      <c r="G18" s="896" t="s">
        <v>87</v>
      </c>
      <c r="H18" s="894"/>
      <c r="I18" s="894"/>
      <c r="J18" s="894"/>
      <c r="K18" s="894"/>
      <c r="L18" s="894"/>
      <c r="M18" s="894"/>
      <c r="N18" s="894"/>
      <c r="O18" s="894"/>
      <c r="P18" s="894"/>
      <c r="Q18" s="846" t="str">
        <f t="shared" si="1"/>
        <v>x</v>
      </c>
      <c r="R18" s="941"/>
      <c r="S18" s="751"/>
      <c r="T18" s="751"/>
    </row>
    <row r="19" spans="1:20" ht="28.5" customHeight="1">
      <c r="A19" s="897"/>
      <c r="B19" s="952" t="s">
        <v>4336</v>
      </c>
      <c r="C19" s="893" t="str">
        <f t="shared" si="0"/>
        <v>01/24</v>
      </c>
      <c r="D19" s="939">
        <v>40</v>
      </c>
      <c r="E19" s="894" t="s">
        <v>4323</v>
      </c>
      <c r="F19" s="895">
        <v>1.2</v>
      </c>
      <c r="G19" s="896" t="s">
        <v>87</v>
      </c>
      <c r="H19" s="894"/>
      <c r="I19" s="894"/>
      <c r="J19" s="894"/>
      <c r="K19" s="894"/>
      <c r="L19" s="894"/>
      <c r="M19" s="894"/>
      <c r="N19" s="894"/>
      <c r="O19" s="894"/>
      <c r="P19" s="894"/>
      <c r="Q19" s="846" t="str">
        <f t="shared" si="1"/>
        <v>x</v>
      </c>
      <c r="R19" s="942"/>
      <c r="S19" s="939"/>
      <c r="T19" s="751"/>
    </row>
    <row r="20" spans="1:20" ht="28.5" customHeight="1">
      <c r="A20" s="897"/>
      <c r="B20" s="952" t="s">
        <v>4337</v>
      </c>
      <c r="C20" s="893" t="str">
        <f t="shared" si="0"/>
        <v>01/25</v>
      </c>
      <c r="D20" s="940">
        <v>38</v>
      </c>
      <c r="E20" s="894" t="s">
        <v>4323</v>
      </c>
      <c r="F20" s="895">
        <v>1.2</v>
      </c>
      <c r="G20" s="896" t="s">
        <v>87</v>
      </c>
      <c r="H20" s="894"/>
      <c r="I20" s="894"/>
      <c r="J20" s="894"/>
      <c r="K20" s="894"/>
      <c r="L20" s="894"/>
      <c r="M20" s="894"/>
      <c r="N20" s="894"/>
      <c r="O20" s="894"/>
      <c r="P20" s="894"/>
      <c r="Q20" s="846" t="str">
        <f t="shared" si="1"/>
        <v>x</v>
      </c>
      <c r="R20" s="938"/>
      <c r="S20" s="550"/>
      <c r="T20" s="751"/>
    </row>
    <row r="21" spans="1:20" ht="28.5" customHeight="1">
      <c r="A21" s="897"/>
      <c r="B21" s="952" t="s">
        <v>4338</v>
      </c>
      <c r="C21" s="893" t="str">
        <f t="shared" si="0"/>
        <v>01/26</v>
      </c>
      <c r="D21" s="940">
        <v>35</v>
      </c>
      <c r="E21" s="894" t="s">
        <v>4323</v>
      </c>
      <c r="F21" s="895">
        <v>1.2</v>
      </c>
      <c r="G21" s="896" t="s">
        <v>87</v>
      </c>
      <c r="H21" s="894"/>
      <c r="I21" s="894"/>
      <c r="J21" s="894"/>
      <c r="K21" s="894"/>
      <c r="L21" s="894"/>
      <c r="M21" s="894"/>
      <c r="N21" s="894"/>
      <c r="O21" s="894"/>
      <c r="P21" s="894"/>
      <c r="Q21" s="846" t="str">
        <f t="shared" si="1"/>
        <v>x</v>
      </c>
      <c r="R21" s="938"/>
      <c r="S21" s="550"/>
      <c r="T21" s="751"/>
    </row>
    <row r="22" spans="1:20" ht="28.5" customHeight="1">
      <c r="A22" s="897"/>
      <c r="B22" s="953" t="s">
        <v>4339</v>
      </c>
      <c r="C22" s="893" t="str">
        <f t="shared" si="0"/>
        <v>01/27</v>
      </c>
      <c r="D22" s="751">
        <v>35</v>
      </c>
      <c r="E22" s="894" t="s">
        <v>4323</v>
      </c>
      <c r="F22" s="895">
        <v>1.2</v>
      </c>
      <c r="G22" s="896" t="s">
        <v>87</v>
      </c>
      <c r="H22" s="894"/>
      <c r="I22" s="894"/>
      <c r="J22" s="894"/>
      <c r="K22" s="894"/>
      <c r="L22" s="894"/>
      <c r="M22" s="894"/>
      <c r="N22" s="894"/>
      <c r="O22" s="894"/>
      <c r="P22" s="894"/>
      <c r="Q22" s="846" t="str">
        <f t="shared" si="1"/>
        <v>x</v>
      </c>
      <c r="R22" s="938"/>
      <c r="S22" s="550"/>
      <c r="T22" s="751"/>
    </row>
    <row r="23" spans="1:20" ht="28.5" customHeight="1">
      <c r="A23" s="897"/>
      <c r="B23" s="954" t="s">
        <v>4340</v>
      </c>
      <c r="C23" s="893" t="str">
        <f t="shared" si="0"/>
        <v>01/28</v>
      </c>
      <c r="D23" s="939">
        <v>38</v>
      </c>
      <c r="E23" s="894" t="s">
        <v>4323</v>
      </c>
      <c r="F23" s="895">
        <v>1.2</v>
      </c>
      <c r="G23" s="896" t="s">
        <v>87</v>
      </c>
      <c r="H23" s="894"/>
      <c r="I23" s="894"/>
      <c r="J23" s="894"/>
      <c r="K23" s="894"/>
      <c r="L23" s="894"/>
      <c r="M23" s="894"/>
      <c r="N23" s="894"/>
      <c r="O23" s="894"/>
      <c r="P23" s="894"/>
      <c r="Q23" s="846" t="str">
        <f t="shared" si="1"/>
        <v>x</v>
      </c>
    </row>
    <row r="24" spans="1:20" ht="28.5" customHeight="1">
      <c r="A24" s="897"/>
      <c r="B24" s="952" t="s">
        <v>4341</v>
      </c>
      <c r="C24" s="893" t="str">
        <f t="shared" si="0"/>
        <v>01/29</v>
      </c>
      <c r="D24" s="550">
        <v>40</v>
      </c>
      <c r="E24" s="894" t="s">
        <v>4323</v>
      </c>
      <c r="F24" s="895">
        <v>1.2</v>
      </c>
      <c r="G24" s="896" t="s">
        <v>87</v>
      </c>
      <c r="H24" s="894"/>
      <c r="I24" s="894"/>
      <c r="J24" s="894"/>
      <c r="K24" s="894"/>
      <c r="L24" s="894"/>
      <c r="M24" s="894"/>
      <c r="N24" s="894"/>
      <c r="O24" s="894"/>
      <c r="P24" s="894"/>
      <c r="Q24" s="846" t="str">
        <f t="shared" si="1"/>
        <v>x</v>
      </c>
    </row>
    <row r="25" spans="1:20" ht="28.5" customHeight="1">
      <c r="A25" s="897"/>
      <c r="B25" s="952" t="s">
        <v>4342</v>
      </c>
      <c r="C25" s="893" t="str">
        <f t="shared" si="0"/>
        <v>01/30</v>
      </c>
      <c r="D25" s="550">
        <v>40</v>
      </c>
      <c r="E25" s="894" t="s">
        <v>4323</v>
      </c>
      <c r="F25" s="895">
        <v>1.2</v>
      </c>
      <c r="G25" s="896" t="s">
        <v>87</v>
      </c>
      <c r="H25" s="894"/>
      <c r="I25" s="894"/>
      <c r="J25" s="894"/>
      <c r="K25" s="894"/>
      <c r="L25" s="894"/>
      <c r="M25" s="894"/>
      <c r="N25" s="894"/>
      <c r="O25" s="894"/>
      <c r="P25" s="894"/>
      <c r="Q25" s="846" t="str">
        <f t="shared" si="1"/>
        <v>x</v>
      </c>
    </row>
    <row r="26" spans="1:20" ht="28.5" customHeight="1">
      <c r="A26" s="897"/>
      <c r="B26" s="952" t="s">
        <v>4343</v>
      </c>
      <c r="C26" s="893" t="str">
        <f t="shared" si="0"/>
        <v>01/31</v>
      </c>
      <c r="D26" s="550">
        <v>40</v>
      </c>
      <c r="E26" s="894" t="s">
        <v>4323</v>
      </c>
      <c r="F26" s="895">
        <v>1.2</v>
      </c>
      <c r="G26" s="896" t="s">
        <v>87</v>
      </c>
      <c r="H26" s="894"/>
      <c r="I26" s="894"/>
      <c r="J26" s="894"/>
      <c r="K26" s="894"/>
      <c r="L26" s="894"/>
      <c r="M26" s="894"/>
      <c r="N26" s="894"/>
      <c r="O26" s="894"/>
      <c r="P26" s="894"/>
      <c r="Q26" s="846" t="str">
        <f t="shared" si="1"/>
        <v>x</v>
      </c>
    </row>
    <row r="27" spans="1:20" ht="28.5" hidden="1" customHeight="1">
      <c r="A27" s="897"/>
      <c r="B27" s="893"/>
      <c r="C27" s="893"/>
      <c r="D27" s="898"/>
      <c r="E27" s="894"/>
      <c r="F27" s="895"/>
      <c r="G27" s="896"/>
      <c r="H27" s="894"/>
      <c r="I27" s="894"/>
      <c r="J27" s="894"/>
      <c r="K27" s="894"/>
      <c r="L27" s="894"/>
      <c r="M27" s="894"/>
      <c r="N27" s="894"/>
      <c r="O27" s="894"/>
      <c r="P27" s="894"/>
      <c r="Q27" s="846" t="str">
        <f t="shared" si="1"/>
        <v/>
      </c>
    </row>
    <row r="28" spans="1:20" ht="28.5" hidden="1" customHeight="1">
      <c r="A28" s="897"/>
      <c r="B28" s="893"/>
      <c r="C28" s="893"/>
      <c r="D28" s="898"/>
      <c r="E28" s="894"/>
      <c r="F28" s="895"/>
      <c r="G28" s="896"/>
      <c r="H28" s="894"/>
      <c r="I28" s="894"/>
      <c r="J28" s="894"/>
      <c r="K28" s="894"/>
      <c r="L28" s="894"/>
      <c r="M28" s="894"/>
      <c r="N28" s="894"/>
      <c r="O28" s="894"/>
      <c r="P28" s="894"/>
      <c r="Q28" s="846" t="str">
        <f t="shared" si="1"/>
        <v/>
      </c>
    </row>
    <row r="29" spans="1:20" ht="28.5" hidden="1" customHeight="1">
      <c r="A29" s="897"/>
      <c r="B29" s="893"/>
      <c r="C29" s="893"/>
      <c r="D29" s="898"/>
      <c r="E29" s="894"/>
      <c r="F29" s="895"/>
      <c r="G29" s="896"/>
      <c r="H29" s="894"/>
      <c r="I29" s="894"/>
      <c r="J29" s="894"/>
      <c r="K29" s="894"/>
      <c r="L29" s="894"/>
      <c r="M29" s="894"/>
      <c r="N29" s="894"/>
      <c r="O29" s="894"/>
      <c r="P29" s="894"/>
      <c r="Q29" s="846" t="str">
        <f t="shared" si="1"/>
        <v/>
      </c>
    </row>
    <row r="30" spans="1:20" ht="28.5" hidden="1" customHeight="1">
      <c r="A30" s="897"/>
      <c r="B30" s="893"/>
      <c r="C30" s="893"/>
      <c r="D30" s="898"/>
      <c r="E30" s="894"/>
      <c r="F30" s="895"/>
      <c r="G30" s="896"/>
      <c r="H30" s="894"/>
      <c r="I30" s="894"/>
      <c r="J30" s="894"/>
      <c r="K30" s="894"/>
      <c r="L30" s="894"/>
      <c r="M30" s="894"/>
      <c r="N30" s="894"/>
      <c r="O30" s="894"/>
      <c r="P30" s="894"/>
      <c r="Q30" s="846" t="str">
        <f t="shared" si="1"/>
        <v/>
      </c>
    </row>
    <row r="31" spans="1:20" ht="28.5" hidden="1" customHeight="1">
      <c r="A31" s="897"/>
      <c r="B31" s="893"/>
      <c r="C31" s="893"/>
      <c r="D31" s="898"/>
      <c r="E31" s="894"/>
      <c r="F31" s="895"/>
      <c r="G31" s="896"/>
      <c r="H31" s="894"/>
      <c r="I31" s="894"/>
      <c r="J31" s="894"/>
      <c r="K31" s="894"/>
      <c r="L31" s="894"/>
      <c r="M31" s="894"/>
      <c r="N31" s="894"/>
      <c r="O31" s="894"/>
      <c r="P31" s="894"/>
      <c r="Q31" s="846" t="str">
        <f t="shared" si="1"/>
        <v/>
      </c>
    </row>
    <row r="32" spans="1:20" ht="28.5" hidden="1" customHeight="1">
      <c r="A32" s="897"/>
      <c r="B32" s="893"/>
      <c r="C32" s="893"/>
      <c r="D32" s="898"/>
      <c r="E32" s="894"/>
      <c r="F32" s="895"/>
      <c r="G32" s="896"/>
      <c r="H32" s="894"/>
      <c r="I32" s="894"/>
      <c r="J32" s="894"/>
      <c r="K32" s="894"/>
      <c r="L32" s="894"/>
      <c r="M32" s="894"/>
      <c r="N32" s="894"/>
      <c r="O32" s="894"/>
      <c r="P32" s="894"/>
      <c r="Q32" s="846" t="str">
        <f t="shared" si="1"/>
        <v/>
      </c>
    </row>
    <row r="33" spans="1:17" ht="28.5" hidden="1" customHeight="1">
      <c r="A33" s="897"/>
      <c r="B33" s="893"/>
      <c r="C33" s="893"/>
      <c r="D33" s="898"/>
      <c r="E33" s="894"/>
      <c r="F33" s="895"/>
      <c r="G33" s="896"/>
      <c r="H33" s="894"/>
      <c r="I33" s="894"/>
      <c r="J33" s="894"/>
      <c r="K33" s="894"/>
      <c r="L33" s="894"/>
      <c r="M33" s="894"/>
      <c r="N33" s="894"/>
      <c r="O33" s="894"/>
      <c r="P33" s="894"/>
      <c r="Q33" s="846" t="str">
        <f t="shared" si="1"/>
        <v/>
      </c>
    </row>
    <row r="34" spans="1:17" ht="28.5" hidden="1" customHeight="1">
      <c r="A34" s="897"/>
      <c r="B34" s="893"/>
      <c r="C34" s="893"/>
      <c r="D34" s="898"/>
      <c r="E34" s="894"/>
      <c r="F34" s="895"/>
      <c r="G34" s="896"/>
      <c r="H34" s="894"/>
      <c r="I34" s="894"/>
      <c r="J34" s="894"/>
      <c r="K34" s="894"/>
      <c r="L34" s="894"/>
      <c r="M34" s="894"/>
      <c r="N34" s="894"/>
      <c r="O34" s="894"/>
      <c r="P34" s="894"/>
      <c r="Q34" s="846" t="str">
        <f t="shared" si="1"/>
        <v/>
      </c>
    </row>
    <row r="35" spans="1:17" ht="28.5" hidden="1" customHeight="1">
      <c r="A35" s="897"/>
      <c r="B35" s="893"/>
      <c r="C35" s="893"/>
      <c r="D35" s="898"/>
      <c r="E35" s="894"/>
      <c r="F35" s="895"/>
      <c r="G35" s="896"/>
      <c r="H35" s="894"/>
      <c r="I35" s="894"/>
      <c r="J35" s="894"/>
      <c r="K35" s="894"/>
      <c r="L35" s="894"/>
      <c r="M35" s="894"/>
      <c r="N35" s="894"/>
      <c r="O35" s="894"/>
      <c r="P35" s="894"/>
      <c r="Q35" s="846" t="str">
        <f t="shared" si="1"/>
        <v/>
      </c>
    </row>
    <row r="36" spans="1:17" ht="28.5" hidden="1" customHeight="1">
      <c r="A36" s="897"/>
      <c r="B36" s="893"/>
      <c r="C36" s="893"/>
      <c r="D36" s="898"/>
      <c r="E36" s="894"/>
      <c r="F36" s="895"/>
      <c r="G36" s="896"/>
      <c r="H36" s="894"/>
      <c r="I36" s="894"/>
      <c r="J36" s="894"/>
      <c r="K36" s="894"/>
      <c r="L36" s="894"/>
      <c r="M36" s="894"/>
      <c r="N36" s="894"/>
      <c r="O36" s="894"/>
      <c r="P36" s="894"/>
      <c r="Q36" s="846" t="str">
        <f t="shared" si="1"/>
        <v/>
      </c>
    </row>
    <row r="37" spans="1:17" ht="28.5" hidden="1" customHeight="1">
      <c r="A37" s="897"/>
      <c r="B37" s="893"/>
      <c r="C37" s="893"/>
      <c r="D37" s="898"/>
      <c r="E37" s="894"/>
      <c r="F37" s="895"/>
      <c r="G37" s="896"/>
      <c r="H37" s="894"/>
      <c r="I37" s="894"/>
      <c r="J37" s="894"/>
      <c r="K37" s="894"/>
      <c r="L37" s="894"/>
      <c r="M37" s="894"/>
      <c r="N37" s="894"/>
      <c r="O37" s="894"/>
      <c r="P37" s="894"/>
      <c r="Q37" s="846" t="str">
        <f t="shared" si="1"/>
        <v/>
      </c>
    </row>
    <row r="38" spans="1:17" ht="28.5" hidden="1" customHeight="1">
      <c r="A38" s="897"/>
      <c r="B38" s="893"/>
      <c r="C38" s="893"/>
      <c r="D38" s="898"/>
      <c r="E38" s="894"/>
      <c r="F38" s="895"/>
      <c r="G38" s="896"/>
      <c r="H38" s="894"/>
      <c r="I38" s="894"/>
      <c r="J38" s="894"/>
      <c r="K38" s="894"/>
      <c r="L38" s="894"/>
      <c r="M38" s="894"/>
      <c r="N38" s="894"/>
      <c r="O38" s="894"/>
      <c r="P38" s="894"/>
      <c r="Q38" s="846" t="str">
        <f t="shared" si="1"/>
        <v/>
      </c>
    </row>
    <row r="39" spans="1:17" ht="28.5" hidden="1" customHeight="1">
      <c r="A39" s="897"/>
      <c r="B39" s="893"/>
      <c r="C39" s="893"/>
      <c r="D39" s="898"/>
      <c r="E39" s="894"/>
      <c r="F39" s="895"/>
      <c r="G39" s="896"/>
      <c r="H39" s="894"/>
      <c r="I39" s="894"/>
      <c r="J39" s="894"/>
      <c r="K39" s="894"/>
      <c r="L39" s="894"/>
      <c r="M39" s="894"/>
      <c r="N39" s="894"/>
      <c r="O39" s="894"/>
      <c r="P39" s="894"/>
      <c r="Q39" s="846" t="str">
        <f t="shared" si="1"/>
        <v/>
      </c>
    </row>
    <row r="40" spans="1:17" ht="28.5" hidden="1" customHeight="1">
      <c r="A40" s="897"/>
      <c r="B40" s="893"/>
      <c r="C40" s="893"/>
      <c r="D40" s="898"/>
      <c r="E40" s="894"/>
      <c r="F40" s="895"/>
      <c r="G40" s="896"/>
      <c r="H40" s="894"/>
      <c r="I40" s="894"/>
      <c r="J40" s="894"/>
      <c r="K40" s="894"/>
      <c r="L40" s="894"/>
      <c r="M40" s="894"/>
      <c r="N40" s="894"/>
      <c r="O40" s="894"/>
      <c r="P40" s="894"/>
      <c r="Q40" s="846" t="str">
        <f t="shared" si="1"/>
        <v/>
      </c>
    </row>
    <row r="41" spans="1:17" ht="28.5" hidden="1" customHeight="1">
      <c r="A41" s="897"/>
      <c r="B41" s="893"/>
      <c r="C41" s="893"/>
      <c r="D41" s="898"/>
      <c r="E41" s="894"/>
      <c r="F41" s="895"/>
      <c r="G41" s="896"/>
      <c r="H41" s="894"/>
      <c r="I41" s="894"/>
      <c r="J41" s="894"/>
      <c r="K41" s="894"/>
      <c r="L41" s="894"/>
      <c r="M41" s="894"/>
      <c r="N41" s="894"/>
      <c r="O41" s="894"/>
      <c r="P41" s="894"/>
      <c r="Q41" s="846" t="str">
        <f t="shared" si="1"/>
        <v/>
      </c>
    </row>
    <row r="42" spans="1:17" ht="28.5" hidden="1" customHeight="1">
      <c r="A42" s="897"/>
      <c r="B42" s="893"/>
      <c r="C42" s="893"/>
      <c r="D42" s="898"/>
      <c r="E42" s="894"/>
      <c r="F42" s="895"/>
      <c r="G42" s="896"/>
      <c r="H42" s="894"/>
      <c r="I42" s="894"/>
      <c r="J42" s="894"/>
      <c r="K42" s="894"/>
      <c r="L42" s="894"/>
      <c r="M42" s="894"/>
      <c r="N42" s="894"/>
      <c r="O42" s="894"/>
      <c r="P42" s="894"/>
      <c r="Q42" s="846" t="str">
        <f t="shared" si="1"/>
        <v/>
      </c>
    </row>
    <row r="43" spans="1:17" ht="28.5" hidden="1" customHeight="1">
      <c r="A43" s="897"/>
      <c r="B43" s="893"/>
      <c r="C43" s="893"/>
      <c r="D43" s="898"/>
      <c r="E43" s="894"/>
      <c r="F43" s="895"/>
      <c r="G43" s="896"/>
      <c r="H43" s="894"/>
      <c r="I43" s="894"/>
      <c r="J43" s="894"/>
      <c r="K43" s="894"/>
      <c r="L43" s="894"/>
      <c r="M43" s="894"/>
      <c r="N43" s="894"/>
      <c r="O43" s="894"/>
      <c r="P43" s="894"/>
      <c r="Q43" s="846" t="str">
        <f t="shared" si="1"/>
        <v/>
      </c>
    </row>
    <row r="44" spans="1:17" ht="28.5" hidden="1" customHeight="1">
      <c r="A44" s="897"/>
      <c r="B44" s="893"/>
      <c r="C44" s="893"/>
      <c r="D44" s="898"/>
      <c r="E44" s="894"/>
      <c r="F44" s="895"/>
      <c r="G44" s="896"/>
      <c r="H44" s="894"/>
      <c r="I44" s="894"/>
      <c r="J44" s="894"/>
      <c r="K44" s="894"/>
      <c r="L44" s="894"/>
      <c r="M44" s="894"/>
      <c r="N44" s="894"/>
      <c r="O44" s="894"/>
      <c r="P44" s="894"/>
      <c r="Q44" s="846" t="str">
        <f t="shared" si="1"/>
        <v/>
      </c>
    </row>
    <row r="45" spans="1:17" ht="28.5" hidden="1" customHeight="1">
      <c r="A45" s="897"/>
      <c r="B45" s="893"/>
      <c r="C45" s="893"/>
      <c r="D45" s="898"/>
      <c r="E45" s="894"/>
      <c r="F45" s="895"/>
      <c r="G45" s="896"/>
      <c r="H45" s="894"/>
      <c r="I45" s="894"/>
      <c r="J45" s="894"/>
      <c r="K45" s="894"/>
      <c r="L45" s="894"/>
      <c r="M45" s="894"/>
      <c r="N45" s="894"/>
      <c r="O45" s="894"/>
      <c r="P45" s="894"/>
      <c r="Q45" s="846" t="str">
        <f t="shared" si="1"/>
        <v/>
      </c>
    </row>
    <row r="46" spans="1:17" ht="28.5" hidden="1" customHeight="1">
      <c r="A46" s="897"/>
      <c r="B46" s="893"/>
      <c r="C46" s="893"/>
      <c r="D46" s="898"/>
      <c r="E46" s="894"/>
      <c r="F46" s="895"/>
      <c r="G46" s="896"/>
      <c r="H46" s="894"/>
      <c r="I46" s="894"/>
      <c r="J46" s="894"/>
      <c r="K46" s="894"/>
      <c r="L46" s="894"/>
      <c r="M46" s="894"/>
      <c r="N46" s="894"/>
      <c r="O46" s="894"/>
      <c r="P46" s="894"/>
      <c r="Q46" s="846" t="str">
        <f t="shared" si="1"/>
        <v/>
      </c>
    </row>
    <row r="47" spans="1:17" ht="28.5" hidden="1" customHeight="1">
      <c r="A47" s="897"/>
      <c r="B47" s="893"/>
      <c r="C47" s="893"/>
      <c r="D47" s="898"/>
      <c r="E47" s="894"/>
      <c r="F47" s="895"/>
      <c r="G47" s="896"/>
      <c r="H47" s="894"/>
      <c r="I47" s="894"/>
      <c r="J47" s="894"/>
      <c r="K47" s="894"/>
      <c r="L47" s="894"/>
      <c r="M47" s="894"/>
      <c r="N47" s="894"/>
      <c r="O47" s="894"/>
      <c r="P47" s="894"/>
      <c r="Q47" s="846" t="str">
        <f t="shared" si="1"/>
        <v/>
      </c>
    </row>
    <row r="48" spans="1:17" ht="28.5" hidden="1" customHeight="1">
      <c r="A48" s="897"/>
      <c r="B48" s="893"/>
      <c r="C48" s="893"/>
      <c r="D48" s="898"/>
      <c r="E48" s="894"/>
      <c r="F48" s="895"/>
      <c r="G48" s="896"/>
      <c r="H48" s="894"/>
      <c r="I48" s="894"/>
      <c r="J48" s="894"/>
      <c r="K48" s="894"/>
      <c r="L48" s="894"/>
      <c r="M48" s="894"/>
      <c r="N48" s="894"/>
      <c r="O48" s="894"/>
      <c r="P48" s="894"/>
      <c r="Q48" s="846" t="str">
        <f t="shared" si="1"/>
        <v/>
      </c>
    </row>
    <row r="49" spans="1:17" ht="28.5" hidden="1" customHeight="1">
      <c r="A49" s="897"/>
      <c r="B49" s="893"/>
      <c r="C49" s="893"/>
      <c r="D49" s="898"/>
      <c r="E49" s="894"/>
      <c r="F49" s="895"/>
      <c r="G49" s="896"/>
      <c r="H49" s="894"/>
      <c r="I49" s="894"/>
      <c r="J49" s="894"/>
      <c r="K49" s="894"/>
      <c r="L49" s="894"/>
      <c r="M49" s="894"/>
      <c r="N49" s="894"/>
      <c r="O49" s="894"/>
      <c r="P49" s="894"/>
      <c r="Q49" s="846" t="str">
        <f t="shared" si="1"/>
        <v/>
      </c>
    </row>
    <row r="50" spans="1:17" ht="28.5" hidden="1" customHeight="1">
      <c r="A50" s="897"/>
      <c r="B50" s="893"/>
      <c r="C50" s="893"/>
      <c r="D50" s="898"/>
      <c r="E50" s="894"/>
      <c r="F50" s="895"/>
      <c r="G50" s="896"/>
      <c r="H50" s="894"/>
      <c r="I50" s="894"/>
      <c r="J50" s="894"/>
      <c r="K50" s="894"/>
      <c r="L50" s="894"/>
      <c r="M50" s="894"/>
      <c r="N50" s="894"/>
      <c r="O50" s="894"/>
      <c r="P50" s="894"/>
      <c r="Q50" s="846" t="str">
        <f t="shared" si="1"/>
        <v/>
      </c>
    </row>
    <row r="51" spans="1:17" ht="23.25" customHeight="1">
      <c r="A51" s="960"/>
      <c r="B51" s="961"/>
      <c r="C51" s="893"/>
      <c r="D51" s="898"/>
      <c r="E51" s="894"/>
      <c r="F51" s="895"/>
      <c r="G51" s="896"/>
      <c r="H51" s="894"/>
      <c r="I51" s="894"/>
      <c r="J51" s="894"/>
      <c r="K51" s="894"/>
      <c r="L51" s="894"/>
      <c r="M51" s="894"/>
      <c r="N51" s="894"/>
      <c r="O51" s="894"/>
      <c r="P51" s="894"/>
    </row>
    <row r="52" spans="1:17" ht="21.75" customHeight="1">
      <c r="A52" s="959"/>
      <c r="B52" s="955"/>
      <c r="C52" s="3160" t="str">
        <f>"- Tổng chiều dài tuyến: "&amp;ROUND(SUM(D8:D50),1)&amp;" m"</f>
        <v>- Tổng chiều dài tuyến: 725 m</v>
      </c>
      <c r="D52" s="3161"/>
      <c r="E52" s="3161"/>
      <c r="F52" s="3161"/>
      <c r="G52" s="3161"/>
      <c r="H52" s="3161"/>
      <c r="I52" s="3161"/>
      <c r="J52" s="3161"/>
      <c r="K52" s="3161"/>
      <c r="L52" s="3161"/>
      <c r="M52" s="3161"/>
      <c r="N52" s="3161"/>
      <c r="O52" s="3161"/>
      <c r="P52" s="3161"/>
    </row>
    <row r="53" spans="1:17" ht="21.75" customHeight="1">
      <c r="A53" s="962" t="s">
        <v>4260</v>
      </c>
      <c r="B53" s="956"/>
      <c r="C53" s="3160" t="str">
        <f>"- Tổng số lượng trụ "&amp;$E$8&amp;"m: "&amp;COUNTIF(E8:E51,$E$8)&amp;" trụ."</f>
        <v>- Tổng số lượng trụ 7,5m: 19 trụ.</v>
      </c>
      <c r="D53" s="3161"/>
      <c r="E53" s="3161"/>
      <c r="F53" s="3161"/>
      <c r="G53" s="3161"/>
      <c r="H53" s="3161"/>
      <c r="I53" s="3161"/>
      <c r="J53" s="3161"/>
      <c r="K53" s="3161"/>
      <c r="L53" s="3161"/>
      <c r="M53" s="3161"/>
      <c r="N53" s="3161"/>
      <c r="O53" s="3161"/>
      <c r="P53" s="3161"/>
    </row>
    <row r="54" spans="1:17" ht="21.75" customHeight="1">
      <c r="A54" s="957"/>
      <c r="B54" s="958"/>
      <c r="C54" s="3160" t="str">
        <f>"- Tổng số lượng móng M7BT đôi: "&amp;TEXT(COUNTIF(G6:G51,"M7BT ĐÔI"),"00")&amp;" móng."</f>
        <v>- Tổng số lượng móng M7BT đôi: 00 móng.</v>
      </c>
      <c r="D54" s="3161"/>
      <c r="E54" s="3161"/>
      <c r="F54" s="3161"/>
      <c r="G54" s="3161"/>
      <c r="H54" s="3161"/>
      <c r="I54" s="3161"/>
      <c r="J54" s="3161"/>
      <c r="K54" s="3161"/>
      <c r="L54" s="3161"/>
      <c r="M54" s="3161"/>
      <c r="N54" s="3161"/>
      <c r="O54" s="3161"/>
      <c r="P54" s="3161"/>
    </row>
    <row r="55" spans="1:17" ht="21.75" hidden="1" customHeight="1">
      <c r="A55" s="957"/>
      <c r="B55" s="958"/>
      <c r="C55" s="3160" t="str">
        <f>"- Tổng số lượng móng M12BT đơn: "&amp;TEXT(COUNTIF(G6:G13,"M12BT ĐƠN"),"00")&amp;" móng."</f>
        <v>- Tổng số lượng móng M12BT đơn: 00 móng.</v>
      </c>
      <c r="D55" s="3161"/>
      <c r="E55" s="3161"/>
      <c r="F55" s="3161"/>
      <c r="G55" s="3161"/>
      <c r="H55" s="3161"/>
      <c r="I55" s="3161"/>
      <c r="J55" s="3161"/>
      <c r="K55" s="3161"/>
      <c r="L55" s="3161"/>
      <c r="M55" s="3161"/>
      <c r="N55" s="3161"/>
      <c r="O55" s="3161"/>
      <c r="P55" s="3161"/>
      <c r="Q55" s="846">
        <f>COUNTIF(G8:G13,"M12BT ĐƠN")</f>
        <v>0</v>
      </c>
    </row>
  </sheetData>
  <autoFilter ref="Q7:Q50" xr:uid="{00000000-0009-0000-0000-000017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46" customWidth="1"/>
    <col min="2" max="3" width="8.90625" style="846" customWidth="1"/>
    <col min="4" max="4" width="7.81640625" style="846" customWidth="1"/>
    <col min="5" max="5" width="7.6328125" style="846" customWidth="1"/>
    <col min="6" max="6" width="6.453125" style="846" customWidth="1"/>
    <col min="7" max="7" width="8.90625" style="846" customWidth="1"/>
    <col min="8" max="8" width="6.36328125" style="846" customWidth="1"/>
    <col min="9" max="9" width="7.36328125" style="846" customWidth="1"/>
    <col min="10" max="10" width="6.90625" style="846" customWidth="1"/>
    <col min="11" max="11" width="8.453125" style="846" customWidth="1"/>
    <col min="12" max="12" width="9.6328125" style="846" customWidth="1"/>
    <col min="13" max="13" width="11.1796875" style="846" customWidth="1"/>
    <col min="14" max="14" width="17.81640625" style="846" customWidth="1"/>
    <col min="15" max="15" width="8.90625" style="846"/>
    <col min="16" max="16" width="11.90625" style="846" customWidth="1"/>
    <col min="17" max="17" width="8.90625" style="846"/>
    <col min="18" max="18" width="0" style="846" hidden="1" customWidth="1"/>
    <col min="19" max="20" width="8.90625" style="857"/>
    <col min="21" max="16384" width="8.90625" style="846"/>
  </cols>
  <sheetData>
    <row r="1" spans="1:20" ht="32.25" customHeight="1">
      <c r="A1" s="3162" t="s">
        <v>4261</v>
      </c>
      <c r="B1" s="3162"/>
      <c r="C1" s="3162"/>
      <c r="D1" s="3162"/>
      <c r="E1" s="3162"/>
      <c r="F1" s="3162"/>
      <c r="G1" s="3162"/>
      <c r="H1" s="3162"/>
      <c r="I1" s="3162"/>
      <c r="J1" s="3162"/>
      <c r="K1" s="3162"/>
      <c r="L1" s="3162"/>
      <c r="M1" s="3162"/>
      <c r="N1" s="3162"/>
      <c r="O1" s="3162"/>
      <c r="P1" s="3162"/>
      <c r="R1" s="848" t="s">
        <v>4167</v>
      </c>
    </row>
    <row r="2" spans="1:20" ht="33.75" customHeight="1">
      <c r="A2" s="3166" t="e">
        <f>"Tên công trình: "&amp;Solieu!#REF!</f>
        <v>#REF!</v>
      </c>
      <c r="B2" s="3167"/>
      <c r="C2" s="3167"/>
      <c r="D2" s="3167"/>
      <c r="E2" s="3167"/>
      <c r="F2" s="3167"/>
      <c r="G2" s="3167"/>
      <c r="H2" s="3167"/>
      <c r="I2" s="3167"/>
      <c r="J2" s="3168"/>
      <c r="K2" s="3156" t="str">
        <f>"Đơn vị thi công: "&amp;Solieu!C10</f>
        <v>Đơn vị thi công: 06</v>
      </c>
      <c r="L2" s="3156"/>
      <c r="M2" s="3156"/>
      <c r="N2" s="3156"/>
      <c r="O2" s="3156"/>
      <c r="P2" s="3156"/>
    </row>
    <row r="3" spans="1:20" ht="25.5" customHeight="1">
      <c r="A3" s="3161" t="s">
        <v>4262</v>
      </c>
      <c r="B3" s="3161"/>
      <c r="C3" s="3161"/>
      <c r="D3" s="3161"/>
      <c r="E3" s="3161"/>
      <c r="F3" s="3161"/>
      <c r="G3" s="3161"/>
      <c r="H3" s="3161"/>
      <c r="I3" s="3161"/>
      <c r="J3" s="3161"/>
      <c r="K3" s="3163" t="s">
        <v>4238</v>
      </c>
      <c r="L3" s="3164"/>
      <c r="M3" s="3164"/>
      <c r="N3" s="3164"/>
      <c r="O3" s="3164"/>
      <c r="P3" s="3165"/>
    </row>
    <row r="4" spans="1:20" ht="25.5" customHeight="1">
      <c r="A4" s="3161" t="s">
        <v>4239</v>
      </c>
      <c r="B4" s="3161"/>
      <c r="C4" s="3161"/>
      <c r="D4" s="3161"/>
      <c r="E4" s="3161"/>
      <c r="F4" s="3161"/>
      <c r="G4" s="3161"/>
      <c r="H4" s="3161"/>
      <c r="I4" s="3161"/>
      <c r="J4" s="3161"/>
      <c r="K4" s="3161"/>
      <c r="L4" s="3161"/>
      <c r="M4" s="3161"/>
      <c r="N4" s="3161"/>
      <c r="O4" s="3161"/>
      <c r="P4" s="3161"/>
    </row>
    <row r="5" spans="1:20">
      <c r="A5" s="3156" t="s">
        <v>4240</v>
      </c>
      <c r="B5" s="3156" t="s">
        <v>4263</v>
      </c>
      <c r="C5" s="3156"/>
      <c r="D5" s="3156" t="s">
        <v>3795</v>
      </c>
      <c r="E5" s="3156" t="s">
        <v>4264</v>
      </c>
      <c r="F5" s="3156" t="s">
        <v>4265</v>
      </c>
      <c r="G5" s="3156"/>
      <c r="H5" s="3156" t="s">
        <v>4266</v>
      </c>
      <c r="I5" s="3156"/>
      <c r="J5" s="3156"/>
      <c r="K5" s="3156"/>
      <c r="L5" s="3156" t="s">
        <v>4267</v>
      </c>
      <c r="M5" s="3156"/>
      <c r="N5" s="3156" t="s">
        <v>4244</v>
      </c>
      <c r="O5" s="3156" t="s">
        <v>4245</v>
      </c>
      <c r="P5" s="3156"/>
    </row>
    <row r="6" spans="1:20">
      <c r="A6" s="3156"/>
      <c r="B6" s="3156"/>
      <c r="C6" s="3156"/>
      <c r="D6" s="3156"/>
      <c r="E6" s="3156"/>
      <c r="F6" s="3156"/>
      <c r="G6" s="3156"/>
      <c r="H6" s="3156"/>
      <c r="I6" s="3156"/>
      <c r="J6" s="3156"/>
      <c r="K6" s="3156"/>
      <c r="L6" s="3156"/>
      <c r="M6" s="3156"/>
      <c r="N6" s="3156"/>
      <c r="O6" s="3156"/>
      <c r="P6" s="3156"/>
    </row>
    <row r="7" spans="1:20">
      <c r="A7" s="3156"/>
      <c r="B7" s="3156"/>
      <c r="C7" s="3156"/>
      <c r="D7" s="3156"/>
      <c r="E7" s="3156"/>
      <c r="F7" s="3156"/>
      <c r="G7" s="3156"/>
      <c r="H7" s="3156"/>
      <c r="I7" s="3156"/>
      <c r="J7" s="3156"/>
      <c r="K7" s="3156"/>
      <c r="L7" s="3156"/>
      <c r="M7" s="3156"/>
      <c r="N7" s="3156"/>
      <c r="O7" s="3156"/>
      <c r="P7" s="3156"/>
    </row>
    <row r="8" spans="1:20" ht="69.75" customHeight="1">
      <c r="A8" s="3156"/>
      <c r="B8" s="856" t="s">
        <v>4246</v>
      </c>
      <c r="C8" s="856" t="s">
        <v>4268</v>
      </c>
      <c r="D8" s="3156"/>
      <c r="E8" s="3156"/>
      <c r="F8" s="856" t="s">
        <v>4269</v>
      </c>
      <c r="G8" s="856" t="s">
        <v>4270</v>
      </c>
      <c r="H8" s="856" t="s">
        <v>4271</v>
      </c>
      <c r="I8" s="856" t="s">
        <v>4259</v>
      </c>
      <c r="J8" s="856" t="s">
        <v>4272</v>
      </c>
      <c r="K8" s="900" t="s">
        <v>4259</v>
      </c>
      <c r="L8" s="856" t="s">
        <v>4273</v>
      </c>
      <c r="M8" s="856" t="s">
        <v>4259</v>
      </c>
      <c r="N8" s="3156"/>
      <c r="O8" s="856" t="s">
        <v>4253</v>
      </c>
      <c r="P8" s="856" t="s">
        <v>4254</v>
      </c>
      <c r="Q8" s="901" t="s">
        <v>512</v>
      </c>
      <c r="S8" s="857" t="s">
        <v>663</v>
      </c>
      <c r="T8" s="857" t="s">
        <v>664</v>
      </c>
    </row>
    <row r="9" spans="1:20" ht="33" customHeight="1">
      <c r="A9" s="886"/>
      <c r="B9" s="938" t="s">
        <v>4325</v>
      </c>
      <c r="C9" s="938" t="s">
        <v>4325</v>
      </c>
      <c r="D9" s="752" t="s">
        <v>546</v>
      </c>
      <c r="E9" s="904" t="s">
        <v>633</v>
      </c>
      <c r="F9" s="886"/>
      <c r="G9" s="899"/>
      <c r="H9" s="886"/>
      <c r="I9" s="887"/>
      <c r="J9" s="886"/>
      <c r="K9" s="887"/>
      <c r="L9" s="886"/>
      <c r="M9" s="887"/>
      <c r="N9" s="886"/>
      <c r="O9" s="886"/>
      <c r="P9" s="886"/>
      <c r="Q9" s="846" t="str">
        <f>IF(B9&lt;&gt;0,"x","")</f>
        <v>x</v>
      </c>
      <c r="R9" s="846" t="str">
        <f>LEFT(E9,2)</f>
        <v>CX</v>
      </c>
      <c r="S9" s="857">
        <v>0</v>
      </c>
      <c r="T9" s="857">
        <v>1</v>
      </c>
    </row>
    <row r="10" spans="1:20" ht="37.5" customHeight="1">
      <c r="A10" s="886"/>
      <c r="B10" s="938" t="s">
        <v>4326</v>
      </c>
      <c r="C10" s="938" t="s">
        <v>4326</v>
      </c>
      <c r="D10" s="752" t="s">
        <v>4344</v>
      </c>
      <c r="E10" s="904" t="s">
        <v>633</v>
      </c>
      <c r="F10" s="886"/>
      <c r="G10" s="899"/>
      <c r="H10" s="886"/>
      <c r="I10" s="887"/>
      <c r="J10" s="886"/>
      <c r="K10" s="887"/>
      <c r="L10" s="886"/>
      <c r="M10" s="887"/>
      <c r="N10" s="856"/>
      <c r="O10" s="856"/>
      <c r="P10" s="856"/>
      <c r="Q10" s="846" t="str">
        <f t="shared" ref="Q10:Q24" si="0">IF(B10&lt;&gt;0,"x","")</f>
        <v>x</v>
      </c>
      <c r="R10" s="846" t="str">
        <f t="shared" ref="R10:R24" si="1">LEFT(E10,2)</f>
        <v>CX</v>
      </c>
      <c r="S10" s="857">
        <v>1</v>
      </c>
      <c r="T10" s="857">
        <v>0</v>
      </c>
    </row>
    <row r="11" spans="1:20" ht="37.5" customHeight="1">
      <c r="A11" s="886"/>
      <c r="B11" s="938" t="s">
        <v>4328</v>
      </c>
      <c r="C11" s="938" t="s">
        <v>4328</v>
      </c>
      <c r="D11" s="752" t="s">
        <v>4344</v>
      </c>
      <c r="E11" s="904" t="s">
        <v>633</v>
      </c>
      <c r="F11" s="886"/>
      <c r="G11" s="899"/>
      <c r="H11" s="886"/>
      <c r="I11" s="887"/>
      <c r="J11" s="886"/>
      <c r="K11" s="887"/>
      <c r="L11" s="886"/>
      <c r="M11" s="887"/>
      <c r="N11" s="856"/>
      <c r="O11" s="856"/>
      <c r="P11" s="856"/>
      <c r="Q11" s="846" t="str">
        <f t="shared" si="0"/>
        <v>x</v>
      </c>
      <c r="R11" s="846" t="str">
        <f t="shared" si="1"/>
        <v>CX</v>
      </c>
      <c r="S11" s="857">
        <v>1</v>
      </c>
      <c r="T11" s="857">
        <v>0</v>
      </c>
    </row>
    <row r="12" spans="1:20" ht="37.5" customHeight="1">
      <c r="A12" s="886"/>
      <c r="B12" s="938" t="s">
        <v>4329</v>
      </c>
      <c r="C12" s="938" t="s">
        <v>4329</v>
      </c>
      <c r="D12" s="752" t="s">
        <v>4344</v>
      </c>
      <c r="E12" s="904" t="s">
        <v>633</v>
      </c>
      <c r="F12" s="886"/>
      <c r="G12" s="899"/>
      <c r="H12" s="886"/>
      <c r="I12" s="887"/>
      <c r="J12" s="886"/>
      <c r="K12" s="905"/>
      <c r="L12" s="886"/>
      <c r="M12" s="887"/>
      <c r="N12" s="856"/>
      <c r="O12" s="856"/>
      <c r="P12" s="856"/>
      <c r="Q12" s="846" t="str">
        <f t="shared" si="0"/>
        <v>x</v>
      </c>
      <c r="R12" s="846" t="str">
        <f t="shared" si="1"/>
        <v>CX</v>
      </c>
    </row>
    <row r="13" spans="1:20" ht="37.5" customHeight="1">
      <c r="A13" s="886"/>
      <c r="B13" s="938" t="s">
        <v>4331</v>
      </c>
      <c r="C13" s="938" t="s">
        <v>4331</v>
      </c>
      <c r="D13" s="752" t="s">
        <v>4344</v>
      </c>
      <c r="E13" s="904" t="s">
        <v>633</v>
      </c>
      <c r="F13" s="886"/>
      <c r="G13" s="899"/>
      <c r="H13" s="886"/>
      <c r="I13" s="887"/>
      <c r="J13" s="886"/>
      <c r="K13" s="905"/>
      <c r="L13" s="886"/>
      <c r="M13" s="887"/>
      <c r="N13" s="856"/>
      <c r="O13" s="856"/>
      <c r="P13" s="856"/>
      <c r="Q13" s="846" t="str">
        <f t="shared" si="0"/>
        <v>x</v>
      </c>
      <c r="R13" s="846" t="str">
        <f t="shared" si="1"/>
        <v>CX</v>
      </c>
    </row>
    <row r="14" spans="1:20" ht="37.5" customHeight="1">
      <c r="A14" s="886"/>
      <c r="B14" s="938" t="s">
        <v>4332</v>
      </c>
      <c r="C14" s="938" t="s">
        <v>4332</v>
      </c>
      <c r="D14" s="752" t="s">
        <v>4344</v>
      </c>
      <c r="E14" s="904" t="s">
        <v>633</v>
      </c>
      <c r="F14" s="886"/>
      <c r="G14" s="899"/>
      <c r="H14" s="886"/>
      <c r="I14" s="887"/>
      <c r="J14" s="886"/>
      <c r="K14" s="905"/>
      <c r="L14" s="886"/>
      <c r="M14" s="887"/>
      <c r="N14" s="856"/>
      <c r="O14" s="856"/>
      <c r="P14" s="856"/>
      <c r="Q14" s="846" t="str">
        <f t="shared" si="0"/>
        <v>x</v>
      </c>
      <c r="R14" s="846" t="str">
        <f t="shared" si="1"/>
        <v>CX</v>
      </c>
    </row>
    <row r="15" spans="1:20" ht="37.5" customHeight="1">
      <c r="A15" s="886"/>
      <c r="B15" s="938" t="s">
        <v>4337</v>
      </c>
      <c r="C15" s="938" t="s">
        <v>4337</v>
      </c>
      <c r="D15" s="753" t="s">
        <v>4344</v>
      </c>
      <c r="E15" s="904" t="s">
        <v>633</v>
      </c>
      <c r="F15" s="886"/>
      <c r="G15" s="899"/>
      <c r="H15" s="886"/>
      <c r="I15" s="887"/>
      <c r="J15" s="886"/>
      <c r="K15" s="905"/>
      <c r="L15" s="886"/>
      <c r="M15" s="887"/>
      <c r="N15" s="856"/>
      <c r="O15" s="856"/>
      <c r="P15" s="856"/>
      <c r="Q15" s="846" t="str">
        <f t="shared" si="0"/>
        <v>x</v>
      </c>
      <c r="R15" s="846" t="str">
        <f t="shared" si="1"/>
        <v>CX</v>
      </c>
    </row>
    <row r="16" spans="1:20" ht="37.5" customHeight="1">
      <c r="A16" s="886"/>
      <c r="B16" s="938" t="s">
        <v>4338</v>
      </c>
      <c r="C16" s="938" t="s">
        <v>4338</v>
      </c>
      <c r="D16" s="753" t="s">
        <v>4344</v>
      </c>
      <c r="E16" s="904" t="s">
        <v>633</v>
      </c>
      <c r="F16" s="886"/>
      <c r="G16" s="899"/>
      <c r="H16" s="886"/>
      <c r="I16" s="887"/>
      <c r="J16" s="886"/>
      <c r="K16" s="905"/>
      <c r="L16" s="886"/>
      <c r="M16" s="887"/>
      <c r="N16" s="856"/>
      <c r="O16" s="856"/>
      <c r="P16" s="856"/>
      <c r="Q16" s="846" t="str">
        <f t="shared" si="0"/>
        <v>x</v>
      </c>
      <c r="R16" s="846" t="str">
        <f t="shared" si="1"/>
        <v>CX</v>
      </c>
    </row>
    <row r="17" spans="1:18" ht="37.5" customHeight="1">
      <c r="A17" s="886"/>
      <c r="B17" s="938" t="s">
        <v>4343</v>
      </c>
      <c r="C17" s="938" t="s">
        <v>4343</v>
      </c>
      <c r="D17" s="751" t="s">
        <v>1107</v>
      </c>
      <c r="E17" s="904" t="s">
        <v>633</v>
      </c>
      <c r="F17" s="886"/>
      <c r="G17" s="899"/>
      <c r="H17" s="886"/>
      <c r="I17" s="887"/>
      <c r="J17" s="886"/>
      <c r="K17" s="905"/>
      <c r="L17" s="886"/>
      <c r="M17" s="887"/>
      <c r="N17" s="856"/>
      <c r="O17" s="856"/>
      <c r="P17" s="856"/>
      <c r="Q17" s="846" t="str">
        <f t="shared" si="0"/>
        <v>x</v>
      </c>
      <c r="R17" s="846" t="str">
        <f t="shared" si="1"/>
        <v>CX</v>
      </c>
    </row>
    <row r="18" spans="1:18" ht="37.5" hidden="1" customHeight="1">
      <c r="A18" s="886"/>
      <c r="B18" s="902"/>
      <c r="C18" s="902"/>
      <c r="D18" s="903"/>
      <c r="E18" s="904"/>
      <c r="F18" s="886"/>
      <c r="G18" s="899"/>
      <c r="H18" s="886"/>
      <c r="I18" s="887"/>
      <c r="J18" s="886"/>
      <c r="K18" s="905"/>
      <c r="L18" s="886"/>
      <c r="M18" s="887"/>
      <c r="N18" s="856"/>
      <c r="O18" s="856"/>
      <c r="P18" s="856"/>
      <c r="Q18" s="846" t="str">
        <f t="shared" si="0"/>
        <v/>
      </c>
      <c r="R18" s="846" t="str">
        <f t="shared" si="1"/>
        <v/>
      </c>
    </row>
    <row r="19" spans="1:18" ht="37.5" hidden="1" customHeight="1">
      <c r="A19" s="886"/>
      <c r="B19" s="902"/>
      <c r="C19" s="902"/>
      <c r="D19" s="903"/>
      <c r="E19" s="904"/>
      <c r="F19" s="886"/>
      <c r="G19" s="899"/>
      <c r="H19" s="886"/>
      <c r="I19" s="887"/>
      <c r="J19" s="886"/>
      <c r="K19" s="905"/>
      <c r="L19" s="886"/>
      <c r="M19" s="887"/>
      <c r="N19" s="856"/>
      <c r="O19" s="856"/>
      <c r="P19" s="856"/>
      <c r="Q19" s="846" t="str">
        <f t="shared" si="0"/>
        <v/>
      </c>
      <c r="R19" s="846" t="str">
        <f t="shared" si="1"/>
        <v/>
      </c>
    </row>
    <row r="20" spans="1:18" ht="37.5" hidden="1" customHeight="1">
      <c r="A20" s="886"/>
      <c r="B20" s="902"/>
      <c r="C20" s="902"/>
      <c r="D20" s="903"/>
      <c r="E20" s="904"/>
      <c r="F20" s="886"/>
      <c r="G20" s="899"/>
      <c r="H20" s="886"/>
      <c r="I20" s="887"/>
      <c r="J20" s="886"/>
      <c r="K20" s="905"/>
      <c r="L20" s="886"/>
      <c r="M20" s="887"/>
      <c r="N20" s="856"/>
      <c r="O20" s="856"/>
      <c r="P20" s="856"/>
      <c r="Q20" s="846" t="str">
        <f t="shared" si="0"/>
        <v/>
      </c>
      <c r="R20" s="846" t="str">
        <f t="shared" si="1"/>
        <v/>
      </c>
    </row>
    <row r="21" spans="1:18" ht="37.5" hidden="1" customHeight="1">
      <c r="A21" s="886"/>
      <c r="B21" s="902"/>
      <c r="C21" s="902"/>
      <c r="D21" s="903"/>
      <c r="E21" s="904"/>
      <c r="F21" s="886"/>
      <c r="G21" s="899"/>
      <c r="H21" s="886"/>
      <c r="I21" s="887"/>
      <c r="J21" s="886"/>
      <c r="K21" s="905"/>
      <c r="L21" s="886"/>
      <c r="M21" s="887"/>
      <c r="N21" s="856"/>
      <c r="O21" s="856"/>
      <c r="P21" s="856"/>
      <c r="Q21" s="846" t="str">
        <f t="shared" si="0"/>
        <v/>
      </c>
      <c r="R21" s="846" t="str">
        <f t="shared" si="1"/>
        <v/>
      </c>
    </row>
    <row r="22" spans="1:18" ht="37.5" hidden="1" customHeight="1">
      <c r="A22" s="886"/>
      <c r="B22" s="902"/>
      <c r="C22" s="902"/>
      <c r="D22" s="903"/>
      <c r="E22" s="904"/>
      <c r="F22" s="886"/>
      <c r="G22" s="899"/>
      <c r="H22" s="886"/>
      <c r="I22" s="887"/>
      <c r="J22" s="886"/>
      <c r="K22" s="905"/>
      <c r="L22" s="886"/>
      <c r="M22" s="887"/>
      <c r="N22" s="856"/>
      <c r="O22" s="856"/>
      <c r="P22" s="856"/>
      <c r="Q22" s="846" t="str">
        <f t="shared" si="0"/>
        <v/>
      </c>
      <c r="R22" s="846" t="str">
        <f t="shared" si="1"/>
        <v/>
      </c>
    </row>
    <row r="23" spans="1:18" ht="37.5" hidden="1" customHeight="1">
      <c r="A23" s="886"/>
      <c r="B23" s="902"/>
      <c r="C23" s="902"/>
      <c r="D23" s="903"/>
      <c r="E23" s="904"/>
      <c r="F23" s="886"/>
      <c r="G23" s="899"/>
      <c r="H23" s="886"/>
      <c r="I23" s="887"/>
      <c r="J23" s="886"/>
      <c r="K23" s="905"/>
      <c r="L23" s="886"/>
      <c r="M23" s="887"/>
      <c r="N23" s="856"/>
      <c r="O23" s="856"/>
      <c r="P23" s="856"/>
      <c r="Q23" s="846" t="str">
        <f t="shared" si="0"/>
        <v/>
      </c>
      <c r="R23" s="846" t="str">
        <f t="shared" si="1"/>
        <v/>
      </c>
    </row>
    <row r="24" spans="1:18" ht="37.5" hidden="1" customHeight="1">
      <c r="A24" s="886"/>
      <c r="B24" s="902"/>
      <c r="C24" s="902"/>
      <c r="D24" s="903"/>
      <c r="E24" s="904"/>
      <c r="F24" s="886"/>
      <c r="G24" s="899"/>
      <c r="H24" s="886"/>
      <c r="I24" s="887"/>
      <c r="J24" s="886"/>
      <c r="K24" s="905"/>
      <c r="L24" s="886"/>
      <c r="M24" s="887"/>
      <c r="N24" s="856"/>
      <c r="O24" s="856"/>
      <c r="P24" s="856"/>
      <c r="Q24" s="846" t="str">
        <f t="shared" si="0"/>
        <v/>
      </c>
      <c r="R24" s="846" t="str">
        <f t="shared" si="1"/>
        <v/>
      </c>
    </row>
    <row r="25" spans="1:18" ht="37.5" customHeight="1">
      <c r="A25" s="886"/>
      <c r="B25" s="902"/>
      <c r="C25" s="902"/>
      <c r="D25" s="903"/>
      <c r="E25" s="886"/>
      <c r="F25" s="886"/>
      <c r="G25" s="899"/>
      <c r="H25" s="886"/>
      <c r="I25" s="887"/>
      <c r="J25" s="886"/>
      <c r="K25" s="905"/>
      <c r="L25" s="886"/>
      <c r="M25" s="887"/>
      <c r="N25" s="856"/>
      <c r="O25" s="856"/>
      <c r="P25" s="856"/>
    </row>
    <row r="26" spans="1:18" ht="28.5" customHeight="1">
      <c r="A26" s="3161" t="str">
        <f>"Tổng cộng: "&amp;TEXT((17-COUNTBLANK(B9:B25)),"00")&amp;" bộ."</f>
        <v>Tổng cộng: 09 bộ.</v>
      </c>
      <c r="B26" s="3161"/>
      <c r="C26" s="3161"/>
      <c r="D26" s="906"/>
      <c r="E26" s="906"/>
      <c r="F26" s="906"/>
      <c r="G26" s="906"/>
      <c r="H26" s="906"/>
      <c r="I26" s="906"/>
      <c r="J26" s="906"/>
      <c r="K26" s="907"/>
      <c r="L26" s="906"/>
      <c r="M26" s="906"/>
      <c r="N26" s="906"/>
      <c r="O26" s="906"/>
      <c r="P26" s="906"/>
    </row>
    <row r="27" spans="1:18" ht="28.5" customHeight="1">
      <c r="A27" s="3161" t="s">
        <v>4274</v>
      </c>
      <c r="B27" s="3161"/>
      <c r="C27" s="3161"/>
      <c r="D27" s="3161" t="str">
        <f>"NXL:  "&amp;TEXT(COUNTIF(R:R,"CL"),"00")&amp;" bộ."</f>
        <v>NXL:  00 bộ.</v>
      </c>
      <c r="E27" s="3161"/>
      <c r="F27" s="3161"/>
      <c r="G27" s="3161"/>
      <c r="H27" s="3161"/>
      <c r="I27" s="3161"/>
      <c r="J27" s="3161"/>
      <c r="K27" s="3161"/>
      <c r="L27" s="3161"/>
      <c r="M27" s="3161"/>
      <c r="N27" s="3161"/>
      <c r="O27" s="3161"/>
      <c r="P27" s="3161"/>
    </row>
    <row r="28" spans="1:18" ht="28.5" customHeight="1">
      <c r="A28" s="3161"/>
      <c r="B28" s="3161"/>
      <c r="C28" s="3161"/>
      <c r="D28" s="3161" t="str">
        <f>"NXX:  "&amp;TEXT(COUNTIF(R:R,"CX"),"00")&amp;" bộ."</f>
        <v>NXX:  09 bộ.</v>
      </c>
      <c r="E28" s="3161"/>
      <c r="F28" s="3161"/>
      <c r="G28" s="3161"/>
      <c r="H28" s="3161"/>
      <c r="I28" s="3161"/>
      <c r="J28" s="3161"/>
      <c r="K28" s="3161"/>
      <c r="L28" s="3161"/>
      <c r="M28" s="3161"/>
      <c r="N28" s="3161"/>
      <c r="O28" s="3161"/>
      <c r="P28" s="3161"/>
    </row>
    <row r="29" spans="1:18">
      <c r="A29" s="847"/>
      <c r="B29" s="847"/>
      <c r="C29" s="847"/>
      <c r="D29" s="847"/>
      <c r="E29" s="847"/>
      <c r="F29" s="847"/>
    </row>
  </sheetData>
  <autoFilter ref="Q8:Q24" xr:uid="{00000000-0009-0000-0000-000018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8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D18"/>
  <sheetViews>
    <sheetView showZeros="0" workbookViewId="0">
      <selection activeCell="O3" sqref="O3:T3"/>
    </sheetView>
  </sheetViews>
  <sheetFormatPr defaultColWidth="8.90625" defaultRowHeight="14.4"/>
  <cols>
    <col min="1" max="1" width="13.08984375" style="846" customWidth="1"/>
    <col min="2" max="2" width="6.1796875" style="846" customWidth="1"/>
    <col min="3" max="3" width="5.90625" style="846" customWidth="1"/>
    <col min="4" max="4" width="7.1796875" style="846" customWidth="1"/>
    <col min="5" max="5" width="6.36328125" style="846" customWidth="1"/>
    <col min="6" max="6" width="6.81640625" style="846" customWidth="1"/>
    <col min="7" max="11" width="6.6328125" style="846" customWidth="1"/>
    <col min="12" max="12" width="6.81640625" style="846" customWidth="1"/>
    <col min="13" max="14" width="7.08984375" style="846" customWidth="1"/>
    <col min="15" max="15" width="8.6328125" style="846" customWidth="1"/>
    <col min="16" max="16" width="7.36328125" style="846" customWidth="1"/>
    <col min="17" max="17" width="7.08984375" style="846" customWidth="1"/>
    <col min="18" max="20" width="11.08984375" style="846" customWidth="1"/>
    <col min="21" max="16384" width="8.90625" style="846"/>
  </cols>
  <sheetData>
    <row r="1" spans="1:30" ht="32.25" customHeight="1">
      <c r="A1" s="3169" t="s">
        <v>4275</v>
      </c>
      <c r="B1" s="3169"/>
      <c r="C1" s="3169"/>
      <c r="D1" s="3169"/>
      <c r="E1" s="3169"/>
      <c r="F1" s="3169"/>
      <c r="G1" s="3169"/>
      <c r="H1" s="3169"/>
      <c r="I1" s="3169"/>
      <c r="J1" s="3169"/>
      <c r="K1" s="3169"/>
      <c r="L1" s="3169"/>
      <c r="M1" s="3169"/>
      <c r="N1" s="3169"/>
      <c r="O1" s="3169"/>
      <c r="P1" s="3169"/>
      <c r="Q1" s="3169"/>
      <c r="R1" s="3169"/>
      <c r="S1" s="3169"/>
      <c r="T1" s="3169"/>
      <c r="V1" s="848" t="s">
        <v>4167</v>
      </c>
    </row>
    <row r="2" spans="1:30" ht="33" customHeight="1">
      <c r="A2" s="3166" t="e">
        <f>"Tên công trình: "&amp;Solieu!#REF!</f>
        <v>#REF!</v>
      </c>
      <c r="B2" s="3167"/>
      <c r="C2" s="3167"/>
      <c r="D2" s="3167"/>
      <c r="E2" s="3167"/>
      <c r="F2" s="3167"/>
      <c r="G2" s="3167"/>
      <c r="H2" s="3167"/>
      <c r="I2" s="3167"/>
      <c r="J2" s="3167"/>
      <c r="K2" s="3167"/>
      <c r="L2" s="3167"/>
      <c r="M2" s="3167"/>
      <c r="N2" s="3168"/>
      <c r="O2" s="3170" t="str">
        <f>"Đơn vị thi công: "&amp;Solieu!C10</f>
        <v>Đơn vị thi công: 06</v>
      </c>
      <c r="P2" s="3171"/>
      <c r="Q2" s="3171"/>
      <c r="R2" s="3171"/>
      <c r="S2" s="3171"/>
      <c r="T2" s="3172"/>
    </row>
    <row r="3" spans="1:30" ht="31.5" customHeight="1">
      <c r="A3" s="3166" t="s">
        <v>4276</v>
      </c>
      <c r="B3" s="3167"/>
      <c r="C3" s="3167"/>
      <c r="D3" s="3167"/>
      <c r="E3" s="3167"/>
      <c r="F3" s="3167"/>
      <c r="G3" s="3167"/>
      <c r="H3" s="3167"/>
      <c r="I3" s="3167"/>
      <c r="J3" s="3167"/>
      <c r="K3" s="3167"/>
      <c r="L3" s="3167"/>
      <c r="M3" s="3167"/>
      <c r="N3" s="3168"/>
      <c r="O3" s="3156" t="s">
        <v>4277</v>
      </c>
      <c r="P3" s="3156"/>
      <c r="Q3" s="3156"/>
      <c r="R3" s="3156"/>
      <c r="S3" s="3156"/>
      <c r="T3" s="3156"/>
    </row>
    <row r="4" spans="1:30" ht="15.6">
      <c r="A4" s="3161" t="s">
        <v>4239</v>
      </c>
      <c r="B4" s="3161"/>
      <c r="C4" s="3161"/>
      <c r="D4" s="3161"/>
      <c r="E4" s="3161"/>
      <c r="F4" s="3161"/>
      <c r="G4" s="3161"/>
      <c r="H4" s="3161"/>
      <c r="I4" s="3161"/>
      <c r="J4" s="3161"/>
      <c r="K4" s="3161"/>
      <c r="L4" s="3161"/>
      <c r="M4" s="3161"/>
      <c r="N4" s="3161"/>
      <c r="O4" s="3161"/>
      <c r="P4" s="3161"/>
      <c r="Q4" s="3161"/>
      <c r="R4" s="3161"/>
      <c r="S4" s="3161"/>
      <c r="T4" s="3161"/>
    </row>
    <row r="5" spans="1:30" ht="32.25" customHeight="1">
      <c r="A5" s="3173" t="s">
        <v>4240</v>
      </c>
      <c r="B5" s="3173" t="s">
        <v>4278</v>
      </c>
      <c r="C5" s="3173"/>
      <c r="D5" s="3173" t="s">
        <v>3795</v>
      </c>
      <c r="E5" s="3173" t="s">
        <v>3305</v>
      </c>
      <c r="F5" s="3173"/>
      <c r="G5" s="3173" t="s">
        <v>4279</v>
      </c>
      <c r="H5" s="3173"/>
      <c r="I5" s="3173"/>
      <c r="J5" s="3173"/>
      <c r="K5" s="3173"/>
      <c r="L5" s="3173" t="s">
        <v>4280</v>
      </c>
      <c r="M5" s="3173"/>
      <c r="N5" s="3173"/>
      <c r="O5" s="3173" t="s">
        <v>4281</v>
      </c>
      <c r="P5" s="3173"/>
      <c r="Q5" s="3173"/>
      <c r="R5" s="3173" t="s">
        <v>4282</v>
      </c>
      <c r="S5" s="3173" t="s">
        <v>4245</v>
      </c>
      <c r="T5" s="3173"/>
    </row>
    <row r="6" spans="1:30" ht="35.25" customHeight="1">
      <c r="A6" s="3173"/>
      <c r="B6" s="3173" t="s">
        <v>4283</v>
      </c>
      <c r="C6" s="3173" t="s">
        <v>4268</v>
      </c>
      <c r="D6" s="3173"/>
      <c r="E6" s="3173" t="s">
        <v>4284</v>
      </c>
      <c r="F6" s="3173" t="s">
        <v>4285</v>
      </c>
      <c r="G6" s="3173" t="s">
        <v>4286</v>
      </c>
      <c r="H6" s="3173" t="s">
        <v>4287</v>
      </c>
      <c r="I6" s="3173" t="s">
        <v>4288</v>
      </c>
      <c r="J6" s="3173" t="s">
        <v>4289</v>
      </c>
      <c r="K6" s="3173" t="s">
        <v>4290</v>
      </c>
      <c r="L6" s="3173" t="s">
        <v>4291</v>
      </c>
      <c r="M6" s="3173" t="s">
        <v>4292</v>
      </c>
      <c r="N6" s="3173"/>
      <c r="O6" s="3173" t="s">
        <v>4293</v>
      </c>
      <c r="P6" s="3173" t="s">
        <v>4294</v>
      </c>
      <c r="Q6" s="3173" t="s">
        <v>4295</v>
      </c>
      <c r="R6" s="3173"/>
      <c r="S6" s="3173" t="s">
        <v>4296</v>
      </c>
      <c r="T6" s="3173" t="s">
        <v>4297</v>
      </c>
      <c r="U6" s="908">
        <v>17</v>
      </c>
      <c r="V6" s="908">
        <v>18</v>
      </c>
      <c r="W6" s="908">
        <v>19</v>
      </c>
      <c r="X6" s="908">
        <v>20</v>
      </c>
      <c r="Y6" s="908">
        <v>21</v>
      </c>
      <c r="Z6" s="908">
        <v>22</v>
      </c>
      <c r="AA6" s="908">
        <v>23</v>
      </c>
      <c r="AB6" s="908">
        <v>24</v>
      </c>
      <c r="AC6" s="908">
        <v>25</v>
      </c>
      <c r="AD6" s="908">
        <v>28</v>
      </c>
    </row>
    <row r="7" spans="1:30" ht="61.5" customHeight="1">
      <c r="A7" s="3173"/>
      <c r="B7" s="3173"/>
      <c r="C7" s="3173"/>
      <c r="D7" s="3173"/>
      <c r="E7" s="3173"/>
      <c r="F7" s="3173"/>
      <c r="G7" s="3173"/>
      <c r="H7" s="3173"/>
      <c r="I7" s="3173"/>
      <c r="J7" s="3173"/>
      <c r="K7" s="3173"/>
      <c r="L7" s="3173"/>
      <c r="M7" s="884" t="s">
        <v>4298</v>
      </c>
      <c r="N7" s="884" t="s">
        <v>4259</v>
      </c>
      <c r="O7" s="3173"/>
      <c r="P7" s="3173"/>
      <c r="Q7" s="3173"/>
      <c r="R7" s="3173"/>
      <c r="S7" s="3173"/>
      <c r="T7" s="3173"/>
      <c r="U7" s="909" t="s">
        <v>2300</v>
      </c>
      <c r="V7" s="909" t="s">
        <v>2301</v>
      </c>
      <c r="W7" s="910" t="s">
        <v>2299</v>
      </c>
      <c r="X7" s="910" t="s">
        <v>2125</v>
      </c>
      <c r="Y7" s="910" t="s">
        <v>894</v>
      </c>
      <c r="Z7" s="911" t="s">
        <v>3904</v>
      </c>
      <c r="AA7" s="911" t="s">
        <v>4096</v>
      </c>
      <c r="AB7" s="911" t="s">
        <v>3805</v>
      </c>
      <c r="AC7" s="911" t="s">
        <v>4101</v>
      </c>
      <c r="AD7" s="911" t="s">
        <v>4102</v>
      </c>
    </row>
    <row r="8" spans="1:30" s="855" customFormat="1" ht="21" customHeight="1">
      <c r="A8" s="884" t="str">
        <f>"("&amp;COLUMN()&amp;")"</f>
        <v>(1)</v>
      </c>
      <c r="B8" s="884" t="str">
        <f t="shared" ref="B8:T8" si="0">"("&amp;COLUMN()&amp;")"</f>
        <v>(2)</v>
      </c>
      <c r="C8" s="884" t="str">
        <f t="shared" si="0"/>
        <v>(3)</v>
      </c>
      <c r="D8" s="884" t="str">
        <f t="shared" si="0"/>
        <v>(4)</v>
      </c>
      <c r="E8" s="884" t="str">
        <f t="shared" si="0"/>
        <v>(5)</v>
      </c>
      <c r="F8" s="884" t="str">
        <f t="shared" si="0"/>
        <v>(6)</v>
      </c>
      <c r="G8" s="884" t="str">
        <f t="shared" si="0"/>
        <v>(7)</v>
      </c>
      <c r="H8" s="884" t="str">
        <f t="shared" si="0"/>
        <v>(8)</v>
      </c>
      <c r="I8" s="884" t="str">
        <f t="shared" si="0"/>
        <v>(9)</v>
      </c>
      <c r="J8" s="884" t="str">
        <f t="shared" si="0"/>
        <v>(10)</v>
      </c>
      <c r="K8" s="884" t="str">
        <f t="shared" si="0"/>
        <v>(11)</v>
      </c>
      <c r="L8" s="884" t="str">
        <f t="shared" si="0"/>
        <v>(12)</v>
      </c>
      <c r="M8" s="884" t="str">
        <f t="shared" si="0"/>
        <v>(13)</v>
      </c>
      <c r="N8" s="884" t="str">
        <f t="shared" si="0"/>
        <v>(14)</v>
      </c>
      <c r="O8" s="884" t="str">
        <f t="shared" si="0"/>
        <v>(15)</v>
      </c>
      <c r="P8" s="884" t="str">
        <f t="shared" si="0"/>
        <v>(16)</v>
      </c>
      <c r="Q8" s="884" t="str">
        <f t="shared" si="0"/>
        <v>(17)</v>
      </c>
      <c r="R8" s="884" t="str">
        <f t="shared" si="0"/>
        <v>(18)</v>
      </c>
      <c r="S8" s="884" t="str">
        <f t="shared" si="0"/>
        <v>(19)</v>
      </c>
      <c r="T8" s="884" t="str">
        <f t="shared" si="0"/>
        <v>(20)</v>
      </c>
      <c r="U8" s="912"/>
      <c r="V8" s="912"/>
      <c r="W8" s="912"/>
      <c r="X8" s="912"/>
      <c r="Y8" s="912"/>
      <c r="Z8" s="912"/>
      <c r="AA8" s="912"/>
      <c r="AB8" s="912"/>
      <c r="AC8" s="912"/>
      <c r="AD8" s="912"/>
    </row>
    <row r="9" spans="1:30" s="919" customFormat="1" ht="24.9" customHeight="1">
      <c r="A9" s="892"/>
      <c r="B9" s="913"/>
      <c r="C9" s="913"/>
      <c r="D9" s="898"/>
      <c r="E9" s="914"/>
      <c r="F9" s="915"/>
      <c r="G9" s="915"/>
      <c r="H9" s="915"/>
      <c r="I9" s="916"/>
      <c r="J9" s="915"/>
      <c r="K9" s="915"/>
      <c r="L9" s="916"/>
      <c r="M9" s="915"/>
      <c r="N9" s="916"/>
      <c r="O9" s="894"/>
      <c r="P9" s="898"/>
      <c r="Q9" s="894"/>
      <c r="R9" s="917"/>
      <c r="S9" s="917"/>
      <c r="T9" s="917"/>
      <c r="U9" s="918">
        <v>0</v>
      </c>
      <c r="V9" s="918">
        <v>1</v>
      </c>
      <c r="W9" s="918">
        <v>0</v>
      </c>
      <c r="X9" s="918">
        <v>0</v>
      </c>
      <c r="Y9" s="918">
        <v>0</v>
      </c>
      <c r="Z9" s="918">
        <v>2</v>
      </c>
      <c r="AA9" s="918">
        <v>3</v>
      </c>
      <c r="AB9" s="918">
        <v>1</v>
      </c>
      <c r="AC9" s="918">
        <v>1</v>
      </c>
      <c r="AD9" s="918">
        <v>2</v>
      </c>
    </row>
    <row r="10" spans="1:30" s="919" customFormat="1" ht="24.9" customHeight="1">
      <c r="A10" s="892"/>
      <c r="B10" s="913"/>
      <c r="C10" s="913"/>
      <c r="D10" s="898"/>
      <c r="E10" s="914"/>
      <c r="F10" s="915"/>
      <c r="G10" s="915"/>
      <c r="H10" s="915"/>
      <c r="I10" s="916"/>
      <c r="J10" s="915"/>
      <c r="K10" s="915"/>
      <c r="L10" s="916"/>
      <c r="M10" s="915"/>
      <c r="N10" s="916"/>
      <c r="O10" s="894"/>
      <c r="P10" s="898"/>
      <c r="Q10" s="894"/>
      <c r="R10" s="917"/>
      <c r="S10" s="917"/>
      <c r="T10" s="917"/>
      <c r="U10" s="918">
        <v>0</v>
      </c>
      <c r="V10" s="918">
        <v>1</v>
      </c>
      <c r="W10" s="918">
        <v>0</v>
      </c>
      <c r="X10" s="918">
        <v>0</v>
      </c>
      <c r="Y10" s="918">
        <v>1</v>
      </c>
      <c r="Z10" s="918">
        <v>2</v>
      </c>
      <c r="AA10" s="918">
        <v>6</v>
      </c>
      <c r="AB10" s="918">
        <v>0</v>
      </c>
      <c r="AC10" s="918">
        <v>2</v>
      </c>
      <c r="AD10" s="918">
        <v>2</v>
      </c>
    </row>
    <row r="11" spans="1:30" s="919" customFormat="1" ht="24.9" customHeight="1">
      <c r="A11" s="892"/>
      <c r="B11" s="913"/>
      <c r="C11" s="913"/>
      <c r="D11" s="898"/>
      <c r="E11" s="920"/>
      <c r="F11" s="915"/>
      <c r="G11" s="915"/>
      <c r="H11" s="915"/>
      <c r="I11" s="916"/>
      <c r="J11" s="915"/>
      <c r="K11" s="915"/>
      <c r="L11" s="916"/>
      <c r="M11" s="915"/>
      <c r="N11" s="916"/>
      <c r="O11" s="894"/>
      <c r="P11" s="898"/>
      <c r="Q11" s="894"/>
      <c r="R11" s="917"/>
      <c r="S11" s="917"/>
      <c r="T11" s="917"/>
      <c r="U11" s="918">
        <v>0</v>
      </c>
      <c r="V11" s="918">
        <v>1</v>
      </c>
      <c r="W11" s="918">
        <v>0</v>
      </c>
      <c r="X11" s="918">
        <v>0</v>
      </c>
      <c r="Y11" s="918">
        <v>1</v>
      </c>
      <c r="Z11" s="918">
        <v>2</v>
      </c>
      <c r="AA11" s="918">
        <v>6</v>
      </c>
      <c r="AB11" s="918">
        <v>0</v>
      </c>
      <c r="AC11" s="918">
        <v>2</v>
      </c>
      <c r="AD11" s="918">
        <v>2</v>
      </c>
    </row>
    <row r="12" spans="1:30" s="919" customFormat="1" ht="24.9" customHeight="1">
      <c r="A12" s="892"/>
      <c r="B12" s="913"/>
      <c r="C12" s="913"/>
      <c r="D12" s="898"/>
      <c r="E12" s="921"/>
      <c r="F12" s="915"/>
      <c r="G12" s="915"/>
      <c r="H12" s="915"/>
      <c r="I12" s="916"/>
      <c r="J12" s="915"/>
      <c r="K12" s="915"/>
      <c r="L12" s="916"/>
      <c r="M12" s="915"/>
      <c r="N12" s="916"/>
      <c r="O12" s="894"/>
      <c r="P12" s="898"/>
      <c r="Q12" s="894"/>
      <c r="R12" s="917"/>
      <c r="S12" s="917"/>
      <c r="T12" s="917"/>
      <c r="U12" s="918">
        <v>0</v>
      </c>
      <c r="V12" s="918">
        <v>0</v>
      </c>
      <c r="W12" s="918">
        <v>1</v>
      </c>
      <c r="X12" s="918">
        <v>0</v>
      </c>
      <c r="Y12" s="918">
        <v>0</v>
      </c>
      <c r="Z12" s="918">
        <v>3</v>
      </c>
      <c r="AA12" s="918">
        <v>0</v>
      </c>
      <c r="AB12" s="918">
        <v>1</v>
      </c>
      <c r="AC12" s="918">
        <v>0</v>
      </c>
      <c r="AD12" s="918">
        <v>0</v>
      </c>
    </row>
    <row r="13" spans="1:30" s="919" customFormat="1" ht="24.9" customHeight="1">
      <c r="A13" s="892"/>
      <c r="B13" s="922"/>
      <c r="C13" s="922"/>
      <c r="D13" s="898"/>
      <c r="E13" s="921"/>
      <c r="F13" s="915"/>
      <c r="G13" s="894"/>
      <c r="H13" s="894"/>
      <c r="I13" s="916"/>
      <c r="J13" s="894"/>
      <c r="K13" s="915"/>
      <c r="L13" s="916"/>
      <c r="M13" s="915"/>
      <c r="N13" s="916"/>
      <c r="O13" s="894"/>
      <c r="P13" s="898"/>
      <c r="Q13" s="894"/>
      <c r="R13" s="917"/>
      <c r="S13" s="917"/>
      <c r="T13" s="917"/>
      <c r="U13" s="918">
        <v>0</v>
      </c>
      <c r="V13" s="918">
        <v>0</v>
      </c>
      <c r="W13" s="918">
        <v>0</v>
      </c>
      <c r="X13" s="918">
        <v>1</v>
      </c>
      <c r="Y13" s="918">
        <v>0</v>
      </c>
      <c r="Z13" s="918">
        <v>6</v>
      </c>
      <c r="AA13" s="918">
        <v>0</v>
      </c>
      <c r="AB13" s="918">
        <v>1</v>
      </c>
      <c r="AC13" s="918">
        <v>0</v>
      </c>
      <c r="AD13" s="918">
        <v>0</v>
      </c>
    </row>
    <row r="14" spans="1:30" s="919" customFormat="1" ht="24.9" customHeight="1">
      <c r="A14" s="892"/>
      <c r="B14" s="922"/>
      <c r="C14" s="922"/>
      <c r="D14" s="898"/>
      <c r="E14" s="914"/>
      <c r="F14" s="915"/>
      <c r="G14" s="894"/>
      <c r="H14" s="894"/>
      <c r="I14" s="916"/>
      <c r="J14" s="894"/>
      <c r="K14" s="915"/>
      <c r="L14" s="916"/>
      <c r="M14" s="915"/>
      <c r="N14" s="916"/>
      <c r="O14" s="894"/>
      <c r="Q14" s="894"/>
      <c r="R14" s="917"/>
      <c r="S14" s="917"/>
      <c r="T14" s="917"/>
      <c r="U14" s="918">
        <v>1</v>
      </c>
      <c r="V14" s="918">
        <v>0</v>
      </c>
      <c r="W14" s="918">
        <v>0</v>
      </c>
      <c r="X14" s="918">
        <v>0</v>
      </c>
      <c r="Y14" s="918">
        <v>0</v>
      </c>
      <c r="Z14" s="918">
        <v>0</v>
      </c>
      <c r="AA14" s="918">
        <v>0</v>
      </c>
      <c r="AB14" s="918">
        <v>1</v>
      </c>
      <c r="AC14" s="918">
        <v>0</v>
      </c>
      <c r="AD14" s="918">
        <v>0</v>
      </c>
    </row>
    <row r="15" spans="1:30" s="919" customFormat="1" ht="24.9" customHeight="1">
      <c r="A15" s="892"/>
      <c r="B15" s="922"/>
      <c r="C15" s="922"/>
      <c r="D15" s="898"/>
      <c r="E15" s="914"/>
      <c r="F15" s="915"/>
      <c r="G15" s="894"/>
      <c r="H15" s="894"/>
      <c r="I15" s="916"/>
      <c r="J15" s="894"/>
      <c r="K15" s="915"/>
      <c r="L15" s="916"/>
      <c r="M15" s="915"/>
      <c r="N15" s="916"/>
      <c r="O15" s="894"/>
      <c r="P15" s="898"/>
      <c r="Q15" s="894"/>
      <c r="R15" s="917"/>
      <c r="S15" s="917"/>
      <c r="T15" s="917"/>
      <c r="U15" s="918">
        <v>0</v>
      </c>
      <c r="V15" s="918">
        <v>0</v>
      </c>
      <c r="W15" s="918">
        <v>0</v>
      </c>
      <c r="X15" s="918">
        <v>0</v>
      </c>
      <c r="Y15" s="918">
        <v>0</v>
      </c>
      <c r="Z15" s="918">
        <v>0</v>
      </c>
      <c r="AA15" s="918">
        <v>3</v>
      </c>
      <c r="AB15" s="918">
        <v>0</v>
      </c>
      <c r="AC15" s="918">
        <v>1</v>
      </c>
      <c r="AD15" s="918">
        <v>0</v>
      </c>
    </row>
    <row r="16" spans="1:30" ht="24.75" customHeight="1">
      <c r="A16" s="923"/>
      <c r="B16" s="902"/>
      <c r="C16" s="902"/>
      <c r="D16" s="903"/>
      <c r="E16" s="924"/>
      <c r="F16" s="894"/>
      <c r="G16" s="925"/>
      <c r="H16" s="925"/>
      <c r="I16" s="916"/>
      <c r="J16" s="925"/>
      <c r="K16" s="925"/>
      <c r="L16" s="903"/>
      <c r="M16" s="925"/>
      <c r="N16" s="903"/>
      <c r="O16" s="925"/>
      <c r="P16" s="903"/>
      <c r="Q16" s="925"/>
      <c r="R16" s="925"/>
      <c r="S16" s="925"/>
      <c r="T16" s="925"/>
      <c r="U16" s="926" t="e">
        <v>#N/A</v>
      </c>
      <c r="V16" s="926" t="e">
        <v>#N/A</v>
      </c>
      <c r="W16" s="926" t="e">
        <v>#N/A</v>
      </c>
      <c r="X16" s="926" t="e">
        <v>#N/A</v>
      </c>
      <c r="Y16" s="926" t="e">
        <v>#N/A</v>
      </c>
      <c r="Z16" s="926" t="e">
        <v>#N/A</v>
      </c>
      <c r="AA16" s="926" t="e">
        <v>#N/A</v>
      </c>
      <c r="AB16" s="926" t="e">
        <v>#N/A</v>
      </c>
      <c r="AC16" s="926" t="e">
        <v>#N/A</v>
      </c>
      <c r="AD16" s="926" t="e">
        <v>#N/A</v>
      </c>
    </row>
    <row r="17" spans="1:30" ht="24.75" customHeight="1">
      <c r="A17" s="923"/>
      <c r="B17" s="902"/>
      <c r="C17" s="902"/>
      <c r="D17" s="903"/>
      <c r="E17" s="924"/>
      <c r="F17" s="894"/>
      <c r="G17" s="925"/>
      <c r="H17" s="925"/>
      <c r="I17" s="916"/>
      <c r="J17" s="925"/>
      <c r="K17" s="925"/>
      <c r="L17" s="925"/>
      <c r="M17" s="925"/>
      <c r="N17" s="903"/>
      <c r="O17" s="925"/>
      <c r="P17" s="925"/>
      <c r="Q17" s="925"/>
      <c r="R17" s="925"/>
      <c r="S17" s="925"/>
      <c r="T17" s="925"/>
      <c r="U17" s="926" t="e">
        <v>#N/A</v>
      </c>
      <c r="V17" s="926" t="e">
        <v>#N/A</v>
      </c>
      <c r="W17" s="926" t="e">
        <v>#N/A</v>
      </c>
      <c r="X17" s="926" t="e">
        <v>#N/A</v>
      </c>
      <c r="Y17" s="926" t="e">
        <v>#N/A</v>
      </c>
      <c r="Z17" s="926" t="e">
        <v>#N/A</v>
      </c>
      <c r="AA17" s="926" t="e">
        <v>#N/A</v>
      </c>
      <c r="AB17" s="926" t="e">
        <v>#N/A</v>
      </c>
      <c r="AC17" s="926" t="e">
        <v>#N/A</v>
      </c>
      <c r="AD17" s="926" t="e">
        <v>#N/A</v>
      </c>
    </row>
    <row r="18" spans="1:30" ht="15.6">
      <c r="U18" s="909"/>
      <c r="V18" s="909"/>
      <c r="W18" s="910"/>
      <c r="X18" s="910"/>
      <c r="Y18" s="910"/>
      <c r="Z18" s="926"/>
      <c r="AA18" s="926" t="e">
        <v>#N/A</v>
      </c>
      <c r="AB18" s="926" t="e">
        <v>#N/A</v>
      </c>
      <c r="AC18" s="926" t="e">
        <v>#N/A</v>
      </c>
      <c r="AD18" s="926" t="e">
        <v>#N/A</v>
      </c>
    </row>
  </sheetData>
  <autoFilter ref="A8:AD18" xr:uid="{00000000-0009-0000-0000-000019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9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I10"/>
  <sheetViews>
    <sheetView zoomScaleNormal="100" workbookViewId="0">
      <selection activeCell="C18" sqref="C18"/>
    </sheetView>
  </sheetViews>
  <sheetFormatPr defaultColWidth="8.90625" defaultRowHeight="14.4"/>
  <cols>
    <col min="1" max="1" width="18.6328125" style="846" customWidth="1"/>
    <col min="2" max="2" width="20.90625" style="846" customWidth="1"/>
    <col min="3" max="9" width="15.1796875" style="846" customWidth="1"/>
    <col min="10" max="16384" width="8.90625" style="846"/>
  </cols>
  <sheetData>
    <row r="1" spans="1:9" ht="27.75" customHeight="1">
      <c r="A1" s="3174" t="s">
        <v>4299</v>
      </c>
      <c r="B1" s="3174"/>
      <c r="C1" s="3174"/>
      <c r="D1" s="3174"/>
      <c r="E1" s="3174"/>
      <c r="F1" s="3174"/>
      <c r="G1" s="3174"/>
      <c r="H1" s="3174"/>
      <c r="I1" s="3174"/>
    </row>
    <row r="2" spans="1:9" ht="47.25" customHeight="1">
      <c r="A2" s="3161" t="e">
        <f>"Tên công trình: "&amp;Solieu!#REF!</f>
        <v>#REF!</v>
      </c>
      <c r="B2" s="3161"/>
      <c r="C2" s="3161"/>
      <c r="D2" s="3161"/>
      <c r="E2" s="3161"/>
      <c r="F2" s="3161"/>
      <c r="G2" s="3163" t="str">
        <f>"Đơn vị thi công: "&amp;Solieu!C10</f>
        <v>Đơn vị thi công: 06</v>
      </c>
      <c r="H2" s="3164"/>
      <c r="I2" s="3165"/>
    </row>
    <row r="3" spans="1:9" ht="31.5" customHeight="1">
      <c r="A3" s="3161" t="s">
        <v>4324</v>
      </c>
      <c r="B3" s="3161"/>
      <c r="C3" s="3161"/>
      <c r="D3" s="3161"/>
      <c r="E3" s="3161"/>
      <c r="F3" s="3161"/>
      <c r="G3" s="3175" t="s">
        <v>4238</v>
      </c>
      <c r="H3" s="3175"/>
      <c r="I3" s="3175"/>
    </row>
    <row r="4" spans="1:9" ht="15.6">
      <c r="A4" s="3161" t="s">
        <v>4239</v>
      </c>
      <c r="B4" s="3161"/>
      <c r="C4" s="3161"/>
      <c r="D4" s="3161"/>
      <c r="E4" s="3161"/>
      <c r="F4" s="3161"/>
      <c r="G4" s="3161"/>
      <c r="H4" s="3161"/>
      <c r="I4" s="3161"/>
    </row>
    <row r="5" spans="1:9" s="847" customFormat="1" ht="21" customHeight="1">
      <c r="A5" s="3156" t="s">
        <v>4240</v>
      </c>
      <c r="B5" s="3156" t="s">
        <v>4300</v>
      </c>
      <c r="C5" s="3156"/>
      <c r="D5" s="3156"/>
      <c r="E5" s="3156" t="s">
        <v>4301</v>
      </c>
      <c r="F5" s="3156"/>
      <c r="G5" s="3156" t="s">
        <v>4282</v>
      </c>
      <c r="H5" s="3156" t="s">
        <v>4245</v>
      </c>
      <c r="I5" s="3156"/>
    </row>
    <row r="6" spans="1:9" s="847" customFormat="1" ht="21" customHeight="1">
      <c r="A6" s="3156"/>
      <c r="B6" s="906" t="s">
        <v>4302</v>
      </c>
      <c r="C6" s="3156" t="s">
        <v>4303</v>
      </c>
      <c r="D6" s="3156" t="s">
        <v>4232</v>
      </c>
      <c r="E6" s="3156" t="s">
        <v>4304</v>
      </c>
      <c r="F6" s="3156" t="s">
        <v>4305</v>
      </c>
      <c r="G6" s="3156"/>
      <c r="H6" s="3156" t="s">
        <v>4296</v>
      </c>
      <c r="I6" s="3156" t="s">
        <v>4297</v>
      </c>
    </row>
    <row r="7" spans="1:9" s="847" customFormat="1" ht="21" customHeight="1">
      <c r="A7" s="3156"/>
      <c r="B7" s="906" t="s">
        <v>4306</v>
      </c>
      <c r="C7" s="3156"/>
      <c r="D7" s="3156"/>
      <c r="E7" s="3156"/>
      <c r="F7" s="3156"/>
      <c r="G7" s="3156"/>
      <c r="H7" s="3156"/>
      <c r="I7" s="3156"/>
    </row>
    <row r="8" spans="1:9" s="847" customFormat="1" ht="15.6">
      <c r="A8" s="856" t="str">
        <f>"("&amp;COLUMN()&amp;")"</f>
        <v>(1)</v>
      </c>
      <c r="B8" s="856" t="str">
        <f t="shared" ref="B8:I8" si="0">"("&amp;COLUMN()&amp;")"</f>
        <v>(2)</v>
      </c>
      <c r="C8" s="856" t="str">
        <f t="shared" si="0"/>
        <v>(3)</v>
      </c>
      <c r="D8" s="856" t="str">
        <f t="shared" si="0"/>
        <v>(4)</v>
      </c>
      <c r="E8" s="856" t="str">
        <f t="shared" si="0"/>
        <v>(5)</v>
      </c>
      <c r="F8" s="856" t="str">
        <f t="shared" si="0"/>
        <v>(6)</v>
      </c>
      <c r="G8" s="856" t="str">
        <f t="shared" si="0"/>
        <v>(7)</v>
      </c>
      <c r="H8" s="856" t="str">
        <f t="shared" si="0"/>
        <v>(8)</v>
      </c>
      <c r="I8" s="856" t="str">
        <f t="shared" si="0"/>
        <v>(9)</v>
      </c>
    </row>
    <row r="9" spans="1:9" ht="47.25" customHeight="1">
      <c r="A9" s="888"/>
      <c r="B9" s="886" t="e">
        <f>Solieu!#REF!</f>
        <v>#REF!</v>
      </c>
      <c r="C9" s="887" t="e">
        <f>Solieu!#REF!&amp;"m"</f>
        <v>#REF!</v>
      </c>
      <c r="D9" s="886" t="e">
        <f>Solieu!#REF!</f>
        <v>#REF!</v>
      </c>
      <c r="E9" s="886" t="e">
        <f>D9</f>
        <v>#REF!</v>
      </c>
      <c r="F9" s="886">
        <v>0</v>
      </c>
      <c r="G9" s="886"/>
      <c r="H9" s="888"/>
      <c r="I9" s="888"/>
    </row>
    <row r="10" spans="1:9" ht="47.25" customHeight="1">
      <c r="A10" s="3176" t="s">
        <v>4307</v>
      </c>
      <c r="B10" s="3176"/>
      <c r="C10" s="3177" t="e">
        <f>C9</f>
        <v>#REF!</v>
      </c>
      <c r="D10" s="3178"/>
      <c r="E10" s="3178"/>
      <c r="F10" s="3178"/>
      <c r="G10" s="3178"/>
      <c r="H10" s="3178"/>
      <c r="I10" s="3178"/>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K44"/>
  <sheetViews>
    <sheetView topLeftCell="A13" workbookViewId="0">
      <selection activeCell="F44" sqref="F44"/>
    </sheetView>
  </sheetViews>
  <sheetFormatPr defaultColWidth="8.90625" defaultRowHeight="16.8"/>
  <cols>
    <col min="1" max="1" width="5.08984375" style="1745" customWidth="1"/>
    <col min="2" max="10" width="8.90625" style="1745"/>
    <col min="11" max="16384" width="8.90625" style="1742"/>
  </cols>
  <sheetData>
    <row r="1" spans="1:11">
      <c r="A1" s="3180" t="s">
        <v>4186</v>
      </c>
      <c r="B1" s="3180"/>
      <c r="C1" s="3180"/>
      <c r="D1" s="3180"/>
      <c r="E1" s="3180"/>
      <c r="F1" s="3180"/>
      <c r="G1" s="3180"/>
      <c r="H1" s="3180"/>
      <c r="I1" s="3180"/>
      <c r="J1" s="3180"/>
      <c r="K1" s="848" t="s">
        <v>4167</v>
      </c>
    </row>
    <row r="2" spans="1:11" ht="18">
      <c r="A2" s="3181" t="s">
        <v>4187</v>
      </c>
      <c r="B2" s="3181"/>
      <c r="C2" s="3181"/>
      <c r="D2" s="3181"/>
      <c r="E2" s="3181"/>
      <c r="F2" s="3181"/>
      <c r="G2" s="3181"/>
      <c r="H2" s="3181"/>
      <c r="I2" s="3181"/>
      <c r="J2" s="3181"/>
    </row>
    <row r="3" spans="1:11" ht="15" customHeight="1">
      <c r="A3" s="3182" t="s">
        <v>4188</v>
      </c>
      <c r="B3" s="3182"/>
      <c r="C3" s="3182"/>
      <c r="D3" s="3182"/>
      <c r="E3" s="3182"/>
      <c r="F3" s="3182"/>
      <c r="G3" s="3182"/>
      <c r="H3" s="3182"/>
      <c r="I3" s="3182"/>
      <c r="J3" s="3182"/>
    </row>
    <row r="4" spans="1:11" ht="15" customHeight="1">
      <c r="A4" s="3183" t="s">
        <v>4619</v>
      </c>
      <c r="B4" s="3183"/>
      <c r="C4" s="3183"/>
      <c r="D4" s="3183"/>
      <c r="E4" s="3183"/>
      <c r="F4" s="3183"/>
      <c r="G4" s="3183"/>
      <c r="H4" s="3183"/>
      <c r="I4" s="3183"/>
      <c r="J4" s="3183"/>
    </row>
    <row r="5" spans="1:11" ht="31.5" customHeight="1">
      <c r="A5" s="3184" t="s">
        <v>4592</v>
      </c>
      <c r="B5" s="3184"/>
      <c r="C5" s="3184"/>
      <c r="D5" s="3184"/>
      <c r="E5" s="3184"/>
      <c r="F5" s="3184"/>
      <c r="G5" s="3184"/>
      <c r="H5" s="3184"/>
      <c r="I5" s="3184"/>
      <c r="J5" s="3184"/>
    </row>
    <row r="6" spans="1:11" s="1743" customFormat="1" ht="18.75" customHeight="1">
      <c r="A6" s="3184" t="s">
        <v>4593</v>
      </c>
      <c r="B6" s="3184"/>
      <c r="C6" s="3184"/>
      <c r="D6" s="3184"/>
      <c r="E6" s="3184"/>
      <c r="F6" s="3184"/>
      <c r="G6" s="3184"/>
      <c r="H6" s="3184"/>
      <c r="I6" s="3184"/>
      <c r="J6" s="3184"/>
    </row>
    <row r="7" spans="1:11" s="1743" customFormat="1" ht="18.75" customHeight="1">
      <c r="A7" s="3184" t="s">
        <v>4594</v>
      </c>
      <c r="B7" s="3184"/>
      <c r="C7" s="3184"/>
      <c r="D7" s="3184"/>
      <c r="E7" s="3184"/>
      <c r="F7" s="3184"/>
      <c r="G7" s="3184"/>
      <c r="H7" s="3184"/>
      <c r="I7" s="3184"/>
      <c r="J7" s="3184"/>
    </row>
    <row r="8" spans="1:11" ht="41.25" customHeight="1">
      <c r="A8" s="3185" t="s">
        <v>4620</v>
      </c>
      <c r="B8" s="3185"/>
      <c r="C8" s="3185"/>
      <c r="D8" s="3185"/>
      <c r="E8" s="3185"/>
      <c r="F8" s="3185"/>
      <c r="G8" s="3185"/>
      <c r="H8" s="3185"/>
      <c r="I8" s="3185"/>
      <c r="J8" s="3185"/>
    </row>
    <row r="9" spans="1:11" ht="28.5" customHeight="1">
      <c r="A9" s="1744" t="s">
        <v>4595</v>
      </c>
    </row>
    <row r="10" spans="1:11" ht="19.649999999999999" customHeight="1">
      <c r="B10" s="1746" t="s">
        <v>4189</v>
      </c>
    </row>
    <row r="11" spans="1:11" ht="19.649999999999999" customHeight="1">
      <c r="B11" s="1744" t="s">
        <v>4596</v>
      </c>
    </row>
    <row r="12" spans="1:11" ht="19.649999999999999" customHeight="1">
      <c r="B12" s="1744" t="s">
        <v>4190</v>
      </c>
    </row>
    <row r="13" spans="1:11" ht="19.649999999999999" customHeight="1">
      <c r="B13" s="1747" t="s">
        <v>4191</v>
      </c>
    </row>
    <row r="14" spans="1:11" ht="19.649999999999999" customHeight="1">
      <c r="C14" s="1745" t="s">
        <v>4621</v>
      </c>
    </row>
    <row r="15" spans="1:11" ht="19.649999999999999" customHeight="1">
      <c r="B15" s="1747" t="s">
        <v>4192</v>
      </c>
    </row>
    <row r="16" spans="1:11" ht="19.649999999999999" customHeight="1">
      <c r="B16" s="1748" t="s">
        <v>4597</v>
      </c>
      <c r="E16" s="1747" t="s">
        <v>4193</v>
      </c>
    </row>
    <row r="17" spans="1:10" ht="19.649999999999999" customHeight="1">
      <c r="B17" s="1745" t="s">
        <v>4622</v>
      </c>
      <c r="F17" s="1745" t="s">
        <v>4194</v>
      </c>
    </row>
    <row r="18" spans="1:10" ht="19.649999999999999" customHeight="1">
      <c r="B18" s="1745" t="s">
        <v>4598</v>
      </c>
      <c r="E18" s="1747" t="s">
        <v>4524</v>
      </c>
    </row>
    <row r="19" spans="1:10" ht="19.649999999999999" customHeight="1">
      <c r="B19" s="1745" t="s">
        <v>4599</v>
      </c>
      <c r="F19" s="1745" t="s">
        <v>4195</v>
      </c>
    </row>
    <row r="20" spans="1:10" ht="19.649999999999999" customHeight="1">
      <c r="B20" s="1747" t="s">
        <v>4600</v>
      </c>
    </row>
    <row r="21" spans="1:10" ht="19.649999999999999" customHeight="1">
      <c r="B21" s="1749" t="s">
        <v>4601</v>
      </c>
      <c r="C21" s="1750"/>
      <c r="D21" s="1750"/>
      <c r="E21" s="1750"/>
      <c r="F21" s="1750"/>
      <c r="G21" s="1750"/>
      <c r="H21" s="1750"/>
      <c r="I21" s="1750"/>
      <c r="J21" s="1750"/>
    </row>
    <row r="22" spans="1:10" s="1754" customFormat="1" ht="19.649999999999999" customHeight="1">
      <c r="A22" s="1751"/>
      <c r="B22" s="1752" t="s">
        <v>4602</v>
      </c>
      <c r="C22" s="1753"/>
      <c r="D22" s="1753"/>
      <c r="E22" s="1753"/>
      <c r="F22" s="1753"/>
      <c r="G22" s="1753"/>
      <c r="H22" s="1753"/>
      <c r="I22" s="1753"/>
      <c r="J22" s="1753"/>
    </row>
    <row r="23" spans="1:10" s="1754" customFormat="1" ht="19.649999999999999" customHeight="1">
      <c r="A23" s="1751"/>
      <c r="B23" s="1752" t="s">
        <v>4603</v>
      </c>
      <c r="C23" s="1753"/>
      <c r="D23" s="1753"/>
      <c r="E23" s="1753"/>
      <c r="F23" s="1753"/>
      <c r="G23" s="1753"/>
      <c r="H23" s="1753"/>
      <c r="I23" s="1753"/>
      <c r="J23" s="1753"/>
    </row>
    <row r="24" spans="1:10" s="1754" customFormat="1" ht="19.649999999999999" customHeight="1">
      <c r="A24" s="1751"/>
      <c r="B24" s="1752" t="s">
        <v>4604</v>
      </c>
      <c r="C24" s="1753"/>
      <c r="D24" s="1753"/>
      <c r="E24" s="1753"/>
      <c r="F24" s="1753"/>
      <c r="G24" s="1753"/>
      <c r="H24" s="1753"/>
      <c r="I24" s="1753"/>
      <c r="J24" s="1753"/>
    </row>
    <row r="25" spans="1:10" s="1754" customFormat="1" ht="19.649999999999999" customHeight="1">
      <c r="A25" s="1751"/>
      <c r="B25" s="1752" t="s">
        <v>4605</v>
      </c>
      <c r="C25" s="1753"/>
      <c r="D25" s="1753"/>
      <c r="E25" s="1753"/>
      <c r="F25" s="1753"/>
      <c r="G25" s="1753"/>
      <c r="H25" s="1753"/>
      <c r="I25" s="1753"/>
      <c r="J25" s="1753"/>
    </row>
    <row r="26" spans="1:10" s="1754" customFormat="1" ht="19.649999999999999" customHeight="1">
      <c r="A26" s="1751"/>
      <c r="B26" s="1752" t="s">
        <v>4606</v>
      </c>
      <c r="C26" s="1753"/>
      <c r="D26" s="1753"/>
      <c r="E26" s="1753"/>
      <c r="F26" s="1753"/>
      <c r="G26" s="1753"/>
      <c r="H26" s="1753"/>
      <c r="I26" s="1753"/>
      <c r="J26" s="1753"/>
    </row>
    <row r="27" spans="1:10" s="1754" customFormat="1" ht="19.649999999999999" customHeight="1">
      <c r="A27" s="1751"/>
      <c r="B27" s="1752" t="s">
        <v>4607</v>
      </c>
      <c r="C27" s="1753"/>
      <c r="D27" s="1753"/>
      <c r="E27" s="1753"/>
      <c r="F27" s="1753"/>
      <c r="G27" s="1753"/>
      <c r="H27" s="1753"/>
      <c r="I27" s="1753"/>
      <c r="J27" s="1753"/>
    </row>
    <row r="28" spans="1:10" s="1754" customFormat="1" ht="19.649999999999999" customHeight="1">
      <c r="A28" s="1751"/>
      <c r="B28" s="1752" t="s">
        <v>4608</v>
      </c>
      <c r="C28" s="1753"/>
      <c r="D28" s="1753"/>
      <c r="E28" s="1753"/>
      <c r="F28" s="1753"/>
      <c r="G28" s="1753"/>
      <c r="H28" s="1753"/>
      <c r="I28" s="1753"/>
      <c r="J28" s="1753"/>
    </row>
    <row r="29" spans="1:10" s="1754" customFormat="1" ht="19.649999999999999" customHeight="1">
      <c r="A29" s="1751"/>
      <c r="B29" s="1755" t="s">
        <v>4609</v>
      </c>
      <c r="C29" s="1753"/>
      <c r="D29" s="1753"/>
      <c r="E29" s="1753"/>
      <c r="F29" s="1753"/>
      <c r="G29" s="1753"/>
      <c r="H29" s="1753"/>
      <c r="I29" s="1753"/>
      <c r="J29" s="1753"/>
    </row>
    <row r="30" spans="1:10" ht="24" customHeight="1">
      <c r="B30" s="1747" t="s">
        <v>4610</v>
      </c>
    </row>
    <row r="31" spans="1:10" ht="72" customHeight="1">
      <c r="B31" s="3186" t="s">
        <v>4611</v>
      </c>
      <c r="C31" s="3186"/>
      <c r="D31" s="3186"/>
      <c r="E31" s="3186"/>
      <c r="F31" s="3186"/>
      <c r="G31" s="3186"/>
      <c r="H31" s="3186"/>
      <c r="I31" s="3186"/>
      <c r="J31" s="3186"/>
    </row>
    <row r="32" spans="1:10" ht="32.25" customHeight="1">
      <c r="A32" s="3187" t="s">
        <v>4612</v>
      </c>
      <c r="B32" s="3187"/>
      <c r="C32" s="3187"/>
      <c r="D32" s="3187"/>
      <c r="E32" s="3187"/>
      <c r="F32" s="3187"/>
      <c r="G32" s="3187"/>
      <c r="H32" s="3187"/>
      <c r="I32" s="3187"/>
      <c r="J32" s="3187"/>
    </row>
    <row r="33" spans="1:10" ht="42.75" customHeight="1">
      <c r="B33" s="3188" t="s">
        <v>4613</v>
      </c>
      <c r="C33" s="3188"/>
      <c r="D33" s="3188"/>
      <c r="E33" s="3188"/>
      <c r="F33" s="3188"/>
      <c r="G33" s="3188"/>
      <c r="H33" s="3188"/>
      <c r="I33" s="3188"/>
      <c r="J33" s="3188"/>
    </row>
    <row r="34" spans="1:10" ht="24.75" customHeight="1">
      <c r="B34" s="1748" t="s">
        <v>4614</v>
      </c>
    </row>
    <row r="35" spans="1:10" ht="19.649999999999999" customHeight="1">
      <c r="B35" s="1756" t="s">
        <v>4615</v>
      </c>
    </row>
    <row r="36" spans="1:10" ht="46.5" customHeight="1">
      <c r="A36" s="3179" t="s">
        <v>4616</v>
      </c>
      <c r="B36" s="3179"/>
      <c r="C36" s="3179"/>
      <c r="D36" s="3179"/>
      <c r="E36" s="3179"/>
      <c r="F36" s="3179"/>
      <c r="G36" s="3179"/>
      <c r="H36" s="3179"/>
      <c r="I36" s="3179"/>
      <c r="J36" s="3179"/>
    </row>
    <row r="37" spans="1:10" s="1760" customFormat="1">
      <c r="A37" s="1757"/>
      <c r="B37" s="1757"/>
      <c r="C37" s="1758" t="s">
        <v>4617</v>
      </c>
      <c r="D37" s="1757"/>
      <c r="E37" s="1757"/>
      <c r="F37" s="1757"/>
      <c r="G37" s="1757"/>
      <c r="H37" s="1759" t="s">
        <v>4618</v>
      </c>
      <c r="I37" s="1757"/>
      <c r="J37" s="1757"/>
    </row>
    <row r="44" spans="1:10" s="1743" customFormat="1" ht="18">
      <c r="A44" s="1761"/>
      <c r="B44" s="1761"/>
      <c r="C44" s="1762" t="s">
        <v>4623</v>
      </c>
      <c r="D44" s="1762"/>
      <c r="E44" s="1762"/>
      <c r="F44" s="1762"/>
      <c r="G44" s="1762"/>
      <c r="H44" s="1762" t="s">
        <v>4523</v>
      </c>
      <c r="I44" s="1761"/>
      <c r="J44" s="176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B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269"/>
  <sheetViews>
    <sheetView workbookViewId="0">
      <pane ySplit="2" topLeftCell="A12" activePane="bottomLeft" state="frozen"/>
      <selection activeCell="B1" sqref="B1"/>
      <selection pane="bottomLeft" activeCell="J16" sqref="J16"/>
    </sheetView>
  </sheetViews>
  <sheetFormatPr defaultRowHeight="25.2" customHeight="1"/>
  <cols>
    <col min="1" max="1" width="8.81640625" style="1282"/>
    <col min="2" max="2" width="11.81640625" style="1953" customWidth="1"/>
    <col min="3" max="3" width="3.90625" style="1286" customWidth="1"/>
    <col min="4" max="4" width="3.90625" style="1954" customWidth="1"/>
    <col min="5" max="5" width="3.90625" style="1959" customWidth="1"/>
    <col min="6" max="6" width="56.54296875" style="1953" bestFit="1" customWidth="1"/>
    <col min="7" max="9" width="8.81640625" style="1422" customWidth="1"/>
    <col min="10" max="10" width="8.90625" style="1951"/>
    <col min="11" max="11" width="16.08984375" style="1948" bestFit="1" customWidth="1"/>
    <col min="12" max="12" width="19.453125" style="1422" customWidth="1"/>
    <col min="13" max="13" width="9.6328125" style="1502" customWidth="1"/>
    <col min="15" max="15" width="8.90625" style="1502"/>
  </cols>
  <sheetData>
    <row r="1" spans="1:15" s="1284" customFormat="1" ht="28.5" customHeight="1">
      <c r="A1" s="1284" t="s">
        <v>4816</v>
      </c>
      <c r="B1" s="2278" t="s">
        <v>2611</v>
      </c>
      <c r="E1" s="2058"/>
      <c r="F1" s="2059" t="s">
        <v>4255</v>
      </c>
      <c r="G1" s="2060" t="s">
        <v>2614</v>
      </c>
      <c r="H1" s="2060" t="s">
        <v>4404</v>
      </c>
      <c r="I1" s="2060" t="s">
        <v>4754</v>
      </c>
      <c r="J1" s="2059" t="s">
        <v>1712</v>
      </c>
      <c r="K1" s="2059" t="str">
        <f>COUNTIF(K2:K1048576,1)&amp;" loại VTTB"</f>
        <v>100 loại VTTB</v>
      </c>
      <c r="L1" s="1284" t="s">
        <v>356</v>
      </c>
      <c r="M1" s="2061"/>
      <c r="O1" s="2061"/>
    </row>
    <row r="2" spans="1:15" s="1423" customFormat="1" ht="25.2" customHeight="1">
      <c r="A2" s="2147">
        <f>COUNTIF($K$1:K2,1)</f>
        <v>1</v>
      </c>
      <c r="B2" s="2948" t="str">
        <f>CT_tram!B2551</f>
        <v>TR12501</v>
      </c>
      <c r="C2" s="2949">
        <f>CT_tram!C2551</f>
        <v>0</v>
      </c>
      <c r="D2" s="2950">
        <f>CT_tram!D2551</f>
        <v>1</v>
      </c>
      <c r="E2" s="2951" t="str">
        <f>CT_tram!E2551</f>
        <v>T1.1418</v>
      </c>
      <c r="F2" s="2952" t="str">
        <f>CT_tram!F2551</f>
        <v>Máy biến áp 22/0,4kV- 1250kVA</v>
      </c>
      <c r="G2" s="2953" t="str">
        <f>CT_tram!G2551</f>
        <v>máy</v>
      </c>
      <c r="H2" s="2954">
        <f>CT_tram!H2551</f>
        <v>1</v>
      </c>
      <c r="I2" s="2955">
        <f>CT_tram!I2551</f>
        <v>1</v>
      </c>
      <c r="J2" s="1949">
        <f>IFERROR(VLOOKUP(B2,DG!A:F,6,0),3000)</f>
        <v>1</v>
      </c>
      <c r="K2" s="1950">
        <f>IF(J2&lt;2000,COUNTIF($B$2:B2,B2),0)</f>
        <v>1</v>
      </c>
      <c r="L2" s="2956"/>
      <c r="M2" s="1912"/>
      <c r="N2" s="810"/>
      <c r="O2" s="1912"/>
    </row>
    <row r="3" spans="1:15" ht="25.2" customHeight="1">
      <c r="A3" s="2147">
        <f>COUNTIF($K$1:K3,1)</f>
        <v>2</v>
      </c>
      <c r="B3" s="2227" t="str">
        <f>CT_tram!B2555</f>
        <v>acb2000</v>
      </c>
      <c r="C3" s="1960">
        <f>CT_tram!C2555</f>
        <v>0</v>
      </c>
      <c r="D3" s="1961">
        <f>CT_tram!D2555</f>
        <v>5</v>
      </c>
      <c r="E3" s="1962">
        <f>CT_tram!E2555</f>
        <v>0</v>
      </c>
      <c r="F3" s="1963" t="str">
        <f>CT_tram!F2555</f>
        <v>ACB 3P - 2000A - 85KA (nạp lò xo bằng tay)</v>
      </c>
      <c r="G3" s="1964" t="str">
        <f>CT_tram!G2555</f>
        <v>cái</v>
      </c>
      <c r="H3" s="1965">
        <f>CT_tram!H2555</f>
        <v>1</v>
      </c>
      <c r="I3" s="1965">
        <f>CT_tram!I2555</f>
        <v>1</v>
      </c>
      <c r="J3" s="1949">
        <f>IFERROR(VLOOKUP(B3,DG!A:F,6,0),3000)</f>
        <v>2</v>
      </c>
      <c r="K3" s="1950">
        <f>IF(J3&lt;2000,COUNTIF($B$2:B3,B3),0)</f>
        <v>1</v>
      </c>
      <c r="L3" s="1426"/>
    </row>
    <row r="4" spans="1:15" s="1282" customFormat="1" ht="25.2" customHeight="1">
      <c r="A4" s="2147">
        <f>COUNTIF($K$1:K4,1)</f>
        <v>3</v>
      </c>
      <c r="B4" s="2227" t="str">
        <f>chitiet!B2274</f>
        <v>FCO100-22</v>
      </c>
      <c r="C4" s="1960" t="str">
        <f>chitiet!C2274</f>
        <v>x</v>
      </c>
      <c r="D4" s="1961">
        <f>chitiet!D2274</f>
        <v>3</v>
      </c>
      <c r="E4" s="1962" t="str">
        <f>chitiet!E2274</f>
        <v>02.3155</v>
      </c>
      <c r="F4" s="1963" t="str">
        <f>chitiet!F2274</f>
        <v>FCO 27kV - 100A</v>
      </c>
      <c r="G4" s="2051" t="str">
        <f>chitiet!G2274</f>
        <v>cái</v>
      </c>
      <c r="H4" s="2052">
        <f>chitiet!H2274</f>
        <v>3</v>
      </c>
      <c r="I4" s="2052">
        <f>chitiet!$P$2274</f>
        <v>3</v>
      </c>
      <c r="J4" s="1949">
        <f>IFERROR(VLOOKUP(B4,DG!A:F,6,0),3000)</f>
        <v>3</v>
      </c>
      <c r="K4" s="1950">
        <f>IF(J4&lt;2000,COUNTIF($B$2:B4,B4),0)</f>
        <v>1</v>
      </c>
      <c r="L4" s="1426"/>
      <c r="M4" s="1502"/>
      <c r="O4" s="1502"/>
    </row>
    <row r="5" spans="1:15" s="1282" customFormat="1" ht="25.2" customHeight="1">
      <c r="A5" s="2147">
        <f>COUNTIF($K$1:K5,1)</f>
        <v>3</v>
      </c>
      <c r="B5" s="2227" t="str">
        <f>CT_tram!B2552</f>
        <v>FCO100-22</v>
      </c>
      <c r="C5" s="1960">
        <f>CT_tram!C2552</f>
        <v>0</v>
      </c>
      <c r="D5" s="1961">
        <f>CT_tram!D2552</f>
        <v>2</v>
      </c>
      <c r="E5" s="1962" t="str">
        <f>CT_tram!E2552</f>
        <v>T2.3501</v>
      </c>
      <c r="F5" s="1963" t="str">
        <f>CT_tram!F2552</f>
        <v>FCO 27kV - 100A</v>
      </c>
      <c r="G5" s="2051" t="str">
        <f>CT_tram!G2552</f>
        <v>cái</v>
      </c>
      <c r="H5" s="2052">
        <f>CT_tram!H2552</f>
        <v>3</v>
      </c>
      <c r="I5" s="2052">
        <f>CT_tram!I2552</f>
        <v>3</v>
      </c>
      <c r="J5" s="1949">
        <f>IFERROR(VLOOKUP(B5,DG!A:F,6,0),3000)</f>
        <v>3</v>
      </c>
      <c r="K5" s="1950">
        <f>IF(J5&lt;2000,COUNTIF($B$2:B5,B5),0)</f>
        <v>2</v>
      </c>
      <c r="L5" s="1426"/>
      <c r="M5" s="1502"/>
      <c r="O5" s="1502"/>
    </row>
    <row r="6" spans="1:15" s="1282" customFormat="1" ht="25.2" customHeight="1">
      <c r="A6" s="2147">
        <f>COUNTIF($K$1:K6,1)</f>
        <v>4</v>
      </c>
      <c r="B6" s="2227" t="str">
        <f>chitiet!B2285</f>
        <v>LA18</v>
      </c>
      <c r="C6" s="1960" t="str">
        <f>chitiet!C2285</f>
        <v>x</v>
      </c>
      <c r="D6" s="1961">
        <f>chitiet!D2285</f>
        <v>0</v>
      </c>
      <c r="E6" s="1962" t="str">
        <f>chitiet!E2285</f>
        <v>02.5114</v>
      </c>
      <c r="F6" s="1963" t="str">
        <f>chitiet!F2285</f>
        <v>Chống sét van LA-18KV-10KA</v>
      </c>
      <c r="G6" s="2051" t="str">
        <f>chitiet!G2285</f>
        <v>cái</v>
      </c>
      <c r="H6" s="2052">
        <f>chitiet!H2285</f>
        <v>3</v>
      </c>
      <c r="I6" s="2052">
        <f>chitiet!$P$2285</f>
        <v>3</v>
      </c>
      <c r="J6" s="1949">
        <f>IFERROR(VLOOKUP(B6,DG!A:F,6,0),3000)</f>
        <v>3</v>
      </c>
      <c r="K6" s="1950">
        <f>IF(J6&lt;2000,COUNTIF($B$2:B6,B6),0)</f>
        <v>1</v>
      </c>
      <c r="L6" s="1426"/>
      <c r="M6" s="1502"/>
      <c r="O6" s="1502"/>
    </row>
    <row r="7" spans="1:15" s="1282" customFormat="1" ht="25.2" customHeight="1">
      <c r="A7" s="2147">
        <f>COUNTIF($K$1:K7,1)</f>
        <v>4</v>
      </c>
      <c r="B7" s="2227" t="str">
        <f>CT_tram!B2554</f>
        <v>LA18</v>
      </c>
      <c r="C7" s="1960">
        <f>CT_tram!C2554</f>
        <v>0</v>
      </c>
      <c r="D7" s="1961">
        <f>CT_tram!D2554</f>
        <v>4</v>
      </c>
      <c r="E7" s="1962" t="str">
        <f>CT_tram!E2554</f>
        <v>T2.5004</v>
      </c>
      <c r="F7" s="1963" t="str">
        <f>CT_tram!F2554</f>
        <v>Chống sét van LA-18KV-10KA</v>
      </c>
      <c r="G7" s="2051" t="str">
        <f>CT_tram!G2554</f>
        <v>cái</v>
      </c>
      <c r="H7" s="2052">
        <f>CT_tram!H2554</f>
        <v>3</v>
      </c>
      <c r="I7" s="2052">
        <f>CT_tram!I2554</f>
        <v>3</v>
      </c>
      <c r="J7" s="1949">
        <f>IFERROR(VLOOKUP(B7,DG!A:F,6,0),3000)</f>
        <v>3</v>
      </c>
      <c r="K7" s="1950">
        <f>IF(J7&lt;2000,COUNTIF($B$2:B7,B7),0)</f>
        <v>2</v>
      </c>
      <c r="L7" s="1426"/>
      <c r="M7" s="1502"/>
      <c r="O7" s="1502"/>
    </row>
    <row r="8" spans="1:15" s="1282" customFormat="1" ht="25.2" customHeight="1">
      <c r="A8" s="2147">
        <f>COUNTIF($K$1:K8,1)</f>
        <v>5</v>
      </c>
      <c r="B8" s="2227" t="str">
        <f>chitiet!B1796</f>
        <v>SD</v>
      </c>
      <c r="C8" s="1960" t="str">
        <f>chitiet!C1796</f>
        <v>x</v>
      </c>
      <c r="D8" s="1961">
        <f>chitiet!D1796</f>
        <v>1</v>
      </c>
      <c r="E8" s="1962">
        <f>chitiet!E1796</f>
        <v>0</v>
      </c>
      <c r="F8" s="1963" t="str">
        <f>chitiet!F1796</f>
        <v xml:space="preserve">Sứ đứng 24KV </v>
      </c>
      <c r="G8" s="2051" t="str">
        <f>chitiet!G1796</f>
        <v>cái</v>
      </c>
      <c r="H8" s="2052">
        <f>chitiet!H1796</f>
        <v>8</v>
      </c>
      <c r="I8" s="2052">
        <f>chitiet!P1796</f>
        <v>8</v>
      </c>
      <c r="J8" s="1949">
        <f>IFERROR(VLOOKUP(B8,DG!A:F,6,0),3000)</f>
        <v>3</v>
      </c>
      <c r="K8" s="1950">
        <f>IF(J8&lt;2000,COUNTIF($B$2:B8,B8),0)</f>
        <v>1</v>
      </c>
      <c r="L8" s="1426"/>
      <c r="M8" s="1502"/>
      <c r="O8" s="1502"/>
    </row>
    <row r="9" spans="1:15" s="1282" customFormat="1" ht="25.2" customHeight="1">
      <c r="A9" s="2147">
        <f>COUNTIF($K$1:K9,1)</f>
        <v>5</v>
      </c>
      <c r="B9" s="2227" t="str">
        <f>CT_tram!B2672</f>
        <v>SD</v>
      </c>
      <c r="C9" s="1960">
        <f>CT_tram!C2672</f>
        <v>0</v>
      </c>
      <c r="D9" s="1961">
        <f>CT_tram!D2672</f>
        <v>0</v>
      </c>
      <c r="E9" s="1962">
        <f>CT_tram!E2672</f>
        <v>0</v>
      </c>
      <c r="F9" s="1963" t="str">
        <f>CT_tram!F2672</f>
        <v xml:space="preserve">Sứ đứng 24KV </v>
      </c>
      <c r="G9" s="2051" t="str">
        <f>CT_tram!G2672</f>
        <v>cái</v>
      </c>
      <c r="H9" s="2052">
        <f>CT_tram!H2672</f>
        <v>9</v>
      </c>
      <c r="I9" s="2052">
        <f>CT_tram!I2672</f>
        <v>9</v>
      </c>
      <c r="J9" s="1949">
        <f>IFERROR(VLOOKUP(B9,DG!A:F,6,0),3000)</f>
        <v>3</v>
      </c>
      <c r="K9" s="1950">
        <f>IF(J9&lt;2000,COUNTIF($B$2:B9,B9),0)</f>
        <v>2</v>
      </c>
      <c r="L9" s="1426"/>
      <c r="M9" s="1502"/>
      <c r="O9" s="1502"/>
    </row>
    <row r="10" spans="1:15" s="1282" customFormat="1" ht="25.2" customHeight="1">
      <c r="A10" s="2147">
        <f>COUNTIF($K$1:K10,1)</f>
        <v>6</v>
      </c>
      <c r="B10" s="2227" t="str">
        <f>chitiet!B1816</f>
        <v>Stply</v>
      </c>
      <c r="C10" s="1960" t="str">
        <f>chitiet!C1816</f>
        <v>x</v>
      </c>
      <c r="D10" s="1961">
        <f>chitiet!D1816</f>
        <v>1</v>
      </c>
      <c r="E10" s="1962">
        <f>chitiet!E1816</f>
        <v>0</v>
      </c>
      <c r="F10" s="1963" t="str">
        <f>chitiet!F1816</f>
        <v>Sứ treo polymer</v>
      </c>
      <c r="G10" s="2051" t="str">
        <f>chitiet!G1816</f>
        <v>chuỗi</v>
      </c>
      <c r="H10" s="2052">
        <f>chitiet!H1816</f>
        <v>6</v>
      </c>
      <c r="I10" s="2052">
        <f>chitiet!P1816</f>
        <v>6</v>
      </c>
      <c r="J10" s="1949">
        <f>IFERROR(VLOOKUP(B10,DG!A:F,6,0),3000)</f>
        <v>3</v>
      </c>
      <c r="K10" s="1950">
        <f>IF(J10&lt;2000,COUNTIF($B$2:B10,B10),0)</f>
        <v>1</v>
      </c>
      <c r="L10" s="1426"/>
      <c r="M10" s="1502"/>
      <c r="O10" s="1502"/>
    </row>
    <row r="11" spans="1:15" s="1282" customFormat="1" ht="25.2" customHeight="1">
      <c r="A11" s="2147">
        <f>COUNTIF($K$1:K11,1)</f>
        <v>7</v>
      </c>
      <c r="B11" s="2279" t="str">
        <f>CT_tram!B2679</f>
        <v>CV240</v>
      </c>
      <c r="C11" s="1952">
        <f>CT_tram!C2679</f>
        <v>0</v>
      </c>
      <c r="D11" s="1956">
        <f>CT_tram!D2679</f>
        <v>0</v>
      </c>
      <c r="E11" s="2194">
        <f>CT_tram!E2679</f>
        <v>0</v>
      </c>
      <c r="F11" s="2199" t="str">
        <f>CT_tram!F2679</f>
        <v>Cáp đồng bọc CV240</v>
      </c>
      <c r="G11" s="2205" t="str">
        <f>CT_tram!G2679</f>
        <v>mét</v>
      </c>
      <c r="H11" s="2205">
        <f>CT_tram!H2679</f>
        <v>72</v>
      </c>
      <c r="I11" s="2226">
        <f>CT_tram!I2679</f>
        <v>72</v>
      </c>
      <c r="J11" s="1949">
        <f>IFERROR(VLOOKUP(B11,DG!A:F,6,0),3000)</f>
        <v>8</v>
      </c>
      <c r="K11" s="1950">
        <f>IF(J11&lt;2000,COUNTIF($B$2:B11,B11),0)</f>
        <v>1</v>
      </c>
      <c r="L11" s="1422"/>
      <c r="M11" s="1502"/>
      <c r="O11" s="1502"/>
    </row>
    <row r="12" spans="1:15" s="1282" customFormat="1" ht="25.2" customHeight="1">
      <c r="A12" s="2147">
        <f>COUNTIF($K$1:K12,1)</f>
        <v>8</v>
      </c>
      <c r="B12" s="2279" t="str">
        <f>CT_tram!B2722</f>
        <v>CVV4X4</v>
      </c>
      <c r="C12" s="1952">
        <f>CT_tram!C2722</f>
        <v>0</v>
      </c>
      <c r="D12" s="1956">
        <f>CT_tram!D2722</f>
        <v>0</v>
      </c>
      <c r="E12" s="1957">
        <f>CT_tram!E2722</f>
        <v>0</v>
      </c>
      <c r="F12" s="1958" t="str">
        <f>CT_tram!F2722</f>
        <v xml:space="preserve">Cáp CVV 4x4mm2  </v>
      </c>
      <c r="G12" s="2053" t="str">
        <f>CT_tram!G2722</f>
        <v>mét</v>
      </c>
      <c r="H12" s="2052">
        <f>CT_tram!H2722</f>
        <v>33</v>
      </c>
      <c r="I12" s="2052">
        <f>CT_tram!I2722</f>
        <v>33</v>
      </c>
      <c r="J12" s="1949">
        <f>IFERROR(VLOOKUP(B12,DG!A:F,6,0),3000)</f>
        <v>9</v>
      </c>
      <c r="K12" s="1950">
        <f>IF(J12&lt;2000,COUNTIF($B$2:B12,B12),0)</f>
        <v>1</v>
      </c>
      <c r="L12" s="1426"/>
      <c r="M12" s="1502"/>
      <c r="O12" s="1502"/>
    </row>
    <row r="13" spans="1:15" s="1282" customFormat="1" ht="25.2" customHeight="1">
      <c r="A13" s="2147">
        <f>COUNTIF($K$1:K13,1)</f>
        <v>9</v>
      </c>
      <c r="B13" s="2227" t="str">
        <f>chitiet!B1877</f>
        <v>XLPE25</v>
      </c>
      <c r="C13" s="1960" t="str">
        <f>chitiet!C1877</f>
        <v>x</v>
      </c>
      <c r="D13" s="1961">
        <f>chitiet!D1877</f>
        <v>9</v>
      </c>
      <c r="E13" s="1962">
        <f>chitiet!E1877</f>
        <v>0</v>
      </c>
      <c r="F13" s="1963" t="str">
        <f>chitiet!F1877</f>
        <v>Cáp 24KV C/XLPE/PVC 25mm2</v>
      </c>
      <c r="G13" s="2051" t="str">
        <f>chitiet!G1877</f>
        <v>mét</v>
      </c>
      <c r="H13" s="2052">
        <f>chitiet!H1877</f>
        <v>9</v>
      </c>
      <c r="I13" s="2052">
        <f>chitiet!$P$1877</f>
        <v>9</v>
      </c>
      <c r="J13" s="1949">
        <f>IFERROR(VLOOKUP(B13,DG!A:F,6,0),3000)</f>
        <v>10</v>
      </c>
      <c r="K13" s="1950">
        <f>IF(J13&lt;2000,COUNTIF($B$2:B13,B13),0)</f>
        <v>1</v>
      </c>
      <c r="L13" s="1426"/>
      <c r="M13" s="1502"/>
      <c r="O13" s="1502"/>
    </row>
    <row r="14" spans="1:15" s="1282" customFormat="1" ht="25.2" customHeight="1">
      <c r="A14" s="2147">
        <f>COUNTIF($K$1:K14,1)</f>
        <v>9</v>
      </c>
      <c r="B14" s="1953" t="str">
        <f>CT_tram!B2665</f>
        <v>XLPE25</v>
      </c>
      <c r="C14" s="1286">
        <f>CT_tram!C2665</f>
        <v>0</v>
      </c>
      <c r="D14" s="1954">
        <f>CT_tram!D2665</f>
        <v>0</v>
      </c>
      <c r="E14" s="1498">
        <f>CT_tram!E2665</f>
        <v>0</v>
      </c>
      <c r="F14" s="1955" t="str">
        <f>CT_tram!F2665</f>
        <v>Cáp 24KV C/XLPE/PVC 25mm2</v>
      </c>
      <c r="G14" s="1964" t="str">
        <f>CT_tram!G2665</f>
        <v>mét</v>
      </c>
      <c r="H14" s="1965">
        <f>CT_tram!H2665</f>
        <v>36</v>
      </c>
      <c r="I14" s="1965">
        <f>CT_tram!I2665</f>
        <v>36</v>
      </c>
      <c r="J14" s="1949">
        <f>IFERROR(VLOOKUP(B14,DG!A:F,6,0),3000)</f>
        <v>10</v>
      </c>
      <c r="K14" s="1950">
        <f>IF(J14&lt;2000,COUNTIF($B$2:B14,B14),0)</f>
        <v>2</v>
      </c>
      <c r="L14" s="1426"/>
      <c r="M14" s="1502"/>
      <c r="O14" s="1502"/>
    </row>
    <row r="15" spans="1:15" s="1282" customFormat="1" ht="25.2" customHeight="1">
      <c r="A15" s="2147">
        <f>COUNTIF($K$1:K15,1)</f>
        <v>10</v>
      </c>
      <c r="B15" s="2227" t="str">
        <f>chitiet!B1758</f>
        <v>XLPE95ACXH</v>
      </c>
      <c r="C15" s="1960" t="str">
        <f>chitiet!C1758</f>
        <v>x</v>
      </c>
      <c r="D15" s="1961">
        <f>chitiet!D1758</f>
        <v>0</v>
      </c>
      <c r="E15" s="1962">
        <f>chitiet!E1758</f>
        <v>189</v>
      </c>
      <c r="F15" s="1963" t="str">
        <f>chitiet!F1758</f>
        <v>Cáp 24KV ACXH 95mm2</v>
      </c>
      <c r="G15" s="2051" t="str">
        <f>chitiet!G1758</f>
        <v>mét</v>
      </c>
      <c r="H15" s="2052">
        <f>chitiet!H1758</f>
        <v>192.78</v>
      </c>
      <c r="I15" s="2052">
        <f>chitiet!P1758</f>
        <v>192.78</v>
      </c>
      <c r="J15" s="1949">
        <f>IFERROR(VLOOKUP(B15,DG!A:F,6,0),3000)</f>
        <v>11</v>
      </c>
      <c r="K15" s="1950">
        <f>IF(J15&lt;2000,COUNTIF($B$2:B15,B15),0)</f>
        <v>1</v>
      </c>
      <c r="L15" s="1426"/>
      <c r="M15" s="1502"/>
      <c r="O15" s="1502"/>
    </row>
    <row r="16" spans="1:15" s="1282" customFormat="1" ht="25.2" customHeight="1">
      <c r="A16" s="2147">
        <f>COUNTIF($K$1:K16,1)</f>
        <v>11</v>
      </c>
      <c r="B16" s="2227" t="str">
        <f>chitiet!B613</f>
        <v>m25</v>
      </c>
      <c r="C16" s="1960" t="str">
        <f>chitiet!C613</f>
        <v>x</v>
      </c>
      <c r="D16" s="1961">
        <f>chitiet!D613</f>
        <v>2.2400000000000002</v>
      </c>
      <c r="E16" s="1962">
        <f>chitiet!E613</f>
        <v>12</v>
      </c>
      <c r="F16" s="1963" t="str">
        <f>chitiet!F613</f>
        <v>Cáp đồng trần M25mm2</v>
      </c>
      <c r="G16" s="2051" t="str">
        <f>chitiet!G613</f>
        <v>kg</v>
      </c>
      <c r="H16" s="2052">
        <f>chitiet!H613</f>
        <v>2.2400000000000002</v>
      </c>
      <c r="I16" s="2052">
        <f>chitiet!P613</f>
        <v>2.2400000000000002</v>
      </c>
      <c r="J16" s="1949">
        <f>IFERROR(VLOOKUP(B16,DG!A:F,6,0),3000)</f>
        <v>12</v>
      </c>
      <c r="K16" s="1950">
        <f>IF(J16&lt;2000,COUNTIF($B$2:B16,B16),0)</f>
        <v>1</v>
      </c>
      <c r="L16" s="1426"/>
      <c r="M16" s="1969"/>
      <c r="N16" s="1970"/>
      <c r="O16" s="1969"/>
    </row>
    <row r="17" spans="1:15" s="1282" customFormat="1" ht="25.2" customHeight="1">
      <c r="A17" s="2147">
        <f>COUNTIF($K$1:K17,1)</f>
        <v>12</v>
      </c>
      <c r="B17" s="2227" t="str">
        <f>chitiet!B1757</f>
        <v>AC50</v>
      </c>
      <c r="C17" s="1960" t="str">
        <f>chitiet!C1757</f>
        <v>x</v>
      </c>
      <c r="D17" s="1961">
        <f>chitiet!D1757</f>
        <v>12.726000000000001</v>
      </c>
      <c r="E17" s="1962">
        <f>chitiet!E1757</f>
        <v>63</v>
      </c>
      <c r="F17" s="1963" t="str">
        <f>chitiet!F1757</f>
        <v>Cáp nhôm lõi thép AC-50/8</v>
      </c>
      <c r="G17" s="2051" t="str">
        <f>chitiet!G1757</f>
        <v>kg</v>
      </c>
      <c r="H17" s="2052">
        <f>chitiet!H1757</f>
        <v>12.726000000000001</v>
      </c>
      <c r="I17" s="2052">
        <f>chitiet!P1757</f>
        <v>12.726000000000001</v>
      </c>
      <c r="J17" s="1949">
        <f>IFERROR(VLOOKUP(B17,DG!A:F,6,0),3000)</f>
        <v>15</v>
      </c>
      <c r="K17" s="1950">
        <f>IF(J17&lt;2000,COUNTIF($B$2:B17,B17),0)</f>
        <v>1</v>
      </c>
      <c r="L17" s="1426"/>
      <c r="M17" s="1502"/>
      <c r="O17" s="1502"/>
    </row>
    <row r="18" spans="1:15" s="1282" customFormat="1" ht="25.2" customHeight="1">
      <c r="A18" s="2147">
        <f>COUNTIF($K$1:K18,1)</f>
        <v>13</v>
      </c>
      <c r="B18" s="2227" t="str">
        <f>chitiet!B1163</f>
        <v>C5/8</v>
      </c>
      <c r="C18" s="1960" t="str">
        <f>chitiet!C1163</f>
        <v>x</v>
      </c>
      <c r="D18" s="1961">
        <f>chitiet!D1163</f>
        <v>5.0999999999999996</v>
      </c>
      <c r="E18" s="1962">
        <f>chitiet!E1163</f>
        <v>0</v>
      </c>
      <c r="F18" s="1963" t="str">
        <f>chitiet!F1163</f>
        <v>Cáp thép 5/8"</v>
      </c>
      <c r="G18" s="2051" t="str">
        <f>chitiet!G1163</f>
        <v>kg</v>
      </c>
      <c r="H18" s="2052">
        <f>chitiet!H1163</f>
        <v>5.0999999999999996</v>
      </c>
      <c r="I18" s="2052">
        <f>chitiet!P1163</f>
        <v>5.0999999999999996</v>
      </c>
      <c r="J18" s="1949">
        <f>IFERROR(VLOOKUP(B18,DG!A:F,6,0),3000)</f>
        <v>16</v>
      </c>
      <c r="K18" s="1950">
        <f>IF(J18&lt;2000,COUNTIF($B$2:B18,B18),0)</f>
        <v>1</v>
      </c>
      <c r="L18" s="1426"/>
      <c r="M18" s="1502"/>
      <c r="O18" s="1502"/>
    </row>
    <row r="19" spans="1:15" s="1282" customFormat="1" ht="25.2" customHeight="1">
      <c r="A19" s="2147">
        <f>COUNTIF($K$1:K19,1)</f>
        <v>14</v>
      </c>
      <c r="B19" s="2227" t="str">
        <f>chitiet!B754</f>
        <v>T12</v>
      </c>
      <c r="C19" s="1960" t="str">
        <f>chitiet!C754</f>
        <v>x</v>
      </c>
      <c r="D19" s="1961">
        <f>chitiet!D754</f>
        <v>1</v>
      </c>
      <c r="E19" s="1962">
        <f>chitiet!E754</f>
        <v>0</v>
      </c>
      <c r="F19" s="1963" t="str">
        <f>chitiet!F754</f>
        <v>Trụ BTLT 12m F350 dự ứng lực</v>
      </c>
      <c r="G19" s="2051" t="str">
        <f>chitiet!G754</f>
        <v>trụ</v>
      </c>
      <c r="H19" s="2052">
        <f>chitiet!H754</f>
        <v>3</v>
      </c>
      <c r="I19" s="2052">
        <f>chitiet!P754</f>
        <v>3</v>
      </c>
      <c r="J19" s="1949">
        <f>IFERROR(VLOOKUP(B19,DG!A:F,6,0),3000)</f>
        <v>16</v>
      </c>
      <c r="K19" s="1950">
        <f>IF(J19&lt;2000,COUNTIF($B$2:B19,B19),0)</f>
        <v>1</v>
      </c>
      <c r="L19" s="1426"/>
      <c r="M19" s="1502"/>
      <c r="O19" s="1502"/>
    </row>
    <row r="20" spans="1:15" s="1282" customFormat="1" ht="25.2" customHeight="1">
      <c r="A20" s="2147">
        <f>COUNTIF($K$1:K20,1)</f>
        <v>15</v>
      </c>
      <c r="B20" s="2280" t="str">
        <f>CT_tram!B2713</f>
        <v>B14350</v>
      </c>
      <c r="C20" s="2136">
        <f>CT_tram!C2713</f>
        <v>0</v>
      </c>
      <c r="D20" s="2137">
        <f>CT_tram!D2713</f>
        <v>0</v>
      </c>
      <c r="E20" s="1957">
        <f>CT_tram!E2713</f>
        <v>0</v>
      </c>
      <c r="F20" s="1958" t="str">
        <f>CT_tram!F2713</f>
        <v>Boulon 14x350+ 2 long đền vuông D16-50x50x3/Zn</v>
      </c>
      <c r="G20" s="2053" t="str">
        <f>CT_tram!G2713</f>
        <v>bộ</v>
      </c>
      <c r="H20" s="2054">
        <f>CT_tram!H2713</f>
        <v>36</v>
      </c>
      <c r="I20" s="2055">
        <f>CT_tram!I2713</f>
        <v>36</v>
      </c>
      <c r="J20" s="1949">
        <f>IFERROR(VLOOKUP(B20,DG!A:F,6,0),3000)</f>
        <v>50</v>
      </c>
      <c r="K20" s="1950">
        <f>IF(J20&lt;2000,COUNTIF($B$2:B20,B20),0)</f>
        <v>1</v>
      </c>
      <c r="L20" s="1968"/>
      <c r="M20" s="1502"/>
      <c r="O20" s="1502"/>
    </row>
    <row r="21" spans="1:15" s="1282" customFormat="1" ht="25.2" customHeight="1">
      <c r="A21" s="2147">
        <f>COUNTIF($K$1:K21,1)</f>
        <v>16</v>
      </c>
      <c r="B21" s="1953" t="str">
        <f>CT_tram!B2711</f>
        <v>b40</v>
      </c>
      <c r="C21" s="1286">
        <f>CT_tram!C2711</f>
        <v>0</v>
      </c>
      <c r="D21" s="1954">
        <f>CT_tram!D2711</f>
        <v>0</v>
      </c>
      <c r="E21" s="1498">
        <f>CT_tram!E2711</f>
        <v>0</v>
      </c>
      <c r="F21" s="1955" t="str">
        <f>CT_tram!F2711</f>
        <v>Lưới B40 - 1800-3/Zn</v>
      </c>
      <c r="G21" s="1964" t="str">
        <f>CT_tram!G2711</f>
        <v>mét</v>
      </c>
      <c r="H21" s="1965">
        <f>CT_tram!H2711</f>
        <v>14.2</v>
      </c>
      <c r="I21" s="1965">
        <f>CT_tram!I2711</f>
        <v>14.2</v>
      </c>
      <c r="J21" s="1949">
        <f>IFERROR(VLOOKUP(B21,DG!A:F,6,0),3000)</f>
        <v>50</v>
      </c>
      <c r="K21" s="1950">
        <f>IF(J21&lt;2000,COUNTIF($B$2:B21,B21),0)</f>
        <v>1</v>
      </c>
      <c r="L21" s="1426"/>
      <c r="M21" s="1502"/>
      <c r="O21" s="1502"/>
    </row>
    <row r="22" spans="1:15" s="1282" customFormat="1" ht="25.2" customHeight="1">
      <c r="A22" s="2147">
        <f>COUNTIF($K$1:K22,1)</f>
        <v>17</v>
      </c>
      <c r="B22" s="2211" t="str">
        <f>CT_tram!B2669</f>
        <v>BKQ</v>
      </c>
      <c r="C22" s="1966">
        <f>CT_tram!C2669</f>
        <v>0</v>
      </c>
      <c r="D22" s="1967">
        <f>CT_tram!D2669</f>
        <v>0</v>
      </c>
      <c r="E22" s="1498">
        <f>CT_tram!E2669</f>
        <v>0</v>
      </c>
      <c r="F22" s="1955" t="str">
        <f>CT_tram!F2669</f>
        <v>Chụp đầu cực TI, TU</v>
      </c>
      <c r="G22" s="1964" t="str">
        <f>CT_tram!G2669</f>
        <v>Cái</v>
      </c>
      <c r="H22" s="1965">
        <f>CT_tram!H2669</f>
        <v>9</v>
      </c>
      <c r="I22" s="1965">
        <f>CT_tram!I2669</f>
        <v>9</v>
      </c>
      <c r="J22" s="1949">
        <f>IFERROR(VLOOKUP(B22,DG!A:F,6,0),3000)</f>
        <v>50</v>
      </c>
      <c r="K22" s="1950">
        <f>IF(J22&lt;2000,COUNTIF($B$1:B23,B22),0)</f>
        <v>1</v>
      </c>
      <c r="L22" s="1968"/>
      <c r="M22" s="1502"/>
      <c r="O22" s="1502"/>
    </row>
    <row r="23" spans="1:15" s="1282" customFormat="1" ht="25.2" customHeight="1">
      <c r="A23" s="2147">
        <f>COUNTIF($K$1:K23,1)</f>
        <v>18</v>
      </c>
      <c r="B23" s="2281" t="str">
        <f>CT_tram!B2666</f>
        <v>ChupFCO</v>
      </c>
      <c r="C23" s="2056">
        <f>CT_tram!C2666</f>
        <v>0</v>
      </c>
      <c r="D23" s="2057">
        <f>CT_tram!D2666</f>
        <v>0</v>
      </c>
      <c r="E23" s="1962">
        <f>CT_tram!E2666</f>
        <v>0</v>
      </c>
      <c r="F23" s="1963" t="str">
        <f>CT_tram!F2666</f>
        <v>Nắp che đầu cực FCO</v>
      </c>
      <c r="G23" s="2051" t="str">
        <f>CT_tram!G2666</f>
        <v>cái</v>
      </c>
      <c r="H23" s="2052">
        <f>CT_tram!H2666</f>
        <v>3</v>
      </c>
      <c r="I23" s="2052">
        <f>CT_tram!I2666</f>
        <v>3</v>
      </c>
      <c r="J23" s="1949">
        <f>IFERROR(VLOOKUP(B23,DG!A:F,6,0),3000)</f>
        <v>50</v>
      </c>
      <c r="K23" s="1950">
        <f>IF(J23&lt;2000,COUNTIF($B$2:B23,B23),0)</f>
        <v>1</v>
      </c>
      <c r="L23" s="1426"/>
      <c r="M23" s="1502"/>
      <c r="O23" s="1502"/>
    </row>
    <row r="24" spans="1:15" s="1282" customFormat="1" ht="25.2" customHeight="1">
      <c r="A24" s="2147">
        <f>COUNTIF($K$1:K24,1)</f>
        <v>19</v>
      </c>
      <c r="B24" s="2227" t="str">
        <f>CT_tram!B2667</f>
        <v>ChupLA</v>
      </c>
      <c r="C24" s="1960">
        <f>CT_tram!C2667</f>
        <v>0</v>
      </c>
      <c r="D24" s="1961">
        <f>CT_tram!D2667</f>
        <v>0</v>
      </c>
      <c r="E24" s="1962">
        <f>CT_tram!E2667</f>
        <v>0</v>
      </c>
      <c r="F24" s="1963" t="str">
        <f>CT_tram!F2667</f>
        <v>Nắp che đầu cực LA</v>
      </c>
      <c r="G24" s="2051" t="str">
        <f>CT_tram!G2667</f>
        <v>cái</v>
      </c>
      <c r="H24" s="2052">
        <f>CT_tram!H2667</f>
        <v>3</v>
      </c>
      <c r="I24" s="2052">
        <f>CT_tram!I2667</f>
        <v>3</v>
      </c>
      <c r="J24" s="1949">
        <f>IFERROR(VLOOKUP(B24,DG!A:F,6,0),3000)</f>
        <v>50</v>
      </c>
      <c r="K24" s="1950">
        <f>IF(J24&lt;2000,COUNTIF($B$2:B24,B24),0)</f>
        <v>1</v>
      </c>
      <c r="L24" s="1426"/>
      <c r="M24" s="1502"/>
      <c r="O24" s="1502"/>
    </row>
    <row r="25" spans="1:15" s="1282" customFormat="1" ht="25.2" customHeight="1">
      <c r="A25" s="2147">
        <f>COUNTIF($K$1:K25,1)</f>
        <v>20</v>
      </c>
      <c r="B25" s="2227" t="str">
        <f>CT_tram!B2668</f>
        <v>ChupMBA</v>
      </c>
      <c r="C25" s="1960">
        <f>CT_tram!C2668</f>
        <v>0</v>
      </c>
      <c r="D25" s="1961">
        <f>CT_tram!D2668</f>
        <v>0</v>
      </c>
      <c r="E25" s="1962">
        <f>CT_tram!E2668</f>
        <v>0</v>
      </c>
      <c r="F25" s="1963" t="str">
        <f>CT_tram!F2668</f>
        <v>Nắp che đầu sứ MBA</v>
      </c>
      <c r="G25" s="2051" t="str">
        <f>CT_tram!G2668</f>
        <v>cái</v>
      </c>
      <c r="H25" s="2052">
        <f>CT_tram!H2668</f>
        <v>3</v>
      </c>
      <c r="I25" s="2052">
        <f>CT_tram!I2668</f>
        <v>3</v>
      </c>
      <c r="J25" s="1949">
        <f>IFERROR(VLOOKUP(B25,DG!A:F,6,0),3000)</f>
        <v>50</v>
      </c>
      <c r="K25" s="1950">
        <f>IF(J25&lt;2000,COUNTIF($B$2:B25,B25),0)</f>
        <v>1</v>
      </c>
      <c r="L25" s="1426"/>
      <c r="M25" s="1502"/>
      <c r="O25" s="1502"/>
    </row>
    <row r="26" spans="1:15" s="1282" customFormat="1" ht="25.2" customHeight="1">
      <c r="A26" s="2147">
        <f>COUNTIF($K$1:K26,1)</f>
        <v>21</v>
      </c>
      <c r="B26" s="2227" t="str">
        <f>CT_tram!B2726</f>
        <v>COS4</v>
      </c>
      <c r="C26" s="1960">
        <f>CT_tram!C2726</f>
        <v>0</v>
      </c>
      <c r="D26" s="1961">
        <f>CT_tram!D2726</f>
        <v>0</v>
      </c>
      <c r="E26" s="2224" t="str">
        <f>CT_tram!E2726</f>
        <v>D4.5001</v>
      </c>
      <c r="F26" s="2225" t="str">
        <f>CT_tram!F2726</f>
        <v xml:space="preserve">Đầu cosse ép Cu 4mm2 + bao PVC </v>
      </c>
      <c r="G26" s="2226" t="str">
        <f>CT_tram!G2726</f>
        <v>cái</v>
      </c>
      <c r="H26" s="2226">
        <f>CT_tram!H2726</f>
        <v>16</v>
      </c>
      <c r="I26" s="2226">
        <f>CT_tram!I2726</f>
        <v>16</v>
      </c>
      <c r="J26" s="1949">
        <f>IFERROR(VLOOKUP(B26,DG!A:F,6,0),3000)</f>
        <v>50</v>
      </c>
      <c r="K26" s="1950">
        <f>IF(J26&lt;2000,COUNTIF($B$2:B26,B26),0)</f>
        <v>1</v>
      </c>
      <c r="L26" s="1422"/>
      <c r="M26" s="1502"/>
      <c r="O26" s="1502"/>
    </row>
    <row r="27" spans="1:15" s="1282" customFormat="1" ht="25.2" customHeight="1">
      <c r="A27" s="2147">
        <f>COUNTIF($K$1:K27,1)</f>
        <v>22</v>
      </c>
      <c r="B27" s="2227" t="str">
        <f>chitiet!B1820</f>
        <v>GNIU95b</v>
      </c>
      <c r="C27" s="1960" t="str">
        <f>chitiet!C1820</f>
        <v>x</v>
      </c>
      <c r="D27" s="1961">
        <f>chitiet!D1820</f>
        <v>1</v>
      </c>
      <c r="E27" s="1962">
        <f>chitiet!E1820</f>
        <v>0</v>
      </c>
      <c r="F27" s="1963" t="str">
        <f>chitiet!F1820</f>
        <v>Giáp níu dừng dây bọc (70-95mm2)</v>
      </c>
      <c r="G27" s="2051" t="str">
        <f>chitiet!G1820</f>
        <v>cái</v>
      </c>
      <c r="H27" s="2052">
        <f>chitiet!H1820</f>
        <v>6</v>
      </c>
      <c r="I27" s="2052">
        <f>chitiet!$P$1820</f>
        <v>6</v>
      </c>
      <c r="J27" s="1949">
        <f>IFERROR(VLOOKUP(B27,DG!A:F,6,0),3000)</f>
        <v>50</v>
      </c>
      <c r="K27" s="1950">
        <f>IF(J27&lt;2000,COUNTIF($B$2:B27,B27),0)</f>
        <v>1</v>
      </c>
      <c r="L27" s="1426"/>
      <c r="M27" s="1502"/>
      <c r="O27" s="1502"/>
    </row>
    <row r="28" spans="1:15" s="1282" customFormat="1" ht="25.2" customHeight="1">
      <c r="A28" s="2147">
        <f>COUNTIF($K$1:K28,1)</f>
        <v>23</v>
      </c>
      <c r="B28" s="2227" t="str">
        <f>CT_tram!B2719</f>
        <v>LDKhungcua</v>
      </c>
      <c r="C28" s="1960">
        <f>CT_tram!C2719</f>
        <v>0</v>
      </c>
      <c r="D28" s="1961">
        <f>CT_tram!D2719</f>
        <v>0</v>
      </c>
      <c r="E28" s="1962" t="str">
        <f>CT_tram!E2719</f>
        <v>AI.63121</v>
      </c>
      <c r="F28" s="1963" t="str">
        <f>CT_tram!F2719</f>
        <v>Gia công và lắp dựng khung cửa sắt</v>
      </c>
      <c r="G28" s="2051" t="str">
        <f>CT_tram!G2719</f>
        <v>m2</v>
      </c>
      <c r="H28" s="2052">
        <f>CT_tram!H2719</f>
        <v>24</v>
      </c>
      <c r="I28" s="2052">
        <f>CT_tram!I2719</f>
        <v>24</v>
      </c>
      <c r="J28" s="1949">
        <f>IFERROR(VLOOKUP(B28,DG!A:F,6,0),3000)</f>
        <v>50</v>
      </c>
      <c r="K28" s="1950">
        <f>IF(J28&lt;2000,COUNTIF($B$2:B28,B28),0)</f>
        <v>1</v>
      </c>
      <c r="L28" s="1426"/>
      <c r="M28" s="1502"/>
      <c r="O28" s="1502"/>
    </row>
    <row r="29" spans="1:15" s="1282" customFormat="1" ht="25.2" customHeight="1">
      <c r="A29" s="2147">
        <f>COUNTIF($K$1:K29,1)</f>
        <v>24</v>
      </c>
      <c r="B29" s="2227" t="str">
        <f>CT_tram!B2709</f>
        <v>SATV4</v>
      </c>
      <c r="C29" s="1960">
        <f>CT_tram!C2709</f>
        <v>0</v>
      </c>
      <c r="D29" s="1961">
        <f>CT_tram!D2709</f>
        <v>0</v>
      </c>
      <c r="E29" s="1962">
        <f>CT_tram!E2709</f>
        <v>0</v>
      </c>
      <c r="F29" s="1963" t="str">
        <f>CT_tram!F2709</f>
        <v>Thanh sắt V40x40x3-6000 - 17,7kg/thanh</v>
      </c>
      <c r="G29" s="2051" t="str">
        <f>CT_tram!G2709</f>
        <v>kg</v>
      </c>
      <c r="H29" s="2052">
        <f>CT_tram!H2709</f>
        <v>47.199999999999996</v>
      </c>
      <c r="I29" s="2052">
        <f>CT_tram!I2709</f>
        <v>47.199999999999996</v>
      </c>
      <c r="J29" s="1949">
        <f>IFERROR(VLOOKUP(B29,DG!A:F,6,0),3000)</f>
        <v>50</v>
      </c>
      <c r="K29" s="1950">
        <f>IF(J29&lt;2000,COUNTIF($B$2:B29,B29),0)</f>
        <v>1</v>
      </c>
      <c r="L29" s="1426"/>
      <c r="M29" s="1502"/>
      <c r="O29" s="1502"/>
    </row>
    <row r="30" spans="1:15" s="1282" customFormat="1" ht="25.2" customHeight="1">
      <c r="A30" s="2147">
        <f>COUNTIF($K$1:K30,1)</f>
        <v>25</v>
      </c>
      <c r="B30" s="2227" t="str">
        <f>CT_tram!B2708</f>
        <v>SATV5</v>
      </c>
      <c r="C30" s="1960">
        <f>CT_tram!C2708</f>
        <v>0</v>
      </c>
      <c r="D30" s="1961">
        <f>CT_tram!D2708</f>
        <v>0</v>
      </c>
      <c r="E30" s="1962">
        <f>CT_tram!E2708</f>
        <v>0</v>
      </c>
      <c r="F30" s="1963" t="str">
        <f>CT_tram!F2708</f>
        <v>Thanh sắt V50x50x5-4000 - 16kg/thanh</v>
      </c>
      <c r="G30" s="2051" t="str">
        <f>CT_tram!G2708</f>
        <v>kg</v>
      </c>
      <c r="H30" s="2052">
        <f>CT_tram!H2708</f>
        <v>128</v>
      </c>
      <c r="I30" s="2052">
        <f>CT_tram!I2708</f>
        <v>128</v>
      </c>
      <c r="J30" s="1949">
        <f>IFERROR(VLOOKUP(B30,DG!A:F,6,0),3000)</f>
        <v>50</v>
      </c>
      <c r="K30" s="1950">
        <f>IF(J30&lt;2000,COUNTIF($B$2:B30,B30),0)</f>
        <v>1</v>
      </c>
      <c r="L30" s="1426"/>
      <c r="M30" s="1502"/>
      <c r="O30" s="1502"/>
    </row>
    <row r="31" spans="1:15" s="1282" customFormat="1" ht="25.2" customHeight="1">
      <c r="A31" s="2147">
        <f>COUNTIF($K$1:K31,1)</f>
        <v>26</v>
      </c>
      <c r="B31" s="2227" t="str">
        <f>chitiet!B1870</f>
        <v>ssf</v>
      </c>
      <c r="C31" s="1960" t="str">
        <f>chitiet!C1870</f>
        <v>x</v>
      </c>
      <c r="D31" s="1961">
        <f>chitiet!D1870</f>
        <v>6</v>
      </c>
      <c r="E31" s="1962">
        <f>chitiet!E1870</f>
        <v>0</v>
      </c>
      <c r="F31" s="1963" t="str">
        <f>chitiet!F1870</f>
        <v>Dây buộc cổ sứ đỡ góc SSF</v>
      </c>
      <c r="G31" s="2051" t="str">
        <f>chitiet!G1870</f>
        <v>cái</v>
      </c>
      <c r="H31" s="2052">
        <f>chitiet!H1870</f>
        <v>6</v>
      </c>
      <c r="I31" s="2052">
        <f>chitiet!P1870</f>
        <v>6</v>
      </c>
      <c r="J31" s="1949">
        <f>IFERROR(VLOOKUP(B31,DG!A:F,6,0),3000)</f>
        <v>50</v>
      </c>
      <c r="K31" s="1950">
        <f>IF(J31&lt;2000,COUNTIF($B$2:B31,B31),0)</f>
        <v>1</v>
      </c>
      <c r="L31" s="1426"/>
      <c r="M31" s="1502"/>
      <c r="O31" s="1502"/>
    </row>
    <row r="32" spans="1:15" s="1282" customFormat="1" ht="25.2" customHeight="1">
      <c r="A32" s="2147">
        <f>COUNTIF($K$1:K32,1)</f>
        <v>27</v>
      </c>
      <c r="B32" s="2227" t="str">
        <f>CT_tram!B2706</f>
        <v>stk76</v>
      </c>
      <c r="C32" s="1960">
        <f>CT_tram!C2706</f>
        <v>0</v>
      </c>
      <c r="D32" s="1961">
        <f>CT_tram!D2706</f>
        <v>0</v>
      </c>
      <c r="E32" s="1962" t="str">
        <f>CT_tram!E2706</f>
        <v>D4.1204</v>
      </c>
      <c r="F32" s="1963" t="str">
        <f>CT_tram!F2706</f>
        <v>Ông sắt tráng kẽm D76</v>
      </c>
      <c r="G32" s="2051" t="str">
        <f>CT_tram!G2706</f>
        <v>mét</v>
      </c>
      <c r="H32" s="2052">
        <f>CT_tram!H2706</f>
        <v>18</v>
      </c>
      <c r="I32" s="2052">
        <f>CT_tram!I2706</f>
        <v>18</v>
      </c>
      <c r="J32" s="1949">
        <f>IFERROR(VLOOKUP(B32,DG!A:F,6,0),3000)</f>
        <v>50</v>
      </c>
      <c r="K32" s="1950">
        <f>IF(J32&lt;2000,COUNTIF($B$2:B32,B32),0)</f>
        <v>1</v>
      </c>
      <c r="L32" s="1426"/>
      <c r="M32" s="1502"/>
      <c r="O32" s="1502"/>
    </row>
    <row r="33" spans="1:15" s="1282" customFormat="1" ht="25.2" customHeight="1">
      <c r="A33" s="2147">
        <f>COUNTIF($K$1:K33,1)</f>
        <v>28</v>
      </c>
      <c r="B33" s="2279" t="str">
        <f>chitiet!B1869</f>
        <v>ttf</v>
      </c>
      <c r="C33" s="1952" t="str">
        <f>chitiet!C1869</f>
        <v>x</v>
      </c>
      <c r="D33" s="1956">
        <f>chitiet!D1869</f>
        <v>2</v>
      </c>
      <c r="E33" s="1957">
        <f>chitiet!E1869</f>
        <v>0</v>
      </c>
      <c r="F33" s="1958" t="str">
        <f>chitiet!F1869</f>
        <v xml:space="preserve">Dây buộc cổ sứ đỡ thẳng TTF </v>
      </c>
      <c r="G33" s="2053" t="str">
        <f>chitiet!G1869</f>
        <v>cái</v>
      </c>
      <c r="H33" s="2054">
        <f>chitiet!H1869</f>
        <v>2</v>
      </c>
      <c r="I33" s="1965">
        <f>chitiet!P1869</f>
        <v>2</v>
      </c>
      <c r="J33" s="1949">
        <f>IFERROR(VLOOKUP(B33,DG!A:F,6,0),3000)</f>
        <v>50</v>
      </c>
      <c r="K33" s="1950">
        <f>IF(J33&lt;2000,COUNTIF($B$2:B33,B33),0)</f>
        <v>1</v>
      </c>
      <c r="L33" s="1426"/>
      <c r="M33" s="1502"/>
      <c r="O33" s="1502"/>
    </row>
    <row r="34" spans="1:15" s="1282" customFormat="1" ht="25.2" customHeight="1">
      <c r="A34" s="2147">
        <f>COUNTIF($K$1:K34,1)</f>
        <v>29</v>
      </c>
      <c r="B34" s="2227" t="str">
        <f>CT_tram!B2674</f>
        <v>Ttf01</v>
      </c>
      <c r="C34" s="1960">
        <f>CT_tram!C2674</f>
        <v>0</v>
      </c>
      <c r="D34" s="1961">
        <f>CT_tram!D2674</f>
        <v>0</v>
      </c>
      <c r="E34" s="1962">
        <f>CT_tram!E2674</f>
        <v>0</v>
      </c>
      <c r="F34" s="1963" t="str">
        <f>CT_tram!F2674</f>
        <v>Dây buộc đầu sứ đỡ thẳng 50mm2</v>
      </c>
      <c r="G34" s="1964" t="str">
        <f>CT_tram!G2674</f>
        <v>cái</v>
      </c>
      <c r="H34" s="1965">
        <f>CT_tram!H2674</f>
        <v>9</v>
      </c>
      <c r="I34" s="1965">
        <f>CT_tram!I2674</f>
        <v>9</v>
      </c>
      <c r="J34" s="1949">
        <f>IFERROR(VLOOKUP(B34,DG!A:F,6,0),3000)</f>
        <v>50</v>
      </c>
      <c r="K34" s="1950">
        <f>IF(J34&lt;2000,COUNTIF($B$2:B34,B34),0)</f>
        <v>1</v>
      </c>
      <c r="L34" s="1426"/>
      <c r="M34" s="1502"/>
      <c r="O34" s="1502"/>
    </row>
    <row r="35" spans="1:15" s="1282" customFormat="1" ht="25.2" customHeight="1">
      <c r="A35" s="2147">
        <f>COUNTIF($K$1:K35,1)</f>
        <v>30</v>
      </c>
      <c r="B35" s="2227" t="str">
        <f>CT_tram!B2627</f>
        <v>TUacb2000</v>
      </c>
      <c r="C35" s="1960">
        <f>CT_tram!C2627</f>
        <v>0</v>
      </c>
      <c r="D35" s="1961">
        <f>CT_tram!D2627</f>
        <v>0</v>
      </c>
      <c r="E35" s="1962" t="str">
        <f>CT_tram!E2627</f>
        <v>T5.1002</v>
      </c>
      <c r="F35" s="1963" t="str">
        <f>CT_tram!F2627</f>
        <v>Tủ ACB + thanh cái 2000A</v>
      </c>
      <c r="G35" s="2051" t="str">
        <f>CT_tram!G2627</f>
        <v>cái</v>
      </c>
      <c r="H35" s="2052">
        <f>CT_tram!H2627</f>
        <v>1</v>
      </c>
      <c r="I35" s="2052">
        <f>CT_tram!I2627</f>
        <v>1</v>
      </c>
      <c r="J35" s="1949">
        <f>IFERROR(VLOOKUP(B35,DG!A:F,6,0),3000)</f>
        <v>50</v>
      </c>
      <c r="K35" s="1950">
        <f>IF(J35&lt;2000,COUNTIF($B$2:B35,B35),0)</f>
        <v>1</v>
      </c>
      <c r="L35" s="1426"/>
      <c r="M35" s="1502"/>
      <c r="O35" s="1502"/>
    </row>
    <row r="36" spans="1:15" s="1282" customFormat="1" ht="25.2" customHeight="1">
      <c r="A36" s="2147">
        <f>COUNTIF($K$1:K36,1)</f>
        <v>31</v>
      </c>
      <c r="B36" s="2227" t="str">
        <f>CT_tram!B2724</f>
        <v>b1050</v>
      </c>
      <c r="C36" s="1960">
        <f>CT_tram!C2724</f>
        <v>0</v>
      </c>
      <c r="D36" s="1961">
        <f>CT_tram!D2724</f>
        <v>0</v>
      </c>
      <c r="E36" s="1962">
        <f>CT_tram!E2724</f>
        <v>0</v>
      </c>
      <c r="F36" s="1963" t="str">
        <f>CT_tram!F2724</f>
        <v>Boulon 10x50+ 2 long đền vuông D12-50x50x3/Zn</v>
      </c>
      <c r="G36" s="2051" t="str">
        <f>CT_tram!G2724</f>
        <v>bộ</v>
      </c>
      <c r="H36" s="2052">
        <f>CT_tram!H2724</f>
        <v>24</v>
      </c>
      <c r="I36" s="2052">
        <f>CT_tram!I2724</f>
        <v>24</v>
      </c>
      <c r="J36" s="1949">
        <f>IFERROR(VLOOKUP(B36,DG!A:F,6,0),3000)</f>
        <v>50</v>
      </c>
      <c r="K36" s="1950">
        <f>IF(J36&lt;2000,COUNTIF($B$2:B36,B36),0)</f>
        <v>1</v>
      </c>
      <c r="L36" s="1426"/>
      <c r="M36" s="1502"/>
      <c r="O36" s="1502"/>
    </row>
    <row r="37" spans="1:15" s="1282" customFormat="1" ht="25.2" customHeight="1">
      <c r="A37" s="2147">
        <f>COUNTIF($K$1:K37,1)</f>
        <v>32</v>
      </c>
      <c r="B37" s="2227" t="str">
        <f>chitiet!B1099</f>
        <v>B16150</v>
      </c>
      <c r="C37" s="1960" t="str">
        <f>chitiet!C1099</f>
        <v>x</v>
      </c>
      <c r="D37" s="1961">
        <f>chitiet!D1099</f>
        <v>2</v>
      </c>
      <c r="E37" s="1962">
        <f>chitiet!E1099</f>
        <v>0</v>
      </c>
      <c r="F37" s="1963" t="str">
        <f>chitiet!F1099</f>
        <v>Boulon 16x150+ 2 long đền vuông D18-50x50x3/Zn</v>
      </c>
      <c r="G37" s="2051" t="str">
        <f>chitiet!G1099</f>
        <v>bộ</v>
      </c>
      <c r="H37" s="2052">
        <f>chitiet!H1099</f>
        <v>2</v>
      </c>
      <c r="I37" s="2052">
        <f>chitiet!P1099</f>
        <v>2</v>
      </c>
      <c r="J37" s="1949">
        <f>IFERROR(VLOOKUP(B37,DG!A:F,6,0),3000)</f>
        <v>50</v>
      </c>
      <c r="K37" s="1950">
        <f>IF(J37&lt;2000,COUNTIF($B$2:B37,B37),0)</f>
        <v>1</v>
      </c>
      <c r="L37" s="1426"/>
      <c r="M37" s="1502"/>
      <c r="O37" s="1502"/>
    </row>
    <row r="38" spans="1:15" s="1282" customFormat="1" ht="25.2" customHeight="1">
      <c r="A38" s="2147">
        <f>COUNTIF($K$1:K38,1)</f>
        <v>32</v>
      </c>
      <c r="B38" s="2227" t="str">
        <f>CT_tram!B2593</f>
        <v>B16150</v>
      </c>
      <c r="C38" s="1960">
        <f>CT_tram!C2593</f>
        <v>0</v>
      </c>
      <c r="D38" s="1961">
        <f>CT_tram!D2593</f>
        <v>0</v>
      </c>
      <c r="E38" s="1962">
        <f>CT_tram!E2593</f>
        <v>0</v>
      </c>
      <c r="F38" s="1963" t="str">
        <f>CT_tram!F2593</f>
        <v>Boulon 16x150+ 2 long đền vuông D18-50x50x3/Zn</v>
      </c>
      <c r="G38" s="2051" t="str">
        <f>CT_tram!G2593</f>
        <v>bộ</v>
      </c>
      <c r="H38" s="2052">
        <f>CT_tram!H2593</f>
        <v>2</v>
      </c>
      <c r="I38" s="2052">
        <f>CT_tram!I2593</f>
        <v>2</v>
      </c>
      <c r="J38" s="1949">
        <f>IFERROR(VLOOKUP(B38,DG!A:F,6,0),3000)</f>
        <v>50</v>
      </c>
      <c r="K38" s="1950">
        <f>IF(J38&lt;2000,COUNTIF($B$2:B38,B38),0)</f>
        <v>2</v>
      </c>
      <c r="L38" s="1426"/>
      <c r="M38" s="1502"/>
      <c r="O38" s="1502"/>
    </row>
    <row r="39" spans="1:15" s="1282" customFormat="1" ht="25.2" customHeight="1">
      <c r="A39" s="2147">
        <f>COUNTIF($K$1:K39,1)</f>
        <v>33</v>
      </c>
      <c r="B39" s="2280" t="str">
        <f>chitiet!B957</f>
        <v>B16250</v>
      </c>
      <c r="C39" s="2136" t="str">
        <f>chitiet!C957</f>
        <v>x</v>
      </c>
      <c r="D39" s="2137">
        <f>chitiet!D957</f>
        <v>2</v>
      </c>
      <c r="E39" s="1957">
        <f>chitiet!E957</f>
        <v>0</v>
      </c>
      <c r="F39" s="1958" t="str">
        <f>chitiet!F957</f>
        <v>Boulon 16x250+ 2 long đền vuông D18-50x50x3/Zn</v>
      </c>
      <c r="G39" s="2053" t="str">
        <f>chitiet!G957</f>
        <v>bộ</v>
      </c>
      <c r="H39" s="2054">
        <f>chitiet!H957</f>
        <v>2</v>
      </c>
      <c r="I39" s="2052">
        <f>chitiet!P957</f>
        <v>2</v>
      </c>
      <c r="J39" s="1949">
        <f>IFERROR(VLOOKUP(B39,DG!A:F,6,0),3000)</f>
        <v>50</v>
      </c>
      <c r="K39" s="1950">
        <f>IF(J39&lt;2000,COUNTIF($B$2:B39,B39),0)</f>
        <v>1</v>
      </c>
      <c r="L39" s="1968"/>
      <c r="M39" s="1502"/>
      <c r="O39" s="1502"/>
    </row>
    <row r="40" spans="1:15" s="1282" customFormat="1" ht="25.2" customHeight="1">
      <c r="A40" s="2147">
        <f>COUNTIF($K$1:K40,1)</f>
        <v>33</v>
      </c>
      <c r="B40" s="1953" t="str">
        <f>chitiet!B1100</f>
        <v>B16250</v>
      </c>
      <c r="C40" s="1286" t="str">
        <f>chitiet!C1100</f>
        <v>x</v>
      </c>
      <c r="D40" s="1954">
        <f>chitiet!D1100</f>
        <v>1</v>
      </c>
      <c r="E40" s="2192">
        <f>chitiet!E1100</f>
        <v>0</v>
      </c>
      <c r="F40" s="2197" t="str">
        <f>chitiet!F1100</f>
        <v>Boulon 16x250+ 2 long đền vuông D18-50x50x3/Zn</v>
      </c>
      <c r="G40" s="2202" t="str">
        <f>chitiet!G1100</f>
        <v>bộ</v>
      </c>
      <c r="H40" s="2202">
        <f>chitiet!H1100</f>
        <v>1</v>
      </c>
      <c r="I40" s="2202">
        <f>chitiet!P1100</f>
        <v>1</v>
      </c>
      <c r="J40" s="1949">
        <f>IFERROR(VLOOKUP(B40,DG!A:F,6,0),3000)</f>
        <v>50</v>
      </c>
      <c r="K40" s="1950">
        <f>IF(J40&lt;2000,COUNTIF($B$2:B40,B40),0)</f>
        <v>2</v>
      </c>
      <c r="L40" s="1422"/>
      <c r="M40" s="1502"/>
      <c r="O40" s="1502"/>
    </row>
    <row r="41" spans="1:15" s="1282" customFormat="1" ht="25.2" customHeight="1">
      <c r="A41" s="2147">
        <f>COUNTIF($K$1:K41,1)</f>
        <v>34</v>
      </c>
      <c r="B41" s="2227" t="str">
        <f>chitiet!B803</f>
        <v>B16300</v>
      </c>
      <c r="C41" s="1960" t="str">
        <f>chitiet!C803</f>
        <v>x</v>
      </c>
      <c r="D41" s="1961">
        <f>chitiet!D803</f>
        <v>2</v>
      </c>
      <c r="E41" s="1962">
        <f>chitiet!E803</f>
        <v>0</v>
      </c>
      <c r="F41" s="1963" t="str">
        <f>chitiet!F803</f>
        <v>Boulon 16x300+ 2 long đền vuông D18-50x50x3/Zn</v>
      </c>
      <c r="G41" s="1964" t="str">
        <f>chitiet!G803</f>
        <v>bộ</v>
      </c>
      <c r="H41" s="1965">
        <f>chitiet!H803</f>
        <v>4</v>
      </c>
      <c r="I41" s="1965">
        <f>chitiet!P803</f>
        <v>4</v>
      </c>
      <c r="J41" s="1949">
        <f>IFERROR(VLOOKUP(B41,DG!A:F,6,0),3000)</f>
        <v>50</v>
      </c>
      <c r="K41" s="1950">
        <f>IF(J41&lt;2000,COUNTIF($B$2:B41,B41),0)</f>
        <v>1</v>
      </c>
      <c r="L41" s="1426"/>
      <c r="M41" s="1502"/>
      <c r="O41" s="1502"/>
    </row>
    <row r="42" spans="1:15" s="1282" customFormat="1" ht="25.2" customHeight="1">
      <c r="A42" s="2147">
        <f>COUNTIF($K$1:K42,1)</f>
        <v>34</v>
      </c>
      <c r="B42" s="1953" t="str">
        <f>chitiet!B1772</f>
        <v>B16300</v>
      </c>
      <c r="C42" s="1286" t="str">
        <f>chitiet!C1772</f>
        <v>x</v>
      </c>
      <c r="D42" s="1954">
        <f>chitiet!D1772</f>
        <v>1</v>
      </c>
      <c r="E42" s="2192">
        <f>chitiet!E1772</f>
        <v>0</v>
      </c>
      <c r="F42" s="2197" t="str">
        <f>chitiet!F1772</f>
        <v>Boulon 16x300+ 2 long đền vuông D18-50x50x3/Zn</v>
      </c>
      <c r="G42" s="2202" t="str">
        <f>chitiet!G1772</f>
        <v>bộ</v>
      </c>
      <c r="H42" s="2202">
        <f>chitiet!H1772</f>
        <v>1</v>
      </c>
      <c r="I42" s="2202">
        <f>chitiet!P1772</f>
        <v>1</v>
      </c>
      <c r="J42" s="1949">
        <f>IFERROR(VLOOKUP(B42,DG!A:F,6,0),3000)</f>
        <v>50</v>
      </c>
      <c r="K42" s="1950">
        <f>IF(J42&lt;2000,COUNTIF($B$2:B42,B42),0)</f>
        <v>2</v>
      </c>
      <c r="L42" s="1422"/>
      <c r="M42" s="1502"/>
      <c r="O42" s="1502"/>
    </row>
    <row r="43" spans="1:15" s="1282" customFormat="1" ht="25.2" customHeight="1">
      <c r="A43" s="2147">
        <f>COUNTIF($K$1:K43,1)</f>
        <v>34</v>
      </c>
      <c r="B43" s="2227" t="str">
        <f>CT_tram!B2599</f>
        <v>B16300</v>
      </c>
      <c r="C43" s="1960">
        <f>CT_tram!C2599</f>
        <v>0</v>
      </c>
      <c r="D43" s="1961">
        <f>CT_tram!D2599</f>
        <v>0</v>
      </c>
      <c r="E43" s="1962">
        <f>CT_tram!E2599</f>
        <v>0</v>
      </c>
      <c r="F43" s="1963" t="str">
        <f>CT_tram!F2599</f>
        <v>Boulon 16x300+ 2 long đền vuông D18-50x50x3/Zn</v>
      </c>
      <c r="G43" s="2051" t="str">
        <f>CT_tram!G2599</f>
        <v>bộ</v>
      </c>
      <c r="H43" s="2052">
        <f>CT_tram!H2599</f>
        <v>4</v>
      </c>
      <c r="I43" s="2052">
        <f>CT_tram!I2599</f>
        <v>4</v>
      </c>
      <c r="J43" s="1949">
        <f>IFERROR(VLOOKUP(B43,DG!A:F,6,0),3000)</f>
        <v>50</v>
      </c>
      <c r="K43" s="1950">
        <f>IF(J43&lt;2000,COUNTIF($B$2:B43,B43),0)</f>
        <v>3</v>
      </c>
      <c r="L43" s="1426"/>
      <c r="M43" s="1502"/>
      <c r="O43" s="1502"/>
    </row>
    <row r="44" spans="1:15" s="1282" customFormat="1" ht="25.2" customHeight="1">
      <c r="A44" s="2147">
        <f>COUNTIF($K$1:K44,1)</f>
        <v>35</v>
      </c>
      <c r="B44" s="2227" t="str">
        <f>chitiet!B804</f>
        <v>B16300v</v>
      </c>
      <c r="C44" s="1960" t="str">
        <f>chitiet!C804</f>
        <v>x</v>
      </c>
      <c r="D44" s="1961">
        <f>chitiet!D804</f>
        <v>2</v>
      </c>
      <c r="E44" s="1962">
        <f>chitiet!E804</f>
        <v>0</v>
      </c>
      <c r="F44" s="1963" t="str">
        <f>chitiet!F804</f>
        <v>Boulon 16x300VRS+ 4 long đền vuông D18-50x50x3/Zn</v>
      </c>
      <c r="G44" s="2051" t="str">
        <f>chitiet!G804</f>
        <v>bộ</v>
      </c>
      <c r="H44" s="2052">
        <f>chitiet!H804</f>
        <v>4</v>
      </c>
      <c r="I44" s="2052">
        <f>chitiet!P804</f>
        <v>4</v>
      </c>
      <c r="J44" s="1949">
        <f>IFERROR(VLOOKUP(B44,DG!A:F,6,0),3000)</f>
        <v>50</v>
      </c>
      <c r="K44" s="1950">
        <f>IF(J44&lt;2000,COUNTIF($B$2:B44,B44),0)</f>
        <v>1</v>
      </c>
      <c r="L44" s="1426"/>
      <c r="M44" s="1502"/>
      <c r="O44" s="1502"/>
    </row>
    <row r="45" spans="1:15" s="1282" customFormat="1" ht="25.2" customHeight="1">
      <c r="A45" s="2147">
        <f>COUNTIF($K$1:K45,1)</f>
        <v>35</v>
      </c>
      <c r="B45" s="2227" t="str">
        <f>CT_tram!B2601</f>
        <v>B16300V</v>
      </c>
      <c r="C45" s="1960">
        <f>CT_tram!C2601</f>
        <v>0</v>
      </c>
      <c r="D45" s="1961">
        <f>CT_tram!D2601</f>
        <v>0</v>
      </c>
      <c r="E45" s="1962">
        <f>CT_tram!E2601</f>
        <v>0</v>
      </c>
      <c r="F45" s="1963" t="str">
        <f>CT_tram!F2601</f>
        <v>Boulon 16x300VRS+ 4 long đền vuông D18-50x50x3/Zn</v>
      </c>
      <c r="G45" s="2051" t="str">
        <f>CT_tram!G2601</f>
        <v>bộ</v>
      </c>
      <c r="H45" s="2052">
        <f>CT_tram!H2601</f>
        <v>8</v>
      </c>
      <c r="I45" s="2052">
        <f>CT_tram!I2601</f>
        <v>8</v>
      </c>
      <c r="J45" s="1949">
        <f>IFERROR(VLOOKUP(B45,DG!A:F,6,0),3000)</f>
        <v>50</v>
      </c>
      <c r="K45" s="1950">
        <f>IF(J45&lt;2000,COUNTIF($B$2:B45,B45),0)</f>
        <v>2</v>
      </c>
      <c r="L45" s="1426"/>
      <c r="M45" s="1502"/>
      <c r="O45" s="1502"/>
    </row>
    <row r="46" spans="1:15" s="1282" customFormat="1" ht="25.2" customHeight="1">
      <c r="A46" s="2147">
        <f>COUNTIF($K$1:K46,1)</f>
        <v>36</v>
      </c>
      <c r="B46" s="2227" t="str">
        <f>chitiet!B958</f>
        <v>B1635</v>
      </c>
      <c r="C46" s="1960" t="str">
        <f>chitiet!C958</f>
        <v>x</v>
      </c>
      <c r="D46" s="1961">
        <f>chitiet!D958</f>
        <v>1</v>
      </c>
      <c r="E46" s="1962">
        <f>chitiet!E958</f>
        <v>0</v>
      </c>
      <c r="F46" s="1963" t="str">
        <f>chitiet!F958</f>
        <v>Boulon 16x35+ 2 long đền vuông D18-50x50x3/Zn</v>
      </c>
      <c r="G46" s="2051" t="str">
        <f>chitiet!G958</f>
        <v>bộ</v>
      </c>
      <c r="H46" s="2052">
        <f>chitiet!H958</f>
        <v>1</v>
      </c>
      <c r="I46" s="2052">
        <f>chitiet!P958</f>
        <v>1</v>
      </c>
      <c r="J46" s="1949">
        <f>IFERROR(VLOOKUP(B46,DG!A:F,6,0),3000)</f>
        <v>50</v>
      </c>
      <c r="K46" s="1950">
        <f>IF(J46&lt;2000,COUNTIF($B$2:B46,B46),0)</f>
        <v>1</v>
      </c>
      <c r="L46" s="1426"/>
      <c r="M46" s="1969"/>
      <c r="N46" s="1970"/>
      <c r="O46" s="1969"/>
    </row>
    <row r="47" spans="1:15" s="1282" customFormat="1" ht="25.2" customHeight="1">
      <c r="A47" s="2147">
        <f>COUNTIF($K$1:K47,1)</f>
        <v>37</v>
      </c>
      <c r="B47" s="2227" t="str">
        <f>chitiet!B1101</f>
        <v>B16350</v>
      </c>
      <c r="C47" s="1960" t="str">
        <f>chitiet!C1101</f>
        <v>x</v>
      </c>
      <c r="D47" s="1961">
        <f>chitiet!D1101</f>
        <v>1</v>
      </c>
      <c r="E47" s="1962">
        <f>chitiet!E1101</f>
        <v>0</v>
      </c>
      <c r="F47" s="1963" t="str">
        <f>chitiet!F1101</f>
        <v>Boulon 16x350+ 2 long đền vuông D18-50x50x3/Zn</v>
      </c>
      <c r="G47" s="2051" t="str">
        <f>chitiet!G1101</f>
        <v>bộ</v>
      </c>
      <c r="H47" s="2052">
        <f>chitiet!H1101</f>
        <v>1</v>
      </c>
      <c r="I47" s="2052">
        <f>chitiet!P1101</f>
        <v>1</v>
      </c>
      <c r="J47" s="1949">
        <f>IFERROR(VLOOKUP(B47,DG!A:F,6,0),3000)</f>
        <v>50</v>
      </c>
      <c r="K47" s="1950">
        <f>IF(J47&lt;2000,COUNTIF($B$2:B47,B47),0)</f>
        <v>1</v>
      </c>
      <c r="L47" s="1426"/>
      <c r="M47" s="1502"/>
      <c r="O47" s="1502"/>
    </row>
    <row r="48" spans="1:15" s="1282" customFormat="1" ht="25.2" customHeight="1">
      <c r="A48" s="2147">
        <f>COUNTIF($K$1:K48,1)</f>
        <v>37</v>
      </c>
      <c r="B48" s="2227" t="str">
        <f>CT_tram!B2592</f>
        <v>B16350</v>
      </c>
      <c r="C48" s="1960">
        <f>CT_tram!C2592</f>
        <v>0</v>
      </c>
      <c r="D48" s="1961">
        <f>CT_tram!D2592</f>
        <v>0</v>
      </c>
      <c r="E48" s="1962">
        <f>CT_tram!E2592</f>
        <v>0</v>
      </c>
      <c r="F48" s="1963" t="str">
        <f>CT_tram!F2592</f>
        <v>Boulon 16x350+ 2 long đền vuông D18-50x50x3/Zn</v>
      </c>
      <c r="G48" s="2051" t="str">
        <f>CT_tram!G2592</f>
        <v>bộ</v>
      </c>
      <c r="H48" s="2052">
        <f>CT_tram!H2592</f>
        <v>2</v>
      </c>
      <c r="I48" s="2052">
        <f>CT_tram!I2592</f>
        <v>2</v>
      </c>
      <c r="J48" s="1949">
        <f>IFERROR(VLOOKUP(B48,DG!A:F,6,0),3000)</f>
        <v>50</v>
      </c>
      <c r="K48" s="1950">
        <f>IF(J48&lt;2000,COUNTIF($B$2:B48,B48),0)</f>
        <v>2</v>
      </c>
      <c r="L48" s="1426"/>
      <c r="M48" s="1502"/>
      <c r="O48" s="1502"/>
    </row>
    <row r="49" spans="1:15" s="1282" customFormat="1" ht="25.2" customHeight="1">
      <c r="A49" s="2147">
        <f>COUNTIF($K$1:K49,1)</f>
        <v>37</v>
      </c>
      <c r="B49" s="1953" t="str">
        <f>CT_tram!B2607</f>
        <v>B16350</v>
      </c>
      <c r="C49" s="1286">
        <f>CT_tram!C2607</f>
        <v>0</v>
      </c>
      <c r="D49" s="1954">
        <f>CT_tram!D2607</f>
        <v>0</v>
      </c>
      <c r="E49" s="1498">
        <f>CT_tram!E2607</f>
        <v>0</v>
      </c>
      <c r="F49" s="1955" t="str">
        <f>CT_tram!F2607</f>
        <v>Boulon 16x350+ 2 long đền vuông D18-50x50x3/Zn</v>
      </c>
      <c r="G49" s="1964" t="str">
        <f>CT_tram!G2607</f>
        <v>bộ</v>
      </c>
      <c r="H49" s="1965">
        <f>CT_tram!H2607</f>
        <v>2</v>
      </c>
      <c r="I49" s="1965">
        <f>CT_tram!I2607</f>
        <v>2</v>
      </c>
      <c r="J49" s="1949">
        <f>IFERROR(VLOOKUP(B49,DG!A:F,6,0),3000)</f>
        <v>50</v>
      </c>
      <c r="K49" s="1950">
        <f>IF(J49&lt;2000,COUNTIF($B$2:B49,B49),0)</f>
        <v>3</v>
      </c>
      <c r="L49" s="1426"/>
      <c r="M49" s="1502"/>
      <c r="O49" s="1502"/>
    </row>
    <row r="50" spans="1:15" s="1282" customFormat="1" ht="25.2" customHeight="1">
      <c r="A50" s="2147">
        <f>COUNTIF($K$1:K50,1)</f>
        <v>38</v>
      </c>
      <c r="B50" s="1953" t="str">
        <f>chitiet!B805</f>
        <v>B1650</v>
      </c>
      <c r="C50" s="1286" t="str">
        <f>chitiet!C805</f>
        <v>x</v>
      </c>
      <c r="D50" s="1954">
        <f>chitiet!D805</f>
        <v>4</v>
      </c>
      <c r="E50" s="1498">
        <f>chitiet!E805</f>
        <v>0</v>
      </c>
      <c r="F50" s="1955" t="str">
        <f>chitiet!F805</f>
        <v>Boulon 16x50+ 2 long đền vuông D18-50x50x3/Zn</v>
      </c>
      <c r="G50" s="1964" t="str">
        <f>chitiet!G805</f>
        <v>bộ</v>
      </c>
      <c r="H50" s="1965">
        <f>chitiet!H805</f>
        <v>8</v>
      </c>
      <c r="I50" s="1965">
        <f>chitiet!P805</f>
        <v>8</v>
      </c>
      <c r="J50" s="1949">
        <f>IFERROR(VLOOKUP(B50,DG!A:F,6,0),3000)</f>
        <v>50</v>
      </c>
      <c r="K50" s="1950">
        <f>IF(J50&lt;2000,COUNTIF($B$2:B50,B50),0)</f>
        <v>1</v>
      </c>
      <c r="L50" s="1426"/>
      <c r="M50" s="1502"/>
      <c r="O50" s="1502"/>
    </row>
    <row r="51" spans="1:15" s="1282" customFormat="1" ht="25.2" customHeight="1">
      <c r="A51" s="2147">
        <f>COUNTIF($K$1:K51,1)</f>
        <v>38</v>
      </c>
      <c r="B51" s="1953" t="str">
        <f>CT_tram!B2600</f>
        <v>B1650</v>
      </c>
      <c r="C51" s="1286">
        <f>CT_tram!C2600</f>
        <v>0</v>
      </c>
      <c r="D51" s="1954">
        <f>CT_tram!D2600</f>
        <v>0</v>
      </c>
      <c r="E51" s="2192">
        <f>CT_tram!E2600</f>
        <v>0</v>
      </c>
      <c r="F51" s="2197" t="str">
        <f>CT_tram!F2600</f>
        <v>Boulon 16x50+ 2 long đền vuông D18-50x50x3/Zn</v>
      </c>
      <c r="G51" s="2202" t="str">
        <f>CT_tram!G2600</f>
        <v>bộ</v>
      </c>
      <c r="H51" s="2202">
        <f>CT_tram!H2600</f>
        <v>8</v>
      </c>
      <c r="I51" s="2202">
        <f>CT_tram!I2600</f>
        <v>8</v>
      </c>
      <c r="J51" s="1949">
        <f>IFERROR(VLOOKUP(B51,DG!A:F,6,0),3000)</f>
        <v>50</v>
      </c>
      <c r="K51" s="1950">
        <f>IF(J51&lt;2000,COUNTIF($B$2:B51,B51),0)</f>
        <v>2</v>
      </c>
      <c r="L51" s="1422"/>
      <c r="M51" s="1502"/>
      <c r="O51" s="1502"/>
    </row>
    <row r="52" spans="1:15" s="1282" customFormat="1" ht="25.2" customHeight="1">
      <c r="A52" s="2147">
        <f>COUNTIF($K$1:K52,1)</f>
        <v>38</v>
      </c>
      <c r="B52" s="1953" t="str">
        <f>CT_tram!B2608</f>
        <v>B1650</v>
      </c>
      <c r="C52" s="1286">
        <f>CT_tram!C2608</f>
        <v>0</v>
      </c>
      <c r="D52" s="1954">
        <f>CT_tram!D2608</f>
        <v>0</v>
      </c>
      <c r="E52" s="1498">
        <f>CT_tram!E2608</f>
        <v>0</v>
      </c>
      <c r="F52" s="1955" t="str">
        <f>CT_tram!F2608</f>
        <v>Boulon 16x50+ 2 long đền vuông D18-50x50x3/Zn</v>
      </c>
      <c r="G52" s="1964" t="str">
        <f>CT_tram!G2608</f>
        <v>bộ</v>
      </c>
      <c r="H52" s="1965">
        <f>CT_tram!H2608</f>
        <v>2</v>
      </c>
      <c r="I52" s="1965">
        <f>CT_tram!I2608</f>
        <v>2</v>
      </c>
      <c r="J52" s="1949">
        <f>IFERROR(VLOOKUP(B52,DG!A:F,6,0),3000)</f>
        <v>50</v>
      </c>
      <c r="K52" s="1950">
        <f>IF(J52&lt;2000,COUNTIF($B$2:B52,B52),0)</f>
        <v>3</v>
      </c>
      <c r="L52" s="1426"/>
      <c r="M52" s="1502"/>
      <c r="O52" s="1502"/>
    </row>
    <row r="53" spans="1:15" s="1282" customFormat="1" ht="25.2" customHeight="1">
      <c r="A53" s="2147">
        <f>COUNTIF($K$1:K53,1)</f>
        <v>39</v>
      </c>
      <c r="B53" s="2227" t="str">
        <f>chitiet!B368</f>
        <v>B16650v</v>
      </c>
      <c r="C53" s="1960" t="str">
        <f>chitiet!C368</f>
        <v>x</v>
      </c>
      <c r="D53" s="1961">
        <f>chitiet!D368</f>
        <v>1</v>
      </c>
      <c r="E53" s="1962">
        <f>chitiet!E368</f>
        <v>0</v>
      </c>
      <c r="F53" s="1963" t="str">
        <f>chitiet!F368</f>
        <v>Boulon 16x650VRS+ 4 long đền vuông D18-50x50x3/Zn</v>
      </c>
      <c r="G53" s="2051" t="str">
        <f>chitiet!G368</f>
        <v>bộ</v>
      </c>
      <c r="H53" s="2052">
        <f>chitiet!H368</f>
        <v>1</v>
      </c>
      <c r="I53" s="2052">
        <f>chitiet!P368</f>
        <v>1</v>
      </c>
      <c r="J53" s="1949">
        <f>IFERROR(VLOOKUP(B53,DG!A:F,6,0),3000)</f>
        <v>50</v>
      </c>
      <c r="K53" s="1950">
        <f>IF(J53&lt;2000,COUNTIF($B$2:B53,B53),0)</f>
        <v>1</v>
      </c>
      <c r="L53" s="1426"/>
      <c r="M53" s="1969"/>
      <c r="N53" s="1970"/>
      <c r="O53" s="1969"/>
    </row>
    <row r="54" spans="1:15" s="1282" customFormat="1" ht="25.2" customHeight="1">
      <c r="A54" s="2147">
        <f>COUNTIF($K$1:K54,1)</f>
        <v>40</v>
      </c>
      <c r="B54" s="2227" t="str">
        <f>chitiet!B369</f>
        <v>B16750v</v>
      </c>
      <c r="C54" s="1960" t="str">
        <f>chitiet!C369</f>
        <v>x</v>
      </c>
      <c r="D54" s="1961">
        <f>chitiet!D369</f>
        <v>1</v>
      </c>
      <c r="E54" s="1962">
        <f>chitiet!E369</f>
        <v>0</v>
      </c>
      <c r="F54" s="1963" t="str">
        <f>chitiet!F369</f>
        <v>Boulon 16x750VRS+ 4 long đền vuông D18-50x50x3/Zn</v>
      </c>
      <c r="G54" s="2051" t="str">
        <f>chitiet!G369</f>
        <v>bộ</v>
      </c>
      <c r="H54" s="2052">
        <f>chitiet!H369</f>
        <v>1</v>
      </c>
      <c r="I54" s="2052">
        <f>chitiet!P369</f>
        <v>1</v>
      </c>
      <c r="J54" s="1949">
        <f>IFERROR(VLOOKUP(B54,DG!A:F,6,0),3000)</f>
        <v>50</v>
      </c>
      <c r="K54" s="1950">
        <f>IF(J54&lt;2000,COUNTIF($B$2:B54,B54),0)</f>
        <v>1</v>
      </c>
      <c r="L54" s="1426"/>
      <c r="M54" s="1502"/>
      <c r="O54" s="1502"/>
    </row>
    <row r="55" spans="1:15" s="1282" customFormat="1" ht="25.2" customHeight="1">
      <c r="A55" s="2147">
        <f>COUNTIF($K$1:K55,1)</f>
        <v>41</v>
      </c>
      <c r="B55" s="2227" t="str">
        <f>CT_tram!B2628</f>
        <v>BAKE</v>
      </c>
      <c r="C55" s="1960">
        <f>CT_tram!C2628</f>
        <v>0</v>
      </c>
      <c r="D55" s="1961">
        <f>CT_tram!D2628</f>
        <v>0</v>
      </c>
      <c r="E55" s="1962">
        <f>CT_tram!E2628</f>
        <v>0</v>
      </c>
      <c r="F55" s="1963" t="str">
        <f>CT_tram!F2628</f>
        <v xml:space="preserve">Bakelit 550x450 dầy 10mm </v>
      </c>
      <c r="G55" s="2051" t="str">
        <f>CT_tram!G2628</f>
        <v>cái</v>
      </c>
      <c r="H55" s="1965">
        <f>CT_tram!H2628</f>
        <v>1</v>
      </c>
      <c r="I55" s="1965">
        <f>CT_tram!I2628</f>
        <v>1</v>
      </c>
      <c r="J55" s="1949">
        <f>IFERROR(VLOOKUP(B55,DG!A:F,6,0),3000)</f>
        <v>50</v>
      </c>
      <c r="K55" s="1950">
        <f>IF(J55&lt;2000,COUNTIF($B$2:B55,B55),0)</f>
        <v>1</v>
      </c>
      <c r="L55" s="1426"/>
      <c r="M55" s="1502"/>
      <c r="O55" s="1502"/>
    </row>
    <row r="56" spans="1:15" s="1282" customFormat="1" ht="25.2" customHeight="1">
      <c r="A56" s="2147">
        <f>COUNTIF($K$1:K56,1)</f>
        <v>42</v>
      </c>
      <c r="B56" s="2227" t="str">
        <f>CT_tram!B2629</f>
        <v>BANG</v>
      </c>
      <c r="C56" s="1960">
        <f>CT_tram!C2629</f>
        <v>0</v>
      </c>
      <c r="D56" s="1961">
        <f>CT_tram!D2629</f>
        <v>0</v>
      </c>
      <c r="E56" s="2224">
        <f>CT_tram!E2629</f>
        <v>0</v>
      </c>
      <c r="F56" s="2225" t="str">
        <f>CT_tram!F2629</f>
        <v>Bảng tên trạm, bảng báo nguy hiểm + đinh vít</v>
      </c>
      <c r="G56" s="2226" t="str">
        <f>CT_tram!G2629</f>
        <v>cái</v>
      </c>
      <c r="H56" s="2226">
        <f>CT_tram!H2629</f>
        <v>1</v>
      </c>
      <c r="I56" s="2226">
        <f>CT_tram!I2629</f>
        <v>1</v>
      </c>
      <c r="J56" s="1949">
        <f>IFERROR(VLOOKUP(B56,DG!A:F,6,0),3000)</f>
        <v>50</v>
      </c>
      <c r="K56" s="1950">
        <f>IF(J56&lt;2000,COUNTIF($B$2:B56,B56),0)</f>
        <v>1</v>
      </c>
      <c r="L56" s="1422"/>
      <c r="M56" s="1502"/>
      <c r="O56" s="1502"/>
    </row>
    <row r="57" spans="1:15" s="1282" customFormat="1" ht="25.2" customHeight="1">
      <c r="A57" s="2147">
        <f>COUNTIF($K$1:K57,1)</f>
        <v>43</v>
      </c>
      <c r="B57" s="2227" t="str">
        <f>CT_tram!B2686</f>
        <v>BANGKEO</v>
      </c>
      <c r="C57" s="1960">
        <f>CT_tram!C2686</f>
        <v>0</v>
      </c>
      <c r="D57" s="1961">
        <f>CT_tram!D2686</f>
        <v>0</v>
      </c>
      <c r="E57" s="1962">
        <f>CT_tram!E2686</f>
        <v>0</v>
      </c>
      <c r="F57" s="1963" t="str">
        <f>CT_tram!F2686</f>
        <v>Băng keo cách điện</v>
      </c>
      <c r="G57" s="2051" t="str">
        <f>CT_tram!G2686</f>
        <v>cuộn</v>
      </c>
      <c r="H57" s="2052">
        <f>CT_tram!H2686</f>
        <v>1</v>
      </c>
      <c r="I57" s="2052">
        <f>CT_tram!I2686</f>
        <v>1</v>
      </c>
      <c r="J57" s="1949">
        <f>IFERROR(VLOOKUP(B57,DG!A:F,6,0),3000)</f>
        <v>50</v>
      </c>
      <c r="K57" s="1950">
        <f>IF(J57&lt;2000,COUNTIF($B$2:B57,B57),0)</f>
        <v>1</v>
      </c>
      <c r="L57" s="1426"/>
      <c r="M57" s="1502"/>
      <c r="O57" s="1502"/>
    </row>
    <row r="58" spans="1:15" s="1282" customFormat="1" ht="25.2" customHeight="1">
      <c r="A58" s="2147">
        <f>COUNTIF($K$1:K58,1)</f>
        <v>43</v>
      </c>
      <c r="B58" s="2227" t="str">
        <f>CT_tram!B2734</f>
        <v>BANGKEO</v>
      </c>
      <c r="C58" s="1960">
        <f>CT_tram!C2734</f>
        <v>0</v>
      </c>
      <c r="D58" s="1961">
        <f>CT_tram!D2734</f>
        <v>0</v>
      </c>
      <c r="E58" s="1962">
        <f>CT_tram!E2734</f>
        <v>0</v>
      </c>
      <c r="F58" s="1963" t="str">
        <f>CT_tram!F2734</f>
        <v>Băng keo cách điện</v>
      </c>
      <c r="G58" s="2051" t="str">
        <f>CT_tram!G2734</f>
        <v>cuộn</v>
      </c>
      <c r="H58" s="2052">
        <f>CT_tram!H2734</f>
        <v>1</v>
      </c>
      <c r="I58" s="2052">
        <f>CT_tram!I2734</f>
        <v>1</v>
      </c>
      <c r="J58" s="1949">
        <f>IFERROR(VLOOKUP(B58,DG!A:F,6,0),3000)</f>
        <v>50</v>
      </c>
      <c r="K58" s="1950">
        <f>IF(J58&lt;2000,COUNTIF($B$2:B58,B58),0)</f>
        <v>2</v>
      </c>
      <c r="L58" s="1422"/>
      <c r="M58" s="1502"/>
      <c r="O58" s="1502"/>
    </row>
    <row r="59" spans="1:15" s="1282" customFormat="1" ht="25.2" customHeight="1">
      <c r="A59" s="2147">
        <f>COUNTIF($K$1:K59,1)</f>
        <v>44</v>
      </c>
      <c r="B59" s="2227" t="str">
        <f>chitiet!B1905</f>
        <v>bangkeot</v>
      </c>
      <c r="C59" s="1960" t="str">
        <f>chitiet!C1905</f>
        <v>x</v>
      </c>
      <c r="D59" s="1961">
        <f>chitiet!D1905</f>
        <v>0</v>
      </c>
      <c r="E59" s="1962">
        <f>chitiet!E1905</f>
        <v>0</v>
      </c>
      <c r="F59" s="1963" t="str">
        <f>chitiet!F1905</f>
        <v>Băng keo cách điện trung thế</v>
      </c>
      <c r="G59" s="2051" t="str">
        <f>chitiet!G1905</f>
        <v>cuộn</v>
      </c>
      <c r="H59" s="2052">
        <f>chitiet!H1905</f>
        <v>1</v>
      </c>
      <c r="I59" s="2052">
        <f>chitiet!P1905</f>
        <v>1</v>
      </c>
      <c r="J59" s="1949">
        <f>IFERROR(VLOOKUP(B59,DG!A:F,6,0),3000)</f>
        <v>50</v>
      </c>
      <c r="K59" s="1950">
        <f>IF(J59&lt;2000,COUNTIF($B$2:B59,B59),0)</f>
        <v>1</v>
      </c>
      <c r="L59" s="1422"/>
      <c r="M59" s="1502"/>
      <c r="O59" s="1502"/>
    </row>
    <row r="60" spans="1:15" s="1282" customFormat="1" ht="25.2" customHeight="1">
      <c r="A60" s="2147">
        <f>COUNTIF($K$1:K60,1)</f>
        <v>45</v>
      </c>
      <c r="B60" s="2227" t="str">
        <f>chitiet!B1900</f>
        <v>batlA</v>
      </c>
      <c r="C60" s="1960" t="str">
        <f>chitiet!C1900</f>
        <v>x</v>
      </c>
      <c r="D60" s="1961">
        <f>chitiet!D1900</f>
        <v>0</v>
      </c>
      <c r="E60" s="1962">
        <f>chitiet!E1900</f>
        <v>0</v>
      </c>
      <c r="F60" s="1963" t="str">
        <f>chitiet!F1900</f>
        <v>Bass LI bắt LA</v>
      </c>
      <c r="G60" s="2051" t="str">
        <f>chitiet!G1900</f>
        <v>Bộ</v>
      </c>
      <c r="H60" s="2052">
        <f>chitiet!H1900</f>
        <v>3</v>
      </c>
      <c r="I60" s="2052">
        <f>chitiet!P1900</f>
        <v>3</v>
      </c>
      <c r="J60" s="1949">
        <f>IFERROR(VLOOKUP(B60,DG!A:F,6,0),3000)</f>
        <v>50</v>
      </c>
      <c r="K60" s="1950">
        <f>IF(J60&lt;2000,COUNTIF($B$2:B60,B60),0)</f>
        <v>1</v>
      </c>
      <c r="L60" s="1426"/>
      <c r="M60" s="1502"/>
      <c r="O60" s="1502"/>
    </row>
    <row r="61" spans="1:15" s="1282" customFormat="1" ht="25.2" customHeight="1">
      <c r="A61" s="2147">
        <f>COUNTIF($K$1:K61,1)</f>
        <v>46</v>
      </c>
      <c r="B61" s="2279" t="str">
        <f>chitiet!B1899</f>
        <v>batli</v>
      </c>
      <c r="C61" s="1952" t="str">
        <f>chitiet!C1899</f>
        <v>x</v>
      </c>
      <c r="D61" s="1956">
        <f>chitiet!D1899</f>
        <v>0</v>
      </c>
      <c r="E61" s="1957">
        <f>chitiet!E1899</f>
        <v>0</v>
      </c>
      <c r="F61" s="1958" t="str">
        <f>chitiet!F1899</f>
        <v>Bass LI bắt FCO</v>
      </c>
      <c r="G61" s="2053" t="str">
        <f>chitiet!G1899</f>
        <v>Bộ</v>
      </c>
      <c r="H61" s="2052">
        <f>chitiet!H1899</f>
        <v>3</v>
      </c>
      <c r="I61" s="2052">
        <f>chitiet!P1899</f>
        <v>3</v>
      </c>
      <c r="J61" s="1949">
        <f>IFERROR(VLOOKUP(B61,DG!A:F,6,0),3000)</f>
        <v>50</v>
      </c>
      <c r="K61" s="1950">
        <f>IF(J61&lt;2000,COUNTIF($B$2:B61,B61),0)</f>
        <v>1</v>
      </c>
      <c r="L61" s="1426"/>
      <c r="M61" s="1502"/>
      <c r="O61" s="1502"/>
    </row>
    <row r="62" spans="1:15" s="1282" customFormat="1" ht="25.2" customHeight="1">
      <c r="A62" s="2147">
        <f>COUNTIF($K$1:K62,1)</f>
        <v>47</v>
      </c>
      <c r="B62" s="2227" t="str">
        <f>CT_tram!B2591</f>
        <v>batLL</v>
      </c>
      <c r="C62" s="1960">
        <f>CT_tram!C2591</f>
        <v>0</v>
      </c>
      <c r="D62" s="1961">
        <f>CT_tram!D2591</f>
        <v>0</v>
      </c>
      <c r="E62" s="1962">
        <f>CT_tram!E2591</f>
        <v>0</v>
      </c>
      <c r="F62" s="1963" t="str">
        <f>CT_tram!F2591</f>
        <v>Bass LL bắt FCO, LA</v>
      </c>
      <c r="G62" s="2051" t="str">
        <f>CT_tram!G2591</f>
        <v>bộ</v>
      </c>
      <c r="H62" s="2052">
        <f>CT_tram!H2591</f>
        <v>3</v>
      </c>
      <c r="I62" s="2052">
        <f>CT_tram!I2591</f>
        <v>3</v>
      </c>
      <c r="J62" s="1949">
        <f>IFERROR(VLOOKUP(B62,DG!A:F,6,0),3000)</f>
        <v>50</v>
      </c>
      <c r="K62" s="1950">
        <f>IF(J62&lt;2000,COUNTIF($B$2:B62,B62),0)</f>
        <v>1</v>
      </c>
      <c r="L62" s="1426"/>
      <c r="M62" s="1502"/>
      <c r="O62" s="1502"/>
    </row>
    <row r="63" spans="1:15" s="1282" customFormat="1" ht="25.2" customHeight="1">
      <c r="A63" s="2147">
        <f>COUNTIF($K$1:K63,1)</f>
        <v>48</v>
      </c>
      <c r="B63" s="2227" t="str">
        <f>chitiet!B1160</f>
        <v>BM16250</v>
      </c>
      <c r="C63" s="1960" t="str">
        <f>chitiet!C1160</f>
        <v>x</v>
      </c>
      <c r="D63" s="1961">
        <f>chitiet!D1160</f>
        <v>1</v>
      </c>
      <c r="E63" s="1962">
        <f>chitiet!E1160</f>
        <v>0</v>
      </c>
      <c r="F63" s="1963" t="str">
        <f>chitiet!F1160</f>
        <v>Boulon mắt 16x250+ 2 long đền vuông D18-50x50x3/Zn</v>
      </c>
      <c r="G63" s="2051" t="str">
        <f>chitiet!G1160</f>
        <v>bộ</v>
      </c>
      <c r="H63" s="2052">
        <f>chitiet!H1160</f>
        <v>1</v>
      </c>
      <c r="I63" s="2052">
        <f>chitiet!P1160</f>
        <v>1</v>
      </c>
      <c r="J63" s="1949">
        <f>IFERROR(VLOOKUP(B63,DG!A:F,6,0),3000)</f>
        <v>50</v>
      </c>
      <c r="K63" s="1950">
        <f>IF(J63&lt;2000,COUNTIF($B$2:B63,B63),0)</f>
        <v>1</v>
      </c>
      <c r="L63" s="1426"/>
      <c r="M63" s="1502"/>
      <c r="O63" s="1502"/>
    </row>
    <row r="64" spans="1:15" s="1282" customFormat="1" ht="25.2" customHeight="1">
      <c r="A64" s="2147">
        <f>COUNTIF($K$1:K64,1)</f>
        <v>49</v>
      </c>
      <c r="B64" s="2227" t="str">
        <f>chitiet!B1785</f>
        <v>BM16300</v>
      </c>
      <c r="C64" s="1960" t="str">
        <f>chitiet!C1785</f>
        <v>x</v>
      </c>
      <c r="D64" s="1961">
        <f>chitiet!D1785</f>
        <v>1</v>
      </c>
      <c r="E64" s="1962">
        <f>chitiet!E1785</f>
        <v>0</v>
      </c>
      <c r="F64" s="1963" t="str">
        <f>chitiet!F1785</f>
        <v>Boulon mắt 16x300+ 2 long đền vuông D18-50x50x3/Zn</v>
      </c>
      <c r="G64" s="2051" t="str">
        <f>chitiet!G1785</f>
        <v>bộ</v>
      </c>
      <c r="H64" s="2052">
        <f>chitiet!H1785</f>
        <v>2</v>
      </c>
      <c r="I64" s="2052">
        <f>chitiet!P1785</f>
        <v>2</v>
      </c>
      <c r="J64" s="1949">
        <f>IFERROR(VLOOKUP(B64,DG!A:F,6,0),3000)</f>
        <v>50</v>
      </c>
      <c r="K64" s="1950">
        <f>IF(J64&lt;2000,COUNTIF($B$2:B64,B64),0)</f>
        <v>1</v>
      </c>
      <c r="L64" s="1426"/>
      <c r="M64" s="1502"/>
      <c r="O64" s="1502"/>
    </row>
    <row r="65" spans="1:15" s="1282" customFormat="1" ht="25.2" customHeight="1">
      <c r="A65" s="2147">
        <f>COUNTIF($K$1:K65,1)</f>
        <v>50</v>
      </c>
      <c r="B65" s="1953" t="str">
        <f>chitiet!B1902</f>
        <v>CCĐfco</v>
      </c>
      <c r="C65" s="1286" t="str">
        <f>chitiet!C1902</f>
        <v>x</v>
      </c>
      <c r="D65" s="1954">
        <f>chitiet!D1902</f>
        <v>0</v>
      </c>
      <c r="E65" s="2192">
        <f>chitiet!E1902</f>
        <v>0</v>
      </c>
      <c r="F65" s="2197" t="str">
        <f>chitiet!F1902</f>
        <v>Chụp cách điện đầu cực FCO (trên + dưới)</v>
      </c>
      <c r="G65" s="2202" t="str">
        <f>chitiet!G1902</f>
        <v>bộ</v>
      </c>
      <c r="H65" s="2202">
        <f>chitiet!H1902</f>
        <v>3</v>
      </c>
      <c r="I65" s="2202">
        <f>chitiet!P1902</f>
        <v>3</v>
      </c>
      <c r="J65" s="1949">
        <f>IFERROR(VLOOKUP(B65,DG!A:F,6,0),3000)</f>
        <v>50</v>
      </c>
      <c r="K65" s="1950">
        <f>IF(J65&lt;2000,COUNTIF($B$2:B65,B65),0)</f>
        <v>1</v>
      </c>
      <c r="L65" s="1426"/>
      <c r="M65" s="1502"/>
      <c r="O65" s="1502"/>
    </row>
    <row r="66" spans="1:15" s="1282" customFormat="1" ht="25.2" customHeight="1">
      <c r="A66" s="2147">
        <f>COUNTIF($K$1:K66,1)</f>
        <v>51</v>
      </c>
      <c r="B66" s="2279" t="str">
        <f>chitiet!B1903</f>
        <v>CCĐla</v>
      </c>
      <c r="C66" s="1952" t="str">
        <f>chitiet!C1903</f>
        <v>x</v>
      </c>
      <c r="D66" s="1956">
        <f>chitiet!D1903</f>
        <v>0</v>
      </c>
      <c r="E66" s="1957">
        <f>chitiet!E1903</f>
        <v>0</v>
      </c>
      <c r="F66" s="1958" t="str">
        <f>chitiet!F1903</f>
        <v>Chụp cách điện đầu cực LA</v>
      </c>
      <c r="G66" s="2051" t="str">
        <f>chitiet!G1903</f>
        <v>cái</v>
      </c>
      <c r="H66" s="2052">
        <f>chitiet!H1903</f>
        <v>3</v>
      </c>
      <c r="I66" s="2052">
        <f>chitiet!P1903</f>
        <v>3</v>
      </c>
      <c r="J66" s="1949">
        <f>IFERROR(VLOOKUP(B66,DG!A:F,6,0),3000)</f>
        <v>50</v>
      </c>
      <c r="K66" s="1950">
        <f>IF(J66&lt;2000,COUNTIF($B$2:B66,B66),0)</f>
        <v>1</v>
      </c>
      <c r="L66" s="1426"/>
      <c r="M66" s="1502"/>
      <c r="O66" s="1502"/>
    </row>
    <row r="67" spans="1:15" s="1282" customFormat="1" ht="25.2" customHeight="1">
      <c r="A67" s="2147">
        <f>COUNTIF($K$1:K67,1)</f>
        <v>52</v>
      </c>
      <c r="B67" s="2227" t="str">
        <f>CT_tram!B2737</f>
        <v>CD320</v>
      </c>
      <c r="C67" s="1960">
        <f>CT_tram!C2737</f>
        <v>0</v>
      </c>
      <c r="D67" s="1961">
        <f>CT_tram!D2737</f>
        <v>0</v>
      </c>
      <c r="E67" s="1962">
        <f>CT_tram!E2737</f>
        <v>0</v>
      </c>
      <c r="F67" s="1963" t="str">
        <f>CT_tram!F2737</f>
        <v>Cổ dê CDĐKĐT( bắt thùng điện kế)</v>
      </c>
      <c r="G67" s="2051" t="str">
        <f>CT_tram!G2737</f>
        <v>bộ</v>
      </c>
      <c r="H67" s="2052">
        <f>CT_tram!H2737</f>
        <v>1</v>
      </c>
      <c r="I67" s="2052">
        <f>CT_tram!I2737</f>
        <v>1</v>
      </c>
      <c r="J67" s="1949">
        <f>IFERROR(VLOOKUP(B67,DG!A:F,6,0),3000)</f>
        <v>50</v>
      </c>
      <c r="K67" s="1950">
        <f>IF(J67&lt;2000,COUNTIF($B$2:B67,B67),0)</f>
        <v>1</v>
      </c>
      <c r="L67" s="1426"/>
      <c r="M67" s="1502"/>
      <c r="O67" s="1502"/>
    </row>
    <row r="68" spans="1:15" s="1282" customFormat="1" ht="25.2" customHeight="1">
      <c r="A68" s="2147">
        <f>COUNTIF($K$1:K68,1)</f>
        <v>53</v>
      </c>
      <c r="B68" s="1953" t="str">
        <f>CT_tram!B2730</f>
        <v>CD42t</v>
      </c>
      <c r="C68" s="1286">
        <f>CT_tram!C2730</f>
        <v>0</v>
      </c>
      <c r="D68" s="1954">
        <f>CT_tram!D2730</f>
        <v>0</v>
      </c>
      <c r="E68" s="2192">
        <f>CT_tram!E2730</f>
        <v>0</v>
      </c>
      <c r="F68" s="2197" t="str">
        <f>CT_tram!F2730</f>
        <v>Cổ dê giữ ống PVC D42</v>
      </c>
      <c r="G68" s="2202" t="str">
        <f>CT_tram!G2730</f>
        <v>bộ</v>
      </c>
      <c r="H68" s="2202">
        <f>CT_tram!H2730</f>
        <v>4</v>
      </c>
      <c r="I68" s="2202">
        <f>CT_tram!I2730</f>
        <v>4</v>
      </c>
      <c r="J68" s="1949">
        <f>IFERROR(VLOOKUP(B68,DG!A:F,6,0),3000)</f>
        <v>50</v>
      </c>
      <c r="K68" s="1950">
        <f>IF(J68&lt;2000,COUNTIF($B$2:B68,B68),0)</f>
        <v>1</v>
      </c>
      <c r="L68" s="1422"/>
      <c r="M68" s="1502"/>
      <c r="O68" s="1502"/>
    </row>
    <row r="69" spans="1:15" s="1282" customFormat="1" ht="25.2" customHeight="1">
      <c r="A69" s="2147">
        <f>COUNTIF($K$1:K69,1)</f>
        <v>54</v>
      </c>
      <c r="B69" s="1953" t="str">
        <f>CT_tram!B2681</f>
        <v>CHCOS240</v>
      </c>
      <c r="C69" s="1286">
        <f>CT_tram!C2681</f>
        <v>0</v>
      </c>
      <c r="D69" s="1954">
        <f>CT_tram!D2681</f>
        <v>0</v>
      </c>
      <c r="E69" s="1498">
        <f>CT_tram!E2681</f>
        <v>0</v>
      </c>
      <c r="F69" s="1955" t="str">
        <f>CT_tram!F2681</f>
        <v>Chụp đầu cosse  240mm2</v>
      </c>
      <c r="G69" s="1964" t="str">
        <f>CT_tram!G2681</f>
        <v>cái</v>
      </c>
      <c r="H69" s="1965">
        <f>CT_tram!H2681</f>
        <v>28</v>
      </c>
      <c r="I69" s="1965">
        <f>CT_tram!I2681</f>
        <v>28</v>
      </c>
      <c r="J69" s="1949">
        <f>IFERROR(VLOOKUP(B69,DG!A:F,6,0),3000)</f>
        <v>50</v>
      </c>
      <c r="K69" s="1950">
        <f>IF(J69&lt;2000,COUNTIF($B$2:B69,B69),0)</f>
        <v>1</v>
      </c>
      <c r="L69" s="1426"/>
      <c r="M69" s="1502"/>
      <c r="O69" s="1502"/>
    </row>
    <row r="70" spans="1:15" s="1282" customFormat="1" ht="25.2" customHeight="1">
      <c r="A70" s="2147">
        <f>COUNTIF($K$1:K70,1)</f>
        <v>55</v>
      </c>
      <c r="B70" s="2227" t="str">
        <f>CT_tram!B2553</f>
        <v>chi40k</v>
      </c>
      <c r="C70" s="1960">
        <f>CT_tram!C2553</f>
        <v>0</v>
      </c>
      <c r="D70" s="1961">
        <f>CT_tram!D2553</f>
        <v>3</v>
      </c>
      <c r="E70" s="1962">
        <f>CT_tram!E2553</f>
        <v>0</v>
      </c>
      <c r="F70" s="1963" t="str">
        <f>CT_tram!F2553</f>
        <v>Dây chảy 40K</v>
      </c>
      <c r="G70" s="2051" t="str">
        <f>CT_tram!G2553</f>
        <v>Sợi</v>
      </c>
      <c r="H70" s="2052">
        <f>CT_tram!H2553</f>
        <v>3</v>
      </c>
      <c r="I70" s="2052">
        <f>CT_tram!I2553</f>
        <v>3</v>
      </c>
      <c r="J70" s="1949">
        <f>IFERROR(VLOOKUP(B70,DG!A:F,6,0),3000)</f>
        <v>50</v>
      </c>
      <c r="K70" s="1950">
        <f>IF(J70&lt;2000,COUNTIF($B$2:B70,B70),0)</f>
        <v>1</v>
      </c>
      <c r="L70" s="1968"/>
      <c r="M70" s="1502"/>
      <c r="O70" s="1502"/>
    </row>
    <row r="71" spans="1:15" s="1282" customFormat="1" ht="25.2" customHeight="1">
      <c r="A71" s="2147">
        <f>COUNTIF($K$1:K71,1)</f>
        <v>56</v>
      </c>
      <c r="B71" s="2227" t="str">
        <f>chitiet!B2277</f>
        <v>chi50k</v>
      </c>
      <c r="C71" s="1960" t="str">
        <f>chitiet!C2277</f>
        <v>x</v>
      </c>
      <c r="D71" s="1961">
        <f>chitiet!D2277</f>
        <v>3</v>
      </c>
      <c r="E71" s="2224">
        <f>chitiet!E2277</f>
        <v>0</v>
      </c>
      <c r="F71" s="2225" t="str">
        <f>chitiet!F2277</f>
        <v>Dây chảy 50K</v>
      </c>
      <c r="G71" s="2226" t="str">
        <f>chitiet!G2277</f>
        <v>Sợi</v>
      </c>
      <c r="H71" s="2226">
        <f>chitiet!H2277</f>
        <v>3</v>
      </c>
      <c r="I71" s="2226">
        <f>chitiet!$P$2277</f>
        <v>3</v>
      </c>
      <c r="J71" s="1949">
        <f>IFERROR(VLOOKUP(B71,DG!A:F,6,0),3000)</f>
        <v>50</v>
      </c>
      <c r="K71" s="1950">
        <f>IF(J71&lt;2000,COUNTIF($B$2:B71,B71),0)</f>
        <v>1</v>
      </c>
      <c r="L71" s="1422"/>
      <c r="M71" s="1502"/>
      <c r="O71" s="1502"/>
    </row>
    <row r="72" spans="1:15" s="1282" customFormat="1" ht="25.2" customHeight="1">
      <c r="A72" s="2147">
        <f>COUNTIF($K$1:K72,1)</f>
        <v>57</v>
      </c>
      <c r="B72" s="2227" t="str">
        <f>chitiet!B1096</f>
        <v>COM110x800x5-2,4</v>
      </c>
      <c r="C72" s="1960" t="str">
        <f>chitiet!C1096</f>
        <v>x</v>
      </c>
      <c r="D72" s="1961">
        <f>chitiet!D1096</f>
        <v>1</v>
      </c>
      <c r="E72" s="1962">
        <f>chitiet!E1096</f>
        <v>0</v>
      </c>
      <c r="F72" s="1963" t="str">
        <f>chitiet!F1096</f>
        <v>Xà composite 110x800x5 dài 2,4m</v>
      </c>
      <c r="G72" s="2051" t="str">
        <f>chitiet!G1096</f>
        <v>cái</v>
      </c>
      <c r="H72" s="2052">
        <f>chitiet!H1096</f>
        <v>1</v>
      </c>
      <c r="I72" s="2052">
        <f>chitiet!P1096</f>
        <v>1</v>
      </c>
      <c r="J72" s="1949">
        <f>IFERROR(VLOOKUP(B72,DG!A:F,6,0),3000)</f>
        <v>50</v>
      </c>
      <c r="K72" s="1950">
        <f>IF(J72&lt;2000,COUNTIF($B$2:B72,B72),0)</f>
        <v>1</v>
      </c>
      <c r="L72" s="1426"/>
      <c r="M72" s="1502"/>
      <c r="O72" s="1502"/>
    </row>
    <row r="73" spans="1:15" s="1282" customFormat="1" ht="25.2" customHeight="1">
      <c r="A73" s="2147">
        <f>COUNTIF($K$1:K73,1)</f>
        <v>57</v>
      </c>
      <c r="B73" s="2227" t="str">
        <f>CT_tram!B2589</f>
        <v>COM110x800x5-2,4</v>
      </c>
      <c r="C73" s="1960">
        <f>CT_tram!C2589</f>
        <v>0</v>
      </c>
      <c r="D73" s="1961">
        <f>CT_tram!D2589</f>
        <v>0</v>
      </c>
      <c r="E73" s="1962">
        <f>CT_tram!E2589</f>
        <v>0</v>
      </c>
      <c r="F73" s="1963" t="str">
        <f>CT_tram!F2589</f>
        <v>Xà composite 110x800x5 dài 2,4m</v>
      </c>
      <c r="G73" s="1964" t="str">
        <f>CT_tram!G2589</f>
        <v>cái</v>
      </c>
      <c r="H73" s="1965">
        <f>CT_tram!H2589</f>
        <v>1</v>
      </c>
      <c r="I73" s="1965">
        <f>CT_tram!I2589</f>
        <v>1</v>
      </c>
      <c r="J73" s="1949">
        <f>IFERROR(VLOOKUP(B73,DG!A:F,6,0),3000)</f>
        <v>50</v>
      </c>
      <c r="K73" s="1950">
        <f>IF(J73&lt;2000,COUNTIF($B$2:B73,B73),0)</f>
        <v>2</v>
      </c>
      <c r="L73" s="1426"/>
      <c r="M73" s="1502"/>
      <c r="O73" s="1502"/>
    </row>
    <row r="74" spans="1:15" s="1282" customFormat="1" ht="25.2" customHeight="1">
      <c r="A74" s="2147">
        <f>COUNTIF($K$1:K74,1)</f>
        <v>58</v>
      </c>
      <c r="B74" s="2281" t="str">
        <f>chitiet!B1098</f>
        <v>com40x10x920</v>
      </c>
      <c r="C74" s="2056" t="str">
        <f>chitiet!C1098</f>
        <v>x</v>
      </c>
      <c r="D74" s="2057">
        <f>chitiet!D1098</f>
        <v>2</v>
      </c>
      <c r="E74" s="1962">
        <f>chitiet!E1098</f>
        <v>0</v>
      </c>
      <c r="F74" s="1963" t="str">
        <f>chitiet!F1098</f>
        <v>Chống composite 40x10x920</v>
      </c>
      <c r="G74" s="2051" t="str">
        <f>chitiet!G1098</f>
        <v>cái</v>
      </c>
      <c r="H74" s="2052">
        <f>chitiet!H1098</f>
        <v>2</v>
      </c>
      <c r="I74" s="2052">
        <f>chitiet!P1098</f>
        <v>2</v>
      </c>
      <c r="J74" s="1949">
        <f>IFERROR(VLOOKUP(B74,DG!A:F,6,0),3000)</f>
        <v>50</v>
      </c>
      <c r="K74" s="1950">
        <f>IF(J74&lt;2000,COUNTIF($B$2:B74,B74),0)</f>
        <v>1</v>
      </c>
      <c r="L74" s="1968"/>
      <c r="M74" s="1502"/>
      <c r="O74" s="1502"/>
    </row>
    <row r="75" spans="1:15" s="1282" customFormat="1" ht="25.2" customHeight="1">
      <c r="A75" s="2147">
        <f>COUNTIF($K$1:K75,1)</f>
        <v>58</v>
      </c>
      <c r="B75" s="1953" t="str">
        <f>CT_tram!B2590</f>
        <v>com40x10x920</v>
      </c>
      <c r="C75" s="1286">
        <f>CT_tram!C2590</f>
        <v>0</v>
      </c>
      <c r="D75" s="1954">
        <f>CT_tram!D2590</f>
        <v>0</v>
      </c>
      <c r="E75" s="2192">
        <f>CT_tram!E2590</f>
        <v>0</v>
      </c>
      <c r="F75" s="2197" t="str">
        <f>CT_tram!F2590</f>
        <v>Chống composite 40x10x920</v>
      </c>
      <c r="G75" s="2202" t="str">
        <f>CT_tram!G2590</f>
        <v>cái</v>
      </c>
      <c r="H75" s="2202">
        <f>CT_tram!H2590</f>
        <v>2</v>
      </c>
      <c r="I75" s="2202">
        <f>CT_tram!I2590</f>
        <v>2</v>
      </c>
      <c r="J75" s="1949">
        <f>IFERROR(VLOOKUP(B75,DG!A:F,6,0),3000)</f>
        <v>50</v>
      </c>
      <c r="K75" s="1950">
        <f>IF(J75&lt;2000,COUNTIF($B$2:B75,B75),0)</f>
        <v>2</v>
      </c>
      <c r="L75" s="1422"/>
      <c r="M75" s="1502"/>
      <c r="O75" s="1502"/>
    </row>
    <row r="76" spans="1:15" s="1282" customFormat="1" ht="25.2" customHeight="1">
      <c r="A76" s="2147">
        <f>COUNTIF($K$1:K76,1)</f>
        <v>59</v>
      </c>
      <c r="B76" s="1953" t="str">
        <f>CT_tram!B2680</f>
        <v>COS240</v>
      </c>
      <c r="C76" s="1286">
        <f>CT_tram!C2680</f>
        <v>0</v>
      </c>
      <c r="D76" s="1954">
        <f>CT_tram!D2680</f>
        <v>0</v>
      </c>
      <c r="E76" s="2192" t="str">
        <f>CT_tram!E2680</f>
        <v>D4.5008</v>
      </c>
      <c r="F76" s="2197" t="str">
        <f>CT_tram!F2680</f>
        <v>Đầu cosse ép Cu 240mm2</v>
      </c>
      <c r="G76" s="2202" t="str">
        <f>CT_tram!G2680</f>
        <v>cái</v>
      </c>
      <c r="H76" s="2202">
        <f>CT_tram!H2680</f>
        <v>28</v>
      </c>
      <c r="I76" s="2202">
        <f>CT_tram!I2680</f>
        <v>28</v>
      </c>
      <c r="J76" s="1949">
        <f>IFERROR(VLOOKUP(B76,DG!A:F,6,0),3000)</f>
        <v>50</v>
      </c>
      <c r="K76" s="1950">
        <f>IF(J76&lt;2000,COUNTIF($B$2:B76,B76),0)</f>
        <v>1</v>
      </c>
      <c r="L76" s="1422"/>
      <c r="M76" s="1502"/>
      <c r="O76" s="1502"/>
    </row>
    <row r="77" spans="1:15" s="1282" customFormat="1" ht="25.2" customHeight="1">
      <c r="A77" s="2147">
        <f>COUNTIF($K$1:K77,1)</f>
        <v>60</v>
      </c>
      <c r="B77" s="2227" t="str">
        <f>chitiet!B1863</f>
        <v>cose50</v>
      </c>
      <c r="C77" s="1960" t="str">
        <f>chitiet!C1863</f>
        <v>x</v>
      </c>
      <c r="D77" s="1961">
        <f>chitiet!D1863</f>
        <v>6</v>
      </c>
      <c r="E77" s="1962" t="str">
        <f>chitiet!E1863</f>
        <v>03.4002</v>
      </c>
      <c r="F77" s="1963" t="str">
        <f>chitiet!F1863</f>
        <v>Đầu cosse ép Cu-Al 50mm2</v>
      </c>
      <c r="G77" s="2051" t="str">
        <f>chitiet!G1863</f>
        <v>cái</v>
      </c>
      <c r="H77" s="2052">
        <f>chitiet!H1863</f>
        <v>6</v>
      </c>
      <c r="I77" s="2052">
        <f>chitiet!$P$1863</f>
        <v>6</v>
      </c>
      <c r="J77" s="1949">
        <f>IFERROR(VLOOKUP(B77,DG!A:F,6,0),3000)</f>
        <v>50</v>
      </c>
      <c r="K77" s="1950">
        <f>IF(J77&lt;2000,COUNTIF($B$2:B77,B77),0)</f>
        <v>1</v>
      </c>
      <c r="L77" s="1426"/>
      <c r="M77" s="1502"/>
      <c r="O77" s="1502"/>
    </row>
    <row r="78" spans="1:15" s="1282" customFormat="1" ht="25.2" customHeight="1">
      <c r="A78" s="2147">
        <f>COUNTIF($K$1:K78,1)</f>
        <v>60</v>
      </c>
      <c r="B78" s="1953" t="str">
        <f>chitiet!B1879</f>
        <v>cose50</v>
      </c>
      <c r="C78" s="1286" t="str">
        <f>chitiet!C1879</f>
        <v>x</v>
      </c>
      <c r="D78" s="1954">
        <f>chitiet!D1879</f>
        <v>3</v>
      </c>
      <c r="E78" s="1498">
        <f>chitiet!E1879</f>
        <v>0</v>
      </c>
      <c r="F78" s="1955" t="str">
        <f>chitiet!F1879</f>
        <v>Đầu cosse ép Cu-Al 50mm2</v>
      </c>
      <c r="G78" s="1964" t="str">
        <f>chitiet!G1879</f>
        <v>cái</v>
      </c>
      <c r="H78" s="1965">
        <f>chitiet!H1879</f>
        <v>6</v>
      </c>
      <c r="I78" s="1965">
        <f>chitiet!$P$1879</f>
        <v>6</v>
      </c>
      <c r="J78" s="1949">
        <f>IFERROR(VLOOKUP(B78,DG!A:F,6,0),3000)</f>
        <v>50</v>
      </c>
      <c r="K78" s="1950">
        <f>IF(J78&lt;2000,COUNTIF($B$2:B78,B78),0)</f>
        <v>2</v>
      </c>
      <c r="L78" s="1426"/>
      <c r="M78" s="1502"/>
      <c r="O78" s="1502"/>
    </row>
    <row r="79" spans="1:15" s="1282" customFormat="1" ht="25.2" customHeight="1">
      <c r="A79" s="2147">
        <f>COUNTIF($K$1:K79,1)</f>
        <v>61</v>
      </c>
      <c r="B79" s="2227" t="str">
        <f>chitiet!B1797</f>
        <v>CSD</v>
      </c>
      <c r="C79" s="1960" t="str">
        <f>chitiet!C1797</f>
        <v>x</v>
      </c>
      <c r="D79" s="1961">
        <f>chitiet!D1797</f>
        <v>1</v>
      </c>
      <c r="E79" s="1962">
        <f>chitiet!E1797</f>
        <v>0</v>
      </c>
      <c r="F79" s="1963" t="str">
        <f>chitiet!F1797</f>
        <v>Chân sứ đứng D20</v>
      </c>
      <c r="G79" s="2051" t="str">
        <f>chitiet!G1797</f>
        <v>cái</v>
      </c>
      <c r="H79" s="2052">
        <f>chitiet!H1797</f>
        <v>8</v>
      </c>
      <c r="I79" s="2052">
        <f>chitiet!P1797</f>
        <v>8</v>
      </c>
      <c r="J79" s="1949">
        <f>IFERROR(VLOOKUP(B79,DG!A:F,6,0),3000)</f>
        <v>50</v>
      </c>
      <c r="K79" s="1950">
        <f>IF(J79&lt;2000,COUNTIF($B$2:B79,B79),0)</f>
        <v>1</v>
      </c>
      <c r="L79" s="1426"/>
      <c r="M79" s="1502"/>
      <c r="O79" s="1502"/>
    </row>
    <row r="80" spans="1:15" s="1282" customFormat="1" ht="25.2" customHeight="1">
      <c r="A80" s="2147">
        <f>COUNTIF($K$1:K80,1)</f>
        <v>61</v>
      </c>
      <c r="B80" s="2281" t="str">
        <f>CT_tram!B2673</f>
        <v>CSD</v>
      </c>
      <c r="C80" s="2056">
        <f>CT_tram!C2673</f>
        <v>0</v>
      </c>
      <c r="D80" s="2057">
        <f>CT_tram!D2673</f>
        <v>0</v>
      </c>
      <c r="E80" s="1962">
        <f>CT_tram!E2673</f>
        <v>0</v>
      </c>
      <c r="F80" s="1963" t="str">
        <f>CT_tram!F2673</f>
        <v>Chân sứ đứng D20</v>
      </c>
      <c r="G80" s="2051" t="str">
        <f>CT_tram!G2673</f>
        <v>cái</v>
      </c>
      <c r="H80" s="2052">
        <f>CT_tram!H2673</f>
        <v>9</v>
      </c>
      <c r="I80" s="2052">
        <f>CT_tram!I2673</f>
        <v>9</v>
      </c>
      <c r="J80" s="1949">
        <f>IFERROR(VLOOKUP(B80,DG!A:F,6,0),3000)</f>
        <v>50</v>
      </c>
      <c r="K80" s="1950">
        <f>IF(J80&lt;2000,COUNTIF($B$2:B80,B80),0)</f>
        <v>2</v>
      </c>
      <c r="L80" s="2212"/>
      <c r="M80" s="1502"/>
      <c r="O80" s="1502"/>
    </row>
    <row r="81" spans="1:15" s="1282" customFormat="1" ht="25.2" customHeight="1">
      <c r="A81" s="2147">
        <f>COUNTIF($K$1:K81,1)</f>
        <v>62</v>
      </c>
      <c r="B81" s="2227" t="str">
        <f>chitiet!B614</f>
        <v>CTD+K</v>
      </c>
      <c r="C81" s="1960" t="str">
        <f>chitiet!C614</f>
        <v>x</v>
      </c>
      <c r="D81" s="1961">
        <f>chitiet!D614</f>
        <v>1</v>
      </c>
      <c r="E81" s="1962">
        <f>chitiet!E614</f>
        <v>0</v>
      </c>
      <c r="F81" s="1963" t="str">
        <f>chitiet!F614</f>
        <v>Cọc tiếp đất Þ 16- 2,4m + kẹp cọc mạ đồng</v>
      </c>
      <c r="G81" s="2053" t="str">
        <f>chitiet!G614</f>
        <v>bộ</v>
      </c>
      <c r="H81" s="2054">
        <f>chitiet!H614</f>
        <v>1</v>
      </c>
      <c r="I81" s="1965">
        <f>chitiet!P614</f>
        <v>1</v>
      </c>
      <c r="J81" s="1949">
        <f>IFERROR(VLOOKUP(B81,DG!A:F,6,0),3000)</f>
        <v>50</v>
      </c>
      <c r="K81" s="1950">
        <f>IF(J81&lt;2000,COUNTIF($B$2:B81,B81),0)</f>
        <v>1</v>
      </c>
      <c r="L81" s="1426"/>
      <c r="M81" s="1502"/>
      <c r="O81" s="1502"/>
    </row>
    <row r="82" spans="1:15" s="1282" customFormat="1" ht="25.2" customHeight="1">
      <c r="A82" s="2147">
        <f>COUNTIF($K$1:K82,1)</f>
        <v>63</v>
      </c>
      <c r="B82" s="2281" t="str">
        <f>CT_tram!B2731</f>
        <v>CUT42</v>
      </c>
      <c r="C82" s="2056">
        <f>CT_tram!C2731</f>
        <v>0</v>
      </c>
      <c r="D82" s="2057">
        <f>CT_tram!D2731</f>
        <v>0</v>
      </c>
      <c r="E82" s="1962">
        <f>CT_tram!E2731</f>
        <v>0</v>
      </c>
      <c r="F82" s="1963" t="str">
        <f>CT_tram!F2731</f>
        <v>Co 90 độ PVC 42</v>
      </c>
      <c r="G82" s="2051" t="str">
        <f>CT_tram!G2731</f>
        <v>cái</v>
      </c>
      <c r="H82" s="2052">
        <f>CT_tram!H2731</f>
        <v>6</v>
      </c>
      <c r="I82" s="2052">
        <f>CT_tram!I2731</f>
        <v>6</v>
      </c>
      <c r="J82" s="1949">
        <f>IFERROR(VLOOKUP(B82,DG!A:F,6,0),3000)</f>
        <v>50</v>
      </c>
      <c r="K82" s="1950">
        <f>IF(J82&lt;2000,COUNTIF($B$2:B82,B82),0)</f>
        <v>1</v>
      </c>
      <c r="L82" s="1426"/>
      <c r="M82" s="1502"/>
      <c r="O82" s="1502"/>
    </row>
    <row r="83" spans="1:15" s="1282" customFormat="1" ht="25.2" customHeight="1">
      <c r="A83" s="2147">
        <f>COUNTIF($K$1:K83,1)</f>
        <v>64</v>
      </c>
      <c r="B83" s="2281" t="str">
        <f>CT_tram!B2732</f>
        <v>CUT42T</v>
      </c>
      <c r="C83" s="2056">
        <f>CT_tram!C2732</f>
        <v>0</v>
      </c>
      <c r="D83" s="2057">
        <f>CT_tram!D2732</f>
        <v>0</v>
      </c>
      <c r="E83" s="2224">
        <f>CT_tram!E2732</f>
        <v>0</v>
      </c>
      <c r="F83" s="2225" t="str">
        <f>CT_tram!F2732</f>
        <v>Co chữ T ống PVC 42</v>
      </c>
      <c r="G83" s="2226" t="str">
        <f>CT_tram!G2732</f>
        <v>cái</v>
      </c>
      <c r="H83" s="2226">
        <f>CT_tram!H2732</f>
        <v>5</v>
      </c>
      <c r="I83" s="2226">
        <f>CT_tram!I2732</f>
        <v>5</v>
      </c>
      <c r="J83" s="1949">
        <f>IFERROR(VLOOKUP(B83,DG!A:F,6,0),3000)</f>
        <v>50</v>
      </c>
      <c r="K83" s="1950">
        <f>IF(J83&lt;2000,COUNTIF($B$2:B83,B83),0)</f>
        <v>1</v>
      </c>
      <c r="L83" s="2212"/>
      <c r="M83" s="1502"/>
      <c r="O83" s="1502"/>
    </row>
    <row r="84" spans="1:15" s="1282" customFormat="1" ht="25.2" customHeight="1">
      <c r="A84" s="2147">
        <f>COUNTIF($K$1:K84,1)</f>
        <v>65</v>
      </c>
      <c r="B84" s="2279" t="str">
        <f>CT_tram!B2685</f>
        <v>drc</v>
      </c>
      <c r="C84" s="1952">
        <f>CT_tram!C2685</f>
        <v>0</v>
      </c>
      <c r="D84" s="1956">
        <f>CT_tram!D2685</f>
        <v>0</v>
      </c>
      <c r="E84" s="1957">
        <f>CT_tram!E2685</f>
        <v>0</v>
      </c>
      <c r="F84" s="1958" t="str">
        <f>CT_tram!F2685</f>
        <v>Dây rút cáp</v>
      </c>
      <c r="G84" s="2051" t="str">
        <f>CT_tram!G2685</f>
        <v>bọc</v>
      </c>
      <c r="H84" s="2052">
        <f>CT_tram!H2685</f>
        <v>3</v>
      </c>
      <c r="I84" s="2052">
        <f>CT_tram!I2685</f>
        <v>3</v>
      </c>
      <c r="J84" s="1949">
        <f>IFERROR(VLOOKUP(B84,DG!A:F,6,0),3000)</f>
        <v>50</v>
      </c>
      <c r="K84" s="1950">
        <f>IF(J84&lt;2000,COUNTIF($B$2:B84,B84),0)</f>
        <v>1</v>
      </c>
      <c r="L84" s="1426"/>
      <c r="M84" s="1502"/>
      <c r="O84" s="1502"/>
    </row>
    <row r="85" spans="1:15" s="1282" customFormat="1" ht="25.2" customHeight="1">
      <c r="A85" s="2147">
        <f>COUNTIF($K$1:K85,1)</f>
        <v>66</v>
      </c>
      <c r="B85" s="1953" t="str">
        <f>CT_tram!B2715</f>
        <v>gachong</v>
      </c>
      <c r="C85" s="1286">
        <f>CT_tram!C2715</f>
        <v>0</v>
      </c>
      <c r="D85" s="1954">
        <f>CT_tram!D2715</f>
        <v>0</v>
      </c>
      <c r="E85" s="1498">
        <f>CT_tram!E2715</f>
        <v>0</v>
      </c>
      <c r="F85" s="1955" t="str">
        <f>CT_tram!F2715</f>
        <v>Gạch ống</v>
      </c>
      <c r="G85" s="1964" t="str">
        <f>CT_tram!G2715</f>
        <v>viên</v>
      </c>
      <c r="H85" s="1965">
        <f>CT_tram!H2715</f>
        <v>350</v>
      </c>
      <c r="I85" s="1965">
        <f>CT_tram!I2715</f>
        <v>350</v>
      </c>
      <c r="J85" s="1949">
        <f>IFERROR(VLOOKUP(B85,DG!A:F,6,0),3000)</f>
        <v>50</v>
      </c>
      <c r="K85" s="1950">
        <f>IF(J85&lt;2000,COUNTIF($B$2:B85,B85),0)</f>
        <v>1</v>
      </c>
      <c r="L85" s="1426"/>
      <c r="M85" s="1502"/>
      <c r="O85" s="1502"/>
    </row>
    <row r="86" spans="1:15" s="1282" customFormat="1" ht="25.2" customHeight="1">
      <c r="A86" s="2147">
        <f>COUNTIF($K$1:K86,1)</f>
        <v>67</v>
      </c>
      <c r="B86" s="2227" t="str">
        <f>chitiet!B1162</f>
        <v>K3B</v>
      </c>
      <c r="C86" s="1960" t="str">
        <f>chitiet!C1162</f>
        <v>x</v>
      </c>
      <c r="D86" s="1961">
        <f>chitiet!D1162</f>
        <v>8</v>
      </c>
      <c r="E86" s="1962">
        <f>chitiet!E1162</f>
        <v>0</v>
      </c>
      <c r="F86" s="1963" t="str">
        <f>chitiet!F1162</f>
        <v>Kẹp cáp 3 boulon</v>
      </c>
      <c r="G86" s="2053" t="str">
        <f>chitiet!G1162</f>
        <v>cái</v>
      </c>
      <c r="H86" s="2054">
        <f>chitiet!H1162</f>
        <v>8</v>
      </c>
      <c r="I86" s="2055">
        <f>chitiet!P1162</f>
        <v>8</v>
      </c>
      <c r="J86" s="1949">
        <f>IFERROR(VLOOKUP(B86,DG!A:F,6,0),3000)</f>
        <v>50</v>
      </c>
      <c r="K86" s="1950">
        <f>IF(J86&lt;2000,COUNTIF($B$2:B86,B86),0)</f>
        <v>1</v>
      </c>
      <c r="L86" s="1426"/>
      <c r="M86" s="1502"/>
      <c r="O86" s="1502"/>
    </row>
    <row r="87" spans="1:15" s="1282" customFormat="1" ht="25.2" customHeight="1">
      <c r="A87" s="2147">
        <f>COUNTIF($K$1:K87,1)</f>
        <v>68</v>
      </c>
      <c r="B87" s="2227" t="str">
        <f>chitiet!B615</f>
        <v>KE50</v>
      </c>
      <c r="C87" s="1960" t="str">
        <f>chitiet!C615</f>
        <v>x</v>
      </c>
      <c r="D87" s="1961">
        <f>chitiet!D615</f>
        <v>2</v>
      </c>
      <c r="E87" s="1962">
        <f>chitiet!E615</f>
        <v>0</v>
      </c>
      <c r="F87" s="1963" t="str">
        <f>chitiet!F615</f>
        <v>Kẹp ép WR cỡ dây 50mm2</v>
      </c>
      <c r="G87" s="2051" t="str">
        <f>chitiet!G615</f>
        <v>cái</v>
      </c>
      <c r="H87" s="2052">
        <f>chitiet!H615</f>
        <v>2</v>
      </c>
      <c r="I87" s="2052">
        <f>chitiet!P615</f>
        <v>2</v>
      </c>
      <c r="J87" s="1949">
        <f>IFERROR(VLOOKUP(B87,DG!A:F,6,0),3000)</f>
        <v>50</v>
      </c>
      <c r="K87" s="1950">
        <f>IF(J87&lt;2000,COUNTIF($B$2:B87,B87),0)</f>
        <v>1</v>
      </c>
      <c r="L87" s="1968"/>
      <c r="M87" s="1502"/>
      <c r="O87" s="1502"/>
    </row>
    <row r="88" spans="1:15" s="1282" customFormat="1" ht="25.2" customHeight="1">
      <c r="A88" s="2147">
        <f>COUNTIF($K$1:K88,1)</f>
        <v>68</v>
      </c>
      <c r="B88" s="2281" t="str">
        <f>chitiet!B1850</f>
        <v>ke50</v>
      </c>
      <c r="C88" s="2056" t="str">
        <f>chitiet!C1850</f>
        <v>x</v>
      </c>
      <c r="D88" s="2057">
        <f>chitiet!D1850</f>
        <v>2</v>
      </c>
      <c r="E88" s="1962">
        <f>chitiet!E1850</f>
        <v>0</v>
      </c>
      <c r="F88" s="1963" t="str">
        <f>chitiet!F1850</f>
        <v>Kẹp ép WR cỡ dây 50mm2</v>
      </c>
      <c r="G88" s="2051" t="str">
        <f>chitiet!G1850</f>
        <v>cái</v>
      </c>
      <c r="H88" s="2052">
        <f>chitiet!H1850</f>
        <v>2</v>
      </c>
      <c r="I88" s="2052">
        <f>chitiet!$P$1850</f>
        <v>2</v>
      </c>
      <c r="J88" s="1949">
        <f>IFERROR(VLOOKUP(B88,DG!A:F,6,0),3000)</f>
        <v>50</v>
      </c>
      <c r="K88" s="1950">
        <f>IF(J88&lt;2000,COUNTIF($B$2:B88,B88),0)</f>
        <v>2</v>
      </c>
      <c r="L88" s="1426"/>
      <c r="M88" s="1502"/>
      <c r="O88" s="1502"/>
    </row>
    <row r="89" spans="1:15" s="1282" customFormat="1" ht="25.2" customHeight="1">
      <c r="A89" s="2147">
        <f>COUNTIF($K$1:K89,1)</f>
        <v>68</v>
      </c>
      <c r="B89" s="2227" t="str">
        <f>CT_tram!B2617</f>
        <v>KE50</v>
      </c>
      <c r="C89" s="1960">
        <f>CT_tram!C2617</f>
        <v>0</v>
      </c>
      <c r="D89" s="1961">
        <f>CT_tram!D2617</f>
        <v>0</v>
      </c>
      <c r="E89" s="1962">
        <f>CT_tram!E2617</f>
        <v>0</v>
      </c>
      <c r="F89" s="1963" t="str">
        <f>CT_tram!F2617</f>
        <v>Kẹp ép WR cỡ dây 50mm2</v>
      </c>
      <c r="G89" s="2051" t="str">
        <f>CT_tram!G2617</f>
        <v>cái</v>
      </c>
      <c r="H89" s="2052">
        <f>CT_tram!H2617</f>
        <v>2</v>
      </c>
      <c r="I89" s="2052">
        <f>CT_tram!I2617</f>
        <v>2</v>
      </c>
      <c r="J89" s="1949">
        <f>IFERROR(VLOOKUP(B89,DG!A:F,6,0),3000)</f>
        <v>50</v>
      </c>
      <c r="K89" s="1950">
        <f>IF(J89&lt;2000,COUNTIF($B$2:B89,B89),0)</f>
        <v>3</v>
      </c>
      <c r="L89" s="1426"/>
      <c r="M89" s="1502"/>
      <c r="O89" s="1502"/>
    </row>
    <row r="90" spans="1:15" s="1282" customFormat="1" ht="25.2" customHeight="1">
      <c r="A90" s="2147">
        <f>COUNTIF($K$1:K90,1)</f>
        <v>69</v>
      </c>
      <c r="B90" s="2227" t="str">
        <f>chitiet!B1852</f>
        <v>ke95</v>
      </c>
      <c r="C90" s="1960" t="str">
        <f>chitiet!C1852</f>
        <v>x</v>
      </c>
      <c r="D90" s="1961">
        <f>chitiet!D1852</f>
        <v>6</v>
      </c>
      <c r="E90" s="1962">
        <f>chitiet!E1852</f>
        <v>0</v>
      </c>
      <c r="F90" s="1963" t="str">
        <f>chitiet!F1852</f>
        <v>Kẹp ép WR cỡ dây 95mm2</v>
      </c>
      <c r="G90" s="2051" t="str">
        <f>chitiet!G1852</f>
        <v>cái</v>
      </c>
      <c r="H90" s="2052">
        <f>chitiet!H1852</f>
        <v>6</v>
      </c>
      <c r="I90" s="2052">
        <f>chitiet!$P$1852</f>
        <v>6</v>
      </c>
      <c r="J90" s="1949">
        <f>IFERROR(VLOOKUP(B90,DG!A:F,6,0),3000)</f>
        <v>50</v>
      </c>
      <c r="K90" s="1950">
        <f>IF(J90&lt;2000,COUNTIF($B$2:B90,B90),0)</f>
        <v>1</v>
      </c>
      <c r="L90" s="1426"/>
      <c r="M90" s="1502"/>
      <c r="O90" s="1502"/>
    </row>
    <row r="91" spans="1:15" s="1282" customFormat="1" ht="25.2" customHeight="1">
      <c r="A91" s="2147">
        <f>COUNTIF($K$1:K91,1)</f>
        <v>70</v>
      </c>
      <c r="B91" s="2227" t="str">
        <f>CT_tram!B2733</f>
        <v>KEO</v>
      </c>
      <c r="C91" s="1960">
        <f>CT_tram!C2733</f>
        <v>0</v>
      </c>
      <c r="D91" s="1961">
        <f>CT_tram!D2733</f>
        <v>0</v>
      </c>
      <c r="E91" s="2224">
        <f>CT_tram!E2733</f>
        <v>0</v>
      </c>
      <c r="F91" s="2225" t="str">
        <f>CT_tram!F2733</f>
        <v>Keo dán ống PVC (500gr)</v>
      </c>
      <c r="G91" s="2226" t="str">
        <f>CT_tram!G2733</f>
        <v>lon</v>
      </c>
      <c r="H91" s="2226">
        <f>CT_tram!H2733</f>
        <v>1</v>
      </c>
      <c r="I91" s="2226">
        <f>CT_tram!I2733</f>
        <v>1</v>
      </c>
      <c r="J91" s="1949">
        <f>IFERROR(VLOOKUP(B91,DG!A:F,6,0),3000)</f>
        <v>50</v>
      </c>
      <c r="K91" s="1950">
        <f>IF(J91&lt;2000,COUNTIF($B$2:B91,B91),0)</f>
        <v>1</v>
      </c>
      <c r="L91" s="1422"/>
      <c r="M91" s="1502"/>
      <c r="O91" s="1502"/>
    </row>
    <row r="92" spans="1:15" s="1282" customFormat="1" ht="25.2" customHeight="1">
      <c r="A92" s="2147">
        <f>COUNTIF($K$1:K92,1)</f>
        <v>71</v>
      </c>
      <c r="B92" s="2227" t="str">
        <f>CT_tram!B2684</f>
        <v>keobit</v>
      </c>
      <c r="C92" s="1960">
        <f>CT_tram!C2684</f>
        <v>0</v>
      </c>
      <c r="D92" s="1961">
        <f>CT_tram!D2684</f>
        <v>0</v>
      </c>
      <c r="E92" s="1962">
        <f>CT_tram!E2684</f>
        <v>0</v>
      </c>
      <c r="F92" s="1963" t="str">
        <f>CT_tram!F2684</f>
        <v>Keo silicon bít miệng ống</v>
      </c>
      <c r="G92" s="2051" t="str">
        <f>CT_tram!G2684</f>
        <v>chai</v>
      </c>
      <c r="H92" s="2052">
        <f>CT_tram!H2684</f>
        <v>3</v>
      </c>
      <c r="I92" s="2052">
        <f>CT_tram!I2684</f>
        <v>3</v>
      </c>
      <c r="J92" s="1949">
        <f>IFERROR(VLOOKUP(B92,DG!A:F,6,0),3000)</f>
        <v>50</v>
      </c>
      <c r="K92" s="1950">
        <f>IF(J92&lt;2000,COUNTIF($B$2:B92,B92),0)</f>
        <v>1</v>
      </c>
      <c r="L92" s="1426"/>
      <c r="M92" s="1502"/>
      <c r="O92" s="1502"/>
    </row>
    <row r="93" spans="1:15" s="1282" customFormat="1" ht="25.2" customHeight="1">
      <c r="A93" s="2147">
        <f>COUNTIF($K$1:K93,1)</f>
        <v>71</v>
      </c>
      <c r="B93" s="2227" t="str">
        <f>CT_tram!B2739</f>
        <v>keobit</v>
      </c>
      <c r="C93" s="1960">
        <f>CT_tram!C2739</f>
        <v>0</v>
      </c>
      <c r="D93" s="1961">
        <f>CT_tram!D2739</f>
        <v>0</v>
      </c>
      <c r="E93" s="1962">
        <f>CT_tram!E2739</f>
        <v>0</v>
      </c>
      <c r="F93" s="1963" t="str">
        <f>CT_tram!F2739</f>
        <v>Keo silicon bít miệng ống</v>
      </c>
      <c r="G93" s="2051" t="str">
        <f>CT_tram!G2739</f>
        <v>chai</v>
      </c>
      <c r="H93" s="2052">
        <f>CT_tram!H2739</f>
        <v>2</v>
      </c>
      <c r="I93" s="2052">
        <f>CT_tram!I2739</f>
        <v>2</v>
      </c>
      <c r="J93" s="1949">
        <f>IFERROR(VLOOKUP(B93,DG!A:F,6,0),3000)</f>
        <v>50</v>
      </c>
      <c r="K93" s="1950">
        <f>IF(J93&lt;2000,COUNTIF($B$2:B93,B93),0)</f>
        <v>2</v>
      </c>
      <c r="L93" s="1426"/>
      <c r="M93" s="1502"/>
      <c r="O93" s="1502"/>
    </row>
    <row r="94" spans="1:15" s="1282" customFormat="1" ht="25.2" customHeight="1">
      <c r="A94" s="2147">
        <f>COUNTIF($K$1:K94,1)</f>
        <v>72</v>
      </c>
      <c r="B94" s="2227" t="str">
        <f>CT_tram!B2671</f>
        <v>KH2/0</v>
      </c>
      <c r="C94" s="1960">
        <f>CT_tram!C2671</f>
        <v>0</v>
      </c>
      <c r="D94" s="1961">
        <f>CT_tram!D2671</f>
        <v>0</v>
      </c>
      <c r="E94" s="2224">
        <f>CT_tram!E2671</f>
        <v>0</v>
      </c>
      <c r="F94" s="2225" t="str">
        <f>CT_tram!F2671</f>
        <v>Kẹp hotline 2/0</v>
      </c>
      <c r="G94" s="2226" t="str">
        <f>CT_tram!G2671</f>
        <v>cái</v>
      </c>
      <c r="H94" s="2226">
        <f>CT_tram!H2671</f>
        <v>3</v>
      </c>
      <c r="I94" s="2226">
        <f>CT_tram!I2671</f>
        <v>3</v>
      </c>
      <c r="J94" s="1949">
        <f>IFERROR(VLOOKUP(B94,DG!A:F,6,0),3000)</f>
        <v>50</v>
      </c>
      <c r="K94" s="1950">
        <f>IF(J94&lt;2000,COUNTIF($B$2:B94,B94),0)</f>
        <v>1</v>
      </c>
      <c r="L94" s="1422"/>
      <c r="M94" s="1502"/>
      <c r="O94" s="1502"/>
    </row>
    <row r="95" spans="1:15" s="1282" customFormat="1" ht="25.2" customHeight="1">
      <c r="A95" s="2147">
        <f>COUNTIF($K$1:K95,1)</f>
        <v>73</v>
      </c>
      <c r="B95" s="2227" t="str">
        <f>chitiet!B1784</f>
        <v>kn50</v>
      </c>
      <c r="C95" s="1960" t="str">
        <f>chitiet!C1784</f>
        <v>x</v>
      </c>
      <c r="D95" s="1961">
        <f>chitiet!D1784</f>
        <v>1</v>
      </c>
      <c r="E95" s="1962">
        <f>chitiet!E1784</f>
        <v>0</v>
      </c>
      <c r="F95" s="1963" t="str">
        <f>chitiet!F1784</f>
        <v>Khóa néo dây cỡ dây 50</v>
      </c>
      <c r="G95" s="2051" t="str">
        <f>chitiet!G1784</f>
        <v>cái</v>
      </c>
      <c r="H95" s="2052">
        <f>chitiet!H1784</f>
        <v>2</v>
      </c>
      <c r="I95" s="2052">
        <f>chitiet!P1784</f>
        <v>2</v>
      </c>
      <c r="J95" s="1949">
        <f>IFERROR(VLOOKUP(B95,DG!A:F,6,0),3000)</f>
        <v>50</v>
      </c>
      <c r="K95" s="1950">
        <f>IF(J95&lt;2000,COUNTIF($B$2:B95,B95),0)</f>
        <v>1</v>
      </c>
      <c r="L95" s="1426"/>
      <c r="M95" s="1502"/>
      <c r="O95" s="1502"/>
    </row>
    <row r="96" spans="1:15" s="1282" customFormat="1" ht="25.2" customHeight="1">
      <c r="A96" s="2147">
        <f>COUNTIF($K$1:K96,1)</f>
        <v>74</v>
      </c>
      <c r="B96" s="2227" t="str">
        <f>CT_tram!B2670</f>
        <v>KQ2/0</v>
      </c>
      <c r="C96" s="1960">
        <f>CT_tram!C2670</f>
        <v>0</v>
      </c>
      <c r="D96" s="1961">
        <f>CT_tram!D2670</f>
        <v>0</v>
      </c>
      <c r="E96" s="1962">
        <f>CT_tram!E2670</f>
        <v>0</v>
      </c>
      <c r="F96" s="1963" t="str">
        <f>CT_tram!F2670</f>
        <v>Kẹp quai 2/0</v>
      </c>
      <c r="G96" s="2051" t="str">
        <f>CT_tram!G2670</f>
        <v>cái</v>
      </c>
      <c r="H96" s="2052">
        <f>CT_tram!H2670</f>
        <v>3</v>
      </c>
      <c r="I96" s="2052">
        <f>CT_tram!I2670</f>
        <v>3</v>
      </c>
      <c r="J96" s="1949">
        <f>IFERROR(VLOOKUP(B96,DG!A:F,6,0),3000)</f>
        <v>50</v>
      </c>
      <c r="K96" s="1950">
        <f>IF(J96&lt;2000,COUNTIF($B$2:B96,B96),0)</f>
        <v>1</v>
      </c>
      <c r="L96" s="1426"/>
      <c r="M96" s="1502"/>
      <c r="O96" s="1502"/>
    </row>
    <row r="97" spans="1:15" s="1282" customFormat="1" ht="25.2" customHeight="1">
      <c r="A97" s="2147">
        <f>COUNTIF($K$1:K97,1)</f>
        <v>75</v>
      </c>
      <c r="B97" s="2227" t="str">
        <f>CT_tram!B2736</f>
        <v>KVRN42</v>
      </c>
      <c r="C97" s="1960">
        <f>CT_tram!C2736</f>
        <v>0</v>
      </c>
      <c r="D97" s="1961">
        <f>CT_tram!D2736</f>
        <v>0</v>
      </c>
      <c r="E97" s="1962">
        <f>CT_tram!E2736</f>
        <v>0</v>
      </c>
      <c r="F97" s="1963" t="str">
        <f>CT_tram!F2736</f>
        <v>Khâu ven răng ngoài D42</v>
      </c>
      <c r="G97" s="2051" t="str">
        <f>CT_tram!G2736</f>
        <v>cái</v>
      </c>
      <c r="H97" s="2052">
        <f>CT_tram!H2736</f>
        <v>1</v>
      </c>
      <c r="I97" s="2052">
        <f>CT_tram!I2736</f>
        <v>1</v>
      </c>
      <c r="J97" s="1949">
        <f>IFERROR(VLOOKUP(B97,DG!A:F,6,0),3000)</f>
        <v>50</v>
      </c>
      <c r="K97" s="1950">
        <f>IF(J97&lt;2000,COUNTIF($B$2:B97,B97),0)</f>
        <v>1</v>
      </c>
      <c r="L97" s="1426"/>
      <c r="M97" s="1502"/>
      <c r="O97" s="1502"/>
    </row>
    <row r="98" spans="1:15" s="1282" customFormat="1" ht="25.2" customHeight="1">
      <c r="A98" s="2147">
        <f>COUNTIF($K$1:K98,1)</f>
        <v>76</v>
      </c>
      <c r="B98" s="2279" t="str">
        <f>CT_tram!B2735</f>
        <v>KVRT42</v>
      </c>
      <c r="C98" s="1952">
        <f>CT_tram!C2735</f>
        <v>0</v>
      </c>
      <c r="D98" s="1956">
        <f>CT_tram!D2735</f>
        <v>0</v>
      </c>
      <c r="E98" s="1957">
        <f>CT_tram!E2735</f>
        <v>0</v>
      </c>
      <c r="F98" s="1958" t="str">
        <f>CT_tram!F2735</f>
        <v>Khâu ven răng trong D42</v>
      </c>
      <c r="G98" s="2053" t="str">
        <f>CT_tram!G2735</f>
        <v>cái</v>
      </c>
      <c r="H98" s="2052">
        <f>CT_tram!H2735</f>
        <v>1</v>
      </c>
      <c r="I98" s="2052">
        <f>CT_tram!I2735</f>
        <v>1</v>
      </c>
      <c r="J98" s="1949">
        <f>IFERROR(VLOOKUP(B98,DG!A:F,6,0),3000)</f>
        <v>50</v>
      </c>
      <c r="K98" s="1950">
        <f>IF(J98&lt;2000,COUNTIF($B$2:B98,B98),0)</f>
        <v>1</v>
      </c>
      <c r="L98" s="1426"/>
      <c r="M98" s="1502"/>
      <c r="O98" s="1502"/>
    </row>
    <row r="99" spans="1:15" s="1282" customFormat="1" ht="25.2" customHeight="1">
      <c r="A99" s="2147">
        <f>COUNTIF($K$1:K99,1)</f>
        <v>77</v>
      </c>
      <c r="B99" s="1953" t="str">
        <f>CT_tram!B2740</f>
        <v>M5M</v>
      </c>
      <c r="C99" s="1286">
        <f>CT_tram!C2740</f>
        <v>0</v>
      </c>
      <c r="D99" s="1954">
        <f>CT_tram!D2740</f>
        <v>0</v>
      </c>
      <c r="E99" s="1498">
        <f>CT_tram!E2740</f>
        <v>0</v>
      </c>
      <c r="F99" s="1955" t="str">
        <f>CT_tram!F2740</f>
        <v>Dây đồng trần mềm dẹt</v>
      </c>
      <c r="G99" s="1964" t="str">
        <f>CT_tram!G2740</f>
        <v>mét</v>
      </c>
      <c r="H99" s="1965">
        <f>CT_tram!H2740</f>
        <v>4</v>
      </c>
      <c r="I99" s="1965">
        <f>CT_tram!I2740</f>
        <v>4</v>
      </c>
      <c r="J99" s="1949">
        <f>IFERROR(VLOOKUP(B99,DG!A:F,6,0),3000)</f>
        <v>50</v>
      </c>
      <c r="K99" s="1950">
        <f>IF(J99&lt;2000,COUNTIF($B$2:B99,B99),0)</f>
        <v>1</v>
      </c>
      <c r="L99" s="1426"/>
      <c r="M99" s="1502"/>
      <c r="O99" s="1502"/>
    </row>
    <row r="100" spans="1:15" s="1282" customFormat="1" ht="25.2" customHeight="1">
      <c r="A100" s="2147">
        <f>COUNTIF($K$1:K100,1)</f>
        <v>78</v>
      </c>
      <c r="B100" s="2227" t="str">
        <f>chitiet!B1166</f>
        <v>MANG</v>
      </c>
      <c r="C100" s="1960" t="str">
        <f>chitiet!C1166</f>
        <v>x</v>
      </c>
      <c r="D100" s="1961">
        <f>chitiet!D1166</f>
        <v>1</v>
      </c>
      <c r="E100" s="1962">
        <f>chitiet!E1166</f>
        <v>0</v>
      </c>
      <c r="F100" s="1963" t="str">
        <f>chitiet!F1166</f>
        <v>Máng che dây chằng dày 1,6mm</v>
      </c>
      <c r="G100" s="2051" t="str">
        <f>chitiet!G1166</f>
        <v>cái</v>
      </c>
      <c r="H100" s="2052">
        <f>chitiet!H1166</f>
        <v>1</v>
      </c>
      <c r="I100" s="2052">
        <f>chitiet!P1166</f>
        <v>1</v>
      </c>
      <c r="J100" s="1949">
        <f>IFERROR(VLOOKUP(B100,DG!A:F,6,0),3000)</f>
        <v>50</v>
      </c>
      <c r="K100" s="1950">
        <f>IF(J100&lt;2000,COUNTIF($B$2:B100,B100),0)</f>
        <v>1</v>
      </c>
      <c r="L100" s="1426"/>
      <c r="M100" s="1502"/>
      <c r="O100" s="1502"/>
    </row>
    <row r="101" spans="1:15" s="1282" customFormat="1" ht="25.2" customHeight="1">
      <c r="A101" s="2147">
        <f>COUNTIF($K$1:K101,1)</f>
        <v>79</v>
      </c>
      <c r="B101" s="2227" t="str">
        <f>chitiet!B1817</f>
        <v>MT</v>
      </c>
      <c r="C101" s="1960" t="str">
        <f>chitiet!C1817</f>
        <v>x</v>
      </c>
      <c r="D101" s="1961">
        <f>chitiet!D1817</f>
        <v>2</v>
      </c>
      <c r="E101" s="1962">
        <f>chitiet!E1817</f>
        <v>0</v>
      </c>
      <c r="F101" s="1963" t="str">
        <f>chitiet!F1817</f>
        <v xml:space="preserve">Móc treo chữ U </v>
      </c>
      <c r="G101" s="2051" t="str">
        <f>chitiet!G1817</f>
        <v>cái</v>
      </c>
      <c r="H101" s="2052">
        <f>chitiet!H1817</f>
        <v>12</v>
      </c>
      <c r="I101" s="2052">
        <f>chitiet!P1817</f>
        <v>12</v>
      </c>
      <c r="J101" s="1949">
        <f>IFERROR(VLOOKUP(B101,DG!A:F,6,0),3000)</f>
        <v>50</v>
      </c>
      <c r="K101" s="1950">
        <f>IF(J101&lt;2000,COUNTIF($B$2:B101,B101),0)</f>
        <v>1</v>
      </c>
      <c r="L101" s="1426"/>
      <c r="M101" s="1502"/>
      <c r="O101" s="1502"/>
    </row>
    <row r="102" spans="1:15" s="1282" customFormat="1" ht="25.2" customHeight="1">
      <c r="A102" s="2147">
        <f>COUNTIF($K$1:K102,1)</f>
        <v>80</v>
      </c>
      <c r="B102" s="2227" t="str">
        <f>chitiet!B1405</f>
        <v>NX</v>
      </c>
      <c r="C102" s="1960" t="str">
        <f>chitiet!C1405</f>
        <v>x</v>
      </c>
      <c r="D102" s="1961">
        <f>chitiet!D1405</f>
        <v>1</v>
      </c>
      <c r="E102" s="1962" t="str">
        <f>chitiet!E1405</f>
        <v>04.4001</v>
      </c>
      <c r="F102" s="1963" t="str">
        <f>chitiet!F1405</f>
        <v>Neo xòe 8 hướng (dày 3,2mm)</v>
      </c>
      <c r="G102" s="2051" t="str">
        <f>chitiet!G1405</f>
        <v>cái</v>
      </c>
      <c r="H102" s="2052">
        <f>chitiet!H1405</f>
        <v>1</v>
      </c>
      <c r="I102" s="2052">
        <f>chitiet!P1405</f>
        <v>1</v>
      </c>
      <c r="J102" s="1949">
        <f>IFERROR(VLOOKUP(B102,DG!A:F,6,0),3000)</f>
        <v>50</v>
      </c>
      <c r="K102" s="1950">
        <f>IF(J102&lt;2000,COUNTIF($B$2:B102,B102),0)</f>
        <v>1</v>
      </c>
      <c r="L102" s="1426"/>
      <c r="M102" s="1502"/>
      <c r="O102" s="1502"/>
    </row>
    <row r="103" spans="1:15" s="1282" customFormat="1" ht="25.2" customHeight="1">
      <c r="A103" s="2147">
        <f>COUNTIF($K$1:K103,1)</f>
        <v>81</v>
      </c>
      <c r="B103" s="2227" t="str">
        <f>chitiet!B1904</f>
        <v>ocn</v>
      </c>
      <c r="C103" s="1960" t="str">
        <f>chitiet!C1904</f>
        <v>x</v>
      </c>
      <c r="D103" s="1961">
        <f>chitiet!D1904</f>
        <v>0</v>
      </c>
      <c r="E103" s="1962">
        <f>chitiet!E1904</f>
        <v>0</v>
      </c>
      <c r="F103" s="1963" t="str">
        <f>chitiet!F1904</f>
        <v>Ong co nhiệt</v>
      </c>
      <c r="G103" s="2051" t="str">
        <f>chitiet!G1904</f>
        <v>m</v>
      </c>
      <c r="H103" s="2052">
        <f>chitiet!H1904</f>
        <v>1</v>
      </c>
      <c r="I103" s="2052">
        <f>chitiet!P1904</f>
        <v>1</v>
      </c>
      <c r="J103" s="1949">
        <f>IFERROR(VLOOKUP(B103,DG!A:F,6,0),3000)</f>
        <v>50</v>
      </c>
      <c r="K103" s="1950">
        <f>IF(J103&lt;2000,COUNTIF($B$2:B103,B103),0)</f>
        <v>1</v>
      </c>
      <c r="L103" s="1426"/>
      <c r="M103" s="1502"/>
      <c r="O103" s="1502"/>
    </row>
    <row r="104" spans="1:15" s="1282" customFormat="1" ht="25.2" customHeight="1">
      <c r="A104" s="2147">
        <f>COUNTIF($K$1:K104,1)</f>
        <v>82</v>
      </c>
      <c r="B104" s="2227" t="str">
        <f>chitiet!B616</f>
        <v>OXC25</v>
      </c>
      <c r="C104" s="1960" t="str">
        <f>chitiet!C616</f>
        <v>x</v>
      </c>
      <c r="D104" s="1961">
        <f>chitiet!D616</f>
        <v>2</v>
      </c>
      <c r="E104" s="1962">
        <f>chitiet!E616</f>
        <v>0</v>
      </c>
      <c r="F104" s="1963" t="str">
        <f>chitiet!F616</f>
        <v>Ốc siết cáp cỡ 25mm2</v>
      </c>
      <c r="G104" s="2051" t="str">
        <f>chitiet!G616</f>
        <v>cái</v>
      </c>
      <c r="H104" s="2052">
        <f>chitiet!H616</f>
        <v>2</v>
      </c>
      <c r="I104" s="2052">
        <f>chitiet!P616</f>
        <v>2</v>
      </c>
      <c r="J104" s="1949">
        <f>IFERROR(VLOOKUP(B104,DG!A:F,6,0),3000)</f>
        <v>50</v>
      </c>
      <c r="K104" s="1950">
        <f>IF(J104&lt;2000,COUNTIF($B$2:B104,B104),0)</f>
        <v>1</v>
      </c>
      <c r="L104" s="1426"/>
      <c r="M104" s="1969"/>
      <c r="N104" s="1970"/>
      <c r="O104" s="1969"/>
    </row>
    <row r="105" spans="1:15" s="1282" customFormat="1" ht="25.2" customHeight="1">
      <c r="A105" s="2147">
        <f>COUNTIF($K$1:K105,1)</f>
        <v>82</v>
      </c>
      <c r="B105" s="2279" t="str">
        <f>CT_tram!B2618</f>
        <v>oxc25</v>
      </c>
      <c r="C105" s="1952">
        <f>CT_tram!C2618</f>
        <v>0</v>
      </c>
      <c r="D105" s="1956">
        <f>CT_tram!D2618</f>
        <v>0</v>
      </c>
      <c r="E105" s="1957">
        <f>CT_tram!E2618</f>
        <v>0</v>
      </c>
      <c r="F105" s="1958" t="str">
        <f>CT_tram!F2618</f>
        <v>Ốc siết cáp cỡ 25mm2</v>
      </c>
      <c r="G105" s="2051" t="str">
        <f>CT_tram!G2618</f>
        <v>cái</v>
      </c>
      <c r="H105" s="2052">
        <f>CT_tram!H2618</f>
        <v>8</v>
      </c>
      <c r="I105" s="2052">
        <f>CT_tram!I2618</f>
        <v>8</v>
      </c>
      <c r="J105" s="1949">
        <f>IFERROR(VLOOKUP(B105,DG!A:F,6,0),3000)</f>
        <v>50</v>
      </c>
      <c r="K105" s="1950">
        <f>IF(J105&lt;2000,COUNTIF($B$2:B105,B105),0)</f>
        <v>2</v>
      </c>
      <c r="L105" s="1426"/>
      <c r="M105" s="1502"/>
      <c r="O105" s="1502"/>
    </row>
    <row r="106" spans="1:15" s="1282" customFormat="1" ht="25.2" customHeight="1">
      <c r="A106" s="2147">
        <f>COUNTIF($K$1:K106,1)</f>
        <v>82</v>
      </c>
      <c r="B106" s="2227" t="str">
        <f>CT_tram!B2728</f>
        <v>oxc25</v>
      </c>
      <c r="C106" s="1960">
        <f>CT_tram!C2728</f>
        <v>0</v>
      </c>
      <c r="D106" s="1961">
        <f>CT_tram!D2728</f>
        <v>0</v>
      </c>
      <c r="E106" s="2224">
        <f>CT_tram!E2728</f>
        <v>0</v>
      </c>
      <c r="F106" s="2225" t="str">
        <f>CT_tram!F2728</f>
        <v>Ốc siết cáp cỡ 25mm2</v>
      </c>
      <c r="G106" s="2226" t="str">
        <f>CT_tram!G2728</f>
        <v>cái</v>
      </c>
      <c r="H106" s="2226">
        <f>CT_tram!H2728</f>
        <v>3</v>
      </c>
      <c r="I106" s="2226">
        <f>CT_tram!I2728</f>
        <v>3</v>
      </c>
      <c r="J106" s="1949">
        <f>IFERROR(VLOOKUP(B106,DG!A:F,6,0),3000)</f>
        <v>50</v>
      </c>
      <c r="K106" s="1950">
        <f>IF(J106&lt;2000,COUNTIF($B$2:B106,B106),0)</f>
        <v>3</v>
      </c>
      <c r="L106" s="1422"/>
      <c r="M106" s="1502"/>
      <c r="O106" s="1502"/>
    </row>
    <row r="107" spans="1:15" s="1282" customFormat="1" ht="25.2" customHeight="1">
      <c r="A107" s="2147">
        <f>COUNTIF($K$1:K107,1)</f>
        <v>83</v>
      </c>
      <c r="B107" s="2227" t="str">
        <f>CT_tram!B2682</f>
        <v>PVC114</v>
      </c>
      <c r="C107" s="1960">
        <f>CT_tram!C2682</f>
        <v>0</v>
      </c>
      <c r="D107" s="1961">
        <f>CT_tram!D2682</f>
        <v>0</v>
      </c>
      <c r="E107" s="1962">
        <f>CT_tram!E2682</f>
        <v>0</v>
      </c>
      <c r="F107" s="1963" t="str">
        <f>CT_tram!F2682</f>
        <v xml:space="preserve">Ống PVC D114x4,9mm </v>
      </c>
      <c r="G107" s="2053" t="str">
        <f>CT_tram!G2682</f>
        <v>m</v>
      </c>
      <c r="H107" s="2054">
        <f>CT_tram!H2682</f>
        <v>8</v>
      </c>
      <c r="I107" s="1965">
        <f>CT_tram!I2682</f>
        <v>8</v>
      </c>
      <c r="J107" s="1949">
        <f>IFERROR(VLOOKUP(B107,DG!A:F,6,0),3000)</f>
        <v>50</v>
      </c>
      <c r="K107" s="1950">
        <f>IF(J107&lt;2000,COUNTIF($B$2:B107,B107),0)</f>
        <v>1</v>
      </c>
      <c r="L107" s="1426"/>
      <c r="M107" s="1502"/>
      <c r="O107" s="1502"/>
    </row>
    <row r="108" spans="1:15" s="1282" customFormat="1" ht="25.2" customHeight="1">
      <c r="A108" s="2147">
        <f>COUNTIF($K$1:K108,1)</f>
        <v>84</v>
      </c>
      <c r="B108" s="2227" t="str">
        <f>CT_tram!B2729</f>
        <v>PVC42</v>
      </c>
      <c r="C108" s="1960">
        <f>CT_tram!C2729</f>
        <v>0</v>
      </c>
      <c r="D108" s="1961">
        <f>CT_tram!D2729</f>
        <v>0</v>
      </c>
      <c r="E108" s="2224">
        <f>CT_tram!E2729</f>
        <v>0</v>
      </c>
      <c r="F108" s="2225" t="str">
        <f>CT_tram!F2729</f>
        <v>Ống PVC D42x2,1mm</v>
      </c>
      <c r="G108" s="2226" t="str">
        <f>CT_tram!G2729</f>
        <v>m</v>
      </c>
      <c r="H108" s="2226">
        <f>CT_tram!H2729</f>
        <v>18</v>
      </c>
      <c r="I108" s="2226">
        <f>CT_tram!I2729</f>
        <v>18</v>
      </c>
      <c r="J108" s="1949">
        <f>IFERROR(VLOOKUP(B108,DG!A:F,6,0),3000)</f>
        <v>50</v>
      </c>
      <c r="K108" s="1950">
        <f>IF(J108&lt;2000,COUNTIF($B$2:B108,B108),0)</f>
        <v>1</v>
      </c>
      <c r="L108" s="1422"/>
      <c r="M108" s="1502"/>
      <c r="O108" s="1502"/>
    </row>
    <row r="109" spans="1:15" s="1282" customFormat="1" ht="25.2" customHeight="1">
      <c r="A109" s="2147">
        <f>COUNTIF($K$1:K109,1)</f>
        <v>85</v>
      </c>
      <c r="B109" s="2227" t="str">
        <f>chitiet!B1771</f>
        <v>R1</v>
      </c>
      <c r="C109" s="1960" t="str">
        <f>chitiet!C1771</f>
        <v>x</v>
      </c>
      <c r="D109" s="1961">
        <f>chitiet!D1771</f>
        <v>1</v>
      </c>
      <c r="E109" s="1962">
        <f>chitiet!E1771</f>
        <v>0</v>
      </c>
      <c r="F109" s="1963" t="str">
        <f>chitiet!F1771</f>
        <v>Uclevis + sứ ống chỉ</v>
      </c>
      <c r="G109" s="2051" t="str">
        <f>chitiet!G1771</f>
        <v>bộ</v>
      </c>
      <c r="H109" s="2052">
        <f>chitiet!H1771</f>
        <v>1</v>
      </c>
      <c r="I109" s="2052">
        <f>chitiet!P1771</f>
        <v>1</v>
      </c>
      <c r="J109" s="1949">
        <f>IFERROR(VLOOKUP(B109,DG!A:F,6,0),3000)</f>
        <v>50</v>
      </c>
      <c r="K109" s="1950">
        <f>IF(J109&lt;2000,COUNTIF($B$2:B109,B109),0)</f>
        <v>1</v>
      </c>
      <c r="L109" s="1426"/>
      <c r="M109" s="1502"/>
      <c r="O109" s="1502"/>
    </row>
    <row r="110" spans="1:15" s="1282" customFormat="1" ht="25.2" customHeight="1">
      <c r="A110" s="2147">
        <f>COUNTIF($K$1:K110,1)</f>
        <v>86</v>
      </c>
      <c r="B110" s="2227" t="str">
        <f>CT_tram!B2710</f>
        <v>S60</v>
      </c>
      <c r="C110" s="1960">
        <f>CT_tram!C2710</f>
        <v>0</v>
      </c>
      <c r="D110" s="1961">
        <f>CT_tram!D2710</f>
        <v>0</v>
      </c>
      <c r="E110" s="2224">
        <f>CT_tram!E2710</f>
        <v>0</v>
      </c>
      <c r="F110" s="2225" t="str">
        <f>CT_tram!F2710</f>
        <v>Sắt dẹt 60 x 6</v>
      </c>
      <c r="G110" s="2226" t="str">
        <f>CT_tram!G2710</f>
        <v>kg</v>
      </c>
      <c r="H110" s="2226">
        <f>CT_tram!H2710</f>
        <v>3</v>
      </c>
      <c r="I110" s="2226">
        <f>CT_tram!I2710</f>
        <v>3</v>
      </c>
      <c r="J110" s="1949">
        <f>IFERROR(VLOOKUP(B110,DG!A:F,6,0),3000)</f>
        <v>50</v>
      </c>
      <c r="K110" s="1950">
        <f>IF(J110&lt;2000,COUNTIF($B$2:B110,B110),0)</f>
        <v>1</v>
      </c>
      <c r="L110" s="1422"/>
      <c r="M110" s="1502"/>
      <c r="O110" s="1502"/>
    </row>
    <row r="111" spans="1:15" s="1282" customFormat="1" ht="25.2" customHeight="1">
      <c r="A111" s="2147">
        <f>COUNTIF($K$1:K111,1)</f>
        <v>87</v>
      </c>
      <c r="B111" s="1953" t="str">
        <f>chitiet!B801</f>
        <v>SL50-810</v>
      </c>
      <c r="C111" s="1286" t="str">
        <f>chitiet!C801</f>
        <v>x</v>
      </c>
      <c r="D111" s="1954">
        <f>chitiet!D801</f>
        <v>4</v>
      </c>
      <c r="E111" s="2192">
        <f>chitiet!E801</f>
        <v>0</v>
      </c>
      <c r="F111" s="2197" t="str">
        <f>chitiet!F801</f>
        <v>Sắt góc L50 x50 x5 - 810</v>
      </c>
      <c r="G111" s="2202" t="str">
        <f>chitiet!G801</f>
        <v>cái</v>
      </c>
      <c r="H111" s="2202">
        <f>chitiet!H801</f>
        <v>8</v>
      </c>
      <c r="I111" s="2202">
        <f>chitiet!P801</f>
        <v>8</v>
      </c>
      <c r="J111" s="1949">
        <f>IFERROR(VLOOKUP(B111,DG!A:F,6,0),3000)</f>
        <v>50</v>
      </c>
      <c r="K111" s="1950">
        <f>IF(J111&lt;2000,COUNTIF($B$2:B111,B111),0)</f>
        <v>1</v>
      </c>
      <c r="L111" s="1422"/>
      <c r="M111" s="1502"/>
      <c r="O111" s="1502"/>
    </row>
    <row r="112" spans="1:15" s="1282" customFormat="1" ht="25.2" customHeight="1">
      <c r="A112" s="2147">
        <f>COUNTIF($K$1:K112,1)</f>
        <v>87</v>
      </c>
      <c r="B112" s="1953" t="str">
        <f>CT_tram!B2598</f>
        <v>sl50-810</v>
      </c>
      <c r="C112" s="1286">
        <f>CT_tram!C2598</f>
        <v>0</v>
      </c>
      <c r="D112" s="1954">
        <f>CT_tram!D2598</f>
        <v>0</v>
      </c>
      <c r="E112" s="2192">
        <f>CT_tram!E2598</f>
        <v>0</v>
      </c>
      <c r="F112" s="2197" t="str">
        <f>CT_tram!F2598</f>
        <v>Sắt góc L50 x50 x5 - 810</v>
      </c>
      <c r="G112" s="2202" t="str">
        <f>CT_tram!G2598</f>
        <v>cái</v>
      </c>
      <c r="H112" s="2202">
        <f>CT_tram!H2598</f>
        <v>2</v>
      </c>
      <c r="I112" s="2202">
        <f>CT_tram!I2598</f>
        <v>2</v>
      </c>
      <c r="J112" s="1949">
        <f>IFERROR(VLOOKUP(B112,DG!A:F,6,0),3000)</f>
        <v>50</v>
      </c>
      <c r="K112" s="1950">
        <f>IF(J112&lt;2000,COUNTIF($B$2:B112,B112),0)</f>
        <v>2</v>
      </c>
      <c r="L112" s="1422"/>
      <c r="M112" s="1502"/>
      <c r="O112" s="1502"/>
    </row>
    <row r="113" spans="1:15" s="1282" customFormat="1" ht="25.2" customHeight="1">
      <c r="A113" s="2147">
        <f>COUNTIF($K$1:K113,1)</f>
        <v>87</v>
      </c>
      <c r="B113" s="2227" t="str">
        <f>CT_tram!B2606</f>
        <v>sl50-810</v>
      </c>
      <c r="C113" s="1960">
        <f>CT_tram!C2606</f>
        <v>0</v>
      </c>
      <c r="D113" s="1961">
        <f>CT_tram!D2606</f>
        <v>0</v>
      </c>
      <c r="E113" s="1962">
        <f>CT_tram!E2606</f>
        <v>0</v>
      </c>
      <c r="F113" s="1963" t="str">
        <f>CT_tram!F2606</f>
        <v>Sắt góc L50 x50 x5 - 810</v>
      </c>
      <c r="G113" s="2051" t="str">
        <f>CT_tram!G2606</f>
        <v>cái</v>
      </c>
      <c r="H113" s="2052">
        <f>CT_tram!H2606</f>
        <v>2</v>
      </c>
      <c r="I113" s="2052">
        <f>CT_tram!I2606</f>
        <v>2</v>
      </c>
      <c r="J113" s="1949">
        <f>IFERROR(VLOOKUP(B113,DG!A:F,6,0),3000)</f>
        <v>50</v>
      </c>
      <c r="K113" s="1950">
        <f>IF(J113&lt;2000,COUNTIF($B$2:B113,B113),0)</f>
        <v>3</v>
      </c>
      <c r="L113" s="1426"/>
      <c r="M113" s="1502"/>
      <c r="O113" s="1502"/>
    </row>
    <row r="114" spans="1:15" s="1282" customFormat="1" ht="25.2" customHeight="1">
      <c r="A114" s="2147">
        <f>COUNTIF($K$1:K114,1)</f>
        <v>88</v>
      </c>
      <c r="B114" s="2227" t="str">
        <f>chitiet!B955</f>
        <v>SL75-2000</v>
      </c>
      <c r="C114" s="1960" t="str">
        <f>chitiet!C955</f>
        <v>x</v>
      </c>
      <c r="D114" s="1961">
        <f>chitiet!D955</f>
        <v>1</v>
      </c>
      <c r="E114" s="1962">
        <f>chitiet!E955</f>
        <v>0</v>
      </c>
      <c r="F114" s="1963" t="str">
        <f>chitiet!F955</f>
        <v>Sắt góc L75 x75 x8-2.200</v>
      </c>
      <c r="G114" s="2051" t="str">
        <f>chitiet!G955</f>
        <v>cái</v>
      </c>
      <c r="H114" s="2052">
        <f>chitiet!H955</f>
        <v>1</v>
      </c>
      <c r="I114" s="2052">
        <f>chitiet!P955</f>
        <v>1</v>
      </c>
      <c r="J114" s="1949">
        <f>IFERROR(VLOOKUP(B114,DG!A:F,6,0),3000)</f>
        <v>50</v>
      </c>
      <c r="K114" s="1950">
        <f>IF(J114&lt;2000,COUNTIF($B$2:B114,B114),0)</f>
        <v>1</v>
      </c>
      <c r="L114" s="1426"/>
      <c r="M114" s="1969"/>
      <c r="N114" s="1970"/>
      <c r="O114" s="1969"/>
    </row>
    <row r="115" spans="1:15" s="1282" customFormat="1" ht="25.2" customHeight="1">
      <c r="A115" s="2147">
        <f>COUNTIF($K$1:K115,1)</f>
        <v>89</v>
      </c>
      <c r="B115" s="2227" t="str">
        <f>chitiet!B800</f>
        <v>SL75-2200</v>
      </c>
      <c r="C115" s="1960" t="str">
        <f>chitiet!C800</f>
        <v>x</v>
      </c>
      <c r="D115" s="1961">
        <f>chitiet!D800</f>
        <v>2</v>
      </c>
      <c r="E115" s="1962">
        <f>chitiet!E800</f>
        <v>0</v>
      </c>
      <c r="F115" s="1963" t="str">
        <f>chitiet!F800</f>
        <v>Sắt góc L75 x75 x8 x2200</v>
      </c>
      <c r="G115" s="2051" t="str">
        <f>chitiet!G800</f>
        <v>cái</v>
      </c>
      <c r="H115" s="2052">
        <f>chitiet!H800</f>
        <v>4</v>
      </c>
      <c r="I115" s="2052">
        <f>chitiet!P800</f>
        <v>4</v>
      </c>
      <c r="J115" s="1949">
        <f>IFERROR(VLOOKUP(B115,DG!A:F,6,0),3000)</f>
        <v>50</v>
      </c>
      <c r="K115" s="1950">
        <f>IF(J115&lt;2000,COUNTIF($B$2:B115,B115),0)</f>
        <v>1</v>
      </c>
      <c r="L115" s="1426"/>
      <c r="M115" s="1502"/>
      <c r="O115" s="1502"/>
    </row>
    <row r="116" spans="1:15" s="1282" customFormat="1" ht="25.2" customHeight="1">
      <c r="A116" s="2147">
        <f>COUNTIF($K$1:K116,1)</f>
        <v>89</v>
      </c>
      <c r="B116" s="2227" t="str">
        <f>CT_tram!B2605</f>
        <v>sl75-2200</v>
      </c>
      <c r="C116" s="1960">
        <f>CT_tram!C2605</f>
        <v>0</v>
      </c>
      <c r="D116" s="1961">
        <f>CT_tram!D2605</f>
        <v>0</v>
      </c>
      <c r="E116" s="1962">
        <f>CT_tram!E2605</f>
        <v>0</v>
      </c>
      <c r="F116" s="1963" t="str">
        <f>CT_tram!F2605</f>
        <v>Sắt góc L75 x75 x8 x2200</v>
      </c>
      <c r="G116" s="2051" t="str">
        <f>CT_tram!G2605</f>
        <v>cái</v>
      </c>
      <c r="H116" s="2052">
        <f>CT_tram!H2605</f>
        <v>1</v>
      </c>
      <c r="I116" s="2052">
        <f>CT_tram!I2605</f>
        <v>1</v>
      </c>
      <c r="J116" s="1949">
        <f>IFERROR(VLOOKUP(B116,DG!A:F,6,0),3000)</f>
        <v>50</v>
      </c>
      <c r="K116" s="1950">
        <f>IF(J116&lt;2000,COUNTIF($B$2:B116,B116),0)</f>
        <v>2</v>
      </c>
      <c r="L116" s="1426"/>
      <c r="M116" s="1969"/>
      <c r="N116" s="1970"/>
      <c r="O116" s="1969"/>
    </row>
    <row r="117" spans="1:15" s="1282" customFormat="1" ht="25.2" customHeight="1">
      <c r="A117" s="2147">
        <f>COUNTIF($K$1:K117,1)</f>
        <v>90</v>
      </c>
      <c r="B117" s="2227" t="str">
        <f>CT_tram!B2597</f>
        <v>sl75-2400</v>
      </c>
      <c r="C117" s="1960">
        <f>CT_tram!C2597</f>
        <v>0</v>
      </c>
      <c r="D117" s="1961">
        <f>CT_tram!D2597</f>
        <v>0</v>
      </c>
      <c r="E117" s="1962">
        <f>CT_tram!E2597</f>
        <v>0</v>
      </c>
      <c r="F117" s="1963" t="str">
        <f>CT_tram!F2597</f>
        <v>Sắt góc L75 x75 x8 x2400</v>
      </c>
      <c r="G117" s="1964" t="str">
        <f>CT_tram!G2597</f>
        <v>cái</v>
      </c>
      <c r="H117" s="1965">
        <f>CT_tram!H2597</f>
        <v>2</v>
      </c>
      <c r="I117" s="1965">
        <f>CT_tram!I2597</f>
        <v>2</v>
      </c>
      <c r="J117" s="1949">
        <f>IFERROR(VLOOKUP(B117,DG!A:F,6,0),3000)</f>
        <v>50</v>
      </c>
      <c r="K117" s="1950">
        <f>IF(J117&lt;2000,COUNTIF($B$2:B117,B117),0)</f>
        <v>1</v>
      </c>
      <c r="L117" s="1426"/>
      <c r="M117" s="1502"/>
      <c r="O117" s="1502"/>
    </row>
    <row r="118" spans="1:15" s="1282" customFormat="1" ht="25.2" customHeight="1">
      <c r="A118" s="2147">
        <f>COUNTIF($K$1:K118,1)</f>
        <v>91</v>
      </c>
      <c r="B118" s="2227" t="str">
        <f>chitiet!B1161</f>
        <v>SN</v>
      </c>
      <c r="C118" s="1960" t="str">
        <f>chitiet!C1161</f>
        <v>x</v>
      </c>
      <c r="D118" s="1961">
        <f>chitiet!D1161</f>
        <v>1</v>
      </c>
      <c r="E118" s="1962">
        <f>chitiet!E1161</f>
        <v>0</v>
      </c>
      <c r="F118" s="1963" t="str">
        <f>chitiet!F1161</f>
        <v>Sứ chằng</v>
      </c>
      <c r="G118" s="2051" t="str">
        <f>chitiet!G1161</f>
        <v>cái</v>
      </c>
      <c r="H118" s="2052">
        <f>chitiet!H1161</f>
        <v>1</v>
      </c>
      <c r="I118" s="2052">
        <f>chitiet!P1161</f>
        <v>1</v>
      </c>
      <c r="J118" s="1949">
        <f>IFERROR(VLOOKUP(B118,DG!A:F,6,0),3000)</f>
        <v>50</v>
      </c>
      <c r="K118" s="1950">
        <f>IF(J118&lt;2000,COUNTIF($B$2:B118,B118),0)</f>
        <v>1</v>
      </c>
      <c r="L118" s="1426"/>
      <c r="M118" s="1502"/>
      <c r="O118" s="1502"/>
    </row>
    <row r="119" spans="1:15" s="1282" customFormat="1" ht="25.2" customHeight="1">
      <c r="A119" s="2147">
        <f>COUNTIF($K$1:K119,1)</f>
        <v>92</v>
      </c>
      <c r="B119" s="2227" t="str">
        <f>CT_tram!B2697</f>
        <v>SO10</v>
      </c>
      <c r="C119" s="1960">
        <f>CT_tram!C2697</f>
        <v>0</v>
      </c>
      <c r="D119" s="1961">
        <f>CT_tram!D2697</f>
        <v>0</v>
      </c>
      <c r="E119" s="1962">
        <f>CT_tram!E2697</f>
        <v>0</v>
      </c>
      <c r="F119" s="1963" t="str">
        <f>CT_tram!F2697</f>
        <v>Sắt Ø10</v>
      </c>
      <c r="G119" s="2051" t="str">
        <f>CT_tram!G2697</f>
        <v>kg</v>
      </c>
      <c r="H119" s="2052">
        <f>CT_tram!H2697</f>
        <v>1.1434800000000003</v>
      </c>
      <c r="I119" s="2052">
        <f>CT_tram!I2697</f>
        <v>1.1434800000000003</v>
      </c>
      <c r="J119" s="1949">
        <f>IFERROR(VLOOKUP(B119,DG!A:F,6,0),3000)</f>
        <v>50</v>
      </c>
      <c r="K119" s="1950">
        <f>IF(J119&lt;2000,COUNTIF($B$2:B119,B119),0)</f>
        <v>1</v>
      </c>
      <c r="L119" s="1426"/>
      <c r="M119" s="1502"/>
      <c r="O119" s="1502"/>
    </row>
    <row r="120" spans="1:15" s="1282" customFormat="1" ht="25.2" customHeight="1">
      <c r="A120" s="2147">
        <f>COUNTIF($K$1:K120,1)</f>
        <v>93</v>
      </c>
      <c r="B120" s="1953" t="str">
        <f>CT_tram!B2712</f>
        <v>so8</v>
      </c>
      <c r="C120" s="1286">
        <f>CT_tram!C2712</f>
        <v>0</v>
      </c>
      <c r="D120" s="1954">
        <f>CT_tram!D2712</f>
        <v>0</v>
      </c>
      <c r="E120" s="1498">
        <f>CT_tram!E2712</f>
        <v>0</v>
      </c>
      <c r="F120" s="1955" t="str">
        <f>CT_tram!F2712</f>
        <v>Sắt Ø8</v>
      </c>
      <c r="G120" s="1964" t="str">
        <f>CT_tram!G2712</f>
        <v>kg</v>
      </c>
      <c r="H120" s="1965">
        <f>CT_tram!H2712</f>
        <v>16</v>
      </c>
      <c r="I120" s="1965">
        <f>CT_tram!I2712</f>
        <v>16</v>
      </c>
      <c r="J120" s="1949">
        <f>IFERROR(VLOOKUP(B120,DG!A:F,6,0),3000)</f>
        <v>50</v>
      </c>
      <c r="K120" s="1950">
        <f>IF(J120&lt;2000,COUNTIF($B$2:B120,B120),0)</f>
        <v>1</v>
      </c>
      <c r="L120" s="1426"/>
      <c r="M120" s="1502"/>
      <c r="O120" s="1502"/>
    </row>
    <row r="121" spans="1:15" s="1282" customFormat="1" ht="25.2" customHeight="1">
      <c r="A121" s="2147">
        <f>COUNTIF($K$1:K121,1)</f>
        <v>94</v>
      </c>
      <c r="B121" s="2227" t="str">
        <f>chitiet!B1404</f>
        <v>TN2224</v>
      </c>
      <c r="C121" s="1960" t="str">
        <f>chitiet!C1404</f>
        <v>x</v>
      </c>
      <c r="D121" s="1961">
        <f>chitiet!D1404</f>
        <v>1</v>
      </c>
      <c r="E121" s="1962">
        <f>chitiet!E1404</f>
        <v>0</v>
      </c>
      <c r="F121" s="1963" t="str">
        <f>chitiet!F1404</f>
        <v>Ty neo Ø22x2400</v>
      </c>
      <c r="G121" s="2053" t="str">
        <f>chitiet!G1404</f>
        <v>cái</v>
      </c>
      <c r="H121" s="2054">
        <f>chitiet!H1404</f>
        <v>1</v>
      </c>
      <c r="I121" s="1965">
        <f>chitiet!P1404</f>
        <v>1</v>
      </c>
      <c r="J121" s="1949">
        <f>IFERROR(VLOOKUP(B121,DG!A:F,6,0),3000)</f>
        <v>50</v>
      </c>
      <c r="K121" s="1950">
        <f>IF(J121&lt;2000,COUNTIF($B$2:B121,B121),0)</f>
        <v>1</v>
      </c>
      <c r="L121" s="1426"/>
      <c r="M121" s="1502"/>
      <c r="O121" s="1502"/>
    </row>
    <row r="122" spans="1:15" s="1282" customFormat="1" ht="25.2" customHeight="1">
      <c r="A122" s="2147">
        <f>COUNTIF($K$1:K122,1)</f>
        <v>95</v>
      </c>
      <c r="B122" s="2281" t="str">
        <f>CT_tram!B2738</f>
        <v>TUDKDT</v>
      </c>
      <c r="C122" s="2056">
        <f>CT_tram!C2738</f>
        <v>0</v>
      </c>
      <c r="D122" s="2057">
        <f>CT_tram!D2738</f>
        <v>0</v>
      </c>
      <c r="E122" s="1962" t="str">
        <f>CT_tram!E2738</f>
        <v>T5.1001</v>
      </c>
      <c r="F122" s="1963" t="str">
        <f>CT_tram!F2738</f>
        <v>Thùng điện kế 450x300x200mm đo đếm trung thế</v>
      </c>
      <c r="G122" s="2051" t="str">
        <f>CT_tram!G2738</f>
        <v>cái</v>
      </c>
      <c r="H122" s="2052">
        <f>CT_tram!H2738</f>
        <v>1</v>
      </c>
      <c r="I122" s="2052">
        <f>CT_tram!I2738</f>
        <v>1</v>
      </c>
      <c r="J122" s="1949">
        <f>IFERROR(VLOOKUP(B122,DG!A:F,6,0),3000)</f>
        <v>50</v>
      </c>
      <c r="K122" s="1950">
        <f>IF(J122&lt;2000,COUNTIF($B$2:B122,B122),0)</f>
        <v>1</v>
      </c>
      <c r="L122" s="1968"/>
      <c r="M122" s="1502"/>
      <c r="O122" s="1502"/>
    </row>
    <row r="123" spans="1:15" s="1282" customFormat="1" ht="25.2" customHeight="1">
      <c r="A123" s="2147">
        <f>COUNTIF($K$1:K123,1)</f>
        <v>96</v>
      </c>
      <c r="B123" s="2227" t="str">
        <f>CT_tram!B2725</f>
        <v>xAtuti</v>
      </c>
      <c r="C123" s="1960">
        <f>CT_tram!C2725</f>
        <v>0</v>
      </c>
      <c r="D123" s="1961">
        <f>CT_tram!D2725</f>
        <v>0</v>
      </c>
      <c r="E123" s="1962">
        <f>CT_tram!E2725</f>
        <v>0</v>
      </c>
      <c r="F123" s="1963" t="str">
        <f>CT_tram!F2725</f>
        <v>Xà kẹp TU, TI U50x32x4 350</v>
      </c>
      <c r="G123" s="1964" t="str">
        <f>CT_tram!G2725</f>
        <v>cái</v>
      </c>
      <c r="H123" s="1965">
        <f>CT_tram!H2725</f>
        <v>24</v>
      </c>
      <c r="I123" s="1965">
        <f>CT_tram!I2725</f>
        <v>24</v>
      </c>
      <c r="J123" s="1949">
        <f>IFERROR(VLOOKUP(B123,DG!A:F,6,0),3000)</f>
        <v>50</v>
      </c>
      <c r="K123" s="1950">
        <f>IF(J123&lt;2000,COUNTIF($B$2:B123,B123),0)</f>
        <v>1</v>
      </c>
      <c r="L123" s="1422"/>
      <c r="M123" s="1502"/>
      <c r="O123" s="1502"/>
    </row>
    <row r="124" spans="1:15" s="1282" customFormat="1" ht="25.2" customHeight="1">
      <c r="A124" s="2147">
        <f>COUNTIF($K$1:K124,1)</f>
        <v>97</v>
      </c>
      <c r="B124" s="2227" t="str">
        <f>chitiet!B1165</f>
        <v>YC</v>
      </c>
      <c r="C124" s="1960" t="str">
        <f>chitiet!C1165</f>
        <v>x</v>
      </c>
      <c r="D124" s="1961">
        <f>chitiet!D1165</f>
        <v>2</v>
      </c>
      <c r="E124" s="1962">
        <f>chitiet!E1165</f>
        <v>0</v>
      </c>
      <c r="F124" s="1963" t="str">
        <f>chitiet!F1165</f>
        <v>Yếm cáp dày 2mm</v>
      </c>
      <c r="G124" s="2051" t="str">
        <f>chitiet!G1165</f>
        <v>cái</v>
      </c>
      <c r="H124" s="2052">
        <f>chitiet!H1165</f>
        <v>2</v>
      </c>
      <c r="I124" s="2052">
        <f>chitiet!P1165</f>
        <v>2</v>
      </c>
      <c r="J124" s="1949">
        <f>IFERROR(VLOOKUP(B124,DG!A:F,6,0),3000)</f>
        <v>50</v>
      </c>
      <c r="K124" s="1950">
        <f>IF(J124&lt;2000,COUNTIF($B$2:B124,B124),0)</f>
        <v>1</v>
      </c>
      <c r="L124" s="1426"/>
      <c r="M124" s="1502"/>
      <c r="O124" s="1502"/>
    </row>
    <row r="125" spans="1:15" s="1282" customFormat="1" ht="25.2" customHeight="1">
      <c r="A125" s="2147">
        <f>COUNTIF($K$1:K125,1)</f>
        <v>98</v>
      </c>
      <c r="B125" s="2227" t="str">
        <f>chitiet!B357</f>
        <v>XM</v>
      </c>
      <c r="C125" s="1960" t="str">
        <f>chitiet!C357</f>
        <v>x</v>
      </c>
      <c r="D125" s="1961">
        <f>chitiet!D357</f>
        <v>504</v>
      </c>
      <c r="E125" s="1962">
        <f>chitiet!E357</f>
        <v>0</v>
      </c>
      <c r="F125" s="1963" t="str">
        <f>chitiet!F357</f>
        <v>Ximăng (PC40)</v>
      </c>
      <c r="G125" s="2051" t="str">
        <f>chitiet!G357</f>
        <v>kg</v>
      </c>
      <c r="H125" s="2052">
        <f>chitiet!H357</f>
        <v>504</v>
      </c>
      <c r="I125" s="2052">
        <f>chitiet!P357</f>
        <v>504</v>
      </c>
      <c r="J125" s="1949">
        <f>IFERROR(VLOOKUP(B125,DG!A:F,6,0),3000)</f>
        <v>996</v>
      </c>
      <c r="K125" s="1950">
        <f>IF(J125&lt;2000,COUNTIF($B$2:B125,B125),0)</f>
        <v>1</v>
      </c>
      <c r="L125" s="1426"/>
      <c r="M125" s="1502"/>
      <c r="O125" s="1502"/>
    </row>
    <row r="126" spans="1:15" s="1282" customFormat="1" ht="25.2" customHeight="1">
      <c r="A126" s="2147">
        <f>COUNTIF($K$1:K126,1)</f>
        <v>99</v>
      </c>
      <c r="B126" s="2279" t="str">
        <f>chitiet!B358</f>
        <v>Cat</v>
      </c>
      <c r="C126" s="1952" t="str">
        <f>chitiet!C358</f>
        <v>x</v>
      </c>
      <c r="D126" s="1956">
        <f>chitiet!D358</f>
        <v>0.80900000000000005</v>
      </c>
      <c r="E126" s="1957">
        <f>chitiet!E358</f>
        <v>0</v>
      </c>
      <c r="F126" s="1958" t="str">
        <f>chitiet!F358</f>
        <v>Cát vàng</v>
      </c>
      <c r="G126" s="2053" t="str">
        <f>chitiet!G358</f>
        <v>m3</v>
      </c>
      <c r="H126" s="2054">
        <f>chitiet!H358</f>
        <v>0.80900000000000005</v>
      </c>
      <c r="I126" s="2055">
        <f>chitiet!P358</f>
        <v>0.80900000000000005</v>
      </c>
      <c r="J126" s="1949">
        <f>IFERROR(VLOOKUP(B126,DG!A:F,6,0),3000)</f>
        <v>997</v>
      </c>
      <c r="K126" s="1950">
        <f>IF(J126&lt;2000,COUNTIF($B$2:B126,B126),0)</f>
        <v>1</v>
      </c>
      <c r="L126" s="1426"/>
      <c r="M126" s="1502"/>
      <c r="O126" s="1502"/>
    </row>
    <row r="127" spans="1:15" s="1282" customFormat="1" ht="25.2" customHeight="1">
      <c r="A127" s="2147">
        <f>COUNTIF($K$1:K127,1)</f>
        <v>100</v>
      </c>
      <c r="B127" s="2227" t="str">
        <f>chitiet!B359</f>
        <v>D1X2</v>
      </c>
      <c r="C127" s="1960" t="str">
        <f>chitiet!C359</f>
        <v>x</v>
      </c>
      <c r="D127" s="1961">
        <f>chitiet!D359</f>
        <v>1.5009999999999999</v>
      </c>
      <c r="E127" s="1962">
        <f>chitiet!E359</f>
        <v>0</v>
      </c>
      <c r="F127" s="1963" t="str">
        <f>chitiet!F359</f>
        <v>Đá 1x2</v>
      </c>
      <c r="G127" s="2051" t="str">
        <f>chitiet!G359</f>
        <v>m3</v>
      </c>
      <c r="H127" s="2052">
        <f>chitiet!H359</f>
        <v>1.5009999999999999</v>
      </c>
      <c r="I127" s="2052">
        <f>chitiet!P359</f>
        <v>1.5009999999999999</v>
      </c>
      <c r="J127" s="1949">
        <f>IFERROR(VLOOKUP(B127,DG!A:F,6,0),3000)</f>
        <v>999</v>
      </c>
      <c r="K127" s="1950">
        <f>IF(J127&lt;2000,COUNTIF($B$2:B127,B127),0)</f>
        <v>1</v>
      </c>
      <c r="L127" s="1426"/>
      <c r="M127" s="1502"/>
      <c r="O127" s="1502"/>
    </row>
    <row r="128" spans="1:15" s="1282" customFormat="1" ht="25.2" customHeight="1">
      <c r="A128" s="2147">
        <f>COUNTIF($K$1:K128,1)</f>
        <v>100</v>
      </c>
      <c r="B128" s="2227" t="str">
        <f>chitiet!B753</f>
        <v>BTLT 12</v>
      </c>
      <c r="C128" s="1960" t="str">
        <f>chitiet!C753</f>
        <v>x</v>
      </c>
      <c r="D128" s="1961">
        <f>chitiet!D753</f>
        <v>0</v>
      </c>
      <c r="E128" s="1962">
        <f>chitiet!E753</f>
        <v>0</v>
      </c>
      <c r="F128" s="1963" t="str">
        <f>chitiet!F753</f>
        <v>Trụ bê tông ly tâm 12m trồng thủ công+cơ giới</v>
      </c>
      <c r="G128" s="2051" t="str">
        <f>chitiet!G753</f>
        <v>Trụ</v>
      </c>
      <c r="H128" s="2052">
        <f>chitiet!H753</f>
        <v>3</v>
      </c>
      <c r="I128" s="2052">
        <f>chitiet!P753</f>
        <v>3</v>
      </c>
      <c r="J128" s="1949">
        <f>IFERROR(VLOOKUP(B128,DG!A:F,6,0),3000)</f>
        <v>2000</v>
      </c>
      <c r="K128" s="1950">
        <f>IF(J128&lt;2000,COUNTIF($B$2:B128,B128),0)</f>
        <v>0</v>
      </c>
      <c r="L128" s="1426"/>
      <c r="M128" s="1502"/>
      <c r="O128" s="1502"/>
    </row>
    <row r="129" spans="1:15" s="1282" customFormat="1" ht="25.2" customHeight="1">
      <c r="A129" s="2147">
        <f>COUNTIF($K$1:K129,1)</f>
        <v>100</v>
      </c>
      <c r="B129" s="2227" t="str">
        <f>chitiet!B756</f>
        <v>C12m</v>
      </c>
      <c r="C129" s="1960" t="str">
        <f>chitiet!C756</f>
        <v>x</v>
      </c>
      <c r="D129" s="1961">
        <f>chitiet!D756</f>
        <v>1</v>
      </c>
      <c r="E129" s="1962" t="str">
        <f>chitiet!E756</f>
        <v>05.5402</v>
      </c>
      <c r="F129" s="1963" t="str">
        <f>chitiet!F756</f>
        <v>Dựng trụ BTLT 12m thủ công + cơ giới</v>
      </c>
      <c r="G129" s="2053" t="str">
        <f>chitiet!G756</f>
        <v>trụ</v>
      </c>
      <c r="H129" s="2054">
        <f>chitiet!H756</f>
        <v>3</v>
      </c>
      <c r="I129" s="2052">
        <f>chitiet!P756</f>
        <v>3</v>
      </c>
      <c r="J129" s="1949">
        <f>IFERROR(VLOOKUP(B129,DG!A:F,6,0),3000)</f>
        <v>2000</v>
      </c>
      <c r="K129" s="1950">
        <f>IF(J129&lt;2000,COUNTIF($B$2:B129,B129),0)</f>
        <v>0</v>
      </c>
      <c r="L129" s="1426"/>
      <c r="M129" s="1502"/>
      <c r="O129" s="1502"/>
    </row>
    <row r="130" spans="1:15" s="1282" customFormat="1" ht="25.2" customHeight="1">
      <c r="A130" s="2147">
        <f>COUNTIF($K$1:K130,1)</f>
        <v>100</v>
      </c>
      <c r="B130" s="1953" t="str">
        <f>chitiet!B1815</f>
        <v>CĐTply-X</v>
      </c>
      <c r="C130" s="1286" t="str">
        <f>chitiet!C1815</f>
        <v>x</v>
      </c>
      <c r="D130" s="1954">
        <f>chitiet!D1815</f>
        <v>6</v>
      </c>
      <c r="E130" s="1498">
        <f>chitiet!E1815</f>
        <v>0</v>
      </c>
      <c r="F130" s="1955" t="str">
        <f>chitiet!F1815</f>
        <v>Chuỗi sứ treo Polymer 25kV lắp vào xà : CĐT ply-X</v>
      </c>
      <c r="G130" s="1964" t="str">
        <f>chitiet!G1815</f>
        <v>chuỗi</v>
      </c>
      <c r="H130" s="1965">
        <f>chitiet!H1815</f>
        <v>6</v>
      </c>
      <c r="I130" s="1965">
        <f>chitiet!P1815</f>
        <v>6</v>
      </c>
      <c r="J130" s="1949">
        <f>IFERROR(VLOOKUP(B130,DG!A:F,6,0),3000)</f>
        <v>2000</v>
      </c>
      <c r="K130" s="1950">
        <f>IF(J130&lt;2000,COUNTIF($B$2:B130,B130),0)</f>
        <v>0</v>
      </c>
      <c r="L130" s="1426"/>
      <c r="M130" s="1502"/>
      <c r="O130" s="1502"/>
    </row>
    <row r="131" spans="1:15" s="1282" customFormat="1" ht="25.2" customHeight="1">
      <c r="A131" s="2147">
        <f>COUNTIF($K$1:K131,1)</f>
        <v>100</v>
      </c>
      <c r="B131" s="2227" t="str">
        <f>chitiet!B1159</f>
        <v>CX12-B</v>
      </c>
      <c r="C131" s="1960" t="str">
        <f>chitiet!C1159</f>
        <v>x</v>
      </c>
      <c r="D131" s="1961">
        <f>chitiet!D1159</f>
        <v>0</v>
      </c>
      <c r="E131" s="1962">
        <f>chitiet!E1159</f>
        <v>0</v>
      </c>
      <c r="F131" s="1963" t="str">
        <f>chitiet!F1159</f>
        <v>Bộ chằng xuống đơn cho trụ 12m: CX12-B</v>
      </c>
      <c r="G131" s="2051" t="str">
        <f>chitiet!G1159</f>
        <v>Bộ</v>
      </c>
      <c r="H131" s="2052">
        <f>chitiet!H1159</f>
        <v>1</v>
      </c>
      <c r="I131" s="2052">
        <f>chitiet!P1159</f>
        <v>1</v>
      </c>
      <c r="J131" s="1949">
        <f>IFERROR(VLOOKUP(B131,DG!A:F,6,0),3000)</f>
        <v>2000</v>
      </c>
      <c r="K131" s="1950">
        <f>IF(J131&lt;2000,COUNTIF($B$2:B131,B131),0)</f>
        <v>0</v>
      </c>
      <c r="L131" s="1968"/>
      <c r="M131" s="1502"/>
      <c r="O131" s="1502"/>
    </row>
    <row r="132" spans="1:15" s="1282" customFormat="1" ht="25.2" customHeight="1">
      <c r="A132" s="2147">
        <f>COUNTIF($K$1:K132,1)</f>
        <v>100</v>
      </c>
      <c r="B132" s="2279" t="str">
        <f>CT_tram!B2622</f>
        <v>DATD3</v>
      </c>
      <c r="C132" s="1952">
        <f>CT_tram!C2622</f>
        <v>0</v>
      </c>
      <c r="D132" s="1956">
        <f>CT_tram!D2622</f>
        <v>0</v>
      </c>
      <c r="E132" s="1957" t="str">
        <f>CT_tram!E2622</f>
        <v>AB.13111</v>
      </c>
      <c r="F132" s="1958" t="str">
        <f>CT_tram!F2622</f>
        <v>Đắp đất rãnh tiếp độ chặt k=0,85</v>
      </c>
      <c r="G132" s="2053" t="str">
        <f>CT_tram!G2622</f>
        <v>m3</v>
      </c>
      <c r="H132" s="2054">
        <f>CT_tram!H2622</f>
        <v>6.75</v>
      </c>
      <c r="I132" s="2055">
        <f>CT_tram!I2622</f>
        <v>6.75</v>
      </c>
      <c r="J132" s="1949">
        <f>IFERROR(VLOOKUP(B132,DG!A:F,6,0),3000)</f>
        <v>2000</v>
      </c>
      <c r="K132" s="1950">
        <f>IF(J132&lt;2000,COUNTIF($B$2:B132,B132),0)</f>
        <v>0</v>
      </c>
      <c r="L132" s="1426"/>
      <c r="M132" s="1502"/>
      <c r="O132" s="1502"/>
    </row>
    <row r="133" spans="1:15" s="1282" customFormat="1" ht="25.2" customHeight="1">
      <c r="A133" s="2147">
        <f>COUNTIF($K$1:K133,1)</f>
        <v>100</v>
      </c>
      <c r="B133" s="1953" t="str">
        <f>CT_tram!B2702</f>
        <v>DBT10046</v>
      </c>
      <c r="C133" s="1286">
        <f>CT_tram!C2702</f>
        <v>0</v>
      </c>
      <c r="D133" s="1954">
        <f>CT_tram!D2702</f>
        <v>0</v>
      </c>
      <c r="E133" s="2192" t="str">
        <f>CT_tram!E2702</f>
        <v>AF.11220</v>
      </c>
      <c r="F133" s="2197" t="str">
        <f>CT_tram!F2702</f>
        <v>Đổ bê tông mác M100 đá 4x6</v>
      </c>
      <c r="G133" s="2202" t="str">
        <f>CT_tram!G2702</f>
        <v>m3</v>
      </c>
      <c r="H133" s="2202">
        <f>CT_tram!H2702</f>
        <v>0.16799999999999998</v>
      </c>
      <c r="I133" s="2202">
        <f>CT_tram!I2702</f>
        <v>0.16799999999999998</v>
      </c>
      <c r="J133" s="1949">
        <f>IFERROR(VLOOKUP(B133,DG!A:F,6,0),3000)</f>
        <v>2000</v>
      </c>
      <c r="K133" s="1950">
        <f>IF(J133&lt;2000,COUNTIF($B$2:B133,B133),0)</f>
        <v>0</v>
      </c>
      <c r="L133" s="1422"/>
      <c r="M133" s="1502"/>
      <c r="O133" s="1502"/>
    </row>
    <row r="134" spans="1:15" s="1282" customFormat="1" ht="25.2" customHeight="1">
      <c r="A134" s="2147">
        <f>COUNTIF($K$1:K134,1)</f>
        <v>100</v>
      </c>
      <c r="B134" s="2227" t="str">
        <f>chitiet!B375</f>
        <v>DBT15012</v>
      </c>
      <c r="C134" s="1960" t="str">
        <f>chitiet!C375</f>
        <v>x</v>
      </c>
      <c r="D134" s="1961">
        <f>chitiet!D375</f>
        <v>1.704</v>
      </c>
      <c r="E134" s="1962" t="str">
        <f>chitiet!E375</f>
        <v>04.1203b</v>
      </c>
      <c r="F134" s="1963" t="str">
        <f>chitiet!F375</f>
        <v>Đổ bê tông mác M150 đá 1x2</v>
      </c>
      <c r="G134" s="2051" t="str">
        <f>chitiet!G375</f>
        <v>m3</v>
      </c>
      <c r="H134" s="2052">
        <f>chitiet!H375</f>
        <v>1.704</v>
      </c>
      <c r="I134" s="2052">
        <f>chitiet!$P$375</f>
        <v>1.704</v>
      </c>
      <c r="J134" s="1949">
        <f>IFERROR(VLOOKUP(B134,DG!A:F,6,0),3000)</f>
        <v>2000</v>
      </c>
      <c r="K134" s="1950">
        <f>IF(J134&lt;2000,COUNTIF($B$2:B134,B134),0)</f>
        <v>0</v>
      </c>
      <c r="L134" s="1426"/>
      <c r="M134" s="1502"/>
      <c r="O134" s="1502"/>
    </row>
    <row r="135" spans="1:15" s="1282" customFormat="1" ht="25.2" customHeight="1">
      <c r="A135" s="2147">
        <f>COUNTIF($K$1:K135,1)</f>
        <v>100</v>
      </c>
      <c r="B135" s="1953" t="str">
        <f>CT_tram!B2701</f>
        <v>dbt20012</v>
      </c>
      <c r="C135" s="1286">
        <f>CT_tram!C2701</f>
        <v>0</v>
      </c>
      <c r="D135" s="1954">
        <f>CT_tram!D2701</f>
        <v>0</v>
      </c>
      <c r="E135" s="2192" t="str">
        <f>CT_tram!E2701</f>
        <v>AF.11220</v>
      </c>
      <c r="F135" s="2197" t="str">
        <f>CT_tram!F2701</f>
        <v>Đổ bê tông móng trụ &lt;=250cm-M200 đá 1x2</v>
      </c>
      <c r="G135" s="2202" t="str">
        <f>CT_tram!G2701</f>
        <v>m3</v>
      </c>
      <c r="H135" s="2202">
        <f>CT_tram!H2701</f>
        <v>1.08</v>
      </c>
      <c r="I135" s="2202">
        <f>CT_tram!I2701</f>
        <v>1.08</v>
      </c>
      <c r="J135" s="1949">
        <f>IFERROR(VLOOKUP(B135,DG!A:F,6,0),3000)</f>
        <v>2000</v>
      </c>
      <c r="K135" s="1950">
        <f>IF(J135&lt;2000,COUNTIF($B$2:B135,B135),0)</f>
        <v>0</v>
      </c>
      <c r="L135" s="1422"/>
      <c r="M135" s="1502"/>
      <c r="O135" s="1502"/>
    </row>
    <row r="136" spans="1:15" s="1282" customFormat="1" ht="25.2" customHeight="1">
      <c r="A136" s="2147">
        <f>COUNTIF($K$1:K136,1)</f>
        <v>100</v>
      </c>
      <c r="B136" s="2279" t="str">
        <f>CT_tram!B2718</f>
        <v>dbt20012</v>
      </c>
      <c r="C136" s="1952">
        <f>CT_tram!C2718</f>
        <v>0</v>
      </c>
      <c r="D136" s="1956">
        <f>CT_tram!D2718</f>
        <v>0</v>
      </c>
      <c r="E136" s="2194" t="str">
        <f>CT_tram!E2718</f>
        <v>AF.11220</v>
      </c>
      <c r="F136" s="2199" t="str">
        <f>CT_tram!F2718</f>
        <v>Đổ bê tông móng trụ &lt;=250cm-M200 đá 1x2</v>
      </c>
      <c r="G136" s="2205" t="str">
        <f>CT_tram!G2718</f>
        <v>m3</v>
      </c>
      <c r="H136" s="2205">
        <f>CT_tram!H2718</f>
        <v>0.12</v>
      </c>
      <c r="I136" s="2202">
        <f>CT_tram!I2718</f>
        <v>0.12</v>
      </c>
      <c r="J136" s="1949">
        <f>IFERROR(VLOOKUP(B136,DG!A:F,6,0),3000)</f>
        <v>2000</v>
      </c>
      <c r="K136" s="1950">
        <f>IF(J136&lt;2000,COUNTIF($B$2:B136,B136),0)</f>
        <v>0</v>
      </c>
      <c r="L136" s="1422"/>
      <c r="M136" s="1502"/>
      <c r="O136" s="1502"/>
    </row>
    <row r="137" spans="1:15" s="1282" customFormat="1" ht="25.2" customHeight="1">
      <c r="A137" s="2147">
        <f>COUNTIF($K$1:K137,1)</f>
        <v>100</v>
      </c>
      <c r="B137" s="2227" t="str">
        <f>chitiet!B620</f>
        <v>DCTD3</v>
      </c>
      <c r="C137" s="1960" t="str">
        <f>chitiet!C620</f>
        <v>x</v>
      </c>
      <c r="D137" s="1961">
        <f>chitiet!D620</f>
        <v>1</v>
      </c>
      <c r="E137" s="1962" t="str">
        <f>chitiet!E620</f>
        <v>05.8103</v>
      </c>
      <c r="F137" s="1963" t="str">
        <f>chitiet!F620</f>
        <v>Đóng cọc tiếp địa đất cấp 3</v>
      </c>
      <c r="G137" s="2053" t="str">
        <f>chitiet!G620</f>
        <v>cọc</v>
      </c>
      <c r="H137" s="2052">
        <f>chitiet!H620</f>
        <v>1</v>
      </c>
      <c r="I137" s="2052">
        <f>chitiet!P620</f>
        <v>1</v>
      </c>
      <c r="J137" s="1949">
        <f>IFERROR(VLOOKUP(B137,DG!A:F,6,0),3000)</f>
        <v>2000</v>
      </c>
      <c r="K137" s="1950">
        <f>IF(J137&lt;2000,COUNTIF($B$2:B137,B137),0)</f>
        <v>0</v>
      </c>
      <c r="L137" s="1426"/>
      <c r="M137" s="1502"/>
      <c r="O137" s="1502"/>
    </row>
    <row r="138" spans="1:15" s="1282" customFormat="1" ht="25.2" customHeight="1">
      <c r="A138" s="2147">
        <f>COUNTIF($K$1:K138,1)</f>
        <v>100</v>
      </c>
      <c r="B138" s="2227" t="str">
        <f>chitiet!B1750</f>
        <v>DDTT3P1m-m</v>
      </c>
      <c r="C138" s="1960" t="str">
        <f>chitiet!C1750</f>
        <v>x</v>
      </c>
      <c r="D138" s="1961">
        <f>chitiet!D1750</f>
        <v>1</v>
      </c>
      <c r="E138" s="1962">
        <f>chitiet!E1750</f>
        <v>1</v>
      </c>
      <c r="F138" s="1963" t="str">
        <f>chitiet!F1750</f>
        <v>Phần trung thế 3 pha xây dựng mới</v>
      </c>
      <c r="G138" s="2051" t="str">
        <f>chitiet!G1750</f>
        <v>Tbộ</v>
      </c>
      <c r="H138" s="2052">
        <f>chitiet!H1750</f>
        <v>1</v>
      </c>
      <c r="I138" s="2052">
        <f>chitiet!$P$1750</f>
        <v>1</v>
      </c>
      <c r="J138" s="1949">
        <f>IFERROR(VLOOKUP(B138,DG!A:F,6,0),3000)</f>
        <v>2000</v>
      </c>
      <c r="K138" s="1950">
        <f>IF(J138&lt;2000,COUNTIF($B$2:B138,B138),0)</f>
        <v>0</v>
      </c>
      <c r="L138" s="1426"/>
      <c r="M138" s="1502"/>
      <c r="O138" s="1502"/>
    </row>
    <row r="139" spans="1:15" s="1282" customFormat="1" ht="25.2" customHeight="1">
      <c r="A139" s="2147">
        <f>COUNTIF($K$1:K139,1)</f>
        <v>100</v>
      </c>
      <c r="B139" s="1953" t="str">
        <f>CT_tram!B2563</f>
        <v>DK3DT</v>
      </c>
      <c r="C139" s="1286">
        <f>CT_tram!C2563</f>
        <v>0</v>
      </c>
      <c r="D139" s="1954">
        <f>CT_tram!D2563</f>
        <v>7</v>
      </c>
      <c r="E139" s="1498">
        <f>CT_tram!E2563</f>
        <v>0</v>
      </c>
      <c r="F139" s="1955" t="str">
        <f>CT_tram!F2563</f>
        <v>Điện kế 3 pha điện tử 600V-5A</v>
      </c>
      <c r="G139" s="1964" t="str">
        <f>CT_tram!G2563</f>
        <v>cái</v>
      </c>
      <c r="H139" s="1965">
        <f>CT_tram!H2563</f>
        <v>1</v>
      </c>
      <c r="I139" s="1965">
        <f>CT_tram!I2563</f>
        <v>1</v>
      </c>
      <c r="J139" s="1949">
        <f>IFERROR(VLOOKUP(B139,DG!A:F,6,0),3000)</f>
        <v>2000</v>
      </c>
      <c r="K139" s="1950">
        <f>IF(J139&lt;2000,COUNTIF($B$2:B139,B139),0)</f>
        <v>0</v>
      </c>
      <c r="L139" s="1426"/>
      <c r="M139" s="1502"/>
      <c r="O139" s="1502"/>
    </row>
    <row r="140" spans="1:15" s="1282" customFormat="1" ht="25.2" customHeight="1">
      <c r="A140" s="2147">
        <f>COUNTIF($K$1:K140,1)</f>
        <v>100</v>
      </c>
      <c r="B140" s="2227" t="str">
        <f>CT_tram!B2621</f>
        <v>DTD3</v>
      </c>
      <c r="C140" s="1960">
        <f>CT_tram!C2621</f>
        <v>0</v>
      </c>
      <c r="D140" s="1961">
        <f>CT_tram!D2621</f>
        <v>0</v>
      </c>
      <c r="E140" s="1962" t="str">
        <f>CT_tram!E2621</f>
        <v>AB.11513</v>
      </c>
      <c r="F140" s="1963" t="str">
        <f>CT_tram!F2621</f>
        <v>Đào rãnh tiếp địa đất cấp 3</v>
      </c>
      <c r="G140" s="2051" t="str">
        <f>CT_tram!G2621</f>
        <v>m3</v>
      </c>
      <c r="H140" s="2052">
        <f>CT_tram!H2621</f>
        <v>6.75</v>
      </c>
      <c r="I140" s="2052">
        <f>CT_tram!I2621</f>
        <v>6.75</v>
      </c>
      <c r="J140" s="1949">
        <f>IFERROR(VLOOKUP(B140,DG!A:F,6,0),3000)</f>
        <v>2000</v>
      </c>
      <c r="K140" s="1950">
        <f>IF(J140&lt;2000,COUNTIF($B$2:B140,B140),0)</f>
        <v>0</v>
      </c>
      <c r="L140" s="1426"/>
      <c r="M140" s="1502"/>
      <c r="O140" s="1502"/>
    </row>
    <row r="141" spans="1:15" s="1282" customFormat="1" ht="25.2" customHeight="1">
      <c r="A141" s="2147">
        <f>COUNTIF($K$1:K141,1)</f>
        <v>100</v>
      </c>
      <c r="B141" s="1953" t="str">
        <f>chitiet!B1770</f>
        <v>Đth-U</v>
      </c>
      <c r="C141" s="1286" t="str">
        <f>chitiet!C1770</f>
        <v>x</v>
      </c>
      <c r="D141" s="1954">
        <f>chitiet!D1770</f>
        <v>1</v>
      </c>
      <c r="E141" s="2192">
        <f>chitiet!E1770</f>
        <v>0</v>
      </c>
      <c r="F141" s="2197" t="str">
        <f>chitiet!F1770</f>
        <v>Bộ Uclevis đỡ dây trung hòa: Đth-U (trụ đơn)</v>
      </c>
      <c r="G141" s="2202" t="str">
        <f>chitiet!G1770</f>
        <v>bộ</v>
      </c>
      <c r="H141" s="2202">
        <f>chitiet!H1770</f>
        <v>1</v>
      </c>
      <c r="I141" s="2202">
        <f>chitiet!P1770</f>
        <v>1</v>
      </c>
      <c r="J141" s="1949">
        <f>IFERROR(VLOOKUP(B141,DG!A:F,6,0),3000)</f>
        <v>2000</v>
      </c>
      <c r="K141" s="1950">
        <f>IF(J141&lt;2000,COUNTIF($B$2:B141,B141),0)</f>
        <v>0</v>
      </c>
      <c r="L141" s="1422"/>
      <c r="M141" s="1502"/>
      <c r="O141" s="1502"/>
    </row>
    <row r="142" spans="1:15" s="1282" customFormat="1" ht="25.2" customHeight="1">
      <c r="A142" s="2147">
        <f>COUNTIF($K$1:K142,1)</f>
        <v>100</v>
      </c>
      <c r="B142" s="2227" t="str">
        <f>chitiet!B755</f>
        <v>G</v>
      </c>
      <c r="C142" s="1960" t="str">
        <f>chitiet!C755</f>
        <v>x</v>
      </c>
      <c r="D142" s="1961">
        <f>chitiet!D755</f>
        <v>1</v>
      </c>
      <c r="E142" s="2224">
        <f>chitiet!E755</f>
        <v>0</v>
      </c>
      <c r="F142" s="2225" t="str">
        <f>chitiet!F755</f>
        <v>Vật liệu dựng trụ</v>
      </c>
      <c r="G142" s="2226" t="str">
        <f>chitiet!G755</f>
        <v>trụ</v>
      </c>
      <c r="H142" s="2226">
        <f>chitiet!H755</f>
        <v>3</v>
      </c>
      <c r="I142" s="2226">
        <f>chitiet!P755</f>
        <v>3</v>
      </c>
      <c r="J142" s="1949">
        <f>IFERROR(VLOOKUP(B142,DG!A:F,6,0),3000)</f>
        <v>2000</v>
      </c>
      <c r="K142" s="1950">
        <f>IF(J142&lt;2000,COUNTIF($B$2:B142,B142),0)</f>
        <v>0</v>
      </c>
      <c r="L142" s="1422"/>
      <c r="M142" s="1502"/>
      <c r="O142" s="1502"/>
    </row>
    <row r="143" spans="1:15" s="1282" customFormat="1" ht="25.2" customHeight="1">
      <c r="A143" s="2147">
        <f>COUNTIF($K$1:K143,1)</f>
        <v>100</v>
      </c>
      <c r="B143" s="1953" t="str">
        <f>chitiet!B1907</f>
        <v>KDAC50</v>
      </c>
      <c r="C143" s="1286" t="str">
        <f>chitiet!C1907</f>
        <v>x</v>
      </c>
      <c r="D143" s="1954">
        <f>chitiet!D1907</f>
        <v>6.3E-2</v>
      </c>
      <c r="E143" s="2192" t="str">
        <f>chitiet!E1907</f>
        <v>06.6114</v>
      </c>
      <c r="F143" s="2197" t="str">
        <f>chitiet!F1907</f>
        <v>Kéo dây nhôm lõi thép cỡ dây 50mm2</v>
      </c>
      <c r="G143" s="2202" t="str">
        <f>chitiet!G1907</f>
        <v>km</v>
      </c>
      <c r="H143" s="2202">
        <f>chitiet!H1907</f>
        <v>6.3E-2</v>
      </c>
      <c r="I143" s="2202">
        <f>chitiet!$P$1907</f>
        <v>6.3E-2</v>
      </c>
      <c r="J143" s="1949">
        <f>IFERROR(VLOOKUP(B143,DG!A:F,6,0),3000)</f>
        <v>2000</v>
      </c>
      <c r="K143" s="1950">
        <f>IF(J143&lt;2000,COUNTIF($B$2:B143,B143),0)</f>
        <v>0</v>
      </c>
      <c r="L143" s="1422"/>
      <c r="M143" s="1502"/>
      <c r="O143" s="1502"/>
    </row>
    <row r="144" spans="1:15" s="1282" customFormat="1" ht="25.2" customHeight="1">
      <c r="A144" s="2147">
        <f>COUNTIF($K$1:K144,1)</f>
        <v>100</v>
      </c>
      <c r="B144" s="1953" t="str">
        <f>chitiet!B1914</f>
        <v>KDACXV50</v>
      </c>
      <c r="C144" s="1286" t="str">
        <f>chitiet!C1914</f>
        <v>x</v>
      </c>
      <c r="D144" s="1954">
        <f>chitiet!D1914</f>
        <v>0.189</v>
      </c>
      <c r="E144" s="2192" t="str">
        <f>chitiet!E1914</f>
        <v>06.6114</v>
      </c>
      <c r="F144" s="2197" t="str">
        <f>chitiet!F1914</f>
        <v>Kéo dây nhôm bọc cỡ dây 50mm2</v>
      </c>
      <c r="G144" s="2202" t="str">
        <f>chitiet!G1914</f>
        <v>km</v>
      </c>
      <c r="H144" s="2202">
        <f>chitiet!H1914</f>
        <v>0.189</v>
      </c>
      <c r="I144" s="2202">
        <f>chitiet!$P$1914</f>
        <v>0.189</v>
      </c>
      <c r="J144" s="1949">
        <f>IFERROR(VLOOKUP(B144,DG!A:F,6,0),3000)</f>
        <v>2000</v>
      </c>
      <c r="K144" s="1950">
        <f>IF(J144&lt;2000,COUNTIF($B$2:B144,B144),0)</f>
        <v>0</v>
      </c>
      <c r="L144" s="1422"/>
      <c r="M144" s="1502"/>
      <c r="O144" s="1502"/>
    </row>
    <row r="145" spans="1:15" s="1282" customFormat="1" ht="25.2" customHeight="1">
      <c r="A145" s="2147">
        <f>COUNTIF($K$1:K145,1)</f>
        <v>100</v>
      </c>
      <c r="B145" s="2227" t="str">
        <f>chitiet!B619</f>
        <v>KTD</v>
      </c>
      <c r="C145" s="1960" t="str">
        <f>chitiet!C619</f>
        <v>x</v>
      </c>
      <c r="D145" s="1961">
        <f>chitiet!D619</f>
        <v>2.2400000000000002</v>
      </c>
      <c r="E145" s="1962" t="str">
        <f>chitiet!E619</f>
        <v>05.7001</v>
      </c>
      <c r="F145" s="1963" t="str">
        <f>chitiet!F619</f>
        <v xml:space="preserve">Kéo dây tiếp địa </v>
      </c>
      <c r="G145" s="2051" t="str">
        <f>chitiet!G619</f>
        <v>kg</v>
      </c>
      <c r="H145" s="2052">
        <f>chitiet!H619</f>
        <v>2.2400000000000002</v>
      </c>
      <c r="I145" s="2052">
        <f>chitiet!P619</f>
        <v>2.2400000000000002</v>
      </c>
      <c r="J145" s="1949">
        <f>IFERROR(VLOOKUP(B145,DG!A:F,6,0),3000)</f>
        <v>2000</v>
      </c>
      <c r="K145" s="1950">
        <f>IF(J145&lt;2000,COUNTIF($B$2:B145,B145),0)</f>
        <v>0</v>
      </c>
      <c r="L145" s="1426"/>
      <c r="M145" s="1502"/>
      <c r="O145" s="1502"/>
    </row>
    <row r="146" spans="1:15" s="1282" customFormat="1" ht="25.2" customHeight="1">
      <c r="A146" s="2147">
        <f>COUNTIF($K$1:K146,1)</f>
        <v>100</v>
      </c>
      <c r="B146" s="2227" t="str">
        <f>CT_tram!B2687</f>
        <v>lcapdongTB240</v>
      </c>
      <c r="C146" s="1960">
        <f>CT_tram!C2687</f>
        <v>0</v>
      </c>
      <c r="D146" s="1961">
        <f>CT_tram!D2687</f>
        <v>0</v>
      </c>
      <c r="E146" s="1962" t="str">
        <f>CT_tram!E2687</f>
        <v>T4.4203</v>
      </c>
      <c r="F146" s="1963" t="str">
        <f>CT_tram!F2687</f>
        <v>Lắp cáp đồng xuống thiết bị D &gt; 150mm2</v>
      </c>
      <c r="G146" s="2051" t="str">
        <f>CT_tram!G2687</f>
        <v>m</v>
      </c>
      <c r="H146" s="2052">
        <f>CT_tram!H2687</f>
        <v>72</v>
      </c>
      <c r="I146" s="2052">
        <f>CT_tram!I2687</f>
        <v>72</v>
      </c>
      <c r="J146" s="1949">
        <f>IFERROR(VLOOKUP(B146,DG!A:F,6,0),3000)</f>
        <v>2000</v>
      </c>
      <c r="K146" s="1950">
        <f>IF(J146&lt;2000,COUNTIF($B$2:B146,B146),0)</f>
        <v>0</v>
      </c>
      <c r="L146" s="1426"/>
      <c r="M146" s="1502"/>
      <c r="O146" s="1502"/>
    </row>
    <row r="147" spans="1:15" s="1282" customFormat="1" ht="25.2" customHeight="1">
      <c r="A147" s="2147">
        <f>COUNTIF($K$1:K147,1)</f>
        <v>100</v>
      </c>
      <c r="B147" s="2227" t="str">
        <f>CT_tram!B2676</f>
        <v>lcapdongTB95</v>
      </c>
      <c r="C147" s="1960">
        <f>CT_tram!C2676</f>
        <v>0</v>
      </c>
      <c r="D147" s="1961">
        <f>CT_tram!D2676</f>
        <v>0</v>
      </c>
      <c r="E147" s="1962" t="str">
        <f>CT_tram!E2676</f>
        <v>T4.4201</v>
      </c>
      <c r="F147" s="1963" t="str">
        <f>CT_tram!F2676</f>
        <v>Lắp cáp đồng xuống thiết bị D ≤ 95mm2</v>
      </c>
      <c r="G147" s="2051" t="str">
        <f>CT_tram!G2676</f>
        <v>m</v>
      </c>
      <c r="H147" s="2052">
        <f>CT_tram!H2676</f>
        <v>36</v>
      </c>
      <c r="I147" s="2052">
        <f>CT_tram!I2676</f>
        <v>36</v>
      </c>
      <c r="J147" s="1949">
        <f>IFERROR(VLOOKUP(B147,DG!A:F,6,0),3000)</f>
        <v>2000</v>
      </c>
      <c r="K147" s="1950">
        <f>IF(J147&lt;2000,COUNTIF($B$2:B147,B147),0)</f>
        <v>0</v>
      </c>
      <c r="L147" s="1426"/>
      <c r="M147" s="1502"/>
      <c r="O147" s="1502"/>
    </row>
    <row r="148" spans="1:15" s="1282" customFormat="1" ht="25.2" customHeight="1">
      <c r="A148" s="2147">
        <f>COUNTIF($K$1:K148,1)</f>
        <v>100</v>
      </c>
      <c r="B148" s="2227" t="str">
        <f>chitiet!B1933</f>
        <v>LCHSNply</v>
      </c>
      <c r="C148" s="1960" t="str">
        <f>chitiet!C1933</f>
        <v>x</v>
      </c>
      <c r="D148" s="1961">
        <f>chitiet!D1933</f>
        <v>6</v>
      </c>
      <c r="E148" s="1962" t="str">
        <f>chitiet!E1933</f>
        <v>06.2201</v>
      </c>
      <c r="F148" s="1963" t="str">
        <f>chitiet!F1933</f>
        <v>Lắp chuỗi sứ néo Polymer</v>
      </c>
      <c r="G148" s="2051" t="str">
        <f>chitiet!G1933</f>
        <v>chuỗi</v>
      </c>
      <c r="H148" s="2052">
        <f>chitiet!H1933</f>
        <v>6</v>
      </c>
      <c r="I148" s="2052">
        <f>chitiet!$P$1933</f>
        <v>6</v>
      </c>
      <c r="J148" s="1949">
        <f>IFERROR(VLOOKUP(B148,DG!A:F,6,0),3000)</f>
        <v>2000</v>
      </c>
      <c r="K148" s="1950">
        <f>IF(J148&lt;2000,COUNTIF($B$2:B148,B148),0)</f>
        <v>0</v>
      </c>
      <c r="L148" s="1426"/>
      <c r="M148" s="1502"/>
      <c r="O148" s="1502"/>
    </row>
    <row r="149" spans="1:15" s="1282" customFormat="1" ht="25.2" customHeight="1">
      <c r="A149" s="2147">
        <f>COUNTIF($K$1:K149,1)</f>
        <v>100</v>
      </c>
      <c r="B149" s="2227" t="str">
        <f>CT_tram!B2717</f>
        <v>LCT10</v>
      </c>
      <c r="C149" s="1960">
        <f>CT_tram!C2717</f>
        <v>0</v>
      </c>
      <c r="D149" s="1961">
        <f>CT_tram!D2717</f>
        <v>0</v>
      </c>
      <c r="E149" s="1962" t="str">
        <f>CT_tram!E2717</f>
        <v>AF.61210</v>
      </c>
      <c r="F149" s="1963" t="str">
        <f>CT_tram!F2717</f>
        <v>Gia công và lắp dựng cốt thép D&lt;=10</v>
      </c>
      <c r="G149" s="2051" t="str">
        <f>CT_tram!G2717</f>
        <v>kg</v>
      </c>
      <c r="H149" s="2052">
        <f>CT_tram!H2717</f>
        <v>16</v>
      </c>
      <c r="I149" s="2052">
        <f>CT_tram!I2717</f>
        <v>16</v>
      </c>
      <c r="J149" s="1949">
        <f>IFERROR(VLOOKUP(B149,DG!A:F,6,0),3000)</f>
        <v>2000</v>
      </c>
      <c r="K149" s="1950">
        <f>IF(J149&lt;2000,COUNTIF($B$2:B149,B149),0)</f>
        <v>0</v>
      </c>
      <c r="L149" s="1426"/>
      <c r="M149" s="1502"/>
      <c r="O149" s="1502"/>
    </row>
    <row r="150" spans="1:15" s="1282" customFormat="1" ht="25.2" customHeight="1">
      <c r="A150" s="2147">
        <f>COUNTIF($K$1:K150,1)</f>
        <v>100</v>
      </c>
      <c r="B150" s="2227" t="str">
        <f>CT_tram!B2700</f>
        <v>LCT18</v>
      </c>
      <c r="C150" s="1960">
        <f>CT_tram!C2700</f>
        <v>0</v>
      </c>
      <c r="D150" s="1961">
        <f>CT_tram!D2700</f>
        <v>0</v>
      </c>
      <c r="E150" s="1962" t="str">
        <f>CT_tram!E2700</f>
        <v>AF.61220</v>
      </c>
      <c r="F150" s="1963" t="str">
        <f>CT_tram!F2700</f>
        <v>Gia công và lắp dựng cốt thép D&lt;=18</v>
      </c>
      <c r="G150" s="2051" t="str">
        <f>CT_tram!G2700</f>
        <v>kg</v>
      </c>
      <c r="H150" s="2052">
        <f>CT_tram!H2700</f>
        <v>18.880200000000002</v>
      </c>
      <c r="I150" s="2052">
        <f>CT_tram!I2700</f>
        <v>18.880200000000002</v>
      </c>
      <c r="J150" s="1949">
        <f>IFERROR(VLOOKUP(B150,DG!A:F,6,0),3000)</f>
        <v>2000</v>
      </c>
      <c r="K150" s="1950">
        <f>IF(J150&lt;2000,COUNTIF($B$2:B150,B150),0)</f>
        <v>0</v>
      </c>
      <c r="L150" s="1426"/>
      <c r="M150" s="1502"/>
      <c r="O150" s="1502"/>
    </row>
    <row r="151" spans="1:15" s="1282" customFormat="1" ht="25.2" customHeight="1">
      <c r="A151" s="2147">
        <f>COUNTIF($K$1:K151,1)</f>
        <v>100</v>
      </c>
      <c r="B151" s="2227" t="str">
        <f>chitiet!B1167</f>
        <v>LDN</v>
      </c>
      <c r="C151" s="1960" t="str">
        <f>chitiet!C1167</f>
        <v>x</v>
      </c>
      <c r="D151" s="1961">
        <f>chitiet!D1167</f>
        <v>1</v>
      </c>
      <c r="E151" s="1962" t="str">
        <f>chitiet!E1167</f>
        <v>06.3241</v>
      </c>
      <c r="F151" s="1963" t="str">
        <f>chitiet!F1167</f>
        <v>Lắp bộ dây néo</v>
      </c>
      <c r="G151" s="2051" t="str">
        <f>chitiet!G1167</f>
        <v>bộ</v>
      </c>
      <c r="H151" s="2052">
        <f>chitiet!H1167</f>
        <v>1</v>
      </c>
      <c r="I151" s="2052">
        <f>chitiet!P1167</f>
        <v>1</v>
      </c>
      <c r="J151" s="1949">
        <f>IFERROR(VLOOKUP(B151,DG!A:F,6,0),3000)</f>
        <v>2000</v>
      </c>
      <c r="K151" s="1950">
        <f>IF(J151&lt;2000,COUNTIF($B$2:B151,B151),0)</f>
        <v>0</v>
      </c>
      <c r="L151" s="1426"/>
      <c r="M151" s="1502"/>
      <c r="O151" s="1502"/>
    </row>
    <row r="152" spans="1:15" s="1282" customFormat="1" ht="25.2" customHeight="1">
      <c r="A152" s="2147">
        <f>COUNTIF($K$1:K152,1)</f>
        <v>100</v>
      </c>
      <c r="B152" s="2227" t="str">
        <f>chitiet!B1927</f>
        <v>LSD</v>
      </c>
      <c r="C152" s="1960" t="str">
        <f ca="1">chitiet!C1927</f>
        <v>x</v>
      </c>
      <c r="D152" s="1961">
        <f ca="1">chitiet!D1927</f>
        <v>8</v>
      </c>
      <c r="E152" s="1962" t="str">
        <f>chitiet!E1927</f>
        <v>06.1115</v>
      </c>
      <c r="F152" s="1963" t="str">
        <f>chitiet!F1927</f>
        <v>Lắp sứ đứng 24KV</v>
      </c>
      <c r="G152" s="2051" t="str">
        <f>chitiet!G1927</f>
        <v>bộ</v>
      </c>
      <c r="H152" s="2052">
        <f ca="1">chitiet!H1927</f>
        <v>8</v>
      </c>
      <c r="I152" s="2052">
        <f ca="1">chitiet!$P$1927</f>
        <v>8</v>
      </c>
      <c r="J152" s="1949">
        <f>IFERROR(VLOOKUP(B152,DG!A:F,6,0),3000)</f>
        <v>2000</v>
      </c>
      <c r="K152" s="1950">
        <f>IF(J152&lt;2000,COUNTIF($B$2:B152,B152),0)</f>
        <v>0</v>
      </c>
      <c r="L152" s="1426"/>
      <c r="M152" s="1502"/>
      <c r="O152" s="1502"/>
    </row>
    <row r="153" spans="1:15" s="1282" customFormat="1" ht="25.2" customHeight="1">
      <c r="A153" s="2147">
        <f>COUNTIF($K$1:K153,1)</f>
        <v>100</v>
      </c>
      <c r="B153" s="1953" t="str">
        <f>CT_tram!B2675</f>
        <v>lsd</v>
      </c>
      <c r="C153" s="1286">
        <f>CT_tram!C2675</f>
        <v>0</v>
      </c>
      <c r="D153" s="1954">
        <f>CT_tram!D2675</f>
        <v>0</v>
      </c>
      <c r="E153" s="2192" t="str">
        <f>CT_tram!E2675</f>
        <v>D3.1115</v>
      </c>
      <c r="F153" s="2197" t="str">
        <f>CT_tram!F2675</f>
        <v>Lắp sứ đứng 24KV</v>
      </c>
      <c r="G153" s="2202" t="str">
        <f>CT_tram!G2675</f>
        <v>bộ</v>
      </c>
      <c r="H153" s="2202">
        <f>CT_tram!H2675</f>
        <v>9</v>
      </c>
      <c r="I153" s="2202">
        <f>CT_tram!I2675</f>
        <v>9</v>
      </c>
      <c r="J153" s="1949">
        <f>IFERROR(VLOOKUP(B153,DG!A:F,6,0),3000)</f>
        <v>2000</v>
      </c>
      <c r="K153" s="1950">
        <f>IF(J153&lt;2000,COUNTIF($B$2:B153,B153),0)</f>
        <v>0</v>
      </c>
      <c r="L153" s="1422"/>
      <c r="M153" s="1502"/>
      <c r="O153" s="1502"/>
    </row>
    <row r="154" spans="1:15" s="1282" customFormat="1" ht="25.2" customHeight="1">
      <c r="A154" s="2147">
        <f>COUNTIF($K$1:K154,1)</f>
        <v>100</v>
      </c>
      <c r="B154" s="1953" t="str">
        <f>chitiet!B1945</f>
        <v>LSOC</v>
      </c>
      <c r="C154" s="1286" t="str">
        <f>chitiet!C1945</f>
        <v>x</v>
      </c>
      <c r="D154" s="1954">
        <f>chitiet!D1945</f>
        <v>17</v>
      </c>
      <c r="E154" s="1498" t="str">
        <f>chitiet!E1945</f>
        <v>06.1211</v>
      </c>
      <c r="F154" s="1955" t="str">
        <f>chitiet!F1945</f>
        <v>Lắp rack sứ + sứ ống chỉ</v>
      </c>
      <c r="G154" s="1964" t="str">
        <f>chitiet!G1945</f>
        <v>bộ</v>
      </c>
      <c r="H154" s="1965">
        <f>chitiet!H1945</f>
        <v>17</v>
      </c>
      <c r="I154" s="1965">
        <f>chitiet!$P$1945</f>
        <v>17</v>
      </c>
      <c r="J154" s="1949">
        <f>IFERROR(VLOOKUP(B154,DG!A:F,6,0),3000)</f>
        <v>2000</v>
      </c>
      <c r="K154" s="1950">
        <f>IF(J154&lt;2000,COUNTIF($B$2:B154,B154),0)</f>
        <v>0</v>
      </c>
      <c r="L154" s="1426"/>
      <c r="M154" s="1969"/>
      <c r="N154" s="1970"/>
      <c r="O154" s="1969"/>
    </row>
    <row r="155" spans="1:15" s="1282" customFormat="1" ht="25.2" customHeight="1">
      <c r="A155" s="2147">
        <f>COUNTIF($K$1:K155,1)</f>
        <v>100</v>
      </c>
      <c r="B155" s="2227" t="str">
        <f>CT_tram!B2594</f>
        <v>LXHN1</v>
      </c>
      <c r="C155" s="1960">
        <f>CT_tram!C2594</f>
        <v>0</v>
      </c>
      <c r="D155" s="1961">
        <f>CT_tram!D2594</f>
        <v>0</v>
      </c>
      <c r="E155" s="1962" t="str">
        <f>CT_tram!E2594</f>
        <v>D2.6054</v>
      </c>
      <c r="F155" s="1963" t="str">
        <f>CT_tram!F2594</f>
        <v>Lắp xà cột Pi loại ≤140kg/xà</v>
      </c>
      <c r="G155" s="2051" t="str">
        <f>CT_tram!G2594</f>
        <v>bộ</v>
      </c>
      <c r="H155" s="2052">
        <f>CT_tram!H2594</f>
        <v>1</v>
      </c>
      <c r="I155" s="2052">
        <f>CT_tram!I2594</f>
        <v>1</v>
      </c>
      <c r="J155" s="1949">
        <f>IFERROR(VLOOKUP(B155,DG!A:F,6,0),3000)</f>
        <v>2000</v>
      </c>
      <c r="K155" s="1950">
        <f>IF(J155&lt;2000,COUNTIF($B$2:B155,B155),0)</f>
        <v>0</v>
      </c>
      <c r="L155" s="1426"/>
      <c r="M155" s="1502"/>
      <c r="O155" s="1502"/>
    </row>
    <row r="156" spans="1:15" s="1282" customFormat="1" ht="25.2" customHeight="1">
      <c r="A156" s="2147">
        <f>COUNTIF($K$1:K156,1)</f>
        <v>100</v>
      </c>
      <c r="B156" s="1953" t="str">
        <f>chitiet!B806</f>
        <v>LXINL</v>
      </c>
      <c r="C156" s="1286" t="str">
        <f>chitiet!C806</f>
        <v>x</v>
      </c>
      <c r="D156" s="1954">
        <f>chitiet!D806</f>
        <v>1</v>
      </c>
      <c r="E156" s="1498" t="str">
        <f>chitiet!E806</f>
        <v>05.6203</v>
      </c>
      <c r="F156" s="1955" t="str">
        <f>chitiet!F806</f>
        <v>Lắp xà néo ≤ 100kg</v>
      </c>
      <c r="G156" s="1964" t="str">
        <f>chitiet!G806</f>
        <v>bộ</v>
      </c>
      <c r="H156" s="1965">
        <f>chitiet!H806</f>
        <v>2</v>
      </c>
      <c r="I156" s="1965">
        <f>chitiet!P806</f>
        <v>2</v>
      </c>
      <c r="J156" s="1949">
        <f>IFERROR(VLOOKUP(B156,DG!A:F,6,0),3000)</f>
        <v>2000</v>
      </c>
      <c r="K156" s="1950">
        <f>IF(J156&lt;2000,COUNTIF($B$2:B156,B156),0)</f>
        <v>0</v>
      </c>
      <c r="L156" s="1426"/>
      <c r="M156" s="1502"/>
      <c r="O156" s="1502"/>
    </row>
    <row r="157" spans="1:15" s="1282" customFormat="1" ht="25.2" customHeight="1">
      <c r="A157" s="2147">
        <f>COUNTIF($K$1:K157,1)</f>
        <v>100</v>
      </c>
      <c r="B157" s="2279" t="str">
        <f>CT_tram!B2602</f>
        <v>LXINL</v>
      </c>
      <c r="C157" s="1952">
        <f>CT_tram!C2602</f>
        <v>0</v>
      </c>
      <c r="D157" s="1956">
        <f>CT_tram!D2602</f>
        <v>0</v>
      </c>
      <c r="E157" s="1957" t="str">
        <f>CT_tram!E2602</f>
        <v>D2.6042</v>
      </c>
      <c r="F157" s="1958" t="str">
        <f>CT_tram!F2602</f>
        <v>Lắp xà néo ≤ 100kg</v>
      </c>
      <c r="G157" s="2053" t="str">
        <f>CT_tram!G2602</f>
        <v>bộ</v>
      </c>
      <c r="H157" s="2052">
        <f>CT_tram!H2602</f>
        <v>2</v>
      </c>
      <c r="I157" s="2052">
        <f>CT_tram!I2602</f>
        <v>2</v>
      </c>
      <c r="J157" s="1949">
        <f>IFERROR(VLOOKUP(B157,DG!A:F,6,0),3000)</f>
        <v>2000</v>
      </c>
      <c r="K157" s="1950">
        <f>IF(J157&lt;2000,COUNTIF($B$2:B157,B157),0)</f>
        <v>0</v>
      </c>
      <c r="L157" s="1426"/>
      <c r="M157" s="1502"/>
      <c r="O157" s="1502"/>
    </row>
    <row r="158" spans="1:15" s="1282" customFormat="1" ht="25.2" customHeight="1">
      <c r="A158" s="2147">
        <f>COUNTIF($K$1:K158,1)</f>
        <v>100</v>
      </c>
      <c r="B158" s="1953" t="str">
        <f>chitiet!B959</f>
        <v>LXIT</v>
      </c>
      <c r="C158" s="1286" t="str">
        <f>chitiet!C959</f>
        <v>x</v>
      </c>
      <c r="D158" s="1954">
        <f>chitiet!D959</f>
        <v>1</v>
      </c>
      <c r="E158" s="2192" t="str">
        <f>chitiet!E959</f>
        <v>05.6401</v>
      </c>
      <c r="F158" s="2197" t="str">
        <f>chitiet!F959</f>
        <v>Lắp xà đỡ ≤ 25kg</v>
      </c>
      <c r="G158" s="2202" t="str">
        <f>chitiet!G959</f>
        <v>bộ</v>
      </c>
      <c r="H158" s="2202">
        <f>chitiet!H959</f>
        <v>1</v>
      </c>
      <c r="I158" s="2202">
        <f>chitiet!P959</f>
        <v>1</v>
      </c>
      <c r="J158" s="1949">
        <f>IFERROR(VLOOKUP(B158,DG!A:F,6,0),3000)</f>
        <v>2000</v>
      </c>
      <c r="K158" s="1950">
        <f>IF(J158&lt;2000,COUNTIF($B$2:B158,B158),0)</f>
        <v>0</v>
      </c>
      <c r="L158" s="1422"/>
      <c r="M158" s="1502"/>
      <c r="O158" s="1502"/>
    </row>
    <row r="159" spans="1:15" s="1282" customFormat="1" ht="25.2" customHeight="1">
      <c r="A159" s="2147">
        <f>COUNTIF($K$1:K159,1)</f>
        <v>100</v>
      </c>
      <c r="B159" s="2280" t="str">
        <f>chitiet!B1102</f>
        <v>LXIT</v>
      </c>
      <c r="C159" s="2136" t="str">
        <f>chitiet!C1102</f>
        <v>x</v>
      </c>
      <c r="D159" s="2137">
        <f>chitiet!D1102</f>
        <v>1</v>
      </c>
      <c r="E159" s="1957">
        <f>chitiet!E1102</f>
        <v>0</v>
      </c>
      <c r="F159" s="1958" t="str">
        <f>chitiet!F1102</f>
        <v>Lắp xà đỡ ≤ 25kg</v>
      </c>
      <c r="G159" s="2053" t="str">
        <f>chitiet!G1102</f>
        <v>bộ</v>
      </c>
      <c r="H159" s="2054">
        <f>chitiet!H1102</f>
        <v>1</v>
      </c>
      <c r="I159" s="2052">
        <f>chitiet!P1102</f>
        <v>1</v>
      </c>
      <c r="J159" s="1949">
        <f>IFERROR(VLOOKUP(B159,DG!A:F,6,0),3000)</f>
        <v>2000</v>
      </c>
      <c r="K159" s="1950">
        <f>IF(J159&lt;2000,COUNTIF($B$2:B159,B159),0)</f>
        <v>0</v>
      </c>
      <c r="L159" s="1968"/>
      <c r="M159" s="1502"/>
      <c r="O159" s="1502"/>
    </row>
    <row r="160" spans="1:15" s="1282" customFormat="1" ht="25.2" customHeight="1">
      <c r="A160" s="2147">
        <f>COUNTIF($K$1:K160,1)</f>
        <v>100</v>
      </c>
      <c r="B160" s="2227" t="str">
        <f>CT_tram!B2611</f>
        <v>LXItl</v>
      </c>
      <c r="C160" s="1960">
        <f>CT_tram!C2611</f>
        <v>0</v>
      </c>
      <c r="D160" s="1961">
        <f>CT_tram!D2611</f>
        <v>0</v>
      </c>
      <c r="E160" s="1962" t="str">
        <f>CT_tram!E2611</f>
        <v>D2.6031</v>
      </c>
      <c r="F160" s="1963" t="str">
        <f>CT_tram!F2611</f>
        <v>Lắp xà đỡ ≤ 50kg</v>
      </c>
      <c r="G160" s="2051" t="str">
        <f>CT_tram!G2611</f>
        <v>bộ</v>
      </c>
      <c r="H160" s="2052">
        <f>CT_tram!H2611</f>
        <v>1</v>
      </c>
      <c r="I160" s="2052">
        <f>CT_tram!I2611</f>
        <v>1</v>
      </c>
      <c r="J160" s="1949">
        <f>IFERROR(VLOOKUP(B160,DG!A:F,6,0),3000)</f>
        <v>2000</v>
      </c>
      <c r="K160" s="1950">
        <f>IF(J160&lt;2000,COUNTIF($B$2:B160,B160),0)</f>
        <v>0</v>
      </c>
      <c r="L160" s="1426"/>
      <c r="M160" s="1502"/>
      <c r="O160" s="1502"/>
    </row>
    <row r="161" spans="1:15" s="1282" customFormat="1" ht="25.2" customHeight="1">
      <c r="A161" s="2147">
        <f>COUNTIF($K$1:K161,1)</f>
        <v>100</v>
      </c>
      <c r="B161" s="2211" t="str">
        <f>chitiet!B244</f>
        <v>M12</v>
      </c>
      <c r="C161" s="1966" t="str">
        <f>chitiet!C244</f>
        <v>x</v>
      </c>
      <c r="D161" s="1967">
        <f>chitiet!D244</f>
        <v>0</v>
      </c>
      <c r="E161" s="2192">
        <f>chitiet!E244</f>
        <v>0</v>
      </c>
      <c r="F161" s="2197" t="str">
        <f>chitiet!F244</f>
        <v>Móng M12</v>
      </c>
      <c r="G161" s="2202" t="str">
        <f>chitiet!G244</f>
        <v>Móng</v>
      </c>
      <c r="H161" s="2202">
        <f>chitiet!H244</f>
        <v>1</v>
      </c>
      <c r="I161" s="2202">
        <f>chitiet!P244</f>
        <v>1</v>
      </c>
      <c r="J161" s="1949">
        <f>IFERROR(VLOOKUP(B161,DG!A:F,6,0),3000)</f>
        <v>2000</v>
      </c>
      <c r="K161" s="1950">
        <f>IF(J161&lt;2000,COUNTIF($B$2:B161,B161),0)</f>
        <v>0</v>
      </c>
      <c r="L161" s="2212"/>
      <c r="M161" s="1502"/>
      <c r="O161" s="1502"/>
    </row>
    <row r="162" spans="1:15" s="1282" customFormat="1" ht="25.2" customHeight="1">
      <c r="A162" s="2147">
        <f>COUNTIF($K$1:K162,1)</f>
        <v>100</v>
      </c>
      <c r="B162" s="2279" t="str">
        <f>chitiet!B356</f>
        <v>M12BT ĐÔI</v>
      </c>
      <c r="C162" s="1952" t="str">
        <f>chitiet!C356</f>
        <v>x</v>
      </c>
      <c r="D162" s="1956">
        <f>chitiet!D356</f>
        <v>0</v>
      </c>
      <c r="E162" s="2194">
        <f>chitiet!E356</f>
        <v>0</v>
      </c>
      <c r="F162" s="2199" t="str">
        <f>chitiet!F356</f>
        <v>Móng bê tông trụ đôi 12m</v>
      </c>
      <c r="G162" s="2205" t="str">
        <f>chitiet!G356</f>
        <v>Móng</v>
      </c>
      <c r="H162" s="2205">
        <f>chitiet!H356</f>
        <v>1</v>
      </c>
      <c r="I162" s="2202">
        <f>chitiet!P356</f>
        <v>1</v>
      </c>
      <c r="J162" s="1949">
        <f>IFERROR(VLOOKUP(B162,DG!A:F,6,0),3000)</f>
        <v>2000</v>
      </c>
      <c r="K162" s="1950">
        <f>IF(J162&lt;2000,COUNTIF($B$2:B162,B162),0)</f>
        <v>0</v>
      </c>
      <c r="L162" s="1422"/>
      <c r="M162" s="1502"/>
      <c r="O162" s="1502"/>
    </row>
    <row r="163" spans="1:15" s="1282" customFormat="1" ht="25.2" customHeight="1">
      <c r="A163" s="2147">
        <f>COUNTIF($K$1:K163,1)</f>
        <v>100</v>
      </c>
      <c r="B163" s="2281" t="str">
        <f>chitiet!B246</f>
        <v>MDAP3</v>
      </c>
      <c r="C163" s="2056" t="str">
        <f>chitiet!C246</f>
        <v>x</v>
      </c>
      <c r="D163" s="2057">
        <f>chitiet!D246</f>
        <v>0.115</v>
      </c>
      <c r="E163" s="1962" t="str">
        <f>chitiet!E246</f>
        <v>03.4113</v>
      </c>
      <c r="F163" s="1963" t="str">
        <f>chitiet!F246</f>
        <v>Đắp đất hố móng, độ chặt k=0,95</v>
      </c>
      <c r="G163" s="2051" t="str">
        <f>chitiet!G246</f>
        <v>m3</v>
      </c>
      <c r="H163" s="2052">
        <f>chitiet!H246</f>
        <v>0.115</v>
      </c>
      <c r="I163" s="2052">
        <f>chitiet!P246</f>
        <v>0.115</v>
      </c>
      <c r="J163" s="1949">
        <f>IFERROR(VLOOKUP(B163,DG!A:F,6,0),3000)</f>
        <v>2000</v>
      </c>
      <c r="K163" s="1950">
        <f>IF(J163&lt;2000,COUNTIF($B$2:B163,B163),0)</f>
        <v>0</v>
      </c>
      <c r="L163" s="1968"/>
      <c r="M163" s="1502"/>
      <c r="O163" s="1502"/>
    </row>
    <row r="164" spans="1:15" s="1282" customFormat="1" ht="25.2" customHeight="1">
      <c r="A164" s="2147">
        <f>COUNTIF($K$1:K164,1)</f>
        <v>100</v>
      </c>
      <c r="B164" s="2227" t="str">
        <f>chitiet!B1407</f>
        <v>MDAP3</v>
      </c>
      <c r="C164" s="1960" t="str">
        <f>chitiet!C1407</f>
        <v>x</v>
      </c>
      <c r="D164" s="1961">
        <f>chitiet!D1407</f>
        <v>0.36</v>
      </c>
      <c r="E164" s="1962" t="str">
        <f>chitiet!E1407</f>
        <v>03.4113</v>
      </c>
      <c r="F164" s="1963" t="str">
        <f>chitiet!F1407</f>
        <v>Đắp đất hố móng, độ chặt k=0,95</v>
      </c>
      <c r="G164" s="2051" t="str">
        <f>chitiet!G1407</f>
        <v>m3</v>
      </c>
      <c r="H164" s="2052">
        <f>chitiet!H1407</f>
        <v>0.36</v>
      </c>
      <c r="I164" s="2052">
        <f>chitiet!P1407</f>
        <v>0.36</v>
      </c>
      <c r="J164" s="1949">
        <f>IFERROR(VLOOKUP(B164,DG!A:F,6,0),3000)</f>
        <v>2000</v>
      </c>
      <c r="K164" s="1950">
        <f>IF(J164&lt;2000,COUNTIF($B$2:B164,B164),0)</f>
        <v>0</v>
      </c>
      <c r="L164" s="1426"/>
      <c r="M164" s="1502"/>
      <c r="O164" s="1502"/>
    </row>
    <row r="165" spans="1:15" s="1282" customFormat="1" ht="25.2" customHeight="1">
      <c r="A165" s="2147">
        <f>COUNTIF($K$1:K165,1)</f>
        <v>100</v>
      </c>
      <c r="B165" s="2279" t="str">
        <f>chitiet!B1783</f>
        <v>Nth-T</v>
      </c>
      <c r="C165" s="1952" t="str">
        <f>chitiet!C1783</f>
        <v>x</v>
      </c>
      <c r="D165" s="1956">
        <f>chitiet!D1783</f>
        <v>0</v>
      </c>
      <c r="E165" s="1957">
        <f>chitiet!E1783</f>
        <v>0</v>
      </c>
      <c r="F165" s="1958" t="str">
        <f>chitiet!F1783</f>
        <v>Bộ khóa néo dây trung hòa vào trụ: Nth-T</v>
      </c>
      <c r="G165" s="2053" t="str">
        <f>chitiet!G1783</f>
        <v>bộ</v>
      </c>
      <c r="H165" s="2054">
        <f>chitiet!H1783</f>
        <v>2</v>
      </c>
      <c r="I165" s="2055">
        <f>chitiet!P1783</f>
        <v>2</v>
      </c>
      <c r="J165" s="1949">
        <f>IFERROR(VLOOKUP(B165,DG!A:F,6,0),3000)</f>
        <v>2000</v>
      </c>
      <c r="K165" s="1950">
        <f>IF(J165&lt;2000,COUNTIF($B$2:B165,B165),0)</f>
        <v>0</v>
      </c>
      <c r="L165" s="1426"/>
      <c r="M165" s="1502"/>
      <c r="O165" s="1502"/>
    </row>
    <row r="166" spans="1:15" s="1282" customFormat="1" ht="25.2" customHeight="1">
      <c r="A166" s="2147">
        <f>COUNTIF($K$1:K166,1)</f>
        <v>100</v>
      </c>
      <c r="B166" s="2211" t="str">
        <f>chitiet!B1403</f>
        <v>NXX</v>
      </c>
      <c r="C166" s="1966" t="str">
        <f>chitiet!C1403</f>
        <v>x</v>
      </c>
      <c r="D166" s="1967">
        <f>chitiet!D1403</f>
        <v>0</v>
      </c>
      <c r="E166" s="2192">
        <f>chitiet!E1403</f>
        <v>0</v>
      </c>
      <c r="F166" s="2197" t="str">
        <f>chitiet!F1403</f>
        <v>Bộ móng neo xòe cho chằng xuống: NXX</v>
      </c>
      <c r="G166" s="2202" t="str">
        <f>chitiet!G1403</f>
        <v>Bộ</v>
      </c>
      <c r="H166" s="2202">
        <f>chitiet!H1403</f>
        <v>1</v>
      </c>
      <c r="I166" s="2202">
        <f>chitiet!P1403</f>
        <v>1</v>
      </c>
      <c r="J166" s="1949">
        <f>IFERROR(VLOOKUP(B166,DG!A:F,6,0),3000)</f>
        <v>2000</v>
      </c>
      <c r="K166" s="1950">
        <f>IF(J166&lt;2000,COUNTIF($B$2:B166,B166),0)</f>
        <v>0</v>
      </c>
      <c r="L166" s="2212"/>
      <c r="M166" s="1969"/>
      <c r="N166" s="1970"/>
      <c r="O166" s="1969"/>
    </row>
    <row r="167" spans="1:15" s="1282" customFormat="1" ht="25.2" customHeight="1">
      <c r="A167" s="2147">
        <f>COUNTIF($K$1:K167,1)</f>
        <v>100</v>
      </c>
      <c r="B167" s="2227" t="str">
        <f>chitiet!B1795</f>
        <v>SĐU</v>
      </c>
      <c r="C167" s="1960" t="str">
        <f>chitiet!C1795</f>
        <v>x</v>
      </c>
      <c r="D167" s="1961">
        <f>chitiet!D1795</f>
        <v>8</v>
      </c>
      <c r="E167" s="1962">
        <f>chitiet!E1795</f>
        <v>0</v>
      </c>
      <c r="F167" s="1963" t="str">
        <f>chitiet!F1795</f>
        <v>Bộ cách điện đứng+ty sứ : SĐU</v>
      </c>
      <c r="G167" s="2051" t="str">
        <f>chitiet!G1795</f>
        <v>bộ</v>
      </c>
      <c r="H167" s="2052">
        <f>chitiet!H1795</f>
        <v>8</v>
      </c>
      <c r="I167" s="2052">
        <f>chitiet!P1795</f>
        <v>8</v>
      </c>
      <c r="J167" s="1949">
        <f>IFERROR(VLOOKUP(B167,DG!A:F,6,0),3000)</f>
        <v>2000</v>
      </c>
      <c r="K167" s="1950">
        <f>IF(J167&lt;2000,COUNTIF($B$2:B167,B167),0)</f>
        <v>0</v>
      </c>
      <c r="L167" s="1426"/>
      <c r="M167" s="1502"/>
      <c r="O167" s="1502"/>
    </row>
    <row r="168" spans="1:15" s="1282" customFormat="1" ht="25.2" customHeight="1">
      <c r="A168" s="2147">
        <f>COUNTIF($K$1:K168,1)</f>
        <v>100</v>
      </c>
      <c r="B168" s="2211" t="str">
        <f>chitiet!B2267</f>
        <v>TBDD3p1m</v>
      </c>
      <c r="C168" s="1966" t="str">
        <f>chitiet!C2267</f>
        <v>x</v>
      </c>
      <c r="D168" s="1967">
        <f>chitiet!D2267</f>
        <v>1</v>
      </c>
      <c r="E168" s="1498" t="str">
        <f>chitiet!E2267</f>
        <v>V</v>
      </c>
      <c r="F168" s="1955" t="str">
        <f>chitiet!F2267</f>
        <v>Phần thiết bị đường dây 3 pha 1 mạch</v>
      </c>
      <c r="G168" s="1964">
        <f>chitiet!G2267</f>
        <v>0</v>
      </c>
      <c r="H168" s="1965">
        <f>chitiet!H2267</f>
        <v>0</v>
      </c>
      <c r="I168" s="1965">
        <f>chitiet!$P$2267</f>
        <v>0</v>
      </c>
      <c r="J168" s="1949">
        <f>IFERROR(VLOOKUP(B168,DG!A:F,6,0),3000)</f>
        <v>2000</v>
      </c>
      <c r="K168" s="1950">
        <f>IF(J168&lt;2000,COUNTIF($B$2:B168,B168),0)</f>
        <v>0</v>
      </c>
      <c r="L168" s="1968"/>
      <c r="M168" s="1502"/>
      <c r="O168" s="1502"/>
    </row>
    <row r="169" spans="1:15" s="1282" customFormat="1" ht="25.2" customHeight="1">
      <c r="A169" s="2147">
        <f>COUNTIF($K$1:K169,1)</f>
        <v>100</v>
      </c>
      <c r="B169" s="2227" t="str">
        <f>chitiet!B612</f>
        <v>TDTT12</v>
      </c>
      <c r="C169" s="1960" t="str">
        <f>chitiet!C612</f>
        <v>x</v>
      </c>
      <c r="D169" s="1961">
        <f>chitiet!D612</f>
        <v>0</v>
      </c>
      <c r="E169" s="1962">
        <f>chitiet!E612</f>
        <v>0</v>
      </c>
      <c r="F169" s="1963" t="str">
        <f>chitiet!F612</f>
        <v>Tiếp địa lặp lại (trụ 12m)</v>
      </c>
      <c r="G169" s="2051" t="str">
        <f>chitiet!G612</f>
        <v>Bộ</v>
      </c>
      <c r="H169" s="2052">
        <f>chitiet!H612</f>
        <v>1</v>
      </c>
      <c r="I169" s="2052">
        <f>chitiet!P612</f>
        <v>1</v>
      </c>
      <c r="J169" s="1949">
        <f>IFERROR(VLOOKUP(B169,DG!A:F,6,0),3000)</f>
        <v>2000</v>
      </c>
      <c r="K169" s="1950">
        <f>IF(J169&lt;2000,COUNTIF($B$2:B169,B169),0)</f>
        <v>0</v>
      </c>
      <c r="L169" s="1426"/>
      <c r="M169" s="1502"/>
      <c r="O169" s="1502"/>
    </row>
    <row r="170" spans="1:15" s="1282" customFormat="1" ht="25.2" customHeight="1">
      <c r="A170" s="2147">
        <f>COUNTIF($K$1:K170,1)</f>
        <v>100</v>
      </c>
      <c r="B170" s="2227" t="str">
        <f>CT_tram!B2561</f>
        <v>TI30</v>
      </c>
      <c r="C170" s="1960">
        <f>CT_tram!C2561</f>
        <v>0</v>
      </c>
      <c r="D170" s="1961">
        <f>CT_tram!D2561</f>
        <v>6</v>
      </c>
      <c r="E170" s="1962">
        <f>CT_tram!E2561</f>
        <v>0</v>
      </c>
      <c r="F170" s="1963" t="str">
        <f>CT_tram!F2561</f>
        <v>Biến dòng 24kV  30/5A</v>
      </c>
      <c r="G170" s="2051" t="str">
        <f>CT_tram!G2561</f>
        <v>cái</v>
      </c>
      <c r="H170" s="2052">
        <f>CT_tram!H2561</f>
        <v>3</v>
      </c>
      <c r="I170" s="2052">
        <f>CT_tram!I2561</f>
        <v>3</v>
      </c>
      <c r="J170" s="1949">
        <f>IFERROR(VLOOKUP(B170,DG!A:F,6,0),3000)</f>
        <v>2000</v>
      </c>
      <c r="K170" s="1950">
        <f>IF(J170&lt;2000,COUNTIF($B$2:B170,B170),0)</f>
        <v>0</v>
      </c>
      <c r="L170" s="1426"/>
      <c r="M170" s="1502"/>
      <c r="O170" s="1502"/>
    </row>
    <row r="171" spans="1:15" s="1282" customFormat="1" ht="25.2" customHeight="1">
      <c r="A171" s="2147">
        <f>COUNTIF($K$1:K171,1)</f>
        <v>100</v>
      </c>
      <c r="B171" s="1953" t="str">
        <f>CT_tram!B2562</f>
        <v>TU22</v>
      </c>
      <c r="C171" s="1286">
        <f>CT_tram!C2562</f>
        <v>0</v>
      </c>
      <c r="D171" s="1954">
        <f>CT_tram!D2562</f>
        <v>6</v>
      </c>
      <c r="E171" s="1498">
        <f>CT_tram!E2562</f>
        <v>0</v>
      </c>
      <c r="F171" s="1955" t="str">
        <f>CT_tram!F2562</f>
        <v>Biến điện áp 12000/120(60)V</v>
      </c>
      <c r="G171" s="1964" t="str">
        <f>CT_tram!G2562</f>
        <v>cái</v>
      </c>
      <c r="H171" s="1965">
        <f>CT_tram!H2562</f>
        <v>3</v>
      </c>
      <c r="I171" s="2243">
        <f>CT_tram!I2562</f>
        <v>3</v>
      </c>
      <c r="J171" s="1949">
        <f>IFERROR(VLOOKUP(B171,DG!A:F,6,0),3000)</f>
        <v>2000</v>
      </c>
      <c r="K171" s="1950">
        <f>IF(J171&lt;2000,COUNTIF($B$2:B171,B171),0)</f>
        <v>0</v>
      </c>
      <c r="L171" s="1426"/>
      <c r="M171" s="1502"/>
      <c r="O171" s="1502"/>
    </row>
    <row r="172" spans="1:15" s="1282" customFormat="1" ht="25.2" customHeight="1">
      <c r="A172" s="2147">
        <f>COUNTIF($K$1:K172,1)</f>
        <v>100</v>
      </c>
      <c r="B172" s="2227" t="str">
        <f>chitiet!B954</f>
        <v>X-20ĐL2/3</v>
      </c>
      <c r="C172" s="1960" t="str">
        <f>chitiet!C954</f>
        <v>x</v>
      </c>
      <c r="D172" s="1961">
        <f>chitiet!D954</f>
        <v>0</v>
      </c>
      <c r="E172" s="1962">
        <f>chitiet!E954</f>
        <v>0</v>
      </c>
      <c r="F172" s="1963" t="str">
        <f>chitiet!F954</f>
        <v>Bộ xà lệch đơn L75x75x8 dài 2m: X-20ĐL2/3</v>
      </c>
      <c r="G172" s="2051" t="str">
        <f>chitiet!G954</f>
        <v>Bộ</v>
      </c>
      <c r="H172" s="2052">
        <f>chitiet!H954</f>
        <v>1</v>
      </c>
      <c r="I172" s="2052">
        <f>chitiet!P954</f>
        <v>1</v>
      </c>
      <c r="J172" s="1949">
        <f>IFERROR(VLOOKUP(B172,DG!A:F,6,0),3000)</f>
        <v>2000</v>
      </c>
      <c r="K172" s="1950">
        <f>IF(J172&lt;2000,COUNTIF($B$2:B172,B172),0)</f>
        <v>0</v>
      </c>
      <c r="L172" s="1426"/>
      <c r="M172" s="1502"/>
      <c r="O172" s="1502"/>
    </row>
    <row r="173" spans="1:15" s="1282" customFormat="1" ht="25.2" customHeight="1">
      <c r="A173" s="2147">
        <f>COUNTIF($K$1:K173,1)</f>
        <v>100</v>
      </c>
      <c r="B173" s="2227" t="str">
        <f>chitiet!B799</f>
        <v>X-22K-Đ</v>
      </c>
      <c r="C173" s="1960" t="str">
        <f>chitiet!C799</f>
        <v>x</v>
      </c>
      <c r="D173" s="1961">
        <f>chitiet!D799</f>
        <v>0</v>
      </c>
      <c r="E173" s="1962">
        <f>chitiet!E799</f>
        <v>0</v>
      </c>
      <c r="F173" s="1963" t="str">
        <f>chitiet!F799</f>
        <v>Bộ xà kép L75x75x8 dài 2.2m: X-22K-Đ - C810 (lắp trụ đơn)</v>
      </c>
      <c r="G173" s="2051" t="str">
        <f>chitiet!G799</f>
        <v>Bộ</v>
      </c>
      <c r="H173" s="2052">
        <f>chitiet!H799</f>
        <v>2</v>
      </c>
      <c r="I173" s="2052">
        <f>chitiet!P799</f>
        <v>2</v>
      </c>
      <c r="J173" s="1949">
        <f>IFERROR(VLOOKUP(B173,DG!A:F,6,0),3000)</f>
        <v>2000</v>
      </c>
      <c r="K173" s="1950">
        <f>IF(J173&lt;2000,COUNTIF($B$2:B173,B173),0)</f>
        <v>0</v>
      </c>
      <c r="L173" s="1426"/>
      <c r="M173" s="1502"/>
      <c r="O173" s="1502"/>
    </row>
    <row r="174" spans="1:15" s="1282" customFormat="1" ht="25.2" customHeight="1">
      <c r="A174" s="2147">
        <f>COUNTIF($K$1:K174,1)</f>
        <v>100</v>
      </c>
      <c r="B174" s="2227" t="str">
        <f>chitiet!B1095</f>
        <v>X-24COMPOSITE</v>
      </c>
      <c r="C174" s="1960" t="str">
        <f>chitiet!C1095</f>
        <v>x</v>
      </c>
      <c r="D174" s="1961">
        <f>chitiet!D1095</f>
        <v>0</v>
      </c>
      <c r="E174" s="1962">
        <f>chitiet!E1095</f>
        <v>0</v>
      </c>
      <c r="F174" s="1963" t="str">
        <f>chitiet!F1095</f>
        <v>Bộ xà composite 2,4m bắt FCO</v>
      </c>
      <c r="G174" s="2051" t="str">
        <f>chitiet!G1095</f>
        <v>Bộ</v>
      </c>
      <c r="H174" s="2052">
        <f>chitiet!H1095</f>
        <v>1</v>
      </c>
      <c r="I174" s="2052">
        <f>chitiet!P1095</f>
        <v>1</v>
      </c>
      <c r="J174" s="1949">
        <f>IFERROR(VLOOKUP(B174,DG!A:F,6,0),3000)</f>
        <v>2000</v>
      </c>
      <c r="K174" s="1950">
        <f>IF(J174&lt;2000,COUNTIF($B$2:B174,B174),0)</f>
        <v>0</v>
      </c>
      <c r="L174" s="1426"/>
      <c r="M174" s="1502"/>
      <c r="O174" s="1502"/>
    </row>
    <row r="175" spans="1:15" s="1282" customFormat="1" ht="25.2" customHeight="1">
      <c r="A175" s="2147">
        <f>COUNTIF($K$1:K175,1)</f>
        <v>100</v>
      </c>
      <c r="B175" s="2227">
        <f>chitiet!B1935</f>
        <v>0</v>
      </c>
      <c r="C175" s="1960" t="str">
        <f>chitiet!C1935</f>
        <v xml:space="preserve"> </v>
      </c>
      <c r="D175" s="1961">
        <f>chitiet!D1935</f>
        <v>0</v>
      </c>
      <c r="E175" s="1962" t="e">
        <f>chitiet!E1935</f>
        <v>#N/A</v>
      </c>
      <c r="F175" s="1963" t="e">
        <f>chitiet!F1935</f>
        <v>#N/A</v>
      </c>
      <c r="G175" s="2051" t="e">
        <f>chitiet!G1935</f>
        <v>#N/A</v>
      </c>
      <c r="H175" s="2052">
        <f>chitiet!H1935</f>
        <v>0</v>
      </c>
      <c r="I175" s="2052">
        <f>chitiet!$P$1935</f>
        <v>0</v>
      </c>
      <c r="J175" s="1949">
        <f>IFERROR(VLOOKUP(B175,DG!A:F,6,0),3000)</f>
        <v>3000</v>
      </c>
      <c r="K175" s="1950">
        <f>IF(J175&lt;2000,COUNTIF($B$2:B175,B175),0)</f>
        <v>0</v>
      </c>
      <c r="L175" s="1426"/>
      <c r="M175" s="1502"/>
      <c r="O175" s="1502"/>
    </row>
    <row r="176" spans="1:15" s="1282" customFormat="1" ht="25.2" customHeight="1">
      <c r="A176" s="2147">
        <f>COUNTIF($K$1:K176,1)</f>
        <v>100</v>
      </c>
      <c r="B176" s="2281">
        <f>chitiet!B1939</f>
        <v>0</v>
      </c>
      <c r="C176" s="2056" t="str">
        <f>chitiet!C1939</f>
        <v xml:space="preserve"> </v>
      </c>
      <c r="D176" s="2057">
        <f>chitiet!D1939</f>
        <v>0</v>
      </c>
      <c r="E176" s="1962" t="e">
        <f>chitiet!E1939</f>
        <v>#N/A</v>
      </c>
      <c r="F176" s="1963" t="e">
        <f>chitiet!F1939</f>
        <v>#N/A</v>
      </c>
      <c r="G176" s="2051" t="e">
        <f>chitiet!G1939</f>
        <v>#N/A</v>
      </c>
      <c r="H176" s="2052">
        <f>chitiet!H1939</f>
        <v>0</v>
      </c>
      <c r="I176" s="2052">
        <f>chitiet!$P$1939</f>
        <v>0</v>
      </c>
      <c r="J176" s="1949">
        <f>IFERROR(VLOOKUP(B176,DG!A:F,6,0),3000)</f>
        <v>3000</v>
      </c>
      <c r="K176" s="1950">
        <f>IF(J176&lt;2000,COUNTIF($B$2:B176,B176),0)</f>
        <v>0</v>
      </c>
      <c r="L176" s="1968"/>
      <c r="M176" s="1502"/>
      <c r="O176" s="1502"/>
    </row>
    <row r="177" spans="1:15" s="1282" customFormat="1" ht="25.2" customHeight="1">
      <c r="A177" s="2147">
        <f>COUNTIF($K$1:K177,1)</f>
        <v>100</v>
      </c>
      <c r="B177" s="2280" t="str">
        <f>CT_tram!B2699</f>
        <v>BT10046</v>
      </c>
      <c r="C177" s="2136">
        <f>CT_tram!C2699</f>
        <v>0</v>
      </c>
      <c r="D177" s="2137">
        <f>CT_tram!D2699</f>
        <v>0</v>
      </c>
      <c r="E177" s="2194">
        <f>CT_tram!E2699</f>
        <v>0</v>
      </c>
      <c r="F177" s="2199" t="str">
        <f>CT_tram!F2699</f>
        <v>Bêtông đá 4x6 mac 100</v>
      </c>
      <c r="G177" s="2205" t="str">
        <f>CT_tram!G2699</f>
        <v>m3</v>
      </c>
      <c r="H177" s="2205">
        <f>CT_tram!H2699</f>
        <v>0.16799999999999998</v>
      </c>
      <c r="I177" s="2226">
        <f>CT_tram!I2699</f>
        <v>0.16799999999999998</v>
      </c>
      <c r="J177" s="1949">
        <f>IFERROR(VLOOKUP(B177,DG!A:F,6,0),3000)</f>
        <v>3000</v>
      </c>
      <c r="K177" s="1950">
        <f>IF(J177&lt;2000,COUNTIF($B$2:B177,B177),0)</f>
        <v>0</v>
      </c>
      <c r="L177" s="1968"/>
      <c r="M177" s="1502"/>
      <c r="O177" s="1502"/>
    </row>
    <row r="178" spans="1:15" s="1282" customFormat="1" ht="25.2" customHeight="1">
      <c r="A178" s="2147">
        <f>COUNTIF($K$1:K178,1)</f>
        <v>100</v>
      </c>
      <c r="B178" s="2211" t="str">
        <f>CT_tram!B2698</f>
        <v>bt200</v>
      </c>
      <c r="C178" s="1966">
        <f>CT_tram!C2698</f>
        <v>0</v>
      </c>
      <c r="D178" s="1967">
        <f>CT_tram!D2698</f>
        <v>0</v>
      </c>
      <c r="E178" s="1498">
        <f>CT_tram!E2698</f>
        <v>0</v>
      </c>
      <c r="F178" s="1955" t="str">
        <f>CT_tram!F2698</f>
        <v>Bêtông đá 1x2 mac 200</v>
      </c>
      <c r="G178" s="1964" t="str">
        <f>CT_tram!G2698</f>
        <v>m3</v>
      </c>
      <c r="H178" s="1965">
        <f>CT_tram!H2698</f>
        <v>1.08</v>
      </c>
      <c r="I178" s="1965">
        <f>CT_tram!I2698</f>
        <v>1.08</v>
      </c>
      <c r="J178" s="1949">
        <f>IFERROR(VLOOKUP(B178,DG!A:F,6,0),3000)</f>
        <v>3000</v>
      </c>
      <c r="K178" s="1950">
        <f>IF(J178&lt;2000,COUNTIF($B$2:B178,B178),0)</f>
        <v>0</v>
      </c>
      <c r="L178" s="1968"/>
      <c r="M178" s="1502"/>
      <c r="O178" s="1502"/>
    </row>
    <row r="179" spans="1:15" s="1282" customFormat="1" ht="25.2" customHeight="1">
      <c r="A179" s="2147">
        <f>COUNTIF($K$1:K179,1)</f>
        <v>100</v>
      </c>
      <c r="B179" s="2227" t="str">
        <f>CT_tram!B2714</f>
        <v>bt200</v>
      </c>
      <c r="C179" s="1960">
        <f>CT_tram!C2714</f>
        <v>0</v>
      </c>
      <c r="D179" s="1961">
        <f>CT_tram!D2714</f>
        <v>0</v>
      </c>
      <c r="E179" s="1962">
        <f>CT_tram!E2714</f>
        <v>0</v>
      </c>
      <c r="F179" s="1963" t="str">
        <f>CT_tram!F2714</f>
        <v>Bêtông đá 1x2 mac 200</v>
      </c>
      <c r="G179" s="2051" t="str">
        <f>CT_tram!G2714</f>
        <v>m3</v>
      </c>
      <c r="H179" s="2052">
        <f>CT_tram!H2714</f>
        <v>0.12</v>
      </c>
      <c r="I179" s="2052">
        <f>CT_tram!I2714</f>
        <v>0.12</v>
      </c>
      <c r="J179" s="1949">
        <f>IFERROR(VLOOKUP(B179,DG!A:F,6,0),3000)</f>
        <v>3000</v>
      </c>
      <c r="K179" s="1950">
        <f>IF(J179&lt;2000,COUNTIF($B$2:B179,B179),0)</f>
        <v>0</v>
      </c>
      <c r="L179" s="1426"/>
      <c r="M179" s="1502"/>
      <c r="O179" s="1502"/>
    </row>
    <row r="180" spans="1:15" s="1282" customFormat="1" ht="25.2" customHeight="1">
      <c r="A180" s="2147">
        <f>COUNTIF($K$1:K180,1)</f>
        <v>100</v>
      </c>
      <c r="B180" s="2227" t="str">
        <f>CT_tram!B2707</f>
        <v>C20mMB</v>
      </c>
      <c r="C180" s="1960">
        <f>CT_tram!C2707</f>
        <v>0</v>
      </c>
      <c r="D180" s="1961">
        <f>CT_tram!D2707</f>
        <v>0</v>
      </c>
      <c r="E180" s="1962" t="str">
        <f>CT_tram!E2707</f>
        <v>AI.53111</v>
      </c>
      <c r="F180" s="1963" t="str">
        <f>CT_tram!F2707</f>
        <v>Mặt bích nối cột bêt tông loại 200x200x5, 04 lỗ D16</v>
      </c>
      <c r="G180" s="2051" t="str">
        <f>CT_tram!G2707</f>
        <v>mối</v>
      </c>
      <c r="H180" s="2052">
        <f>CT_tram!H2707</f>
        <v>9</v>
      </c>
      <c r="I180" s="2052">
        <f>CT_tram!I2707</f>
        <v>9</v>
      </c>
      <c r="J180" s="1949">
        <f>IFERROR(VLOOKUP(B180,DG!A:F,6,0),3000)</f>
        <v>3000</v>
      </c>
      <c r="K180" s="1950">
        <f>IF(J180&lt;2000,COUNTIF($B$2:B180,B180),0)</f>
        <v>0</v>
      </c>
      <c r="L180" s="1426"/>
      <c r="M180" s="1502"/>
      <c r="O180" s="1502"/>
    </row>
    <row r="181" spans="1:15" s="1282" customFormat="1" ht="25.2" customHeight="1">
      <c r="A181" s="2147">
        <f>COUNTIF($K$1:K181,1)</f>
        <v>100</v>
      </c>
      <c r="B181" s="1953" t="str">
        <f>CT_tram!B2560</f>
        <v>tubu500</v>
      </c>
      <c r="C181" s="1286">
        <f>CT_tram!C2560</f>
        <v>0</v>
      </c>
      <c r="D181" s="1954">
        <f>CT_tram!D2560</f>
        <v>5</v>
      </c>
      <c r="E181" s="1498" t="str">
        <f>CT_tram!E2560</f>
        <v>05.1102</v>
      </c>
      <c r="F181" s="1955" t="str">
        <f>CT_tram!F2560</f>
        <v>Tủ tụ bù hạ thế 500kVAr</v>
      </c>
      <c r="G181" s="1964" t="str">
        <f>CT_tram!G2560</f>
        <v>tủ</v>
      </c>
      <c r="H181" s="1965">
        <f>CT_tram!H2560</f>
        <v>1</v>
      </c>
      <c r="I181" s="1965">
        <f>CT_tram!I2560</f>
        <v>1</v>
      </c>
      <c r="J181" s="1949">
        <f>IFERROR(VLOOKUP(B181,DG!A:F,6,0),3000)</f>
        <v>3000</v>
      </c>
      <c r="K181" s="1950">
        <f>IF(J181&lt;2000,COUNTIF($B$2:B181,B181),0)</f>
        <v>0</v>
      </c>
      <c r="L181" s="1426"/>
      <c r="M181" s="1502"/>
      <c r="O181" s="1502"/>
    </row>
    <row r="182" spans="1:15" s="1282" customFormat="1" ht="25.2" customHeight="1">
      <c r="A182" s="2147">
        <f>COUNTIF($K$1:K182,1)</f>
        <v>100</v>
      </c>
      <c r="B182" s="1953" t="str">
        <f>CT_tram!B2716</f>
        <v>xaytuong</v>
      </c>
      <c r="C182" s="1286">
        <f>CT_tram!C2716</f>
        <v>0</v>
      </c>
      <c r="D182" s="1954">
        <f>CT_tram!D2716</f>
        <v>0</v>
      </c>
      <c r="E182" s="2192" t="str">
        <f>CT_tram!E2716</f>
        <v>AE.61210</v>
      </c>
      <c r="F182" s="2197" t="str">
        <f>CT_tram!F2716</f>
        <v>Xây tường gạch ống bề dày &lt;30cm</v>
      </c>
      <c r="G182" s="2202" t="str">
        <f>CT_tram!G2716</f>
        <v>m3</v>
      </c>
      <c r="H182" s="2202">
        <f>CT_tram!H2716</f>
        <v>1.4</v>
      </c>
      <c r="I182" s="2202">
        <f>CT_tram!I2716</f>
        <v>1.4</v>
      </c>
      <c r="J182" s="1949">
        <f>IFERROR(VLOOKUP(B182,DG!A:F,6,0),3000)</f>
        <v>3000</v>
      </c>
      <c r="K182" s="1950">
        <f>IF(J182&lt;2000,COUNTIF($B$2:B182,B182),0)</f>
        <v>0</v>
      </c>
      <c r="L182" s="1422"/>
      <c r="M182" s="1502"/>
      <c r="O182" s="1502"/>
    </row>
    <row r="183" spans="1:15" s="1282" customFormat="1" ht="25.2" customHeight="1">
      <c r="A183" s="2147">
        <f>COUNTIF($K$1:K183,1)</f>
        <v>100</v>
      </c>
      <c r="B183" s="2281">
        <f>chitiet!B1491</f>
        <v>0</v>
      </c>
      <c r="C183" s="2056" t="str">
        <f>chitiet!C1491</f>
        <v>X</v>
      </c>
      <c r="D183" s="2057">
        <f>chitiet!D1491</f>
        <v>0</v>
      </c>
      <c r="E183" s="1962" t="str">
        <f>chitiet!E1491</f>
        <v>IV</v>
      </c>
      <c r="F183" s="1963" t="str">
        <f>chitiet!F1491</f>
        <v>Phần dây, sứ và phụ kiện</v>
      </c>
      <c r="G183" s="2051">
        <f>chitiet!G1491</f>
        <v>0</v>
      </c>
      <c r="H183" s="2052">
        <f>chitiet!H1491</f>
        <v>0</v>
      </c>
      <c r="I183" s="2052">
        <f>chitiet!$P$1491</f>
        <v>0</v>
      </c>
      <c r="J183" s="1949">
        <f>IFERROR(VLOOKUP(B183,DG!A:F,6,0),3000)</f>
        <v>3000</v>
      </c>
      <c r="K183" s="1950">
        <f>IF(J183&lt;2000,COUNTIF($B$2:B183,B183),0)</f>
        <v>0</v>
      </c>
      <c r="L183" s="1968"/>
      <c r="M183" s="1502"/>
      <c r="O183" s="1502"/>
    </row>
    <row r="184" spans="1:15" s="1282" customFormat="1" ht="25.2" customHeight="1">
      <c r="A184" s="2147">
        <f>COUNTIF($K$1:K184,1)</f>
        <v>100</v>
      </c>
      <c r="B184" s="2227">
        <f>chitiet!B1832</f>
        <v>0</v>
      </c>
      <c r="C184" s="1960" t="str">
        <f>chitiet!C1832</f>
        <v>x</v>
      </c>
      <c r="D184" s="1961">
        <f>chitiet!D1832</f>
        <v>60</v>
      </c>
      <c r="E184" s="1962">
        <f>chitiet!E1832</f>
        <v>0</v>
      </c>
      <c r="F184" s="1963" t="str">
        <f>chitiet!F1832</f>
        <v>Phụ kiện đấu nối đầu đường dây</v>
      </c>
      <c r="G184" s="2051">
        <f>chitiet!G1832</f>
        <v>0</v>
      </c>
      <c r="H184" s="2052">
        <f>chitiet!H1832</f>
        <v>0</v>
      </c>
      <c r="I184" s="2052">
        <f>chitiet!$P$1832</f>
        <v>0</v>
      </c>
      <c r="J184" s="1949">
        <f>IFERROR(VLOOKUP(B184,DG!A:F,6,0),3000)</f>
        <v>3000</v>
      </c>
      <c r="K184" s="1950">
        <f>IF(J184&lt;2000,COUNTIF($B$2:B184,B184),0)</f>
        <v>0</v>
      </c>
      <c r="L184" s="1968"/>
      <c r="M184" s="1969"/>
      <c r="N184" s="1970"/>
      <c r="O184" s="1969"/>
    </row>
    <row r="185" spans="1:15" s="1282" customFormat="1" ht="25.2" customHeight="1">
      <c r="A185" s="2147">
        <f>COUNTIF($K$1:K185,1)</f>
        <v>100</v>
      </c>
      <c r="B185" s="2227" t="str">
        <f>CT_tram!B2587</f>
        <v>X-com-fcola</v>
      </c>
      <c r="C185" s="1960">
        <f>CT_tram!C2587</f>
        <v>0</v>
      </c>
      <c r="D185" s="1961">
        <f>CT_tram!D2587</f>
        <v>1</v>
      </c>
      <c r="E185" s="1962">
        <f>CT_tram!E2587</f>
        <v>0</v>
      </c>
      <c r="F185" s="1963" t="str">
        <f>CT_tram!F2587</f>
        <v>Đà đơn Composite 2400 bắt FCO + LA</v>
      </c>
      <c r="G185" s="2051" t="str">
        <f>CT_tram!G2587</f>
        <v>Bộ</v>
      </c>
      <c r="H185" s="2052">
        <f>CT_tram!H2587</f>
        <v>1</v>
      </c>
      <c r="I185" s="2052">
        <f>CT_tram!I2587</f>
        <v>1</v>
      </c>
      <c r="J185" s="1949">
        <f>IFERROR(VLOOKUP(B185,DG!A:F,6,0),3000)</f>
        <v>2000</v>
      </c>
      <c r="K185" s="1950">
        <f>IF(J185&lt;2000,COUNTIF($B$2:B185,B185),0)</f>
        <v>0</v>
      </c>
      <c r="L185" s="1426"/>
      <c r="M185" s="1502"/>
      <c r="O185" s="1502"/>
    </row>
    <row r="186" spans="1:15" s="1282" customFormat="1" ht="25.2" customHeight="1">
      <c r="A186" s="2147">
        <f>COUNTIF($K$1:K186,1)</f>
        <v>100</v>
      </c>
      <c r="B186" s="2227" t="str">
        <f>CT_tram!B2595</f>
        <v>X-2400-K</v>
      </c>
      <c r="C186" s="1960">
        <f>CT_tram!C2595</f>
        <v>0</v>
      </c>
      <c r="D186" s="1961">
        <f>CT_tram!D2595</f>
        <v>2</v>
      </c>
      <c r="E186" s="1962">
        <f>CT_tram!E2595</f>
        <v>0</v>
      </c>
      <c r="F186" s="1963" t="str">
        <f>CT_tram!F2595</f>
        <v>Xà kép L75x75x8x2400 (4 ốp)  bắt TI, TU</v>
      </c>
      <c r="G186" s="2051" t="str">
        <f>CT_tram!G2595</f>
        <v>Bộ</v>
      </c>
      <c r="H186" s="2052">
        <f>CT_tram!H2595</f>
        <v>2</v>
      </c>
      <c r="I186" s="2052">
        <f>CT_tram!I2595</f>
        <v>2</v>
      </c>
      <c r="J186" s="1949">
        <f>IFERROR(VLOOKUP(B186,DG!A:F,6,0),3000)</f>
        <v>2000</v>
      </c>
      <c r="K186" s="1950">
        <f>IF(J186&lt;2000,COUNTIF($B$2:B186,B186),0)</f>
        <v>0</v>
      </c>
      <c r="L186" s="1426"/>
      <c r="M186" s="1502"/>
      <c r="O186" s="1502"/>
    </row>
    <row r="187" spans="1:15" s="1282" customFormat="1" ht="25.2" customHeight="1">
      <c r="A187" s="2147">
        <f>COUNTIF($K$1:K187,1)</f>
        <v>100</v>
      </c>
      <c r="B187" s="1953" t="str">
        <f>CT_tram!B2603</f>
        <v>X-2400-D</v>
      </c>
      <c r="C187" s="1286">
        <f>CT_tram!C2603</f>
        <v>0</v>
      </c>
      <c r="D187" s="1954">
        <f>CT_tram!D2603</f>
        <v>3</v>
      </c>
      <c r="E187" s="2192">
        <f>CT_tram!E2603</f>
        <v>0</v>
      </c>
      <c r="F187" s="2197" t="str">
        <f>CT_tram!F2603</f>
        <v>Xà đơn L75x75x8x2200 (4 ốp) đỡ sứ</v>
      </c>
      <c r="G187" s="2202" t="str">
        <f>CT_tram!G2603</f>
        <v>Bộ</v>
      </c>
      <c r="H187" s="2202">
        <f>CT_tram!H2603</f>
        <v>1</v>
      </c>
      <c r="I187" s="2202">
        <f>CT_tram!I2603</f>
        <v>1</v>
      </c>
      <c r="J187" s="1949">
        <f>IFERROR(VLOOKUP(B187,DG!A:F,6,0),3000)</f>
        <v>2000</v>
      </c>
      <c r="K187" s="1950">
        <f>IF(J187&lt;2000,COUNTIF($B$2:B187,B187),0)</f>
        <v>0</v>
      </c>
      <c r="L187" s="1422"/>
      <c r="M187" s="1502"/>
      <c r="O187" s="1502"/>
    </row>
    <row r="188" spans="1:15" s="1282" customFormat="1" ht="25.2" customHeight="1">
      <c r="A188" s="2147">
        <f>COUNTIF($K$1:K188,1)</f>
        <v>100</v>
      </c>
      <c r="B188" s="2227">
        <f>CT_tram!B2612</f>
        <v>0</v>
      </c>
      <c r="C188" s="1960">
        <f>CT_tram!C2612</f>
        <v>0</v>
      </c>
      <c r="D188" s="1961">
        <f>CT_tram!D2612</f>
        <v>4</v>
      </c>
      <c r="E188" s="2224">
        <f>CT_tram!E2612</f>
        <v>0</v>
      </c>
      <c r="F188" s="2225" t="str">
        <f>CT_tram!F2612</f>
        <v>Bộ tiếp địa Trạm biến áp</v>
      </c>
      <c r="G188" s="2226" t="str">
        <f>CT_tram!G2612</f>
        <v>Bộ</v>
      </c>
      <c r="H188" s="2226">
        <f>CT_tram!H2612</f>
        <v>1</v>
      </c>
      <c r="I188" s="2226">
        <f>CT_tram!I2612</f>
        <v>1</v>
      </c>
      <c r="J188" s="1949">
        <f>IFERROR(VLOOKUP(B188,DG!A:F,6,0),3000)</f>
        <v>3000</v>
      </c>
      <c r="K188" s="1950">
        <f>IF(J188&lt;2000,COUNTIF($B$2:B188,B188),0)</f>
        <v>0</v>
      </c>
      <c r="L188" s="1422"/>
      <c r="M188" s="1502"/>
      <c r="O188" s="1502"/>
    </row>
    <row r="189" spans="1:15" s="1282" customFormat="1" ht="25.2" customHeight="1">
      <c r="A189" s="2147">
        <f>COUNTIF($K$1:K189,1)</f>
        <v>100</v>
      </c>
      <c r="B189" s="2227">
        <f>CT_tram!B2625</f>
        <v>0</v>
      </c>
      <c r="C189" s="1960">
        <f>CT_tram!C2625</f>
        <v>0</v>
      </c>
      <c r="D189" s="1961">
        <f>CT_tram!D2625</f>
        <v>5</v>
      </c>
      <c r="E189" s="1962">
        <f>CT_tram!E2625</f>
        <v>0</v>
      </c>
      <c r="F189" s="1963" t="str">
        <f>CT_tram!F2625</f>
        <v>Tủ đóng cắt hạ thế</v>
      </c>
      <c r="G189" s="1964" t="str">
        <f>CT_tram!G2625</f>
        <v>Bộ</v>
      </c>
      <c r="H189" s="1965">
        <f>CT_tram!H2625</f>
        <v>1</v>
      </c>
      <c r="I189" s="1965">
        <f>CT_tram!I2625</f>
        <v>1</v>
      </c>
      <c r="J189" s="1949">
        <f>IFERROR(VLOOKUP(B189,DG!A:F,6,0),3000)</f>
        <v>3000</v>
      </c>
      <c r="K189" s="1950">
        <f>IF(J189&lt;2000,COUNTIF($B$2:B189,B189),0)</f>
        <v>0</v>
      </c>
      <c r="L189" s="1426"/>
      <c r="M189" s="1502"/>
      <c r="O189" s="1502"/>
    </row>
    <row r="190" spans="1:15" s="1282" customFormat="1" ht="25.2" customHeight="1">
      <c r="A190" s="2147">
        <f>COUNTIF($K$1:K190,1)</f>
        <v>100</v>
      </c>
      <c r="B190" s="2227">
        <f>CT_tram!B2663</f>
        <v>0</v>
      </c>
      <c r="C190" s="1960">
        <f>CT_tram!C2663</f>
        <v>0</v>
      </c>
      <c r="D190" s="1961">
        <f>CT_tram!D2663</f>
        <v>6</v>
      </c>
      <c r="E190" s="1962">
        <f>CT_tram!E2663</f>
        <v>0</v>
      </c>
      <c r="F190" s="1963" t="str">
        <f>CT_tram!F2663</f>
        <v xml:space="preserve">Bộ dây dẫn trung thế 24kV 3pha trên không </v>
      </c>
      <c r="G190" s="1964" t="str">
        <f>CT_tram!G2663</f>
        <v>Bộ</v>
      </c>
      <c r="H190" s="1965">
        <f>CT_tram!H2663</f>
        <v>1</v>
      </c>
      <c r="I190" s="1965">
        <f>CT_tram!I2663</f>
        <v>1</v>
      </c>
      <c r="J190" s="1949">
        <f>IFERROR(VLOOKUP(B190,DG!A:F,6,0),3000)</f>
        <v>3000</v>
      </c>
      <c r="K190" s="1950">
        <f>IF(J190&lt;2000,COUNTIF($B$2:B190,B190),0)</f>
        <v>0</v>
      </c>
      <c r="L190" s="1426"/>
      <c r="M190" s="1502"/>
      <c r="O190" s="1502"/>
    </row>
    <row r="191" spans="1:15" s="1282" customFormat="1" ht="25.2" customHeight="1">
      <c r="A191" s="2147">
        <f>COUNTIF($K$1:K191,1)</f>
        <v>100</v>
      </c>
      <c r="B191" s="2227">
        <f>CT_tram!B2677</f>
        <v>0</v>
      </c>
      <c r="C191" s="1960">
        <f>CT_tram!C2677</f>
        <v>0</v>
      </c>
      <c r="D191" s="1961">
        <f>CT_tram!D2677</f>
        <v>7</v>
      </c>
      <c r="E191" s="1962">
        <f>CT_tram!E2677</f>
        <v>0</v>
      </c>
      <c r="F191" s="1963" t="str">
        <f>CT_tram!F2677</f>
        <v>Bộ dây dẫn cáp xuất hạ thế từ MBA vào tủ CB</v>
      </c>
      <c r="G191" s="2051" t="str">
        <f>CT_tram!G2677</f>
        <v>Bộ</v>
      </c>
      <c r="H191" s="2052">
        <f>CT_tram!H2677</f>
        <v>1</v>
      </c>
      <c r="I191" s="2052">
        <f>CT_tram!I2677</f>
        <v>1</v>
      </c>
      <c r="J191" s="1949">
        <f>IFERROR(VLOOKUP(B191,DG!A:F,6,0),3000)</f>
        <v>3000</v>
      </c>
      <c r="K191" s="1950">
        <f>IF(J191&lt;2000,COUNTIF($B$2:B191,B191),0)</f>
        <v>0</v>
      </c>
      <c r="L191" s="1426"/>
      <c r="M191" s="1502"/>
      <c r="O191" s="1502"/>
    </row>
    <row r="192" spans="1:15" s="1282" customFormat="1" ht="25.2" customHeight="1">
      <c r="A192" s="2147">
        <f>COUNTIF($K$1:K192,1)</f>
        <v>100</v>
      </c>
      <c r="B192" s="1953">
        <f>CT_tram!B2694</f>
        <v>0</v>
      </c>
      <c r="C192" s="1286">
        <f>CT_tram!C2694</f>
        <v>0</v>
      </c>
      <c r="D192" s="1954">
        <f>CT_tram!D2694</f>
        <v>8</v>
      </c>
      <c r="E192" s="1498">
        <f>CT_tram!E2694</f>
        <v>0</v>
      </c>
      <c r="F192" s="1955" t="str">
        <f>CT_tram!F2694</f>
        <v>Bệ Bêtông đỡ MBA + tủ ACB + tụ bù</v>
      </c>
      <c r="G192" s="1964" t="str">
        <f>CT_tram!G2694</f>
        <v>Bộ</v>
      </c>
      <c r="H192" s="1965">
        <f>CT_tram!H2694</f>
        <v>1</v>
      </c>
      <c r="I192" s="1965">
        <f>CT_tram!I2694</f>
        <v>1</v>
      </c>
      <c r="J192" s="1949">
        <f>IFERROR(VLOOKUP(B192,DG!A:F,6,0),3000)</f>
        <v>3000</v>
      </c>
      <c r="K192" s="1950">
        <f>IF(J192&lt;2000,COUNTIF($B$2:B192,B192),0)</f>
        <v>0</v>
      </c>
      <c r="L192" s="1426"/>
      <c r="M192" s="1502"/>
      <c r="O192" s="1502"/>
    </row>
    <row r="193" spans="1:15" s="1282" customFormat="1" ht="25.2" customHeight="1">
      <c r="A193" s="2147">
        <f>COUNTIF($K$1:K193,1)</f>
        <v>100</v>
      </c>
      <c r="B193" s="2227">
        <f>CT_tram!B2703</f>
        <v>0</v>
      </c>
      <c r="C193" s="1960">
        <f>CT_tram!C2703</f>
        <v>0</v>
      </c>
      <c r="D193" s="1961">
        <f>CT_tram!D2703</f>
        <v>9</v>
      </c>
      <c r="E193" s="2224">
        <f>CT_tram!E2703</f>
        <v>0</v>
      </c>
      <c r="F193" s="2225" t="str">
        <f>CT_tram!F2703</f>
        <v>Hàng rào TBA</v>
      </c>
      <c r="G193" s="2226" t="str">
        <f>CT_tram!G2703</f>
        <v>Bộ</v>
      </c>
      <c r="H193" s="2226">
        <f>CT_tram!H2703</f>
        <v>1</v>
      </c>
      <c r="I193" s="2226">
        <f>CT_tram!I2703</f>
        <v>1</v>
      </c>
      <c r="J193" s="1949">
        <f>IFERROR(VLOOKUP(B193,DG!A:F,6,0),3000)</f>
        <v>3000</v>
      </c>
      <c r="K193" s="1950">
        <f>IF(J193&lt;2000,COUNTIF($B$2:B193,B193),0)</f>
        <v>0</v>
      </c>
      <c r="L193" s="1422"/>
      <c r="M193" s="1502"/>
      <c r="O193" s="1502"/>
    </row>
    <row r="194" spans="1:15" s="1282" customFormat="1" ht="25.2" customHeight="1">
      <c r="A194" s="2147">
        <f>COUNTIF($K$1:K194,1)</f>
        <v>100</v>
      </c>
      <c r="B194" s="2279">
        <f>CT_tram!B2720</f>
        <v>0</v>
      </c>
      <c r="C194" s="1952">
        <f>CT_tram!C2720</f>
        <v>0</v>
      </c>
      <c r="D194" s="1956">
        <f>CT_tram!D2720</f>
        <v>10</v>
      </c>
      <c r="E194" s="1957">
        <f>CT_tram!E2720</f>
        <v>0</v>
      </c>
      <c r="F194" s="1958" t="str">
        <f>CT_tram!F2720</f>
        <v>Bộ đo đếm</v>
      </c>
      <c r="G194" s="2053" t="str">
        <f>CT_tram!G2720</f>
        <v>Bộ</v>
      </c>
      <c r="H194" s="2054">
        <f>CT_tram!H2720</f>
        <v>1</v>
      </c>
      <c r="I194" s="2052">
        <f>CT_tram!I2720</f>
        <v>1</v>
      </c>
      <c r="J194" s="1949">
        <f>IFERROR(VLOOKUP(B194,DG!A:F,6,0),3000)</f>
        <v>3000</v>
      </c>
      <c r="K194" s="1950">
        <f>IF(J194&lt;2000,COUNTIF($B$2:B194,B194),0)</f>
        <v>0</v>
      </c>
      <c r="L194" s="1426"/>
      <c r="M194" s="1502"/>
      <c r="O194" s="1502"/>
    </row>
    <row r="195" spans="1:15" s="1282" customFormat="1" ht="25.2" customHeight="1">
      <c r="A195" s="2147">
        <f>COUNTIF($K$1:K195,1)</f>
        <v>100</v>
      </c>
      <c r="B195" s="2279" t="str">
        <f>chitiet!B245</f>
        <v>MDD3</v>
      </c>
      <c r="C195" s="1952" t="str">
        <f>chitiet!C245</f>
        <v>x</v>
      </c>
      <c r="D195" s="1956">
        <f>chitiet!D245</f>
        <v>0.28799999999999998</v>
      </c>
      <c r="E195" s="1957">
        <f>chitiet!E245</f>
        <v>0</v>
      </c>
      <c r="F195" s="1958" t="str">
        <f>chitiet!F245</f>
        <v>Đào hố móng đất cấp 3 sâu &gt;1m</v>
      </c>
      <c r="G195" s="2053" t="str">
        <f>chitiet!G245</f>
        <v>m3</v>
      </c>
      <c r="H195" s="2052">
        <f>chitiet!H245</f>
        <v>0.28799999999999998</v>
      </c>
      <c r="I195" s="2052">
        <f>chitiet!P245</f>
        <v>0.28799999999999998</v>
      </c>
      <c r="J195" s="1949">
        <f>IFERROR(VLOOKUP(B195,DG!A:F,6,0),3000)</f>
        <v>3000</v>
      </c>
      <c r="K195" s="1950">
        <f>IF(J195&lt;2000,COUNTIF($B$2:B195,B195),0)</f>
        <v>0</v>
      </c>
      <c r="L195" s="1426"/>
      <c r="M195" s="1502"/>
      <c r="O195" s="1502"/>
    </row>
    <row r="196" spans="1:15" s="1282" customFormat="1" ht="25.2" customHeight="1">
      <c r="A196" s="2147">
        <f>COUNTIF($K$1:K196,1)</f>
        <v>100</v>
      </c>
      <c r="B196" s="2227" t="str">
        <f>chitiet!B370</f>
        <v>MDD3</v>
      </c>
      <c r="C196" s="1960" t="str">
        <f>chitiet!C370</f>
        <v>x</v>
      </c>
      <c r="D196" s="1961">
        <f>chitiet!D370</f>
        <v>1.93</v>
      </c>
      <c r="E196" s="1962" t="str">
        <f>chitiet!E370</f>
        <v>03.1013</v>
      </c>
      <c r="F196" s="1963" t="str">
        <f>chitiet!F370</f>
        <v>Đào hố móng đất cấp 3 sâu &gt;1m</v>
      </c>
      <c r="G196" s="2051" t="str">
        <f>chitiet!G370</f>
        <v>m3</v>
      </c>
      <c r="H196" s="2052">
        <f>chitiet!H370</f>
        <v>1.93</v>
      </c>
      <c r="I196" s="2052">
        <f>chitiet!P370</f>
        <v>1.93</v>
      </c>
      <c r="J196" s="1949">
        <f>IFERROR(VLOOKUP(B196,DG!A:F,6,0),3000)</f>
        <v>3000</v>
      </c>
      <c r="K196" s="1950">
        <f>IF(J196&lt;2000,COUNTIF($B$2:B196,B196),0)</f>
        <v>0</v>
      </c>
      <c r="L196" s="1426"/>
      <c r="M196" s="1502"/>
      <c r="O196" s="1502"/>
    </row>
    <row r="197" spans="1:15" s="1282" customFormat="1" ht="25.2" customHeight="1">
      <c r="A197" s="2147">
        <f>COUNTIF($K$1:K197,1)</f>
        <v>100</v>
      </c>
      <c r="B197" s="2227" t="str">
        <f>chitiet!B1406</f>
        <v>MDD3</v>
      </c>
      <c r="C197" s="1960" t="str">
        <f>chitiet!C1406</f>
        <v>x</v>
      </c>
      <c r="D197" s="1961">
        <f>chitiet!D1406</f>
        <v>0.36</v>
      </c>
      <c r="E197" s="2224" t="str">
        <f>chitiet!E1406</f>
        <v>03.1013</v>
      </c>
      <c r="F197" s="2225" t="str">
        <f>chitiet!F1406</f>
        <v>Đào hố móng đất cấp 3 sâu &gt;1m</v>
      </c>
      <c r="G197" s="2226" t="str">
        <f>chitiet!G1406</f>
        <v>m3</v>
      </c>
      <c r="H197" s="2226">
        <f>chitiet!H1406</f>
        <v>0.36</v>
      </c>
      <c r="I197" s="2226">
        <f>chitiet!P1406</f>
        <v>0.36</v>
      </c>
      <c r="J197" s="1949">
        <f>IFERROR(VLOOKUP(B197,DG!A:F,6,0),3000)</f>
        <v>3000</v>
      </c>
      <c r="K197" s="1950">
        <f>IF(J197&lt;2000,COUNTIF($B$2:B197,B197),0)</f>
        <v>0</v>
      </c>
      <c r="L197" s="1422"/>
      <c r="M197" s="1502"/>
      <c r="O197" s="1502"/>
    </row>
    <row r="198" spans="1:15" s="1282" customFormat="1" ht="25.2" customHeight="1">
      <c r="A198" s="2147">
        <f>COUNTIF($K$1:K198,1)</f>
        <v>100</v>
      </c>
      <c r="B198" s="2227" t="str">
        <f>CT_tram!B2614</f>
        <v>M25</v>
      </c>
      <c r="C198" s="1960">
        <f>CT_tram!C2614</f>
        <v>0</v>
      </c>
      <c r="D198" s="1961">
        <f>CT_tram!D2614</f>
        <v>0</v>
      </c>
      <c r="E198" s="1962">
        <f>CT_tram!E2614</f>
        <v>0</v>
      </c>
      <c r="F198" s="1963" t="str">
        <f>CT_tram!F2614</f>
        <v>Cáp đồng trần M25mm2</v>
      </c>
      <c r="G198" s="2051" t="str">
        <f>CT_tram!G2614</f>
        <v>kg</v>
      </c>
      <c r="H198" s="2052">
        <f>CT_tram!H2614</f>
        <v>11.87</v>
      </c>
      <c r="I198" s="2052">
        <f>CT_tram!I2614</f>
        <v>11.87</v>
      </c>
      <c r="J198" s="1949">
        <f>IFERROR(VLOOKUP(B198,DG!A:F,6,0),3000)</f>
        <v>12</v>
      </c>
      <c r="K198" s="1950">
        <f>IF(J198&lt;2000,COUNTIF($B$2:B198,B198),0)</f>
        <v>2</v>
      </c>
      <c r="L198" s="1426"/>
      <c r="M198" s="1502"/>
      <c r="O198" s="1502"/>
    </row>
    <row r="199" spans="1:15" s="1282" customFormat="1" ht="25.2" customHeight="1">
      <c r="A199" s="2147">
        <f>COUNTIF($K$1:K199,1)</f>
        <v>100</v>
      </c>
      <c r="B199" s="2281" t="str">
        <f>CT_tram!B2615</f>
        <v>CTD+K</v>
      </c>
      <c r="C199" s="2056">
        <f>CT_tram!C2615</f>
        <v>0</v>
      </c>
      <c r="D199" s="2057">
        <f>CT_tram!D2615</f>
        <v>0</v>
      </c>
      <c r="E199" s="1962">
        <f>CT_tram!E2615</f>
        <v>0</v>
      </c>
      <c r="F199" s="1963" t="str">
        <f>CT_tram!F2615</f>
        <v>Cọc tiếp đất Þ 16- 2,4m + kẹp cọc</v>
      </c>
      <c r="G199" s="2051" t="str">
        <f>CT_tram!G2615</f>
        <v>bộ</v>
      </c>
      <c r="H199" s="2052">
        <f>CT_tram!H2615</f>
        <v>9</v>
      </c>
      <c r="I199" s="2052">
        <f>CT_tram!I2615</f>
        <v>9</v>
      </c>
      <c r="J199" s="1949">
        <f>IFERROR(VLOOKUP(B199,DG!A:F,6,0),3000)</f>
        <v>50</v>
      </c>
      <c r="K199" s="1950">
        <f>IF(J199&lt;2000,COUNTIF($B$2:B199,B199),0)</f>
        <v>2</v>
      </c>
      <c r="L199" s="1426"/>
      <c r="M199" s="1502"/>
      <c r="O199" s="1502"/>
    </row>
    <row r="200" spans="1:15" s="1282" customFormat="1" ht="25.2" customHeight="1">
      <c r="A200" s="2147">
        <f>COUNTIF($K$1:K200,1)</f>
        <v>100</v>
      </c>
      <c r="B200" s="2227"/>
      <c r="C200" s="1960"/>
      <c r="D200" s="1961"/>
      <c r="E200" s="1962"/>
      <c r="F200" s="1963"/>
      <c r="G200" s="2051"/>
      <c r="H200" s="2052"/>
      <c r="I200" s="2052"/>
      <c r="J200" s="1949">
        <f>IFERROR(VLOOKUP(B200,DG!A:F,6,0),3000)</f>
        <v>3000</v>
      </c>
      <c r="K200" s="1950">
        <f>IF(J200&lt;2000,COUNTIF($B$2:B200,B200),0)</f>
        <v>0</v>
      </c>
      <c r="L200" s="1426"/>
      <c r="M200" s="1502"/>
      <c r="O200" s="1502"/>
    </row>
    <row r="201" spans="1:15" ht="25.2" customHeight="1">
      <c r="A201" s="2147">
        <f>COUNTIF($K$1:K201,1)</f>
        <v>100</v>
      </c>
      <c r="B201" s="2227"/>
      <c r="C201" s="1960"/>
      <c r="D201" s="1961"/>
      <c r="E201" s="2193"/>
      <c r="F201" s="2198"/>
      <c r="G201" s="2204"/>
      <c r="H201" s="2208"/>
      <c r="I201" s="2208"/>
      <c r="J201" s="1949">
        <f>IFERROR(VLOOKUP(B201,DG!A:F,6,0),3000)</f>
        <v>3000</v>
      </c>
      <c r="K201" s="1950">
        <f>IF(J201&lt;2000,COUNTIF($B$2:B201,B201),0)</f>
        <v>0</v>
      </c>
      <c r="L201" s="1426"/>
      <c r="N201" s="1282"/>
    </row>
    <row r="202" spans="1:15" ht="25.2" customHeight="1">
      <c r="A202" s="2147">
        <f>COUNTIF($K$1:K202,1)</f>
        <v>100</v>
      </c>
      <c r="B202" s="2279"/>
      <c r="C202" s="1952"/>
      <c r="D202" s="1956"/>
      <c r="E202" s="2196"/>
      <c r="F202" s="2201"/>
      <c r="G202" s="2206"/>
      <c r="H202" s="2209"/>
      <c r="I202" s="2208"/>
      <c r="J202" s="1949">
        <f>IFERROR(VLOOKUP(B202,DG!A:F,6,0),3000)</f>
        <v>3000</v>
      </c>
      <c r="K202" s="1950">
        <f>IF(J202&lt;2000,COUNTIF($B$2:B202,B202),0)</f>
        <v>0</v>
      </c>
      <c r="L202" s="1426"/>
      <c r="M202" s="1969"/>
      <c r="N202" s="1970"/>
      <c r="O202" s="1969"/>
    </row>
    <row r="203" spans="1:15" ht="25.2" customHeight="1">
      <c r="A203" s="2147">
        <f>COUNTIF($K$1:K203,1)</f>
        <v>100</v>
      </c>
      <c r="B203" s="2227"/>
      <c r="C203" s="1960"/>
      <c r="D203" s="1961"/>
      <c r="E203" s="2193"/>
      <c r="F203" s="2198"/>
      <c r="G203" s="2204"/>
      <c r="H203" s="2208"/>
      <c r="I203" s="2208"/>
      <c r="J203" s="1949">
        <f>IFERROR(VLOOKUP(B203,DG!A:F,6,0),3000)</f>
        <v>3000</v>
      </c>
      <c r="K203" s="1950">
        <f>IF(J203&lt;2000,COUNTIF($B$2:B203,B203),0)</f>
        <v>0</v>
      </c>
      <c r="L203" s="1426"/>
    </row>
    <row r="204" spans="1:15" ht="25.2" customHeight="1">
      <c r="A204" s="2147">
        <f>COUNTIF($K$1:K204,1)</f>
        <v>100</v>
      </c>
      <c r="E204" s="2195"/>
      <c r="F204" s="2200"/>
      <c r="G204" s="2203"/>
      <c r="H204" s="2207"/>
      <c r="I204" s="2207"/>
      <c r="J204" s="1949">
        <f>IFERROR(VLOOKUP(B204,DG!A:F,6,0),3000)</f>
        <v>3000</v>
      </c>
      <c r="K204" s="1950">
        <f>IF(J204&lt;2000,COUNTIF($B$2:B204,B204),0)</f>
        <v>0</v>
      </c>
      <c r="L204" s="1426"/>
      <c r="N204" s="1282"/>
    </row>
    <row r="205" spans="1:15" ht="25.2" customHeight="1">
      <c r="A205" s="2147">
        <f>COUNTIF($K$1:K205,1)</f>
        <v>100</v>
      </c>
      <c r="B205" s="2227"/>
      <c r="C205" s="1960"/>
      <c r="D205" s="1961"/>
      <c r="E205" s="2193"/>
      <c r="F205" s="2198"/>
      <c r="G205" s="2204"/>
      <c r="H205" s="2208"/>
      <c r="I205" s="2208"/>
      <c r="J205" s="1949">
        <f>IFERROR(VLOOKUP(B205,DG!A:F,6,0),3000)</f>
        <v>3000</v>
      </c>
      <c r="K205" s="1950">
        <f>IF(J205&lt;2000,COUNTIF($B$2:B205,B205),0)</f>
        <v>0</v>
      </c>
      <c r="L205" s="1426"/>
      <c r="N205" s="1282"/>
    </row>
    <row r="206" spans="1:15" ht="25.2" customHeight="1">
      <c r="A206" s="2147">
        <f>COUNTIF($K$1:K206,1)</f>
        <v>100</v>
      </c>
      <c r="B206" s="2227"/>
      <c r="C206" s="1960"/>
      <c r="D206" s="1961"/>
      <c r="E206" s="2193"/>
      <c r="F206" s="2198"/>
      <c r="G206" s="2204"/>
      <c r="H206" s="2208"/>
      <c r="I206" s="2208"/>
      <c r="J206" s="1949">
        <f>IFERROR(VLOOKUP(B206,DG!A:F,6,0),3000)</f>
        <v>3000</v>
      </c>
      <c r="K206" s="1950">
        <f>IF(J206&lt;2000,COUNTIF($B$2:B206,B206),0)</f>
        <v>0</v>
      </c>
      <c r="L206" s="1426"/>
      <c r="N206" s="1282"/>
    </row>
    <row r="207" spans="1:15" ht="25.2" customHeight="1">
      <c r="A207" s="2147">
        <f>COUNTIF($K$1:K207,1)</f>
        <v>100</v>
      </c>
      <c r="B207" s="2280"/>
      <c r="C207" s="2136"/>
      <c r="D207" s="2137"/>
      <c r="E207" s="2196"/>
      <c r="F207" s="2201"/>
      <c r="G207" s="2206"/>
      <c r="H207" s="2209"/>
      <c r="I207" s="2208"/>
      <c r="J207" s="1949">
        <f>IFERROR(VLOOKUP(B207,DG!A:F,6,0),3000)</f>
        <v>3000</v>
      </c>
      <c r="K207" s="1950">
        <f>IF(J207&lt;2000,COUNTIF($B$2:B207,B207),0)</f>
        <v>0</v>
      </c>
      <c r="L207" s="1426"/>
      <c r="N207" s="1282"/>
    </row>
    <row r="208" spans="1:15" ht="25.2" customHeight="1">
      <c r="A208" s="2147">
        <f>COUNTIF($K$1:K208,1)</f>
        <v>100</v>
      </c>
      <c r="B208" s="2227"/>
      <c r="C208" s="1960"/>
      <c r="D208" s="1961"/>
      <c r="E208" s="2193"/>
      <c r="F208" s="2198"/>
      <c r="G208" s="2206"/>
      <c r="H208" s="2209"/>
      <c r="I208" s="2276"/>
      <c r="J208" s="1949">
        <f>IFERROR(VLOOKUP(B208,DG!A:F,6,0),3000)</f>
        <v>3000</v>
      </c>
      <c r="K208" s="1950">
        <f>IF(J208&lt;2000,COUNTIF($B$2:B208,B208),0)</f>
        <v>0</v>
      </c>
      <c r="L208" s="1426"/>
    </row>
    <row r="209" spans="1:15" ht="25.2" customHeight="1">
      <c r="A209" s="2147">
        <f>COUNTIF($K$1:K209,1)</f>
        <v>100</v>
      </c>
      <c r="B209" s="2227"/>
      <c r="C209" s="1960"/>
      <c r="D209" s="1961"/>
      <c r="E209" s="2318"/>
      <c r="F209" s="2281"/>
      <c r="G209" s="2320"/>
      <c r="H209" s="2320"/>
      <c r="I209" s="2320"/>
      <c r="J209" s="1949">
        <f>IFERROR(VLOOKUP(B209,DG!A:F,6,0),3000)</f>
        <v>3000</v>
      </c>
      <c r="K209" s="1950">
        <f>IF(J209&lt;2000,COUNTIF($B$2:B209,B209),0)</f>
        <v>0</v>
      </c>
    </row>
    <row r="210" spans="1:15" ht="25.2" customHeight="1">
      <c r="A210" s="2147">
        <f>COUNTIF($K$1:K210,1)</f>
        <v>100</v>
      </c>
      <c r="B210" s="2227"/>
      <c r="C210" s="1960"/>
      <c r="D210" s="1961"/>
      <c r="E210" s="2193"/>
      <c r="F210" s="2198"/>
      <c r="G210" s="2204"/>
      <c r="H210" s="2208"/>
      <c r="I210" s="2208"/>
      <c r="J210" s="1949">
        <f>IFERROR(VLOOKUP(B210,DG!A:F,6,0),3000)</f>
        <v>3000</v>
      </c>
      <c r="K210" s="1950">
        <f>IF(J210&lt;2000,COUNTIF($B$2:B210,B210),0)</f>
        <v>0</v>
      </c>
      <c r="L210" s="1426"/>
      <c r="M210" s="1969"/>
      <c r="N210" s="1970"/>
      <c r="O210" s="1969"/>
    </row>
    <row r="211" spans="1:15" ht="25.2" customHeight="1">
      <c r="A211" s="2147">
        <f>COUNTIF($K$1:K211,1)</f>
        <v>100</v>
      </c>
      <c r="E211" s="2210"/>
      <c r="F211" s="2211"/>
      <c r="G211" s="2212"/>
      <c r="H211" s="2212"/>
      <c r="I211" s="2212"/>
      <c r="J211" s="1949">
        <f>IFERROR(VLOOKUP(B211,DG!A:F,6,0),3000)</f>
        <v>3000</v>
      </c>
      <c r="K211" s="1950">
        <f>IF(J211&lt;2000,COUNTIF($B$2:B211,B211),0)</f>
        <v>0</v>
      </c>
    </row>
    <row r="212" spans="1:15" ht="25.2" customHeight="1">
      <c r="A212" s="2147">
        <f>COUNTIF($K$1:K212,1)</f>
        <v>100</v>
      </c>
      <c r="B212" s="2279"/>
      <c r="C212" s="1952"/>
      <c r="D212" s="1956"/>
      <c r="E212" s="2196"/>
      <c r="F212" s="2201"/>
      <c r="G212" s="2206"/>
      <c r="H212" s="2208"/>
      <c r="I212" s="2208"/>
      <c r="J212" s="1949">
        <f>IFERROR(VLOOKUP(B212,DG!A:F,6,0),3000)</f>
        <v>3000</v>
      </c>
      <c r="K212" s="1950">
        <f>IF(J212&lt;2000,COUNTIF($B$2:B212,B212),0)</f>
        <v>0</v>
      </c>
      <c r="L212" s="1426"/>
      <c r="N212" s="1282"/>
    </row>
    <row r="213" spans="1:15" ht="25.2" customHeight="1">
      <c r="A213" s="2147">
        <f>COUNTIF($K$1:K213,1)</f>
        <v>100</v>
      </c>
      <c r="B213" s="2227"/>
      <c r="C213" s="1960"/>
      <c r="D213" s="1961"/>
      <c r="E213" s="2318"/>
      <c r="F213" s="2281"/>
      <c r="G213" s="2320"/>
      <c r="H213" s="2320"/>
      <c r="I213" s="2320"/>
      <c r="J213" s="1949">
        <f>IFERROR(VLOOKUP(B213,DG!A:F,6,0),3000)</f>
        <v>3000</v>
      </c>
      <c r="K213" s="1950">
        <f>IF(J213&lt;2000,COUNTIF($B$2:B213,B213),0)</f>
        <v>0</v>
      </c>
    </row>
    <row r="214" spans="1:15" ht="25.2" customHeight="1">
      <c r="A214" s="2147">
        <f>COUNTIF($K$1:K214,1)</f>
        <v>100</v>
      </c>
      <c r="E214" s="2210"/>
      <c r="F214" s="2211"/>
      <c r="G214" s="2212"/>
      <c r="H214" s="2212"/>
      <c r="I214" s="2212"/>
      <c r="J214" s="1949">
        <f>IFERROR(VLOOKUP(B214,DG!A:F,6,0),3000)</f>
        <v>3000</v>
      </c>
      <c r="K214" s="1950">
        <f>IF(J214&lt;2000,COUNTIF($B$2:B214,B214),0)</f>
        <v>0</v>
      </c>
      <c r="N214" s="1282"/>
    </row>
    <row r="215" spans="1:15" ht="25.2" customHeight="1">
      <c r="A215" s="2147">
        <f>COUNTIF($K$1:K215,1)</f>
        <v>100</v>
      </c>
      <c r="B215" s="2227"/>
      <c r="C215" s="1960"/>
      <c r="D215" s="1961"/>
      <c r="E215" s="2318"/>
      <c r="F215" s="2281"/>
      <c r="G215" s="2320"/>
      <c r="H215" s="2320"/>
      <c r="I215" s="2320"/>
      <c r="J215" s="1949">
        <f>IFERROR(VLOOKUP(B215,DG!A:F,6,0),3000)</f>
        <v>3000</v>
      </c>
      <c r="K215" s="1950">
        <f>IF(J215&lt;2000,COUNTIF($B$2:B215,B215),0)</f>
        <v>0</v>
      </c>
      <c r="N215" s="1282"/>
    </row>
    <row r="216" spans="1:15" ht="25.2" customHeight="1">
      <c r="A216" s="2147">
        <f>COUNTIF($K$1:K216,1)</f>
        <v>100</v>
      </c>
      <c r="B216" s="2227"/>
      <c r="C216" s="1960"/>
      <c r="D216" s="1961"/>
      <c r="E216" s="2193"/>
      <c r="F216" s="2198"/>
      <c r="G216" s="2204"/>
      <c r="H216" s="2208"/>
      <c r="I216" s="2208"/>
      <c r="J216" s="1949">
        <f>IFERROR(VLOOKUP(B216,DG!A:F,6,0),3000)</f>
        <v>3000</v>
      </c>
      <c r="K216" s="1950">
        <f>IF(J216&lt;2000,COUNTIF($B$2:B216,B216),0)</f>
        <v>0</v>
      </c>
      <c r="L216" s="1426"/>
    </row>
    <row r="217" spans="1:15" ht="25.2" customHeight="1">
      <c r="A217" s="2147">
        <f>COUNTIF($K$1:K217,1)</f>
        <v>100</v>
      </c>
      <c r="B217" s="2227"/>
      <c r="C217" s="1960"/>
      <c r="D217" s="1961"/>
      <c r="E217" s="2193"/>
      <c r="F217" s="2198"/>
      <c r="G217" s="2204"/>
      <c r="H217" s="2208"/>
      <c r="I217" s="2208"/>
      <c r="J217" s="1949">
        <f>IFERROR(VLOOKUP(B217,DG!A:F,6,0),3000)</f>
        <v>3000</v>
      </c>
      <c r="K217" s="1950">
        <f>IF(J217&lt;2000,COUNTIF($B$2:B217,B217),0)</f>
        <v>0</v>
      </c>
      <c r="L217" s="1426"/>
      <c r="N217" s="1282"/>
    </row>
    <row r="218" spans="1:15" ht="25.2" customHeight="1">
      <c r="A218" s="2147">
        <f>COUNTIF($K$1:K218,1)</f>
        <v>100</v>
      </c>
      <c r="B218" s="2227"/>
      <c r="C218" s="1960"/>
      <c r="D218" s="1961"/>
      <c r="E218" s="2193"/>
      <c r="F218" s="2198"/>
      <c r="G218" s="2204"/>
      <c r="H218" s="2208"/>
      <c r="I218" s="2208"/>
      <c r="J218" s="1949">
        <f>IFERROR(VLOOKUP(B218,DG!A:F,6,0),3000)</f>
        <v>3000</v>
      </c>
      <c r="K218" s="1950">
        <f>IF(J218&lt;2000,COUNTIF($B$2:B218,B218),0)</f>
        <v>0</v>
      </c>
      <c r="L218" s="1426"/>
    </row>
    <row r="219" spans="1:15" ht="25.2" customHeight="1">
      <c r="A219" s="2147">
        <f>COUNTIF($K$1:K219,1)</f>
        <v>100</v>
      </c>
      <c r="B219" s="2227"/>
      <c r="C219" s="1960"/>
      <c r="D219" s="1961"/>
      <c r="E219" s="2193"/>
      <c r="F219" s="2198"/>
      <c r="G219" s="2204"/>
      <c r="H219" s="2208"/>
      <c r="I219" s="2208"/>
      <c r="J219" s="1949">
        <f>IFERROR(VLOOKUP(B219,DG!A:F,6,0),3000)</f>
        <v>3000</v>
      </c>
      <c r="K219" s="1950">
        <f>IF(J219&lt;2000,COUNTIF($B$2:B219,B219),0)</f>
        <v>0</v>
      </c>
      <c r="L219" s="1426"/>
    </row>
    <row r="220" spans="1:15" ht="25.2" customHeight="1">
      <c r="A220" s="2147">
        <f>COUNTIF($K$1:K220,1)</f>
        <v>100</v>
      </c>
      <c r="B220" s="2227"/>
      <c r="C220" s="1960"/>
      <c r="D220" s="1961"/>
      <c r="E220" s="2193"/>
      <c r="F220" s="2198"/>
      <c r="G220" s="2204"/>
      <c r="H220" s="2208"/>
      <c r="I220" s="2208"/>
      <c r="J220" s="1949">
        <f>IFERROR(VLOOKUP(B220,DG!A:F,6,0),3000)</f>
        <v>3000</v>
      </c>
      <c r="K220" s="1950">
        <f>IF(J220&lt;2000,COUNTIF($B$2:B220,B220),0)</f>
        <v>0</v>
      </c>
      <c r="L220" s="1426"/>
    </row>
    <row r="221" spans="1:15" ht="25.2" customHeight="1">
      <c r="A221" s="2147">
        <f>COUNTIF($K$1:K221,1)</f>
        <v>100</v>
      </c>
      <c r="B221" s="2227"/>
      <c r="C221" s="1960"/>
      <c r="D221" s="1961"/>
      <c r="E221" s="2193"/>
      <c r="F221" s="2198"/>
      <c r="G221" s="2204"/>
      <c r="H221" s="2208"/>
      <c r="I221" s="2208"/>
      <c r="J221" s="1949">
        <f>IFERROR(VLOOKUP(B221,DG!A:F,6,0),3000)</f>
        <v>3000</v>
      </c>
      <c r="K221" s="1950">
        <f>IF(J221&lt;2000,COUNTIF($B$2:B221,B221),0)</f>
        <v>0</v>
      </c>
      <c r="L221" s="1968"/>
      <c r="N221" s="1282"/>
    </row>
    <row r="222" spans="1:15" ht="25.2" customHeight="1">
      <c r="A222" s="2147">
        <f>COUNTIF($K$1:K222,1)</f>
        <v>100</v>
      </c>
      <c r="B222" s="2227"/>
      <c r="C222" s="1960"/>
      <c r="D222" s="1961"/>
      <c r="E222" s="2193"/>
      <c r="F222" s="2319"/>
      <c r="G222" s="2321"/>
      <c r="H222" s="2321"/>
      <c r="I222" s="2321"/>
      <c r="J222" s="1949">
        <f>IFERROR(VLOOKUP(B222,DG!A:F,6,0),3000)</f>
        <v>3000</v>
      </c>
      <c r="K222" s="1950">
        <f>IF(J222&lt;2000,COUNTIF($B$2:B222,B222),0)</f>
        <v>0</v>
      </c>
      <c r="L222" s="1426"/>
    </row>
    <row r="223" spans="1:15" ht="25.2" customHeight="1">
      <c r="A223" s="2147">
        <f>COUNTIF($K$1:K223,1)</f>
        <v>100</v>
      </c>
      <c r="B223" s="2227"/>
      <c r="C223" s="1960"/>
      <c r="D223" s="1961"/>
      <c r="E223" s="2193"/>
      <c r="F223" s="2198"/>
      <c r="G223" s="2204"/>
      <c r="H223" s="2208"/>
      <c r="I223" s="2208"/>
      <c r="J223" s="1949">
        <f>IFERROR(VLOOKUP(B223,DG!A:F,6,0),3000)</f>
        <v>3000</v>
      </c>
      <c r="K223" s="1950">
        <f>IF(J223&lt;2000,COUNTIF($B$2:B223,B223),0)</f>
        <v>0</v>
      </c>
      <c r="L223" s="1426"/>
    </row>
    <row r="224" spans="1:15" ht="25.2" customHeight="1">
      <c r="A224" s="2147">
        <f>COUNTIF($K$1:K224,1)</f>
        <v>100</v>
      </c>
      <c r="B224" s="2227"/>
      <c r="C224" s="1960"/>
      <c r="D224" s="1961"/>
      <c r="E224" s="2193"/>
      <c r="F224" s="2198"/>
      <c r="G224" s="2204"/>
      <c r="H224" s="2208"/>
      <c r="I224" s="2208"/>
      <c r="J224" s="1949">
        <f>IFERROR(VLOOKUP(B224,DG!A:F,6,0),3000)</f>
        <v>3000</v>
      </c>
      <c r="K224" s="1950">
        <f>IF(J224&lt;2000,COUNTIF($B$2:B224,B224),0)</f>
        <v>0</v>
      </c>
      <c r="L224" s="1426"/>
    </row>
    <row r="225" spans="1:15" ht="25.2" customHeight="1">
      <c r="A225" s="2147">
        <f>COUNTIF($K$1:K225,1)</f>
        <v>100</v>
      </c>
      <c r="B225" s="2227"/>
      <c r="C225" s="1960"/>
      <c r="D225" s="1961"/>
      <c r="E225" s="2193"/>
      <c r="F225" s="2198"/>
      <c r="G225" s="2203"/>
      <c r="H225" s="2207"/>
      <c r="I225" s="2207"/>
      <c r="J225" s="1949">
        <f>IFERROR(VLOOKUP(B225,DG!A:F,6,0),3000)</f>
        <v>3000</v>
      </c>
      <c r="K225" s="1950">
        <f>IF(J225&lt;2000,COUNTIF($B$2:B225,B225),0)</f>
        <v>0</v>
      </c>
      <c r="L225" s="1426"/>
    </row>
    <row r="226" spans="1:15" ht="25.2" customHeight="1">
      <c r="A226" s="2147">
        <f>COUNTIF($K$1:K226,1)</f>
        <v>100</v>
      </c>
      <c r="B226" s="2227"/>
      <c r="C226" s="1960"/>
      <c r="D226" s="1961"/>
      <c r="E226" s="2193"/>
      <c r="F226" s="2198"/>
      <c r="G226" s="2204"/>
      <c r="H226" s="2208"/>
      <c r="I226" s="2208"/>
      <c r="J226" s="1949">
        <f>IFERROR(VLOOKUP(B226,DG!A:F,6,0),3000)</f>
        <v>3000</v>
      </c>
      <c r="K226" s="1950">
        <f>IF(J226&lt;2000,COUNTIF($B$2:B226,B226),0)</f>
        <v>0</v>
      </c>
      <c r="L226" s="1426"/>
    </row>
    <row r="227" spans="1:15" ht="25.2" customHeight="1">
      <c r="A227" s="2147">
        <f>COUNTIF($K$1:K227,1)</f>
        <v>100</v>
      </c>
      <c r="B227" s="2227"/>
      <c r="C227" s="1960"/>
      <c r="D227" s="1961"/>
      <c r="E227" s="2193"/>
      <c r="F227" s="2198"/>
      <c r="G227" s="2204"/>
      <c r="H227" s="2208"/>
      <c r="I227" s="2208"/>
      <c r="J227" s="1949">
        <f>IFERROR(VLOOKUP(B227,DG!A:F,6,0),3000)</f>
        <v>3000</v>
      </c>
      <c r="K227" s="1950">
        <f>IF(J227&lt;2000,COUNTIF($B$2:B227,B227),0)</f>
        <v>0</v>
      </c>
      <c r="L227" s="1426"/>
    </row>
    <row r="228" spans="1:15" ht="25.2" customHeight="1">
      <c r="A228" s="2147">
        <f>COUNTIF($K$1:K228,1)</f>
        <v>100</v>
      </c>
      <c r="B228" s="2227"/>
      <c r="C228" s="1960"/>
      <c r="D228" s="1961"/>
      <c r="E228" s="2193"/>
      <c r="F228" s="2198"/>
      <c r="G228" s="2204"/>
      <c r="H228" s="2208"/>
      <c r="I228" s="2208"/>
      <c r="J228" s="1949">
        <f>IFERROR(VLOOKUP(B228,DG!A:F,6,0),3000)</f>
        <v>3000</v>
      </c>
      <c r="K228" s="1950">
        <f>IF(J228&lt;2000,COUNTIF($B$2:B228,B228),0)</f>
        <v>0</v>
      </c>
      <c r="L228" s="1426"/>
    </row>
    <row r="229" spans="1:15" ht="25.2" customHeight="1">
      <c r="A229" s="2147">
        <f>COUNTIF($K$1:K229,1)</f>
        <v>100</v>
      </c>
      <c r="B229" s="2227"/>
      <c r="C229" s="1960"/>
      <c r="D229" s="1961"/>
      <c r="E229" s="2193"/>
      <c r="F229" s="2198"/>
      <c r="G229" s="2204"/>
      <c r="H229" s="2208"/>
      <c r="I229" s="2208"/>
      <c r="J229" s="1949">
        <f>IFERROR(VLOOKUP(B229,DG!A:F,6,0),3000)</f>
        <v>3000</v>
      </c>
      <c r="K229" s="1950">
        <f>IF(J229&lt;2000,COUNTIF($B$2:B229,B229),0)</f>
        <v>0</v>
      </c>
      <c r="L229" s="1426"/>
    </row>
    <row r="230" spans="1:15" ht="25.2" customHeight="1">
      <c r="A230" s="2147">
        <f>COUNTIF($K$1:K230,1)</f>
        <v>100</v>
      </c>
      <c r="B230" s="2227"/>
      <c r="C230" s="1960"/>
      <c r="D230" s="1961"/>
      <c r="E230" s="2318"/>
      <c r="F230" s="2281"/>
      <c r="G230" s="2320"/>
      <c r="H230" s="2320"/>
      <c r="I230" s="2320"/>
      <c r="J230" s="1949">
        <f>IFERROR(VLOOKUP(B230,DG!A:F,6,0),3000)</f>
        <v>3000</v>
      </c>
      <c r="K230" s="1950">
        <f>IF(J230&lt;2000,COUNTIF($B$2:B230,B230),0)</f>
        <v>0</v>
      </c>
    </row>
    <row r="231" spans="1:15" ht="25.2" customHeight="1">
      <c r="A231" s="2147">
        <f>COUNTIF($K$1:K231,1)</f>
        <v>100</v>
      </c>
      <c r="B231" s="2227"/>
      <c r="C231" s="1960"/>
      <c r="D231" s="1961"/>
      <c r="E231" s="2193"/>
      <c r="F231" s="2198"/>
      <c r="G231" s="2206"/>
      <c r="H231" s="2208"/>
      <c r="I231" s="2208"/>
      <c r="J231" s="1949">
        <f>IFERROR(VLOOKUP(B231,DG!A:F,6,0),3000)</f>
        <v>3000</v>
      </c>
      <c r="K231" s="1950">
        <f>IF(J231&lt;2000,COUNTIF($B$2:B231,B231),0)</f>
        <v>0</v>
      </c>
      <c r="L231" s="1426"/>
    </row>
    <row r="232" spans="1:15" ht="25.2" customHeight="1">
      <c r="A232" s="2147">
        <f>COUNTIF($K$1:K232,1)</f>
        <v>100</v>
      </c>
      <c r="B232" s="2227"/>
      <c r="C232" s="1960"/>
      <c r="D232" s="1961"/>
      <c r="E232" s="2193"/>
      <c r="F232" s="2198"/>
      <c r="G232" s="2204"/>
      <c r="H232" s="2208"/>
      <c r="I232" s="2322"/>
      <c r="J232" s="1949">
        <f>IFERROR(VLOOKUP(B232,DG!A:F,6,0),3000)</f>
        <v>3000</v>
      </c>
      <c r="K232" s="1950">
        <f>IF(J232&lt;2000,COUNTIF($B$2:B232,B232),0)</f>
        <v>0</v>
      </c>
      <c r="L232" s="1426"/>
    </row>
    <row r="233" spans="1:15" ht="25.2" customHeight="1">
      <c r="A233" s="2147">
        <f>COUNTIF($K$1:K233,1)</f>
        <v>100</v>
      </c>
      <c r="B233" s="2281"/>
      <c r="C233" s="2056"/>
      <c r="D233" s="2057"/>
      <c r="E233" s="2193"/>
      <c r="F233" s="2198"/>
      <c r="G233" s="2204"/>
      <c r="H233" s="2208"/>
      <c r="I233" s="2208"/>
      <c r="J233" s="1949">
        <f>IFERROR(VLOOKUP(B233,DG!A:F,6,0),3000)</f>
        <v>3000</v>
      </c>
      <c r="K233" s="1950">
        <f>IF(J233&lt;2000,COUNTIF($B$2:B233,B233),0)</f>
        <v>0</v>
      </c>
      <c r="L233" s="1426"/>
    </row>
    <row r="234" spans="1:15" ht="25.2" customHeight="1">
      <c r="A234" s="2147">
        <f>COUNTIF($K$1:K234,1)</f>
        <v>100</v>
      </c>
      <c r="B234" s="2227"/>
      <c r="C234" s="1960"/>
      <c r="D234" s="1961"/>
      <c r="E234" s="2318"/>
      <c r="F234" s="2281"/>
      <c r="G234" s="2320"/>
      <c r="H234" s="2320"/>
      <c r="I234" s="2320"/>
      <c r="J234" s="1949">
        <f>IFERROR(VLOOKUP(B234,DG!A:F,6,0),3000)</f>
        <v>3000</v>
      </c>
      <c r="K234" s="1950">
        <f>IF(J234&lt;2000,COUNTIF($B$2:B234,B234),0)</f>
        <v>0</v>
      </c>
      <c r="L234" s="1426"/>
    </row>
    <row r="235" spans="1:15" ht="25.2" customHeight="1">
      <c r="A235" s="2147">
        <f>COUNTIF($K$1:K235,1)</f>
        <v>100</v>
      </c>
      <c r="E235" s="2210"/>
      <c r="F235" s="2211"/>
      <c r="G235" s="2212"/>
      <c r="H235" s="2212"/>
      <c r="I235" s="2212"/>
      <c r="J235" s="1949">
        <f>IFERROR(VLOOKUP(B235,DG!A:F,6,0),3000)</f>
        <v>3000</v>
      </c>
      <c r="K235" s="1950">
        <f>IF(J235&lt;2000,COUNTIF($B$2:B235,B235),0)</f>
        <v>0</v>
      </c>
    </row>
    <row r="236" spans="1:15" ht="25.2" customHeight="1">
      <c r="A236" s="2147">
        <f>COUNTIF($K$1:K236,1)</f>
        <v>100</v>
      </c>
      <c r="B236" s="2227"/>
      <c r="C236" s="1960"/>
      <c r="D236" s="1961"/>
      <c r="E236" s="2193"/>
      <c r="F236" s="2198"/>
      <c r="G236" s="2204"/>
      <c r="H236" s="2208"/>
      <c r="I236" s="2208"/>
      <c r="J236" s="1949">
        <f>IFERROR(VLOOKUP(B236,DG!A:F,6,0),3000)</f>
        <v>3000</v>
      </c>
      <c r="K236" s="1950">
        <f>IF(J236&lt;2000,COUNTIF($B$2:B236,B236),0)</f>
        <v>0</v>
      </c>
      <c r="L236" s="1426"/>
    </row>
    <row r="237" spans="1:15" ht="25.2" customHeight="1">
      <c r="A237" s="2147">
        <f>COUNTIF($K$1:K237,1)</f>
        <v>100</v>
      </c>
      <c r="B237" s="2227"/>
      <c r="C237" s="1960"/>
      <c r="D237" s="1961"/>
      <c r="E237" s="2318"/>
      <c r="F237" s="2281"/>
      <c r="G237" s="2320"/>
      <c r="H237" s="2320"/>
      <c r="I237" s="2320"/>
      <c r="J237" s="1949">
        <f>IFERROR(VLOOKUP(B237,DG!A:F,6,0),3000)</f>
        <v>3000</v>
      </c>
      <c r="K237" s="1950">
        <f>IF(J237&lt;2000,COUNTIF($B$2:B237,B237),0)</f>
        <v>0</v>
      </c>
      <c r="L237" s="1426"/>
    </row>
    <row r="238" spans="1:15" ht="25.2" customHeight="1">
      <c r="A238" s="2147">
        <f>COUNTIF($K$1:K238,1)</f>
        <v>100</v>
      </c>
      <c r="B238" s="2227"/>
      <c r="C238" s="1960"/>
      <c r="D238" s="1961"/>
      <c r="E238" s="2193"/>
      <c r="F238" s="2198"/>
      <c r="G238" s="2204"/>
      <c r="H238" s="2208"/>
      <c r="I238" s="2208"/>
      <c r="J238" s="1949">
        <f>IFERROR(VLOOKUP(B238,DG!A:F,6,0),3000)</f>
        <v>3000</v>
      </c>
      <c r="K238" s="1950">
        <f>IF(J238&lt;2000,COUNTIF($B$2:B238,B238),0)</f>
        <v>0</v>
      </c>
      <c r="L238" s="1426"/>
    </row>
    <row r="239" spans="1:15" ht="25.2" customHeight="1">
      <c r="A239" s="2147">
        <f>COUNTIF($K$1:K239,1)</f>
        <v>100</v>
      </c>
      <c r="B239" s="2227"/>
      <c r="C239" s="1960"/>
      <c r="D239" s="1961"/>
      <c r="E239" s="2193"/>
      <c r="F239" s="2198"/>
      <c r="G239" s="2204"/>
      <c r="H239" s="2208"/>
      <c r="I239" s="2208"/>
      <c r="J239" s="1949">
        <f>IFERROR(VLOOKUP(B239,DG!A:F,6,0),3000)</f>
        <v>3000</v>
      </c>
      <c r="K239" s="1950">
        <f>IF(J239&lt;2000,COUNTIF($B$2:B239,B239),0)</f>
        <v>0</v>
      </c>
      <c r="L239" s="1426"/>
      <c r="M239" s="1969"/>
      <c r="N239" s="1970"/>
      <c r="O239" s="1969"/>
    </row>
    <row r="240" spans="1:15" ht="25.2" customHeight="1">
      <c r="A240" s="2147">
        <f>COUNTIF($K$1:K240,1)</f>
        <v>100</v>
      </c>
      <c r="B240" s="2281"/>
      <c r="C240" s="2056"/>
      <c r="D240" s="2057"/>
      <c r="E240" s="2193"/>
      <c r="F240" s="2198"/>
      <c r="G240" s="2204"/>
      <c r="H240" s="2208"/>
      <c r="I240" s="2208"/>
      <c r="J240" s="1949">
        <f>IFERROR(VLOOKUP(B240,DG!A:F,6,0),3000)</f>
        <v>3000</v>
      </c>
      <c r="K240" s="1950">
        <f>IF(J240&lt;2000,COUNTIF($B$2:B240,B240),0)</f>
        <v>0</v>
      </c>
      <c r="L240" s="1968"/>
    </row>
    <row r="241" spans="1:15" ht="25.2" customHeight="1">
      <c r="A241" s="2147">
        <f>COUNTIF($K$1:K241,1)</f>
        <v>100</v>
      </c>
      <c r="B241" s="2227"/>
      <c r="C241" s="1960"/>
      <c r="D241" s="1961"/>
      <c r="E241" s="2193"/>
      <c r="F241" s="2198"/>
      <c r="G241" s="2204"/>
      <c r="H241" s="2208"/>
      <c r="I241" s="2208"/>
      <c r="J241" s="1949">
        <f>IFERROR(VLOOKUP(B241,DG!A:F,6,0),3000)</f>
        <v>3000</v>
      </c>
      <c r="K241" s="1950">
        <f>IF(J241&lt;2000,COUNTIF($B$2:B241,B241),0)</f>
        <v>0</v>
      </c>
      <c r="L241" s="1426"/>
      <c r="N241" s="1282"/>
    </row>
    <row r="242" spans="1:15" ht="25.2" customHeight="1">
      <c r="A242" s="2147">
        <f>COUNTIF($K$1:K242,1)</f>
        <v>100</v>
      </c>
      <c r="B242" s="2227"/>
      <c r="C242" s="1960"/>
      <c r="D242" s="1961"/>
      <c r="E242" s="2193"/>
      <c r="F242" s="2198"/>
      <c r="G242" s="2204"/>
      <c r="H242" s="2208"/>
      <c r="I242" s="2208"/>
      <c r="J242" s="1949">
        <f>IFERROR(VLOOKUP(B242,DG!A:F,6,0),3000)</f>
        <v>3000</v>
      </c>
      <c r="K242" s="1950">
        <f>IF(J242&lt;2000,COUNTIF($B$2:B242,B242),0)</f>
        <v>0</v>
      </c>
      <c r="L242" s="1426"/>
    </row>
    <row r="243" spans="1:15" ht="25.2" customHeight="1">
      <c r="A243" s="2147">
        <f>COUNTIF($K$1:K243,1)</f>
        <v>100</v>
      </c>
      <c r="B243" s="2227"/>
      <c r="C243" s="1960"/>
      <c r="D243" s="1961"/>
      <c r="E243" s="2193"/>
      <c r="F243" s="2198"/>
      <c r="G243" s="2204"/>
      <c r="H243" s="2208"/>
      <c r="I243" s="2208"/>
      <c r="J243" s="1949">
        <f>IFERROR(VLOOKUP(B243,DG!A:F,6,0),3000)</f>
        <v>3000</v>
      </c>
      <c r="K243" s="1950">
        <f>IF(J243&lt;2000,COUNTIF($B$2:B243,B243),0)</f>
        <v>0</v>
      </c>
      <c r="L243" s="1426"/>
      <c r="N243" s="1282"/>
    </row>
    <row r="244" spans="1:15" ht="25.2" customHeight="1">
      <c r="A244" s="2147">
        <f>COUNTIF($K$1:K244,1)</f>
        <v>100</v>
      </c>
      <c r="B244" s="2227"/>
      <c r="C244" s="1960"/>
      <c r="D244" s="1961"/>
      <c r="E244" s="2193"/>
      <c r="F244" s="2198"/>
      <c r="G244" s="2204"/>
      <c r="H244" s="2208"/>
      <c r="I244" s="2208"/>
      <c r="J244" s="1949">
        <f>IFERROR(VLOOKUP(B244,DG!A:F,6,0),3000)</f>
        <v>3000</v>
      </c>
      <c r="K244" s="1950">
        <f>IF(J244&lt;2000,COUNTIF($B$2:B244,B244),0)</f>
        <v>0</v>
      </c>
      <c r="L244" s="1426"/>
    </row>
    <row r="245" spans="1:15" ht="25.2" customHeight="1">
      <c r="A245" s="2147">
        <f>COUNTIF($K$1:K245,1)</f>
        <v>100</v>
      </c>
      <c r="B245" s="2227"/>
      <c r="C245" s="1960"/>
      <c r="D245" s="1961"/>
      <c r="E245" s="2193"/>
      <c r="F245" s="2198"/>
      <c r="G245" s="2204"/>
      <c r="H245" s="2208"/>
      <c r="I245" s="2208"/>
      <c r="J245" s="1949">
        <f>IFERROR(VLOOKUP(B245,DG!A:F,6,0),3000)</f>
        <v>3000</v>
      </c>
      <c r="K245" s="1950">
        <f>IF(J245&lt;2000,COUNTIF($B$2:B245,B245),0)</f>
        <v>0</v>
      </c>
      <c r="L245" s="1426"/>
      <c r="M245" s="1969"/>
      <c r="N245" s="1970"/>
      <c r="O245" s="1969"/>
    </row>
    <row r="246" spans="1:15" ht="25.2" customHeight="1">
      <c r="A246" s="2147">
        <f>COUNTIF($K$1:K246,1)</f>
        <v>100</v>
      </c>
      <c r="B246" s="2211"/>
      <c r="C246" s="1966"/>
      <c r="D246" s="1967"/>
      <c r="E246" s="2210"/>
      <c r="F246" s="2211"/>
      <c r="G246" s="2212"/>
      <c r="H246" s="2212"/>
      <c r="I246" s="2212"/>
      <c r="J246" s="1949">
        <f>IFERROR(VLOOKUP(B246,DG!A:F,6,0),3000)</f>
        <v>3000</v>
      </c>
      <c r="K246" s="1950">
        <f>IF(J246&lt;2000,COUNTIF($B$2:B246,B246),0)</f>
        <v>0</v>
      </c>
      <c r="L246" s="2212"/>
    </row>
    <row r="247" spans="1:15" ht="25.2" customHeight="1">
      <c r="A247" s="2147">
        <f>COUNTIF($K$1:K247,1)</f>
        <v>100</v>
      </c>
      <c r="E247" s="2210"/>
      <c r="F247" s="2211"/>
      <c r="G247" s="2212"/>
      <c r="H247" s="2212"/>
      <c r="I247" s="2212"/>
      <c r="J247" s="1949">
        <f>IFERROR(VLOOKUP(B247,DG!A:F,6,0),3000)</f>
        <v>3000</v>
      </c>
      <c r="K247" s="1950">
        <f>IF(J247&lt;2000,COUNTIF($B$2:B247,B247),0)</f>
        <v>0</v>
      </c>
      <c r="N247" s="1282"/>
    </row>
    <row r="248" spans="1:15" ht="25.2" customHeight="1">
      <c r="A248" s="2147">
        <f>COUNTIF($K$1:K248,1)</f>
        <v>100</v>
      </c>
      <c r="E248" s="2210"/>
      <c r="F248" s="2211"/>
      <c r="G248" s="2212"/>
      <c r="H248" s="2212"/>
      <c r="I248" s="2212"/>
      <c r="J248" s="1949">
        <f>IFERROR(VLOOKUP(B248,DG!A:F,6,0),3000)</f>
        <v>3000</v>
      </c>
      <c r="K248" s="1950">
        <f>IF(J248&lt;2000,COUNTIF($B$2:B248,B248),0)</f>
        <v>0</v>
      </c>
    </row>
    <row r="249" spans="1:15" ht="25.2" customHeight="1">
      <c r="A249" s="2147">
        <f>COUNTIF($K$1:K249,1)</f>
        <v>100</v>
      </c>
      <c r="E249" s="2210"/>
      <c r="F249" s="2211"/>
      <c r="G249" s="2212"/>
      <c r="H249" s="2212"/>
      <c r="I249" s="2212"/>
      <c r="J249" s="1949">
        <f>IFERROR(VLOOKUP(B249,DG!A:F,6,0),3000)</f>
        <v>3000</v>
      </c>
      <c r="K249" s="1950">
        <f>IF(J249&lt;2000,COUNTIF($B$2:B249,B249),0)</f>
        <v>0</v>
      </c>
    </row>
    <row r="250" spans="1:15" ht="25.2" customHeight="1">
      <c r="A250" s="2147">
        <f>COUNTIF($K$1:K250,1)</f>
        <v>100</v>
      </c>
      <c r="E250" s="2210"/>
      <c r="F250" s="2211"/>
      <c r="G250" s="2212"/>
      <c r="H250" s="2212"/>
      <c r="I250" s="2212"/>
      <c r="J250" s="1949">
        <f>IFERROR(VLOOKUP(B250,DG!A:F,6,0),3000)</f>
        <v>3000</v>
      </c>
      <c r="K250" s="1950">
        <f>IF(J250&lt;2000,COUNTIF($B$2:B250,B250),0)</f>
        <v>0</v>
      </c>
    </row>
    <row r="251" spans="1:15" ht="25.2" customHeight="1">
      <c r="A251" s="2147">
        <f>COUNTIF($K$1:K251,1)</f>
        <v>100</v>
      </c>
      <c r="E251" s="2210"/>
      <c r="F251" s="2211"/>
      <c r="G251" s="2212"/>
      <c r="H251" s="2212"/>
      <c r="I251" s="2212"/>
      <c r="J251" s="1949">
        <f>IFERROR(VLOOKUP(B251,DG!A:F,6,0),3000)</f>
        <v>3000</v>
      </c>
      <c r="K251" s="1950">
        <f>IF(J251&lt;2000,COUNTIF($B$2:B251,B251),0)</f>
        <v>0</v>
      </c>
    </row>
    <row r="252" spans="1:15" ht="25.2" customHeight="1">
      <c r="A252" s="2147">
        <f>COUNTIF($K$1:K252,1)</f>
        <v>100</v>
      </c>
      <c r="E252" s="2210"/>
      <c r="F252" s="2211"/>
      <c r="G252" s="2212"/>
      <c r="H252" s="2212"/>
      <c r="I252" s="2212"/>
      <c r="J252" s="1949">
        <f>IFERROR(VLOOKUP(B252,DG!A:F,6,0),3000)</f>
        <v>3000</v>
      </c>
      <c r="K252" s="1950">
        <f>IF(J252&lt;2000,COUNTIF($B$2:B252,B252),0)</f>
        <v>0</v>
      </c>
    </row>
    <row r="253" spans="1:15" ht="25.2" customHeight="1">
      <c r="A253" s="2147">
        <f>COUNTIF($K$1:K253,1)</f>
        <v>100</v>
      </c>
      <c r="E253" s="2210"/>
      <c r="F253" s="2211"/>
      <c r="G253" s="2212"/>
      <c r="H253" s="2212"/>
      <c r="I253" s="2212"/>
      <c r="J253" s="1949">
        <f>IFERROR(VLOOKUP(B253,DG!A:F,6,0),3000)</f>
        <v>3000</v>
      </c>
      <c r="K253" s="1950">
        <f>IF(J253&lt;2000,COUNTIF($B$2:B253,B253),0)</f>
        <v>0</v>
      </c>
    </row>
    <row r="254" spans="1:15" ht="25.2" customHeight="1">
      <c r="A254" s="2147">
        <f>COUNTIF($K$1:K254,1)</f>
        <v>100</v>
      </c>
      <c r="E254" s="2210"/>
      <c r="F254" s="2211"/>
      <c r="G254" s="2212"/>
      <c r="H254" s="2212"/>
      <c r="I254" s="2212"/>
      <c r="J254" s="1949">
        <f>IFERROR(VLOOKUP(B254,DG!A:F,6,0),3000)</f>
        <v>3000</v>
      </c>
      <c r="K254" s="1950">
        <f>IF(J254&lt;2000,COUNTIF($B$2:B254,B254),0)</f>
        <v>0</v>
      </c>
    </row>
    <row r="255" spans="1:15" ht="25.2" customHeight="1">
      <c r="A255" s="2147">
        <f>COUNTIF($K$1:K255,1)</f>
        <v>100</v>
      </c>
      <c r="E255" s="2210"/>
      <c r="F255" s="2211"/>
      <c r="G255" s="2212"/>
      <c r="H255" s="2212"/>
      <c r="I255" s="2212"/>
      <c r="J255" s="1949">
        <f>IFERROR(VLOOKUP(B255,DG!A:F,6,0),3000)</f>
        <v>3000</v>
      </c>
      <c r="K255" s="1950">
        <f>IF(J255&lt;2000,COUNTIF($B$2:B255,B255),0)</f>
        <v>0</v>
      </c>
    </row>
    <row r="256" spans="1:15" ht="25.2" customHeight="1">
      <c r="A256" s="2147">
        <f>COUNTIF($K$1:K256,1)</f>
        <v>100</v>
      </c>
      <c r="E256" s="2210"/>
      <c r="F256" s="2211"/>
      <c r="G256" s="2212"/>
      <c r="H256" s="2212"/>
      <c r="I256" s="2212"/>
      <c r="J256" s="1949">
        <f>IFERROR(VLOOKUP(B256,DG!A:F,6,0),3000)</f>
        <v>3000</v>
      </c>
      <c r="K256" s="1950">
        <f>IF(J256&lt;2000,COUNTIF($B$2:B256,B256),0)</f>
        <v>0</v>
      </c>
    </row>
    <row r="257" spans="1:15" ht="25.2" customHeight="1">
      <c r="A257" s="2147">
        <f>COUNTIF($K$1:K257,1)</f>
        <v>100</v>
      </c>
      <c r="E257" s="2210"/>
      <c r="F257" s="2211"/>
      <c r="G257" s="2212"/>
      <c r="H257" s="2212"/>
      <c r="I257" s="2212"/>
      <c r="J257" s="1949">
        <f>IFERROR(VLOOKUP(B257,DG!A:F,6,0),3000)</f>
        <v>3000</v>
      </c>
      <c r="K257" s="1950">
        <f>IF(J257&lt;2000,COUNTIF($B$2:B257,B257),0)</f>
        <v>0</v>
      </c>
    </row>
    <row r="258" spans="1:15" ht="25.2" customHeight="1">
      <c r="A258" s="2147">
        <f>COUNTIF($K$1:K258,1)</f>
        <v>100</v>
      </c>
      <c r="E258" s="2210"/>
      <c r="F258" s="2211"/>
      <c r="G258" s="2212"/>
      <c r="H258" s="2212"/>
      <c r="I258" s="2212"/>
      <c r="J258" s="1949">
        <f>IFERROR(VLOOKUP(B258,DG!A:F,6,0),3000)</f>
        <v>3000</v>
      </c>
      <c r="K258" s="1950">
        <f>IF(J258&lt;2000,COUNTIF($B$2:B258,B258),0)</f>
        <v>0</v>
      </c>
    </row>
    <row r="259" spans="1:15" ht="25.2" customHeight="1">
      <c r="A259" s="2147">
        <f>COUNTIF($K$1:K259,1)</f>
        <v>100</v>
      </c>
      <c r="E259" s="2210"/>
      <c r="F259" s="2211"/>
      <c r="G259" s="2212"/>
      <c r="H259" s="2212"/>
      <c r="I259" s="2212"/>
      <c r="J259" s="1949">
        <f>IFERROR(VLOOKUP(B259,DG!A:F,6,0),3000)</f>
        <v>3000</v>
      </c>
      <c r="K259" s="1950">
        <f>IF(J259&lt;2000,COUNTIF($B$2:B259,B259),0)</f>
        <v>0</v>
      </c>
    </row>
    <row r="260" spans="1:15" ht="25.2" customHeight="1">
      <c r="A260" s="2147">
        <f>COUNTIF($K$1:K260,1)</f>
        <v>100</v>
      </c>
      <c r="E260" s="2210"/>
      <c r="F260" s="2211"/>
      <c r="G260" s="2212"/>
      <c r="H260" s="2212"/>
      <c r="I260" s="2212"/>
      <c r="J260" s="1949">
        <f>IFERROR(VLOOKUP(B260,DG!A:F,6,0),3000)</f>
        <v>3000</v>
      </c>
      <c r="K260" s="1950">
        <f>IF(J260&lt;2000,COUNTIF($B$2:B260,B260),0)</f>
        <v>0</v>
      </c>
    </row>
    <row r="261" spans="1:15" ht="25.2" customHeight="1">
      <c r="A261" s="2147">
        <f>COUNTIF($K$1:K261,1)</f>
        <v>100</v>
      </c>
      <c r="E261" s="2210"/>
      <c r="F261" s="2211"/>
      <c r="G261" s="2212"/>
      <c r="H261" s="2212"/>
      <c r="I261" s="2212"/>
      <c r="J261" s="1949">
        <f>IFERROR(VLOOKUP(B261,DG!A:F,6,0),3000)</f>
        <v>3000</v>
      </c>
      <c r="K261" s="1950">
        <f>IF(J261&lt;2000,COUNTIF($B$2:B261,B261),0)</f>
        <v>0</v>
      </c>
    </row>
    <row r="262" spans="1:15" ht="25.2" customHeight="1">
      <c r="A262" s="2147">
        <f>COUNTIF($K$1:K262,1)</f>
        <v>100</v>
      </c>
      <c r="E262" s="2210"/>
      <c r="F262" s="2211"/>
      <c r="G262" s="2212"/>
      <c r="H262" s="2212"/>
      <c r="I262" s="2212"/>
      <c r="J262" s="1949">
        <f>IFERROR(VLOOKUP(B262,DG!A:F,6,0),3000)</f>
        <v>3000</v>
      </c>
      <c r="K262" s="1950">
        <f>IF(J262&lt;2000,COUNTIF($B$2:B262,B262),0)</f>
        <v>0</v>
      </c>
    </row>
    <row r="263" spans="1:15" ht="25.2" customHeight="1">
      <c r="A263" s="2147">
        <f>COUNTIF($K$1:K263,1)</f>
        <v>100</v>
      </c>
      <c r="E263" s="2210"/>
      <c r="F263" s="2211"/>
      <c r="G263" s="2212"/>
      <c r="H263" s="2212"/>
      <c r="I263" s="2212"/>
      <c r="J263" s="1949">
        <f>IFERROR(VLOOKUP(B263,DG!A:F,6,0),3000)</f>
        <v>3000</v>
      </c>
      <c r="K263" s="1950">
        <f>IF(J263&lt;2000,COUNTIF($B$2:B263,B263),0)</f>
        <v>0</v>
      </c>
    </row>
    <row r="264" spans="1:15" ht="25.2" customHeight="1">
      <c r="A264" s="2147">
        <f>COUNTIF($K$1:K264,1)</f>
        <v>100</v>
      </c>
      <c r="E264" s="2210"/>
      <c r="F264" s="2211"/>
      <c r="G264" s="2212"/>
      <c r="H264" s="2212"/>
      <c r="I264" s="2212"/>
      <c r="J264" s="1949">
        <f>IFERROR(VLOOKUP(B264,DG!A:F,6,0),3000)</f>
        <v>3000</v>
      </c>
      <c r="K264" s="1950">
        <f>IF(J264&lt;2000,COUNTIF($B$2:B264,B264),0)</f>
        <v>0</v>
      </c>
    </row>
    <row r="265" spans="1:15" ht="25.2" customHeight="1">
      <c r="A265" s="2147">
        <f>COUNTIF($K$1:K265,1)</f>
        <v>100</v>
      </c>
      <c r="E265" s="2210"/>
      <c r="F265" s="2211"/>
      <c r="G265" s="2212"/>
      <c r="H265" s="2212"/>
      <c r="I265" s="2212"/>
      <c r="J265" s="1949">
        <f>IFERROR(VLOOKUP(B265,DG!A:F,6,0),3000)</f>
        <v>3000</v>
      </c>
      <c r="K265" s="1950">
        <f>IF(J265&lt;2000,COUNTIF($B$2:B265,B265),0)</f>
        <v>0</v>
      </c>
    </row>
    <row r="266" spans="1:15" ht="25.2" customHeight="1">
      <c r="A266" s="2147">
        <f>COUNTIF($K$1:K266,1)</f>
        <v>100</v>
      </c>
      <c r="E266" s="2210"/>
      <c r="F266" s="2211"/>
      <c r="G266" s="2212"/>
      <c r="H266" s="2212"/>
      <c r="I266" s="2212"/>
      <c r="J266" s="1949">
        <f>IFERROR(VLOOKUP(B266,DG!A:F,6,0),3000)</f>
        <v>3000</v>
      </c>
      <c r="K266" s="1950">
        <f>IF(J266&lt;2000,COUNTIF($B$2:B266,B266),0)</f>
        <v>0</v>
      </c>
    </row>
    <row r="267" spans="1:15" ht="25.2" customHeight="1">
      <c r="A267" s="2147">
        <f>COUNTIF($K$1:K267,1)</f>
        <v>100</v>
      </c>
      <c r="E267" s="2210"/>
      <c r="F267" s="2211"/>
      <c r="G267" s="2212"/>
      <c r="H267" s="2212"/>
      <c r="I267" s="2212"/>
      <c r="J267" s="1949">
        <f>IFERROR(VLOOKUP(B267,DG!A:F,6,0),3000)</f>
        <v>3000</v>
      </c>
      <c r="K267" s="1950">
        <f>IF(J267&lt;2000,COUNTIF($B$2:B267,B267),0)</f>
        <v>0</v>
      </c>
    </row>
    <row r="268" spans="1:15" ht="25.2" customHeight="1">
      <c r="A268" s="2147">
        <f>COUNTIF($K$1:K268,1)</f>
        <v>100</v>
      </c>
      <c r="E268" s="2210"/>
      <c r="F268" s="2211"/>
      <c r="G268" s="2212"/>
      <c r="H268" s="2212"/>
      <c r="I268" s="2212"/>
      <c r="J268" s="1949">
        <f>IFERROR(VLOOKUP(B268,DG!A:F,6,0),3000)</f>
        <v>3000</v>
      </c>
      <c r="K268" s="1950">
        <f>IF(J268&lt;2000,COUNTIF($B$2:B268,B268),0)</f>
        <v>0</v>
      </c>
      <c r="M268" s="1969"/>
      <c r="N268" s="1970"/>
      <c r="O268" s="1969"/>
    </row>
    <row r="269" spans="1:15" ht="25.2" customHeight="1">
      <c r="A269" s="2147">
        <f>COUNTIF($K$1:K269,1)</f>
        <v>100</v>
      </c>
      <c r="B269" s="2279" t="str">
        <f>chitiet!B956</f>
        <v>SL50-1150</v>
      </c>
      <c r="C269" s="1952" t="str">
        <f>chitiet!C956</f>
        <v>x</v>
      </c>
      <c r="D269" s="1956">
        <f>chitiet!D956</f>
        <v>1</v>
      </c>
      <c r="E269" s="2196">
        <f>chitiet!E956</f>
        <v>0</v>
      </c>
      <c r="F269" s="2201" t="str">
        <f>chitiet!F956</f>
        <v>Sắt góc L50 x50 x5 x1150</v>
      </c>
      <c r="G269" s="2206" t="str">
        <f>chitiet!G956</f>
        <v>cái</v>
      </c>
      <c r="H269" s="2209">
        <f>chitiet!H956</f>
        <v>1</v>
      </c>
      <c r="I269" s="2207">
        <f>chitiet!P956</f>
        <v>1</v>
      </c>
      <c r="J269" s="1949" t="str">
        <f>IFERROR(VLOOKUP(B269,DG!A:F,6,0),3000)</f>
        <v/>
      </c>
      <c r="K269" s="1950">
        <f>IF(J269&lt;2000,COUNTIF($B$2:B269,B269),0)</f>
        <v>0</v>
      </c>
      <c r="L269" s="1426"/>
    </row>
  </sheetData>
  <autoFilter ref="A1:L269" xr:uid="{00000000-0009-0000-0000-00001C000000}">
    <sortState xmlns:xlrd2="http://schemas.microsoft.com/office/spreadsheetml/2017/richdata2" ref="A2:L269">
      <sortCondition ref="J1:J269"/>
    </sortState>
  </autoFilter>
  <sortState xmlns:xlrd2="http://schemas.microsoft.com/office/spreadsheetml/2017/richdata2" ref="B2:K202">
    <sortCondition ref="J2:J202"/>
    <sortCondition ref="B2:B202"/>
  </sortState>
  <conditionalFormatting sqref="E2:E1048576">
    <cfRule type="containsText" dxfId="42" priority="20" operator="containsText" text="phần">
      <formula>NOT(ISERROR(SEARCH("phần",E2)))</formula>
    </cfRule>
    <cfRule type="containsText" dxfId="41" priority="21" operator="containsText" text="bộ">
      <formula>NOT(ISERROR(SEARCH("bộ",E2)))</formula>
    </cfRule>
    <cfRule type="containsText" dxfId="40" priority="22" operator="containsText" text="đóng">
      <formula>NOT(ISERROR(SEARCH("đóng",E2)))</formula>
    </cfRule>
    <cfRule type="containsText" dxfId="39" priority="23" operator="containsText" text="kéo">
      <formula>NOT(ISERROR(SEARCH("kéo",E2)))</formula>
    </cfRule>
    <cfRule type="cellIs" dxfId="38" priority="24" operator="equal">
      <formula>"đóng"</formula>
    </cfRule>
    <cfRule type="containsText" dxfId="37" priority="25" operator="containsText" text="đổ">
      <formula>NOT(ISERROR(SEARCH("đổ",E2)))</formula>
    </cfRule>
    <cfRule type="containsText" dxfId="36" priority="26" operator="containsText" text="đắp">
      <formula>NOT(ISERROR(SEARCH("đắp",E2)))</formula>
    </cfRule>
    <cfRule type="containsText" dxfId="35" priority="27" operator="containsText" text="Đào">
      <formula>NOT(ISERROR(SEARCH("Đào",E2)))</formula>
    </cfRule>
  </conditionalFormatting>
  <conditionalFormatting sqref="F51:I52">
    <cfRule type="containsText" dxfId="34" priority="1" operator="containsText" text="phần">
      <formula>NOT(ISERROR(SEARCH("phần",F51)))</formula>
    </cfRule>
    <cfRule type="containsText" dxfId="33" priority="2" operator="containsText" text="bộ">
      <formula>NOT(ISERROR(SEARCH("bộ",F51)))</formula>
    </cfRule>
    <cfRule type="containsText" dxfId="32" priority="3" operator="containsText" text="đóng">
      <formula>NOT(ISERROR(SEARCH("đóng",F51)))</formula>
    </cfRule>
    <cfRule type="containsText" dxfId="31" priority="4" operator="containsText" text="kéo">
      <formula>NOT(ISERROR(SEARCH("kéo",F51)))</formula>
    </cfRule>
    <cfRule type="cellIs" dxfId="30" priority="5" operator="equal">
      <formula>"đóng"</formula>
    </cfRule>
    <cfRule type="containsText" dxfId="29" priority="6" operator="containsText" text="đổ">
      <formula>NOT(ISERROR(SEARCH("đổ",F51)))</formula>
    </cfRule>
    <cfRule type="containsText" dxfId="28" priority="7" operator="containsText" text="đắp">
      <formula>NOT(ISERROR(SEARCH("đắp",F51)))</formula>
    </cfRule>
    <cfRule type="containsText" dxfId="27" priority="8" operator="containsText" text="Đào">
      <formula>NOT(ISERROR(SEARCH("Đào",F51)))</formula>
    </cfRule>
  </conditionalFormatting>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1">
    <tabColor rgb="FF0000FF"/>
  </sheetPr>
  <dimension ref="A1:BP163"/>
  <sheetViews>
    <sheetView topLeftCell="H1" zoomScale="90" zoomScaleNormal="90" workbookViewId="0">
      <pane ySplit="1" topLeftCell="A8" activePane="bottomLeft" state="frozen"/>
      <selection activeCell="F8" sqref="F8"/>
      <selection pane="bottomLeft" activeCell="R11" sqref="R11"/>
    </sheetView>
  </sheetViews>
  <sheetFormatPr defaultColWidth="8.90625" defaultRowHeight="35.1" customHeight="1" outlineLevelCol="1"/>
  <cols>
    <col min="1" max="1" width="11.36328125" style="2172" customWidth="1"/>
    <col min="2" max="2" width="15.08984375" style="2172" customWidth="1"/>
    <col min="3" max="3" width="11.6328125" style="1282" customWidth="1"/>
    <col min="4" max="4" width="6.1796875" style="2172" customWidth="1"/>
    <col min="5" max="5" width="16.6328125" style="2172" customWidth="1"/>
    <col min="6" max="6" width="7.36328125" style="1282" customWidth="1"/>
    <col min="7" max="7" width="17.6328125" style="1948" customWidth="1"/>
    <col min="8" max="8" width="23.36328125" style="2063" customWidth="1" outlineLevel="1"/>
    <col min="9" max="9" width="26.81640625" style="2063" customWidth="1" outlineLevel="1"/>
    <col min="10" max="10" width="14.36328125" style="2064" hidden="1" customWidth="1" outlineLevel="1"/>
    <col min="11" max="11" width="11.1796875" style="2064" hidden="1" customWidth="1" outlineLevel="1"/>
    <col min="12" max="12" width="21.08984375" style="2167" customWidth="1"/>
    <col min="13" max="13" width="10.81640625" style="1447" customWidth="1"/>
    <col min="14" max="14" width="10.453125" style="1282" customWidth="1"/>
    <col min="15" max="16" width="13.36328125" style="1948" customWidth="1"/>
    <col min="17" max="17" width="8.90625" style="2172" customWidth="1"/>
    <col min="18" max="19" width="26" style="1277" customWidth="1" outlineLevel="1"/>
    <col min="20" max="20" width="13.90625" style="1282" customWidth="1" outlineLevel="1"/>
    <col min="21" max="21" width="13.90625" style="1487" customWidth="1" outlineLevel="1"/>
    <col min="22" max="23" width="13.08984375" style="1282" customWidth="1" outlineLevel="1"/>
    <col min="24" max="25" width="8.90625" style="1282"/>
    <col min="26" max="26" width="27.6328125" style="1282" customWidth="1"/>
    <col min="27" max="32" width="8.90625" style="1282"/>
    <col min="33" max="33" width="8.90625" style="2172"/>
    <col min="34" max="34" width="45.453125" style="2172" customWidth="1"/>
    <col min="35" max="41" width="8.90625" style="2172"/>
    <col min="42" max="42" width="21.6328125" style="2172" customWidth="1"/>
    <col min="43" max="45" width="8.90625" style="2172"/>
    <col min="46" max="46" width="6" style="2172" customWidth="1"/>
    <col min="47" max="47" width="31.1796875" style="2172" customWidth="1"/>
    <col min="48" max="48" width="7.1796875" style="2172" customWidth="1"/>
    <col min="49" max="54" width="8.90625" style="2172"/>
    <col min="55" max="55" width="22.54296875" style="2172" bestFit="1" customWidth="1"/>
    <col min="56" max="56" width="12.54296875" style="2172" customWidth="1"/>
    <col min="57" max="62" width="8.90625" style="2172"/>
    <col min="63" max="63" width="22.1796875" style="2172" customWidth="1"/>
    <col min="64" max="64" width="20.54296875" style="2172" customWidth="1"/>
    <col min="65" max="72" width="8.90625" style="2172"/>
    <col min="73" max="73" width="28.81640625" style="2172" customWidth="1"/>
    <col min="74" max="74" width="8.90625" style="2172"/>
    <col min="75" max="75" width="14.1796875" style="2172" customWidth="1"/>
    <col min="76" max="16384" width="8.90625" style="2172"/>
  </cols>
  <sheetData>
    <row r="1" spans="1:26" s="2150" customFormat="1" ht="35.1" customHeight="1" thickBot="1">
      <c r="A1" s="2244" t="s">
        <v>4498</v>
      </c>
      <c r="B1" s="2245" t="s">
        <v>4507</v>
      </c>
      <c r="C1" s="2245" t="s">
        <v>4507</v>
      </c>
      <c r="D1" s="2245"/>
      <c r="E1" s="2245" t="s">
        <v>4884</v>
      </c>
      <c r="F1" s="2246"/>
      <c r="G1" s="2151" t="s">
        <v>2611</v>
      </c>
      <c r="H1" s="2152" t="s">
        <v>4205</v>
      </c>
      <c r="I1" s="2152" t="s">
        <v>4206</v>
      </c>
      <c r="J1" s="2153" t="s">
        <v>4511</v>
      </c>
      <c r="K1" s="2153" t="s">
        <v>4211</v>
      </c>
      <c r="L1" s="2154" t="s">
        <v>4509</v>
      </c>
      <c r="M1" s="2155" t="s">
        <v>4211</v>
      </c>
      <c r="N1" s="2155" t="s">
        <v>4212</v>
      </c>
      <c r="O1" s="2182" t="s">
        <v>4817</v>
      </c>
      <c r="P1" s="2221">
        <v>44001</v>
      </c>
      <c r="Q1" s="2065" t="s">
        <v>2611</v>
      </c>
      <c r="R1" s="2156" t="s">
        <v>4205</v>
      </c>
      <c r="S1" s="2156" t="s">
        <v>4206</v>
      </c>
      <c r="T1" s="2157" t="s">
        <v>4511</v>
      </c>
      <c r="U1" s="2158" t="s">
        <v>4211</v>
      </c>
      <c r="V1" s="2159" t="s">
        <v>4509</v>
      </c>
      <c r="W1" s="2160" t="s">
        <v>4211</v>
      </c>
      <c r="Z1" s="2161" t="s">
        <v>4320</v>
      </c>
    </row>
    <row r="2" spans="1:26" ht="66" customHeight="1">
      <c r="A2" s="2262" t="s">
        <v>4885</v>
      </c>
      <c r="B2" s="2263"/>
      <c r="C2" s="2264"/>
      <c r="D2" s="2263">
        <v>1</v>
      </c>
      <c r="E2" s="2265">
        <v>43936</v>
      </c>
      <c r="F2" s="2266"/>
      <c r="G2" s="2163" t="str">
        <f>'NT-VT'!A6</f>
        <v>TR12501</v>
      </c>
      <c r="H2" s="2164" t="s">
        <v>4562</v>
      </c>
      <c r="I2" s="2164" t="s">
        <v>4562</v>
      </c>
      <c r="J2" s="2165"/>
      <c r="K2" s="2166">
        <v>43965</v>
      </c>
      <c r="L2" s="2229" t="str">
        <f>IF(N2&gt;0,N2&amp;O2,P2&amp;O2&amp;CHAR(10)&amp;P3&amp;O2&amp;IF(P4&lt;&gt;0,CHAR(10)&amp;P4&amp;O2,""))</f>
        <v>/BB-PXTN
/BB-PXTN</v>
      </c>
      <c r="M2" s="2168">
        <v>43972</v>
      </c>
      <c r="N2" s="2066"/>
      <c r="O2" s="1948" t="s">
        <v>4509</v>
      </c>
      <c r="P2" s="2066"/>
      <c r="Q2" s="2169" t="s">
        <v>115</v>
      </c>
      <c r="R2" s="2170" t="s">
        <v>4500</v>
      </c>
      <c r="S2" s="2170" t="s">
        <v>4500</v>
      </c>
      <c r="T2" s="1282" t="s">
        <v>4832</v>
      </c>
      <c r="U2" s="2171">
        <v>43864</v>
      </c>
      <c r="V2" s="1282" t="s">
        <v>4757</v>
      </c>
      <c r="W2" s="1487">
        <v>43462</v>
      </c>
      <c r="Z2" s="1447" t="s">
        <v>4500</v>
      </c>
    </row>
    <row r="3" spans="1:26" ht="35.1" customHeight="1">
      <c r="A3" s="2249" t="s">
        <v>3897</v>
      </c>
      <c r="B3" s="2250">
        <v>3</v>
      </c>
      <c r="C3" s="2251" t="str">
        <f>TEXT(B3,"00")</f>
        <v>03</v>
      </c>
      <c r="D3" s="2252">
        <f>IF(B3&lt;&gt;0,D2+1,D2)</f>
        <v>2</v>
      </c>
      <c r="E3" s="2247">
        <f>E2+F3</f>
        <v>43936</v>
      </c>
      <c r="F3" s="2248"/>
      <c r="G3" s="2163" t="str">
        <f>'NT-VT'!A7</f>
        <v>acb2000</v>
      </c>
      <c r="H3" s="2164" t="str">
        <f t="shared" ref="H3" si="0">IFERROR(VLOOKUP(G3,$Q:$U,2,0),"nt")</f>
        <v>Mitsubishi Electric</v>
      </c>
      <c r="I3" s="2164" t="str">
        <f t="shared" ref="I3" si="1">IFERROR(VLOOKUP(G3,$Q:$U,3,0),"nt")</f>
        <v>Mitsubishi Electric</v>
      </c>
      <c r="J3" s="2173"/>
      <c r="K3" s="2174"/>
      <c r="L3" s="2277" t="str">
        <f>IF(N3&gt;0,N3&amp;O3,IFERROR(VLOOKUP(G3,Q:U,4,0),""))</f>
        <v>24561/BB-ACB</v>
      </c>
      <c r="M3" s="2220">
        <f>IF(N3&gt;0,$P$1,IFERROR(VLOOKUP(G3,Q:U,5,0),""))</f>
        <v>44001</v>
      </c>
      <c r="N3" s="1282">
        <v>24561</v>
      </c>
      <c r="O3" s="1948" t="str">
        <f t="shared" ref="O3:O68" si="2">VLOOKUP(G3,Q:X,8,0)</f>
        <v>/BB-ACB</v>
      </c>
      <c r="P3" s="2066"/>
      <c r="Q3" s="2169" t="s">
        <v>274</v>
      </c>
      <c r="R3" s="2175" t="s">
        <v>4223</v>
      </c>
      <c r="S3" s="2175" t="s">
        <v>4223</v>
      </c>
      <c r="T3" s="2165" t="s">
        <v>1016</v>
      </c>
      <c r="U3" s="2166" t="s">
        <v>1016</v>
      </c>
      <c r="X3" s="1282" t="s">
        <v>4819</v>
      </c>
      <c r="Z3" s="2176" t="s">
        <v>4546</v>
      </c>
    </row>
    <row r="4" spans="1:26" ht="35.1" customHeight="1">
      <c r="A4" s="2249" t="s">
        <v>2283</v>
      </c>
      <c r="B4" s="2250">
        <v>3</v>
      </c>
      <c r="C4" s="2251" t="str">
        <f t="shared" ref="C4:C8" si="3">TEXT(B4,"00")</f>
        <v>03</v>
      </c>
      <c r="D4" s="2252">
        <f t="shared" ref="D4:D8" si="4">IF(B4&lt;&gt;0,D3+1,D3)</f>
        <v>3</v>
      </c>
      <c r="E4" s="2247">
        <f t="shared" ref="E4:E8" si="5">E3+F4</f>
        <v>43940</v>
      </c>
      <c r="F4" s="2248">
        <v>4</v>
      </c>
      <c r="G4" s="2163" t="str">
        <f>'NT-VT'!A8</f>
        <v>FCO100-22</v>
      </c>
      <c r="H4" s="2164" t="str">
        <f t="shared" ref="H4:H67" si="6">IFERROR(VLOOKUP(G4,$Q:$U,2,0),"nt")</f>
        <v>Chance</v>
      </c>
      <c r="I4" s="2164" t="str">
        <f t="shared" ref="I4:I67" si="7">IFERROR(VLOOKUP(G4,$Q:$U,3,0),"nt")</f>
        <v>Cty TNHH MTV Đại Thiên An</v>
      </c>
      <c r="J4" s="2173" t="s">
        <v>4978</v>
      </c>
      <c r="K4" s="2174">
        <v>43955</v>
      </c>
      <c r="L4" s="2277" t="str">
        <f t="shared" ref="L4:L19" si="8">IF(N4&gt;0,N4&amp;O4,IFERROR(VLOOKUP(G4,Q:U,4,0),""))</f>
        <v>24562/BB-FCO</v>
      </c>
      <c r="M4" s="2220">
        <f t="shared" ref="M4:M19" si="9">IF(N4&gt;0,$P$1,IFERROR(VLOOKUP(G4,Q:U,5,0),""))</f>
        <v>44001</v>
      </c>
      <c r="N4" s="1282">
        <v>24562</v>
      </c>
      <c r="O4" s="1948" t="str">
        <f t="shared" si="2"/>
        <v>/BB-FCO</v>
      </c>
      <c r="P4" s="2066"/>
      <c r="Q4" s="2169" t="s">
        <v>1013</v>
      </c>
      <c r="R4" s="2175" t="s">
        <v>4223</v>
      </c>
      <c r="S4" s="2175" t="s">
        <v>4223</v>
      </c>
      <c r="T4" s="2177" t="s">
        <v>4659</v>
      </c>
      <c r="U4" s="2171">
        <v>43525</v>
      </c>
      <c r="X4" s="1282" t="s">
        <v>4819</v>
      </c>
      <c r="Z4" s="2176" t="s">
        <v>4213</v>
      </c>
    </row>
    <row r="5" spans="1:26" ht="35.1" customHeight="1">
      <c r="A5" s="2249" t="s">
        <v>4499</v>
      </c>
      <c r="B5" s="2250">
        <v>3</v>
      </c>
      <c r="C5" s="2251" t="str">
        <f t="shared" si="3"/>
        <v>03</v>
      </c>
      <c r="D5" s="2252">
        <f t="shared" si="4"/>
        <v>4</v>
      </c>
      <c r="E5" s="2247">
        <f t="shared" si="5"/>
        <v>43940</v>
      </c>
      <c r="F5" s="2248"/>
      <c r="G5" s="2163" t="str">
        <f>'NT-VT'!A9</f>
        <v>LA18</v>
      </c>
      <c r="H5" s="2164" t="str">
        <f t="shared" si="6"/>
        <v>Cooper</v>
      </c>
      <c r="I5" s="2164" t="str">
        <f t="shared" si="7"/>
        <v>Cty TNHH MTV Đại Thiên An</v>
      </c>
      <c r="J5" s="2173"/>
      <c r="K5" s="2174"/>
      <c r="L5" s="2277" t="str">
        <f t="shared" si="8"/>
        <v>24563/BB-LA</v>
      </c>
      <c r="M5" s="2220">
        <f t="shared" si="9"/>
        <v>44001</v>
      </c>
      <c r="N5" s="1282">
        <v>24563</v>
      </c>
      <c r="O5" s="1948" t="str">
        <f t="shared" si="2"/>
        <v>/BB-LA</v>
      </c>
      <c r="Q5" s="2169" t="s">
        <v>697</v>
      </c>
      <c r="R5" s="2175" t="s">
        <v>4223</v>
      </c>
      <c r="S5" s="2175" t="s">
        <v>4223</v>
      </c>
      <c r="T5" s="2177" t="s">
        <v>4657</v>
      </c>
      <c r="U5" s="2171">
        <v>43494</v>
      </c>
      <c r="X5" s="1282" t="s">
        <v>4820</v>
      </c>
      <c r="Z5" s="2176" t="s">
        <v>4216</v>
      </c>
    </row>
    <row r="6" spans="1:26" ht="35.1" customHeight="1">
      <c r="A6" s="2253" t="s">
        <v>4501</v>
      </c>
      <c r="B6" s="2250"/>
      <c r="C6" s="2251" t="str">
        <f t="shared" si="3"/>
        <v>00</v>
      </c>
      <c r="D6" s="2252">
        <f t="shared" si="4"/>
        <v>4</v>
      </c>
      <c r="E6" s="2247">
        <f t="shared" si="5"/>
        <v>43940</v>
      </c>
      <c r="F6" s="2248"/>
      <c r="G6" s="2163" t="str">
        <f>'NT-VT'!A10</f>
        <v>SD</v>
      </c>
      <c r="H6" s="2164" t="str">
        <f t="shared" si="6"/>
        <v>Minh Long</v>
      </c>
      <c r="I6" s="2164" t="str">
        <f t="shared" si="7"/>
        <v>Minh Long</v>
      </c>
      <c r="J6" s="2173"/>
      <c r="K6" s="2174"/>
      <c r="L6" s="2277" t="str">
        <f t="shared" si="8"/>
        <v>24568/BB-SCĐ</v>
      </c>
      <c r="M6" s="2220">
        <f t="shared" si="9"/>
        <v>44001</v>
      </c>
      <c r="N6" s="1282">
        <v>24568</v>
      </c>
      <c r="O6" s="1948" t="str">
        <f t="shared" si="2"/>
        <v>/BB-SCĐ</v>
      </c>
      <c r="Q6" s="2169" t="s">
        <v>360</v>
      </c>
      <c r="R6" s="2175" t="s">
        <v>4223</v>
      </c>
      <c r="S6" s="2175" t="s">
        <v>4223</v>
      </c>
      <c r="T6" s="2177" t="s">
        <v>4656</v>
      </c>
      <c r="U6" s="2171">
        <v>43665</v>
      </c>
      <c r="X6" s="1282" t="s">
        <v>4820</v>
      </c>
      <c r="Z6" s="2176" t="s">
        <v>4321</v>
      </c>
    </row>
    <row r="7" spans="1:26" ht="35.1" customHeight="1">
      <c r="A7" s="2253" t="s">
        <v>4502</v>
      </c>
      <c r="B7" s="2250">
        <v>4</v>
      </c>
      <c r="C7" s="2251" t="str">
        <f t="shared" si="3"/>
        <v>04</v>
      </c>
      <c r="D7" s="2252">
        <f t="shared" si="4"/>
        <v>5</v>
      </c>
      <c r="E7" s="2247">
        <f t="shared" si="5"/>
        <v>43943</v>
      </c>
      <c r="F7" s="2248">
        <v>3</v>
      </c>
      <c r="G7" s="2163" t="str">
        <f>'NT-VT'!A11</f>
        <v>Stply</v>
      </c>
      <c r="H7" s="2164" t="str">
        <f t="shared" si="6"/>
        <v>DTR</v>
      </c>
      <c r="I7" s="2164" t="str">
        <f t="shared" si="7"/>
        <v>Cty TNHH MTV Đại Thiên An</v>
      </c>
      <c r="J7" s="2173" t="s">
        <v>4979</v>
      </c>
      <c r="K7" s="2174">
        <v>43957</v>
      </c>
      <c r="L7" s="2277" t="str">
        <f t="shared" si="8"/>
        <v>24569/BB-SCĐ</v>
      </c>
      <c r="M7" s="2220">
        <f t="shared" si="9"/>
        <v>44001</v>
      </c>
      <c r="N7" s="1282">
        <v>24569</v>
      </c>
      <c r="O7" s="1948" t="str">
        <f t="shared" si="2"/>
        <v>/BB-SCĐ</v>
      </c>
      <c r="Q7" s="2169" t="s">
        <v>103</v>
      </c>
      <c r="R7" s="2175" t="s">
        <v>4223</v>
      </c>
      <c r="S7" s="2175" t="s">
        <v>4223</v>
      </c>
      <c r="T7" s="2177" t="s">
        <v>6486</v>
      </c>
      <c r="U7" s="2171">
        <v>43721</v>
      </c>
      <c r="V7" s="1282" t="s">
        <v>4761</v>
      </c>
      <c r="W7" s="1487">
        <v>43522</v>
      </c>
      <c r="Z7" s="2176" t="s">
        <v>4219</v>
      </c>
    </row>
    <row r="8" spans="1:26" ht="35.1" customHeight="1">
      <c r="A8" s="2249" t="s">
        <v>4892</v>
      </c>
      <c r="B8" s="2250">
        <f>B9</f>
        <v>2</v>
      </c>
      <c r="C8" s="2251" t="str">
        <f t="shared" si="3"/>
        <v>02</v>
      </c>
      <c r="D8" s="2252">
        <f t="shared" si="4"/>
        <v>6</v>
      </c>
      <c r="E8" s="2247">
        <f t="shared" si="5"/>
        <v>43943</v>
      </c>
      <c r="F8" s="2248"/>
      <c r="G8" s="2163" t="str">
        <f>'NT-VT'!A12</f>
        <v>CV240</v>
      </c>
      <c r="H8" s="2164" t="str">
        <f t="shared" si="6"/>
        <v>Cty TNHHSX-TM Dây &amp; Cáp Điện Tài Trường Thành</v>
      </c>
      <c r="I8" s="2164" t="str">
        <f t="shared" si="7"/>
        <v>Cty TNHHSX-TM Dây &amp; Cáp Điện Tài Trường Thành</v>
      </c>
      <c r="J8" s="2173"/>
      <c r="K8" s="2174"/>
      <c r="L8" s="2277" t="str">
        <f t="shared" si="8"/>
        <v>24565/BB-LVC</v>
      </c>
      <c r="M8" s="2220">
        <f t="shared" si="9"/>
        <v>44001</v>
      </c>
      <c r="N8" s="1282">
        <v>24565</v>
      </c>
      <c r="O8" s="1948" t="str">
        <f t="shared" si="2"/>
        <v>/BB-LVC</v>
      </c>
      <c r="Q8" s="2172" t="s">
        <v>2282</v>
      </c>
      <c r="R8" s="2175" t="s">
        <v>4223</v>
      </c>
      <c r="S8" s="2175" t="s">
        <v>4223</v>
      </c>
      <c r="T8" s="2177" t="s">
        <v>4658</v>
      </c>
      <c r="U8" s="2171">
        <v>43494</v>
      </c>
      <c r="X8" s="1282" t="s">
        <v>4819</v>
      </c>
      <c r="Z8" s="2176" t="s">
        <v>4225</v>
      </c>
    </row>
    <row r="9" spans="1:26" ht="35.1" customHeight="1">
      <c r="A9" s="2254" t="s">
        <v>4153</v>
      </c>
      <c r="B9" s="2250">
        <v>2</v>
      </c>
      <c r="C9" s="2251" t="str">
        <f t="shared" ref="C9:C10" si="10">TEXT(B9,"00")</f>
        <v>02</v>
      </c>
      <c r="D9" s="2252">
        <f t="shared" ref="D9:D10" si="11">IF(B9&lt;&gt;0,D8+1,D8)</f>
        <v>7</v>
      </c>
      <c r="E9" s="2247">
        <f t="shared" ref="E9:E10" si="12">E8+F9</f>
        <v>43943</v>
      </c>
      <c r="F9" s="2248"/>
      <c r="G9" s="2163" t="str">
        <f>'NT-VT'!A13</f>
        <v>CVV4X4</v>
      </c>
      <c r="H9" s="2164" t="str">
        <f t="shared" si="6"/>
        <v>Cty TNHHSX-TM Dây &amp; Cáp Điện Tài Trường Thành</v>
      </c>
      <c r="I9" s="2164" t="str">
        <f t="shared" si="7"/>
        <v>Cty TNHHSX-TM Dây &amp; Cáp Điện Tài Trường Thành</v>
      </c>
      <c r="J9" s="2173" t="s">
        <v>4983</v>
      </c>
      <c r="K9" s="2174">
        <v>43959</v>
      </c>
      <c r="L9" s="2277" t="str">
        <f t="shared" si="8"/>
        <v>24566/BB-LVC</v>
      </c>
      <c r="M9" s="2220">
        <f t="shared" si="9"/>
        <v>44001</v>
      </c>
      <c r="N9" s="1282">
        <v>24566</v>
      </c>
      <c r="O9" s="1948" t="str">
        <f t="shared" si="2"/>
        <v>/BB-LVC</v>
      </c>
      <c r="Q9" s="2169" t="s">
        <v>88</v>
      </c>
      <c r="R9" s="2175" t="s">
        <v>4223</v>
      </c>
      <c r="S9" s="2175" t="s">
        <v>4223</v>
      </c>
      <c r="T9" s="2177" t="s">
        <v>4759</v>
      </c>
      <c r="U9" s="2171">
        <v>43665</v>
      </c>
      <c r="V9" s="1282" t="s">
        <v>4758</v>
      </c>
      <c r="W9" s="1487">
        <v>42387</v>
      </c>
      <c r="Z9" s="2176" t="s">
        <v>4495</v>
      </c>
    </row>
    <row r="10" spans="1:26" ht="35.1" customHeight="1">
      <c r="A10" s="2254" t="s">
        <v>4506</v>
      </c>
      <c r="B10" s="2250">
        <v>6</v>
      </c>
      <c r="C10" s="2251" t="str">
        <f t="shared" si="10"/>
        <v>06</v>
      </c>
      <c r="D10" s="2252">
        <f t="shared" si="11"/>
        <v>8</v>
      </c>
      <c r="E10" s="2247">
        <f t="shared" si="12"/>
        <v>43943</v>
      </c>
      <c r="F10" s="2248"/>
      <c r="G10" s="2163" t="str">
        <f>'NT-VT'!A14</f>
        <v>XLPE25</v>
      </c>
      <c r="H10" s="2164" t="str">
        <f t="shared" si="6"/>
        <v>Cty TNHHSX-TM Dây &amp; Cáp Điện Tài Trường Thành</v>
      </c>
      <c r="I10" s="2164" t="str">
        <f t="shared" si="7"/>
        <v>Cty TNHHSX-TM Dây &amp; Cáp Điện Tài Trường Thành</v>
      </c>
      <c r="J10" s="2173" t="s">
        <v>4982</v>
      </c>
      <c r="K10" s="2174">
        <v>43959</v>
      </c>
      <c r="L10" s="2277" t="str">
        <f t="shared" si="8"/>
        <v>24564/BB-MVC</v>
      </c>
      <c r="M10" s="2220">
        <f t="shared" si="9"/>
        <v>44001</v>
      </c>
      <c r="N10" s="1282">
        <v>24564</v>
      </c>
      <c r="O10" s="1948" t="str">
        <f t="shared" si="2"/>
        <v>/BB-MVC</v>
      </c>
      <c r="Q10" s="2169" t="s">
        <v>1362</v>
      </c>
      <c r="R10" s="2175" t="s">
        <v>4223</v>
      </c>
      <c r="S10" s="2175" t="s">
        <v>4223</v>
      </c>
      <c r="T10" s="2177" t="s">
        <v>4655</v>
      </c>
      <c r="U10" s="2171">
        <v>43665</v>
      </c>
      <c r="V10" s="1282" t="s">
        <v>4760</v>
      </c>
      <c r="W10" s="1487">
        <v>42445</v>
      </c>
      <c r="Z10" s="2176" t="s">
        <v>4223</v>
      </c>
    </row>
    <row r="11" spans="1:26" ht="35.1" customHeight="1" thickBot="1">
      <c r="A11" s="2255" t="s">
        <v>4518</v>
      </c>
      <c r="B11" s="2256">
        <v>3</v>
      </c>
      <c r="C11" s="2257" t="str">
        <f t="shared" ref="C11" si="13">TEXT(B11,"00")</f>
        <v>03</v>
      </c>
      <c r="D11" s="2258">
        <f t="shared" ref="D11" si="14">IF(B11&lt;&gt;0,D10+1,D10)</f>
        <v>9</v>
      </c>
      <c r="E11" s="2259">
        <f t="shared" ref="E11" si="15">E10+F11</f>
        <v>43948</v>
      </c>
      <c r="F11" s="2260">
        <v>5</v>
      </c>
      <c r="G11" s="2163" t="str">
        <f>'NT-VT'!A15</f>
        <v>XLPE95ACXH</v>
      </c>
      <c r="H11" s="2164" t="str">
        <f t="shared" si="6"/>
        <v>Cty TNHHSX-TM Dây &amp; Cáp Điện Tài Trường Thành</v>
      </c>
      <c r="I11" s="2164" t="str">
        <f t="shared" si="7"/>
        <v>Cty TNHHSX-TM Dây &amp; Cáp Điện Tài Trường Thành</v>
      </c>
      <c r="J11" s="2173"/>
      <c r="K11" s="2174"/>
      <c r="L11" s="2277" t="str">
        <f t="shared" si="8"/>
        <v>24567/BB-MVC</v>
      </c>
      <c r="M11" s="2220">
        <f t="shared" si="9"/>
        <v>44001</v>
      </c>
      <c r="N11" s="1282">
        <v>24567</v>
      </c>
      <c r="O11" s="1948" t="str">
        <f t="shared" si="2"/>
        <v>/BB-MVC</v>
      </c>
      <c r="Q11" s="2179" t="s">
        <v>5110</v>
      </c>
      <c r="R11" s="2175" t="s">
        <v>4216</v>
      </c>
      <c r="S11" s="2175" t="s">
        <v>4216</v>
      </c>
      <c r="T11" s="2165" t="s">
        <v>4652</v>
      </c>
      <c r="U11" s="2166">
        <v>43525</v>
      </c>
      <c r="Z11" s="2176" t="s">
        <v>4222</v>
      </c>
    </row>
    <row r="12" spans="1:26" ht="35.1" customHeight="1">
      <c r="A12"/>
      <c r="B12"/>
      <c r="C12"/>
      <c r="D12"/>
      <c r="E12"/>
      <c r="F12"/>
      <c r="G12" s="2163" t="str">
        <f>'NT-VT'!A16</f>
        <v>m25</v>
      </c>
      <c r="H12" s="2164" t="str">
        <f t="shared" si="6"/>
        <v>Cty TNHHSX-TM Dây &amp; Cáp Điện Tài Trường Thành</v>
      </c>
      <c r="I12" s="2164" t="str">
        <f t="shared" si="7"/>
        <v>Cty TNHHSX-TM Dây &amp; Cáp Điện Tài Trường Thành</v>
      </c>
      <c r="J12" s="2173"/>
      <c r="K12" s="2174"/>
      <c r="L12" s="2277" t="str">
        <f t="shared" si="8"/>
        <v>TTT - 061KCS0718/112</v>
      </c>
      <c r="M12" s="2220">
        <f t="shared" si="9"/>
        <v>43721</v>
      </c>
      <c r="O12" s="1948">
        <f t="shared" si="2"/>
        <v>0</v>
      </c>
      <c r="Q12" s="2172" t="s">
        <v>751</v>
      </c>
      <c r="R12" s="2180" t="s">
        <v>4414</v>
      </c>
      <c r="S12" s="2180" t="s">
        <v>4414</v>
      </c>
      <c r="T12" s="1282" t="s">
        <v>1016</v>
      </c>
      <c r="U12" s="1487" t="s">
        <v>1016</v>
      </c>
      <c r="Z12" s="2176" t="s">
        <v>4220</v>
      </c>
    </row>
    <row r="13" spans="1:26" ht="35.1" customHeight="1">
      <c r="A13" s="2178"/>
      <c r="D13" s="2162"/>
      <c r="E13" s="1282"/>
      <c r="G13" s="2163" t="str">
        <f>'NT-VT'!A17</f>
        <v>AC50</v>
      </c>
      <c r="H13" s="2164" t="str">
        <f t="shared" si="6"/>
        <v>Cty TNHHSX-TM Dây &amp; Cáp Điện Tài Trường Thành</v>
      </c>
      <c r="I13" s="2164" t="str">
        <f t="shared" si="7"/>
        <v>Cty TNHHSX-TM Dây &amp; Cáp Điện Tài Trường Thành</v>
      </c>
      <c r="J13" s="2173" t="s">
        <v>4980</v>
      </c>
      <c r="K13" s="2174">
        <v>43959</v>
      </c>
      <c r="L13" s="2277" t="str">
        <f t="shared" si="8"/>
        <v>TTT-056KCS0719/16</v>
      </c>
      <c r="M13" s="2220">
        <f t="shared" si="9"/>
        <v>43665</v>
      </c>
      <c r="O13" s="1948">
        <f t="shared" si="2"/>
        <v>0</v>
      </c>
      <c r="Q13" s="2172" t="s">
        <v>4440</v>
      </c>
      <c r="R13" s="2180" t="s">
        <v>4653</v>
      </c>
      <c r="S13" s="2180" t="s">
        <v>4653</v>
      </c>
      <c r="T13" s="1282" t="s">
        <v>1016</v>
      </c>
      <c r="U13" s="1487" t="s">
        <v>1016</v>
      </c>
      <c r="Z13" s="2176" t="s">
        <v>4218</v>
      </c>
    </row>
    <row r="14" spans="1:26" ht="35.1" customHeight="1">
      <c r="A14" s="2178"/>
      <c r="D14" s="2162"/>
      <c r="E14" s="1282"/>
      <c r="G14" s="2163" t="str">
        <f>'NT-VT'!A18</f>
        <v>C5/8</v>
      </c>
      <c r="H14" s="2164" t="str">
        <f t="shared" si="6"/>
        <v>Cty TNHHSX-TM Dây &amp; Cáp Điện Tài Trường Thành</v>
      </c>
      <c r="I14" s="2164" t="str">
        <f t="shared" si="7"/>
        <v>Cty TNHHSX-TM Dây &amp; Cáp Điện Tài Trường Thành</v>
      </c>
      <c r="J14" s="2173" t="s">
        <v>4981</v>
      </c>
      <c r="K14" s="2174">
        <v>43959</v>
      </c>
      <c r="L14" s="2277" t="str">
        <f t="shared" si="8"/>
        <v>TTT-198KCS0319/15</v>
      </c>
      <c r="M14" s="2220">
        <f t="shared" si="9"/>
        <v>43665</v>
      </c>
      <c r="O14" s="1948">
        <f t="shared" si="2"/>
        <v>0</v>
      </c>
      <c r="Q14" s="2172" t="s">
        <v>867</v>
      </c>
      <c r="R14" s="2180" t="s">
        <v>4653</v>
      </c>
      <c r="S14" s="2180" t="s">
        <v>4653</v>
      </c>
      <c r="T14" s="1282" t="s">
        <v>1016</v>
      </c>
      <c r="U14" s="1487" t="s">
        <v>1016</v>
      </c>
      <c r="Z14" s="2176" t="s">
        <v>4651</v>
      </c>
    </row>
    <row r="15" spans="1:26" ht="35.1" customHeight="1">
      <c r="A15" s="1447"/>
      <c r="D15" s="2162"/>
      <c r="E15" s="1282"/>
      <c r="G15" s="2163" t="str">
        <f>'NT-VT'!A19</f>
        <v>T12</v>
      </c>
      <c r="H15" s="2164" t="str">
        <f t="shared" si="6"/>
        <v>Cty Cổ phần Bê tông ly tâm Thủ Đức</v>
      </c>
      <c r="I15" s="2164" t="str">
        <f t="shared" si="7"/>
        <v>Cty Cổ phần Bê tông ly tâm Thủ Đức</v>
      </c>
      <c r="J15" s="2173"/>
      <c r="K15" s="2174"/>
      <c r="L15" s="2277" t="str">
        <f t="shared" si="8"/>
        <v>136/NTXX-KHKD/TDC</v>
      </c>
      <c r="M15" s="2220">
        <f t="shared" si="9"/>
        <v>43864</v>
      </c>
      <c r="O15" s="1948">
        <f t="shared" si="2"/>
        <v>0</v>
      </c>
      <c r="Q15" s="2172" t="s">
        <v>953</v>
      </c>
      <c r="R15" s="2175" t="s">
        <v>4218</v>
      </c>
      <c r="S15" s="2175" t="s">
        <v>4219</v>
      </c>
      <c r="T15" s="1282" t="s">
        <v>1016</v>
      </c>
      <c r="U15" s="1487">
        <v>43525</v>
      </c>
      <c r="X15" s="1282" t="s">
        <v>4821</v>
      </c>
      <c r="Z15" s="2176" t="s">
        <v>4221</v>
      </c>
    </row>
    <row r="16" spans="1:26" ht="35.1" customHeight="1">
      <c r="A16" s="1447"/>
      <c r="D16" s="2162"/>
      <c r="E16" s="1282"/>
      <c r="G16" s="2163" t="str">
        <f>'NT-VT'!A20</f>
        <v>B14350</v>
      </c>
      <c r="H16" s="2164" t="str">
        <f t="shared" si="6"/>
        <v>Cty TNHH MTV Đại Thiên An</v>
      </c>
      <c r="I16" s="2164" t="str">
        <f t="shared" si="7"/>
        <v>Cty TNHH MTV Đại Thiên An</v>
      </c>
      <c r="J16" s="2173"/>
      <c r="K16" s="2174"/>
      <c r="L16" s="2277" t="str">
        <f t="shared" si="8"/>
        <v>01.2019/BBXX/DTA-TL</v>
      </c>
      <c r="M16" s="2220">
        <f t="shared" si="9"/>
        <v>43525</v>
      </c>
      <c r="O16" s="1948">
        <f t="shared" si="2"/>
        <v>0</v>
      </c>
      <c r="Q16" s="2172" t="s">
        <v>696</v>
      </c>
      <c r="R16" s="2175" t="s">
        <v>4221</v>
      </c>
      <c r="S16" s="2175" t="s">
        <v>4221</v>
      </c>
      <c r="T16" s="1282" t="s">
        <v>4756</v>
      </c>
      <c r="U16" s="1487">
        <v>43525</v>
      </c>
      <c r="X16" s="1282" t="s">
        <v>4822</v>
      </c>
      <c r="Z16" s="2176" t="s">
        <v>4217</v>
      </c>
    </row>
    <row r="17" spans="1:26" ht="35.1" customHeight="1">
      <c r="A17" s="2178"/>
      <c r="D17" s="2162"/>
      <c r="E17" s="2181"/>
      <c r="G17" s="2163" t="str">
        <f>'NT-VT'!A21</f>
        <v>b40</v>
      </c>
      <c r="H17" s="2164" t="str">
        <f t="shared" si="6"/>
        <v>nt</v>
      </c>
      <c r="I17" s="2164" t="str">
        <f t="shared" si="7"/>
        <v>nt</v>
      </c>
      <c r="J17" s="2173" t="s">
        <v>4984</v>
      </c>
      <c r="K17" s="2174">
        <v>43954</v>
      </c>
      <c r="L17" s="2277" t="str">
        <f t="shared" si="8"/>
        <v/>
      </c>
      <c r="M17" s="2220" t="str">
        <f t="shared" si="9"/>
        <v/>
      </c>
      <c r="O17" s="1948" t="e">
        <f t="shared" si="2"/>
        <v>#N/A</v>
      </c>
      <c r="Q17" s="2172" t="s">
        <v>1222</v>
      </c>
      <c r="R17" s="2175" t="s">
        <v>4223</v>
      </c>
      <c r="S17" s="2175" t="s">
        <v>4223</v>
      </c>
      <c r="T17" s="2177" t="s">
        <v>4762</v>
      </c>
      <c r="U17" s="1487">
        <v>43626</v>
      </c>
      <c r="X17" s="1282" t="s">
        <v>4819</v>
      </c>
      <c r="Z17" s="2176" t="s">
        <v>4562</v>
      </c>
    </row>
    <row r="18" spans="1:26" ht="35.1" customHeight="1">
      <c r="A18" s="2178"/>
      <c r="D18" s="2162"/>
      <c r="G18" s="2163" t="str">
        <f>'NT-VT'!A22</f>
        <v>BKQ</v>
      </c>
      <c r="H18" s="2164" t="str">
        <f t="shared" si="6"/>
        <v>nt</v>
      </c>
      <c r="I18" s="2164" t="str">
        <f t="shared" si="7"/>
        <v>nt</v>
      </c>
      <c r="J18" s="2173"/>
      <c r="K18" s="2174"/>
      <c r="L18" s="2277" t="str">
        <f t="shared" si="8"/>
        <v/>
      </c>
      <c r="M18" s="2220" t="str">
        <f t="shared" si="9"/>
        <v/>
      </c>
      <c r="O18" s="1948" t="e">
        <f t="shared" si="2"/>
        <v>#N/A</v>
      </c>
      <c r="Q18" s="2172" t="s">
        <v>1563</v>
      </c>
      <c r="R18" s="1277" t="s">
        <v>4218</v>
      </c>
      <c r="S18" s="1277" t="s">
        <v>4219</v>
      </c>
      <c r="T18" s="1282" t="s">
        <v>1016</v>
      </c>
      <c r="X18" s="1282" t="s">
        <v>4821</v>
      </c>
      <c r="Z18" s="2176" t="s">
        <v>4805</v>
      </c>
    </row>
    <row r="19" spans="1:26" ht="35.1" customHeight="1">
      <c r="A19" s="2178"/>
      <c r="D19" s="2162"/>
      <c r="E19" s="1282"/>
      <c r="G19" s="2163" t="str">
        <f>'NT-VT'!A23</f>
        <v>ChupFCO</v>
      </c>
      <c r="H19" s="2164" t="str">
        <f t="shared" si="6"/>
        <v>nt</v>
      </c>
      <c r="I19" s="2164" t="str">
        <f t="shared" si="7"/>
        <v>nt</v>
      </c>
      <c r="J19" s="2173"/>
      <c r="K19" s="2174"/>
      <c r="L19" s="2277" t="str">
        <f t="shared" si="8"/>
        <v/>
      </c>
      <c r="M19" s="2220" t="str">
        <f t="shared" si="9"/>
        <v/>
      </c>
      <c r="O19" s="1948" t="e">
        <f t="shared" si="2"/>
        <v>#N/A</v>
      </c>
      <c r="Q19" s="2172" t="s">
        <v>1409</v>
      </c>
      <c r="R19" s="2175" t="s">
        <v>4223</v>
      </c>
      <c r="S19" s="2175" t="s">
        <v>4223</v>
      </c>
      <c r="T19" s="1282" t="s">
        <v>4823</v>
      </c>
      <c r="U19" s="1487">
        <v>43356</v>
      </c>
      <c r="X19" s="1282" t="s">
        <v>4819</v>
      </c>
      <c r="Z19" s="2176" t="s">
        <v>4215</v>
      </c>
    </row>
    <row r="20" spans="1:26" s="1282" customFormat="1" ht="35.1" customHeight="1">
      <c r="D20" s="2162"/>
      <c r="E20" s="2172"/>
      <c r="G20" s="2163" t="str">
        <f>'NT-VT'!A24</f>
        <v>ChupLA</v>
      </c>
      <c r="H20" s="2164" t="str">
        <f t="shared" si="6"/>
        <v>nt</v>
      </c>
      <c r="I20" s="2164" t="str">
        <f t="shared" si="7"/>
        <v>nt</v>
      </c>
      <c r="J20" s="2173"/>
      <c r="K20" s="2174"/>
      <c r="L20" s="2064"/>
      <c r="M20" s="2220" t="str">
        <f t="shared" ref="M13:M76" si="16">IF(N20&gt;0,$P$1,IFERROR(VLOOKUP(G20,Q:U,5,0),""))</f>
        <v/>
      </c>
      <c r="O20" s="1948" t="e">
        <f t="shared" si="2"/>
        <v>#N/A</v>
      </c>
      <c r="P20" s="1948"/>
      <c r="Q20" s="2172" t="s">
        <v>1509</v>
      </c>
      <c r="R20" s="2175" t="s">
        <v>4222</v>
      </c>
      <c r="S20" s="2175" t="s">
        <v>4216</v>
      </c>
      <c r="T20" s="1282" t="s">
        <v>1016</v>
      </c>
      <c r="U20" s="1487" t="s">
        <v>1016</v>
      </c>
      <c r="X20" s="1282" t="s">
        <v>4822</v>
      </c>
    </row>
    <row r="21" spans="1:26" s="1282" customFormat="1" ht="35.1" customHeight="1">
      <c r="D21" s="2162"/>
      <c r="E21" s="2172"/>
      <c r="G21" s="2163" t="str">
        <f>'NT-VT'!A25</f>
        <v>ChupMBA</v>
      </c>
      <c r="H21" s="2164" t="str">
        <f t="shared" si="6"/>
        <v>nt</v>
      </c>
      <c r="I21" s="2164" t="str">
        <f t="shared" si="7"/>
        <v>nt</v>
      </c>
      <c r="J21" s="2173" t="str">
        <f t="shared" ref="J21:J52" si="17">IFERROR(VLOOKUP(G21,$Q:$U,4,0),"nt")</f>
        <v>nt</v>
      </c>
      <c r="K21" s="2174" t="str">
        <f t="shared" ref="K21:K52" si="18">IFERROR(VLOOKUP(G21,$Q:$U,5,0),"nt")</f>
        <v>nt</v>
      </c>
      <c r="L21" s="2064"/>
      <c r="M21" s="2220" t="str">
        <f t="shared" si="16"/>
        <v/>
      </c>
      <c r="O21" s="1948" t="e">
        <f t="shared" si="2"/>
        <v>#N/A</v>
      </c>
      <c r="P21" s="1948"/>
      <c r="Q21" s="2172" t="s">
        <v>4793</v>
      </c>
      <c r="R21" s="2175" t="s">
        <v>4223</v>
      </c>
      <c r="S21" s="2175" t="s">
        <v>4223</v>
      </c>
      <c r="T21" s="1282" t="s">
        <v>1016</v>
      </c>
      <c r="U21" s="1487" t="s">
        <v>1016</v>
      </c>
      <c r="X21" s="1282" t="s">
        <v>4819</v>
      </c>
    </row>
    <row r="22" spans="1:26" s="1282" customFormat="1" ht="35.1" customHeight="1">
      <c r="E22" s="2172"/>
      <c r="G22" s="2163" t="str">
        <f>'NT-VT'!A26</f>
        <v>COS4</v>
      </c>
      <c r="H22" s="2164" t="str">
        <f t="shared" si="6"/>
        <v>nt</v>
      </c>
      <c r="I22" s="2164" t="str">
        <f t="shared" si="7"/>
        <v>nt</v>
      </c>
      <c r="J22" s="2173" t="str">
        <f t="shared" si="17"/>
        <v>nt</v>
      </c>
      <c r="K22" s="2174" t="str">
        <f t="shared" si="18"/>
        <v>nt</v>
      </c>
      <c r="L22" s="2064"/>
      <c r="M22" s="2220" t="str">
        <f t="shared" si="16"/>
        <v/>
      </c>
      <c r="O22" s="1948" t="e">
        <f t="shared" si="2"/>
        <v>#N/A</v>
      </c>
      <c r="P22" s="1948"/>
      <c r="Q22" s="2172" t="s">
        <v>4809</v>
      </c>
      <c r="R22" s="2175" t="s">
        <v>4223</v>
      </c>
      <c r="S22" s="2175" t="s">
        <v>4223</v>
      </c>
      <c r="T22" s="1282" t="s">
        <v>1016</v>
      </c>
      <c r="U22" s="1487" t="s">
        <v>4810</v>
      </c>
      <c r="X22" s="1282" t="s">
        <v>4819</v>
      </c>
    </row>
    <row r="23" spans="1:26" s="1282" customFormat="1" ht="35.1" customHeight="1">
      <c r="E23" s="2172"/>
      <c r="G23" s="2163" t="str">
        <f>'NT-VT'!A27</f>
        <v>GNIU95b</v>
      </c>
      <c r="H23" s="2164" t="str">
        <f t="shared" si="6"/>
        <v>nt</v>
      </c>
      <c r="I23" s="2164" t="str">
        <f t="shared" si="7"/>
        <v>nt</v>
      </c>
      <c r="J23" s="2173" t="str">
        <f t="shared" si="17"/>
        <v>nt</v>
      </c>
      <c r="K23" s="2174" t="str">
        <f t="shared" si="18"/>
        <v>nt</v>
      </c>
      <c r="L23" s="2064"/>
      <c r="M23" s="2220" t="str">
        <f t="shared" si="16"/>
        <v/>
      </c>
      <c r="O23" s="1948" t="e">
        <f t="shared" si="2"/>
        <v>#N/A</v>
      </c>
      <c r="P23" s="1948"/>
      <c r="Q23" s="2172" t="s">
        <v>4824</v>
      </c>
      <c r="R23" s="2175" t="s">
        <v>4223</v>
      </c>
      <c r="S23" s="2175" t="s">
        <v>4223</v>
      </c>
      <c r="T23" s="1282" t="s">
        <v>4825</v>
      </c>
      <c r="U23" s="1487">
        <v>43721</v>
      </c>
      <c r="X23" s="1282" t="s">
        <v>4819</v>
      </c>
    </row>
    <row r="24" spans="1:26" s="1282" customFormat="1" ht="35.1" customHeight="1">
      <c r="E24" s="2172"/>
      <c r="G24" s="2163" t="str">
        <f>'NT-VT'!A28</f>
        <v>LDKhungcua</v>
      </c>
      <c r="H24" s="2164" t="str">
        <f t="shared" si="6"/>
        <v>nt</v>
      </c>
      <c r="I24" s="2164" t="str">
        <f t="shared" si="7"/>
        <v>nt</v>
      </c>
      <c r="J24" s="2173" t="str">
        <f t="shared" si="17"/>
        <v>nt</v>
      </c>
      <c r="K24" s="2174" t="str">
        <f t="shared" si="18"/>
        <v>nt</v>
      </c>
      <c r="L24" s="2064"/>
      <c r="M24" s="2220" t="str">
        <f t="shared" si="16"/>
        <v/>
      </c>
      <c r="O24" s="1948" t="e">
        <f t="shared" si="2"/>
        <v>#N/A</v>
      </c>
      <c r="P24" s="1948"/>
      <c r="Q24" s="2172" t="s">
        <v>4544</v>
      </c>
      <c r="R24" s="2175" t="s">
        <v>4223</v>
      </c>
      <c r="S24" s="2175" t="s">
        <v>4223</v>
      </c>
      <c r="T24" s="1282" t="s">
        <v>4826</v>
      </c>
      <c r="U24" s="1487">
        <v>43805</v>
      </c>
      <c r="X24" s="1282" t="s">
        <v>4819</v>
      </c>
    </row>
    <row r="25" spans="1:26" s="1282" customFormat="1" ht="35.1" customHeight="1">
      <c r="E25" s="2172"/>
      <c r="G25" s="2163" t="str">
        <f>'NT-VT'!A29</f>
        <v>SATV4</v>
      </c>
      <c r="H25" s="2164" t="str">
        <f t="shared" si="6"/>
        <v>nt</v>
      </c>
      <c r="I25" s="2164" t="str">
        <f t="shared" si="7"/>
        <v>nt</v>
      </c>
      <c r="J25" s="2173" t="str">
        <f t="shared" si="17"/>
        <v>nt</v>
      </c>
      <c r="K25" s="2174" t="str">
        <f t="shared" si="18"/>
        <v>nt</v>
      </c>
      <c r="L25" s="2064"/>
      <c r="M25" s="2220" t="str">
        <f t="shared" si="16"/>
        <v/>
      </c>
      <c r="O25" s="1948" t="e">
        <f t="shared" si="2"/>
        <v>#N/A</v>
      </c>
      <c r="P25" s="1948"/>
      <c r="Q25" s="2172" t="s">
        <v>4827</v>
      </c>
      <c r="R25" s="2175" t="s">
        <v>4223</v>
      </c>
      <c r="S25" s="2175" t="s">
        <v>4223</v>
      </c>
      <c r="T25" s="1282" t="s">
        <v>4828</v>
      </c>
      <c r="U25" s="1487">
        <v>43668</v>
      </c>
      <c r="X25" s="1282" t="s">
        <v>4819</v>
      </c>
    </row>
    <row r="26" spans="1:26" s="1282" customFormat="1" ht="35.1" customHeight="1">
      <c r="E26" s="2172"/>
      <c r="G26" s="2163" t="str">
        <f>'NT-VT'!A30</f>
        <v>SATV5</v>
      </c>
      <c r="H26" s="2164" t="str">
        <f t="shared" si="6"/>
        <v>nt</v>
      </c>
      <c r="I26" s="2164" t="str">
        <f t="shared" si="7"/>
        <v>nt</v>
      </c>
      <c r="J26" s="2173" t="str">
        <f t="shared" si="17"/>
        <v>nt</v>
      </c>
      <c r="K26" s="2174" t="str">
        <f t="shared" si="18"/>
        <v>nt</v>
      </c>
      <c r="L26" s="2064"/>
      <c r="M26" s="2220" t="str">
        <f t="shared" si="16"/>
        <v/>
      </c>
      <c r="O26" s="1948" t="e">
        <f t="shared" si="2"/>
        <v>#N/A</v>
      </c>
      <c r="P26" s="1948"/>
      <c r="Q26" s="2172" t="s">
        <v>32</v>
      </c>
      <c r="R26" s="2175" t="s">
        <v>4223</v>
      </c>
      <c r="S26" s="2175" t="s">
        <v>4223</v>
      </c>
      <c r="T26" s="1282" t="s">
        <v>4829</v>
      </c>
      <c r="U26" s="1487">
        <v>43356</v>
      </c>
      <c r="X26" s="1282" t="s">
        <v>4819</v>
      </c>
    </row>
    <row r="27" spans="1:26" s="1282" customFormat="1" ht="35.1" customHeight="1">
      <c r="E27" s="2172"/>
      <c r="G27" s="2163" t="str">
        <f>'NT-VT'!A31</f>
        <v>ssf</v>
      </c>
      <c r="H27" s="2164" t="str">
        <f t="shared" si="6"/>
        <v>nt</v>
      </c>
      <c r="I27" s="2164" t="str">
        <f t="shared" si="7"/>
        <v>nt</v>
      </c>
      <c r="J27" s="2173" t="str">
        <f t="shared" si="17"/>
        <v>nt</v>
      </c>
      <c r="K27" s="2174" t="str">
        <f t="shared" si="18"/>
        <v>nt</v>
      </c>
      <c r="L27" s="2064"/>
      <c r="M27" s="2220" t="str">
        <f t="shared" si="16"/>
        <v/>
      </c>
      <c r="O27" s="1948" t="e">
        <f t="shared" si="2"/>
        <v>#N/A</v>
      </c>
      <c r="P27" s="1948"/>
      <c r="Q27" s="2172" t="s">
        <v>107</v>
      </c>
      <c r="R27" s="1277" t="s">
        <v>4500</v>
      </c>
      <c r="S27" s="1277" t="s">
        <v>4500</v>
      </c>
      <c r="T27" s="1282" t="s">
        <v>4818</v>
      </c>
      <c r="U27" s="1487">
        <v>43525</v>
      </c>
    </row>
    <row r="28" spans="1:26" s="1282" customFormat="1" ht="35.1" customHeight="1">
      <c r="E28" s="2172"/>
      <c r="G28" s="2163" t="str">
        <f>'NT-VT'!A32</f>
        <v>stk76</v>
      </c>
      <c r="H28" s="2164" t="str">
        <f t="shared" si="6"/>
        <v>nt</v>
      </c>
      <c r="I28" s="2164" t="str">
        <f t="shared" si="7"/>
        <v>nt</v>
      </c>
      <c r="J28" s="2173" t="str">
        <f t="shared" si="17"/>
        <v>nt</v>
      </c>
      <c r="K28" s="2174" t="str">
        <f t="shared" si="18"/>
        <v>nt</v>
      </c>
      <c r="L28" s="2064"/>
      <c r="M28" s="2220" t="str">
        <f t="shared" si="16"/>
        <v/>
      </c>
      <c r="O28" s="1948" t="e">
        <f t="shared" si="2"/>
        <v>#N/A</v>
      </c>
      <c r="P28" s="1948"/>
      <c r="Q28" s="2172" t="s">
        <v>1655</v>
      </c>
      <c r="R28" s="2164" t="s">
        <v>4215</v>
      </c>
      <c r="S28" s="2175" t="s">
        <v>4216</v>
      </c>
      <c r="T28" s="1282" t="s">
        <v>1016</v>
      </c>
      <c r="U28" s="1487" t="s">
        <v>1016</v>
      </c>
      <c r="X28" s="1282" t="s">
        <v>4830</v>
      </c>
    </row>
    <row r="29" spans="1:26" s="1282" customFormat="1" ht="35.1" customHeight="1">
      <c r="E29" s="2172"/>
      <c r="G29" s="2163" t="str">
        <f>'NT-VT'!A33</f>
        <v>ttf</v>
      </c>
      <c r="H29" s="2164" t="str">
        <f t="shared" si="6"/>
        <v>nt</v>
      </c>
      <c r="I29" s="2164" t="str">
        <f t="shared" si="7"/>
        <v>nt</v>
      </c>
      <c r="J29" s="2173" t="str">
        <f t="shared" si="17"/>
        <v>nt</v>
      </c>
      <c r="K29" s="2174" t="str">
        <f t="shared" si="18"/>
        <v>nt</v>
      </c>
      <c r="L29" s="2064"/>
      <c r="M29" s="2220" t="str">
        <f t="shared" si="16"/>
        <v/>
      </c>
      <c r="O29" s="1948" t="e">
        <f t="shared" si="2"/>
        <v>#N/A</v>
      </c>
      <c r="P29" s="1948"/>
      <c r="Q29" s="2172" t="s">
        <v>1376</v>
      </c>
      <c r="R29" s="2164" t="s">
        <v>4651</v>
      </c>
      <c r="S29" s="2175" t="s">
        <v>4216</v>
      </c>
      <c r="T29" s="1282" t="s">
        <v>1016</v>
      </c>
      <c r="U29" s="1487" t="s">
        <v>1016</v>
      </c>
      <c r="X29" s="1282" t="s">
        <v>4831</v>
      </c>
    </row>
    <row r="30" spans="1:26" s="1282" customFormat="1" ht="35.1" customHeight="1">
      <c r="E30" s="2172"/>
      <c r="G30" s="2163" t="str">
        <f>'NT-VT'!A34</f>
        <v>Ttf01</v>
      </c>
      <c r="H30" s="2164" t="str">
        <f t="shared" si="6"/>
        <v>nt</v>
      </c>
      <c r="I30" s="2164" t="str">
        <f t="shared" si="7"/>
        <v>nt</v>
      </c>
      <c r="J30" s="2173" t="str">
        <f t="shared" si="17"/>
        <v>nt</v>
      </c>
      <c r="K30" s="2174" t="str">
        <f t="shared" si="18"/>
        <v>nt</v>
      </c>
      <c r="L30" s="2064"/>
      <c r="M30" s="2220" t="str">
        <f t="shared" si="16"/>
        <v/>
      </c>
      <c r="O30" s="1948" t="e">
        <f t="shared" si="2"/>
        <v>#N/A</v>
      </c>
      <c r="P30" s="1948"/>
      <c r="Q30" s="2172" t="s">
        <v>1422</v>
      </c>
      <c r="R30" s="2175" t="s">
        <v>4218</v>
      </c>
      <c r="S30" s="2175" t="s">
        <v>4219</v>
      </c>
      <c r="T30" s="1282" t="s">
        <v>1016</v>
      </c>
      <c r="U30" s="1487">
        <v>43525</v>
      </c>
      <c r="X30" s="1282" t="s">
        <v>4821</v>
      </c>
    </row>
    <row r="31" spans="1:26" s="1282" customFormat="1" ht="35.1" customHeight="1">
      <c r="E31" s="2172"/>
      <c r="G31" s="2163" t="str">
        <f>'NT-VT'!A35</f>
        <v>TUacb2000</v>
      </c>
      <c r="H31" s="2164" t="str">
        <f t="shared" si="6"/>
        <v>nt</v>
      </c>
      <c r="I31" s="2164" t="str">
        <f t="shared" si="7"/>
        <v>nt</v>
      </c>
      <c r="J31" s="2173" t="str">
        <f t="shared" si="17"/>
        <v>nt</v>
      </c>
      <c r="K31" s="2174" t="str">
        <f t="shared" si="18"/>
        <v>nt</v>
      </c>
      <c r="L31" s="2064"/>
      <c r="M31" s="2220" t="str">
        <f t="shared" si="16"/>
        <v/>
      </c>
      <c r="O31" s="1948" t="e">
        <f t="shared" si="2"/>
        <v>#N/A</v>
      </c>
      <c r="P31" s="1948"/>
      <c r="Q31" s="2172" t="s">
        <v>237</v>
      </c>
      <c r="R31" s="2175" t="s">
        <v>4223</v>
      </c>
      <c r="S31" s="2175" t="s">
        <v>4223</v>
      </c>
      <c r="T31" s="1282" t="s">
        <v>4833</v>
      </c>
      <c r="U31" s="1487">
        <v>43805</v>
      </c>
      <c r="X31" s="1282" t="s">
        <v>4819</v>
      </c>
    </row>
    <row r="32" spans="1:26" s="1282" customFormat="1" ht="35.1" customHeight="1">
      <c r="E32" s="2172"/>
      <c r="G32" s="2163" t="str">
        <f>'NT-VT'!A36</f>
        <v>b1050</v>
      </c>
      <c r="H32" s="2164" t="str">
        <f t="shared" si="6"/>
        <v>nt</v>
      </c>
      <c r="I32" s="2164" t="str">
        <f t="shared" si="7"/>
        <v>nt</v>
      </c>
      <c r="J32" s="2173" t="str">
        <f t="shared" si="17"/>
        <v>nt</v>
      </c>
      <c r="K32" s="2174" t="str">
        <f t="shared" si="18"/>
        <v>nt</v>
      </c>
      <c r="L32" s="2064"/>
      <c r="M32" s="2220" t="str">
        <f t="shared" si="16"/>
        <v/>
      </c>
      <c r="O32" s="1948" t="e">
        <f t="shared" si="2"/>
        <v>#N/A</v>
      </c>
      <c r="P32" s="1948"/>
      <c r="Q32" s="2172" t="s">
        <v>1462</v>
      </c>
      <c r="R32" s="2175" t="s">
        <v>4218</v>
      </c>
      <c r="S32" s="2175" t="s">
        <v>4219</v>
      </c>
      <c r="T32" s="1282" t="s">
        <v>1016</v>
      </c>
      <c r="U32" s="1487">
        <v>43525</v>
      </c>
      <c r="X32" s="1282" t="s">
        <v>4821</v>
      </c>
    </row>
    <row r="33" spans="5:24" s="1282" customFormat="1" ht="35.1" customHeight="1">
      <c r="E33" s="2172"/>
      <c r="G33" s="2163" t="str">
        <f>'NT-VT'!A37</f>
        <v>B16150</v>
      </c>
      <c r="H33" s="2164" t="str">
        <f t="shared" si="6"/>
        <v>nt</v>
      </c>
      <c r="I33" s="2164" t="str">
        <f t="shared" si="7"/>
        <v>nt</v>
      </c>
      <c r="J33" s="2173" t="str">
        <f t="shared" si="17"/>
        <v>nt</v>
      </c>
      <c r="K33" s="2174" t="str">
        <f t="shared" si="18"/>
        <v>nt</v>
      </c>
      <c r="L33" s="2064"/>
      <c r="M33" s="2220" t="str">
        <f t="shared" si="16"/>
        <v/>
      </c>
      <c r="O33" s="1948" t="e">
        <f t="shared" si="2"/>
        <v>#N/A</v>
      </c>
      <c r="P33" s="1948"/>
      <c r="Q33" s="2172" t="s">
        <v>4677</v>
      </c>
      <c r="R33" s="2170" t="s">
        <v>4500</v>
      </c>
      <c r="S33" s="2170" t="s">
        <v>4500</v>
      </c>
      <c r="U33" s="1487"/>
    </row>
    <row r="34" spans="5:24" s="1282" customFormat="1" ht="35.1" customHeight="1">
      <c r="E34" s="2172"/>
      <c r="G34" s="2163" t="str">
        <f>'NT-VT'!A38</f>
        <v>B16250</v>
      </c>
      <c r="H34" s="2164" t="str">
        <f t="shared" si="6"/>
        <v>nt</v>
      </c>
      <c r="I34" s="2164" t="str">
        <f t="shared" si="7"/>
        <v>nt</v>
      </c>
      <c r="J34" s="2173" t="str">
        <f t="shared" si="17"/>
        <v>nt</v>
      </c>
      <c r="K34" s="2174" t="str">
        <f t="shared" si="18"/>
        <v>nt</v>
      </c>
      <c r="L34" s="2064"/>
      <c r="M34" s="2220" t="str">
        <f t="shared" si="16"/>
        <v/>
      </c>
      <c r="O34" s="1948" t="e">
        <f t="shared" si="2"/>
        <v>#N/A</v>
      </c>
      <c r="P34" s="1948"/>
      <c r="Q34" s="2172" t="s">
        <v>874</v>
      </c>
      <c r="R34" s="2170" t="s">
        <v>4500</v>
      </c>
      <c r="S34" s="2170" t="s">
        <v>4500</v>
      </c>
      <c r="U34" s="1487"/>
    </row>
    <row r="35" spans="5:24" s="1282" customFormat="1" ht="35.1" customHeight="1">
      <c r="E35" s="2172"/>
      <c r="G35" s="2163" t="str">
        <f>'NT-VT'!A39</f>
        <v>B16300</v>
      </c>
      <c r="H35" s="2164" t="str">
        <f t="shared" si="6"/>
        <v>nt</v>
      </c>
      <c r="I35" s="2164" t="str">
        <f t="shared" si="7"/>
        <v>nt</v>
      </c>
      <c r="J35" s="2173" t="str">
        <f t="shared" si="17"/>
        <v>nt</v>
      </c>
      <c r="K35" s="2174" t="str">
        <f t="shared" si="18"/>
        <v>nt</v>
      </c>
      <c r="L35" s="2064"/>
      <c r="M35" s="2220" t="str">
        <f t="shared" si="16"/>
        <v/>
      </c>
      <c r="O35" s="1948" t="e">
        <f t="shared" si="2"/>
        <v>#N/A</v>
      </c>
      <c r="P35" s="1948"/>
      <c r="Q35" s="2172" t="s">
        <v>1430</v>
      </c>
      <c r="R35" s="2175" t="s">
        <v>4218</v>
      </c>
      <c r="S35" s="2175" t="s">
        <v>4219</v>
      </c>
      <c r="U35" s="1487"/>
    </row>
    <row r="36" spans="5:24" s="1282" customFormat="1" ht="35.1" customHeight="1">
      <c r="E36" s="2172"/>
      <c r="G36" s="2163" t="str">
        <f>'NT-VT'!A40</f>
        <v>B16300v</v>
      </c>
      <c r="H36" s="2164" t="str">
        <f t="shared" si="6"/>
        <v>nt</v>
      </c>
      <c r="I36" s="2164" t="str">
        <f t="shared" si="7"/>
        <v>nt</v>
      </c>
      <c r="J36" s="2173" t="str">
        <f t="shared" si="17"/>
        <v>nt</v>
      </c>
      <c r="K36" s="2174" t="str">
        <f t="shared" si="18"/>
        <v>nt</v>
      </c>
      <c r="L36" s="2064"/>
      <c r="M36" s="2220" t="str">
        <f t="shared" si="16"/>
        <v/>
      </c>
      <c r="O36" s="1948" t="e">
        <f t="shared" si="2"/>
        <v>#N/A</v>
      </c>
      <c r="P36" s="1948"/>
      <c r="Q36" s="2172" t="s">
        <v>1151</v>
      </c>
      <c r="R36" s="2175" t="s">
        <v>4223</v>
      </c>
      <c r="S36" s="2175" t="s">
        <v>4223</v>
      </c>
      <c r="U36" s="1487"/>
    </row>
    <row r="37" spans="5:24" s="1282" customFormat="1" ht="35.1" customHeight="1">
      <c r="E37" s="2172"/>
      <c r="G37" s="2163" t="str">
        <f>'NT-VT'!A41</f>
        <v>B1635</v>
      </c>
      <c r="H37" s="2164" t="str">
        <f t="shared" si="6"/>
        <v>nt</v>
      </c>
      <c r="I37" s="2164" t="str">
        <f t="shared" si="7"/>
        <v>nt</v>
      </c>
      <c r="J37" s="2173" t="str">
        <f t="shared" si="17"/>
        <v>nt</v>
      </c>
      <c r="K37" s="2174" t="str">
        <f t="shared" si="18"/>
        <v>nt</v>
      </c>
      <c r="L37" s="2064"/>
      <c r="M37" s="2220" t="str">
        <f t="shared" si="16"/>
        <v/>
      </c>
      <c r="O37" s="1948" t="e">
        <f t="shared" si="2"/>
        <v>#N/A</v>
      </c>
      <c r="P37" s="1948"/>
      <c r="Q37" s="2172" t="s">
        <v>4694</v>
      </c>
      <c r="R37" s="2175" t="s">
        <v>4223</v>
      </c>
      <c r="S37" s="2175" t="s">
        <v>4223</v>
      </c>
      <c r="U37" s="1487"/>
    </row>
    <row r="38" spans="5:24" s="1282" customFormat="1" ht="35.1" customHeight="1">
      <c r="E38" s="2172"/>
      <c r="G38" s="2163" t="str">
        <f>'NT-VT'!A42</f>
        <v>B16350</v>
      </c>
      <c r="H38" s="2164" t="str">
        <f t="shared" si="6"/>
        <v>nt</v>
      </c>
      <c r="I38" s="2164" t="str">
        <f t="shared" si="7"/>
        <v>nt</v>
      </c>
      <c r="J38" s="2173" t="str">
        <f t="shared" si="17"/>
        <v>nt</v>
      </c>
      <c r="K38" s="2174" t="str">
        <f t="shared" si="18"/>
        <v>nt</v>
      </c>
      <c r="L38" s="2064"/>
      <c r="M38" s="2220" t="str">
        <f t="shared" si="16"/>
        <v/>
      </c>
      <c r="O38" s="1948" t="e">
        <f t="shared" si="2"/>
        <v>#N/A</v>
      </c>
      <c r="P38" s="1948"/>
      <c r="Q38" s="2172" t="s">
        <v>5144</v>
      </c>
      <c r="R38" s="2175" t="s">
        <v>4223</v>
      </c>
      <c r="S38" s="2175" t="s">
        <v>4223</v>
      </c>
      <c r="U38" s="1487"/>
      <c r="X38" s="1282" t="s">
        <v>4820</v>
      </c>
    </row>
    <row r="39" spans="5:24" s="1282" customFormat="1" ht="35.1" customHeight="1">
      <c r="E39" s="2172"/>
      <c r="G39" s="2163" t="str">
        <f>'NT-VT'!A43</f>
        <v>B1650</v>
      </c>
      <c r="H39" s="2164" t="str">
        <f t="shared" si="6"/>
        <v>nt</v>
      </c>
      <c r="I39" s="2164" t="str">
        <f t="shared" si="7"/>
        <v>nt</v>
      </c>
      <c r="J39" s="2173" t="str">
        <f t="shared" si="17"/>
        <v>nt</v>
      </c>
      <c r="K39" s="2174" t="str">
        <f t="shared" si="18"/>
        <v>nt</v>
      </c>
      <c r="L39" s="2064"/>
      <c r="M39" s="2220" t="str">
        <f t="shared" si="16"/>
        <v/>
      </c>
      <c r="O39" s="1948" t="e">
        <f t="shared" si="2"/>
        <v>#N/A</v>
      </c>
      <c r="P39" s="1948"/>
      <c r="Q39" s="2172" t="s">
        <v>6348</v>
      </c>
      <c r="R39" s="1277" t="s">
        <v>6484</v>
      </c>
      <c r="S39" s="1277" t="s">
        <v>6484</v>
      </c>
      <c r="U39" s="1487"/>
      <c r="X39" s="1282" t="s">
        <v>6485</v>
      </c>
    </row>
    <row r="40" spans="5:24" s="1282" customFormat="1" ht="35.1" customHeight="1">
      <c r="E40" s="2172"/>
      <c r="G40" s="2163" t="str">
        <f>'NT-VT'!A44</f>
        <v>B16650v</v>
      </c>
      <c r="H40" s="2164" t="str">
        <f t="shared" si="6"/>
        <v>nt</v>
      </c>
      <c r="I40" s="2164" t="str">
        <f t="shared" si="7"/>
        <v>nt</v>
      </c>
      <c r="J40" s="2173" t="str">
        <f t="shared" si="17"/>
        <v>nt</v>
      </c>
      <c r="K40" s="2174" t="str">
        <f t="shared" si="18"/>
        <v>nt</v>
      </c>
      <c r="L40" s="2064"/>
      <c r="M40" s="2220" t="str">
        <f t="shared" si="16"/>
        <v/>
      </c>
      <c r="O40" s="1948" t="e">
        <f t="shared" si="2"/>
        <v>#N/A</v>
      </c>
      <c r="P40" s="1948"/>
      <c r="Q40" s="2172"/>
      <c r="R40" s="1277"/>
      <c r="S40" s="1277"/>
      <c r="U40" s="1487"/>
    </row>
    <row r="41" spans="5:24" s="1282" customFormat="1" ht="35.1" customHeight="1">
      <c r="E41" s="2172"/>
      <c r="G41" s="2163" t="str">
        <f>'NT-VT'!A45</f>
        <v>B16750v</v>
      </c>
      <c r="H41" s="2164" t="str">
        <f t="shared" si="6"/>
        <v>nt</v>
      </c>
      <c r="I41" s="2164" t="str">
        <f t="shared" si="7"/>
        <v>nt</v>
      </c>
      <c r="J41" s="2173" t="str">
        <f t="shared" si="17"/>
        <v>nt</v>
      </c>
      <c r="K41" s="2174" t="str">
        <f t="shared" si="18"/>
        <v>nt</v>
      </c>
      <c r="L41" s="2064"/>
      <c r="M41" s="2220" t="str">
        <f t="shared" si="16"/>
        <v/>
      </c>
      <c r="O41" s="1948" t="e">
        <f t="shared" si="2"/>
        <v>#N/A</v>
      </c>
      <c r="P41" s="1948"/>
      <c r="Q41" s="2172"/>
      <c r="R41" s="1277"/>
      <c r="S41" s="1277"/>
      <c r="U41" s="1487"/>
    </row>
    <row r="42" spans="5:24" s="1282" customFormat="1" ht="35.1" customHeight="1">
      <c r="E42" s="2172"/>
      <c r="G42" s="2163" t="str">
        <f>'NT-VT'!A46</f>
        <v>BAKE</v>
      </c>
      <c r="H42" s="2164" t="str">
        <f t="shared" si="6"/>
        <v>nt</v>
      </c>
      <c r="I42" s="2164" t="str">
        <f t="shared" si="7"/>
        <v>nt</v>
      </c>
      <c r="J42" s="2173" t="str">
        <f t="shared" si="17"/>
        <v>nt</v>
      </c>
      <c r="K42" s="2174" t="str">
        <f t="shared" si="18"/>
        <v>nt</v>
      </c>
      <c r="L42" s="2064"/>
      <c r="M42" s="2220" t="str">
        <f t="shared" si="16"/>
        <v/>
      </c>
      <c r="O42" s="1948" t="e">
        <f t="shared" si="2"/>
        <v>#N/A</v>
      </c>
      <c r="P42" s="1948"/>
      <c r="Q42" s="2172"/>
      <c r="R42" s="1277"/>
      <c r="S42" s="1277"/>
      <c r="U42" s="1487"/>
    </row>
    <row r="43" spans="5:24" s="1282" customFormat="1" ht="35.1" customHeight="1">
      <c r="E43" s="2172"/>
      <c r="G43" s="2163" t="str">
        <f>'NT-VT'!A47</f>
        <v>BANG</v>
      </c>
      <c r="H43" s="2164" t="str">
        <f t="shared" si="6"/>
        <v>nt</v>
      </c>
      <c r="I43" s="2164" t="str">
        <f t="shared" si="7"/>
        <v>nt</v>
      </c>
      <c r="J43" s="2173" t="str">
        <f t="shared" si="17"/>
        <v>nt</v>
      </c>
      <c r="K43" s="2174" t="str">
        <f t="shared" si="18"/>
        <v>nt</v>
      </c>
      <c r="L43" s="2064"/>
      <c r="M43" s="2220" t="str">
        <f t="shared" si="16"/>
        <v/>
      </c>
      <c r="O43" s="1948" t="e">
        <f t="shared" si="2"/>
        <v>#N/A</v>
      </c>
      <c r="P43" s="1948"/>
      <c r="Q43" s="2172"/>
      <c r="R43" s="1277"/>
      <c r="S43" s="1277"/>
      <c r="U43" s="1487"/>
    </row>
    <row r="44" spans="5:24" s="1282" customFormat="1" ht="35.1" customHeight="1">
      <c r="E44" s="2172"/>
      <c r="G44" s="2163" t="str">
        <f>'NT-VT'!A48</f>
        <v>BANGKEO</v>
      </c>
      <c r="H44" s="2164" t="str">
        <f t="shared" si="6"/>
        <v>nt</v>
      </c>
      <c r="I44" s="2164" t="str">
        <f t="shared" si="7"/>
        <v>nt</v>
      </c>
      <c r="J44" s="2173" t="str">
        <f t="shared" si="17"/>
        <v>nt</v>
      </c>
      <c r="K44" s="2174" t="str">
        <f t="shared" si="18"/>
        <v>nt</v>
      </c>
      <c r="L44" s="2064"/>
      <c r="M44" s="2220" t="str">
        <f t="shared" si="16"/>
        <v/>
      </c>
      <c r="O44" s="1948" t="e">
        <f t="shared" si="2"/>
        <v>#N/A</v>
      </c>
      <c r="P44" s="1948"/>
      <c r="Q44" s="2172"/>
      <c r="R44" s="1277"/>
      <c r="S44" s="1277"/>
      <c r="U44" s="1487"/>
    </row>
    <row r="45" spans="5:24" s="1282" customFormat="1" ht="35.1" customHeight="1">
      <c r="E45" s="2172"/>
      <c r="G45" s="2163" t="str">
        <f>'NT-VT'!A49</f>
        <v>bangkeot</v>
      </c>
      <c r="H45" s="2164" t="str">
        <f t="shared" si="6"/>
        <v>nt</v>
      </c>
      <c r="I45" s="2164" t="str">
        <f t="shared" si="7"/>
        <v>nt</v>
      </c>
      <c r="J45" s="2173" t="str">
        <f t="shared" si="17"/>
        <v>nt</v>
      </c>
      <c r="K45" s="2174" t="str">
        <f t="shared" si="18"/>
        <v>nt</v>
      </c>
      <c r="L45" s="2064"/>
      <c r="M45" s="2220" t="str">
        <f t="shared" si="16"/>
        <v/>
      </c>
      <c r="O45" s="1948" t="e">
        <f t="shared" si="2"/>
        <v>#N/A</v>
      </c>
      <c r="P45" s="1948"/>
      <c r="Q45" s="2172"/>
      <c r="R45" s="1277"/>
      <c r="S45" s="1277"/>
      <c r="U45" s="1487"/>
    </row>
    <row r="46" spans="5:24" s="1282" customFormat="1" ht="35.1" customHeight="1">
      <c r="E46" s="2172"/>
      <c r="G46" s="2163" t="str">
        <f>'NT-VT'!A50</f>
        <v>batlA</v>
      </c>
      <c r="H46" s="2164" t="str">
        <f t="shared" si="6"/>
        <v>nt</v>
      </c>
      <c r="I46" s="2164" t="str">
        <f t="shared" si="7"/>
        <v>nt</v>
      </c>
      <c r="J46" s="2173" t="str">
        <f t="shared" si="17"/>
        <v>nt</v>
      </c>
      <c r="K46" s="2174" t="str">
        <f t="shared" si="18"/>
        <v>nt</v>
      </c>
      <c r="L46" s="2064"/>
      <c r="M46" s="2220" t="str">
        <f t="shared" si="16"/>
        <v/>
      </c>
      <c r="O46" s="1948" t="e">
        <f t="shared" si="2"/>
        <v>#N/A</v>
      </c>
      <c r="P46" s="1948"/>
      <c r="Q46" s="2172"/>
      <c r="R46" s="1277"/>
      <c r="S46" s="1277"/>
      <c r="U46" s="1487"/>
    </row>
    <row r="47" spans="5:24" s="1282" customFormat="1" ht="35.1" customHeight="1">
      <c r="E47" s="2172"/>
      <c r="G47" s="2163" t="str">
        <f>'NT-VT'!A51</f>
        <v>batli</v>
      </c>
      <c r="H47" s="2164" t="str">
        <f t="shared" si="6"/>
        <v>nt</v>
      </c>
      <c r="I47" s="2164" t="str">
        <f t="shared" si="7"/>
        <v>nt</v>
      </c>
      <c r="J47" s="2173" t="str">
        <f t="shared" si="17"/>
        <v>nt</v>
      </c>
      <c r="K47" s="2174" t="str">
        <f t="shared" si="18"/>
        <v>nt</v>
      </c>
      <c r="L47" s="2064"/>
      <c r="M47" s="2220" t="str">
        <f t="shared" si="16"/>
        <v/>
      </c>
      <c r="O47" s="1948" t="e">
        <f t="shared" si="2"/>
        <v>#N/A</v>
      </c>
      <c r="P47" s="1948"/>
      <c r="Q47" s="2172"/>
      <c r="R47" s="1277"/>
      <c r="S47" s="1277"/>
      <c r="U47" s="1487"/>
    </row>
    <row r="48" spans="5:24" ht="35.1" customHeight="1">
      <c r="G48" s="2163" t="str">
        <f>'NT-VT'!A52</f>
        <v>batLL</v>
      </c>
      <c r="H48" s="2164" t="str">
        <f t="shared" si="6"/>
        <v>nt</v>
      </c>
      <c r="I48" s="2164" t="str">
        <f t="shared" si="7"/>
        <v>nt</v>
      </c>
      <c r="J48" s="2173" t="str">
        <f t="shared" si="17"/>
        <v>nt</v>
      </c>
      <c r="K48" s="2174" t="str">
        <f t="shared" si="18"/>
        <v>nt</v>
      </c>
      <c r="L48" s="2064"/>
      <c r="M48" s="2220" t="str">
        <f t="shared" si="16"/>
        <v/>
      </c>
      <c r="O48" s="1948" t="e">
        <f t="shared" si="2"/>
        <v>#N/A</v>
      </c>
    </row>
    <row r="49" spans="5:21" ht="35.1" customHeight="1">
      <c r="G49" s="2163" t="str">
        <f>'NT-VT'!A53</f>
        <v>BM16250</v>
      </c>
      <c r="H49" s="2164" t="str">
        <f t="shared" si="6"/>
        <v>nt</v>
      </c>
      <c r="I49" s="2164" t="str">
        <f t="shared" si="7"/>
        <v>nt</v>
      </c>
      <c r="J49" s="2173" t="str">
        <f t="shared" si="17"/>
        <v>nt</v>
      </c>
      <c r="K49" s="2174" t="str">
        <f t="shared" si="18"/>
        <v>nt</v>
      </c>
      <c r="L49" s="2064"/>
      <c r="M49" s="2220" t="str">
        <f t="shared" si="16"/>
        <v/>
      </c>
      <c r="O49" s="1948" t="e">
        <f t="shared" si="2"/>
        <v>#N/A</v>
      </c>
    </row>
    <row r="50" spans="5:21" s="1282" customFormat="1" ht="35.1" customHeight="1">
      <c r="E50" s="2172"/>
      <c r="G50" s="2163" t="str">
        <f>'NT-VT'!A54</f>
        <v>BM16300</v>
      </c>
      <c r="H50" s="2164" t="str">
        <f t="shared" si="6"/>
        <v>nt</v>
      </c>
      <c r="I50" s="2164" t="str">
        <f t="shared" si="7"/>
        <v>nt</v>
      </c>
      <c r="J50" s="2173" t="str">
        <f t="shared" si="17"/>
        <v>nt</v>
      </c>
      <c r="K50" s="2174" t="str">
        <f t="shared" si="18"/>
        <v>nt</v>
      </c>
      <c r="L50" s="2064"/>
      <c r="M50" s="2220" t="str">
        <f t="shared" si="16"/>
        <v/>
      </c>
      <c r="O50" s="1948" t="e">
        <f t="shared" si="2"/>
        <v>#N/A</v>
      </c>
      <c r="P50" s="1948"/>
      <c r="Q50" s="2172"/>
      <c r="R50" s="1277"/>
      <c r="S50" s="1277"/>
      <c r="U50" s="1487"/>
    </row>
    <row r="51" spans="5:21" s="1282" customFormat="1" ht="35.1" customHeight="1">
      <c r="E51" s="2172"/>
      <c r="G51" s="2163" t="str">
        <f>'NT-VT'!A55</f>
        <v>CCĐfco</v>
      </c>
      <c r="H51" s="2164" t="str">
        <f t="shared" si="6"/>
        <v>nt</v>
      </c>
      <c r="I51" s="2164" t="str">
        <f t="shared" si="7"/>
        <v>nt</v>
      </c>
      <c r="J51" s="2173" t="str">
        <f t="shared" si="17"/>
        <v>nt</v>
      </c>
      <c r="K51" s="2174" t="str">
        <f t="shared" si="18"/>
        <v>nt</v>
      </c>
      <c r="L51" s="2064"/>
      <c r="M51" s="2220" t="str">
        <f t="shared" si="16"/>
        <v/>
      </c>
      <c r="O51" s="1948" t="e">
        <f t="shared" si="2"/>
        <v>#N/A</v>
      </c>
      <c r="P51" s="1948"/>
      <c r="Q51" s="2172"/>
      <c r="R51" s="1277"/>
      <c r="S51" s="1277"/>
      <c r="U51" s="1487"/>
    </row>
    <row r="52" spans="5:21" s="1282" customFormat="1" ht="35.1" customHeight="1">
      <c r="E52" s="2172"/>
      <c r="G52" s="2163" t="str">
        <f>'NT-VT'!A56</f>
        <v>CCĐla</v>
      </c>
      <c r="H52" s="2164" t="str">
        <f t="shared" si="6"/>
        <v>nt</v>
      </c>
      <c r="I52" s="2164" t="str">
        <f t="shared" si="7"/>
        <v>nt</v>
      </c>
      <c r="J52" s="2173" t="str">
        <f t="shared" si="17"/>
        <v>nt</v>
      </c>
      <c r="K52" s="2174" t="str">
        <f t="shared" si="18"/>
        <v>nt</v>
      </c>
      <c r="L52" s="2167"/>
      <c r="M52" s="2220" t="str">
        <f t="shared" si="16"/>
        <v/>
      </c>
      <c r="O52" s="1948" t="e">
        <f t="shared" si="2"/>
        <v>#N/A</v>
      </c>
      <c r="P52" s="1948"/>
      <c r="Q52" s="2172"/>
      <c r="R52" s="1277"/>
      <c r="S52" s="1277"/>
      <c r="U52" s="1487"/>
    </row>
    <row r="53" spans="5:21" s="1282" customFormat="1" ht="35.1" customHeight="1">
      <c r="E53" s="2172"/>
      <c r="G53" s="2163" t="str">
        <f>'NT-VT'!A57</f>
        <v>CD320</v>
      </c>
      <c r="H53" s="2164" t="str">
        <f t="shared" si="6"/>
        <v>nt</v>
      </c>
      <c r="I53" s="2164" t="str">
        <f t="shared" si="7"/>
        <v>nt</v>
      </c>
      <c r="J53" s="2173" t="str">
        <f t="shared" ref="J53:J89" si="19">IFERROR(VLOOKUP(G53,$Q:$U,4,0),"nt")</f>
        <v>nt</v>
      </c>
      <c r="K53" s="2174" t="str">
        <f t="shared" ref="K53:K89" si="20">IFERROR(VLOOKUP(G53,$Q:$U,5,0),"nt")</f>
        <v>nt</v>
      </c>
      <c r="L53" s="2064"/>
      <c r="M53" s="2220" t="str">
        <f t="shared" si="16"/>
        <v/>
      </c>
      <c r="O53" s="1948" t="e">
        <f t="shared" si="2"/>
        <v>#N/A</v>
      </c>
      <c r="P53" s="1948"/>
      <c r="Q53" s="2172"/>
      <c r="R53" s="1277"/>
      <c r="S53" s="1277"/>
      <c r="U53" s="1487"/>
    </row>
    <row r="54" spans="5:21" s="1282" customFormat="1" ht="35.1" customHeight="1">
      <c r="E54" s="2172"/>
      <c r="G54" s="2163" t="str">
        <f>'NT-VT'!A58</f>
        <v>CD42t</v>
      </c>
      <c r="H54" s="2164" t="str">
        <f t="shared" si="6"/>
        <v>nt</v>
      </c>
      <c r="I54" s="2164" t="str">
        <f t="shared" si="7"/>
        <v>nt</v>
      </c>
      <c r="J54" s="2173" t="str">
        <f t="shared" si="19"/>
        <v>nt</v>
      </c>
      <c r="K54" s="2174" t="str">
        <f t="shared" si="20"/>
        <v>nt</v>
      </c>
      <c r="L54" s="2064"/>
      <c r="M54" s="2220" t="str">
        <f t="shared" si="16"/>
        <v/>
      </c>
      <c r="O54" s="1948" t="e">
        <f t="shared" si="2"/>
        <v>#N/A</v>
      </c>
      <c r="P54" s="1948"/>
      <c r="Q54" s="2172"/>
      <c r="R54" s="1277"/>
      <c r="S54" s="1277"/>
      <c r="U54" s="1487"/>
    </row>
    <row r="55" spans="5:21" s="1282" customFormat="1" ht="35.1" customHeight="1">
      <c r="E55" s="2172"/>
      <c r="G55" s="2163" t="str">
        <f>'NT-VT'!A59</f>
        <v>CHCOS240</v>
      </c>
      <c r="H55" s="2164" t="str">
        <f t="shared" si="6"/>
        <v>nt</v>
      </c>
      <c r="I55" s="2164" t="str">
        <f t="shared" si="7"/>
        <v>nt</v>
      </c>
      <c r="J55" s="2173" t="str">
        <f t="shared" si="19"/>
        <v>nt</v>
      </c>
      <c r="K55" s="2174" t="str">
        <f t="shared" si="20"/>
        <v>nt</v>
      </c>
      <c r="L55" s="2064"/>
      <c r="M55" s="2220" t="str">
        <f t="shared" si="16"/>
        <v/>
      </c>
      <c r="O55" s="1948" t="e">
        <f t="shared" si="2"/>
        <v>#N/A</v>
      </c>
      <c r="P55" s="1948"/>
      <c r="Q55" s="2172"/>
      <c r="R55" s="1277"/>
      <c r="S55" s="1277"/>
      <c r="U55" s="1487"/>
    </row>
    <row r="56" spans="5:21" s="1282" customFormat="1" ht="35.1" customHeight="1">
      <c r="E56" s="2172"/>
      <c r="G56" s="2163" t="str">
        <f>'NT-VT'!A60</f>
        <v>chi40k</v>
      </c>
      <c r="H56" s="2164" t="str">
        <f t="shared" si="6"/>
        <v>nt</v>
      </c>
      <c r="I56" s="2164" t="str">
        <f t="shared" si="7"/>
        <v>nt</v>
      </c>
      <c r="J56" s="2173" t="str">
        <f t="shared" si="19"/>
        <v>nt</v>
      </c>
      <c r="K56" s="2174" t="str">
        <f t="shared" si="20"/>
        <v>nt</v>
      </c>
      <c r="L56" s="2064"/>
      <c r="M56" s="2220" t="str">
        <f t="shared" si="16"/>
        <v/>
      </c>
      <c r="O56" s="1948" t="e">
        <f t="shared" si="2"/>
        <v>#N/A</v>
      </c>
      <c r="P56" s="1948"/>
      <c r="Q56" s="2172"/>
      <c r="R56" s="1277"/>
      <c r="S56" s="1277"/>
      <c r="U56" s="1487"/>
    </row>
    <row r="57" spans="5:21" s="1282" customFormat="1" ht="35.1" customHeight="1">
      <c r="E57" s="2172"/>
      <c r="G57" s="2163" t="str">
        <f>'NT-VT'!A61</f>
        <v>chi50k</v>
      </c>
      <c r="H57" s="2164" t="str">
        <f t="shared" si="6"/>
        <v>nt</v>
      </c>
      <c r="I57" s="2164" t="str">
        <f t="shared" si="7"/>
        <v>nt</v>
      </c>
      <c r="J57" s="2173" t="str">
        <f t="shared" si="19"/>
        <v>nt</v>
      </c>
      <c r="K57" s="2174" t="str">
        <f t="shared" si="20"/>
        <v>nt</v>
      </c>
      <c r="L57" s="2064"/>
      <c r="M57" s="2220" t="str">
        <f t="shared" si="16"/>
        <v/>
      </c>
      <c r="O57" s="1948" t="e">
        <f t="shared" si="2"/>
        <v>#N/A</v>
      </c>
      <c r="P57" s="1948"/>
      <c r="Q57" s="2172"/>
      <c r="R57" s="1277"/>
      <c r="S57" s="1277"/>
      <c r="U57" s="1487"/>
    </row>
    <row r="58" spans="5:21" s="1282" customFormat="1" ht="35.1" customHeight="1">
      <c r="E58" s="2172"/>
      <c r="G58" s="2163" t="str">
        <f>'NT-VT'!A62</f>
        <v>COM110x800x5-2,4</v>
      </c>
      <c r="H58" s="2164" t="str">
        <f t="shared" si="6"/>
        <v>nt</v>
      </c>
      <c r="I58" s="2164" t="str">
        <f t="shared" si="7"/>
        <v>nt</v>
      </c>
      <c r="J58" s="2173" t="str">
        <f t="shared" si="19"/>
        <v>nt</v>
      </c>
      <c r="K58" s="2174" t="str">
        <f t="shared" si="20"/>
        <v>nt</v>
      </c>
      <c r="L58" s="2064"/>
      <c r="M58" s="2220" t="str">
        <f t="shared" si="16"/>
        <v/>
      </c>
      <c r="O58" s="1948" t="e">
        <f t="shared" si="2"/>
        <v>#N/A</v>
      </c>
      <c r="P58" s="1948"/>
      <c r="Q58" s="2172"/>
      <c r="R58" s="1277"/>
      <c r="S58" s="1277"/>
      <c r="U58" s="1487"/>
    </row>
    <row r="59" spans="5:21" s="1282" customFormat="1" ht="35.1" customHeight="1">
      <c r="E59" s="2172"/>
      <c r="G59" s="2163" t="str">
        <f>'NT-VT'!A63</f>
        <v>com40x10x920</v>
      </c>
      <c r="H59" s="2164" t="str">
        <f t="shared" si="6"/>
        <v>nt</v>
      </c>
      <c r="I59" s="2164" t="str">
        <f t="shared" si="7"/>
        <v>nt</v>
      </c>
      <c r="J59" s="2173" t="str">
        <f t="shared" si="19"/>
        <v>nt</v>
      </c>
      <c r="K59" s="2174" t="str">
        <f t="shared" si="20"/>
        <v>nt</v>
      </c>
      <c r="L59" s="2064"/>
      <c r="M59" s="2220" t="str">
        <f t="shared" si="16"/>
        <v/>
      </c>
      <c r="O59" s="1948" t="e">
        <f t="shared" si="2"/>
        <v>#N/A</v>
      </c>
      <c r="P59" s="1948"/>
      <c r="Q59" s="2172"/>
      <c r="R59" s="1277"/>
      <c r="S59" s="1277"/>
      <c r="U59" s="1487"/>
    </row>
    <row r="60" spans="5:21" s="1282" customFormat="1" ht="35.1" customHeight="1">
      <c r="E60" s="2172"/>
      <c r="G60" s="2163" t="str">
        <f>'NT-VT'!A64</f>
        <v>COS240</v>
      </c>
      <c r="H60" s="2164" t="str">
        <f t="shared" si="6"/>
        <v>nt</v>
      </c>
      <c r="I60" s="2164" t="str">
        <f t="shared" si="7"/>
        <v>nt</v>
      </c>
      <c r="J60" s="2173" t="str">
        <f t="shared" si="19"/>
        <v>nt</v>
      </c>
      <c r="K60" s="2174" t="str">
        <f t="shared" si="20"/>
        <v>nt</v>
      </c>
      <c r="L60" s="2064"/>
      <c r="M60" s="2220" t="str">
        <f t="shared" si="16"/>
        <v/>
      </c>
      <c r="O60" s="1948" t="e">
        <f t="shared" si="2"/>
        <v>#N/A</v>
      </c>
      <c r="P60" s="1948"/>
      <c r="Q60" s="2172"/>
      <c r="R60" s="1277"/>
      <c r="S60" s="1277"/>
      <c r="U60" s="1487"/>
    </row>
    <row r="61" spans="5:21" s="1282" customFormat="1" ht="35.1" customHeight="1">
      <c r="E61" s="2172"/>
      <c r="G61" s="2163" t="str">
        <f>'NT-VT'!A65</f>
        <v>cose50</v>
      </c>
      <c r="H61" s="2164" t="str">
        <f t="shared" si="6"/>
        <v>nt</v>
      </c>
      <c r="I61" s="2164" t="str">
        <f t="shared" si="7"/>
        <v>nt</v>
      </c>
      <c r="J61" s="2173" t="str">
        <f t="shared" si="19"/>
        <v>nt</v>
      </c>
      <c r="K61" s="2174" t="str">
        <f t="shared" si="20"/>
        <v>nt</v>
      </c>
      <c r="L61" s="2064"/>
      <c r="M61" s="2220" t="str">
        <f t="shared" si="16"/>
        <v/>
      </c>
      <c r="O61" s="1948" t="e">
        <f t="shared" si="2"/>
        <v>#N/A</v>
      </c>
      <c r="P61" s="1948"/>
      <c r="Q61" s="2172"/>
      <c r="R61" s="1277"/>
      <c r="S61" s="1277"/>
      <c r="U61" s="1487"/>
    </row>
    <row r="62" spans="5:21" s="1282" customFormat="1" ht="35.1" customHeight="1">
      <c r="E62" s="2172"/>
      <c r="G62" s="2163" t="str">
        <f>'NT-VT'!A66</f>
        <v>CSD</v>
      </c>
      <c r="H62" s="2164" t="str">
        <f t="shared" si="6"/>
        <v>nt</v>
      </c>
      <c r="I62" s="2164" t="str">
        <f t="shared" si="7"/>
        <v>nt</v>
      </c>
      <c r="J62" s="2173" t="str">
        <f t="shared" si="19"/>
        <v>nt</v>
      </c>
      <c r="K62" s="2174" t="str">
        <f t="shared" si="20"/>
        <v>nt</v>
      </c>
      <c r="L62" s="2064"/>
      <c r="M62" s="2220" t="str">
        <f t="shared" si="16"/>
        <v/>
      </c>
      <c r="O62" s="1948" t="e">
        <f t="shared" si="2"/>
        <v>#N/A</v>
      </c>
      <c r="P62" s="1948"/>
      <c r="Q62" s="2172"/>
      <c r="R62" s="1277"/>
      <c r="S62" s="1277"/>
      <c r="U62" s="1487"/>
    </row>
    <row r="63" spans="5:21" s="1282" customFormat="1" ht="35.1" customHeight="1">
      <c r="E63" s="2172"/>
      <c r="G63" s="2163" t="str">
        <f>'NT-VT'!A67</f>
        <v>CTD+K</v>
      </c>
      <c r="H63" s="2164" t="str">
        <f t="shared" si="6"/>
        <v>nt</v>
      </c>
      <c r="I63" s="2164" t="str">
        <f t="shared" si="7"/>
        <v>nt</v>
      </c>
      <c r="J63" s="2173" t="str">
        <f t="shared" si="19"/>
        <v>nt</v>
      </c>
      <c r="K63" s="2174" t="str">
        <f t="shared" si="20"/>
        <v>nt</v>
      </c>
      <c r="L63" s="2064"/>
      <c r="M63" s="2220" t="str">
        <f t="shared" si="16"/>
        <v/>
      </c>
      <c r="O63" s="1948" t="e">
        <f t="shared" si="2"/>
        <v>#N/A</v>
      </c>
      <c r="P63" s="1948"/>
      <c r="Q63" s="2172"/>
      <c r="R63" s="1277"/>
      <c r="S63" s="1277"/>
      <c r="U63" s="1487"/>
    </row>
    <row r="64" spans="5:21" s="1282" customFormat="1" ht="35.1" customHeight="1">
      <c r="E64" s="2172"/>
      <c r="G64" s="2163" t="str">
        <f>'NT-VT'!A68</f>
        <v>CUT42</v>
      </c>
      <c r="H64" s="2164" t="str">
        <f t="shared" si="6"/>
        <v>nt</v>
      </c>
      <c r="I64" s="2164" t="str">
        <f t="shared" si="7"/>
        <v>nt</v>
      </c>
      <c r="J64" s="2173" t="str">
        <f t="shared" si="19"/>
        <v>nt</v>
      </c>
      <c r="K64" s="2174" t="str">
        <f t="shared" si="20"/>
        <v>nt</v>
      </c>
      <c r="L64" s="2064"/>
      <c r="M64" s="2220" t="str">
        <f t="shared" si="16"/>
        <v/>
      </c>
      <c r="O64" s="1948" t="e">
        <f t="shared" si="2"/>
        <v>#N/A</v>
      </c>
      <c r="P64" s="1948"/>
      <c r="Q64" s="2172"/>
      <c r="R64" s="1277"/>
      <c r="S64" s="1277"/>
      <c r="U64" s="1487"/>
    </row>
    <row r="65" spans="5:21" s="1282" customFormat="1" ht="35.1" customHeight="1">
      <c r="E65" s="2172"/>
      <c r="G65" s="2163" t="str">
        <f>'NT-VT'!A69</f>
        <v>CUT42T</v>
      </c>
      <c r="H65" s="2164" t="str">
        <f t="shared" si="6"/>
        <v>nt</v>
      </c>
      <c r="I65" s="2164" t="str">
        <f t="shared" si="7"/>
        <v>nt</v>
      </c>
      <c r="J65" s="2173" t="str">
        <f t="shared" si="19"/>
        <v>nt</v>
      </c>
      <c r="K65" s="2174" t="str">
        <f t="shared" si="20"/>
        <v>nt</v>
      </c>
      <c r="L65" s="2064"/>
      <c r="M65" s="2220" t="str">
        <f t="shared" si="16"/>
        <v/>
      </c>
      <c r="O65" s="1948" t="e">
        <f t="shared" si="2"/>
        <v>#N/A</v>
      </c>
      <c r="P65" s="1948"/>
      <c r="Q65" s="2172"/>
      <c r="R65" s="1277"/>
      <c r="S65" s="1277"/>
      <c r="U65" s="1487"/>
    </row>
    <row r="66" spans="5:21" s="1282" customFormat="1" ht="35.1" customHeight="1">
      <c r="E66" s="2172"/>
      <c r="G66" s="2163" t="str">
        <f>'NT-VT'!A70</f>
        <v>drc</v>
      </c>
      <c r="H66" s="2164" t="str">
        <f t="shared" si="6"/>
        <v>nt</v>
      </c>
      <c r="I66" s="2164" t="str">
        <f t="shared" si="7"/>
        <v>nt</v>
      </c>
      <c r="J66" s="2173" t="str">
        <f t="shared" si="19"/>
        <v>nt</v>
      </c>
      <c r="K66" s="2174" t="str">
        <f t="shared" si="20"/>
        <v>nt</v>
      </c>
      <c r="L66" s="2064"/>
      <c r="M66" s="2220" t="str">
        <f t="shared" si="16"/>
        <v/>
      </c>
      <c r="O66" s="1948" t="e">
        <f t="shared" si="2"/>
        <v>#N/A</v>
      </c>
      <c r="P66" s="1948"/>
      <c r="Q66" s="2172"/>
      <c r="R66" s="1277"/>
      <c r="S66" s="1277"/>
      <c r="U66" s="1487"/>
    </row>
    <row r="67" spans="5:21" s="1282" customFormat="1" ht="35.1" customHeight="1">
      <c r="E67" s="2172"/>
      <c r="G67" s="2163" t="str">
        <f>'NT-VT'!A71</f>
        <v>gachong</v>
      </c>
      <c r="H67" s="2164" t="str">
        <f t="shared" si="6"/>
        <v>nt</v>
      </c>
      <c r="I67" s="2164" t="str">
        <f t="shared" si="7"/>
        <v>nt</v>
      </c>
      <c r="J67" s="2173" t="str">
        <f t="shared" si="19"/>
        <v>nt</v>
      </c>
      <c r="K67" s="2174" t="str">
        <f t="shared" si="20"/>
        <v>nt</v>
      </c>
      <c r="L67" s="2064"/>
      <c r="M67" s="2220" t="str">
        <f t="shared" si="16"/>
        <v/>
      </c>
      <c r="O67" s="1948" t="e">
        <f t="shared" si="2"/>
        <v>#N/A</v>
      </c>
      <c r="P67" s="1948"/>
      <c r="Q67" s="2172"/>
      <c r="R67" s="1277"/>
      <c r="S67" s="1277"/>
      <c r="U67" s="1487"/>
    </row>
    <row r="68" spans="5:21" s="1282" customFormat="1" ht="35.1" customHeight="1">
      <c r="E68" s="2172"/>
      <c r="G68" s="2163" t="str">
        <f>'NT-VT'!A72</f>
        <v>K3B</v>
      </c>
      <c r="H68" s="2164" t="str">
        <f t="shared" ref="H68:H131" si="21">IFERROR(VLOOKUP(G68,$Q:$U,2,0),"nt")</f>
        <v>nt</v>
      </c>
      <c r="I68" s="2164" t="str">
        <f t="shared" ref="I68:I131" si="22">IFERROR(VLOOKUP(G68,$Q:$U,3,0),"nt")</f>
        <v>nt</v>
      </c>
      <c r="J68" s="2173" t="str">
        <f t="shared" si="19"/>
        <v>nt</v>
      </c>
      <c r="K68" s="2174" t="str">
        <f t="shared" si="20"/>
        <v>nt</v>
      </c>
      <c r="L68" s="2064"/>
      <c r="M68" s="2220" t="str">
        <f t="shared" si="16"/>
        <v/>
      </c>
      <c r="O68" s="1948" t="e">
        <f t="shared" si="2"/>
        <v>#N/A</v>
      </c>
      <c r="P68" s="1948"/>
      <c r="Q68" s="2172"/>
      <c r="R68" s="1277"/>
      <c r="S68" s="1277"/>
      <c r="U68" s="1487"/>
    </row>
    <row r="69" spans="5:21" s="1282" customFormat="1" ht="35.1" customHeight="1">
      <c r="E69" s="2172"/>
      <c r="G69" s="2163" t="str">
        <f>'NT-VT'!A73</f>
        <v>KE50</v>
      </c>
      <c r="H69" s="2164" t="str">
        <f t="shared" si="21"/>
        <v>nt</v>
      </c>
      <c r="I69" s="2164" t="str">
        <f t="shared" si="22"/>
        <v>nt</v>
      </c>
      <c r="J69" s="2173" t="str">
        <f t="shared" si="19"/>
        <v>nt</v>
      </c>
      <c r="K69" s="2174" t="str">
        <f t="shared" si="20"/>
        <v>nt</v>
      </c>
      <c r="L69" s="2064"/>
      <c r="M69" s="2220" t="str">
        <f t="shared" si="16"/>
        <v/>
      </c>
      <c r="O69" s="1948" t="e">
        <f t="shared" ref="O69:O82" si="23">VLOOKUP(G69,Q:X,8,0)</f>
        <v>#N/A</v>
      </c>
      <c r="P69" s="1948"/>
      <c r="Q69" s="2172"/>
      <c r="R69" s="1277"/>
      <c r="S69" s="1277"/>
      <c r="U69" s="1487"/>
    </row>
    <row r="70" spans="5:21" s="1282" customFormat="1" ht="35.1" customHeight="1">
      <c r="E70" s="2172"/>
      <c r="G70" s="2163" t="str">
        <f>'NT-VT'!A74</f>
        <v>ke95</v>
      </c>
      <c r="H70" s="2164" t="str">
        <f t="shared" si="21"/>
        <v>nt</v>
      </c>
      <c r="I70" s="2164" t="str">
        <f t="shared" si="22"/>
        <v>nt</v>
      </c>
      <c r="J70" s="2173" t="str">
        <f t="shared" si="19"/>
        <v>nt</v>
      </c>
      <c r="K70" s="2174" t="str">
        <f t="shared" si="20"/>
        <v>nt</v>
      </c>
      <c r="L70" s="2064"/>
      <c r="M70" s="2220" t="str">
        <f t="shared" si="16"/>
        <v/>
      </c>
      <c r="O70" s="1948" t="e">
        <f t="shared" si="23"/>
        <v>#N/A</v>
      </c>
      <c r="P70" s="1948"/>
      <c r="Q70" s="2172"/>
      <c r="R70" s="1277"/>
      <c r="S70" s="1277"/>
      <c r="U70" s="1487"/>
    </row>
    <row r="71" spans="5:21" s="1282" customFormat="1" ht="35.1" customHeight="1">
      <c r="E71" s="2172"/>
      <c r="G71" s="2163" t="str">
        <f>'NT-VT'!A75</f>
        <v>KEO</v>
      </c>
      <c r="H71" s="2164" t="str">
        <f t="shared" si="21"/>
        <v>nt</v>
      </c>
      <c r="I71" s="2164" t="str">
        <f t="shared" si="22"/>
        <v>nt</v>
      </c>
      <c r="J71" s="2173" t="str">
        <f t="shared" si="19"/>
        <v>nt</v>
      </c>
      <c r="K71" s="2174" t="str">
        <f t="shared" si="20"/>
        <v>nt</v>
      </c>
      <c r="L71" s="2064"/>
      <c r="M71" s="2220" t="str">
        <f t="shared" si="16"/>
        <v/>
      </c>
      <c r="O71" s="1948" t="e">
        <f t="shared" si="23"/>
        <v>#N/A</v>
      </c>
      <c r="P71" s="1948"/>
      <c r="Q71" s="2172"/>
      <c r="R71" s="1277"/>
      <c r="S71" s="1277"/>
      <c r="U71" s="1487"/>
    </row>
    <row r="72" spans="5:21" s="1282" customFormat="1" ht="35.1" customHeight="1">
      <c r="E72" s="2172"/>
      <c r="G72" s="2163" t="str">
        <f>'NT-VT'!A76</f>
        <v>keobit</v>
      </c>
      <c r="H72" s="2164" t="str">
        <f t="shared" si="21"/>
        <v>nt</v>
      </c>
      <c r="I72" s="2164" t="str">
        <f t="shared" si="22"/>
        <v>nt</v>
      </c>
      <c r="J72" s="2173" t="str">
        <f t="shared" si="19"/>
        <v>nt</v>
      </c>
      <c r="K72" s="2174" t="str">
        <f t="shared" si="20"/>
        <v>nt</v>
      </c>
      <c r="L72" s="2064"/>
      <c r="M72" s="2220" t="str">
        <f t="shared" si="16"/>
        <v/>
      </c>
      <c r="O72" s="1948" t="e">
        <f t="shared" si="23"/>
        <v>#N/A</v>
      </c>
      <c r="P72" s="1948"/>
      <c r="Q72" s="2172"/>
      <c r="R72" s="1277"/>
      <c r="S72" s="1277"/>
      <c r="U72" s="1487"/>
    </row>
    <row r="73" spans="5:21" s="1282" customFormat="1" ht="35.1" customHeight="1">
      <c r="E73" s="2172"/>
      <c r="G73" s="2163" t="str">
        <f>'NT-VT'!A77</f>
        <v>KH2/0</v>
      </c>
      <c r="H73" s="2164" t="str">
        <f t="shared" si="21"/>
        <v>nt</v>
      </c>
      <c r="I73" s="2164" t="str">
        <f t="shared" si="22"/>
        <v>nt</v>
      </c>
      <c r="J73" s="2173" t="str">
        <f t="shared" si="19"/>
        <v>nt</v>
      </c>
      <c r="K73" s="2174" t="str">
        <f t="shared" si="20"/>
        <v>nt</v>
      </c>
      <c r="L73" s="2064"/>
      <c r="M73" s="2220" t="str">
        <f t="shared" si="16"/>
        <v/>
      </c>
      <c r="O73" s="1948" t="e">
        <f t="shared" si="23"/>
        <v>#N/A</v>
      </c>
      <c r="P73" s="1948"/>
      <c r="Q73" s="2172"/>
      <c r="R73" s="1277"/>
      <c r="S73" s="1277"/>
      <c r="U73" s="1487"/>
    </row>
    <row r="74" spans="5:21" s="1282" customFormat="1" ht="35.1" customHeight="1">
      <c r="E74" s="2172"/>
      <c r="G74" s="2163" t="str">
        <f>'NT-VT'!A78</f>
        <v>kn50</v>
      </c>
      <c r="H74" s="2164" t="str">
        <f t="shared" si="21"/>
        <v>nt</v>
      </c>
      <c r="I74" s="2164" t="str">
        <f t="shared" si="22"/>
        <v>nt</v>
      </c>
      <c r="J74" s="2173" t="str">
        <f t="shared" si="19"/>
        <v>nt</v>
      </c>
      <c r="K74" s="2174" t="str">
        <f t="shared" si="20"/>
        <v>nt</v>
      </c>
      <c r="L74" s="2064"/>
      <c r="M74" s="2220" t="str">
        <f t="shared" si="16"/>
        <v/>
      </c>
      <c r="O74" s="1948" t="e">
        <f t="shared" si="23"/>
        <v>#N/A</v>
      </c>
      <c r="P74" s="1948"/>
      <c r="Q74" s="2172"/>
      <c r="R74" s="1277"/>
      <c r="S74" s="1277"/>
      <c r="U74" s="1487"/>
    </row>
    <row r="75" spans="5:21" s="1282" customFormat="1" ht="35.1" customHeight="1">
      <c r="E75" s="2172"/>
      <c r="G75" s="2163" t="str">
        <f>'NT-VT'!A79</f>
        <v>KQ2/0</v>
      </c>
      <c r="H75" s="2164" t="str">
        <f t="shared" si="21"/>
        <v>nt</v>
      </c>
      <c r="I75" s="2164" t="str">
        <f t="shared" si="22"/>
        <v>nt</v>
      </c>
      <c r="J75" s="2173" t="str">
        <f t="shared" si="19"/>
        <v>nt</v>
      </c>
      <c r="K75" s="2174" t="str">
        <f t="shared" si="20"/>
        <v>nt</v>
      </c>
      <c r="L75" s="2064"/>
      <c r="M75" s="2220" t="str">
        <f t="shared" si="16"/>
        <v/>
      </c>
      <c r="O75" s="1948" t="e">
        <f t="shared" si="23"/>
        <v>#N/A</v>
      </c>
      <c r="P75" s="1948"/>
      <c r="Q75" s="2172"/>
      <c r="R75" s="1277"/>
      <c r="S75" s="1277"/>
      <c r="U75" s="1487"/>
    </row>
    <row r="76" spans="5:21" s="1282" customFormat="1" ht="35.1" customHeight="1">
      <c r="E76" s="2172"/>
      <c r="G76" s="2163" t="str">
        <f>'NT-VT'!A80</f>
        <v>KVRN42</v>
      </c>
      <c r="H76" s="2164" t="str">
        <f t="shared" si="21"/>
        <v>nt</v>
      </c>
      <c r="I76" s="2164" t="str">
        <f t="shared" si="22"/>
        <v>nt</v>
      </c>
      <c r="J76" s="2173" t="str">
        <f t="shared" si="19"/>
        <v>nt</v>
      </c>
      <c r="K76" s="2174" t="str">
        <f t="shared" si="20"/>
        <v>nt</v>
      </c>
      <c r="L76" s="2064"/>
      <c r="M76" s="2220" t="str">
        <f t="shared" si="16"/>
        <v/>
      </c>
      <c r="O76" s="1948" t="e">
        <f t="shared" si="23"/>
        <v>#N/A</v>
      </c>
      <c r="P76" s="1948"/>
      <c r="Q76" s="2172"/>
      <c r="R76" s="1277"/>
      <c r="S76" s="1277"/>
      <c r="U76" s="1487"/>
    </row>
    <row r="77" spans="5:21" s="1282" customFormat="1" ht="35.1" customHeight="1">
      <c r="E77" s="2172"/>
      <c r="G77" s="2163" t="str">
        <f>'NT-VT'!A81</f>
        <v>KVRT42</v>
      </c>
      <c r="H77" s="2164" t="str">
        <f t="shared" si="21"/>
        <v>nt</v>
      </c>
      <c r="I77" s="2164" t="str">
        <f t="shared" si="22"/>
        <v>nt</v>
      </c>
      <c r="J77" s="2173" t="str">
        <f t="shared" si="19"/>
        <v>nt</v>
      </c>
      <c r="K77" s="2174" t="str">
        <f t="shared" si="20"/>
        <v>nt</v>
      </c>
      <c r="L77" s="2064"/>
      <c r="M77" s="2220" t="str">
        <f t="shared" ref="M77:M134" si="24">IF(N77&gt;0,$P$1,IFERROR(VLOOKUP(G77,Q:U,5,0),""))</f>
        <v/>
      </c>
      <c r="O77" s="1948" t="e">
        <f t="shared" si="23"/>
        <v>#N/A</v>
      </c>
      <c r="P77" s="1948"/>
      <c r="Q77" s="2172"/>
      <c r="R77" s="1277"/>
      <c r="S77" s="1277"/>
      <c r="U77" s="1487"/>
    </row>
    <row r="78" spans="5:21" s="1282" customFormat="1" ht="35.1" customHeight="1">
      <c r="E78" s="2172"/>
      <c r="G78" s="2163" t="str">
        <f>'NT-VT'!A82</f>
        <v>M5M</v>
      </c>
      <c r="H78" s="2164" t="str">
        <f t="shared" si="21"/>
        <v>nt</v>
      </c>
      <c r="I78" s="2164" t="str">
        <f t="shared" si="22"/>
        <v>nt</v>
      </c>
      <c r="J78" s="2173" t="str">
        <f t="shared" si="19"/>
        <v>nt</v>
      </c>
      <c r="K78" s="2174" t="str">
        <f t="shared" si="20"/>
        <v>nt</v>
      </c>
      <c r="L78" s="2064"/>
      <c r="M78" s="2220" t="str">
        <f t="shared" si="24"/>
        <v/>
      </c>
      <c r="O78" s="1948" t="e">
        <f t="shared" si="23"/>
        <v>#N/A</v>
      </c>
      <c r="P78" s="1948"/>
      <c r="Q78" s="2172"/>
      <c r="R78" s="1277"/>
      <c r="S78" s="1277"/>
      <c r="U78" s="1487"/>
    </row>
    <row r="79" spans="5:21" s="1282" customFormat="1" ht="35.1" customHeight="1">
      <c r="E79" s="2172"/>
      <c r="G79" s="2163" t="str">
        <f>'NT-VT'!A83</f>
        <v>MANG</v>
      </c>
      <c r="H79" s="2164" t="str">
        <f t="shared" si="21"/>
        <v>nt</v>
      </c>
      <c r="I79" s="2164" t="str">
        <f t="shared" si="22"/>
        <v>nt</v>
      </c>
      <c r="J79" s="2173" t="str">
        <f t="shared" si="19"/>
        <v>nt</v>
      </c>
      <c r="K79" s="2174" t="str">
        <f t="shared" si="20"/>
        <v>nt</v>
      </c>
      <c r="L79" s="2064"/>
      <c r="M79" s="2220" t="str">
        <f t="shared" si="24"/>
        <v/>
      </c>
      <c r="O79" s="1948" t="e">
        <f t="shared" si="23"/>
        <v>#N/A</v>
      </c>
      <c r="P79" s="1948"/>
      <c r="Q79" s="2172"/>
      <c r="R79" s="1277"/>
      <c r="S79" s="1277"/>
      <c r="U79" s="1487"/>
    </row>
    <row r="80" spans="5:21" s="1282" customFormat="1" ht="35.1" customHeight="1">
      <c r="E80" s="2172"/>
      <c r="G80" s="2163" t="str">
        <f>'NT-VT'!A84</f>
        <v>MT</v>
      </c>
      <c r="H80" s="2164" t="str">
        <f t="shared" si="21"/>
        <v>nt</v>
      </c>
      <c r="I80" s="2164" t="str">
        <f t="shared" si="22"/>
        <v>nt</v>
      </c>
      <c r="J80" s="2173" t="str">
        <f t="shared" si="19"/>
        <v>nt</v>
      </c>
      <c r="K80" s="2174" t="str">
        <f t="shared" si="20"/>
        <v>nt</v>
      </c>
      <c r="L80" s="2064"/>
      <c r="M80" s="2220" t="str">
        <f t="shared" si="24"/>
        <v/>
      </c>
      <c r="O80" s="1948" t="e">
        <f t="shared" si="23"/>
        <v>#N/A</v>
      </c>
      <c r="P80" s="1948"/>
      <c r="Q80" s="2172"/>
      <c r="R80" s="1277"/>
      <c r="S80" s="1277"/>
      <c r="U80" s="1487"/>
    </row>
    <row r="81" spans="5:21" s="1282" customFormat="1" ht="35.1" customHeight="1">
      <c r="E81" s="2172"/>
      <c r="G81" s="2163" t="str">
        <f>'NT-VT'!A85</f>
        <v>NX</v>
      </c>
      <c r="H81" s="2164" t="str">
        <f t="shared" si="21"/>
        <v>nt</v>
      </c>
      <c r="I81" s="2164" t="str">
        <f t="shared" si="22"/>
        <v>nt</v>
      </c>
      <c r="J81" s="2173" t="str">
        <f t="shared" si="19"/>
        <v>nt</v>
      </c>
      <c r="K81" s="2174" t="str">
        <f t="shared" si="20"/>
        <v>nt</v>
      </c>
      <c r="L81" s="2064"/>
      <c r="M81" s="2220" t="str">
        <f t="shared" si="24"/>
        <v/>
      </c>
      <c r="O81" s="1948" t="e">
        <f t="shared" si="23"/>
        <v>#N/A</v>
      </c>
      <c r="P81" s="1948"/>
      <c r="Q81" s="2172"/>
      <c r="R81" s="1277"/>
      <c r="S81" s="1277"/>
      <c r="U81" s="1487"/>
    </row>
    <row r="82" spans="5:21" s="1282" customFormat="1" ht="35.1" customHeight="1">
      <c r="E82" s="2172"/>
      <c r="G82" s="2163" t="str">
        <f>'NT-VT'!A86</f>
        <v>ocn</v>
      </c>
      <c r="H82" s="2164" t="str">
        <f t="shared" si="21"/>
        <v>nt</v>
      </c>
      <c r="I82" s="2164" t="str">
        <f t="shared" si="22"/>
        <v>nt</v>
      </c>
      <c r="J82" s="2173" t="str">
        <f t="shared" si="19"/>
        <v>nt</v>
      </c>
      <c r="K82" s="2174" t="str">
        <f t="shared" si="20"/>
        <v>nt</v>
      </c>
      <c r="L82" s="2064"/>
      <c r="M82" s="2220" t="str">
        <f t="shared" si="24"/>
        <v/>
      </c>
      <c r="O82" s="1948" t="e">
        <f t="shared" si="23"/>
        <v>#N/A</v>
      </c>
      <c r="P82" s="1948"/>
      <c r="Q82" s="2172"/>
      <c r="R82" s="1277"/>
      <c r="S82" s="1277"/>
      <c r="U82" s="1487"/>
    </row>
    <row r="83" spans="5:21" s="1282" customFormat="1" ht="35.1" customHeight="1">
      <c r="E83" s="2172"/>
      <c r="G83" s="2163" t="str">
        <f>'NT-VT'!A87</f>
        <v>OXC25</v>
      </c>
      <c r="H83" s="2164" t="str">
        <f t="shared" si="21"/>
        <v>nt</v>
      </c>
      <c r="I83" s="2164" t="str">
        <f t="shared" si="22"/>
        <v>nt</v>
      </c>
      <c r="J83" s="2173" t="str">
        <f t="shared" si="19"/>
        <v>nt</v>
      </c>
      <c r="K83" s="2174" t="str">
        <f t="shared" si="20"/>
        <v>nt</v>
      </c>
      <c r="L83" s="2064"/>
      <c r="M83" s="2220" t="str">
        <f t="shared" si="24"/>
        <v/>
      </c>
      <c r="O83" s="1948"/>
      <c r="P83" s="1948"/>
      <c r="Q83" s="2172"/>
      <c r="R83" s="1277"/>
      <c r="S83" s="1277"/>
      <c r="U83" s="1487"/>
    </row>
    <row r="84" spans="5:21" s="1282" customFormat="1" ht="35.1" customHeight="1">
      <c r="E84" s="2172"/>
      <c r="G84" s="2163" t="str">
        <f>'NT-VT'!A88</f>
        <v>PVC114</v>
      </c>
      <c r="H84" s="2164" t="str">
        <f t="shared" si="21"/>
        <v>nt</v>
      </c>
      <c r="I84" s="2164" t="str">
        <f t="shared" si="22"/>
        <v>nt</v>
      </c>
      <c r="J84" s="2173" t="str">
        <f t="shared" si="19"/>
        <v>nt</v>
      </c>
      <c r="K84" s="2174" t="str">
        <f t="shared" si="20"/>
        <v>nt</v>
      </c>
      <c r="L84" s="2064"/>
      <c r="M84" s="2220" t="str">
        <f t="shared" si="24"/>
        <v/>
      </c>
      <c r="O84" s="1948"/>
      <c r="P84" s="1948"/>
      <c r="Q84" s="2172"/>
      <c r="R84" s="1277"/>
      <c r="S84" s="1277"/>
      <c r="U84" s="1487"/>
    </row>
    <row r="85" spans="5:21" s="1282" customFormat="1" ht="35.1" customHeight="1">
      <c r="E85" s="2172"/>
      <c r="G85" s="2163" t="str">
        <f>'NT-VT'!A89</f>
        <v>PVC42</v>
      </c>
      <c r="H85" s="2164" t="str">
        <f t="shared" si="21"/>
        <v>nt</v>
      </c>
      <c r="I85" s="2164" t="str">
        <f t="shared" si="22"/>
        <v>nt</v>
      </c>
      <c r="J85" s="2173" t="str">
        <f t="shared" si="19"/>
        <v>nt</v>
      </c>
      <c r="K85" s="2174" t="str">
        <f t="shared" si="20"/>
        <v>nt</v>
      </c>
      <c r="L85" s="2064"/>
      <c r="M85" s="2220" t="str">
        <f t="shared" si="24"/>
        <v/>
      </c>
      <c r="O85" s="1948"/>
      <c r="P85" s="1948"/>
      <c r="Q85" s="2172"/>
      <c r="R85" s="1277"/>
      <c r="S85" s="1277"/>
      <c r="U85" s="1487"/>
    </row>
    <row r="86" spans="5:21" s="1282" customFormat="1" ht="35.1" customHeight="1">
      <c r="E86" s="2172"/>
      <c r="G86" s="2163" t="str">
        <f>'NT-VT'!A90</f>
        <v>R1</v>
      </c>
      <c r="H86" s="2164" t="str">
        <f t="shared" si="21"/>
        <v>nt</v>
      </c>
      <c r="I86" s="2164" t="str">
        <f t="shared" si="22"/>
        <v>nt</v>
      </c>
      <c r="J86" s="2173" t="str">
        <f t="shared" si="19"/>
        <v>nt</v>
      </c>
      <c r="K86" s="2174" t="str">
        <f t="shared" si="20"/>
        <v>nt</v>
      </c>
      <c r="L86" s="2064"/>
      <c r="M86" s="2220" t="str">
        <f t="shared" si="24"/>
        <v/>
      </c>
      <c r="O86" s="1948"/>
      <c r="P86" s="1948"/>
      <c r="Q86" s="2172"/>
      <c r="R86" s="1277"/>
      <c r="S86" s="1277"/>
      <c r="U86" s="1487"/>
    </row>
    <row r="87" spans="5:21" s="1282" customFormat="1" ht="35.1" customHeight="1">
      <c r="E87" s="2172"/>
      <c r="G87" s="2163" t="str">
        <f>'NT-VT'!A91</f>
        <v>S60</v>
      </c>
      <c r="H87" s="2164" t="str">
        <f t="shared" si="21"/>
        <v>nt</v>
      </c>
      <c r="I87" s="2164" t="str">
        <f t="shared" si="22"/>
        <v>nt</v>
      </c>
      <c r="J87" s="2173" t="str">
        <f t="shared" si="19"/>
        <v>nt</v>
      </c>
      <c r="K87" s="2174" t="str">
        <f t="shared" si="20"/>
        <v>nt</v>
      </c>
      <c r="L87" s="2064"/>
      <c r="M87" s="2220" t="str">
        <f t="shared" si="24"/>
        <v/>
      </c>
      <c r="O87" s="1948"/>
      <c r="P87" s="1948"/>
      <c r="Q87" s="2172"/>
      <c r="R87" s="1277"/>
      <c r="S87" s="1277"/>
      <c r="U87" s="1487"/>
    </row>
    <row r="88" spans="5:21" s="1282" customFormat="1" ht="35.1" customHeight="1">
      <c r="E88" s="2172"/>
      <c r="G88" s="2163" t="str">
        <f>'NT-VT'!A92</f>
        <v>SL50-810</v>
      </c>
      <c r="H88" s="2164" t="str">
        <f t="shared" si="21"/>
        <v>nt</v>
      </c>
      <c r="I88" s="2164" t="str">
        <f t="shared" si="22"/>
        <v>nt</v>
      </c>
      <c r="J88" s="2173" t="str">
        <f t="shared" si="19"/>
        <v>nt</v>
      </c>
      <c r="K88" s="2174" t="str">
        <f t="shared" si="20"/>
        <v>nt</v>
      </c>
      <c r="L88" s="2064"/>
      <c r="M88" s="2220" t="str">
        <f t="shared" si="24"/>
        <v/>
      </c>
      <c r="O88" s="1948"/>
      <c r="P88" s="1948"/>
      <c r="Q88" s="2172"/>
      <c r="R88" s="1277"/>
      <c r="S88" s="1277"/>
      <c r="U88" s="1487"/>
    </row>
    <row r="89" spans="5:21" s="1282" customFormat="1" ht="35.1" customHeight="1">
      <c r="E89" s="2172"/>
      <c r="G89" s="2163" t="str">
        <f>'NT-VT'!A93</f>
        <v>SL75-2000</v>
      </c>
      <c r="H89" s="2164" t="str">
        <f t="shared" si="21"/>
        <v>nt</v>
      </c>
      <c r="I89" s="2164" t="str">
        <f t="shared" si="22"/>
        <v>nt</v>
      </c>
      <c r="J89" s="2173" t="str">
        <f t="shared" si="19"/>
        <v>nt</v>
      </c>
      <c r="K89" s="2174" t="str">
        <f t="shared" si="20"/>
        <v>nt</v>
      </c>
      <c r="L89" s="2064"/>
      <c r="M89" s="2220" t="str">
        <f t="shared" si="24"/>
        <v/>
      </c>
      <c r="O89" s="1948"/>
      <c r="P89" s="1948"/>
      <c r="Q89" s="2172"/>
      <c r="R89" s="1277"/>
      <c r="S89" s="1277"/>
      <c r="U89" s="1487"/>
    </row>
    <row r="90" spans="5:21" s="1282" customFormat="1" ht="35.1" customHeight="1">
      <c r="E90" s="2172"/>
      <c r="G90" s="2163" t="str">
        <f>'NT-VT'!A94</f>
        <v>SL75-2200</v>
      </c>
      <c r="H90" s="2164" t="str">
        <f t="shared" si="21"/>
        <v>nt</v>
      </c>
      <c r="I90" s="2164" t="str">
        <f t="shared" si="22"/>
        <v>nt</v>
      </c>
      <c r="J90" s="2173" t="str">
        <f t="shared" ref="J90:J134" si="25">IFERROR(VLOOKUP(G90,$Q:$U,4,0),"nt")</f>
        <v>nt</v>
      </c>
      <c r="K90" s="2174" t="str">
        <f t="shared" ref="K90:K134" si="26">IFERROR(VLOOKUP(G90,$Q:$U,5,0),"nt")</f>
        <v>nt</v>
      </c>
      <c r="L90" s="2064"/>
      <c r="M90" s="2220" t="str">
        <f t="shared" si="24"/>
        <v/>
      </c>
      <c r="O90" s="1948"/>
      <c r="P90" s="1948"/>
      <c r="Q90" s="2172"/>
      <c r="R90" s="1277"/>
      <c r="S90" s="1277"/>
      <c r="U90" s="1487"/>
    </row>
    <row r="91" spans="5:21" s="1282" customFormat="1" ht="35.1" customHeight="1">
      <c r="E91" s="2172"/>
      <c r="G91" s="2163" t="str">
        <f>'NT-VT'!A95</f>
        <v>sl75-2400</v>
      </c>
      <c r="H91" s="2164" t="str">
        <f t="shared" si="21"/>
        <v>nt</v>
      </c>
      <c r="I91" s="2164" t="str">
        <f t="shared" si="22"/>
        <v>nt</v>
      </c>
      <c r="J91" s="2173" t="str">
        <f t="shared" si="25"/>
        <v>nt</v>
      </c>
      <c r="K91" s="2174" t="str">
        <f t="shared" si="26"/>
        <v>nt</v>
      </c>
      <c r="L91" s="2064"/>
      <c r="M91" s="2220" t="str">
        <f t="shared" si="24"/>
        <v/>
      </c>
      <c r="O91" s="1948"/>
      <c r="P91" s="1948"/>
      <c r="Q91" s="2172"/>
      <c r="R91" s="1277"/>
      <c r="S91" s="1277"/>
      <c r="U91" s="1487"/>
    </row>
    <row r="92" spans="5:21" s="1282" customFormat="1" ht="35.1" customHeight="1">
      <c r="E92" s="2172"/>
      <c r="G92" s="2163" t="str">
        <f>'NT-VT'!A96</f>
        <v>SN</v>
      </c>
      <c r="H92" s="2164" t="str">
        <f t="shared" si="21"/>
        <v>nt</v>
      </c>
      <c r="I92" s="2164" t="str">
        <f t="shared" si="22"/>
        <v>nt</v>
      </c>
      <c r="J92" s="2173" t="str">
        <f t="shared" si="25"/>
        <v>nt</v>
      </c>
      <c r="K92" s="2174" t="str">
        <f t="shared" si="26"/>
        <v>nt</v>
      </c>
      <c r="L92" s="2064"/>
      <c r="M92" s="2220" t="str">
        <f t="shared" si="24"/>
        <v/>
      </c>
      <c r="O92" s="1948"/>
      <c r="P92" s="1948"/>
      <c r="Q92" s="2172"/>
      <c r="R92" s="1277"/>
      <c r="S92" s="1277"/>
      <c r="U92" s="1487"/>
    </row>
    <row r="93" spans="5:21" s="1282" customFormat="1" ht="35.1" customHeight="1">
      <c r="E93" s="2172"/>
      <c r="G93" s="2163" t="str">
        <f>'NT-VT'!A97</f>
        <v>SO10</v>
      </c>
      <c r="H93" s="2164" t="str">
        <f t="shared" si="21"/>
        <v>nt</v>
      </c>
      <c r="I93" s="2164" t="str">
        <f t="shared" si="22"/>
        <v>nt</v>
      </c>
      <c r="J93" s="2173" t="str">
        <f t="shared" si="25"/>
        <v>nt</v>
      </c>
      <c r="K93" s="2174" t="str">
        <f t="shared" si="26"/>
        <v>nt</v>
      </c>
      <c r="L93" s="2064"/>
      <c r="M93" s="2220" t="str">
        <f t="shared" si="24"/>
        <v/>
      </c>
      <c r="O93" s="1948"/>
      <c r="P93" s="1948"/>
      <c r="Q93" s="2172"/>
      <c r="R93" s="1277"/>
      <c r="S93" s="1277"/>
      <c r="U93" s="1487"/>
    </row>
    <row r="94" spans="5:21" s="1282" customFormat="1" ht="35.1" customHeight="1">
      <c r="E94" s="2172"/>
      <c r="G94" s="2163" t="str">
        <f>'NT-VT'!A98</f>
        <v>so8</v>
      </c>
      <c r="H94" s="2164" t="str">
        <f t="shared" si="21"/>
        <v>nt</v>
      </c>
      <c r="I94" s="2164" t="str">
        <f t="shared" si="22"/>
        <v>nt</v>
      </c>
      <c r="J94" s="2173" t="str">
        <f t="shared" si="25"/>
        <v>nt</v>
      </c>
      <c r="K94" s="2174" t="str">
        <f t="shared" si="26"/>
        <v>nt</v>
      </c>
      <c r="L94" s="2064"/>
      <c r="M94" s="2220" t="str">
        <f t="shared" si="24"/>
        <v/>
      </c>
      <c r="O94" s="1948"/>
      <c r="P94" s="1948"/>
      <c r="Q94" s="2172"/>
      <c r="R94" s="1277"/>
      <c r="S94" s="1277"/>
      <c r="U94" s="1487"/>
    </row>
    <row r="95" spans="5:21" s="1282" customFormat="1" ht="35.1" customHeight="1">
      <c r="E95" s="2172"/>
      <c r="G95" s="2163" t="str">
        <f>'NT-VT'!A99</f>
        <v>TN2224</v>
      </c>
      <c r="H95" s="2164" t="str">
        <f t="shared" si="21"/>
        <v>nt</v>
      </c>
      <c r="I95" s="2164" t="str">
        <f t="shared" si="22"/>
        <v>nt</v>
      </c>
      <c r="J95" s="2173" t="str">
        <f t="shared" si="25"/>
        <v>nt</v>
      </c>
      <c r="K95" s="2174" t="str">
        <f t="shared" si="26"/>
        <v>nt</v>
      </c>
      <c r="L95" s="2064"/>
      <c r="M95" s="2220" t="str">
        <f t="shared" si="24"/>
        <v/>
      </c>
      <c r="O95" s="1948"/>
      <c r="P95" s="1948"/>
      <c r="Q95" s="2172"/>
      <c r="R95" s="1277"/>
      <c r="S95" s="1277"/>
      <c r="U95" s="1487"/>
    </row>
    <row r="96" spans="5:21" s="1282" customFormat="1" ht="35.1" customHeight="1">
      <c r="E96" s="2172"/>
      <c r="G96" s="2163" t="str">
        <f>'NT-VT'!A100</f>
        <v>TUDKDT</v>
      </c>
      <c r="H96" s="2164" t="str">
        <f t="shared" si="21"/>
        <v>nt</v>
      </c>
      <c r="I96" s="2164" t="str">
        <f t="shared" si="22"/>
        <v>nt</v>
      </c>
      <c r="J96" s="2173" t="str">
        <f t="shared" si="25"/>
        <v>nt</v>
      </c>
      <c r="K96" s="2174" t="str">
        <f t="shared" si="26"/>
        <v>nt</v>
      </c>
      <c r="L96" s="2064"/>
      <c r="M96" s="2220" t="str">
        <f t="shared" si="24"/>
        <v/>
      </c>
      <c r="O96" s="1948"/>
      <c r="P96" s="1948"/>
      <c r="Q96" s="2172"/>
      <c r="R96" s="1277"/>
      <c r="S96" s="1277"/>
      <c r="U96" s="1487"/>
    </row>
    <row r="97" spans="5:21" s="1282" customFormat="1" ht="35.1" customHeight="1">
      <c r="E97" s="2172"/>
      <c r="G97" s="2163" t="str">
        <f>'NT-VT'!A101</f>
        <v>xAtuti</v>
      </c>
      <c r="H97" s="2164" t="str">
        <f t="shared" si="21"/>
        <v>nt</v>
      </c>
      <c r="I97" s="2164" t="str">
        <f t="shared" si="22"/>
        <v>nt</v>
      </c>
      <c r="J97" s="2173" t="str">
        <f t="shared" si="25"/>
        <v>nt</v>
      </c>
      <c r="K97" s="2174" t="str">
        <f t="shared" si="26"/>
        <v>nt</v>
      </c>
      <c r="L97" s="2064"/>
      <c r="M97" s="2220" t="str">
        <f t="shared" si="24"/>
        <v/>
      </c>
      <c r="O97" s="1948"/>
      <c r="P97" s="1948"/>
      <c r="Q97" s="2172"/>
      <c r="R97" s="1277"/>
      <c r="S97" s="1277"/>
      <c r="U97" s="1487"/>
    </row>
    <row r="98" spans="5:21" s="1282" customFormat="1" ht="35.1" customHeight="1">
      <c r="E98" s="2172"/>
      <c r="G98" s="2163" t="str">
        <f>'NT-VT'!A102</f>
        <v>YC</v>
      </c>
      <c r="H98" s="2164" t="str">
        <f t="shared" si="21"/>
        <v>nt</v>
      </c>
      <c r="I98" s="2164" t="str">
        <f t="shared" si="22"/>
        <v>nt</v>
      </c>
      <c r="J98" s="2173" t="str">
        <f t="shared" si="25"/>
        <v>nt</v>
      </c>
      <c r="K98" s="2174" t="str">
        <f t="shared" si="26"/>
        <v>nt</v>
      </c>
      <c r="L98" s="2064"/>
      <c r="M98" s="2220" t="str">
        <f t="shared" si="24"/>
        <v/>
      </c>
      <c r="O98" s="1948"/>
      <c r="P98" s="1948"/>
      <c r="Q98" s="2172"/>
      <c r="R98" s="1277"/>
      <c r="S98" s="1277"/>
      <c r="U98" s="1487"/>
    </row>
    <row r="99" spans="5:21" s="1282" customFormat="1" ht="35.1" customHeight="1">
      <c r="E99" s="2172"/>
      <c r="G99" s="2163" t="str">
        <f>'NT-VT'!A103</f>
        <v>XM</v>
      </c>
      <c r="H99" s="2164" t="str">
        <f t="shared" si="21"/>
        <v>Địa phương</v>
      </c>
      <c r="I99" s="2164" t="str">
        <f t="shared" si="22"/>
        <v>Địa phương</v>
      </c>
      <c r="J99" s="2173" t="str">
        <f t="shared" si="25"/>
        <v xml:space="preserve"> </v>
      </c>
      <c r="K99" s="2174" t="str">
        <f t="shared" si="26"/>
        <v xml:space="preserve"> </v>
      </c>
      <c r="L99" s="2064"/>
      <c r="M99" s="2220" t="str">
        <f t="shared" si="24"/>
        <v xml:space="preserve"> </v>
      </c>
      <c r="O99" s="1948"/>
      <c r="P99" s="1948"/>
      <c r="Q99" s="2172"/>
      <c r="R99" s="1277"/>
      <c r="S99" s="1277"/>
      <c r="U99" s="1487"/>
    </row>
    <row r="100" spans="5:21" s="1282" customFormat="1" ht="35.1" customHeight="1">
      <c r="E100" s="2172"/>
      <c r="G100" s="2163" t="str">
        <f>'NT-VT'!A104</f>
        <v>Cat</v>
      </c>
      <c r="H100" s="2164" t="str">
        <f t="shared" si="21"/>
        <v>nt</v>
      </c>
      <c r="I100" s="2164" t="str">
        <f t="shared" si="22"/>
        <v>nt</v>
      </c>
      <c r="J100" s="2173" t="str">
        <f t="shared" si="25"/>
        <v xml:space="preserve"> </v>
      </c>
      <c r="K100" s="2174" t="str">
        <f t="shared" si="26"/>
        <v xml:space="preserve"> </v>
      </c>
      <c r="L100" s="2064"/>
      <c r="M100" s="2220" t="str">
        <f t="shared" si="24"/>
        <v xml:space="preserve"> </v>
      </c>
      <c r="O100" s="1948"/>
      <c r="P100" s="1948"/>
      <c r="Q100" s="2172"/>
      <c r="R100" s="1277"/>
      <c r="S100" s="1277"/>
      <c r="U100" s="1487"/>
    </row>
    <row r="101" spans="5:21" s="1282" customFormat="1" ht="35.1" customHeight="1">
      <c r="E101" s="2172"/>
      <c r="G101" s="2163" t="str">
        <f>'NT-VT'!A105</f>
        <v>D1X2</v>
      </c>
      <c r="H101" s="2164" t="str">
        <f t="shared" si="21"/>
        <v>nt</v>
      </c>
      <c r="I101" s="2164" t="str">
        <f t="shared" si="22"/>
        <v>nt</v>
      </c>
      <c r="J101" s="2173" t="str">
        <f t="shared" si="25"/>
        <v xml:space="preserve"> </v>
      </c>
      <c r="K101" s="2174" t="str">
        <f t="shared" si="26"/>
        <v xml:space="preserve"> </v>
      </c>
      <c r="L101" s="2064"/>
      <c r="M101" s="2220" t="str">
        <f t="shared" si="24"/>
        <v xml:space="preserve"> </v>
      </c>
      <c r="O101" s="1948"/>
      <c r="P101" s="1948"/>
      <c r="Q101" s="2172"/>
      <c r="R101" s="1277"/>
      <c r="S101" s="1277"/>
      <c r="U101" s="1487"/>
    </row>
    <row r="102" spans="5:21" s="1282" customFormat="1" ht="35.1" customHeight="1">
      <c r="E102" s="2172"/>
      <c r="G102" s="2163" t="e">
        <f>'NT-VT'!A106</f>
        <v>#N/A</v>
      </c>
      <c r="H102" s="2164" t="str">
        <f t="shared" si="21"/>
        <v>nt</v>
      </c>
      <c r="I102" s="2164" t="str">
        <f t="shared" si="22"/>
        <v>nt</v>
      </c>
      <c r="J102" s="2173" t="str">
        <f t="shared" si="25"/>
        <v>nt</v>
      </c>
      <c r="K102" s="2174" t="str">
        <f t="shared" si="26"/>
        <v>nt</v>
      </c>
      <c r="L102" s="2064"/>
      <c r="M102" s="2220" t="str">
        <f t="shared" si="24"/>
        <v/>
      </c>
      <c r="O102" s="1948"/>
      <c r="P102" s="1948"/>
      <c r="Q102" s="2172"/>
      <c r="R102" s="1277"/>
      <c r="S102" s="1277"/>
      <c r="U102" s="1487"/>
    </row>
    <row r="103" spans="5:21" s="1282" customFormat="1" ht="35.1" customHeight="1">
      <c r="E103" s="2172"/>
      <c r="G103" s="2163" t="e">
        <f>'NT-VT'!A107</f>
        <v>#N/A</v>
      </c>
      <c r="H103" s="2164" t="str">
        <f t="shared" si="21"/>
        <v>nt</v>
      </c>
      <c r="I103" s="2164" t="str">
        <f t="shared" si="22"/>
        <v>nt</v>
      </c>
      <c r="J103" s="2173" t="str">
        <f t="shared" si="25"/>
        <v>nt</v>
      </c>
      <c r="K103" s="2174" t="str">
        <f t="shared" si="26"/>
        <v>nt</v>
      </c>
      <c r="L103" s="2064"/>
      <c r="M103" s="2220" t="str">
        <f t="shared" si="24"/>
        <v/>
      </c>
      <c r="O103" s="1948"/>
      <c r="P103" s="1948"/>
      <c r="Q103" s="2172"/>
      <c r="R103" s="1277"/>
      <c r="S103" s="1277"/>
      <c r="U103" s="1487"/>
    </row>
    <row r="104" spans="5:21" s="1282" customFormat="1" ht="35.1" customHeight="1">
      <c r="E104" s="2172"/>
      <c r="G104" s="2163" t="e">
        <f>'NT-VT'!A108</f>
        <v>#N/A</v>
      </c>
      <c r="H104" s="2164" t="str">
        <f t="shared" si="21"/>
        <v>nt</v>
      </c>
      <c r="I104" s="2164" t="str">
        <f t="shared" si="22"/>
        <v>nt</v>
      </c>
      <c r="J104" s="2173" t="str">
        <f t="shared" si="25"/>
        <v>nt</v>
      </c>
      <c r="K104" s="2174" t="str">
        <f t="shared" si="26"/>
        <v>nt</v>
      </c>
      <c r="L104" s="2064"/>
      <c r="M104" s="2220" t="str">
        <f t="shared" si="24"/>
        <v/>
      </c>
      <c r="O104" s="1948"/>
      <c r="P104" s="1948"/>
      <c r="Q104" s="2172"/>
      <c r="R104" s="1277"/>
      <c r="S104" s="1277"/>
      <c r="U104" s="1487"/>
    </row>
    <row r="105" spans="5:21" s="1282" customFormat="1" ht="35.1" customHeight="1">
      <c r="E105" s="2172"/>
      <c r="G105" s="2163" t="e">
        <f>'NT-VT'!A109</f>
        <v>#N/A</v>
      </c>
      <c r="H105" s="2164" t="str">
        <f t="shared" si="21"/>
        <v>nt</v>
      </c>
      <c r="I105" s="2164" t="str">
        <f t="shared" si="22"/>
        <v>nt</v>
      </c>
      <c r="J105" s="2173" t="str">
        <f t="shared" si="25"/>
        <v>nt</v>
      </c>
      <c r="K105" s="2174" t="str">
        <f t="shared" si="26"/>
        <v>nt</v>
      </c>
      <c r="L105" s="2064"/>
      <c r="M105" s="2220" t="str">
        <f t="shared" si="24"/>
        <v/>
      </c>
      <c r="O105" s="1948"/>
      <c r="P105" s="1948"/>
      <c r="Q105" s="2172"/>
      <c r="R105" s="1277"/>
      <c r="S105" s="1277"/>
      <c r="U105" s="1487"/>
    </row>
    <row r="106" spans="5:21" s="1282" customFormat="1" ht="35.1" customHeight="1">
      <c r="E106" s="2172"/>
      <c r="G106" s="2163" t="e">
        <f>'NT-VT'!A110</f>
        <v>#N/A</v>
      </c>
      <c r="H106" s="2164" t="str">
        <f t="shared" si="21"/>
        <v>nt</v>
      </c>
      <c r="I106" s="2164" t="str">
        <f t="shared" si="22"/>
        <v>nt</v>
      </c>
      <c r="J106" s="2173" t="str">
        <f t="shared" si="25"/>
        <v>nt</v>
      </c>
      <c r="K106" s="2174" t="str">
        <f t="shared" si="26"/>
        <v>nt</v>
      </c>
      <c r="L106" s="2064"/>
      <c r="M106" s="2220" t="str">
        <f t="shared" si="24"/>
        <v/>
      </c>
      <c r="O106" s="1948"/>
      <c r="P106" s="1948"/>
      <c r="Q106" s="2172"/>
      <c r="R106" s="1277"/>
      <c r="S106" s="1277"/>
      <c r="U106" s="1487"/>
    </row>
    <row r="107" spans="5:21" s="1282" customFormat="1" ht="35.1" customHeight="1">
      <c r="E107" s="2172"/>
      <c r="G107" s="2163" t="e">
        <f>'NT-VT'!A111</f>
        <v>#N/A</v>
      </c>
      <c r="H107" s="2164" t="str">
        <f t="shared" si="21"/>
        <v>nt</v>
      </c>
      <c r="I107" s="2164" t="str">
        <f t="shared" si="22"/>
        <v>nt</v>
      </c>
      <c r="J107" s="2173" t="str">
        <f t="shared" si="25"/>
        <v>nt</v>
      </c>
      <c r="K107" s="2174" t="str">
        <f t="shared" si="26"/>
        <v>nt</v>
      </c>
      <c r="L107" s="2064"/>
      <c r="M107" s="2220" t="str">
        <f t="shared" si="24"/>
        <v/>
      </c>
      <c r="O107" s="1948"/>
      <c r="P107" s="1948"/>
      <c r="Q107" s="2172"/>
      <c r="R107" s="1277"/>
      <c r="S107" s="1277"/>
      <c r="U107" s="1487"/>
    </row>
    <row r="108" spans="5:21" s="1282" customFormat="1" ht="35.1" customHeight="1">
      <c r="E108" s="2172"/>
      <c r="G108" s="2163" t="e">
        <f>'NT-VT'!A112</f>
        <v>#N/A</v>
      </c>
      <c r="H108" s="2164" t="str">
        <f t="shared" si="21"/>
        <v>nt</v>
      </c>
      <c r="I108" s="2164" t="str">
        <f t="shared" si="22"/>
        <v>nt</v>
      </c>
      <c r="J108" s="2173" t="str">
        <f t="shared" si="25"/>
        <v>nt</v>
      </c>
      <c r="K108" s="2174" t="str">
        <f t="shared" si="26"/>
        <v>nt</v>
      </c>
      <c r="L108" s="2064"/>
      <c r="M108" s="2220" t="str">
        <f t="shared" si="24"/>
        <v/>
      </c>
      <c r="O108" s="1948"/>
      <c r="P108" s="1948"/>
      <c r="Q108" s="2172"/>
      <c r="R108" s="1277"/>
      <c r="S108" s="1277"/>
      <c r="U108" s="1487"/>
    </row>
    <row r="109" spans="5:21" s="1282" customFormat="1" ht="35.1" customHeight="1">
      <c r="E109" s="2172"/>
      <c r="G109" s="2163" t="e">
        <f>'NT-VT'!A113</f>
        <v>#N/A</v>
      </c>
      <c r="H109" s="2164" t="str">
        <f t="shared" si="21"/>
        <v>nt</v>
      </c>
      <c r="I109" s="2164" t="str">
        <f t="shared" si="22"/>
        <v>nt</v>
      </c>
      <c r="J109" s="2173" t="str">
        <f t="shared" si="25"/>
        <v>nt</v>
      </c>
      <c r="K109" s="2174" t="str">
        <f t="shared" si="26"/>
        <v>nt</v>
      </c>
      <c r="L109" s="2064"/>
      <c r="M109" s="2220" t="str">
        <f t="shared" si="24"/>
        <v/>
      </c>
      <c r="O109" s="1948"/>
      <c r="P109" s="1948"/>
      <c r="Q109" s="2172"/>
      <c r="R109" s="1277"/>
      <c r="S109" s="1277"/>
      <c r="U109" s="1487"/>
    </row>
    <row r="110" spans="5:21" s="1282" customFormat="1" ht="35.1" customHeight="1">
      <c r="E110" s="2172"/>
      <c r="G110" s="2163" t="e">
        <f>'NT-VT'!A114</f>
        <v>#N/A</v>
      </c>
      <c r="H110" s="2164" t="str">
        <f t="shared" si="21"/>
        <v>nt</v>
      </c>
      <c r="I110" s="2164" t="str">
        <f t="shared" si="22"/>
        <v>nt</v>
      </c>
      <c r="J110" s="2173" t="str">
        <f t="shared" si="25"/>
        <v>nt</v>
      </c>
      <c r="K110" s="2174" t="str">
        <f t="shared" si="26"/>
        <v>nt</v>
      </c>
      <c r="L110" s="2064"/>
      <c r="M110" s="2220" t="str">
        <f t="shared" si="24"/>
        <v/>
      </c>
      <c r="O110" s="1948"/>
      <c r="P110" s="1948"/>
      <c r="Q110" s="2172"/>
      <c r="R110" s="1277"/>
      <c r="S110" s="1277"/>
      <c r="U110" s="1487"/>
    </row>
    <row r="111" spans="5:21" s="1282" customFormat="1" ht="35.1" customHeight="1">
      <c r="E111" s="2172"/>
      <c r="G111" s="2163" t="e">
        <f>'NT-VT'!A115</f>
        <v>#N/A</v>
      </c>
      <c r="H111" s="2164" t="str">
        <f t="shared" si="21"/>
        <v>nt</v>
      </c>
      <c r="I111" s="2164" t="str">
        <f t="shared" si="22"/>
        <v>nt</v>
      </c>
      <c r="J111" s="2173" t="str">
        <f t="shared" si="25"/>
        <v>nt</v>
      </c>
      <c r="K111" s="2174" t="str">
        <f t="shared" si="26"/>
        <v>nt</v>
      </c>
      <c r="L111" s="2064"/>
      <c r="M111" s="2220" t="str">
        <f t="shared" si="24"/>
        <v/>
      </c>
      <c r="O111" s="1948"/>
      <c r="P111" s="1948"/>
      <c r="Q111" s="2172"/>
      <c r="R111" s="1277"/>
      <c r="S111" s="1277"/>
      <c r="U111" s="1487"/>
    </row>
    <row r="112" spans="5:21" s="1282" customFormat="1" ht="35.1" customHeight="1">
      <c r="E112" s="2172"/>
      <c r="G112" s="2163" t="e">
        <f>'NT-VT'!A116</f>
        <v>#N/A</v>
      </c>
      <c r="H112" s="2164" t="str">
        <f t="shared" si="21"/>
        <v>nt</v>
      </c>
      <c r="I112" s="2164" t="str">
        <f t="shared" si="22"/>
        <v>nt</v>
      </c>
      <c r="J112" s="2173" t="str">
        <f t="shared" si="25"/>
        <v>nt</v>
      </c>
      <c r="K112" s="2174" t="str">
        <f t="shared" si="26"/>
        <v>nt</v>
      </c>
      <c r="L112" s="2064"/>
      <c r="M112" s="2220" t="str">
        <f t="shared" si="24"/>
        <v/>
      </c>
      <c r="O112" s="1948"/>
      <c r="P112" s="1948"/>
      <c r="Q112" s="2172"/>
      <c r="R112" s="1277"/>
      <c r="S112" s="1277"/>
      <c r="U112" s="1487"/>
    </row>
    <row r="113" spans="5:21" s="1282" customFormat="1" ht="35.1" customHeight="1">
      <c r="E113" s="2172"/>
      <c r="G113" s="2163" t="e">
        <f>'NT-VT'!A117</f>
        <v>#N/A</v>
      </c>
      <c r="H113" s="2164" t="str">
        <f t="shared" si="21"/>
        <v>nt</v>
      </c>
      <c r="I113" s="2164" t="str">
        <f t="shared" si="22"/>
        <v>nt</v>
      </c>
      <c r="J113" s="2173" t="str">
        <f t="shared" si="25"/>
        <v>nt</v>
      </c>
      <c r="K113" s="2174" t="str">
        <f t="shared" si="26"/>
        <v>nt</v>
      </c>
      <c r="L113" s="2064"/>
      <c r="M113" s="2220" t="str">
        <f t="shared" si="24"/>
        <v/>
      </c>
      <c r="O113" s="1948"/>
      <c r="P113" s="1948"/>
      <c r="Q113" s="2172"/>
      <c r="R113" s="1277"/>
      <c r="S113" s="1277"/>
      <c r="U113" s="1487"/>
    </row>
    <row r="114" spans="5:21" s="1282" customFormat="1" ht="35.1" customHeight="1">
      <c r="E114" s="2172"/>
      <c r="G114" s="2163" t="e">
        <f>'NT-VT'!A118</f>
        <v>#N/A</v>
      </c>
      <c r="H114" s="2164" t="str">
        <f t="shared" si="21"/>
        <v>nt</v>
      </c>
      <c r="I114" s="2164" t="str">
        <f t="shared" si="22"/>
        <v>nt</v>
      </c>
      <c r="J114" s="2173" t="str">
        <f t="shared" si="25"/>
        <v>nt</v>
      </c>
      <c r="K114" s="2174" t="str">
        <f t="shared" si="26"/>
        <v>nt</v>
      </c>
      <c r="L114" s="2064"/>
      <c r="M114" s="2220" t="str">
        <f t="shared" si="24"/>
        <v/>
      </c>
      <c r="O114" s="1948"/>
      <c r="P114" s="1948"/>
      <c r="Q114" s="2172"/>
      <c r="R114" s="1277"/>
      <c r="S114" s="1277"/>
      <c r="U114" s="1487"/>
    </row>
    <row r="115" spans="5:21" s="1282" customFormat="1" ht="35.1" customHeight="1">
      <c r="E115" s="2172"/>
      <c r="G115" s="2163" t="e">
        <f>'NT-VT'!A119</f>
        <v>#N/A</v>
      </c>
      <c r="H115" s="2164" t="str">
        <f t="shared" si="21"/>
        <v>nt</v>
      </c>
      <c r="I115" s="2164" t="str">
        <f t="shared" si="22"/>
        <v>nt</v>
      </c>
      <c r="J115" s="2173" t="str">
        <f t="shared" si="25"/>
        <v>nt</v>
      </c>
      <c r="K115" s="2174" t="str">
        <f t="shared" si="26"/>
        <v>nt</v>
      </c>
      <c r="L115" s="2064"/>
      <c r="M115" s="2220" t="str">
        <f t="shared" si="24"/>
        <v/>
      </c>
      <c r="O115" s="1948"/>
      <c r="P115" s="1948"/>
      <c r="Q115" s="2172"/>
      <c r="R115" s="1277"/>
      <c r="S115" s="1277"/>
      <c r="U115" s="1487"/>
    </row>
    <row r="116" spans="5:21" s="1282" customFormat="1" ht="35.1" customHeight="1">
      <c r="E116" s="2172"/>
      <c r="G116" s="2163" t="e">
        <f>'NT-VT'!A120</f>
        <v>#N/A</v>
      </c>
      <c r="H116" s="2164" t="str">
        <f t="shared" si="21"/>
        <v>nt</v>
      </c>
      <c r="I116" s="2164" t="str">
        <f t="shared" si="22"/>
        <v>nt</v>
      </c>
      <c r="J116" s="2173" t="str">
        <f t="shared" si="25"/>
        <v>nt</v>
      </c>
      <c r="K116" s="2174" t="str">
        <f t="shared" si="26"/>
        <v>nt</v>
      </c>
      <c r="L116" s="2064"/>
      <c r="M116" s="2220" t="str">
        <f t="shared" si="24"/>
        <v/>
      </c>
      <c r="O116" s="1948"/>
      <c r="P116" s="1948"/>
      <c r="Q116" s="2172"/>
      <c r="R116" s="1277"/>
      <c r="S116" s="1277"/>
      <c r="U116" s="1487"/>
    </row>
    <row r="117" spans="5:21" s="1282" customFormat="1" ht="35.1" customHeight="1">
      <c r="E117" s="2172"/>
      <c r="G117" s="2163" t="e">
        <f>'NT-VT'!A121</f>
        <v>#N/A</v>
      </c>
      <c r="H117" s="2164" t="str">
        <f t="shared" si="21"/>
        <v>nt</v>
      </c>
      <c r="I117" s="2164" t="str">
        <f t="shared" si="22"/>
        <v>nt</v>
      </c>
      <c r="J117" s="2173" t="str">
        <f t="shared" si="25"/>
        <v>nt</v>
      </c>
      <c r="K117" s="2174" t="str">
        <f t="shared" si="26"/>
        <v>nt</v>
      </c>
      <c r="L117" s="2064"/>
      <c r="M117" s="2220" t="str">
        <f t="shared" si="24"/>
        <v/>
      </c>
      <c r="O117" s="1948"/>
      <c r="P117" s="1948"/>
      <c r="Q117" s="2172"/>
      <c r="R117" s="1277"/>
      <c r="S117" s="1277"/>
      <c r="U117" s="1487"/>
    </row>
    <row r="118" spans="5:21" s="1282" customFormat="1" ht="35.1" customHeight="1">
      <c r="E118" s="2172"/>
      <c r="G118" s="2163" t="e">
        <f>'NT-VT'!A122</f>
        <v>#N/A</v>
      </c>
      <c r="H118" s="2164" t="str">
        <f t="shared" si="21"/>
        <v>nt</v>
      </c>
      <c r="I118" s="2164" t="str">
        <f t="shared" si="22"/>
        <v>nt</v>
      </c>
      <c r="J118" s="2173" t="str">
        <f t="shared" si="25"/>
        <v>nt</v>
      </c>
      <c r="K118" s="2174" t="str">
        <f t="shared" si="26"/>
        <v>nt</v>
      </c>
      <c r="L118" s="2064"/>
      <c r="M118" s="2220" t="str">
        <f t="shared" si="24"/>
        <v/>
      </c>
      <c r="O118" s="1948"/>
      <c r="P118" s="1948"/>
      <c r="Q118" s="2172"/>
      <c r="R118" s="1277"/>
      <c r="S118" s="1277"/>
      <c r="U118" s="1487"/>
    </row>
    <row r="119" spans="5:21" s="1282" customFormat="1" ht="35.1" customHeight="1">
      <c r="E119" s="2172"/>
      <c r="G119" s="2163" t="e">
        <f>'NT-VT'!A123</f>
        <v>#N/A</v>
      </c>
      <c r="H119" s="2164" t="str">
        <f t="shared" si="21"/>
        <v>nt</v>
      </c>
      <c r="I119" s="2164" t="str">
        <f t="shared" si="22"/>
        <v>nt</v>
      </c>
      <c r="J119" s="2173" t="str">
        <f t="shared" si="25"/>
        <v>nt</v>
      </c>
      <c r="K119" s="2174" t="str">
        <f t="shared" si="26"/>
        <v>nt</v>
      </c>
      <c r="L119" s="2064"/>
      <c r="M119" s="2220" t="str">
        <f t="shared" si="24"/>
        <v/>
      </c>
      <c r="O119" s="1948"/>
      <c r="P119" s="1948"/>
      <c r="Q119" s="2172"/>
      <c r="R119" s="1277"/>
      <c r="S119" s="1277"/>
      <c r="U119" s="1487"/>
    </row>
    <row r="120" spans="5:21" s="1282" customFormat="1" ht="35.1" customHeight="1">
      <c r="E120" s="2172"/>
      <c r="G120" s="2163" t="e">
        <f>'NT-VT'!A124</f>
        <v>#N/A</v>
      </c>
      <c r="H120" s="2164" t="str">
        <f t="shared" si="21"/>
        <v>nt</v>
      </c>
      <c r="I120" s="2164" t="str">
        <f t="shared" si="22"/>
        <v>nt</v>
      </c>
      <c r="J120" s="2173" t="str">
        <f t="shared" si="25"/>
        <v>nt</v>
      </c>
      <c r="K120" s="2174" t="str">
        <f t="shared" si="26"/>
        <v>nt</v>
      </c>
      <c r="L120" s="2064"/>
      <c r="M120" s="2220" t="str">
        <f t="shared" si="24"/>
        <v/>
      </c>
      <c r="O120" s="1948"/>
      <c r="P120" s="1948"/>
      <c r="Q120" s="2172"/>
      <c r="R120" s="1277"/>
      <c r="S120" s="1277"/>
      <c r="U120" s="1487"/>
    </row>
    <row r="121" spans="5:21" s="1282" customFormat="1" ht="35.1" customHeight="1">
      <c r="E121" s="2172"/>
      <c r="G121" s="2163" t="e">
        <f>'NT-VT'!A125</f>
        <v>#N/A</v>
      </c>
      <c r="H121" s="2164" t="str">
        <f t="shared" si="21"/>
        <v>nt</v>
      </c>
      <c r="I121" s="2164" t="str">
        <f t="shared" si="22"/>
        <v>nt</v>
      </c>
      <c r="J121" s="2173" t="str">
        <f t="shared" si="25"/>
        <v>nt</v>
      </c>
      <c r="K121" s="2174" t="str">
        <f t="shared" si="26"/>
        <v>nt</v>
      </c>
      <c r="L121" s="2064"/>
      <c r="M121" s="2220" t="str">
        <f t="shared" si="24"/>
        <v/>
      </c>
      <c r="O121" s="1948"/>
      <c r="P121" s="1948"/>
      <c r="Q121" s="2172"/>
      <c r="R121" s="1277"/>
      <c r="S121" s="1277"/>
      <c r="U121" s="1487"/>
    </row>
    <row r="122" spans="5:21" s="1282" customFormat="1" ht="35.1" customHeight="1">
      <c r="E122" s="2172"/>
      <c r="G122" s="2163" t="e">
        <f>'NT-VT'!A126</f>
        <v>#N/A</v>
      </c>
      <c r="H122" s="2164" t="str">
        <f t="shared" si="21"/>
        <v>nt</v>
      </c>
      <c r="I122" s="2164" t="str">
        <f t="shared" si="22"/>
        <v>nt</v>
      </c>
      <c r="J122" s="2173" t="str">
        <f t="shared" si="25"/>
        <v>nt</v>
      </c>
      <c r="K122" s="2174" t="str">
        <f t="shared" si="26"/>
        <v>nt</v>
      </c>
      <c r="L122" s="2064"/>
      <c r="M122" s="2220" t="str">
        <f t="shared" si="24"/>
        <v/>
      </c>
      <c r="O122" s="1948"/>
      <c r="P122" s="1948"/>
      <c r="Q122" s="2172"/>
      <c r="R122" s="1277"/>
      <c r="S122" s="1277"/>
      <c r="U122" s="1487"/>
    </row>
    <row r="123" spans="5:21" s="1282" customFormat="1" ht="35.1" customHeight="1">
      <c r="E123" s="2172"/>
      <c r="G123" s="2163" t="e">
        <f>'NT-VT'!A127</f>
        <v>#N/A</v>
      </c>
      <c r="H123" s="2164" t="str">
        <f t="shared" si="21"/>
        <v>nt</v>
      </c>
      <c r="I123" s="2164" t="str">
        <f t="shared" si="22"/>
        <v>nt</v>
      </c>
      <c r="J123" s="2173" t="str">
        <f t="shared" si="25"/>
        <v>nt</v>
      </c>
      <c r="K123" s="2174" t="str">
        <f t="shared" si="26"/>
        <v>nt</v>
      </c>
      <c r="L123" s="2064"/>
      <c r="M123" s="2220" t="str">
        <f t="shared" si="24"/>
        <v/>
      </c>
      <c r="O123" s="1948"/>
      <c r="P123" s="1948"/>
      <c r="Q123" s="2172"/>
      <c r="R123" s="1277"/>
      <c r="S123" s="1277"/>
      <c r="U123" s="1487"/>
    </row>
    <row r="124" spans="5:21" s="1282" customFormat="1" ht="35.1" customHeight="1">
      <c r="E124" s="2172"/>
      <c r="G124" s="2163">
        <f>'NT-VT'!A128</f>
        <v>0</v>
      </c>
      <c r="H124" s="2164" t="str">
        <f t="shared" si="21"/>
        <v>nt</v>
      </c>
      <c r="I124" s="2164" t="str">
        <f t="shared" si="22"/>
        <v>nt</v>
      </c>
      <c r="J124" s="2173" t="str">
        <f t="shared" si="25"/>
        <v>nt</v>
      </c>
      <c r="K124" s="2174" t="str">
        <f t="shared" si="26"/>
        <v>nt</v>
      </c>
      <c r="L124" s="2064"/>
      <c r="M124" s="2220" t="str">
        <f t="shared" si="24"/>
        <v/>
      </c>
      <c r="O124" s="1948"/>
      <c r="P124" s="1948"/>
      <c r="Q124" s="2172"/>
      <c r="R124" s="1277"/>
      <c r="S124" s="1277"/>
      <c r="U124" s="1487"/>
    </row>
    <row r="125" spans="5:21" s="1282" customFormat="1" ht="35.1" customHeight="1">
      <c r="E125" s="2172"/>
      <c r="G125" s="2163">
        <f>'NT-VT'!A129</f>
        <v>0</v>
      </c>
      <c r="H125" s="2164" t="str">
        <f t="shared" si="21"/>
        <v>nt</v>
      </c>
      <c r="I125" s="2164" t="str">
        <f t="shared" si="22"/>
        <v>nt</v>
      </c>
      <c r="J125" s="2173" t="str">
        <f t="shared" si="25"/>
        <v>nt</v>
      </c>
      <c r="K125" s="2174" t="str">
        <f t="shared" si="26"/>
        <v>nt</v>
      </c>
      <c r="L125" s="2064"/>
      <c r="M125" s="2220" t="str">
        <f t="shared" si="24"/>
        <v/>
      </c>
      <c r="O125" s="1948"/>
      <c r="P125" s="1948"/>
      <c r="Q125" s="2172"/>
      <c r="R125" s="1277"/>
      <c r="S125" s="1277"/>
      <c r="U125" s="1487"/>
    </row>
    <row r="126" spans="5:21" s="1282" customFormat="1" ht="35.1" customHeight="1">
      <c r="E126" s="2172"/>
      <c r="G126" s="2163">
        <f>'NT-VT'!A130</f>
        <v>0</v>
      </c>
      <c r="H126" s="2164" t="str">
        <f t="shared" si="21"/>
        <v>nt</v>
      </c>
      <c r="I126" s="2164" t="str">
        <f t="shared" si="22"/>
        <v>nt</v>
      </c>
      <c r="J126" s="2173" t="str">
        <f t="shared" si="25"/>
        <v>nt</v>
      </c>
      <c r="K126" s="2174" t="str">
        <f t="shared" si="26"/>
        <v>nt</v>
      </c>
      <c r="L126" s="2064"/>
      <c r="M126" s="2220" t="str">
        <f t="shared" si="24"/>
        <v/>
      </c>
      <c r="O126" s="1948"/>
      <c r="P126" s="1948"/>
      <c r="Q126" s="2172"/>
      <c r="R126" s="1277"/>
      <c r="S126" s="1277"/>
      <c r="U126" s="1487"/>
    </row>
    <row r="127" spans="5:21" s="1282" customFormat="1" ht="35.1" customHeight="1">
      <c r="E127" s="2172"/>
      <c r="G127" s="2163">
        <f>'NT-VT'!A131</f>
        <v>0</v>
      </c>
      <c r="H127" s="2164" t="str">
        <f t="shared" si="21"/>
        <v>nt</v>
      </c>
      <c r="I127" s="2164" t="str">
        <f t="shared" si="22"/>
        <v>nt</v>
      </c>
      <c r="J127" s="2173" t="str">
        <f t="shared" si="25"/>
        <v>nt</v>
      </c>
      <c r="K127" s="2174" t="str">
        <f t="shared" si="26"/>
        <v>nt</v>
      </c>
      <c r="L127" s="2064"/>
      <c r="M127" s="2220" t="str">
        <f t="shared" si="24"/>
        <v/>
      </c>
      <c r="O127" s="1948"/>
      <c r="P127" s="1948"/>
      <c r="Q127" s="2172"/>
      <c r="R127" s="1277"/>
      <c r="S127" s="1277"/>
      <c r="U127" s="1487"/>
    </row>
    <row r="128" spans="5:21" s="1282" customFormat="1" ht="35.1" customHeight="1">
      <c r="E128" s="2172"/>
      <c r="G128" s="2163">
        <f>'NT-VT'!A132</f>
        <v>0</v>
      </c>
      <c r="H128" s="2164" t="str">
        <f t="shared" si="21"/>
        <v>nt</v>
      </c>
      <c r="I128" s="2164" t="str">
        <f t="shared" si="22"/>
        <v>nt</v>
      </c>
      <c r="J128" s="2173" t="str">
        <f t="shared" si="25"/>
        <v>nt</v>
      </c>
      <c r="K128" s="2174" t="str">
        <f t="shared" si="26"/>
        <v>nt</v>
      </c>
      <c r="L128" s="2064"/>
      <c r="M128" s="2220" t="str">
        <f t="shared" si="24"/>
        <v/>
      </c>
      <c r="O128" s="1948"/>
      <c r="P128" s="1948"/>
      <c r="Q128" s="2172"/>
      <c r="R128" s="1277"/>
      <c r="S128" s="1277"/>
      <c r="U128" s="1487"/>
    </row>
    <row r="129" spans="5:21" s="1282" customFormat="1" ht="35.1" customHeight="1">
      <c r="E129" s="2172"/>
      <c r="G129" s="2163">
        <f>'NT-VT'!A133</f>
        <v>0</v>
      </c>
      <c r="H129" s="2164" t="str">
        <f t="shared" si="21"/>
        <v>nt</v>
      </c>
      <c r="I129" s="2164" t="str">
        <f t="shared" si="22"/>
        <v>nt</v>
      </c>
      <c r="J129" s="2173" t="str">
        <f t="shared" si="25"/>
        <v>nt</v>
      </c>
      <c r="K129" s="2174" t="str">
        <f t="shared" si="26"/>
        <v>nt</v>
      </c>
      <c r="L129" s="2064"/>
      <c r="M129" s="2220" t="str">
        <f t="shared" si="24"/>
        <v/>
      </c>
      <c r="O129" s="1948"/>
      <c r="P129" s="1948"/>
      <c r="Q129" s="2172"/>
      <c r="R129" s="1277"/>
      <c r="S129" s="1277"/>
      <c r="U129" s="1487"/>
    </row>
    <row r="130" spans="5:21" s="1282" customFormat="1" ht="35.1" customHeight="1">
      <c r="E130" s="2172"/>
      <c r="G130" s="2163">
        <f>'NT-VT'!A134</f>
        <v>0</v>
      </c>
      <c r="H130" s="2164" t="str">
        <f t="shared" si="21"/>
        <v>nt</v>
      </c>
      <c r="I130" s="2164" t="str">
        <f t="shared" si="22"/>
        <v>nt</v>
      </c>
      <c r="J130" s="2173" t="str">
        <f t="shared" si="25"/>
        <v>nt</v>
      </c>
      <c r="K130" s="2174" t="str">
        <f t="shared" si="26"/>
        <v>nt</v>
      </c>
      <c r="L130" s="2064"/>
      <c r="M130" s="2220" t="str">
        <f t="shared" si="24"/>
        <v/>
      </c>
      <c r="O130" s="1948"/>
      <c r="P130" s="1948"/>
      <c r="Q130" s="2172"/>
      <c r="R130" s="1277"/>
      <c r="S130" s="1277"/>
      <c r="U130" s="1487"/>
    </row>
    <row r="131" spans="5:21" s="1282" customFormat="1" ht="35.1" customHeight="1">
      <c r="E131" s="2172"/>
      <c r="G131" s="2163">
        <f>'NT-VT'!A135</f>
        <v>0</v>
      </c>
      <c r="H131" s="2164" t="str">
        <f t="shared" si="21"/>
        <v>nt</v>
      </c>
      <c r="I131" s="2164" t="str">
        <f t="shared" si="22"/>
        <v>nt</v>
      </c>
      <c r="J131" s="2173" t="str">
        <f t="shared" si="25"/>
        <v>nt</v>
      </c>
      <c r="K131" s="2174" t="str">
        <f t="shared" si="26"/>
        <v>nt</v>
      </c>
      <c r="L131" s="2064"/>
      <c r="M131" s="2220" t="str">
        <f t="shared" si="24"/>
        <v/>
      </c>
      <c r="O131" s="1948"/>
      <c r="P131" s="1948"/>
      <c r="Q131" s="2172"/>
      <c r="R131" s="1277"/>
      <c r="S131" s="1277"/>
      <c r="U131" s="1487"/>
    </row>
    <row r="132" spans="5:21" s="1282" customFormat="1" ht="35.1" customHeight="1">
      <c r="E132" s="2172"/>
      <c r="G132" s="2163">
        <f>'NT-VT'!A136</f>
        <v>0</v>
      </c>
      <c r="H132" s="2164" t="str">
        <f t="shared" ref="H132:H134" si="27">IFERROR(VLOOKUP(G132,$Q:$U,2,0),"nt")</f>
        <v>nt</v>
      </c>
      <c r="I132" s="2164" t="str">
        <f t="shared" ref="I132:I134" si="28">IFERROR(VLOOKUP(G132,$Q:$U,3,0),"nt")</f>
        <v>nt</v>
      </c>
      <c r="J132" s="2173" t="str">
        <f t="shared" si="25"/>
        <v>nt</v>
      </c>
      <c r="K132" s="2174" t="str">
        <f t="shared" si="26"/>
        <v>nt</v>
      </c>
      <c r="L132" s="2064"/>
      <c r="M132" s="2220" t="str">
        <f t="shared" si="24"/>
        <v/>
      </c>
      <c r="O132" s="1948"/>
      <c r="P132" s="1948"/>
      <c r="Q132" s="2172"/>
      <c r="R132" s="1277"/>
      <c r="S132" s="1277"/>
      <c r="U132" s="1487"/>
    </row>
    <row r="133" spans="5:21" s="1282" customFormat="1" ht="35.1" customHeight="1">
      <c r="E133" s="2172"/>
      <c r="G133" s="2163">
        <f>'NT-VT'!A137</f>
        <v>0</v>
      </c>
      <c r="H133" s="2164" t="str">
        <f t="shared" si="27"/>
        <v>nt</v>
      </c>
      <c r="I133" s="2164" t="str">
        <f t="shared" si="28"/>
        <v>nt</v>
      </c>
      <c r="J133" s="2173" t="str">
        <f t="shared" si="25"/>
        <v>nt</v>
      </c>
      <c r="K133" s="2174" t="str">
        <f t="shared" si="26"/>
        <v>nt</v>
      </c>
      <c r="L133" s="2064"/>
      <c r="M133" s="2220" t="str">
        <f t="shared" si="24"/>
        <v/>
      </c>
      <c r="O133" s="1948"/>
      <c r="P133" s="1948"/>
      <c r="Q133" s="2172"/>
      <c r="R133" s="1277"/>
      <c r="S133" s="1277"/>
      <c r="U133" s="1487"/>
    </row>
    <row r="134" spans="5:21" s="1282" customFormat="1" ht="35.1" customHeight="1">
      <c r="E134" s="2172"/>
      <c r="G134" s="2163">
        <f>'NT-VT'!A138</f>
        <v>0</v>
      </c>
      <c r="H134" s="2164" t="str">
        <f t="shared" si="27"/>
        <v>nt</v>
      </c>
      <c r="I134" s="2164" t="str">
        <f t="shared" si="28"/>
        <v>nt</v>
      </c>
      <c r="J134" s="2173" t="str">
        <f t="shared" si="25"/>
        <v>nt</v>
      </c>
      <c r="K134" s="2174" t="str">
        <f t="shared" si="26"/>
        <v>nt</v>
      </c>
      <c r="L134" s="2064"/>
      <c r="M134" s="2220" t="str">
        <f t="shared" si="24"/>
        <v/>
      </c>
      <c r="O134" s="1948"/>
      <c r="P134" s="1948"/>
      <c r="Q134" s="2172"/>
      <c r="R134" s="1277"/>
      <c r="S134" s="1277"/>
      <c r="U134" s="1487"/>
    </row>
    <row r="135" spans="5:21" s="1282" customFormat="1" ht="35.1" customHeight="1">
      <c r="E135" s="2172"/>
      <c r="G135" s="1948"/>
      <c r="H135" s="2063"/>
      <c r="I135" s="2063"/>
      <c r="J135" s="2064"/>
      <c r="K135" s="2064"/>
      <c r="L135" s="2064"/>
      <c r="M135" s="1447"/>
      <c r="O135" s="1948"/>
      <c r="P135" s="1948"/>
      <c r="Q135" s="2172"/>
      <c r="R135" s="1277"/>
      <c r="S135" s="1277"/>
      <c r="U135" s="1487"/>
    </row>
    <row r="136" spans="5:21" s="1282" customFormat="1" ht="35.1" customHeight="1">
      <c r="E136" s="2172"/>
      <c r="G136" s="1948"/>
      <c r="H136" s="2063"/>
      <c r="I136" s="2063"/>
      <c r="J136" s="2064"/>
      <c r="K136" s="2064"/>
      <c r="L136" s="2064"/>
      <c r="M136" s="1447"/>
      <c r="O136" s="1948"/>
      <c r="P136" s="1948"/>
      <c r="Q136" s="2172"/>
      <c r="R136" s="1277"/>
      <c r="S136" s="1277"/>
      <c r="U136" s="1487"/>
    </row>
    <row r="137" spans="5:21" s="1282" customFormat="1" ht="35.1" customHeight="1">
      <c r="E137" s="2172"/>
      <c r="G137" s="1948"/>
      <c r="H137" s="2063"/>
      <c r="I137" s="2063"/>
      <c r="J137" s="2064"/>
      <c r="K137" s="2064"/>
      <c r="L137" s="2064"/>
      <c r="M137" s="1447"/>
      <c r="O137" s="1948"/>
      <c r="P137" s="1948"/>
      <c r="Q137" s="2172"/>
      <c r="R137" s="1277"/>
      <c r="S137" s="1277"/>
      <c r="U137" s="1487"/>
    </row>
    <row r="138" spans="5:21" s="1282" customFormat="1" ht="35.1" customHeight="1">
      <c r="E138" s="2172"/>
      <c r="G138" s="1948"/>
      <c r="H138" s="2063"/>
      <c r="I138" s="2063"/>
      <c r="J138" s="2064"/>
      <c r="K138" s="2064"/>
      <c r="L138" s="2064"/>
      <c r="M138" s="1447"/>
      <c r="O138" s="1948"/>
      <c r="P138" s="1948"/>
      <c r="Q138" s="2172"/>
      <c r="R138" s="1277"/>
      <c r="S138" s="1277"/>
      <c r="U138" s="1487"/>
    </row>
    <row r="139" spans="5:21" s="1282" customFormat="1" ht="35.1" customHeight="1">
      <c r="E139" s="2172"/>
      <c r="G139" s="1948"/>
      <c r="H139" s="2063"/>
      <c r="I139" s="2063"/>
      <c r="J139" s="2064"/>
      <c r="K139" s="2064"/>
      <c r="L139" s="2064"/>
      <c r="M139" s="1447"/>
      <c r="O139" s="1948"/>
      <c r="P139" s="1948"/>
      <c r="Q139" s="2172"/>
      <c r="R139" s="1277"/>
      <c r="S139" s="1277"/>
      <c r="U139" s="1487"/>
    </row>
    <row r="140" spans="5:21" s="1282" customFormat="1" ht="35.1" customHeight="1">
      <c r="E140" s="2172"/>
      <c r="G140" s="1948"/>
      <c r="H140" s="2063"/>
      <c r="I140" s="2063"/>
      <c r="J140" s="2064"/>
      <c r="K140" s="2064"/>
      <c r="L140" s="2064"/>
      <c r="M140" s="1447"/>
      <c r="O140" s="1948"/>
      <c r="P140" s="1948"/>
      <c r="Q140" s="2172"/>
      <c r="R140" s="1277"/>
      <c r="S140" s="1277"/>
      <c r="U140" s="1487"/>
    </row>
    <row r="141" spans="5:21" s="1282" customFormat="1" ht="35.1" customHeight="1">
      <c r="E141" s="2172"/>
      <c r="G141" s="1948"/>
      <c r="H141" s="2063"/>
      <c r="I141" s="2063"/>
      <c r="J141" s="2064"/>
      <c r="K141" s="2064"/>
      <c r="L141" s="2064"/>
      <c r="M141" s="1447"/>
      <c r="O141" s="1948"/>
      <c r="P141" s="1948"/>
      <c r="Q141" s="2172"/>
      <c r="R141" s="1277"/>
      <c r="S141" s="1277"/>
      <c r="U141" s="1487"/>
    </row>
    <row r="142" spans="5:21" s="1282" customFormat="1" ht="35.1" customHeight="1">
      <c r="E142" s="2172"/>
      <c r="G142" s="1948"/>
      <c r="H142" s="2063"/>
      <c r="I142" s="2063"/>
      <c r="J142" s="2064"/>
      <c r="K142" s="2064"/>
      <c r="L142" s="2064"/>
      <c r="M142" s="1447"/>
      <c r="O142" s="1948"/>
      <c r="P142" s="1948"/>
      <c r="Q142" s="2172"/>
      <c r="R142" s="1277"/>
      <c r="S142" s="1277"/>
      <c r="U142" s="1487"/>
    </row>
    <row r="143" spans="5:21" s="1282" customFormat="1" ht="35.1" customHeight="1">
      <c r="E143" s="2172"/>
      <c r="G143" s="1948"/>
      <c r="H143" s="2063"/>
      <c r="I143" s="2063"/>
      <c r="J143" s="2064"/>
      <c r="K143" s="2064"/>
      <c r="L143" s="2064"/>
      <c r="M143" s="1447"/>
      <c r="O143" s="1948"/>
      <c r="P143" s="1948"/>
      <c r="Q143" s="2172"/>
      <c r="R143" s="1277"/>
      <c r="S143" s="1277"/>
      <c r="U143" s="1487"/>
    </row>
    <row r="144" spans="5:21" s="1282" customFormat="1" ht="35.1" customHeight="1">
      <c r="E144" s="2172"/>
      <c r="G144" s="1948"/>
      <c r="H144" s="2063"/>
      <c r="I144" s="2063"/>
      <c r="J144" s="2064"/>
      <c r="K144" s="2064"/>
      <c r="L144" s="2064"/>
      <c r="M144" s="1447"/>
      <c r="O144" s="1948"/>
      <c r="P144" s="1948"/>
      <c r="Q144" s="2172"/>
      <c r="R144" s="1277"/>
      <c r="S144" s="1277"/>
      <c r="U144" s="1487"/>
    </row>
    <row r="145" spans="5:68" s="1282" customFormat="1" ht="35.1" customHeight="1">
      <c r="E145" s="2172"/>
      <c r="G145" s="1948"/>
      <c r="H145" s="2063"/>
      <c r="I145" s="2063"/>
      <c r="J145" s="2064"/>
      <c r="K145" s="2064"/>
      <c r="L145" s="2064"/>
      <c r="M145" s="1447"/>
      <c r="O145" s="1948"/>
      <c r="P145" s="1948"/>
      <c r="Q145" s="2172"/>
      <c r="R145" s="1277"/>
      <c r="S145" s="1277"/>
      <c r="U145" s="1487"/>
    </row>
    <row r="146" spans="5:68" s="1282" customFormat="1" ht="35.1" customHeight="1">
      <c r="E146" s="2172"/>
      <c r="G146" s="1948"/>
      <c r="H146" s="1948"/>
      <c r="I146" s="1948"/>
      <c r="J146" s="2064"/>
      <c r="K146" s="2064"/>
      <c r="L146" s="2064"/>
      <c r="M146" s="1447"/>
      <c r="O146" s="1948"/>
      <c r="P146" s="1948"/>
      <c r="Q146" s="2172"/>
      <c r="R146" s="1277"/>
      <c r="S146" s="1277"/>
      <c r="U146" s="1487"/>
    </row>
    <row r="147" spans="5:68" s="1282" customFormat="1" ht="35.1" customHeight="1">
      <c r="E147" s="2172"/>
      <c r="G147" s="1948"/>
      <c r="H147" s="1948"/>
      <c r="I147" s="1948"/>
      <c r="J147" s="2064"/>
      <c r="K147" s="2064"/>
      <c r="L147" s="2064"/>
      <c r="M147" s="1447"/>
      <c r="O147" s="1948"/>
      <c r="P147" s="1948"/>
      <c r="Q147" s="2172"/>
      <c r="R147" s="1277"/>
      <c r="S147" s="1277"/>
      <c r="U147" s="1487"/>
    </row>
    <row r="148" spans="5:68" s="1282" customFormat="1" ht="35.1" customHeight="1">
      <c r="E148" s="2172"/>
      <c r="G148" s="1948"/>
      <c r="H148" s="1948"/>
      <c r="I148" s="1948"/>
      <c r="J148" s="2064"/>
      <c r="K148" s="2064"/>
      <c r="L148" s="2064"/>
      <c r="M148" s="1447"/>
      <c r="O148" s="1948"/>
      <c r="P148" s="1948"/>
      <c r="Q148" s="2172"/>
      <c r="R148" s="1277"/>
      <c r="S148" s="1277"/>
      <c r="U148" s="1487"/>
    </row>
    <row r="149" spans="5:68" s="1282" customFormat="1" ht="35.1" customHeight="1">
      <c r="E149" s="2172"/>
      <c r="G149" s="1948"/>
      <c r="H149" s="2063"/>
      <c r="I149" s="2063"/>
      <c r="J149" s="2064"/>
      <c r="K149" s="2064"/>
      <c r="L149" s="2064"/>
      <c r="M149" s="1447"/>
      <c r="O149" s="1948"/>
      <c r="P149" s="1948"/>
      <c r="Q149" s="2172"/>
      <c r="R149" s="1277"/>
      <c r="S149" s="1277"/>
      <c r="U149" s="1487"/>
    </row>
    <row r="150" spans="5:68" ht="35.1" customHeight="1">
      <c r="BJ150" s="1006"/>
      <c r="BK150" s="1449" t="s">
        <v>4420</v>
      </c>
      <c r="BL150" s="1450"/>
      <c r="BM150" s="1006"/>
      <c r="BN150" s="1008"/>
      <c r="BP150" s="2162"/>
    </row>
    <row r="151" spans="5:68" ht="35.1" customHeight="1">
      <c r="BJ151" s="1001">
        <v>6</v>
      </c>
      <c r="BK151" s="1449" t="s">
        <v>4234</v>
      </c>
      <c r="BL151" s="1450"/>
      <c r="BM151" s="1001"/>
      <c r="BN151" s="986" t="s">
        <v>4214</v>
      </c>
      <c r="BP151" s="2162"/>
    </row>
    <row r="152" spans="5:68" ht="35.1" customHeight="1">
      <c r="BJ152" s="1003"/>
      <c r="BK152" s="1449" t="s">
        <v>4421</v>
      </c>
      <c r="BL152" s="1450"/>
      <c r="BM152" s="1003"/>
      <c r="BN152" s="1005"/>
      <c r="BP152" s="2162"/>
    </row>
    <row r="153" spans="5:68" ht="35.1" customHeight="1">
      <c r="BJ153" s="1003"/>
      <c r="BK153" s="1449" t="s">
        <v>4422</v>
      </c>
      <c r="BL153" s="1450"/>
      <c r="BM153" s="1003"/>
      <c r="BN153" s="1005"/>
      <c r="BP153" s="2162"/>
    </row>
    <row r="154" spans="5:68" ht="35.1" customHeight="1">
      <c r="BJ154" s="1003"/>
      <c r="BK154" s="1449" t="s">
        <v>4423</v>
      </c>
      <c r="BL154" s="1450"/>
      <c r="BM154" s="1003"/>
      <c r="BN154" s="1005"/>
      <c r="BP154" s="2162"/>
    </row>
    <row r="155" spans="5:68" ht="35.1" customHeight="1">
      <c r="BJ155" s="1006"/>
      <c r="BK155" s="1449" t="s">
        <v>4424</v>
      </c>
      <c r="BL155" s="1450"/>
      <c r="BM155" s="1006"/>
      <c r="BN155" s="1008"/>
      <c r="BP155" s="2162"/>
    </row>
    <row r="156" spans="5:68" ht="35.1" customHeight="1">
      <c r="BJ156" s="994" t="s">
        <v>501</v>
      </c>
      <c r="BK156" s="1451" t="s">
        <v>4425</v>
      </c>
      <c r="BL156" s="1452"/>
      <c r="BM156" s="885" t="e">
        <v>#N/A</v>
      </c>
      <c r="BN156" s="890"/>
      <c r="BP156" s="2162"/>
    </row>
    <row r="157" spans="5:68" ht="35.1" customHeight="1">
      <c r="BJ157" s="1001">
        <v>1</v>
      </c>
      <c r="BK157" s="1449" t="s">
        <v>4420</v>
      </c>
      <c r="BL157" s="1450"/>
      <c r="BM157" s="1002"/>
      <c r="BN157" s="986" t="s">
        <v>4214</v>
      </c>
      <c r="BP157" s="2162"/>
    </row>
    <row r="158" spans="5:68" ht="35.1" customHeight="1">
      <c r="BJ158" s="1003"/>
      <c r="BK158" s="1449" t="s">
        <v>4420</v>
      </c>
      <c r="BL158" s="1450"/>
      <c r="BM158" s="1004"/>
      <c r="BN158" s="1005"/>
      <c r="BP158" s="2162"/>
    </row>
    <row r="159" spans="5:68" ht="35.1" customHeight="1">
      <c r="BJ159" s="1003"/>
      <c r="BK159" s="1449" t="s">
        <v>4420</v>
      </c>
      <c r="BL159" s="1450"/>
      <c r="BM159" s="1004"/>
      <c r="BN159" s="1005"/>
      <c r="BP159" s="2162"/>
    </row>
    <row r="160" spans="5:68" ht="35.1" customHeight="1">
      <c r="BJ160" s="1003"/>
      <c r="BK160" s="1449" t="s">
        <v>4420</v>
      </c>
      <c r="BL160" s="1450"/>
      <c r="BM160" s="1004"/>
      <c r="BN160" s="1005"/>
      <c r="BP160" s="2162"/>
    </row>
    <row r="161" spans="62:68" ht="35.1" customHeight="1">
      <c r="BJ161" s="1003"/>
      <c r="BK161" s="1449" t="s">
        <v>4420</v>
      </c>
      <c r="BL161" s="1450"/>
      <c r="BM161" s="1004"/>
      <c r="BN161" s="1005"/>
      <c r="BP161" s="2162"/>
    </row>
    <row r="162" spans="62:68" ht="35.1" customHeight="1">
      <c r="BJ162" s="1003"/>
      <c r="BK162" s="1449" t="s">
        <v>4420</v>
      </c>
      <c r="BL162" s="1450"/>
      <c r="BM162" s="1004"/>
      <c r="BN162" s="1005"/>
      <c r="BP162" s="2162"/>
    </row>
    <row r="163" spans="62:68" ht="35.1" customHeight="1">
      <c r="BJ163" s="1006"/>
      <c r="BK163" s="1449" t="s">
        <v>4420</v>
      </c>
      <c r="BL163" s="1450"/>
      <c r="BM163" s="1007"/>
      <c r="BN163" s="1008"/>
      <c r="BP163" s="2162"/>
    </row>
  </sheetData>
  <phoneticPr fontId="0" type="noConversion"/>
  <conditionalFormatting sqref="G2:G134">
    <cfRule type="duplicateValues" dxfId="26" priority="14"/>
  </conditionalFormatting>
  <conditionalFormatting sqref="G44">
    <cfRule type="duplicateValues" dxfId="25" priority="13"/>
  </conditionalFormatting>
  <conditionalFormatting sqref="G47">
    <cfRule type="duplicateValues" dxfId="24" priority="12"/>
  </conditionalFormatting>
  <conditionalFormatting sqref="G52">
    <cfRule type="duplicateValues" dxfId="23" priority="11"/>
  </conditionalFormatting>
  <conditionalFormatting sqref="G53:G55">
    <cfRule type="duplicateValues" dxfId="22" priority="10"/>
  </conditionalFormatting>
  <conditionalFormatting sqref="G56:G57">
    <cfRule type="duplicateValues" dxfId="21" priority="9"/>
  </conditionalFormatting>
  <conditionalFormatting sqref="G43">
    <cfRule type="duplicateValues" dxfId="20" priority="8"/>
  </conditionalFormatting>
  <conditionalFormatting sqref="G203:G1048576 G149:G193 G1:G145">
    <cfRule type="duplicateValues" dxfId="19" priority="7"/>
  </conditionalFormatting>
  <conditionalFormatting sqref="Q23 Q25:Q30 Q33 Q1:Q21 Q35:Q1048576">
    <cfRule type="duplicateValues" dxfId="18" priority="6"/>
  </conditionalFormatting>
  <conditionalFormatting sqref="Q22">
    <cfRule type="duplicateValues" dxfId="17" priority="5"/>
  </conditionalFormatting>
  <conditionalFormatting sqref="Q24">
    <cfRule type="duplicateValues" dxfId="16" priority="4"/>
  </conditionalFormatting>
  <conditionalFormatting sqref="Q31">
    <cfRule type="duplicateValues" dxfId="15" priority="3"/>
  </conditionalFormatting>
  <conditionalFormatting sqref="Q32">
    <cfRule type="duplicateValues" dxfId="14" priority="2"/>
  </conditionalFormatting>
  <conditionalFormatting sqref="Q34">
    <cfRule type="duplicateValues" dxfId="13" priority="1"/>
  </conditionalFormatting>
  <dataValidations count="3">
    <dataValidation allowBlank="1" showInputMessage="1" sqref="U2:U11 T3:T7 T9:T11 J2:K134" xr:uid="{00000000-0002-0000-1D00-000000000000}"/>
    <dataValidation type="list" allowBlank="1" showInputMessage="1" showErrorMessage="1" sqref="O2" xr:uid="{00000000-0002-0000-1D00-000001000000}">
      <formula1>"/BB-PECJC,/BB-TNĐ,/BB-PXTN"</formula1>
    </dataValidation>
    <dataValidation type="list" allowBlank="1" showInputMessage="1" sqref="R15:S17 R28:S38 R19:S26 H2:I134 R2:S11" xr:uid="{00000000-0002-0000-1D00-000002000000}">
      <formula1>$Z$2:$Z$19</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tabColor rgb="FFFFFF00"/>
  </sheetPr>
  <dimension ref="A1:AA140"/>
  <sheetViews>
    <sheetView showZeros="0" topLeftCell="A103" zoomScale="85" zoomScaleNormal="85" workbookViewId="0">
      <selection activeCell="G22" sqref="G22"/>
    </sheetView>
  </sheetViews>
  <sheetFormatPr defaultColWidth="8.90625" defaultRowHeight="24.9" customHeight="1"/>
  <cols>
    <col min="1" max="1" width="12.90625" style="854" customWidth="1"/>
    <col min="2" max="2" width="6.81640625" style="858" customWidth="1"/>
    <col min="3" max="3" width="27.453125" style="876" customWidth="1"/>
    <col min="4" max="4" width="8.08984375" style="876" customWidth="1"/>
    <col min="5" max="5" width="7.1796875" style="858" customWidth="1"/>
    <col min="6" max="6" width="28.6328125" style="858" customWidth="1"/>
    <col min="7" max="7" width="23.6328125" style="858" customWidth="1"/>
    <col min="8" max="8" width="18.36328125" style="858" hidden="1" customWidth="1"/>
    <col min="9" max="9" width="1" style="858" hidden="1" customWidth="1"/>
    <col min="10" max="10" width="16.6328125" style="858" hidden="1" customWidth="1"/>
    <col min="11" max="11" width="4.6328125" style="877" hidden="1" customWidth="1"/>
    <col min="12" max="12" width="17.90625" style="858" customWidth="1"/>
    <col min="13" max="13" width="11.81640625" style="878" customWidth="1"/>
    <col min="14" max="14" width="11.453125" style="858" customWidth="1"/>
    <col min="15" max="15" width="8.90625" style="858"/>
    <col min="16" max="16" width="12.81640625" style="873" customWidth="1"/>
    <col min="17" max="17" width="12.81640625" style="1433" customWidth="1"/>
    <col min="18" max="18" width="10.81640625" style="859" customWidth="1"/>
    <col min="19" max="19" width="5.36328125" style="859" customWidth="1"/>
    <col min="20" max="20" width="54.36328125" style="859" customWidth="1"/>
    <col min="21" max="27" width="8.90625" style="859"/>
    <col min="28" max="16384" width="8.90625" style="846"/>
  </cols>
  <sheetData>
    <row r="1" spans="1:27" s="852" customFormat="1" ht="27" customHeight="1">
      <c r="A1" s="2117"/>
      <c r="B1" s="3190" t="s">
        <v>4200</v>
      </c>
      <c r="C1" s="3190"/>
      <c r="D1" s="3190"/>
      <c r="E1" s="3190"/>
      <c r="F1" s="3190"/>
      <c r="G1" s="3190"/>
      <c r="H1" s="3190"/>
      <c r="I1" s="3190"/>
      <c r="J1" s="3190"/>
      <c r="K1" s="3191"/>
      <c r="L1" s="3190"/>
      <c r="M1" s="3190"/>
      <c r="N1" s="3190"/>
      <c r="O1" s="1268"/>
      <c r="P1" s="1481"/>
      <c r="Q1" s="1482" t="s">
        <v>4201</v>
      </c>
      <c r="R1" s="1270">
        <v>42358</v>
      </c>
      <c r="S1" s="1271"/>
      <c r="T1" s="1271"/>
      <c r="U1" s="1271"/>
      <c r="V1" s="1271"/>
      <c r="W1" s="1271"/>
      <c r="X1" s="1271"/>
      <c r="Y1" s="1271"/>
      <c r="Z1" s="1271"/>
      <c r="AA1" s="1271"/>
    </row>
    <row r="2" spans="1:27" s="852" customFormat="1" ht="20.25" customHeight="1">
      <c r="A2" s="2117"/>
      <c r="B2" s="1268"/>
      <c r="C2" s="1269" t="str">
        <f>chitiet!E7</f>
        <v>Công trình: Đường dây trung thế và TBA 3P-1250kVA Trang trại tổng hợp Nguyễn Đăng Nam</v>
      </c>
      <c r="D2" s="1269"/>
      <c r="E2" s="1269"/>
      <c r="F2" s="1269"/>
      <c r="G2" s="1269"/>
      <c r="H2" s="1483"/>
      <c r="I2" s="1483"/>
      <c r="J2" s="1269"/>
      <c r="K2" s="1269"/>
      <c r="L2" s="1269"/>
      <c r="M2" s="1269"/>
      <c r="N2" s="1272"/>
      <c r="O2" s="1268"/>
      <c r="P2" s="1268"/>
      <c r="Q2" s="1484"/>
      <c r="R2" s="1273">
        <v>42362</v>
      </c>
      <c r="S2" s="1271"/>
      <c r="T2" s="1271"/>
      <c r="U2" s="1271"/>
      <c r="V2" s="1271"/>
      <c r="W2" s="1271"/>
      <c r="X2" s="1271"/>
      <c r="Y2" s="1271"/>
      <c r="Z2" s="1271"/>
      <c r="AA2" s="1271"/>
    </row>
    <row r="3" spans="1:27" s="1275" customFormat="1" ht="22.5" customHeight="1">
      <c r="A3" s="2118"/>
      <c r="B3" s="3192" t="str">
        <f>WORD!Z2&amp;", ngày            tháng           năm 2020"</f>
        <v>Suối Cao, ngày            tháng           năm 2020</v>
      </c>
      <c r="C3" s="3192"/>
      <c r="D3" s="3192"/>
      <c r="E3" s="3192"/>
      <c r="F3" s="3192"/>
      <c r="G3" s="3192"/>
      <c r="H3" s="3193"/>
      <c r="I3" s="3193"/>
      <c r="J3" s="3192"/>
      <c r="K3" s="3194"/>
      <c r="L3" s="3192"/>
      <c r="M3" s="3192"/>
      <c r="N3" s="3192"/>
      <c r="O3" s="985"/>
      <c r="P3" s="985"/>
      <c r="Q3" s="1485"/>
      <c r="R3" s="1274"/>
      <c r="S3" s="1274"/>
      <c r="T3" s="1274"/>
      <c r="U3" s="1274"/>
      <c r="V3" s="1274"/>
      <c r="W3" s="1274"/>
      <c r="X3" s="1274"/>
      <c r="Y3" s="1274"/>
      <c r="Z3" s="1274"/>
      <c r="AA3" s="1274"/>
    </row>
    <row r="4" spans="1:27" s="861" customFormat="1" ht="44.25" customHeight="1">
      <c r="A4" s="1472"/>
      <c r="B4" s="3189" t="s">
        <v>1712</v>
      </c>
      <c r="C4" s="3189" t="s">
        <v>4202</v>
      </c>
      <c r="D4" s="3189" t="s">
        <v>4203</v>
      </c>
      <c r="E4" s="3189" t="s">
        <v>4204</v>
      </c>
      <c r="F4" s="3189" t="s">
        <v>4205</v>
      </c>
      <c r="G4" s="3189" t="s">
        <v>4206</v>
      </c>
      <c r="H4" s="3189" t="s">
        <v>4510</v>
      </c>
      <c r="I4" s="3189"/>
      <c r="J4" s="3189" t="s">
        <v>4207</v>
      </c>
      <c r="K4" s="3195"/>
      <c r="L4" s="3189" t="s">
        <v>4208</v>
      </c>
      <c r="M4" s="3189"/>
      <c r="N4" s="1468" t="s">
        <v>4209</v>
      </c>
      <c r="O4" s="1474"/>
      <c r="P4" s="1435" t="s">
        <v>4497</v>
      </c>
      <c r="Q4" s="1436"/>
      <c r="R4" s="1473"/>
      <c r="S4" s="860"/>
      <c r="T4" s="860"/>
      <c r="U4" s="860"/>
      <c r="V4" s="860"/>
      <c r="W4" s="860"/>
      <c r="X4" s="860"/>
      <c r="Y4" s="860"/>
      <c r="Z4" s="860"/>
      <c r="AA4" s="860"/>
    </row>
    <row r="5" spans="1:27" s="861" customFormat="1" ht="24.9" customHeight="1">
      <c r="A5" s="1472"/>
      <c r="B5" s="3189"/>
      <c r="C5" s="3189"/>
      <c r="D5" s="3189"/>
      <c r="E5" s="3189"/>
      <c r="F5" s="3189"/>
      <c r="G5" s="3189"/>
      <c r="H5" s="1265" t="s">
        <v>4210</v>
      </c>
      <c r="I5" s="1265" t="s">
        <v>4211</v>
      </c>
      <c r="J5" s="1468" t="s">
        <v>4210</v>
      </c>
      <c r="K5" s="1470" t="s">
        <v>4211</v>
      </c>
      <c r="L5" s="1468" t="s">
        <v>4212</v>
      </c>
      <c r="M5" s="1432" t="s">
        <v>4211</v>
      </c>
      <c r="N5" s="1265"/>
      <c r="O5" s="1266">
        <v>1</v>
      </c>
      <c r="P5" s="1438"/>
      <c r="Q5" s="1434"/>
      <c r="R5" s="1473"/>
      <c r="S5" s="860"/>
      <c r="T5" s="860"/>
      <c r="U5" s="860"/>
      <c r="V5" s="860"/>
      <c r="W5" s="860"/>
      <c r="X5" s="860"/>
      <c r="Y5" s="860"/>
      <c r="Z5" s="860"/>
      <c r="AA5" s="860"/>
    </row>
    <row r="6" spans="1:27" s="861" customFormat="1" ht="53.4" customHeight="1">
      <c r="A6" s="2148" t="str">
        <f>VLOOKUP(ROW()-ROW($A$5),TongHopKL!A:B,2,0)</f>
        <v>TR12501</v>
      </c>
      <c r="B6" s="1725">
        <f>SUM($O$6:O6)</f>
        <v>1</v>
      </c>
      <c r="C6" s="1726" t="str">
        <f>(VLOOKUP(A6,TongHopKL!B:F,5,0))</f>
        <v>Máy biến áp 22/0,4kV- 1250kVA</v>
      </c>
      <c r="D6" s="1727" t="str">
        <f>IFERROR(VLOOKUP(A6,DG!A:D,4,0),0)</f>
        <v>máy</v>
      </c>
      <c r="E6" s="1728">
        <f>SUMIF(TongHopKL!B:B,'NT-VT'!A6,TongHopKL!H:H)</f>
        <v>1</v>
      </c>
      <c r="F6" s="1725"/>
      <c r="G6" s="1725"/>
      <c r="H6" s="1725"/>
      <c r="I6" s="1729"/>
      <c r="J6" s="1730">
        <f>IFERROR(VLOOKUP(A6,Solieu!G:M,4,0),"")</f>
        <v>0</v>
      </c>
      <c r="K6" s="1731">
        <f>IFERROR(VLOOKUP(A6,Solieu!G:M,5,0),"")</f>
        <v>43965</v>
      </c>
      <c r="L6" s="1932"/>
      <c r="M6" s="1729"/>
      <c r="N6" s="1265" t="s">
        <v>4214</v>
      </c>
      <c r="O6" s="1475">
        <f>IF(ISERROR(C6),"",1)</f>
        <v>1</v>
      </c>
      <c r="P6" s="52" t="e">
        <f ca="1">VLOOKUP(A6,TongHopKL!D:M,8,0)</f>
        <v>#N/A</v>
      </c>
      <c r="Q6" s="1437"/>
      <c r="R6" s="1476"/>
      <c r="S6" s="862"/>
      <c r="T6" s="862"/>
      <c r="U6" s="860"/>
      <c r="V6" s="860"/>
      <c r="W6" s="860"/>
      <c r="X6" s="860"/>
      <c r="Y6" s="860"/>
      <c r="Z6" s="860"/>
      <c r="AA6" s="860"/>
    </row>
    <row r="7" spans="1:27" s="861" customFormat="1" ht="34.950000000000003" customHeight="1">
      <c r="A7" s="2148" t="str">
        <f>VLOOKUP(ROW()-ROW($A$5),TongHopKL!A:B,2,0)</f>
        <v>acb2000</v>
      </c>
      <c r="B7" s="1725">
        <f>SUM($O$6:O7)</f>
        <v>2</v>
      </c>
      <c r="C7" s="1726" t="str">
        <f>(VLOOKUP(A7,TongHopKL!B:F,5,0))</f>
        <v>ACB 3P - 2000A - 85KA (nạp lò xo bằng tay)</v>
      </c>
      <c r="D7" s="1727" t="str">
        <f>IFERROR(VLOOKUP(A7,DG!A:D,4,0),0)</f>
        <v>cái</v>
      </c>
      <c r="E7" s="1728">
        <f>SUMIF(TongHopKL!B:B,'NT-VT'!A7,TongHopKL!H:H)</f>
        <v>1</v>
      </c>
      <c r="F7" s="1725" t="str">
        <f>IFERROR(VLOOKUP(A7,Solieu!G:M,2,0),"")</f>
        <v>Mitsubishi Electric</v>
      </c>
      <c r="G7" s="1725" t="str">
        <f>IFERROR(VLOOKUP(A7,Solieu!G:M,3,0),"")</f>
        <v>Mitsubishi Electric</v>
      </c>
      <c r="H7" s="1725"/>
      <c r="I7" s="1729"/>
      <c r="J7" s="1730">
        <f>IFERROR(VLOOKUP(A7,Solieu!G:M,4,0),"")</f>
        <v>0</v>
      </c>
      <c r="K7" s="1731">
        <f>IFERROR(VLOOKUP(A7,Solieu!G:M,5,0),"")</f>
        <v>0</v>
      </c>
      <c r="L7" s="1932" t="str">
        <f>IFERROR(VLOOKUP(A7,Solieu!G:M,6,0),"")</f>
        <v>24561/BB-ACB</v>
      </c>
      <c r="M7" s="1729">
        <f>IFERROR(VLOOKUP(A7,Solieu!G:M,7,0),"")</f>
        <v>44001</v>
      </c>
      <c r="N7" s="1265" t="s">
        <v>4214</v>
      </c>
      <c r="O7" s="1475">
        <f t="shared" ref="O7:O70" si="0">IF(ISERROR(C7),"",1)</f>
        <v>1</v>
      </c>
      <c r="P7" s="52" t="e">
        <f ca="1">VLOOKUP(A7,TongHopKL!D:M,8,0)</f>
        <v>#N/A</v>
      </c>
      <c r="Q7" s="1437"/>
      <c r="R7" s="1476"/>
      <c r="S7" s="862"/>
      <c r="T7" s="863"/>
      <c r="U7" s="860"/>
      <c r="V7" s="860"/>
      <c r="W7" s="860"/>
      <c r="X7" s="860"/>
      <c r="Y7" s="860"/>
      <c r="Z7" s="860"/>
      <c r="AA7" s="860"/>
    </row>
    <row r="8" spans="1:27" s="861" customFormat="1" ht="34.950000000000003" customHeight="1">
      <c r="A8" s="2148" t="str">
        <f>VLOOKUP(ROW()-ROW($A$5),TongHopKL!A:B,2,0)</f>
        <v>FCO100-22</v>
      </c>
      <c r="B8" s="1725">
        <f>SUM($O$6:O8)</f>
        <v>3</v>
      </c>
      <c r="C8" s="1726" t="str">
        <f>(VLOOKUP(A8,TongHopKL!B:F,5,0))</f>
        <v>FCO 27kV - 100A</v>
      </c>
      <c r="D8" s="1727" t="str">
        <f>IFERROR(VLOOKUP(A8,DG!A:D,4,0),0)</f>
        <v>cái</v>
      </c>
      <c r="E8" s="1728">
        <f>SUMIF(TongHopKL!B:B,'NT-VT'!A8,TongHopKL!H:H)</f>
        <v>6</v>
      </c>
      <c r="F8" s="1725" t="str">
        <f>IFERROR(VLOOKUP(A8,Solieu!G:M,2,0),"")</f>
        <v>Chance</v>
      </c>
      <c r="G8" s="1725" t="str">
        <f>IFERROR(VLOOKUP(A8,Solieu!G:M,3,0),"")</f>
        <v>Cty TNHH MTV Đại Thiên An</v>
      </c>
      <c r="H8" s="1725"/>
      <c r="I8" s="1729"/>
      <c r="J8" s="1730" t="str">
        <f>IFERROR(VLOOKUP(A8,Solieu!G:M,4,0),"")</f>
        <v>13FCO/XXTA</v>
      </c>
      <c r="K8" s="1731">
        <f>IFERROR(VLOOKUP(A8,Solieu!G:M,5,0),"")</f>
        <v>43955</v>
      </c>
      <c r="L8" s="1932" t="str">
        <f>IFERROR(VLOOKUP(A8,Solieu!G:M,6,0),"")</f>
        <v>24562/BB-FCO</v>
      </c>
      <c r="M8" s="1729">
        <f>IFERROR(VLOOKUP(A8,Solieu!G:M,7,0),"")</f>
        <v>44001</v>
      </c>
      <c r="N8" s="1265" t="s">
        <v>4214</v>
      </c>
      <c r="O8" s="1475">
        <f t="shared" si="0"/>
        <v>1</v>
      </c>
      <c r="P8" s="52" t="e">
        <f ca="1">VLOOKUP(A8,TongHopKL!D:M,8,0)</f>
        <v>#N/A</v>
      </c>
      <c r="Q8" s="1437"/>
      <c r="R8" s="1476"/>
      <c r="S8" s="862"/>
      <c r="T8" s="863"/>
      <c r="U8" s="860"/>
      <c r="V8" s="860"/>
      <c r="W8" s="860"/>
      <c r="X8" s="860"/>
      <c r="Y8" s="860"/>
      <c r="Z8" s="860"/>
      <c r="AA8" s="860"/>
    </row>
    <row r="9" spans="1:27" s="861" customFormat="1" ht="34.950000000000003" customHeight="1">
      <c r="A9" s="2148" t="str">
        <f>VLOOKUP(ROW()-ROW($A$5),TongHopKL!A:B,2,0)</f>
        <v>LA18</v>
      </c>
      <c r="B9" s="1725">
        <f>SUM($O$6:O9)</f>
        <v>4</v>
      </c>
      <c r="C9" s="1726" t="str">
        <f>(VLOOKUP(A9,TongHopKL!B:F,5,0))</f>
        <v>Chống sét van LA-18KV-10KA</v>
      </c>
      <c r="D9" s="1727" t="str">
        <f>IFERROR(VLOOKUP(A9,DG!A:D,4,0),0)</f>
        <v>cái</v>
      </c>
      <c r="E9" s="1728">
        <f>SUMIF(TongHopKL!B:B,'NT-VT'!A9,TongHopKL!H:H)</f>
        <v>6</v>
      </c>
      <c r="F9" s="1725" t="str">
        <f>IFERROR(VLOOKUP(A9,Solieu!G:M,2,0),"")</f>
        <v>Cooper</v>
      </c>
      <c r="G9" s="1725" t="str">
        <f>IFERROR(VLOOKUP(A9,Solieu!G:M,3,0),"")</f>
        <v>Cty TNHH MTV Đại Thiên An</v>
      </c>
      <c r="H9" s="1725"/>
      <c r="I9" s="1729"/>
      <c r="J9" s="1730">
        <f>IFERROR(VLOOKUP(A9,Solieu!G:M,4,0),"")</f>
        <v>0</v>
      </c>
      <c r="K9" s="1731">
        <f>IFERROR(VLOOKUP(A9,Solieu!G:M,5,0),"")</f>
        <v>0</v>
      </c>
      <c r="L9" s="1932" t="str">
        <f>IFERROR(VLOOKUP(A9,Solieu!G:M,6,0),"")</f>
        <v>24563/BB-LA</v>
      </c>
      <c r="M9" s="1729">
        <f>IFERROR(VLOOKUP(A9,Solieu!G:M,7,0),"")</f>
        <v>44001</v>
      </c>
      <c r="N9" s="1265" t="s">
        <v>4214</v>
      </c>
      <c r="O9" s="1475">
        <f t="shared" si="0"/>
        <v>1</v>
      </c>
      <c r="P9" s="52" t="e">
        <f ca="1">VLOOKUP(A9,TongHopKL!D:M,8,0)</f>
        <v>#N/A</v>
      </c>
      <c r="Q9" s="1437"/>
      <c r="R9" s="1473"/>
      <c r="S9" s="860"/>
      <c r="T9" s="863"/>
      <c r="U9" s="860"/>
      <c r="V9" s="860"/>
      <c r="W9" s="860"/>
      <c r="X9" s="860"/>
      <c r="Y9" s="860"/>
      <c r="Z9" s="860"/>
      <c r="AA9" s="860"/>
    </row>
    <row r="10" spans="1:27" s="861" customFormat="1" ht="34.950000000000003" customHeight="1">
      <c r="A10" s="2148" t="str">
        <f>VLOOKUP(ROW()-ROW($A$5),TongHopKL!A:B,2,0)</f>
        <v>SD</v>
      </c>
      <c r="B10" s="1725">
        <f>SUM($O$6:O10)</f>
        <v>5</v>
      </c>
      <c r="C10" s="1726" t="str">
        <f>(VLOOKUP(A10,TongHopKL!B:F,5,0))</f>
        <v xml:space="preserve">Sứ đứng 24KV </v>
      </c>
      <c r="D10" s="1727" t="str">
        <f>IFERROR(VLOOKUP(A10,DG!A:D,4,0),0)</f>
        <v>cái</v>
      </c>
      <c r="E10" s="1728">
        <f>SUMIF(TongHopKL!B:B,'NT-VT'!A10,TongHopKL!H:H)</f>
        <v>17</v>
      </c>
      <c r="F10" s="1725" t="str">
        <f>IFERROR(VLOOKUP(A10,Solieu!G:M,2,0),"")</f>
        <v>Minh Long</v>
      </c>
      <c r="G10" s="1725" t="str">
        <f>IFERROR(VLOOKUP(A10,Solieu!G:M,3,0),"")</f>
        <v>Minh Long</v>
      </c>
      <c r="H10" s="1725"/>
      <c r="I10" s="1729"/>
      <c r="J10" s="1730">
        <f>IFERROR(VLOOKUP(A10,Solieu!G:M,4,0),"")</f>
        <v>0</v>
      </c>
      <c r="K10" s="1731">
        <f>IFERROR(VLOOKUP(A10,Solieu!G:M,5,0),"")</f>
        <v>0</v>
      </c>
      <c r="L10" s="1932" t="str">
        <f>IFERROR(VLOOKUP(A10,Solieu!G:M,6,0),"")</f>
        <v>24568/BB-SCĐ</v>
      </c>
      <c r="M10" s="1729">
        <f>IFERROR(VLOOKUP(A10,Solieu!G:M,7,0),"")</f>
        <v>44001</v>
      </c>
      <c r="N10" s="1265" t="s">
        <v>4214</v>
      </c>
      <c r="O10" s="1475">
        <f t="shared" si="0"/>
        <v>1</v>
      </c>
      <c r="P10" s="52" t="e">
        <f ca="1">VLOOKUP(A10,TongHopKL!D:M,8,0)</f>
        <v>#N/A</v>
      </c>
      <c r="Q10" s="1437"/>
      <c r="R10" s="1473"/>
      <c r="S10" s="860"/>
      <c r="T10" s="863"/>
      <c r="U10" s="860"/>
      <c r="V10" s="860"/>
      <c r="W10" s="860"/>
      <c r="X10" s="860"/>
      <c r="Y10" s="860"/>
      <c r="Z10" s="860"/>
      <c r="AA10" s="860"/>
    </row>
    <row r="11" spans="1:27" s="1264" customFormat="1" ht="34.950000000000003" customHeight="1">
      <c r="A11" s="2148" t="str">
        <f>VLOOKUP(ROW()-ROW($A$5),TongHopKL!A:B,2,0)</f>
        <v>Stply</v>
      </c>
      <c r="B11" s="1725">
        <f>SUM($O$6:O11)</f>
        <v>6</v>
      </c>
      <c r="C11" s="1726" t="str">
        <f>(VLOOKUP(A11,TongHopKL!B:F,5,0))</f>
        <v>Sứ treo polymer</v>
      </c>
      <c r="D11" s="1727" t="str">
        <f>IFERROR(VLOOKUP(A11,DG!A:D,4,0),0)</f>
        <v>chuỗi</v>
      </c>
      <c r="E11" s="1728">
        <f>SUMIF(TongHopKL!B:B,'NT-VT'!A11,TongHopKL!H:H)</f>
        <v>6</v>
      </c>
      <c r="F11" s="1725" t="str">
        <f>IFERROR(VLOOKUP(A11,Solieu!G:M,2,0),"")</f>
        <v>DTR</v>
      </c>
      <c r="G11" s="1725" t="str">
        <f>IFERROR(VLOOKUP(A11,Solieu!G:M,3,0),"")</f>
        <v>Cty TNHH MTV Đại Thiên An</v>
      </c>
      <c r="H11" s="1725"/>
      <c r="I11" s="1729"/>
      <c r="J11" s="1730" t="str">
        <f>IFERROR(VLOOKUP(A11,Solieu!G:M,4,0),"")</f>
        <v>0213.XLDQA.20</v>
      </c>
      <c r="K11" s="1731">
        <f>IFERROR(VLOOKUP(A11,Solieu!G:M,5,0),"")</f>
        <v>43957</v>
      </c>
      <c r="L11" s="1932" t="str">
        <f>IFERROR(VLOOKUP(A11,Solieu!G:M,6,0),"")</f>
        <v>24569/BB-SCĐ</v>
      </c>
      <c r="M11" s="1729">
        <f>IFERROR(VLOOKUP(A11,Solieu!G:M,7,0),"")</f>
        <v>44001</v>
      </c>
      <c r="N11" s="1265" t="s">
        <v>4214</v>
      </c>
      <c r="O11" s="1475">
        <f t="shared" si="0"/>
        <v>1</v>
      </c>
      <c r="P11" s="52" t="e">
        <f ca="1">VLOOKUP(A11,TongHopKL!D:M,8,0)</f>
        <v>#N/A</v>
      </c>
      <c r="Q11" s="1437"/>
      <c r="R11" s="1263"/>
      <c r="S11" s="1262"/>
      <c r="T11" s="1262"/>
      <c r="U11" s="1262"/>
      <c r="V11" s="1262"/>
      <c r="W11" s="1262"/>
      <c r="X11" s="1262"/>
      <c r="Y11" s="1262"/>
      <c r="Z11" s="1262"/>
      <c r="AA11" s="1262"/>
    </row>
    <row r="12" spans="1:27" s="1264" customFormat="1" ht="34.950000000000003" customHeight="1">
      <c r="A12" s="2148" t="str">
        <f>VLOOKUP(ROW()-ROW($A$5),TongHopKL!A:B,2,0)</f>
        <v>CV240</v>
      </c>
      <c r="B12" s="1725">
        <f>SUM($O$6:O12)</f>
        <v>7</v>
      </c>
      <c r="C12" s="1726" t="str">
        <f>(VLOOKUP(A12,TongHopKL!B:F,5,0))</f>
        <v>Cáp đồng bọc CV240</v>
      </c>
      <c r="D12" s="1727" t="str">
        <f>IFERROR(VLOOKUP(A12,DG!A:D,4,0),0)</f>
        <v>mét</v>
      </c>
      <c r="E12" s="1728">
        <f>SUMIF(TongHopKL!B:B,'NT-VT'!A12,TongHopKL!H:H)</f>
        <v>72</v>
      </c>
      <c r="F12" s="1725" t="str">
        <f>IFERROR(VLOOKUP(A12,Solieu!G:M,2,0),"")</f>
        <v>Cty TNHHSX-TM Dây &amp; Cáp Điện Tài Trường Thành</v>
      </c>
      <c r="G12" s="1725" t="str">
        <f>IFERROR(VLOOKUP(A12,Solieu!G:M,3,0),"")</f>
        <v>Cty TNHHSX-TM Dây &amp; Cáp Điện Tài Trường Thành</v>
      </c>
      <c r="H12" s="1725"/>
      <c r="I12" s="1729"/>
      <c r="J12" s="1730">
        <f>IFERROR(VLOOKUP(A12,Solieu!G:M,4,0),"")</f>
        <v>0</v>
      </c>
      <c r="K12" s="1731">
        <f>IFERROR(VLOOKUP(A12,Solieu!G:M,5,0),"")</f>
        <v>0</v>
      </c>
      <c r="L12" s="1932" t="str">
        <f>IFERROR(VLOOKUP(A12,Solieu!G:M,6,0),"")</f>
        <v>24565/BB-LVC</v>
      </c>
      <c r="M12" s="1729">
        <f>IFERROR(VLOOKUP(A12,Solieu!G:M,7,0),"")</f>
        <v>44001</v>
      </c>
      <c r="N12" s="1265" t="s">
        <v>4214</v>
      </c>
      <c r="O12" s="1475">
        <f t="shared" si="0"/>
        <v>1</v>
      </c>
      <c r="P12" s="52" t="e">
        <f ca="1">VLOOKUP(A12,TongHopKL!D:M,8,0)</f>
        <v>#N/A</v>
      </c>
      <c r="Q12" s="1437"/>
      <c r="R12" s="1263"/>
      <c r="S12" s="1262"/>
      <c r="T12" s="1262"/>
      <c r="U12" s="1262"/>
      <c r="V12" s="1262"/>
      <c r="W12" s="1262"/>
      <c r="X12" s="1262"/>
      <c r="Y12" s="1262"/>
      <c r="Z12" s="1262"/>
      <c r="AA12" s="1262"/>
    </row>
    <row r="13" spans="1:27" s="1264" customFormat="1" ht="34.950000000000003" customHeight="1">
      <c r="A13" s="2148" t="str">
        <f>VLOOKUP(ROW()-ROW($A$5),TongHopKL!A:B,2,0)</f>
        <v>CVV4X4</v>
      </c>
      <c r="B13" s="1725">
        <f>SUM($O$6:O13)</f>
        <v>8</v>
      </c>
      <c r="C13" s="1726" t="str">
        <f>(VLOOKUP(A13,TongHopKL!B:F,5,0))</f>
        <v xml:space="preserve">Cáp CVV 4x4mm2  </v>
      </c>
      <c r="D13" s="1727" t="str">
        <f>IFERROR(VLOOKUP(A13,DG!A:D,4,0),0)</f>
        <v>mét</v>
      </c>
      <c r="E13" s="1728">
        <f>SUMIF(TongHopKL!B:B,'NT-VT'!A13,TongHopKL!H:H)</f>
        <v>33</v>
      </c>
      <c r="F13" s="1725" t="str">
        <f>IFERROR(VLOOKUP(A13,Solieu!G:M,2,0),"")</f>
        <v>Cty TNHHSX-TM Dây &amp; Cáp Điện Tài Trường Thành</v>
      </c>
      <c r="G13" s="1725" t="str">
        <f>IFERROR(VLOOKUP(A13,Solieu!G:M,3,0),"")</f>
        <v>Cty TNHHSX-TM Dây &amp; Cáp Điện Tài Trường Thành</v>
      </c>
      <c r="H13" s="1725"/>
      <c r="I13" s="1729"/>
      <c r="J13" s="1730" t="str">
        <f>IFERROR(VLOOKUP(A13,Solieu!G:M,4,0),"")</f>
        <v>TTT-084LA.KCS0420/06</v>
      </c>
      <c r="K13" s="1731">
        <f>IFERROR(VLOOKUP(A13,Solieu!G:M,5,0),"")</f>
        <v>43959</v>
      </c>
      <c r="L13" s="1932" t="str">
        <f>IFERROR(VLOOKUP(A13,Solieu!G:M,6,0),"")</f>
        <v>24566/BB-LVC</v>
      </c>
      <c r="M13" s="1729">
        <f>IFERROR(VLOOKUP(A13,Solieu!G:M,7,0),"")</f>
        <v>44001</v>
      </c>
      <c r="N13" s="1265" t="s">
        <v>4214</v>
      </c>
      <c r="O13" s="1475">
        <f t="shared" si="0"/>
        <v>1</v>
      </c>
      <c r="P13" s="52" t="e">
        <f ca="1">VLOOKUP(A13,TongHopKL!D:M,8,0)</f>
        <v>#N/A</v>
      </c>
      <c r="Q13" s="1437"/>
      <c r="R13" s="1438"/>
      <c r="S13" s="1438"/>
      <c r="T13" s="1267"/>
      <c r="U13" s="1262"/>
      <c r="V13" s="1262"/>
      <c r="W13" s="1262"/>
      <c r="X13" s="1262"/>
      <c r="Y13" s="1262"/>
      <c r="Z13" s="1262"/>
      <c r="AA13" s="1262"/>
    </row>
    <row r="14" spans="1:27" s="861" customFormat="1" ht="34.950000000000003" customHeight="1">
      <c r="A14" s="2148" t="str">
        <f>VLOOKUP(ROW()-ROW($A$5),TongHopKL!A:B,2,0)</f>
        <v>XLPE25</v>
      </c>
      <c r="B14" s="1725">
        <f>SUM($O$6:O14)</f>
        <v>9</v>
      </c>
      <c r="C14" s="1726" t="str">
        <f>(VLOOKUP(A14,TongHopKL!B:F,5,0))</f>
        <v>Cáp 24KV C/XLPE/PVC 25mm2</v>
      </c>
      <c r="D14" s="1727" t="str">
        <f>IFERROR(VLOOKUP(A14,DG!A:D,4,0),0)</f>
        <v>mét</v>
      </c>
      <c r="E14" s="1728">
        <f>SUMIF(TongHopKL!B:B,'NT-VT'!A14,TongHopKL!H:H)</f>
        <v>45</v>
      </c>
      <c r="F14" s="1725" t="str">
        <f>IFERROR(VLOOKUP(A14,Solieu!G:M,2,0),"")</f>
        <v>Cty TNHHSX-TM Dây &amp; Cáp Điện Tài Trường Thành</v>
      </c>
      <c r="G14" s="1725" t="str">
        <f>IFERROR(VLOOKUP(A14,Solieu!G:M,3,0),"")</f>
        <v>Cty TNHHSX-TM Dây &amp; Cáp Điện Tài Trường Thành</v>
      </c>
      <c r="H14" s="1725"/>
      <c r="I14" s="1729"/>
      <c r="J14" s="1730" t="str">
        <f>IFERROR(VLOOKUP(A14,Solieu!G:M,4,0),"")</f>
        <v>TTT-030KCS0220/11</v>
      </c>
      <c r="K14" s="1731">
        <f>IFERROR(VLOOKUP(A14,Solieu!G:M,5,0),"")</f>
        <v>43959</v>
      </c>
      <c r="L14" s="1932" t="str">
        <f>IFERROR(VLOOKUP(A14,Solieu!G:M,6,0),"")</f>
        <v>24564/BB-MVC</v>
      </c>
      <c r="M14" s="1729">
        <f>IFERROR(VLOOKUP(A14,Solieu!G:M,7,0),"")</f>
        <v>44001</v>
      </c>
      <c r="N14" s="1265" t="s">
        <v>4214</v>
      </c>
      <c r="O14" s="1475">
        <f t="shared" si="0"/>
        <v>1</v>
      </c>
      <c r="P14" s="52" t="e">
        <f ca="1">VLOOKUP(A14,TongHopKL!D:M,8,0)</f>
        <v>#N/A</v>
      </c>
      <c r="Q14" s="1437"/>
      <c r="R14" s="1476"/>
      <c r="S14" s="862"/>
      <c r="T14" s="863"/>
      <c r="U14" s="860"/>
      <c r="V14" s="860"/>
      <c r="W14" s="860"/>
      <c r="X14" s="860"/>
      <c r="Y14" s="860"/>
      <c r="Z14" s="860"/>
      <c r="AA14" s="860"/>
    </row>
    <row r="15" spans="1:27" s="861" customFormat="1" ht="34.950000000000003" customHeight="1">
      <c r="A15" s="2148" t="str">
        <f>VLOOKUP(ROW()-ROW($A$5),TongHopKL!A:B,2,0)</f>
        <v>XLPE95ACXH</v>
      </c>
      <c r="B15" s="1725">
        <f>SUM($O$6:O15)</f>
        <v>10</v>
      </c>
      <c r="C15" s="1726" t="str">
        <f>(VLOOKUP(A15,TongHopKL!B:F,5,0))</f>
        <v>Cáp 24KV ACXH 95mm2</v>
      </c>
      <c r="D15" s="1727" t="str">
        <f>IFERROR(VLOOKUP(A15,DG!A:D,4,0),0)</f>
        <v>mét</v>
      </c>
      <c r="E15" s="2149">
        <f>SUMIF(TongHopKL!B:B,'NT-VT'!A15,TongHopKL!H:H)</f>
        <v>192.78</v>
      </c>
      <c r="F15" s="1725" t="str">
        <f>IFERROR(VLOOKUP(A15,Solieu!G:M,2,0),"")</f>
        <v>Cty TNHHSX-TM Dây &amp; Cáp Điện Tài Trường Thành</v>
      </c>
      <c r="G15" s="1725" t="str">
        <f>IFERROR(VLOOKUP(A15,Solieu!G:M,3,0),"")</f>
        <v>Cty TNHHSX-TM Dây &amp; Cáp Điện Tài Trường Thành</v>
      </c>
      <c r="H15" s="1725"/>
      <c r="I15" s="1729"/>
      <c r="J15" s="1730">
        <f>IFERROR(VLOOKUP(A15,Solieu!G:M,4,0),"")</f>
        <v>0</v>
      </c>
      <c r="K15" s="1731">
        <f>IFERROR(VLOOKUP(A15,Solieu!G:M,5,0),"")</f>
        <v>0</v>
      </c>
      <c r="L15" s="1932" t="str">
        <f>IFERROR(VLOOKUP(A15,Solieu!G:M,6,0),"")</f>
        <v>24567/BB-MVC</v>
      </c>
      <c r="M15" s="1729">
        <f>IFERROR(VLOOKUP(A15,Solieu!G:M,7,0),"")</f>
        <v>44001</v>
      </c>
      <c r="N15" s="1265" t="s">
        <v>4214</v>
      </c>
      <c r="O15" s="1475">
        <f t="shared" si="0"/>
        <v>1</v>
      </c>
      <c r="P15" s="52" t="e">
        <f ca="1">VLOOKUP(A15,TongHopKL!D:M,8,0)</f>
        <v>#N/A</v>
      </c>
      <c r="Q15" s="1437"/>
      <c r="R15" s="1438"/>
      <c r="S15" s="1439"/>
      <c r="T15" s="860"/>
      <c r="U15" s="860"/>
      <c r="V15" s="860"/>
      <c r="W15" s="860"/>
      <c r="X15" s="860"/>
      <c r="Y15" s="860"/>
      <c r="Z15" s="860"/>
      <c r="AA15" s="860"/>
    </row>
    <row r="16" spans="1:27" s="861" customFormat="1" ht="34.950000000000003" customHeight="1">
      <c r="A16" s="2148" t="str">
        <f>VLOOKUP(ROW()-ROW($A$5),TongHopKL!A:B,2,0)</f>
        <v>m25</v>
      </c>
      <c r="B16" s="1725">
        <f>SUM($O$6:O16)</f>
        <v>11</v>
      </c>
      <c r="C16" s="1726" t="str">
        <f>(VLOOKUP(A16,TongHopKL!B:F,5,0))</f>
        <v>Cáp đồng trần M25mm2</v>
      </c>
      <c r="D16" s="1727" t="str">
        <f>IFERROR(VLOOKUP(A16,DG!A:D,4,0),0)</f>
        <v>kg</v>
      </c>
      <c r="E16" s="2149">
        <f>SUMIF(TongHopKL!B:B,'NT-VT'!A16,TongHopKL!H:H)</f>
        <v>14.11</v>
      </c>
      <c r="F16" s="1725" t="str">
        <f>IFERROR(VLOOKUP(A16,Solieu!G:M,2,0),"")</f>
        <v>Cty TNHHSX-TM Dây &amp; Cáp Điện Tài Trường Thành</v>
      </c>
      <c r="G16" s="1725" t="str">
        <f>IFERROR(VLOOKUP(A16,Solieu!G:M,3,0),"")</f>
        <v>Cty TNHHSX-TM Dây &amp; Cáp Điện Tài Trường Thành</v>
      </c>
      <c r="H16" s="1725"/>
      <c r="I16" s="1729"/>
      <c r="J16" s="1730">
        <f>IFERROR(VLOOKUP(A16,Solieu!G:M,4,0),"")</f>
        <v>0</v>
      </c>
      <c r="K16" s="1731">
        <f>IFERROR(VLOOKUP(A16,Solieu!G:M,5,0),"")</f>
        <v>0</v>
      </c>
      <c r="L16" s="1932" t="str">
        <f>IFERROR(VLOOKUP(A16,Solieu!G:M,6,0),"")</f>
        <v>TTT - 061KCS0718/112</v>
      </c>
      <c r="M16" s="1729">
        <f>IFERROR(VLOOKUP(A16,Solieu!G:M,7,0),"")</f>
        <v>43721</v>
      </c>
      <c r="N16" s="1265" t="s">
        <v>4214</v>
      </c>
      <c r="O16" s="1475">
        <f t="shared" si="0"/>
        <v>1</v>
      </c>
      <c r="P16" s="52" t="e">
        <f ca="1">VLOOKUP(A16,TongHopKL!D:M,8,0)</f>
        <v>#N/A</v>
      </c>
      <c r="Q16" s="1437"/>
      <c r="R16" s="1476"/>
      <c r="S16" s="860"/>
      <c r="T16" s="860"/>
      <c r="U16" s="860"/>
      <c r="V16" s="860"/>
      <c r="W16" s="860"/>
      <c r="X16" s="860"/>
      <c r="Y16" s="860"/>
      <c r="Z16" s="860"/>
      <c r="AA16" s="860"/>
    </row>
    <row r="17" spans="1:27" s="861" customFormat="1" ht="34.950000000000003" customHeight="1">
      <c r="A17" s="2148" t="str">
        <f>VLOOKUP(ROW()-ROW($A$5),TongHopKL!A:B,2,0)</f>
        <v>AC50</v>
      </c>
      <c r="B17" s="1725">
        <f>SUM($O$6:O17)</f>
        <v>12</v>
      </c>
      <c r="C17" s="1726" t="str">
        <f>(VLOOKUP(A17,TongHopKL!B:F,5,0))</f>
        <v>Cáp nhôm lõi thép AC-50/8</v>
      </c>
      <c r="D17" s="1727" t="str">
        <f>IFERROR(VLOOKUP(A17,DG!A:D,4,0),0)</f>
        <v>kg</v>
      </c>
      <c r="E17" s="2284">
        <f>SUMIF(TongHopKL!B:B,'NT-VT'!A17,TongHopKL!H:H)</f>
        <v>12.726000000000001</v>
      </c>
      <c r="F17" s="1725" t="str">
        <f>IFERROR(VLOOKUP(A17,Solieu!G:M,2,0),"")</f>
        <v>Cty TNHHSX-TM Dây &amp; Cáp Điện Tài Trường Thành</v>
      </c>
      <c r="G17" s="1725" t="str">
        <f>IFERROR(VLOOKUP(A17,Solieu!G:M,3,0),"")</f>
        <v>Cty TNHHSX-TM Dây &amp; Cáp Điện Tài Trường Thành</v>
      </c>
      <c r="H17" s="1725"/>
      <c r="I17" s="1729"/>
      <c r="J17" s="1730" t="str">
        <f>IFERROR(VLOOKUP(A17,Solieu!G:M,4,0),"")</f>
        <v>TTT-014LAKCS0520/03</v>
      </c>
      <c r="K17" s="1731">
        <f>IFERROR(VLOOKUP(A17,Solieu!G:M,5,0),"")</f>
        <v>43959</v>
      </c>
      <c r="L17" s="1932" t="str">
        <f>IFERROR(VLOOKUP(A17,Solieu!G:M,6,0),"")</f>
        <v>TTT-056KCS0719/16</v>
      </c>
      <c r="M17" s="1729">
        <f>IFERROR(VLOOKUP(A17,Solieu!G:M,7,0),"")</f>
        <v>43665</v>
      </c>
      <c r="N17" s="1265" t="s">
        <v>4214</v>
      </c>
      <c r="O17" s="1475">
        <f t="shared" si="0"/>
        <v>1</v>
      </c>
      <c r="P17" s="52" t="e">
        <f ca="1">VLOOKUP(A17,TongHopKL!D:M,8,0)</f>
        <v>#N/A</v>
      </c>
      <c r="Q17" s="1434"/>
      <c r="R17" s="1476"/>
      <c r="S17" s="860"/>
      <c r="T17" s="860"/>
      <c r="U17" s="860"/>
      <c r="V17" s="860"/>
      <c r="W17" s="860"/>
      <c r="X17" s="860"/>
      <c r="Y17" s="860"/>
      <c r="Z17" s="860"/>
      <c r="AA17" s="860"/>
    </row>
    <row r="18" spans="1:27" s="861" customFormat="1" ht="34.950000000000003" customHeight="1">
      <c r="A18" s="2148" t="str">
        <f>VLOOKUP(ROW()-ROW($A$5),TongHopKL!A:B,2,0)</f>
        <v>C5/8</v>
      </c>
      <c r="B18" s="1725">
        <f>SUM($O$6:O18)</f>
        <v>13</v>
      </c>
      <c r="C18" s="1726" t="str">
        <f>(VLOOKUP(A18,TongHopKL!B:F,5,0))</f>
        <v>Cáp thép 5/8"</v>
      </c>
      <c r="D18" s="1727" t="str">
        <f>IFERROR(VLOOKUP(A18,DG!A:D,4,0),0)</f>
        <v>kg</v>
      </c>
      <c r="E18" s="2149">
        <f>SUMIF(TongHopKL!B:B,'NT-VT'!A18,TongHopKL!H:H)</f>
        <v>5.0999999999999996</v>
      </c>
      <c r="F18" s="1725" t="str">
        <f>IFERROR(VLOOKUP(A18,Solieu!G:M,2,0),"")</f>
        <v>Cty TNHHSX-TM Dây &amp; Cáp Điện Tài Trường Thành</v>
      </c>
      <c r="G18" s="1725" t="str">
        <f>IFERROR(VLOOKUP(A18,Solieu!G:M,3,0),"")</f>
        <v>Cty TNHHSX-TM Dây &amp; Cáp Điện Tài Trường Thành</v>
      </c>
      <c r="H18" s="1725"/>
      <c r="I18" s="1729"/>
      <c r="J18" s="1730" t="str">
        <f>IFERROR(VLOOKUP(A18,Solieu!G:M,4,0),"")</f>
        <v>TTT-021KCS0320/63</v>
      </c>
      <c r="K18" s="1731">
        <f>IFERROR(VLOOKUP(A18,Solieu!G:M,5,0),"")</f>
        <v>43959</v>
      </c>
      <c r="L18" s="1932" t="str">
        <f>IFERROR(VLOOKUP(A18,Solieu!G:M,6,0),"")</f>
        <v>TTT-198KCS0319/15</v>
      </c>
      <c r="M18" s="1729">
        <f>IFERROR(VLOOKUP(A18,Solieu!G:M,7,0),"")</f>
        <v>43665</v>
      </c>
      <c r="N18" s="1265" t="s">
        <v>4214</v>
      </c>
      <c r="O18" s="1475">
        <f t="shared" si="0"/>
        <v>1</v>
      </c>
      <c r="P18" s="52" t="e">
        <f ca="1">VLOOKUP(A18,TongHopKL!D:M,8,0)</f>
        <v>#N/A</v>
      </c>
      <c r="Q18" s="1434"/>
      <c r="R18" s="1476"/>
      <c r="S18" s="860"/>
      <c r="T18" s="860"/>
      <c r="U18" s="860"/>
      <c r="V18" s="860"/>
      <c r="W18" s="860"/>
      <c r="X18" s="860"/>
      <c r="Y18" s="860"/>
      <c r="Z18" s="860"/>
      <c r="AA18" s="860"/>
    </row>
    <row r="19" spans="1:27" s="861" customFormat="1" ht="34.950000000000003" customHeight="1">
      <c r="A19" s="2148" t="str">
        <f>VLOOKUP(ROW()-ROW($A$5),TongHopKL!A:B,2,0)</f>
        <v>T12</v>
      </c>
      <c r="B19" s="1725">
        <f>SUM($O$6:O19)</f>
        <v>14</v>
      </c>
      <c r="C19" s="1726" t="str">
        <f>(VLOOKUP(A19,TongHopKL!B:F,5,0))</f>
        <v>Trụ BTLT 12m F350 dự ứng lực</v>
      </c>
      <c r="D19" s="1727" t="str">
        <f>IFERROR(VLOOKUP(A19,DG!A:D,4,0),0)</f>
        <v>trụ</v>
      </c>
      <c r="E19" s="1728">
        <f>SUMIF(TongHopKL!B:B,'NT-VT'!A19,TongHopKL!H:H)</f>
        <v>3</v>
      </c>
      <c r="F19" s="1725" t="str">
        <f>IFERROR(VLOOKUP(A19,Solieu!G:M,2,0),"")</f>
        <v>Cty Cổ phần Bê tông ly tâm Thủ Đức</v>
      </c>
      <c r="G19" s="1725" t="str">
        <f>IFERROR(VLOOKUP(A19,Solieu!G:M,3,0),"")</f>
        <v>Cty Cổ phần Bê tông ly tâm Thủ Đức</v>
      </c>
      <c r="H19" s="1725"/>
      <c r="I19" s="1729"/>
      <c r="J19" s="1730">
        <f>IFERROR(VLOOKUP(A19,Solieu!G:M,4,0),"")</f>
        <v>0</v>
      </c>
      <c r="K19" s="1731">
        <f>IFERROR(VLOOKUP(A19,Solieu!G:M,5,0),"")</f>
        <v>0</v>
      </c>
      <c r="L19" s="1932" t="str">
        <f>IFERROR(VLOOKUP(A19,Solieu!G:M,6,0),"")</f>
        <v>136/NTXX-KHKD/TDC</v>
      </c>
      <c r="M19" s="1729">
        <f>IFERROR(VLOOKUP(A19,Solieu!G:M,7,0),"")</f>
        <v>43864</v>
      </c>
      <c r="N19" s="1265" t="s">
        <v>4214</v>
      </c>
      <c r="O19" s="1475">
        <f t="shared" si="0"/>
        <v>1</v>
      </c>
      <c r="P19" s="52" t="e">
        <f ca="1">VLOOKUP(A19,TongHopKL!D:M,8,0)</f>
        <v>#N/A</v>
      </c>
      <c r="Q19" s="1434"/>
      <c r="R19" s="1476"/>
      <c r="S19" s="862"/>
      <c r="T19" s="862"/>
      <c r="U19" s="860"/>
      <c r="V19" s="860"/>
      <c r="W19" s="860"/>
      <c r="X19" s="860"/>
      <c r="Y19" s="860"/>
      <c r="Z19" s="860"/>
      <c r="AA19" s="860"/>
    </row>
    <row r="20" spans="1:27" s="861" customFormat="1" ht="34.950000000000003" customHeight="1">
      <c r="A20" s="2148" t="str">
        <f>VLOOKUP(ROW()-ROW($A$5),TongHopKL!A:B,2,0)</f>
        <v>B14350</v>
      </c>
      <c r="B20" s="1725">
        <f>SUM($O$6:O20)</f>
        <v>15</v>
      </c>
      <c r="C20" s="1726" t="str">
        <f>(VLOOKUP(A20,TongHopKL!B:F,5,0))</f>
        <v>Boulon 14x350+ 2 long đền vuông D16-50x50x3/Zn</v>
      </c>
      <c r="D20" s="1727" t="str">
        <f>IFERROR(VLOOKUP(A20,DG!A:D,4,0),0)</f>
        <v>bộ</v>
      </c>
      <c r="E20" s="1728">
        <f>SUMIF(TongHopKL!B:B,'NT-VT'!A20,TongHopKL!H:H)</f>
        <v>36</v>
      </c>
      <c r="F20" s="1725" t="str">
        <f>IFERROR(VLOOKUP(A20,Solieu!G:M,2,0),"")</f>
        <v>Cty TNHH MTV Đại Thiên An</v>
      </c>
      <c r="G20" s="1725" t="str">
        <f>IFERROR(VLOOKUP(A20,Solieu!G:M,3,0),"")</f>
        <v>Cty TNHH MTV Đại Thiên An</v>
      </c>
      <c r="H20" s="1725"/>
      <c r="I20" s="1729"/>
      <c r="J20" s="1730">
        <f>IFERROR(VLOOKUP(A20,Solieu!G:M,4,0),"")</f>
        <v>0</v>
      </c>
      <c r="K20" s="1731">
        <f>IFERROR(VLOOKUP(A20,Solieu!G:M,5,0),"")</f>
        <v>0</v>
      </c>
      <c r="L20" s="1932" t="str">
        <f>IFERROR(VLOOKUP(A20,Solieu!G:M,6,0),"")</f>
        <v>01.2019/BBXX/DTA-TL</v>
      </c>
      <c r="M20" s="1729">
        <f>IFERROR(VLOOKUP(A20,Solieu!G:M,7,0),"")</f>
        <v>43525</v>
      </c>
      <c r="N20" s="1265" t="s">
        <v>4214</v>
      </c>
      <c r="O20" s="1475">
        <f t="shared" si="0"/>
        <v>1</v>
      </c>
      <c r="P20" s="1261"/>
      <c r="Q20" s="1434"/>
      <c r="R20" s="1476"/>
      <c r="S20" s="862"/>
      <c r="T20" s="863"/>
      <c r="U20" s="860"/>
      <c r="V20" s="860"/>
      <c r="W20" s="860"/>
      <c r="X20" s="860"/>
      <c r="Y20" s="860"/>
      <c r="Z20" s="860"/>
      <c r="AA20" s="860"/>
    </row>
    <row r="21" spans="1:27" s="861" customFormat="1" ht="34.950000000000003" customHeight="1">
      <c r="A21" s="2148" t="str">
        <f>VLOOKUP(ROW()-ROW($A$5),TongHopKL!A:B,2,0)</f>
        <v>b40</v>
      </c>
      <c r="B21" s="1725">
        <f>SUM($O$6:O21)</f>
        <v>16</v>
      </c>
      <c r="C21" s="1726" t="str">
        <f>(VLOOKUP(A21,TongHopKL!B:F,5,0))</f>
        <v>Lưới B40 - 1800-3/Zn</v>
      </c>
      <c r="D21" s="1727" t="str">
        <f>IFERROR(VLOOKUP(A21,DG!A:D,4,0),0)</f>
        <v>mét</v>
      </c>
      <c r="E21" s="1728">
        <f>SUMIF(TongHopKL!B:B,'NT-VT'!A21,TongHopKL!H:H)</f>
        <v>14.2</v>
      </c>
      <c r="F21" s="1725" t="str">
        <f>IFERROR(VLOOKUP(A21,Solieu!G:M,2,0),"")</f>
        <v>nt</v>
      </c>
      <c r="G21" s="1725" t="str">
        <f>IFERROR(VLOOKUP(A21,Solieu!G:M,3,0),"")</f>
        <v>nt</v>
      </c>
      <c r="H21" s="1725"/>
      <c r="I21" s="1729"/>
      <c r="J21" s="1730" t="str">
        <f>IFERROR(VLOOKUP(A21,Solieu!G:M,4,0),"")</f>
        <v>0520/CNXX20</v>
      </c>
      <c r="K21" s="1731">
        <f>IFERROR(VLOOKUP(A21,Solieu!G:M,5,0),"")</f>
        <v>43954</v>
      </c>
      <c r="L21" s="1932" t="str">
        <f>IFERROR(VLOOKUP(A21,Solieu!G:M,6,0),"")</f>
        <v/>
      </c>
      <c r="M21" s="1729" t="str">
        <f>IFERROR(VLOOKUP(A21,Solieu!G:M,7,0),"")</f>
        <v/>
      </c>
      <c r="N21" s="1265" t="s">
        <v>4214</v>
      </c>
      <c r="O21" s="1475">
        <f t="shared" si="0"/>
        <v>1</v>
      </c>
      <c r="P21" s="1261"/>
      <c r="Q21" s="1434"/>
      <c r="R21" s="1476"/>
      <c r="S21" s="860"/>
      <c r="T21" s="860"/>
      <c r="U21" s="860"/>
      <c r="V21" s="860"/>
      <c r="W21" s="860"/>
      <c r="X21" s="860"/>
      <c r="Y21" s="860"/>
      <c r="Z21" s="860"/>
      <c r="AA21" s="860"/>
    </row>
    <row r="22" spans="1:27" s="861" customFormat="1" ht="34.950000000000003" customHeight="1">
      <c r="A22" s="2148" t="str">
        <f>VLOOKUP(ROW()-ROW($A$5),TongHopKL!A:B,2,0)</f>
        <v>BKQ</v>
      </c>
      <c r="B22" s="1725">
        <f>SUM($O$6:O22)</f>
        <v>17</v>
      </c>
      <c r="C22" s="1726" t="str">
        <f>(VLOOKUP(A22,TongHopKL!B:F,5,0))</f>
        <v>Chụp đầu cực TI, TU</v>
      </c>
      <c r="D22" s="1727" t="str">
        <f>IFERROR(VLOOKUP(A22,DG!A:D,4,0),0)</f>
        <v>Cái</v>
      </c>
      <c r="E22" s="1728">
        <f>SUMIF(TongHopKL!B:B,'NT-VT'!A22,TongHopKL!H:H)</f>
        <v>9</v>
      </c>
      <c r="F22" s="1725" t="str">
        <f>IFERROR(VLOOKUP(A22,Solieu!G:M,2,0),"")</f>
        <v>nt</v>
      </c>
      <c r="G22" s="1725" t="str">
        <f>IFERROR(VLOOKUP(A22,Solieu!G:M,3,0),"")</f>
        <v>nt</v>
      </c>
      <c r="H22" s="1725"/>
      <c r="I22" s="1729"/>
      <c r="J22" s="1730">
        <f>IFERROR(VLOOKUP(A22,Solieu!G:M,4,0),"")</f>
        <v>0</v>
      </c>
      <c r="K22" s="1731">
        <f>IFERROR(VLOOKUP(A22,Solieu!G:M,5,0),"")</f>
        <v>0</v>
      </c>
      <c r="L22" s="1932" t="str">
        <f>IFERROR(VLOOKUP(A22,Solieu!G:M,6,0),"")</f>
        <v/>
      </c>
      <c r="M22" s="1729" t="str">
        <f>IFERROR(VLOOKUP(A22,Solieu!G:M,7,0),"")</f>
        <v/>
      </c>
      <c r="N22" s="1265" t="s">
        <v>4214</v>
      </c>
      <c r="O22" s="1475">
        <f t="shared" si="0"/>
        <v>1</v>
      </c>
      <c r="P22" s="1261"/>
      <c r="Q22" s="1434"/>
      <c r="R22" s="1476"/>
      <c r="S22" s="860"/>
      <c r="T22" s="860"/>
      <c r="U22" s="860"/>
      <c r="V22" s="860"/>
      <c r="W22" s="860"/>
      <c r="X22" s="860"/>
      <c r="Y22" s="860"/>
      <c r="Z22" s="860"/>
      <c r="AA22" s="860"/>
    </row>
    <row r="23" spans="1:27" s="861" customFormat="1" ht="34.950000000000003" customHeight="1">
      <c r="A23" s="2148" t="str">
        <f>VLOOKUP(ROW()-ROW($A$5),TongHopKL!A:B,2,0)</f>
        <v>ChupFCO</v>
      </c>
      <c r="B23" s="1725">
        <f>SUM($O$6:O23)</f>
        <v>18</v>
      </c>
      <c r="C23" s="1726" t="str">
        <f>(VLOOKUP(A23,TongHopKL!B:F,5,0))</f>
        <v>Nắp che đầu cực FCO</v>
      </c>
      <c r="D23" s="1727" t="str">
        <f>IFERROR(VLOOKUP(A23,DG!A:D,4,0),0)</f>
        <v>cái</v>
      </c>
      <c r="E23" s="1728">
        <f>SUMIF(TongHopKL!B:B,'NT-VT'!A23,TongHopKL!H:H)</f>
        <v>3</v>
      </c>
      <c r="F23" s="1725" t="str">
        <f>IFERROR(VLOOKUP(A23,Solieu!G:M,2,0),"")</f>
        <v>nt</v>
      </c>
      <c r="G23" s="1725" t="str">
        <f>IFERROR(VLOOKUP(A23,Solieu!G:M,3,0),"")</f>
        <v>nt</v>
      </c>
      <c r="H23" s="1725"/>
      <c r="I23" s="1729"/>
      <c r="J23" s="1730">
        <f>IFERROR(VLOOKUP(A23,Solieu!G:M,4,0),"")</f>
        <v>0</v>
      </c>
      <c r="K23" s="1731">
        <f>IFERROR(VLOOKUP(A23,Solieu!G:M,5,0),"")</f>
        <v>0</v>
      </c>
      <c r="L23" s="1932" t="str">
        <f>IFERROR(VLOOKUP(A23,Solieu!G:M,6,0),"")</f>
        <v/>
      </c>
      <c r="M23" s="1729" t="str">
        <f>IFERROR(VLOOKUP(A23,Solieu!G:M,7,0),"")</f>
        <v/>
      </c>
      <c r="N23" s="1265" t="s">
        <v>4214</v>
      </c>
      <c r="O23" s="1475">
        <f t="shared" si="0"/>
        <v>1</v>
      </c>
      <c r="P23" s="1261"/>
      <c r="Q23" s="1434"/>
      <c r="R23" s="1476"/>
      <c r="S23" s="860"/>
      <c r="T23" s="860"/>
      <c r="U23" s="860"/>
      <c r="V23" s="860"/>
      <c r="W23" s="860"/>
      <c r="X23" s="860"/>
      <c r="Y23" s="860"/>
      <c r="Z23" s="860"/>
      <c r="AA23" s="860"/>
    </row>
    <row r="24" spans="1:27" s="861" customFormat="1" ht="34.950000000000003" customHeight="1">
      <c r="A24" s="2148" t="str">
        <f>VLOOKUP(ROW()-ROW($A$5),TongHopKL!A:B,2,0)</f>
        <v>ChupLA</v>
      </c>
      <c r="B24" s="1725">
        <f>SUM($O$6:O24)</f>
        <v>19</v>
      </c>
      <c r="C24" s="1726" t="str">
        <f>(VLOOKUP(A24,TongHopKL!B:F,5,0))</f>
        <v>Nắp che đầu cực LA</v>
      </c>
      <c r="D24" s="1727" t="str">
        <f>IFERROR(VLOOKUP(A24,DG!A:D,4,0),0)</f>
        <v>cái</v>
      </c>
      <c r="E24" s="1728">
        <f>SUMIF(TongHopKL!B:B,'NT-VT'!A24,TongHopKL!H:H)</f>
        <v>3</v>
      </c>
      <c r="F24" s="1725" t="str">
        <f>IFERROR(VLOOKUP(A24,Solieu!G:M,2,0),"")</f>
        <v>nt</v>
      </c>
      <c r="G24" s="1725" t="str">
        <f>IFERROR(VLOOKUP(A24,Solieu!G:M,3,0),"")</f>
        <v>nt</v>
      </c>
      <c r="H24" s="1725"/>
      <c r="I24" s="1729"/>
      <c r="J24" s="1730">
        <f>IFERROR(VLOOKUP(A24,Solieu!G:M,4,0),"")</f>
        <v>0</v>
      </c>
      <c r="K24" s="1731">
        <f>IFERROR(VLOOKUP(A24,Solieu!G:M,5,0),"")</f>
        <v>0</v>
      </c>
      <c r="L24" s="1932">
        <f>IFERROR(VLOOKUP(A24,Solieu!G:M,6,0),"")</f>
        <v>0</v>
      </c>
      <c r="M24" s="1729" t="str">
        <f>IFERROR(VLOOKUP(A24,Solieu!G:M,7,0),"")</f>
        <v/>
      </c>
      <c r="N24" s="1265" t="s">
        <v>4214</v>
      </c>
      <c r="O24" s="1475">
        <f t="shared" si="0"/>
        <v>1</v>
      </c>
      <c r="P24" s="1261"/>
      <c r="Q24" s="1434"/>
      <c r="R24" s="1476"/>
      <c r="S24" s="860"/>
      <c r="T24" s="860"/>
      <c r="U24" s="860"/>
      <c r="V24" s="860"/>
      <c r="W24" s="860"/>
      <c r="X24" s="860"/>
      <c r="Y24" s="860"/>
      <c r="Z24" s="860"/>
      <c r="AA24" s="860"/>
    </row>
    <row r="25" spans="1:27" s="861" customFormat="1" ht="34.950000000000003" customHeight="1">
      <c r="A25" s="2148" t="str">
        <f>VLOOKUP(ROW()-ROW($A$5),TongHopKL!A:B,2,0)</f>
        <v>ChupMBA</v>
      </c>
      <c r="B25" s="1725">
        <f>SUM($O$6:O25)</f>
        <v>20</v>
      </c>
      <c r="C25" s="1726" t="str">
        <f>(VLOOKUP(A25,TongHopKL!B:F,5,0))</f>
        <v>Nắp che đầu sứ MBA</v>
      </c>
      <c r="D25" s="1727" t="str">
        <f>IFERROR(VLOOKUP(A25,DG!A:D,4,0),0)</f>
        <v>cái</v>
      </c>
      <c r="E25" s="1728">
        <f>SUMIF(TongHopKL!B:B,'NT-VT'!A25,TongHopKL!H:H)</f>
        <v>3</v>
      </c>
      <c r="F25" s="1725" t="str">
        <f>IFERROR(VLOOKUP(A25,Solieu!G:M,2,0),"")</f>
        <v>nt</v>
      </c>
      <c r="G25" s="1725" t="str">
        <f>IFERROR(VLOOKUP(A25,Solieu!G:M,3,0),"")</f>
        <v>nt</v>
      </c>
      <c r="H25" s="1725"/>
      <c r="I25" s="1729"/>
      <c r="J25" s="1730" t="str">
        <f>IFERROR(VLOOKUP(A25,Solieu!G:M,4,0),"")</f>
        <v>nt</v>
      </c>
      <c r="K25" s="1731" t="str">
        <f>IFERROR(VLOOKUP(A25,Solieu!G:M,5,0),"")</f>
        <v>nt</v>
      </c>
      <c r="L25" s="1932">
        <f>IFERROR(VLOOKUP(A25,Solieu!G:M,6,0),"")</f>
        <v>0</v>
      </c>
      <c r="M25" s="1729" t="str">
        <f>IFERROR(VLOOKUP(A25,Solieu!G:M,7,0),"")</f>
        <v/>
      </c>
      <c r="N25" s="1265" t="s">
        <v>4214</v>
      </c>
      <c r="O25" s="1475">
        <f t="shared" si="0"/>
        <v>1</v>
      </c>
      <c r="P25" s="1261"/>
      <c r="Q25" s="1434"/>
      <c r="R25" s="1476"/>
      <c r="S25" s="860"/>
      <c r="T25" s="860"/>
      <c r="U25" s="860"/>
      <c r="V25" s="860"/>
      <c r="W25" s="860"/>
      <c r="X25" s="860"/>
      <c r="Y25" s="860"/>
      <c r="Z25" s="860"/>
      <c r="AA25" s="860"/>
    </row>
    <row r="26" spans="1:27" s="861" customFormat="1" ht="34.950000000000003" customHeight="1">
      <c r="A26" s="2148" t="str">
        <f>VLOOKUP(ROW()-ROW($A$5),TongHopKL!A:B,2,0)</f>
        <v>COS4</v>
      </c>
      <c r="B26" s="1725">
        <f>SUM($O$6:O26)</f>
        <v>21</v>
      </c>
      <c r="C26" s="1726" t="str">
        <f>(VLOOKUP(A26,TongHopKL!B:F,5,0))</f>
        <v xml:space="preserve">Đầu cosse ép Cu 4mm2 + bao PVC </v>
      </c>
      <c r="D26" s="1727" t="str">
        <f>IFERROR(VLOOKUP(A26,DG!A:D,4,0),0)</f>
        <v>cái</v>
      </c>
      <c r="E26" s="1728">
        <f>SUMIF(TongHopKL!B:B,'NT-VT'!A26,TongHopKL!H:H)</f>
        <v>16</v>
      </c>
      <c r="F26" s="1725" t="str">
        <f>IFERROR(VLOOKUP(A26,Solieu!G:M,2,0),"")</f>
        <v>nt</v>
      </c>
      <c r="G26" s="1725" t="str">
        <f>IFERROR(VLOOKUP(A26,Solieu!G:M,3,0),"")</f>
        <v>nt</v>
      </c>
      <c r="H26" s="1725"/>
      <c r="I26" s="1729"/>
      <c r="J26" s="1730" t="str">
        <f>IFERROR(VLOOKUP(A26,Solieu!G:M,4,0),"")</f>
        <v>nt</v>
      </c>
      <c r="K26" s="1731" t="str">
        <f>IFERROR(VLOOKUP(A26,Solieu!G:M,5,0),"")</f>
        <v>nt</v>
      </c>
      <c r="L26" s="1932">
        <f>IFERROR(VLOOKUP(A26,Solieu!G:M,6,0),"")</f>
        <v>0</v>
      </c>
      <c r="M26" s="1729" t="str">
        <f>IFERROR(VLOOKUP(A26,Solieu!G:M,7,0),"")</f>
        <v/>
      </c>
      <c r="N26" s="1265" t="s">
        <v>4214</v>
      </c>
      <c r="O26" s="1475">
        <f t="shared" si="0"/>
        <v>1</v>
      </c>
      <c r="P26" s="1261"/>
      <c r="Q26" s="1434"/>
      <c r="R26" s="1476"/>
      <c r="S26" s="860"/>
      <c r="T26" s="860"/>
      <c r="U26" s="860"/>
      <c r="V26" s="860"/>
      <c r="W26" s="860"/>
      <c r="X26" s="860"/>
      <c r="Y26" s="860"/>
      <c r="Z26" s="860"/>
      <c r="AA26" s="860"/>
    </row>
    <row r="27" spans="1:27" s="861" customFormat="1" ht="34.950000000000003" customHeight="1">
      <c r="A27" s="2148" t="str">
        <f>VLOOKUP(ROW()-ROW($A$5),TongHopKL!A:B,2,0)</f>
        <v>GNIU95b</v>
      </c>
      <c r="B27" s="1725">
        <f>SUM($O$6:O27)</f>
        <v>22</v>
      </c>
      <c r="C27" s="1726" t="str">
        <f>(VLOOKUP(A27,TongHopKL!B:F,5,0))</f>
        <v>Giáp níu dừng dây bọc (70-95mm2)</v>
      </c>
      <c r="D27" s="1727" t="str">
        <f>IFERROR(VLOOKUP(A27,DG!A:D,4,0),0)</f>
        <v>cái</v>
      </c>
      <c r="E27" s="1728">
        <f>SUMIF(TongHopKL!B:B,'NT-VT'!A27,TongHopKL!H:H)</f>
        <v>6</v>
      </c>
      <c r="F27" s="1725" t="str">
        <f>IFERROR(VLOOKUP(A27,Solieu!G:M,2,0),"")</f>
        <v>nt</v>
      </c>
      <c r="G27" s="1725" t="str">
        <f>IFERROR(VLOOKUP(A27,Solieu!G:M,3,0),"")</f>
        <v>nt</v>
      </c>
      <c r="H27" s="1725"/>
      <c r="I27" s="1729"/>
      <c r="J27" s="1730" t="str">
        <f>IFERROR(VLOOKUP(A27,Solieu!G:M,4,0),"")</f>
        <v>nt</v>
      </c>
      <c r="K27" s="1731" t="str">
        <f>IFERROR(VLOOKUP(A27,Solieu!G:M,5,0),"")</f>
        <v>nt</v>
      </c>
      <c r="L27" s="1932">
        <f>IFERROR(VLOOKUP(A27,Solieu!G:M,6,0),"")</f>
        <v>0</v>
      </c>
      <c r="M27" s="1729" t="str">
        <f>IFERROR(VLOOKUP(A27,Solieu!G:M,7,0),"")</f>
        <v/>
      </c>
      <c r="N27" s="1265" t="s">
        <v>4214</v>
      </c>
      <c r="O27" s="1475">
        <f t="shared" si="0"/>
        <v>1</v>
      </c>
      <c r="P27" s="1261"/>
      <c r="Q27" s="1434"/>
      <c r="R27" s="1476"/>
      <c r="S27" s="860"/>
      <c r="T27" s="860"/>
      <c r="U27" s="860"/>
      <c r="V27" s="860"/>
      <c r="W27" s="860"/>
      <c r="X27" s="860"/>
      <c r="Y27" s="860"/>
      <c r="Z27" s="860"/>
      <c r="AA27" s="860"/>
    </row>
    <row r="28" spans="1:27" s="861" customFormat="1" ht="34.950000000000003" customHeight="1">
      <c r="A28" s="2148" t="str">
        <f>VLOOKUP(ROW()-ROW($A$5),TongHopKL!A:B,2,0)</f>
        <v>LDKhungcua</v>
      </c>
      <c r="B28" s="1725">
        <f>SUM($O$6:O28)</f>
        <v>23</v>
      </c>
      <c r="C28" s="1726" t="str">
        <f>(VLOOKUP(A28,TongHopKL!B:F,5,0))</f>
        <v>Gia công và lắp dựng khung cửa sắt</v>
      </c>
      <c r="D28" s="1727" t="str">
        <f>IFERROR(VLOOKUP(A28,DG!A:D,4,0),0)</f>
        <v>m2</v>
      </c>
      <c r="E28" s="1728">
        <f>SUMIF(TongHopKL!B:B,'NT-VT'!A28,TongHopKL!H:H)</f>
        <v>24</v>
      </c>
      <c r="F28" s="1725" t="str">
        <f>IFERROR(VLOOKUP(A28,Solieu!G:M,2,0),"")</f>
        <v>nt</v>
      </c>
      <c r="G28" s="1725" t="str">
        <f>IFERROR(VLOOKUP(A28,Solieu!G:M,3,0),"")</f>
        <v>nt</v>
      </c>
      <c r="H28" s="1725"/>
      <c r="I28" s="1729"/>
      <c r="J28" s="1730" t="str">
        <f>IFERROR(VLOOKUP(A28,Solieu!G:M,4,0),"")</f>
        <v>nt</v>
      </c>
      <c r="K28" s="1731" t="str">
        <f>IFERROR(VLOOKUP(A28,Solieu!G:M,5,0),"")</f>
        <v>nt</v>
      </c>
      <c r="L28" s="1932">
        <f>IFERROR(VLOOKUP(A28,Solieu!G:M,6,0),"")</f>
        <v>0</v>
      </c>
      <c r="M28" s="1729" t="str">
        <f>IFERROR(VLOOKUP(A28,Solieu!G:M,7,0),"")</f>
        <v/>
      </c>
      <c r="N28" s="1265" t="s">
        <v>4214</v>
      </c>
      <c r="O28" s="1475">
        <f t="shared" si="0"/>
        <v>1</v>
      </c>
      <c r="P28" s="1261"/>
      <c r="Q28" s="1434"/>
      <c r="R28" s="1476"/>
      <c r="S28" s="860"/>
      <c r="T28" s="860"/>
      <c r="U28" s="860"/>
      <c r="V28" s="860"/>
      <c r="W28" s="860"/>
      <c r="X28" s="860"/>
      <c r="Y28" s="860"/>
      <c r="Z28" s="860"/>
      <c r="AA28" s="860"/>
    </row>
    <row r="29" spans="1:27" s="861" customFormat="1" ht="34.950000000000003" customHeight="1">
      <c r="A29" s="2148" t="str">
        <f>VLOOKUP(ROW()-ROW($A$5),TongHopKL!A:B,2,0)</f>
        <v>SATV4</v>
      </c>
      <c r="B29" s="1725">
        <f>SUM($O$6:O29)</f>
        <v>24</v>
      </c>
      <c r="C29" s="1726" t="str">
        <f>(VLOOKUP(A29,TongHopKL!B:F,5,0))</f>
        <v>Thanh sắt V40x40x3-6000 - 17,7kg/thanh</v>
      </c>
      <c r="D29" s="1727" t="str">
        <f>IFERROR(VLOOKUP(A29,DG!A:D,4,0),0)</f>
        <v>kg</v>
      </c>
      <c r="E29" s="1728">
        <f>SUMIF(TongHopKL!B:B,'NT-VT'!A29,TongHopKL!H:H)</f>
        <v>47.199999999999996</v>
      </c>
      <c r="F29" s="1725" t="str">
        <f>IFERROR(VLOOKUP(A29,Solieu!G:M,2,0),"")</f>
        <v>nt</v>
      </c>
      <c r="G29" s="1725" t="str">
        <f>IFERROR(VLOOKUP(A29,Solieu!G:M,3,0),"")</f>
        <v>nt</v>
      </c>
      <c r="H29" s="1725"/>
      <c r="I29" s="1729"/>
      <c r="J29" s="1730" t="str">
        <f>IFERROR(VLOOKUP(A29,Solieu!G:M,4,0),"")</f>
        <v>nt</v>
      </c>
      <c r="K29" s="1731" t="str">
        <f>IFERROR(VLOOKUP(A29,Solieu!G:M,5,0),"")</f>
        <v>nt</v>
      </c>
      <c r="L29" s="1932">
        <f>IFERROR(VLOOKUP(A29,Solieu!G:M,6,0),"")</f>
        <v>0</v>
      </c>
      <c r="M29" s="1729" t="str">
        <f>IFERROR(VLOOKUP(A29,Solieu!G:M,7,0),"")</f>
        <v/>
      </c>
      <c r="N29" s="1265" t="s">
        <v>4214</v>
      </c>
      <c r="O29" s="1475">
        <f t="shared" si="0"/>
        <v>1</v>
      </c>
      <c r="P29" s="1261"/>
      <c r="Q29" s="1434"/>
      <c r="R29" s="1476"/>
      <c r="S29" s="860"/>
      <c r="T29" s="860"/>
      <c r="U29" s="860"/>
      <c r="V29" s="860"/>
      <c r="W29" s="860"/>
      <c r="X29" s="860"/>
      <c r="Y29" s="860"/>
      <c r="Z29" s="860"/>
      <c r="AA29" s="860"/>
    </row>
    <row r="30" spans="1:27" s="861" customFormat="1" ht="34.950000000000003" customHeight="1">
      <c r="A30" s="2148" t="str">
        <f>VLOOKUP(ROW()-ROW($A$5),TongHopKL!A:B,2,0)</f>
        <v>SATV5</v>
      </c>
      <c r="B30" s="1725">
        <f>SUM($O$6:O30)</f>
        <v>25</v>
      </c>
      <c r="C30" s="1726" t="str">
        <f>(VLOOKUP(A30,TongHopKL!B:F,5,0))</f>
        <v>Thanh sắt V50x50x5-4000 - 16kg/thanh</v>
      </c>
      <c r="D30" s="1727" t="str">
        <f>IFERROR(VLOOKUP(A30,DG!A:D,4,0),0)</f>
        <v>kg</v>
      </c>
      <c r="E30" s="1728">
        <f>SUMIF(TongHopKL!B:B,'NT-VT'!A30,TongHopKL!H:H)</f>
        <v>128</v>
      </c>
      <c r="F30" s="1725" t="str">
        <f>IFERROR(VLOOKUP(A30,Solieu!G:M,2,0),"")</f>
        <v>nt</v>
      </c>
      <c r="G30" s="1725" t="str">
        <f>IFERROR(VLOOKUP(A30,Solieu!G:M,3,0),"")</f>
        <v>nt</v>
      </c>
      <c r="H30" s="1725"/>
      <c r="I30" s="1729"/>
      <c r="J30" s="1730" t="str">
        <f>IFERROR(VLOOKUP(A30,Solieu!G:M,4,0),"")</f>
        <v>nt</v>
      </c>
      <c r="K30" s="1731" t="str">
        <f>IFERROR(VLOOKUP(A30,Solieu!G:M,5,0),"")</f>
        <v>nt</v>
      </c>
      <c r="L30" s="1932">
        <f>IFERROR(VLOOKUP(A30,Solieu!G:M,6,0),"")</f>
        <v>0</v>
      </c>
      <c r="M30" s="1729" t="str">
        <f>IFERROR(VLOOKUP(A30,Solieu!G:M,7,0),"")</f>
        <v/>
      </c>
      <c r="N30" s="1265" t="s">
        <v>4214</v>
      </c>
      <c r="O30" s="1475">
        <f t="shared" si="0"/>
        <v>1</v>
      </c>
      <c r="P30" s="1261"/>
      <c r="Q30" s="1434"/>
      <c r="R30" s="1476"/>
      <c r="S30" s="860"/>
      <c r="T30" s="860"/>
      <c r="U30" s="860"/>
      <c r="V30" s="860"/>
      <c r="W30" s="860"/>
      <c r="X30" s="860"/>
      <c r="Y30" s="860"/>
      <c r="Z30" s="860"/>
      <c r="AA30" s="860"/>
    </row>
    <row r="31" spans="1:27" s="861" customFormat="1" ht="34.950000000000003" customHeight="1">
      <c r="A31" s="2148" t="str">
        <f>VLOOKUP(ROW()-ROW($A$5),TongHopKL!A:B,2,0)</f>
        <v>ssf</v>
      </c>
      <c r="B31" s="1725">
        <f>SUM($O$6:O31)</f>
        <v>26</v>
      </c>
      <c r="C31" s="1726" t="str">
        <f>(VLOOKUP(A31,TongHopKL!B:F,5,0))</f>
        <v>Dây buộc cổ sứ đỡ góc SSF</v>
      </c>
      <c r="D31" s="1727" t="str">
        <f>IFERROR(VLOOKUP(A31,DG!A:D,4,0),0)</f>
        <v>cái</v>
      </c>
      <c r="E31" s="1728">
        <f>SUMIF(TongHopKL!B:B,'NT-VT'!A31,TongHopKL!H:H)</f>
        <v>6</v>
      </c>
      <c r="F31" s="1725" t="str">
        <f>IFERROR(VLOOKUP(A31,Solieu!G:M,2,0),"")</f>
        <v>nt</v>
      </c>
      <c r="G31" s="1725" t="str">
        <f>IFERROR(VLOOKUP(A31,Solieu!G:M,3,0),"")</f>
        <v>nt</v>
      </c>
      <c r="H31" s="1725"/>
      <c r="I31" s="1729"/>
      <c r="J31" s="1730" t="str">
        <f>IFERROR(VLOOKUP(A31,Solieu!G:M,4,0),"")</f>
        <v>nt</v>
      </c>
      <c r="K31" s="1731" t="str">
        <f>IFERROR(VLOOKUP(A31,Solieu!G:M,5,0),"")</f>
        <v>nt</v>
      </c>
      <c r="L31" s="1932">
        <f>IFERROR(VLOOKUP(A31,Solieu!G:M,6,0),"")</f>
        <v>0</v>
      </c>
      <c r="M31" s="1729" t="str">
        <f>IFERROR(VLOOKUP(A31,Solieu!G:M,7,0),"")</f>
        <v/>
      </c>
      <c r="N31" s="1265" t="s">
        <v>4214</v>
      </c>
      <c r="O31" s="1475">
        <f t="shared" si="0"/>
        <v>1</v>
      </c>
      <c r="P31" s="1261"/>
      <c r="Q31" s="1434"/>
      <c r="R31" s="1476"/>
      <c r="S31" s="860"/>
      <c r="T31" s="860"/>
      <c r="U31" s="860"/>
      <c r="V31" s="860"/>
      <c r="W31" s="860"/>
      <c r="X31" s="860"/>
      <c r="Y31" s="860"/>
      <c r="Z31" s="860"/>
      <c r="AA31" s="860"/>
    </row>
    <row r="32" spans="1:27" s="861" customFormat="1" ht="34.950000000000003" customHeight="1">
      <c r="A32" s="2148" t="str">
        <f>VLOOKUP(ROW()-ROW($A$5),TongHopKL!A:B,2,0)</f>
        <v>stk76</v>
      </c>
      <c r="B32" s="1725">
        <f>SUM($O$6:O32)</f>
        <v>27</v>
      </c>
      <c r="C32" s="1726" t="str">
        <f>(VLOOKUP(A32,TongHopKL!B:F,5,0))</f>
        <v>Ông sắt tráng kẽm D76</v>
      </c>
      <c r="D32" s="1727" t="str">
        <f>IFERROR(VLOOKUP(A32,DG!A:D,4,0),0)</f>
        <v>mét</v>
      </c>
      <c r="E32" s="1728">
        <f>SUMIF(TongHopKL!B:B,'NT-VT'!A32,TongHopKL!H:H)</f>
        <v>18</v>
      </c>
      <c r="F32" s="1725" t="str">
        <f>IFERROR(VLOOKUP(A32,Solieu!G:M,2,0),"")</f>
        <v>nt</v>
      </c>
      <c r="G32" s="1725" t="str">
        <f>IFERROR(VLOOKUP(A32,Solieu!G:M,3,0),"")</f>
        <v>nt</v>
      </c>
      <c r="H32" s="1725"/>
      <c r="I32" s="1729"/>
      <c r="J32" s="1730" t="str">
        <f>IFERROR(VLOOKUP(A32,Solieu!G:M,4,0),"")</f>
        <v>nt</v>
      </c>
      <c r="K32" s="1731" t="str">
        <f>IFERROR(VLOOKUP(A32,Solieu!G:M,5,0),"")</f>
        <v>nt</v>
      </c>
      <c r="L32" s="1932">
        <f>IFERROR(VLOOKUP(A32,Solieu!G:M,6,0),"")</f>
        <v>0</v>
      </c>
      <c r="M32" s="1729" t="str">
        <f>IFERROR(VLOOKUP(A32,Solieu!G:M,7,0),"")</f>
        <v/>
      </c>
      <c r="N32" s="1265" t="s">
        <v>4214</v>
      </c>
      <c r="O32" s="1475">
        <f t="shared" si="0"/>
        <v>1</v>
      </c>
      <c r="P32" s="1261"/>
      <c r="Q32" s="1434"/>
      <c r="R32" s="1476"/>
      <c r="S32" s="860"/>
      <c r="T32" s="860"/>
      <c r="U32" s="860"/>
      <c r="V32" s="860"/>
      <c r="W32" s="860"/>
      <c r="X32" s="860"/>
      <c r="Y32" s="860"/>
      <c r="Z32" s="860"/>
      <c r="AA32" s="860"/>
    </row>
    <row r="33" spans="1:27" s="861" customFormat="1" ht="34.950000000000003" customHeight="1">
      <c r="A33" s="2148" t="str">
        <f>VLOOKUP(ROW()-ROW($A$5),TongHopKL!A:B,2,0)</f>
        <v>ttf</v>
      </c>
      <c r="B33" s="1725">
        <f>SUM($O$6:O33)</f>
        <v>28</v>
      </c>
      <c r="C33" s="1726" t="str">
        <f>(VLOOKUP(A33,TongHopKL!B:F,5,0))</f>
        <v xml:space="preserve">Dây buộc cổ sứ đỡ thẳng TTF </v>
      </c>
      <c r="D33" s="1727" t="str">
        <f>IFERROR(VLOOKUP(A33,DG!A:D,4,0),0)</f>
        <v>cái</v>
      </c>
      <c r="E33" s="1728">
        <f>SUMIF(TongHopKL!B:B,'NT-VT'!A33,TongHopKL!H:H)</f>
        <v>2</v>
      </c>
      <c r="F33" s="1725" t="str">
        <f>IFERROR(VLOOKUP(A33,Solieu!G:M,2,0),"")</f>
        <v>nt</v>
      </c>
      <c r="G33" s="1725" t="str">
        <f>IFERROR(VLOOKUP(A33,Solieu!G:M,3,0),"")</f>
        <v>nt</v>
      </c>
      <c r="H33" s="1725"/>
      <c r="I33" s="1729"/>
      <c r="J33" s="1730" t="str">
        <f>IFERROR(VLOOKUP(A33,Solieu!G:M,4,0),"")</f>
        <v>nt</v>
      </c>
      <c r="K33" s="1731" t="str">
        <f>IFERROR(VLOOKUP(A33,Solieu!G:M,5,0),"")</f>
        <v>nt</v>
      </c>
      <c r="L33" s="1932">
        <f>IFERROR(VLOOKUP(A33,Solieu!G:M,6,0),"")</f>
        <v>0</v>
      </c>
      <c r="M33" s="1729" t="str">
        <f>IFERROR(VLOOKUP(A33,Solieu!G:M,7,0),"")</f>
        <v/>
      </c>
      <c r="N33" s="1265" t="s">
        <v>4214</v>
      </c>
      <c r="O33" s="1475">
        <f t="shared" si="0"/>
        <v>1</v>
      </c>
      <c r="P33" s="1261"/>
      <c r="Q33" s="1434"/>
      <c r="R33" s="1476"/>
      <c r="S33" s="860"/>
      <c r="T33" s="860"/>
      <c r="U33" s="860"/>
      <c r="V33" s="860"/>
      <c r="W33" s="860"/>
      <c r="X33" s="860"/>
      <c r="Y33" s="860"/>
      <c r="Z33" s="860"/>
      <c r="AA33" s="860"/>
    </row>
    <row r="34" spans="1:27" s="861" customFormat="1" ht="34.950000000000003" customHeight="1">
      <c r="A34" s="2148" t="str">
        <f>VLOOKUP(ROW()-ROW($A$5),TongHopKL!A:B,2,0)</f>
        <v>Ttf01</v>
      </c>
      <c r="B34" s="1725">
        <f>SUM($O$6:O34)</f>
        <v>29</v>
      </c>
      <c r="C34" s="1726" t="str">
        <f>(VLOOKUP(A34,TongHopKL!B:F,5,0))</f>
        <v>Dây buộc đầu sứ đỡ thẳng 50mm2</v>
      </c>
      <c r="D34" s="1727" t="str">
        <f>IFERROR(VLOOKUP(A34,DG!A:D,4,0),0)</f>
        <v>cái</v>
      </c>
      <c r="E34" s="1728">
        <f>SUMIF(TongHopKL!B:B,'NT-VT'!A34,TongHopKL!H:H)</f>
        <v>9</v>
      </c>
      <c r="F34" s="1725" t="str">
        <f>IFERROR(VLOOKUP(A34,Solieu!G:M,2,0),"")</f>
        <v>nt</v>
      </c>
      <c r="G34" s="1725" t="str">
        <f>IFERROR(VLOOKUP(A34,Solieu!G:M,3,0),"")</f>
        <v>nt</v>
      </c>
      <c r="H34" s="1725"/>
      <c r="I34" s="1729"/>
      <c r="J34" s="1730" t="str">
        <f>IFERROR(VLOOKUP(A34,Solieu!G:M,4,0),"")</f>
        <v>nt</v>
      </c>
      <c r="K34" s="1731" t="str">
        <f>IFERROR(VLOOKUP(A34,Solieu!G:M,5,0),"")</f>
        <v>nt</v>
      </c>
      <c r="L34" s="1932">
        <f>IFERROR(VLOOKUP(A34,Solieu!G:M,6,0),"")</f>
        <v>0</v>
      </c>
      <c r="M34" s="1729" t="str">
        <f>IFERROR(VLOOKUP(A34,Solieu!G:M,7,0),"")</f>
        <v/>
      </c>
      <c r="N34" s="1265" t="s">
        <v>4214</v>
      </c>
      <c r="O34" s="1475">
        <f t="shared" si="0"/>
        <v>1</v>
      </c>
      <c r="P34" s="1261"/>
      <c r="Q34" s="1434"/>
      <c r="R34" s="1476"/>
      <c r="S34" s="860"/>
      <c r="T34" s="860"/>
      <c r="U34" s="860"/>
      <c r="V34" s="860"/>
      <c r="W34" s="860"/>
      <c r="X34" s="860"/>
      <c r="Y34" s="860"/>
      <c r="Z34" s="860"/>
      <c r="AA34" s="860"/>
    </row>
    <row r="35" spans="1:27" s="861" customFormat="1" ht="34.950000000000003" customHeight="1">
      <c r="A35" s="2148" t="str">
        <f>VLOOKUP(ROW()-ROW($A$5),TongHopKL!A:B,2,0)</f>
        <v>TUacb2000</v>
      </c>
      <c r="B35" s="1725">
        <f>SUM($O$6:O35)</f>
        <v>30</v>
      </c>
      <c r="C35" s="1726" t="str">
        <f>(VLOOKUP(A35,TongHopKL!B:F,5,0))</f>
        <v>Tủ ACB + thanh cái 2000A</v>
      </c>
      <c r="D35" s="1727" t="str">
        <f>IFERROR(VLOOKUP(A35,DG!A:D,4,0),0)</f>
        <v>cái</v>
      </c>
      <c r="E35" s="1728">
        <f>SUMIF(TongHopKL!B:B,'NT-VT'!A35,TongHopKL!H:H)</f>
        <v>1</v>
      </c>
      <c r="F35" s="1725" t="str">
        <f>IFERROR(VLOOKUP(A35,Solieu!G:M,2,0),"")</f>
        <v>nt</v>
      </c>
      <c r="G35" s="1725" t="str">
        <f>IFERROR(VLOOKUP(A35,Solieu!G:M,3,0),"")</f>
        <v>nt</v>
      </c>
      <c r="H35" s="1725"/>
      <c r="I35" s="1729"/>
      <c r="J35" s="1730" t="str">
        <f>IFERROR(VLOOKUP(A35,Solieu!G:M,4,0),"")</f>
        <v>nt</v>
      </c>
      <c r="K35" s="1731" t="str">
        <f>IFERROR(VLOOKUP(A35,Solieu!G:M,5,0),"")</f>
        <v>nt</v>
      </c>
      <c r="L35" s="1932">
        <f>IFERROR(VLOOKUP(A35,Solieu!G:M,6,0),"")</f>
        <v>0</v>
      </c>
      <c r="M35" s="1729" t="str">
        <f>IFERROR(VLOOKUP(A35,Solieu!G:M,7,0),"")</f>
        <v/>
      </c>
      <c r="N35" s="1265" t="s">
        <v>4214</v>
      </c>
      <c r="O35" s="1475">
        <f t="shared" si="0"/>
        <v>1</v>
      </c>
      <c r="P35" s="1261"/>
      <c r="Q35" s="1434"/>
      <c r="R35" s="1476"/>
      <c r="S35" s="860"/>
      <c r="T35" s="860"/>
      <c r="U35" s="860"/>
      <c r="V35" s="860"/>
      <c r="W35" s="860"/>
      <c r="X35" s="860"/>
      <c r="Y35" s="860"/>
      <c r="Z35" s="860"/>
      <c r="AA35" s="860"/>
    </row>
    <row r="36" spans="1:27" s="861" customFormat="1" ht="34.950000000000003" customHeight="1">
      <c r="A36" s="2148" t="str">
        <f>VLOOKUP(ROW()-ROW($A$5),TongHopKL!A:B,2,0)</f>
        <v>b1050</v>
      </c>
      <c r="B36" s="1725">
        <f>SUM($O$6:O36)</f>
        <v>31</v>
      </c>
      <c r="C36" s="1726" t="str">
        <f>(VLOOKUP(A36,TongHopKL!B:F,5,0))</f>
        <v>Boulon 10x50+ 2 long đền vuông D12-50x50x3/Zn</v>
      </c>
      <c r="D36" s="1727" t="str">
        <f>IFERROR(VLOOKUP(A36,DG!A:D,4,0),0)</f>
        <v>bộ</v>
      </c>
      <c r="E36" s="1728">
        <f>SUMIF(TongHopKL!B:B,'NT-VT'!A36,TongHopKL!H:H)</f>
        <v>24</v>
      </c>
      <c r="F36" s="1725" t="str">
        <f>IFERROR(VLOOKUP(A36,Solieu!G:M,2,0),"")</f>
        <v>nt</v>
      </c>
      <c r="G36" s="1725" t="str">
        <f>IFERROR(VLOOKUP(A36,Solieu!G:M,3,0),"")</f>
        <v>nt</v>
      </c>
      <c r="H36" s="1725"/>
      <c r="I36" s="1729"/>
      <c r="J36" s="1730" t="str">
        <f>IFERROR(VLOOKUP(A36,Solieu!G:M,4,0),"")</f>
        <v>nt</v>
      </c>
      <c r="K36" s="1731" t="str">
        <f>IFERROR(VLOOKUP(A36,Solieu!G:M,5,0),"")</f>
        <v>nt</v>
      </c>
      <c r="L36" s="1932">
        <f>IFERROR(VLOOKUP(A36,Solieu!G:M,6,0),"")</f>
        <v>0</v>
      </c>
      <c r="M36" s="1729" t="str">
        <f>IFERROR(VLOOKUP(A36,Solieu!G:M,7,0),"")</f>
        <v/>
      </c>
      <c r="N36" s="1265" t="s">
        <v>4214</v>
      </c>
      <c r="O36" s="1475">
        <f t="shared" si="0"/>
        <v>1</v>
      </c>
      <c r="P36" s="1261"/>
      <c r="Q36" s="1434"/>
      <c r="R36" s="1476"/>
      <c r="S36" s="860"/>
      <c r="T36" s="860"/>
      <c r="U36" s="860"/>
      <c r="V36" s="860"/>
      <c r="W36" s="860"/>
      <c r="X36" s="860"/>
      <c r="Y36" s="860"/>
      <c r="Z36" s="860"/>
      <c r="AA36" s="860"/>
    </row>
    <row r="37" spans="1:27" s="861" customFormat="1" ht="34.950000000000003" customHeight="1">
      <c r="A37" s="2148" t="str">
        <f>VLOOKUP(ROW()-ROW($A$5),TongHopKL!A:B,2,0)</f>
        <v>B16150</v>
      </c>
      <c r="B37" s="1725">
        <f>SUM($O$6:O37)</f>
        <v>32</v>
      </c>
      <c r="C37" s="1726" t="str">
        <f>(VLOOKUP(A37,TongHopKL!B:F,5,0))</f>
        <v>Boulon 16x150+ 2 long đền vuông D18-50x50x3/Zn</v>
      </c>
      <c r="D37" s="1727" t="str">
        <f>IFERROR(VLOOKUP(A37,DG!A:D,4,0),0)</f>
        <v>bộ</v>
      </c>
      <c r="E37" s="1728">
        <f>SUMIF(TongHopKL!B:B,'NT-VT'!A37,TongHopKL!H:H)</f>
        <v>4</v>
      </c>
      <c r="F37" s="1725" t="str">
        <f>IFERROR(VLOOKUP(A37,Solieu!G:M,2,0),"")</f>
        <v>nt</v>
      </c>
      <c r="G37" s="1725" t="str">
        <f>IFERROR(VLOOKUP(A37,Solieu!G:M,3,0),"")</f>
        <v>nt</v>
      </c>
      <c r="H37" s="1725"/>
      <c r="I37" s="1729"/>
      <c r="J37" s="1730" t="str">
        <f>IFERROR(VLOOKUP(A37,Solieu!G:M,4,0),"")</f>
        <v>nt</v>
      </c>
      <c r="K37" s="1731" t="str">
        <f>IFERROR(VLOOKUP(A37,Solieu!G:M,5,0),"")</f>
        <v>nt</v>
      </c>
      <c r="L37" s="1932">
        <f>IFERROR(VLOOKUP(A37,Solieu!G:M,6,0),"")</f>
        <v>0</v>
      </c>
      <c r="M37" s="1729" t="str">
        <f>IFERROR(VLOOKUP(A37,Solieu!G:M,7,0),"")</f>
        <v/>
      </c>
      <c r="N37" s="1265" t="s">
        <v>4214</v>
      </c>
      <c r="O37" s="1475">
        <f t="shared" si="0"/>
        <v>1</v>
      </c>
      <c r="P37" s="1261"/>
      <c r="Q37" s="1434"/>
      <c r="R37" s="1476"/>
      <c r="S37" s="860"/>
      <c r="T37" s="860"/>
      <c r="U37" s="860"/>
      <c r="V37" s="860"/>
      <c r="W37" s="860"/>
      <c r="X37" s="860"/>
      <c r="Y37" s="860"/>
      <c r="Z37" s="860"/>
      <c r="AA37" s="860"/>
    </row>
    <row r="38" spans="1:27" s="861" customFormat="1" ht="34.950000000000003" customHeight="1">
      <c r="A38" s="2148" t="str">
        <f>VLOOKUP(ROW()-ROW($A$5),TongHopKL!A:B,2,0)</f>
        <v>B16250</v>
      </c>
      <c r="B38" s="1725">
        <f>SUM($O$6:O38)</f>
        <v>33</v>
      </c>
      <c r="C38" s="1726" t="str">
        <f>(VLOOKUP(A38,TongHopKL!B:F,5,0))</f>
        <v>Boulon 16x250+ 2 long đền vuông D18-50x50x3/Zn</v>
      </c>
      <c r="D38" s="1727" t="str">
        <f>IFERROR(VLOOKUP(A38,DG!A:D,4,0),0)</f>
        <v>bộ</v>
      </c>
      <c r="E38" s="1728">
        <f>SUMIF(TongHopKL!B:B,'NT-VT'!A38,TongHopKL!H:H)</f>
        <v>3</v>
      </c>
      <c r="F38" s="1725" t="str">
        <f>IFERROR(VLOOKUP(A38,Solieu!G:M,2,0),"")</f>
        <v>nt</v>
      </c>
      <c r="G38" s="1725" t="str">
        <f>IFERROR(VLOOKUP(A38,Solieu!G:M,3,0),"")</f>
        <v>nt</v>
      </c>
      <c r="H38" s="1725"/>
      <c r="I38" s="1729"/>
      <c r="J38" s="1730" t="str">
        <f>IFERROR(VLOOKUP(A38,Solieu!G:M,4,0),"")</f>
        <v>nt</v>
      </c>
      <c r="K38" s="1731" t="str">
        <f>IFERROR(VLOOKUP(A38,Solieu!G:M,5,0),"")</f>
        <v>nt</v>
      </c>
      <c r="L38" s="1932">
        <f>IFERROR(VLOOKUP(A38,Solieu!G:M,6,0),"")</f>
        <v>0</v>
      </c>
      <c r="M38" s="1729" t="str">
        <f>IFERROR(VLOOKUP(A38,Solieu!G:M,7,0),"")</f>
        <v/>
      </c>
      <c r="N38" s="1265" t="s">
        <v>4214</v>
      </c>
      <c r="O38" s="1475">
        <f t="shared" si="0"/>
        <v>1</v>
      </c>
      <c r="P38" s="1261"/>
      <c r="Q38" s="1434"/>
      <c r="R38" s="1476"/>
      <c r="S38" s="860"/>
      <c r="T38" s="860"/>
      <c r="U38" s="860"/>
      <c r="V38" s="860"/>
      <c r="W38" s="860"/>
      <c r="X38" s="860"/>
      <c r="Y38" s="860"/>
      <c r="Z38" s="860"/>
      <c r="AA38" s="860"/>
    </row>
    <row r="39" spans="1:27" s="861" customFormat="1" ht="34.950000000000003" customHeight="1">
      <c r="A39" s="2148" t="str">
        <f>VLOOKUP(ROW()-ROW($A$5),TongHopKL!A:B,2,0)</f>
        <v>B16300</v>
      </c>
      <c r="B39" s="1725">
        <f>SUM($O$6:O39)</f>
        <v>34</v>
      </c>
      <c r="C39" s="1726" t="str">
        <f>(VLOOKUP(A39,TongHopKL!B:F,5,0))</f>
        <v>Boulon 16x300+ 2 long đền vuông D18-50x50x3/Zn</v>
      </c>
      <c r="D39" s="1727" t="str">
        <f>IFERROR(VLOOKUP(A39,DG!A:D,4,0),0)</f>
        <v>bộ</v>
      </c>
      <c r="E39" s="1728">
        <f>SUMIF(TongHopKL!B:B,'NT-VT'!A39,TongHopKL!H:H)</f>
        <v>9</v>
      </c>
      <c r="F39" s="1725" t="str">
        <f>IFERROR(VLOOKUP(A39,Solieu!G:M,2,0),"")</f>
        <v>nt</v>
      </c>
      <c r="G39" s="1725" t="str">
        <f>IFERROR(VLOOKUP(A39,Solieu!G:M,3,0),"")</f>
        <v>nt</v>
      </c>
      <c r="H39" s="1725"/>
      <c r="I39" s="1729"/>
      <c r="J39" s="1730" t="str">
        <f>IFERROR(VLOOKUP(A39,Solieu!G:M,4,0),"")</f>
        <v>nt</v>
      </c>
      <c r="K39" s="1731" t="str">
        <f>IFERROR(VLOOKUP(A39,Solieu!G:M,5,0),"")</f>
        <v>nt</v>
      </c>
      <c r="L39" s="1932">
        <f>IFERROR(VLOOKUP(A39,Solieu!G:M,6,0),"")</f>
        <v>0</v>
      </c>
      <c r="M39" s="1729" t="str">
        <f>IFERROR(VLOOKUP(A39,Solieu!G:M,7,0),"")</f>
        <v/>
      </c>
      <c r="N39" s="1265" t="s">
        <v>4214</v>
      </c>
      <c r="O39" s="1475">
        <f t="shared" si="0"/>
        <v>1</v>
      </c>
      <c r="P39" s="1261"/>
      <c r="Q39" s="1434"/>
      <c r="R39" s="1476"/>
      <c r="S39" s="860"/>
      <c r="T39" s="860"/>
      <c r="U39" s="860"/>
      <c r="V39" s="860"/>
      <c r="W39" s="860"/>
      <c r="X39" s="860"/>
      <c r="Y39" s="860"/>
      <c r="Z39" s="860"/>
      <c r="AA39" s="860"/>
    </row>
    <row r="40" spans="1:27" s="861" customFormat="1" ht="34.950000000000003" customHeight="1">
      <c r="A40" s="2148" t="str">
        <f>VLOOKUP(ROW()-ROW($A$5),TongHopKL!A:B,2,0)</f>
        <v>B16300v</v>
      </c>
      <c r="B40" s="1725">
        <f>SUM($O$6:O40)</f>
        <v>35</v>
      </c>
      <c r="C40" s="1726" t="str">
        <f>(VLOOKUP(A40,TongHopKL!B:F,5,0))</f>
        <v>Boulon 16x300VRS+ 4 long đền vuông D18-50x50x3/Zn</v>
      </c>
      <c r="D40" s="1727" t="str">
        <f>IFERROR(VLOOKUP(A40,DG!A:D,4,0),0)</f>
        <v>bộ</v>
      </c>
      <c r="E40" s="1728">
        <f>SUMIF(TongHopKL!B:B,'NT-VT'!A40,TongHopKL!H:H)</f>
        <v>12</v>
      </c>
      <c r="F40" s="1725" t="str">
        <f>IFERROR(VLOOKUP(A40,Solieu!G:M,2,0),"")</f>
        <v>nt</v>
      </c>
      <c r="G40" s="1725" t="str">
        <f>IFERROR(VLOOKUP(A40,Solieu!G:M,3,0),"")</f>
        <v>nt</v>
      </c>
      <c r="H40" s="1725"/>
      <c r="I40" s="1729"/>
      <c r="J40" s="1730" t="str">
        <f>IFERROR(VLOOKUP(A40,Solieu!G:M,4,0),"")</f>
        <v>nt</v>
      </c>
      <c r="K40" s="1731" t="str">
        <f>IFERROR(VLOOKUP(A40,Solieu!G:M,5,0),"")</f>
        <v>nt</v>
      </c>
      <c r="L40" s="1932">
        <f>IFERROR(VLOOKUP(A40,Solieu!G:M,6,0),"")</f>
        <v>0</v>
      </c>
      <c r="M40" s="1729" t="str">
        <f>IFERROR(VLOOKUP(A40,Solieu!G:M,7,0),"")</f>
        <v/>
      </c>
      <c r="N40" s="1265" t="s">
        <v>4214</v>
      </c>
      <c r="O40" s="1475">
        <f t="shared" si="0"/>
        <v>1</v>
      </c>
      <c r="P40" s="1261"/>
      <c r="Q40" s="1434"/>
      <c r="R40" s="1476"/>
      <c r="S40" s="860"/>
      <c r="T40" s="860"/>
      <c r="U40" s="860"/>
      <c r="V40" s="860"/>
      <c r="W40" s="860"/>
      <c r="X40" s="860"/>
      <c r="Y40" s="860"/>
      <c r="Z40" s="860"/>
      <c r="AA40" s="860"/>
    </row>
    <row r="41" spans="1:27" s="861" customFormat="1" ht="34.950000000000003" customHeight="1">
      <c r="A41" s="2148" t="str">
        <f>VLOOKUP(ROW()-ROW($A$5),TongHopKL!A:B,2,0)</f>
        <v>B1635</v>
      </c>
      <c r="B41" s="1725">
        <f>SUM($O$6:O41)</f>
        <v>36</v>
      </c>
      <c r="C41" s="1726" t="str">
        <f>(VLOOKUP(A41,TongHopKL!B:F,5,0))</f>
        <v>Boulon 16x35+ 2 long đền vuông D18-50x50x3/Zn</v>
      </c>
      <c r="D41" s="1727" t="str">
        <f>IFERROR(VLOOKUP(A41,DG!A:D,4,0),0)</f>
        <v>bộ</v>
      </c>
      <c r="E41" s="1728">
        <f>SUMIF(TongHopKL!B:B,'NT-VT'!A41,TongHopKL!H:H)</f>
        <v>1</v>
      </c>
      <c r="F41" s="1725" t="str">
        <f>IFERROR(VLOOKUP(A41,Solieu!G:M,2,0),"")</f>
        <v>nt</v>
      </c>
      <c r="G41" s="1725" t="str">
        <f>IFERROR(VLOOKUP(A41,Solieu!G:M,3,0),"")</f>
        <v>nt</v>
      </c>
      <c r="H41" s="1725"/>
      <c r="I41" s="1729"/>
      <c r="J41" s="1730" t="str">
        <f>IFERROR(VLOOKUP(A41,Solieu!G:M,4,0),"")</f>
        <v>nt</v>
      </c>
      <c r="K41" s="1731" t="str">
        <f>IFERROR(VLOOKUP(A41,Solieu!G:M,5,0),"")</f>
        <v>nt</v>
      </c>
      <c r="L41" s="1932">
        <f>IFERROR(VLOOKUP(A41,Solieu!G:M,6,0),"")</f>
        <v>0</v>
      </c>
      <c r="M41" s="1729" t="str">
        <f>IFERROR(VLOOKUP(A41,Solieu!G:M,7,0),"")</f>
        <v/>
      </c>
      <c r="N41" s="1265" t="s">
        <v>4214</v>
      </c>
      <c r="O41" s="1475">
        <f t="shared" si="0"/>
        <v>1</v>
      </c>
      <c r="P41" s="1261"/>
      <c r="Q41" s="1434"/>
      <c r="R41" s="1476"/>
      <c r="S41" s="860"/>
      <c r="T41" s="860"/>
      <c r="U41" s="860"/>
      <c r="V41" s="860"/>
      <c r="W41" s="860"/>
      <c r="X41" s="860"/>
      <c r="Y41" s="860"/>
      <c r="Z41" s="860"/>
      <c r="AA41" s="860"/>
    </row>
    <row r="42" spans="1:27" s="861" customFormat="1" ht="34.950000000000003" customHeight="1">
      <c r="A42" s="2148" t="str">
        <f>VLOOKUP(ROW()-ROW($A$5),TongHopKL!A:B,2,0)</f>
        <v>B16350</v>
      </c>
      <c r="B42" s="1725">
        <f>SUM($O$6:O42)</f>
        <v>37</v>
      </c>
      <c r="C42" s="1726" t="str">
        <f>(VLOOKUP(A42,TongHopKL!B:F,5,0))</f>
        <v>Boulon 16x350+ 2 long đền vuông D18-50x50x3/Zn</v>
      </c>
      <c r="D42" s="1727" t="str">
        <f>IFERROR(VLOOKUP(A42,DG!A:D,4,0),0)</f>
        <v>bộ</v>
      </c>
      <c r="E42" s="1728">
        <f>SUMIF(TongHopKL!B:B,'NT-VT'!A42,TongHopKL!H:H)</f>
        <v>5</v>
      </c>
      <c r="F42" s="1725" t="str">
        <f>IFERROR(VLOOKUP(A42,Solieu!G:M,2,0),"")</f>
        <v>nt</v>
      </c>
      <c r="G42" s="1725" t="str">
        <f>IFERROR(VLOOKUP(A42,Solieu!G:M,3,0),"")</f>
        <v>nt</v>
      </c>
      <c r="H42" s="1725"/>
      <c r="I42" s="1729"/>
      <c r="J42" s="1730" t="str">
        <f>IFERROR(VLOOKUP(A42,Solieu!G:M,4,0),"")</f>
        <v>nt</v>
      </c>
      <c r="K42" s="1731" t="str">
        <f>IFERROR(VLOOKUP(A42,Solieu!G:M,5,0),"")</f>
        <v>nt</v>
      </c>
      <c r="L42" s="1932">
        <f>IFERROR(VLOOKUP(A42,Solieu!G:M,6,0),"")</f>
        <v>0</v>
      </c>
      <c r="M42" s="1729" t="str">
        <f>IFERROR(VLOOKUP(A42,Solieu!G:M,7,0),"")</f>
        <v/>
      </c>
      <c r="N42" s="1265" t="s">
        <v>4214</v>
      </c>
      <c r="O42" s="1475">
        <f t="shared" si="0"/>
        <v>1</v>
      </c>
      <c r="P42" s="1261"/>
      <c r="Q42" s="1434"/>
      <c r="R42" s="1476"/>
      <c r="S42" s="860"/>
      <c r="T42" s="860"/>
      <c r="U42" s="860"/>
      <c r="V42" s="860"/>
      <c r="W42" s="860"/>
      <c r="X42" s="860"/>
      <c r="Y42" s="860"/>
      <c r="Z42" s="860"/>
      <c r="AA42" s="860"/>
    </row>
    <row r="43" spans="1:27" s="861" customFormat="1" ht="34.950000000000003" customHeight="1">
      <c r="A43" s="2148" t="str">
        <f>VLOOKUP(ROW()-ROW($A$5),TongHopKL!A:B,2,0)</f>
        <v>B1650</v>
      </c>
      <c r="B43" s="1725">
        <f>SUM($O$6:O43)</f>
        <v>38</v>
      </c>
      <c r="C43" s="1726" t="str">
        <f>(VLOOKUP(A43,TongHopKL!B:F,5,0))</f>
        <v>Boulon 16x50+ 2 long đền vuông D18-50x50x3/Zn</v>
      </c>
      <c r="D43" s="1727" t="str">
        <f>IFERROR(VLOOKUP(A43,DG!A:D,4,0),0)</f>
        <v>bộ</v>
      </c>
      <c r="E43" s="1728">
        <f>SUMIF(TongHopKL!B:B,'NT-VT'!A43,TongHopKL!H:H)</f>
        <v>18</v>
      </c>
      <c r="F43" s="1725" t="str">
        <f>IFERROR(VLOOKUP(A43,Solieu!G:M,2,0),"")</f>
        <v>nt</v>
      </c>
      <c r="G43" s="1725" t="str">
        <f>IFERROR(VLOOKUP(A43,Solieu!G:M,3,0),"")</f>
        <v>nt</v>
      </c>
      <c r="H43" s="1725"/>
      <c r="I43" s="1729"/>
      <c r="J43" s="1730" t="str">
        <f>IFERROR(VLOOKUP(A43,Solieu!G:M,4,0),"")</f>
        <v>nt</v>
      </c>
      <c r="K43" s="1731" t="str">
        <f>IFERROR(VLOOKUP(A43,Solieu!G:M,5,0),"")</f>
        <v>nt</v>
      </c>
      <c r="L43" s="1932">
        <f>IFERROR(VLOOKUP(A43,Solieu!G:M,6,0),"")</f>
        <v>0</v>
      </c>
      <c r="M43" s="1729" t="str">
        <f>IFERROR(VLOOKUP(A43,Solieu!G:M,7,0),"")</f>
        <v/>
      </c>
      <c r="N43" s="1265" t="s">
        <v>4214</v>
      </c>
      <c r="O43" s="1475">
        <f t="shared" si="0"/>
        <v>1</v>
      </c>
      <c r="P43" s="1261"/>
      <c r="Q43" s="1434"/>
      <c r="R43" s="1476"/>
      <c r="S43" s="860"/>
      <c r="T43" s="860"/>
      <c r="U43" s="860"/>
      <c r="V43" s="860"/>
      <c r="W43" s="860"/>
      <c r="X43" s="860"/>
      <c r="Y43" s="860"/>
      <c r="Z43" s="860"/>
      <c r="AA43" s="860"/>
    </row>
    <row r="44" spans="1:27" s="861" customFormat="1" ht="34.950000000000003" customHeight="1">
      <c r="A44" s="2148" t="str">
        <f>VLOOKUP(ROW()-ROW($A$5),TongHopKL!A:B,2,0)</f>
        <v>B16650v</v>
      </c>
      <c r="B44" s="1725">
        <f>SUM($O$6:O44)</f>
        <v>39</v>
      </c>
      <c r="C44" s="1726" t="str">
        <f>(VLOOKUP(A44,TongHopKL!B:F,5,0))</f>
        <v>Boulon 16x650VRS+ 4 long đền vuông D18-50x50x3/Zn</v>
      </c>
      <c r="D44" s="1727" t="str">
        <f>IFERROR(VLOOKUP(A44,DG!A:D,4,0),0)</f>
        <v>bộ</v>
      </c>
      <c r="E44" s="1728">
        <f>SUMIF(TongHopKL!B:B,'NT-VT'!A44,TongHopKL!H:H)</f>
        <v>1</v>
      </c>
      <c r="F44" s="1725" t="str">
        <f>IFERROR(VLOOKUP(A44,Solieu!G:M,2,0),"")</f>
        <v>nt</v>
      </c>
      <c r="G44" s="1725" t="str">
        <f>IFERROR(VLOOKUP(A44,Solieu!G:M,3,0),"")</f>
        <v>nt</v>
      </c>
      <c r="H44" s="1725"/>
      <c r="I44" s="1729"/>
      <c r="J44" s="1730" t="str">
        <f>IFERROR(VLOOKUP(A44,Solieu!G:M,4,0),"")</f>
        <v>nt</v>
      </c>
      <c r="K44" s="1731" t="str">
        <f>IFERROR(VLOOKUP(A44,Solieu!G:M,5,0),"")</f>
        <v>nt</v>
      </c>
      <c r="L44" s="1932">
        <f>IFERROR(VLOOKUP(A44,Solieu!G:M,6,0),"")</f>
        <v>0</v>
      </c>
      <c r="M44" s="1729" t="str">
        <f>IFERROR(VLOOKUP(A44,Solieu!G:M,7,0),"")</f>
        <v/>
      </c>
      <c r="N44" s="1265" t="s">
        <v>4214</v>
      </c>
      <c r="O44" s="1475">
        <f t="shared" si="0"/>
        <v>1</v>
      </c>
      <c r="P44" s="1261"/>
      <c r="Q44" s="1434"/>
      <c r="R44" s="1476"/>
      <c r="S44" s="860"/>
      <c r="T44" s="860"/>
      <c r="U44" s="860"/>
      <c r="V44" s="860"/>
      <c r="W44" s="860"/>
      <c r="X44" s="860"/>
      <c r="Y44" s="860"/>
      <c r="Z44" s="860"/>
      <c r="AA44" s="860"/>
    </row>
    <row r="45" spans="1:27" s="861" customFormat="1" ht="34.950000000000003" customHeight="1">
      <c r="A45" s="2148" t="str">
        <f>VLOOKUP(ROW()-ROW($A$5),TongHopKL!A:B,2,0)</f>
        <v>B16750v</v>
      </c>
      <c r="B45" s="1725">
        <f>SUM($O$6:O45)</f>
        <v>40</v>
      </c>
      <c r="C45" s="1726" t="str">
        <f>(VLOOKUP(A45,TongHopKL!B:F,5,0))</f>
        <v>Boulon 16x750VRS+ 4 long đền vuông D18-50x50x3/Zn</v>
      </c>
      <c r="D45" s="1727" t="str">
        <f>IFERROR(VLOOKUP(A45,DG!A:D,4,0),0)</f>
        <v>bộ</v>
      </c>
      <c r="E45" s="1728">
        <f>SUMIF(TongHopKL!B:B,'NT-VT'!A45,TongHopKL!H:H)</f>
        <v>1</v>
      </c>
      <c r="F45" s="1725" t="str">
        <f>IFERROR(VLOOKUP(A45,Solieu!G:M,2,0),"")</f>
        <v>nt</v>
      </c>
      <c r="G45" s="1725" t="str">
        <f>IFERROR(VLOOKUP(A45,Solieu!G:M,3,0),"")</f>
        <v>nt</v>
      </c>
      <c r="H45" s="1725"/>
      <c r="I45" s="1729"/>
      <c r="J45" s="1730" t="str">
        <f>IFERROR(VLOOKUP(A45,Solieu!G:M,4,0),"")</f>
        <v>nt</v>
      </c>
      <c r="K45" s="1731" t="str">
        <f>IFERROR(VLOOKUP(A45,Solieu!G:M,5,0),"")</f>
        <v>nt</v>
      </c>
      <c r="L45" s="1932">
        <f>IFERROR(VLOOKUP(A45,Solieu!G:M,6,0),"")</f>
        <v>0</v>
      </c>
      <c r="M45" s="1729" t="str">
        <f>IFERROR(VLOOKUP(A45,Solieu!G:M,7,0),"")</f>
        <v/>
      </c>
      <c r="N45" s="1265" t="s">
        <v>4214</v>
      </c>
      <c r="O45" s="1475">
        <f t="shared" si="0"/>
        <v>1</v>
      </c>
      <c r="P45" s="1261"/>
      <c r="Q45" s="1434"/>
      <c r="R45" s="1476"/>
      <c r="S45" s="860"/>
      <c r="T45" s="860"/>
      <c r="U45" s="860"/>
      <c r="V45" s="860"/>
      <c r="W45" s="860"/>
      <c r="X45" s="860"/>
      <c r="Y45" s="860"/>
      <c r="Z45" s="860"/>
      <c r="AA45" s="860"/>
    </row>
    <row r="46" spans="1:27" s="861" customFormat="1" ht="34.950000000000003" customHeight="1">
      <c r="A46" s="2148" t="str">
        <f>VLOOKUP(ROW()-ROW($A$5),TongHopKL!A:B,2,0)</f>
        <v>BAKE</v>
      </c>
      <c r="B46" s="1725">
        <f>SUM($O$6:O46)</f>
        <v>41</v>
      </c>
      <c r="C46" s="1726" t="str">
        <f>(VLOOKUP(A46,TongHopKL!B:F,5,0))</f>
        <v xml:space="preserve">Bakelit 550x450 dầy 10mm </v>
      </c>
      <c r="D46" s="1727" t="str">
        <f>IFERROR(VLOOKUP(A46,DG!A:D,4,0),0)</f>
        <v>cái</v>
      </c>
      <c r="E46" s="1728">
        <f>SUMIF(TongHopKL!B:B,'NT-VT'!A46,TongHopKL!H:H)</f>
        <v>1</v>
      </c>
      <c r="F46" s="1725" t="str">
        <f>IFERROR(VLOOKUP(A46,Solieu!G:M,2,0),"")</f>
        <v>nt</v>
      </c>
      <c r="G46" s="1725" t="str">
        <f>IFERROR(VLOOKUP(A46,Solieu!G:M,3,0),"")</f>
        <v>nt</v>
      </c>
      <c r="H46" s="1725"/>
      <c r="I46" s="1729"/>
      <c r="J46" s="1730" t="str">
        <f>IFERROR(VLOOKUP(A46,Solieu!G:M,4,0),"")</f>
        <v>nt</v>
      </c>
      <c r="K46" s="1731" t="str">
        <f>IFERROR(VLOOKUP(A46,Solieu!G:M,5,0),"")</f>
        <v>nt</v>
      </c>
      <c r="L46" s="1932">
        <f>IFERROR(VLOOKUP(A46,Solieu!G:M,6,0),"")</f>
        <v>0</v>
      </c>
      <c r="M46" s="1729" t="str">
        <f>IFERROR(VLOOKUP(A46,Solieu!G:M,7,0),"")</f>
        <v/>
      </c>
      <c r="N46" s="1265" t="s">
        <v>4214</v>
      </c>
      <c r="O46" s="1475">
        <f t="shared" si="0"/>
        <v>1</v>
      </c>
      <c r="P46" s="1261"/>
      <c r="Q46" s="1434"/>
      <c r="R46" s="1476"/>
      <c r="S46" s="860"/>
      <c r="T46" s="860"/>
      <c r="U46" s="860"/>
      <c r="V46" s="860"/>
      <c r="W46" s="860"/>
      <c r="X46" s="860"/>
      <c r="Y46" s="860"/>
      <c r="Z46" s="860"/>
      <c r="AA46" s="860"/>
    </row>
    <row r="47" spans="1:27" s="861" customFormat="1" ht="34.950000000000003" customHeight="1">
      <c r="A47" s="2148" t="str">
        <f>VLOOKUP(ROW()-ROW($A$5),TongHopKL!A:B,2,0)</f>
        <v>BANG</v>
      </c>
      <c r="B47" s="1725">
        <f>SUM($O$6:O47)</f>
        <v>42</v>
      </c>
      <c r="C47" s="1726" t="str">
        <f>(VLOOKUP(A47,TongHopKL!B:F,5,0))</f>
        <v>Bảng tên trạm, bảng báo nguy hiểm + đinh vít</v>
      </c>
      <c r="D47" s="1727" t="str">
        <f>IFERROR(VLOOKUP(A47,DG!A:D,4,0),0)</f>
        <v>bộ</v>
      </c>
      <c r="E47" s="1728">
        <f>SUMIF(TongHopKL!B:B,'NT-VT'!A47,TongHopKL!H:H)</f>
        <v>1</v>
      </c>
      <c r="F47" s="1725" t="str">
        <f>IFERROR(VLOOKUP(A47,Solieu!G:M,2,0),"")</f>
        <v>nt</v>
      </c>
      <c r="G47" s="1725" t="str">
        <f>IFERROR(VLOOKUP(A47,Solieu!G:M,3,0),"")</f>
        <v>nt</v>
      </c>
      <c r="H47" s="1725"/>
      <c r="I47" s="1729"/>
      <c r="J47" s="1730" t="str">
        <f>IFERROR(VLOOKUP(A47,Solieu!G:M,4,0),"")</f>
        <v>nt</v>
      </c>
      <c r="K47" s="1731" t="str">
        <f>IFERROR(VLOOKUP(A47,Solieu!G:M,5,0),"")</f>
        <v>nt</v>
      </c>
      <c r="L47" s="1932">
        <f>IFERROR(VLOOKUP(A47,Solieu!G:M,6,0),"")</f>
        <v>0</v>
      </c>
      <c r="M47" s="1729" t="str">
        <f>IFERROR(VLOOKUP(A47,Solieu!G:M,7,0),"")</f>
        <v/>
      </c>
      <c r="N47" s="1265" t="s">
        <v>4214</v>
      </c>
      <c r="O47" s="1475">
        <f t="shared" si="0"/>
        <v>1</v>
      </c>
      <c r="P47" s="1261"/>
      <c r="Q47" s="1434"/>
      <c r="R47" s="1476"/>
      <c r="S47" s="860"/>
      <c r="T47" s="860"/>
      <c r="U47" s="860"/>
      <c r="V47" s="860"/>
      <c r="W47" s="860"/>
      <c r="X47" s="860"/>
      <c r="Y47" s="860"/>
      <c r="Z47" s="860"/>
      <c r="AA47" s="860"/>
    </row>
    <row r="48" spans="1:27" s="861" customFormat="1" ht="34.950000000000003" customHeight="1">
      <c r="A48" s="2148" t="str">
        <f>VLOOKUP(ROW()-ROW($A$5),TongHopKL!A:B,2,0)</f>
        <v>BANGKEO</v>
      </c>
      <c r="B48" s="1725">
        <f>SUM($O$6:O48)</f>
        <v>43</v>
      </c>
      <c r="C48" s="1726" t="str">
        <f>(VLOOKUP(A48,TongHopKL!B:F,5,0))</f>
        <v>Băng keo cách điện</v>
      </c>
      <c r="D48" s="1727" t="str">
        <f>IFERROR(VLOOKUP(A48,DG!A:D,4,0),0)</f>
        <v>cuộn</v>
      </c>
      <c r="E48" s="1728">
        <f>SUMIF(TongHopKL!B:B,'NT-VT'!A48,TongHopKL!H:H)</f>
        <v>2</v>
      </c>
      <c r="F48" s="1725" t="str">
        <f>IFERROR(VLOOKUP(A48,Solieu!G:M,2,0),"")</f>
        <v>nt</v>
      </c>
      <c r="G48" s="1725" t="str">
        <f>IFERROR(VLOOKUP(A48,Solieu!G:M,3,0),"")</f>
        <v>nt</v>
      </c>
      <c r="H48" s="1725"/>
      <c r="I48" s="1729"/>
      <c r="J48" s="1730" t="str">
        <f>IFERROR(VLOOKUP(A48,Solieu!G:M,4,0),"")</f>
        <v>nt</v>
      </c>
      <c r="K48" s="1731" t="str">
        <f>IFERROR(VLOOKUP(A48,Solieu!G:M,5,0),"")</f>
        <v>nt</v>
      </c>
      <c r="L48" s="1932">
        <f>IFERROR(VLOOKUP(A48,Solieu!G:M,6,0),"")</f>
        <v>0</v>
      </c>
      <c r="M48" s="1729" t="str">
        <f>IFERROR(VLOOKUP(A48,Solieu!G:M,7,0),"")</f>
        <v/>
      </c>
      <c r="N48" s="1265" t="s">
        <v>4214</v>
      </c>
      <c r="O48" s="1475">
        <f t="shared" si="0"/>
        <v>1</v>
      </c>
      <c r="P48" s="1261"/>
      <c r="Q48" s="1434"/>
      <c r="R48" s="1476"/>
      <c r="S48" s="860"/>
      <c r="T48" s="860"/>
      <c r="U48" s="860"/>
      <c r="V48" s="860"/>
      <c r="W48" s="860"/>
      <c r="X48" s="860"/>
      <c r="Y48" s="860"/>
      <c r="Z48" s="860"/>
      <c r="AA48" s="860"/>
    </row>
    <row r="49" spans="1:27" s="861" customFormat="1" ht="34.950000000000003" customHeight="1">
      <c r="A49" s="2148" t="str">
        <f>VLOOKUP(ROW()-ROW($A$5),TongHopKL!A:B,2,0)</f>
        <v>bangkeot</v>
      </c>
      <c r="B49" s="1725">
        <f>SUM($O$6:O49)</f>
        <v>44</v>
      </c>
      <c r="C49" s="1726" t="str">
        <f>(VLOOKUP(A49,TongHopKL!B:F,5,0))</f>
        <v>Băng keo cách điện trung thế</v>
      </c>
      <c r="D49" s="1727" t="str">
        <f>IFERROR(VLOOKUP(A49,DG!A:D,4,0),0)</f>
        <v>cuộn</v>
      </c>
      <c r="E49" s="1728">
        <f>SUMIF(TongHopKL!B:B,'NT-VT'!A49,TongHopKL!H:H)</f>
        <v>1</v>
      </c>
      <c r="F49" s="1725" t="str">
        <f>IFERROR(VLOOKUP(A49,Solieu!G:M,2,0),"")</f>
        <v>nt</v>
      </c>
      <c r="G49" s="1725" t="str">
        <f>IFERROR(VLOOKUP(A49,Solieu!G:M,3,0),"")</f>
        <v>nt</v>
      </c>
      <c r="H49" s="1725"/>
      <c r="I49" s="1729"/>
      <c r="J49" s="1730" t="str">
        <f>IFERROR(VLOOKUP(A49,Solieu!G:M,4,0),"")</f>
        <v>nt</v>
      </c>
      <c r="K49" s="1731" t="str">
        <f>IFERROR(VLOOKUP(A49,Solieu!G:M,5,0),"")</f>
        <v>nt</v>
      </c>
      <c r="L49" s="1932">
        <f>IFERROR(VLOOKUP(A49,Solieu!G:M,6,0),"")</f>
        <v>0</v>
      </c>
      <c r="M49" s="1729" t="str">
        <f>IFERROR(VLOOKUP(A49,Solieu!G:M,7,0),"")</f>
        <v/>
      </c>
      <c r="N49" s="1265" t="s">
        <v>4214</v>
      </c>
      <c r="O49" s="1475">
        <f t="shared" si="0"/>
        <v>1</v>
      </c>
      <c r="P49" s="1261"/>
      <c r="Q49" s="1434"/>
      <c r="R49" s="1476"/>
      <c r="S49" s="860"/>
      <c r="T49" s="860"/>
      <c r="U49" s="860"/>
      <c r="V49" s="860"/>
      <c r="W49" s="860"/>
      <c r="X49" s="860"/>
      <c r="Y49" s="860"/>
      <c r="Z49" s="860"/>
      <c r="AA49" s="860"/>
    </row>
    <row r="50" spans="1:27" s="861" customFormat="1" ht="34.950000000000003" customHeight="1">
      <c r="A50" s="2148" t="str">
        <f>VLOOKUP(ROW()-ROW($A$5),TongHopKL!A:B,2,0)</f>
        <v>batlA</v>
      </c>
      <c r="B50" s="1725">
        <f>SUM($O$6:O50)</f>
        <v>45</v>
      </c>
      <c r="C50" s="1726" t="str">
        <f>(VLOOKUP(A50,TongHopKL!B:F,5,0))</f>
        <v>Bass LI bắt LA</v>
      </c>
      <c r="D50" s="1727" t="str">
        <f>IFERROR(VLOOKUP(A50,DG!A:D,4,0),0)</f>
        <v>Bộ</v>
      </c>
      <c r="E50" s="1728">
        <f>SUMIF(TongHopKL!B:B,'NT-VT'!A50,TongHopKL!H:H)</f>
        <v>3</v>
      </c>
      <c r="F50" s="1725" t="str">
        <f>IFERROR(VLOOKUP(A50,Solieu!G:M,2,0),"")</f>
        <v>nt</v>
      </c>
      <c r="G50" s="1725" t="str">
        <f>IFERROR(VLOOKUP(A50,Solieu!G:M,3,0),"")</f>
        <v>nt</v>
      </c>
      <c r="H50" s="1725"/>
      <c r="I50" s="1729"/>
      <c r="J50" s="1730" t="str">
        <f>IFERROR(VLOOKUP(A50,Solieu!G:M,4,0),"")</f>
        <v>nt</v>
      </c>
      <c r="K50" s="1731" t="str">
        <f>IFERROR(VLOOKUP(A50,Solieu!G:M,5,0),"")</f>
        <v>nt</v>
      </c>
      <c r="L50" s="1932">
        <f>IFERROR(VLOOKUP(A50,Solieu!G:M,6,0),"")</f>
        <v>0</v>
      </c>
      <c r="M50" s="1729" t="str">
        <f>IFERROR(VLOOKUP(A50,Solieu!G:M,7,0),"")</f>
        <v/>
      </c>
      <c r="N50" s="1265" t="s">
        <v>4214</v>
      </c>
      <c r="O50" s="1475">
        <f t="shared" si="0"/>
        <v>1</v>
      </c>
      <c r="P50" s="1261"/>
      <c r="Q50" s="1434"/>
      <c r="R50" s="1476"/>
      <c r="S50" s="860"/>
      <c r="T50" s="860"/>
      <c r="U50" s="860"/>
      <c r="V50" s="860"/>
      <c r="W50" s="860"/>
      <c r="X50" s="860"/>
      <c r="Y50" s="860"/>
      <c r="Z50" s="860"/>
      <c r="AA50" s="860"/>
    </row>
    <row r="51" spans="1:27" s="861" customFormat="1" ht="34.950000000000003" customHeight="1">
      <c r="A51" s="2148" t="str">
        <f>VLOOKUP(ROW()-ROW($A$5),TongHopKL!A:B,2,0)</f>
        <v>batli</v>
      </c>
      <c r="B51" s="1725">
        <f>SUM($O$6:O51)</f>
        <v>46</v>
      </c>
      <c r="C51" s="1726" t="str">
        <f>(VLOOKUP(A51,TongHopKL!B:F,5,0))</f>
        <v>Bass LI bắt FCO</v>
      </c>
      <c r="D51" s="1727" t="str">
        <f>IFERROR(VLOOKUP(A51,DG!A:D,4,0),0)</f>
        <v>Bộ</v>
      </c>
      <c r="E51" s="1728">
        <f>SUMIF(TongHopKL!B:B,'NT-VT'!A51,TongHopKL!H:H)</f>
        <v>3</v>
      </c>
      <c r="F51" s="1725" t="str">
        <f>IFERROR(VLOOKUP(A51,Solieu!G:M,2,0),"")</f>
        <v>nt</v>
      </c>
      <c r="G51" s="1725" t="str">
        <f>IFERROR(VLOOKUP(A51,Solieu!G:M,3,0),"")</f>
        <v>nt</v>
      </c>
      <c r="H51" s="1725"/>
      <c r="I51" s="1729"/>
      <c r="J51" s="1730" t="str">
        <f>IFERROR(VLOOKUP(A51,Solieu!G:M,4,0),"")</f>
        <v>nt</v>
      </c>
      <c r="K51" s="1731" t="str">
        <f>IFERROR(VLOOKUP(A51,Solieu!G:M,5,0),"")</f>
        <v>nt</v>
      </c>
      <c r="L51" s="1932">
        <f>IFERROR(VLOOKUP(A51,Solieu!G:M,6,0),"")</f>
        <v>0</v>
      </c>
      <c r="M51" s="1729" t="str">
        <f>IFERROR(VLOOKUP(A51,Solieu!G:M,7,0),"")</f>
        <v/>
      </c>
      <c r="N51" s="1265" t="s">
        <v>4214</v>
      </c>
      <c r="O51" s="1475">
        <f t="shared" si="0"/>
        <v>1</v>
      </c>
      <c r="P51" s="1261"/>
      <c r="Q51" s="1434"/>
      <c r="R51" s="1476"/>
      <c r="S51" s="860"/>
      <c r="T51" s="860"/>
      <c r="U51" s="860"/>
      <c r="V51" s="860"/>
      <c r="W51" s="860"/>
      <c r="X51" s="860"/>
      <c r="Y51" s="860"/>
      <c r="Z51" s="860"/>
      <c r="AA51" s="860"/>
    </row>
    <row r="52" spans="1:27" s="861" customFormat="1" ht="34.950000000000003" customHeight="1">
      <c r="A52" s="2148" t="str">
        <f>VLOOKUP(ROW()-ROW($A$5),TongHopKL!A:B,2,0)</f>
        <v>batLL</v>
      </c>
      <c r="B52" s="1725">
        <f>SUM($O$6:O52)</f>
        <v>47</v>
      </c>
      <c r="C52" s="1726" t="str">
        <f>(VLOOKUP(A52,TongHopKL!B:F,5,0))</f>
        <v>Bass LL bắt FCO, LA</v>
      </c>
      <c r="D52" s="1727" t="str">
        <f>IFERROR(VLOOKUP(A52,DG!A:D,4,0),0)</f>
        <v>bộ</v>
      </c>
      <c r="E52" s="1728">
        <f>SUMIF(TongHopKL!B:B,'NT-VT'!A52,TongHopKL!H:H)</f>
        <v>3</v>
      </c>
      <c r="F52" s="1725" t="str">
        <f>IFERROR(VLOOKUP(A52,Solieu!G:M,2,0),"")</f>
        <v>nt</v>
      </c>
      <c r="G52" s="1725" t="str">
        <f>IFERROR(VLOOKUP(A52,Solieu!G:M,3,0),"")</f>
        <v>nt</v>
      </c>
      <c r="H52" s="1725"/>
      <c r="I52" s="1729"/>
      <c r="J52" s="1730" t="str">
        <f>IFERROR(VLOOKUP(A52,Solieu!G:M,4,0),"")</f>
        <v>nt</v>
      </c>
      <c r="K52" s="1731" t="str">
        <f>IFERROR(VLOOKUP(A52,Solieu!G:M,5,0),"")</f>
        <v>nt</v>
      </c>
      <c r="L52" s="1932">
        <f>IFERROR(VLOOKUP(A52,Solieu!G:M,6,0),"")</f>
        <v>0</v>
      </c>
      <c r="M52" s="1729" t="str">
        <f>IFERROR(VLOOKUP(A52,Solieu!G:M,7,0),"")</f>
        <v/>
      </c>
      <c r="N52" s="1265" t="s">
        <v>4214</v>
      </c>
      <c r="O52" s="1475">
        <f t="shared" si="0"/>
        <v>1</v>
      </c>
      <c r="P52" s="1261"/>
      <c r="Q52" s="1434"/>
      <c r="R52" s="1476"/>
      <c r="S52" s="860"/>
      <c r="T52" s="860"/>
      <c r="U52" s="860"/>
      <c r="V52" s="860"/>
      <c r="W52" s="860"/>
      <c r="X52" s="860"/>
      <c r="Y52" s="860"/>
      <c r="Z52" s="860"/>
      <c r="AA52" s="860"/>
    </row>
    <row r="53" spans="1:27" s="861" customFormat="1" ht="34.950000000000003" customHeight="1">
      <c r="A53" s="2148" t="str">
        <f>VLOOKUP(ROW()-ROW($A$5),TongHopKL!A:B,2,0)</f>
        <v>BM16250</v>
      </c>
      <c r="B53" s="1725">
        <f>SUM($O$6:O53)</f>
        <v>48</v>
      </c>
      <c r="C53" s="1726" t="str">
        <f>(VLOOKUP(A53,TongHopKL!B:F,5,0))</f>
        <v>Boulon mắt 16x250+ 2 long đền vuông D18-50x50x3/Zn</v>
      </c>
      <c r="D53" s="1727" t="str">
        <f>IFERROR(VLOOKUP(A53,DG!A:D,4,0),0)</f>
        <v>bộ</v>
      </c>
      <c r="E53" s="1728">
        <f>SUMIF(TongHopKL!B:B,'NT-VT'!A53,TongHopKL!H:H)</f>
        <v>1</v>
      </c>
      <c r="F53" s="1725" t="str">
        <f>IFERROR(VLOOKUP(A53,Solieu!G:M,2,0),"")</f>
        <v>nt</v>
      </c>
      <c r="G53" s="1725" t="str">
        <f>IFERROR(VLOOKUP(A53,Solieu!G:M,3,0),"")</f>
        <v>nt</v>
      </c>
      <c r="H53" s="1725"/>
      <c r="I53" s="1729"/>
      <c r="J53" s="1730" t="str">
        <f>IFERROR(VLOOKUP(A53,Solieu!G:M,4,0),"")</f>
        <v>nt</v>
      </c>
      <c r="K53" s="1731" t="str">
        <f>IFERROR(VLOOKUP(A53,Solieu!G:M,5,0),"")</f>
        <v>nt</v>
      </c>
      <c r="L53" s="1932">
        <f>IFERROR(VLOOKUP(A53,Solieu!G:M,6,0),"")</f>
        <v>0</v>
      </c>
      <c r="M53" s="1729" t="str">
        <f>IFERROR(VLOOKUP(A53,Solieu!G:M,7,0),"")</f>
        <v/>
      </c>
      <c r="N53" s="1265" t="s">
        <v>4214</v>
      </c>
      <c r="O53" s="1475">
        <f t="shared" si="0"/>
        <v>1</v>
      </c>
      <c r="P53" s="1261"/>
      <c r="Q53" s="1434"/>
      <c r="R53" s="1476"/>
      <c r="S53" s="860"/>
      <c r="T53" s="860"/>
      <c r="U53" s="860"/>
      <c r="V53" s="860"/>
      <c r="W53" s="860"/>
      <c r="X53" s="860"/>
      <c r="Y53" s="860"/>
      <c r="Z53" s="860"/>
      <c r="AA53" s="860"/>
    </row>
    <row r="54" spans="1:27" s="861" customFormat="1" ht="34.950000000000003" customHeight="1">
      <c r="A54" s="2148" t="str">
        <f>VLOOKUP(ROW()-ROW($A$5),TongHopKL!A:B,2,0)</f>
        <v>BM16300</v>
      </c>
      <c r="B54" s="1725">
        <f>SUM($O$6:O54)</f>
        <v>49</v>
      </c>
      <c r="C54" s="1726" t="str">
        <f>(VLOOKUP(A54,TongHopKL!B:F,5,0))</f>
        <v>Boulon mắt 16x300+ 2 long đền vuông D18-50x50x3/Zn</v>
      </c>
      <c r="D54" s="1727" t="str">
        <f>IFERROR(VLOOKUP(A54,DG!A:D,4,0),0)</f>
        <v>bộ</v>
      </c>
      <c r="E54" s="1728">
        <f>SUMIF(TongHopKL!B:B,'NT-VT'!A54,TongHopKL!H:H)</f>
        <v>2</v>
      </c>
      <c r="F54" s="1725" t="str">
        <f>IFERROR(VLOOKUP(A54,Solieu!G:M,2,0),"")</f>
        <v>nt</v>
      </c>
      <c r="G54" s="1725" t="str">
        <f>IFERROR(VLOOKUP(A54,Solieu!G:M,3,0),"")</f>
        <v>nt</v>
      </c>
      <c r="H54" s="1725"/>
      <c r="I54" s="1729"/>
      <c r="J54" s="1730" t="str">
        <f>IFERROR(VLOOKUP(A54,Solieu!G:M,4,0),"")</f>
        <v>nt</v>
      </c>
      <c r="K54" s="1731" t="str">
        <f>IFERROR(VLOOKUP(A54,Solieu!G:M,5,0),"")</f>
        <v>nt</v>
      </c>
      <c r="L54" s="1932">
        <f>IFERROR(VLOOKUP(A54,Solieu!G:M,6,0),"")</f>
        <v>0</v>
      </c>
      <c r="M54" s="1729" t="str">
        <f>IFERROR(VLOOKUP(A54,Solieu!G:M,7,0),"")</f>
        <v/>
      </c>
      <c r="N54" s="1265" t="s">
        <v>4214</v>
      </c>
      <c r="O54" s="1475">
        <f t="shared" si="0"/>
        <v>1</v>
      </c>
      <c r="P54" s="1261"/>
      <c r="Q54" s="1434"/>
      <c r="R54" s="1476"/>
      <c r="S54" s="860"/>
      <c r="T54" s="860"/>
      <c r="U54" s="860"/>
      <c r="V54" s="860"/>
      <c r="W54" s="860"/>
      <c r="X54" s="860"/>
      <c r="Y54" s="860"/>
      <c r="Z54" s="860"/>
      <c r="AA54" s="860"/>
    </row>
    <row r="55" spans="1:27" s="861" customFormat="1" ht="34.950000000000003" customHeight="1">
      <c r="A55" s="2148" t="str">
        <f>VLOOKUP(ROW()-ROW($A$5),TongHopKL!A:B,2,0)</f>
        <v>CCĐfco</v>
      </c>
      <c r="B55" s="1725">
        <f>SUM($O$6:O55)</f>
        <v>50</v>
      </c>
      <c r="C55" s="1726" t="str">
        <f>(VLOOKUP(A55,TongHopKL!B:F,5,0))</f>
        <v>Chụp cách điện đầu cực FCO (trên + dưới)</v>
      </c>
      <c r="D55" s="1727" t="str">
        <f>IFERROR(VLOOKUP(A55,DG!A:D,4,0),0)</f>
        <v>bộ</v>
      </c>
      <c r="E55" s="1728">
        <f>SUMIF(TongHopKL!B:B,'NT-VT'!A55,TongHopKL!H:H)</f>
        <v>3</v>
      </c>
      <c r="F55" s="1725" t="str">
        <f>IFERROR(VLOOKUP(A55,Solieu!G:M,2,0),"")</f>
        <v>nt</v>
      </c>
      <c r="G55" s="1725" t="str">
        <f>IFERROR(VLOOKUP(A55,Solieu!G:M,3,0),"")</f>
        <v>nt</v>
      </c>
      <c r="H55" s="1725"/>
      <c r="I55" s="1729"/>
      <c r="J55" s="1730" t="str">
        <f>IFERROR(VLOOKUP(A55,Solieu!G:M,4,0),"")</f>
        <v>nt</v>
      </c>
      <c r="K55" s="1731" t="str">
        <f>IFERROR(VLOOKUP(A55,Solieu!G:M,5,0),"")</f>
        <v>nt</v>
      </c>
      <c r="L55" s="1932">
        <f>IFERROR(VLOOKUP(A55,Solieu!G:M,6,0),"")</f>
        <v>0</v>
      </c>
      <c r="M55" s="1729" t="str">
        <f>IFERROR(VLOOKUP(A55,Solieu!G:M,7,0),"")</f>
        <v/>
      </c>
      <c r="N55" s="1265" t="s">
        <v>4214</v>
      </c>
      <c r="O55" s="1475">
        <f t="shared" si="0"/>
        <v>1</v>
      </c>
      <c r="P55" s="1261"/>
      <c r="Q55" s="1434"/>
      <c r="R55" s="1476"/>
      <c r="S55" s="860"/>
      <c r="T55" s="860"/>
      <c r="U55" s="860"/>
      <c r="V55" s="860"/>
      <c r="W55" s="860"/>
      <c r="X55" s="860"/>
      <c r="Y55" s="860"/>
      <c r="Z55" s="860"/>
      <c r="AA55" s="860"/>
    </row>
    <row r="56" spans="1:27" s="861" customFormat="1" ht="34.950000000000003" customHeight="1">
      <c r="A56" s="2148" t="str">
        <f>VLOOKUP(ROW()-ROW($A$5),TongHopKL!A:B,2,0)</f>
        <v>CCĐla</v>
      </c>
      <c r="B56" s="1725">
        <f>SUM($O$6:O56)</f>
        <v>51</v>
      </c>
      <c r="C56" s="1726" t="str">
        <f>(VLOOKUP(A56,TongHopKL!B:F,5,0))</f>
        <v>Chụp cách điện đầu cực LA</v>
      </c>
      <c r="D56" s="1727" t="str">
        <f>IFERROR(VLOOKUP(A56,DG!A:D,4,0),0)</f>
        <v>cái</v>
      </c>
      <c r="E56" s="1728">
        <f>SUMIF(TongHopKL!B:B,'NT-VT'!A56,TongHopKL!H:H)</f>
        <v>3</v>
      </c>
      <c r="F56" s="1725" t="str">
        <f>IFERROR(VLOOKUP(A56,Solieu!G:M,2,0),"")</f>
        <v>nt</v>
      </c>
      <c r="G56" s="1725" t="str">
        <f>IFERROR(VLOOKUP(A56,Solieu!G:M,3,0),"")</f>
        <v>nt</v>
      </c>
      <c r="H56" s="1725"/>
      <c r="I56" s="1729"/>
      <c r="J56" s="1730" t="str">
        <f>IFERROR(VLOOKUP(A56,Solieu!G:M,4,0),"")</f>
        <v>nt</v>
      </c>
      <c r="K56" s="1731" t="str">
        <f>IFERROR(VLOOKUP(A56,Solieu!G:M,5,0),"")</f>
        <v>nt</v>
      </c>
      <c r="L56" s="1932">
        <f>IFERROR(VLOOKUP(A56,Solieu!G:M,6,0),"")</f>
        <v>0</v>
      </c>
      <c r="M56" s="1729" t="str">
        <f>IFERROR(VLOOKUP(A56,Solieu!G:M,7,0),"")</f>
        <v/>
      </c>
      <c r="N56" s="1265" t="s">
        <v>4214</v>
      </c>
      <c r="O56" s="1475">
        <f t="shared" si="0"/>
        <v>1</v>
      </c>
      <c r="P56" s="1261"/>
      <c r="Q56" s="1434"/>
      <c r="R56" s="1476"/>
      <c r="S56" s="860"/>
      <c r="T56" s="860"/>
      <c r="U56" s="860"/>
      <c r="V56" s="860"/>
      <c r="W56" s="860"/>
      <c r="X56" s="860"/>
      <c r="Y56" s="860"/>
      <c r="Z56" s="860"/>
      <c r="AA56" s="860"/>
    </row>
    <row r="57" spans="1:27" s="861" customFormat="1" ht="34.950000000000003" customHeight="1">
      <c r="A57" s="2148" t="str">
        <f>VLOOKUP(ROW()-ROW($A$5),TongHopKL!A:B,2,0)</f>
        <v>CD320</v>
      </c>
      <c r="B57" s="1725">
        <f>SUM($O$6:O57)</f>
        <v>52</v>
      </c>
      <c r="C57" s="1726" t="str">
        <f>(VLOOKUP(A57,TongHopKL!B:F,5,0))</f>
        <v>Cổ dê CDĐKĐT( bắt thùng điện kế)</v>
      </c>
      <c r="D57" s="1727" t="str">
        <f>IFERROR(VLOOKUP(A57,DG!A:D,4,0),0)</f>
        <v>bộ</v>
      </c>
      <c r="E57" s="1728">
        <f>SUMIF(TongHopKL!B:B,'NT-VT'!A57,TongHopKL!H:H)</f>
        <v>1</v>
      </c>
      <c r="F57" s="1725" t="str">
        <f>IFERROR(VLOOKUP(A57,Solieu!G:M,2,0),"")</f>
        <v>nt</v>
      </c>
      <c r="G57" s="1725" t="str">
        <f>IFERROR(VLOOKUP(A57,Solieu!G:M,3,0),"")</f>
        <v>nt</v>
      </c>
      <c r="H57" s="1725"/>
      <c r="I57" s="1729"/>
      <c r="J57" s="1730" t="str">
        <f>IFERROR(VLOOKUP(A57,Solieu!G:M,4,0),"")</f>
        <v>nt</v>
      </c>
      <c r="K57" s="1731" t="str">
        <f>IFERROR(VLOOKUP(A57,Solieu!G:M,5,0),"")</f>
        <v>nt</v>
      </c>
      <c r="L57" s="1932">
        <f>IFERROR(VLOOKUP(A57,Solieu!G:M,6,0),"")</f>
        <v>0</v>
      </c>
      <c r="M57" s="1729" t="str">
        <f>IFERROR(VLOOKUP(A57,Solieu!G:M,7,0),"")</f>
        <v/>
      </c>
      <c r="N57" s="1265" t="s">
        <v>4214</v>
      </c>
      <c r="O57" s="1475">
        <f t="shared" si="0"/>
        <v>1</v>
      </c>
      <c r="P57" s="1261"/>
      <c r="Q57" s="1434"/>
      <c r="R57" s="1476"/>
      <c r="S57" s="860"/>
      <c r="T57" s="860"/>
      <c r="U57" s="860"/>
      <c r="V57" s="860"/>
      <c r="W57" s="860"/>
      <c r="X57" s="860"/>
      <c r="Y57" s="860"/>
      <c r="Z57" s="860"/>
      <c r="AA57" s="860"/>
    </row>
    <row r="58" spans="1:27" s="861" customFormat="1" ht="34.950000000000003" customHeight="1">
      <c r="A58" s="2148" t="str">
        <f>VLOOKUP(ROW()-ROW($A$5),TongHopKL!A:B,2,0)</f>
        <v>CD42t</v>
      </c>
      <c r="B58" s="1725">
        <f>SUM($O$6:O58)</f>
        <v>53</v>
      </c>
      <c r="C58" s="1726" t="str">
        <f>(VLOOKUP(A58,TongHopKL!B:F,5,0))</f>
        <v>Cổ dê giữ ống PVC D42</v>
      </c>
      <c r="D58" s="1727" t="str">
        <f>IFERROR(VLOOKUP(A58,DG!A:D,4,0),0)</f>
        <v>bộ</v>
      </c>
      <c r="E58" s="1728">
        <f>SUMIF(TongHopKL!B:B,'NT-VT'!A58,TongHopKL!H:H)</f>
        <v>4</v>
      </c>
      <c r="F58" s="1725" t="str">
        <f>IFERROR(VLOOKUP(A58,Solieu!G:M,2,0),"")</f>
        <v>nt</v>
      </c>
      <c r="G58" s="1725" t="str">
        <f>IFERROR(VLOOKUP(A58,Solieu!G:M,3,0),"")</f>
        <v>nt</v>
      </c>
      <c r="H58" s="1725"/>
      <c r="I58" s="1729"/>
      <c r="J58" s="1730" t="str">
        <f>IFERROR(VLOOKUP(A58,Solieu!G:M,4,0),"")</f>
        <v>nt</v>
      </c>
      <c r="K58" s="1731" t="str">
        <f>IFERROR(VLOOKUP(A58,Solieu!G:M,5,0),"")</f>
        <v>nt</v>
      </c>
      <c r="L58" s="1932">
        <f>IFERROR(VLOOKUP(A58,Solieu!G:M,6,0),"")</f>
        <v>0</v>
      </c>
      <c r="M58" s="1729" t="str">
        <f>IFERROR(VLOOKUP(A58,Solieu!G:M,7,0),"")</f>
        <v/>
      </c>
      <c r="N58" s="1265" t="s">
        <v>4214</v>
      </c>
      <c r="O58" s="1475">
        <f t="shared" si="0"/>
        <v>1</v>
      </c>
      <c r="P58" s="1261"/>
      <c r="Q58" s="1434"/>
      <c r="R58" s="1476"/>
      <c r="S58" s="860"/>
      <c r="T58" s="860"/>
      <c r="U58" s="860"/>
      <c r="V58" s="860"/>
      <c r="W58" s="860"/>
      <c r="X58" s="860"/>
      <c r="Y58" s="860"/>
      <c r="Z58" s="860"/>
      <c r="AA58" s="860"/>
    </row>
    <row r="59" spans="1:27" s="861" customFormat="1" ht="34.950000000000003" customHeight="1">
      <c r="A59" s="2148" t="str">
        <f>VLOOKUP(ROW()-ROW($A$5),TongHopKL!A:B,2,0)</f>
        <v>CHCOS240</v>
      </c>
      <c r="B59" s="1725">
        <f>SUM($O$6:O59)</f>
        <v>54</v>
      </c>
      <c r="C59" s="1726" t="str">
        <f>(VLOOKUP(A59,TongHopKL!B:F,5,0))</f>
        <v>Chụp đầu cosse  240mm2</v>
      </c>
      <c r="D59" s="1727" t="str">
        <f>IFERROR(VLOOKUP(A59,DG!A:D,4,0),0)</f>
        <v>cái</v>
      </c>
      <c r="E59" s="1728">
        <f>SUMIF(TongHopKL!B:B,'NT-VT'!A59,TongHopKL!H:H)</f>
        <v>28</v>
      </c>
      <c r="F59" s="1725" t="str">
        <f>IFERROR(VLOOKUP(A59,Solieu!G:M,2,0),"")</f>
        <v>nt</v>
      </c>
      <c r="G59" s="1725" t="str">
        <f>IFERROR(VLOOKUP(A59,Solieu!G:M,3,0),"")</f>
        <v>nt</v>
      </c>
      <c r="H59" s="1725"/>
      <c r="I59" s="1729"/>
      <c r="J59" s="1730" t="str">
        <f>IFERROR(VLOOKUP(A59,Solieu!G:M,4,0),"")</f>
        <v>nt</v>
      </c>
      <c r="K59" s="1731" t="str">
        <f>IFERROR(VLOOKUP(A59,Solieu!G:M,5,0),"")</f>
        <v>nt</v>
      </c>
      <c r="L59" s="1932">
        <f>IFERROR(VLOOKUP(A59,Solieu!G:M,6,0),"")</f>
        <v>0</v>
      </c>
      <c r="M59" s="1729" t="str">
        <f>IFERROR(VLOOKUP(A59,Solieu!G:M,7,0),"")</f>
        <v/>
      </c>
      <c r="N59" s="1265" t="s">
        <v>4214</v>
      </c>
      <c r="O59" s="1475">
        <f t="shared" si="0"/>
        <v>1</v>
      </c>
      <c r="P59" s="1261"/>
      <c r="Q59" s="1434"/>
      <c r="R59" s="1476"/>
      <c r="S59" s="860"/>
      <c r="T59" s="860"/>
      <c r="U59" s="860"/>
      <c r="V59" s="860"/>
      <c r="W59" s="860"/>
      <c r="X59" s="860"/>
      <c r="Y59" s="860"/>
      <c r="Z59" s="860"/>
      <c r="AA59" s="860"/>
    </row>
    <row r="60" spans="1:27" s="861" customFormat="1" ht="34.950000000000003" customHeight="1">
      <c r="A60" s="2148" t="str">
        <f>VLOOKUP(ROW()-ROW($A$5),TongHopKL!A:B,2,0)</f>
        <v>chi40k</v>
      </c>
      <c r="B60" s="1725">
        <f>SUM($O$6:O60)</f>
        <v>55</v>
      </c>
      <c r="C60" s="1726" t="str">
        <f>(VLOOKUP(A60,TongHopKL!B:F,5,0))</f>
        <v>Dây chảy 40K</v>
      </c>
      <c r="D60" s="1727" t="str">
        <f>IFERROR(VLOOKUP(A60,DG!A:D,4,0),0)</f>
        <v>Sợi</v>
      </c>
      <c r="E60" s="1728">
        <f>SUMIF(TongHopKL!B:B,'NT-VT'!A60,TongHopKL!H:H)</f>
        <v>3</v>
      </c>
      <c r="F60" s="1725" t="str">
        <f>IFERROR(VLOOKUP(A60,Solieu!G:M,2,0),"")</f>
        <v>nt</v>
      </c>
      <c r="G60" s="1725" t="str">
        <f>IFERROR(VLOOKUP(A60,Solieu!G:M,3,0),"")</f>
        <v>nt</v>
      </c>
      <c r="H60" s="1725"/>
      <c r="I60" s="1729"/>
      <c r="J60" s="1730" t="str">
        <f>IFERROR(VLOOKUP(A60,Solieu!G:M,4,0),"")</f>
        <v>nt</v>
      </c>
      <c r="K60" s="1731" t="str">
        <f>IFERROR(VLOOKUP(A60,Solieu!G:M,5,0),"")</f>
        <v>nt</v>
      </c>
      <c r="L60" s="1932">
        <f>IFERROR(VLOOKUP(A60,Solieu!G:M,6,0),"")</f>
        <v>0</v>
      </c>
      <c r="M60" s="1729" t="str">
        <f>IFERROR(VLOOKUP(A60,Solieu!G:M,7,0),"")</f>
        <v/>
      </c>
      <c r="N60" s="1265" t="s">
        <v>4214</v>
      </c>
      <c r="O60" s="1475">
        <f t="shared" si="0"/>
        <v>1</v>
      </c>
      <c r="P60" s="1261"/>
      <c r="Q60" s="1434"/>
      <c r="R60" s="1476"/>
      <c r="S60" s="860"/>
      <c r="T60" s="860"/>
      <c r="U60" s="860"/>
      <c r="V60" s="860"/>
      <c r="W60" s="860"/>
      <c r="X60" s="860"/>
      <c r="Y60" s="860"/>
      <c r="Z60" s="860"/>
      <c r="AA60" s="860"/>
    </row>
    <row r="61" spans="1:27" s="861" customFormat="1" ht="34.950000000000003" customHeight="1">
      <c r="A61" s="2148" t="str">
        <f>VLOOKUP(ROW()-ROW($A$5),TongHopKL!A:B,2,0)</f>
        <v>chi50k</v>
      </c>
      <c r="B61" s="1725">
        <f>SUM($O$6:O61)</f>
        <v>56</v>
      </c>
      <c r="C61" s="1726" t="str">
        <f>(VLOOKUP(A61,TongHopKL!B:F,5,0))</f>
        <v>Dây chảy 50K</v>
      </c>
      <c r="D61" s="1727" t="str">
        <f>IFERROR(VLOOKUP(A61,DG!A:D,4,0),0)</f>
        <v>Sợi</v>
      </c>
      <c r="E61" s="1728">
        <f>SUMIF(TongHopKL!B:B,'NT-VT'!A61,TongHopKL!H:H)</f>
        <v>3</v>
      </c>
      <c r="F61" s="1725" t="str">
        <f>IFERROR(VLOOKUP(A61,Solieu!G:M,2,0),"")</f>
        <v>nt</v>
      </c>
      <c r="G61" s="1725" t="str">
        <f>IFERROR(VLOOKUP(A61,Solieu!G:M,3,0),"")</f>
        <v>nt</v>
      </c>
      <c r="H61" s="1725"/>
      <c r="I61" s="1729"/>
      <c r="J61" s="1730" t="str">
        <f>IFERROR(VLOOKUP(A61,Solieu!G:M,4,0),"")</f>
        <v>nt</v>
      </c>
      <c r="K61" s="1731" t="str">
        <f>IFERROR(VLOOKUP(A61,Solieu!G:M,5,0),"")</f>
        <v>nt</v>
      </c>
      <c r="L61" s="1932">
        <f>IFERROR(VLOOKUP(A61,Solieu!G:M,6,0),"")</f>
        <v>0</v>
      </c>
      <c r="M61" s="1729" t="str">
        <f>IFERROR(VLOOKUP(A61,Solieu!G:M,7,0),"")</f>
        <v/>
      </c>
      <c r="N61" s="1265" t="s">
        <v>4214</v>
      </c>
      <c r="O61" s="1475">
        <f t="shared" si="0"/>
        <v>1</v>
      </c>
      <c r="P61" s="1261"/>
      <c r="Q61" s="1434"/>
      <c r="R61" s="1476"/>
      <c r="S61" s="860"/>
      <c r="T61" s="860"/>
      <c r="U61" s="860"/>
      <c r="V61" s="860"/>
      <c r="W61" s="860"/>
      <c r="X61" s="860"/>
      <c r="Y61" s="860"/>
      <c r="Z61" s="860"/>
      <c r="AA61" s="860"/>
    </row>
    <row r="62" spans="1:27" s="861" customFormat="1" ht="34.950000000000003" customHeight="1">
      <c r="A62" s="2148" t="str">
        <f>VLOOKUP(ROW()-ROW($A$5),TongHopKL!A:B,2,0)</f>
        <v>COM110x800x5-2,4</v>
      </c>
      <c r="B62" s="1725">
        <f>SUM($O$6:O62)</f>
        <v>57</v>
      </c>
      <c r="C62" s="1726" t="str">
        <f>(VLOOKUP(A62,TongHopKL!B:F,5,0))</f>
        <v>Xà composite 110x800x5 dài 2,4m</v>
      </c>
      <c r="D62" s="1727" t="str">
        <f>IFERROR(VLOOKUP(A62,DG!A:D,4,0),0)</f>
        <v>cái</v>
      </c>
      <c r="E62" s="1728">
        <f>SUMIF(TongHopKL!B:B,'NT-VT'!A62,TongHopKL!H:H)</f>
        <v>2</v>
      </c>
      <c r="F62" s="1725" t="str">
        <f>IFERROR(VLOOKUP(A62,Solieu!G:M,2,0),"")</f>
        <v>nt</v>
      </c>
      <c r="G62" s="1725" t="str">
        <f>IFERROR(VLOOKUP(A62,Solieu!G:M,3,0),"")</f>
        <v>nt</v>
      </c>
      <c r="H62" s="1725"/>
      <c r="I62" s="1729"/>
      <c r="J62" s="1730" t="str">
        <f>IFERROR(VLOOKUP(A62,Solieu!G:M,4,0),"")</f>
        <v>nt</v>
      </c>
      <c r="K62" s="1731" t="str">
        <f>IFERROR(VLOOKUP(A62,Solieu!G:M,5,0),"")</f>
        <v>nt</v>
      </c>
      <c r="L62" s="1932">
        <f>IFERROR(VLOOKUP(A62,Solieu!G:M,6,0),"")</f>
        <v>0</v>
      </c>
      <c r="M62" s="1729" t="str">
        <f>IFERROR(VLOOKUP(A62,Solieu!G:M,7,0),"")</f>
        <v/>
      </c>
      <c r="N62" s="1265" t="s">
        <v>4214</v>
      </c>
      <c r="O62" s="1475">
        <f t="shared" si="0"/>
        <v>1</v>
      </c>
      <c r="P62" s="1261"/>
      <c r="Q62" s="1434"/>
      <c r="R62" s="1476"/>
      <c r="S62" s="860"/>
      <c r="T62" s="860"/>
      <c r="U62" s="860"/>
      <c r="V62" s="860"/>
      <c r="W62" s="860"/>
      <c r="X62" s="860"/>
      <c r="Y62" s="860"/>
      <c r="Z62" s="860"/>
      <c r="AA62" s="860"/>
    </row>
    <row r="63" spans="1:27" s="861" customFormat="1" ht="34.950000000000003" customHeight="1">
      <c r="A63" s="2148" t="str">
        <f>VLOOKUP(ROW()-ROW($A$5),TongHopKL!A:B,2,0)</f>
        <v>com40x10x920</v>
      </c>
      <c r="B63" s="1725">
        <f>SUM($O$6:O63)</f>
        <v>58</v>
      </c>
      <c r="C63" s="1726" t="str">
        <f>(VLOOKUP(A63,TongHopKL!B:F,5,0))</f>
        <v>Chống composite 40x10x920</v>
      </c>
      <c r="D63" s="1727" t="str">
        <f>IFERROR(VLOOKUP(A63,DG!A:D,4,0),0)</f>
        <v>cái</v>
      </c>
      <c r="E63" s="1728">
        <f>SUMIF(TongHopKL!B:B,'NT-VT'!A63,TongHopKL!H:H)</f>
        <v>4</v>
      </c>
      <c r="F63" s="1725" t="str">
        <f>IFERROR(VLOOKUP(A63,Solieu!G:M,2,0),"")</f>
        <v>nt</v>
      </c>
      <c r="G63" s="1725" t="str">
        <f>IFERROR(VLOOKUP(A63,Solieu!G:M,3,0),"")</f>
        <v>nt</v>
      </c>
      <c r="H63" s="1725"/>
      <c r="I63" s="1729"/>
      <c r="J63" s="1730" t="str">
        <f>IFERROR(VLOOKUP(A63,Solieu!G:M,4,0),"")</f>
        <v>nt</v>
      </c>
      <c r="K63" s="1731" t="str">
        <f>IFERROR(VLOOKUP(A63,Solieu!G:M,5,0),"")</f>
        <v>nt</v>
      </c>
      <c r="L63" s="1932">
        <f>IFERROR(VLOOKUP(A63,Solieu!G:M,6,0),"")</f>
        <v>0</v>
      </c>
      <c r="M63" s="1729" t="str">
        <f>IFERROR(VLOOKUP(A63,Solieu!G:M,7,0),"")</f>
        <v/>
      </c>
      <c r="N63" s="1265" t="s">
        <v>4214</v>
      </c>
      <c r="O63" s="1475">
        <f t="shared" si="0"/>
        <v>1</v>
      </c>
      <c r="P63" s="1261"/>
      <c r="Q63" s="1434"/>
      <c r="R63" s="1476"/>
      <c r="S63" s="860"/>
      <c r="T63" s="860"/>
      <c r="U63" s="860"/>
      <c r="V63" s="860"/>
      <c r="W63" s="860"/>
      <c r="X63" s="860"/>
      <c r="Y63" s="860"/>
      <c r="Z63" s="860"/>
      <c r="AA63" s="860"/>
    </row>
    <row r="64" spans="1:27" s="861" customFormat="1" ht="34.950000000000003" customHeight="1">
      <c r="A64" s="2148" t="str">
        <f>VLOOKUP(ROW()-ROW($A$5),TongHopKL!A:B,2,0)</f>
        <v>COS240</v>
      </c>
      <c r="B64" s="1725">
        <f>SUM($O$6:O64)</f>
        <v>59</v>
      </c>
      <c r="C64" s="1726" t="str">
        <f>(VLOOKUP(A64,TongHopKL!B:F,5,0))</f>
        <v>Đầu cosse ép Cu 240mm2</v>
      </c>
      <c r="D64" s="1727" t="str">
        <f>IFERROR(VLOOKUP(A64,DG!A:D,4,0),0)</f>
        <v>cái</v>
      </c>
      <c r="E64" s="1728">
        <f>SUMIF(TongHopKL!B:B,'NT-VT'!A64,TongHopKL!H:H)</f>
        <v>28</v>
      </c>
      <c r="F64" s="1725" t="str">
        <f>IFERROR(VLOOKUP(A64,Solieu!G:M,2,0),"")</f>
        <v>nt</v>
      </c>
      <c r="G64" s="1725" t="str">
        <f>IFERROR(VLOOKUP(A64,Solieu!G:M,3,0),"")</f>
        <v>nt</v>
      </c>
      <c r="H64" s="1725"/>
      <c r="I64" s="1729"/>
      <c r="J64" s="1730" t="str">
        <f>IFERROR(VLOOKUP(A64,Solieu!G:M,4,0),"")</f>
        <v>nt</v>
      </c>
      <c r="K64" s="1731" t="str">
        <f>IFERROR(VLOOKUP(A64,Solieu!G:M,5,0),"")</f>
        <v>nt</v>
      </c>
      <c r="L64" s="1932">
        <f>IFERROR(VLOOKUP(A64,Solieu!G:M,6,0),"")</f>
        <v>0</v>
      </c>
      <c r="M64" s="1729" t="str">
        <f>IFERROR(VLOOKUP(A64,Solieu!G:M,7,0),"")</f>
        <v/>
      </c>
      <c r="N64" s="1265" t="s">
        <v>4214</v>
      </c>
      <c r="O64" s="1475">
        <f t="shared" si="0"/>
        <v>1</v>
      </c>
      <c r="P64" s="1261"/>
      <c r="Q64" s="1434"/>
      <c r="R64" s="1476"/>
      <c r="S64" s="860"/>
      <c r="T64" s="860"/>
      <c r="U64" s="860"/>
      <c r="V64" s="860"/>
      <c r="W64" s="860"/>
      <c r="X64" s="860"/>
      <c r="Y64" s="860"/>
      <c r="Z64" s="860"/>
      <c r="AA64" s="860"/>
    </row>
    <row r="65" spans="1:27" s="861" customFormat="1" ht="34.950000000000003" customHeight="1">
      <c r="A65" s="2148" t="str">
        <f>VLOOKUP(ROW()-ROW($A$5),TongHopKL!A:B,2,0)</f>
        <v>cose50</v>
      </c>
      <c r="B65" s="1725">
        <f>SUM($O$6:O65)</f>
        <v>60</v>
      </c>
      <c r="C65" s="1726" t="str">
        <f>(VLOOKUP(A65,TongHopKL!B:F,5,0))</f>
        <v>Đầu cosse ép Cu-Al 50mm2</v>
      </c>
      <c r="D65" s="1727" t="str">
        <f>IFERROR(VLOOKUP(A65,DG!A:D,4,0),0)</f>
        <v>cái</v>
      </c>
      <c r="E65" s="1728">
        <f>SUMIF(TongHopKL!B:B,'NT-VT'!A65,TongHopKL!H:H)</f>
        <v>12</v>
      </c>
      <c r="F65" s="1725" t="str">
        <f>IFERROR(VLOOKUP(A65,Solieu!G:M,2,0),"")</f>
        <v>nt</v>
      </c>
      <c r="G65" s="1725" t="str">
        <f>IFERROR(VLOOKUP(A65,Solieu!G:M,3,0),"")</f>
        <v>nt</v>
      </c>
      <c r="H65" s="1725"/>
      <c r="I65" s="1729"/>
      <c r="J65" s="1730" t="str">
        <f>IFERROR(VLOOKUP(A65,Solieu!G:M,4,0),"")</f>
        <v>nt</v>
      </c>
      <c r="K65" s="1731" t="str">
        <f>IFERROR(VLOOKUP(A65,Solieu!G:M,5,0),"")</f>
        <v>nt</v>
      </c>
      <c r="L65" s="1932">
        <f>IFERROR(VLOOKUP(A65,Solieu!G:M,6,0),"")</f>
        <v>0</v>
      </c>
      <c r="M65" s="1729" t="str">
        <f>IFERROR(VLOOKUP(A65,Solieu!G:M,7,0),"")</f>
        <v/>
      </c>
      <c r="N65" s="1265" t="s">
        <v>4214</v>
      </c>
      <c r="O65" s="1475">
        <f t="shared" si="0"/>
        <v>1</v>
      </c>
      <c r="P65" s="1261"/>
      <c r="Q65" s="1434"/>
      <c r="R65" s="1476"/>
      <c r="S65" s="860"/>
      <c r="T65" s="860"/>
      <c r="U65" s="860"/>
      <c r="V65" s="860"/>
      <c r="W65" s="860"/>
      <c r="X65" s="860"/>
      <c r="Y65" s="860"/>
      <c r="Z65" s="860"/>
      <c r="AA65" s="860"/>
    </row>
    <row r="66" spans="1:27" s="861" customFormat="1" ht="34.950000000000003" customHeight="1">
      <c r="A66" s="2148" t="str">
        <f>VLOOKUP(ROW()-ROW($A$5),TongHopKL!A:B,2,0)</f>
        <v>CSD</v>
      </c>
      <c r="B66" s="1725">
        <f>SUM($O$6:O66)</f>
        <v>61</v>
      </c>
      <c r="C66" s="1726" t="str">
        <f>(VLOOKUP(A66,TongHopKL!B:F,5,0))</f>
        <v>Chân sứ đứng D20</v>
      </c>
      <c r="D66" s="1727" t="str">
        <f>IFERROR(VLOOKUP(A66,DG!A:D,4,0),0)</f>
        <v>cái</v>
      </c>
      <c r="E66" s="1728">
        <f>SUMIF(TongHopKL!B:B,'NT-VT'!A66,TongHopKL!H:H)</f>
        <v>17</v>
      </c>
      <c r="F66" s="1725" t="str">
        <f>IFERROR(VLOOKUP(A66,Solieu!G:M,2,0),"")</f>
        <v>nt</v>
      </c>
      <c r="G66" s="1725" t="str">
        <f>IFERROR(VLOOKUP(A66,Solieu!G:M,3,0),"")</f>
        <v>nt</v>
      </c>
      <c r="H66" s="1725"/>
      <c r="I66" s="1729"/>
      <c r="J66" s="1730" t="str">
        <f>IFERROR(VLOOKUP(A66,Solieu!G:M,4,0),"")</f>
        <v>nt</v>
      </c>
      <c r="K66" s="1731" t="str">
        <f>IFERROR(VLOOKUP(A66,Solieu!G:M,5,0),"")</f>
        <v>nt</v>
      </c>
      <c r="L66" s="1932">
        <f>IFERROR(VLOOKUP(A66,Solieu!G:M,6,0),"")</f>
        <v>0</v>
      </c>
      <c r="M66" s="1729" t="str">
        <f>IFERROR(VLOOKUP(A66,Solieu!G:M,7,0),"")</f>
        <v/>
      </c>
      <c r="N66" s="1265" t="s">
        <v>4214</v>
      </c>
      <c r="O66" s="1475">
        <f t="shared" si="0"/>
        <v>1</v>
      </c>
      <c r="P66" s="1261"/>
      <c r="Q66" s="1434"/>
      <c r="R66" s="1476"/>
      <c r="S66" s="860"/>
      <c r="T66" s="860"/>
      <c r="U66" s="860"/>
      <c r="V66" s="860"/>
      <c r="W66" s="860"/>
      <c r="X66" s="860"/>
      <c r="Y66" s="860"/>
      <c r="Z66" s="860"/>
      <c r="AA66" s="860"/>
    </row>
    <row r="67" spans="1:27" s="861" customFormat="1" ht="34.950000000000003" customHeight="1">
      <c r="A67" s="2148" t="str">
        <f>VLOOKUP(ROW()-ROW($A$5),TongHopKL!A:B,2,0)</f>
        <v>CTD+K</v>
      </c>
      <c r="B67" s="1725">
        <f>SUM($O$6:O67)</f>
        <v>62</v>
      </c>
      <c r="C67" s="1726" t="str">
        <f>(VLOOKUP(A67,TongHopKL!B:F,5,0))</f>
        <v>Cọc tiếp đất Þ 16- 2,4m + kẹp cọc mạ đồng</v>
      </c>
      <c r="D67" s="1727" t="str">
        <f>IFERROR(VLOOKUP(A67,DG!A:D,4,0),0)</f>
        <v>bộ</v>
      </c>
      <c r="E67" s="1728">
        <f>SUMIF(TongHopKL!B:B,'NT-VT'!A67,TongHopKL!H:H)</f>
        <v>10</v>
      </c>
      <c r="F67" s="1725" t="str">
        <f>IFERROR(VLOOKUP(A67,Solieu!G:M,2,0),"")</f>
        <v>nt</v>
      </c>
      <c r="G67" s="1725" t="str">
        <f>IFERROR(VLOOKUP(A67,Solieu!G:M,3,0),"")</f>
        <v>nt</v>
      </c>
      <c r="H67" s="1725"/>
      <c r="I67" s="1729"/>
      <c r="J67" s="1730" t="str">
        <f>IFERROR(VLOOKUP(A67,Solieu!G:M,4,0),"")</f>
        <v>nt</v>
      </c>
      <c r="K67" s="1731" t="str">
        <f>IFERROR(VLOOKUP(A67,Solieu!G:M,5,0),"")</f>
        <v>nt</v>
      </c>
      <c r="L67" s="1932">
        <f>IFERROR(VLOOKUP(A67,Solieu!G:M,6,0),"")</f>
        <v>0</v>
      </c>
      <c r="M67" s="1729" t="str">
        <f>IFERROR(VLOOKUP(A67,Solieu!G:M,7,0),"")</f>
        <v/>
      </c>
      <c r="N67" s="1265" t="s">
        <v>4214</v>
      </c>
      <c r="O67" s="1475">
        <f t="shared" si="0"/>
        <v>1</v>
      </c>
      <c r="P67" s="1261"/>
      <c r="Q67" s="1434"/>
      <c r="R67" s="1476"/>
      <c r="S67" s="860"/>
      <c r="T67" s="860"/>
      <c r="U67" s="860"/>
      <c r="V67" s="860"/>
      <c r="W67" s="860"/>
      <c r="X67" s="860"/>
      <c r="Y67" s="860"/>
      <c r="Z67" s="860"/>
      <c r="AA67" s="860"/>
    </row>
    <row r="68" spans="1:27" s="861" customFormat="1" ht="34.950000000000003" customHeight="1">
      <c r="A68" s="2148" t="str">
        <f>VLOOKUP(ROW()-ROW($A$5),TongHopKL!A:B,2,0)</f>
        <v>CUT42</v>
      </c>
      <c r="B68" s="1725">
        <f>SUM($O$6:O68)</f>
        <v>63</v>
      </c>
      <c r="C68" s="1726" t="str">
        <f>(VLOOKUP(A68,TongHopKL!B:F,5,0))</f>
        <v>Co 90 độ PVC 42</v>
      </c>
      <c r="D68" s="1727" t="str">
        <f>IFERROR(VLOOKUP(A68,DG!A:D,4,0),0)</f>
        <v>cái</v>
      </c>
      <c r="E68" s="1728">
        <f>SUMIF(TongHopKL!B:B,'NT-VT'!A68,TongHopKL!H:H)</f>
        <v>6</v>
      </c>
      <c r="F68" s="1725" t="str">
        <f>IFERROR(VLOOKUP(A68,Solieu!G:M,2,0),"")</f>
        <v>nt</v>
      </c>
      <c r="G68" s="1725" t="str">
        <f>IFERROR(VLOOKUP(A68,Solieu!G:M,3,0),"")</f>
        <v>nt</v>
      </c>
      <c r="H68" s="1725"/>
      <c r="I68" s="1729"/>
      <c r="J68" s="1730" t="str">
        <f>IFERROR(VLOOKUP(A68,Solieu!G:M,4,0),"")</f>
        <v>nt</v>
      </c>
      <c r="K68" s="1731" t="str">
        <f>IFERROR(VLOOKUP(A68,Solieu!G:M,5,0),"")</f>
        <v>nt</v>
      </c>
      <c r="L68" s="1932">
        <f>IFERROR(VLOOKUP(A68,Solieu!G:M,6,0),"")</f>
        <v>0</v>
      </c>
      <c r="M68" s="1729" t="str">
        <f>IFERROR(VLOOKUP(A68,Solieu!G:M,7,0),"")</f>
        <v/>
      </c>
      <c r="N68" s="1265" t="s">
        <v>4214</v>
      </c>
      <c r="O68" s="1475">
        <f t="shared" si="0"/>
        <v>1</v>
      </c>
      <c r="P68" s="1261"/>
      <c r="Q68" s="1434"/>
      <c r="R68" s="1476"/>
      <c r="S68" s="860"/>
      <c r="T68" s="860"/>
      <c r="U68" s="860"/>
      <c r="V68" s="860"/>
      <c r="W68" s="860"/>
      <c r="X68" s="860"/>
      <c r="Y68" s="860"/>
      <c r="Z68" s="860"/>
      <c r="AA68" s="860"/>
    </row>
    <row r="69" spans="1:27" s="861" customFormat="1" ht="34.950000000000003" customHeight="1">
      <c r="A69" s="2148" t="str">
        <f>VLOOKUP(ROW()-ROW($A$5),TongHopKL!A:B,2,0)</f>
        <v>CUT42T</v>
      </c>
      <c r="B69" s="1725">
        <f>SUM($O$6:O69)</f>
        <v>64</v>
      </c>
      <c r="C69" s="1726" t="str">
        <f>(VLOOKUP(A69,TongHopKL!B:F,5,0))</f>
        <v>Co chữ T ống PVC 42</v>
      </c>
      <c r="D69" s="1727" t="str">
        <f>IFERROR(VLOOKUP(A69,DG!A:D,4,0),0)</f>
        <v>cái</v>
      </c>
      <c r="E69" s="1728">
        <f>SUMIF(TongHopKL!B:B,'NT-VT'!A69,TongHopKL!H:H)</f>
        <v>5</v>
      </c>
      <c r="F69" s="1725" t="str">
        <f>IFERROR(VLOOKUP(A69,Solieu!G:M,2,0),"")</f>
        <v>nt</v>
      </c>
      <c r="G69" s="1725" t="str">
        <f>IFERROR(VLOOKUP(A69,Solieu!G:M,3,0),"")</f>
        <v>nt</v>
      </c>
      <c r="H69" s="1725"/>
      <c r="I69" s="1729"/>
      <c r="J69" s="1730" t="str">
        <f>IFERROR(VLOOKUP(A69,Solieu!G:M,4,0),"")</f>
        <v>nt</v>
      </c>
      <c r="K69" s="1731" t="str">
        <f>IFERROR(VLOOKUP(A69,Solieu!G:M,5,0),"")</f>
        <v>nt</v>
      </c>
      <c r="L69" s="1932">
        <f>IFERROR(VLOOKUP(A69,Solieu!G:M,6,0),"")</f>
        <v>0</v>
      </c>
      <c r="M69" s="1729" t="str">
        <f>IFERROR(VLOOKUP(A69,Solieu!G:M,7,0),"")</f>
        <v/>
      </c>
      <c r="N69" s="1265" t="s">
        <v>4214</v>
      </c>
      <c r="O69" s="1475">
        <f t="shared" si="0"/>
        <v>1</v>
      </c>
      <c r="P69" s="1261"/>
      <c r="Q69" s="1434"/>
      <c r="R69" s="1476"/>
      <c r="S69" s="860"/>
      <c r="T69" s="860"/>
      <c r="U69" s="860"/>
      <c r="V69" s="860"/>
      <c r="W69" s="860"/>
      <c r="X69" s="860"/>
      <c r="Y69" s="860"/>
      <c r="Z69" s="860"/>
      <c r="AA69" s="860"/>
    </row>
    <row r="70" spans="1:27" s="861" customFormat="1" ht="34.950000000000003" customHeight="1">
      <c r="A70" s="2148" t="str">
        <f>VLOOKUP(ROW()-ROW($A$5),TongHopKL!A:B,2,0)</f>
        <v>drc</v>
      </c>
      <c r="B70" s="1725">
        <f>SUM($O$6:O70)</f>
        <v>65</v>
      </c>
      <c r="C70" s="1726" t="str">
        <f>(VLOOKUP(A70,TongHopKL!B:F,5,0))</f>
        <v>Dây rút cáp</v>
      </c>
      <c r="D70" s="1727" t="str">
        <f>IFERROR(VLOOKUP(A70,DG!A:D,4,0),0)</f>
        <v>bọc</v>
      </c>
      <c r="E70" s="1728">
        <f>SUMIF(TongHopKL!B:B,'NT-VT'!A70,TongHopKL!H:H)</f>
        <v>3</v>
      </c>
      <c r="F70" s="1725" t="str">
        <f>IFERROR(VLOOKUP(A70,Solieu!G:M,2,0),"")</f>
        <v>nt</v>
      </c>
      <c r="G70" s="1725" t="str">
        <f>IFERROR(VLOOKUP(A70,Solieu!G:M,3,0),"")</f>
        <v>nt</v>
      </c>
      <c r="H70" s="1725"/>
      <c r="I70" s="1729"/>
      <c r="J70" s="1730" t="str">
        <f>IFERROR(VLOOKUP(A70,Solieu!G:M,4,0),"")</f>
        <v>nt</v>
      </c>
      <c r="K70" s="1731" t="str">
        <f>IFERROR(VLOOKUP(A70,Solieu!G:M,5,0),"")</f>
        <v>nt</v>
      </c>
      <c r="L70" s="1932">
        <f>IFERROR(VLOOKUP(A70,Solieu!G:M,6,0),"")</f>
        <v>0</v>
      </c>
      <c r="M70" s="1729" t="str">
        <f>IFERROR(VLOOKUP(A70,Solieu!G:M,7,0),"")</f>
        <v/>
      </c>
      <c r="N70" s="1265" t="s">
        <v>4214</v>
      </c>
      <c r="O70" s="1475">
        <f t="shared" si="0"/>
        <v>1</v>
      </c>
      <c r="P70" s="1261"/>
      <c r="Q70" s="1434"/>
      <c r="R70" s="1476"/>
      <c r="S70" s="860"/>
      <c r="T70" s="860"/>
      <c r="U70" s="860"/>
      <c r="V70" s="860"/>
      <c r="W70" s="860"/>
      <c r="X70" s="860"/>
      <c r="Y70" s="860"/>
      <c r="Z70" s="860"/>
      <c r="AA70" s="860"/>
    </row>
    <row r="71" spans="1:27" s="861" customFormat="1" ht="34.950000000000003" customHeight="1">
      <c r="A71" s="2148" t="str">
        <f>VLOOKUP(ROW()-ROW($A$5),TongHopKL!A:B,2,0)</f>
        <v>gachong</v>
      </c>
      <c r="B71" s="1725">
        <f>SUM($O$6:O71)</f>
        <v>66</v>
      </c>
      <c r="C71" s="1726" t="str">
        <f>(VLOOKUP(A71,TongHopKL!B:F,5,0))</f>
        <v>Gạch ống</v>
      </c>
      <c r="D71" s="1727" t="str">
        <f>IFERROR(VLOOKUP(A71,DG!A:D,4,0),0)</f>
        <v>viên</v>
      </c>
      <c r="E71" s="1728">
        <f>SUMIF(TongHopKL!B:B,'NT-VT'!A71,TongHopKL!H:H)</f>
        <v>350</v>
      </c>
      <c r="F71" s="1725" t="str">
        <f>IFERROR(VLOOKUP(A71,Solieu!G:M,2,0),"")</f>
        <v>nt</v>
      </c>
      <c r="G71" s="1725" t="str">
        <f>IFERROR(VLOOKUP(A71,Solieu!G:M,3,0),"")</f>
        <v>nt</v>
      </c>
      <c r="H71" s="1725"/>
      <c r="I71" s="1729"/>
      <c r="J71" s="1730" t="str">
        <f>IFERROR(VLOOKUP(A71,Solieu!G:M,4,0),"")</f>
        <v>nt</v>
      </c>
      <c r="K71" s="1731" t="str">
        <f>IFERROR(VLOOKUP(A71,Solieu!G:M,5,0),"")</f>
        <v>nt</v>
      </c>
      <c r="L71" s="1932">
        <f>IFERROR(VLOOKUP(A71,Solieu!G:M,6,0),"")</f>
        <v>0</v>
      </c>
      <c r="M71" s="1729" t="str">
        <f>IFERROR(VLOOKUP(A71,Solieu!G:M,7,0),"")</f>
        <v/>
      </c>
      <c r="N71" s="1265" t="s">
        <v>4214</v>
      </c>
      <c r="O71" s="1475">
        <f t="shared" ref="O71:O127" si="1">IF(ISERROR(C71),"",1)</f>
        <v>1</v>
      </c>
      <c r="P71" s="1261"/>
      <c r="Q71" s="1434"/>
      <c r="R71" s="1476"/>
      <c r="S71" s="860"/>
      <c r="T71" s="860"/>
      <c r="U71" s="860"/>
      <c r="V71" s="860"/>
      <c r="W71" s="860"/>
      <c r="X71" s="860"/>
      <c r="Y71" s="860"/>
      <c r="Z71" s="860"/>
      <c r="AA71" s="860"/>
    </row>
    <row r="72" spans="1:27" s="861" customFormat="1" ht="34.950000000000003" customHeight="1">
      <c r="A72" s="2148" t="str">
        <f>VLOOKUP(ROW()-ROW($A$5),TongHopKL!A:B,2,0)</f>
        <v>K3B</v>
      </c>
      <c r="B72" s="1725">
        <f>SUM($O$6:O72)</f>
        <v>67</v>
      </c>
      <c r="C72" s="1726" t="str">
        <f>(VLOOKUP(A72,TongHopKL!B:F,5,0))</f>
        <v>Kẹp cáp 3 boulon</v>
      </c>
      <c r="D72" s="1727" t="str">
        <f>IFERROR(VLOOKUP(A72,DG!A:D,4,0),0)</f>
        <v>cái</v>
      </c>
      <c r="E72" s="1728">
        <f>SUMIF(TongHopKL!B:B,'NT-VT'!A72,TongHopKL!H:H)</f>
        <v>8</v>
      </c>
      <c r="F72" s="1725" t="str">
        <f>IFERROR(VLOOKUP(A72,Solieu!G:M,2,0),"")</f>
        <v>nt</v>
      </c>
      <c r="G72" s="1725" t="str">
        <f>IFERROR(VLOOKUP(A72,Solieu!G:M,3,0),"")</f>
        <v>nt</v>
      </c>
      <c r="H72" s="1725"/>
      <c r="I72" s="1729"/>
      <c r="J72" s="1730" t="str">
        <f>IFERROR(VLOOKUP(A72,Solieu!G:M,4,0),"")</f>
        <v>nt</v>
      </c>
      <c r="K72" s="1731" t="str">
        <f>IFERROR(VLOOKUP(A72,Solieu!G:M,5,0),"")</f>
        <v>nt</v>
      </c>
      <c r="L72" s="1932">
        <f>IFERROR(VLOOKUP(A72,Solieu!G:M,6,0),"")</f>
        <v>0</v>
      </c>
      <c r="M72" s="1729" t="str">
        <f>IFERROR(VLOOKUP(A72,Solieu!G:M,7,0),"")</f>
        <v/>
      </c>
      <c r="N72" s="1265" t="s">
        <v>4214</v>
      </c>
      <c r="O72" s="1475">
        <f t="shared" si="1"/>
        <v>1</v>
      </c>
      <c r="P72" s="1261"/>
      <c r="Q72" s="1434"/>
      <c r="R72" s="1476"/>
      <c r="S72" s="860"/>
      <c r="T72" s="860"/>
      <c r="U72" s="860"/>
      <c r="V72" s="860"/>
      <c r="W72" s="860"/>
      <c r="X72" s="860"/>
      <c r="Y72" s="860"/>
      <c r="Z72" s="860"/>
      <c r="AA72" s="860"/>
    </row>
    <row r="73" spans="1:27" s="861" customFormat="1" ht="34.950000000000003" customHeight="1">
      <c r="A73" s="2148" t="str">
        <f>VLOOKUP(ROW()-ROW($A$5),TongHopKL!A:B,2,0)</f>
        <v>KE50</v>
      </c>
      <c r="B73" s="1725">
        <f>SUM($O$6:O73)</f>
        <v>68</v>
      </c>
      <c r="C73" s="1726" t="str">
        <f>(VLOOKUP(A73,TongHopKL!B:F,5,0))</f>
        <v>Kẹp ép WR cỡ dây 50mm2</v>
      </c>
      <c r="D73" s="1727" t="str">
        <f>IFERROR(VLOOKUP(A73,DG!A:D,4,0),0)</f>
        <v>cái</v>
      </c>
      <c r="E73" s="1728">
        <f>SUMIF(TongHopKL!B:B,'NT-VT'!A73,TongHopKL!H:H)</f>
        <v>6</v>
      </c>
      <c r="F73" s="1725" t="str">
        <f>IFERROR(VLOOKUP(A73,Solieu!G:M,2,0),"")</f>
        <v>nt</v>
      </c>
      <c r="G73" s="1725" t="str">
        <f>IFERROR(VLOOKUP(A73,Solieu!G:M,3,0),"")</f>
        <v>nt</v>
      </c>
      <c r="H73" s="1725"/>
      <c r="I73" s="1729"/>
      <c r="J73" s="1730" t="str">
        <f>IFERROR(VLOOKUP(A73,Solieu!G:M,4,0),"")</f>
        <v>nt</v>
      </c>
      <c r="K73" s="1731" t="str">
        <f>IFERROR(VLOOKUP(A73,Solieu!G:M,5,0),"")</f>
        <v>nt</v>
      </c>
      <c r="L73" s="1932">
        <f>IFERROR(VLOOKUP(A73,Solieu!G:M,6,0),"")</f>
        <v>0</v>
      </c>
      <c r="M73" s="1729" t="str">
        <f>IFERROR(VLOOKUP(A73,Solieu!G:M,7,0),"")</f>
        <v/>
      </c>
      <c r="N73" s="1265" t="s">
        <v>4214</v>
      </c>
      <c r="O73" s="1475">
        <f t="shared" si="1"/>
        <v>1</v>
      </c>
      <c r="P73" s="1261"/>
      <c r="Q73" s="1434"/>
      <c r="R73" s="1476"/>
      <c r="S73" s="860"/>
      <c r="T73" s="860"/>
      <c r="U73" s="860"/>
      <c r="V73" s="860"/>
      <c r="W73" s="860"/>
      <c r="X73" s="860"/>
      <c r="Y73" s="860"/>
      <c r="Z73" s="860"/>
      <c r="AA73" s="860"/>
    </row>
    <row r="74" spans="1:27" s="861" customFormat="1" ht="34.950000000000003" customHeight="1">
      <c r="A74" s="2148" t="str">
        <f>VLOOKUP(ROW()-ROW($A$5),TongHopKL!A:B,2,0)</f>
        <v>ke95</v>
      </c>
      <c r="B74" s="1725">
        <f>SUM($O$6:O74)</f>
        <v>69</v>
      </c>
      <c r="C74" s="1726" t="str">
        <f>(VLOOKUP(A74,TongHopKL!B:F,5,0))</f>
        <v>Kẹp ép WR cỡ dây 95mm2</v>
      </c>
      <c r="D74" s="1727" t="str">
        <f>IFERROR(VLOOKUP(A74,DG!A:D,4,0),0)</f>
        <v>cái</v>
      </c>
      <c r="E74" s="1728">
        <f>SUMIF(TongHopKL!B:B,'NT-VT'!A74,TongHopKL!H:H)</f>
        <v>6</v>
      </c>
      <c r="F74" s="1725" t="str">
        <f>IFERROR(VLOOKUP(A74,Solieu!G:M,2,0),"")</f>
        <v>nt</v>
      </c>
      <c r="G74" s="1725" t="str">
        <f>IFERROR(VLOOKUP(A74,Solieu!G:M,3,0),"")</f>
        <v>nt</v>
      </c>
      <c r="H74" s="1725"/>
      <c r="I74" s="1729"/>
      <c r="J74" s="1730" t="str">
        <f>IFERROR(VLOOKUP(A74,Solieu!G:M,4,0),"")</f>
        <v>nt</v>
      </c>
      <c r="K74" s="1731" t="str">
        <f>IFERROR(VLOOKUP(A74,Solieu!G:M,5,0),"")</f>
        <v>nt</v>
      </c>
      <c r="L74" s="1932">
        <f>IFERROR(VLOOKUP(A74,Solieu!G:M,6,0),"")</f>
        <v>0</v>
      </c>
      <c r="M74" s="1729" t="str">
        <f>IFERROR(VLOOKUP(A74,Solieu!G:M,7,0),"")</f>
        <v/>
      </c>
      <c r="N74" s="1265" t="s">
        <v>4214</v>
      </c>
      <c r="O74" s="1475">
        <f t="shared" si="1"/>
        <v>1</v>
      </c>
      <c r="P74" s="1261"/>
      <c r="Q74" s="1434"/>
      <c r="R74" s="1476"/>
      <c r="S74" s="860"/>
      <c r="T74" s="860"/>
      <c r="U74" s="860"/>
      <c r="V74" s="860"/>
      <c r="W74" s="860"/>
      <c r="X74" s="860"/>
      <c r="Y74" s="860"/>
      <c r="Z74" s="860"/>
      <c r="AA74" s="860"/>
    </row>
    <row r="75" spans="1:27" s="861" customFormat="1" ht="34.950000000000003" customHeight="1">
      <c r="A75" s="2148" t="str">
        <f>VLOOKUP(ROW()-ROW($A$5),TongHopKL!A:B,2,0)</f>
        <v>KEO</v>
      </c>
      <c r="B75" s="1725">
        <f>SUM($O$6:O75)</f>
        <v>70</v>
      </c>
      <c r="C75" s="1726" t="str">
        <f>(VLOOKUP(A75,TongHopKL!B:F,5,0))</f>
        <v>Keo dán ống PVC (500gr)</v>
      </c>
      <c r="D75" s="1727" t="str">
        <f>IFERROR(VLOOKUP(A75,DG!A:D,4,0),0)</f>
        <v>lon</v>
      </c>
      <c r="E75" s="1728">
        <f>SUMIF(TongHopKL!B:B,'NT-VT'!A75,TongHopKL!H:H)</f>
        <v>1</v>
      </c>
      <c r="F75" s="1725" t="str">
        <f>IFERROR(VLOOKUP(A75,Solieu!G:M,2,0),"")</f>
        <v>nt</v>
      </c>
      <c r="G75" s="1725" t="str">
        <f>IFERROR(VLOOKUP(A75,Solieu!G:M,3,0),"")</f>
        <v>nt</v>
      </c>
      <c r="H75" s="1725"/>
      <c r="I75" s="1729"/>
      <c r="J75" s="1730" t="str">
        <f>IFERROR(VLOOKUP(A75,Solieu!G:M,4,0),"")</f>
        <v>nt</v>
      </c>
      <c r="K75" s="1731" t="str">
        <f>IFERROR(VLOOKUP(A75,Solieu!G:M,5,0),"")</f>
        <v>nt</v>
      </c>
      <c r="L75" s="1932">
        <f>IFERROR(VLOOKUP(A75,Solieu!G:M,6,0),"")</f>
        <v>0</v>
      </c>
      <c r="M75" s="1729" t="str">
        <f>IFERROR(VLOOKUP(A75,Solieu!G:M,7,0),"")</f>
        <v/>
      </c>
      <c r="N75" s="1265" t="s">
        <v>4214</v>
      </c>
      <c r="O75" s="1475">
        <f t="shared" si="1"/>
        <v>1</v>
      </c>
      <c r="P75" s="1261"/>
      <c r="Q75" s="1434"/>
      <c r="R75" s="1476"/>
      <c r="S75" s="860"/>
      <c r="T75" s="860"/>
      <c r="U75" s="860"/>
      <c r="V75" s="860"/>
      <c r="W75" s="860"/>
      <c r="X75" s="860"/>
      <c r="Y75" s="860"/>
      <c r="Z75" s="860"/>
      <c r="AA75" s="860"/>
    </row>
    <row r="76" spans="1:27" s="861" customFormat="1" ht="34.950000000000003" customHeight="1">
      <c r="A76" s="2148" t="str">
        <f>VLOOKUP(ROW()-ROW($A$5),TongHopKL!A:B,2,0)</f>
        <v>keobit</v>
      </c>
      <c r="B76" s="1725">
        <f>SUM($O$6:O76)</f>
        <v>71</v>
      </c>
      <c r="C76" s="1726" t="str">
        <f>(VLOOKUP(A76,TongHopKL!B:F,5,0))</f>
        <v>Keo silicon bít miệng ống</v>
      </c>
      <c r="D76" s="1727" t="str">
        <f>IFERROR(VLOOKUP(A76,DG!A:D,4,0),0)</f>
        <v>ống</v>
      </c>
      <c r="E76" s="1728">
        <f>SUMIF(TongHopKL!B:B,'NT-VT'!A76,TongHopKL!H:H)</f>
        <v>5</v>
      </c>
      <c r="F76" s="1725" t="str">
        <f>IFERROR(VLOOKUP(A76,Solieu!G:M,2,0),"")</f>
        <v>nt</v>
      </c>
      <c r="G76" s="1725" t="str">
        <f>IFERROR(VLOOKUP(A76,Solieu!G:M,3,0),"")</f>
        <v>nt</v>
      </c>
      <c r="H76" s="1725"/>
      <c r="I76" s="1729"/>
      <c r="J76" s="1730" t="str">
        <f>IFERROR(VLOOKUP(A76,Solieu!G:M,4,0),"")</f>
        <v>nt</v>
      </c>
      <c r="K76" s="1731" t="str">
        <f>IFERROR(VLOOKUP(A76,Solieu!G:M,5,0),"")</f>
        <v>nt</v>
      </c>
      <c r="L76" s="1932">
        <f>IFERROR(VLOOKUP(A76,Solieu!G:M,6,0),"")</f>
        <v>0</v>
      </c>
      <c r="M76" s="1729" t="str">
        <f>IFERROR(VLOOKUP(A76,Solieu!G:M,7,0),"")</f>
        <v/>
      </c>
      <c r="N76" s="1265" t="s">
        <v>4214</v>
      </c>
      <c r="O76" s="1475">
        <f t="shared" si="1"/>
        <v>1</v>
      </c>
      <c r="P76" s="1261"/>
      <c r="Q76" s="1434"/>
      <c r="R76" s="1476"/>
      <c r="S76" s="860"/>
      <c r="T76" s="860"/>
      <c r="U76" s="860"/>
      <c r="V76" s="860"/>
      <c r="W76" s="860"/>
      <c r="X76" s="860"/>
      <c r="Y76" s="860"/>
      <c r="Z76" s="860"/>
      <c r="AA76" s="860"/>
    </row>
    <row r="77" spans="1:27" s="861" customFormat="1" ht="34.950000000000003" customHeight="1">
      <c r="A77" s="2148" t="str">
        <f>VLOOKUP(ROW()-ROW($A$5),TongHopKL!A:B,2,0)</f>
        <v>KH2/0</v>
      </c>
      <c r="B77" s="1725">
        <f>SUM($O$6:O77)</f>
        <v>72</v>
      </c>
      <c r="C77" s="1726" t="str">
        <f>(VLOOKUP(A77,TongHopKL!B:F,5,0))</f>
        <v>Kẹp hotline 2/0</v>
      </c>
      <c r="D77" s="1727" t="str">
        <f>IFERROR(VLOOKUP(A77,DG!A:D,4,0),0)</f>
        <v>cái</v>
      </c>
      <c r="E77" s="1728">
        <f>SUMIF(TongHopKL!B:B,'NT-VT'!A77,TongHopKL!H:H)</f>
        <v>3</v>
      </c>
      <c r="F77" s="1725" t="str">
        <f>IFERROR(VLOOKUP(A77,Solieu!G:M,2,0),"")</f>
        <v>nt</v>
      </c>
      <c r="G77" s="1725" t="str">
        <f>IFERROR(VLOOKUP(A77,Solieu!G:M,3,0),"")</f>
        <v>nt</v>
      </c>
      <c r="H77" s="1725"/>
      <c r="I77" s="1729"/>
      <c r="J77" s="1730" t="str">
        <f>IFERROR(VLOOKUP(A77,Solieu!G:M,4,0),"")</f>
        <v>nt</v>
      </c>
      <c r="K77" s="1731" t="str">
        <f>IFERROR(VLOOKUP(A77,Solieu!G:M,5,0),"")</f>
        <v>nt</v>
      </c>
      <c r="L77" s="1932">
        <f>IFERROR(VLOOKUP(A77,Solieu!G:M,6,0),"")</f>
        <v>0</v>
      </c>
      <c r="M77" s="1729" t="str">
        <f>IFERROR(VLOOKUP(A77,Solieu!G:M,7,0),"")</f>
        <v/>
      </c>
      <c r="N77" s="1265" t="s">
        <v>4214</v>
      </c>
      <c r="O77" s="1475">
        <f t="shared" si="1"/>
        <v>1</v>
      </c>
      <c r="P77" s="1261"/>
      <c r="Q77" s="1434"/>
      <c r="R77" s="1477"/>
    </row>
    <row r="78" spans="1:27" s="861" customFormat="1" ht="34.950000000000003" customHeight="1">
      <c r="A78" s="2148" t="str">
        <f>VLOOKUP(ROW()-ROW($A$5),TongHopKL!A:B,2,0)</f>
        <v>kn50</v>
      </c>
      <c r="B78" s="1725">
        <f>SUM($O$6:O78)</f>
        <v>73</v>
      </c>
      <c r="C78" s="1726" t="str">
        <f>(VLOOKUP(A78,TongHopKL!B:F,5,0))</f>
        <v>Khóa néo dây cỡ dây 50</v>
      </c>
      <c r="D78" s="1727" t="str">
        <f>IFERROR(VLOOKUP(A78,DG!A:D,4,0),0)</f>
        <v>cái</v>
      </c>
      <c r="E78" s="1728">
        <f>SUMIF(TongHopKL!B:B,'NT-VT'!A78,TongHopKL!H:H)</f>
        <v>2</v>
      </c>
      <c r="F78" s="1725" t="str">
        <f>IFERROR(VLOOKUP(A78,Solieu!G:M,2,0),"")</f>
        <v>nt</v>
      </c>
      <c r="G78" s="1725" t="str">
        <f>IFERROR(VLOOKUP(A78,Solieu!G:M,3,0),"")</f>
        <v>nt</v>
      </c>
      <c r="H78" s="1725"/>
      <c r="I78" s="1729"/>
      <c r="J78" s="1730" t="str">
        <f>IFERROR(VLOOKUP(A78,Solieu!G:M,4,0),"")</f>
        <v>nt</v>
      </c>
      <c r="K78" s="1731" t="str">
        <f>IFERROR(VLOOKUP(A78,Solieu!G:M,5,0),"")</f>
        <v>nt</v>
      </c>
      <c r="L78" s="1932">
        <f>IFERROR(VLOOKUP(A78,Solieu!G:M,6,0),"")</f>
        <v>0</v>
      </c>
      <c r="M78" s="1729" t="str">
        <f>IFERROR(VLOOKUP(A78,Solieu!G:M,7,0),"")</f>
        <v/>
      </c>
      <c r="N78" s="1265" t="s">
        <v>4214</v>
      </c>
      <c r="O78" s="1475">
        <f t="shared" si="1"/>
        <v>1</v>
      </c>
      <c r="P78" s="1261"/>
      <c r="Q78" s="1434"/>
      <c r="R78" s="1477"/>
    </row>
    <row r="79" spans="1:27" s="861" customFormat="1" ht="34.950000000000003" customHeight="1">
      <c r="A79" s="2148" t="str">
        <f>VLOOKUP(ROW()-ROW($A$5),TongHopKL!A:B,2,0)</f>
        <v>KQ2/0</v>
      </c>
      <c r="B79" s="1725">
        <f>SUM($O$6:O79)</f>
        <v>74</v>
      </c>
      <c r="C79" s="1726" t="str">
        <f>(VLOOKUP(A79,TongHopKL!B:F,5,0))</f>
        <v>Kẹp quai 2/0</v>
      </c>
      <c r="D79" s="1727" t="str">
        <f>IFERROR(VLOOKUP(A79,DG!A:D,4,0),0)</f>
        <v>cái</v>
      </c>
      <c r="E79" s="1728">
        <f>SUMIF(TongHopKL!B:B,'NT-VT'!A79,TongHopKL!H:H)</f>
        <v>3</v>
      </c>
      <c r="F79" s="1725" t="str">
        <f>IFERROR(VLOOKUP(A79,Solieu!G:M,2,0),"")</f>
        <v>nt</v>
      </c>
      <c r="G79" s="1725" t="str">
        <f>IFERROR(VLOOKUP(A79,Solieu!G:M,3,0),"")</f>
        <v>nt</v>
      </c>
      <c r="H79" s="1725"/>
      <c r="I79" s="1729"/>
      <c r="J79" s="1730" t="str">
        <f>IFERROR(VLOOKUP(A79,Solieu!G:M,4,0),"")</f>
        <v>nt</v>
      </c>
      <c r="K79" s="1731" t="str">
        <f>IFERROR(VLOOKUP(A79,Solieu!G:M,5,0),"")</f>
        <v>nt</v>
      </c>
      <c r="L79" s="1932">
        <f>IFERROR(VLOOKUP(A79,Solieu!G:M,6,0),"")</f>
        <v>0</v>
      </c>
      <c r="M79" s="1729" t="str">
        <f>IFERROR(VLOOKUP(A79,Solieu!G:M,7,0),"")</f>
        <v/>
      </c>
      <c r="N79" s="1265" t="s">
        <v>4214</v>
      </c>
      <c r="O79" s="1475">
        <f t="shared" si="1"/>
        <v>1</v>
      </c>
      <c r="P79" s="1261"/>
      <c r="Q79" s="1434"/>
      <c r="R79" s="1477"/>
    </row>
    <row r="80" spans="1:27" s="861" customFormat="1" ht="34.950000000000003" customHeight="1">
      <c r="A80" s="2148" t="str">
        <f>VLOOKUP(ROW()-ROW($A$5),TongHopKL!A:B,2,0)</f>
        <v>KVRN42</v>
      </c>
      <c r="B80" s="1725">
        <f>SUM($O$6:O80)</f>
        <v>75</v>
      </c>
      <c r="C80" s="1726" t="str">
        <f>(VLOOKUP(A80,TongHopKL!B:F,5,0))</f>
        <v>Khâu ven răng ngoài D42</v>
      </c>
      <c r="D80" s="1727" t="str">
        <f>IFERROR(VLOOKUP(A80,DG!A:D,4,0),0)</f>
        <v>cái</v>
      </c>
      <c r="E80" s="1728">
        <f>SUMIF(TongHopKL!B:B,'NT-VT'!A80,TongHopKL!H:H)</f>
        <v>1</v>
      </c>
      <c r="F80" s="1725" t="str">
        <f>IFERROR(VLOOKUP(A80,Solieu!G:M,2,0),"")</f>
        <v>nt</v>
      </c>
      <c r="G80" s="1725" t="str">
        <f>IFERROR(VLOOKUP(A80,Solieu!G:M,3,0),"")</f>
        <v>nt</v>
      </c>
      <c r="H80" s="1725"/>
      <c r="I80" s="1729"/>
      <c r="J80" s="1730" t="str">
        <f>IFERROR(VLOOKUP(A80,Solieu!G:M,4,0),"")</f>
        <v>nt</v>
      </c>
      <c r="K80" s="1731" t="str">
        <f>IFERROR(VLOOKUP(A80,Solieu!G:M,5,0),"")</f>
        <v>nt</v>
      </c>
      <c r="L80" s="1932">
        <f>IFERROR(VLOOKUP(A80,Solieu!G:M,6,0),"")</f>
        <v>0</v>
      </c>
      <c r="M80" s="1729" t="str">
        <f>IFERROR(VLOOKUP(A80,Solieu!G:M,7,0),"")</f>
        <v/>
      </c>
      <c r="N80" s="1265" t="s">
        <v>4214</v>
      </c>
      <c r="O80" s="1475">
        <f t="shared" si="1"/>
        <v>1</v>
      </c>
      <c r="P80" s="1261"/>
      <c r="Q80" s="1434"/>
      <c r="R80" s="1477"/>
    </row>
    <row r="81" spans="1:18" s="861" customFormat="1" ht="34.950000000000003" customHeight="1">
      <c r="A81" s="2148" t="str">
        <f>VLOOKUP(ROW()-ROW($A$5),TongHopKL!A:B,2,0)</f>
        <v>KVRT42</v>
      </c>
      <c r="B81" s="1725">
        <f>SUM($O$6:O81)</f>
        <v>76</v>
      </c>
      <c r="C81" s="1726" t="str">
        <f>(VLOOKUP(A81,TongHopKL!B:F,5,0))</f>
        <v>Khâu ven răng trong D42</v>
      </c>
      <c r="D81" s="1727" t="str">
        <f>IFERROR(VLOOKUP(A81,DG!A:D,4,0),0)</f>
        <v>cái</v>
      </c>
      <c r="E81" s="1728">
        <f>SUMIF(TongHopKL!B:B,'NT-VT'!A81,TongHopKL!H:H)</f>
        <v>1</v>
      </c>
      <c r="F81" s="1725" t="str">
        <f>IFERROR(VLOOKUP(A81,Solieu!G:M,2,0),"")</f>
        <v>nt</v>
      </c>
      <c r="G81" s="1725" t="str">
        <f>IFERROR(VLOOKUP(A81,Solieu!G:M,3,0),"")</f>
        <v>nt</v>
      </c>
      <c r="H81" s="1725"/>
      <c r="I81" s="1729"/>
      <c r="J81" s="1730" t="str">
        <f>IFERROR(VLOOKUP(A81,Solieu!G:M,4,0),"")</f>
        <v>nt</v>
      </c>
      <c r="K81" s="1731" t="str">
        <f>IFERROR(VLOOKUP(A81,Solieu!G:M,5,0),"")</f>
        <v>nt</v>
      </c>
      <c r="L81" s="1932">
        <f>IFERROR(VLOOKUP(A81,Solieu!G:M,6,0),"")</f>
        <v>0</v>
      </c>
      <c r="M81" s="1729" t="str">
        <f>IFERROR(VLOOKUP(A81,Solieu!G:M,7,0),"")</f>
        <v/>
      </c>
      <c r="N81" s="1265" t="s">
        <v>4214</v>
      </c>
      <c r="O81" s="1475">
        <f t="shared" si="1"/>
        <v>1</v>
      </c>
      <c r="P81" s="1261"/>
      <c r="Q81" s="1434"/>
      <c r="R81" s="1477"/>
    </row>
    <row r="82" spans="1:18" s="861" customFormat="1" ht="34.950000000000003" customHeight="1">
      <c r="A82" s="2148" t="str">
        <f>VLOOKUP(ROW()-ROW($A$5),TongHopKL!A:B,2,0)</f>
        <v>M5M</v>
      </c>
      <c r="B82" s="1725">
        <f>SUM($O$6:O82)</f>
        <v>77</v>
      </c>
      <c r="C82" s="1726" t="str">
        <f>(VLOOKUP(A82,TongHopKL!B:F,5,0))</f>
        <v>Dây đồng trần mềm dẹt</v>
      </c>
      <c r="D82" s="1727" t="str">
        <f>IFERROR(VLOOKUP(A82,DG!A:D,4,0),0)</f>
        <v>mét</v>
      </c>
      <c r="E82" s="1728">
        <f>SUMIF(TongHopKL!B:B,'NT-VT'!A82,TongHopKL!H:H)</f>
        <v>4</v>
      </c>
      <c r="F82" s="1725" t="str">
        <f>IFERROR(VLOOKUP(A82,Solieu!G:M,2,0),"")</f>
        <v>nt</v>
      </c>
      <c r="G82" s="1725" t="str">
        <f>IFERROR(VLOOKUP(A82,Solieu!G:M,3,0),"")</f>
        <v>nt</v>
      </c>
      <c r="H82" s="1725"/>
      <c r="I82" s="1729"/>
      <c r="J82" s="1730" t="str">
        <f>IFERROR(VLOOKUP(A82,Solieu!G:M,4,0),"")</f>
        <v>nt</v>
      </c>
      <c r="K82" s="1731" t="str">
        <f>IFERROR(VLOOKUP(A82,Solieu!G:M,5,0),"")</f>
        <v>nt</v>
      </c>
      <c r="L82" s="1932">
        <f>IFERROR(VLOOKUP(A82,Solieu!G:M,6,0),"")</f>
        <v>0</v>
      </c>
      <c r="M82" s="1729" t="str">
        <f>IFERROR(VLOOKUP(A82,Solieu!G:M,7,0),"")</f>
        <v/>
      </c>
      <c r="N82" s="1265" t="s">
        <v>4214</v>
      </c>
      <c r="O82" s="1475">
        <f t="shared" si="1"/>
        <v>1</v>
      </c>
      <c r="P82" s="1261"/>
      <c r="Q82" s="1473"/>
      <c r="R82" s="1477"/>
    </row>
    <row r="83" spans="1:18" s="861" customFormat="1" ht="34.950000000000003" customHeight="1">
      <c r="A83" s="2148" t="str">
        <f>VLOOKUP(ROW()-ROW($A$5),TongHopKL!A:B,2,0)</f>
        <v>MANG</v>
      </c>
      <c r="B83" s="1725">
        <f>SUM($O$6:O83)</f>
        <v>78</v>
      </c>
      <c r="C83" s="1726" t="str">
        <f>(VLOOKUP(A83,TongHopKL!B:F,5,0))</f>
        <v>Máng che dây chằng dày 1,6mm</v>
      </c>
      <c r="D83" s="1727" t="str">
        <f>IFERROR(VLOOKUP(A83,DG!A:D,4,0),0)</f>
        <v>cái</v>
      </c>
      <c r="E83" s="1728">
        <f>SUMIF(TongHopKL!B:B,'NT-VT'!A83,TongHopKL!H:H)</f>
        <v>1</v>
      </c>
      <c r="F83" s="1725" t="str">
        <f>IFERROR(VLOOKUP(A83,Solieu!G:M,2,0),"")</f>
        <v>nt</v>
      </c>
      <c r="G83" s="1725" t="str">
        <f>IFERROR(VLOOKUP(A83,Solieu!G:M,3,0),"")</f>
        <v>nt</v>
      </c>
      <c r="H83" s="1725"/>
      <c r="I83" s="1729"/>
      <c r="J83" s="1730" t="str">
        <f>IFERROR(VLOOKUP(A83,Solieu!G:M,4,0),"")</f>
        <v>nt</v>
      </c>
      <c r="K83" s="1731" t="str">
        <f>IFERROR(VLOOKUP(A83,Solieu!G:M,5,0),"")</f>
        <v>nt</v>
      </c>
      <c r="L83" s="1932">
        <f>IFERROR(VLOOKUP(A83,Solieu!G:M,6,0),"")</f>
        <v>0</v>
      </c>
      <c r="M83" s="1729" t="str">
        <f>IFERROR(VLOOKUP(A83,Solieu!G:M,7,0),"")</f>
        <v/>
      </c>
      <c r="N83" s="1265" t="s">
        <v>4214</v>
      </c>
      <c r="O83" s="1475">
        <f t="shared" si="1"/>
        <v>1</v>
      </c>
      <c r="P83" s="1261"/>
      <c r="Q83" s="1473"/>
      <c r="R83" s="1477"/>
    </row>
    <row r="84" spans="1:18" s="861" customFormat="1" ht="34.950000000000003" customHeight="1">
      <c r="A84" s="2148" t="str">
        <f>VLOOKUP(ROW()-ROW($A$5),TongHopKL!A:B,2,0)</f>
        <v>MT</v>
      </c>
      <c r="B84" s="1725">
        <f>SUM($O$6:O84)</f>
        <v>79</v>
      </c>
      <c r="C84" s="1726" t="str">
        <f>(VLOOKUP(A84,TongHopKL!B:F,5,0))</f>
        <v xml:space="preserve">Móc treo chữ U </v>
      </c>
      <c r="D84" s="1727" t="str">
        <f>IFERROR(VLOOKUP(A84,DG!A:D,4,0),0)</f>
        <v>cái</v>
      </c>
      <c r="E84" s="1728">
        <f>SUMIF(TongHopKL!B:B,'NT-VT'!A84,TongHopKL!H:H)</f>
        <v>12</v>
      </c>
      <c r="F84" s="1725" t="str">
        <f>IFERROR(VLOOKUP(A84,Solieu!G:M,2,0),"")</f>
        <v>nt</v>
      </c>
      <c r="G84" s="1725" t="str">
        <f>IFERROR(VLOOKUP(A84,Solieu!G:M,3,0),"")</f>
        <v>nt</v>
      </c>
      <c r="H84" s="1725"/>
      <c r="I84" s="1729"/>
      <c r="J84" s="1730" t="str">
        <f>IFERROR(VLOOKUP(A84,Solieu!G:M,4,0),"")</f>
        <v>nt</v>
      </c>
      <c r="K84" s="1731" t="str">
        <f>IFERROR(VLOOKUP(A84,Solieu!G:M,5,0),"")</f>
        <v>nt</v>
      </c>
      <c r="L84" s="1932">
        <f>IFERROR(VLOOKUP(A84,Solieu!G:M,6,0),"")</f>
        <v>0</v>
      </c>
      <c r="M84" s="1729" t="str">
        <f>IFERROR(VLOOKUP(A84,Solieu!G:M,7,0),"")</f>
        <v/>
      </c>
      <c r="N84" s="1265" t="s">
        <v>4214</v>
      </c>
      <c r="O84" s="1475">
        <f t="shared" si="1"/>
        <v>1</v>
      </c>
      <c r="P84" s="1261"/>
      <c r="Q84" s="1473"/>
      <c r="R84" s="1477"/>
    </row>
    <row r="85" spans="1:18" s="861" customFormat="1" ht="34.950000000000003" customHeight="1">
      <c r="A85" s="2148" t="str">
        <f>VLOOKUP(ROW()-ROW($A$5),TongHopKL!A:B,2,0)</f>
        <v>NX</v>
      </c>
      <c r="B85" s="1725">
        <f>SUM($O$6:O85)</f>
        <v>80</v>
      </c>
      <c r="C85" s="1726" t="str">
        <f>(VLOOKUP(A85,TongHopKL!B:F,5,0))</f>
        <v>Neo xòe 8 hướng (dày 3,2mm)</v>
      </c>
      <c r="D85" s="1727" t="str">
        <f>IFERROR(VLOOKUP(A85,DG!A:D,4,0),0)</f>
        <v>cái</v>
      </c>
      <c r="E85" s="1728">
        <f>SUMIF(TongHopKL!B:B,'NT-VT'!A85,TongHopKL!H:H)</f>
        <v>1</v>
      </c>
      <c r="F85" s="1725" t="str">
        <f>IFERROR(VLOOKUP(A85,Solieu!G:M,2,0),"")</f>
        <v>nt</v>
      </c>
      <c r="G85" s="1725" t="str">
        <f>IFERROR(VLOOKUP(A85,Solieu!G:M,3,0),"")</f>
        <v>nt</v>
      </c>
      <c r="H85" s="1725"/>
      <c r="I85" s="1729"/>
      <c r="J85" s="1730" t="str">
        <f>IFERROR(VLOOKUP(A85,Solieu!G:M,4,0),"")</f>
        <v>nt</v>
      </c>
      <c r="K85" s="1731" t="str">
        <f>IFERROR(VLOOKUP(A85,Solieu!G:M,5,0),"")</f>
        <v>nt</v>
      </c>
      <c r="L85" s="1932">
        <f>IFERROR(VLOOKUP(A85,Solieu!G:M,6,0),"")</f>
        <v>0</v>
      </c>
      <c r="M85" s="1729" t="str">
        <f>IFERROR(VLOOKUP(A85,Solieu!G:M,7,0),"")</f>
        <v/>
      </c>
      <c r="N85" s="1265" t="s">
        <v>4214</v>
      </c>
      <c r="O85" s="1475">
        <f t="shared" si="1"/>
        <v>1</v>
      </c>
      <c r="P85" s="1261"/>
      <c r="Q85" s="1473"/>
      <c r="R85" s="1477"/>
    </row>
    <row r="86" spans="1:18" s="861" customFormat="1" ht="34.950000000000003" customHeight="1">
      <c r="A86" s="2148" t="str">
        <f>VLOOKUP(ROW()-ROW($A$5),TongHopKL!A:B,2,0)</f>
        <v>ocn</v>
      </c>
      <c r="B86" s="1725">
        <f>SUM($O$6:O86)</f>
        <v>81</v>
      </c>
      <c r="C86" s="1726" t="str">
        <f>(VLOOKUP(A86,TongHopKL!B:F,5,0))</f>
        <v>Ong co nhiệt</v>
      </c>
      <c r="D86" s="1727" t="str">
        <f>IFERROR(VLOOKUP(A86,DG!A:D,4,0),0)</f>
        <v>m</v>
      </c>
      <c r="E86" s="1728">
        <f>SUMIF(TongHopKL!B:B,'NT-VT'!A86,TongHopKL!H:H)</f>
        <v>1</v>
      </c>
      <c r="F86" s="1725" t="str">
        <f>IFERROR(VLOOKUP(A86,Solieu!G:M,2,0),"")</f>
        <v>nt</v>
      </c>
      <c r="G86" s="1725" t="str">
        <f>IFERROR(VLOOKUP(A86,Solieu!G:M,3,0),"")</f>
        <v>nt</v>
      </c>
      <c r="H86" s="1725"/>
      <c r="I86" s="1729"/>
      <c r="J86" s="1730" t="str">
        <f>IFERROR(VLOOKUP(A86,Solieu!G:M,4,0),"")</f>
        <v>nt</v>
      </c>
      <c r="K86" s="1731" t="str">
        <f>IFERROR(VLOOKUP(A86,Solieu!G:M,5,0),"")</f>
        <v>nt</v>
      </c>
      <c r="L86" s="1932">
        <f>IFERROR(VLOOKUP(A86,Solieu!G:M,6,0),"")</f>
        <v>0</v>
      </c>
      <c r="M86" s="1729" t="str">
        <f>IFERROR(VLOOKUP(A86,Solieu!G:M,7,0),"")</f>
        <v/>
      </c>
      <c r="N86" s="1265" t="s">
        <v>4214</v>
      </c>
      <c r="O86" s="1475">
        <f t="shared" si="1"/>
        <v>1</v>
      </c>
      <c r="P86" s="1261"/>
      <c r="Q86" s="1473"/>
      <c r="R86" s="1477"/>
    </row>
    <row r="87" spans="1:18" s="861" customFormat="1" ht="34.950000000000003" customHeight="1">
      <c r="A87" s="2148" t="str">
        <f>VLOOKUP(ROW()-ROW($A$5),TongHopKL!A:B,2,0)</f>
        <v>OXC25</v>
      </c>
      <c r="B87" s="1725">
        <f>SUM($O$6:O87)</f>
        <v>82</v>
      </c>
      <c r="C87" s="1726" t="str">
        <f>(VLOOKUP(A87,TongHopKL!B:F,5,0))</f>
        <v>Ốc siết cáp cỡ 25mm2</v>
      </c>
      <c r="D87" s="1727" t="str">
        <f>IFERROR(VLOOKUP(A87,DG!A:D,4,0),0)</f>
        <v>cái</v>
      </c>
      <c r="E87" s="1728">
        <f>SUMIF(TongHopKL!B:B,'NT-VT'!A87,TongHopKL!H:H)</f>
        <v>13</v>
      </c>
      <c r="F87" s="1725" t="str">
        <f>IFERROR(VLOOKUP(A87,Solieu!G:M,2,0),"")</f>
        <v>nt</v>
      </c>
      <c r="G87" s="1725" t="str">
        <f>IFERROR(VLOOKUP(A87,Solieu!G:M,3,0),"")</f>
        <v>nt</v>
      </c>
      <c r="H87" s="1725"/>
      <c r="I87" s="1729"/>
      <c r="J87" s="1730" t="str">
        <f>IFERROR(VLOOKUP(A87,Solieu!G:M,4,0),"")</f>
        <v>nt</v>
      </c>
      <c r="K87" s="1731" t="str">
        <f>IFERROR(VLOOKUP(A87,Solieu!G:M,5,0),"")</f>
        <v>nt</v>
      </c>
      <c r="L87" s="1932">
        <f>IFERROR(VLOOKUP(A87,Solieu!G:M,6,0),"")</f>
        <v>0</v>
      </c>
      <c r="M87" s="1729" t="str">
        <f>IFERROR(VLOOKUP(A87,Solieu!G:M,7,0),"")</f>
        <v/>
      </c>
      <c r="N87" s="1265" t="s">
        <v>4214</v>
      </c>
      <c r="O87" s="1475">
        <f t="shared" si="1"/>
        <v>1</v>
      </c>
      <c r="P87" s="1261"/>
      <c r="Q87" s="1473"/>
      <c r="R87" s="1477"/>
    </row>
    <row r="88" spans="1:18" s="861" customFormat="1" ht="35.1" customHeight="1">
      <c r="A88" s="2148" t="str">
        <f>VLOOKUP(ROW()-ROW($A$5),TongHopKL!A:B,2,0)</f>
        <v>PVC114</v>
      </c>
      <c r="B88" s="1725">
        <f>SUM($O$6:O88)</f>
        <v>83</v>
      </c>
      <c r="C88" s="1726" t="str">
        <f>(VLOOKUP(A88,TongHopKL!B:F,5,0))</f>
        <v xml:space="preserve">Ống PVC D114x4,9mm </v>
      </c>
      <c r="D88" s="1727" t="str">
        <f>IFERROR(VLOOKUP(A88,DG!A:D,4,0),0)</f>
        <v>m</v>
      </c>
      <c r="E88" s="1728">
        <f>SUMIF(TongHopKL!B:B,'NT-VT'!A88,TongHopKL!H:H)</f>
        <v>8</v>
      </c>
      <c r="F88" s="1725" t="str">
        <f>IFERROR(VLOOKUP(A88,Solieu!G:M,2,0),"")</f>
        <v>nt</v>
      </c>
      <c r="G88" s="1725" t="str">
        <f>IFERROR(VLOOKUP(A88,Solieu!G:M,3,0),"")</f>
        <v>nt</v>
      </c>
      <c r="H88" s="1725"/>
      <c r="I88" s="1729"/>
      <c r="J88" s="1730" t="str">
        <f>IFERROR(VLOOKUP(A88,Solieu!G:M,4,0),"")</f>
        <v>nt</v>
      </c>
      <c r="K88" s="1731" t="str">
        <f>IFERROR(VLOOKUP(A88,Solieu!G:M,5,0),"")</f>
        <v>nt</v>
      </c>
      <c r="L88" s="1932">
        <f>IFERROR(VLOOKUP(A88,Solieu!G:M,6,0),"")</f>
        <v>0</v>
      </c>
      <c r="M88" s="1729" t="str">
        <f>IFERROR(VLOOKUP(A88,Solieu!G:M,7,0),"")</f>
        <v/>
      </c>
      <c r="N88" s="1265" t="s">
        <v>4214</v>
      </c>
      <c r="O88" s="1475">
        <f t="shared" si="1"/>
        <v>1</v>
      </c>
      <c r="P88" s="1261"/>
      <c r="Q88" s="1473"/>
      <c r="R88" s="1477"/>
    </row>
    <row r="89" spans="1:18" s="861" customFormat="1" ht="35.1" customHeight="1">
      <c r="A89" s="2148" t="str">
        <f>VLOOKUP(ROW()-ROW($A$5),TongHopKL!A:B,2,0)</f>
        <v>PVC42</v>
      </c>
      <c r="B89" s="1725">
        <f>SUM($O$6:O89)</f>
        <v>84</v>
      </c>
      <c r="C89" s="1726" t="str">
        <f>(VLOOKUP(A89,TongHopKL!B:F,5,0))</f>
        <v>Ống PVC D42x2,1mm</v>
      </c>
      <c r="D89" s="1727" t="str">
        <f>IFERROR(VLOOKUP(A89,DG!A:D,4,0),0)</f>
        <v>m</v>
      </c>
      <c r="E89" s="1728">
        <f>SUMIF(TongHopKL!B:B,'NT-VT'!A89,TongHopKL!H:H)</f>
        <v>18</v>
      </c>
      <c r="F89" s="1725" t="str">
        <f>IFERROR(VLOOKUP(A89,Solieu!G:M,2,0),"")</f>
        <v>nt</v>
      </c>
      <c r="G89" s="1725" t="str">
        <f>IFERROR(VLOOKUP(A89,Solieu!G:M,3,0),"")</f>
        <v>nt</v>
      </c>
      <c r="H89" s="1725"/>
      <c r="I89" s="1729"/>
      <c r="J89" s="1730" t="str">
        <f>IFERROR(VLOOKUP(A89,Solieu!G:M,4,0),"")</f>
        <v>nt</v>
      </c>
      <c r="K89" s="1731" t="str">
        <f>IFERROR(VLOOKUP(A89,Solieu!G:M,5,0),"")</f>
        <v>nt</v>
      </c>
      <c r="L89" s="1932">
        <f>IFERROR(VLOOKUP(A89,Solieu!G:M,6,0),"")</f>
        <v>0</v>
      </c>
      <c r="M89" s="1729" t="str">
        <f>IFERROR(VLOOKUP(A89,Solieu!G:M,7,0),"")</f>
        <v/>
      </c>
      <c r="N89" s="1265" t="s">
        <v>4214</v>
      </c>
      <c r="O89" s="1475">
        <f t="shared" si="1"/>
        <v>1</v>
      </c>
      <c r="P89" s="1261"/>
      <c r="Q89" s="1473"/>
      <c r="R89" s="1477"/>
    </row>
    <row r="90" spans="1:18" s="861" customFormat="1" ht="35.1" customHeight="1">
      <c r="A90" s="2148" t="str">
        <f>VLOOKUP(ROW()-ROW($A$5),TongHopKL!A:B,2,0)</f>
        <v>R1</v>
      </c>
      <c r="B90" s="1725">
        <f>SUM($O$6:O90)</f>
        <v>85</v>
      </c>
      <c r="C90" s="1726" t="str">
        <f>(VLOOKUP(A90,TongHopKL!B:F,5,0))</f>
        <v>Uclevis + sứ ống chỉ</v>
      </c>
      <c r="D90" s="1727" t="str">
        <f>IFERROR(VLOOKUP(A90,DG!A:D,4,0),0)</f>
        <v>bộ</v>
      </c>
      <c r="E90" s="1728">
        <f>SUMIF(TongHopKL!B:B,'NT-VT'!A90,TongHopKL!H:H)</f>
        <v>1</v>
      </c>
      <c r="F90" s="1725" t="str">
        <f>IFERROR(VLOOKUP(A90,Solieu!G:M,2,0),"")</f>
        <v>nt</v>
      </c>
      <c r="G90" s="1725" t="str">
        <f>IFERROR(VLOOKUP(A90,Solieu!G:M,3,0),"")</f>
        <v>nt</v>
      </c>
      <c r="H90" s="1725"/>
      <c r="I90" s="1729"/>
      <c r="J90" s="1730" t="str">
        <f>IFERROR(VLOOKUP(A90,Solieu!G:M,4,0),"")</f>
        <v>nt</v>
      </c>
      <c r="K90" s="1731" t="str">
        <f>IFERROR(VLOOKUP(A90,Solieu!G:M,5,0),"")</f>
        <v>nt</v>
      </c>
      <c r="L90" s="1932">
        <f>IFERROR(VLOOKUP(A90,Solieu!G:M,6,0),"")</f>
        <v>0</v>
      </c>
      <c r="M90" s="1729" t="str">
        <f>IFERROR(VLOOKUP(A90,Solieu!G:M,7,0),"")</f>
        <v/>
      </c>
      <c r="N90" s="1265" t="s">
        <v>4214</v>
      </c>
      <c r="O90" s="1475">
        <f t="shared" si="1"/>
        <v>1</v>
      </c>
      <c r="P90" s="1261"/>
      <c r="Q90" s="1473"/>
      <c r="R90" s="1477"/>
    </row>
    <row r="91" spans="1:18" s="861" customFormat="1" ht="35.1" customHeight="1">
      <c r="A91" s="2148" t="str">
        <f>VLOOKUP(ROW()-ROW($A$5),TongHopKL!A:B,2,0)</f>
        <v>S60</v>
      </c>
      <c r="B91" s="1725">
        <f>SUM($O$6:O91)</f>
        <v>86</v>
      </c>
      <c r="C91" s="1726" t="str">
        <f>(VLOOKUP(A91,TongHopKL!B:F,5,0))</f>
        <v>Sắt dẹt 60 x 6</v>
      </c>
      <c r="D91" s="1727" t="str">
        <f>IFERROR(VLOOKUP(A91,DG!A:D,4,0),0)</f>
        <v>kg</v>
      </c>
      <c r="E91" s="1728">
        <f>SUMIF(TongHopKL!B:B,'NT-VT'!A91,TongHopKL!H:H)</f>
        <v>3</v>
      </c>
      <c r="F91" s="1725" t="str">
        <f>IFERROR(VLOOKUP(A91,Solieu!G:M,2,0),"")</f>
        <v>nt</v>
      </c>
      <c r="G91" s="1725" t="str">
        <f>IFERROR(VLOOKUP(A91,Solieu!G:M,3,0),"")</f>
        <v>nt</v>
      </c>
      <c r="H91" s="1725"/>
      <c r="I91" s="1729"/>
      <c r="J91" s="1730" t="str">
        <f>IFERROR(VLOOKUP(A91,Solieu!G:M,4,0),"")</f>
        <v>nt</v>
      </c>
      <c r="K91" s="1731" t="str">
        <f>IFERROR(VLOOKUP(A91,Solieu!G:M,5,0),"")</f>
        <v>nt</v>
      </c>
      <c r="L91" s="1932">
        <f>IFERROR(VLOOKUP(A91,Solieu!G:M,6,0),"")</f>
        <v>0</v>
      </c>
      <c r="M91" s="1729" t="str">
        <f>IFERROR(VLOOKUP(A91,Solieu!G:M,7,0),"")</f>
        <v/>
      </c>
      <c r="N91" s="1265" t="s">
        <v>4214</v>
      </c>
      <c r="O91" s="1475">
        <f t="shared" si="1"/>
        <v>1</v>
      </c>
      <c r="P91" s="1261"/>
      <c r="Q91" s="1473"/>
      <c r="R91" s="1477"/>
    </row>
    <row r="92" spans="1:18" s="861" customFormat="1" ht="35.1" customHeight="1">
      <c r="A92" s="2148" t="str">
        <f>VLOOKUP(ROW()-ROW($A$5),TongHopKL!A:B,2,0)</f>
        <v>SL50-810</v>
      </c>
      <c r="B92" s="1725">
        <f>SUM($O$6:O92)</f>
        <v>87</v>
      </c>
      <c r="C92" s="1726" t="str">
        <f>(VLOOKUP(A92,TongHopKL!B:F,5,0))</f>
        <v>Sắt góc L50 x50 x5 - 810</v>
      </c>
      <c r="D92" s="1727" t="str">
        <f>IFERROR(VLOOKUP(A92,DG!A:D,4,0),0)</f>
        <v>cái</v>
      </c>
      <c r="E92" s="1728">
        <f>SUMIF(TongHopKL!B:B,'NT-VT'!A92,TongHopKL!H:H)</f>
        <v>12</v>
      </c>
      <c r="F92" s="1725" t="str">
        <f>IFERROR(VLOOKUP(A92,Solieu!G:M,2,0),"")</f>
        <v>nt</v>
      </c>
      <c r="G92" s="1725" t="str">
        <f>IFERROR(VLOOKUP(A92,Solieu!G:M,3,0),"")</f>
        <v>nt</v>
      </c>
      <c r="H92" s="1725"/>
      <c r="I92" s="1729"/>
      <c r="J92" s="1730" t="str">
        <f>IFERROR(VLOOKUP(A92,Solieu!G:M,4,0),"")</f>
        <v>nt</v>
      </c>
      <c r="K92" s="1731" t="str">
        <f>IFERROR(VLOOKUP(A92,Solieu!G:M,5,0),"")</f>
        <v>nt</v>
      </c>
      <c r="L92" s="1932">
        <f>IFERROR(VLOOKUP(A92,Solieu!G:M,6,0),"")</f>
        <v>0</v>
      </c>
      <c r="M92" s="1729" t="str">
        <f>IFERROR(VLOOKUP(A92,Solieu!G:M,7,0),"")</f>
        <v/>
      </c>
      <c r="N92" s="1265" t="s">
        <v>4214</v>
      </c>
      <c r="O92" s="1475">
        <f t="shared" si="1"/>
        <v>1</v>
      </c>
      <c r="P92" s="1261"/>
      <c r="Q92" s="1473"/>
      <c r="R92" s="1477"/>
    </row>
    <row r="93" spans="1:18" s="861" customFormat="1" ht="35.1" customHeight="1">
      <c r="A93" s="2148" t="str">
        <f>VLOOKUP(ROW()-ROW($A$5),TongHopKL!A:B,2,0)</f>
        <v>SL75-2000</v>
      </c>
      <c r="B93" s="1725">
        <f>SUM($O$6:O93)</f>
        <v>88</v>
      </c>
      <c r="C93" s="1726" t="str">
        <f>(VLOOKUP(A93,TongHopKL!B:F,5,0))</f>
        <v>Sắt góc L75 x75 x8-2.200</v>
      </c>
      <c r="D93" s="1727" t="str">
        <f>IFERROR(VLOOKUP(A93,DG!A:D,4,0),0)</f>
        <v>cái</v>
      </c>
      <c r="E93" s="1728">
        <f>SUMIF(TongHopKL!B:B,'NT-VT'!A93,TongHopKL!H:H)</f>
        <v>1</v>
      </c>
      <c r="F93" s="1725" t="str">
        <f>IFERROR(VLOOKUP(A93,Solieu!G:M,2,0),"")</f>
        <v>nt</v>
      </c>
      <c r="G93" s="1725" t="str">
        <f>IFERROR(VLOOKUP(A93,Solieu!G:M,3,0),"")</f>
        <v>nt</v>
      </c>
      <c r="H93" s="1725"/>
      <c r="I93" s="1729"/>
      <c r="J93" s="1730" t="str">
        <f>IFERROR(VLOOKUP(A93,Solieu!G:M,4,0),"")</f>
        <v>nt</v>
      </c>
      <c r="K93" s="1731" t="str">
        <f>IFERROR(VLOOKUP(A93,Solieu!G:M,5,0),"")</f>
        <v>nt</v>
      </c>
      <c r="L93" s="1932">
        <f>IFERROR(VLOOKUP(A93,Solieu!G:M,6,0),"")</f>
        <v>0</v>
      </c>
      <c r="M93" s="1729" t="str">
        <f>IFERROR(VLOOKUP(A93,Solieu!G:M,7,0),"")</f>
        <v/>
      </c>
      <c r="N93" s="1265" t="s">
        <v>4214</v>
      </c>
      <c r="O93" s="1475">
        <f t="shared" si="1"/>
        <v>1</v>
      </c>
      <c r="P93" s="1261"/>
      <c r="Q93" s="1473"/>
      <c r="R93" s="1477"/>
    </row>
    <row r="94" spans="1:18" s="861" customFormat="1" ht="35.1" customHeight="1">
      <c r="A94" s="2148" t="str">
        <f>VLOOKUP(ROW()-ROW($A$5),TongHopKL!A:B,2,0)</f>
        <v>SL75-2200</v>
      </c>
      <c r="B94" s="1725">
        <f>SUM($O$6:O94)</f>
        <v>89</v>
      </c>
      <c r="C94" s="1726" t="str">
        <f>(VLOOKUP(A94,TongHopKL!B:F,5,0))</f>
        <v>Sắt góc L75 x75 x8 x2200</v>
      </c>
      <c r="D94" s="1727" t="str">
        <f>IFERROR(VLOOKUP(A94,DG!A:D,4,0),0)</f>
        <v>cái</v>
      </c>
      <c r="E94" s="1728">
        <f>SUMIF(TongHopKL!B:B,'NT-VT'!A94,TongHopKL!H:H)</f>
        <v>5</v>
      </c>
      <c r="F94" s="1725" t="str">
        <f>IFERROR(VLOOKUP(A94,Solieu!G:M,2,0),"")</f>
        <v>nt</v>
      </c>
      <c r="G94" s="1725" t="str">
        <f>IFERROR(VLOOKUP(A94,Solieu!G:M,3,0),"")</f>
        <v>nt</v>
      </c>
      <c r="H94" s="1725"/>
      <c r="I94" s="1729"/>
      <c r="J94" s="1730" t="str">
        <f>IFERROR(VLOOKUP(A94,Solieu!G:M,4,0),"")</f>
        <v>nt</v>
      </c>
      <c r="K94" s="1731" t="str">
        <f>IFERROR(VLOOKUP(A94,Solieu!G:M,5,0),"")</f>
        <v>nt</v>
      </c>
      <c r="L94" s="1932">
        <f>IFERROR(VLOOKUP(A94,Solieu!G:M,6,0),"")</f>
        <v>0</v>
      </c>
      <c r="M94" s="1729" t="str">
        <f>IFERROR(VLOOKUP(A94,Solieu!G:M,7,0),"")</f>
        <v/>
      </c>
      <c r="N94" s="1265" t="s">
        <v>4214</v>
      </c>
      <c r="O94" s="1475">
        <f t="shared" si="1"/>
        <v>1</v>
      </c>
      <c r="P94" s="1261"/>
      <c r="Q94" s="1473"/>
      <c r="R94" s="1477"/>
    </row>
    <row r="95" spans="1:18" s="861" customFormat="1" ht="35.1" customHeight="1">
      <c r="A95" s="2148" t="str">
        <f>VLOOKUP(ROW()-ROW($A$5),TongHopKL!A:B,2,0)</f>
        <v>sl75-2400</v>
      </c>
      <c r="B95" s="1725">
        <f>SUM($O$6:O95)</f>
        <v>90</v>
      </c>
      <c r="C95" s="1726" t="str">
        <f>(VLOOKUP(A95,TongHopKL!B:F,5,0))</f>
        <v>Sắt góc L75 x75 x8 x2400</v>
      </c>
      <c r="D95" s="1727" t="str">
        <f>IFERROR(VLOOKUP(A95,DG!A:D,4,0),0)</f>
        <v>cái</v>
      </c>
      <c r="E95" s="2149">
        <f>SUMIF(TongHopKL!B:B,'NT-VT'!A95,TongHopKL!H:H)</f>
        <v>2</v>
      </c>
      <c r="F95" s="1725" t="str">
        <f>IFERROR(VLOOKUP(A95,Solieu!G:M,2,0),"")</f>
        <v>nt</v>
      </c>
      <c r="G95" s="1725" t="str">
        <f>IFERROR(VLOOKUP(A95,Solieu!G:M,3,0),"")</f>
        <v>nt</v>
      </c>
      <c r="H95" s="1725"/>
      <c r="I95" s="1729"/>
      <c r="J95" s="1730" t="str">
        <f>IFERROR(VLOOKUP(A95,Solieu!G:M,4,0),"")</f>
        <v>nt</v>
      </c>
      <c r="K95" s="1731" t="str">
        <f>IFERROR(VLOOKUP(A95,Solieu!G:M,5,0),"")</f>
        <v>nt</v>
      </c>
      <c r="L95" s="1932">
        <f>IFERROR(VLOOKUP(A95,Solieu!G:M,6,0),"")</f>
        <v>0</v>
      </c>
      <c r="M95" s="1729" t="str">
        <f>IFERROR(VLOOKUP(A95,Solieu!G:M,7,0),"")</f>
        <v/>
      </c>
      <c r="N95" s="1265" t="s">
        <v>4214</v>
      </c>
      <c r="O95" s="1475">
        <f t="shared" si="1"/>
        <v>1</v>
      </c>
      <c r="P95" s="1261"/>
      <c r="Q95" s="1473"/>
      <c r="R95" s="1477"/>
    </row>
    <row r="96" spans="1:18" s="861" customFormat="1" ht="35.1" customHeight="1">
      <c r="A96" s="2148" t="str">
        <f>VLOOKUP(ROW()-ROW($A$5),TongHopKL!A:B,2,0)</f>
        <v>SN</v>
      </c>
      <c r="B96" s="1725">
        <f>SUM($O$6:O96)</f>
        <v>91</v>
      </c>
      <c r="C96" s="1726" t="str">
        <f>(VLOOKUP(A96,TongHopKL!B:F,5,0))</f>
        <v>Sứ chằng</v>
      </c>
      <c r="D96" s="1727" t="str">
        <f>IFERROR(VLOOKUP(A96,DG!A:D,4,0),0)</f>
        <v>cái</v>
      </c>
      <c r="E96" s="2284">
        <f>SUMIF(TongHopKL!B:B,'NT-VT'!A96,TongHopKL!H:H)</f>
        <v>1</v>
      </c>
      <c r="F96" s="1725" t="str">
        <f>IFERROR(VLOOKUP(A96,Solieu!G:M,2,0),"")</f>
        <v>nt</v>
      </c>
      <c r="G96" s="1725" t="str">
        <f>IFERROR(VLOOKUP(A96,Solieu!G:M,3,0),"")</f>
        <v>nt</v>
      </c>
      <c r="H96" s="1725"/>
      <c r="I96" s="1729"/>
      <c r="J96" s="1730" t="str">
        <f>IFERROR(VLOOKUP(A96,Solieu!G:M,4,0),"")</f>
        <v>nt</v>
      </c>
      <c r="K96" s="1731" t="str">
        <f>IFERROR(VLOOKUP(A96,Solieu!G:M,5,0),"")</f>
        <v>nt</v>
      </c>
      <c r="L96" s="1932">
        <f>IFERROR(VLOOKUP(A96,Solieu!G:M,6,0),"")</f>
        <v>0</v>
      </c>
      <c r="M96" s="1729" t="str">
        <f>IFERROR(VLOOKUP(A96,Solieu!G:M,7,0),"")</f>
        <v/>
      </c>
      <c r="N96" s="1265" t="s">
        <v>4214</v>
      </c>
      <c r="O96" s="1475">
        <f t="shared" si="1"/>
        <v>1</v>
      </c>
      <c r="P96" s="1261"/>
      <c r="Q96" s="1473"/>
      <c r="R96" s="1477"/>
    </row>
    <row r="97" spans="1:18" s="861" customFormat="1" ht="35.1" customHeight="1">
      <c r="A97" s="2148" t="str">
        <f>VLOOKUP(ROW()-ROW($A$5),TongHopKL!A:B,2,0)</f>
        <v>SO10</v>
      </c>
      <c r="B97" s="1725">
        <f>SUM($O$6:O97)</f>
        <v>92</v>
      </c>
      <c r="C97" s="1726" t="str">
        <f>(VLOOKUP(A97,TongHopKL!B:F,5,0))</f>
        <v>Sắt Ø10</v>
      </c>
      <c r="D97" s="1727" t="str">
        <f>IFERROR(VLOOKUP(A97,DG!A:D,4,0),0)</f>
        <v>kg</v>
      </c>
      <c r="E97" s="2323">
        <f>SUMIF(TongHopKL!B:B,'NT-VT'!A97,TongHopKL!H:H)</f>
        <v>1.1434800000000003</v>
      </c>
      <c r="F97" s="1725" t="str">
        <f>IFERROR(VLOOKUP(A97,Solieu!G:M,2,0),"")</f>
        <v>nt</v>
      </c>
      <c r="G97" s="1725" t="str">
        <f>IFERROR(VLOOKUP(A97,Solieu!G:M,3,0),"")</f>
        <v>nt</v>
      </c>
      <c r="H97" s="1725"/>
      <c r="I97" s="1729"/>
      <c r="J97" s="1730" t="str">
        <f>IFERROR(VLOOKUP(A97,Solieu!G:M,4,0),"")</f>
        <v>nt</v>
      </c>
      <c r="K97" s="1731" t="str">
        <f>IFERROR(VLOOKUP(A97,Solieu!G:M,5,0),"")</f>
        <v>nt</v>
      </c>
      <c r="L97" s="1932">
        <f>IFERROR(VLOOKUP(A97,Solieu!G:M,6,0),"")</f>
        <v>0</v>
      </c>
      <c r="M97" s="1729" t="str">
        <f>IFERROR(VLOOKUP(A97,Solieu!G:M,7,0),"")</f>
        <v/>
      </c>
      <c r="N97" s="1265" t="s">
        <v>4214</v>
      </c>
      <c r="O97" s="1475">
        <f t="shared" si="1"/>
        <v>1</v>
      </c>
      <c r="P97" s="1261"/>
      <c r="Q97" s="1473"/>
      <c r="R97" s="1477"/>
    </row>
    <row r="98" spans="1:18" s="861" customFormat="1" ht="35.1" customHeight="1">
      <c r="A98" s="2148" t="str">
        <f>VLOOKUP(ROW()-ROW($A$5),TongHopKL!A:B,2,0)</f>
        <v>so8</v>
      </c>
      <c r="B98" s="1725">
        <f>SUM($O$6:O98)</f>
        <v>93</v>
      </c>
      <c r="C98" s="1726" t="str">
        <f>(VLOOKUP(A98,TongHopKL!B:F,5,0))</f>
        <v>Sắt Ø8</v>
      </c>
      <c r="D98" s="1727" t="str">
        <f>IFERROR(VLOOKUP(A98,DG!A:D,4,0),0)</f>
        <v>kg</v>
      </c>
      <c r="E98" s="2323">
        <f>SUMIF(TongHopKL!B:B,'NT-VT'!A98,TongHopKL!H:H)</f>
        <v>16</v>
      </c>
      <c r="F98" s="1725" t="str">
        <f>IFERROR(VLOOKUP(A98,Solieu!G:M,2,0),"")</f>
        <v>nt</v>
      </c>
      <c r="G98" s="1725" t="str">
        <f>IFERROR(VLOOKUP(A98,Solieu!G:M,3,0),"")</f>
        <v>nt</v>
      </c>
      <c r="H98" s="1725"/>
      <c r="I98" s="1729"/>
      <c r="J98" s="1730" t="str">
        <f>IFERROR(VLOOKUP(A98,Solieu!G:M,4,0),"")</f>
        <v>nt</v>
      </c>
      <c r="K98" s="1731" t="str">
        <f>IFERROR(VLOOKUP(A98,Solieu!G:M,5,0),"")</f>
        <v>nt</v>
      </c>
      <c r="L98" s="1932">
        <f>IFERROR(VLOOKUP(A98,Solieu!G:M,6,0),"")</f>
        <v>0</v>
      </c>
      <c r="M98" s="1729" t="str">
        <f>IFERROR(VLOOKUP(A98,Solieu!G:M,7,0),"")</f>
        <v/>
      </c>
      <c r="N98" s="1265" t="s">
        <v>4214</v>
      </c>
      <c r="O98" s="1475">
        <f t="shared" si="1"/>
        <v>1</v>
      </c>
      <c r="P98" s="1261"/>
      <c r="Q98" s="1473"/>
      <c r="R98" s="1477"/>
    </row>
    <row r="99" spans="1:18" s="861" customFormat="1" ht="35.1" customHeight="1">
      <c r="A99" s="2148" t="str">
        <f>VLOOKUP(ROW()-ROW($A$5),TongHopKL!A:B,2,0)</f>
        <v>TN2224</v>
      </c>
      <c r="B99" s="1725">
        <f>SUM($O$6:O99)</f>
        <v>94</v>
      </c>
      <c r="C99" s="1726" t="str">
        <f>(VLOOKUP(A99,TongHopKL!B:F,5,0))</f>
        <v>Ty neo Ø22x2400</v>
      </c>
      <c r="D99" s="1727" t="str">
        <f>IFERROR(VLOOKUP(A99,DG!A:D,4,0),0)</f>
        <v>cái</v>
      </c>
      <c r="E99" s="2284">
        <f>SUMIF(TongHopKL!B:B,'NT-VT'!A99,TongHopKL!H:H)</f>
        <v>1</v>
      </c>
      <c r="F99" s="1725" t="str">
        <f>IFERROR(VLOOKUP(A99,Solieu!G:M,2,0),"")</f>
        <v>nt</v>
      </c>
      <c r="G99" s="1725" t="str">
        <f>IFERROR(VLOOKUP(A99,Solieu!G:M,3,0),"")</f>
        <v>nt</v>
      </c>
      <c r="H99" s="1725"/>
      <c r="I99" s="1729"/>
      <c r="J99" s="1730" t="str">
        <f>IFERROR(VLOOKUP(A99,Solieu!G:M,4,0),"")</f>
        <v>nt</v>
      </c>
      <c r="K99" s="1731" t="str">
        <f>IFERROR(VLOOKUP(A99,Solieu!G:M,5,0),"")</f>
        <v>nt</v>
      </c>
      <c r="L99" s="1932">
        <f>IFERROR(VLOOKUP(A99,Solieu!G:M,6,0),"")</f>
        <v>0</v>
      </c>
      <c r="M99" s="1729" t="str">
        <f>IFERROR(VLOOKUP(A99,Solieu!G:M,7,0),"")</f>
        <v/>
      </c>
      <c r="N99" s="1265" t="s">
        <v>4214</v>
      </c>
      <c r="O99" s="1475">
        <f t="shared" si="1"/>
        <v>1</v>
      </c>
      <c r="P99" s="1261"/>
      <c r="Q99" s="1473"/>
      <c r="R99" s="1477"/>
    </row>
    <row r="100" spans="1:18" s="861" customFormat="1" ht="35.1" customHeight="1">
      <c r="A100" s="2148" t="str">
        <f>VLOOKUP(ROW()-ROW($A$5),TongHopKL!A:B,2,0)</f>
        <v>TUDKDT</v>
      </c>
      <c r="B100" s="1725">
        <f>SUM($O$6:O100)</f>
        <v>95</v>
      </c>
      <c r="C100" s="1726" t="str">
        <f>(VLOOKUP(A100,TongHopKL!B:F,5,0))</f>
        <v>Thùng điện kế 450x300x200mm đo đếm trung thế</v>
      </c>
      <c r="D100" s="1727" t="str">
        <f>IFERROR(VLOOKUP(A100,DG!A:D,4,0),0)</f>
        <v>cái</v>
      </c>
      <c r="E100" s="1728">
        <f>SUMIF(TongHopKL!B:B,'NT-VT'!A100,TongHopKL!H:H)</f>
        <v>1</v>
      </c>
      <c r="F100" s="1725" t="str">
        <f>IFERROR(VLOOKUP(A100,Solieu!G:M,2,0),"")</f>
        <v>nt</v>
      </c>
      <c r="G100" s="1725" t="str">
        <f>IFERROR(VLOOKUP(A100,Solieu!G:M,3,0),"")</f>
        <v>nt</v>
      </c>
      <c r="H100" s="1725"/>
      <c r="I100" s="1729"/>
      <c r="J100" s="1730" t="str">
        <f>IFERROR(VLOOKUP(A100,Solieu!G:M,4,0),"")</f>
        <v>nt</v>
      </c>
      <c r="K100" s="1731" t="str">
        <f>IFERROR(VLOOKUP(A100,Solieu!G:M,5,0),"")</f>
        <v>nt</v>
      </c>
      <c r="L100" s="1932">
        <f>IFERROR(VLOOKUP(A100,Solieu!G:M,6,0),"")</f>
        <v>0</v>
      </c>
      <c r="M100" s="1729" t="str">
        <f>IFERROR(VLOOKUP(A100,Solieu!G:M,7,0),"")</f>
        <v/>
      </c>
      <c r="N100" s="1265" t="s">
        <v>4214</v>
      </c>
      <c r="O100" s="1475">
        <f t="shared" si="1"/>
        <v>1</v>
      </c>
      <c r="P100" s="1261"/>
      <c r="Q100" s="1473"/>
      <c r="R100" s="1477"/>
    </row>
    <row r="101" spans="1:18" s="861" customFormat="1" ht="35.1" customHeight="1">
      <c r="A101" s="2148" t="str">
        <f>VLOOKUP(ROW()-ROW($A$5),TongHopKL!A:B,2,0)</f>
        <v>xAtuti</v>
      </c>
      <c r="B101" s="1725">
        <f>SUM($O$6:O101)</f>
        <v>96</v>
      </c>
      <c r="C101" s="1726" t="str">
        <f>(VLOOKUP(A101,TongHopKL!B:F,5,0))</f>
        <v>Xà kẹp TU, TI U50x32x4 350</v>
      </c>
      <c r="D101" s="1727" t="str">
        <f>IFERROR(VLOOKUP(A101,DG!A:D,4,0),0)</f>
        <v>Bộ</v>
      </c>
      <c r="E101" s="1728">
        <f>SUMIF(TongHopKL!B:B,'NT-VT'!A101,TongHopKL!H:H)</f>
        <v>24</v>
      </c>
      <c r="F101" s="1725" t="str">
        <f>IFERROR(VLOOKUP(A101,Solieu!G:M,2,0),"")</f>
        <v>nt</v>
      </c>
      <c r="G101" s="1725" t="str">
        <f>IFERROR(VLOOKUP(A101,Solieu!G:M,3,0),"")</f>
        <v>nt</v>
      </c>
      <c r="H101" s="1725"/>
      <c r="I101" s="1729"/>
      <c r="J101" s="1730" t="str">
        <f>IFERROR(VLOOKUP(A101,Solieu!G:M,4,0),"")</f>
        <v>nt</v>
      </c>
      <c r="K101" s="1731" t="str">
        <f>IFERROR(VLOOKUP(A101,Solieu!G:M,5,0),"")</f>
        <v>nt</v>
      </c>
      <c r="L101" s="1932">
        <f>IFERROR(VLOOKUP(A101,Solieu!G:M,6,0),"")</f>
        <v>0</v>
      </c>
      <c r="M101" s="1729" t="str">
        <f>IFERROR(VLOOKUP(A101,Solieu!G:M,7,0),"")</f>
        <v/>
      </c>
      <c r="N101" s="1265" t="s">
        <v>4214</v>
      </c>
      <c r="O101" s="1475">
        <f t="shared" si="1"/>
        <v>1</v>
      </c>
      <c r="P101" s="1261"/>
      <c r="Q101" s="1473"/>
      <c r="R101" s="1477"/>
    </row>
    <row r="102" spans="1:18" s="861" customFormat="1" ht="35.1" customHeight="1">
      <c r="A102" s="2148" t="str">
        <f>VLOOKUP(ROW()-ROW($A$5),TongHopKL!A:B,2,0)</f>
        <v>YC</v>
      </c>
      <c r="B102" s="1725">
        <f>SUM($O$6:O102)</f>
        <v>97</v>
      </c>
      <c r="C102" s="1726" t="str">
        <f>(VLOOKUP(A102,TongHopKL!B:F,5,0))</f>
        <v>Yếm cáp dày 2mm</v>
      </c>
      <c r="D102" s="1727" t="str">
        <f>IFERROR(VLOOKUP(A102,DG!A:D,4,0),0)</f>
        <v>cái</v>
      </c>
      <c r="E102" s="1728">
        <f>SUMIF(TongHopKL!B:B,'NT-VT'!A102,TongHopKL!H:H)</f>
        <v>2</v>
      </c>
      <c r="F102" s="1725" t="str">
        <f>IFERROR(VLOOKUP(A102,Solieu!G:M,2,0),"")</f>
        <v>nt</v>
      </c>
      <c r="G102" s="1725" t="str">
        <f>IFERROR(VLOOKUP(A102,Solieu!G:M,3,0),"")</f>
        <v>nt</v>
      </c>
      <c r="H102" s="1725"/>
      <c r="I102" s="1729"/>
      <c r="J102" s="1730" t="str">
        <f>IFERROR(VLOOKUP(A102,Solieu!G:M,4,0),"")</f>
        <v>nt</v>
      </c>
      <c r="K102" s="1731" t="str">
        <f>IFERROR(VLOOKUP(A102,Solieu!G:M,5,0),"")</f>
        <v>nt</v>
      </c>
      <c r="L102" s="1932">
        <f>IFERROR(VLOOKUP(A102,Solieu!G:M,6,0),"")</f>
        <v>0</v>
      </c>
      <c r="M102" s="1729" t="str">
        <f>IFERROR(VLOOKUP(A102,Solieu!G:M,7,0),"")</f>
        <v/>
      </c>
      <c r="N102" s="1265" t="s">
        <v>4214</v>
      </c>
      <c r="O102" s="1475">
        <f t="shared" si="1"/>
        <v>1</v>
      </c>
      <c r="P102" s="1261"/>
      <c r="Q102" s="1473"/>
      <c r="R102" s="1477"/>
    </row>
    <row r="103" spans="1:18" s="861" customFormat="1" ht="35.1" customHeight="1">
      <c r="A103" s="2148" t="str">
        <f>VLOOKUP(ROW()-ROW($A$5),TongHopKL!A:B,2,0)</f>
        <v>XM</v>
      </c>
      <c r="B103" s="1725">
        <f>SUM($O$6:O103)</f>
        <v>98</v>
      </c>
      <c r="C103" s="1726" t="str">
        <f>(VLOOKUP(A103,TongHopKL!B:F,5,0))</f>
        <v>Ximăng (PC40)</v>
      </c>
      <c r="D103" s="1727" t="str">
        <f>IFERROR(VLOOKUP(A103,DG!A:D,4,0),0)</f>
        <v>kg</v>
      </c>
      <c r="E103" s="1728">
        <f>SUMIF(TongHopKL!B:B,'NT-VT'!A103,TongHopKL!H:H)</f>
        <v>504</v>
      </c>
      <c r="F103" s="1725" t="str">
        <f>IFERROR(VLOOKUP(A103,Solieu!G:M,2,0),"")</f>
        <v>Địa phương</v>
      </c>
      <c r="G103" s="1725" t="str">
        <f>IFERROR(VLOOKUP(A103,Solieu!G:M,3,0),"")</f>
        <v>Địa phương</v>
      </c>
      <c r="H103" s="1725"/>
      <c r="I103" s="1729"/>
      <c r="J103" s="1730" t="str">
        <f>IFERROR(VLOOKUP(A103,Solieu!G:M,4,0),"")</f>
        <v xml:space="preserve"> </v>
      </c>
      <c r="K103" s="1731" t="str">
        <f>IFERROR(VLOOKUP(A103,Solieu!G:M,5,0),"")</f>
        <v xml:space="preserve"> </v>
      </c>
      <c r="L103" s="1932">
        <f>IFERROR(VLOOKUP(A103,Solieu!G:M,6,0),"")</f>
        <v>0</v>
      </c>
      <c r="M103" s="1729" t="str">
        <f>IFERROR(VLOOKUP(A103,Solieu!G:M,7,0),"")</f>
        <v xml:space="preserve"> </v>
      </c>
      <c r="N103" s="1265" t="s">
        <v>4214</v>
      </c>
      <c r="O103" s="1475">
        <f t="shared" si="1"/>
        <v>1</v>
      </c>
      <c r="P103" s="1261"/>
      <c r="Q103" s="1473"/>
      <c r="R103" s="1477"/>
    </row>
    <row r="104" spans="1:18" s="861" customFormat="1" ht="35.1" customHeight="1">
      <c r="A104" s="2148" t="str">
        <f>VLOOKUP(ROW()-ROW($A$5),TongHopKL!A:B,2,0)</f>
        <v>Cat</v>
      </c>
      <c r="B104" s="1725">
        <f>SUM($O$6:O104)</f>
        <v>99</v>
      </c>
      <c r="C104" s="1726" t="str">
        <f>(VLOOKUP(A104,TongHopKL!B:F,5,0))</f>
        <v>Cát vàng</v>
      </c>
      <c r="D104" s="1727" t="str">
        <f>IFERROR(VLOOKUP(A104,DG!A:D,4,0),0)</f>
        <v>m3</v>
      </c>
      <c r="E104" s="1728">
        <f>SUMIF(TongHopKL!B:B,'NT-VT'!A104,TongHopKL!H:H)</f>
        <v>0.80900000000000005</v>
      </c>
      <c r="F104" s="1725" t="str">
        <f>IFERROR(VLOOKUP(A104,Solieu!G:M,2,0),"")</f>
        <v>nt</v>
      </c>
      <c r="G104" s="1725" t="str">
        <f>IFERROR(VLOOKUP(A104,Solieu!G:M,3,0),"")</f>
        <v>nt</v>
      </c>
      <c r="H104" s="1725"/>
      <c r="I104" s="1729"/>
      <c r="J104" s="1730" t="str">
        <f>IFERROR(VLOOKUP(A104,Solieu!G:M,4,0),"")</f>
        <v xml:space="preserve"> </v>
      </c>
      <c r="K104" s="1731" t="str">
        <f>IFERROR(VLOOKUP(A104,Solieu!G:M,5,0),"")</f>
        <v xml:space="preserve"> </v>
      </c>
      <c r="L104" s="1932">
        <f>IFERROR(VLOOKUP(A104,Solieu!G:M,6,0),"")</f>
        <v>0</v>
      </c>
      <c r="M104" s="1729" t="str">
        <f>IFERROR(VLOOKUP(A104,Solieu!G:M,7,0),"")</f>
        <v xml:space="preserve"> </v>
      </c>
      <c r="N104" s="1265" t="s">
        <v>4214</v>
      </c>
      <c r="O104" s="1475">
        <f t="shared" si="1"/>
        <v>1</v>
      </c>
      <c r="P104" s="1261"/>
      <c r="Q104" s="1473"/>
      <c r="R104" s="1477"/>
    </row>
    <row r="105" spans="1:18" s="861" customFormat="1" ht="35.1" customHeight="1">
      <c r="A105" s="2148" t="str">
        <f>VLOOKUP(ROW()-ROW($A$5),TongHopKL!A:B,2,0)</f>
        <v>D1X2</v>
      </c>
      <c r="B105" s="1725">
        <f>SUM($O$6:O105)</f>
        <v>100</v>
      </c>
      <c r="C105" s="1726" t="str">
        <f>(VLOOKUP(A105,TongHopKL!B:F,5,0))</f>
        <v>Đá 1x2</v>
      </c>
      <c r="D105" s="1727" t="str">
        <f>IFERROR(VLOOKUP(A105,DG!A:D,4,0),0)</f>
        <v>m3</v>
      </c>
      <c r="E105" s="1728">
        <f>SUMIF(TongHopKL!B:B,'NT-VT'!A105,TongHopKL!H:H)</f>
        <v>1.5009999999999999</v>
      </c>
      <c r="F105" s="1725" t="str">
        <f>IFERROR(VLOOKUP(A105,Solieu!G:M,2,0),"")</f>
        <v>nt</v>
      </c>
      <c r="G105" s="1725" t="str">
        <f>IFERROR(VLOOKUP(A105,Solieu!G:M,3,0),"")</f>
        <v>nt</v>
      </c>
      <c r="H105" s="1725"/>
      <c r="I105" s="1729"/>
      <c r="J105" s="1730" t="str">
        <f>IFERROR(VLOOKUP(A105,Solieu!G:M,4,0),"")</f>
        <v xml:space="preserve"> </v>
      </c>
      <c r="K105" s="1731" t="str">
        <f>IFERROR(VLOOKUP(A105,Solieu!G:M,5,0),"")</f>
        <v xml:space="preserve"> </v>
      </c>
      <c r="L105" s="1932">
        <f>IFERROR(VLOOKUP(A105,Solieu!G:M,6,0),"")</f>
        <v>0</v>
      </c>
      <c r="M105" s="1729" t="str">
        <f>IFERROR(VLOOKUP(A105,Solieu!G:M,7,0),"")</f>
        <v xml:space="preserve"> </v>
      </c>
      <c r="N105" s="1265" t="s">
        <v>4214</v>
      </c>
      <c r="O105" s="1475">
        <f t="shared" si="1"/>
        <v>1</v>
      </c>
      <c r="P105" s="1261"/>
      <c r="Q105" s="1473"/>
      <c r="R105" s="1477"/>
    </row>
    <row r="106" spans="1:18" s="861" customFormat="1" ht="35.1" hidden="1" customHeight="1">
      <c r="A106" s="2148" t="e">
        <f>VLOOKUP(ROW()-ROW($A$5),TongHopKL!A:B,2,0)</f>
        <v>#N/A</v>
      </c>
      <c r="B106" s="1725">
        <f>SUM($O$6:O106)</f>
        <v>100</v>
      </c>
      <c r="C106" s="1726" t="e">
        <f>(VLOOKUP(A106,TongHopKL!B:F,5,0))</f>
        <v>#N/A</v>
      </c>
      <c r="D106" s="1727">
        <f>IFERROR(VLOOKUP(A106,DG!A:D,4,0),0)</f>
        <v>0</v>
      </c>
      <c r="E106" s="1728">
        <f>SUMIF(TongHopKL!B:B,'NT-VT'!A106,TongHopKL!H:H)</f>
        <v>0</v>
      </c>
      <c r="F106" s="1725" t="str">
        <f>IFERROR(VLOOKUP(A106,Solieu!G:M,2,0),"")</f>
        <v/>
      </c>
      <c r="G106" s="1725" t="str">
        <f>IFERROR(VLOOKUP(A106,Solieu!G:M,3,0),"")</f>
        <v/>
      </c>
      <c r="H106" s="1725"/>
      <c r="I106" s="1729"/>
      <c r="J106" s="1730" t="str">
        <f>IFERROR(VLOOKUP(A106,Solieu!G:M,4,0),"")</f>
        <v/>
      </c>
      <c r="K106" s="1731" t="str">
        <f>IFERROR(VLOOKUP(A106,Solieu!G:M,5,0),"")</f>
        <v/>
      </c>
      <c r="L106" s="1932" t="str">
        <f>IFERROR(VLOOKUP(A106,Solieu!G:M,6,0),"")</f>
        <v/>
      </c>
      <c r="M106" s="1729" t="str">
        <f>IFERROR(VLOOKUP(A106,Solieu!G:M,7,0),"")</f>
        <v/>
      </c>
      <c r="N106" s="1265" t="s">
        <v>4214</v>
      </c>
      <c r="O106" s="1475" t="str">
        <f t="shared" si="1"/>
        <v/>
      </c>
      <c r="P106" s="1261"/>
      <c r="Q106" s="1473"/>
      <c r="R106" s="1477"/>
    </row>
    <row r="107" spans="1:18" s="861" customFormat="1" ht="35.1" hidden="1" customHeight="1">
      <c r="A107" s="2148" t="e">
        <f>VLOOKUP(ROW()-ROW($A$5),TongHopKL!A:B,2,0)</f>
        <v>#N/A</v>
      </c>
      <c r="B107" s="1725">
        <f>SUM($O$6:O107)</f>
        <v>100</v>
      </c>
      <c r="C107" s="1726" t="e">
        <f>(VLOOKUP(A107,DG!A:C,3,0))</f>
        <v>#N/A</v>
      </c>
      <c r="D107" s="1727">
        <f>IFERROR(VLOOKUP(A107,DG!A:D,4,0),0)</f>
        <v>0</v>
      </c>
      <c r="E107" s="1728">
        <f>SUMIF(TongHopKL!B:B,'NT-VT'!A107,TongHopKL!H:H)</f>
        <v>0</v>
      </c>
      <c r="F107" s="1725" t="str">
        <f>IFERROR(VLOOKUP(A107,Solieu!G:M,2,0),"")</f>
        <v/>
      </c>
      <c r="G107" s="1725" t="str">
        <f>IFERROR(VLOOKUP(A107,Solieu!G:M,3,0),"")</f>
        <v/>
      </c>
      <c r="H107" s="1725"/>
      <c r="I107" s="1729"/>
      <c r="J107" s="1730" t="str">
        <f>IFERROR(VLOOKUP(A107,Solieu!G:M,4,0),"")</f>
        <v/>
      </c>
      <c r="K107" s="1731" t="str">
        <f>IFERROR(VLOOKUP(A107,Solieu!G:M,5,0),"")</f>
        <v/>
      </c>
      <c r="L107" s="1932" t="str">
        <f>IFERROR(VLOOKUP(A107,Solieu!G:M,6,0),"")</f>
        <v/>
      </c>
      <c r="M107" s="1729" t="str">
        <f>IFERROR(VLOOKUP(A107,Solieu!G:M,7,0),"")</f>
        <v/>
      </c>
      <c r="N107" s="1265" t="s">
        <v>4214</v>
      </c>
      <c r="O107" s="1475" t="str">
        <f t="shared" si="1"/>
        <v/>
      </c>
      <c r="P107" s="1261"/>
      <c r="Q107" s="1473"/>
      <c r="R107" s="1477"/>
    </row>
    <row r="108" spans="1:18" s="861" customFormat="1" ht="35.1" hidden="1" customHeight="1">
      <c r="A108" s="2148" t="e">
        <f>VLOOKUP(ROW()-ROW($A$5),TongHopKL!A:B,2,0)</f>
        <v>#N/A</v>
      </c>
      <c r="B108" s="1725">
        <f>SUM($O$6:O108)</f>
        <v>100</v>
      </c>
      <c r="C108" s="1726" t="e">
        <f>(VLOOKUP(A108,DG!A:C,3,0))</f>
        <v>#N/A</v>
      </c>
      <c r="D108" s="1727">
        <f>IFERROR(VLOOKUP(A108,DG!A:D,4,0),0)</f>
        <v>0</v>
      </c>
      <c r="E108" s="1728">
        <f>SUMIF(TongHopKL!B:B,'NT-VT'!A108,TongHopKL!H:H)</f>
        <v>0</v>
      </c>
      <c r="F108" s="1725" t="str">
        <f>IFERROR(VLOOKUP(A108,Solieu!G:M,2,0),"")</f>
        <v/>
      </c>
      <c r="G108" s="1725" t="str">
        <f>IFERROR(VLOOKUP(A108,Solieu!G:M,3,0),"")</f>
        <v/>
      </c>
      <c r="H108" s="1725"/>
      <c r="I108" s="1729"/>
      <c r="J108" s="1730" t="str">
        <f>IFERROR(VLOOKUP(A108,Solieu!G:M,4,0),"")</f>
        <v/>
      </c>
      <c r="K108" s="1731" t="str">
        <f>IFERROR(VLOOKUP(A108,Solieu!G:M,5,0),"")</f>
        <v/>
      </c>
      <c r="L108" s="1932" t="str">
        <f>IFERROR(VLOOKUP(A108,Solieu!G:M,6,0),"")</f>
        <v/>
      </c>
      <c r="M108" s="1729" t="str">
        <f>IFERROR(VLOOKUP(A108,Solieu!G:M,7,0),"")</f>
        <v/>
      </c>
      <c r="N108" s="1265" t="s">
        <v>4214</v>
      </c>
      <c r="O108" s="1475" t="str">
        <f t="shared" si="1"/>
        <v/>
      </c>
      <c r="P108" s="1261"/>
      <c r="Q108" s="1473"/>
      <c r="R108" s="1477"/>
    </row>
    <row r="109" spans="1:18" s="861" customFormat="1" ht="35.1" hidden="1" customHeight="1">
      <c r="A109" s="2148" t="e">
        <f>VLOOKUP(ROW()-ROW($A$5),TongHopKL!A:B,2,0)</f>
        <v>#N/A</v>
      </c>
      <c r="B109" s="1725">
        <f>SUM($O$6:O109)</f>
        <v>100</v>
      </c>
      <c r="C109" s="1726" t="e">
        <f>(VLOOKUP(A109,DG!A:C,3,0))</f>
        <v>#N/A</v>
      </c>
      <c r="D109" s="1727">
        <f>IFERROR(VLOOKUP(A109,DG!A:D,4,0),0)</f>
        <v>0</v>
      </c>
      <c r="E109" s="1728">
        <f>SUMIF(TongHopKL!B:B,'NT-VT'!A109,TongHopKL!H:H)</f>
        <v>0</v>
      </c>
      <c r="F109" s="1725" t="str">
        <f>IFERROR(VLOOKUP(A109,Solieu!G:M,2,0),"")</f>
        <v/>
      </c>
      <c r="G109" s="1725" t="str">
        <f>IFERROR(VLOOKUP(A109,Solieu!G:M,3,0),"")</f>
        <v/>
      </c>
      <c r="H109" s="1725"/>
      <c r="I109" s="1729"/>
      <c r="J109" s="1730" t="str">
        <f>IFERROR(VLOOKUP(A109,Solieu!G:M,4,0),"")</f>
        <v/>
      </c>
      <c r="K109" s="1731" t="str">
        <f>IFERROR(VLOOKUP(A109,Solieu!G:M,5,0),"")</f>
        <v/>
      </c>
      <c r="L109" s="1932" t="str">
        <f>IFERROR(VLOOKUP(A109,Solieu!G:M,6,0),"")</f>
        <v/>
      </c>
      <c r="M109" s="1729" t="str">
        <f>IFERROR(VLOOKUP(A109,Solieu!G:M,7,0),"")</f>
        <v/>
      </c>
      <c r="N109" s="1265" t="s">
        <v>4214</v>
      </c>
      <c r="O109" s="1475" t="str">
        <f t="shared" si="1"/>
        <v/>
      </c>
      <c r="P109" s="1261"/>
      <c r="Q109" s="1473"/>
      <c r="R109" s="1477"/>
    </row>
    <row r="110" spans="1:18" s="861" customFormat="1" ht="35.1" hidden="1" customHeight="1">
      <c r="A110" s="2148" t="e">
        <f>VLOOKUP(ROW()-ROW($A$5),TongHopKL!A:B,2,0)</f>
        <v>#N/A</v>
      </c>
      <c r="B110" s="1725">
        <f>SUM($O$6:O110)</f>
        <v>100</v>
      </c>
      <c r="C110" s="1726" t="e">
        <f>(VLOOKUP(A110,DG!A:C,3,0))</f>
        <v>#N/A</v>
      </c>
      <c r="D110" s="1727">
        <f>IFERROR(VLOOKUP(A110,DG!A:D,4,0),0)</f>
        <v>0</v>
      </c>
      <c r="E110" s="1728">
        <f>SUMIF(TongHopKL!B:B,'NT-VT'!A110,TongHopKL!H:H)</f>
        <v>0</v>
      </c>
      <c r="F110" s="1725" t="str">
        <f>IFERROR(VLOOKUP(A110,Solieu!G:M,2,0),"")</f>
        <v/>
      </c>
      <c r="G110" s="1725" t="str">
        <f>IFERROR(VLOOKUP(A110,Solieu!G:M,3,0),"")</f>
        <v/>
      </c>
      <c r="H110" s="1725"/>
      <c r="I110" s="1729"/>
      <c r="J110" s="1730" t="str">
        <f>IFERROR(VLOOKUP(A110,Solieu!G:M,4,0),"")</f>
        <v/>
      </c>
      <c r="K110" s="1731" t="str">
        <f>IFERROR(VLOOKUP(A110,Solieu!G:M,5,0),"")</f>
        <v/>
      </c>
      <c r="L110" s="1932" t="str">
        <f>IFERROR(VLOOKUP(A110,Solieu!G:M,6,0),"")</f>
        <v/>
      </c>
      <c r="M110" s="1729" t="str">
        <f>IFERROR(VLOOKUP(A110,Solieu!G:M,7,0),"")</f>
        <v/>
      </c>
      <c r="N110" s="1265" t="s">
        <v>4214</v>
      </c>
      <c r="O110" s="1475" t="str">
        <f t="shared" si="1"/>
        <v/>
      </c>
      <c r="P110" s="1261"/>
      <c r="Q110" s="1473"/>
      <c r="R110" s="1477"/>
    </row>
    <row r="111" spans="1:18" s="861" customFormat="1" ht="35.1" hidden="1" customHeight="1">
      <c r="A111" s="2148" t="e">
        <f>VLOOKUP(ROW()-ROW($A$5),TongHopKL!A:B,2,0)</f>
        <v>#N/A</v>
      </c>
      <c r="B111" s="1725">
        <f>SUM($O$6:O111)</f>
        <v>100</v>
      </c>
      <c r="C111" s="1726" t="e">
        <f>(VLOOKUP(A111,DG!A:C,3,0))</f>
        <v>#N/A</v>
      </c>
      <c r="D111" s="1727">
        <f>IFERROR(VLOOKUP(A111,DG!A:D,4,0),0)</f>
        <v>0</v>
      </c>
      <c r="E111" s="1728">
        <f>SUMIF(TongHopKL!B:B,'NT-VT'!A111,TongHopKL!H:H)</f>
        <v>0</v>
      </c>
      <c r="F111" s="1725" t="str">
        <f>IFERROR(VLOOKUP(A111,Solieu!G:M,2,0),"")</f>
        <v/>
      </c>
      <c r="G111" s="1725" t="str">
        <f>IFERROR(VLOOKUP(A111,Solieu!G:M,3,0),"")</f>
        <v/>
      </c>
      <c r="H111" s="1725"/>
      <c r="I111" s="1729"/>
      <c r="J111" s="1730" t="str">
        <f>IFERROR(VLOOKUP(A111,Solieu!G:M,4,0),"")</f>
        <v/>
      </c>
      <c r="K111" s="1731" t="str">
        <f>IFERROR(VLOOKUP(A111,Solieu!G:M,5,0),"")</f>
        <v/>
      </c>
      <c r="L111" s="1932" t="str">
        <f>IFERROR(VLOOKUP(A111,Solieu!G:M,6,0),"")</f>
        <v/>
      </c>
      <c r="M111" s="1729" t="str">
        <f>IFERROR(VLOOKUP(A111,Solieu!G:M,7,0),"")</f>
        <v/>
      </c>
      <c r="N111" s="1265" t="s">
        <v>4214</v>
      </c>
      <c r="O111" s="1475" t="str">
        <f t="shared" si="1"/>
        <v/>
      </c>
      <c r="P111" s="1261"/>
      <c r="Q111" s="1473"/>
      <c r="R111" s="1477"/>
    </row>
    <row r="112" spans="1:18" s="861" customFormat="1" ht="35.1" hidden="1" customHeight="1">
      <c r="A112" s="2148" t="e">
        <f>VLOOKUP(ROW()-ROW($A$5),TongHopKL!A:B,2,0)</f>
        <v>#N/A</v>
      </c>
      <c r="B112" s="1725">
        <f>SUM($O$6:O112)</f>
        <v>100</v>
      </c>
      <c r="C112" s="1726" t="e">
        <f>(VLOOKUP(A112,DG!A:C,3,0))</f>
        <v>#N/A</v>
      </c>
      <c r="D112" s="1727">
        <f>IFERROR(VLOOKUP(A112,DG!A:D,4,0),0)</f>
        <v>0</v>
      </c>
      <c r="E112" s="1728">
        <f>SUMIF(TongHopKL!B:B,'NT-VT'!A112,TongHopKL!H:H)</f>
        <v>0</v>
      </c>
      <c r="F112" s="1725" t="str">
        <f>IFERROR(VLOOKUP(A112,Solieu!G:M,2,0),"")</f>
        <v/>
      </c>
      <c r="G112" s="1725" t="str">
        <f>IFERROR(VLOOKUP(A112,Solieu!G:M,3,0),"")</f>
        <v/>
      </c>
      <c r="H112" s="1725"/>
      <c r="I112" s="1729"/>
      <c r="J112" s="1730" t="str">
        <f>IFERROR(VLOOKUP(A112,Solieu!G:M,4,0),"")</f>
        <v/>
      </c>
      <c r="K112" s="1731" t="str">
        <f>IFERROR(VLOOKUP(A112,Solieu!G:M,5,0),"")</f>
        <v/>
      </c>
      <c r="L112" s="1932" t="str">
        <f>IFERROR(VLOOKUP(A112,Solieu!G:M,6,0),"")</f>
        <v/>
      </c>
      <c r="M112" s="1729" t="str">
        <f>IFERROR(VLOOKUP(A112,Solieu!G:M,7,0),"")</f>
        <v/>
      </c>
      <c r="N112" s="1265" t="s">
        <v>4214</v>
      </c>
      <c r="O112" s="1475" t="str">
        <f t="shared" si="1"/>
        <v/>
      </c>
      <c r="P112" s="1261"/>
      <c r="Q112" s="1473"/>
      <c r="R112" s="1477"/>
    </row>
    <row r="113" spans="1:18" s="861" customFormat="1" ht="35.1" hidden="1" customHeight="1">
      <c r="A113" s="2148" t="e">
        <f>VLOOKUP(ROW()-ROW($A$5),TongHopKL!A:B,2,0)</f>
        <v>#N/A</v>
      </c>
      <c r="B113" s="1725">
        <f>SUM($O$6:O113)</f>
        <v>100</v>
      </c>
      <c r="C113" s="1726" t="e">
        <f>(VLOOKUP(A113,DG!A:C,3,0))</f>
        <v>#N/A</v>
      </c>
      <c r="D113" s="1727">
        <f>IFERROR(VLOOKUP(A113,DG!A:D,4,0),0)</f>
        <v>0</v>
      </c>
      <c r="E113" s="1728">
        <f>SUMIF(TongHopKL!B:B,'NT-VT'!A113,TongHopKL!H:H)</f>
        <v>0</v>
      </c>
      <c r="F113" s="1725" t="str">
        <f>IFERROR(VLOOKUP(A113,Solieu!G:M,2,0),"")</f>
        <v/>
      </c>
      <c r="G113" s="1725" t="str">
        <f>IFERROR(VLOOKUP(A113,Solieu!G:M,3,0),"")</f>
        <v/>
      </c>
      <c r="H113" s="1725"/>
      <c r="I113" s="1729"/>
      <c r="J113" s="1730" t="str">
        <f>IFERROR(VLOOKUP(A113,Solieu!G:M,4,0),"")</f>
        <v/>
      </c>
      <c r="K113" s="1731" t="str">
        <f>IFERROR(VLOOKUP(A113,Solieu!G:M,5,0),"")</f>
        <v/>
      </c>
      <c r="L113" s="1932" t="str">
        <f>IFERROR(VLOOKUP(A113,Solieu!G:M,6,0),"")</f>
        <v/>
      </c>
      <c r="M113" s="1729" t="str">
        <f>IFERROR(VLOOKUP(A113,Solieu!G:M,7,0),"")</f>
        <v/>
      </c>
      <c r="N113" s="1265" t="s">
        <v>4214</v>
      </c>
      <c r="O113" s="1475" t="str">
        <f t="shared" si="1"/>
        <v/>
      </c>
      <c r="P113" s="1261"/>
      <c r="Q113" s="1473"/>
      <c r="R113" s="1477"/>
    </row>
    <row r="114" spans="1:18" s="861" customFormat="1" ht="35.1" hidden="1" customHeight="1">
      <c r="A114" s="2148" t="e">
        <f>VLOOKUP(ROW()-ROW($A$5),TongHopKL!A:B,2,0)</f>
        <v>#N/A</v>
      </c>
      <c r="B114" s="1725">
        <f>SUM($O$6:O114)</f>
        <v>100</v>
      </c>
      <c r="C114" s="1726" t="e">
        <f>(VLOOKUP(A114,DG!A:C,3,0))</f>
        <v>#N/A</v>
      </c>
      <c r="D114" s="1727">
        <f>IFERROR(VLOOKUP(A114,DG!A:D,4,0),0)</f>
        <v>0</v>
      </c>
      <c r="E114" s="1728">
        <f>SUMIF(TongHopKL!B:B,'NT-VT'!A114,TongHopKL!H:H)</f>
        <v>0</v>
      </c>
      <c r="F114" s="1725" t="str">
        <f>IFERROR(VLOOKUP(A114,Solieu!G:M,2,0),"")</f>
        <v/>
      </c>
      <c r="G114" s="1725" t="str">
        <f>IFERROR(VLOOKUP(A114,Solieu!G:M,3,0),"")</f>
        <v/>
      </c>
      <c r="H114" s="1725"/>
      <c r="I114" s="1729"/>
      <c r="J114" s="1730" t="str">
        <f>IFERROR(VLOOKUP(A114,Solieu!G:M,4,0),"")</f>
        <v/>
      </c>
      <c r="K114" s="1731" t="str">
        <f>IFERROR(VLOOKUP(A114,Solieu!G:M,5,0),"")</f>
        <v/>
      </c>
      <c r="L114" s="1932" t="str">
        <f>IFERROR(VLOOKUP(A114,Solieu!G:M,6,0),"")</f>
        <v/>
      </c>
      <c r="M114" s="1729" t="str">
        <f>IFERROR(VLOOKUP(A114,Solieu!G:M,7,0),"")</f>
        <v/>
      </c>
      <c r="N114" s="1265" t="s">
        <v>4214</v>
      </c>
      <c r="O114" s="1475" t="str">
        <f t="shared" si="1"/>
        <v/>
      </c>
      <c r="P114" s="1261"/>
      <c r="Q114" s="1473"/>
      <c r="R114" s="1477"/>
    </row>
    <row r="115" spans="1:18" s="861" customFormat="1" ht="35.1" hidden="1" customHeight="1">
      <c r="A115" s="2148" t="e">
        <f>VLOOKUP(ROW()-ROW($A$5),TongHopKL!A:B,2,0)</f>
        <v>#N/A</v>
      </c>
      <c r="B115" s="1725">
        <f>SUM($O$6:O115)</f>
        <v>100</v>
      </c>
      <c r="C115" s="1726" t="e">
        <f>(VLOOKUP(A115,DG!A:C,3,0))</f>
        <v>#N/A</v>
      </c>
      <c r="D115" s="1727">
        <f>IFERROR(VLOOKUP(A115,DG!A:D,4,0),0)</f>
        <v>0</v>
      </c>
      <c r="E115" s="1728">
        <f>SUMIF(TongHopKL!B:B,'NT-VT'!A115,TongHopKL!H:H)</f>
        <v>0</v>
      </c>
      <c r="F115" s="1725" t="str">
        <f>IFERROR(VLOOKUP(A115,Solieu!G:M,2,0),"")</f>
        <v/>
      </c>
      <c r="G115" s="1725" t="str">
        <f>IFERROR(VLOOKUP(A115,Solieu!G:M,3,0),"")</f>
        <v/>
      </c>
      <c r="H115" s="1725"/>
      <c r="I115" s="1729"/>
      <c r="J115" s="1730" t="str">
        <f>IFERROR(VLOOKUP(A115,Solieu!G:M,4,0),"")</f>
        <v/>
      </c>
      <c r="K115" s="1731" t="str">
        <f>IFERROR(VLOOKUP(A115,Solieu!G:M,5,0),"")</f>
        <v/>
      </c>
      <c r="L115" s="1932" t="str">
        <f>IFERROR(VLOOKUP(A115,Solieu!G:M,6,0),"")</f>
        <v/>
      </c>
      <c r="M115" s="1729" t="str">
        <f>IFERROR(VLOOKUP(A115,Solieu!G:M,7,0),"")</f>
        <v/>
      </c>
      <c r="N115" s="1265" t="s">
        <v>4214</v>
      </c>
      <c r="O115" s="1475" t="str">
        <f t="shared" si="1"/>
        <v/>
      </c>
      <c r="P115" s="1261"/>
      <c r="Q115" s="1473"/>
      <c r="R115" s="1477"/>
    </row>
    <row r="116" spans="1:18" s="861" customFormat="1" ht="35.1" hidden="1" customHeight="1">
      <c r="A116" s="2148" t="e">
        <f>VLOOKUP(ROW()-ROW($A$5),TongHopKL!A:B,2,0)</f>
        <v>#N/A</v>
      </c>
      <c r="B116" s="1725">
        <f>SUM($O$6:O116)</f>
        <v>100</v>
      </c>
      <c r="C116" s="1726" t="e">
        <f>(VLOOKUP(A116,DG!A:C,3,0))</f>
        <v>#N/A</v>
      </c>
      <c r="D116" s="1727">
        <f>IFERROR(VLOOKUP(A116,DG!A:D,4,0),0)</f>
        <v>0</v>
      </c>
      <c r="E116" s="1728">
        <f>SUMIF(TongHopKL!B:B,'NT-VT'!A116,TongHopKL!H:H)</f>
        <v>0</v>
      </c>
      <c r="F116" s="1725" t="str">
        <f>IFERROR(VLOOKUP(A116,Solieu!G:M,2,0),"")</f>
        <v/>
      </c>
      <c r="G116" s="1725" t="str">
        <f>IFERROR(VLOOKUP(A116,Solieu!G:M,3,0),"")</f>
        <v/>
      </c>
      <c r="H116" s="1725"/>
      <c r="I116" s="1729"/>
      <c r="J116" s="1730" t="str">
        <f>IFERROR(VLOOKUP(A116,Solieu!G:M,4,0),"")</f>
        <v/>
      </c>
      <c r="K116" s="1731" t="str">
        <f>IFERROR(VLOOKUP(A116,Solieu!G:M,5,0),"")</f>
        <v/>
      </c>
      <c r="L116" s="1932" t="str">
        <f>IFERROR(VLOOKUP(A116,Solieu!G:M,6,0),"")</f>
        <v/>
      </c>
      <c r="M116" s="1729" t="str">
        <f>IFERROR(VLOOKUP(A116,Solieu!G:M,7,0),"")</f>
        <v/>
      </c>
      <c r="N116" s="1265" t="s">
        <v>4214</v>
      </c>
      <c r="O116" s="1475" t="str">
        <f t="shared" si="1"/>
        <v/>
      </c>
      <c r="P116" s="1261"/>
      <c r="Q116" s="1473"/>
      <c r="R116" s="1477"/>
    </row>
    <row r="117" spans="1:18" s="861" customFormat="1" ht="35.1" hidden="1" customHeight="1">
      <c r="A117" s="2148" t="e">
        <f>VLOOKUP(ROW()-ROW($A$5),TongHopKL!A:B,2,0)</f>
        <v>#N/A</v>
      </c>
      <c r="B117" s="1725">
        <f>SUM($O$6:O117)</f>
        <v>100</v>
      </c>
      <c r="C117" s="1726" t="e">
        <f>(VLOOKUP(A117,DG!A:C,3,0))</f>
        <v>#N/A</v>
      </c>
      <c r="D117" s="1727">
        <f>IFERROR(VLOOKUP(A117,DG!A:D,4,0),0)</f>
        <v>0</v>
      </c>
      <c r="E117" s="1728">
        <f>SUMIF(TongHopKL!B:B,'NT-VT'!A117,TongHopKL!H:H)</f>
        <v>0</v>
      </c>
      <c r="F117" s="1725" t="str">
        <f>IFERROR(VLOOKUP(A117,Solieu!G:M,2,0),"")</f>
        <v/>
      </c>
      <c r="G117" s="1725" t="str">
        <f>IFERROR(VLOOKUP(A117,Solieu!G:M,3,0),"")</f>
        <v/>
      </c>
      <c r="H117" s="1725"/>
      <c r="I117" s="1729"/>
      <c r="J117" s="1730" t="str">
        <f>IFERROR(VLOOKUP(A117,Solieu!G:M,4,0),"")</f>
        <v/>
      </c>
      <c r="K117" s="1731" t="str">
        <f>IFERROR(VLOOKUP(A117,Solieu!G:M,5,0),"")</f>
        <v/>
      </c>
      <c r="L117" s="1932" t="str">
        <f>IFERROR(VLOOKUP(A117,Solieu!G:M,6,0),"")</f>
        <v/>
      </c>
      <c r="M117" s="1729" t="str">
        <f>IFERROR(VLOOKUP(A117,Solieu!G:M,7,0),"")</f>
        <v/>
      </c>
      <c r="N117" s="1265" t="s">
        <v>4214</v>
      </c>
      <c r="O117" s="1475" t="str">
        <f t="shared" si="1"/>
        <v/>
      </c>
      <c r="P117" s="1261"/>
      <c r="Q117" s="1473"/>
      <c r="R117" s="1477"/>
    </row>
    <row r="118" spans="1:18" s="861" customFormat="1" ht="35.1" hidden="1" customHeight="1">
      <c r="A118" s="2148" t="e">
        <f>VLOOKUP(ROW()-ROW($A$5),TongHopKL!A:B,2,0)</f>
        <v>#N/A</v>
      </c>
      <c r="B118" s="1725">
        <f>SUM($O$6:O118)</f>
        <v>100</v>
      </c>
      <c r="C118" s="1726" t="e">
        <f>(VLOOKUP(A118,DG!A:C,3,0))</f>
        <v>#N/A</v>
      </c>
      <c r="D118" s="1727">
        <f>IFERROR(VLOOKUP(A118,DG!A:D,4,0),0)</f>
        <v>0</v>
      </c>
      <c r="E118" s="1728">
        <f>SUMIF(TongHopKL!B:B,'NT-VT'!A118,TongHopKL!H:H)</f>
        <v>0</v>
      </c>
      <c r="F118" s="1725" t="str">
        <f>IFERROR(VLOOKUP(A118,Solieu!G:M,2,0),"")</f>
        <v/>
      </c>
      <c r="G118" s="1725" t="str">
        <f>IFERROR(VLOOKUP(A118,Solieu!G:M,3,0),"")</f>
        <v/>
      </c>
      <c r="H118" s="1725"/>
      <c r="I118" s="1729"/>
      <c r="J118" s="1730" t="str">
        <f>IFERROR(VLOOKUP(A118,Solieu!G:M,4,0),"")</f>
        <v/>
      </c>
      <c r="K118" s="1731" t="str">
        <f>IFERROR(VLOOKUP(A118,Solieu!G:M,5,0),"")</f>
        <v/>
      </c>
      <c r="L118" s="1932" t="str">
        <f>IFERROR(VLOOKUP(A118,Solieu!G:M,6,0),"")</f>
        <v/>
      </c>
      <c r="M118" s="1729" t="str">
        <f>IFERROR(VLOOKUP(A118,Solieu!G:M,7,0),"")</f>
        <v/>
      </c>
      <c r="N118" s="1265" t="s">
        <v>4214</v>
      </c>
      <c r="O118" s="1475" t="str">
        <f t="shared" si="1"/>
        <v/>
      </c>
      <c r="P118" s="1261"/>
      <c r="Q118" s="1473"/>
      <c r="R118" s="1477"/>
    </row>
    <row r="119" spans="1:18" s="861" customFormat="1" ht="35.1" hidden="1" customHeight="1">
      <c r="A119" s="2148" t="e">
        <f>VLOOKUP(ROW()-ROW($A$5),TongHopKL!A:B,2,0)</f>
        <v>#N/A</v>
      </c>
      <c r="B119" s="1725">
        <f>SUM($O$6:O119)</f>
        <v>100</v>
      </c>
      <c r="C119" s="1726" t="e">
        <f>(VLOOKUP(A119,DG!A:C,3,0))</f>
        <v>#N/A</v>
      </c>
      <c r="D119" s="1727">
        <f>IFERROR(VLOOKUP(A119,DG!A:D,4,0),0)</f>
        <v>0</v>
      </c>
      <c r="E119" s="1728">
        <f>SUMIF(TongHopKL!B:B,'NT-VT'!A119,TongHopKL!H:H)</f>
        <v>0</v>
      </c>
      <c r="F119" s="1725" t="str">
        <f>IFERROR(VLOOKUP(A119,Solieu!G:M,2,0),"")</f>
        <v/>
      </c>
      <c r="G119" s="1725" t="str">
        <f>IFERROR(VLOOKUP(A119,Solieu!G:M,3,0),"")</f>
        <v/>
      </c>
      <c r="H119" s="1725"/>
      <c r="I119" s="1729"/>
      <c r="J119" s="1730" t="str">
        <f>IFERROR(VLOOKUP(A119,Solieu!G:M,4,0),"")</f>
        <v/>
      </c>
      <c r="K119" s="1731" t="str">
        <f>IFERROR(VLOOKUP(A119,Solieu!G:M,5,0),"")</f>
        <v/>
      </c>
      <c r="L119" s="1932" t="str">
        <f>IFERROR(VLOOKUP(A119,Solieu!G:M,6,0),"")</f>
        <v/>
      </c>
      <c r="M119" s="1729" t="str">
        <f>IFERROR(VLOOKUP(A119,Solieu!G:M,7,0),"")</f>
        <v/>
      </c>
      <c r="N119" s="1265" t="s">
        <v>4214</v>
      </c>
      <c r="O119" s="1475" t="str">
        <f t="shared" si="1"/>
        <v/>
      </c>
      <c r="P119" s="1261"/>
      <c r="Q119" s="1473"/>
      <c r="R119" s="1477"/>
    </row>
    <row r="120" spans="1:18" s="861" customFormat="1" ht="35.1" hidden="1" customHeight="1">
      <c r="A120" s="2148" t="e">
        <f>VLOOKUP(ROW()-ROW($A$5),TongHopKL!A:B,2,0)</f>
        <v>#N/A</v>
      </c>
      <c r="B120" s="1725">
        <f>SUM($O$6:O120)</f>
        <v>100</v>
      </c>
      <c r="C120" s="1726" t="e">
        <f>(VLOOKUP(A120,DG!A:C,3,0))</f>
        <v>#N/A</v>
      </c>
      <c r="D120" s="1727">
        <f>IFERROR(VLOOKUP(A120,DG!A:D,4,0),0)</f>
        <v>0</v>
      </c>
      <c r="E120" s="1728">
        <f>SUMIF(TongHopKL!B:B,'NT-VT'!A120,TongHopKL!H:H)</f>
        <v>0</v>
      </c>
      <c r="F120" s="1725" t="str">
        <f>IFERROR(VLOOKUP(A120,Solieu!G:M,2,0),"")</f>
        <v/>
      </c>
      <c r="G120" s="1725" t="str">
        <f>IFERROR(VLOOKUP(A120,Solieu!G:M,3,0),"")</f>
        <v/>
      </c>
      <c r="H120" s="1725"/>
      <c r="I120" s="1729"/>
      <c r="J120" s="1730" t="str">
        <f>IFERROR(VLOOKUP(A120,Solieu!G:M,4,0),"")</f>
        <v/>
      </c>
      <c r="K120" s="1731" t="str">
        <f>IFERROR(VLOOKUP(A120,Solieu!G:M,5,0),"")</f>
        <v/>
      </c>
      <c r="L120" s="1932" t="str">
        <f>IFERROR(VLOOKUP(A120,Solieu!G:M,6,0),"")</f>
        <v/>
      </c>
      <c r="M120" s="1729" t="str">
        <f>IFERROR(VLOOKUP(A120,Solieu!G:M,7,0),"")</f>
        <v/>
      </c>
      <c r="N120" s="1265" t="s">
        <v>4214</v>
      </c>
      <c r="O120" s="1475" t="str">
        <f t="shared" si="1"/>
        <v/>
      </c>
      <c r="P120" s="1261"/>
      <c r="Q120" s="1473"/>
      <c r="R120" s="1477"/>
    </row>
    <row r="121" spans="1:18" s="861" customFormat="1" ht="35.1" hidden="1" customHeight="1">
      <c r="A121" s="2148" t="e">
        <f>VLOOKUP(ROW()-ROW($A$5),TongHopKL!A:B,2,0)</f>
        <v>#N/A</v>
      </c>
      <c r="B121" s="1725">
        <f>SUM($O$6:O121)</f>
        <v>100</v>
      </c>
      <c r="C121" s="1726" t="e">
        <f>(VLOOKUP(A121,DG!A:C,3,0))</f>
        <v>#N/A</v>
      </c>
      <c r="D121" s="1727">
        <f>IFERROR(VLOOKUP(A121,DG!A:D,4,0),0)</f>
        <v>0</v>
      </c>
      <c r="E121" s="1728">
        <f>SUMIF(TongHopKL!B:B,'NT-VT'!A121,TongHopKL!H:H)</f>
        <v>0</v>
      </c>
      <c r="F121" s="1725" t="str">
        <f>IFERROR(VLOOKUP(A121,Solieu!G:M,2,0),"")</f>
        <v/>
      </c>
      <c r="G121" s="1725" t="str">
        <f>IFERROR(VLOOKUP(A121,Solieu!G:M,3,0),"")</f>
        <v/>
      </c>
      <c r="H121" s="1725"/>
      <c r="I121" s="1729"/>
      <c r="J121" s="1730" t="str">
        <f>IFERROR(VLOOKUP(A121,Solieu!G:M,4,0),"")</f>
        <v/>
      </c>
      <c r="K121" s="1731" t="str">
        <f>IFERROR(VLOOKUP(A121,Solieu!G:M,5,0),"")</f>
        <v/>
      </c>
      <c r="L121" s="1932" t="str">
        <f>IFERROR(VLOOKUP(A121,Solieu!G:M,6,0),"")</f>
        <v/>
      </c>
      <c r="M121" s="1729" t="str">
        <f>IFERROR(VLOOKUP(A121,Solieu!G:M,7,0),"")</f>
        <v/>
      </c>
      <c r="N121" s="1265" t="s">
        <v>4214</v>
      </c>
      <c r="O121" s="1475" t="str">
        <f t="shared" si="1"/>
        <v/>
      </c>
      <c r="P121" s="1261"/>
      <c r="Q121" s="1473"/>
      <c r="R121" s="1477"/>
    </row>
    <row r="122" spans="1:18" s="861" customFormat="1" ht="35.1" hidden="1" customHeight="1">
      <c r="A122" s="2148" t="e">
        <f>VLOOKUP(ROW()-ROW($A$5),TongHopKL!A:B,2,0)</f>
        <v>#N/A</v>
      </c>
      <c r="B122" s="1725">
        <f>SUM($O$6:O122)</f>
        <v>100</v>
      </c>
      <c r="C122" s="1726" t="e">
        <f>(VLOOKUP(A122,DG!A:C,3,0))</f>
        <v>#N/A</v>
      </c>
      <c r="D122" s="1727">
        <f>IFERROR(VLOOKUP(A122,DG!A:D,4,0),0)</f>
        <v>0</v>
      </c>
      <c r="E122" s="1728">
        <f>SUMIF(TongHopKL!B:B,'NT-VT'!A122,TongHopKL!H:H)</f>
        <v>0</v>
      </c>
      <c r="F122" s="1725" t="str">
        <f>IFERROR(VLOOKUP(A122,Solieu!G:M,2,0),"")</f>
        <v/>
      </c>
      <c r="G122" s="1725" t="str">
        <f>IFERROR(VLOOKUP(A122,Solieu!G:M,3,0),"")</f>
        <v/>
      </c>
      <c r="H122" s="1725"/>
      <c r="I122" s="1729"/>
      <c r="J122" s="1730" t="str">
        <f>IFERROR(VLOOKUP(A122,Solieu!G:M,4,0),"")</f>
        <v/>
      </c>
      <c r="K122" s="1731" t="str">
        <f>IFERROR(VLOOKUP(A122,Solieu!G:M,5,0),"")</f>
        <v/>
      </c>
      <c r="L122" s="1932" t="str">
        <f>IFERROR(VLOOKUP(A122,Solieu!G:M,6,0),"")</f>
        <v/>
      </c>
      <c r="M122" s="1729" t="str">
        <f>IFERROR(VLOOKUP(A122,Solieu!G:M,7,0),"")</f>
        <v/>
      </c>
      <c r="N122" s="1265" t="s">
        <v>4214</v>
      </c>
      <c r="O122" s="1475" t="str">
        <f t="shared" si="1"/>
        <v/>
      </c>
      <c r="P122" s="1261"/>
      <c r="Q122" s="1473"/>
      <c r="R122" s="1477"/>
    </row>
    <row r="123" spans="1:18" s="861" customFormat="1" ht="35.1" hidden="1" customHeight="1">
      <c r="A123" s="2148" t="e">
        <f>VLOOKUP(ROW()-ROW($A$5),TongHopKL!A:B,2,0)</f>
        <v>#N/A</v>
      </c>
      <c r="B123" s="1725">
        <f>SUM($O$6:O123)</f>
        <v>100</v>
      </c>
      <c r="C123" s="1726" t="e">
        <f>(VLOOKUP(A123,DG!A:C,3,0))</f>
        <v>#N/A</v>
      </c>
      <c r="D123" s="1727">
        <f>IFERROR(VLOOKUP(A123,DG!A:D,4,0),0)</f>
        <v>0</v>
      </c>
      <c r="E123" s="1728">
        <f>SUMIF(TongHopKL!B:B,'NT-VT'!A123,TongHopKL!H:H)</f>
        <v>0</v>
      </c>
      <c r="F123" s="1725" t="str">
        <f>IFERROR(VLOOKUP(A123,Solieu!G:M,2,0),"")</f>
        <v/>
      </c>
      <c r="G123" s="1725" t="str">
        <f>IFERROR(VLOOKUP(A123,Solieu!G:M,3,0),"")</f>
        <v/>
      </c>
      <c r="H123" s="1725"/>
      <c r="I123" s="1729"/>
      <c r="J123" s="1730" t="str">
        <f>IFERROR(VLOOKUP(A123,Solieu!G:M,4,0),"")</f>
        <v/>
      </c>
      <c r="K123" s="1731" t="str">
        <f>IFERROR(VLOOKUP(A123,Solieu!G:M,5,0),"")</f>
        <v/>
      </c>
      <c r="L123" s="1932" t="str">
        <f>IFERROR(VLOOKUP(A123,Solieu!G:M,6,0),"")</f>
        <v/>
      </c>
      <c r="M123" s="1729" t="str">
        <f>IFERROR(VLOOKUP(A123,Solieu!G:M,7,0),"")</f>
        <v/>
      </c>
      <c r="N123" s="1265" t="s">
        <v>4214</v>
      </c>
      <c r="O123" s="1475" t="str">
        <f t="shared" si="1"/>
        <v/>
      </c>
      <c r="P123" s="1261"/>
      <c r="Q123" s="1473"/>
      <c r="R123" s="1477"/>
    </row>
    <row r="124" spans="1:18" s="861" customFormat="1" ht="35.1" hidden="1" customHeight="1">
      <c r="A124" s="2148" t="e">
        <f>VLOOKUP(ROW()-ROW($A$5),TongHopKL!A:B,2,0)</f>
        <v>#N/A</v>
      </c>
      <c r="B124" s="1725">
        <f>SUM($O$6:O124)</f>
        <v>100</v>
      </c>
      <c r="C124" s="1726" t="e">
        <f>(VLOOKUP(A124,DG!A:C,3,0))</f>
        <v>#N/A</v>
      </c>
      <c r="D124" s="1727">
        <f>IFERROR(VLOOKUP(A124,DG!A:D,4,0),0)</f>
        <v>0</v>
      </c>
      <c r="E124" s="1728">
        <f>SUMIF(TongHopKL!B:B,'NT-VT'!A124,TongHopKL!H:H)</f>
        <v>0</v>
      </c>
      <c r="F124" s="1725" t="str">
        <f>IFERROR(VLOOKUP(A124,Solieu!G:M,2,0),"")</f>
        <v/>
      </c>
      <c r="G124" s="1725" t="str">
        <f>IFERROR(VLOOKUP(A124,Solieu!G:M,3,0),"")</f>
        <v/>
      </c>
      <c r="H124" s="1725"/>
      <c r="I124" s="1729"/>
      <c r="J124" s="1730" t="str">
        <f>IFERROR(VLOOKUP(A124,Solieu!G:M,4,0),"")</f>
        <v/>
      </c>
      <c r="K124" s="1731" t="str">
        <f>IFERROR(VLOOKUP(A124,Solieu!G:M,5,0),"")</f>
        <v/>
      </c>
      <c r="L124" s="1932" t="str">
        <f>IFERROR(VLOOKUP(A124,Solieu!G:M,6,0),"")</f>
        <v/>
      </c>
      <c r="M124" s="1729" t="str">
        <f>IFERROR(VLOOKUP(A124,Solieu!G:M,7,0),"")</f>
        <v/>
      </c>
      <c r="N124" s="1265" t="s">
        <v>4214</v>
      </c>
      <c r="O124" s="1475" t="str">
        <f t="shared" si="1"/>
        <v/>
      </c>
      <c r="P124" s="1261"/>
      <c r="Q124" s="1473"/>
      <c r="R124" s="1477"/>
    </row>
    <row r="125" spans="1:18" s="861" customFormat="1" ht="35.1" hidden="1" customHeight="1">
      <c r="A125" s="2148" t="e">
        <f>VLOOKUP(ROW()-ROW($A$5),TongHopKL!A:B,2,0)</f>
        <v>#N/A</v>
      </c>
      <c r="B125" s="1725">
        <f>SUM($O$6:O125)</f>
        <v>100</v>
      </c>
      <c r="C125" s="1726" t="e">
        <f>(VLOOKUP(A125,DG!A:C,3,0))</f>
        <v>#N/A</v>
      </c>
      <c r="D125" s="1727">
        <f>IFERROR(VLOOKUP(A125,DG!A:D,4,0),0)</f>
        <v>0</v>
      </c>
      <c r="E125" s="1728">
        <f>SUMIF(TongHopKL!B:B,'NT-VT'!A125,TongHopKL!H:H)</f>
        <v>0</v>
      </c>
      <c r="F125" s="1725" t="str">
        <f>IFERROR(VLOOKUP(A125,Solieu!G:M,2,0),"")</f>
        <v/>
      </c>
      <c r="G125" s="1725" t="str">
        <f>IFERROR(VLOOKUP(A125,Solieu!G:M,3,0),"")</f>
        <v/>
      </c>
      <c r="H125" s="1725"/>
      <c r="I125" s="1729"/>
      <c r="J125" s="1730" t="str">
        <f>IFERROR(VLOOKUP(A125,Solieu!G:M,4,0),"")</f>
        <v/>
      </c>
      <c r="K125" s="1731" t="str">
        <f>IFERROR(VLOOKUP(A125,Solieu!G:M,5,0),"")</f>
        <v/>
      </c>
      <c r="L125" s="1932" t="str">
        <f>IFERROR(VLOOKUP(A125,Solieu!G:M,6,0),"")</f>
        <v/>
      </c>
      <c r="M125" s="1729" t="str">
        <f>IFERROR(VLOOKUP(A125,Solieu!G:M,7,0),"")</f>
        <v/>
      </c>
      <c r="N125" s="1265" t="s">
        <v>4214</v>
      </c>
      <c r="O125" s="1475" t="str">
        <f t="shared" si="1"/>
        <v/>
      </c>
      <c r="P125" s="1261"/>
      <c r="Q125" s="1473"/>
      <c r="R125" s="1477"/>
    </row>
    <row r="126" spans="1:18" s="861" customFormat="1" ht="35.1" hidden="1" customHeight="1">
      <c r="A126" s="2148" t="e">
        <f>VLOOKUP(ROW()-ROW($A$5),TongHopKL!A:B,2,0)</f>
        <v>#N/A</v>
      </c>
      <c r="B126" s="1725">
        <f>SUM($O$6:O126)</f>
        <v>100</v>
      </c>
      <c r="C126" s="1726" t="e">
        <f>(VLOOKUP(A126,DG!A:C,3,0))</f>
        <v>#N/A</v>
      </c>
      <c r="D126" s="1727">
        <f>IFERROR(VLOOKUP(A126,DG!A:D,4,0),0)</f>
        <v>0</v>
      </c>
      <c r="E126" s="1728">
        <f>SUMIF(TongHopKL!B:B,'NT-VT'!A126,TongHopKL!H:H)</f>
        <v>0</v>
      </c>
      <c r="F126" s="1725" t="str">
        <f>IFERROR(VLOOKUP(A126,Solieu!G:M,2,0),"")</f>
        <v/>
      </c>
      <c r="G126" s="1725" t="str">
        <f>IFERROR(VLOOKUP(A126,Solieu!G:M,3,0),"")</f>
        <v/>
      </c>
      <c r="H126" s="1725"/>
      <c r="I126" s="1729"/>
      <c r="J126" s="1730" t="str">
        <f>IFERROR(VLOOKUP(A126,Solieu!G:M,4,0),"")</f>
        <v/>
      </c>
      <c r="K126" s="1731" t="str">
        <f>IFERROR(VLOOKUP(A126,Solieu!G:M,5,0),"")</f>
        <v/>
      </c>
      <c r="L126" s="1932" t="str">
        <f>IFERROR(VLOOKUP(A126,Solieu!G:M,6,0),"")</f>
        <v/>
      </c>
      <c r="M126" s="1729" t="str">
        <f>IFERROR(VLOOKUP(A126,Solieu!G:M,7,0),"")</f>
        <v/>
      </c>
      <c r="N126" s="1265" t="s">
        <v>4214</v>
      </c>
      <c r="O126" s="1475" t="str">
        <f t="shared" si="1"/>
        <v/>
      </c>
      <c r="P126" s="1261"/>
      <c r="Q126" s="1473"/>
      <c r="R126" s="1477"/>
    </row>
    <row r="127" spans="1:18" s="861" customFormat="1" ht="35.1" hidden="1" customHeight="1">
      <c r="A127" s="2148" t="e">
        <f>VLOOKUP(ROW()-ROW($A$5),TongHopKL!A:B,2,0)</f>
        <v>#N/A</v>
      </c>
      <c r="B127" s="1725">
        <f>SUM($O$6:O127)</f>
        <v>100</v>
      </c>
      <c r="C127" s="1726" t="e">
        <f>(VLOOKUP(A127,DG!A:C,3,0))</f>
        <v>#N/A</v>
      </c>
      <c r="D127" s="1727">
        <f>IFERROR(VLOOKUP(A127,DG!A:D,4,0),0)</f>
        <v>0</v>
      </c>
      <c r="E127" s="1728">
        <f>SUMIF(TongHopKL!B:B,'NT-VT'!A127,TongHopKL!H:H)</f>
        <v>0</v>
      </c>
      <c r="F127" s="1725" t="str">
        <f>IFERROR(VLOOKUP(A127,Solieu!G:M,2,0),"")</f>
        <v/>
      </c>
      <c r="G127" s="1725" t="str">
        <f>IFERROR(VLOOKUP(A127,Solieu!G:M,3,0),"")</f>
        <v/>
      </c>
      <c r="H127" s="1725"/>
      <c r="I127" s="1729"/>
      <c r="J127" s="1730" t="str">
        <f>IFERROR(VLOOKUP(A127,Solieu!G:M,4,0),"")</f>
        <v/>
      </c>
      <c r="K127" s="1731" t="str">
        <f>IFERROR(VLOOKUP(A127,Solieu!G:M,5,0),"")</f>
        <v/>
      </c>
      <c r="L127" s="1932" t="str">
        <f>IFERROR(VLOOKUP(A127,Solieu!G:M,6,0),"")</f>
        <v/>
      </c>
      <c r="M127" s="1729" t="str">
        <f>IFERROR(VLOOKUP(A127,Solieu!G:M,7,0),"")</f>
        <v/>
      </c>
      <c r="N127" s="1265" t="s">
        <v>4214</v>
      </c>
      <c r="O127" s="1475" t="str">
        <f t="shared" si="1"/>
        <v/>
      </c>
      <c r="P127" s="1261"/>
      <c r="Q127" s="1473"/>
      <c r="R127" s="1477"/>
    </row>
    <row r="128" spans="1:18" s="861" customFormat="1" ht="35.1" customHeight="1">
      <c r="A128" s="1472"/>
      <c r="B128" s="1934"/>
      <c r="C128" s="1935"/>
      <c r="D128" s="1936"/>
      <c r="E128" s="1937"/>
      <c r="F128" s="1934"/>
      <c r="G128" s="1934"/>
      <c r="H128" s="1934"/>
      <c r="I128" s="1938"/>
      <c r="J128" s="1939"/>
      <c r="K128" s="1940"/>
      <c r="L128" s="1941"/>
      <c r="M128" s="1938"/>
      <c r="N128" s="1438"/>
      <c r="O128" s="1475"/>
      <c r="P128" s="1261"/>
      <c r="Q128" s="1473"/>
      <c r="R128" s="1477"/>
    </row>
    <row r="129" spans="1:27" s="859" customFormat="1" ht="24.9" customHeight="1">
      <c r="A129" s="2119"/>
      <c r="B129" s="873"/>
      <c r="C129" s="1734"/>
      <c r="D129" s="1276"/>
      <c r="E129" s="1478"/>
      <c r="F129" s="52"/>
      <c r="G129" s="52"/>
      <c r="H129" s="52"/>
      <c r="I129" s="1469"/>
      <c r="J129" s="1479"/>
      <c r="L129" s="1941">
        <f>IFERROR(VLOOKUP(A129,Solieu!G:M,6,0),"")</f>
        <v>0</v>
      </c>
      <c r="M129" s="869"/>
      <c r="N129" s="1469"/>
      <c r="O129" s="873"/>
      <c r="P129" s="873"/>
      <c r="Q129" s="1433"/>
      <c r="R129" s="1480"/>
    </row>
    <row r="130" spans="1:27" s="859" customFormat="1" ht="24.9" customHeight="1">
      <c r="A130" s="854"/>
      <c r="B130" s="867"/>
      <c r="C130" s="1278"/>
      <c r="D130" s="1276"/>
      <c r="E130" s="1277"/>
      <c r="F130"/>
      <c r="G130"/>
      <c r="H130"/>
      <c r="I130" s="868"/>
      <c r="J130" s="864"/>
      <c r="L130" s="866"/>
      <c r="M130" s="871"/>
      <c r="N130" s="870"/>
      <c r="O130" s="867"/>
      <c r="P130" s="873"/>
      <c r="Q130" s="1433"/>
    </row>
    <row r="131" spans="1:27" s="859" customFormat="1" ht="24.9" customHeight="1">
      <c r="A131" s="854"/>
      <c r="B131" s="867"/>
      <c r="C131" s="1278"/>
      <c r="D131" s="1276"/>
      <c r="E131" s="1277"/>
      <c r="F131"/>
      <c r="G131"/>
      <c r="H131"/>
      <c r="I131" s="868"/>
      <c r="J131" s="864"/>
      <c r="L131" s="866"/>
      <c r="M131" s="871"/>
      <c r="N131" s="870"/>
      <c r="O131" s="867"/>
      <c r="P131" s="873"/>
      <c r="Q131" s="1433"/>
    </row>
    <row r="132" spans="1:27" s="859" customFormat="1" ht="24.9" customHeight="1">
      <c r="A132" s="854"/>
      <c r="B132" s="867"/>
      <c r="C132" s="1278"/>
      <c r="D132" s="1276"/>
      <c r="E132" s="1277"/>
      <c r="F132"/>
      <c r="G132"/>
      <c r="H132"/>
      <c r="I132" s="868"/>
      <c r="J132" s="864"/>
      <c r="L132" s="866"/>
      <c r="M132" s="871"/>
      <c r="N132" s="870"/>
      <c r="O132" s="867"/>
      <c r="P132" s="873"/>
      <c r="Q132" s="1433"/>
    </row>
    <row r="133" spans="1:27" s="859" customFormat="1" ht="24.9" customHeight="1">
      <c r="A133" s="854"/>
      <c r="B133" s="858"/>
      <c r="C133" s="987"/>
      <c r="D133" s="1279"/>
      <c r="E133" s="1277"/>
      <c r="F133"/>
      <c r="G133"/>
      <c r="H133"/>
      <c r="I133" s="868"/>
      <c r="J133" s="865"/>
      <c r="L133" s="874">
        <f>WORD!M2</f>
        <v>0</v>
      </c>
      <c r="M133" s="871"/>
      <c r="N133" s="875"/>
      <c r="O133" s="858"/>
      <c r="P133" s="873"/>
      <c r="Q133" s="1433"/>
    </row>
    <row r="134" spans="1:27" s="859" customFormat="1" ht="24.9" customHeight="1">
      <c r="A134" s="854"/>
      <c r="B134" s="858"/>
      <c r="C134" s="872"/>
      <c r="D134" s="872"/>
      <c r="E134"/>
      <c r="F134"/>
      <c r="G134"/>
      <c r="H134"/>
      <c r="I134" s="873"/>
      <c r="J134" s="864"/>
      <c r="K134" s="866"/>
      <c r="L134" s="865"/>
      <c r="M134" s="871"/>
      <c r="N134" s="858"/>
      <c r="O134" s="858"/>
      <c r="P134" s="873"/>
      <c r="Q134" s="1433"/>
    </row>
    <row r="135" spans="1:27" s="859" customFormat="1" ht="24.9" customHeight="1">
      <c r="A135" s="854"/>
      <c r="B135" s="858"/>
      <c r="C135" s="876"/>
      <c r="D135" s="876"/>
      <c r="E135" s="858"/>
      <c r="F135" s="858"/>
      <c r="G135" s="858"/>
      <c r="H135" s="858"/>
      <c r="I135" s="858"/>
      <c r="J135" s="864"/>
      <c r="K135" s="866"/>
      <c r="L135" s="865"/>
      <c r="M135" s="871"/>
      <c r="N135" s="858"/>
      <c r="O135" s="858"/>
      <c r="P135" s="873"/>
      <c r="Q135" s="1433"/>
    </row>
    <row r="136" spans="1:27" s="859" customFormat="1" ht="24.9" customHeight="1">
      <c r="A136" s="854"/>
      <c r="B136" s="858"/>
      <c r="C136" s="876"/>
      <c r="D136" s="876"/>
      <c r="E136" s="858"/>
      <c r="F136" s="858"/>
      <c r="G136" s="858"/>
      <c r="H136" s="858"/>
      <c r="I136" s="858"/>
      <c r="J136" s="865"/>
      <c r="K136" s="866"/>
      <c r="L136" s="865"/>
      <c r="M136" s="871"/>
      <c r="N136" s="858"/>
      <c r="O136" s="858"/>
      <c r="P136" s="873"/>
      <c r="Q136" s="1433"/>
    </row>
    <row r="137" spans="1:27" s="859" customFormat="1" ht="24.9" customHeight="1">
      <c r="A137" s="854"/>
      <c r="B137" s="858"/>
      <c r="C137" s="876"/>
      <c r="D137" s="876"/>
      <c r="E137" s="858"/>
      <c r="F137" s="858"/>
      <c r="G137" s="858"/>
      <c r="H137" s="858"/>
      <c r="I137" s="858"/>
      <c r="J137" s="865"/>
      <c r="K137" s="866"/>
      <c r="L137" s="865"/>
      <c r="M137" s="871"/>
      <c r="N137" s="858"/>
      <c r="O137" s="858"/>
      <c r="P137" s="873"/>
      <c r="Q137" s="1433"/>
    </row>
    <row r="138" spans="1:27" s="858" customFormat="1" ht="24.9" customHeight="1">
      <c r="A138" s="854"/>
      <c r="C138" s="876"/>
      <c r="D138" s="876"/>
      <c r="J138" s="864"/>
      <c r="K138" s="866"/>
      <c r="L138" s="865"/>
      <c r="M138" s="871"/>
      <c r="P138" s="873"/>
      <c r="Q138" s="1433"/>
      <c r="R138" s="859"/>
      <c r="S138" s="859"/>
      <c r="T138" s="859"/>
      <c r="U138" s="859"/>
      <c r="V138" s="859"/>
      <c r="W138" s="859"/>
      <c r="X138" s="859"/>
      <c r="Y138" s="859"/>
      <c r="Z138" s="859"/>
      <c r="AA138" s="859"/>
    </row>
    <row r="139" spans="1:27" s="858" customFormat="1" ht="24.9" customHeight="1">
      <c r="A139" s="854"/>
      <c r="C139" s="876"/>
      <c r="D139" s="876"/>
      <c r="J139" s="864"/>
      <c r="K139" s="866"/>
      <c r="L139" s="865"/>
      <c r="M139" s="866"/>
      <c r="P139" s="873"/>
      <c r="Q139" s="1433"/>
      <c r="R139" s="859"/>
      <c r="S139" s="859"/>
      <c r="T139" s="859"/>
      <c r="U139" s="859"/>
      <c r="V139" s="859"/>
      <c r="W139" s="859"/>
      <c r="X139" s="859"/>
      <c r="Y139" s="859"/>
      <c r="Z139" s="859"/>
      <c r="AA139" s="859"/>
    </row>
    <row r="140" spans="1:27" s="858" customFormat="1" ht="24.9" customHeight="1">
      <c r="A140" s="854"/>
      <c r="C140" s="876"/>
      <c r="D140" s="876"/>
      <c r="J140" s="864"/>
      <c r="K140" s="866"/>
      <c r="L140" s="865"/>
      <c r="M140" s="866"/>
      <c r="P140" s="873"/>
      <c r="Q140" s="1433"/>
      <c r="R140" s="859"/>
      <c r="S140" s="859"/>
      <c r="T140" s="859"/>
      <c r="U140" s="859"/>
      <c r="V140" s="859"/>
      <c r="W140" s="859"/>
      <c r="X140" s="859"/>
      <c r="Y140" s="859"/>
      <c r="Z140" s="859"/>
      <c r="AA140" s="859"/>
    </row>
  </sheetData>
  <autoFilter ref="A4:T127" xr:uid="{00000000-0009-0000-0000-00001E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E00-000000000000}"/>
  </dataValidations>
  <pageMargins left="0.36" right="0.2" top="0.62" bottom="0.41" header="0.31496062992126" footer="0.17"/>
  <pageSetup paperSize="9" scale="85"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tabColor rgb="FFFFFF00"/>
  </sheetPr>
  <dimension ref="A1:I113"/>
  <sheetViews>
    <sheetView showZeros="0" topLeftCell="A100" workbookViewId="0">
      <selection activeCell="E5" sqref="E5"/>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196" t="s">
        <v>4654</v>
      </c>
      <c r="B1" s="3196"/>
      <c r="C1" s="3196"/>
      <c r="D1" s="3196"/>
      <c r="E1" s="3196"/>
      <c r="F1" s="3196"/>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6" si="0">IF(ISERROR(B4),"",1)</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'NT-VT'!F12</f>
        <v>Cty TNHHSX-TM Dây &amp; Cáp Điện Tài Trường Thành</v>
      </c>
      <c r="F9" s="1428" t="str">
        <f>'NT-VT'!G12</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'NT-VT'!F13</f>
        <v>Cty TNHHSX-TM Dây &amp; Cáp Điện Tài Trường Thành</v>
      </c>
      <c r="F10" s="1428" t="str">
        <f>'NT-VT'!G13</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'NT-VT'!F14</f>
        <v>Cty TNHHSX-TM Dây &amp; Cáp Điện Tài Trường Thành</v>
      </c>
      <c r="F11" s="1428" t="str">
        <f>'NT-VT'!G14</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'NT-VT'!F15</f>
        <v>Cty TNHHSX-TM Dây &amp; Cáp Điện Tài Trường Thành</v>
      </c>
      <c r="F12" s="1428" t="str">
        <f>'NT-VT'!G15</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'NT-VT'!F16</f>
        <v>Cty TNHHSX-TM Dây &amp; Cáp Điện Tài Trường Thành</v>
      </c>
      <c r="F13" s="1428" t="str">
        <f>'NT-VT'!G16</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'NT-VT'!F17</f>
        <v>Cty TNHHSX-TM Dây &amp; Cáp Điện Tài Trường Thành</v>
      </c>
      <c r="F14" s="1428" t="str">
        <f>'NT-VT'!G17</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'NT-VT'!F18</f>
        <v>Cty TNHHSX-TM Dây &amp; Cáp Điện Tài Trường Thành</v>
      </c>
      <c r="F15" s="1428" t="str">
        <f>'NT-VT'!G18</f>
        <v>Cty TNHHSX-TM Dây &amp; Cáp Điện Tài Trường Thành</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'NT-VT'!F19</f>
        <v>Cty Cổ phần Bê tông ly tâm Thủ Đức</v>
      </c>
      <c r="F16" s="1428" t="str">
        <f>'NT-VT'!G19</f>
        <v>Cty Cổ phần Bê tông ly tâm Thủ Đức</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'NT-VT'!F20</f>
        <v>Cty TNHH MTV Đại Thiên An</v>
      </c>
      <c r="F17" s="1428" t="str">
        <f>'NT-VT'!G20</f>
        <v>Cty TNHH MTV Đại Thiên An</v>
      </c>
      <c r="G17" s="867">
        <f t="shared" si="0"/>
        <v>1</v>
      </c>
      <c r="H17" s="881"/>
      <c r="I17" s="883"/>
    </row>
    <row r="18" spans="1:9" ht="35.1" customHeight="1">
      <c r="A18" s="1428">
        <f>SUM($G$3:G18)</f>
        <v>16</v>
      </c>
      <c r="B18" s="1429" t="str">
        <f>'NT-VT'!C21</f>
        <v>Lưới B40 - 1800-3/Zn</v>
      </c>
      <c r="C18" s="1430" t="str">
        <f>'NT-VT'!D21</f>
        <v>mét</v>
      </c>
      <c r="D18" s="1431">
        <f>'NT-VT'!E21</f>
        <v>14.2</v>
      </c>
      <c r="E18" s="1428" t="str">
        <f>'NT-VT'!F21</f>
        <v>nt</v>
      </c>
      <c r="F18" s="1428" t="str">
        <f>'NT-VT'!G21</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'NT-VT'!F22</f>
        <v>nt</v>
      </c>
      <c r="F19" s="1428" t="str">
        <f>'NT-VT'!G22</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'NT-VT'!F23</f>
        <v>nt</v>
      </c>
      <c r="F20" s="1428" t="str">
        <f>'NT-VT'!G23</f>
        <v>nt</v>
      </c>
      <c r="G20" s="867">
        <f t="shared" si="0"/>
        <v>1</v>
      </c>
      <c r="H20" s="882"/>
    </row>
    <row r="21" spans="1:9" ht="35.1" customHeight="1">
      <c r="A21" s="1428">
        <f>SUM($G$3:G21)</f>
        <v>19</v>
      </c>
      <c r="B21" s="1429" t="str">
        <f>'NT-VT'!C24</f>
        <v>Nắp che đầu cực LA</v>
      </c>
      <c r="C21" s="1430" t="str">
        <f>'NT-VT'!D24</f>
        <v>cái</v>
      </c>
      <c r="D21" s="1431">
        <f>'NT-VT'!E24</f>
        <v>3</v>
      </c>
      <c r="E21" s="1428" t="str">
        <f>'NT-VT'!F24</f>
        <v>nt</v>
      </c>
      <c r="F21" s="1428" t="str">
        <f>'NT-VT'!G24</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'NT-VT'!F25</f>
        <v>nt</v>
      </c>
      <c r="F22" s="1428" t="str">
        <f>'NT-VT'!G25</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'NT-VT'!F26</f>
        <v>nt</v>
      </c>
      <c r="F23" s="1428" t="str">
        <f>'NT-VT'!G26</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'NT-VT'!F27</f>
        <v>nt</v>
      </c>
      <c r="F24" s="1428" t="str">
        <f>'NT-VT'!G27</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'NT-VT'!F28</f>
        <v>nt</v>
      </c>
      <c r="F25" s="1428" t="str">
        <f>'NT-VT'!G28</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'NT-VT'!F29</f>
        <v>nt</v>
      </c>
      <c r="F26" s="1428" t="str">
        <f>'NT-VT'!G29</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'NT-VT'!F30</f>
        <v>nt</v>
      </c>
      <c r="F27" s="1428" t="str">
        <f>'NT-VT'!G30</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'NT-VT'!F31</f>
        <v>nt</v>
      </c>
      <c r="F28" s="1428" t="str">
        <f>'NT-VT'!G31</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'NT-VT'!F32</f>
        <v>nt</v>
      </c>
      <c r="F29" s="1428" t="str">
        <f>'NT-VT'!G32</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'NT-VT'!F33</f>
        <v>nt</v>
      </c>
      <c r="F30" s="1428" t="str">
        <f>'NT-VT'!G33</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'NT-VT'!F34</f>
        <v>nt</v>
      </c>
      <c r="F31" s="1428" t="str">
        <f>'NT-VT'!G34</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'NT-VT'!F35</f>
        <v>nt</v>
      </c>
      <c r="F32" s="1428" t="str">
        <f>'NT-VT'!G35</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'NT-VT'!F36</f>
        <v>nt</v>
      </c>
      <c r="F33" s="1428" t="str">
        <f>'NT-VT'!G36</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'NT-VT'!F37</f>
        <v>nt</v>
      </c>
      <c r="F34" s="1428" t="str">
        <f>'NT-VT'!G37</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'NT-VT'!F38</f>
        <v>nt</v>
      </c>
      <c r="F35" s="1428" t="str">
        <f>'NT-VT'!G38</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'NT-VT'!F39</f>
        <v>nt</v>
      </c>
      <c r="F36" s="1428" t="str">
        <f>'NT-VT'!G39</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'NT-VT'!F40</f>
        <v>nt</v>
      </c>
      <c r="F37" s="1428" t="str">
        <f>'NT-VT'!G40</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'NT-VT'!F41</f>
        <v>nt</v>
      </c>
      <c r="F38" s="1428" t="str">
        <f>'NT-VT'!G41</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'NT-VT'!F42</f>
        <v>nt</v>
      </c>
      <c r="F39" s="1428" t="str">
        <f>'NT-VT'!G42</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'NT-VT'!F43</f>
        <v>nt</v>
      </c>
      <c r="F40" s="1428" t="str">
        <f>'NT-VT'!G43</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'NT-VT'!F44</f>
        <v>nt</v>
      </c>
      <c r="F41" s="1428" t="str">
        <f>'NT-VT'!G44</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'NT-VT'!F45</f>
        <v>nt</v>
      </c>
      <c r="F42" s="1428" t="str">
        <f>'NT-VT'!G45</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'NT-VT'!F46</f>
        <v>nt</v>
      </c>
      <c r="F43" s="1428" t="str">
        <f>'NT-VT'!G46</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'NT-VT'!F47</f>
        <v>nt</v>
      </c>
      <c r="F44" s="1428" t="str">
        <f>'NT-VT'!G47</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'NT-VT'!F48</f>
        <v>nt</v>
      </c>
      <c r="F45" s="1428" t="str">
        <f>'NT-VT'!G48</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'NT-VT'!F49</f>
        <v>nt</v>
      </c>
      <c r="F46" s="1428" t="str">
        <f>'NT-VT'!G49</f>
        <v>nt</v>
      </c>
      <c r="G46" s="867">
        <f t="shared" si="0"/>
        <v>1</v>
      </c>
      <c r="H46" s="881"/>
      <c r="I46" s="857"/>
    </row>
    <row r="47" spans="1:9" ht="35.1" customHeight="1">
      <c r="A47" s="1428">
        <f>SUM($G$3:G47)</f>
        <v>45</v>
      </c>
      <c r="B47" s="1429" t="str">
        <f>'NT-VT'!C50</f>
        <v>Bass LI bắt LA</v>
      </c>
      <c r="C47" s="1430" t="str">
        <f>'NT-VT'!D50</f>
        <v>Bộ</v>
      </c>
      <c r="D47" s="1431">
        <f>'NT-VT'!E50</f>
        <v>3</v>
      </c>
      <c r="E47" s="1428" t="str">
        <f>'NT-VT'!F50</f>
        <v>nt</v>
      </c>
      <c r="F47" s="1428" t="str">
        <f>'NT-VT'!G50</f>
        <v>nt</v>
      </c>
      <c r="G47" s="867">
        <f t="shared" si="0"/>
        <v>1</v>
      </c>
      <c r="H47" s="881"/>
      <c r="I47" s="857"/>
    </row>
    <row r="48" spans="1:9" ht="35.1" customHeight="1">
      <c r="A48" s="1428">
        <f>SUM($G$3:G48)</f>
        <v>46</v>
      </c>
      <c r="B48" s="1429" t="str">
        <f>'NT-VT'!C51</f>
        <v>Bass LI bắt FCO</v>
      </c>
      <c r="C48" s="1430" t="str">
        <f>'NT-VT'!D51</f>
        <v>Bộ</v>
      </c>
      <c r="D48" s="1431">
        <f>'NT-VT'!E51</f>
        <v>3</v>
      </c>
      <c r="E48" s="1428" t="str">
        <f>'NT-VT'!F51</f>
        <v>nt</v>
      </c>
      <c r="F48" s="1428" t="str">
        <f>'NT-VT'!G51</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'NT-VT'!F52</f>
        <v>nt</v>
      </c>
      <c r="F49" s="1428" t="str">
        <f>'NT-VT'!G52</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'NT-VT'!F53</f>
        <v>nt</v>
      </c>
      <c r="F50" s="1428" t="str">
        <f>'NT-VT'!G53</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'NT-VT'!F54</f>
        <v>nt</v>
      </c>
      <c r="F51" s="1428" t="str">
        <f>'NT-VT'!G54</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'NT-VT'!F55</f>
        <v>nt</v>
      </c>
      <c r="F52" s="1428" t="str">
        <f>'NT-VT'!G55</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'NT-VT'!F56</f>
        <v>nt</v>
      </c>
      <c r="F53" s="1428" t="str">
        <f>'NT-VT'!G56</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'NT-VT'!F57</f>
        <v>nt</v>
      </c>
      <c r="F54" s="1428" t="str">
        <f>'NT-VT'!G57</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'NT-VT'!F58</f>
        <v>nt</v>
      </c>
      <c r="F55" s="1428" t="str">
        <f>'NT-VT'!G58</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'NT-VT'!F59</f>
        <v>nt</v>
      </c>
      <c r="F56" s="1428" t="str">
        <f>'NT-VT'!G59</f>
        <v>nt</v>
      </c>
      <c r="G56" s="867">
        <f t="shared" si="0"/>
        <v>1</v>
      </c>
      <c r="H56" s="881"/>
      <c r="I56" s="857"/>
    </row>
    <row r="57" spans="1:9" ht="35.1" customHeight="1">
      <c r="A57" s="1428">
        <f>SUM($G$3:G57)</f>
        <v>55</v>
      </c>
      <c r="B57" s="1429" t="str">
        <f>'NT-VT'!C60</f>
        <v>Dây chảy 40K</v>
      </c>
      <c r="C57" s="1430" t="str">
        <f>'NT-VT'!D60</f>
        <v>Sợi</v>
      </c>
      <c r="D57" s="1431">
        <f>'NT-VT'!E60</f>
        <v>3</v>
      </c>
      <c r="E57" s="1428" t="str">
        <f>'NT-VT'!F60</f>
        <v>nt</v>
      </c>
      <c r="F57" s="1428" t="str">
        <f>'NT-VT'!G60</f>
        <v>nt</v>
      </c>
      <c r="G57" s="867">
        <f t="shared" si="0"/>
        <v>1</v>
      </c>
      <c r="H57" s="881"/>
      <c r="I57" s="857"/>
    </row>
    <row r="58" spans="1:9" ht="35.1" customHeight="1">
      <c r="A58" s="1428">
        <f>SUM($G$3:G58)</f>
        <v>56</v>
      </c>
      <c r="B58" s="1429" t="str">
        <f>'NT-VT'!C61</f>
        <v>Dây chảy 50K</v>
      </c>
      <c r="C58" s="1430" t="str">
        <f>'NT-VT'!D61</f>
        <v>Sợi</v>
      </c>
      <c r="D58" s="1431">
        <f>'NT-VT'!E61</f>
        <v>3</v>
      </c>
      <c r="E58" s="1428" t="str">
        <f>'NT-VT'!F61</f>
        <v>nt</v>
      </c>
      <c r="F58" s="1428" t="str">
        <f>'NT-VT'!G61</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'NT-VT'!F62</f>
        <v>nt</v>
      </c>
      <c r="F59" s="1428" t="str">
        <f>'NT-VT'!G62</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'NT-VT'!F63</f>
        <v>nt</v>
      </c>
      <c r="F60" s="1428" t="str">
        <f>'NT-VT'!G63</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'NT-VT'!F64</f>
        <v>nt</v>
      </c>
      <c r="F61" s="1428" t="str">
        <f>'NT-VT'!G64</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'NT-VT'!F65</f>
        <v>nt</v>
      </c>
      <c r="F62" s="1428" t="str">
        <f>'NT-VT'!G65</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'NT-VT'!F66</f>
        <v>nt</v>
      </c>
      <c r="F63" s="1428" t="str">
        <f>'NT-VT'!G66</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'NT-VT'!F67</f>
        <v>nt</v>
      </c>
      <c r="F64" s="1428" t="str">
        <f>'NT-VT'!G67</f>
        <v>nt</v>
      </c>
      <c r="G64" s="867">
        <f t="shared" si="0"/>
        <v>1</v>
      </c>
      <c r="H64" s="881"/>
      <c r="I64" s="857"/>
    </row>
    <row r="65" spans="1:9" ht="35.1" customHeight="1">
      <c r="A65" s="1428">
        <f>SUM($G$3:G65)</f>
        <v>63</v>
      </c>
      <c r="B65" s="1429" t="str">
        <f>'NT-VT'!C68</f>
        <v>Co 90 độ PVC 42</v>
      </c>
      <c r="C65" s="1430" t="str">
        <f>'NT-VT'!D68</f>
        <v>cái</v>
      </c>
      <c r="D65" s="1431">
        <f>'NT-VT'!E68</f>
        <v>6</v>
      </c>
      <c r="E65" s="1428" t="str">
        <f>'NT-VT'!F68</f>
        <v>nt</v>
      </c>
      <c r="F65" s="1428" t="str">
        <f>'NT-VT'!G68</f>
        <v>nt</v>
      </c>
      <c r="G65" s="867">
        <f t="shared" si="0"/>
        <v>1</v>
      </c>
      <c r="H65" s="881"/>
      <c r="I65" s="857"/>
    </row>
    <row r="66" spans="1:9" ht="35.1" customHeight="1">
      <c r="A66" s="1428">
        <f>SUM($G$3:G66)</f>
        <v>64</v>
      </c>
      <c r="B66" s="1429" t="str">
        <f>'NT-VT'!C69</f>
        <v>Co chữ T ống PVC 42</v>
      </c>
      <c r="C66" s="1430" t="str">
        <f>'NT-VT'!D69</f>
        <v>cái</v>
      </c>
      <c r="D66" s="1431">
        <f>'NT-VT'!E69</f>
        <v>5</v>
      </c>
      <c r="E66" s="1428" t="str">
        <f>'NT-VT'!F69</f>
        <v>nt</v>
      </c>
      <c r="F66" s="1428" t="str">
        <f>'NT-VT'!G69</f>
        <v>nt</v>
      </c>
      <c r="G66" s="867">
        <f t="shared" si="0"/>
        <v>1</v>
      </c>
      <c r="H66" s="881"/>
      <c r="I66" s="857"/>
    </row>
    <row r="67" spans="1:9" ht="35.1" customHeight="1">
      <c r="A67" s="1428">
        <f>SUM($G$3:G67)</f>
        <v>65</v>
      </c>
      <c r="B67" s="1429" t="str">
        <f>'NT-VT'!C70</f>
        <v>Dây rút cáp</v>
      </c>
      <c r="C67" s="1430" t="str">
        <f>'NT-VT'!D70</f>
        <v>bọc</v>
      </c>
      <c r="D67" s="1431">
        <f>'NT-VT'!E70</f>
        <v>3</v>
      </c>
      <c r="E67" s="1428" t="str">
        <f>'NT-VT'!F70</f>
        <v>nt</v>
      </c>
      <c r="F67" s="1428" t="str">
        <f>'NT-VT'!G70</f>
        <v>nt</v>
      </c>
      <c r="G67" s="867">
        <f t="shared" ref="G67:G113" si="1">IF(ISERROR(B67),"",1)</f>
        <v>1</v>
      </c>
      <c r="H67" s="881"/>
      <c r="I67" s="857"/>
    </row>
    <row r="68" spans="1:9" ht="35.1" customHeight="1">
      <c r="A68" s="1428">
        <f>SUM($G$3:G68)</f>
        <v>66</v>
      </c>
      <c r="B68" s="1429" t="str">
        <f>'NT-VT'!C71</f>
        <v>Gạch ống</v>
      </c>
      <c r="C68" s="1430" t="str">
        <f>'NT-VT'!D71</f>
        <v>viên</v>
      </c>
      <c r="D68" s="1431">
        <f>'NT-VT'!E71</f>
        <v>350</v>
      </c>
      <c r="E68" s="1428" t="str">
        <f>'NT-VT'!F71</f>
        <v>nt</v>
      </c>
      <c r="F68" s="1428" t="str">
        <f>'NT-VT'!G71</f>
        <v>nt</v>
      </c>
      <c r="G68" s="867">
        <f t="shared" si="1"/>
        <v>1</v>
      </c>
      <c r="H68" s="881"/>
      <c r="I68" s="857"/>
    </row>
    <row r="69" spans="1:9" ht="35.1" customHeight="1">
      <c r="A69" s="1428">
        <f>SUM($G$3:G69)</f>
        <v>67</v>
      </c>
      <c r="B69" s="1429" t="str">
        <f>'NT-VT'!C72</f>
        <v>Kẹp cáp 3 boulon</v>
      </c>
      <c r="C69" s="1430" t="str">
        <f>'NT-VT'!D72</f>
        <v>cái</v>
      </c>
      <c r="D69" s="1431">
        <f>'NT-VT'!E72</f>
        <v>8</v>
      </c>
      <c r="E69" s="1428" t="str">
        <f>'NT-VT'!F72</f>
        <v>nt</v>
      </c>
      <c r="F69" s="1428" t="str">
        <f>'NT-VT'!G72</f>
        <v>nt</v>
      </c>
      <c r="G69" s="867">
        <f t="shared" si="1"/>
        <v>1</v>
      </c>
      <c r="H69" s="881"/>
      <c r="I69" s="857"/>
    </row>
    <row r="70" spans="1:9" ht="35.1" customHeight="1">
      <c r="A70" s="1428">
        <f>SUM($G$3:G70)</f>
        <v>68</v>
      </c>
      <c r="B70" s="1429" t="str">
        <f>'NT-VT'!C73</f>
        <v>Kẹp ép WR cỡ dây 50mm2</v>
      </c>
      <c r="C70" s="1430" t="str">
        <f>'NT-VT'!D73</f>
        <v>cái</v>
      </c>
      <c r="D70" s="1431">
        <f>'NT-VT'!E73</f>
        <v>6</v>
      </c>
      <c r="E70" s="1428" t="str">
        <f>'NT-VT'!F73</f>
        <v>nt</v>
      </c>
      <c r="F70" s="1428" t="str">
        <f>'NT-VT'!G73</f>
        <v>nt</v>
      </c>
      <c r="G70" s="867">
        <f t="shared" si="1"/>
        <v>1</v>
      </c>
      <c r="H70" s="881"/>
      <c r="I70" s="857"/>
    </row>
    <row r="71" spans="1:9" ht="35.1" customHeight="1">
      <c r="A71" s="1428">
        <f>SUM($G$3:G71)</f>
        <v>69</v>
      </c>
      <c r="B71" s="1429" t="str">
        <f>'NT-VT'!C74</f>
        <v>Kẹp ép WR cỡ dây 95mm2</v>
      </c>
      <c r="C71" s="1430" t="str">
        <f>'NT-VT'!D74</f>
        <v>cái</v>
      </c>
      <c r="D71" s="1431">
        <f>'NT-VT'!E74</f>
        <v>6</v>
      </c>
      <c r="E71" s="1428" t="str">
        <f>'NT-VT'!F74</f>
        <v>nt</v>
      </c>
      <c r="F71" s="1428" t="str">
        <f>'NT-VT'!G74</f>
        <v>nt</v>
      </c>
      <c r="G71" s="867">
        <f t="shared" si="1"/>
        <v>1</v>
      </c>
      <c r="H71" s="881"/>
      <c r="I71" s="857"/>
    </row>
    <row r="72" spans="1:9" ht="35.1" customHeight="1">
      <c r="A72" s="1428">
        <f>SUM($G$3:G72)</f>
        <v>70</v>
      </c>
      <c r="B72" s="1429" t="str">
        <f>'NT-VT'!C75</f>
        <v>Keo dán ống PVC (500gr)</v>
      </c>
      <c r="C72" s="1430" t="str">
        <f>'NT-VT'!D75</f>
        <v>lon</v>
      </c>
      <c r="D72" s="1431">
        <f>'NT-VT'!E75</f>
        <v>1</v>
      </c>
      <c r="E72" s="1428" t="str">
        <f>'NT-VT'!F75</f>
        <v>nt</v>
      </c>
      <c r="F72" s="1428" t="str">
        <f>'NT-VT'!G75</f>
        <v>nt</v>
      </c>
      <c r="G72" s="867">
        <f t="shared" si="1"/>
        <v>1</v>
      </c>
      <c r="H72" s="881"/>
      <c r="I72" s="857"/>
    </row>
    <row r="73" spans="1:9" ht="35.1" customHeight="1">
      <c r="A73" s="1428">
        <f>SUM($G$3:G73)</f>
        <v>71</v>
      </c>
      <c r="B73" s="1429" t="str">
        <f>'NT-VT'!C76</f>
        <v>Keo silicon bít miệng ống</v>
      </c>
      <c r="C73" s="1430" t="str">
        <f>'NT-VT'!D76</f>
        <v>ống</v>
      </c>
      <c r="D73" s="1431">
        <f>'NT-VT'!E76</f>
        <v>5</v>
      </c>
      <c r="E73" s="1428" t="str">
        <f>'NT-VT'!F76</f>
        <v>nt</v>
      </c>
      <c r="F73" s="1428" t="str">
        <f>'NT-VT'!G76</f>
        <v>nt</v>
      </c>
      <c r="G73" s="867">
        <f t="shared" si="1"/>
        <v>1</v>
      </c>
      <c r="H73" s="881"/>
      <c r="I73" s="857"/>
    </row>
    <row r="74" spans="1:9" ht="35.1" customHeight="1">
      <c r="A74" s="1428">
        <f>SUM($G$3:G74)</f>
        <v>72</v>
      </c>
      <c r="B74" s="1429" t="str">
        <f>'NT-VT'!C77</f>
        <v>Kẹp hotline 2/0</v>
      </c>
      <c r="C74" s="1430" t="str">
        <f>'NT-VT'!D77</f>
        <v>cái</v>
      </c>
      <c r="D74" s="1431">
        <f>'NT-VT'!E77</f>
        <v>3</v>
      </c>
      <c r="E74" s="1428" t="str">
        <f>'NT-VT'!F77</f>
        <v>nt</v>
      </c>
      <c r="F74" s="1428" t="str">
        <f>'NT-VT'!G77</f>
        <v>nt</v>
      </c>
      <c r="G74" s="867">
        <f t="shared" si="1"/>
        <v>1</v>
      </c>
      <c r="H74" s="881"/>
      <c r="I74" s="857"/>
    </row>
    <row r="75" spans="1:9" ht="35.1" customHeight="1">
      <c r="A75" s="1428">
        <f>SUM($G$3:G75)</f>
        <v>73</v>
      </c>
      <c r="B75" s="1429" t="str">
        <f>'NT-VT'!C78</f>
        <v>Khóa néo dây cỡ dây 50</v>
      </c>
      <c r="C75" s="1430" t="str">
        <f>'NT-VT'!D78</f>
        <v>cái</v>
      </c>
      <c r="D75" s="1431">
        <f>'NT-VT'!E78</f>
        <v>2</v>
      </c>
      <c r="E75" s="1428" t="str">
        <f>'NT-VT'!F78</f>
        <v>nt</v>
      </c>
      <c r="F75" s="1428" t="str">
        <f>'NT-VT'!G78</f>
        <v>nt</v>
      </c>
      <c r="G75" s="867">
        <f t="shared" si="1"/>
        <v>1</v>
      </c>
      <c r="H75" s="881"/>
      <c r="I75" s="857"/>
    </row>
    <row r="76" spans="1:9" ht="35.1" customHeight="1">
      <c r="A76" s="1428">
        <f>SUM($G$3:G76)</f>
        <v>74</v>
      </c>
      <c r="B76" s="1429" t="str">
        <f>'NT-VT'!C79</f>
        <v>Kẹp quai 2/0</v>
      </c>
      <c r="C76" s="1430" t="str">
        <f>'NT-VT'!D79</f>
        <v>cái</v>
      </c>
      <c r="D76" s="1431">
        <f>'NT-VT'!E79</f>
        <v>3</v>
      </c>
      <c r="E76" s="1428" t="str">
        <f>'NT-VT'!F79</f>
        <v>nt</v>
      </c>
      <c r="F76" s="1428" t="str">
        <f>'NT-VT'!G79</f>
        <v>nt</v>
      </c>
      <c r="G76" s="867">
        <f t="shared" si="1"/>
        <v>1</v>
      </c>
      <c r="H76" s="881"/>
      <c r="I76" s="857"/>
    </row>
    <row r="77" spans="1:9" ht="35.1" customHeight="1">
      <c r="A77" s="1428">
        <f>SUM($G$3:G77)</f>
        <v>75</v>
      </c>
      <c r="B77" s="1429" t="str">
        <f>'NT-VT'!C80</f>
        <v>Khâu ven răng ngoài D42</v>
      </c>
      <c r="C77" s="1430" t="str">
        <f>'NT-VT'!D80</f>
        <v>cái</v>
      </c>
      <c r="D77" s="1431">
        <f>'NT-VT'!E80</f>
        <v>1</v>
      </c>
      <c r="E77" s="1428" t="str">
        <f>'NT-VT'!F80</f>
        <v>nt</v>
      </c>
      <c r="F77" s="1428" t="str">
        <f>'NT-VT'!G80</f>
        <v>nt</v>
      </c>
      <c r="G77" s="867">
        <f t="shared" si="1"/>
        <v>1</v>
      </c>
      <c r="H77" s="881"/>
      <c r="I77" s="857"/>
    </row>
    <row r="78" spans="1:9" ht="35.1" customHeight="1">
      <c r="A78" s="1428">
        <f>SUM($G$3:G78)</f>
        <v>76</v>
      </c>
      <c r="B78" s="1429" t="str">
        <f>'NT-VT'!C81</f>
        <v>Khâu ven răng trong D42</v>
      </c>
      <c r="C78" s="1430" t="str">
        <f>'NT-VT'!D81</f>
        <v>cái</v>
      </c>
      <c r="D78" s="1431">
        <f>'NT-VT'!E81</f>
        <v>1</v>
      </c>
      <c r="E78" s="1428" t="str">
        <f>'NT-VT'!F81</f>
        <v>nt</v>
      </c>
      <c r="F78" s="1428" t="str">
        <f>'NT-VT'!G81</f>
        <v>nt</v>
      </c>
      <c r="G78" s="867">
        <f t="shared" si="1"/>
        <v>1</v>
      </c>
      <c r="H78" s="881"/>
      <c r="I78" s="857"/>
    </row>
    <row r="79" spans="1:9" ht="35.1" customHeight="1">
      <c r="A79" s="1428">
        <f>SUM($G$3:G79)</f>
        <v>77</v>
      </c>
      <c r="B79" s="1429" t="str">
        <f>'NT-VT'!C82</f>
        <v>Dây đồng trần mềm dẹt</v>
      </c>
      <c r="C79" s="1430" t="str">
        <f>'NT-VT'!D82</f>
        <v>mét</v>
      </c>
      <c r="D79" s="1431">
        <f>'NT-VT'!E82</f>
        <v>4</v>
      </c>
      <c r="E79" s="1428" t="str">
        <f>'NT-VT'!F82</f>
        <v>nt</v>
      </c>
      <c r="F79" s="1428" t="str">
        <f>'NT-VT'!G82</f>
        <v>nt</v>
      </c>
      <c r="G79" s="867">
        <f t="shared" si="1"/>
        <v>1</v>
      </c>
      <c r="H79" s="881"/>
      <c r="I79" s="857"/>
    </row>
    <row r="80" spans="1:9" ht="35.1" customHeight="1">
      <c r="A80" s="1428">
        <f>SUM($G$3:G80)</f>
        <v>78</v>
      </c>
      <c r="B80" s="1429" t="str">
        <f>'NT-VT'!C83</f>
        <v>Máng che dây chằng dày 1,6mm</v>
      </c>
      <c r="C80" s="1430" t="str">
        <f>'NT-VT'!D83</f>
        <v>cái</v>
      </c>
      <c r="D80" s="1431">
        <f>'NT-VT'!E83</f>
        <v>1</v>
      </c>
      <c r="E80" s="1428" t="str">
        <f>'NT-VT'!F83</f>
        <v>nt</v>
      </c>
      <c r="F80" s="1428" t="str">
        <f>'NT-VT'!G83</f>
        <v>nt</v>
      </c>
      <c r="G80" s="867">
        <f t="shared" si="1"/>
        <v>1</v>
      </c>
      <c r="H80" s="881"/>
      <c r="I80" s="857"/>
    </row>
    <row r="81" spans="1:9" ht="35.1" customHeight="1">
      <c r="A81" s="1428">
        <f>SUM($G$3:G81)</f>
        <v>79</v>
      </c>
      <c r="B81" s="1429" t="str">
        <f>'NT-VT'!C84</f>
        <v xml:space="preserve">Móc treo chữ U </v>
      </c>
      <c r="C81" s="1430" t="str">
        <f>'NT-VT'!D84</f>
        <v>cái</v>
      </c>
      <c r="D81" s="1431">
        <f>'NT-VT'!E84</f>
        <v>12</v>
      </c>
      <c r="E81" s="1428" t="str">
        <f>'NT-VT'!F84</f>
        <v>nt</v>
      </c>
      <c r="F81" s="1428" t="str">
        <f>'NT-VT'!G84</f>
        <v>nt</v>
      </c>
      <c r="G81" s="867">
        <f t="shared" si="1"/>
        <v>1</v>
      </c>
      <c r="H81" s="881"/>
      <c r="I81" s="857"/>
    </row>
    <row r="82" spans="1:9" ht="35.1" customHeight="1">
      <c r="A82" s="1428">
        <f>SUM($G$3:G82)</f>
        <v>80</v>
      </c>
      <c r="B82" s="1429" t="str">
        <f>'NT-VT'!C85</f>
        <v>Neo xòe 8 hướng (dày 3,2mm)</v>
      </c>
      <c r="C82" s="1430" t="str">
        <f>'NT-VT'!D85</f>
        <v>cái</v>
      </c>
      <c r="D82" s="1431">
        <f>'NT-VT'!E85</f>
        <v>1</v>
      </c>
      <c r="E82" s="1428" t="str">
        <f>'NT-VT'!F85</f>
        <v>nt</v>
      </c>
      <c r="F82" s="1428" t="str">
        <f>'NT-VT'!G85</f>
        <v>nt</v>
      </c>
      <c r="G82" s="867">
        <f t="shared" si="1"/>
        <v>1</v>
      </c>
      <c r="H82" s="881"/>
      <c r="I82" s="857"/>
    </row>
    <row r="83" spans="1:9" ht="35.1" customHeight="1">
      <c r="A83" s="1428">
        <f>SUM($G$3:G83)</f>
        <v>81</v>
      </c>
      <c r="B83" s="1429" t="str">
        <f>'NT-VT'!C86</f>
        <v>Ong co nhiệt</v>
      </c>
      <c r="C83" s="1430" t="str">
        <f>'NT-VT'!D86</f>
        <v>m</v>
      </c>
      <c r="D83" s="1431">
        <f>'NT-VT'!E86</f>
        <v>1</v>
      </c>
      <c r="E83" s="1428" t="str">
        <f>'NT-VT'!F86</f>
        <v>nt</v>
      </c>
      <c r="F83" s="1428" t="str">
        <f>'NT-VT'!G86</f>
        <v>nt</v>
      </c>
      <c r="G83" s="867">
        <f t="shared" si="1"/>
        <v>1</v>
      </c>
      <c r="H83" s="881"/>
      <c r="I83" s="857"/>
    </row>
    <row r="84" spans="1:9" ht="35.1" customHeight="1">
      <c r="A84" s="1428">
        <f>SUM($G$3:G84)</f>
        <v>82</v>
      </c>
      <c r="B84" s="1429" t="str">
        <f>'NT-VT'!C87</f>
        <v>Ốc siết cáp cỡ 25mm2</v>
      </c>
      <c r="C84" s="1430" t="str">
        <f>'NT-VT'!D87</f>
        <v>cái</v>
      </c>
      <c r="D84" s="1431">
        <f>'NT-VT'!E87</f>
        <v>13</v>
      </c>
      <c r="E84" s="1428" t="str">
        <f>'NT-VT'!F87</f>
        <v>nt</v>
      </c>
      <c r="F84" s="1428" t="str">
        <f>'NT-VT'!G87</f>
        <v>nt</v>
      </c>
      <c r="G84" s="867">
        <f t="shared" si="1"/>
        <v>1</v>
      </c>
      <c r="H84" s="881"/>
      <c r="I84" s="857"/>
    </row>
    <row r="85" spans="1:9" ht="35.1" customHeight="1">
      <c r="A85" s="1428">
        <f>SUM($G$3:G85)</f>
        <v>83</v>
      </c>
      <c r="B85" s="1429" t="str">
        <f>'NT-VT'!C88</f>
        <v xml:space="preserve">Ống PVC D114x4,9mm </v>
      </c>
      <c r="C85" s="1430" t="str">
        <f>'NT-VT'!D88</f>
        <v>m</v>
      </c>
      <c r="D85" s="1431">
        <f>'NT-VT'!E88</f>
        <v>8</v>
      </c>
      <c r="E85" s="1428" t="str">
        <f>'NT-VT'!F88</f>
        <v>nt</v>
      </c>
      <c r="F85" s="1428" t="str">
        <f>'NT-VT'!G88</f>
        <v>nt</v>
      </c>
      <c r="G85" s="867">
        <f t="shared" si="1"/>
        <v>1</v>
      </c>
      <c r="H85" s="881"/>
      <c r="I85" s="857"/>
    </row>
    <row r="86" spans="1:9" ht="35.1" customHeight="1">
      <c r="A86" s="1428">
        <f>SUM($G$3:G86)</f>
        <v>84</v>
      </c>
      <c r="B86" s="1429" t="str">
        <f>'NT-VT'!C89</f>
        <v>Ống PVC D42x2,1mm</v>
      </c>
      <c r="C86" s="1430" t="str">
        <f>'NT-VT'!D89</f>
        <v>m</v>
      </c>
      <c r="D86" s="1431">
        <f>'NT-VT'!E89</f>
        <v>18</v>
      </c>
      <c r="E86" s="1428" t="str">
        <f>'NT-VT'!F89</f>
        <v>nt</v>
      </c>
      <c r="F86" s="1428" t="str">
        <f>'NT-VT'!G89</f>
        <v>nt</v>
      </c>
      <c r="G86" s="867">
        <f t="shared" si="1"/>
        <v>1</v>
      </c>
      <c r="H86" s="881"/>
      <c r="I86" s="857"/>
    </row>
    <row r="87" spans="1:9" ht="35.1" customHeight="1">
      <c r="A87" s="1428">
        <f>SUM($G$3:G87)</f>
        <v>85</v>
      </c>
      <c r="B87" s="1429" t="str">
        <f>'NT-VT'!C90</f>
        <v>Uclevis + sứ ống chỉ</v>
      </c>
      <c r="C87" s="1430" t="str">
        <f>'NT-VT'!D90</f>
        <v>bộ</v>
      </c>
      <c r="D87" s="1431">
        <f>'NT-VT'!E90</f>
        <v>1</v>
      </c>
      <c r="E87" s="1428" t="str">
        <f>'NT-VT'!F90</f>
        <v>nt</v>
      </c>
      <c r="F87" s="1428" t="str">
        <f>'NT-VT'!G90</f>
        <v>nt</v>
      </c>
      <c r="G87" s="867">
        <f t="shared" si="1"/>
        <v>1</v>
      </c>
      <c r="H87" s="881"/>
      <c r="I87" s="857"/>
    </row>
    <row r="88" spans="1:9" ht="35.1" customHeight="1">
      <c r="A88" s="1428">
        <f>SUM($G$3:G88)</f>
        <v>86</v>
      </c>
      <c r="B88" s="1429" t="str">
        <f>'NT-VT'!C91</f>
        <v>Sắt dẹt 60 x 6</v>
      </c>
      <c r="C88" s="1430" t="str">
        <f>'NT-VT'!D91</f>
        <v>kg</v>
      </c>
      <c r="D88" s="1431">
        <f>'NT-VT'!E91</f>
        <v>3</v>
      </c>
      <c r="E88" s="1428" t="str">
        <f>'NT-VT'!F91</f>
        <v>nt</v>
      </c>
      <c r="F88" s="1428" t="str">
        <f>'NT-VT'!G91</f>
        <v>nt</v>
      </c>
      <c r="G88" s="867">
        <f t="shared" si="1"/>
        <v>1</v>
      </c>
      <c r="H88" s="881"/>
      <c r="I88" s="857"/>
    </row>
    <row r="89" spans="1:9" ht="35.1" customHeight="1">
      <c r="A89" s="1428">
        <f>SUM($G$3:G89)</f>
        <v>87</v>
      </c>
      <c r="B89" s="1429" t="str">
        <f>'NT-VT'!C92</f>
        <v>Sắt góc L50 x50 x5 - 810</v>
      </c>
      <c r="C89" s="1430" t="str">
        <f>'NT-VT'!D92</f>
        <v>cái</v>
      </c>
      <c r="D89" s="1431">
        <f>'NT-VT'!E92</f>
        <v>12</v>
      </c>
      <c r="E89" s="1428" t="str">
        <f>'NT-VT'!F92</f>
        <v>nt</v>
      </c>
      <c r="F89" s="1428" t="str">
        <f>'NT-VT'!G92</f>
        <v>nt</v>
      </c>
      <c r="G89" s="867">
        <f t="shared" si="1"/>
        <v>1</v>
      </c>
      <c r="H89" s="881"/>
      <c r="I89" s="857"/>
    </row>
    <row r="90" spans="1:9" ht="35.1" customHeight="1">
      <c r="A90" s="1428">
        <f>SUM($G$3:G90)</f>
        <v>88</v>
      </c>
      <c r="B90" s="1429" t="str">
        <f>'NT-VT'!C93</f>
        <v>Sắt góc L75 x75 x8-2.200</v>
      </c>
      <c r="C90" s="1430" t="str">
        <f>'NT-VT'!D93</f>
        <v>cái</v>
      </c>
      <c r="D90" s="1431">
        <f>'NT-VT'!E93</f>
        <v>1</v>
      </c>
      <c r="E90" s="1428" t="str">
        <f>'NT-VT'!F93</f>
        <v>nt</v>
      </c>
      <c r="F90" s="1428" t="str">
        <f>'NT-VT'!G93</f>
        <v>nt</v>
      </c>
      <c r="G90" s="867">
        <f t="shared" si="1"/>
        <v>1</v>
      </c>
      <c r="H90" s="881"/>
      <c r="I90" s="857"/>
    </row>
    <row r="91" spans="1:9" ht="35.1" customHeight="1">
      <c r="A91" s="1428">
        <f>SUM($G$3:G91)</f>
        <v>89</v>
      </c>
      <c r="B91" s="1429" t="str">
        <f>'NT-VT'!C94</f>
        <v>Sắt góc L75 x75 x8 x2200</v>
      </c>
      <c r="C91" s="1430" t="str">
        <f>'NT-VT'!D94</f>
        <v>cái</v>
      </c>
      <c r="D91" s="1431">
        <f>'NT-VT'!E94</f>
        <v>5</v>
      </c>
      <c r="E91" s="1428" t="str">
        <f>'NT-VT'!F94</f>
        <v>nt</v>
      </c>
      <c r="F91" s="1428" t="str">
        <f>'NT-VT'!G94</f>
        <v>nt</v>
      </c>
      <c r="G91" s="867">
        <f t="shared" si="1"/>
        <v>1</v>
      </c>
      <c r="H91" s="881"/>
      <c r="I91" s="857"/>
    </row>
    <row r="92" spans="1:9" ht="35.1" customHeight="1">
      <c r="A92" s="1428">
        <f>SUM($G$3:G92)</f>
        <v>90</v>
      </c>
      <c r="B92" s="1429" t="str">
        <f>'NT-VT'!C95</f>
        <v>Sắt góc L75 x75 x8 x2400</v>
      </c>
      <c r="C92" s="1430" t="str">
        <f>'NT-VT'!D95</f>
        <v>cái</v>
      </c>
      <c r="D92" s="2324">
        <f>'NT-VT'!E95</f>
        <v>2</v>
      </c>
      <c r="E92" s="1428" t="str">
        <f>'NT-VT'!F95</f>
        <v>nt</v>
      </c>
      <c r="F92" s="1428" t="str">
        <f>'NT-VT'!G95</f>
        <v>nt</v>
      </c>
      <c r="G92" s="867">
        <f t="shared" si="1"/>
        <v>1</v>
      </c>
      <c r="H92" s="881"/>
      <c r="I92" s="857"/>
    </row>
    <row r="93" spans="1:9" ht="35.1" customHeight="1">
      <c r="A93" s="1428">
        <f>SUM($G$3:G93)</f>
        <v>91</v>
      </c>
      <c r="B93" s="1429" t="str">
        <f>'NT-VT'!C96</f>
        <v>Sứ chằng</v>
      </c>
      <c r="C93" s="1430" t="str">
        <f>'NT-VT'!D96</f>
        <v>cái</v>
      </c>
      <c r="D93" s="2324">
        <f>'NT-VT'!E96</f>
        <v>1</v>
      </c>
      <c r="E93" s="1428" t="str">
        <f>'NT-VT'!F96</f>
        <v>nt</v>
      </c>
      <c r="F93" s="1428" t="str">
        <f>'NT-VT'!G96</f>
        <v>nt</v>
      </c>
      <c r="G93" s="867">
        <f t="shared" si="1"/>
        <v>1</v>
      </c>
      <c r="H93" s="881"/>
      <c r="I93" s="857"/>
    </row>
    <row r="94" spans="1:9" ht="35.1" customHeight="1">
      <c r="A94" s="1428">
        <f>SUM($G$3:G94)</f>
        <v>92</v>
      </c>
      <c r="B94" s="1429" t="str">
        <f>'NT-VT'!C97</f>
        <v>Sắt Ø10</v>
      </c>
      <c r="C94" s="1430" t="str">
        <f>'NT-VT'!D97</f>
        <v>kg</v>
      </c>
      <c r="D94" s="2324">
        <f>'NT-VT'!E97</f>
        <v>1.1434800000000003</v>
      </c>
      <c r="E94" s="1428" t="str">
        <f>'NT-VT'!F97</f>
        <v>nt</v>
      </c>
      <c r="F94" s="1428" t="str">
        <f>'NT-VT'!G97</f>
        <v>nt</v>
      </c>
      <c r="G94" s="867">
        <f t="shared" ref="G94:G112" si="2">IF(ISERROR(B94),"",1)</f>
        <v>1</v>
      </c>
      <c r="H94" s="881"/>
      <c r="I94" s="857"/>
    </row>
    <row r="95" spans="1:9" ht="35.1" customHeight="1">
      <c r="A95" s="1428">
        <f>SUM($G$3:G95)</f>
        <v>93</v>
      </c>
      <c r="B95" s="1429" t="str">
        <f>'NT-VT'!C98</f>
        <v>Sắt Ø8</v>
      </c>
      <c r="C95" s="1430" t="str">
        <f>'NT-VT'!D98</f>
        <v>kg</v>
      </c>
      <c r="D95" s="2324">
        <f>'NT-VT'!E98</f>
        <v>16</v>
      </c>
      <c r="E95" s="1428" t="str">
        <f>'NT-VT'!F98</f>
        <v>nt</v>
      </c>
      <c r="F95" s="1428" t="str">
        <f>'NT-VT'!G98</f>
        <v>nt</v>
      </c>
      <c r="G95" s="867">
        <f t="shared" si="2"/>
        <v>1</v>
      </c>
      <c r="H95" s="881"/>
      <c r="I95" s="857"/>
    </row>
    <row r="96" spans="1:9" ht="35.1" customHeight="1">
      <c r="A96" s="1428">
        <f>SUM($G$3:G96)</f>
        <v>94</v>
      </c>
      <c r="B96" s="1429" t="str">
        <f>'NT-VT'!C99</f>
        <v>Ty neo Ø22x2400</v>
      </c>
      <c r="C96" s="1430" t="str">
        <f>'NT-VT'!D99</f>
        <v>cái</v>
      </c>
      <c r="D96" s="2324">
        <f>'NT-VT'!E99</f>
        <v>1</v>
      </c>
      <c r="E96" s="1428" t="str">
        <f>'NT-VT'!F99</f>
        <v>nt</v>
      </c>
      <c r="F96" s="1428" t="str">
        <f>'NT-VT'!G99</f>
        <v>nt</v>
      </c>
      <c r="G96" s="867">
        <f t="shared" si="2"/>
        <v>1</v>
      </c>
      <c r="H96" s="881"/>
      <c r="I96" s="857"/>
    </row>
    <row r="97" spans="1:9" ht="35.1" customHeight="1">
      <c r="A97" s="1428">
        <f>SUM($G$3:G97)</f>
        <v>95</v>
      </c>
      <c r="B97" s="1429" t="str">
        <f>'NT-VT'!C100</f>
        <v>Thùng điện kế 450x300x200mm đo đếm trung thế</v>
      </c>
      <c r="C97" s="1430" t="str">
        <f>'NT-VT'!D100</f>
        <v>cái</v>
      </c>
      <c r="D97" s="1431">
        <f>'NT-VT'!E100</f>
        <v>1</v>
      </c>
      <c r="E97" s="1428" t="str">
        <f>'NT-VT'!F100</f>
        <v>nt</v>
      </c>
      <c r="F97" s="1428" t="str">
        <f>'NT-VT'!G100</f>
        <v>nt</v>
      </c>
      <c r="G97" s="867">
        <f t="shared" si="2"/>
        <v>1</v>
      </c>
      <c r="H97" s="881"/>
      <c r="I97" s="857"/>
    </row>
    <row r="98" spans="1:9" ht="35.1" customHeight="1">
      <c r="A98" s="1428">
        <f>SUM($G$3:G98)</f>
        <v>96</v>
      </c>
      <c r="B98" s="1429" t="str">
        <f>'NT-VT'!C101</f>
        <v>Xà kẹp TU, TI U50x32x4 350</v>
      </c>
      <c r="C98" s="1430" t="str">
        <f>'NT-VT'!D101</f>
        <v>Bộ</v>
      </c>
      <c r="D98" s="1431">
        <f>'NT-VT'!E101</f>
        <v>24</v>
      </c>
      <c r="E98" s="1428" t="str">
        <f>'NT-VT'!F101</f>
        <v>nt</v>
      </c>
      <c r="F98" s="1428" t="str">
        <f>'NT-VT'!G101</f>
        <v>nt</v>
      </c>
      <c r="G98" s="867">
        <f t="shared" si="2"/>
        <v>1</v>
      </c>
      <c r="H98" s="881"/>
      <c r="I98" s="857"/>
    </row>
    <row r="99" spans="1:9" ht="35.1" customHeight="1">
      <c r="A99" s="1428">
        <f>SUM($G$3:G99)</f>
        <v>97</v>
      </c>
      <c r="B99" s="1429" t="str">
        <f>'NT-VT'!C102</f>
        <v>Yếm cáp dày 2mm</v>
      </c>
      <c r="C99" s="1430" t="str">
        <f>'NT-VT'!D102</f>
        <v>cái</v>
      </c>
      <c r="D99" s="1431">
        <f>'NT-VT'!E102</f>
        <v>2</v>
      </c>
      <c r="E99" s="1428" t="str">
        <f>'NT-VT'!F102</f>
        <v>nt</v>
      </c>
      <c r="F99" s="1428" t="str">
        <f>'NT-VT'!G102</f>
        <v>nt</v>
      </c>
      <c r="G99" s="867">
        <f t="shared" si="2"/>
        <v>1</v>
      </c>
      <c r="H99" s="881"/>
      <c r="I99" s="857"/>
    </row>
    <row r="100" spans="1:9" ht="35.1" customHeight="1">
      <c r="A100" s="1428">
        <f>SUM($G$3:G100)</f>
        <v>98</v>
      </c>
      <c r="B100" s="1429" t="str">
        <f>'NT-VT'!C103</f>
        <v>Ximăng (PC40)</v>
      </c>
      <c r="C100" s="1430" t="str">
        <f>'NT-VT'!D103</f>
        <v>kg</v>
      </c>
      <c r="D100" s="1431">
        <f>'NT-VT'!E103</f>
        <v>504</v>
      </c>
      <c r="E100" s="1428" t="str">
        <f>'NT-VT'!F103</f>
        <v>Địa phương</v>
      </c>
      <c r="F100" s="1428" t="str">
        <f>'NT-VT'!G103</f>
        <v>Địa phương</v>
      </c>
      <c r="G100" s="867">
        <f t="shared" si="2"/>
        <v>1</v>
      </c>
      <c r="H100" s="881"/>
      <c r="I100" s="857"/>
    </row>
    <row r="101" spans="1:9" ht="35.1" customHeight="1">
      <c r="A101" s="1428">
        <f>SUM($G$3:G101)</f>
        <v>99</v>
      </c>
      <c r="B101" s="1429" t="str">
        <f>'NT-VT'!C104</f>
        <v>Cát vàng</v>
      </c>
      <c r="C101" s="1430" t="str">
        <f>'NT-VT'!D104</f>
        <v>m3</v>
      </c>
      <c r="D101" s="1431">
        <f>'NT-VT'!E104</f>
        <v>0.80900000000000005</v>
      </c>
      <c r="E101" s="1428" t="str">
        <f>'NT-VT'!F104</f>
        <v>nt</v>
      </c>
      <c r="F101" s="1428" t="str">
        <f>'NT-VT'!G104</f>
        <v>nt</v>
      </c>
      <c r="G101" s="867">
        <f t="shared" si="2"/>
        <v>1</v>
      </c>
      <c r="H101" s="881"/>
      <c r="I101" s="857"/>
    </row>
    <row r="102" spans="1:9" ht="35.1" customHeight="1">
      <c r="A102" s="1428">
        <f>SUM($G$3:G102)</f>
        <v>100</v>
      </c>
      <c r="B102" s="1429" t="str">
        <f>'NT-VT'!C105</f>
        <v>Đá 1x2</v>
      </c>
      <c r="C102" s="1430" t="str">
        <f>'NT-VT'!D105</f>
        <v>m3</v>
      </c>
      <c r="D102" s="1431">
        <f>'NT-VT'!E105</f>
        <v>1.5009999999999999</v>
      </c>
      <c r="E102" s="1428" t="str">
        <f>'NT-VT'!F105</f>
        <v>nt</v>
      </c>
      <c r="F102" s="1428" t="str">
        <f>'NT-VT'!G105</f>
        <v>nt</v>
      </c>
      <c r="G102" s="867">
        <f t="shared" si="2"/>
        <v>1</v>
      </c>
      <c r="H102" s="881"/>
      <c r="I102" s="857"/>
    </row>
    <row r="103" spans="1:9" ht="35.1" hidden="1" customHeight="1">
      <c r="A103" s="1428">
        <f>SUM($G$3:G103)</f>
        <v>100</v>
      </c>
      <c r="B103" s="1429" t="e">
        <f>'NT-VT'!C106</f>
        <v>#N/A</v>
      </c>
      <c r="C103" s="1430">
        <f>'NT-VT'!D106</f>
        <v>0</v>
      </c>
      <c r="D103" s="1431">
        <f>'NT-VT'!E106</f>
        <v>0</v>
      </c>
      <c r="E103" s="1428" t="str">
        <f>'NT-VT'!F106</f>
        <v/>
      </c>
      <c r="F103" s="1428" t="str">
        <f>'NT-VT'!G106</f>
        <v/>
      </c>
      <c r="G103" s="867" t="str">
        <f t="shared" si="2"/>
        <v/>
      </c>
      <c r="H103" s="881"/>
      <c r="I103" s="857"/>
    </row>
    <row r="104" spans="1:9" ht="35.1" hidden="1" customHeight="1">
      <c r="A104" s="1428">
        <f>SUM($G$3:G104)</f>
        <v>100</v>
      </c>
      <c r="B104" s="1429" t="e">
        <f>'NT-VT'!C107</f>
        <v>#N/A</v>
      </c>
      <c r="C104" s="1430">
        <f>'NT-VT'!D107</f>
        <v>0</v>
      </c>
      <c r="D104" s="1431">
        <f>'NT-VT'!E107</f>
        <v>0</v>
      </c>
      <c r="E104" s="1428" t="str">
        <f>'NT-VT'!F107</f>
        <v/>
      </c>
      <c r="F104" s="1428" t="str">
        <f>'NT-VT'!G107</f>
        <v/>
      </c>
      <c r="G104" s="867" t="str">
        <f t="shared" si="2"/>
        <v/>
      </c>
      <c r="H104" s="881"/>
      <c r="I104" s="857"/>
    </row>
    <row r="105" spans="1:9" ht="35.1" hidden="1" customHeight="1">
      <c r="A105" s="1428">
        <f>SUM($G$3:G105)</f>
        <v>100</v>
      </c>
      <c r="B105" s="1429" t="e">
        <f>'NT-VT'!C108</f>
        <v>#N/A</v>
      </c>
      <c r="C105" s="1430">
        <f>'NT-VT'!D108</f>
        <v>0</v>
      </c>
      <c r="D105" s="1431">
        <f>'NT-VT'!E108</f>
        <v>0</v>
      </c>
      <c r="E105" s="1428" t="str">
        <f>'NT-VT'!F108</f>
        <v/>
      </c>
      <c r="F105" s="1428" t="str">
        <f>'NT-VT'!G108</f>
        <v/>
      </c>
      <c r="G105" s="867" t="str">
        <f t="shared" si="2"/>
        <v/>
      </c>
      <c r="H105" s="881"/>
      <c r="I105" s="857"/>
    </row>
    <row r="106" spans="1:9" ht="35.1" hidden="1" customHeight="1">
      <c r="A106" s="1428">
        <f>SUM($G$3:G106)</f>
        <v>100</v>
      </c>
      <c r="B106" s="1429" t="e">
        <f>'NT-VT'!C109</f>
        <v>#N/A</v>
      </c>
      <c r="C106" s="1430">
        <f>'NT-VT'!D109</f>
        <v>0</v>
      </c>
      <c r="D106" s="1431">
        <f>'NT-VT'!E109</f>
        <v>0</v>
      </c>
      <c r="E106" s="1428" t="str">
        <f>'NT-VT'!F109</f>
        <v/>
      </c>
      <c r="F106" s="1428" t="str">
        <f>'NT-VT'!G109</f>
        <v/>
      </c>
      <c r="G106" s="867" t="str">
        <f t="shared" si="2"/>
        <v/>
      </c>
      <c r="H106" s="881"/>
      <c r="I106" s="857"/>
    </row>
    <row r="107" spans="1:9" ht="35.1" hidden="1" customHeight="1">
      <c r="A107" s="1428">
        <f>SUM($G$3:G107)</f>
        <v>100</v>
      </c>
      <c r="B107" s="1429" t="e">
        <f>'NT-VT'!C110</f>
        <v>#N/A</v>
      </c>
      <c r="C107" s="1430">
        <f>'NT-VT'!D110</f>
        <v>0</v>
      </c>
      <c r="D107" s="1431">
        <f>'NT-VT'!E110</f>
        <v>0</v>
      </c>
      <c r="E107" s="1428" t="str">
        <f>'NT-VT'!F110</f>
        <v/>
      </c>
      <c r="F107" s="1428" t="str">
        <f>'NT-VT'!G110</f>
        <v/>
      </c>
      <c r="G107" s="867" t="str">
        <f t="shared" si="2"/>
        <v/>
      </c>
      <c r="H107" s="881"/>
      <c r="I107" s="857"/>
    </row>
    <row r="108" spans="1:9" ht="35.1" hidden="1" customHeight="1">
      <c r="A108" s="1428">
        <f>SUM($G$3:G108)</f>
        <v>100</v>
      </c>
      <c r="B108" s="1429" t="e">
        <f>'NT-VT'!C111</f>
        <v>#N/A</v>
      </c>
      <c r="C108" s="1430">
        <f>'NT-VT'!D111</f>
        <v>0</v>
      </c>
      <c r="D108" s="1431">
        <f>'NT-VT'!E111</f>
        <v>0</v>
      </c>
      <c r="E108" s="1428" t="str">
        <f>'NT-VT'!F111</f>
        <v/>
      </c>
      <c r="F108" s="1428" t="str">
        <f>'NT-VT'!G111</f>
        <v/>
      </c>
      <c r="G108" s="867" t="str">
        <f t="shared" si="2"/>
        <v/>
      </c>
      <c r="H108" s="881"/>
      <c r="I108" s="857"/>
    </row>
    <row r="109" spans="1:9" ht="35.1" hidden="1" customHeight="1">
      <c r="A109" s="1428">
        <f>SUM($G$3:G109)</f>
        <v>100</v>
      </c>
      <c r="B109" s="1429" t="e">
        <f>'NT-VT'!C112</f>
        <v>#N/A</v>
      </c>
      <c r="C109" s="1430">
        <f>'NT-VT'!D112</f>
        <v>0</v>
      </c>
      <c r="D109" s="1431">
        <f>'NT-VT'!E112</f>
        <v>0</v>
      </c>
      <c r="E109" s="1428" t="str">
        <f>'NT-VT'!F112</f>
        <v/>
      </c>
      <c r="F109" s="1428" t="str">
        <f>'NT-VT'!G112</f>
        <v/>
      </c>
      <c r="G109" s="867" t="str">
        <f t="shared" si="2"/>
        <v/>
      </c>
      <c r="H109" s="881"/>
      <c r="I109" s="857"/>
    </row>
    <row r="110" spans="1:9" ht="35.1" hidden="1" customHeight="1">
      <c r="A110" s="1428">
        <f>SUM($G$3:G110)</f>
        <v>100</v>
      </c>
      <c r="B110" s="1429" t="e">
        <f>'NT-VT'!C113</f>
        <v>#N/A</v>
      </c>
      <c r="C110" s="1430">
        <f>'NT-VT'!D113</f>
        <v>0</v>
      </c>
      <c r="D110" s="1431">
        <f>'NT-VT'!E113</f>
        <v>0</v>
      </c>
      <c r="E110" s="1428" t="str">
        <f>'NT-VT'!F113</f>
        <v/>
      </c>
      <c r="F110" s="1428" t="str">
        <f>'NT-VT'!G113</f>
        <v/>
      </c>
      <c r="G110" s="867" t="str">
        <f t="shared" si="2"/>
        <v/>
      </c>
      <c r="H110" s="881"/>
      <c r="I110" s="857"/>
    </row>
    <row r="111" spans="1:9" ht="35.1" hidden="1" customHeight="1">
      <c r="A111" s="1428">
        <f>SUM($G$3:G111)</f>
        <v>100</v>
      </c>
      <c r="B111" s="1429" t="e">
        <f>'NT-VT'!C114</f>
        <v>#N/A</v>
      </c>
      <c r="C111" s="1430">
        <f>'NT-VT'!D114</f>
        <v>0</v>
      </c>
      <c r="D111" s="1431">
        <f>'NT-VT'!E114</f>
        <v>0</v>
      </c>
      <c r="E111" s="1428" t="str">
        <f>'NT-VT'!F114</f>
        <v/>
      </c>
      <c r="F111" s="1428" t="str">
        <f>'NT-VT'!G114</f>
        <v/>
      </c>
      <c r="G111" s="867" t="str">
        <f t="shared" si="2"/>
        <v/>
      </c>
      <c r="H111" s="881"/>
      <c r="I111" s="857"/>
    </row>
    <row r="112" spans="1:9" ht="35.1" hidden="1" customHeight="1">
      <c r="A112" s="1428">
        <f>SUM($G$3:G112)</f>
        <v>100</v>
      </c>
      <c r="B112" s="1429" t="e">
        <f>'NT-VT'!C115</f>
        <v>#N/A</v>
      </c>
      <c r="C112" s="1430">
        <f>'NT-VT'!D115</f>
        <v>0</v>
      </c>
      <c r="D112" s="1431">
        <f>'NT-VT'!E115</f>
        <v>0</v>
      </c>
      <c r="E112" s="1428" t="str">
        <f>'NT-VT'!F115</f>
        <v/>
      </c>
      <c r="F112" s="1428" t="str">
        <f>'NT-VT'!G115</f>
        <v/>
      </c>
      <c r="G112" s="867" t="str">
        <f t="shared" si="2"/>
        <v/>
      </c>
      <c r="H112" s="881"/>
      <c r="I112" s="857"/>
    </row>
    <row r="113" spans="1:9" ht="35.1" hidden="1" customHeight="1">
      <c r="A113" s="1428">
        <f>SUM($G$3:G113)</f>
        <v>100</v>
      </c>
      <c r="B113" s="1429" t="e">
        <f>'NT-VT'!C116</f>
        <v>#N/A</v>
      </c>
      <c r="C113" s="1430">
        <f>'NT-VT'!D116</f>
        <v>0</v>
      </c>
      <c r="D113" s="1431">
        <f>'NT-VT'!E116</f>
        <v>0</v>
      </c>
      <c r="E113" s="1428" t="str">
        <f>'NT-VT'!F116</f>
        <v/>
      </c>
      <c r="F113" s="1428" t="str">
        <f>'NT-VT'!G116</f>
        <v/>
      </c>
      <c r="G113" s="867" t="str">
        <f t="shared" si="1"/>
        <v/>
      </c>
      <c r="H113" s="881"/>
      <c r="I113" s="857"/>
    </row>
  </sheetData>
  <autoFilter ref="A2:I113" xr:uid="{00000000-0009-0000-0000-00001F000000}">
    <filterColumn colId="6">
      <customFilters>
        <customFilter operator="notEqual" val=" "/>
      </customFilters>
    </filterColumn>
  </autoFilter>
  <mergeCells count="1">
    <mergeCell ref="A1:F1"/>
  </mergeCells>
  <pageMargins left="0.55118110236220497" right="0.27559055118110198" top="0.55000000000000004" bottom="0.4" header="0.31496062992126" footer="0.36"/>
  <pageSetup paperSize="9"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O65"/>
  <sheetViews>
    <sheetView workbookViewId="0">
      <selection activeCell="D3" sqref="D3:J65"/>
    </sheetView>
  </sheetViews>
  <sheetFormatPr defaultRowHeight="16.8"/>
  <cols>
    <col min="1" max="1" width="8.81640625" style="1282"/>
    <col min="3" max="3" width="16.453125" style="1010" customWidth="1"/>
    <col min="4" max="4" width="6.81640625" customWidth="1"/>
    <col min="5" max="5" width="34.26953125" customWidth="1"/>
    <col min="6" max="6" width="6.81640625" style="1282" customWidth="1"/>
    <col min="7" max="8" width="9.453125" customWidth="1"/>
    <col min="9" max="9" width="10.54296875" hidden="1" customWidth="1"/>
    <col min="10" max="10" width="6.36328125" customWidth="1"/>
  </cols>
  <sheetData>
    <row r="1" spans="1:15" ht="22.5" customHeight="1">
      <c r="E1" s="931"/>
      <c r="F1" s="931"/>
    </row>
    <row r="3" spans="1:15" ht="31.2">
      <c r="D3" s="1440" t="s">
        <v>1712</v>
      </c>
      <c r="E3" s="1440" t="s">
        <v>4226</v>
      </c>
      <c r="F3" s="1507" t="s">
        <v>4229</v>
      </c>
      <c r="G3" s="1507" t="s">
        <v>4943</v>
      </c>
      <c r="H3" s="1507" t="s">
        <v>4197</v>
      </c>
      <c r="I3" s="1507" t="s">
        <v>4230</v>
      </c>
      <c r="J3" s="1507" t="s">
        <v>4196</v>
      </c>
      <c r="K3" s="1444">
        <v>2</v>
      </c>
    </row>
    <row r="4" spans="1:15" ht="18" hidden="1" customHeight="1">
      <c r="A4" s="1282" t="str">
        <f>N4&amp;B4</f>
        <v>81</v>
      </c>
      <c r="B4">
        <v>1</v>
      </c>
      <c r="C4" s="1010" t="s">
        <v>1630</v>
      </c>
      <c r="D4" s="1441">
        <f ca="1">SUM($K$4:K4)</f>
        <v>0</v>
      </c>
      <c r="E4" s="2285" t="e">
        <f>VLOOKUP(C4,KhoiLuong,5,0)</f>
        <v>#N/A</v>
      </c>
      <c r="F4" s="1974" t="e">
        <f t="shared" ref="F4" si="0">VLOOKUP(C4,KhoiLuong,6,0)</f>
        <v>#N/A</v>
      </c>
      <c r="G4" s="1445">
        <f t="shared" ref="G4" ca="1" si="1">SUMIF(KhoiLuong,C4,DuToan)</f>
        <v>0</v>
      </c>
      <c r="H4" s="1445">
        <f t="shared" ref="H4" ca="1" si="2">SUMIF(KhoiLuong,C4,ThiCong)</f>
        <v>0</v>
      </c>
      <c r="I4" s="1445">
        <f>Solieu!$B$3</f>
        <v>3</v>
      </c>
      <c r="J4" s="1442"/>
      <c r="K4" t="str">
        <f ca="1">IF(OR(G4&gt;0,H4&gt;0),1,"")</f>
        <v/>
      </c>
      <c r="L4" s="931">
        <v>4</v>
      </c>
      <c r="M4">
        <v>9</v>
      </c>
      <c r="N4">
        <v>8</v>
      </c>
      <c r="O4" s="2270">
        <f ca="1">G4</f>
        <v>0</v>
      </c>
    </row>
    <row r="5" spans="1:15" ht="18" hidden="1" customHeight="1">
      <c r="A5" s="1282" t="str">
        <f t="shared" ref="A5:A12" si="3">N5&amp;B5</f>
        <v>81</v>
      </c>
      <c r="B5">
        <v>1</v>
      </c>
      <c r="C5" s="1010" t="s">
        <v>242</v>
      </c>
      <c r="D5" s="1974">
        <f ca="1">SUM($K$4:K5)</f>
        <v>0</v>
      </c>
      <c r="E5" s="2285" t="e">
        <f>VLOOKUP(C5,KhoiLuong,5,0)</f>
        <v>#N/A</v>
      </c>
      <c r="F5" s="1974" t="e">
        <f t="shared" ref="F5:F13" si="4">VLOOKUP(C5,KhoiLuong,6,0)</f>
        <v>#N/A</v>
      </c>
      <c r="G5" s="1445">
        <f t="shared" ref="G5:G13" ca="1" si="5">SUMIF(KhoiLuong,C5,DuToan)</f>
        <v>0</v>
      </c>
      <c r="H5" s="1445">
        <f t="shared" ref="H5:H13" ca="1" si="6">SUMIF(KhoiLuong,C5,ThiCong)</f>
        <v>0</v>
      </c>
      <c r="I5" s="1445">
        <f>Solieu!$B$3</f>
        <v>3</v>
      </c>
      <c r="J5" s="1442"/>
      <c r="K5" s="1282" t="str">
        <f t="shared" ref="K5:K65" ca="1" si="7">IF(OR(G5&gt;0,H5&gt;0),1,"")</f>
        <v/>
      </c>
      <c r="L5" s="931">
        <v>1</v>
      </c>
      <c r="M5">
        <v>2</v>
      </c>
      <c r="N5">
        <v>8</v>
      </c>
      <c r="O5" s="2270">
        <f t="shared" ref="O5:O12" ca="1" si="8">G5</f>
        <v>0</v>
      </c>
    </row>
    <row r="6" spans="1:15" ht="18" hidden="1" customHeight="1">
      <c r="A6" s="1282" t="str">
        <f t="shared" si="3"/>
        <v>121</v>
      </c>
      <c r="B6" s="1282">
        <v>1</v>
      </c>
      <c r="C6" s="1010" t="s">
        <v>87</v>
      </c>
      <c r="D6" s="1974">
        <f ca="1">SUM($K$4:K6)</f>
        <v>0</v>
      </c>
      <c r="E6" s="2285" t="e">
        <f>VLOOKUP(C6,KhoiLuong,5,0)</f>
        <v>#N/A</v>
      </c>
      <c r="F6" s="1974" t="e">
        <f t="shared" si="4"/>
        <v>#N/A</v>
      </c>
      <c r="G6" s="1445">
        <f t="shared" ca="1" si="5"/>
        <v>0</v>
      </c>
      <c r="H6" s="1445">
        <f t="shared" ca="1" si="6"/>
        <v>0</v>
      </c>
      <c r="I6" s="1445">
        <f>Solieu!$B$3</f>
        <v>3</v>
      </c>
      <c r="J6" s="1442"/>
      <c r="K6" s="1282" t="str">
        <f t="shared" ca="1" si="7"/>
        <v/>
      </c>
      <c r="L6" s="931">
        <v>15</v>
      </c>
      <c r="M6">
        <v>24</v>
      </c>
      <c r="N6">
        <v>12</v>
      </c>
      <c r="O6" s="2270">
        <f t="shared" ca="1" si="8"/>
        <v>0</v>
      </c>
    </row>
    <row r="7" spans="1:15" s="1282" customFormat="1" ht="18" hidden="1" customHeight="1">
      <c r="A7" s="1282" t="str">
        <f t="shared" si="3"/>
        <v>121</v>
      </c>
      <c r="B7" s="1282">
        <v>1</v>
      </c>
      <c r="C7" s="1010" t="s">
        <v>102</v>
      </c>
      <c r="D7" s="1974">
        <f ca="1">SUM($K$4:K7)</f>
        <v>0</v>
      </c>
      <c r="E7" s="2285" t="e">
        <f>VLOOKUP(C7,KhoiLuong,5,0)</f>
        <v>#N/A</v>
      </c>
      <c r="F7" s="1974" t="e">
        <f t="shared" si="4"/>
        <v>#N/A</v>
      </c>
      <c r="G7" s="1445">
        <f t="shared" ca="1" si="5"/>
        <v>0</v>
      </c>
      <c r="H7" s="1445">
        <f t="shared" ca="1" si="6"/>
        <v>0</v>
      </c>
      <c r="I7" s="1445">
        <f>Solieu!$B$3</f>
        <v>3</v>
      </c>
      <c r="J7" s="1442"/>
      <c r="K7" s="1282" t="str">
        <f t="shared" ca="1" si="7"/>
        <v/>
      </c>
      <c r="L7" s="931">
        <v>1</v>
      </c>
      <c r="M7" s="1282">
        <v>1</v>
      </c>
      <c r="N7" s="1282">
        <v>12</v>
      </c>
      <c r="O7" s="2270">
        <f t="shared" ca="1" si="8"/>
        <v>0</v>
      </c>
    </row>
    <row r="8" spans="1:15" s="1282" customFormat="1" ht="18" hidden="1" customHeight="1">
      <c r="A8" s="1282" t="str">
        <f t="shared" si="3"/>
        <v>121</v>
      </c>
      <c r="B8" s="1282">
        <v>1</v>
      </c>
      <c r="C8" s="1010" t="s">
        <v>762</v>
      </c>
      <c r="D8" s="1974">
        <f ca="1">SUM($K$4:K8)</f>
        <v>0</v>
      </c>
      <c r="E8" s="2285" t="e">
        <f>VLOOKUP(C8,KhoiLuong,5,0)</f>
        <v>#N/A</v>
      </c>
      <c r="F8" s="1974" t="e">
        <f t="shared" si="4"/>
        <v>#N/A</v>
      </c>
      <c r="G8" s="1445">
        <f t="shared" ca="1" si="5"/>
        <v>0</v>
      </c>
      <c r="H8" s="1445">
        <f t="shared" ca="1" si="6"/>
        <v>0</v>
      </c>
      <c r="I8" s="1445">
        <f>Solieu!$B$3</f>
        <v>3</v>
      </c>
      <c r="J8" s="1442"/>
      <c r="K8" s="1282" t="str">
        <f t="shared" ca="1" si="7"/>
        <v/>
      </c>
      <c r="L8" s="931">
        <v>2</v>
      </c>
      <c r="M8" s="1282">
        <v>7</v>
      </c>
      <c r="N8" s="1282">
        <v>12</v>
      </c>
      <c r="O8" s="2270">
        <f t="shared" ca="1" si="8"/>
        <v>0</v>
      </c>
    </row>
    <row r="9" spans="1:15" s="1282" customFormat="1" ht="18" hidden="1" customHeight="1">
      <c r="A9" s="1282" t="str">
        <f t="shared" si="3"/>
        <v>82</v>
      </c>
      <c r="B9" s="1282">
        <v>2</v>
      </c>
      <c r="C9" s="1010" t="s">
        <v>761</v>
      </c>
      <c r="D9" s="1974">
        <f ca="1">SUM($K$4:K9)</f>
        <v>0</v>
      </c>
      <c r="E9" s="2285" t="e">
        <f>VLOOKUP(C9,KhoiLuong,5,0)</f>
        <v>#N/A</v>
      </c>
      <c r="F9" s="1974" t="e">
        <f t="shared" si="4"/>
        <v>#N/A</v>
      </c>
      <c r="G9" s="1445">
        <f t="shared" ca="1" si="5"/>
        <v>0</v>
      </c>
      <c r="H9" s="1445">
        <f t="shared" ca="1" si="6"/>
        <v>0</v>
      </c>
      <c r="I9" s="1445">
        <v>3</v>
      </c>
      <c r="J9" s="1442"/>
      <c r="K9" s="1282" t="str">
        <f t="shared" ca="1" si="7"/>
        <v/>
      </c>
      <c r="L9" s="931"/>
      <c r="N9" s="1282">
        <v>8</v>
      </c>
      <c r="O9" s="2270">
        <f t="shared" ca="1" si="8"/>
        <v>0</v>
      </c>
    </row>
    <row r="10" spans="1:15" s="1282" customFormat="1" ht="18" hidden="1" customHeight="1">
      <c r="A10" s="1282" t="str">
        <f t="shared" si="3"/>
        <v>82</v>
      </c>
      <c r="B10" s="1282">
        <v>2</v>
      </c>
      <c r="C10" s="1010" t="s">
        <v>443</v>
      </c>
      <c r="D10" s="1974">
        <f ca="1">SUM($K$4:K10)</f>
        <v>0</v>
      </c>
      <c r="E10" s="2285" t="e">
        <f>VLOOKUP(C10,KhoiLuong,5,0)</f>
        <v>#N/A</v>
      </c>
      <c r="F10" s="1974" t="e">
        <f t="shared" si="4"/>
        <v>#N/A</v>
      </c>
      <c r="G10" s="1445">
        <f t="shared" ca="1" si="5"/>
        <v>0</v>
      </c>
      <c r="H10" s="1445">
        <f t="shared" ca="1" si="6"/>
        <v>0</v>
      </c>
      <c r="I10" s="1445">
        <v>3</v>
      </c>
      <c r="J10" s="1442"/>
      <c r="K10" s="1282" t="str">
        <f t="shared" ca="1" si="7"/>
        <v/>
      </c>
      <c r="L10" s="931"/>
      <c r="N10" s="1282">
        <v>8</v>
      </c>
      <c r="O10" s="2270">
        <f t="shared" ca="1" si="8"/>
        <v>0</v>
      </c>
    </row>
    <row r="11" spans="1:15" s="1282" customFormat="1" ht="18" hidden="1" customHeight="1">
      <c r="A11" s="1282" t="str">
        <f t="shared" si="3"/>
        <v>122</v>
      </c>
      <c r="B11" s="1282">
        <v>2</v>
      </c>
      <c r="C11" s="1010" t="s">
        <v>444</v>
      </c>
      <c r="D11" s="1974">
        <f ca="1">SUM($K$4:K11)</f>
        <v>0</v>
      </c>
      <c r="E11" s="2285" t="e">
        <f>VLOOKUP(C11,KhoiLuong,5,0)</f>
        <v>#N/A</v>
      </c>
      <c r="F11" s="1974" t="e">
        <f t="shared" si="4"/>
        <v>#N/A</v>
      </c>
      <c r="G11" s="1445">
        <f t="shared" ca="1" si="5"/>
        <v>0</v>
      </c>
      <c r="H11" s="1445">
        <f t="shared" ca="1" si="6"/>
        <v>0</v>
      </c>
      <c r="I11" s="1445">
        <v>3</v>
      </c>
      <c r="J11" s="1442"/>
      <c r="K11" s="1282" t="str">
        <f t="shared" ca="1" si="7"/>
        <v/>
      </c>
      <c r="L11" s="931"/>
      <c r="N11" s="1282">
        <v>12</v>
      </c>
      <c r="O11" s="2270">
        <f t="shared" ca="1" si="8"/>
        <v>0</v>
      </c>
    </row>
    <row r="12" spans="1:15" s="1282" customFormat="1" ht="18" hidden="1" customHeight="1">
      <c r="A12" s="1282" t="str">
        <f t="shared" si="3"/>
        <v>122</v>
      </c>
      <c r="B12" s="1282">
        <v>2</v>
      </c>
      <c r="C12" s="1010" t="s">
        <v>958</v>
      </c>
      <c r="D12" s="1974">
        <f ca="1">SUM($K$4:K12)</f>
        <v>0</v>
      </c>
      <c r="E12" s="2285" t="e">
        <f>VLOOKUP(C12,KhoiLuong,5,0)</f>
        <v>#N/A</v>
      </c>
      <c r="F12" s="1974" t="e">
        <f t="shared" si="4"/>
        <v>#N/A</v>
      </c>
      <c r="G12" s="1445">
        <f t="shared" ca="1" si="5"/>
        <v>0</v>
      </c>
      <c r="H12" s="1445">
        <f t="shared" ca="1" si="6"/>
        <v>0</v>
      </c>
      <c r="I12" s="1445"/>
      <c r="J12" s="1442"/>
      <c r="K12" s="1282" t="str">
        <f t="shared" ca="1" si="7"/>
        <v/>
      </c>
      <c r="L12" s="931"/>
      <c r="N12" s="1282">
        <v>12</v>
      </c>
      <c r="O12" s="2270">
        <f t="shared" ca="1" si="8"/>
        <v>0</v>
      </c>
    </row>
    <row r="13" spans="1:15" s="1282" customFormat="1" ht="18" hidden="1" customHeight="1">
      <c r="C13" s="1010" t="s">
        <v>2182</v>
      </c>
      <c r="D13" s="1974">
        <f ca="1">SUM($K$4:K13)</f>
        <v>0</v>
      </c>
      <c r="E13" s="2285" t="e">
        <f>VLOOKUP(C13,KhoiLuong,5,0)</f>
        <v>#N/A</v>
      </c>
      <c r="F13" s="1974" t="e">
        <f t="shared" si="4"/>
        <v>#N/A</v>
      </c>
      <c r="G13" s="1445">
        <f t="shared" ca="1" si="5"/>
        <v>0</v>
      </c>
      <c r="H13" s="1445">
        <f t="shared" ca="1" si="6"/>
        <v>0</v>
      </c>
      <c r="I13" s="1445"/>
      <c r="J13" s="1442"/>
      <c r="K13" s="1282" t="str">
        <f t="shared" ref="K13:K63" ca="1" si="9">IF(OR(G13&gt;0,H13&gt;0),1,"")</f>
        <v/>
      </c>
      <c r="L13" s="931"/>
    </row>
    <row r="14" spans="1:15" s="1282" customFormat="1" ht="18" hidden="1" customHeight="1">
      <c r="C14" s="1010" t="s">
        <v>2321</v>
      </c>
      <c r="D14" s="1974">
        <f ca="1">SUM($K$4:K14)</f>
        <v>0</v>
      </c>
      <c r="E14" s="2285" t="e">
        <f>VLOOKUP(C14,KhoiLuong,5,0)</f>
        <v>#N/A</v>
      </c>
      <c r="F14" s="1974" t="e">
        <f t="shared" ref="F14:F63" si="10">VLOOKUP(C14,KhoiLuong,6,0)</f>
        <v>#N/A</v>
      </c>
      <c r="G14" s="1445">
        <f t="shared" ref="G14:G63" ca="1" si="11">SUMIF(KhoiLuong,C14,DuToan)</f>
        <v>0</v>
      </c>
      <c r="H14" s="1445">
        <f t="shared" ref="H14:H63" ca="1" si="12">SUMIF(KhoiLuong,C14,ThiCong)</f>
        <v>0</v>
      </c>
      <c r="I14" s="1445"/>
      <c r="J14" s="1442"/>
      <c r="K14" s="1282" t="str">
        <f t="shared" ca="1" si="9"/>
        <v/>
      </c>
      <c r="L14" s="931"/>
    </row>
    <row r="15" spans="1:15" s="1282" customFormat="1" ht="18" hidden="1" customHeight="1">
      <c r="C15" s="1010" t="s">
        <v>4154</v>
      </c>
      <c r="D15" s="1974">
        <f ca="1">SUM($K$4:K15)</f>
        <v>0</v>
      </c>
      <c r="E15" s="2285" t="e">
        <f>VLOOKUP(C15,KhoiLuong,5,0)</f>
        <v>#N/A</v>
      </c>
      <c r="F15" s="1974" t="e">
        <f t="shared" si="10"/>
        <v>#N/A</v>
      </c>
      <c r="G15" s="1445">
        <f t="shared" ca="1" si="11"/>
        <v>0</v>
      </c>
      <c r="H15" s="1445">
        <f t="shared" ca="1" si="12"/>
        <v>0</v>
      </c>
      <c r="I15" s="1445"/>
      <c r="J15" s="1442"/>
      <c r="K15" s="1282" t="str">
        <f t="shared" ca="1" si="9"/>
        <v/>
      </c>
      <c r="L15" s="931"/>
    </row>
    <row r="16" spans="1:15" s="1282" customFormat="1" ht="18" hidden="1" customHeight="1">
      <c r="C16" s="1010" t="s">
        <v>234</v>
      </c>
      <c r="D16" s="1974">
        <f ca="1">SUM($K$4:K16)</f>
        <v>0</v>
      </c>
      <c r="E16" s="2285" t="e">
        <f>VLOOKUP(C16,KhoiLuong,5,0)</f>
        <v>#N/A</v>
      </c>
      <c r="F16" s="1974" t="e">
        <f t="shared" si="10"/>
        <v>#N/A</v>
      </c>
      <c r="G16" s="1445">
        <f t="shared" ca="1" si="11"/>
        <v>0</v>
      </c>
      <c r="H16" s="1445">
        <f t="shared" ca="1" si="12"/>
        <v>0</v>
      </c>
      <c r="I16" s="1445"/>
      <c r="J16" s="1442"/>
      <c r="K16" s="1282" t="str">
        <f t="shared" ca="1" si="9"/>
        <v/>
      </c>
      <c r="L16" s="931"/>
    </row>
    <row r="17" spans="3:12" s="1282" customFormat="1" ht="18" hidden="1" customHeight="1">
      <c r="C17" s="1010" t="s">
        <v>2183</v>
      </c>
      <c r="D17" s="1974">
        <f ca="1">SUM($K$4:K17)</f>
        <v>0</v>
      </c>
      <c r="E17" s="2285" t="e">
        <f>VLOOKUP(C17,KhoiLuong,5,0)</f>
        <v>#N/A</v>
      </c>
      <c r="F17" s="1974" t="e">
        <f t="shared" si="10"/>
        <v>#N/A</v>
      </c>
      <c r="G17" s="1445">
        <f t="shared" ca="1" si="11"/>
        <v>0</v>
      </c>
      <c r="H17" s="1445">
        <f t="shared" ca="1" si="12"/>
        <v>0</v>
      </c>
      <c r="I17" s="1445"/>
      <c r="J17" s="1442"/>
      <c r="K17" s="1282" t="str">
        <f t="shared" ca="1" si="9"/>
        <v/>
      </c>
      <c r="L17" s="931"/>
    </row>
    <row r="18" spans="3:12" s="1282" customFormat="1" ht="18" hidden="1" customHeight="1">
      <c r="C18" s="1010" t="s">
        <v>932</v>
      </c>
      <c r="D18" s="1974">
        <f ca="1">SUM($K$4:K18)</f>
        <v>0</v>
      </c>
      <c r="E18" s="2285" t="e">
        <f>VLOOKUP(C18,KhoiLuong,5,0)</f>
        <v>#N/A</v>
      </c>
      <c r="F18" s="1974" t="e">
        <f t="shared" si="10"/>
        <v>#N/A</v>
      </c>
      <c r="G18" s="1445">
        <f t="shared" ca="1" si="11"/>
        <v>0</v>
      </c>
      <c r="H18" s="1445">
        <f t="shared" ca="1" si="12"/>
        <v>0</v>
      </c>
      <c r="I18" s="1445"/>
      <c r="J18" s="1442"/>
      <c r="K18" s="1282" t="str">
        <f t="shared" ca="1" si="9"/>
        <v/>
      </c>
      <c r="L18" s="931"/>
    </row>
    <row r="19" spans="3:12" s="1282" customFormat="1" ht="18" hidden="1" customHeight="1">
      <c r="C19" s="1010" t="s">
        <v>933</v>
      </c>
      <c r="D19" s="1974">
        <f ca="1">SUM($K$4:K19)</f>
        <v>0</v>
      </c>
      <c r="E19" s="2285" t="e">
        <f>VLOOKUP(C19,KhoiLuong,5,0)</f>
        <v>#N/A</v>
      </c>
      <c r="F19" s="1974" t="e">
        <f t="shared" si="10"/>
        <v>#N/A</v>
      </c>
      <c r="G19" s="1445">
        <f t="shared" ca="1" si="11"/>
        <v>0</v>
      </c>
      <c r="H19" s="1445">
        <f t="shared" ca="1" si="12"/>
        <v>0</v>
      </c>
      <c r="I19" s="1445"/>
      <c r="J19" s="1442"/>
      <c r="K19" s="1282" t="str">
        <f t="shared" ca="1" si="9"/>
        <v/>
      </c>
      <c r="L19" s="931"/>
    </row>
    <row r="20" spans="3:12" s="1282" customFormat="1" ht="18" hidden="1" customHeight="1">
      <c r="C20" s="1010" t="s">
        <v>2184</v>
      </c>
      <c r="D20" s="1974">
        <f ca="1">SUM($K$4:K20)</f>
        <v>0</v>
      </c>
      <c r="E20" s="2285" t="e">
        <f>VLOOKUP(C20,KhoiLuong,5,0)</f>
        <v>#N/A</v>
      </c>
      <c r="F20" s="1974" t="e">
        <f t="shared" si="10"/>
        <v>#N/A</v>
      </c>
      <c r="G20" s="1445">
        <f t="shared" ca="1" si="11"/>
        <v>0</v>
      </c>
      <c r="H20" s="1445">
        <f t="shared" ca="1" si="12"/>
        <v>0</v>
      </c>
      <c r="I20" s="1445"/>
      <c r="J20" s="1442"/>
      <c r="K20" s="1282" t="str">
        <f t="shared" ca="1" si="9"/>
        <v/>
      </c>
      <c r="L20" s="931"/>
    </row>
    <row r="21" spans="3:12" s="1282" customFormat="1" ht="18" hidden="1" customHeight="1">
      <c r="C21" s="1010" t="s">
        <v>12</v>
      </c>
      <c r="D21" s="1974">
        <f ca="1">SUM($K$4:K21)</f>
        <v>0</v>
      </c>
      <c r="E21" s="2285" t="e">
        <f>VLOOKUP(C21,KhoiLuong,5,0)</f>
        <v>#N/A</v>
      </c>
      <c r="F21" s="1974" t="e">
        <f t="shared" si="10"/>
        <v>#N/A</v>
      </c>
      <c r="G21" s="1445">
        <f t="shared" ca="1" si="11"/>
        <v>0</v>
      </c>
      <c r="H21" s="1445">
        <f t="shared" ca="1" si="12"/>
        <v>0</v>
      </c>
      <c r="I21" s="1445"/>
      <c r="J21" s="1442"/>
      <c r="K21" s="1282" t="str">
        <f t="shared" ca="1" si="9"/>
        <v/>
      </c>
      <c r="L21" s="931"/>
    </row>
    <row r="22" spans="3:12" s="1282" customFormat="1" ht="18" hidden="1" customHeight="1">
      <c r="C22" s="1010" t="s">
        <v>695</v>
      </c>
      <c r="D22" s="1974">
        <f ca="1">SUM($K$4:K22)</f>
        <v>0</v>
      </c>
      <c r="E22" s="2285" t="e">
        <f>VLOOKUP(C22,KhoiLuong,5,0)</f>
        <v>#N/A</v>
      </c>
      <c r="F22" s="1974" t="e">
        <f t="shared" si="10"/>
        <v>#N/A</v>
      </c>
      <c r="G22" s="1445">
        <f t="shared" ca="1" si="11"/>
        <v>0</v>
      </c>
      <c r="H22" s="1445">
        <f t="shared" ca="1" si="12"/>
        <v>0</v>
      </c>
      <c r="I22" s="1445"/>
      <c r="J22" s="1442"/>
      <c r="K22" s="1282" t="str">
        <f t="shared" ca="1" si="9"/>
        <v/>
      </c>
      <c r="L22" s="931"/>
    </row>
    <row r="23" spans="3:12" s="1282" customFormat="1" ht="18" hidden="1" customHeight="1">
      <c r="C23" s="1010" t="s">
        <v>994</v>
      </c>
      <c r="D23" s="1974">
        <f ca="1">SUM($K$4:K23)</f>
        <v>0</v>
      </c>
      <c r="E23" s="2285" t="e">
        <f>VLOOKUP(C23,KhoiLuong,5,0)</f>
        <v>#N/A</v>
      </c>
      <c r="F23" s="1974" t="e">
        <f t="shared" si="10"/>
        <v>#N/A</v>
      </c>
      <c r="G23" s="1445">
        <f t="shared" ca="1" si="11"/>
        <v>0</v>
      </c>
      <c r="H23" s="1445">
        <f t="shared" ca="1" si="12"/>
        <v>0</v>
      </c>
      <c r="I23" s="1445"/>
      <c r="J23" s="1442"/>
      <c r="K23" s="1282" t="str">
        <f t="shared" ca="1" si="9"/>
        <v/>
      </c>
      <c r="L23" s="931"/>
    </row>
    <row r="24" spans="3:12" s="1282" customFormat="1" ht="18" hidden="1" customHeight="1">
      <c r="C24" s="1010" t="s">
        <v>2309</v>
      </c>
      <c r="D24" s="1974">
        <f ca="1">SUM($K$4:K24)</f>
        <v>0</v>
      </c>
      <c r="E24" s="2285" t="e">
        <f>VLOOKUP(C24,KhoiLuong,5,0)</f>
        <v>#N/A</v>
      </c>
      <c r="F24" s="1974" t="e">
        <f t="shared" si="10"/>
        <v>#N/A</v>
      </c>
      <c r="G24" s="1445">
        <f t="shared" ca="1" si="11"/>
        <v>0</v>
      </c>
      <c r="H24" s="1445">
        <f t="shared" ca="1" si="12"/>
        <v>0</v>
      </c>
      <c r="I24" s="1445"/>
      <c r="J24" s="1442"/>
      <c r="K24" s="1282" t="str">
        <f t="shared" ca="1" si="9"/>
        <v/>
      </c>
      <c r="L24" s="931"/>
    </row>
    <row r="25" spans="3:12" s="1282" customFormat="1" ht="18" hidden="1" customHeight="1">
      <c r="C25" s="1010" t="s">
        <v>100</v>
      </c>
      <c r="D25" s="1974">
        <f ca="1">SUM($K$4:K25)</f>
        <v>0</v>
      </c>
      <c r="E25" s="2285" t="e">
        <f>VLOOKUP(C25,KhoiLuong,5,0)</f>
        <v>#N/A</v>
      </c>
      <c r="F25" s="1974" t="e">
        <f t="shared" si="10"/>
        <v>#N/A</v>
      </c>
      <c r="G25" s="1445">
        <f t="shared" ca="1" si="11"/>
        <v>0</v>
      </c>
      <c r="H25" s="1445">
        <f t="shared" ca="1" si="12"/>
        <v>0</v>
      </c>
      <c r="I25" s="1445"/>
      <c r="J25" s="1442"/>
      <c r="K25" s="1282" t="str">
        <f t="shared" ca="1" si="9"/>
        <v/>
      </c>
      <c r="L25" s="931"/>
    </row>
    <row r="26" spans="3:12" s="1282" customFormat="1" ht="18" hidden="1" customHeight="1">
      <c r="C26" s="1010" t="s">
        <v>833</v>
      </c>
      <c r="D26" s="1974">
        <f ca="1">SUM($K$4:K26)</f>
        <v>0</v>
      </c>
      <c r="E26" s="2285" t="e">
        <f>VLOOKUP(C26,KhoiLuong,5,0)</f>
        <v>#N/A</v>
      </c>
      <c r="F26" s="1974" t="e">
        <f t="shared" si="10"/>
        <v>#N/A</v>
      </c>
      <c r="G26" s="1445">
        <f t="shared" ca="1" si="11"/>
        <v>0</v>
      </c>
      <c r="H26" s="1445">
        <f t="shared" ca="1" si="12"/>
        <v>0</v>
      </c>
      <c r="I26" s="1445"/>
      <c r="J26" s="1442"/>
      <c r="K26" s="1282" t="str">
        <f t="shared" ca="1" si="9"/>
        <v/>
      </c>
      <c r="L26" s="931"/>
    </row>
    <row r="27" spans="3:12" s="1282" customFormat="1" ht="18" hidden="1" customHeight="1">
      <c r="C27" s="1010" t="s">
        <v>834</v>
      </c>
      <c r="D27" s="1974">
        <f ca="1">SUM($K$4:K27)</f>
        <v>0</v>
      </c>
      <c r="E27" s="2285" t="e">
        <f>VLOOKUP(C27,KhoiLuong,5,0)</f>
        <v>#N/A</v>
      </c>
      <c r="F27" s="1974" t="e">
        <f t="shared" si="10"/>
        <v>#N/A</v>
      </c>
      <c r="G27" s="1445">
        <f t="shared" ca="1" si="11"/>
        <v>0</v>
      </c>
      <c r="H27" s="1445">
        <f t="shared" ca="1" si="12"/>
        <v>0</v>
      </c>
      <c r="I27" s="1445"/>
      <c r="J27" s="1442"/>
      <c r="K27" s="1282" t="str">
        <f t="shared" ca="1" si="9"/>
        <v/>
      </c>
      <c r="L27" s="931"/>
    </row>
    <row r="28" spans="3:12" s="1282" customFormat="1" ht="18" hidden="1" customHeight="1">
      <c r="C28" s="1010" t="s">
        <v>286</v>
      </c>
      <c r="D28" s="1974">
        <f ca="1">SUM($K$4:K28)</f>
        <v>0</v>
      </c>
      <c r="E28" s="2285" t="e">
        <f>VLOOKUP(C28,KhoiLuong,5,0)</f>
        <v>#N/A</v>
      </c>
      <c r="F28" s="1974" t="e">
        <f t="shared" si="10"/>
        <v>#N/A</v>
      </c>
      <c r="G28" s="1445">
        <f t="shared" ca="1" si="11"/>
        <v>0</v>
      </c>
      <c r="H28" s="1445">
        <f t="shared" ca="1" si="12"/>
        <v>0</v>
      </c>
      <c r="I28" s="1445"/>
      <c r="J28" s="1442"/>
      <c r="K28" s="1282" t="str">
        <f t="shared" ca="1" si="9"/>
        <v/>
      </c>
      <c r="L28" s="931"/>
    </row>
    <row r="29" spans="3:12" s="1282" customFormat="1" ht="18" hidden="1" customHeight="1">
      <c r="C29" s="1010" t="s">
        <v>832</v>
      </c>
      <c r="D29" s="1974">
        <f ca="1">SUM($K$4:K29)</f>
        <v>0</v>
      </c>
      <c r="E29" s="2285" t="e">
        <f>VLOOKUP(C29,KhoiLuong,5,0)</f>
        <v>#N/A</v>
      </c>
      <c r="F29" s="1974" t="e">
        <f t="shared" si="10"/>
        <v>#N/A</v>
      </c>
      <c r="G29" s="1445">
        <f t="shared" ca="1" si="11"/>
        <v>0</v>
      </c>
      <c r="H29" s="1445">
        <f t="shared" ca="1" si="12"/>
        <v>0</v>
      </c>
      <c r="I29" s="1445"/>
      <c r="J29" s="1442"/>
      <c r="K29" s="1282" t="str">
        <f t="shared" ca="1" si="9"/>
        <v/>
      </c>
      <c r="L29" s="931"/>
    </row>
    <row r="30" spans="3:12" s="1282" customFormat="1" ht="18" hidden="1" customHeight="1">
      <c r="C30" s="1010" t="s">
        <v>760</v>
      </c>
      <c r="D30" s="1974">
        <f ca="1">SUM($K$4:K30)</f>
        <v>0</v>
      </c>
      <c r="E30" s="2285" t="e">
        <f>VLOOKUP(C30,KhoiLuong,5,0)</f>
        <v>#N/A</v>
      </c>
      <c r="F30" s="1974" t="e">
        <f t="shared" si="10"/>
        <v>#N/A</v>
      </c>
      <c r="G30" s="1445">
        <f t="shared" ca="1" si="11"/>
        <v>0</v>
      </c>
      <c r="H30" s="1445">
        <f t="shared" ca="1" si="12"/>
        <v>0</v>
      </c>
      <c r="I30" s="1445"/>
      <c r="J30" s="1442"/>
      <c r="K30" s="1282" t="str">
        <f t="shared" ca="1" si="9"/>
        <v/>
      </c>
      <c r="L30" s="931"/>
    </row>
    <row r="31" spans="3:12" s="1282" customFormat="1" ht="18" customHeight="1">
      <c r="C31" s="1010" t="s">
        <v>219</v>
      </c>
      <c r="D31" s="1974">
        <f ca="1">SUM($K$4:K31)</f>
        <v>1</v>
      </c>
      <c r="E31" s="2285" t="str">
        <f>VLOOKUP(C31,KhoiLuong,5,0)</f>
        <v>Móng M12</v>
      </c>
      <c r="F31" s="1974" t="str">
        <f t="shared" si="10"/>
        <v>Móng</v>
      </c>
      <c r="G31" s="1445">
        <f t="shared" ca="1" si="11"/>
        <v>1</v>
      </c>
      <c r="H31" s="1445">
        <f t="shared" ca="1" si="12"/>
        <v>1</v>
      </c>
      <c r="I31" s="1445"/>
      <c r="J31" s="1442"/>
      <c r="K31" s="1282">
        <f t="shared" ca="1" si="9"/>
        <v>1</v>
      </c>
      <c r="L31" s="931"/>
    </row>
    <row r="32" spans="3:12" s="1282" customFormat="1" ht="18" hidden="1" customHeight="1">
      <c r="C32" s="1010" t="s">
        <v>303</v>
      </c>
      <c r="D32" s="1974">
        <f ca="1">SUM($K$4:K32)</f>
        <v>1</v>
      </c>
      <c r="E32" s="2285" t="e">
        <f>VLOOKUP(C32,KhoiLuong,5,0)</f>
        <v>#N/A</v>
      </c>
      <c r="F32" s="1974" t="e">
        <f t="shared" si="10"/>
        <v>#N/A</v>
      </c>
      <c r="G32" s="1445">
        <f t="shared" ca="1" si="11"/>
        <v>0</v>
      </c>
      <c r="H32" s="1445">
        <f t="shared" ca="1" si="12"/>
        <v>0</v>
      </c>
      <c r="I32" s="1445"/>
      <c r="J32" s="1442"/>
      <c r="K32" s="1282" t="str">
        <f t="shared" ca="1" si="9"/>
        <v/>
      </c>
      <c r="L32" s="931"/>
    </row>
    <row r="33" spans="3:12" s="1282" customFormat="1" ht="18" hidden="1" customHeight="1">
      <c r="C33" s="1010" t="s">
        <v>2269</v>
      </c>
      <c r="D33" s="1974">
        <f ca="1">SUM($K$4:K33)</f>
        <v>1</v>
      </c>
      <c r="E33" s="2285" t="e">
        <f>VLOOKUP(C33,KhoiLuong,5,0)</f>
        <v>#N/A</v>
      </c>
      <c r="F33" s="1974" t="e">
        <f t="shared" si="10"/>
        <v>#N/A</v>
      </c>
      <c r="G33" s="1445">
        <f t="shared" ca="1" si="11"/>
        <v>0</v>
      </c>
      <c r="H33" s="1445">
        <f t="shared" ca="1" si="12"/>
        <v>0</v>
      </c>
      <c r="I33" s="1445"/>
      <c r="J33" s="1442"/>
      <c r="K33" s="1282" t="str">
        <f t="shared" ca="1" si="9"/>
        <v/>
      </c>
      <c r="L33" s="931"/>
    </row>
    <row r="34" spans="3:12" s="1282" customFormat="1" ht="18" hidden="1" customHeight="1">
      <c r="C34" s="1010" t="s">
        <v>304</v>
      </c>
      <c r="D34" s="1974">
        <f ca="1">SUM($K$4:K34)</f>
        <v>1</v>
      </c>
      <c r="E34" s="2285" t="e">
        <f>VLOOKUP(C34,KhoiLuong,5,0)</f>
        <v>#N/A</v>
      </c>
      <c r="F34" s="1974" t="e">
        <f t="shared" si="10"/>
        <v>#N/A</v>
      </c>
      <c r="G34" s="1445">
        <f t="shared" ca="1" si="11"/>
        <v>0</v>
      </c>
      <c r="H34" s="1445">
        <f t="shared" ca="1" si="12"/>
        <v>0</v>
      </c>
      <c r="I34" s="1445"/>
      <c r="J34" s="1442"/>
      <c r="K34" s="1282" t="str">
        <f t="shared" ca="1" si="9"/>
        <v/>
      </c>
      <c r="L34" s="931"/>
    </row>
    <row r="35" spans="3:12" s="1282" customFormat="1" ht="18" hidden="1" customHeight="1">
      <c r="C35" s="1010" t="s">
        <v>638</v>
      </c>
      <c r="D35" s="1974">
        <f ca="1">SUM($K$4:K35)</f>
        <v>1</v>
      </c>
      <c r="E35" s="2285" t="e">
        <f>VLOOKUP(C35,KhoiLuong,5,0)</f>
        <v>#N/A</v>
      </c>
      <c r="F35" s="1974" t="e">
        <f t="shared" si="10"/>
        <v>#N/A</v>
      </c>
      <c r="G35" s="1445">
        <f t="shared" ca="1" si="11"/>
        <v>0</v>
      </c>
      <c r="H35" s="1445">
        <f t="shared" ca="1" si="12"/>
        <v>0</v>
      </c>
      <c r="I35" s="1445"/>
      <c r="J35" s="1442"/>
      <c r="K35" s="1282" t="str">
        <f t="shared" ca="1" si="9"/>
        <v/>
      </c>
      <c r="L35" s="931"/>
    </row>
    <row r="36" spans="3:12" s="1282" customFormat="1" ht="18" hidden="1" customHeight="1">
      <c r="C36" s="1010" t="s">
        <v>647</v>
      </c>
      <c r="D36" s="1974">
        <f ca="1">SUM($K$4:K36)</f>
        <v>1</v>
      </c>
      <c r="E36" s="2285" t="e">
        <f>VLOOKUP(C36,KhoiLuong,5,0)</f>
        <v>#N/A</v>
      </c>
      <c r="F36" s="1974" t="e">
        <f t="shared" si="10"/>
        <v>#N/A</v>
      </c>
      <c r="G36" s="1445">
        <f t="shared" ca="1" si="11"/>
        <v>0</v>
      </c>
      <c r="H36" s="1445">
        <f t="shared" ca="1" si="12"/>
        <v>0</v>
      </c>
      <c r="I36" s="1445"/>
      <c r="J36" s="1442"/>
      <c r="K36" s="1282" t="str">
        <f t="shared" ca="1" si="9"/>
        <v/>
      </c>
      <c r="L36" s="931"/>
    </row>
    <row r="37" spans="3:12" s="1282" customFormat="1" ht="18" hidden="1" customHeight="1">
      <c r="C37" s="1010" t="s">
        <v>511</v>
      </c>
      <c r="D37" s="1974">
        <f ca="1">SUM($K$4:K37)</f>
        <v>1</v>
      </c>
      <c r="E37" s="2285" t="e">
        <f>VLOOKUP(C37,KhoiLuong,5,0)</f>
        <v>#N/A</v>
      </c>
      <c r="F37" s="1974" t="e">
        <f t="shared" si="10"/>
        <v>#N/A</v>
      </c>
      <c r="G37" s="1445">
        <f t="shared" ca="1" si="11"/>
        <v>0</v>
      </c>
      <c r="H37" s="1445">
        <f t="shared" ca="1" si="12"/>
        <v>0</v>
      </c>
      <c r="I37" s="1445"/>
      <c r="J37" s="1442"/>
      <c r="K37" s="1282" t="str">
        <f t="shared" ca="1" si="9"/>
        <v/>
      </c>
      <c r="L37" s="931"/>
    </row>
    <row r="38" spans="3:12" s="1282" customFormat="1" ht="18" hidden="1" customHeight="1">
      <c r="C38" s="1010" t="s">
        <v>646</v>
      </c>
      <c r="D38" s="1974">
        <f ca="1">SUM($K$4:K38)</f>
        <v>1</v>
      </c>
      <c r="E38" s="2285" t="e">
        <f>VLOOKUP(C38,KhoiLuong,5,0)</f>
        <v>#N/A</v>
      </c>
      <c r="F38" s="1974" t="e">
        <f t="shared" si="10"/>
        <v>#N/A</v>
      </c>
      <c r="G38" s="1445">
        <f t="shared" ca="1" si="11"/>
        <v>0</v>
      </c>
      <c r="H38" s="1445">
        <f t="shared" ca="1" si="12"/>
        <v>0</v>
      </c>
      <c r="I38" s="1445"/>
      <c r="J38" s="1442"/>
      <c r="K38" s="1282" t="str">
        <f t="shared" ca="1" si="9"/>
        <v/>
      </c>
      <c r="L38" s="931"/>
    </row>
    <row r="39" spans="3:12" s="1282" customFormat="1" ht="18" hidden="1" customHeight="1">
      <c r="C39" s="1010" t="s">
        <v>1905</v>
      </c>
      <c r="D39" s="1974">
        <f ca="1">SUM($K$4:K39)</f>
        <v>1</v>
      </c>
      <c r="E39" s="2285" t="e">
        <f>VLOOKUP(C39,KhoiLuong,5,0)</f>
        <v>#N/A</v>
      </c>
      <c r="F39" s="1974" t="e">
        <f t="shared" si="10"/>
        <v>#N/A</v>
      </c>
      <c r="G39" s="1445">
        <f t="shared" ca="1" si="11"/>
        <v>0</v>
      </c>
      <c r="H39" s="1445">
        <f t="shared" ca="1" si="12"/>
        <v>0</v>
      </c>
      <c r="I39" s="1445"/>
      <c r="J39" s="1442"/>
      <c r="K39" s="1282" t="str">
        <f t="shared" ca="1" si="9"/>
        <v/>
      </c>
      <c r="L39" s="931"/>
    </row>
    <row r="40" spans="3:12" s="1282" customFormat="1" ht="18" hidden="1" customHeight="1">
      <c r="C40" s="1010" t="s">
        <v>2186</v>
      </c>
      <c r="D40" s="1974">
        <f ca="1">SUM($K$4:K40)</f>
        <v>1</v>
      </c>
      <c r="E40" s="2285" t="e">
        <f>VLOOKUP(C40,KhoiLuong,5,0)</f>
        <v>#N/A</v>
      </c>
      <c r="F40" s="1974" t="e">
        <f t="shared" si="10"/>
        <v>#N/A</v>
      </c>
      <c r="G40" s="1445">
        <f t="shared" ca="1" si="11"/>
        <v>0</v>
      </c>
      <c r="H40" s="1445">
        <f t="shared" ca="1" si="12"/>
        <v>0</v>
      </c>
      <c r="I40" s="1445"/>
      <c r="J40" s="1442"/>
      <c r="K40" s="1282" t="str">
        <f t="shared" ca="1" si="9"/>
        <v/>
      </c>
      <c r="L40" s="931"/>
    </row>
    <row r="41" spans="3:12" s="1282" customFormat="1" ht="18" hidden="1" customHeight="1">
      <c r="C41" s="1010" t="s">
        <v>500</v>
      </c>
      <c r="D41" s="1974">
        <f ca="1">SUM($K$4:K41)</f>
        <v>1</v>
      </c>
      <c r="E41" s="2285" t="e">
        <f>VLOOKUP(C41,KhoiLuong,5,0)</f>
        <v>#N/A</v>
      </c>
      <c r="F41" s="1974" t="e">
        <f t="shared" si="10"/>
        <v>#N/A</v>
      </c>
      <c r="G41" s="1445">
        <f t="shared" ca="1" si="11"/>
        <v>0</v>
      </c>
      <c r="H41" s="1445">
        <f t="shared" ca="1" si="12"/>
        <v>0</v>
      </c>
      <c r="I41" s="1445"/>
      <c r="J41" s="1442"/>
      <c r="K41" s="1282" t="str">
        <f t="shared" ca="1" si="9"/>
        <v/>
      </c>
      <c r="L41" s="931"/>
    </row>
    <row r="42" spans="3:12" s="1282" customFormat="1" ht="18" hidden="1" customHeight="1">
      <c r="C42" s="1010" t="s">
        <v>2310</v>
      </c>
      <c r="D42" s="1974">
        <f ca="1">SUM($K$4:K42)</f>
        <v>1</v>
      </c>
      <c r="E42" s="2285" t="e">
        <f>VLOOKUP(C42,KhoiLuong,5,0)</f>
        <v>#N/A</v>
      </c>
      <c r="F42" s="1974" t="e">
        <f t="shared" si="10"/>
        <v>#N/A</v>
      </c>
      <c r="G42" s="1445">
        <f t="shared" ca="1" si="11"/>
        <v>0</v>
      </c>
      <c r="H42" s="1445">
        <f t="shared" ca="1" si="12"/>
        <v>0</v>
      </c>
      <c r="I42" s="1445"/>
      <c r="J42" s="1442"/>
      <c r="K42" s="1282" t="str">
        <f t="shared" ca="1" si="9"/>
        <v/>
      </c>
      <c r="L42" s="931"/>
    </row>
    <row r="43" spans="3:12" s="1282" customFormat="1" ht="18" hidden="1" customHeight="1">
      <c r="C43" s="1010" t="s">
        <v>2311</v>
      </c>
      <c r="D43" s="1974">
        <f ca="1">SUM($K$4:K43)</f>
        <v>1</v>
      </c>
      <c r="E43" s="2285" t="e">
        <f>VLOOKUP(C43,KhoiLuong,5,0)</f>
        <v>#N/A</v>
      </c>
      <c r="F43" s="1974" t="e">
        <f t="shared" si="10"/>
        <v>#N/A</v>
      </c>
      <c r="G43" s="1445">
        <f t="shared" ca="1" si="11"/>
        <v>0</v>
      </c>
      <c r="H43" s="1445">
        <f t="shared" ca="1" si="12"/>
        <v>0</v>
      </c>
      <c r="I43" s="1445"/>
      <c r="J43" s="1442"/>
      <c r="K43" s="1282" t="str">
        <f t="shared" ca="1" si="9"/>
        <v/>
      </c>
      <c r="L43" s="931"/>
    </row>
    <row r="44" spans="3:12" s="1282" customFormat="1" ht="18" customHeight="1">
      <c r="C44" s="1010" t="s">
        <v>2312</v>
      </c>
      <c r="D44" s="1974">
        <f ca="1">SUM($K$4:K44)</f>
        <v>2</v>
      </c>
      <c r="E44" s="2285" t="str">
        <f>VLOOKUP(C44,KhoiLuong,5,0)</f>
        <v>Móng bê tông trụ đôi 12m</v>
      </c>
      <c r="F44" s="1974" t="str">
        <f t="shared" si="10"/>
        <v>Móng</v>
      </c>
      <c r="G44" s="1445">
        <f t="shared" ca="1" si="11"/>
        <v>1</v>
      </c>
      <c r="H44" s="1445">
        <f t="shared" ca="1" si="12"/>
        <v>1</v>
      </c>
      <c r="I44" s="1445"/>
      <c r="J44" s="1442"/>
      <c r="K44" s="1282">
        <f t="shared" ca="1" si="9"/>
        <v>1</v>
      </c>
      <c r="L44" s="931"/>
    </row>
    <row r="45" spans="3:12" s="1282" customFormat="1" ht="18" hidden="1" customHeight="1">
      <c r="C45" s="1010" t="s">
        <v>744</v>
      </c>
      <c r="D45" s="1974">
        <f ca="1">SUM($K$4:K45)</f>
        <v>2</v>
      </c>
      <c r="E45" s="2285" t="e">
        <f>VLOOKUP(C45,KhoiLuong,5,0)</f>
        <v>#N/A</v>
      </c>
      <c r="F45" s="1974" t="e">
        <f t="shared" si="10"/>
        <v>#N/A</v>
      </c>
      <c r="G45" s="1445">
        <f t="shared" ca="1" si="11"/>
        <v>0</v>
      </c>
      <c r="H45" s="1445">
        <f t="shared" ca="1" si="12"/>
        <v>0</v>
      </c>
      <c r="I45" s="1445"/>
      <c r="J45" s="1442"/>
      <c r="K45" s="1282" t="str">
        <f t="shared" ca="1" si="9"/>
        <v/>
      </c>
      <c r="L45" s="931"/>
    </row>
    <row r="46" spans="3:12" s="1282" customFormat="1" ht="18" hidden="1" customHeight="1">
      <c r="C46" s="1010" t="s">
        <v>2270</v>
      </c>
      <c r="D46" s="1974">
        <f ca="1">SUM($K$4:K46)</f>
        <v>2</v>
      </c>
      <c r="E46" s="2285" t="e">
        <f>VLOOKUP(C46,KhoiLuong,5,0)</f>
        <v>#N/A</v>
      </c>
      <c r="F46" s="1974" t="e">
        <f t="shared" si="10"/>
        <v>#N/A</v>
      </c>
      <c r="G46" s="1445">
        <f t="shared" ca="1" si="11"/>
        <v>0</v>
      </c>
      <c r="H46" s="1445">
        <f t="shared" ca="1" si="12"/>
        <v>0</v>
      </c>
      <c r="I46" s="1445"/>
      <c r="J46" s="1442"/>
      <c r="K46" s="1282" t="str">
        <f t="shared" ca="1" si="9"/>
        <v/>
      </c>
      <c r="L46" s="931"/>
    </row>
    <row r="47" spans="3:12" s="1282" customFormat="1" ht="18" hidden="1" customHeight="1">
      <c r="C47" s="1010" t="s">
        <v>780</v>
      </c>
      <c r="D47" s="1974">
        <f ca="1">SUM($K$4:K47)</f>
        <v>2</v>
      </c>
      <c r="E47" s="2285" t="e">
        <f>VLOOKUP(C47,KhoiLuong,5,0)</f>
        <v>#N/A</v>
      </c>
      <c r="F47" s="1974" t="e">
        <f t="shared" si="10"/>
        <v>#N/A</v>
      </c>
      <c r="G47" s="1445">
        <f t="shared" ca="1" si="11"/>
        <v>0</v>
      </c>
      <c r="H47" s="1445">
        <f t="shared" ca="1" si="12"/>
        <v>0</v>
      </c>
      <c r="I47" s="1445"/>
      <c r="J47" s="1442"/>
      <c r="K47" s="1282" t="str">
        <f t="shared" ca="1" si="9"/>
        <v/>
      </c>
      <c r="L47" s="931"/>
    </row>
    <row r="48" spans="3:12" s="1282" customFormat="1" ht="18" hidden="1" customHeight="1">
      <c r="C48" s="1010" t="s">
        <v>648</v>
      </c>
      <c r="D48" s="1974">
        <f ca="1">SUM($K$4:K48)</f>
        <v>2</v>
      </c>
      <c r="E48" s="2285" t="e">
        <f>VLOOKUP(C48,KhoiLuong,5,0)</f>
        <v>#N/A</v>
      </c>
      <c r="F48" s="1974" t="e">
        <f t="shared" si="10"/>
        <v>#N/A</v>
      </c>
      <c r="G48" s="1445">
        <f t="shared" ca="1" si="11"/>
        <v>0</v>
      </c>
      <c r="H48" s="1445">
        <f t="shared" ca="1" si="12"/>
        <v>0</v>
      </c>
      <c r="I48" s="1445"/>
      <c r="J48" s="1442"/>
      <c r="K48" s="1282" t="str">
        <f t="shared" ca="1" si="9"/>
        <v/>
      </c>
      <c r="L48" s="931"/>
    </row>
    <row r="49" spans="3:12" s="1282" customFormat="1" ht="18" hidden="1" customHeight="1">
      <c r="C49" s="1010" t="s">
        <v>750</v>
      </c>
      <c r="D49" s="1974">
        <f ca="1">SUM($K$4:K49)</f>
        <v>2</v>
      </c>
      <c r="E49" s="2285" t="e">
        <f>VLOOKUP(C49,KhoiLuong,5,0)</f>
        <v>#N/A</v>
      </c>
      <c r="F49" s="1974" t="e">
        <f t="shared" si="10"/>
        <v>#N/A</v>
      </c>
      <c r="G49" s="1445">
        <f t="shared" ca="1" si="11"/>
        <v>0</v>
      </c>
      <c r="H49" s="1445">
        <f t="shared" ca="1" si="12"/>
        <v>0</v>
      </c>
      <c r="I49" s="1445"/>
      <c r="J49" s="1442"/>
      <c r="K49" s="1282" t="str">
        <f t="shared" ca="1" si="9"/>
        <v/>
      </c>
      <c r="L49" s="931"/>
    </row>
    <row r="50" spans="3:12" s="1282" customFormat="1" ht="18" hidden="1" customHeight="1">
      <c r="C50" s="1010" t="s">
        <v>2313</v>
      </c>
      <c r="D50" s="1974">
        <f ca="1">SUM($K$4:K50)</f>
        <v>2</v>
      </c>
      <c r="E50" s="2285" t="e">
        <f>VLOOKUP(C50,KhoiLuong,5,0)</f>
        <v>#N/A</v>
      </c>
      <c r="F50" s="1974" t="e">
        <f t="shared" si="10"/>
        <v>#N/A</v>
      </c>
      <c r="G50" s="1445">
        <f t="shared" ca="1" si="11"/>
        <v>0</v>
      </c>
      <c r="H50" s="1445">
        <f t="shared" ca="1" si="12"/>
        <v>0</v>
      </c>
      <c r="I50" s="1445"/>
      <c r="J50" s="1442"/>
      <c r="K50" s="1282" t="str">
        <f t="shared" ca="1" si="9"/>
        <v/>
      </c>
      <c r="L50" s="931"/>
    </row>
    <row r="51" spans="3:12" s="1282" customFormat="1" ht="18" hidden="1" customHeight="1">
      <c r="C51" s="1010" t="s">
        <v>649</v>
      </c>
      <c r="D51" s="1974">
        <f ca="1">SUM($K$4:K51)</f>
        <v>2</v>
      </c>
      <c r="E51" s="2285" t="e">
        <f>VLOOKUP(C51,KhoiLuong,5,0)</f>
        <v>#N/A</v>
      </c>
      <c r="F51" s="1974" t="e">
        <f t="shared" si="10"/>
        <v>#N/A</v>
      </c>
      <c r="G51" s="1445">
        <f t="shared" ca="1" si="11"/>
        <v>0</v>
      </c>
      <c r="H51" s="1445">
        <f t="shared" ca="1" si="12"/>
        <v>0</v>
      </c>
      <c r="I51" s="1445"/>
      <c r="J51" s="1442"/>
      <c r="K51" s="1282" t="str">
        <f t="shared" ca="1" si="9"/>
        <v/>
      </c>
      <c r="L51" s="931"/>
    </row>
    <row r="52" spans="3:12" s="1282" customFormat="1" ht="18" hidden="1" customHeight="1">
      <c r="C52" s="1010" t="s">
        <v>483</v>
      </c>
      <c r="D52" s="1974">
        <f ca="1">SUM($K$4:K52)</f>
        <v>2</v>
      </c>
      <c r="E52" s="2285" t="e">
        <f>VLOOKUP(C52,KhoiLuong,5,0)</f>
        <v>#N/A</v>
      </c>
      <c r="F52" s="1974" t="e">
        <f t="shared" si="10"/>
        <v>#N/A</v>
      </c>
      <c r="G52" s="1445">
        <f t="shared" ca="1" si="11"/>
        <v>0</v>
      </c>
      <c r="H52" s="1445">
        <f t="shared" ca="1" si="12"/>
        <v>0</v>
      </c>
      <c r="I52" s="1445"/>
      <c r="J52" s="1442"/>
      <c r="K52" s="1282" t="str">
        <f t="shared" ca="1" si="9"/>
        <v/>
      </c>
      <c r="L52" s="931"/>
    </row>
    <row r="53" spans="3:12" s="1282" customFormat="1" ht="18" hidden="1" customHeight="1">
      <c r="C53" s="1010" t="s">
        <v>484</v>
      </c>
      <c r="D53" s="1974">
        <f ca="1">SUM($K$4:K53)</f>
        <v>2</v>
      </c>
      <c r="E53" s="2285" t="e">
        <f>VLOOKUP(C53,KhoiLuong,5,0)</f>
        <v>#N/A</v>
      </c>
      <c r="F53" s="1974" t="e">
        <f t="shared" si="10"/>
        <v>#N/A</v>
      </c>
      <c r="G53" s="1445">
        <f t="shared" ca="1" si="11"/>
        <v>0</v>
      </c>
      <c r="H53" s="1445">
        <f t="shared" ca="1" si="12"/>
        <v>0</v>
      </c>
      <c r="I53" s="1445"/>
      <c r="J53" s="1442"/>
      <c r="K53" s="1282" t="str">
        <f t="shared" ca="1" si="9"/>
        <v/>
      </c>
      <c r="L53" s="931"/>
    </row>
    <row r="54" spans="3:12" s="1282" customFormat="1" ht="18" hidden="1" customHeight="1">
      <c r="C54" s="1010" t="s">
        <v>285</v>
      </c>
      <c r="D54" s="1974">
        <f ca="1">SUM($K$4:K54)</f>
        <v>2</v>
      </c>
      <c r="E54" s="2285" t="e">
        <f>VLOOKUP(C54,KhoiLuong,5,0)</f>
        <v>#N/A</v>
      </c>
      <c r="F54" s="1974" t="e">
        <f t="shared" si="10"/>
        <v>#N/A</v>
      </c>
      <c r="G54" s="1445">
        <f t="shared" ca="1" si="11"/>
        <v>0</v>
      </c>
      <c r="H54" s="1445">
        <f t="shared" ca="1" si="12"/>
        <v>0</v>
      </c>
      <c r="I54" s="1445"/>
      <c r="J54" s="1442"/>
      <c r="K54" s="1282" t="str">
        <f t="shared" ca="1" si="9"/>
        <v/>
      </c>
      <c r="L54" s="931"/>
    </row>
    <row r="55" spans="3:12" s="1282" customFormat="1" ht="18" hidden="1" customHeight="1">
      <c r="C55" s="1010" t="s">
        <v>650</v>
      </c>
      <c r="D55" s="1974">
        <f ca="1">SUM($K$4:K55)</f>
        <v>2</v>
      </c>
      <c r="E55" s="2285" t="e">
        <f>VLOOKUP(C55,KhoiLuong,5,0)</f>
        <v>#N/A</v>
      </c>
      <c r="F55" s="1974" t="e">
        <f t="shared" si="10"/>
        <v>#N/A</v>
      </c>
      <c r="G55" s="1445">
        <f t="shared" ca="1" si="11"/>
        <v>0</v>
      </c>
      <c r="H55" s="1445">
        <f t="shared" ca="1" si="12"/>
        <v>0</v>
      </c>
      <c r="I55" s="1445"/>
      <c r="J55" s="1442"/>
      <c r="K55" s="1282" t="str">
        <f t="shared" ca="1" si="9"/>
        <v/>
      </c>
      <c r="L55" s="931"/>
    </row>
    <row r="56" spans="3:12" s="1282" customFormat="1" ht="18" hidden="1" customHeight="1">
      <c r="C56" s="1010" t="s">
        <v>1645</v>
      </c>
      <c r="D56" s="1974">
        <f ca="1">SUM($K$4:K56)</f>
        <v>2</v>
      </c>
      <c r="E56" s="2285" t="e">
        <f>VLOOKUP(C56,KhoiLuong,5,0)</f>
        <v>#N/A</v>
      </c>
      <c r="F56" s="1974" t="e">
        <f t="shared" si="10"/>
        <v>#N/A</v>
      </c>
      <c r="G56" s="1445">
        <f t="shared" ca="1" si="11"/>
        <v>0</v>
      </c>
      <c r="H56" s="1445">
        <f t="shared" ca="1" si="12"/>
        <v>0</v>
      </c>
      <c r="I56" s="1445"/>
      <c r="J56" s="1442"/>
      <c r="K56" s="1282" t="str">
        <f t="shared" ca="1" si="9"/>
        <v/>
      </c>
      <c r="L56" s="931"/>
    </row>
    <row r="57" spans="3:12" s="1282" customFormat="1" ht="18" hidden="1" customHeight="1">
      <c r="C57" s="1010" t="s">
        <v>987</v>
      </c>
      <c r="D57" s="1974">
        <f ca="1">SUM($K$4:K57)</f>
        <v>2</v>
      </c>
      <c r="E57" s="2285" t="e">
        <f>VLOOKUP(C57,KhoiLuong,5,0)</f>
        <v>#N/A</v>
      </c>
      <c r="F57" s="1974" t="e">
        <f t="shared" si="10"/>
        <v>#N/A</v>
      </c>
      <c r="G57" s="1445">
        <f t="shared" ca="1" si="11"/>
        <v>0</v>
      </c>
      <c r="H57" s="1445">
        <f t="shared" ca="1" si="12"/>
        <v>0</v>
      </c>
      <c r="I57" s="1445"/>
      <c r="J57" s="1442"/>
      <c r="K57" s="1282" t="str">
        <f t="shared" ca="1" si="9"/>
        <v/>
      </c>
      <c r="L57" s="931"/>
    </row>
    <row r="58" spans="3:12" s="1282" customFormat="1" ht="18" hidden="1" customHeight="1">
      <c r="C58" s="1010" t="s">
        <v>312</v>
      </c>
      <c r="D58" s="1974">
        <f ca="1">SUM($K$4:K58)</f>
        <v>2</v>
      </c>
      <c r="E58" s="2285" t="e">
        <f>VLOOKUP(C58,KhoiLuong,5,0)</f>
        <v>#N/A</v>
      </c>
      <c r="F58" s="1974" t="e">
        <f t="shared" si="10"/>
        <v>#N/A</v>
      </c>
      <c r="G58" s="1445">
        <f t="shared" ca="1" si="11"/>
        <v>0</v>
      </c>
      <c r="H58" s="1445">
        <f t="shared" ca="1" si="12"/>
        <v>0</v>
      </c>
      <c r="I58" s="1445"/>
      <c r="J58" s="1442"/>
      <c r="K58" s="1282" t="str">
        <f t="shared" ca="1" si="9"/>
        <v/>
      </c>
      <c r="L58" s="931"/>
    </row>
    <row r="59" spans="3:12" s="1282" customFormat="1" ht="18" hidden="1" customHeight="1">
      <c r="C59" s="1010" t="s">
        <v>891</v>
      </c>
      <c r="D59" s="1974">
        <f ca="1">SUM($K$4:K59)</f>
        <v>2</v>
      </c>
      <c r="E59" s="2285" t="e">
        <f>VLOOKUP(C59,KhoiLuong,5,0)</f>
        <v>#N/A</v>
      </c>
      <c r="F59" s="1974" t="e">
        <f t="shared" si="10"/>
        <v>#N/A</v>
      </c>
      <c r="G59" s="1445">
        <f t="shared" ca="1" si="11"/>
        <v>0</v>
      </c>
      <c r="H59" s="1445">
        <f t="shared" ca="1" si="12"/>
        <v>0</v>
      </c>
      <c r="I59" s="1445"/>
      <c r="J59" s="1442"/>
      <c r="K59" s="1282" t="str">
        <f t="shared" ca="1" si="9"/>
        <v/>
      </c>
      <c r="L59" s="931"/>
    </row>
    <row r="60" spans="3:12" s="1282" customFormat="1" ht="18" hidden="1" customHeight="1">
      <c r="C60" s="1010" t="s">
        <v>513</v>
      </c>
      <c r="D60" s="1974">
        <f ca="1">SUM($K$4:K60)</f>
        <v>2</v>
      </c>
      <c r="E60" s="2285" t="e">
        <f>VLOOKUP(C60,KhoiLuong,5,0)</f>
        <v>#N/A</v>
      </c>
      <c r="F60" s="1974" t="e">
        <f t="shared" si="10"/>
        <v>#N/A</v>
      </c>
      <c r="G60" s="1445">
        <f t="shared" ca="1" si="11"/>
        <v>0</v>
      </c>
      <c r="H60" s="1445">
        <f t="shared" ca="1" si="12"/>
        <v>0</v>
      </c>
      <c r="I60" s="1445"/>
      <c r="J60" s="1442"/>
      <c r="K60" s="1282" t="str">
        <f t="shared" ca="1" si="9"/>
        <v/>
      </c>
      <c r="L60" s="931"/>
    </row>
    <row r="61" spans="3:12" s="1282" customFormat="1" ht="18" hidden="1" customHeight="1">
      <c r="C61" s="1010" t="s">
        <v>549</v>
      </c>
      <c r="D61" s="1974">
        <f ca="1">SUM($K$4:K61)</f>
        <v>2</v>
      </c>
      <c r="E61" s="2285" t="e">
        <f>VLOOKUP(C61,KhoiLuong,5,0)</f>
        <v>#N/A</v>
      </c>
      <c r="F61" s="1974" t="e">
        <f t="shared" si="10"/>
        <v>#N/A</v>
      </c>
      <c r="G61" s="1445">
        <f t="shared" ca="1" si="11"/>
        <v>0</v>
      </c>
      <c r="H61" s="1445">
        <f t="shared" ca="1" si="12"/>
        <v>0</v>
      </c>
      <c r="I61" s="1445"/>
      <c r="J61" s="1442"/>
      <c r="K61" s="1282" t="str">
        <f t="shared" ca="1" si="9"/>
        <v/>
      </c>
      <c r="L61" s="931"/>
    </row>
    <row r="62" spans="3:12" s="1282" customFormat="1" ht="18" customHeight="1">
      <c r="C62" s="1010" t="s">
        <v>1495</v>
      </c>
      <c r="D62" s="1974">
        <f ca="1">SUM($K$4:K62)</f>
        <v>3</v>
      </c>
      <c r="E62" s="2285" t="str">
        <f>VLOOKUP(C62,KhoiLuong,5,0)</f>
        <v>Bộ móng neo xòe cho chằng xuống: NXX</v>
      </c>
      <c r="F62" s="1974" t="str">
        <f t="shared" si="10"/>
        <v>Bộ</v>
      </c>
      <c r="G62" s="1445">
        <f t="shared" ca="1" si="11"/>
        <v>1</v>
      </c>
      <c r="H62" s="1445">
        <f t="shared" ca="1" si="12"/>
        <v>1</v>
      </c>
      <c r="I62" s="1445"/>
      <c r="J62" s="1442"/>
      <c r="K62" s="1282">
        <f t="shared" ca="1" si="9"/>
        <v>1</v>
      </c>
      <c r="L62" s="931"/>
    </row>
    <row r="63" spans="3:12" s="1282" customFormat="1" ht="18" hidden="1" customHeight="1">
      <c r="C63" s="1010" t="s">
        <v>1496</v>
      </c>
      <c r="D63" s="1974">
        <f ca="1">SUM($K$4:K63)</f>
        <v>3</v>
      </c>
      <c r="E63" s="2285" t="e">
        <f>VLOOKUP(C63,KhoiLuong,5,0)</f>
        <v>#N/A</v>
      </c>
      <c r="F63" s="1974" t="e">
        <f t="shared" si="10"/>
        <v>#N/A</v>
      </c>
      <c r="G63" s="1445">
        <f t="shared" ca="1" si="11"/>
        <v>0</v>
      </c>
      <c r="H63" s="1445">
        <f t="shared" ca="1" si="12"/>
        <v>0</v>
      </c>
      <c r="I63" s="1445"/>
      <c r="J63" s="1442"/>
      <c r="K63" s="1282" t="str">
        <f t="shared" ca="1" si="9"/>
        <v/>
      </c>
      <c r="L63" s="931"/>
    </row>
    <row r="64" spans="3:12" ht="21.75" hidden="1" customHeight="1">
      <c r="C64" s="1010" t="s">
        <v>5044</v>
      </c>
      <c r="D64" s="1974">
        <f ca="1">SUM($K$4:K64)</f>
        <v>3</v>
      </c>
      <c r="E64" s="2285"/>
      <c r="F64" s="1974" t="e">
        <f t="shared" ref="F64" si="13">VLOOKUP(C64,KhoiLuong,6,0)</f>
        <v>#N/A</v>
      </c>
      <c r="G64" s="1445">
        <f t="shared" ref="G64" ca="1" si="14">SUMIF(KhoiLuong,C64,DuToan)</f>
        <v>0</v>
      </c>
      <c r="H64" s="1445">
        <f t="shared" ref="H64" ca="1" si="15">SUMIF(KhoiLuong,C64,ThiCong)</f>
        <v>0</v>
      </c>
      <c r="I64" s="1441"/>
      <c r="J64" s="1442"/>
      <c r="K64" s="1282" t="str">
        <f t="shared" ca="1" si="7"/>
        <v/>
      </c>
    </row>
    <row r="65" spans="4:11" ht="27" customHeight="1">
      <c r="D65" s="1974"/>
      <c r="E65" s="1975" t="s">
        <v>4260</v>
      </c>
      <c r="F65" s="1975"/>
      <c r="G65" s="1446">
        <f ca="1">SUM(G4:G64)</f>
        <v>3</v>
      </c>
      <c r="H65" s="1446">
        <f ca="1">SUM(H4:H64)</f>
        <v>3</v>
      </c>
      <c r="I65" s="1974"/>
      <c r="J65" s="1974"/>
      <c r="K65" s="1282">
        <f t="shared" ca="1" si="7"/>
        <v>1</v>
      </c>
    </row>
  </sheetData>
  <autoFilter ref="K3:K65" xr:uid="{00000000-0009-0000-0000-000020000000}">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B1:L16"/>
  <sheetViews>
    <sheetView workbookViewId="0">
      <selection activeCell="C3" sqref="C3:I16"/>
    </sheetView>
  </sheetViews>
  <sheetFormatPr defaultColWidth="8.90625" defaultRowHeight="16.8"/>
  <cols>
    <col min="1" max="1" width="8.90625" style="1282"/>
    <col min="2" max="2" width="14.453125" style="1448" customWidth="1"/>
    <col min="3" max="3" width="4.90625" style="1282" customWidth="1"/>
    <col min="4" max="4" width="32.08984375" style="1282" customWidth="1"/>
    <col min="5" max="5" width="7.1796875" style="1282" customWidth="1"/>
    <col min="6" max="7" width="8.26953125" style="1282" customWidth="1"/>
    <col min="8" max="8" width="10.54296875" style="1282" hidden="1" customWidth="1"/>
    <col min="9" max="9" width="9.36328125" style="1282" customWidth="1"/>
    <col min="10" max="16384" width="8.90625" style="1282"/>
  </cols>
  <sheetData>
    <row r="1" spans="2:12">
      <c r="D1" s="931" t="s">
        <v>2839</v>
      </c>
      <c r="E1" s="931"/>
    </row>
    <row r="3" spans="2:12" s="1739" customFormat="1" ht="36.6" customHeight="1">
      <c r="B3" s="1285"/>
      <c r="C3" s="1975" t="s">
        <v>1712</v>
      </c>
      <c r="D3" s="1975" t="s">
        <v>3993</v>
      </c>
      <c r="E3" s="1507" t="s">
        <v>4229</v>
      </c>
      <c r="F3" s="1507" t="s">
        <v>4943</v>
      </c>
      <c r="G3" s="1507" t="s">
        <v>4197</v>
      </c>
      <c r="H3" s="1507" t="s">
        <v>4230</v>
      </c>
      <c r="I3" s="1507" t="s">
        <v>4196</v>
      </c>
      <c r="J3" s="2268" t="s">
        <v>512</v>
      </c>
      <c r="K3" s="1739">
        <v>2</v>
      </c>
    </row>
    <row r="4" spans="2:12" hidden="1">
      <c r="B4" s="1448" t="s">
        <v>519</v>
      </c>
      <c r="C4" s="1441">
        <f ca="1">SUM($J$4:J4)</f>
        <v>0</v>
      </c>
      <c r="D4" s="2285" t="e">
        <f t="shared" ref="D4:D15" si="0">VLOOKUP(B4,KhoiLuong,5,0)</f>
        <v>#N/A</v>
      </c>
      <c r="E4" s="1974" t="e">
        <f t="shared" ref="E4:E15" si="1">VLOOKUP(B4,KhoiLuong,6,0)</f>
        <v>#N/A</v>
      </c>
      <c r="F4" s="1445">
        <f t="shared" ref="F4" ca="1" si="2">SUMIF(KhoiLuong,B4,DuToan)</f>
        <v>0</v>
      </c>
      <c r="G4" s="1445">
        <f t="shared" ref="G4" ca="1" si="3">SUMIF(KhoiLuong,B4,ThiCong)</f>
        <v>0</v>
      </c>
      <c r="H4" s="1445">
        <f>VLOOKUP($D$1,Solieu!A:C,2,0)</f>
        <v>3</v>
      </c>
      <c r="I4" s="1442"/>
      <c r="J4" s="1282" t="str">
        <f t="shared" ref="J4:J16" ca="1" si="4">IF(OR(F4&gt;0,G4&gt;0),1,"")</f>
        <v/>
      </c>
      <c r="L4" s="1445"/>
    </row>
    <row r="5" spans="2:12" hidden="1">
      <c r="B5" s="1448" t="s">
        <v>5005</v>
      </c>
      <c r="C5" s="1974">
        <f ca="1">SUM($J$4:J5)</f>
        <v>0</v>
      </c>
      <c r="D5" s="2285" t="e">
        <f t="shared" si="0"/>
        <v>#N/A</v>
      </c>
      <c r="E5" s="1974" t="e">
        <f t="shared" si="1"/>
        <v>#N/A</v>
      </c>
      <c r="F5" s="1445">
        <f t="shared" ref="F5:F15" ca="1" si="5">SUMIF(KhoiLuong,B5,DuToan)</f>
        <v>0</v>
      </c>
      <c r="G5" s="1445">
        <f t="shared" ref="G5:G15" ca="1" si="6">SUMIF(KhoiLuong,B5,ThiCong)</f>
        <v>0</v>
      </c>
      <c r="H5" s="1445">
        <f>VLOOKUP($D$1,Solieu!A:C,2,0)</f>
        <v>3</v>
      </c>
      <c r="I5" s="1442"/>
      <c r="J5" s="1282" t="str">
        <f t="shared" ca="1" si="4"/>
        <v/>
      </c>
      <c r="K5" s="931"/>
      <c r="L5" s="1445"/>
    </row>
    <row r="6" spans="2:12" hidden="1">
      <c r="B6" s="1448" t="s">
        <v>302</v>
      </c>
      <c r="C6" s="1974">
        <f ca="1">SUM($J$4:J6)</f>
        <v>0</v>
      </c>
      <c r="D6" s="2285" t="e">
        <f t="shared" si="0"/>
        <v>#N/A</v>
      </c>
      <c r="E6" s="1974" t="e">
        <f t="shared" si="1"/>
        <v>#N/A</v>
      </c>
      <c r="F6" s="1445">
        <f t="shared" ca="1" si="5"/>
        <v>0</v>
      </c>
      <c r="G6" s="1445">
        <f t="shared" ca="1" si="6"/>
        <v>0</v>
      </c>
      <c r="H6" s="1445">
        <f>VLOOKUP($D$1,Solieu!A:C,2,0)</f>
        <v>3</v>
      </c>
      <c r="I6" s="1442"/>
      <c r="J6" s="1282" t="str">
        <f t="shared" ca="1" si="4"/>
        <v/>
      </c>
      <c r="K6" s="931"/>
    </row>
    <row r="7" spans="2:12" hidden="1">
      <c r="B7" s="2271" t="s">
        <v>232</v>
      </c>
      <c r="C7" s="1974">
        <f ca="1">SUM($J$4:J7)</f>
        <v>0</v>
      </c>
      <c r="D7" s="2285" t="e">
        <f t="shared" si="0"/>
        <v>#N/A</v>
      </c>
      <c r="E7" s="1974" t="e">
        <f t="shared" si="1"/>
        <v>#N/A</v>
      </c>
      <c r="F7" s="1445">
        <f t="shared" ca="1" si="5"/>
        <v>0</v>
      </c>
      <c r="G7" s="1445">
        <f t="shared" ca="1" si="6"/>
        <v>0</v>
      </c>
      <c r="H7" s="1445">
        <f>VLOOKUP($D$1,Solieu!A:C,2,0)</f>
        <v>3</v>
      </c>
      <c r="I7" s="1442"/>
      <c r="J7" s="1282" t="str">
        <f t="shared" ca="1" si="4"/>
        <v/>
      </c>
      <c r="K7" s="931"/>
    </row>
    <row r="8" spans="2:12" ht="31.5" hidden="1" customHeight="1">
      <c r="B8" s="1448" t="s">
        <v>510</v>
      </c>
      <c r="C8" s="1974">
        <f ca="1">SUM($J$4:J8)</f>
        <v>0</v>
      </c>
      <c r="D8" s="2285" t="e">
        <f t="shared" si="0"/>
        <v>#N/A</v>
      </c>
      <c r="E8" s="1974" t="e">
        <f t="shared" si="1"/>
        <v>#N/A</v>
      </c>
      <c r="F8" s="1445">
        <f t="shared" ca="1" si="5"/>
        <v>0</v>
      </c>
      <c r="G8" s="1445">
        <f t="shared" ca="1" si="6"/>
        <v>0</v>
      </c>
      <c r="I8" s="1442"/>
      <c r="J8" s="1282" t="str">
        <f t="shared" ca="1" si="4"/>
        <v/>
      </c>
    </row>
    <row r="9" spans="2:12" hidden="1">
      <c r="B9" s="1448" t="s">
        <v>300</v>
      </c>
      <c r="C9" s="1974">
        <f ca="1">SUM($J$4:J9)</f>
        <v>0</v>
      </c>
      <c r="D9" s="2285" t="e">
        <f t="shared" si="0"/>
        <v>#N/A</v>
      </c>
      <c r="E9" s="1974" t="e">
        <f t="shared" si="1"/>
        <v>#N/A</v>
      </c>
      <c r="F9" s="1445">
        <f t="shared" ca="1" si="5"/>
        <v>0</v>
      </c>
      <c r="G9" s="1445">
        <f t="shared" ca="1" si="6"/>
        <v>0</v>
      </c>
      <c r="I9" s="1442"/>
      <c r="J9" s="1282" t="str">
        <f t="shared" ca="1" si="4"/>
        <v/>
      </c>
    </row>
    <row r="10" spans="2:12" hidden="1">
      <c r="B10" s="1448" t="s">
        <v>370</v>
      </c>
      <c r="C10" s="1974">
        <f ca="1">SUM($J$4:J10)</f>
        <v>0</v>
      </c>
      <c r="D10" s="2285" t="e">
        <f t="shared" si="0"/>
        <v>#N/A</v>
      </c>
      <c r="E10" s="1974" t="e">
        <f t="shared" si="1"/>
        <v>#N/A</v>
      </c>
      <c r="F10" s="1445">
        <f t="shared" ca="1" si="5"/>
        <v>0</v>
      </c>
      <c r="G10" s="1445">
        <f t="shared" ca="1" si="6"/>
        <v>0</v>
      </c>
      <c r="I10" s="1442"/>
      <c r="J10" s="1282" t="str">
        <f t="shared" ca="1" si="4"/>
        <v/>
      </c>
    </row>
    <row r="11" spans="2:12" hidden="1">
      <c r="B11" s="1448" t="s">
        <v>1186</v>
      </c>
      <c r="C11" s="1974">
        <f ca="1">SUM($J$4:J11)</f>
        <v>0</v>
      </c>
      <c r="D11" s="2285" t="e">
        <f t="shared" si="0"/>
        <v>#N/A</v>
      </c>
      <c r="E11" s="1974" t="e">
        <f t="shared" si="1"/>
        <v>#N/A</v>
      </c>
      <c r="F11" s="1445">
        <f t="shared" ca="1" si="5"/>
        <v>0</v>
      </c>
      <c r="G11" s="1445">
        <f t="shared" ca="1" si="6"/>
        <v>0</v>
      </c>
      <c r="I11" s="1442"/>
      <c r="J11" s="1282" t="str">
        <f t="shared" ca="1" si="4"/>
        <v/>
      </c>
    </row>
    <row r="12" spans="2:12" ht="39" customHeight="1">
      <c r="B12" s="1448" t="s">
        <v>301</v>
      </c>
      <c r="C12" s="1974">
        <f ca="1">SUM($J$4:J12)</f>
        <v>1</v>
      </c>
      <c r="D12" s="1443" t="str">
        <f t="shared" si="0"/>
        <v>Trụ bê tông ly tâm 12m trồng thủ công+cơ giới</v>
      </c>
      <c r="E12" s="1974" t="str">
        <f t="shared" si="1"/>
        <v>Trụ</v>
      </c>
      <c r="F12" s="1445">
        <f t="shared" ca="1" si="5"/>
        <v>3</v>
      </c>
      <c r="G12" s="1445">
        <f t="shared" ca="1" si="6"/>
        <v>3</v>
      </c>
      <c r="I12" s="1442"/>
      <c r="J12" s="1282">
        <f t="shared" ca="1" si="4"/>
        <v>1</v>
      </c>
    </row>
    <row r="13" spans="2:12" hidden="1">
      <c r="B13" s="1448" t="s">
        <v>2314</v>
      </c>
      <c r="C13" s="1974">
        <f ca="1">SUM($J$4:J13)</f>
        <v>1</v>
      </c>
      <c r="D13" s="2285" t="e">
        <f t="shared" si="0"/>
        <v>#N/A</v>
      </c>
      <c r="E13" s="1974" t="e">
        <f t="shared" si="1"/>
        <v>#N/A</v>
      </c>
      <c r="F13" s="1445">
        <f t="shared" ca="1" si="5"/>
        <v>0</v>
      </c>
      <c r="G13" s="1445">
        <f t="shared" ca="1" si="6"/>
        <v>0</v>
      </c>
      <c r="I13" s="1442"/>
      <c r="J13" s="1282" t="str">
        <f t="shared" ca="1" si="4"/>
        <v/>
      </c>
    </row>
    <row r="14" spans="2:12" hidden="1">
      <c r="B14" s="1448" t="s">
        <v>5045</v>
      </c>
      <c r="C14" s="1974">
        <f ca="1">SUM($J$4:J14)</f>
        <v>1</v>
      </c>
      <c r="D14" s="2285" t="e">
        <f t="shared" si="0"/>
        <v>#N/A</v>
      </c>
      <c r="E14" s="1974" t="e">
        <f t="shared" si="1"/>
        <v>#N/A</v>
      </c>
      <c r="F14" s="1445">
        <f t="shared" ca="1" si="5"/>
        <v>0</v>
      </c>
      <c r="G14" s="1445">
        <f t="shared" ca="1" si="6"/>
        <v>0</v>
      </c>
      <c r="I14" s="1442"/>
      <c r="J14" s="1282" t="str">
        <f t="shared" ca="1" si="4"/>
        <v/>
      </c>
    </row>
    <row r="15" spans="2:12" hidden="1">
      <c r="B15" s="1448" t="s">
        <v>759</v>
      </c>
      <c r="C15" s="1974">
        <f ca="1">SUM($J$4:J15)</f>
        <v>1</v>
      </c>
      <c r="D15" s="2285" t="e">
        <f t="shared" si="0"/>
        <v>#N/A</v>
      </c>
      <c r="E15" s="1974" t="e">
        <f t="shared" si="1"/>
        <v>#N/A</v>
      </c>
      <c r="F15" s="1445">
        <f t="shared" ca="1" si="5"/>
        <v>0</v>
      </c>
      <c r="G15" s="1445">
        <f t="shared" ca="1" si="6"/>
        <v>0</v>
      </c>
      <c r="I15" s="1442"/>
      <c r="J15" s="1282" t="str">
        <f t="shared" ca="1" si="4"/>
        <v/>
      </c>
    </row>
    <row r="16" spans="2:12" ht="39.75" customHeight="1">
      <c r="C16" s="1974"/>
      <c r="D16" s="1975" t="s">
        <v>4260</v>
      </c>
      <c r="E16" s="1975"/>
      <c r="F16" s="1446">
        <f ca="1">SUM(F4:F15)</f>
        <v>3</v>
      </c>
      <c r="G16" s="1446">
        <f ca="1">SUM(G4:G15)</f>
        <v>3</v>
      </c>
      <c r="H16" s="1974"/>
      <c r="I16" s="1974"/>
      <c r="J16" s="1282">
        <f t="shared" ca="1" si="4"/>
        <v>1</v>
      </c>
    </row>
  </sheetData>
  <autoFilter ref="J3:J16" xr:uid="{00000000-0009-0000-0000-000021000000}">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1:J33"/>
  <sheetViews>
    <sheetView workbookViewId="0">
      <selection activeCell="C3" sqref="C3:H33"/>
    </sheetView>
  </sheetViews>
  <sheetFormatPr defaultColWidth="8.90625" defaultRowHeight="16.8"/>
  <cols>
    <col min="1" max="1" width="8.90625" style="1282"/>
    <col min="2" max="2" width="14.453125" style="1504" customWidth="1"/>
    <col min="3" max="3" width="5.36328125" style="1282" customWidth="1"/>
    <col min="4" max="4" width="33.6328125" style="1282" customWidth="1"/>
    <col min="5" max="6" width="11" style="1282" customWidth="1"/>
    <col min="7" max="7" width="11" style="1282" hidden="1" customWidth="1"/>
    <col min="8" max="8" width="11" style="1282" customWidth="1"/>
    <col min="9" max="16384" width="8.90625" style="1282"/>
  </cols>
  <sheetData>
    <row r="1" spans="2:10">
      <c r="D1" s="931" t="s">
        <v>4501</v>
      </c>
    </row>
    <row r="3" spans="2:10" ht="33.6">
      <c r="C3" s="1975" t="s">
        <v>1712</v>
      </c>
      <c r="D3" s="1975" t="s">
        <v>4419</v>
      </c>
      <c r="E3" s="1975" t="s">
        <v>4233</v>
      </c>
      <c r="F3" s="1975" t="s">
        <v>4197</v>
      </c>
      <c r="G3" s="1975" t="s">
        <v>4227</v>
      </c>
      <c r="H3" s="1975" t="s">
        <v>4196</v>
      </c>
      <c r="I3" s="1444" t="s">
        <v>512</v>
      </c>
    </row>
    <row r="4" spans="2:10" ht="25.5" hidden="1" customHeight="1">
      <c r="B4" s="1504" t="s">
        <v>1195</v>
      </c>
      <c r="C4" s="1441">
        <f>SUM($I$4:I4)</f>
        <v>0</v>
      </c>
      <c r="D4" s="1443" t="str">
        <f>VLOOKUP(B4,DG!A:C,3,0)</f>
        <v>Bộ CODE lắp néo trung hòa: CODE th-Þ240</v>
      </c>
      <c r="E4" s="1445">
        <f>SUMIF(TongHopKL!$B:$B,B4,TongHopKL!H:H)</f>
        <v>0</v>
      </c>
      <c r="F4" s="1445">
        <f>SUMIF(TongHopKL!$B:$B,B4,TongHopKL!I:I)</f>
        <v>0</v>
      </c>
      <c r="G4" s="1445">
        <f>VLOOKUP($D$1,Solieu!A:C,2,0)</f>
        <v>0</v>
      </c>
      <c r="H4" s="1442"/>
      <c r="I4" s="1282" t="str">
        <f>IF(OR(E4&gt;0,F4&gt;0),1,"")</f>
        <v/>
      </c>
    </row>
    <row r="5" spans="2:10" ht="24.75" hidden="1" customHeight="1">
      <c r="B5" s="1504" t="s">
        <v>633</v>
      </c>
      <c r="C5" s="1441">
        <f>SUM($I$4:I5)</f>
        <v>0</v>
      </c>
      <c r="D5" s="1443" t="str">
        <f>VLOOKUP(B5,DG!A:C,3,0)</f>
        <v>Bộ chằng xuống đơn cho trụ hạ thế: CX.ht</v>
      </c>
      <c r="E5" s="1445">
        <f>SUMIF(TongHopKL!$B:$B,B5,TongHopKL!H:H)</f>
        <v>0</v>
      </c>
      <c r="F5" s="1445">
        <f>SUMIF(TongHopKL!$B:$B,B5,TongHopKL!I:I)</f>
        <v>0</v>
      </c>
      <c r="G5" s="1445">
        <f>VLOOKUP($D$1,Solieu!A:C,2,0)</f>
        <v>0</v>
      </c>
      <c r="H5" s="1442"/>
      <c r="I5" s="1282" t="str">
        <f t="shared" ref="I5:I32" si="0">IF(OR(E5&gt;0,F5&gt;0),1,"")</f>
        <v/>
      </c>
      <c r="J5" s="931"/>
    </row>
    <row r="6" spans="2:10" ht="33.6" hidden="1">
      <c r="B6" s="1504" t="s">
        <v>205</v>
      </c>
      <c r="C6" s="1441">
        <f>SUM($I$4:I6)</f>
        <v>0</v>
      </c>
      <c r="D6" s="1443" t="str">
        <f>VLOOKUP(B6,DG!A:C,3,0)</f>
        <v>Tháo bộ chằng lệch đơn cho trụ hạ thế: CL.ht</v>
      </c>
      <c r="E6" s="1445">
        <f>SUMIF(TongHopKL!$B:$B,B6,TongHopKL!H:H)</f>
        <v>0</v>
      </c>
      <c r="F6" s="1445">
        <f>SUMIF(TongHopKL!$B:$B,B6,TongHopKL!I:I)</f>
        <v>0</v>
      </c>
      <c r="G6" s="1445">
        <f>VLOOKUP($D$1,Solieu!A:C,2,0)</f>
        <v>0</v>
      </c>
      <c r="H6" s="1442"/>
      <c r="I6" s="1282" t="str">
        <f t="shared" si="0"/>
        <v/>
      </c>
      <c r="J6" s="931"/>
    </row>
    <row r="7" spans="2:10" hidden="1">
      <c r="B7" s="1504" t="s">
        <v>632</v>
      </c>
      <c r="C7" s="1441">
        <f>SUM($I$4:I7)</f>
        <v>0</v>
      </c>
      <c r="D7" s="1443" t="str">
        <f>VLOOKUP(B7,DG!A:C,3,0)</f>
        <v>Bộ chằng lệch đơn cho trụ hạ thế: CL.ht</v>
      </c>
      <c r="E7" s="1445">
        <f>SUMIF(TongHopKL!$B:$B,B7,TongHopKL!H:H)</f>
        <v>0</v>
      </c>
      <c r="F7" s="1445">
        <f>SUMIF(TongHopKL!$B:$B,B7,TongHopKL!I:I)</f>
        <v>0</v>
      </c>
      <c r="G7" s="1445">
        <f>VLOOKUP($D$1,Solieu!A:C,2,0)</f>
        <v>0</v>
      </c>
      <c r="H7" s="1442"/>
      <c r="I7" s="1282" t="str">
        <f t="shared" si="0"/>
        <v/>
      </c>
      <c r="J7" s="931"/>
    </row>
    <row r="8" spans="2:10" ht="33.6" hidden="1">
      <c r="B8" s="1504" t="s">
        <v>835</v>
      </c>
      <c r="C8" s="1441">
        <f>SUM($I$4:I8)</f>
        <v>0</v>
      </c>
      <c r="D8" s="1443" t="str">
        <f>VLOOKUP(B8,DG!A:C,3,0)</f>
        <v>Bộ chằng xuống đơn cho trụ 10,5m: CX10-B</v>
      </c>
      <c r="E8" s="1445">
        <f>SUMIF(TongHopKL!$B:$B,B8,TongHopKL!H:H)</f>
        <v>0</v>
      </c>
      <c r="F8" s="1445">
        <f>SUMIF(TongHopKL!$B:$B,B8,TongHopKL!I:I)</f>
        <v>0</v>
      </c>
      <c r="G8" s="1445">
        <f>VLOOKUP($D$1,Solieu!A:C,2,0)</f>
        <v>0</v>
      </c>
      <c r="H8" s="1442"/>
      <c r="I8" s="1282" t="str">
        <f t="shared" si="0"/>
        <v/>
      </c>
      <c r="J8" s="931"/>
    </row>
    <row r="9" spans="2:10" ht="33.6" hidden="1">
      <c r="B9" s="1504" t="s">
        <v>836</v>
      </c>
      <c r="C9" s="1441">
        <f>SUM($I$4:I9)</f>
        <v>0</v>
      </c>
      <c r="D9" s="1443" t="str">
        <f>VLOOKUP(B9,DG!A:C,3,0)</f>
        <v>Bộ chằng lệch đơn cho trụ 10,5m: CL10-B</v>
      </c>
      <c r="E9" s="1445">
        <f>SUMIF(TongHopKL!$B:$B,B9,TongHopKL!H:H)</f>
        <v>0</v>
      </c>
      <c r="F9" s="1445">
        <f>SUMIF(TongHopKL!$B:$B,B9,TongHopKL!I:I)</f>
        <v>0</v>
      </c>
      <c r="G9" s="1445">
        <f>VLOOKUP($D$1,Solieu!A:C,2,0)</f>
        <v>0</v>
      </c>
      <c r="H9" s="1442"/>
      <c r="I9" s="1282" t="str">
        <f t="shared" si="0"/>
        <v/>
      </c>
      <c r="J9" s="931"/>
    </row>
    <row r="10" spans="2:10" ht="33.6" hidden="1">
      <c r="B10" s="1504" t="s">
        <v>837</v>
      </c>
      <c r="C10" s="1441">
        <f>SUM($I$4:I10)</f>
        <v>0</v>
      </c>
      <c r="D10" s="1443" t="str">
        <f>VLOOKUP(B10,DG!A:C,3,0)</f>
        <v>Bộ chằng xuống kép cho trụ 10,5m: CXX10-B</v>
      </c>
      <c r="E10" s="1445">
        <f>SUMIF(TongHopKL!$B:$B,B10,TongHopKL!H:H)</f>
        <v>0</v>
      </c>
      <c r="F10" s="1445">
        <f>SUMIF(TongHopKL!$B:$B,B10,TongHopKL!I:I)</f>
        <v>0</v>
      </c>
      <c r="G10" s="1445">
        <f>VLOOKUP($D$1,Solieu!A:C,2,0)</f>
        <v>0</v>
      </c>
      <c r="H10" s="1442"/>
      <c r="I10" s="1282" t="str">
        <f t="shared" si="0"/>
        <v/>
      </c>
      <c r="J10" s="931"/>
    </row>
    <row r="11" spans="2:10" ht="33.6" hidden="1">
      <c r="B11" s="1504" t="s">
        <v>1273</v>
      </c>
      <c r="C11" s="1441">
        <f>SUM($I$4:I11)</f>
        <v>0</v>
      </c>
      <c r="D11" s="1443" t="str">
        <f>VLOOKUP(B11,DG!A:C,3,0)</f>
        <v>Tháo bộ chằng xuống đơn cho trụ 12m: CX12-B</v>
      </c>
      <c r="E11" s="1445">
        <f>SUMIF(TongHopKL!$B:$B,B11,TongHopKL!H:H)</f>
        <v>0</v>
      </c>
      <c r="F11" s="1445">
        <f>SUMIF(TongHopKL!$B:$B,B11,TongHopKL!I:I)</f>
        <v>0</v>
      </c>
      <c r="G11" s="1445">
        <f>VLOOKUP($D$1,Solieu!A:C,2,0)</f>
        <v>0</v>
      </c>
      <c r="H11" s="1442"/>
      <c r="I11" s="1282" t="str">
        <f t="shared" si="0"/>
        <v/>
      </c>
      <c r="J11" s="931"/>
    </row>
    <row r="12" spans="2:10" ht="35.25" customHeight="1">
      <c r="B12" s="1504" t="s">
        <v>663</v>
      </c>
      <c r="C12" s="1441">
        <f>SUM($I$4:I12)</f>
        <v>1</v>
      </c>
      <c r="D12" s="1443" t="str">
        <f>VLOOKUP(B12,DG!A:C,3,0)</f>
        <v>Bộ chằng xuống đơn cho trụ 12m: CX12-B</v>
      </c>
      <c r="E12" s="1445">
        <f>SUMIF(TongHopKL!$B:$B,B12,TongHopKL!H:H)</f>
        <v>1</v>
      </c>
      <c r="F12" s="1445">
        <f>SUMIF(TongHopKL!$B:$B,B12,TongHopKL!I:I)</f>
        <v>1</v>
      </c>
      <c r="G12" s="1445">
        <f>VLOOKUP($D$1,Solieu!A:C,2,0)</f>
        <v>0</v>
      </c>
      <c r="H12" s="1442"/>
      <c r="I12" s="1282">
        <f t="shared" si="0"/>
        <v>1</v>
      </c>
      <c r="J12" s="931"/>
    </row>
    <row r="13" spans="2:10" ht="33.6" hidden="1">
      <c r="B13" s="1504" t="s">
        <v>195</v>
      </c>
      <c r="C13" s="1441">
        <f>SUM($I$4:I13)</f>
        <v>1</v>
      </c>
      <c r="D13" s="1443" t="str">
        <f>VLOOKUP(B13,DG!A:C,3,0)</f>
        <v>Tháo bộ chằng lệch đơn cho trụ 12m: CL12-B</v>
      </c>
      <c r="E13" s="1445">
        <f>SUMIF(TongHopKL!$B:$B,B13,TongHopKL!H:H)</f>
        <v>0</v>
      </c>
      <c r="F13" s="1445">
        <f>SUMIF(TongHopKL!$B:$B,B13,TongHopKL!I:I)</f>
        <v>0</v>
      </c>
      <c r="G13" s="1445">
        <f>VLOOKUP($D$1,Solieu!A:C,2,0)</f>
        <v>0</v>
      </c>
      <c r="H13" s="1442"/>
      <c r="I13" s="1282" t="str">
        <f t="shared" si="0"/>
        <v/>
      </c>
      <c r="J13" s="931"/>
    </row>
    <row r="14" spans="2:10" ht="43.5" hidden="1" customHeight="1">
      <c r="B14" s="1504" t="s">
        <v>664</v>
      </c>
      <c r="C14" s="1974">
        <f>SUM($I$4:I14)</f>
        <v>1</v>
      </c>
      <c r="D14" s="1443" t="str">
        <f>VLOOKUP(B14,DG!A:C,3,0)</f>
        <v>Bộ chằng lệch đơn cho trụ 12m: CL12-B</v>
      </c>
      <c r="E14" s="1445">
        <f>SUMIF(TongHopKL!$B:$B,B14,TongHopKL!H:H)</f>
        <v>0</v>
      </c>
      <c r="F14" s="1445">
        <f>SUMIF(TongHopKL!$B:$B,B14,TongHopKL!I:I)</f>
        <v>0</v>
      </c>
      <c r="G14" s="1445">
        <f>VLOOKUP($D$1,Solieu!A:C,2,0)</f>
        <v>0</v>
      </c>
      <c r="H14" s="1442"/>
      <c r="I14" s="1282" t="str">
        <f t="shared" si="0"/>
        <v/>
      </c>
      <c r="J14" s="931"/>
    </row>
    <row r="15" spans="2:10" ht="33.6" hidden="1">
      <c r="B15" s="1504" t="s">
        <v>665</v>
      </c>
      <c r="C15" s="1441">
        <f>SUM($I$4:I15)</f>
        <v>1</v>
      </c>
      <c r="D15" s="1443" t="str">
        <f>VLOOKUP(B15,DG!A:C,3,0)</f>
        <v>Bộ chằng xuống kép cho trụ 12m: CXX12-B</v>
      </c>
      <c r="E15" s="1445">
        <f>SUMIF(TongHopKL!$B:$B,B15,TongHopKL!H:H)</f>
        <v>0</v>
      </c>
      <c r="F15" s="1445">
        <f>SUMIF(TongHopKL!$B:$B,B15,TongHopKL!I:I)</f>
        <v>0</v>
      </c>
      <c r="G15" s="1445">
        <f>VLOOKUP($D$1,Solieu!A:C,2,0)</f>
        <v>0</v>
      </c>
      <c r="H15" s="1442"/>
      <c r="I15" s="1282" t="str">
        <f t="shared" si="0"/>
        <v/>
      </c>
      <c r="J15" s="931"/>
    </row>
    <row r="16" spans="2:10" ht="27" hidden="1" customHeight="1">
      <c r="B16" s="1504" t="s">
        <v>666</v>
      </c>
      <c r="C16" s="1441">
        <f>SUM($I$4:I16)</f>
        <v>1</v>
      </c>
      <c r="D16" s="1443" t="str">
        <f>VLOOKUP(B16,DG!A:C,3,0)</f>
        <v>Bộ chằng xuống đơn cho trụ 14m: CX14-B</v>
      </c>
      <c r="E16" s="1445">
        <f>SUMIF(TongHopKL!$B:$B,B16,TongHopKL!H:H)</f>
        <v>0</v>
      </c>
      <c r="F16" s="1445">
        <f>SUMIF(TongHopKL!$B:$B,B16,TongHopKL!I:I)</f>
        <v>0</v>
      </c>
      <c r="G16" s="1445">
        <f>VLOOKUP($D$1,Solieu!A:C,2,0)</f>
        <v>0</v>
      </c>
      <c r="H16" s="1442"/>
      <c r="I16" s="1282" t="str">
        <f t="shared" si="0"/>
        <v/>
      </c>
    </row>
    <row r="17" spans="2:9" ht="33.6" hidden="1">
      <c r="B17" s="1504" t="s">
        <v>912</v>
      </c>
      <c r="C17" s="1441">
        <f>SUM($I$4:I17)</f>
        <v>1</v>
      </c>
      <c r="D17" s="1443" t="str">
        <f>VLOOKUP(B17,DG!A:C,3,0)</f>
        <v>Bộ chằng lệch đơn cho trụ 14m: CL14-B</v>
      </c>
      <c r="E17" s="1445">
        <f>SUMIF(TongHopKL!$B:$B,B17,TongHopKL!H:H)</f>
        <v>0</v>
      </c>
      <c r="F17" s="1445">
        <f>SUMIF(TongHopKL!$B:$B,B17,TongHopKL!I:I)</f>
        <v>0</v>
      </c>
      <c r="G17" s="1445">
        <f>VLOOKUP($D$1,Solieu!A:C,2,0)</f>
        <v>0</v>
      </c>
      <c r="H17" s="1442"/>
      <c r="I17" s="1282" t="str">
        <f t="shared" si="0"/>
        <v/>
      </c>
    </row>
    <row r="18" spans="2:9" ht="33.6" hidden="1">
      <c r="B18" s="1504" t="s">
        <v>913</v>
      </c>
      <c r="C18" s="1441">
        <f>SUM($I$4:I18)</f>
        <v>1</v>
      </c>
      <c r="D18" s="1443" t="str">
        <f>VLOOKUP(B18,DG!A:C,3,0)</f>
        <v>Bộ chằng xuống kép cho trụ 14m: CXX14-B</v>
      </c>
      <c r="E18" s="1445">
        <f>SUMIF(TongHopKL!$B:$B,B18,TongHopKL!H:H)</f>
        <v>0</v>
      </c>
      <c r="F18" s="1445">
        <f>SUMIF(TongHopKL!$B:$B,B18,TongHopKL!I:I)</f>
        <v>0</v>
      </c>
      <c r="G18" s="1445">
        <f>VLOOKUP($D$1,Solieu!A:C,2,0)</f>
        <v>0</v>
      </c>
      <c r="H18" s="1442"/>
      <c r="I18" s="1282" t="str">
        <f t="shared" si="0"/>
        <v/>
      </c>
    </row>
    <row r="19" spans="2:9" hidden="1">
      <c r="B19" s="1504" t="s">
        <v>749</v>
      </c>
      <c r="C19" s="1441">
        <f>SUM($I$4:I19)</f>
        <v>1</v>
      </c>
      <c r="D19" s="1443" t="str">
        <f>VLOOKUP(B19,DG!A:C,3,0)</f>
        <v>Bộ chằng vượt đơn: CK-B</v>
      </c>
      <c r="E19" s="1445">
        <f>SUMIF(TongHopKL!$B:$B,B19,TongHopKL!H:H)</f>
        <v>0</v>
      </c>
      <c r="F19" s="1445">
        <f>SUMIF(TongHopKL!$B:$B,B19,TongHopKL!I:I)</f>
        <v>0</v>
      </c>
      <c r="G19" s="1445">
        <f>VLOOKUP($D$1,Solieu!A:C,2,0)</f>
        <v>0</v>
      </c>
      <c r="H19" s="1442"/>
      <c r="I19" s="1282" t="str">
        <f t="shared" si="0"/>
        <v/>
      </c>
    </row>
    <row r="20" spans="2:9" hidden="1">
      <c r="B20" s="1504" t="s">
        <v>748</v>
      </c>
      <c r="C20" s="1441">
        <f>SUM($I$4:I20)</f>
        <v>1</v>
      </c>
      <c r="D20" s="1443" t="str">
        <f>VLOOKUP(B20,DG!A:C,3,0)</f>
        <v>Bộ chằng vượt kép: CKK-B</v>
      </c>
      <c r="E20" s="1445">
        <f>SUMIF(TongHopKL!$B:$B,B20,TongHopKL!H:H)</f>
        <v>0</v>
      </c>
      <c r="F20" s="1445">
        <f>SUMIF(TongHopKL!$B:$B,B20,TongHopKL!I:I)</f>
        <v>0</v>
      </c>
      <c r="G20" s="1445">
        <f>VLOOKUP($D$1,Solieu!A:C,2,0)</f>
        <v>0</v>
      </c>
      <c r="H20" s="1442"/>
      <c r="I20" s="1282" t="str">
        <f t="shared" si="0"/>
        <v/>
      </c>
    </row>
    <row r="21" spans="2:9" ht="33.6" hidden="1">
      <c r="B21" s="1504" t="s">
        <v>345</v>
      </c>
      <c r="C21" s="1441">
        <f>SUM($I$4:I21)</f>
        <v>1</v>
      </c>
      <c r="D21" s="1443" t="str">
        <f>VLOOKUP(B21,DG!A:C,3,0)</f>
        <v>Bộ chằng xuống đơn cho trụ 10,5m: CX10-C</v>
      </c>
      <c r="E21" s="1445">
        <f>SUMIF(TongHopKL!$B:$B,B21,TongHopKL!H:H)</f>
        <v>0</v>
      </c>
      <c r="F21" s="1445">
        <f>SUMIF(TongHopKL!$B:$B,B21,TongHopKL!I:I)</f>
        <v>0</v>
      </c>
      <c r="G21" s="1445">
        <f>VLOOKUP($D$1,Solieu!A:C,2,0)</f>
        <v>0</v>
      </c>
      <c r="H21" s="1442"/>
      <c r="I21" s="1282" t="str">
        <f t="shared" si="0"/>
        <v/>
      </c>
    </row>
    <row r="22" spans="2:9" ht="33.6" hidden="1">
      <c r="B22" s="1504" t="s">
        <v>1084</v>
      </c>
      <c r="C22" s="1441">
        <f>SUM($I$4:I22)</f>
        <v>1</v>
      </c>
      <c r="D22" s="1443" t="str">
        <f>VLOOKUP(B22,DG!A:C,3,0)</f>
        <v>Bộ chằng lệch đơn cho trụ 10,5m: CL10-C</v>
      </c>
      <c r="E22" s="1445">
        <f>SUMIF(TongHopKL!$B:$B,B22,TongHopKL!H:H)</f>
        <v>0</v>
      </c>
      <c r="F22" s="1445">
        <f>SUMIF(TongHopKL!$B:$B,B22,TongHopKL!I:I)</f>
        <v>0</v>
      </c>
      <c r="G22" s="1445">
        <f>VLOOKUP($D$1,Solieu!A:C,2,0)</f>
        <v>0</v>
      </c>
      <c r="H22" s="1442"/>
      <c r="I22" s="1282" t="str">
        <f t="shared" si="0"/>
        <v/>
      </c>
    </row>
    <row r="23" spans="2:9" ht="33.6" hidden="1">
      <c r="B23" s="1504" t="s">
        <v>1085</v>
      </c>
      <c r="C23" s="1441">
        <f>SUM($I$4:I23)</f>
        <v>1</v>
      </c>
      <c r="D23" s="1443" t="str">
        <f>VLOOKUP(B23,DG!A:C,3,0)</f>
        <v>Bộ chằng xuống kép cho trụ 10,5m: CXX10-C</v>
      </c>
      <c r="E23" s="1445">
        <f>SUMIF(TongHopKL!$B:$B,B23,TongHopKL!H:H)</f>
        <v>0</v>
      </c>
      <c r="F23" s="1445">
        <f>SUMIF(TongHopKL!$B:$B,B23,TongHopKL!I:I)</f>
        <v>0</v>
      </c>
      <c r="G23" s="1445">
        <f>VLOOKUP($D$1,Solieu!A:C,2,0)</f>
        <v>0</v>
      </c>
      <c r="H23" s="1442"/>
      <c r="I23" s="1282" t="str">
        <f t="shared" si="0"/>
        <v/>
      </c>
    </row>
    <row r="24" spans="2:9" ht="33.6" hidden="1">
      <c r="B24" s="1504" t="s">
        <v>1086</v>
      </c>
      <c r="C24" s="1441">
        <f>SUM($I$4:I24)</f>
        <v>1</v>
      </c>
      <c r="D24" s="1443" t="str">
        <f>VLOOKUP(B24,DG!A:C,3,0)</f>
        <v>Bộ chằng xuống đơn cho trụ 12m: CX12-C</v>
      </c>
      <c r="E24" s="1445">
        <f>SUMIF(TongHopKL!$B:$B,B24,TongHopKL!H:H)</f>
        <v>0</v>
      </c>
      <c r="F24" s="1445">
        <f>SUMIF(TongHopKL!$B:$B,B24,TongHopKL!I:I)</f>
        <v>0</v>
      </c>
      <c r="G24" s="1445">
        <f>VLOOKUP($D$1,Solieu!A:C,2,0)</f>
        <v>0</v>
      </c>
      <c r="H24" s="1442"/>
      <c r="I24" s="1282" t="str">
        <f t="shared" si="0"/>
        <v/>
      </c>
    </row>
    <row r="25" spans="2:9" ht="33.6" hidden="1">
      <c r="B25" s="1504" t="s">
        <v>1087</v>
      </c>
      <c r="C25" s="1441">
        <f>SUM($I$4:I25)</f>
        <v>1</v>
      </c>
      <c r="D25" s="1443" t="str">
        <f>VLOOKUP(B25,DG!A:C,3,0)</f>
        <v>Bộ chằng lệch đơn cho trụ 12m: CL12-C</v>
      </c>
      <c r="E25" s="1445">
        <f>SUMIF(TongHopKL!$B:$B,B25,TongHopKL!H:H)</f>
        <v>0</v>
      </c>
      <c r="F25" s="1445">
        <f>SUMIF(TongHopKL!$B:$B,B25,TongHopKL!I:I)</f>
        <v>0</v>
      </c>
      <c r="G25" s="1445">
        <f>VLOOKUP($D$1,Solieu!A:C,2,0)</f>
        <v>0</v>
      </c>
      <c r="H25" s="1442"/>
      <c r="I25" s="1282" t="str">
        <f t="shared" si="0"/>
        <v/>
      </c>
    </row>
    <row r="26" spans="2:9" ht="33.6" hidden="1">
      <c r="B26" s="1504" t="s">
        <v>1088</v>
      </c>
      <c r="C26" s="1441">
        <f>SUM($I$4:I26)</f>
        <v>1</v>
      </c>
      <c r="D26" s="1443" t="str">
        <f>VLOOKUP(B26,DG!A:C,3,0)</f>
        <v>Bộ chằng xuống kép cho trụ 12m: CXX12-C</v>
      </c>
      <c r="E26" s="1445">
        <f>SUMIF(TongHopKL!$B:$B,B26,TongHopKL!H:H)</f>
        <v>0</v>
      </c>
      <c r="F26" s="1445">
        <f>SUMIF(TongHopKL!$B:$B,B26,TongHopKL!I:I)</f>
        <v>0</v>
      </c>
      <c r="G26" s="1445">
        <f>VLOOKUP($D$1,Solieu!A:C,2,0)</f>
        <v>0</v>
      </c>
      <c r="H26" s="1442"/>
      <c r="I26" s="1282" t="str">
        <f t="shared" si="0"/>
        <v/>
      </c>
    </row>
    <row r="27" spans="2:9" ht="33.6" hidden="1">
      <c r="B27" s="1504" t="s">
        <v>1813</v>
      </c>
      <c r="C27" s="1441">
        <f>SUM($I$4:I27)</f>
        <v>1</v>
      </c>
      <c r="D27" s="1443" t="str">
        <f>VLOOKUP(B27,DG!A:C,3,0)</f>
        <v>Bộ chằng xuống đơn cho trụ 14m: CX14-C</v>
      </c>
      <c r="E27" s="1445">
        <f>SUMIF(TongHopKL!$B:$B,B27,TongHopKL!H:H)</f>
        <v>0</v>
      </c>
      <c r="F27" s="1445">
        <f>SUMIF(TongHopKL!$B:$B,B27,TongHopKL!I:I)</f>
        <v>0</v>
      </c>
      <c r="G27" s="1445">
        <f>VLOOKUP($D$1,Solieu!A:C,2,0)</f>
        <v>0</v>
      </c>
      <c r="H27" s="1442"/>
      <c r="I27" s="1282" t="str">
        <f t="shared" si="0"/>
        <v/>
      </c>
    </row>
    <row r="28" spans="2:9" ht="33.6" hidden="1">
      <c r="B28" s="1504" t="s">
        <v>339</v>
      </c>
      <c r="C28" s="1441">
        <f>SUM($I$4:I28)</f>
        <v>1</v>
      </c>
      <c r="D28" s="1443" t="str">
        <f>VLOOKUP(B28,DG!A:C,3,0)</f>
        <v>Bộ chằng lệch đơn cho trụ 14m: CL14-C</v>
      </c>
      <c r="E28" s="1445">
        <f>SUMIF(TongHopKL!$B:$B,B28,TongHopKL!H:H)</f>
        <v>0</v>
      </c>
      <c r="F28" s="1445">
        <f>SUMIF(TongHopKL!$B:$B,B28,TongHopKL!I:I)</f>
        <v>0</v>
      </c>
      <c r="G28" s="1445">
        <f>VLOOKUP($D$1,Solieu!A:C,2,0)</f>
        <v>0</v>
      </c>
      <c r="H28" s="1442"/>
      <c r="I28" s="1282" t="str">
        <f t="shared" si="0"/>
        <v/>
      </c>
    </row>
    <row r="29" spans="2:9" ht="33.6" hidden="1">
      <c r="B29" s="1504" t="s">
        <v>1243</v>
      </c>
      <c r="C29" s="1441">
        <f>SUM($I$4:I29)</f>
        <v>1</v>
      </c>
      <c r="D29" s="1443" t="str">
        <f>VLOOKUP(B29,DG!A:C,3,0)</f>
        <v>Bộ chằng xuống kép cho trụ 14m: CXX14-C</v>
      </c>
      <c r="E29" s="1445">
        <f>SUMIF(TongHopKL!$B:$B,B29,TongHopKL!H:H)</f>
        <v>0</v>
      </c>
      <c r="F29" s="1445">
        <f>SUMIF(TongHopKL!$B:$B,B29,TongHopKL!I:I)</f>
        <v>0</v>
      </c>
      <c r="G29" s="1445">
        <f>VLOOKUP($D$1,Solieu!A:C,2,0)</f>
        <v>0</v>
      </c>
      <c r="H29" s="1442"/>
      <c r="I29" s="1282" t="str">
        <f t="shared" si="0"/>
        <v/>
      </c>
    </row>
    <row r="30" spans="2:9" ht="33.6" hidden="1">
      <c r="B30" s="1504" t="s">
        <v>812</v>
      </c>
      <c r="C30" s="1441">
        <f>SUM($I$4:I30)</f>
        <v>1</v>
      </c>
      <c r="D30" s="1443" t="str">
        <f>VLOOKUP(B30,DG!A:C,3,0)</f>
        <v>Bộ chằng xuống đơn cho trụ 20m: CX20-C</v>
      </c>
      <c r="E30" s="1445">
        <f>SUMIF(TongHopKL!$B:$B,B30,TongHopKL!H:H)</f>
        <v>0</v>
      </c>
      <c r="F30" s="1445">
        <f>SUMIF(TongHopKL!$B:$B,B30,TongHopKL!I:I)</f>
        <v>0</v>
      </c>
      <c r="G30" s="1445">
        <f>VLOOKUP($D$1,Solieu!A:C,2,0)</f>
        <v>0</v>
      </c>
      <c r="H30" s="1442"/>
      <c r="I30" s="1282" t="str">
        <f t="shared" si="0"/>
        <v/>
      </c>
    </row>
    <row r="31" spans="2:9" hidden="1">
      <c r="B31" s="1504" t="s">
        <v>1089</v>
      </c>
      <c r="C31" s="1441">
        <f>SUM($I$4:I31)</f>
        <v>1</v>
      </c>
      <c r="D31" s="1443" t="str">
        <f>VLOOKUP(B31,DG!A:C,3,0)</f>
        <v>Bộ chằng vượt đơn: CK-C</v>
      </c>
      <c r="E31" s="1445">
        <f>SUMIF(TongHopKL!$B:$B,B31,TongHopKL!H:H)</f>
        <v>0</v>
      </c>
      <c r="F31" s="1445">
        <f>SUMIF(TongHopKL!$B:$B,B31,TongHopKL!I:I)</f>
        <v>0</v>
      </c>
      <c r="G31" s="1445">
        <f>VLOOKUP($D$1,Solieu!A:C,2,0)</f>
        <v>0</v>
      </c>
      <c r="H31" s="1442"/>
      <c r="I31" s="1282" t="str">
        <f t="shared" si="0"/>
        <v/>
      </c>
    </row>
    <row r="32" spans="2:9" hidden="1">
      <c r="B32" s="1504" t="s">
        <v>1090</v>
      </c>
      <c r="C32" s="1441">
        <f>SUM($I$4:I32)</f>
        <v>1</v>
      </c>
      <c r="D32" s="1443" t="str">
        <f>VLOOKUP(B32,DG!A:C,3,0)</f>
        <v>Bộ chằng vượt kép: CKK-C</v>
      </c>
      <c r="E32" s="1445">
        <f>SUMIF(TongHopKL!$B:$B,B32,TongHopKL!H:H)</f>
        <v>0</v>
      </c>
      <c r="F32" s="1445">
        <f>SUMIF(TongHopKL!$B:$B,B32,TongHopKL!I:I)</f>
        <v>0</v>
      </c>
      <c r="G32" s="1445">
        <f>VLOOKUP($D$1,Solieu!A:C,2,0)</f>
        <v>0</v>
      </c>
      <c r="H32" s="1442"/>
      <c r="I32" s="1282" t="str">
        <f t="shared" si="0"/>
        <v/>
      </c>
    </row>
    <row r="33" spans="3:9" ht="32.25" customHeight="1">
      <c r="C33" s="1974"/>
      <c r="D33" s="1975" t="s">
        <v>4260</v>
      </c>
      <c r="E33" s="1446">
        <f>SUM(E4:E32)</f>
        <v>1</v>
      </c>
      <c r="F33" s="1446">
        <f>SUM(F4:F32)</f>
        <v>1</v>
      </c>
      <c r="G33" s="1974"/>
      <c r="H33" s="1442"/>
      <c r="I33" s="1282">
        <v>1</v>
      </c>
    </row>
  </sheetData>
  <autoFilter ref="I3:I33" xr:uid="{00000000-0009-0000-0000-000022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13"/>
  <sheetViews>
    <sheetView workbookViewId="0">
      <selection activeCell="C3" sqref="C3:I11"/>
    </sheetView>
  </sheetViews>
  <sheetFormatPr defaultColWidth="8.90625" defaultRowHeight="16.8"/>
  <cols>
    <col min="1" max="1" width="8.90625" style="1282"/>
    <col min="2" max="2" width="14.453125" style="1467" customWidth="1"/>
    <col min="3" max="3" width="5.6328125" style="1282" customWidth="1"/>
    <col min="4" max="4" width="28.81640625" style="1282" customWidth="1"/>
    <col min="5" max="5" width="7" style="1282" customWidth="1"/>
    <col min="6" max="7" width="8.6328125" style="1282" customWidth="1"/>
    <col min="8" max="8" width="10.54296875" style="1282" hidden="1" customWidth="1"/>
    <col min="9" max="9" width="10.08984375" style="1282" customWidth="1"/>
    <col min="10" max="10" width="8.90625" style="1282"/>
    <col min="11" max="11" width="0" style="1282" hidden="1" customWidth="1"/>
    <col min="12" max="12" width="9.90625" style="1282" customWidth="1"/>
    <col min="13" max="16384" width="8.90625" style="1282"/>
  </cols>
  <sheetData>
    <row r="3" spans="2:11" ht="31.2">
      <c r="C3" s="1975" t="s">
        <v>1712</v>
      </c>
      <c r="D3" s="1975" t="s">
        <v>4322</v>
      </c>
      <c r="E3" s="1507" t="s">
        <v>4229</v>
      </c>
      <c r="F3" s="1507" t="s">
        <v>4943</v>
      </c>
      <c r="G3" s="1507" t="s">
        <v>4197</v>
      </c>
      <c r="H3" s="1507" t="s">
        <v>4230</v>
      </c>
      <c r="I3" s="1507" t="s">
        <v>4196</v>
      </c>
      <c r="J3" s="1444" t="s">
        <v>512</v>
      </c>
    </row>
    <row r="4" spans="2:11" ht="24" hidden="1" customHeight="1">
      <c r="B4" s="1448" t="s">
        <v>2321</v>
      </c>
      <c r="C4" s="1441">
        <f>SUM($J$4:J4)</f>
        <v>0</v>
      </c>
      <c r="D4" s="2285" t="e">
        <f t="shared" ref="D4:D10" si="0">VLOOKUP(B4,KhoiLuong,5,0)</f>
        <v>#N/A</v>
      </c>
      <c r="E4" s="1974" t="e">
        <f t="shared" ref="E4:E10" si="1">VLOOKUP(B4,KhoiLuong,6,0)</f>
        <v>#N/A</v>
      </c>
      <c r="F4" s="1445">
        <f>SUMIF(TongHopKL!$B:$B,B4,TongHopKL!H:H)</f>
        <v>0</v>
      </c>
      <c r="G4" s="1445">
        <f>SUMIF(TongHopKL!$B:$B,B4,TongHopKL!I:I)</f>
        <v>0</v>
      </c>
      <c r="H4" s="1445">
        <f>VLOOKUP(K4,Solieu!A:C,2,0)</f>
        <v>3</v>
      </c>
      <c r="I4" s="1442"/>
      <c r="J4" s="1282" t="str">
        <f>IF(OR(F4&gt;0,G4&gt;0),1,"")</f>
        <v/>
      </c>
      <c r="K4" s="931" t="s">
        <v>4499</v>
      </c>
    </row>
    <row r="5" spans="2:11" ht="24" hidden="1" customHeight="1">
      <c r="B5" s="1448" t="s">
        <v>4154</v>
      </c>
      <c r="C5" s="1441">
        <f>SUM($J$4:J5)</f>
        <v>0</v>
      </c>
      <c r="D5" s="2285" t="e">
        <f t="shared" si="0"/>
        <v>#N/A</v>
      </c>
      <c r="E5" s="1974" t="e">
        <f t="shared" si="1"/>
        <v>#N/A</v>
      </c>
      <c r="F5" s="1445">
        <f>SUMIF(TongHopKL!$B:$B,B5,TongHopKL!H:H)</f>
        <v>0</v>
      </c>
      <c r="G5" s="1445">
        <f>SUMIF(TongHopKL!$B:$B,B5,TongHopKL!I:I)</f>
        <v>0</v>
      </c>
      <c r="H5" s="1445">
        <f>VLOOKUP(K5,Solieu!A:C,2,0)</f>
        <v>3</v>
      </c>
      <c r="I5" s="1442"/>
      <c r="J5" s="1282" t="str">
        <f t="shared" ref="J5:J10" si="2">IF(OR(F5&gt;0,G5&gt;0),1,"")</f>
        <v/>
      </c>
      <c r="K5" s="931" t="s">
        <v>4499</v>
      </c>
    </row>
    <row r="6" spans="2:11" ht="26.4" hidden="1" customHeight="1">
      <c r="B6" s="1448" t="s">
        <v>2309</v>
      </c>
      <c r="C6" s="1441">
        <f>SUM($J$4:J6)</f>
        <v>0</v>
      </c>
      <c r="D6" s="2285" t="e">
        <f t="shared" si="0"/>
        <v>#N/A</v>
      </c>
      <c r="E6" s="1974" t="e">
        <f t="shared" si="1"/>
        <v>#N/A</v>
      </c>
      <c r="F6" s="1445">
        <f>SUMIF(TongHopKL!$B:$B,B6,TongHopKL!H:H)</f>
        <v>0</v>
      </c>
      <c r="G6" s="1445">
        <f>SUMIF(TongHopKL!$B:$B,B6,TongHopKL!I:I)</f>
        <v>0</v>
      </c>
      <c r="H6" s="1445">
        <f>VLOOKUP(K6,Solieu!A:C,2,0)</f>
        <v>3</v>
      </c>
      <c r="I6" s="1442"/>
      <c r="J6" s="1282" t="str">
        <f t="shared" si="2"/>
        <v/>
      </c>
      <c r="K6" s="931" t="s">
        <v>4499</v>
      </c>
    </row>
    <row r="7" spans="2:11" ht="26.4" hidden="1" customHeight="1">
      <c r="B7" s="1448" t="s">
        <v>2311</v>
      </c>
      <c r="C7" s="1441">
        <f>SUM($J$4:J7)</f>
        <v>0</v>
      </c>
      <c r="D7" s="2285" t="e">
        <f t="shared" si="0"/>
        <v>#N/A</v>
      </c>
      <c r="E7" s="1974" t="e">
        <f t="shared" si="1"/>
        <v>#N/A</v>
      </c>
      <c r="F7" s="1445">
        <f>SUMIF(TongHopKL!$B:$B,B7,TongHopKL!H:H)</f>
        <v>0</v>
      </c>
      <c r="G7" s="1445">
        <f>SUMIF(TongHopKL!$B:$B,B7,TongHopKL!I:I)</f>
        <v>0</v>
      </c>
      <c r="H7" s="1445">
        <f>VLOOKUP(K7,Solieu!A:C,2,0)</f>
        <v>3</v>
      </c>
      <c r="I7" s="1442"/>
      <c r="J7" s="1282" t="str">
        <f t="shared" si="2"/>
        <v/>
      </c>
      <c r="K7" s="931" t="s">
        <v>4499</v>
      </c>
    </row>
    <row r="8" spans="2:11" ht="24" customHeight="1">
      <c r="B8" s="1448" t="s">
        <v>2312</v>
      </c>
      <c r="C8" s="1974">
        <f>SUM($J$4:J8)</f>
        <v>1</v>
      </c>
      <c r="D8" s="2285" t="str">
        <f t="shared" si="0"/>
        <v>Móng bê tông trụ đôi 12m</v>
      </c>
      <c r="E8" s="1974" t="str">
        <f t="shared" si="1"/>
        <v>Móng</v>
      </c>
      <c r="F8" s="1445">
        <f>SUMIF(TongHopKL!$B:$B,B8,TongHopKL!H:H)</f>
        <v>1</v>
      </c>
      <c r="G8" s="1445">
        <f>SUMIF(TongHopKL!$B:$B,B8,TongHopKL!I:I)</f>
        <v>1</v>
      </c>
      <c r="H8" s="1445">
        <f>VLOOKUP(K8,Solieu!A:C,2,0)</f>
        <v>3</v>
      </c>
      <c r="I8" s="1974"/>
      <c r="J8" s="1282">
        <f t="shared" si="2"/>
        <v>1</v>
      </c>
      <c r="K8" s="931" t="s">
        <v>4499</v>
      </c>
    </row>
    <row r="9" spans="2:11" ht="24" hidden="1" customHeight="1">
      <c r="B9" s="1448" t="s">
        <v>2270</v>
      </c>
      <c r="C9" s="1441">
        <f>SUM($J$4:J9)</f>
        <v>1</v>
      </c>
      <c r="D9" s="2285" t="e">
        <f t="shared" si="0"/>
        <v>#N/A</v>
      </c>
      <c r="E9" s="1974" t="e">
        <f t="shared" si="1"/>
        <v>#N/A</v>
      </c>
      <c r="F9" s="1445">
        <f>SUMIF(TongHopKL!$B:$B,B9,TongHopKL!H:H)</f>
        <v>0</v>
      </c>
      <c r="G9" s="1445">
        <f>SUMIF(TongHopKL!$B:$B,B9,TongHopKL!I:I)</f>
        <v>0</v>
      </c>
      <c r="H9" s="1445">
        <f>VLOOKUP(K9,Solieu!A:C,2,0)</f>
        <v>3</v>
      </c>
      <c r="I9" s="1442"/>
      <c r="J9" s="1282" t="str">
        <f t="shared" si="2"/>
        <v/>
      </c>
      <c r="K9" s="931" t="s">
        <v>4499</v>
      </c>
    </row>
    <row r="10" spans="2:11" ht="24" hidden="1" customHeight="1">
      <c r="B10" s="1448" t="s">
        <v>2313</v>
      </c>
      <c r="C10" s="1441">
        <f>SUM($J$4:J10)</f>
        <v>1</v>
      </c>
      <c r="D10" s="2285" t="e">
        <f t="shared" si="0"/>
        <v>#N/A</v>
      </c>
      <c r="E10" s="1974" t="e">
        <f t="shared" si="1"/>
        <v>#N/A</v>
      </c>
      <c r="F10" s="1445">
        <f>SUMIF(TongHopKL!$B:$B,B10,TongHopKL!H:H)</f>
        <v>0</v>
      </c>
      <c r="G10" s="1445">
        <f>SUMIF(TongHopKL!$B:$B,B10,TongHopKL!I:I)</f>
        <v>0</v>
      </c>
      <c r="H10" s="1445">
        <f>VLOOKUP(K10,Solieu!A:C,2,0)</f>
        <v>3</v>
      </c>
      <c r="I10" s="1442"/>
      <c r="J10" s="1282" t="str">
        <f t="shared" si="2"/>
        <v/>
      </c>
      <c r="K10" s="931" t="s">
        <v>4499</v>
      </c>
    </row>
    <row r="11" spans="2:11" ht="24" customHeight="1">
      <c r="B11" s="1448"/>
      <c r="C11" s="1974"/>
      <c r="D11" s="1975" t="s">
        <v>4260</v>
      </c>
      <c r="E11" s="1975"/>
      <c r="F11" s="1446">
        <f>SUM(F4:F10)</f>
        <v>1</v>
      </c>
      <c r="G11" s="1446">
        <f>SUM(G4:G10)</f>
        <v>1</v>
      </c>
      <c r="H11" s="1974"/>
      <c r="I11" s="1974"/>
      <c r="J11" s="1282">
        <v>1</v>
      </c>
    </row>
    <row r="12" spans="2:11" hidden="1">
      <c r="B12" s="1467" t="s">
        <v>2311</v>
      </c>
    </row>
    <row r="13" spans="2:11" hidden="1">
      <c r="B13" s="1467" t="s">
        <v>2312</v>
      </c>
    </row>
  </sheetData>
  <autoFilter ref="J3:J13" xr:uid="{00000000-0009-0000-0000-000023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A1:T121"/>
  <sheetViews>
    <sheetView topLeftCell="A36" workbookViewId="0">
      <selection activeCell="C3" sqref="C3:I110"/>
    </sheetView>
  </sheetViews>
  <sheetFormatPr defaultColWidth="8.90625" defaultRowHeight="16.8"/>
  <cols>
    <col min="1" max="1" width="18.36328125" style="1497" customWidth="1"/>
    <col min="2" max="2" width="17.36328125" style="1505" bestFit="1" customWidth="1"/>
    <col min="3" max="3" width="5.08984375" style="1282" customWidth="1"/>
    <col min="4" max="4" width="34.453125" style="1282" customWidth="1"/>
    <col min="5" max="5" width="8.81640625" style="1282" customWidth="1"/>
    <col min="6" max="6" width="10.6328125" style="1282" customWidth="1"/>
    <col min="7" max="7" width="8.81640625" style="1282" customWidth="1"/>
    <col min="8" max="8" width="11.90625" style="1282" hidden="1" customWidth="1"/>
    <col min="9" max="9" width="9" style="1282" customWidth="1"/>
    <col min="10" max="10" width="8.90625" style="1282"/>
    <col min="11" max="11" width="8.90625" style="1467"/>
    <col min="12" max="16384" width="8.90625" style="1282"/>
  </cols>
  <sheetData>
    <row r="1" spans="1:20">
      <c r="A1" s="3204"/>
      <c r="C1" s="1448"/>
      <c r="D1" s="1448" t="s">
        <v>4502</v>
      </c>
      <c r="E1" s="1448"/>
      <c r="F1" s="1448"/>
      <c r="G1" s="1448"/>
      <c r="I1" s="1448"/>
      <c r="J1" s="1448"/>
      <c r="L1" s="1448"/>
      <c r="M1" s="1448"/>
      <c r="N1" s="1448"/>
      <c r="O1" s="1448"/>
      <c r="P1" s="1448"/>
      <c r="Q1" s="1448"/>
      <c r="R1" s="1448"/>
      <c r="S1" s="1448"/>
      <c r="T1" s="1448"/>
    </row>
    <row r="2" spans="1:20">
      <c r="A2" s="3204"/>
      <c r="C2" s="1448"/>
      <c r="D2" s="1448"/>
      <c r="E2" s="1448"/>
      <c r="F2" s="1448"/>
      <c r="G2" s="1448"/>
      <c r="I2" s="1448"/>
      <c r="J2" s="1448"/>
      <c r="L2" s="1448" t="s">
        <v>533</v>
      </c>
      <c r="M2" s="1448" t="s">
        <v>893</v>
      </c>
      <c r="N2" s="1448" t="s">
        <v>2298</v>
      </c>
      <c r="O2" s="1448" t="s">
        <v>2299</v>
      </c>
      <c r="P2" s="1448" t="s">
        <v>361</v>
      </c>
      <c r="Q2" s="1448" t="s">
        <v>2510</v>
      </c>
      <c r="R2" s="1448" t="s">
        <v>2548</v>
      </c>
      <c r="S2" s="1448" t="s">
        <v>2505</v>
      </c>
      <c r="T2" s="1448" t="s">
        <v>1625</v>
      </c>
    </row>
    <row r="3" spans="1:20" ht="31.2">
      <c r="A3" s="3204"/>
      <c r="C3" s="1975" t="s">
        <v>1712</v>
      </c>
      <c r="D3" s="1975" t="s">
        <v>4228</v>
      </c>
      <c r="E3" s="1975" t="s">
        <v>4229</v>
      </c>
      <c r="F3" s="1975" t="s">
        <v>4943</v>
      </c>
      <c r="G3" s="1975" t="s">
        <v>4197</v>
      </c>
      <c r="H3" s="1507" t="s">
        <v>4230</v>
      </c>
      <c r="I3" s="1975" t="s">
        <v>4196</v>
      </c>
      <c r="J3" s="2273">
        <v>1</v>
      </c>
      <c r="L3" s="1448">
        <v>1</v>
      </c>
      <c r="M3" s="1448">
        <v>2</v>
      </c>
      <c r="N3" s="1448"/>
      <c r="O3" s="1448"/>
      <c r="P3" s="1448"/>
      <c r="Q3" s="1448"/>
      <c r="R3" s="1448"/>
      <c r="S3" s="1448"/>
      <c r="T3" s="1448"/>
    </row>
    <row r="4" spans="1:20" ht="34.5" customHeight="1">
      <c r="A4" s="3204"/>
      <c r="B4" s="1505" t="s">
        <v>4354</v>
      </c>
      <c r="C4" s="1974">
        <f ca="1">SUM($J$4:J4)</f>
        <v>1</v>
      </c>
      <c r="D4" s="1443" t="str">
        <f t="shared" ref="D4:D34" si="0">VLOOKUP(B4,KhoiLuong,5,0)</f>
        <v>Xà composite 110x800x5 dài 2,4m</v>
      </c>
      <c r="E4" s="1445" t="str">
        <f t="shared" ref="E4:E34" si="1">VLOOKUP(B4,KhoiLuong,6,0)</f>
        <v>cái</v>
      </c>
      <c r="F4" s="1445">
        <f t="shared" ref="F4:F34" ca="1" si="2">IF(B4&lt;&gt;0,SUMIF(KhoiLuong,B4,DuToan),0)</f>
        <v>2</v>
      </c>
      <c r="G4" s="1445">
        <f t="shared" ref="G4:G34" ca="1" si="3">IF(B4&lt;&gt;0,SUMIF(KhoiLuong,B4,ThiCong),0)</f>
        <v>2</v>
      </c>
      <c r="H4" s="1445">
        <f>VLOOKUP($D$1,Solieu!A:C,2,0)</f>
        <v>4</v>
      </c>
      <c r="I4" s="1975"/>
      <c r="J4" s="1448">
        <f t="shared" ref="J4:J68" ca="1" si="4">IF(G4&gt;0,1,"")</f>
        <v>1</v>
      </c>
      <c r="K4" s="2329" t="e">
        <f>SUMIF(#REF!,B4,#REF!)</f>
        <v>#REF!</v>
      </c>
      <c r="L4" s="1448">
        <v>1</v>
      </c>
      <c r="M4" s="1448" t="e">
        <f>K4-L4</f>
        <v>#REF!</v>
      </c>
      <c r="N4" s="1448"/>
      <c r="O4" s="1448"/>
      <c r="P4" s="1448"/>
      <c r="Q4" s="1448"/>
      <c r="R4" s="1448"/>
      <c r="S4" s="1448"/>
      <c r="T4" s="1448"/>
    </row>
    <row r="5" spans="1:20" ht="34.5" customHeight="1">
      <c r="A5" s="3204"/>
      <c r="B5" s="1505" t="s">
        <v>365</v>
      </c>
      <c r="C5" s="1974">
        <f ca="1">SUM($J$4:J5)</f>
        <v>2</v>
      </c>
      <c r="D5" s="1443" t="str">
        <f t="shared" si="0"/>
        <v>Chống composite 40x10x920</v>
      </c>
      <c r="E5" s="1445" t="str">
        <f t="shared" si="1"/>
        <v>cái</v>
      </c>
      <c r="F5" s="1445">
        <f t="shared" ca="1" si="2"/>
        <v>4</v>
      </c>
      <c r="G5" s="1445">
        <f t="shared" ca="1" si="3"/>
        <v>4</v>
      </c>
      <c r="H5" s="1445">
        <f>VLOOKUP($D$1,Solieu!A:C,2,0)</f>
        <v>4</v>
      </c>
      <c r="I5" s="1975"/>
      <c r="J5" s="1448">
        <f t="shared" ca="1" si="4"/>
        <v>1</v>
      </c>
      <c r="K5" s="2329" t="e">
        <f>SUMIF(#REF!,B5,#REF!)</f>
        <v>#REF!</v>
      </c>
      <c r="L5" s="1448">
        <v>1</v>
      </c>
      <c r="M5" s="1448" t="e">
        <f t="shared" ref="M5:M12" si="5">K5-L5</f>
        <v>#REF!</v>
      </c>
      <c r="N5" s="1448"/>
      <c r="O5" s="1448"/>
      <c r="P5" s="1448"/>
      <c r="Q5" s="1448"/>
      <c r="R5" s="1448"/>
      <c r="S5" s="1448"/>
      <c r="T5" s="1448"/>
    </row>
    <row r="6" spans="1:20" ht="34.5" hidden="1" customHeight="1">
      <c r="A6" s="3204"/>
      <c r="B6" s="1505" t="s">
        <v>2315</v>
      </c>
      <c r="C6" s="1974">
        <f ca="1">SUM($J$4:J6)</f>
        <v>2</v>
      </c>
      <c r="D6" s="1443" t="e">
        <f t="shared" si="0"/>
        <v>#N/A</v>
      </c>
      <c r="E6" s="1445" t="e">
        <f t="shared" si="1"/>
        <v>#N/A</v>
      </c>
      <c r="F6" s="1445">
        <f t="shared" ca="1" si="2"/>
        <v>0</v>
      </c>
      <c r="G6" s="1445">
        <f t="shared" ca="1" si="3"/>
        <v>0</v>
      </c>
      <c r="H6" s="1445">
        <f>VLOOKUP($D$1,Solieu!A:C,2,0)</f>
        <v>4</v>
      </c>
      <c r="I6" s="1975"/>
      <c r="J6" s="1448" t="str">
        <f t="shared" ca="1" si="4"/>
        <v/>
      </c>
      <c r="K6" s="2329" t="e">
        <f>SUMIF(#REF!,B6,#REF!)</f>
        <v>#REF!</v>
      </c>
      <c r="L6" s="1448">
        <v>1</v>
      </c>
      <c r="M6" s="1448" t="e">
        <f t="shared" si="5"/>
        <v>#REF!</v>
      </c>
      <c r="N6" s="1448"/>
      <c r="O6" s="1448"/>
      <c r="P6" s="1448"/>
      <c r="Q6" s="1448"/>
      <c r="R6" s="1448"/>
      <c r="S6" s="1448"/>
      <c r="T6" s="1448"/>
    </row>
    <row r="7" spans="1:20" ht="34.5" hidden="1" customHeight="1">
      <c r="A7" s="3204"/>
      <c r="B7" s="2328" t="s">
        <v>1294</v>
      </c>
      <c r="C7" s="1974">
        <f ca="1">SUM($J$4:J7)</f>
        <v>2</v>
      </c>
      <c r="D7" s="1443" t="e">
        <f t="shared" si="0"/>
        <v>#N/A</v>
      </c>
      <c r="E7" s="1445" t="e">
        <f t="shared" si="1"/>
        <v>#N/A</v>
      </c>
      <c r="F7" s="1445">
        <f t="shared" ca="1" si="2"/>
        <v>0</v>
      </c>
      <c r="G7" s="1445">
        <f t="shared" ca="1" si="3"/>
        <v>0</v>
      </c>
      <c r="H7" s="1445">
        <f>VLOOKUP($D$1,Solieu!A:C,2,0)</f>
        <v>4</v>
      </c>
      <c r="I7" s="1975"/>
      <c r="J7" s="1448" t="str">
        <f t="shared" ca="1" si="4"/>
        <v/>
      </c>
      <c r="K7" s="2329" t="e">
        <f>SUMIF(#REF!,B7,#REF!)</f>
        <v>#REF!</v>
      </c>
      <c r="L7" s="1448">
        <v>1</v>
      </c>
      <c r="M7" s="1448" t="e">
        <f t="shared" si="5"/>
        <v>#REF!</v>
      </c>
      <c r="N7" s="1448"/>
      <c r="O7" s="1448"/>
      <c r="P7" s="1448"/>
      <c r="Q7" s="1448"/>
      <c r="R7" s="1448"/>
      <c r="S7" s="1448"/>
      <c r="T7" s="1448"/>
    </row>
    <row r="8" spans="1:20" ht="34.5" customHeight="1">
      <c r="A8" s="3204"/>
      <c r="B8" s="1506" t="s">
        <v>2301</v>
      </c>
      <c r="C8" s="1441">
        <f ca="1">SUM($J$4:J8)</f>
        <v>3</v>
      </c>
      <c r="D8" s="1443" t="str">
        <f t="shared" si="0"/>
        <v>Bộ xà kép L75x75x8 dài 2.2m: X-22K-Đ - C810 (lắp trụ đơn)</v>
      </c>
      <c r="E8" s="1445" t="str">
        <f t="shared" si="1"/>
        <v>Bộ</v>
      </c>
      <c r="F8" s="1445">
        <f t="shared" ca="1" si="2"/>
        <v>2</v>
      </c>
      <c r="G8" s="1445">
        <f t="shared" ca="1" si="3"/>
        <v>2</v>
      </c>
      <c r="H8" s="1445">
        <f>VLOOKUP($D$1,Solieu!A:C,2,0)</f>
        <v>4</v>
      </c>
      <c r="I8" s="1440"/>
      <c r="J8" s="1282">
        <f t="shared" ca="1" si="4"/>
        <v>1</v>
      </c>
      <c r="K8" s="2272" t="e">
        <f>SUMIF(#REF!,B8,#REF!)</f>
        <v>#REF!</v>
      </c>
      <c r="L8" s="1282">
        <v>15</v>
      </c>
      <c r="M8" s="1282" t="e">
        <f t="shared" si="5"/>
        <v>#REF!</v>
      </c>
    </row>
    <row r="9" spans="1:20" ht="34.5" hidden="1" customHeight="1">
      <c r="A9" s="3204"/>
      <c r="B9" s="1506" t="s">
        <v>2297</v>
      </c>
      <c r="C9" s="1441">
        <f ca="1">SUM($J$4:J9)</f>
        <v>3</v>
      </c>
      <c r="D9" s="1443" t="e">
        <f t="shared" si="0"/>
        <v>#N/A</v>
      </c>
      <c r="E9" s="1445" t="e">
        <f t="shared" si="1"/>
        <v>#N/A</v>
      </c>
      <c r="F9" s="1445">
        <f t="shared" ca="1" si="2"/>
        <v>0</v>
      </c>
      <c r="G9" s="1445">
        <f t="shared" ca="1" si="3"/>
        <v>0</v>
      </c>
      <c r="H9" s="1445">
        <f>VLOOKUP($D$1,Solieu!A:C,2,0)</f>
        <v>4</v>
      </c>
      <c r="I9" s="1440"/>
      <c r="J9" s="1282" t="str">
        <f t="shared" ca="1" si="4"/>
        <v/>
      </c>
      <c r="K9" s="2272" t="e">
        <f>SUMIF(#REF!,B9,#REF!)</f>
        <v>#REF!</v>
      </c>
      <c r="L9" s="1282">
        <v>42</v>
      </c>
      <c r="M9" s="1282" t="e">
        <f t="shared" si="5"/>
        <v>#REF!</v>
      </c>
    </row>
    <row r="10" spans="1:20" ht="34.5" hidden="1" customHeight="1">
      <c r="A10" s="3204"/>
      <c r="B10" s="2330" t="s">
        <v>909</v>
      </c>
      <c r="C10" s="1974">
        <f ca="1">SUM($J$4:J10)</f>
        <v>3</v>
      </c>
      <c r="D10" s="1443" t="e">
        <f t="shared" si="0"/>
        <v>#N/A</v>
      </c>
      <c r="E10" s="1445" t="e">
        <f t="shared" si="1"/>
        <v>#N/A</v>
      </c>
      <c r="F10" s="1445">
        <f t="shared" ca="1" si="2"/>
        <v>0</v>
      </c>
      <c r="G10" s="1445">
        <f t="shared" ca="1" si="3"/>
        <v>0</v>
      </c>
      <c r="H10" s="1445">
        <f>VLOOKUP($D$1,Solieu!A:C,2,0)</f>
        <v>4</v>
      </c>
      <c r="I10" s="1975"/>
      <c r="J10" s="1282" t="str">
        <f t="shared" ca="1" si="4"/>
        <v/>
      </c>
      <c r="K10" s="2329" t="e">
        <f>SUMIF(#REF!,B10,#REF!)</f>
        <v>#REF!</v>
      </c>
      <c r="L10" s="1448">
        <v>14</v>
      </c>
      <c r="M10" s="1448" t="e">
        <f t="shared" si="5"/>
        <v>#REF!</v>
      </c>
      <c r="N10" s="1448"/>
      <c r="O10" s="1448"/>
      <c r="P10" s="1448"/>
      <c r="Q10" s="1448"/>
      <c r="R10" s="1448"/>
      <c r="S10" s="1448"/>
      <c r="T10" s="1448"/>
    </row>
    <row r="11" spans="1:20" ht="34.5" hidden="1" customHeight="1">
      <c r="A11" s="3204"/>
      <c r="B11" s="1505" t="s">
        <v>2300</v>
      </c>
      <c r="C11" s="1974">
        <f ca="1">SUM($J$4:J11)</f>
        <v>3</v>
      </c>
      <c r="D11" s="1443" t="e">
        <f t="shared" si="0"/>
        <v>#N/A</v>
      </c>
      <c r="E11" s="1445" t="e">
        <f t="shared" si="1"/>
        <v>#N/A</v>
      </c>
      <c r="F11" s="1445">
        <f t="shared" ca="1" si="2"/>
        <v>0</v>
      </c>
      <c r="G11" s="1445">
        <f t="shared" ca="1" si="3"/>
        <v>0</v>
      </c>
      <c r="H11" s="1445">
        <f>VLOOKUP($D$1,Solieu!A:C,2,0)</f>
        <v>4</v>
      </c>
      <c r="I11" s="1975"/>
      <c r="J11" s="1282" t="str">
        <f t="shared" ca="1" si="4"/>
        <v/>
      </c>
      <c r="K11" s="2329" t="e">
        <f>SUMIF(#REF!,B11,#REF!)</f>
        <v>#REF!</v>
      </c>
      <c r="L11" s="1448">
        <v>1</v>
      </c>
      <c r="M11" s="1448" t="e">
        <f t="shared" si="5"/>
        <v>#REF!</v>
      </c>
      <c r="N11" s="1448"/>
      <c r="O11" s="1448"/>
      <c r="P11" s="1448"/>
      <c r="Q11" s="1448"/>
      <c r="R11" s="1448"/>
      <c r="S11" s="1448"/>
      <c r="T11" s="1448"/>
    </row>
    <row r="12" spans="1:20" ht="34.5" hidden="1" customHeight="1">
      <c r="A12" s="3204"/>
      <c r="B12" s="1505" t="s">
        <v>2316</v>
      </c>
      <c r="C12" s="1974">
        <f ca="1">SUM($J$4:J12)</f>
        <v>3</v>
      </c>
      <c r="D12" s="1443" t="e">
        <f t="shared" si="0"/>
        <v>#N/A</v>
      </c>
      <c r="E12" s="1445" t="e">
        <f t="shared" si="1"/>
        <v>#N/A</v>
      </c>
      <c r="F12" s="1445">
        <f ca="1">IF(B12&lt;&gt;0,SUMIF(KhoiLuong,B12,DuToan),0)</f>
        <v>0</v>
      </c>
      <c r="G12" s="1445">
        <f t="shared" ca="1" si="3"/>
        <v>0</v>
      </c>
      <c r="H12" s="1445">
        <f>VLOOKUP($D$1,Solieu!A:C,2,0)</f>
        <v>4</v>
      </c>
      <c r="I12" s="1975"/>
      <c r="J12" s="1282" t="str">
        <f t="shared" ca="1" si="4"/>
        <v/>
      </c>
      <c r="K12" s="2329" t="e">
        <f>SUMIF(#REF!,B12,#REF!)</f>
        <v>#REF!</v>
      </c>
      <c r="L12" s="1448">
        <v>0</v>
      </c>
      <c r="M12" s="1448" t="e">
        <f t="shared" si="5"/>
        <v>#REF!</v>
      </c>
      <c r="N12" s="1448"/>
      <c r="O12" s="1448"/>
      <c r="P12" s="1448"/>
      <c r="Q12" s="1448"/>
      <c r="R12" s="1448"/>
      <c r="S12" s="1448"/>
      <c r="T12" s="1448"/>
    </row>
    <row r="13" spans="1:20" ht="34.5" hidden="1" customHeight="1">
      <c r="A13" s="3204"/>
      <c r="B13" s="1505" t="s">
        <v>1082</v>
      </c>
      <c r="C13" s="1974">
        <f ca="1">SUM($J$4:J13)</f>
        <v>3</v>
      </c>
      <c r="D13" s="1443" t="e">
        <f t="shared" si="0"/>
        <v>#N/A</v>
      </c>
      <c r="E13" s="1445" t="e">
        <f t="shared" si="1"/>
        <v>#N/A</v>
      </c>
      <c r="F13" s="1445">
        <f t="shared" ca="1" si="2"/>
        <v>0</v>
      </c>
      <c r="G13" s="1445">
        <f t="shared" ca="1" si="3"/>
        <v>0</v>
      </c>
      <c r="H13" s="1445">
        <f>VLOOKUP($D$1,Solieu!A:C,2,0)</f>
        <v>4</v>
      </c>
      <c r="I13" s="1975"/>
      <c r="J13" s="1282" t="str">
        <f t="shared" ca="1" si="4"/>
        <v/>
      </c>
      <c r="L13" s="1448"/>
      <c r="M13" s="1448"/>
      <c r="N13" s="1448"/>
      <c r="O13" s="1448"/>
      <c r="P13" s="1448"/>
      <c r="Q13" s="1448"/>
      <c r="R13" s="1448"/>
      <c r="S13" s="1448"/>
      <c r="T13" s="1448"/>
    </row>
    <row r="14" spans="1:20" ht="34.5" hidden="1" customHeight="1">
      <c r="A14" s="3204"/>
      <c r="B14" s="1505" t="s">
        <v>533</v>
      </c>
      <c r="C14" s="1974">
        <f ca="1">SUM($J$4:J14)</f>
        <v>3</v>
      </c>
      <c r="D14" s="1443" t="e">
        <f t="shared" si="0"/>
        <v>#N/A</v>
      </c>
      <c r="E14" s="1445" t="e">
        <f t="shared" si="1"/>
        <v>#N/A</v>
      </c>
      <c r="F14" s="1445">
        <f t="shared" ca="1" si="2"/>
        <v>0</v>
      </c>
      <c r="G14" s="1445">
        <f t="shared" ca="1" si="3"/>
        <v>0</v>
      </c>
      <c r="H14" s="1445">
        <f>VLOOKUP($D$1,Solieu!A:C,2,0)</f>
        <v>4</v>
      </c>
      <c r="I14" s="1975"/>
      <c r="J14" s="1282" t="str">
        <f t="shared" ca="1" si="4"/>
        <v/>
      </c>
      <c r="L14" s="1448"/>
      <c r="M14" s="1448"/>
      <c r="N14" s="1448"/>
      <c r="O14" s="1448"/>
      <c r="P14" s="1448"/>
      <c r="Q14" s="1448"/>
      <c r="R14" s="1448"/>
      <c r="S14" s="1448"/>
      <c r="T14" s="1448"/>
    </row>
    <row r="15" spans="1:20" ht="34.5" hidden="1" customHeight="1">
      <c r="A15" s="3204"/>
      <c r="B15" s="1505" t="s">
        <v>1112</v>
      </c>
      <c r="C15" s="1974">
        <f ca="1">SUM($J$4:J15)</f>
        <v>3</v>
      </c>
      <c r="D15" s="1443" t="e">
        <f t="shared" si="0"/>
        <v>#N/A</v>
      </c>
      <c r="E15" s="1445" t="e">
        <f t="shared" si="1"/>
        <v>#N/A</v>
      </c>
      <c r="F15" s="1445">
        <f t="shared" ca="1" si="2"/>
        <v>0</v>
      </c>
      <c r="G15" s="1445">
        <f t="shared" ca="1" si="3"/>
        <v>0</v>
      </c>
      <c r="H15" s="1445">
        <f>VLOOKUP($D$1,Solieu!A:C,2,0)</f>
        <v>4</v>
      </c>
      <c r="I15" s="1975"/>
      <c r="J15" s="1282" t="str">
        <f t="shared" ca="1" si="4"/>
        <v/>
      </c>
      <c r="L15" s="1448"/>
      <c r="M15" s="1448"/>
      <c r="N15" s="1448"/>
      <c r="O15" s="1448"/>
      <c r="P15" s="1448"/>
      <c r="Q15" s="1448"/>
      <c r="R15" s="1448"/>
      <c r="S15" s="1448"/>
      <c r="T15" s="1448"/>
    </row>
    <row r="16" spans="1:20" ht="34.5" hidden="1" customHeight="1">
      <c r="A16" s="3204"/>
      <c r="B16" s="1505" t="s">
        <v>2302</v>
      </c>
      <c r="C16" s="1974">
        <f ca="1">SUM($J$4:J16)</f>
        <v>3</v>
      </c>
      <c r="D16" s="1443" t="e">
        <f t="shared" si="0"/>
        <v>#N/A</v>
      </c>
      <c r="E16" s="1445" t="e">
        <f t="shared" si="1"/>
        <v>#N/A</v>
      </c>
      <c r="F16" s="1445">
        <f t="shared" ca="1" si="2"/>
        <v>0</v>
      </c>
      <c r="G16" s="1445">
        <f t="shared" ca="1" si="3"/>
        <v>0</v>
      </c>
      <c r="H16" s="1445">
        <f>VLOOKUP($D$1,Solieu!A:C,2,0)</f>
        <v>4</v>
      </c>
      <c r="I16" s="1975"/>
      <c r="J16" s="1282" t="str">
        <f t="shared" ca="1" si="4"/>
        <v/>
      </c>
      <c r="L16" s="1448"/>
      <c r="M16" s="1448"/>
      <c r="N16" s="1448"/>
      <c r="O16" s="1448"/>
      <c r="P16" s="1448"/>
      <c r="Q16" s="1448"/>
      <c r="R16" s="1448"/>
      <c r="S16" s="1448"/>
      <c r="T16" s="1448"/>
    </row>
    <row r="17" spans="1:20" ht="34.5" hidden="1" customHeight="1">
      <c r="A17" s="3204"/>
      <c r="B17" s="1505" t="s">
        <v>910</v>
      </c>
      <c r="C17" s="1974">
        <f ca="1">SUM($J$4:J17)</f>
        <v>3</v>
      </c>
      <c r="D17" s="1443" t="e">
        <f t="shared" si="0"/>
        <v>#N/A</v>
      </c>
      <c r="E17" s="1445" t="e">
        <f t="shared" si="1"/>
        <v>#N/A</v>
      </c>
      <c r="F17" s="1445">
        <f t="shared" ca="1" si="2"/>
        <v>0</v>
      </c>
      <c r="G17" s="1445">
        <f t="shared" ca="1" si="3"/>
        <v>0</v>
      </c>
      <c r="H17" s="1445">
        <f>VLOOKUP($D$1,Solieu!A:C,2,0)</f>
        <v>4</v>
      </c>
      <c r="I17" s="1975"/>
      <c r="J17" s="1282" t="str">
        <f t="shared" ca="1" si="4"/>
        <v/>
      </c>
      <c r="L17" s="1448"/>
      <c r="M17" s="1448"/>
      <c r="N17" s="1448"/>
      <c r="O17" s="1448"/>
      <c r="P17" s="1448"/>
      <c r="Q17" s="1448"/>
      <c r="R17" s="1448"/>
      <c r="S17" s="1448"/>
      <c r="T17" s="1448"/>
    </row>
    <row r="18" spans="1:20" ht="34.5" hidden="1" customHeight="1">
      <c r="A18" s="3204"/>
      <c r="B18" s="1505" t="s">
        <v>713</v>
      </c>
      <c r="C18" s="1441">
        <f ca="1">SUM($J$4:J18)</f>
        <v>3</v>
      </c>
      <c r="D18" s="1443" t="e">
        <f t="shared" si="0"/>
        <v>#N/A</v>
      </c>
      <c r="E18" s="1445" t="e">
        <f t="shared" si="1"/>
        <v>#N/A</v>
      </c>
      <c r="F18" s="1445">
        <f t="shared" ca="1" si="2"/>
        <v>0</v>
      </c>
      <c r="G18" s="1445">
        <f t="shared" ca="1" si="3"/>
        <v>0</v>
      </c>
      <c r="H18" s="1445">
        <f>VLOOKUP($D$1,Solieu!A:C,2,0)</f>
        <v>4</v>
      </c>
      <c r="I18" s="1440"/>
      <c r="J18" s="1282" t="str">
        <f t="shared" ca="1" si="4"/>
        <v/>
      </c>
    </row>
    <row r="19" spans="1:20" ht="34.5" hidden="1" customHeight="1">
      <c r="A19" s="3204"/>
      <c r="B19" s="1505" t="s">
        <v>2303</v>
      </c>
      <c r="C19" s="1441">
        <f ca="1">SUM($J$4:J19)</f>
        <v>3</v>
      </c>
      <c r="D19" s="1443" t="e">
        <f t="shared" si="0"/>
        <v>#N/A</v>
      </c>
      <c r="E19" s="1445" t="e">
        <f t="shared" si="1"/>
        <v>#N/A</v>
      </c>
      <c r="F19" s="1445">
        <f t="shared" ca="1" si="2"/>
        <v>0</v>
      </c>
      <c r="G19" s="1445">
        <f t="shared" ca="1" si="3"/>
        <v>0</v>
      </c>
      <c r="H19" s="1445">
        <f>VLOOKUP($D$1,Solieu!A:C,2,0)</f>
        <v>4</v>
      </c>
      <c r="I19" s="1440"/>
      <c r="J19" s="1282" t="str">
        <f t="shared" ca="1" si="4"/>
        <v/>
      </c>
    </row>
    <row r="20" spans="1:20" ht="34.5" hidden="1" customHeight="1">
      <c r="A20" s="3204"/>
      <c r="B20" s="1505" t="s">
        <v>344</v>
      </c>
      <c r="C20" s="1441">
        <f ca="1">SUM($J$4:J20)</f>
        <v>3</v>
      </c>
      <c r="D20" s="1443" t="e">
        <f t="shared" si="0"/>
        <v>#N/A</v>
      </c>
      <c r="E20" s="1445" t="e">
        <f t="shared" si="1"/>
        <v>#N/A</v>
      </c>
      <c r="F20" s="1445">
        <f t="shared" ca="1" si="2"/>
        <v>0</v>
      </c>
      <c r="G20" s="1445">
        <f t="shared" ca="1" si="3"/>
        <v>0</v>
      </c>
      <c r="H20" s="1445">
        <f>VLOOKUP($D$1,Solieu!A:C,2,0)</f>
        <v>4</v>
      </c>
      <c r="I20" s="1440"/>
      <c r="J20" s="1282" t="str">
        <f t="shared" ca="1" si="4"/>
        <v/>
      </c>
    </row>
    <row r="21" spans="1:20" ht="34.5" hidden="1" customHeight="1">
      <c r="A21" s="3204"/>
      <c r="B21" s="1505" t="s">
        <v>2298</v>
      </c>
      <c r="C21" s="1441">
        <f ca="1">SUM($J$4:J21)</f>
        <v>3</v>
      </c>
      <c r="D21" s="1443" t="e">
        <f t="shared" si="0"/>
        <v>#N/A</v>
      </c>
      <c r="E21" s="1445" t="e">
        <f t="shared" si="1"/>
        <v>#N/A</v>
      </c>
      <c r="F21" s="1445">
        <f t="shared" ca="1" si="2"/>
        <v>0</v>
      </c>
      <c r="G21" s="1445">
        <f t="shared" ca="1" si="3"/>
        <v>0</v>
      </c>
      <c r="H21" s="1445">
        <f>VLOOKUP($D$1,Solieu!A:C,2,0)</f>
        <v>4</v>
      </c>
      <c r="I21" s="1440"/>
      <c r="J21" s="1282" t="str">
        <f t="shared" ca="1" si="4"/>
        <v/>
      </c>
    </row>
    <row r="22" spans="1:20" ht="34.5" hidden="1" customHeight="1">
      <c r="A22" s="3204"/>
      <c r="B22" s="1505" t="s">
        <v>893</v>
      </c>
      <c r="C22" s="1441">
        <f ca="1">SUM($J$4:J22)</f>
        <v>3</v>
      </c>
      <c r="D22" s="1443" t="e">
        <f t="shared" si="0"/>
        <v>#N/A</v>
      </c>
      <c r="E22" s="1445" t="e">
        <f t="shared" si="1"/>
        <v>#N/A</v>
      </c>
      <c r="F22" s="1445">
        <f t="shared" ca="1" si="2"/>
        <v>0</v>
      </c>
      <c r="G22" s="1445">
        <f t="shared" ca="1" si="3"/>
        <v>0</v>
      </c>
      <c r="H22" s="1445">
        <f>VLOOKUP($D$1,Solieu!A:C,2,0)</f>
        <v>4</v>
      </c>
      <c r="I22" s="1440"/>
      <c r="J22" s="1282" t="str">
        <f t="shared" ca="1" si="4"/>
        <v/>
      </c>
    </row>
    <row r="23" spans="1:20" ht="34.5" customHeight="1">
      <c r="A23" s="3204"/>
      <c r="B23" s="1505" t="s">
        <v>2299</v>
      </c>
      <c r="C23" s="1974">
        <f ca="1">SUM($J$4:J23)</f>
        <v>4</v>
      </c>
      <c r="D23" s="1443" t="str">
        <f t="shared" si="0"/>
        <v>Bộ xà lệch đơn L75x75x8 dài 2m: X-20ĐL2/3</v>
      </c>
      <c r="E23" s="1445" t="str">
        <f t="shared" si="1"/>
        <v>Bộ</v>
      </c>
      <c r="F23" s="1445">
        <f t="shared" ca="1" si="2"/>
        <v>1</v>
      </c>
      <c r="G23" s="1445">
        <f t="shared" ca="1" si="3"/>
        <v>1</v>
      </c>
      <c r="H23" s="1445">
        <f>VLOOKUP($D$1,Solieu!A:C,2,0)</f>
        <v>4</v>
      </c>
      <c r="I23" s="1975"/>
      <c r="J23" s="1282">
        <f t="shared" ca="1" si="4"/>
        <v>1</v>
      </c>
    </row>
    <row r="24" spans="1:20" ht="34.5" hidden="1" customHeight="1">
      <c r="A24" s="3204"/>
      <c r="B24" s="1505" t="s">
        <v>2125</v>
      </c>
      <c r="C24" s="1974">
        <f ca="1">SUM($J$4:J24)</f>
        <v>4</v>
      </c>
      <c r="D24" s="1443" t="e">
        <f t="shared" si="0"/>
        <v>#N/A</v>
      </c>
      <c r="E24" s="1445" t="e">
        <f t="shared" si="1"/>
        <v>#N/A</v>
      </c>
      <c r="F24" s="1445">
        <f t="shared" ca="1" si="2"/>
        <v>0</v>
      </c>
      <c r="G24" s="1445">
        <f t="shared" ca="1" si="3"/>
        <v>0</v>
      </c>
      <c r="H24" s="1445">
        <f>VLOOKUP($D$1,Solieu!A:C,2,0)</f>
        <v>4</v>
      </c>
      <c r="I24" s="1975"/>
      <c r="J24" s="1282" t="str">
        <f t="shared" ca="1" si="4"/>
        <v/>
      </c>
    </row>
    <row r="25" spans="1:20" ht="34.5" hidden="1" customHeight="1">
      <c r="A25" s="3204"/>
      <c r="B25" s="1505" t="s">
        <v>2304</v>
      </c>
      <c r="C25" s="1441">
        <f ca="1">SUM($J$4:J25)</f>
        <v>4</v>
      </c>
      <c r="D25" s="1443" t="e">
        <f t="shared" si="0"/>
        <v>#N/A</v>
      </c>
      <c r="E25" s="1445" t="e">
        <f t="shared" si="1"/>
        <v>#N/A</v>
      </c>
      <c r="F25" s="1445">
        <f t="shared" ca="1" si="2"/>
        <v>0</v>
      </c>
      <c r="G25" s="1445">
        <f t="shared" ca="1" si="3"/>
        <v>0</v>
      </c>
      <c r="H25" s="1445">
        <f>VLOOKUP($D$1,Solieu!A:C,2,0)</f>
        <v>4</v>
      </c>
      <c r="I25" s="1440"/>
      <c r="J25" s="1282" t="str">
        <f t="shared" ca="1" si="4"/>
        <v/>
      </c>
    </row>
    <row r="26" spans="1:20" ht="34.5" hidden="1" customHeight="1">
      <c r="A26" s="3204"/>
      <c r="B26" s="1505" t="s">
        <v>213</v>
      </c>
      <c r="C26" s="1441">
        <f ca="1">SUM($J$4:J26)</f>
        <v>4</v>
      </c>
      <c r="D26" s="1443" t="e">
        <f t="shared" si="0"/>
        <v>#N/A</v>
      </c>
      <c r="E26" s="1445" t="e">
        <f t="shared" si="1"/>
        <v>#N/A</v>
      </c>
      <c r="F26" s="1445">
        <f t="shared" ca="1" si="2"/>
        <v>0</v>
      </c>
      <c r="G26" s="1445">
        <f t="shared" ca="1" si="3"/>
        <v>0</v>
      </c>
      <c r="H26" s="1445">
        <f>VLOOKUP($D$1,Solieu!A:C,2,0)</f>
        <v>4</v>
      </c>
      <c r="I26" s="1440"/>
      <c r="J26" s="1282" t="str">
        <f t="shared" ca="1" si="4"/>
        <v/>
      </c>
    </row>
    <row r="27" spans="1:20" ht="34.5" hidden="1" customHeight="1">
      <c r="A27" s="3204"/>
      <c r="B27" s="1505" t="s">
        <v>2317</v>
      </c>
      <c r="C27" s="1441">
        <f ca="1">SUM($J$4:J27)</f>
        <v>4</v>
      </c>
      <c r="D27" s="1443" t="e">
        <f t="shared" si="0"/>
        <v>#N/A</v>
      </c>
      <c r="E27" s="1445" t="e">
        <f t="shared" si="1"/>
        <v>#N/A</v>
      </c>
      <c r="F27" s="1445">
        <f t="shared" ca="1" si="2"/>
        <v>0</v>
      </c>
      <c r="G27" s="1445">
        <f t="shared" ca="1" si="3"/>
        <v>0</v>
      </c>
      <c r="H27" s="1445">
        <f>VLOOKUP($D$1,Solieu!A:C,2,0)</f>
        <v>4</v>
      </c>
      <c r="I27" s="1440"/>
      <c r="J27" s="1282" t="str">
        <f t="shared" ca="1" si="4"/>
        <v/>
      </c>
    </row>
    <row r="28" spans="1:20" ht="34.5" hidden="1" customHeight="1">
      <c r="A28" s="3204"/>
      <c r="B28" s="1505" t="s">
        <v>1504</v>
      </c>
      <c r="C28" s="1441">
        <f ca="1">SUM($J$4:J28)</f>
        <v>4</v>
      </c>
      <c r="D28" s="1443" t="e">
        <f t="shared" si="0"/>
        <v>#N/A</v>
      </c>
      <c r="E28" s="1445" t="e">
        <f t="shared" si="1"/>
        <v>#N/A</v>
      </c>
      <c r="F28" s="1445">
        <f t="shared" ca="1" si="2"/>
        <v>0</v>
      </c>
      <c r="G28" s="1445">
        <f t="shared" ca="1" si="3"/>
        <v>0</v>
      </c>
      <c r="H28" s="1445">
        <f>VLOOKUP($D$1,Solieu!A:C,2,0)</f>
        <v>4</v>
      </c>
      <c r="I28" s="1440"/>
      <c r="J28" s="1282" t="str">
        <f t="shared" ca="1" si="4"/>
        <v/>
      </c>
    </row>
    <row r="29" spans="1:20" ht="34.5" hidden="1" customHeight="1">
      <c r="A29" s="3204"/>
      <c r="B29" s="1505" t="s">
        <v>1577</v>
      </c>
      <c r="C29" s="1441">
        <f ca="1">SUM($J$4:J29)</f>
        <v>4</v>
      </c>
      <c r="D29" s="1443" t="e">
        <f t="shared" si="0"/>
        <v>#N/A</v>
      </c>
      <c r="E29" s="1445" t="e">
        <f t="shared" si="1"/>
        <v>#N/A</v>
      </c>
      <c r="F29" s="1445">
        <f t="shared" ca="1" si="2"/>
        <v>0</v>
      </c>
      <c r="G29" s="1445">
        <f t="shared" ca="1" si="3"/>
        <v>0</v>
      </c>
      <c r="H29" s="1445">
        <f>VLOOKUP($D$1,Solieu!A:C,2,0)</f>
        <v>4</v>
      </c>
      <c r="I29" s="1440"/>
      <c r="J29" s="1282" t="str">
        <f t="shared" ca="1" si="4"/>
        <v/>
      </c>
    </row>
    <row r="30" spans="1:20" ht="34.5" hidden="1" customHeight="1">
      <c r="A30" s="3204"/>
      <c r="B30" s="1505" t="s">
        <v>105</v>
      </c>
      <c r="C30" s="1441">
        <f ca="1">SUM($J$4:J30)</f>
        <v>4</v>
      </c>
      <c r="D30" s="1443" t="e">
        <f t="shared" si="0"/>
        <v>#N/A</v>
      </c>
      <c r="E30" s="1445" t="e">
        <f t="shared" si="1"/>
        <v>#N/A</v>
      </c>
      <c r="F30" s="1445">
        <f t="shared" ca="1" si="2"/>
        <v>0</v>
      </c>
      <c r="G30" s="1445">
        <f t="shared" ca="1" si="3"/>
        <v>0</v>
      </c>
      <c r="H30" s="1445">
        <f>VLOOKUP($D$1,Solieu!A:C,2,0)</f>
        <v>4</v>
      </c>
      <c r="I30" s="1440"/>
      <c r="J30" s="1282" t="str">
        <f t="shared" ca="1" si="4"/>
        <v/>
      </c>
    </row>
    <row r="31" spans="1:20" ht="34.5" hidden="1" customHeight="1">
      <c r="A31" s="3204"/>
      <c r="B31" s="1505" t="s">
        <v>2305</v>
      </c>
      <c r="C31" s="1441">
        <f ca="1">SUM($J$4:J31)</f>
        <v>4</v>
      </c>
      <c r="D31" s="1443" t="e">
        <f t="shared" si="0"/>
        <v>#N/A</v>
      </c>
      <c r="E31" s="1445" t="e">
        <f t="shared" si="1"/>
        <v>#N/A</v>
      </c>
      <c r="F31" s="1445">
        <f t="shared" ca="1" si="2"/>
        <v>0</v>
      </c>
      <c r="G31" s="1445">
        <f t="shared" ca="1" si="3"/>
        <v>0</v>
      </c>
      <c r="H31" s="1445">
        <f>VLOOKUP($D$1,Solieu!A:C,2,0)</f>
        <v>4</v>
      </c>
      <c r="I31" s="1440"/>
      <c r="J31" s="1282" t="str">
        <f t="shared" ca="1" si="4"/>
        <v/>
      </c>
    </row>
    <row r="32" spans="1:20" ht="34.5" hidden="1" customHeight="1">
      <c r="A32" s="3204"/>
      <c r="B32" s="1505" t="s">
        <v>807</v>
      </c>
      <c r="C32" s="1441">
        <f ca="1">SUM($J$4:J32)</f>
        <v>4</v>
      </c>
      <c r="D32" s="1443" t="e">
        <f t="shared" si="0"/>
        <v>#N/A</v>
      </c>
      <c r="E32" s="1445" t="e">
        <f t="shared" si="1"/>
        <v>#N/A</v>
      </c>
      <c r="F32" s="1445">
        <f t="shared" ca="1" si="2"/>
        <v>0</v>
      </c>
      <c r="G32" s="1445">
        <f t="shared" ca="1" si="3"/>
        <v>0</v>
      </c>
      <c r="H32" s="1445">
        <f>VLOOKUP($D$1,Solieu!A:C,2,0)</f>
        <v>4</v>
      </c>
      <c r="I32" s="1440"/>
      <c r="J32" s="1282" t="str">
        <f t="shared" ca="1" si="4"/>
        <v/>
      </c>
    </row>
    <row r="33" spans="1:10" ht="34.5" hidden="1" customHeight="1">
      <c r="A33" s="3204"/>
      <c r="B33" s="1505" t="s">
        <v>1872</v>
      </c>
      <c r="C33" s="1441">
        <f ca="1">SUM($J$4:J33)</f>
        <v>4</v>
      </c>
      <c r="D33" s="1443" t="e">
        <f t="shared" si="0"/>
        <v>#N/A</v>
      </c>
      <c r="E33" s="1445" t="e">
        <f t="shared" si="1"/>
        <v>#N/A</v>
      </c>
      <c r="F33" s="1445">
        <f t="shared" ca="1" si="2"/>
        <v>0</v>
      </c>
      <c r="G33" s="1445">
        <f t="shared" ca="1" si="3"/>
        <v>0</v>
      </c>
      <c r="H33" s="1445">
        <f>VLOOKUP($D$1,Solieu!A:C,2,0)</f>
        <v>4</v>
      </c>
      <c r="I33" s="1440"/>
      <c r="J33" s="1282" t="str">
        <f t="shared" ca="1" si="4"/>
        <v/>
      </c>
    </row>
    <row r="34" spans="1:10" ht="34.5" hidden="1" customHeight="1">
      <c r="A34" s="3204"/>
      <c r="B34" s="1505" t="s">
        <v>4850</v>
      </c>
      <c r="C34" s="1441">
        <f ca="1">SUM($J$4:J34)</f>
        <v>4</v>
      </c>
      <c r="D34" s="1443" t="e">
        <f t="shared" si="0"/>
        <v>#N/A</v>
      </c>
      <c r="E34" s="1445" t="e">
        <f t="shared" si="1"/>
        <v>#N/A</v>
      </c>
      <c r="F34" s="1445">
        <f t="shared" ca="1" si="2"/>
        <v>0</v>
      </c>
      <c r="G34" s="1445">
        <f t="shared" ca="1" si="3"/>
        <v>0</v>
      </c>
      <c r="H34" s="1445">
        <f>VLOOKUP($D$1,Solieu!A:C,2,0)</f>
        <v>4</v>
      </c>
      <c r="I34" s="1440"/>
      <c r="J34" s="1282" t="str">
        <f t="shared" ca="1" si="4"/>
        <v/>
      </c>
    </row>
    <row r="35" spans="1:10" ht="34.5" hidden="1" customHeight="1">
      <c r="A35" s="3204"/>
      <c r="B35" s="1505" t="s">
        <v>4851</v>
      </c>
      <c r="C35" s="1441">
        <f ca="1">SUM($J$4:J35)</f>
        <v>4</v>
      </c>
      <c r="D35" s="1443" t="e">
        <f t="shared" ref="D35:D61" si="6">VLOOKUP(B35,KhoiLuong,5,0)</f>
        <v>#N/A</v>
      </c>
      <c r="E35" s="1445" t="e">
        <f t="shared" ref="E35:E61" si="7">VLOOKUP(B35,KhoiLuong,6,0)</f>
        <v>#N/A</v>
      </c>
      <c r="F35" s="1445">
        <f t="shared" ref="F35:F61" ca="1" si="8">IF(B35&lt;&gt;0,SUMIF(KhoiLuong,B35,DuToan),0)</f>
        <v>0</v>
      </c>
      <c r="G35" s="1445">
        <f t="shared" ref="G35:G61" ca="1" si="9">IF(B35&lt;&gt;0,SUMIF(KhoiLuong,B35,ThiCong),0)</f>
        <v>0</v>
      </c>
      <c r="H35" s="1445">
        <f>VLOOKUP($D$1,Solieu!A:C,2,0)</f>
        <v>4</v>
      </c>
      <c r="I35" s="1440"/>
      <c r="J35" s="1282" t="str">
        <f t="shared" ca="1" si="4"/>
        <v/>
      </c>
    </row>
    <row r="36" spans="1:10" ht="34.5" customHeight="1">
      <c r="A36" s="3204"/>
      <c r="B36" s="1505" t="s">
        <v>6491</v>
      </c>
      <c r="C36" s="1974">
        <f ca="1">SUM($J$4:J36)</f>
        <v>5</v>
      </c>
      <c r="D36" s="1443" t="str">
        <f t="shared" ref="D36:D38" si="10">VLOOKUP(B36,KhoiLuong,5,0)</f>
        <v>Đà đơn Composite 2400 bắt FCO + LA</v>
      </c>
      <c r="E36" s="1445" t="str">
        <f t="shared" ref="E36:E38" si="11">VLOOKUP(B36,KhoiLuong,6,0)</f>
        <v>Bộ</v>
      </c>
      <c r="F36" s="1445">
        <f t="shared" ref="F36:F38" ca="1" si="12">IF(B36&lt;&gt;0,SUMIF(KhoiLuong,B36,DuToan),0)</f>
        <v>1</v>
      </c>
      <c r="G36" s="1445">
        <f t="shared" ref="G36:G38" ca="1" si="13">IF(B36&lt;&gt;0,SUMIF(KhoiLuong,B36,ThiCong),0)</f>
        <v>1</v>
      </c>
      <c r="H36" s="1445">
        <f>VLOOKUP($D$1,Solieu!A:C,2,0)</f>
        <v>4</v>
      </c>
      <c r="I36" s="1975"/>
      <c r="J36" s="1282">
        <f t="shared" ref="J36:J38" ca="1" si="14">IF(G36&gt;0,1,"")</f>
        <v>1</v>
      </c>
    </row>
    <row r="37" spans="1:10" ht="34.5" customHeight="1">
      <c r="A37" s="3204"/>
      <c r="B37" s="1505" t="s">
        <v>6492</v>
      </c>
      <c r="C37" s="1974">
        <f ca="1">SUM($J$4:J37)</f>
        <v>6</v>
      </c>
      <c r="D37" s="1443" t="str">
        <f t="shared" si="10"/>
        <v>Xà kép L75x75x8x2400 (4 ốp)  bắt TI, TU</v>
      </c>
      <c r="E37" s="1445" t="str">
        <f t="shared" si="11"/>
        <v>Bộ</v>
      </c>
      <c r="F37" s="1445">
        <f t="shared" ca="1" si="12"/>
        <v>2</v>
      </c>
      <c r="G37" s="1445">
        <f t="shared" ca="1" si="13"/>
        <v>2</v>
      </c>
      <c r="H37" s="1445">
        <f>VLOOKUP($D$1,Solieu!A:C,2,0)</f>
        <v>4</v>
      </c>
      <c r="I37" s="1975"/>
      <c r="J37" s="1282">
        <f t="shared" ca="1" si="14"/>
        <v>1</v>
      </c>
    </row>
    <row r="38" spans="1:10" ht="34.5" customHeight="1">
      <c r="A38" s="3204"/>
      <c r="B38" s="1505" t="s">
        <v>6493</v>
      </c>
      <c r="C38" s="1974">
        <f ca="1">SUM($J$4:J38)</f>
        <v>7</v>
      </c>
      <c r="D38" s="1443" t="str">
        <f t="shared" si="10"/>
        <v>Xà đơn L75x75x8x2200 (4 ốp) đỡ sứ</v>
      </c>
      <c r="E38" s="1445" t="str">
        <f t="shared" si="11"/>
        <v>Bộ</v>
      </c>
      <c r="F38" s="1445">
        <f t="shared" ca="1" si="12"/>
        <v>1</v>
      </c>
      <c r="G38" s="1445">
        <f t="shared" ca="1" si="13"/>
        <v>1</v>
      </c>
      <c r="H38" s="1445">
        <f>VLOOKUP($D$1,Solieu!A:C,2,0)</f>
        <v>4</v>
      </c>
      <c r="I38" s="1975"/>
      <c r="J38" s="1282">
        <f t="shared" ca="1" si="14"/>
        <v>1</v>
      </c>
    </row>
    <row r="39" spans="1:10" ht="34.5" customHeight="1">
      <c r="A39" s="3204"/>
      <c r="B39" s="1505" t="s">
        <v>2505</v>
      </c>
      <c r="C39" s="1441">
        <f ca="1">SUM($J$4:J39)</f>
        <v>8</v>
      </c>
      <c r="D39" s="1443" t="str">
        <f t="shared" si="6"/>
        <v>Bộ Uclevis đỡ dây trung hòa: Đth-U (trụ đơn)</v>
      </c>
      <c r="E39" s="1445" t="str">
        <f t="shared" si="7"/>
        <v>bộ</v>
      </c>
      <c r="F39" s="1445">
        <f t="shared" ca="1" si="8"/>
        <v>1</v>
      </c>
      <c r="G39" s="1445">
        <f t="shared" ca="1" si="9"/>
        <v>1</v>
      </c>
      <c r="H39" s="1445">
        <f>VLOOKUP($D$1,Solieu!A:C,2,0)</f>
        <v>4</v>
      </c>
      <c r="I39" s="1440"/>
      <c r="J39" s="1282">
        <f t="shared" ca="1" si="4"/>
        <v>1</v>
      </c>
    </row>
    <row r="40" spans="1:10" ht="34.5" hidden="1" customHeight="1">
      <c r="A40" s="3204"/>
      <c r="B40" s="1505" t="s">
        <v>1624</v>
      </c>
      <c r="C40" s="1441">
        <f ca="1">SUM($J$4:J40)</f>
        <v>8</v>
      </c>
      <c r="D40" s="1443" t="e">
        <f t="shared" si="6"/>
        <v>#N/A</v>
      </c>
      <c r="E40" s="1445" t="e">
        <f t="shared" si="7"/>
        <v>#N/A</v>
      </c>
      <c r="F40" s="1445">
        <f t="shared" ca="1" si="8"/>
        <v>0</v>
      </c>
      <c r="G40" s="1445">
        <f t="shared" ca="1" si="9"/>
        <v>0</v>
      </c>
      <c r="H40" s="1445">
        <f>VLOOKUP($D$1,Solieu!A:C,2,0)</f>
        <v>4</v>
      </c>
      <c r="I40" s="1440"/>
      <c r="J40" s="1282" t="str">
        <f t="shared" ca="1" si="4"/>
        <v/>
      </c>
    </row>
    <row r="41" spans="1:10" ht="34.5" customHeight="1">
      <c r="A41" s="3204"/>
      <c r="B41" s="1505" t="s">
        <v>1625</v>
      </c>
      <c r="C41" s="1441">
        <f ca="1">SUM($J$4:J41)</f>
        <v>9</v>
      </c>
      <c r="D41" s="1443" t="str">
        <f t="shared" si="6"/>
        <v>Bộ khóa néo dây trung hòa vào trụ: Nth-T</v>
      </c>
      <c r="E41" s="1445" t="str">
        <f t="shared" si="7"/>
        <v>bộ</v>
      </c>
      <c r="F41" s="1445">
        <f t="shared" ca="1" si="8"/>
        <v>2</v>
      </c>
      <c r="G41" s="1445">
        <f t="shared" ca="1" si="9"/>
        <v>2</v>
      </c>
      <c r="H41" s="1445">
        <f>VLOOKUP($D$1,Solieu!A:C,2,0)</f>
        <v>4</v>
      </c>
      <c r="I41" s="1440"/>
      <c r="J41" s="1282">
        <f t="shared" ca="1" si="4"/>
        <v>1</v>
      </c>
    </row>
    <row r="42" spans="1:10" ht="34.5" hidden="1" customHeight="1">
      <c r="A42" s="3204"/>
      <c r="B42" s="1505" t="s">
        <v>2166</v>
      </c>
      <c r="C42" s="1441">
        <f ca="1">SUM($J$4:J42)</f>
        <v>9</v>
      </c>
      <c r="D42" s="1443" t="e">
        <f t="shared" si="6"/>
        <v>#N/A</v>
      </c>
      <c r="E42" s="1445" t="e">
        <f t="shared" si="7"/>
        <v>#N/A</v>
      </c>
      <c r="F42" s="1445">
        <f t="shared" ca="1" si="8"/>
        <v>0</v>
      </c>
      <c r="G42" s="1445">
        <f t="shared" ca="1" si="9"/>
        <v>0</v>
      </c>
      <c r="H42" s="1445">
        <f>VLOOKUP($D$1,Solieu!A:C,2,0)</f>
        <v>4</v>
      </c>
      <c r="I42" s="1440"/>
      <c r="J42" s="1282" t="str">
        <f t="shared" ca="1" si="4"/>
        <v/>
      </c>
    </row>
    <row r="43" spans="1:10" ht="34.5" hidden="1" customHeight="1">
      <c r="A43" s="3204"/>
      <c r="B43" s="1505" t="s">
        <v>2540</v>
      </c>
      <c r="C43" s="1441">
        <f ca="1">SUM($J$4:J43)</f>
        <v>9</v>
      </c>
      <c r="D43" s="1443" t="e">
        <f t="shared" si="6"/>
        <v>#N/A</v>
      </c>
      <c r="E43" s="1445" t="e">
        <f t="shared" si="7"/>
        <v>#N/A</v>
      </c>
      <c r="F43" s="1445">
        <f t="shared" ca="1" si="8"/>
        <v>0</v>
      </c>
      <c r="G43" s="1445">
        <f t="shared" ca="1" si="9"/>
        <v>0</v>
      </c>
      <c r="H43" s="1445">
        <f>VLOOKUP($D$1,Solieu!A:C,2,0)</f>
        <v>4</v>
      </c>
      <c r="I43" s="1440"/>
      <c r="J43" s="1282" t="str">
        <f t="shared" ca="1" si="4"/>
        <v/>
      </c>
    </row>
    <row r="44" spans="1:10" ht="34.5" hidden="1" customHeight="1">
      <c r="A44" s="3204"/>
      <c r="B44" s="1505" t="s">
        <v>2542</v>
      </c>
      <c r="C44" s="1441">
        <f ca="1">SUM($J$4:J44)</f>
        <v>9</v>
      </c>
      <c r="D44" s="1443" t="e">
        <f t="shared" si="6"/>
        <v>#N/A</v>
      </c>
      <c r="E44" s="1445" t="e">
        <f t="shared" si="7"/>
        <v>#N/A</v>
      </c>
      <c r="F44" s="1445">
        <f t="shared" ca="1" si="8"/>
        <v>0</v>
      </c>
      <c r="G44" s="1445">
        <f t="shared" ca="1" si="9"/>
        <v>0</v>
      </c>
      <c r="H44" s="1445">
        <f>VLOOKUP($D$1,Solieu!A:C,2,0)</f>
        <v>4</v>
      </c>
      <c r="I44" s="1440"/>
      <c r="J44" s="1282" t="str">
        <f t="shared" ca="1" si="4"/>
        <v/>
      </c>
    </row>
    <row r="45" spans="1:10" ht="34.5" hidden="1" customHeight="1">
      <c r="A45" s="3204"/>
      <c r="B45" s="1505" t="s">
        <v>534</v>
      </c>
      <c r="C45" s="1441">
        <f ca="1">SUM($J$4:J45)</f>
        <v>9</v>
      </c>
      <c r="D45" s="1443" t="e">
        <f t="shared" si="6"/>
        <v>#N/A</v>
      </c>
      <c r="E45" s="1445" t="e">
        <f t="shared" si="7"/>
        <v>#N/A</v>
      </c>
      <c r="F45" s="1445">
        <f t="shared" ca="1" si="8"/>
        <v>0</v>
      </c>
      <c r="G45" s="1445">
        <f t="shared" ca="1" si="9"/>
        <v>0</v>
      </c>
      <c r="H45" s="1445">
        <f>VLOOKUP($D$1,Solieu!A:C,2,0)</f>
        <v>4</v>
      </c>
      <c r="I45" s="1440"/>
      <c r="J45" s="1282" t="str">
        <f t="shared" ca="1" si="4"/>
        <v/>
      </c>
    </row>
    <row r="46" spans="1:10" ht="34.5" hidden="1" customHeight="1">
      <c r="A46" s="3204"/>
      <c r="B46" s="1505" t="s">
        <v>2265</v>
      </c>
      <c r="C46" s="1441">
        <f ca="1">SUM($J$4:J46)</f>
        <v>9</v>
      </c>
      <c r="D46" s="1443" t="e">
        <f t="shared" si="6"/>
        <v>#N/A</v>
      </c>
      <c r="E46" s="1445" t="e">
        <f t="shared" si="7"/>
        <v>#N/A</v>
      </c>
      <c r="F46" s="1445">
        <f t="shared" ca="1" si="8"/>
        <v>0</v>
      </c>
      <c r="G46" s="1445">
        <f t="shared" ca="1" si="9"/>
        <v>0</v>
      </c>
      <c r="H46" s="1445">
        <f>VLOOKUP($D$1,Solieu!A:C,2,0)</f>
        <v>4</v>
      </c>
      <c r="I46" s="1440"/>
      <c r="J46" s="1282" t="str">
        <f t="shared" ca="1" si="4"/>
        <v/>
      </c>
    </row>
    <row r="47" spans="1:10" ht="34.5" hidden="1" customHeight="1">
      <c r="A47" s="3204"/>
      <c r="B47" s="1505" t="s">
        <v>667</v>
      </c>
      <c r="C47" s="1441">
        <f ca="1">SUM($J$4:J47)</f>
        <v>9</v>
      </c>
      <c r="D47" s="1443" t="e">
        <f t="shared" si="6"/>
        <v>#N/A</v>
      </c>
      <c r="E47" s="1445" t="e">
        <f t="shared" si="7"/>
        <v>#N/A</v>
      </c>
      <c r="F47" s="1445">
        <f t="shared" ca="1" si="8"/>
        <v>0</v>
      </c>
      <c r="G47" s="1445">
        <f t="shared" ca="1" si="9"/>
        <v>0</v>
      </c>
      <c r="H47" s="1445">
        <f>VLOOKUP($D$1,Solieu!A:C,2,0)</f>
        <v>4</v>
      </c>
      <c r="I47" s="1440"/>
      <c r="J47" s="1282" t="str">
        <f t="shared" ca="1" si="4"/>
        <v/>
      </c>
    </row>
    <row r="48" spans="1:10" ht="34.5" hidden="1" customHeight="1">
      <c r="A48" s="3204"/>
      <c r="B48" s="1505" t="s">
        <v>1452</v>
      </c>
      <c r="C48" s="1441">
        <f ca="1">SUM($J$4:J48)</f>
        <v>9</v>
      </c>
      <c r="D48" s="1443" t="e">
        <f t="shared" si="6"/>
        <v>#N/A</v>
      </c>
      <c r="E48" s="1445" t="e">
        <f t="shared" si="7"/>
        <v>#N/A</v>
      </c>
      <c r="F48" s="1445">
        <f t="shared" ca="1" si="8"/>
        <v>0</v>
      </c>
      <c r="G48" s="1445">
        <f t="shared" ca="1" si="9"/>
        <v>0</v>
      </c>
      <c r="H48" s="1445">
        <f>VLOOKUP($D$1,Solieu!A:C,2,0)</f>
        <v>4</v>
      </c>
      <c r="I48" s="1440"/>
      <c r="J48" s="1282" t="str">
        <f t="shared" ca="1" si="4"/>
        <v/>
      </c>
    </row>
    <row r="49" spans="1:10" ht="34.5" customHeight="1">
      <c r="A49" s="3204"/>
      <c r="B49" s="1505" t="s">
        <v>696</v>
      </c>
      <c r="C49" s="1441">
        <f ca="1">SUM($J$4:J49)</f>
        <v>10</v>
      </c>
      <c r="D49" s="1443" t="str">
        <f t="shared" si="6"/>
        <v xml:space="preserve">Sứ đứng 24KV </v>
      </c>
      <c r="E49" s="1445" t="str">
        <f t="shared" si="7"/>
        <v>cái</v>
      </c>
      <c r="F49" s="1445">
        <f t="shared" ca="1" si="8"/>
        <v>17</v>
      </c>
      <c r="G49" s="1445">
        <f t="shared" ca="1" si="9"/>
        <v>17</v>
      </c>
      <c r="H49" s="1445">
        <f>VLOOKUP($D$1,Solieu!A:C,2,0)</f>
        <v>4</v>
      </c>
      <c r="I49" s="1440"/>
      <c r="J49" s="1282">
        <f t="shared" ca="1" si="4"/>
        <v>1</v>
      </c>
    </row>
    <row r="50" spans="1:10" ht="34.5" hidden="1" customHeight="1">
      <c r="A50" s="3204"/>
      <c r="B50" s="1505" t="s">
        <v>4946</v>
      </c>
      <c r="C50" s="1441">
        <f ca="1">SUM($J$4:J50)</f>
        <v>10</v>
      </c>
      <c r="D50" s="1443" t="e">
        <f t="shared" si="6"/>
        <v>#N/A</v>
      </c>
      <c r="E50" s="1445" t="e">
        <f t="shared" si="7"/>
        <v>#N/A</v>
      </c>
      <c r="F50" s="1445">
        <f t="shared" ca="1" si="8"/>
        <v>0</v>
      </c>
      <c r="G50" s="1445">
        <f t="shared" ca="1" si="9"/>
        <v>0</v>
      </c>
      <c r="H50" s="1445">
        <f>VLOOKUP($D$1,Solieu!A:C,2,0)</f>
        <v>4</v>
      </c>
      <c r="I50" s="1440"/>
      <c r="J50" s="1282" t="str">
        <f t="shared" ca="1" si="4"/>
        <v/>
      </c>
    </row>
    <row r="51" spans="1:10" hidden="1">
      <c r="A51" s="3204"/>
      <c r="B51" s="1505" t="s">
        <v>2134</v>
      </c>
      <c r="C51" s="1441">
        <f ca="1">SUM($J$4:J51)</f>
        <v>10</v>
      </c>
      <c r="D51" s="1443" t="e">
        <f t="shared" si="6"/>
        <v>#N/A</v>
      </c>
      <c r="E51" s="1445" t="e">
        <f t="shared" si="7"/>
        <v>#N/A</v>
      </c>
      <c r="F51" s="1445">
        <f t="shared" ca="1" si="8"/>
        <v>0</v>
      </c>
      <c r="G51" s="1445">
        <f t="shared" ca="1" si="9"/>
        <v>0</v>
      </c>
      <c r="H51" s="1445">
        <f>VLOOKUP($D$1,Solieu!A:C,2,0)</f>
        <v>4</v>
      </c>
      <c r="I51" s="1440"/>
      <c r="J51" s="1282" t="str">
        <f t="shared" ca="1" si="4"/>
        <v/>
      </c>
    </row>
    <row r="52" spans="1:10">
      <c r="A52" s="3204"/>
      <c r="B52" s="1505" t="s">
        <v>1029</v>
      </c>
      <c r="C52" s="1441">
        <f ca="1">SUM($J$4:J52)</f>
        <v>11</v>
      </c>
      <c r="D52" s="1443" t="str">
        <f t="shared" si="6"/>
        <v>Sứ treo polymer</v>
      </c>
      <c r="E52" s="1445" t="str">
        <f t="shared" si="7"/>
        <v>chuỗi</v>
      </c>
      <c r="F52" s="1445">
        <f t="shared" ca="1" si="8"/>
        <v>6</v>
      </c>
      <c r="G52" s="1445">
        <f t="shared" ca="1" si="9"/>
        <v>6</v>
      </c>
      <c r="H52" s="1445">
        <f>VLOOKUP($D$1,Solieu!A:C,2,0)</f>
        <v>4</v>
      </c>
      <c r="I52" s="1440"/>
      <c r="J52" s="1282">
        <f t="shared" ca="1" si="4"/>
        <v>1</v>
      </c>
    </row>
    <row r="53" spans="1:10" hidden="1">
      <c r="A53" s="3204"/>
      <c r="B53" s="1505" t="s">
        <v>538</v>
      </c>
      <c r="C53" s="1441">
        <f ca="1">SUM($J$4:J53)</f>
        <v>11</v>
      </c>
      <c r="D53" s="1443" t="e">
        <f t="shared" si="6"/>
        <v>#N/A</v>
      </c>
      <c r="E53" s="1445" t="e">
        <f t="shared" si="7"/>
        <v>#N/A</v>
      </c>
      <c r="F53" s="1445">
        <f t="shared" ca="1" si="8"/>
        <v>0</v>
      </c>
      <c r="G53" s="1445">
        <f t="shared" ca="1" si="9"/>
        <v>0</v>
      </c>
      <c r="H53" s="1445">
        <f>VLOOKUP($D$1,Solieu!A:C,2,0)</f>
        <v>4</v>
      </c>
      <c r="I53" s="1440"/>
      <c r="J53" s="1282" t="str">
        <f t="shared" ca="1" si="4"/>
        <v/>
      </c>
    </row>
    <row r="54" spans="1:10" hidden="1">
      <c r="A54" s="3204"/>
      <c r="B54" s="1505" t="s">
        <v>580</v>
      </c>
      <c r="C54" s="1441">
        <f ca="1">SUM($J$4:J54)</f>
        <v>11</v>
      </c>
      <c r="D54" s="1443" t="e">
        <f t="shared" si="6"/>
        <v>#N/A</v>
      </c>
      <c r="E54" s="1445" t="e">
        <f t="shared" si="7"/>
        <v>#N/A</v>
      </c>
      <c r="F54" s="1445">
        <f t="shared" ca="1" si="8"/>
        <v>0</v>
      </c>
      <c r="G54" s="1445">
        <f t="shared" ca="1" si="9"/>
        <v>0</v>
      </c>
      <c r="H54" s="1445">
        <f>VLOOKUP($D$1,Solieu!A:C,2,0)</f>
        <v>4</v>
      </c>
      <c r="I54" s="1440"/>
      <c r="J54" s="1282" t="str">
        <f t="shared" ca="1" si="4"/>
        <v/>
      </c>
    </row>
    <row r="55" spans="1:10" hidden="1">
      <c r="A55" s="3204"/>
      <c r="B55" s="1505" t="s">
        <v>1879</v>
      </c>
      <c r="C55" s="1441">
        <f ca="1">SUM($J$4:J55)</f>
        <v>11</v>
      </c>
      <c r="D55" s="1443" t="e">
        <f t="shared" si="6"/>
        <v>#N/A</v>
      </c>
      <c r="E55" s="1445" t="e">
        <f t="shared" si="7"/>
        <v>#N/A</v>
      </c>
      <c r="F55" s="1445">
        <f t="shared" ca="1" si="8"/>
        <v>0</v>
      </c>
      <c r="G55" s="1445">
        <f t="shared" ca="1" si="9"/>
        <v>0</v>
      </c>
      <c r="H55" s="1445">
        <f>VLOOKUP($D$1,Solieu!A:C,2,0)</f>
        <v>4</v>
      </c>
      <c r="I55" s="1440"/>
      <c r="J55" s="1282" t="str">
        <f t="shared" ca="1" si="4"/>
        <v/>
      </c>
    </row>
    <row r="56" spans="1:10" hidden="1">
      <c r="A56" s="3204"/>
      <c r="B56" s="1505" t="s">
        <v>826</v>
      </c>
      <c r="C56" s="1441">
        <f ca="1">SUM($J$4:J56)</f>
        <v>11</v>
      </c>
      <c r="D56" s="1443" t="e">
        <f t="shared" si="6"/>
        <v>#N/A</v>
      </c>
      <c r="E56" s="1445" t="e">
        <f t="shared" si="7"/>
        <v>#N/A</v>
      </c>
      <c r="F56" s="1445">
        <f t="shared" ca="1" si="8"/>
        <v>0</v>
      </c>
      <c r="G56" s="1445">
        <f t="shared" ca="1" si="9"/>
        <v>0</v>
      </c>
      <c r="H56" s="1445">
        <f>VLOOKUP($D$1,Solieu!A:C,2,0)</f>
        <v>4</v>
      </c>
      <c r="I56" s="1440"/>
      <c r="J56" s="1282" t="str">
        <f t="shared" ca="1" si="4"/>
        <v/>
      </c>
    </row>
    <row r="57" spans="1:10" hidden="1">
      <c r="A57" s="3204"/>
      <c r="B57" s="1577" t="s">
        <v>2066</v>
      </c>
      <c r="C57" s="1441">
        <f ca="1">SUM($J$4:J57)</f>
        <v>11</v>
      </c>
      <c r="D57" s="1443" t="e">
        <f t="shared" si="6"/>
        <v>#N/A</v>
      </c>
      <c r="E57" s="1445" t="e">
        <f t="shared" si="7"/>
        <v>#N/A</v>
      </c>
      <c r="F57" s="1445">
        <f t="shared" ca="1" si="8"/>
        <v>0</v>
      </c>
      <c r="G57" s="1445">
        <f t="shared" ca="1" si="9"/>
        <v>0</v>
      </c>
      <c r="H57" s="1445">
        <f>VLOOKUP($D$1,Solieu!A:C,2,0)</f>
        <v>4</v>
      </c>
      <c r="I57" s="1440"/>
      <c r="J57" s="1282" t="str">
        <f t="shared" ca="1" si="4"/>
        <v/>
      </c>
    </row>
    <row r="58" spans="1:10" hidden="1">
      <c r="A58" s="3204"/>
      <c r="B58" s="1505" t="s">
        <v>1697</v>
      </c>
      <c r="C58" s="1441">
        <f ca="1">SUM($J$4:J58)</f>
        <v>11</v>
      </c>
      <c r="D58" s="1443" t="e">
        <f t="shared" si="6"/>
        <v>#N/A</v>
      </c>
      <c r="E58" s="1445" t="e">
        <f t="shared" si="7"/>
        <v>#N/A</v>
      </c>
      <c r="F58" s="1445">
        <f t="shared" ca="1" si="8"/>
        <v>0</v>
      </c>
      <c r="G58" s="1445">
        <f t="shared" ca="1" si="9"/>
        <v>0</v>
      </c>
      <c r="H58" s="1445">
        <f>VLOOKUP($D$1,Solieu!A:C,2,0)</f>
        <v>4</v>
      </c>
      <c r="I58" s="1440"/>
      <c r="J58" s="1282" t="str">
        <f t="shared" ca="1" si="4"/>
        <v/>
      </c>
    </row>
    <row r="59" spans="1:10" hidden="1">
      <c r="A59" s="3204"/>
      <c r="B59" s="1505" t="s">
        <v>1696</v>
      </c>
      <c r="C59" s="1441">
        <f ca="1">SUM($J$4:J59)</f>
        <v>11</v>
      </c>
      <c r="D59" s="1443" t="e">
        <f t="shared" si="6"/>
        <v>#N/A</v>
      </c>
      <c r="E59" s="1445" t="e">
        <f t="shared" si="7"/>
        <v>#N/A</v>
      </c>
      <c r="F59" s="1445">
        <f t="shared" ca="1" si="8"/>
        <v>0</v>
      </c>
      <c r="G59" s="1445">
        <f t="shared" ca="1" si="9"/>
        <v>0</v>
      </c>
      <c r="H59" s="1445">
        <f>VLOOKUP($D$1,Solieu!A:C,2,0)</f>
        <v>4</v>
      </c>
      <c r="I59" s="1440"/>
      <c r="J59" s="1282" t="str">
        <f t="shared" ca="1" si="4"/>
        <v/>
      </c>
    </row>
    <row r="60" spans="1:10" hidden="1">
      <c r="A60" s="3204"/>
      <c r="B60" s="1505" t="s">
        <v>1159</v>
      </c>
      <c r="C60" s="1441">
        <f ca="1">SUM($J$4:J60)</f>
        <v>11</v>
      </c>
      <c r="D60" s="1443" t="e">
        <f t="shared" si="6"/>
        <v>#N/A</v>
      </c>
      <c r="E60" s="1445" t="e">
        <f t="shared" si="7"/>
        <v>#N/A</v>
      </c>
      <c r="F60" s="1445">
        <f t="shared" ca="1" si="8"/>
        <v>0</v>
      </c>
      <c r="G60" s="1445">
        <f t="shared" ca="1" si="9"/>
        <v>0</v>
      </c>
      <c r="H60" s="1445">
        <f>VLOOKUP($D$1,Solieu!A:C,2,0)</f>
        <v>4</v>
      </c>
      <c r="I60" s="1440"/>
      <c r="J60" s="1282" t="str">
        <f t="shared" ca="1" si="4"/>
        <v/>
      </c>
    </row>
    <row r="61" spans="1:10" hidden="1">
      <c r="A61" s="3204"/>
      <c r="B61" s="1805" t="s">
        <v>1158</v>
      </c>
      <c r="C61" s="1441">
        <f ca="1">SUM($J$4:J61)</f>
        <v>11</v>
      </c>
      <c r="D61" s="1443" t="e">
        <f t="shared" si="6"/>
        <v>#N/A</v>
      </c>
      <c r="E61" s="1445" t="e">
        <f t="shared" si="7"/>
        <v>#N/A</v>
      </c>
      <c r="F61" s="1445">
        <f t="shared" ca="1" si="8"/>
        <v>0</v>
      </c>
      <c r="G61" s="1445">
        <f t="shared" ca="1" si="9"/>
        <v>0</v>
      </c>
      <c r="H61" s="1445">
        <f>VLOOKUP($D$1,Solieu!A:C,2,0)</f>
        <v>4</v>
      </c>
      <c r="I61" s="1440"/>
      <c r="J61" s="1282" t="str">
        <f t="shared" ca="1" si="4"/>
        <v/>
      </c>
    </row>
    <row r="62" spans="1:10" hidden="1">
      <c r="A62" s="3204"/>
      <c r="B62" s="1805" t="s">
        <v>146</v>
      </c>
      <c r="C62" s="1441">
        <f ca="1">SUM($J$4:J62)</f>
        <v>11</v>
      </c>
      <c r="D62" s="1443" t="e">
        <f t="shared" ref="D62:D73" si="15">VLOOKUP(B62,KhoiLuong,5,0)</f>
        <v>#N/A</v>
      </c>
      <c r="E62" s="1445" t="e">
        <f t="shared" ref="E62:E73" si="16">VLOOKUP(B62,KhoiLuong,6,0)</f>
        <v>#N/A</v>
      </c>
      <c r="F62" s="1445">
        <f t="shared" ref="F62:F73" ca="1" si="17">IF(B62&lt;&gt;0,SUMIF(KhoiLuong,B62,DuToan),0)</f>
        <v>0</v>
      </c>
      <c r="G62" s="1445">
        <f t="shared" ref="G62:G73" ca="1" si="18">IF(B62&lt;&gt;0,SUMIF(KhoiLuong,B62,ThiCong),0)</f>
        <v>0</v>
      </c>
      <c r="H62" s="1445">
        <f>VLOOKUP($D$1,Solieu!A:C,2,0)</f>
        <v>4</v>
      </c>
      <c r="I62" s="1440"/>
      <c r="J62" s="1282" t="str">
        <f t="shared" ca="1" si="4"/>
        <v/>
      </c>
    </row>
    <row r="63" spans="1:10" hidden="1">
      <c r="A63" s="3204"/>
      <c r="B63" s="1805" t="s">
        <v>1738</v>
      </c>
      <c r="C63" s="1441">
        <f ca="1">SUM($J$4:J63)</f>
        <v>11</v>
      </c>
      <c r="D63" s="1443" t="e">
        <f t="shared" si="15"/>
        <v>#N/A</v>
      </c>
      <c r="E63" s="1445" t="e">
        <f t="shared" si="16"/>
        <v>#N/A</v>
      </c>
      <c r="F63" s="1445">
        <f t="shared" ca="1" si="17"/>
        <v>0</v>
      </c>
      <c r="G63" s="1445">
        <f t="shared" ca="1" si="18"/>
        <v>0</v>
      </c>
      <c r="H63" s="1445">
        <f>VLOOKUP($D$1,Solieu!A:C,2,0)</f>
        <v>4</v>
      </c>
      <c r="I63" s="1440"/>
      <c r="J63" s="1282" t="str">
        <f t="shared" ca="1" si="4"/>
        <v/>
      </c>
    </row>
    <row r="64" spans="1:10" hidden="1">
      <c r="A64" s="3204"/>
      <c r="B64" s="1805" t="s">
        <v>2214</v>
      </c>
      <c r="C64" s="1441">
        <f ca="1">SUM($J$4:J64)</f>
        <v>11</v>
      </c>
      <c r="D64" s="1443" t="e">
        <f t="shared" si="15"/>
        <v>#N/A</v>
      </c>
      <c r="E64" s="1445" t="e">
        <f t="shared" si="16"/>
        <v>#N/A</v>
      </c>
      <c r="F64" s="1445">
        <f t="shared" ca="1" si="17"/>
        <v>0</v>
      </c>
      <c r="G64" s="1445">
        <f t="shared" ca="1" si="18"/>
        <v>0</v>
      </c>
      <c r="H64" s="1445">
        <f>VLOOKUP($D$1,Solieu!A:C,2,0)</f>
        <v>4</v>
      </c>
      <c r="I64" s="1440"/>
      <c r="J64" s="1282" t="str">
        <f t="shared" ca="1" si="4"/>
        <v/>
      </c>
    </row>
    <row r="65" spans="1:10" hidden="1">
      <c r="A65" s="3204"/>
      <c r="B65" s="1805" t="s">
        <v>2028</v>
      </c>
      <c r="C65" s="1441">
        <f ca="1">SUM($J$4:J65)</f>
        <v>11</v>
      </c>
      <c r="D65" s="1443" t="e">
        <f t="shared" si="15"/>
        <v>#N/A</v>
      </c>
      <c r="E65" s="1445" t="e">
        <f t="shared" si="16"/>
        <v>#N/A</v>
      </c>
      <c r="F65" s="1445">
        <f t="shared" ca="1" si="17"/>
        <v>0</v>
      </c>
      <c r="G65" s="1445">
        <f t="shared" ca="1" si="18"/>
        <v>0</v>
      </c>
      <c r="H65" s="1445">
        <f>VLOOKUP($D$1,Solieu!A:C,2,0)</f>
        <v>4</v>
      </c>
      <c r="I65" s="1440"/>
      <c r="J65" s="1282" t="str">
        <f t="shared" ca="1" si="4"/>
        <v/>
      </c>
    </row>
    <row r="66" spans="1:10" hidden="1">
      <c r="A66" s="3204"/>
      <c r="B66" s="1805" t="s">
        <v>4522</v>
      </c>
      <c r="C66" s="1441">
        <f ca="1">SUM($J$4:J66)</f>
        <v>11</v>
      </c>
      <c r="D66" s="1443" t="e">
        <f t="shared" si="15"/>
        <v>#N/A</v>
      </c>
      <c r="E66" s="1445" t="e">
        <f t="shared" si="16"/>
        <v>#N/A</v>
      </c>
      <c r="F66" s="1445">
        <f t="shared" ca="1" si="17"/>
        <v>0</v>
      </c>
      <c r="G66" s="1445">
        <f t="shared" ca="1" si="18"/>
        <v>0</v>
      </c>
      <c r="H66" s="1445">
        <f>VLOOKUP($D$1,Solieu!A:C,2,0)</f>
        <v>4</v>
      </c>
      <c r="I66" s="1440"/>
      <c r="J66" s="1282" t="str">
        <f t="shared" ca="1" si="4"/>
        <v/>
      </c>
    </row>
    <row r="67" spans="1:10" hidden="1">
      <c r="A67" s="3204"/>
      <c r="B67" s="1805" t="s">
        <v>2217</v>
      </c>
      <c r="C67" s="1441">
        <f ca="1">SUM($J$4:J67)</f>
        <v>11</v>
      </c>
      <c r="D67" s="1443" t="e">
        <f t="shared" si="15"/>
        <v>#N/A</v>
      </c>
      <c r="E67" s="1445" t="e">
        <f t="shared" si="16"/>
        <v>#N/A</v>
      </c>
      <c r="F67" s="1445">
        <f t="shared" ca="1" si="17"/>
        <v>0</v>
      </c>
      <c r="G67" s="1445">
        <f t="shared" ca="1" si="18"/>
        <v>0</v>
      </c>
      <c r="H67" s="1445">
        <f>VLOOKUP($D$1,Solieu!A:C,2,0)</f>
        <v>4</v>
      </c>
      <c r="I67" s="1440"/>
      <c r="J67" s="1282" t="str">
        <f t="shared" ca="1" si="4"/>
        <v/>
      </c>
    </row>
    <row r="68" spans="1:10" hidden="1">
      <c r="A68" s="3204"/>
      <c r="B68" s="1805" t="s">
        <v>2216</v>
      </c>
      <c r="C68" s="1441">
        <f ca="1">SUM($J$4:J68)</f>
        <v>11</v>
      </c>
      <c r="D68" s="1443" t="e">
        <f t="shared" si="15"/>
        <v>#N/A</v>
      </c>
      <c r="E68" s="1445" t="e">
        <f t="shared" si="16"/>
        <v>#N/A</v>
      </c>
      <c r="F68" s="1445">
        <f t="shared" ca="1" si="17"/>
        <v>0</v>
      </c>
      <c r="G68" s="1445">
        <f t="shared" ca="1" si="18"/>
        <v>0</v>
      </c>
      <c r="H68" s="1445">
        <f>VLOOKUP($D$1,Solieu!A:C,2,0)</f>
        <v>4</v>
      </c>
      <c r="I68" s="1440"/>
      <c r="J68" s="1282" t="str">
        <f t="shared" ca="1" si="4"/>
        <v/>
      </c>
    </row>
    <row r="69" spans="1:10" hidden="1">
      <c r="A69" s="3204"/>
      <c r="B69" s="1805" t="s">
        <v>2215</v>
      </c>
      <c r="C69" s="1441">
        <f ca="1">SUM($J$4:J69)</f>
        <v>11</v>
      </c>
      <c r="D69" s="1443" t="e">
        <f t="shared" si="15"/>
        <v>#N/A</v>
      </c>
      <c r="E69" s="1445" t="e">
        <f t="shared" si="16"/>
        <v>#N/A</v>
      </c>
      <c r="F69" s="1445">
        <f t="shared" ca="1" si="17"/>
        <v>0</v>
      </c>
      <c r="G69" s="1445">
        <f t="shared" ca="1" si="18"/>
        <v>0</v>
      </c>
      <c r="H69" s="1445">
        <f>VLOOKUP($D$1,Solieu!A:C,2,0)</f>
        <v>4</v>
      </c>
      <c r="I69" s="1440"/>
      <c r="J69" s="1282" t="str">
        <f t="shared" ref="J69:J121" ca="1" si="19">IF(G69&gt;0,1,"")</f>
        <v/>
      </c>
    </row>
    <row r="70" spans="1:10" hidden="1">
      <c r="A70" s="3204"/>
      <c r="B70" s="1805" t="s">
        <v>2067</v>
      </c>
      <c r="C70" s="1441">
        <f ca="1">SUM($J$4:J70)</f>
        <v>11</v>
      </c>
      <c r="D70" s="1443" t="e">
        <f t="shared" si="15"/>
        <v>#N/A</v>
      </c>
      <c r="E70" s="1445" t="e">
        <f t="shared" si="16"/>
        <v>#N/A</v>
      </c>
      <c r="F70" s="1445">
        <f t="shared" ca="1" si="17"/>
        <v>0</v>
      </c>
      <c r="G70" s="1445">
        <f t="shared" ca="1" si="18"/>
        <v>0</v>
      </c>
      <c r="H70" s="1445">
        <f>VLOOKUP($D$1,Solieu!A:C,2,0)</f>
        <v>4</v>
      </c>
      <c r="I70" s="1440"/>
      <c r="J70" s="1282" t="str">
        <f t="shared" ca="1" si="19"/>
        <v/>
      </c>
    </row>
    <row r="71" spans="1:10" hidden="1">
      <c r="A71" s="3204"/>
      <c r="B71" s="1805" t="s">
        <v>313</v>
      </c>
      <c r="C71" s="1441">
        <f ca="1">SUM($J$4:J71)</f>
        <v>11</v>
      </c>
      <c r="D71" s="1443" t="e">
        <f t="shared" si="15"/>
        <v>#N/A</v>
      </c>
      <c r="E71" s="1445" t="e">
        <f t="shared" si="16"/>
        <v>#N/A</v>
      </c>
      <c r="F71" s="1445">
        <f t="shared" ca="1" si="17"/>
        <v>0</v>
      </c>
      <c r="G71" s="1445">
        <f t="shared" ca="1" si="18"/>
        <v>0</v>
      </c>
      <c r="H71" s="1445">
        <f>VLOOKUP($D$1,Solieu!A:C,2,0)</f>
        <v>4</v>
      </c>
      <c r="I71" s="1440"/>
      <c r="J71" s="1282" t="str">
        <f t="shared" ca="1" si="19"/>
        <v/>
      </c>
    </row>
    <row r="72" spans="1:10" hidden="1">
      <c r="A72" s="3204"/>
      <c r="B72" s="1805" t="s">
        <v>2264</v>
      </c>
      <c r="C72" s="1441">
        <f ca="1">SUM($J$4:J72)</f>
        <v>11</v>
      </c>
      <c r="D72" s="1443" t="e">
        <f t="shared" si="15"/>
        <v>#N/A</v>
      </c>
      <c r="E72" s="1445" t="e">
        <f t="shared" si="16"/>
        <v>#N/A</v>
      </c>
      <c r="F72" s="1445">
        <f t="shared" ca="1" si="17"/>
        <v>0</v>
      </c>
      <c r="G72" s="1445">
        <f t="shared" ca="1" si="18"/>
        <v>0</v>
      </c>
      <c r="H72" s="1445">
        <f>VLOOKUP($D$1,Solieu!A:C,2,0)</f>
        <v>4</v>
      </c>
      <c r="I72" s="1440"/>
      <c r="J72" s="1282" t="str">
        <f t="shared" ca="1" si="19"/>
        <v/>
      </c>
    </row>
    <row r="73" spans="1:10" hidden="1">
      <c r="A73" s="3204"/>
      <c r="B73" s="1805" t="s">
        <v>1432</v>
      </c>
      <c r="C73" s="1441">
        <f ca="1">SUM($J$4:J73)</f>
        <v>11</v>
      </c>
      <c r="D73" s="1443" t="e">
        <f t="shared" si="15"/>
        <v>#N/A</v>
      </c>
      <c r="E73" s="1445" t="e">
        <f t="shared" si="16"/>
        <v>#N/A</v>
      </c>
      <c r="F73" s="1445">
        <f t="shared" ca="1" si="17"/>
        <v>0</v>
      </c>
      <c r="G73" s="1445">
        <f t="shared" ca="1" si="18"/>
        <v>0</v>
      </c>
      <c r="H73" s="1445">
        <f>VLOOKUP($D$1,Solieu!A:C,2,0)</f>
        <v>4</v>
      </c>
      <c r="I73" s="1440"/>
      <c r="J73" s="1282" t="str">
        <f t="shared" ca="1" si="19"/>
        <v/>
      </c>
    </row>
    <row r="74" spans="1:10" hidden="1">
      <c r="B74" s="1505" t="s">
        <v>1431</v>
      </c>
      <c r="C74" s="1974">
        <f ca="1">SUM($J$4:J74)</f>
        <v>11</v>
      </c>
      <c r="D74" s="1443" t="e">
        <f t="shared" ref="D74:D76" si="20">VLOOKUP(B74,KhoiLuong,5,0)</f>
        <v>#N/A</v>
      </c>
      <c r="E74" s="1445" t="e">
        <f t="shared" ref="E74:E76" si="21">VLOOKUP(B74,KhoiLuong,6,0)</f>
        <v>#N/A</v>
      </c>
      <c r="F74" s="1445">
        <f t="shared" ref="F74:F76" ca="1" si="22">IF(B74&lt;&gt;0,SUMIF(KhoiLuong,B74,DuToan),0)</f>
        <v>0</v>
      </c>
      <c r="G74" s="1445">
        <f t="shared" ref="G74:G76" ca="1" si="23">IF(B74&lt;&gt;0,SUMIF(KhoiLuong,B74,ThiCong),0)</f>
        <v>0</v>
      </c>
      <c r="H74" s="1445">
        <f>VLOOKUP($D$1,Solieu!A:C,2,0)</f>
        <v>4</v>
      </c>
      <c r="I74" s="1975"/>
      <c r="J74" s="1282" t="str">
        <f t="shared" ca="1" si="19"/>
        <v/>
      </c>
    </row>
    <row r="75" spans="1:10" hidden="1">
      <c r="B75" s="1505" t="s">
        <v>2225</v>
      </c>
      <c r="C75" s="1974">
        <f ca="1">SUM($J$4:J75)</f>
        <v>11</v>
      </c>
      <c r="D75" s="1443" t="e">
        <f t="shared" si="20"/>
        <v>#N/A</v>
      </c>
      <c r="E75" s="1445" t="e">
        <f t="shared" si="21"/>
        <v>#N/A</v>
      </c>
      <c r="F75" s="1445">
        <f t="shared" ca="1" si="22"/>
        <v>0</v>
      </c>
      <c r="G75" s="1445">
        <f t="shared" ca="1" si="23"/>
        <v>0</v>
      </c>
      <c r="H75" s="1445">
        <f>VLOOKUP($D$1,Solieu!A:C,2,0)</f>
        <v>4</v>
      </c>
      <c r="I75" s="1975"/>
      <c r="J75" s="1282" t="str">
        <f t="shared" ca="1" si="19"/>
        <v/>
      </c>
    </row>
    <row r="76" spans="1:10" hidden="1">
      <c r="B76" s="1505" t="s">
        <v>1156</v>
      </c>
      <c r="C76" s="1974">
        <f ca="1">SUM($J$4:J76)</f>
        <v>11</v>
      </c>
      <c r="D76" s="1443" t="e">
        <f t="shared" si="20"/>
        <v>#N/A</v>
      </c>
      <c r="E76" s="1445" t="e">
        <f t="shared" si="21"/>
        <v>#N/A</v>
      </c>
      <c r="F76" s="1445">
        <f t="shared" ca="1" si="22"/>
        <v>0</v>
      </c>
      <c r="G76" s="1445">
        <f t="shared" ca="1" si="23"/>
        <v>0</v>
      </c>
      <c r="H76" s="1445">
        <f>VLOOKUP($D$1,Solieu!A:C,2,0)</f>
        <v>4</v>
      </c>
      <c r="I76" s="1975"/>
      <c r="J76" s="1282" t="str">
        <f t="shared" ca="1" si="19"/>
        <v/>
      </c>
    </row>
    <row r="77" spans="1:10" hidden="1">
      <c r="B77" s="1505" t="s">
        <v>1157</v>
      </c>
      <c r="C77" s="1974">
        <f ca="1">SUM($J$4:J77)</f>
        <v>11</v>
      </c>
      <c r="D77" s="1443" t="e">
        <f t="shared" ref="D77:D121" si="24">VLOOKUP(B77,KhoiLuong,5,0)</f>
        <v>#N/A</v>
      </c>
      <c r="E77" s="1445" t="e">
        <f t="shared" ref="E77:E121" si="25">VLOOKUP(B77,KhoiLuong,6,0)</f>
        <v>#N/A</v>
      </c>
      <c r="F77" s="1445">
        <f t="shared" ref="F77:F121" ca="1" si="26">IF(B77&lt;&gt;0,SUMIF(KhoiLuong,B77,DuToan),0)</f>
        <v>0</v>
      </c>
      <c r="G77" s="1445">
        <f t="shared" ref="G77:G121" ca="1" si="27">IF(B77&lt;&gt;0,SUMIF(KhoiLuong,B77,ThiCong),0)</f>
        <v>0</v>
      </c>
      <c r="H77" s="1445">
        <f>VLOOKUP($D$1,Solieu!A:C,2,0)</f>
        <v>4</v>
      </c>
      <c r="I77" s="1975"/>
      <c r="J77" s="1282" t="str">
        <f t="shared" ca="1" si="19"/>
        <v/>
      </c>
    </row>
    <row r="78" spans="1:10" hidden="1">
      <c r="B78" s="1505" t="s">
        <v>1382</v>
      </c>
      <c r="C78" s="1974">
        <f ca="1">SUM($J$4:J78)</f>
        <v>11</v>
      </c>
      <c r="D78" s="1443" t="e">
        <f t="shared" si="24"/>
        <v>#N/A</v>
      </c>
      <c r="E78" s="1445" t="e">
        <f t="shared" si="25"/>
        <v>#N/A</v>
      </c>
      <c r="F78" s="1445">
        <f t="shared" ca="1" si="26"/>
        <v>0</v>
      </c>
      <c r="G78" s="1445">
        <f t="shared" ca="1" si="27"/>
        <v>0</v>
      </c>
      <c r="H78" s="1445">
        <f>VLOOKUP($D$1,Solieu!A:C,2,0)</f>
        <v>4</v>
      </c>
      <c r="I78" s="1975"/>
      <c r="J78" s="1282" t="str">
        <f t="shared" ca="1" si="19"/>
        <v/>
      </c>
    </row>
    <row r="79" spans="1:10" hidden="1">
      <c r="B79" s="1506" t="s">
        <v>887</v>
      </c>
      <c r="C79" s="1974">
        <f ca="1">SUM($J$4:J79)</f>
        <v>11</v>
      </c>
      <c r="D79" s="1443" t="e">
        <f t="shared" si="24"/>
        <v>#N/A</v>
      </c>
      <c r="E79" s="1445" t="e">
        <f t="shared" si="25"/>
        <v>#N/A</v>
      </c>
      <c r="F79" s="1445">
        <f t="shared" ca="1" si="26"/>
        <v>0</v>
      </c>
      <c r="G79" s="1445">
        <f t="shared" ca="1" si="27"/>
        <v>0</v>
      </c>
      <c r="H79" s="1445">
        <f>VLOOKUP($D$1,Solieu!A:C,2,0)</f>
        <v>4</v>
      </c>
      <c r="I79" s="1975"/>
      <c r="J79" s="1282" t="str">
        <f t="shared" ca="1" si="19"/>
        <v/>
      </c>
    </row>
    <row r="80" spans="1:10" hidden="1">
      <c r="B80" s="1505" t="s">
        <v>628</v>
      </c>
      <c r="C80" s="1974">
        <f ca="1">SUM($J$4:J80)</f>
        <v>11</v>
      </c>
      <c r="D80" s="1443" t="e">
        <f t="shared" si="24"/>
        <v>#N/A</v>
      </c>
      <c r="E80" s="1445" t="e">
        <f t="shared" si="25"/>
        <v>#N/A</v>
      </c>
      <c r="F80" s="1445">
        <f t="shared" ca="1" si="26"/>
        <v>0</v>
      </c>
      <c r="G80" s="1445">
        <f t="shared" ca="1" si="27"/>
        <v>0</v>
      </c>
      <c r="H80" s="1445">
        <f>VLOOKUP($D$1,Solieu!A:C,2,0)</f>
        <v>4</v>
      </c>
      <c r="I80" s="1975"/>
      <c r="J80" s="1282" t="str">
        <f t="shared" ca="1" si="19"/>
        <v/>
      </c>
    </row>
    <row r="81" spans="2:10" hidden="1">
      <c r="B81" s="1505" t="s">
        <v>615</v>
      </c>
      <c r="C81" s="1974">
        <f ca="1">SUM($J$4:J81)</f>
        <v>11</v>
      </c>
      <c r="D81" s="1443" t="e">
        <f t="shared" si="24"/>
        <v>#N/A</v>
      </c>
      <c r="E81" s="1445" t="e">
        <f t="shared" si="25"/>
        <v>#N/A</v>
      </c>
      <c r="F81" s="1445">
        <f t="shared" ca="1" si="26"/>
        <v>0</v>
      </c>
      <c r="G81" s="1445">
        <f t="shared" ca="1" si="27"/>
        <v>0</v>
      </c>
      <c r="H81" s="1445">
        <f>VLOOKUP($D$1,Solieu!A:C,2,0)</f>
        <v>4</v>
      </c>
      <c r="I81" s="1975"/>
      <c r="J81" s="1282" t="str">
        <f t="shared" ca="1" si="19"/>
        <v/>
      </c>
    </row>
    <row r="82" spans="2:10" hidden="1">
      <c r="B82" s="1505" t="s">
        <v>1024</v>
      </c>
      <c r="C82" s="1974">
        <f ca="1">SUM($J$4:J82)</f>
        <v>11</v>
      </c>
      <c r="D82" s="1443" t="e">
        <f t="shared" si="24"/>
        <v>#N/A</v>
      </c>
      <c r="E82" s="1445" t="e">
        <f t="shared" si="25"/>
        <v>#N/A</v>
      </c>
      <c r="F82" s="1445">
        <f t="shared" ca="1" si="26"/>
        <v>0</v>
      </c>
      <c r="G82" s="1445">
        <f t="shared" ca="1" si="27"/>
        <v>0</v>
      </c>
      <c r="H82" s="1445">
        <f>VLOOKUP($D$1,Solieu!A:C,2,0)</f>
        <v>4</v>
      </c>
      <c r="I82" s="1975"/>
      <c r="J82" s="1282" t="str">
        <f t="shared" ca="1" si="19"/>
        <v/>
      </c>
    </row>
    <row r="83" spans="2:10" hidden="1">
      <c r="B83" s="1505" t="s">
        <v>838</v>
      </c>
      <c r="C83" s="1974">
        <f ca="1">SUM($J$4:J83)</f>
        <v>11</v>
      </c>
      <c r="D83" s="1443" t="e">
        <f t="shared" si="24"/>
        <v>#N/A</v>
      </c>
      <c r="E83" s="1445" t="e">
        <f t="shared" si="25"/>
        <v>#N/A</v>
      </c>
      <c r="F83" s="1445">
        <f t="shared" ca="1" si="26"/>
        <v>0</v>
      </c>
      <c r="G83" s="1445">
        <f t="shared" ca="1" si="27"/>
        <v>0</v>
      </c>
      <c r="H83" s="1445">
        <f>VLOOKUP($D$1,Solieu!A:C,2,0)</f>
        <v>4</v>
      </c>
      <c r="I83" s="1975"/>
      <c r="J83" s="1282" t="str">
        <f t="shared" ca="1" si="19"/>
        <v/>
      </c>
    </row>
    <row r="84" spans="2:10">
      <c r="B84" s="1505" t="s">
        <v>1919</v>
      </c>
      <c r="C84" s="1974">
        <f ca="1">SUM($J$4:J84)</f>
        <v>12</v>
      </c>
      <c r="D84" s="1443" t="str">
        <f t="shared" si="24"/>
        <v>Thùng điện kế 450x300x200mm đo đếm trung thế</v>
      </c>
      <c r="E84" s="1445" t="str">
        <f t="shared" si="25"/>
        <v>cái</v>
      </c>
      <c r="F84" s="1445">
        <f t="shared" ca="1" si="26"/>
        <v>1</v>
      </c>
      <c r="G84" s="1445">
        <f t="shared" ca="1" si="27"/>
        <v>1</v>
      </c>
      <c r="H84" s="1445">
        <f>VLOOKUP($D$1,Solieu!A:C,2,0)</f>
        <v>4</v>
      </c>
      <c r="I84" s="1975"/>
      <c r="J84" s="1282">
        <f t="shared" ca="1" si="19"/>
        <v>1</v>
      </c>
    </row>
    <row r="85" spans="2:10" hidden="1">
      <c r="B85" s="1505" t="s">
        <v>1026</v>
      </c>
      <c r="C85" s="1974">
        <f ca="1">SUM($J$4:J85)</f>
        <v>12</v>
      </c>
      <c r="D85" s="1443" t="e">
        <f t="shared" si="24"/>
        <v>#N/A</v>
      </c>
      <c r="E85" s="1445" t="e">
        <f t="shared" si="25"/>
        <v>#N/A</v>
      </c>
      <c r="F85" s="1445">
        <f t="shared" ca="1" si="26"/>
        <v>0</v>
      </c>
      <c r="G85" s="1445">
        <f t="shared" ca="1" si="27"/>
        <v>0</v>
      </c>
      <c r="H85" s="1445">
        <f>VLOOKUP($D$1,Solieu!A:C,2,0)</f>
        <v>4</v>
      </c>
      <c r="I85" s="1975"/>
      <c r="J85" s="1282" t="str">
        <f t="shared" ca="1" si="19"/>
        <v/>
      </c>
    </row>
    <row r="86" spans="2:10" hidden="1">
      <c r="B86" s="1505" t="s">
        <v>1507</v>
      </c>
      <c r="C86" s="1974">
        <f ca="1">SUM($J$4:J86)</f>
        <v>12</v>
      </c>
      <c r="D86" s="1443" t="e">
        <f t="shared" si="24"/>
        <v>#N/A</v>
      </c>
      <c r="E86" s="1445" t="e">
        <f t="shared" si="25"/>
        <v>#N/A</v>
      </c>
      <c r="F86" s="1445">
        <f t="shared" ca="1" si="26"/>
        <v>0</v>
      </c>
      <c r="G86" s="1445">
        <f t="shared" ca="1" si="27"/>
        <v>0</v>
      </c>
      <c r="H86" s="1445">
        <f>VLOOKUP($D$1,Solieu!A:C,2,0)</f>
        <v>4</v>
      </c>
      <c r="I86" s="1975"/>
      <c r="J86" s="1282" t="str">
        <f t="shared" ca="1" si="19"/>
        <v/>
      </c>
    </row>
    <row r="87" spans="2:10" hidden="1">
      <c r="B87" s="1505" t="s">
        <v>917</v>
      </c>
      <c r="C87" s="1974">
        <f ca="1">SUM($J$4:J87)</f>
        <v>12</v>
      </c>
      <c r="D87" s="1443" t="e">
        <f t="shared" si="24"/>
        <v>#N/A</v>
      </c>
      <c r="E87" s="1445" t="e">
        <f t="shared" si="25"/>
        <v>#N/A</v>
      </c>
      <c r="F87" s="1445">
        <f t="shared" ca="1" si="26"/>
        <v>0</v>
      </c>
      <c r="G87" s="1445">
        <f t="shared" ca="1" si="27"/>
        <v>0</v>
      </c>
      <c r="H87" s="1445">
        <f>VLOOKUP($D$1,Solieu!A:C,2,0)</f>
        <v>4</v>
      </c>
      <c r="I87" s="1975"/>
      <c r="J87" s="1282" t="str">
        <f t="shared" ca="1" si="19"/>
        <v/>
      </c>
    </row>
    <row r="88" spans="2:10" hidden="1">
      <c r="B88" s="1505" t="s">
        <v>1000</v>
      </c>
      <c r="C88" s="1974">
        <f ca="1">SUM($J$4:J88)</f>
        <v>12</v>
      </c>
      <c r="D88" s="1443" t="e">
        <f t="shared" si="24"/>
        <v>#N/A</v>
      </c>
      <c r="E88" s="1445" t="e">
        <f t="shared" si="25"/>
        <v>#N/A</v>
      </c>
      <c r="F88" s="1445">
        <f t="shared" ca="1" si="26"/>
        <v>0</v>
      </c>
      <c r="G88" s="1445">
        <f t="shared" ca="1" si="27"/>
        <v>0</v>
      </c>
      <c r="H88" s="1445">
        <f>VLOOKUP($D$1,Solieu!A:C,2,0)</f>
        <v>4</v>
      </c>
      <c r="I88" s="1975"/>
      <c r="J88" s="1282" t="str">
        <f t="shared" ca="1" si="19"/>
        <v/>
      </c>
    </row>
    <row r="89" spans="2:10" hidden="1">
      <c r="B89" s="1505" t="s">
        <v>1590</v>
      </c>
      <c r="C89" s="1974">
        <f ca="1">SUM($J$4:J89)</f>
        <v>12</v>
      </c>
      <c r="D89" s="1443" t="e">
        <f t="shared" si="24"/>
        <v>#N/A</v>
      </c>
      <c r="E89" s="1445" t="e">
        <f t="shared" si="25"/>
        <v>#N/A</v>
      </c>
      <c r="F89" s="1445">
        <f t="shared" ca="1" si="26"/>
        <v>0</v>
      </c>
      <c r="G89" s="1445">
        <f t="shared" ca="1" si="27"/>
        <v>0</v>
      </c>
      <c r="H89" s="1445">
        <f>VLOOKUP($D$1,Solieu!A:C,2,0)</f>
        <v>4</v>
      </c>
      <c r="I89" s="1975"/>
      <c r="J89" s="1282" t="str">
        <f t="shared" ca="1" si="19"/>
        <v/>
      </c>
    </row>
    <row r="90" spans="2:10" hidden="1">
      <c r="B90" s="1505" t="s">
        <v>5036</v>
      </c>
      <c r="C90" s="1974">
        <f ca="1">SUM($J$4:J90)</f>
        <v>12</v>
      </c>
      <c r="D90" s="1443" t="e">
        <f t="shared" si="24"/>
        <v>#N/A</v>
      </c>
      <c r="E90" s="1445" t="e">
        <f t="shared" si="25"/>
        <v>#N/A</v>
      </c>
      <c r="F90" s="1445">
        <f t="shared" ca="1" si="26"/>
        <v>0</v>
      </c>
      <c r="G90" s="1445">
        <f t="shared" ca="1" si="27"/>
        <v>0</v>
      </c>
      <c r="H90" s="1445">
        <f>VLOOKUP($D$1,Solieu!A:C,2,0)</f>
        <v>4</v>
      </c>
      <c r="I90" s="1975"/>
      <c r="J90" s="1282" t="str">
        <f t="shared" ca="1" si="19"/>
        <v/>
      </c>
    </row>
    <row r="91" spans="2:10" hidden="1">
      <c r="B91" s="1505" t="s">
        <v>1136</v>
      </c>
      <c r="C91" s="1974">
        <f ca="1">SUM($J$4:J91)</f>
        <v>12</v>
      </c>
      <c r="D91" s="1443" t="e">
        <f t="shared" si="24"/>
        <v>#N/A</v>
      </c>
      <c r="E91" s="1445" t="e">
        <f t="shared" si="25"/>
        <v>#N/A</v>
      </c>
      <c r="F91" s="1445">
        <f t="shared" ca="1" si="26"/>
        <v>0</v>
      </c>
      <c r="G91" s="1445">
        <f t="shared" ca="1" si="27"/>
        <v>0</v>
      </c>
      <c r="H91" s="1445">
        <f>VLOOKUP($D$1,Solieu!A:C,2,0)</f>
        <v>4</v>
      </c>
      <c r="I91" s="1975"/>
      <c r="J91" s="1282" t="str">
        <f t="shared" ca="1" si="19"/>
        <v/>
      </c>
    </row>
    <row r="92" spans="2:10" hidden="1">
      <c r="B92" s="1505" t="s">
        <v>1411</v>
      </c>
      <c r="C92" s="1974">
        <f ca="1">SUM($J$4:J92)</f>
        <v>12</v>
      </c>
      <c r="D92" s="1443" t="e">
        <f t="shared" si="24"/>
        <v>#N/A</v>
      </c>
      <c r="E92" s="1445" t="e">
        <f t="shared" si="25"/>
        <v>#N/A</v>
      </c>
      <c r="F92" s="1445">
        <f t="shared" ca="1" si="26"/>
        <v>0</v>
      </c>
      <c r="G92" s="1445">
        <f t="shared" ca="1" si="27"/>
        <v>0</v>
      </c>
      <c r="H92" s="1445">
        <f>VLOOKUP($D$1,Solieu!A:C,2,0)</f>
        <v>4</v>
      </c>
      <c r="I92" s="1975"/>
      <c r="J92" s="1282" t="str">
        <f t="shared" ca="1" si="19"/>
        <v/>
      </c>
    </row>
    <row r="93" spans="2:10" hidden="1">
      <c r="B93" s="1505" t="s">
        <v>1138</v>
      </c>
      <c r="C93" s="1974">
        <f ca="1">SUM($J$4:J93)</f>
        <v>12</v>
      </c>
      <c r="D93" s="1443" t="e">
        <f t="shared" si="24"/>
        <v>#N/A</v>
      </c>
      <c r="E93" s="1445" t="e">
        <f t="shared" si="25"/>
        <v>#N/A</v>
      </c>
      <c r="F93" s="1445">
        <f t="shared" ca="1" si="26"/>
        <v>0</v>
      </c>
      <c r="G93" s="1445">
        <f t="shared" ca="1" si="27"/>
        <v>0</v>
      </c>
      <c r="H93" s="1445">
        <f>VLOOKUP($D$1,Solieu!A:C,2,0)</f>
        <v>4</v>
      </c>
      <c r="I93" s="1975"/>
      <c r="J93" s="1282" t="str">
        <f t="shared" ca="1" si="19"/>
        <v/>
      </c>
    </row>
    <row r="94" spans="2:10" hidden="1">
      <c r="B94" s="1505" t="s">
        <v>1137</v>
      </c>
      <c r="C94" s="1974">
        <f ca="1">SUM($J$4:J94)</f>
        <v>12</v>
      </c>
      <c r="D94" s="1443" t="e">
        <f t="shared" si="24"/>
        <v>#N/A</v>
      </c>
      <c r="E94" s="1445" t="e">
        <f t="shared" si="25"/>
        <v>#N/A</v>
      </c>
      <c r="F94" s="1445">
        <f t="shared" ca="1" si="26"/>
        <v>0</v>
      </c>
      <c r="G94" s="1445">
        <f t="shared" ca="1" si="27"/>
        <v>0</v>
      </c>
      <c r="H94" s="1445">
        <f>VLOOKUP($D$1,Solieu!A:C,2,0)</f>
        <v>4</v>
      </c>
      <c r="I94" s="1975"/>
      <c r="J94" s="1282" t="str">
        <f t="shared" ca="1" si="19"/>
        <v/>
      </c>
    </row>
    <row r="95" spans="2:10" hidden="1">
      <c r="B95" s="1505" t="s">
        <v>4868</v>
      </c>
      <c r="C95" s="1974">
        <f ca="1">SUM($J$4:J95)</f>
        <v>12</v>
      </c>
      <c r="D95" s="1443" t="e">
        <f t="shared" si="24"/>
        <v>#N/A</v>
      </c>
      <c r="E95" s="1445" t="e">
        <f t="shared" si="25"/>
        <v>#N/A</v>
      </c>
      <c r="F95" s="1445">
        <f t="shared" ca="1" si="26"/>
        <v>0</v>
      </c>
      <c r="G95" s="1445">
        <f t="shared" ca="1" si="27"/>
        <v>0</v>
      </c>
      <c r="H95" s="1445">
        <f>VLOOKUP($D$1,Solieu!A:C,2,0)</f>
        <v>4</v>
      </c>
      <c r="I95" s="1975"/>
      <c r="J95" s="1282" t="str">
        <f t="shared" ca="1" si="19"/>
        <v/>
      </c>
    </row>
    <row r="96" spans="2:10" hidden="1">
      <c r="B96" s="1505" t="s">
        <v>4869</v>
      </c>
      <c r="C96" s="1974">
        <f ca="1">SUM($J$4:J96)</f>
        <v>12</v>
      </c>
      <c r="D96" s="1443" t="e">
        <f t="shared" si="24"/>
        <v>#N/A</v>
      </c>
      <c r="E96" s="1445" t="e">
        <f t="shared" si="25"/>
        <v>#N/A</v>
      </c>
      <c r="F96" s="1445">
        <f t="shared" ca="1" si="26"/>
        <v>0</v>
      </c>
      <c r="G96" s="1445">
        <f t="shared" ca="1" si="27"/>
        <v>0</v>
      </c>
      <c r="H96" s="1445">
        <f>VLOOKUP($D$1,Solieu!A:C,2,0)</f>
        <v>4</v>
      </c>
      <c r="I96" s="1975"/>
      <c r="J96" s="1282" t="str">
        <f t="shared" ca="1" si="19"/>
        <v/>
      </c>
    </row>
    <row r="97" spans="2:10" hidden="1">
      <c r="B97" s="1505" t="s">
        <v>4870</v>
      </c>
      <c r="C97" s="1974">
        <f ca="1">SUM($J$4:J97)</f>
        <v>12</v>
      </c>
      <c r="D97" s="1443" t="e">
        <f t="shared" si="24"/>
        <v>#N/A</v>
      </c>
      <c r="E97" s="1445" t="e">
        <f t="shared" si="25"/>
        <v>#N/A</v>
      </c>
      <c r="F97" s="1445">
        <f t="shared" ca="1" si="26"/>
        <v>0</v>
      </c>
      <c r="G97" s="1445">
        <f t="shared" ca="1" si="27"/>
        <v>0</v>
      </c>
      <c r="H97" s="1445">
        <f>VLOOKUP($D$1,Solieu!A:C,2,0)</f>
        <v>4</v>
      </c>
      <c r="I97" s="1975"/>
      <c r="J97" s="1282" t="str">
        <f t="shared" ca="1" si="19"/>
        <v/>
      </c>
    </row>
    <row r="98" spans="2:10" hidden="1">
      <c r="B98" s="1505" t="s">
        <v>4871</v>
      </c>
      <c r="C98" s="1974">
        <f ca="1">SUM($J$4:J98)</f>
        <v>12</v>
      </c>
      <c r="D98" s="1443" t="e">
        <f t="shared" si="24"/>
        <v>#N/A</v>
      </c>
      <c r="E98" s="1445" t="e">
        <f t="shared" si="25"/>
        <v>#N/A</v>
      </c>
      <c r="F98" s="1445">
        <f t="shared" ca="1" si="26"/>
        <v>0</v>
      </c>
      <c r="G98" s="1445">
        <f t="shared" ca="1" si="27"/>
        <v>0</v>
      </c>
      <c r="H98" s="1445">
        <f>VLOOKUP($D$1,Solieu!A:C,2,0)</f>
        <v>4</v>
      </c>
      <c r="I98" s="1975"/>
      <c r="J98" s="1282" t="str">
        <f t="shared" ca="1" si="19"/>
        <v/>
      </c>
    </row>
    <row r="99" spans="2:10" hidden="1">
      <c r="B99" s="1505" t="s">
        <v>4872</v>
      </c>
      <c r="C99" s="1974">
        <f ca="1">SUM($J$4:J99)</f>
        <v>12</v>
      </c>
      <c r="D99" s="1443" t="e">
        <f t="shared" si="24"/>
        <v>#N/A</v>
      </c>
      <c r="E99" s="1445" t="e">
        <f t="shared" si="25"/>
        <v>#N/A</v>
      </c>
      <c r="F99" s="1445">
        <f t="shared" ca="1" si="26"/>
        <v>0</v>
      </c>
      <c r="G99" s="1445">
        <f t="shared" ca="1" si="27"/>
        <v>0</v>
      </c>
      <c r="H99" s="1445">
        <f>VLOOKUP($D$1,Solieu!A:C,2,0)</f>
        <v>4</v>
      </c>
      <c r="I99" s="1975"/>
      <c r="J99" s="1282" t="str">
        <f t="shared" ca="1" si="19"/>
        <v/>
      </c>
    </row>
    <row r="100" spans="2:10" hidden="1">
      <c r="B100" s="1505" t="s">
        <v>4873</v>
      </c>
      <c r="C100" s="1974">
        <f ca="1">SUM($J$4:J100)</f>
        <v>12</v>
      </c>
      <c r="D100" s="1443" t="e">
        <f t="shared" si="24"/>
        <v>#N/A</v>
      </c>
      <c r="E100" s="1445" t="e">
        <f t="shared" si="25"/>
        <v>#N/A</v>
      </c>
      <c r="F100" s="1445">
        <f t="shared" ca="1" si="26"/>
        <v>0</v>
      </c>
      <c r="G100" s="1445">
        <f t="shared" ca="1" si="27"/>
        <v>0</v>
      </c>
      <c r="H100" s="1445">
        <f>VLOOKUP($D$1,Solieu!A:C,2,0)</f>
        <v>4</v>
      </c>
      <c r="I100" s="1975"/>
      <c r="J100" s="1282" t="str">
        <f t="shared" ca="1" si="19"/>
        <v/>
      </c>
    </row>
    <row r="101" spans="2:10" hidden="1">
      <c r="B101" s="1505" t="s">
        <v>4874</v>
      </c>
      <c r="C101" s="1974">
        <f ca="1">SUM($J$4:J101)</f>
        <v>12</v>
      </c>
      <c r="D101" s="1443" t="e">
        <f t="shared" si="24"/>
        <v>#N/A</v>
      </c>
      <c r="E101" s="1445" t="e">
        <f t="shared" si="25"/>
        <v>#N/A</v>
      </c>
      <c r="F101" s="1445">
        <f t="shared" ca="1" si="26"/>
        <v>0</v>
      </c>
      <c r="G101" s="1445">
        <f t="shared" ca="1" si="27"/>
        <v>0</v>
      </c>
      <c r="H101" s="1445">
        <f>VLOOKUP($D$1,Solieu!A:C,2,0)</f>
        <v>4</v>
      </c>
      <c r="I101" s="1975"/>
      <c r="J101" s="1282" t="str">
        <f t="shared" ca="1" si="19"/>
        <v/>
      </c>
    </row>
    <row r="102" spans="2:10" hidden="1">
      <c r="B102" s="1505" t="s">
        <v>2512</v>
      </c>
      <c r="C102" s="1974">
        <f ca="1">SUM($J$4:J102)</f>
        <v>12</v>
      </c>
      <c r="D102" s="1443" t="e">
        <f t="shared" si="24"/>
        <v>#N/A</v>
      </c>
      <c r="E102" s="1445" t="e">
        <f t="shared" si="25"/>
        <v>#N/A</v>
      </c>
      <c r="F102" s="1445">
        <f t="shared" ca="1" si="26"/>
        <v>0</v>
      </c>
      <c r="G102" s="1445">
        <f t="shared" ca="1" si="27"/>
        <v>0</v>
      </c>
      <c r="H102" s="1445">
        <f>VLOOKUP($D$1,Solieu!A:C,2,0)</f>
        <v>4</v>
      </c>
      <c r="I102" s="1975"/>
      <c r="J102" s="1282" t="str">
        <f t="shared" ca="1" si="19"/>
        <v/>
      </c>
    </row>
    <row r="103" spans="2:10" hidden="1">
      <c r="B103" s="1505" t="s">
        <v>2514</v>
      </c>
      <c r="C103" s="1974">
        <f ca="1">SUM($J$4:J103)</f>
        <v>12</v>
      </c>
      <c r="D103" s="1443" t="e">
        <f t="shared" si="24"/>
        <v>#N/A</v>
      </c>
      <c r="E103" s="1445" t="e">
        <f t="shared" si="25"/>
        <v>#N/A</v>
      </c>
      <c r="F103" s="1445">
        <f t="shared" ca="1" si="26"/>
        <v>0</v>
      </c>
      <c r="G103" s="1445">
        <f t="shared" ca="1" si="27"/>
        <v>0</v>
      </c>
      <c r="H103" s="1445">
        <f>VLOOKUP($D$1,Solieu!A:C,2,0)</f>
        <v>4</v>
      </c>
      <c r="I103" s="1975"/>
      <c r="J103" s="1282" t="str">
        <f t="shared" ca="1" si="19"/>
        <v/>
      </c>
    </row>
    <row r="104" spans="2:10" hidden="1">
      <c r="B104" s="1505" t="s">
        <v>2516</v>
      </c>
      <c r="C104" s="1974">
        <f ca="1">SUM($J$4:J104)</f>
        <v>12</v>
      </c>
      <c r="D104" s="1443" t="e">
        <f t="shared" si="24"/>
        <v>#N/A</v>
      </c>
      <c r="E104" s="1445" t="e">
        <f t="shared" si="25"/>
        <v>#N/A</v>
      </c>
      <c r="F104" s="1445">
        <f t="shared" ca="1" si="26"/>
        <v>0</v>
      </c>
      <c r="G104" s="1445">
        <f t="shared" ca="1" si="27"/>
        <v>0</v>
      </c>
      <c r="H104" s="1445">
        <f>VLOOKUP($D$1,Solieu!A:C,2,0)</f>
        <v>4</v>
      </c>
      <c r="I104" s="1975"/>
      <c r="J104" s="1282" t="str">
        <f t="shared" ca="1" si="19"/>
        <v/>
      </c>
    </row>
    <row r="105" spans="2:10" hidden="1">
      <c r="B105" s="1505" t="s">
        <v>2519</v>
      </c>
      <c r="C105" s="1974">
        <f ca="1">SUM($J$4:J105)</f>
        <v>12</v>
      </c>
      <c r="D105" s="1443" t="e">
        <f t="shared" si="24"/>
        <v>#N/A</v>
      </c>
      <c r="E105" s="1445" t="e">
        <f t="shared" si="25"/>
        <v>#N/A</v>
      </c>
      <c r="F105" s="1445">
        <f t="shared" ca="1" si="26"/>
        <v>0</v>
      </c>
      <c r="G105" s="1445">
        <f t="shared" ca="1" si="27"/>
        <v>0</v>
      </c>
      <c r="H105" s="1445">
        <f>VLOOKUP($D$1,Solieu!A:C,2,0)</f>
        <v>4</v>
      </c>
      <c r="I105" s="1975"/>
      <c r="J105" s="1282" t="str">
        <f t="shared" ca="1" si="19"/>
        <v/>
      </c>
    </row>
    <row r="106" spans="2:10" hidden="1">
      <c r="B106" s="1505" t="s">
        <v>2521</v>
      </c>
      <c r="C106" s="1974">
        <f ca="1">SUM($J$4:J106)</f>
        <v>12</v>
      </c>
      <c r="D106" s="1443" t="e">
        <f t="shared" si="24"/>
        <v>#N/A</v>
      </c>
      <c r="E106" s="1445" t="e">
        <f t="shared" si="25"/>
        <v>#N/A</v>
      </c>
      <c r="F106" s="1445">
        <f t="shared" ca="1" si="26"/>
        <v>0</v>
      </c>
      <c r="G106" s="1445">
        <f t="shared" ca="1" si="27"/>
        <v>0</v>
      </c>
      <c r="H106" s="1445">
        <f>VLOOKUP($D$1,Solieu!A:C,2,0)</f>
        <v>4</v>
      </c>
      <c r="I106" s="1975"/>
      <c r="J106" s="1282" t="str">
        <f t="shared" ca="1" si="19"/>
        <v/>
      </c>
    </row>
    <row r="107" spans="2:10" hidden="1">
      <c r="B107" s="1505" t="s">
        <v>2535</v>
      </c>
      <c r="C107" s="1974">
        <f ca="1">SUM($J$4:J107)</f>
        <v>12</v>
      </c>
      <c r="D107" s="1443" t="e">
        <f t="shared" si="24"/>
        <v>#N/A</v>
      </c>
      <c r="E107" s="1445" t="e">
        <f t="shared" si="25"/>
        <v>#N/A</v>
      </c>
      <c r="F107" s="1445">
        <f t="shared" ca="1" si="26"/>
        <v>0</v>
      </c>
      <c r="G107" s="1445">
        <f t="shared" ca="1" si="27"/>
        <v>0</v>
      </c>
      <c r="H107" s="1445">
        <f>VLOOKUP($D$1,Solieu!A:C,2,0)</f>
        <v>4</v>
      </c>
      <c r="I107" s="1975"/>
      <c r="J107" s="1282" t="str">
        <f t="shared" ca="1" si="19"/>
        <v/>
      </c>
    </row>
    <row r="108" spans="2:10" hidden="1">
      <c r="B108" s="1505" t="s">
        <v>2549</v>
      </c>
      <c r="C108" s="1974">
        <f ca="1">SUM($J$4:J108)</f>
        <v>12</v>
      </c>
      <c r="D108" s="1443" t="e">
        <f t="shared" si="24"/>
        <v>#N/A</v>
      </c>
      <c r="E108" s="1445" t="e">
        <f t="shared" si="25"/>
        <v>#N/A</v>
      </c>
      <c r="F108" s="1445">
        <f t="shared" ca="1" si="26"/>
        <v>0</v>
      </c>
      <c r="G108" s="1445">
        <f t="shared" ca="1" si="27"/>
        <v>0</v>
      </c>
      <c r="H108" s="1445">
        <f>VLOOKUP($D$1,Solieu!A:C,2,0)</f>
        <v>4</v>
      </c>
      <c r="I108" s="1975"/>
      <c r="J108" s="1282" t="str">
        <f t="shared" ca="1" si="19"/>
        <v/>
      </c>
    </row>
    <row r="109" spans="2:10" hidden="1">
      <c r="B109" s="1505" t="s">
        <v>5696</v>
      </c>
      <c r="C109" s="1974">
        <f ca="1">SUM($J$4:J109)</f>
        <v>12</v>
      </c>
      <c r="D109" s="1443" t="e">
        <f t="shared" si="24"/>
        <v>#N/A</v>
      </c>
      <c r="E109" s="1445" t="e">
        <f t="shared" si="25"/>
        <v>#N/A</v>
      </c>
      <c r="F109" s="1445">
        <f t="shared" ca="1" si="26"/>
        <v>0</v>
      </c>
      <c r="G109" s="1445">
        <f t="shared" ca="1" si="27"/>
        <v>0</v>
      </c>
      <c r="H109" s="1445">
        <f>VLOOKUP($D$1,Solieu!A:C,2,0)</f>
        <v>4</v>
      </c>
      <c r="I109" s="1975"/>
      <c r="J109" s="1282" t="str">
        <f t="shared" ca="1" si="19"/>
        <v/>
      </c>
    </row>
    <row r="110" spans="2:10">
      <c r="B110" s="1505" t="s">
        <v>5698</v>
      </c>
      <c r="C110" s="1974">
        <f ca="1">SUM($J$4:J110)</f>
        <v>13</v>
      </c>
      <c r="D110" s="1443" t="str">
        <f t="shared" si="24"/>
        <v>Tủ ACB + thanh cái 2000A</v>
      </c>
      <c r="E110" s="1445" t="str">
        <f t="shared" si="25"/>
        <v>cái</v>
      </c>
      <c r="F110" s="1445">
        <f t="shared" ca="1" si="26"/>
        <v>1</v>
      </c>
      <c r="G110" s="1445">
        <f t="shared" ca="1" si="27"/>
        <v>1</v>
      </c>
      <c r="H110" s="1445">
        <f>VLOOKUP($D$1,Solieu!A:C,2,0)</f>
        <v>4</v>
      </c>
      <c r="I110" s="1975"/>
      <c r="J110" s="1282">
        <f t="shared" ca="1" si="19"/>
        <v>1</v>
      </c>
    </row>
    <row r="111" spans="2:10" hidden="1">
      <c r="B111" s="1505" t="s">
        <v>5700</v>
      </c>
      <c r="C111" s="1974">
        <f ca="1">SUM($J$4:J111)</f>
        <v>13</v>
      </c>
      <c r="D111" s="1443" t="e">
        <f t="shared" si="24"/>
        <v>#N/A</v>
      </c>
      <c r="E111" s="1445" t="e">
        <f t="shared" si="25"/>
        <v>#N/A</v>
      </c>
      <c r="F111" s="1445">
        <f t="shared" ca="1" si="26"/>
        <v>0</v>
      </c>
      <c r="G111" s="1445">
        <f t="shared" ca="1" si="27"/>
        <v>0</v>
      </c>
      <c r="H111" s="1445">
        <f>VLOOKUP($D$1,Solieu!A:C,2,0)</f>
        <v>4</v>
      </c>
      <c r="I111" s="1975"/>
      <c r="J111" s="1282" t="str">
        <f t="shared" ca="1" si="19"/>
        <v/>
      </c>
    </row>
    <row r="112" spans="2:10" hidden="1">
      <c r="B112" s="1505" t="s">
        <v>5703</v>
      </c>
      <c r="C112" s="1974">
        <f ca="1">SUM($J$4:J112)</f>
        <v>13</v>
      </c>
      <c r="D112" s="1443" t="e">
        <f t="shared" si="24"/>
        <v>#N/A</v>
      </c>
      <c r="E112" s="1445" t="e">
        <f t="shared" si="25"/>
        <v>#N/A</v>
      </c>
      <c r="F112" s="1445">
        <f t="shared" ca="1" si="26"/>
        <v>0</v>
      </c>
      <c r="G112" s="1445">
        <f t="shared" ca="1" si="27"/>
        <v>0</v>
      </c>
      <c r="H112" s="1445">
        <f>VLOOKUP($D$1,Solieu!A:C,2,0)</f>
        <v>4</v>
      </c>
      <c r="I112" s="1975"/>
      <c r="J112" s="1282" t="str">
        <f t="shared" ca="1" si="19"/>
        <v/>
      </c>
    </row>
    <row r="113" spans="2:10" hidden="1">
      <c r="B113" s="1505" t="s">
        <v>5705</v>
      </c>
      <c r="C113" s="1974">
        <f ca="1">SUM($J$4:J113)</f>
        <v>13</v>
      </c>
      <c r="D113" s="1443" t="e">
        <f t="shared" si="24"/>
        <v>#N/A</v>
      </c>
      <c r="E113" s="1445" t="e">
        <f t="shared" si="25"/>
        <v>#N/A</v>
      </c>
      <c r="F113" s="1445">
        <f t="shared" ca="1" si="26"/>
        <v>0</v>
      </c>
      <c r="G113" s="1445">
        <f t="shared" ca="1" si="27"/>
        <v>0</v>
      </c>
      <c r="H113" s="1445">
        <f>VLOOKUP($D$1,Solieu!A:C,2,0)</f>
        <v>4</v>
      </c>
      <c r="I113" s="1975"/>
      <c r="J113" s="1282" t="str">
        <f t="shared" ca="1" si="19"/>
        <v/>
      </c>
    </row>
    <row r="114" spans="2:10" hidden="1">
      <c r="B114" s="1505" t="s">
        <v>5707</v>
      </c>
      <c r="C114" s="1974">
        <f ca="1">SUM($J$4:J114)</f>
        <v>13</v>
      </c>
      <c r="D114" s="1443" t="e">
        <f t="shared" si="24"/>
        <v>#N/A</v>
      </c>
      <c r="E114" s="1445" t="e">
        <f t="shared" si="25"/>
        <v>#N/A</v>
      </c>
      <c r="F114" s="1445">
        <f t="shared" ca="1" si="26"/>
        <v>0</v>
      </c>
      <c r="G114" s="1445">
        <f t="shared" ca="1" si="27"/>
        <v>0</v>
      </c>
      <c r="H114" s="1445">
        <f>VLOOKUP($D$1,Solieu!A:C,2,0)</f>
        <v>4</v>
      </c>
      <c r="I114" s="1975"/>
      <c r="J114" s="1282" t="str">
        <f t="shared" ca="1" si="19"/>
        <v/>
      </c>
    </row>
    <row r="115" spans="2:10" hidden="1">
      <c r="B115" s="1505" t="s">
        <v>5709</v>
      </c>
      <c r="C115" s="1974">
        <f ca="1">SUM($J$4:J115)</f>
        <v>13</v>
      </c>
      <c r="D115" s="1443" t="e">
        <f t="shared" si="24"/>
        <v>#N/A</v>
      </c>
      <c r="E115" s="1445" t="e">
        <f t="shared" si="25"/>
        <v>#N/A</v>
      </c>
      <c r="F115" s="1445">
        <f t="shared" ca="1" si="26"/>
        <v>0</v>
      </c>
      <c r="G115" s="1445">
        <f t="shared" ca="1" si="27"/>
        <v>0</v>
      </c>
      <c r="H115" s="1445">
        <f>VLOOKUP($D$1,Solieu!A:C,2,0)</f>
        <v>4</v>
      </c>
      <c r="I115" s="1975"/>
      <c r="J115" s="1282" t="str">
        <f t="shared" ca="1" si="19"/>
        <v/>
      </c>
    </row>
    <row r="116" spans="2:10" hidden="1">
      <c r="B116" s="1505" t="s">
        <v>5711</v>
      </c>
      <c r="C116" s="1974">
        <f ca="1">SUM($J$4:J116)</f>
        <v>13</v>
      </c>
      <c r="D116" s="1443" t="e">
        <f t="shared" si="24"/>
        <v>#N/A</v>
      </c>
      <c r="E116" s="1445" t="e">
        <f t="shared" si="25"/>
        <v>#N/A</v>
      </c>
      <c r="F116" s="1445">
        <f t="shared" ca="1" si="26"/>
        <v>0</v>
      </c>
      <c r="G116" s="1445">
        <f t="shared" ca="1" si="27"/>
        <v>0</v>
      </c>
      <c r="H116" s="1445">
        <f>VLOOKUP($D$1,Solieu!A:C,2,0)</f>
        <v>4</v>
      </c>
      <c r="I116" s="1975"/>
      <c r="J116" s="1282" t="str">
        <f t="shared" ca="1" si="19"/>
        <v/>
      </c>
    </row>
    <row r="117" spans="2:10" hidden="1">
      <c r="B117" s="1505" t="s">
        <v>5713</v>
      </c>
      <c r="C117" s="1974">
        <f ca="1">SUM($J$4:J117)</f>
        <v>13</v>
      </c>
      <c r="D117" s="1443" t="e">
        <f t="shared" si="24"/>
        <v>#N/A</v>
      </c>
      <c r="E117" s="1445" t="e">
        <f t="shared" si="25"/>
        <v>#N/A</v>
      </c>
      <c r="F117" s="1445">
        <f t="shared" ca="1" si="26"/>
        <v>0</v>
      </c>
      <c r="G117" s="1445">
        <f t="shared" ca="1" si="27"/>
        <v>0</v>
      </c>
      <c r="H117" s="1445">
        <f>VLOOKUP($D$1,Solieu!A:C,2,0)</f>
        <v>4</v>
      </c>
      <c r="I117" s="1975"/>
      <c r="J117" s="1282" t="str">
        <f t="shared" ca="1" si="19"/>
        <v/>
      </c>
    </row>
    <row r="118" spans="2:10" hidden="1">
      <c r="B118" s="1505" t="s">
        <v>5715</v>
      </c>
      <c r="C118" s="1974">
        <f ca="1">SUM($J$4:J118)</f>
        <v>13</v>
      </c>
      <c r="D118" s="1443" t="e">
        <f t="shared" si="24"/>
        <v>#N/A</v>
      </c>
      <c r="E118" s="1445" t="e">
        <f t="shared" si="25"/>
        <v>#N/A</v>
      </c>
      <c r="F118" s="1445">
        <f t="shared" ca="1" si="26"/>
        <v>0</v>
      </c>
      <c r="G118" s="1445">
        <f t="shared" ca="1" si="27"/>
        <v>0</v>
      </c>
      <c r="H118" s="1445">
        <f>VLOOKUP($D$1,Solieu!A:C,2,0)</f>
        <v>4</v>
      </c>
      <c r="I118" s="1975"/>
      <c r="J118" s="1282" t="str">
        <f t="shared" ca="1" si="19"/>
        <v/>
      </c>
    </row>
    <row r="119" spans="2:10" hidden="1">
      <c r="B119" s="1505" t="s">
        <v>5716</v>
      </c>
      <c r="C119" s="1974">
        <f ca="1">SUM($J$4:J119)</f>
        <v>13</v>
      </c>
      <c r="D119" s="1443" t="e">
        <f t="shared" si="24"/>
        <v>#N/A</v>
      </c>
      <c r="E119" s="1445" t="e">
        <f t="shared" si="25"/>
        <v>#N/A</v>
      </c>
      <c r="F119" s="1445">
        <f t="shared" ca="1" si="26"/>
        <v>0</v>
      </c>
      <c r="G119" s="1445">
        <f t="shared" ca="1" si="27"/>
        <v>0</v>
      </c>
      <c r="H119" s="1445">
        <f>VLOOKUP($D$1,Solieu!A:C,2,0)</f>
        <v>4</v>
      </c>
      <c r="I119" s="1975"/>
      <c r="J119" s="1282" t="str">
        <f t="shared" ca="1" si="19"/>
        <v/>
      </c>
    </row>
    <row r="120" spans="2:10" hidden="1">
      <c r="B120" s="1505" t="s">
        <v>5719</v>
      </c>
      <c r="C120" s="1974">
        <f ca="1">SUM($J$4:J120)</f>
        <v>13</v>
      </c>
      <c r="D120" s="1443" t="e">
        <f t="shared" si="24"/>
        <v>#N/A</v>
      </c>
      <c r="E120" s="1445" t="e">
        <f t="shared" si="25"/>
        <v>#N/A</v>
      </c>
      <c r="F120" s="1445">
        <f t="shared" ca="1" si="26"/>
        <v>0</v>
      </c>
      <c r="G120" s="1445">
        <f t="shared" ca="1" si="27"/>
        <v>0</v>
      </c>
      <c r="H120" s="1445">
        <f>VLOOKUP($D$1,Solieu!A:C,2,0)</f>
        <v>4</v>
      </c>
      <c r="I120" s="1975"/>
      <c r="J120" s="1282" t="str">
        <f t="shared" ca="1" si="19"/>
        <v/>
      </c>
    </row>
    <row r="121" spans="2:10" hidden="1">
      <c r="B121" s="1505" t="s">
        <v>5722</v>
      </c>
      <c r="C121" s="1974">
        <f ca="1">SUM($J$4:J121)</f>
        <v>13</v>
      </c>
      <c r="D121" s="1443" t="e">
        <f t="shared" si="24"/>
        <v>#N/A</v>
      </c>
      <c r="E121" s="1445" t="e">
        <f t="shared" si="25"/>
        <v>#N/A</v>
      </c>
      <c r="F121" s="1445">
        <f t="shared" ca="1" si="26"/>
        <v>0</v>
      </c>
      <c r="G121" s="1445">
        <f t="shared" ca="1" si="27"/>
        <v>0</v>
      </c>
      <c r="H121" s="1445">
        <f>VLOOKUP($D$1,Solieu!A:C,2,0)</f>
        <v>4</v>
      </c>
      <c r="I121" s="1975"/>
      <c r="J121" s="1282" t="str">
        <f t="shared" ca="1" si="19"/>
        <v/>
      </c>
    </row>
  </sheetData>
  <autoFilter ref="J3:J121" xr:uid="{00000000-0009-0000-0000-000024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1" priority="2"/>
  </conditionalFormatting>
  <conditionalFormatting sqref="B36:B38">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A3:K24"/>
  <sheetViews>
    <sheetView workbookViewId="0">
      <selection activeCell="C7" sqref="C7:H7"/>
    </sheetView>
  </sheetViews>
  <sheetFormatPr defaultColWidth="8.90625" defaultRowHeight="16.8"/>
  <cols>
    <col min="1" max="1" width="8.90625" style="1282"/>
    <col min="2" max="2" width="14.453125" style="1282" customWidth="1"/>
    <col min="3" max="3" width="5.36328125" style="1282" customWidth="1"/>
    <col min="4" max="4" width="16.54296875" style="1282" customWidth="1"/>
    <col min="5" max="5" width="24.6328125" style="1282" customWidth="1"/>
    <col min="6" max="7" width="8.08984375" style="1282" customWidth="1"/>
    <col min="8" max="8" width="5.90625" style="1282" customWidth="1"/>
    <col min="9" max="10" width="8.90625" style="1282"/>
    <col min="11" max="11" width="10.90625" style="1282" customWidth="1"/>
    <col min="12" max="16384" width="8.90625" style="1282"/>
  </cols>
  <sheetData>
    <row r="3" spans="1:11">
      <c r="C3" s="3197" t="s">
        <v>1712</v>
      </c>
      <c r="D3" s="1463" t="s">
        <v>4503</v>
      </c>
      <c r="E3" s="3198" t="s">
        <v>4232</v>
      </c>
      <c r="F3" s="3199" t="s">
        <v>4505</v>
      </c>
      <c r="G3" s="3199"/>
      <c r="H3" s="3200" t="s">
        <v>4196</v>
      </c>
      <c r="I3" s="1455" t="s">
        <v>512</v>
      </c>
    </row>
    <row r="4" spans="1:11">
      <c r="C4" s="3197"/>
      <c r="D4" s="1464" t="s">
        <v>4504</v>
      </c>
      <c r="E4" s="3198"/>
      <c r="F4" s="1462" t="s">
        <v>4233</v>
      </c>
      <c r="G4" s="1462" t="s">
        <v>4197</v>
      </c>
      <c r="H4" s="3201"/>
      <c r="I4" s="1282">
        <f>IF(OR(E4&gt;0,F4&gt;0),1,"")</f>
        <v>1</v>
      </c>
      <c r="J4" s="931" t="s">
        <v>4632</v>
      </c>
      <c r="K4" s="1282" t="s">
        <v>4633</v>
      </c>
    </row>
    <row r="5" spans="1:11" ht="52.5" hidden="1" customHeight="1">
      <c r="A5" s="2066" t="s">
        <v>88</v>
      </c>
      <c r="B5" s="1282" t="s">
        <v>4694</v>
      </c>
      <c r="C5" s="1459">
        <v>1</v>
      </c>
      <c r="D5" s="1465" t="str">
        <f>$J$4&amp;J5&amp;$K$4&amp;K5</f>
        <v>Từ cột 036A/020 đến cột 036A/021/002</v>
      </c>
      <c r="E5" s="1461" t="str">
        <f>VLOOKUP(B5,DonGia,3,0)&amp;" + "&amp;VLOOKUP(A5,DonGia,3,0)</f>
        <v>Cáp nhôm lõi thép bọc 24KV AC/XLPE50 mm2 + Cáp nhôm lõi thép AC-50/8</v>
      </c>
      <c r="F5" s="2286">
        <f ca="1">SUMIF(KhoiLuong,B5,DuToan)</f>
        <v>0</v>
      </c>
      <c r="G5" s="2286">
        <f ca="1">SUMIF(KhoiLuong,B5,ThiCong)</f>
        <v>0</v>
      </c>
      <c r="H5" s="1460"/>
      <c r="I5" s="1282" t="str">
        <f ca="1">IF(AND(E5&gt;0,F5&gt;0),1,"")</f>
        <v/>
      </c>
      <c r="J5" s="2290" t="str">
        <f>WORD!AJ2</f>
        <v>036A/020</v>
      </c>
      <c r="K5" s="2290" t="str">
        <f>WORD!AK2</f>
        <v>036A/021/002</v>
      </c>
    </row>
    <row r="6" spans="1:11" ht="33.6" hidden="1">
      <c r="B6" s="1282" t="s">
        <v>1151</v>
      </c>
      <c r="C6" s="1459">
        <v>2</v>
      </c>
      <c r="D6" s="1465" t="str">
        <f>$J$4&amp;J6&amp;$K$4&amp;K6</f>
        <v>Từ cột 015/01/01 đến cột 015/01/16</v>
      </c>
      <c r="E6" s="1461" t="e">
        <f>VLOOKUP(B6,DonGia,3,0)&amp;" + "&amp;VLOOKUP(A6,DonGia,3,0)</f>
        <v>#N/A</v>
      </c>
      <c r="F6" s="2286">
        <f ca="1">SUMIF(KhoiLuong,B6,DuToan)</f>
        <v>0</v>
      </c>
      <c r="G6" s="2286">
        <f ca="1">SUMIF(KhoiLuong,B6,ThiCong)</f>
        <v>0</v>
      </c>
      <c r="H6" s="1460"/>
      <c r="I6" s="1282" t="e">
        <f t="shared" ref="I6:I15" ca="1" si="0">IF(AND(E6&gt;0,F6&gt;0),1,"")</f>
        <v>#N/A</v>
      </c>
      <c r="J6" s="1911" t="s">
        <v>5046</v>
      </c>
      <c r="K6" s="1911" t="s">
        <v>5047</v>
      </c>
    </row>
    <row r="7" spans="1:11" ht="50.4">
      <c r="A7" s="2066" t="s">
        <v>88</v>
      </c>
      <c r="B7" s="1282" t="s">
        <v>5144</v>
      </c>
      <c r="C7" s="1453">
        <v>1</v>
      </c>
      <c r="D7" s="1465" t="str">
        <f>$J$4&amp;J7&amp;$K$4&amp;K7</f>
        <v>Từ cột 036A/020 đến cột 036A/021/002</v>
      </c>
      <c r="E7" s="1461" t="str">
        <f>VLOOKUP(B7,DonGia,3,0)&amp;" + "&amp;VLOOKUP(A7,DonGia,3,0)</f>
        <v>Cáp 24KV ACXH 95mm2 + Cáp nhôm lõi thép AC-50/8</v>
      </c>
      <c r="F7" s="2286">
        <f ca="1">SUMIF(KhoiLuong,B7,DuToan)</f>
        <v>192.78</v>
      </c>
      <c r="G7" s="2286">
        <f ca="1">SUMIF(KhoiLuong,B7,ThiCong)</f>
        <v>192.78</v>
      </c>
      <c r="H7" s="1454"/>
      <c r="I7" s="1282">
        <f t="shared" ca="1" si="0"/>
        <v>1</v>
      </c>
      <c r="J7" s="3205" t="str">
        <f>WORD!AJ2</f>
        <v>036A/020</v>
      </c>
      <c r="K7" s="3205" t="str">
        <f>WORD!AK2</f>
        <v>036A/021/002</v>
      </c>
    </row>
    <row r="8" spans="1:11" hidden="1">
      <c r="B8" s="1282" t="s">
        <v>512</v>
      </c>
      <c r="C8" s="1441">
        <v>5</v>
      </c>
      <c r="D8" s="1443" t="e">
        <f>VLOOKUP(B8,chitiet!A:F,5,0)</f>
        <v>#N/A</v>
      </c>
      <c r="E8" s="1461" t="e">
        <f>VLOOKUP(B8,DonGia,3,0)&amp;" + "&amp;VLOOKUP(A8,DonGia,3,0)</f>
        <v>#N/A</v>
      </c>
      <c r="F8" s="2286"/>
      <c r="G8" s="2286"/>
      <c r="H8" s="1442"/>
      <c r="I8" s="1282" t="e">
        <f t="shared" si="0"/>
        <v>#N/A</v>
      </c>
      <c r="J8" s="931"/>
    </row>
    <row r="9" spans="1:11" hidden="1">
      <c r="B9" s="1282" t="s">
        <v>512</v>
      </c>
      <c r="C9" s="1441">
        <v>6</v>
      </c>
      <c r="D9" s="1443" t="e">
        <f>VLOOKUP(B9,chitiet!A:F,5,0)</f>
        <v>#N/A</v>
      </c>
      <c r="E9" s="1461" t="e">
        <f>VLOOKUP(B9,DonGia,3,0)&amp;" + "&amp;VLOOKUP(A9,DonGia,3,0)</f>
        <v>#N/A</v>
      </c>
      <c r="F9" s="2286"/>
      <c r="G9" s="2286"/>
      <c r="H9" s="1442"/>
      <c r="I9" s="1282" t="e">
        <f t="shared" si="0"/>
        <v>#N/A</v>
      </c>
      <c r="J9" s="931"/>
    </row>
    <row r="10" spans="1:11" hidden="1">
      <c r="B10" s="1282" t="s">
        <v>512</v>
      </c>
      <c r="C10" s="1441">
        <v>7</v>
      </c>
      <c r="D10" s="1443" t="e">
        <f>VLOOKUP(B10,chitiet!A:F,5,0)</f>
        <v>#N/A</v>
      </c>
      <c r="E10" s="1461" t="e">
        <f>VLOOKUP(B10,DonGia,3,0)&amp;" + "&amp;VLOOKUP(A10,DonGia,3,0)</f>
        <v>#N/A</v>
      </c>
      <c r="F10" s="2286"/>
      <c r="G10" s="2286"/>
      <c r="H10" s="1442"/>
      <c r="I10" s="1282" t="e">
        <f t="shared" si="0"/>
        <v>#N/A</v>
      </c>
      <c r="J10" s="931"/>
    </row>
    <row r="11" spans="1:11" hidden="1">
      <c r="B11" s="1282" t="s">
        <v>512</v>
      </c>
      <c r="C11" s="1441">
        <v>8</v>
      </c>
      <c r="D11" s="1443" t="e">
        <f>VLOOKUP(B11,chitiet!A:F,5,0)</f>
        <v>#N/A</v>
      </c>
      <c r="E11" s="1461" t="e">
        <f>VLOOKUP(B11,DonGia,3,0)&amp;" + "&amp;VLOOKUP(A11,DonGia,3,0)</f>
        <v>#N/A</v>
      </c>
      <c r="F11" s="2286"/>
      <c r="G11" s="2286"/>
      <c r="H11" s="1442"/>
      <c r="I11" s="1282" t="e">
        <f t="shared" si="0"/>
        <v>#N/A</v>
      </c>
      <c r="J11" s="931"/>
    </row>
    <row r="12" spans="1:11" hidden="1">
      <c r="B12" s="1282" t="s">
        <v>512</v>
      </c>
      <c r="C12" s="1441">
        <v>9</v>
      </c>
      <c r="D12" s="1443" t="e">
        <f>VLOOKUP(B12,chitiet!A:F,5,0)</f>
        <v>#N/A</v>
      </c>
      <c r="E12" s="1461" t="e">
        <f>VLOOKUP(B12,DonGia,3,0)&amp;" + "&amp;VLOOKUP(A12,DonGia,3,0)</f>
        <v>#N/A</v>
      </c>
      <c r="F12" s="2286"/>
      <c r="G12" s="2286"/>
      <c r="H12" s="1442"/>
      <c r="I12" s="1282" t="e">
        <f t="shared" si="0"/>
        <v>#N/A</v>
      </c>
      <c r="J12" s="931"/>
    </row>
    <row r="13" spans="1:11" hidden="1">
      <c r="B13" s="1282" t="s">
        <v>512</v>
      </c>
      <c r="C13" s="1441">
        <v>10</v>
      </c>
      <c r="D13" s="1443" t="e">
        <f>VLOOKUP(B13,chitiet!A:F,5,0)</f>
        <v>#N/A</v>
      </c>
      <c r="E13" s="1461" t="e">
        <f>VLOOKUP(B13,DonGia,3,0)&amp;" + "&amp;VLOOKUP(A13,DonGia,3,0)</f>
        <v>#N/A</v>
      </c>
      <c r="F13" s="2286"/>
      <c r="G13" s="2286"/>
      <c r="H13" s="1442"/>
      <c r="I13" s="1282" t="e">
        <f t="shared" si="0"/>
        <v>#N/A</v>
      </c>
      <c r="J13" s="931"/>
    </row>
    <row r="14" spans="1:11" hidden="1">
      <c r="B14" s="1282" t="s">
        <v>512</v>
      </c>
      <c r="C14" s="1441">
        <v>11</v>
      </c>
      <c r="D14" s="1443" t="e">
        <f>VLOOKUP(B14,chitiet!A:F,5,0)</f>
        <v>#N/A</v>
      </c>
      <c r="E14" s="1461" t="e">
        <f>VLOOKUP(B14,DonGia,3,0)&amp;" + "&amp;VLOOKUP(A14,DonGia,3,0)</f>
        <v>#N/A</v>
      </c>
      <c r="F14" s="2286"/>
      <c r="G14" s="2286"/>
      <c r="H14" s="1442"/>
      <c r="I14" s="1282" t="e">
        <f t="shared" si="0"/>
        <v>#N/A</v>
      </c>
      <c r="J14" s="931"/>
    </row>
    <row r="15" spans="1:11" hidden="1">
      <c r="B15" s="1282" t="s">
        <v>512</v>
      </c>
      <c r="C15" s="1456">
        <v>12</v>
      </c>
      <c r="D15" s="1457" t="e">
        <f>VLOOKUP(B15,chitiet!A:F,5,0)</f>
        <v>#N/A</v>
      </c>
      <c r="E15" s="1461" t="e">
        <f>VLOOKUP(B15,DonGia,3,0)&amp;" + "&amp;VLOOKUP(A15,DonGia,3,0)</f>
        <v>#N/A</v>
      </c>
      <c r="F15" s="2286"/>
      <c r="G15" s="2286"/>
      <c r="H15" s="1458"/>
      <c r="I15" s="1282" t="e">
        <f t="shared" si="0"/>
        <v>#N/A</v>
      </c>
      <c r="J15" s="931"/>
    </row>
    <row r="16" spans="1:11" hidden="1">
      <c r="B16" s="1282" t="s">
        <v>512</v>
      </c>
      <c r="F16" s="2286"/>
      <c r="G16" s="2286"/>
    </row>
    <row r="17" spans="6:7" hidden="1">
      <c r="F17" s="2286"/>
      <c r="G17" s="2286"/>
    </row>
    <row r="18" spans="6:7" hidden="1">
      <c r="F18" s="2286"/>
      <c r="G18" s="2286"/>
    </row>
    <row r="19" spans="6:7" hidden="1">
      <c r="F19" s="2286"/>
      <c r="G19" s="2286"/>
    </row>
    <row r="20" spans="6:7" hidden="1">
      <c r="F20" s="2286"/>
      <c r="G20" s="2286"/>
    </row>
    <row r="21" spans="6:7" hidden="1">
      <c r="F21" s="2286"/>
      <c r="G21" s="2286"/>
    </row>
    <row r="22" spans="6:7" hidden="1">
      <c r="F22" s="2286"/>
      <c r="G22" s="2286"/>
    </row>
    <row r="23" spans="6:7" hidden="1">
      <c r="F23" s="2286"/>
      <c r="G23" s="2286"/>
    </row>
    <row r="24" spans="6:7" hidden="1">
      <c r="F24" s="2286"/>
      <c r="G24" s="2286"/>
    </row>
  </sheetData>
  <autoFilter ref="I3:I24" xr:uid="{00000000-0009-0000-0000-000025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dimension ref="A1:J26"/>
  <sheetViews>
    <sheetView workbookViewId="0">
      <selection activeCell="F29" sqref="F29"/>
    </sheetView>
  </sheetViews>
  <sheetFormatPr defaultColWidth="8.90625" defaultRowHeight="16.8"/>
  <cols>
    <col min="1" max="1" width="8.90625" style="1739"/>
    <col min="2" max="2" width="10.1796875" style="1739" bestFit="1" customWidth="1"/>
    <col min="3" max="3" width="6.1796875" style="1739" customWidth="1"/>
    <col min="4" max="4" width="31.90625" style="1486" customWidth="1"/>
    <col min="5" max="7" width="10.08984375" style="996" customWidth="1"/>
    <col min="8" max="8" width="9.08984375" style="1739" customWidth="1"/>
    <col min="9" max="9" width="5.81640625" style="1739" customWidth="1"/>
    <col min="10" max="16384" width="8.90625" style="1739"/>
  </cols>
  <sheetData>
    <row r="1" spans="1:10" ht="37.5" customHeight="1">
      <c r="C1" s="1735" t="s">
        <v>1712</v>
      </c>
      <c r="D1" s="1736" t="s">
        <v>4590</v>
      </c>
      <c r="E1" s="1736" t="s">
        <v>4229</v>
      </c>
      <c r="F1" s="1736" t="s">
        <v>4943</v>
      </c>
      <c r="G1" s="1736" t="s">
        <v>4197</v>
      </c>
      <c r="H1" s="1735" t="s">
        <v>4196</v>
      </c>
      <c r="I1" s="1739" t="s">
        <v>4591</v>
      </c>
    </row>
    <row r="2" spans="1:10" ht="25.2" customHeight="1">
      <c r="A2" s="1739" t="s">
        <v>512</v>
      </c>
      <c r="B2" s="1737" t="str">
        <f>'NT-VT'!A6</f>
        <v>TR12501</v>
      </c>
      <c r="C2" s="1740">
        <f>SUM($I$2:I2)</f>
        <v>1</v>
      </c>
      <c r="D2" s="2289" t="str">
        <f t="shared" ref="D2:D24" si="0">VLOOKUP(B2,DonGia,3,0)</f>
        <v>Máy biến áp 22/0,4kV- 1250kVA</v>
      </c>
      <c r="E2" s="1738" t="str">
        <f>'NT-VT'!D6</f>
        <v>máy</v>
      </c>
      <c r="F2" s="1738">
        <f t="shared" ref="F2:F24" ca="1" si="1">SUMIF(KhoiLuong,B2,DuToan)</f>
        <v>1</v>
      </c>
      <c r="G2" s="1738">
        <f t="shared" ref="G2:G24" ca="1" si="2">SUMIF(KhoiLuong,B2,ThiCong)</f>
        <v>1</v>
      </c>
      <c r="H2" s="1733"/>
      <c r="I2" s="1739">
        <f>IF(A2&lt;&gt;0,1,"")</f>
        <v>1</v>
      </c>
    </row>
    <row r="3" spans="1:10" ht="39" customHeight="1">
      <c r="A3" s="1739" t="s">
        <v>512</v>
      </c>
      <c r="B3" s="1737" t="str">
        <f>'NT-VT'!A7</f>
        <v>acb2000</v>
      </c>
      <c r="C3" s="1740">
        <f>SUM($I$2:I3)</f>
        <v>2</v>
      </c>
      <c r="D3" s="2289" t="str">
        <f t="shared" si="0"/>
        <v>ACB 3P - 2000A - 85KA (nạp lò xo bằng tay)</v>
      </c>
      <c r="E3" s="1738" t="str">
        <f>'NT-VT'!D7</f>
        <v>cái</v>
      </c>
      <c r="F3" s="1738">
        <v>3</v>
      </c>
      <c r="G3" s="1738">
        <v>3</v>
      </c>
      <c r="H3" s="1733"/>
      <c r="I3" s="1739">
        <f t="shared" ref="I3:I24" si="3">IF(A3&lt;&gt;0,1,"")</f>
        <v>1</v>
      </c>
    </row>
    <row r="4" spans="1:10" ht="25.2" customHeight="1">
      <c r="A4" s="1739" t="s">
        <v>512</v>
      </c>
      <c r="B4" s="1737" t="str">
        <f>'NT-VT'!A8</f>
        <v>FCO100-22</v>
      </c>
      <c r="C4" s="1740">
        <f>SUM($I$2:I4)</f>
        <v>3</v>
      </c>
      <c r="D4" s="2289" t="str">
        <f t="shared" si="0"/>
        <v>FCO 27kV - 100A</v>
      </c>
      <c r="E4" s="1738" t="str">
        <f>'NT-VT'!D8</f>
        <v>cái</v>
      </c>
      <c r="F4" s="1738">
        <f t="shared" ca="1" si="1"/>
        <v>6</v>
      </c>
      <c r="G4" s="1738">
        <f t="shared" ca="1" si="2"/>
        <v>6</v>
      </c>
      <c r="H4" s="1733"/>
      <c r="I4" s="1739">
        <f t="shared" si="3"/>
        <v>1</v>
      </c>
    </row>
    <row r="5" spans="1:10" ht="21.75" customHeight="1">
      <c r="B5" s="1737" t="str">
        <f>'NT-VT'!A9</f>
        <v>LA18</v>
      </c>
      <c r="C5" s="1740">
        <f>SUM($I$2:I5)</f>
        <v>4</v>
      </c>
      <c r="D5" s="2289" t="str">
        <f t="shared" si="0"/>
        <v>Chống sét van LA-18KV-10KA</v>
      </c>
      <c r="E5" s="1738" t="str">
        <f>'NT-VT'!D9</f>
        <v>cái</v>
      </c>
      <c r="F5" s="1738">
        <f t="shared" ca="1" si="1"/>
        <v>6</v>
      </c>
      <c r="G5" s="1738">
        <f t="shared" ca="1" si="2"/>
        <v>6</v>
      </c>
      <c r="H5" s="1733"/>
      <c r="I5" s="1739">
        <v>1</v>
      </c>
    </row>
    <row r="6" spans="1:10" ht="21.75" hidden="1" customHeight="1">
      <c r="B6" s="1737" t="str">
        <f>'NT-VT'!A10</f>
        <v>SD</v>
      </c>
      <c r="C6" s="1740">
        <f>SUM($I$2:I6)</f>
        <v>4</v>
      </c>
      <c r="D6" s="2289" t="str">
        <f t="shared" si="0"/>
        <v xml:space="preserve">Sứ đứng 24KV </v>
      </c>
      <c r="E6" s="1738" t="str">
        <f>'NT-VT'!D10</f>
        <v>cái</v>
      </c>
      <c r="F6" s="1738">
        <f t="shared" ca="1" si="1"/>
        <v>17</v>
      </c>
      <c r="G6" s="1738">
        <f t="shared" ca="1" si="2"/>
        <v>17</v>
      </c>
      <c r="H6" s="1733"/>
      <c r="I6" s="1739" t="str">
        <f t="shared" si="3"/>
        <v/>
      </c>
    </row>
    <row r="7" spans="1:10" ht="25.2" hidden="1" customHeight="1">
      <c r="A7" s="1739" t="s">
        <v>512</v>
      </c>
      <c r="B7" s="1737" t="str">
        <f>'NT-VT'!A11</f>
        <v>Stply</v>
      </c>
      <c r="C7" s="1740">
        <f>SUM($I$2:I7)</f>
        <v>4</v>
      </c>
      <c r="D7" s="2289" t="str">
        <f t="shared" si="0"/>
        <v>Sứ treo polymer</v>
      </c>
      <c r="E7" s="1738" t="str">
        <f>'NT-VT'!D11</f>
        <v>chuỗi</v>
      </c>
      <c r="F7" s="1738">
        <f t="shared" ca="1" si="1"/>
        <v>6</v>
      </c>
      <c r="G7" s="1738">
        <f t="shared" ca="1" si="2"/>
        <v>6</v>
      </c>
      <c r="H7" s="1733"/>
    </row>
    <row r="8" spans="1:10" ht="25.2" customHeight="1">
      <c r="A8" s="1739" t="s">
        <v>512</v>
      </c>
      <c r="B8" s="1737" t="str">
        <f>'NT-VT'!A12</f>
        <v>CV240</v>
      </c>
      <c r="C8" s="1740">
        <f>SUM($I$2:I8)</f>
        <v>5</v>
      </c>
      <c r="D8" s="2289" t="str">
        <f t="shared" si="0"/>
        <v>Cáp đồng bọc CV240</v>
      </c>
      <c r="E8" s="1738" t="str">
        <f>'NT-VT'!D12</f>
        <v>mét</v>
      </c>
      <c r="F8" s="1738">
        <f t="shared" ca="1" si="1"/>
        <v>72</v>
      </c>
      <c r="G8" s="1738">
        <f t="shared" ca="1" si="2"/>
        <v>72</v>
      </c>
      <c r="H8" s="1733"/>
      <c r="I8" s="1739">
        <f t="shared" si="3"/>
        <v>1</v>
      </c>
    </row>
    <row r="9" spans="1:10" ht="25.2" customHeight="1">
      <c r="A9" s="1739" t="s">
        <v>512</v>
      </c>
      <c r="B9" s="1737" t="str">
        <f>'NT-VT'!A13</f>
        <v>CVV4X4</v>
      </c>
      <c r="C9" s="1740">
        <f>SUM($I$2:I9)</f>
        <v>6</v>
      </c>
      <c r="D9" s="2289" t="str">
        <f t="shared" si="0"/>
        <v xml:space="preserve">Cáp CVV 4x4mm2  </v>
      </c>
      <c r="E9" s="1738" t="str">
        <f>'NT-VT'!D13</f>
        <v>mét</v>
      </c>
      <c r="F9" s="1738">
        <f t="shared" ca="1" si="1"/>
        <v>33</v>
      </c>
      <c r="G9" s="1738">
        <f t="shared" ca="1" si="2"/>
        <v>33</v>
      </c>
      <c r="H9" s="1733"/>
      <c r="I9" s="1739">
        <f t="shared" si="3"/>
        <v>1</v>
      </c>
    </row>
    <row r="10" spans="1:10" ht="25.2" hidden="1" customHeight="1">
      <c r="A10" s="1739" t="s">
        <v>512</v>
      </c>
      <c r="B10" s="1737" t="str">
        <f>'NT-VT'!A14</f>
        <v>XLPE25</v>
      </c>
      <c r="C10" s="1740">
        <f>SUM($I$2:I10)</f>
        <v>6</v>
      </c>
      <c r="D10" s="2289" t="str">
        <f t="shared" si="0"/>
        <v>Cáp 24KV C/XLPE/PVC 25mm2</v>
      </c>
      <c r="E10" s="1738" t="str">
        <f>'NT-VT'!D14</f>
        <v>mét</v>
      </c>
      <c r="F10" s="1738">
        <f t="shared" ca="1" si="1"/>
        <v>45</v>
      </c>
      <c r="G10" s="1738">
        <f t="shared" ca="1" si="2"/>
        <v>45</v>
      </c>
      <c r="H10" s="1733"/>
    </row>
    <row r="11" spans="1:10" ht="25.2" hidden="1" customHeight="1">
      <c r="A11" s="1739" t="s">
        <v>512</v>
      </c>
      <c r="B11" s="1737" t="str">
        <f>'NT-VT'!A15</f>
        <v>XLPE95ACXH</v>
      </c>
      <c r="C11" s="1740">
        <f>SUM($I$2:I11)</f>
        <v>6</v>
      </c>
      <c r="D11" s="2289" t="str">
        <f t="shared" si="0"/>
        <v>Cáp 24KV ACXH 95mm2</v>
      </c>
      <c r="E11" s="1738" t="str">
        <f>'NT-VT'!D15</f>
        <v>mét</v>
      </c>
      <c r="F11" s="1738">
        <f t="shared" ca="1" si="1"/>
        <v>192.78</v>
      </c>
      <c r="G11" s="1738">
        <f t="shared" ca="1" si="2"/>
        <v>192.78</v>
      </c>
      <c r="H11" s="1733"/>
    </row>
    <row r="12" spans="1:10" hidden="1">
      <c r="B12" s="1737" t="str">
        <f>'NT-VT'!A16</f>
        <v>m25</v>
      </c>
      <c r="C12" s="1740">
        <f>SUM($I$2:I12)</f>
        <v>6</v>
      </c>
      <c r="D12" s="2289" t="str">
        <f t="shared" si="0"/>
        <v>Cáp đồng trần M25mm2</v>
      </c>
      <c r="E12" s="1738" t="str">
        <f>'NT-VT'!D16</f>
        <v>kg</v>
      </c>
      <c r="F12" s="1738">
        <f t="shared" ca="1" si="1"/>
        <v>14.11</v>
      </c>
      <c r="G12" s="1738">
        <f t="shared" ca="1" si="2"/>
        <v>14.11</v>
      </c>
      <c r="H12" s="1733"/>
      <c r="I12" s="1739" t="str">
        <f t="shared" si="3"/>
        <v/>
      </c>
    </row>
    <row r="13" spans="1:10" hidden="1">
      <c r="B13" s="1737" t="str">
        <f>'NT-VT'!A17</f>
        <v>AC50</v>
      </c>
      <c r="C13" s="1740">
        <f>SUM($I$2:I13)</f>
        <v>6</v>
      </c>
      <c r="D13" s="2289" t="str">
        <f t="shared" si="0"/>
        <v>Cáp nhôm lõi thép AC-50/8</v>
      </c>
      <c r="E13" s="1738" t="str">
        <f>'NT-VT'!D17</f>
        <v>kg</v>
      </c>
      <c r="F13" s="1738">
        <f t="shared" ca="1" si="1"/>
        <v>12.726000000000001</v>
      </c>
      <c r="G13" s="1738">
        <f t="shared" ca="1" si="2"/>
        <v>12.726000000000001</v>
      </c>
      <c r="H13" s="1733"/>
      <c r="I13" s="1739" t="str">
        <f t="shared" si="3"/>
        <v/>
      </c>
      <c r="J13" s="1447"/>
    </row>
    <row r="14" spans="1:10" hidden="1">
      <c r="B14" s="1737" t="str">
        <f>'NT-VT'!A18</f>
        <v>C5/8</v>
      </c>
      <c r="C14" s="1740">
        <f>SUM($I$2:I14)</f>
        <v>6</v>
      </c>
      <c r="D14" s="2289" t="str">
        <f t="shared" si="0"/>
        <v>Cáp thép 5/8"</v>
      </c>
      <c r="E14" s="1738" t="str">
        <f>'NT-VT'!D18</f>
        <v>kg</v>
      </c>
      <c r="F14" s="1738">
        <f t="shared" ca="1" si="1"/>
        <v>5.0999999999999996</v>
      </c>
      <c r="G14" s="1738">
        <f t="shared" ca="1" si="2"/>
        <v>5.0999999999999996</v>
      </c>
      <c r="H14" s="1733"/>
      <c r="I14" s="1739" t="str">
        <f t="shared" si="3"/>
        <v/>
      </c>
    </row>
    <row r="15" spans="1:10" ht="33.6" hidden="1">
      <c r="B15" s="1737" t="str">
        <f>'NT-VT'!A19</f>
        <v>T12</v>
      </c>
      <c r="C15" s="1740">
        <f>SUM($I$2:I15)</f>
        <v>6</v>
      </c>
      <c r="D15" s="2289" t="str">
        <f t="shared" si="0"/>
        <v>Trụ BTLT 12m F350 dự ứng lực</v>
      </c>
      <c r="E15" s="1738" t="str">
        <f>'NT-VT'!D19</f>
        <v>trụ</v>
      </c>
      <c r="F15" s="1738">
        <f t="shared" ca="1" si="1"/>
        <v>3</v>
      </c>
      <c r="G15" s="1738">
        <f t="shared" ca="1" si="2"/>
        <v>3</v>
      </c>
      <c r="H15" s="1733"/>
      <c r="I15" s="1739" t="str">
        <f t="shared" si="3"/>
        <v/>
      </c>
    </row>
    <row r="16" spans="1:10" hidden="1">
      <c r="B16" s="1737" t="str">
        <f>'NT-VT'!A20</f>
        <v>B14350</v>
      </c>
      <c r="C16" s="1740">
        <f>SUM($I$2:I16)</f>
        <v>6</v>
      </c>
      <c r="D16" s="2289" t="str">
        <f t="shared" si="0"/>
        <v>Boulon 14x350+ 2 long đền vuông D16-50x50x3/Zn</v>
      </c>
      <c r="E16" s="1738" t="str">
        <f>'NT-VT'!D20</f>
        <v>bộ</v>
      </c>
      <c r="F16" s="1738">
        <f t="shared" ca="1" si="1"/>
        <v>36</v>
      </c>
      <c r="G16" s="1738">
        <f t="shared" ca="1" si="2"/>
        <v>36</v>
      </c>
      <c r="H16" s="1733"/>
      <c r="I16" s="1739" t="str">
        <f t="shared" si="3"/>
        <v/>
      </c>
    </row>
    <row r="17" spans="1:10" hidden="1">
      <c r="B17" s="1737" t="str">
        <f>'NT-VT'!A21</f>
        <v>b40</v>
      </c>
      <c r="C17" s="1740">
        <f>SUM($I$2:I17)</f>
        <v>6</v>
      </c>
      <c r="D17" s="2289" t="str">
        <f t="shared" si="0"/>
        <v>Lưới B40 - 1800-3/Zn</v>
      </c>
      <c r="E17" s="1738" t="str">
        <f>'NT-VT'!D21</f>
        <v>mét</v>
      </c>
      <c r="F17" s="1738">
        <f t="shared" ca="1" si="1"/>
        <v>14.2</v>
      </c>
      <c r="G17" s="1738">
        <f t="shared" ca="1" si="2"/>
        <v>14.2</v>
      </c>
      <c r="H17" s="1733"/>
      <c r="I17" s="1739" t="str">
        <f t="shared" si="3"/>
        <v/>
      </c>
    </row>
    <row r="18" spans="1:10" hidden="1">
      <c r="B18" s="1737" t="str">
        <f>'NT-VT'!A22</f>
        <v>BKQ</v>
      </c>
      <c r="C18" s="1740">
        <f>SUM($I$2:I18)</f>
        <v>6</v>
      </c>
      <c r="D18" s="2289" t="str">
        <f t="shared" si="0"/>
        <v>Chụp đầu cực TI, TU</v>
      </c>
      <c r="E18" s="1738" t="str">
        <f>'NT-VT'!D22</f>
        <v>Cái</v>
      </c>
      <c r="F18" s="1738">
        <f t="shared" ca="1" si="1"/>
        <v>9</v>
      </c>
      <c r="G18" s="1738">
        <f t="shared" ca="1" si="2"/>
        <v>9</v>
      </c>
      <c r="H18" s="1733"/>
      <c r="I18" s="1739" t="str">
        <f t="shared" si="3"/>
        <v/>
      </c>
      <c r="J18" s="1447"/>
    </row>
    <row r="19" spans="1:10" hidden="1">
      <c r="B19" s="1737" t="str">
        <f>'NT-VT'!A23</f>
        <v>ChupFCO</v>
      </c>
      <c r="C19" s="1740">
        <f>SUM($I$2:I19)</f>
        <v>6</v>
      </c>
      <c r="D19" s="2289" t="str">
        <f t="shared" si="0"/>
        <v>Nắp che đầu cực FCO</v>
      </c>
      <c r="E19" s="1738" t="str">
        <f>'NT-VT'!D23</f>
        <v>cái</v>
      </c>
      <c r="F19" s="1738">
        <f t="shared" ca="1" si="1"/>
        <v>3</v>
      </c>
      <c r="G19" s="1738">
        <f t="shared" ca="1" si="2"/>
        <v>3</v>
      </c>
      <c r="H19" s="1733"/>
      <c r="I19" s="1739" t="str">
        <f t="shared" si="3"/>
        <v/>
      </c>
    </row>
    <row r="20" spans="1:10" hidden="1">
      <c r="B20" s="1737" t="str">
        <f>'NT-VT'!A24</f>
        <v>ChupLA</v>
      </c>
      <c r="C20" s="1740">
        <f>SUM($I$2:I20)</f>
        <v>6</v>
      </c>
      <c r="D20" s="2289" t="str">
        <f t="shared" si="0"/>
        <v>Nắp che đầu cực LA</v>
      </c>
      <c r="E20" s="1738" t="str">
        <f>'NT-VT'!D24</f>
        <v>cái</v>
      </c>
      <c r="F20" s="1738">
        <f t="shared" ca="1" si="1"/>
        <v>3</v>
      </c>
      <c r="G20" s="1738">
        <f t="shared" ca="1" si="2"/>
        <v>3</v>
      </c>
      <c r="H20" s="1733"/>
      <c r="I20" s="1739" t="str">
        <f t="shared" si="3"/>
        <v/>
      </c>
    </row>
    <row r="21" spans="1:10" ht="25.2" hidden="1" customHeight="1">
      <c r="B21" s="1737" t="s">
        <v>1507</v>
      </c>
      <c r="C21" s="1740">
        <f>SUM($I$2:I21)</f>
        <v>6</v>
      </c>
      <c r="D21" s="2289" t="str">
        <f t="shared" si="0"/>
        <v>Vỏ tủ trạm giàn 2 ngăn + khóa tủ</v>
      </c>
      <c r="E21" s="1738" t="str">
        <f>'NT-VT'!D25</f>
        <v>cái</v>
      </c>
      <c r="F21" s="1738">
        <f t="shared" ca="1" si="1"/>
        <v>0</v>
      </c>
      <c r="G21" s="1738">
        <f t="shared" ca="1" si="2"/>
        <v>0</v>
      </c>
      <c r="H21" s="1466"/>
      <c r="I21" s="1739" t="str">
        <f t="shared" si="3"/>
        <v/>
      </c>
    </row>
    <row r="22" spans="1:10" ht="25.2" hidden="1" customHeight="1">
      <c r="B22" s="1739" t="s">
        <v>5036</v>
      </c>
      <c r="C22" s="1740">
        <f>SUM($I$2:I22)</f>
        <v>6</v>
      </c>
      <c r="D22" s="2289" t="str">
        <f t="shared" si="0"/>
        <v>Giá chùm treo máy biến áp 3x50</v>
      </c>
      <c r="E22" s="1738" t="str">
        <f>'NT-VT'!D26</f>
        <v>cái</v>
      </c>
      <c r="F22" s="1738">
        <f t="shared" ca="1" si="1"/>
        <v>0</v>
      </c>
      <c r="G22" s="1738">
        <f t="shared" ca="1" si="2"/>
        <v>0</v>
      </c>
      <c r="H22" s="1466"/>
      <c r="I22" s="1739" t="str">
        <f t="shared" si="3"/>
        <v/>
      </c>
      <c r="J22" s="1447"/>
    </row>
    <row r="23" spans="1:10" hidden="1">
      <c r="B23" s="1737" t="s">
        <v>5038</v>
      </c>
      <c r="C23" s="1740">
        <f>SUM($I$2:I23)</f>
        <v>6</v>
      </c>
      <c r="D23" s="2289" t="e">
        <f>VLOOKUP(B23,KhoiLuong,5,0)</f>
        <v>#N/A</v>
      </c>
      <c r="E23" s="1738" t="str">
        <f>'NT-VT'!D27</f>
        <v>cái</v>
      </c>
      <c r="F23" s="1738">
        <f t="shared" ca="1" si="1"/>
        <v>0</v>
      </c>
      <c r="G23" s="1738">
        <f t="shared" ca="1" si="2"/>
        <v>0</v>
      </c>
      <c r="H23" s="1466"/>
      <c r="I23" s="1739" t="str">
        <f t="shared" si="3"/>
        <v/>
      </c>
      <c r="J23" s="1613"/>
    </row>
    <row r="24" spans="1:10">
      <c r="A24" s="1739" t="s">
        <v>1960</v>
      </c>
      <c r="B24" s="1737" t="s">
        <v>6353</v>
      </c>
      <c r="C24" s="1740">
        <f>SUM($I$2:I24)</f>
        <v>7</v>
      </c>
      <c r="D24" s="2289" t="str">
        <f t="shared" si="0"/>
        <v>Tủ ACB + thanh cái 2000A</v>
      </c>
      <c r="E24" s="1738" t="str">
        <f>'NT-VT'!D28</f>
        <v>m2</v>
      </c>
      <c r="F24" s="1738">
        <f t="shared" ca="1" si="1"/>
        <v>1</v>
      </c>
      <c r="G24" s="1738">
        <f t="shared" ca="1" si="2"/>
        <v>1</v>
      </c>
      <c r="H24" s="1466"/>
      <c r="I24" s="1739">
        <f t="shared" si="3"/>
        <v>1</v>
      </c>
      <c r="J24" s="1613"/>
    </row>
    <row r="25" spans="1:10" hidden="1">
      <c r="C25" s="1447"/>
      <c r="E25" s="1486"/>
      <c r="F25" s="1486"/>
      <c r="G25" s="1738">
        <f>VLOOKUP(B25,Solieu!G:L,6,0)</f>
        <v>0</v>
      </c>
      <c r="H25" s="1447"/>
    </row>
    <row r="26" spans="1:10" ht="9.6" hidden="1" customHeight="1">
      <c r="G26" s="1738">
        <f>VLOOKUP(B26,Solieu!G:L,6,0)</f>
        <v>0</v>
      </c>
    </row>
  </sheetData>
  <autoFilter ref="B1:I26" xr:uid="{00000000-0009-0000-0000-000026000000}">
    <filterColumn colId="7">
      <customFilters>
        <customFilter operator="notEqual" val=" "/>
      </customFilters>
    </filterColumn>
  </autoFilter>
  <conditionalFormatting sqref="I1:I1048576">
    <cfRule type="cellIs" dxfId="2" priority="1" operator="greaterThan">
      <formula>0</formula>
    </cfRule>
  </conditionalFormatting>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dimension ref="B3:K64"/>
  <sheetViews>
    <sheetView topLeftCell="C17" workbookViewId="0">
      <selection activeCell="C9" sqref="C9:D28"/>
    </sheetView>
  </sheetViews>
  <sheetFormatPr defaultColWidth="8.90625" defaultRowHeight="16.8"/>
  <cols>
    <col min="1" max="1" width="8.90625" style="1448"/>
    <col min="2" max="2" width="14.453125" style="1285" customWidth="1"/>
    <col min="3" max="3" width="5.36328125" style="1448" customWidth="1"/>
    <col min="4" max="4" width="61.6328125" style="1448" customWidth="1"/>
    <col min="5" max="5" width="11.54296875" style="1448" hidden="1" customWidth="1"/>
    <col min="6" max="6" width="9.54296875" style="1448" hidden="1" customWidth="1"/>
    <col min="7" max="7" width="10.54296875" style="1448" customWidth="1"/>
    <col min="8" max="8" width="35.36328125" style="1448" customWidth="1"/>
    <col min="9" max="16384" width="8.90625" style="1448"/>
  </cols>
  <sheetData>
    <row r="3" spans="2:11">
      <c r="G3" s="1448" t="s">
        <v>1960</v>
      </c>
    </row>
    <row r="4" spans="2:11">
      <c r="D4" s="3202" t="str">
        <f>"- Tiếp địa TBA tại vị trí trụ số:"&amp;F4&amp;"."</f>
        <v>- Tiếp địa TBA tại vị trí trụ số:015/002.</v>
      </c>
      <c r="E4" s="3202"/>
      <c r="F4" s="1448" t="s">
        <v>4589</v>
      </c>
    </row>
    <row r="5" spans="2:11">
      <c r="D5" s="3202" t="str">
        <f>"- Tiếp địa lặp lại đường dây trung thế tại vị trí trụ số: "&amp;F5&amp;"."</f>
        <v>- Tiếp địa lặp lại đường dây trung thế tại vị trí trụ số: 015.</v>
      </c>
      <c r="E5" s="3202"/>
      <c r="F5" s="1732" t="s">
        <v>4583</v>
      </c>
    </row>
    <row r="6" spans="2:11">
      <c r="D6" s="3202" t="str">
        <f>"- Tiếp địa lặp lại đường dây trung thế tại vị trí trụ số: "&amp;F6&amp;"."</f>
        <v>- Tiếp địa lặp lại đường dây trung thế tại vị trí trụ số: .</v>
      </c>
      <c r="E6" s="3202"/>
      <c r="G6" s="1448" t="s">
        <v>512</v>
      </c>
    </row>
    <row r="8" spans="2:11" ht="36.6" customHeight="1">
      <c r="C8" s="2183" t="s">
        <v>1712</v>
      </c>
      <c r="D8" s="2183" t="s">
        <v>4228</v>
      </c>
      <c r="E8" s="1975" t="s">
        <v>4230</v>
      </c>
      <c r="F8" s="1975" t="s">
        <v>4231</v>
      </c>
      <c r="G8" s="1455" t="s">
        <v>1960</v>
      </c>
    </row>
    <row r="9" spans="2:11" ht="24.9" customHeight="1">
      <c r="C9" s="2059"/>
      <c r="D9" s="2216" t="str">
        <f>H9&amp;": "&amp;ROUND(K9,1)&amp;" "&amp;I9</f>
        <v>Tiếp địa lặp lại (trụ 12m): 1 Bộ</v>
      </c>
      <c r="E9" s="2213" t="str">
        <f>Solieu!B1</f>
        <v>Số bản vẽ</v>
      </c>
      <c r="F9" s="2269" t="s">
        <v>4214</v>
      </c>
      <c r="G9" s="1448">
        <f>IF(SUM(G10:G16)&gt;0,1,"")</f>
        <v>1</v>
      </c>
      <c r="H9" s="1929" t="str">
        <f>chitiet!F612</f>
        <v>Tiếp địa lặp lại (trụ 12m)</v>
      </c>
      <c r="I9" s="1459" t="str">
        <f>chitiet!G612</f>
        <v>Bộ</v>
      </c>
      <c r="J9" s="1459">
        <f>chitiet!H612</f>
        <v>1</v>
      </c>
      <c r="K9" s="1459">
        <f>chitiet!P612</f>
        <v>1</v>
      </c>
    </row>
    <row r="10" spans="2:11" ht="24.9" customHeight="1">
      <c r="C10" s="2217"/>
      <c r="D10" s="2218" t="str">
        <f>" - "&amp;H10&amp;": "&amp;ROUND(J10,1)&amp;" "&amp;I10</f>
        <v xml:space="preserve"> - Cáp đồng trần M25mm2: 2,2 kg</v>
      </c>
      <c r="E10" s="2213"/>
      <c r="F10" s="2269"/>
      <c r="G10" s="1448">
        <f>IF(K10&gt;0,1,"")</f>
        <v>1</v>
      </c>
      <c r="H10" s="1926" t="str">
        <f>chitiet!F613</f>
        <v>Cáp đồng trần M25mm2</v>
      </c>
      <c r="I10" s="1459" t="str">
        <f>chitiet!G613</f>
        <v>kg</v>
      </c>
      <c r="J10" s="1459">
        <f>chitiet!H613</f>
        <v>2.2400000000000002</v>
      </c>
      <c r="K10" s="2067">
        <f>chitiet!P613</f>
        <v>2.2400000000000002</v>
      </c>
    </row>
    <row r="11" spans="2:11" ht="24.9" customHeight="1">
      <c r="B11" s="1741"/>
      <c r="C11" s="2217"/>
      <c r="D11" s="2218" t="str">
        <f t="shared" ref="D11:D17" si="0">" - "&amp;H11&amp;": "&amp;ROUND(J11,1)&amp;" "&amp;I11</f>
        <v xml:space="preserve"> - Cọc tiếp đất Þ 16- 2,4m + kẹp cọc mạ đồng: 1 bộ</v>
      </c>
      <c r="E11" s="2213"/>
      <c r="F11" s="2269"/>
      <c r="G11" s="1448">
        <f t="shared" ref="G11" si="1">IF(K11&gt;0,1,"")</f>
        <v>1</v>
      </c>
      <c r="H11" s="1926" t="str">
        <f>chitiet!F614</f>
        <v>Cọc tiếp đất Þ 16- 2,4m + kẹp cọc mạ đồng</v>
      </c>
      <c r="I11" s="1459" t="str">
        <f>chitiet!G614</f>
        <v>bộ</v>
      </c>
      <c r="J11" s="1459">
        <f>chitiet!H614</f>
        <v>1</v>
      </c>
      <c r="K11" s="2067">
        <f>chitiet!P614</f>
        <v>1</v>
      </c>
    </row>
    <row r="12" spans="2:11" ht="24.9" customHeight="1">
      <c r="C12" s="2217"/>
      <c r="D12" s="2218" t="str">
        <f t="shared" si="0"/>
        <v xml:space="preserve"> - Kẹp ép WR cỡ dây 50mm2: 2 cái</v>
      </c>
      <c r="E12" s="2213"/>
      <c r="F12" s="2269"/>
      <c r="G12" s="1448">
        <f>IF(K12&gt;0,1,"")</f>
        <v>1</v>
      </c>
      <c r="H12" s="1926" t="str">
        <f>chitiet!F615</f>
        <v>Kẹp ép WR cỡ dây 50mm2</v>
      </c>
      <c r="I12" s="1459" t="str">
        <f>chitiet!G615</f>
        <v>cái</v>
      </c>
      <c r="J12" s="1459">
        <f>chitiet!H615</f>
        <v>2</v>
      </c>
      <c r="K12" s="2067">
        <f>chitiet!P615</f>
        <v>2</v>
      </c>
    </row>
    <row r="13" spans="2:11" ht="24.9" customHeight="1">
      <c r="C13" s="2217"/>
      <c r="D13" s="2218" t="str">
        <f t="shared" si="0"/>
        <v xml:space="preserve"> - Ốc siết cáp cỡ 25mm2: 2 cái</v>
      </c>
      <c r="E13" s="2121"/>
      <c r="F13" s="2068"/>
      <c r="G13" s="1448">
        <f t="shared" ref="G13:G15" si="2">IF(K13&gt;0,1,"")</f>
        <v>1</v>
      </c>
      <c r="H13" s="1926" t="str">
        <f>chitiet!F616</f>
        <v>Ốc siết cáp cỡ 25mm2</v>
      </c>
      <c r="I13" s="1459" t="str">
        <f>chitiet!G616</f>
        <v>cái</v>
      </c>
      <c r="J13" s="1459">
        <f>chitiet!H616</f>
        <v>2</v>
      </c>
      <c r="K13" s="1459">
        <f>chitiet!P616</f>
        <v>2</v>
      </c>
    </row>
    <row r="14" spans="2:11" ht="24.9" hidden="1" customHeight="1">
      <c r="C14" s="2217"/>
      <c r="D14" s="2218" t="str">
        <f t="shared" si="0"/>
        <v xml:space="preserve"> - : 0 </v>
      </c>
      <c r="E14" s="2121"/>
      <c r="F14" s="2068"/>
      <c r="G14" s="1448" t="str">
        <f t="shared" si="2"/>
        <v/>
      </c>
      <c r="H14" s="1926"/>
      <c r="I14" s="1459"/>
      <c r="J14" s="1459"/>
      <c r="K14" s="1459"/>
    </row>
    <row r="15" spans="2:11" ht="24.9" hidden="1" customHeight="1">
      <c r="C15" s="2217"/>
      <c r="D15" s="2218" t="str">
        <f t="shared" si="0"/>
        <v xml:space="preserve"> - : 0 </v>
      </c>
      <c r="E15" s="2121"/>
      <c r="F15" s="2068"/>
      <c r="G15" s="1448" t="str">
        <f t="shared" si="2"/>
        <v/>
      </c>
      <c r="H15" s="1926"/>
      <c r="I15" s="1459"/>
      <c r="J15" s="1459"/>
      <c r="K15" s="1459"/>
    </row>
    <row r="16" spans="2:11" ht="24.9" hidden="1" customHeight="1">
      <c r="C16" s="2217"/>
      <c r="D16" s="2218" t="str">
        <f t="shared" si="0"/>
        <v xml:space="preserve"> - : 0 </v>
      </c>
      <c r="E16" s="2121"/>
      <c r="F16" s="2068"/>
      <c r="G16" s="1448" t="str">
        <f>IF(K16&gt;0,1,"")</f>
        <v/>
      </c>
      <c r="H16" s="1926"/>
      <c r="I16" s="1459"/>
      <c r="J16" s="1459"/>
      <c r="K16" s="1459"/>
    </row>
    <row r="17" spans="2:11" ht="27" customHeight="1">
      <c r="C17" s="2059"/>
      <c r="D17" s="2218" t="str">
        <f t="shared" si="0"/>
        <v xml:space="preserve"> - Độ chôn sâu đầu cọc đến mặt đất: 0,5 mét</v>
      </c>
      <c r="E17" s="2214"/>
      <c r="F17" s="2122"/>
      <c r="G17" s="1448">
        <f>G9</f>
        <v>1</v>
      </c>
      <c r="H17" s="2135" t="s">
        <v>4837</v>
      </c>
      <c r="I17" s="2219" t="s">
        <v>2538</v>
      </c>
      <c r="J17" s="2219">
        <v>0.5</v>
      </c>
      <c r="K17" s="2219" t="s">
        <v>1016</v>
      </c>
    </row>
    <row r="18" spans="2:11" ht="24.9" customHeight="1">
      <c r="C18" s="2059"/>
      <c r="D18" s="2216" t="str">
        <f>H18&amp;": "&amp;ROUND(J18,1)&amp;" "&amp;I18</f>
        <v>Bộ tiếp địa Trạm biến áp: 1 Bộ</v>
      </c>
      <c r="E18" s="2213">
        <f>Solieu!B9</f>
        <v>2</v>
      </c>
      <c r="F18" s="2111" t="s">
        <v>4214</v>
      </c>
      <c r="G18" s="1448">
        <v>1</v>
      </c>
      <c r="H18" s="2326" t="str">
        <f>CT_tram!F2612</f>
        <v>Bộ tiếp địa Trạm biến áp</v>
      </c>
      <c r="I18" s="1931" t="str">
        <f>CT_tram!G2612</f>
        <v>Bộ</v>
      </c>
      <c r="J18" s="1931">
        <f>CT_tram!H2612</f>
        <v>1</v>
      </c>
      <c r="K18" s="2327">
        <f>CT_tram!I2612</f>
        <v>1</v>
      </c>
    </row>
    <row r="19" spans="2:11" ht="24.9" customHeight="1">
      <c r="C19" s="2217"/>
      <c r="D19" s="2218" t="str">
        <f>" - "&amp;H19&amp;": "&amp;ROUND(J19,1)&amp;" "&amp;I19</f>
        <v xml:space="preserve"> - Cáp đồng trần M25mm2: 11,9 kg</v>
      </c>
      <c r="E19" s="2213"/>
      <c r="F19" s="2111"/>
      <c r="G19" s="1448">
        <f>IF(K19&gt;0,1,"")</f>
        <v>1</v>
      </c>
      <c r="H19" s="1928" t="str">
        <f>CT_tram!F2614</f>
        <v>Cáp đồng trần M25mm2</v>
      </c>
      <c r="I19" s="1931" t="str">
        <f>CT_tram!G2614</f>
        <v>kg</v>
      </c>
      <c r="J19" s="2067">
        <f>CT_tram!H2614</f>
        <v>11.87</v>
      </c>
      <c r="K19" s="2327">
        <f>CT_tram!I2614</f>
        <v>11.87</v>
      </c>
    </row>
    <row r="20" spans="2:11" ht="24.9" customHeight="1">
      <c r="B20" s="1741"/>
      <c r="C20" s="2217"/>
      <c r="D20" s="2218" t="str">
        <f t="shared" ref="D20:D28" si="3">" - "&amp;H20&amp;": "&amp;ROUND(J20,1)&amp;" "&amp;I20</f>
        <v xml:space="preserve"> - Cọc tiếp đất Þ 16- 2,4m + kẹp cọc: 9 bộ</v>
      </c>
      <c r="E20" s="2213"/>
      <c r="F20" s="2111"/>
      <c r="G20" s="1448">
        <f t="shared" ref="G20" si="4">IF(K20&gt;0,1,"")</f>
        <v>1</v>
      </c>
      <c r="H20" s="1928" t="str">
        <f>CT_tram!F2615</f>
        <v>Cọc tiếp đất Þ 16- 2,4m + kẹp cọc</v>
      </c>
      <c r="I20" s="1931" t="str">
        <f>CT_tram!G2615</f>
        <v>bộ</v>
      </c>
      <c r="J20" s="2067">
        <f>CT_tram!H2615</f>
        <v>9</v>
      </c>
      <c r="K20" s="2327">
        <f>CT_tram!I2615</f>
        <v>9</v>
      </c>
    </row>
    <row r="21" spans="2:11" ht="24.9" customHeight="1">
      <c r="C21" s="2217"/>
      <c r="D21" s="2218" t="str">
        <f t="shared" si="3"/>
        <v xml:space="preserve"> - Kẹp ép WR cỡ dây 50mm2: 2 cái</v>
      </c>
      <c r="E21" s="2213"/>
      <c r="F21" s="2111"/>
      <c r="G21" s="1448">
        <f>IF(K21&gt;0,1,"")</f>
        <v>1</v>
      </c>
      <c r="H21" s="1928" t="str">
        <f>CT_tram!F2617</f>
        <v>Kẹp ép WR cỡ dây 50mm2</v>
      </c>
      <c r="I21" s="1931" t="str">
        <f>CT_tram!G2617</f>
        <v>cái</v>
      </c>
      <c r="J21" s="2067">
        <f>CT_tram!H2617</f>
        <v>2</v>
      </c>
      <c r="K21" s="2327">
        <f>CT_tram!I2617</f>
        <v>2</v>
      </c>
    </row>
    <row r="22" spans="2:11" ht="24.9" customHeight="1">
      <c r="C22" s="2217"/>
      <c r="D22" s="2218" t="str">
        <f t="shared" si="3"/>
        <v xml:space="preserve"> - Ốc siết cáp cỡ 25mm2: 8 cái</v>
      </c>
      <c r="E22" s="2121"/>
      <c r="F22" s="2068"/>
      <c r="G22" s="1448">
        <f t="shared" ref="G22:G26" si="5">IF(K22&gt;0,1,"")</f>
        <v>1</v>
      </c>
      <c r="H22" s="1928" t="str">
        <f>CT_tram!F2618</f>
        <v>Ốc siết cáp cỡ 25mm2</v>
      </c>
      <c r="I22" s="1931" t="str">
        <f>CT_tram!G2618</f>
        <v>cái</v>
      </c>
      <c r="J22" s="1931">
        <f>CT_tram!H2618</f>
        <v>8</v>
      </c>
      <c r="K22" s="2327">
        <f>CT_tram!I2618</f>
        <v>8</v>
      </c>
    </row>
    <row r="23" spans="2:11" ht="24.9" hidden="1" customHeight="1">
      <c r="C23" s="2217"/>
      <c r="D23" s="2218" t="str">
        <f t="shared" ref="D23:D24" si="6">" - "&amp;H23&amp;": "&amp;ROUND(J23,1)&amp;" "&amp;I23</f>
        <v xml:space="preserve"> - : 0 </v>
      </c>
      <c r="E23" s="2121"/>
      <c r="F23" s="2068"/>
      <c r="G23" s="1448" t="str">
        <f t="shared" ref="G23:G24" si="7">IF(K23&gt;0,1,"")</f>
        <v/>
      </c>
      <c r="H23" s="1928"/>
      <c r="I23" s="1931"/>
      <c r="J23" s="1931"/>
      <c r="K23" s="1931"/>
    </row>
    <row r="24" spans="2:11" ht="24.9" hidden="1" customHeight="1">
      <c r="C24" s="2217"/>
      <c r="D24" s="2218" t="str">
        <f t="shared" si="6"/>
        <v xml:space="preserve"> - : 0 </v>
      </c>
      <c r="E24" s="2121"/>
      <c r="F24" s="2068"/>
      <c r="G24" s="1448" t="str">
        <f t="shared" si="7"/>
        <v/>
      </c>
      <c r="H24" s="1928"/>
      <c r="I24" s="1931"/>
      <c r="J24" s="1931"/>
      <c r="K24" s="1931"/>
    </row>
    <row r="25" spans="2:11" ht="24.9" hidden="1" customHeight="1">
      <c r="C25" s="2217"/>
      <c r="D25" s="2218" t="str">
        <f t="shared" si="3"/>
        <v xml:space="preserve"> - : 0 </v>
      </c>
      <c r="E25" s="2121"/>
      <c r="F25" s="2068"/>
      <c r="G25" s="1448" t="str">
        <f t="shared" si="5"/>
        <v/>
      </c>
      <c r="H25" s="1926"/>
      <c r="I25" s="1459"/>
      <c r="J25" s="1459"/>
      <c r="K25" s="1459"/>
    </row>
    <row r="26" spans="2:11" ht="24.9" hidden="1" customHeight="1">
      <c r="C26" s="2217"/>
      <c r="D26" s="2218" t="str">
        <f t="shared" si="3"/>
        <v xml:space="preserve"> - : 0 </v>
      </c>
      <c r="E26" s="2121"/>
      <c r="F26" s="2068"/>
      <c r="G26" s="1448" t="str">
        <f t="shared" si="5"/>
        <v/>
      </c>
      <c r="H26" s="1926"/>
      <c r="I26" s="1459"/>
      <c r="J26" s="1459"/>
      <c r="K26" s="1459"/>
    </row>
    <row r="27" spans="2:11" ht="24.9" customHeight="1">
      <c r="C27" s="2217"/>
      <c r="D27" s="2218" t="str">
        <f t="shared" si="3"/>
        <v xml:space="preserve"> - Khoảng cách cọc cách cọc: 3 mét</v>
      </c>
      <c r="E27" s="2121"/>
      <c r="F27" s="2068"/>
      <c r="G27" s="1448">
        <f>IF(K27&gt;0,1,"")</f>
        <v>1</v>
      </c>
      <c r="H27" s="2135" t="s">
        <v>4838</v>
      </c>
      <c r="I27" s="2219" t="s">
        <v>2538</v>
      </c>
      <c r="J27" s="2219">
        <v>3</v>
      </c>
      <c r="K27" s="1459">
        <v>3</v>
      </c>
    </row>
    <row r="28" spans="2:11" ht="24.9" customHeight="1">
      <c r="C28" s="2059"/>
      <c r="D28" s="2218" t="str">
        <f t="shared" si="3"/>
        <v xml:space="preserve"> - Độ chôn sâu đầu cọc đến mặt đất: 0,5 mét</v>
      </c>
      <c r="E28" s="2214"/>
      <c r="F28" s="2122"/>
      <c r="G28" s="1448">
        <f>G18</f>
        <v>1</v>
      </c>
      <c r="H28" s="2135" t="s">
        <v>4837</v>
      </c>
      <c r="I28" s="2219" t="s">
        <v>2538</v>
      </c>
      <c r="J28" s="2219">
        <v>0.5</v>
      </c>
      <c r="K28" s="2219" t="s">
        <v>1016</v>
      </c>
    </row>
    <row r="29" spans="2:11" ht="24.9" hidden="1" customHeight="1">
      <c r="C29" s="2059"/>
      <c r="D29" s="2216" t="str">
        <f>H29&amp;": "&amp;ROUND(J29,1)&amp;" "&amp;I29</f>
        <v xml:space="preserve">: 0 </v>
      </c>
      <c r="E29" s="2213">
        <f>E18</f>
        <v>2</v>
      </c>
      <c r="F29" s="2111" t="s">
        <v>4214</v>
      </c>
      <c r="G29" s="1448" t="str">
        <f>IF(SUM(G30:G33)&gt;0,1,"")</f>
        <v/>
      </c>
      <c r="H29" s="1927"/>
      <c r="I29" s="1930"/>
      <c r="J29" s="1930"/>
      <c r="K29" s="1930"/>
    </row>
    <row r="30" spans="2:11" ht="24.9" hidden="1" customHeight="1">
      <c r="C30" s="2059"/>
      <c r="D30" s="2218" t="str">
        <f>H30&amp;": "&amp;ROUND(J30,1)&amp;" "&amp;I30</f>
        <v xml:space="preserve">: 0 </v>
      </c>
      <c r="E30" s="2214"/>
      <c r="F30" s="2122"/>
      <c r="G30" s="1448" t="str">
        <f>IF(K30&gt;0,1,"")</f>
        <v/>
      </c>
      <c r="H30" s="1928"/>
      <c r="I30" s="1931"/>
      <c r="J30" s="1931"/>
      <c r="K30" s="1931"/>
    </row>
    <row r="31" spans="2:11" ht="24.9" hidden="1" customHeight="1">
      <c r="C31" s="2059"/>
      <c r="D31" s="2218" t="str">
        <f>" - "&amp;H31&amp;": "&amp;ROUND(J31,1)&amp;" "&amp;I31</f>
        <v xml:space="preserve"> - : 0 </v>
      </c>
      <c r="E31" s="2214"/>
      <c r="F31" s="2122"/>
      <c r="G31" s="1448" t="str">
        <f t="shared" ref="G31:G37" si="8">IF(K31&gt;0,1,"")</f>
        <v/>
      </c>
      <c r="H31" s="1928"/>
      <c r="I31" s="1931"/>
      <c r="J31" s="1931"/>
      <c r="K31" s="1931"/>
    </row>
    <row r="32" spans="2:11" ht="24.9" hidden="1" customHeight="1">
      <c r="C32" s="2059"/>
      <c r="D32" s="2218" t="str">
        <f t="shared" ref="D32:D43" si="9">" - "&amp;H32&amp;": "&amp;ROUND(J32,1)&amp;" "&amp;I32</f>
        <v xml:space="preserve"> - : 0 </v>
      </c>
      <c r="E32" s="2214"/>
      <c r="F32" s="2122"/>
      <c r="G32" s="1448" t="str">
        <f t="shared" si="8"/>
        <v/>
      </c>
      <c r="H32" s="1928"/>
      <c r="I32" s="1931"/>
      <c r="J32" s="1931"/>
      <c r="K32" s="1931"/>
    </row>
    <row r="33" spans="3:11" ht="24.9" hidden="1" customHeight="1">
      <c r="C33" s="2059"/>
      <c r="D33" s="2218" t="str">
        <f t="shared" si="9"/>
        <v xml:space="preserve"> - : 0 </v>
      </c>
      <c r="E33" s="2214"/>
      <c r="F33" s="2122"/>
      <c r="G33" s="1448" t="str">
        <f t="shared" si="8"/>
        <v/>
      </c>
      <c r="H33" s="1928"/>
      <c r="I33" s="1931"/>
      <c r="J33" s="1931"/>
      <c r="K33" s="1931"/>
    </row>
    <row r="34" spans="3:11" ht="24.9" hidden="1" customHeight="1">
      <c r="C34" s="2059"/>
      <c r="D34" s="2218" t="str">
        <f t="shared" si="9"/>
        <v xml:space="preserve"> - : 0 </v>
      </c>
      <c r="E34" s="2213"/>
      <c r="F34" s="2111"/>
      <c r="G34" s="1448" t="str">
        <f t="shared" si="8"/>
        <v/>
      </c>
      <c r="H34" s="1928"/>
      <c r="I34" s="1931"/>
      <c r="J34" s="1931"/>
      <c r="K34" s="1931"/>
    </row>
    <row r="35" spans="3:11" ht="24.9" hidden="1" customHeight="1">
      <c r="C35" s="2059"/>
      <c r="D35" s="2218" t="str">
        <f t="shared" si="9"/>
        <v xml:space="preserve"> - : 0 </v>
      </c>
      <c r="E35" s="2213"/>
      <c r="F35" s="2111"/>
      <c r="G35" s="1448" t="str">
        <f t="shared" si="8"/>
        <v/>
      </c>
      <c r="H35" s="1928"/>
      <c r="I35" s="1931"/>
      <c r="J35" s="1931"/>
      <c r="K35" s="1931"/>
    </row>
    <row r="36" spans="3:11" ht="24.9" hidden="1" customHeight="1">
      <c r="C36" s="2059"/>
      <c r="D36" s="2218" t="str">
        <f t="shared" si="9"/>
        <v xml:space="preserve"> - : 0 </v>
      </c>
      <c r="E36" s="2215"/>
      <c r="F36" s="1973"/>
      <c r="G36" s="1448" t="str">
        <f t="shared" si="8"/>
        <v/>
      </c>
      <c r="H36" s="1926"/>
      <c r="I36" s="1459"/>
      <c r="J36" s="1459"/>
      <c r="K36" s="1459"/>
    </row>
    <row r="37" spans="3:11" ht="24.9" hidden="1" customHeight="1">
      <c r="C37" s="2059"/>
      <c r="D37" s="2218" t="str">
        <f t="shared" si="9"/>
        <v xml:space="preserve"> - : 0 </v>
      </c>
      <c r="E37" s="2215"/>
      <c r="F37" s="1973"/>
      <c r="G37" s="1448" t="str">
        <f t="shared" si="8"/>
        <v/>
      </c>
      <c r="H37" s="1926"/>
      <c r="I37" s="1459"/>
      <c r="J37" s="1459"/>
      <c r="K37" s="1459"/>
    </row>
    <row r="38" spans="3:11" ht="24.9" hidden="1" customHeight="1">
      <c r="C38" s="2059"/>
      <c r="D38" s="2218" t="str">
        <f t="shared" ref="D38:D41" si="10">" - "&amp;H38&amp;": "&amp;ROUND(J38,1)&amp;" "&amp;I38</f>
        <v xml:space="preserve"> - : 0 </v>
      </c>
      <c r="E38" s="2215"/>
      <c r="F38" s="1973"/>
      <c r="G38" s="1448" t="str">
        <f t="shared" ref="G38:G41" si="11">IF(K38&gt;0,1,"")</f>
        <v/>
      </c>
      <c r="H38" s="1926"/>
      <c r="I38" s="1459"/>
      <c r="J38" s="1459"/>
      <c r="K38" s="1459"/>
    </row>
    <row r="39" spans="3:11" ht="24.9" hidden="1" customHeight="1">
      <c r="C39" s="2059"/>
      <c r="D39" s="2218" t="str">
        <f t="shared" si="10"/>
        <v xml:space="preserve"> - : 0 </v>
      </c>
      <c r="E39" s="2215"/>
      <c r="F39" s="1973"/>
      <c r="G39" s="1448" t="str">
        <f t="shared" si="11"/>
        <v/>
      </c>
      <c r="H39" s="1926"/>
      <c r="I39" s="1459"/>
      <c r="J39" s="1459"/>
      <c r="K39" s="1459"/>
    </row>
    <row r="40" spans="3:11" ht="24.9" hidden="1" customHeight="1">
      <c r="C40" s="2059"/>
      <c r="D40" s="2218" t="str">
        <f t="shared" si="10"/>
        <v xml:space="preserve"> - : 0 </v>
      </c>
      <c r="E40" s="2215"/>
      <c r="F40" s="1973"/>
      <c r="G40" s="1448" t="str">
        <f t="shared" si="11"/>
        <v/>
      </c>
      <c r="H40" s="1926"/>
      <c r="I40" s="1459"/>
      <c r="J40" s="1459"/>
      <c r="K40" s="1459"/>
    </row>
    <row r="41" spans="3:11" ht="24.9" hidden="1" customHeight="1">
      <c r="C41" s="2059"/>
      <c r="D41" s="2218" t="str">
        <f t="shared" si="10"/>
        <v xml:space="preserve"> - : 0 </v>
      </c>
      <c r="E41" s="2215"/>
      <c r="F41" s="1973"/>
      <c r="G41" s="1448" t="str">
        <f t="shared" si="11"/>
        <v/>
      </c>
      <c r="H41" s="1926"/>
      <c r="I41" s="1459"/>
      <c r="J41" s="1459"/>
      <c r="K41" s="1459"/>
    </row>
    <row r="42" spans="3:11" ht="24.9" hidden="1" customHeight="1">
      <c r="C42" s="2059"/>
      <c r="D42" s="2218" t="str">
        <f t="shared" si="9"/>
        <v xml:space="preserve"> - Độ chôn sâu đầu cọc đến mặt đất: 0,5 mét</v>
      </c>
      <c r="E42" s="2214"/>
      <c r="F42" s="2122"/>
      <c r="G42" s="1448" t="str">
        <f>G29</f>
        <v/>
      </c>
      <c r="H42" s="2135" t="s">
        <v>4837</v>
      </c>
      <c r="I42" s="2219" t="s">
        <v>2538</v>
      </c>
      <c r="J42" s="2219">
        <v>0.5</v>
      </c>
      <c r="K42" s="2219" t="s">
        <v>1016</v>
      </c>
    </row>
    <row r="43" spans="3:11" ht="24.9" hidden="1" customHeight="1">
      <c r="C43" s="2059"/>
      <c r="D43" s="2218" t="str">
        <f t="shared" si="9"/>
        <v xml:space="preserve"> - Khoảng cách cọc cách cọc: 3 mét</v>
      </c>
      <c r="E43" s="2214"/>
      <c r="F43" s="2122"/>
      <c r="G43" s="1448" t="str">
        <f>G29</f>
        <v/>
      </c>
      <c r="H43" s="2135" t="s">
        <v>4838</v>
      </c>
      <c r="I43" s="2219" t="s">
        <v>2538</v>
      </c>
      <c r="J43" s="2219">
        <v>3</v>
      </c>
      <c r="K43" s="2219"/>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27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B1:L34"/>
  <sheetViews>
    <sheetView topLeftCell="C1" workbookViewId="0">
      <selection activeCell="H10" sqref="H10"/>
    </sheetView>
  </sheetViews>
  <sheetFormatPr defaultColWidth="8.90625" defaultRowHeight="24.9" customHeight="1"/>
  <cols>
    <col min="1" max="2" width="8.90625" style="1448"/>
    <col min="3" max="3" width="6.1796875" style="1448" customWidth="1"/>
    <col min="4" max="4" width="60.6328125" style="2294" customWidth="1"/>
    <col min="5" max="6" width="3.453125" style="1448" customWidth="1"/>
    <col min="7" max="7" width="5.90625" style="1948" bestFit="1" customWidth="1"/>
    <col min="8" max="8" width="30.81640625" style="2294" customWidth="1"/>
    <col min="9" max="16384" width="8.90625" style="1448"/>
  </cols>
  <sheetData>
    <row r="1" spans="2:12" ht="16.8"/>
    <row r="2" spans="2:12" ht="16.8">
      <c r="F2" s="2231">
        <f>72/88</f>
        <v>0.81818181818181823</v>
      </c>
      <c r="G2" s="2274">
        <f>62/88</f>
        <v>0.70454545454545459</v>
      </c>
    </row>
    <row r="3" spans="2:12" ht="16.8">
      <c r="C3" s="2295"/>
      <c r="D3" s="2218"/>
      <c r="E3" s="2295"/>
      <c r="F3" s="2295"/>
    </row>
    <row r="4" spans="2:12" ht="16.8">
      <c r="C4" s="2295"/>
      <c r="D4" s="2218"/>
      <c r="E4" s="2295"/>
      <c r="F4" s="2295"/>
    </row>
    <row r="5" spans="2:12" ht="16.8">
      <c r="C5" s="2295"/>
      <c r="D5" s="2218"/>
      <c r="E5" s="2295"/>
      <c r="F5" s="2295"/>
    </row>
    <row r="6" spans="2:12" ht="16.8">
      <c r="C6" s="3203" t="s">
        <v>4228</v>
      </c>
      <c r="D6" s="3203"/>
      <c r="E6" s="2293"/>
      <c r="F6" s="2293"/>
    </row>
    <row r="7" spans="2:12" ht="31.5" customHeight="1">
      <c r="C7" s="2296"/>
      <c r="D7" s="2297" t="s">
        <v>4235</v>
      </c>
      <c r="E7" s="2222"/>
      <c r="F7" s="2293"/>
      <c r="G7" s="2275">
        <v>1</v>
      </c>
      <c r="H7" s="2291" t="str">
        <f>chitiet!F1832</f>
        <v>Phụ kiện đấu nối đầu đường dây</v>
      </c>
      <c r="I7" s="2292">
        <f>chitiet!G1832</f>
        <v>0</v>
      </c>
      <c r="J7" s="2292"/>
      <c r="K7" s="2292">
        <f>chitiet!H1832</f>
        <v>0</v>
      </c>
      <c r="L7" s="2292"/>
    </row>
    <row r="8" spans="2:12" ht="24.9" customHeight="1">
      <c r="B8" s="2298"/>
      <c r="C8" s="2296"/>
      <c r="D8" s="2299" t="str">
        <f>" - "&amp;H8&amp;": "&amp;K8&amp;" "&amp;I8&amp;"."</f>
        <v xml:space="preserve"> - FCO 27kV - 100A: 3 cái.</v>
      </c>
      <c r="E8" s="2222"/>
      <c r="F8" s="2293"/>
      <c r="G8" s="2275">
        <f>IF(K8&gt;0,1,"")</f>
        <v>1</v>
      </c>
      <c r="H8" s="2227" t="str">
        <f>chitiet!F2274</f>
        <v>FCO 27kV - 100A</v>
      </c>
      <c r="I8" s="2131" t="str">
        <f>chitiet!G2274</f>
        <v>cái</v>
      </c>
      <c r="J8" s="2131">
        <f>chitiet!H2274</f>
        <v>3</v>
      </c>
      <c r="K8" s="2131">
        <f>chitiet!$P$2274</f>
        <v>3</v>
      </c>
      <c r="L8" s="2131"/>
    </row>
    <row r="9" spans="2:12" ht="24.9" customHeight="1">
      <c r="B9" s="2300"/>
      <c r="C9" s="2296"/>
      <c r="D9" s="2299" t="str">
        <f t="shared" ref="D9:D17" si="0">" - "&amp;H9&amp;": "&amp;K9&amp;" "&amp;I9&amp;"."</f>
        <v xml:space="preserve"> - Dây chảy 50K: 3 Sợi.</v>
      </c>
      <c r="E9" s="2222"/>
      <c r="F9" s="2293"/>
      <c r="G9" s="2275">
        <f t="shared" ref="G9:G34" si="1">IF(K9&gt;0,1,"")</f>
        <v>1</v>
      </c>
      <c r="H9" s="2227" t="str">
        <f>chitiet!F2277</f>
        <v>Dây chảy 50K</v>
      </c>
      <c r="I9" s="2131" t="str">
        <f>chitiet!G2277</f>
        <v>Sợi</v>
      </c>
      <c r="J9" s="2131">
        <f>chitiet!H2277</f>
        <v>3</v>
      </c>
      <c r="K9" s="2131">
        <f>chitiet!$P$2277</f>
        <v>3</v>
      </c>
      <c r="L9" s="2131"/>
    </row>
    <row r="10" spans="2:12" ht="24.9" customHeight="1">
      <c r="C10" s="2296"/>
      <c r="D10" s="2299" t="str">
        <f t="shared" si="0"/>
        <v xml:space="preserve"> - Chống sét van LA-18KV-10KA: 3 cái.</v>
      </c>
      <c r="E10" s="2222"/>
      <c r="F10" s="2293"/>
      <c r="G10" s="2275">
        <f t="shared" si="1"/>
        <v>1</v>
      </c>
      <c r="H10" s="2227" t="str">
        <f>chitiet!F2285</f>
        <v>Chống sét van LA-18KV-10KA</v>
      </c>
      <c r="I10" s="2131" t="str">
        <f>chitiet!G2285</f>
        <v>cái</v>
      </c>
      <c r="J10" s="2131">
        <f>chitiet!H2285</f>
        <v>3</v>
      </c>
      <c r="K10" s="2131">
        <f>chitiet!$P$2285</f>
        <v>3</v>
      </c>
      <c r="L10" s="2131"/>
    </row>
    <row r="11" spans="2:12" ht="24.9" customHeight="1">
      <c r="B11" s="2301"/>
      <c r="C11" s="2296"/>
      <c r="D11" s="2299" t="str">
        <f t="shared" si="0"/>
        <v xml:space="preserve"> - Kẹp ép WR cỡ dây 50mm2: 2 cái.</v>
      </c>
      <c r="E11" s="2222"/>
      <c r="F11" s="2293"/>
      <c r="G11" s="2275">
        <f t="shared" si="1"/>
        <v>1</v>
      </c>
      <c r="H11" s="2228" t="str">
        <f>chitiet!F1850</f>
        <v>Kẹp ép WR cỡ dây 50mm2</v>
      </c>
      <c r="I11" s="2131" t="str">
        <f>chitiet!G1850</f>
        <v>cái</v>
      </c>
      <c r="J11" s="2131">
        <f>chitiet!H1850</f>
        <v>2</v>
      </c>
      <c r="K11" s="2131">
        <f>chitiet!$P$1850</f>
        <v>2</v>
      </c>
      <c r="L11" s="2131"/>
    </row>
    <row r="12" spans="2:12" ht="24.9" customHeight="1">
      <c r="C12" s="2296"/>
      <c r="D12" s="2299" t="str">
        <f t="shared" si="0"/>
        <v xml:space="preserve"> - Kẹp ép WR cỡ dây 95mm2: 6 cái.</v>
      </c>
      <c r="E12" s="2222"/>
      <c r="F12" s="2293"/>
      <c r="G12" s="2275">
        <f t="shared" si="1"/>
        <v>1</v>
      </c>
      <c r="H12" s="2227" t="str">
        <f>chitiet!F1852</f>
        <v>Kẹp ép WR cỡ dây 95mm2</v>
      </c>
      <c r="I12" s="2131" t="str">
        <f>chitiet!G1852</f>
        <v>cái</v>
      </c>
      <c r="J12" s="2131">
        <f>chitiet!H1852</f>
        <v>6</v>
      </c>
      <c r="K12" s="2131">
        <f>chitiet!$P$1852</f>
        <v>6</v>
      </c>
      <c r="L12" s="2131"/>
    </row>
    <row r="13" spans="2:12" ht="24.9" customHeight="1">
      <c r="C13" s="2296"/>
      <c r="D13" s="2299" t="str">
        <f t="shared" si="0"/>
        <v xml:space="preserve"> - Đầu cosse ép Cu-Al 50mm2: 6 cái.</v>
      </c>
      <c r="E13" s="2222"/>
      <c r="F13" s="2293"/>
      <c r="G13" s="2275">
        <f t="shared" si="1"/>
        <v>1</v>
      </c>
      <c r="H13" s="2227" t="str">
        <f>chitiet!F1863</f>
        <v>Đầu cosse ép Cu-Al 50mm2</v>
      </c>
      <c r="I13" s="2131" t="str">
        <f>chitiet!G1863</f>
        <v>cái</v>
      </c>
      <c r="J13" s="2131">
        <f>chitiet!H1863</f>
        <v>6</v>
      </c>
      <c r="K13" s="2131">
        <f>chitiet!$P$1863</f>
        <v>6</v>
      </c>
      <c r="L13" s="2131"/>
    </row>
    <row r="14" spans="2:12" ht="24.9" customHeight="1">
      <c r="C14" s="2296"/>
      <c r="D14" s="2299" t="str">
        <f t="shared" si="0"/>
        <v xml:space="preserve"> - Cáp 24KV C/XLPE/PVC 25mm2: 9 mét.</v>
      </c>
      <c r="E14" s="2222"/>
      <c r="F14" s="2293"/>
      <c r="G14" s="2275">
        <f t="shared" si="1"/>
        <v>1</v>
      </c>
      <c r="H14" s="2227" t="str">
        <f>chitiet!F1877</f>
        <v>Cáp 24KV C/XLPE/PVC 25mm2</v>
      </c>
      <c r="I14" s="2131" t="str">
        <f>chitiet!G1877</f>
        <v>mét</v>
      </c>
      <c r="J14" s="2131">
        <f>chitiet!H1877</f>
        <v>9</v>
      </c>
      <c r="K14" s="2131">
        <f>chitiet!$P$1877</f>
        <v>9</v>
      </c>
      <c r="L14" s="2131"/>
    </row>
    <row r="15" spans="2:12" ht="24.9" customHeight="1">
      <c r="C15" s="2296"/>
      <c r="D15" s="2299" t="str">
        <f t="shared" si="0"/>
        <v xml:space="preserve"> - :  .</v>
      </c>
      <c r="E15" s="2222"/>
      <c r="F15" s="2293"/>
      <c r="G15" s="2275" t="str">
        <f t="shared" si="1"/>
        <v/>
      </c>
    </row>
    <row r="16" spans="2:12" ht="24.9" customHeight="1">
      <c r="C16" s="2296"/>
      <c r="D16" s="2299" t="str">
        <f t="shared" si="0"/>
        <v xml:space="preserve"> - :  .</v>
      </c>
      <c r="E16" s="2222"/>
      <c r="F16" s="2293"/>
      <c r="G16" s="2275" t="str">
        <f t="shared" si="1"/>
        <v/>
      </c>
    </row>
    <row r="17" spans="2:12" ht="24.9" customHeight="1">
      <c r="C17" s="2296"/>
      <c r="D17" s="2299" t="str">
        <f t="shared" si="0"/>
        <v xml:space="preserve"> - :  .</v>
      </c>
      <c r="E17" s="2222"/>
      <c r="F17" s="2293"/>
      <c r="G17" s="2275" t="str">
        <f t="shared" si="1"/>
        <v/>
      </c>
    </row>
    <row r="18" spans="2:12" ht="24.9" customHeight="1">
      <c r="C18" s="2296"/>
      <c r="D18" s="2299"/>
      <c r="E18" s="2222"/>
      <c r="F18" s="2293"/>
      <c r="G18" s="2275" t="str">
        <f t="shared" si="1"/>
        <v/>
      </c>
    </row>
    <row r="19" spans="2:12" ht="24.9" customHeight="1">
      <c r="C19" s="2296"/>
      <c r="D19" s="2299"/>
      <c r="E19" s="2222"/>
      <c r="F19" s="2293"/>
      <c r="G19" s="2275" t="str">
        <f t="shared" si="1"/>
        <v/>
      </c>
    </row>
    <row r="20" spans="2:12" ht="24.9" customHeight="1">
      <c r="B20" s="2301"/>
      <c r="C20" s="2302"/>
      <c r="D20" s="2297" t="s">
        <v>4581</v>
      </c>
      <c r="E20" s="2222"/>
      <c r="F20" s="2223"/>
      <c r="G20" s="2275" t="str">
        <f t="shared" si="1"/>
        <v/>
      </c>
      <c r="H20" s="2303"/>
      <c r="I20" s="2303"/>
      <c r="J20" s="2303"/>
      <c r="K20" s="2303"/>
      <c r="L20" s="2303"/>
    </row>
    <row r="21" spans="2:12" ht="24.9" customHeight="1">
      <c r="B21" s="2301"/>
      <c r="C21" s="2302"/>
      <c r="D21" s="2299" t="e">
        <f t="shared" ref="D21:D34" si="2">" - "&amp;H21&amp;": "&amp;L21&amp;" "&amp;I21&amp;"."</f>
        <v>#REF!</v>
      </c>
      <c r="E21" s="2222"/>
      <c r="F21" s="2223"/>
      <c r="G21" s="2275">
        <f t="shared" si="1"/>
        <v>1</v>
      </c>
      <c r="H21" s="2294" t="e">
        <f>#REF!</f>
        <v>#REF!</v>
      </c>
      <c r="I21" s="1448" t="e">
        <f>#REF!</f>
        <v>#REF!</v>
      </c>
      <c r="J21" s="1448" t="e">
        <f>#REF!</f>
        <v>#REF!</v>
      </c>
      <c r="K21" s="1448">
        <v>5</v>
      </c>
    </row>
    <row r="22" spans="2:12" ht="24.9" customHeight="1">
      <c r="B22" s="2301"/>
      <c r="C22" s="2302"/>
      <c r="D22" s="2299" t="str">
        <f t="shared" si="2"/>
        <v xml:space="preserve"> - :  .</v>
      </c>
      <c r="E22" s="2222"/>
      <c r="F22" s="2223"/>
      <c r="G22" s="2275" t="str">
        <f t="shared" si="1"/>
        <v/>
      </c>
    </row>
    <row r="23" spans="2:12" ht="24.9" customHeight="1">
      <c r="B23" s="2304"/>
      <c r="C23" s="2302"/>
      <c r="D23" s="2299" t="e">
        <f t="shared" si="2"/>
        <v>#REF!</v>
      </c>
      <c r="E23" s="2222"/>
      <c r="F23" s="2223"/>
      <c r="G23" s="2275">
        <f t="shared" si="1"/>
        <v>1</v>
      </c>
      <c r="H23" s="2294" t="e">
        <f>#REF!</f>
        <v>#REF!</v>
      </c>
      <c r="I23" s="1448" t="e">
        <f>#REF!</f>
        <v>#REF!</v>
      </c>
      <c r="J23" s="1448">
        <v>8</v>
      </c>
      <c r="K23" s="1448">
        <v>8</v>
      </c>
    </row>
    <row r="24" spans="2:12" ht="24.9" customHeight="1">
      <c r="C24" s="2295"/>
      <c r="D24" s="2299" t="str">
        <f t="shared" si="2"/>
        <v xml:space="preserve"> - :  .</v>
      </c>
      <c r="E24" s="2295"/>
      <c r="F24" s="2295"/>
      <c r="G24" s="2275" t="str">
        <f t="shared" si="1"/>
        <v/>
      </c>
    </row>
    <row r="25" spans="2:12" ht="24.9" customHeight="1">
      <c r="C25" s="2295"/>
      <c r="D25" s="2299" t="str">
        <f t="shared" si="2"/>
        <v xml:space="preserve"> - :  .</v>
      </c>
      <c r="E25" s="2295"/>
      <c r="F25" s="2295"/>
      <c r="G25" s="2275" t="str">
        <f t="shared" si="1"/>
        <v/>
      </c>
    </row>
    <row r="26" spans="2:12" ht="24.9" customHeight="1">
      <c r="C26" s="2295"/>
      <c r="D26" s="2299" t="str">
        <f t="shared" si="2"/>
        <v xml:space="preserve"> - :  .</v>
      </c>
      <c r="E26" s="2295"/>
      <c r="F26" s="2295"/>
      <c r="G26" s="2275" t="str">
        <f t="shared" si="1"/>
        <v/>
      </c>
    </row>
    <row r="27" spans="2:12" ht="24.9" customHeight="1">
      <c r="D27" s="2299" t="str">
        <f t="shared" si="2"/>
        <v xml:space="preserve"> - :  .</v>
      </c>
      <c r="G27" s="2275" t="str">
        <f t="shared" si="1"/>
        <v/>
      </c>
    </row>
    <row r="28" spans="2:12" ht="24.9" customHeight="1">
      <c r="D28" s="2299" t="str">
        <f t="shared" si="2"/>
        <v xml:space="preserve"> - :  .</v>
      </c>
      <c r="G28" s="2275" t="str">
        <f t="shared" si="1"/>
        <v/>
      </c>
    </row>
    <row r="29" spans="2:12" ht="24.9" customHeight="1">
      <c r="D29" s="2299" t="str">
        <f t="shared" si="2"/>
        <v xml:space="preserve"> - :  .</v>
      </c>
      <c r="G29" s="2275" t="str">
        <f t="shared" si="1"/>
        <v/>
      </c>
    </row>
    <row r="30" spans="2:12" ht="24.9" customHeight="1">
      <c r="D30" s="2299" t="str">
        <f t="shared" si="2"/>
        <v xml:space="preserve"> - :  .</v>
      </c>
      <c r="G30" s="2275" t="str">
        <f t="shared" si="1"/>
        <v/>
      </c>
    </row>
    <row r="31" spans="2:12" ht="24.9" customHeight="1">
      <c r="D31" s="2299" t="str">
        <f t="shared" si="2"/>
        <v xml:space="preserve"> - :  .</v>
      </c>
      <c r="G31" s="2275" t="str">
        <f t="shared" si="1"/>
        <v/>
      </c>
    </row>
    <row r="32" spans="2:12" ht="24.9" customHeight="1">
      <c r="D32" s="2299" t="str">
        <f t="shared" si="2"/>
        <v xml:space="preserve"> - :  .</v>
      </c>
      <c r="G32" s="2275" t="str">
        <f t="shared" si="1"/>
        <v/>
      </c>
    </row>
    <row r="33" spans="4:7" ht="24.9" customHeight="1">
      <c r="D33" s="2299" t="str">
        <f t="shared" si="2"/>
        <v xml:space="preserve"> - :  .</v>
      </c>
      <c r="G33" s="2275" t="str">
        <f t="shared" si="1"/>
        <v/>
      </c>
    </row>
    <row r="34" spans="4:7" ht="24.9" customHeight="1">
      <c r="D34" s="2299" t="str">
        <f t="shared" si="2"/>
        <v xml:space="preserve"> - :  .</v>
      </c>
      <c r="G34" s="2275" t="str">
        <f t="shared" si="1"/>
        <v/>
      </c>
    </row>
  </sheetData>
  <autoFilter ref="G6:G34" xr:uid="{00000000-0009-0000-0000-000028000000}"/>
  <mergeCells count="1">
    <mergeCell ref="C6:D6"/>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87" customWidth="1"/>
    <col min="3" max="3" width="48.54296875" style="1486" customWidth="1"/>
    <col min="4" max="4" width="7.81640625" customWidth="1"/>
    <col min="5" max="5" width="8.1796875" customWidth="1"/>
    <col min="6" max="6" width="10.453125" customWidth="1"/>
    <col min="7" max="7" width="50.08984375" style="1497" customWidth="1"/>
  </cols>
  <sheetData>
    <row r="2" spans="2:7">
      <c r="B2" s="1508" t="s">
        <v>4211</v>
      </c>
      <c r="C2" s="1509" t="s">
        <v>4514</v>
      </c>
      <c r="D2" s="1510" t="s">
        <v>1414</v>
      </c>
      <c r="E2" s="1511"/>
      <c r="F2" s="1282" t="s">
        <v>4211</v>
      </c>
    </row>
    <row r="3" spans="2:7">
      <c r="B3" s="1512">
        <v>43874</v>
      </c>
      <c r="C3" s="1513" t="s">
        <v>4512</v>
      </c>
      <c r="D3" s="1514" t="s">
        <v>512</v>
      </c>
      <c r="E3" s="1515"/>
      <c r="F3" s="1487"/>
      <c r="G3" s="1503" t="s">
        <v>4168</v>
      </c>
    </row>
    <row r="4" spans="2:7">
      <c r="B4" s="1512"/>
      <c r="C4" s="1513" t="s">
        <v>4513</v>
      </c>
      <c r="D4" s="1514" t="s">
        <v>512</v>
      </c>
      <c r="E4" s="1515"/>
      <c r="F4" s="1487"/>
      <c r="G4" s="1503" t="s">
        <v>4169</v>
      </c>
    </row>
    <row r="5" spans="2:7">
      <c r="B5" s="1512"/>
      <c r="C5" s="1513" t="s">
        <v>4515</v>
      </c>
      <c r="D5" s="1514" t="s">
        <v>512</v>
      </c>
      <c r="E5" s="1515"/>
      <c r="F5" s="1487"/>
      <c r="G5" s="1503" t="s">
        <v>4170</v>
      </c>
    </row>
    <row r="6" spans="2:7" hidden="1">
      <c r="B6" s="1512"/>
      <c r="C6" s="1516" t="e">
        <f>'2Mong'!E4</f>
        <v>#N/A</v>
      </c>
      <c r="D6" s="1517">
        <f ca="1">'2Mong'!H4</f>
        <v>0</v>
      </c>
      <c r="E6" s="1515"/>
      <c r="F6" s="1487"/>
      <c r="G6" s="1503" t="s">
        <v>4171</v>
      </c>
    </row>
    <row r="7" spans="2:7" hidden="1">
      <c r="B7" s="1512"/>
      <c r="C7" s="1516" t="e">
        <f>'2Mong'!E5</f>
        <v>#N/A</v>
      </c>
      <c r="D7" s="1517">
        <f ca="1">'2Mong'!H5</f>
        <v>0</v>
      </c>
      <c r="E7" s="1515"/>
      <c r="F7" s="1487"/>
      <c r="G7" s="1503" t="s">
        <v>4172</v>
      </c>
    </row>
    <row r="8" spans="2:7" hidden="1">
      <c r="B8" s="1512"/>
      <c r="C8" s="1516" t="e">
        <f>'2Mong'!E6</f>
        <v>#N/A</v>
      </c>
      <c r="D8" s="1517">
        <f ca="1">'2Mong'!H6</f>
        <v>0</v>
      </c>
      <c r="E8" s="1515"/>
      <c r="F8" s="1487">
        <v>42719</v>
      </c>
      <c r="G8" s="1503" t="s">
        <v>4173</v>
      </c>
    </row>
    <row r="9" spans="2:7" hidden="1">
      <c r="B9" s="1512"/>
      <c r="C9" s="1516" t="e">
        <f>'2Mong'!E7</f>
        <v>#N/A</v>
      </c>
      <c r="D9" s="1517">
        <f ca="1">'2Mong'!H7</f>
        <v>0</v>
      </c>
      <c r="E9" s="1515"/>
      <c r="F9" s="1487">
        <v>42713</v>
      </c>
      <c r="G9" s="1503" t="s">
        <v>4174</v>
      </c>
    </row>
    <row r="10" spans="2:7" hidden="1">
      <c r="B10" s="1512"/>
      <c r="C10" s="1516" t="e">
        <f>'2Mong'!E8</f>
        <v>#N/A</v>
      </c>
      <c r="D10" s="1517">
        <f ca="1">'2Mong'!H8</f>
        <v>0</v>
      </c>
      <c r="E10" s="1515"/>
      <c r="F10" s="1487"/>
      <c r="G10" s="1503" t="s">
        <v>4175</v>
      </c>
    </row>
    <row r="11" spans="2:7" hidden="1">
      <c r="B11" s="1512"/>
      <c r="C11" s="1516" t="e">
        <f>'2Mong'!E9</f>
        <v>#N/A</v>
      </c>
      <c r="D11" s="1517">
        <f ca="1">'2Mong'!H9</f>
        <v>0</v>
      </c>
      <c r="E11" s="1515"/>
      <c r="F11" s="1487">
        <v>42719</v>
      </c>
      <c r="G11" s="1503" t="s">
        <v>4176</v>
      </c>
    </row>
    <row r="12" spans="2:7" hidden="1">
      <c r="B12" s="1512"/>
      <c r="C12" s="1516" t="e">
        <f>'2Mong'!E10</f>
        <v>#N/A</v>
      </c>
      <c r="D12" s="1517">
        <f ca="1">'2Mong'!H10</f>
        <v>0</v>
      </c>
      <c r="E12" s="1515"/>
      <c r="F12" s="1487"/>
      <c r="G12" s="1503" t="s">
        <v>4177</v>
      </c>
    </row>
    <row r="13" spans="2:7" hidden="1">
      <c r="B13" s="1512"/>
      <c r="C13" s="1516" t="e">
        <f>'2Mong'!E11</f>
        <v>#N/A</v>
      </c>
      <c r="D13" s="1517">
        <f ca="1">'2Mong'!H11</f>
        <v>0</v>
      </c>
      <c r="E13" s="1515"/>
      <c r="F13" s="1487"/>
      <c r="G13" s="1503" t="s">
        <v>4178</v>
      </c>
    </row>
    <row r="14" spans="2:7" hidden="1">
      <c r="B14" s="1512"/>
      <c r="C14" s="1516" t="e">
        <f>'2Mong'!E12</f>
        <v>#N/A</v>
      </c>
      <c r="D14" s="1517">
        <f ca="1">'2Mong'!H12</f>
        <v>0</v>
      </c>
      <c r="E14" s="1515"/>
      <c r="F14" s="1487"/>
      <c r="G14" s="1503" t="s">
        <v>4179</v>
      </c>
    </row>
    <row r="15" spans="2:7">
      <c r="B15" s="1512"/>
      <c r="C15" s="1516" t="e">
        <f>'2Mong'!#REF!</f>
        <v>#REF!</v>
      </c>
      <c r="D15" s="1517" t="e">
        <f>'2Mong'!#REF!</f>
        <v>#REF!</v>
      </c>
      <c r="E15" s="1515"/>
      <c r="F15" s="1487"/>
      <c r="G15" s="1503" t="s">
        <v>4180</v>
      </c>
    </row>
    <row r="16" spans="2:7" hidden="1">
      <c r="B16" s="1512"/>
      <c r="C16" s="1516" t="e">
        <f>'2Mong'!#REF!</f>
        <v>#REF!</v>
      </c>
      <c r="D16" s="1517" t="e">
        <f>'2Mong'!#REF!</f>
        <v>#REF!</v>
      </c>
      <c r="E16" s="1515"/>
      <c r="F16" s="1487"/>
      <c r="G16" s="1503" t="s">
        <v>4181</v>
      </c>
    </row>
    <row r="17" spans="2:7" hidden="1">
      <c r="B17" s="1512"/>
      <c r="C17" s="1516" t="e">
        <f>'2Mong'!#REF!</f>
        <v>#REF!</v>
      </c>
      <c r="D17" s="1517" t="e">
        <f>'2Mong'!#REF!</f>
        <v>#REF!</v>
      </c>
      <c r="E17" s="1515"/>
      <c r="F17" s="1487"/>
      <c r="G17" s="1503" t="s">
        <v>4182</v>
      </c>
    </row>
    <row r="18" spans="2:7" hidden="1">
      <c r="B18" s="1512"/>
      <c r="C18" s="1516" t="e">
        <f>'2Mong'!#REF!</f>
        <v>#REF!</v>
      </c>
      <c r="D18" s="1517" t="e">
        <f>'2Mong'!#REF!</f>
        <v>#REF!</v>
      </c>
      <c r="E18" s="1515"/>
      <c r="F18" s="1487"/>
      <c r="G18" s="1503" t="s">
        <v>4183</v>
      </c>
    </row>
    <row r="19" spans="2:7" hidden="1">
      <c r="B19" s="1512"/>
      <c r="C19" s="1516" t="e">
        <f>'2Mong'!#REF!</f>
        <v>#REF!</v>
      </c>
      <c r="D19" s="1517" t="e">
        <f>'2Mong'!#REF!</f>
        <v>#REF!</v>
      </c>
      <c r="E19" s="1515"/>
      <c r="F19" s="1487"/>
      <c r="G19" s="1503" t="s">
        <v>4184</v>
      </c>
    </row>
    <row r="20" spans="2:7" hidden="1">
      <c r="B20" s="1512"/>
      <c r="C20" s="1516" t="e">
        <f>'2Mong'!#REF!</f>
        <v>#REF!</v>
      </c>
      <c r="D20" s="1517" t="e">
        <f>'2Mong'!#REF!</f>
        <v>#REF!</v>
      </c>
      <c r="E20" s="1515"/>
      <c r="F20" s="1487"/>
      <c r="G20" s="1503" t="s">
        <v>4185</v>
      </c>
    </row>
    <row r="21" spans="2:7" hidden="1">
      <c r="B21" s="1512"/>
      <c r="C21" s="1516" t="e">
        <f>'2Mong'!#REF!</f>
        <v>#REF!</v>
      </c>
      <c r="D21" s="1517" t="e">
        <f>'2Mong'!#REF!</f>
        <v>#REF!</v>
      </c>
      <c r="E21" s="1515"/>
    </row>
    <row r="22" spans="2:7" hidden="1">
      <c r="B22" s="1512"/>
      <c r="C22" s="1516" t="e">
        <f>'2Mong'!#REF!</f>
        <v>#REF!</v>
      </c>
      <c r="D22" s="1517" t="e">
        <f>'2Mong'!#REF!</f>
        <v>#REF!</v>
      </c>
      <c r="E22" s="1515"/>
    </row>
    <row r="23" spans="2:7" hidden="1">
      <c r="B23" s="1512"/>
      <c r="C23" s="1516" t="e">
        <f>'2Mong'!#REF!</f>
        <v>#REF!</v>
      </c>
      <c r="D23" s="1517" t="e">
        <f>'2Mong'!#REF!</f>
        <v>#REF!</v>
      </c>
      <c r="E23" s="1515"/>
    </row>
    <row r="24" spans="2:7" hidden="1">
      <c r="B24" s="1512"/>
      <c r="C24" s="1516" t="e">
        <f>'2Mong'!#REF!</f>
        <v>#REF!</v>
      </c>
      <c r="D24" s="1517" t="e">
        <f>'2Mong'!#REF!</f>
        <v>#REF!</v>
      </c>
      <c r="E24" s="1515"/>
    </row>
    <row r="25" spans="2:7" hidden="1">
      <c r="B25" s="1512"/>
      <c r="C25" s="1516" t="e">
        <f>'2Mong'!#REF!</f>
        <v>#REF!</v>
      </c>
      <c r="D25" s="1517" t="e">
        <f>'2Mong'!#REF!</f>
        <v>#REF!</v>
      </c>
      <c r="E25" s="1515"/>
    </row>
    <row r="26" spans="2:7" hidden="1">
      <c r="B26" s="1512"/>
      <c r="C26" s="1516" t="e">
        <f>'2Mong'!#REF!</f>
        <v>#REF!</v>
      </c>
      <c r="D26" s="1517" t="e">
        <f>'2Mong'!#REF!</f>
        <v>#REF!</v>
      </c>
      <c r="E26" s="1515"/>
    </row>
    <row r="27" spans="2:7" hidden="1">
      <c r="B27" s="1512"/>
      <c r="C27" s="1516" t="e">
        <f>'2Mong'!#REF!</f>
        <v>#REF!</v>
      </c>
      <c r="D27" s="1517" t="e">
        <f>'2Mong'!#REF!</f>
        <v>#REF!</v>
      </c>
      <c r="E27" s="1515"/>
    </row>
    <row r="28" spans="2:7" hidden="1">
      <c r="B28" s="1512"/>
      <c r="C28" s="1516" t="e">
        <f>'2Mong'!#REF!</f>
        <v>#REF!</v>
      </c>
      <c r="D28" s="1517" t="e">
        <f>'2Mong'!#REF!</f>
        <v>#REF!</v>
      </c>
      <c r="E28" s="1515"/>
    </row>
    <row r="29" spans="2:7" hidden="1">
      <c r="B29" s="1512"/>
      <c r="C29" s="1516" t="e">
        <f>'2Mong'!#REF!</f>
        <v>#REF!</v>
      </c>
      <c r="D29" s="1517" t="e">
        <f>'2Mong'!#REF!</f>
        <v>#REF!</v>
      </c>
      <c r="E29" s="1515"/>
    </row>
    <row r="30" spans="2:7" hidden="1">
      <c r="B30" s="1512"/>
      <c r="C30" s="1516" t="e">
        <f>'2Mong'!#REF!</f>
        <v>#REF!</v>
      </c>
      <c r="D30" s="1517" t="e">
        <f>'2Mong'!#REF!</f>
        <v>#REF!</v>
      </c>
      <c r="E30" s="1515"/>
    </row>
    <row r="31" spans="2:7" hidden="1">
      <c r="B31" s="1512"/>
      <c r="C31" s="1516" t="e">
        <f>'2Mong'!#REF!</f>
        <v>#REF!</v>
      </c>
      <c r="D31" s="1517" t="e">
        <f>'2Mong'!#REF!</f>
        <v>#REF!</v>
      </c>
      <c r="E31" s="1515"/>
    </row>
    <row r="32" spans="2:7" hidden="1">
      <c r="B32" s="1512"/>
      <c r="C32" s="1516" t="e">
        <f>'2Mong'!#REF!</f>
        <v>#REF!</v>
      </c>
      <c r="D32" s="1517" t="e">
        <f>'2Mong'!#REF!</f>
        <v>#REF!</v>
      </c>
      <c r="E32" s="1515"/>
    </row>
    <row r="33" spans="2:7" hidden="1">
      <c r="B33" s="1512"/>
      <c r="C33" s="1516" t="e">
        <f>'2Mong'!#REF!</f>
        <v>#REF!</v>
      </c>
      <c r="D33" s="1517" t="e">
        <f>'2Mong'!#REF!</f>
        <v>#REF!</v>
      </c>
      <c r="E33" s="1515"/>
    </row>
    <row r="34" spans="2:7" hidden="1">
      <c r="B34" s="1512"/>
      <c r="C34" s="1516" t="e">
        <f>'2Mong'!#REF!</f>
        <v>#REF!</v>
      </c>
      <c r="D34" s="1517" t="e">
        <f>'2Mong'!#REF!</f>
        <v>#REF!</v>
      </c>
      <c r="E34" s="1515"/>
    </row>
    <row r="35" spans="2:7" hidden="1">
      <c r="B35" s="1512"/>
      <c r="C35" s="1516" t="e">
        <f>'2Mong'!#REF!</f>
        <v>#REF!</v>
      </c>
      <c r="D35" s="1517" t="e">
        <f>'2Mong'!#REF!</f>
        <v>#REF!</v>
      </c>
      <c r="E35" s="1515"/>
    </row>
    <row r="36" spans="2:7" hidden="1">
      <c r="B36" s="1512"/>
      <c r="C36" s="1516" t="e">
        <f>'2Mong'!#REF!</f>
        <v>#REF!</v>
      </c>
      <c r="D36" s="1517" t="e">
        <f>'2Mong'!#REF!</f>
        <v>#REF!</v>
      </c>
      <c r="E36" s="1515"/>
    </row>
    <row r="37" spans="2:7" hidden="1">
      <c r="B37" s="1512"/>
      <c r="C37" s="1516" t="e">
        <f>'2Mong'!#REF!</f>
        <v>#REF!</v>
      </c>
      <c r="D37" s="1517" t="e">
        <f>'2Mong'!#REF!</f>
        <v>#REF!</v>
      </c>
      <c r="E37" s="1515"/>
    </row>
    <row r="38" spans="2:7" hidden="1">
      <c r="B38" s="1512"/>
      <c r="C38" s="1516" t="e">
        <f>'2Mong'!#REF!</f>
        <v>#REF!</v>
      </c>
      <c r="D38" s="1517" t="e">
        <f>'2Mong'!#REF!</f>
        <v>#REF!</v>
      </c>
      <c r="E38" s="1515"/>
    </row>
    <row r="39" spans="2:7" hidden="1">
      <c r="B39" s="1512"/>
      <c r="C39" s="1516" t="e">
        <f>'2Mong'!#REF!</f>
        <v>#REF!</v>
      </c>
      <c r="D39" s="1517" t="e">
        <f>'2Mong'!#REF!</f>
        <v>#REF!</v>
      </c>
      <c r="E39" s="1515"/>
    </row>
    <row r="40" spans="2:7" hidden="1">
      <c r="B40" s="1512"/>
      <c r="C40" s="1516" t="e">
        <f>'2Mong'!#REF!</f>
        <v>#REF!</v>
      </c>
      <c r="D40" s="1517" t="e">
        <f>'2Mong'!#REF!</f>
        <v>#REF!</v>
      </c>
      <c r="E40" s="1515"/>
    </row>
    <row r="41" spans="2:7" hidden="1">
      <c r="B41" s="1512"/>
      <c r="C41" s="1516" t="e">
        <f>'2Mong'!#REF!</f>
        <v>#REF!</v>
      </c>
      <c r="D41" s="1517" t="e">
        <f>'2Mong'!#REF!</f>
        <v>#REF!</v>
      </c>
      <c r="E41" s="1515"/>
    </row>
    <row r="42" spans="2:7" s="1282" customFormat="1" hidden="1">
      <c r="B42" s="1512"/>
      <c r="C42" s="1516" t="e">
        <f>'2Mong'!#REF!</f>
        <v>#REF!</v>
      </c>
      <c r="D42" s="1517" t="e">
        <f>'2Mong'!#REF!</f>
        <v>#REF!</v>
      </c>
      <c r="E42" s="1515"/>
      <c r="G42" s="1497"/>
    </row>
    <row r="43" spans="2:7" s="1282" customFormat="1" hidden="1">
      <c r="B43" s="1512"/>
      <c r="C43" s="1516" t="e">
        <f>'2Mong'!#REF!</f>
        <v>#REF!</v>
      </c>
      <c r="D43" s="1517" t="e">
        <f>'2Mong'!#REF!</f>
        <v>#REF!</v>
      </c>
      <c r="E43" s="1515"/>
      <c r="G43" s="1497"/>
    </row>
    <row r="44" spans="2:7" s="1282" customFormat="1" hidden="1">
      <c r="B44" s="1512"/>
      <c r="C44" s="1516" t="e">
        <f>'2Mong'!#REF!</f>
        <v>#REF!</v>
      </c>
      <c r="D44" s="1517" t="e">
        <f>'2Mong'!#REF!</f>
        <v>#REF!</v>
      </c>
      <c r="E44" s="1515"/>
      <c r="G44" s="1497"/>
    </row>
    <row r="45" spans="2:7" s="1282" customFormat="1" hidden="1">
      <c r="B45" s="1512"/>
      <c r="C45" s="1516" t="e">
        <f>'2Mong'!#REF!</f>
        <v>#REF!</v>
      </c>
      <c r="D45" s="1517" t="e">
        <f>'2Mong'!#REF!</f>
        <v>#REF!</v>
      </c>
      <c r="E45" s="1515"/>
      <c r="G45" s="1497"/>
    </row>
    <row r="46" spans="2:7" s="1282" customFormat="1" hidden="1">
      <c r="B46" s="1512"/>
      <c r="C46" s="1516" t="e">
        <f>'2Mong'!#REF!</f>
        <v>#REF!</v>
      </c>
      <c r="D46" s="1517" t="e">
        <f>'2Mong'!#REF!</f>
        <v>#REF!</v>
      </c>
      <c r="E46" s="1515"/>
      <c r="G46" s="1497"/>
    </row>
    <row r="47" spans="2:7" s="1282" customFormat="1" hidden="1">
      <c r="B47" s="1512"/>
      <c r="C47" s="1516" t="e">
        <f>'2Mong'!#REF!</f>
        <v>#REF!</v>
      </c>
      <c r="D47" s="1517" t="e">
        <f>'2Mong'!#REF!</f>
        <v>#REF!</v>
      </c>
      <c r="E47" s="1515"/>
      <c r="G47" s="1497"/>
    </row>
    <row r="48" spans="2:7" s="1282" customFormat="1" hidden="1">
      <c r="B48" s="1512"/>
      <c r="C48" s="1516" t="e">
        <f>'2Mong'!#REF!</f>
        <v>#REF!</v>
      </c>
      <c r="D48" s="1517" t="e">
        <f>'2Mong'!#REF!</f>
        <v>#REF!</v>
      </c>
      <c r="E48" s="1515"/>
      <c r="G48" s="1497"/>
    </row>
    <row r="49" spans="2:7" s="1282" customFormat="1" hidden="1">
      <c r="B49" s="1512"/>
      <c r="C49" s="1516" t="e">
        <f>'2Mong'!#REF!</f>
        <v>#REF!</v>
      </c>
      <c r="D49" s="1517" t="e">
        <f>'2Mong'!#REF!</f>
        <v>#REF!</v>
      </c>
      <c r="E49" s="1515"/>
      <c r="G49" s="1497"/>
    </row>
    <row r="50" spans="2:7" s="1282" customFormat="1" hidden="1">
      <c r="B50" s="1512"/>
      <c r="C50" s="1516" t="e">
        <f>'2Mong'!#REF!</f>
        <v>#REF!</v>
      </c>
      <c r="D50" s="1517" t="e">
        <f>'2Mong'!#REF!</f>
        <v>#REF!</v>
      </c>
      <c r="E50" s="1515"/>
      <c r="G50" s="1497"/>
    </row>
    <row r="51" spans="2:7" s="1282" customFormat="1" hidden="1">
      <c r="B51" s="1512"/>
      <c r="C51" s="1516" t="e">
        <f>'2Mong'!#REF!</f>
        <v>#REF!</v>
      </c>
      <c r="D51" s="1517" t="e">
        <f>'2Mong'!#REF!</f>
        <v>#REF!</v>
      </c>
      <c r="E51" s="1515"/>
      <c r="G51" s="1497"/>
    </row>
    <row r="52" spans="2:7" s="1282" customFormat="1" hidden="1">
      <c r="B52" s="1512"/>
      <c r="C52" s="1516" t="e">
        <f>'2Mong'!#REF!</f>
        <v>#REF!</v>
      </c>
      <c r="D52" s="1517" t="e">
        <f>'2Mong'!#REF!</f>
        <v>#REF!</v>
      </c>
      <c r="E52" s="1515"/>
      <c r="G52" s="1497"/>
    </row>
    <row r="53" spans="2:7" s="1282" customFormat="1" hidden="1">
      <c r="B53" s="1512"/>
      <c r="C53" s="1516" t="e">
        <f>'2Mong'!#REF!</f>
        <v>#REF!</v>
      </c>
      <c r="D53" s="1517" t="e">
        <f>'2Mong'!#REF!</f>
        <v>#REF!</v>
      </c>
      <c r="E53" s="1515"/>
      <c r="G53" s="1497"/>
    </row>
    <row r="54" spans="2:7" s="1282" customFormat="1" hidden="1">
      <c r="B54" s="1512"/>
      <c r="C54" s="1516" t="e">
        <f>'2Mong'!#REF!</f>
        <v>#REF!</v>
      </c>
      <c r="D54" s="1517" t="e">
        <f>'2Mong'!#REF!</f>
        <v>#REF!</v>
      </c>
      <c r="E54" s="1515"/>
      <c r="G54" s="1497"/>
    </row>
    <row r="55" spans="2:7" s="1282" customFormat="1" hidden="1">
      <c r="B55" s="1512"/>
      <c r="C55" s="1516" t="e">
        <f>'2Mong'!#REF!</f>
        <v>#REF!</v>
      </c>
      <c r="D55" s="1517" t="e">
        <f>'2Mong'!#REF!</f>
        <v>#REF!</v>
      </c>
      <c r="E55" s="1515"/>
      <c r="G55" s="1497"/>
    </row>
    <row r="56" spans="2:7" s="1282" customFormat="1" hidden="1">
      <c r="B56" s="1512"/>
      <c r="C56" s="1516" t="e">
        <f>'2Mong'!#REF!</f>
        <v>#REF!</v>
      </c>
      <c r="D56" s="1517" t="e">
        <f>'2Mong'!#REF!</f>
        <v>#REF!</v>
      </c>
      <c r="E56" s="1515"/>
      <c r="G56" s="1497"/>
    </row>
    <row r="57" spans="2:7" s="1282" customFormat="1" hidden="1">
      <c r="B57" s="1512"/>
      <c r="C57" s="1516" t="e">
        <f>'2Mong'!#REF!</f>
        <v>#REF!</v>
      </c>
      <c r="D57" s="1517" t="e">
        <f>'2Mong'!#REF!</f>
        <v>#REF!</v>
      </c>
      <c r="E57" s="1515"/>
      <c r="G57" s="1497"/>
    </row>
    <row r="58" spans="2:7" s="1282" customFormat="1" hidden="1">
      <c r="B58" s="1512"/>
      <c r="C58" s="1516" t="e">
        <f>'2Mong'!#REF!</f>
        <v>#REF!</v>
      </c>
      <c r="D58" s="1517" t="e">
        <f>'2Mong'!#REF!</f>
        <v>#REF!</v>
      </c>
      <c r="E58" s="1515"/>
      <c r="G58" s="1497"/>
    </row>
    <row r="59" spans="2:7" s="1282" customFormat="1" hidden="1">
      <c r="B59" s="1512"/>
      <c r="C59" s="1516" t="e">
        <f>'2Mong'!#REF!</f>
        <v>#REF!</v>
      </c>
      <c r="D59" s="1517" t="e">
        <f>'2Mong'!#REF!</f>
        <v>#REF!</v>
      </c>
      <c r="E59" s="1515"/>
      <c r="G59" s="1497"/>
    </row>
    <row r="60" spans="2:7" s="1282" customFormat="1" hidden="1">
      <c r="B60" s="1512"/>
      <c r="C60" s="1516" t="e">
        <f>'2Mong'!#REF!</f>
        <v>#REF!</v>
      </c>
      <c r="D60" s="1517" t="e">
        <f>'2Mong'!#REF!</f>
        <v>#REF!</v>
      </c>
      <c r="E60" s="1515"/>
      <c r="G60" s="1497"/>
    </row>
    <row r="61" spans="2:7" s="1282" customFormat="1" hidden="1">
      <c r="B61" s="1512"/>
      <c r="C61" s="1516" t="e">
        <f>'2Mong'!#REF!</f>
        <v>#REF!</v>
      </c>
      <c r="D61" s="1517" t="e">
        <f>'2Mong'!#REF!</f>
        <v>#REF!</v>
      </c>
      <c r="E61" s="1515"/>
      <c r="G61" s="1497"/>
    </row>
    <row r="62" spans="2:7" s="1282" customFormat="1" hidden="1">
      <c r="B62" s="1512"/>
      <c r="C62" s="1516" t="e">
        <f>'2Mong'!#REF!</f>
        <v>#REF!</v>
      </c>
      <c r="D62" s="1517" t="e">
        <f>'2Mong'!#REF!</f>
        <v>#REF!</v>
      </c>
      <c r="E62" s="1515"/>
      <c r="G62" s="1497"/>
    </row>
    <row r="63" spans="2:7" s="1282" customFormat="1" hidden="1">
      <c r="B63" s="1512"/>
      <c r="C63" s="1516" t="e">
        <f>'2Mong'!#REF!</f>
        <v>#REF!</v>
      </c>
      <c r="D63" s="1517" t="e">
        <f>'2Mong'!#REF!</f>
        <v>#REF!</v>
      </c>
      <c r="E63" s="1515"/>
      <c r="G63" s="1497"/>
    </row>
    <row r="64" spans="2:7" s="1282" customFormat="1" hidden="1">
      <c r="B64" s="1512"/>
      <c r="C64" s="1516" t="e">
        <f>'2Mong'!#REF!</f>
        <v>#REF!</v>
      </c>
      <c r="D64" s="1517" t="e">
        <f>'2Mong'!#REF!</f>
        <v>#REF!</v>
      </c>
      <c r="E64" s="1515"/>
      <c r="G64" s="1497"/>
    </row>
    <row r="65" spans="2:7" s="1282" customFormat="1" hidden="1">
      <c r="B65" s="1512"/>
      <c r="C65" s="1516" t="e">
        <f>'2Mong'!#REF!</f>
        <v>#REF!</v>
      </c>
      <c r="D65" s="1517" t="e">
        <f>'2Mong'!#REF!</f>
        <v>#REF!</v>
      </c>
      <c r="E65" s="1515"/>
      <c r="G65" s="1497"/>
    </row>
    <row r="66" spans="2:7" s="1282" customFormat="1" hidden="1">
      <c r="B66" s="1512"/>
      <c r="C66" s="1516" t="e">
        <f>'2Mong'!#REF!</f>
        <v>#REF!</v>
      </c>
      <c r="D66" s="1517" t="e">
        <f>'2Mong'!#REF!</f>
        <v>#REF!</v>
      </c>
      <c r="E66" s="1515"/>
      <c r="G66" s="1497"/>
    </row>
    <row r="67" spans="2:7" s="1282" customFormat="1" hidden="1">
      <c r="B67" s="1512"/>
      <c r="C67" s="1516" t="e">
        <f>'2Mong'!#REF!</f>
        <v>#REF!</v>
      </c>
      <c r="D67" s="1517" t="e">
        <f>'2Mong'!#REF!</f>
        <v>#REF!</v>
      </c>
      <c r="E67" s="1515"/>
      <c r="G67" s="1497"/>
    </row>
    <row r="68" spans="2:7" s="1282" customFormat="1" hidden="1">
      <c r="B68" s="1512"/>
      <c r="C68" s="1516" t="e">
        <f>'2Mong'!#REF!</f>
        <v>#REF!</v>
      </c>
      <c r="D68" s="1517" t="e">
        <f>'2Mong'!#REF!</f>
        <v>#REF!</v>
      </c>
      <c r="E68" s="1515"/>
      <c r="G68" s="1497"/>
    </row>
    <row r="69" spans="2:7" s="1282" customFormat="1" hidden="1">
      <c r="B69" s="1512"/>
      <c r="C69" s="1516" t="e">
        <f>'2Mong'!#REF!</f>
        <v>#REF!</v>
      </c>
      <c r="D69" s="1517" t="e">
        <f>'2Mong'!#REF!</f>
        <v>#REF!</v>
      </c>
      <c r="E69" s="1515"/>
      <c r="G69" s="1497"/>
    </row>
    <row r="70" spans="2:7" s="1282" customFormat="1" hidden="1">
      <c r="B70" s="1512"/>
      <c r="C70" s="1516" t="e">
        <f>'2Mong'!#REF!</f>
        <v>#REF!</v>
      </c>
      <c r="D70" s="1517" t="e">
        <f>'2Mong'!#REF!</f>
        <v>#REF!</v>
      </c>
      <c r="E70" s="1515"/>
      <c r="G70" s="1497"/>
    </row>
    <row r="71" spans="2:7" s="1282" customFormat="1" hidden="1">
      <c r="B71" s="1512"/>
      <c r="C71" s="1516" t="e">
        <f>'2Mong'!#REF!</f>
        <v>#REF!</v>
      </c>
      <c r="D71" s="1517" t="e">
        <f>'2Mong'!#REF!</f>
        <v>#REF!</v>
      </c>
      <c r="E71" s="1515"/>
      <c r="G71" s="1497"/>
    </row>
    <row r="72" spans="2:7" ht="33.6">
      <c r="B72" s="1512"/>
      <c r="C72" s="1513" t="s">
        <v>4549</v>
      </c>
      <c r="D72" s="1514" t="s">
        <v>512</v>
      </c>
      <c r="E72" s="1515"/>
    </row>
    <row r="73" spans="2:7" ht="22.5" customHeight="1">
      <c r="B73" s="1512"/>
      <c r="C73" s="1513" t="s">
        <v>4554</v>
      </c>
      <c r="D73" s="1514" t="s">
        <v>512</v>
      </c>
      <c r="E73" s="1515"/>
    </row>
    <row r="74" spans="2:7" ht="30.75" hidden="1" customHeight="1">
      <c r="B74" s="1512">
        <f>B3</f>
        <v>43874</v>
      </c>
      <c r="C74" s="1513" t="str">
        <f>"Dựng trụ "</f>
        <v xml:space="preserve">Dựng trụ </v>
      </c>
      <c r="D74" s="1514" t="e">
        <f ca="1">SUM(D75:D84)</f>
        <v>#REF!</v>
      </c>
      <c r="E74" s="1515"/>
    </row>
    <row r="75" spans="2:7" hidden="1">
      <c r="B75" s="1512"/>
      <c r="C75" s="1516" t="e">
        <f>'3Tru'!D4</f>
        <v>#N/A</v>
      </c>
      <c r="D75" s="1517">
        <f ca="1">'3Tru'!G4</f>
        <v>0</v>
      </c>
      <c r="E75" s="1515"/>
    </row>
    <row r="76" spans="2:7" hidden="1">
      <c r="B76" s="1512"/>
      <c r="C76" s="1516" t="e">
        <f>'3Tru'!D5</f>
        <v>#N/A</v>
      </c>
      <c r="D76" s="1517">
        <f ca="1">'3Tru'!G5</f>
        <v>0</v>
      </c>
      <c r="E76" s="1515"/>
    </row>
    <row r="77" spans="2:7" hidden="1">
      <c r="B77" s="1512"/>
      <c r="C77" s="1516" t="e">
        <f>'3Tru'!D6</f>
        <v>#N/A</v>
      </c>
      <c r="D77" s="1517">
        <f ca="1">'3Tru'!G6</f>
        <v>0</v>
      </c>
      <c r="E77" s="1515"/>
    </row>
    <row r="78" spans="2:7" hidden="1">
      <c r="B78" s="1512"/>
      <c r="C78" s="1516" t="e">
        <f>'3Tru'!D7</f>
        <v>#N/A</v>
      </c>
      <c r="D78" s="1517">
        <f ca="1">'3Tru'!G7</f>
        <v>0</v>
      </c>
      <c r="E78" s="1515"/>
    </row>
    <row r="79" spans="2:7" hidden="1">
      <c r="B79" s="1512"/>
      <c r="C79" s="1516" t="e">
        <f>'3Tru'!#REF!</f>
        <v>#REF!</v>
      </c>
      <c r="D79" s="1517" t="e">
        <f>'3Tru'!#REF!</f>
        <v>#REF!</v>
      </c>
      <c r="E79" s="1515"/>
    </row>
    <row r="80" spans="2:7" hidden="1">
      <c r="B80" s="1512"/>
      <c r="C80" s="1516" t="e">
        <f>'3Tru'!#REF!</f>
        <v>#REF!</v>
      </c>
      <c r="D80" s="1517" t="e">
        <f>'3Tru'!#REF!</f>
        <v>#REF!</v>
      </c>
      <c r="E80" s="1515"/>
    </row>
    <row r="81" spans="2:5" hidden="1">
      <c r="B81" s="1512"/>
      <c r="C81" s="1516" t="e">
        <f>'3Tru'!#REF!</f>
        <v>#REF!</v>
      </c>
      <c r="D81" s="1517" t="e">
        <f>'3Tru'!#REF!</f>
        <v>#REF!</v>
      </c>
      <c r="E81" s="1515"/>
    </row>
    <row r="82" spans="2:5" hidden="1">
      <c r="B82" s="1512"/>
      <c r="C82" s="1516" t="e">
        <f>'3Tru'!#REF!</f>
        <v>#REF!</v>
      </c>
      <c r="D82" s="1517" t="e">
        <f>'3Tru'!#REF!</f>
        <v>#REF!</v>
      </c>
      <c r="E82" s="1515"/>
    </row>
    <row r="83" spans="2:5" hidden="1">
      <c r="B83" s="1512"/>
      <c r="C83" s="1516" t="e">
        <f>'3Tru'!#REF!</f>
        <v>#REF!</v>
      </c>
      <c r="D83" s="1517" t="e">
        <f>'3Tru'!#REF!</f>
        <v>#REF!</v>
      </c>
      <c r="E83" s="1515"/>
    </row>
    <row r="84" spans="2:5" hidden="1">
      <c r="B84" s="1512"/>
      <c r="C84" s="1516" t="e">
        <f>'3Tru'!#REF!</f>
        <v>#REF!</v>
      </c>
      <c r="D84" s="1517" t="e">
        <f>'3Tru'!#REF!</f>
        <v>#REF!</v>
      </c>
      <c r="E84" s="1515"/>
    </row>
    <row r="85" spans="2:5" ht="36.75" hidden="1" customHeight="1">
      <c r="B85" s="1512">
        <f>B74+1</f>
        <v>43875</v>
      </c>
      <c r="C85" s="1513" t="s">
        <v>4517</v>
      </c>
      <c r="D85" s="1514">
        <f>SUM(D86:D92)</f>
        <v>1</v>
      </c>
      <c r="E85" s="1515"/>
    </row>
    <row r="86" spans="2:5" hidden="1">
      <c r="B86" s="1512"/>
      <c r="C86" s="1516" t="e">
        <f>'5BT'!D4</f>
        <v>#N/A</v>
      </c>
      <c r="D86" s="1517">
        <f>'5BT'!G4</f>
        <v>0</v>
      </c>
      <c r="E86" s="1515"/>
    </row>
    <row r="87" spans="2:5" hidden="1">
      <c r="B87" s="1512"/>
      <c r="C87" s="1516" t="e">
        <f>'5BT'!D5</f>
        <v>#N/A</v>
      </c>
      <c r="D87" s="1517">
        <f>'5BT'!G5</f>
        <v>0</v>
      </c>
      <c r="E87" s="1515"/>
    </row>
    <row r="88" spans="2:5" hidden="1">
      <c r="B88" s="1512"/>
      <c r="C88" s="1516" t="e">
        <f>'5BT'!D6</f>
        <v>#N/A</v>
      </c>
      <c r="D88" s="1517">
        <f>'5BT'!G6</f>
        <v>0</v>
      </c>
      <c r="E88" s="1515"/>
    </row>
    <row r="89" spans="2:5" hidden="1">
      <c r="B89" s="1512"/>
      <c r="C89" s="1516" t="e">
        <f>'5BT'!D7</f>
        <v>#N/A</v>
      </c>
      <c r="D89" s="1517">
        <f>'5BT'!G7</f>
        <v>0</v>
      </c>
      <c r="E89" s="1515"/>
    </row>
    <row r="90" spans="2:5" hidden="1">
      <c r="B90" s="1512"/>
      <c r="C90" s="1516" t="str">
        <f>'5BT'!D8</f>
        <v>Móng bê tông trụ đôi 12m</v>
      </c>
      <c r="D90" s="1517">
        <f>'5BT'!G8</f>
        <v>1</v>
      </c>
      <c r="E90" s="1515"/>
    </row>
    <row r="91" spans="2:5" hidden="1">
      <c r="B91" s="1512"/>
      <c r="C91" s="1516" t="e">
        <f>'5BT'!D9</f>
        <v>#N/A</v>
      </c>
      <c r="D91" s="1517">
        <f>'5BT'!G9</f>
        <v>0</v>
      </c>
      <c r="E91" s="1515"/>
    </row>
    <row r="92" spans="2:5" hidden="1">
      <c r="B92" s="1512"/>
      <c r="C92" s="1516" t="e">
        <f>'5BT'!D10</f>
        <v>#N/A</v>
      </c>
      <c r="D92" s="1517">
        <f>'5BT'!G10</f>
        <v>0</v>
      </c>
      <c r="E92" s="1515"/>
    </row>
    <row r="93" spans="2:5" ht="33.75" customHeight="1">
      <c r="B93" s="1512">
        <f>B85</f>
        <v>43875</v>
      </c>
      <c r="C93" s="1513" t="s">
        <v>4516</v>
      </c>
      <c r="D93" s="1514">
        <f>SUM(D94:D122)</f>
        <v>1</v>
      </c>
      <c r="E93" s="1515"/>
    </row>
    <row r="94" spans="2:5" hidden="1">
      <c r="B94" s="1512"/>
      <c r="C94" s="1516" t="str">
        <f>'4Neo'!D4&amp;": "&amp;D94&amp;" bộ"</f>
        <v>Bộ CODE lắp néo trung hòa: CODE th-Þ240: 0 bộ</v>
      </c>
      <c r="D94" s="1517">
        <f>'4Neo'!F4</f>
        <v>0</v>
      </c>
      <c r="E94" s="1515"/>
    </row>
    <row r="95" spans="2:5" hidden="1">
      <c r="B95" s="1512"/>
      <c r="C95" s="1516" t="str">
        <f>'4Neo'!D5&amp;": "&amp;D95&amp;" bộ"</f>
        <v>Bộ chằng xuống đơn cho trụ hạ thế: CX.ht: 0 bộ</v>
      </c>
      <c r="D95" s="1517">
        <f>'4Neo'!F5</f>
        <v>0</v>
      </c>
      <c r="E95" s="1515"/>
    </row>
    <row r="96" spans="2:5" hidden="1">
      <c r="B96" s="1512"/>
      <c r="C96" s="1516" t="str">
        <f>'4Neo'!D6&amp;": "&amp;D96&amp;" bộ"</f>
        <v>Tháo bộ chằng lệch đơn cho trụ hạ thế: CL.ht: 0 bộ</v>
      </c>
      <c r="D96" s="1517">
        <f>'4Neo'!F6</f>
        <v>0</v>
      </c>
      <c r="E96" s="1515"/>
    </row>
    <row r="97" spans="2:7" hidden="1">
      <c r="B97" s="1512"/>
      <c r="C97" s="1516" t="str">
        <f>'4Neo'!D7&amp;": "&amp;D97&amp;" bộ"</f>
        <v>Bộ chằng lệch đơn cho trụ hạ thế: CL.ht: 0 bộ</v>
      </c>
      <c r="D97" s="1517">
        <f>'4Neo'!F7</f>
        <v>0</v>
      </c>
      <c r="E97" s="1515"/>
    </row>
    <row r="98" spans="2:7" hidden="1">
      <c r="B98" s="1512"/>
      <c r="C98" s="1516" t="str">
        <f>'4Neo'!D8&amp;": "&amp;D98&amp;" bộ"</f>
        <v>Bộ chằng xuống đơn cho trụ 10,5m: CX10-B: 0 bộ</v>
      </c>
      <c r="D98" s="1517">
        <f>'4Neo'!F8</f>
        <v>0</v>
      </c>
      <c r="E98" s="1515"/>
    </row>
    <row r="99" spans="2:7" hidden="1">
      <c r="B99" s="1512"/>
      <c r="C99" s="1516" t="str">
        <f>'4Neo'!D9&amp;": "&amp;D99&amp;" bộ"</f>
        <v>Bộ chằng lệch đơn cho trụ 10,5m: CL10-B: 0 bộ</v>
      </c>
      <c r="D99" s="1517">
        <f>'4Neo'!F9</f>
        <v>0</v>
      </c>
      <c r="E99" s="1515"/>
    </row>
    <row r="100" spans="2:7" hidden="1">
      <c r="B100" s="1512"/>
      <c r="C100" s="1516" t="str">
        <f>'4Neo'!D10&amp;": "&amp;D100&amp;" bộ"</f>
        <v>Bộ chằng xuống kép cho trụ 10,5m: CXX10-B: 0 bộ</v>
      </c>
      <c r="D100" s="1517">
        <f>'4Neo'!F10</f>
        <v>0</v>
      </c>
      <c r="E100" s="1515"/>
    </row>
    <row r="101" spans="2:7" hidden="1">
      <c r="B101" s="1512"/>
      <c r="C101" s="1516" t="str">
        <f>'4Neo'!D11&amp;": "&amp;D101&amp;" bộ"</f>
        <v>Tháo bộ chằng xuống đơn cho trụ 12m: CX12-B: 0 bộ</v>
      </c>
      <c r="D101" s="1517">
        <f>'4Neo'!F11</f>
        <v>0</v>
      </c>
      <c r="E101" s="1515"/>
    </row>
    <row r="102" spans="2:7" hidden="1">
      <c r="B102" s="1512"/>
      <c r="C102" s="1516" t="str">
        <f>'4Neo'!D12&amp;": "&amp;D102&amp;" bộ"</f>
        <v>Bộ chằng xuống đơn cho trụ 12m: CX12-B: 1 bộ</v>
      </c>
      <c r="D102" s="1517">
        <f>'4Neo'!F12</f>
        <v>1</v>
      </c>
      <c r="E102" s="1515"/>
    </row>
    <row r="103" spans="2:7" hidden="1">
      <c r="B103" s="1512"/>
      <c r="C103" s="1516" t="str">
        <f>'4Neo'!D13&amp;": "&amp;D103&amp;" bộ"</f>
        <v>Tháo bộ chằng lệch đơn cho trụ 12m: CL12-B: 0 bộ</v>
      </c>
      <c r="D103" s="1517">
        <f>'4Neo'!F13</f>
        <v>0</v>
      </c>
      <c r="E103" s="1515"/>
    </row>
    <row r="104" spans="2:7">
      <c r="B104" s="1512"/>
      <c r="C104" s="1516" t="str">
        <f>'4Neo'!D14&amp;": "&amp;D104&amp;" bộ"</f>
        <v>Bộ chằng lệch đơn cho trụ 12m: CL12-B: 0 bộ</v>
      </c>
      <c r="D104" s="1517">
        <f>'4Neo'!F14</f>
        <v>0</v>
      </c>
      <c r="E104" s="1515"/>
    </row>
    <row r="105" spans="2:7" hidden="1">
      <c r="B105" s="1512"/>
      <c r="C105" s="1516" t="str">
        <f>'4Neo'!D15&amp;": "&amp;D105&amp;" bộ"</f>
        <v>Bộ chằng xuống kép cho trụ 12m: CXX12-B: 0 bộ</v>
      </c>
      <c r="D105" s="1517">
        <f>'4Neo'!F15</f>
        <v>0</v>
      </c>
      <c r="E105" s="1515"/>
    </row>
    <row r="106" spans="2:7" s="1282" customFormat="1" hidden="1">
      <c r="B106" s="1512"/>
      <c r="C106" s="1516" t="str">
        <f>'4Neo'!D16&amp;": "&amp;D106&amp;" bộ"</f>
        <v>Bộ chằng xuống đơn cho trụ 14m: CX14-B: 0 bộ</v>
      </c>
      <c r="D106" s="1517">
        <f>'4Neo'!F16</f>
        <v>0</v>
      </c>
      <c r="E106" s="1515"/>
      <c r="G106" s="1497"/>
    </row>
    <row r="107" spans="2:7" s="1282" customFormat="1" hidden="1">
      <c r="B107" s="1512"/>
      <c r="C107" s="1516" t="str">
        <f>'4Neo'!D17&amp;": "&amp;D107&amp;" bộ"</f>
        <v>Bộ chằng lệch đơn cho trụ 14m: CL14-B: 0 bộ</v>
      </c>
      <c r="D107" s="1517">
        <f>'4Neo'!F17</f>
        <v>0</v>
      </c>
      <c r="E107" s="1515"/>
      <c r="G107" s="1497"/>
    </row>
    <row r="108" spans="2:7" s="1282" customFormat="1" hidden="1">
      <c r="B108" s="1512"/>
      <c r="C108" s="1516" t="str">
        <f>'4Neo'!D18&amp;": "&amp;D108&amp;" bộ"</f>
        <v>Bộ chằng xuống kép cho trụ 14m: CXX14-B: 0 bộ</v>
      </c>
      <c r="D108" s="1517">
        <f>'4Neo'!F18</f>
        <v>0</v>
      </c>
      <c r="E108" s="1515"/>
      <c r="G108" s="1497"/>
    </row>
    <row r="109" spans="2:7" s="1282" customFormat="1" hidden="1">
      <c r="B109" s="1512"/>
      <c r="C109" s="1516" t="str">
        <f>'4Neo'!D19&amp;": "&amp;D109&amp;" bộ"</f>
        <v>Bộ chằng vượt đơn: CK-B: 0 bộ</v>
      </c>
      <c r="D109" s="1517">
        <f>'4Neo'!F19</f>
        <v>0</v>
      </c>
      <c r="E109" s="1515"/>
      <c r="G109" s="1497"/>
    </row>
    <row r="110" spans="2:7" s="1282" customFormat="1" hidden="1">
      <c r="B110" s="1512"/>
      <c r="C110" s="1516" t="str">
        <f>'4Neo'!D20&amp;": "&amp;D110&amp;" bộ"</f>
        <v>Bộ chằng vượt kép: CKK-B: 0 bộ</v>
      </c>
      <c r="D110" s="1517">
        <f>'4Neo'!F20</f>
        <v>0</v>
      </c>
      <c r="E110" s="1515"/>
      <c r="G110" s="1497"/>
    </row>
    <row r="111" spans="2:7" s="1282" customFormat="1" hidden="1">
      <c r="B111" s="1512"/>
      <c r="C111" s="1516" t="str">
        <f>'4Neo'!D21&amp;": "&amp;D111&amp;" bộ"</f>
        <v>Bộ chằng xuống đơn cho trụ 10,5m: CX10-C: 0 bộ</v>
      </c>
      <c r="D111" s="1517">
        <f>'4Neo'!F21</f>
        <v>0</v>
      </c>
      <c r="E111" s="1515"/>
      <c r="G111" s="1497"/>
    </row>
    <row r="112" spans="2:7" s="1282" customFormat="1" hidden="1">
      <c r="B112" s="1512"/>
      <c r="C112" s="1516" t="str">
        <f>'4Neo'!D22&amp;": "&amp;D112&amp;" bộ"</f>
        <v>Bộ chằng lệch đơn cho trụ 10,5m: CL10-C: 0 bộ</v>
      </c>
      <c r="D112" s="1517">
        <f>'4Neo'!F22</f>
        <v>0</v>
      </c>
      <c r="E112" s="1515"/>
      <c r="G112" s="1497"/>
    </row>
    <row r="113" spans="2:7" s="1282" customFormat="1" hidden="1">
      <c r="B113" s="1512"/>
      <c r="C113" s="1516" t="str">
        <f>'4Neo'!D23&amp;": "&amp;D113&amp;" bộ"</f>
        <v>Bộ chằng xuống kép cho trụ 10,5m: CXX10-C: 0 bộ</v>
      </c>
      <c r="D113" s="1517">
        <f>'4Neo'!F23</f>
        <v>0</v>
      </c>
      <c r="E113" s="1515"/>
      <c r="G113" s="1497"/>
    </row>
    <row r="114" spans="2:7" s="1282" customFormat="1" hidden="1">
      <c r="B114" s="1512"/>
      <c r="C114" s="1516" t="str">
        <f>'4Neo'!D24&amp;": "&amp;D114&amp;" bộ"</f>
        <v>Bộ chằng xuống đơn cho trụ 12m: CX12-C: 0 bộ</v>
      </c>
      <c r="D114" s="1517">
        <f>'4Neo'!F24</f>
        <v>0</v>
      </c>
      <c r="E114" s="1515"/>
      <c r="G114" s="1497"/>
    </row>
    <row r="115" spans="2:7" s="1282" customFormat="1" hidden="1">
      <c r="B115" s="1512"/>
      <c r="C115" s="1516" t="str">
        <f>'4Neo'!D25&amp;": "&amp;D115&amp;" bộ"</f>
        <v>Bộ chằng lệch đơn cho trụ 12m: CL12-C: 0 bộ</v>
      </c>
      <c r="D115" s="1517">
        <f>'4Neo'!F25</f>
        <v>0</v>
      </c>
      <c r="E115" s="1515"/>
      <c r="G115" s="1497"/>
    </row>
    <row r="116" spans="2:7" s="1282" customFormat="1" hidden="1">
      <c r="B116" s="1512"/>
      <c r="C116" s="1516" t="str">
        <f>'4Neo'!D26&amp;": "&amp;D116&amp;" bộ"</f>
        <v>Bộ chằng xuống kép cho trụ 12m: CXX12-C: 0 bộ</v>
      </c>
      <c r="D116" s="1517">
        <f>'4Neo'!F26</f>
        <v>0</v>
      </c>
      <c r="E116" s="1515"/>
      <c r="G116" s="1497"/>
    </row>
    <row r="117" spans="2:7" s="1282" customFormat="1" hidden="1">
      <c r="B117" s="1512"/>
      <c r="C117" s="1516" t="str">
        <f>'4Neo'!D27&amp;": "&amp;D117&amp;" bộ"</f>
        <v>Bộ chằng xuống đơn cho trụ 14m: CX14-C: 0 bộ</v>
      </c>
      <c r="D117" s="1517">
        <f>'4Neo'!F27</f>
        <v>0</v>
      </c>
      <c r="E117" s="1515"/>
      <c r="G117" s="1497"/>
    </row>
    <row r="118" spans="2:7" s="1282" customFormat="1" hidden="1">
      <c r="B118" s="1512"/>
      <c r="C118" s="1516" t="str">
        <f>'4Neo'!D28&amp;": "&amp;D118&amp;" bộ"</f>
        <v>Bộ chằng lệch đơn cho trụ 14m: CL14-C: 0 bộ</v>
      </c>
      <c r="D118" s="1517">
        <f>'4Neo'!F28</f>
        <v>0</v>
      </c>
      <c r="E118" s="1515"/>
      <c r="G118" s="1497"/>
    </row>
    <row r="119" spans="2:7" s="1282" customFormat="1" hidden="1">
      <c r="B119" s="1512"/>
      <c r="C119" s="1516" t="str">
        <f>'4Neo'!D29&amp;": "&amp;D119&amp;" bộ"</f>
        <v>Bộ chằng xuống kép cho trụ 14m: CXX14-C: 0 bộ</v>
      </c>
      <c r="D119" s="1517">
        <f>'4Neo'!F29</f>
        <v>0</v>
      </c>
      <c r="E119" s="1515"/>
      <c r="G119" s="1497"/>
    </row>
    <row r="120" spans="2:7" s="1282" customFormat="1" hidden="1">
      <c r="B120" s="1512"/>
      <c r="C120" s="1516" t="str">
        <f>'4Neo'!D30&amp;": "&amp;D120&amp;" bộ"</f>
        <v>Bộ chằng xuống đơn cho trụ 20m: CX20-C: 0 bộ</v>
      </c>
      <c r="D120" s="1517">
        <f>'4Neo'!F30</f>
        <v>0</v>
      </c>
      <c r="E120" s="1515"/>
      <c r="G120" s="1497"/>
    </row>
    <row r="121" spans="2:7" s="1282" customFormat="1" hidden="1">
      <c r="B121" s="1512"/>
      <c r="C121" s="1516" t="str">
        <f>'4Neo'!D31&amp;": "&amp;D121&amp;" bộ"</f>
        <v>Bộ chằng vượt đơn: CK-C: 0 bộ</v>
      </c>
      <c r="D121" s="1517">
        <f>'4Neo'!F31</f>
        <v>0</v>
      </c>
      <c r="E121" s="1515"/>
      <c r="G121" s="1497"/>
    </row>
    <row r="122" spans="2:7" s="1282" customFormat="1" hidden="1">
      <c r="B122" s="1512"/>
      <c r="C122" s="1516" t="str">
        <f>'4Neo'!D32&amp;": "&amp;D122&amp;" bộ"</f>
        <v>Bộ chằng vượt kép: CKK-C: 0 bộ</v>
      </c>
      <c r="D122" s="1517">
        <f>'4Neo'!F32</f>
        <v>0</v>
      </c>
      <c r="E122" s="1515"/>
      <c r="G122" s="1497"/>
    </row>
    <row r="123" spans="2:7" s="1282" customFormat="1" ht="35.25" hidden="1" customHeight="1">
      <c r="B123" s="1512"/>
      <c r="C123" s="1513" t="s">
        <v>4555</v>
      </c>
      <c r="D123" s="1518" t="e">
        <f ca="1">SUM(D74,D85,D93)</f>
        <v>#REF!</v>
      </c>
      <c r="E123" s="1515"/>
      <c r="G123" s="1497"/>
    </row>
    <row r="124" spans="2:7" ht="32.25" hidden="1" customHeight="1">
      <c r="B124" s="1512">
        <f>B3+2</f>
        <v>43876</v>
      </c>
      <c r="C124" s="1513" t="s">
        <v>4550</v>
      </c>
      <c r="D124" s="1514" t="e">
        <f ca="1">SUM(D125:D181)</f>
        <v>#REF!</v>
      </c>
      <c r="E124" s="1515"/>
    </row>
    <row r="125" spans="2:7">
      <c r="B125" s="1512"/>
      <c r="C125" s="1516" t="str">
        <f>'6PK'!D4</f>
        <v>Xà composite 110x800x5 dài 2,4m</v>
      </c>
      <c r="D125" s="1517">
        <f ca="1">'6PK'!G4</f>
        <v>2</v>
      </c>
      <c r="E125" s="2138" t="str">
        <f>'6PK'!E4</f>
        <v>cái</v>
      </c>
    </row>
    <row r="126" spans="2:7" hidden="1">
      <c r="B126" s="1512"/>
      <c r="C126" s="1516" t="str">
        <f>'6PK'!D5</f>
        <v>Chống composite 40x10x920</v>
      </c>
      <c r="D126" s="1517">
        <f ca="1">'6PK'!G5</f>
        <v>4</v>
      </c>
      <c r="E126" s="2138" t="str">
        <f>'6PK'!E5</f>
        <v>cái</v>
      </c>
    </row>
    <row r="127" spans="2:7" hidden="1">
      <c r="B127" s="1512"/>
      <c r="C127" s="1516" t="e">
        <f>'6PK'!#REF!</f>
        <v>#REF!</v>
      </c>
      <c r="D127" s="1517" t="e">
        <f>'6PK'!#REF!</f>
        <v>#REF!</v>
      </c>
      <c r="E127" s="2138" t="e">
        <f>'6PK'!#REF!</f>
        <v>#REF!</v>
      </c>
    </row>
    <row r="128" spans="2:7">
      <c r="B128" s="1512"/>
      <c r="C128" s="1516" t="e">
        <f>'6PK'!D6</f>
        <v>#N/A</v>
      </c>
      <c r="D128" s="1517">
        <f ca="1">'6PK'!G6</f>
        <v>0</v>
      </c>
      <c r="E128" s="2138" t="e">
        <f>'6PK'!E6</f>
        <v>#N/A</v>
      </c>
    </row>
    <row r="129" spans="2:5" hidden="1">
      <c r="B129" s="1512"/>
      <c r="C129" s="1516" t="e">
        <f>'6PK'!D7</f>
        <v>#N/A</v>
      </c>
      <c r="D129" s="1517">
        <f ca="1">'6PK'!G7</f>
        <v>0</v>
      </c>
      <c r="E129" s="2138" t="e">
        <f>'6PK'!E7</f>
        <v>#N/A</v>
      </c>
    </row>
    <row r="130" spans="2:5" ht="18" hidden="1" customHeight="1">
      <c r="B130" s="1512"/>
      <c r="C130" s="1516" t="str">
        <f>'6PK'!D8</f>
        <v>Bộ xà kép L75x75x8 dài 2.2m: X-22K-Đ - C810 (lắp trụ đơn)</v>
      </c>
      <c r="D130" s="1517">
        <f ca="1">'6PK'!G8</f>
        <v>2</v>
      </c>
      <c r="E130" s="2138" t="str">
        <f>'6PK'!E8</f>
        <v>Bộ</v>
      </c>
    </row>
    <row r="131" spans="2:5" hidden="1">
      <c r="B131" s="1512"/>
      <c r="C131" s="1516" t="e">
        <f>'6PK'!D9</f>
        <v>#N/A</v>
      </c>
      <c r="D131" s="1517">
        <f ca="1">'6PK'!G9</f>
        <v>0</v>
      </c>
      <c r="E131" s="2138" t="e">
        <f>'6PK'!E9</f>
        <v>#N/A</v>
      </c>
    </row>
    <row r="132" spans="2:5" hidden="1">
      <c r="B132" s="1512"/>
      <c r="C132" s="1516" t="e">
        <f>'6PK'!D10</f>
        <v>#N/A</v>
      </c>
      <c r="D132" s="1517">
        <f ca="1">'6PK'!G10</f>
        <v>0</v>
      </c>
      <c r="E132" s="2138" t="e">
        <f>'6PK'!E10</f>
        <v>#N/A</v>
      </c>
    </row>
    <row r="133" spans="2:5" hidden="1">
      <c r="B133" s="1512"/>
      <c r="C133" s="1516" t="e">
        <f>'6PK'!D11</f>
        <v>#N/A</v>
      </c>
      <c r="D133" s="1517">
        <f ca="1">'6PK'!G11</f>
        <v>0</v>
      </c>
      <c r="E133" s="2138" t="e">
        <f>'6PK'!E11</f>
        <v>#N/A</v>
      </c>
    </row>
    <row r="134" spans="2:5" hidden="1">
      <c r="B134" s="1512"/>
      <c r="C134" s="1516" t="e">
        <f>'6PK'!D12</f>
        <v>#N/A</v>
      </c>
      <c r="D134" s="1517">
        <f ca="1">'6PK'!G12</f>
        <v>0</v>
      </c>
      <c r="E134" s="2138" t="e">
        <f>'6PK'!E12</f>
        <v>#N/A</v>
      </c>
    </row>
    <row r="135" spans="2:5" hidden="1">
      <c r="B135" s="1512"/>
      <c r="C135" s="1516" t="e">
        <f>'6PK'!#REF!</f>
        <v>#REF!</v>
      </c>
      <c r="D135" s="1517" t="e">
        <f>'6PK'!#REF!</f>
        <v>#REF!</v>
      </c>
      <c r="E135" s="2138" t="e">
        <f>'6PK'!#REF!</f>
        <v>#REF!</v>
      </c>
    </row>
    <row r="136" spans="2:5" hidden="1">
      <c r="B136" s="1512"/>
      <c r="C136" s="1516" t="e">
        <f>'6PK'!#REF!</f>
        <v>#REF!</v>
      </c>
      <c r="D136" s="1517" t="e">
        <f>'6PK'!#REF!</f>
        <v>#REF!</v>
      </c>
      <c r="E136" s="2138" t="e">
        <f>'6PK'!#REF!</f>
        <v>#REF!</v>
      </c>
    </row>
    <row r="137" spans="2:5" hidden="1">
      <c r="B137" s="1512"/>
      <c r="C137" s="1516" t="e">
        <f>'6PK'!#REF!</f>
        <v>#REF!</v>
      </c>
      <c r="D137" s="1517" t="e">
        <f>'6PK'!#REF!</f>
        <v>#REF!</v>
      </c>
      <c r="E137" s="2138" t="e">
        <f>'6PK'!#REF!</f>
        <v>#REF!</v>
      </c>
    </row>
    <row r="138" spans="2:5" hidden="1">
      <c r="B138" s="1512"/>
      <c r="C138" s="1516" t="e">
        <f>'6PK'!#REF!</f>
        <v>#REF!</v>
      </c>
      <c r="D138" s="1517" t="e">
        <f>'6PK'!#REF!</f>
        <v>#REF!</v>
      </c>
      <c r="E138" s="2138" t="e">
        <f>'6PK'!#REF!</f>
        <v>#REF!</v>
      </c>
    </row>
    <row r="139" spans="2:5">
      <c r="B139" s="1512"/>
      <c r="C139" s="1516" t="e">
        <f>'6PK'!D13</f>
        <v>#N/A</v>
      </c>
      <c r="D139" s="1517">
        <f ca="1">'6PK'!G13</f>
        <v>0</v>
      </c>
      <c r="E139" s="2138" t="e">
        <f>'6PK'!E13</f>
        <v>#N/A</v>
      </c>
    </row>
    <row r="140" spans="2:5">
      <c r="B140" s="1512"/>
      <c r="C140" s="1516" t="e">
        <f>'6PK'!D14</f>
        <v>#N/A</v>
      </c>
      <c r="D140" s="1517">
        <f ca="1">'6PK'!G14</f>
        <v>0</v>
      </c>
      <c r="E140" s="2138" t="e">
        <f>'6PK'!E14</f>
        <v>#N/A</v>
      </c>
    </row>
    <row r="141" spans="2:5">
      <c r="B141" s="1512"/>
      <c r="C141" s="1516" t="e">
        <f>'6PK'!D15</f>
        <v>#N/A</v>
      </c>
      <c r="D141" s="1517">
        <f ca="1">'6PK'!G15</f>
        <v>0</v>
      </c>
      <c r="E141" s="2138" t="e">
        <f>'6PK'!E15</f>
        <v>#N/A</v>
      </c>
    </row>
    <row r="142" spans="2:5" hidden="1">
      <c r="B142" s="1512"/>
      <c r="C142" s="1516" t="e">
        <f>'6PK'!D16</f>
        <v>#N/A</v>
      </c>
      <c r="D142" s="1517">
        <f ca="1">'6PK'!G16</f>
        <v>0</v>
      </c>
      <c r="E142" s="2138" t="e">
        <f>'6PK'!E16</f>
        <v>#N/A</v>
      </c>
    </row>
    <row r="143" spans="2:5" hidden="1">
      <c r="B143" s="1512"/>
      <c r="C143" s="1516" t="e">
        <f>'6PK'!D17</f>
        <v>#N/A</v>
      </c>
      <c r="D143" s="1517">
        <f ca="1">'6PK'!G17</f>
        <v>0</v>
      </c>
      <c r="E143" s="2138" t="e">
        <f>'6PK'!E17</f>
        <v>#N/A</v>
      </c>
    </row>
    <row r="144" spans="2:5" hidden="1">
      <c r="B144" s="1512"/>
      <c r="C144" s="1516" t="e">
        <f>'6PK'!#REF!</f>
        <v>#REF!</v>
      </c>
      <c r="D144" s="1517" t="e">
        <f>'6PK'!#REF!</f>
        <v>#REF!</v>
      </c>
      <c r="E144" s="2138" t="e">
        <f>'6PK'!#REF!</f>
        <v>#REF!</v>
      </c>
    </row>
    <row r="145" spans="2:5">
      <c r="B145" s="1512"/>
      <c r="C145" s="1516" t="e">
        <f>'6PK'!D18</f>
        <v>#N/A</v>
      </c>
      <c r="D145" s="1517">
        <f ca="1">'6PK'!G18</f>
        <v>0</v>
      </c>
      <c r="E145" s="2138" t="e">
        <f>'6PK'!E18</f>
        <v>#N/A</v>
      </c>
    </row>
    <row r="146" spans="2:5" hidden="1">
      <c r="B146" s="1512"/>
      <c r="C146" s="1516" t="e">
        <f>'6PK'!#REF!</f>
        <v>#REF!</v>
      </c>
      <c r="D146" s="1517" t="e">
        <f>'6PK'!#REF!</f>
        <v>#REF!</v>
      </c>
      <c r="E146" s="2138" t="e">
        <f>'6PK'!#REF!</f>
        <v>#REF!</v>
      </c>
    </row>
    <row r="147" spans="2:5" hidden="1">
      <c r="B147" s="1512"/>
      <c r="C147" s="1516" t="e">
        <f>'6PK'!D19</f>
        <v>#N/A</v>
      </c>
      <c r="D147" s="1517">
        <f ca="1">'6PK'!G19</f>
        <v>0</v>
      </c>
      <c r="E147" s="2138" t="e">
        <f>'6PK'!E19</f>
        <v>#N/A</v>
      </c>
    </row>
    <row r="148" spans="2:5" hidden="1">
      <c r="B148" s="1512"/>
      <c r="C148" s="1516" t="e">
        <f>'6PK'!D20</f>
        <v>#N/A</v>
      </c>
      <c r="D148" s="1517">
        <f ca="1">'6PK'!G20</f>
        <v>0</v>
      </c>
      <c r="E148" s="2138" t="e">
        <f>'6PK'!E20</f>
        <v>#N/A</v>
      </c>
    </row>
    <row r="149" spans="2:5" hidden="1">
      <c r="B149" s="1512"/>
      <c r="C149" s="1516" t="e">
        <f>'6PK'!D21</f>
        <v>#N/A</v>
      </c>
      <c r="D149" s="1517">
        <f ca="1">'6PK'!G21</f>
        <v>0</v>
      </c>
      <c r="E149" s="2138" t="e">
        <f>'6PK'!E21</f>
        <v>#N/A</v>
      </c>
    </row>
    <row r="150" spans="2:5" hidden="1">
      <c r="B150" s="1512"/>
      <c r="C150" s="1516" t="e">
        <f>'6PK'!D22</f>
        <v>#N/A</v>
      </c>
      <c r="D150" s="1517">
        <f ca="1">'6PK'!G22</f>
        <v>0</v>
      </c>
      <c r="E150" s="2138" t="e">
        <f>'6PK'!E22</f>
        <v>#N/A</v>
      </c>
    </row>
    <row r="151" spans="2:5" hidden="1">
      <c r="B151" s="1512"/>
      <c r="C151" s="1516" t="e">
        <f>'6PK'!D25</f>
        <v>#N/A</v>
      </c>
      <c r="D151" s="1517">
        <f ca="1">'6PK'!G25</f>
        <v>0</v>
      </c>
      <c r="E151" s="2138" t="e">
        <f>'6PK'!E25</f>
        <v>#N/A</v>
      </c>
    </row>
    <row r="152" spans="2:5" hidden="1">
      <c r="B152" s="1512"/>
      <c r="C152" s="1516" t="e">
        <f>'6PK'!D26</f>
        <v>#N/A</v>
      </c>
      <c r="D152" s="1517">
        <f ca="1">'6PK'!G26</f>
        <v>0</v>
      </c>
      <c r="E152" s="2138" t="e">
        <f>'6PK'!E26</f>
        <v>#N/A</v>
      </c>
    </row>
    <row r="153" spans="2:5" hidden="1">
      <c r="B153" s="1512"/>
      <c r="C153" s="1516" t="e">
        <f>'6PK'!D27</f>
        <v>#N/A</v>
      </c>
      <c r="D153" s="1517">
        <f ca="1">'6PK'!G27</f>
        <v>0</v>
      </c>
      <c r="E153" s="2138" t="e">
        <f>'6PK'!E27</f>
        <v>#N/A</v>
      </c>
    </row>
    <row r="154" spans="2:5" hidden="1">
      <c r="B154" s="1512"/>
      <c r="C154" s="1516" t="e">
        <f>'6PK'!D28</f>
        <v>#N/A</v>
      </c>
      <c r="D154" s="1517">
        <f ca="1">'6PK'!G28</f>
        <v>0</v>
      </c>
      <c r="E154" s="2138" t="e">
        <f>'6PK'!E28</f>
        <v>#N/A</v>
      </c>
    </row>
    <row r="155" spans="2:5" hidden="1">
      <c r="B155" s="1512"/>
      <c r="C155" s="1516" t="e">
        <f>'6PK'!D29</f>
        <v>#N/A</v>
      </c>
      <c r="D155" s="1517">
        <f ca="1">'6PK'!G29</f>
        <v>0</v>
      </c>
      <c r="E155" s="2138" t="e">
        <f>'6PK'!E29</f>
        <v>#N/A</v>
      </c>
    </row>
    <row r="156" spans="2:5" hidden="1">
      <c r="B156" s="1512"/>
      <c r="C156" s="1516" t="e">
        <f>'6PK'!D30</f>
        <v>#N/A</v>
      </c>
      <c r="D156" s="1517">
        <f ca="1">'6PK'!G30</f>
        <v>0</v>
      </c>
      <c r="E156" s="2138" t="e">
        <f>'6PK'!E30</f>
        <v>#N/A</v>
      </c>
    </row>
    <row r="157" spans="2:5" hidden="1">
      <c r="B157" s="1512"/>
      <c r="C157" s="1516" t="e">
        <f>'6PK'!D31</f>
        <v>#N/A</v>
      </c>
      <c r="D157" s="1517">
        <f ca="1">'6PK'!G31</f>
        <v>0</v>
      </c>
      <c r="E157" s="2138" t="e">
        <f>'6PK'!E31</f>
        <v>#N/A</v>
      </c>
    </row>
    <row r="158" spans="2:5" hidden="1">
      <c r="B158" s="1512"/>
      <c r="C158" s="1516" t="e">
        <f>'6PK'!D32</f>
        <v>#N/A</v>
      </c>
      <c r="D158" s="1517">
        <f ca="1">'6PK'!G32</f>
        <v>0</v>
      </c>
      <c r="E158" s="2138" t="e">
        <f>'6PK'!E32</f>
        <v>#N/A</v>
      </c>
    </row>
    <row r="159" spans="2:5" hidden="1">
      <c r="B159" s="1512"/>
      <c r="C159" s="1516" t="e">
        <f>'6PK'!D33</f>
        <v>#N/A</v>
      </c>
      <c r="D159" s="1517">
        <f ca="1">'6PK'!G33</f>
        <v>0</v>
      </c>
      <c r="E159" s="2138" t="e">
        <f>'6PK'!E33</f>
        <v>#N/A</v>
      </c>
    </row>
    <row r="160" spans="2:5" hidden="1">
      <c r="B160" s="1512"/>
      <c r="C160" s="1516" t="e">
        <f>'6PK'!D34</f>
        <v>#N/A</v>
      </c>
      <c r="D160" s="1517">
        <f ca="1">'6PK'!G34</f>
        <v>0</v>
      </c>
      <c r="E160" s="2138" t="e">
        <f>'6PK'!E34</f>
        <v>#N/A</v>
      </c>
    </row>
    <row r="161" spans="2:5" hidden="1">
      <c r="B161" s="1512"/>
      <c r="C161" s="1516" t="e">
        <f>'6PK'!D35</f>
        <v>#N/A</v>
      </c>
      <c r="D161" s="1517">
        <f ca="1">'6PK'!G35</f>
        <v>0</v>
      </c>
      <c r="E161" s="2138" t="e">
        <f>'6PK'!E35</f>
        <v>#N/A</v>
      </c>
    </row>
    <row r="162" spans="2:5" hidden="1">
      <c r="B162" s="1512"/>
      <c r="C162" s="1516" t="str">
        <f>'6PK'!D39</f>
        <v>Bộ Uclevis đỡ dây trung hòa: Đth-U (trụ đơn)</v>
      </c>
      <c r="D162" s="1517">
        <f ca="1">'6PK'!G39</f>
        <v>1</v>
      </c>
      <c r="E162" s="2138" t="str">
        <f>'6PK'!E39</f>
        <v>bộ</v>
      </c>
    </row>
    <row r="163" spans="2:5" hidden="1">
      <c r="B163" s="1512"/>
      <c r="C163" s="1516" t="e">
        <f>'6PK'!D40</f>
        <v>#N/A</v>
      </c>
      <c r="D163" s="1517">
        <f ca="1">'6PK'!G40</f>
        <v>0</v>
      </c>
      <c r="E163" s="2138" t="e">
        <f>'6PK'!E40</f>
        <v>#N/A</v>
      </c>
    </row>
    <row r="164" spans="2:5" hidden="1">
      <c r="B164" s="1512"/>
      <c r="C164" s="1516" t="str">
        <f>'6PK'!D41</f>
        <v>Bộ khóa néo dây trung hòa vào trụ: Nth-T</v>
      </c>
      <c r="D164" s="1517">
        <f ca="1">'6PK'!G41</f>
        <v>2</v>
      </c>
      <c r="E164" s="2138" t="str">
        <f>'6PK'!E41</f>
        <v>bộ</v>
      </c>
    </row>
    <row r="165" spans="2:5" hidden="1">
      <c r="B165" s="1512"/>
      <c r="C165" s="1516" t="e">
        <f>'6PK'!D42</f>
        <v>#N/A</v>
      </c>
      <c r="D165" s="1517">
        <f ca="1">'6PK'!G42</f>
        <v>0</v>
      </c>
      <c r="E165" s="2138" t="e">
        <f>'6PK'!E42</f>
        <v>#N/A</v>
      </c>
    </row>
    <row r="166" spans="2:5" hidden="1">
      <c r="B166" s="1512"/>
      <c r="C166" s="1516" t="e">
        <f>'6PK'!D43</f>
        <v>#N/A</v>
      </c>
      <c r="D166" s="1517">
        <f ca="1">'6PK'!G43</f>
        <v>0</v>
      </c>
      <c r="E166" s="2138" t="e">
        <f>'6PK'!E43</f>
        <v>#N/A</v>
      </c>
    </row>
    <row r="167" spans="2:5" hidden="1">
      <c r="B167" s="1512"/>
      <c r="C167" s="1516" t="e">
        <f>'6PK'!D44</f>
        <v>#N/A</v>
      </c>
      <c r="D167" s="1517">
        <f ca="1">'6PK'!G44</f>
        <v>0</v>
      </c>
      <c r="E167" s="2138" t="e">
        <f>'6PK'!E44</f>
        <v>#N/A</v>
      </c>
    </row>
    <row r="168" spans="2:5" hidden="1">
      <c r="B168" s="1512"/>
      <c r="C168" s="1516" t="e">
        <f>'6PK'!D45</f>
        <v>#N/A</v>
      </c>
      <c r="D168" s="1517">
        <f ca="1">'6PK'!G45</f>
        <v>0</v>
      </c>
      <c r="E168" s="2138" t="e">
        <f>'6PK'!E45</f>
        <v>#N/A</v>
      </c>
    </row>
    <row r="169" spans="2:5" hidden="1">
      <c r="B169" s="1512"/>
      <c r="C169" s="1516" t="e">
        <f>'6PK'!#REF!</f>
        <v>#REF!</v>
      </c>
      <c r="D169" s="1517" t="e">
        <f>'6PK'!#REF!</f>
        <v>#REF!</v>
      </c>
      <c r="E169" s="2138" t="e">
        <f>'6PK'!#REF!</f>
        <v>#REF!</v>
      </c>
    </row>
    <row r="170" spans="2:5" hidden="1">
      <c r="B170" s="1512"/>
      <c r="C170" s="1516" t="e">
        <f>'6PK'!D46</f>
        <v>#N/A</v>
      </c>
      <c r="D170" s="1517">
        <f ca="1">'6PK'!G46</f>
        <v>0</v>
      </c>
      <c r="E170" s="2138" t="e">
        <f>'6PK'!E46</f>
        <v>#N/A</v>
      </c>
    </row>
    <row r="171" spans="2:5" hidden="1">
      <c r="B171" s="1512"/>
      <c r="C171" s="1516" t="e">
        <f>'6PK'!D47</f>
        <v>#N/A</v>
      </c>
      <c r="D171" s="1517">
        <f ca="1">'6PK'!G47</f>
        <v>0</v>
      </c>
      <c r="E171" s="2138" t="e">
        <f>'6PK'!E47</f>
        <v>#N/A</v>
      </c>
    </row>
    <row r="172" spans="2:5" hidden="1">
      <c r="B172" s="1512"/>
      <c r="C172" s="1516" t="e">
        <f>'6PK'!D48</f>
        <v>#N/A</v>
      </c>
      <c r="D172" s="1517">
        <f ca="1">'6PK'!G48</f>
        <v>0</v>
      </c>
      <c r="E172" s="2138" t="e">
        <f>'6PK'!E48</f>
        <v>#N/A</v>
      </c>
    </row>
    <row r="173" spans="2:5" hidden="1">
      <c r="B173" s="1512"/>
      <c r="C173" s="1516" t="str">
        <f>'6PK'!D49</f>
        <v xml:space="preserve">Sứ đứng 24KV </v>
      </c>
      <c r="D173" s="1517">
        <f ca="1">'6PK'!G49</f>
        <v>17</v>
      </c>
      <c r="E173" s="2138" t="str">
        <f>'6PK'!E49</f>
        <v>cái</v>
      </c>
    </row>
    <row r="174" spans="2:5" hidden="1">
      <c r="B174" s="1512"/>
      <c r="C174" s="1516" t="e">
        <f>'6PK'!D50</f>
        <v>#N/A</v>
      </c>
      <c r="D174" s="1517">
        <f ca="1">'6PK'!G50</f>
        <v>0</v>
      </c>
      <c r="E174" s="2138" t="e">
        <f>'6PK'!E50</f>
        <v>#N/A</v>
      </c>
    </row>
    <row r="175" spans="2:5" hidden="1">
      <c r="B175" s="1512"/>
      <c r="C175" s="1516" t="e">
        <f>'6PK'!#REF!</f>
        <v>#REF!</v>
      </c>
      <c r="D175" s="1517" t="e">
        <f>'6PK'!#REF!</f>
        <v>#REF!</v>
      </c>
      <c r="E175" s="2138" t="e">
        <f>'6PK'!#REF!</f>
        <v>#REF!</v>
      </c>
    </row>
    <row r="176" spans="2:5" hidden="1">
      <c r="B176" s="1512"/>
      <c r="C176" s="1516" t="e">
        <f>'6PK'!#REF!</f>
        <v>#REF!</v>
      </c>
      <c r="D176" s="1517" t="e">
        <f>'6PK'!#REF!</f>
        <v>#REF!</v>
      </c>
      <c r="E176" s="2138" t="e">
        <f>'6PK'!#REF!</f>
        <v>#REF!</v>
      </c>
    </row>
    <row r="177" spans="2:7" hidden="1">
      <c r="B177" s="1512"/>
      <c r="C177" s="1516" t="e">
        <f>'6PK'!#REF!</f>
        <v>#REF!</v>
      </c>
      <c r="D177" s="1517" t="e">
        <f>'6PK'!#REF!</f>
        <v>#REF!</v>
      </c>
      <c r="E177" s="2138" t="e">
        <f>'6PK'!#REF!</f>
        <v>#REF!</v>
      </c>
    </row>
    <row r="178" spans="2:7" hidden="1">
      <c r="B178" s="1512"/>
      <c r="C178" s="1516" t="e">
        <f>'6PK'!#REF!</f>
        <v>#REF!</v>
      </c>
      <c r="D178" s="1517" t="e">
        <f>'6PK'!#REF!</f>
        <v>#REF!</v>
      </c>
      <c r="E178" s="2138" t="e">
        <f>'6PK'!#REF!</f>
        <v>#REF!</v>
      </c>
    </row>
    <row r="179" spans="2:7" hidden="1">
      <c r="B179" s="1512"/>
      <c r="C179" s="1516" t="e">
        <f>'6PK'!#REF!</f>
        <v>#REF!</v>
      </c>
      <c r="D179" s="1517" t="e">
        <f>'6PK'!#REF!</f>
        <v>#REF!</v>
      </c>
      <c r="E179" s="2138" t="e">
        <f>'6PK'!#REF!</f>
        <v>#REF!</v>
      </c>
    </row>
    <row r="180" spans="2:7" hidden="1">
      <c r="B180" s="1512"/>
      <c r="C180" s="1516" t="e">
        <f>'6PK'!D51</f>
        <v>#N/A</v>
      </c>
      <c r="D180" s="1517">
        <f ca="1">'6PK'!G51</f>
        <v>0</v>
      </c>
      <c r="E180" s="2138" t="e">
        <f>'6PK'!E51</f>
        <v>#N/A</v>
      </c>
    </row>
    <row r="181" spans="2:7" hidden="1">
      <c r="B181" s="1512"/>
      <c r="C181" s="1516" t="e">
        <f>'6PK'!#REF!</f>
        <v>#REF!</v>
      </c>
      <c r="D181" s="1517" t="e">
        <f>'6PK'!#REF!</f>
        <v>#REF!</v>
      </c>
      <c r="E181" s="2138" t="e">
        <f>'6PK'!#REF!</f>
        <v>#REF!</v>
      </c>
    </row>
    <row r="182" spans="2:7" s="1282" customFormat="1" hidden="1">
      <c r="B182" s="1512"/>
      <c r="C182" s="1516" t="e">
        <f>'6PK'!#REF!</f>
        <v>#REF!</v>
      </c>
      <c r="D182" s="1517" t="e">
        <f>'6PK'!#REF!</f>
        <v>#REF!</v>
      </c>
      <c r="E182" s="2138" t="e">
        <f>'6PK'!#REF!</f>
        <v>#REF!</v>
      </c>
      <c r="G182" s="1497"/>
    </row>
    <row r="183" spans="2:7" s="1282" customFormat="1" hidden="1">
      <c r="B183" s="1512"/>
      <c r="C183" s="1516" t="str">
        <f>'6PK'!D52</f>
        <v>Sứ treo polymer</v>
      </c>
      <c r="D183" s="1517">
        <f ca="1">'6PK'!G52</f>
        <v>6</v>
      </c>
      <c r="E183" s="2138" t="str">
        <f>'6PK'!E52</f>
        <v>chuỗi</v>
      </c>
      <c r="G183" s="1497"/>
    </row>
    <row r="184" spans="2:7" s="1282" customFormat="1" hidden="1">
      <c r="B184" s="1512"/>
      <c r="C184" s="1516" t="e">
        <f>'6PK'!D53</f>
        <v>#N/A</v>
      </c>
      <c r="D184" s="1517">
        <f ca="1">'6PK'!G53</f>
        <v>0</v>
      </c>
      <c r="E184" s="2138" t="e">
        <f>'6PK'!E53</f>
        <v>#N/A</v>
      </c>
      <c r="G184" s="1497"/>
    </row>
    <row r="185" spans="2:7" s="1282" customFormat="1" hidden="1">
      <c r="B185" s="1512"/>
      <c r="C185" s="1516" t="e">
        <f>'6PK'!D54</f>
        <v>#N/A</v>
      </c>
      <c r="D185" s="1517">
        <f ca="1">'6PK'!G54</f>
        <v>0</v>
      </c>
      <c r="E185" s="2138" t="e">
        <f>'6PK'!E54</f>
        <v>#N/A</v>
      </c>
      <c r="G185" s="1497"/>
    </row>
    <row r="186" spans="2:7" s="1282" customFormat="1" hidden="1">
      <c r="B186" s="1512"/>
      <c r="C186" s="1516" t="e">
        <f>'6PK'!D55</f>
        <v>#N/A</v>
      </c>
      <c r="D186" s="1517">
        <f ca="1">'6PK'!G55</f>
        <v>0</v>
      </c>
      <c r="E186" s="2138" t="e">
        <f>'6PK'!E55</f>
        <v>#N/A</v>
      </c>
      <c r="G186" s="1497"/>
    </row>
    <row r="187" spans="2:7" s="1282" customFormat="1" hidden="1">
      <c r="B187" s="1512"/>
      <c r="C187" s="1516" t="e">
        <f>'6PK'!D56</f>
        <v>#N/A</v>
      </c>
      <c r="D187" s="1517">
        <f ca="1">'6PK'!G56</f>
        <v>0</v>
      </c>
      <c r="E187" s="2138" t="e">
        <f>'6PK'!E56</f>
        <v>#N/A</v>
      </c>
      <c r="G187" s="1497"/>
    </row>
    <row r="188" spans="2:7" s="1282" customFormat="1" hidden="1">
      <c r="B188" s="1512"/>
      <c r="C188" s="1516" t="e">
        <f>'6PK'!D57</f>
        <v>#N/A</v>
      </c>
      <c r="D188" s="1517">
        <f ca="1">'6PK'!G57</f>
        <v>0</v>
      </c>
      <c r="E188" s="2138" t="e">
        <f>'6PK'!E57</f>
        <v>#N/A</v>
      </c>
      <c r="G188" s="1497"/>
    </row>
    <row r="189" spans="2:7" s="1282" customFormat="1" hidden="1">
      <c r="B189" s="1512"/>
      <c r="C189" s="1516" t="e">
        <f>'6PK'!D58</f>
        <v>#N/A</v>
      </c>
      <c r="D189" s="1517">
        <f ca="1">'6PK'!G58</f>
        <v>0</v>
      </c>
      <c r="E189" s="2138" t="e">
        <f>'6PK'!E58</f>
        <v>#N/A</v>
      </c>
      <c r="G189" s="1497"/>
    </row>
    <row r="190" spans="2:7" s="1282" customFormat="1" hidden="1">
      <c r="B190" s="1512"/>
      <c r="C190" s="1516" t="e">
        <f>'6PK'!D59</f>
        <v>#N/A</v>
      </c>
      <c r="D190" s="1517">
        <f ca="1">'6PK'!G59</f>
        <v>0</v>
      </c>
      <c r="E190" s="2138" t="e">
        <f>'6PK'!E59</f>
        <v>#N/A</v>
      </c>
      <c r="G190" s="1497"/>
    </row>
    <row r="191" spans="2:7" s="1282" customFormat="1" hidden="1">
      <c r="B191" s="1512"/>
      <c r="C191" s="1516" t="e">
        <f>'6PK'!D60</f>
        <v>#N/A</v>
      </c>
      <c r="D191" s="1517">
        <f ca="1">'6PK'!G60</f>
        <v>0</v>
      </c>
      <c r="E191" s="2138" t="e">
        <f>'6PK'!E60</f>
        <v>#N/A</v>
      </c>
      <c r="G191" s="1497"/>
    </row>
    <row r="192" spans="2:7" s="1282" customFormat="1" hidden="1">
      <c r="B192" s="1512"/>
      <c r="C192" s="1516" t="e">
        <f>'6PK'!D69</f>
        <v>#N/A</v>
      </c>
      <c r="D192" s="1517">
        <f ca="1">'6PK'!G69</f>
        <v>0</v>
      </c>
      <c r="E192" s="2138">
        <f>'6PK'!H61</f>
        <v>4</v>
      </c>
      <c r="G192" s="1497"/>
    </row>
    <row r="193" spans="2:7" s="1282" customFormat="1" hidden="1">
      <c r="B193" s="1512"/>
      <c r="C193" s="1516" t="e">
        <f>'6PK'!D70</f>
        <v>#N/A</v>
      </c>
      <c r="D193" s="1517">
        <f ca="1">'6PK'!G70</f>
        <v>0</v>
      </c>
      <c r="E193" s="2138">
        <f>'6PK'!H62</f>
        <v>4</v>
      </c>
      <c r="G193" s="1497"/>
    </row>
    <row r="194" spans="2:7" s="1282" customFormat="1" hidden="1">
      <c r="B194" s="1512"/>
      <c r="C194" s="1516" t="e">
        <f>'6PK'!D71</f>
        <v>#N/A</v>
      </c>
      <c r="D194" s="1517">
        <f ca="1">'6PK'!G71</f>
        <v>0</v>
      </c>
      <c r="E194" s="2138">
        <f>'6PK'!H63</f>
        <v>4</v>
      </c>
      <c r="G194" s="1497"/>
    </row>
    <row r="195" spans="2:7" s="1282" customFormat="1" hidden="1">
      <c r="B195" s="1512"/>
      <c r="C195" s="1516" t="e">
        <f>'6PK'!D72</f>
        <v>#N/A</v>
      </c>
      <c r="D195" s="1517">
        <f ca="1">'6PK'!G72</f>
        <v>0</v>
      </c>
      <c r="E195" s="2138">
        <f>'6PK'!H64</f>
        <v>4</v>
      </c>
      <c r="G195" s="1497"/>
    </row>
    <row r="196" spans="2:7" s="1282" customFormat="1" hidden="1">
      <c r="B196" s="1512"/>
      <c r="C196" s="1516" t="e">
        <f>'6PK'!D73</f>
        <v>#N/A</v>
      </c>
      <c r="D196" s="1517">
        <f ca="1">'6PK'!G73</f>
        <v>0</v>
      </c>
      <c r="E196" s="2138">
        <f>'6PK'!H65</f>
        <v>4</v>
      </c>
      <c r="G196" s="1497"/>
    </row>
    <row r="197" spans="2:7" s="1282" customFormat="1" hidden="1">
      <c r="B197" s="1512"/>
      <c r="C197" s="1516" t="e">
        <f>'6PK'!D74</f>
        <v>#N/A</v>
      </c>
      <c r="D197" s="1517">
        <f ca="1">'6PK'!G74</f>
        <v>0</v>
      </c>
      <c r="E197" s="2138">
        <f>'6PK'!H66</f>
        <v>4</v>
      </c>
      <c r="G197" s="1497"/>
    </row>
    <row r="198" spans="2:7" hidden="1">
      <c r="B198" s="1512">
        <f>B124</f>
        <v>43876</v>
      </c>
      <c r="C198" s="1516" t="str">
        <f>"Kéo, rải, căng dây trung thế:"</f>
        <v>Kéo, rải, căng dây trung thế:</v>
      </c>
      <c r="D198" s="1514" t="e">
        <f ca="1">D124</f>
        <v>#REF!</v>
      </c>
      <c r="E198" s="1515"/>
    </row>
    <row r="199" spans="2:7" s="1282" customFormat="1" ht="33.6" hidden="1">
      <c r="B199" s="1512"/>
      <c r="C199" s="1516" t="str">
        <f ca="1">'7day'!E5&amp;" dài "&amp;'7day'!F5&amp;" mét."</f>
        <v>Cáp nhôm lõi thép bọc 24KV AC/XLPE50 mm2 + Cáp nhôm lõi thép AC-50/8 dài 0 mét.</v>
      </c>
      <c r="D199" s="1514">
        <f ca="1">'7day'!G5</f>
        <v>0</v>
      </c>
      <c r="E199" s="1515"/>
      <c r="G199" s="1497"/>
    </row>
    <row r="200" spans="2:7" s="1282" customFormat="1" hidden="1">
      <c r="B200" s="1512"/>
      <c r="C200" s="1516" t="e">
        <f ca="1">'7day'!E6&amp;" dài "&amp;'7day'!F6&amp;" mét."</f>
        <v>#N/A</v>
      </c>
      <c r="D200" s="1514">
        <f ca="1">'7day'!G6</f>
        <v>0</v>
      </c>
      <c r="E200" s="1515"/>
      <c r="G200" s="1497"/>
    </row>
    <row r="201" spans="2:7" s="1282" customFormat="1" hidden="1">
      <c r="B201" s="1512"/>
      <c r="C201" s="1516" t="str">
        <f ca="1">'7day'!E7&amp;" dài "&amp;'7day'!F7&amp;" mét."</f>
        <v>Cáp 24KV ACXH 95mm2 + Cáp nhôm lõi thép AC-50/8 dài 192,78 mét.</v>
      </c>
      <c r="D201" s="1514">
        <f ca="1">'7day'!G7</f>
        <v>192.78</v>
      </c>
      <c r="E201" s="1515"/>
      <c r="G201" s="1497"/>
    </row>
    <row r="202" spans="2:7" s="1282" customFormat="1" hidden="1">
      <c r="B202" s="1512"/>
      <c r="C202" s="1516" t="e">
        <f>'7day'!E8&amp;" dài "&amp;'7day'!F8&amp;" mét."</f>
        <v>#N/A</v>
      </c>
      <c r="D202" s="1514">
        <f>'7day'!G8</f>
        <v>0</v>
      </c>
      <c r="E202" s="1515"/>
      <c r="G202" s="1497"/>
    </row>
    <row r="203" spans="2:7" ht="33.6" hidden="1">
      <c r="B203" s="1512"/>
      <c r="C203" s="1513" t="s">
        <v>4551</v>
      </c>
      <c r="D203" s="1514" t="e">
        <f ca="1">D198+D124</f>
        <v>#REF!</v>
      </c>
      <c r="E203" s="1515"/>
    </row>
    <row r="204" spans="2:7" hidden="1">
      <c r="B204" s="1512">
        <f>B198</f>
        <v>43876</v>
      </c>
      <c r="C204" s="1513" t="str">
        <f>"Lắp đặt trạm biến áp"</f>
        <v>Lắp đặt trạm biến áp</v>
      </c>
      <c r="D204" s="1514">
        <f ca="1">'8TB'!F2</f>
        <v>1</v>
      </c>
      <c r="E204" s="1515"/>
    </row>
    <row r="205" spans="2:7" hidden="1">
      <c r="B205" s="1512"/>
      <c r="C205" s="1513" t="str">
        <f ca="1">'8TB'!D2&amp;": "&amp;'8TB'!F2&amp;" "&amp;'8TB'!E2</f>
        <v>Máy biến áp 22/0,4kV- 1250kVA: 1 máy</v>
      </c>
      <c r="D205" s="1514">
        <f>'8TB'!F3</f>
        <v>3</v>
      </c>
      <c r="E205" s="1519"/>
    </row>
    <row r="206" spans="2:7">
      <c r="B206" s="1512"/>
      <c r="C206" s="1513" t="str">
        <f>'8TB'!D3&amp;": "&amp;'8TB'!F3&amp;" "&amp;'8TB'!E3</f>
        <v>ACB 3P - 2000A - 85KA (nạp lò xo bằng tay): 3 cái</v>
      </c>
      <c r="D206" s="1514">
        <f ca="1">'8TB'!F4</f>
        <v>6</v>
      </c>
      <c r="E206" s="1519"/>
    </row>
    <row r="207" spans="2:7" hidden="1">
      <c r="B207" s="1512"/>
      <c r="C207" s="1513" t="str">
        <f ca="1">'8TB'!D4&amp;": "&amp;'8TB'!F4&amp;" "&amp;'8TB'!E4</f>
        <v>FCO 27kV - 100A: 6 cái</v>
      </c>
      <c r="D207" s="1514">
        <f ca="1">'8TB'!F5</f>
        <v>6</v>
      </c>
      <c r="E207" s="1519"/>
    </row>
    <row r="208" spans="2:7">
      <c r="B208" s="1512"/>
      <c r="C208" s="1513" t="str">
        <f ca="1">'8TB'!D5&amp;": "&amp;'8TB'!F5&amp;" "&amp;'8TB'!E5</f>
        <v>Chống sét van LA-18KV-10KA: 6 cái</v>
      </c>
      <c r="D208" s="1514">
        <f ca="1">'8TB'!F6</f>
        <v>17</v>
      </c>
      <c r="E208" s="1519"/>
    </row>
    <row r="209" spans="2:7" hidden="1">
      <c r="B209" s="1512"/>
      <c r="C209" s="1513" t="str">
        <f ca="1">'8TB'!D6&amp;": "&amp;'8TB'!F6&amp;" "&amp;'8TB'!E6</f>
        <v>Sứ đứng 24KV : 17 cái</v>
      </c>
      <c r="D209" s="1514">
        <f ca="1">'8TB'!F7</f>
        <v>6</v>
      </c>
      <c r="E209" s="1519"/>
    </row>
    <row r="210" spans="2:7" hidden="1">
      <c r="B210" s="1512"/>
      <c r="C210" s="1513" t="str">
        <f ca="1">'8TB'!D7&amp;": "&amp;'8TB'!F7&amp;" "&amp;'8TB'!E7</f>
        <v>Sứ treo polymer: 6 chuỗi</v>
      </c>
      <c r="D210" s="1514">
        <f ca="1">'8TB'!F8</f>
        <v>72</v>
      </c>
      <c r="E210" s="1519"/>
    </row>
    <row r="211" spans="2:7" s="1282" customFormat="1">
      <c r="B211" s="1512"/>
      <c r="C211" s="1513" t="str">
        <f ca="1">'8TB'!D8&amp;": "&amp;'8TB'!F8&amp;" "&amp;'8TB'!E8</f>
        <v>Cáp đồng bọc CV240: 72 mét</v>
      </c>
      <c r="D211" s="1514">
        <f ca="1">'8TB'!F9</f>
        <v>33</v>
      </c>
      <c r="E211" s="1519"/>
      <c r="G211" s="1497"/>
    </row>
    <row r="212" spans="2:7" s="1282" customFormat="1" hidden="1">
      <c r="B212" s="1512"/>
      <c r="C212" s="1513" t="str">
        <f ca="1">'8TB'!D9&amp;": "&amp;'8TB'!F9&amp;" "&amp;'8TB'!E9</f>
        <v>Cáp CVV 4x4mm2  : 33 mét</v>
      </c>
      <c r="D212" s="1514">
        <f ca="1">'8TB'!F10</f>
        <v>45</v>
      </c>
      <c r="E212" s="1519"/>
      <c r="G212" s="1497"/>
    </row>
    <row r="213" spans="2:7" s="1282" customFormat="1" hidden="1">
      <c r="B213" s="1512"/>
      <c r="C213" s="1513" t="str">
        <f ca="1">'8TB'!D10&amp;": "&amp;'8TB'!F10&amp;" "&amp;'8TB'!E10</f>
        <v>Cáp 24KV C/XLPE/PVC 25mm2: 45 mét</v>
      </c>
      <c r="D213" s="1514">
        <f ca="1">'8TB'!F11</f>
        <v>192.78</v>
      </c>
      <c r="E213" s="1519"/>
      <c r="G213" s="1497"/>
    </row>
    <row r="214" spans="2:7" s="1282" customFormat="1" hidden="1">
      <c r="B214" s="1512"/>
      <c r="C214" s="1513" t="str">
        <f ca="1">'8TB'!D11&amp;": "&amp;'8TB'!F11&amp;" "&amp;'8TB'!E11</f>
        <v>Cáp 24KV ACXH 95mm2: 192,78 mét</v>
      </c>
      <c r="D214" s="1514">
        <f ca="1">'8TB'!F12</f>
        <v>14.11</v>
      </c>
      <c r="E214" s="1519"/>
      <c r="G214" s="1497"/>
    </row>
    <row r="215" spans="2:7" s="1282" customFormat="1" hidden="1">
      <c r="B215" s="1512"/>
      <c r="C215" s="1513" t="str">
        <f ca="1">'8TB'!D12&amp;": "&amp;'8TB'!F12&amp;" "&amp;'8TB'!E12</f>
        <v>Cáp đồng trần M25mm2: 14,11 kg</v>
      </c>
      <c r="D215" s="1514">
        <f ca="1">'8TB'!F13</f>
        <v>12.726000000000001</v>
      </c>
      <c r="E215" s="1519"/>
      <c r="G215" s="1497"/>
    </row>
    <row r="216" spans="2:7" s="1282" customFormat="1" hidden="1">
      <c r="B216" s="1512"/>
      <c r="C216" s="1513" t="str">
        <f ca="1">'8TB'!D13&amp;": "&amp;'8TB'!F13&amp;" "&amp;'8TB'!E13</f>
        <v>Cáp nhôm lõi thép AC-50/8: 12,726 kg</v>
      </c>
      <c r="D216" s="1514">
        <f ca="1">'8TB'!F14</f>
        <v>5.0999999999999996</v>
      </c>
      <c r="E216" s="1519"/>
      <c r="G216" s="1497"/>
    </row>
    <row r="217" spans="2:7" s="1282" customFormat="1" hidden="1">
      <c r="B217" s="1512"/>
      <c r="C217" s="1513" t="str">
        <f ca="1">'8TB'!D14&amp;": "&amp;'8TB'!F14&amp;" "&amp;'8TB'!E14</f>
        <v>Cáp thép 5/8": 5,1 kg</v>
      </c>
      <c r="D217" s="1514">
        <f ca="1">'8TB'!F15</f>
        <v>3</v>
      </c>
      <c r="E217" s="1519"/>
      <c r="G217" s="1497"/>
    </row>
    <row r="218" spans="2:7" s="1282" customFormat="1" ht="33.6">
      <c r="B218" s="1512"/>
      <c r="C218" s="1513" t="str">
        <f ca="1">'8TB'!D15&amp;": "&amp;'8TB'!F15&amp;" "&amp;'8TB'!E15</f>
        <v>Trụ BTLT 12m F350 dự ứng lực: 3 trụ</v>
      </c>
      <c r="D218" s="1514">
        <f ca="1">'8TB'!F16</f>
        <v>36</v>
      </c>
      <c r="E218" s="1519"/>
      <c r="G218" s="1497"/>
    </row>
    <row r="219" spans="2:7" s="1282" customFormat="1">
      <c r="B219" s="1512"/>
      <c r="C219" s="1513" t="str">
        <f ca="1">'8TB'!D16&amp;": "&amp;'8TB'!F16&amp;" "&amp;'8TB'!E16</f>
        <v>Boulon 14x350+ 2 long đền vuông D16-50x50x3/Zn: 36 bộ</v>
      </c>
      <c r="D219" s="1514">
        <f ca="1">'8TB'!F17</f>
        <v>14.2</v>
      </c>
      <c r="E219" s="1519"/>
      <c r="G219" s="1497"/>
    </row>
    <row r="220" spans="2:7" s="1282" customFormat="1">
      <c r="B220" s="1512"/>
      <c r="C220" s="1513" t="str">
        <f ca="1">'8TB'!D17&amp;": "&amp;'8TB'!F17&amp;" "&amp;'8TB'!E17</f>
        <v>Lưới B40 - 1800-3/Zn: 14,2 mét</v>
      </c>
      <c r="D220" s="1514">
        <f ca="1">'8TB'!F18</f>
        <v>9</v>
      </c>
      <c r="E220" s="1519"/>
      <c r="G220" s="1497"/>
    </row>
    <row r="221" spans="2:7" s="1282" customFormat="1" hidden="1">
      <c r="B221" s="1512"/>
      <c r="C221" s="1513" t="str">
        <f ca="1">'8TB'!D18&amp;": "&amp;'8TB'!F18&amp;" "&amp;'8TB'!E18</f>
        <v>Chụp đầu cực TI, TU: 9 Cái</v>
      </c>
      <c r="D221" s="1514">
        <f ca="1">'8TB'!F19</f>
        <v>3</v>
      </c>
      <c r="E221" s="1519"/>
      <c r="G221" s="1497"/>
    </row>
    <row r="222" spans="2:7" s="1282" customFormat="1" hidden="1">
      <c r="B222" s="1512"/>
      <c r="C222" s="1513" t="str">
        <f ca="1">'8TB'!D19&amp;": "&amp;'8TB'!F19&amp;" "&amp;'8TB'!E19</f>
        <v>Nắp che đầu cực FCO: 3 cái</v>
      </c>
      <c r="D222" s="1514">
        <f ca="1">'8TB'!F20</f>
        <v>3</v>
      </c>
      <c r="E222" s="1519"/>
      <c r="G222" s="1497"/>
    </row>
    <row r="223" spans="2:7" s="1282" customFormat="1">
      <c r="B223" s="1512"/>
      <c r="C223" s="1513" t="str">
        <f ca="1">'8TB'!D20&amp;": "&amp;'8TB'!F20&amp;" "&amp;'8TB'!E20</f>
        <v>Nắp che đầu cực LA: 3 cái</v>
      </c>
      <c r="D223" s="1514">
        <f ca="1">'8TB'!F21</f>
        <v>0</v>
      </c>
      <c r="E223" s="1519"/>
      <c r="G223" s="1497"/>
    </row>
    <row r="224" spans="2:7" s="1282" customFormat="1">
      <c r="B224" s="1512"/>
      <c r="C224" s="1513" t="str">
        <f ca="1">'8TB'!D21&amp;": "&amp;'8TB'!F21&amp;" "&amp;'8TB'!E21</f>
        <v>Vỏ tủ trạm giàn 2 ngăn + khóa tủ: 0 cái</v>
      </c>
      <c r="D224" s="1514">
        <f ca="1">'8TB'!F22</f>
        <v>0</v>
      </c>
      <c r="E224" s="1519"/>
      <c r="G224" s="1497"/>
    </row>
    <row r="225" spans="2:7" s="1282" customFormat="1" hidden="1">
      <c r="B225" s="1512"/>
      <c r="C225" s="1513" t="str">
        <f ca="1">'8TB'!D22&amp;": "&amp;'8TB'!F22&amp;" "&amp;'8TB'!E22</f>
        <v>Giá chùm treo máy biến áp 3x50: 0 cái</v>
      </c>
      <c r="D225" s="1514">
        <f ca="1">'8TB'!F23</f>
        <v>0</v>
      </c>
      <c r="E225" s="1519"/>
      <c r="G225" s="1497"/>
    </row>
    <row r="226" spans="2:7" s="1282" customFormat="1" hidden="1">
      <c r="B226" s="1512"/>
      <c r="C226" s="1513" t="e">
        <f ca="1">'8TB'!D23&amp;": "&amp;'8TB'!F23&amp;" "&amp;'8TB'!E23</f>
        <v>#N/A</v>
      </c>
      <c r="D226" s="1514">
        <f ca="1">'8TB'!F24</f>
        <v>1</v>
      </c>
      <c r="E226" s="1519"/>
      <c r="G226" s="1497"/>
    </row>
    <row r="227" spans="2:7" s="1282" customFormat="1" hidden="1">
      <c r="B227" s="1512"/>
      <c r="C227" s="1513" t="str">
        <f ca="1">'8TB'!D24&amp;": "&amp;'8TB'!F24&amp;" "&amp;'8TB'!E24</f>
        <v>Tủ ACB + thanh cái 2000A: 1 m2</v>
      </c>
      <c r="D227" s="1514">
        <f>'8TB'!F25</f>
        <v>0</v>
      </c>
      <c r="E227" s="1519"/>
      <c r="G227" s="1497"/>
    </row>
    <row r="228" spans="2:7" s="1282" customFormat="1" hidden="1">
      <c r="B228" s="1512"/>
      <c r="C228" s="1513" t="str">
        <f>'8TB'!D25&amp;": "&amp;'8TB'!F25&amp;" "&amp;'8TB'!E25</f>
        <v xml:space="preserve">:  </v>
      </c>
      <c r="D228" s="1514">
        <f>'8TB'!F26</f>
        <v>0</v>
      </c>
      <c r="E228" s="1519"/>
      <c r="G228" s="1497"/>
    </row>
    <row r="229" spans="2:7" s="1282" customFormat="1" hidden="1">
      <c r="B229" s="1512"/>
      <c r="C229" s="1513" t="str">
        <f>'8TB'!D26&amp;": "&amp;'8TB'!F26&amp;" "&amp;'8TB'!E26</f>
        <v xml:space="preserve">:  </v>
      </c>
      <c r="D229" s="1514">
        <f>'8TB'!F27</f>
        <v>0</v>
      </c>
      <c r="E229" s="1519"/>
      <c r="G229" s="1497"/>
    </row>
    <row r="230" spans="2:7" s="1282" customFormat="1" hidden="1">
      <c r="B230" s="1512"/>
      <c r="C230" s="1513" t="str">
        <f>'8TB'!D27&amp;": "&amp;'8TB'!F27&amp;" "&amp;'8TB'!E27</f>
        <v xml:space="preserve">:  </v>
      </c>
      <c r="D230" s="1514">
        <f>'8TB'!F29</f>
        <v>0</v>
      </c>
      <c r="E230" s="1519"/>
      <c r="G230" s="1497"/>
    </row>
    <row r="231" spans="2:7" s="1282" customFormat="1" hidden="1">
      <c r="B231" s="1512"/>
      <c r="C231" s="1513" t="str">
        <f>'8TB'!D28&amp;": "&amp;'8TB'!F28&amp;" "&amp;'8TB'!E28</f>
        <v xml:space="preserve">:  </v>
      </c>
      <c r="D231" s="1514">
        <f>'8TB'!F30</f>
        <v>0</v>
      </c>
      <c r="E231" s="1519"/>
      <c r="G231" s="1497"/>
    </row>
    <row r="232" spans="2:7" s="1282" customFormat="1" hidden="1">
      <c r="B232" s="1512"/>
      <c r="C232" s="1513" t="str">
        <f>'8TB'!D29&amp;": "&amp;'8TB'!F29&amp;" "&amp;'8TB'!E29</f>
        <v xml:space="preserve">:  </v>
      </c>
      <c r="D232" s="1514">
        <f>'8TB'!F31</f>
        <v>0</v>
      </c>
      <c r="E232" s="1519"/>
      <c r="G232" s="1497"/>
    </row>
    <row r="233" spans="2:7">
      <c r="B233" s="1512">
        <f>B204</f>
        <v>43876</v>
      </c>
      <c r="C233" s="1513" t="s">
        <v>4552</v>
      </c>
      <c r="D233" s="1514" t="s">
        <v>512</v>
      </c>
      <c r="E233" s="1515"/>
    </row>
    <row r="234" spans="2:7">
      <c r="B234" s="1512"/>
      <c r="C234" s="1516" t="str">
        <f>'9TD'!D18</f>
        <v>Bộ tiếp địa Trạm biến áp: 1 Bộ</v>
      </c>
      <c r="D234" s="1514">
        <f>'9TD'!J18</f>
        <v>1</v>
      </c>
      <c r="E234" s="1515"/>
    </row>
    <row r="235" spans="2:7" hidden="1">
      <c r="B235" s="1512"/>
      <c r="C235" s="1516" t="str">
        <f>'9TD'!D19</f>
        <v xml:space="preserve"> - Cáp đồng trần M25mm2: 11,9 kg</v>
      </c>
      <c r="D235" s="1514">
        <f>'9TD'!J19</f>
        <v>11.87</v>
      </c>
      <c r="E235" s="1515"/>
    </row>
    <row r="236" spans="2:7">
      <c r="B236" s="1512"/>
      <c r="C236" s="1516" t="str">
        <f>'9TD'!D20</f>
        <v xml:space="preserve"> - Cọc tiếp đất Þ 16- 2,4m + kẹp cọc: 9 bộ</v>
      </c>
      <c r="D236" s="1514">
        <f>'9TD'!J20</f>
        <v>9</v>
      </c>
      <c r="E236" s="1515"/>
    </row>
    <row r="237" spans="2:7">
      <c r="B237" s="1512"/>
      <c r="C237" s="1516" t="str">
        <f>'9TD'!D21</f>
        <v xml:space="preserve"> - Kẹp ép WR cỡ dây 50mm2: 2 cái</v>
      </c>
      <c r="D237" s="1514">
        <f>'9TD'!J21</f>
        <v>2</v>
      </c>
      <c r="E237" s="1515"/>
    </row>
    <row r="238" spans="2:7">
      <c r="B238" s="1512"/>
      <c r="C238" s="1516" t="str">
        <f>'9TD'!D22</f>
        <v xml:space="preserve"> - Ốc siết cáp cỡ 25mm2: 8 cái</v>
      </c>
      <c r="D238" s="1514">
        <f>'9TD'!J22</f>
        <v>8</v>
      </c>
      <c r="E238" s="1515"/>
    </row>
    <row r="239" spans="2:7" hidden="1">
      <c r="B239" s="1512"/>
      <c r="C239" s="1516" t="str">
        <f>'9TD'!D25</f>
        <v xml:space="preserve"> - : 0 </v>
      </c>
      <c r="D239" s="1514">
        <f>'9TD'!J25</f>
        <v>0</v>
      </c>
      <c r="E239" s="1515"/>
    </row>
    <row r="240" spans="2:7" s="1282" customFormat="1" hidden="1">
      <c r="B240" s="1512"/>
      <c r="C240" s="1516" t="str">
        <f>'9TD'!D26</f>
        <v xml:space="preserve"> - : 0 </v>
      </c>
      <c r="D240" s="1514">
        <f>'9TD'!J26</f>
        <v>0</v>
      </c>
      <c r="E240" s="1515"/>
      <c r="G240" s="1497"/>
    </row>
    <row r="241" spans="2:7" s="1282" customFormat="1" hidden="1">
      <c r="B241" s="1512"/>
      <c r="C241" s="1516" t="str">
        <f>'9TD'!D27</f>
        <v xml:space="preserve"> - Khoảng cách cọc cách cọc: 3 mét</v>
      </c>
      <c r="D241" s="1514">
        <f>'9TD'!J27</f>
        <v>3</v>
      </c>
      <c r="E241" s="1515"/>
      <c r="G241" s="1497"/>
    </row>
    <row r="242" spans="2:7" s="1282" customFormat="1" hidden="1">
      <c r="B242" s="1512"/>
      <c r="C242" s="1516" t="str">
        <f>'9TD'!D28</f>
        <v xml:space="preserve"> - Độ chôn sâu đầu cọc đến mặt đất: 0,5 mét</v>
      </c>
      <c r="D242" s="1514">
        <f>'9TD'!J28</f>
        <v>0.5</v>
      </c>
      <c r="E242" s="1515"/>
      <c r="G242" s="1497"/>
    </row>
    <row r="243" spans="2:7" s="1282" customFormat="1">
      <c r="B243" s="1512"/>
      <c r="C243" s="1516" t="str">
        <f>'9TD'!D29</f>
        <v xml:space="preserve">: 0 </v>
      </c>
      <c r="D243" s="1514">
        <f>'9TD'!J29</f>
        <v>0</v>
      </c>
      <c r="E243" s="1515"/>
      <c r="G243" s="1497"/>
    </row>
    <row r="244" spans="2:7" s="1282" customFormat="1" hidden="1">
      <c r="B244" s="1512"/>
      <c r="C244" s="1516" t="str">
        <f>'9TD'!D30</f>
        <v xml:space="preserve">: 0 </v>
      </c>
      <c r="D244" s="1514">
        <f>'9TD'!J30</f>
        <v>0</v>
      </c>
      <c r="E244" s="1515"/>
      <c r="G244" s="1497"/>
    </row>
    <row r="245" spans="2:7" s="1282" customFormat="1">
      <c r="B245" s="1512"/>
      <c r="C245" s="1516" t="str">
        <f>'9TD'!D31</f>
        <v xml:space="preserve"> - : 0 </v>
      </c>
      <c r="D245" s="1514">
        <f>'9TD'!J31</f>
        <v>0</v>
      </c>
      <c r="E245" s="1515"/>
      <c r="G245" s="1497"/>
    </row>
    <row r="246" spans="2:7" s="1282" customFormat="1">
      <c r="B246" s="1512"/>
      <c r="C246" s="1516" t="str">
        <f>'9TD'!D32</f>
        <v xml:space="preserve"> - : 0 </v>
      </c>
      <c r="D246" s="1514">
        <f>'9TD'!J32</f>
        <v>0</v>
      </c>
      <c r="E246" s="1515"/>
      <c r="G246" s="1497"/>
    </row>
    <row r="247" spans="2:7" s="1282" customFormat="1">
      <c r="B247" s="1512"/>
      <c r="C247" s="1516" t="str">
        <f>'9TD'!D33</f>
        <v xml:space="preserve"> - : 0 </v>
      </c>
      <c r="D247" s="1514">
        <f>'9TD'!J33</f>
        <v>0</v>
      </c>
      <c r="E247" s="1515"/>
      <c r="G247" s="1497"/>
    </row>
    <row r="248" spans="2:7" s="1282" customFormat="1">
      <c r="B248" s="1512"/>
      <c r="C248" s="1516" t="str">
        <f>'9TD'!D34</f>
        <v xml:space="preserve"> - : 0 </v>
      </c>
      <c r="D248" s="1514">
        <f>'9TD'!J34</f>
        <v>0</v>
      </c>
      <c r="E248" s="1515"/>
      <c r="G248" s="1497"/>
    </row>
    <row r="249" spans="2:7" s="1282" customFormat="1" hidden="1">
      <c r="B249" s="1512"/>
      <c r="C249" s="1516" t="str">
        <f>'9TD'!D35</f>
        <v xml:space="preserve"> - : 0 </v>
      </c>
      <c r="D249" s="1514">
        <f>'9TD'!J35</f>
        <v>0</v>
      </c>
      <c r="E249" s="1515"/>
      <c r="G249" s="1497"/>
    </row>
    <row r="250" spans="2:7" s="1282" customFormat="1" hidden="1">
      <c r="B250" s="1512"/>
      <c r="C250" s="1516" t="str">
        <f>'9TD'!D36</f>
        <v xml:space="preserve"> - : 0 </v>
      </c>
      <c r="D250" s="1514">
        <f>'9TD'!J36</f>
        <v>0</v>
      </c>
      <c r="E250" s="1515"/>
      <c r="G250" s="1497"/>
    </row>
    <row r="251" spans="2:7" hidden="1">
      <c r="B251" s="1512"/>
      <c r="C251" s="1516" t="str">
        <f>'9TD'!D37</f>
        <v xml:space="preserve"> - : 0 </v>
      </c>
      <c r="D251" s="1514">
        <f>'9TD'!J37</f>
        <v>0</v>
      </c>
      <c r="E251" s="1515"/>
    </row>
    <row r="252" spans="2:7" s="1282" customFormat="1">
      <c r="B252" s="1512"/>
      <c r="C252" s="1516" t="str">
        <f>'9TD'!D42</f>
        <v xml:space="preserve"> - Độ chôn sâu đầu cọc đến mặt đất: 0,5 mét</v>
      </c>
      <c r="D252" s="1514" t="s">
        <v>512</v>
      </c>
      <c r="E252" s="1515"/>
      <c r="G252" s="1497"/>
    </row>
    <row r="253" spans="2:7" s="1282" customFormat="1">
      <c r="B253" s="1512"/>
      <c r="C253" s="1516" t="str">
        <f>'9TD'!D43</f>
        <v xml:space="preserve"> - Khoảng cách cọc cách cọc: 3 mét</v>
      </c>
      <c r="D253" s="1514" t="s">
        <v>512</v>
      </c>
      <c r="E253" s="1515"/>
      <c r="G253" s="1497"/>
    </row>
    <row r="254" spans="2:7" s="1282" customFormat="1" hidden="1">
      <c r="B254" s="1512"/>
      <c r="C254" s="1516">
        <f>'9TD'!D44</f>
        <v>0</v>
      </c>
      <c r="D254" s="1514">
        <f>'9TD'!J44</f>
        <v>0</v>
      </c>
      <c r="E254" s="1515"/>
      <c r="G254" s="1497"/>
    </row>
    <row r="255" spans="2:7" s="1282" customFormat="1" hidden="1">
      <c r="B255" s="1512"/>
      <c r="C255" s="1516">
        <f>'9TD'!D45</f>
        <v>0</v>
      </c>
      <c r="D255" s="1514">
        <f>'9TD'!J45</f>
        <v>0</v>
      </c>
      <c r="E255" s="1515"/>
      <c r="G255" s="1497"/>
    </row>
    <row r="256" spans="2:7" hidden="1">
      <c r="B256" s="1512"/>
      <c r="C256" s="1516">
        <f>'9TD'!D46</f>
        <v>0</v>
      </c>
      <c r="D256" s="1514">
        <f>'9TD'!J46</f>
        <v>0</v>
      </c>
      <c r="E256" s="1515"/>
    </row>
    <row r="257" spans="2:7" s="1282" customFormat="1" ht="33.6" hidden="1">
      <c r="B257" s="1512"/>
      <c r="C257" s="1513" t="s">
        <v>4556</v>
      </c>
      <c r="D257" s="1514"/>
      <c r="E257" s="1515"/>
      <c r="G257" s="1497"/>
    </row>
    <row r="258" spans="2:7" ht="33.6">
      <c r="B258" s="1512">
        <f>B233</f>
        <v>43876</v>
      </c>
      <c r="C258" s="1513" t="s">
        <v>4553</v>
      </c>
      <c r="D258" s="1514" t="s">
        <v>512</v>
      </c>
      <c r="E258" s="1515"/>
    </row>
    <row r="259" spans="2:7">
      <c r="B259" s="1512"/>
      <c r="C259" s="1516" t="str">
        <f>'10DN'!D7</f>
        <v>Đấu nối trung thế vào đường dây trung thế hiện hữu:</v>
      </c>
      <c r="D259" s="1514">
        <f>'10DN'!L7</f>
        <v>0</v>
      </c>
      <c r="E259" s="1515"/>
    </row>
    <row r="260" spans="2:7" hidden="1">
      <c r="B260" s="1512"/>
      <c r="C260" s="1516" t="str">
        <f>'10DN'!D8</f>
        <v xml:space="preserve"> - FCO 27kV - 100A: 3 cái.</v>
      </c>
      <c r="D260" s="1514">
        <f>'10DN'!L8</f>
        <v>0</v>
      </c>
      <c r="E260" s="1515"/>
    </row>
    <row r="261" spans="2:7" hidden="1">
      <c r="B261" s="1512"/>
      <c r="C261" s="1516" t="str">
        <f>'10DN'!D9</f>
        <v xml:space="preserve"> - Dây chảy 50K: 3 Sợi.</v>
      </c>
      <c r="D261" s="1514">
        <f>'10DN'!L9</f>
        <v>0</v>
      </c>
      <c r="E261" s="1515"/>
    </row>
    <row r="262" spans="2:7">
      <c r="B262" s="1512"/>
      <c r="C262" s="1516" t="str">
        <f>'10DN'!D10</f>
        <v xml:space="preserve"> - Chống sét van LA-18KV-10KA: 3 cái.</v>
      </c>
      <c r="D262" s="1514">
        <f>'10DN'!L10</f>
        <v>0</v>
      </c>
      <c r="E262" s="1515"/>
    </row>
    <row r="263" spans="2:7">
      <c r="B263" s="1512"/>
      <c r="C263" s="1516" t="str">
        <f>'10DN'!D11</f>
        <v xml:space="preserve"> - Kẹp ép WR cỡ dây 50mm2: 2 cái.</v>
      </c>
      <c r="D263" s="1514">
        <f>'10DN'!L11</f>
        <v>0</v>
      </c>
      <c r="E263" s="1515"/>
    </row>
    <row r="264" spans="2:7">
      <c r="B264" s="1512"/>
      <c r="C264" s="1516" t="str">
        <f>'10DN'!D12</f>
        <v xml:space="preserve"> - Kẹp ép WR cỡ dây 95mm2: 6 cái.</v>
      </c>
      <c r="D264" s="1514">
        <f>'10DN'!L12</f>
        <v>0</v>
      </c>
      <c r="E264" s="1515"/>
    </row>
    <row r="265" spans="2:7" hidden="1">
      <c r="B265" s="1512"/>
      <c r="C265" s="1516" t="str">
        <f>'10DN'!D13</f>
        <v xml:space="preserve"> - Đầu cosse ép Cu-Al 50mm2: 6 cái.</v>
      </c>
      <c r="D265" s="1514">
        <f>'10DN'!L13</f>
        <v>0</v>
      </c>
      <c r="E265" s="1515"/>
    </row>
    <row r="266" spans="2:7" hidden="1">
      <c r="B266" s="1512"/>
      <c r="C266" s="1516" t="str">
        <f>'10DN'!D14</f>
        <v xml:space="preserve"> - Cáp 24KV C/XLPE/PVC 25mm2: 9 mét.</v>
      </c>
      <c r="D266" s="1514">
        <f>'10DN'!L14</f>
        <v>0</v>
      </c>
      <c r="E266" s="1515"/>
    </row>
    <row r="267" spans="2:7" hidden="1">
      <c r="B267" s="1512"/>
      <c r="C267" s="1516" t="str">
        <f>'10DN'!D15</f>
        <v xml:space="preserve"> - :  .</v>
      </c>
      <c r="D267" s="1514">
        <f>'10DN'!L15</f>
        <v>0</v>
      </c>
      <c r="E267" s="1515"/>
    </row>
    <row r="268" spans="2:7" s="1282" customFormat="1" hidden="1">
      <c r="B268" s="1512"/>
      <c r="C268" s="1516" t="str">
        <f>'10DN'!D20</f>
        <v>Đấu nối hạ thế vào đường dây hạ thế hiện hữu:</v>
      </c>
      <c r="D268" s="1514">
        <f>'10DN'!L16</f>
        <v>0</v>
      </c>
      <c r="E268" s="1515"/>
      <c r="G268" s="1497"/>
    </row>
    <row r="269" spans="2:7" s="1282" customFormat="1" hidden="1">
      <c r="B269" s="1512"/>
      <c r="C269" s="1516" t="e">
        <f>'10DN'!D21</f>
        <v>#REF!</v>
      </c>
      <c r="D269" s="1514">
        <f>'10DN'!L21</f>
        <v>0</v>
      </c>
      <c r="E269" s="1515"/>
      <c r="G269" s="1497"/>
    </row>
    <row r="270" spans="2:7" s="1282" customFormat="1" hidden="1">
      <c r="B270" s="1512"/>
      <c r="C270" s="1516" t="str">
        <f>'10DN'!D22</f>
        <v xml:space="preserve"> - :  .</v>
      </c>
      <c r="D270" s="1514">
        <f>'10DN'!L22</f>
        <v>0</v>
      </c>
      <c r="E270" s="1515"/>
      <c r="G270" s="1497"/>
    </row>
    <row r="271" spans="2:7" s="1282" customFormat="1" hidden="1">
      <c r="B271" s="1512"/>
      <c r="C271" s="1516" t="e">
        <f>'10DN'!D23</f>
        <v>#REF!</v>
      </c>
      <c r="D271" s="1514">
        <f>'10DN'!L23</f>
        <v>0</v>
      </c>
      <c r="E271" s="1515"/>
      <c r="G271" s="1497"/>
    </row>
    <row r="272" spans="2:7" s="1282" customFormat="1" hidden="1">
      <c r="B272" s="1512"/>
      <c r="C272" s="1516" t="str">
        <f>'10DN'!D24</f>
        <v xml:space="preserve"> - :  .</v>
      </c>
      <c r="D272" s="1514">
        <f>'10DN'!L24</f>
        <v>0</v>
      </c>
      <c r="E272" s="1515"/>
      <c r="G272" s="1497"/>
    </row>
    <row r="273" spans="2:7" s="1282" customFormat="1" hidden="1">
      <c r="B273" s="1512"/>
      <c r="C273" s="1516" t="str">
        <f>'10DN'!D25</f>
        <v xml:space="preserve"> - :  .</v>
      </c>
      <c r="D273" s="1514">
        <f>'10DN'!L25</f>
        <v>0</v>
      </c>
      <c r="E273" s="1515"/>
      <c r="G273" s="1497"/>
    </row>
    <row r="274" spans="2:7" hidden="1">
      <c r="B274" s="1512"/>
      <c r="C274" s="1516" t="str">
        <f>'10DN'!D26</f>
        <v xml:space="preserve"> - :  .</v>
      </c>
      <c r="D274" s="1514">
        <f>'10DN'!L26</f>
        <v>0</v>
      </c>
      <c r="E274" s="1515"/>
    </row>
    <row r="275" spans="2:7" ht="33.6" hidden="1">
      <c r="B275" s="1520"/>
      <c r="C275" s="1521" t="s">
        <v>4557</v>
      </c>
      <c r="D275" s="1522"/>
      <c r="E275" s="1523"/>
    </row>
  </sheetData>
  <autoFilter ref="D2:D275" xr:uid="{00000000-0009-0000-0000-000029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53" customWidth="1"/>
    <col min="2" max="2" width="28.81640625" style="853" customWidth="1"/>
    <col min="3" max="3" width="6.36328125" style="857" customWidth="1"/>
    <col min="4" max="4" width="6.08984375" style="857" customWidth="1"/>
    <col min="5" max="5" width="36.1796875" style="853" customWidth="1"/>
    <col min="6" max="6" width="36.453125" style="853" customWidth="1"/>
    <col min="7" max="7" width="5.1796875" style="879" bestFit="1" customWidth="1"/>
    <col min="8" max="9" width="8.90625" style="879"/>
    <col min="10" max="16384" width="8.90625" style="846"/>
  </cols>
  <sheetData>
    <row r="1" spans="1:9" ht="38.25" customHeight="1">
      <c r="A1" s="3196" t="s">
        <v>4631</v>
      </c>
      <c r="B1" s="3196"/>
      <c r="C1" s="3196"/>
      <c r="D1" s="3196"/>
      <c r="E1" s="3196"/>
      <c r="F1" s="3196"/>
      <c r="H1" s="1282"/>
    </row>
    <row r="2" spans="1:9" s="847" customFormat="1" ht="33.75" customHeight="1">
      <c r="A2" s="1427" t="s">
        <v>4224</v>
      </c>
      <c r="B2" s="1427" t="s">
        <v>4202</v>
      </c>
      <c r="C2" s="1427" t="s">
        <v>4203</v>
      </c>
      <c r="D2" s="1427" t="s">
        <v>4204</v>
      </c>
      <c r="E2" s="1427" t="s">
        <v>4205</v>
      </c>
      <c r="F2" s="1427" t="s">
        <v>4206</v>
      </c>
      <c r="G2" s="870" t="s">
        <v>1960</v>
      </c>
      <c r="H2" s="870"/>
      <c r="I2" s="880"/>
    </row>
    <row r="3" spans="1:9" ht="35.1" customHeight="1">
      <c r="A3" s="1428">
        <f>SUM($G$3:G3)</f>
        <v>1</v>
      </c>
      <c r="B3" s="1429" t="str">
        <f>'NT-VT'!C6</f>
        <v>Máy biến áp 22/0,4kV- 1250kVA</v>
      </c>
      <c r="C3" s="1430" t="str">
        <f>'NT-VT'!D6</f>
        <v>máy</v>
      </c>
      <c r="D3" s="1431">
        <f>'NT-VT'!E6</f>
        <v>1</v>
      </c>
      <c r="E3" s="1428">
        <f>'NT-VT'!F6</f>
        <v>0</v>
      </c>
      <c r="F3" s="1428">
        <f>'NT-VT'!G6</f>
        <v>0</v>
      </c>
      <c r="G3" s="867">
        <f>IF(D3&gt;0,1,0)</f>
        <v>1</v>
      </c>
      <c r="H3" s="881"/>
      <c r="I3" s="857"/>
    </row>
    <row r="4" spans="1:9" ht="35.1" customHeight="1">
      <c r="A4" s="1428">
        <f>SUM($G$3:G4)</f>
        <v>2</v>
      </c>
      <c r="B4" s="1429" t="str">
        <f>'NT-VT'!C7</f>
        <v>ACB 3P - 2000A - 85KA (nạp lò xo bằng tay)</v>
      </c>
      <c r="C4" s="1430" t="str">
        <f>'NT-VT'!D7</f>
        <v>cái</v>
      </c>
      <c r="D4" s="1431">
        <f>'NT-VT'!E7</f>
        <v>1</v>
      </c>
      <c r="E4" s="1428" t="str">
        <f>'NT-VT'!F7</f>
        <v>Mitsubishi Electric</v>
      </c>
      <c r="F4" s="1428" t="str">
        <f>'NT-VT'!G7</f>
        <v>Mitsubishi Electric</v>
      </c>
      <c r="G4" s="867">
        <f t="shared" ref="G4:G67" si="0">IF(D4&gt;0,1,0)</f>
        <v>1</v>
      </c>
      <c r="H4" s="882"/>
    </row>
    <row r="5" spans="1:9" ht="35.1" customHeight="1">
      <c r="A5" s="1428">
        <f>SUM($G$3:G5)</f>
        <v>3</v>
      </c>
      <c r="B5" s="1429" t="str">
        <f>'NT-VT'!C8</f>
        <v>FCO 27kV - 100A</v>
      </c>
      <c r="C5" s="1430" t="str">
        <f>'NT-VT'!D8</f>
        <v>cái</v>
      </c>
      <c r="D5" s="1431">
        <f>'NT-VT'!E8</f>
        <v>6</v>
      </c>
      <c r="E5" s="1428" t="str">
        <f>'NT-VT'!F8</f>
        <v>Chance</v>
      </c>
      <c r="F5" s="1428" t="str">
        <f>'NT-VT'!G8</f>
        <v>Cty TNHH MTV Đại Thiên An</v>
      </c>
      <c r="G5" s="867">
        <f t="shared" si="0"/>
        <v>1</v>
      </c>
      <c r="H5" s="882"/>
    </row>
    <row r="6" spans="1:9" ht="35.1" customHeight="1">
      <c r="A6" s="1428">
        <f>SUM($G$3:G6)</f>
        <v>4</v>
      </c>
      <c r="B6" s="1429" t="str">
        <f>'NT-VT'!C9</f>
        <v>Chống sét van LA-18KV-10KA</v>
      </c>
      <c r="C6" s="1430" t="str">
        <f>'NT-VT'!D9</f>
        <v>cái</v>
      </c>
      <c r="D6" s="1431">
        <f>'NT-VT'!E9</f>
        <v>6</v>
      </c>
      <c r="E6" s="1428" t="str">
        <f>'NT-VT'!F9</f>
        <v>Cooper</v>
      </c>
      <c r="F6" s="1428" t="str">
        <f>'NT-VT'!G9</f>
        <v>Cty TNHH MTV Đại Thiên An</v>
      </c>
      <c r="G6" s="867">
        <f t="shared" si="0"/>
        <v>1</v>
      </c>
      <c r="H6" s="882"/>
    </row>
    <row r="7" spans="1:9" ht="35.1" customHeight="1">
      <c r="A7" s="1428">
        <f>SUM($G$3:G7)</f>
        <v>5</v>
      </c>
      <c r="B7" s="1429" t="str">
        <f>'NT-VT'!C10</f>
        <v xml:space="preserve">Sứ đứng 24KV </v>
      </c>
      <c r="C7" s="1430" t="str">
        <f>'NT-VT'!D10</f>
        <v>cái</v>
      </c>
      <c r="D7" s="1431">
        <f>'NT-VT'!E10</f>
        <v>17</v>
      </c>
      <c r="E7" s="1428" t="str">
        <f>'NT-VT'!F10</f>
        <v>Minh Long</v>
      </c>
      <c r="F7" s="1428" t="str">
        <f>'NT-VT'!G10</f>
        <v>Minh Long</v>
      </c>
      <c r="G7" s="867">
        <f t="shared" si="0"/>
        <v>1</v>
      </c>
      <c r="H7" s="881"/>
      <c r="I7" s="857"/>
    </row>
    <row r="8" spans="1:9" ht="35.1" customHeight="1">
      <c r="A8" s="1428">
        <f>SUM($G$3:G8)</f>
        <v>6</v>
      </c>
      <c r="B8" s="1429" t="str">
        <f>'NT-VT'!C11</f>
        <v>Sứ treo polymer</v>
      </c>
      <c r="C8" s="1430" t="str">
        <f>'NT-VT'!D11</f>
        <v>chuỗi</v>
      </c>
      <c r="D8" s="1431">
        <f>'NT-VT'!E11</f>
        <v>6</v>
      </c>
      <c r="E8" s="1428" t="str">
        <f>'NT-VT'!F11</f>
        <v>DTR</v>
      </c>
      <c r="F8" s="1428" t="str">
        <f>'NT-VT'!G11</f>
        <v>Cty TNHH MTV Đại Thiên An</v>
      </c>
      <c r="G8" s="867">
        <f t="shared" si="0"/>
        <v>1</v>
      </c>
      <c r="H8" s="881"/>
      <c r="I8" s="857"/>
    </row>
    <row r="9" spans="1:9" ht="35.1" customHeight="1">
      <c r="A9" s="1428">
        <f>SUM($G$3:G9)</f>
        <v>7</v>
      </c>
      <c r="B9" s="1429" t="str">
        <f>'NT-VT'!C12</f>
        <v>Cáp đồng bọc CV240</v>
      </c>
      <c r="C9" s="1430" t="str">
        <f>'NT-VT'!D12</f>
        <v>mét</v>
      </c>
      <c r="D9" s="1431">
        <f>'NT-VT'!E12</f>
        <v>72</v>
      </c>
      <c r="E9" s="1428" t="str">
        <f>'NT-VT'!F13</f>
        <v>Cty TNHHSX-TM Dây &amp; Cáp Điện Tài Trường Thành</v>
      </c>
      <c r="F9" s="1428" t="str">
        <f>'NT-VT'!G13</f>
        <v>Cty TNHHSX-TM Dây &amp; Cáp Điện Tài Trường Thành</v>
      </c>
      <c r="G9" s="867">
        <f t="shared" si="0"/>
        <v>1</v>
      </c>
      <c r="H9" s="881"/>
      <c r="I9" s="857"/>
    </row>
    <row r="10" spans="1:9" ht="35.1" customHeight="1">
      <c r="A10" s="1428">
        <f>SUM($G$3:G10)</f>
        <v>8</v>
      </c>
      <c r="B10" s="1429" t="str">
        <f>'NT-VT'!C13</f>
        <v xml:space="preserve">Cáp CVV 4x4mm2  </v>
      </c>
      <c r="C10" s="1430" t="str">
        <f>'NT-VT'!D13</f>
        <v>mét</v>
      </c>
      <c r="D10" s="1431">
        <f>'NT-VT'!E13</f>
        <v>33</v>
      </c>
      <c r="E10" s="1428" t="str">
        <f>'NT-VT'!F14</f>
        <v>Cty TNHHSX-TM Dây &amp; Cáp Điện Tài Trường Thành</v>
      </c>
      <c r="F10" s="1428" t="str">
        <f>'NT-VT'!G14</f>
        <v>Cty TNHHSX-TM Dây &amp; Cáp Điện Tài Trường Thành</v>
      </c>
      <c r="G10" s="867">
        <f t="shared" si="0"/>
        <v>1</v>
      </c>
      <c r="H10" s="881"/>
      <c r="I10" s="857"/>
    </row>
    <row r="11" spans="1:9" ht="35.1" customHeight="1">
      <c r="A11" s="1428">
        <f>SUM($G$3:G11)</f>
        <v>9</v>
      </c>
      <c r="B11" s="1429" t="str">
        <f>'NT-VT'!C14</f>
        <v>Cáp 24KV C/XLPE/PVC 25mm2</v>
      </c>
      <c r="C11" s="1430" t="str">
        <f>'NT-VT'!D14</f>
        <v>mét</v>
      </c>
      <c r="D11" s="1431">
        <f>'NT-VT'!E14</f>
        <v>45</v>
      </c>
      <c r="E11" s="1428" t="str">
        <f>'NT-VT'!F15</f>
        <v>Cty TNHHSX-TM Dây &amp; Cáp Điện Tài Trường Thành</v>
      </c>
      <c r="F11" s="1428" t="str">
        <f>'NT-VT'!G15</f>
        <v>Cty TNHHSX-TM Dây &amp; Cáp Điện Tài Trường Thành</v>
      </c>
      <c r="G11" s="867">
        <f t="shared" si="0"/>
        <v>1</v>
      </c>
      <c r="H11" s="882"/>
    </row>
    <row r="12" spans="1:9" ht="35.1" customHeight="1">
      <c r="A12" s="1428">
        <f>SUM($G$3:G12)</f>
        <v>10</v>
      </c>
      <c r="B12" s="1429" t="str">
        <f>'NT-VT'!C15</f>
        <v>Cáp 24KV ACXH 95mm2</v>
      </c>
      <c r="C12" s="1430" t="str">
        <f>'NT-VT'!D15</f>
        <v>mét</v>
      </c>
      <c r="D12" s="1431">
        <f>'NT-VT'!E15</f>
        <v>192.78</v>
      </c>
      <c r="E12" s="1428" t="str">
        <f>'NT-VT'!F16</f>
        <v>Cty TNHHSX-TM Dây &amp; Cáp Điện Tài Trường Thành</v>
      </c>
      <c r="F12" s="1428" t="str">
        <f>'NT-VT'!G16</f>
        <v>Cty TNHHSX-TM Dây &amp; Cáp Điện Tài Trường Thành</v>
      </c>
      <c r="G12" s="867">
        <f t="shared" si="0"/>
        <v>1</v>
      </c>
      <c r="H12" s="881"/>
      <c r="I12" s="857"/>
    </row>
    <row r="13" spans="1:9" ht="35.1" customHeight="1">
      <c r="A13" s="1428">
        <f>SUM($G$3:G13)</f>
        <v>11</v>
      </c>
      <c r="B13" s="1429" t="str">
        <f>'NT-VT'!C16</f>
        <v>Cáp đồng trần M25mm2</v>
      </c>
      <c r="C13" s="1430" t="str">
        <f>'NT-VT'!D16</f>
        <v>kg</v>
      </c>
      <c r="D13" s="1431">
        <f>'NT-VT'!E16</f>
        <v>14.11</v>
      </c>
      <c r="E13" s="1428" t="str">
        <f>'NT-VT'!F17</f>
        <v>Cty TNHHSX-TM Dây &amp; Cáp Điện Tài Trường Thành</v>
      </c>
      <c r="F13" s="1428" t="str">
        <f>'NT-VT'!G17</f>
        <v>Cty TNHHSX-TM Dây &amp; Cáp Điện Tài Trường Thành</v>
      </c>
      <c r="G13" s="867">
        <f t="shared" si="0"/>
        <v>1</v>
      </c>
      <c r="H13" s="881"/>
      <c r="I13" s="857"/>
    </row>
    <row r="14" spans="1:9" ht="35.1" customHeight="1">
      <c r="A14" s="1428">
        <f>SUM($G$3:G14)</f>
        <v>12</v>
      </c>
      <c r="B14" s="1429" t="str">
        <f>'NT-VT'!C17</f>
        <v>Cáp nhôm lõi thép AC-50/8</v>
      </c>
      <c r="C14" s="1430" t="str">
        <f>'NT-VT'!D17</f>
        <v>kg</v>
      </c>
      <c r="D14" s="1431">
        <f>'NT-VT'!E17</f>
        <v>12.726000000000001</v>
      </c>
      <c r="E14" s="1428" t="str">
        <f>'NT-VT'!F18</f>
        <v>Cty TNHHSX-TM Dây &amp; Cáp Điện Tài Trường Thành</v>
      </c>
      <c r="F14" s="1428" t="str">
        <f>'NT-VT'!G18</f>
        <v>Cty TNHHSX-TM Dây &amp; Cáp Điện Tài Trường Thành</v>
      </c>
      <c r="G14" s="867">
        <f t="shared" si="0"/>
        <v>1</v>
      </c>
      <c r="H14" s="881"/>
      <c r="I14" s="857"/>
    </row>
    <row r="15" spans="1:9" ht="35.1" customHeight="1">
      <c r="A15" s="1428">
        <f>SUM($G$3:G15)</f>
        <v>13</v>
      </c>
      <c r="B15" s="1429" t="str">
        <f>'NT-VT'!C18</f>
        <v>Cáp thép 5/8"</v>
      </c>
      <c r="C15" s="1430" t="str">
        <f>'NT-VT'!D18</f>
        <v>kg</v>
      </c>
      <c r="D15" s="1431">
        <f>'NT-VT'!E18</f>
        <v>5.0999999999999996</v>
      </c>
      <c r="E15" s="1428" t="str">
        <f>'NT-VT'!F19</f>
        <v>Cty Cổ phần Bê tông ly tâm Thủ Đức</v>
      </c>
      <c r="F15" s="1428" t="str">
        <f>'NT-VT'!G19</f>
        <v>Cty Cổ phần Bê tông ly tâm Thủ Đức</v>
      </c>
      <c r="G15" s="867">
        <f t="shared" si="0"/>
        <v>1</v>
      </c>
      <c r="H15" s="881"/>
      <c r="I15" s="857"/>
    </row>
    <row r="16" spans="1:9" ht="35.1" customHeight="1">
      <c r="A16" s="1428">
        <f>SUM($G$3:G16)</f>
        <v>14</v>
      </c>
      <c r="B16" s="1429" t="str">
        <f>'NT-VT'!C19</f>
        <v>Trụ BTLT 12m F350 dự ứng lực</v>
      </c>
      <c r="C16" s="1430" t="str">
        <f>'NT-VT'!D19</f>
        <v>trụ</v>
      </c>
      <c r="D16" s="1431">
        <f>'NT-VT'!E19</f>
        <v>3</v>
      </c>
      <c r="E16" s="1428" t="str">
        <f>'NT-VT'!F20</f>
        <v>Cty TNHH MTV Đại Thiên An</v>
      </c>
      <c r="F16" s="1428" t="str">
        <f>'NT-VT'!G20</f>
        <v>Cty TNHH MTV Đại Thiên An</v>
      </c>
      <c r="G16" s="867">
        <f t="shared" si="0"/>
        <v>1</v>
      </c>
      <c r="H16" s="881"/>
      <c r="I16" s="857"/>
    </row>
    <row r="17" spans="1:9" ht="35.1" customHeight="1">
      <c r="A17" s="1428">
        <f>SUM($G$3:G17)</f>
        <v>15</v>
      </c>
      <c r="B17" s="1429" t="str">
        <f>'NT-VT'!C20</f>
        <v>Boulon 14x350+ 2 long đền vuông D16-50x50x3/Zn</v>
      </c>
      <c r="C17" s="1430" t="str">
        <f>'NT-VT'!D20</f>
        <v>bộ</v>
      </c>
      <c r="D17" s="1431">
        <f>'NT-VT'!E20</f>
        <v>36</v>
      </c>
      <c r="E17" s="1428" t="str">
        <f>'NT-VT'!F21</f>
        <v>nt</v>
      </c>
      <c r="F17" s="1428" t="str">
        <f>'NT-VT'!G21</f>
        <v>nt</v>
      </c>
      <c r="G17" s="867">
        <f t="shared" si="0"/>
        <v>1</v>
      </c>
      <c r="H17" s="881"/>
      <c r="I17" s="883"/>
    </row>
    <row r="18" spans="1:9" ht="35.1" customHeight="1">
      <c r="A18" s="1428">
        <f>SUM($G$3:G18)</f>
        <v>16</v>
      </c>
      <c r="B18" s="1429" t="str">
        <f>'NT-VT'!C21</f>
        <v>Lưới B40 - 1800-3/Zn</v>
      </c>
      <c r="C18" s="1430" t="str">
        <f>'NT-VT'!D21</f>
        <v>mét</v>
      </c>
      <c r="D18" s="1431">
        <f>'NT-VT'!E21</f>
        <v>14.2</v>
      </c>
      <c r="E18" s="1428" t="str">
        <f>'NT-VT'!F22</f>
        <v>nt</v>
      </c>
      <c r="F18" s="1428" t="str">
        <f>'NT-VT'!G22</f>
        <v>nt</v>
      </c>
      <c r="G18" s="867">
        <f t="shared" si="0"/>
        <v>1</v>
      </c>
      <c r="H18" s="881"/>
      <c r="I18" s="883"/>
    </row>
    <row r="19" spans="1:9" ht="35.1" customHeight="1">
      <c r="A19" s="1428">
        <f>SUM($G$3:G19)</f>
        <v>17</v>
      </c>
      <c r="B19" s="1429" t="str">
        <f>'NT-VT'!C22</f>
        <v>Chụp đầu cực TI, TU</v>
      </c>
      <c r="C19" s="1430" t="str">
        <f>'NT-VT'!D22</f>
        <v>Cái</v>
      </c>
      <c r="D19" s="1431">
        <f>'NT-VT'!E22</f>
        <v>9</v>
      </c>
      <c r="E19" s="1428" t="str">
        <f>'NT-VT'!F23</f>
        <v>nt</v>
      </c>
      <c r="F19" s="1428" t="str">
        <f>'NT-VT'!G23</f>
        <v>nt</v>
      </c>
      <c r="G19" s="867">
        <f t="shared" si="0"/>
        <v>1</v>
      </c>
      <c r="H19" s="881"/>
      <c r="I19" s="883"/>
    </row>
    <row r="20" spans="1:9" ht="35.1" customHeight="1">
      <c r="A20" s="1428">
        <f>SUM($G$3:G20)</f>
        <v>18</v>
      </c>
      <c r="B20" s="1429" t="str">
        <f>'NT-VT'!C23</f>
        <v>Nắp che đầu cực FCO</v>
      </c>
      <c r="C20" s="1430" t="str">
        <f>'NT-VT'!D23</f>
        <v>cái</v>
      </c>
      <c r="D20" s="1431">
        <f>'NT-VT'!E23</f>
        <v>3</v>
      </c>
      <c r="E20" s="1428" t="str">
        <f>'NT-VT'!F24</f>
        <v>nt</v>
      </c>
      <c r="F20" s="1428" t="str">
        <f>'NT-VT'!G24</f>
        <v>nt</v>
      </c>
      <c r="G20" s="867">
        <f t="shared" si="0"/>
        <v>1</v>
      </c>
      <c r="H20" s="882"/>
    </row>
    <row r="21" spans="1:9" ht="35.1" customHeight="1">
      <c r="A21" s="1428">
        <f>SUM($G$3:G21)</f>
        <v>19</v>
      </c>
      <c r="B21" s="1429" t="str">
        <f>'NT-VT'!C24</f>
        <v>Nắp che đầu cực LA</v>
      </c>
      <c r="C21" s="1430" t="str">
        <f>'NT-VT'!D24</f>
        <v>cái</v>
      </c>
      <c r="D21" s="1431">
        <f>'NT-VT'!E24</f>
        <v>3</v>
      </c>
      <c r="E21" s="1428" t="str">
        <f>'NT-VT'!F25</f>
        <v>nt</v>
      </c>
      <c r="F21" s="1428" t="str">
        <f>'NT-VT'!G25</f>
        <v>nt</v>
      </c>
      <c r="G21" s="867">
        <f t="shared" si="0"/>
        <v>1</v>
      </c>
      <c r="H21" s="881"/>
      <c r="I21" s="857"/>
    </row>
    <row r="22" spans="1:9" ht="35.1" customHeight="1">
      <c r="A22" s="1428">
        <f>SUM($G$3:G22)</f>
        <v>20</v>
      </c>
      <c r="B22" s="1429" t="str">
        <f>'NT-VT'!C25</f>
        <v>Nắp che đầu sứ MBA</v>
      </c>
      <c r="C22" s="1430" t="str">
        <f>'NT-VT'!D25</f>
        <v>cái</v>
      </c>
      <c r="D22" s="1431">
        <f>'NT-VT'!E25</f>
        <v>3</v>
      </c>
      <c r="E22" s="1428" t="str">
        <f>'NT-VT'!F26</f>
        <v>nt</v>
      </c>
      <c r="F22" s="1428" t="str">
        <f>'NT-VT'!G26</f>
        <v>nt</v>
      </c>
      <c r="G22" s="867">
        <f t="shared" si="0"/>
        <v>1</v>
      </c>
      <c r="H22" s="881"/>
      <c r="I22" s="857"/>
    </row>
    <row r="23" spans="1:9" ht="35.1" customHeight="1">
      <c r="A23" s="1428">
        <f>SUM($G$3:G23)</f>
        <v>21</v>
      </c>
      <c r="B23" s="1429" t="str">
        <f>'NT-VT'!C26</f>
        <v xml:space="preserve">Đầu cosse ép Cu 4mm2 + bao PVC </v>
      </c>
      <c r="C23" s="1430" t="str">
        <f>'NT-VT'!D26</f>
        <v>cái</v>
      </c>
      <c r="D23" s="1431">
        <f>'NT-VT'!E26</f>
        <v>16</v>
      </c>
      <c r="E23" s="1428" t="str">
        <f>'NT-VT'!F27</f>
        <v>nt</v>
      </c>
      <c r="F23" s="1428" t="str">
        <f>'NT-VT'!G27</f>
        <v>nt</v>
      </c>
      <c r="G23" s="867">
        <f t="shared" si="0"/>
        <v>1</v>
      </c>
      <c r="H23" s="881"/>
      <c r="I23" s="883"/>
    </row>
    <row r="24" spans="1:9" ht="35.1" customHeight="1">
      <c r="A24" s="1428">
        <f>SUM($G$3:G24)</f>
        <v>22</v>
      </c>
      <c r="B24" s="1429" t="str">
        <f>'NT-VT'!C27</f>
        <v>Giáp níu dừng dây bọc (70-95mm2)</v>
      </c>
      <c r="C24" s="1430" t="str">
        <f>'NT-VT'!D27</f>
        <v>cái</v>
      </c>
      <c r="D24" s="1431">
        <f>'NT-VT'!E27</f>
        <v>6</v>
      </c>
      <c r="E24" s="1428" t="str">
        <f>'NT-VT'!F28</f>
        <v>nt</v>
      </c>
      <c r="F24" s="1428" t="str">
        <f>'NT-VT'!G28</f>
        <v>nt</v>
      </c>
      <c r="G24" s="867">
        <f t="shared" si="0"/>
        <v>1</v>
      </c>
      <c r="H24" s="881"/>
      <c r="I24" s="883"/>
    </row>
    <row r="25" spans="1:9" ht="35.1" customHeight="1">
      <c r="A25" s="1428">
        <f>SUM($G$3:G25)</f>
        <v>23</v>
      </c>
      <c r="B25" s="1429" t="str">
        <f>'NT-VT'!C28</f>
        <v>Gia công và lắp dựng khung cửa sắt</v>
      </c>
      <c r="C25" s="1430" t="str">
        <f>'NT-VT'!D28</f>
        <v>m2</v>
      </c>
      <c r="D25" s="1431">
        <f>'NT-VT'!E28</f>
        <v>24</v>
      </c>
      <c r="E25" s="1428" t="str">
        <f>'NT-VT'!F29</f>
        <v>nt</v>
      </c>
      <c r="F25" s="1428" t="str">
        <f>'NT-VT'!G29</f>
        <v>nt</v>
      </c>
      <c r="G25" s="867">
        <f t="shared" si="0"/>
        <v>1</v>
      </c>
      <c r="H25" s="881"/>
      <c r="I25" s="857"/>
    </row>
    <row r="26" spans="1:9" ht="35.1" customHeight="1">
      <c r="A26" s="1428">
        <f>SUM($G$3:G26)</f>
        <v>24</v>
      </c>
      <c r="B26" s="1429" t="str">
        <f>'NT-VT'!C29</f>
        <v>Thanh sắt V40x40x3-6000 - 17,7kg/thanh</v>
      </c>
      <c r="C26" s="1430" t="str">
        <f>'NT-VT'!D29</f>
        <v>kg</v>
      </c>
      <c r="D26" s="1431">
        <f>'NT-VT'!E29</f>
        <v>47.199999999999996</v>
      </c>
      <c r="E26" s="1428" t="str">
        <f>'NT-VT'!F30</f>
        <v>nt</v>
      </c>
      <c r="F26" s="1428" t="str">
        <f>'NT-VT'!G30</f>
        <v>nt</v>
      </c>
      <c r="G26" s="867">
        <f t="shared" si="0"/>
        <v>1</v>
      </c>
      <c r="H26" s="881"/>
      <c r="I26" s="857"/>
    </row>
    <row r="27" spans="1:9" ht="35.1" customHeight="1">
      <c r="A27" s="1428">
        <f>SUM($G$3:G27)</f>
        <v>25</v>
      </c>
      <c r="B27" s="1429" t="str">
        <f>'NT-VT'!C30</f>
        <v>Thanh sắt V50x50x5-4000 - 16kg/thanh</v>
      </c>
      <c r="C27" s="1430" t="str">
        <f>'NT-VT'!D30</f>
        <v>kg</v>
      </c>
      <c r="D27" s="1431">
        <f>'NT-VT'!E30</f>
        <v>128</v>
      </c>
      <c r="E27" s="1428" t="str">
        <f>'NT-VT'!F31</f>
        <v>nt</v>
      </c>
      <c r="F27" s="1428" t="str">
        <f>'NT-VT'!G31</f>
        <v>nt</v>
      </c>
      <c r="G27" s="867">
        <f t="shared" si="0"/>
        <v>1</v>
      </c>
      <c r="H27" s="881"/>
      <c r="I27" s="857"/>
    </row>
    <row r="28" spans="1:9" ht="35.1" customHeight="1">
      <c r="A28" s="1428">
        <f>SUM($G$3:G28)</f>
        <v>26</v>
      </c>
      <c r="B28" s="1429" t="str">
        <f>'NT-VT'!C31</f>
        <v>Dây buộc cổ sứ đỡ góc SSF</v>
      </c>
      <c r="C28" s="1430" t="str">
        <f>'NT-VT'!D31</f>
        <v>cái</v>
      </c>
      <c r="D28" s="1431">
        <f>'NT-VT'!E31</f>
        <v>6</v>
      </c>
      <c r="E28" s="1428" t="str">
        <f>'NT-VT'!F32</f>
        <v>nt</v>
      </c>
      <c r="F28" s="1428" t="str">
        <f>'NT-VT'!G32</f>
        <v>nt</v>
      </c>
      <c r="G28" s="867">
        <f t="shared" si="0"/>
        <v>1</v>
      </c>
      <c r="H28" s="881"/>
      <c r="I28" s="857"/>
    </row>
    <row r="29" spans="1:9" ht="35.1" customHeight="1">
      <c r="A29" s="1428">
        <f>SUM($G$3:G29)</f>
        <v>27</v>
      </c>
      <c r="B29" s="1429" t="str">
        <f>'NT-VT'!C32</f>
        <v>Ông sắt tráng kẽm D76</v>
      </c>
      <c r="C29" s="1430" t="str">
        <f>'NT-VT'!D32</f>
        <v>mét</v>
      </c>
      <c r="D29" s="1431">
        <f>'NT-VT'!E32</f>
        <v>18</v>
      </c>
      <c r="E29" s="1428" t="str">
        <f>'NT-VT'!F33</f>
        <v>nt</v>
      </c>
      <c r="F29" s="1428" t="str">
        <f>'NT-VT'!G33</f>
        <v>nt</v>
      </c>
      <c r="G29" s="867">
        <f t="shared" si="0"/>
        <v>1</v>
      </c>
      <c r="H29" s="881"/>
      <c r="I29" s="883"/>
    </row>
    <row r="30" spans="1:9" ht="35.1" customHeight="1">
      <c r="A30" s="1428">
        <f>SUM($G$3:G30)</f>
        <v>28</v>
      </c>
      <c r="B30" s="1429" t="str">
        <f>'NT-VT'!C33</f>
        <v xml:space="preserve">Dây buộc cổ sứ đỡ thẳng TTF </v>
      </c>
      <c r="C30" s="1430" t="str">
        <f>'NT-VT'!D33</f>
        <v>cái</v>
      </c>
      <c r="D30" s="1431">
        <f>'NT-VT'!E33</f>
        <v>2</v>
      </c>
      <c r="E30" s="1428" t="str">
        <f>'NT-VT'!F34</f>
        <v>nt</v>
      </c>
      <c r="F30" s="1428" t="str">
        <f>'NT-VT'!G34</f>
        <v>nt</v>
      </c>
      <c r="G30" s="867">
        <f t="shared" si="0"/>
        <v>1</v>
      </c>
      <c r="H30" s="882"/>
    </row>
    <row r="31" spans="1:9" ht="35.1" customHeight="1">
      <c r="A31" s="1428">
        <f>SUM($G$3:G31)</f>
        <v>29</v>
      </c>
      <c r="B31" s="1429" t="str">
        <f>'NT-VT'!C34</f>
        <v>Dây buộc đầu sứ đỡ thẳng 50mm2</v>
      </c>
      <c r="C31" s="1430" t="str">
        <f>'NT-VT'!D34</f>
        <v>cái</v>
      </c>
      <c r="D31" s="1431">
        <f>'NT-VT'!E34</f>
        <v>9</v>
      </c>
      <c r="E31" s="1428" t="str">
        <f>'NT-VT'!F35</f>
        <v>nt</v>
      </c>
      <c r="F31" s="1428" t="str">
        <f>'NT-VT'!G35</f>
        <v>nt</v>
      </c>
      <c r="G31" s="867">
        <f t="shared" si="0"/>
        <v>1</v>
      </c>
      <c r="H31" s="881"/>
      <c r="I31" s="883"/>
    </row>
    <row r="32" spans="1:9" ht="35.1" customHeight="1">
      <c r="A32" s="1428">
        <f>SUM($G$3:G32)</f>
        <v>30</v>
      </c>
      <c r="B32" s="1429" t="str">
        <f>'NT-VT'!C35</f>
        <v>Tủ ACB + thanh cái 2000A</v>
      </c>
      <c r="C32" s="1430" t="str">
        <f>'NT-VT'!D35</f>
        <v>cái</v>
      </c>
      <c r="D32" s="1431">
        <f>'NT-VT'!E35</f>
        <v>1</v>
      </c>
      <c r="E32" s="1428" t="str">
        <f>'NT-VT'!F36</f>
        <v>nt</v>
      </c>
      <c r="F32" s="1428" t="str">
        <f>'NT-VT'!G36</f>
        <v>nt</v>
      </c>
      <c r="G32" s="867">
        <f t="shared" si="0"/>
        <v>1</v>
      </c>
      <c r="H32" s="881"/>
      <c r="I32" s="883"/>
    </row>
    <row r="33" spans="1:9" ht="35.1" customHeight="1">
      <c r="A33" s="1428">
        <f>SUM($G$3:G33)</f>
        <v>31</v>
      </c>
      <c r="B33" s="1429" t="str">
        <f>'NT-VT'!C36</f>
        <v>Boulon 10x50+ 2 long đền vuông D12-50x50x3/Zn</v>
      </c>
      <c r="C33" s="1430" t="str">
        <f>'NT-VT'!D36</f>
        <v>bộ</v>
      </c>
      <c r="D33" s="1431">
        <f>'NT-VT'!E36</f>
        <v>24</v>
      </c>
      <c r="E33" s="1428" t="str">
        <f>'NT-VT'!F37</f>
        <v>nt</v>
      </c>
      <c r="F33" s="1428" t="str">
        <f>'NT-VT'!G37</f>
        <v>nt</v>
      </c>
      <c r="G33" s="867">
        <f t="shared" si="0"/>
        <v>1</v>
      </c>
      <c r="H33" s="882"/>
    </row>
    <row r="34" spans="1:9" ht="35.1" customHeight="1">
      <c r="A34" s="1428">
        <f>SUM($G$3:G34)</f>
        <v>32</v>
      </c>
      <c r="B34" s="1429" t="str">
        <f>'NT-VT'!C37</f>
        <v>Boulon 16x150+ 2 long đền vuông D18-50x50x3/Zn</v>
      </c>
      <c r="C34" s="1430" t="str">
        <f>'NT-VT'!D37</f>
        <v>bộ</v>
      </c>
      <c r="D34" s="1431">
        <f>'NT-VT'!E37</f>
        <v>4</v>
      </c>
      <c r="E34" s="1428" t="str">
        <f>'NT-VT'!F38</f>
        <v>nt</v>
      </c>
      <c r="F34" s="1428" t="str">
        <f>'NT-VT'!G38</f>
        <v>nt</v>
      </c>
      <c r="G34" s="867">
        <f t="shared" si="0"/>
        <v>1</v>
      </c>
      <c r="H34" s="881"/>
      <c r="I34" s="883"/>
    </row>
    <row r="35" spans="1:9" ht="35.1" customHeight="1">
      <c r="A35" s="1428">
        <f>SUM($G$3:G35)</f>
        <v>33</v>
      </c>
      <c r="B35" s="1429" t="str">
        <f>'NT-VT'!C38</f>
        <v>Boulon 16x250+ 2 long đền vuông D18-50x50x3/Zn</v>
      </c>
      <c r="C35" s="1430" t="str">
        <f>'NT-VT'!D38</f>
        <v>bộ</v>
      </c>
      <c r="D35" s="1431">
        <f>'NT-VT'!E38</f>
        <v>3</v>
      </c>
      <c r="E35" s="1428" t="str">
        <f>'NT-VT'!F39</f>
        <v>nt</v>
      </c>
      <c r="F35" s="1428" t="str">
        <f>'NT-VT'!G39</f>
        <v>nt</v>
      </c>
      <c r="G35" s="867">
        <f t="shared" si="0"/>
        <v>1</v>
      </c>
      <c r="H35" s="881"/>
      <c r="I35" s="883"/>
    </row>
    <row r="36" spans="1:9" ht="35.1" customHeight="1">
      <c r="A36" s="1428">
        <f>SUM($G$3:G36)</f>
        <v>34</v>
      </c>
      <c r="B36" s="1429" t="str">
        <f>'NT-VT'!C39</f>
        <v>Boulon 16x300+ 2 long đền vuông D18-50x50x3/Zn</v>
      </c>
      <c r="C36" s="1430" t="str">
        <f>'NT-VT'!D39</f>
        <v>bộ</v>
      </c>
      <c r="D36" s="1431">
        <f>'NT-VT'!E39</f>
        <v>9</v>
      </c>
      <c r="E36" s="1428" t="str">
        <f>'NT-VT'!F40</f>
        <v>nt</v>
      </c>
      <c r="F36" s="1428" t="str">
        <f>'NT-VT'!G40</f>
        <v>nt</v>
      </c>
      <c r="G36" s="867">
        <f t="shared" si="0"/>
        <v>1</v>
      </c>
      <c r="H36" s="881"/>
      <c r="I36" s="883"/>
    </row>
    <row r="37" spans="1:9" ht="35.1" customHeight="1">
      <c r="A37" s="1428">
        <f>SUM($G$3:G37)</f>
        <v>35</v>
      </c>
      <c r="B37" s="1429" t="str">
        <f>'NT-VT'!C40</f>
        <v>Boulon 16x300VRS+ 4 long đền vuông D18-50x50x3/Zn</v>
      </c>
      <c r="C37" s="1430" t="str">
        <f>'NT-VT'!D40</f>
        <v>bộ</v>
      </c>
      <c r="D37" s="1431">
        <f>'NT-VT'!E40</f>
        <v>12</v>
      </c>
      <c r="E37" s="1428" t="str">
        <f>'NT-VT'!F41</f>
        <v>nt</v>
      </c>
      <c r="F37" s="1428" t="str">
        <f>'NT-VT'!G41</f>
        <v>nt</v>
      </c>
      <c r="G37" s="867">
        <f t="shared" si="0"/>
        <v>1</v>
      </c>
      <c r="H37" s="881"/>
      <c r="I37" s="883"/>
    </row>
    <row r="38" spans="1:9" ht="35.1" customHeight="1">
      <c r="A38" s="1428">
        <f>SUM($G$3:G38)</f>
        <v>36</v>
      </c>
      <c r="B38" s="1429" t="str">
        <f>'NT-VT'!C41</f>
        <v>Boulon 16x35+ 2 long đền vuông D18-50x50x3/Zn</v>
      </c>
      <c r="C38" s="1430" t="str">
        <f>'NT-VT'!D41</f>
        <v>bộ</v>
      </c>
      <c r="D38" s="1431">
        <f>'NT-VT'!E41</f>
        <v>1</v>
      </c>
      <c r="E38" s="1428" t="str">
        <f>'NT-VT'!F42</f>
        <v>nt</v>
      </c>
      <c r="F38" s="1428" t="str">
        <f>'NT-VT'!G42</f>
        <v>nt</v>
      </c>
      <c r="G38" s="867">
        <f t="shared" si="0"/>
        <v>1</v>
      </c>
      <c r="H38" s="881"/>
      <c r="I38" s="857"/>
    </row>
    <row r="39" spans="1:9" ht="35.1" customHeight="1">
      <c r="A39" s="1428">
        <f>SUM($G$3:G39)</f>
        <v>37</v>
      </c>
      <c r="B39" s="1429" t="str">
        <f>'NT-VT'!C42</f>
        <v>Boulon 16x350+ 2 long đền vuông D18-50x50x3/Zn</v>
      </c>
      <c r="C39" s="1430" t="str">
        <f>'NT-VT'!D42</f>
        <v>bộ</v>
      </c>
      <c r="D39" s="1431">
        <f>'NT-VT'!E42</f>
        <v>5</v>
      </c>
      <c r="E39" s="1428" t="str">
        <f>'NT-VT'!F43</f>
        <v>nt</v>
      </c>
      <c r="F39" s="1428" t="str">
        <f>'NT-VT'!G43</f>
        <v>nt</v>
      </c>
      <c r="G39" s="867">
        <f t="shared" si="0"/>
        <v>1</v>
      </c>
      <c r="H39" s="882"/>
    </row>
    <row r="40" spans="1:9" ht="35.1" customHeight="1">
      <c r="A40" s="1428">
        <f>SUM($G$3:G40)</f>
        <v>38</v>
      </c>
      <c r="B40" s="1429" t="str">
        <f>'NT-VT'!C43</f>
        <v>Boulon 16x50+ 2 long đền vuông D18-50x50x3/Zn</v>
      </c>
      <c r="C40" s="1430" t="str">
        <f>'NT-VT'!D43</f>
        <v>bộ</v>
      </c>
      <c r="D40" s="1431">
        <f>'NT-VT'!E43</f>
        <v>18</v>
      </c>
      <c r="E40" s="1428" t="str">
        <f>'NT-VT'!F44</f>
        <v>nt</v>
      </c>
      <c r="F40" s="1428" t="str">
        <f>'NT-VT'!G44</f>
        <v>nt</v>
      </c>
      <c r="G40" s="867">
        <f t="shared" si="0"/>
        <v>1</v>
      </c>
      <c r="H40" s="882"/>
    </row>
    <row r="41" spans="1:9" ht="35.1" customHeight="1">
      <c r="A41" s="1428">
        <f>SUM($G$3:G41)</f>
        <v>39</v>
      </c>
      <c r="B41" s="1429" t="str">
        <f>'NT-VT'!C44</f>
        <v>Boulon 16x650VRS+ 4 long đền vuông D18-50x50x3/Zn</v>
      </c>
      <c r="C41" s="1430" t="str">
        <f>'NT-VT'!D44</f>
        <v>bộ</v>
      </c>
      <c r="D41" s="1431">
        <f>'NT-VT'!E44</f>
        <v>1</v>
      </c>
      <c r="E41" s="1428" t="str">
        <f>'NT-VT'!F45</f>
        <v>nt</v>
      </c>
      <c r="F41" s="1428" t="str">
        <f>'NT-VT'!G45</f>
        <v>nt</v>
      </c>
      <c r="G41" s="867">
        <f t="shared" si="0"/>
        <v>1</v>
      </c>
      <c r="H41" s="881"/>
      <c r="I41" s="883"/>
    </row>
    <row r="42" spans="1:9" ht="35.1" customHeight="1">
      <c r="A42" s="1428">
        <f>SUM($G$3:G42)</f>
        <v>40</v>
      </c>
      <c r="B42" s="1429" t="str">
        <f>'NT-VT'!C45</f>
        <v>Boulon 16x750VRS+ 4 long đền vuông D18-50x50x3/Zn</v>
      </c>
      <c r="C42" s="1430" t="str">
        <f>'NT-VT'!D45</f>
        <v>bộ</v>
      </c>
      <c r="D42" s="1431">
        <f>'NT-VT'!E45</f>
        <v>1</v>
      </c>
      <c r="E42" s="1428" t="str">
        <f>'NT-VT'!F46</f>
        <v>nt</v>
      </c>
      <c r="F42" s="1428" t="str">
        <f>'NT-VT'!G46</f>
        <v>nt</v>
      </c>
      <c r="G42" s="867">
        <f t="shared" si="0"/>
        <v>1</v>
      </c>
      <c r="H42" s="881"/>
      <c r="I42" s="857"/>
    </row>
    <row r="43" spans="1:9" ht="35.1" customHeight="1">
      <c r="A43" s="1428">
        <f>SUM($G$3:G43)</f>
        <v>41</v>
      </c>
      <c r="B43" s="1429" t="str">
        <f>'NT-VT'!C46</f>
        <v xml:space="preserve">Bakelit 550x450 dầy 10mm </v>
      </c>
      <c r="C43" s="1430" t="str">
        <f>'NT-VT'!D46</f>
        <v>cái</v>
      </c>
      <c r="D43" s="1431">
        <f>'NT-VT'!E46</f>
        <v>1</v>
      </c>
      <c r="E43" s="1428" t="str">
        <f>'NT-VT'!F47</f>
        <v>nt</v>
      </c>
      <c r="F43" s="1428" t="str">
        <f>'NT-VT'!G47</f>
        <v>nt</v>
      </c>
      <c r="G43" s="867">
        <f t="shared" si="0"/>
        <v>1</v>
      </c>
      <c r="H43" s="881"/>
      <c r="I43" s="883"/>
    </row>
    <row r="44" spans="1:9" ht="35.1" customHeight="1">
      <c r="A44" s="1428">
        <f>SUM($G$3:G44)</f>
        <v>42</v>
      </c>
      <c r="B44" s="1429" t="str">
        <f>'NT-VT'!C47</f>
        <v>Bảng tên trạm, bảng báo nguy hiểm + đinh vít</v>
      </c>
      <c r="C44" s="1430" t="str">
        <f>'NT-VT'!D47</f>
        <v>bộ</v>
      </c>
      <c r="D44" s="1431">
        <f>'NT-VT'!E47</f>
        <v>1</v>
      </c>
      <c r="E44" s="1428" t="str">
        <f>'NT-VT'!F48</f>
        <v>nt</v>
      </c>
      <c r="F44" s="1428" t="str">
        <f>'NT-VT'!G48</f>
        <v>nt</v>
      </c>
      <c r="G44" s="867">
        <f t="shared" si="0"/>
        <v>1</v>
      </c>
      <c r="H44" s="881"/>
      <c r="I44" s="857"/>
    </row>
    <row r="45" spans="1:9" ht="35.1" customHeight="1">
      <c r="A45" s="1428">
        <f>SUM($G$3:G45)</f>
        <v>43</v>
      </c>
      <c r="B45" s="1429" t="str">
        <f>'NT-VT'!C48</f>
        <v>Băng keo cách điện</v>
      </c>
      <c r="C45" s="1430" t="str">
        <f>'NT-VT'!D48</f>
        <v>cuộn</v>
      </c>
      <c r="D45" s="1431">
        <f>'NT-VT'!E48</f>
        <v>2</v>
      </c>
      <c r="E45" s="1428" t="str">
        <f>'NT-VT'!F49</f>
        <v>nt</v>
      </c>
      <c r="F45" s="1428" t="str">
        <f>'NT-VT'!G49</f>
        <v>nt</v>
      </c>
      <c r="G45" s="867">
        <f t="shared" si="0"/>
        <v>1</v>
      </c>
      <c r="H45" s="881"/>
      <c r="I45" s="857"/>
    </row>
    <row r="46" spans="1:9" ht="35.1" customHeight="1">
      <c r="A46" s="1428">
        <f>SUM($G$3:G46)</f>
        <v>44</v>
      </c>
      <c r="B46" s="1429" t="str">
        <f>'NT-VT'!C49</f>
        <v>Băng keo cách điện trung thế</v>
      </c>
      <c r="C46" s="1430" t="str">
        <f>'NT-VT'!D49</f>
        <v>cuộn</v>
      </c>
      <c r="D46" s="1431">
        <f>'NT-VT'!E49</f>
        <v>1</v>
      </c>
      <c r="E46" s="1428" t="str">
        <f>'NT-VT'!F50</f>
        <v>nt</v>
      </c>
      <c r="F46" s="1428" t="str">
        <f>'NT-VT'!G50</f>
        <v>nt</v>
      </c>
      <c r="G46" s="867">
        <f t="shared" si="0"/>
        <v>1</v>
      </c>
      <c r="H46" s="881"/>
      <c r="I46" s="857"/>
    </row>
    <row r="47" spans="1:9" ht="35.1" customHeight="1">
      <c r="A47" s="1428">
        <f>SUM($G$3:G47)</f>
        <v>45</v>
      </c>
      <c r="B47" s="1429" t="str">
        <f>'NT-VT'!C50</f>
        <v>Bass LI bắt LA</v>
      </c>
      <c r="C47" s="1430" t="str">
        <f>'NT-VT'!D50</f>
        <v>Bộ</v>
      </c>
      <c r="D47" s="1431">
        <f>'NT-VT'!E50</f>
        <v>3</v>
      </c>
      <c r="E47" s="1428" t="str">
        <f>'NT-VT'!F51</f>
        <v>nt</v>
      </c>
      <c r="F47" s="1428" t="str">
        <f>'NT-VT'!G51</f>
        <v>nt</v>
      </c>
      <c r="G47" s="867">
        <f t="shared" si="0"/>
        <v>1</v>
      </c>
      <c r="H47" s="881"/>
      <c r="I47" s="857"/>
    </row>
    <row r="48" spans="1:9" ht="35.1" customHeight="1">
      <c r="A48" s="1428">
        <f>SUM($G$3:G48)</f>
        <v>46</v>
      </c>
      <c r="B48" s="1429" t="str">
        <f>'NT-VT'!C51</f>
        <v>Bass LI bắt FCO</v>
      </c>
      <c r="C48" s="1430" t="str">
        <f>'NT-VT'!D51</f>
        <v>Bộ</v>
      </c>
      <c r="D48" s="1431">
        <f>'NT-VT'!E51</f>
        <v>3</v>
      </c>
      <c r="E48" s="1428" t="str">
        <f>'NT-VT'!F52</f>
        <v>nt</v>
      </c>
      <c r="F48" s="1428" t="str">
        <f>'NT-VT'!G52</f>
        <v>nt</v>
      </c>
      <c r="G48" s="867">
        <f t="shared" si="0"/>
        <v>1</v>
      </c>
      <c r="H48" s="881"/>
      <c r="I48" s="857"/>
    </row>
    <row r="49" spans="1:9" ht="35.1" customHeight="1">
      <c r="A49" s="1428">
        <f>SUM($G$3:G49)</f>
        <v>47</v>
      </c>
      <c r="B49" s="1429" t="str">
        <f>'NT-VT'!C52</f>
        <v>Bass LL bắt FCO, LA</v>
      </c>
      <c r="C49" s="1430" t="str">
        <f>'NT-VT'!D52</f>
        <v>bộ</v>
      </c>
      <c r="D49" s="1431">
        <f>'NT-VT'!E52</f>
        <v>3</v>
      </c>
      <c r="E49" s="1428" t="str">
        <f>'NT-VT'!F53</f>
        <v>nt</v>
      </c>
      <c r="F49" s="1428" t="str">
        <f>'NT-VT'!G53</f>
        <v>nt</v>
      </c>
      <c r="G49" s="867">
        <f t="shared" si="0"/>
        <v>1</v>
      </c>
      <c r="H49" s="881"/>
      <c r="I49" s="857"/>
    </row>
    <row r="50" spans="1:9" ht="35.1" customHeight="1">
      <c r="A50" s="1428">
        <f>SUM($G$3:G50)</f>
        <v>48</v>
      </c>
      <c r="B50" s="1429" t="str">
        <f>'NT-VT'!C53</f>
        <v>Boulon mắt 16x250+ 2 long đền vuông D18-50x50x3/Zn</v>
      </c>
      <c r="C50" s="1430" t="str">
        <f>'NT-VT'!D53</f>
        <v>bộ</v>
      </c>
      <c r="D50" s="1431">
        <f>'NT-VT'!E53</f>
        <v>1</v>
      </c>
      <c r="E50" s="1428" t="str">
        <f>'NT-VT'!F54</f>
        <v>nt</v>
      </c>
      <c r="F50" s="1428" t="str">
        <f>'NT-VT'!G54</f>
        <v>nt</v>
      </c>
      <c r="G50" s="867">
        <f t="shared" si="0"/>
        <v>1</v>
      </c>
      <c r="H50" s="881"/>
      <c r="I50" s="857"/>
    </row>
    <row r="51" spans="1:9" ht="35.1" customHeight="1">
      <c r="A51" s="1428">
        <f>SUM($G$3:G51)</f>
        <v>49</v>
      </c>
      <c r="B51" s="1429" t="str">
        <f>'NT-VT'!C54</f>
        <v>Boulon mắt 16x300+ 2 long đền vuông D18-50x50x3/Zn</v>
      </c>
      <c r="C51" s="1430" t="str">
        <f>'NT-VT'!D54</f>
        <v>bộ</v>
      </c>
      <c r="D51" s="1431">
        <f>'NT-VT'!E54</f>
        <v>2</v>
      </c>
      <c r="E51" s="1428" t="str">
        <f>'NT-VT'!F55</f>
        <v>nt</v>
      </c>
      <c r="F51" s="1428" t="str">
        <f>'NT-VT'!G55</f>
        <v>nt</v>
      </c>
      <c r="G51" s="867">
        <f t="shared" si="0"/>
        <v>1</v>
      </c>
      <c r="H51" s="881"/>
      <c r="I51" s="857"/>
    </row>
    <row r="52" spans="1:9" ht="35.1" customHeight="1">
      <c r="A52" s="1428">
        <f>SUM($G$3:G52)</f>
        <v>50</v>
      </c>
      <c r="B52" s="1429" t="str">
        <f>'NT-VT'!C55</f>
        <v>Chụp cách điện đầu cực FCO (trên + dưới)</v>
      </c>
      <c r="C52" s="1430" t="str">
        <f>'NT-VT'!D55</f>
        <v>bộ</v>
      </c>
      <c r="D52" s="1431">
        <f>'NT-VT'!E55</f>
        <v>3</v>
      </c>
      <c r="E52" s="1428" t="str">
        <f>'NT-VT'!F56</f>
        <v>nt</v>
      </c>
      <c r="F52" s="1428" t="str">
        <f>'NT-VT'!G56</f>
        <v>nt</v>
      </c>
      <c r="G52" s="867">
        <f t="shared" si="0"/>
        <v>1</v>
      </c>
      <c r="H52" s="881"/>
      <c r="I52" s="857"/>
    </row>
    <row r="53" spans="1:9" ht="35.1" customHeight="1">
      <c r="A53" s="1428">
        <f>SUM($G$3:G53)</f>
        <v>51</v>
      </c>
      <c r="B53" s="1429" t="str">
        <f>'NT-VT'!C56</f>
        <v>Chụp cách điện đầu cực LA</v>
      </c>
      <c r="C53" s="1430" t="str">
        <f>'NT-VT'!D56</f>
        <v>cái</v>
      </c>
      <c r="D53" s="1431">
        <f>'NT-VT'!E56</f>
        <v>3</v>
      </c>
      <c r="E53" s="1428" t="str">
        <f>'NT-VT'!F57</f>
        <v>nt</v>
      </c>
      <c r="F53" s="1428" t="str">
        <f>'NT-VT'!G57</f>
        <v>nt</v>
      </c>
      <c r="G53" s="867">
        <f t="shared" si="0"/>
        <v>1</v>
      </c>
      <c r="H53" s="881"/>
      <c r="I53" s="857"/>
    </row>
    <row r="54" spans="1:9" ht="35.1" customHeight="1">
      <c r="A54" s="1428">
        <f>SUM($G$3:G54)</f>
        <v>52</v>
      </c>
      <c r="B54" s="1429" t="str">
        <f>'NT-VT'!C57</f>
        <v>Cổ dê CDĐKĐT( bắt thùng điện kế)</v>
      </c>
      <c r="C54" s="1430" t="str">
        <f>'NT-VT'!D57</f>
        <v>bộ</v>
      </c>
      <c r="D54" s="1431">
        <f>'NT-VT'!E57</f>
        <v>1</v>
      </c>
      <c r="E54" s="1428" t="str">
        <f>'NT-VT'!F58</f>
        <v>nt</v>
      </c>
      <c r="F54" s="1428" t="str">
        <f>'NT-VT'!G58</f>
        <v>nt</v>
      </c>
      <c r="G54" s="867">
        <f t="shared" si="0"/>
        <v>1</v>
      </c>
      <c r="H54" s="881"/>
      <c r="I54" s="857"/>
    </row>
    <row r="55" spans="1:9" ht="35.1" customHeight="1">
      <c r="A55" s="1428">
        <f>SUM($G$3:G55)</f>
        <v>53</v>
      </c>
      <c r="B55" s="1429" t="str">
        <f>'NT-VT'!C58</f>
        <v>Cổ dê giữ ống PVC D42</v>
      </c>
      <c r="C55" s="1430" t="str">
        <f>'NT-VT'!D58</f>
        <v>bộ</v>
      </c>
      <c r="D55" s="1431">
        <f>'NT-VT'!E58</f>
        <v>4</v>
      </c>
      <c r="E55" s="1428" t="str">
        <f>'NT-VT'!F59</f>
        <v>nt</v>
      </c>
      <c r="F55" s="1428" t="str">
        <f>'NT-VT'!G59</f>
        <v>nt</v>
      </c>
      <c r="G55" s="867">
        <f t="shared" si="0"/>
        <v>1</v>
      </c>
      <c r="H55" s="881"/>
      <c r="I55" s="857"/>
    </row>
    <row r="56" spans="1:9" ht="35.1" customHeight="1">
      <c r="A56" s="1428">
        <f>SUM($G$3:G56)</f>
        <v>54</v>
      </c>
      <c r="B56" s="1429" t="str">
        <f>'NT-VT'!C59</f>
        <v>Chụp đầu cosse  240mm2</v>
      </c>
      <c r="C56" s="1430" t="str">
        <f>'NT-VT'!D59</f>
        <v>cái</v>
      </c>
      <c r="D56" s="1431">
        <f>'NT-VT'!E59</f>
        <v>28</v>
      </c>
      <c r="E56" s="1428" t="str">
        <f>'NT-VT'!F60</f>
        <v>nt</v>
      </c>
      <c r="F56" s="1428" t="str">
        <f>'NT-VT'!G60</f>
        <v>nt</v>
      </c>
      <c r="G56" s="867">
        <f t="shared" si="0"/>
        <v>1</v>
      </c>
      <c r="H56" s="881"/>
      <c r="I56" s="857"/>
    </row>
    <row r="57" spans="1:9" ht="35.1" customHeight="1">
      <c r="A57" s="1428">
        <f>SUM($G$3:G57)</f>
        <v>55</v>
      </c>
      <c r="B57" s="1429" t="str">
        <f>'NT-VT'!C60</f>
        <v>Dây chảy 40K</v>
      </c>
      <c r="C57" s="1430" t="str">
        <f>'NT-VT'!D60</f>
        <v>Sợi</v>
      </c>
      <c r="D57" s="1431">
        <f>'NT-VT'!E60</f>
        <v>3</v>
      </c>
      <c r="E57" s="1428" t="str">
        <f>'NT-VT'!F61</f>
        <v>nt</v>
      </c>
      <c r="F57" s="1428" t="str">
        <f>'NT-VT'!G61</f>
        <v>nt</v>
      </c>
      <c r="G57" s="867">
        <f t="shared" si="0"/>
        <v>1</v>
      </c>
      <c r="H57" s="881"/>
      <c r="I57" s="857"/>
    </row>
    <row r="58" spans="1:9" ht="35.1" customHeight="1">
      <c r="A58" s="1428">
        <f>SUM($G$3:G58)</f>
        <v>56</v>
      </c>
      <c r="B58" s="1429" t="str">
        <f>'NT-VT'!C61</f>
        <v>Dây chảy 50K</v>
      </c>
      <c r="C58" s="1430" t="str">
        <f>'NT-VT'!D61</f>
        <v>Sợi</v>
      </c>
      <c r="D58" s="1431">
        <f>'NT-VT'!E61</f>
        <v>3</v>
      </c>
      <c r="E58" s="1428" t="str">
        <f>'NT-VT'!F62</f>
        <v>nt</v>
      </c>
      <c r="F58" s="1428" t="str">
        <f>'NT-VT'!G62</f>
        <v>nt</v>
      </c>
      <c r="G58" s="867">
        <f t="shared" si="0"/>
        <v>1</v>
      </c>
      <c r="H58" s="881"/>
      <c r="I58" s="857"/>
    </row>
    <row r="59" spans="1:9" ht="35.1" customHeight="1">
      <c r="A59" s="1428">
        <f>SUM($G$3:G59)</f>
        <v>57</v>
      </c>
      <c r="B59" s="1429" t="str">
        <f>'NT-VT'!C62</f>
        <v>Xà composite 110x800x5 dài 2,4m</v>
      </c>
      <c r="C59" s="1430" t="str">
        <f>'NT-VT'!D62</f>
        <v>cái</v>
      </c>
      <c r="D59" s="1431">
        <f>'NT-VT'!E62</f>
        <v>2</v>
      </c>
      <c r="E59" s="1428" t="str">
        <f>'NT-VT'!F63</f>
        <v>nt</v>
      </c>
      <c r="F59" s="1428" t="str">
        <f>'NT-VT'!G63</f>
        <v>nt</v>
      </c>
      <c r="G59" s="867">
        <f t="shared" si="0"/>
        <v>1</v>
      </c>
      <c r="H59" s="881"/>
      <c r="I59" s="857"/>
    </row>
    <row r="60" spans="1:9" ht="35.1" customHeight="1">
      <c r="A60" s="1428">
        <f>SUM($G$3:G60)</f>
        <v>58</v>
      </c>
      <c r="B60" s="1429" t="str">
        <f>'NT-VT'!C63</f>
        <v>Chống composite 40x10x920</v>
      </c>
      <c r="C60" s="1430" t="str">
        <f>'NT-VT'!D63</f>
        <v>cái</v>
      </c>
      <c r="D60" s="1431">
        <f>'NT-VT'!E63</f>
        <v>4</v>
      </c>
      <c r="E60" s="1428" t="str">
        <f>'NT-VT'!F64</f>
        <v>nt</v>
      </c>
      <c r="F60" s="1428" t="str">
        <f>'NT-VT'!G64</f>
        <v>nt</v>
      </c>
      <c r="G60" s="867">
        <f t="shared" si="0"/>
        <v>1</v>
      </c>
      <c r="H60" s="881"/>
      <c r="I60" s="857"/>
    </row>
    <row r="61" spans="1:9" ht="35.1" customHeight="1">
      <c r="A61" s="1428">
        <f>SUM($G$3:G61)</f>
        <v>59</v>
      </c>
      <c r="B61" s="1429" t="str">
        <f>'NT-VT'!C64</f>
        <v>Đầu cosse ép Cu 240mm2</v>
      </c>
      <c r="C61" s="1430" t="str">
        <f>'NT-VT'!D64</f>
        <v>cái</v>
      </c>
      <c r="D61" s="1431">
        <f>'NT-VT'!E64</f>
        <v>28</v>
      </c>
      <c r="E61" s="1428" t="str">
        <f>'NT-VT'!F65</f>
        <v>nt</v>
      </c>
      <c r="F61" s="1428" t="str">
        <f>'NT-VT'!G65</f>
        <v>nt</v>
      </c>
      <c r="G61" s="867">
        <f t="shared" si="0"/>
        <v>1</v>
      </c>
      <c r="H61" s="881"/>
      <c r="I61" s="857"/>
    </row>
    <row r="62" spans="1:9" ht="35.1" customHeight="1">
      <c r="A62" s="1428">
        <f>SUM($G$3:G62)</f>
        <v>60</v>
      </c>
      <c r="B62" s="1429" t="str">
        <f>'NT-VT'!C65</f>
        <v>Đầu cosse ép Cu-Al 50mm2</v>
      </c>
      <c r="C62" s="1430" t="str">
        <f>'NT-VT'!D65</f>
        <v>cái</v>
      </c>
      <c r="D62" s="1431">
        <f>'NT-VT'!E65</f>
        <v>12</v>
      </c>
      <c r="E62" s="1428" t="str">
        <f>'NT-VT'!F66</f>
        <v>nt</v>
      </c>
      <c r="F62" s="1428" t="str">
        <f>'NT-VT'!G66</f>
        <v>nt</v>
      </c>
      <c r="G62" s="867">
        <f t="shared" si="0"/>
        <v>1</v>
      </c>
      <c r="H62" s="881"/>
      <c r="I62" s="857"/>
    </row>
    <row r="63" spans="1:9" ht="35.1" customHeight="1">
      <c r="A63" s="1428">
        <f>SUM($G$3:G63)</f>
        <v>61</v>
      </c>
      <c r="B63" s="1429" t="str">
        <f>'NT-VT'!C66</f>
        <v>Chân sứ đứng D20</v>
      </c>
      <c r="C63" s="1430" t="str">
        <f>'NT-VT'!D66</f>
        <v>cái</v>
      </c>
      <c r="D63" s="1431">
        <f>'NT-VT'!E66</f>
        <v>17</v>
      </c>
      <c r="E63" s="1428" t="str">
        <f>'NT-VT'!F67</f>
        <v>nt</v>
      </c>
      <c r="F63" s="1428" t="str">
        <f>'NT-VT'!G67</f>
        <v>nt</v>
      </c>
      <c r="G63" s="867">
        <f t="shared" si="0"/>
        <v>1</v>
      </c>
      <c r="H63" s="881"/>
      <c r="I63" s="857"/>
    </row>
    <row r="64" spans="1:9" ht="35.1" customHeight="1">
      <c r="A64" s="1428">
        <f>SUM($G$3:G64)</f>
        <v>62</v>
      </c>
      <c r="B64" s="1429" t="str">
        <f>'NT-VT'!C67</f>
        <v>Cọc tiếp đất Þ 16- 2,4m + kẹp cọc mạ đồng</v>
      </c>
      <c r="C64" s="1430" t="str">
        <f>'NT-VT'!D67</f>
        <v>bộ</v>
      </c>
      <c r="D64" s="1431">
        <f>'NT-VT'!E67</f>
        <v>10</v>
      </c>
      <c r="E64" s="1428" t="str">
        <f>'NT-VT'!F68</f>
        <v>nt</v>
      </c>
      <c r="F64" s="1428" t="str">
        <f>'NT-VT'!G68</f>
        <v>nt</v>
      </c>
      <c r="G64" s="867">
        <f t="shared" si="0"/>
        <v>1</v>
      </c>
      <c r="H64" s="881"/>
      <c r="I64" s="857"/>
    </row>
    <row r="65" spans="1:9" ht="35.1" customHeight="1">
      <c r="A65" s="1428">
        <f>SUM($G$3:G65)</f>
        <v>63</v>
      </c>
      <c r="B65" s="1429" t="str">
        <f>'NT-VT'!C68</f>
        <v>Co 90 độ PVC 42</v>
      </c>
      <c r="C65" s="1430" t="str">
        <f>'NT-VT'!D68</f>
        <v>cái</v>
      </c>
      <c r="D65" s="1431">
        <f>'NT-VT'!E68</f>
        <v>6</v>
      </c>
      <c r="E65" s="1428" t="e">
        <f>'NT-VT'!#REF!</f>
        <v>#REF!</v>
      </c>
      <c r="F65" s="1428" t="e">
        <f>'NT-VT'!#REF!</f>
        <v>#REF!</v>
      </c>
      <c r="G65" s="867">
        <f t="shared" si="0"/>
        <v>1</v>
      </c>
      <c r="H65" s="881"/>
      <c r="I65" s="857"/>
    </row>
    <row r="66" spans="1:9" ht="35.1" customHeight="1">
      <c r="A66" s="1428" t="e">
        <f>SUM($G$3:G66)</f>
        <v>#REF!</v>
      </c>
      <c r="B66" s="1429" t="e">
        <f>'NT-VT'!#REF!</f>
        <v>#REF!</v>
      </c>
      <c r="C66" s="1430" t="e">
        <f>'NT-VT'!#REF!</f>
        <v>#REF!</v>
      </c>
      <c r="D66" s="1431" t="e">
        <f>'NT-VT'!#REF!</f>
        <v>#REF!</v>
      </c>
      <c r="E66" s="1428" t="str">
        <f>'NT-VT'!F69</f>
        <v>nt</v>
      </c>
      <c r="F66" s="1428" t="str">
        <f>'NT-VT'!G69</f>
        <v>nt</v>
      </c>
      <c r="G66" s="867" t="e">
        <f t="shared" si="0"/>
        <v>#REF!</v>
      </c>
      <c r="H66" s="881"/>
      <c r="I66" s="857"/>
    </row>
    <row r="67" spans="1:9" ht="35.1" customHeight="1">
      <c r="A67" s="1428" t="e">
        <f>SUM($G$3:G67)</f>
        <v>#REF!</v>
      </c>
      <c r="B67" s="1429" t="str">
        <f>'NT-VT'!C69</f>
        <v>Co chữ T ống PVC 42</v>
      </c>
      <c r="C67" s="1430" t="str">
        <f>'NT-VT'!D69</f>
        <v>cái</v>
      </c>
      <c r="D67" s="1431">
        <f>'NT-VT'!E69</f>
        <v>5</v>
      </c>
      <c r="E67" s="1428" t="str">
        <f>'NT-VT'!F70</f>
        <v>nt</v>
      </c>
      <c r="F67" s="1428" t="str">
        <f>'NT-VT'!G70</f>
        <v>nt</v>
      </c>
      <c r="G67" s="867">
        <f t="shared" si="0"/>
        <v>1</v>
      </c>
      <c r="H67" s="881"/>
      <c r="I67" s="857"/>
    </row>
    <row r="68" spans="1:9" ht="35.1" customHeight="1">
      <c r="A68" s="1428" t="e">
        <f>SUM($G$3:G68)</f>
        <v>#REF!</v>
      </c>
      <c r="B68" s="1429" t="str">
        <f>'NT-VT'!C70</f>
        <v>Dây rút cáp</v>
      </c>
      <c r="C68" s="1430" t="str">
        <f>'NT-VT'!D70</f>
        <v>bọc</v>
      </c>
      <c r="D68" s="1431">
        <f>'NT-VT'!E70</f>
        <v>3</v>
      </c>
      <c r="E68" s="1428" t="str">
        <f>'NT-VT'!F71</f>
        <v>nt</v>
      </c>
      <c r="F68" s="1428" t="str">
        <f>'NT-VT'!G71</f>
        <v>nt</v>
      </c>
      <c r="G68" s="867">
        <f t="shared" ref="G68:G93" si="1">IF(D68&gt;0,1,0)</f>
        <v>1</v>
      </c>
      <c r="H68" s="881"/>
      <c r="I68" s="857"/>
    </row>
    <row r="69" spans="1:9" ht="35.1" customHeight="1">
      <c r="A69" s="1428" t="e">
        <f>SUM($G$3:G69)</f>
        <v>#REF!</v>
      </c>
      <c r="B69" s="1429" t="str">
        <f>'NT-VT'!C71</f>
        <v>Gạch ống</v>
      </c>
      <c r="C69" s="1430" t="str">
        <f>'NT-VT'!D71</f>
        <v>viên</v>
      </c>
      <c r="D69" s="1431">
        <f>'NT-VT'!E71</f>
        <v>350</v>
      </c>
      <c r="E69" s="1428" t="str">
        <f>'NT-VT'!F72</f>
        <v>nt</v>
      </c>
      <c r="F69" s="1428" t="str">
        <f>'NT-VT'!G72</f>
        <v>nt</v>
      </c>
      <c r="G69" s="867">
        <f t="shared" si="1"/>
        <v>1</v>
      </c>
      <c r="H69" s="881"/>
      <c r="I69" s="857"/>
    </row>
    <row r="70" spans="1:9" ht="35.1" customHeight="1">
      <c r="A70" s="1428" t="e">
        <f>SUM($G$3:G70)</f>
        <v>#REF!</v>
      </c>
      <c r="B70" s="1429" t="str">
        <f>'NT-VT'!C72</f>
        <v>Kẹp cáp 3 boulon</v>
      </c>
      <c r="C70" s="1430" t="str">
        <f>'NT-VT'!D72</f>
        <v>cái</v>
      </c>
      <c r="D70" s="1431">
        <f>'NT-VT'!E72</f>
        <v>8</v>
      </c>
      <c r="E70" s="1428" t="str">
        <f>'NT-VT'!F73</f>
        <v>nt</v>
      </c>
      <c r="F70" s="1428" t="str">
        <f>'NT-VT'!G73</f>
        <v>nt</v>
      </c>
      <c r="G70" s="867">
        <f t="shared" si="1"/>
        <v>1</v>
      </c>
      <c r="H70" s="881"/>
      <c r="I70" s="857"/>
    </row>
    <row r="71" spans="1:9" ht="35.1" customHeight="1">
      <c r="A71" s="1428" t="e">
        <f>SUM($G$3:G71)</f>
        <v>#REF!</v>
      </c>
      <c r="B71" s="1429" t="str">
        <f>'NT-VT'!C73</f>
        <v>Kẹp ép WR cỡ dây 50mm2</v>
      </c>
      <c r="C71" s="1430" t="str">
        <f>'NT-VT'!D73</f>
        <v>cái</v>
      </c>
      <c r="D71" s="1431">
        <f>'NT-VT'!E73</f>
        <v>6</v>
      </c>
      <c r="E71" s="1428" t="str">
        <f>'NT-VT'!F74</f>
        <v>nt</v>
      </c>
      <c r="F71" s="1428" t="str">
        <f>'NT-VT'!G74</f>
        <v>nt</v>
      </c>
      <c r="G71" s="867">
        <f t="shared" si="1"/>
        <v>1</v>
      </c>
      <c r="H71" s="881"/>
      <c r="I71" s="857"/>
    </row>
    <row r="72" spans="1:9" ht="35.1" customHeight="1">
      <c r="A72" s="1428" t="e">
        <f>SUM($G$3:G72)</f>
        <v>#REF!</v>
      </c>
      <c r="B72" s="1429" t="str">
        <f>'NT-VT'!C74</f>
        <v>Kẹp ép WR cỡ dây 95mm2</v>
      </c>
      <c r="C72" s="1430" t="str">
        <f>'NT-VT'!D74</f>
        <v>cái</v>
      </c>
      <c r="D72" s="1431">
        <f>'NT-VT'!E74</f>
        <v>6</v>
      </c>
      <c r="E72" s="1428" t="str">
        <f>'NT-VT'!F75</f>
        <v>nt</v>
      </c>
      <c r="F72" s="1428" t="str">
        <f>'NT-VT'!G75</f>
        <v>nt</v>
      </c>
      <c r="G72" s="867">
        <f t="shared" si="1"/>
        <v>1</v>
      </c>
      <c r="H72" s="881"/>
      <c r="I72" s="857"/>
    </row>
    <row r="73" spans="1:9" ht="35.1" hidden="1" customHeight="1">
      <c r="A73" s="1428" t="e">
        <f>SUM($G$3:G73)</f>
        <v>#REF!</v>
      </c>
      <c r="B73" s="1429" t="str">
        <f>'NT-VT'!C75</f>
        <v>Keo dán ống PVC (500gr)</v>
      </c>
      <c r="C73" s="1430" t="str">
        <f>'NT-VT'!D75</f>
        <v>lon</v>
      </c>
      <c r="D73" s="1431">
        <f>'NT-VT'!E75</f>
        <v>1</v>
      </c>
      <c r="E73" s="1428" t="str">
        <f>'NT-VT'!F76</f>
        <v>nt</v>
      </c>
      <c r="F73" s="1428" t="str">
        <f>'NT-VT'!G76</f>
        <v>nt</v>
      </c>
      <c r="G73" s="867">
        <f t="shared" si="1"/>
        <v>1</v>
      </c>
      <c r="H73" s="881"/>
      <c r="I73" s="857"/>
    </row>
    <row r="74" spans="1:9" ht="35.1" hidden="1" customHeight="1">
      <c r="A74" s="1428" t="e">
        <f>SUM($G$3:G74)</f>
        <v>#REF!</v>
      </c>
      <c r="B74" s="1429" t="str">
        <f>'NT-VT'!C76</f>
        <v>Keo silicon bít miệng ống</v>
      </c>
      <c r="C74" s="1430" t="str">
        <f>'NT-VT'!D76</f>
        <v>ống</v>
      </c>
      <c r="D74" s="1431">
        <f>'NT-VT'!E76</f>
        <v>5</v>
      </c>
      <c r="E74" s="1428" t="str">
        <f>'NT-VT'!F77</f>
        <v>nt</v>
      </c>
      <c r="F74" s="1428" t="str">
        <f>'NT-VT'!G77</f>
        <v>nt</v>
      </c>
      <c r="G74" s="867">
        <f t="shared" si="1"/>
        <v>1</v>
      </c>
      <c r="H74" s="881"/>
      <c r="I74" s="857"/>
    </row>
    <row r="75" spans="1:9" ht="35.1" hidden="1" customHeight="1">
      <c r="A75" s="1428" t="e">
        <f>SUM($G$3:G75)</f>
        <v>#REF!</v>
      </c>
      <c r="B75" s="1429" t="str">
        <f>'NT-VT'!C77</f>
        <v>Kẹp hotline 2/0</v>
      </c>
      <c r="C75" s="1430" t="str">
        <f>'NT-VT'!D77</f>
        <v>cái</v>
      </c>
      <c r="D75" s="1431">
        <f>'NT-VT'!E77</f>
        <v>3</v>
      </c>
      <c r="E75" s="1428" t="str">
        <f>'NT-VT'!F78</f>
        <v>nt</v>
      </c>
      <c r="F75" s="1428" t="str">
        <f>'NT-VT'!G78</f>
        <v>nt</v>
      </c>
      <c r="G75" s="867">
        <f t="shared" si="1"/>
        <v>1</v>
      </c>
      <c r="H75" s="881"/>
      <c r="I75" s="857"/>
    </row>
    <row r="76" spans="1:9" ht="35.1" hidden="1" customHeight="1">
      <c r="A76" s="1428" t="e">
        <f>SUM($G$3:G76)</f>
        <v>#REF!</v>
      </c>
      <c r="B76" s="1429" t="str">
        <f>'NT-VT'!C78</f>
        <v>Khóa néo dây cỡ dây 50</v>
      </c>
      <c r="C76" s="1430" t="str">
        <f>'NT-VT'!D78</f>
        <v>cái</v>
      </c>
      <c r="D76" s="1431">
        <f>'NT-VT'!E78</f>
        <v>2</v>
      </c>
      <c r="E76" s="1428" t="str">
        <f>'NT-VT'!F79</f>
        <v>nt</v>
      </c>
      <c r="F76" s="1428" t="str">
        <f>'NT-VT'!G79</f>
        <v>nt</v>
      </c>
      <c r="G76" s="867">
        <f t="shared" si="1"/>
        <v>1</v>
      </c>
      <c r="H76" s="881"/>
      <c r="I76" s="857"/>
    </row>
    <row r="77" spans="1:9" ht="35.1" hidden="1" customHeight="1">
      <c r="A77" s="1428" t="e">
        <f>SUM($G$3:G77)</f>
        <v>#REF!</v>
      </c>
      <c r="B77" s="1429" t="str">
        <f>'NT-VT'!C79</f>
        <v>Kẹp quai 2/0</v>
      </c>
      <c r="C77" s="1430" t="str">
        <f>'NT-VT'!D79</f>
        <v>cái</v>
      </c>
      <c r="D77" s="1431">
        <f>'NT-VT'!E79</f>
        <v>3</v>
      </c>
      <c r="E77" s="1428" t="str">
        <f>'NT-VT'!F80</f>
        <v>nt</v>
      </c>
      <c r="F77" s="1428" t="str">
        <f>'NT-VT'!G80</f>
        <v>nt</v>
      </c>
      <c r="G77" s="867">
        <f t="shared" si="1"/>
        <v>1</v>
      </c>
      <c r="H77" s="881"/>
      <c r="I77" s="857"/>
    </row>
    <row r="78" spans="1:9" ht="35.1" hidden="1" customHeight="1">
      <c r="A78" s="1428" t="e">
        <f>SUM($G$3:G78)</f>
        <v>#REF!</v>
      </c>
      <c r="B78" s="1429" t="str">
        <f>'NT-VT'!C80</f>
        <v>Khâu ven răng ngoài D42</v>
      </c>
      <c r="C78" s="1430" t="str">
        <f>'NT-VT'!D80</f>
        <v>cái</v>
      </c>
      <c r="D78" s="1431">
        <f>'NT-VT'!E80</f>
        <v>1</v>
      </c>
      <c r="E78" s="1428" t="str">
        <f>'NT-VT'!F81</f>
        <v>nt</v>
      </c>
      <c r="F78" s="1428" t="str">
        <f>'NT-VT'!G81</f>
        <v>nt</v>
      </c>
      <c r="G78" s="867">
        <f t="shared" si="1"/>
        <v>1</v>
      </c>
      <c r="H78" s="881"/>
      <c r="I78" s="857"/>
    </row>
    <row r="79" spans="1:9" ht="35.1" hidden="1" customHeight="1">
      <c r="A79" s="1428" t="e">
        <f>SUM($G$3:G79)</f>
        <v>#REF!</v>
      </c>
      <c r="B79" s="1429" t="str">
        <f>'NT-VT'!C81</f>
        <v>Khâu ven răng trong D42</v>
      </c>
      <c r="C79" s="1430" t="str">
        <f>'NT-VT'!D81</f>
        <v>cái</v>
      </c>
      <c r="D79" s="1431">
        <f>'NT-VT'!E81</f>
        <v>1</v>
      </c>
      <c r="E79" s="1428" t="str">
        <f>'NT-VT'!F82</f>
        <v>nt</v>
      </c>
      <c r="F79" s="1428" t="str">
        <f>'NT-VT'!G82</f>
        <v>nt</v>
      </c>
      <c r="G79" s="867">
        <f t="shared" si="1"/>
        <v>1</v>
      </c>
      <c r="H79" s="881"/>
      <c r="I79" s="857"/>
    </row>
    <row r="80" spans="1:9" ht="35.1" hidden="1" customHeight="1">
      <c r="A80" s="1428" t="e">
        <f>SUM($G$3:G80)</f>
        <v>#REF!</v>
      </c>
      <c r="B80" s="1429" t="str">
        <f>'NT-VT'!C82</f>
        <v>Dây đồng trần mềm dẹt</v>
      </c>
      <c r="C80" s="1430" t="str">
        <f>'NT-VT'!D82</f>
        <v>mét</v>
      </c>
      <c r="D80" s="1431">
        <f>'NT-VT'!E82</f>
        <v>4</v>
      </c>
      <c r="E80" s="1428" t="str">
        <f>'NT-VT'!F83</f>
        <v>nt</v>
      </c>
      <c r="F80" s="1428" t="str">
        <f>'NT-VT'!G83</f>
        <v>nt</v>
      </c>
      <c r="G80" s="867">
        <f t="shared" si="1"/>
        <v>1</v>
      </c>
      <c r="H80" s="881"/>
      <c r="I80" s="857"/>
    </row>
    <row r="81" spans="1:9" ht="35.1" hidden="1" customHeight="1">
      <c r="A81" s="1428" t="e">
        <f>SUM($G$3:G81)</f>
        <v>#REF!</v>
      </c>
      <c r="B81" s="1429" t="str">
        <f>'NT-VT'!C83</f>
        <v>Máng che dây chằng dày 1,6mm</v>
      </c>
      <c r="C81" s="1430" t="str">
        <f>'NT-VT'!D83</f>
        <v>cái</v>
      </c>
      <c r="D81" s="1431">
        <f>'NT-VT'!E83</f>
        <v>1</v>
      </c>
      <c r="E81" s="1428" t="str">
        <f>'NT-VT'!F84</f>
        <v>nt</v>
      </c>
      <c r="F81" s="1428" t="str">
        <f>'NT-VT'!G84</f>
        <v>nt</v>
      </c>
      <c r="G81" s="867">
        <f t="shared" si="1"/>
        <v>1</v>
      </c>
      <c r="H81" s="881"/>
      <c r="I81" s="857"/>
    </row>
    <row r="82" spans="1:9" ht="35.1" hidden="1" customHeight="1">
      <c r="A82" s="1428" t="e">
        <f>SUM($G$3:G82)</f>
        <v>#REF!</v>
      </c>
      <c r="B82" s="1429" t="str">
        <f>'NT-VT'!C84</f>
        <v xml:space="preserve">Móc treo chữ U </v>
      </c>
      <c r="C82" s="1430" t="str">
        <f>'NT-VT'!D84</f>
        <v>cái</v>
      </c>
      <c r="D82" s="1431">
        <f>'NT-VT'!E84</f>
        <v>12</v>
      </c>
      <c r="E82" s="1428" t="str">
        <f>'NT-VT'!F85</f>
        <v>nt</v>
      </c>
      <c r="F82" s="1428" t="str">
        <f>'NT-VT'!G85</f>
        <v>nt</v>
      </c>
      <c r="G82" s="867">
        <f t="shared" si="1"/>
        <v>1</v>
      </c>
      <c r="H82" s="881"/>
      <c r="I82" s="857"/>
    </row>
    <row r="83" spans="1:9" ht="35.1" hidden="1" customHeight="1">
      <c r="A83" s="1428" t="e">
        <f>SUM($G$3:G83)</f>
        <v>#REF!</v>
      </c>
      <c r="B83" s="1429" t="str">
        <f>'NT-VT'!C85</f>
        <v>Neo xòe 8 hướng (dày 3,2mm)</v>
      </c>
      <c r="C83" s="1430" t="str">
        <f>'NT-VT'!D85</f>
        <v>cái</v>
      </c>
      <c r="D83" s="1431">
        <f>'NT-VT'!E85</f>
        <v>1</v>
      </c>
      <c r="E83" s="1428" t="str">
        <f>'NT-VT'!F86</f>
        <v>nt</v>
      </c>
      <c r="F83" s="1428" t="str">
        <f>'NT-VT'!G86</f>
        <v>nt</v>
      </c>
      <c r="G83" s="867">
        <f t="shared" si="1"/>
        <v>1</v>
      </c>
      <c r="H83" s="881"/>
      <c r="I83" s="857"/>
    </row>
    <row r="84" spans="1:9" ht="35.1" hidden="1" customHeight="1">
      <c r="A84" s="1428" t="e">
        <f>SUM($G$3:G84)</f>
        <v>#REF!</v>
      </c>
      <c r="B84" s="1429" t="str">
        <f>'NT-VT'!C86</f>
        <v>Ong co nhiệt</v>
      </c>
      <c r="C84" s="1430" t="str">
        <f>'NT-VT'!D86</f>
        <v>m</v>
      </c>
      <c r="D84" s="1431">
        <f>'NT-VT'!E86</f>
        <v>1</v>
      </c>
      <c r="E84" s="1428" t="str">
        <f>'NT-VT'!F87</f>
        <v>nt</v>
      </c>
      <c r="F84" s="1428" t="str">
        <f>'NT-VT'!G87</f>
        <v>nt</v>
      </c>
      <c r="G84" s="867">
        <f t="shared" si="1"/>
        <v>1</v>
      </c>
      <c r="H84" s="881"/>
      <c r="I84" s="857"/>
    </row>
    <row r="85" spans="1:9" ht="35.1" hidden="1" customHeight="1">
      <c r="A85" s="1428" t="e">
        <f>SUM($G$3:G85)</f>
        <v>#REF!</v>
      </c>
      <c r="B85" s="1429" t="str">
        <f>'NT-VT'!C87</f>
        <v>Ốc siết cáp cỡ 25mm2</v>
      </c>
      <c r="C85" s="1430" t="str">
        <f>'NT-VT'!D87</f>
        <v>cái</v>
      </c>
      <c r="D85" s="1431">
        <f>'NT-VT'!E87</f>
        <v>13</v>
      </c>
      <c r="E85" s="1428" t="str">
        <f>'NT-VT'!F88</f>
        <v>nt</v>
      </c>
      <c r="F85" s="1428" t="str">
        <f>'NT-VT'!G88</f>
        <v>nt</v>
      </c>
      <c r="G85" s="867">
        <f t="shared" si="1"/>
        <v>1</v>
      </c>
      <c r="H85" s="881"/>
      <c r="I85" s="857"/>
    </row>
    <row r="86" spans="1:9" ht="35.1" hidden="1" customHeight="1">
      <c r="A86" s="1428" t="e">
        <f>SUM($G$3:G86)</f>
        <v>#REF!</v>
      </c>
      <c r="B86" s="1429" t="str">
        <f>'NT-VT'!C88</f>
        <v xml:space="preserve">Ống PVC D114x4,9mm </v>
      </c>
      <c r="C86" s="1430" t="str">
        <f>'NT-VT'!D88</f>
        <v>m</v>
      </c>
      <c r="D86" s="1431">
        <f>'NT-VT'!E88</f>
        <v>8</v>
      </c>
      <c r="E86" s="1428" t="str">
        <f>'NT-VT'!F89</f>
        <v>nt</v>
      </c>
      <c r="F86" s="1428" t="str">
        <f>'NT-VT'!G89</f>
        <v>nt</v>
      </c>
      <c r="G86" s="867">
        <f t="shared" si="1"/>
        <v>1</v>
      </c>
      <c r="H86" s="881"/>
      <c r="I86" s="857"/>
    </row>
    <row r="87" spans="1:9" ht="35.1" hidden="1" customHeight="1">
      <c r="A87" s="1428" t="e">
        <f>SUM($G$3:G87)</f>
        <v>#REF!</v>
      </c>
      <c r="B87" s="1429" t="str">
        <f>'NT-VT'!C89</f>
        <v>Ống PVC D42x2,1mm</v>
      </c>
      <c r="C87" s="1430" t="str">
        <f>'NT-VT'!D89</f>
        <v>m</v>
      </c>
      <c r="D87" s="1431">
        <f>'NT-VT'!E89</f>
        <v>18</v>
      </c>
      <c r="E87" s="1428" t="str">
        <f>'NT-VT'!F90</f>
        <v>nt</v>
      </c>
      <c r="F87" s="1428" t="str">
        <f>'NT-VT'!G90</f>
        <v>nt</v>
      </c>
      <c r="G87" s="867">
        <f t="shared" si="1"/>
        <v>1</v>
      </c>
      <c r="H87" s="881"/>
      <c r="I87" s="857"/>
    </row>
    <row r="88" spans="1:9" ht="35.1" hidden="1" customHeight="1">
      <c r="A88" s="1428" t="e">
        <f>SUM($G$3:G88)</f>
        <v>#REF!</v>
      </c>
      <c r="B88" s="1429" t="str">
        <f>'NT-VT'!C90</f>
        <v>Uclevis + sứ ống chỉ</v>
      </c>
      <c r="C88" s="1430" t="str">
        <f>'NT-VT'!D90</f>
        <v>bộ</v>
      </c>
      <c r="D88" s="1431">
        <f>'NT-VT'!E90</f>
        <v>1</v>
      </c>
      <c r="E88" s="1428" t="str">
        <f>'NT-VT'!F91</f>
        <v>nt</v>
      </c>
      <c r="F88" s="1428" t="str">
        <f>'NT-VT'!G91</f>
        <v>nt</v>
      </c>
      <c r="G88" s="867">
        <f t="shared" si="1"/>
        <v>1</v>
      </c>
      <c r="H88" s="881"/>
      <c r="I88" s="857"/>
    </row>
    <row r="89" spans="1:9" ht="35.1" hidden="1" customHeight="1">
      <c r="A89" s="1428" t="e">
        <f>SUM($G$3:G89)</f>
        <v>#REF!</v>
      </c>
      <c r="B89" s="1429" t="str">
        <f>'NT-VT'!C91</f>
        <v>Sắt dẹt 60 x 6</v>
      </c>
      <c r="C89" s="1430" t="str">
        <f>'NT-VT'!D91</f>
        <v>kg</v>
      </c>
      <c r="D89" s="1431">
        <f>'NT-VT'!E91</f>
        <v>3</v>
      </c>
      <c r="E89" s="1428" t="str">
        <f>'NT-VT'!F92</f>
        <v>nt</v>
      </c>
      <c r="F89" s="1428" t="str">
        <f>'NT-VT'!G92</f>
        <v>nt</v>
      </c>
      <c r="G89" s="867">
        <f t="shared" si="1"/>
        <v>1</v>
      </c>
      <c r="H89" s="881"/>
      <c r="I89" s="857"/>
    </row>
    <row r="90" spans="1:9" ht="35.1" hidden="1" customHeight="1">
      <c r="A90" s="1428" t="e">
        <f>SUM($G$3:G90)</f>
        <v>#REF!</v>
      </c>
      <c r="B90" s="1429"/>
      <c r="C90" s="1430" t="str">
        <f>'NT-VT'!D93</f>
        <v>cái</v>
      </c>
      <c r="D90" s="1431">
        <f>'NT-VT'!E93</f>
        <v>1</v>
      </c>
      <c r="E90" s="1428" t="str">
        <f>'NT-VT'!F93</f>
        <v>nt</v>
      </c>
      <c r="F90" s="1428" t="str">
        <f>'NT-VT'!G93</f>
        <v>nt</v>
      </c>
      <c r="G90" s="867">
        <f t="shared" si="1"/>
        <v>1</v>
      </c>
      <c r="H90" s="881"/>
      <c r="I90" s="857"/>
    </row>
    <row r="91" spans="1:9" ht="35.1" hidden="1" customHeight="1">
      <c r="A91" s="1428" t="e">
        <f>SUM($G$3:G91)</f>
        <v>#REF!</v>
      </c>
      <c r="B91" s="1429"/>
      <c r="C91" s="1430" t="str">
        <f>'NT-VT'!D94</f>
        <v>cái</v>
      </c>
      <c r="D91" s="1431">
        <f>'NT-VT'!E94</f>
        <v>5</v>
      </c>
      <c r="E91" s="1428" t="str">
        <f>'NT-VT'!F94</f>
        <v>nt</v>
      </c>
      <c r="F91" s="1428" t="str">
        <f>'NT-VT'!G94</f>
        <v>nt</v>
      </c>
      <c r="G91" s="867">
        <f t="shared" si="1"/>
        <v>1</v>
      </c>
      <c r="H91" s="881"/>
      <c r="I91" s="857"/>
    </row>
    <row r="92" spans="1:9" ht="35.1" hidden="1" customHeight="1">
      <c r="A92" s="1428" t="e">
        <f>SUM($G$3:G92)</f>
        <v>#REF!</v>
      </c>
      <c r="B92" s="1429"/>
      <c r="C92" s="1430" t="str">
        <f>'NT-VT'!D95</f>
        <v>cái</v>
      </c>
      <c r="D92" s="1431">
        <f>'NT-VT'!E95</f>
        <v>2</v>
      </c>
      <c r="E92" s="1428" t="str">
        <f>'NT-VT'!F95</f>
        <v>nt</v>
      </c>
      <c r="F92" s="1428" t="str">
        <f>'NT-VT'!G95</f>
        <v>nt</v>
      </c>
      <c r="G92" s="867">
        <f t="shared" si="1"/>
        <v>1</v>
      </c>
      <c r="H92" s="881"/>
      <c r="I92" s="857"/>
    </row>
    <row r="93" spans="1:9" ht="35.1" hidden="1" customHeight="1">
      <c r="A93" s="1428" t="e">
        <f>SUM($G$3:G93)</f>
        <v>#REF!</v>
      </c>
      <c r="B93" s="1429"/>
      <c r="C93" s="1430" t="str">
        <f>'NT-VT'!D96</f>
        <v>cái</v>
      </c>
      <c r="D93" s="1431">
        <f>'NT-VT'!E96</f>
        <v>1</v>
      </c>
      <c r="E93" s="1428" t="str">
        <f>'NT-VT'!F96</f>
        <v>nt</v>
      </c>
      <c r="F93" s="1428" t="str">
        <f>'NT-VT'!G96</f>
        <v>nt</v>
      </c>
      <c r="G93" s="867">
        <f t="shared" si="1"/>
        <v>1</v>
      </c>
      <c r="H93" s="881"/>
      <c r="I93" s="857"/>
    </row>
    <row r="94" spans="1:9" ht="35.1" customHeight="1">
      <c r="A94" s="1428" t="e">
        <f>SUM($G$3:G94)</f>
        <v>#REF!</v>
      </c>
      <c r="B94" s="1429" t="s">
        <v>4519</v>
      </c>
      <c r="C94" s="1430"/>
      <c r="D94" s="1431"/>
      <c r="E94" s="1428" t="str">
        <f>'NT-VT'!F97</f>
        <v>nt</v>
      </c>
      <c r="F94" s="1428" t="str">
        <f>'NT-VT'!G97</f>
        <v>nt</v>
      </c>
      <c r="G94" s="867">
        <v>1</v>
      </c>
      <c r="H94" s="881"/>
      <c r="I94" s="857"/>
    </row>
  </sheetData>
  <autoFilter ref="A2:I94" xr:uid="{00000000-0009-0000-0000-00002A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37</vt:i4>
      </vt:variant>
      <vt:variant>
        <vt:lpstr>Named Ranges</vt:lpstr>
      </vt:variant>
      <vt:variant>
        <vt:i4>64</vt:i4>
      </vt:variant>
    </vt:vector>
  </HeadingPairs>
  <TitlesOfParts>
    <vt:vector size="101"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2020-06-24T15:43:58Z</dcterms:modified>
</cp:coreProperties>
</file>